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483" documentId="8_{DE086919-8520-42BE-BF6E-7A4EA5AE71D7}" xr6:coauthVersionLast="47" xr6:coauthVersionMax="47" xr10:uidLastSave="{2891060F-7EA9-4197-8E29-22426B2AD06E}"/>
  <bookViews>
    <workbookView xWindow="-110" yWindow="-110" windowWidth="19420" windowHeight="10420"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2" sheetId="153" r:id="rId10"/>
    <sheet name="innut23" sheetId="158" r:id="rId11"/>
    <sheet name="innut24" sheetId="160" state="hidden" r:id="rId12"/>
    <sheet name="R18" sheetId="120" state="hidden" r:id="rId13"/>
    <sheet name="R19" sheetId="126" state="hidden" r:id="rId14"/>
    <sheet name="R20" sheetId="135" state="hidden" r:id="rId15"/>
    <sheet name="R21" sheetId="144" state="hidden" r:id="rId16"/>
    <sheet name="R22" sheetId="150" r:id="rId17"/>
    <sheet name="R23" sheetId="156"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K0kommunestruktur2018" sheetId="122" state="hidden" r:id="rId28"/>
    <sheet name="K0kommunestruktur2019" sheetId="132" state="hidden" r:id="rId29"/>
    <sheet name="K0kommunestruktur2020" sheetId="137" state="hidden" r:id="rId30"/>
    <sheet name="K0kommunestruktur2021" sheetId="147" state="hidden" r:id="rId31"/>
    <sheet name="K0kommunestruktur2022" sheetId="154" state="hidden" r:id="rId32"/>
    <sheet name="K0kommunestruktur2020altern" sheetId="142" state="hidden" r:id="rId33"/>
    <sheet name="K0kommunestruktur2021altern" sheetId="148" state="hidden" r:id="rId34"/>
    <sheet name="K0kommunestruktur2022altern" sheetId="155" state="hidden" r:id="rId35"/>
    <sheet name="K0kommunestruktur2020 kopi" sheetId="138" state="hidden" r:id="rId36"/>
    <sheet name="K1" sheetId="116" state="hidden" r:id="rId37"/>
    <sheet name="K17 ny kommune" sheetId="123" state="hidden" r:id="rId38"/>
    <sheet name="K18" sheetId="124" state="hidden" r:id="rId39"/>
    <sheet name="K19" sheetId="130" state="hidden" r:id="rId40"/>
    <sheet name="K19 ny kommune INGAR" sheetId="140" state="hidden" r:id="rId41"/>
    <sheet name="K19 ny kommune skatt" sheetId="141" state="hidden" r:id="rId42"/>
    <sheet name="K20" sheetId="136" state="hidden" r:id="rId43"/>
    <sheet name="K21" sheetId="145" state="hidden" r:id="rId44"/>
    <sheet name="K22" sheetId="152" r:id="rId45"/>
    <sheet name="K23" sheetId="159" r:id="rId46"/>
    <sheet name="Naturressursskatt" sheetId="161" state="hidden" r:id="rId47"/>
    <sheet name="komprpeldre" sheetId="69" state="hidden" r:id="rId48"/>
    <sheet name="Folke landet MMMM" sheetId="20" r:id="rId49"/>
    <sheet name="Bef.fremskr. kommunenivå MMMM" sheetId="102" r:id="rId50"/>
    <sheet name="Diagram4" sheetId="85" r:id="rId51"/>
    <sheet name="Diagram5" sheetId="86" state="hidden" r:id="rId52"/>
    <sheet name="Diagram6" sheetId="87" state="hidden" r:id="rId53"/>
  </sheets>
  <definedNames>
    <definedName name="kriterieverdier" localSheetId="9">#REF!</definedName>
    <definedName name="kriterieverdier" localSheetId="10">#REF!</definedName>
    <definedName name="kriterieverdier" localSheetId="11">#REF!</definedName>
    <definedName name="kriterieverdier" localSheetId="27">#REF!</definedName>
    <definedName name="kriterieverdier" localSheetId="28">#REF!</definedName>
    <definedName name="kriterieverdier" localSheetId="29">#REF!</definedName>
    <definedName name="kriterieverdier" localSheetId="35">#REF!</definedName>
    <definedName name="kriterieverdier" localSheetId="32">#REF!</definedName>
    <definedName name="kriterieverdier" localSheetId="30">#REF!</definedName>
    <definedName name="kriterieverdier" localSheetId="33">#REF!</definedName>
    <definedName name="kriterieverdier" localSheetId="31">#REF!</definedName>
    <definedName name="kriterieverdier" localSheetId="34">#REF!</definedName>
    <definedName name="kriterieverdier" localSheetId="36">#REF!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#REF!</definedName>
    <definedName name="Ut14__A1" localSheetId="9">Inngang!#REF!</definedName>
    <definedName name="Ut14__A1" localSheetId="10">Inngang!#REF!</definedName>
    <definedName name="Ut14__A1" localSheetId="11">Inngang!#REF!</definedName>
    <definedName name="Ut14__A1" localSheetId="27">Inngang!#REF!</definedName>
    <definedName name="Ut14__A1" localSheetId="28">Inngang!#REF!</definedName>
    <definedName name="Ut14__A1" localSheetId="29">Inngang!#REF!</definedName>
    <definedName name="Ut14__A1" localSheetId="35">Inngang!#REF!</definedName>
    <definedName name="Ut14__A1" localSheetId="32">Inngang!#REF!</definedName>
    <definedName name="Ut14__A1" localSheetId="30">Inngang!#REF!</definedName>
    <definedName name="Ut14__A1" localSheetId="33">Inngang!#REF!</definedName>
    <definedName name="Ut14__A1" localSheetId="31">Inngang!#REF!</definedName>
    <definedName name="Ut14__A1" localSheetId="34">Inngang!#REF!</definedName>
    <definedName name="Ut14__A1" localSheetId="36">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Inngang!#REF!</definedName>
    <definedName name="_xlnm.Print_Area" localSheetId="7">Bregn!$A$1:$K$137</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Rskudd!$A$1:$K$62</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Titles" localSheetId="49">'Bef.fremskr. kommunenivå MMMM'!$2:$4</definedName>
    <definedName name="_xlnm.Print_Titles" localSheetId="7">Bregn!$A:$B</definedName>
    <definedName name="_xlnm.Print_Titles" localSheetId="5">Distriktogvekst!$A:$A</definedName>
    <definedName name="_xlnm.Print_Titles" localSheetId="48">'Folke landet MMMM'!$A:$A</definedName>
    <definedName name="_xlnm.Print_Titles" localSheetId="6">Ingar!$2:$3</definedName>
    <definedName name="_xlnm.Print_Titles" localSheetId="9">innut22!$A:$B,innut22!$5:$8</definedName>
    <definedName name="_xlnm.Print_Titles" localSheetId="10">innut23!$A:$B,innut23!$5:$8</definedName>
    <definedName name="_xlnm.Print_Titles" localSheetId="11">innut24!$A:$B,innut24!$5:$8</definedName>
    <definedName name="_xlnm.Print_Titles" localSheetId="37">'K17 ny kommune'!$A:$B,'K17 ny kommune'!$2:$3</definedName>
    <definedName name="_xlnm.Print_Titles" localSheetId="38">'K18'!$A:$B,'K18'!$2:$3</definedName>
    <definedName name="_xlnm.Print_Titles" localSheetId="39">'K19'!$A:$B,'K19'!$2:$3</definedName>
    <definedName name="_xlnm.Print_Titles" localSheetId="40">'K19 ny kommune INGAR'!$A:$B,'K19 ny kommune INGAR'!$2:$3</definedName>
    <definedName name="_xlnm.Print_Titles" localSheetId="41">'K19 ny kommune skatt'!$A:$B,'K19 ny kommune skatt'!$2:$3</definedName>
    <definedName name="_xlnm.Print_Titles" localSheetId="42">'K20'!$A:$B,'K20'!$2:$3</definedName>
    <definedName name="_xlnm.Print_Titles" localSheetId="43">'K21'!$A:$B,'K21'!$2:$3</definedName>
    <definedName name="_xlnm.Print_Titles" localSheetId="44">'K22'!$A:$B,'K22'!$2:$3</definedName>
    <definedName name="_xlnm.Print_Titles" localSheetId="45">'K23'!$A:$B,'K23'!$2:$3</definedName>
    <definedName name="_xlnm.Print_Titles" localSheetId="47">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6" i="3" l="1"/>
  <c r="I66" i="3" s="1"/>
  <c r="BK4" i="159"/>
  <c r="J66" i="3" l="1"/>
  <c r="K66" i="3" s="1"/>
  <c r="H65" i="3"/>
  <c r="H28" i="6" l="1"/>
  <c r="H71" i="6" s="1"/>
  <c r="I65" i="3"/>
  <c r="J65" i="3" l="1"/>
  <c r="I28" i="6"/>
  <c r="I71" i="6" s="1"/>
  <c r="K65" i="3" l="1"/>
  <c r="K28" i="6" s="1"/>
  <c r="K71" i="6" s="1"/>
  <c r="J28" i="6"/>
  <c r="J71" i="6" s="1"/>
  <c r="G61" i="3" l="1"/>
  <c r="G60" i="3" l="1"/>
  <c r="G51" i="3"/>
  <c r="D99" i="156" l="1"/>
  <c r="D76" i="144"/>
  <c r="H13" i="2"/>
  <c r="H95" i="2" s="1"/>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U361" i="155" s="1"/>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F92" i="2"/>
  <c r="G133" i="71"/>
  <c r="G92" i="2" l="1"/>
  <c r="H14" i="2"/>
  <c r="H57" i="156"/>
  <c r="H47" i="156"/>
  <c r="H46" i="156"/>
  <c r="H45" i="156"/>
  <c r="H71" i="156" l="1"/>
  <c r="J122" i="17"/>
  <c r="I122" i="17"/>
  <c r="H122" i="17"/>
  <c r="G122" i="17"/>
  <c r="C122" i="17"/>
  <c r="H67" i="156"/>
  <c r="D123" i="156" l="1"/>
  <c r="D90" i="156" l="1"/>
  <c r="D62" i="156"/>
  <c r="D63" i="156"/>
  <c r="D65" i="156"/>
  <c r="D66" i="156"/>
  <c r="D67" i="156"/>
  <c r="D69" i="156"/>
  <c r="D70" i="156"/>
  <c r="D72" i="156"/>
  <c r="D74" i="156"/>
  <c r="D75" i="156"/>
  <c r="D76" i="156"/>
  <c r="D80" i="156"/>
  <c r="D81" i="156"/>
  <c r="B105" i="156"/>
  <c r="D105" i="156" s="1"/>
  <c r="D97" i="156"/>
  <c r="D57" i="156"/>
  <c r="D94" i="156"/>
  <c r="D56" i="156"/>
  <c r="D87" i="156"/>
  <c r="D59" i="156"/>
  <c r="D88" i="156"/>
  <c r="D89" i="156"/>
  <c r="D96" i="156"/>
  <c r="D85" i="156"/>
  <c r="D86" i="156"/>
  <c r="D95" i="156"/>
  <c r="D58" i="156"/>
  <c r="E53" i="156"/>
  <c r="F170" i="2"/>
  <c r="I29" i="156" l="1"/>
  <c r="I37" i="156"/>
  <c r="C3" i="161" l="1"/>
  <c r="D3" i="161" s="1"/>
  <c r="E3" i="161" s="1"/>
  <c r="F3" i="161" s="1"/>
  <c r="G3" i="161" s="1"/>
  <c r="H3" i="161" s="1"/>
  <c r="I3" i="161" s="1"/>
  <c r="J3" i="161" s="1"/>
  <c r="H361" i="161"/>
  <c r="I361" i="161"/>
  <c r="I364" i="161" s="1"/>
  <c r="J361" i="161"/>
  <c r="I95" i="2" l="1"/>
  <c r="J95" i="2" l="1"/>
  <c r="C117" i="2"/>
  <c r="D117" i="2" s="1"/>
  <c r="E117" i="2" s="1"/>
  <c r="F117" i="2" s="1"/>
  <c r="G117" i="2" s="1"/>
  <c r="H117" i="2" s="1"/>
  <c r="I117" i="2" s="1"/>
  <c r="J117" i="2" s="1"/>
  <c r="U367" i="160" l="1"/>
  <c r="P365" i="160"/>
  <c r="R365" i="160" s="1"/>
  <c r="P364" i="160"/>
  <c r="R364" i="160" s="1"/>
  <c r="P363" i="160"/>
  <c r="R363" i="160" s="1"/>
  <c r="P362" i="160"/>
  <c r="R362" i="160" s="1"/>
  <c r="P361" i="160"/>
  <c r="R361" i="160" s="1"/>
  <c r="P360" i="160"/>
  <c r="R360" i="160" s="1"/>
  <c r="P359" i="160"/>
  <c r="R359" i="160" s="1"/>
  <c r="P358" i="160"/>
  <c r="R358" i="160" s="1"/>
  <c r="P357" i="160"/>
  <c r="R357" i="160" s="1"/>
  <c r="P356" i="160"/>
  <c r="R356" i="160" s="1"/>
  <c r="P355" i="160"/>
  <c r="R355" i="160" s="1"/>
  <c r="P354" i="160"/>
  <c r="R354" i="160" s="1"/>
  <c r="P353" i="160"/>
  <c r="R353" i="160" s="1"/>
  <c r="P352" i="160"/>
  <c r="R352" i="160" s="1"/>
  <c r="P351" i="160"/>
  <c r="R351" i="160" s="1"/>
  <c r="P350" i="160"/>
  <c r="R350" i="160" s="1"/>
  <c r="P349" i="160"/>
  <c r="R349" i="160" s="1"/>
  <c r="P348" i="160"/>
  <c r="R348" i="160" s="1"/>
  <c r="P347" i="160"/>
  <c r="R347" i="160" s="1"/>
  <c r="P346" i="160"/>
  <c r="R346" i="160" s="1"/>
  <c r="P345" i="160"/>
  <c r="R345" i="160" s="1"/>
  <c r="P344" i="160"/>
  <c r="R344" i="160" s="1"/>
  <c r="P343" i="160"/>
  <c r="R343" i="160" s="1"/>
  <c r="P342" i="160"/>
  <c r="R342" i="160" s="1"/>
  <c r="P341" i="160"/>
  <c r="R341" i="160" s="1"/>
  <c r="P340" i="160"/>
  <c r="R340" i="160" s="1"/>
  <c r="P339" i="160"/>
  <c r="R339" i="160" s="1"/>
  <c r="P338" i="160"/>
  <c r="R338" i="160" s="1"/>
  <c r="P337" i="160"/>
  <c r="R337" i="160" s="1"/>
  <c r="P336" i="160"/>
  <c r="R336" i="160" s="1"/>
  <c r="P335" i="160"/>
  <c r="R335" i="160" s="1"/>
  <c r="P334" i="160"/>
  <c r="R334" i="160" s="1"/>
  <c r="P333" i="160"/>
  <c r="R333" i="160" s="1"/>
  <c r="P332" i="160"/>
  <c r="R332" i="160" s="1"/>
  <c r="P331" i="160"/>
  <c r="R331" i="160" s="1"/>
  <c r="P330" i="160"/>
  <c r="R330" i="160" s="1"/>
  <c r="P329" i="160"/>
  <c r="R329" i="160" s="1"/>
  <c r="P328" i="160"/>
  <c r="R328" i="160" s="1"/>
  <c r="P327" i="160"/>
  <c r="R327" i="160" s="1"/>
  <c r="P326" i="160"/>
  <c r="R326" i="160" s="1"/>
  <c r="P325" i="160"/>
  <c r="R325" i="160" s="1"/>
  <c r="P324" i="160"/>
  <c r="R324" i="160" s="1"/>
  <c r="P323" i="160"/>
  <c r="R323" i="160" s="1"/>
  <c r="P322" i="160"/>
  <c r="R322" i="160" s="1"/>
  <c r="P321" i="160"/>
  <c r="R321" i="160" s="1"/>
  <c r="P320" i="160"/>
  <c r="R320" i="160" s="1"/>
  <c r="P319" i="160"/>
  <c r="R319" i="160" s="1"/>
  <c r="P318" i="160"/>
  <c r="R318" i="160" s="1"/>
  <c r="P317" i="160"/>
  <c r="R317" i="160" s="1"/>
  <c r="P316" i="160"/>
  <c r="R316" i="160" s="1"/>
  <c r="P315" i="160"/>
  <c r="R315" i="160" s="1"/>
  <c r="P314" i="160"/>
  <c r="R314" i="160" s="1"/>
  <c r="P313" i="160"/>
  <c r="R313" i="160" s="1"/>
  <c r="P312" i="160"/>
  <c r="R312" i="160" s="1"/>
  <c r="P311" i="160"/>
  <c r="R311" i="160" s="1"/>
  <c r="P310" i="160"/>
  <c r="R310" i="160" s="1"/>
  <c r="P309" i="160"/>
  <c r="R309" i="160" s="1"/>
  <c r="P308" i="160"/>
  <c r="R308" i="160" s="1"/>
  <c r="P307" i="160"/>
  <c r="R307" i="160" s="1"/>
  <c r="P306" i="160"/>
  <c r="R306" i="160" s="1"/>
  <c r="P305" i="160"/>
  <c r="R305" i="160" s="1"/>
  <c r="R304" i="160"/>
  <c r="P304" i="160"/>
  <c r="P303" i="160"/>
  <c r="R303" i="160" s="1"/>
  <c r="P302" i="160"/>
  <c r="R302" i="160" s="1"/>
  <c r="P301" i="160"/>
  <c r="R301" i="160" s="1"/>
  <c r="P300" i="160"/>
  <c r="R300" i="160" s="1"/>
  <c r="P299" i="160"/>
  <c r="R299" i="160" s="1"/>
  <c r="P298" i="160"/>
  <c r="R298" i="160" s="1"/>
  <c r="P297" i="160"/>
  <c r="R297" i="160" s="1"/>
  <c r="R296" i="160"/>
  <c r="P296" i="160"/>
  <c r="P295" i="160"/>
  <c r="R295" i="160" s="1"/>
  <c r="P294" i="160"/>
  <c r="R294" i="160" s="1"/>
  <c r="P293" i="160"/>
  <c r="R293" i="160" s="1"/>
  <c r="P292" i="160"/>
  <c r="R292" i="160" s="1"/>
  <c r="P291" i="160"/>
  <c r="R291" i="160" s="1"/>
  <c r="P290" i="160"/>
  <c r="R290" i="160" s="1"/>
  <c r="P289" i="160"/>
  <c r="R289" i="160" s="1"/>
  <c r="P288" i="160"/>
  <c r="R288" i="160" s="1"/>
  <c r="P287" i="160"/>
  <c r="R287" i="160" s="1"/>
  <c r="P286" i="160"/>
  <c r="R286" i="160" s="1"/>
  <c r="P285" i="160"/>
  <c r="R285" i="160" s="1"/>
  <c r="P284" i="160"/>
  <c r="R284" i="160" s="1"/>
  <c r="P283" i="160"/>
  <c r="R283" i="160" s="1"/>
  <c r="P282" i="160"/>
  <c r="R282" i="160" s="1"/>
  <c r="P281" i="160"/>
  <c r="R281" i="160" s="1"/>
  <c r="P280" i="160"/>
  <c r="R280" i="160" s="1"/>
  <c r="P279" i="160"/>
  <c r="R279" i="160" s="1"/>
  <c r="P278" i="160"/>
  <c r="R278" i="160" s="1"/>
  <c r="P277" i="160"/>
  <c r="R277" i="160" s="1"/>
  <c r="P276" i="160"/>
  <c r="R276" i="160" s="1"/>
  <c r="P275" i="160"/>
  <c r="R275" i="160" s="1"/>
  <c r="P274" i="160"/>
  <c r="R274" i="160" s="1"/>
  <c r="P273" i="160"/>
  <c r="R273" i="160" s="1"/>
  <c r="P272" i="160"/>
  <c r="R272" i="160" s="1"/>
  <c r="P271" i="160"/>
  <c r="R271" i="160" s="1"/>
  <c r="P270" i="160"/>
  <c r="R270" i="160" s="1"/>
  <c r="P269" i="160"/>
  <c r="R269" i="160" s="1"/>
  <c r="P268" i="160"/>
  <c r="R268" i="160" s="1"/>
  <c r="P267" i="160"/>
  <c r="R267" i="160" s="1"/>
  <c r="P266" i="160"/>
  <c r="R266" i="160" s="1"/>
  <c r="P265" i="160"/>
  <c r="R265" i="160" s="1"/>
  <c r="P264" i="160"/>
  <c r="R264" i="160" s="1"/>
  <c r="P263" i="160"/>
  <c r="R263" i="160" s="1"/>
  <c r="P262" i="160"/>
  <c r="R262" i="160" s="1"/>
  <c r="P261" i="160"/>
  <c r="R261" i="160" s="1"/>
  <c r="P260" i="160"/>
  <c r="R260" i="160" s="1"/>
  <c r="P259" i="160"/>
  <c r="R259" i="160" s="1"/>
  <c r="P258" i="160"/>
  <c r="R258" i="160" s="1"/>
  <c r="P257" i="160"/>
  <c r="R257" i="160" s="1"/>
  <c r="P256" i="160"/>
  <c r="R256" i="160" s="1"/>
  <c r="P255" i="160"/>
  <c r="R255" i="160" s="1"/>
  <c r="P254" i="160"/>
  <c r="R254" i="160" s="1"/>
  <c r="P253" i="160"/>
  <c r="R253" i="160" s="1"/>
  <c r="P252" i="160"/>
  <c r="R252" i="160" s="1"/>
  <c r="P251" i="160"/>
  <c r="R251" i="160" s="1"/>
  <c r="P250" i="160"/>
  <c r="R250" i="160" s="1"/>
  <c r="P249" i="160"/>
  <c r="R249" i="160" s="1"/>
  <c r="P248" i="160"/>
  <c r="R248" i="160" s="1"/>
  <c r="P247" i="160"/>
  <c r="R247" i="160" s="1"/>
  <c r="P246" i="160"/>
  <c r="R246" i="160" s="1"/>
  <c r="P245" i="160"/>
  <c r="R245" i="160" s="1"/>
  <c r="P244" i="160"/>
  <c r="R244" i="160" s="1"/>
  <c r="P243" i="160"/>
  <c r="R243" i="160" s="1"/>
  <c r="P242" i="160"/>
  <c r="R242" i="160" s="1"/>
  <c r="P241" i="160"/>
  <c r="R241" i="160" s="1"/>
  <c r="P240" i="160"/>
  <c r="R240" i="160" s="1"/>
  <c r="P239" i="160"/>
  <c r="R239" i="160" s="1"/>
  <c r="P238" i="160"/>
  <c r="R238" i="160" s="1"/>
  <c r="P237" i="160"/>
  <c r="R237" i="160" s="1"/>
  <c r="P236" i="160"/>
  <c r="R236" i="160" s="1"/>
  <c r="P235" i="160"/>
  <c r="R235" i="160" s="1"/>
  <c r="P234" i="160"/>
  <c r="R234" i="160" s="1"/>
  <c r="P233" i="160"/>
  <c r="R233" i="160" s="1"/>
  <c r="P232" i="160"/>
  <c r="R232" i="160" s="1"/>
  <c r="P231" i="160"/>
  <c r="R231" i="160" s="1"/>
  <c r="P230" i="160"/>
  <c r="R230" i="160" s="1"/>
  <c r="P229" i="160"/>
  <c r="R229" i="160" s="1"/>
  <c r="P228" i="160"/>
  <c r="R228" i="160" s="1"/>
  <c r="P227" i="160"/>
  <c r="R227" i="160" s="1"/>
  <c r="P226" i="160"/>
  <c r="R226" i="160" s="1"/>
  <c r="P225" i="160"/>
  <c r="R225" i="160" s="1"/>
  <c r="P224" i="160"/>
  <c r="R224" i="160" s="1"/>
  <c r="P223" i="160"/>
  <c r="R223" i="160" s="1"/>
  <c r="P222" i="160"/>
  <c r="R222" i="160" s="1"/>
  <c r="P221" i="160"/>
  <c r="R221" i="160" s="1"/>
  <c r="P220" i="160"/>
  <c r="R220" i="160" s="1"/>
  <c r="P219" i="160"/>
  <c r="R219" i="160" s="1"/>
  <c r="P218" i="160"/>
  <c r="R218" i="160" s="1"/>
  <c r="P217" i="160"/>
  <c r="R217" i="160" s="1"/>
  <c r="P216" i="160"/>
  <c r="R216" i="160" s="1"/>
  <c r="P215" i="160"/>
  <c r="R215" i="160" s="1"/>
  <c r="P214" i="160"/>
  <c r="R214" i="160" s="1"/>
  <c r="P213" i="160"/>
  <c r="R213" i="160" s="1"/>
  <c r="P212" i="160"/>
  <c r="R212" i="160" s="1"/>
  <c r="P211" i="160"/>
  <c r="R211" i="160" s="1"/>
  <c r="P210" i="160"/>
  <c r="R210" i="160" s="1"/>
  <c r="P209" i="160"/>
  <c r="R209" i="160" s="1"/>
  <c r="P208" i="160"/>
  <c r="R208" i="160" s="1"/>
  <c r="P207" i="160"/>
  <c r="R207" i="160" s="1"/>
  <c r="P206" i="160"/>
  <c r="R206" i="160" s="1"/>
  <c r="P205" i="160"/>
  <c r="R205" i="160" s="1"/>
  <c r="P204" i="160"/>
  <c r="R204" i="160" s="1"/>
  <c r="P203" i="160"/>
  <c r="R203" i="160" s="1"/>
  <c r="P202" i="160"/>
  <c r="R202" i="160" s="1"/>
  <c r="P201" i="160"/>
  <c r="R201" i="160" s="1"/>
  <c r="P200" i="160"/>
  <c r="R200" i="160" s="1"/>
  <c r="P199" i="160"/>
  <c r="R199" i="160" s="1"/>
  <c r="P198" i="160"/>
  <c r="R198" i="160" s="1"/>
  <c r="P197" i="160"/>
  <c r="R197" i="160" s="1"/>
  <c r="P196" i="160"/>
  <c r="R196" i="160" s="1"/>
  <c r="P195" i="160"/>
  <c r="R195" i="160" s="1"/>
  <c r="P194" i="160"/>
  <c r="R194" i="160" s="1"/>
  <c r="P193" i="160"/>
  <c r="R193" i="160" s="1"/>
  <c r="P192" i="160"/>
  <c r="R192" i="160" s="1"/>
  <c r="P191" i="160"/>
  <c r="R191" i="160" s="1"/>
  <c r="P190" i="160"/>
  <c r="R190" i="160" s="1"/>
  <c r="P189" i="160"/>
  <c r="R189" i="160" s="1"/>
  <c r="P188" i="160"/>
  <c r="R188" i="160" s="1"/>
  <c r="P187" i="160"/>
  <c r="R187" i="160" s="1"/>
  <c r="P186" i="160"/>
  <c r="R186" i="160" s="1"/>
  <c r="P185" i="160"/>
  <c r="R185" i="160" s="1"/>
  <c r="P184" i="160"/>
  <c r="R184" i="160" s="1"/>
  <c r="P183" i="160"/>
  <c r="R183" i="160" s="1"/>
  <c r="P182" i="160"/>
  <c r="R182" i="160" s="1"/>
  <c r="P181" i="160"/>
  <c r="R181" i="160" s="1"/>
  <c r="P180" i="160"/>
  <c r="R180" i="160" s="1"/>
  <c r="P179" i="160"/>
  <c r="R179" i="160" s="1"/>
  <c r="P178" i="160"/>
  <c r="R178" i="160" s="1"/>
  <c r="P177" i="160"/>
  <c r="R177" i="160" s="1"/>
  <c r="P176" i="160"/>
  <c r="R176" i="160" s="1"/>
  <c r="P175" i="160"/>
  <c r="R175" i="160" s="1"/>
  <c r="P174" i="160"/>
  <c r="R174" i="160" s="1"/>
  <c r="P173" i="160"/>
  <c r="R173" i="160" s="1"/>
  <c r="P172" i="160"/>
  <c r="R172" i="160" s="1"/>
  <c r="P171" i="160"/>
  <c r="R171" i="160" s="1"/>
  <c r="P170" i="160"/>
  <c r="R170" i="160" s="1"/>
  <c r="P169" i="160"/>
  <c r="R169" i="160" s="1"/>
  <c r="P168" i="160"/>
  <c r="R168" i="160" s="1"/>
  <c r="P167" i="160"/>
  <c r="R167" i="160" s="1"/>
  <c r="P166" i="160"/>
  <c r="R166" i="160" s="1"/>
  <c r="P165" i="160"/>
  <c r="R165" i="160" s="1"/>
  <c r="P164" i="160"/>
  <c r="R164" i="160" s="1"/>
  <c r="P163" i="160"/>
  <c r="R163" i="160" s="1"/>
  <c r="P162" i="160"/>
  <c r="R162" i="160" s="1"/>
  <c r="P161" i="160"/>
  <c r="R161" i="160" s="1"/>
  <c r="P160" i="160"/>
  <c r="R160" i="160" s="1"/>
  <c r="P159" i="160"/>
  <c r="R159" i="160" s="1"/>
  <c r="P158" i="160"/>
  <c r="R158" i="160" s="1"/>
  <c r="P157" i="160"/>
  <c r="R157" i="160" s="1"/>
  <c r="P156" i="160"/>
  <c r="R156" i="160" s="1"/>
  <c r="P155" i="160"/>
  <c r="R155" i="160" s="1"/>
  <c r="P154" i="160"/>
  <c r="R154" i="160" s="1"/>
  <c r="P153" i="160"/>
  <c r="R153" i="160" s="1"/>
  <c r="P152" i="160"/>
  <c r="R152" i="160" s="1"/>
  <c r="P151" i="160"/>
  <c r="R151" i="160" s="1"/>
  <c r="P150" i="160"/>
  <c r="R150" i="160" s="1"/>
  <c r="P149" i="160"/>
  <c r="R149" i="160" s="1"/>
  <c r="P148" i="160"/>
  <c r="R148" i="160" s="1"/>
  <c r="P147" i="160"/>
  <c r="R147" i="160" s="1"/>
  <c r="P146" i="160"/>
  <c r="R146" i="160" s="1"/>
  <c r="P145" i="160"/>
  <c r="R145" i="160" s="1"/>
  <c r="P144" i="160"/>
  <c r="R144" i="160" s="1"/>
  <c r="P143" i="160"/>
  <c r="R143" i="160" s="1"/>
  <c r="P142" i="160"/>
  <c r="R142" i="160" s="1"/>
  <c r="P141" i="160"/>
  <c r="R141" i="160" s="1"/>
  <c r="P140" i="160"/>
  <c r="R140" i="160" s="1"/>
  <c r="P139" i="160"/>
  <c r="R139" i="160" s="1"/>
  <c r="P138" i="160"/>
  <c r="R138" i="160" s="1"/>
  <c r="P137" i="160"/>
  <c r="R137" i="160" s="1"/>
  <c r="P136" i="160"/>
  <c r="R136" i="160" s="1"/>
  <c r="P135" i="160"/>
  <c r="R135" i="160" s="1"/>
  <c r="P134" i="160"/>
  <c r="R134" i="160" s="1"/>
  <c r="P133" i="160"/>
  <c r="R133" i="160" s="1"/>
  <c r="P132" i="160"/>
  <c r="R132" i="160" s="1"/>
  <c r="P131" i="160"/>
  <c r="R131" i="160" s="1"/>
  <c r="P130" i="160"/>
  <c r="R130" i="160" s="1"/>
  <c r="P129" i="160"/>
  <c r="R129" i="160" s="1"/>
  <c r="P128" i="160"/>
  <c r="R128" i="160" s="1"/>
  <c r="P127" i="160"/>
  <c r="R127" i="160" s="1"/>
  <c r="P126" i="160"/>
  <c r="R126" i="160" s="1"/>
  <c r="P125" i="160"/>
  <c r="R125" i="160" s="1"/>
  <c r="P124" i="160"/>
  <c r="R124" i="160" s="1"/>
  <c r="P123" i="160"/>
  <c r="R123" i="160" s="1"/>
  <c r="P122" i="160"/>
  <c r="R122" i="160" s="1"/>
  <c r="P121" i="160"/>
  <c r="R121" i="160" s="1"/>
  <c r="P120" i="160"/>
  <c r="R120" i="160" s="1"/>
  <c r="P119" i="160"/>
  <c r="R119" i="160" s="1"/>
  <c r="P118" i="160"/>
  <c r="R118" i="160" s="1"/>
  <c r="P117" i="160"/>
  <c r="R117" i="160" s="1"/>
  <c r="P116" i="160"/>
  <c r="R116" i="160" s="1"/>
  <c r="P115" i="160"/>
  <c r="R115" i="160" s="1"/>
  <c r="P114" i="160"/>
  <c r="R114" i="160" s="1"/>
  <c r="P113" i="160"/>
  <c r="R113" i="160" s="1"/>
  <c r="P112" i="160"/>
  <c r="R112" i="160" s="1"/>
  <c r="P111" i="160"/>
  <c r="R111" i="160" s="1"/>
  <c r="P110" i="160"/>
  <c r="R110" i="160" s="1"/>
  <c r="P109" i="160"/>
  <c r="R109" i="160" s="1"/>
  <c r="P108" i="160"/>
  <c r="R108" i="160" s="1"/>
  <c r="P107" i="160"/>
  <c r="R107" i="160" s="1"/>
  <c r="P106" i="160"/>
  <c r="R106" i="160" s="1"/>
  <c r="P105" i="160"/>
  <c r="R105" i="160" s="1"/>
  <c r="P104" i="160"/>
  <c r="R104" i="160" s="1"/>
  <c r="P103" i="160"/>
  <c r="R103" i="160" s="1"/>
  <c r="P102" i="160"/>
  <c r="R102" i="160" s="1"/>
  <c r="P101" i="160"/>
  <c r="R101" i="160" s="1"/>
  <c r="P100" i="160"/>
  <c r="R100" i="160" s="1"/>
  <c r="P99" i="160"/>
  <c r="R99" i="160" s="1"/>
  <c r="P98" i="160"/>
  <c r="R98" i="160" s="1"/>
  <c r="P97" i="160"/>
  <c r="R97" i="160" s="1"/>
  <c r="P96" i="160"/>
  <c r="R96" i="160" s="1"/>
  <c r="S95" i="160"/>
  <c r="P95" i="160"/>
  <c r="P94" i="160"/>
  <c r="R94" i="160" s="1"/>
  <c r="P93" i="160"/>
  <c r="R93" i="160" s="1"/>
  <c r="P92" i="160"/>
  <c r="R92" i="160" s="1"/>
  <c r="P91" i="160"/>
  <c r="R91" i="160" s="1"/>
  <c r="P90" i="160"/>
  <c r="R90" i="160" s="1"/>
  <c r="P89" i="160"/>
  <c r="R89" i="160" s="1"/>
  <c r="P88" i="160"/>
  <c r="R88" i="160" s="1"/>
  <c r="P87" i="160"/>
  <c r="R87" i="160" s="1"/>
  <c r="P86" i="160"/>
  <c r="R86" i="160" s="1"/>
  <c r="P85" i="160"/>
  <c r="R85" i="160" s="1"/>
  <c r="P84" i="160"/>
  <c r="R84" i="160" s="1"/>
  <c r="P83" i="160"/>
  <c r="R83" i="160" s="1"/>
  <c r="P82" i="160"/>
  <c r="R82" i="160" s="1"/>
  <c r="P81" i="160"/>
  <c r="R81" i="160" s="1"/>
  <c r="P80" i="160"/>
  <c r="R80" i="160" s="1"/>
  <c r="P79" i="160"/>
  <c r="R79" i="160" s="1"/>
  <c r="P78" i="160"/>
  <c r="R78" i="160" s="1"/>
  <c r="P77" i="160"/>
  <c r="R77" i="160" s="1"/>
  <c r="P76" i="160"/>
  <c r="R76" i="160" s="1"/>
  <c r="P75" i="160"/>
  <c r="R75" i="160" s="1"/>
  <c r="P74" i="160"/>
  <c r="R74" i="160" s="1"/>
  <c r="P73" i="160"/>
  <c r="R73" i="160" s="1"/>
  <c r="P72" i="160"/>
  <c r="R72" i="160" s="1"/>
  <c r="P71" i="160"/>
  <c r="R71" i="160" s="1"/>
  <c r="P70" i="160"/>
  <c r="R70" i="160" s="1"/>
  <c r="P69" i="160"/>
  <c r="R69" i="160" s="1"/>
  <c r="P68" i="160"/>
  <c r="R68" i="160" s="1"/>
  <c r="P67" i="160"/>
  <c r="R67" i="160" s="1"/>
  <c r="P66" i="160"/>
  <c r="R66" i="160" s="1"/>
  <c r="P65" i="160"/>
  <c r="R65" i="160" s="1"/>
  <c r="P64" i="160"/>
  <c r="R64" i="160" s="1"/>
  <c r="P63" i="160"/>
  <c r="R63" i="160" s="1"/>
  <c r="P62" i="160"/>
  <c r="R62" i="160" s="1"/>
  <c r="P61" i="160"/>
  <c r="R61" i="160" s="1"/>
  <c r="P60" i="160"/>
  <c r="R60" i="160" s="1"/>
  <c r="P59" i="160"/>
  <c r="R59" i="160" s="1"/>
  <c r="P58" i="160"/>
  <c r="R58" i="160" s="1"/>
  <c r="P57" i="160"/>
  <c r="R57" i="160" s="1"/>
  <c r="P56" i="160"/>
  <c r="R56" i="160" s="1"/>
  <c r="P55" i="160"/>
  <c r="R55" i="160" s="1"/>
  <c r="P54" i="160"/>
  <c r="R54" i="160" s="1"/>
  <c r="P53" i="160"/>
  <c r="R53" i="160" s="1"/>
  <c r="P52" i="160"/>
  <c r="R52" i="160" s="1"/>
  <c r="P51" i="160"/>
  <c r="R51" i="160" s="1"/>
  <c r="P50" i="160"/>
  <c r="R50" i="160" s="1"/>
  <c r="P49" i="160"/>
  <c r="R49" i="160" s="1"/>
  <c r="P48" i="160"/>
  <c r="R48" i="160" s="1"/>
  <c r="P47" i="160"/>
  <c r="R47" i="160" s="1"/>
  <c r="P46" i="160"/>
  <c r="R46" i="160" s="1"/>
  <c r="P45" i="160"/>
  <c r="R45" i="160" s="1"/>
  <c r="P44" i="160"/>
  <c r="R44" i="160" s="1"/>
  <c r="P43" i="160"/>
  <c r="R43" i="160" s="1"/>
  <c r="P42" i="160"/>
  <c r="R42" i="160" s="1"/>
  <c r="P41" i="160"/>
  <c r="R41" i="160" s="1"/>
  <c r="P40" i="160"/>
  <c r="R40" i="160" s="1"/>
  <c r="P39" i="160"/>
  <c r="R39" i="160" s="1"/>
  <c r="P38" i="160"/>
  <c r="R38" i="160" s="1"/>
  <c r="P37" i="160"/>
  <c r="R37" i="160" s="1"/>
  <c r="P36" i="160"/>
  <c r="R36" i="160" s="1"/>
  <c r="P35" i="160"/>
  <c r="R35" i="160" s="1"/>
  <c r="P34" i="160"/>
  <c r="R34" i="160" s="1"/>
  <c r="P33" i="160"/>
  <c r="R33" i="160" s="1"/>
  <c r="P32" i="160"/>
  <c r="R32" i="160" s="1"/>
  <c r="P31" i="160"/>
  <c r="R31" i="160" s="1"/>
  <c r="P30" i="160"/>
  <c r="R30" i="160" s="1"/>
  <c r="P29" i="160"/>
  <c r="R29" i="160" s="1"/>
  <c r="P28" i="160"/>
  <c r="R28" i="160" s="1"/>
  <c r="P27" i="160"/>
  <c r="R27" i="160" s="1"/>
  <c r="P26" i="160"/>
  <c r="R26" i="160" s="1"/>
  <c r="P25" i="160"/>
  <c r="R25" i="160" s="1"/>
  <c r="P24" i="160"/>
  <c r="R24" i="160" s="1"/>
  <c r="P23" i="160"/>
  <c r="R23" i="160" s="1"/>
  <c r="P22" i="160"/>
  <c r="R22" i="160" s="1"/>
  <c r="P21" i="160"/>
  <c r="R21" i="160" s="1"/>
  <c r="P20" i="160"/>
  <c r="R20" i="160" s="1"/>
  <c r="P19" i="160"/>
  <c r="R19" i="160" s="1"/>
  <c r="P18" i="160"/>
  <c r="R18" i="160" s="1"/>
  <c r="P17" i="160"/>
  <c r="R17" i="160" s="1"/>
  <c r="P16" i="160"/>
  <c r="R16" i="160" s="1"/>
  <c r="P15" i="160"/>
  <c r="R15" i="160" s="1"/>
  <c r="P14" i="160"/>
  <c r="R14" i="160" s="1"/>
  <c r="P13" i="160"/>
  <c r="R13" i="160" s="1"/>
  <c r="P12" i="160"/>
  <c r="R12" i="160" s="1"/>
  <c r="P11" i="160"/>
  <c r="R11" i="160" s="1"/>
  <c r="P10" i="160"/>
  <c r="S367" i="160" l="1"/>
  <c r="R95" i="160"/>
  <c r="P367" i="160"/>
  <c r="R10" i="160"/>
  <c r="U367" i="158"/>
  <c r="U367" i="153"/>
  <c r="CQ361" i="152"/>
  <c r="R367" i="160" l="1"/>
  <c r="BY361" i="136" l="1"/>
  <c r="BX361" i="136"/>
  <c r="BW361" i="136"/>
  <c r="CJ361" i="145"/>
  <c r="D93" i="2"/>
  <c r="E93" i="2"/>
  <c r="C93" i="2"/>
  <c r="F96" i="2" l="1"/>
  <c r="G96" i="2" l="1"/>
  <c r="H18" i="2" s="1"/>
  <c r="H17" i="2"/>
  <c r="H93" i="2" s="1"/>
  <c r="H92" i="2" s="1"/>
  <c r="E96" i="2"/>
  <c r="G97" i="2" l="1"/>
  <c r="F97" i="2"/>
  <c r="D96" i="2"/>
  <c r="E97" i="2" s="1"/>
  <c r="C96" i="2" l="1"/>
  <c r="D97" i="2" l="1"/>
  <c r="B96" i="2"/>
  <c r="C97" i="2" l="1"/>
  <c r="M51" i="17"/>
  <c r="G48" i="17"/>
  <c r="G44"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I22" i="20" l="1"/>
  <c r="I35" i="20" s="1"/>
  <c r="J35" i="20" s="1"/>
  <c r="G27" i="20"/>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33"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U5" i="154"/>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S4"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Q14" i="20"/>
  <c r="N14" i="20"/>
  <c r="G56" i="3" l="1"/>
  <c r="E80" i="71" l="1"/>
  <c r="E81" i="71"/>
  <c r="G52" i="3" l="1"/>
  <c r="G53" i="3"/>
  <c r="G54" i="3"/>
  <c r="G55" i="3"/>
  <c r="CJ361" i="152"/>
  <c r="P11" i="158" l="1"/>
  <c r="P12" i="158"/>
  <c r="P13" i="158"/>
  <c r="P14" i="158"/>
  <c r="P15" i="158"/>
  <c r="P16" i="158"/>
  <c r="R16" i="158" s="1"/>
  <c r="P17" i="158"/>
  <c r="R17" i="158" s="1"/>
  <c r="P18" i="158"/>
  <c r="R18" i="158" s="1"/>
  <c r="P19" i="158"/>
  <c r="P20" i="158"/>
  <c r="P21" i="158"/>
  <c r="P22" i="158"/>
  <c r="R22" i="158" s="1"/>
  <c r="P23" i="158"/>
  <c r="P24" i="158"/>
  <c r="R24" i="158" s="1"/>
  <c r="P25" i="158"/>
  <c r="R25" i="158" s="1"/>
  <c r="P26" i="158"/>
  <c r="R26" i="158" s="1"/>
  <c r="P27" i="158"/>
  <c r="P28" i="158"/>
  <c r="P29" i="158"/>
  <c r="P30" i="158"/>
  <c r="P31" i="158"/>
  <c r="P32" i="158"/>
  <c r="R32" i="158" s="1"/>
  <c r="P33" i="158"/>
  <c r="R33" i="158" s="1"/>
  <c r="P34" i="158"/>
  <c r="R34" i="158" s="1"/>
  <c r="P35" i="158"/>
  <c r="P36" i="158"/>
  <c r="P37" i="158"/>
  <c r="P38" i="158"/>
  <c r="R38" i="158" s="1"/>
  <c r="P39" i="158"/>
  <c r="P40" i="158"/>
  <c r="R40" i="158" s="1"/>
  <c r="P41" i="158"/>
  <c r="R41" i="158" s="1"/>
  <c r="P42" i="158"/>
  <c r="R42" i="158" s="1"/>
  <c r="P43" i="158"/>
  <c r="P44" i="158"/>
  <c r="P45" i="158"/>
  <c r="P46" i="158"/>
  <c r="P47" i="158"/>
  <c r="P48" i="158"/>
  <c r="R48" i="158" s="1"/>
  <c r="P49" i="158"/>
  <c r="R49" i="158" s="1"/>
  <c r="P50" i="158"/>
  <c r="R50" i="158" s="1"/>
  <c r="P51" i="158"/>
  <c r="P52" i="158"/>
  <c r="P53" i="158"/>
  <c r="P54" i="158"/>
  <c r="R54" i="158" s="1"/>
  <c r="P55" i="158"/>
  <c r="P56" i="158"/>
  <c r="R56" i="158" s="1"/>
  <c r="P57" i="158"/>
  <c r="R57" i="158" s="1"/>
  <c r="P58" i="158"/>
  <c r="R58" i="158" s="1"/>
  <c r="P59" i="158"/>
  <c r="P60" i="158"/>
  <c r="P61" i="158"/>
  <c r="P62" i="158"/>
  <c r="P63" i="158"/>
  <c r="P64" i="158"/>
  <c r="R64" i="158" s="1"/>
  <c r="P65" i="158"/>
  <c r="R65" i="158" s="1"/>
  <c r="P66" i="158"/>
  <c r="R66" i="158" s="1"/>
  <c r="P67" i="158"/>
  <c r="P68" i="158"/>
  <c r="P69" i="158"/>
  <c r="P70" i="158"/>
  <c r="R70" i="158" s="1"/>
  <c r="P71" i="158"/>
  <c r="P72" i="158"/>
  <c r="R72" i="158" s="1"/>
  <c r="P73" i="158"/>
  <c r="R73" i="158" s="1"/>
  <c r="P74" i="158"/>
  <c r="R74" i="158" s="1"/>
  <c r="P75" i="158"/>
  <c r="P76" i="158"/>
  <c r="P77" i="158"/>
  <c r="P78" i="158"/>
  <c r="P79" i="158"/>
  <c r="P80" i="158"/>
  <c r="R80" i="158" s="1"/>
  <c r="P81" i="158"/>
  <c r="R81" i="158" s="1"/>
  <c r="P82" i="158"/>
  <c r="R82" i="158" s="1"/>
  <c r="P83" i="158"/>
  <c r="R83" i="158" s="1"/>
  <c r="P84" i="158"/>
  <c r="P85" i="158"/>
  <c r="P86" i="158"/>
  <c r="P87" i="158"/>
  <c r="P88" i="158"/>
  <c r="R88" i="158" s="1"/>
  <c r="P89" i="158"/>
  <c r="R89" i="158" s="1"/>
  <c r="P90" i="158"/>
  <c r="R90" i="158" s="1"/>
  <c r="P91" i="158"/>
  <c r="P92" i="158"/>
  <c r="P93" i="158"/>
  <c r="P94" i="158"/>
  <c r="P95" i="158"/>
  <c r="P96" i="158"/>
  <c r="R96" i="158" s="1"/>
  <c r="P97" i="158"/>
  <c r="R97" i="158" s="1"/>
  <c r="P98" i="158"/>
  <c r="R98" i="158" s="1"/>
  <c r="P99" i="158"/>
  <c r="R99" i="158" s="1"/>
  <c r="P100" i="158"/>
  <c r="P101" i="158"/>
  <c r="P102" i="158"/>
  <c r="R102" i="158" s="1"/>
  <c r="P103" i="158"/>
  <c r="P104" i="158"/>
  <c r="R104" i="158" s="1"/>
  <c r="P105" i="158"/>
  <c r="R105" i="158" s="1"/>
  <c r="P106" i="158"/>
  <c r="R106" i="158" s="1"/>
  <c r="P107" i="158"/>
  <c r="P108" i="158"/>
  <c r="P109" i="158"/>
  <c r="P110" i="158"/>
  <c r="R110" i="158" s="1"/>
  <c r="P111" i="158"/>
  <c r="P112" i="158"/>
  <c r="R112" i="158" s="1"/>
  <c r="P113" i="158"/>
  <c r="R113" i="158" s="1"/>
  <c r="P114" i="158"/>
  <c r="R114" i="158" s="1"/>
  <c r="P115" i="158"/>
  <c r="R115" i="158" s="1"/>
  <c r="P116" i="158"/>
  <c r="P117" i="158"/>
  <c r="P118" i="158"/>
  <c r="R118" i="158" s="1"/>
  <c r="P119" i="158"/>
  <c r="P120" i="158"/>
  <c r="R120" i="158" s="1"/>
  <c r="P121" i="158"/>
  <c r="R121" i="158" s="1"/>
  <c r="P122" i="158"/>
  <c r="R122" i="158" s="1"/>
  <c r="P123" i="158"/>
  <c r="R123" i="158" s="1"/>
  <c r="P124" i="158"/>
  <c r="P125" i="158"/>
  <c r="P126" i="158"/>
  <c r="R126" i="158" s="1"/>
  <c r="P127" i="158"/>
  <c r="P128" i="158"/>
  <c r="R128" i="158" s="1"/>
  <c r="P129" i="158"/>
  <c r="R129" i="158" s="1"/>
  <c r="P130" i="158"/>
  <c r="R130" i="158" s="1"/>
  <c r="P131" i="158"/>
  <c r="R131" i="158" s="1"/>
  <c r="P132" i="158"/>
  <c r="P133" i="158"/>
  <c r="P134" i="158"/>
  <c r="R134" i="158" s="1"/>
  <c r="P135" i="158"/>
  <c r="P136" i="158"/>
  <c r="R136" i="158" s="1"/>
  <c r="P137" i="158"/>
  <c r="R137" i="158" s="1"/>
  <c r="P138" i="158"/>
  <c r="R138" i="158" s="1"/>
  <c r="P139" i="158"/>
  <c r="R139" i="158" s="1"/>
  <c r="P140" i="158"/>
  <c r="P141" i="158"/>
  <c r="P142" i="158"/>
  <c r="R142" i="158" s="1"/>
  <c r="P143" i="158"/>
  <c r="P144" i="158"/>
  <c r="R144" i="158" s="1"/>
  <c r="P145" i="158"/>
  <c r="R145" i="158" s="1"/>
  <c r="P146" i="158"/>
  <c r="R146" i="158" s="1"/>
  <c r="P147" i="158"/>
  <c r="R147" i="158" s="1"/>
  <c r="P148" i="158"/>
  <c r="P149" i="158"/>
  <c r="P150" i="158"/>
  <c r="R150" i="158" s="1"/>
  <c r="P151" i="158"/>
  <c r="P152" i="158"/>
  <c r="R152" i="158" s="1"/>
  <c r="P153" i="158"/>
  <c r="R153" i="158" s="1"/>
  <c r="P154" i="158"/>
  <c r="R154" i="158" s="1"/>
  <c r="P155" i="158"/>
  <c r="R155" i="158" s="1"/>
  <c r="P156" i="158"/>
  <c r="P157" i="158"/>
  <c r="P158" i="158"/>
  <c r="R158" i="158" s="1"/>
  <c r="P159" i="158"/>
  <c r="P160" i="158"/>
  <c r="R160" i="158" s="1"/>
  <c r="P161" i="158"/>
  <c r="R161" i="158" s="1"/>
  <c r="P162" i="158"/>
  <c r="R162" i="158" s="1"/>
  <c r="P163" i="158"/>
  <c r="R163" i="158" s="1"/>
  <c r="P164" i="158"/>
  <c r="P165" i="158"/>
  <c r="P166" i="158"/>
  <c r="R166" i="158" s="1"/>
  <c r="P167" i="158"/>
  <c r="P168" i="158"/>
  <c r="R168" i="158" s="1"/>
  <c r="P169" i="158"/>
  <c r="R169" i="158" s="1"/>
  <c r="P170" i="158"/>
  <c r="R170" i="158" s="1"/>
  <c r="P171" i="158"/>
  <c r="R171" i="158" s="1"/>
  <c r="P172" i="158"/>
  <c r="P173" i="158"/>
  <c r="P174" i="158"/>
  <c r="R174" i="158" s="1"/>
  <c r="P175" i="158"/>
  <c r="P176" i="158"/>
  <c r="R176" i="158" s="1"/>
  <c r="P177" i="158"/>
  <c r="R177" i="158" s="1"/>
  <c r="P178" i="158"/>
  <c r="R178" i="158" s="1"/>
  <c r="P179" i="158"/>
  <c r="R179" i="158" s="1"/>
  <c r="P180" i="158"/>
  <c r="P181" i="158"/>
  <c r="P182" i="158"/>
  <c r="R182" i="158" s="1"/>
  <c r="P183" i="158"/>
  <c r="P184" i="158"/>
  <c r="R184" i="158" s="1"/>
  <c r="P185" i="158"/>
  <c r="R185" i="158" s="1"/>
  <c r="P186" i="158"/>
  <c r="R186" i="158" s="1"/>
  <c r="P187" i="158"/>
  <c r="R187" i="158" s="1"/>
  <c r="P188" i="158"/>
  <c r="P189" i="158"/>
  <c r="P190" i="158"/>
  <c r="R190" i="158" s="1"/>
  <c r="P191" i="158"/>
  <c r="P192" i="158"/>
  <c r="R192" i="158" s="1"/>
  <c r="P193" i="158"/>
  <c r="R193" i="158" s="1"/>
  <c r="P194" i="158"/>
  <c r="R194" i="158" s="1"/>
  <c r="P195" i="158"/>
  <c r="R195" i="158" s="1"/>
  <c r="P196" i="158"/>
  <c r="P197" i="158"/>
  <c r="P198" i="158"/>
  <c r="R198" i="158" s="1"/>
  <c r="P199" i="158"/>
  <c r="P200" i="158"/>
  <c r="R200" i="158" s="1"/>
  <c r="P201" i="158"/>
  <c r="R201" i="158" s="1"/>
  <c r="P202" i="158"/>
  <c r="R202" i="158" s="1"/>
  <c r="P203" i="158"/>
  <c r="R203" i="158" s="1"/>
  <c r="P204" i="158"/>
  <c r="P205" i="158"/>
  <c r="P206" i="158"/>
  <c r="R206" i="158" s="1"/>
  <c r="P207" i="158"/>
  <c r="P208" i="158"/>
  <c r="R208" i="158" s="1"/>
  <c r="P209" i="158"/>
  <c r="R209" i="158" s="1"/>
  <c r="P210" i="158"/>
  <c r="R210" i="158" s="1"/>
  <c r="P211" i="158"/>
  <c r="R211" i="158" s="1"/>
  <c r="P212" i="158"/>
  <c r="P213" i="158"/>
  <c r="P214" i="158"/>
  <c r="R214" i="158" s="1"/>
  <c r="P215" i="158"/>
  <c r="P216" i="158"/>
  <c r="R216" i="158" s="1"/>
  <c r="P217" i="158"/>
  <c r="R217" i="158" s="1"/>
  <c r="P218" i="158"/>
  <c r="R218" i="158" s="1"/>
  <c r="P219" i="158"/>
  <c r="R219" i="158" s="1"/>
  <c r="P220" i="158"/>
  <c r="P221" i="158"/>
  <c r="P222" i="158"/>
  <c r="R222" i="158" s="1"/>
  <c r="P223" i="158"/>
  <c r="P224" i="158"/>
  <c r="R224" i="158" s="1"/>
  <c r="P225" i="158"/>
  <c r="R225" i="158" s="1"/>
  <c r="P226" i="158"/>
  <c r="R226" i="158" s="1"/>
  <c r="P227" i="158"/>
  <c r="R227" i="158" s="1"/>
  <c r="P228" i="158"/>
  <c r="P229" i="158"/>
  <c r="P230" i="158"/>
  <c r="R230" i="158" s="1"/>
  <c r="P231" i="158"/>
  <c r="P232" i="158"/>
  <c r="R232" i="158" s="1"/>
  <c r="P233" i="158"/>
  <c r="R233" i="158" s="1"/>
  <c r="P234" i="158"/>
  <c r="R234" i="158" s="1"/>
  <c r="P235" i="158"/>
  <c r="R235" i="158" s="1"/>
  <c r="P236" i="158"/>
  <c r="P237" i="158"/>
  <c r="P238" i="158"/>
  <c r="R238" i="158" s="1"/>
  <c r="P239" i="158"/>
  <c r="P240" i="158"/>
  <c r="R240" i="158" s="1"/>
  <c r="P241" i="158"/>
  <c r="R241" i="158" s="1"/>
  <c r="P242" i="158"/>
  <c r="R242" i="158" s="1"/>
  <c r="P243" i="158"/>
  <c r="R243" i="158" s="1"/>
  <c r="P244" i="158"/>
  <c r="P245" i="158"/>
  <c r="P246" i="158"/>
  <c r="R246" i="158" s="1"/>
  <c r="P247" i="158"/>
  <c r="P248" i="158"/>
  <c r="R248" i="158" s="1"/>
  <c r="P249" i="158"/>
  <c r="R249" i="158" s="1"/>
  <c r="P250" i="158"/>
  <c r="R250" i="158" s="1"/>
  <c r="P251" i="158"/>
  <c r="R251" i="158" s="1"/>
  <c r="P252" i="158"/>
  <c r="P253" i="158"/>
  <c r="P254" i="158"/>
  <c r="R254" i="158" s="1"/>
  <c r="P255" i="158"/>
  <c r="P256" i="158"/>
  <c r="R256" i="158" s="1"/>
  <c r="P257" i="158"/>
  <c r="R257" i="158" s="1"/>
  <c r="P258" i="158"/>
  <c r="R258" i="158" s="1"/>
  <c r="P259" i="158"/>
  <c r="R259" i="158" s="1"/>
  <c r="P260" i="158"/>
  <c r="P261" i="158"/>
  <c r="P262" i="158"/>
  <c r="R262" i="158" s="1"/>
  <c r="P263" i="158"/>
  <c r="P264" i="158"/>
  <c r="R264" i="158" s="1"/>
  <c r="P265" i="158"/>
  <c r="R265" i="158" s="1"/>
  <c r="P266" i="158"/>
  <c r="R266" i="158" s="1"/>
  <c r="P267" i="158"/>
  <c r="R267" i="158" s="1"/>
  <c r="P268" i="158"/>
  <c r="P269" i="158"/>
  <c r="P270" i="158"/>
  <c r="R270" i="158" s="1"/>
  <c r="P271" i="158"/>
  <c r="P272" i="158"/>
  <c r="R272" i="158" s="1"/>
  <c r="P273" i="158"/>
  <c r="R273" i="158" s="1"/>
  <c r="P274" i="158"/>
  <c r="R274" i="158" s="1"/>
  <c r="P275" i="158"/>
  <c r="R275" i="158" s="1"/>
  <c r="P276" i="158"/>
  <c r="P277" i="158"/>
  <c r="P278" i="158"/>
  <c r="R278" i="158" s="1"/>
  <c r="P279" i="158"/>
  <c r="P280" i="158"/>
  <c r="R280" i="158" s="1"/>
  <c r="P281" i="158"/>
  <c r="R281" i="158" s="1"/>
  <c r="P282" i="158"/>
  <c r="R282" i="158" s="1"/>
  <c r="P283" i="158"/>
  <c r="R283" i="158" s="1"/>
  <c r="P284" i="158"/>
  <c r="P285" i="158"/>
  <c r="P286" i="158"/>
  <c r="R286" i="158" s="1"/>
  <c r="P287" i="158"/>
  <c r="P288" i="158"/>
  <c r="R288" i="158" s="1"/>
  <c r="P289" i="158"/>
  <c r="R289" i="158" s="1"/>
  <c r="P290" i="158"/>
  <c r="R290" i="158" s="1"/>
  <c r="P291" i="158"/>
  <c r="R291" i="158" s="1"/>
  <c r="P292" i="158"/>
  <c r="R292" i="158" s="1"/>
  <c r="P293" i="158"/>
  <c r="P294" i="158"/>
  <c r="R294" i="158" s="1"/>
  <c r="P295" i="158"/>
  <c r="P296" i="158"/>
  <c r="R296" i="158" s="1"/>
  <c r="P297" i="158"/>
  <c r="R297" i="158" s="1"/>
  <c r="P298" i="158"/>
  <c r="R298" i="158" s="1"/>
  <c r="P299" i="158"/>
  <c r="R299" i="158" s="1"/>
  <c r="P300" i="158"/>
  <c r="R300" i="158" s="1"/>
  <c r="P301" i="158"/>
  <c r="P302" i="158"/>
  <c r="R302" i="158" s="1"/>
  <c r="P303" i="158"/>
  <c r="P304" i="158"/>
  <c r="R304" i="158" s="1"/>
  <c r="P305" i="158"/>
  <c r="R305" i="158" s="1"/>
  <c r="P306" i="158"/>
  <c r="R306" i="158" s="1"/>
  <c r="P307" i="158"/>
  <c r="R307" i="158" s="1"/>
  <c r="P308" i="158"/>
  <c r="R308" i="158" s="1"/>
  <c r="P309" i="158"/>
  <c r="P310" i="158"/>
  <c r="R310" i="158" s="1"/>
  <c r="P311" i="158"/>
  <c r="P312" i="158"/>
  <c r="R312" i="158" s="1"/>
  <c r="P313" i="158"/>
  <c r="R313" i="158" s="1"/>
  <c r="P314" i="158"/>
  <c r="R314" i="158" s="1"/>
  <c r="P315" i="158"/>
  <c r="R315" i="158" s="1"/>
  <c r="P316" i="158"/>
  <c r="R316" i="158" s="1"/>
  <c r="P317" i="158"/>
  <c r="P318" i="158"/>
  <c r="R318" i="158" s="1"/>
  <c r="P319" i="158"/>
  <c r="P320" i="158"/>
  <c r="R320" i="158" s="1"/>
  <c r="P321" i="158"/>
  <c r="R321" i="158" s="1"/>
  <c r="P322" i="158"/>
  <c r="R322" i="158" s="1"/>
  <c r="P323" i="158"/>
  <c r="R323" i="158" s="1"/>
  <c r="P324" i="158"/>
  <c r="R324" i="158" s="1"/>
  <c r="P325" i="158"/>
  <c r="P326" i="158"/>
  <c r="R326" i="158" s="1"/>
  <c r="P327" i="158"/>
  <c r="P328" i="158"/>
  <c r="R328" i="158" s="1"/>
  <c r="P329" i="158"/>
  <c r="R329" i="158" s="1"/>
  <c r="P330" i="158"/>
  <c r="R330" i="158" s="1"/>
  <c r="P331" i="158"/>
  <c r="R331" i="158" s="1"/>
  <c r="P332" i="158"/>
  <c r="P333" i="158"/>
  <c r="P334" i="158"/>
  <c r="R334" i="158" s="1"/>
  <c r="P335" i="158"/>
  <c r="P336" i="158"/>
  <c r="R336" i="158" s="1"/>
  <c r="P337" i="158"/>
  <c r="R337" i="158" s="1"/>
  <c r="P338" i="158"/>
  <c r="R338" i="158" s="1"/>
  <c r="P339" i="158"/>
  <c r="R339" i="158" s="1"/>
  <c r="P340" i="158"/>
  <c r="R340" i="158" s="1"/>
  <c r="P341" i="158"/>
  <c r="P342" i="158"/>
  <c r="R342" i="158" s="1"/>
  <c r="P343" i="158"/>
  <c r="P344" i="158"/>
  <c r="R344" i="158" s="1"/>
  <c r="P345" i="158"/>
  <c r="R345" i="158" s="1"/>
  <c r="P346" i="158"/>
  <c r="R346" i="158" s="1"/>
  <c r="P347" i="158"/>
  <c r="R347" i="158" s="1"/>
  <c r="P348" i="158"/>
  <c r="P349" i="158"/>
  <c r="P350" i="158"/>
  <c r="R350" i="158" s="1"/>
  <c r="P351" i="158"/>
  <c r="P352" i="158"/>
  <c r="R352" i="158" s="1"/>
  <c r="P353" i="158"/>
  <c r="R353" i="158" s="1"/>
  <c r="P354" i="158"/>
  <c r="R354" i="158" s="1"/>
  <c r="P355" i="158"/>
  <c r="R355" i="158" s="1"/>
  <c r="P356" i="158"/>
  <c r="R356" i="158" s="1"/>
  <c r="P357" i="158"/>
  <c r="P358" i="158"/>
  <c r="R358" i="158" s="1"/>
  <c r="P359" i="158"/>
  <c r="P360" i="158"/>
  <c r="R360" i="158" s="1"/>
  <c r="P361" i="158"/>
  <c r="R361" i="158" s="1"/>
  <c r="P362" i="158"/>
  <c r="R362" i="158" s="1"/>
  <c r="P363" i="158"/>
  <c r="R363" i="158" s="1"/>
  <c r="P364" i="158"/>
  <c r="R364" i="158" s="1"/>
  <c r="P365" i="158"/>
  <c r="P10" i="158"/>
  <c r="R365" i="158"/>
  <c r="R359" i="158"/>
  <c r="R357" i="158"/>
  <c r="R351" i="158"/>
  <c r="R349" i="158"/>
  <c r="R348" i="158"/>
  <c r="R343" i="158"/>
  <c r="R341" i="158"/>
  <c r="R335" i="158"/>
  <c r="R333" i="158"/>
  <c r="R332" i="158"/>
  <c r="R327" i="158"/>
  <c r="R325" i="158"/>
  <c r="R319" i="158"/>
  <c r="R317" i="158"/>
  <c r="R311" i="158"/>
  <c r="R309" i="158"/>
  <c r="R303" i="158"/>
  <c r="R301" i="158"/>
  <c r="R295" i="158"/>
  <c r="R293" i="158"/>
  <c r="R287" i="158"/>
  <c r="R285" i="158"/>
  <c r="R284" i="158"/>
  <c r="R279" i="158"/>
  <c r="R277" i="158"/>
  <c r="R276" i="158"/>
  <c r="R271" i="158"/>
  <c r="R269" i="158"/>
  <c r="R268" i="158"/>
  <c r="R263" i="158"/>
  <c r="R261" i="158"/>
  <c r="R260" i="158"/>
  <c r="R255" i="158"/>
  <c r="R253" i="158"/>
  <c r="R252" i="158"/>
  <c r="R247" i="158"/>
  <c r="R245" i="158"/>
  <c r="R244" i="158"/>
  <c r="R239" i="158"/>
  <c r="R237" i="158"/>
  <c r="R236" i="158"/>
  <c r="R231" i="158"/>
  <c r="R229" i="158"/>
  <c r="R228" i="158"/>
  <c r="R223" i="158"/>
  <c r="R221" i="158"/>
  <c r="R220" i="158"/>
  <c r="R215" i="158"/>
  <c r="R213" i="158"/>
  <c r="R212" i="158"/>
  <c r="R207" i="158"/>
  <c r="R205" i="158"/>
  <c r="R204" i="158"/>
  <c r="R199" i="158"/>
  <c r="R197" i="158"/>
  <c r="R196" i="158"/>
  <c r="R191" i="158"/>
  <c r="R189" i="158"/>
  <c r="R188" i="158"/>
  <c r="R183" i="158"/>
  <c r="R181" i="158"/>
  <c r="R180" i="158"/>
  <c r="R175" i="158"/>
  <c r="R173" i="158"/>
  <c r="R172" i="158"/>
  <c r="R167" i="158"/>
  <c r="R165" i="158"/>
  <c r="R164" i="158"/>
  <c r="R159" i="158"/>
  <c r="R157" i="158"/>
  <c r="R156" i="158"/>
  <c r="R151" i="158"/>
  <c r="R149" i="158"/>
  <c r="R148" i="158"/>
  <c r="R143" i="158"/>
  <c r="R141" i="158"/>
  <c r="R140" i="158"/>
  <c r="R135" i="158"/>
  <c r="R133" i="158"/>
  <c r="R132" i="158"/>
  <c r="R127" i="158"/>
  <c r="R125" i="158"/>
  <c r="R124" i="158"/>
  <c r="R119" i="158"/>
  <c r="R117" i="158"/>
  <c r="R116" i="158"/>
  <c r="R111" i="158"/>
  <c r="R109" i="158"/>
  <c r="R108" i="158"/>
  <c r="R107" i="158"/>
  <c r="R103" i="158"/>
  <c r="R101" i="158"/>
  <c r="R100" i="158"/>
  <c r="S95" i="158"/>
  <c r="S367" i="158" s="1"/>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G47" i="3"/>
  <c r="G42" i="3"/>
  <c r="CG361" i="152"/>
  <c r="CH361" i="152"/>
  <c r="CF361" i="152"/>
  <c r="CE361" i="152" l="1"/>
  <c r="D54" i="156" l="1"/>
  <c r="E54" i="156" s="1"/>
  <c r="I10" i="156"/>
  <c r="I15" i="156"/>
  <c r="J7" i="6" l="1"/>
  <c r="A3" i="6" l="1"/>
  <c r="H1" i="102"/>
  <c r="G1" i="102"/>
  <c r="F15" i="3" l="1"/>
  <c r="F31" i="6" s="1"/>
  <c r="F13" i="3"/>
  <c r="F30" i="6" s="1"/>
  <c r="F11" i="3"/>
  <c r="F29" i="6" s="1"/>
  <c r="F9" i="3"/>
  <c r="F22" i="6" s="1"/>
  <c r="K362" i="102"/>
  <c r="F71" i="6" l="1"/>
  <c r="J100" i="17" l="1"/>
  <c r="K41" i="6" l="1"/>
  <c r="K18" i="6"/>
  <c r="K80" i="6" s="1"/>
  <c r="K7" i="6"/>
  <c r="K69" i="6" s="1"/>
  <c r="B35" i="157"/>
  <c r="F1" i="157"/>
  <c r="J192" i="71" l="1"/>
  <c r="I177" i="71"/>
  <c r="J182" i="71"/>
  <c r="J85" i="2"/>
  <c r="J12" i="2" l="1"/>
  <c r="G87" i="2"/>
  <c r="CD361" i="152" l="1"/>
  <c r="G38" i="3"/>
  <c r="I19" i="156"/>
  <c r="F123" i="156"/>
  <c r="F119" i="156"/>
  <c r="D52" i="156"/>
  <c r="D12" i="156"/>
  <c r="F122" i="156"/>
  <c r="F121" i="156"/>
  <c r="F120" i="156"/>
  <c r="F118" i="156"/>
  <c r="F117" i="156"/>
  <c r="F116" i="156"/>
  <c r="F114" i="156"/>
  <c r="F113" i="156"/>
  <c r="F112" i="156"/>
  <c r="I16" i="20"/>
  <c r="I29" i="20" s="1"/>
  <c r="J29" i="20" s="1"/>
  <c r="I17" i="20"/>
  <c r="I30" i="20" s="1"/>
  <c r="J30" i="20" s="1"/>
  <c r="I18" i="20"/>
  <c r="I31" i="20" s="1"/>
  <c r="J31" i="20" s="1"/>
  <c r="I19" i="20"/>
  <c r="I32" i="20" s="1"/>
  <c r="J32" i="20" s="1"/>
  <c r="I20" i="20"/>
  <c r="I33" i="20" s="1"/>
  <c r="J33" i="20" s="1"/>
  <c r="I21" i="20"/>
  <c r="I34" i="20" s="1"/>
  <c r="J34" i="20" s="1"/>
  <c r="I15" i="20"/>
  <c r="I28" i="20" s="1"/>
  <c r="J28" i="20" s="1"/>
  <c r="K28" i="20" s="1"/>
  <c r="F14" i="20"/>
  <c r="F9" i="20" s="1"/>
  <c r="I25" i="156" l="1"/>
  <c r="E52" i="156"/>
  <c r="I6" i="156"/>
  <c r="H58" i="156"/>
  <c r="F40" i="20"/>
  <c r="H52" i="156"/>
  <c r="G130" i="156"/>
  <c r="F115" i="156"/>
  <c r="G129" i="156"/>
  <c r="G131" i="156"/>
  <c r="H59" i="156" l="1"/>
  <c r="F124" i="156"/>
  <c r="P11" i="153" l="1"/>
  <c r="P12" i="153"/>
  <c r="P13" i="153"/>
  <c r="P14" i="153"/>
  <c r="P15" i="153"/>
  <c r="P16" i="153"/>
  <c r="P17" i="153"/>
  <c r="P18" i="153"/>
  <c r="P19" i="153"/>
  <c r="P20" i="153"/>
  <c r="P21" i="153"/>
  <c r="P22" i="153"/>
  <c r="P23" i="153"/>
  <c r="P24" i="153"/>
  <c r="P25" i="153"/>
  <c r="P26" i="153"/>
  <c r="P27" i="153"/>
  <c r="P28" i="153"/>
  <c r="P29" i="153"/>
  <c r="P30" i="153"/>
  <c r="P31" i="153"/>
  <c r="P32" i="153"/>
  <c r="P33" i="153"/>
  <c r="P34" i="153"/>
  <c r="P35" i="153"/>
  <c r="P36" i="153"/>
  <c r="P37" i="153"/>
  <c r="P38" i="153"/>
  <c r="P39" i="153"/>
  <c r="P40" i="153"/>
  <c r="P41" i="153"/>
  <c r="P42" i="153"/>
  <c r="P43" i="153"/>
  <c r="P44" i="153"/>
  <c r="P45" i="153"/>
  <c r="P46" i="153"/>
  <c r="P47" i="153"/>
  <c r="P48" i="153"/>
  <c r="P49" i="153"/>
  <c r="P50" i="153"/>
  <c r="P51" i="153"/>
  <c r="P52" i="153"/>
  <c r="P53" i="153"/>
  <c r="P54" i="153"/>
  <c r="P55" i="153"/>
  <c r="P56" i="153"/>
  <c r="P57" i="153"/>
  <c r="P58" i="153"/>
  <c r="P59" i="153"/>
  <c r="P60" i="153"/>
  <c r="P61" i="153"/>
  <c r="P62" i="153"/>
  <c r="P63" i="153"/>
  <c r="P64" i="153"/>
  <c r="P65" i="153"/>
  <c r="P66" i="153"/>
  <c r="P67" i="153"/>
  <c r="P68" i="153"/>
  <c r="P69" i="153"/>
  <c r="P70" i="153"/>
  <c r="P71" i="153"/>
  <c r="P72" i="153"/>
  <c r="P73" i="153"/>
  <c r="P74" i="153"/>
  <c r="P75" i="153"/>
  <c r="P76" i="153"/>
  <c r="P77" i="153"/>
  <c r="P78" i="153"/>
  <c r="P79" i="153"/>
  <c r="P80" i="153"/>
  <c r="P81" i="153"/>
  <c r="P82" i="153"/>
  <c r="P83" i="153"/>
  <c r="P84" i="153"/>
  <c r="P85" i="153"/>
  <c r="P86" i="153"/>
  <c r="P87" i="153"/>
  <c r="P88" i="153"/>
  <c r="P89" i="153"/>
  <c r="P90" i="153"/>
  <c r="P91" i="153"/>
  <c r="P92" i="153"/>
  <c r="P93" i="153"/>
  <c r="P94" i="153"/>
  <c r="P95" i="153"/>
  <c r="P96" i="153"/>
  <c r="P97" i="153"/>
  <c r="P98" i="153"/>
  <c r="P99" i="153"/>
  <c r="P100" i="153"/>
  <c r="P101" i="153"/>
  <c r="P102" i="153"/>
  <c r="P103" i="153"/>
  <c r="P104" i="153"/>
  <c r="P105" i="153"/>
  <c r="P106" i="153"/>
  <c r="P107" i="153"/>
  <c r="P108" i="153"/>
  <c r="P109" i="153"/>
  <c r="P110" i="153"/>
  <c r="P111" i="153"/>
  <c r="P112" i="153"/>
  <c r="P113" i="153"/>
  <c r="P114" i="153"/>
  <c r="P115" i="153"/>
  <c r="P116" i="153"/>
  <c r="P117" i="153"/>
  <c r="P118" i="153"/>
  <c r="P119" i="153"/>
  <c r="P120" i="153"/>
  <c r="P121" i="153"/>
  <c r="P122" i="153"/>
  <c r="P123" i="153"/>
  <c r="P124" i="153"/>
  <c r="P125" i="153"/>
  <c r="P126" i="153"/>
  <c r="P127" i="153"/>
  <c r="P128" i="153"/>
  <c r="P129" i="153"/>
  <c r="P130" i="153"/>
  <c r="P131" i="153"/>
  <c r="P132" i="153"/>
  <c r="P133" i="153"/>
  <c r="P134" i="153"/>
  <c r="P135" i="153"/>
  <c r="P136" i="153"/>
  <c r="P137" i="153"/>
  <c r="P138" i="153"/>
  <c r="P139" i="153"/>
  <c r="P140" i="153"/>
  <c r="P141" i="153"/>
  <c r="P142" i="153"/>
  <c r="P143" i="153"/>
  <c r="P144" i="153"/>
  <c r="P145" i="153"/>
  <c r="P146" i="153"/>
  <c r="P147" i="153"/>
  <c r="P148" i="153"/>
  <c r="P149" i="153"/>
  <c r="P150" i="153"/>
  <c r="P151" i="153"/>
  <c r="P152" i="153"/>
  <c r="P153" i="153"/>
  <c r="P154" i="153"/>
  <c r="P155" i="153"/>
  <c r="P156" i="153"/>
  <c r="P157" i="153"/>
  <c r="P158" i="153"/>
  <c r="P159" i="153"/>
  <c r="P160" i="153"/>
  <c r="P161" i="153"/>
  <c r="P162" i="153"/>
  <c r="P163" i="153"/>
  <c r="P164" i="153"/>
  <c r="P165" i="153"/>
  <c r="P166" i="153"/>
  <c r="P167" i="153"/>
  <c r="P168" i="153"/>
  <c r="P169" i="153"/>
  <c r="P170" i="153"/>
  <c r="P171" i="153"/>
  <c r="P172" i="153"/>
  <c r="P173" i="153"/>
  <c r="P174" i="153"/>
  <c r="P175" i="153"/>
  <c r="P176" i="153"/>
  <c r="P177" i="153"/>
  <c r="P178" i="153"/>
  <c r="P179" i="153"/>
  <c r="P180" i="153"/>
  <c r="P181" i="153"/>
  <c r="P182" i="153"/>
  <c r="P183" i="153"/>
  <c r="P184" i="153"/>
  <c r="P185" i="153"/>
  <c r="P186" i="153"/>
  <c r="P187" i="153"/>
  <c r="P188" i="153"/>
  <c r="P189" i="153"/>
  <c r="P190" i="153"/>
  <c r="P191" i="153"/>
  <c r="P192" i="153"/>
  <c r="P193" i="153"/>
  <c r="P194" i="153"/>
  <c r="P195" i="153"/>
  <c r="P196" i="153"/>
  <c r="P197" i="153"/>
  <c r="P198" i="153"/>
  <c r="P199" i="153"/>
  <c r="P200" i="153"/>
  <c r="P201" i="153"/>
  <c r="P202" i="153"/>
  <c r="P203" i="153"/>
  <c r="P204" i="153"/>
  <c r="P205" i="153"/>
  <c r="P206" i="153"/>
  <c r="P207" i="153"/>
  <c r="P208" i="153"/>
  <c r="P209" i="153"/>
  <c r="P210" i="153"/>
  <c r="P211" i="153"/>
  <c r="P212" i="153"/>
  <c r="P213" i="153"/>
  <c r="P214" i="153"/>
  <c r="P215" i="153"/>
  <c r="P216" i="153"/>
  <c r="P217" i="153"/>
  <c r="P218" i="153"/>
  <c r="P219" i="153"/>
  <c r="P220" i="153"/>
  <c r="P221" i="153"/>
  <c r="P222" i="153"/>
  <c r="P223" i="153"/>
  <c r="P224" i="153"/>
  <c r="P225" i="153"/>
  <c r="P226" i="153"/>
  <c r="P227" i="153"/>
  <c r="P228" i="153"/>
  <c r="P229" i="153"/>
  <c r="P230" i="153"/>
  <c r="P231" i="153"/>
  <c r="P232" i="153"/>
  <c r="P233" i="153"/>
  <c r="P234" i="153"/>
  <c r="P235" i="153"/>
  <c r="P236" i="153"/>
  <c r="P237" i="153"/>
  <c r="P238" i="153"/>
  <c r="P239" i="153"/>
  <c r="P240" i="153"/>
  <c r="P241" i="153"/>
  <c r="P242" i="153"/>
  <c r="P243" i="153"/>
  <c r="P244" i="153"/>
  <c r="P245" i="153"/>
  <c r="P246" i="153"/>
  <c r="P247" i="153"/>
  <c r="P248" i="153"/>
  <c r="P249" i="153"/>
  <c r="P250" i="153"/>
  <c r="P251" i="153"/>
  <c r="P252" i="153"/>
  <c r="P253" i="153"/>
  <c r="P254" i="153"/>
  <c r="P255" i="153"/>
  <c r="P256" i="153"/>
  <c r="P257" i="153"/>
  <c r="P258" i="153"/>
  <c r="P259" i="153"/>
  <c r="P260" i="153"/>
  <c r="P261" i="153"/>
  <c r="P262" i="153"/>
  <c r="P263" i="153"/>
  <c r="P264" i="153"/>
  <c r="P265" i="153"/>
  <c r="P266" i="153"/>
  <c r="P267" i="153"/>
  <c r="P268" i="153"/>
  <c r="P269" i="153"/>
  <c r="P270" i="153"/>
  <c r="P271" i="153"/>
  <c r="P272" i="153"/>
  <c r="P273" i="153"/>
  <c r="P274" i="153"/>
  <c r="P275" i="153"/>
  <c r="P276" i="153"/>
  <c r="P277" i="153"/>
  <c r="P278" i="153"/>
  <c r="P279" i="153"/>
  <c r="P280" i="153"/>
  <c r="P281" i="153"/>
  <c r="P282" i="153"/>
  <c r="P283" i="153"/>
  <c r="P284" i="153"/>
  <c r="P285" i="153"/>
  <c r="P286" i="153"/>
  <c r="P287" i="153"/>
  <c r="P288" i="153"/>
  <c r="P289" i="153"/>
  <c r="P290" i="153"/>
  <c r="P291" i="153"/>
  <c r="P292" i="153"/>
  <c r="P293" i="153"/>
  <c r="P294" i="153"/>
  <c r="P295" i="153"/>
  <c r="P296" i="153"/>
  <c r="P297" i="153"/>
  <c r="P298" i="153"/>
  <c r="P299" i="153"/>
  <c r="P300" i="153"/>
  <c r="P301" i="153"/>
  <c r="P302" i="153"/>
  <c r="P303" i="153"/>
  <c r="P304" i="153"/>
  <c r="P305" i="153"/>
  <c r="P306" i="153"/>
  <c r="P307" i="153"/>
  <c r="P308" i="153"/>
  <c r="P309" i="153"/>
  <c r="P310" i="153"/>
  <c r="P311" i="153"/>
  <c r="P312" i="153"/>
  <c r="P313" i="153"/>
  <c r="P314" i="153"/>
  <c r="P315" i="153"/>
  <c r="P316" i="153"/>
  <c r="P317" i="153"/>
  <c r="P318" i="153"/>
  <c r="P319" i="153"/>
  <c r="P320" i="153"/>
  <c r="P321" i="153"/>
  <c r="P322" i="153"/>
  <c r="P323" i="153"/>
  <c r="P324" i="153"/>
  <c r="P325" i="153"/>
  <c r="P326" i="153"/>
  <c r="P327" i="153"/>
  <c r="P328" i="153"/>
  <c r="P329" i="153"/>
  <c r="P330" i="153"/>
  <c r="P331" i="153"/>
  <c r="P332" i="153"/>
  <c r="P333" i="153"/>
  <c r="P334" i="153"/>
  <c r="P335" i="153"/>
  <c r="P336" i="153"/>
  <c r="P337" i="153"/>
  <c r="P338" i="153"/>
  <c r="P339" i="153"/>
  <c r="P340" i="153"/>
  <c r="P341" i="153"/>
  <c r="P342" i="153"/>
  <c r="P343" i="153"/>
  <c r="P344" i="153"/>
  <c r="P345" i="153"/>
  <c r="P346" i="153"/>
  <c r="P347" i="153"/>
  <c r="P348" i="153"/>
  <c r="P349" i="153"/>
  <c r="P350" i="153"/>
  <c r="P351" i="153"/>
  <c r="P352" i="153"/>
  <c r="P353" i="153"/>
  <c r="P354" i="153"/>
  <c r="P355" i="153"/>
  <c r="P356" i="153"/>
  <c r="P357" i="153"/>
  <c r="P358" i="153"/>
  <c r="P359" i="153"/>
  <c r="P360" i="153"/>
  <c r="P361" i="153"/>
  <c r="P362" i="153"/>
  <c r="P363" i="153"/>
  <c r="P364" i="153"/>
  <c r="P365" i="153"/>
  <c r="P10" i="153"/>
  <c r="G37" i="3"/>
  <c r="G22" i="6" s="1"/>
  <c r="CC361" i="152"/>
  <c r="S95" i="153" l="1"/>
  <c r="R95" i="153" s="1"/>
  <c r="R96" i="153"/>
  <c r="R97" i="153"/>
  <c r="R98" i="153"/>
  <c r="R99" i="153"/>
  <c r="R100" i="153"/>
  <c r="R101" i="153"/>
  <c r="R102" i="153"/>
  <c r="R103" i="153"/>
  <c r="R104" i="153"/>
  <c r="R105" i="153"/>
  <c r="R106" i="153"/>
  <c r="R107" i="153"/>
  <c r="R108" i="153"/>
  <c r="R109" i="153"/>
  <c r="R110" i="153"/>
  <c r="R111" i="153"/>
  <c r="R112" i="153"/>
  <c r="R113" i="153"/>
  <c r="R114" i="153"/>
  <c r="R115" i="153"/>
  <c r="R116" i="153"/>
  <c r="R117" i="153"/>
  <c r="R118" i="153"/>
  <c r="R119" i="153"/>
  <c r="R120" i="153"/>
  <c r="R121" i="153"/>
  <c r="R122" i="153"/>
  <c r="R123" i="153"/>
  <c r="R124" i="153"/>
  <c r="R125" i="153"/>
  <c r="R126" i="153"/>
  <c r="R127" i="153"/>
  <c r="R128" i="153"/>
  <c r="R129" i="153"/>
  <c r="R130" i="153"/>
  <c r="R131" i="153"/>
  <c r="R132" i="153"/>
  <c r="R133" i="153"/>
  <c r="R134" i="153"/>
  <c r="R135" i="153"/>
  <c r="R136" i="153"/>
  <c r="R137" i="153"/>
  <c r="R138" i="153"/>
  <c r="R139" i="153"/>
  <c r="R140" i="153"/>
  <c r="R141" i="153"/>
  <c r="R142" i="153"/>
  <c r="R143" i="153"/>
  <c r="R144" i="153"/>
  <c r="R145" i="153"/>
  <c r="R146" i="153"/>
  <c r="R147" i="153"/>
  <c r="R148" i="153"/>
  <c r="R149" i="153"/>
  <c r="R150" i="153"/>
  <c r="R151" i="153"/>
  <c r="R152" i="153"/>
  <c r="R153" i="153"/>
  <c r="R154" i="153"/>
  <c r="R155" i="153"/>
  <c r="R156" i="153"/>
  <c r="R157" i="153"/>
  <c r="R158" i="153"/>
  <c r="R159" i="153"/>
  <c r="R160" i="153"/>
  <c r="R161" i="153"/>
  <c r="R162" i="153"/>
  <c r="R163" i="153"/>
  <c r="R164" i="153"/>
  <c r="R165" i="153"/>
  <c r="R166" i="153"/>
  <c r="R167" i="153"/>
  <c r="R168" i="153"/>
  <c r="R169" i="153"/>
  <c r="R170" i="153"/>
  <c r="R171" i="153"/>
  <c r="R172" i="153"/>
  <c r="R173" i="153"/>
  <c r="R174" i="153"/>
  <c r="R175" i="153"/>
  <c r="R176" i="153"/>
  <c r="R177" i="153"/>
  <c r="R178" i="153"/>
  <c r="R179" i="153"/>
  <c r="R180" i="153"/>
  <c r="R181" i="153"/>
  <c r="R182" i="153"/>
  <c r="R183" i="153"/>
  <c r="R184" i="153"/>
  <c r="R185" i="153"/>
  <c r="R186" i="153"/>
  <c r="R187" i="153"/>
  <c r="R188" i="153"/>
  <c r="R189" i="153"/>
  <c r="R190" i="153"/>
  <c r="R191" i="153"/>
  <c r="R192" i="153"/>
  <c r="R193" i="153"/>
  <c r="R194" i="153"/>
  <c r="R195" i="153"/>
  <c r="R196" i="153"/>
  <c r="R197" i="153"/>
  <c r="R198" i="153"/>
  <c r="R199" i="153"/>
  <c r="R200" i="153"/>
  <c r="R201" i="153"/>
  <c r="R202" i="153"/>
  <c r="R203" i="153"/>
  <c r="R204" i="153"/>
  <c r="R205" i="153"/>
  <c r="R206" i="153"/>
  <c r="R207" i="153"/>
  <c r="R208" i="153"/>
  <c r="R209" i="153"/>
  <c r="R210" i="153"/>
  <c r="R211" i="153"/>
  <c r="R212" i="153"/>
  <c r="R213" i="153"/>
  <c r="R214" i="153"/>
  <c r="R215" i="153"/>
  <c r="R216" i="153"/>
  <c r="R217" i="153"/>
  <c r="R218" i="153"/>
  <c r="R219" i="153"/>
  <c r="R220" i="153"/>
  <c r="R221" i="153"/>
  <c r="R222" i="153"/>
  <c r="R223" i="153"/>
  <c r="R224" i="153"/>
  <c r="R225" i="153"/>
  <c r="R226" i="153"/>
  <c r="R227" i="153"/>
  <c r="R228" i="153"/>
  <c r="R229" i="153"/>
  <c r="R230" i="153"/>
  <c r="R231" i="153"/>
  <c r="R232" i="153"/>
  <c r="R233" i="153"/>
  <c r="R234" i="153"/>
  <c r="R235" i="153"/>
  <c r="R236" i="153"/>
  <c r="R237" i="153"/>
  <c r="R238" i="153"/>
  <c r="R239" i="153"/>
  <c r="R240" i="153"/>
  <c r="R241" i="153"/>
  <c r="R242" i="153"/>
  <c r="R243" i="153"/>
  <c r="R244" i="153"/>
  <c r="R245" i="153"/>
  <c r="R246" i="153"/>
  <c r="R247" i="153"/>
  <c r="R248" i="153"/>
  <c r="R249" i="153"/>
  <c r="R250" i="153"/>
  <c r="R251" i="153"/>
  <c r="R252" i="153"/>
  <c r="R253" i="153"/>
  <c r="R254" i="153"/>
  <c r="R255" i="153"/>
  <c r="R256" i="153"/>
  <c r="R257" i="153"/>
  <c r="R258" i="153"/>
  <c r="R259" i="153"/>
  <c r="R260" i="153"/>
  <c r="R261" i="153"/>
  <c r="R262" i="153"/>
  <c r="R263" i="153"/>
  <c r="R264" i="153"/>
  <c r="R265" i="153"/>
  <c r="R266" i="153"/>
  <c r="R267" i="153"/>
  <c r="R268" i="153"/>
  <c r="R269" i="153"/>
  <c r="R270" i="153"/>
  <c r="R271" i="153"/>
  <c r="R272" i="153"/>
  <c r="R273" i="153"/>
  <c r="R274" i="153"/>
  <c r="R275" i="153"/>
  <c r="R276" i="153"/>
  <c r="R277" i="153"/>
  <c r="R278" i="153"/>
  <c r="R279" i="153"/>
  <c r="R280" i="153"/>
  <c r="R281" i="153"/>
  <c r="R282" i="153"/>
  <c r="R283" i="153"/>
  <c r="R284" i="153"/>
  <c r="R285" i="153"/>
  <c r="R286" i="153"/>
  <c r="R287" i="153"/>
  <c r="R288" i="153"/>
  <c r="R289" i="153"/>
  <c r="R290" i="153"/>
  <c r="R291" i="153"/>
  <c r="R292" i="153"/>
  <c r="R293" i="153"/>
  <c r="R294" i="153"/>
  <c r="R295" i="153"/>
  <c r="R296" i="153"/>
  <c r="R297" i="153"/>
  <c r="R298" i="153"/>
  <c r="R299" i="153"/>
  <c r="R300" i="153"/>
  <c r="R301" i="153"/>
  <c r="R302" i="153"/>
  <c r="R303" i="153"/>
  <c r="R304" i="153"/>
  <c r="R305" i="153"/>
  <c r="R306" i="153"/>
  <c r="R307" i="153"/>
  <c r="R308" i="153"/>
  <c r="R309" i="153"/>
  <c r="R310" i="153"/>
  <c r="R311" i="153"/>
  <c r="R312" i="153"/>
  <c r="R313" i="153"/>
  <c r="R314" i="153"/>
  <c r="R315" i="153"/>
  <c r="R316" i="153"/>
  <c r="R317" i="153"/>
  <c r="R318" i="153"/>
  <c r="R319" i="153"/>
  <c r="R320" i="153"/>
  <c r="R321" i="153"/>
  <c r="R322" i="153"/>
  <c r="R323" i="153"/>
  <c r="R324" i="153"/>
  <c r="R325" i="153"/>
  <c r="R326" i="153"/>
  <c r="R327" i="153"/>
  <c r="R328" i="153"/>
  <c r="R329" i="153"/>
  <c r="R330" i="153"/>
  <c r="R331" i="153"/>
  <c r="R332" i="153"/>
  <c r="R333" i="153"/>
  <c r="R334" i="153"/>
  <c r="R335" i="153"/>
  <c r="R336" i="153"/>
  <c r="R337" i="153"/>
  <c r="R338" i="153"/>
  <c r="R339" i="153"/>
  <c r="R340" i="153"/>
  <c r="R341" i="153"/>
  <c r="R342" i="153"/>
  <c r="R343" i="153"/>
  <c r="R344" i="153"/>
  <c r="R345" i="153"/>
  <c r="R346" i="153"/>
  <c r="R347" i="153"/>
  <c r="R348" i="153"/>
  <c r="R349" i="153"/>
  <c r="R350" i="153"/>
  <c r="R351" i="153"/>
  <c r="R352" i="153"/>
  <c r="R353" i="153"/>
  <c r="R354" i="153"/>
  <c r="R355" i="153"/>
  <c r="R356" i="153"/>
  <c r="R357" i="153"/>
  <c r="R358" i="153"/>
  <c r="R359" i="153"/>
  <c r="R360" i="153"/>
  <c r="R361" i="153"/>
  <c r="R362" i="153"/>
  <c r="R363" i="153"/>
  <c r="R364" i="153"/>
  <c r="R365" i="153"/>
  <c r="R11" i="153"/>
  <c r="R12" i="153"/>
  <c r="R13" i="153"/>
  <c r="R14" i="153"/>
  <c r="R15" i="153"/>
  <c r="R16" i="153"/>
  <c r="R17" i="153"/>
  <c r="R18" i="153"/>
  <c r="R19" i="153"/>
  <c r="R20" i="153"/>
  <c r="R21" i="153"/>
  <c r="R22" i="153"/>
  <c r="R23" i="153"/>
  <c r="R24" i="153"/>
  <c r="R25" i="153"/>
  <c r="R26" i="153"/>
  <c r="R27" i="153"/>
  <c r="R28" i="153"/>
  <c r="R29" i="153"/>
  <c r="R30" i="153"/>
  <c r="R31" i="153"/>
  <c r="R32" i="153"/>
  <c r="R33" i="153"/>
  <c r="R34" i="153"/>
  <c r="R35" i="153"/>
  <c r="R36" i="153"/>
  <c r="R37" i="153"/>
  <c r="R38" i="153"/>
  <c r="R39" i="153"/>
  <c r="R40" i="153"/>
  <c r="R41" i="153"/>
  <c r="R42" i="153"/>
  <c r="R43" i="153"/>
  <c r="R44" i="153"/>
  <c r="R45" i="153"/>
  <c r="R46" i="153"/>
  <c r="R47" i="153"/>
  <c r="R48" i="153"/>
  <c r="R49" i="153"/>
  <c r="R50" i="153"/>
  <c r="R51" i="153"/>
  <c r="R52" i="153"/>
  <c r="R53" i="153"/>
  <c r="R54" i="153"/>
  <c r="R55" i="153"/>
  <c r="R56" i="153"/>
  <c r="R57" i="153"/>
  <c r="R58" i="153"/>
  <c r="R59" i="153"/>
  <c r="R60" i="153"/>
  <c r="R61" i="153"/>
  <c r="R62" i="153"/>
  <c r="R63" i="153"/>
  <c r="R64" i="153"/>
  <c r="R65" i="153"/>
  <c r="R66" i="153"/>
  <c r="R67" i="153"/>
  <c r="R68" i="153"/>
  <c r="R69" i="153"/>
  <c r="R70" i="153"/>
  <c r="R71" i="153"/>
  <c r="R72" i="153"/>
  <c r="R73" i="153"/>
  <c r="R74" i="153"/>
  <c r="R75" i="153"/>
  <c r="R76" i="153"/>
  <c r="R77" i="153"/>
  <c r="R78" i="153"/>
  <c r="R79" i="153"/>
  <c r="R80" i="153"/>
  <c r="R81" i="153"/>
  <c r="R82" i="153"/>
  <c r="R83" i="153"/>
  <c r="R84" i="153"/>
  <c r="R85" i="153"/>
  <c r="R86" i="153"/>
  <c r="R87" i="153"/>
  <c r="R88" i="153"/>
  <c r="R89" i="153"/>
  <c r="R90" i="153"/>
  <c r="R91" i="153"/>
  <c r="R92" i="153"/>
  <c r="R93" i="153"/>
  <c r="R94" i="153"/>
  <c r="R10" i="153"/>
  <c r="CE361" i="145"/>
  <c r="E105" i="2" s="1"/>
  <c r="S367" i="153" l="1"/>
  <c r="C365" i="145"/>
  <c r="C364" i="145"/>
  <c r="C366" i="145" l="1"/>
  <c r="G27" i="6" l="1"/>
  <c r="CB361" i="152"/>
  <c r="CA361" i="145" l="1"/>
  <c r="CB361" i="145"/>
  <c r="CC361" i="145"/>
  <c r="CD361" i="145"/>
  <c r="BY361" i="145"/>
  <c r="BZ361" i="145"/>
  <c r="BR374" i="145" l="1"/>
  <c r="CA361" i="152" l="1"/>
  <c r="G31" i="3"/>
  <c r="G30" i="3"/>
  <c r="G18" i="3"/>
  <c r="BY361" i="152"/>
  <c r="G24" i="3" l="1"/>
  <c r="G27" i="3"/>
  <c r="G26" i="3"/>
  <c r="G22" i="3"/>
  <c r="G21" i="3"/>
  <c r="G20" i="3"/>
  <c r="G19" i="3"/>
  <c r="G25" i="6" l="1"/>
  <c r="G24" i="6"/>
  <c r="G23" i="6"/>
  <c r="F27" i="20" l="1"/>
  <c r="G36" i="20" s="1"/>
  <c r="E110" i="17"/>
  <c r="E122" i="17" s="1"/>
  <c r="F125" i="71" l="1"/>
  <c r="F117" i="71" l="1"/>
  <c r="F116" i="71"/>
  <c r="F113" i="71"/>
  <c r="E89" i="71"/>
  <c r="E86" i="71"/>
  <c r="E85" i="71"/>
  <c r="F108" i="71"/>
  <c r="E84" i="71"/>
  <c r="E83" i="71"/>
  <c r="E82" i="71"/>
  <c r="F105" i="71"/>
  <c r="E79" i="71"/>
  <c r="G102"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33" i="3" l="1"/>
  <c r="C100" i="102" l="1"/>
  <c r="F100" i="102"/>
  <c r="E100" i="102"/>
  <c r="D100" i="102"/>
  <c r="F140" i="102"/>
  <c r="E140" i="102"/>
  <c r="C140" i="102"/>
  <c r="D140" i="102"/>
  <c r="Q384" i="155"/>
  <c r="E9" i="3" l="1"/>
  <c r="E22" i="6" s="1"/>
  <c r="E13" i="3"/>
  <c r="E30" i="6" s="1"/>
  <c r="E71"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P367" i="153" l="1"/>
  <c r="R367" i="153" s="1"/>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H65" i="2" s="1"/>
  <c r="I65" i="2" s="1"/>
  <c r="J65" i="2" s="1"/>
  <c r="G361" i="152"/>
  <c r="F64" i="2" s="1"/>
  <c r="F361" i="152"/>
  <c r="F63" i="2" s="1"/>
  <c r="E361" i="152"/>
  <c r="F62" i="2" s="1"/>
  <c r="D361" i="152"/>
  <c r="F61" i="2" s="1"/>
  <c r="C361" i="152"/>
  <c r="G30" i="6" l="1"/>
  <c r="F86" i="2"/>
  <c r="F99" i="2" s="1"/>
  <c r="G32" i="3"/>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G26" i="6"/>
  <c r="G71" i="6" s="1"/>
  <c r="BZ361" i="152"/>
  <c r="S361" i="154"/>
  <c r="S361" i="155"/>
  <c r="L180" i="70" s="1"/>
  <c r="F101" i="3"/>
  <c r="BX361" i="145"/>
  <c r="BW361" i="145"/>
  <c r="I14" i="150" l="1"/>
  <c r="BV361" i="145"/>
  <c r="B35" i="127" l="1"/>
  <c r="D71" i="150" l="1"/>
  <c r="E71" i="150" s="1"/>
  <c r="D39" i="150"/>
  <c r="E99" i="150"/>
  <c r="E92" i="150"/>
  <c r="I10" i="150"/>
  <c r="I6" i="150"/>
  <c r="D92" i="150"/>
  <c r="D40" i="150"/>
  <c r="E40" i="150" s="1"/>
  <c r="E39" i="150" l="1"/>
  <c r="I24" i="150"/>
  <c r="I32" i="150"/>
  <c r="G108" i="150" l="1"/>
  <c r="G107" i="150" l="1"/>
  <c r="J41" i="6" l="1"/>
  <c r="J18" i="6"/>
  <c r="J69" i="6"/>
  <c r="K51" i="17"/>
  <c r="L51" i="17"/>
  <c r="J80"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J15" i="20" l="1"/>
  <c r="K15" i="20" s="1"/>
  <c r="L15" i="20" s="1"/>
  <c r="J22" i="20"/>
  <c r="K22" i="20" s="1"/>
  <c r="L22" i="20" s="1"/>
  <c r="K35" i="20"/>
  <c r="J21" i="20"/>
  <c r="K21" i="20" s="1"/>
  <c r="L21" i="20" s="1"/>
  <c r="K34" i="20"/>
  <c r="J20" i="20"/>
  <c r="K20" i="20" s="1"/>
  <c r="L20" i="20" s="1"/>
  <c r="K33" i="20"/>
  <c r="J19" i="20"/>
  <c r="K19" i="20" s="1"/>
  <c r="L19" i="20" s="1"/>
  <c r="K32" i="20"/>
  <c r="J18" i="20"/>
  <c r="K18" i="20" s="1"/>
  <c r="L18" i="20" s="1"/>
  <c r="K31" i="20"/>
  <c r="J17" i="20"/>
  <c r="K17" i="20" s="1"/>
  <c r="L17" i="20" s="1"/>
  <c r="K30" i="20"/>
  <c r="E40" i="20"/>
  <c r="E9" i="20"/>
  <c r="J16" i="20"/>
  <c r="K16" i="20" s="1"/>
  <c r="L16" i="20" s="1"/>
  <c r="K29" i="20"/>
  <c r="K27" i="20" l="1"/>
  <c r="I27" i="20"/>
  <c r="I36" i="20" s="1"/>
  <c r="L14" i="20"/>
  <c r="K14" i="20"/>
  <c r="J27" i="20" l="1"/>
  <c r="K36" i="20" s="1"/>
  <c r="L23" i="20"/>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33" i="3" l="1"/>
  <c r="F102" i="3"/>
  <c r="E94"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G86" i="2" s="1"/>
  <c r="I362" i="102"/>
  <c r="H86" i="2" l="1"/>
  <c r="G99" i="2"/>
  <c r="G100" i="2" s="1"/>
  <c r="F100" i="2"/>
  <c r="M180" i="70"/>
  <c r="E86" i="144"/>
  <c r="N180" i="70" l="1"/>
  <c r="I86" i="2"/>
  <c r="J86" i="2" s="1"/>
  <c r="P180" i="70" l="1"/>
  <c r="J88" i="2"/>
  <c r="O180" i="70"/>
  <c r="I88" i="2"/>
  <c r="D27" i="144"/>
  <c r="E93" i="144" l="1"/>
  <c r="E87" i="144" l="1"/>
  <c r="I18" i="6" l="1"/>
  <c r="H152" i="71" s="1"/>
  <c r="I7" i="6"/>
  <c r="I69" i="6" s="1"/>
  <c r="I6" i="144"/>
  <c r="F93" i="144" l="1"/>
  <c r="F92" i="144"/>
  <c r="F91" i="144"/>
  <c r="F90" i="144"/>
  <c r="F89" i="144"/>
  <c r="F88" i="144"/>
  <c r="F87" i="144"/>
  <c r="F84" i="144"/>
  <c r="F83" i="144"/>
  <c r="G102" i="144" l="1"/>
  <c r="F86" i="144"/>
  <c r="F85" i="144"/>
  <c r="E77" i="70" l="1"/>
  <c r="I80" i="6" l="1"/>
  <c r="I41" i="6"/>
  <c r="D13" i="3"/>
  <c r="D30" i="6" s="1"/>
  <c r="D11" i="3"/>
  <c r="D29" i="6" s="1"/>
  <c r="D71" i="6" s="1"/>
  <c r="F1" i="143" l="1"/>
  <c r="H85" i="2"/>
  <c r="H12" i="2"/>
  <c r="I88" i="3" l="1"/>
  <c r="J88" i="3" s="1"/>
  <c r="K88"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33" i="3"/>
  <c r="D67" i="2"/>
  <c r="D63" i="2"/>
  <c r="E102" i="3"/>
  <c r="D102" i="3"/>
  <c r="D101" i="3"/>
  <c r="D96" i="3"/>
  <c r="C89" i="17" s="1"/>
  <c r="I6" i="135"/>
  <c r="D56" i="71" l="1"/>
  <c r="D60" i="71"/>
  <c r="D59" i="71"/>
  <c r="D58" i="71"/>
  <c r="M314" i="140"/>
  <c r="C94"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0" i="17"/>
  <c r="D122" i="17" s="1"/>
  <c r="E101" i="3"/>
  <c r="F6" i="140"/>
  <c r="F367" i="140"/>
  <c r="F368" i="140"/>
  <c r="F8" i="140"/>
  <c r="D472" i="141"/>
  <c r="D43" i="141" s="1"/>
  <c r="D68" i="135"/>
  <c r="D94" i="17" l="1"/>
  <c r="G100" i="144"/>
  <c r="F95" i="144"/>
  <c r="BK366" i="130"/>
  <c r="BK7" i="130"/>
  <c r="BV427" i="130" l="1"/>
  <c r="F122" i="71" l="1"/>
  <c r="H41"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33" i="3" l="1"/>
  <c r="C101"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102" i="3" l="1"/>
  <c r="BU427" i="124"/>
  <c r="C10" i="6" l="1"/>
  <c r="BT427" i="124"/>
  <c r="B112" i="17" l="1"/>
  <c r="B114"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41" i="6"/>
  <c r="F85" i="2"/>
  <c r="F63" i="126" l="1"/>
  <c r="B14" i="20" l="1"/>
  <c r="B40" i="20" s="1"/>
  <c r="B9" i="20" l="1"/>
  <c r="C23" i="20"/>
  <c r="B118" i="17"/>
  <c r="B116" i="17" l="1"/>
  <c r="BP427" i="124"/>
  <c r="B110" i="17" l="1"/>
  <c r="B122" i="17" s="1"/>
  <c r="B94"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33"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I74" i="70"/>
  <c r="J74" i="70" s="1"/>
  <c r="K74" i="70" s="1"/>
  <c r="C15" i="143" l="1"/>
  <c r="I75" i="70"/>
  <c r="J75" i="70" s="1"/>
  <c r="K75" i="70" s="1"/>
  <c r="C15" i="149" l="1"/>
  <c r="E69" i="120"/>
  <c r="C15" i="157" l="1"/>
  <c r="H37" i="120"/>
  <c r="F41"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H66" i="2"/>
  <c r="D96" i="144"/>
  <c r="H7" i="144"/>
  <c r="H36" i="144"/>
  <c r="H19" i="144"/>
  <c r="I59" i="135"/>
  <c r="I27" i="135"/>
  <c r="I55" i="135"/>
  <c r="I37" i="135"/>
  <c r="I49" i="135"/>
  <c r="C11" i="127"/>
  <c r="H61" i="2"/>
  <c r="I37" i="120"/>
  <c r="I33" i="135"/>
  <c r="I44" i="126"/>
  <c r="I46" i="120"/>
  <c r="I35" i="126"/>
  <c r="F60" i="2"/>
  <c r="C12" i="149" l="1"/>
  <c r="J62" i="2"/>
  <c r="C12" i="157" s="1"/>
  <c r="D102" i="150"/>
  <c r="G89" i="150" s="1"/>
  <c r="C14" i="143"/>
  <c r="I64" i="2"/>
  <c r="C16" i="143"/>
  <c r="I66" i="2"/>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C13" i="143"/>
  <c r="I40" i="144"/>
  <c r="I66" i="144"/>
  <c r="I54" i="144"/>
  <c r="I41" i="135"/>
  <c r="I50" i="135"/>
  <c r="I28" i="135"/>
  <c r="I36" i="126"/>
  <c r="I57" i="126"/>
  <c r="C11" i="134"/>
  <c r="G60" i="2"/>
  <c r="G104" i="150" l="1"/>
  <c r="G92" i="150"/>
  <c r="G98" i="150"/>
  <c r="G91" i="150"/>
  <c r="G100" i="150"/>
  <c r="G97" i="150"/>
  <c r="G94" i="150"/>
  <c r="G95" i="150"/>
  <c r="G90" i="150"/>
  <c r="G93" i="150"/>
  <c r="G96" i="150"/>
  <c r="G99" i="150"/>
  <c r="I51" i="156"/>
  <c r="I45" i="156"/>
  <c r="I57" i="156"/>
  <c r="C18" i="149"/>
  <c r="J68" i="2"/>
  <c r="C18" i="157" s="1"/>
  <c r="C17" i="149"/>
  <c r="J67" i="2"/>
  <c r="C17" i="157" s="1"/>
  <c r="C16" i="149"/>
  <c r="J66" i="2"/>
  <c r="C16" i="157" s="1"/>
  <c r="C13" i="149"/>
  <c r="J63" i="2"/>
  <c r="C13" i="157" s="1"/>
  <c r="C11" i="149"/>
  <c r="J61" i="2"/>
  <c r="C14" i="149"/>
  <c r="J64" i="2"/>
  <c r="C14" i="157" s="1"/>
  <c r="G17" i="17"/>
  <c r="H17" i="17" s="1"/>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I75" i="156" l="1"/>
  <c r="I63" i="156"/>
  <c r="I67" i="156"/>
  <c r="I71" i="156"/>
  <c r="H7" i="156"/>
  <c r="G13" i="17" s="1"/>
  <c r="H30" i="156"/>
  <c r="G15" i="17" s="1"/>
  <c r="G101" i="150"/>
  <c r="G103" i="150"/>
  <c r="I79" i="156"/>
  <c r="I46" i="156"/>
  <c r="I52" i="156"/>
  <c r="I58" i="156"/>
  <c r="C11" i="157"/>
  <c r="J60" i="2"/>
  <c r="H20" i="156"/>
  <c r="H16" i="156"/>
  <c r="G14" i="17" s="1"/>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H15" i="17" l="1"/>
  <c r="I15" i="17" s="1"/>
  <c r="J15" i="17" s="1"/>
  <c r="K87" i="3"/>
  <c r="G43" i="157" s="1"/>
  <c r="I47" i="156"/>
  <c r="I59" i="156"/>
  <c r="G124" i="156"/>
  <c r="G126" i="156"/>
  <c r="C19" i="127"/>
  <c r="C19" i="134" l="1"/>
  <c r="H69" i="2"/>
  <c r="I29" i="70"/>
  <c r="J29" i="70" s="1"/>
  <c r="K29" i="70" s="1"/>
  <c r="I28" i="70"/>
  <c r="J28" i="70" s="1"/>
  <c r="K28" i="70" s="1"/>
  <c r="I31" i="70"/>
  <c r="J31" i="70" s="1"/>
  <c r="K31" i="70" s="1"/>
  <c r="I32" i="70"/>
  <c r="J32" i="70" s="1"/>
  <c r="K32" i="70" s="1"/>
  <c r="I25" i="70"/>
  <c r="J25" i="70" s="1"/>
  <c r="K25" i="70" s="1"/>
  <c r="I24" i="70"/>
  <c r="J24" i="70" s="1"/>
  <c r="K24" i="70" s="1"/>
  <c r="I23" i="70"/>
  <c r="J23" i="70" s="1"/>
  <c r="K23" i="70" s="1"/>
  <c r="I21" i="70"/>
  <c r="J21" i="70" s="1"/>
  <c r="K21" i="70" s="1"/>
  <c r="I30" i="70"/>
  <c r="J30" i="70" s="1"/>
  <c r="K30" i="70" s="1"/>
  <c r="I27" i="70"/>
  <c r="J27" i="70" s="1"/>
  <c r="K27" i="70" s="1"/>
  <c r="I22" i="70"/>
  <c r="J22" i="70" s="1"/>
  <c r="K22" i="70" s="1"/>
  <c r="I20" i="70"/>
  <c r="J20" i="70" s="1"/>
  <c r="K20" i="70" s="1"/>
  <c r="C19" i="143" l="1"/>
  <c r="I69" i="2"/>
  <c r="C19" i="149" l="1"/>
  <c r="J69" i="2"/>
  <c r="C19" i="157" s="1"/>
  <c r="B35" i="111"/>
  <c r="B35" i="112" l="1"/>
  <c r="B35" i="121" l="1"/>
  <c r="B35" i="134" l="1"/>
  <c r="E41"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41"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I66" i="70"/>
  <c r="J66" i="70" s="1"/>
  <c r="K66" i="70" s="1"/>
  <c r="A64" i="70"/>
  <c r="I5" i="70"/>
  <c r="J5" i="70" s="1"/>
  <c r="K5" i="70" s="1"/>
  <c r="C41"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I92" i="70"/>
  <c r="J92" i="70" s="1"/>
  <c r="K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7" i="6"/>
  <c r="A68" i="6"/>
  <c r="A74" i="6"/>
  <c r="A59" i="2"/>
  <c r="H72" i="3" l="1"/>
  <c r="F156" i="2"/>
  <c r="G48" i="6" s="1"/>
  <c r="H83" i="3"/>
  <c r="H83" i="70"/>
  <c r="H81" i="3"/>
  <c r="I81" i="3" s="1"/>
  <c r="H82" i="3"/>
  <c r="H14" i="70"/>
  <c r="E109" i="2"/>
  <c r="H5" i="3"/>
  <c r="H7" i="6" s="1"/>
  <c r="H69" i="6" s="1"/>
  <c r="G110" i="2"/>
  <c r="H110" i="2" s="1"/>
  <c r="I110" i="2" s="1"/>
  <c r="J110" i="2" s="1"/>
  <c r="E110" i="2"/>
  <c r="F110" i="2"/>
  <c r="G54" i="2"/>
  <c r="C119" i="2"/>
  <c r="D9" i="8" s="1"/>
  <c r="D119" i="2"/>
  <c r="E9" i="8" s="1"/>
  <c r="G29" i="2"/>
  <c r="H29" i="2" s="1"/>
  <c r="H96" i="3"/>
  <c r="G96" i="3"/>
  <c r="F89" i="17" s="1"/>
  <c r="G141" i="2"/>
  <c r="H18" i="6" s="1"/>
  <c r="G42" i="17" s="1"/>
  <c r="G144" i="2"/>
  <c r="G155" i="2"/>
  <c r="G136" i="71"/>
  <c r="G142" i="71" s="1"/>
  <c r="H79" i="3"/>
  <c r="G49" i="2"/>
  <c r="G41" i="2"/>
  <c r="G33" i="2"/>
  <c r="G48" i="2"/>
  <c r="G40" i="2"/>
  <c r="G32" i="2"/>
  <c r="G51" i="2"/>
  <c r="G42" i="2"/>
  <c r="G47" i="2"/>
  <c r="G39" i="2"/>
  <c r="G31" i="2"/>
  <c r="G37" i="2"/>
  <c r="G52" i="2"/>
  <c r="G35" i="2"/>
  <c r="G34" i="2"/>
  <c r="G46" i="2"/>
  <c r="G38" i="2"/>
  <c r="G30" i="2"/>
  <c r="H30" i="2" s="1"/>
  <c r="G45" i="2"/>
  <c r="G44" i="2"/>
  <c r="G36" i="2"/>
  <c r="G43" i="2"/>
  <c r="G50" i="2"/>
  <c r="H73" i="3"/>
  <c r="G73" i="3"/>
  <c r="G95" i="3"/>
  <c r="H90" i="3"/>
  <c r="G90" i="3"/>
  <c r="H95" i="3"/>
  <c r="L178" i="70"/>
  <c r="K161" i="70"/>
  <c r="G94" i="70"/>
  <c r="H70" i="3"/>
  <c r="G70" i="3"/>
  <c r="H53" i="70"/>
  <c r="H43" i="70"/>
  <c r="H75" i="3"/>
  <c r="H37" i="70"/>
  <c r="H74" i="3"/>
  <c r="G99" i="17" s="1"/>
  <c r="J74" i="3"/>
  <c r="I74" i="3"/>
  <c r="H99" i="17" s="1"/>
  <c r="G74" i="3"/>
  <c r="F99" i="17" s="1"/>
  <c r="H94" i="70"/>
  <c r="K152" i="70"/>
  <c r="F144" i="2"/>
  <c r="G21" i="6" s="1"/>
  <c r="F48" i="17" s="1"/>
  <c r="F155" i="2"/>
  <c r="G51" i="6" s="1"/>
  <c r="F44" i="17" s="1"/>
  <c r="F120" i="17"/>
  <c r="F122" i="17" s="1"/>
  <c r="F54" i="2"/>
  <c r="E114" i="2"/>
  <c r="F14" i="8" s="1"/>
  <c r="E156" i="2"/>
  <c r="F48" i="6" s="1"/>
  <c r="E46" i="17" s="1"/>
  <c r="E119" i="2"/>
  <c r="F9" i="8" s="1"/>
  <c r="G79" i="3"/>
  <c r="D70" i="3"/>
  <c r="G5" i="3"/>
  <c r="G7" i="6" s="1"/>
  <c r="G69" i="6" s="1"/>
  <c r="F112" i="71"/>
  <c r="F118" i="71" s="1"/>
  <c r="E153" i="2"/>
  <c r="F19" i="6" s="1"/>
  <c r="F141" i="2"/>
  <c r="G18" i="6" s="1"/>
  <c r="G75"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74" i="3"/>
  <c r="E99" i="17" s="1"/>
  <c r="E54" i="2"/>
  <c r="F5" i="3"/>
  <c r="F7" i="6" s="1"/>
  <c r="E155" i="2"/>
  <c r="F51" i="6" s="1"/>
  <c r="E144" i="2"/>
  <c r="F21" i="6" s="1"/>
  <c r="D54" i="2"/>
  <c r="D151" i="2"/>
  <c r="E20" i="6" s="1"/>
  <c r="E151" i="2"/>
  <c r="F20" i="6" s="1"/>
  <c r="I135" i="70"/>
  <c r="J161" i="70"/>
  <c r="F34" i="70" s="1"/>
  <c r="H135" i="70"/>
  <c r="G135" i="70"/>
  <c r="F135" i="70"/>
  <c r="I144" i="70"/>
  <c r="I152" i="70"/>
  <c r="G144" i="70"/>
  <c r="I161" i="70"/>
  <c r="H144" i="70"/>
  <c r="F144" i="70"/>
  <c r="H161" i="70"/>
  <c r="G152" i="70"/>
  <c r="G161" i="70"/>
  <c r="F152" i="70"/>
  <c r="F161" i="70"/>
  <c r="H152" i="70"/>
  <c r="F78" i="3"/>
  <c r="E98" i="17" s="1"/>
  <c r="E88" i="71"/>
  <c r="E94" i="71" s="1"/>
  <c r="D64" i="71"/>
  <c r="D70" i="71" s="1"/>
  <c r="F96" i="3"/>
  <c r="E89" i="17" s="1"/>
  <c r="E96" i="3"/>
  <c r="D89" i="17" s="1"/>
  <c r="F95" i="3"/>
  <c r="E88" i="17" s="1"/>
  <c r="E95" i="3"/>
  <c r="D88" i="17" s="1"/>
  <c r="F94" i="70"/>
  <c r="F77" i="3"/>
  <c r="E77" i="3"/>
  <c r="E74" i="3"/>
  <c r="D99" i="17" s="1"/>
  <c r="E76" i="3"/>
  <c r="F73" i="3"/>
  <c r="F75" i="3"/>
  <c r="E73" i="3"/>
  <c r="E75" i="3"/>
  <c r="D93" i="17" s="1"/>
  <c r="F71" i="3"/>
  <c r="F53" i="70"/>
  <c r="F14" i="70"/>
  <c r="F37" i="70"/>
  <c r="F43" i="70"/>
  <c r="E141" i="2"/>
  <c r="F18" i="6" s="1"/>
  <c r="D157" i="2"/>
  <c r="E40" i="2"/>
  <c r="F90" i="3"/>
  <c r="E46" i="2"/>
  <c r="E90" i="3"/>
  <c r="E52" i="2"/>
  <c r="E51" i="2"/>
  <c r="E37" i="2"/>
  <c r="E41" i="2"/>
  <c r="E44" i="2"/>
  <c r="E42" i="2"/>
  <c r="E50" i="2"/>
  <c r="E43" i="2"/>
  <c r="E47" i="2"/>
  <c r="E49" i="2"/>
  <c r="E45" i="2"/>
  <c r="E38" i="2"/>
  <c r="E39" i="2"/>
  <c r="E48" i="2"/>
  <c r="E36" i="2"/>
  <c r="E29" i="2"/>
  <c r="E35" i="2"/>
  <c r="E34" i="2"/>
  <c r="E33" i="2"/>
  <c r="E32" i="2"/>
  <c r="E31" i="2"/>
  <c r="E30" i="2"/>
  <c r="D156" i="2"/>
  <c r="D155" i="2"/>
  <c r="D144" i="2"/>
  <c r="E21" i="6" s="1"/>
  <c r="E71"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76" i="3"/>
  <c r="D75" i="3"/>
  <c r="D95" i="3"/>
  <c r="C88" i="17" s="1"/>
  <c r="D73" i="3"/>
  <c r="D77" i="3"/>
  <c r="D90" i="3"/>
  <c r="C141" i="2"/>
  <c r="D141" i="2"/>
  <c r="B146" i="2"/>
  <c r="I127" i="70"/>
  <c r="D37" i="70"/>
  <c r="E37" i="70"/>
  <c r="E53" i="70"/>
  <c r="E14" i="70"/>
  <c r="D53" i="70"/>
  <c r="R1" i="2"/>
  <c r="C3" i="2" s="1"/>
  <c r="A2" i="157" s="1"/>
  <c r="E43" i="70"/>
  <c r="E18" i="70" s="1"/>
  <c r="H101" i="70"/>
  <c r="G101" i="70"/>
  <c r="C12" i="3"/>
  <c r="C11" i="3"/>
  <c r="C14" i="3"/>
  <c r="C13" i="3"/>
  <c r="C15" i="3"/>
  <c r="C31" i="6" s="1"/>
  <c r="B147" i="2"/>
  <c r="B149" i="2"/>
  <c r="H118" i="70"/>
  <c r="C96" i="3"/>
  <c r="B89" i="17" s="1"/>
  <c r="C70" i="3"/>
  <c r="C90" i="3"/>
  <c r="C76" i="3"/>
  <c r="C73" i="3"/>
  <c r="C95" i="3"/>
  <c r="B88" i="17" s="1"/>
  <c r="C80" i="3"/>
  <c r="C75" i="3"/>
  <c r="D80"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I61" i="70"/>
  <c r="J61" i="70" s="1"/>
  <c r="K61" i="70" s="1"/>
  <c r="I69" i="70"/>
  <c r="J69" i="70" s="1"/>
  <c r="K69" i="70" s="1"/>
  <c r="I62" i="70"/>
  <c r="J62" i="70" s="1"/>
  <c r="K62" i="70" s="1"/>
  <c r="I58" i="70"/>
  <c r="J58" i="70" s="1"/>
  <c r="K58" i="70" s="1"/>
  <c r="I68" i="70"/>
  <c r="J68" i="70" s="1"/>
  <c r="K68" i="70" s="1"/>
  <c r="I65" i="70"/>
  <c r="J65" i="70" s="1"/>
  <c r="K65" i="70" s="1"/>
  <c r="D89" i="70"/>
  <c r="E89" i="70" s="1"/>
  <c r="F89" i="70" s="1"/>
  <c r="G89" i="70" s="1"/>
  <c r="H89" i="70" s="1"/>
  <c r="I89" i="70" s="1"/>
  <c r="J89" i="70" s="1"/>
  <c r="K89" i="70" s="1"/>
  <c r="H8" i="6" l="1"/>
  <c r="G102" i="17"/>
  <c r="J81" i="3"/>
  <c r="H102" i="17"/>
  <c r="I70" i="3"/>
  <c r="J70" i="3" s="1"/>
  <c r="F15" i="70"/>
  <c r="E111" i="2"/>
  <c r="E112" i="2" s="1"/>
  <c r="E124" i="2"/>
  <c r="B127" i="2"/>
  <c r="H80" i="6"/>
  <c r="G143" i="71"/>
  <c r="K95" i="3"/>
  <c r="J95" i="3"/>
  <c r="I95" i="3"/>
  <c r="H44" i="70"/>
  <c r="H18" i="70"/>
  <c r="F119" i="71"/>
  <c r="C30" i="6"/>
  <c r="C3" i="17"/>
  <c r="C29" i="6"/>
  <c r="H34" i="70"/>
  <c r="H15" i="70" s="1"/>
  <c r="E3" i="17"/>
  <c r="D8" i="157"/>
  <c r="A1" i="157"/>
  <c r="H54" i="2"/>
  <c r="I54" i="2" s="1"/>
  <c r="J54" i="2" s="1"/>
  <c r="J56" i="2" s="1"/>
  <c r="E4" i="17"/>
  <c r="C4" i="17"/>
  <c r="I99" i="17"/>
  <c r="K74" i="3"/>
  <c r="G80" i="6"/>
  <c r="G101" i="17"/>
  <c r="I72" i="3"/>
  <c r="E115" i="2"/>
  <c r="F15" i="8" s="1"/>
  <c r="F17" i="8" s="1"/>
  <c r="E120" i="2"/>
  <c r="F88" i="17"/>
  <c r="F100" i="17"/>
  <c r="F92" i="17"/>
  <c r="G8" i="6"/>
  <c r="D21" i="6"/>
  <c r="C48" i="17" s="1"/>
  <c r="F42" i="17"/>
  <c r="L42" i="17" s="1"/>
  <c r="G34" i="70"/>
  <c r="G15" i="70" s="1"/>
  <c r="C21" i="6"/>
  <c r="B48" i="17" s="1"/>
  <c r="H171" i="70"/>
  <c r="G171" i="70"/>
  <c r="I90" i="3"/>
  <c r="J90" i="3" s="1"/>
  <c r="K90" i="3" s="1"/>
  <c r="G40" i="157" s="1"/>
  <c r="F171" i="70"/>
  <c r="I171" i="70"/>
  <c r="G18" i="70"/>
  <c r="G44" i="70"/>
  <c r="C44" i="70"/>
  <c r="C46" i="70" s="1"/>
  <c r="C18" i="70"/>
  <c r="A2" i="149"/>
  <c r="A1" i="149" s="1"/>
  <c r="D120" i="2"/>
  <c r="C7" i="6"/>
  <c r="D7" i="6"/>
  <c r="D51" i="6"/>
  <c r="C44" i="17" s="1"/>
  <c r="C51" i="6"/>
  <c r="B44" i="17" s="1"/>
  <c r="E49" i="6"/>
  <c r="E44" i="17" s="1"/>
  <c r="E42" i="17"/>
  <c r="A2" i="143"/>
  <c r="D8" i="143" s="1"/>
  <c r="H154" i="70"/>
  <c r="F154" i="70"/>
  <c r="F137" i="70"/>
  <c r="C79" i="70"/>
  <c r="C80" i="70"/>
  <c r="D77" i="70"/>
  <c r="D79" i="70" s="1"/>
  <c r="I154" i="70"/>
  <c r="G154" i="70"/>
  <c r="F87" i="70"/>
  <c r="F8" i="6"/>
  <c r="E48" i="6"/>
  <c r="E95" i="71"/>
  <c r="F18" i="70"/>
  <c r="F44" i="70"/>
  <c r="H34" i="2"/>
  <c r="H33" i="2"/>
  <c r="I33" i="2" s="1"/>
  <c r="J33" i="2" s="1"/>
  <c r="D15" i="157" s="1"/>
  <c r="D71" i="71"/>
  <c r="D97" i="17"/>
  <c r="E51" i="6"/>
  <c r="J144" i="70"/>
  <c r="C120" i="2"/>
  <c r="E97" i="17"/>
  <c r="E8" i="6"/>
  <c r="E80" i="70"/>
  <c r="E87" i="70"/>
  <c r="C87" i="70"/>
  <c r="A2" i="134"/>
  <c r="D8" i="134" s="1"/>
  <c r="D87" i="70"/>
  <c r="D34" i="70"/>
  <c r="E34" i="70"/>
  <c r="E44" i="70"/>
  <c r="I4" i="70"/>
  <c r="J4" i="70" s="1"/>
  <c r="K4" i="70" s="1"/>
  <c r="H137" i="70"/>
  <c r="G137" i="70"/>
  <c r="I63" i="70"/>
  <c r="I70" i="70"/>
  <c r="D18" i="6"/>
  <c r="G88" i="2"/>
  <c r="H120" i="70"/>
  <c r="H122" i="70" s="1"/>
  <c r="G120" i="70"/>
  <c r="G122" i="70" s="1"/>
  <c r="C46" i="71"/>
  <c r="C96" i="17"/>
  <c r="D8" i="6"/>
  <c r="F120" i="70"/>
  <c r="F122" i="70" s="1"/>
  <c r="E120" i="70"/>
  <c r="E122" i="70" s="1"/>
  <c r="D18" i="70"/>
  <c r="B95" i="17"/>
  <c r="C95" i="17"/>
  <c r="G40" i="111"/>
  <c r="B91" i="17"/>
  <c r="C91" i="17"/>
  <c r="B93" i="17"/>
  <c r="B90" i="17"/>
  <c r="C90" i="17"/>
  <c r="E8" i="1"/>
  <c r="A2" i="127"/>
  <c r="C9" i="6"/>
  <c r="D13" i="111"/>
  <c r="B28" i="2"/>
  <c r="D103" i="70"/>
  <c r="D105" i="70" s="1"/>
  <c r="G103" i="70"/>
  <c r="G105" i="70" s="1"/>
  <c r="C34" i="70"/>
  <c r="C11" i="70" s="1"/>
  <c r="F103" i="70"/>
  <c r="F105" i="70" s="1"/>
  <c r="E103" i="70"/>
  <c r="E105" i="70" s="1"/>
  <c r="B23" i="71"/>
  <c r="F69" i="120"/>
  <c r="I6" i="70"/>
  <c r="J6" i="70" s="1"/>
  <c r="A2" i="121"/>
  <c r="A2" i="113"/>
  <c r="D8" i="113" s="1"/>
  <c r="A2" i="112"/>
  <c r="A2" i="111"/>
  <c r="C18" i="112"/>
  <c r="C15" i="112"/>
  <c r="C12" i="112"/>
  <c r="B3" i="8"/>
  <c r="B1" i="8" s="1"/>
  <c r="A2" i="6"/>
  <c r="A1" i="6" s="1"/>
  <c r="A2" i="17"/>
  <c r="A1" i="3"/>
  <c r="A1" i="70"/>
  <c r="A1" i="2"/>
  <c r="K81" i="3" l="1"/>
  <c r="J102" i="17" s="1"/>
  <c r="I102" i="17"/>
  <c r="K70" i="3"/>
  <c r="J92" i="17" s="1"/>
  <c r="H45" i="70"/>
  <c r="H46" i="70"/>
  <c r="J70" i="70"/>
  <c r="I46" i="70"/>
  <c r="J63" i="70"/>
  <c r="I45" i="70"/>
  <c r="K6" i="70"/>
  <c r="K10" i="70" s="1"/>
  <c r="J10" i="70"/>
  <c r="C71" i="6"/>
  <c r="J88" i="17"/>
  <c r="P178" i="70"/>
  <c r="H87" i="70"/>
  <c r="J72" i="3"/>
  <c r="K72" i="3" s="1"/>
  <c r="J101" i="17" s="1"/>
  <c r="H101" i="17"/>
  <c r="F28" i="8"/>
  <c r="F26" i="8"/>
  <c r="G100" i="17"/>
  <c r="I79" i="3"/>
  <c r="H100" i="17" s="1"/>
  <c r="G92" i="17"/>
  <c r="G88" i="17"/>
  <c r="K42" i="17"/>
  <c r="C45" i="70"/>
  <c r="D8" i="149"/>
  <c r="D15" i="149"/>
  <c r="I34" i="2"/>
  <c r="J34" i="2" s="1"/>
  <c r="D16" i="157" s="1"/>
  <c r="D15" i="143"/>
  <c r="M178" i="70"/>
  <c r="G87" i="70"/>
  <c r="D44" i="17"/>
  <c r="D46" i="17"/>
  <c r="A1" i="143"/>
  <c r="D48" i="17"/>
  <c r="E48" i="17"/>
  <c r="D80" i="70"/>
  <c r="F46" i="70"/>
  <c r="F45" i="70"/>
  <c r="G46" i="70"/>
  <c r="G45" i="70"/>
  <c r="I60" i="70"/>
  <c r="I67" i="70"/>
  <c r="H88" i="2"/>
  <c r="D11" i="70"/>
  <c r="F80" i="6"/>
  <c r="E15" i="70"/>
  <c r="E46" i="70"/>
  <c r="E45" i="70"/>
  <c r="A1" i="134"/>
  <c r="E11" i="70"/>
  <c r="C42" i="17"/>
  <c r="D80" i="6"/>
  <c r="D15" i="70"/>
  <c r="D107" i="70"/>
  <c r="C41" i="70" s="1"/>
  <c r="C15" i="70"/>
  <c r="D13" i="127"/>
  <c r="D60" i="17" s="1"/>
  <c r="C47" i="71"/>
  <c r="D96" i="17"/>
  <c r="B24" i="71"/>
  <c r="E124" i="70"/>
  <c r="D41" i="70" s="1"/>
  <c r="D45" i="70"/>
  <c r="D46" i="70"/>
  <c r="D9" i="6"/>
  <c r="E1" i="102"/>
  <c r="D8" i="127"/>
  <c r="A1" i="127"/>
  <c r="D17" i="121"/>
  <c r="C64" i="17" s="1"/>
  <c r="D12" i="121"/>
  <c r="C59" i="17" s="1"/>
  <c r="D15" i="121"/>
  <c r="C62" i="17" s="1"/>
  <c r="E107" i="70"/>
  <c r="I7" i="70"/>
  <c r="J7" i="70" s="1"/>
  <c r="K7" i="70" s="1"/>
  <c r="D13" i="121"/>
  <c r="C60" i="17" s="1"/>
  <c r="G78" i="120"/>
  <c r="C77" i="6"/>
  <c r="F68" i="120"/>
  <c r="A1" i="121"/>
  <c r="D8" i="121"/>
  <c r="A85" i="17"/>
  <c r="A54" i="17"/>
  <c r="A1" i="113"/>
  <c r="D19" i="112"/>
  <c r="D8" i="112"/>
  <c r="A1" i="112"/>
  <c r="D8" i="111"/>
  <c r="A1" i="111"/>
  <c r="C12" i="113"/>
  <c r="C15" i="113"/>
  <c r="C18" i="113"/>
  <c r="B92" i="17"/>
  <c r="B103" i="17" s="1"/>
  <c r="C92" i="17"/>
  <c r="C19" i="112"/>
  <c r="C11" i="112"/>
  <c r="C17" i="112"/>
  <c r="A1" i="17"/>
  <c r="K70" i="70" l="1"/>
  <c r="K46" i="70" s="1"/>
  <c r="J46" i="70"/>
  <c r="K63" i="70"/>
  <c r="K45" i="70" s="1"/>
  <c r="J45" i="70"/>
  <c r="I101" i="17"/>
  <c r="I88" i="17"/>
  <c r="H88" i="17"/>
  <c r="I92" i="17"/>
  <c r="H92" i="17"/>
  <c r="I34" i="70"/>
  <c r="I87" i="70"/>
  <c r="D16" i="149"/>
  <c r="J67" i="70"/>
  <c r="K67" i="70" s="1"/>
  <c r="J60" i="70"/>
  <c r="K60" i="70" s="1"/>
  <c r="D13" i="134"/>
  <c r="E60" i="17" s="1"/>
  <c r="H31" i="2"/>
  <c r="I31" i="2" s="1"/>
  <c r="J31" i="2" s="1"/>
  <c r="D13" i="157" s="1"/>
  <c r="C81" i="70"/>
  <c r="D15" i="127"/>
  <c r="D62" i="17" s="1"/>
  <c r="D15" i="134"/>
  <c r="E62" i="17" s="1"/>
  <c r="D17" i="127"/>
  <c r="D64" i="17" s="1"/>
  <c r="D12" i="127"/>
  <c r="D59" i="17" s="1"/>
  <c r="E96" i="17"/>
  <c r="D86" i="70"/>
  <c r="D48" i="70"/>
  <c r="D47" i="70"/>
  <c r="D14" i="121"/>
  <c r="C61" i="17" s="1"/>
  <c r="D19" i="121"/>
  <c r="C66" i="17" s="1"/>
  <c r="D18" i="121"/>
  <c r="C65" i="17" s="1"/>
  <c r="D19" i="113"/>
  <c r="B66" i="17" s="1"/>
  <c r="C75" i="6"/>
  <c r="D77" i="6"/>
  <c r="G77" i="120"/>
  <c r="F72" i="120"/>
  <c r="D91" i="17"/>
  <c r="C18" i="6"/>
  <c r="B60" i="2"/>
  <c r="C13" i="113"/>
  <c r="C13" i="112"/>
  <c r="C19" i="113"/>
  <c r="C17" i="113"/>
  <c r="C11" i="113"/>
  <c r="C88" i="2"/>
  <c r="D88" i="2"/>
  <c r="C56" i="2"/>
  <c r="C93" i="17"/>
  <c r="C103" i="17" s="1"/>
  <c r="C8" i="6"/>
  <c r="C14" i="112"/>
  <c r="C12" i="6"/>
  <c r="D49" i="70" l="1"/>
  <c r="D50" i="70" s="1"/>
  <c r="D52" i="70" s="1"/>
  <c r="D13" i="149"/>
  <c r="D13" i="143"/>
  <c r="I59" i="70"/>
  <c r="D17" i="134"/>
  <c r="E64" i="17" s="1"/>
  <c r="H35" i="2"/>
  <c r="I35" i="2" s="1"/>
  <c r="J35" i="2" s="1"/>
  <c r="D17" i="157" s="1"/>
  <c r="D12" i="134"/>
  <c r="E59" i="17" s="1"/>
  <c r="I30" i="2"/>
  <c r="J30" i="2" s="1"/>
  <c r="D12" i="157" s="1"/>
  <c r="B42" i="17"/>
  <c r="C80" i="6"/>
  <c r="F77" i="70"/>
  <c r="H7" i="126"/>
  <c r="H24" i="126"/>
  <c r="H16" i="126"/>
  <c r="D18" i="127"/>
  <c r="D65" i="17" s="1"/>
  <c r="D14" i="127"/>
  <c r="D61" i="17" s="1"/>
  <c r="D19" i="127"/>
  <c r="D66" i="17" s="1"/>
  <c r="D90" i="17"/>
  <c r="D103" i="17" s="1"/>
  <c r="H11" i="126"/>
  <c r="H20" i="126"/>
  <c r="C87" i="3"/>
  <c r="G43" i="111" s="1"/>
  <c r="H7" i="120"/>
  <c r="E15" i="111"/>
  <c r="E14" i="111"/>
  <c r="E13" i="111"/>
  <c r="E17" i="111"/>
  <c r="E12" i="111"/>
  <c r="E18" i="111"/>
  <c r="E19" i="111"/>
  <c r="D81" i="70"/>
  <c r="H24" i="120"/>
  <c r="H11" i="120"/>
  <c r="H20" i="120"/>
  <c r="C70" i="6"/>
  <c r="C1" i="70"/>
  <c r="C73" i="70" s="1"/>
  <c r="C4" i="3"/>
  <c r="C55" i="70"/>
  <c r="F5" i="111"/>
  <c r="F1" i="111" s="1"/>
  <c r="D73" i="120"/>
  <c r="E18" i="6"/>
  <c r="D12" i="113"/>
  <c r="B59" i="17" s="1"/>
  <c r="D12" i="112"/>
  <c r="C14" i="113"/>
  <c r="E12" i="6"/>
  <c r="D56" i="2"/>
  <c r="C74" i="6"/>
  <c r="C90" i="2"/>
  <c r="C160" i="2" s="1"/>
  <c r="C5" i="8"/>
  <c r="C20" i="8" s="1"/>
  <c r="B140" i="2"/>
  <c r="C4" i="6"/>
  <c r="C1" i="6" s="1"/>
  <c r="C66" i="6" s="1"/>
  <c r="C1" i="8"/>
  <c r="C61" i="8" s="1"/>
  <c r="F80" i="70" l="1"/>
  <c r="F79" i="70"/>
  <c r="J59" i="70"/>
  <c r="K59" i="70" s="1"/>
  <c r="D12" i="149"/>
  <c r="D17" i="149"/>
  <c r="C7" i="3"/>
  <c r="C86" i="3" s="1"/>
  <c r="C94" i="3" s="1"/>
  <c r="B7" i="17"/>
  <c r="D12" i="143"/>
  <c r="D17" i="143"/>
  <c r="E74" i="6"/>
  <c r="E80" i="6"/>
  <c r="D16" i="6"/>
  <c r="D75" i="6" s="1"/>
  <c r="G10" i="70"/>
  <c r="G11" i="70" s="1"/>
  <c r="G12" i="6" s="1"/>
  <c r="D19" i="134"/>
  <c r="E66" i="17" s="1"/>
  <c r="H37" i="2"/>
  <c r="I37" i="2" s="1"/>
  <c r="J37" i="2" s="1"/>
  <c r="D19" i="157" s="1"/>
  <c r="D18" i="134"/>
  <c r="E65" i="17" s="1"/>
  <c r="H36" i="2"/>
  <c r="I36" i="2" s="1"/>
  <c r="J36" i="2" s="1"/>
  <c r="D18" i="157" s="1"/>
  <c r="D14" i="134"/>
  <c r="E61" i="17" s="1"/>
  <c r="H32" i="2"/>
  <c r="I32" i="2" s="1"/>
  <c r="J32" i="2" s="1"/>
  <c r="D14" i="157" s="1"/>
  <c r="G77" i="70"/>
  <c r="G80" i="70" s="1"/>
  <c r="D42" i="17"/>
  <c r="E90" i="17"/>
  <c r="H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1" i="17" s="1"/>
  <c r="D13" i="113"/>
  <c r="B60" i="17" s="1"/>
  <c r="D13" i="112"/>
  <c r="D15" i="113"/>
  <c r="B62" i="17" s="1"/>
  <c r="D18" i="113"/>
  <c r="B65" i="17" s="1"/>
  <c r="C140" i="2"/>
  <c r="D5" i="8"/>
  <c r="D20" i="8" s="1"/>
  <c r="D1" i="8"/>
  <c r="D61" i="8" s="1"/>
  <c r="D4" i="6"/>
  <c r="D1" i="6" s="1"/>
  <c r="D66" i="6" s="1"/>
  <c r="I96" i="3" l="1"/>
  <c r="H89" i="17" s="1"/>
  <c r="G89" i="17"/>
  <c r="C97" i="3"/>
  <c r="D18" i="149"/>
  <c r="D19" i="149"/>
  <c r="D14" i="149"/>
  <c r="D7" i="3"/>
  <c r="D86" i="3" s="1"/>
  <c r="D94" i="3" s="1"/>
  <c r="C7" i="17"/>
  <c r="B25" i="17"/>
  <c r="B51" i="17"/>
  <c r="B41" i="17"/>
  <c r="B107" i="17"/>
  <c r="B87" i="17"/>
  <c r="D18" i="143"/>
  <c r="D19" i="143"/>
  <c r="D14" i="143"/>
  <c r="E75" i="6"/>
  <c r="G74" i="6"/>
  <c r="F74" i="6"/>
  <c r="I3" i="70"/>
  <c r="H10" i="70"/>
  <c r="I42" i="17"/>
  <c r="J42" i="17"/>
  <c r="G79" i="70"/>
  <c r="H77" i="70"/>
  <c r="H80" i="70" s="1"/>
  <c r="H11" i="6"/>
  <c r="G13" i="6"/>
  <c r="F90" i="17"/>
  <c r="G56" i="2"/>
  <c r="F13" i="6"/>
  <c r="D74" i="6"/>
  <c r="G11" i="6"/>
  <c r="C102" i="2"/>
  <c r="D6" i="8" s="1"/>
  <c r="D48" i="8" s="1"/>
  <c r="D66" i="8" s="1"/>
  <c r="E10" i="6"/>
  <c r="E70" i="6" s="1"/>
  <c r="E93" i="17"/>
  <c r="E103" i="17" s="1"/>
  <c r="I75" i="3"/>
  <c r="J75" i="3" s="1"/>
  <c r="K75" i="3" s="1"/>
  <c r="J93" i="17" s="1"/>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6" i="6" s="1"/>
  <c r="D140" i="2"/>
  <c r="G72" i="120"/>
  <c r="F11" i="6"/>
  <c r="G40" i="113"/>
  <c r="D17" i="112"/>
  <c r="D16" i="112"/>
  <c r="D11" i="112"/>
  <c r="D17" i="113"/>
  <c r="B64" i="17" s="1"/>
  <c r="C6" i="8"/>
  <c r="C48" i="8" s="1"/>
  <c r="C66" i="8" s="1"/>
  <c r="C28" i="2"/>
  <c r="C48" i="71" s="1"/>
  <c r="C49" i="71" s="1"/>
  <c r="C51" i="71" s="1"/>
  <c r="C52" i="71" s="1"/>
  <c r="J96" i="3" l="1"/>
  <c r="J11" i="6" s="1"/>
  <c r="I11" i="6"/>
  <c r="H157" i="71" s="1"/>
  <c r="H11" i="70"/>
  <c r="H12" i="6" s="1"/>
  <c r="H74" i="6" s="1"/>
  <c r="D97" i="3"/>
  <c r="F90" i="2"/>
  <c r="F160" i="2" s="1"/>
  <c r="E160" i="2"/>
  <c r="C25" i="17"/>
  <c r="C51" i="17"/>
  <c r="C41" i="17"/>
  <c r="C87" i="17"/>
  <c r="C107" i="17"/>
  <c r="E7" i="3"/>
  <c r="E86" i="3" s="1"/>
  <c r="E94" i="3" s="1"/>
  <c r="D7" i="17"/>
  <c r="I10" i="70"/>
  <c r="I11" i="70" s="1"/>
  <c r="I12" i="6" s="1"/>
  <c r="J3" i="70"/>
  <c r="K3" i="70" s="1"/>
  <c r="G79" i="6"/>
  <c r="I77" i="70"/>
  <c r="I80" i="70" s="1"/>
  <c r="I73" i="3"/>
  <c r="F75" i="6"/>
  <c r="F79" i="6"/>
  <c r="G93" i="17"/>
  <c r="H76" i="6"/>
  <c r="H13" i="6"/>
  <c r="I15" i="70"/>
  <c r="I14" i="70" s="1"/>
  <c r="D46" i="71"/>
  <c r="C4" i="71"/>
  <c r="H79" i="70"/>
  <c r="G81" i="70"/>
  <c r="G16" i="6" s="1"/>
  <c r="G90" i="17"/>
  <c r="G76" i="6"/>
  <c r="F93" i="17"/>
  <c r="D16" i="121"/>
  <c r="C63" i="17" s="1"/>
  <c r="G40" i="121"/>
  <c r="F17" i="120"/>
  <c r="D51" i="120"/>
  <c r="G11" i="111"/>
  <c r="E16" i="111"/>
  <c r="B4" i="71"/>
  <c r="E20" i="111"/>
  <c r="E16" i="70"/>
  <c r="E40" i="70" s="1"/>
  <c r="E85" i="70"/>
  <c r="F55" i="70"/>
  <c r="F5" i="8"/>
  <c r="F20" i="8" s="1"/>
  <c r="F5" i="121"/>
  <c r="F1" i="121" s="1"/>
  <c r="F4" i="3"/>
  <c r="E140" i="2"/>
  <c r="F1" i="8"/>
  <c r="F61" i="8" s="1"/>
  <c r="F4" i="6"/>
  <c r="F1" i="6" s="1"/>
  <c r="F66" i="6" s="1"/>
  <c r="F1" i="70"/>
  <c r="F73" i="70" s="1"/>
  <c r="F76" i="6"/>
  <c r="F17" i="111"/>
  <c r="F11" i="111"/>
  <c r="D11" i="113"/>
  <c r="B58"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G103" i="17" l="1"/>
  <c r="G4" i="6"/>
  <c r="G1" i="6" s="1"/>
  <c r="G66" i="6" s="1"/>
  <c r="G90" i="2"/>
  <c r="H55" i="70" s="1"/>
  <c r="I89" i="17"/>
  <c r="H154" i="71"/>
  <c r="J73" i="3"/>
  <c r="I169" i="71"/>
  <c r="K96" i="3"/>
  <c r="G1" i="8"/>
  <c r="G61" i="8" s="1"/>
  <c r="G1" i="70"/>
  <c r="G16" i="70" s="1"/>
  <c r="G40" i="70" s="1"/>
  <c r="F140" i="2"/>
  <c r="G55" i="70"/>
  <c r="G5" i="8"/>
  <c r="G20" i="8" s="1"/>
  <c r="G4" i="3"/>
  <c r="F7" i="17" s="1"/>
  <c r="I76" i="6"/>
  <c r="I93" i="17"/>
  <c r="H93" i="17"/>
  <c r="E97" i="3"/>
  <c r="D25" i="17"/>
  <c r="D41" i="17"/>
  <c r="D107" i="17"/>
  <c r="D51" i="17"/>
  <c r="D87" i="17"/>
  <c r="F7" i="3"/>
  <c r="F86" i="3" s="1"/>
  <c r="F94" i="3" s="1"/>
  <c r="E7" i="17"/>
  <c r="J77" i="70"/>
  <c r="K77" i="70" s="1"/>
  <c r="I29" i="2"/>
  <c r="J29" i="2" s="1"/>
  <c r="H90" i="17"/>
  <c r="I13" i="6"/>
  <c r="J15" i="70"/>
  <c r="K15" i="70" s="1"/>
  <c r="K14" i="70" s="1"/>
  <c r="K13" i="6" s="1"/>
  <c r="K79" i="6" s="1"/>
  <c r="H79" i="6"/>
  <c r="I74" i="6"/>
  <c r="G75" i="6"/>
  <c r="I79" i="70"/>
  <c r="D102" i="2"/>
  <c r="D11" i="143"/>
  <c r="J136" i="70"/>
  <c r="J138" i="70" s="1"/>
  <c r="H81" i="70"/>
  <c r="H16" i="6" s="1"/>
  <c r="D16" i="127"/>
  <c r="D63" i="17" s="1"/>
  <c r="D11" i="134"/>
  <c r="E58" i="17" s="1"/>
  <c r="G40" i="127"/>
  <c r="H70" i="6"/>
  <c r="H11" i="111"/>
  <c r="F28" i="2"/>
  <c r="D11" i="127"/>
  <c r="D58"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58" i="17" s="1"/>
  <c r="D29" i="112"/>
  <c r="D26" i="112"/>
  <c r="D28" i="112"/>
  <c r="D21" i="112"/>
  <c r="D25" i="112"/>
  <c r="D32" i="112"/>
  <c r="D34" i="112"/>
  <c r="D31" i="112"/>
  <c r="D33" i="112"/>
  <c r="D22" i="112"/>
  <c r="D30" i="112"/>
  <c r="D23" i="112"/>
  <c r="D20" i="112"/>
  <c r="D27" i="112"/>
  <c r="H103" i="17" l="1"/>
  <c r="K73" i="3"/>
  <c r="G140" i="2"/>
  <c r="H1" i="8"/>
  <c r="H61" i="8" s="1"/>
  <c r="H4" i="6"/>
  <c r="H1" i="6" s="1"/>
  <c r="H66" i="6" s="1"/>
  <c r="H5" i="8"/>
  <c r="H20" i="8" s="1"/>
  <c r="G160" i="2"/>
  <c r="H1" i="70"/>
  <c r="H73" i="70" s="1"/>
  <c r="H90" i="2"/>
  <c r="I4" i="3" s="1"/>
  <c r="I7" i="3" s="1"/>
  <c r="I86" i="3" s="1"/>
  <c r="I97" i="3" s="1"/>
  <c r="H4" i="3"/>
  <c r="H7" i="3" s="1"/>
  <c r="H86" i="3" s="1"/>
  <c r="H97" i="3" s="1"/>
  <c r="K11" i="6"/>
  <c r="K76" i="6" s="1"/>
  <c r="J89" i="17"/>
  <c r="J76" i="6"/>
  <c r="I172" i="71"/>
  <c r="J28" i="2"/>
  <c r="D11" i="157"/>
  <c r="K79" i="70"/>
  <c r="G85" i="70"/>
  <c r="G73" i="70"/>
  <c r="G7" i="3"/>
  <c r="G86" i="3" s="1"/>
  <c r="G94" i="3" s="1"/>
  <c r="I4" i="6"/>
  <c r="I1" i="6" s="1"/>
  <c r="I66" i="6" s="1"/>
  <c r="F97" i="3"/>
  <c r="E25" i="17"/>
  <c r="E41" i="17"/>
  <c r="E107" i="17"/>
  <c r="E87" i="17"/>
  <c r="E51" i="17"/>
  <c r="F25" i="17"/>
  <c r="F107" i="17"/>
  <c r="F87" i="17"/>
  <c r="F51" i="17"/>
  <c r="F41" i="17"/>
  <c r="I81" i="70"/>
  <c r="I16" i="6" s="1"/>
  <c r="H156" i="71" s="1"/>
  <c r="I90" i="17"/>
  <c r="I103" i="17" s="1"/>
  <c r="I28" i="2"/>
  <c r="D11" i="149"/>
  <c r="J79" i="70"/>
  <c r="I79" i="6"/>
  <c r="H75" i="6"/>
  <c r="E4" i="71"/>
  <c r="G40" i="134"/>
  <c r="G40" i="149"/>
  <c r="D16" i="134"/>
  <c r="E63" i="17" s="1"/>
  <c r="F17" i="126"/>
  <c r="D51" i="126"/>
  <c r="G28" i="2"/>
  <c r="E13" i="127"/>
  <c r="H60" i="17" s="1"/>
  <c r="E15" i="127"/>
  <c r="H62" i="17" s="1"/>
  <c r="E17" i="127"/>
  <c r="H64" i="17" s="1"/>
  <c r="E12" i="127"/>
  <c r="H59" i="17" s="1"/>
  <c r="E18" i="127"/>
  <c r="H65" i="17" s="1"/>
  <c r="E14" i="127"/>
  <c r="H61" i="17" s="1"/>
  <c r="E19" i="127"/>
  <c r="H66" i="17" s="1"/>
  <c r="E11" i="127"/>
  <c r="H58" i="17" s="1"/>
  <c r="E16" i="127"/>
  <c r="H63" i="17" s="1"/>
  <c r="H16" i="111"/>
  <c r="E11" i="121"/>
  <c r="G58" i="17" s="1"/>
  <c r="E18" i="121"/>
  <c r="G65" i="17" s="1"/>
  <c r="E17" i="121"/>
  <c r="G64" i="17" s="1"/>
  <c r="E13" i="121"/>
  <c r="G60" i="17" s="1"/>
  <c r="E15" i="121"/>
  <c r="G62" i="17" s="1"/>
  <c r="E12" i="121"/>
  <c r="G59" i="17" s="1"/>
  <c r="E14" i="121"/>
  <c r="G61" i="17" s="1"/>
  <c r="E19" i="121"/>
  <c r="G66" i="17" s="1"/>
  <c r="E16" i="121"/>
  <c r="G63" i="17" s="1"/>
  <c r="G144" i="71" l="1"/>
  <c r="G145" i="71" s="1"/>
  <c r="G147" i="71" s="1"/>
  <c r="G148" i="71" s="1"/>
  <c r="H142" i="71" s="1"/>
  <c r="J90" i="17"/>
  <c r="J103" i="17" s="1"/>
  <c r="H140" i="2"/>
  <c r="G7" i="17"/>
  <c r="G41" i="17" s="1"/>
  <c r="H85" i="70"/>
  <c r="H16" i="70"/>
  <c r="H40" i="70" s="1"/>
  <c r="H7" i="17"/>
  <c r="H25" i="17" s="1"/>
  <c r="I90" i="2"/>
  <c r="J90" i="2" s="1"/>
  <c r="J160" i="2" s="1"/>
  <c r="H160" i="2"/>
  <c r="I55" i="70"/>
  <c r="I1" i="8"/>
  <c r="I61" i="8" s="1"/>
  <c r="I5" i="8"/>
  <c r="I20" i="8" s="1"/>
  <c r="I1" i="70"/>
  <c r="I73" i="70" s="1"/>
  <c r="J187" i="71"/>
  <c r="J184" i="71"/>
  <c r="E18" i="134"/>
  <c r="G16" i="17"/>
  <c r="H16" i="17" s="1"/>
  <c r="I16" i="17" s="1"/>
  <c r="J16" i="17" s="1"/>
  <c r="E15" i="157"/>
  <c r="E16" i="157"/>
  <c r="E13" i="157"/>
  <c r="E17" i="157"/>
  <c r="E12" i="157"/>
  <c r="E14" i="157"/>
  <c r="E18" i="157"/>
  <c r="E19" i="157"/>
  <c r="E11" i="157"/>
  <c r="G97" i="3"/>
  <c r="I94" i="3"/>
  <c r="H94" i="3"/>
  <c r="E11" i="149"/>
  <c r="E15" i="149"/>
  <c r="E16" i="149"/>
  <c r="E13" i="149"/>
  <c r="E12" i="149"/>
  <c r="E17" i="149"/>
  <c r="E18" i="149"/>
  <c r="E14" i="149"/>
  <c r="E19" i="149"/>
  <c r="G40" i="143"/>
  <c r="I75" i="6"/>
  <c r="D16" i="143"/>
  <c r="H28" i="2"/>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105" i="3"/>
  <c r="C30" i="8" s="1"/>
  <c r="J55" i="70" l="1"/>
  <c r="G4" i="71"/>
  <c r="I82" i="3"/>
  <c r="I8" i="6" s="1"/>
  <c r="H153" i="71" s="1"/>
  <c r="I58" i="17"/>
  <c r="I60" i="17"/>
  <c r="I62" i="17"/>
  <c r="I64" i="17"/>
  <c r="H51" i="17"/>
  <c r="H87" i="17"/>
  <c r="H107" i="17"/>
  <c r="G51" i="17"/>
  <c r="G87" i="17"/>
  <c r="G107" i="17"/>
  <c r="G25" i="17"/>
  <c r="J1" i="70"/>
  <c r="J73" i="70" s="1"/>
  <c r="K5" i="8"/>
  <c r="K20" i="8" s="1"/>
  <c r="J140" i="2"/>
  <c r="I160" i="2"/>
  <c r="K4" i="6"/>
  <c r="K1" i="6" s="1"/>
  <c r="K66" i="6" s="1"/>
  <c r="K1" i="70"/>
  <c r="K16" i="70" s="1"/>
  <c r="K40" i="70" s="1"/>
  <c r="J5" i="8"/>
  <c r="J20" i="8" s="1"/>
  <c r="J4" i="3"/>
  <c r="I7" i="17" s="1"/>
  <c r="K1" i="8"/>
  <c r="K61" i="8" s="1"/>
  <c r="J4" i="6"/>
  <c r="J1" i="6" s="1"/>
  <c r="J66" i="6" s="1"/>
  <c r="K4" i="3"/>
  <c r="K7" i="3" s="1"/>
  <c r="K86" i="3" s="1"/>
  <c r="I140" i="2"/>
  <c r="K55" i="70"/>
  <c r="J1" i="8"/>
  <c r="J61" i="8" s="1"/>
  <c r="I16" i="70"/>
  <c r="I40" i="70" s="1"/>
  <c r="I85" i="70"/>
  <c r="F12" i="134"/>
  <c r="I59" i="17"/>
  <c r="F14" i="134"/>
  <c r="I61" i="17"/>
  <c r="F16" i="134"/>
  <c r="I63" i="17"/>
  <c r="F18" i="134"/>
  <c r="I65" i="17"/>
  <c r="F19" i="134"/>
  <c r="I66"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79" i="6" s="1"/>
  <c r="J85" i="70"/>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105" i="3"/>
  <c r="F17" i="134"/>
  <c r="F15" i="134"/>
  <c r="F13" i="134"/>
  <c r="F11" i="134"/>
  <c r="D70" i="6"/>
  <c r="E66" i="8"/>
  <c r="E49" i="8"/>
  <c r="D105" i="3"/>
  <c r="D30" i="8" s="1"/>
  <c r="J7" i="17" l="1"/>
  <c r="J82" i="3"/>
  <c r="I70" i="6"/>
  <c r="K73" i="70"/>
  <c r="K85" i="70"/>
  <c r="J7" i="3"/>
  <c r="J86" i="3" s="1"/>
  <c r="J97" i="3" s="1"/>
  <c r="K97" i="3"/>
  <c r="K94" i="3"/>
  <c r="J87" i="17"/>
  <c r="J51" i="17"/>
  <c r="J107" i="17"/>
  <c r="J25" i="17"/>
  <c r="J75" i="6"/>
  <c r="I171" i="71"/>
  <c r="J34" i="70"/>
  <c r="J11" i="70" s="1"/>
  <c r="J12" i="6" s="1"/>
  <c r="J74" i="6" s="1"/>
  <c r="J87" i="70"/>
  <c r="O178" i="70"/>
  <c r="K80" i="70" s="1"/>
  <c r="K81" i="70" s="1"/>
  <c r="K16" i="6" s="1"/>
  <c r="I56" i="2"/>
  <c r="P381" i="154"/>
  <c r="P380" i="154"/>
  <c r="P99" i="154" s="1"/>
  <c r="P381" i="155"/>
  <c r="P380" i="155" s="1"/>
  <c r="P384" i="155" s="1"/>
  <c r="P139" i="155" s="1"/>
  <c r="J169" i="70"/>
  <c r="J171" i="70" s="1"/>
  <c r="P374" i="154"/>
  <c r="P373" i="154"/>
  <c r="P249" i="154" s="1"/>
  <c r="I87" i="17"/>
  <c r="I107" i="17"/>
  <c r="I51"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J8" i="6" l="1"/>
  <c r="K82" i="3"/>
  <c r="K8" i="6" s="1"/>
  <c r="J94" i="3"/>
  <c r="J186" i="71"/>
  <c r="K75" i="6"/>
  <c r="K87" i="70"/>
  <c r="K34" i="70"/>
  <c r="K11" i="70" s="1"/>
  <c r="K12" i="6" s="1"/>
  <c r="K74"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J183" i="71" l="1"/>
  <c r="K70" i="6"/>
  <c r="I168" i="71"/>
  <c r="J70"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70" i="6"/>
  <c r="C90" i="70"/>
  <c r="C91" i="70" s="1"/>
  <c r="C93" i="70" s="1"/>
  <c r="C14" i="6"/>
  <c r="B52" i="17" s="1"/>
  <c r="C17" i="6" l="1"/>
  <c r="C78" i="6" s="1"/>
  <c r="C50" i="70"/>
  <c r="C52" i="70" s="1"/>
  <c r="C72" i="6"/>
  <c r="C15" i="6" l="1"/>
  <c r="C73" i="6" s="1"/>
  <c r="D17" i="70" l="1"/>
  <c r="D36" i="70" s="1"/>
  <c r="D90" i="70" l="1"/>
  <c r="D91" i="70" s="1"/>
  <c r="D14" i="6"/>
  <c r="C52" i="17" s="1"/>
  <c r="D93" i="70" l="1"/>
  <c r="D72" i="6"/>
  <c r="D17" i="6" l="1"/>
  <c r="D78" i="6" s="1"/>
  <c r="D15" i="6" l="1"/>
  <c r="D73" i="6" l="1"/>
  <c r="D11" i="6" l="1"/>
  <c r="E11" i="6"/>
  <c r="C11" i="6"/>
  <c r="E76" i="6" l="1"/>
  <c r="C76" i="6"/>
  <c r="D76" i="6"/>
  <c r="C16" i="112" l="1"/>
  <c r="C60" i="2"/>
  <c r="H11" i="135" l="1"/>
  <c r="H7" i="135"/>
  <c r="D73" i="126"/>
  <c r="I50" i="120"/>
  <c r="I29" i="120"/>
  <c r="I35" i="120"/>
  <c r="I41" i="120"/>
  <c r="E31" i="111"/>
  <c r="E19" i="112"/>
  <c r="E16" i="112"/>
  <c r="D87" i="3"/>
  <c r="G43" i="112" s="1"/>
  <c r="E17" i="112"/>
  <c r="E18" i="112"/>
  <c r="E12" i="112"/>
  <c r="C16" i="113"/>
  <c r="E11" i="112"/>
  <c r="E14" i="112"/>
  <c r="E15" i="112"/>
  <c r="E13" i="112"/>
  <c r="I17" i="17" l="1"/>
  <c r="J17" i="17" s="1"/>
  <c r="H13" i="17"/>
  <c r="I13" i="17" s="1"/>
  <c r="J13"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87" i="3"/>
  <c r="G43" i="113" s="1"/>
  <c r="M55"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98"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60"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K8" i="17" s="1"/>
  <c r="G79" i="135"/>
  <c r="C29" i="127"/>
  <c r="C31" i="127"/>
  <c r="C34" i="127"/>
  <c r="C32" i="127"/>
  <c r="E98" i="3"/>
  <c r="G77" i="135"/>
  <c r="C33" i="127"/>
  <c r="C21" i="127"/>
  <c r="C26" i="127"/>
  <c r="C27" i="127"/>
  <c r="C23" i="127"/>
  <c r="C30" i="127"/>
  <c r="C20" i="127"/>
  <c r="C24" i="127"/>
  <c r="C28" i="127"/>
  <c r="C25" i="127"/>
  <c r="H24" i="112"/>
  <c r="D99" i="3"/>
  <c r="C22" i="121"/>
  <c r="H26" i="112"/>
  <c r="H34" i="112"/>
  <c r="H27" i="112"/>
  <c r="G38" i="111"/>
  <c r="G41" i="111" s="1"/>
  <c r="F35" i="112"/>
  <c r="H20" i="112"/>
  <c r="H33" i="112"/>
  <c r="H22" i="112"/>
  <c r="H25" i="112"/>
  <c r="H21" i="112"/>
  <c r="H29" i="112"/>
  <c r="H30" i="112"/>
  <c r="H28" i="112"/>
  <c r="H32" i="112"/>
  <c r="H31" i="112"/>
  <c r="H23" i="112"/>
  <c r="H35" i="111"/>
  <c r="D60"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8" i="6" s="1"/>
  <c r="C22" i="134"/>
  <c r="H72" i="2"/>
  <c r="C68" i="6"/>
  <c r="D16" i="113"/>
  <c r="B63" i="17" s="1"/>
  <c r="D28" i="2"/>
  <c r="C31" i="149" l="1"/>
  <c r="J81" i="2"/>
  <c r="C31" i="157" s="1"/>
  <c r="C28" i="149"/>
  <c r="J78" i="2"/>
  <c r="C28" i="157" s="1"/>
  <c r="C32" i="149"/>
  <c r="J82" i="2"/>
  <c r="C32" i="157" s="1"/>
  <c r="C27" i="149"/>
  <c r="J77" i="2"/>
  <c r="C27" i="157" s="1"/>
  <c r="C26" i="149"/>
  <c r="J76" i="2"/>
  <c r="C26" i="157" s="1"/>
  <c r="C34" i="149"/>
  <c r="J84" i="2"/>
  <c r="C34" i="157" s="1"/>
  <c r="C33" i="149"/>
  <c r="J83" i="2"/>
  <c r="C33" i="157" s="1"/>
  <c r="C29" i="149"/>
  <c r="J79" i="2"/>
  <c r="C29" i="157" s="1"/>
  <c r="C23" i="149"/>
  <c r="J73" i="2"/>
  <c r="C23" i="157" s="1"/>
  <c r="C24" i="149"/>
  <c r="J74" i="2"/>
  <c r="C24" i="157" s="1"/>
  <c r="C25" i="149"/>
  <c r="J75" i="2"/>
  <c r="C25" i="157" s="1"/>
  <c r="C20" i="149"/>
  <c r="J70" i="2"/>
  <c r="C20" i="157" s="1"/>
  <c r="C30" i="149"/>
  <c r="J80" i="2"/>
  <c r="C30" i="157" s="1"/>
  <c r="C21" i="149"/>
  <c r="J71" i="2"/>
  <c r="C21" i="157" s="1"/>
  <c r="C22" i="143"/>
  <c r="I72" i="2"/>
  <c r="D72" i="71"/>
  <c r="D73" i="71" s="1"/>
  <c r="D75" i="71" s="1"/>
  <c r="D76" i="71" s="1"/>
  <c r="E70" i="71" s="1"/>
  <c r="E11" i="113"/>
  <c r="E99" i="3"/>
  <c r="D9" i="17" s="1"/>
  <c r="D20" i="113"/>
  <c r="B67" i="17" s="1"/>
  <c r="E16" i="113"/>
  <c r="E19" i="113"/>
  <c r="E12" i="113"/>
  <c r="E14" i="113"/>
  <c r="E18" i="113"/>
  <c r="E13" i="113"/>
  <c r="E15" i="113"/>
  <c r="E17" i="113"/>
  <c r="F60" i="17" l="1"/>
  <c r="J60" i="17" s="1"/>
  <c r="F59" i="17"/>
  <c r="J59" i="17" s="1"/>
  <c r="F66" i="17"/>
  <c r="J66" i="17" s="1"/>
  <c r="F63" i="17"/>
  <c r="J63" i="17" s="1"/>
  <c r="F65" i="17"/>
  <c r="J65" i="17" s="1"/>
  <c r="F64" i="17"/>
  <c r="J64" i="17" s="1"/>
  <c r="F58" i="17"/>
  <c r="J58" i="17" s="1"/>
  <c r="F61" i="17"/>
  <c r="J61" i="17" s="1"/>
  <c r="F62" i="17"/>
  <c r="J62" i="17" s="1"/>
  <c r="C22" i="149"/>
  <c r="J72" i="2"/>
  <c r="C22" i="157" s="1"/>
  <c r="D22" i="17"/>
  <c r="K9" i="17"/>
  <c r="D4" i="71"/>
  <c r="K59" i="17"/>
  <c r="L59" i="17"/>
  <c r="K60" i="17"/>
  <c r="L60" i="17"/>
  <c r="K66" i="17"/>
  <c r="L66" i="17"/>
  <c r="K62" i="17"/>
  <c r="L62" i="17"/>
  <c r="K65" i="17"/>
  <c r="L65" i="17"/>
  <c r="K58" i="17"/>
  <c r="L58" i="17"/>
  <c r="K64" i="17"/>
  <c r="L64" i="17"/>
  <c r="K61" i="17"/>
  <c r="L61" i="17"/>
  <c r="D24" i="134"/>
  <c r="H42" i="2"/>
  <c r="I42" i="2" s="1"/>
  <c r="J42" i="2" s="1"/>
  <c r="D24" i="157" s="1"/>
  <c r="E24" i="157" s="1"/>
  <c r="E20" i="113"/>
  <c r="G16" i="113"/>
  <c r="D34" i="113"/>
  <c r="B81" i="17" s="1"/>
  <c r="D23" i="113"/>
  <c r="B70" i="17" s="1"/>
  <c r="D27" i="113"/>
  <c r="B74" i="17" s="1"/>
  <c r="D21" i="113"/>
  <c r="B68" i="17" s="1"/>
  <c r="D24" i="113"/>
  <c r="B71" i="17" s="1"/>
  <c r="D26" i="113"/>
  <c r="B73" i="17" s="1"/>
  <c r="D32" i="113"/>
  <c r="B79" i="17" s="1"/>
  <c r="D29" i="113"/>
  <c r="B76" i="17" s="1"/>
  <c r="D22" i="113"/>
  <c r="B69" i="17" s="1"/>
  <c r="D30" i="113"/>
  <c r="B77" i="17" s="1"/>
  <c r="D28" i="113"/>
  <c r="B75" i="17" s="1"/>
  <c r="D25" i="113"/>
  <c r="B72" i="17" s="1"/>
  <c r="D33" i="113"/>
  <c r="B80" i="17" s="1"/>
  <c r="D31" i="113"/>
  <c r="B78" i="17" s="1"/>
  <c r="F16" i="113"/>
  <c r="F15" i="113"/>
  <c r="G15" i="113"/>
  <c r="F12" i="113"/>
  <c r="G12" i="113"/>
  <c r="F13" i="113"/>
  <c r="G13" i="113"/>
  <c r="F19" i="113"/>
  <c r="G19" i="113"/>
  <c r="F11" i="113"/>
  <c r="G11" i="113"/>
  <c r="M58" i="17" s="1"/>
  <c r="F18" i="113"/>
  <c r="G18" i="113"/>
  <c r="F17" i="113"/>
  <c r="G17" i="113"/>
  <c r="F14" i="113"/>
  <c r="G14" i="113"/>
  <c r="M60" i="17" l="1"/>
  <c r="E24" i="134"/>
  <c r="E71" i="17"/>
  <c r="M62" i="17"/>
  <c r="M59" i="17"/>
  <c r="M63" i="17"/>
  <c r="M64" i="17"/>
  <c r="M65" i="17"/>
  <c r="M61" i="17"/>
  <c r="M66" i="17"/>
  <c r="F67" i="17"/>
  <c r="F24" i="157"/>
  <c r="G24" i="157"/>
  <c r="H24" i="157" s="1"/>
  <c r="D24" i="149"/>
  <c r="E24" i="149" s="1"/>
  <c r="D24" i="143"/>
  <c r="E24" i="143" s="1"/>
  <c r="F24" i="143" s="1"/>
  <c r="K63" i="17"/>
  <c r="L63" i="17"/>
  <c r="H16" i="113"/>
  <c r="F20" i="113"/>
  <c r="G20" i="113"/>
  <c r="E24" i="113"/>
  <c r="F71" i="17" s="1"/>
  <c r="E27" i="113"/>
  <c r="F74" i="17" s="1"/>
  <c r="E34" i="113"/>
  <c r="F81" i="17" s="1"/>
  <c r="H14" i="113"/>
  <c r="H18" i="113"/>
  <c r="H19" i="113"/>
  <c r="H12" i="113"/>
  <c r="E33" i="113"/>
  <c r="F80" i="17" s="1"/>
  <c r="E28" i="113"/>
  <c r="F75" i="17" s="1"/>
  <c r="E22" i="113"/>
  <c r="F69" i="17" s="1"/>
  <c r="E32" i="113"/>
  <c r="F79" i="17" s="1"/>
  <c r="E21" i="113"/>
  <c r="E23" i="113"/>
  <c r="F70" i="17" s="1"/>
  <c r="H17" i="113"/>
  <c r="H11" i="113"/>
  <c r="H13" i="113"/>
  <c r="H15" i="113"/>
  <c r="E31" i="113"/>
  <c r="F78" i="17" s="1"/>
  <c r="E25" i="113"/>
  <c r="F72" i="17" s="1"/>
  <c r="E30" i="113"/>
  <c r="E29" i="113"/>
  <c r="F76" i="17" s="1"/>
  <c r="E26" i="113"/>
  <c r="F73" i="17" s="1"/>
  <c r="D33" i="121"/>
  <c r="C80" i="17" s="1"/>
  <c r="D28" i="121"/>
  <c r="C75" i="17" s="1"/>
  <c r="D22" i="121"/>
  <c r="C69" i="17" s="1"/>
  <c r="D32" i="121"/>
  <c r="C79" i="17" s="1"/>
  <c r="D24" i="121"/>
  <c r="C71" i="17" s="1"/>
  <c r="D24" i="127"/>
  <c r="D71" i="17" s="1"/>
  <c r="D27" i="121"/>
  <c r="C74" i="17" s="1"/>
  <c r="D34" i="121"/>
  <c r="C81" i="17" s="1"/>
  <c r="D31" i="121"/>
  <c r="C78" i="17" s="1"/>
  <c r="D25" i="121"/>
  <c r="C72" i="17" s="1"/>
  <c r="D30" i="121"/>
  <c r="C77" i="17" s="1"/>
  <c r="D29" i="121"/>
  <c r="C76" i="17" s="1"/>
  <c r="D26" i="121"/>
  <c r="C73" i="17" s="1"/>
  <c r="D21" i="121"/>
  <c r="C68" i="17" s="1"/>
  <c r="D23" i="121"/>
  <c r="C70" i="17" s="1"/>
  <c r="D20" i="121"/>
  <c r="C67" i="17" s="1"/>
  <c r="M67" i="17" l="1"/>
  <c r="F24" i="134"/>
  <c r="I71" i="17"/>
  <c r="F77" i="17"/>
  <c r="F68" i="17"/>
  <c r="G33" i="113"/>
  <c r="G26" i="113"/>
  <c r="G29" i="113"/>
  <c r="F23" i="113"/>
  <c r="G25" i="113"/>
  <c r="F32" i="113"/>
  <c r="F34" i="113"/>
  <c r="G31" i="113"/>
  <c r="G22" i="113"/>
  <c r="F27" i="113"/>
  <c r="E24" i="127"/>
  <c r="H71" i="17" s="1"/>
  <c r="F28" i="113"/>
  <c r="G24" i="113"/>
  <c r="F24" i="149"/>
  <c r="E30" i="121"/>
  <c r="G77" i="17" s="1"/>
  <c r="J77" i="17" s="1"/>
  <c r="E31" i="121"/>
  <c r="G78" i="17" s="1"/>
  <c r="J78" i="17" s="1"/>
  <c r="E27" i="121"/>
  <c r="G74" i="17" s="1"/>
  <c r="J74" i="17" s="1"/>
  <c r="E21" i="121"/>
  <c r="E25" i="121"/>
  <c r="G72" i="17" s="1"/>
  <c r="J72" i="17" s="1"/>
  <c r="E24" i="121"/>
  <c r="G71" i="17" s="1"/>
  <c r="J71" i="17" s="1"/>
  <c r="E33" i="121"/>
  <c r="G80" i="17" s="1"/>
  <c r="J80" i="17" s="1"/>
  <c r="E23" i="121"/>
  <c r="G70" i="17" s="1"/>
  <c r="J70" i="17" s="1"/>
  <c r="E26" i="121"/>
  <c r="G73" i="17" s="1"/>
  <c r="J73" i="17" s="1"/>
  <c r="E32" i="121"/>
  <c r="G79" i="17" s="1"/>
  <c r="J79" i="17" s="1"/>
  <c r="E28" i="121"/>
  <c r="G75" i="17" s="1"/>
  <c r="J75" i="17" s="1"/>
  <c r="E20" i="121"/>
  <c r="E29" i="121"/>
  <c r="G76" i="17" s="1"/>
  <c r="J76" i="17" s="1"/>
  <c r="E34" i="121"/>
  <c r="G81" i="17" s="1"/>
  <c r="J81" i="17" s="1"/>
  <c r="E22" i="121"/>
  <c r="G69" i="17" s="1"/>
  <c r="J69" i="17" s="1"/>
  <c r="H20" i="113"/>
  <c r="E35" i="113"/>
  <c r="F21" i="113"/>
  <c r="F29" i="113"/>
  <c r="F25" i="113"/>
  <c r="F22" i="113"/>
  <c r="F33" i="113"/>
  <c r="G21" i="113"/>
  <c r="D20" i="127"/>
  <c r="D67" i="17" s="1"/>
  <c r="D21" i="127"/>
  <c r="D68" i="17" s="1"/>
  <c r="D29" i="127"/>
  <c r="D76" i="17" s="1"/>
  <c r="D25" i="127"/>
  <c r="D72" i="17" s="1"/>
  <c r="D34" i="127"/>
  <c r="D81" i="17" s="1"/>
  <c r="D22" i="127"/>
  <c r="D69" i="17" s="1"/>
  <c r="D33" i="127"/>
  <c r="D80" i="17" s="1"/>
  <c r="G27" i="113"/>
  <c r="F26" i="113"/>
  <c r="F30" i="113"/>
  <c r="F31" i="113"/>
  <c r="G23" i="113"/>
  <c r="G32" i="113"/>
  <c r="G28" i="113"/>
  <c r="G30" i="113"/>
  <c r="D23" i="127"/>
  <c r="D70" i="17" s="1"/>
  <c r="D26" i="127"/>
  <c r="D73" i="17" s="1"/>
  <c r="D30" i="127"/>
  <c r="D77" i="17" s="1"/>
  <c r="D31" i="127"/>
  <c r="D78" i="17" s="1"/>
  <c r="D27" i="127"/>
  <c r="D74" i="17" s="1"/>
  <c r="D32" i="127"/>
  <c r="D79" i="17" s="1"/>
  <c r="D28" i="127"/>
  <c r="D75" i="17" s="1"/>
  <c r="G34" i="113"/>
  <c r="F24" i="113"/>
  <c r="M77" i="17" l="1"/>
  <c r="M71" i="17"/>
  <c r="M78" i="17"/>
  <c r="M79" i="17"/>
  <c r="G67" i="17"/>
  <c r="J67" i="17" s="1"/>
  <c r="G68" i="17"/>
  <c r="J68" i="17" s="1"/>
  <c r="M70" i="17"/>
  <c r="M76" i="17"/>
  <c r="F82" i="17"/>
  <c r="M73" i="17"/>
  <c r="M81" i="17"/>
  <c r="M75" i="17"/>
  <c r="M74" i="17"/>
  <c r="M68" i="17"/>
  <c r="M69" i="17"/>
  <c r="M72" i="17"/>
  <c r="M80" i="17"/>
  <c r="H31" i="113"/>
  <c r="H29" i="113"/>
  <c r="F24" i="127"/>
  <c r="H24" i="113"/>
  <c r="H25" i="113"/>
  <c r="H22" i="113"/>
  <c r="H33" i="113"/>
  <c r="H26" i="113"/>
  <c r="E31" i="127"/>
  <c r="E33" i="127"/>
  <c r="H80" i="17" s="1"/>
  <c r="K80" i="17" s="1"/>
  <c r="E29" i="127"/>
  <c r="H76" i="17" s="1"/>
  <c r="K76" i="17" s="1"/>
  <c r="F29" i="121"/>
  <c r="E28" i="127"/>
  <c r="H75" i="17" s="1"/>
  <c r="K75" i="17" s="1"/>
  <c r="E30" i="127"/>
  <c r="H77" i="17" s="1"/>
  <c r="K77" i="17" s="1"/>
  <c r="E21" i="127"/>
  <c r="F28" i="121"/>
  <c r="F27" i="121"/>
  <c r="F32" i="121"/>
  <c r="E32" i="127"/>
  <c r="H79" i="17" s="1"/>
  <c r="K79" i="17" s="1"/>
  <c r="E26" i="127"/>
  <c r="H73" i="17" s="1"/>
  <c r="K73" i="17" s="1"/>
  <c r="E34" i="127"/>
  <c r="E20" i="127"/>
  <c r="H67" i="17" s="1"/>
  <c r="F26" i="121"/>
  <c r="F30" i="121"/>
  <c r="E27" i="127"/>
  <c r="H74" i="17" s="1"/>
  <c r="K74" i="17" s="1"/>
  <c r="E25" i="127"/>
  <c r="F22" i="121"/>
  <c r="F33" i="121"/>
  <c r="E23" i="127"/>
  <c r="H70" i="17" s="1"/>
  <c r="K70" i="17" s="1"/>
  <c r="E22" i="127"/>
  <c r="H69" i="17" s="1"/>
  <c r="K69" i="17" s="1"/>
  <c r="F34" i="121"/>
  <c r="F20" i="121"/>
  <c r="F23" i="121"/>
  <c r="F24" i="121"/>
  <c r="L71" i="17"/>
  <c r="F21" i="121"/>
  <c r="F31" i="121"/>
  <c r="E35" i="121"/>
  <c r="G82" i="17" s="1"/>
  <c r="E60" i="6"/>
  <c r="F25" i="121"/>
  <c r="K71" i="17"/>
  <c r="D22" i="134"/>
  <c r="H40" i="2"/>
  <c r="I40" i="2" s="1"/>
  <c r="J40" i="2" s="1"/>
  <c r="D22" i="157" s="1"/>
  <c r="E22" i="157" s="1"/>
  <c r="D25" i="134"/>
  <c r="H43" i="2"/>
  <c r="I43" i="2" s="1"/>
  <c r="J43" i="2" s="1"/>
  <c r="D25" i="157" s="1"/>
  <c r="E25" i="157" s="1"/>
  <c r="D21" i="134"/>
  <c r="H39" i="2"/>
  <c r="I39" i="2" s="1"/>
  <c r="J39" i="2" s="1"/>
  <c r="D21" i="157" s="1"/>
  <c r="E21" i="157" s="1"/>
  <c r="D28" i="134"/>
  <c r="H46" i="2"/>
  <c r="I46" i="2" s="1"/>
  <c r="J46" i="2" s="1"/>
  <c r="D28" i="157" s="1"/>
  <c r="E28" i="157" s="1"/>
  <c r="D27" i="134"/>
  <c r="H45" i="2"/>
  <c r="I45" i="2" s="1"/>
  <c r="J45" i="2" s="1"/>
  <c r="D27" i="157" s="1"/>
  <c r="E27" i="157" s="1"/>
  <c r="D30" i="134"/>
  <c r="H48" i="2"/>
  <c r="I48" i="2" s="1"/>
  <c r="J48" i="2" s="1"/>
  <c r="D30" i="157" s="1"/>
  <c r="E30" i="157" s="1"/>
  <c r="D23" i="134"/>
  <c r="H41" i="2"/>
  <c r="I41" i="2" s="1"/>
  <c r="J41" i="2" s="1"/>
  <c r="D23" i="157" s="1"/>
  <c r="E23" i="157" s="1"/>
  <c r="D33" i="134"/>
  <c r="H51" i="2"/>
  <c r="I51" i="2" s="1"/>
  <c r="J51" i="2" s="1"/>
  <c r="D33" i="157" s="1"/>
  <c r="E33" i="157" s="1"/>
  <c r="D34" i="134"/>
  <c r="H52" i="2"/>
  <c r="I52" i="2" s="1"/>
  <c r="J52" i="2" s="1"/>
  <c r="D34" i="157" s="1"/>
  <c r="E34" i="157" s="1"/>
  <c r="D29" i="134"/>
  <c r="H47" i="2"/>
  <c r="I47" i="2" s="1"/>
  <c r="J47" i="2" s="1"/>
  <c r="D29" i="157" s="1"/>
  <c r="E29" i="157" s="1"/>
  <c r="D20" i="134"/>
  <c r="H38" i="2"/>
  <c r="I38" i="2" s="1"/>
  <c r="J38" i="2" s="1"/>
  <c r="D20" i="157" s="1"/>
  <c r="E20" i="157" s="1"/>
  <c r="D32" i="134"/>
  <c r="H50" i="2"/>
  <c r="I50" i="2" s="1"/>
  <c r="J50" i="2" s="1"/>
  <c r="D32" i="157" s="1"/>
  <c r="E32" i="157" s="1"/>
  <c r="D31" i="134"/>
  <c r="H49" i="2"/>
  <c r="I49" i="2" s="1"/>
  <c r="J49" i="2" s="1"/>
  <c r="D31" i="157" s="1"/>
  <c r="E31" i="157" s="1"/>
  <c r="D26" i="134"/>
  <c r="H44" i="2"/>
  <c r="I44" i="2" s="1"/>
  <c r="J44" i="2" s="1"/>
  <c r="D26" i="157" s="1"/>
  <c r="E26" i="157" s="1"/>
  <c r="F35" i="113"/>
  <c r="G35" i="113"/>
  <c r="M82" i="17" s="1"/>
  <c r="H28" i="113"/>
  <c r="H23" i="113"/>
  <c r="H27" i="113"/>
  <c r="H30" i="113"/>
  <c r="H32" i="113"/>
  <c r="H34" i="113"/>
  <c r="H21" i="113"/>
  <c r="J82" i="17" l="1"/>
  <c r="K67" i="17"/>
  <c r="E31" i="134"/>
  <c r="E78" i="17"/>
  <c r="E27" i="134"/>
  <c r="E74" i="17"/>
  <c r="E22" i="134"/>
  <c r="E69" i="17"/>
  <c r="E32" i="134"/>
  <c r="E79" i="17"/>
  <c r="E33" i="134"/>
  <c r="E80" i="17"/>
  <c r="E28" i="134"/>
  <c r="E75" i="17"/>
  <c r="E20" i="134"/>
  <c r="E67" i="17"/>
  <c r="E23" i="134"/>
  <c r="E70" i="17"/>
  <c r="E21" i="134"/>
  <c r="E68" i="17"/>
  <c r="E34" i="134"/>
  <c r="E81" i="17"/>
  <c r="H81" i="17"/>
  <c r="K81" i="17" s="1"/>
  <c r="H78" i="17"/>
  <c r="K78" i="17" s="1"/>
  <c r="E26" i="134"/>
  <c r="E73" i="17"/>
  <c r="E29" i="134"/>
  <c r="E76" i="17"/>
  <c r="E30" i="134"/>
  <c r="E77" i="17"/>
  <c r="E25" i="134"/>
  <c r="E72" i="17"/>
  <c r="H72" i="17"/>
  <c r="K72" i="17" s="1"/>
  <c r="H68" i="17"/>
  <c r="K68" i="17" s="1"/>
  <c r="F26" i="157"/>
  <c r="G26" i="157"/>
  <c r="H26" i="157" s="1"/>
  <c r="F30" i="157"/>
  <c r="G30" i="157"/>
  <c r="H30" i="157" s="1"/>
  <c r="F25" i="157"/>
  <c r="G25" i="157"/>
  <c r="H25" i="157" s="1"/>
  <c r="F21" i="157"/>
  <c r="G21" i="157"/>
  <c r="H21" i="157" s="1"/>
  <c r="G23" i="157"/>
  <c r="H23" i="157" s="1"/>
  <c r="F23" i="157"/>
  <c r="F31" i="157"/>
  <c r="G31" i="157"/>
  <c r="H31" i="157" s="1"/>
  <c r="G34" i="157"/>
  <c r="H34" i="157" s="1"/>
  <c r="F34" i="157"/>
  <c r="F27" i="157"/>
  <c r="G27" i="157"/>
  <c r="H27" i="157" s="1"/>
  <c r="F22" i="157"/>
  <c r="G22" i="157"/>
  <c r="H22" i="157" s="1"/>
  <c r="F29" i="157"/>
  <c r="G29" i="157"/>
  <c r="H29" i="157" s="1"/>
  <c r="F32" i="157"/>
  <c r="G32" i="157"/>
  <c r="H32" i="157" s="1"/>
  <c r="F33" i="157"/>
  <c r="G33" i="157"/>
  <c r="H33" i="157" s="1"/>
  <c r="F28" i="157"/>
  <c r="G28" i="157"/>
  <c r="H28" i="157" s="1"/>
  <c r="G20" i="157"/>
  <c r="F20" i="157"/>
  <c r="E35" i="157"/>
  <c r="F31" i="127"/>
  <c r="F34" i="127"/>
  <c r="F27" i="127"/>
  <c r="F21" i="127"/>
  <c r="F33" i="127"/>
  <c r="F25" i="127"/>
  <c r="F26" i="127"/>
  <c r="F32" i="127"/>
  <c r="F29" i="127"/>
  <c r="F22" i="127"/>
  <c r="F20" i="127"/>
  <c r="F30" i="127"/>
  <c r="G38" i="113"/>
  <c r="G41" i="113" s="1"/>
  <c r="E6" i="6" s="1"/>
  <c r="E68" i="6" s="1"/>
  <c r="F23" i="127"/>
  <c r="F28" i="127"/>
  <c r="E35" i="127"/>
  <c r="H82" i="17" s="1"/>
  <c r="K82"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60" i="6"/>
  <c r="H35" i="113"/>
  <c r="C13" i="6"/>
  <c r="D13" i="6"/>
  <c r="E13" i="6"/>
  <c r="E35" i="134" l="1"/>
  <c r="I82" i="17" s="1"/>
  <c r="L82" i="17" s="1"/>
  <c r="I81" i="17"/>
  <c r="L81" i="17" s="1"/>
  <c r="I75" i="17"/>
  <c r="L75" i="17" s="1"/>
  <c r="I74" i="17"/>
  <c r="L74" i="17" s="1"/>
  <c r="I68" i="17"/>
  <c r="L68" i="17" s="1"/>
  <c r="I78" i="17"/>
  <c r="L78" i="17" s="1"/>
  <c r="I73" i="17"/>
  <c r="L73" i="17" s="1"/>
  <c r="I70" i="17"/>
  <c r="L70" i="17" s="1"/>
  <c r="I79" i="17"/>
  <c r="L79" i="17" s="1"/>
  <c r="F31" i="134"/>
  <c r="F21" i="134"/>
  <c r="F27" i="134"/>
  <c r="F34" i="134"/>
  <c r="F28" i="134"/>
  <c r="F32" i="134"/>
  <c r="F26" i="134"/>
  <c r="F23" i="134"/>
  <c r="F25" i="134"/>
  <c r="I72" i="17"/>
  <c r="L72" i="17" s="1"/>
  <c r="F30" i="134"/>
  <c r="I77" i="17"/>
  <c r="L77" i="17" s="1"/>
  <c r="F20" i="134"/>
  <c r="I67" i="17"/>
  <c r="L67" i="17" s="1"/>
  <c r="F22" i="134"/>
  <c r="I69" i="17"/>
  <c r="L69" i="17" s="1"/>
  <c r="F29" i="134"/>
  <c r="I76" i="17"/>
  <c r="L76" i="17" s="1"/>
  <c r="F33" i="134"/>
  <c r="I80" i="17"/>
  <c r="L80" i="17" s="1"/>
  <c r="F35" i="157"/>
  <c r="K60" i="6"/>
  <c r="G35" i="157"/>
  <c r="G38" i="157" s="1"/>
  <c r="G41" i="157" s="1"/>
  <c r="K6" i="6" s="1"/>
  <c r="K68" i="6" s="1"/>
  <c r="H20" i="157"/>
  <c r="H35" i="157" s="1"/>
  <c r="F35" i="127"/>
  <c r="G60" i="6"/>
  <c r="E35" i="143"/>
  <c r="I60" i="6" s="1"/>
  <c r="F23" i="143"/>
  <c r="F29" i="149"/>
  <c r="F20" i="149"/>
  <c r="E35" i="149"/>
  <c r="F22" i="149"/>
  <c r="F26" i="149"/>
  <c r="F28" i="149"/>
  <c r="F27" i="149"/>
  <c r="F25" i="149"/>
  <c r="F21" i="149"/>
  <c r="F33" i="149"/>
  <c r="F34" i="149"/>
  <c r="F30" i="149"/>
  <c r="F23" i="149"/>
  <c r="F32" i="149"/>
  <c r="F31" i="149"/>
  <c r="D79" i="6"/>
  <c r="E79" i="6"/>
  <c r="C79" i="6"/>
  <c r="H60" i="6" l="1"/>
  <c r="F35" i="134"/>
  <c r="F35" i="149"/>
  <c r="J60" i="6"/>
  <c r="F35" i="143"/>
  <c r="C69" i="6"/>
  <c r="D69" i="6" l="1"/>
  <c r="I15" i="120"/>
  <c r="H16" i="120" s="1"/>
  <c r="D72" i="120" l="1"/>
  <c r="F57" i="120"/>
  <c r="D74" i="120" l="1"/>
  <c r="B8" i="17" s="1"/>
  <c r="C98" i="3" l="1"/>
  <c r="C99" i="3" l="1"/>
  <c r="B9" i="17" l="1"/>
  <c r="C22" i="17" s="1"/>
  <c r="C5" i="6"/>
  <c r="C32" i="6" s="1"/>
  <c r="D5" i="6"/>
  <c r="D32" i="6" s="1"/>
  <c r="C21" i="17" l="1"/>
  <c r="C67" i="6"/>
  <c r="C81" i="6" s="1"/>
  <c r="D67" i="6"/>
  <c r="D81" i="6" s="1"/>
  <c r="E5" i="6"/>
  <c r="D21" i="17" l="1"/>
  <c r="E67"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4" i="6"/>
  <c r="C38" i="6" s="1"/>
  <c r="B133" i="2"/>
  <c r="C29" i="17"/>
  <c r="C52" i="8"/>
  <c r="C53" i="8" s="1"/>
  <c r="D12" i="8"/>
  <c r="D26" i="8"/>
  <c r="D31" i="8" s="1"/>
  <c r="D38" i="8"/>
  <c r="D39" i="8" s="1"/>
  <c r="J135" i="70" l="1"/>
  <c r="J137" i="70" s="1"/>
  <c r="J139" i="70" s="1"/>
  <c r="E38" i="6"/>
  <c r="C59" i="6"/>
  <c r="D26" i="17"/>
  <c r="D27" i="17" s="1"/>
  <c r="E51" i="8"/>
  <c r="D41" i="8"/>
  <c r="D64" i="8" s="1"/>
  <c r="C37" i="17"/>
  <c r="H37" i="17" s="1"/>
  <c r="D33" i="8"/>
  <c r="D62" i="8"/>
  <c r="D63" i="8" s="1"/>
  <c r="B134" i="2"/>
  <c r="C35" i="6"/>
  <c r="C61" i="6" s="1"/>
  <c r="D34" i="6" l="1"/>
  <c r="D38" i="6" s="1"/>
  <c r="C133" i="2"/>
  <c r="C56" i="6"/>
  <c r="C82" i="6"/>
  <c r="C83" i="6" s="1"/>
  <c r="E59" i="6"/>
  <c r="D128" i="2"/>
  <c r="D169" i="2" s="1"/>
  <c r="D168" i="2" s="1"/>
  <c r="E10" i="8"/>
  <c r="E26" i="8" s="1"/>
  <c r="D42" i="8"/>
  <c r="C38" i="17"/>
  <c r="H38" i="17" s="1"/>
  <c r="D43" i="8"/>
  <c r="D44" i="8" s="1"/>
  <c r="C58" i="6"/>
  <c r="C42" i="6"/>
  <c r="D52" i="8"/>
  <c r="D53" i="8" s="1"/>
  <c r="D54" i="8" s="1"/>
  <c r="D35" i="8"/>
  <c r="D67" i="8"/>
  <c r="D68" i="8" s="1"/>
  <c r="D82" i="6" l="1"/>
  <c r="D83" i="6" s="1"/>
  <c r="D29" i="17"/>
  <c r="E28" i="8"/>
  <c r="E31" i="8" s="1"/>
  <c r="D37" i="17" s="1"/>
  <c r="E38" i="8"/>
  <c r="E62" i="8" s="1"/>
  <c r="E63" i="8" s="1"/>
  <c r="E12" i="8"/>
  <c r="D46" i="8"/>
  <c r="C135" i="2" s="1"/>
  <c r="C32" i="17" s="1"/>
  <c r="E69" i="6"/>
  <c r="D35" i="6"/>
  <c r="D61" i="6" s="1"/>
  <c r="C134" i="2"/>
  <c r="C84" i="6"/>
  <c r="I37" i="17" l="1"/>
  <c r="D36" i="6"/>
  <c r="D88" i="6" s="1"/>
  <c r="D42" i="6"/>
  <c r="D59" i="6"/>
  <c r="D39" i="6"/>
  <c r="D89" i="6" s="1"/>
  <c r="E39" i="6"/>
  <c r="E89" i="6" s="1"/>
  <c r="D56" i="6"/>
  <c r="D57" i="6" s="1"/>
  <c r="E41" i="8"/>
  <c r="E64" i="8" s="1"/>
  <c r="E67" i="8" s="1"/>
  <c r="E68" i="8" s="1"/>
  <c r="E39" i="8"/>
  <c r="E33" i="8"/>
  <c r="D133" i="2" s="1"/>
  <c r="D58" i="6"/>
  <c r="E52" i="8" l="1"/>
  <c r="E53" i="8" s="1"/>
  <c r="E54" i="8" s="1"/>
  <c r="E34" i="6"/>
  <c r="D84" i="6"/>
  <c r="E42" i="8"/>
  <c r="E43" i="8"/>
  <c r="E46" i="8" s="1"/>
  <c r="D135" i="2" s="1"/>
  <c r="D32" i="17" s="1"/>
  <c r="E35" i="8"/>
  <c r="D38" i="17"/>
  <c r="D44" i="6"/>
  <c r="D90" i="6" s="1"/>
  <c r="I38" i="17" l="1"/>
  <c r="E56" i="6"/>
  <c r="E57" i="6" s="1"/>
  <c r="E44" i="8"/>
  <c r="E82" i="6"/>
  <c r="D134" i="2"/>
  <c r="I14" i="20" l="1"/>
  <c r="I23" i="20" s="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G36" i="70" s="1"/>
  <c r="G14" i="6" s="1"/>
  <c r="F52" i="17" s="1"/>
  <c r="F141" i="70"/>
  <c r="E41" i="70" s="1"/>
  <c r="F17" i="70" l="1"/>
  <c r="F36" i="70" s="1"/>
  <c r="F14" i="6" s="1"/>
  <c r="E52" i="17" s="1"/>
  <c r="G78" i="6"/>
  <c r="G49" i="70"/>
  <c r="G50" i="70" s="1"/>
  <c r="G52" i="70" s="1"/>
  <c r="G15" i="6" s="1"/>
  <c r="G73" i="6" s="1"/>
  <c r="G72" i="6"/>
  <c r="F48" i="70"/>
  <c r="E48" i="70"/>
  <c r="E47" i="70"/>
  <c r="E17" i="70"/>
  <c r="E36" i="70" s="1"/>
  <c r="E14" i="6" s="1"/>
  <c r="E86" i="70"/>
  <c r="E90" i="70" s="1"/>
  <c r="E91" i="70" s="1"/>
  <c r="E93" i="70" s="1"/>
  <c r="E17" i="6" s="1"/>
  <c r="E78" i="6" s="1"/>
  <c r="F86" i="70"/>
  <c r="F90" i="70" s="1"/>
  <c r="F91" i="70" s="1"/>
  <c r="F93" i="70" s="1"/>
  <c r="F17" i="6" s="1"/>
  <c r="F78" i="6" s="1"/>
  <c r="L52" i="17" l="1"/>
  <c r="F72" i="6"/>
  <c r="E49" i="70"/>
  <c r="E50" i="70" s="1"/>
  <c r="E52" i="70" s="1"/>
  <c r="E15" i="6" s="1"/>
  <c r="F49" i="70"/>
  <c r="F50" i="70" s="1"/>
  <c r="F52" i="70" s="1"/>
  <c r="F15" i="6" s="1"/>
  <c r="F73" i="6" s="1"/>
  <c r="D52" i="17"/>
  <c r="K52" i="17" s="1"/>
  <c r="E72" i="6"/>
  <c r="E32" i="6" l="1"/>
  <c r="E35" i="6" s="1"/>
  <c r="E61" i="6" s="1"/>
  <c r="E73" i="6"/>
  <c r="E81" i="6" s="1"/>
  <c r="E83" i="6" s="1"/>
  <c r="E58" i="6" l="1"/>
  <c r="E42" i="6"/>
  <c r="E45" i="6" s="1"/>
  <c r="E36" i="6"/>
  <c r="E88" i="6" s="1"/>
  <c r="D61" i="144"/>
  <c r="I14" i="144" s="1"/>
  <c r="I10" i="144" l="1"/>
  <c r="H11" i="144" s="1"/>
  <c r="I23" i="144"/>
  <c r="I27" i="144"/>
  <c r="H28" i="144" s="1"/>
  <c r="H15" i="144"/>
  <c r="H14" i="17" s="1"/>
  <c r="I14" i="17" s="1"/>
  <c r="J14" i="17" s="1"/>
  <c r="E84" i="6"/>
  <c r="E44" i="6"/>
  <c r="E90" i="6" s="1"/>
  <c r="H24" i="144"/>
  <c r="F87" i="3" l="1"/>
  <c r="G43" i="121" s="1"/>
  <c r="N55" i="17" s="1"/>
  <c r="G87" i="3" l="1"/>
  <c r="G43" i="127" s="1"/>
  <c r="O55"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69" i="17" l="1"/>
  <c r="Q69" i="17" s="1"/>
  <c r="N59" i="17"/>
  <c r="Q59" i="17" s="1"/>
  <c r="N73" i="17"/>
  <c r="Q73" i="17" s="1"/>
  <c r="N62" i="17"/>
  <c r="Q62" i="17" s="1"/>
  <c r="N76" i="17"/>
  <c r="Q76" i="17" s="1"/>
  <c r="N64" i="17"/>
  <c r="Q64" i="17" s="1"/>
  <c r="N77" i="17"/>
  <c r="Q77" i="17" s="1"/>
  <c r="N81" i="17"/>
  <c r="Q81" i="17" s="1"/>
  <c r="N79" i="17"/>
  <c r="Q79" i="17" s="1"/>
  <c r="N75" i="17"/>
  <c r="Q75" i="17" s="1"/>
  <c r="N71" i="17"/>
  <c r="Q71" i="17" s="1"/>
  <c r="N68" i="17"/>
  <c r="Q68" i="17" s="1"/>
  <c r="N66" i="17"/>
  <c r="Q66" i="17" s="1"/>
  <c r="N60" i="17"/>
  <c r="Q60" i="17" s="1"/>
  <c r="N63" i="17"/>
  <c r="Q63" i="17" s="1"/>
  <c r="N74" i="17"/>
  <c r="Q74" i="17" s="1"/>
  <c r="N67" i="17"/>
  <c r="Q67" i="17" s="1"/>
  <c r="N70" i="17"/>
  <c r="Q70" i="17" s="1"/>
  <c r="N61" i="17"/>
  <c r="Q61" i="17" s="1"/>
  <c r="N58" i="17"/>
  <c r="Q58" i="17" s="1"/>
  <c r="N72" i="17"/>
  <c r="Q72" i="17" s="1"/>
  <c r="N78" i="17"/>
  <c r="Q78" i="17" s="1"/>
  <c r="N65" i="17"/>
  <c r="Q65" i="17" s="1"/>
  <c r="N80" i="17"/>
  <c r="Q80" i="17" s="1"/>
  <c r="G12" i="127"/>
  <c r="G11" i="127"/>
  <c r="H19" i="121"/>
  <c r="H22" i="121"/>
  <c r="H14" i="121"/>
  <c r="H15" i="121"/>
  <c r="G22" i="127"/>
  <c r="O69" i="17" s="1"/>
  <c r="G29" i="127"/>
  <c r="O76" i="17" s="1"/>
  <c r="R76" i="17" s="1"/>
  <c r="G28" i="127"/>
  <c r="O75" i="17" s="1"/>
  <c r="G34" i="127"/>
  <c r="O81" i="17" s="1"/>
  <c r="G14" i="127"/>
  <c r="O61" i="17" s="1"/>
  <c r="R61" i="17" s="1"/>
  <c r="G18" i="127"/>
  <c r="O65" i="17" s="1"/>
  <c r="G26" i="127"/>
  <c r="O73" i="17" s="1"/>
  <c r="G19" i="127"/>
  <c r="O66" i="17" s="1"/>
  <c r="R66" i="17" s="1"/>
  <c r="G31" i="127"/>
  <c r="O78" i="17" s="1"/>
  <c r="G30" i="127"/>
  <c r="O77" i="17" s="1"/>
  <c r="G27" i="127"/>
  <c r="O74" i="17" s="1"/>
  <c r="G24" i="127"/>
  <c r="O71" i="17" s="1"/>
  <c r="G17" i="127"/>
  <c r="O64" i="17" s="1"/>
  <c r="G32" i="127"/>
  <c r="O79" i="17" s="1"/>
  <c r="G15" i="127"/>
  <c r="O62" i="17" s="1"/>
  <c r="G25" i="127"/>
  <c r="O72" i="17" s="1"/>
  <c r="R72" i="17" s="1"/>
  <c r="G16" i="127"/>
  <c r="O63" i="17" s="1"/>
  <c r="R63" i="17" s="1"/>
  <c r="G23" i="127"/>
  <c r="O70" i="17" s="1"/>
  <c r="G20" i="127"/>
  <c r="O67" i="17" s="1"/>
  <c r="R67" i="17" s="1"/>
  <c r="G13" i="127"/>
  <c r="O60" i="17" s="1"/>
  <c r="G21" i="127"/>
  <c r="O68" i="17" s="1"/>
  <c r="G33" i="127"/>
  <c r="O80" i="17" s="1"/>
  <c r="H26" i="121"/>
  <c r="H32" i="121"/>
  <c r="H25" i="121"/>
  <c r="H87" i="3"/>
  <c r="G43" i="134" s="1"/>
  <c r="P55" i="17" s="1"/>
  <c r="H33" i="121"/>
  <c r="H13" i="121"/>
  <c r="H16" i="121"/>
  <c r="H34" i="121"/>
  <c r="H27" i="121"/>
  <c r="H24" i="121"/>
  <c r="H21" i="121"/>
  <c r="H17" i="121"/>
  <c r="H11" i="121"/>
  <c r="G35" i="121"/>
  <c r="H12" i="121"/>
  <c r="H28" i="121"/>
  <c r="H30" i="121"/>
  <c r="H31" i="121"/>
  <c r="H18" i="121"/>
  <c r="H20" i="121"/>
  <c r="H23" i="121"/>
  <c r="H29" i="121"/>
  <c r="R60" i="17" l="1"/>
  <c r="R62" i="17"/>
  <c r="R68" i="17"/>
  <c r="R77" i="17"/>
  <c r="R70" i="17"/>
  <c r="R78" i="17"/>
  <c r="R64" i="17"/>
  <c r="R75" i="17"/>
  <c r="R65" i="17"/>
  <c r="R69" i="17"/>
  <c r="R73" i="17"/>
  <c r="R80" i="17"/>
  <c r="R79" i="17"/>
  <c r="R71" i="17"/>
  <c r="R81" i="17"/>
  <c r="R74" i="17"/>
  <c r="O58" i="17"/>
  <c r="R58" i="17" s="1"/>
  <c r="N82" i="17"/>
  <c r="Q82" i="17" s="1"/>
  <c r="O59" i="17"/>
  <c r="R59"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87" i="3"/>
  <c r="G43" i="143" s="1"/>
  <c r="J87"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58" i="17"/>
  <c r="S58" i="17" s="1"/>
  <c r="H15" i="134"/>
  <c r="J15" i="134" s="1"/>
  <c r="P62" i="17"/>
  <c r="S62" i="17" s="1"/>
  <c r="H19" i="134"/>
  <c r="J19" i="134" s="1"/>
  <c r="P66" i="17"/>
  <c r="S66" i="17" s="1"/>
  <c r="H31" i="134"/>
  <c r="J31" i="134" s="1"/>
  <c r="P78" i="17"/>
  <c r="S78" i="17" s="1"/>
  <c r="H12" i="134"/>
  <c r="J12" i="134" s="1"/>
  <c r="P59" i="17"/>
  <c r="S59" i="17" s="1"/>
  <c r="H20" i="134"/>
  <c r="J20" i="134" s="1"/>
  <c r="P67" i="17"/>
  <c r="S67" i="17" s="1"/>
  <c r="H26" i="134"/>
  <c r="J26" i="134" s="1"/>
  <c r="P73" i="17"/>
  <c r="S73" i="17" s="1"/>
  <c r="H17" i="134"/>
  <c r="J17" i="134" s="1"/>
  <c r="P64" i="17"/>
  <c r="S64" i="17" s="1"/>
  <c r="H16" i="134"/>
  <c r="J16" i="134" s="1"/>
  <c r="P63" i="17"/>
  <c r="S63" i="17" s="1"/>
  <c r="H13" i="134"/>
  <c r="J13" i="134" s="1"/>
  <c r="P60" i="17"/>
  <c r="S60" i="17" s="1"/>
  <c r="H22" i="134"/>
  <c r="J22" i="134" s="1"/>
  <c r="P69" i="17"/>
  <c r="S69" i="17" s="1"/>
  <c r="H25" i="134"/>
  <c r="J25" i="134" s="1"/>
  <c r="P72" i="17"/>
  <c r="S72" i="17" s="1"/>
  <c r="H14" i="134"/>
  <c r="J14" i="134" s="1"/>
  <c r="P61" i="17"/>
  <c r="S61" i="17" s="1"/>
  <c r="H29" i="134"/>
  <c r="J29" i="134" s="1"/>
  <c r="P76" i="17"/>
  <c r="S76" i="17" s="1"/>
  <c r="H30" i="134"/>
  <c r="J30" i="134" s="1"/>
  <c r="P77" i="17"/>
  <c r="S77" i="17" s="1"/>
  <c r="H33" i="134"/>
  <c r="J33" i="134" s="1"/>
  <c r="P80" i="17"/>
  <c r="S80" i="17" s="1"/>
  <c r="H32" i="134"/>
  <c r="J32" i="134" s="1"/>
  <c r="P79" i="17"/>
  <c r="S79" i="17" s="1"/>
  <c r="H27" i="134"/>
  <c r="J27" i="134" s="1"/>
  <c r="P74" i="17"/>
  <c r="S74" i="17" s="1"/>
  <c r="H21" i="134"/>
  <c r="J21" i="134" s="1"/>
  <c r="P68" i="17"/>
  <c r="S68" i="17" s="1"/>
  <c r="H34" i="134"/>
  <c r="J34" i="134" s="1"/>
  <c r="P81" i="17"/>
  <c r="S81" i="17" s="1"/>
  <c r="H23" i="134"/>
  <c r="J23" i="134" s="1"/>
  <c r="P70" i="17"/>
  <c r="S70" i="17" s="1"/>
  <c r="O82" i="17"/>
  <c r="R82" i="17" s="1"/>
  <c r="H24" i="134"/>
  <c r="J24" i="134" s="1"/>
  <c r="P71" i="17"/>
  <c r="S71" i="17" s="1"/>
  <c r="H18" i="134"/>
  <c r="J18" i="134" s="1"/>
  <c r="P65" i="17"/>
  <c r="S65" i="17" s="1"/>
  <c r="H28" i="134"/>
  <c r="P75" i="17"/>
  <c r="S75" i="17" s="1"/>
  <c r="H35" i="127"/>
  <c r="J11" i="127"/>
  <c r="J35" i="127" s="1"/>
  <c r="G38" i="127"/>
  <c r="G41" i="127" s="1"/>
  <c r="G6" i="6" s="1"/>
  <c r="G68"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8"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8" i="6" s="1"/>
  <c r="P82" i="17"/>
  <c r="S82"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8" i="6" s="1"/>
  <c r="H35" i="149"/>
  <c r="J35" i="157" s="1"/>
  <c r="G35" i="149"/>
  <c r="I31" i="144"/>
  <c r="H32" i="144" s="1"/>
  <c r="D74" i="144"/>
  <c r="J35" i="143" l="1"/>
  <c r="J35" i="149"/>
  <c r="G38" i="149"/>
  <c r="G41" i="149" s="1"/>
  <c r="J6" i="6" s="1"/>
  <c r="D101" i="144"/>
  <c r="D80" i="144"/>
  <c r="D5" i="150" s="1"/>
  <c r="D32" i="150" s="1"/>
  <c r="F74" i="144"/>
  <c r="F32" i="150" l="1"/>
  <c r="D80" i="150"/>
  <c r="J68" i="6"/>
  <c r="D95" i="144"/>
  <c r="D107" i="150" l="1"/>
  <c r="D82" i="150"/>
  <c r="D86" i="150" s="1"/>
  <c r="D5" i="156" s="1"/>
  <c r="D45" i="156" s="1"/>
  <c r="D97" i="144"/>
  <c r="E8" i="17" s="1"/>
  <c r="BQ377" i="145"/>
  <c r="BQ380" i="145" s="1"/>
  <c r="BQ384" i="145" s="1"/>
  <c r="BQ386" i="145" s="1"/>
  <c r="BQ388" i="145" s="1"/>
  <c r="F80" i="150"/>
  <c r="F94" i="17"/>
  <c r="F103" i="17" s="1"/>
  <c r="F45" i="156" l="1"/>
  <c r="D103" i="156"/>
  <c r="D112" i="144"/>
  <c r="F98" i="3"/>
  <c r="F99" i="3" s="1"/>
  <c r="L8" i="17"/>
  <c r="F86" i="150"/>
  <c r="D101" i="150"/>
  <c r="D103" i="150" s="1"/>
  <c r="F8" i="17" s="1"/>
  <c r="G12" i="17" s="1"/>
  <c r="H12" i="17" s="1"/>
  <c r="I12" i="17" s="1"/>
  <c r="J12" i="17" s="1"/>
  <c r="G70" i="6"/>
  <c r="D109" i="156" l="1"/>
  <c r="F109" i="156" s="1"/>
  <c r="F103" i="156"/>
  <c r="M8" i="17"/>
  <c r="D130" i="156"/>
  <c r="G98" i="3"/>
  <c r="D118" i="150"/>
  <c r="F5" i="6"/>
  <c r="E21" i="17" s="1"/>
  <c r="E9" i="17"/>
  <c r="H16" i="2" l="1"/>
  <c r="D124" i="156"/>
  <c r="D126" i="156" s="1"/>
  <c r="G18" i="17" s="1"/>
  <c r="G19" i="17" s="1"/>
  <c r="G135" i="156"/>
  <c r="F32" i="6"/>
  <c r="F61" i="6" s="1"/>
  <c r="E22" i="17"/>
  <c r="L9" i="17"/>
  <c r="G112" i="150"/>
  <c r="H121" i="71"/>
  <c r="G99" i="3"/>
  <c r="F67" i="6"/>
  <c r="G5" i="6" l="1"/>
  <c r="G32" i="6" s="1"/>
  <c r="G61" i="6" s="1"/>
  <c r="F9" i="17"/>
  <c r="M9" i="17" s="1"/>
  <c r="G20" i="17"/>
  <c r="N8" i="17"/>
  <c r="D141" i="156"/>
  <c r="H98" i="3"/>
  <c r="F120" i="71"/>
  <c r="F121" i="71" s="1"/>
  <c r="F123" i="71" s="1"/>
  <c r="F124" i="71" s="1"/>
  <c r="F4" i="71" s="1"/>
  <c r="H18" i="17"/>
  <c r="H19" i="17" s="1"/>
  <c r="H20" i="17" s="1"/>
  <c r="F69" i="6"/>
  <c r="F81" i="6" s="1"/>
  <c r="I98" i="3" l="1"/>
  <c r="J98" i="3" s="1"/>
  <c r="K98" i="3" s="1"/>
  <c r="L191" i="71" s="1"/>
  <c r="H99" i="3"/>
  <c r="H5" i="6" s="1"/>
  <c r="G21" i="17" s="1"/>
  <c r="G67" i="6"/>
  <c r="G81" i="6" s="1"/>
  <c r="F21" i="17"/>
  <c r="F22" i="17" s="1"/>
  <c r="N9" i="17"/>
  <c r="I18" i="17"/>
  <c r="K99" i="3" l="1"/>
  <c r="K5" i="6" s="1"/>
  <c r="K67" i="6" s="1"/>
  <c r="G22" i="17"/>
  <c r="I19" i="17"/>
  <c r="I20" i="17" s="1"/>
  <c r="J18" i="17"/>
  <c r="J19" i="17" s="1"/>
  <c r="J20" i="17" s="1"/>
  <c r="K176" i="71"/>
  <c r="K177" i="71" s="1"/>
  <c r="J161" i="71"/>
  <c r="J162" i="71" s="1"/>
  <c r="L192" i="71"/>
  <c r="J99" i="3"/>
  <c r="J5" i="6" s="1"/>
  <c r="J67" i="6" s="1"/>
  <c r="I99" i="3"/>
  <c r="I5" i="6" s="1"/>
  <c r="H21" i="17" s="1"/>
  <c r="H67" i="6"/>
  <c r="J21" i="17" l="1"/>
  <c r="I21" i="17"/>
  <c r="I67" i="6"/>
  <c r="H22" i="17"/>
  <c r="J22" i="17" l="1"/>
  <c r="I22" i="17"/>
  <c r="F102" i="2" l="1"/>
  <c r="G6" i="8" l="1"/>
  <c r="G48" i="8" s="1"/>
  <c r="F1" i="153"/>
  <c r="J1" i="153" s="1"/>
  <c r="D367" i="153" s="1"/>
  <c r="D354" i="153" s="1"/>
  <c r="E103" i="2"/>
  <c r="F6" i="8"/>
  <c r="G102" i="2" l="1"/>
  <c r="D107" i="153"/>
  <c r="H107" i="153" s="1"/>
  <c r="F1" i="158"/>
  <c r="J1" i="158" s="1"/>
  <c r="D367" i="158" s="1"/>
  <c r="D270" i="158" s="1"/>
  <c r="F103" i="2"/>
  <c r="D297" i="153"/>
  <c r="H297" i="153" s="1"/>
  <c r="D115" i="153"/>
  <c r="H115" i="153" s="1"/>
  <c r="D121" i="153"/>
  <c r="F121" i="153" s="1"/>
  <c r="G121" i="153" s="1"/>
  <c r="D246" i="153"/>
  <c r="H246" i="153" s="1"/>
  <c r="D96" i="153"/>
  <c r="H96" i="153" s="1"/>
  <c r="D201" i="153"/>
  <c r="H201" i="153" s="1"/>
  <c r="D220" i="153"/>
  <c r="H220" i="153" s="1"/>
  <c r="D288" i="153"/>
  <c r="H288" i="153" s="1"/>
  <c r="D170" i="153"/>
  <c r="H170" i="153" s="1"/>
  <c r="D219" i="153"/>
  <c r="F219" i="153" s="1"/>
  <c r="G219" i="153" s="1"/>
  <c r="D15" i="153"/>
  <c r="H15" i="153" s="1"/>
  <c r="D94" i="153"/>
  <c r="H94" i="153" s="1"/>
  <c r="D318" i="153"/>
  <c r="F318" i="153" s="1"/>
  <c r="G318" i="153" s="1"/>
  <c r="D88" i="153"/>
  <c r="H88" i="153" s="1"/>
  <c r="D10" i="153"/>
  <c r="E10" i="153" s="1"/>
  <c r="V10" i="153" s="1"/>
  <c r="D260" i="153"/>
  <c r="H260" i="153" s="1"/>
  <c r="D263" i="153"/>
  <c r="H263" i="153" s="1"/>
  <c r="D76" i="153"/>
  <c r="H76" i="153" s="1"/>
  <c r="D93" i="153"/>
  <c r="H93" i="153" s="1"/>
  <c r="D344" i="153"/>
  <c r="H344" i="153" s="1"/>
  <c r="D345" i="153"/>
  <c r="H345" i="153" s="1"/>
  <c r="D290" i="153"/>
  <c r="E290" i="153" s="1"/>
  <c r="V290" i="153" s="1"/>
  <c r="W290" i="153" s="1"/>
  <c r="D64" i="153"/>
  <c r="H64" i="153" s="1"/>
  <c r="D13" i="153"/>
  <c r="H13" i="153" s="1"/>
  <c r="D284" i="153"/>
  <c r="F284" i="153" s="1"/>
  <c r="G284" i="153" s="1"/>
  <c r="D228" i="153"/>
  <c r="H228" i="153" s="1"/>
  <c r="D43" i="153"/>
  <c r="H43" i="153" s="1"/>
  <c r="D241" i="153"/>
  <c r="H241" i="153" s="1"/>
  <c r="D339" i="153"/>
  <c r="F339" i="153" s="1"/>
  <c r="G339" i="153" s="1"/>
  <c r="D69" i="153"/>
  <c r="H69" i="153" s="1"/>
  <c r="D250" i="153"/>
  <c r="H250" i="153" s="1"/>
  <c r="D117" i="153"/>
  <c r="H117" i="153" s="1"/>
  <c r="D102" i="153"/>
  <c r="H102" i="153" s="1"/>
  <c r="D16" i="153"/>
  <c r="H16" i="153" s="1"/>
  <c r="D108" i="153"/>
  <c r="H108" i="153" s="1"/>
  <c r="D193" i="153"/>
  <c r="E193" i="153" s="1"/>
  <c r="V193" i="153" s="1"/>
  <c r="W193" i="153" s="1"/>
  <c r="D242" i="153"/>
  <c r="H242" i="153" s="1"/>
  <c r="D187" i="153"/>
  <c r="H187" i="153" s="1"/>
  <c r="D227" i="153"/>
  <c r="F227" i="153" s="1"/>
  <c r="G227" i="153" s="1"/>
  <c r="D299" i="153"/>
  <c r="H299" i="153" s="1"/>
  <c r="D104" i="153"/>
  <c r="H104" i="153" s="1"/>
  <c r="D359" i="153"/>
  <c r="H359" i="153" s="1"/>
  <c r="D286" i="153"/>
  <c r="H286" i="153" s="1"/>
  <c r="D82" i="153"/>
  <c r="F82" i="153" s="1"/>
  <c r="G82" i="153" s="1"/>
  <c r="D306" i="153"/>
  <c r="H306" i="153" s="1"/>
  <c r="D143" i="153"/>
  <c r="E143" i="153" s="1"/>
  <c r="V143" i="153" s="1"/>
  <c r="W143" i="153" s="1"/>
  <c r="D226" i="153"/>
  <c r="H226" i="153" s="1"/>
  <c r="D249" i="153"/>
  <c r="H249" i="153" s="1"/>
  <c r="D281" i="153"/>
  <c r="E281" i="153" s="1"/>
  <c r="V281" i="153" s="1"/>
  <c r="W281" i="153" s="1"/>
  <c r="D236" i="153"/>
  <c r="H236" i="153" s="1"/>
  <c r="D21" i="153"/>
  <c r="H21" i="153" s="1"/>
  <c r="D247" i="153"/>
  <c r="H247" i="153" s="1"/>
  <c r="D163" i="153"/>
  <c r="H163" i="153" s="1"/>
  <c r="D316" i="153"/>
  <c r="H316" i="153" s="1"/>
  <c r="D155" i="153"/>
  <c r="H155" i="153" s="1"/>
  <c r="D238" i="153"/>
  <c r="H238" i="153" s="1"/>
  <c r="D279" i="153"/>
  <c r="H279" i="153" s="1"/>
  <c r="D52" i="153"/>
  <c r="H52" i="153" s="1"/>
  <c r="D166" i="153"/>
  <c r="H166" i="153" s="1"/>
  <c r="D203" i="153"/>
  <c r="E203" i="153" s="1"/>
  <c r="V203" i="153" s="1"/>
  <c r="W203" i="153" s="1"/>
  <c r="D292" i="153"/>
  <c r="H292" i="153" s="1"/>
  <c r="D271" i="153"/>
  <c r="E271" i="153" s="1"/>
  <c r="V271" i="153" s="1"/>
  <c r="W271" i="153" s="1"/>
  <c r="D245" i="153"/>
  <c r="H245" i="153" s="1"/>
  <c r="D270" i="153"/>
  <c r="H270" i="153" s="1"/>
  <c r="D37" i="153"/>
  <c r="H37" i="153" s="1"/>
  <c r="D122" i="153"/>
  <c r="H122" i="153" s="1"/>
  <c r="D67" i="153"/>
  <c r="E67" i="153" s="1"/>
  <c r="V67" i="153" s="1"/>
  <c r="W67" i="153" s="1"/>
  <c r="D253" i="153"/>
  <c r="E253" i="153" s="1"/>
  <c r="V253" i="153" s="1"/>
  <c r="W253" i="153" s="1"/>
  <c r="H318" i="153"/>
  <c r="H354" i="153"/>
  <c r="C367" i="153"/>
  <c r="F354" i="153"/>
  <c r="G354" i="153" s="1"/>
  <c r="F297" i="153"/>
  <c r="G297" i="153" s="1"/>
  <c r="D211" i="153"/>
  <c r="H211" i="153" s="1"/>
  <c r="D97" i="153"/>
  <c r="H97" i="153" s="1"/>
  <c r="D183" i="153"/>
  <c r="H183" i="153" s="1"/>
  <c r="D235" i="153"/>
  <c r="H235" i="153" s="1"/>
  <c r="D179" i="153"/>
  <c r="H179" i="153" s="1"/>
  <c r="D42" i="153"/>
  <c r="H42" i="153" s="1"/>
  <c r="D256" i="153"/>
  <c r="H256" i="153" s="1"/>
  <c r="D144" i="153"/>
  <c r="E144" i="153" s="1"/>
  <c r="V144" i="153" s="1"/>
  <c r="W144" i="153" s="1"/>
  <c r="D229" i="153"/>
  <c r="H229" i="153" s="1"/>
  <c r="D14" i="153"/>
  <c r="D180" i="153"/>
  <c r="E180" i="153" s="1"/>
  <c r="V180" i="153" s="1"/>
  <c r="W180" i="153" s="1"/>
  <c r="D142" i="153"/>
  <c r="H142" i="153" s="1"/>
  <c r="D340" i="153"/>
  <c r="F340" i="153" s="1"/>
  <c r="D332" i="153"/>
  <c r="F332" i="153" s="1"/>
  <c r="D56" i="153"/>
  <c r="F56" i="153" s="1"/>
  <c r="D254" i="153"/>
  <c r="F254" i="153" s="1"/>
  <c r="D99" i="153"/>
  <c r="D197" i="153"/>
  <c r="D218" i="153"/>
  <c r="E218" i="153" s="1"/>
  <c r="V218" i="153" s="1"/>
  <c r="W218" i="153" s="1"/>
  <c r="D12" i="153"/>
  <c r="F12" i="153" s="1"/>
  <c r="D324" i="153"/>
  <c r="F324" i="153" s="1"/>
  <c r="D59" i="153"/>
  <c r="F59" i="153" s="1"/>
  <c r="D54" i="153"/>
  <c r="D129" i="153"/>
  <c r="E129" i="153" s="1"/>
  <c r="V129" i="153" s="1"/>
  <c r="W129" i="153" s="1"/>
  <c r="D113" i="153"/>
  <c r="F113" i="153" s="1"/>
  <c r="D151" i="153"/>
  <c r="F151" i="153" s="1"/>
  <c r="D172" i="153"/>
  <c r="E172" i="153" s="1"/>
  <c r="V172" i="153" s="1"/>
  <c r="W172" i="153" s="1"/>
  <c r="D233" i="153"/>
  <c r="F233" i="153" s="1"/>
  <c r="D343" i="153"/>
  <c r="F343" i="153" s="1"/>
  <c r="D46" i="153"/>
  <c r="F46" i="153" s="1"/>
  <c r="D212" i="153"/>
  <c r="F212" i="153" s="1"/>
  <c r="D80" i="153"/>
  <c r="E80" i="153" s="1"/>
  <c r="V80" i="153" s="1"/>
  <c r="W80" i="153" s="1"/>
  <c r="D310" i="153"/>
  <c r="F310" i="153" s="1"/>
  <c r="D358" i="153"/>
  <c r="D268" i="153"/>
  <c r="H268" i="153" s="1"/>
  <c r="D278" i="153"/>
  <c r="D333" i="153"/>
  <c r="F333" i="153" s="1"/>
  <c r="D199" i="153"/>
  <c r="F199" i="153" s="1"/>
  <c r="D337" i="153"/>
  <c r="D57" i="153"/>
  <c r="E57" i="153" s="1"/>
  <c r="V57" i="153" s="1"/>
  <c r="W57" i="153" s="1"/>
  <c r="D68" i="153"/>
  <c r="F68" i="153" s="1"/>
  <c r="D34" i="153"/>
  <c r="D341" i="153"/>
  <c r="E341" i="153" s="1"/>
  <c r="V341" i="153" s="1"/>
  <c r="W341" i="153" s="1"/>
  <c r="D164" i="153"/>
  <c r="F164" i="153" s="1"/>
  <c r="D277" i="153"/>
  <c r="E277" i="153" s="1"/>
  <c r="V277" i="153" s="1"/>
  <c r="W277" i="153" s="1"/>
  <c r="D351" i="153"/>
  <c r="D232" i="153"/>
  <c r="F232" i="153" s="1"/>
  <c r="D338" i="153"/>
  <c r="F338" i="153" s="1"/>
  <c r="D202" i="153"/>
  <c r="F202" i="153" s="1"/>
  <c r="D169" i="153"/>
  <c r="D360" i="153"/>
  <c r="E360" i="153" s="1"/>
  <c r="V360" i="153" s="1"/>
  <c r="W360" i="153" s="1"/>
  <c r="D116" i="153"/>
  <c r="D221" i="153"/>
  <c r="F221" i="153" s="1"/>
  <c r="D276" i="153"/>
  <c r="F276" i="153" s="1"/>
  <c r="D125" i="153"/>
  <c r="F125" i="153" s="1"/>
  <c r="D41" i="153"/>
  <c r="F41" i="153" s="1"/>
  <c r="D296" i="153"/>
  <c r="D157" i="153"/>
  <c r="D295" i="153"/>
  <c r="E295" i="153" s="1"/>
  <c r="V295" i="153" s="1"/>
  <c r="W295" i="153" s="1"/>
  <c r="D87" i="153"/>
  <c r="F87" i="153" s="1"/>
  <c r="D32" i="153"/>
  <c r="F32" i="153" s="1"/>
  <c r="D294" i="153"/>
  <c r="F294" i="153" s="1"/>
  <c r="G294" i="153" s="1"/>
  <c r="D119" i="153"/>
  <c r="F119" i="153" s="1"/>
  <c r="D274" i="153"/>
  <c r="F274" i="153" s="1"/>
  <c r="F367" i="153"/>
  <c r="D145" i="153"/>
  <c r="H145" i="153" s="1"/>
  <c r="D336" i="153"/>
  <c r="D153" i="153"/>
  <c r="D83" i="153"/>
  <c r="H83" i="153" s="1"/>
  <c r="D287" i="153"/>
  <c r="H287" i="153" s="1"/>
  <c r="D74" i="153"/>
  <c r="F74" i="153" s="1"/>
  <c r="D49" i="153"/>
  <c r="D156" i="153"/>
  <c r="H156" i="153" s="1"/>
  <c r="D302" i="153"/>
  <c r="D86" i="153"/>
  <c r="H86" i="153" s="1"/>
  <c r="D365" i="153"/>
  <c r="D301" i="153"/>
  <c r="H301" i="153" s="1"/>
  <c r="D258" i="153"/>
  <c r="H258" i="153" s="1"/>
  <c r="D269" i="153"/>
  <c r="D282" i="153"/>
  <c r="F282" i="153" s="1"/>
  <c r="G282" i="153" s="1"/>
  <c r="D191" i="153"/>
  <c r="D313" i="153"/>
  <c r="H313" i="153" s="1"/>
  <c r="D350" i="153"/>
  <c r="H350" i="153" s="1"/>
  <c r="D189" i="153"/>
  <c r="F189" i="153" s="1"/>
  <c r="D106" i="153"/>
  <c r="H106" i="153" s="1"/>
  <c r="D237" i="153"/>
  <c r="H237" i="153" s="1"/>
  <c r="D38" i="153"/>
  <c r="D230" i="153"/>
  <c r="F230" i="153" s="1"/>
  <c r="D309" i="153"/>
  <c r="H309" i="153" s="1"/>
  <c r="D92" i="153"/>
  <c r="D25" i="153"/>
  <c r="D24" i="153"/>
  <c r="F24" i="153" s="1"/>
  <c r="D255" i="153"/>
  <c r="H255" i="153" s="1"/>
  <c r="D257" i="153"/>
  <c r="H257" i="153" s="1"/>
  <c r="D319" i="153"/>
  <c r="F319" i="153" s="1"/>
  <c r="D45" i="153"/>
  <c r="D112" i="153"/>
  <c r="D130" i="153"/>
  <c r="H130" i="153" s="1"/>
  <c r="D196" i="153"/>
  <c r="H196" i="153" s="1"/>
  <c r="D185" i="153"/>
  <c r="F185" i="153" s="1"/>
  <c r="D262" i="153"/>
  <c r="H262" i="153" s="1"/>
  <c r="D314" i="153"/>
  <c r="H314" i="153" s="1"/>
  <c r="D298" i="153"/>
  <c r="F298" i="153" s="1"/>
  <c r="D79" i="153"/>
  <c r="D161" i="153"/>
  <c r="H161" i="153" s="1"/>
  <c r="D91" i="153"/>
  <c r="D150" i="153"/>
  <c r="D326" i="153"/>
  <c r="H326" i="153" s="1"/>
  <c r="D147" i="153"/>
  <c r="H147" i="153" s="1"/>
  <c r="H367" i="153"/>
  <c r="D214" i="153"/>
  <c r="H214" i="153" s="1"/>
  <c r="D105" i="153"/>
  <c r="D174" i="153"/>
  <c r="D320" i="153"/>
  <c r="H320" i="153" s="1"/>
  <c r="D160" i="153"/>
  <c r="H160" i="153" s="1"/>
  <c r="D198" i="153"/>
  <c r="H198" i="153" s="1"/>
  <c r="D131" i="153"/>
  <c r="H131" i="153" s="1"/>
  <c r="D100" i="153"/>
  <c r="H100" i="153" s="1"/>
  <c r="D11" i="153"/>
  <c r="H11" i="153" s="1"/>
  <c r="D331" i="153"/>
  <c r="D70" i="153"/>
  <c r="D325" i="153"/>
  <c r="D323" i="153"/>
  <c r="H323" i="153" s="1"/>
  <c r="D171" i="153"/>
  <c r="F171" i="153" s="1"/>
  <c r="D330" i="153"/>
  <c r="F330" i="153" s="1"/>
  <c r="D195" i="153"/>
  <c r="H195" i="153" s="1"/>
  <c r="D30" i="153"/>
  <c r="H30" i="153" s="1"/>
  <c r="D140" i="153"/>
  <c r="F140" i="153" s="1"/>
  <c r="D184" i="153"/>
  <c r="D317" i="153"/>
  <c r="D29" i="153"/>
  <c r="D89" i="153"/>
  <c r="F89" i="153" s="1"/>
  <c r="D66" i="153"/>
  <c r="H66" i="153" s="1"/>
  <c r="D73" i="153"/>
  <c r="D50" i="153"/>
  <c r="F50" i="153" s="1"/>
  <c r="D44" i="153"/>
  <c r="D72" i="153"/>
  <c r="D355" i="153"/>
  <c r="D98" i="153"/>
  <c r="D138" i="153"/>
  <c r="F138" i="153" s="1"/>
  <c r="D259" i="153"/>
  <c r="H259" i="153" s="1"/>
  <c r="D363" i="153"/>
  <c r="F363" i="153" s="1"/>
  <c r="D364" i="153"/>
  <c r="H364" i="153" s="1"/>
  <c r="D362" i="153"/>
  <c r="D40" i="153"/>
  <c r="D291" i="153"/>
  <c r="D234" i="153"/>
  <c r="H234" i="153" s="1"/>
  <c r="D327" i="153"/>
  <c r="H327" i="153" s="1"/>
  <c r="D283" i="153"/>
  <c r="H283" i="153" s="1"/>
  <c r="D141" i="153"/>
  <c r="F141" i="153" s="1"/>
  <c r="D159" i="153"/>
  <c r="F159" i="153" s="1"/>
  <c r="D120" i="153"/>
  <c r="D207" i="153"/>
  <c r="D204" i="153"/>
  <c r="D19" i="153"/>
  <c r="D266" i="153"/>
  <c r="F266" i="153" s="1"/>
  <c r="D353" i="153"/>
  <c r="H353" i="153" s="1"/>
  <c r="D148" i="153"/>
  <c r="F148" i="153" s="1"/>
  <c r="D231" i="153"/>
  <c r="D90" i="153"/>
  <c r="D190" i="153"/>
  <c r="D133" i="153"/>
  <c r="H133" i="153" s="1"/>
  <c r="D181" i="153"/>
  <c r="H181" i="153" s="1"/>
  <c r="D48" i="153"/>
  <c r="F48" i="153" s="1"/>
  <c r="G48" i="153" s="1"/>
  <c r="D300" i="153"/>
  <c r="H300" i="153" s="1"/>
  <c r="D132" i="153"/>
  <c r="F132" i="153" s="1"/>
  <c r="D275" i="153"/>
  <c r="H275" i="153" s="1"/>
  <c r="D264" i="153"/>
  <c r="D60" i="153"/>
  <c r="D61" i="153"/>
  <c r="D85" i="153"/>
  <c r="H85" i="153" s="1"/>
  <c r="D84" i="153"/>
  <c r="F84" i="153" s="1"/>
  <c r="D110" i="153"/>
  <c r="H110" i="153" s="1"/>
  <c r="D127" i="153"/>
  <c r="D208" i="153"/>
  <c r="D213" i="153"/>
  <c r="F213" i="153" s="1"/>
  <c r="D176" i="153"/>
  <c r="F176" i="153" s="1"/>
  <c r="D139" i="153"/>
  <c r="D146" i="153"/>
  <c r="D128" i="153"/>
  <c r="F128" i="153" s="1"/>
  <c r="D305" i="153"/>
  <c r="H305" i="153" s="1"/>
  <c r="D267" i="153"/>
  <c r="D23" i="153"/>
  <c r="F23" i="153" s="1"/>
  <c r="D289" i="153"/>
  <c r="D356" i="153"/>
  <c r="D175" i="153"/>
  <c r="D178" i="153"/>
  <c r="D78" i="153"/>
  <c r="F78" i="153" s="1"/>
  <c r="G78" i="153" s="1"/>
  <c r="D216" i="153"/>
  <c r="H216" i="153" s="1"/>
  <c r="D217" i="153"/>
  <c r="F217" i="153" s="1"/>
  <c r="D152" i="153"/>
  <c r="H152" i="153" s="1"/>
  <c r="D357" i="153"/>
  <c r="F357" i="153" s="1"/>
  <c r="G357" i="153" s="1"/>
  <c r="D182" i="153"/>
  <c r="D225" i="153"/>
  <c r="H225" i="153" s="1"/>
  <c r="D63" i="153"/>
  <c r="E63" i="153" s="1"/>
  <c r="V63" i="153" s="1"/>
  <c r="W63" i="153" s="1"/>
  <c r="D51" i="153"/>
  <c r="H51" i="153" s="1"/>
  <c r="D58" i="153"/>
  <c r="H58" i="153" s="1"/>
  <c r="D243" i="153"/>
  <c r="F243" i="153" s="1"/>
  <c r="D39" i="153"/>
  <c r="D348" i="153"/>
  <c r="F348" i="153" s="1"/>
  <c r="D134" i="153"/>
  <c r="D149" i="153"/>
  <c r="D215" i="153"/>
  <c r="E215" i="153" s="1"/>
  <c r="V215" i="153" s="1"/>
  <c r="W215" i="153" s="1"/>
  <c r="D75" i="153"/>
  <c r="F75" i="153" s="1"/>
  <c r="D244" i="153"/>
  <c r="H244" i="153" s="1"/>
  <c r="D173" i="153"/>
  <c r="D224" i="153"/>
  <c r="F224" i="153" s="1"/>
  <c r="D361" i="153"/>
  <c r="E361" i="153" s="1"/>
  <c r="V361" i="153" s="1"/>
  <c r="W361" i="153" s="1"/>
  <c r="D36" i="153"/>
  <c r="D114" i="153"/>
  <c r="D158" i="153"/>
  <c r="E158" i="153" s="1"/>
  <c r="V158" i="153" s="1"/>
  <c r="W158" i="153" s="1"/>
  <c r="D167" i="153"/>
  <c r="F167" i="153" s="1"/>
  <c r="D186" i="153"/>
  <c r="E186" i="153" s="1"/>
  <c r="V186" i="153" s="1"/>
  <c r="W186" i="153" s="1"/>
  <c r="D31" i="153"/>
  <c r="F31" i="153" s="1"/>
  <c r="G31" i="153" s="1"/>
  <c r="D251" i="153"/>
  <c r="D118" i="153"/>
  <c r="D165" i="153"/>
  <c r="F165" i="153" s="1"/>
  <c r="D307" i="153"/>
  <c r="F307" i="153" s="1"/>
  <c r="D124" i="153"/>
  <c r="E124" i="153" s="1"/>
  <c r="V124" i="153" s="1"/>
  <c r="W124" i="153" s="1"/>
  <c r="D126" i="153"/>
  <c r="H126" i="153" s="1"/>
  <c r="D22" i="153"/>
  <c r="F22" i="153" s="1"/>
  <c r="D188" i="153"/>
  <c r="H188" i="153" s="1"/>
  <c r="D329" i="153"/>
  <c r="D81" i="153"/>
  <c r="D123" i="153"/>
  <c r="D137" i="153"/>
  <c r="D26" i="153"/>
  <c r="H26" i="153" s="1"/>
  <c r="D162" i="153"/>
  <c r="F162" i="153" s="1"/>
  <c r="D103" i="153"/>
  <c r="F103" i="153" s="1"/>
  <c r="D315" i="153"/>
  <c r="F315" i="153" s="1"/>
  <c r="D28" i="153"/>
  <c r="F28" i="153" s="1"/>
  <c r="D33" i="153"/>
  <c r="F33" i="153" s="1"/>
  <c r="D321" i="153"/>
  <c r="D53" i="153"/>
  <c r="D71" i="153"/>
  <c r="E71" i="153" s="1"/>
  <c r="V71" i="153" s="1"/>
  <c r="W71" i="153" s="1"/>
  <c r="D55" i="153"/>
  <c r="H55" i="153" s="1"/>
  <c r="D95" i="153"/>
  <c r="F95" i="153" s="1"/>
  <c r="D222" i="153"/>
  <c r="F222" i="153" s="1"/>
  <c r="D308" i="153"/>
  <c r="D328" i="153"/>
  <c r="E328" i="153" s="1"/>
  <c r="V328" i="153" s="1"/>
  <c r="W328" i="153" s="1"/>
  <c r="D177" i="153"/>
  <c r="D200" i="153"/>
  <c r="F200" i="153" s="1"/>
  <c r="D239" i="153"/>
  <c r="E239" i="153" s="1"/>
  <c r="V239" i="153" s="1"/>
  <c r="W239" i="153" s="1"/>
  <c r="D194" i="153"/>
  <c r="F194" i="153" s="1"/>
  <c r="G194" i="153" s="1"/>
  <c r="D154" i="153"/>
  <c r="E154" i="153" s="1"/>
  <c r="V154" i="153" s="1"/>
  <c r="W154" i="153" s="1"/>
  <c r="D347" i="153"/>
  <c r="F347" i="153" s="1"/>
  <c r="D240" i="153"/>
  <c r="D322" i="153"/>
  <c r="D109" i="153"/>
  <c r="D210" i="153"/>
  <c r="D18" i="153"/>
  <c r="E18" i="153" s="1"/>
  <c r="V18" i="153" s="1"/>
  <c r="W18" i="153" s="1"/>
  <c r="D311" i="153"/>
  <c r="F311" i="153" s="1"/>
  <c r="D252" i="153"/>
  <c r="F252" i="153" s="1"/>
  <c r="D334" i="153"/>
  <c r="D62" i="153"/>
  <c r="D280" i="153"/>
  <c r="F280" i="153" s="1"/>
  <c r="D65" i="153"/>
  <c r="D352" i="153"/>
  <c r="D304" i="153"/>
  <c r="E304" i="153" s="1"/>
  <c r="V304" i="153" s="1"/>
  <c r="W304" i="153" s="1"/>
  <c r="D136" i="153"/>
  <c r="F136" i="153" s="1"/>
  <c r="D135" i="153"/>
  <c r="H135" i="153" s="1"/>
  <c r="D20" i="153"/>
  <c r="D349" i="153"/>
  <c r="F349" i="153" s="1"/>
  <c r="D35" i="153"/>
  <c r="D111" i="153"/>
  <c r="F111" i="153" s="1"/>
  <c r="D101" i="153"/>
  <c r="D335" i="153"/>
  <c r="H335" i="153" s="1"/>
  <c r="D27" i="153"/>
  <c r="F27" i="153" s="1"/>
  <c r="D285" i="153"/>
  <c r="E285" i="153" s="1"/>
  <c r="V285" i="153" s="1"/>
  <c r="W285" i="153" s="1"/>
  <c r="D192" i="153"/>
  <c r="D346" i="153"/>
  <c r="D77" i="153"/>
  <c r="D303" i="153"/>
  <c r="E303" i="153" s="1"/>
  <c r="V303" i="153" s="1"/>
  <c r="W303" i="153" s="1"/>
  <c r="D47" i="153"/>
  <c r="F47" i="153" s="1"/>
  <c r="D272" i="153"/>
  <c r="E272" i="153" s="1"/>
  <c r="V272" i="153" s="1"/>
  <c r="W272" i="153" s="1"/>
  <c r="D17" i="153"/>
  <c r="F17" i="153" s="1"/>
  <c r="D206" i="153"/>
  <c r="H206" i="153" s="1"/>
  <c r="D205" i="153"/>
  <c r="F205" i="153" s="1"/>
  <c r="D248" i="153"/>
  <c r="D293" i="153"/>
  <c r="D342" i="153"/>
  <c r="D261" i="153"/>
  <c r="D312" i="153"/>
  <c r="H312" i="153" s="1"/>
  <c r="D168" i="153"/>
  <c r="F168" i="153" s="1"/>
  <c r="D273" i="153"/>
  <c r="F273" i="153" s="1"/>
  <c r="D209" i="153"/>
  <c r="F209" i="153" s="1"/>
  <c r="D223" i="153"/>
  <c r="D265" i="153"/>
  <c r="G66" i="8"/>
  <c r="E354" i="153"/>
  <c r="V354" i="153" s="1"/>
  <c r="W354" i="153" s="1"/>
  <c r="E107" i="153"/>
  <c r="V107" i="153" s="1"/>
  <c r="W107" i="153" s="1"/>
  <c r="F48" i="8"/>
  <c r="D206" i="158" l="1"/>
  <c r="F206" i="158" s="1"/>
  <c r="G206" i="158" s="1"/>
  <c r="D300" i="158"/>
  <c r="F300" i="158" s="1"/>
  <c r="G300" i="158" s="1"/>
  <c r="D141" i="158"/>
  <c r="F141" i="158" s="1"/>
  <c r="G141" i="158" s="1"/>
  <c r="D152" i="158"/>
  <c r="F152" i="158" s="1"/>
  <c r="G152" i="158" s="1"/>
  <c r="D64" i="158"/>
  <c r="E69" i="153"/>
  <c r="V69" i="153" s="1"/>
  <c r="W69" i="153" s="1"/>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F107" i="153"/>
  <c r="G107" i="153"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W10" i="153"/>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E88" i="153"/>
  <c r="D128" i="158"/>
  <c r="F128" i="158" s="1"/>
  <c r="G128" i="158" s="1"/>
  <c r="D115" i="158"/>
  <c r="F115" i="158" s="1"/>
  <c r="G115" i="158" s="1"/>
  <c r="E201" i="153"/>
  <c r="V201" i="153" s="1"/>
  <c r="W201" i="153"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E263" i="153"/>
  <c r="V263" i="153" s="1"/>
  <c r="W263" i="153" s="1"/>
  <c r="D161" i="158"/>
  <c r="F161" i="158" s="1"/>
  <c r="G161" i="158" s="1"/>
  <c r="D56" i="158"/>
  <c r="F56" i="158" s="1"/>
  <c r="G56" i="158" s="1"/>
  <c r="D88" i="158"/>
  <c r="H88" i="158" s="1"/>
  <c r="D47" i="158"/>
  <c r="F47" i="158" s="1"/>
  <c r="G47" i="158" s="1"/>
  <c r="E318" i="153"/>
  <c r="D79" i="158"/>
  <c r="E79" i="158" s="1"/>
  <c r="V79" i="158" s="1"/>
  <c r="W79" i="158" s="1"/>
  <c r="E26" i="153"/>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E93" i="153"/>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E288" i="153"/>
  <c r="D346" i="158"/>
  <c r="F346" i="158" s="1"/>
  <c r="G346" i="158" s="1"/>
  <c r="D89" i="158"/>
  <c r="F89" i="158" s="1"/>
  <c r="G89" i="158" s="1"/>
  <c r="F260" i="153"/>
  <c r="G260" i="153" s="1"/>
  <c r="D134" i="158"/>
  <c r="F134" i="158" s="1"/>
  <c r="G134" i="158" s="1"/>
  <c r="D94" i="158"/>
  <c r="F94" i="158" s="1"/>
  <c r="G94" i="158" s="1"/>
  <c r="D127" i="158"/>
  <c r="F127" i="158" s="1"/>
  <c r="G127" i="158" s="1"/>
  <c r="D133" i="158"/>
  <c r="F133" i="158" s="1"/>
  <c r="G133" i="158" s="1"/>
  <c r="E121" i="153"/>
  <c r="H121" i="153"/>
  <c r="I121" i="153" s="1"/>
  <c r="D339" i="158"/>
  <c r="F339" i="158" s="1"/>
  <c r="G339" i="158" s="1"/>
  <c r="D82" i="158"/>
  <c r="H82" i="158" s="1"/>
  <c r="D51" i="158"/>
  <c r="F51" i="158" s="1"/>
  <c r="G51" i="158" s="1"/>
  <c r="E246" i="153"/>
  <c r="D34" i="158"/>
  <c r="F34" i="158" s="1"/>
  <c r="G34" i="158" s="1"/>
  <c r="D11" i="158"/>
  <c r="F11" i="158" s="1"/>
  <c r="G11" i="158" s="1"/>
  <c r="D83" i="158"/>
  <c r="F83" i="158" s="1"/>
  <c r="G83" i="158" s="1"/>
  <c r="F246" i="153"/>
  <c r="G246" i="153" s="1"/>
  <c r="E108" i="153"/>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E163" i="153"/>
  <c r="E292" i="153"/>
  <c r="E339" i="153"/>
  <c r="E96" i="153"/>
  <c r="V96" i="153" s="1"/>
  <c r="W96" i="153" s="1"/>
  <c r="E345" i="153"/>
  <c r="H339" i="153"/>
  <c r="I339" i="153" s="1"/>
  <c r="F96" i="153"/>
  <c r="G96" i="153" s="1"/>
  <c r="F345" i="153"/>
  <c r="G345" i="153" s="1"/>
  <c r="E238" i="153"/>
  <c r="E260" i="153"/>
  <c r="F249" i="153"/>
  <c r="G249" i="153" s="1"/>
  <c r="E270" i="153"/>
  <c r="V270" i="153" s="1"/>
  <c r="W270" i="153" s="1"/>
  <c r="E13" i="153"/>
  <c r="V13" i="153" s="1"/>
  <c r="W13" i="153" s="1"/>
  <c r="E312" i="153"/>
  <c r="E249" i="153"/>
  <c r="D295" i="158"/>
  <c r="F295" i="158" s="1"/>
  <c r="G295" i="158" s="1"/>
  <c r="F13" i="153"/>
  <c r="G13" i="153" s="1"/>
  <c r="D325" i="158"/>
  <c r="F325" i="158" s="1"/>
  <c r="G325" i="158" s="1"/>
  <c r="E181" i="153"/>
  <c r="E299" i="153"/>
  <c r="V299" i="153" s="1"/>
  <c r="W299" i="153" s="1"/>
  <c r="D178" i="158"/>
  <c r="F178" i="158" s="1"/>
  <c r="G178" i="158" s="1"/>
  <c r="E117" i="153"/>
  <c r="V117" i="153" s="1"/>
  <c r="W117" i="153" s="1"/>
  <c r="F288" i="153"/>
  <c r="G288" i="153" s="1"/>
  <c r="D207" i="158"/>
  <c r="H207" i="158" s="1"/>
  <c r="F76" i="153"/>
  <c r="G76" i="153" s="1"/>
  <c r="E122" i="153"/>
  <c r="E52" i="153"/>
  <c r="E76" i="153"/>
  <c r="V76" i="153" s="1"/>
  <c r="W76" i="153" s="1"/>
  <c r="F115" i="153"/>
  <c r="G115" i="153" s="1"/>
  <c r="E359" i="153"/>
  <c r="F228" i="153"/>
  <c r="G228" i="153" s="1"/>
  <c r="E115" i="153"/>
  <c r="V115" i="153" s="1"/>
  <c r="W115" i="153" s="1"/>
  <c r="E16" i="153"/>
  <c r="E219" i="153"/>
  <c r="F220" i="153"/>
  <c r="G220" i="153" s="1"/>
  <c r="E220" i="153"/>
  <c r="V220" i="153" s="1"/>
  <c r="W220" i="153" s="1"/>
  <c r="CK4" i="152"/>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E37" i="153"/>
  <c r="E297" i="153"/>
  <c r="F279" i="153"/>
  <c r="G279" i="153" s="1"/>
  <c r="E104" i="153"/>
  <c r="F281" i="153"/>
  <c r="G281" i="153" s="1"/>
  <c r="H281" i="153"/>
  <c r="I281" i="153" s="1"/>
  <c r="E170" i="153"/>
  <c r="H284" i="153"/>
  <c r="I284" i="153" s="1"/>
  <c r="E102" i="153"/>
  <c r="F37" i="153"/>
  <c r="G37" i="153" s="1"/>
  <c r="E279" i="153"/>
  <c r="E284" i="153"/>
  <c r="F263" i="153"/>
  <c r="G263" i="153" s="1"/>
  <c r="F36" i="158"/>
  <c r="G36" i="158" s="1"/>
  <c r="H36" i="158"/>
  <c r="E36" i="158"/>
  <c r="V36" i="158" s="1"/>
  <c r="W36" i="158" s="1"/>
  <c r="E99" i="158"/>
  <c r="V99" i="158" s="1"/>
  <c r="W99" i="158" s="1"/>
  <c r="H99" i="158"/>
  <c r="E206" i="158"/>
  <c r="V206" i="158" s="1"/>
  <c r="W206" i="158" s="1"/>
  <c r="H206" i="158"/>
  <c r="E61" i="158"/>
  <c r="V61" i="158" s="1"/>
  <c r="W61" i="158" s="1"/>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F55" i="158"/>
  <c r="G55" i="158" s="1"/>
  <c r="H55" i="158"/>
  <c r="E55" i="158"/>
  <c r="V55" i="158" s="1"/>
  <c r="W55" i="158" s="1"/>
  <c r="H152" i="158"/>
  <c r="E152" i="158"/>
  <c r="V152" i="158" s="1"/>
  <c r="W152" i="158" s="1"/>
  <c r="E165" i="158"/>
  <c r="V165" i="158" s="1"/>
  <c r="W165" i="158" s="1"/>
  <c r="E115" i="158"/>
  <c r="V115" i="158" s="1"/>
  <c r="W115" i="158" s="1"/>
  <c r="E241" i="158"/>
  <c r="V241" i="158" s="1"/>
  <c r="W241" i="158" s="1"/>
  <c r="F272" i="158"/>
  <c r="G272" i="158" s="1"/>
  <c r="H272" i="158"/>
  <c r="E272" i="158"/>
  <c r="V272" i="158" s="1"/>
  <c r="W272" i="158" s="1"/>
  <c r="H46" i="158"/>
  <c r="E234" i="158"/>
  <c r="V234" i="158" s="1"/>
  <c r="W234" i="158" s="1"/>
  <c r="H234" i="158"/>
  <c r="H45" i="158"/>
  <c r="H192" i="158"/>
  <c r="E192" i="158"/>
  <c r="V192" i="158" s="1"/>
  <c r="W192" i="158" s="1"/>
  <c r="E59" i="158"/>
  <c r="V59" i="158" s="1"/>
  <c r="W59" i="158" s="1"/>
  <c r="E150" i="158"/>
  <c r="V150" i="158" s="1"/>
  <c r="W150" i="158" s="1"/>
  <c r="H44" i="158"/>
  <c r="H256" i="158"/>
  <c r="E256" i="158"/>
  <c r="V256" i="158" s="1"/>
  <c r="W256" i="158" s="1"/>
  <c r="F77" i="158"/>
  <c r="G77" i="158" s="1"/>
  <c r="H77" i="158"/>
  <c r="E77" i="158"/>
  <c r="V77" i="158" s="1"/>
  <c r="W77" i="158" s="1"/>
  <c r="H227" i="158"/>
  <c r="H345" i="158"/>
  <c r="E345" i="158"/>
  <c r="V345" i="158" s="1"/>
  <c r="W345" i="158" s="1"/>
  <c r="F222" i="158"/>
  <c r="G222" i="158" s="1"/>
  <c r="E222" i="158"/>
  <c r="V222" i="158" s="1"/>
  <c r="W222" i="158" s="1"/>
  <c r="H319" i="158"/>
  <c r="H76" i="158"/>
  <c r="E76" i="158"/>
  <c r="V76" i="158" s="1"/>
  <c r="W76" i="158" s="1"/>
  <c r="H95" i="158"/>
  <c r="E343" i="158"/>
  <c r="V343" i="158" s="1"/>
  <c r="W343" i="158" s="1"/>
  <c r="H343" i="158"/>
  <c r="H106" i="158"/>
  <c r="H197" i="158"/>
  <c r="H40" i="158"/>
  <c r="E40" i="158"/>
  <c r="V40" i="158" s="1"/>
  <c r="W40" i="158" s="1"/>
  <c r="F177" i="158"/>
  <c r="G177" i="158" s="1"/>
  <c r="F270" i="158"/>
  <c r="G270" i="158" s="1"/>
  <c r="H270" i="158"/>
  <c r="E270" i="158"/>
  <c r="V270" i="158" s="1"/>
  <c r="W270" i="158" s="1"/>
  <c r="E259" i="153"/>
  <c r="E147" i="153"/>
  <c r="V147" i="153" s="1"/>
  <c r="W147" i="153" s="1"/>
  <c r="E32" i="153"/>
  <c r="E15" i="153"/>
  <c r="E43" i="153"/>
  <c r="E83" i="153"/>
  <c r="E21" i="153"/>
  <c r="E286" i="153"/>
  <c r="V286" i="153" s="1"/>
  <c r="W286" i="153" s="1"/>
  <c r="E216" i="153"/>
  <c r="F43" i="153"/>
  <c r="G43" i="153" s="1"/>
  <c r="F21" i="153"/>
  <c r="G21" i="153" s="1"/>
  <c r="F108" i="153"/>
  <c r="G108" i="153" s="1"/>
  <c r="F286" i="153"/>
  <c r="G286" i="153" s="1"/>
  <c r="E236" i="153"/>
  <c r="E262" i="153"/>
  <c r="V262" i="153" s="1"/>
  <c r="W262" i="153" s="1"/>
  <c r="F359" i="153"/>
  <c r="G359" i="153" s="1"/>
  <c r="E228" i="153"/>
  <c r="E106" i="153"/>
  <c r="V106" i="153" s="1"/>
  <c r="W106" i="153" s="1"/>
  <c r="F88" i="153"/>
  <c r="G88" i="153" s="1"/>
  <c r="F102" i="153"/>
  <c r="G102" i="153" s="1"/>
  <c r="H143" i="153"/>
  <c r="I143" i="153" s="1"/>
  <c r="H290" i="153"/>
  <c r="I290" i="153" s="1"/>
  <c r="F104" i="153"/>
  <c r="G104" i="153" s="1"/>
  <c r="F201" i="153"/>
  <c r="G201" i="153" s="1"/>
  <c r="H219" i="153"/>
  <c r="I219" i="153" s="1"/>
  <c r="E283" i="153"/>
  <c r="V283" i="153" s="1"/>
  <c r="W283" i="153" s="1"/>
  <c r="F170" i="153"/>
  <c r="G170" i="153" s="1"/>
  <c r="E350" i="153"/>
  <c r="CK344" i="152" s="1"/>
  <c r="E335" i="153"/>
  <c r="V335" i="153" s="1"/>
  <c r="W335" i="153" s="1"/>
  <c r="E323" i="153"/>
  <c r="E268" i="153"/>
  <c r="E183" i="153"/>
  <c r="V183" i="153" s="1"/>
  <c r="W183" i="153" s="1"/>
  <c r="E85" i="153"/>
  <c r="E196" i="153"/>
  <c r="V196" i="153" s="1"/>
  <c r="W196" i="153" s="1"/>
  <c r="H193" i="153"/>
  <c r="I193" i="153" s="1"/>
  <c r="E241" i="153"/>
  <c r="E344" i="153"/>
  <c r="F193" i="153"/>
  <c r="G193" i="153" s="1"/>
  <c r="F344" i="153"/>
  <c r="G344" i="153" s="1"/>
  <c r="F94" i="153"/>
  <c r="G94" i="153" s="1"/>
  <c r="E94" i="153"/>
  <c r="F241" i="153"/>
  <c r="G241" i="153" s="1"/>
  <c r="F250" i="153"/>
  <c r="G250" i="153" s="1"/>
  <c r="E245" i="153"/>
  <c r="E250" i="153"/>
  <c r="F270" i="153"/>
  <c r="G270" i="153" s="1"/>
  <c r="F117" i="153"/>
  <c r="G117" i="153" s="1"/>
  <c r="F236" i="153"/>
  <c r="G236" i="153" s="1"/>
  <c r="F143" i="153"/>
  <c r="G143" i="153" s="1"/>
  <c r="F238" i="153"/>
  <c r="G238" i="153" s="1"/>
  <c r="F93" i="153"/>
  <c r="G93" i="153" s="1"/>
  <c r="F299" i="153"/>
  <c r="G299" i="153" s="1"/>
  <c r="F16" i="153"/>
  <c r="G16" i="153" s="1"/>
  <c r="F69" i="153"/>
  <c r="G69" i="153" s="1"/>
  <c r="F187" i="153"/>
  <c r="G187" i="153" s="1"/>
  <c r="H10" i="153"/>
  <c r="I10" i="153" s="1"/>
  <c r="F15" i="153"/>
  <c r="G15" i="153" s="1"/>
  <c r="F10" i="153"/>
  <c r="G10" i="153" s="1"/>
  <c r="H271" i="153"/>
  <c r="I271" i="153" s="1"/>
  <c r="F306" i="153"/>
  <c r="G306" i="153" s="1"/>
  <c r="F64" i="153"/>
  <c r="G64" i="153" s="1"/>
  <c r="E195" i="153"/>
  <c r="E46" i="153"/>
  <c r="F242" i="153"/>
  <c r="G242" i="153" s="1"/>
  <c r="F271" i="153"/>
  <c r="G271" i="153" s="1"/>
  <c r="E306" i="153"/>
  <c r="V306" i="153" s="1"/>
  <c r="W306" i="153" s="1"/>
  <c r="F290" i="153"/>
  <c r="G290" i="153" s="1"/>
  <c r="F316" i="153"/>
  <c r="G316" i="153" s="1"/>
  <c r="F292" i="153"/>
  <c r="G292" i="153" s="1"/>
  <c r="E42" i="153"/>
  <c r="V42" i="153" s="1"/>
  <c r="W42" i="153" s="1"/>
  <c r="E316" i="153"/>
  <c r="E187" i="153"/>
  <c r="V187" i="153" s="1"/>
  <c r="W187" i="153" s="1"/>
  <c r="E64" i="153"/>
  <c r="E237" i="153"/>
  <c r="V237" i="153" s="1"/>
  <c r="W237" i="153" s="1"/>
  <c r="E242" i="153"/>
  <c r="F163" i="153"/>
  <c r="G163" i="153" s="1"/>
  <c r="M170" i="70"/>
  <c r="M172" i="70" s="1"/>
  <c r="H96" i="2"/>
  <c r="I16" i="2" s="1"/>
  <c r="F226" i="153"/>
  <c r="G226" i="153" s="1"/>
  <c r="H227" i="153"/>
  <c r="I227" i="153" s="1"/>
  <c r="E310" i="153"/>
  <c r="V310" i="153" s="1"/>
  <c r="W310" i="153" s="1"/>
  <c r="E229" i="153"/>
  <c r="E227" i="153"/>
  <c r="V227" i="153" s="1"/>
  <c r="W227" i="153" s="1"/>
  <c r="F155" i="153"/>
  <c r="G155" i="153" s="1"/>
  <c r="F245" i="153"/>
  <c r="G245" i="153" s="1"/>
  <c r="E155" i="153"/>
  <c r="V155" i="153" s="1"/>
  <c r="W155" i="153" s="1"/>
  <c r="E226" i="153"/>
  <c r="F122" i="153"/>
  <c r="G122" i="153" s="1"/>
  <c r="F247" i="153"/>
  <c r="G247" i="153" s="1"/>
  <c r="F253" i="153"/>
  <c r="G253" i="153" s="1"/>
  <c r="E82" i="153"/>
  <c r="V82" i="153" s="1"/>
  <c r="W82" i="153" s="1"/>
  <c r="E247" i="153"/>
  <c r="H82" i="153"/>
  <c r="I82" i="153" s="1"/>
  <c r="F52" i="153"/>
  <c r="G52" i="153" s="1"/>
  <c r="E235" i="153"/>
  <c r="V235" i="153" s="1"/>
  <c r="W235" i="153" s="1"/>
  <c r="E274" i="153"/>
  <c r="V274" i="153" s="1"/>
  <c r="W274" i="153" s="1"/>
  <c r="H67" i="153"/>
  <c r="I67" i="153" s="1"/>
  <c r="F67" i="153"/>
  <c r="G67" i="153" s="1"/>
  <c r="F203" i="153"/>
  <c r="G203" i="153" s="1"/>
  <c r="F166" i="153"/>
  <c r="G166" i="153" s="1"/>
  <c r="E254" i="153"/>
  <c r="V254" i="153" s="1"/>
  <c r="W254" i="153" s="1"/>
  <c r="H203" i="153"/>
  <c r="I203" i="153" s="1"/>
  <c r="E256" i="153"/>
  <c r="V256" i="153" s="1"/>
  <c r="W256" i="153" s="1"/>
  <c r="E166" i="153"/>
  <c r="V166" i="153" s="1"/>
  <c r="W166" i="153" s="1"/>
  <c r="E273" i="153"/>
  <c r="V273" i="153" s="1"/>
  <c r="W273" i="153" s="1"/>
  <c r="E97" i="153"/>
  <c r="E305" i="153"/>
  <c r="V305" i="153" s="1"/>
  <c r="W305" i="153" s="1"/>
  <c r="E333" i="153"/>
  <c r="V333" i="153" s="1"/>
  <c r="W333" i="153" s="1"/>
  <c r="E324" i="153"/>
  <c r="V324" i="153" s="1"/>
  <c r="W324" i="153" s="1"/>
  <c r="E206" i="153"/>
  <c r="V206" i="153" s="1"/>
  <c r="W206" i="153" s="1"/>
  <c r="E110" i="153"/>
  <c r="V110" i="153" s="1"/>
  <c r="W110" i="153" s="1"/>
  <c r="E66" i="153"/>
  <c r="V66" i="153" s="1"/>
  <c r="W66" i="153" s="1"/>
  <c r="H253" i="153"/>
  <c r="I253" i="153" s="1"/>
  <c r="E41" i="153"/>
  <c r="V41" i="153" s="1"/>
  <c r="W41" i="153" s="1"/>
  <c r="E179" i="153"/>
  <c r="V179" i="153" s="1"/>
  <c r="W179" i="153" s="1"/>
  <c r="E255" i="153"/>
  <c r="V255" i="153" s="1"/>
  <c r="W255" i="153" s="1"/>
  <c r="E221" i="153"/>
  <c r="V221" i="153" s="1"/>
  <c r="W221" i="153" s="1"/>
  <c r="E95" i="153"/>
  <c r="V95" i="153" s="1"/>
  <c r="W95" i="153" s="1"/>
  <c r="E340" i="153"/>
  <c r="V340" i="153" s="1"/>
  <c r="W340" i="153" s="1"/>
  <c r="E300" i="153"/>
  <c r="V300" i="153" s="1"/>
  <c r="W300" i="153" s="1"/>
  <c r="E330" i="153"/>
  <c r="V330" i="153" s="1"/>
  <c r="W330" i="153" s="1"/>
  <c r="E252" i="153"/>
  <c r="V252" i="153" s="1"/>
  <c r="W252" i="153" s="1"/>
  <c r="E55" i="153"/>
  <c r="V55" i="153" s="1"/>
  <c r="W55" i="153" s="1"/>
  <c r="E171" i="153"/>
  <c r="V171" i="153" s="1"/>
  <c r="W171" i="153" s="1"/>
  <c r="E338" i="153"/>
  <c r="V338" i="153" s="1"/>
  <c r="W338" i="153" s="1"/>
  <c r="E244" i="153"/>
  <c r="V244" i="153" s="1"/>
  <c r="W244" i="153" s="1"/>
  <c r="E211" i="153"/>
  <c r="V211" i="153" s="1"/>
  <c r="W211" i="153" s="1"/>
  <c r="E353" i="153"/>
  <c r="V353" i="153" s="1"/>
  <c r="W353" i="153" s="1"/>
  <c r="E22" i="153"/>
  <c r="V22" i="153" s="1"/>
  <c r="W22" i="153" s="1"/>
  <c r="E343" i="153"/>
  <c r="V343" i="153" s="1"/>
  <c r="W343" i="153" s="1"/>
  <c r="E135" i="153"/>
  <c r="V135" i="153" s="1"/>
  <c r="W135" i="153" s="1"/>
  <c r="E103" i="153"/>
  <c r="V103" i="153" s="1"/>
  <c r="W103" i="153" s="1"/>
  <c r="E142" i="153"/>
  <c r="V142" i="153" s="1"/>
  <c r="W142" i="153" s="1"/>
  <c r="E131" i="153"/>
  <c r="V131" i="153" s="1"/>
  <c r="W131" i="153" s="1"/>
  <c r="E301" i="153"/>
  <c r="V301" i="153" s="1"/>
  <c r="W301" i="153" s="1"/>
  <c r="Z271" i="152"/>
  <c r="T271" i="154" s="1"/>
  <c r="CK271" i="152"/>
  <c r="Z152" i="152"/>
  <c r="T152" i="155" s="1"/>
  <c r="CK152" i="152"/>
  <c r="Z284" i="152"/>
  <c r="T284" i="154" s="1"/>
  <c r="CK284" i="152"/>
  <c r="Z212" i="152"/>
  <c r="T212" i="154" s="1"/>
  <c r="CK212" i="152"/>
  <c r="Z57" i="152"/>
  <c r="T57" i="154" s="1"/>
  <c r="CK57" i="152"/>
  <c r="H272" i="153"/>
  <c r="I272" i="153" s="1"/>
  <c r="H304" i="153"/>
  <c r="I304" i="153" s="1"/>
  <c r="H18" i="153"/>
  <c r="I18" i="153" s="1"/>
  <c r="H239" i="153"/>
  <c r="I239" i="153" s="1"/>
  <c r="H71" i="153"/>
  <c r="I71" i="153" s="1"/>
  <c r="H124" i="153"/>
  <c r="I124" i="153" s="1"/>
  <c r="H158" i="153"/>
  <c r="I158" i="153" s="1"/>
  <c r="H215" i="153"/>
  <c r="I215" i="153" s="1"/>
  <c r="H63" i="153"/>
  <c r="I63" i="153" s="1"/>
  <c r="E178" i="153"/>
  <c r="V178" i="153" s="1"/>
  <c r="W178" i="153" s="1"/>
  <c r="H178" i="153"/>
  <c r="I178" i="153" s="1"/>
  <c r="E146" i="153"/>
  <c r="V146" i="153" s="1"/>
  <c r="W146" i="153" s="1"/>
  <c r="H146" i="153"/>
  <c r="I146" i="153" s="1"/>
  <c r="E19" i="153"/>
  <c r="V19" i="153" s="1"/>
  <c r="W19" i="153" s="1"/>
  <c r="H19" i="153"/>
  <c r="I19" i="153" s="1"/>
  <c r="H98" i="153"/>
  <c r="I98" i="153" s="1"/>
  <c r="H29" i="153"/>
  <c r="I29" i="153" s="1"/>
  <c r="E150" i="153"/>
  <c r="V150" i="153" s="1"/>
  <c r="W150" i="153" s="1"/>
  <c r="H150" i="153"/>
  <c r="I150" i="153" s="1"/>
  <c r="E25" i="153"/>
  <c r="V25" i="153" s="1"/>
  <c r="W25" i="153" s="1"/>
  <c r="H25" i="153"/>
  <c r="I25" i="153" s="1"/>
  <c r="E336" i="153"/>
  <c r="V336" i="153" s="1"/>
  <c r="W336" i="153" s="1"/>
  <c r="H336" i="153"/>
  <c r="I336" i="153" s="1"/>
  <c r="H295" i="153"/>
  <c r="I295" i="153" s="1"/>
  <c r="H360" i="153"/>
  <c r="I360" i="153" s="1"/>
  <c r="H341" i="153"/>
  <c r="I341" i="153" s="1"/>
  <c r="H172" i="153"/>
  <c r="I172" i="153" s="1"/>
  <c r="H218" i="153"/>
  <c r="I218" i="153" s="1"/>
  <c r="H180" i="153"/>
  <c r="I180" i="153" s="1"/>
  <c r="F256" i="153"/>
  <c r="G256" i="153" s="1"/>
  <c r="F131" i="153"/>
  <c r="G131" i="153" s="1"/>
  <c r="F58" i="153"/>
  <c r="G58" i="153" s="1"/>
  <c r="F320" i="153"/>
  <c r="G320" i="153" s="1"/>
  <c r="F158" i="153"/>
  <c r="G158" i="153" s="1"/>
  <c r="F26" i="153"/>
  <c r="G26" i="153" s="1"/>
  <c r="F98" i="153"/>
  <c r="G98" i="153" s="1"/>
  <c r="F106" i="153"/>
  <c r="G106" i="153" s="1"/>
  <c r="F147" i="153"/>
  <c r="G147" i="153" s="1"/>
  <c r="F268" i="153"/>
  <c r="G268" i="153" s="1"/>
  <c r="F29" i="153"/>
  <c r="G29" i="153" s="1"/>
  <c r="Z297" i="152"/>
  <c r="T297" i="155" s="1"/>
  <c r="CK297" i="152"/>
  <c r="Z335" i="152"/>
  <c r="T335" i="154" s="1"/>
  <c r="CK335" i="152"/>
  <c r="Z166" i="152"/>
  <c r="T166" i="155" s="1"/>
  <c r="CK166" i="152"/>
  <c r="Z355" i="152"/>
  <c r="T355" i="155" s="1"/>
  <c r="CK355" i="152"/>
  <c r="Z247" i="152"/>
  <c r="T247" i="155" s="1"/>
  <c r="CK247" i="152"/>
  <c r="Z275" i="152"/>
  <c r="T275" i="154" s="1"/>
  <c r="CK275" i="152"/>
  <c r="Z187" i="152"/>
  <c r="T187" i="155" s="1"/>
  <c r="CK187" i="152"/>
  <c r="H261" i="153"/>
  <c r="I261" i="153" s="1"/>
  <c r="E47" i="153"/>
  <c r="V47" i="153" s="1"/>
  <c r="W47" i="153" s="1"/>
  <c r="H47" i="153"/>
  <c r="I47" i="153" s="1"/>
  <c r="E101" i="153"/>
  <c r="V101" i="153" s="1"/>
  <c r="W101" i="153" s="1"/>
  <c r="H101" i="153"/>
  <c r="I101" i="153" s="1"/>
  <c r="H352" i="153"/>
  <c r="I352" i="153" s="1"/>
  <c r="H210" i="153"/>
  <c r="I210" i="153" s="1"/>
  <c r="E200" i="153"/>
  <c r="V200" i="153" s="1"/>
  <c r="W200" i="153" s="1"/>
  <c r="H200" i="153"/>
  <c r="I200" i="153" s="1"/>
  <c r="H53" i="153"/>
  <c r="I53" i="153" s="1"/>
  <c r="H137" i="153"/>
  <c r="I137" i="153" s="1"/>
  <c r="E307" i="153"/>
  <c r="V307" i="153" s="1"/>
  <c r="W307" i="153" s="1"/>
  <c r="H307" i="153"/>
  <c r="I307" i="153" s="1"/>
  <c r="E114" i="153"/>
  <c r="V114" i="153" s="1"/>
  <c r="W114" i="153" s="1"/>
  <c r="H114" i="153"/>
  <c r="I114" i="153" s="1"/>
  <c r="E149" i="153"/>
  <c r="V149" i="153" s="1"/>
  <c r="W149" i="153" s="1"/>
  <c r="H149" i="153"/>
  <c r="I149" i="153" s="1"/>
  <c r="H175" i="153"/>
  <c r="I175" i="153" s="1"/>
  <c r="H139" i="153"/>
  <c r="I139" i="153" s="1"/>
  <c r="H61" i="153"/>
  <c r="I61" i="153" s="1"/>
  <c r="H204" i="153"/>
  <c r="I204" i="153" s="1"/>
  <c r="E291" i="153"/>
  <c r="V291" i="153" s="1"/>
  <c r="W291" i="153" s="1"/>
  <c r="H291" i="153"/>
  <c r="I291" i="153" s="1"/>
  <c r="H355" i="153"/>
  <c r="I355" i="153" s="1"/>
  <c r="H317" i="153"/>
  <c r="I317" i="153" s="1"/>
  <c r="E325" i="153"/>
  <c r="V325" i="153" s="1"/>
  <c r="W325" i="153" s="1"/>
  <c r="H325" i="153"/>
  <c r="I325" i="153" s="1"/>
  <c r="H91" i="153"/>
  <c r="I91" i="153" s="1"/>
  <c r="E92" i="153"/>
  <c r="V92" i="153" s="1"/>
  <c r="W92" i="153" s="1"/>
  <c r="H92" i="153"/>
  <c r="I92" i="153" s="1"/>
  <c r="E302" i="153"/>
  <c r="V302" i="153" s="1"/>
  <c r="W302" i="153" s="1"/>
  <c r="H302" i="153"/>
  <c r="I302" i="153" s="1"/>
  <c r="E157" i="153"/>
  <c r="V157" i="153" s="1"/>
  <c r="W157" i="153" s="1"/>
  <c r="H157" i="153"/>
  <c r="I157" i="153" s="1"/>
  <c r="H169" i="153"/>
  <c r="I169" i="153" s="1"/>
  <c r="E34" i="153"/>
  <c r="V34" i="153" s="1"/>
  <c r="W34" i="153" s="1"/>
  <c r="H34" i="153"/>
  <c r="I34" i="153" s="1"/>
  <c r="H358" i="153"/>
  <c r="I358" i="153" s="1"/>
  <c r="G151" i="153"/>
  <c r="H151" i="153"/>
  <c r="I151" i="153" s="1"/>
  <c r="H197" i="153"/>
  <c r="I197" i="153" s="1"/>
  <c r="H14" i="153"/>
  <c r="I14" i="153" s="1"/>
  <c r="F312" i="153"/>
  <c r="G312" i="153" s="1"/>
  <c r="F14" i="153"/>
  <c r="G14" i="153" s="1"/>
  <c r="F66" i="153"/>
  <c r="G66" i="153" s="1"/>
  <c r="F255" i="153"/>
  <c r="G255" i="153" s="1"/>
  <c r="F197" i="153"/>
  <c r="G197" i="153" s="1"/>
  <c r="F234" i="153"/>
  <c r="G234" i="153" s="1"/>
  <c r="F156" i="153"/>
  <c r="G156" i="153" s="1"/>
  <c r="F19" i="153"/>
  <c r="G19" i="153" s="1"/>
  <c r="F309" i="153"/>
  <c r="G309" i="153" s="1"/>
  <c r="F137" i="153"/>
  <c r="G137" i="153" s="1"/>
  <c r="F291" i="153"/>
  <c r="G291" i="153" s="1"/>
  <c r="F126" i="153"/>
  <c r="G126" i="153" s="1"/>
  <c r="F283" i="153"/>
  <c r="G283" i="153" s="1"/>
  <c r="F51" i="153"/>
  <c r="G51" i="153" s="1"/>
  <c r="F300" i="153"/>
  <c r="G300" i="153" s="1"/>
  <c r="F30" i="153"/>
  <c r="G30" i="153" s="1"/>
  <c r="F304" i="153"/>
  <c r="G304" i="153" s="1"/>
  <c r="F327" i="153"/>
  <c r="G327" i="153" s="1"/>
  <c r="Z354" i="152"/>
  <c r="T354" i="155" s="1"/>
  <c r="CK354" i="152"/>
  <c r="Z51" i="152"/>
  <c r="T51" i="155" s="1"/>
  <c r="CK51" i="152"/>
  <c r="Z298" i="152"/>
  <c r="T298" i="154" s="1"/>
  <c r="CK298" i="152"/>
  <c r="Z65" i="152"/>
  <c r="T65" i="155" s="1"/>
  <c r="CK65" i="152"/>
  <c r="Z101" i="152"/>
  <c r="T101" i="154" s="1"/>
  <c r="CK101" i="152"/>
  <c r="H342" i="153"/>
  <c r="I342" i="153" s="1"/>
  <c r="H303" i="153"/>
  <c r="I303" i="153" s="1"/>
  <c r="G111" i="153"/>
  <c r="H111" i="153"/>
  <c r="I111" i="153" s="1"/>
  <c r="H65" i="153"/>
  <c r="I65" i="153" s="1"/>
  <c r="H109" i="153"/>
  <c r="I109" i="153" s="1"/>
  <c r="H177" i="153"/>
  <c r="I177" i="153" s="1"/>
  <c r="E321" i="153"/>
  <c r="V321" i="153" s="1"/>
  <c r="W321" i="153" s="1"/>
  <c r="H321" i="153"/>
  <c r="I321" i="153" s="1"/>
  <c r="H123" i="153"/>
  <c r="I123" i="153" s="1"/>
  <c r="G165" i="153"/>
  <c r="H165" i="153"/>
  <c r="I165" i="153" s="1"/>
  <c r="H36" i="153"/>
  <c r="I36" i="153" s="1"/>
  <c r="H134" i="153"/>
  <c r="I134" i="153" s="1"/>
  <c r="E182" i="153"/>
  <c r="V182" i="153" s="1"/>
  <c r="W182" i="153" s="1"/>
  <c r="H182" i="153"/>
  <c r="I182" i="153" s="1"/>
  <c r="H356" i="153"/>
  <c r="I356" i="153" s="1"/>
  <c r="G176" i="153"/>
  <c r="H176" i="153"/>
  <c r="I176" i="153" s="1"/>
  <c r="H60" i="153"/>
  <c r="I60" i="153" s="1"/>
  <c r="H190" i="153"/>
  <c r="I190" i="153" s="1"/>
  <c r="H207" i="153"/>
  <c r="I207" i="153" s="1"/>
  <c r="H40" i="153"/>
  <c r="I40" i="153" s="1"/>
  <c r="E72" i="153"/>
  <c r="V72" i="153" s="1"/>
  <c r="W72" i="153" s="1"/>
  <c r="H72" i="153"/>
  <c r="I72" i="153" s="1"/>
  <c r="H184" i="153"/>
  <c r="I184" i="153" s="1"/>
  <c r="E70" i="153"/>
  <c r="V70" i="153" s="1"/>
  <c r="W70" i="153" s="1"/>
  <c r="H70" i="153"/>
  <c r="I70" i="153" s="1"/>
  <c r="H174" i="153"/>
  <c r="I174" i="153" s="1"/>
  <c r="E112" i="153"/>
  <c r="V112" i="153" s="1"/>
  <c r="W112" i="153" s="1"/>
  <c r="H112" i="153"/>
  <c r="I112" i="153" s="1"/>
  <c r="E191" i="153"/>
  <c r="V191" i="153" s="1"/>
  <c r="W191" i="153" s="1"/>
  <c r="H191" i="153"/>
  <c r="I191" i="153" s="1"/>
  <c r="H296" i="153"/>
  <c r="I296" i="153" s="1"/>
  <c r="G202" i="153"/>
  <c r="H202" i="153"/>
  <c r="I202" i="153" s="1"/>
  <c r="G68" i="153"/>
  <c r="H68" i="153"/>
  <c r="I68" i="153" s="1"/>
  <c r="G310" i="153"/>
  <c r="H310" i="153"/>
  <c r="I310" i="153" s="1"/>
  <c r="G113" i="153"/>
  <c r="H113" i="153"/>
  <c r="I113" i="153" s="1"/>
  <c r="H99" i="153"/>
  <c r="I99" i="153" s="1"/>
  <c r="F172" i="153"/>
  <c r="G172" i="153" s="1"/>
  <c r="F210" i="153"/>
  <c r="G210" i="153" s="1"/>
  <c r="F157" i="153"/>
  <c r="G157" i="153" s="1"/>
  <c r="F72" i="153"/>
  <c r="G72" i="153" s="1"/>
  <c r="F112" i="153"/>
  <c r="G112" i="153" s="1"/>
  <c r="F183" i="153"/>
  <c r="G183" i="153" s="1"/>
  <c r="F149" i="153"/>
  <c r="G149" i="153" s="1"/>
  <c r="F188" i="153"/>
  <c r="G188" i="153" s="1"/>
  <c r="F179" i="153"/>
  <c r="G179" i="153" s="1"/>
  <c r="F110" i="153"/>
  <c r="G110" i="153" s="1"/>
  <c r="F301" i="153"/>
  <c r="G301" i="153" s="1"/>
  <c r="F235" i="153"/>
  <c r="G235" i="153" s="1"/>
  <c r="F114" i="153"/>
  <c r="G114" i="153" s="1"/>
  <c r="F178" i="153"/>
  <c r="G178" i="153" s="1"/>
  <c r="F70" i="153"/>
  <c r="G70" i="153" s="1"/>
  <c r="F314" i="153"/>
  <c r="G314" i="153" s="1"/>
  <c r="F335" i="153"/>
  <c r="G335" i="153" s="1"/>
  <c r="F204" i="153"/>
  <c r="G204" i="153" s="1"/>
  <c r="F360" i="153"/>
  <c r="G360" i="153" s="1"/>
  <c r="F218" i="153"/>
  <c r="G218" i="153" s="1"/>
  <c r="Z233" i="152"/>
  <c r="T233" i="155" s="1"/>
  <c r="CK233" i="152"/>
  <c r="Z123" i="152"/>
  <c r="T123" i="155" s="1"/>
  <c r="CK123" i="152"/>
  <c r="Z289" i="152"/>
  <c r="T289" i="155" s="1"/>
  <c r="CK289" i="152"/>
  <c r="Z209" i="152"/>
  <c r="T209" i="154" s="1"/>
  <c r="CK209" i="152"/>
  <c r="H265" i="153"/>
  <c r="I265" i="153" s="1"/>
  <c r="H293" i="153"/>
  <c r="I293" i="153" s="1"/>
  <c r="H77" i="153"/>
  <c r="I77" i="153" s="1"/>
  <c r="H35" i="153"/>
  <c r="I35" i="153" s="1"/>
  <c r="G280" i="153"/>
  <c r="H280" i="153"/>
  <c r="I280" i="153" s="1"/>
  <c r="H322" i="153"/>
  <c r="I322" i="153" s="1"/>
  <c r="H328" i="153"/>
  <c r="I328" i="153" s="1"/>
  <c r="G33" i="153"/>
  <c r="H33" i="153"/>
  <c r="I33" i="153" s="1"/>
  <c r="H81" i="153"/>
  <c r="I81" i="153" s="1"/>
  <c r="H118" i="153"/>
  <c r="I118" i="153" s="1"/>
  <c r="H361" i="153"/>
  <c r="I361" i="153" s="1"/>
  <c r="G348" i="153"/>
  <c r="H348" i="153"/>
  <c r="I348" i="153" s="1"/>
  <c r="E357" i="153"/>
  <c r="V357" i="153" s="1"/>
  <c r="W357" i="153" s="1"/>
  <c r="H357" i="153"/>
  <c r="I357" i="153" s="1"/>
  <c r="H289" i="153"/>
  <c r="I289" i="153" s="1"/>
  <c r="E213" i="153"/>
  <c r="V213" i="153" s="1"/>
  <c r="W213" i="153" s="1"/>
  <c r="H213" i="153"/>
  <c r="I213" i="153" s="1"/>
  <c r="E264" i="153"/>
  <c r="V264" i="153" s="1"/>
  <c r="W264" i="153" s="1"/>
  <c r="H264" i="153"/>
  <c r="I264" i="153" s="1"/>
  <c r="E90" i="153"/>
  <c r="V90" i="153" s="1"/>
  <c r="W90" i="153" s="1"/>
  <c r="H90" i="153"/>
  <c r="I90" i="153" s="1"/>
  <c r="E120" i="153"/>
  <c r="V120" i="153" s="1"/>
  <c r="W120" i="153" s="1"/>
  <c r="H120" i="153"/>
  <c r="I120" i="153" s="1"/>
  <c r="E362" i="153"/>
  <c r="V362" i="153" s="1"/>
  <c r="W362" i="153" s="1"/>
  <c r="H362" i="153"/>
  <c r="I362" i="153" s="1"/>
  <c r="E44" i="153"/>
  <c r="V44" i="153" s="1"/>
  <c r="W44" i="153" s="1"/>
  <c r="H44" i="153"/>
  <c r="I44" i="153" s="1"/>
  <c r="E140" i="153"/>
  <c r="V140" i="153" s="1"/>
  <c r="W140" i="153" s="1"/>
  <c r="H140" i="153"/>
  <c r="I140" i="153" s="1"/>
  <c r="E331" i="153"/>
  <c r="V331" i="153" s="1"/>
  <c r="W331" i="153" s="1"/>
  <c r="H331" i="153"/>
  <c r="I331" i="153" s="1"/>
  <c r="H105" i="153"/>
  <c r="I105" i="153" s="1"/>
  <c r="E79" i="153"/>
  <c r="V79" i="153" s="1"/>
  <c r="W79" i="153" s="1"/>
  <c r="H79" i="153"/>
  <c r="I79" i="153" s="1"/>
  <c r="E45" i="153"/>
  <c r="V45" i="153" s="1"/>
  <c r="W45" i="153" s="1"/>
  <c r="H45" i="153"/>
  <c r="I45" i="153" s="1"/>
  <c r="E230" i="153"/>
  <c r="V230" i="153" s="1"/>
  <c r="W230" i="153" s="1"/>
  <c r="H230" i="153"/>
  <c r="I230" i="153" s="1"/>
  <c r="E282" i="153"/>
  <c r="V282" i="153" s="1"/>
  <c r="W282" i="153" s="1"/>
  <c r="H282" i="153"/>
  <c r="I282" i="153" s="1"/>
  <c r="E49" i="153"/>
  <c r="V49" i="153" s="1"/>
  <c r="W49" i="153" s="1"/>
  <c r="H49" i="153"/>
  <c r="I49" i="153" s="1"/>
  <c r="G274" i="153"/>
  <c r="H274" i="153"/>
  <c r="I274" i="153" s="1"/>
  <c r="G41" i="153"/>
  <c r="H41" i="153"/>
  <c r="I41" i="153" s="1"/>
  <c r="G338" i="153"/>
  <c r="H338" i="153"/>
  <c r="I338" i="153" s="1"/>
  <c r="H57" i="153"/>
  <c r="I57" i="153" s="1"/>
  <c r="H80" i="153"/>
  <c r="I80" i="153" s="1"/>
  <c r="H129" i="153"/>
  <c r="I129" i="153" s="1"/>
  <c r="G254" i="153"/>
  <c r="H254" i="153"/>
  <c r="I254" i="153" s="1"/>
  <c r="H144" i="153"/>
  <c r="I144" i="153" s="1"/>
  <c r="F206" i="153"/>
  <c r="G206" i="153" s="1"/>
  <c r="F146" i="153"/>
  <c r="G146" i="153" s="1"/>
  <c r="F328" i="153"/>
  <c r="G328" i="153" s="1"/>
  <c r="F60" i="153"/>
  <c r="G60" i="153" s="1"/>
  <c r="F358" i="153"/>
  <c r="G358" i="153" s="1"/>
  <c r="F305" i="153"/>
  <c r="G305" i="153" s="1"/>
  <c r="F174" i="153"/>
  <c r="G174" i="153" s="1"/>
  <c r="F44" i="153"/>
  <c r="G44" i="153" s="1"/>
  <c r="F169" i="153"/>
  <c r="G169" i="153" s="1"/>
  <c r="F86" i="153"/>
  <c r="G86" i="153" s="1"/>
  <c r="F65" i="153"/>
  <c r="G65" i="153" s="1"/>
  <c r="F262" i="153"/>
  <c r="G262" i="153" s="1"/>
  <c r="F216" i="153"/>
  <c r="G216" i="153" s="1"/>
  <c r="F134" i="153"/>
  <c r="G134" i="153" s="1"/>
  <c r="F120" i="153"/>
  <c r="G120" i="153" s="1"/>
  <c r="F109" i="153"/>
  <c r="G109" i="153" s="1"/>
  <c r="F362" i="153"/>
  <c r="G362" i="153" s="1"/>
  <c r="F124" i="153"/>
  <c r="G124" i="153" s="1"/>
  <c r="F229" i="153"/>
  <c r="G229" i="153" s="1"/>
  <c r="F61" i="153"/>
  <c r="G61" i="153" s="1"/>
  <c r="F133" i="153"/>
  <c r="G133" i="153" s="1"/>
  <c r="Z12" i="152"/>
  <c r="T12" i="155" s="1"/>
  <c r="CK12" i="152"/>
  <c r="Z138" i="152"/>
  <c r="T138" i="154" s="1"/>
  <c r="CK138" i="152"/>
  <c r="Z265" i="152"/>
  <c r="T265" i="154" s="1"/>
  <c r="CK265" i="152"/>
  <c r="Z137" i="152"/>
  <c r="T137" i="155" s="1"/>
  <c r="CK137" i="152"/>
  <c r="Z63" i="152"/>
  <c r="T63" i="155" s="1"/>
  <c r="CK63" i="152"/>
  <c r="H223" i="153"/>
  <c r="I223" i="153" s="1"/>
  <c r="H248" i="153"/>
  <c r="I248" i="153" s="1"/>
  <c r="H346" i="153"/>
  <c r="I346" i="153" s="1"/>
  <c r="G349" i="153"/>
  <c r="H349" i="153"/>
  <c r="I349" i="153" s="1"/>
  <c r="H62" i="153"/>
  <c r="I62" i="153" s="1"/>
  <c r="E240" i="153"/>
  <c r="V240" i="153" s="1"/>
  <c r="W240" i="153" s="1"/>
  <c r="H240" i="153"/>
  <c r="I240" i="153" s="1"/>
  <c r="H308" i="153"/>
  <c r="I308" i="153" s="1"/>
  <c r="G28" i="153"/>
  <c r="H28" i="153"/>
  <c r="I28" i="153" s="1"/>
  <c r="H329" i="153"/>
  <c r="I329" i="153" s="1"/>
  <c r="H251" i="153"/>
  <c r="I251" i="153" s="1"/>
  <c r="E224" i="153"/>
  <c r="V224" i="153" s="1"/>
  <c r="W224" i="153" s="1"/>
  <c r="H224" i="153"/>
  <c r="I224" i="153" s="1"/>
  <c r="H39" i="153"/>
  <c r="I39" i="153" s="1"/>
  <c r="G23" i="153"/>
  <c r="H23" i="153"/>
  <c r="I23" i="153" s="1"/>
  <c r="H208" i="153"/>
  <c r="I208" i="153" s="1"/>
  <c r="E231" i="153"/>
  <c r="V231" i="153" s="1"/>
  <c r="W231" i="153" s="1"/>
  <c r="H231" i="153"/>
  <c r="I231" i="153" s="1"/>
  <c r="G159" i="153"/>
  <c r="H159" i="153"/>
  <c r="I159" i="153" s="1"/>
  <c r="G50" i="153"/>
  <c r="H50" i="153"/>
  <c r="I50" i="153" s="1"/>
  <c r="E298" i="153"/>
  <c r="V298" i="153" s="1"/>
  <c r="W298" i="153" s="1"/>
  <c r="H298" i="153"/>
  <c r="I298" i="153" s="1"/>
  <c r="E319" i="153"/>
  <c r="V319" i="153" s="1"/>
  <c r="W319" i="153" s="1"/>
  <c r="H319" i="153"/>
  <c r="I319" i="153" s="1"/>
  <c r="E38" i="153"/>
  <c r="V38" i="153" s="1"/>
  <c r="W38" i="153" s="1"/>
  <c r="H38" i="153"/>
  <c r="I38" i="153" s="1"/>
  <c r="E269" i="153"/>
  <c r="V269" i="153" s="1"/>
  <c r="W269" i="153" s="1"/>
  <c r="H269" i="153"/>
  <c r="I269" i="153" s="1"/>
  <c r="E74" i="153"/>
  <c r="V74" i="153" s="1"/>
  <c r="W74" i="153" s="1"/>
  <c r="H74" i="153"/>
  <c r="I74" i="153" s="1"/>
  <c r="G119" i="153"/>
  <c r="H119" i="153"/>
  <c r="I119" i="153" s="1"/>
  <c r="G125" i="153"/>
  <c r="H125" i="153"/>
  <c r="I125" i="153" s="1"/>
  <c r="G232" i="153"/>
  <c r="H232" i="153"/>
  <c r="I232" i="153" s="1"/>
  <c r="H337" i="153"/>
  <c r="I337" i="153" s="1"/>
  <c r="E212" i="153"/>
  <c r="V212" i="153" s="1"/>
  <c r="W212" i="153" s="1"/>
  <c r="H212" i="153"/>
  <c r="I212" i="153" s="1"/>
  <c r="H54" i="153"/>
  <c r="I54" i="153" s="1"/>
  <c r="G56" i="153"/>
  <c r="H56" i="153"/>
  <c r="I56" i="153" s="1"/>
  <c r="F296" i="153"/>
  <c r="G296" i="153" s="1"/>
  <c r="F326" i="153"/>
  <c r="G326" i="153" s="1"/>
  <c r="F208" i="153"/>
  <c r="G208" i="153" s="1"/>
  <c r="F81" i="153"/>
  <c r="G81" i="153" s="1"/>
  <c r="F302" i="153"/>
  <c r="G302" i="153" s="1"/>
  <c r="F350" i="153"/>
  <c r="G350" i="153" s="1"/>
  <c r="F265" i="153"/>
  <c r="G265" i="153" s="1"/>
  <c r="F38" i="153"/>
  <c r="G38" i="153" s="1"/>
  <c r="F177" i="153"/>
  <c r="G177" i="153" s="1"/>
  <c r="F251" i="153"/>
  <c r="G251" i="153" s="1"/>
  <c r="F214" i="153"/>
  <c r="G214" i="153" s="1"/>
  <c r="F356" i="153"/>
  <c r="G356" i="153" s="1"/>
  <c r="F130" i="153"/>
  <c r="G130" i="153" s="1"/>
  <c r="F62" i="153"/>
  <c r="G62" i="153" s="1"/>
  <c r="F142" i="153"/>
  <c r="G142" i="153" s="1"/>
  <c r="F18" i="153"/>
  <c r="G18" i="153" s="1"/>
  <c r="F36" i="153"/>
  <c r="G36" i="153" s="1"/>
  <c r="F145" i="153"/>
  <c r="G145" i="153" s="1"/>
  <c r="F99" i="153"/>
  <c r="G99" i="153" s="1"/>
  <c r="F342" i="153"/>
  <c r="G342" i="153" s="1"/>
  <c r="F118" i="153"/>
  <c r="G118" i="153" s="1"/>
  <c r="F40" i="153"/>
  <c r="G40" i="153" s="1"/>
  <c r="F45" i="153"/>
  <c r="G45" i="153" s="1"/>
  <c r="F63" i="153"/>
  <c r="G63" i="153" s="1"/>
  <c r="F91" i="153"/>
  <c r="G91" i="153" s="1"/>
  <c r="F144" i="153"/>
  <c r="G144" i="153" s="1"/>
  <c r="F207" i="153"/>
  <c r="G207" i="153" s="1"/>
  <c r="F55" i="153"/>
  <c r="G55" i="153" s="1"/>
  <c r="F352" i="153"/>
  <c r="G352" i="153" s="1"/>
  <c r="F190" i="153"/>
  <c r="G190" i="153" s="1"/>
  <c r="F331" i="153"/>
  <c r="G331" i="153" s="1"/>
  <c r="F135" i="153"/>
  <c r="G135" i="153" s="1"/>
  <c r="Z266" i="152"/>
  <c r="T266" i="154" s="1"/>
  <c r="CK266" i="152"/>
  <c r="Z148" i="152"/>
  <c r="T148" i="154" s="1"/>
  <c r="CK148" i="152"/>
  <c r="Z197" i="152"/>
  <c r="T197" i="154" s="1"/>
  <c r="CK197" i="152"/>
  <c r="Z174" i="152"/>
  <c r="T174" i="154" s="1"/>
  <c r="CK174" i="152"/>
  <c r="G209" i="153"/>
  <c r="H209" i="153"/>
  <c r="I209" i="153" s="1"/>
  <c r="G205" i="153"/>
  <c r="H205" i="153"/>
  <c r="I205" i="153" s="1"/>
  <c r="H192" i="153"/>
  <c r="I192" i="153" s="1"/>
  <c r="H20" i="153"/>
  <c r="I20" i="153" s="1"/>
  <c r="H334" i="153"/>
  <c r="I334" i="153" s="1"/>
  <c r="G347" i="153"/>
  <c r="H347" i="153"/>
  <c r="I347" i="153" s="1"/>
  <c r="E222" i="153"/>
  <c r="V222" i="153" s="1"/>
  <c r="W222" i="153" s="1"/>
  <c r="H222" i="153"/>
  <c r="I222" i="153" s="1"/>
  <c r="G315" i="153"/>
  <c r="H315" i="153"/>
  <c r="I315" i="153" s="1"/>
  <c r="E31" i="153"/>
  <c r="V31" i="153" s="1"/>
  <c r="W31" i="153" s="1"/>
  <c r="H31" i="153"/>
  <c r="I31" i="153" s="1"/>
  <c r="E173" i="153"/>
  <c r="V173" i="153" s="1"/>
  <c r="W173" i="153" s="1"/>
  <c r="H173" i="153"/>
  <c r="I173" i="153" s="1"/>
  <c r="G243" i="153"/>
  <c r="H243" i="153"/>
  <c r="I243" i="153" s="1"/>
  <c r="G217" i="153"/>
  <c r="H217" i="153"/>
  <c r="I217" i="153" s="1"/>
  <c r="H267" i="153"/>
  <c r="I267" i="153" s="1"/>
  <c r="H127" i="153"/>
  <c r="I127" i="153" s="1"/>
  <c r="G132" i="153"/>
  <c r="H132" i="153"/>
  <c r="I132" i="153" s="1"/>
  <c r="G148" i="153"/>
  <c r="H148" i="153"/>
  <c r="I148" i="153" s="1"/>
  <c r="E141" i="153"/>
  <c r="V141" i="153" s="1"/>
  <c r="W141" i="153" s="1"/>
  <c r="H141" i="153"/>
  <c r="I141" i="153" s="1"/>
  <c r="G363" i="153"/>
  <c r="H363" i="153"/>
  <c r="I363" i="153" s="1"/>
  <c r="H73" i="153"/>
  <c r="I73" i="153" s="1"/>
  <c r="E294" i="153"/>
  <c r="V294" i="153" s="1"/>
  <c r="W294" i="153" s="1"/>
  <c r="H294" i="153"/>
  <c r="I294" i="153" s="1"/>
  <c r="G276" i="153"/>
  <c r="H276" i="153"/>
  <c r="I276" i="153" s="1"/>
  <c r="H351" i="153"/>
  <c r="I351" i="153" s="1"/>
  <c r="G199" i="153"/>
  <c r="H199" i="153"/>
  <c r="I199" i="153" s="1"/>
  <c r="G46" i="153"/>
  <c r="H46" i="153"/>
  <c r="I46" i="153" s="1"/>
  <c r="G59" i="153"/>
  <c r="H59" i="153"/>
  <c r="I59" i="153" s="1"/>
  <c r="G332" i="153"/>
  <c r="H332" i="153"/>
  <c r="I332" i="153" s="1"/>
  <c r="F39" i="153"/>
  <c r="G39" i="153" s="1"/>
  <c r="F90" i="153"/>
  <c r="G90" i="153" s="1"/>
  <c r="F248" i="153"/>
  <c r="G248" i="153" s="1"/>
  <c r="F42" i="153"/>
  <c r="G42" i="153" s="1"/>
  <c r="F71" i="153"/>
  <c r="G71" i="153" s="1"/>
  <c r="F80" i="153"/>
  <c r="G80" i="153" s="1"/>
  <c r="F323" i="153"/>
  <c r="G323" i="153" s="1"/>
  <c r="F355" i="153"/>
  <c r="G355" i="153" s="1"/>
  <c r="F293" i="153"/>
  <c r="G293" i="153" s="1"/>
  <c r="F322" i="153"/>
  <c r="G322" i="153" s="1"/>
  <c r="F198" i="153"/>
  <c r="G198" i="153" s="1"/>
  <c r="F161" i="153"/>
  <c r="G161" i="153" s="1"/>
  <c r="F272" i="153"/>
  <c r="G272" i="153" s="1"/>
  <c r="F303" i="153"/>
  <c r="G303" i="153" s="1"/>
  <c r="F54" i="153"/>
  <c r="G54" i="153" s="1"/>
  <c r="F182" i="153"/>
  <c r="G182" i="153" s="1"/>
  <c r="F57" i="153"/>
  <c r="G57" i="153" s="1"/>
  <c r="F97" i="153"/>
  <c r="G97" i="153" s="1"/>
  <c r="F150" i="153"/>
  <c r="G150" i="153" s="1"/>
  <c r="F49" i="153"/>
  <c r="G49" i="153" s="1"/>
  <c r="F351" i="153"/>
  <c r="G351" i="153" s="1"/>
  <c r="F257" i="153"/>
  <c r="G257" i="153" s="1"/>
  <c r="F325" i="153"/>
  <c r="G325" i="153" s="1"/>
  <c r="F361" i="153"/>
  <c r="G361" i="153" s="1"/>
  <c r="F105" i="153"/>
  <c r="G105" i="153" s="1"/>
  <c r="F267" i="153"/>
  <c r="G267" i="153" s="1"/>
  <c r="G273" i="153"/>
  <c r="H273" i="153"/>
  <c r="I273" i="153" s="1"/>
  <c r="H285" i="153"/>
  <c r="I285" i="153" s="1"/>
  <c r="G252" i="153"/>
  <c r="H252" i="153"/>
  <c r="I252" i="153" s="1"/>
  <c r="H154" i="153"/>
  <c r="I154" i="153" s="1"/>
  <c r="G95" i="153"/>
  <c r="H95" i="153"/>
  <c r="I95" i="153" s="1"/>
  <c r="G103" i="153"/>
  <c r="H103" i="153"/>
  <c r="I103" i="153" s="1"/>
  <c r="G22" i="153"/>
  <c r="H22" i="153"/>
  <c r="I22" i="153" s="1"/>
  <c r="H186" i="153"/>
  <c r="I186" i="153" s="1"/>
  <c r="G330" i="153"/>
  <c r="H330" i="153"/>
  <c r="I330" i="153" s="1"/>
  <c r="G32" i="153"/>
  <c r="H32" i="153"/>
  <c r="I32" i="153" s="1"/>
  <c r="G221" i="153"/>
  <c r="H221" i="153"/>
  <c r="I221" i="153" s="1"/>
  <c r="H277" i="153"/>
  <c r="I277" i="153" s="1"/>
  <c r="G333" i="153"/>
  <c r="H333" i="153"/>
  <c r="I333" i="153" s="1"/>
  <c r="G343" i="153"/>
  <c r="H343" i="153"/>
  <c r="I343" i="153" s="1"/>
  <c r="G324" i="153"/>
  <c r="H324" i="153"/>
  <c r="I324" i="153" s="1"/>
  <c r="G340" i="153"/>
  <c r="H340" i="153"/>
  <c r="I340" i="153" s="1"/>
  <c r="F317" i="153"/>
  <c r="G317" i="153" s="1"/>
  <c r="F53" i="153"/>
  <c r="G53" i="153" s="1"/>
  <c r="F83" i="153"/>
  <c r="G83" i="153" s="1"/>
  <c r="F341" i="153"/>
  <c r="G341" i="153" s="1"/>
  <c r="F20" i="153"/>
  <c r="G20" i="153" s="1"/>
  <c r="F334" i="153"/>
  <c r="G334" i="153" s="1"/>
  <c r="F191" i="153"/>
  <c r="G191" i="153" s="1"/>
  <c r="F100" i="153"/>
  <c r="G100" i="153" s="1"/>
  <c r="F259" i="153"/>
  <c r="G259" i="153" s="1"/>
  <c r="F195" i="153"/>
  <c r="G195" i="153" s="1"/>
  <c r="F237" i="153"/>
  <c r="G237" i="153" s="1"/>
  <c r="F160" i="153"/>
  <c r="G160" i="153" s="1"/>
  <c r="F73" i="153"/>
  <c r="G73" i="153" s="1"/>
  <c r="F123" i="153"/>
  <c r="G123" i="153" s="1"/>
  <c r="F353" i="153"/>
  <c r="G353" i="153" s="1"/>
  <c r="F329" i="153"/>
  <c r="G329" i="153" s="1"/>
  <c r="F186" i="153"/>
  <c r="G186" i="153" s="1"/>
  <c r="F239" i="153"/>
  <c r="G239" i="153" s="1"/>
  <c r="F129" i="153"/>
  <c r="G129" i="153" s="1"/>
  <c r="F34" i="153"/>
  <c r="G34" i="153" s="1"/>
  <c r="F346" i="153"/>
  <c r="G346" i="153" s="1"/>
  <c r="F295" i="153"/>
  <c r="G295" i="153" s="1"/>
  <c r="F337" i="153"/>
  <c r="G337" i="153" s="1"/>
  <c r="F289" i="153"/>
  <c r="G289" i="153" s="1"/>
  <c r="F25" i="153"/>
  <c r="G25" i="153" s="1"/>
  <c r="F336" i="153"/>
  <c r="G336" i="153" s="1"/>
  <c r="F287" i="153"/>
  <c r="G287" i="153" s="1"/>
  <c r="F77" i="153"/>
  <c r="G77" i="153" s="1"/>
  <c r="F240" i="153"/>
  <c r="G240" i="153" s="1"/>
  <c r="F269" i="153"/>
  <c r="G269" i="153" s="1"/>
  <c r="F277" i="153"/>
  <c r="G277" i="153" s="1"/>
  <c r="F275" i="153"/>
  <c r="G275" i="153" s="1"/>
  <c r="F258" i="153"/>
  <c r="G258" i="153" s="1"/>
  <c r="F181" i="153"/>
  <c r="G181" i="153" s="1"/>
  <c r="Z74" i="152"/>
  <c r="T74" i="155" s="1"/>
  <c r="CK74" i="152"/>
  <c r="Z118" i="152"/>
  <c r="T118" i="155" s="1"/>
  <c r="CK118" i="152"/>
  <c r="Z279" i="152"/>
  <c r="T279" i="154" s="1"/>
  <c r="CK279" i="152"/>
  <c r="Z322" i="152"/>
  <c r="T322" i="154" s="1"/>
  <c r="CK322" i="152"/>
  <c r="Z180" i="152"/>
  <c r="T180" i="154" s="1"/>
  <c r="CK180" i="152"/>
  <c r="Z61" i="152"/>
  <c r="T61" i="154" s="1"/>
  <c r="CK61" i="152"/>
  <c r="Z348" i="152"/>
  <c r="T348" i="154" s="1"/>
  <c r="CK348" i="152"/>
  <c r="E58" i="153"/>
  <c r="V58" i="153" s="1"/>
  <c r="W58" i="153" s="1"/>
  <c r="G168" i="153"/>
  <c r="H168" i="153"/>
  <c r="I168" i="153" s="1"/>
  <c r="G17" i="153"/>
  <c r="H17" i="153"/>
  <c r="I17" i="153" s="1"/>
  <c r="G27" i="153"/>
  <c r="H27" i="153"/>
  <c r="I27" i="153" s="1"/>
  <c r="E136" i="153"/>
  <c r="V136" i="153" s="1"/>
  <c r="W136" i="153" s="1"/>
  <c r="H136" i="153"/>
  <c r="I136" i="153" s="1"/>
  <c r="G311" i="153"/>
  <c r="H311" i="153"/>
  <c r="I311" i="153" s="1"/>
  <c r="E194" i="153"/>
  <c r="V194" i="153" s="1"/>
  <c r="W194" i="153" s="1"/>
  <c r="H194" i="153"/>
  <c r="I194" i="153" s="1"/>
  <c r="G162" i="153"/>
  <c r="H162" i="153"/>
  <c r="I162" i="153" s="1"/>
  <c r="G167" i="153"/>
  <c r="H167" i="153"/>
  <c r="I167" i="153" s="1"/>
  <c r="G75" i="153"/>
  <c r="H75" i="153"/>
  <c r="I75" i="153" s="1"/>
  <c r="E78" i="153"/>
  <c r="V78" i="153" s="1"/>
  <c r="W78" i="153" s="1"/>
  <c r="H78" i="153"/>
  <c r="I78" i="153" s="1"/>
  <c r="G128" i="153"/>
  <c r="H128" i="153"/>
  <c r="I128" i="153" s="1"/>
  <c r="E84" i="153"/>
  <c r="V84" i="153" s="1"/>
  <c r="W84" i="153" s="1"/>
  <c r="H84" i="153"/>
  <c r="I84" i="153" s="1"/>
  <c r="E48" i="153"/>
  <c r="V48" i="153" s="1"/>
  <c r="W48" i="153" s="1"/>
  <c r="H48" i="153"/>
  <c r="I48" i="153" s="1"/>
  <c r="E266" i="153"/>
  <c r="V266" i="153" s="1"/>
  <c r="W266" i="153" s="1"/>
  <c r="H266" i="153"/>
  <c r="I266" i="153" s="1"/>
  <c r="E138" i="153"/>
  <c r="V138" i="153" s="1"/>
  <c r="W138" i="153" s="1"/>
  <c r="H138" i="153"/>
  <c r="I138" i="153" s="1"/>
  <c r="E89" i="153"/>
  <c r="V89" i="153" s="1"/>
  <c r="W89" i="153" s="1"/>
  <c r="H89" i="153"/>
  <c r="I89" i="153" s="1"/>
  <c r="G171" i="153"/>
  <c r="H171" i="153"/>
  <c r="I171" i="153" s="1"/>
  <c r="E185" i="153"/>
  <c r="V185" i="153" s="1"/>
  <c r="W185" i="153" s="1"/>
  <c r="H185" i="153"/>
  <c r="I185" i="153" s="1"/>
  <c r="E24" i="153"/>
  <c r="V24" i="153" s="1"/>
  <c r="W24" i="153" s="1"/>
  <c r="H24" i="153"/>
  <c r="I24" i="153" s="1"/>
  <c r="E189" i="153"/>
  <c r="V189" i="153" s="1"/>
  <c r="W189" i="153" s="1"/>
  <c r="H189" i="153"/>
  <c r="I189" i="153" s="1"/>
  <c r="H365" i="153"/>
  <c r="I365" i="153" s="1"/>
  <c r="H153" i="153"/>
  <c r="I153" i="153" s="1"/>
  <c r="G87" i="153"/>
  <c r="H87" i="153"/>
  <c r="I87" i="153" s="1"/>
  <c r="H116" i="153"/>
  <c r="I116" i="153" s="1"/>
  <c r="G164" i="153"/>
  <c r="H164" i="153"/>
  <c r="I164" i="153" s="1"/>
  <c r="H278" i="153"/>
  <c r="I278" i="153" s="1"/>
  <c r="G233" i="153"/>
  <c r="H233" i="153"/>
  <c r="I233" i="153" s="1"/>
  <c r="G12" i="153"/>
  <c r="H12" i="153"/>
  <c r="I12" i="153" s="1"/>
  <c r="F285" i="153"/>
  <c r="G285" i="153" s="1"/>
  <c r="F180" i="153"/>
  <c r="G180" i="153" s="1"/>
  <c r="F278" i="153"/>
  <c r="G278" i="153" s="1"/>
  <c r="F225" i="153"/>
  <c r="G225" i="153" s="1"/>
  <c r="F313" i="153"/>
  <c r="G313" i="153" s="1"/>
  <c r="F153" i="153"/>
  <c r="G153" i="153" s="1"/>
  <c r="F264" i="153"/>
  <c r="G264" i="153" s="1"/>
  <c r="F127" i="153"/>
  <c r="G127" i="153" s="1"/>
  <c r="F196" i="153"/>
  <c r="G196" i="153" s="1"/>
  <c r="F152" i="153"/>
  <c r="G152" i="153" s="1"/>
  <c r="F365" i="153"/>
  <c r="G365" i="153" s="1"/>
  <c r="F35" i="153"/>
  <c r="G35" i="153" s="1"/>
  <c r="F244" i="153"/>
  <c r="G244" i="153" s="1"/>
  <c r="F101" i="153"/>
  <c r="G101" i="153" s="1"/>
  <c r="F175" i="153"/>
  <c r="G175" i="153" s="1"/>
  <c r="F364" i="153"/>
  <c r="G364" i="153" s="1"/>
  <c r="F321" i="153"/>
  <c r="G321" i="153" s="1"/>
  <c r="F261" i="153"/>
  <c r="G261" i="153" s="1"/>
  <c r="F231" i="153"/>
  <c r="G231" i="153" s="1"/>
  <c r="F79" i="153"/>
  <c r="G79" i="153" s="1"/>
  <c r="F85" i="153"/>
  <c r="G85" i="153" s="1"/>
  <c r="F308" i="153"/>
  <c r="G308" i="153" s="1"/>
  <c r="F223" i="153"/>
  <c r="G223" i="153" s="1"/>
  <c r="F92" i="153"/>
  <c r="G92" i="153" s="1"/>
  <c r="F154" i="153"/>
  <c r="G154" i="153" s="1"/>
  <c r="F215" i="153"/>
  <c r="G215" i="153" s="1"/>
  <c r="F184" i="153"/>
  <c r="G184" i="153" s="1"/>
  <c r="F192" i="153"/>
  <c r="G192" i="153" s="1"/>
  <c r="F116" i="153"/>
  <c r="G116" i="153" s="1"/>
  <c r="F211" i="153"/>
  <c r="G211" i="153" s="1"/>
  <c r="F11" i="153"/>
  <c r="G11" i="153" s="1"/>
  <c r="F173" i="153"/>
  <c r="G173" i="153" s="1"/>
  <c r="F139" i="153"/>
  <c r="G139" i="153" s="1"/>
  <c r="E192" i="153"/>
  <c r="V192" i="153" s="1"/>
  <c r="W192" i="153" s="1"/>
  <c r="E234" i="153"/>
  <c r="V234" i="153" s="1"/>
  <c r="W234" i="153" s="1"/>
  <c r="E29" i="153"/>
  <c r="V29" i="153" s="1"/>
  <c r="W29" i="153" s="1"/>
  <c r="E160" i="153"/>
  <c r="V160" i="153" s="1"/>
  <c r="W160" i="153" s="1"/>
  <c r="E314" i="153"/>
  <c r="V314" i="153" s="1"/>
  <c r="W314" i="153" s="1"/>
  <c r="E86" i="153"/>
  <c r="V86" i="153" s="1"/>
  <c r="W86" i="153" s="1"/>
  <c r="E14" i="153"/>
  <c r="V14" i="153" s="1"/>
  <c r="W14" i="153" s="1"/>
  <c r="E98" i="153"/>
  <c r="V98" i="153" s="1"/>
  <c r="W98" i="153" s="1"/>
  <c r="E197" i="153"/>
  <c r="V197" i="153" s="1"/>
  <c r="W197" i="153" s="1"/>
  <c r="E349" i="153"/>
  <c r="V349" i="153" s="1"/>
  <c r="W349" i="153" s="1"/>
  <c r="E337" i="153"/>
  <c r="V337" i="153" s="1"/>
  <c r="W337" i="153" s="1"/>
  <c r="E125" i="153"/>
  <c r="V125" i="153" s="1"/>
  <c r="W125" i="153" s="1"/>
  <c r="E188" i="153"/>
  <c r="V188" i="153" s="1"/>
  <c r="W188" i="153" s="1"/>
  <c r="E99" i="153"/>
  <c r="V99" i="153" s="1"/>
  <c r="W99" i="153" s="1"/>
  <c r="E152" i="153"/>
  <c r="V152" i="153" s="1"/>
  <c r="W152" i="153" s="1"/>
  <c r="G222" i="153"/>
  <c r="E177" i="153"/>
  <c r="V177" i="153" s="1"/>
  <c r="W177" i="153" s="1"/>
  <c r="E100" i="153"/>
  <c r="V100" i="153" s="1"/>
  <c r="W100" i="153" s="1"/>
  <c r="E257" i="153"/>
  <c r="V257" i="153" s="1"/>
  <c r="W257" i="153" s="1"/>
  <c r="E347" i="153"/>
  <c r="V347" i="153" s="1"/>
  <c r="W347" i="153" s="1"/>
  <c r="E251" i="153"/>
  <c r="V251" i="153" s="1"/>
  <c r="W251" i="153" s="1"/>
  <c r="E56" i="153"/>
  <c r="V56" i="153" s="1"/>
  <c r="W56" i="153" s="1"/>
  <c r="E209" i="153"/>
  <c r="V209" i="153" s="1"/>
  <c r="W209" i="153" s="1"/>
  <c r="E65" i="153"/>
  <c r="V65" i="153" s="1"/>
  <c r="W65" i="153" s="1"/>
  <c r="E332" i="153"/>
  <c r="V332" i="153" s="1"/>
  <c r="W332" i="153" s="1"/>
  <c r="E258" i="153"/>
  <c r="V258" i="153" s="1"/>
  <c r="W258" i="153" s="1"/>
  <c r="G136" i="153"/>
  <c r="E162" i="153"/>
  <c r="V162" i="153" s="1"/>
  <c r="W162" i="153" s="1"/>
  <c r="E126" i="153"/>
  <c r="V126" i="153" s="1"/>
  <c r="W126" i="153" s="1"/>
  <c r="E167" i="153"/>
  <c r="V167" i="153" s="1"/>
  <c r="W167" i="153" s="1"/>
  <c r="E75" i="153"/>
  <c r="V75" i="153" s="1"/>
  <c r="W75" i="153" s="1"/>
  <c r="E51" i="153"/>
  <c r="V51" i="153" s="1"/>
  <c r="W51" i="153" s="1"/>
  <c r="E128" i="153"/>
  <c r="V128" i="153" s="1"/>
  <c r="W128" i="153" s="1"/>
  <c r="G89" i="153"/>
  <c r="E327" i="153"/>
  <c r="V327" i="153" s="1"/>
  <c r="W327" i="153" s="1"/>
  <c r="E198" i="153"/>
  <c r="V198" i="153" s="1"/>
  <c r="W198" i="153" s="1"/>
  <c r="E326" i="153"/>
  <c r="V326" i="153" s="1"/>
  <c r="W326" i="153" s="1"/>
  <c r="E116" i="153"/>
  <c r="V116" i="153" s="1"/>
  <c r="W116" i="153" s="1"/>
  <c r="E164" i="153"/>
  <c r="V164" i="153" s="1"/>
  <c r="W164" i="153" s="1"/>
  <c r="G189" i="153"/>
  <c r="G138" i="153"/>
  <c r="E153" i="153"/>
  <c r="V153" i="153" s="1"/>
  <c r="W153" i="153" s="1"/>
  <c r="E278" i="153"/>
  <c r="V278" i="153" s="1"/>
  <c r="W278" i="153" s="1"/>
  <c r="G266" i="153"/>
  <c r="G84" i="153"/>
  <c r="G185" i="153"/>
  <c r="E17" i="153"/>
  <c r="V17" i="153" s="1"/>
  <c r="W17" i="153" s="1"/>
  <c r="E365" i="153"/>
  <c r="V365" i="153" s="1"/>
  <c r="W365" i="153" s="1"/>
  <c r="E168" i="153"/>
  <c r="V168" i="153" s="1"/>
  <c r="W168" i="153" s="1"/>
  <c r="E27" i="153"/>
  <c r="V27" i="153" s="1"/>
  <c r="W27" i="153" s="1"/>
  <c r="E311" i="153"/>
  <c r="V311" i="153" s="1"/>
  <c r="W311" i="153" s="1"/>
  <c r="E233" i="153"/>
  <c r="V233" i="153" s="1"/>
  <c r="W233" i="153" s="1"/>
  <c r="G24" i="153"/>
  <c r="E87" i="153"/>
  <c r="V87" i="153" s="1"/>
  <c r="W87" i="153" s="1"/>
  <c r="E12" i="153"/>
  <c r="V12" i="153" s="1"/>
  <c r="W12" i="153" s="1"/>
  <c r="G224" i="153"/>
  <c r="E276" i="153"/>
  <c r="V276" i="153" s="1"/>
  <c r="W276" i="153" s="1"/>
  <c r="E199" i="153"/>
  <c r="V199" i="153" s="1"/>
  <c r="W199" i="153" s="1"/>
  <c r="E54" i="153"/>
  <c r="V54" i="153" s="1"/>
  <c r="W54" i="153" s="1"/>
  <c r="E248" i="153"/>
  <c r="V248" i="153" s="1"/>
  <c r="W248" i="153" s="1"/>
  <c r="E20" i="153"/>
  <c r="V20" i="153" s="1"/>
  <c r="W20" i="153" s="1"/>
  <c r="G141" i="153"/>
  <c r="E217" i="153"/>
  <c r="V217" i="153" s="1"/>
  <c r="W217" i="153" s="1"/>
  <c r="E267" i="153"/>
  <c r="V267" i="153" s="1"/>
  <c r="W267" i="153" s="1"/>
  <c r="E275" i="153"/>
  <c r="V275" i="153" s="1"/>
  <c r="W275" i="153" s="1"/>
  <c r="E73" i="153"/>
  <c r="V73" i="153" s="1"/>
  <c r="W73" i="153" s="1"/>
  <c r="E308" i="153"/>
  <c r="V308" i="153" s="1"/>
  <c r="W308" i="153" s="1"/>
  <c r="E208" i="153"/>
  <c r="V208" i="153" s="1"/>
  <c r="W208" i="153" s="1"/>
  <c r="E28" i="153"/>
  <c r="V28" i="153" s="1"/>
  <c r="W28" i="153" s="1"/>
  <c r="E127" i="153"/>
  <c r="V127" i="153" s="1"/>
  <c r="W127" i="153" s="1"/>
  <c r="E363" i="153"/>
  <c r="V363" i="153" s="1"/>
  <c r="W363" i="153" s="1"/>
  <c r="E119" i="153"/>
  <c r="V119" i="153" s="1"/>
  <c r="W119" i="153" s="1"/>
  <c r="E232" i="153"/>
  <c r="V232" i="153" s="1"/>
  <c r="W232" i="153" s="1"/>
  <c r="E59" i="153"/>
  <c r="V59" i="153" s="1"/>
  <c r="W59" i="153" s="1"/>
  <c r="E205" i="153"/>
  <c r="V205" i="153" s="1"/>
  <c r="W205" i="153" s="1"/>
  <c r="E62" i="153"/>
  <c r="V62" i="153" s="1"/>
  <c r="W62" i="153" s="1"/>
  <c r="G74" i="153"/>
  <c r="E132" i="153"/>
  <c r="V132" i="153" s="1"/>
  <c r="W132" i="153" s="1"/>
  <c r="G212" i="153"/>
  <c r="E315" i="153"/>
  <c r="V315" i="153" s="1"/>
  <c r="W315" i="153" s="1"/>
  <c r="G298" i="153"/>
  <c r="E148" i="153"/>
  <c r="V148" i="153" s="1"/>
  <c r="W148" i="153" s="1"/>
  <c r="E351" i="153"/>
  <c r="V351" i="153" s="1"/>
  <c r="W351" i="153" s="1"/>
  <c r="E346" i="153"/>
  <c r="V346" i="153" s="1"/>
  <c r="W346" i="153" s="1"/>
  <c r="E334" i="153"/>
  <c r="V334" i="153" s="1"/>
  <c r="W334" i="153" s="1"/>
  <c r="E329" i="153"/>
  <c r="V329" i="153" s="1"/>
  <c r="W329" i="153" s="1"/>
  <c r="E39" i="153"/>
  <c r="V39" i="153" s="1"/>
  <c r="W39" i="153" s="1"/>
  <c r="E287" i="153"/>
  <c r="V287" i="153" s="1"/>
  <c r="W287" i="153" s="1"/>
  <c r="E223" i="153"/>
  <c r="V223" i="153" s="1"/>
  <c r="W223" i="153" s="1"/>
  <c r="E243" i="153"/>
  <c r="V243" i="153" s="1"/>
  <c r="W243" i="153" s="1"/>
  <c r="E23" i="153"/>
  <c r="V23" i="153" s="1"/>
  <c r="W23" i="153" s="1"/>
  <c r="E123" i="153"/>
  <c r="V123" i="153" s="1"/>
  <c r="W123" i="153" s="1"/>
  <c r="E36" i="153"/>
  <c r="V36" i="153" s="1"/>
  <c r="W36" i="153" s="1"/>
  <c r="E40" i="153"/>
  <c r="V40" i="153" s="1"/>
  <c r="W40" i="153" s="1"/>
  <c r="E68" i="153"/>
  <c r="V68" i="153" s="1"/>
  <c r="W68" i="153" s="1"/>
  <c r="E342" i="153"/>
  <c r="V342" i="153" s="1"/>
  <c r="W342" i="153" s="1"/>
  <c r="E161" i="153"/>
  <c r="V161" i="153" s="1"/>
  <c r="W161" i="153" s="1"/>
  <c r="E202" i="153"/>
  <c r="V202" i="153" s="1"/>
  <c r="W202" i="153" s="1"/>
  <c r="E111" i="153"/>
  <c r="V111" i="153" s="1"/>
  <c r="W111" i="153" s="1"/>
  <c r="E109" i="153"/>
  <c r="V109" i="153" s="1"/>
  <c r="W109" i="153" s="1"/>
  <c r="E156" i="153"/>
  <c r="V156" i="153" s="1"/>
  <c r="W156" i="153" s="1"/>
  <c r="E165" i="153"/>
  <c r="V165" i="153" s="1"/>
  <c r="W165" i="153" s="1"/>
  <c r="E296" i="153"/>
  <c r="V296" i="153" s="1"/>
  <c r="W296" i="153" s="1"/>
  <c r="E113" i="153"/>
  <c r="V113" i="153" s="1"/>
  <c r="W113" i="153" s="1"/>
  <c r="E134" i="153"/>
  <c r="V134" i="153" s="1"/>
  <c r="W134" i="153" s="1"/>
  <c r="G213" i="153"/>
  <c r="E33" i="153"/>
  <c r="V33" i="153" s="1"/>
  <c r="W33" i="153" s="1"/>
  <c r="E348" i="153"/>
  <c r="V348" i="153" s="1"/>
  <c r="W348" i="153" s="1"/>
  <c r="E77" i="153"/>
  <c r="V77" i="153" s="1"/>
  <c r="W77" i="153" s="1"/>
  <c r="E293" i="153"/>
  <c r="V293" i="153" s="1"/>
  <c r="W293" i="153" s="1"/>
  <c r="E322" i="153"/>
  <c r="V322" i="153" s="1"/>
  <c r="W322" i="153" s="1"/>
  <c r="G230" i="153"/>
  <c r="E118" i="153"/>
  <c r="V118" i="153" s="1"/>
  <c r="W118" i="153" s="1"/>
  <c r="G140" i="153"/>
  <c r="E309" i="153"/>
  <c r="V309" i="153" s="1"/>
  <c r="W309" i="153" s="1"/>
  <c r="E265" i="153"/>
  <c r="V265" i="153" s="1"/>
  <c r="W265" i="153" s="1"/>
  <c r="E280" i="153"/>
  <c r="V280" i="153" s="1"/>
  <c r="W280" i="153" s="1"/>
  <c r="E317" i="153"/>
  <c r="V317" i="153" s="1"/>
  <c r="W317" i="153" s="1"/>
  <c r="E81" i="153"/>
  <c r="V81" i="153" s="1"/>
  <c r="W81" i="153" s="1"/>
  <c r="E35" i="153"/>
  <c r="V35" i="153" s="1"/>
  <c r="W35" i="153" s="1"/>
  <c r="E289" i="153"/>
  <c r="V289" i="153" s="1"/>
  <c r="W289" i="153" s="1"/>
  <c r="E204" i="153"/>
  <c r="V204" i="153" s="1"/>
  <c r="W204" i="153" s="1"/>
  <c r="G200" i="153"/>
  <c r="E225" i="153"/>
  <c r="V225" i="153" s="1"/>
  <c r="W225" i="153" s="1"/>
  <c r="E175" i="153"/>
  <c r="V175" i="153" s="1"/>
  <c r="W175" i="153" s="1"/>
  <c r="E139" i="153"/>
  <c r="V139" i="153" s="1"/>
  <c r="W139" i="153" s="1"/>
  <c r="E61" i="153"/>
  <c r="V61" i="153" s="1"/>
  <c r="W61" i="153" s="1"/>
  <c r="E133" i="153"/>
  <c r="V133" i="153" s="1"/>
  <c r="W133" i="153" s="1"/>
  <c r="E184" i="153"/>
  <c r="V184" i="153" s="1"/>
  <c r="W184" i="153" s="1"/>
  <c r="E320" i="153"/>
  <c r="V320" i="153" s="1"/>
  <c r="W320" i="153" s="1"/>
  <c r="E130" i="153"/>
  <c r="V130" i="153" s="1"/>
  <c r="W130" i="153" s="1"/>
  <c r="E313" i="153"/>
  <c r="V313" i="153" s="1"/>
  <c r="W313" i="153" s="1"/>
  <c r="E145" i="153"/>
  <c r="V145" i="153" s="1"/>
  <c r="W145" i="153" s="1"/>
  <c r="E207" i="153"/>
  <c r="V207" i="153" s="1"/>
  <c r="W207" i="153" s="1"/>
  <c r="E355" i="153"/>
  <c r="V355" i="153" s="1"/>
  <c r="W355" i="153" s="1"/>
  <c r="G47" i="153"/>
  <c r="E356" i="153"/>
  <c r="V356" i="153" s="1"/>
  <c r="W356" i="153" s="1"/>
  <c r="E176" i="153"/>
  <c r="V176" i="153" s="1"/>
  <c r="W176" i="153" s="1"/>
  <c r="E60" i="153"/>
  <c r="V60" i="153" s="1"/>
  <c r="W60" i="153" s="1"/>
  <c r="E190" i="153"/>
  <c r="V190" i="153" s="1"/>
  <c r="W190" i="153" s="1"/>
  <c r="E174" i="153"/>
  <c r="V174" i="153" s="1"/>
  <c r="W174" i="153" s="1"/>
  <c r="G307" i="153"/>
  <c r="E91" i="153"/>
  <c r="V91" i="153" s="1"/>
  <c r="W91" i="153" s="1"/>
  <c r="E169" i="153"/>
  <c r="V169" i="153" s="1"/>
  <c r="W169" i="153" s="1"/>
  <c r="E358" i="153"/>
  <c r="V358" i="153" s="1"/>
  <c r="W358" i="153" s="1"/>
  <c r="E151" i="153"/>
  <c r="V151" i="153" s="1"/>
  <c r="W151" i="153" s="1"/>
  <c r="E261" i="153"/>
  <c r="V261" i="153" s="1"/>
  <c r="W261" i="153" s="1"/>
  <c r="E352" i="153"/>
  <c r="V352" i="153" s="1"/>
  <c r="W352" i="153" s="1"/>
  <c r="E210" i="153"/>
  <c r="V210" i="153" s="1"/>
  <c r="W210" i="153" s="1"/>
  <c r="E53" i="153"/>
  <c r="V53" i="153" s="1"/>
  <c r="W53" i="153" s="1"/>
  <c r="E137" i="153"/>
  <c r="V137" i="153" s="1"/>
  <c r="W137" i="153" s="1"/>
  <c r="E159" i="153"/>
  <c r="V159" i="153" s="1"/>
  <c r="W159" i="153" s="1"/>
  <c r="E364" i="153"/>
  <c r="V364" i="153" s="1"/>
  <c r="W364" i="153" s="1"/>
  <c r="E50" i="153"/>
  <c r="V50" i="153" s="1"/>
  <c r="W50" i="153" s="1"/>
  <c r="E30" i="153"/>
  <c r="V30" i="153" s="1"/>
  <c r="W30" i="153" s="1"/>
  <c r="E11" i="153"/>
  <c r="V11" i="153" s="1"/>
  <c r="W11" i="153" s="1"/>
  <c r="E214" i="153"/>
  <c r="V214" i="153" s="1"/>
  <c r="W214" i="153" s="1"/>
  <c r="G319" i="153"/>
  <c r="E105" i="153"/>
  <c r="V105" i="153" s="1"/>
  <c r="W105" i="153" s="1"/>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I26" i="153"/>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I211" i="153"/>
  <c r="I21" i="153"/>
  <c r="I187" i="153"/>
  <c r="I69" i="153"/>
  <c r="I201" i="153"/>
  <c r="R81" i="148"/>
  <c r="R81" i="155" s="1"/>
  <c r="R81" i="154"/>
  <c r="I256" i="153"/>
  <c r="I354" i="153"/>
  <c r="I292" i="153"/>
  <c r="I236" i="153"/>
  <c r="I306" i="153"/>
  <c r="I242" i="153"/>
  <c r="I345" i="153"/>
  <c r="I94" i="153"/>
  <c r="I115" i="153"/>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I147" i="153"/>
  <c r="I161" i="153"/>
  <c r="I262" i="153"/>
  <c r="I255" i="153"/>
  <c r="I309" i="153"/>
  <c r="I106" i="153"/>
  <c r="I301" i="153"/>
  <c r="I156" i="153"/>
  <c r="I83" i="153"/>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I51" i="153"/>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I327" i="153"/>
  <c r="I198" i="153"/>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I188" i="153"/>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I179" i="153"/>
  <c r="I241" i="153"/>
  <c r="I344" i="153"/>
  <c r="I15" i="153"/>
  <c r="R47" i="154"/>
  <c r="R47" i="148"/>
  <c r="R47" i="155" s="1"/>
  <c r="R43" i="154"/>
  <c r="R43" i="148"/>
  <c r="R43" i="155" s="1"/>
  <c r="R49" i="148"/>
  <c r="R49" i="155" s="1"/>
  <c r="R49" i="154"/>
  <c r="I97" i="153"/>
  <c r="I42" i="153"/>
  <c r="I166" i="153"/>
  <c r="I249" i="153"/>
  <c r="I286" i="153"/>
  <c r="I108" i="153"/>
  <c r="I43" i="153"/>
  <c r="I263" i="153"/>
  <c r="I170" i="153"/>
  <c r="I288" i="153"/>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I326" i="153"/>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I206" i="153"/>
  <c r="I135" i="153"/>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I152" i="153"/>
  <c r="I85" i="153"/>
  <c r="I275" i="153"/>
  <c r="I181" i="153"/>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I234" i="153"/>
  <c r="I364" i="153"/>
  <c r="I30" i="153"/>
  <c r="I323" i="153"/>
  <c r="I11" i="153"/>
  <c r="I160" i="153"/>
  <c r="I214" i="153"/>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I244" i="153"/>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I37" i="153"/>
  <c r="I52" i="153"/>
  <c r="I279" i="153"/>
  <c r="I359" i="153"/>
  <c r="I16" i="153"/>
  <c r="I228" i="153"/>
  <c r="I220" i="153"/>
  <c r="I96" i="153"/>
  <c r="I107" i="153"/>
  <c r="R175" i="154"/>
  <c r="R175" i="148"/>
  <c r="R175" i="155" s="1"/>
  <c r="I142" i="153"/>
  <c r="I246" i="153"/>
  <c r="I238" i="153"/>
  <c r="I155" i="153"/>
  <c r="I104" i="153"/>
  <c r="I102" i="153"/>
  <c r="I93" i="153"/>
  <c r="I260" i="153"/>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I196" i="153"/>
  <c r="I350" i="153"/>
  <c r="I86" i="153"/>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Z4" i="152"/>
  <c r="T4" i="154" s="1"/>
  <c r="R75" i="148"/>
  <c r="R75" i="155" s="1"/>
  <c r="R75" i="154"/>
  <c r="R306" i="154"/>
  <c r="R306" i="148"/>
  <c r="R306" i="155" s="1"/>
  <c r="R13" i="154"/>
  <c r="R13" i="148"/>
  <c r="R13" i="155" s="1"/>
  <c r="R288" i="154"/>
  <c r="R288" i="148"/>
  <c r="R288" i="155" s="1"/>
  <c r="R153" i="154"/>
  <c r="R153" i="148"/>
  <c r="R153" i="155" s="1"/>
  <c r="I225" i="153"/>
  <c r="I133" i="153"/>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I195" i="153"/>
  <c r="I100" i="153"/>
  <c r="I320" i="153"/>
  <c r="R320" i="148"/>
  <c r="R320" i="155" s="1"/>
  <c r="R320" i="154"/>
  <c r="R211" i="154"/>
  <c r="R211" i="148"/>
  <c r="R211" i="155" s="1"/>
  <c r="R297" i="154"/>
  <c r="R297" i="148"/>
  <c r="R297" i="155" s="1"/>
  <c r="I268" i="153"/>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I55" i="153"/>
  <c r="I126" i="153"/>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I122" i="153"/>
  <c r="I235" i="153"/>
  <c r="I270" i="153"/>
  <c r="I316" i="153"/>
  <c r="I163" i="153"/>
  <c r="I299" i="153"/>
  <c r="I117" i="153"/>
  <c r="I13" i="153"/>
  <c r="I76" i="153"/>
  <c r="I297" i="153"/>
  <c r="I229" i="153"/>
  <c r="I183" i="153"/>
  <c r="I245" i="153"/>
  <c r="I247" i="153"/>
  <c r="I226" i="153"/>
  <c r="I250" i="153"/>
  <c r="I64" i="153"/>
  <c r="I88" i="153"/>
  <c r="I318" i="153"/>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I314" i="153"/>
  <c r="I130" i="153"/>
  <c r="I257" i="153"/>
  <c r="I237" i="153"/>
  <c r="I313" i="153"/>
  <c r="I258" i="153"/>
  <c r="I287" i="153"/>
  <c r="I145" i="153"/>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I312" i="153"/>
  <c r="I335" i="153"/>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I58" i="153"/>
  <c r="I216" i="153"/>
  <c r="I305" i="153"/>
  <c r="I110" i="153"/>
  <c r="I300" i="153"/>
  <c r="I353" i="153"/>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I283" i="153"/>
  <c r="I259" i="153"/>
  <c r="I66" i="153"/>
  <c r="I131" i="153"/>
  <c r="R195" i="148"/>
  <c r="R195" i="155" s="1"/>
  <c r="R195" i="154"/>
  <c r="H330" i="158" l="1"/>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H42" i="158"/>
  <c r="F226" i="158"/>
  <c r="G226" i="158" s="1"/>
  <c r="E197" i="158"/>
  <c r="V197" i="158" s="1"/>
  <c r="W197" i="158" s="1"/>
  <c r="F139" i="158"/>
  <c r="G139" i="158" s="1"/>
  <c r="E72" i="158"/>
  <c r="V72" i="158" s="1"/>
  <c r="W72" i="158" s="1"/>
  <c r="H72" i="158"/>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H250" i="158"/>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CK214" i="152"/>
  <c r="H61" i="158"/>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Z70" i="152"/>
  <c r="T70" i="154" s="1"/>
  <c r="E299" i="158"/>
  <c r="V299" i="158" s="1"/>
  <c r="W299" i="158" s="1"/>
  <c r="E199" i="158"/>
  <c r="V199" i="158" s="1"/>
  <c r="W199" i="158" s="1"/>
  <c r="H265" i="158"/>
  <c r="I265" i="158" s="1"/>
  <c r="H66" i="158"/>
  <c r="I66" i="158" s="1"/>
  <c r="E311" i="158"/>
  <c r="V311" i="158" s="1"/>
  <c r="W311" i="158" s="1"/>
  <c r="H166" i="158"/>
  <c r="I166" i="158" s="1"/>
  <c r="Z90" i="152"/>
  <c r="T90" i="155" s="1"/>
  <c r="CK264" i="152"/>
  <c r="CK257" i="152"/>
  <c r="H299" i="158"/>
  <c r="I299" i="158" s="1"/>
  <c r="E329" i="158"/>
  <c r="V329" i="158" s="1"/>
  <c r="W329" i="158" s="1"/>
  <c r="E316" i="158"/>
  <c r="V316" i="158" s="1"/>
  <c r="W316" i="158" s="1"/>
  <c r="E166" i="158"/>
  <c r="V166" i="158" s="1"/>
  <c r="W166" i="158" s="1"/>
  <c r="Z264" i="152"/>
  <c r="T264" i="154" s="1"/>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Z257" i="152"/>
  <c r="T257" i="155" s="1"/>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CK293" i="152"/>
  <c r="Z214" i="152"/>
  <c r="T214" i="155" s="1"/>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Z293" i="152"/>
  <c r="T293" i="154" s="1"/>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CK90" i="152"/>
  <c r="CK70" i="152"/>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Z79" i="152"/>
  <c r="T79" i="154" s="1"/>
  <c r="V85" i="153"/>
  <c r="W85" i="153" s="1"/>
  <c r="Z353" i="152"/>
  <c r="T353" i="155" s="1"/>
  <c r="V359" i="153"/>
  <c r="W359" i="153" s="1"/>
  <c r="F340" i="158"/>
  <c r="G340" i="158" s="1"/>
  <c r="H340" i="158"/>
  <c r="I340" i="158" s="1"/>
  <c r="Z220" i="152"/>
  <c r="T220" i="155" s="1"/>
  <c r="V226" i="153"/>
  <c r="W226" i="153" s="1"/>
  <c r="Z310" i="152"/>
  <c r="T310" i="155" s="1"/>
  <c r="V316" i="153"/>
  <c r="W316" i="153" s="1"/>
  <c r="Z40" i="152"/>
  <c r="T40" i="154" s="1"/>
  <c r="V46" i="153"/>
  <c r="W46" i="153" s="1"/>
  <c r="CK262" i="152"/>
  <c r="V268" i="153"/>
  <c r="W268" i="153" s="1"/>
  <c r="Z15" i="152"/>
  <c r="T15" i="154" s="1"/>
  <c r="V21" i="153"/>
  <c r="W21" i="153" s="1"/>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Z339" i="152"/>
  <c r="T339" i="155" s="1"/>
  <c r="V345" i="153"/>
  <c r="W345" i="153" s="1"/>
  <c r="CK195" i="152"/>
  <c r="Z189" i="152"/>
  <c r="T189" i="154" s="1"/>
  <c r="V195" i="153"/>
  <c r="W195" i="153" s="1"/>
  <c r="Z317" i="152"/>
  <c r="V323" i="153"/>
  <c r="W323" i="153" s="1"/>
  <c r="Z230" i="152"/>
  <c r="T230" i="154" s="1"/>
  <c r="V236" i="153"/>
  <c r="W236" i="153" s="1"/>
  <c r="Z77" i="152"/>
  <c r="T77" i="155" s="1"/>
  <c r="V83" i="153"/>
  <c r="W83" i="153" s="1"/>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Z46" i="152"/>
  <c r="T46" i="155" s="1"/>
  <c r="V52" i="153"/>
  <c r="W52" i="153" s="1"/>
  <c r="CK175" i="152"/>
  <c r="V181" i="153"/>
  <c r="W181" i="153" s="1"/>
  <c r="Z333" i="152"/>
  <c r="T333" i="154" s="1"/>
  <c r="V339" i="153"/>
  <c r="W339" i="153" s="1"/>
  <c r="CK115" i="152"/>
  <c r="V121" i="153"/>
  <c r="W121" i="153" s="1"/>
  <c r="Z282" i="152"/>
  <c r="T282" i="155" s="1"/>
  <c r="V288" i="153"/>
  <c r="W288" i="153" s="1"/>
  <c r="Z20" i="152"/>
  <c r="T20" i="154" s="1"/>
  <c r="V26" i="153"/>
  <c r="W26" i="153" s="1"/>
  <c r="CK82" i="152"/>
  <c r="V88" i="153"/>
  <c r="W88" i="153" s="1"/>
  <c r="Z58" i="152"/>
  <c r="T58" i="154" s="1"/>
  <c r="V64" i="153"/>
  <c r="W64" i="153" s="1"/>
  <c r="CK222" i="152"/>
  <c r="V228" i="153"/>
  <c r="W228" i="153" s="1"/>
  <c r="Z195" i="152"/>
  <c r="T195" i="154" s="1"/>
  <c r="CK244" i="152"/>
  <c r="V250" i="153"/>
  <c r="W250" i="153" s="1"/>
  <c r="CK338" i="152"/>
  <c r="V344" i="153"/>
  <c r="W344" i="153" s="1"/>
  <c r="Z37" i="152"/>
  <c r="T37" i="154" s="1"/>
  <c r="V43" i="153"/>
  <c r="W43" i="153" s="1"/>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CK278" i="152"/>
  <c r="V284" i="153"/>
  <c r="W284" i="153" s="1"/>
  <c r="CK98" i="152"/>
  <c r="V104" i="153"/>
  <c r="W104" i="153" s="1"/>
  <c r="CK213" i="152"/>
  <c r="V219" i="153"/>
  <c r="W219" i="153" s="1"/>
  <c r="Z116" i="152"/>
  <c r="T116" i="154" s="1"/>
  <c r="V122" i="153"/>
  <c r="W122" i="153" s="1"/>
  <c r="Z254" i="152"/>
  <c r="T254" i="154" s="1"/>
  <c r="V260" i="153"/>
  <c r="W260" i="153" s="1"/>
  <c r="Z286" i="152"/>
  <c r="T286" i="155" s="1"/>
  <c r="V292" i="153"/>
  <c r="W292" i="153" s="1"/>
  <c r="Z87" i="152"/>
  <c r="T87" i="154" s="1"/>
  <c r="V93" i="153"/>
  <c r="W93" i="153" s="1"/>
  <c r="Z88" i="152"/>
  <c r="T88" i="155" s="1"/>
  <c r="V94" i="153"/>
  <c r="W94" i="153" s="1"/>
  <c r="H243" i="158"/>
  <c r="I243" i="158" s="1"/>
  <c r="Z164" i="152"/>
  <c r="T164" i="154" s="1"/>
  <c r="V170" i="153"/>
  <c r="W170" i="153" s="1"/>
  <c r="CK241" i="152"/>
  <c r="V247" i="153"/>
  <c r="W247" i="153" s="1"/>
  <c r="Z239" i="152"/>
  <c r="T239" i="155" s="1"/>
  <c r="V245" i="153"/>
  <c r="W245" i="153" s="1"/>
  <c r="CK235" i="152"/>
  <c r="V241" i="153"/>
  <c r="W241" i="153" s="1"/>
  <c r="Z344" i="152"/>
  <c r="T344" i="154" s="1"/>
  <c r="V350" i="153"/>
  <c r="W350" i="153" s="1"/>
  <c r="CK9" i="152"/>
  <c r="V15" i="153"/>
  <c r="W15" i="153" s="1"/>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Z273" i="152"/>
  <c r="T273" i="154" s="1"/>
  <c r="V279" i="153"/>
  <c r="W279" i="153" s="1"/>
  <c r="Z10" i="152"/>
  <c r="T10" i="155" s="1"/>
  <c r="V16" i="153"/>
  <c r="W16" i="153" s="1"/>
  <c r="CK232" i="152"/>
  <c r="V238" i="153"/>
  <c r="W238" i="153" s="1"/>
  <c r="Z157" i="152"/>
  <c r="T157" i="155" s="1"/>
  <c r="V163" i="153"/>
  <c r="W163" i="153" s="1"/>
  <c r="Z312" i="152"/>
  <c r="T312" i="154" s="1"/>
  <c r="V318" i="153"/>
  <c r="W318" i="153" s="1"/>
  <c r="Z210" i="152"/>
  <c r="T210" i="154" s="1"/>
  <c r="V216" i="153"/>
  <c r="W216" i="153" s="1"/>
  <c r="E22" i="158"/>
  <c r="V22" i="158" s="1"/>
  <c r="W22" i="158" s="1"/>
  <c r="E13" i="158"/>
  <c r="V13" i="158" s="1"/>
  <c r="W13" i="158" s="1"/>
  <c r="H39" i="158"/>
  <c r="I39" i="158" s="1"/>
  <c r="CK7" i="152"/>
  <c r="CK236" i="152"/>
  <c r="V242" i="153"/>
  <c r="W242" i="153" s="1"/>
  <c r="Z26" i="152"/>
  <c r="T26" i="155" s="1"/>
  <c r="V32" i="153"/>
  <c r="W32" i="153" s="1"/>
  <c r="E181" i="158"/>
  <c r="V181" i="158" s="1"/>
  <c r="W181" i="158" s="1"/>
  <c r="H67" i="158"/>
  <c r="I67" i="158" s="1"/>
  <c r="H251" i="158"/>
  <c r="I251" i="158" s="1"/>
  <c r="H157" i="158"/>
  <c r="I157" i="158" s="1"/>
  <c r="H12" i="158"/>
  <c r="I12" i="158" s="1"/>
  <c r="H108" i="158"/>
  <c r="I108" i="158" s="1"/>
  <c r="H198" i="158"/>
  <c r="I198" i="158" s="1"/>
  <c r="Z291" i="152"/>
  <c r="T291" i="154" s="1"/>
  <c r="V297" i="153"/>
  <c r="W297" i="153" s="1"/>
  <c r="CK240" i="152"/>
  <c r="V246" i="153"/>
  <c r="W246" i="153" s="1"/>
  <c r="Z253" i="152"/>
  <c r="T253" i="155" s="1"/>
  <c r="V259" i="153"/>
  <c r="W259" i="153" s="1"/>
  <c r="Z306" i="152"/>
  <c r="T306" i="155" s="1"/>
  <c r="V312" i="153"/>
  <c r="W312" i="153" s="1"/>
  <c r="Z102" i="152"/>
  <c r="T102" i="155" s="1"/>
  <c r="V108" i="153"/>
  <c r="W108" i="153" s="1"/>
  <c r="Z7" i="152"/>
  <c r="T7" i="155" s="1"/>
  <c r="Z91" i="152"/>
  <c r="T91" i="155" s="1"/>
  <c r="V97" i="153"/>
  <c r="W97" i="153" s="1"/>
  <c r="Z223" i="152"/>
  <c r="T223" i="154" s="1"/>
  <c r="V229" i="153"/>
  <c r="W229" i="153" s="1"/>
  <c r="H92" i="158"/>
  <c r="I92" i="158" s="1"/>
  <c r="E358" i="158"/>
  <c r="V358" i="158" s="1"/>
  <c r="W358" i="158" s="1"/>
  <c r="H289" i="158"/>
  <c r="I289" i="158" s="1"/>
  <c r="E44" i="158"/>
  <c r="V44" i="158" s="1"/>
  <c r="W44" i="158" s="1"/>
  <c r="H150" i="158"/>
  <c r="I150" i="158" s="1"/>
  <c r="H172" i="158"/>
  <c r="I172" i="158" s="1"/>
  <c r="E108" i="158"/>
  <c r="V108" i="158" s="1"/>
  <c r="W108" i="158" s="1"/>
  <c r="Z96" i="152"/>
  <c r="T96" i="155" s="1"/>
  <c r="V102" i="153"/>
  <c r="W102" i="153" s="1"/>
  <c r="Z31" i="152"/>
  <c r="T31" i="155" s="1"/>
  <c r="V37" i="153"/>
  <c r="W37" i="153" s="1"/>
  <c r="Z243" i="152"/>
  <c r="T243" i="154" s="1"/>
  <c r="V249" i="153"/>
  <c r="W249" i="153" s="1"/>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Z82" i="152"/>
  <c r="T82" i="155" s="1"/>
  <c r="Z115" i="152"/>
  <c r="T115" i="155" s="1"/>
  <c r="H96" i="158"/>
  <c r="I96" i="158" s="1"/>
  <c r="H37" i="158"/>
  <c r="I37" i="158" s="1"/>
  <c r="E86" i="158"/>
  <c r="Z80" i="159" s="1"/>
  <c r="Z175" i="152"/>
  <c r="T175" i="155" s="1"/>
  <c r="CK282" i="152"/>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CK20" i="152"/>
  <c r="E248" i="158"/>
  <c r="V248" i="158" s="1"/>
  <c r="W248" i="158" s="1"/>
  <c r="E41" i="158"/>
  <c r="Z35" i="159" s="1"/>
  <c r="F159" i="158"/>
  <c r="G159" i="158" s="1"/>
  <c r="H79" i="158"/>
  <c r="I79" i="158" s="1"/>
  <c r="CK333" i="152"/>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CK310" i="152"/>
  <c r="CK40" i="152"/>
  <c r="CK46" i="152"/>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CK87" i="152"/>
  <c r="F169" i="158"/>
  <c r="G169" i="158" s="1"/>
  <c r="E133" i="158"/>
  <c r="V133" i="158" s="1"/>
  <c r="W133" i="158" s="1"/>
  <c r="H60" i="158"/>
  <c r="I60" i="158" s="1"/>
  <c r="H133" i="158"/>
  <c r="I133" i="158" s="1"/>
  <c r="E60" i="158"/>
  <c r="Z278" i="152"/>
  <c r="T278" i="155" s="1"/>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CK353" i="152"/>
  <c r="H56" i="158"/>
  <c r="I56" i="158" s="1"/>
  <c r="H203" i="158"/>
  <c r="I203" i="158" s="1"/>
  <c r="E56" i="158"/>
  <c r="F264" i="158"/>
  <c r="G264" i="158" s="1"/>
  <c r="CK312" i="152"/>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CK339" i="152"/>
  <c r="Z98" i="152"/>
  <c r="T98" i="154" s="1"/>
  <c r="CK102" i="152"/>
  <c r="H155" i="158"/>
  <c r="I155" i="158" s="1"/>
  <c r="F301" i="158"/>
  <c r="G301" i="158" s="1"/>
  <c r="H264" i="158"/>
  <c r="I264" i="158" s="1"/>
  <c r="E93" i="158"/>
  <c r="V93" i="158" s="1"/>
  <c r="W93" i="158" s="1"/>
  <c r="E82" i="158"/>
  <c r="E89" i="158"/>
  <c r="E315" i="158"/>
  <c r="H244" i="158"/>
  <c r="I244" i="158" s="1"/>
  <c r="Z9" i="152"/>
  <c r="T9" i="154" s="1"/>
  <c r="CK164" i="152"/>
  <c r="Z213" i="152"/>
  <c r="T213" i="154" s="1"/>
  <c r="E233" i="158"/>
  <c r="V233" i="158" s="1"/>
  <c r="W233" i="158" s="1"/>
  <c r="H214" i="158"/>
  <c r="I214" i="158" s="1"/>
  <c r="E203" i="158"/>
  <c r="H138" i="158"/>
  <c r="I138" i="158" s="1"/>
  <c r="Z235" i="152"/>
  <c r="T235" i="154" s="1"/>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Z240" i="152"/>
  <c r="T240" i="155" s="1"/>
  <c r="H10" i="158"/>
  <c r="I10" i="158" s="1"/>
  <c r="E185" i="158"/>
  <c r="V185" i="158" s="1"/>
  <c r="W185" i="158" s="1"/>
  <c r="E168" i="158"/>
  <c r="V168" i="158" s="1"/>
  <c r="W168" i="158" s="1"/>
  <c r="E308" i="158"/>
  <c r="H185" i="158"/>
  <c r="I185" i="158" s="1"/>
  <c r="H168" i="158"/>
  <c r="I168" i="158" s="1"/>
  <c r="CK291" i="152"/>
  <c r="E100" i="158"/>
  <c r="CK220" i="152"/>
  <c r="CK243" i="152"/>
  <c r="CK15" i="152"/>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CK31" i="152"/>
  <c r="CK96" i="152"/>
  <c r="F189" i="158"/>
  <c r="G189" i="158" s="1"/>
  <c r="E239" i="158"/>
  <c r="Z232" i="152"/>
  <c r="T232" i="155" s="1"/>
  <c r="CK157" i="152"/>
  <c r="E140" i="158"/>
  <c r="V140" i="158" s="1"/>
  <c r="W140" i="158" s="1"/>
  <c r="H104" i="158"/>
  <c r="I104" i="158" s="1"/>
  <c r="T284" i="155"/>
  <c r="F140" i="158"/>
  <c r="G140" i="158" s="1"/>
  <c r="E34" i="158"/>
  <c r="H127" i="158"/>
  <c r="I127" i="158" s="1"/>
  <c r="H239" i="158"/>
  <c r="I239" i="158" s="1"/>
  <c r="CK10" i="152"/>
  <c r="E127" i="158"/>
  <c r="V127" i="158" s="1"/>
  <c r="W127" i="158" s="1"/>
  <c r="CK37" i="152"/>
  <c r="E298" i="158"/>
  <c r="CK273" i="152"/>
  <c r="H298" i="158"/>
  <c r="I298" i="158" s="1"/>
  <c r="E104" i="158"/>
  <c r="H123" i="158"/>
  <c r="I123" i="158" s="1"/>
  <c r="E94" i="158"/>
  <c r="H94" i="158"/>
  <c r="I94" i="158" s="1"/>
  <c r="E28" i="158"/>
  <c r="V28" i="158" s="1"/>
  <c r="W28" i="158" s="1"/>
  <c r="E123" i="158"/>
  <c r="CK230" i="152"/>
  <c r="CK239" i="152"/>
  <c r="H11" i="158"/>
  <c r="I11" i="158" s="1"/>
  <c r="E365" i="158"/>
  <c r="E285" i="158"/>
  <c r="CK254" i="152"/>
  <c r="CK286" i="152"/>
  <c r="CK116" i="152"/>
  <c r="H365" i="158"/>
  <c r="I365" i="158" s="1"/>
  <c r="H187" i="158"/>
  <c r="I187" i="158" s="1"/>
  <c r="H285" i="158"/>
  <c r="I285" i="158" s="1"/>
  <c r="E295" i="158"/>
  <c r="CK77" i="152"/>
  <c r="H301" i="158"/>
  <c r="I301" i="158" s="1"/>
  <c r="H169" i="158"/>
  <c r="I169" i="158" s="1"/>
  <c r="E187" i="158"/>
  <c r="E90" i="158"/>
  <c r="T298" i="155"/>
  <c r="CK189" i="152"/>
  <c r="E325" i="158"/>
  <c r="H90" i="158"/>
  <c r="I90" i="158" s="1"/>
  <c r="Z264" i="159"/>
  <c r="CP264" i="152"/>
  <c r="CK264" i="159"/>
  <c r="Z97" i="159"/>
  <c r="Z291" i="159"/>
  <c r="CP291" i="152"/>
  <c r="CK291" i="159"/>
  <c r="Z70" i="159"/>
  <c r="CP70" i="152"/>
  <c r="CK70" i="159"/>
  <c r="Z295" i="159"/>
  <c r="CP295" i="152"/>
  <c r="CK295" i="159"/>
  <c r="Z163" i="159"/>
  <c r="CP163" i="152"/>
  <c r="CK163" i="159"/>
  <c r="Z266" i="159"/>
  <c r="CP266" i="152"/>
  <c r="CK266" i="159"/>
  <c r="Z280" i="159"/>
  <c r="CP280" i="152"/>
  <c r="CK280" i="159"/>
  <c r="Z159" i="159"/>
  <c r="CP159" i="152"/>
  <c r="CK159" i="159"/>
  <c r="Z270" i="159"/>
  <c r="CP270" i="152"/>
  <c r="CK270" i="159"/>
  <c r="Z62" i="159"/>
  <c r="CP62" i="152"/>
  <c r="CK62" i="159"/>
  <c r="Z34" i="159"/>
  <c r="CP34" i="152"/>
  <c r="CK34" i="159"/>
  <c r="Z337" i="159"/>
  <c r="CP337" i="152"/>
  <c r="CK337" i="159"/>
  <c r="Z210" i="159"/>
  <c r="CP210" i="152"/>
  <c r="Z234" i="159"/>
  <c r="CK234" i="159"/>
  <c r="CP234" i="152"/>
  <c r="CP285" i="152"/>
  <c r="CK285" i="159"/>
  <c r="Z258" i="159"/>
  <c r="CP258" i="152"/>
  <c r="CK258" i="159"/>
  <c r="Z32" i="159"/>
  <c r="CP32" i="152"/>
  <c r="CK32" i="159"/>
  <c r="Z244" i="159"/>
  <c r="CP244" i="152"/>
  <c r="CK244" i="159"/>
  <c r="Z30" i="159"/>
  <c r="CP30" i="152"/>
  <c r="CK30" i="159"/>
  <c r="Z191" i="159"/>
  <c r="CK191" i="159"/>
  <c r="CP191" i="152"/>
  <c r="Z26" i="159"/>
  <c r="CP26" i="152"/>
  <c r="CK26" i="159"/>
  <c r="Z353" i="159"/>
  <c r="CP353" i="152"/>
  <c r="CP208"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28" i="159"/>
  <c r="CP228" i="152"/>
  <c r="CK228" i="159"/>
  <c r="Z212" i="159"/>
  <c r="CP212" i="152"/>
  <c r="CK212" i="159"/>
  <c r="Z109" i="159"/>
  <c r="CP109" i="152"/>
  <c r="CK109" i="159"/>
  <c r="Z49" i="159"/>
  <c r="CP49" i="152"/>
  <c r="CK49" i="159"/>
  <c r="Z254" i="159"/>
  <c r="CP254" i="152"/>
  <c r="CK254" i="159"/>
  <c r="Z55" i="159"/>
  <c r="CK55"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CK146" i="159"/>
  <c r="Z58" i="159"/>
  <c r="CK58" i="159"/>
  <c r="CP58" i="152"/>
  <c r="Z91" i="159"/>
  <c r="CP91" i="152"/>
  <c r="CK91" i="159"/>
  <c r="CP187" i="152"/>
  <c r="Z153" i="159"/>
  <c r="V153" i="155" s="1"/>
  <c r="CP153" i="152"/>
  <c r="CK153" i="159"/>
  <c r="Z12"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40" i="159"/>
  <c r="Z133" i="159"/>
  <c r="CP133" i="152"/>
  <c r="CK133" i="159"/>
  <c r="Z304" i="159"/>
  <c r="CP304" i="152"/>
  <c r="CK304" i="159"/>
  <c r="Z19" i="159"/>
  <c r="CP19" i="152"/>
  <c r="CK19" i="159"/>
  <c r="Z339" i="159"/>
  <c r="CP339" i="152"/>
  <c r="CK339" i="159"/>
  <c r="Z177" i="159"/>
  <c r="CP177" i="152"/>
  <c r="CK177" i="159"/>
  <c r="Z111" i="159"/>
  <c r="CK111" i="159"/>
  <c r="CP111" i="152"/>
  <c r="Z186" i="159"/>
  <c r="CP186" i="152"/>
  <c r="CK186" i="159"/>
  <c r="CP67" i="152"/>
  <c r="Z66" i="159"/>
  <c r="CP66" i="152"/>
  <c r="CK66" i="159"/>
  <c r="Z324" i="159"/>
  <c r="CP324" i="152"/>
  <c r="CK324" i="159"/>
  <c r="Z93" i="159"/>
  <c r="CK93" i="159"/>
  <c r="CP93" i="152"/>
  <c r="K169" i="70"/>
  <c r="Z222" i="152"/>
  <c r="T222" i="155" s="1"/>
  <c r="F207" i="158"/>
  <c r="G207" i="158" s="1"/>
  <c r="E356" i="158"/>
  <c r="V356" i="158" s="1"/>
  <c r="W356" i="158" s="1"/>
  <c r="H295" i="158"/>
  <c r="I295" i="158" s="1"/>
  <c r="CK111" i="152"/>
  <c r="CK26" i="152"/>
  <c r="H302" i="158"/>
  <c r="I302" i="158" s="1"/>
  <c r="T187" i="154"/>
  <c r="CK88" i="152"/>
  <c r="Z111" i="152"/>
  <c r="E302" i="158"/>
  <c r="V302" i="158" s="1"/>
  <c r="W302" i="158" s="1"/>
  <c r="CK91" i="152"/>
  <c r="CK306" i="152"/>
  <c r="CK223" i="152"/>
  <c r="CK109" i="152"/>
  <c r="Z109" i="152"/>
  <c r="T109" i="155" s="1"/>
  <c r="CK58" i="152"/>
  <c r="CK210" i="152"/>
  <c r="CK79" i="152"/>
  <c r="CK253" i="152"/>
  <c r="T279" i="155"/>
  <c r="E353" i="158"/>
  <c r="V353" i="158" s="1"/>
  <c r="W353" i="158" s="1"/>
  <c r="H353" i="158"/>
  <c r="I353" i="158" s="1"/>
  <c r="CK16" i="152"/>
  <c r="Z324" i="152"/>
  <c r="T324" i="155" s="1"/>
  <c r="Z267" i="152"/>
  <c r="T267" i="154" s="1"/>
  <c r="Z304" i="152"/>
  <c r="T304" i="154" s="1"/>
  <c r="Z231" i="152"/>
  <c r="T231" i="155" s="1"/>
  <c r="Z300" i="152"/>
  <c r="T300" i="154" s="1"/>
  <c r="Z190" i="152"/>
  <c r="T190" i="154" s="1"/>
  <c r="Z277" i="152"/>
  <c r="T277" i="154" s="1"/>
  <c r="Z100" i="152"/>
  <c r="T100" i="155" s="1"/>
  <c r="CK141" i="152"/>
  <c r="Z347" i="152"/>
  <c r="T347" i="154" s="1"/>
  <c r="Z294" i="152"/>
  <c r="T294" i="154" s="1"/>
  <c r="Z60" i="152"/>
  <c r="T60" i="155" s="1"/>
  <c r="Z160" i="152"/>
  <c r="T160" i="155" s="1"/>
  <c r="Z268" i="152"/>
  <c r="T268" i="155" s="1"/>
  <c r="Z295" i="152"/>
  <c r="T295" i="155" s="1"/>
  <c r="Z205" i="152"/>
  <c r="T205" i="155" s="1"/>
  <c r="Z334" i="152"/>
  <c r="T334" i="155" s="1"/>
  <c r="Z104" i="152"/>
  <c r="T104" i="155" s="1"/>
  <c r="Z250" i="152"/>
  <c r="T250" i="155" s="1"/>
  <c r="Z229" i="152"/>
  <c r="T229" i="154" s="1"/>
  <c r="CK181" i="152"/>
  <c r="CK177" i="152"/>
  <c r="CK280" i="152"/>
  <c r="Z125" i="152"/>
  <c r="T125" i="155" s="1"/>
  <c r="CK238" i="152"/>
  <c r="CK89" i="152"/>
  <c r="Z200" i="152"/>
  <c r="T200" i="155" s="1"/>
  <c r="Z149" i="152"/>
  <c r="T149" i="154" s="1"/>
  <c r="Z262" i="152"/>
  <c r="T262" i="155" s="1"/>
  <c r="Z256" i="152"/>
  <c r="T256" i="155" s="1"/>
  <c r="Z136" i="152"/>
  <c r="T136" i="154" s="1"/>
  <c r="CK332" i="152"/>
  <c r="CK215" i="152"/>
  <c r="Z318" i="152"/>
  <c r="T318" i="155" s="1"/>
  <c r="CK248" i="152"/>
  <c r="Z36" i="152"/>
  <c r="T36" i="155" s="1"/>
  <c r="CK317" i="152"/>
  <c r="Z97" i="152"/>
  <c r="T97" i="155" s="1"/>
  <c r="Z165" i="152"/>
  <c r="T165" i="154" s="1"/>
  <c r="CK249" i="152"/>
  <c r="Z327" i="152"/>
  <c r="T327" i="154" s="1"/>
  <c r="Z241" i="152"/>
  <c r="T241" i="155" s="1"/>
  <c r="Z244" i="152"/>
  <c r="T244" i="155" s="1"/>
  <c r="Z338" i="152"/>
  <c r="T338" i="154" s="1"/>
  <c r="Z329" i="152"/>
  <c r="T329" i="155" s="1"/>
  <c r="Z129" i="152"/>
  <c r="T129" i="154" s="1"/>
  <c r="Z49" i="152"/>
  <c r="T49" i="155" s="1"/>
  <c r="Z173" i="152"/>
  <c r="T173" i="154" s="1"/>
  <c r="Z299" i="152"/>
  <c r="T299" i="155" s="1"/>
  <c r="Z76" i="152"/>
  <c r="T76" i="154" s="1"/>
  <c r="Z221" i="152"/>
  <c r="T221" i="155" s="1"/>
  <c r="CK337" i="152"/>
  <c r="Z246" i="152"/>
  <c r="T246" i="154" s="1"/>
  <c r="Z35" i="152"/>
  <c r="T35" i="155" s="1"/>
  <c r="Z236" i="152"/>
  <c r="T236" i="154" s="1"/>
  <c r="I227" i="158"/>
  <c r="I250" i="158"/>
  <c r="Z141" i="152"/>
  <c r="T141" i="154" s="1"/>
  <c r="CK329" i="152"/>
  <c r="I207" i="158"/>
  <c r="I290" i="158"/>
  <c r="I246" i="158"/>
  <c r="I273" i="158"/>
  <c r="I272" i="158"/>
  <c r="I16" i="158"/>
  <c r="I328" i="158"/>
  <c r="I68" i="158"/>
  <c r="I354" i="158"/>
  <c r="I72" i="158"/>
  <c r="I322" i="158"/>
  <c r="I40" i="158"/>
  <c r="I347" i="158"/>
  <c r="I77" i="158"/>
  <c r="I44" i="158"/>
  <c r="I107" i="158"/>
  <c r="I110" i="158"/>
  <c r="I38" i="158"/>
  <c r="I300" i="158"/>
  <c r="CK190" i="152"/>
  <c r="I268" i="158"/>
  <c r="I126" i="158"/>
  <c r="I76" i="158"/>
  <c r="I75" i="158"/>
  <c r="I220" i="158"/>
  <c r="I21" i="158"/>
  <c r="I140" i="158"/>
  <c r="I294" i="158"/>
  <c r="I153" i="158"/>
  <c r="I55" i="158"/>
  <c r="T233" i="154"/>
  <c r="I177" i="158"/>
  <c r="I308" i="158"/>
  <c r="I88" i="158"/>
  <c r="I210" i="158"/>
  <c r="I139" i="158"/>
  <c r="I152" i="158"/>
  <c r="I171" i="158"/>
  <c r="I61" i="158"/>
  <c r="I206" i="158"/>
  <c r="I197" i="158"/>
  <c r="I42" i="158"/>
  <c r="CK100" i="152"/>
  <c r="I222" i="158"/>
  <c r="I345" i="158"/>
  <c r="I192" i="158"/>
  <c r="I228" i="158"/>
  <c r="I82" i="158"/>
  <c r="I321" i="158"/>
  <c r="I242" i="158"/>
  <c r="I327" i="158"/>
  <c r="I97" i="158"/>
  <c r="CK277" i="152"/>
  <c r="I270" i="158"/>
  <c r="I326" i="158"/>
  <c r="I106" i="158"/>
  <c r="I193" i="158"/>
  <c r="I95" i="158"/>
  <c r="I318" i="158"/>
  <c r="I45" i="158"/>
  <c r="I46" i="158"/>
  <c r="I165" i="158"/>
  <c r="I141" i="158"/>
  <c r="I330" i="158"/>
  <c r="I99" i="158"/>
  <c r="I256" i="158"/>
  <c r="I241" i="158"/>
  <c r="I64" i="158"/>
  <c r="I36" i="158"/>
  <c r="I343" i="158"/>
  <c r="I319" i="158"/>
  <c r="I43" i="158"/>
  <c r="I224" i="158"/>
  <c r="I91" i="158"/>
  <c r="I234" i="158"/>
  <c r="I142" i="158"/>
  <c r="I314" i="158"/>
  <c r="Z280" i="152"/>
  <c r="T280" i="155" s="1"/>
  <c r="Z177" i="152"/>
  <c r="T177" i="154" s="1"/>
  <c r="T289" i="154"/>
  <c r="T12" i="154"/>
  <c r="CK256" i="152"/>
  <c r="T61" i="155"/>
  <c r="T137" i="154"/>
  <c r="T57" i="155"/>
  <c r="CK36" i="152"/>
  <c r="CK76" i="152"/>
  <c r="T123" i="154"/>
  <c r="T209" i="155"/>
  <c r="Z16" i="152"/>
  <c r="T16" i="155" s="1"/>
  <c r="CK267" i="152"/>
  <c r="CK304" i="152"/>
  <c r="Z89" i="152"/>
  <c r="T89" i="155" s="1"/>
  <c r="Z181" i="152"/>
  <c r="T181" i="155" s="1"/>
  <c r="Z238" i="152"/>
  <c r="T238" i="154" s="1"/>
  <c r="CK200" i="152"/>
  <c r="CK125" i="152"/>
  <c r="CK300" i="152"/>
  <c r="T138" i="155"/>
  <c r="T90" i="154"/>
  <c r="CK60" i="152"/>
  <c r="CK49" i="152"/>
  <c r="CK221" i="152"/>
  <c r="CK173" i="152"/>
  <c r="CK299" i="152"/>
  <c r="CK129" i="152"/>
  <c r="T271" i="155"/>
  <c r="CK347" i="152"/>
  <c r="CK231" i="152"/>
  <c r="T266" i="155"/>
  <c r="CK294" i="152"/>
  <c r="CK160" i="152"/>
  <c r="CK268" i="152"/>
  <c r="G103" i="2"/>
  <c r="H6" i="8"/>
  <c r="H48" i="8" s="1"/>
  <c r="H66" i="8" s="1"/>
  <c r="T152" i="154"/>
  <c r="CK327" i="152"/>
  <c r="CK149" i="152"/>
  <c r="Z249" i="152"/>
  <c r="T249" i="155" s="1"/>
  <c r="T65" i="154"/>
  <c r="CK97" i="152"/>
  <c r="T275" i="155"/>
  <c r="T101" i="155"/>
  <c r="CK205" i="152"/>
  <c r="T265" i="155"/>
  <c r="T174" i="155"/>
  <c r="T257" i="154"/>
  <c r="CK104" i="152"/>
  <c r="T212" i="155"/>
  <c r="T197" i="155"/>
  <c r="T354" i="154"/>
  <c r="CK229" i="152"/>
  <c r="T74" i="154"/>
  <c r="T322" i="155"/>
  <c r="T335" i="155"/>
  <c r="T180" i="155"/>
  <c r="Z332" i="152"/>
  <c r="Z215" i="152"/>
  <c r="T215" i="155" s="1"/>
  <c r="T355" i="154"/>
  <c r="T148" i="155"/>
  <c r="CK250" i="152"/>
  <c r="Z248" i="152"/>
  <c r="T348" i="155"/>
  <c r="T118" i="154"/>
  <c r="CK334" i="152"/>
  <c r="CK318" i="152"/>
  <c r="CK136" i="152"/>
  <c r="T51" i="154"/>
  <c r="CK295" i="152"/>
  <c r="CK324" i="152"/>
  <c r="CK165" i="152"/>
  <c r="CK246" i="152"/>
  <c r="T247" i="154"/>
  <c r="T297" i="154"/>
  <c r="CK35" i="152"/>
  <c r="Z337" i="152"/>
  <c r="T166" i="154"/>
  <c r="Z44" i="152"/>
  <c r="T44" i="154" s="1"/>
  <c r="CK44" i="152"/>
  <c r="Z346" i="152"/>
  <c r="T346" i="155" s="1"/>
  <c r="CK346" i="152"/>
  <c r="Z168" i="152"/>
  <c r="T168" i="154" s="1"/>
  <c r="CK168" i="152"/>
  <c r="Z349" i="152"/>
  <c r="T349" i="154" s="1"/>
  <c r="CK349" i="152"/>
  <c r="Z311" i="152"/>
  <c r="CK311" i="152"/>
  <c r="Z287" i="152"/>
  <c r="CK287" i="152"/>
  <c r="Z27" i="152"/>
  <c r="CK27" i="152"/>
  <c r="Z159" i="152"/>
  <c r="CK159" i="152"/>
  <c r="Z103" i="152"/>
  <c r="CK103" i="152"/>
  <c r="Z34" i="152"/>
  <c r="T34" i="155" s="1"/>
  <c r="CK34" i="152"/>
  <c r="Z142" i="152"/>
  <c r="T142" i="154" s="1"/>
  <c r="CK142" i="152"/>
  <c r="Z53" i="152"/>
  <c r="T53" i="154" s="1"/>
  <c r="CK53" i="152"/>
  <c r="Z147" i="152"/>
  <c r="T147" i="154" s="1"/>
  <c r="CK147" i="152"/>
  <c r="Z320" i="152"/>
  <c r="CK320" i="152"/>
  <c r="Z120" i="152"/>
  <c r="T120" i="154" s="1"/>
  <c r="CK120" i="152"/>
  <c r="Z42" i="152"/>
  <c r="CK42" i="152"/>
  <c r="Z43" i="152"/>
  <c r="CK43" i="152"/>
  <c r="Z73" i="152"/>
  <c r="CK73" i="152"/>
  <c r="Z38" i="152"/>
  <c r="CK38" i="152"/>
  <c r="Z258" i="152"/>
  <c r="CK258" i="152"/>
  <c r="Z185" i="152"/>
  <c r="CK185" i="152"/>
  <c r="Z176" i="152"/>
  <c r="CK176" i="152"/>
  <c r="Z296" i="152"/>
  <c r="CK296" i="152"/>
  <c r="Z108" i="152"/>
  <c r="CK108" i="152"/>
  <c r="Z194" i="152"/>
  <c r="CK194" i="152"/>
  <c r="Z41" i="152"/>
  <c r="CK41" i="152"/>
  <c r="Z358" i="152"/>
  <c r="T358" i="154" s="1"/>
  <c r="CK358" i="152"/>
  <c r="Z255" i="152"/>
  <c r="T255" i="155" s="1"/>
  <c r="CK255" i="152"/>
  <c r="Z201" i="152"/>
  <c r="T201" i="155" s="1"/>
  <c r="CK201" i="152"/>
  <c r="Z29" i="152"/>
  <c r="CK29" i="152"/>
  <c r="Z105" i="152"/>
  <c r="T105" i="154" s="1"/>
  <c r="CK105" i="152"/>
  <c r="Z30" i="152"/>
  <c r="T30" i="155" s="1"/>
  <c r="CK30" i="152"/>
  <c r="Z33" i="152"/>
  <c r="T33" i="154" s="1"/>
  <c r="CK33" i="152"/>
  <c r="Z226" i="152"/>
  <c r="T226" i="155" s="1"/>
  <c r="CK226" i="152"/>
  <c r="Z22" i="152"/>
  <c r="T22" i="154" s="1"/>
  <c r="CK22" i="152"/>
  <c r="Z67" i="152"/>
  <c r="CK67" i="152"/>
  <c r="Z14" i="152"/>
  <c r="T14" i="154" s="1"/>
  <c r="CK14" i="152"/>
  <c r="Z6" i="152"/>
  <c r="T6" i="154" s="1"/>
  <c r="CK6" i="152"/>
  <c r="Z11" i="152"/>
  <c r="T11" i="155" s="1"/>
  <c r="CK11" i="152"/>
  <c r="Z192" i="152"/>
  <c r="T192" i="155" s="1"/>
  <c r="CK192" i="152"/>
  <c r="Z156" i="152"/>
  <c r="CK156" i="152"/>
  <c r="Z251" i="152"/>
  <c r="CK251" i="152"/>
  <c r="Z8" i="152"/>
  <c r="CK8" i="152"/>
  <c r="Z288" i="152"/>
  <c r="CK288" i="152"/>
  <c r="Z206" i="152"/>
  <c r="CK206" i="152"/>
  <c r="Z313" i="152"/>
  <c r="CK313" i="152"/>
  <c r="Z225" i="152"/>
  <c r="CK225" i="152"/>
  <c r="Z218" i="152"/>
  <c r="CK218" i="152"/>
  <c r="Z144" i="152"/>
  <c r="CK144" i="152"/>
  <c r="Z140" i="152"/>
  <c r="CK140" i="152"/>
  <c r="Z153" i="152"/>
  <c r="CK153" i="152"/>
  <c r="Z145" i="152"/>
  <c r="T145" i="154" s="1"/>
  <c r="CK145" i="152"/>
  <c r="Z127" i="152"/>
  <c r="CK127" i="152"/>
  <c r="Z198" i="152"/>
  <c r="CK198" i="152"/>
  <c r="Z112" i="152"/>
  <c r="T112" i="154" s="1"/>
  <c r="CK112" i="152"/>
  <c r="Z196" i="152"/>
  <c r="T196" i="155" s="1"/>
  <c r="CK196" i="152"/>
  <c r="Z117" i="152"/>
  <c r="T117" i="155" s="1"/>
  <c r="CK117" i="152"/>
  <c r="Z237" i="152"/>
  <c r="CK237" i="152"/>
  <c r="Z323" i="152"/>
  <c r="CK323" i="152"/>
  <c r="Z113" i="152"/>
  <c r="T113" i="155" s="1"/>
  <c r="CK113" i="152"/>
  <c r="Z269" i="152"/>
  <c r="CK269" i="152"/>
  <c r="Z242" i="152"/>
  <c r="CK242" i="152"/>
  <c r="Z305" i="152"/>
  <c r="CK305" i="152"/>
  <c r="Z321" i="152"/>
  <c r="CK321" i="152"/>
  <c r="Z94" i="152"/>
  <c r="T94" i="155" s="1"/>
  <c r="CK94" i="152"/>
  <c r="Z80" i="152"/>
  <c r="CK80" i="152"/>
  <c r="Z183" i="152"/>
  <c r="CK183" i="152"/>
  <c r="Z83" i="152"/>
  <c r="CK83" i="152"/>
  <c r="Z78" i="152"/>
  <c r="CK78" i="152"/>
  <c r="Z130" i="152"/>
  <c r="CK130" i="152"/>
  <c r="Z276" i="152"/>
  <c r="CK276" i="152"/>
  <c r="Z356" i="152"/>
  <c r="CK356" i="152"/>
  <c r="Z207" i="152"/>
  <c r="CK207" i="152"/>
  <c r="Z106" i="152"/>
  <c r="CK106" i="152"/>
  <c r="Z66" i="152"/>
  <c r="CK66" i="152"/>
  <c r="Z315" i="152"/>
  <c r="CK315" i="152"/>
  <c r="Z28" i="152"/>
  <c r="CK28" i="152"/>
  <c r="Z86" i="152"/>
  <c r="CK86" i="152"/>
  <c r="Z301" i="152"/>
  <c r="CK301" i="152"/>
  <c r="Z352" i="152"/>
  <c r="T352" i="155" s="1"/>
  <c r="CK352" i="152"/>
  <c r="Z184" i="152"/>
  <c r="T184" i="154" s="1"/>
  <c r="CK184" i="152"/>
  <c r="Z139" i="152"/>
  <c r="T139" i="155" s="1"/>
  <c r="CK139" i="152"/>
  <c r="Z55" i="152"/>
  <c r="T55" i="155" s="1"/>
  <c r="CK55" i="152"/>
  <c r="Z274" i="152"/>
  <c r="CK274" i="152"/>
  <c r="Z155" i="152"/>
  <c r="T155" i="154" s="1"/>
  <c r="CK155" i="152"/>
  <c r="Z126" i="152"/>
  <c r="T126" i="155" s="1"/>
  <c r="CK126" i="152"/>
  <c r="Z21" i="152"/>
  <c r="CK21" i="152"/>
  <c r="Z50" i="152"/>
  <c r="CK50" i="152"/>
  <c r="Z171" i="152"/>
  <c r="CK171" i="152"/>
  <c r="Z119" i="152"/>
  <c r="CK119" i="152"/>
  <c r="Z308" i="152"/>
  <c r="T308" i="155" s="1"/>
  <c r="CK308" i="152"/>
  <c r="Z216" i="152"/>
  <c r="CK216" i="152"/>
  <c r="Z68" i="152"/>
  <c r="CK68" i="152"/>
  <c r="Z292" i="152"/>
  <c r="CK292" i="152"/>
  <c r="Z234" i="152"/>
  <c r="CK234" i="152"/>
  <c r="Z172" i="152"/>
  <c r="CK172" i="152"/>
  <c r="Z163" i="152"/>
  <c r="T163" i="154" s="1"/>
  <c r="CK163" i="152"/>
  <c r="Z54" i="152"/>
  <c r="T54" i="154" s="1"/>
  <c r="CK54" i="152"/>
  <c r="Z307" i="152"/>
  <c r="T307" i="155" s="1"/>
  <c r="CK307" i="152"/>
  <c r="Z133" i="152"/>
  <c r="T133" i="155" s="1"/>
  <c r="CK133" i="152"/>
  <c r="Z75" i="152"/>
  <c r="T75" i="155" s="1"/>
  <c r="CK75" i="152"/>
  <c r="Z259" i="152"/>
  <c r="T259" i="155" s="1"/>
  <c r="CK259" i="152"/>
  <c r="Z71" i="152"/>
  <c r="T71" i="155" s="1"/>
  <c r="CK71" i="152"/>
  <c r="Z128" i="152"/>
  <c r="T128" i="154" s="1"/>
  <c r="CK128" i="152"/>
  <c r="Z328" i="152"/>
  <c r="CK328" i="152"/>
  <c r="Z261" i="152"/>
  <c r="T261" i="155" s="1"/>
  <c r="CK261" i="152"/>
  <c r="Z48" i="152"/>
  <c r="CK48" i="152"/>
  <c r="Z81" i="152"/>
  <c r="CK81" i="152"/>
  <c r="Z162" i="152"/>
  <c r="CK162" i="152"/>
  <c r="Z122" i="152"/>
  <c r="CK122" i="152"/>
  <c r="Z252" i="152"/>
  <c r="CK252" i="152"/>
  <c r="Z331" i="152"/>
  <c r="CK331" i="152"/>
  <c r="Z154" i="152"/>
  <c r="CK154" i="152"/>
  <c r="Z18" i="152"/>
  <c r="CK18" i="152"/>
  <c r="Z132" i="152"/>
  <c r="CK132" i="152"/>
  <c r="Z224" i="152"/>
  <c r="CK224" i="152"/>
  <c r="Z325" i="152"/>
  <c r="CK325" i="152"/>
  <c r="Z114" i="152"/>
  <c r="CK114" i="152"/>
  <c r="Z285" i="152"/>
  <c r="CK285" i="152"/>
  <c r="Z208" i="152"/>
  <c r="T208" i="155" s="1"/>
  <c r="CK208" i="152"/>
  <c r="Z131" i="152"/>
  <c r="T131" i="155" s="1"/>
  <c r="CK131" i="152"/>
  <c r="Z85" i="152"/>
  <c r="T85" i="155" s="1"/>
  <c r="CK85" i="152"/>
  <c r="Z170" i="152"/>
  <c r="T170" i="154" s="1"/>
  <c r="CK170" i="152"/>
  <c r="Z124" i="152"/>
  <c r="T124" i="155" s="1"/>
  <c r="CK124" i="152"/>
  <c r="Z169" i="152"/>
  <c r="T169" i="154" s="1"/>
  <c r="CK169" i="152"/>
  <c r="Z283" i="152"/>
  <c r="T283" i="154" s="1"/>
  <c r="CK283" i="152"/>
  <c r="Z303" i="152"/>
  <c r="CK303" i="152"/>
  <c r="Z107" i="152"/>
  <c r="CK107" i="152"/>
  <c r="Z150" i="152"/>
  <c r="CK150" i="152"/>
  <c r="Z336" i="152"/>
  <c r="T336" i="154" s="1"/>
  <c r="CK336" i="152"/>
  <c r="Z340" i="152"/>
  <c r="CK340" i="152"/>
  <c r="Z309" i="152"/>
  <c r="T309" i="154" s="1"/>
  <c r="CK309" i="152"/>
  <c r="Z357" i="152"/>
  <c r="CK357" i="152"/>
  <c r="Z211" i="152"/>
  <c r="T211" i="155" s="1"/>
  <c r="CK211" i="152"/>
  <c r="Z193" i="152"/>
  <c r="T193" i="154" s="1"/>
  <c r="CK193" i="152"/>
  <c r="Z158" i="152"/>
  <c r="CK158" i="152"/>
  <c r="Z45" i="152"/>
  <c r="CK45" i="152"/>
  <c r="Z326" i="152"/>
  <c r="T326" i="155" s="1"/>
  <c r="CK326" i="152"/>
  <c r="Z245" i="152"/>
  <c r="CK245" i="152"/>
  <c r="Z146" i="152"/>
  <c r="T146" i="155" s="1"/>
  <c r="CK146" i="152"/>
  <c r="Z343" i="152"/>
  <c r="CK343" i="152"/>
  <c r="Z23" i="152"/>
  <c r="CK23" i="152"/>
  <c r="Z167" i="152"/>
  <c r="CK167" i="152"/>
  <c r="Z263" i="152"/>
  <c r="CK263" i="152"/>
  <c r="Z330" i="152"/>
  <c r="CK330" i="152"/>
  <c r="Z99" i="152"/>
  <c r="T99" i="155" s="1"/>
  <c r="CK99" i="152"/>
  <c r="Z5" i="152"/>
  <c r="T5" i="155" s="1"/>
  <c r="CK5" i="152"/>
  <c r="Z47" i="152"/>
  <c r="T47" i="155" s="1"/>
  <c r="CK47" i="152"/>
  <c r="Z350" i="152"/>
  <c r="T350" i="155" s="1"/>
  <c r="CK350" i="152"/>
  <c r="Z314" i="152"/>
  <c r="CK314" i="152"/>
  <c r="Z219" i="152"/>
  <c r="T219" i="155" s="1"/>
  <c r="CK219" i="152"/>
  <c r="Z290" i="152"/>
  <c r="T290" i="155" s="1"/>
  <c r="CK290" i="152"/>
  <c r="Z217" i="152"/>
  <c r="T217" i="154" s="1"/>
  <c r="CK217" i="152"/>
  <c r="Z56" i="152"/>
  <c r="CK56" i="152"/>
  <c r="Z202" i="152"/>
  <c r="T202" i="154" s="1"/>
  <c r="CK202" i="152"/>
  <c r="Z270" i="152"/>
  <c r="CK270" i="152"/>
  <c r="Z227" i="152"/>
  <c r="T227" i="154" s="1"/>
  <c r="CK227" i="152"/>
  <c r="Z359" i="152"/>
  <c r="T359" i="154" s="1"/>
  <c r="CK359" i="152"/>
  <c r="Z110" i="152"/>
  <c r="T110" i="155" s="1"/>
  <c r="CK110" i="152"/>
  <c r="Z69" i="152"/>
  <c r="T69" i="154" s="1"/>
  <c r="CK69" i="152"/>
  <c r="Z59" i="152"/>
  <c r="CK59" i="152"/>
  <c r="Z341" i="152"/>
  <c r="CK341" i="152"/>
  <c r="Z93" i="152"/>
  <c r="T93" i="155" s="1"/>
  <c r="CK93" i="152"/>
  <c r="Z191" i="152"/>
  <c r="T191" i="154" s="1"/>
  <c r="CK191" i="152"/>
  <c r="Z228" i="152"/>
  <c r="CK228" i="152"/>
  <c r="Z179" i="152"/>
  <c r="CK179" i="152"/>
  <c r="Z260" i="152"/>
  <c r="CK260" i="152"/>
  <c r="Z72" i="152"/>
  <c r="CK72" i="152"/>
  <c r="Z188" i="152"/>
  <c r="CK188" i="152"/>
  <c r="Z39" i="152"/>
  <c r="CK39" i="152"/>
  <c r="Z134" i="152"/>
  <c r="CK134" i="152"/>
  <c r="Z84" i="152"/>
  <c r="CK84" i="152"/>
  <c r="Z351" i="152"/>
  <c r="CK351" i="152"/>
  <c r="Z64" i="152"/>
  <c r="CK64" i="152"/>
  <c r="Z151" i="152"/>
  <c r="CK151" i="152"/>
  <c r="Z319" i="152"/>
  <c r="CK319" i="152"/>
  <c r="Z143" i="152"/>
  <c r="CK143" i="152"/>
  <c r="Z95" i="152"/>
  <c r="CK95" i="152"/>
  <c r="Z24" i="152"/>
  <c r="CK24" i="152"/>
  <c r="Z204" i="152"/>
  <c r="CK204" i="152"/>
  <c r="Z178" i="152"/>
  <c r="T178" i="154" s="1"/>
  <c r="CK178" i="152"/>
  <c r="Z316" i="152"/>
  <c r="T316" i="154" s="1"/>
  <c r="CK316" i="152"/>
  <c r="Z342" i="152"/>
  <c r="T342" i="155" s="1"/>
  <c r="CK342" i="152"/>
  <c r="Z62" i="152"/>
  <c r="T62" i="155" s="1"/>
  <c r="CK62" i="152"/>
  <c r="Z17" i="152"/>
  <c r="CK17" i="152"/>
  <c r="Z281" i="152"/>
  <c r="T281" i="155" s="1"/>
  <c r="CK281" i="152"/>
  <c r="Z345" i="152"/>
  <c r="T345" i="154" s="1"/>
  <c r="CK345" i="152"/>
  <c r="Z199" i="152"/>
  <c r="CK199" i="152"/>
  <c r="Z121" i="152"/>
  <c r="T121" i="154" s="1"/>
  <c r="CK121" i="152"/>
  <c r="Z302" i="152"/>
  <c r="CK302" i="152"/>
  <c r="Z272" i="152"/>
  <c r="T272" i="154" s="1"/>
  <c r="CK272" i="152"/>
  <c r="Z161" i="152"/>
  <c r="CK161" i="152"/>
  <c r="Z203" i="152"/>
  <c r="CK203" i="152"/>
  <c r="Z182" i="152"/>
  <c r="CK182" i="152"/>
  <c r="Z92" i="152"/>
  <c r="CK92" i="152"/>
  <c r="Z186" i="152"/>
  <c r="CK186" i="152"/>
  <c r="Z52" i="152"/>
  <c r="CK52" i="152"/>
  <c r="Z135" i="152"/>
  <c r="CK135" i="152"/>
  <c r="Z25" i="152"/>
  <c r="CK25" i="152"/>
  <c r="Z32" i="152"/>
  <c r="CK32" i="152"/>
  <c r="Z19" i="152"/>
  <c r="CK19" i="152"/>
  <c r="Z13" i="152"/>
  <c r="CK13" i="152"/>
  <c r="T55" i="154"/>
  <c r="G367" i="153"/>
  <c r="E367" i="153"/>
  <c r="F38" i="6"/>
  <c r="E26" i="17"/>
  <c r="E27" i="17" s="1"/>
  <c r="F51" i="8"/>
  <c r="E127" i="2"/>
  <c r="R367" i="155"/>
  <c r="R366" i="155" s="1"/>
  <c r="R370" i="155" s="1"/>
  <c r="R179" i="155" s="1"/>
  <c r="R377" i="154"/>
  <c r="R250" i="154" s="1"/>
  <c r="I367" i="153"/>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Z285" i="159" l="1"/>
  <c r="Z320" i="159"/>
  <c r="CK136" i="159"/>
  <c r="V324" i="154"/>
  <c r="V324" i="155"/>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228" i="154"/>
  <c r="V228" i="155"/>
  <c r="V164" i="154"/>
  <c r="V164" i="155"/>
  <c r="V285" i="154"/>
  <c r="V285" i="155"/>
  <c r="V337" i="154"/>
  <c r="V337" i="155"/>
  <c r="V295" i="154"/>
  <c r="V295" i="155"/>
  <c r="V320" i="154"/>
  <c r="V320" i="155"/>
  <c r="V111" i="154"/>
  <c r="V111" i="155"/>
  <c r="V40" i="154"/>
  <c r="V40" i="155"/>
  <c r="V247" i="154"/>
  <c r="V247" i="155"/>
  <c r="V58" i="154"/>
  <c r="V58" i="155"/>
  <c r="V178" i="154"/>
  <c r="V178" i="155"/>
  <c r="V109" i="154"/>
  <c r="V109" i="155"/>
  <c r="V220" i="154"/>
  <c r="V220" i="155"/>
  <c r="V191" i="154"/>
  <c r="V191" i="155"/>
  <c r="V270" i="154"/>
  <c r="V270" i="155"/>
  <c r="V66" i="154"/>
  <c r="V66" i="155"/>
  <c r="V19" i="154"/>
  <c r="V19" i="155"/>
  <c r="V334" i="154"/>
  <c r="V334" i="155"/>
  <c r="V322" i="154"/>
  <c r="V322" i="155"/>
  <c r="V32" i="154"/>
  <c r="V32" i="155"/>
  <c r="V266" i="154"/>
  <c r="V266"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159" i="154"/>
  <c r="V159"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09" i="2"/>
  <c r="F124" i="2" s="1"/>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99" i="2"/>
  <c r="H100" i="2" s="1"/>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V314" i="155" s="1"/>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V367" i="153"/>
  <c r="W367" i="153"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104"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Z361" i="152"/>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105" i="3"/>
  <c r="F30" i="8" s="1"/>
  <c r="H370" i="153"/>
  <c r="G104" i="3"/>
  <c r="F39" i="6"/>
  <c r="F89" i="6" s="1"/>
  <c r="F59" i="6"/>
  <c r="V28" i="154" l="1"/>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G109" i="2"/>
  <c r="G119" i="2" s="1"/>
  <c r="G114" i="2" s="1"/>
  <c r="H14" i="8" s="1"/>
  <c r="F111" i="2"/>
  <c r="F119" i="2"/>
  <c r="N170" i="70"/>
  <c r="N172" i="70" s="1"/>
  <c r="I93" i="2"/>
  <c r="I92" i="2" s="1"/>
  <c r="I96" i="2" s="1"/>
  <c r="J16" i="2" s="1"/>
  <c r="H102" i="2"/>
  <c r="H97" i="2"/>
  <c r="F1" i="160"/>
  <c r="J1" i="160" s="1"/>
  <c r="D367" i="160" s="1"/>
  <c r="V314" i="154"/>
  <c r="V367" i="158"/>
  <c r="W367" i="158" s="1"/>
  <c r="L169" i="70"/>
  <c r="CK361" i="159"/>
  <c r="G105" i="2" s="1"/>
  <c r="H105" i="2" s="1"/>
  <c r="CP361" i="152"/>
  <c r="Z361" i="159"/>
  <c r="H370" i="158"/>
  <c r="G105" i="3"/>
  <c r="G30" i="8" s="1"/>
  <c r="R361" i="155"/>
  <c r="K170" i="70" s="1"/>
  <c r="K172" i="70" s="1"/>
  <c r="K173" i="70" s="1"/>
  <c r="I175" i="70" s="1"/>
  <c r="H41" i="70" s="1"/>
  <c r="T361" i="154"/>
  <c r="T361" i="155"/>
  <c r="L170" i="70" s="1"/>
  <c r="L172" i="70" s="1"/>
  <c r="F12" i="8"/>
  <c r="H3" i="153"/>
  <c r="J112" i="153"/>
  <c r="K112" i="153" s="1"/>
  <c r="J191" i="153"/>
  <c r="K191" i="153" s="1"/>
  <c r="J261" i="153"/>
  <c r="K261" i="153" s="1"/>
  <c r="J101" i="153"/>
  <c r="K101" i="153" s="1"/>
  <c r="J210" i="153"/>
  <c r="K210" i="153" s="1"/>
  <c r="J289" i="153"/>
  <c r="K289" i="153" s="1"/>
  <c r="J264" i="153"/>
  <c r="K264" i="153" s="1"/>
  <c r="J362" i="153"/>
  <c r="K362" i="153" s="1"/>
  <c r="J140" i="153"/>
  <c r="K140" i="153" s="1"/>
  <c r="J105" i="153"/>
  <c r="K105" i="153" s="1"/>
  <c r="J296" i="153"/>
  <c r="K296" i="153" s="1"/>
  <c r="J68" i="153"/>
  <c r="K68" i="153" s="1"/>
  <c r="J113" i="153"/>
  <c r="K113" i="153" s="1"/>
  <c r="J53" i="153"/>
  <c r="K53" i="153" s="1"/>
  <c r="J307" i="153"/>
  <c r="K307" i="153" s="1"/>
  <c r="J149" i="153"/>
  <c r="K149" i="153" s="1"/>
  <c r="J254" i="153"/>
  <c r="K254" i="153" s="1"/>
  <c r="J281" i="153"/>
  <c r="K281" i="153" s="1"/>
  <c r="J344" i="153"/>
  <c r="K344" i="153" s="1"/>
  <c r="J56" i="153"/>
  <c r="K56" i="153" s="1"/>
  <c r="J249" i="153"/>
  <c r="K249" i="153" s="1"/>
  <c r="J263" i="153"/>
  <c r="K263" i="153" s="1"/>
  <c r="J79" i="153"/>
  <c r="K79" i="153" s="1"/>
  <c r="J230" i="153"/>
  <c r="K230" i="153" s="1"/>
  <c r="J49" i="153"/>
  <c r="K49" i="153" s="1"/>
  <c r="J342" i="153"/>
  <c r="K342" i="153" s="1"/>
  <c r="J111" i="153"/>
  <c r="K111" i="153" s="1"/>
  <c r="J109" i="153"/>
  <c r="K109" i="153" s="1"/>
  <c r="J23" i="153"/>
  <c r="K23" i="153" s="1"/>
  <c r="J275" i="153"/>
  <c r="K275" i="153" s="1"/>
  <c r="J234" i="153"/>
  <c r="K234" i="153" s="1"/>
  <c r="J29" i="153"/>
  <c r="K29" i="153" s="1"/>
  <c r="J160" i="153"/>
  <c r="K160" i="153" s="1"/>
  <c r="J294" i="153"/>
  <c r="K294" i="153" s="1"/>
  <c r="J351" i="153"/>
  <c r="K351" i="153" s="1"/>
  <c r="J46" i="153"/>
  <c r="K46" i="153" s="1"/>
  <c r="J28" i="153"/>
  <c r="K28" i="153" s="1"/>
  <c r="J251" i="153"/>
  <c r="K251" i="153" s="1"/>
  <c r="J39" i="153"/>
  <c r="K39" i="153" s="1"/>
  <c r="J271" i="153"/>
  <c r="K271" i="153" s="1"/>
  <c r="J69" i="153"/>
  <c r="K69" i="153" s="1"/>
  <c r="J256" i="153"/>
  <c r="K256" i="153" s="1"/>
  <c r="J306" i="153"/>
  <c r="K306" i="153" s="1"/>
  <c r="J94" i="153"/>
  <c r="K94" i="153" s="1"/>
  <c r="J41" i="153"/>
  <c r="K41" i="153" s="1"/>
  <c r="J57" i="153"/>
  <c r="K57" i="153" s="1"/>
  <c r="J129" i="153"/>
  <c r="K129" i="153" s="1"/>
  <c r="J321" i="153"/>
  <c r="K321" i="153" s="1"/>
  <c r="J165" i="153"/>
  <c r="K165" i="153" s="1"/>
  <c r="J134" i="153"/>
  <c r="K134" i="153" s="1"/>
  <c r="J332" i="153"/>
  <c r="K332" i="153" s="1"/>
  <c r="J279" i="153"/>
  <c r="K279" i="153" s="1"/>
  <c r="J220" i="153"/>
  <c r="K220" i="153" s="1"/>
  <c r="J142" i="153"/>
  <c r="K142" i="153" s="1"/>
  <c r="J155" i="153"/>
  <c r="K155" i="153" s="1"/>
  <c r="J93" i="153"/>
  <c r="K93" i="153" s="1"/>
  <c r="J298" i="153"/>
  <c r="K298" i="153" s="1"/>
  <c r="J38" i="153"/>
  <c r="K38" i="153" s="1"/>
  <c r="J74" i="153"/>
  <c r="K74" i="153" s="1"/>
  <c r="J168" i="153"/>
  <c r="K168" i="153" s="1"/>
  <c r="J27" i="153"/>
  <c r="K27" i="153" s="1"/>
  <c r="J311" i="153"/>
  <c r="K311" i="153" s="1"/>
  <c r="J217" i="153"/>
  <c r="K217" i="153" s="1"/>
  <c r="J127" i="153"/>
  <c r="K127" i="153" s="1"/>
  <c r="J148" i="153"/>
  <c r="K148" i="153" s="1"/>
  <c r="J141" i="153"/>
  <c r="K141" i="153" s="1"/>
  <c r="J73" i="153"/>
  <c r="K73" i="153" s="1"/>
  <c r="J100" i="153"/>
  <c r="K100" i="153" s="1"/>
  <c r="J360" i="153"/>
  <c r="K360" i="153" s="1"/>
  <c r="J268" i="153"/>
  <c r="K268" i="153" s="1"/>
  <c r="J55" i="153"/>
  <c r="K55" i="153" s="1"/>
  <c r="J126" i="153"/>
  <c r="K126" i="153" s="1"/>
  <c r="J75" i="153"/>
  <c r="K75" i="153" s="1"/>
  <c r="J270" i="153"/>
  <c r="K270" i="153" s="1"/>
  <c r="J117" i="153"/>
  <c r="K117" i="153" s="1"/>
  <c r="J218" i="153"/>
  <c r="K218" i="153" s="1"/>
  <c r="J247" i="153"/>
  <c r="K247" i="153" s="1"/>
  <c r="J64" i="153"/>
  <c r="K64" i="153" s="1"/>
  <c r="J314" i="153"/>
  <c r="K314" i="153" s="1"/>
  <c r="J237" i="153"/>
  <c r="K237" i="153" s="1"/>
  <c r="J287" i="153"/>
  <c r="K287" i="153" s="1"/>
  <c r="J312" i="153"/>
  <c r="K312" i="153" s="1"/>
  <c r="J335" i="153"/>
  <c r="K335" i="153" s="1"/>
  <c r="J18" i="153"/>
  <c r="K18" i="153" s="1"/>
  <c r="J216" i="153"/>
  <c r="K216" i="153" s="1"/>
  <c r="J110" i="153"/>
  <c r="K110" i="153" s="1"/>
  <c r="J353" i="153"/>
  <c r="K353" i="153" s="1"/>
  <c r="J40" i="153"/>
  <c r="K40" i="153" s="1"/>
  <c r="J184" i="153"/>
  <c r="K184" i="153" s="1"/>
  <c r="J174" i="153"/>
  <c r="K174" i="153" s="1"/>
  <c r="J147" i="153"/>
  <c r="K147" i="153" s="1"/>
  <c r="J255" i="153"/>
  <c r="K255" i="153" s="1"/>
  <c r="J301" i="153"/>
  <c r="K301" i="153" s="1"/>
  <c r="J205" i="153"/>
  <c r="K205" i="153" s="1"/>
  <c r="J20" i="153"/>
  <c r="K20" i="153" s="1"/>
  <c r="J347" i="153"/>
  <c r="K347" i="153" s="1"/>
  <c r="J51" i="153"/>
  <c r="K51" i="153" s="1"/>
  <c r="J128" i="153"/>
  <c r="K128" i="153" s="1"/>
  <c r="J48" i="153"/>
  <c r="K48" i="153" s="1"/>
  <c r="J138" i="153"/>
  <c r="K138" i="153" s="1"/>
  <c r="J171" i="153"/>
  <c r="K171" i="153" s="1"/>
  <c r="J221" i="153"/>
  <c r="K221" i="153" s="1"/>
  <c r="J333" i="153"/>
  <c r="K333" i="153" s="1"/>
  <c r="J324" i="153"/>
  <c r="K324" i="153" s="1"/>
  <c r="J315" i="153"/>
  <c r="K315" i="153" s="1"/>
  <c r="J31" i="153"/>
  <c r="K31" i="153" s="1"/>
  <c r="J179" i="153"/>
  <c r="K179" i="153" s="1"/>
  <c r="J82" i="153"/>
  <c r="K82" i="153" s="1"/>
  <c r="J15" i="153"/>
  <c r="K15" i="153" s="1"/>
  <c r="J97" i="153"/>
  <c r="K97" i="153" s="1"/>
  <c r="J286" i="153"/>
  <c r="K286" i="153" s="1"/>
  <c r="J170" i="153"/>
  <c r="K170" i="153" s="1"/>
  <c r="J185" i="153"/>
  <c r="K185" i="153" s="1"/>
  <c r="J189" i="153"/>
  <c r="K189" i="153" s="1"/>
  <c r="J153" i="153"/>
  <c r="K153" i="153" s="1"/>
  <c r="J206" i="153"/>
  <c r="K206" i="153" s="1"/>
  <c r="J135" i="153"/>
  <c r="K135" i="153" s="1"/>
  <c r="J154" i="153"/>
  <c r="K154" i="153" s="1"/>
  <c r="J63" i="153"/>
  <c r="K63" i="153" s="1"/>
  <c r="J146" i="153"/>
  <c r="K146" i="153" s="1"/>
  <c r="J181" i="153"/>
  <c r="K181" i="153" s="1"/>
  <c r="J364" i="153"/>
  <c r="K364" i="153" s="1"/>
  <c r="J30" i="153"/>
  <c r="K30" i="153" s="1"/>
  <c r="J214" i="153"/>
  <c r="K214" i="153" s="1"/>
  <c r="J60" i="153"/>
  <c r="K60" i="153" s="1"/>
  <c r="J330" i="153"/>
  <c r="K330" i="153" s="1"/>
  <c r="J157" i="153"/>
  <c r="K157" i="153" s="1"/>
  <c r="J34" i="153"/>
  <c r="K34" i="153" s="1"/>
  <c r="J151" i="153"/>
  <c r="K151" i="153" s="1"/>
  <c r="J239" i="153"/>
  <c r="K239" i="153" s="1"/>
  <c r="J26" i="153"/>
  <c r="K26" i="153" s="1"/>
  <c r="J158" i="153"/>
  <c r="K158" i="153" s="1"/>
  <c r="J197" i="153"/>
  <c r="K197" i="153" s="1"/>
  <c r="J21" i="153"/>
  <c r="K21" i="153" s="1"/>
  <c r="J290" i="153"/>
  <c r="K290" i="153" s="1"/>
  <c r="J354" i="153"/>
  <c r="K354" i="153" s="1"/>
  <c r="J242" i="153"/>
  <c r="K242" i="153" s="1"/>
  <c r="J115" i="153"/>
  <c r="K115" i="153" s="1"/>
  <c r="J116" i="153"/>
  <c r="K116" i="153" s="1"/>
  <c r="J278" i="153"/>
  <c r="K278" i="153" s="1"/>
  <c r="J103" i="153"/>
  <c r="K103" i="153" s="1"/>
  <c r="J186" i="153"/>
  <c r="K186" i="153" s="1"/>
  <c r="J340" i="153"/>
  <c r="K340" i="153" s="1"/>
  <c r="J359" i="153"/>
  <c r="K359" i="153" s="1"/>
  <c r="J96" i="153"/>
  <c r="K96" i="153" s="1"/>
  <c r="J180" i="153"/>
  <c r="K180" i="153" s="1"/>
  <c r="J104" i="153"/>
  <c r="K104" i="153" s="1"/>
  <c r="J260" i="153"/>
  <c r="K260" i="153" s="1"/>
  <c r="J196" i="153"/>
  <c r="K196" i="153" s="1"/>
  <c r="J350" i="153"/>
  <c r="K350" i="153" s="1"/>
  <c r="J336" i="153"/>
  <c r="K336" i="153" s="1"/>
  <c r="J293" i="153"/>
  <c r="K293" i="153" s="1"/>
  <c r="J35" i="153"/>
  <c r="K35" i="153" s="1"/>
  <c r="J322" i="153"/>
  <c r="K322" i="153" s="1"/>
  <c r="J175" i="153"/>
  <c r="K175" i="153" s="1"/>
  <c r="J61" i="153"/>
  <c r="K61" i="153" s="1"/>
  <c r="J291" i="153"/>
  <c r="K291" i="153" s="1"/>
  <c r="J317" i="153"/>
  <c r="K317" i="153" s="1"/>
  <c r="J320" i="153"/>
  <c r="K320" i="153" s="1"/>
  <c r="J119" i="153"/>
  <c r="K119" i="153" s="1"/>
  <c r="J232" i="153"/>
  <c r="K232" i="153" s="1"/>
  <c r="J212" i="153"/>
  <c r="K212" i="153" s="1"/>
  <c r="J33" i="153"/>
  <c r="K33" i="153" s="1"/>
  <c r="J118" i="153"/>
  <c r="K118" i="153" s="1"/>
  <c r="J348" i="153"/>
  <c r="K348" i="153" s="1"/>
  <c r="J12" i="153"/>
  <c r="K12" i="153" s="1"/>
  <c r="J316" i="153"/>
  <c r="K316" i="153" s="1"/>
  <c r="J13" i="153"/>
  <c r="K13" i="153" s="1"/>
  <c r="J229" i="153"/>
  <c r="K229" i="153" s="1"/>
  <c r="J226" i="153"/>
  <c r="K226" i="153" s="1"/>
  <c r="J88" i="153"/>
  <c r="K88" i="153" s="1"/>
  <c r="J130" i="153"/>
  <c r="K130" i="153" s="1"/>
  <c r="J313" i="153"/>
  <c r="K313" i="153" s="1"/>
  <c r="J145" i="153"/>
  <c r="K145" i="153" s="1"/>
  <c r="J248" i="153"/>
  <c r="K248" i="153" s="1"/>
  <c r="J349" i="153"/>
  <c r="K349" i="153" s="1"/>
  <c r="J240" i="153"/>
  <c r="K240" i="153" s="1"/>
  <c r="J356" i="153"/>
  <c r="K356" i="153" s="1"/>
  <c r="J259" i="153"/>
  <c r="K259" i="153" s="1"/>
  <c r="J161" i="153"/>
  <c r="K161" i="153" s="1"/>
  <c r="J309" i="153"/>
  <c r="K309" i="153" s="1"/>
  <c r="J156" i="153"/>
  <c r="K156" i="153" s="1"/>
  <c r="J47" i="153"/>
  <c r="K47" i="153" s="1"/>
  <c r="J352" i="153"/>
  <c r="K352" i="153" s="1"/>
  <c r="J357" i="153"/>
  <c r="K357" i="153" s="1"/>
  <c r="J213" i="153"/>
  <c r="K213" i="153" s="1"/>
  <c r="J90" i="153"/>
  <c r="K90" i="153" s="1"/>
  <c r="J120" i="153"/>
  <c r="K120" i="153" s="1"/>
  <c r="J44" i="153"/>
  <c r="K44" i="153" s="1"/>
  <c r="J331" i="153"/>
  <c r="K331" i="153" s="1"/>
  <c r="J202" i="153"/>
  <c r="K202" i="153" s="1"/>
  <c r="J310" i="153"/>
  <c r="K310" i="153" s="1"/>
  <c r="J200" i="153"/>
  <c r="K200" i="153" s="1"/>
  <c r="J137" i="153"/>
  <c r="K137" i="153" s="1"/>
  <c r="J114" i="153"/>
  <c r="K114" i="153" s="1"/>
  <c r="J253" i="153"/>
  <c r="K253" i="153" s="1"/>
  <c r="J193" i="153"/>
  <c r="K193" i="153" s="1"/>
  <c r="J219" i="153"/>
  <c r="K219" i="153" s="1"/>
  <c r="J42" i="153"/>
  <c r="K42" i="153" s="1"/>
  <c r="J108" i="153"/>
  <c r="K108" i="153" s="1"/>
  <c r="J288" i="153"/>
  <c r="K288" i="153" s="1"/>
  <c r="J45" i="153"/>
  <c r="K45" i="153" s="1"/>
  <c r="J282" i="153"/>
  <c r="K282" i="153" s="1"/>
  <c r="J303" i="153"/>
  <c r="K303" i="153" s="1"/>
  <c r="J65" i="153"/>
  <c r="K65" i="153" s="1"/>
  <c r="J152" i="153"/>
  <c r="K152" i="153" s="1"/>
  <c r="J208" i="153"/>
  <c r="K208" i="153" s="1"/>
  <c r="J231" i="153"/>
  <c r="K231" i="153" s="1"/>
  <c r="J98" i="153"/>
  <c r="K98" i="153" s="1"/>
  <c r="J323" i="153"/>
  <c r="K323" i="153" s="1"/>
  <c r="J32" i="153"/>
  <c r="K32" i="153" s="1"/>
  <c r="J10" i="153"/>
  <c r="K10" i="153" s="1"/>
  <c r="J276" i="153"/>
  <c r="K276" i="153" s="1"/>
  <c r="J199" i="153"/>
  <c r="K199" i="153" s="1"/>
  <c r="J59" i="153"/>
  <c r="K59" i="153" s="1"/>
  <c r="J308" i="153"/>
  <c r="K308" i="153" s="1"/>
  <c r="J329" i="153"/>
  <c r="K329" i="153" s="1"/>
  <c r="J224" i="153"/>
  <c r="K224" i="153" s="1"/>
  <c r="J144" i="153"/>
  <c r="K144" i="153" s="1"/>
  <c r="J143" i="153"/>
  <c r="K143" i="153" s="1"/>
  <c r="J201" i="153"/>
  <c r="K201" i="153" s="1"/>
  <c r="J292" i="153"/>
  <c r="K292" i="153" s="1"/>
  <c r="J339" i="153"/>
  <c r="K339" i="153" s="1"/>
  <c r="J274" i="153"/>
  <c r="K274" i="153" s="1"/>
  <c r="J338" i="153"/>
  <c r="K338" i="153" s="1"/>
  <c r="J80" i="153"/>
  <c r="K80" i="153" s="1"/>
  <c r="J177" i="153"/>
  <c r="K177" i="153" s="1"/>
  <c r="J123" i="153"/>
  <c r="K123" i="153" s="1"/>
  <c r="J36" i="153"/>
  <c r="K36" i="153" s="1"/>
  <c r="J37" i="153"/>
  <c r="K37" i="153" s="1"/>
  <c r="J16" i="153"/>
  <c r="K16" i="153" s="1"/>
  <c r="J107" i="153"/>
  <c r="K107" i="153" s="1"/>
  <c r="J246" i="153"/>
  <c r="K246" i="153" s="1"/>
  <c r="J102" i="153"/>
  <c r="K102" i="153" s="1"/>
  <c r="J319" i="153"/>
  <c r="K319" i="153" s="1"/>
  <c r="J269" i="153"/>
  <c r="K269" i="153" s="1"/>
  <c r="J17" i="153"/>
  <c r="K17" i="153" s="1"/>
  <c r="J136" i="153"/>
  <c r="K136" i="153" s="1"/>
  <c r="J194" i="153"/>
  <c r="K194" i="153" s="1"/>
  <c r="J243" i="153"/>
  <c r="K243" i="153" s="1"/>
  <c r="J267" i="153"/>
  <c r="K267" i="153" s="1"/>
  <c r="J132" i="153"/>
  <c r="K132" i="153" s="1"/>
  <c r="J363" i="153"/>
  <c r="K363" i="153" s="1"/>
  <c r="J195" i="153"/>
  <c r="K195" i="153" s="1"/>
  <c r="J295" i="153"/>
  <c r="K295" i="153" s="1"/>
  <c r="J341" i="153"/>
  <c r="K341" i="153" s="1"/>
  <c r="J172" i="153"/>
  <c r="K172" i="153" s="1"/>
  <c r="J162" i="153"/>
  <c r="K162" i="153" s="1"/>
  <c r="J167" i="153"/>
  <c r="K167" i="153" s="1"/>
  <c r="J122" i="153"/>
  <c r="K122" i="153" s="1"/>
  <c r="J163" i="153"/>
  <c r="K163" i="153" s="1"/>
  <c r="J76" i="153"/>
  <c r="K76" i="153" s="1"/>
  <c r="J183" i="153"/>
  <c r="K183" i="153" s="1"/>
  <c r="J227" i="153"/>
  <c r="K227" i="153" s="1"/>
  <c r="J318" i="153"/>
  <c r="K318" i="153" s="1"/>
  <c r="J257" i="153"/>
  <c r="K257" i="153" s="1"/>
  <c r="J258" i="153"/>
  <c r="K258" i="153" s="1"/>
  <c r="J272" i="153"/>
  <c r="K272" i="153" s="1"/>
  <c r="J304" i="153"/>
  <c r="K304" i="153" s="1"/>
  <c r="J58" i="153"/>
  <c r="K58" i="153" s="1"/>
  <c r="J305" i="153"/>
  <c r="K305" i="153" s="1"/>
  <c r="J300" i="153"/>
  <c r="K300" i="153" s="1"/>
  <c r="J207" i="153"/>
  <c r="K207" i="153" s="1"/>
  <c r="J72" i="153"/>
  <c r="K72" i="153" s="1"/>
  <c r="J70" i="153"/>
  <c r="K70" i="153" s="1"/>
  <c r="J262" i="153"/>
  <c r="K262" i="153" s="1"/>
  <c r="J106" i="153"/>
  <c r="K106" i="153" s="1"/>
  <c r="J83" i="153"/>
  <c r="K83" i="153" s="1"/>
  <c r="J209" i="153"/>
  <c r="K209" i="153" s="1"/>
  <c r="J192" i="153"/>
  <c r="K192" i="153" s="1"/>
  <c r="J334" i="153"/>
  <c r="K334" i="153" s="1"/>
  <c r="J78" i="153"/>
  <c r="K78" i="153" s="1"/>
  <c r="J84" i="153"/>
  <c r="K84" i="153" s="1"/>
  <c r="J266" i="153"/>
  <c r="K266" i="153" s="1"/>
  <c r="J327" i="153"/>
  <c r="K327" i="153" s="1"/>
  <c r="J89" i="153"/>
  <c r="K89" i="153" s="1"/>
  <c r="J198" i="153"/>
  <c r="K198" i="153" s="1"/>
  <c r="J277" i="153"/>
  <c r="K277" i="153" s="1"/>
  <c r="J343" i="153"/>
  <c r="K343" i="153" s="1"/>
  <c r="J222" i="153"/>
  <c r="K222" i="153" s="1"/>
  <c r="J188" i="153"/>
  <c r="K188" i="153" s="1"/>
  <c r="J173" i="153"/>
  <c r="K173" i="153" s="1"/>
  <c r="J203" i="153"/>
  <c r="K203" i="153" s="1"/>
  <c r="J241" i="153"/>
  <c r="K241" i="153" s="1"/>
  <c r="J166" i="153"/>
  <c r="K166" i="153" s="1"/>
  <c r="J43" i="153"/>
  <c r="K43" i="153" s="1"/>
  <c r="J326" i="153"/>
  <c r="K326" i="153" s="1"/>
  <c r="J24" i="153"/>
  <c r="K24" i="153" s="1"/>
  <c r="J365" i="153"/>
  <c r="K365" i="153" s="1"/>
  <c r="J273" i="153"/>
  <c r="K273" i="153" s="1"/>
  <c r="J285" i="153"/>
  <c r="K285" i="153" s="1"/>
  <c r="J252" i="153"/>
  <c r="K252" i="153" s="1"/>
  <c r="J178" i="153"/>
  <c r="K178" i="153" s="1"/>
  <c r="J85" i="153"/>
  <c r="K85" i="153" s="1"/>
  <c r="J19" i="153"/>
  <c r="K19" i="153" s="1"/>
  <c r="J159" i="153"/>
  <c r="K159" i="153" s="1"/>
  <c r="J50" i="153"/>
  <c r="K50" i="153" s="1"/>
  <c r="J11" i="153"/>
  <c r="K11" i="153" s="1"/>
  <c r="J176" i="153"/>
  <c r="K176" i="153" s="1"/>
  <c r="J283" i="153"/>
  <c r="K283" i="153" s="1"/>
  <c r="J66" i="153"/>
  <c r="K66" i="153" s="1"/>
  <c r="J131" i="153"/>
  <c r="K131" i="153" s="1"/>
  <c r="J169" i="153"/>
  <c r="K169" i="153" s="1"/>
  <c r="J358" i="153"/>
  <c r="K358" i="153" s="1"/>
  <c r="J71" i="153"/>
  <c r="K71" i="153" s="1"/>
  <c r="J124" i="153"/>
  <c r="K124" i="153" s="1"/>
  <c r="J215" i="153"/>
  <c r="K215" i="153" s="1"/>
  <c r="J211" i="153"/>
  <c r="K211" i="153" s="1"/>
  <c r="J187" i="153"/>
  <c r="K187" i="153" s="1"/>
  <c r="J121" i="153"/>
  <c r="K121" i="153" s="1"/>
  <c r="J99" i="153"/>
  <c r="K99" i="153" s="1"/>
  <c r="J236" i="153"/>
  <c r="K236" i="153" s="1"/>
  <c r="J345" i="153"/>
  <c r="K345" i="153" s="1"/>
  <c r="J87" i="153"/>
  <c r="K87" i="153" s="1"/>
  <c r="J164" i="153"/>
  <c r="K164" i="153" s="1"/>
  <c r="J233" i="153"/>
  <c r="K233" i="153" s="1"/>
  <c r="J95" i="153"/>
  <c r="K95" i="153" s="1"/>
  <c r="M95" i="153" s="1"/>
  <c r="N95" i="153" s="1"/>
  <c r="J22" i="153"/>
  <c r="K22" i="153" s="1"/>
  <c r="J244" i="153"/>
  <c r="K244" i="153" s="1"/>
  <c r="J14" i="153"/>
  <c r="K14" i="153" s="1"/>
  <c r="J52" i="153"/>
  <c r="K52" i="153" s="1"/>
  <c r="J228" i="153"/>
  <c r="K228" i="153" s="1"/>
  <c r="J67" i="153"/>
  <c r="K67" i="153" s="1"/>
  <c r="J238" i="153"/>
  <c r="K238" i="153" s="1"/>
  <c r="J284" i="153"/>
  <c r="K284" i="153" s="1"/>
  <c r="J150" i="153"/>
  <c r="K150" i="153" s="1"/>
  <c r="J25" i="153"/>
  <c r="K25" i="153" s="1"/>
  <c r="J86" i="153"/>
  <c r="K86" i="153" s="1"/>
  <c r="J265" i="153"/>
  <c r="K265" i="153" s="1"/>
  <c r="J77" i="153"/>
  <c r="K77" i="153" s="1"/>
  <c r="J280" i="153"/>
  <c r="K280" i="153" s="1"/>
  <c r="J225" i="153"/>
  <c r="K225" i="153" s="1"/>
  <c r="J139" i="153"/>
  <c r="K139" i="153" s="1"/>
  <c r="J133" i="153"/>
  <c r="K133" i="153" s="1"/>
  <c r="J204" i="153"/>
  <c r="K204" i="153" s="1"/>
  <c r="J355" i="153"/>
  <c r="K355" i="153" s="1"/>
  <c r="J325" i="153"/>
  <c r="K325" i="153" s="1"/>
  <c r="J125" i="153"/>
  <c r="K125" i="153" s="1"/>
  <c r="J337" i="153"/>
  <c r="K337" i="153" s="1"/>
  <c r="J54" i="153"/>
  <c r="K54" i="153" s="1"/>
  <c r="J328" i="153"/>
  <c r="K328" i="153" s="1"/>
  <c r="J81" i="153"/>
  <c r="K81" i="153" s="1"/>
  <c r="J361" i="153"/>
  <c r="K361" i="153" s="1"/>
  <c r="J235" i="153"/>
  <c r="K235" i="153" s="1"/>
  <c r="J299" i="153"/>
  <c r="K299" i="153" s="1"/>
  <c r="J297" i="153"/>
  <c r="K297" i="153" s="1"/>
  <c r="J245" i="153"/>
  <c r="K245" i="153" s="1"/>
  <c r="J250" i="153"/>
  <c r="K250" i="153" s="1"/>
  <c r="J91" i="153"/>
  <c r="K91" i="153" s="1"/>
  <c r="J92" i="153"/>
  <c r="K92" i="153" s="1"/>
  <c r="J302" i="153"/>
  <c r="K302" i="153" s="1"/>
  <c r="J223" i="153"/>
  <c r="K223" i="153" s="1"/>
  <c r="J346" i="153"/>
  <c r="K346" i="153" s="1"/>
  <c r="J62" i="153"/>
  <c r="K62" i="153" s="1"/>
  <c r="J182" i="153"/>
  <c r="K182" i="153" s="1"/>
  <c r="J190" i="153"/>
  <c r="K190" i="153" s="1"/>
  <c r="V361" i="154" l="1"/>
  <c r="V361" i="155"/>
  <c r="H86" i="70"/>
  <c r="H90" i="70" s="1"/>
  <c r="H91" i="70" s="1"/>
  <c r="H93" i="70" s="1"/>
  <c r="H17" i="6" s="1"/>
  <c r="H78" i="6" s="1"/>
  <c r="H48" i="70"/>
  <c r="H47" i="70"/>
  <c r="H9" i="8"/>
  <c r="F120" i="2"/>
  <c r="G9" i="8"/>
  <c r="G124" i="2"/>
  <c r="H109" i="2" s="1"/>
  <c r="H111" i="2" s="1"/>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F134" i="160"/>
  <c r="G134" i="160" s="1"/>
  <c r="F359" i="160"/>
  <c r="G359" i="160" s="1"/>
  <c r="F231" i="160"/>
  <c r="G231" i="160" s="1"/>
  <c r="F214" i="160"/>
  <c r="G214" i="160" s="1"/>
  <c r="F302" i="160"/>
  <c r="G302" i="160" s="1"/>
  <c r="F331" i="160"/>
  <c r="G331" i="160" s="1"/>
  <c r="F300" i="160"/>
  <c r="G300" i="160" s="1"/>
  <c r="F160" i="160"/>
  <c r="G160" i="160" s="1"/>
  <c r="F17" i="160"/>
  <c r="G17" i="160" s="1"/>
  <c r="F86" i="160"/>
  <c r="G86" i="160" s="1"/>
  <c r="F175" i="160"/>
  <c r="G175" i="160" s="1"/>
  <c r="F177" i="160"/>
  <c r="G177" i="160" s="1"/>
  <c r="F270" i="160"/>
  <c r="G270" i="160" s="1"/>
  <c r="F166" i="160"/>
  <c r="G166" i="160" s="1"/>
  <c r="F84" i="160"/>
  <c r="G84" i="160" s="1"/>
  <c r="F106" i="160"/>
  <c r="G106" i="160" s="1"/>
  <c r="F72" i="160"/>
  <c r="G72" i="160" s="1"/>
  <c r="F344" i="160"/>
  <c r="G344" i="160" s="1"/>
  <c r="F245" i="160"/>
  <c r="G245" i="160" s="1"/>
  <c r="F247" i="160"/>
  <c r="G247" i="160" s="1"/>
  <c r="F244" i="160"/>
  <c r="G244" i="160" s="1"/>
  <c r="F108" i="160"/>
  <c r="G108" i="160" s="1"/>
  <c r="F211" i="160"/>
  <c r="G211" i="160" s="1"/>
  <c r="F55" i="160"/>
  <c r="G55" i="160" s="1"/>
  <c r="J18" i="2"/>
  <c r="H17" i="70"/>
  <c r="H36" i="70" s="1"/>
  <c r="H14" i="6" s="1"/>
  <c r="G52" i="17" s="1"/>
  <c r="M52" i="17" s="1"/>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L92" i="153"/>
  <c r="M92" i="153"/>
  <c r="N92" i="153" s="1"/>
  <c r="L81" i="153"/>
  <c r="M81" i="153"/>
  <c r="N81" i="153" s="1"/>
  <c r="L133" i="153"/>
  <c r="M133" i="153"/>
  <c r="N133" i="153" s="1"/>
  <c r="L150" i="153"/>
  <c r="M150" i="153"/>
  <c r="N150" i="153" s="1"/>
  <c r="L22" i="153"/>
  <c r="M22" i="153"/>
  <c r="N22" i="153" s="1"/>
  <c r="L121" i="153"/>
  <c r="M121" i="153"/>
  <c r="N121" i="153" s="1"/>
  <c r="L131" i="153"/>
  <c r="M131" i="153"/>
  <c r="N131" i="153" s="1"/>
  <c r="L85" i="153"/>
  <c r="M85" i="153"/>
  <c r="N85" i="153" s="1"/>
  <c r="L43" i="153"/>
  <c r="M43" i="153"/>
  <c r="N43" i="153" s="1"/>
  <c r="L277" i="153"/>
  <c r="M277" i="153"/>
  <c r="N277" i="153" s="1"/>
  <c r="L192" i="153"/>
  <c r="M192" i="153"/>
  <c r="N192" i="153" s="1"/>
  <c r="L300" i="153"/>
  <c r="M300" i="153"/>
  <c r="N300" i="153" s="1"/>
  <c r="L227" i="153"/>
  <c r="M227" i="153"/>
  <c r="N227" i="153" s="1"/>
  <c r="L341" i="153"/>
  <c r="M341" i="153"/>
  <c r="N341" i="153" s="1"/>
  <c r="L136" i="153"/>
  <c r="M136" i="153"/>
  <c r="N136" i="153" s="1"/>
  <c r="L37" i="153"/>
  <c r="M37" i="153"/>
  <c r="N37" i="153" s="1"/>
  <c r="L292" i="153"/>
  <c r="M292" i="153"/>
  <c r="N292" i="153" s="1"/>
  <c r="L199" i="153"/>
  <c r="M199" i="153"/>
  <c r="N199" i="153" s="1"/>
  <c r="L152" i="153"/>
  <c r="M152" i="153"/>
  <c r="N152" i="153" s="1"/>
  <c r="L219" i="153"/>
  <c r="M219" i="153"/>
  <c r="N219" i="153" s="1"/>
  <c r="L331" i="153"/>
  <c r="M331" i="153"/>
  <c r="N331" i="153" s="1"/>
  <c r="L156" i="153"/>
  <c r="M156" i="153"/>
  <c r="N156" i="153" s="1"/>
  <c r="L145" i="153"/>
  <c r="M145" i="153"/>
  <c r="N145" i="153" s="1"/>
  <c r="L12" i="153"/>
  <c r="M12" i="153"/>
  <c r="N12" i="153" s="1"/>
  <c r="L317" i="153"/>
  <c r="M317" i="153"/>
  <c r="N317" i="153" s="1"/>
  <c r="L350" i="153"/>
  <c r="M350" i="153"/>
  <c r="N350" i="153" s="1"/>
  <c r="L186" i="153"/>
  <c r="M186" i="153"/>
  <c r="N186" i="153" s="1"/>
  <c r="L21" i="153"/>
  <c r="M21" i="153"/>
  <c r="N21" i="153" s="1"/>
  <c r="L330" i="153"/>
  <c r="M330" i="153"/>
  <c r="N330" i="153" s="1"/>
  <c r="L154" i="153"/>
  <c r="M154" i="153"/>
  <c r="N154" i="153" s="1"/>
  <c r="L97" i="153"/>
  <c r="M97" i="153"/>
  <c r="N97" i="153" s="1"/>
  <c r="L221" i="153"/>
  <c r="M221" i="153"/>
  <c r="N221" i="153" s="1"/>
  <c r="L205" i="153"/>
  <c r="M205" i="153"/>
  <c r="N205" i="153" s="1"/>
  <c r="L110" i="153"/>
  <c r="M110" i="153"/>
  <c r="N110" i="153" s="1"/>
  <c r="L64" i="153"/>
  <c r="M64" i="153"/>
  <c r="N64" i="153" s="1"/>
  <c r="L268" i="153"/>
  <c r="M268" i="153"/>
  <c r="N268" i="153" s="1"/>
  <c r="L311" i="153"/>
  <c r="M311" i="153"/>
  <c r="N311" i="153" s="1"/>
  <c r="M142" i="153"/>
  <c r="N142" i="153" s="1"/>
  <c r="L142" i="153"/>
  <c r="L57" i="153"/>
  <c r="M57" i="153"/>
  <c r="N57" i="153" s="1"/>
  <c r="L251" i="153"/>
  <c r="M251" i="153"/>
  <c r="N251" i="153" s="1"/>
  <c r="L275" i="153"/>
  <c r="M275" i="153"/>
  <c r="N275" i="153" s="1"/>
  <c r="L263" i="153"/>
  <c r="M263" i="153"/>
  <c r="N263" i="153" s="1"/>
  <c r="L53" i="153"/>
  <c r="M53" i="153"/>
  <c r="N53" i="153" s="1"/>
  <c r="L289" i="153"/>
  <c r="M289" i="153"/>
  <c r="N289" i="153" s="1"/>
  <c r="L328" i="153"/>
  <c r="M328" i="153"/>
  <c r="N328" i="153" s="1"/>
  <c r="L139" i="153"/>
  <c r="M139" i="153"/>
  <c r="N139" i="153" s="1"/>
  <c r="L284" i="153"/>
  <c r="M284" i="153"/>
  <c r="N284" i="153" s="1"/>
  <c r="L95" i="153"/>
  <c r="L187" i="153"/>
  <c r="M187" i="153"/>
  <c r="N187" i="153" s="1"/>
  <c r="L66" i="153"/>
  <c r="M66" i="153"/>
  <c r="N66" i="153" s="1"/>
  <c r="L178" i="153"/>
  <c r="M178" i="153"/>
  <c r="N178" i="153" s="1"/>
  <c r="L166" i="153"/>
  <c r="M166" i="153"/>
  <c r="N166" i="153" s="1"/>
  <c r="L198" i="153"/>
  <c r="M198" i="153"/>
  <c r="N198" i="153" s="1"/>
  <c r="L209" i="153"/>
  <c r="M209" i="153"/>
  <c r="N209" i="153" s="1"/>
  <c r="L305" i="153"/>
  <c r="M305" i="153"/>
  <c r="N305" i="153" s="1"/>
  <c r="L183" i="153"/>
  <c r="M183" i="153"/>
  <c r="N183" i="153" s="1"/>
  <c r="L295" i="153"/>
  <c r="M295" i="153"/>
  <c r="N295" i="153" s="1"/>
  <c r="L17" i="153"/>
  <c r="M17" i="153"/>
  <c r="N17" i="153" s="1"/>
  <c r="L36" i="153"/>
  <c r="M36" i="153"/>
  <c r="N36" i="153" s="1"/>
  <c r="L201" i="153"/>
  <c r="M201" i="153"/>
  <c r="N201" i="153" s="1"/>
  <c r="L276" i="153"/>
  <c r="M276" i="153"/>
  <c r="N276" i="153" s="1"/>
  <c r="L65" i="153"/>
  <c r="M65" i="153"/>
  <c r="N65" i="153" s="1"/>
  <c r="L193" i="153"/>
  <c r="M193" i="153"/>
  <c r="N193" i="153" s="1"/>
  <c r="L44" i="153"/>
  <c r="M44" i="153"/>
  <c r="N44" i="153" s="1"/>
  <c r="L309" i="153"/>
  <c r="M309" i="153"/>
  <c r="N309" i="153" s="1"/>
  <c r="L313" i="153"/>
  <c r="M313" i="153"/>
  <c r="N313" i="153" s="1"/>
  <c r="L348" i="153"/>
  <c r="M348" i="153"/>
  <c r="N348" i="153" s="1"/>
  <c r="L291" i="153"/>
  <c r="M291" i="153"/>
  <c r="N291" i="153" s="1"/>
  <c r="L196" i="153"/>
  <c r="M196" i="153"/>
  <c r="N196" i="153" s="1"/>
  <c r="L103" i="153"/>
  <c r="M103" i="153"/>
  <c r="N103" i="153" s="1"/>
  <c r="L197" i="153"/>
  <c r="M197" i="153"/>
  <c r="N197" i="153" s="1"/>
  <c r="L60" i="153"/>
  <c r="M60" i="153"/>
  <c r="N60" i="153" s="1"/>
  <c r="L135" i="153"/>
  <c r="M135" i="153"/>
  <c r="N135" i="153" s="1"/>
  <c r="L15" i="153"/>
  <c r="M15" i="153"/>
  <c r="N15" i="153" s="1"/>
  <c r="L171" i="153"/>
  <c r="M171" i="153"/>
  <c r="N171" i="153" s="1"/>
  <c r="L301" i="153"/>
  <c r="M301" i="153"/>
  <c r="N301" i="153" s="1"/>
  <c r="L216" i="153"/>
  <c r="M216" i="153"/>
  <c r="N216" i="153" s="1"/>
  <c r="L247" i="153"/>
  <c r="M247" i="153"/>
  <c r="N247" i="153" s="1"/>
  <c r="L360" i="153"/>
  <c r="M360" i="153"/>
  <c r="N360" i="153" s="1"/>
  <c r="L27" i="153"/>
  <c r="M27" i="153"/>
  <c r="N27" i="153" s="1"/>
  <c r="L220" i="153"/>
  <c r="M220" i="153"/>
  <c r="N220" i="153" s="1"/>
  <c r="L41" i="153"/>
  <c r="M41" i="153"/>
  <c r="N41" i="153" s="1"/>
  <c r="L28" i="153"/>
  <c r="M28" i="153"/>
  <c r="N28" i="153" s="1"/>
  <c r="L23" i="153"/>
  <c r="M23" i="153"/>
  <c r="N23" i="153" s="1"/>
  <c r="L249" i="153"/>
  <c r="M249" i="153"/>
  <c r="N249" i="153" s="1"/>
  <c r="L113" i="153"/>
  <c r="M113" i="153"/>
  <c r="N113" i="153" s="1"/>
  <c r="L210" i="153"/>
  <c r="M210" i="153"/>
  <c r="N210" i="153" s="1"/>
  <c r="L190" i="153"/>
  <c r="M190" i="153"/>
  <c r="N190" i="153" s="1"/>
  <c r="L250" i="153"/>
  <c r="M250" i="153"/>
  <c r="N250" i="153" s="1"/>
  <c r="L54" i="153"/>
  <c r="M54" i="153"/>
  <c r="N54" i="153" s="1"/>
  <c r="L225" i="153"/>
  <c r="M225" i="153"/>
  <c r="N225" i="153" s="1"/>
  <c r="L238" i="153"/>
  <c r="M238" i="153"/>
  <c r="N238" i="153" s="1"/>
  <c r="L233" i="153"/>
  <c r="M233" i="153"/>
  <c r="N233" i="153" s="1"/>
  <c r="L211" i="153"/>
  <c r="M211" i="153"/>
  <c r="N211" i="153" s="1"/>
  <c r="M283" i="153"/>
  <c r="N283" i="153" s="1"/>
  <c r="L283" i="153"/>
  <c r="L252" i="153"/>
  <c r="M252" i="153"/>
  <c r="N252" i="153" s="1"/>
  <c r="L241" i="153"/>
  <c r="M241" i="153"/>
  <c r="N241" i="153" s="1"/>
  <c r="L89" i="153"/>
  <c r="M89" i="153"/>
  <c r="N89" i="153" s="1"/>
  <c r="L83" i="153"/>
  <c r="M83" i="153"/>
  <c r="N83" i="153" s="1"/>
  <c r="L58" i="153"/>
  <c r="M58" i="153"/>
  <c r="N58" i="153" s="1"/>
  <c r="L76" i="153"/>
  <c r="M76" i="153"/>
  <c r="N76" i="153" s="1"/>
  <c r="L195" i="153"/>
  <c r="M195" i="153"/>
  <c r="N195" i="153" s="1"/>
  <c r="L269" i="153"/>
  <c r="M269" i="153"/>
  <c r="N269" i="153" s="1"/>
  <c r="L123" i="153"/>
  <c r="M123" i="153"/>
  <c r="N123" i="153" s="1"/>
  <c r="L143" i="153"/>
  <c r="M143" i="153"/>
  <c r="N143" i="153" s="1"/>
  <c r="K367" i="153"/>
  <c r="L10" i="153"/>
  <c r="M10" i="153"/>
  <c r="L303" i="153"/>
  <c r="M303" i="153"/>
  <c r="N303" i="153" s="1"/>
  <c r="L253" i="153"/>
  <c r="M253" i="153"/>
  <c r="N253" i="153" s="1"/>
  <c r="L120" i="153"/>
  <c r="M120" i="153"/>
  <c r="N120" i="153" s="1"/>
  <c r="L161" i="153"/>
  <c r="M161" i="153"/>
  <c r="N161" i="153" s="1"/>
  <c r="L130" i="153"/>
  <c r="M130" i="153"/>
  <c r="N130" i="153" s="1"/>
  <c r="L118" i="153"/>
  <c r="M118" i="153"/>
  <c r="N118" i="153" s="1"/>
  <c r="L61" i="153"/>
  <c r="M61" i="153"/>
  <c r="N61" i="153" s="1"/>
  <c r="L260" i="153"/>
  <c r="M260" i="153"/>
  <c r="N260" i="153" s="1"/>
  <c r="L278" i="153"/>
  <c r="M278" i="153"/>
  <c r="N278" i="153" s="1"/>
  <c r="L158" i="153"/>
  <c r="M158" i="153"/>
  <c r="N158" i="153" s="1"/>
  <c r="L214" i="153"/>
  <c r="M214" i="153"/>
  <c r="N214" i="153" s="1"/>
  <c r="L206" i="153"/>
  <c r="M206" i="153"/>
  <c r="N206" i="153" s="1"/>
  <c r="L82" i="153"/>
  <c r="M82" i="153"/>
  <c r="N82" i="153" s="1"/>
  <c r="L138" i="153"/>
  <c r="M138" i="153"/>
  <c r="N138" i="153" s="1"/>
  <c r="L255" i="153"/>
  <c r="M255" i="153"/>
  <c r="N255" i="153" s="1"/>
  <c r="L18" i="153"/>
  <c r="M18" i="153"/>
  <c r="N18" i="153" s="1"/>
  <c r="L218" i="153"/>
  <c r="M218" i="153"/>
  <c r="N218" i="153" s="1"/>
  <c r="L100" i="153"/>
  <c r="M100" i="153"/>
  <c r="N100" i="153" s="1"/>
  <c r="M168" i="153"/>
  <c r="N168" i="153" s="1"/>
  <c r="L168" i="153"/>
  <c r="L279" i="153"/>
  <c r="M279" i="153"/>
  <c r="N279" i="153" s="1"/>
  <c r="L94" i="153"/>
  <c r="M94" i="153"/>
  <c r="N94" i="153" s="1"/>
  <c r="L46" i="153"/>
  <c r="M46" i="153"/>
  <c r="N46" i="153" s="1"/>
  <c r="L109" i="153"/>
  <c r="M109" i="153"/>
  <c r="N109" i="153" s="1"/>
  <c r="L56" i="153"/>
  <c r="M56" i="153"/>
  <c r="N56" i="153" s="1"/>
  <c r="L68" i="153"/>
  <c r="M68" i="153"/>
  <c r="N68" i="153" s="1"/>
  <c r="L101" i="153"/>
  <c r="M101" i="153"/>
  <c r="N101" i="153" s="1"/>
  <c r="F62" i="8"/>
  <c r="F39" i="8"/>
  <c r="L182" i="153"/>
  <c r="M182" i="153"/>
  <c r="N182" i="153" s="1"/>
  <c r="L245" i="153"/>
  <c r="M245" i="153"/>
  <c r="N245" i="153" s="1"/>
  <c r="L337" i="153"/>
  <c r="M337" i="153"/>
  <c r="N337" i="153" s="1"/>
  <c r="L280" i="153"/>
  <c r="M280" i="153"/>
  <c r="N280" i="153" s="1"/>
  <c r="L67" i="153"/>
  <c r="M67" i="153"/>
  <c r="N67" i="153" s="1"/>
  <c r="L164" i="153"/>
  <c r="M164" i="153"/>
  <c r="N164" i="153" s="1"/>
  <c r="L215" i="153"/>
  <c r="M215" i="153"/>
  <c r="N215" i="153" s="1"/>
  <c r="L176" i="153"/>
  <c r="M176" i="153"/>
  <c r="N176" i="153" s="1"/>
  <c r="L285" i="153"/>
  <c r="M285" i="153"/>
  <c r="N285" i="153" s="1"/>
  <c r="L203" i="153"/>
  <c r="M203" i="153"/>
  <c r="N203" i="153" s="1"/>
  <c r="L327" i="153"/>
  <c r="M327" i="153"/>
  <c r="N327" i="153" s="1"/>
  <c r="L106" i="153"/>
  <c r="M106" i="153"/>
  <c r="N106" i="153" s="1"/>
  <c r="L304" i="153"/>
  <c r="M304" i="153"/>
  <c r="N304" i="153" s="1"/>
  <c r="L163" i="153"/>
  <c r="M163" i="153"/>
  <c r="N163" i="153" s="1"/>
  <c r="L363" i="153"/>
  <c r="M363" i="153"/>
  <c r="N363" i="153" s="1"/>
  <c r="L319" i="153"/>
  <c r="M319" i="153"/>
  <c r="N319" i="153" s="1"/>
  <c r="L177" i="153"/>
  <c r="M177" i="153"/>
  <c r="N177" i="153" s="1"/>
  <c r="L144" i="153"/>
  <c r="M144" i="153"/>
  <c r="N144" i="153" s="1"/>
  <c r="M32" i="153"/>
  <c r="N32" i="153" s="1"/>
  <c r="L32" i="153"/>
  <c r="L282" i="153"/>
  <c r="M282" i="153"/>
  <c r="N282" i="153" s="1"/>
  <c r="L114" i="153"/>
  <c r="M114" i="153"/>
  <c r="N114" i="153" s="1"/>
  <c r="L90" i="153"/>
  <c r="M90" i="153"/>
  <c r="N90" i="153" s="1"/>
  <c r="L259" i="153"/>
  <c r="M259" i="153"/>
  <c r="N259" i="153" s="1"/>
  <c r="L88" i="153"/>
  <c r="M88" i="153"/>
  <c r="N88" i="153" s="1"/>
  <c r="L33" i="153"/>
  <c r="M33" i="153"/>
  <c r="N33" i="153" s="1"/>
  <c r="L175" i="153"/>
  <c r="M175" i="153"/>
  <c r="N175" i="153" s="1"/>
  <c r="L104" i="153"/>
  <c r="M104" i="153"/>
  <c r="N104" i="153" s="1"/>
  <c r="L116" i="153"/>
  <c r="M116" i="153"/>
  <c r="N116" i="153" s="1"/>
  <c r="L26" i="153"/>
  <c r="M26" i="153"/>
  <c r="N26" i="153" s="1"/>
  <c r="L30" i="153"/>
  <c r="M30" i="153"/>
  <c r="N30" i="153" s="1"/>
  <c r="L153" i="153"/>
  <c r="M153" i="153"/>
  <c r="N153" i="153" s="1"/>
  <c r="L179" i="153"/>
  <c r="M179" i="153"/>
  <c r="N179" i="153" s="1"/>
  <c r="L48" i="153"/>
  <c r="M48" i="153"/>
  <c r="N48" i="153" s="1"/>
  <c r="L147" i="153"/>
  <c r="M147" i="153"/>
  <c r="N147" i="153" s="1"/>
  <c r="L335" i="153"/>
  <c r="M335" i="153"/>
  <c r="N335" i="153" s="1"/>
  <c r="L117" i="153"/>
  <c r="M117" i="153"/>
  <c r="N117" i="153" s="1"/>
  <c r="L73" i="153"/>
  <c r="M73" i="153"/>
  <c r="N73" i="153" s="1"/>
  <c r="L74" i="153"/>
  <c r="M74" i="153"/>
  <c r="N74" i="153" s="1"/>
  <c r="M332" i="153"/>
  <c r="N332" i="153" s="1"/>
  <c r="L332" i="153"/>
  <c r="L306" i="153"/>
  <c r="M306" i="153"/>
  <c r="N306" i="153" s="1"/>
  <c r="L351" i="153"/>
  <c r="M351" i="153"/>
  <c r="N351" i="153" s="1"/>
  <c r="L111" i="153"/>
  <c r="M111" i="153"/>
  <c r="N111" i="153" s="1"/>
  <c r="L344" i="153"/>
  <c r="M344" i="153"/>
  <c r="N344" i="153" s="1"/>
  <c r="L296" i="153"/>
  <c r="M296" i="153"/>
  <c r="N296" i="153" s="1"/>
  <c r="L261" i="153"/>
  <c r="M261" i="153"/>
  <c r="N261" i="153" s="1"/>
  <c r="L125" i="153"/>
  <c r="M125" i="153"/>
  <c r="N125" i="153" s="1"/>
  <c r="M87" i="153"/>
  <c r="N87" i="153" s="1"/>
  <c r="L87" i="153"/>
  <c r="L273" i="153"/>
  <c r="M273" i="153"/>
  <c r="N273" i="153" s="1"/>
  <c r="L173" i="153"/>
  <c r="M173" i="153"/>
  <c r="N173" i="153" s="1"/>
  <c r="L266" i="153"/>
  <c r="M266" i="153"/>
  <c r="N266" i="153" s="1"/>
  <c r="L262" i="153"/>
  <c r="M262" i="153"/>
  <c r="N262" i="153" s="1"/>
  <c r="L272" i="153"/>
  <c r="M272" i="153"/>
  <c r="N272" i="153" s="1"/>
  <c r="L122" i="153"/>
  <c r="M122" i="153"/>
  <c r="N122" i="153" s="1"/>
  <c r="L132" i="153"/>
  <c r="M132" i="153"/>
  <c r="N132" i="153" s="1"/>
  <c r="L102" i="153"/>
  <c r="M102" i="153"/>
  <c r="N102" i="153" s="1"/>
  <c r="L80" i="153"/>
  <c r="M80" i="153"/>
  <c r="N80" i="153" s="1"/>
  <c r="L224" i="153"/>
  <c r="M224" i="153"/>
  <c r="N224" i="153" s="1"/>
  <c r="L323" i="153"/>
  <c r="M323" i="153"/>
  <c r="N323" i="153" s="1"/>
  <c r="L45" i="153"/>
  <c r="M45" i="153"/>
  <c r="N45" i="153" s="1"/>
  <c r="L137" i="153"/>
  <c r="M137" i="153"/>
  <c r="N137" i="153" s="1"/>
  <c r="L213" i="153"/>
  <c r="M213" i="153"/>
  <c r="N213" i="153" s="1"/>
  <c r="L356" i="153"/>
  <c r="M356" i="153"/>
  <c r="N356" i="153" s="1"/>
  <c r="L226" i="153"/>
  <c r="M226" i="153"/>
  <c r="N226" i="153" s="1"/>
  <c r="L212" i="153"/>
  <c r="M212" i="153"/>
  <c r="N212" i="153" s="1"/>
  <c r="L322" i="153"/>
  <c r="M322" i="153"/>
  <c r="N322" i="153" s="1"/>
  <c r="L180" i="153"/>
  <c r="M180" i="153"/>
  <c r="N180" i="153" s="1"/>
  <c r="L115" i="153"/>
  <c r="M115" i="153"/>
  <c r="N115" i="153" s="1"/>
  <c r="L239" i="153"/>
  <c r="M239" i="153"/>
  <c r="N239" i="153" s="1"/>
  <c r="L364" i="153"/>
  <c r="M364" i="153"/>
  <c r="N364" i="153" s="1"/>
  <c r="L189" i="153"/>
  <c r="M189" i="153"/>
  <c r="N189" i="153" s="1"/>
  <c r="L31" i="153"/>
  <c r="M31" i="153"/>
  <c r="N31" i="153" s="1"/>
  <c r="L128" i="153"/>
  <c r="M128" i="153"/>
  <c r="N128" i="153" s="1"/>
  <c r="L174" i="153"/>
  <c r="M174" i="153"/>
  <c r="N174" i="153" s="1"/>
  <c r="L312" i="153"/>
  <c r="M312" i="153"/>
  <c r="N312" i="153" s="1"/>
  <c r="L270" i="153"/>
  <c r="M270" i="153"/>
  <c r="N270" i="153" s="1"/>
  <c r="L141" i="153"/>
  <c r="M141" i="153"/>
  <c r="N141" i="153" s="1"/>
  <c r="L38" i="153"/>
  <c r="M38" i="153"/>
  <c r="N38" i="153" s="1"/>
  <c r="L134" i="153"/>
  <c r="M134" i="153"/>
  <c r="N134" i="153" s="1"/>
  <c r="L256" i="153"/>
  <c r="M256" i="153"/>
  <c r="N256" i="153" s="1"/>
  <c r="L294" i="153"/>
  <c r="M294" i="153"/>
  <c r="N294" i="153" s="1"/>
  <c r="M342" i="153"/>
  <c r="N342" i="153" s="1"/>
  <c r="L342" i="153"/>
  <c r="L281" i="153"/>
  <c r="M281" i="153"/>
  <c r="N281" i="153" s="1"/>
  <c r="L105" i="153"/>
  <c r="M105" i="153"/>
  <c r="N105" i="153" s="1"/>
  <c r="L191" i="153"/>
  <c r="M191" i="153"/>
  <c r="N191" i="153" s="1"/>
  <c r="H105" i="3"/>
  <c r="H30" i="8" s="1"/>
  <c r="L91" i="153"/>
  <c r="M91" i="153"/>
  <c r="N91" i="153" s="1"/>
  <c r="L77" i="153"/>
  <c r="M77" i="153"/>
  <c r="N77" i="153" s="1"/>
  <c r="L325" i="153"/>
  <c r="M325" i="153"/>
  <c r="N325" i="153" s="1"/>
  <c r="L71" i="153"/>
  <c r="M71" i="153"/>
  <c r="N71" i="153" s="1"/>
  <c r="L188" i="153"/>
  <c r="M188" i="153"/>
  <c r="N188" i="153" s="1"/>
  <c r="L84" i="153"/>
  <c r="M84" i="153"/>
  <c r="N84" i="153" s="1"/>
  <c r="L258" i="153"/>
  <c r="M258" i="153"/>
  <c r="N258" i="153" s="1"/>
  <c r="L167" i="153"/>
  <c r="M167" i="153"/>
  <c r="N167" i="153" s="1"/>
  <c r="L267" i="153"/>
  <c r="M267" i="153"/>
  <c r="N267" i="153" s="1"/>
  <c r="L246" i="153"/>
  <c r="M246" i="153"/>
  <c r="N246" i="153" s="1"/>
  <c r="L338" i="153"/>
  <c r="M338" i="153"/>
  <c r="N338" i="153" s="1"/>
  <c r="L329" i="153"/>
  <c r="M329" i="153"/>
  <c r="N329" i="153" s="1"/>
  <c r="L98" i="153"/>
  <c r="M98" i="153"/>
  <c r="N98" i="153" s="1"/>
  <c r="L288" i="153"/>
  <c r="M288" i="153"/>
  <c r="N288" i="153" s="1"/>
  <c r="L200" i="153"/>
  <c r="M200" i="153"/>
  <c r="N200" i="153" s="1"/>
  <c r="L357" i="153"/>
  <c r="M357" i="153"/>
  <c r="N357" i="153" s="1"/>
  <c r="L240" i="153"/>
  <c r="M240" i="153"/>
  <c r="N240" i="153" s="1"/>
  <c r="M229" i="153"/>
  <c r="N229" i="153" s="1"/>
  <c r="L229" i="153"/>
  <c r="L232" i="153"/>
  <c r="M232" i="153"/>
  <c r="N232" i="153" s="1"/>
  <c r="L35" i="153"/>
  <c r="M35" i="153"/>
  <c r="N35" i="153" s="1"/>
  <c r="L96" i="153"/>
  <c r="M96" i="153"/>
  <c r="N96" i="153" s="1"/>
  <c r="L242" i="153"/>
  <c r="M242" i="153"/>
  <c r="N242" i="153" s="1"/>
  <c r="L151" i="153"/>
  <c r="M151" i="153"/>
  <c r="N151" i="153" s="1"/>
  <c r="L181" i="153"/>
  <c r="M181" i="153"/>
  <c r="N181" i="153" s="1"/>
  <c r="L185" i="153"/>
  <c r="M185" i="153"/>
  <c r="N185" i="153" s="1"/>
  <c r="L315" i="153"/>
  <c r="M315" i="153"/>
  <c r="N315" i="153" s="1"/>
  <c r="L51" i="153"/>
  <c r="M51" i="153"/>
  <c r="N51" i="153" s="1"/>
  <c r="L184" i="153"/>
  <c r="M184" i="153"/>
  <c r="N184" i="153" s="1"/>
  <c r="L287" i="153"/>
  <c r="M287" i="153"/>
  <c r="N287" i="153" s="1"/>
  <c r="L75" i="153"/>
  <c r="M75" i="153"/>
  <c r="N75" i="153" s="1"/>
  <c r="L148" i="153"/>
  <c r="M148" i="153"/>
  <c r="N148" i="153" s="1"/>
  <c r="M298" i="153"/>
  <c r="N298" i="153" s="1"/>
  <c r="L298" i="153"/>
  <c r="L165" i="153"/>
  <c r="M165" i="153"/>
  <c r="N165" i="153" s="1"/>
  <c r="L69" i="153"/>
  <c r="M69" i="153"/>
  <c r="N69" i="153" s="1"/>
  <c r="L160" i="153"/>
  <c r="M160" i="153"/>
  <c r="N160" i="153" s="1"/>
  <c r="L49" i="153"/>
  <c r="M49" i="153"/>
  <c r="N49" i="153" s="1"/>
  <c r="L254" i="153"/>
  <c r="M254" i="153"/>
  <c r="N254" i="153" s="1"/>
  <c r="L140" i="153"/>
  <c r="M140" i="153"/>
  <c r="N140" i="153" s="1"/>
  <c r="L112" i="153"/>
  <c r="M112" i="153"/>
  <c r="N112" i="153" s="1"/>
  <c r="L62" i="153"/>
  <c r="M62" i="153"/>
  <c r="N62" i="153" s="1"/>
  <c r="L228" i="153"/>
  <c r="M228" i="153"/>
  <c r="N228" i="153" s="1"/>
  <c r="L124" i="153"/>
  <c r="M124" i="153"/>
  <c r="N124" i="153" s="1"/>
  <c r="L346" i="153"/>
  <c r="M346" i="153"/>
  <c r="N346" i="153" s="1"/>
  <c r="L265" i="153"/>
  <c r="M265" i="153"/>
  <c r="N265" i="153" s="1"/>
  <c r="L345" i="153"/>
  <c r="M345" i="153"/>
  <c r="N345" i="153" s="1"/>
  <c r="L365" i="153"/>
  <c r="M365" i="153"/>
  <c r="N365" i="153" s="1"/>
  <c r="L70" i="153"/>
  <c r="M70" i="153"/>
  <c r="N70" i="153" s="1"/>
  <c r="L223" i="153"/>
  <c r="M223" i="153"/>
  <c r="N223" i="153" s="1"/>
  <c r="L235" i="153"/>
  <c r="M235" i="153"/>
  <c r="N235" i="153" s="1"/>
  <c r="L355" i="153"/>
  <c r="M355" i="153"/>
  <c r="N355" i="153" s="1"/>
  <c r="L86" i="153"/>
  <c r="M86" i="153"/>
  <c r="N86" i="153" s="1"/>
  <c r="M14" i="153"/>
  <c r="N14" i="153" s="1"/>
  <c r="L14" i="153"/>
  <c r="L236" i="153"/>
  <c r="M236" i="153"/>
  <c r="N236" i="153" s="1"/>
  <c r="L358" i="153"/>
  <c r="M358" i="153"/>
  <c r="N358" i="153" s="1"/>
  <c r="L159" i="153"/>
  <c r="M159" i="153"/>
  <c r="N159" i="153" s="1"/>
  <c r="L24" i="153"/>
  <c r="M24" i="153"/>
  <c r="N24" i="153" s="1"/>
  <c r="M222" i="153"/>
  <c r="N222" i="153" s="1"/>
  <c r="L222" i="153"/>
  <c r="L78" i="153"/>
  <c r="M78" i="153"/>
  <c r="N78" i="153" s="1"/>
  <c r="L72" i="153"/>
  <c r="M72" i="153"/>
  <c r="N72" i="153" s="1"/>
  <c r="L257" i="153"/>
  <c r="M257" i="153"/>
  <c r="N257" i="153" s="1"/>
  <c r="L162" i="153"/>
  <c r="M162" i="153"/>
  <c r="N162" i="153" s="1"/>
  <c r="M243" i="153"/>
  <c r="N243" i="153" s="1"/>
  <c r="L243" i="153"/>
  <c r="L107" i="153"/>
  <c r="M107" i="153"/>
  <c r="N107" i="153" s="1"/>
  <c r="M274" i="153"/>
  <c r="N274" i="153" s="1"/>
  <c r="L274" i="153"/>
  <c r="M308" i="153"/>
  <c r="N308" i="153" s="1"/>
  <c r="L308" i="153"/>
  <c r="L231" i="153"/>
  <c r="M231" i="153"/>
  <c r="N231" i="153" s="1"/>
  <c r="L108" i="153"/>
  <c r="M108" i="153"/>
  <c r="N108" i="153" s="1"/>
  <c r="L310" i="153"/>
  <c r="M310" i="153"/>
  <c r="N310" i="153" s="1"/>
  <c r="L352" i="153"/>
  <c r="M352" i="153"/>
  <c r="N352" i="153" s="1"/>
  <c r="L349" i="153"/>
  <c r="M349" i="153"/>
  <c r="N349" i="153" s="1"/>
  <c r="L13" i="153"/>
  <c r="M13" i="153"/>
  <c r="N13" i="153" s="1"/>
  <c r="L119" i="153"/>
  <c r="M119" i="153"/>
  <c r="N119" i="153" s="1"/>
  <c r="L293" i="153"/>
  <c r="M293" i="153"/>
  <c r="N293" i="153" s="1"/>
  <c r="L359" i="153"/>
  <c r="M359" i="153"/>
  <c r="N359" i="153" s="1"/>
  <c r="L354" i="153"/>
  <c r="M354" i="153"/>
  <c r="N354" i="153" s="1"/>
  <c r="L34" i="153"/>
  <c r="M34" i="153"/>
  <c r="N34" i="153" s="1"/>
  <c r="L146" i="153"/>
  <c r="M146" i="153"/>
  <c r="N146" i="153" s="1"/>
  <c r="L170" i="153"/>
  <c r="M170" i="153"/>
  <c r="N170" i="153" s="1"/>
  <c r="L324" i="153"/>
  <c r="M324" i="153"/>
  <c r="N324" i="153" s="1"/>
  <c r="L347" i="153"/>
  <c r="M347" i="153"/>
  <c r="N347" i="153" s="1"/>
  <c r="L40" i="153"/>
  <c r="M40" i="153"/>
  <c r="N40" i="153" s="1"/>
  <c r="L237" i="153"/>
  <c r="M237" i="153"/>
  <c r="N237" i="153" s="1"/>
  <c r="L126" i="153"/>
  <c r="M126" i="153"/>
  <c r="N126" i="153" s="1"/>
  <c r="L127" i="153"/>
  <c r="M127" i="153"/>
  <c r="N127" i="153" s="1"/>
  <c r="L93" i="153"/>
  <c r="M93" i="153"/>
  <c r="N93" i="153" s="1"/>
  <c r="L321" i="153"/>
  <c r="M321" i="153"/>
  <c r="N321" i="153" s="1"/>
  <c r="L271" i="153"/>
  <c r="M271" i="153"/>
  <c r="N271" i="153" s="1"/>
  <c r="L29" i="153"/>
  <c r="M29" i="153"/>
  <c r="N29" i="153" s="1"/>
  <c r="L230" i="153"/>
  <c r="M230" i="153"/>
  <c r="N230" i="153" s="1"/>
  <c r="L149" i="153"/>
  <c r="M149" i="153"/>
  <c r="N149" i="153" s="1"/>
  <c r="L362" i="153"/>
  <c r="M362" i="153"/>
  <c r="N362" i="153" s="1"/>
  <c r="L297" i="153"/>
  <c r="M297" i="153"/>
  <c r="N297" i="153" s="1"/>
  <c r="L11" i="153"/>
  <c r="M11" i="153"/>
  <c r="N11" i="153" s="1"/>
  <c r="L299" i="153"/>
  <c r="M299" i="153"/>
  <c r="N299" i="153" s="1"/>
  <c r="L52" i="153"/>
  <c r="M52" i="153"/>
  <c r="N52" i="153" s="1"/>
  <c r="L50" i="153"/>
  <c r="M50" i="153"/>
  <c r="N50" i="153" s="1"/>
  <c r="L302" i="153"/>
  <c r="M302" i="153"/>
  <c r="N302" i="153" s="1"/>
  <c r="L361" i="153"/>
  <c r="M361" i="153"/>
  <c r="N361" i="153" s="1"/>
  <c r="L204" i="153"/>
  <c r="M204" i="153"/>
  <c r="N204" i="153" s="1"/>
  <c r="L25" i="153"/>
  <c r="M25" i="153"/>
  <c r="N25" i="153" s="1"/>
  <c r="L244" i="153"/>
  <c r="M244" i="153"/>
  <c r="N244" i="153" s="1"/>
  <c r="L99" i="153"/>
  <c r="M99" i="153"/>
  <c r="N99" i="153" s="1"/>
  <c r="L169" i="153"/>
  <c r="M169" i="153"/>
  <c r="N169" i="153" s="1"/>
  <c r="L19" i="153"/>
  <c r="M19" i="153"/>
  <c r="N19" i="153" s="1"/>
  <c r="L326" i="153"/>
  <c r="M326" i="153"/>
  <c r="N326" i="153" s="1"/>
  <c r="L343" i="153"/>
  <c r="M343" i="153"/>
  <c r="N343" i="153" s="1"/>
  <c r="L334" i="153"/>
  <c r="M334" i="153"/>
  <c r="N334" i="153" s="1"/>
  <c r="L207" i="153"/>
  <c r="M207" i="153"/>
  <c r="N207" i="153" s="1"/>
  <c r="L318" i="153"/>
  <c r="M318" i="153"/>
  <c r="N318" i="153" s="1"/>
  <c r="L172" i="153"/>
  <c r="M172" i="153"/>
  <c r="N172" i="153" s="1"/>
  <c r="L194" i="153"/>
  <c r="M194" i="153"/>
  <c r="N194" i="153" s="1"/>
  <c r="L16" i="153"/>
  <c r="M16" i="153"/>
  <c r="N16" i="153" s="1"/>
  <c r="L339" i="153"/>
  <c r="M339" i="153"/>
  <c r="N339" i="153" s="1"/>
  <c r="L59" i="153"/>
  <c r="M59" i="153"/>
  <c r="N59" i="153" s="1"/>
  <c r="L208" i="153"/>
  <c r="M208" i="153"/>
  <c r="N208" i="153" s="1"/>
  <c r="L42" i="153"/>
  <c r="M42" i="153"/>
  <c r="N42" i="153" s="1"/>
  <c r="L202" i="153"/>
  <c r="M202" i="153"/>
  <c r="N202" i="153" s="1"/>
  <c r="L47" i="153"/>
  <c r="M47" i="153"/>
  <c r="N47" i="153" s="1"/>
  <c r="L248" i="153"/>
  <c r="M248" i="153"/>
  <c r="N248" i="153" s="1"/>
  <c r="L316" i="153"/>
  <c r="M316" i="153"/>
  <c r="N316" i="153" s="1"/>
  <c r="L320" i="153"/>
  <c r="M320" i="153"/>
  <c r="N320" i="153" s="1"/>
  <c r="L336" i="153"/>
  <c r="M336" i="153"/>
  <c r="N336" i="153" s="1"/>
  <c r="L340" i="153"/>
  <c r="M340" i="153"/>
  <c r="N340" i="153" s="1"/>
  <c r="L290" i="153"/>
  <c r="M290" i="153"/>
  <c r="N290" i="153" s="1"/>
  <c r="L157" i="153"/>
  <c r="M157" i="153"/>
  <c r="N157" i="153" s="1"/>
  <c r="L63" i="153"/>
  <c r="M63" i="153"/>
  <c r="N63" i="153" s="1"/>
  <c r="L286" i="153"/>
  <c r="M286" i="153"/>
  <c r="N286" i="153" s="1"/>
  <c r="L333" i="153"/>
  <c r="M333" i="153"/>
  <c r="N333" i="153" s="1"/>
  <c r="L20" i="153"/>
  <c r="M20" i="153"/>
  <c r="N20" i="153" s="1"/>
  <c r="L353" i="153"/>
  <c r="M353" i="153"/>
  <c r="N353" i="153" s="1"/>
  <c r="L314" i="153"/>
  <c r="M314" i="153"/>
  <c r="N314" i="153" s="1"/>
  <c r="L55" i="153"/>
  <c r="M55" i="153"/>
  <c r="N55" i="153" s="1"/>
  <c r="L217" i="153"/>
  <c r="M217" i="153"/>
  <c r="N217" i="153" s="1"/>
  <c r="L155" i="153"/>
  <c r="M155" i="153"/>
  <c r="N155" i="153" s="1"/>
  <c r="L129" i="153"/>
  <c r="M129" i="153"/>
  <c r="N129" i="153" s="1"/>
  <c r="L39" i="153"/>
  <c r="M39" i="153"/>
  <c r="N39" i="153" s="1"/>
  <c r="L234" i="153"/>
  <c r="M234" i="153"/>
  <c r="N234" i="153" s="1"/>
  <c r="M79" i="153"/>
  <c r="N79" i="153" s="1"/>
  <c r="L79" i="153"/>
  <c r="L307" i="153"/>
  <c r="M307" i="153"/>
  <c r="N307" i="153" s="1"/>
  <c r="L264" i="153"/>
  <c r="M264" i="153"/>
  <c r="N264" i="153" s="1"/>
  <c r="F31" i="8"/>
  <c r="F41" i="8" s="1"/>
  <c r="H49" i="70" l="1"/>
  <c r="H50" i="70" s="1"/>
  <c r="H52" i="70" s="1"/>
  <c r="H15" i="6" s="1"/>
  <c r="H73" i="6" s="1"/>
  <c r="H124" i="2"/>
  <c r="I109" i="2" s="1"/>
  <c r="I119" i="2" s="1"/>
  <c r="H119" i="2"/>
  <c r="H114" i="2" s="1"/>
  <c r="I14" i="8" s="1"/>
  <c r="F169" i="2"/>
  <c r="F168" i="2"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H72" i="6"/>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M367" i="153"/>
  <c r="N367" i="153" s="1"/>
  <c r="O95" i="153" s="1"/>
  <c r="N10" i="153"/>
  <c r="L367" i="153"/>
  <c r="F63" i="8"/>
  <c r="E37" i="17"/>
  <c r="J37" i="17" s="1"/>
  <c r="F33" i="8"/>
  <c r="J9" i="8" l="1"/>
  <c r="I114" i="2"/>
  <c r="J14" i="8" s="1"/>
  <c r="H120" i="2"/>
  <c r="I9" i="8"/>
  <c r="I120" i="2"/>
  <c r="F127" i="2"/>
  <c r="G38" i="6"/>
  <c r="F114" i="2"/>
  <c r="G14" i="8" s="1"/>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32" i="6"/>
  <c r="H81" i="6"/>
  <c r="I103" i="2"/>
  <c r="J6" i="8"/>
  <c r="J48" i="8" s="1"/>
  <c r="J92" i="2"/>
  <c r="J96" i="2" s="1"/>
  <c r="M367" i="158"/>
  <c r="N367" i="158" s="1"/>
  <c r="O367" i="158" s="1"/>
  <c r="N10" i="158"/>
  <c r="L367" i="158"/>
  <c r="I17" i="70"/>
  <c r="I36" i="70" s="1"/>
  <c r="I14" i="6" s="1"/>
  <c r="H52" i="17" s="1"/>
  <c r="I48" i="70"/>
  <c r="I47" i="70"/>
  <c r="I78" i="6"/>
  <c r="H155" i="71"/>
  <c r="O367" i="153"/>
  <c r="O19" i="153"/>
  <c r="O198" i="153"/>
  <c r="O249" i="153"/>
  <c r="O138" i="153"/>
  <c r="O39" i="153"/>
  <c r="O168" i="153"/>
  <c r="O156" i="153"/>
  <c r="O104" i="153"/>
  <c r="O46" i="153"/>
  <c r="O16" i="153"/>
  <c r="O223" i="153"/>
  <c r="O154" i="153"/>
  <c r="O276" i="153"/>
  <c r="O335" i="153"/>
  <c r="O213" i="153"/>
  <c r="O188" i="153"/>
  <c r="O257" i="153"/>
  <c r="O214" i="153"/>
  <c r="O66" i="153"/>
  <c r="O282" i="153"/>
  <c r="O56" i="153"/>
  <c r="O224" i="153"/>
  <c r="O42" i="153"/>
  <c r="O24" i="153"/>
  <c r="O81" i="153"/>
  <c r="O110" i="153"/>
  <c r="O309" i="153"/>
  <c r="O250" i="153"/>
  <c r="O337" i="153"/>
  <c r="O344" i="153"/>
  <c r="O322" i="153"/>
  <c r="O267" i="153"/>
  <c r="O310" i="153"/>
  <c r="O255" i="153"/>
  <c r="O302" i="153"/>
  <c r="O345" i="153"/>
  <c r="O133" i="153"/>
  <c r="O209" i="153"/>
  <c r="O88" i="153"/>
  <c r="O165" i="153"/>
  <c r="O342" i="153"/>
  <c r="O264" i="153"/>
  <c r="O91" i="153"/>
  <c r="O98" i="153"/>
  <c r="O109" i="153"/>
  <c r="O326" i="153"/>
  <c r="O352" i="153"/>
  <c r="O131" i="153"/>
  <c r="O15" i="153"/>
  <c r="O179" i="153"/>
  <c r="O122" i="153"/>
  <c r="O79" i="153"/>
  <c r="O100" i="153"/>
  <c r="O62" i="153"/>
  <c r="O295" i="153"/>
  <c r="O101" i="153"/>
  <c r="O316" i="153"/>
  <c r="O215" i="153"/>
  <c r="O253" i="153"/>
  <c r="O32" i="153"/>
  <c r="O14" i="153"/>
  <c r="O290" i="153"/>
  <c r="O287" i="153"/>
  <c r="O347" i="153"/>
  <c r="O11" i="153"/>
  <c r="O277" i="153"/>
  <c r="O135" i="153"/>
  <c r="O241" i="153"/>
  <c r="O327" i="153"/>
  <c r="O174" i="153"/>
  <c r="O240" i="153"/>
  <c r="O127" i="153"/>
  <c r="O229" i="153"/>
  <c r="O157" i="153"/>
  <c r="O152" i="153"/>
  <c r="O41" i="153"/>
  <c r="O119" i="153"/>
  <c r="O263" i="153"/>
  <c r="O233" i="153"/>
  <c r="O34" i="153"/>
  <c r="O332" i="153"/>
  <c r="O333" i="153"/>
  <c r="O29" i="153"/>
  <c r="O341" i="153"/>
  <c r="O328" i="153"/>
  <c r="O216" i="153"/>
  <c r="O76" i="153"/>
  <c r="O363" i="153"/>
  <c r="O38" i="153"/>
  <c r="O96" i="153"/>
  <c r="O20" i="153"/>
  <c r="O64" i="153"/>
  <c r="O288" i="153"/>
  <c r="O222" i="153"/>
  <c r="O89" i="153"/>
  <c r="O142" i="153"/>
  <c r="O207" i="153"/>
  <c r="O350" i="153"/>
  <c r="O153" i="153"/>
  <c r="O254" i="153"/>
  <c r="O265" i="153"/>
  <c r="O121" i="153"/>
  <c r="O196" i="153"/>
  <c r="O364" i="153"/>
  <c r="O118" i="153"/>
  <c r="O274" i="153"/>
  <c r="O158" i="153"/>
  <c r="O25" i="153"/>
  <c r="O55" i="153"/>
  <c r="O199" i="153"/>
  <c r="O187" i="153"/>
  <c r="O220" i="153"/>
  <c r="O143" i="153"/>
  <c r="O259" i="153"/>
  <c r="O173" i="153"/>
  <c r="O185" i="153"/>
  <c r="O217" i="153"/>
  <c r="O57" i="153"/>
  <c r="O315" i="153"/>
  <c r="O202" i="153"/>
  <c r="O97" i="153"/>
  <c r="O139" i="153"/>
  <c r="O281" i="153"/>
  <c r="O244" i="153"/>
  <c r="O234" i="153"/>
  <c r="O236" i="153"/>
  <c r="O299" i="153"/>
  <c r="O136" i="153"/>
  <c r="O247" i="153"/>
  <c r="O195" i="153"/>
  <c r="O235" i="153"/>
  <c r="O120" i="153"/>
  <c r="O308" i="153"/>
  <c r="O318" i="153"/>
  <c r="O84" i="153"/>
  <c r="O146" i="153"/>
  <c r="O145" i="153"/>
  <c r="O113" i="153"/>
  <c r="O266" i="153"/>
  <c r="O61" i="153"/>
  <c r="O339" i="153"/>
  <c r="O186" i="153"/>
  <c r="O323" i="153"/>
  <c r="O283" i="153"/>
  <c r="O172" i="153"/>
  <c r="O349" i="153"/>
  <c r="O221" i="153"/>
  <c r="O178" i="153"/>
  <c r="O28" i="153"/>
  <c r="O182" i="153"/>
  <c r="O48" i="153"/>
  <c r="O115" i="153"/>
  <c r="O325" i="153"/>
  <c r="O160" i="153"/>
  <c r="O231" i="153"/>
  <c r="O169" i="153"/>
  <c r="O129" i="153"/>
  <c r="O330" i="153"/>
  <c r="O183" i="153"/>
  <c r="O90" i="153"/>
  <c r="O80" i="153"/>
  <c r="O181" i="153"/>
  <c r="O116" i="153"/>
  <c r="O132" i="153"/>
  <c r="O242" i="153"/>
  <c r="O228" i="153"/>
  <c r="O10" i="153"/>
  <c r="O59" i="153"/>
  <c r="O170" i="153"/>
  <c r="O52" i="153"/>
  <c r="O150" i="153"/>
  <c r="O268" i="153"/>
  <c r="O305" i="153"/>
  <c r="O210" i="153"/>
  <c r="O67" i="153"/>
  <c r="O73" i="153"/>
  <c r="O31" i="153"/>
  <c r="O258" i="153"/>
  <c r="O112" i="153"/>
  <c r="O359" i="153"/>
  <c r="O303" i="153"/>
  <c r="O334" i="153"/>
  <c r="O307" i="153"/>
  <c r="O346" i="153"/>
  <c r="O92" i="153"/>
  <c r="O205" i="153"/>
  <c r="O201" i="153"/>
  <c r="O175" i="153"/>
  <c r="O137" i="153"/>
  <c r="O184" i="153"/>
  <c r="O70" i="153"/>
  <c r="O47" i="153"/>
  <c r="O321" i="153"/>
  <c r="O85" i="153"/>
  <c r="O251" i="153"/>
  <c r="O36" i="153"/>
  <c r="O285" i="153"/>
  <c r="O351" i="153"/>
  <c r="O270" i="153"/>
  <c r="O338" i="153"/>
  <c r="O237" i="153"/>
  <c r="O130" i="153"/>
  <c r="O194" i="153"/>
  <c r="O86" i="153"/>
  <c r="O22" i="153"/>
  <c r="O311" i="153"/>
  <c r="O44" i="153"/>
  <c r="O30" i="153"/>
  <c r="O212" i="153"/>
  <c r="O49" i="153"/>
  <c r="O159" i="153"/>
  <c r="O17" i="153"/>
  <c r="O280" i="153"/>
  <c r="O117" i="153"/>
  <c r="O356" i="153"/>
  <c r="O75" i="153"/>
  <c r="O162" i="153"/>
  <c r="O161" i="153"/>
  <c r="O243" i="153"/>
  <c r="O336" i="153"/>
  <c r="O149" i="153"/>
  <c r="O300" i="153"/>
  <c r="O289" i="153"/>
  <c r="O193" i="153"/>
  <c r="O304" i="153"/>
  <c r="O261" i="153"/>
  <c r="O256" i="153"/>
  <c r="O200" i="153"/>
  <c r="O278" i="153"/>
  <c r="O298" i="153"/>
  <c r="O208" i="153"/>
  <c r="O329" i="153"/>
  <c r="O72" i="153"/>
  <c r="O43" i="153"/>
  <c r="O275" i="153"/>
  <c r="O291" i="153"/>
  <c r="O190" i="153"/>
  <c r="O245" i="153"/>
  <c r="O147" i="153"/>
  <c r="O239" i="153"/>
  <c r="O107" i="153"/>
  <c r="F35" i="8"/>
  <c r="F52" i="8"/>
  <c r="F53" i="8" s="1"/>
  <c r="F54" i="8" s="1"/>
  <c r="E38" i="17"/>
  <c r="J38" i="17" s="1"/>
  <c r="E133" i="2"/>
  <c r="E134" i="2" s="1"/>
  <c r="F34" i="6"/>
  <c r="O65" i="153"/>
  <c r="O176" i="153"/>
  <c r="O306" i="153"/>
  <c r="O180" i="153"/>
  <c r="O69" i="153"/>
  <c r="O293" i="153"/>
  <c r="O260" i="153"/>
  <c r="O63" i="153"/>
  <c r="O37" i="153"/>
  <c r="O348" i="153"/>
  <c r="O225" i="153"/>
  <c r="O177" i="153"/>
  <c r="O262" i="153"/>
  <c r="O105" i="153"/>
  <c r="O232" i="153"/>
  <c r="O82" i="153"/>
  <c r="O248" i="153"/>
  <c r="O108" i="153"/>
  <c r="O297" i="153"/>
  <c r="O227" i="153"/>
  <c r="O60" i="153"/>
  <c r="O238" i="153"/>
  <c r="O164" i="153"/>
  <c r="O74" i="153"/>
  <c r="O128" i="153"/>
  <c r="O71" i="153"/>
  <c r="O13" i="153"/>
  <c r="O50" i="153"/>
  <c r="O313" i="153"/>
  <c r="O54" i="153"/>
  <c r="O106" i="153"/>
  <c r="O296" i="153"/>
  <c r="O189" i="153"/>
  <c r="O140" i="153"/>
  <c r="O40" i="153"/>
  <c r="O206" i="153"/>
  <c r="O361" i="153"/>
  <c r="O353" i="153"/>
  <c r="O365" i="153"/>
  <c r="O219" i="153"/>
  <c r="O197" i="153"/>
  <c r="O83" i="153"/>
  <c r="O114" i="153"/>
  <c r="O102" i="153"/>
  <c r="O151" i="153"/>
  <c r="O218" i="153"/>
  <c r="O340" i="153"/>
  <c r="O354" i="153"/>
  <c r="O292" i="153"/>
  <c r="O301" i="153"/>
  <c r="O252" i="153"/>
  <c r="O203" i="153"/>
  <c r="O111" i="153"/>
  <c r="O141" i="153"/>
  <c r="O167" i="153"/>
  <c r="O324" i="153"/>
  <c r="F42" i="8"/>
  <c r="F64" i="8"/>
  <c r="F67" i="8" s="1"/>
  <c r="F68" i="8" s="1"/>
  <c r="F43" i="8"/>
  <c r="O320" i="153"/>
  <c r="O93" i="153"/>
  <c r="O192" i="153"/>
  <c r="O53" i="153"/>
  <c r="O103" i="153"/>
  <c r="O211" i="153"/>
  <c r="O319" i="153"/>
  <c r="O312" i="153"/>
  <c r="O77" i="153"/>
  <c r="O230" i="153"/>
  <c r="O18" i="153"/>
  <c r="O87" i="153"/>
  <c r="O99" i="153"/>
  <c r="O155" i="153"/>
  <c r="O358" i="153"/>
  <c r="O12" i="153"/>
  <c r="O171" i="153"/>
  <c r="O269" i="153"/>
  <c r="O33" i="153"/>
  <c r="O45" i="153"/>
  <c r="O51" i="153"/>
  <c r="O124" i="153"/>
  <c r="O94" i="153"/>
  <c r="O286" i="153"/>
  <c r="O126" i="153"/>
  <c r="O331" i="153"/>
  <c r="O27" i="153"/>
  <c r="O58" i="153"/>
  <c r="O163" i="153"/>
  <c r="O273" i="153"/>
  <c r="O294" i="153"/>
  <c r="O357" i="153"/>
  <c r="O271" i="153"/>
  <c r="O125" i="153"/>
  <c r="O134" i="153"/>
  <c r="O246" i="153"/>
  <c r="O279" i="153"/>
  <c r="O343" i="153"/>
  <c r="O78" i="153"/>
  <c r="O21" i="153"/>
  <c r="O284" i="153"/>
  <c r="O360" i="153"/>
  <c r="O26" i="153"/>
  <c r="O226" i="153"/>
  <c r="O148" i="153"/>
  <c r="O355" i="153"/>
  <c r="O68" i="153"/>
  <c r="O204" i="153"/>
  <c r="O314" i="153"/>
  <c r="O362" i="153"/>
  <c r="O317" i="153"/>
  <c r="O166" i="153"/>
  <c r="O23" i="153"/>
  <c r="O123" i="153"/>
  <c r="O144" i="153"/>
  <c r="O272" i="153"/>
  <c r="O191" i="153"/>
  <c r="O35" i="153"/>
  <c r="G169" i="2" l="1"/>
  <c r="G168" i="2" s="1"/>
  <c r="F115" i="2"/>
  <c r="G15" i="8" s="1"/>
  <c r="G59" i="6"/>
  <c r="G39" i="6"/>
  <c r="G89" i="6" s="1"/>
  <c r="F128" i="2"/>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3" i="6" s="1"/>
  <c r="I72" i="6"/>
  <c r="F44" i="8"/>
  <c r="F46" i="8"/>
  <c r="E135" i="2" s="1"/>
  <c r="E32" i="17" s="1"/>
  <c r="F35" i="6"/>
  <c r="F56" i="6"/>
  <c r="F57" i="6" s="1"/>
  <c r="F82" i="6"/>
  <c r="F83" i="6" s="1"/>
  <c r="H112" i="2" l="1"/>
  <c r="G115" i="2"/>
  <c r="H15" i="8" s="1"/>
  <c r="I111" i="2"/>
  <c r="I124" i="2"/>
  <c r="G12" i="8"/>
  <c r="G38" i="8"/>
  <c r="G17" i="8"/>
  <c r="G26" i="8"/>
  <c r="G28" i="8"/>
  <c r="P170" i="70"/>
  <c r="P172" i="70" s="1"/>
  <c r="J102" i="2"/>
  <c r="K6" i="8" s="1"/>
  <c r="K48" i="8" s="1"/>
  <c r="J105" i="2"/>
  <c r="J106" i="2" s="1"/>
  <c r="K7" i="8" s="1"/>
  <c r="H370" i="160"/>
  <c r="I104" i="3"/>
  <c r="H51" i="8"/>
  <c r="H38" i="6"/>
  <c r="H39" i="6" s="1"/>
  <c r="H89" i="6" s="1"/>
  <c r="G26" i="17"/>
  <c r="G27" i="17" s="1"/>
  <c r="G127" i="2"/>
  <c r="M169" i="70"/>
  <c r="M171" i="70" s="1"/>
  <c r="M173" i="70" s="1"/>
  <c r="K175" i="70" s="1"/>
  <c r="J41" i="70" s="1"/>
  <c r="J17" i="70" s="1"/>
  <c r="J36" i="70" s="1"/>
  <c r="J14" i="6" s="1"/>
  <c r="I81" i="6"/>
  <c r="I32" i="6"/>
  <c r="H151" i="71"/>
  <c r="H158" i="71" s="1"/>
  <c r="F42" i="6"/>
  <c r="F58" i="6"/>
  <c r="F36" i="6"/>
  <c r="F88" i="6" s="1"/>
  <c r="H159" i="71" l="1"/>
  <c r="H160" i="71" s="1"/>
  <c r="H161" i="71" s="1"/>
  <c r="H163" i="71" s="1"/>
  <c r="H164" i="71" s="1"/>
  <c r="I158" i="71" s="1"/>
  <c r="I112" i="2"/>
  <c r="G31" i="8"/>
  <c r="G39" i="8"/>
  <c r="G62" i="8"/>
  <c r="G63" i="8" s="1"/>
  <c r="J109" i="2"/>
  <c r="J119" i="2" s="1"/>
  <c r="J114" i="2" s="1"/>
  <c r="K14" i="8" s="1"/>
  <c r="J103" i="2"/>
  <c r="I105" i="3"/>
  <c r="I30" i="8" s="1"/>
  <c r="J104"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H59" i="6"/>
  <c r="H10" i="8"/>
  <c r="H38" i="8" s="1"/>
  <c r="G131" i="2"/>
  <c r="G29" i="17" s="1"/>
  <c r="J47" i="70"/>
  <c r="J48" i="70"/>
  <c r="J86" i="70"/>
  <c r="J90" i="70" s="1"/>
  <c r="J91" i="70" s="1"/>
  <c r="J93" i="70" s="1"/>
  <c r="J17" i="6" s="1"/>
  <c r="I170" i="71" s="1"/>
  <c r="H28" i="8"/>
  <c r="H17" i="8"/>
  <c r="H26" i="8"/>
  <c r="J72" i="6"/>
  <c r="I52" i="17"/>
  <c r="F44" i="6"/>
  <c r="F90" i="6" s="1"/>
  <c r="F45" i="6"/>
  <c r="F84" i="6"/>
  <c r="J120" i="2" l="1"/>
  <c r="K9" i="8"/>
  <c r="J111" i="2"/>
  <c r="J124" i="2"/>
  <c r="J125" i="2" s="1"/>
  <c r="F37" i="17"/>
  <c r="K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105" i="3"/>
  <c r="J30" i="8" s="1"/>
  <c r="K104" i="3"/>
  <c r="K105" i="3" s="1"/>
  <c r="K30" i="8" s="1"/>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4" i="71"/>
  <c r="H12" i="8"/>
  <c r="I51" i="8"/>
  <c r="H169" i="2"/>
  <c r="H168" i="2" s="1"/>
  <c r="J78" i="6"/>
  <c r="J49" i="70"/>
  <c r="J50" i="70" s="1"/>
  <c r="J52" i="70" s="1"/>
  <c r="J15" i="6" s="1"/>
  <c r="J73" i="6" s="1"/>
  <c r="H31" i="8"/>
  <c r="H39" i="8"/>
  <c r="H62" i="8"/>
  <c r="G35" i="8" l="1"/>
  <c r="G52" i="8"/>
  <c r="G53" i="8" s="1"/>
  <c r="G54" i="8" s="1"/>
  <c r="F38" i="17"/>
  <c r="K38" i="17" s="1"/>
  <c r="G34" i="6"/>
  <c r="F133" i="2"/>
  <c r="F134" i="2" s="1"/>
  <c r="G64" i="8"/>
  <c r="G67" i="8" s="1"/>
  <c r="G68" i="8" s="1"/>
  <c r="G43" i="8"/>
  <c r="G42" i="8"/>
  <c r="L367" i="160"/>
  <c r="M367" i="160"/>
  <c r="N367" i="160" s="1"/>
  <c r="O367" i="160" s="1"/>
  <c r="N10" i="160"/>
  <c r="H33" i="8"/>
  <c r="G38" i="17" s="1"/>
  <c r="G37" i="17"/>
  <c r="L37" i="17" s="1"/>
  <c r="H127" i="2"/>
  <c r="I38" i="6"/>
  <c r="I59" i="6" s="1"/>
  <c r="H26" i="17"/>
  <c r="H27" i="17" s="1"/>
  <c r="N169" i="70"/>
  <c r="N171" i="70" s="1"/>
  <c r="N173" i="70" s="1"/>
  <c r="L175" i="70" s="1"/>
  <c r="K41" i="70" s="1"/>
  <c r="K47" i="70" s="1"/>
  <c r="J81" i="6"/>
  <c r="J32" i="6"/>
  <c r="I166" i="71"/>
  <c r="I173" i="71" s="1"/>
  <c r="I174" i="71" s="1"/>
  <c r="H41" i="8"/>
  <c r="H42" i="8" s="1"/>
  <c r="H63" i="8"/>
  <c r="L38" i="17" l="1"/>
  <c r="G46" i="8"/>
  <c r="F135" i="2" s="1"/>
  <c r="F32" i="17" s="1"/>
  <c r="G44" i="8"/>
  <c r="G35" i="6"/>
  <c r="G82" i="6"/>
  <c r="G83" i="6" s="1"/>
  <c r="G56" i="6"/>
  <c r="G57"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4" i="6"/>
  <c r="H82" i="6" s="1"/>
  <c r="H83" i="6" s="1"/>
  <c r="H35" i="8"/>
  <c r="H52" i="8"/>
  <c r="H53" i="8" s="1"/>
  <c r="H54" i="8" s="1"/>
  <c r="G133" i="2"/>
  <c r="G134" i="2" s="1"/>
  <c r="I10" i="8"/>
  <c r="I12" i="8" s="1"/>
  <c r="H115" i="2"/>
  <c r="I15" i="8" s="1"/>
  <c r="I17" i="8" s="1"/>
  <c r="K86" i="70"/>
  <c r="K90" i="70" s="1"/>
  <c r="K91" i="70" s="1"/>
  <c r="K93" i="70" s="1"/>
  <c r="K17" i="6" s="1"/>
  <c r="K78" i="6" s="1"/>
  <c r="K48" i="70"/>
  <c r="K49" i="70" s="1"/>
  <c r="K50" i="70" s="1"/>
  <c r="K52" i="70" s="1"/>
  <c r="K15" i="6" s="1"/>
  <c r="K73" i="6" s="1"/>
  <c r="H131" i="2"/>
  <c r="H29" i="17" s="1"/>
  <c r="K17" i="70"/>
  <c r="K36" i="70" s="1"/>
  <c r="K14" i="6" s="1"/>
  <c r="I39" i="6"/>
  <c r="I89" i="6" s="1"/>
  <c r="H128" i="2"/>
  <c r="I175" i="71"/>
  <c r="I176" i="71" s="1"/>
  <c r="I178" i="71" s="1"/>
  <c r="I179" i="71" s="1"/>
  <c r="J173" i="71" s="1"/>
  <c r="H43" i="8"/>
  <c r="H46" i="8" s="1"/>
  <c r="G135" i="2" s="1"/>
  <c r="G32" i="17" s="1"/>
  <c r="H64" i="8"/>
  <c r="H67" i="8" s="1"/>
  <c r="H68" i="8" s="1"/>
  <c r="J112" i="2"/>
  <c r="I169" i="2"/>
  <c r="I168" i="2" s="1"/>
  <c r="K118" i="2" l="1"/>
  <c r="G58" i="6"/>
  <c r="G36" i="6"/>
  <c r="G88" i="6" s="1"/>
  <c r="G42" i="6"/>
  <c r="H56" i="6"/>
  <c r="H57" i="6" s="1"/>
  <c r="H35" i="6"/>
  <c r="H42" i="6" s="1"/>
  <c r="I38" i="8"/>
  <c r="I62" i="8" s="1"/>
  <c r="I63" i="8" s="1"/>
  <c r="I28" i="8"/>
  <c r="I26" i="8"/>
  <c r="J185" i="71"/>
  <c r="K72" i="6"/>
  <c r="K81" i="6" s="1"/>
  <c r="J52" i="17"/>
  <c r="H44" i="8"/>
  <c r="J181" i="71"/>
  <c r="K32" i="6"/>
  <c r="I4" i="71"/>
  <c r="O169" i="70"/>
  <c r="O171" i="70" s="1"/>
  <c r="O173" i="70" s="1"/>
  <c r="I26" i="17"/>
  <c r="I127" i="2"/>
  <c r="J51" i="8"/>
  <c r="J38" i="6"/>
  <c r="H45" i="6" l="1"/>
  <c r="G84" i="6"/>
  <c r="G44" i="6"/>
  <c r="G90" i="6" s="1"/>
  <c r="G45" i="6"/>
  <c r="I39" i="8"/>
  <c r="H58" i="6"/>
  <c r="H36" i="6"/>
  <c r="H88" i="6" s="1"/>
  <c r="J188" i="71"/>
  <c r="J189" i="71" s="1"/>
  <c r="J190" i="71" s="1"/>
  <c r="J191" i="71" s="1"/>
  <c r="J193" i="71" s="1"/>
  <c r="J194" i="71" s="1"/>
  <c r="J4" i="71" s="1"/>
  <c r="I31" i="8"/>
  <c r="I33" i="8" s="1"/>
  <c r="M33" i="8" s="1"/>
  <c r="M34" i="8" s="1"/>
  <c r="I27" i="17"/>
  <c r="J59" i="6"/>
  <c r="J39" i="6"/>
  <c r="J89" i="6" s="1"/>
  <c r="I131" i="2"/>
  <c r="I29" i="17" s="1"/>
  <c r="J10" i="8"/>
  <c r="I128" i="2"/>
  <c r="H84" i="6"/>
  <c r="H44" i="6"/>
  <c r="H90" i="6" s="1"/>
  <c r="I115" i="2"/>
  <c r="J15" i="8" s="1"/>
  <c r="J26" i="8" s="1"/>
  <c r="I41" i="8" l="1"/>
  <c r="I42" i="8" s="1"/>
  <c r="J169" i="2"/>
  <c r="J168" i="2" s="1"/>
  <c r="J38" i="8"/>
  <c r="J12" i="8"/>
  <c r="J28" i="8"/>
  <c r="J17" i="8"/>
  <c r="I35" i="8"/>
  <c r="I34" i="6"/>
  <c r="I52" i="8"/>
  <c r="I53" i="8" s="1"/>
  <c r="I54" i="8" s="1"/>
  <c r="H133" i="2"/>
  <c r="H134" i="2" s="1"/>
  <c r="I64" i="8" l="1"/>
  <c r="I67" i="8" s="1"/>
  <c r="I68" i="8" s="1"/>
  <c r="I43" i="8"/>
  <c r="I44" i="8" s="1"/>
  <c r="P169" i="70"/>
  <c r="P171" i="70" s="1"/>
  <c r="P173" i="70" s="1"/>
  <c r="J26" i="17"/>
  <c r="J27" i="17" s="1"/>
  <c r="J127" i="2"/>
  <c r="K38" i="6"/>
  <c r="K51" i="8"/>
  <c r="J31" i="8"/>
  <c r="J41" i="8" s="1"/>
  <c r="J62" i="8"/>
  <c r="J63" i="8" s="1"/>
  <c r="J39" i="8"/>
  <c r="I56" i="6"/>
  <c r="I57" i="6" s="1"/>
  <c r="I35" i="6"/>
  <c r="I82" i="6"/>
  <c r="I83" i="6" s="1"/>
  <c r="I46" i="8" l="1"/>
  <c r="H135" i="2" s="1"/>
  <c r="H32" i="17" s="1"/>
  <c r="K59" i="6"/>
  <c r="K39" i="6"/>
  <c r="K89" i="6" s="1"/>
  <c r="J115" i="2"/>
  <c r="K15" i="8" s="1"/>
  <c r="J128" i="2"/>
  <c r="K10" i="8"/>
  <c r="J131" i="2"/>
  <c r="J29" i="17" s="1"/>
  <c r="J43" i="8"/>
  <c r="J44" i="8" s="1"/>
  <c r="J33" i="8"/>
  <c r="J64" i="8"/>
  <c r="J67" i="8" s="1"/>
  <c r="J68" i="8" s="1"/>
  <c r="J42" i="8"/>
  <c r="I42" i="6"/>
  <c r="I36" i="6"/>
  <c r="I88" i="6" s="1"/>
  <c r="I58" i="6"/>
  <c r="K26" i="8" l="1"/>
  <c r="K28" i="8"/>
  <c r="K17" i="8"/>
  <c r="K38" i="8"/>
  <c r="K12" i="8"/>
  <c r="J46" i="8"/>
  <c r="I135" i="2" s="1"/>
  <c r="I32" i="17" s="1"/>
  <c r="J52" i="8"/>
  <c r="J53" i="8" s="1"/>
  <c r="J34" i="6"/>
  <c r="J35" i="6" s="1"/>
  <c r="J35" i="8"/>
  <c r="I133" i="2"/>
  <c r="I134" i="2" s="1"/>
  <c r="I44" i="6"/>
  <c r="I90" i="6" s="1"/>
  <c r="I84" i="6"/>
  <c r="K39" i="8" l="1"/>
  <c r="K62" i="8"/>
  <c r="K63" i="8" s="1"/>
  <c r="K31" i="8"/>
  <c r="J54" i="8"/>
  <c r="J56" i="6"/>
  <c r="J57" i="6" s="1"/>
  <c r="J82" i="6"/>
  <c r="J83" i="6" s="1"/>
  <c r="J42" i="6"/>
  <c r="J36" i="6"/>
  <c r="J88" i="6" s="1"/>
  <c r="J58" i="6"/>
  <c r="K33" i="8" l="1"/>
  <c r="K41" i="8"/>
  <c r="J44" i="6"/>
  <c r="J90" i="6" s="1"/>
  <c r="J84" i="6"/>
  <c r="K64" i="8" l="1"/>
  <c r="K67" i="8" s="1"/>
  <c r="K68" i="8" s="1"/>
  <c r="K43" i="8"/>
  <c r="K42" i="8"/>
  <c r="K34" i="6"/>
  <c r="K52" i="8"/>
  <c r="K53" i="8" s="1"/>
  <c r="K54" i="8" s="1"/>
  <c r="K35" i="8"/>
  <c r="J133" i="2"/>
  <c r="J134" i="2" s="1"/>
  <c r="K56" i="6" l="1"/>
  <c r="K57" i="6" s="1"/>
  <c r="K35" i="6"/>
  <c r="K82" i="6"/>
  <c r="K83" i="6" s="1"/>
  <c r="K46" i="8"/>
  <c r="J135" i="2" s="1"/>
  <c r="J32" i="17" s="1"/>
  <c r="K44" i="8"/>
  <c r="K36" i="6" l="1"/>
  <c r="K88" i="6" s="1"/>
  <c r="K42" i="6"/>
  <c r="K58" i="6"/>
  <c r="K84" i="6" l="1"/>
  <c r="K44" i="6"/>
  <c r="K9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<sst xmlns="http://schemas.openxmlformats.org/spreadsheetml/2006/main" count="13852" uniqueCount="2665">
  <si>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</si>
  <si>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</si>
  <si>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</si>
  <si>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</si>
  <si>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</si>
  <si>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</si>
  <si>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</si>
  <si>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</si>
  <si>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</si>
  <si>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</si>
  <si>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</si>
  <si>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</si>
  <si>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</si>
  <si>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</si>
  <si>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</si>
  <si>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</si>
  <si>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</si>
  <si>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</si>
  <si>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</si>
  <si>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</si>
  <si>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</si>
  <si>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</si>
  <si>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</si>
  <si>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</si>
  <si>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</si>
  <si>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</si>
  <si>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</si>
  <si>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</si>
  <si>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</si>
  <si>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</si>
  <si>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</si>
  <si>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</si>
  <si>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</si>
  <si>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</si>
  <si>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</si>
  <si>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</si>
  <si>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</si>
  <si>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</si>
  <si>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</si>
  <si>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</si>
  <si>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</si>
  <si>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</si>
  <si>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</si>
  <si>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</si>
  <si>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</si>
  <si>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</si>
  <si>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</si>
  <si>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</si>
  <si>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</si>
  <si>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</si>
  <si>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</si>
  <si>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</si>
  <si>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</si>
  <si>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</si>
  <si>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</si>
  <si>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</si>
  <si>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</si>
  <si>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</si>
  <si>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</si>
  <si>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</si>
  <si>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</si>
  <si>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</si>
  <si>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</si>
  <si>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</si>
  <si>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</si>
  <si>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</si>
  <si>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</si>
  <si>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</si>
  <si>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</si>
  <si>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</si>
  <si>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</si>
  <si>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</si>
  <si>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</si>
  <si>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</si>
  <si>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</si>
  <si>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</si>
  <si>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</si>
  <si>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</si>
  <si>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</si>
  <si>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</si>
  <si>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</si>
  <si>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</si>
  <si>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</si>
  <si>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</si>
  <si>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</si>
  <si>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</si>
  <si>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</si>
  <si>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</si>
  <si>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</si>
  <si>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</si>
  <si>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</si>
  <si>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</si>
  <si>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</si>
  <si>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</si>
  <si>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</si>
  <si>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</si>
  <si>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</si>
  <si>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</si>
  <si>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</si>
  <si>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</si>
  <si>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</si>
  <si>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</si>
  <si>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</si>
  <si>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</si>
  <si>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</si>
  <si>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</si>
  <si>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</si>
  <si>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</si>
  <si>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</si>
  <si>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</si>
  <si>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</si>
  <si>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</si>
  <si>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</si>
  <si>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</si>
  <si>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</si>
  <si>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</si>
  <si>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</si>
  <si>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</si>
  <si>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</si>
  <si>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</si>
  <si>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</si>
  <si>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</si>
  <si>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</si>
  <si>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</si>
  <si>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</si>
  <si>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</si>
  <si>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</si>
  <si>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</si>
  <si>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</si>
  <si>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</si>
  <si>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</si>
  <si>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</si>
  <si>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</si>
  <si>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</si>
  <si>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</si>
  <si>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</si>
  <si>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</si>
  <si>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</si>
  <si>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</si>
  <si>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</si>
  <si>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</si>
  <si>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</si>
  <si>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</si>
  <si>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</si>
  <si>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</si>
  <si>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</si>
  <si>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</si>
  <si>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</si>
  <si>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</si>
  <si>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</si>
  <si>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</si>
  <si>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</si>
  <si>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</si>
  <si>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</si>
  <si>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</si>
  <si>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</si>
  <si>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</si>
  <si>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</si>
  <si>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</si>
  <si>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</si>
  <si>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</si>
  <si>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</si>
  <si>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</si>
  <si>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</si>
  <si>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</si>
  <si>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</si>
  <si>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</si>
  <si>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</si>
  <si>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</si>
  <si>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</si>
  <si>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</si>
  <si>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</si>
  <si>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</si>
  <si>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</si>
  <si>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</si>
  <si>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</si>
  <si>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</si>
  <si>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</si>
  <si>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</si>
  <si>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</si>
  <si>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</si>
  <si>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</si>
  <si>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</si>
  <si>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</si>
  <si>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</si>
  <si>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</si>
  <si>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</si>
  <si>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</si>
  <si>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</si>
  <si>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</si>
  <si>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</si>
  <si>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</si>
  <si>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</si>
  <si>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</si>
  <si>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</si>
  <si>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</si>
  <si>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</si>
  <si>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</si>
  <si>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</si>
  <si>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</si>
  <si>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</si>
  <si>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</si>
  <si>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</si>
  <si>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</si>
  <si>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</si>
  <si>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</si>
  <si>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</si>
  <si>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</si>
  <si>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</si>
  <si>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</si>
  <si>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</si>
  <si>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</si>
  <si>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</si>
  <si>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</si>
  <si>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</si>
  <si>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</si>
  <si>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</si>
  <si>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</si>
  <si>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</si>
  <si>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</si>
  <si>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</si>
  <si>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</si>
  <si>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</si>
  <si>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</si>
  <si>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</si>
  <si>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</si>
  <si>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</si>
  <si>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</si>
  <si>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</si>
  <si>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</si>
  <si>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</si>
  <si>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</si>
  <si>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</si>
  <si>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</si>
  <si>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</si>
  <si>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</si>
  <si>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</si>
  <si>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</si>
  <si>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</si>
  <si>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</si>
  <si>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</si>
  <si>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</si>
  <si>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</si>
  <si>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</si>
  <si>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</si>
  <si>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</si>
  <si>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</si>
  <si>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</si>
  <si>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</si>
  <si>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</si>
  <si>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</si>
  <si>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</si>
  <si>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</si>
  <si>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</si>
  <si>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</si>
  <si>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</si>
  <si>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</si>
  <si>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</si>
  <si>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</si>
  <si>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</si>
  <si>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</si>
  <si>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</si>
  <si>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</si>
  <si>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</si>
  <si>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</si>
  <si>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</si>
  <si>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</si>
  <si>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</si>
  <si>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</si>
  <si>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</si>
  <si>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</si>
  <si>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</si>
  <si>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</si>
  <si>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</si>
  <si>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</si>
  <si>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</si>
  <si>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</si>
  <si>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</si>
  <si>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</si>
  <si>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</si>
  <si>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</si>
  <si>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</si>
  <si>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</si>
  <si>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</si>
  <si>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</si>
  <si>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</si>
  <si>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</si>
  <si>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</si>
  <si>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</si>
  <si>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</si>
  <si>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</si>
  <si>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</si>
  <si>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</si>
  <si>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</si>
  <si>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</si>
  <si>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</si>
  <si>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</si>
  <si>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</si>
  <si>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</si>
  <si>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</si>
  <si>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</si>
  <si>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</si>
  <si>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</si>
  <si>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</si>
  <si>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</si>
  <si>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</si>
  <si>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</si>
  <si>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</si>
  <si>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</si>
  <si>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</si>
  <si>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</si>
  <si>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</si>
  <si>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</si>
  <si>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</si>
  <si>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</si>
  <si>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</si>
  <si>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</si>
  <si>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</si>
  <si>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</si>
  <si>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</si>
  <si>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</si>
  <si>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</si>
  <si>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</si>
  <si>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</si>
  <si>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</si>
  <si>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</si>
  <si>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</si>
  <si>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</si>
  <si>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</si>
  <si>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</si>
  <si>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</si>
  <si>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</si>
  <si>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</si>
  <si>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</si>
  <si>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</si>
  <si>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</si>
  <si>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</si>
  <si>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</si>
  <si>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</si>
  <si>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</si>
  <si>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</si>
  <si>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</si>
  <si>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</si>
  <si>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</si>
  <si>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</si>
  <si>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</si>
  <si>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</si>
  <si>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</si>
  <si>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</si>
  <si>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</si>
  <si>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</si>
  <si>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</si>
  <si>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</si>
  <si>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</si>
  <si>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</si>
  <si>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</si>
  <si>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</si>
  <si>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</si>
  <si>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</si>
  <si>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</si>
  <si>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</si>
  <si>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</si>
  <si>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</si>
  <si>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</si>
  <si>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</si>
  <si>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</si>
  <si>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</si>
  <si>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</si>
  <si>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</si>
  <si>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</si>
  <si>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</si>
  <si>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</si>
  <si>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</si>
  <si>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</si>
  <si>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</si>
  <si>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</si>
  <si>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</si>
  <si>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</si>
  <si>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</si>
  <si>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</si>
  <si>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</si>
  <si>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</si>
  <si>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</si>
  <si>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</si>
  <si>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</si>
  <si>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</si>
  <si>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</si>
  <si>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</si>
  <si>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</si>
  <si>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</si>
  <si>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</si>
  <si>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</si>
  <si>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</si>
  <si>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</si>
  <si>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</si>
  <si>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</si>
  <si>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</si>
  <si>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</si>
  <si>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</si>
  <si>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</si>
  <si>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</si>
  <si>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</si>
  <si>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</si>
  <si>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</si>
  <si>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</si>
  <si>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</si>
  <si>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</si>
  <si>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</si>
  <si>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</si>
  <si>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</si>
  <si>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</si>
  <si>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</si>
  <si>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</si>
  <si>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</si>
  <si>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</si>
  <si>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</si>
  <si>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</si>
  <si>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</si>
  <si>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</si>
  <si>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</si>
  <si>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</si>
  <si>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</si>
  <si>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</si>
  <si>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</si>
  <si>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</si>
  <si>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</si>
  <si>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</si>
  <si>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</si>
  <si>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</si>
  <si>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</si>
  <si>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</si>
  <si>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</si>
  <si>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</si>
  <si>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</si>
  <si>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</si>
  <si>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</si>
  <si>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</si>
  <si>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</si>
  <si>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</si>
  <si>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</si>
  <si>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</si>
  <si>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</si>
  <si>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</si>
  <si>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</si>
  <si>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</si>
  <si>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</si>
  <si>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</si>
  <si>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</si>
  <si>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</si>
  <si>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</si>
  <si>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</si>
  <si>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</si>
  <si>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</si>
  <si>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</si>
  <si>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</si>
  <si>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</si>
  <si>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</si>
  <si>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</si>
  <si>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</si>
  <si>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</si>
  <si>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</si>
  <si>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</si>
  <si>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</si>
  <si>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</si>
  <si>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</si>
  <si>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</si>
  <si>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</si>
  <si>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</si>
  <si>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</si>
  <si>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</si>
  <si>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</si>
  <si>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</si>
  <si>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</si>
  <si>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</si>
  <si>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</si>
  <si>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</si>
  <si>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</si>
  <si>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</si>
  <si>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</si>
  <si>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</si>
  <si>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</si>
  <si>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</si>
  <si>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</si>
  <si>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</si>
  <si>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</si>
  <si>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</si>
  <si>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</si>
  <si>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</si>
  <si>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</si>
  <si>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</si>
  <si>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</si>
  <si>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</si>
  <si>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</si>
  <si>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</si>
  <si>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</si>
  <si>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</si>
  <si>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</si>
  <si>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</si>
  <si>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</si>
  <si>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</si>
  <si>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</si>
  <si>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</si>
  <si>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</si>
  <si>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</si>
  <si>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</si>
  <si>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</si>
  <si>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</si>
  <si>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</si>
  <si>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</si>
  <si>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</si>
  <si>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</si>
  <si>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</si>
  <si>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</si>
  <si>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</si>
  <si>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</si>
  <si>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</si>
  <si>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</si>
  <si>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</si>
  <si>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</si>
  <si>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</si>
  <si>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</si>
  <si>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</si>
  <si>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</si>
  <si>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</si>
  <si>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</si>
  <si>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</si>
  <si>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</si>
  <si>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</si>
  <si>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</si>
  <si>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</si>
  <si>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</si>
  <si>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</si>
  <si>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</si>
  <si>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</si>
  <si>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</si>
  <si>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</si>
  <si>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</si>
  <si>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</si>
  <si>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</si>
  <si>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</si>
  <si>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</si>
  <si>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</si>
  <si>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</si>
  <si>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</si>
  <si>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</si>
  <si>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</si>
  <si>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</si>
  <si>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</si>
  <si>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</si>
  <si>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</si>
  <si>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</si>
  <si>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</si>
  <si>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</si>
  <si>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</si>
  <si>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</si>
  <si>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</si>
  <si>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</si>
  <si>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</si>
  <si>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</si>
  <si>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</si>
  <si>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</si>
  <si>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</si>
  <si>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</si>
  <si>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</si>
  <si>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</si>
  <si>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</si>
  <si>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</si>
  <si>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</si>
  <si>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</si>
  <si>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</si>
  <si>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</si>
  <si>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</si>
  <si>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</si>
  <si>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</si>
  <si>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</si>
  <si>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</si>
  <si>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</si>
  <si>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</si>
  <si>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</si>
  <si>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</si>
  <si>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</si>
  <si>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</si>
  <si>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</si>
  <si>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</si>
  <si>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</si>
  <si>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</si>
  <si>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</si>
  <si>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</si>
  <si>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</si>
  <si>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</si>
  <si>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</si>
  <si>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</si>
  <si>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</si>
  <si>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</si>
  <si>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</si>
  <si>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</si>
  <si>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</si>
  <si>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</si>
  <si>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</si>
  <si>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</si>
  <si>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</si>
  <si>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</si>
  <si>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</si>
  <si>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</si>
  <si>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</si>
  <si>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</si>
  <si>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</si>
  <si>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</si>
  <si>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</si>
  <si>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</si>
  <si>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</si>
  <si>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</si>
  <si>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</si>
  <si>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</si>
  <si>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</si>
  <si>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</si>
  <si>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</si>
  <si>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</si>
  <si>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</si>
  <si>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</si>
  <si>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</si>
  <si>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</si>
  <si>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</si>
  <si>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</si>
  <si>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</si>
  <si>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</si>
  <si>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</si>
  <si>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</si>
  <si>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</si>
  <si>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</si>
  <si>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</si>
  <si>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</si>
  <si>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</si>
  <si>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</si>
  <si>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</si>
  <si>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</si>
  <si>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</si>
  <si>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</si>
  <si>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</si>
  <si>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</si>
  <si>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</si>
  <si>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</si>
  <si>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</si>
  <si>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</si>
  <si>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</si>
  <si>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</si>
  <si>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</si>
  <si>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</si>
  <si>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</si>
  <si>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</si>
  <si>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</si>
  <si>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</si>
  <si>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</si>
  <si>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</si>
  <si>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</si>
  <si>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</si>
  <si>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</si>
  <si>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</si>
  <si>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</si>
  <si>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</si>
  <si>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</si>
  <si>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</si>
  <si>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</si>
  <si>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</si>
  <si>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</si>
  <si>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</si>
  <si>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</si>
  <si>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</si>
  <si>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</si>
  <si>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</si>
  <si>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</si>
  <si>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</si>
  <si>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</si>
  <si>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</si>
  <si>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</si>
  <si>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</si>
  <si>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</si>
  <si>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</si>
  <si>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</si>
  <si>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</si>
  <si>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</si>
  <si>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</si>
  <si>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</si>
  <si>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</si>
  <si>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</si>
  <si>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</si>
  <si>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</si>
  <si>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</si>
  <si>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</si>
  <si>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</si>
  <si>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</si>
  <si>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</si>
  <si>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</si>
  <si>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</si>
  <si>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</si>
  <si>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</si>
  <si>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</si>
  <si>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</si>
  <si>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</si>
  <si>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</si>
  <si>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</si>
  <si>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</si>
  <si>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</si>
  <si>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</si>
  <si>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</si>
  <si>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</si>
  <si>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</si>
  <si>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</si>
  <si>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</si>
  <si>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</si>
  <si>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</si>
  <si>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</si>
  <si>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Skjønn med mer</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</si>
  <si>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</si>
  <si>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</si>
  <si>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</si>
  <si>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</si>
  <si>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</si>
  <si>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</si>
  <si>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</si>
  <si>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</si>
  <si>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</si>
  <si>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</si>
  <si>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</si>
  <si>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</si>
  <si>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</si>
  <si>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</si>
  <si>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</si>
  <si>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</si>
  <si>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</si>
  <si>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</si>
  <si>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</si>
  <si>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</si>
  <si>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</si>
  <si>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</si>
  <si>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</si>
  <si>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</si>
  <si>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</si>
  <si>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</si>
  <si>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</si>
  <si>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</si>
  <si>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</si>
  <si>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</si>
  <si>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</si>
  <si>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</si>
  <si>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</si>
  <si>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</si>
  <si>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</si>
  <si>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</si>
  <si>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</si>
  <si>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</si>
  <si>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</si>
  <si>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</si>
  <si>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</si>
  <si>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</si>
  <si>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</si>
  <si>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</si>
  <si>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</si>
  <si>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</si>
  <si>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</si>
  <si>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</si>
  <si>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</si>
  <si>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</si>
  <si>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</si>
  <si>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</si>
  <si>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</si>
  <si>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</si>
  <si>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</si>
  <si>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</si>
  <si>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</si>
  <si>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</si>
  <si>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</si>
  <si>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</si>
  <si>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</si>
  <si>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</si>
  <si>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</si>
  <si>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</si>
  <si>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</si>
  <si>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</si>
  <si>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</si>
  <si>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</si>
  <si>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</si>
  <si>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</si>
  <si>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</si>
  <si>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</si>
  <si>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</si>
  <si>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</si>
  <si>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</si>
  <si>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</si>
  <si>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</si>
  <si>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</si>
  <si>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</si>
  <si>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</si>
  <si>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</si>
  <si>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</si>
  <si>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</si>
  <si>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</si>
  <si>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</si>
  <si>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</si>
  <si>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</si>
  <si>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</si>
  <si>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</si>
  <si>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</si>
  <si>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</si>
  <si>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</si>
  <si>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</si>
  <si>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</si>
  <si>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</si>
  <si>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</si>
  <si>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</si>
  <si>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</si>
  <si>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</si>
  <si>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</si>
  <si>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</si>
  <si>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</si>
  <si>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</si>
  <si>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</si>
  <si>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</si>
  <si>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</si>
  <si>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</si>
  <si>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</si>
  <si>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</si>
  <si>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</si>
  <si>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</si>
  <si>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</si>
  <si>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</si>
  <si>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</si>
  <si>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</si>
  <si>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</si>
  <si>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</si>
  <si>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</si>
  <si>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</si>
  <si>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</si>
  <si>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</si>
  <si>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</si>
  <si>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</si>
  <si>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</si>
  <si>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</si>
  <si>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</si>
  <si>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</si>
  <si>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</si>
  <si>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</si>
  <si>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</si>
  <si>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</si>
  <si>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</si>
  <si>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</si>
  <si>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</si>
  <si>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</si>
  <si>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</si>
  <si>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</si>
  <si>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</si>
  <si>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</si>
  <si>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</si>
  <si>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</si>
  <si>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</si>
  <si>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</si>
  <si>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</si>
  <si>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</si>
  <si>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</si>
  <si>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</si>
  <si>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</si>
  <si>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</si>
  <si>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</si>
  <si>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</si>
  <si>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</si>
  <si>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</si>
  <si>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</si>
  <si>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</si>
  <si>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</si>
  <si>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</si>
  <si>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</si>
  <si>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</si>
  <si>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</si>
  <si>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</si>
  <si>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</si>
  <si>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</si>
  <si>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</si>
  <si>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</si>
  <si>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</si>
  <si>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</si>
  <si>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</si>
  <si>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</si>
  <si>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</si>
  <si>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</si>
  <si>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</si>
  <si>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</si>
  <si>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</si>
  <si>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</si>
  <si>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</si>
  <si>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</si>
  <si>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</si>
  <si>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</si>
  <si>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</si>
  <si>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</si>
  <si>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</si>
  <si>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</si>
  <si>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</si>
  <si>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</si>
  <si>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</si>
  <si>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</si>
  <si>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</si>
  <si>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</si>
  <si>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</si>
  <si>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</si>
  <si>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</si>
  <si>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</si>
  <si>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</si>
  <si>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</si>
  <si>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</si>
  <si>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</si>
  <si>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</si>
  <si>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</si>
  <si>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</si>
  <si>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</si>
  <si>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</si>
  <si>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</si>
  <si>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</si>
  <si>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</si>
  <si>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</si>
  <si>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</si>
  <si>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</si>
  <si>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</si>
  <si>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</si>
  <si>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</si>
  <si>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</si>
  <si>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</si>
  <si>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</si>
  <si>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</si>
  <si>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</si>
  <si>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</si>
  <si>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</si>
  <si>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</si>
  <si>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</si>
  <si>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</si>
  <si>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</si>
  <si>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</si>
  <si>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</si>
  <si>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</si>
  <si>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</si>
  <si>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</si>
  <si>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</si>
  <si>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</si>
  <si>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</si>
  <si>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</si>
  <si>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</si>
  <si>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</si>
  <si>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</si>
  <si>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</si>
  <si>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</si>
  <si>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</si>
  <si>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</si>
  <si>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</si>
  <si>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</si>
  <si>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</si>
  <si>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</si>
  <si>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</si>
  <si>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</si>
  <si>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</si>
  <si>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</si>
  <si>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</si>
  <si>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</si>
  <si>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</si>
  <si>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</si>
  <si>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</si>
  <si>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</si>
  <si>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</si>
  <si>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</si>
  <si>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</si>
  <si>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</si>
  <si>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</si>
  <si>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</si>
  <si>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</si>
  <si>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</si>
  <si>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</si>
  <si>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</si>
  <si>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</si>
  <si>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</si>
  <si>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</si>
  <si>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</si>
  <si>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</si>
  <si>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</si>
  <si>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</si>
  <si>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</si>
  <si>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</si>
  <si>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</si>
  <si>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</si>
  <si>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</si>
  <si>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</si>
  <si>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</si>
  <si>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</si>
  <si>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</si>
  <si>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</si>
  <si>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</si>
  <si>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</si>
  <si>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</si>
  <si>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</si>
  <si>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</si>
  <si>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</si>
  <si>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</si>
  <si>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</si>
  <si>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</si>
  <si>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</si>
  <si>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</si>
  <si>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</si>
  <si>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</si>
  <si>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</si>
  <si>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</si>
  <si>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</si>
  <si>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</si>
  <si>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</si>
  <si>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</si>
  <si>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</si>
  <si>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</si>
  <si>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</si>
  <si>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</si>
  <si>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</si>
  <si>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(fastsatt av regjeringen i statsbudsjettet)</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</si>
  <si>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</si>
  <si>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</si>
  <si>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</si>
  <si>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</si>
  <si>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</si>
  <si>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</si>
  <si>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</si>
  <si>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</si>
  <si>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</si>
  <si>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</si>
  <si>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</si>
  <si>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</si>
  <si>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</si>
  <si>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</si>
  <si>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</si>
  <si>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</si>
  <si>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</si>
  <si>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</si>
  <si>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</si>
  <si>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</si>
  <si>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</si>
  <si>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</si>
  <si>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</si>
  <si>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</si>
  <si>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</si>
  <si>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</si>
  <si>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</si>
  <si>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</si>
  <si>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</si>
  <si>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</si>
  <si>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</si>
  <si>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</si>
  <si>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</si>
  <si>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</si>
  <si>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</si>
  <si>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</si>
  <si>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</si>
  <si>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</si>
  <si>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</si>
  <si>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</si>
  <si>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</si>
  <si>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</si>
  <si>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</si>
  <si>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</si>
  <si>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</si>
  <si>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</si>
  <si>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</si>
  <si>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</si>
  <si>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</si>
  <si>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</si>
  <si>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</si>
  <si>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</si>
  <si>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</si>
  <si>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</si>
  <si>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</si>
  <si>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</si>
  <si>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</si>
  <si>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</si>
  <si>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</si>
  <si>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</si>
  <si>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</si>
  <si>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</si>
  <si>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</si>
  <si>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</si>
  <si>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</si>
  <si>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</si>
  <si>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</si>
  <si>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</si>
  <si>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</si>
  <si>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</si>
  <si>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</si>
  <si>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</si>
  <si>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</si>
  <si>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</si>
  <si>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</si>
  <si>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</si>
  <si>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</si>
  <si>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</si>
  <si>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</si>
  <si>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</si>
  <si>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</si>
  <si>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</si>
  <si>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</si>
  <si>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</si>
  <si>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</si>
  <si>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</si>
  <si>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</si>
  <si>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</si>
  <si>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</si>
  <si>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</si>
  <si>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</si>
  <si>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</si>
  <si>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</si>
  <si>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</si>
  <si>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</si>
  <si>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</si>
  <si>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</si>
  <si>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</si>
  <si>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</si>
  <si>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</si>
  <si>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</si>
  <si>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</si>
  <si>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</si>
  <si>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</si>
  <si>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</si>
  <si>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</si>
  <si>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</si>
  <si>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</si>
  <si>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</si>
  <si>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</si>
  <si>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</si>
  <si>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</si>
  <si>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</si>
  <si>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</si>
  <si>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</si>
  <si>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</si>
  <si>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</si>
  <si>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</si>
  <si>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</si>
  <si>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</si>
  <si>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</si>
  <si>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</si>
  <si>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</si>
  <si>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</si>
  <si>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</si>
  <si>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</si>
  <si>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</si>
  <si>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</si>
  <si>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</si>
  <si>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</si>
  <si>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</si>
  <si>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</si>
  <si>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</si>
  <si>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</si>
  <si>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</si>
  <si>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</si>
  <si>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</si>
  <si>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</si>
  <si>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</si>
  <si>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</si>
  <si>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</si>
  <si>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</si>
  <si>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</si>
  <si>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</si>
  <si>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</si>
  <si>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</si>
  <si>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</si>
  <si>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</si>
  <si>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</si>
  <si>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</si>
  <si>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</si>
  <si>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</si>
  <si>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</si>
  <si>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</si>
  <si>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</si>
  <si>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</si>
  <si>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</si>
  <si>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</si>
  <si>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</si>
  <si>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</si>
  <si>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</si>
  <si>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</si>
  <si>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</si>
  <si>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</si>
  <si>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</si>
  <si>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</si>
  <si>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</si>
  <si>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</si>
  <si>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</si>
  <si>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</si>
  <si>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</si>
  <si>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</si>
  <si>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</si>
  <si>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</si>
  <si>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</si>
  <si>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</si>
  <si>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</si>
  <si>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</si>
  <si>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</si>
  <si>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</si>
  <si>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</si>
  <si>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</si>
  <si>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</si>
  <si>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</si>
  <si>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</si>
  <si>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</si>
  <si>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</si>
  <si>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</si>
  <si>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</si>
  <si>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</si>
  <si>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</si>
  <si>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</si>
  <si>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</si>
  <si>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</si>
  <si>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</si>
  <si>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</si>
  <si>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</si>
  <si>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</si>
  <si>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</si>
  <si>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</si>
  <si>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</si>
  <si>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</si>
  <si>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</si>
  <si>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Utgiftsutjevning år 2021</t>
  </si>
  <si>
    <t>Ut21'!</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</si>
  <si>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</si>
  <si>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</si>
  <si>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</si>
  <si>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</si>
  <si>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</si>
  <si>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</si>
  <si>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</si>
  <si>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</si>
  <si>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</si>
  <si>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</si>
  <si>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</si>
  <si>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</si>
  <si>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</si>
  <si>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</si>
  <si>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</si>
  <si>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</si>
  <si>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</si>
  <si>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</si>
  <si>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</si>
  <si>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</si>
  <si>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</si>
  <si>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</si>
  <si>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</si>
  <si>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</si>
  <si>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</si>
  <si>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</si>
  <si>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</si>
  <si>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</si>
  <si>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</si>
  <si>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</si>
  <si>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</si>
  <si>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</si>
  <si>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</si>
  <si>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</si>
  <si>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</si>
  <si>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</si>
  <si>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</si>
  <si>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</si>
  <si>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</si>
  <si>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</si>
  <si>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</si>
  <si>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</si>
  <si>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</si>
  <si>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</si>
  <si>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</si>
  <si>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</si>
  <si>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</si>
  <si>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</si>
  <si>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</si>
  <si>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</si>
  <si>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</si>
  <si>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</si>
  <si>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</si>
  <si>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</si>
  <si>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</si>
  <si>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</si>
  <si>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</si>
  <si>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</si>
  <si>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</si>
  <si>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</si>
  <si>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</si>
  <si>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</si>
  <si>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</si>
  <si>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</si>
  <si>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</si>
  <si>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</si>
  <si>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</si>
  <si>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</si>
  <si>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</si>
  <si>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</si>
  <si>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</si>
  <si>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</si>
  <si>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</si>
  <si>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</si>
  <si>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</si>
  <si>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</si>
  <si>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</si>
  <si>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</si>
  <si>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</si>
  <si>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</si>
  <si>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</si>
  <si>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</si>
  <si>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</si>
  <si>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</si>
  <si>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</si>
  <si>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</si>
  <si>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</si>
  <si>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</si>
  <si>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</si>
  <si>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</si>
  <si>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</si>
  <si>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</si>
  <si>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</si>
  <si>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</si>
  <si>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</si>
  <si>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</si>
  <si>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</si>
  <si>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</si>
  <si>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</si>
  <si>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</si>
  <si>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</si>
  <si>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</si>
  <si>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Anslag 2022</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</si>
  <si>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</si>
  <si>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</si>
  <si>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</si>
  <si>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</si>
  <si>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</si>
  <si>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</si>
  <si>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</si>
  <si>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</si>
  <si>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</si>
  <si>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</si>
  <si>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</si>
  <si>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</si>
  <si>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</si>
  <si>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</si>
  <si>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</si>
  <si>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</si>
  <si>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</si>
  <si>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</si>
  <si>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</si>
  <si>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</si>
  <si>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</si>
  <si>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</si>
  <si>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</si>
  <si>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</si>
  <si>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</si>
  <si>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</si>
  <si>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</si>
  <si>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</si>
  <si>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</si>
  <si>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</si>
  <si>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</si>
  <si>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</si>
  <si>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</si>
  <si>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</si>
  <si>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</si>
  <si>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</si>
  <si>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</si>
  <si>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</si>
  <si>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</si>
  <si>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</si>
  <si>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</si>
  <si>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</si>
  <si>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</si>
  <si>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</si>
  <si>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</si>
  <si>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</si>
  <si>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</si>
  <si>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</si>
  <si>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</si>
  <si>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</si>
  <si>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</si>
  <si>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</si>
  <si>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</si>
  <si>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</si>
  <si>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</si>
  <si>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</si>
  <si>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</si>
  <si>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</si>
  <si>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</si>
  <si>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</si>
  <si>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</si>
  <si>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</si>
  <si>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</si>
  <si>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</si>
  <si>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</si>
  <si>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</si>
  <si>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</si>
  <si>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</si>
  <si>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</si>
  <si>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</si>
  <si>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</si>
  <si>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</si>
  <si>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</si>
  <si>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</si>
  <si>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</si>
  <si>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</si>
  <si>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</si>
  <si>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</si>
  <si>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</si>
  <si>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</si>
  <si>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</si>
  <si>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</si>
  <si>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</si>
  <si>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</si>
  <si>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</si>
  <si>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</si>
  <si>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</si>
  <si>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</si>
  <si>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</si>
  <si>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</si>
  <si>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</si>
  <si>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</si>
  <si>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</si>
  <si>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</si>
  <si>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</si>
  <si>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</si>
  <si>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</si>
  <si>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</si>
  <si>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</si>
  <si>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</si>
  <si>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</si>
  <si>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</si>
  <si>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</si>
  <si>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</si>
  <si>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</si>
  <si>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</si>
  <si>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</si>
  <si>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</si>
  <si>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</si>
  <si>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</si>
  <si>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</si>
  <si>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</si>
  <si>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Kriteriedata 2019</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</si>
  <si>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</si>
  <si>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</si>
  <si>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</si>
  <si>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</si>
  <si>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</si>
  <si>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</si>
  <si>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</si>
  <si>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</si>
  <si>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</si>
  <si>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</si>
  <si>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</si>
  <si>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</si>
  <si>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</si>
  <si>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2022</t>
  </si>
  <si>
    <t>2023</t>
  </si>
  <si>
    <t>Bef. fremskr. 1.1.2023</t>
  </si>
  <si>
    <t>Befolkning 1.1.2019</t>
  </si>
  <si>
    <t>Innbyggere 1.1.19</t>
  </si>
  <si>
    <t>Bruk av folketall 1.7.2022</t>
  </si>
  <si>
    <t>Ut23'!</t>
  </si>
  <si>
    <t>Utgiftsutjevning år 2023</t>
  </si>
  <si>
    <t>IS 2023 med folketall per 1.7.2022</t>
  </si>
  <si>
    <t>2021/2022</t>
  </si>
  <si>
    <t>2022/2023</t>
  </si>
  <si>
    <t>Anslag 2023</t>
  </si>
  <si>
    <t>endr. 19/20</t>
  </si>
  <si>
    <t>Endr 19/20</t>
  </si>
  <si>
    <t>2019/2020: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</si>
  <si>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</si>
  <si>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</si>
  <si>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</si>
  <si>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</si>
  <si>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</si>
  <si>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</si>
  <si>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</si>
  <si>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</si>
  <si>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</si>
  <si>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</si>
  <si>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</si>
  <si>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</si>
  <si>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</si>
  <si>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</si>
  <si>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</si>
  <si>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</si>
  <si>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</si>
  <si>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</si>
  <si>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</si>
  <si>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</si>
  <si>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</si>
  <si>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</si>
  <si>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</si>
  <si>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</si>
  <si>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</si>
  <si>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</si>
  <si>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</si>
  <si>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</si>
  <si>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</si>
  <si>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</si>
  <si>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</si>
  <si>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</si>
  <si>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</si>
  <si>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</si>
  <si>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</si>
  <si>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</si>
  <si>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</si>
  <si>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</si>
  <si>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</si>
  <si>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</si>
  <si>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</si>
  <si>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</si>
  <si>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</si>
  <si>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</si>
  <si>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</si>
  <si>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</si>
  <si>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</si>
  <si>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</si>
  <si>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</si>
  <si>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</si>
  <si>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</si>
  <si>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</si>
  <si>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</si>
  <si>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</si>
  <si>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</si>
  <si>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</si>
  <si>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</si>
  <si>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</si>
  <si>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</si>
  <si>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</si>
  <si>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</si>
  <si>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</si>
  <si>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</si>
  <si>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</si>
  <si>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</si>
  <si>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</si>
  <si>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</si>
  <si>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</si>
  <si>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</si>
  <si>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</si>
  <si>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</si>
  <si>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</si>
  <si>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</si>
  <si>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</si>
  <si>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</si>
  <si>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</si>
  <si>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</si>
  <si>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</si>
  <si>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</si>
  <si>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</si>
  <si>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</si>
  <si>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</si>
  <si>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</si>
  <si>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</si>
  <si>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</si>
  <si>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</si>
  <si>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</si>
  <si>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</si>
  <si>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</si>
  <si>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</si>
  <si>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</si>
  <si>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</si>
  <si>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</si>
  <si>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</si>
  <si>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</si>
  <si>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</si>
  <si>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</si>
  <si>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</si>
  <si>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</si>
  <si>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</si>
  <si>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</si>
  <si>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</si>
  <si>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</si>
  <si>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</si>
  <si>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</si>
  <si>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</si>
  <si>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</si>
  <si>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</si>
  <si>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</si>
  <si>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</si>
  <si>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</si>
  <si>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</si>
  <si>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</si>
  <si>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</si>
  <si>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</si>
  <si>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</si>
  <si>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</si>
  <si>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</si>
  <si>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</si>
  <si>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</si>
  <si>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</si>
  <si>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</si>
  <si>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</si>
  <si>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</si>
  <si>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</si>
  <si>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</si>
  <si>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</si>
  <si>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</si>
  <si>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</si>
  <si>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</si>
  <si>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</si>
  <si>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</si>
  <si>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</si>
  <si>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</si>
  <si>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</si>
  <si>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</si>
  <si>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</si>
  <si>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</si>
  <si>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</si>
  <si>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</si>
  <si>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</si>
  <si>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</si>
  <si>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</si>
  <si>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</si>
  <si>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</si>
  <si>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</si>
  <si>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</si>
  <si>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</si>
  <si>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</si>
  <si>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</si>
  <si>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</si>
  <si>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</si>
  <si>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</si>
  <si>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</si>
  <si>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</si>
  <si>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</si>
  <si>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</si>
  <si>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</si>
  <si>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</si>
  <si>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</si>
  <si>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</si>
  <si>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</si>
  <si>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</si>
  <si>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</si>
  <si>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</si>
  <si>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</si>
  <si>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</si>
  <si>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</si>
  <si>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</si>
  <si>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</si>
  <si>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</si>
  <si>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</si>
  <si>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</si>
  <si>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</si>
  <si>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</si>
  <si>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</si>
  <si>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</si>
  <si>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</si>
  <si>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</si>
  <si>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</si>
  <si>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</si>
  <si>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</si>
  <si>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</si>
  <si>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</si>
  <si>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</si>
  <si>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</si>
  <si>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</si>
  <si>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</si>
  <si>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</si>
  <si>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</si>
  <si>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</si>
  <si>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</si>
  <si>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</si>
  <si>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</si>
  <si>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</si>
  <si>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</si>
  <si>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</si>
  <si>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</si>
  <si>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</si>
  <si>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</si>
  <si>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</si>
  <si>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</si>
  <si>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</si>
  <si>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</si>
  <si>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</si>
  <si>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</si>
  <si>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</si>
  <si>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</si>
  <si>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</si>
  <si>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</si>
  <si>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</si>
  <si>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</si>
  <si>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</si>
  <si>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</si>
  <si>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</si>
  <si>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</si>
  <si>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</si>
  <si>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</si>
  <si>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</si>
  <si>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</si>
  <si>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</si>
  <si>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</si>
  <si>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</si>
  <si>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</si>
  <si>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</si>
  <si>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</si>
  <si>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</si>
  <si>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</si>
  <si>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</si>
  <si>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</si>
  <si>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</si>
  <si>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</si>
  <si>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</si>
  <si>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</si>
  <si>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</si>
  <si>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</si>
  <si>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</si>
  <si>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</si>
  <si>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</si>
  <si>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</si>
  <si>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</si>
  <si>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</si>
  <si>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</si>
  <si>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</si>
  <si>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</si>
  <si>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</si>
  <si>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</si>
  <si>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</si>
  <si>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</si>
  <si>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</si>
  <si>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</si>
  <si>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</si>
  <si>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</si>
  <si>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</si>
  <si>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</si>
  <si>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</si>
  <si>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</si>
  <si>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</si>
  <si>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</si>
  <si>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</si>
  <si>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</si>
  <si>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</si>
  <si>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</si>
  <si>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</si>
  <si>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</si>
  <si>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</si>
  <si>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</si>
  <si>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</si>
  <si>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</si>
  <si>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</si>
  <si>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</si>
  <si>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</si>
  <si>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</si>
  <si>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</si>
  <si>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</si>
  <si>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</si>
  <si>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</si>
  <si>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</si>
  <si>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</si>
  <si>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</si>
  <si>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</si>
  <si>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</si>
  <si>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</si>
  <si>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</si>
  <si>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</si>
  <si>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</si>
  <si>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</si>
  <si>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</si>
  <si>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</si>
  <si>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</si>
  <si>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</si>
  <si>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</si>
  <si>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</si>
  <si>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</si>
  <si>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</si>
  <si>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</si>
  <si>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</si>
  <si>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</si>
  <si>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</si>
  <si>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</si>
  <si>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</si>
  <si>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</si>
  <si>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</si>
  <si>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</si>
  <si>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</si>
  <si>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</si>
  <si>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</si>
  <si>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</si>
  <si>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</si>
  <si>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</si>
  <si>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</si>
  <si>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</si>
  <si>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</si>
  <si>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</si>
  <si>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</si>
  <si>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</si>
  <si>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</si>
  <si>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</si>
  <si>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</si>
  <si>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</si>
  <si>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</si>
  <si>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</si>
  <si>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</si>
  <si>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</si>
  <si>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</si>
  <si>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</si>
  <si>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</si>
  <si>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</si>
  <si>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</si>
  <si>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</si>
  <si>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</si>
  <si>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</si>
  <si>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</si>
  <si>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</si>
  <si>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</si>
  <si>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</si>
  <si>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</si>
  <si>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</si>
  <si>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</si>
  <si>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</si>
  <si>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</si>
  <si>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</si>
  <si>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</si>
  <si>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</si>
  <si>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</si>
  <si>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</si>
  <si>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</si>
  <si>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</si>
  <si>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</si>
  <si>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</si>
  <si>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</si>
  <si>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</si>
  <si>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</si>
  <si>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</si>
  <si>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</si>
  <si>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</si>
  <si>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</si>
  <si>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</si>
  <si>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</si>
  <si>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</si>
  <si>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</si>
  <si>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</si>
  <si>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</si>
  <si>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</si>
  <si>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</si>
  <si>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</si>
  <si>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</si>
  <si>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</si>
  <si>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</si>
  <si>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</si>
  <si>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</si>
  <si>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</si>
  <si>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</si>
  <si>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</si>
  <si>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</si>
  <si>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</si>
  <si>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</si>
  <si>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</si>
  <si>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</si>
  <si>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</si>
  <si>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</si>
  <si>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</si>
  <si>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</si>
  <si>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</si>
  <si>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</si>
  <si>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</si>
  <si>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</si>
  <si>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</si>
  <si>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</si>
  <si>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</si>
  <si>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</si>
  <si>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</si>
  <si>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</si>
  <si>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</si>
  <si>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</si>
  <si>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</si>
  <si>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</si>
  <si>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</si>
  <si>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</si>
  <si>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</si>
  <si>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</si>
  <si>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</si>
  <si>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</si>
  <si>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</si>
  <si>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</si>
  <si>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</si>
  <si>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</si>
  <si>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</si>
  <si>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</si>
  <si>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</si>
  <si>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</si>
  <si>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</si>
  <si>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</si>
  <si>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</si>
  <si>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</si>
  <si>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</si>
  <si>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</si>
  <si>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</si>
  <si>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</si>
  <si>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KRD 2019 - Kompensasjon bortfall eiendomsskatt prod.utstyr (2019)</t>
  </si>
  <si>
    <t>Skjønn KRD (2020 - 2021)  tap veksttilskudd kommunesammenslåing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</si>
  <si>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</si>
  <si>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</si>
  <si>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</si>
  <si>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</si>
  <si>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</si>
  <si>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</si>
  <si>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</si>
  <si>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</si>
  <si>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</si>
  <si>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</si>
  <si>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</si>
  <si>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</si>
  <si>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</si>
  <si>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</si>
  <si>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</si>
  <si>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</si>
  <si>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</si>
  <si>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</si>
  <si>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</si>
  <si>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</si>
  <si>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</si>
  <si>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</si>
  <si>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</si>
  <si>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</si>
  <si>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</si>
  <si>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</si>
  <si>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</si>
  <si>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</si>
  <si>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</si>
  <si>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</si>
  <si>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</si>
  <si>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</si>
  <si>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</si>
  <si>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</si>
  <si>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</si>
  <si>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</si>
  <si>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</si>
  <si>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</si>
  <si>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</si>
  <si>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</si>
  <si>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</si>
  <si>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</si>
  <si>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</si>
  <si>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</si>
  <si>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</si>
  <si>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</si>
  <si>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</si>
  <si>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</si>
  <si>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</si>
  <si>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</si>
  <si>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</si>
  <si>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</si>
  <si>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</si>
  <si>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</si>
  <si>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</si>
  <si>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</si>
  <si>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</si>
  <si>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</si>
  <si>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</si>
  <si>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</si>
  <si>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</si>
  <si>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</si>
  <si>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</si>
  <si>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</si>
  <si>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</si>
  <si>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</si>
  <si>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</si>
  <si>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</si>
  <si>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</si>
  <si>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</si>
  <si>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</si>
  <si>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</si>
  <si>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</si>
  <si>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Kriteriedata 2020</t>
  </si>
  <si>
    <t>K20'!</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</si>
  <si>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</si>
  <si>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</si>
  <si>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</si>
  <si>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</si>
  <si>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</si>
  <si>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</si>
  <si>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</si>
  <si>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</si>
  <si>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</si>
  <si>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</si>
  <si>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</si>
  <si>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</si>
  <si>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</si>
  <si>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</si>
  <si>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År 2020 -2022 (anslag)</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</si>
  <si>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</si>
  <si>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</si>
  <si>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</si>
  <si>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</si>
  <si>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</si>
  <si>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</si>
  <si>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</si>
  <si>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</si>
  <si>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</si>
  <si>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</si>
  <si>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</si>
  <si>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</si>
  <si>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</si>
  <si>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</si>
  <si>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</si>
  <si>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</si>
  <si>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</si>
  <si>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</si>
  <si>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</si>
  <si>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</si>
  <si>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</si>
  <si>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</si>
  <si>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</si>
  <si>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</si>
  <si>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</si>
  <si>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</si>
  <si>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</si>
  <si>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</si>
  <si>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</si>
  <si>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</si>
  <si>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</si>
  <si>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</si>
  <si>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</si>
  <si>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</si>
  <si>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</si>
  <si>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</si>
  <si>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</si>
  <si>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</si>
  <si>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</si>
  <si>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</si>
  <si>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</si>
  <si>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</si>
  <si>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</si>
  <si>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</si>
  <si>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</si>
  <si>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</si>
  <si>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</si>
  <si>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</si>
  <si>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</si>
  <si>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</si>
  <si>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</si>
  <si>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</si>
  <si>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</si>
  <si>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</si>
  <si>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</si>
  <si>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</si>
  <si>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</si>
  <si>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</si>
  <si>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</si>
  <si>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</si>
  <si>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</si>
  <si>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</si>
  <si>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</si>
  <si>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</si>
  <si>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</si>
  <si>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</si>
  <si>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</si>
  <si>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</si>
  <si>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</si>
  <si>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</si>
  <si>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</si>
  <si>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</si>
  <si>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</si>
  <si>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</si>
  <si>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</si>
  <si>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</si>
  <si>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</si>
  <si>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</si>
  <si>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</si>
  <si>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</si>
  <si>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</si>
  <si>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Kriteriedata 2021</t>
  </si>
  <si>
    <t>K21'!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</si>
  <si>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</si>
  <si>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</si>
  <si>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</si>
  <si>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</si>
  <si>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</si>
  <si>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</si>
  <si>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</si>
  <si>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</si>
  <si>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</si>
  <si>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</si>
  <si>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</si>
  <si>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</si>
  <si>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</si>
  <si>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</si>
  <si>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</si>
  <si>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</si>
  <si>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</si>
  <si>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</si>
  <si>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</si>
  <si>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</si>
  <si>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</si>
  <si>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</si>
  <si>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</si>
  <si>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</si>
  <si>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</si>
  <si>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</si>
  <si>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</si>
  <si>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</si>
  <si>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</si>
  <si>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</si>
  <si>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</si>
  <si>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</si>
  <si>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</si>
  <si>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</si>
  <si>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</si>
  <si>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</si>
  <si>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</si>
  <si>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</si>
  <si>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</si>
  <si>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</si>
  <si>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</si>
  <si>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</si>
  <si>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</si>
  <si>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</si>
  <si>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</si>
  <si>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</si>
  <si>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</si>
  <si>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</si>
  <si>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</si>
  <si>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</si>
  <si>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</si>
  <si>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</si>
  <si>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</si>
  <si>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</si>
  <si>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</si>
  <si>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</si>
  <si>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</si>
  <si>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</si>
  <si>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</si>
  <si>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</si>
  <si>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</si>
  <si>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</si>
  <si>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</si>
  <si>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</si>
  <si>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</si>
  <si>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</si>
  <si>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</si>
  <si>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</si>
  <si>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</si>
  <si>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</si>
  <si>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</si>
  <si>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</si>
  <si>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</si>
  <si>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</si>
  <si>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</si>
  <si>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</si>
  <si>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</si>
  <si>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</si>
  <si>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</si>
  <si>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</si>
  <si>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</si>
  <si>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</si>
  <si>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</si>
  <si>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</si>
  <si>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</si>
  <si>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Prognose - Alternativ MMMM fra SSB publisert august 2020 (justert for TBU- metode)</t>
  </si>
  <si>
    <t>FRAMSKRIVNING SSB's vekstfremskrivinger og folketall 1.1. 2020 (justert TBU metode)</t>
  </si>
  <si>
    <t>ÅRLIGE VEKSTFREMSKRIVNINGER SSB, august 2020 alt MMMM (justert TBU metode)</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</si>
  <si>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</si>
  <si>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</si>
  <si>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</si>
  <si>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</si>
  <si>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</si>
  <si>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</si>
  <si>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</si>
  <si>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</si>
  <si>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</si>
  <si>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</si>
  <si>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</si>
  <si>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</si>
  <si>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</si>
  <si>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</si>
  <si>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</si>
  <si>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</si>
  <si>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</si>
  <si>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</si>
  <si>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</si>
  <si>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</si>
  <si>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</si>
  <si>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</si>
  <si>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</si>
  <si>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</si>
  <si>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</si>
  <si>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</si>
  <si>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</si>
  <si>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</si>
  <si>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</si>
  <si>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</si>
  <si>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</si>
  <si>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</si>
  <si>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</si>
  <si>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</si>
  <si>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</si>
  <si>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</si>
  <si>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</si>
  <si>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</si>
  <si>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</si>
  <si>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</si>
  <si>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</si>
  <si>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</si>
  <si>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</si>
  <si>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</si>
  <si>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</si>
  <si>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</si>
  <si>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</si>
  <si>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</si>
  <si>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</si>
  <si>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</si>
  <si>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</si>
  <si>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</si>
  <si>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</si>
  <si>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</si>
  <si>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</si>
  <si>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</si>
  <si>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</si>
  <si>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</si>
  <si>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</si>
  <si>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</si>
  <si>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</si>
  <si>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</si>
  <si>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</si>
  <si>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</si>
  <si>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</si>
  <si>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</si>
  <si>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</si>
  <si>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</si>
  <si>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</si>
  <si>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</si>
  <si>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</si>
  <si>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</si>
  <si>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</si>
  <si>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</si>
  <si>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</si>
  <si>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</si>
  <si>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</si>
  <si>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</si>
  <si>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</si>
  <si>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</si>
  <si>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</si>
  <si>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skatteanslag 2022</t>
  </si>
  <si>
    <t>Folketall per 1.7.2021</t>
  </si>
  <si>
    <t>Innv. barn 6-15 år ekskl Skand</t>
  </si>
  <si>
    <t>Skatt og netto inntektsutj, 1000 kr</t>
  </si>
  <si>
    <t>Skattenivå 2022 (anslag)</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</si>
  <si>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</si>
  <si>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</si>
  <si>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</si>
  <si>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</si>
  <si>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</si>
  <si>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</si>
  <si>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</si>
  <si>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</si>
  <si>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</si>
  <si>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Befolkningsframskrivning per kommune 2022-2025, SSB - MMMM alternativ august 2020 (justert for TBU metode)</t>
  </si>
  <si>
    <t>Skatt kommunen (korrigert historisk nivå for grensejusteringer)</t>
  </si>
  <si>
    <t>År 2018 -2020</t>
  </si>
  <si>
    <t>Skjønnstilskudd ressurskrevende tjenester</t>
  </si>
  <si>
    <t>Skjønn KRD - ressurskrevdende tjenester 2021</t>
  </si>
  <si>
    <t>Inntektsutjevning alle kommuner 2022</t>
  </si>
  <si>
    <t>innut22!</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</si>
  <si>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</si>
  <si>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</si>
  <si>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</si>
  <si>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</si>
  <si>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</si>
  <si>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</si>
  <si>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</si>
  <si>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</si>
  <si>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</si>
  <si>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</si>
  <si>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</si>
  <si>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</si>
  <si>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</si>
  <si>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</si>
  <si>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</si>
  <si>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</si>
  <si>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</si>
  <si>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</si>
  <si>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</si>
  <si>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</si>
  <si>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</si>
  <si>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</si>
  <si>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</si>
  <si>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</si>
  <si>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</si>
  <si>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</si>
  <si>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</si>
  <si>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</si>
  <si>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</si>
  <si>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</si>
  <si>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</si>
  <si>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</si>
  <si>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</si>
  <si>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</si>
  <si>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</si>
  <si>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</si>
  <si>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</si>
  <si>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</si>
  <si>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</si>
  <si>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</si>
  <si>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</si>
  <si>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</si>
  <si>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</si>
  <si>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</si>
  <si>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</si>
  <si>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</si>
  <si>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</si>
  <si>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</si>
  <si>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</si>
  <si>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</si>
  <si>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</si>
  <si>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</si>
  <si>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</si>
  <si>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</si>
  <si>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</si>
  <si>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</si>
  <si>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</si>
  <si>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</si>
  <si>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</si>
  <si>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</si>
  <si>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</si>
  <si>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</si>
  <si>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</si>
  <si>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</si>
  <si>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</si>
  <si>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</si>
  <si>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</si>
  <si>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</si>
  <si>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</si>
  <si>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</si>
  <si>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</si>
  <si>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</si>
  <si>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</si>
  <si>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</si>
  <si>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</si>
  <si>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</si>
  <si>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Økt rammetilskudd 2 mrd. kroner fordelt etter kostnadsnøkkel i utgiftsutjevningen</t>
  </si>
  <si>
    <t>Redusert rammetilskudd som følge av økt skatteanslag</t>
  </si>
  <si>
    <t>Redusert makspris i barnehage</t>
  </si>
  <si>
    <t>Redusert pensjonspåslag private barnehager</t>
  </si>
  <si>
    <t xml:space="preserve">Ekstra naturfagtime innføres ikke </t>
  </si>
  <si>
    <t>rh immunisering, overføring av oppgave fra speialisthelsetjenesten</t>
  </si>
  <si>
    <t>Tilleggsnummer til statsbudsjett 2022</t>
  </si>
  <si>
    <t>Tilskudd per grunnskole</t>
  </si>
  <si>
    <t>Redusert  innbyggertilskudd som følge av nytt tilskudd per grunnskole</t>
  </si>
  <si>
    <t>Rammetilskudd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</si>
  <si>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</si>
  <si>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</si>
  <si>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</si>
  <si>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</si>
  <si>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</si>
  <si>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Budsjettsaldering Stortinget</t>
  </si>
  <si>
    <t>Stortinget saldering budsjett 2022</t>
  </si>
  <si>
    <t>Saker med særskilt fordeling</t>
  </si>
  <si>
    <t>Trekk i rammetilskudd som følge av oppjustert skatteanslag 2022 - Tilleggsnummer</t>
  </si>
  <si>
    <t>Trekk i rammetilskudd som følge av oppjustert skatteanslag 2022 - Budsjettavtale AP, SP, SV</t>
  </si>
  <si>
    <t>Stortinget opprinnelig saldering budsjett 2018 - 2021</t>
  </si>
  <si>
    <t>Statsforvalteren - prosjektskjønn lokalt(ufordelt i GH)</t>
  </si>
  <si>
    <t>Koronapandemi - tilleggsbevilgninger gjennom innbyggertilskuddet og tabell-C (skjønn statsforvalteren, linje 47, kommer i tillegg)</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</si>
  <si>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</si>
  <si>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</si>
  <si>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</si>
  <si>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</si>
  <si>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</si>
  <si>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</si>
  <si>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</si>
  <si>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</si>
  <si>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</si>
  <si>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</si>
  <si>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</si>
  <si>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Endringer etter saldering statsbudsjett Stortinget</t>
  </si>
  <si>
    <t>Endringer etter Stortingets budsjettsaldering 2022</t>
  </si>
  <si>
    <t>Prop 46S - Økte strømpriser (jan - mar) - forventet økning sosial stønad</t>
  </si>
  <si>
    <t>Økte strømpriser jan til mars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</si>
  <si>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</si>
  <si>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</si>
  <si>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</si>
  <si>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</si>
  <si>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</si>
  <si>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</si>
  <si>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</si>
  <si>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</si>
  <si>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</si>
  <si>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</si>
  <si>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</si>
  <si>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</si>
  <si>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</si>
  <si>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</si>
  <si>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</si>
  <si>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</si>
  <si>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</si>
  <si>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</si>
  <si>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2022)</t>
  </si>
  <si>
    <t>Anslag skattegrunnlag for inntektsutjevning 2022, inkl. effekt av lavere sats formuesskatt</t>
  </si>
  <si>
    <t>Anslag korreksjon skattegrunnlag</t>
  </si>
  <si>
    <t>Covid-19 bevilgninger</t>
  </si>
  <si>
    <t>Øvrige saker</t>
  </si>
  <si>
    <t>Vaksinasjon</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</si>
  <si>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</si>
  <si>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</si>
  <si>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</si>
  <si>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</si>
  <si>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</si>
  <si>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</si>
  <si>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</si>
  <si>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Redusert pensjonspåslag - private barehager</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</si>
  <si>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</si>
  <si>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</si>
  <si>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</si>
  <si>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</si>
  <si>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</si>
  <si>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</si>
  <si>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</si>
  <si>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</si>
  <si>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</si>
  <si>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</si>
  <si>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</si>
  <si>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</si>
  <si>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</si>
  <si>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</si>
  <si>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</si>
  <si>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</si>
  <si>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</si>
  <si>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</si>
  <si>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</si>
  <si>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</si>
  <si>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</si>
  <si>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</si>
  <si>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</si>
  <si>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</si>
  <si>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</si>
  <si>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</si>
  <si>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</si>
  <si>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</si>
  <si>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</si>
  <si>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Saker særskilt ford (inkl. per grunnskole, helsestasjon skolehelse, barnevernsreform, bortfall eiendomsskatt og arbavg)</t>
  </si>
  <si>
    <t>Oppgaveendringer og korreksjoner mm vedr. innbyggertilskudd, inkl. helårseffekter</t>
  </si>
  <si>
    <t>Innbyggertall 1.7.2022:</t>
  </si>
  <si>
    <t>Rest til innbyggertilskuddet 2023</t>
  </si>
  <si>
    <t>Innbyggertilskudd 2023, kr</t>
  </si>
  <si>
    <t>Barnekoordinator</t>
  </si>
  <si>
    <t>Økt elevtall statlige/private skoler (anslag)</t>
  </si>
  <si>
    <t>Forlengelse kvalifiseringsprogrammet til 31.3.2022</t>
  </si>
  <si>
    <t>Prop 48LS, Innst. 113S - Kvalifiserings-programmet</t>
  </si>
  <si>
    <t>Kompensasjon kvalifiseringsprogrammet</t>
  </si>
  <si>
    <t>2023 - Oppgaveendringer Korona eks.skjønn</t>
  </si>
  <si>
    <t>2023 - Oppgaveendringer ekskl. skjønn og Korona inkl. helårseffekt 2022</t>
  </si>
  <si>
    <t>2023- Korona endring skjønn</t>
  </si>
  <si>
    <t>per 1.1.2023 (*)</t>
  </si>
  <si>
    <t>(*) Foreløpig anslag SSB MMMM alternativ</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</si>
  <si>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</si>
  <si>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</si>
  <si>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</si>
  <si>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</si>
  <si>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</si>
  <si>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</si>
  <si>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</si>
  <si>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</si>
  <si>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</si>
  <si>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</si>
  <si>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</si>
  <si>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</si>
  <si>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</si>
  <si>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</si>
  <si>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</si>
  <si>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</si>
  <si>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</si>
  <si>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</si>
  <si>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</si>
  <si>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 xml:space="preserve"> ved manuell inntasting i linje 147 i arket Gdata.Det er innlagte tall i Gdata som overføres til arket Rskudd)</t>
  </si>
  <si>
    <t>2024/2025</t>
  </si>
  <si>
    <t>2025/2026</t>
  </si>
  <si>
    <t>endr. 22/23</t>
  </si>
  <si>
    <t>Endringer i innbyggertilskudd 2023 - 2026</t>
  </si>
  <si>
    <t>Innbyggertilskudd Grønt hefte 2022 (justert for befolkningsendring)</t>
  </si>
  <si>
    <t>Saldering statsbudsjett 2022 - endring per innbygger</t>
  </si>
  <si>
    <t>RNB 2022 (ekskl. Korona) - endring per innbygger</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</si>
  <si>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</si>
  <si>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</si>
  <si>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</si>
  <si>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</si>
  <si>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Nysaldering av statsbudsjett 2018 - 2021 (utenom koronapandemi)</t>
  </si>
  <si>
    <t>Endringer RNB 2018-2021, ekskl utenfor overgangsordning, covid-19 og skjønn etc.</t>
  </si>
  <si>
    <t>Endringer RNB 2018 - 2021, overgangsordning og skjønn</t>
  </si>
  <si>
    <t>Endringer i nysaldert budsjett 2018 - 2021</t>
  </si>
  <si>
    <t>Tilleggsnummer statsbudsjett - økt realvekst og oppgaveendringer</t>
  </si>
  <si>
    <t>Tilleggsnummer statsbudsjett - nytt tilskudd per kommunal grunnskole inkl. finansingstrekk</t>
  </si>
  <si>
    <t>Tilleggsnummer statsbudsjett - redusert rammetilskudd som følge av økt skatteanslag</t>
  </si>
  <si>
    <t>Utgiftsutjevning år 2026</t>
  </si>
  <si>
    <t>Ut26'!</t>
  </si>
  <si>
    <t>Nasjonal ramme år 2022</t>
  </si>
  <si>
    <t>Nasjonal ramme år 2023</t>
  </si>
  <si>
    <t>R22'!</t>
  </si>
  <si>
    <t>R23'!</t>
  </si>
  <si>
    <t>Fremskrevet folketall 1.1.2023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</si>
  <si>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</si>
  <si>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</si>
  <si>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</si>
  <si>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</si>
  <si>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</si>
  <si>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</si>
  <si>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</si>
  <si>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</si>
  <si>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</si>
  <si>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</si>
  <si>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Beredskap testing 2. halvår</t>
  </si>
  <si>
    <t>Delvis kompensasjon vekst i kostnader nasjonale e-helsetjenester</t>
  </si>
  <si>
    <t>Rhesusimmunisering</t>
  </si>
  <si>
    <t>Overført fra kommunerammen til helsedirektoratet - nasjonal ehelseløsning</t>
  </si>
  <si>
    <t>RNB 2018 - 2022 (utenom koronapandemi)</t>
  </si>
  <si>
    <t>Økt skjønnsramme - vertskommuner vesentlige utgifter utover vertskommunetilskudd</t>
  </si>
  <si>
    <t>Redusert rammetilskudd på grunn av oppjustert skatteanslag</t>
  </si>
  <si>
    <t>Skattenivå 2023 (anslag)</t>
  </si>
  <si>
    <t>SSB-MMMM</t>
  </si>
  <si>
    <t>(TBU metode)</t>
  </si>
  <si>
    <t>(anslag 2023)</t>
  </si>
  <si>
    <t>Inntektsutjevning alle kommuner 2023</t>
  </si>
  <si>
    <t>innut23!</t>
  </si>
  <si>
    <t>Skatteanslag 2023</t>
  </si>
  <si>
    <t>Uttrekk rammetilskudd likt beløp per innbygger sfa. økt skatteanslag</t>
  </si>
  <si>
    <t>Uttrekk rammetilskudd sfa. skatteanslag - fordelt andel utbytte</t>
  </si>
  <si>
    <t>Her settes inn de ulike tiltakene som påvirker rammen for 2023:</t>
  </si>
  <si>
    <t>Økt skjønnsramme vertskommuner ikke videreført</t>
  </si>
  <si>
    <t>hensyntatt</t>
  </si>
  <si>
    <t>utbyttenivå</t>
  </si>
  <si>
    <t>Kommunal deflator for 2023:</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</si>
  <si>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</si>
  <si>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</si>
  <si>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</si>
  <si>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</si>
  <si>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</si>
  <si>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</si>
  <si>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</si>
  <si>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</si>
  <si>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</si>
  <si>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</si>
  <si>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</si>
  <si>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</si>
  <si>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</si>
  <si>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</si>
  <si>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</si>
  <si>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RNB inkl. budsjettavtale Stortinget SV</t>
  </si>
  <si>
    <t xml:space="preserve">Veiledende satser sosialhjelp oppjusteres til 3,4 pst fra 1. juli (opp fra 1,3 prosent) </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</si>
  <si>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</si>
  <si>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</si>
  <si>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</si>
  <si>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</si>
  <si>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</si>
  <si>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innbyggere 1.1.2023</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</si>
  <si>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</si>
  <si>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</si>
  <si>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</si>
  <si>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</si>
  <si>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</si>
  <si>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</si>
  <si>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</si>
  <si>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</si>
  <si>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</si>
  <si>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 xml:space="preserve">(husk anslagene over (2024 - 2026) overføres ikke til arket Rskudd. Dere kan  bruke de </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</si>
  <si>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</si>
  <si>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</si>
  <si>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</si>
  <si>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</si>
  <si>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</si>
  <si>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</si>
  <si>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</si>
  <si>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</si>
  <si>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</si>
  <si>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</si>
  <si>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</si>
  <si>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</si>
  <si>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</si>
  <si>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</si>
  <si>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</si>
  <si>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 xml:space="preserve">Ekstra skjønn KDD, inkl. ufrivillig alene kommuner, infrastruktur, retaksering prod.utsyr mv, bortfall eiendomsskatt produksjonsutstyr </t>
  </si>
  <si>
    <t>Ekstra skjønn tildelt av KDD</t>
  </si>
  <si>
    <t>Ekstra skjønn KDD</t>
  </si>
  <si>
    <t>(med anslag for folketall per. 1.1.2023 basert på SSBs MMMM alternativ)</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</si>
  <si>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</si>
  <si>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</si>
  <si>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</si>
  <si>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</si>
  <si>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</si>
  <si>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</si>
  <si>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</si>
  <si>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</si>
  <si>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</si>
  <si>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</si>
  <si>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</si>
  <si>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</si>
  <si>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</si>
  <si>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</si>
  <si>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</si>
  <si>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</si>
  <si>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</si>
  <si>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</si>
  <si>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</si>
  <si>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</si>
  <si>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</si>
  <si>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</si>
  <si>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</si>
  <si>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</si>
  <si>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</si>
  <si>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Skattenivå 2024 (anslag) - inklusiv naturressursskatter</t>
  </si>
  <si>
    <t xml:space="preserve">lik SSB MMMM per </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</si>
  <si>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</si>
  <si>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</si>
  <si>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</si>
  <si>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</si>
  <si>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</si>
  <si>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</si>
  <si>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</si>
  <si>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</si>
  <si>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</si>
  <si>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</si>
  <si>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</si>
  <si>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</si>
  <si>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</si>
  <si>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</si>
  <si>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</si>
  <si>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</si>
  <si>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</si>
  <si>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</si>
  <si>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</si>
  <si>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</si>
  <si>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</si>
  <si>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</si>
  <si>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</si>
  <si>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</si>
  <si>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</si>
  <si>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</si>
  <si>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</si>
  <si>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</si>
  <si>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</si>
  <si>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</si>
  <si>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</si>
  <si>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</si>
  <si>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</si>
  <si>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</si>
  <si>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</si>
  <si>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</si>
  <si>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</si>
  <si>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</si>
  <si>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</si>
  <si>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</si>
  <si>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</si>
  <si>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</si>
  <si>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</si>
  <si>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</si>
  <si>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Naturressursskatt havbruk og vindkraft er innarbeidet i modellen som økte frie inntekter, landsanslag ref linje 95 nedenfor (innarbeidet i modellen)</t>
  </si>
  <si>
    <t>Økt rammetilskudd som følge av grunnrenteskatt (innarbeidet i modellen) - landsanslag</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</si>
  <si>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</si>
  <si>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</si>
  <si>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</si>
  <si>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</si>
  <si>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</si>
  <si>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</si>
  <si>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</si>
  <si>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</si>
  <si>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</si>
  <si>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</si>
  <si>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</si>
  <si>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</si>
  <si>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av statsbudsjettet</t>
  </si>
  <si>
    <t>Kompensasjon 4,9 mrd. kroner, per innbygger</t>
  </si>
  <si>
    <t>Vaksinasjon 2. halvår 2022</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</si>
  <si>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</si>
  <si>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</si>
  <si>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</si>
  <si>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</si>
  <si>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</si>
  <si>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</si>
  <si>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</si>
  <si>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2205KS altskatt treaar</t>
  </si>
  <si>
    <t>Modell basert på avtale om statsbudsjett 2023 mellom AP, SP og 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</si>
</sst>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_ * #,##0.000_ ;_ * \-#,##0.000_ ;_ * &quot;-&quot;???_ ;_ @_ "/>
    <numFmt numFmtId="201" formatCode="#,##0.000000000"/>
    <numFmt numFmtId="202" formatCode="#,##0.0_ ;\-#,##0.0\ "/>
  </numFmts>
  <fonts count="2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i/>
      <sz val="10"/>
      <color rgb="FFFF0000"/>
      <name val="Times New Roman"/>
      <family val="1"/>
    </font>
    <font>
      <i/>
      <u/>
      <sz val="11"/>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285">
    <xf numFmtId="0" fontId="0" fillId="0" borderId="0" xfId="0"/>
    <xf numFmtId="0" fontId="5" fillId="0" borderId="0" xfId="32" applyAlignment="1">
      <alignment horizontal="left"/>
    </xf>
    <xf numFmtId="0" fontId="5" fillId="0" borderId="0" xfId="32"/>
    <xf numFmtId="0" fontId="5" fillId="0" borderId="0" xfId="32" applyBorder="1"/>
    <xf numFmtId="0" fontId="5" fillId="0" borderId="0" xfId="32" applyFont="1"/>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0" borderId="0" xfId="0" applyFont="1" applyBorder="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7" fillId="24" borderId="0" xfId="0" applyFont="1" applyFill="1" applyBorder="1" applyAlignment="1">
      <alignment horizontal="centerContinuous"/>
    </xf>
    <xf numFmtId="0" fontId="8" fillId="24" borderId="0" xfId="0" applyFont="1" applyFill="1" applyBorder="1" applyAlignment="1">
      <alignment horizontal="left"/>
    </xf>
    <xf numFmtId="0" fontId="10" fillId="25" borderId="0" xfId="0" applyFont="1" applyFill="1" applyBorder="1"/>
    <xf numFmtId="0" fontId="20" fillId="0" borderId="0" xfId="0" applyFont="1" applyBorder="1"/>
    <xf numFmtId="0" fontId="12" fillId="0" borderId="0" xfId="0" applyFont="1" applyBorder="1"/>
    <xf numFmtId="0" fontId="7" fillId="25" borderId="0" xfId="0" applyFont="1" applyFill="1" applyBorder="1"/>
    <xf numFmtId="0" fontId="7" fillId="26" borderId="0" xfId="0" applyFont="1" applyFill="1"/>
    <xf numFmtId="0" fontId="7" fillId="26" borderId="0" xfId="0" applyFont="1" applyFill="1" applyBorder="1"/>
    <xf numFmtId="168" fontId="10" fillId="26" borderId="0" xfId="0" applyNumberFormat="1" applyFont="1" applyFill="1"/>
    <xf numFmtId="1" fontId="17" fillId="24" borderId="10" xfId="0" applyNumberFormat="1" applyFont="1" applyFill="1" applyBorder="1"/>
    <xf numFmtId="0" fontId="7" fillId="25" borderId="0" xfId="0" applyFont="1" applyFill="1" applyBorder="1" applyAlignment="1"/>
    <xf numFmtId="0" fontId="20" fillId="25" borderId="0" xfId="0" applyFont="1" applyFill="1" applyBorder="1"/>
    <xf numFmtId="0" fontId="12" fillId="25" borderId="0" xfId="0" applyFont="1" applyFill="1" applyBorder="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Border="1" applyAlignment="1" applyProtection="1">
      <protection locked="0"/>
    </xf>
    <xf numFmtId="168" fontId="26" fillId="27" borderId="0" xfId="26" applyNumberFormat="1" applyFont="1" applyFill="1" applyBorder="1" applyAlignment="1" applyProtection="1">
      <protection locked="0"/>
    </xf>
    <xf numFmtId="0" fontId="9" fillId="26" borderId="0" xfId="0" applyFont="1" applyFill="1" applyBorder="1" applyAlignment="1" applyProtection="1">
      <alignment horizontal="left"/>
    </xf>
    <xf numFmtId="0" fontId="9" fillId="26" borderId="0" xfId="0" applyFont="1" applyFill="1" applyBorder="1" applyAlignment="1" applyProtection="1">
      <alignment horizontal="center"/>
    </xf>
    <xf numFmtId="0" fontId="7" fillId="25" borderId="0" xfId="0" applyFont="1" applyFill="1" applyProtection="1"/>
    <xf numFmtId="0" fontId="7" fillId="0" borderId="0" xfId="0" applyFont="1" applyProtection="1"/>
    <xf numFmtId="0" fontId="7" fillId="0" borderId="0" xfId="0" applyFont="1" applyAlignment="1" applyProtection="1">
      <alignment horizontal="centerContinuous"/>
    </xf>
    <xf numFmtId="0" fontId="6" fillId="24" borderId="0" xfId="0" applyFont="1" applyFill="1" applyAlignment="1" applyProtection="1">
      <alignment horizontal="centerContinuous"/>
    </xf>
    <xf numFmtId="0" fontId="7" fillId="26" borderId="0" xfId="0" applyFont="1" applyFill="1" applyProtection="1"/>
    <xf numFmtId="0" fontId="10" fillId="26" borderId="0" xfId="0" applyFont="1" applyFill="1" applyBorder="1" applyProtection="1"/>
    <xf numFmtId="0" fontId="13" fillId="26" borderId="0" xfId="0" applyFont="1" applyFill="1" applyBorder="1" applyProtection="1"/>
    <xf numFmtId="0" fontId="10" fillId="26" borderId="11" xfId="0" applyFont="1" applyFill="1" applyBorder="1" applyProtection="1"/>
    <xf numFmtId="0" fontId="14" fillId="24" borderId="10" xfId="0" applyFont="1" applyFill="1" applyBorder="1" applyAlignment="1" applyProtection="1">
      <alignment horizontal="left"/>
    </xf>
    <xf numFmtId="168" fontId="10" fillId="25" borderId="0" xfId="26" applyNumberFormat="1" applyFont="1" applyFill="1" applyBorder="1" applyAlignment="1" applyProtection="1">
      <alignment horizontal="right"/>
    </xf>
    <xf numFmtId="0" fontId="7" fillId="26" borderId="11" xfId="0" applyFont="1" applyFill="1" applyBorder="1" applyProtection="1"/>
    <xf numFmtId="0" fontId="10" fillId="26" borderId="0" xfId="0" applyFont="1" applyFill="1" applyBorder="1" applyAlignment="1" applyProtection="1">
      <alignment horizontal="left"/>
    </xf>
    <xf numFmtId="0" fontId="7" fillId="26" borderId="0" xfId="0" applyFont="1" applyFill="1" applyBorder="1" applyProtection="1"/>
    <xf numFmtId="3" fontId="7" fillId="26" borderId="0" xfId="0" applyNumberFormat="1" applyFont="1" applyFill="1" applyBorder="1" applyAlignment="1" applyProtection="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NumberFormat="1" applyFont="1" applyFill="1" applyBorder="1" applyAlignment="1" applyProtection="1">
      <alignment horizontal="right"/>
    </xf>
    <xf numFmtId="0" fontId="7" fillId="0" borderId="0" xfId="0" applyFont="1" applyAlignment="1" applyProtection="1">
      <alignment horizontal="center"/>
    </xf>
    <xf numFmtId="0" fontId="27" fillId="25" borderId="0" xfId="0" applyFont="1" applyFill="1" applyBorder="1"/>
    <xf numFmtId="0" fontId="27" fillId="0" borderId="0" xfId="0" applyFont="1" applyBorder="1"/>
    <xf numFmtId="0" fontId="0" fillId="24" borderId="0" xfId="0" applyFill="1"/>
    <xf numFmtId="0" fontId="13" fillId="26" borderId="0" xfId="0" applyFont="1" applyFill="1" applyProtection="1"/>
    <xf numFmtId="1" fontId="11" fillId="24" borderId="10" xfId="0" applyNumberFormat="1" applyFont="1" applyFill="1" applyBorder="1" applyAlignment="1" applyProtection="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pplyProtection="1">
      <alignment horizontal="centerContinuous"/>
    </xf>
    <xf numFmtId="0" fontId="31" fillId="24" borderId="10" xfId="0" applyFont="1" applyFill="1" applyBorder="1" applyAlignment="1" applyProtection="1">
      <alignment horizontal="left"/>
    </xf>
    <xf numFmtId="0" fontId="10" fillId="25" borderId="0" xfId="0" applyFont="1" applyFill="1" applyBorder="1" applyProtection="1"/>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pplyProtection="1">
      <alignment horizontal="left"/>
    </xf>
    <xf numFmtId="0" fontId="9" fillId="24" borderId="10" xfId="0" applyFont="1" applyFill="1" applyBorder="1" applyAlignment="1" applyProtection="1"/>
    <xf numFmtId="0" fontId="7" fillId="24" borderId="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applyAlignment="1" applyProtection="1"/>
    <xf numFmtId="0" fontId="21" fillId="26" borderId="0" xfId="0" applyFont="1" applyFill="1" applyBorder="1" applyProtection="1"/>
    <xf numFmtId="0" fontId="0" fillId="0" borderId="0" xfId="0" applyBorder="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0" fontId="42" fillId="0" borderId="0" xfId="0" applyFont="1" applyBorder="1"/>
    <xf numFmtId="168" fontId="42" fillId="0" borderId="0" xfId="0" applyNumberFormat="1" applyFont="1"/>
    <xf numFmtId="174" fontId="42" fillId="0" borderId="0" xfId="31" applyNumberFormat="1" applyFont="1" applyBorder="1"/>
    <xf numFmtId="0" fontId="42" fillId="0" borderId="0" xfId="31" applyFont="1" applyBorder="1"/>
    <xf numFmtId="173" fontId="42" fillId="0" borderId="0" xfId="38" applyNumberFormat="1" applyFont="1"/>
    <xf numFmtId="0" fontId="42" fillId="30" borderId="0" xfId="0" applyFont="1" applyFill="1"/>
    <xf numFmtId="0" fontId="23" fillId="26" borderId="0" xfId="0" applyFont="1" applyFill="1" applyProtection="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applyBorder="1" applyProtection="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pplyProtection="1">
      <alignment horizontal="center"/>
    </xf>
    <xf numFmtId="3" fontId="45" fillId="0" borderId="0" xfId="0" applyNumberFormat="1" applyFont="1" applyBorder="1"/>
    <xf numFmtId="0" fontId="53" fillId="26" borderId="0" xfId="0" applyFont="1" applyFill="1"/>
    <xf numFmtId="0" fontId="38" fillId="24" borderId="0" xfId="0" applyFont="1" applyFill="1" applyBorder="1"/>
    <xf numFmtId="0" fontId="17" fillId="26" borderId="13" xfId="0" applyFont="1" applyFill="1" applyBorder="1" applyProtection="1"/>
    <xf numFmtId="0" fontId="54" fillId="26" borderId="0" xfId="0" applyFont="1" applyFill="1" applyProtection="1"/>
    <xf numFmtId="0" fontId="7" fillId="24" borderId="0" xfId="0" applyFont="1" applyFill="1" applyProtection="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5" fillId="28" borderId="13" xfId="32" applyFont="1" applyFill="1" applyBorder="1" applyAlignment="1">
      <alignment horizontal="center" wrapText="1"/>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Border="1" applyAlignment="1" applyProtection="1">
      <alignment horizontal="center"/>
    </xf>
    <xf numFmtId="0" fontId="65" fillId="33" borderId="10" xfId="0" applyFont="1" applyFill="1" applyBorder="1" applyAlignment="1" applyProtection="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45" fillId="0" borderId="0" xfId="0" applyNumberFormat="1" applyFont="1" applyFill="1" applyBorder="1"/>
    <xf numFmtId="3" fontId="45" fillId="0" borderId="0" xfId="0" applyNumberFormat="1" applyFont="1"/>
    <xf numFmtId="3" fontId="70" fillId="25" borderId="0" xfId="0" applyNumberFormat="1" applyFont="1" applyFill="1" applyBorder="1"/>
    <xf numFmtId="168" fontId="7" fillId="25" borderId="0" xfId="0" applyNumberFormat="1" applyFont="1" applyFill="1"/>
    <xf numFmtId="3" fontId="7" fillId="25" borderId="0" xfId="0" applyNumberFormat="1" applyFont="1" applyFill="1" applyBorder="1"/>
    <xf numFmtId="3" fontId="7" fillId="26" borderId="0" xfId="0" applyNumberFormat="1" applyFont="1" applyFill="1" applyBorder="1"/>
    <xf numFmtId="0" fontId="12" fillId="26" borderId="0" xfId="0" applyFont="1" applyFill="1" applyBorder="1"/>
    <xf numFmtId="10" fontId="7" fillId="26" borderId="0" xfId="0" applyNumberFormat="1" applyFont="1" applyFill="1" applyBorder="1"/>
    <xf numFmtId="0" fontId="20" fillId="26" borderId="12" xfId="0" applyFont="1" applyFill="1" applyBorder="1"/>
    <xf numFmtId="10" fontId="20" fillId="26" borderId="12" xfId="0" applyNumberFormat="1" applyFont="1" applyFill="1" applyBorder="1"/>
    <xf numFmtId="0" fontId="12" fillId="26" borderId="0" xfId="0" applyFont="1" applyFill="1" applyBorder="1" applyAlignment="1">
      <alignment horizontal="left"/>
    </xf>
    <xf numFmtId="3" fontId="12" fillId="26" borderId="0" xfId="0" applyNumberFormat="1" applyFont="1" applyFill="1" applyBorder="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pplyProtection="1">
      <alignment horizontal="right"/>
    </xf>
    <xf numFmtId="0" fontId="28" fillId="24" borderId="10" xfId="0" applyFont="1" applyFill="1" applyBorder="1" applyAlignment="1" applyProtection="1">
      <alignment horizontal="center"/>
    </xf>
    <xf numFmtId="0" fontId="10" fillId="24" borderId="0" xfId="0" applyFont="1" applyFill="1" applyBorder="1" applyProtection="1"/>
    <xf numFmtId="168" fontId="50" fillId="24" borderId="0" xfId="26" applyNumberFormat="1" applyFont="1" applyFill="1" applyBorder="1" applyProtection="1"/>
    <xf numFmtId="0" fontId="71" fillId="0" borderId="0" xfId="0" applyFont="1" applyProtection="1"/>
    <xf numFmtId="3" fontId="7" fillId="26" borderId="0" xfId="0" applyNumberFormat="1" applyFont="1" applyFill="1" applyBorder="1" applyProtection="1"/>
    <xf numFmtId="0" fontId="71" fillId="24" borderId="0" xfId="0" applyFont="1" applyFill="1" applyBorder="1" applyAlignment="1" applyProtection="1">
      <alignment horizontal="left"/>
    </xf>
    <xf numFmtId="3" fontId="71" fillId="24" borderId="0" xfId="0" applyNumberFormat="1" applyFont="1" applyFill="1" applyBorder="1" applyAlignment="1" applyProtection="1">
      <alignment horizontal="center"/>
    </xf>
    <xf numFmtId="0" fontId="7" fillId="24" borderId="0" xfId="0" applyFont="1" applyFill="1" applyBorder="1" applyProtection="1"/>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applyProtection="1"/>
    <xf numFmtId="0" fontId="56" fillId="26" borderId="11" xfId="0" applyFont="1" applyFill="1" applyBorder="1" applyProtection="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0" fontId="0" fillId="0" borderId="0" xfId="0" applyProtection="1"/>
    <xf numFmtId="168" fontId="0" fillId="0" borderId="0" xfId="26" applyNumberFormat="1" applyFont="1" applyProtection="1"/>
    <xf numFmtId="168" fontId="4" fillId="0" borderId="0" xfId="26" applyNumberFormat="1" applyBorder="1" applyProtection="1"/>
    <xf numFmtId="168" fontId="0" fillId="0" borderId="0" xfId="0" applyNumberFormat="1" applyProtection="1"/>
    <xf numFmtId="174" fontId="45" fillId="0" borderId="0" xfId="0" applyNumberFormat="1" applyFont="1" applyBorder="1" applyProtection="1"/>
    <xf numFmtId="174" fontId="45" fillId="0" borderId="0" xfId="0" applyNumberFormat="1" applyFont="1" applyFill="1" applyBorder="1" applyProtection="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applyBorder="1" applyAlignment="1" applyProtection="1"/>
    <xf numFmtId="0" fontId="12" fillId="26" borderId="0" xfId="0" applyFont="1" applyFill="1" applyBorder="1" applyProtection="1"/>
    <xf numFmtId="0" fontId="48" fillId="26" borderId="0" xfId="0" applyFont="1" applyFill="1" applyBorder="1" applyProtection="1"/>
    <xf numFmtId="165" fontId="77" fillId="26" borderId="10" xfId="26" applyFont="1" applyFill="1" applyBorder="1" applyProtection="1"/>
    <xf numFmtId="0" fontId="78" fillId="25" borderId="0" xfId="0" applyFont="1" applyFill="1"/>
    <xf numFmtId="0" fontId="12" fillId="26"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Border="1" applyAlignment="1">
      <alignment horizontal="left"/>
    </xf>
    <xf numFmtId="174" fontId="79" fillId="24" borderId="0" xfId="0" applyNumberFormat="1" applyFont="1" applyFill="1" applyAlignment="1">
      <alignment horizontal="right"/>
    </xf>
    <xf numFmtId="0" fontId="80" fillId="24" borderId="0" xfId="0" applyFont="1" applyFill="1" applyBorder="1" applyAlignment="1">
      <alignment horizontal="left"/>
    </xf>
    <xf numFmtId="0" fontId="79" fillId="24" borderId="0" xfId="0" applyFont="1" applyFill="1" applyBorder="1" applyAlignment="1">
      <alignment horizontal="centerContinuous"/>
    </xf>
    <xf numFmtId="0" fontId="81" fillId="26" borderId="0" xfId="0" applyFont="1" applyFill="1" applyBorder="1"/>
    <xf numFmtId="1" fontId="82" fillId="26" borderId="0" xfId="0" applyNumberFormat="1" applyFont="1" applyFill="1" applyBorder="1"/>
    <xf numFmtId="0" fontId="12" fillId="25" borderId="11" xfId="0" applyFont="1" applyFill="1" applyBorder="1"/>
    <xf numFmtId="0" fontId="7" fillId="25" borderId="11" xfId="0" applyFont="1" applyFill="1" applyBorder="1"/>
    <xf numFmtId="0" fontId="76" fillId="34" borderId="0" xfId="0" applyFont="1" applyFill="1" applyBorder="1" applyAlignment="1">
      <alignment horizontal="centerContinuous" wrapText="1"/>
    </xf>
    <xf numFmtId="0" fontId="7" fillId="34" borderId="0" xfId="0" applyFont="1" applyFill="1" applyBorder="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Border="1" applyAlignment="1">
      <alignment wrapText="1"/>
    </xf>
    <xf numFmtId="0" fontId="55" fillId="25" borderId="0" xfId="0" applyFont="1" applyFill="1" applyBorder="1" applyAlignment="1">
      <alignment horizontal="right" wrapText="1"/>
    </xf>
    <xf numFmtId="0" fontId="55" fillId="26" borderId="0" xfId="0" applyFont="1" applyFill="1" applyBorder="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pplyProtection="1">
      <alignment horizontal="left"/>
    </xf>
    <xf numFmtId="174" fontId="86" fillId="24" borderId="0" xfId="0" applyNumberFormat="1" applyFont="1" applyFill="1" applyBorder="1" applyAlignment="1" applyProtection="1">
      <alignment horizontal="right"/>
    </xf>
    <xf numFmtId="0" fontId="86" fillId="24" borderId="0" xfId="0" applyFont="1" applyFill="1" applyAlignment="1" applyProtection="1"/>
    <xf numFmtId="0" fontId="25" fillId="26" borderId="0" xfId="0" applyFont="1" applyFill="1" applyBorder="1" applyAlignment="1" applyProtection="1">
      <alignment horizontal="left"/>
    </xf>
    <xf numFmtId="14" fontId="9" fillId="24" borderId="10" xfId="0" applyNumberFormat="1" applyFont="1" applyFill="1" applyBorder="1" applyAlignment="1" applyProtection="1">
      <alignment horizontal="center"/>
    </xf>
    <xf numFmtId="0" fontId="9" fillId="24" borderId="10" xfId="0" applyNumberFormat="1" applyFont="1" applyFill="1" applyBorder="1" applyAlignment="1" applyProtection="1">
      <alignment horizontal="center" wrapText="1"/>
    </xf>
    <xf numFmtId="14" fontId="19" fillId="24" borderId="10" xfId="0" applyNumberFormat="1" applyFont="1" applyFill="1" applyBorder="1" applyAlignment="1" applyProtection="1">
      <alignment horizontal="center" wrapText="1"/>
    </xf>
    <xf numFmtId="1" fontId="9" fillId="24" borderId="10" xfId="0" applyNumberFormat="1" applyFont="1" applyFill="1" applyBorder="1" applyAlignment="1" applyProtection="1">
      <alignment horizontal="center"/>
    </xf>
    <xf numFmtId="0" fontId="87" fillId="26" borderId="0" xfId="0" applyFont="1" applyFill="1" applyBorder="1" applyProtection="1"/>
    <xf numFmtId="0" fontId="87" fillId="26" borderId="0" xfId="0" applyFont="1" applyFill="1" applyProtection="1"/>
    <xf numFmtId="0" fontId="90" fillId="26" borderId="0" xfId="0" applyFont="1" applyFill="1" applyProtection="1"/>
    <xf numFmtId="0" fontId="54" fillId="26" borderId="0" xfId="0" applyFont="1" applyFill="1" applyBorder="1" applyProtection="1"/>
    <xf numFmtId="0" fontId="54" fillId="26" borderId="11" xfId="0" applyFont="1" applyFill="1" applyBorder="1" applyProtection="1"/>
    <xf numFmtId="0" fontId="12" fillId="26" borderId="11" xfId="0" applyFont="1" applyFill="1" applyBorder="1" applyProtection="1"/>
    <xf numFmtId="0" fontId="12" fillId="24" borderId="10" xfId="0" applyFont="1" applyFill="1" applyBorder="1"/>
    <xf numFmtId="0" fontId="10" fillId="26" borderId="0" xfId="0" applyFont="1" applyFill="1" applyBorder="1" applyAlignment="1" applyProtection="1"/>
    <xf numFmtId="1" fontId="11" fillId="24" borderId="13" xfId="0" applyNumberFormat="1" applyFont="1" applyFill="1" applyBorder="1" applyAlignment="1" applyProtection="1">
      <alignment horizontal="center"/>
    </xf>
    <xf numFmtId="0" fontId="12" fillId="26" borderId="0" xfId="0" applyFont="1" applyFill="1" applyBorder="1" applyAlignment="1" applyProtection="1">
      <alignment horizontal="left"/>
    </xf>
    <xf numFmtId="0" fontId="12" fillId="24" borderId="10" xfId="0" applyFont="1" applyFill="1" applyBorder="1" applyProtection="1"/>
    <xf numFmtId="3" fontId="71" fillId="31" borderId="10" xfId="0" applyNumberFormat="1" applyFont="1" applyFill="1" applyBorder="1" applyProtection="1"/>
    <xf numFmtId="0" fontId="56" fillId="26" borderId="0" xfId="0" applyFont="1" applyFill="1" applyBorder="1" applyProtection="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pplyProtection="1">
      <alignment horizontal="left"/>
    </xf>
    <xf numFmtId="0" fontId="8" fillId="24" borderId="10" xfId="0" applyFont="1" applyFill="1" applyBorder="1" applyAlignment="1" applyProtection="1"/>
    <xf numFmtId="168" fontId="56" fillId="31" borderId="0" xfId="26" applyNumberFormat="1" applyFont="1" applyFill="1" applyBorder="1" applyProtection="1"/>
    <xf numFmtId="0" fontId="15" fillId="24" borderId="10" xfId="0" applyFont="1" applyFill="1" applyBorder="1" applyAlignment="1" applyProtection="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applyBorder="1" applyProtection="1"/>
    <xf numFmtId="168" fontId="93" fillId="24" borderId="0" xfId="26" applyNumberFormat="1" applyFont="1" applyFill="1" applyBorder="1" applyProtection="1"/>
    <xf numFmtId="1" fontId="17" fillId="24" borderId="10" xfId="0" applyNumberFormat="1" applyFont="1" applyFill="1" applyBorder="1" applyAlignment="1" applyProtection="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applyBorder="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0" fontId="23" fillId="26" borderId="0" xfId="0" applyFont="1" applyFill="1" applyBorder="1" applyProtection="1"/>
    <xf numFmtId="173" fontId="71" fillId="24" borderId="0" xfId="38" applyNumberFormat="1" applyFont="1" applyFill="1" applyBorder="1" applyProtection="1"/>
    <xf numFmtId="0" fontId="49" fillId="24" borderId="26" xfId="0" applyFont="1" applyFill="1" applyBorder="1" applyAlignment="1" applyProtection="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pplyProtection="1">
      <alignment horizontal="left"/>
    </xf>
    <xf numFmtId="0" fontId="55" fillId="24" borderId="26" xfId="0" applyFont="1" applyFill="1" applyBorder="1" applyAlignment="1" applyProtection="1">
      <alignment horizontal="left"/>
    </xf>
    <xf numFmtId="173" fontId="71" fillId="24" borderId="24" xfId="38" applyNumberFormat="1" applyFont="1" applyFill="1" applyBorder="1" applyProtection="1"/>
    <xf numFmtId="165" fontId="63" fillId="33" borderId="11" xfId="26" applyNumberFormat="1" applyFont="1" applyFill="1" applyBorder="1" applyAlignment="1" applyProtection="1"/>
    <xf numFmtId="0" fontId="67" fillId="29" borderId="0" xfId="0" applyFont="1" applyFill="1" applyAlignment="1" applyProtection="1"/>
    <xf numFmtId="0" fontId="57" fillId="29" borderId="0" xfId="0" applyFont="1" applyFill="1" applyAlignment="1" applyProtection="1"/>
    <xf numFmtId="0" fontId="35" fillId="24" borderId="0" xfId="0" applyFont="1" applyFill="1" applyBorder="1" applyAlignment="1" applyProtection="1"/>
    <xf numFmtId="0" fontId="13" fillId="24" borderId="0" xfId="0" applyFont="1" applyFill="1" applyBorder="1" applyProtection="1"/>
    <xf numFmtId="0" fontId="71" fillId="24" borderId="0" xfId="0" applyFont="1" applyFill="1" applyBorder="1" applyAlignment="1" applyProtection="1"/>
    <xf numFmtId="0" fontId="55" fillId="24" borderId="0" xfId="0" applyFont="1" applyFill="1" applyBorder="1" applyAlignment="1" applyProtection="1"/>
    <xf numFmtId="0" fontId="54" fillId="26" borderId="0" xfId="0" applyFont="1" applyFill="1" applyBorder="1" applyAlignment="1" applyProtection="1">
      <alignment wrapText="1"/>
    </xf>
    <xf numFmtId="0" fontId="100" fillId="26" borderId="0" xfId="0" applyFont="1" applyFill="1" applyBorder="1" applyProtection="1"/>
    <xf numFmtId="0" fontId="68" fillId="26" borderId="13" xfId="0" applyFont="1" applyFill="1" applyBorder="1" applyAlignment="1"/>
    <xf numFmtId="0" fontId="36" fillId="24" borderId="0" xfId="0" applyFont="1" applyFill="1"/>
    <xf numFmtId="14" fontId="40" fillId="24" borderId="11" xfId="0" applyNumberFormat="1" applyFont="1" applyFill="1" applyBorder="1" applyAlignment="1" applyProtection="1"/>
    <xf numFmtId="14" fontId="40" fillId="31" borderId="11" xfId="0" applyNumberFormat="1" applyFont="1" applyFill="1" applyBorder="1" applyAlignment="1" applyProtection="1"/>
    <xf numFmtId="0" fontId="67" fillId="29" borderId="0" xfId="0" applyFont="1" applyFill="1" applyAlignment="1" applyProtection="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pplyProtection="1">
      <alignment horizontal="center"/>
    </xf>
    <xf numFmtId="0" fontId="91" fillId="26" borderId="0" xfId="0" applyFont="1" applyFill="1" applyBorder="1" applyAlignment="1" applyProtection="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applyBorder="1" applyAlignment="1"/>
    <xf numFmtId="0" fontId="89" fillId="26" borderId="0" xfId="0" applyFont="1" applyFill="1" applyBorder="1" applyProtection="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Border="1" applyAlignment="1" applyProtection="1">
      <protection locked="0"/>
    </xf>
    <xf numFmtId="177" fontId="24" fillId="27" borderId="0" xfId="0" applyNumberFormat="1" applyFont="1" applyFill="1" applyBorder="1" applyAlignment="1" applyProtection="1">
      <protection locked="0"/>
    </xf>
    <xf numFmtId="165" fontId="26" fillId="27" borderId="0" xfId="26" applyNumberFormat="1"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applyProtection="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applyBorder="1"/>
    <xf numFmtId="179" fontId="7" fillId="26" borderId="0" xfId="0" applyNumberFormat="1" applyFont="1" applyFill="1" applyBorder="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pplyProtection="1">
      <alignment horizontal="center"/>
    </xf>
    <xf numFmtId="168" fontId="121" fillId="25" borderId="0" xfId="26" applyNumberFormat="1" applyFont="1" applyFill="1" applyBorder="1" applyProtection="1"/>
    <xf numFmtId="0" fontId="5" fillId="26" borderId="0" xfId="0" applyFont="1" applyFill="1" applyBorder="1" applyProtection="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applyProtection="1"/>
    <xf numFmtId="0" fontId="0" fillId="36" borderId="0" xfId="0" applyFill="1" applyProtection="1"/>
    <xf numFmtId="0" fontId="61" fillId="36" borderId="0" xfId="0" applyNumberFormat="1" applyFont="1" applyFill="1" applyProtection="1"/>
    <xf numFmtId="0" fontId="61" fillId="36" borderId="0" xfId="0" applyFont="1" applyFill="1" applyProtection="1"/>
    <xf numFmtId="0" fontId="68" fillId="26" borderId="11" xfId="0" applyFont="1" applyFill="1" applyBorder="1" applyAlignment="1"/>
    <xf numFmtId="0" fontId="21" fillId="26" borderId="10" xfId="0" applyFont="1" applyFill="1" applyBorder="1" applyProtection="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applyBorder="1" applyProtection="1"/>
    <xf numFmtId="0" fontId="0" fillId="38" borderId="0" xfId="0" applyFill="1"/>
    <xf numFmtId="0" fontId="0" fillId="38" borderId="0" xfId="0" applyFill="1" applyBorder="1"/>
    <xf numFmtId="0" fontId="5" fillId="0" borderId="0" xfId="0" applyFont="1"/>
    <xf numFmtId="0" fontId="55" fillId="26" borderId="0" xfId="0" applyFont="1" applyFill="1" applyBorder="1" applyAlignment="1">
      <alignment horizontal="center" wrapText="1"/>
    </xf>
    <xf numFmtId="0" fontId="59" fillId="29" borderId="0" xfId="0" applyFont="1" applyFill="1" applyAlignment="1"/>
    <xf numFmtId="0" fontId="55" fillId="24" borderId="33" xfId="0" applyFont="1" applyFill="1" applyBorder="1" applyAlignment="1" applyProtection="1">
      <alignment horizontal="left"/>
    </xf>
    <xf numFmtId="0" fontId="55" fillId="24" borderId="34" xfId="0" applyFont="1" applyFill="1" applyBorder="1" applyAlignment="1" applyProtection="1">
      <alignment horizontal="center"/>
    </xf>
    <xf numFmtId="0" fontId="55" fillId="24" borderId="31" xfId="0" applyFont="1" applyFill="1" applyBorder="1" applyAlignment="1" applyProtection="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applyBorder="1" applyProtection="1"/>
    <xf numFmtId="0" fontId="119" fillId="24" borderId="10" xfId="0" applyFont="1" applyFill="1" applyBorder="1" applyAlignment="1" applyProtection="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48" fillId="26" borderId="0" xfId="0" applyFont="1" applyFill="1" applyBorder="1" applyAlignment="1" applyProtection="1"/>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applyBorder="1" applyProtection="1"/>
    <xf numFmtId="177" fontId="7" fillId="36" borderId="0" xfId="0" applyNumberFormat="1" applyFont="1" applyFill="1" applyBorder="1" applyProtection="1"/>
    <xf numFmtId="179" fontId="7" fillId="36" borderId="0" xfId="0" applyNumberFormat="1" applyFont="1" applyFill="1" applyBorder="1" applyProtection="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NumberFormat="1"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applyProtection="1"/>
    <xf numFmtId="0" fontId="13" fillId="36" borderId="0" xfId="0" applyFont="1" applyFill="1" applyBorder="1" applyProtection="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0" fontId="7" fillId="36" borderId="0" xfId="0" applyFont="1" applyFill="1" applyProtection="1"/>
    <xf numFmtId="173" fontId="13" fillId="36" borderId="0" xfId="0" applyNumberFormat="1" applyFont="1" applyFill="1" applyProtection="1"/>
    <xf numFmtId="0" fontId="12" fillId="36" borderId="0" xfId="0" applyFont="1" applyFill="1" applyBorder="1" applyProtection="1"/>
    <xf numFmtId="0" fontId="7" fillId="36" borderId="0" xfId="0" applyFont="1" applyFill="1" applyBorder="1" applyProtection="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0" fontId="7" fillId="36" borderId="0" xfId="0" applyFont="1" applyFill="1" applyBorder="1"/>
    <xf numFmtId="3" fontId="7" fillId="36" borderId="0" xfId="0" applyNumberFormat="1" applyFont="1" applyFill="1" applyBorder="1"/>
    <xf numFmtId="168" fontId="7" fillId="36" borderId="0" xfId="26" applyNumberFormat="1" applyFont="1" applyFill="1" applyBorder="1"/>
    <xf numFmtId="0" fontId="83" fillId="36" borderId="0" xfId="0" applyFont="1" applyFill="1" applyBorder="1" applyAlignment="1">
      <alignment horizontal="center" wrapText="1"/>
    </xf>
    <xf numFmtId="0" fontId="7" fillId="36" borderId="0" xfId="0" applyFont="1" applyFill="1" applyBorder="1" applyAlignment="1">
      <alignment horizontal="center"/>
    </xf>
    <xf numFmtId="0" fontId="10" fillId="36" borderId="0" xfId="0" applyFont="1" applyFill="1" applyBorder="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applyBorder="1"/>
    <xf numFmtId="173" fontId="10" fillId="36" borderId="0" xfId="38" applyNumberFormat="1" applyFont="1" applyFill="1" applyBorder="1"/>
    <xf numFmtId="173" fontId="56" fillId="36" borderId="0" xfId="38" applyNumberFormat="1" applyFont="1" applyFill="1" applyBorder="1"/>
    <xf numFmtId="0" fontId="56" fillId="36" borderId="0" xfId="0" applyFont="1" applyFill="1" applyBorder="1"/>
    <xf numFmtId="168" fontId="10" fillId="36" borderId="0" xfId="26" applyNumberFormat="1" applyFont="1" applyFill="1" applyBorder="1"/>
    <xf numFmtId="1" fontId="10" fillId="36" borderId="0" xfId="0" applyNumberFormat="1" applyFont="1" applyFill="1" applyBorder="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Border="1" applyAlignment="1">
      <alignment horizontal="right" wrapText="1"/>
    </xf>
    <xf numFmtId="173" fontId="55" fillId="36" borderId="0" xfId="38" applyNumberFormat="1" applyFont="1" applyFill="1" applyBorder="1" applyAlignment="1">
      <alignment wrapText="1"/>
    </xf>
    <xf numFmtId="0" fontId="29" fillId="36" borderId="0" xfId="0" applyFont="1" applyFill="1"/>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0" fontId="10" fillId="36" borderId="0" xfId="0" applyFont="1" applyFill="1" applyBorder="1" applyProtection="1"/>
    <xf numFmtId="0" fontId="30" fillId="36" borderId="0"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8" fontId="30" fillId="36" borderId="0" xfId="0" applyNumberFormat="1" applyFont="1" applyFill="1" applyBorder="1"/>
    <xf numFmtId="165" fontId="30" fillId="36" borderId="0" xfId="26" applyFont="1" applyFill="1" applyBorder="1"/>
    <xf numFmtId="0" fontId="29" fillId="36" borderId="0" xfId="0" applyFont="1" applyFill="1" applyBorder="1"/>
    <xf numFmtId="165" fontId="29" fillId="36" borderId="0" xfId="26" applyFont="1" applyFill="1" applyBorder="1"/>
    <xf numFmtId="0" fontId="0" fillId="36" borderId="0" xfId="0" applyFill="1"/>
    <xf numFmtId="168" fontId="0" fillId="36" borderId="0" xfId="0" applyNumberFormat="1" applyFill="1"/>
    <xf numFmtId="0" fontId="37" fillId="36" borderId="0" xfId="0" applyFont="1" applyFill="1"/>
    <xf numFmtId="0" fontId="61"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Border="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Border="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applyBorder="1"/>
    <xf numFmtId="0" fontId="61" fillId="36" borderId="0" xfId="0" applyFont="1" applyFill="1" applyBorder="1"/>
    <xf numFmtId="168" fontId="61" fillId="36" borderId="0" xfId="26" applyNumberFormat="1" applyFont="1" applyFill="1" applyBorder="1"/>
    <xf numFmtId="0" fontId="99" fillId="36" borderId="0" xfId="0" applyFont="1" applyFill="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Border="1" applyAlignment="1">
      <alignment horizontal="center"/>
    </xf>
    <xf numFmtId="168" fontId="52" fillId="36" borderId="0" xfId="26" applyNumberFormat="1" applyFont="1" applyFill="1" applyAlignment="1">
      <alignment horizontal="center"/>
    </xf>
    <xf numFmtId="0" fontId="5" fillId="36" borderId="0" xfId="0" applyFont="1" applyFill="1" applyBorder="1" applyProtection="1"/>
    <xf numFmtId="165" fontId="4" fillId="36" borderId="20" xfId="26" applyFont="1" applyFill="1" applyBorder="1"/>
    <xf numFmtId="0" fontId="4" fillId="36" borderId="20" xfId="0" applyFont="1" applyFill="1" applyBorder="1"/>
    <xf numFmtId="165" fontId="52" fillId="36" borderId="10" xfId="26" applyNumberFormat="1"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applyBorder="1" applyProtection="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applyProtection="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56" fillId="36" borderId="0" xfId="0"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applyBorder="1" applyProtection="1"/>
    <xf numFmtId="0" fontId="10" fillId="36" borderId="11" xfId="0" applyFont="1" applyFill="1" applyBorder="1" applyProtection="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NumberFormat="1" applyFont="1" applyFill="1" applyBorder="1" applyProtection="1"/>
    <xf numFmtId="178" fontId="56" fillId="36" borderId="0" xfId="26" applyNumberFormat="1" applyFont="1" applyFill="1" applyBorder="1" applyProtection="1"/>
    <xf numFmtId="168" fontId="42" fillId="0" borderId="0" xfId="0" applyNumberFormat="1" applyFont="1" applyBorder="1"/>
    <xf numFmtId="168" fontId="0" fillId="0" borderId="0" xfId="0" applyNumberFormat="1" applyBorder="1"/>
    <xf numFmtId="173" fontId="0" fillId="0" borderId="0" xfId="38" applyNumberFormat="1" applyFont="1"/>
    <xf numFmtId="168" fontId="4" fillId="0" borderId="0" xfId="0" applyNumberFormat="1" applyFont="1" applyProtection="1"/>
    <xf numFmtId="168" fontId="0" fillId="38" borderId="0" xfId="0" applyNumberFormat="1" applyFill="1"/>
    <xf numFmtId="3" fontId="5" fillId="26" borderId="0" xfId="0" applyNumberFormat="1" applyFont="1" applyFill="1" applyBorder="1" applyAlignment="1" applyProtection="1">
      <alignment horizontal="left"/>
    </xf>
    <xf numFmtId="168" fontId="56" fillId="36" borderId="0" xfId="38" applyNumberFormat="1" applyFont="1" applyFill="1" applyBorder="1" applyProtection="1"/>
    <xf numFmtId="165" fontId="21" fillId="36" borderId="0" xfId="26" applyNumberFormat="1" applyFont="1" applyFill="1" applyBorder="1" applyAlignment="1" applyProtection="1">
      <alignment horizontal="right"/>
    </xf>
    <xf numFmtId="0" fontId="4" fillId="36" borderId="0" xfId="0" applyFont="1" applyFill="1" applyBorder="1"/>
    <xf numFmtId="165" fontId="52" fillId="36" borderId="0" xfId="26" applyNumberFormat="1" applyFont="1" applyFill="1" applyBorder="1"/>
    <xf numFmtId="0" fontId="4" fillId="0" borderId="0" xfId="0" applyFont="1"/>
    <xf numFmtId="0" fontId="34" fillId="29" borderId="0" xfId="0" applyFont="1" applyFill="1" applyAlignme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0" fontId="7" fillId="0" borderId="0" xfId="0" applyFont="1" applyAlignment="1">
      <alignment horizontal="center"/>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applyBorder="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Border="1" applyAlignment="1">
      <alignment horizontal="center"/>
    </xf>
    <xf numFmtId="0" fontId="42" fillId="40" borderId="0" xfId="0" applyFont="1" applyFill="1" applyBorder="1" applyAlignment="1">
      <alignment horizontal="centerContinuous"/>
    </xf>
    <xf numFmtId="14" fontId="42" fillId="40" borderId="0" xfId="0" applyNumberFormat="1" applyFont="1" applyFill="1" applyBorder="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Border="1" applyAlignment="1">
      <alignment horizontal="left"/>
    </xf>
    <xf numFmtId="0" fontId="9" fillId="24" borderId="0" xfId="0" applyFont="1" applyFill="1" applyBorder="1" applyAlignment="1">
      <alignment horizontal="center"/>
    </xf>
    <xf numFmtId="181" fontId="7" fillId="36" borderId="0" xfId="0" applyNumberFormat="1" applyFont="1" applyFill="1" applyBorder="1"/>
    <xf numFmtId="1" fontId="7" fillId="36" borderId="0" xfId="0" applyNumberFormat="1" applyFont="1" applyFill="1" applyBorder="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applyBorder="1"/>
    <xf numFmtId="3" fontId="7" fillId="0" borderId="0" xfId="0" applyNumberFormat="1" applyFont="1" applyBorder="1"/>
    <xf numFmtId="3" fontId="7" fillId="0" borderId="12" xfId="0" applyNumberFormat="1" applyFont="1" applyBorder="1"/>
    <xf numFmtId="3" fontId="130" fillId="36" borderId="0" xfId="0" applyNumberFormat="1" applyFont="1" applyFill="1" applyBorder="1" applyProtection="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applyAlignment="1" applyProtection="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applyBorder="1" applyProtection="1"/>
    <xf numFmtId="173" fontId="42" fillId="0" borderId="0" xfId="38" applyNumberFormat="1" applyFont="1" applyFill="1"/>
    <xf numFmtId="1" fontId="12" fillId="24" borderId="0" xfId="0" applyNumberFormat="1" applyFont="1" applyFill="1" applyBorder="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pplyProtection="1">
      <alignment horizontal="center"/>
    </xf>
    <xf numFmtId="165" fontId="5" fillId="25" borderId="0" xfId="26" applyNumberFormat="1"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NumberFormat="1" applyFont="1" applyFill="1" applyBorder="1" applyAlignment="1" applyProtection="1">
      <alignment horizontal="left"/>
    </xf>
    <xf numFmtId="176" fontId="56" fillId="38" borderId="0" xfId="0" applyNumberFormat="1" applyFont="1" applyFill="1" applyBorder="1" applyProtection="1"/>
    <xf numFmtId="165" fontId="4" fillId="36" borderId="0" xfId="26" applyNumberFormat="1" applyFont="1" applyFill="1" applyBorder="1"/>
    <xf numFmtId="168" fontId="4" fillId="36" borderId="10" xfId="26" applyNumberFormat="1" applyFont="1" applyFill="1" applyBorder="1"/>
    <xf numFmtId="0" fontId="12" fillId="26" borderId="10" xfId="0" applyFont="1" applyFill="1" applyBorder="1" applyProtection="1"/>
    <xf numFmtId="0" fontId="23" fillId="24" borderId="11" xfId="0" applyFont="1" applyFill="1" applyBorder="1" applyAlignment="1" applyProtection="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0" fontId="56" fillId="36" borderId="0" xfId="0" applyFont="1" applyFill="1" applyBorder="1" applyAlignment="1" applyProtection="1"/>
    <xf numFmtId="3" fontId="12" fillId="27" borderId="0" xfId="0" applyNumberFormat="1" applyFont="1" applyFill="1" applyBorder="1" applyAlignment="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applyAlignment="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applyBorder="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pplyProtection="1">
      <alignment horizontal="center"/>
    </xf>
    <xf numFmtId="168" fontId="7" fillId="25" borderId="0" xfId="0" applyNumberFormat="1" applyFont="1" applyFill="1" applyBorder="1"/>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Border="1" applyAlignment="1">
      <alignment horizontal="center"/>
    </xf>
    <xf numFmtId="3" fontId="137" fillId="0" borderId="0" xfId="53" applyNumberFormat="1" applyFont="1" applyFill="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NumberFormat="1"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Border="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pplyProtection="1">
      <alignment horizontal="center"/>
    </xf>
    <xf numFmtId="0" fontId="5" fillId="26" borderId="0" xfId="0" applyFont="1" applyFill="1" applyBorder="1"/>
    <xf numFmtId="0" fontId="16" fillId="0" borderId="0" xfId="0" applyFont="1" applyFill="1" applyBorder="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applyBorder="1" applyProtection="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Border="1" applyAlignment="1">
      <alignment horizontal="center"/>
    </xf>
    <xf numFmtId="4" fontId="0" fillId="0" borderId="0" xfId="0" applyNumberFormat="1"/>
    <xf numFmtId="1" fontId="12" fillId="0" borderId="10" xfId="0" applyNumberFormat="1" applyFont="1" applyFill="1" applyBorder="1" applyAlignment="1">
      <alignment horizontal="center"/>
    </xf>
    <xf numFmtId="168" fontId="7" fillId="0" borderId="0" xfId="26" applyNumberFormat="1" applyFont="1" applyFill="1"/>
    <xf numFmtId="168" fontId="7" fillId="0" borderId="0" xfId="0" applyNumberFormat="1" applyFont="1" applyFill="1"/>
    <xf numFmtId="0" fontId="7" fillId="0" borderId="0" xfId="0" applyFont="1" applyFill="1"/>
    <xf numFmtId="0" fontId="94" fillId="0" borderId="0" xfId="0" applyFont="1" applyFill="1" applyAlignment="1">
      <alignment horizontal="center"/>
    </xf>
    <xf numFmtId="165" fontId="7" fillId="0" borderId="0" xfId="26" applyFont="1" applyFill="1"/>
    <xf numFmtId="186" fontId="0" fillId="36" borderId="0" xfId="0" applyNumberFormat="1" applyFill="1"/>
    <xf numFmtId="0" fontId="0" fillId="0" borderId="0" xfId="0" applyFill="1"/>
    <xf numFmtId="0" fontId="5" fillId="36" borderId="0" xfId="0" applyFont="1" applyFill="1" applyBorder="1"/>
    <xf numFmtId="187" fontId="20" fillId="36" borderId="0" xfId="0" applyNumberFormat="1" applyFont="1" applyFill="1" applyBorder="1"/>
    <xf numFmtId="3" fontId="71" fillId="24" borderId="0" xfId="0" applyNumberFormat="1" applyFont="1" applyFill="1" applyBorder="1" applyAlignment="1" applyProtection="1">
      <alignment horizontal="right"/>
    </xf>
    <xf numFmtId="0" fontId="44" fillId="36" borderId="0" xfId="0" applyFont="1" applyFill="1"/>
    <xf numFmtId="0" fontId="58" fillId="36" borderId="0" xfId="0" applyFont="1" applyFill="1"/>
    <xf numFmtId="0" fontId="163" fillId="29" borderId="0" xfId="0" applyFont="1" applyFill="1" applyProtection="1"/>
    <xf numFmtId="0" fontId="164" fillId="29" borderId="0" xfId="0" applyFont="1" applyFill="1" applyProtection="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applyBorder="1" applyProtection="1"/>
    <xf numFmtId="0" fontId="0" fillId="36" borderId="0" xfId="0" applyFill="1" applyBorder="1"/>
    <xf numFmtId="183" fontId="20" fillId="36" borderId="13" xfId="0" applyNumberFormat="1" applyFont="1" applyFill="1" applyBorder="1"/>
    <xf numFmtId="0" fontId="56" fillId="36" borderId="0" xfId="0" applyFont="1" applyFill="1" applyBorder="1" applyAlignment="1">
      <alignment horizontal="left" wrapText="1"/>
    </xf>
    <xf numFmtId="0" fontId="56" fillId="0" borderId="0" xfId="0" applyFont="1" applyBorder="1" applyAlignment="1">
      <alignment horizontal="left" wrapText="1"/>
    </xf>
    <xf numFmtId="0" fontId="56" fillId="0" borderId="0" xfId="0" applyFont="1" applyBorder="1"/>
    <xf numFmtId="3" fontId="131" fillId="36" borderId="0" xfId="0" applyNumberFormat="1" applyFont="1" applyFill="1" applyBorder="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Border="1" applyAlignment="1">
      <alignment horizontal="center"/>
    </xf>
    <xf numFmtId="0" fontId="122" fillId="36" borderId="0" xfId="0" applyFont="1" applyFill="1" applyBorder="1" applyAlignment="1">
      <alignment horizontal="left"/>
    </xf>
    <xf numFmtId="168" fontId="4" fillId="36" borderId="0" xfId="0" applyNumberFormat="1" applyFont="1" applyFill="1" applyBorder="1"/>
    <xf numFmtId="0" fontId="166" fillId="36" borderId="0" xfId="0" applyFont="1" applyFill="1" applyBorder="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applyBorder="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pplyProtection="1">
      <alignment horizontal="center" wrapText="1"/>
    </xf>
    <xf numFmtId="168" fontId="40" fillId="26" borderId="0" xfId="0" applyNumberFormat="1" applyFont="1" applyFill="1" applyBorder="1" applyAlignment="1" applyProtection="1"/>
    <xf numFmtId="168" fontId="13" fillId="24" borderId="0" xfId="0" applyNumberFormat="1" applyFont="1" applyFill="1" applyBorder="1" applyProtection="1"/>
    <xf numFmtId="3" fontId="12" fillId="36" borderId="0" xfId="0" applyNumberFormat="1" applyFont="1" applyFill="1" applyBorder="1" applyAlignment="1" applyProtection="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applyBorder="1" applyProtection="1"/>
    <xf numFmtId="169" fontId="56" fillId="78" borderId="0" xfId="26" applyNumberFormat="1" applyFont="1" applyFill="1" applyBorder="1" applyProtection="1"/>
    <xf numFmtId="3" fontId="7" fillId="78" borderId="0" xfId="0" applyNumberFormat="1" applyFont="1" applyFill="1" applyBorder="1" applyProtection="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165" fontId="10" fillId="36" borderId="0" xfId="26" applyNumberFormat="1" applyFont="1" applyFill="1" applyBorder="1" applyAlignment="1" applyProtection="1">
      <alignment horizontal="right"/>
    </xf>
    <xf numFmtId="0" fontId="71" fillId="36" borderId="0" xfId="0" applyFont="1" applyFill="1" applyProtection="1"/>
    <xf numFmtId="0" fontId="8" fillId="24" borderId="10" xfId="0" applyFont="1" applyFill="1" applyBorder="1" applyAlignment="1" applyProtection="1">
      <alignment horizontal="left" wrapText="1"/>
    </xf>
    <xf numFmtId="3" fontId="56" fillId="79" borderId="0" xfId="0" applyNumberFormat="1" applyFont="1" applyFill="1" applyBorder="1" applyProtection="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applyBorder="1"/>
    <xf numFmtId="0" fontId="33" fillId="76" borderId="0" xfId="23" applyFill="1" applyAlignment="1" applyProtection="1"/>
    <xf numFmtId="168" fontId="9" fillId="36" borderId="11" xfId="26" applyNumberFormat="1" applyFont="1" applyFill="1" applyBorder="1" applyProtection="1"/>
    <xf numFmtId="168" fontId="7" fillId="0" borderId="0" xfId="0" applyNumberFormat="1" applyFont="1" applyBorder="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applyBorder="1" applyProtection="1"/>
    <xf numFmtId="0" fontId="5" fillId="36" borderId="34" xfId="0" applyFont="1" applyFill="1" applyBorder="1"/>
    <xf numFmtId="168" fontId="56" fillId="36" borderId="34" xfId="26" applyNumberFormat="1" applyFont="1" applyFill="1" applyBorder="1"/>
    <xf numFmtId="168" fontId="48" fillId="36" borderId="34" xfId="26" applyNumberFormat="1" applyFont="1" applyFill="1" applyBorder="1"/>
    <xf numFmtId="173" fontId="56" fillId="36" borderId="0" xfId="26" applyNumberFormat="1" applyFont="1" applyFill="1" applyBorder="1"/>
    <xf numFmtId="0" fontId="5" fillId="26" borderId="0" xfId="0" quotePrefix="1" applyFont="1" applyFill="1" applyBorder="1" applyProtection="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Border="1" applyAlignment="1">
      <alignment horizontal="left"/>
    </xf>
    <xf numFmtId="0" fontId="42" fillId="40" borderId="13" xfId="0" applyFont="1" applyFill="1" applyBorder="1" applyAlignment="1">
      <alignment horizontal="center" wrapText="1"/>
    </xf>
    <xf numFmtId="165" fontId="10" fillId="25" borderId="0" xfId="26" applyNumberFormat="1"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Border="1" applyAlignment="1">
      <alignment horizontal="center"/>
    </xf>
    <xf numFmtId="0" fontId="91" fillId="26" borderId="0" xfId="0" applyFont="1" applyFill="1" applyBorder="1" applyProtection="1"/>
    <xf numFmtId="188" fontId="45" fillId="0" borderId="0" xfId="26" applyNumberFormat="1" applyFont="1" applyBorder="1" applyProtection="1"/>
    <xf numFmtId="0" fontId="10" fillId="36" borderId="0" xfId="0" applyFont="1" applyFill="1" applyBorder="1" applyAlignment="1">
      <alignment horizontal="center"/>
    </xf>
    <xf numFmtId="3" fontId="5" fillId="36" borderId="0" xfId="0" applyNumberFormat="1" applyFont="1" applyFill="1" applyBorder="1" applyAlignment="1" applyProtection="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NumberFormat="1"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pplyProtection="1">
      <alignment horizontal="left"/>
    </xf>
    <xf numFmtId="0" fontId="5" fillId="0" borderId="0" xfId="32" applyFill="1" applyAlignment="1">
      <alignment horizontal="left"/>
    </xf>
    <xf numFmtId="0" fontId="5" fillId="0" borderId="0" xfId="32" applyFill="1"/>
    <xf numFmtId="168" fontId="4" fillId="0" borderId="0" xfId="0" applyNumberFormat="1" applyFont="1" applyFill="1" applyProtection="1"/>
    <xf numFmtId="168" fontId="99" fillId="36" borderId="0" xfId="0" applyNumberFormat="1" applyFont="1" applyFill="1" applyBorder="1"/>
    <xf numFmtId="165" fontId="122" fillId="35" borderId="16" xfId="26" applyNumberFormat="1" applyFont="1" applyFill="1" applyBorder="1"/>
    <xf numFmtId="165" fontId="122" fillId="35" borderId="18" xfId="26" applyNumberFormat="1"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2" fontId="32" fillId="0" borderId="0" xfId="0" applyNumberFormat="1" applyFont="1" applyFill="1"/>
    <xf numFmtId="188" fontId="45" fillId="0" borderId="0" xfId="26" applyNumberFormat="1" applyFont="1" applyFill="1" applyBorder="1" applyProtection="1"/>
    <xf numFmtId="3" fontId="137" fillId="0" borderId="0" xfId="54" applyNumberFormat="1" applyFont="1" applyFill="1" applyBorder="1"/>
    <xf numFmtId="168" fontId="4" fillId="36" borderId="0" xfId="0" applyNumberFormat="1" applyFont="1" applyFill="1"/>
    <xf numFmtId="0" fontId="172" fillId="26" borderId="0" xfId="0" applyFont="1" applyFill="1" applyProtection="1"/>
    <xf numFmtId="191" fontId="42" fillId="40" borderId="11" xfId="0" quotePrefix="1" applyNumberFormat="1" applyFont="1" applyFill="1" applyBorder="1" applyAlignment="1">
      <alignment horizontal="center" wrapText="1"/>
    </xf>
    <xf numFmtId="0" fontId="38" fillId="36" borderId="0" xfId="0" applyFont="1" applyFill="1" applyBorder="1"/>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NumberFormat="1"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Border="1" applyAlignment="1" applyProtection="1">
      <alignment horizontal="left" wrapText="1"/>
    </xf>
    <xf numFmtId="1" fontId="27" fillId="0" borderId="0" xfId="0" applyNumberFormat="1" applyFont="1" applyBorder="1"/>
    <xf numFmtId="1" fontId="17" fillId="26" borderId="11" xfId="0" applyNumberFormat="1" applyFont="1" applyFill="1" applyBorder="1" applyAlignment="1" applyProtection="1">
      <alignment horizontal="center"/>
    </xf>
    <xf numFmtId="1" fontId="17" fillId="26" borderId="0" xfId="0" applyNumberFormat="1" applyFont="1" applyFill="1" applyBorder="1" applyAlignment="1" applyProtection="1">
      <alignment horizontal="center"/>
    </xf>
    <xf numFmtId="3" fontId="10" fillId="36" borderId="0" xfId="0" applyNumberFormat="1" applyFont="1" applyFill="1" applyBorder="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applyProtection="1"/>
    <xf numFmtId="168" fontId="21" fillId="36" borderId="0" xfId="26" applyNumberFormat="1" applyFont="1" applyFill="1" applyBorder="1" applyAlignment="1" applyProtection="1">
      <alignment vertical="center"/>
    </xf>
    <xf numFmtId="0" fontId="131" fillId="36" borderId="0" xfId="0" applyFont="1" applyFill="1"/>
    <xf numFmtId="168" fontId="5" fillId="26" borderId="0" xfId="0" applyNumberFormat="1" applyFont="1" applyFill="1" applyBorder="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applyBorder="1" applyProtection="1"/>
    <xf numFmtId="0" fontId="5" fillId="78" borderId="11" xfId="0" applyFont="1" applyFill="1" applyBorder="1" applyProtection="1"/>
    <xf numFmtId="0" fontId="5" fillId="80" borderId="0" xfId="0" applyFont="1" applyFill="1" applyBorder="1" applyProtection="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68" fontId="0" fillId="0" borderId="0" xfId="0" applyNumberFormat="1" applyFill="1" applyBorder="1"/>
    <xf numFmtId="193" fontId="45" fillId="0" borderId="0" xfId="26" applyNumberFormat="1" applyFont="1" applyBorder="1" applyProtection="1"/>
    <xf numFmtId="168" fontId="20" fillId="25" borderId="0" xfId="0" applyNumberFormat="1" applyFont="1" applyFill="1" applyBorder="1"/>
    <xf numFmtId="0" fontId="5" fillId="82" borderId="0" xfId="32" applyFill="1" applyBorder="1" applyAlignment="1">
      <alignment horizontal="center"/>
    </xf>
    <xf numFmtId="168" fontId="56" fillId="36" borderId="0" xfId="26" applyNumberFormat="1" applyFont="1" applyFill="1" applyBorder="1" applyAlignment="1" applyProtection="1">
      <alignment vertical="center"/>
    </xf>
    <xf numFmtId="3" fontId="7" fillId="36" borderId="0" xfId="0" applyNumberFormat="1" applyFont="1" applyFill="1" applyProtection="1"/>
    <xf numFmtId="168" fontId="10" fillId="36" borderId="0" xfId="0" applyNumberFormat="1" applyFont="1" applyFill="1" applyAlignment="1">
      <alignment vertical="center"/>
    </xf>
    <xf numFmtId="3" fontId="174" fillId="25" borderId="0" xfId="0" applyNumberFormat="1" applyFont="1" applyFill="1" applyBorder="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Border="1" applyAlignment="1">
      <alignment horizontal="center"/>
    </xf>
    <xf numFmtId="0" fontId="7" fillId="25" borderId="0" xfId="0" applyFont="1" applyFill="1" applyAlignment="1" applyProtection="1">
      <alignment vertical="center"/>
    </xf>
    <xf numFmtId="0" fontId="7" fillId="0" borderId="0" xfId="0" applyFont="1" applyAlignment="1" applyProtection="1">
      <alignment vertical="center"/>
    </xf>
    <xf numFmtId="168" fontId="5" fillId="36" borderId="0" xfId="26" applyNumberFormat="1" applyFont="1" applyFill="1" applyAlignment="1">
      <alignment vertical="center"/>
    </xf>
    <xf numFmtId="0" fontId="13" fillId="36" borderId="0" xfId="0" applyFont="1" applyFill="1" applyBorder="1" applyAlignment="1" applyProtection="1">
      <alignment vertical="center"/>
    </xf>
    <xf numFmtId="0" fontId="13" fillId="24" borderId="0" xfId="0" applyFont="1" applyFill="1" applyBorder="1" applyAlignment="1" applyProtection="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Border="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0" fontId="127" fillId="36" borderId="0" xfId="0" applyFont="1" applyFill="1" applyBorder="1"/>
    <xf numFmtId="165" fontId="127" fillId="36" borderId="0" xfId="26" applyNumberFormat="1" applyFont="1" applyFill="1" applyBorder="1"/>
    <xf numFmtId="168" fontId="0" fillId="36" borderId="0" xfId="0" applyNumberFormat="1" applyFill="1" applyBorder="1"/>
    <xf numFmtId="165" fontId="0" fillId="36" borderId="0" xfId="0" applyNumberForma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pplyProtection="1">
      <alignment horizontal="center" vertical="center"/>
    </xf>
    <xf numFmtId="171" fontId="7" fillId="25" borderId="0" xfId="0" applyNumberFormat="1" applyFont="1" applyFill="1" applyBorder="1"/>
    <xf numFmtId="0" fontId="56" fillId="0" borderId="0" xfId="0" applyFont="1" applyBorder="1" applyAlignment="1">
      <alignment horizontal="left" vertical="center" wrapText="1"/>
    </xf>
    <xf numFmtId="165" fontId="32" fillId="36" borderId="0" xfId="0" applyNumberFormat="1" applyFont="1" applyFill="1" applyBorder="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pplyProtection="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Border="1" applyAlignment="1" applyProtection="1">
      <alignment wrapText="1"/>
    </xf>
    <xf numFmtId="0" fontId="5" fillId="83" borderId="0" xfId="32" applyFill="1" applyBorder="1" applyAlignment="1">
      <alignment horizontal="center"/>
    </xf>
    <xf numFmtId="0" fontId="5" fillId="84" borderId="0" xfId="32" applyFill="1" applyBorder="1" applyAlignment="1">
      <alignment horizontal="center"/>
    </xf>
    <xf numFmtId="168" fontId="0" fillId="0" borderId="0" xfId="26" applyNumberFormat="1" applyFont="1" applyFill="1"/>
    <xf numFmtId="0" fontId="6" fillId="24" borderId="0" xfId="0" applyFont="1" applyFill="1" applyAlignment="1" applyProtection="1">
      <alignment horizontal="left"/>
    </xf>
    <xf numFmtId="0" fontId="6" fillId="24" borderId="0" xfId="0" quotePrefix="1" applyFont="1" applyFill="1" applyAlignment="1" applyProtection="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0" fontId="5" fillId="35" borderId="0" xfId="32" applyFont="1" applyFill="1"/>
    <xf numFmtId="168" fontId="0" fillId="35" borderId="0" xfId="0" applyNumberFormat="1" applyFill="1" applyBorder="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applyBorder="1"/>
    <xf numFmtId="1" fontId="0" fillId="0" borderId="0" xfId="0" applyNumberFormat="1" applyFill="1" applyBorder="1"/>
    <xf numFmtId="0" fontId="0" fillId="0" borderId="0" xfId="0" applyFill="1" applyBorder="1"/>
    <xf numFmtId="0" fontId="0" fillId="35" borderId="0" xfId="0" applyFill="1" applyBorder="1" applyAlignment="1">
      <alignment horizontal="right"/>
    </xf>
    <xf numFmtId="1" fontId="0" fillId="35" borderId="0" xfId="26" applyNumberFormat="1" applyFont="1" applyFill="1" applyBorder="1"/>
    <xf numFmtId="0" fontId="0" fillId="83" borderId="0" xfId="0" applyFill="1" applyBorder="1" applyAlignment="1">
      <alignment horizontal="right"/>
    </xf>
    <xf numFmtId="1" fontId="0" fillId="83" borderId="0" xfId="26" applyNumberFormat="1" applyFont="1" applyFill="1" applyBorder="1"/>
    <xf numFmtId="0" fontId="5" fillId="83" borderId="0" xfId="32" applyFont="1" applyFill="1"/>
    <xf numFmtId="0" fontId="5" fillId="83" borderId="0" xfId="32" applyFill="1" applyBorder="1"/>
    <xf numFmtId="0" fontId="5" fillId="77" borderId="0" xfId="32" applyFill="1" applyAlignment="1">
      <alignment horizontal="left"/>
    </xf>
    <xf numFmtId="0" fontId="5" fillId="77" borderId="0" xfId="32" applyFont="1"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applyBorder="1"/>
    <xf numFmtId="0" fontId="5" fillId="77" borderId="0" xfId="32"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applyBorder="1"/>
    <xf numFmtId="0" fontId="5" fillId="85" borderId="0" xfId="32" applyFill="1" applyAlignment="1">
      <alignment horizontal="left"/>
    </xf>
    <xf numFmtId="0" fontId="5" fillId="85" borderId="0" xfId="32" applyFill="1"/>
    <xf numFmtId="0" fontId="48" fillId="24" borderId="0" xfId="0" applyFont="1" applyFill="1" applyBorder="1" applyAlignment="1" applyProtection="1">
      <alignment vertical="center" wrapText="1"/>
    </xf>
    <xf numFmtId="0" fontId="85" fillId="0" borderId="0" xfId="0" applyFont="1" applyFill="1"/>
    <xf numFmtId="168" fontId="45" fillId="85" borderId="0" xfId="26" applyNumberFormat="1" applyFont="1" applyFill="1" applyBorder="1" applyProtection="1"/>
    <xf numFmtId="0" fontId="5" fillId="76" borderId="0" xfId="32" applyFill="1"/>
    <xf numFmtId="168" fontId="85" fillId="0" borderId="0" xfId="0" applyNumberFormat="1" applyFont="1" applyFill="1"/>
    <xf numFmtId="0" fontId="5" fillId="0" borderId="0" xfId="32" applyFill="1" applyBorder="1"/>
    <xf numFmtId="0" fontId="35" fillId="80" borderId="0" xfId="0" applyFont="1" applyFill="1" applyBorder="1" applyAlignment="1" applyProtection="1"/>
    <xf numFmtId="0" fontId="7" fillId="80" borderId="0" xfId="0" applyFont="1" applyFill="1" applyProtection="1"/>
    <xf numFmtId="0" fontId="71" fillId="80" borderId="0" xfId="0" applyFont="1" applyFill="1" applyBorder="1" applyAlignment="1" applyProtection="1"/>
    <xf numFmtId="0" fontId="71" fillId="80" borderId="0" xfId="0" applyFont="1" applyFill="1" applyProtection="1"/>
    <xf numFmtId="0" fontId="55" fillId="80" borderId="0" xfId="0" applyFont="1" applyFill="1" applyBorder="1" applyAlignment="1" applyProtection="1"/>
    <xf numFmtId="0" fontId="6" fillId="80" borderId="0" xfId="0" applyFont="1" applyFill="1" applyAlignment="1" applyProtection="1">
      <alignment horizontal="centerContinuous"/>
    </xf>
    <xf numFmtId="0" fontId="13" fillId="80" borderId="0" xfId="0" applyFont="1" applyFill="1" applyBorder="1" applyProtection="1"/>
    <xf numFmtId="0" fontId="13" fillId="80" borderId="0" xfId="0" applyFont="1" applyFill="1" applyBorder="1" applyAlignment="1" applyProtection="1">
      <alignment vertical="center"/>
    </xf>
    <xf numFmtId="0" fontId="7" fillId="80" borderId="0" xfId="0" applyFont="1" applyFill="1" applyAlignment="1" applyProtection="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4"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applyBorder="1" applyProtection="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applyProtection="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pplyProtection="1">
      <alignment horizontal="center"/>
    </xf>
    <xf numFmtId="0" fontId="5" fillId="26" borderId="0" xfId="0" applyFont="1" applyFill="1"/>
    <xf numFmtId="168" fontId="56" fillId="38" borderId="10" xfId="26" applyNumberFormat="1" applyFont="1" applyFill="1" applyBorder="1" applyAlignment="1" applyProtection="1">
      <alignment horizontal="right"/>
    </xf>
    <xf numFmtId="3" fontId="7" fillId="25" borderId="0" xfId="0" applyNumberFormat="1" applyFont="1" applyFill="1" applyProtection="1"/>
    <xf numFmtId="168" fontId="178" fillId="36" borderId="0" xfId="0" applyNumberFormat="1" applyFont="1" applyFill="1" applyAlignment="1">
      <alignment vertical="center"/>
    </xf>
    <xf numFmtId="168" fontId="178" fillId="36" borderId="0" xfId="0" applyNumberFormat="1" applyFont="1" applyFill="1"/>
    <xf numFmtId="0" fontId="5" fillId="0" borderId="0" xfId="0" quotePrefix="1" applyFont="1" applyProtection="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82" fillId="26" borderId="0" xfId="0" applyNumberFormat="1" applyFont="1" applyFill="1" applyBorder="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applyBorder="1" applyProtection="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applyFill="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5" fillId="0" borderId="0" xfId="32" applyFont="1" applyFill="1"/>
    <xf numFmtId="0" fontId="48" fillId="26" borderId="10" xfId="0" applyFont="1" applyFill="1" applyBorder="1" applyProtection="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NumberFormat="1"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7" fillId="25" borderId="11" xfId="0"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200" fontId="13" fillId="24" borderId="0" xfId="0" applyNumberFormat="1" applyFont="1" applyFill="1" applyBorder="1" applyProtection="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applyBorder="1" applyProtection="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Border="1" applyAlignment="1">
      <alignment horizontal="center"/>
    </xf>
    <xf numFmtId="3" fontId="16" fillId="24" borderId="0" xfId="0" applyNumberFormat="1" applyFont="1" applyFill="1" applyAlignment="1" applyProtection="1">
      <alignment horizontal="right"/>
    </xf>
    <xf numFmtId="3" fontId="7" fillId="0" borderId="0" xfId="0" applyNumberFormat="1" applyFont="1" applyProtection="1"/>
    <xf numFmtId="196" fontId="0" fillId="0" borderId="0" xfId="0" applyNumberFormat="1"/>
    <xf numFmtId="0" fontId="71" fillId="24" borderId="29" xfId="0" applyFont="1" applyFill="1" applyBorder="1" applyAlignment="1" applyProtection="1">
      <alignment horizontal="left" wrapText="1" shrinkToFit="1"/>
    </xf>
    <xf numFmtId="0" fontId="6" fillId="24" borderId="0" xfId="0" applyFont="1" applyFill="1" applyAlignment="1" applyProtection="1">
      <alignment horizontal="center"/>
    </xf>
    <xf numFmtId="3" fontId="6" fillId="24" borderId="0" xfId="0" quotePrefix="1" applyNumberFormat="1" applyFont="1" applyFill="1" applyAlignment="1" applyProtection="1">
      <alignment horizontal="left"/>
    </xf>
    <xf numFmtId="0" fontId="5" fillId="0" borderId="0" xfId="0" applyFont="1" applyProtection="1"/>
    <xf numFmtId="0" fontId="188" fillId="36" borderId="0" xfId="0" applyFont="1" applyFill="1"/>
    <xf numFmtId="173" fontId="13" fillId="80" borderId="0" xfId="0" applyNumberFormat="1" applyFont="1" applyFill="1" applyProtection="1"/>
    <xf numFmtId="0" fontId="15" fillId="24" borderId="0" xfId="0" applyFont="1" applyFill="1" applyBorder="1" applyAlignment="1" applyProtection="1">
      <alignment horizontal="left" vertical="center" wrapText="1"/>
    </xf>
    <xf numFmtId="168" fontId="21" fillId="40" borderId="0" xfId="26" applyNumberFormat="1" applyFont="1" applyFill="1" applyBorder="1" applyProtection="1"/>
    <xf numFmtId="196" fontId="0" fillId="36" borderId="0" xfId="0" applyNumberFormat="1" applyFill="1"/>
    <xf numFmtId="168" fontId="10" fillId="36" borderId="0" xfId="0" applyNumberFormat="1" applyFont="1" applyFill="1" applyBorder="1"/>
    <xf numFmtId="183" fontId="20" fillId="36" borderId="0" xfId="0" applyNumberFormat="1" applyFont="1" applyFill="1" applyBorder="1"/>
    <xf numFmtId="168" fontId="48" fillId="36" borderId="0" xfId="26" applyNumberFormat="1" applyFont="1" applyFill="1" applyBorder="1"/>
    <xf numFmtId="168" fontId="62" fillId="36" borderId="0" xfId="26" applyNumberFormat="1" applyFont="1" applyFill="1" applyBorder="1"/>
    <xf numFmtId="0" fontId="13" fillId="36" borderId="0" xfId="0" applyFont="1" applyFill="1" applyBorder="1" applyAlignment="1" applyProtection="1"/>
    <xf numFmtId="168" fontId="38" fillId="36" borderId="0" xfId="0" applyNumberFormat="1" applyFont="1" applyFill="1"/>
    <xf numFmtId="3" fontId="7" fillId="36" borderId="0" xfId="0" applyNumberFormat="1" applyFont="1" applyFill="1"/>
    <xf numFmtId="168" fontId="7" fillId="36" borderId="0" xfId="0" applyNumberFormat="1" applyFont="1" applyFill="1" applyProtection="1"/>
    <xf numFmtId="3" fontId="130" fillId="26" borderId="0" xfId="0" applyNumberFormat="1" applyFont="1" applyFill="1" applyBorder="1" applyProtection="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NumberFormat="1" applyFont="1" applyFill="1" applyBorder="1" applyProtection="1"/>
    <xf numFmtId="176" fontId="130" fillId="38" borderId="0" xfId="0" applyNumberFormat="1" applyFont="1" applyFill="1" applyBorder="1" applyProtection="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applyBorder="1"/>
    <xf numFmtId="0" fontId="9" fillId="78" borderId="10" xfId="0" applyFont="1" applyFill="1" applyBorder="1" applyAlignment="1">
      <alignment horizontal="center"/>
    </xf>
    <xf numFmtId="0" fontId="9" fillId="78" borderId="0" xfId="0" applyFont="1" applyFill="1" applyBorder="1" applyAlignment="1">
      <alignment horizontal="center"/>
    </xf>
    <xf numFmtId="181" fontId="7" fillId="78" borderId="0" xfId="0" applyNumberFormat="1" applyFont="1" applyFill="1" applyBorder="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Border="1" applyAlignment="1">
      <alignment horizontal="center"/>
    </xf>
    <xf numFmtId="1" fontId="7" fillId="88" borderId="0" xfId="0" applyNumberFormat="1" applyFont="1" applyFill="1" applyBorder="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189" fontId="4" fillId="36" borderId="0" xfId="0" applyNumberFormat="1" applyFont="1" applyFill="1" applyBorder="1"/>
    <xf numFmtId="0" fontId="4" fillId="0" borderId="0" xfId="0" applyFont="1" applyBorder="1"/>
    <xf numFmtId="165" fontId="0" fillId="0" borderId="0" xfId="0" applyNumberFormat="1" applyBorder="1"/>
    <xf numFmtId="0" fontId="189" fillId="36" borderId="0" xfId="0" applyFont="1" applyFill="1"/>
    <xf numFmtId="3" fontId="0" fillId="36" borderId="0" xfId="0" applyNumberFormat="1" applyFill="1"/>
    <xf numFmtId="0" fontId="0" fillId="36" borderId="0" xfId="0" applyFill="1" applyBorder="1" applyAlignment="1">
      <alignment horizontal="left"/>
    </xf>
    <xf numFmtId="168" fontId="127" fillId="36" borderId="0" xfId="0" applyNumberFormat="1" applyFont="1" applyFill="1"/>
    <xf numFmtId="186" fontId="122" fillId="36" borderId="0" xfId="26" applyNumberFormat="1" applyFont="1" applyFill="1" applyBorder="1"/>
    <xf numFmtId="3" fontId="137" fillId="0" borderId="0" xfId="53" applyNumberFormat="1" applyFont="1" applyBorder="1" applyAlignment="1" applyProtection="1">
      <alignment horizontal="right"/>
    </xf>
    <xf numFmtId="0" fontId="5" fillId="28" borderId="11" xfId="32" applyFont="1"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0" fontId="5" fillId="36" borderId="0" xfId="0" applyFont="1" applyFill="1" applyProtection="1"/>
    <xf numFmtId="168" fontId="56" fillId="25" borderId="0" xfId="26" applyNumberFormat="1" applyFont="1" applyFill="1" applyBorder="1" applyAlignment="1" applyProtection="1">
      <alignment vertical="center"/>
    </xf>
    <xf numFmtId="201"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applyBorder="1" applyProtection="1"/>
    <xf numFmtId="168" fontId="56" fillId="39" borderId="0" xfId="26" quotePrefix="1" applyNumberFormat="1" applyFont="1" applyFill="1" applyBorder="1" applyAlignment="1" applyProtection="1">
      <alignment vertical="center" wrapText="1"/>
    </xf>
    <xf numFmtId="168" fontId="56" fillId="39" borderId="0" xfId="26" applyNumberFormat="1" applyFont="1" applyFill="1" applyBorder="1" applyAlignment="1" applyProtection="1">
      <alignment vertical="center"/>
    </xf>
    <xf numFmtId="168" fontId="91" fillId="39" borderId="0" xfId="26" quotePrefix="1" applyNumberFormat="1" applyFont="1" applyFill="1" applyBorder="1" applyAlignment="1" applyProtection="1">
      <alignment vertical="center"/>
    </xf>
    <xf numFmtId="0" fontId="5" fillId="89" borderId="0" xfId="32" applyFill="1" applyBorder="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applyProtection="1"/>
    <xf numFmtId="0" fontId="10" fillId="40" borderId="11" xfId="0" applyFont="1" applyFill="1" applyBorder="1" applyAlignment="1">
      <alignment horizontal="center"/>
    </xf>
    <xf numFmtId="173" fontId="13" fillId="24" borderId="0" xfId="0" applyNumberFormat="1" applyFont="1" applyFill="1" applyBorder="1" applyProtection="1"/>
    <xf numFmtId="0" fontId="169" fillId="36" borderId="13" xfId="0" applyFont="1" applyFill="1" applyBorder="1" applyAlignment="1" applyProtection="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pplyProtection="1">
      <alignment horizontal="centerContinuous"/>
    </xf>
    <xf numFmtId="0" fontId="7" fillId="36" borderId="0" xfId="0" applyFont="1" applyFill="1" applyAlignment="1" applyProtection="1">
      <alignment horizontal="centerContinuous"/>
    </xf>
    <xf numFmtId="0" fontId="7" fillId="36" borderId="0" xfId="0" applyFont="1" applyFill="1" applyAlignment="1" applyProtection="1">
      <alignment horizontal="center"/>
    </xf>
    <xf numFmtId="168" fontId="7" fillId="36" borderId="0" xfId="0" applyNumberFormat="1" applyFont="1" applyFill="1" applyBorder="1"/>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3" fontId="16" fillId="24" borderId="0" xfId="0" applyNumberFormat="1" applyFont="1" applyFill="1" applyAlignment="1" applyProtection="1">
      <alignment horizontal="left"/>
    </xf>
    <xf numFmtId="168" fontId="171" fillId="36" borderId="0" xfId="26" applyNumberFormat="1" applyFont="1" applyFill="1"/>
    <xf numFmtId="0" fontId="5" fillId="39" borderId="0" xfId="32" applyFill="1" applyBorder="1" applyAlignment="1">
      <alignment horizontal="center"/>
    </xf>
    <xf numFmtId="202" fontId="7" fillId="25" borderId="0" xfId="0" applyNumberFormat="1" applyFont="1" applyFill="1" applyBorder="1"/>
    <xf numFmtId="0" fontId="80" fillId="24" borderId="10" xfId="0" applyFont="1" applyFill="1" applyBorder="1" applyAlignment="1" applyProtection="1">
      <alignment horizontal="left"/>
    </xf>
    <xf numFmtId="0" fontId="42" fillId="40" borderId="0" xfId="0" applyFont="1" applyFill="1" applyBorder="1" applyAlignment="1">
      <alignment horizontal="center"/>
    </xf>
    <xf numFmtId="0" fontId="5" fillId="43" borderId="11" xfId="32" applyFill="1" applyBorder="1" applyAlignment="1">
      <alignment horizontal="center"/>
    </xf>
    <xf numFmtId="1" fontId="91" fillId="26" borderId="11" xfId="0" applyNumberFormat="1" applyFont="1" applyFill="1" applyBorder="1" applyAlignment="1" applyProtection="1">
      <alignment horizontal="center"/>
    </xf>
    <xf numFmtId="0" fontId="192" fillId="24" borderId="10" xfId="0" applyFont="1" applyFill="1" applyBorder="1" applyAlignment="1" applyProtection="1">
      <alignment horizontal="center"/>
    </xf>
    <xf numFmtId="172" fontId="130" fillId="38" borderId="0" xfId="0" applyNumberFormat="1" applyFont="1" applyFill="1" applyBorder="1" applyAlignment="1" applyProtection="1">
      <alignment horizontal="right"/>
    </xf>
    <xf numFmtId="165" fontId="5" fillId="25" borderId="0" xfId="26" applyNumberFormat="1" applyFont="1" applyFill="1" applyBorder="1" applyAlignment="1" applyProtection="1">
      <alignment horizontal="right"/>
    </xf>
    <xf numFmtId="165" fontId="10" fillId="36" borderId="0" xfId="26" applyNumberFormat="1" applyFont="1" applyFill="1" applyBorder="1" applyAlignment="1" applyProtection="1">
      <alignment horizontal="center" wrapText="1"/>
    </xf>
    <xf numFmtId="1" fontId="17" fillId="36" borderId="0" xfId="0" applyNumberFormat="1" applyFont="1" applyFill="1" applyBorder="1" applyAlignment="1" applyProtection="1">
      <alignment horizontal="center" vertical="center"/>
    </xf>
    <xf numFmtId="0" fontId="91" fillId="24" borderId="10" xfId="0" applyFont="1" applyFill="1" applyBorder="1" applyAlignment="1" applyProtection="1">
      <alignment horizontal="center"/>
    </xf>
    <xf numFmtId="1" fontId="91" fillId="26" borderId="0" xfId="0" applyNumberFormat="1" applyFont="1" applyFill="1" applyBorder="1" applyAlignment="1" applyProtection="1">
      <alignment horizontal="center"/>
    </xf>
    <xf numFmtId="1" fontId="91" fillId="24" borderId="10" xfId="0" applyNumberFormat="1" applyFont="1" applyFill="1" applyBorder="1" applyAlignment="1" applyProtection="1">
      <alignment horizontal="center"/>
    </xf>
    <xf numFmtId="168" fontId="91" fillId="24" borderId="11" xfId="26" applyNumberFormat="1" applyFont="1" applyFill="1" applyBorder="1" applyProtection="1"/>
    <xf numFmtId="1" fontId="91" fillId="24" borderId="10" xfId="0" applyNumberFormat="1" applyFont="1" applyFill="1" applyBorder="1" applyAlignment="1" applyProtection="1">
      <alignment horizontal="center" vertical="center"/>
    </xf>
    <xf numFmtId="165" fontId="5" fillId="25" borderId="0" xfId="26" applyNumberFormat="1"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pplyProtection="1">
      <alignment horizontal="center"/>
    </xf>
    <xf numFmtId="1" fontId="12" fillId="24" borderId="10" xfId="0" applyNumberFormat="1" applyFont="1" applyFill="1" applyBorder="1" applyAlignment="1" applyProtection="1">
      <alignment horizontal="center"/>
    </xf>
    <xf numFmtId="168" fontId="5" fillId="36" borderId="0" xfId="26" applyNumberFormat="1" applyFont="1" applyFill="1" applyBorder="1" applyAlignment="1" applyProtection="1">
      <alignment vertic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7" fillId="0" borderId="0" xfId="0" applyFont="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pplyProtection="1">
      <alignment horizontal="left" vertical="center"/>
    </xf>
    <xf numFmtId="174" fontId="85" fillId="29" borderId="0" xfId="0" applyNumberFormat="1" applyFont="1" applyFill="1" applyAlignment="1" applyProtection="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pplyProtection="1">
      <alignment horizontal="left" vertical="center"/>
    </xf>
    <xf numFmtId="41" fontId="36" fillId="29" borderId="0" xfId="0" applyNumberFormat="1" applyFont="1" applyFill="1" applyAlignment="1" applyProtection="1">
      <alignment horizontal="center" vertical="center"/>
    </xf>
    <xf numFmtId="0" fontId="0" fillId="29" borderId="0" xfId="0" applyFill="1" applyAlignment="1">
      <alignment vertical="center"/>
    </xf>
    <xf numFmtId="0" fontId="0" fillId="0" borderId="0" xfId="0" applyAlignment="1">
      <alignment vertical="center"/>
    </xf>
    <xf numFmtId="193" fontId="7" fillId="0" borderId="0" xfId="0" applyNumberFormat="1" applyFont="1" applyFill="1" applyProtection="1"/>
    <xf numFmtId="0" fontId="7" fillId="0" borderId="0" xfId="0" applyFont="1" applyFill="1" applyProtection="1"/>
    <xf numFmtId="0" fontId="193" fillId="36" borderId="0" xfId="0" applyFont="1" applyFill="1" applyBorder="1" applyProtection="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168" fontId="7" fillId="0" borderId="0" xfId="0" applyNumberFormat="1" applyFont="1" applyFill="1" applyProtection="1"/>
    <xf numFmtId="0" fontId="121" fillId="26" borderId="0" xfId="0" applyFont="1" applyFill="1" applyBorder="1" applyProtection="1"/>
    <xf numFmtId="168" fontId="29" fillId="78" borderId="0" xfId="0" applyNumberFormat="1" applyFont="1" applyFill="1" applyBorder="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56" fillId="39" borderId="0" xfId="26" quotePrefix="1" applyNumberFormat="1" applyFont="1" applyFill="1" applyBorder="1" applyAlignment="1" applyProtection="1">
      <alignment vertical="center"/>
    </xf>
    <xf numFmtId="168" fontId="7" fillId="0" borderId="0" xfId="0" applyNumberFormat="1" applyFont="1" applyProtection="1"/>
    <xf numFmtId="168" fontId="198" fillId="36" borderId="0" xfId="0" applyNumberFormat="1" applyFont="1" applyFill="1" applyAlignment="1">
      <alignment vertical="center"/>
    </xf>
    <xf numFmtId="0" fontId="91" fillId="40" borderId="0" xfId="0" applyFont="1" applyFill="1" applyBorder="1" applyProtection="1"/>
    <xf numFmtId="0" fontId="56" fillId="40" borderId="0" xfId="0" applyFont="1" applyFill="1" applyBorder="1" applyProtection="1"/>
    <xf numFmtId="168" fontId="130" fillId="36" borderId="0" xfId="26" applyNumberFormat="1" applyFont="1" applyFill="1" applyBorder="1" applyProtection="1"/>
    <xf numFmtId="168" fontId="131" fillId="25" borderId="0" xfId="0" applyNumberFormat="1" applyFont="1" applyFill="1" applyProtection="1"/>
    <xf numFmtId="0" fontId="5" fillId="91" borderId="0" xfId="32" applyFill="1" applyBorder="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68" fontId="200" fillId="36" borderId="0" xfId="0" applyNumberFormat="1" applyFont="1" applyFill="1"/>
    <xf numFmtId="173" fontId="7" fillId="0" borderId="0" xfId="26" applyNumberFormat="1" applyFont="1"/>
    <xf numFmtId="9" fontId="0" fillId="0" borderId="0" xfId="0" applyNumberFormat="1"/>
    <xf numFmtId="0" fontId="0" fillId="90" borderId="0" xfId="0" applyFill="1"/>
    <xf numFmtId="0" fontId="5" fillId="84" borderId="0" xfId="32" applyFill="1" applyAlignment="1">
      <alignment horizontal="center"/>
    </xf>
    <xf numFmtId="0" fontId="5" fillId="84" borderId="11" xfId="32" applyFill="1" applyBorder="1" applyAlignment="1">
      <alignment horizontal="center"/>
    </xf>
    <xf numFmtId="180" fontId="5" fillId="25" borderId="0" xfId="0" applyNumberFormat="1" applyFont="1" applyFill="1" applyBorder="1"/>
    <xf numFmtId="0" fontId="5" fillId="36" borderId="0" xfId="0" applyFont="1" applyFill="1" applyAlignment="1">
      <alignment vertical="center"/>
    </xf>
    <xf numFmtId="0" fontId="0" fillId="0" borderId="0" xfId="0" applyAlignment="1"/>
    <xf numFmtId="0" fontId="8" fillId="24" borderId="0" xfId="0" applyFont="1" applyFill="1" applyBorder="1" applyAlignment="1">
      <alignment horizontal="left"/>
    </xf>
    <xf numFmtId="0" fontId="0" fillId="0" borderId="0" xfId="0" applyBorder="1" applyAlignment="1">
      <alignment horizontal="left"/>
    </xf>
    <xf numFmtId="165" fontId="63" fillId="33" borderId="0" xfId="26" applyNumberFormat="1" applyFont="1" applyFill="1" applyBorder="1" applyAlignment="1" applyProtection="1"/>
    <xf numFmtId="0" fontId="56" fillId="26" borderId="0" xfId="0" applyFont="1" applyFill="1" applyBorder="1" applyAlignment="1" applyProtection="1">
      <alignment vertical="center" wrapText="1"/>
    </xf>
    <xf numFmtId="0" fontId="5" fillId="26" borderId="0" xfId="0" applyFont="1" applyFill="1" applyBorder="1" applyAlignment="1" applyProtection="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Border="1" applyAlignment="1">
      <alignment horizontal="center"/>
    </xf>
    <xf numFmtId="0" fontId="5" fillId="37" borderId="11" xfId="32" applyFill="1" applyBorder="1" applyAlignment="1">
      <alignment horizontal="center"/>
    </xf>
    <xf numFmtId="0" fontId="91" fillId="37" borderId="0" xfId="0" applyFont="1" applyFill="1" applyBorder="1" applyProtection="1"/>
    <xf numFmtId="0" fontId="56" fillId="37" borderId="0" xfId="0" applyFont="1" applyFill="1" applyBorder="1" applyProtection="1"/>
    <xf numFmtId="0" fontId="201" fillId="37" borderId="0" xfId="0" applyFont="1" applyFill="1" applyBorder="1" applyProtection="1"/>
    <xf numFmtId="0" fontId="91" fillId="91" borderId="0" xfId="0" applyFont="1" applyFill="1" applyBorder="1" applyProtection="1"/>
    <xf numFmtId="0" fontId="56" fillId="91" borderId="0" xfId="0" applyFont="1" applyFill="1" applyBorder="1" applyProtection="1"/>
    <xf numFmtId="0" fontId="201" fillId="91" borderId="0" xfId="0" applyFont="1" applyFill="1" applyBorder="1" applyProtection="1"/>
    <xf numFmtId="0" fontId="5" fillId="28" borderId="0" xfId="32" applyFont="1" applyFill="1" applyBorder="1" applyAlignment="1">
      <alignment horizontal="center" wrapText="1"/>
    </xf>
    <xf numFmtId="0" fontId="202" fillId="24" borderId="26" xfId="0" applyFont="1" applyFill="1" applyBorder="1" applyAlignment="1" applyProtection="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Border="1" applyAlignment="1" applyProtection="1">
      <alignment horizontal="center" vertical="center"/>
    </xf>
    <xf numFmtId="165" fontId="5" fillId="79" borderId="0" xfId="26" applyNumberFormat="1" applyFont="1" applyFill="1" applyBorder="1" applyAlignment="1" applyProtection="1">
      <alignment horizontal="right"/>
    </xf>
    <xf numFmtId="0" fontId="12" fillId="26" borderId="10" xfId="0" applyFont="1" applyFill="1" applyBorder="1" applyAlignment="1" applyProtection="1">
      <alignment horizontal="center"/>
    </xf>
    <xf numFmtId="0" fontId="0" fillId="0" borderId="0" xfId="0" applyAlignment="1"/>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0" fontId="7" fillId="0" borderId="0" xfId="0" applyFont="1" applyBorder="1" applyAlignment="1">
      <alignment vertical="center"/>
    </xf>
    <xf numFmtId="168" fontId="12" fillId="24" borderId="10" xfId="0" applyNumberFormat="1" applyFont="1" applyFill="1" applyBorder="1" applyAlignment="1">
      <alignment horizontal="left"/>
    </xf>
    <xf numFmtId="0" fontId="42" fillId="40" borderId="0" xfId="0" applyFont="1" applyFill="1" applyBorder="1" applyAlignment="1">
      <alignment horizontal="center"/>
    </xf>
    <xf numFmtId="0" fontId="203" fillId="26" borderId="0" xfId="0" applyFont="1" applyFill="1" applyBorder="1" applyProtection="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6" fillId="24" borderId="0" xfId="0" applyFont="1" applyFill="1" applyBorder="1" applyAlignment="1" applyProtection="1">
      <alignment horizontal="centerContinuous"/>
    </xf>
    <xf numFmtId="0" fontId="0" fillId="0" borderId="11" xfId="0" applyBorder="1"/>
    <xf numFmtId="0" fontId="51" fillId="26" borderId="11" xfId="0" applyFont="1" applyFill="1" applyBorder="1" applyProtection="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4" fillId="26" borderId="0" xfId="0" applyFont="1" applyFill="1" applyBorder="1" applyProtection="1"/>
    <xf numFmtId="173" fontId="83" fillId="36" borderId="0" xfId="38" applyNumberFormat="1" applyFont="1" applyFill="1" applyProtection="1"/>
    <xf numFmtId="173" fontId="204" fillId="27" borderId="0" xfId="38" applyNumberFormat="1" applyFont="1" applyFill="1" applyProtection="1">
      <protection locked="0"/>
    </xf>
    <xf numFmtId="173" fontId="204" fillId="36" borderId="0" xfId="38" applyNumberFormat="1" applyFont="1" applyFill="1" applyProtection="1"/>
    <xf numFmtId="168" fontId="205" fillId="24" borderId="0" xfId="0" applyNumberFormat="1" applyFont="1" applyFill="1" applyBorder="1" applyProtection="1"/>
    <xf numFmtId="0" fontId="205" fillId="24" borderId="0" xfId="0" applyFont="1" applyFill="1" applyBorder="1" applyProtection="1"/>
    <xf numFmtId="0" fontId="205" fillId="80" borderId="0" xfId="0" applyFont="1" applyFill="1" applyBorder="1" applyProtection="1"/>
    <xf numFmtId="0" fontId="83" fillId="80" borderId="0" xfId="0" applyFont="1" applyFill="1" applyProtection="1"/>
    <xf numFmtId="0" fontId="83" fillId="0" borderId="0" xfId="0" applyFont="1" applyProtection="1"/>
    <xf numFmtId="0" fontId="206" fillId="26" borderId="0" xfId="0" applyFont="1" applyFill="1" applyBorder="1" applyProtection="1"/>
    <xf numFmtId="173" fontId="73" fillId="36" borderId="0" xfId="38" applyNumberFormat="1" applyFont="1" applyFill="1" applyProtection="1"/>
    <xf numFmtId="168" fontId="207" fillId="24" borderId="0" xfId="0" applyNumberFormat="1" applyFont="1" applyFill="1" applyBorder="1" applyProtection="1"/>
    <xf numFmtId="0" fontId="207" fillId="24" borderId="0" xfId="0" applyFont="1" applyFill="1" applyBorder="1" applyProtection="1"/>
    <xf numFmtId="0" fontId="207" fillId="80" borderId="0" xfId="0" applyFont="1" applyFill="1" applyBorder="1" applyProtection="1"/>
    <xf numFmtId="0" fontId="73" fillId="80" borderId="0" xfId="0" applyFont="1" applyFill="1" applyProtection="1"/>
    <xf numFmtId="0" fontId="73" fillId="0" borderId="0" xfId="0" applyFont="1" applyProtection="1"/>
    <xf numFmtId="0" fontId="206" fillId="26" borderId="0" xfId="0" applyFont="1" applyFill="1" applyProtection="1"/>
    <xf numFmtId="168" fontId="207" fillId="36" borderId="0" xfId="26" applyNumberFormat="1" applyFont="1" applyFill="1" applyBorder="1" applyAlignment="1" applyProtection="1">
      <alignment horizontal="right"/>
    </xf>
    <xf numFmtId="173" fontId="208"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168" fontId="26" fillId="36" borderId="0" xfId="26" applyNumberFormat="1" applyFont="1" applyFill="1" applyBorder="1" applyAlignment="1" applyProtection="1">
      <protection locked="0"/>
    </xf>
    <xf numFmtId="0" fontId="210" fillId="26" borderId="0" xfId="0" applyFont="1" applyFill="1" applyBorder="1" applyProtection="1"/>
    <xf numFmtId="173" fontId="73" fillId="36" borderId="0" xfId="38" applyNumberFormat="1" applyFont="1" applyFill="1" applyBorder="1" applyProtection="1"/>
    <xf numFmtId="173" fontId="211" fillId="36" borderId="0" xfId="38" applyNumberFormat="1" applyFont="1" applyFill="1" applyBorder="1" applyProtection="1"/>
    <xf numFmtId="3" fontId="207" fillId="24" borderId="0" xfId="0" applyNumberFormat="1" applyFont="1" applyFill="1" applyBorder="1" applyProtection="1"/>
    <xf numFmtId="0" fontId="212" fillId="26" borderId="0" xfId="0" applyFont="1" applyFill="1" applyBorder="1" applyAlignment="1" applyProtection="1">
      <alignment wrapText="1"/>
    </xf>
    <xf numFmtId="168" fontId="207" fillId="36" borderId="0" xfId="26" applyNumberFormat="1" applyFont="1" applyFill="1" applyBorder="1" applyAlignment="1" applyProtection="1"/>
    <xf numFmtId="173" fontId="211" fillId="36" borderId="0" xfId="38" applyNumberFormat="1" applyFont="1" applyFill="1" applyProtection="1"/>
    <xf numFmtId="0" fontId="212" fillId="26" borderId="0" xfId="0" applyFont="1" applyFill="1" applyProtection="1"/>
    <xf numFmtId="0" fontId="203" fillId="26" borderId="11" xfId="0" applyFont="1" applyFill="1" applyBorder="1" applyProtection="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applyProtection="1"/>
    <xf numFmtId="0" fontId="46" fillId="90" borderId="0" xfId="0" applyFont="1" applyFill="1" applyAlignment="1">
      <alignment vertical="top"/>
    </xf>
    <xf numFmtId="170" fontId="5" fillId="26" borderId="0" xfId="26" applyNumberFormat="1" applyFont="1" applyFill="1" applyBorder="1"/>
    <xf numFmtId="168" fontId="214" fillId="36" borderId="0" xfId="0" applyNumberFormat="1" applyFont="1" applyFill="1" applyBorder="1" applyProtection="1"/>
    <xf numFmtId="0" fontId="215" fillId="36" borderId="0" xfId="0" applyFont="1" applyFill="1" applyBorder="1" applyProtection="1"/>
    <xf numFmtId="168" fontId="216" fillId="36" borderId="0" xfId="26" applyNumberFormat="1" applyFont="1" applyFill="1"/>
    <xf numFmtId="0" fontId="216" fillId="36" borderId="0" xfId="0" applyFont="1" applyFill="1"/>
    <xf numFmtId="168" fontId="122" fillId="36" borderId="0" xfId="0" applyNumberFormat="1" applyFont="1" applyFill="1" applyBorder="1" applyAlignment="1">
      <alignment horizontal="center"/>
    </xf>
    <xf numFmtId="0" fontId="56" fillId="36" borderId="0" xfId="0" applyFont="1" applyFill="1" applyBorder="1" applyAlignment="1">
      <alignment horizontal="left" vertical="center" wrapText="1"/>
    </xf>
    <xf numFmtId="170" fontId="7" fillId="25" borderId="0" xfId="0" applyNumberFormat="1" applyFont="1" applyFill="1" applyBorder="1"/>
    <xf numFmtId="1" fontId="55" fillId="24" borderId="10" xfId="0" applyNumberFormat="1" applyFont="1" applyFill="1" applyBorder="1" applyAlignment="1">
      <alignment horizontal="center"/>
    </xf>
    <xf numFmtId="0" fontId="1" fillId="0" borderId="0" xfId="151"/>
    <xf numFmtId="169" fontId="135" fillId="92" borderId="0" xfId="26" applyNumberFormat="1" applyFont="1" applyFill="1" applyBorder="1" applyProtection="1"/>
    <xf numFmtId="0" fontId="5" fillId="81" borderId="11" xfId="32" applyFill="1" applyBorder="1" applyAlignment="1">
      <alignment horizontal="center"/>
    </xf>
    <xf numFmtId="0" fontId="56" fillId="43" borderId="0" xfId="0" applyFont="1" applyFill="1" applyBorder="1" applyProtection="1"/>
    <xf numFmtId="0" fontId="192" fillId="43" borderId="0" xfId="0" applyFont="1" applyFill="1" applyBorder="1" applyProtection="1"/>
    <xf numFmtId="0" fontId="91" fillId="43" borderId="0" xfId="0" applyFont="1" applyFill="1" applyBorder="1" applyProtection="1"/>
    <xf numFmtId="0" fontId="217" fillId="36" borderId="0" xfId="0" applyFont="1" applyFill="1"/>
    <xf numFmtId="168" fontId="217" fillId="36" borderId="0" xfId="0" applyNumberFormat="1" applyFont="1" applyFill="1"/>
    <xf numFmtId="168" fontId="12" fillId="36" borderId="0" xfId="0" applyNumberFormat="1" applyFont="1" applyFill="1"/>
    <xf numFmtId="0" fontId="66" fillId="29" borderId="0" xfId="0" applyFont="1" applyFill="1" applyAlignment="1" applyProtection="1">
      <alignment horizontal="left"/>
    </xf>
    <xf numFmtId="0" fontId="57" fillId="29" borderId="0" xfId="0" applyFont="1" applyFill="1" applyAlignment="1">
      <alignment horizontal="center"/>
    </xf>
    <xf numFmtId="0" fontId="136" fillId="28" borderId="26" xfId="0" applyFont="1" applyFill="1" applyBorder="1" applyAlignment="1" applyProtection="1"/>
    <xf numFmtId="0" fontId="0" fillId="0" borderId="0" xfId="0" applyBorder="1" applyAlignment="1"/>
    <xf numFmtId="0" fontId="0" fillId="0" borderId="0" xfId="0" applyAlignment="1"/>
    <xf numFmtId="165" fontId="64" fillId="33" borderId="0" xfId="26" applyNumberFormat="1" applyFont="1" applyFill="1" applyBorder="1" applyAlignment="1" applyProtection="1">
      <alignment horizontal="center"/>
    </xf>
    <xf numFmtId="0" fontId="0" fillId="0" borderId="0" xfId="0" applyAlignment="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185" fillId="26" borderId="11" xfId="0" applyFont="1" applyFill="1" applyBorder="1" applyAlignment="1" applyProtection="1">
      <alignment wrapText="1"/>
    </xf>
    <xf numFmtId="0" fontId="0" fillId="0" borderId="11" xfId="0" applyBorder="1" applyAlignment="1"/>
    <xf numFmtId="0" fontId="14" fillId="37" borderId="11" xfId="0" applyFont="1" applyFill="1" applyBorder="1" applyAlignment="1" applyProtection="1">
      <alignment horizontal="center"/>
    </xf>
    <xf numFmtId="0" fontId="27" fillId="37" borderId="0" xfId="0" applyFont="1" applyFill="1" applyBorder="1" applyAlignment="1" applyProtection="1">
      <alignment horizontal="center" vertical="center"/>
    </xf>
    <xf numFmtId="0" fontId="65" fillId="33" borderId="0" xfId="0" applyFont="1" applyFill="1" applyBorder="1" applyAlignment="1" applyProtection="1">
      <alignment horizontal="left" wrapText="1"/>
    </xf>
    <xf numFmtId="165" fontId="101" fillId="25" borderId="26" xfId="26" applyNumberFormat="1" applyFont="1" applyFill="1" applyBorder="1" applyAlignment="1" applyProtection="1">
      <alignment horizontal="center"/>
    </xf>
    <xf numFmtId="0" fontId="55" fillId="25" borderId="26" xfId="0" applyFont="1" applyFill="1" applyBorder="1" applyAlignment="1" applyProtection="1">
      <alignment horizontal="center"/>
    </xf>
    <xf numFmtId="0" fontId="0" fillId="0" borderId="0" xfId="0" applyBorder="1" applyAlignment="1">
      <alignment horizontal="center"/>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0" fontId="50" fillId="31" borderId="11" xfId="0" applyFont="1" applyFill="1" applyBorder="1" applyAlignment="1">
      <alignment horizontal="center"/>
    </xf>
    <xf numFmtId="168" fontId="83" fillId="31" borderId="31" xfId="0" applyNumberFormat="1" applyFont="1" applyFill="1" applyBorder="1" applyAlignment="1">
      <alignment horizontal="center"/>
    </xf>
    <xf numFmtId="0" fontId="0" fillId="0" borderId="31" xfId="0" applyBorder="1" applyAlignment="1"/>
    <xf numFmtId="0" fontId="25" fillId="26" borderId="0" xfId="0" applyFont="1" applyFill="1" applyBorder="1" applyAlignment="1">
      <alignment horizontal="center"/>
    </xf>
    <xf numFmtId="1" fontId="17" fillId="24" borderId="10" xfId="0" applyNumberFormat="1" applyFont="1" applyFill="1" applyBorder="1" applyAlignment="1" applyProtection="1">
      <alignment horizontal="left" wrapText="1"/>
    </xf>
    <xf numFmtId="0" fontId="0" fillId="0" borderId="10" xfId="0" applyBorder="1" applyAlignment="1">
      <alignment wrapText="1"/>
    </xf>
    <xf numFmtId="1" fontId="17" fillId="24" borderId="10" xfId="0" applyNumberFormat="1" applyFont="1" applyFill="1" applyBorder="1" applyAlignment="1" applyProtection="1">
      <alignment horizontal="left" vertical="center" wrapText="1"/>
    </xf>
    <xf numFmtId="0" fontId="0" fillId="0" borderId="10" xfId="0" applyBorder="1" applyAlignment="1">
      <alignment vertical="center" wrapText="1"/>
    </xf>
    <xf numFmtId="165" fontId="167" fillId="77" borderId="0" xfId="26" applyNumberFormat="1"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pplyProtection="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13" xfId="0" applyFont="1" applyFill="1" applyBorder="1" applyAlignment="1">
      <alignment horizontal="center"/>
    </xf>
    <xf numFmtId="0" fontId="42" fillId="40" borderId="0"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Border="1" applyAlignment="1">
      <alignment horizontal="left"/>
    </xf>
    <xf numFmtId="0" fontId="0" fillId="0" borderId="0" xfId="0" applyBorder="1" applyAlignment="1">
      <alignment horizontal="left"/>
    </xf>
    <xf numFmtId="168" fontId="29" fillId="36" borderId="0" xfId="0" applyNumberFormat="1" applyFont="1" applyFill="1" applyBorder="1" applyAlignment="1">
      <alignment horizontal="left"/>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hartsheet" Target="chartsheets/sheet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hartsheet" Target="chartsheets/sheet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hartsheet" Target="chartsheets/sheet2.xml"/><Relationship Id="rId60"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Utvikling av rammetilskudd</a:t>
            </a:r>
            <a:r>
              <a:rPr lang="nb-NO" baseline="0"/>
              <a:t> uten inntektsutjevning 2018 - 2025</a:t>
            </a:r>
            <a:endParaRPr lang="nb-NO"/>
          </a:p>
        </c:rich>
      </c:tx>
      <c:overlay val="0"/>
    </c:title>
    <c:autoTitleDeleted val="0"/>
    <c:plotArea>
      <c:layout/>
      <c:barChart>
        <c:barDir val="col"/>
        <c:grouping val="stacked"/>
        <c:varyColors val="0"/>
        <c:ser>
          <c:idx val="0"/>
          <c:order val="0"/>
          <c:tx>
            <c:strRef>
              <c:f>Rskudd!$A$67:$B$67</c:f>
              <c:strCache>
                <c:ptCount val="2"/>
                <c:pt idx="0">
                  <c:v> Innbyggertilskudd (likt beløp pr innb) </c:v>
                </c:pt>
              </c:strCache>
            </c:strRef>
          </c:tx>
          <c:spPr>
            <a:solidFill>
              <a:srgbClr val="00B050"/>
            </a:soli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Rskudd!$C$67:$K$67</c:f>
              <c:numCache>
                <c:formatCode>_ * #\ ##0_ ;_ * \-#\ ##0_ ;_ * "-"??_ ;_ @_ </c:formatCode>
                <c:ptCount val="9"/>
                <c:pt idx="0">
                  <c:v>#N/A</c:v>
                </c:pt>
                <c:pt idx="1">
                  <c:v>#N/A</c:v>
                </c:pt>
                <c:pt idx="2">
                  <c:v>150149.72163855183</c:v>
                </c:pt>
                <c:pt idx="3">
                  <c:v>146834.83479891607</c:v>
                </c:pt>
                <c:pt idx="4">
                  <c:v>154841.11074497987</c:v>
                </c:pt>
                <c:pt idx="5">
                  <c:v>165232.59126483425</c:v>
                </c:pt>
                <c:pt idx="6">
                  <c:v>166525.29142115437</c:v>
                </c:pt>
                <c:pt idx="7">
                  <c:v>167504.66971833838</c:v>
                </c:pt>
                <c:pt idx="8">
                  <c:v>167508.16056462613</c:v>
                </c:pt>
              </c:numCache>
            </c:numRef>
          </c:val>
          <c:extLst>
            <c:ext xmlns:c16="http://schemas.microsoft.com/office/drawing/2014/chart" uri="{C3380CC4-5D6E-409C-BE32-E72D297353CC}">
              <c16:uniqueId val="{00000000-ECF1-47AC-8CF1-E6A82FA37AF8}"/>
            </c:ext>
          </c:extLst>
        </c:ser>
        <c:ser>
          <c:idx val="1"/>
          <c:order val="1"/>
          <c:tx>
            <c:strRef>
              <c:f>Rskudd!$A$68:$B$68</c:f>
              <c:strCache>
                <c:ptCount val="2"/>
                <c:pt idx="0">
                  <c:v> Utgiftsutjevningen </c:v>
                </c:pt>
              </c:strCache>
            </c:strRef>
          </c:tx>
          <c:spPr>
            <a:solidFill>
              <a:srgbClr val="FF0000"/>
            </a:soli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Rskudd!$C$68:$K$68</c:f>
              <c:numCache>
                <c:formatCode>_ * #\ ##0_ ;_ * \-#\ ##0_ ;_ * "-"??_ ;_ @_ </c:formatCode>
                <c:ptCount val="9"/>
                <c:pt idx="0">
                  <c:v>#N/A</c:v>
                </c:pt>
                <c:pt idx="1">
                  <c:v>#N/A</c:v>
                </c:pt>
                <c:pt idx="2">
                  <c:v>29758.037715705228</c:v>
                </c:pt>
                <c:pt idx="3">
                  <c:v>34138.044591092097</c:v>
                </c:pt>
                <c:pt idx="4">
                  <c:v>42441.562147826939</c:v>
                </c:pt>
                <c:pt idx="5">
                  <c:v>44901.176583663109</c:v>
                </c:pt>
                <c:pt idx="6">
                  <c:v>45169.454304881663</c:v>
                </c:pt>
                <c:pt idx="7">
                  <c:v>45102.162956344131</c:v>
                </c:pt>
                <c:pt idx="8">
                  <c:v>45102.549466177385</c:v>
                </c:pt>
              </c:numCache>
            </c:numRef>
          </c:val>
          <c:extLst>
            <c:ext xmlns:c16="http://schemas.microsoft.com/office/drawing/2014/chart" uri="{C3380CC4-5D6E-409C-BE32-E72D297353CC}">
              <c16:uniqueId val="{00000001-ECF1-47AC-8CF1-E6A82FA37AF8}"/>
            </c:ext>
          </c:extLst>
        </c:ser>
        <c:ser>
          <c:idx val="13"/>
          <c:order val="2"/>
          <c:tx>
            <c:strRef>
              <c:f>Rskudd!$A$73</c:f>
              <c:strCache>
                <c:ptCount val="1"/>
                <c:pt idx="0">
                  <c:v> Sør-Norge tilskudd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Rskudd!$C$73:$K$73</c:f>
              <c:numCache>
                <c:formatCode>_ * #\ ##0_ ;_ * \-#\ ##0_ ;_ * "-"??_ ;_ @_ </c:formatCode>
                <c:ptCount val="9"/>
                <c:pt idx="0">
                  <c:v>#N/A</c:v>
                </c:pt>
                <c:pt idx="1">
                  <c:v>#N/A</c:v>
                </c:pt>
                <c:pt idx="2">
                  <c:v>8197</c:v>
                </c:pt>
                <c:pt idx="3">
                  <c:v>8361</c:v>
                </c:pt>
                <c:pt idx="4">
                  <c:v>8335</c:v>
                </c:pt>
                <c:pt idx="5">
                  <c:v>8575</c:v>
                </c:pt>
                <c:pt idx="6">
                  <c:v>8519</c:v>
                </c:pt>
                <c:pt idx="7">
                  <c:v>8519</c:v>
                </c:pt>
                <c:pt idx="8">
                  <c:v>8519</c:v>
                </c:pt>
              </c:numCache>
            </c:numRef>
          </c:val>
          <c:extLst>
            <c:ext xmlns:c16="http://schemas.microsoft.com/office/drawing/2014/chart" uri="{C3380CC4-5D6E-409C-BE32-E72D297353CC}">
              <c16:uniqueId val="{00000002-ECF1-47AC-8CF1-E6A82FA37AF8}"/>
            </c:ext>
          </c:extLst>
        </c:ser>
        <c:ser>
          <c:idx val="5"/>
          <c:order val="3"/>
          <c:tx>
            <c:strRef>
              <c:f>Rskudd!$A$74:$B$74</c:f>
              <c:strCache>
                <c:ptCount val="2"/>
                <c:pt idx="0">
                  <c:v> Nord-Norge-tilskudd/Namdalstilskudd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Rskudd!$C$74:$K$74</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CF1-47AC-8CF1-E6A82FA37AF8}"/>
            </c:ext>
          </c:extLst>
        </c:ser>
        <c:ser>
          <c:idx val="4"/>
          <c:order val="4"/>
          <c:tx>
            <c:strRef>
              <c:f>Rskudd!$A$72:$B$72</c:f>
              <c:strCache>
                <c:ptCount val="2"/>
                <c:pt idx="0">
                  <c:v> Småkommunetillegg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Rskudd!$C$72:$K$72</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CF1-47AC-8CF1-E6A82FA37AF8}"/>
            </c:ext>
          </c:extLst>
        </c:ser>
        <c:ser>
          <c:idx val="8"/>
          <c:order val="5"/>
          <c:tx>
            <c:strRef>
              <c:f>Rskudd!$A$78:$B$78</c:f>
              <c:strCache>
                <c:ptCount val="2"/>
                <c:pt idx="0">
                  <c:v> Veksttilskudd </c:v>
                </c:pt>
              </c:strCache>
            </c:strRef>
          </c:tx>
          <c:spPr>
            <a:solidFill>
              <a:srgbClr val="7030A0"/>
            </a:soli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Rskudd!$C$78:$K$78</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CF1-47AC-8CF1-E6A82FA37AF8}"/>
            </c:ext>
          </c:extLst>
        </c:ser>
        <c:ser>
          <c:idx val="9"/>
          <c:order val="6"/>
          <c:tx>
            <c:strRef>
              <c:f>Rskudd!$A$79:$B$79</c:f>
              <c:strCache>
                <c:ptCount val="2"/>
                <c:pt idx="0">
                  <c:v> Storbytilskudd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Rskudd!$C$79:$K$79</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ECF1-47AC-8CF1-E6A82FA37AF8}"/>
            </c:ext>
          </c:extLst>
        </c:ser>
        <c:ser>
          <c:idx val="7"/>
          <c:order val="7"/>
          <c:tx>
            <c:strRef>
              <c:f>Rskudd!$A$75</c:f>
              <c:strCache>
                <c:ptCount val="1"/>
                <c:pt idx="0">
                  <c:v>  Regionsentertilskudd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Rskudd!$C$75:$K$75</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E3E-4A6A-B504-69D160C044CC}"/>
            </c:ext>
          </c:extLst>
        </c:ser>
        <c:ser>
          <c:idx val="6"/>
          <c:order val="8"/>
          <c:tx>
            <c:strRef>
              <c:f>Rskudd!$A$76:$B$76</c:f>
              <c:strCache>
                <c:ptCount val="2"/>
                <c:pt idx="0">
                  <c:v> Inndelingstilskudd m.m. </c:v>
                </c:pt>
              </c:strCache>
            </c:strRef>
          </c:tx>
          <c:spPr>
            <a:solidFill>
              <a:schemeClr val="tx2">
                <a:lumMod val="75000"/>
              </a:schemeClr>
            </a:soli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Rskudd!$C$76:$K$76</c:f>
              <c:numCache>
                <c:formatCode>_ * #\ ##0_ ;_ * \-#\ ##0_ ;_ * "-"??_ ;_ @_ </c:formatCode>
                <c:ptCount val="9"/>
                <c:pt idx="0">
                  <c:v>#N/A</c:v>
                </c:pt>
                <c:pt idx="1">
                  <c:v>#N/A</c:v>
                </c:pt>
                <c:pt idx="2">
                  <c:v>24822.926100000001</c:v>
                </c:pt>
                <c:pt idx="3">
                  <c:v>25493</c:v>
                </c:pt>
                <c:pt idx="4">
                  <c:v>26130</c:v>
                </c:pt>
                <c:pt idx="5">
                  <c:v>27097</c:v>
                </c:pt>
                <c:pt idx="6">
                  <c:v>27097</c:v>
                </c:pt>
                <c:pt idx="7">
                  <c:v>27097</c:v>
                </c:pt>
                <c:pt idx="8">
                  <c:v>27097</c:v>
                </c:pt>
              </c:numCache>
            </c:numRef>
          </c:val>
          <c:extLst>
            <c:ext xmlns:c16="http://schemas.microsoft.com/office/drawing/2014/chart" uri="{C3380CC4-5D6E-409C-BE32-E72D297353CC}">
              <c16:uniqueId val="{00000009-ECF1-47AC-8CF1-E6A82FA37AF8}"/>
            </c:ext>
          </c:extLst>
        </c:ser>
        <c:ser>
          <c:idx val="3"/>
          <c:order val="9"/>
          <c:tx>
            <c:strRef>
              <c:f>Rskudd!$A$70:$B$70</c:f>
              <c:strCache>
                <c:ptCount val="2"/>
                <c:pt idx="0">
                  <c:v> Utenfor overgangsord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Rskudd!$C$70:$K$70</c:f>
              <c:numCache>
                <c:formatCode>_ * #\ ##0_ ;_ * \-#\ ##0_ ;_ * "-"??_ ;_ @_ </c:formatCode>
                <c:ptCount val="9"/>
                <c:pt idx="0">
                  <c:v>#N/A</c:v>
                </c:pt>
                <c:pt idx="1">
                  <c:v>#N/A</c:v>
                </c:pt>
                <c:pt idx="2">
                  <c:v>3193.9147526200004</c:v>
                </c:pt>
                <c:pt idx="3">
                  <c:v>1711</c:v>
                </c:pt>
                <c:pt idx="4">
                  <c:v>1613.6053634887357</c:v>
                </c:pt>
                <c:pt idx="5">
                  <c:v>4443</c:v>
                </c:pt>
                <c:pt idx="6">
                  <c:v>4443</c:v>
                </c:pt>
                <c:pt idx="7">
                  <c:v>3579</c:v>
                </c:pt>
                <c:pt idx="8">
                  <c:v>3579</c:v>
                </c:pt>
              </c:numCache>
            </c:numRef>
          </c:val>
          <c:extLst>
            <c:ext xmlns:c16="http://schemas.microsoft.com/office/drawing/2014/chart" uri="{C3380CC4-5D6E-409C-BE32-E72D297353CC}">
              <c16:uniqueId val="{00000007-ECF1-47AC-8CF1-E6A82FA37AF8}"/>
            </c:ext>
          </c:extLst>
        </c:ser>
        <c:ser>
          <c:idx val="10"/>
          <c:order val="10"/>
          <c:tx>
            <c:strRef>
              <c:f>Rskudd!$A$80:$B$80</c:f>
              <c:strCache>
                <c:ptCount val="2"/>
                <c:pt idx="0">
                  <c:v> Skjønn med mer </c:v>
                </c:pt>
              </c:strCache>
            </c:strRef>
          </c:tx>
          <c:spPr>
            <a:solidFill>
              <a:srgbClr val="FFC000"/>
            </a:soli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Rskudd!$C$80:$K$80</c:f>
              <c:numCache>
                <c:formatCode>_ * #\ ##0_ ;_ * \-#\ ##0_ ;_ * "-"??_ ;_ @_ </c:formatCode>
                <c:ptCount val="9"/>
                <c:pt idx="0">
                  <c:v>#N/A</c:v>
                </c:pt>
                <c:pt idx="1">
                  <c:v>#N/A</c:v>
                </c:pt>
                <c:pt idx="2">
                  <c:v>30</c:v>
                </c:pt>
                <c:pt idx="3">
                  <c:v>0</c:v>
                </c:pt>
                <c:pt idx="4">
                  <c:v>0</c:v>
                </c:pt>
                <c:pt idx="5">
                  <c:v>0</c:v>
                </c:pt>
                <c:pt idx="6">
                  <c:v>0</c:v>
                </c:pt>
                <c:pt idx="7">
                  <c:v>0</c:v>
                </c:pt>
                <c:pt idx="8">
                  <c:v>0</c:v>
                </c:pt>
              </c:numCache>
            </c:numRef>
          </c:val>
          <c:extLst>
            <c:ext xmlns:c16="http://schemas.microsoft.com/office/drawing/2014/chart" uri="{C3380CC4-5D6E-409C-BE32-E72D297353CC}">
              <c16:uniqueId val="{0000000B-ECF1-47AC-8CF1-E6A82FA37AF8}"/>
            </c:ext>
          </c:extLst>
        </c:ser>
        <c:ser>
          <c:idx val="2"/>
          <c:order val="11"/>
          <c:tx>
            <c:strRef>
              <c:f>Rskudd!$A$69:$B$69</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Rskudd!$C$69:$K$69</c:f>
              <c:numCache>
                <c:formatCode>_ * #\ ##0_ ;_ * \-#\ ##0_ ;_ * "-"??_ ;_ @_ </c:formatCode>
                <c:ptCount val="9"/>
                <c:pt idx="0">
                  <c:v>#N/A</c:v>
                </c:pt>
                <c:pt idx="1">
                  <c:v>#N/A</c:v>
                </c:pt>
                <c:pt idx="2">
                  <c:v>-322.43866600000001</c:v>
                </c:pt>
                <c:pt idx="3">
                  <c:v>-223.95529289999999</c:v>
                </c:pt>
                <c:pt idx="4">
                  <c:v>-285.82580510000003</c:v>
                </c:pt>
                <c:pt idx="5">
                  <c:v>-241.51219477999999</c:v>
                </c:pt>
                <c:pt idx="6">
                  <c:v>0</c:v>
                </c:pt>
                <c:pt idx="7">
                  <c:v>0</c:v>
                </c:pt>
                <c:pt idx="8">
                  <c:v>0</c:v>
                </c:pt>
              </c:numCache>
            </c:numRef>
          </c:val>
          <c:extLst>
            <c:ext xmlns:c16="http://schemas.microsoft.com/office/drawing/2014/chart" uri="{C3380CC4-5D6E-409C-BE32-E72D297353CC}">
              <c16:uniqueId val="{00000008-ECF1-47AC-8CF1-E6A82FA37AF8}"/>
            </c:ext>
          </c:extLst>
        </c:ser>
        <c:ser>
          <c:idx val="11"/>
          <c:order val="12"/>
          <c:tx>
            <c:strRef>
              <c:f>Rskudd!$A$71</c:f>
              <c:strCache>
                <c:ptCount val="1"/>
                <c:pt idx="0">
                  <c:v> Endringer tilleggsnummer, saldert budsjett/RNB m.m </c:v>
                </c:pt>
              </c:strCache>
            </c:strRef>
          </c:tx>
          <c:invertIfNegative val="0"/>
          <c:cat>
            <c:numRef>
              <c:f>Rskudd!$C$66:$K$66</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Rskudd!$C$71:$K$71</c:f>
              <c:numCache>
                <c:formatCode>_ * #\ ##0_ ;_ * \-#\ ##0_ ;_ * "-"??_ ;_ @_ </c:formatCode>
                <c:ptCount val="9"/>
                <c:pt idx="0">
                  <c:v>#N/A</c:v>
                </c:pt>
                <c:pt idx="1">
                  <c:v>#N/A</c:v>
                </c:pt>
                <c:pt idx="2">
                  <c:v>7627</c:v>
                </c:pt>
                <c:pt idx="3">
                  <c:v>10134.5</c:v>
                </c:pt>
                <c:pt idx="4">
                  <c:v>-2251.966869920675</c:v>
                </c:pt>
                <c:pt idx="5">
                  <c:v>795.92557704791977</c:v>
                </c:pt>
                <c:pt idx="6">
                  <c:v>1742.1635422326963</c:v>
                </c:pt>
                <c:pt idx="7">
                  <c:v>1742.1635422326963</c:v>
                </c:pt>
                <c:pt idx="8">
                  <c:v>1742.1635422326963</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r"/>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Rskudd!$A$81:$B$81</c:f>
              <c:strCache>
                <c:ptCount val="2"/>
                <c:pt idx="0">
                  <c:v> Rammetilskudd </c:v>
                </c:pt>
              </c:strCache>
            </c:strRef>
          </c:tx>
          <c:invertIfNegative val="0"/>
          <c:cat>
            <c:numRef>
              <c:f>Rskudd!$C$66:$J$66</c:f>
              <c:numCache>
                <c:formatCode>0</c:formatCode>
                <c:ptCount val="8"/>
                <c:pt idx="0">
                  <c:v>2018</c:v>
                </c:pt>
                <c:pt idx="1">
                  <c:v>2019</c:v>
                </c:pt>
                <c:pt idx="2">
                  <c:v>2020</c:v>
                </c:pt>
                <c:pt idx="3">
                  <c:v>2021</c:v>
                </c:pt>
                <c:pt idx="4">
                  <c:v>2022</c:v>
                </c:pt>
                <c:pt idx="5">
                  <c:v>2023</c:v>
                </c:pt>
                <c:pt idx="6">
                  <c:v>2024</c:v>
                </c:pt>
                <c:pt idx="7">
                  <c:v>2025</c:v>
                </c:pt>
              </c:numCache>
            </c:numRef>
          </c:cat>
          <c:val>
            <c:numRef>
              <c:f>Rskudd!$C$81:$J$81</c:f>
              <c:numCache>
                <c:formatCode>_ * #\ ##0_ ;_ * \-#\ ##0_ ;_ * "-"??_ ;_ @_ </c:formatCode>
                <c:ptCount val="8"/>
                <c:pt idx="0">
                  <c:v>#N/A</c:v>
                </c:pt>
                <c:pt idx="1">
                  <c:v>#N/A</c:v>
                </c:pt>
                <c:pt idx="2">
                  <c:v>223456.16154087707</c:v>
                </c:pt>
                <c:pt idx="3">
                  <c:v>226448.42409710816</c:v>
                </c:pt>
                <c:pt idx="4">
                  <c:v>230823.4855812749</c:v>
                </c:pt>
                <c:pt idx="5">
                  <c:v>250803.1812307653</c:v>
                </c:pt>
                <c:pt idx="6">
                  <c:v>253495.90926826873</c:v>
                </c:pt>
                <c:pt idx="7">
                  <c:v>253543.99621691523</c:v>
                </c:pt>
              </c:numCache>
            </c:numRef>
          </c:val>
          <c:extLst>
            <c:ext xmlns:c16="http://schemas.microsoft.com/office/drawing/2014/chart" uri="{C3380CC4-5D6E-409C-BE32-E72D297353CC}">
              <c16:uniqueId val="{00000000-5938-4FD5-AD32-8999FC80D182}"/>
            </c:ext>
          </c:extLst>
        </c:ser>
        <c:ser>
          <c:idx val="1"/>
          <c:order val="1"/>
          <c:tx>
            <c:strRef>
              <c:f>Rskudd!$A$82:$B$82</c:f>
              <c:strCache>
                <c:ptCount val="2"/>
                <c:pt idx="0">
                  <c:v> Skatter m inntektsutj </c:v>
                </c:pt>
              </c:strCache>
            </c:strRef>
          </c:tx>
          <c:invertIfNegative val="0"/>
          <c:cat>
            <c:numRef>
              <c:f>Rskudd!$C$66:$J$66</c:f>
              <c:numCache>
                <c:formatCode>0</c:formatCode>
                <c:ptCount val="8"/>
                <c:pt idx="0">
                  <c:v>2018</c:v>
                </c:pt>
                <c:pt idx="1">
                  <c:v>2019</c:v>
                </c:pt>
                <c:pt idx="2">
                  <c:v>2020</c:v>
                </c:pt>
                <c:pt idx="3">
                  <c:v>2021</c:v>
                </c:pt>
                <c:pt idx="4">
                  <c:v>2022</c:v>
                </c:pt>
                <c:pt idx="5">
                  <c:v>2023</c:v>
                </c:pt>
                <c:pt idx="6">
                  <c:v>2024</c:v>
                </c:pt>
                <c:pt idx="7">
                  <c:v>2025</c:v>
                </c:pt>
              </c:numCache>
            </c:numRef>
          </c:cat>
          <c:val>
            <c:numRef>
              <c:f>Rskudd!$C$82:$J$82</c:f>
              <c:numCache>
                <c:formatCode>_ * #\ ##0_ ;_ * \-#\ ##0_ ;_ * "-"??_ ;_ @_ </c:formatCode>
                <c:ptCount val="8"/>
                <c:pt idx="0">
                  <c:v>#N/A</c:v>
                </c:pt>
                <c:pt idx="1">
                  <c:v>#N/A</c:v>
                </c:pt>
                <c:pt idx="2">
                  <c:v>177464</c:v>
                </c:pt>
                <c:pt idx="3">
                  <c:v>203862</c:v>
                </c:pt>
                <c:pt idx="4">
                  <c:v>224855</c:v>
                </c:pt>
                <c:pt idx="5">
                  <c:v>202540</c:v>
                </c:pt>
                <c:pt idx="6">
                  <c:v>203835</c:v>
                </c:pt>
                <c:pt idx="7">
                  <c:v>203835</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33424.046652811492</c:v>
                </c:pt>
                <c:pt idx="5">
                  <c:v>30738.599004610263</c:v>
                </c:pt>
                <c:pt idx="6">
                  <c:v>32252.583969539046</c:v>
                </c:pt>
                <c:pt idx="7">
                  <c:v>32252.583969539046</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4790.629147108938</c:v>
                </c:pt>
                <c:pt idx="5">
                  <c:v>3948.7473500599285</c:v>
                </c:pt>
                <c:pt idx="6">
                  <c:v>2656.6512213395958</c:v>
                </c:pt>
                <c:pt idx="7">
                  <c:v>2656.6512213395958</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0.82424762538226648</c:v>
                </c:pt>
                <c:pt idx="5">
                  <c:v>0.83774460686439844</c:v>
                </c:pt>
                <c:pt idx="6">
                  <c:v>0.87534226608942223</c:v>
                </c:pt>
                <c:pt idx="7">
                  <c:v>0.87534226608942223</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91"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chemeClr val="tx1"/>
              </a:solidFill>
              <a:effectLst/>
              <a:latin typeface="+mn-lt"/>
              <a:ea typeface="+mn-ea"/>
              <a:cs typeface="+mn-cs"/>
            </a:rPr>
            <a:t>KS har oppdatert prognosemodellen basert på avtale på Stortinget om statsbudsjett 2023 mellom regjeringspartiene og SV, samt regjeringens forslag til endringer i statsbudsjettet 2022 under Kommunal- og distriktsdepartementet i Prop. 23 S (2022-2023).</a:t>
          </a: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chemeClr val="tx1"/>
              </a:solidFill>
              <a:effectLst/>
              <a:latin typeface="+mn-lt"/>
              <a:ea typeface="+mn-ea"/>
              <a:cs typeface="+mn-cs"/>
            </a:rPr>
            <a:t>I tillegg er det innarbeidet en økning av skatteanslaget for 2022 med 8,9 mrd. kroner til 220 mrd. kroner, basert på anslag som KS selv har laget. I anslaget er det tatt utgangspunkt i at skatteinntektene per oktober for kommunene samlet var nesten 15 mrd. kroner høyere enn tilsvarende måned i fjor (tilsvarer tilnærmet forventet skattevekst på årsbasis), samtidig som korrigert fordelingsoppgjør og marginoppgjør som posteres i november ligger an til å gi betydelig merskatteinngang sammenlignet med fjoråret. Hoveddelen av skatteveksten i 2022 er for øvrig knyttet til fjorårets skatter (skatteåret 2021).</a:t>
          </a:r>
        </a:p>
        <a:p>
          <a:pPr eaLnBrk="1" fontAlgn="auto" latinLnBrk="0" hangingPunct="1"/>
          <a:endParaRPr kumimoji="0" lang="nb-NO" sz="1100" b="0" i="0" u="none" strike="noStrike" kern="0" cap="none" spc="0" normalizeH="0" baseline="0" noProof="0">
            <a:ln>
              <a:noFill/>
            </a:ln>
            <a:solidFill>
              <a:schemeClr val="tx1"/>
            </a:solidFill>
            <a:effectLst/>
            <a:uLnTx/>
            <a:uFillTx/>
            <a:latin typeface="+mn-lt"/>
            <a:ea typeface="+mn-ea"/>
            <a:cs typeface="+mn-cs"/>
          </a:endParaRPr>
        </a:p>
        <a:p>
          <a:pPr eaLnBrk="1" fontAlgn="auto" latinLnBrk="0" hangingPunct="1"/>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2022 og 2023,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For 2022 er det i tillegg sett hen til hvordan 	utbytteinntekter fordeler seg mellom kommunene, og fra 2024 er anslag for naturressursskatt fra landbasert vindkraft og havbruk søkt innarbeidet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1.1.2023 (basert på SSBs befolkningsframskrivinger)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G51 i arkfanen 'Gdata' og eventuelt erstatte dette med deres 	beste anslag. Best mulig tall her er viktig bl.a. for beregning av inntektsutjevningen. Det modellgenererte forslaget for folketall 1.1.2023 i modellen er et estimat, jf. også omtale i arkfanen 	"Forutsetninger". I modellen angis også et forventet folketall i landet per 1.1.2023 ('Gdata celle F83) beregnet på samme måte som kommunetallene (dvs. med SSBs befolkningsframskrivninger).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2024 - 2026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i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513292</xdr:colOff>
      <xdr:row>1</xdr:row>
      <xdr:rowOff>55056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640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Prognosemodellen er oppdatert på grunnlag av avtal på Stortinget mellom regjeringspartiene og SV om statsbudsjett 2023 og regjeringens forslag til endringer i statsbudsjettet 2022 under Kommunal- og distriktsdepartementet i Prop 23 S (2022-2023).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I tillegg har KS, på basis av egne prognoser, innarbeidet en oppjustering av skatteanslaget for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ysClr val="windowText" lastClr="000000"/>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ysClr val="windowText" lastClr="000000"/>
              </a:solidFill>
              <a:effectLst/>
              <a:uLnTx/>
              <a:uFillTx/>
              <a:latin typeface="+mn-lt"/>
              <a:ea typeface="+mn-ea"/>
              <a:cs typeface="+mn-cs"/>
            </a:rPr>
            <a:t>Prop 23 S (2022-2023)</a:t>
          </a: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a) Regjeringen foreslår at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G22 i arkfanen Rskudd.</a:t>
          </a:r>
          <a:br>
            <a:rPr kumimoji="0" lang="nb-NO" sz="1400" b="0" i="0" u="none" strike="noStrike" kern="0" cap="none" spc="0" normalizeH="0" baseline="0" noProof="0">
              <a:ln>
                <a:noFill/>
              </a:ln>
              <a:solidFill>
                <a:prstClr val="black"/>
              </a:solidFill>
              <a:effectLst/>
              <a:uLnTx/>
              <a:uFillTx/>
              <a:latin typeface="+mn-lt"/>
              <a:ea typeface="+mn-ea"/>
              <a:cs typeface="+mn-cs"/>
            </a:rPr>
          </a:b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 foreslås det at 2,0 mrd. kroner skal fordeles av statsforvalterne som skjønnsmidler. Regjeringen begrunner dette med at det er behov for å målrette deler av kompensasjonen mot kommuner som har hatt de største utfordringene og utgiftene under pandemien. Statsforvalterenes fordeling er ikke kjent, og har derfor ikke kunnet innarbeides i modellen.</a:t>
          </a:r>
          <a:br>
            <a:rPr kumimoji="0" lang="nb-NO" sz="1400" b="0" i="0" u="none" strike="noStrike" kern="0" cap="none" spc="0" normalizeH="0" baseline="0" noProof="0">
              <a:ln>
                <a:noFill/>
              </a:ln>
              <a:solidFill>
                <a:prstClr val="black"/>
              </a:solidFill>
              <a:effectLst/>
              <a:uLnTx/>
              <a:uFillTx/>
              <a:latin typeface="+mn-lt"/>
              <a:ea typeface="+mn-ea"/>
              <a:cs typeface="+mn-cs"/>
            </a:rPr>
          </a:br>
          <a:r>
            <a:rPr kumimoji="0" lang="nb-NO" sz="1400" b="0" i="0" u="none" strike="noStrike" kern="0" cap="none" spc="0" normalizeH="0" baseline="0" noProof="0">
              <a:ln>
                <a:noFill/>
              </a:ln>
              <a:solidFill>
                <a:prstClr val="black"/>
              </a:solidFill>
              <a:effectLst/>
              <a:uLnTx/>
              <a:uFillTx/>
              <a:latin typeface="+mn-lt"/>
              <a:ea typeface="+mn-ea"/>
              <a:cs typeface="+mn-cs"/>
            </a:rPr>
            <a:t>KS legger opp til en oppdatering av prognosemodellen så snart fordelingen er kjent (info om oppdateringen vil ikke bli varslet per epost), og bevilgningen vil etter oppdateringen framkomme i celle G48 i Rskudd.</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b) I prop 23 S foreslås det videre en bevilgning over rammetilskuddet på 264 mill. kroner for å dekke kommunenes utgifter til vaksinasjon, og som fordeles med et likt beløp per innbygger. I prognosemodellen framkommer denne bevilgningen i celle G61 i arkfanen Bregn, og bevilgningen inngår i celle G22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prstClr val="black"/>
              </a:solidFill>
              <a:effectLst/>
              <a:uLnTx/>
              <a:uFillTx/>
              <a:latin typeface="+mn-lt"/>
              <a:ea typeface="+mn-ea"/>
              <a:cs typeface="+mn-cs"/>
            </a:rPr>
            <a:t>c) Det foreslås en økning av skjønnsrammen for å kunne kompensere Lavangen kommune for ekstraordinære utgifter til barnevernstiltak. Bevilgningen er ikke innarbeidet ved denne oppdateringen av modellen, men vil innarbeides når skjønnstilskuddet utbetales fra departementet.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ysClr val="windowText" lastClr="000000"/>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ysClr val="windowText" lastClr="000000"/>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Av budsjettavtalen på Stortinget mellom regjeringen og SV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 det fra skoleåret 2023/24 skal innføres gratis plass på SFO på 2. trinn med inntil 12 timer per uke. Av avtaleteksten mellom partiene framgår det videre elever som mottar tilbud om 12 timers gratis SFO fra skoleåret 2023-24 skal få mulighet til å delta alle ukedager skolen har SFO-tilbud, så langt det er praktisk mulig. Rammetilskuddet for 2023 økes som følge av dette med 690 mill. kroner, og i prognosemodellen er det lagt til grunn at bevilgningen vil fordeles etter delkostandsnøkkel for grunnskole. Det er i modellen også innarbeidet helårseffekt av endringen fra og med 2024.</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Økningen i rammetilskuddet for den enkelte kommune inngår i prognosemodellen i linje 28 i arkfanen "Rskudd", men er spesifisert i arkfanen "Bregn" linje 65.</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b) barnetillegget på kvalifikasjonsprogrammet skal oppjusteres til 35 kroner dagen 1. februar 2023, og kommunenes rammetilskudd økes med 10 mill. kroner for å kompensere for dette. Det fremgår ikke av budjsettavtalen hvordan beløpet skal fordeles, men i prognosemodellen er det lagt til grunn at fordelingen vil skje etter delkostandsnøkkelen for sosial. I modellen inngår kommunens andel av bevilgningen i linje 28 i arkfanen "Rskudd", men beløpet er spesifisert i arkfanen "Bregn" linje 66.</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c) det gjøres endringer i skatteopplegget (bunnfradrag i inntektsskatt, BSU ordningen og verdsettelse av boliger), og samlet sett anslås det at dette vil øke kommunenes skatteinntekter med 135 mill. kroner i 2023. Skatteanslaget for kommunene i prognosemodellen er oppjustert med dette beløpet.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Budsjettavtalen mellom regjeringspartiene og SV inneholder flere punkter som vedrører kommunenes tjenester (uten at det har økonomisk effekt i første omgang). Det anbefales å lese avtaletekstene som dere bl.a. kan finne her: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0070C0"/>
              </a:solidFill>
              <a:effectLst/>
              <a:uLnTx/>
              <a:uFillTx/>
              <a:latin typeface="+mn-lt"/>
              <a:ea typeface="+mn-ea"/>
              <a:cs typeface="+mn-cs"/>
            </a:rPr>
            <a:t>https://www.sv.no/blog/2022/11/29/mange-sv-seirer-i-enighet-om-statsbudsjett/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Denne oppdatering av prognosemodellen bygger forøvrig på tidligere prognosemodellen som er utarbeidet etter at forslag til statsbudsjettet for 2023 ble lagt fram (prok2204KS). Forutsetningene og premissene som lå til grunn i disse modellen er gjengitt nedenfor, og gjelder fortsatt med mindre annet følger av det som er omtalt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2205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1) Modellen er basert på regjeringens forslag til statsbudsjett for 2023. </a:t>
          </a:r>
          <a:br>
            <a:rPr kumimoji="0" lang="nb-NO" sz="18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Modellen er en pilot.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2) </a:t>
          </a:r>
          <a:r>
            <a:rPr kumimoji="0" lang="nb-NO" sz="1800" b="1" i="0" u="none" strike="noStrike" kern="0" cap="none" spc="0" normalizeH="0" baseline="0" noProof="0">
              <a:ln>
                <a:noFill/>
              </a:ln>
              <a:solidFill>
                <a:schemeClr val="accent1"/>
              </a:solidFill>
              <a:effectLst/>
              <a:uLnTx/>
              <a:uFillTx/>
              <a:latin typeface="+mn-lt"/>
              <a:ea typeface="+mn-ea"/>
              <a:cs typeface="+mn-cs"/>
            </a:rPr>
            <a:t>Endringer i det økonomiske opplegget for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chemeClr val="accent1"/>
              </a:solidFill>
              <a:effectLst/>
              <a:uLnTx/>
              <a:uFillTx/>
              <a:latin typeface="+mn-lt"/>
              <a:ea typeface="+mn-ea"/>
              <a:cs typeface="+mn-cs"/>
            </a:rPr>
            <a:t>er oppjustert med 2 mrd. kroner sammenlignet med RNB, </a:t>
          </a:r>
          <a:r>
            <a:rPr kumimoji="0" lang="nb-NO" sz="1400" b="1" i="0" u="none" strike="noStrike" kern="0" cap="none" spc="0" normalizeH="0" baseline="0" noProof="0">
              <a:ln>
                <a:noFill/>
              </a:ln>
              <a:solidFill>
                <a:schemeClr val="accent1"/>
              </a:solidFill>
              <a:effectLst/>
              <a:uLnTx/>
              <a:uFillTx/>
              <a:latin typeface="+mn-lt"/>
              <a:ea typeface="+mn-ea"/>
              <a:cs typeface="+mn-cs"/>
            </a:rPr>
            <a:t>til 211,18 mrd. kroner.</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Det gjøres oppmerksom på at det i tabell 2.3 i Kommunal- og distriktsdepartementet fagproposisjon til statsbudsjett 2023 er oppgitt et tall på 199,78 mrd. kroner som oppgavekorrigerte skatteinntekter for 2022. Oppgavekorrigeringen (forskjellen mellom 211,18 og 199,78 mrd. kroner) er knyttet til oppjustering av skatteinntekter i RNB på 11,4 mrd. kroner som følge av ekstraordinært høye utbytter som ikke skal videreføres til 2023. Dette gjøres for å få direkte sammenlignbare tall mellom 2022 og 2023. Forventet skatteinngang for 2022 er dermed 11,4 mrd. kroner høyere enn det som fremgår av tabell 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 av skatteanslaget i statsbudsjettet fra 209,2 til 211,8 mrd. kroner påvirker kun inntektene i 2022. Dette har sammenheng med at nivået på kommunens skatteinntekter i 2023 fastsettes med utgangspunkt i skattenivået fra RNB fratrukket 1,7 mrd. kroner knyttet til ekstraordinær skatt på utbytte som beholdes i 2022, men ikke videreføres til 2023 (jf. Forutsetninger i Kommuneproposisjonen for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dirty="0">
              <a:ln>
                <a:noFill/>
              </a:ln>
              <a:solidFill>
                <a:schemeClr val="accent1"/>
              </a:solidFill>
              <a:effectLst/>
              <a:uLnTx/>
              <a:uFillTx/>
              <a:latin typeface="+mn-lt"/>
              <a:ea typeface="+mn-ea"/>
              <a:cs typeface="+mn-cs"/>
            </a:rPr>
            <a:t>Prisveksten har på den annen side vært betydelig høyere enn anslått i RNB, blant annet som følge av økte priser på elektrisitet og byggevarer. Samlet sett fører dette til at regjeringen oppjusterer anslaget for </a:t>
          </a:r>
          <a:r>
            <a:rPr kumimoji="0" lang="nb-NO" sz="1400" b="1" i="0" u="none" strike="noStrike" kern="0" cap="none" spc="0" normalizeH="0" baseline="0" noProof="0" dirty="0">
              <a:ln>
                <a:noFill/>
              </a:ln>
              <a:solidFill>
                <a:schemeClr val="accent1"/>
              </a:solidFill>
              <a:effectLst/>
              <a:uLnTx/>
              <a:uFillTx/>
              <a:latin typeface="+mn-lt"/>
              <a:ea typeface="+mn-ea"/>
              <a:cs typeface="+mn-cs"/>
            </a:rPr>
            <a:t>lønns- og prisveksten i kommunal sektor i 2022</a:t>
          </a:r>
          <a:r>
            <a:rPr kumimoji="0" lang="nb-NO" sz="1400" b="0" i="0" u="none" strike="noStrike" kern="0" cap="none" spc="0" normalizeH="0" baseline="0" noProof="0" dirty="0">
              <a:ln>
                <a:noFill/>
              </a:ln>
              <a:solidFill>
                <a:schemeClr val="accent1"/>
              </a:solidFill>
              <a:effectLst/>
              <a:uLnTx/>
              <a:uFillTx/>
              <a:latin typeface="+mn-lt"/>
              <a:ea typeface="+mn-ea"/>
              <a:cs typeface="+mn-cs"/>
            </a:rPr>
            <a:t> med 1,6 prosentpoeng til </a:t>
          </a:r>
          <a:r>
            <a:rPr kumimoji="0" lang="nb-NO" sz="1400" b="1" i="0" u="none" strike="noStrike" kern="0" cap="none" spc="0" normalizeH="0" baseline="0" noProof="0" dirty="0">
              <a:ln>
                <a:noFill/>
              </a:ln>
              <a:solidFill>
                <a:schemeClr val="accent1"/>
              </a:solidFill>
              <a:effectLst/>
              <a:uLnTx/>
              <a:uFillTx/>
              <a:latin typeface="+mn-lt"/>
              <a:ea typeface="+mn-ea"/>
              <a:cs typeface="+mn-cs"/>
            </a:rPr>
            <a:t>5,3 prosent</a:t>
          </a:r>
          <a:r>
            <a:rPr kumimoji="0" lang="nb-NO" sz="1400" b="0" i="0" u="none" strike="noStrike" kern="0" cap="none" spc="0" normalizeH="0" baseline="0" noProof="0" dirty="0">
              <a:ln>
                <a:noFill/>
              </a:ln>
              <a:solidFill>
                <a:schemeClr val="accent1"/>
              </a:solidFill>
              <a:effectLst/>
              <a:uLnTx/>
              <a:uFillTx/>
              <a:latin typeface="+mn-lt"/>
              <a:ea typeface="+mn-ea"/>
              <a:cs typeface="+mn-cs"/>
            </a:rPr>
            <a:t>. Denne oppjusteringen medfører en økning av kostnadsnivået i kommunesektoren med om lag 7,1 mrd. kroner, som videreføres til 2023 uten ekstra finansiering. Anslaget for lønns- og prisveksten i 2023 er beregnet ut fra det oppjusterte kostnadsnivået for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a:t>
          </a:r>
          <a:r>
            <a:rPr kumimoji="0" lang="nb-NO" sz="1400" b="1" i="0" u="none" strike="noStrike" kern="0" cap="none" spc="0" normalizeH="0" baseline="0" noProof="0">
              <a:ln>
                <a:noFill/>
              </a:ln>
              <a:solidFill>
                <a:schemeClr val="accent1"/>
              </a:solidFill>
              <a:effectLst/>
              <a:uLnTx/>
              <a:uFillTx/>
              <a:latin typeface="+mn-lt"/>
              <a:ea typeface="+mn-ea"/>
              <a:cs typeface="+mn-cs"/>
            </a:rPr>
            <a:t>ingen justering i bevilgningene relatert til covid-19 utgifter for første halvår 2022</a:t>
          </a:r>
          <a:r>
            <a:rPr kumimoji="0" lang="nb-NO" sz="1400" b="0" i="0" u="none" strike="noStrike" kern="0" cap="none" spc="0" normalizeH="0" baseline="0" noProof="0">
              <a:ln>
                <a:noFill/>
              </a:ln>
              <a:solidFill>
                <a:schemeClr val="accent1"/>
              </a:solidFill>
              <a:effectLst/>
              <a:uLnTx/>
              <a:uFillTx/>
              <a:latin typeface="+mn-lt"/>
              <a:ea typeface="+mn-ea"/>
              <a:cs typeface="+mn-cs"/>
            </a:rPr>
            <a:t> i tilknytning til statsbudsjettet for 2023, men orienterer om at dette er en sak de vil komme tilbake til nysalderingen av statsbudsjettet for 2022 i november.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3) </a:t>
          </a:r>
          <a:r>
            <a:rPr kumimoji="0" lang="nb-NO" sz="1800" b="1" i="0" u="none" strike="noStrike" kern="0" cap="none" spc="0" normalizeH="0" baseline="0" noProof="0">
              <a:ln>
                <a:noFill/>
              </a:ln>
              <a:solidFill>
                <a:schemeClr val="accent1"/>
              </a:solidFill>
              <a:effectLst/>
              <a:uLnTx/>
              <a:uFillTx/>
              <a:latin typeface="+mn-lt"/>
              <a:ea typeface="+mn-ea"/>
              <a:cs typeface="+mn-cs"/>
            </a:rPr>
            <a:t>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statsbudsjettet legges det opp til en realvekst i kommunenes frie inntekter i 2022 med omlag 1,7 mrd. kroner. Dette er over det intervallet som ble angitt i kommuneproposisjonen for 2023. Oppjusteringen må ses i sammenheng med at anslaget for demografikostnader som finansieres med frie inntekter er økt med 0,9 mrd. kroner som følge av SSBs nye befolkningsframskrivinger fra juli 2022. På den annen side ligger det nå an til at pensjonskostnadene vil bli 0,1 mrd. kroner lavere enn lønnsveksten, mens det i kommuneproposisjonen ble lagt til grunn at pensjonskostnadene ville utvikle seg i takt med lønnsveksten.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ikke knyttet forventninger til at statlige satsinger og prioriteringer skal finansieres innenfor realveksten i 2023.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ingen endring i måltallet for skattenes andel av samlede inntekter, med andre ord skal disse også i 2023 utgjøre 40 prosent av samlede inntekter. For å oppnå dette inntektsmålet foreslås den kommunale inntektsskattøren økt med 0,2 prosentpoeng til 11,15 prosent for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Lønns- og prisveksten fra 2022 til 2023 (deflatoren) anslås til 3,7 prosent. Årslønnsveksten anslås til 4,2 pst (utgjør i underkant av 60 % av deflatoren), og den kommunale prisveksten ut fra dette kan anslås til i størrelsesorden 3,0 prosent.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Oppgaveendringer og korreksjoner i budsjettopplegget rammetilskudd 2023 </a:t>
          </a:r>
          <a:r>
            <a:rPr kumimoji="0" lang="nb-NO" sz="1400" b="0" i="0" u="none" strike="noStrike" kern="0" cap="none" spc="0" normalizeH="0" baseline="0" noProof="0">
              <a:ln>
                <a:noFill/>
              </a:ln>
              <a:solidFill>
                <a:schemeClr val="accent1"/>
              </a:solidFill>
              <a:effectLst/>
              <a:uLnTx/>
              <a:uFillTx/>
              <a:latin typeface="+mn-lt"/>
              <a:ea typeface="+mn-ea"/>
              <a:cs typeface="+mn-cs"/>
            </a:rPr>
            <a:t>- (jfr. arkfanen R23 i prognosemodellen)</a:t>
          </a:r>
          <a:r>
            <a:rPr kumimoji="0" lang="nb-NO" sz="1400" b="1" i="0" u="none" strike="noStrike" kern="0" cap="none" spc="0" normalizeH="0" baseline="0" noProof="0">
              <a:ln>
                <a:noFill/>
              </a:ln>
              <a:solidFill>
                <a:schemeClr val="accent1"/>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budsjettopplegget for 2023 er det foretatt følgende direkte justeringer i budsjettrammene (oppgaveendringer og korreksjoner), som kommer i tillegg til realveksten.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Barnehage</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 foreldrebetaling</a:t>
          </a:r>
          <a:r>
            <a:rPr kumimoji="0" lang="nb-NO" sz="1400" b="0" i="0" u="none" strike="noStrike" kern="0" cap="none" spc="0" normalizeH="0" baseline="0" noProof="0">
              <a:ln>
                <a:noFill/>
              </a:ln>
              <a:solidFill>
                <a:schemeClr val="accent1"/>
              </a:solidFill>
              <a:effectLst/>
              <a:uLnTx/>
              <a:uFillTx/>
              <a:latin typeface="+mn-lt"/>
              <a:ea typeface="+mn-ea"/>
              <a:cs typeface="+mn-cs"/>
            </a:rPr>
            <a:t> foreslås redusert til kroner 3 000 per måned fra 1. januar 2023. For å kompensere kommunene for inntektsbortfallet økes rammetilskuddet med 329 mill. kroner fordelt etter delkostnadsnøkkel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Gratis barnehageplass fra tredje barn i familien</a:t>
          </a:r>
          <a:r>
            <a:rPr kumimoji="0" lang="nb-NO" sz="1400" b="0" i="0" u="none" strike="noStrike" kern="0" cap="none" spc="0" normalizeH="0" baseline="0" noProof="0">
              <a:ln>
                <a:noFill/>
              </a:ln>
              <a:solidFill>
                <a:schemeClr val="accent1"/>
              </a:solidFill>
              <a:effectLst/>
              <a:uLnTx/>
              <a:uFillTx/>
              <a:latin typeface="+mn-lt"/>
              <a:ea typeface="+mn-ea"/>
              <a:cs typeface="+mn-cs"/>
            </a:rPr>
            <a:t> som går i barnehage samtidig foreslås innført fra 1. august 2023. For å kompensere for kommunenes inntektsbortfall i 2023 er rammetilskuddet økt med 20 mill. kroner i 2023, fordelt etter delkostnadsnøkkel for barnehage. Helårseffekt av dette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I forbindelse med at </a:t>
          </a:r>
          <a:r>
            <a:rPr kumimoji="0" lang="nb-NO" sz="1400" b="1" i="1" u="none" strike="noStrike" kern="0" cap="none" spc="0" normalizeH="0" baseline="0" noProof="0">
              <a:ln>
                <a:noFill/>
              </a:ln>
              <a:solidFill>
                <a:schemeClr val="accent1"/>
              </a:solidFill>
              <a:effectLst/>
              <a:uLnTx/>
              <a:uFillTx/>
              <a:latin typeface="+mn-lt"/>
              <a:ea typeface="+mn-ea"/>
              <a:cs typeface="+mn-cs"/>
            </a:rPr>
            <a:t>pensjonspåslaget for private barnehager </a:t>
          </a:r>
          <a:r>
            <a:rPr kumimoji="0" lang="nb-NO" sz="1400" b="0" i="0" u="none" strike="noStrike" kern="0" cap="none" spc="0" normalizeH="0" baseline="0" noProof="0">
              <a:ln>
                <a:noFill/>
              </a:ln>
              <a:solidFill>
                <a:schemeClr val="accent1"/>
              </a:solidFill>
              <a:effectLst/>
              <a:uLnTx/>
              <a:uFillTx/>
              <a:latin typeface="+mn-lt"/>
              <a:ea typeface="+mn-ea"/>
              <a:cs typeface="+mn-cs"/>
            </a:rPr>
            <a:t>ble redusert fra 13 prosent til 10 prosent fra 1. januar 2022 ble det innført en treårig overgangsordning for enkeltstående barnehager. Siden pensjonspåslaget for enkeltstående barnehager trappes videre ned i 2023 reduseres rammetilskuddet med 53 mill. kroner i 2023, fordelt etter delkostnadsnøkkel for barnehage. I prognosemodellen er det innarbeidet en ytterligere nedtrapping i 2024.</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(iv) </a:t>
          </a:r>
          <a:r>
            <a:rPr kumimoji="0" lang="nb-NO" sz="1400" b="1" i="1" u="none" strike="noStrike" kern="0" cap="none" spc="0" normalizeH="0" baseline="0" noProof="0">
              <a:ln>
                <a:noFill/>
              </a:ln>
              <a:solidFill>
                <a:schemeClr val="accent1"/>
              </a:solidFill>
              <a:effectLst/>
              <a:uLnTx/>
              <a:uFillTx/>
              <a:latin typeface="+mn-lt"/>
              <a:ea typeface="+mn-ea"/>
              <a:cs typeface="+mn-cs"/>
            </a:rPr>
            <a:t>Gratis barnehage i tiltakssonen i Troms og Finnmark</a:t>
          </a:r>
          <a:r>
            <a:rPr kumimoji="0" lang="nb-NO" sz="1400" b="0" i="0" u="none" strike="noStrike" kern="0" cap="none" spc="0" normalizeH="0" baseline="0" noProof="0">
              <a:ln>
                <a:noFill/>
              </a:ln>
              <a:solidFill>
                <a:schemeClr val="accent1"/>
              </a:solidFill>
              <a:effectLst/>
              <a:uLnTx/>
              <a:uFillTx/>
              <a:latin typeface="+mn-lt"/>
              <a:ea typeface="+mn-ea"/>
              <a:cs typeface="+mn-cs"/>
            </a:rPr>
            <a:t> foreslås innført for 1-5 åringer fra 1. august 2023, for å gjøre regionen mer attraktiv å bo og arbeide i. Som kompensasjon for kommunenes inntektsbortfall økes rammetilskuddet med 77 mill. kroner som fordeles særskilt (tabell C). Helårseffekt av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Barnevern</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Barnevernsreformen.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øker med ytterligere 498 mill. kroner i 2023. En halvpart fordeles etter delkostnadsnøkkel for barnevern, mens den andre fordeles særskilt (tabell C) etter kommunens tidligere bruk av statlige barnevernstiltak. Økningen i 2023 er noe lavere enn tidligere signalisert. Dette skyldes dels en faseforskyvning knyttet til overgangsordningen for spesialiserte fosterhjem og beredskapshjem og dels oppdaterte tall for aktiviteten i det statlige barnevernet i 2021. </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(ii) Ny barnevernslov </a:t>
          </a:r>
          <a:r>
            <a:rPr kumimoji="0" lang="nb-NO" sz="1400" b="0" i="0" u="none" strike="noStrike" kern="0" cap="none" spc="0" normalizeH="0" baseline="0" noProof="0">
              <a:ln>
                <a:noFill/>
              </a:ln>
              <a:solidFill>
                <a:schemeClr val="accent1"/>
              </a:solidFill>
              <a:effectLst/>
              <a:uLnTx/>
              <a:uFillTx/>
              <a:latin typeface="+mn-lt"/>
              <a:ea typeface="+mn-ea"/>
              <a:cs typeface="+mn-cs"/>
            </a:rPr>
            <a:t>trer i kraft fra 1. januar 2023 inneholder en plikt for barnevernstjenesten til å utarbeide en </a:t>
          </a:r>
          <a:r>
            <a:rPr kumimoji="0" lang="nb-NO" sz="1400" b="1" i="1" u="none" strike="noStrike" kern="0" cap="none" spc="0" normalizeH="0" baseline="0" noProof="0">
              <a:ln>
                <a:noFill/>
              </a:ln>
              <a:solidFill>
                <a:schemeClr val="accent1"/>
              </a:solidFill>
              <a:effectLst/>
              <a:uLnTx/>
              <a:uFillTx/>
              <a:latin typeface="+mn-lt"/>
              <a:ea typeface="+mn-ea"/>
              <a:cs typeface="+mn-cs"/>
            </a:rPr>
            <a:t>plan for gjennomføring av samvær</a:t>
          </a:r>
          <a:r>
            <a:rPr kumimoji="0" lang="nb-NO" sz="1400" b="0" i="0" u="none" strike="noStrike" kern="0" cap="none" spc="0" normalizeH="0" baseline="0" noProof="0">
              <a:ln>
                <a:noFill/>
              </a:ln>
              <a:solidFill>
                <a:schemeClr val="accent1"/>
              </a:solidFill>
              <a:effectLst/>
              <a:uLnTx/>
              <a:uFillTx/>
              <a:latin typeface="+mn-lt"/>
              <a:ea typeface="+mn-ea"/>
              <a:cs typeface="+mn-cs"/>
            </a:rPr>
            <a:t> med foreldre, søsken og andre nærstående som barnet har et etablert familieliv med. Kommunenes merutgifter er anslått til 31,5 mill. kroner, og rammetilskuddet er økt tilsvarende. Bevilgningen fordeles etter delkostnadsnøkkelen for barnevern.</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Ny barnevernslov innebærer videre at betalingsansvaret for </a:t>
          </a:r>
          <a:r>
            <a:rPr kumimoji="0" lang="nb-NO" sz="1400" b="1" i="1" u="none" strike="noStrike" kern="0" cap="none" spc="0" normalizeH="0" baseline="0" noProof="0">
              <a:ln>
                <a:noFill/>
              </a:ln>
              <a:solidFill>
                <a:schemeClr val="accent1"/>
              </a:solidFill>
              <a:effectLst/>
              <a:uLnTx/>
              <a:uFillTx/>
              <a:latin typeface="+mn-lt"/>
              <a:ea typeface="+mn-ea"/>
              <a:cs typeface="+mn-cs"/>
            </a:rPr>
            <a:t>godtgjøring</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av sakkyndige oppnevnt av fylkesnemndene for barnevern og sosiale saker og til tolk i saker for fylkesnemndene</a:t>
          </a:r>
          <a:r>
            <a:rPr kumimoji="0" lang="nb-NO" sz="1400" b="0" i="0" u="none" strike="noStrike" kern="0" cap="none" spc="0" normalizeH="0" baseline="0" noProof="0">
              <a:ln>
                <a:noFill/>
              </a:ln>
              <a:solidFill>
                <a:schemeClr val="accent1"/>
              </a:solidFill>
              <a:effectLst/>
              <a:uLnTx/>
              <a:uFillTx/>
              <a:latin typeface="+mn-lt"/>
              <a:ea typeface="+mn-ea"/>
              <a:cs typeface="+mn-cs"/>
            </a:rPr>
            <a:t>, blir overført fra kommunene til staten. Rammetilskuddet er derfor redusert med 19 mill. kroner.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 Kommunehelsetjeneste </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Basistilskuddet til fastleger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480 mill. kroner fra 1. mai 2023 og rammetilskuddet er økt tilsvarende med fordeling etter delkostnadsnøkkel for kommunehelse. Det foreslås at knekkpunktet avvikles og at det innføres et risikojustert basistilskudd, for å understøtte betaling for arbeidsbelastning og bedre oppfølging av medisinsk krevende listeinnbyggere. Det risikobaserte basistilskuddet skal i første omgang baseres på alder, kjønn og indikator for helsetilstand. Helårseffekt av tiltaket er innarbeidet i prognosemodellen fra og med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er økt med 18 mill. kroner for å dekke en tredjedel av veksten i kostnadene til </a:t>
          </a:r>
          <a:r>
            <a:rPr kumimoji="0" lang="nb-NO" sz="1400" b="1" i="1" u="none" strike="noStrike" kern="0" cap="none" spc="0" normalizeH="0" baseline="0" noProof="0">
              <a:ln>
                <a:noFill/>
              </a:ln>
              <a:solidFill>
                <a:schemeClr val="accent1"/>
              </a:solidFill>
              <a:effectLst/>
              <a:uLnTx/>
              <a:uFillTx/>
              <a:latin typeface="+mn-lt"/>
              <a:ea typeface="+mn-ea"/>
              <a:cs typeface="+mn-cs"/>
            </a:rPr>
            <a:t>forvaltning og drift av nasjonale e-helseløsninger</a:t>
          </a:r>
          <a:r>
            <a:rPr kumimoji="0" lang="nb-NO" sz="1400" b="0" i="0" u="none" strike="noStrike" kern="0" cap="none" spc="0" normalizeH="0" baseline="0" noProof="0">
              <a:ln>
                <a:noFill/>
              </a:ln>
              <a:solidFill>
                <a:schemeClr val="accent1"/>
              </a:solidFill>
              <a:effectLst/>
              <a:uLnTx/>
              <a:uFillTx/>
              <a:latin typeface="+mn-lt"/>
              <a:ea typeface="+mn-ea"/>
              <a:cs typeface="+mn-cs"/>
            </a:rPr>
            <a:t>, fordelt etter delkostnadsnøkkel for kommunehelse.</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Grunnskole</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Nytt prøvegjennomføringssystem </a:t>
          </a:r>
          <a:r>
            <a:rPr kumimoji="0" lang="nb-NO" sz="1400" b="0" i="0" u="none" strike="noStrike" kern="0" cap="none" spc="0" normalizeH="0" baseline="0" noProof="0">
              <a:ln>
                <a:noFill/>
              </a:ln>
              <a:solidFill>
                <a:schemeClr val="accent1"/>
              </a:solidFill>
              <a:effectLst/>
              <a:uLnTx/>
              <a:uFillTx/>
              <a:latin typeface="+mn-lt"/>
              <a:ea typeface="+mn-ea"/>
              <a:cs typeface="+mn-cs"/>
            </a:rPr>
            <a:t>øker graden av digitalisering og forventes å gi gevinster for kommunene, primært knyttet til digitalisering av kartleggingsprøvene. Rammetilskuddet er redusert med kommunenes anslåtte gevinst på 12 mill. kroner, fordelt etter delkostnadsnøkkel for grunnskole.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(b) Regelendringer ny opplæringslov. </a:t>
          </a:r>
          <a:r>
            <a:rPr kumimoji="0" lang="nb-NO" sz="1400" b="0" i="0" u="none" strike="noStrike" kern="0" cap="none" spc="0" normalizeH="0" baseline="0" noProof="0">
              <a:ln>
                <a:noFill/>
              </a:ln>
              <a:solidFill>
                <a:schemeClr val="accent1"/>
              </a:solidFill>
              <a:effectLst/>
              <a:uLnTx/>
              <a:uFillTx/>
              <a:latin typeface="+mn-lt"/>
              <a:ea typeface="+mn-ea"/>
              <a:cs typeface="+mn-cs"/>
            </a:rPr>
            <a:t>Regjeringen tar sikte på å legge fram ny opplæringslov våren 2023. For at kommunene skal ha mulighet til å tilpasse seg flere av lovendringene foreslås rammetilskuddet økt med 5 mill. kroner.</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 Sosial</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Regelverket for arbeidsavklaringspenger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endret ved behandlingen av revidert nasjonalbudsjett for 2022, og det forventes at regelendringene vil redusere behovet for økonomisk sosialhjelp. Rammetilskuddet til kommunene er derfor redusert med 100 mill. kroner, fordelt etter delkostnadsnøkkel for økonomisk sosialhjelp.</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Helårseffekter innarbeidet i 2023:</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Maksimalpris foreldrebetaling barnehage</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redusert til kroner 3 050 per måned fra 1. august 2022, og rammetilskuddet ble økt med 315 mill. kroner for å kompensere for inntektsbortfallet i 2022. Regjeringen foreslår at kommunene kompenseres med ytterligere 400,4 mill. kroner i 2023. Kompensasjonen er innarbeidet i rammetilskuddet etter delkostnadsnøkkelen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12 timers gratis SFO på første trinn </a:t>
          </a:r>
          <a:r>
            <a:rPr kumimoji="0" lang="nb-NO" sz="1400" b="0" i="0" u="none" strike="noStrike" kern="0" cap="none" spc="0" normalizeH="0" baseline="0" noProof="0">
              <a:ln>
                <a:noFill/>
              </a:ln>
              <a:solidFill>
                <a:schemeClr val="accent1"/>
              </a:solidFill>
              <a:effectLst/>
              <a:uLnTx/>
              <a:uFillTx/>
              <a:latin typeface="+mn-lt"/>
              <a:ea typeface="+mn-ea"/>
              <a:cs typeface="+mn-cs"/>
            </a:rPr>
            <a:t>ble innført høsten 2022. Tiltaket får helårseffekt i 2023, og rammetilskuddet er derfor økt med 795 mill. kroner i 2023 fordelt etter delkostnadsnøkkel for grunnskole.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Lovfestet rett til </a:t>
          </a:r>
          <a:r>
            <a:rPr kumimoji="0" lang="nb-NO" sz="1400" b="1" i="1" u="none" strike="noStrike" kern="0" cap="none" spc="0" normalizeH="0" baseline="0" noProof="0">
              <a:ln>
                <a:noFill/>
              </a:ln>
              <a:solidFill>
                <a:schemeClr val="accent1"/>
              </a:solidFill>
              <a:effectLst/>
              <a:uLnTx/>
              <a:uFillTx/>
              <a:latin typeface="+mn-lt"/>
              <a:ea typeface="+mn-ea"/>
              <a:cs typeface="+mn-cs"/>
            </a:rPr>
            <a:t>barnekoordinator</a:t>
          </a:r>
          <a:r>
            <a:rPr kumimoji="0" lang="nb-NO" sz="1400" b="0" i="0" u="none" strike="noStrike" kern="0" cap="none" spc="0" normalizeH="0" baseline="0" noProof="0">
              <a:ln>
                <a:noFill/>
              </a:ln>
              <a:solidFill>
                <a:schemeClr val="accent1"/>
              </a:solidFill>
              <a:effectLst/>
              <a:uLnTx/>
              <a:uFillTx/>
              <a:latin typeface="+mn-lt"/>
              <a:ea typeface="+mn-ea"/>
              <a:cs typeface="+mn-cs"/>
            </a:rPr>
            <a:t> ble innført fra 1. august 2022, og kommunene ble i 2022 kompensert med 100 mill. kroner til innførings- og driftskostnader. Endringen får helårseffekt i 2023, og rammetilskuddet i 2023 er derfor økt med ytterligere 83 mill. kroner. Bevilgningen er fordelt etter delkostnadsnøkkelen for kommunehelse.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Felles dagsats for tiltakspenger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innført 1. januar 2022, og det ble lagt til grunn at dette vil øke behovet for sosialhjelp. Felles dagsats gjaldt kun for nye mottakere av tiltakspenger, og får dermed først helårseffekt i 2023. For å ta høyde for helårseffekt er rammetilskuddet økt med 18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1. september ble det lovfestet at </a:t>
          </a:r>
          <a:r>
            <a:rPr kumimoji="0" lang="nb-NO" sz="1400" b="1" i="1" u="none" strike="noStrike" kern="0" cap="none" spc="0" normalizeH="0" baseline="0" noProof="0">
              <a:ln>
                <a:noFill/>
              </a:ln>
              <a:solidFill>
                <a:schemeClr val="accent1"/>
              </a:solidFill>
              <a:effectLst/>
              <a:uLnTx/>
              <a:uFillTx/>
              <a:latin typeface="+mn-lt"/>
              <a:ea typeface="+mn-ea"/>
              <a:cs typeface="+mn-cs"/>
            </a:rPr>
            <a:t>kommunene ikke skal ta hensyn til barnetrygd ved vurdering av søknad om økonomisk sosialhjelp</a:t>
          </a:r>
          <a:r>
            <a:rPr kumimoji="0" lang="nb-NO" sz="1400" b="0" i="0" u="none" strike="noStrike" kern="0" cap="none" spc="0" normalizeH="0" baseline="0" noProof="0">
              <a:ln>
                <a:noFill/>
              </a:ln>
              <a:solidFill>
                <a:schemeClr val="accent1"/>
              </a:solidFill>
              <a:effectLst/>
              <a:uLnTx/>
              <a:uFillTx/>
              <a:latin typeface="+mn-lt"/>
              <a:ea typeface="+mn-ea"/>
              <a:cs typeface="+mn-cs"/>
            </a:rPr>
            <a:t>. Tiltaket får helårseffekt i 2023, og rammetilskuddet økes derfor med ytterligere 387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De statlige veiledende satsene for økonomisk sosialhjelp </a:t>
          </a:r>
          <a:r>
            <a:rPr kumimoji="0" lang="nb-NO" sz="1400" b="0" i="0" u="none" strike="noStrike" kern="0" cap="none" spc="0" normalizeH="0" baseline="0" noProof="0">
              <a:ln>
                <a:noFill/>
              </a:ln>
              <a:solidFill>
                <a:schemeClr val="accent1"/>
              </a:solidFill>
              <a:effectLst/>
              <a:uLnTx/>
              <a:uFillTx/>
              <a:latin typeface="+mn-lt"/>
              <a:ea typeface="+mn-ea"/>
              <a:cs typeface="+mn-cs"/>
            </a:rPr>
            <a:t>ble økt fra 1. juli 2022. Den oppjusterte satsen videreføres i 2023 som grunnlag før prisjustering, og for å kompensere kommunene for helårseffekten økes rammetilskuddet i 2023 med 69 mill. kroner fordelt etter delkostnadsnøkkel for sosialhjelp.</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Bevilgninger fra 2022 som ikke er videreført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Følgende bevilgninger er ikke videreført fra 2022 til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Kompensasjon for covid-19 utgifter, 913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Økt bevilgning til sosialhjelp i forbindelse med høye strømpriser, 300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Økt skjønnsramme vertskommuner med vesentlige utgifter til ukrainske flyktninger utover vertskommunetilskudd, 170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Engangsbevilgning til nasjonale e-helse løsninger, 8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 Universell utforming av IKT-løsninger, engangsbevilgning 34 mill. kroner</a:t>
          </a:r>
        </a:p>
        <a:p>
          <a:pPr marL="914400" marR="0" lvl="2" indent="0" algn="l"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Følgende reduksjoner i 2022 er tilbakeført rammetilskuddet i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Reduksjon av rammetilskudd som følge av ekstraordinære skatteinntekter fra utbytte, 9,66 mrd. kroner.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Øvrige saker: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en </a:t>
          </a:r>
          <a:r>
            <a:rPr kumimoji="0" lang="nb-NO" sz="1400" b="1" i="1" u="none" strike="noStrike" kern="0" cap="none" spc="0" normalizeH="0" baseline="0" noProof="0">
              <a:ln>
                <a:noFill/>
              </a:ln>
              <a:solidFill>
                <a:schemeClr val="accent1"/>
              </a:solidFill>
              <a:effectLst/>
              <a:uLnTx/>
              <a:uFillTx/>
              <a:latin typeface="+mn-lt"/>
              <a:ea typeface="+mn-ea"/>
              <a:cs typeface="+mn-cs"/>
            </a:rPr>
            <a:t>inndragning av ekstraordinære inntekter fra konsesjonskraft</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i områdene med høyest strømpriser (NO1, NO2 og NO3) gjennom rammetilskuddet med 2,2 mrd. kroner i 2023.</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presiserer at ingen kommuner skal bli trukket for inntekter de ikke kan realisere som følge av juridisk bindende kontrakter inngått før forslaget ble kjent. Fordelingen av trekket vil i utgangspunktet bli basert på kommunenes andel av total mengde konsesjonskraft i de aktuelle prisområdene, verdsatt til markedspris. For å få en mer rimelig fordeling vil regjeringen fram til 1. desember gi kommunene mulighet til å rapportere hvordan konsesjonskraften er disponert. I og med at trekket for den enkelte kommune først blir kjent på et senere tidspunkt har følgelig heller ikke trekket kunne innarbeides i denne versjonen av prognosemodellen.</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Uttrekk på 106 mill. kroner fra kommunerammen som følge av at det har blitt </a:t>
          </a:r>
          <a:r>
            <a:rPr kumimoji="0" lang="nb-NO" sz="1400" b="1" i="1" u="none" strike="noStrike" kern="0" cap="none" spc="0" normalizeH="0" baseline="0" noProof="0">
              <a:ln>
                <a:noFill/>
              </a:ln>
              <a:solidFill>
                <a:schemeClr val="accent1"/>
              </a:solidFill>
              <a:effectLst/>
              <a:uLnTx/>
              <a:uFillTx/>
              <a:latin typeface="+mn-lt"/>
              <a:ea typeface="+mn-ea"/>
              <a:cs typeface="+mn-cs"/>
            </a:rPr>
            <a:t>flere elever i statlige og private skoler.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2023 må kommunene etterleve </a:t>
          </a:r>
          <a:r>
            <a:rPr kumimoji="0" lang="nb-NO" sz="1400" b="1" i="1" u="none" strike="noStrike" kern="0" cap="none" spc="0" normalizeH="0" baseline="0" noProof="0">
              <a:ln>
                <a:noFill/>
              </a:ln>
              <a:solidFill>
                <a:schemeClr val="accent1"/>
              </a:solidFill>
              <a:effectLst/>
              <a:uLnTx/>
              <a:uFillTx/>
              <a:latin typeface="+mn-lt"/>
              <a:ea typeface="+mn-ea"/>
              <a:cs typeface="+mn-cs"/>
            </a:rPr>
            <a:t>krav til synstolking </a:t>
          </a:r>
          <a:r>
            <a:rPr kumimoji="0" lang="nb-NO" sz="1400" b="0" i="0" u="none" strike="noStrike" kern="0" cap="none" spc="0" normalizeH="0" baseline="0" noProof="0">
              <a:ln>
                <a:noFill/>
              </a:ln>
              <a:solidFill>
                <a:schemeClr val="accent1"/>
              </a:solidFill>
              <a:effectLst/>
              <a:uLnTx/>
              <a:uFillTx/>
              <a:latin typeface="+mn-lt"/>
              <a:ea typeface="+mn-ea"/>
              <a:cs typeface="+mn-cs"/>
            </a:rPr>
            <a:t>som følger av WAD direktivet, og for å kompensere for kostnader til teknisk tilrettelegging for synstolking og omgjøring av nettløsninger er rammetilskuddet økt med 13 mill. kroner. Ut fra beskrivelsen i statsbudsjettet er det i prognosemodellen lagt til grunn at dette er en engangsbevilgning for 2023, og den er derfor tatt ut igjen i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Tilleggskompensasjonsordningen i toppfinansieringsordningen for ressurskrevende tjenester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omlag 26 mill. kroner i 2023, som finansieres med et tilsvarende trekk i kommunenes rammetilskudd.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0" u="none" strike="noStrike" kern="0" cap="none" spc="0" normalizeH="0" baseline="0" noProof="0">
              <a:ln>
                <a:noFill/>
              </a:ln>
              <a:solidFill>
                <a:schemeClr val="accent1"/>
              </a:solidFill>
              <a:effectLst/>
              <a:uLnTx/>
              <a:uFillTx/>
              <a:latin typeface="+mn-lt"/>
              <a:ea typeface="+mn-ea"/>
              <a:cs typeface="+mn-cs"/>
            </a:rPr>
            <a:t> For å lette overgangen </a:t>
          </a:r>
          <a:r>
            <a:rPr kumimoji="0" lang="nb-NO" sz="1400" b="1" i="1" u="none" strike="noStrike" kern="0" cap="none" spc="0" normalizeH="0" baseline="0" noProof="0">
              <a:ln>
                <a:noFill/>
              </a:ln>
              <a:solidFill>
                <a:schemeClr val="accent1"/>
              </a:solidFill>
              <a:effectLst/>
              <a:uLnTx/>
              <a:uFillTx/>
              <a:latin typeface="+mn-lt"/>
              <a:ea typeface="+mn-ea"/>
              <a:cs typeface="+mn-cs"/>
            </a:rPr>
            <a:t>fra forsøk til ny oppgave- og ansvarsfordeling i barnevernet</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Alta og Færder tildelt engangsbevilgning i 2022. Bevilgningen videreføres ikke i 2023, og det er derfor gjort et uttrekk fra rammetilskuddet med omlag 21 mill. kroner.</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lang="nb-NO" sz="1100" b="0" i="0" u="none" strike="noStrike">
              <a:solidFill>
                <a:schemeClr val="accent1"/>
              </a:solidFill>
              <a:effectLst/>
              <a:latin typeface="+mn-lt"/>
              <a:ea typeface="+mn-ea"/>
              <a:cs typeface="+mn-cs"/>
            </a:rPr>
            <a:t>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 Korrigering av innbyggertall. </a:t>
          </a:r>
          <a:r>
            <a:rPr kumimoji="0" lang="nb-NO" sz="1400" b="0" i="0" u="none" strike="noStrike" kern="0" cap="none" spc="0" normalizeH="0" baseline="0" noProof="0">
              <a:ln>
                <a:noFill/>
              </a:ln>
              <a:solidFill>
                <a:schemeClr val="accent1"/>
              </a:solidFill>
              <a:effectLst/>
              <a:uLnTx/>
              <a:uFillTx/>
              <a:latin typeface="+mn-lt"/>
              <a:ea typeface="+mn-ea"/>
              <a:cs typeface="+mn-cs"/>
            </a:rPr>
            <a:t>I utregningen av innbyggertilskuddet til den enkelte kommune i 2023 blir det benyttet innbyggertall per 1. juli 2022, innhentet fra folkeregisteret. På grunn av situasjonen med mottak av flyktninger fra Ukraina til transittmottak i kommunen, har kommunene Råde og Våler (i Viken) et for høyt registrert innbyggertall per 1. juli. Det er korrigert for dette ved et uttrekk gjennom tabell-C i 2023.</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4) </a:t>
          </a:r>
          <a:r>
            <a:rPr kumimoji="0" lang="nb-NO" sz="1800" b="1" i="0" u="none" strike="noStrike" kern="0" cap="none" spc="0" normalizeH="0" baseline="0" noProof="0">
              <a:ln>
                <a:noFill/>
              </a:ln>
              <a:solidFill>
                <a:schemeClr val="accent1"/>
              </a:solidFill>
              <a:effectLst/>
              <a:uLnTx/>
              <a:uFillTx/>
              <a:latin typeface="+mn-lt"/>
              <a:ea typeface="+mn-ea"/>
              <a:cs typeface="+mn-cs"/>
            </a:rPr>
            <a:t>Årene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Realvekst. </a:t>
          </a:r>
          <a:r>
            <a:rPr kumimoji="0" lang="nb-NO" sz="1400" b="0" i="0" u="none" strike="noStrike" kern="0" cap="none" spc="0" normalizeH="0" baseline="0" noProof="0">
              <a:ln>
                <a:noFill/>
              </a:ln>
              <a:solidFill>
                <a:schemeClr val="accent1"/>
              </a:solidFill>
              <a:effectLst/>
              <a:uLnTx/>
              <a:uFillTx/>
              <a:latin typeface="+mn-lt"/>
              <a:ea typeface="+mn-ea"/>
              <a:cs typeface="+mn-cs"/>
            </a:rPr>
            <a:t>Det gis i statsbudsjettet ikke noe tallanslag for hvilken realvekst som kan forventes i årene 2024 - 2026, og det er i basisversjonen av prognosemodellen følgelig heller ikke lagt inn noe anslag for generell realvekst for kommunene i disse årene. Dere kan imidlertid selv legge inn egne forutsetninger om realvekst i økonomiplanperioden, se nærmere omtale i punkt 5 om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Landbasert vindkraft og havbruk - naturressursskatt og økte rammetilskudd.</a:t>
          </a:r>
          <a:r>
            <a:rPr kumimoji="0" lang="nb-NO" sz="1400" b="0" i="0" u="none" strike="noStrike" kern="0" cap="none" spc="0" normalizeH="0" baseline="0" noProof="0">
              <a:ln>
                <a:noFill/>
              </a:ln>
              <a:solidFill>
                <a:schemeClr val="accent1"/>
              </a:solidFill>
              <a:effectLst/>
              <a:uLnTx/>
              <a:uFillTx/>
              <a:latin typeface="+mn-lt"/>
              <a:ea typeface="+mn-ea"/>
              <a:cs typeface="+mn-cs"/>
            </a:rPr>
            <a:t> Regjeringen har foreslått at det innføres grunnrenteskatt på havbruk og landbasert vindkraft, og at anslåtte grunnrenteinntekter skal deles mellom staten og kommuner/fylkeskommuner. Kommunenes inntekter vil komme på flere måter, og i prognosemodellen er anslåtte effekter av inntekter som vedrører rammetilskuddet søkt innarbeidet fra og med 2024. Det gjelder: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landbasert vindkraft</a:t>
          </a:r>
          <a:r>
            <a:rPr kumimoji="0" lang="nb-NO" sz="1400" b="0" i="0" u="none" strike="noStrike" kern="0" cap="none" spc="0" normalizeH="0" baseline="0" noProof="0">
              <a:ln>
                <a:noFill/>
              </a:ln>
              <a:solidFill>
                <a:schemeClr val="accent1"/>
              </a:solidFill>
              <a:effectLst/>
              <a:uLnTx/>
              <a:uFillTx/>
              <a:latin typeface="+mn-lt"/>
              <a:ea typeface="+mn-ea"/>
              <a:cs typeface="+mn-cs"/>
            </a:rPr>
            <a:t> med 1,1 øre per kWh, med en anslått inntekt på 185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(217 mill. kroner * 1,1 øre / 1,3 øre). Inntektene er innarbeidet ut fra opplysninger om middelproduksjon i utbygde vindkraftverk på NVE.no, og inngår videre i inntektsutjevningen i prognosemodellen. Kommunene kan selv justere egne inntektsanslag, se omtale under bruk av modellen og skatteinntekter nedenfor.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havbruk </a:t>
          </a:r>
          <a:r>
            <a:rPr kumimoji="0" lang="nb-NO" sz="1400" b="0" i="0" u="none" strike="noStrike" kern="0" cap="none" spc="0" normalizeH="0" baseline="0" noProof="0">
              <a:ln>
                <a:noFill/>
              </a:ln>
              <a:solidFill>
                <a:schemeClr val="accent1"/>
              </a:solidFill>
              <a:effectLst/>
              <a:uLnTx/>
              <a:uFillTx/>
              <a:latin typeface="+mn-lt"/>
              <a:ea typeface="+mn-ea"/>
              <a:cs typeface="+mn-cs"/>
            </a:rPr>
            <a:t>med en anslått inntekt for kommunene på 656 mill. kroner (7/8 av 750 mill. kroner). Inntektene kommer via en utbetaling fra havbruksfondet, og inngår i inntektsutjevningen. I prognosemodellen er anslåtte inntekter fordelt mellom kommunene etter den nøkkelen som ble brukt for ordinære utbetalinger fra havbruksfondet i 2021. Kommunene kan selv justere egne inntektsanslag, se omtale under bruk av modellen og skatteinntekter nedenfor.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Økte rammetilskudd </a:t>
          </a:r>
          <a:r>
            <a:rPr kumimoji="0" lang="nb-NO" sz="1400" b="0" i="0" u="none" strike="noStrike" kern="0" cap="none" spc="0" normalizeH="0" baseline="0" noProof="0">
              <a:ln>
                <a:noFill/>
              </a:ln>
              <a:solidFill>
                <a:schemeClr val="accent1"/>
              </a:solidFill>
              <a:effectLst/>
              <a:uLnTx/>
              <a:uFillTx/>
              <a:latin typeface="+mn-lt"/>
              <a:ea typeface="+mn-ea"/>
              <a:cs typeface="+mn-cs"/>
            </a:rPr>
            <a:t>slik at kommunesektorens andel av grunnrenteskatten blir 50 prosent. Det ser ut fra omtalen på regjeringen.no som at kommunene får hele økningen i rammetilskuddet knyttet til vindkraft (700 mill. kroner). Rammetilskuddet knyttet til havbruk ser ut å skulle fordeles mellom kommuner og fylkeskommuner, og i prognosemodellen er den generelle fordelingsnøkkelen for havbruksfondet lagt til grunn, dvs. 7/8 til kommunene. Anslaget i prognosemodellen er videre lagt midt i intervallet som regjeringen har angitt. Det vil si at kommunenes andel blir 362,5 mill. kroner * 7/8 = 317 mill. kroner.</a:t>
          </a:r>
        </a:p>
        <a:p>
          <a:pPr marL="914400" marR="0" lvl="2" indent="0"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 økte rammetilskuddene er innarbeidet i både innbyggertilskuddet og utgiftutjevningen i prognosemodellen fra og med 2024, for å ivareta at fordelingen mellom kommunene skjer etter kostnadsnøkkelen i utgiftutjevningen.  </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Helårseffekter</a:t>
          </a:r>
          <a:r>
            <a:rPr kumimoji="0" lang="nb-NO" sz="1400" b="0" i="0" u="none" strike="noStrike" kern="0" cap="none" spc="0" normalizeH="0" baseline="0" noProof="0">
              <a:ln>
                <a:noFill/>
              </a:ln>
              <a:solidFill>
                <a:schemeClr val="accent1"/>
              </a:solidFill>
              <a:effectLst/>
              <a:uLnTx/>
              <a:uFillTx/>
              <a:latin typeface="+mn-lt"/>
              <a:ea typeface="+mn-ea"/>
              <a:cs typeface="+mn-cs"/>
            </a:rPr>
            <a:t> av endringer som skjer i 2023 er innarbeidet i modellen i samsvar med kommentarer i avsnittet Oppgaveendringer og korreksjoner i budsjettopplegget rammetilskudd 2022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5) 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a:t>
          </a: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chemeClr val="accent1"/>
              </a:solidFill>
              <a:effectLst/>
              <a:uLnTx/>
              <a:uFillTx/>
              <a:latin typeface="+mn-lt"/>
              <a:ea typeface="+mn-ea"/>
              <a:cs typeface="+mn-cs"/>
            </a:rPr>
            <a:t>realvekst i frie inntekter</a:t>
          </a:r>
          <a:r>
            <a:rPr kumimoji="0" lang="nb-NO" sz="1400" b="0" i="0" u="none" strike="noStrike" kern="0" cap="none" spc="0" normalizeH="0" baseline="0" noProof="0">
              <a:ln>
                <a:noFill/>
              </a:ln>
              <a:solidFill>
                <a:schemeClr val="accent1"/>
              </a:solidFill>
              <a:effectLst/>
              <a:uLnTx/>
              <a:uFillTx/>
              <a:latin typeface="+mn-lt"/>
              <a:ea typeface="+mn-ea"/>
              <a:cs typeface="+mn-cs"/>
            </a:rPr>
            <a:t> for landet for årene 2024 - 2026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rammetilskudd per innbygger gå ned. For nærmere informasjon om beregning av demografikompensasjon 	vises det til omtalen som Teknisk beregningsutvalg for kommunal og fylkeskommunal økonomi (TBU) har i sin siste 	rapport (juni 2022), og utvalgets notat fra august 2022 med oppdaterte beregninger av demografikostnader (basert 	på SSBs nye 	befolkningsframskrivinger). 	</a:t>
          </a:r>
          <a:r>
            <a:rPr kumimoji="0" lang="nb-NO" sz="1400" b="0" i="0" u="sng"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https://www.regjeringen.no/contentassets/6e0f61dd71a649459b3f87f8ca030374/notat-merkostnader-til-demografi-2023.pdf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a:t>
          </a:r>
          <a:r>
            <a:rPr kumimoji="0" lang="nb-NO" sz="1400" b="0" i="0" u="none" strike="noStrike" kern="0" cap="none" spc="0" normalizeH="0" baseline="0" noProof="0">
              <a:ln>
                <a:noFill/>
              </a:ln>
              <a:solidFill>
                <a:schemeClr val="accent1"/>
              </a:solidFill>
              <a:effectLst/>
              <a:uLnTx/>
              <a:uFillTx/>
              <a:latin typeface="+mn-lt"/>
              <a:ea typeface="+mn-ea"/>
              <a:cs typeface="+mn-cs"/>
            </a:rPr>
            <a:t>Basismodellen er utarbeidet med uendrede </a:t>
          </a:r>
          <a:r>
            <a:rPr kumimoji="0" lang="nb-NO" sz="1400" b="1" i="1" u="none" strike="noStrike" kern="0" cap="none" spc="0" normalizeH="0" baseline="0" noProof="0">
              <a:ln>
                <a:noFill/>
              </a:ln>
              <a:solidFill>
                <a:schemeClr val="accent1"/>
              </a:solidFill>
              <a:effectLst/>
              <a:uLnTx/>
              <a:uFillTx/>
              <a:latin typeface="+mn-lt"/>
              <a:ea typeface="+mn-ea"/>
              <a:cs typeface="+mn-cs"/>
            </a:rPr>
            <a:t>befolkningstall </a:t>
          </a:r>
          <a:r>
            <a:rPr kumimoji="0" lang="nb-NO" sz="1400" b="0" i="0" u="none" strike="noStrike" kern="0" cap="none" spc="0" normalizeH="0" baseline="0" noProof="0">
              <a:ln>
                <a:noFill/>
              </a:ln>
              <a:solidFill>
                <a:schemeClr val="accent1"/>
              </a:solidFill>
              <a:effectLst/>
              <a:uLnTx/>
              <a:uFillTx/>
              <a:latin typeface="+mn-lt"/>
              <a:ea typeface="+mn-ea"/>
              <a:cs typeface="+mn-cs"/>
            </a:rPr>
            <a:t>og andre kriterieverdier fra 2023 til årene 2024 - 2026, med det unntak at SSBs MMMM alternativ i befolkningsframskriving fra juli 2022 er benyttet som anslag for kommunens og landets innbyggertall 1.1.2023. Anslaget for folketall 1.1.2023 er så videreført til de påfølgende årene i modellen, jf. også punkt d) og f)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Modellen er imidlertid tilrettelagt for at det kan legges inn </a:t>
          </a:r>
          <a:r>
            <a:rPr kumimoji="0" lang="nb-NO" sz="1400" b="1" i="0" u="none" strike="noStrike" kern="0" cap="none" spc="0" normalizeH="0" baseline="0" noProof="0">
              <a:ln>
                <a:noFill/>
              </a:ln>
              <a:solidFill>
                <a:schemeClr val="accent1"/>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chemeClr val="accent1"/>
              </a:solidFill>
              <a:effectLst/>
              <a:uLnTx/>
              <a:uFillTx/>
              <a:latin typeface="+mn-lt"/>
              <a:ea typeface="+mn-ea"/>
              <a:cs typeface="+mn-cs"/>
            </a:rPr>
            <a:t>i 'Gdata' for egen kommune og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landet i arkfanen 'Gdata' linjene 26 til 33 og 51 (kommunene) og 58 til 65 og 83 (landet) for å kunne få et best mulig anslag for utviklingen i kommunens inntektsrammer framover hensyntatt befolkningsendringer. Legges det inn befolkningsframskrivinger for kommunen må det også legges inn befolkningsframskrivinger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For at de </a:t>
          </a:r>
          <a:r>
            <a:rPr kumimoji="0" lang="nb-NO" sz="1400" b="1" i="0" u="none" strike="noStrike" kern="0" cap="none" spc="0" normalizeH="0" baseline="0" noProof="0">
              <a:ln>
                <a:noFill/>
              </a:ln>
              <a:solidFill>
                <a:schemeClr val="accent1"/>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chemeClr val="accent1"/>
              </a:solidFill>
              <a:effectLst/>
              <a:uLnTx/>
              <a:uFillTx/>
              <a:latin typeface="+mn-lt"/>
              <a:ea typeface="+mn-ea"/>
              <a:cs typeface="+mn-cs"/>
            </a:rPr>
            <a:t>i modellen ikke skal gi utilsiktede utslag i utgiftutjevningen når det legges inn befolkningsprognoser er det som standard i modellen lagt inn en forutsetning om disse kriteriene utvikler seg i takt med befolkningsanslagene for henholdsvis kommunen og landet. Dette er selvsagt forutsetninger som kan overstyres dersom man lokalt har oppdatere tall (eller formler for dette). Oppdateres tall for kommunens sosioøkonomiske- og strukturelle kriterier må det også legge inn oppdaterte anslag for landet. Oppdaterte tall legges inn i 'Gdata' linje 34 til 49 (kommunen) og linje 66 - 81 (landet).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Antallet kommunale grunnskoler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tilskudd i tabell-C (saker med særskilt fordeling) er for årene 2024 - 2026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500 000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Antallet elever i statlige og private 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trekk i korreksjonsordningen for statlige/private skoler er for årene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2024 - 2026, på tilsvarende måte som for antallet grunnskoler,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Skatteinntekter og inntektsutjevningen </a:t>
          </a:r>
          <a:r>
            <a:rPr kumimoji="0" lang="nb-NO" sz="1400" b="0" i="0" u="none" strike="noStrike" kern="0" cap="none" spc="0" normalizeH="0" baseline="0" noProof="0">
              <a:ln>
                <a:noFill/>
              </a:ln>
              <a:solidFill>
                <a:schemeClr val="accent1"/>
              </a:solidFill>
              <a:effectLst/>
              <a:uLnTx/>
              <a:uFillTx/>
              <a:latin typeface="+mn-lt"/>
              <a:ea typeface="+mn-ea"/>
              <a:cs typeface="+mn-cs"/>
            </a:rPr>
            <a:t>for den enkelte kommune fastsettes ikke gjennom statsbudsjettet. Stortinget fastsetter kun skatteøren. I basisversjonen av prognosemodellen foretas det i utgangspunktet en ren teknisk framskriving med utgangspunkt i på det historiske skattenivået (gjennomsnitt av kommunens kjente skattenivå de tre siste årene (2019 - 2021). Ved denne oppdateringen av modellen er likevel tilnærmingen endret noe sammenlignet med tidligere ved at det nå gjøres separate betraktninger for naturressursskatter og skatt på inntekt og formue. Dette må ses i sammenheng med at det er foreslått innført naturressursskatt på landbasert vindkraft og havbruk fra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gjort en spesialtilpasning for 2022 der det er søkt tatt hensyn til at den sterke vekst i skattene på utbytte fordeler seg annerledes enn hva historisk skattenivå indikerer. Som følge av dette er også modellen bygd opp slik at kommunens egen justering av skatteanslaget for 2022 ikke vil påvirke anslagene for årene 2023 til 2026. Ønskes en permanent justering av skattenivået må det derfor også gjøres en tilsvarende justering i anslaget for 2023. En justering av skattenivået for 2023 vil imidlertid gi permanent utslag i modellen ved at anslagene for 2024 til 2026 justeres tilsvarende.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2023 er laget med utgangspunkt i et anslag for folketall 1.1.2023 basert på basert på SSBs - MMMM alternativ i befolkningsframskriving fra juli 2022. For årene 2024 til 2026 tar skatteanslaget i basisversjonen av prognosemodellen utgangspunkt i at folketall 1.1.2024, 1.1.2025 og 1.1.2026 er lik anslaget for folketallet 1.1.2023 både for kommunen og landet.</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modellgenererte anslaget er et høyst usikkert anslag, </a:t>
          </a:r>
          <a:r>
            <a:rPr kumimoji="0" lang="nb-NO" sz="1400" b="1" i="0" u="none" strike="noStrike" kern="0" cap="none" spc="0" normalizeH="0" baseline="0" noProof="0">
              <a:ln>
                <a:noFill/>
              </a:ln>
              <a:solidFill>
                <a:schemeClr val="accent1"/>
              </a:solidFill>
              <a:effectLst/>
              <a:uLnTx/>
              <a:uFillTx/>
              <a:latin typeface="+mn-lt"/>
              <a:ea typeface="+mn-ea"/>
              <a:cs typeface="+mn-cs"/>
            </a:rPr>
            <a:t>og som minimum bør dere selv:</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lage og legge inn gode lokale prognoser for kommunens eget skattenivå.  </a:t>
          </a:r>
          <a:r>
            <a:rPr kumimoji="0" lang="nb-NO" sz="1400" b="0" i="0" u="none" strike="noStrike" kern="0" cap="none" spc="0" normalizeH="0" baseline="0" noProof="0">
              <a:ln>
                <a:noFill/>
              </a:ln>
              <a:solidFill>
                <a:schemeClr val="accent1"/>
              </a:solidFill>
              <a:effectLst/>
              <a:uLnTx/>
              <a:uFillTx/>
              <a:latin typeface="+mn-lt"/>
              <a:ea typeface="+mn-ea"/>
              <a:cs typeface="+mn-cs"/>
            </a:rPr>
            <a:t>Fra og med denne versjonen av prognosemodellen er det tilrettelagt for at dere kan justere anslaget for henholdsvis formues- og inntektsskatt og naturressursskatt. Nivået på disse skatteanslagene for kommunen i basisversjonen av prognosemodellen framgår av linje 110 og linje 111 i Gdata, men en samlet sum i linje 112.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Samlet skatteanslag for kommunen som benyttes i prognosemodellen framkommer på linje 119 i Gdata (og i basisversjonen er dette anslaget lik summen i linje 112). Ønsker dere å oppdatere kommunens skatteanslag er det anslaget inje 119 som skal justeres. Dette skjer ved at dere i linje 121 kan dere legge inn en prosentvis justering (opp eller ned) av basisversjonens anslag for formues- og inntektsskatt, mens tilsvarende justering av basisversjonens anslag for naturressursskatt kan gjøres i linje 122.</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Husk at det er gjort en spesialtilpasning pga. skatt på utbytte for 2022, og gjøres endringer for 2022 må behov for justering av anslag for 2023 vurderes, jf. omtale fire avsnitt ovenfor.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b) legge inn det beste anslaget dere har for folketallet i kommunen per 1.1.2023 (celle G51 i 'Gdata'). </a:t>
          </a:r>
          <a:r>
            <a:rPr kumimoji="0" lang="nb-NO" sz="1400" b="0" i="0" u="none" strike="noStrike" kern="0" cap="none" spc="0" normalizeH="0" baseline="0" noProof="0">
              <a:ln>
                <a:noFill/>
              </a:ln>
              <a:solidFill>
                <a:schemeClr val="accent1"/>
              </a:solidFill>
              <a:effectLst/>
              <a:uLnTx/>
              <a:uFillTx/>
              <a:latin typeface="+mn-lt"/>
              <a:ea typeface="+mn-ea"/>
              <a:cs typeface="+mn-cs"/>
            </a:rPr>
            <a:t>Best 	mulig prognose for folketall 1.1.2023 er helt avgjørende for at modellen skal kunne være et godt hjelpemiddel for 	dere i økonomiplanleggingen, da lite realistiske folketall 1.1.2023 gir feilaktige anslag for skatt etter 	inntektsutjevning. Forventet folketall i landet per 1.1.2023 ('Gdata celle F83) er basert på SSBs 	befolkningsframskriving.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Kommunens samlede skattenivå, som andel av landsgjennomsnittet, kan dere hele tiden se i linje 131 i Gdata-arket. Dette er en god utsjekk på de forutsetninger dere har lagt til grunn (folketall 1.1 og justering av skatteanslag). Husk at det kan være et avvikende nivå i 2022 pga. at det er søkt tatt hensyn til økte skatteinntekter fra utbytte, og for mange kommuner vil det komme en endring i 2024 som følge av naturressursskatteinntekter fra havbruk og landbasert vindkraft.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Fremover i tid vil dere få bedre anslag for utvikling i skatteinntekter og inntektsutjevning dersom dere legger inn beste estimat for folketall 1.1 i hvert av årene framover. DET MÅ DA LEGGES INN ESTIMATER BÅDE FOR </a:t>
          </a:r>
          <a:r>
            <a:rPr kumimoji="0" lang="nb-NO" sz="1400" b="1" i="1" u="none" strike="noStrike" kern="0" cap="none" spc="0" normalizeH="0" baseline="0" noProof="0">
              <a:ln>
                <a:noFill/>
              </a:ln>
              <a:solidFill>
                <a:schemeClr val="accent1"/>
              </a:solidFill>
              <a:effectLst/>
              <a:uLnTx/>
              <a:uFillTx/>
              <a:latin typeface="+mn-lt"/>
              <a:ea typeface="+mn-ea"/>
              <a:cs typeface="+mn-cs"/>
            </a:rPr>
            <a:t>KOMMUNENS</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EGET OG </a:t>
          </a:r>
          <a:r>
            <a:rPr kumimoji="0" lang="nb-NO" sz="1400" b="1" i="1" u="none" strike="noStrike" kern="0" cap="none" spc="0" normalizeH="0" baseline="0" noProof="0">
              <a:ln>
                <a:noFill/>
              </a:ln>
              <a:solidFill>
                <a:schemeClr val="accent1"/>
              </a:solidFill>
              <a:effectLst/>
              <a:uLnTx/>
              <a:uFillTx/>
              <a:latin typeface="+mn-lt"/>
              <a:ea typeface="+mn-ea"/>
              <a:cs typeface="+mn-cs"/>
            </a:rPr>
            <a:t>LANDETS</a:t>
          </a:r>
          <a:r>
            <a:rPr kumimoji="0" lang="nb-NO" sz="1400" b="0" i="0" u="none" strike="noStrike" kern="0" cap="none" spc="0" normalizeH="0" baseline="0" noProof="0">
              <a:ln>
                <a:noFill/>
              </a:ln>
              <a:solidFill>
                <a:schemeClr val="accent1"/>
              </a:solidFill>
              <a:effectLst/>
              <a:uLnTx/>
              <a:uFillTx/>
              <a:latin typeface="+mn-lt"/>
              <a:ea typeface="+mn-ea"/>
              <a:cs typeface="+mn-cs"/>
            </a:rPr>
            <a:t> FOLKETALL.</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Ordinært skjønn for perioden 2024 til 2026 er satt til null</a:t>
          </a:r>
          <a:r>
            <a:rPr kumimoji="0" lang="nb-NO" sz="1400" b="0" i="0" u="none" strike="noStrike" kern="0" cap="none" spc="0" normalizeH="0" baseline="0" noProof="0">
              <a:ln>
                <a:noFill/>
              </a:ln>
              <a:solidFill>
                <a:schemeClr val="accent1"/>
              </a:solidFill>
              <a:effectLst/>
              <a:uLnTx/>
              <a:uFillTx/>
              <a:latin typeface="+mn-lt"/>
              <a:ea typeface="+mn-ea"/>
              <a:cs typeface="+mn-cs"/>
            </a:rPr>
            <a:t>. Dere må selv vurdere hva som er sannsynlig nivå for kommunen framover og legge dette inn manuelt i arket Gdata cellene H141 til J141.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a:t>
          </a:r>
          <a:r>
            <a:rPr kumimoji="0" lang="nb-NO" sz="1400" b="0" i="0" u="none" strike="noStrike" kern="0" cap="none" spc="0" normalizeH="0" baseline="0" noProof="0">
              <a:ln>
                <a:noFill/>
              </a:ln>
              <a:solidFill>
                <a:schemeClr val="accent1"/>
              </a:solidFill>
              <a:effectLst/>
              <a:uLnTx/>
              <a:uFillTx/>
              <a:latin typeface="+mn-lt"/>
              <a:ea typeface="+mn-ea"/>
              <a:cs typeface="+mn-cs"/>
            </a:rPr>
            <a:t>Grunnlaget for </a:t>
          </a:r>
          <a:r>
            <a:rPr kumimoji="0" lang="nb-NO" sz="1400" b="1" i="0" u="none" strike="noStrike" kern="0" cap="none" spc="0" normalizeH="0" baseline="0" noProof="0">
              <a:ln>
                <a:noFill/>
              </a:ln>
              <a:solidFill>
                <a:schemeClr val="accent1"/>
              </a:solidFill>
              <a:effectLst/>
              <a:uLnTx/>
              <a:uFillTx/>
              <a:latin typeface="+mn-lt"/>
              <a:ea typeface="+mn-ea"/>
              <a:cs typeface="+mn-cs"/>
            </a:rPr>
            <a:t>veksttilskuddet </a:t>
          </a:r>
          <a:r>
            <a:rPr kumimoji="0" lang="nb-NO" sz="1400" b="0" i="0" u="none" strike="noStrike" kern="0" cap="none" spc="0" normalizeH="0" baseline="0" noProof="0">
              <a:ln>
                <a:noFill/>
              </a:ln>
              <a:solidFill>
                <a:schemeClr val="accent1"/>
              </a:solidFill>
              <a:effectLst/>
              <a:uLnTx/>
              <a:uFillTx/>
              <a:latin typeface="+mn-lt"/>
              <a:ea typeface="+mn-ea"/>
              <a:cs typeface="+mn-cs"/>
            </a:rPr>
            <a:t>er gjennomsnittlig befolkningsvekst siste 3 år. I prognosemodellen gis et anslag for vekstilskuddet i 2024 (befolkningsvekst 1.1.2020 til 1.1.2023) der folketallet per 1.1.2023 er anslått ut fra SSBs befolkningsframskriving i MMMM alternativet, og slik sett kan dette gi en rimelig indikasjon på størrelsen av veksttilskuddet i 2024. Legger dere inn det beste anslaget dere selv har for folketallet 1.1.2023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lagt inn formler for beregning av veksttilskudd for 2025 og 2026.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51) vil modellen beregne veksttilskudd ut fra deres befolkningsanslag. Legger dere inn befolkningsprognoser for egen kommune 1.1 må dere for de samme årene legge inn nye anslag for befolkningsutviklingen i landet (Gdata linje 83).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Trekk/tillegg INGAR 2024 - 2026 </a:t>
          </a:r>
          <a:r>
            <a:rPr kumimoji="0" lang="nb-NO" sz="1400" b="0" i="0" u="none" strike="noStrike" kern="0" cap="none" spc="0" normalizeH="0" baseline="0" noProof="0">
              <a:ln>
                <a:noFill/>
              </a:ln>
              <a:solidFill>
                <a:schemeClr val="accent1"/>
              </a:solidFill>
              <a:effectLst/>
              <a:uLnTx/>
              <a:uFillTx/>
              <a:latin typeface="+mn-lt"/>
              <a:ea typeface="+mn-ea"/>
              <a:cs typeface="+mn-cs"/>
            </a:rPr>
            <a:t>er i basisversjonen av prognosemodellen satt i 0, og dere må eventuelt legge inn deres egne anslag for INGAR manuelt i cellene H164 til J164 i arkfanen 'Gdata'. I arkfanen 'Ingar' vises den historiske beregningen av inntektsgarantiordningen slik den fremkommer fra KDD for hvert enkelt år frem til og med 2023. I denne arkfanen er det også gjort forsøk på gi at usikkert anslag for årene 2024-2026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h) Modellen er utarbeidet i 2023-priser</a:t>
          </a:r>
          <a:r>
            <a:rPr kumimoji="0" lang="nb-NO" sz="1400" b="0" i="0" u="none" strike="noStrike" kern="0" cap="none" spc="0" normalizeH="0" baseline="0" noProof="0">
              <a:ln>
                <a:noFill/>
              </a:ln>
              <a:solidFill>
                <a:schemeClr val="accent1"/>
              </a:solidFill>
              <a:effectLst/>
              <a:uLnTx/>
              <a:uFillTx/>
              <a:latin typeface="+mn-lt"/>
              <a:ea typeface="+mn-ea"/>
              <a:cs typeface="+mn-cs"/>
            </a:rPr>
            <a:t> for alle årene (2023 - 2026). Det er ikke mulighet for å legge inn prisjusterte tall fremover i tid.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Øremerkede tilskudd og refusjonsordninger</a:t>
          </a:r>
          <a:r>
            <a:rPr kumimoji="0" lang="nb-NO" sz="1400" b="0" i="0" u="none" strike="noStrike" kern="0" cap="none" spc="0" normalizeH="0" baseline="0" noProof="0">
              <a:ln>
                <a:noFill/>
              </a:ln>
              <a:solidFill>
                <a:schemeClr val="accent1"/>
              </a:solidFill>
              <a:effectLst/>
              <a:uLnTx/>
              <a:uFillTx/>
              <a:latin typeface="+mn-lt"/>
              <a:ea typeface="+mn-ea"/>
              <a:cs typeface="+mn-cs"/>
            </a:rPr>
            <a:t>,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r>
            <a:rPr lang="nb-NO" sz="1100" b="0" i="0" u="none" strike="noStrike">
              <a:solidFill>
                <a:schemeClr val="accent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samme gjelder inntekter som ikke er en del av inntektssystemet slik som (ikke uttømmende) produksjonsavgifter innen kraft og havbruk, konsesjonskraftinntekter, eiendomsskatteinntekter (selv om disse inngår ved beregning av skatteandelen) og utbytte.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j) Avstemminger mot Grønt Hefte 2023.</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Arkfanen 'Rskudd' gir en oppsummering av modellens anslag når det gjelder kommunens frie inntekter.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Celle 'H31' i 'Rskudd' - "Sum rammetilsk. uten inntektsutj. og ekstra skjønn statsforvalter" - kan i utgangspunktet avstemmes direkte mot Grønt Hefte - Tabell 1-K (kolonne 8) Rammetilskot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Rammetilskudd for inneværende år (2022) i prognosemodellen kan avstemmes mot Grønt Hefte. Ved slik avstemming må det gjøres en liten mellomregning som skyldes at i prognosemodellens beregning av 'Sum rammetilskudd ekskl. inntektsutjevning' inngår utbetalt ekstra skjønn fra departementet, mens disse beløpene ikke inngår i Rammetilskudd etter revidert budsjett 2022 i grønt hefte tabell 'B-k'. Det betyr at dere for 2022 kan dere ta beløpet i celle G31 i 'Rskudd' og trekke fra beløpet i cellene G20 i 'Rskudd'. Det beløpet skal være det samme som dere finner i 'Grønt Hefte' (tabell B-k, kolonne 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8</xdr:col>
      <xdr:colOff>400050</xdr:colOff>
      <xdr:row>1</xdr:row>
      <xdr:rowOff>1038225</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9382125" cy="1028701"/>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9</xdr:col>
      <xdr:colOff>809625</xdr:colOff>
      <xdr:row>24</xdr:row>
      <xdr:rowOff>314325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314826" y="5610225"/>
          <a:ext cx="6496049" cy="5619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Cellen viser forutsetningen om lønns- og prisvekst som er lagt til grunn i forslaget til statsbudsjett for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 2023 3,7 pst. Cellen er låst til denne verdien, og vil ikke oppdateres ved eventuelle justeringer av lønns- og prisvekst senere i budsjettåret.</a:t>
          </a:r>
        </a:p>
        <a:p>
          <a:pPr rtl="0"/>
          <a:r>
            <a:rPr lang="nb-NO" sz="1100" b="0" i="0" baseline="0">
              <a:effectLst/>
              <a:latin typeface="+mn-lt"/>
              <a:ea typeface="+mn-ea"/>
              <a:cs typeface="+mn-cs"/>
            </a:rPr>
            <a:t>.</a:t>
          </a:r>
        </a:p>
      </xdr:txBody>
    </xdr:sp>
    <xdr:clientData/>
  </xdr:twoCellAnchor>
  <xdr:twoCellAnchor>
    <xdr:from>
      <xdr:col>2</xdr:col>
      <xdr:colOff>3599</xdr:colOff>
      <xdr:row>24</xdr:row>
      <xdr:rowOff>371474</xdr:rowOff>
    </xdr:from>
    <xdr:to>
      <xdr:col>9</xdr:col>
      <xdr:colOff>809625</xdr:colOff>
      <xdr:row>26</xdr:row>
      <xdr:rowOff>9524</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318424" y="6229349"/>
          <a:ext cx="6492451"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r>
            <a:rPr lang="nb-NO" sz="1000" b="1" i="0" u="none" strike="noStrike" baseline="0">
              <a:solidFill>
                <a:srgbClr val="000000"/>
              </a:solidFill>
              <a:latin typeface="Arial"/>
              <a:cs typeface="Arial"/>
            </a:rPr>
            <a:t>For utgiftsutjevningen/innbyggertilskudd i 2023 benyttes folketall per 1.7.2022. For 2024 benyttes folketall 1.7.2023 osv....</a:t>
          </a:r>
        </a:p>
        <a:p>
          <a:pPr algn="l" rtl="0">
            <a:defRPr sz="1000"/>
          </a:pPr>
          <a:r>
            <a:rPr lang="nb-NO" sz="1000" b="1" i="0" u="none" strike="noStrike" baseline="0">
              <a:solidFill>
                <a:srgbClr val="000000"/>
              </a:solidFill>
              <a:latin typeface="Arial"/>
              <a:cs typeface="Arial"/>
            </a:rPr>
            <a:t>For inntektsutjevningen i 2023 benyttes folketall per 1.1.2023.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13952555" cy="9116786"/>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Normal="100" workbookViewId="0">
      <selection activeCell="C8" sqref="C8"/>
    </sheetView>
  </sheetViews>
  <sheetFormatPr baseColWidth="10" defaultColWidth="11.54296875" defaultRowHeight="12.5"/>
  <cols>
    <col min="1" max="1" width="5.54296875" customWidth="1"/>
    <col min="2" max="2" width="30.7265625" customWidth="1"/>
    <col min="3" max="3" width="20.453125" customWidth="1"/>
    <col min="4" max="4" width="4.81640625" customWidth="1"/>
    <col min="5" max="5" width="9.26953125" customWidth="1"/>
    <col min="6" max="6" width="21.81640625" customWidth="1"/>
    <col min="7" max="7" width="16.453125" customWidth="1"/>
    <col min="8" max="8" width="5.26953125" customWidth="1"/>
    <col min="9" max="9" width="14.7265625" customWidth="1"/>
    <col min="10" max="10" width="26.453125" customWidth="1"/>
    <col min="11" max="11" width="18" customWidth="1"/>
  </cols>
  <sheetData>
    <row r="1" spans="1:22" ht="32.25" customHeight="1">
      <c r="A1" s="115"/>
      <c r="B1" s="115"/>
      <c r="C1" s="115"/>
      <c r="D1" s="115"/>
      <c r="E1" s="115"/>
      <c r="F1" s="115"/>
      <c r="G1" s="115"/>
      <c r="H1" s="115"/>
      <c r="I1" s="115"/>
      <c r="J1" s="115"/>
      <c r="K1" s="115"/>
      <c r="L1" s="115"/>
      <c r="M1" s="115"/>
      <c r="N1" s="115"/>
      <c r="O1" s="115"/>
      <c r="P1" s="115"/>
      <c r="Q1" s="115"/>
      <c r="R1" s="115"/>
      <c r="S1" s="115"/>
      <c r="T1" s="115"/>
      <c r="U1" s="115"/>
      <c r="V1" s="115"/>
    </row>
    <row r="2" spans="1:22" ht="21" customHeight="1">
      <c r="A2" s="124" t="s">
        <v>996</v>
      </c>
      <c r="B2" s="115"/>
      <c r="C2" s="115"/>
      <c r="D2" s="527" t="s">
        <v>1009</v>
      </c>
      <c r="E2" s="527"/>
      <c r="F2" s="117" t="s">
        <v>2663</v>
      </c>
      <c r="G2" s="117"/>
      <c r="H2" s="115"/>
      <c r="I2" s="118"/>
      <c r="J2" s="115"/>
      <c r="K2" s="118">
        <v>44897</v>
      </c>
      <c r="L2" s="115"/>
      <c r="M2" s="115"/>
      <c r="N2" s="115"/>
      <c r="O2" s="115"/>
      <c r="P2" s="115"/>
      <c r="Q2" s="115"/>
      <c r="R2" s="115"/>
      <c r="S2" s="115"/>
      <c r="T2" s="115"/>
      <c r="U2" s="115"/>
      <c r="V2" s="115"/>
    </row>
    <row r="3" spans="1:22" ht="9" customHeight="1">
      <c r="A3" s="115"/>
      <c r="B3" s="115"/>
      <c r="C3" s="116"/>
      <c r="D3" s="116"/>
      <c r="E3" s="119"/>
      <c r="F3" s="115"/>
      <c r="G3" s="115"/>
      <c r="H3" s="115"/>
      <c r="I3" s="115"/>
      <c r="J3" s="115"/>
      <c r="K3" s="115"/>
      <c r="L3" s="115"/>
      <c r="M3" s="115"/>
      <c r="N3" s="115"/>
      <c r="O3" s="115"/>
      <c r="P3" s="115"/>
      <c r="Q3" s="115"/>
      <c r="R3" s="115"/>
      <c r="S3" s="115"/>
      <c r="T3" s="115"/>
      <c r="U3" s="115"/>
      <c r="V3" s="115"/>
    </row>
    <row r="4" spans="1:22" ht="22.5" customHeight="1">
      <c r="A4" s="1243" t="s">
        <v>2487</v>
      </c>
      <c r="B4" s="1243"/>
      <c r="C4" s="1243"/>
      <c r="D4" s="1243"/>
      <c r="E4" s="1243"/>
      <c r="F4" s="1243"/>
      <c r="G4" s="1243"/>
      <c r="H4" s="1243"/>
      <c r="I4" s="324"/>
      <c r="J4" s="1162"/>
      <c r="K4" s="1163"/>
      <c r="L4" s="115"/>
      <c r="M4" s="115"/>
      <c r="N4" s="115"/>
      <c r="O4" s="115"/>
      <c r="P4" s="115"/>
      <c r="Q4" s="115"/>
      <c r="R4" s="115"/>
      <c r="S4" s="115"/>
      <c r="T4" s="115"/>
      <c r="U4" s="115"/>
      <c r="V4" s="115"/>
    </row>
    <row r="5" spans="1:22" ht="12" customHeight="1">
      <c r="A5" s="1242"/>
      <c r="B5" s="1242"/>
      <c r="C5" s="1242"/>
      <c r="D5" s="1242"/>
      <c r="E5" s="1242"/>
      <c r="F5" s="1242"/>
      <c r="G5" s="1242"/>
      <c r="H5" s="1242"/>
      <c r="I5" s="1242"/>
      <c r="J5" s="1242"/>
      <c r="K5" s="115"/>
      <c r="L5" s="115"/>
      <c r="M5" s="115"/>
      <c r="N5" s="115"/>
      <c r="O5" s="115"/>
      <c r="P5" s="115"/>
      <c r="Q5" s="115"/>
      <c r="R5" s="115"/>
      <c r="S5" s="115"/>
      <c r="T5" s="115"/>
      <c r="U5" s="115"/>
      <c r="V5" s="115"/>
    </row>
    <row r="6" spans="1:22" ht="18">
      <c r="A6" s="1100" t="s">
        <v>2664</v>
      </c>
      <c r="B6" s="1101"/>
      <c r="C6" s="1102"/>
      <c r="D6" s="1102"/>
      <c r="E6" s="1102"/>
      <c r="F6" s="1102"/>
      <c r="G6" s="1100"/>
      <c r="H6" s="1102"/>
      <c r="I6" s="1102"/>
      <c r="J6" s="1102"/>
      <c r="K6" s="1139"/>
      <c r="L6" s="1139"/>
      <c r="M6" s="115"/>
      <c r="N6" s="115"/>
      <c r="O6" s="115"/>
      <c r="P6" s="115"/>
      <c r="Q6" s="115"/>
      <c r="R6" s="115"/>
      <c r="S6" s="115"/>
      <c r="T6" s="115"/>
      <c r="U6" s="115"/>
      <c r="V6" s="115"/>
    </row>
    <row r="7" spans="1:22" ht="20.25" customHeight="1">
      <c r="A7" s="1223" t="s">
        <v>2567</v>
      </c>
      <c r="B7" s="1101"/>
      <c r="C7" s="1102"/>
      <c r="D7" s="1102"/>
      <c r="E7" s="1102"/>
      <c r="F7" s="1102"/>
      <c r="G7" s="1102"/>
      <c r="H7" s="1102"/>
      <c r="I7" s="1102"/>
      <c r="J7" s="1102"/>
      <c r="K7" s="1139"/>
      <c r="L7" s="1139"/>
      <c r="M7" s="115"/>
      <c r="N7" s="115"/>
      <c r="O7" s="115"/>
      <c r="P7" s="115"/>
      <c r="Q7" s="115"/>
      <c r="R7" s="115"/>
      <c r="S7" s="115"/>
      <c r="T7" s="115"/>
      <c r="U7" s="115"/>
      <c r="V7" s="115"/>
    </row>
    <row r="8" spans="1:22" s="1109" customFormat="1" ht="33" customHeight="1">
      <c r="A8" s="1103" t="s">
        <v>713</v>
      </c>
      <c r="B8" s="1104"/>
      <c r="C8" s="1105">
        <v>5055</v>
      </c>
      <c r="D8" s="1106"/>
      <c r="E8" s="1106" t="str">
        <f>Gdata!C3</f>
        <v>HEIM (FRA 1.1.2020)</v>
      </c>
      <c r="F8" s="1106"/>
      <c r="G8" s="1107"/>
      <c r="H8" s="1108"/>
      <c r="I8" s="1108"/>
      <c r="J8" s="1108"/>
      <c r="K8" s="1108"/>
      <c r="L8" s="1108"/>
      <c r="M8" s="115"/>
      <c r="N8" s="1108"/>
      <c r="O8" s="1108"/>
      <c r="P8" s="1108"/>
      <c r="Q8" s="1108"/>
      <c r="R8" s="1108"/>
      <c r="S8" s="1108"/>
      <c r="T8" s="1108"/>
      <c r="U8" s="1108"/>
      <c r="V8" s="1108"/>
    </row>
    <row r="9" spans="1:22" ht="12" customHeight="1">
      <c r="A9" s="568"/>
      <c r="B9" s="274"/>
      <c r="C9" s="262"/>
      <c r="D9" s="262"/>
      <c r="E9" s="262"/>
      <c r="F9" s="262"/>
      <c r="G9" s="263"/>
      <c r="H9" s="303"/>
      <c r="I9" s="262"/>
      <c r="J9" s="262"/>
      <c r="K9" s="115"/>
      <c r="L9" s="115"/>
      <c r="M9" s="115"/>
      <c r="N9" s="115"/>
      <c r="O9" s="115"/>
      <c r="P9" s="115"/>
      <c r="Q9" s="115"/>
      <c r="R9" s="115"/>
      <c r="S9" s="115"/>
      <c r="T9" s="115"/>
      <c r="U9" s="115"/>
      <c r="V9" s="115"/>
    </row>
    <row r="10" spans="1:22" ht="15" customHeight="1">
      <c r="A10" s="210" t="s">
        <v>1080</v>
      </c>
      <c r="B10" s="210"/>
      <c r="C10" s="718" t="s">
        <v>1082</v>
      </c>
      <c r="D10" s="115"/>
      <c r="E10" s="210" t="s">
        <v>714</v>
      </c>
      <c r="F10" s="210"/>
      <c r="G10" s="667" t="s">
        <v>1083</v>
      </c>
      <c r="H10" s="115"/>
      <c r="I10" s="210" t="s">
        <v>1220</v>
      </c>
      <c r="J10" s="210"/>
      <c r="K10" s="718" t="s">
        <v>1221</v>
      </c>
      <c r="L10" s="115"/>
      <c r="M10" s="115"/>
      <c r="N10" s="115"/>
      <c r="O10" s="115"/>
      <c r="P10" s="115"/>
      <c r="Q10" s="115"/>
      <c r="R10" s="115"/>
      <c r="S10" s="115"/>
      <c r="T10" s="115"/>
      <c r="U10" s="115"/>
      <c r="V10" s="115"/>
    </row>
    <row r="11" spans="1:22" ht="15" customHeight="1">
      <c r="A11" s="210" t="s">
        <v>715</v>
      </c>
      <c r="B11" s="210"/>
      <c r="C11" s="667" t="s">
        <v>1081</v>
      </c>
      <c r="D11" s="115"/>
      <c r="E11" s="210"/>
      <c r="F11" s="210"/>
      <c r="G11" s="115"/>
      <c r="H11" s="115"/>
      <c r="I11" s="210" t="s">
        <v>1340</v>
      </c>
      <c r="J11" s="115"/>
      <c r="K11" s="718" t="s">
        <v>1341</v>
      </c>
      <c r="L11" s="115"/>
      <c r="M11" s="115"/>
      <c r="N11" s="115"/>
      <c r="O11" s="115"/>
      <c r="P11" s="115"/>
      <c r="Q11" s="115"/>
      <c r="R11" s="115"/>
      <c r="S11" s="115"/>
      <c r="T11" s="115"/>
      <c r="U11" s="115"/>
      <c r="V11" s="115"/>
    </row>
    <row r="12" spans="1:22" ht="15" customHeight="1">
      <c r="A12" s="115"/>
      <c r="B12" s="115"/>
      <c r="C12" s="115"/>
      <c r="D12" s="115"/>
      <c r="E12" s="210" t="s">
        <v>708</v>
      </c>
      <c r="F12" s="210"/>
      <c r="G12" s="666" t="s">
        <v>1084</v>
      </c>
      <c r="H12" s="115"/>
      <c r="I12" s="210" t="s">
        <v>1458</v>
      </c>
      <c r="J12" s="115"/>
      <c r="K12" s="718" t="s">
        <v>1457</v>
      </c>
      <c r="L12" s="115"/>
      <c r="M12" s="115"/>
      <c r="N12" s="115"/>
      <c r="O12" s="115"/>
      <c r="P12" s="115"/>
      <c r="Q12" s="115"/>
      <c r="R12" s="115"/>
      <c r="S12" s="115"/>
      <c r="T12" s="115"/>
      <c r="U12" s="115"/>
      <c r="V12" s="115"/>
    </row>
    <row r="13" spans="1:22" ht="15" customHeight="1">
      <c r="A13" s="210" t="s">
        <v>2480</v>
      </c>
      <c r="B13" s="210"/>
      <c r="C13" s="790" t="s">
        <v>2482</v>
      </c>
      <c r="D13" s="115"/>
      <c r="E13" s="115"/>
      <c r="F13" s="115"/>
      <c r="G13" s="115"/>
      <c r="H13" s="115"/>
      <c r="I13" s="210" t="s">
        <v>2019</v>
      </c>
      <c r="J13" s="115"/>
      <c r="K13" s="718" t="s">
        <v>2020</v>
      </c>
      <c r="L13" s="115"/>
      <c r="M13" s="115"/>
      <c r="N13" s="115"/>
      <c r="O13" s="115"/>
      <c r="P13" s="115"/>
      <c r="Q13" s="115"/>
      <c r="R13" s="115"/>
      <c r="S13" s="115"/>
      <c r="T13" s="115"/>
      <c r="U13" s="115"/>
      <c r="V13" s="115"/>
    </row>
    <row r="14" spans="1:22" ht="15" customHeight="1">
      <c r="A14" s="210" t="s">
        <v>2481</v>
      </c>
      <c r="B14" s="210"/>
      <c r="C14" s="790" t="s">
        <v>2483</v>
      </c>
      <c r="D14" s="115"/>
      <c r="E14" s="210" t="s">
        <v>716</v>
      </c>
      <c r="F14" s="210"/>
      <c r="G14" s="667" t="s">
        <v>1085</v>
      </c>
      <c r="H14" s="115"/>
      <c r="I14" s="210" t="s">
        <v>2149</v>
      </c>
      <c r="J14" s="115"/>
      <c r="K14" s="718" t="s">
        <v>2150</v>
      </c>
      <c r="L14" s="115"/>
      <c r="M14" s="115"/>
      <c r="N14" s="115"/>
      <c r="O14" s="115"/>
      <c r="P14" s="115"/>
      <c r="Q14" s="115"/>
      <c r="R14" s="115"/>
      <c r="S14" s="115"/>
      <c r="T14" s="115"/>
      <c r="U14" s="115"/>
      <c r="V14" s="115"/>
    </row>
    <row r="15" spans="1:22" ht="15" customHeight="1">
      <c r="A15" s="115"/>
      <c r="B15" s="115"/>
      <c r="C15" s="115"/>
      <c r="D15" s="115"/>
      <c r="E15" s="115"/>
      <c r="F15" s="115"/>
      <c r="G15" s="115"/>
      <c r="H15" s="115"/>
      <c r="I15" s="210" t="s">
        <v>2478</v>
      </c>
      <c r="J15" s="115"/>
      <c r="K15" s="790" t="s">
        <v>2479</v>
      </c>
      <c r="L15" s="115"/>
      <c r="M15" s="115"/>
      <c r="N15" s="115"/>
      <c r="O15" s="115"/>
      <c r="P15" s="115"/>
      <c r="Q15" s="115"/>
      <c r="R15" s="115"/>
      <c r="S15" s="115"/>
      <c r="T15" s="115"/>
      <c r="U15" s="115"/>
      <c r="V15" s="115"/>
    </row>
    <row r="16" spans="1:22" ht="15" customHeight="1">
      <c r="A16" s="210" t="s">
        <v>1437</v>
      </c>
      <c r="B16" s="210"/>
      <c r="C16" s="718" t="s">
        <v>1961</v>
      </c>
      <c r="D16" s="115"/>
      <c r="E16" s="210" t="s">
        <v>2218</v>
      </c>
      <c r="F16" s="210"/>
      <c r="G16" s="667" t="s">
        <v>1086</v>
      </c>
      <c r="H16" s="115"/>
      <c r="I16" s="115"/>
      <c r="J16" s="115"/>
      <c r="K16" s="115"/>
      <c r="L16" s="115"/>
      <c r="M16" s="115"/>
      <c r="N16" s="115"/>
      <c r="O16" s="115"/>
      <c r="P16" s="115"/>
      <c r="Q16" s="115"/>
      <c r="R16" s="115"/>
      <c r="S16" s="115"/>
      <c r="T16" s="115"/>
      <c r="U16" s="115"/>
      <c r="V16" s="115"/>
    </row>
    <row r="17" spans="1:22" ht="15" customHeight="1">
      <c r="A17" s="210" t="s">
        <v>1960</v>
      </c>
      <c r="B17" s="210"/>
      <c r="C17" s="718" t="s">
        <v>2059</v>
      </c>
      <c r="D17" s="115"/>
      <c r="E17" s="115"/>
      <c r="F17" s="115"/>
      <c r="G17" s="115"/>
      <c r="H17" s="115"/>
      <c r="I17" s="211" t="s">
        <v>1381</v>
      </c>
      <c r="J17" s="115"/>
      <c r="K17" s="790" t="s">
        <v>1380</v>
      </c>
      <c r="L17" s="718"/>
      <c r="M17" s="115"/>
      <c r="N17" s="115"/>
      <c r="O17" s="115"/>
      <c r="P17" s="115"/>
      <c r="Q17" s="115"/>
      <c r="R17" s="115"/>
      <c r="S17" s="115"/>
      <c r="T17" s="115"/>
      <c r="U17" s="115"/>
      <c r="V17" s="115"/>
    </row>
    <row r="18" spans="1:22" ht="15" customHeight="1">
      <c r="A18" s="210" t="s">
        <v>2058</v>
      </c>
      <c r="B18" s="210"/>
      <c r="C18" s="790" t="s">
        <v>2250</v>
      </c>
      <c r="D18" s="115"/>
      <c r="E18" s="210" t="s">
        <v>1384</v>
      </c>
      <c r="F18" s="210"/>
      <c r="G18" s="667" t="s">
        <v>1088</v>
      </c>
      <c r="H18" s="115"/>
      <c r="I18" s="211" t="s">
        <v>1382</v>
      </c>
      <c r="J18" s="115"/>
      <c r="K18" s="790" t="s">
        <v>1383</v>
      </c>
      <c r="L18" s="718"/>
      <c r="M18" s="115"/>
      <c r="N18" s="115"/>
      <c r="O18" s="115"/>
      <c r="P18" s="115"/>
      <c r="Q18" s="115"/>
      <c r="R18" s="115"/>
      <c r="S18" s="115"/>
      <c r="T18" s="115"/>
      <c r="U18" s="115"/>
      <c r="V18" s="115"/>
    </row>
    <row r="19" spans="1:22" ht="15" customHeight="1">
      <c r="A19" s="115"/>
      <c r="B19" s="115"/>
      <c r="C19" s="115"/>
      <c r="D19" s="115"/>
      <c r="E19" s="210"/>
      <c r="F19" s="210"/>
      <c r="G19" s="210"/>
      <c r="H19" s="115"/>
      <c r="I19" s="211"/>
      <c r="J19" s="115"/>
      <c r="K19" s="115"/>
      <c r="L19" s="115"/>
      <c r="M19" s="115"/>
      <c r="N19" s="115"/>
      <c r="O19" s="115"/>
      <c r="P19" s="115"/>
      <c r="Q19" s="115"/>
      <c r="R19" s="115"/>
      <c r="S19" s="115"/>
      <c r="T19" s="115"/>
      <c r="U19" s="115"/>
      <c r="V19" s="115"/>
    </row>
    <row r="20" spans="1:22" ht="15" customHeight="1">
      <c r="A20" s="115"/>
      <c r="B20" s="115"/>
      <c r="C20" s="115"/>
      <c r="D20" s="115"/>
      <c r="E20" s="210" t="s">
        <v>718</v>
      </c>
      <c r="F20" s="210"/>
      <c r="G20" s="667" t="s">
        <v>1087</v>
      </c>
      <c r="H20" s="115"/>
      <c r="I20" s="211" t="s">
        <v>2248</v>
      </c>
      <c r="J20" s="115"/>
      <c r="K20" s="790" t="s">
        <v>2249</v>
      </c>
      <c r="L20" s="115"/>
      <c r="M20" s="115"/>
      <c r="N20" s="115"/>
      <c r="O20" s="115"/>
      <c r="P20" s="115"/>
      <c r="Q20" s="115"/>
      <c r="R20" s="115"/>
      <c r="S20" s="115"/>
      <c r="T20" s="115"/>
      <c r="U20" s="115"/>
      <c r="V20" s="115"/>
    </row>
    <row r="21" spans="1:22" ht="15" customHeight="1">
      <c r="A21" s="115"/>
      <c r="B21" s="115"/>
      <c r="C21" s="115"/>
      <c r="D21" s="115"/>
      <c r="E21" s="210"/>
      <c r="F21" s="210"/>
      <c r="G21" s="667"/>
      <c r="H21" s="115"/>
      <c r="I21" s="211" t="s">
        <v>2506</v>
      </c>
      <c r="J21" s="115"/>
      <c r="K21" s="790" t="s">
        <v>2507</v>
      </c>
      <c r="L21" s="115"/>
      <c r="M21" s="115"/>
      <c r="N21" s="115"/>
      <c r="O21" s="115"/>
      <c r="P21" s="115"/>
      <c r="Q21" s="115"/>
      <c r="R21" s="115"/>
      <c r="S21" s="115"/>
      <c r="T21" s="115"/>
      <c r="U21" s="115"/>
      <c r="V21" s="115"/>
    </row>
    <row r="22" spans="1:22" ht="6.65" customHeight="1">
      <c r="A22" s="115"/>
      <c r="B22" s="115"/>
      <c r="C22" s="115"/>
      <c r="D22" s="210"/>
      <c r="E22" s="115"/>
      <c r="F22" s="115"/>
      <c r="G22" s="115"/>
      <c r="H22" s="115"/>
      <c r="I22" s="211"/>
      <c r="J22" s="115"/>
      <c r="K22" s="115"/>
      <c r="L22" s="115"/>
      <c r="M22" s="115"/>
      <c r="N22" s="115"/>
      <c r="O22" s="115"/>
      <c r="P22" s="115"/>
      <c r="Q22" s="115"/>
      <c r="R22" s="115"/>
      <c r="S22" s="115"/>
      <c r="T22" s="115"/>
      <c r="U22" s="115"/>
      <c r="V22" s="115"/>
    </row>
    <row r="23" spans="1:22" ht="27" customHeight="1">
      <c r="A23" s="663" t="s">
        <v>1078</v>
      </c>
      <c r="B23" s="663"/>
      <c r="C23" s="664"/>
      <c r="D23" s="665"/>
      <c r="E23" s="665"/>
      <c r="F23" s="665"/>
      <c r="G23" s="115"/>
      <c r="H23" s="115"/>
      <c r="I23" s="115"/>
      <c r="J23" s="115"/>
      <c r="K23" s="115"/>
      <c r="L23" s="115"/>
      <c r="M23" s="115"/>
      <c r="N23" s="115"/>
      <c r="O23" s="115"/>
      <c r="P23" s="115"/>
      <c r="Q23" s="115"/>
      <c r="R23" s="115"/>
      <c r="S23" s="115"/>
      <c r="T23" s="115"/>
      <c r="U23" s="115"/>
      <c r="V23" s="115"/>
    </row>
    <row r="24" spans="1:22" ht="13.5" customHeight="1">
      <c r="A24" s="309"/>
      <c r="B24" s="308"/>
      <c r="C24" s="308"/>
      <c r="D24" s="308"/>
      <c r="E24" s="308"/>
      <c r="F24" s="308"/>
      <c r="G24" s="308"/>
      <c r="H24" s="308"/>
      <c r="I24" s="308"/>
      <c r="J24" s="453"/>
      <c r="K24" s="115"/>
      <c r="L24" s="115"/>
      <c r="M24" s="115"/>
      <c r="N24" s="115"/>
      <c r="O24" s="115"/>
      <c r="P24" s="115"/>
      <c r="Q24" s="115"/>
      <c r="R24" s="115"/>
      <c r="S24" s="115"/>
      <c r="T24" s="115"/>
      <c r="U24" s="115"/>
      <c r="V24" s="115"/>
    </row>
    <row r="25" spans="1:22" ht="13.5" customHeight="1">
      <c r="A25" s="309"/>
      <c r="B25" s="308"/>
      <c r="C25" s="308"/>
      <c r="D25" s="308"/>
      <c r="E25" s="308"/>
      <c r="F25" s="308"/>
      <c r="G25" s="308"/>
      <c r="H25" s="308"/>
      <c r="I25" s="308"/>
      <c r="J25" s="453"/>
      <c r="K25" s="115"/>
      <c r="L25" s="115"/>
      <c r="M25" s="115"/>
      <c r="N25" s="115"/>
      <c r="O25" s="115"/>
      <c r="P25" s="115"/>
      <c r="Q25" s="115"/>
      <c r="R25" s="115"/>
      <c r="S25" s="115"/>
      <c r="T25" s="115"/>
      <c r="U25" s="115"/>
      <c r="V25" s="115"/>
    </row>
    <row r="26" spans="1:22" ht="13.5" customHeight="1">
      <c r="A26" s="309"/>
      <c r="B26" s="308"/>
      <c r="C26" s="308"/>
      <c r="D26" s="308"/>
      <c r="E26" s="308"/>
      <c r="F26" s="308"/>
      <c r="G26" s="308"/>
      <c r="H26" s="308"/>
      <c r="I26" s="308"/>
      <c r="J26" s="453"/>
      <c r="K26" s="115"/>
      <c r="L26" s="115"/>
      <c r="M26" s="115"/>
      <c r="N26" s="115"/>
      <c r="O26" s="115"/>
      <c r="P26" s="115"/>
      <c r="Q26" s="115"/>
      <c r="R26" s="115"/>
      <c r="S26" s="115"/>
      <c r="T26" s="115"/>
      <c r="U26" s="115"/>
      <c r="V26" s="115"/>
    </row>
    <row r="27" spans="1:22" ht="13.5" customHeight="1">
      <c r="A27" s="309"/>
      <c r="B27" s="308"/>
      <c r="C27" s="308"/>
      <c r="D27" s="308"/>
      <c r="E27" s="308"/>
      <c r="F27" s="308"/>
      <c r="G27" s="308"/>
      <c r="H27" s="308"/>
      <c r="I27" s="308"/>
      <c r="J27" s="453"/>
      <c r="K27" s="115"/>
      <c r="L27" s="115"/>
      <c r="M27" s="115"/>
      <c r="N27" s="115"/>
      <c r="O27" s="115"/>
      <c r="P27" s="115"/>
      <c r="Q27" s="115"/>
      <c r="R27" s="115"/>
      <c r="S27" s="115"/>
      <c r="T27" s="115"/>
      <c r="U27" s="115"/>
      <c r="V27" s="115"/>
    </row>
    <row r="28" spans="1:22" ht="13.5" customHeight="1">
      <c r="A28" s="310"/>
      <c r="B28" s="308"/>
      <c r="C28" s="308"/>
      <c r="D28" s="308"/>
      <c r="E28" s="308"/>
      <c r="F28" s="308"/>
      <c r="G28" s="308"/>
      <c r="H28" s="308"/>
      <c r="I28" s="308"/>
      <c r="J28" s="453"/>
      <c r="K28" s="115"/>
      <c r="L28" s="115"/>
      <c r="M28" s="115"/>
      <c r="N28" s="115"/>
      <c r="O28" s="115"/>
      <c r="P28" s="115"/>
      <c r="Q28" s="115"/>
      <c r="R28" s="115"/>
      <c r="S28" s="115"/>
      <c r="T28" s="115"/>
      <c r="U28" s="115"/>
      <c r="V28" s="115"/>
    </row>
    <row r="29" spans="1:22" ht="13.5" customHeight="1">
      <c r="A29" s="311"/>
      <c r="B29" s="308"/>
      <c r="C29" s="308"/>
      <c r="D29" s="308"/>
      <c r="E29" s="308"/>
      <c r="F29" s="308"/>
      <c r="G29" s="308"/>
      <c r="H29" s="308"/>
      <c r="I29" s="308"/>
      <c r="J29" s="453"/>
      <c r="K29" s="115"/>
      <c r="L29" s="115"/>
      <c r="M29" s="115"/>
      <c r="N29" s="115"/>
      <c r="O29" s="115"/>
      <c r="P29" s="115"/>
      <c r="Q29" s="115"/>
      <c r="R29" s="115"/>
      <c r="S29" s="115"/>
      <c r="T29" s="115"/>
      <c r="U29" s="115"/>
      <c r="V29" s="115"/>
    </row>
    <row r="30" spans="1:22" ht="13.5" customHeight="1">
      <c r="A30" s="311"/>
      <c r="B30" s="308"/>
      <c r="C30" s="308"/>
      <c r="D30" s="308"/>
      <c r="E30" s="308"/>
      <c r="F30" s="308"/>
      <c r="G30" s="308"/>
      <c r="H30" s="308"/>
      <c r="I30" s="308"/>
      <c r="J30" s="453"/>
      <c r="K30" s="115"/>
      <c r="L30" s="115"/>
      <c r="M30" s="115"/>
      <c r="N30" s="115"/>
      <c r="O30" s="115"/>
      <c r="P30" s="115"/>
      <c r="Q30" s="115"/>
      <c r="R30" s="115"/>
      <c r="S30" s="115"/>
      <c r="T30" s="115"/>
      <c r="U30" s="115"/>
      <c r="V30" s="115"/>
    </row>
    <row r="31" spans="1:22" ht="13.5" customHeight="1">
      <c r="A31" s="311"/>
      <c r="B31" s="308"/>
      <c r="C31" s="308"/>
      <c r="D31" s="308"/>
      <c r="E31" s="308"/>
      <c r="F31" s="308"/>
      <c r="G31" s="308"/>
      <c r="H31" s="308"/>
      <c r="I31" s="308"/>
      <c r="J31" s="453"/>
      <c r="K31" s="115"/>
      <c r="L31" s="115"/>
      <c r="M31" s="115"/>
      <c r="N31" s="115"/>
      <c r="O31" s="115"/>
      <c r="P31" s="115"/>
      <c r="Q31" s="115"/>
      <c r="R31" s="115"/>
      <c r="S31" s="115"/>
      <c r="T31" s="115"/>
      <c r="U31" s="115"/>
      <c r="V31" s="115"/>
    </row>
    <row r="32" spans="1:22" ht="13.5" customHeight="1">
      <c r="A32" s="311"/>
      <c r="B32" s="308"/>
      <c r="C32" s="308"/>
      <c r="D32" s="308"/>
      <c r="E32" s="308"/>
      <c r="F32" s="308"/>
      <c r="G32" s="308"/>
      <c r="H32" s="308"/>
      <c r="I32" s="308"/>
      <c r="J32" s="453"/>
      <c r="K32" s="115"/>
      <c r="L32" s="115"/>
      <c r="M32" s="115"/>
      <c r="N32" s="115"/>
      <c r="O32" s="115"/>
      <c r="P32" s="115"/>
      <c r="Q32" s="115"/>
      <c r="R32" s="115"/>
      <c r="S32" s="115"/>
      <c r="T32" s="115"/>
      <c r="U32" s="115"/>
      <c r="V32" s="115"/>
    </row>
    <row r="33" spans="1:22" ht="13.5" customHeight="1">
      <c r="A33" s="311"/>
      <c r="B33" s="308"/>
      <c r="C33" s="308"/>
      <c r="D33" s="308"/>
      <c r="E33" s="308"/>
      <c r="F33" s="308"/>
      <c r="G33" s="308"/>
      <c r="H33" s="308"/>
      <c r="I33" s="308"/>
      <c r="J33" s="453"/>
      <c r="K33" s="115"/>
      <c r="L33" s="115"/>
      <c r="M33" s="115"/>
      <c r="N33" s="115"/>
      <c r="O33" s="115"/>
      <c r="P33" s="115"/>
      <c r="Q33" s="115"/>
      <c r="R33" s="115"/>
      <c r="S33" s="115"/>
      <c r="T33" s="115"/>
      <c r="U33" s="115"/>
      <c r="V33" s="115"/>
    </row>
    <row r="34" spans="1:22" ht="13.5" customHeight="1">
      <c r="A34" s="311"/>
      <c r="B34" s="308"/>
      <c r="C34" s="308"/>
      <c r="D34" s="308"/>
      <c r="E34" s="308"/>
      <c r="F34" s="308"/>
      <c r="G34" s="308"/>
      <c r="H34" s="308"/>
      <c r="I34" s="308"/>
      <c r="J34" s="453"/>
      <c r="K34" s="115"/>
      <c r="L34" s="115"/>
      <c r="M34" s="115"/>
      <c r="N34" s="115"/>
      <c r="O34" s="115"/>
      <c r="P34" s="115"/>
      <c r="Q34" s="115"/>
      <c r="R34" s="115"/>
      <c r="S34" s="115"/>
      <c r="T34" s="115"/>
      <c r="U34" s="115"/>
      <c r="V34" s="115"/>
    </row>
    <row r="35" spans="1:22" ht="13.5" customHeight="1">
      <c r="A35" s="311"/>
      <c r="B35" s="308"/>
      <c r="C35" s="308"/>
      <c r="D35" s="308"/>
      <c r="E35" s="308"/>
      <c r="F35" s="308"/>
      <c r="G35" s="308"/>
      <c r="H35" s="308"/>
      <c r="I35" s="308"/>
      <c r="J35" s="453"/>
      <c r="K35" s="115"/>
      <c r="L35" s="115"/>
      <c r="M35" s="115"/>
      <c r="N35" s="115"/>
      <c r="O35" s="115"/>
      <c r="P35" s="115"/>
      <c r="Q35" s="115"/>
      <c r="R35" s="115"/>
      <c r="S35" s="115"/>
      <c r="T35" s="115"/>
      <c r="U35" s="115"/>
      <c r="V35" s="115"/>
    </row>
    <row r="36" spans="1:22" ht="13.5" customHeight="1">
      <c r="A36" s="311"/>
      <c r="B36" s="308"/>
      <c r="C36" s="308"/>
      <c r="D36" s="308"/>
      <c r="E36" s="308"/>
      <c r="F36" s="308"/>
      <c r="G36" s="308"/>
      <c r="H36" s="308"/>
      <c r="I36" s="308"/>
      <c r="J36" s="453"/>
      <c r="K36" s="115"/>
      <c r="L36" s="115"/>
      <c r="M36" s="115"/>
      <c r="N36" s="115"/>
      <c r="O36" s="115"/>
      <c r="P36" s="115"/>
      <c r="Q36" s="115"/>
      <c r="R36" s="115"/>
      <c r="S36" s="115"/>
      <c r="T36" s="115"/>
      <c r="U36" s="115"/>
      <c r="V36" s="115"/>
    </row>
    <row r="37" spans="1:22" ht="13.5" customHeight="1">
      <c r="A37" s="311"/>
      <c r="B37" s="308"/>
      <c r="C37" s="308"/>
      <c r="D37" s="308"/>
      <c r="E37" s="308"/>
      <c r="F37" s="308"/>
      <c r="G37" s="308"/>
      <c r="H37" s="308"/>
      <c r="I37" s="308"/>
      <c r="J37" s="453"/>
      <c r="K37" s="115"/>
      <c r="L37" s="115"/>
      <c r="M37" s="115"/>
      <c r="N37" s="115"/>
      <c r="O37" s="115"/>
      <c r="P37" s="115"/>
      <c r="Q37" s="115"/>
      <c r="R37" s="115"/>
      <c r="S37" s="115"/>
      <c r="T37" s="115"/>
      <c r="U37" s="115"/>
      <c r="V37" s="115"/>
    </row>
    <row r="38" spans="1:22" ht="13.5" customHeight="1">
      <c r="A38" s="311"/>
      <c r="B38" s="308"/>
      <c r="C38" s="308"/>
      <c r="D38" s="308"/>
      <c r="E38" s="308"/>
      <c r="F38" s="308"/>
      <c r="G38" s="308"/>
      <c r="H38" s="308"/>
      <c r="I38" s="308"/>
      <c r="J38" s="453"/>
      <c r="K38" s="115"/>
      <c r="L38" s="115"/>
      <c r="M38" s="115"/>
      <c r="N38" s="115"/>
      <c r="O38" s="115"/>
      <c r="P38" s="115"/>
      <c r="Q38" s="115"/>
      <c r="R38" s="115"/>
      <c r="S38" s="115"/>
      <c r="T38" s="115"/>
      <c r="U38" s="115"/>
      <c r="V38" s="115"/>
    </row>
    <row r="39" spans="1:22" ht="13.5" customHeight="1">
      <c r="A39" s="453"/>
      <c r="B39" s="453"/>
      <c r="C39" s="661"/>
      <c r="D39" s="661"/>
      <c r="E39" s="662"/>
      <c r="F39" s="453"/>
      <c r="G39" s="453"/>
      <c r="H39" s="453"/>
      <c r="I39" s="453"/>
      <c r="J39" s="453"/>
      <c r="K39" s="115"/>
      <c r="L39" s="115"/>
      <c r="M39" s="115"/>
      <c r="N39" s="115"/>
      <c r="O39" s="115"/>
      <c r="P39" s="115"/>
      <c r="Q39" s="115"/>
      <c r="R39" s="115"/>
      <c r="S39" s="115"/>
      <c r="T39" s="115"/>
      <c r="U39" s="115"/>
      <c r="V39" s="115"/>
    </row>
    <row r="40" spans="1:22" ht="13.5" customHeight="1">
      <c r="A40" s="453"/>
      <c r="B40" s="453"/>
      <c r="C40" s="661"/>
      <c r="D40" s="661"/>
      <c r="E40" s="662"/>
      <c r="F40" s="453"/>
      <c r="G40" s="453"/>
      <c r="H40" s="453"/>
      <c r="I40" s="453"/>
      <c r="J40" s="453"/>
      <c r="K40" s="115"/>
      <c r="L40" s="115"/>
      <c r="M40" s="115"/>
      <c r="N40" s="115"/>
      <c r="O40" s="115"/>
      <c r="P40" s="115"/>
      <c r="Q40" s="115"/>
      <c r="R40" s="115"/>
      <c r="S40" s="115"/>
      <c r="T40" s="115"/>
      <c r="U40" s="115"/>
      <c r="V40" s="115"/>
    </row>
    <row r="41" spans="1:22" ht="13.5" customHeight="1">
      <c r="A41" s="453"/>
      <c r="B41" s="453"/>
      <c r="C41" s="661"/>
      <c r="D41" s="661"/>
      <c r="E41" s="662"/>
      <c r="F41" s="453"/>
      <c r="G41" s="453"/>
      <c r="H41" s="453"/>
      <c r="I41" s="453"/>
      <c r="J41" s="453"/>
      <c r="K41" s="115"/>
      <c r="L41" s="115"/>
      <c r="M41" s="115"/>
      <c r="N41" s="115"/>
      <c r="O41" s="115"/>
      <c r="P41" s="115"/>
      <c r="Q41" s="115"/>
      <c r="R41" s="115"/>
      <c r="S41" s="115"/>
      <c r="T41" s="115"/>
      <c r="U41" s="115"/>
      <c r="V41" s="115"/>
    </row>
    <row r="42" spans="1:22" ht="13.5" customHeight="1">
      <c r="A42" s="453"/>
      <c r="B42" s="453"/>
      <c r="C42" s="661"/>
      <c r="D42" s="661"/>
      <c r="E42" s="662"/>
      <c r="F42" s="453"/>
      <c r="G42" s="453"/>
      <c r="H42" s="453"/>
      <c r="I42" s="453"/>
      <c r="J42" s="453"/>
      <c r="K42" s="115"/>
      <c r="L42" s="115"/>
      <c r="M42" s="115"/>
      <c r="N42" s="115"/>
      <c r="O42" s="115"/>
      <c r="P42" s="115"/>
      <c r="Q42" s="115"/>
      <c r="R42" s="115"/>
      <c r="S42" s="115"/>
      <c r="T42" s="115"/>
      <c r="U42" s="115"/>
      <c r="V42" s="115"/>
    </row>
    <row r="43" spans="1:22" ht="13.5" customHeight="1">
      <c r="A43" s="453"/>
      <c r="B43" s="453"/>
      <c r="C43" s="661"/>
      <c r="D43" s="661"/>
      <c r="E43" s="662"/>
      <c r="F43" s="453"/>
      <c r="G43" s="453"/>
      <c r="H43" s="453"/>
      <c r="I43" s="453"/>
      <c r="J43" s="453"/>
      <c r="K43" s="115"/>
      <c r="L43" s="115"/>
      <c r="M43" s="115"/>
      <c r="N43" s="115"/>
      <c r="O43" s="115"/>
      <c r="P43" s="115"/>
      <c r="Q43" s="115"/>
      <c r="R43" s="115"/>
      <c r="S43" s="115"/>
      <c r="T43" s="115"/>
      <c r="U43" s="115"/>
      <c r="V43" s="115"/>
    </row>
    <row r="44" spans="1:22" ht="13.5" customHeight="1">
      <c r="A44" s="453"/>
      <c r="B44" s="453"/>
      <c r="C44" s="661"/>
      <c r="D44" s="661"/>
      <c r="E44" s="662"/>
      <c r="F44" s="453"/>
      <c r="G44" s="453"/>
      <c r="H44" s="453"/>
      <c r="I44" s="453"/>
      <c r="J44" s="453"/>
      <c r="K44" s="115"/>
      <c r="L44" s="115"/>
      <c r="M44" s="115"/>
      <c r="N44" s="115"/>
      <c r="O44" s="115"/>
      <c r="P44" s="115"/>
      <c r="Q44" s="115"/>
      <c r="R44" s="115"/>
      <c r="S44" s="115"/>
      <c r="T44" s="115"/>
      <c r="U44" s="115"/>
      <c r="V44" s="115"/>
    </row>
    <row r="45" spans="1:22" ht="13.5" customHeight="1">
      <c r="A45" s="453"/>
      <c r="B45" s="453"/>
      <c r="C45" s="661"/>
      <c r="D45" s="661"/>
      <c r="E45" s="662"/>
      <c r="F45" s="453"/>
      <c r="G45" s="453"/>
      <c r="H45" s="453"/>
      <c r="I45" s="453"/>
      <c r="J45" s="453"/>
      <c r="K45" s="115"/>
      <c r="L45" s="115"/>
      <c r="M45" s="115"/>
      <c r="N45" s="115"/>
      <c r="O45" s="115"/>
      <c r="P45" s="115"/>
      <c r="Q45" s="115"/>
      <c r="R45" s="115"/>
      <c r="S45" s="115"/>
      <c r="T45" s="115"/>
      <c r="U45" s="115"/>
      <c r="V45" s="115"/>
    </row>
    <row r="46" spans="1:22" ht="13.5" customHeight="1">
      <c r="A46" s="453"/>
      <c r="B46" s="453"/>
      <c r="C46" s="661"/>
      <c r="D46" s="661"/>
      <c r="E46" s="662"/>
      <c r="F46" s="453"/>
      <c r="G46" s="453"/>
      <c r="H46" s="453"/>
      <c r="I46" s="453"/>
      <c r="J46" s="453"/>
      <c r="K46" s="115"/>
      <c r="L46" s="115"/>
      <c r="M46" s="115"/>
      <c r="N46" s="115"/>
      <c r="O46" s="115"/>
      <c r="P46" s="115"/>
      <c r="Q46" s="115"/>
      <c r="R46" s="115"/>
      <c r="S46" s="115"/>
      <c r="T46" s="115"/>
      <c r="U46" s="115"/>
      <c r="V46" s="115"/>
    </row>
    <row r="47" spans="1:22" ht="13.5" customHeight="1">
      <c r="A47" s="453"/>
      <c r="B47" s="453"/>
      <c r="C47" s="661"/>
      <c r="D47" s="661"/>
      <c r="E47" s="662"/>
      <c r="F47" s="453"/>
      <c r="G47" s="453"/>
      <c r="H47" s="453"/>
      <c r="I47" s="453"/>
      <c r="J47" s="453"/>
      <c r="K47" s="115"/>
      <c r="L47" s="115"/>
      <c r="M47" s="115"/>
      <c r="N47" s="115"/>
      <c r="O47" s="115"/>
      <c r="P47" s="115"/>
      <c r="Q47" s="115"/>
      <c r="R47" s="115"/>
      <c r="S47" s="115"/>
      <c r="T47" s="115"/>
      <c r="U47" s="115"/>
      <c r="V47" s="115"/>
    </row>
    <row r="48" spans="1:22" ht="13.5" customHeight="1">
      <c r="A48" s="453"/>
      <c r="B48" s="453"/>
      <c r="C48" s="661"/>
      <c r="D48" s="661"/>
      <c r="E48" s="662"/>
      <c r="F48" s="453"/>
      <c r="G48" s="453"/>
      <c r="H48" s="453"/>
      <c r="I48" s="453"/>
      <c r="J48" s="453"/>
      <c r="K48" s="115"/>
      <c r="L48" s="115"/>
      <c r="M48" s="115"/>
      <c r="N48" s="115"/>
      <c r="O48" s="115"/>
      <c r="P48" s="115"/>
      <c r="Q48" s="115"/>
      <c r="R48" s="115"/>
      <c r="S48" s="115"/>
      <c r="T48" s="115"/>
      <c r="U48" s="115"/>
      <c r="V48" s="115"/>
    </row>
    <row r="49" spans="1:22" ht="13.5" customHeight="1">
      <c r="A49" s="453"/>
      <c r="B49" s="453"/>
      <c r="C49" s="661"/>
      <c r="D49" s="661"/>
      <c r="E49" s="662"/>
      <c r="F49" s="453"/>
      <c r="G49" s="453"/>
      <c r="H49" s="453"/>
      <c r="I49" s="453"/>
      <c r="J49" s="453"/>
      <c r="K49" s="115"/>
      <c r="L49" s="115"/>
      <c r="M49" s="115"/>
      <c r="N49" s="115"/>
      <c r="O49" s="115"/>
      <c r="P49" s="115"/>
      <c r="Q49" s="115"/>
      <c r="R49" s="115"/>
      <c r="S49" s="115"/>
      <c r="T49" s="115"/>
      <c r="U49" s="115"/>
      <c r="V49" s="115"/>
    </row>
    <row r="50" spans="1:22" ht="13.5" customHeight="1">
      <c r="A50" s="453"/>
      <c r="B50" s="453"/>
      <c r="C50" s="661"/>
      <c r="D50" s="661"/>
      <c r="E50" s="662"/>
      <c r="F50" s="453"/>
      <c r="G50" s="453"/>
      <c r="H50" s="453"/>
      <c r="I50" s="453"/>
      <c r="J50" s="453"/>
      <c r="K50" s="115"/>
      <c r="L50" s="115"/>
      <c r="M50" s="115"/>
      <c r="N50" s="115"/>
      <c r="O50" s="115"/>
      <c r="P50" s="115"/>
      <c r="Q50" s="115"/>
      <c r="R50" s="115"/>
      <c r="S50" s="115"/>
      <c r="T50" s="115"/>
      <c r="U50" s="115"/>
      <c r="V50" s="115"/>
    </row>
    <row r="51" spans="1:22" ht="13.5" customHeight="1">
      <c r="A51" s="453"/>
      <c r="B51" s="453"/>
      <c r="C51" s="661"/>
      <c r="D51" s="661"/>
      <c r="E51" s="662"/>
      <c r="F51" s="453"/>
      <c r="G51" s="453"/>
      <c r="H51" s="453"/>
      <c r="I51" s="453"/>
      <c r="J51" s="453"/>
      <c r="K51" s="115"/>
      <c r="L51" s="115"/>
      <c r="M51" s="115"/>
      <c r="N51" s="115"/>
      <c r="O51" s="115"/>
      <c r="P51" s="115"/>
      <c r="Q51" s="115"/>
      <c r="R51" s="115"/>
      <c r="S51" s="115"/>
      <c r="T51" s="115"/>
      <c r="U51" s="115"/>
      <c r="V51" s="115"/>
    </row>
    <row r="52" spans="1:22" ht="13.5" customHeight="1">
      <c r="A52" s="453"/>
      <c r="B52" s="453"/>
      <c r="C52" s="661"/>
      <c r="D52" s="661"/>
      <c r="E52" s="662"/>
      <c r="F52" s="453"/>
      <c r="G52" s="453"/>
      <c r="H52" s="453"/>
      <c r="I52" s="453"/>
      <c r="J52" s="453"/>
      <c r="K52" s="115"/>
      <c r="L52" s="115"/>
      <c r="M52" s="115"/>
      <c r="N52" s="115"/>
      <c r="O52" s="115"/>
      <c r="P52" s="115"/>
      <c r="Q52" s="115"/>
      <c r="R52" s="115"/>
      <c r="S52" s="115"/>
      <c r="T52" s="115"/>
      <c r="U52" s="115"/>
      <c r="V52" s="115"/>
    </row>
    <row r="53" spans="1:22" ht="13.5" customHeight="1">
      <c r="A53" s="453"/>
      <c r="B53" s="453"/>
      <c r="C53" s="661"/>
      <c r="D53" s="661"/>
      <c r="E53" s="662"/>
      <c r="F53" s="453"/>
      <c r="G53" s="453"/>
      <c r="H53" s="453"/>
      <c r="I53" s="453"/>
      <c r="J53" s="453"/>
      <c r="K53" s="115"/>
      <c r="L53" s="115"/>
      <c r="M53" s="115"/>
      <c r="N53" s="115"/>
      <c r="O53" s="115"/>
      <c r="P53" s="115"/>
      <c r="Q53" s="115"/>
      <c r="R53" s="115"/>
      <c r="S53" s="115"/>
      <c r="T53" s="115"/>
      <c r="U53" s="115"/>
      <c r="V53" s="115"/>
    </row>
    <row r="54" spans="1:22" ht="13.5" customHeight="1">
      <c r="A54" s="453"/>
      <c r="B54" s="453"/>
      <c r="C54" s="661"/>
      <c r="D54" s="661"/>
      <c r="E54" s="662"/>
      <c r="F54" s="453"/>
      <c r="G54" s="453"/>
      <c r="H54" s="453"/>
      <c r="I54" s="453"/>
      <c r="J54" s="453"/>
      <c r="K54" s="115"/>
      <c r="L54" s="115"/>
      <c r="M54" s="115"/>
      <c r="N54" s="115"/>
      <c r="O54" s="115"/>
      <c r="P54" s="115"/>
      <c r="Q54" s="115"/>
      <c r="R54" s="115"/>
      <c r="S54" s="115"/>
      <c r="T54" s="115"/>
      <c r="U54" s="115"/>
      <c r="V54" s="115"/>
    </row>
    <row r="55" spans="1:22" ht="13.5" customHeight="1">
      <c r="A55" s="453"/>
      <c r="B55" s="453"/>
      <c r="C55" s="661"/>
      <c r="D55" s="661"/>
      <c r="E55" s="662"/>
      <c r="F55" s="453"/>
      <c r="G55" s="453"/>
      <c r="H55" s="453"/>
      <c r="I55" s="453"/>
      <c r="J55" s="453"/>
      <c r="K55" s="115"/>
      <c r="L55" s="115"/>
      <c r="M55" s="115"/>
      <c r="N55" s="115"/>
      <c r="O55" s="115"/>
      <c r="P55" s="115"/>
      <c r="Q55" s="115"/>
      <c r="R55" s="115"/>
      <c r="S55" s="115"/>
      <c r="T55" s="115"/>
      <c r="U55" s="115"/>
      <c r="V55" s="115"/>
    </row>
    <row r="56" spans="1:22" ht="13.5" customHeight="1">
      <c r="A56" s="308"/>
      <c r="B56" s="308"/>
      <c r="C56" s="308"/>
      <c r="D56" s="308"/>
      <c r="E56" s="308"/>
      <c r="F56" s="308"/>
      <c r="G56" s="308"/>
      <c r="H56" s="308"/>
      <c r="I56" s="308"/>
      <c r="J56" s="308"/>
      <c r="K56" s="115"/>
      <c r="L56" s="115"/>
      <c r="M56" s="115"/>
      <c r="N56" s="115"/>
      <c r="O56" s="115"/>
      <c r="P56" s="115"/>
      <c r="Q56" s="115"/>
      <c r="R56" s="115"/>
      <c r="S56" s="115"/>
      <c r="T56" s="115"/>
      <c r="U56" s="115"/>
      <c r="V56" s="115"/>
    </row>
    <row r="57" spans="1:22" ht="13.5" customHeight="1">
      <c r="A57" s="308"/>
      <c r="B57" s="308"/>
      <c r="C57" s="308"/>
      <c r="D57" s="308"/>
      <c r="E57" s="308"/>
      <c r="F57" s="308"/>
      <c r="G57" s="308"/>
      <c r="H57" s="308"/>
      <c r="I57" s="308"/>
      <c r="J57" s="308"/>
      <c r="K57" s="115"/>
      <c r="L57" s="115"/>
      <c r="M57" s="115"/>
      <c r="N57" s="115"/>
      <c r="O57" s="115"/>
      <c r="P57" s="115"/>
      <c r="Q57" s="115"/>
      <c r="R57" s="115"/>
      <c r="S57" s="115"/>
      <c r="T57" s="115"/>
      <c r="U57" s="115"/>
      <c r="V57" s="115"/>
    </row>
    <row r="58" spans="1:22" ht="13.5" customHeight="1">
      <c r="A58" s="308"/>
      <c r="B58" s="308"/>
      <c r="C58" s="308"/>
      <c r="D58" s="308"/>
      <c r="E58" s="308"/>
      <c r="F58" s="308"/>
      <c r="G58" s="308"/>
      <c r="H58" s="308"/>
      <c r="I58" s="308"/>
      <c r="J58" s="308"/>
      <c r="K58" s="115"/>
      <c r="L58" s="115"/>
      <c r="M58" s="115"/>
      <c r="N58" s="115"/>
      <c r="O58" s="115"/>
      <c r="P58" s="115"/>
      <c r="Q58" s="115"/>
      <c r="R58" s="115"/>
      <c r="S58" s="115"/>
      <c r="T58" s="115"/>
      <c r="U58" s="115"/>
      <c r="V58" s="115"/>
    </row>
    <row r="59" spans="1:22" ht="13.5" customHeight="1">
      <c r="A59" s="308"/>
      <c r="B59" s="308"/>
      <c r="C59" s="308"/>
      <c r="D59" s="308"/>
      <c r="E59" s="308"/>
      <c r="F59" s="308"/>
      <c r="G59" s="308"/>
      <c r="H59" s="308"/>
      <c r="I59" s="308"/>
      <c r="J59" s="308"/>
      <c r="K59" s="115"/>
      <c r="L59" s="115"/>
      <c r="M59" s="115"/>
      <c r="N59" s="115"/>
      <c r="O59" s="115"/>
      <c r="P59" s="115"/>
      <c r="Q59" s="115"/>
      <c r="R59" s="115"/>
      <c r="S59" s="115"/>
      <c r="T59" s="115"/>
      <c r="U59" s="115"/>
      <c r="V59" s="115"/>
    </row>
    <row r="60" spans="1:22" ht="13.5" customHeight="1">
      <c r="A60" s="308"/>
      <c r="B60" s="308"/>
      <c r="C60" s="308"/>
      <c r="D60" s="308"/>
      <c r="E60" s="308"/>
      <c r="F60" s="308"/>
      <c r="G60" s="308"/>
      <c r="H60" s="308"/>
      <c r="I60" s="308"/>
      <c r="J60" s="308"/>
      <c r="K60" s="115"/>
      <c r="L60" s="115"/>
      <c r="M60" s="115"/>
      <c r="N60" s="115"/>
      <c r="O60" s="115"/>
      <c r="P60" s="115"/>
      <c r="Q60" s="115"/>
      <c r="R60" s="115"/>
      <c r="S60" s="115"/>
      <c r="T60" s="115"/>
      <c r="U60" s="115"/>
      <c r="V60" s="115"/>
    </row>
    <row r="61" spans="1:22" ht="13.5" customHeight="1">
      <c r="A61" s="308"/>
      <c r="B61" s="308"/>
      <c r="C61" s="308"/>
      <c r="D61" s="308"/>
      <c r="E61" s="308"/>
      <c r="F61" s="308"/>
      <c r="G61" s="308"/>
      <c r="H61" s="308"/>
      <c r="I61" s="308"/>
      <c r="J61" s="308"/>
      <c r="K61" s="115"/>
      <c r="L61" s="115"/>
      <c r="M61" s="115"/>
      <c r="N61" s="115"/>
      <c r="O61" s="115"/>
      <c r="P61" s="115"/>
      <c r="Q61" s="115"/>
      <c r="R61" s="115"/>
      <c r="S61" s="115"/>
      <c r="T61" s="115"/>
      <c r="U61" s="115"/>
      <c r="V61" s="115"/>
    </row>
    <row r="62" spans="1:22" ht="13.5" customHeight="1">
      <c r="A62" s="308"/>
      <c r="B62" s="308"/>
      <c r="C62" s="308"/>
      <c r="D62" s="308"/>
      <c r="E62" s="308"/>
      <c r="F62" s="308"/>
      <c r="G62" s="308"/>
      <c r="H62" s="308"/>
      <c r="I62" s="308"/>
      <c r="J62" s="308"/>
      <c r="K62" s="115"/>
      <c r="L62" s="115"/>
      <c r="M62" s="115"/>
      <c r="N62" s="115"/>
      <c r="O62" s="115"/>
      <c r="P62" s="115"/>
      <c r="Q62" s="115"/>
      <c r="R62" s="115"/>
      <c r="S62" s="115"/>
      <c r="T62" s="115"/>
      <c r="U62" s="115"/>
      <c r="V62" s="115"/>
    </row>
    <row r="63" spans="1:22" ht="13.5" customHeight="1">
      <c r="A63" s="308"/>
      <c r="B63" s="308"/>
      <c r="C63" s="308"/>
      <c r="D63" s="308"/>
      <c r="E63" s="308"/>
      <c r="F63" s="308"/>
      <c r="G63" s="308"/>
      <c r="H63" s="308"/>
      <c r="I63" s="308"/>
      <c r="J63" s="308"/>
      <c r="K63" s="115"/>
      <c r="L63" s="115"/>
      <c r="M63" s="115"/>
      <c r="N63" s="115"/>
      <c r="O63" s="115"/>
      <c r="P63" s="115"/>
      <c r="Q63" s="115"/>
      <c r="R63" s="115"/>
      <c r="S63" s="115"/>
      <c r="T63" s="115"/>
      <c r="U63" s="115"/>
      <c r="V63" s="115"/>
    </row>
    <row r="64" spans="1:22" ht="13.5" customHeight="1">
      <c r="A64" s="308"/>
      <c r="B64" s="308"/>
      <c r="C64" s="308"/>
      <c r="D64" s="308"/>
      <c r="E64" s="308"/>
      <c r="F64" s="308"/>
      <c r="G64" s="308"/>
      <c r="H64" s="308"/>
      <c r="I64" s="308"/>
      <c r="J64" s="308"/>
      <c r="K64" s="115"/>
      <c r="L64" s="115"/>
      <c r="M64" s="115"/>
      <c r="N64" s="115"/>
      <c r="O64" s="115"/>
      <c r="P64" s="115"/>
      <c r="Q64" s="115"/>
      <c r="R64" s="115"/>
      <c r="S64" s="115"/>
      <c r="T64" s="115"/>
      <c r="U64" s="115"/>
      <c r="V64" s="115"/>
    </row>
    <row r="65" spans="1:22" ht="13.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row>
    <row r="66" spans="1:22" ht="13.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row>
    <row r="67" spans="1:22" ht="13.5" customHeight="1">
      <c r="A67" s="308"/>
      <c r="B67" s="308"/>
      <c r="C67" s="308"/>
      <c r="D67" s="308"/>
      <c r="E67" s="308"/>
      <c r="F67" s="308"/>
      <c r="G67" s="308"/>
      <c r="H67" s="308"/>
      <c r="I67" s="308"/>
      <c r="J67" s="308"/>
      <c r="K67" s="115"/>
      <c r="L67" s="115"/>
      <c r="M67" s="115"/>
      <c r="N67" s="115"/>
      <c r="O67" s="115"/>
      <c r="P67" s="115"/>
      <c r="Q67" s="115"/>
      <c r="R67" s="115"/>
      <c r="S67" s="115"/>
      <c r="T67" s="115"/>
      <c r="U67" s="115"/>
      <c r="V67" s="115"/>
    </row>
    <row r="68" spans="1:22" ht="13.5" customHeight="1">
      <c r="A68" s="308"/>
      <c r="B68" s="308"/>
      <c r="C68" s="308"/>
      <c r="D68" s="308"/>
      <c r="E68" s="308"/>
      <c r="F68" s="308"/>
      <c r="G68" s="308"/>
      <c r="H68" s="308"/>
      <c r="I68" s="308"/>
      <c r="J68" s="308"/>
      <c r="K68" s="115"/>
      <c r="L68" s="115"/>
      <c r="M68" s="115"/>
      <c r="N68" s="115"/>
      <c r="O68" s="115"/>
      <c r="P68" s="115"/>
      <c r="Q68" s="115"/>
      <c r="R68" s="115"/>
      <c r="S68" s="115"/>
      <c r="T68" s="115"/>
      <c r="U68" s="115"/>
      <c r="V68" s="115"/>
    </row>
    <row r="69" spans="1:22" ht="13">
      <c r="A69" s="308"/>
      <c r="B69" s="308"/>
      <c r="C69" s="308"/>
      <c r="D69" s="308"/>
      <c r="E69" s="308"/>
      <c r="F69" s="308"/>
      <c r="G69" s="308"/>
      <c r="H69" s="308"/>
      <c r="I69" s="308"/>
      <c r="J69" s="308"/>
      <c r="K69" s="115"/>
      <c r="L69" s="115"/>
      <c r="M69" s="115"/>
      <c r="N69" s="115"/>
      <c r="O69" s="115"/>
      <c r="P69" s="115"/>
      <c r="Q69" s="115"/>
      <c r="R69" s="115"/>
      <c r="S69" s="115"/>
      <c r="T69" s="115"/>
      <c r="U69" s="115"/>
      <c r="V69" s="115"/>
    </row>
    <row r="70" spans="1:22" ht="12" customHeight="1">
      <c r="A70" s="308"/>
      <c r="B70" s="308"/>
      <c r="C70" s="308"/>
      <c r="D70" s="308"/>
      <c r="E70" s="308"/>
      <c r="F70" s="308"/>
      <c r="G70" s="308"/>
      <c r="H70" s="308"/>
      <c r="I70" s="308"/>
      <c r="J70" s="308"/>
      <c r="K70" s="115"/>
      <c r="L70" s="115"/>
      <c r="M70" s="115"/>
      <c r="N70" s="115"/>
      <c r="O70" s="115"/>
      <c r="P70" s="115"/>
      <c r="Q70" s="115"/>
      <c r="R70" s="115"/>
      <c r="S70" s="115"/>
      <c r="T70" s="115"/>
      <c r="U70" s="115"/>
      <c r="V70" s="115"/>
    </row>
    <row r="71" spans="1:22" ht="13">
      <c r="A71" s="308"/>
      <c r="B71" s="308"/>
      <c r="C71" s="308"/>
      <c r="D71" s="308"/>
      <c r="E71" s="308"/>
      <c r="F71" s="308"/>
      <c r="G71" s="308"/>
      <c r="H71" s="308"/>
      <c r="I71" s="308"/>
      <c r="J71" s="308"/>
      <c r="K71" s="115"/>
      <c r="L71" s="115"/>
      <c r="M71" s="115"/>
      <c r="N71" s="115"/>
      <c r="O71" s="115"/>
      <c r="P71" s="115"/>
      <c r="Q71" s="115"/>
      <c r="R71" s="115"/>
      <c r="S71" s="115"/>
      <c r="T71" s="115"/>
      <c r="U71" s="115"/>
      <c r="V71" s="115"/>
    </row>
    <row r="72" spans="1:22" ht="13">
      <c r="A72" s="308"/>
      <c r="B72" s="308"/>
      <c r="C72" s="308"/>
      <c r="D72" s="308"/>
      <c r="E72" s="308"/>
      <c r="F72" s="308"/>
      <c r="G72" s="308"/>
      <c r="H72" s="308"/>
      <c r="I72" s="308"/>
      <c r="J72" s="308"/>
      <c r="K72" s="115"/>
      <c r="L72" s="115"/>
      <c r="M72" s="115"/>
      <c r="N72" s="115"/>
      <c r="O72" s="115"/>
      <c r="P72" s="115"/>
      <c r="Q72" s="115"/>
      <c r="R72" s="115"/>
      <c r="S72" s="115"/>
      <c r="T72" s="115"/>
      <c r="U72" s="115"/>
      <c r="V72" s="115"/>
    </row>
    <row r="73" spans="1:22" ht="13">
      <c r="A73" s="308"/>
      <c r="B73" s="308"/>
      <c r="C73" s="308"/>
      <c r="D73" s="308"/>
      <c r="E73" s="308"/>
      <c r="F73" s="308"/>
      <c r="G73" s="308"/>
      <c r="H73" s="308"/>
      <c r="I73" s="308"/>
      <c r="J73" s="308"/>
      <c r="K73" s="115"/>
      <c r="L73" s="115"/>
      <c r="M73" s="115"/>
      <c r="N73" s="115"/>
      <c r="O73" s="115"/>
      <c r="P73" s="115"/>
      <c r="Q73" s="115"/>
      <c r="R73" s="115"/>
      <c r="S73" s="115"/>
      <c r="T73" s="115"/>
      <c r="U73" s="115"/>
      <c r="V73" s="115"/>
    </row>
    <row r="74" spans="1:22" ht="13">
      <c r="A74" s="308"/>
      <c r="B74" s="308"/>
      <c r="C74" s="308"/>
      <c r="D74" s="308"/>
      <c r="E74" s="308"/>
      <c r="F74" s="308"/>
      <c r="G74" s="308"/>
      <c r="H74" s="308"/>
      <c r="I74" s="308"/>
      <c r="J74" s="308"/>
      <c r="K74" s="115"/>
      <c r="L74" s="115"/>
      <c r="M74" s="115"/>
      <c r="N74" s="115"/>
      <c r="O74" s="115"/>
      <c r="P74" s="115"/>
      <c r="Q74" s="115"/>
      <c r="R74" s="115"/>
      <c r="S74" s="115"/>
      <c r="T74" s="115"/>
      <c r="U74" s="115"/>
      <c r="V74" s="115"/>
    </row>
    <row r="75" spans="1:22" ht="13">
      <c r="A75" s="308"/>
      <c r="B75" s="308"/>
      <c r="C75" s="308"/>
      <c r="D75" s="308"/>
      <c r="E75" s="308"/>
      <c r="F75" s="308"/>
      <c r="G75" s="308"/>
      <c r="H75" s="308"/>
      <c r="I75" s="308"/>
      <c r="J75" s="308"/>
      <c r="K75" s="115"/>
      <c r="L75" s="115"/>
      <c r="M75" s="115"/>
      <c r="N75" s="115"/>
      <c r="O75" s="115"/>
      <c r="P75" s="115"/>
      <c r="Q75" s="115"/>
      <c r="R75" s="115"/>
      <c r="S75" s="115"/>
      <c r="T75" s="115"/>
      <c r="U75" s="115"/>
      <c r="V75" s="115"/>
    </row>
    <row r="76" spans="1:22" ht="13">
      <c r="A76" s="308"/>
      <c r="B76" s="308"/>
      <c r="C76" s="308"/>
      <c r="D76" s="308"/>
      <c r="E76" s="308"/>
      <c r="F76" s="308"/>
      <c r="G76" s="308"/>
      <c r="H76" s="308"/>
      <c r="I76" s="308"/>
      <c r="J76" s="308"/>
      <c r="K76" s="115"/>
      <c r="L76" s="115"/>
      <c r="M76" s="115"/>
      <c r="N76" s="115"/>
      <c r="O76" s="115"/>
      <c r="P76" s="115"/>
      <c r="Q76" s="115"/>
      <c r="R76" s="115"/>
      <c r="S76" s="115"/>
      <c r="T76" s="115"/>
      <c r="U76" s="115"/>
      <c r="V76" s="115"/>
    </row>
    <row r="77" spans="1:22" ht="13">
      <c r="A77" s="308"/>
      <c r="B77" s="308"/>
      <c r="C77" s="308"/>
      <c r="D77" s="308"/>
      <c r="E77" s="308"/>
      <c r="F77" s="308"/>
      <c r="G77" s="308"/>
      <c r="H77" s="308"/>
      <c r="I77" s="308"/>
      <c r="J77" s="308"/>
      <c r="K77" s="115"/>
      <c r="L77" s="115"/>
      <c r="M77" s="115"/>
      <c r="N77" s="115"/>
      <c r="O77" s="115"/>
      <c r="P77" s="115"/>
      <c r="Q77" s="115"/>
      <c r="R77" s="115"/>
      <c r="S77" s="115"/>
      <c r="T77" s="115"/>
      <c r="U77" s="115"/>
      <c r="V77" s="115"/>
    </row>
    <row r="78" spans="1:22" ht="13">
      <c r="A78" s="308"/>
      <c r="B78" s="308"/>
      <c r="C78" s="308"/>
      <c r="D78" s="308"/>
      <c r="E78" s="308"/>
      <c r="F78" s="308"/>
      <c r="G78" s="308"/>
      <c r="H78" s="308"/>
      <c r="I78" s="308"/>
      <c r="J78" s="308"/>
      <c r="K78" s="115"/>
      <c r="L78" s="115"/>
      <c r="M78" s="115"/>
      <c r="N78" s="115"/>
      <c r="O78" s="115"/>
      <c r="P78" s="115"/>
      <c r="Q78" s="115"/>
      <c r="R78" s="115"/>
      <c r="S78" s="115"/>
      <c r="T78" s="115"/>
      <c r="U78" s="115"/>
      <c r="V78" s="115"/>
    </row>
    <row r="79" spans="1:22" ht="13">
      <c r="A79" s="308"/>
      <c r="B79" s="308"/>
      <c r="C79" s="308"/>
      <c r="D79" s="308"/>
      <c r="E79" s="308"/>
      <c r="F79" s="308"/>
      <c r="G79" s="308"/>
      <c r="H79" s="308"/>
      <c r="I79" s="308"/>
      <c r="J79" s="308"/>
      <c r="K79" s="115"/>
      <c r="L79" s="115"/>
      <c r="M79" s="115"/>
      <c r="N79" s="115"/>
      <c r="O79" s="115"/>
      <c r="P79" s="115"/>
      <c r="Q79" s="115"/>
      <c r="R79" s="115"/>
      <c r="S79" s="115"/>
      <c r="T79" s="115"/>
      <c r="U79" s="115"/>
      <c r="V79" s="115"/>
    </row>
    <row r="80" spans="1:22" ht="13">
      <c r="A80" s="308"/>
      <c r="B80" s="308"/>
      <c r="C80" s="308"/>
      <c r="D80" s="308"/>
      <c r="E80" s="308"/>
      <c r="F80" s="308"/>
      <c r="G80" s="308"/>
      <c r="H80" s="308"/>
      <c r="I80" s="308"/>
      <c r="J80" s="308"/>
      <c r="K80" s="115"/>
      <c r="L80" s="115"/>
      <c r="M80" s="115"/>
      <c r="N80" s="115"/>
      <c r="O80" s="115"/>
      <c r="P80" s="115"/>
      <c r="Q80" s="115"/>
      <c r="R80" s="115"/>
      <c r="S80" s="115"/>
      <c r="T80" s="115"/>
      <c r="U80" s="115"/>
      <c r="V80" s="115"/>
    </row>
    <row r="81" spans="1:22" ht="13">
      <c r="A81" s="308"/>
      <c r="B81" s="308"/>
      <c r="C81" s="308"/>
      <c r="D81" s="308"/>
      <c r="E81" s="308"/>
      <c r="F81" s="308"/>
      <c r="G81" s="308"/>
      <c r="H81" s="308"/>
      <c r="I81" s="308"/>
      <c r="J81" s="308"/>
      <c r="K81" s="115"/>
      <c r="L81" s="115"/>
      <c r="M81" s="115"/>
      <c r="N81" s="115"/>
      <c r="O81" s="115"/>
      <c r="P81" s="115"/>
      <c r="Q81" s="115"/>
      <c r="R81" s="115"/>
      <c r="S81" s="115"/>
      <c r="T81" s="115"/>
      <c r="U81" s="115"/>
      <c r="V81" s="115"/>
    </row>
    <row r="82" spans="1:22" ht="13">
      <c r="A82" s="308"/>
      <c r="B82" s="308"/>
      <c r="C82" s="308"/>
      <c r="D82" s="308"/>
      <c r="E82" s="308"/>
      <c r="F82" s="308"/>
      <c r="G82" s="308"/>
      <c r="H82" s="308"/>
      <c r="I82" s="308"/>
      <c r="J82" s="308"/>
      <c r="K82" s="115"/>
      <c r="L82" s="115"/>
      <c r="M82" s="115"/>
      <c r="N82" s="115"/>
      <c r="O82" s="115"/>
      <c r="P82" s="115"/>
      <c r="Q82" s="115"/>
      <c r="R82" s="115"/>
      <c r="S82" s="115"/>
      <c r="T82" s="115"/>
      <c r="U82" s="115"/>
      <c r="V82" s="115"/>
    </row>
    <row r="83" spans="1:22" ht="13">
      <c r="A83" s="308"/>
      <c r="B83" s="308"/>
      <c r="C83" s="308"/>
      <c r="D83" s="308"/>
      <c r="E83" s="308"/>
      <c r="F83" s="308"/>
      <c r="G83" s="308"/>
      <c r="H83" s="308"/>
      <c r="I83" s="308"/>
      <c r="J83" s="308"/>
      <c r="K83" s="115"/>
      <c r="L83" s="115"/>
      <c r="M83" s="115"/>
      <c r="N83" s="115"/>
      <c r="O83" s="115"/>
      <c r="P83" s="115"/>
      <c r="Q83" s="115"/>
      <c r="R83" s="115"/>
      <c r="S83" s="115"/>
      <c r="T83" s="115"/>
      <c r="U83" s="115"/>
      <c r="V83" s="115"/>
    </row>
    <row r="84" spans="1:22" ht="13">
      <c r="A84" s="308"/>
      <c r="B84" s="308"/>
      <c r="C84" s="308"/>
      <c r="D84" s="308"/>
      <c r="E84" s="308"/>
      <c r="F84" s="308"/>
      <c r="G84" s="308"/>
      <c r="H84" s="308"/>
      <c r="I84" s="308"/>
      <c r="J84" s="308"/>
      <c r="K84" s="115"/>
      <c r="L84" s="115"/>
      <c r="M84" s="115"/>
      <c r="N84" s="115"/>
      <c r="O84" s="115"/>
      <c r="P84" s="115"/>
      <c r="Q84" s="115"/>
      <c r="R84" s="115"/>
      <c r="S84" s="115"/>
      <c r="T84" s="115"/>
      <c r="U84" s="115"/>
      <c r="V84" s="115"/>
    </row>
    <row r="85" spans="1:22" ht="13">
      <c r="A85" s="308"/>
      <c r="B85" s="308"/>
      <c r="C85" s="308"/>
      <c r="D85" s="308"/>
      <c r="E85" s="308"/>
      <c r="F85" s="308"/>
      <c r="G85" s="308"/>
      <c r="H85" s="308"/>
      <c r="I85" s="308"/>
      <c r="J85" s="308"/>
      <c r="K85" s="115"/>
      <c r="L85" s="115"/>
      <c r="M85" s="115"/>
      <c r="N85" s="115"/>
      <c r="O85" s="115"/>
      <c r="P85" s="115"/>
      <c r="Q85" s="115"/>
      <c r="R85" s="115"/>
      <c r="S85" s="115"/>
      <c r="T85" s="115"/>
      <c r="U85" s="115"/>
      <c r="V85" s="115"/>
    </row>
    <row r="86" spans="1:22" ht="13">
      <c r="A86" s="308"/>
      <c r="B86" s="308"/>
      <c r="C86" s="308"/>
      <c r="D86" s="308"/>
      <c r="E86" s="308"/>
      <c r="F86" s="308"/>
      <c r="G86" s="308"/>
      <c r="H86" s="308"/>
      <c r="I86" s="308"/>
      <c r="J86" s="308"/>
      <c r="K86" s="115"/>
      <c r="L86" s="115"/>
      <c r="M86" s="115"/>
      <c r="N86" s="115"/>
      <c r="O86" s="115"/>
      <c r="P86" s="115"/>
      <c r="Q86" s="115"/>
      <c r="R86" s="115"/>
      <c r="S86" s="115"/>
      <c r="T86" s="115"/>
      <c r="U86" s="115"/>
      <c r="V86" s="115"/>
    </row>
    <row r="87" spans="1:22" ht="13">
      <c r="A87" s="308"/>
      <c r="B87" s="308"/>
      <c r="C87" s="308"/>
      <c r="D87" s="308"/>
      <c r="E87" s="308"/>
      <c r="F87" s="308"/>
      <c r="G87" s="308"/>
      <c r="H87" s="308"/>
      <c r="I87" s="308"/>
      <c r="J87" s="308"/>
      <c r="K87" s="115"/>
      <c r="L87" s="115"/>
      <c r="M87" s="115"/>
      <c r="N87" s="115"/>
      <c r="O87" s="115"/>
      <c r="P87" s="115"/>
      <c r="Q87" s="115"/>
      <c r="R87" s="115"/>
      <c r="S87" s="115"/>
      <c r="T87" s="115"/>
      <c r="U87" s="115"/>
      <c r="V87" s="115"/>
    </row>
    <row r="88" spans="1:22" ht="13">
      <c r="A88" s="308"/>
      <c r="B88" s="308"/>
      <c r="C88" s="308"/>
      <c r="D88" s="308"/>
      <c r="E88" s="308"/>
      <c r="F88" s="308"/>
      <c r="G88" s="308"/>
      <c r="H88" s="308"/>
      <c r="I88" s="308"/>
      <c r="J88" s="308"/>
      <c r="K88" s="115"/>
      <c r="L88" s="115"/>
      <c r="M88" s="115"/>
      <c r="N88" s="115"/>
      <c r="O88" s="115"/>
      <c r="P88" s="115"/>
      <c r="Q88" s="115"/>
      <c r="R88" s="115"/>
      <c r="S88" s="115"/>
      <c r="T88" s="115"/>
      <c r="U88" s="115"/>
      <c r="V88" s="115"/>
    </row>
    <row r="89" spans="1:22" ht="13">
      <c r="A89" s="308"/>
      <c r="B89" s="308"/>
      <c r="C89" s="308"/>
      <c r="D89" s="308"/>
      <c r="E89" s="308"/>
      <c r="F89" s="308"/>
      <c r="G89" s="308"/>
      <c r="H89" s="308"/>
      <c r="I89" s="308"/>
      <c r="J89" s="308"/>
      <c r="K89" s="115"/>
      <c r="L89" s="115"/>
      <c r="M89" s="115"/>
      <c r="N89" s="115"/>
      <c r="O89" s="115"/>
      <c r="P89" s="115"/>
      <c r="Q89" s="115"/>
      <c r="R89" s="115"/>
      <c r="S89" s="115"/>
      <c r="T89" s="115"/>
      <c r="U89" s="115"/>
      <c r="V89" s="115"/>
    </row>
    <row r="90" spans="1:22" ht="13">
      <c r="A90" s="308"/>
      <c r="B90" s="308"/>
      <c r="C90" s="308"/>
      <c r="D90" s="308"/>
      <c r="E90" s="308"/>
      <c r="F90" s="308"/>
      <c r="G90" s="308"/>
      <c r="H90" s="308"/>
      <c r="I90" s="308"/>
      <c r="J90" s="308"/>
      <c r="K90" s="115"/>
      <c r="L90" s="115"/>
      <c r="M90" s="115"/>
      <c r="N90" s="115"/>
      <c r="O90" s="115"/>
      <c r="P90" s="115"/>
      <c r="Q90" s="115"/>
      <c r="R90" s="115"/>
      <c r="S90" s="115"/>
      <c r="T90" s="115"/>
      <c r="U90" s="115"/>
      <c r="V90" s="115"/>
    </row>
    <row r="91" spans="1:22" ht="13">
      <c r="A91" s="308"/>
      <c r="B91" s="308"/>
      <c r="C91" s="308"/>
      <c r="D91" s="308"/>
      <c r="E91" s="308"/>
      <c r="F91" s="308"/>
      <c r="G91" s="308"/>
      <c r="H91" s="308"/>
      <c r="I91" s="308"/>
      <c r="J91" s="308"/>
      <c r="K91" s="115"/>
      <c r="L91" s="115"/>
      <c r="M91" s="115"/>
      <c r="N91" s="115"/>
      <c r="O91" s="115"/>
      <c r="P91" s="115"/>
      <c r="Q91" s="115"/>
      <c r="R91" s="115"/>
      <c r="S91" s="115"/>
      <c r="T91" s="115"/>
      <c r="U91" s="115"/>
      <c r="V91" s="115"/>
    </row>
    <row r="92" spans="1:22" ht="13">
      <c r="A92" s="308"/>
      <c r="B92" s="308"/>
      <c r="C92" s="308"/>
      <c r="D92" s="308"/>
      <c r="E92" s="308"/>
      <c r="F92" s="308"/>
      <c r="G92" s="308"/>
      <c r="H92" s="308"/>
      <c r="I92" s="308"/>
      <c r="J92" s="308"/>
      <c r="K92" s="115"/>
      <c r="L92" s="115"/>
      <c r="M92" s="115"/>
      <c r="N92" s="115"/>
      <c r="O92" s="115"/>
      <c r="P92" s="115"/>
      <c r="Q92" s="115"/>
      <c r="R92" s="115"/>
      <c r="S92" s="115"/>
      <c r="T92" s="115"/>
      <c r="U92" s="115"/>
      <c r="V92" s="115"/>
    </row>
    <row r="93" spans="1:22" ht="13">
      <c r="A93" s="308"/>
      <c r="B93" s="308"/>
      <c r="C93" s="308"/>
      <c r="D93" s="308"/>
      <c r="E93" s="308"/>
      <c r="F93" s="308"/>
      <c r="G93" s="308"/>
      <c r="H93" s="308"/>
      <c r="I93" s="308"/>
      <c r="J93" s="308"/>
      <c r="K93" s="115"/>
      <c r="L93" s="115"/>
      <c r="M93" s="115"/>
      <c r="N93" s="115"/>
      <c r="O93" s="115"/>
      <c r="P93" s="115"/>
      <c r="Q93" s="115"/>
      <c r="R93" s="115"/>
      <c r="S93" s="115"/>
      <c r="T93" s="115"/>
      <c r="U93" s="115"/>
      <c r="V93" s="115"/>
    </row>
    <row r="94" spans="1:22" ht="13">
      <c r="A94" s="308"/>
      <c r="B94" s="308"/>
      <c r="C94" s="308"/>
      <c r="D94" s="308"/>
      <c r="E94" s="308"/>
      <c r="F94" s="308"/>
      <c r="G94" s="308"/>
      <c r="H94" s="308"/>
      <c r="I94" s="308"/>
      <c r="J94" s="308"/>
      <c r="K94" s="115"/>
      <c r="L94" s="115"/>
      <c r="M94" s="115"/>
      <c r="N94" s="115"/>
      <c r="O94" s="115"/>
      <c r="P94" s="115"/>
      <c r="Q94" s="115"/>
      <c r="R94" s="115"/>
      <c r="S94" s="115"/>
      <c r="T94" s="115"/>
      <c r="U94" s="115"/>
      <c r="V94" s="115"/>
    </row>
    <row r="95" spans="1:22" ht="13">
      <c r="A95" s="308"/>
      <c r="B95" s="308"/>
      <c r="C95" s="308"/>
      <c r="D95" s="308"/>
      <c r="E95" s="308"/>
      <c r="F95" s="308"/>
      <c r="G95" s="308"/>
      <c r="H95" s="308"/>
      <c r="I95" s="308"/>
      <c r="J95" s="308"/>
      <c r="K95" s="115"/>
      <c r="L95" s="115"/>
      <c r="M95" s="115"/>
      <c r="N95" s="115"/>
      <c r="O95" s="115"/>
      <c r="P95" s="115"/>
      <c r="Q95" s="115"/>
      <c r="R95" s="115"/>
      <c r="S95" s="115"/>
      <c r="T95" s="115"/>
      <c r="U95" s="115"/>
      <c r="V95" s="115"/>
    </row>
    <row r="96" spans="1:22" ht="13">
      <c r="A96" s="308"/>
      <c r="B96" s="308"/>
      <c r="C96" s="308"/>
      <c r="D96" s="308"/>
      <c r="E96" s="308"/>
      <c r="F96" s="308"/>
      <c r="G96" s="308"/>
      <c r="H96" s="308"/>
      <c r="I96" s="308"/>
      <c r="J96" s="308"/>
      <c r="K96" s="115"/>
      <c r="L96" s="115"/>
      <c r="M96" s="115"/>
      <c r="N96" s="115"/>
      <c r="O96" s="115"/>
      <c r="P96" s="115"/>
      <c r="Q96" s="115"/>
      <c r="R96" s="115"/>
      <c r="S96" s="115"/>
      <c r="T96" s="115"/>
      <c r="U96" s="115"/>
      <c r="V96" s="115"/>
    </row>
    <row r="97" spans="1:22" ht="13">
      <c r="A97" s="308"/>
      <c r="B97" s="308"/>
      <c r="C97" s="308"/>
      <c r="D97" s="308"/>
      <c r="E97" s="308"/>
      <c r="F97" s="308"/>
      <c r="G97" s="308"/>
      <c r="H97" s="308"/>
      <c r="I97" s="308"/>
      <c r="J97" s="308"/>
      <c r="K97" s="115"/>
      <c r="L97" s="115"/>
      <c r="M97" s="115"/>
      <c r="N97" s="115"/>
      <c r="O97" s="115"/>
      <c r="P97" s="115"/>
      <c r="Q97" s="115"/>
      <c r="R97" s="115"/>
      <c r="S97" s="115"/>
      <c r="T97" s="115"/>
      <c r="U97" s="115"/>
      <c r="V97" s="115"/>
    </row>
    <row r="98" spans="1:22" ht="13">
      <c r="A98" s="308"/>
      <c r="B98" s="308"/>
      <c r="C98" s="308"/>
      <c r="D98" s="308"/>
      <c r="E98" s="308"/>
      <c r="F98" s="308"/>
      <c r="G98" s="308"/>
      <c r="H98" s="308"/>
      <c r="I98" s="308"/>
      <c r="J98" s="308"/>
      <c r="K98" s="115"/>
      <c r="L98" s="115"/>
      <c r="M98" s="115"/>
      <c r="N98" s="115"/>
      <c r="O98" s="115"/>
      <c r="P98" s="115"/>
      <c r="Q98" s="115"/>
      <c r="R98" s="115"/>
      <c r="S98" s="115"/>
      <c r="T98" s="115"/>
      <c r="U98" s="115"/>
      <c r="V98" s="115"/>
    </row>
    <row r="99" spans="1:22" ht="13">
      <c r="A99" s="308"/>
      <c r="B99" s="308"/>
      <c r="C99" s="308"/>
      <c r="D99" s="308"/>
      <c r="E99" s="308"/>
      <c r="F99" s="308"/>
      <c r="G99" s="308"/>
      <c r="H99" s="308"/>
      <c r="I99" s="308"/>
      <c r="J99" s="308"/>
      <c r="K99" s="115"/>
      <c r="L99" s="115"/>
      <c r="M99" s="115"/>
      <c r="N99" s="115"/>
      <c r="O99" s="115"/>
      <c r="P99" s="115"/>
      <c r="Q99" s="115"/>
      <c r="R99" s="115"/>
      <c r="S99" s="115"/>
      <c r="T99" s="115"/>
      <c r="U99" s="115"/>
      <c r="V99" s="115"/>
    </row>
    <row r="100" spans="1:22" ht="13">
      <c r="A100" s="308"/>
      <c r="B100" s="308"/>
      <c r="C100" s="308"/>
      <c r="D100" s="308"/>
      <c r="E100" s="308"/>
      <c r="F100" s="308"/>
      <c r="G100" s="308"/>
      <c r="H100" s="308"/>
      <c r="I100" s="308"/>
      <c r="J100" s="308"/>
      <c r="K100" s="115"/>
      <c r="L100" s="115"/>
      <c r="M100" s="115"/>
      <c r="N100" s="115"/>
      <c r="O100" s="115"/>
      <c r="P100" s="115"/>
      <c r="Q100" s="115"/>
      <c r="R100" s="115"/>
      <c r="S100" s="115"/>
      <c r="T100" s="115"/>
      <c r="U100" s="115"/>
      <c r="V100" s="115"/>
    </row>
    <row r="101" spans="1:22" ht="13">
      <c r="A101" s="308"/>
      <c r="B101" s="308"/>
      <c r="C101" s="308"/>
      <c r="D101" s="308"/>
      <c r="E101" s="308"/>
      <c r="F101" s="308"/>
      <c r="G101" s="308"/>
      <c r="H101" s="308"/>
      <c r="I101" s="308"/>
      <c r="J101" s="308"/>
      <c r="K101" s="115"/>
      <c r="L101" s="115"/>
      <c r="M101" s="115"/>
      <c r="N101" s="115"/>
      <c r="O101" s="115"/>
      <c r="P101" s="115"/>
      <c r="Q101" s="115"/>
      <c r="R101" s="115"/>
      <c r="S101" s="115"/>
      <c r="T101" s="115"/>
      <c r="U101" s="115"/>
      <c r="V101" s="115"/>
    </row>
    <row r="102" spans="1:22" ht="13">
      <c r="A102" s="308"/>
      <c r="B102" s="308"/>
      <c r="C102" s="308"/>
      <c r="D102" s="308"/>
      <c r="E102" s="308"/>
      <c r="F102" s="308"/>
      <c r="G102" s="308"/>
      <c r="H102" s="308"/>
      <c r="I102" s="308"/>
      <c r="J102" s="308"/>
      <c r="K102" s="115"/>
      <c r="L102" s="115"/>
      <c r="M102" s="115"/>
      <c r="N102" s="115"/>
      <c r="O102" s="115"/>
      <c r="P102" s="115"/>
      <c r="Q102" s="115"/>
      <c r="R102" s="115"/>
      <c r="S102" s="115"/>
      <c r="T102" s="115"/>
      <c r="U102" s="115"/>
      <c r="V102" s="115"/>
    </row>
    <row r="103" spans="1:22" ht="13">
      <c r="A103" s="308"/>
      <c r="B103" s="308"/>
      <c r="C103" s="308"/>
      <c r="D103" s="308"/>
      <c r="E103" s="308"/>
      <c r="F103" s="308"/>
      <c r="G103" s="308"/>
      <c r="H103" s="308"/>
      <c r="I103" s="308"/>
      <c r="J103" s="308"/>
      <c r="K103" s="115"/>
      <c r="L103" s="115"/>
      <c r="M103" s="115"/>
      <c r="N103" s="115"/>
      <c r="O103" s="115"/>
      <c r="P103" s="115"/>
      <c r="Q103" s="115"/>
      <c r="R103" s="115"/>
      <c r="S103" s="115"/>
      <c r="T103" s="115"/>
      <c r="U103" s="115"/>
      <c r="V103" s="115"/>
    </row>
    <row r="104" spans="1:22" ht="13">
      <c r="A104" s="308"/>
      <c r="B104" s="308"/>
      <c r="C104" s="308"/>
      <c r="D104" s="308"/>
      <c r="E104" s="308"/>
      <c r="F104" s="308"/>
      <c r="G104" s="308"/>
      <c r="H104" s="308"/>
      <c r="I104" s="308"/>
      <c r="J104" s="308"/>
      <c r="K104" s="115"/>
      <c r="L104" s="115"/>
      <c r="M104" s="115"/>
      <c r="N104" s="115"/>
      <c r="O104" s="115"/>
      <c r="P104" s="115"/>
      <c r="Q104" s="115"/>
      <c r="R104" s="115"/>
      <c r="S104" s="115"/>
      <c r="T104" s="115"/>
      <c r="U104" s="115"/>
      <c r="V104" s="115"/>
    </row>
    <row r="105" spans="1:22" ht="13">
      <c r="A105" s="308"/>
      <c r="B105" s="308"/>
      <c r="C105" s="308"/>
      <c r="D105" s="308"/>
      <c r="E105" s="308"/>
      <c r="F105" s="308"/>
      <c r="G105" s="308"/>
      <c r="H105" s="308"/>
      <c r="I105" s="308"/>
      <c r="J105" s="308"/>
      <c r="K105" s="115"/>
      <c r="L105" s="115"/>
      <c r="M105" s="115"/>
      <c r="N105" s="115"/>
      <c r="O105" s="115"/>
      <c r="P105" s="115"/>
      <c r="Q105" s="115"/>
      <c r="R105" s="115"/>
      <c r="S105" s="115"/>
      <c r="T105" s="115"/>
      <c r="U105" s="115"/>
      <c r="V105" s="115"/>
    </row>
    <row r="106" spans="1:22" ht="13">
      <c r="A106" s="308"/>
      <c r="B106" s="308"/>
      <c r="C106" s="308"/>
      <c r="D106" s="308"/>
      <c r="E106" s="308"/>
      <c r="F106" s="308"/>
      <c r="G106" s="308"/>
      <c r="H106" s="308"/>
      <c r="I106" s="308"/>
      <c r="J106" s="308"/>
      <c r="K106" s="115"/>
      <c r="L106" s="115"/>
      <c r="M106" s="115"/>
      <c r="N106" s="115"/>
      <c r="O106" s="115"/>
      <c r="P106" s="115"/>
      <c r="Q106" s="115"/>
      <c r="R106" s="115"/>
      <c r="S106" s="115"/>
      <c r="T106" s="115"/>
      <c r="U106" s="115"/>
      <c r="V106" s="115"/>
    </row>
    <row r="107" spans="1:22" ht="13">
      <c r="A107" s="308"/>
      <c r="B107" s="308"/>
      <c r="C107" s="308"/>
      <c r="D107" s="308"/>
      <c r="E107" s="308"/>
      <c r="F107" s="308"/>
      <c r="G107" s="308"/>
      <c r="H107" s="308"/>
      <c r="I107" s="308"/>
      <c r="J107" s="308"/>
      <c r="K107" s="115"/>
      <c r="L107" s="115"/>
      <c r="M107" s="115"/>
      <c r="N107" s="115"/>
      <c r="O107" s="115"/>
      <c r="P107" s="115"/>
      <c r="Q107" s="115"/>
      <c r="R107" s="115"/>
      <c r="S107" s="115"/>
      <c r="T107" s="115"/>
      <c r="U107" s="115"/>
      <c r="V107" s="115"/>
    </row>
    <row r="108" spans="1:22" s="453" customFormat="1" ht="13">
      <c r="A108" s="308"/>
      <c r="B108" s="308"/>
      <c r="C108" s="308"/>
      <c r="D108" s="308"/>
      <c r="E108" s="308"/>
      <c r="F108" s="308"/>
      <c r="G108" s="308"/>
      <c r="H108" s="308"/>
      <c r="I108" s="308"/>
      <c r="J108" s="308"/>
      <c r="K108" s="115"/>
      <c r="L108" s="115"/>
      <c r="M108" s="115"/>
      <c r="N108" s="115"/>
      <c r="O108" s="115"/>
      <c r="P108" s="115"/>
      <c r="Q108" s="115"/>
      <c r="R108" s="115"/>
      <c r="S108" s="115"/>
      <c r="T108" s="115"/>
      <c r="U108" s="115"/>
      <c r="V108" s="115"/>
    </row>
    <row r="109" spans="1:22" s="453" customFormat="1">
      <c r="K109" s="115"/>
      <c r="L109" s="115"/>
      <c r="M109" s="115"/>
      <c r="N109" s="115"/>
      <c r="O109" s="115"/>
      <c r="P109" s="115"/>
      <c r="Q109" s="115"/>
      <c r="R109" s="115"/>
      <c r="S109" s="115"/>
      <c r="T109" s="115"/>
      <c r="U109" s="115"/>
      <c r="V109" s="115"/>
    </row>
    <row r="110" spans="1:22" s="453" customFormat="1">
      <c r="K110" s="115"/>
      <c r="L110" s="115"/>
      <c r="M110" s="115"/>
      <c r="N110" s="115"/>
      <c r="O110" s="115"/>
      <c r="P110" s="115"/>
      <c r="Q110" s="115"/>
      <c r="R110" s="115"/>
      <c r="S110" s="115"/>
      <c r="T110" s="115"/>
      <c r="U110" s="115"/>
      <c r="V110" s="115"/>
    </row>
    <row r="111" spans="1:22" s="453" customFormat="1">
      <c r="K111" s="115"/>
      <c r="L111" s="115"/>
      <c r="M111" s="115"/>
      <c r="N111" s="115"/>
      <c r="O111" s="115"/>
      <c r="P111" s="115"/>
      <c r="Q111" s="115"/>
      <c r="R111" s="115"/>
      <c r="S111" s="115"/>
      <c r="T111" s="115"/>
      <c r="U111" s="115"/>
      <c r="V111" s="115"/>
    </row>
    <row r="112" spans="1:22" s="453" customFormat="1">
      <c r="K112" s="115"/>
      <c r="L112" s="115"/>
      <c r="M112" s="115"/>
      <c r="N112" s="115"/>
      <c r="O112" s="115"/>
      <c r="P112" s="115"/>
      <c r="Q112" s="115"/>
      <c r="R112" s="115"/>
      <c r="S112" s="115"/>
      <c r="T112" s="115"/>
      <c r="U112" s="115"/>
      <c r="V112" s="115"/>
    </row>
    <row r="113" spans="11:22" s="453" customFormat="1">
      <c r="K113" s="115"/>
      <c r="L113" s="115"/>
      <c r="M113" s="115"/>
      <c r="N113" s="115"/>
      <c r="O113" s="115"/>
      <c r="P113" s="115"/>
      <c r="Q113" s="115"/>
      <c r="R113" s="115"/>
      <c r="S113" s="115"/>
      <c r="T113" s="115"/>
      <c r="U113" s="115"/>
      <c r="V113" s="115"/>
    </row>
    <row r="114" spans="11:22" s="453" customFormat="1">
      <c r="K114" s="115"/>
      <c r="L114" s="115"/>
      <c r="M114" s="115"/>
      <c r="N114" s="115"/>
      <c r="O114" s="115"/>
      <c r="P114" s="115"/>
      <c r="Q114" s="115"/>
      <c r="R114" s="115"/>
      <c r="S114" s="115"/>
      <c r="T114" s="115"/>
      <c r="U114" s="115"/>
      <c r="V114" s="115"/>
    </row>
    <row r="115" spans="11:22" s="453" customFormat="1">
      <c r="K115" s="115"/>
      <c r="L115" s="115"/>
      <c r="M115" s="115"/>
      <c r="N115" s="115"/>
      <c r="O115" s="115"/>
      <c r="P115" s="115"/>
      <c r="Q115" s="115"/>
      <c r="R115" s="115"/>
      <c r="S115" s="115"/>
      <c r="T115" s="115"/>
      <c r="U115" s="115"/>
      <c r="V115" s="115"/>
    </row>
    <row r="116" spans="11:22" s="453" customFormat="1">
      <c r="K116" s="115"/>
      <c r="L116" s="115"/>
      <c r="M116" s="115"/>
      <c r="N116" s="115"/>
      <c r="O116" s="115"/>
      <c r="P116" s="115"/>
      <c r="Q116" s="115"/>
      <c r="R116" s="115"/>
      <c r="S116" s="115"/>
      <c r="T116" s="115"/>
      <c r="U116" s="115"/>
      <c r="V116" s="115"/>
    </row>
    <row r="117" spans="11:22" s="453" customFormat="1">
      <c r="K117" s="115"/>
      <c r="L117" s="115"/>
      <c r="M117" s="115"/>
      <c r="N117" s="115"/>
      <c r="O117" s="115"/>
      <c r="P117" s="115"/>
      <c r="Q117" s="115"/>
      <c r="R117" s="115"/>
      <c r="S117" s="115"/>
      <c r="T117" s="115"/>
      <c r="U117" s="115"/>
      <c r="V117" s="115"/>
    </row>
    <row r="118" spans="11:22" s="453" customFormat="1">
      <c r="K118" s="115"/>
      <c r="L118" s="115"/>
      <c r="M118" s="115"/>
      <c r="N118" s="115"/>
      <c r="O118" s="115"/>
      <c r="P118" s="115"/>
      <c r="Q118" s="115"/>
      <c r="R118" s="115"/>
      <c r="S118" s="115"/>
      <c r="T118" s="115"/>
      <c r="U118" s="115"/>
      <c r="V118" s="115"/>
    </row>
    <row r="119" spans="11:22" s="453" customFormat="1">
      <c r="K119" s="115"/>
      <c r="L119" s="115"/>
      <c r="M119" s="115"/>
      <c r="N119" s="115"/>
      <c r="O119" s="115"/>
      <c r="P119" s="115"/>
      <c r="Q119" s="115"/>
      <c r="R119" s="115"/>
      <c r="S119" s="115"/>
      <c r="T119" s="115"/>
      <c r="U119" s="115"/>
      <c r="V119" s="115"/>
    </row>
    <row r="120" spans="11:22" s="453" customFormat="1">
      <c r="K120" s="115"/>
      <c r="L120" s="115"/>
      <c r="M120" s="115"/>
      <c r="N120" s="115"/>
      <c r="O120" s="115"/>
      <c r="P120" s="115"/>
      <c r="Q120" s="115"/>
      <c r="R120" s="115"/>
      <c r="S120" s="115"/>
      <c r="T120" s="115"/>
      <c r="U120" s="115"/>
      <c r="V120" s="115"/>
    </row>
    <row r="121" spans="11:22" s="453" customFormat="1">
      <c r="K121" s="115"/>
      <c r="L121" s="115"/>
      <c r="M121" s="115"/>
      <c r="N121" s="115"/>
      <c r="O121" s="115"/>
      <c r="P121" s="115"/>
      <c r="Q121" s="115"/>
      <c r="R121" s="115"/>
      <c r="S121" s="115"/>
      <c r="T121" s="115"/>
      <c r="U121" s="115"/>
      <c r="V121" s="115"/>
    </row>
    <row r="122" spans="11:22" s="453" customFormat="1">
      <c r="K122" s="115"/>
      <c r="L122" s="115"/>
      <c r="M122" s="115"/>
      <c r="N122" s="115"/>
      <c r="O122" s="115"/>
      <c r="P122" s="115"/>
      <c r="Q122" s="115"/>
      <c r="R122" s="115"/>
      <c r="S122" s="115"/>
      <c r="T122" s="115"/>
      <c r="U122" s="115"/>
      <c r="V122" s="115"/>
    </row>
    <row r="123" spans="11:22" s="453" customFormat="1">
      <c r="K123" s="115"/>
      <c r="L123" s="115"/>
      <c r="M123" s="115"/>
      <c r="N123" s="115"/>
      <c r="O123" s="115"/>
      <c r="P123" s="115"/>
      <c r="Q123" s="115"/>
      <c r="R123" s="115"/>
      <c r="S123" s="115"/>
      <c r="T123" s="115"/>
      <c r="U123" s="115"/>
      <c r="V123" s="115"/>
    </row>
    <row r="124" spans="11:22" s="453" customFormat="1">
      <c r="K124" s="115"/>
      <c r="L124" s="115"/>
      <c r="M124" s="115"/>
      <c r="N124" s="115"/>
      <c r="O124" s="115"/>
      <c r="P124" s="115"/>
      <c r="Q124" s="115"/>
      <c r="R124" s="115"/>
      <c r="S124" s="115"/>
      <c r="T124" s="115"/>
      <c r="U124" s="115"/>
      <c r="V124" s="115"/>
    </row>
    <row r="125" spans="11:22" s="453" customFormat="1">
      <c r="K125" s="115"/>
      <c r="L125" s="115"/>
      <c r="M125" s="115"/>
      <c r="N125" s="115"/>
      <c r="O125" s="115"/>
      <c r="P125" s="115"/>
      <c r="Q125" s="115"/>
      <c r="R125" s="115"/>
      <c r="S125" s="115"/>
      <c r="T125" s="115"/>
      <c r="U125" s="115"/>
      <c r="V125" s="115"/>
    </row>
    <row r="126" spans="11:22" s="453" customFormat="1">
      <c r="K126" s="115"/>
      <c r="L126" s="115"/>
      <c r="M126" s="115"/>
      <c r="N126" s="115"/>
      <c r="O126" s="115"/>
      <c r="P126" s="115"/>
      <c r="Q126" s="115"/>
      <c r="R126" s="115"/>
      <c r="S126" s="115"/>
      <c r="T126" s="115"/>
      <c r="U126" s="115"/>
      <c r="V126" s="115"/>
    </row>
    <row r="127" spans="11:22" s="453" customFormat="1">
      <c r="K127" s="115"/>
      <c r="L127" s="115"/>
      <c r="M127" s="115"/>
      <c r="N127" s="115"/>
      <c r="O127" s="115"/>
      <c r="P127" s="115"/>
      <c r="Q127" s="115"/>
      <c r="R127" s="115"/>
      <c r="S127" s="115"/>
      <c r="T127" s="115"/>
      <c r="U127" s="115"/>
      <c r="V127" s="115"/>
    </row>
    <row r="128" spans="11:22" s="453" customFormat="1">
      <c r="K128" s="115"/>
      <c r="L128" s="115"/>
      <c r="M128" s="115"/>
      <c r="N128" s="115"/>
      <c r="O128" s="115"/>
      <c r="P128" s="115"/>
      <c r="Q128" s="115"/>
      <c r="R128" s="115"/>
      <c r="S128" s="115"/>
      <c r="T128" s="115"/>
      <c r="U128" s="115"/>
      <c r="V128" s="115"/>
    </row>
    <row r="129" spans="11:22" s="453" customFormat="1">
      <c r="K129" s="115"/>
      <c r="L129" s="115"/>
      <c r="M129" s="115"/>
      <c r="N129" s="115"/>
      <c r="O129" s="115"/>
      <c r="P129" s="115"/>
      <c r="Q129" s="115"/>
      <c r="R129" s="115"/>
      <c r="S129" s="115"/>
      <c r="T129" s="115"/>
      <c r="U129" s="115"/>
      <c r="V129" s="115"/>
    </row>
    <row r="130" spans="11:22" s="453" customFormat="1">
      <c r="K130" s="115"/>
      <c r="L130" s="115"/>
      <c r="M130" s="115"/>
      <c r="N130" s="115"/>
      <c r="O130" s="115"/>
      <c r="P130" s="115"/>
      <c r="Q130" s="115"/>
      <c r="R130" s="115"/>
      <c r="S130" s="115"/>
      <c r="T130" s="115"/>
      <c r="U130" s="115"/>
      <c r="V130" s="115"/>
    </row>
    <row r="131" spans="11:22" s="453" customFormat="1">
      <c r="K131" s="115"/>
      <c r="L131" s="115"/>
      <c r="M131" s="115"/>
      <c r="N131" s="115"/>
      <c r="O131" s="115"/>
      <c r="P131" s="115"/>
      <c r="Q131" s="115"/>
      <c r="R131" s="115"/>
      <c r="S131" s="115"/>
      <c r="T131" s="115"/>
      <c r="U131" s="115"/>
      <c r="V131" s="115"/>
    </row>
    <row r="132" spans="11:22" s="453" customFormat="1">
      <c r="K132" s="115"/>
      <c r="L132" s="115"/>
      <c r="M132" s="115"/>
      <c r="N132" s="115"/>
      <c r="O132" s="115"/>
      <c r="P132" s="115"/>
      <c r="Q132" s="115"/>
      <c r="R132" s="115"/>
      <c r="S132" s="115"/>
      <c r="T132" s="115"/>
      <c r="U132" s="115"/>
      <c r="V132" s="115"/>
    </row>
    <row r="133" spans="11:22" s="453" customFormat="1">
      <c r="K133" s="115"/>
      <c r="L133" s="115"/>
      <c r="M133" s="115"/>
      <c r="N133" s="115"/>
      <c r="O133" s="115"/>
      <c r="P133" s="115"/>
      <c r="Q133" s="115"/>
      <c r="R133" s="115"/>
      <c r="S133" s="115"/>
      <c r="T133" s="115"/>
      <c r="U133" s="115"/>
      <c r="V133" s="115"/>
    </row>
    <row r="134" spans="11:22" s="453" customFormat="1">
      <c r="K134" s="115"/>
      <c r="L134" s="115"/>
      <c r="M134" s="115"/>
      <c r="N134" s="115"/>
      <c r="O134" s="115"/>
      <c r="P134" s="115"/>
      <c r="Q134" s="115"/>
      <c r="R134" s="115"/>
      <c r="S134" s="115"/>
      <c r="T134" s="115"/>
      <c r="U134" s="115"/>
      <c r="V134" s="115"/>
    </row>
    <row r="135" spans="11:22" s="453" customFormat="1">
      <c r="K135" s="115"/>
      <c r="L135" s="115"/>
      <c r="M135" s="115"/>
      <c r="N135" s="115"/>
      <c r="O135" s="115"/>
      <c r="P135" s="115"/>
      <c r="Q135" s="115"/>
      <c r="R135" s="115"/>
      <c r="S135" s="115"/>
      <c r="T135" s="115"/>
      <c r="U135" s="115"/>
      <c r="V135" s="115"/>
    </row>
    <row r="136" spans="11:22" s="453" customFormat="1">
      <c r="K136" s="115"/>
      <c r="L136" s="115"/>
      <c r="M136" s="115"/>
      <c r="N136" s="115"/>
      <c r="O136" s="115"/>
      <c r="P136" s="115"/>
      <c r="Q136" s="115"/>
      <c r="R136" s="115"/>
      <c r="S136" s="115"/>
      <c r="T136" s="115"/>
      <c r="U136" s="115"/>
      <c r="V136" s="115"/>
    </row>
    <row r="137" spans="11:22" s="453" customFormat="1">
      <c r="K137" s="115"/>
      <c r="L137" s="115"/>
      <c r="M137" s="115"/>
      <c r="N137" s="115"/>
      <c r="O137" s="115"/>
      <c r="P137" s="115"/>
      <c r="Q137" s="115"/>
      <c r="R137" s="115"/>
      <c r="S137" s="115"/>
      <c r="T137" s="115"/>
      <c r="U137" s="115"/>
      <c r="V137" s="115"/>
    </row>
    <row r="138" spans="11:22" s="453" customFormat="1">
      <c r="K138" s="115"/>
      <c r="L138" s="115"/>
      <c r="M138" s="115"/>
      <c r="N138" s="115"/>
      <c r="O138" s="115"/>
      <c r="P138" s="115"/>
      <c r="Q138" s="115"/>
      <c r="R138" s="115"/>
      <c r="S138" s="115"/>
      <c r="T138" s="115"/>
      <c r="U138" s="115"/>
      <c r="V138" s="115"/>
    </row>
    <row r="139" spans="11:22" s="453" customFormat="1">
      <c r="K139" s="115"/>
      <c r="L139" s="115"/>
      <c r="M139" s="115"/>
      <c r="N139" s="115"/>
      <c r="O139" s="115"/>
      <c r="P139" s="115"/>
      <c r="Q139" s="115"/>
      <c r="R139" s="115"/>
      <c r="S139" s="115"/>
      <c r="T139" s="115"/>
      <c r="U139" s="115"/>
      <c r="V139" s="115"/>
    </row>
    <row r="140" spans="11:22" s="453" customFormat="1">
      <c r="K140" s="115"/>
      <c r="L140" s="115"/>
      <c r="M140" s="115"/>
      <c r="N140" s="115"/>
      <c r="O140" s="115"/>
      <c r="P140" s="115"/>
      <c r="Q140" s="115"/>
      <c r="R140" s="115"/>
      <c r="S140" s="115"/>
      <c r="T140" s="115"/>
      <c r="U140" s="115"/>
      <c r="V140" s="115"/>
    </row>
    <row r="141" spans="11:22">
      <c r="K141" s="115"/>
      <c r="L141" s="115"/>
      <c r="M141" s="115"/>
      <c r="N141" s="115"/>
      <c r="O141" s="115"/>
      <c r="P141" s="115"/>
      <c r="Q141" s="115"/>
      <c r="R141" s="115"/>
      <c r="S141" s="115"/>
      <c r="T141" s="115"/>
      <c r="U141" s="115"/>
      <c r="V141" s="115"/>
    </row>
    <row r="142" spans="11:22" ht="13.5" customHeight="1">
      <c r="K142" s="115"/>
      <c r="L142" s="115"/>
      <c r="M142" s="115"/>
      <c r="N142" s="115"/>
      <c r="O142" s="115"/>
      <c r="P142" s="115"/>
      <c r="Q142" s="115"/>
      <c r="R142" s="115"/>
      <c r="S142" s="115"/>
      <c r="T142" s="115"/>
      <c r="U142" s="115"/>
      <c r="V142" s="115"/>
    </row>
    <row r="143" spans="11:22">
      <c r="K143" s="115"/>
      <c r="L143" s="115"/>
      <c r="M143" s="115"/>
      <c r="N143" s="115"/>
      <c r="O143" s="115"/>
      <c r="P143" s="115"/>
      <c r="Q143" s="115"/>
      <c r="R143" s="115"/>
      <c r="S143" s="115"/>
      <c r="T143" s="115"/>
      <c r="U143" s="115"/>
      <c r="V143" s="115"/>
    </row>
    <row r="144" spans="11:22">
      <c r="K144" s="115"/>
      <c r="L144" s="115"/>
      <c r="M144" s="115"/>
      <c r="N144" s="115"/>
      <c r="O144" s="115"/>
      <c r="P144" s="115"/>
      <c r="Q144" s="115"/>
      <c r="R144" s="115"/>
      <c r="S144" s="115"/>
      <c r="T144" s="115"/>
      <c r="U144" s="115"/>
      <c r="V144" s="115"/>
    </row>
    <row r="145" spans="1:22">
      <c r="K145" s="115"/>
      <c r="L145" s="115"/>
      <c r="M145" s="115"/>
      <c r="N145" s="115"/>
      <c r="O145" s="115"/>
      <c r="P145" s="115"/>
      <c r="Q145" s="115"/>
      <c r="R145" s="115"/>
      <c r="S145" s="115"/>
      <c r="T145" s="115"/>
      <c r="U145" s="115"/>
      <c r="V145" s="115"/>
    </row>
    <row r="146" spans="1:22">
      <c r="K146" s="115"/>
      <c r="L146" s="115"/>
      <c r="M146" s="115"/>
      <c r="N146" s="115"/>
      <c r="O146" s="115"/>
      <c r="P146" s="115"/>
      <c r="Q146" s="115"/>
      <c r="R146" s="115"/>
      <c r="S146" s="115"/>
      <c r="T146" s="115"/>
      <c r="U146" s="115"/>
      <c r="V146" s="115"/>
    </row>
    <row r="147" spans="1:22">
      <c r="K147" s="115"/>
      <c r="L147" s="115"/>
      <c r="M147" s="115"/>
      <c r="N147" s="115"/>
      <c r="O147" s="115"/>
      <c r="P147" s="115"/>
      <c r="Q147" s="115"/>
      <c r="R147" s="115"/>
      <c r="S147" s="115"/>
      <c r="T147" s="115"/>
      <c r="U147" s="115"/>
      <c r="V147" s="115"/>
    </row>
    <row r="148" spans="1:22">
      <c r="K148" s="115"/>
      <c r="L148" s="115"/>
      <c r="M148" s="115"/>
      <c r="N148" s="115"/>
      <c r="O148" s="115"/>
      <c r="P148" s="115"/>
      <c r="Q148" s="115"/>
      <c r="R148" s="115"/>
      <c r="S148" s="115"/>
      <c r="T148" s="115"/>
      <c r="U148" s="115"/>
      <c r="V148" s="115"/>
    </row>
    <row r="149" spans="1:22">
      <c r="K149" s="115"/>
      <c r="L149" s="115"/>
      <c r="M149" s="115"/>
      <c r="N149" s="115"/>
      <c r="O149" s="115"/>
      <c r="P149" s="115"/>
      <c r="Q149" s="115"/>
      <c r="R149" s="115"/>
      <c r="S149" s="115"/>
      <c r="T149" s="115"/>
      <c r="U149" s="115"/>
      <c r="V149" s="115"/>
    </row>
    <row r="150" spans="1:22">
      <c r="K150" s="115"/>
      <c r="L150" s="115"/>
      <c r="M150" s="115"/>
      <c r="N150" s="115"/>
      <c r="O150" s="115"/>
      <c r="P150" s="115"/>
      <c r="Q150" s="115"/>
      <c r="R150" s="115"/>
      <c r="S150" s="115"/>
      <c r="T150" s="115"/>
      <c r="U150" s="115"/>
      <c r="V150" s="115"/>
    </row>
    <row r="151" spans="1:22">
      <c r="K151" s="115"/>
      <c r="L151" s="115"/>
      <c r="M151" s="115"/>
      <c r="N151" s="115"/>
      <c r="O151" s="115"/>
      <c r="P151" s="115"/>
      <c r="Q151" s="115"/>
      <c r="R151" s="115"/>
      <c r="S151" s="115"/>
      <c r="T151" s="115"/>
      <c r="U151" s="115"/>
      <c r="V151" s="115"/>
    </row>
    <row r="152" spans="1:22">
      <c r="K152" s="115"/>
      <c r="L152" s="115"/>
      <c r="M152" s="115"/>
      <c r="N152" s="115"/>
      <c r="O152" s="115"/>
      <c r="P152" s="115"/>
      <c r="Q152" s="115"/>
      <c r="R152" s="115"/>
      <c r="S152" s="115"/>
      <c r="T152" s="115"/>
      <c r="U152" s="115"/>
      <c r="V152" s="115"/>
    </row>
    <row r="153" spans="1:22">
      <c r="K153" s="115"/>
      <c r="L153" s="115"/>
      <c r="M153" s="115"/>
      <c r="N153" s="115"/>
      <c r="O153" s="115"/>
      <c r="P153" s="115"/>
      <c r="Q153" s="115"/>
      <c r="R153" s="115"/>
      <c r="S153" s="115"/>
      <c r="T153" s="115"/>
      <c r="U153" s="115"/>
      <c r="V153" s="115"/>
    </row>
    <row r="154" spans="1:22">
      <c r="K154" s="115"/>
      <c r="L154" s="115"/>
      <c r="M154" s="115"/>
      <c r="N154" s="115"/>
      <c r="O154" s="115"/>
      <c r="P154" s="115"/>
      <c r="Q154" s="115"/>
      <c r="R154" s="115"/>
      <c r="S154" s="115"/>
      <c r="T154" s="115"/>
      <c r="U154" s="115"/>
      <c r="V154" s="115"/>
    </row>
    <row r="155" spans="1:22">
      <c r="K155" s="115"/>
      <c r="L155" s="115"/>
      <c r="M155" s="115"/>
      <c r="N155" s="115"/>
      <c r="O155" s="115"/>
      <c r="P155" s="115"/>
      <c r="Q155" s="115"/>
      <c r="R155" s="115"/>
      <c r="S155" s="115"/>
      <c r="T155" s="115"/>
      <c r="U155" s="115"/>
      <c r="V155" s="115"/>
    </row>
    <row r="156" spans="1:22">
      <c r="K156" s="115"/>
      <c r="L156" s="115"/>
      <c r="M156" s="115"/>
      <c r="N156" s="115"/>
      <c r="O156" s="115"/>
      <c r="P156" s="115"/>
      <c r="Q156" s="115"/>
      <c r="R156" s="115"/>
      <c r="S156" s="115"/>
      <c r="T156" s="115"/>
      <c r="U156" s="115"/>
      <c r="V156" s="115"/>
    </row>
    <row r="157" spans="1:22">
      <c r="K157" s="115"/>
      <c r="L157" s="115"/>
      <c r="M157" s="115"/>
      <c r="N157" s="115"/>
      <c r="O157" s="115"/>
      <c r="P157" s="115"/>
      <c r="Q157" s="115"/>
      <c r="R157" s="115"/>
      <c r="S157" s="115"/>
      <c r="T157" s="115"/>
      <c r="U157" s="115"/>
      <c r="V157" s="115"/>
    </row>
    <row r="158" spans="1:2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row>
    <row r="159" spans="1:2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row>
    <row r="160" spans="1:2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row>
    <row r="161" spans="1:2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row>
    <row r="162" spans="1:2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row>
    <row r="163" spans="1:2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row>
    <row r="164" spans="1:2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row>
    <row r="165" spans="1:2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row>
    <row r="166" spans="1:2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row>
    <row r="167" spans="1:2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row>
    <row r="168" spans="1:2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row>
    <row r="169" spans="1:2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1'!A1" display="Ut21'!" xr:uid="{00000000-0004-0000-0000-00000F000000}"/>
    <hyperlink ref="K11" location="'Ut22'!A1" display="Ut22'!" xr:uid="{00000000-0004-0000-0000-000010000000}"/>
    <hyperlink ref="K12" location="'Ut23'!A1" display="'Ut23'!A1" xr:uid="{00000000-0004-0000-0000-000011000000}"/>
    <hyperlink ref="K13" location="'Ut24'!A1" display="Ut24'!" xr:uid="{8CB499CE-1C9B-49F6-A958-84448CC6F58A}"/>
    <hyperlink ref="C16" location="'K20'!A4" display="K20'!" xr:uid="{6360251C-88DD-45DC-A8BD-2A8C2446F52F}"/>
    <hyperlink ref="C17" location="'K21'!A4" display="K21'!" xr:uid="{55F82CC1-14BF-4FFD-9214-7BA9CF48DDA1}"/>
    <hyperlink ref="K14" location="'Ut25'!A1" display="Ut25'!" xr:uid="{56CB8523-AC14-461F-93BC-126B53811672}"/>
    <hyperlink ref="K20" location="innut22!A1" display="innut22!" xr:uid="{85D30578-CB2E-41EB-A3B8-E0D8762A5029}"/>
    <hyperlink ref="C18" location="'K22'!A4" display="K22'!" xr:uid="{FD4E89C8-F2F6-457E-A71E-14F59EFC9A2B}"/>
    <hyperlink ref="K15" location="'Ut26'!A1" display="'Ut26'!" xr:uid="{AF31D90C-AAD3-477A-BAF3-26C692FA5439}"/>
    <hyperlink ref="C13" location="'R22'!A1" display="'R22'!" xr:uid="{7FFAB1CE-EE4A-4E51-9A62-A3F645FB8A94}"/>
    <hyperlink ref="C14" location="'R23'!A1" display="'R23'!" xr:uid="{251DB304-99D8-464D-A33F-D549585306CE}"/>
    <hyperlink ref="K21" location="innut23!A1" display="innut23!" xr:uid="{A765787A-D93A-43D2-81CA-7F283B299ADC}"/>
    <hyperlink ref="C10" location="Forutsetninger!A1" display="Forutsetninger!" xr:uid="{D0314354-3AEE-4416-B1C0-A3CFDA4E090D}"/>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C033-1B7E-4623-8A7C-1E7F2B89126C}">
  <sheetPr codeName="Ark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C10" sqref="C10:C365"/>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2233</v>
      </c>
      <c r="D1" s="90"/>
      <c r="E1" s="90"/>
      <c r="F1" s="97">
        <f>+Gdata!F96</f>
        <v>219999999.99999997</v>
      </c>
      <c r="G1" s="90" t="s">
        <v>709</v>
      </c>
      <c r="H1" s="90"/>
      <c r="I1" s="87" t="s">
        <v>354</v>
      </c>
      <c r="J1" s="537">
        <f>F1*1000/P367</f>
        <v>40550.977186388875</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-563.53779667568176</v>
      </c>
      <c r="I3" s="538" t="s">
        <v>1017</v>
      </c>
      <c r="J3" s="98"/>
      <c r="K3" s="98"/>
      <c r="L3" s="686"/>
      <c r="M3" s="88">
        <v>26799657.55545466</v>
      </c>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75" t="s">
        <v>1018</v>
      </c>
      <c r="E5" s="1275"/>
      <c r="F5" s="1275" t="s">
        <v>1320</v>
      </c>
      <c r="G5" s="1275"/>
      <c r="H5" s="1275" t="s">
        <v>367</v>
      </c>
      <c r="I5" s="1275"/>
      <c r="J5" s="1275"/>
      <c r="K5" s="1275"/>
      <c r="L5" s="542" t="s">
        <v>368</v>
      </c>
      <c r="M5" s="1275" t="s">
        <v>369</v>
      </c>
      <c r="N5" s="1275"/>
      <c r="O5" s="1275"/>
      <c r="P5" s="734" t="s">
        <v>2234</v>
      </c>
      <c r="R5" s="1275" t="s">
        <v>2384</v>
      </c>
      <c r="S5" s="1275"/>
      <c r="U5" s="541" t="s">
        <v>2581</v>
      </c>
      <c r="V5" s="541" t="s">
        <v>2585</v>
      </c>
      <c r="W5" s="541" t="s">
        <v>2585</v>
      </c>
    </row>
    <row r="6" spans="1:23" ht="13">
      <c r="A6" s="538"/>
      <c r="B6" s="538"/>
      <c r="C6" s="543" t="s">
        <v>1067</v>
      </c>
      <c r="D6" s="1276"/>
      <c r="E6" s="1276"/>
      <c r="F6" s="1276" t="s">
        <v>371</v>
      </c>
      <c r="G6" s="1276"/>
      <c r="H6" s="538"/>
      <c r="I6" s="538"/>
      <c r="J6" s="538"/>
      <c r="K6" s="538"/>
      <c r="L6" s="544" t="s">
        <v>370</v>
      </c>
      <c r="M6" s="1276" t="s">
        <v>371</v>
      </c>
      <c r="N6" s="1276"/>
      <c r="O6" s="1276"/>
      <c r="P6" s="546">
        <v>44562</v>
      </c>
      <c r="R6" s="1276" t="s">
        <v>2380</v>
      </c>
      <c r="S6" s="1276"/>
      <c r="U6" s="543" t="s">
        <v>2583</v>
      </c>
      <c r="V6" s="543" t="s">
        <v>2586</v>
      </c>
      <c r="W6" s="543" t="s">
        <v>2586</v>
      </c>
    </row>
    <row r="7" spans="1:23" ht="13">
      <c r="A7" s="538"/>
      <c r="B7" s="538"/>
      <c r="C7" s="543" t="s">
        <v>2513</v>
      </c>
      <c r="D7" s="1276" t="s">
        <v>2382</v>
      </c>
      <c r="E7" s="1276"/>
      <c r="F7" s="1276"/>
      <c r="G7" s="1276"/>
      <c r="H7" s="545" t="s">
        <v>334</v>
      </c>
      <c r="I7" s="545"/>
      <c r="J7" s="545" t="s">
        <v>359</v>
      </c>
      <c r="K7" s="545"/>
      <c r="L7" s="544"/>
      <c r="M7" s="538"/>
      <c r="N7" s="538"/>
      <c r="O7" s="1076" t="s">
        <v>360</v>
      </c>
      <c r="P7" s="829"/>
      <c r="R7" s="1276" t="s">
        <v>2381</v>
      </c>
      <c r="S7" s="1276"/>
      <c r="U7" s="543" t="s">
        <v>2582</v>
      </c>
      <c r="V7" s="543"/>
      <c r="W7" s="543"/>
    </row>
    <row r="8" spans="1:23" ht="13.5" customHeight="1">
      <c r="A8" s="547"/>
      <c r="B8" s="547"/>
      <c r="C8" s="548" t="s">
        <v>2514</v>
      </c>
      <c r="D8" s="549" t="s">
        <v>361</v>
      </c>
      <c r="E8" s="549" t="s">
        <v>268</v>
      </c>
      <c r="F8" s="549" t="s">
        <v>361</v>
      </c>
      <c r="G8" s="549" t="s">
        <v>268</v>
      </c>
      <c r="H8" s="549" t="s">
        <v>361</v>
      </c>
      <c r="I8" s="549" t="s">
        <v>268</v>
      </c>
      <c r="J8" s="549" t="s">
        <v>361</v>
      </c>
      <c r="K8" s="549" t="s">
        <v>268</v>
      </c>
      <c r="L8" s="550" t="s">
        <v>268</v>
      </c>
      <c r="M8" s="549" t="s">
        <v>268</v>
      </c>
      <c r="N8" s="549" t="s">
        <v>361</v>
      </c>
      <c r="O8" s="549" t="s">
        <v>362</v>
      </c>
      <c r="P8" s="769"/>
      <c r="R8" s="549" t="s">
        <v>361</v>
      </c>
      <c r="S8" s="549" t="s">
        <v>268</v>
      </c>
      <c r="U8" s="548" t="s">
        <v>2584</v>
      </c>
      <c r="V8" s="548" t="s">
        <v>2584</v>
      </c>
      <c r="W8" s="548" t="s">
        <v>2587</v>
      </c>
    </row>
    <row r="10" spans="1:23" ht="13">
      <c r="A10" s="92">
        <v>301</v>
      </c>
      <c r="B10" s="93" t="s">
        <v>399</v>
      </c>
      <c r="C10" s="574">
        <v>1.4226523835870624</v>
      </c>
      <c r="D10" s="100">
        <f t="shared" ref="D10:D73" si="0">C10*D$367</f>
        <v>57689.944351000719</v>
      </c>
      <c r="E10" s="100">
        <f t="shared" ref="E10:E73" si="1">D10*P10/1000</f>
        <v>40372980.685327783</v>
      </c>
      <c r="F10" s="100">
        <f>($D$367+$R$367-D10-R10)*0.6</f>
        <v>-10281.500208006646</v>
      </c>
      <c r="G10" s="100">
        <f t="shared" ref="G10:G73" si="2">F10*P10/1000</f>
        <v>-7195271.4460686678</v>
      </c>
      <c r="H10" s="100">
        <f>IF((D10+R10)&lt;(D$367+R$367)*0.9,((D$367+R$367)*0.9-(D10+R10))*0.35,0)</f>
        <v>0</v>
      </c>
      <c r="I10" s="100">
        <f t="shared" ref="I10:I73" si="3">H10*P10/1000</f>
        <v>0</v>
      </c>
      <c r="J10" s="100">
        <f t="shared" ref="J10:J73" si="4">H10+H$370</f>
        <v>-563.53779667568176</v>
      </c>
      <c r="K10" s="100">
        <f t="shared" ref="K10:K73" si="5">J10*P10/1000</f>
        <v>-394378.96563415235</v>
      </c>
      <c r="L10" s="101">
        <f t="shared" ref="L10:L73" si="6">K10+G10</f>
        <v>-7589650.4117028201</v>
      </c>
      <c r="M10" s="100">
        <f t="shared" ref="M10:M73" si="7">K10+E10+G10</f>
        <v>32783330.273624964</v>
      </c>
      <c r="N10" s="102">
        <f t="shared" ref="N10:N73" si="8">M10*1000/P10</f>
        <v>46844.906346318399</v>
      </c>
      <c r="O10" s="94">
        <f t="shared" ref="O10:O73" si="9">N10/N$367</f>
        <v>1.1552102956976855</v>
      </c>
      <c r="P10" s="100">
        <f>'K22'!C4</f>
        <v>699827</v>
      </c>
      <c r="Q10" s="100"/>
      <c r="R10" s="100">
        <f>S10*1000/P10</f>
        <v>0</v>
      </c>
      <c r="S10" s="100">
        <v>0</v>
      </c>
      <c r="U10" s="100">
        <v>0</v>
      </c>
      <c r="V10" s="5">
        <f>+E10-U10</f>
        <v>40372980.685327783</v>
      </c>
      <c r="W10" s="5">
        <f>+V10*1000/P10</f>
        <v>57689.944351000719</v>
      </c>
    </row>
    <row r="11" spans="1:23" ht="13">
      <c r="A11" s="92">
        <v>1101</v>
      </c>
      <c r="B11" s="93" t="s">
        <v>510</v>
      </c>
      <c r="C11" s="574">
        <v>0.9937663053279806</v>
      </c>
      <c r="D11" s="100">
        <f t="shared" si="0"/>
        <v>40298.194775956901</v>
      </c>
      <c r="E11" s="100">
        <f t="shared" si="1"/>
        <v>598831.17437071959</v>
      </c>
      <c r="F11" s="100">
        <f t="shared" ref="F11:F74" si="10">($D$367+$R$367-D11-R11)*0.6</f>
        <v>153.54953701964405</v>
      </c>
      <c r="G11" s="100">
        <f t="shared" si="2"/>
        <v>2281.7461201119108</v>
      </c>
      <c r="H11" s="100">
        <f t="shared" ref="H11:H74" si="11">IF((D11+R11)&lt;(D$367+R$367)*0.9,((D$367+R$367)*0.9-(D11+R11))*0.35,0)</f>
        <v>0</v>
      </c>
      <c r="I11" s="100">
        <f t="shared" si="3"/>
        <v>0</v>
      </c>
      <c r="J11" s="100">
        <f t="shared" si="4"/>
        <v>-563.53779667568176</v>
      </c>
      <c r="K11" s="100">
        <f t="shared" si="5"/>
        <v>-8374.1716586006314</v>
      </c>
      <c r="L11" s="101">
        <f t="shared" si="6"/>
        <v>-6092.4255384887201</v>
      </c>
      <c r="M11" s="100">
        <f t="shared" si="7"/>
        <v>592738.74883223081</v>
      </c>
      <c r="N11" s="102">
        <f t="shared" si="8"/>
        <v>39888.206516300859</v>
      </c>
      <c r="O11" s="94">
        <f t="shared" si="9"/>
        <v>0.9836558643940525</v>
      </c>
      <c r="P11" s="100">
        <f>'K22'!C5</f>
        <v>14860</v>
      </c>
      <c r="Q11" s="100"/>
      <c r="R11" s="100">
        <f t="shared" ref="R11:R74" si="12">S11*1000/P11</f>
        <v>0</v>
      </c>
      <c r="S11" s="100">
        <v>0</v>
      </c>
      <c r="U11" s="100">
        <v>766.55200000000002</v>
      </c>
      <c r="V11" s="5">
        <f t="shared" ref="V11:V74" si="13">+E11-U11</f>
        <v>598064.62237071956</v>
      </c>
      <c r="W11" s="5">
        <f t="shared" ref="W11:W74" si="14">+V11*1000/P11</f>
        <v>40246.609849981127</v>
      </c>
    </row>
    <row r="12" spans="1:23" ht="13">
      <c r="A12" s="92">
        <v>1103</v>
      </c>
      <c r="B12" s="93" t="s">
        <v>512</v>
      </c>
      <c r="C12" s="574">
        <v>1.2138338209456856</v>
      </c>
      <c r="D12" s="100">
        <f t="shared" si="0"/>
        <v>49222.147581235731</v>
      </c>
      <c r="E12" s="100">
        <f t="shared" si="1"/>
        <v>7122395.532857229</v>
      </c>
      <c r="F12" s="100">
        <f t="shared" si="10"/>
        <v>-5200.8221461476542</v>
      </c>
      <c r="G12" s="100">
        <f t="shared" si="2"/>
        <v>-752553.76372541941</v>
      </c>
      <c r="H12" s="100">
        <f t="shared" si="11"/>
        <v>0</v>
      </c>
      <c r="I12" s="100">
        <f t="shared" si="3"/>
        <v>0</v>
      </c>
      <c r="J12" s="100">
        <f t="shared" si="4"/>
        <v>-563.53779667568176</v>
      </c>
      <c r="K12" s="100">
        <f t="shared" si="5"/>
        <v>-81543.355641174479</v>
      </c>
      <c r="L12" s="101">
        <f t="shared" si="6"/>
        <v>-834097.11936659389</v>
      </c>
      <c r="M12" s="100">
        <f t="shared" si="7"/>
        <v>6288298.4134906353</v>
      </c>
      <c r="N12" s="102">
        <f t="shared" si="8"/>
        <v>43457.787638412396</v>
      </c>
      <c r="O12" s="94">
        <f t="shared" si="9"/>
        <v>1.0716828706411345</v>
      </c>
      <c r="P12" s="100">
        <f>'K22'!C6</f>
        <v>144699</v>
      </c>
      <c r="Q12" s="100"/>
      <c r="R12" s="100">
        <f t="shared" si="12"/>
        <v>0</v>
      </c>
      <c r="S12" s="100">
        <v>0</v>
      </c>
      <c r="U12" s="100">
        <v>0</v>
      </c>
      <c r="V12" s="5">
        <f t="shared" si="13"/>
        <v>7122395.532857229</v>
      </c>
      <c r="W12" s="5">
        <f t="shared" si="14"/>
        <v>49222.147581235731</v>
      </c>
    </row>
    <row r="13" spans="1:23" ht="13">
      <c r="A13" s="92">
        <v>1106</v>
      </c>
      <c r="B13" s="93" t="s">
        <v>513</v>
      </c>
      <c r="C13" s="574">
        <v>0.93690353587076147</v>
      </c>
      <c r="D13" s="100">
        <f t="shared" si="0"/>
        <v>37992.353908942321</v>
      </c>
      <c r="E13" s="100">
        <f t="shared" si="1"/>
        <v>1422585.6997664364</v>
      </c>
      <c r="F13" s="100">
        <f t="shared" si="10"/>
        <v>1537.0540572283919</v>
      </c>
      <c r="G13" s="100">
        <f t="shared" si="2"/>
        <v>57553.45211885991</v>
      </c>
      <c r="H13" s="100">
        <f t="shared" si="11"/>
        <v>0</v>
      </c>
      <c r="I13" s="100">
        <f t="shared" si="3"/>
        <v>0</v>
      </c>
      <c r="J13" s="100">
        <f t="shared" si="4"/>
        <v>-563.53779667568176</v>
      </c>
      <c r="K13" s="100">
        <f t="shared" si="5"/>
        <v>-21101.109258724227</v>
      </c>
      <c r="L13" s="101">
        <f t="shared" si="6"/>
        <v>36452.342860135686</v>
      </c>
      <c r="M13" s="100">
        <f t="shared" si="7"/>
        <v>1459038.0426265721</v>
      </c>
      <c r="N13" s="102">
        <f t="shared" si="8"/>
        <v>38965.870169495036</v>
      </c>
      <c r="O13" s="94">
        <f t="shared" si="9"/>
        <v>0.9609107566111651</v>
      </c>
      <c r="P13" s="100">
        <f>'K22'!C7</f>
        <v>37444</v>
      </c>
      <c r="Q13" s="100"/>
      <c r="R13" s="100">
        <f t="shared" si="12"/>
        <v>0</v>
      </c>
      <c r="S13" s="100">
        <v>0</v>
      </c>
      <c r="U13" s="100">
        <v>0</v>
      </c>
      <c r="V13" s="5">
        <f t="shared" si="13"/>
        <v>1422585.6997664364</v>
      </c>
      <c r="W13" s="5">
        <f t="shared" si="14"/>
        <v>37992.353908942321</v>
      </c>
    </row>
    <row r="14" spans="1:23" ht="13">
      <c r="A14" s="92">
        <v>1108</v>
      </c>
      <c r="B14" s="93" t="s">
        <v>511</v>
      </c>
      <c r="C14" s="574">
        <v>0.96523328125858898</v>
      </c>
      <c r="D14" s="100">
        <f t="shared" si="0"/>
        <v>39141.152767860316</v>
      </c>
      <c r="E14" s="100">
        <f t="shared" si="1"/>
        <v>3182371.4257908831</v>
      </c>
      <c r="F14" s="100">
        <f t="shared" si="10"/>
        <v>847.77474187759503</v>
      </c>
      <c r="G14" s="100">
        <f t="shared" si="2"/>
        <v>68928.325388357858</v>
      </c>
      <c r="H14" s="100">
        <f t="shared" si="11"/>
        <v>0</v>
      </c>
      <c r="I14" s="100">
        <f t="shared" si="3"/>
        <v>0</v>
      </c>
      <c r="J14" s="100">
        <f t="shared" si="4"/>
        <v>-563.53779667568176</v>
      </c>
      <c r="K14" s="100">
        <f t="shared" si="5"/>
        <v>-45818.440558716306</v>
      </c>
      <c r="L14" s="101">
        <f t="shared" si="6"/>
        <v>23109.884829641553</v>
      </c>
      <c r="M14" s="100">
        <f t="shared" si="7"/>
        <v>3205481.3106205249</v>
      </c>
      <c r="N14" s="102">
        <f t="shared" si="8"/>
        <v>39425.389713062235</v>
      </c>
      <c r="O14" s="94">
        <f t="shared" si="9"/>
        <v>0.97224265476629612</v>
      </c>
      <c r="P14" s="100">
        <f>'K22'!C8</f>
        <v>81305</v>
      </c>
      <c r="Q14" s="100"/>
      <c r="R14" s="100">
        <f t="shared" si="12"/>
        <v>0</v>
      </c>
      <c r="S14" s="100">
        <v>0</v>
      </c>
      <c r="U14" s="100">
        <v>20328.03</v>
      </c>
      <c r="V14" s="5">
        <f t="shared" si="13"/>
        <v>3162043.3957908833</v>
      </c>
      <c r="W14" s="5">
        <f t="shared" si="14"/>
        <v>38891.130874987808</v>
      </c>
    </row>
    <row r="15" spans="1:23" ht="13">
      <c r="A15" s="92">
        <v>1111</v>
      </c>
      <c r="B15" s="93" t="s">
        <v>514</v>
      </c>
      <c r="C15" s="574">
        <v>0.79714153517809916</v>
      </c>
      <c r="D15" s="100">
        <f t="shared" si="0"/>
        <v>32324.868207330102</v>
      </c>
      <c r="E15" s="100">
        <f t="shared" si="1"/>
        <v>106057.89258825008</v>
      </c>
      <c r="F15" s="100">
        <f t="shared" si="10"/>
        <v>4937.5454781957233</v>
      </c>
      <c r="G15" s="100">
        <f t="shared" si="2"/>
        <v>16200.086713960169</v>
      </c>
      <c r="H15" s="100">
        <f t="shared" si="11"/>
        <v>1460.8409887962021</v>
      </c>
      <c r="I15" s="100">
        <f t="shared" si="3"/>
        <v>4793.0192842403394</v>
      </c>
      <c r="J15" s="100">
        <f t="shared" si="4"/>
        <v>897.30319212052029</v>
      </c>
      <c r="K15" s="100">
        <f t="shared" si="5"/>
        <v>2944.0517733474271</v>
      </c>
      <c r="L15" s="101">
        <f t="shared" si="6"/>
        <v>19144.138487307595</v>
      </c>
      <c r="M15" s="100">
        <f t="shared" si="7"/>
        <v>125202.03107555766</v>
      </c>
      <c r="N15" s="102">
        <f t="shared" si="8"/>
        <v>38159.716877646344</v>
      </c>
      <c r="O15" s="94">
        <f t="shared" si="9"/>
        <v>0.94103075993085628</v>
      </c>
      <c r="P15" s="100">
        <f>'K22'!C9</f>
        <v>3281</v>
      </c>
      <c r="Q15" s="100"/>
      <c r="R15" s="100">
        <f t="shared" si="12"/>
        <v>0</v>
      </c>
      <c r="S15" s="100">
        <v>0</v>
      </c>
      <c r="U15" s="100">
        <v>391.51233333333334</v>
      </c>
      <c r="V15" s="5">
        <f t="shared" si="13"/>
        <v>105666.38025491674</v>
      </c>
      <c r="W15" s="5">
        <f t="shared" si="14"/>
        <v>32205.541071294345</v>
      </c>
    </row>
    <row r="16" spans="1:23" ht="13">
      <c r="A16" s="92">
        <v>1112</v>
      </c>
      <c r="B16" s="93" t="s">
        <v>515</v>
      </c>
      <c r="C16" s="574">
        <v>0.80373006986840889</v>
      </c>
      <c r="D16" s="100">
        <f t="shared" si="0"/>
        <v>32592.039727248586</v>
      </c>
      <c r="E16" s="100">
        <f t="shared" si="1"/>
        <v>103577.502253196</v>
      </c>
      <c r="F16" s="100">
        <f t="shared" si="10"/>
        <v>4777.2425662446331</v>
      </c>
      <c r="G16" s="100">
        <f t="shared" si="2"/>
        <v>15182.076875525445</v>
      </c>
      <c r="H16" s="100">
        <f t="shared" si="11"/>
        <v>1367.3309568247328</v>
      </c>
      <c r="I16" s="100">
        <f t="shared" si="3"/>
        <v>4345.377780789001</v>
      </c>
      <c r="J16" s="100">
        <f t="shared" si="4"/>
        <v>803.793160149051</v>
      </c>
      <c r="K16" s="100">
        <f t="shared" si="5"/>
        <v>2554.454662953684</v>
      </c>
      <c r="L16" s="101">
        <f t="shared" si="6"/>
        <v>17736.531538479128</v>
      </c>
      <c r="M16" s="100">
        <f t="shared" si="7"/>
        <v>121314.03379167512</v>
      </c>
      <c r="N16" s="102">
        <f t="shared" si="8"/>
        <v>38173.075453642268</v>
      </c>
      <c r="O16" s="94">
        <f t="shared" si="9"/>
        <v>0.94136018666537169</v>
      </c>
      <c r="P16" s="100">
        <f>'K22'!C10</f>
        <v>3178</v>
      </c>
      <c r="Q16" s="100"/>
      <c r="R16" s="100">
        <f t="shared" si="12"/>
        <v>0</v>
      </c>
      <c r="S16" s="100">
        <v>0</v>
      </c>
      <c r="U16" s="100">
        <v>1300.0816666666667</v>
      </c>
      <c r="V16" s="5">
        <f t="shared" si="13"/>
        <v>102277.42058652933</v>
      </c>
      <c r="W16" s="5">
        <f t="shared" si="14"/>
        <v>32182.951726409479</v>
      </c>
    </row>
    <row r="17" spans="1:23" ht="13">
      <c r="A17" s="92">
        <v>1114</v>
      </c>
      <c r="B17" s="93" t="s">
        <v>516</v>
      </c>
      <c r="C17" s="574">
        <v>0.84928292945969908</v>
      </c>
      <c r="D17" s="100">
        <f t="shared" si="0"/>
        <v>34439.25269730977</v>
      </c>
      <c r="E17" s="100">
        <f t="shared" si="1"/>
        <v>96051.075772796947</v>
      </c>
      <c r="F17" s="100">
        <f t="shared" si="10"/>
        <v>3668.9147842079224</v>
      </c>
      <c r="G17" s="100">
        <f t="shared" si="2"/>
        <v>10232.603333155894</v>
      </c>
      <c r="H17" s="100">
        <f t="shared" si="11"/>
        <v>720.80641730331843</v>
      </c>
      <c r="I17" s="100">
        <f t="shared" si="3"/>
        <v>2010.3290978589553</v>
      </c>
      <c r="J17" s="100">
        <f t="shared" si="4"/>
        <v>157.26862062763666</v>
      </c>
      <c r="K17" s="100">
        <f t="shared" si="5"/>
        <v>438.62218293047863</v>
      </c>
      <c r="L17" s="101">
        <f t="shared" si="6"/>
        <v>10671.225516086371</v>
      </c>
      <c r="M17" s="100">
        <f t="shared" si="7"/>
        <v>106722.30128888332</v>
      </c>
      <c r="N17" s="102">
        <f t="shared" si="8"/>
        <v>38265.436102145322</v>
      </c>
      <c r="O17" s="94">
        <f t="shared" si="9"/>
        <v>0.94363782964493614</v>
      </c>
      <c r="P17" s="100">
        <f>'K22'!C11</f>
        <v>2789</v>
      </c>
      <c r="Q17" s="100"/>
      <c r="R17" s="100">
        <f t="shared" si="12"/>
        <v>0</v>
      </c>
      <c r="S17" s="100">
        <v>0</v>
      </c>
      <c r="U17" s="100">
        <v>0.30433333333333334</v>
      </c>
      <c r="V17" s="5">
        <f t="shared" si="13"/>
        <v>96050.771439463613</v>
      </c>
      <c r="W17" s="5">
        <f t="shared" si="14"/>
        <v>34439.143578151168</v>
      </c>
    </row>
    <row r="18" spans="1:23" ht="13">
      <c r="A18" s="92">
        <v>1119</v>
      </c>
      <c r="B18" s="93" t="s">
        <v>517</v>
      </c>
      <c r="C18" s="574">
        <v>0.81808712785185322</v>
      </c>
      <c r="D18" s="100">
        <f t="shared" si="0"/>
        <v>33174.2324579989</v>
      </c>
      <c r="E18" s="100">
        <f t="shared" si="1"/>
        <v>640129.98950954678</v>
      </c>
      <c r="F18" s="100">
        <f t="shared" si="10"/>
        <v>4427.926927794445</v>
      </c>
      <c r="G18" s="100">
        <f t="shared" si="2"/>
        <v>85441.27799872162</v>
      </c>
      <c r="H18" s="100">
        <f t="shared" si="11"/>
        <v>1163.5635010621229</v>
      </c>
      <c r="I18" s="100">
        <f t="shared" si="3"/>
        <v>22452.121316494722</v>
      </c>
      <c r="J18" s="100">
        <f t="shared" si="4"/>
        <v>600.02570438644113</v>
      </c>
      <c r="K18" s="100">
        <f t="shared" si="5"/>
        <v>11578.095991840768</v>
      </c>
      <c r="L18" s="101">
        <f t="shared" si="6"/>
        <v>97019.373990562395</v>
      </c>
      <c r="M18" s="100">
        <f t="shared" si="7"/>
        <v>737149.36350010918</v>
      </c>
      <c r="N18" s="102">
        <f t="shared" si="8"/>
        <v>38202.185090179788</v>
      </c>
      <c r="O18" s="94">
        <f t="shared" si="9"/>
        <v>0.94207803956454406</v>
      </c>
      <c r="P18" s="100">
        <f>'K22'!C12</f>
        <v>19296</v>
      </c>
      <c r="Q18" s="100"/>
      <c r="R18" s="100">
        <f t="shared" si="12"/>
        <v>0</v>
      </c>
      <c r="S18" s="100">
        <v>0</v>
      </c>
      <c r="U18" s="100">
        <v>0</v>
      </c>
      <c r="V18" s="5">
        <f t="shared" si="13"/>
        <v>640129.98950954678</v>
      </c>
      <c r="W18" s="5">
        <f t="shared" si="14"/>
        <v>33174.2324579989</v>
      </c>
    </row>
    <row r="19" spans="1:23" ht="13">
      <c r="A19" s="92">
        <v>1120</v>
      </c>
      <c r="B19" s="93" t="s">
        <v>518</v>
      </c>
      <c r="C19" s="574">
        <v>0.90664654818894175</v>
      </c>
      <c r="D19" s="100">
        <f t="shared" si="0"/>
        <v>36765.403491728001</v>
      </c>
      <c r="E19" s="100">
        <f t="shared" si="1"/>
        <v>741300.83060371177</v>
      </c>
      <c r="F19" s="100">
        <f t="shared" si="10"/>
        <v>2273.2243075569845</v>
      </c>
      <c r="G19" s="100">
        <f t="shared" si="2"/>
        <v>45835.021713271475</v>
      </c>
      <c r="H19" s="100">
        <f t="shared" si="11"/>
        <v>0</v>
      </c>
      <c r="I19" s="100">
        <f t="shared" si="3"/>
        <v>0</v>
      </c>
      <c r="J19" s="100">
        <f t="shared" si="4"/>
        <v>-563.53779667568176</v>
      </c>
      <c r="K19" s="100">
        <f t="shared" si="5"/>
        <v>-11362.612594371771</v>
      </c>
      <c r="L19" s="101">
        <f t="shared" si="6"/>
        <v>34472.409118899704</v>
      </c>
      <c r="M19" s="100">
        <f t="shared" si="7"/>
        <v>775773.2397226115</v>
      </c>
      <c r="N19" s="102">
        <f t="shared" si="8"/>
        <v>38475.090002609315</v>
      </c>
      <c r="O19" s="94">
        <f t="shared" si="9"/>
        <v>0.94880796153843738</v>
      </c>
      <c r="P19" s="100">
        <f>'K22'!C13</f>
        <v>20163</v>
      </c>
      <c r="Q19" s="100"/>
      <c r="R19" s="100">
        <f t="shared" si="12"/>
        <v>0</v>
      </c>
      <c r="S19" s="100">
        <v>0</v>
      </c>
      <c r="U19" s="100">
        <v>0</v>
      </c>
      <c r="V19" s="5">
        <f t="shared" si="13"/>
        <v>741300.83060371177</v>
      </c>
      <c r="W19" s="5">
        <f t="shared" si="14"/>
        <v>36765.403491728001</v>
      </c>
    </row>
    <row r="20" spans="1:23" ht="13">
      <c r="A20" s="92">
        <v>1121</v>
      </c>
      <c r="B20" s="93" t="s">
        <v>519</v>
      </c>
      <c r="C20" s="574">
        <v>0.95660241275877222</v>
      </c>
      <c r="D20" s="100">
        <f t="shared" si="0"/>
        <v>38791.162616225527</v>
      </c>
      <c r="E20" s="100">
        <f t="shared" si="1"/>
        <v>750725.3701118126</v>
      </c>
      <c r="F20" s="100">
        <f t="shared" si="10"/>
        <v>1057.7688328584684</v>
      </c>
      <c r="G20" s="100">
        <f t="shared" si="2"/>
        <v>20471.00022230994</v>
      </c>
      <c r="H20" s="100">
        <f t="shared" si="11"/>
        <v>0</v>
      </c>
      <c r="I20" s="100">
        <f t="shared" si="3"/>
        <v>0</v>
      </c>
      <c r="J20" s="100">
        <f t="shared" si="4"/>
        <v>-563.53779667568176</v>
      </c>
      <c r="K20" s="100">
        <f t="shared" si="5"/>
        <v>-10906.146979064468</v>
      </c>
      <c r="L20" s="101">
        <f t="shared" si="6"/>
        <v>9564.8532432454722</v>
      </c>
      <c r="M20" s="100">
        <f t="shared" si="7"/>
        <v>760290.22335505811</v>
      </c>
      <c r="N20" s="102">
        <f t="shared" si="8"/>
        <v>39285.393652408311</v>
      </c>
      <c r="O20" s="94">
        <f t="shared" si="9"/>
        <v>0.96879030736636917</v>
      </c>
      <c r="P20" s="100">
        <f>'K22'!C14</f>
        <v>19353</v>
      </c>
      <c r="Q20" s="100"/>
      <c r="R20" s="100">
        <f t="shared" si="12"/>
        <v>0</v>
      </c>
      <c r="S20" s="100">
        <v>0</v>
      </c>
      <c r="U20" s="100">
        <v>0</v>
      </c>
      <c r="V20" s="5">
        <f t="shared" si="13"/>
        <v>750725.3701118126</v>
      </c>
      <c r="W20" s="5">
        <f t="shared" si="14"/>
        <v>38791.162616225527</v>
      </c>
    </row>
    <row r="21" spans="1:23" ht="13">
      <c r="A21" s="92">
        <v>1122</v>
      </c>
      <c r="B21" s="93" t="s">
        <v>520</v>
      </c>
      <c r="C21" s="574">
        <v>0.8379362128951019</v>
      </c>
      <c r="D21" s="100">
        <f t="shared" si="0"/>
        <v>33979.132252758369</v>
      </c>
      <c r="E21" s="100">
        <f t="shared" si="1"/>
        <v>412200.85335821175</v>
      </c>
      <c r="F21" s="100">
        <f t="shared" si="10"/>
        <v>3944.9870509387633</v>
      </c>
      <c r="G21" s="100">
        <f t="shared" si="2"/>
        <v>47856.637914938139</v>
      </c>
      <c r="H21" s="100">
        <f t="shared" si="11"/>
        <v>881.84857289630884</v>
      </c>
      <c r="I21" s="100">
        <f t="shared" si="3"/>
        <v>10697.705037805123</v>
      </c>
      <c r="J21" s="100">
        <f t="shared" si="4"/>
        <v>318.31077622062708</v>
      </c>
      <c r="K21" s="100">
        <f t="shared" si="5"/>
        <v>3861.4280263324272</v>
      </c>
      <c r="L21" s="101">
        <f t="shared" si="6"/>
        <v>51718.065941270565</v>
      </c>
      <c r="M21" s="100">
        <f t="shared" si="7"/>
        <v>463918.91929948231</v>
      </c>
      <c r="N21" s="102">
        <f t="shared" si="8"/>
        <v>38242.430079917758</v>
      </c>
      <c r="O21" s="94">
        <f t="shared" si="9"/>
        <v>0.94307049381670638</v>
      </c>
      <c r="P21" s="100">
        <f>'K22'!C15</f>
        <v>12131</v>
      </c>
      <c r="Q21" s="100"/>
      <c r="R21" s="100">
        <f t="shared" si="12"/>
        <v>0</v>
      </c>
      <c r="S21" s="100">
        <v>0</v>
      </c>
      <c r="U21" s="100">
        <v>3434.6133333333332</v>
      </c>
      <c r="V21" s="5">
        <f t="shared" si="13"/>
        <v>408766.24002487841</v>
      </c>
      <c r="W21" s="5">
        <f t="shared" si="14"/>
        <v>33696.005277790653</v>
      </c>
    </row>
    <row r="22" spans="1:23" ht="13">
      <c r="A22" s="92">
        <v>1124</v>
      </c>
      <c r="B22" s="93" t="s">
        <v>521</v>
      </c>
      <c r="C22" s="574">
        <v>1.2212822938280952</v>
      </c>
      <c r="D22" s="100">
        <f t="shared" si="0"/>
        <v>49524.190435163764</v>
      </c>
      <c r="E22" s="100">
        <f t="shared" si="1"/>
        <v>1365282.8819165947</v>
      </c>
      <c r="F22" s="100">
        <f t="shared" si="10"/>
        <v>-5382.0478585044739</v>
      </c>
      <c r="G22" s="100">
        <f t="shared" si="2"/>
        <v>-148372.29536325132</v>
      </c>
      <c r="H22" s="100">
        <f t="shared" si="11"/>
        <v>0</v>
      </c>
      <c r="I22" s="100">
        <f t="shared" si="3"/>
        <v>0</v>
      </c>
      <c r="J22" s="100">
        <f t="shared" si="4"/>
        <v>-563.53779667568176</v>
      </c>
      <c r="K22" s="100">
        <f t="shared" si="5"/>
        <v>-15535.609978755194</v>
      </c>
      <c r="L22" s="101">
        <f t="shared" si="6"/>
        <v>-163907.90534200653</v>
      </c>
      <c r="M22" s="100">
        <f t="shared" si="7"/>
        <v>1201374.9765745881</v>
      </c>
      <c r="N22" s="102">
        <f t="shared" si="8"/>
        <v>43578.604779983609</v>
      </c>
      <c r="O22" s="94">
        <f t="shared" si="9"/>
        <v>1.0746622597940985</v>
      </c>
      <c r="P22" s="100">
        <f>'K22'!C16</f>
        <v>27568</v>
      </c>
      <c r="Q22" s="100"/>
      <c r="R22" s="100">
        <f t="shared" si="12"/>
        <v>0</v>
      </c>
      <c r="S22" s="100">
        <v>0</v>
      </c>
      <c r="U22" s="100">
        <v>0</v>
      </c>
      <c r="V22" s="5">
        <f t="shared" si="13"/>
        <v>1365282.8819165947</v>
      </c>
      <c r="W22" s="5">
        <f t="shared" si="14"/>
        <v>49524.190435163764</v>
      </c>
    </row>
    <row r="23" spans="1:23" ht="13">
      <c r="A23" s="92">
        <v>1127</v>
      </c>
      <c r="B23" s="93" t="s">
        <v>522</v>
      </c>
      <c r="C23" s="574">
        <v>1.0780272764459964</v>
      </c>
      <c r="D23" s="100">
        <f t="shared" si="0"/>
        <v>43715.059493466535</v>
      </c>
      <c r="E23" s="100">
        <f t="shared" si="1"/>
        <v>500712.29143816564</v>
      </c>
      <c r="F23" s="100">
        <f t="shared" si="10"/>
        <v>-1896.5692934861363</v>
      </c>
      <c r="G23" s="100">
        <f t="shared" si="2"/>
        <v>-21723.304687590204</v>
      </c>
      <c r="H23" s="100">
        <f t="shared" si="11"/>
        <v>0</v>
      </c>
      <c r="I23" s="100">
        <f t="shared" si="3"/>
        <v>0</v>
      </c>
      <c r="J23" s="100">
        <f t="shared" si="4"/>
        <v>-563.53779667568176</v>
      </c>
      <c r="K23" s="100">
        <f t="shared" si="5"/>
        <v>-6454.7619231232593</v>
      </c>
      <c r="L23" s="101">
        <f t="shared" si="6"/>
        <v>-28178.066610713464</v>
      </c>
      <c r="M23" s="100">
        <f t="shared" si="7"/>
        <v>472534.22482745216</v>
      </c>
      <c r="N23" s="102">
        <f t="shared" si="8"/>
        <v>41254.952403304713</v>
      </c>
      <c r="O23" s="94">
        <f t="shared" si="9"/>
        <v>1.0173602528412589</v>
      </c>
      <c r="P23" s="100">
        <f>'K22'!C17</f>
        <v>11454</v>
      </c>
      <c r="Q23" s="100"/>
      <c r="R23" s="100">
        <f t="shared" si="12"/>
        <v>0</v>
      </c>
      <c r="S23" s="100">
        <v>0</v>
      </c>
      <c r="U23" s="100">
        <v>0</v>
      </c>
      <c r="V23" s="5">
        <f t="shared" si="13"/>
        <v>500712.29143816564</v>
      </c>
      <c r="W23" s="5">
        <f t="shared" si="14"/>
        <v>43715.059493466535</v>
      </c>
    </row>
    <row r="24" spans="1:23" ht="13">
      <c r="A24" s="92">
        <v>1130</v>
      </c>
      <c r="B24" s="93" t="s">
        <v>523</v>
      </c>
      <c r="C24" s="574">
        <v>0.86396393550919592</v>
      </c>
      <c r="D24" s="100">
        <f t="shared" si="0"/>
        <v>35034.581838696155</v>
      </c>
      <c r="E24" s="100">
        <f t="shared" si="1"/>
        <v>464838.83183582057</v>
      </c>
      <c r="F24" s="100">
        <f t="shared" si="10"/>
        <v>3311.7172993760919</v>
      </c>
      <c r="G24" s="100">
        <f t="shared" si="2"/>
        <v>43939.865128121986</v>
      </c>
      <c r="H24" s="100">
        <f t="shared" si="11"/>
        <v>512.44121781808383</v>
      </c>
      <c r="I24" s="100">
        <f t="shared" si="3"/>
        <v>6799.0700780103361</v>
      </c>
      <c r="J24" s="100">
        <f t="shared" si="4"/>
        <v>-51.096578857597933</v>
      </c>
      <c r="K24" s="100">
        <f t="shared" si="5"/>
        <v>-677.9494082826094</v>
      </c>
      <c r="L24" s="101">
        <f t="shared" si="6"/>
        <v>43261.91571983938</v>
      </c>
      <c r="M24" s="100">
        <f t="shared" si="7"/>
        <v>508100.74755565997</v>
      </c>
      <c r="N24" s="102">
        <f t="shared" si="8"/>
        <v>38295.202559214646</v>
      </c>
      <c r="O24" s="94">
        <f t="shared" si="9"/>
        <v>0.94437187994741101</v>
      </c>
      <c r="P24" s="100">
        <f>'K22'!C18</f>
        <v>13268</v>
      </c>
      <c r="Q24" s="100"/>
      <c r="R24" s="100">
        <f t="shared" si="12"/>
        <v>0</v>
      </c>
      <c r="S24" s="100">
        <v>0</v>
      </c>
      <c r="U24" s="100">
        <v>1001.927</v>
      </c>
      <c r="V24" s="5">
        <f t="shared" si="13"/>
        <v>463836.90483582055</v>
      </c>
      <c r="W24" s="5">
        <f t="shared" si="14"/>
        <v>34959.067292419393</v>
      </c>
    </row>
    <row r="25" spans="1:23" ht="13">
      <c r="A25" s="92">
        <v>1133</v>
      </c>
      <c r="B25" s="93" t="s">
        <v>524</v>
      </c>
      <c r="C25" s="574">
        <v>1.0664246960492334</v>
      </c>
      <c r="D25" s="100">
        <f t="shared" si="0"/>
        <v>43244.56352049415</v>
      </c>
      <c r="E25" s="100">
        <f t="shared" si="1"/>
        <v>109581.72396093218</v>
      </c>
      <c r="F25" s="100">
        <f t="shared" si="10"/>
        <v>-1614.2717097027053</v>
      </c>
      <c r="G25" s="100">
        <f t="shared" si="2"/>
        <v>-4090.5645123866548</v>
      </c>
      <c r="H25" s="100">
        <f t="shared" si="11"/>
        <v>0</v>
      </c>
      <c r="I25" s="100">
        <f t="shared" si="3"/>
        <v>0</v>
      </c>
      <c r="J25" s="100">
        <f t="shared" si="4"/>
        <v>-563.53779667568176</v>
      </c>
      <c r="K25" s="100">
        <f t="shared" si="5"/>
        <v>-1428.0047767761776</v>
      </c>
      <c r="L25" s="101">
        <f t="shared" si="6"/>
        <v>-5518.5692891628323</v>
      </c>
      <c r="M25" s="100">
        <f t="shared" si="7"/>
        <v>104063.15467176936</v>
      </c>
      <c r="N25" s="102">
        <f t="shared" si="8"/>
        <v>41066.754014115766</v>
      </c>
      <c r="O25" s="94">
        <f t="shared" si="9"/>
        <v>1.0127192206825537</v>
      </c>
      <c r="P25" s="100">
        <f>'K22'!C19</f>
        <v>2534</v>
      </c>
      <c r="Q25" s="100"/>
      <c r="R25" s="100">
        <f t="shared" si="12"/>
        <v>0</v>
      </c>
      <c r="S25" s="100">
        <v>0</v>
      </c>
      <c r="U25" s="100">
        <v>22029.586666666666</v>
      </c>
      <c r="V25" s="5">
        <f t="shared" si="13"/>
        <v>87552.137294265514</v>
      </c>
      <c r="W25" s="5">
        <f t="shared" si="14"/>
        <v>34550.961836726718</v>
      </c>
    </row>
    <row r="26" spans="1:23" ht="13">
      <c r="A26" s="92">
        <v>1134</v>
      </c>
      <c r="B26" s="93" t="s">
        <v>525</v>
      </c>
      <c r="C26" s="574">
        <v>1.1233028311680515</v>
      </c>
      <c r="D26" s="100">
        <f t="shared" si="0"/>
        <v>45551.027480101693</v>
      </c>
      <c r="E26" s="100">
        <f t="shared" si="1"/>
        <v>172365.08798470479</v>
      </c>
      <c r="F26" s="100">
        <f t="shared" si="10"/>
        <v>-2998.1500854672308</v>
      </c>
      <c r="G26" s="100">
        <f t="shared" si="2"/>
        <v>-11344.999923408002</v>
      </c>
      <c r="H26" s="100">
        <f t="shared" si="11"/>
        <v>0</v>
      </c>
      <c r="I26" s="100">
        <f t="shared" si="3"/>
        <v>0</v>
      </c>
      <c r="J26" s="100">
        <f t="shared" si="4"/>
        <v>-563.53779667568176</v>
      </c>
      <c r="K26" s="100">
        <f t="shared" si="5"/>
        <v>-2132.42702262078</v>
      </c>
      <c r="L26" s="101">
        <f t="shared" si="6"/>
        <v>-13477.426946028783</v>
      </c>
      <c r="M26" s="100">
        <f t="shared" si="7"/>
        <v>158887.66103867601</v>
      </c>
      <c r="N26" s="102">
        <f t="shared" si="8"/>
        <v>41989.33959795878</v>
      </c>
      <c r="O26" s="94">
        <f t="shared" si="9"/>
        <v>1.0354704747300809</v>
      </c>
      <c r="P26" s="100">
        <f>'K22'!C20</f>
        <v>3784</v>
      </c>
      <c r="Q26" s="100"/>
      <c r="R26" s="100">
        <f t="shared" si="12"/>
        <v>0</v>
      </c>
      <c r="S26" s="100">
        <v>0</v>
      </c>
      <c r="U26" s="100">
        <v>51506.96166666667</v>
      </c>
      <c r="V26" s="5">
        <f t="shared" si="13"/>
        <v>120858.12631803812</v>
      </c>
      <c r="W26" s="5">
        <f t="shared" si="14"/>
        <v>31939.251141130582</v>
      </c>
    </row>
    <row r="27" spans="1:23" ht="13">
      <c r="A27" s="92">
        <v>1135</v>
      </c>
      <c r="B27" s="93" t="s">
        <v>526</v>
      </c>
      <c r="C27" s="574">
        <v>0.9423783323887055</v>
      </c>
      <c r="D27" s="100">
        <f t="shared" si="0"/>
        <v>38214.362257641587</v>
      </c>
      <c r="E27" s="100">
        <f t="shared" si="1"/>
        <v>172919.98921582819</v>
      </c>
      <c r="F27" s="100">
        <f t="shared" si="10"/>
        <v>1403.8490480088324</v>
      </c>
      <c r="G27" s="100">
        <f t="shared" si="2"/>
        <v>6352.4169422399664</v>
      </c>
      <c r="H27" s="100">
        <f t="shared" si="11"/>
        <v>0</v>
      </c>
      <c r="I27" s="100">
        <f t="shared" si="3"/>
        <v>0</v>
      </c>
      <c r="J27" s="100">
        <f t="shared" si="4"/>
        <v>-563.53779667568176</v>
      </c>
      <c r="K27" s="100">
        <f t="shared" si="5"/>
        <v>-2550.0085299574598</v>
      </c>
      <c r="L27" s="101">
        <f t="shared" si="6"/>
        <v>3802.4084122825066</v>
      </c>
      <c r="M27" s="100">
        <f t="shared" si="7"/>
        <v>176722.39762811069</v>
      </c>
      <c r="N27" s="102">
        <f t="shared" si="8"/>
        <v>39054.673508974738</v>
      </c>
      <c r="O27" s="94">
        <f t="shared" si="9"/>
        <v>0.96310067521834264</v>
      </c>
      <c r="P27" s="100">
        <f>'K22'!C21</f>
        <v>4525</v>
      </c>
      <c r="Q27" s="100"/>
      <c r="R27" s="100">
        <f t="shared" si="12"/>
        <v>0</v>
      </c>
      <c r="S27" s="100">
        <v>0</v>
      </c>
      <c r="U27" s="100">
        <v>18739.811000000002</v>
      </c>
      <c r="V27" s="5">
        <f t="shared" si="13"/>
        <v>154180.1782158282</v>
      </c>
      <c r="W27" s="5">
        <f t="shared" si="14"/>
        <v>34072.967561508995</v>
      </c>
    </row>
    <row r="28" spans="1:23" ht="13">
      <c r="A28" s="92">
        <v>1144</v>
      </c>
      <c r="B28" s="93" t="s">
        <v>527</v>
      </c>
      <c r="C28" s="574">
        <v>0.82143159683312006</v>
      </c>
      <c r="D28" s="100">
        <f t="shared" si="0"/>
        <v>33309.853943358838</v>
      </c>
      <c r="E28" s="100">
        <f t="shared" si="1"/>
        <v>17421.053612376672</v>
      </c>
      <c r="F28" s="100">
        <f t="shared" si="10"/>
        <v>4346.5540365784818</v>
      </c>
      <c r="G28" s="100">
        <f t="shared" si="2"/>
        <v>2273.2477611305462</v>
      </c>
      <c r="H28" s="100">
        <f t="shared" si="11"/>
        <v>1116.0959811861449</v>
      </c>
      <c r="I28" s="100">
        <f t="shared" si="3"/>
        <v>583.71819816035384</v>
      </c>
      <c r="J28" s="100">
        <f t="shared" si="4"/>
        <v>552.55818451046309</v>
      </c>
      <c r="K28" s="100">
        <f t="shared" si="5"/>
        <v>288.98793049897216</v>
      </c>
      <c r="L28" s="101">
        <f t="shared" si="6"/>
        <v>2562.2356916295184</v>
      </c>
      <c r="M28" s="100">
        <f t="shared" si="7"/>
        <v>19983.289304006194</v>
      </c>
      <c r="N28" s="102">
        <f t="shared" si="8"/>
        <v>38208.966164447789</v>
      </c>
      <c r="O28" s="94">
        <f t="shared" si="9"/>
        <v>0.94224526301360745</v>
      </c>
      <c r="P28" s="100">
        <f>'K22'!C22</f>
        <v>523</v>
      </c>
      <c r="Q28" s="100"/>
      <c r="R28" s="100">
        <f t="shared" si="12"/>
        <v>0</v>
      </c>
      <c r="S28" s="100">
        <v>0</v>
      </c>
      <c r="U28" s="100">
        <v>0</v>
      </c>
      <c r="V28" s="5">
        <f t="shared" si="13"/>
        <v>17421.053612376672</v>
      </c>
      <c r="W28" s="5">
        <f t="shared" si="14"/>
        <v>33309.853943358838</v>
      </c>
    </row>
    <row r="29" spans="1:23" ht="13">
      <c r="A29" s="92">
        <v>1145</v>
      </c>
      <c r="B29" s="93" t="s">
        <v>528</v>
      </c>
      <c r="C29" s="574">
        <v>0.83660383153040563</v>
      </c>
      <c r="D29" s="100">
        <f t="shared" si="0"/>
        <v>33925.102886435001</v>
      </c>
      <c r="E29" s="100">
        <f t="shared" si="1"/>
        <v>29005.962967901927</v>
      </c>
      <c r="F29" s="100">
        <f t="shared" si="10"/>
        <v>3977.4046707327839</v>
      </c>
      <c r="G29" s="100">
        <f t="shared" si="2"/>
        <v>3400.6809934765301</v>
      </c>
      <c r="H29" s="100">
        <f t="shared" si="11"/>
        <v>900.75885110948764</v>
      </c>
      <c r="I29" s="100">
        <f t="shared" si="3"/>
        <v>770.14881769861188</v>
      </c>
      <c r="J29" s="100">
        <f t="shared" si="4"/>
        <v>337.22105443380588</v>
      </c>
      <c r="K29" s="100">
        <f t="shared" si="5"/>
        <v>288.32400154090408</v>
      </c>
      <c r="L29" s="101">
        <f t="shared" si="6"/>
        <v>3689.0049950174343</v>
      </c>
      <c r="M29" s="100">
        <f t="shared" si="7"/>
        <v>32694.96796291936</v>
      </c>
      <c r="N29" s="102">
        <f t="shared" si="8"/>
        <v>38239.728611601589</v>
      </c>
      <c r="O29" s="94">
        <f t="shared" si="9"/>
        <v>0.94300387474847158</v>
      </c>
      <c r="P29" s="100">
        <f>'K22'!C23</f>
        <v>855</v>
      </c>
      <c r="Q29" s="100"/>
      <c r="R29" s="100">
        <f t="shared" si="12"/>
        <v>0</v>
      </c>
      <c r="S29" s="100">
        <v>0</v>
      </c>
      <c r="U29" s="100">
        <v>0</v>
      </c>
      <c r="V29" s="5">
        <f t="shared" si="13"/>
        <v>29005.962967901927</v>
      </c>
      <c r="W29" s="5">
        <f t="shared" si="14"/>
        <v>33925.102886435001</v>
      </c>
    </row>
    <row r="30" spans="1:23" ht="13">
      <c r="A30" s="92">
        <v>1146</v>
      </c>
      <c r="B30" s="93" t="s">
        <v>529</v>
      </c>
      <c r="C30" s="574">
        <v>0.83853219578616167</v>
      </c>
      <c r="D30" s="100">
        <f t="shared" si="0"/>
        <v>34003.299941377212</v>
      </c>
      <c r="E30" s="100">
        <f t="shared" si="1"/>
        <v>383659.23323855904</v>
      </c>
      <c r="F30" s="100">
        <f t="shared" si="10"/>
        <v>3930.4864377674571</v>
      </c>
      <c r="G30" s="100">
        <f t="shared" si="2"/>
        <v>44347.678477330213</v>
      </c>
      <c r="H30" s="100">
        <f t="shared" si="11"/>
        <v>873.3898818797137</v>
      </c>
      <c r="I30" s="100">
        <f t="shared" si="3"/>
        <v>9854.458037248809</v>
      </c>
      <c r="J30" s="100">
        <f t="shared" si="4"/>
        <v>309.85208520403194</v>
      </c>
      <c r="K30" s="100">
        <f t="shared" si="5"/>
        <v>3496.0610773570925</v>
      </c>
      <c r="L30" s="101">
        <f t="shared" si="6"/>
        <v>47843.739554687309</v>
      </c>
      <c r="M30" s="100">
        <f t="shared" si="7"/>
        <v>431502.97279324633</v>
      </c>
      <c r="N30" s="102">
        <f t="shared" si="8"/>
        <v>38243.638464348696</v>
      </c>
      <c r="O30" s="94">
        <f t="shared" si="9"/>
        <v>0.9431002929612593</v>
      </c>
      <c r="P30" s="100">
        <f>'K22'!C24</f>
        <v>11283</v>
      </c>
      <c r="Q30" s="100"/>
      <c r="R30" s="100">
        <f t="shared" si="12"/>
        <v>0</v>
      </c>
      <c r="S30" s="100">
        <v>0</v>
      </c>
      <c r="U30" s="100">
        <v>0</v>
      </c>
      <c r="V30" s="5">
        <f t="shared" si="13"/>
        <v>383659.23323855904</v>
      </c>
      <c r="W30" s="5">
        <f t="shared" si="14"/>
        <v>34003.299941377212</v>
      </c>
    </row>
    <row r="31" spans="1:23" ht="13">
      <c r="A31" s="92">
        <v>1149</v>
      </c>
      <c r="B31" s="93" t="s">
        <v>530</v>
      </c>
      <c r="C31" s="574">
        <v>0.83130987325951167</v>
      </c>
      <c r="D31" s="100">
        <f t="shared" si="0"/>
        <v>33710.427705366281</v>
      </c>
      <c r="E31" s="100">
        <f t="shared" si="1"/>
        <v>1434075.305013987</v>
      </c>
      <c r="F31" s="100">
        <f t="shared" si="10"/>
        <v>4106.2097793740159</v>
      </c>
      <c r="G31" s="100">
        <f t="shared" si="2"/>
        <v>174682.27022435001</v>
      </c>
      <c r="H31" s="100">
        <f t="shared" si="11"/>
        <v>975.89516448353959</v>
      </c>
      <c r="I31" s="100">
        <f t="shared" si="3"/>
        <v>41515.556192294258</v>
      </c>
      <c r="J31" s="100">
        <f t="shared" si="4"/>
        <v>412.35736780785783</v>
      </c>
      <c r="K31" s="100">
        <f t="shared" si="5"/>
        <v>17542.094783914079</v>
      </c>
      <c r="L31" s="101">
        <f t="shared" si="6"/>
        <v>192224.36500826408</v>
      </c>
      <c r="M31" s="100">
        <f t="shared" si="7"/>
        <v>1626299.6700222511</v>
      </c>
      <c r="N31" s="102">
        <f t="shared" si="8"/>
        <v>38228.99485254816</v>
      </c>
      <c r="O31" s="94">
        <f t="shared" si="9"/>
        <v>0.94273917683492703</v>
      </c>
      <c r="P31" s="100">
        <f>'K22'!C25</f>
        <v>42541</v>
      </c>
      <c r="Q31" s="100"/>
      <c r="R31" s="100">
        <f t="shared" si="12"/>
        <v>0</v>
      </c>
      <c r="S31" s="100">
        <v>0</v>
      </c>
      <c r="U31" s="100">
        <v>0</v>
      </c>
      <c r="V31" s="5">
        <f t="shared" si="13"/>
        <v>1434075.305013987</v>
      </c>
      <c r="W31" s="5">
        <f t="shared" si="14"/>
        <v>33710.427705366281</v>
      </c>
    </row>
    <row r="32" spans="1:23" ht="13">
      <c r="A32" s="92">
        <v>1151</v>
      </c>
      <c r="B32" s="93" t="s">
        <v>531</v>
      </c>
      <c r="C32" s="574">
        <v>0.93232319857048818</v>
      </c>
      <c r="D32" s="100">
        <f t="shared" si="0"/>
        <v>37806.61675557297</v>
      </c>
      <c r="E32" s="100">
        <f t="shared" si="1"/>
        <v>7107.6439500477181</v>
      </c>
      <c r="F32" s="100">
        <f t="shared" si="10"/>
        <v>1648.4963492500028</v>
      </c>
      <c r="G32" s="100">
        <f t="shared" si="2"/>
        <v>309.91731365900057</v>
      </c>
      <c r="H32" s="100">
        <f t="shared" si="11"/>
        <v>0</v>
      </c>
      <c r="I32" s="100">
        <f t="shared" si="3"/>
        <v>0</v>
      </c>
      <c r="J32" s="100">
        <f t="shared" si="4"/>
        <v>-563.53779667568176</v>
      </c>
      <c r="K32" s="100">
        <f t="shared" si="5"/>
        <v>-105.94510577502818</v>
      </c>
      <c r="L32" s="101">
        <f t="shared" si="6"/>
        <v>203.97220788397237</v>
      </c>
      <c r="M32" s="100">
        <f t="shared" si="7"/>
        <v>7311.6161579316904</v>
      </c>
      <c r="N32" s="102">
        <f t="shared" si="8"/>
        <v>38891.575308147287</v>
      </c>
      <c r="O32" s="94">
        <f t="shared" si="9"/>
        <v>0.95907862169105551</v>
      </c>
      <c r="P32" s="100">
        <f>'K22'!C26</f>
        <v>188</v>
      </c>
      <c r="Q32" s="100"/>
      <c r="R32" s="100">
        <f t="shared" si="12"/>
        <v>0</v>
      </c>
      <c r="S32" s="100">
        <v>0</v>
      </c>
      <c r="U32" s="100">
        <v>0</v>
      </c>
      <c r="V32" s="5">
        <f t="shared" si="13"/>
        <v>7107.6439500477181</v>
      </c>
      <c r="W32" s="5">
        <f t="shared" si="14"/>
        <v>37806.61675557297</v>
      </c>
    </row>
    <row r="33" spans="1:23" ht="13">
      <c r="A33" s="92">
        <v>1160</v>
      </c>
      <c r="B33" s="93" t="s">
        <v>1813</v>
      </c>
      <c r="C33" s="574">
        <v>1.1339657112633856</v>
      </c>
      <c r="D33" s="100">
        <f t="shared" si="0"/>
        <v>45983.417687588786</v>
      </c>
      <c r="E33" s="100">
        <f t="shared" si="1"/>
        <v>403504.49020859157</v>
      </c>
      <c r="F33" s="100">
        <f t="shared" si="10"/>
        <v>-3257.584209959487</v>
      </c>
      <c r="G33" s="100">
        <f t="shared" si="2"/>
        <v>-28585.301442394499</v>
      </c>
      <c r="H33" s="100">
        <f t="shared" si="11"/>
        <v>0</v>
      </c>
      <c r="I33" s="100">
        <f t="shared" si="3"/>
        <v>0</v>
      </c>
      <c r="J33" s="100">
        <f t="shared" si="4"/>
        <v>-563.53779667568176</v>
      </c>
      <c r="K33" s="100">
        <f t="shared" si="5"/>
        <v>-4945.0441658291074</v>
      </c>
      <c r="L33" s="101">
        <f t="shared" si="6"/>
        <v>-33530.345608223608</v>
      </c>
      <c r="M33" s="100">
        <f t="shared" si="7"/>
        <v>369974.14460036799</v>
      </c>
      <c r="N33" s="102">
        <f t="shared" si="8"/>
        <v>42162.295680953612</v>
      </c>
      <c r="O33" s="94">
        <f t="shared" si="9"/>
        <v>1.0397356267682145</v>
      </c>
      <c r="P33" s="100">
        <f>'K22'!C27</f>
        <v>8775</v>
      </c>
      <c r="Q33" s="100"/>
      <c r="R33" s="100">
        <f t="shared" si="12"/>
        <v>0</v>
      </c>
      <c r="S33" s="100">
        <v>0</v>
      </c>
      <c r="U33" s="100">
        <v>0</v>
      </c>
      <c r="V33" s="5">
        <f t="shared" si="13"/>
        <v>403504.49020859157</v>
      </c>
      <c r="W33" s="5">
        <f t="shared" si="14"/>
        <v>45983.417687588786</v>
      </c>
    </row>
    <row r="34" spans="1:23" ht="13">
      <c r="A34" s="92">
        <v>1505</v>
      </c>
      <c r="B34" s="93" t="s">
        <v>1814</v>
      </c>
      <c r="C34" s="574">
        <v>0.8316362147185673</v>
      </c>
      <c r="D34" s="100">
        <f t="shared" si="0"/>
        <v>33723.661170427426</v>
      </c>
      <c r="E34" s="100">
        <f t="shared" si="1"/>
        <v>809806.27568547381</v>
      </c>
      <c r="F34" s="100">
        <f t="shared" si="10"/>
        <v>4098.2697003373296</v>
      </c>
      <c r="G34" s="100">
        <f t="shared" si="2"/>
        <v>98411.750314200297</v>
      </c>
      <c r="H34" s="100">
        <f t="shared" si="11"/>
        <v>971.26345171213904</v>
      </c>
      <c r="I34" s="100">
        <f t="shared" si="3"/>
        <v>23322.949265963594</v>
      </c>
      <c r="J34" s="100">
        <f t="shared" si="4"/>
        <v>407.72565503645728</v>
      </c>
      <c r="K34" s="100">
        <f t="shared" si="5"/>
        <v>9790.7161543904494</v>
      </c>
      <c r="L34" s="101">
        <f t="shared" si="6"/>
        <v>108202.46646859075</v>
      </c>
      <c r="M34" s="100">
        <f t="shared" si="7"/>
        <v>918008.74215406459</v>
      </c>
      <c r="N34" s="102">
        <f t="shared" si="8"/>
        <v>38229.656525801212</v>
      </c>
      <c r="O34" s="94">
        <f t="shared" si="9"/>
        <v>0.94275549390787972</v>
      </c>
      <c r="P34" s="100">
        <f>'K22'!C28</f>
        <v>24013</v>
      </c>
      <c r="Q34" s="100"/>
      <c r="R34" s="100">
        <f t="shared" si="12"/>
        <v>0</v>
      </c>
      <c r="S34" s="100">
        <v>0</v>
      </c>
      <c r="U34" s="100">
        <v>0</v>
      </c>
      <c r="V34" s="5">
        <f t="shared" si="13"/>
        <v>809806.27568547381</v>
      </c>
      <c r="W34" s="5">
        <f t="shared" si="14"/>
        <v>33723.661170427426</v>
      </c>
    </row>
    <row r="35" spans="1:23" ht="13">
      <c r="A35" s="92">
        <v>1506</v>
      </c>
      <c r="B35" s="93" t="s">
        <v>570</v>
      </c>
      <c r="C35" s="574">
        <v>0.9125094064855056</v>
      </c>
      <c r="D35" s="100">
        <f t="shared" si="0"/>
        <v>37003.148124758991</v>
      </c>
      <c r="E35" s="100">
        <f t="shared" si="1"/>
        <v>1184174.7462885373</v>
      </c>
      <c r="F35" s="100">
        <f t="shared" si="10"/>
        <v>2130.57752773839</v>
      </c>
      <c r="G35" s="100">
        <f t="shared" si="2"/>
        <v>68182.742042683953</v>
      </c>
      <c r="H35" s="100">
        <f t="shared" si="11"/>
        <v>0</v>
      </c>
      <c r="I35" s="100">
        <f t="shared" si="3"/>
        <v>0</v>
      </c>
      <c r="J35" s="100">
        <f t="shared" si="4"/>
        <v>-563.53779667568176</v>
      </c>
      <c r="K35" s="100">
        <f t="shared" si="5"/>
        <v>-18034.336569215167</v>
      </c>
      <c r="L35" s="101">
        <f t="shared" si="6"/>
        <v>50148.405473468782</v>
      </c>
      <c r="M35" s="100">
        <f t="shared" si="7"/>
        <v>1234323.1517620061</v>
      </c>
      <c r="N35" s="102">
        <f t="shared" si="8"/>
        <v>38570.187855821699</v>
      </c>
      <c r="O35" s="94">
        <f t="shared" si="9"/>
        <v>0.95115310485706261</v>
      </c>
      <c r="P35" s="100">
        <f>'K22'!C29</f>
        <v>32002</v>
      </c>
      <c r="Q35" s="100"/>
      <c r="R35" s="100">
        <f t="shared" si="12"/>
        <v>0</v>
      </c>
      <c r="S35" s="100">
        <v>0</v>
      </c>
      <c r="U35" s="100">
        <v>11312.69</v>
      </c>
      <c r="V35" s="5">
        <f t="shared" si="13"/>
        <v>1172862.0562885373</v>
      </c>
      <c r="W35" s="5">
        <f t="shared" si="14"/>
        <v>36649.64865597579</v>
      </c>
    </row>
    <row r="36" spans="1:23" ht="13">
      <c r="A36" s="92">
        <v>1507</v>
      </c>
      <c r="B36" s="93" t="s">
        <v>571</v>
      </c>
      <c r="C36" s="574">
        <v>0.97389982168397193</v>
      </c>
      <c r="D36" s="100">
        <f t="shared" si="0"/>
        <v>39492.589450934938</v>
      </c>
      <c r="E36" s="100">
        <f t="shared" si="1"/>
        <v>2650505.6484100474</v>
      </c>
      <c r="F36" s="100">
        <f t="shared" si="10"/>
        <v>636.91273203282174</v>
      </c>
      <c r="G36" s="100">
        <f t="shared" si="2"/>
        <v>42745.761097650793</v>
      </c>
      <c r="H36" s="100">
        <f t="shared" si="11"/>
        <v>0</v>
      </c>
      <c r="I36" s="100">
        <f t="shared" si="3"/>
        <v>0</v>
      </c>
      <c r="J36" s="100">
        <f t="shared" si="4"/>
        <v>-563.53779667568176</v>
      </c>
      <c r="K36" s="100">
        <f t="shared" si="5"/>
        <v>-37821.275686091707</v>
      </c>
      <c r="L36" s="101">
        <f t="shared" si="6"/>
        <v>4924.4854115590861</v>
      </c>
      <c r="M36" s="100">
        <f t="shared" si="7"/>
        <v>2655430.1338216066</v>
      </c>
      <c r="N36" s="102">
        <f t="shared" si="8"/>
        <v>39565.964386292078</v>
      </c>
      <c r="O36" s="94">
        <f t="shared" si="9"/>
        <v>0.97570927093644921</v>
      </c>
      <c r="P36" s="100">
        <f>'K22'!C30</f>
        <v>67114</v>
      </c>
      <c r="Q36" s="100"/>
      <c r="R36" s="100">
        <f t="shared" si="12"/>
        <v>0</v>
      </c>
      <c r="S36" s="100">
        <v>0</v>
      </c>
      <c r="U36" s="100">
        <v>0</v>
      </c>
      <c r="V36" s="5">
        <f t="shared" si="13"/>
        <v>2650505.6484100474</v>
      </c>
      <c r="W36" s="5">
        <f t="shared" si="14"/>
        <v>39492.589450934938</v>
      </c>
    </row>
    <row r="37" spans="1:23" ht="13">
      <c r="A37" s="92">
        <v>1511</v>
      </c>
      <c r="B37" s="93" t="s">
        <v>572</v>
      </c>
      <c r="C37" s="574">
        <v>0.83042721979107392</v>
      </c>
      <c r="D37" s="100">
        <f t="shared" si="0"/>
        <v>33674.635244704179</v>
      </c>
      <c r="E37" s="100">
        <f t="shared" si="1"/>
        <v>102539.26432012422</v>
      </c>
      <c r="F37" s="100">
        <f t="shared" si="10"/>
        <v>4127.6852557712773</v>
      </c>
      <c r="G37" s="100">
        <f t="shared" si="2"/>
        <v>12568.801603823538</v>
      </c>
      <c r="H37" s="100">
        <f t="shared" si="11"/>
        <v>988.42252571527524</v>
      </c>
      <c r="I37" s="100">
        <f t="shared" si="3"/>
        <v>3009.7465908030131</v>
      </c>
      <c r="J37" s="100">
        <f t="shared" si="4"/>
        <v>424.88472903959348</v>
      </c>
      <c r="K37" s="100">
        <f t="shared" si="5"/>
        <v>1293.7739999255623</v>
      </c>
      <c r="L37" s="101">
        <f t="shared" si="6"/>
        <v>13862.575603749101</v>
      </c>
      <c r="M37" s="100">
        <f t="shared" si="7"/>
        <v>116401.83992387331</v>
      </c>
      <c r="N37" s="102">
        <f t="shared" si="8"/>
        <v>38227.205229515042</v>
      </c>
      <c r="O37" s="94">
        <f t="shared" si="9"/>
        <v>0.94269504416150485</v>
      </c>
      <c r="P37" s="100">
        <f>'K22'!C31</f>
        <v>3045</v>
      </c>
      <c r="Q37" s="100"/>
      <c r="R37" s="100">
        <f t="shared" si="12"/>
        <v>0</v>
      </c>
      <c r="S37" s="100">
        <v>0</v>
      </c>
      <c r="U37" s="100">
        <v>390.06933333333336</v>
      </c>
      <c r="V37" s="5">
        <f t="shared" si="13"/>
        <v>102149.19498679088</v>
      </c>
      <c r="W37" s="5">
        <f t="shared" si="14"/>
        <v>33546.533657402586</v>
      </c>
    </row>
    <row r="38" spans="1:23" ht="13">
      <c r="A38" s="92">
        <v>1514</v>
      </c>
      <c r="B38" s="93" t="s">
        <v>465</v>
      </c>
      <c r="C38" s="574">
        <v>0.93670147138807447</v>
      </c>
      <c r="D38" s="100">
        <f t="shared" si="0"/>
        <v>37984.159996714698</v>
      </c>
      <c r="E38" s="100">
        <f t="shared" si="1"/>
        <v>91997.635512042994</v>
      </c>
      <c r="F38" s="100">
        <f t="shared" si="10"/>
        <v>1541.9704045649662</v>
      </c>
      <c r="G38" s="100">
        <f t="shared" si="2"/>
        <v>3734.6523198563482</v>
      </c>
      <c r="H38" s="100">
        <f t="shared" si="11"/>
        <v>0</v>
      </c>
      <c r="I38" s="100">
        <f t="shared" si="3"/>
        <v>0</v>
      </c>
      <c r="J38" s="100">
        <f t="shared" si="4"/>
        <v>-563.53779667568176</v>
      </c>
      <c r="K38" s="100">
        <f t="shared" si="5"/>
        <v>-1364.8885435485013</v>
      </c>
      <c r="L38" s="101">
        <f t="shared" si="6"/>
        <v>2369.7637763078469</v>
      </c>
      <c r="M38" s="100">
        <f t="shared" si="7"/>
        <v>94367.399288350847</v>
      </c>
      <c r="N38" s="102">
        <f t="shared" si="8"/>
        <v>38962.592604603982</v>
      </c>
      <c r="O38" s="94">
        <f t="shared" si="9"/>
        <v>0.96082993081809021</v>
      </c>
      <c r="P38" s="100">
        <f>'K22'!C32</f>
        <v>2422</v>
      </c>
      <c r="Q38" s="100"/>
      <c r="R38" s="100">
        <f t="shared" si="12"/>
        <v>0</v>
      </c>
      <c r="S38" s="100">
        <v>0</v>
      </c>
      <c r="U38" s="100">
        <v>0</v>
      </c>
      <c r="V38" s="5">
        <f t="shared" si="13"/>
        <v>91997.635512042994</v>
      </c>
      <c r="W38" s="5">
        <f t="shared" si="14"/>
        <v>37984.159996714698</v>
      </c>
    </row>
    <row r="39" spans="1:23" ht="13">
      <c r="A39" s="92">
        <v>1515</v>
      </c>
      <c r="B39" s="93" t="s">
        <v>573</v>
      </c>
      <c r="C39" s="574">
        <v>1.0379471784580667</v>
      </c>
      <c r="D39" s="100">
        <f t="shared" si="0"/>
        <v>42089.772354329769</v>
      </c>
      <c r="E39" s="100">
        <f t="shared" si="1"/>
        <v>368916.85468570044</v>
      </c>
      <c r="F39" s="100">
        <f t="shared" si="10"/>
        <v>-921.39701000407649</v>
      </c>
      <c r="G39" s="100">
        <f t="shared" si="2"/>
        <v>-8076.0447926857305</v>
      </c>
      <c r="H39" s="100">
        <f t="shared" si="11"/>
        <v>0</v>
      </c>
      <c r="I39" s="100">
        <f t="shared" si="3"/>
        <v>0</v>
      </c>
      <c r="J39" s="100">
        <f t="shared" si="4"/>
        <v>-563.53779667568176</v>
      </c>
      <c r="K39" s="100">
        <f t="shared" si="5"/>
        <v>-4939.4087878623504</v>
      </c>
      <c r="L39" s="101">
        <f t="shared" si="6"/>
        <v>-13015.453580548081</v>
      </c>
      <c r="M39" s="100">
        <f t="shared" si="7"/>
        <v>355901.40110515238</v>
      </c>
      <c r="N39" s="102">
        <f t="shared" si="8"/>
        <v>40604.837547650015</v>
      </c>
      <c r="O39" s="94">
        <f t="shared" si="9"/>
        <v>1.0013282136460873</v>
      </c>
      <c r="P39" s="100">
        <f>'K22'!C33</f>
        <v>8765</v>
      </c>
      <c r="Q39" s="100"/>
      <c r="R39" s="100">
        <f t="shared" si="12"/>
        <v>0</v>
      </c>
      <c r="S39" s="100">
        <v>0</v>
      </c>
      <c r="U39" s="100">
        <v>0</v>
      </c>
      <c r="V39" s="5">
        <f t="shared" si="13"/>
        <v>368916.85468570044</v>
      </c>
      <c r="W39" s="5">
        <f t="shared" si="14"/>
        <v>42089.772354329769</v>
      </c>
    </row>
    <row r="40" spans="1:23" ht="13">
      <c r="A40" s="92">
        <v>1516</v>
      </c>
      <c r="B40" s="93" t="s">
        <v>574</v>
      </c>
      <c r="C40" s="574">
        <v>0.98037148224491366</v>
      </c>
      <c r="D40" s="100">
        <f t="shared" si="0"/>
        <v>39755.02161069974</v>
      </c>
      <c r="E40" s="100">
        <f t="shared" si="1"/>
        <v>340183.71992275771</v>
      </c>
      <c r="F40" s="100">
        <f t="shared" si="10"/>
        <v>479.45343617394099</v>
      </c>
      <c r="G40" s="100">
        <f t="shared" si="2"/>
        <v>4102.6830533404127</v>
      </c>
      <c r="H40" s="100">
        <f t="shared" si="11"/>
        <v>0</v>
      </c>
      <c r="I40" s="100">
        <f t="shared" si="3"/>
        <v>0</v>
      </c>
      <c r="J40" s="100">
        <f t="shared" si="4"/>
        <v>-563.53779667568176</v>
      </c>
      <c r="K40" s="100">
        <f t="shared" si="5"/>
        <v>-4822.1929261538089</v>
      </c>
      <c r="L40" s="101">
        <f t="shared" si="6"/>
        <v>-719.50987281339621</v>
      </c>
      <c r="M40" s="100">
        <f t="shared" si="7"/>
        <v>339464.21004994429</v>
      </c>
      <c r="N40" s="102">
        <f t="shared" si="8"/>
        <v>39670.937250197996</v>
      </c>
      <c r="O40" s="94">
        <f t="shared" si="9"/>
        <v>0.97829793516082575</v>
      </c>
      <c r="P40" s="100">
        <f>'K22'!C34</f>
        <v>8557</v>
      </c>
      <c r="Q40" s="100"/>
      <c r="R40" s="100">
        <f t="shared" si="12"/>
        <v>0</v>
      </c>
      <c r="S40" s="100">
        <v>0</v>
      </c>
      <c r="U40" s="100">
        <v>0</v>
      </c>
      <c r="V40" s="5">
        <f t="shared" si="13"/>
        <v>340183.71992275771</v>
      </c>
      <c r="W40" s="5">
        <f t="shared" si="14"/>
        <v>39755.02161069974</v>
      </c>
    </row>
    <row r="41" spans="1:23" ht="13">
      <c r="A41" s="92">
        <v>1517</v>
      </c>
      <c r="B41" s="93" t="s">
        <v>575</v>
      </c>
      <c r="C41" s="574">
        <v>0.77533947626468291</v>
      </c>
      <c r="D41" s="100">
        <f t="shared" si="0"/>
        <v>31440.773413715855</v>
      </c>
      <c r="E41" s="100">
        <f t="shared" si="1"/>
        <v>161165.40451870748</v>
      </c>
      <c r="F41" s="100">
        <f t="shared" si="10"/>
        <v>5468.0023543642719</v>
      </c>
      <c r="G41" s="100">
        <f t="shared" si="2"/>
        <v>28028.980068471257</v>
      </c>
      <c r="H41" s="100">
        <f t="shared" si="11"/>
        <v>1770.2741665611886</v>
      </c>
      <c r="I41" s="100">
        <f t="shared" si="3"/>
        <v>9074.4253777926533</v>
      </c>
      <c r="J41" s="100">
        <f t="shared" si="4"/>
        <v>1206.736369885507</v>
      </c>
      <c r="K41" s="100">
        <f t="shared" si="5"/>
        <v>6185.730632033109</v>
      </c>
      <c r="L41" s="101">
        <f t="shared" si="6"/>
        <v>34214.710700504365</v>
      </c>
      <c r="M41" s="100">
        <f t="shared" si="7"/>
        <v>195380.11521921185</v>
      </c>
      <c r="N41" s="102">
        <f t="shared" si="8"/>
        <v>38115.512137965634</v>
      </c>
      <c r="O41" s="94">
        <f t="shared" si="9"/>
        <v>0.93994065698518547</v>
      </c>
      <c r="P41" s="100">
        <f>'K22'!C35</f>
        <v>5126</v>
      </c>
      <c r="Q41" s="100"/>
      <c r="R41" s="100">
        <f t="shared" si="12"/>
        <v>0</v>
      </c>
      <c r="S41" s="100">
        <v>0</v>
      </c>
      <c r="U41" s="100">
        <v>0</v>
      </c>
      <c r="V41" s="5">
        <f t="shared" si="13"/>
        <v>161165.40451870748</v>
      </c>
      <c r="W41" s="5">
        <f t="shared" si="14"/>
        <v>31440.773413715859</v>
      </c>
    </row>
    <row r="42" spans="1:23" ht="13">
      <c r="A42" s="92">
        <v>1520</v>
      </c>
      <c r="B42" s="93" t="s">
        <v>577</v>
      </c>
      <c r="C42" s="574">
        <v>0.7978892459644451</v>
      </c>
      <c r="D42" s="100">
        <f t="shared" si="0"/>
        <v>32355.188610369234</v>
      </c>
      <c r="E42" s="100">
        <f t="shared" si="1"/>
        <v>350503.75821612991</v>
      </c>
      <c r="F42" s="100">
        <f t="shared" si="10"/>
        <v>4919.3532363722443</v>
      </c>
      <c r="G42" s="100">
        <f t="shared" si="2"/>
        <v>53291.353609620521</v>
      </c>
      <c r="H42" s="100">
        <f t="shared" si="11"/>
        <v>1450.228847732506</v>
      </c>
      <c r="I42" s="100">
        <f t="shared" si="3"/>
        <v>15710.329107486237</v>
      </c>
      <c r="J42" s="100">
        <f t="shared" si="4"/>
        <v>886.69105105682422</v>
      </c>
      <c r="K42" s="100">
        <f t="shared" si="5"/>
        <v>9605.524156098576</v>
      </c>
      <c r="L42" s="101">
        <f t="shared" si="6"/>
        <v>62896.877765719095</v>
      </c>
      <c r="M42" s="100">
        <f t="shared" si="7"/>
        <v>413400.63598184905</v>
      </c>
      <c r="N42" s="102">
        <f t="shared" si="8"/>
        <v>38161.232897798305</v>
      </c>
      <c r="O42" s="94">
        <f t="shared" si="9"/>
        <v>0.9410681454701737</v>
      </c>
      <c r="P42" s="100">
        <f>'K22'!C36</f>
        <v>10833</v>
      </c>
      <c r="Q42" s="100"/>
      <c r="R42" s="100">
        <f t="shared" si="12"/>
        <v>0</v>
      </c>
      <c r="S42" s="100">
        <v>0</v>
      </c>
      <c r="U42" s="100">
        <v>1484.2619999999999</v>
      </c>
      <c r="V42" s="5">
        <f t="shared" si="13"/>
        <v>349019.49621612992</v>
      </c>
      <c r="W42" s="5">
        <f t="shared" si="14"/>
        <v>32218.175594584132</v>
      </c>
    </row>
    <row r="43" spans="1:23" ht="13">
      <c r="A43" s="92">
        <v>1525</v>
      </c>
      <c r="B43" s="93" t="s">
        <v>578</v>
      </c>
      <c r="C43" s="574">
        <v>0.89741920130258845</v>
      </c>
      <c r="D43" s="100">
        <f t="shared" si="0"/>
        <v>36391.225558648592</v>
      </c>
      <c r="E43" s="100">
        <f t="shared" si="1"/>
        <v>162559.60457048326</v>
      </c>
      <c r="F43" s="100">
        <f t="shared" si="10"/>
        <v>2497.7310674046298</v>
      </c>
      <c r="G43" s="100">
        <f t="shared" si="2"/>
        <v>11157.364678096481</v>
      </c>
      <c r="H43" s="100">
        <f t="shared" si="11"/>
        <v>37.615915834730913</v>
      </c>
      <c r="I43" s="100">
        <f t="shared" si="3"/>
        <v>168.03029603374299</v>
      </c>
      <c r="J43" s="100">
        <f t="shared" si="4"/>
        <v>-525.92188084095085</v>
      </c>
      <c r="K43" s="100">
        <f t="shared" si="5"/>
        <v>-2349.2930417165276</v>
      </c>
      <c r="L43" s="101">
        <f t="shared" si="6"/>
        <v>8808.0716363799529</v>
      </c>
      <c r="M43" s="100">
        <f t="shared" si="7"/>
        <v>171367.67620686322</v>
      </c>
      <c r="N43" s="102">
        <f t="shared" si="8"/>
        <v>38363.034745212273</v>
      </c>
      <c r="O43" s="94">
        <f t="shared" si="9"/>
        <v>0.94604464323708082</v>
      </c>
      <c r="P43" s="100">
        <f>'K22'!C37</f>
        <v>4467</v>
      </c>
      <c r="Q43" s="100"/>
      <c r="R43" s="100">
        <f t="shared" si="12"/>
        <v>0</v>
      </c>
      <c r="S43" s="100">
        <v>0</v>
      </c>
      <c r="U43" s="100">
        <v>82.396333333333331</v>
      </c>
      <c r="V43" s="5">
        <f t="shared" si="13"/>
        <v>162477.20823714993</v>
      </c>
      <c r="W43" s="5">
        <f t="shared" si="14"/>
        <v>36372.779994884695</v>
      </c>
    </row>
    <row r="44" spans="1:23" ht="13">
      <c r="A44" s="92">
        <v>1528</v>
      </c>
      <c r="B44" s="93" t="s">
        <v>579</v>
      </c>
      <c r="C44" s="574">
        <v>0.79514970568850207</v>
      </c>
      <c r="D44" s="100">
        <f t="shared" si="0"/>
        <v>32244.097575138276</v>
      </c>
      <c r="E44" s="100">
        <f t="shared" si="1"/>
        <v>243700.8894728951</v>
      </c>
      <c r="F44" s="100">
        <f t="shared" si="10"/>
        <v>4986.0078575108191</v>
      </c>
      <c r="G44" s="100">
        <f t="shared" si="2"/>
        <v>37684.247387066775</v>
      </c>
      <c r="H44" s="100">
        <f t="shared" si="11"/>
        <v>1489.1107100633415</v>
      </c>
      <c r="I44" s="100">
        <f t="shared" si="3"/>
        <v>11254.698746658734</v>
      </c>
      <c r="J44" s="100">
        <f t="shared" si="4"/>
        <v>925.5729133876597</v>
      </c>
      <c r="K44" s="100">
        <f t="shared" si="5"/>
        <v>6995.4800793839322</v>
      </c>
      <c r="L44" s="101">
        <f t="shared" si="6"/>
        <v>44679.727466450706</v>
      </c>
      <c r="M44" s="100">
        <f t="shared" si="7"/>
        <v>288380.61693934584</v>
      </c>
      <c r="N44" s="102">
        <f t="shared" si="8"/>
        <v>38155.678346036759</v>
      </c>
      <c r="O44" s="94">
        <f t="shared" si="9"/>
        <v>0.94093116845637659</v>
      </c>
      <c r="P44" s="100">
        <f>'K22'!C38</f>
        <v>7558</v>
      </c>
      <c r="Q44" s="100"/>
      <c r="R44" s="100">
        <f t="shared" si="12"/>
        <v>0</v>
      </c>
      <c r="S44" s="100">
        <v>0</v>
      </c>
      <c r="U44" s="100">
        <v>0</v>
      </c>
      <c r="V44" s="5">
        <f t="shared" si="13"/>
        <v>243700.8894728951</v>
      </c>
      <c r="W44" s="5">
        <f t="shared" si="14"/>
        <v>32244.097575138276</v>
      </c>
    </row>
    <row r="45" spans="1:23" ht="13">
      <c r="A45" s="92">
        <v>1531</v>
      </c>
      <c r="B45" s="93" t="s">
        <v>580</v>
      </c>
      <c r="C45" s="574">
        <v>0.79119543380732438</v>
      </c>
      <c r="D45" s="100">
        <f t="shared" si="0"/>
        <v>32083.747986295861</v>
      </c>
      <c r="E45" s="100">
        <f t="shared" si="1"/>
        <v>306303.54202516656</v>
      </c>
      <c r="F45" s="100">
        <f t="shared" si="10"/>
        <v>5082.2176108162685</v>
      </c>
      <c r="G45" s="100">
        <f t="shared" si="2"/>
        <v>48519.931530462913</v>
      </c>
      <c r="H45" s="100">
        <f t="shared" si="11"/>
        <v>1545.2330661581866</v>
      </c>
      <c r="I45" s="100">
        <f t="shared" si="3"/>
        <v>14752.340082612207</v>
      </c>
      <c r="J45" s="100">
        <f t="shared" si="4"/>
        <v>981.69526948250484</v>
      </c>
      <c r="K45" s="100">
        <f t="shared" si="5"/>
        <v>9372.2447377494736</v>
      </c>
      <c r="L45" s="101">
        <f t="shared" si="6"/>
        <v>57892.176268212388</v>
      </c>
      <c r="M45" s="100">
        <f t="shared" si="7"/>
        <v>364195.71829337894</v>
      </c>
      <c r="N45" s="102">
        <f t="shared" si="8"/>
        <v>38147.660866594633</v>
      </c>
      <c r="O45" s="94">
        <f t="shared" si="9"/>
        <v>0.94073345486231752</v>
      </c>
      <c r="P45" s="100">
        <f>'K22'!C39</f>
        <v>9547</v>
      </c>
      <c r="Q45" s="100"/>
      <c r="R45" s="100">
        <f t="shared" si="12"/>
        <v>0</v>
      </c>
      <c r="S45" s="100">
        <v>0</v>
      </c>
      <c r="U45" s="100">
        <v>0</v>
      </c>
      <c r="V45" s="5">
        <f t="shared" si="13"/>
        <v>306303.54202516656</v>
      </c>
      <c r="W45" s="5">
        <f t="shared" si="14"/>
        <v>32083.747986295861</v>
      </c>
    </row>
    <row r="46" spans="1:23" ht="13">
      <c r="A46" s="92">
        <v>1532</v>
      </c>
      <c r="B46" s="93" t="s">
        <v>581</v>
      </c>
      <c r="C46" s="574">
        <v>0.88989354775213414</v>
      </c>
      <c r="D46" s="100">
        <f t="shared" si="0"/>
        <v>36086.052953211452</v>
      </c>
      <c r="E46" s="100">
        <f t="shared" si="1"/>
        <v>310231.79723875888</v>
      </c>
      <c r="F46" s="100">
        <f t="shared" si="10"/>
        <v>2680.8346306669132</v>
      </c>
      <c r="G46" s="100">
        <f t="shared" si="2"/>
        <v>23047.135319843452</v>
      </c>
      <c r="H46" s="100">
        <f t="shared" si="11"/>
        <v>144.42632773772965</v>
      </c>
      <c r="I46" s="100">
        <f t="shared" si="3"/>
        <v>1241.6331395612617</v>
      </c>
      <c r="J46" s="100">
        <f t="shared" si="4"/>
        <v>-419.11146893795211</v>
      </c>
      <c r="K46" s="100">
        <f t="shared" si="5"/>
        <v>-3603.1012984595741</v>
      </c>
      <c r="L46" s="101">
        <f t="shared" si="6"/>
        <v>19444.034021383879</v>
      </c>
      <c r="M46" s="100">
        <f t="shared" si="7"/>
        <v>329675.83126014273</v>
      </c>
      <c r="N46" s="102">
        <f t="shared" si="8"/>
        <v>38347.776114940418</v>
      </c>
      <c r="O46" s="94">
        <f t="shared" si="9"/>
        <v>0.94566836055955816</v>
      </c>
      <c r="P46" s="100">
        <f>'K22'!C40</f>
        <v>8597</v>
      </c>
      <c r="Q46" s="100"/>
      <c r="R46" s="100">
        <f t="shared" si="12"/>
        <v>0</v>
      </c>
      <c r="S46" s="100">
        <v>0</v>
      </c>
      <c r="U46" s="100">
        <v>0</v>
      </c>
      <c r="V46" s="5">
        <f t="shared" si="13"/>
        <v>310231.79723875888</v>
      </c>
      <c r="W46" s="5">
        <f t="shared" si="14"/>
        <v>36086.052953211452</v>
      </c>
    </row>
    <row r="47" spans="1:23" ht="13">
      <c r="A47" s="92">
        <v>1535</v>
      </c>
      <c r="B47" s="93" t="s">
        <v>582</v>
      </c>
      <c r="C47" s="574">
        <v>0.88461236614350069</v>
      </c>
      <c r="D47" s="100">
        <f t="shared" si="0"/>
        <v>35871.895878282579</v>
      </c>
      <c r="E47" s="100">
        <f t="shared" si="1"/>
        <v>248807.46981176798</v>
      </c>
      <c r="F47" s="100">
        <f t="shared" si="10"/>
        <v>2809.3288756242368</v>
      </c>
      <c r="G47" s="100">
        <f t="shared" si="2"/>
        <v>19485.505081329706</v>
      </c>
      <c r="H47" s="100">
        <f t="shared" si="11"/>
        <v>219.3813039628352</v>
      </c>
      <c r="I47" s="100">
        <f t="shared" si="3"/>
        <v>1521.628724286225</v>
      </c>
      <c r="J47" s="100">
        <f t="shared" si="4"/>
        <v>-344.15649271284656</v>
      </c>
      <c r="K47" s="100">
        <f t="shared" si="5"/>
        <v>-2387.0694334563036</v>
      </c>
      <c r="L47" s="101">
        <f t="shared" si="6"/>
        <v>17098.435647873401</v>
      </c>
      <c r="M47" s="100">
        <f t="shared" si="7"/>
        <v>265905.90545964136</v>
      </c>
      <c r="N47" s="102">
        <f t="shared" si="8"/>
        <v>38337.06826119397</v>
      </c>
      <c r="O47" s="94">
        <f t="shared" si="9"/>
        <v>0.94540430147912635</v>
      </c>
      <c r="P47" s="100">
        <f>'K22'!C41</f>
        <v>6936</v>
      </c>
      <c r="Q47" s="100"/>
      <c r="R47" s="100">
        <f t="shared" si="12"/>
        <v>0</v>
      </c>
      <c r="S47" s="100">
        <v>0</v>
      </c>
      <c r="U47" s="100">
        <v>0</v>
      </c>
      <c r="V47" s="5">
        <f t="shared" si="13"/>
        <v>248807.46981176798</v>
      </c>
      <c r="W47" s="5">
        <f t="shared" si="14"/>
        <v>35871.895878282579</v>
      </c>
    </row>
    <row r="48" spans="1:23" ht="13">
      <c r="A48" s="92">
        <v>1539</v>
      </c>
      <c r="B48" s="93" t="s">
        <v>583</v>
      </c>
      <c r="C48" s="574">
        <v>0.8820470624344573</v>
      </c>
      <c r="D48" s="100">
        <f t="shared" si="0"/>
        <v>35767.870306101002</v>
      </c>
      <c r="E48" s="100">
        <f t="shared" si="1"/>
        <v>251054.68167852293</v>
      </c>
      <c r="F48" s="100">
        <f t="shared" si="10"/>
        <v>2871.7442189331837</v>
      </c>
      <c r="G48" s="100">
        <f t="shared" si="2"/>
        <v>20156.772672692015</v>
      </c>
      <c r="H48" s="100">
        <f t="shared" si="11"/>
        <v>255.7902542263873</v>
      </c>
      <c r="I48" s="100">
        <f t="shared" si="3"/>
        <v>1795.3917944150126</v>
      </c>
      <c r="J48" s="100">
        <f t="shared" si="4"/>
        <v>-307.74754244929443</v>
      </c>
      <c r="K48" s="100">
        <f t="shared" si="5"/>
        <v>-2160.0800004515972</v>
      </c>
      <c r="L48" s="101">
        <f t="shared" si="6"/>
        <v>17996.692672240417</v>
      </c>
      <c r="M48" s="100">
        <f t="shared" si="7"/>
        <v>269051.37435076333</v>
      </c>
      <c r="N48" s="102">
        <f t="shared" si="8"/>
        <v>38331.866982584885</v>
      </c>
      <c r="O48" s="94">
        <f t="shared" si="9"/>
        <v>0.94527603629367407</v>
      </c>
      <c r="P48" s="100">
        <f>'K22'!C42</f>
        <v>7019</v>
      </c>
      <c r="Q48" s="100"/>
      <c r="R48" s="100">
        <f t="shared" si="12"/>
        <v>0</v>
      </c>
      <c r="S48" s="100">
        <v>0</v>
      </c>
      <c r="U48" s="100">
        <v>2947.1596666666665</v>
      </c>
      <c r="V48" s="5">
        <f t="shared" si="13"/>
        <v>248107.52201185626</v>
      </c>
      <c r="W48" s="5">
        <f t="shared" si="14"/>
        <v>35347.987179349802</v>
      </c>
    </row>
    <row r="49" spans="1:23" ht="13">
      <c r="A49" s="92">
        <v>1547</v>
      </c>
      <c r="B49" s="93" t="s">
        <v>584</v>
      </c>
      <c r="C49" s="574">
        <v>0.87267240285530623</v>
      </c>
      <c r="D49" s="100">
        <f t="shared" si="0"/>
        <v>35387.718699376681</v>
      </c>
      <c r="E49" s="100">
        <f t="shared" si="1"/>
        <v>124493.99438440717</v>
      </c>
      <c r="F49" s="100">
        <f t="shared" si="10"/>
        <v>3099.8351829677763</v>
      </c>
      <c r="G49" s="100">
        <f t="shared" si="2"/>
        <v>10905.220173680636</v>
      </c>
      <c r="H49" s="100">
        <f t="shared" si="11"/>
        <v>388.84331657989969</v>
      </c>
      <c r="I49" s="100">
        <f t="shared" si="3"/>
        <v>1367.9507877280871</v>
      </c>
      <c r="J49" s="100">
        <f t="shared" si="4"/>
        <v>-174.69448009578207</v>
      </c>
      <c r="K49" s="100">
        <f t="shared" si="5"/>
        <v>-614.57518097696129</v>
      </c>
      <c r="L49" s="101">
        <f t="shared" si="6"/>
        <v>10290.644992703676</v>
      </c>
      <c r="M49" s="100">
        <f t="shared" si="7"/>
        <v>134784.63937711084</v>
      </c>
      <c r="N49" s="102">
        <f t="shared" si="8"/>
        <v>38312.859402248672</v>
      </c>
      <c r="O49" s="94">
        <f t="shared" si="9"/>
        <v>0.94480730331471652</v>
      </c>
      <c r="P49" s="100">
        <f>'K22'!C43</f>
        <v>3518</v>
      </c>
      <c r="Q49" s="100"/>
      <c r="R49" s="100">
        <f t="shared" si="12"/>
        <v>0</v>
      </c>
      <c r="S49" s="100">
        <v>0</v>
      </c>
      <c r="U49" s="100">
        <v>0</v>
      </c>
      <c r="V49" s="5">
        <f t="shared" si="13"/>
        <v>124493.99438440717</v>
      </c>
      <c r="W49" s="5">
        <f t="shared" si="14"/>
        <v>35387.718699376681</v>
      </c>
    </row>
    <row r="50" spans="1:23" ht="13">
      <c r="A50" s="92">
        <v>1554</v>
      </c>
      <c r="B50" s="93" t="s">
        <v>585</v>
      </c>
      <c r="C50" s="574">
        <v>0.8710070304221692</v>
      </c>
      <c r="D50" s="100">
        <f t="shared" si="0"/>
        <v>35320.186219833704</v>
      </c>
      <c r="E50" s="100">
        <f t="shared" si="1"/>
        <v>205846.04528919084</v>
      </c>
      <c r="F50" s="100">
        <f t="shared" si="10"/>
        <v>3140.3546706935622</v>
      </c>
      <c r="G50" s="100">
        <f t="shared" si="2"/>
        <v>18301.98702080208</v>
      </c>
      <c r="H50" s="100">
        <f t="shared" si="11"/>
        <v>412.47968441994158</v>
      </c>
      <c r="I50" s="100">
        <f t="shared" si="3"/>
        <v>2403.9316007994194</v>
      </c>
      <c r="J50" s="100">
        <f t="shared" si="4"/>
        <v>-151.05811225574018</v>
      </c>
      <c r="K50" s="100">
        <f t="shared" si="5"/>
        <v>-880.36667822645381</v>
      </c>
      <c r="L50" s="101">
        <f t="shared" si="6"/>
        <v>17421.620342575625</v>
      </c>
      <c r="M50" s="100">
        <f t="shared" si="7"/>
        <v>223267.66563176646</v>
      </c>
      <c r="N50" s="102">
        <f t="shared" si="8"/>
        <v>38309.482778271529</v>
      </c>
      <c r="O50" s="94">
        <f t="shared" si="9"/>
        <v>0.94472403469305988</v>
      </c>
      <c r="P50" s="100">
        <f>'K22'!C44</f>
        <v>5828</v>
      </c>
      <c r="Q50" s="100"/>
      <c r="R50" s="100">
        <f t="shared" si="12"/>
        <v>0</v>
      </c>
      <c r="S50" s="100">
        <v>0</v>
      </c>
      <c r="U50" s="100">
        <v>0</v>
      </c>
      <c r="V50" s="5">
        <f t="shared" si="13"/>
        <v>205846.04528919084</v>
      </c>
      <c r="W50" s="5">
        <f t="shared" si="14"/>
        <v>35320.186219833704</v>
      </c>
    </row>
    <row r="51" spans="1:23" ht="13">
      <c r="A51" s="92">
        <v>1557</v>
      </c>
      <c r="B51" s="93" t="s">
        <v>586</v>
      </c>
      <c r="C51" s="574">
        <v>0.73138380100948686</v>
      </c>
      <c r="D51" s="100">
        <f t="shared" si="0"/>
        <v>29658.327829230082</v>
      </c>
      <c r="E51" s="100">
        <f t="shared" si="1"/>
        <v>79158.076976215089</v>
      </c>
      <c r="F51" s="100">
        <f t="shared" si="10"/>
        <v>6537.4697050557352</v>
      </c>
      <c r="G51" s="100">
        <f t="shared" si="2"/>
        <v>17448.506642793756</v>
      </c>
      <c r="H51" s="100">
        <f t="shared" si="11"/>
        <v>2394.1301211312093</v>
      </c>
      <c r="I51" s="100">
        <f t="shared" si="3"/>
        <v>6389.9332932991974</v>
      </c>
      <c r="J51" s="100">
        <f t="shared" si="4"/>
        <v>1830.5923244555274</v>
      </c>
      <c r="K51" s="100">
        <f t="shared" si="5"/>
        <v>4885.8509139718035</v>
      </c>
      <c r="L51" s="101">
        <f t="shared" si="6"/>
        <v>22334.357556765561</v>
      </c>
      <c r="M51" s="100">
        <f t="shared" si="7"/>
        <v>101492.43453298065</v>
      </c>
      <c r="N51" s="102">
        <f t="shared" si="8"/>
        <v>38026.389858741342</v>
      </c>
      <c r="O51" s="94">
        <f t="shared" si="9"/>
        <v>0.93774287322242555</v>
      </c>
      <c r="P51" s="100">
        <f>'K22'!C45</f>
        <v>2669</v>
      </c>
      <c r="Q51" s="100"/>
      <c r="R51" s="100">
        <f t="shared" si="12"/>
        <v>0</v>
      </c>
      <c r="S51" s="100">
        <v>0</v>
      </c>
      <c r="U51" s="100">
        <v>0</v>
      </c>
      <c r="V51" s="5">
        <f t="shared" si="13"/>
        <v>79158.076976215089</v>
      </c>
      <c r="W51" s="5">
        <f t="shared" si="14"/>
        <v>29658.327829230086</v>
      </c>
    </row>
    <row r="52" spans="1:23" ht="13">
      <c r="A52" s="92">
        <v>1560</v>
      </c>
      <c r="B52" s="93" t="s">
        <v>587</v>
      </c>
      <c r="C52" s="574">
        <v>0.74888869476952646</v>
      </c>
      <c r="D52" s="100">
        <f t="shared" si="0"/>
        <v>30368.168376743608</v>
      </c>
      <c r="E52" s="100">
        <f t="shared" si="1"/>
        <v>89889.778395161076</v>
      </c>
      <c r="F52" s="100">
        <f t="shared" si="10"/>
        <v>6111.56537654762</v>
      </c>
      <c r="G52" s="100">
        <f t="shared" si="2"/>
        <v>18090.233514580956</v>
      </c>
      <c r="H52" s="100">
        <f t="shared" si="11"/>
        <v>2145.6859295014751</v>
      </c>
      <c r="I52" s="100">
        <f t="shared" si="3"/>
        <v>6351.230351324366</v>
      </c>
      <c r="J52" s="100">
        <f t="shared" si="4"/>
        <v>1582.1481328257933</v>
      </c>
      <c r="K52" s="100">
        <f t="shared" si="5"/>
        <v>4683.1584731643479</v>
      </c>
      <c r="L52" s="101">
        <f t="shared" si="6"/>
        <v>22773.391987745305</v>
      </c>
      <c r="M52" s="100">
        <f t="shared" si="7"/>
        <v>112663.17038290639</v>
      </c>
      <c r="N52" s="102">
        <f t="shared" si="8"/>
        <v>38061.881886117022</v>
      </c>
      <c r="O52" s="94">
        <f t="shared" si="9"/>
        <v>0.93861811791042771</v>
      </c>
      <c r="P52" s="100">
        <f>'K22'!C46</f>
        <v>2960</v>
      </c>
      <c r="Q52" s="100"/>
      <c r="R52" s="100">
        <f t="shared" si="12"/>
        <v>0</v>
      </c>
      <c r="S52" s="100">
        <v>0</v>
      </c>
      <c r="U52" s="100">
        <v>0</v>
      </c>
      <c r="V52" s="5">
        <f t="shared" si="13"/>
        <v>89889.778395161076</v>
      </c>
      <c r="W52" s="5">
        <f t="shared" si="14"/>
        <v>30368.168376743608</v>
      </c>
    </row>
    <row r="53" spans="1:23" ht="13">
      <c r="A53" s="92">
        <v>1563</v>
      </c>
      <c r="B53" s="93" t="s">
        <v>588</v>
      </c>
      <c r="C53" s="574">
        <v>0.87549017797160078</v>
      </c>
      <c r="D53" s="100">
        <f t="shared" si="0"/>
        <v>35501.982233833922</v>
      </c>
      <c r="E53" s="100">
        <f t="shared" si="1"/>
        <v>246099.74084493675</v>
      </c>
      <c r="F53" s="100">
        <f t="shared" si="10"/>
        <v>3031.2770622934318</v>
      </c>
      <c r="G53" s="100">
        <f t="shared" si="2"/>
        <v>21012.812595818068</v>
      </c>
      <c r="H53" s="100">
        <f t="shared" si="11"/>
        <v>348.85107951986538</v>
      </c>
      <c r="I53" s="100">
        <f t="shared" si="3"/>
        <v>2418.2356832317068</v>
      </c>
      <c r="J53" s="100">
        <f t="shared" si="4"/>
        <v>-214.68671715581638</v>
      </c>
      <c r="K53" s="100">
        <f t="shared" si="5"/>
        <v>-1488.2083233241192</v>
      </c>
      <c r="L53" s="101">
        <f t="shared" si="6"/>
        <v>19524.604272493947</v>
      </c>
      <c r="M53" s="100">
        <f t="shared" si="7"/>
        <v>265624.34511743067</v>
      </c>
      <c r="N53" s="102">
        <f t="shared" si="8"/>
        <v>38318.572578971529</v>
      </c>
      <c r="O53" s="94">
        <f t="shared" si="9"/>
        <v>0.94494819207053116</v>
      </c>
      <c r="P53" s="100">
        <f>'K22'!C47</f>
        <v>6932</v>
      </c>
      <c r="Q53" s="100"/>
      <c r="R53" s="100">
        <f t="shared" si="12"/>
        <v>0</v>
      </c>
      <c r="S53" s="100">
        <v>0</v>
      </c>
      <c r="U53" s="100">
        <v>13766.625333333335</v>
      </c>
      <c r="V53" s="5">
        <f t="shared" si="13"/>
        <v>232333.11551160342</v>
      </c>
      <c r="W53" s="5">
        <f t="shared" si="14"/>
        <v>33516.029358280932</v>
      </c>
    </row>
    <row r="54" spans="1:23" ht="13">
      <c r="A54" s="92">
        <v>1566</v>
      </c>
      <c r="B54" s="93" t="s">
        <v>589</v>
      </c>
      <c r="C54" s="574">
        <v>0.75320203787935003</v>
      </c>
      <c r="D54" s="100">
        <f t="shared" si="0"/>
        <v>30543.078654787132</v>
      </c>
      <c r="E54" s="100">
        <f t="shared" si="1"/>
        <v>178646.46705184993</v>
      </c>
      <c r="F54" s="100">
        <f t="shared" si="10"/>
        <v>6006.6192097215053</v>
      </c>
      <c r="G54" s="100">
        <f t="shared" si="2"/>
        <v>35132.715757661084</v>
      </c>
      <c r="H54" s="100">
        <f t="shared" si="11"/>
        <v>2084.4673321862415</v>
      </c>
      <c r="I54" s="100">
        <f t="shared" si="3"/>
        <v>12192.049425957326</v>
      </c>
      <c r="J54" s="100">
        <f t="shared" si="4"/>
        <v>1520.9295355105596</v>
      </c>
      <c r="K54" s="100">
        <f t="shared" si="5"/>
        <v>8895.9168532012627</v>
      </c>
      <c r="L54" s="101">
        <f t="shared" si="6"/>
        <v>44028.632610862347</v>
      </c>
      <c r="M54" s="100">
        <f t="shared" si="7"/>
        <v>222675.09966271228</v>
      </c>
      <c r="N54" s="102">
        <f t="shared" si="8"/>
        <v>38070.627400019199</v>
      </c>
      <c r="O54" s="94">
        <f t="shared" si="9"/>
        <v>0.93883378506591886</v>
      </c>
      <c r="P54" s="100">
        <f>'K22'!C48</f>
        <v>5849</v>
      </c>
      <c r="Q54" s="100"/>
      <c r="R54" s="100">
        <f t="shared" si="12"/>
        <v>0</v>
      </c>
      <c r="S54" s="100">
        <v>0</v>
      </c>
      <c r="U54" s="100">
        <v>7124.6239999999998</v>
      </c>
      <c r="V54" s="5">
        <f t="shared" si="13"/>
        <v>171521.84305184992</v>
      </c>
      <c r="W54" s="5">
        <f t="shared" si="14"/>
        <v>29324.98598937424</v>
      </c>
    </row>
    <row r="55" spans="1:23" ht="13">
      <c r="A55" s="92">
        <v>1573</v>
      </c>
      <c r="B55" s="93" t="s">
        <v>591</v>
      </c>
      <c r="C55" s="574">
        <v>0.81603578858802694</v>
      </c>
      <c r="D55" s="100">
        <f t="shared" si="0"/>
        <v>33091.048646309937</v>
      </c>
      <c r="E55" s="100">
        <f t="shared" si="1"/>
        <v>70153.023130177069</v>
      </c>
      <c r="F55" s="100">
        <f t="shared" si="10"/>
        <v>4477.8372148078224</v>
      </c>
      <c r="G55" s="100">
        <f t="shared" si="2"/>
        <v>9493.0148953925836</v>
      </c>
      <c r="H55" s="100">
        <f t="shared" si="11"/>
        <v>1192.67783515326</v>
      </c>
      <c r="I55" s="100">
        <f t="shared" si="3"/>
        <v>2528.4770105249113</v>
      </c>
      <c r="J55" s="100">
        <f t="shared" si="4"/>
        <v>629.14003847757829</v>
      </c>
      <c r="K55" s="100">
        <f t="shared" si="5"/>
        <v>1333.776881572466</v>
      </c>
      <c r="L55" s="101">
        <f t="shared" si="6"/>
        <v>10826.79177696505</v>
      </c>
      <c r="M55" s="100">
        <f t="shared" si="7"/>
        <v>80979.814907142121</v>
      </c>
      <c r="N55" s="102">
        <f t="shared" si="8"/>
        <v>38198.025899595341</v>
      </c>
      <c r="O55" s="94">
        <f t="shared" si="9"/>
        <v>0.94197547260135273</v>
      </c>
      <c r="P55" s="100">
        <f>'K22'!C49</f>
        <v>2120</v>
      </c>
      <c r="Q55" s="100"/>
      <c r="R55" s="100">
        <f t="shared" si="12"/>
        <v>0</v>
      </c>
      <c r="S55" s="100">
        <v>0</v>
      </c>
      <c r="U55" s="100">
        <v>0</v>
      </c>
      <c r="V55" s="5">
        <f t="shared" si="13"/>
        <v>70153.023130177069</v>
      </c>
      <c r="W55" s="5">
        <f t="shared" si="14"/>
        <v>33091.048646309937</v>
      </c>
    </row>
    <row r="56" spans="1:23" ht="13">
      <c r="A56" s="92">
        <v>1576</v>
      </c>
      <c r="B56" s="93" t="s">
        <v>1815</v>
      </c>
      <c r="C56" s="574">
        <v>0.8203040861266262</v>
      </c>
      <c r="D56" s="100">
        <f t="shared" si="0"/>
        <v>33264.13228242239</v>
      </c>
      <c r="E56" s="100">
        <f t="shared" si="1"/>
        <v>112565.82364371736</v>
      </c>
      <c r="F56" s="100">
        <f t="shared" si="10"/>
        <v>4373.9870331403508</v>
      </c>
      <c r="G56" s="100">
        <f t="shared" si="2"/>
        <v>14801.572120146948</v>
      </c>
      <c r="H56" s="100">
        <f t="shared" si="11"/>
        <v>1132.0985625139015</v>
      </c>
      <c r="I56" s="100">
        <f t="shared" si="3"/>
        <v>3831.0215355470427</v>
      </c>
      <c r="J56" s="100">
        <f t="shared" si="4"/>
        <v>568.56076583821971</v>
      </c>
      <c r="K56" s="100">
        <f t="shared" si="5"/>
        <v>1924.0096315965354</v>
      </c>
      <c r="L56" s="101">
        <f t="shared" si="6"/>
        <v>16725.581751743484</v>
      </c>
      <c r="M56" s="100">
        <f t="shared" si="7"/>
        <v>129291.40539546084</v>
      </c>
      <c r="N56" s="102">
        <f t="shared" si="8"/>
        <v>38206.680081400962</v>
      </c>
      <c r="O56" s="94">
        <f t="shared" si="9"/>
        <v>0.94218888747828267</v>
      </c>
      <c r="P56" s="100">
        <f>'K22'!C50</f>
        <v>3384</v>
      </c>
      <c r="Q56" s="100"/>
      <c r="R56" s="100">
        <f t="shared" si="12"/>
        <v>0</v>
      </c>
      <c r="S56" s="100">
        <v>0</v>
      </c>
      <c r="U56" s="100">
        <v>0</v>
      </c>
      <c r="V56" s="5">
        <f t="shared" si="13"/>
        <v>112565.82364371736</v>
      </c>
      <c r="W56" s="5">
        <f t="shared" si="14"/>
        <v>33264.13228242239</v>
      </c>
    </row>
    <row r="57" spans="1:23" ht="13">
      <c r="A57" s="92">
        <v>1577</v>
      </c>
      <c r="B57" s="93" t="s">
        <v>576</v>
      </c>
      <c r="C57" s="574">
        <v>0.73837790862235886</v>
      </c>
      <c r="D57" s="100">
        <f t="shared" si="0"/>
        <v>29941.945727478804</v>
      </c>
      <c r="E57" s="100">
        <f t="shared" si="1"/>
        <v>323642.49136831838</v>
      </c>
      <c r="F57" s="100">
        <f t="shared" si="10"/>
        <v>6367.2989661065021</v>
      </c>
      <c r="G57" s="100">
        <f t="shared" si="2"/>
        <v>68824.134524645182</v>
      </c>
      <c r="H57" s="100">
        <f t="shared" si="11"/>
        <v>2294.8638567441567</v>
      </c>
      <c r="I57" s="100">
        <f t="shared" si="3"/>
        <v>24805.183427547589</v>
      </c>
      <c r="J57" s="100">
        <f t="shared" si="4"/>
        <v>1731.3260600684748</v>
      </c>
      <c r="K57" s="100">
        <f t="shared" si="5"/>
        <v>18713.903383280143</v>
      </c>
      <c r="L57" s="101">
        <f t="shared" si="6"/>
        <v>87538.037907925318</v>
      </c>
      <c r="M57" s="100">
        <f t="shared" si="7"/>
        <v>411180.5292762437</v>
      </c>
      <c r="N57" s="102">
        <f t="shared" si="8"/>
        <v>38040.570753653781</v>
      </c>
      <c r="O57" s="94">
        <f t="shared" si="9"/>
        <v>0.93809257860306927</v>
      </c>
      <c r="P57" s="100">
        <f>'K22'!C51</f>
        <v>10809</v>
      </c>
      <c r="Q57" s="100"/>
      <c r="R57" s="100">
        <f t="shared" si="12"/>
        <v>0</v>
      </c>
      <c r="S57" s="100">
        <v>0</v>
      </c>
      <c r="U57" s="100">
        <v>2486.4153333333334</v>
      </c>
      <c r="V57" s="5">
        <f t="shared" si="13"/>
        <v>321156.07603498508</v>
      </c>
      <c r="W57" s="5">
        <f t="shared" si="14"/>
        <v>29711.913778794067</v>
      </c>
    </row>
    <row r="58" spans="1:23" ht="13">
      <c r="A58" s="92">
        <v>1578</v>
      </c>
      <c r="B58" s="93" t="s">
        <v>1816</v>
      </c>
      <c r="C58" s="574">
        <v>0.80365425925267131</v>
      </c>
      <c r="D58" s="100">
        <f t="shared" si="0"/>
        <v>32588.965532699323</v>
      </c>
      <c r="E58" s="100">
        <f t="shared" si="1"/>
        <v>81179.113141954018</v>
      </c>
      <c r="F58" s="100">
        <f t="shared" si="10"/>
        <v>4779.0870829741907</v>
      </c>
      <c r="G58" s="100">
        <f t="shared" si="2"/>
        <v>11904.705923688709</v>
      </c>
      <c r="H58" s="100">
        <f t="shared" si="11"/>
        <v>1368.4069249169747</v>
      </c>
      <c r="I58" s="100">
        <f t="shared" si="3"/>
        <v>3408.701649968184</v>
      </c>
      <c r="J58" s="100">
        <f t="shared" si="4"/>
        <v>804.86912824129297</v>
      </c>
      <c r="K58" s="100">
        <f t="shared" si="5"/>
        <v>2004.9289984490608</v>
      </c>
      <c r="L58" s="101">
        <f t="shared" si="6"/>
        <v>13909.63492213777</v>
      </c>
      <c r="M58" s="100">
        <f t="shared" si="7"/>
        <v>95088.748064091793</v>
      </c>
      <c r="N58" s="102">
        <f t="shared" si="8"/>
        <v>38172.921743914805</v>
      </c>
      <c r="O58" s="94">
        <f t="shared" si="9"/>
        <v>0.94135639613458488</v>
      </c>
      <c r="P58" s="100">
        <f>'K22'!C52</f>
        <v>2491</v>
      </c>
      <c r="Q58" s="100"/>
      <c r="R58" s="100">
        <f t="shared" si="12"/>
        <v>0</v>
      </c>
      <c r="S58" s="100">
        <v>0</v>
      </c>
      <c r="U58" s="100">
        <v>9552.4090000000015</v>
      </c>
      <c r="V58" s="5">
        <f t="shared" si="13"/>
        <v>71626.704141954018</v>
      </c>
      <c r="W58" s="5">
        <f t="shared" si="14"/>
        <v>28754.196765136097</v>
      </c>
    </row>
    <row r="59" spans="1:23" ht="13">
      <c r="A59" s="92">
        <v>1579</v>
      </c>
      <c r="B59" s="93" t="s">
        <v>1817</v>
      </c>
      <c r="C59" s="574">
        <v>0.78280617333407987</v>
      </c>
      <c r="D59" s="100">
        <f t="shared" si="0"/>
        <v>31743.555276234649</v>
      </c>
      <c r="E59" s="100">
        <f t="shared" si="1"/>
        <v>421776.61895532976</v>
      </c>
      <c r="F59" s="100">
        <f t="shared" si="10"/>
        <v>5286.3332368529955</v>
      </c>
      <c r="G59" s="100">
        <f t="shared" si="2"/>
        <v>70239.509718065747</v>
      </c>
      <c r="H59" s="100">
        <f t="shared" si="11"/>
        <v>1664.3005146796108</v>
      </c>
      <c r="I59" s="100">
        <f t="shared" si="3"/>
        <v>22113.560938547987</v>
      </c>
      <c r="J59" s="100">
        <f t="shared" si="4"/>
        <v>1100.762718003929</v>
      </c>
      <c r="K59" s="100">
        <f t="shared" si="5"/>
        <v>14625.834234118205</v>
      </c>
      <c r="L59" s="101">
        <f t="shared" si="6"/>
        <v>84865.343952183946</v>
      </c>
      <c r="M59" s="100">
        <f t="shared" si="7"/>
        <v>506641.96290751372</v>
      </c>
      <c r="N59" s="102">
        <f t="shared" si="8"/>
        <v>38130.651231091571</v>
      </c>
      <c r="O59" s="94">
        <f t="shared" si="9"/>
        <v>0.94031399183865527</v>
      </c>
      <c r="P59" s="100">
        <f>'K22'!C53</f>
        <v>13287</v>
      </c>
      <c r="Q59" s="100"/>
      <c r="R59" s="100">
        <f t="shared" si="12"/>
        <v>0</v>
      </c>
      <c r="S59" s="100">
        <v>0</v>
      </c>
      <c r="U59" s="100">
        <v>0</v>
      </c>
      <c r="V59" s="5">
        <f t="shared" si="13"/>
        <v>421776.61895532976</v>
      </c>
      <c r="W59" s="5">
        <f t="shared" si="14"/>
        <v>31743.555276234649</v>
      </c>
    </row>
    <row r="60" spans="1:23" ht="13">
      <c r="A60" s="92">
        <v>1804</v>
      </c>
      <c r="B60" s="93" t="s">
        <v>624</v>
      </c>
      <c r="C60" s="574">
        <v>0.95319935952228019</v>
      </c>
      <c r="D60" s="100">
        <f t="shared" si="0"/>
        <v>38653.165482068471</v>
      </c>
      <c r="E60" s="100">
        <f t="shared" si="1"/>
        <v>2041003.0969496614</v>
      </c>
      <c r="F60" s="100">
        <f t="shared" si="10"/>
        <v>1140.5671133527023</v>
      </c>
      <c r="G60" s="100">
        <f t="shared" si="2"/>
        <v>60225.365286362743</v>
      </c>
      <c r="H60" s="100">
        <f t="shared" si="11"/>
        <v>0</v>
      </c>
      <c r="I60" s="100">
        <f t="shared" si="3"/>
        <v>0</v>
      </c>
      <c r="J60" s="100">
        <f t="shared" si="4"/>
        <v>-563.53779667568176</v>
      </c>
      <c r="K60" s="100">
        <f t="shared" si="5"/>
        <v>-29756.486277866024</v>
      </c>
      <c r="L60" s="101">
        <f t="shared" si="6"/>
        <v>30468.879008496719</v>
      </c>
      <c r="M60" s="100">
        <f t="shared" si="7"/>
        <v>2071471.9759581583</v>
      </c>
      <c r="N60" s="102">
        <f t="shared" si="8"/>
        <v>39230.194798745491</v>
      </c>
      <c r="O60" s="94">
        <f t="shared" si="9"/>
        <v>0.96742908607177247</v>
      </c>
      <c r="P60" s="100">
        <f>'K22'!C54</f>
        <v>52803</v>
      </c>
      <c r="Q60" s="100"/>
      <c r="R60" s="100">
        <f t="shared" si="12"/>
        <v>0</v>
      </c>
      <c r="S60" s="100">
        <v>0</v>
      </c>
      <c r="U60" s="100">
        <v>1342.2836666666665</v>
      </c>
      <c r="V60" s="5">
        <f t="shared" si="13"/>
        <v>2039660.8132829948</v>
      </c>
      <c r="W60" s="5">
        <f t="shared" si="14"/>
        <v>38627.744887279034</v>
      </c>
    </row>
    <row r="61" spans="1:23" ht="13">
      <c r="A61" s="92">
        <v>1806</v>
      </c>
      <c r="B61" s="93" t="s">
        <v>625</v>
      </c>
      <c r="C61" s="574">
        <v>0.83006004526945898</v>
      </c>
      <c r="D61" s="100">
        <f t="shared" si="0"/>
        <v>33659.745959054744</v>
      </c>
      <c r="E61" s="100">
        <f t="shared" si="1"/>
        <v>724694.33049844857</v>
      </c>
      <c r="F61" s="100">
        <f t="shared" si="10"/>
        <v>4136.6188271609381</v>
      </c>
      <c r="G61" s="100">
        <f t="shared" si="2"/>
        <v>89061.403348774998</v>
      </c>
      <c r="H61" s="100">
        <f t="shared" si="11"/>
        <v>993.6337756925775</v>
      </c>
      <c r="I61" s="100">
        <f t="shared" si="3"/>
        <v>21392.935190661192</v>
      </c>
      <c r="J61" s="100">
        <f t="shared" si="4"/>
        <v>430.09597901689574</v>
      </c>
      <c r="K61" s="100">
        <f t="shared" si="5"/>
        <v>9259.9664282337653</v>
      </c>
      <c r="L61" s="101">
        <f t="shared" si="6"/>
        <v>98321.36977700876</v>
      </c>
      <c r="M61" s="100">
        <f t="shared" si="7"/>
        <v>823015.70027545735</v>
      </c>
      <c r="N61" s="102">
        <f t="shared" si="8"/>
        <v>38226.460765232579</v>
      </c>
      <c r="O61" s="94">
        <f t="shared" si="9"/>
        <v>0.94267668543542427</v>
      </c>
      <c r="P61" s="100">
        <f>'K22'!C55</f>
        <v>21530</v>
      </c>
      <c r="Q61" s="100"/>
      <c r="R61" s="100">
        <f t="shared" si="12"/>
        <v>0</v>
      </c>
      <c r="S61" s="100">
        <v>0</v>
      </c>
      <c r="U61" s="100">
        <v>20007.044333333335</v>
      </c>
      <c r="V61" s="5">
        <f t="shared" si="13"/>
        <v>704687.28616511519</v>
      </c>
      <c r="W61" s="5">
        <f t="shared" si="14"/>
        <v>32730.482404324906</v>
      </c>
    </row>
    <row r="62" spans="1:23" ht="13">
      <c r="A62" s="92">
        <v>1811</v>
      </c>
      <c r="B62" s="93" t="s">
        <v>626</v>
      </c>
      <c r="C62" s="574">
        <v>0.86209818179011266</v>
      </c>
      <c r="D62" s="100">
        <f t="shared" si="0"/>
        <v>34958.92370219819</v>
      </c>
      <c r="E62" s="100">
        <f t="shared" si="1"/>
        <v>49152.246725290657</v>
      </c>
      <c r="F62" s="100">
        <f t="shared" si="10"/>
        <v>3357.1121812748706</v>
      </c>
      <c r="G62" s="100">
        <f t="shared" si="2"/>
        <v>4720.0997268724686</v>
      </c>
      <c r="H62" s="100">
        <f t="shared" si="11"/>
        <v>538.92156559237151</v>
      </c>
      <c r="I62" s="100">
        <f t="shared" si="3"/>
        <v>757.72372122287436</v>
      </c>
      <c r="J62" s="100">
        <f t="shared" si="4"/>
        <v>-24.616231083310254</v>
      </c>
      <c r="K62" s="100">
        <f t="shared" si="5"/>
        <v>-34.610420903134219</v>
      </c>
      <c r="L62" s="101">
        <f t="shared" si="6"/>
        <v>4685.4893059693341</v>
      </c>
      <c r="M62" s="100">
        <f t="shared" si="7"/>
        <v>53837.736031259992</v>
      </c>
      <c r="N62" s="102">
        <f t="shared" si="8"/>
        <v>38291.419652389755</v>
      </c>
      <c r="O62" s="94">
        <f t="shared" si="9"/>
        <v>0.94427859226145705</v>
      </c>
      <c r="P62" s="100">
        <f>'K22'!C56</f>
        <v>1406</v>
      </c>
      <c r="Q62" s="100"/>
      <c r="R62" s="100">
        <f t="shared" si="12"/>
        <v>0</v>
      </c>
      <c r="S62" s="100">
        <v>0</v>
      </c>
      <c r="U62" s="100">
        <v>6317.6916666666666</v>
      </c>
      <c r="V62" s="5">
        <f t="shared" si="13"/>
        <v>42834.555058623991</v>
      </c>
      <c r="W62" s="5">
        <f t="shared" si="14"/>
        <v>30465.544138423891</v>
      </c>
    </row>
    <row r="63" spans="1:23" ht="13">
      <c r="A63" s="92">
        <v>1812</v>
      </c>
      <c r="B63" s="93" t="s">
        <v>627</v>
      </c>
      <c r="C63" s="574">
        <v>0.71145208600894305</v>
      </c>
      <c r="D63" s="100">
        <f t="shared" si="0"/>
        <v>28850.077308957425</v>
      </c>
      <c r="E63" s="100">
        <f t="shared" si="1"/>
        <v>57152.003149044656</v>
      </c>
      <c r="F63" s="100">
        <f t="shared" si="10"/>
        <v>7022.4200172193296</v>
      </c>
      <c r="G63" s="100">
        <f t="shared" si="2"/>
        <v>13911.414054111492</v>
      </c>
      <c r="H63" s="100">
        <f t="shared" si="11"/>
        <v>2677.017803226639</v>
      </c>
      <c r="I63" s="100">
        <f t="shared" si="3"/>
        <v>5303.1722681919719</v>
      </c>
      <c r="J63" s="100">
        <f t="shared" si="4"/>
        <v>2113.4800065509571</v>
      </c>
      <c r="K63" s="100">
        <f t="shared" si="5"/>
        <v>4186.8038929774457</v>
      </c>
      <c r="L63" s="101">
        <f t="shared" si="6"/>
        <v>18098.217947088939</v>
      </c>
      <c r="M63" s="100">
        <f t="shared" si="7"/>
        <v>75250.221096133595</v>
      </c>
      <c r="N63" s="102">
        <f t="shared" si="8"/>
        <v>37985.977332727707</v>
      </c>
      <c r="O63" s="94">
        <f t="shared" si="9"/>
        <v>0.93674628747239841</v>
      </c>
      <c r="P63" s="100">
        <f>'K22'!C57</f>
        <v>1981</v>
      </c>
      <c r="Q63" s="100"/>
      <c r="R63" s="100">
        <f t="shared" si="12"/>
        <v>0</v>
      </c>
      <c r="S63" s="100">
        <v>0</v>
      </c>
      <c r="U63" s="100">
        <v>0</v>
      </c>
      <c r="V63" s="5">
        <f t="shared" si="13"/>
        <v>57152.003149044656</v>
      </c>
      <c r="W63" s="5">
        <f t="shared" si="14"/>
        <v>28850.077308957421</v>
      </c>
    </row>
    <row r="64" spans="1:23" ht="13">
      <c r="A64" s="92">
        <v>1813</v>
      </c>
      <c r="B64" s="93" t="s">
        <v>628</v>
      </c>
      <c r="C64" s="574">
        <v>0.8135218084114626</v>
      </c>
      <c r="D64" s="100">
        <f t="shared" si="0"/>
        <v>32989.104293523043</v>
      </c>
      <c r="E64" s="100">
        <f t="shared" si="1"/>
        <v>256556.26409072871</v>
      </c>
      <c r="F64" s="100">
        <f t="shared" si="10"/>
        <v>4539.0038264799587</v>
      </c>
      <c r="G64" s="100">
        <f t="shared" si="2"/>
        <v>35299.832758534641</v>
      </c>
      <c r="H64" s="100">
        <f t="shared" si="11"/>
        <v>1228.3583586286727</v>
      </c>
      <c r="I64" s="100">
        <f t="shared" si="3"/>
        <v>9552.9429550551886</v>
      </c>
      <c r="J64" s="100">
        <f t="shared" si="4"/>
        <v>664.82056195299094</v>
      </c>
      <c r="K64" s="100">
        <f t="shared" si="5"/>
        <v>5170.3095103084106</v>
      </c>
      <c r="L64" s="101">
        <f t="shared" si="6"/>
        <v>40470.142268843054</v>
      </c>
      <c r="M64" s="100">
        <f t="shared" si="7"/>
        <v>297026.40635957173</v>
      </c>
      <c r="N64" s="102">
        <f t="shared" si="8"/>
        <v>38192.928681955993</v>
      </c>
      <c r="O64" s="94">
        <f t="shared" si="9"/>
        <v>0.94184977359252442</v>
      </c>
      <c r="P64" s="100">
        <f>'K22'!C58</f>
        <v>7777</v>
      </c>
      <c r="Q64" s="100"/>
      <c r="R64" s="100">
        <f t="shared" si="12"/>
        <v>0</v>
      </c>
      <c r="S64" s="100">
        <v>0</v>
      </c>
      <c r="U64" s="100">
        <v>149.29966666666667</v>
      </c>
      <c r="V64" s="5">
        <f t="shared" si="13"/>
        <v>256406.96442406205</v>
      </c>
      <c r="W64" s="5">
        <f t="shared" si="14"/>
        <v>32969.906702335356</v>
      </c>
    </row>
    <row r="65" spans="1:23" ht="13">
      <c r="A65" s="92">
        <v>1815</v>
      </c>
      <c r="B65" s="93" t="s">
        <v>629</v>
      </c>
      <c r="C65" s="574">
        <v>0.73467939385441128</v>
      </c>
      <c r="D65" s="100">
        <f t="shared" si="0"/>
        <v>29791.967339500239</v>
      </c>
      <c r="E65" s="100">
        <f t="shared" si="1"/>
        <v>35005.561623912785</v>
      </c>
      <c r="F65" s="100">
        <f t="shared" si="10"/>
        <v>6457.2859988936407</v>
      </c>
      <c r="G65" s="100">
        <f t="shared" si="2"/>
        <v>7587.3110487000286</v>
      </c>
      <c r="H65" s="100">
        <f t="shared" si="11"/>
        <v>2347.3562925366541</v>
      </c>
      <c r="I65" s="100">
        <f t="shared" si="3"/>
        <v>2758.1436437305688</v>
      </c>
      <c r="J65" s="100">
        <f t="shared" si="4"/>
        <v>1783.8184958609722</v>
      </c>
      <c r="K65" s="100">
        <f t="shared" si="5"/>
        <v>2095.9867326366425</v>
      </c>
      <c r="L65" s="101">
        <f t="shared" si="6"/>
        <v>9683.2977813366706</v>
      </c>
      <c r="M65" s="100">
        <f t="shared" si="7"/>
        <v>44688.859405249459</v>
      </c>
      <c r="N65" s="102">
        <f t="shared" si="8"/>
        <v>38033.071834254864</v>
      </c>
      <c r="O65" s="94">
        <f t="shared" si="9"/>
        <v>0.93790765286467215</v>
      </c>
      <c r="P65" s="100">
        <f>'K22'!C59</f>
        <v>1175</v>
      </c>
      <c r="Q65" s="100"/>
      <c r="R65" s="100">
        <f t="shared" si="12"/>
        <v>0</v>
      </c>
      <c r="S65" s="100">
        <v>0</v>
      </c>
      <c r="U65" s="100">
        <v>0</v>
      </c>
      <c r="V65" s="5">
        <f t="shared" si="13"/>
        <v>35005.561623912785</v>
      </c>
      <c r="W65" s="5">
        <f t="shared" si="14"/>
        <v>29791.967339500239</v>
      </c>
    </row>
    <row r="66" spans="1:23" ht="13">
      <c r="A66" s="92">
        <v>1816</v>
      </c>
      <c r="B66" s="93" t="s">
        <v>630</v>
      </c>
      <c r="C66" s="574">
        <v>0.75677951804859422</v>
      </c>
      <c r="D66" s="100">
        <f t="shared" si="0"/>
        <v>30688.148971514911</v>
      </c>
      <c r="E66" s="100">
        <f t="shared" si="1"/>
        <v>14177.924824839889</v>
      </c>
      <c r="F66" s="100">
        <f t="shared" si="10"/>
        <v>5919.577019684838</v>
      </c>
      <c r="G66" s="100">
        <f t="shared" si="2"/>
        <v>2734.8445830943951</v>
      </c>
      <c r="H66" s="100">
        <f t="shared" si="11"/>
        <v>2033.6927213315191</v>
      </c>
      <c r="I66" s="100">
        <f t="shared" si="3"/>
        <v>939.56603725516175</v>
      </c>
      <c r="J66" s="100">
        <f t="shared" si="4"/>
        <v>1470.1549246558375</v>
      </c>
      <c r="K66" s="100">
        <f t="shared" si="5"/>
        <v>679.21157519099688</v>
      </c>
      <c r="L66" s="101">
        <f t="shared" si="6"/>
        <v>3414.056158285392</v>
      </c>
      <c r="M66" s="100">
        <f t="shared" si="7"/>
        <v>17591.980983125282</v>
      </c>
      <c r="N66" s="102">
        <f t="shared" si="8"/>
        <v>38077.880915855589</v>
      </c>
      <c r="O66" s="94">
        <f t="shared" si="9"/>
        <v>0.93901265907438114</v>
      </c>
      <c r="P66" s="100">
        <f>'K22'!C60</f>
        <v>462</v>
      </c>
      <c r="Q66" s="100"/>
      <c r="R66" s="100">
        <f t="shared" si="12"/>
        <v>0</v>
      </c>
      <c r="S66" s="100">
        <v>0</v>
      </c>
      <c r="U66" s="100">
        <v>0</v>
      </c>
      <c r="V66" s="5">
        <f t="shared" si="13"/>
        <v>14177.924824839889</v>
      </c>
      <c r="W66" s="5">
        <f t="shared" si="14"/>
        <v>30688.148971514911</v>
      </c>
    </row>
    <row r="67" spans="1:23" ht="13">
      <c r="A67" s="92">
        <v>1818</v>
      </c>
      <c r="B67" s="93" t="s">
        <v>573</v>
      </c>
      <c r="C67" s="574">
        <v>0.89956852346636651</v>
      </c>
      <c r="D67" s="100">
        <f t="shared" si="0"/>
        <v>36478.382672678155</v>
      </c>
      <c r="E67" s="100">
        <f t="shared" si="1"/>
        <v>66573.048377637635</v>
      </c>
      <c r="F67" s="100">
        <f t="shared" si="10"/>
        <v>2445.4367989868915</v>
      </c>
      <c r="G67" s="100">
        <f t="shared" si="2"/>
        <v>4462.9221581510774</v>
      </c>
      <c r="H67" s="100">
        <f t="shared" si="11"/>
        <v>7.1109259243836274</v>
      </c>
      <c r="I67" s="100">
        <f t="shared" si="3"/>
        <v>12.977439812000121</v>
      </c>
      <c r="J67" s="100">
        <f t="shared" si="4"/>
        <v>-556.42687075129811</v>
      </c>
      <c r="K67" s="100">
        <f t="shared" si="5"/>
        <v>-1015.4790391211191</v>
      </c>
      <c r="L67" s="101">
        <f t="shared" si="6"/>
        <v>3447.4431190299583</v>
      </c>
      <c r="M67" s="100">
        <f t="shared" si="7"/>
        <v>70020.491496667601</v>
      </c>
      <c r="N67" s="102">
        <f t="shared" si="8"/>
        <v>38367.39260091375</v>
      </c>
      <c r="O67" s="94">
        <f t="shared" si="9"/>
        <v>0.94615210934526972</v>
      </c>
      <c r="P67" s="100">
        <f>'K22'!C61</f>
        <v>1825</v>
      </c>
      <c r="Q67" s="100"/>
      <c r="R67" s="100">
        <f t="shared" si="12"/>
        <v>0</v>
      </c>
      <c r="S67" s="100">
        <v>0</v>
      </c>
      <c r="U67" s="100">
        <v>0</v>
      </c>
      <c r="V67" s="5">
        <f t="shared" si="13"/>
        <v>66573.048377637635</v>
      </c>
      <c r="W67" s="5">
        <f t="shared" si="14"/>
        <v>36478.382672678155</v>
      </c>
    </row>
    <row r="68" spans="1:23" ht="13">
      <c r="A68" s="92">
        <v>1820</v>
      </c>
      <c r="B68" s="93" t="s">
        <v>631</v>
      </c>
      <c r="C68" s="574">
        <v>0.79490630489301251</v>
      </c>
      <c r="D68" s="100">
        <f t="shared" si="0"/>
        <v>32234.22743503323</v>
      </c>
      <c r="E68" s="100">
        <f t="shared" si="1"/>
        <v>236373.58978109865</v>
      </c>
      <c r="F68" s="100">
        <f t="shared" si="10"/>
        <v>4991.9299415738469</v>
      </c>
      <c r="G68" s="100">
        <f t="shared" si="2"/>
        <v>36605.822261561021</v>
      </c>
      <c r="H68" s="100">
        <f t="shared" si="11"/>
        <v>1492.5652591001074</v>
      </c>
      <c r="I68" s="100">
        <f t="shared" si="3"/>
        <v>10944.981044981087</v>
      </c>
      <c r="J68" s="100">
        <f t="shared" si="4"/>
        <v>929.02746242442561</v>
      </c>
      <c r="K68" s="100">
        <f t="shared" si="5"/>
        <v>6812.5583819583135</v>
      </c>
      <c r="L68" s="101">
        <f t="shared" si="6"/>
        <v>43418.380643519333</v>
      </c>
      <c r="M68" s="100">
        <f t="shared" si="7"/>
        <v>279791.97042461799</v>
      </c>
      <c r="N68" s="102">
        <f t="shared" si="8"/>
        <v>38155.184839031499</v>
      </c>
      <c r="O68" s="94">
        <f t="shared" si="9"/>
        <v>0.94091899841660187</v>
      </c>
      <c r="P68" s="100">
        <f>'K22'!C62</f>
        <v>7333</v>
      </c>
      <c r="Q68" s="100"/>
      <c r="R68" s="100">
        <f t="shared" si="12"/>
        <v>0</v>
      </c>
      <c r="S68" s="100">
        <v>0</v>
      </c>
      <c r="U68" s="100">
        <v>0</v>
      </c>
      <c r="V68" s="5">
        <f t="shared" si="13"/>
        <v>236373.58978109865</v>
      </c>
      <c r="W68" s="5">
        <f t="shared" si="14"/>
        <v>32234.22743503323</v>
      </c>
    </row>
    <row r="69" spans="1:23" ht="13">
      <c r="A69" s="92">
        <v>1822</v>
      </c>
      <c r="B69" s="93" t="s">
        <v>632</v>
      </c>
      <c r="C69" s="574">
        <v>0.66178417335950124</v>
      </c>
      <c r="D69" s="100">
        <f t="shared" si="0"/>
        <v>26835.994916214353</v>
      </c>
      <c r="E69" s="100">
        <f t="shared" si="1"/>
        <v>60568.840525895794</v>
      </c>
      <c r="F69" s="100">
        <f t="shared" si="10"/>
        <v>8230.8694528651722</v>
      </c>
      <c r="G69" s="100">
        <f t="shared" si="2"/>
        <v>18577.072355116696</v>
      </c>
      <c r="H69" s="100">
        <f t="shared" si="11"/>
        <v>3381.9466406867141</v>
      </c>
      <c r="I69" s="100">
        <f t="shared" si="3"/>
        <v>7633.0535680299145</v>
      </c>
      <c r="J69" s="100">
        <f t="shared" si="4"/>
        <v>2818.4088440110322</v>
      </c>
      <c r="K69" s="100">
        <f t="shared" si="5"/>
        <v>6361.1487609328997</v>
      </c>
      <c r="L69" s="101">
        <f t="shared" si="6"/>
        <v>24938.221116049594</v>
      </c>
      <c r="M69" s="100">
        <f t="shared" si="7"/>
        <v>85507.061641945387</v>
      </c>
      <c r="N69" s="102">
        <f t="shared" si="8"/>
        <v>37885.273213090557</v>
      </c>
      <c r="O69" s="94">
        <f t="shared" si="9"/>
        <v>0.93426289183992639</v>
      </c>
      <c r="P69" s="100">
        <f>'K22'!C63</f>
        <v>2257</v>
      </c>
      <c r="Q69" s="100"/>
      <c r="R69" s="100">
        <f t="shared" si="12"/>
        <v>0</v>
      </c>
      <c r="S69" s="100">
        <v>0</v>
      </c>
      <c r="U69" s="100">
        <v>0</v>
      </c>
      <c r="V69" s="5">
        <f t="shared" si="13"/>
        <v>60568.840525895794</v>
      </c>
      <c r="W69" s="5">
        <f t="shared" si="14"/>
        <v>26835.994916214353</v>
      </c>
    </row>
    <row r="70" spans="1:23" ht="13">
      <c r="A70" s="92">
        <v>1824</v>
      </c>
      <c r="B70" s="93" t="s">
        <v>633</v>
      </c>
      <c r="C70" s="574">
        <v>0.80679417856051117</v>
      </c>
      <c r="D70" s="100">
        <f t="shared" si="0"/>
        <v>32716.29232891864</v>
      </c>
      <c r="E70" s="100">
        <f t="shared" si="1"/>
        <v>432934.69638858037</v>
      </c>
      <c r="F70" s="100">
        <f t="shared" si="10"/>
        <v>4702.6910052426001</v>
      </c>
      <c r="G70" s="100">
        <f t="shared" si="2"/>
        <v>62230.710072375325</v>
      </c>
      <c r="H70" s="100">
        <f t="shared" si="11"/>
        <v>1323.8425462402138</v>
      </c>
      <c r="I70" s="100">
        <f t="shared" si="3"/>
        <v>17518.408414396748</v>
      </c>
      <c r="J70" s="100">
        <f t="shared" si="4"/>
        <v>760.30474956453202</v>
      </c>
      <c r="K70" s="100">
        <f t="shared" si="5"/>
        <v>10061.112750987451</v>
      </c>
      <c r="L70" s="101">
        <f t="shared" si="6"/>
        <v>72291.822823362774</v>
      </c>
      <c r="M70" s="100">
        <f t="shared" si="7"/>
        <v>505226.51921194314</v>
      </c>
      <c r="N70" s="102">
        <f t="shared" si="8"/>
        <v>38179.288083725776</v>
      </c>
      <c r="O70" s="94">
        <f t="shared" si="9"/>
        <v>0.94151339209997698</v>
      </c>
      <c r="P70" s="100">
        <f>'K22'!C64</f>
        <v>13233</v>
      </c>
      <c r="Q70" s="100"/>
      <c r="R70" s="100">
        <f t="shared" si="12"/>
        <v>0</v>
      </c>
      <c r="S70" s="100">
        <v>0</v>
      </c>
      <c r="U70" s="100">
        <v>3551.6190000000001</v>
      </c>
      <c r="V70" s="5">
        <f t="shared" si="13"/>
        <v>429383.07738858036</v>
      </c>
      <c r="W70" s="5">
        <f t="shared" si="14"/>
        <v>32447.90126113356</v>
      </c>
    </row>
    <row r="71" spans="1:23" ht="13">
      <c r="A71" s="92">
        <v>1825</v>
      </c>
      <c r="B71" s="93" t="s">
        <v>634</v>
      </c>
      <c r="C71" s="574">
        <v>0.71538308951936158</v>
      </c>
      <c r="D71" s="100">
        <f t="shared" si="0"/>
        <v>29009.48334262802</v>
      </c>
      <c r="E71" s="100">
        <f t="shared" si="1"/>
        <v>42382.855163579537</v>
      </c>
      <c r="F71" s="100">
        <f t="shared" si="10"/>
        <v>6926.7763970169726</v>
      </c>
      <c r="G71" s="100">
        <f t="shared" si="2"/>
        <v>10120.020316041797</v>
      </c>
      <c r="H71" s="100">
        <f t="shared" si="11"/>
        <v>2621.2256914419308</v>
      </c>
      <c r="I71" s="100">
        <f t="shared" si="3"/>
        <v>3829.6107351966607</v>
      </c>
      <c r="J71" s="100">
        <f t="shared" si="4"/>
        <v>2057.687894766249</v>
      </c>
      <c r="K71" s="100">
        <f t="shared" si="5"/>
        <v>3006.2820142534897</v>
      </c>
      <c r="L71" s="101">
        <f t="shared" si="6"/>
        <v>13126.302330295286</v>
      </c>
      <c r="M71" s="100">
        <f t="shared" si="7"/>
        <v>55509.157493874824</v>
      </c>
      <c r="N71" s="102">
        <f t="shared" si="8"/>
        <v>37993.947634411241</v>
      </c>
      <c r="O71" s="94">
        <f t="shared" si="9"/>
        <v>0.93694283764791941</v>
      </c>
      <c r="P71" s="100">
        <f>'K22'!C65</f>
        <v>1461</v>
      </c>
      <c r="Q71" s="100"/>
      <c r="R71" s="100">
        <f t="shared" si="12"/>
        <v>0</v>
      </c>
      <c r="S71" s="100">
        <v>0</v>
      </c>
      <c r="U71" s="100">
        <v>2499.3850000000002</v>
      </c>
      <c r="V71" s="5">
        <f t="shared" si="13"/>
        <v>39883.470163579535</v>
      </c>
      <c r="W71" s="5">
        <f t="shared" si="14"/>
        <v>27298.74754522898</v>
      </c>
    </row>
    <row r="72" spans="1:23" ht="13">
      <c r="A72" s="92">
        <v>1826</v>
      </c>
      <c r="B72" s="93" t="s">
        <v>635</v>
      </c>
      <c r="C72" s="574">
        <v>0.66145628414246138</v>
      </c>
      <c r="D72" s="100">
        <f t="shared" si="0"/>
        <v>26822.698688054508</v>
      </c>
      <c r="E72" s="100">
        <f t="shared" si="1"/>
        <v>34145.295429893391</v>
      </c>
      <c r="F72" s="100">
        <f t="shared" si="10"/>
        <v>8238.8471897610798</v>
      </c>
      <c r="G72" s="100">
        <f t="shared" si="2"/>
        <v>10488.052472565854</v>
      </c>
      <c r="H72" s="100">
        <f t="shared" si="11"/>
        <v>3386.60032054266</v>
      </c>
      <c r="I72" s="100">
        <f t="shared" si="3"/>
        <v>4311.1422080508064</v>
      </c>
      <c r="J72" s="100">
        <f t="shared" si="4"/>
        <v>2823.0625238669782</v>
      </c>
      <c r="K72" s="100">
        <f t="shared" si="5"/>
        <v>3593.7585928826629</v>
      </c>
      <c r="L72" s="101">
        <f t="shared" si="6"/>
        <v>14081.811065448517</v>
      </c>
      <c r="M72" s="100">
        <f t="shared" si="7"/>
        <v>48227.106495341905</v>
      </c>
      <c r="N72" s="102">
        <f t="shared" si="8"/>
        <v>37884.608401682563</v>
      </c>
      <c r="O72" s="94">
        <f t="shared" si="9"/>
        <v>0.93424649737907428</v>
      </c>
      <c r="P72" s="100">
        <f>'K22'!C66</f>
        <v>1273</v>
      </c>
      <c r="Q72" s="100"/>
      <c r="R72" s="100">
        <f t="shared" si="12"/>
        <v>0</v>
      </c>
      <c r="S72" s="100">
        <v>0</v>
      </c>
      <c r="U72" s="100">
        <v>2736.6839999999997</v>
      </c>
      <c r="V72" s="5">
        <f t="shared" si="13"/>
        <v>31408.61142989339</v>
      </c>
      <c r="W72" s="5">
        <f t="shared" si="14"/>
        <v>24672.907643278388</v>
      </c>
    </row>
    <row r="73" spans="1:23" ht="13">
      <c r="A73" s="92">
        <v>1827</v>
      </c>
      <c r="B73" s="93" t="s">
        <v>636</v>
      </c>
      <c r="C73" s="574">
        <v>0.93508062512639756</v>
      </c>
      <c r="D73" s="100">
        <f t="shared" si="0"/>
        <v>37918.433096934794</v>
      </c>
      <c r="E73" s="100">
        <f t="shared" si="1"/>
        <v>51910.334909703728</v>
      </c>
      <c r="F73" s="100">
        <f t="shared" si="10"/>
        <v>1581.4065444329083</v>
      </c>
      <c r="G73" s="100">
        <f t="shared" si="2"/>
        <v>2164.9455593286516</v>
      </c>
      <c r="H73" s="100">
        <f t="shared" si="11"/>
        <v>0</v>
      </c>
      <c r="I73" s="100">
        <f t="shared" si="3"/>
        <v>0</v>
      </c>
      <c r="J73" s="100">
        <f t="shared" si="4"/>
        <v>-563.53779667568176</v>
      </c>
      <c r="K73" s="100">
        <f t="shared" si="5"/>
        <v>-771.48324364900839</v>
      </c>
      <c r="L73" s="101">
        <f t="shared" si="6"/>
        <v>1393.4623156796433</v>
      </c>
      <c r="M73" s="100">
        <f t="shared" si="7"/>
        <v>53303.797225383372</v>
      </c>
      <c r="N73" s="102">
        <f t="shared" si="8"/>
        <v>38936.301844692018</v>
      </c>
      <c r="O73" s="94">
        <f t="shared" si="9"/>
        <v>0.96018159231341937</v>
      </c>
      <c r="P73" s="100">
        <f>'K22'!C67</f>
        <v>1369</v>
      </c>
      <c r="Q73" s="100"/>
      <c r="R73" s="100">
        <f t="shared" si="12"/>
        <v>0</v>
      </c>
      <c r="S73" s="100">
        <v>0</v>
      </c>
      <c r="U73" s="100">
        <v>0</v>
      </c>
      <c r="V73" s="5">
        <f t="shared" si="13"/>
        <v>51910.334909703728</v>
      </c>
      <c r="W73" s="5">
        <f t="shared" si="14"/>
        <v>37918.433096934794</v>
      </c>
    </row>
    <row r="74" spans="1:23" ht="13">
      <c r="A74" s="92">
        <v>1828</v>
      </c>
      <c r="B74" s="93" t="s">
        <v>637</v>
      </c>
      <c r="C74" s="574">
        <v>0.75086053241644168</v>
      </c>
      <c r="D74" s="100">
        <f t="shared" ref="D74:D137" si="15">C74*D$367</f>
        <v>30448.12832017893</v>
      </c>
      <c r="E74" s="100">
        <f t="shared" ref="E74:E137" si="16">D74*P74/1000</f>
        <v>51700.921887663826</v>
      </c>
      <c r="F74" s="100">
        <f t="shared" si="10"/>
        <v>6063.5894104864265</v>
      </c>
      <c r="G74" s="100">
        <f t="shared" ref="G74:G137" si="17">F74*P74/1000</f>
        <v>10295.974819005951</v>
      </c>
      <c r="H74" s="100">
        <f t="shared" si="11"/>
        <v>2117.6999492991122</v>
      </c>
      <c r="I74" s="100">
        <f t="shared" ref="I74:I137" si="18">H74*P74/1000</f>
        <v>3595.8545139098928</v>
      </c>
      <c r="J74" s="100">
        <f t="shared" ref="J74:J137" si="19">H74+H$370</f>
        <v>1554.1621526234303</v>
      </c>
      <c r="K74" s="100">
        <f t="shared" ref="K74:K137" si="20">J74*P74/1000</f>
        <v>2638.9673351545848</v>
      </c>
      <c r="L74" s="101">
        <f t="shared" ref="L74:L137" si="21">K74+G74</f>
        <v>12934.942154160535</v>
      </c>
      <c r="M74" s="100">
        <f t="shared" ref="M74:M137" si="22">K74+E74+G74</f>
        <v>64635.864041824359</v>
      </c>
      <c r="N74" s="102">
        <f t="shared" ref="N74:N137" si="23">M74*1000/P74</f>
        <v>38065.879883288784</v>
      </c>
      <c r="O74" s="94">
        <f t="shared" ref="O74:O137" si="24">N74/N$367</f>
        <v>0.93871670979277333</v>
      </c>
      <c r="P74" s="100">
        <f>'K22'!C68</f>
        <v>1698</v>
      </c>
      <c r="Q74" s="100"/>
      <c r="R74" s="100">
        <f t="shared" si="12"/>
        <v>0</v>
      </c>
      <c r="S74" s="100">
        <v>0</v>
      </c>
      <c r="U74" s="100">
        <v>0</v>
      </c>
      <c r="V74" s="5">
        <f t="shared" si="13"/>
        <v>51700.921887663826</v>
      </c>
      <c r="W74" s="5">
        <f t="shared" si="14"/>
        <v>30448.12832017893</v>
      </c>
    </row>
    <row r="75" spans="1:23" ht="13">
      <c r="A75" s="92">
        <v>1832</v>
      </c>
      <c r="B75" s="93" t="s">
        <v>638</v>
      </c>
      <c r="C75" s="574">
        <v>0.84924132849284506</v>
      </c>
      <c r="D75" s="100">
        <f t="shared" si="15"/>
        <v>34437.565737451943</v>
      </c>
      <c r="E75" s="100">
        <f t="shared" si="16"/>
        <v>152214.04055953759</v>
      </c>
      <c r="F75" s="100">
        <f t="shared" ref="F75:F138" si="25">($D$367+$R$367-D75-R75)*0.6</f>
        <v>3669.9269601226188</v>
      </c>
      <c r="G75" s="100">
        <f t="shared" si="17"/>
        <v>16221.077163741975</v>
      </c>
      <c r="H75" s="100">
        <f t="shared" ref="H75:H138" si="26">IF((D75+R75)&lt;(D$367+R$367)*0.9,((D$367+R$367)*0.9-(D75+R75))*0.35,0)</f>
        <v>721.39685325355777</v>
      </c>
      <c r="I75" s="100">
        <f t="shared" si="18"/>
        <v>3188.5740913807253</v>
      </c>
      <c r="J75" s="100">
        <f t="shared" si="19"/>
        <v>157.859056577876</v>
      </c>
      <c r="K75" s="100">
        <f t="shared" si="20"/>
        <v>697.73703007421193</v>
      </c>
      <c r="L75" s="101">
        <f t="shared" si="21"/>
        <v>16918.814193816186</v>
      </c>
      <c r="M75" s="100">
        <f t="shared" si="22"/>
        <v>169132.85475335378</v>
      </c>
      <c r="N75" s="102">
        <f t="shared" si="23"/>
        <v>38265.351754152434</v>
      </c>
      <c r="O75" s="94">
        <f t="shared" si="24"/>
        <v>0.94363574959659346</v>
      </c>
      <c r="P75" s="100">
        <f>'K22'!C69</f>
        <v>4420</v>
      </c>
      <c r="Q75" s="100"/>
      <c r="R75" s="100">
        <f t="shared" ref="R75:R138" si="27">S75*1000/P75</f>
        <v>0</v>
      </c>
      <c r="S75" s="100">
        <v>0</v>
      </c>
      <c r="U75" s="100">
        <v>33142.554333333333</v>
      </c>
      <c r="V75" s="5">
        <f t="shared" ref="V75:V138" si="28">+E75-U75</f>
        <v>119071.48622620426</v>
      </c>
      <c r="W75" s="5">
        <f t="shared" ref="W75:W138" si="29">+V75*1000/P75</f>
        <v>26939.250277421779</v>
      </c>
    </row>
    <row r="76" spans="1:23" ht="13">
      <c r="A76" s="92">
        <v>1833</v>
      </c>
      <c r="B76" s="93" t="s">
        <v>639</v>
      </c>
      <c r="C76" s="574">
        <v>0.81992861339528145</v>
      </c>
      <c r="D76" s="100">
        <f t="shared" si="15"/>
        <v>33248.906496259522</v>
      </c>
      <c r="E76" s="100">
        <f t="shared" si="16"/>
        <v>867530.46830040345</v>
      </c>
      <c r="F76" s="100">
        <f t="shared" si="25"/>
        <v>4383.1225048380711</v>
      </c>
      <c r="G76" s="100">
        <f t="shared" si="17"/>
        <v>114364.43239623494</v>
      </c>
      <c r="H76" s="100">
        <f t="shared" si="26"/>
        <v>1137.4275876709053</v>
      </c>
      <c r="I76" s="100">
        <f t="shared" si="18"/>
        <v>29677.760617509262</v>
      </c>
      <c r="J76" s="100">
        <f t="shared" si="19"/>
        <v>573.88979099522351</v>
      </c>
      <c r="K76" s="100">
        <f t="shared" si="20"/>
        <v>14973.932426647372</v>
      </c>
      <c r="L76" s="101">
        <f t="shared" si="21"/>
        <v>129338.36482288231</v>
      </c>
      <c r="M76" s="100">
        <f t="shared" si="22"/>
        <v>996868.83312328579</v>
      </c>
      <c r="N76" s="102">
        <f t="shared" si="23"/>
        <v>38205.918792092816</v>
      </c>
      <c r="O76" s="94">
        <f t="shared" si="24"/>
        <v>0.94217011384171534</v>
      </c>
      <c r="P76" s="100">
        <f>'K22'!C70</f>
        <v>26092</v>
      </c>
      <c r="Q76" s="100"/>
      <c r="R76" s="100">
        <f t="shared" si="27"/>
        <v>0</v>
      </c>
      <c r="S76" s="100">
        <v>0</v>
      </c>
      <c r="U76" s="100">
        <v>29504.423666666669</v>
      </c>
      <c r="V76" s="5">
        <f t="shared" si="28"/>
        <v>838026.04463373683</v>
      </c>
      <c r="W76" s="5">
        <f t="shared" si="29"/>
        <v>32118.122207333163</v>
      </c>
    </row>
    <row r="77" spans="1:23" ht="13">
      <c r="A77" s="92">
        <v>1834</v>
      </c>
      <c r="B77" s="93" t="s">
        <v>640</v>
      </c>
      <c r="C77" s="574">
        <v>1.4082451438383097</v>
      </c>
      <c r="D77" s="100">
        <f t="shared" si="15"/>
        <v>57105.716700630212</v>
      </c>
      <c r="E77" s="100">
        <f t="shared" si="16"/>
        <v>106730.58451347786</v>
      </c>
      <c r="F77" s="100">
        <f t="shared" si="25"/>
        <v>-9930.9636177843422</v>
      </c>
      <c r="G77" s="100">
        <f t="shared" si="17"/>
        <v>-18560.971001638933</v>
      </c>
      <c r="H77" s="100">
        <f t="shared" si="26"/>
        <v>0</v>
      </c>
      <c r="I77" s="100">
        <f t="shared" si="18"/>
        <v>0</v>
      </c>
      <c r="J77" s="100">
        <f t="shared" si="19"/>
        <v>-563.53779667568176</v>
      </c>
      <c r="K77" s="100">
        <f t="shared" si="20"/>
        <v>-1053.2521419868492</v>
      </c>
      <c r="L77" s="101">
        <f t="shared" si="21"/>
        <v>-19614.223143625783</v>
      </c>
      <c r="M77" s="100">
        <f t="shared" si="22"/>
        <v>87116.361369852093</v>
      </c>
      <c r="N77" s="102">
        <f t="shared" si="23"/>
        <v>46611.215286170198</v>
      </c>
      <c r="O77" s="94">
        <f t="shared" si="24"/>
        <v>1.1494473997981844</v>
      </c>
      <c r="P77" s="100">
        <f>'K22'!C71</f>
        <v>1869</v>
      </c>
      <c r="Q77" s="100"/>
      <c r="R77" s="100">
        <f t="shared" si="27"/>
        <v>0</v>
      </c>
      <c r="S77" s="100">
        <v>0</v>
      </c>
      <c r="U77" s="100">
        <v>0</v>
      </c>
      <c r="V77" s="5">
        <f t="shared" si="28"/>
        <v>106730.58451347786</v>
      </c>
      <c r="W77" s="5">
        <f t="shared" si="29"/>
        <v>57105.716700630212</v>
      </c>
    </row>
    <row r="78" spans="1:23" ht="13">
      <c r="A78" s="92">
        <v>1835</v>
      </c>
      <c r="B78" s="93" t="s">
        <v>641</v>
      </c>
      <c r="C78" s="574">
        <v>0.95720041192185923</v>
      </c>
      <c r="D78" s="100">
        <f t="shared" si="15"/>
        <v>38815.412066645345</v>
      </c>
      <c r="E78" s="100">
        <f t="shared" si="16"/>
        <v>17466.935429990408</v>
      </c>
      <c r="F78" s="100">
        <f t="shared" si="25"/>
        <v>1043.2191626065774</v>
      </c>
      <c r="G78" s="100">
        <f t="shared" si="17"/>
        <v>469.44862317295986</v>
      </c>
      <c r="H78" s="100">
        <f t="shared" si="26"/>
        <v>0</v>
      </c>
      <c r="I78" s="100">
        <f t="shared" si="18"/>
        <v>0</v>
      </c>
      <c r="J78" s="100">
        <f t="shared" si="19"/>
        <v>-563.53779667568176</v>
      </c>
      <c r="K78" s="100">
        <f t="shared" si="20"/>
        <v>-253.59200850405679</v>
      </c>
      <c r="L78" s="101">
        <f t="shared" si="21"/>
        <v>215.85661466890306</v>
      </c>
      <c r="M78" s="100">
        <f t="shared" si="22"/>
        <v>17682.792044659313</v>
      </c>
      <c r="N78" s="102">
        <f t="shared" si="23"/>
        <v>39295.09343257625</v>
      </c>
      <c r="O78" s="94">
        <f t="shared" si="24"/>
        <v>0.96902950703160429</v>
      </c>
      <c r="P78" s="100">
        <f>'K22'!C72</f>
        <v>450</v>
      </c>
      <c r="Q78" s="100"/>
      <c r="R78" s="100">
        <f t="shared" si="27"/>
        <v>0</v>
      </c>
      <c r="S78" s="100">
        <v>0</v>
      </c>
      <c r="U78" s="100">
        <v>0</v>
      </c>
      <c r="V78" s="5">
        <f t="shared" si="28"/>
        <v>17466.935429990408</v>
      </c>
      <c r="W78" s="5">
        <f t="shared" si="29"/>
        <v>38815.412066645345</v>
      </c>
    </row>
    <row r="79" spans="1:23" ht="13">
      <c r="A79" s="92">
        <v>1836</v>
      </c>
      <c r="B79" s="93" t="s">
        <v>642</v>
      </c>
      <c r="C79" s="574">
        <v>0.76580122785803373</v>
      </c>
      <c r="D79" s="100">
        <f t="shared" si="15"/>
        <v>31053.988120179714</v>
      </c>
      <c r="E79" s="100">
        <f t="shared" si="16"/>
        <v>35805.248302567212</v>
      </c>
      <c r="F79" s="100">
        <f t="shared" si="25"/>
        <v>5700.0735304859563</v>
      </c>
      <c r="G79" s="100">
        <f t="shared" si="17"/>
        <v>6572.1847806503074</v>
      </c>
      <c r="H79" s="100">
        <f t="shared" si="26"/>
        <v>1905.6490192988379</v>
      </c>
      <c r="I79" s="100">
        <f t="shared" si="18"/>
        <v>2197.2133192515603</v>
      </c>
      <c r="J79" s="100">
        <f t="shared" si="19"/>
        <v>1342.1112226231562</v>
      </c>
      <c r="K79" s="100">
        <f t="shared" si="20"/>
        <v>1547.454239684499</v>
      </c>
      <c r="L79" s="101">
        <f t="shared" si="21"/>
        <v>8119.6390203348064</v>
      </c>
      <c r="M79" s="100">
        <f t="shared" si="22"/>
        <v>43924.887322902017</v>
      </c>
      <c r="N79" s="102">
        <f t="shared" si="23"/>
        <v>38096.17287328883</v>
      </c>
      <c r="O79" s="94">
        <f t="shared" si="24"/>
        <v>0.93946374456485304</v>
      </c>
      <c r="P79" s="100">
        <f>'K22'!C73</f>
        <v>1153</v>
      </c>
      <c r="Q79" s="100"/>
      <c r="R79" s="100">
        <f t="shared" si="27"/>
        <v>0</v>
      </c>
      <c r="S79" s="100">
        <v>0</v>
      </c>
      <c r="U79" s="100">
        <v>1077.7576666666666</v>
      </c>
      <c r="V79" s="5">
        <f t="shared" si="28"/>
        <v>34727.490635900547</v>
      </c>
      <c r="W79" s="5">
        <f t="shared" si="29"/>
        <v>30119.24599817914</v>
      </c>
    </row>
    <row r="80" spans="1:23" ht="13">
      <c r="A80" s="92">
        <v>1837</v>
      </c>
      <c r="B80" s="93" t="s">
        <v>643</v>
      </c>
      <c r="C80" s="574">
        <v>0.8552426197612053</v>
      </c>
      <c r="D80" s="100">
        <f t="shared" si="15"/>
        <v>34680.923962764093</v>
      </c>
      <c r="E80" s="100">
        <f t="shared" si="16"/>
        <v>215507.26150461609</v>
      </c>
      <c r="F80" s="100">
        <f t="shared" si="25"/>
        <v>3523.9120249353291</v>
      </c>
      <c r="G80" s="100">
        <f t="shared" si="17"/>
        <v>21897.589322948137</v>
      </c>
      <c r="H80" s="100">
        <f t="shared" si="26"/>
        <v>636.22147439430546</v>
      </c>
      <c r="I80" s="100">
        <f t="shared" si="18"/>
        <v>3953.4802418862146</v>
      </c>
      <c r="J80" s="100">
        <f t="shared" si="19"/>
        <v>72.683677718623699</v>
      </c>
      <c r="K80" s="100">
        <f t="shared" si="20"/>
        <v>451.65637334352766</v>
      </c>
      <c r="L80" s="101">
        <f t="shared" si="21"/>
        <v>22349.245696291666</v>
      </c>
      <c r="M80" s="100">
        <f t="shared" si="22"/>
        <v>237856.50720090774</v>
      </c>
      <c r="N80" s="102">
        <f t="shared" si="23"/>
        <v>38277.519665418047</v>
      </c>
      <c r="O80" s="94">
        <f t="shared" si="24"/>
        <v>0.9439358141600116</v>
      </c>
      <c r="P80" s="100">
        <f>'K22'!C74</f>
        <v>6214</v>
      </c>
      <c r="Q80" s="100"/>
      <c r="R80" s="100">
        <f t="shared" si="27"/>
        <v>0</v>
      </c>
      <c r="S80" s="100">
        <v>0</v>
      </c>
      <c r="U80" s="100">
        <v>20925.335000000003</v>
      </c>
      <c r="V80" s="5">
        <f t="shared" si="28"/>
        <v>194581.9265046161</v>
      </c>
      <c r="W80" s="5">
        <f t="shared" si="29"/>
        <v>31313.473850115242</v>
      </c>
    </row>
    <row r="81" spans="1:23" ht="13">
      <c r="A81" s="92">
        <v>1838</v>
      </c>
      <c r="B81" s="93" t="s">
        <v>644</v>
      </c>
      <c r="C81" s="574">
        <v>0.8132066332142025</v>
      </c>
      <c r="D81" s="100">
        <f t="shared" si="15"/>
        <v>32976.323631289233</v>
      </c>
      <c r="E81" s="100">
        <f t="shared" si="16"/>
        <v>62457.156957661806</v>
      </c>
      <c r="F81" s="100">
        <f t="shared" si="25"/>
        <v>4546.6722238202447</v>
      </c>
      <c r="G81" s="100">
        <f t="shared" si="17"/>
        <v>8611.3971919155429</v>
      </c>
      <c r="H81" s="100">
        <f t="shared" si="26"/>
        <v>1232.8315904105064</v>
      </c>
      <c r="I81" s="100">
        <f t="shared" si="18"/>
        <v>2334.9830322374992</v>
      </c>
      <c r="J81" s="100">
        <f t="shared" si="19"/>
        <v>669.29379373482459</v>
      </c>
      <c r="K81" s="100">
        <f t="shared" si="20"/>
        <v>1267.6424453337577</v>
      </c>
      <c r="L81" s="101">
        <f t="shared" si="21"/>
        <v>9879.0396372493014</v>
      </c>
      <c r="M81" s="100">
        <f t="shared" si="22"/>
        <v>72336.196594911104</v>
      </c>
      <c r="N81" s="102">
        <f t="shared" si="23"/>
        <v>38192.2896488443</v>
      </c>
      <c r="O81" s="94">
        <f t="shared" si="24"/>
        <v>0.94183401483266138</v>
      </c>
      <c r="P81" s="100">
        <f>'K22'!C75</f>
        <v>1894</v>
      </c>
      <c r="Q81" s="100"/>
      <c r="R81" s="100">
        <f t="shared" si="27"/>
        <v>0</v>
      </c>
      <c r="S81" s="100">
        <v>0</v>
      </c>
      <c r="U81" s="100">
        <v>3557.0426666666667</v>
      </c>
      <c r="V81" s="5">
        <f t="shared" si="28"/>
        <v>58900.114290995138</v>
      </c>
      <c r="W81" s="5">
        <f t="shared" si="29"/>
        <v>31098.265201158996</v>
      </c>
    </row>
    <row r="82" spans="1:23" ht="13">
      <c r="A82" s="92">
        <v>1839</v>
      </c>
      <c r="B82" s="93" t="s">
        <v>645</v>
      </c>
      <c r="C82" s="574">
        <v>0.77919839443467276</v>
      </c>
      <c r="D82" s="100">
        <f t="shared" si="15"/>
        <v>31597.256316391256</v>
      </c>
      <c r="E82" s="100">
        <f t="shared" si="16"/>
        <v>31976.423392187953</v>
      </c>
      <c r="F82" s="100">
        <f t="shared" si="25"/>
        <v>5374.1126127590305</v>
      </c>
      <c r="G82" s="100">
        <f t="shared" si="17"/>
        <v>5438.6019641121393</v>
      </c>
      <c r="H82" s="100">
        <f t="shared" si="26"/>
        <v>1715.5051506247983</v>
      </c>
      <c r="I82" s="100">
        <f t="shared" si="18"/>
        <v>1736.0912124322958</v>
      </c>
      <c r="J82" s="100">
        <f t="shared" si="19"/>
        <v>1151.9673539491164</v>
      </c>
      <c r="K82" s="100">
        <f t="shared" si="20"/>
        <v>1165.7909621965059</v>
      </c>
      <c r="L82" s="101">
        <f t="shared" si="21"/>
        <v>6604.3929263086447</v>
      </c>
      <c r="M82" s="100">
        <f t="shared" si="22"/>
        <v>38580.816318496596</v>
      </c>
      <c r="N82" s="102">
        <f t="shared" si="23"/>
        <v>38123.336283099408</v>
      </c>
      <c r="O82" s="94">
        <f t="shared" si="24"/>
        <v>0.94013360289368508</v>
      </c>
      <c r="P82" s="100">
        <f>'K22'!C76</f>
        <v>1012</v>
      </c>
      <c r="Q82" s="100"/>
      <c r="R82" s="100">
        <f t="shared" si="27"/>
        <v>0</v>
      </c>
      <c r="S82" s="100">
        <v>0</v>
      </c>
      <c r="U82" s="100">
        <v>6980.3779999999997</v>
      </c>
      <c r="V82" s="5">
        <f t="shared" si="28"/>
        <v>24996.045392187953</v>
      </c>
      <c r="W82" s="5">
        <f t="shared" si="29"/>
        <v>24699.649597023668</v>
      </c>
    </row>
    <row r="83" spans="1:23" ht="13">
      <c r="A83" s="92">
        <v>1840</v>
      </c>
      <c r="B83" s="93" t="s">
        <v>646</v>
      </c>
      <c r="C83" s="574">
        <v>0.72076313757743316</v>
      </c>
      <c r="D83" s="100">
        <f t="shared" si="15"/>
        <v>29227.649548692556</v>
      </c>
      <c r="E83" s="100">
        <f t="shared" si="16"/>
        <v>134944.05796631353</v>
      </c>
      <c r="F83" s="100">
        <f t="shared" si="25"/>
        <v>6795.8766733782513</v>
      </c>
      <c r="G83" s="100">
        <f t="shared" si="17"/>
        <v>31376.562600987385</v>
      </c>
      <c r="H83" s="100">
        <f t="shared" si="26"/>
        <v>2544.867519319343</v>
      </c>
      <c r="I83" s="100">
        <f t="shared" si="18"/>
        <v>11749.653336697407</v>
      </c>
      <c r="J83" s="100">
        <f t="shared" si="19"/>
        <v>1981.3297226436612</v>
      </c>
      <c r="K83" s="100">
        <f t="shared" si="20"/>
        <v>9147.7993294457829</v>
      </c>
      <c r="L83" s="101">
        <f t="shared" si="21"/>
        <v>40524.361930433166</v>
      </c>
      <c r="M83" s="100">
        <f t="shared" si="22"/>
        <v>175468.41989674669</v>
      </c>
      <c r="N83" s="102">
        <f t="shared" si="23"/>
        <v>38004.855944714465</v>
      </c>
      <c r="O83" s="94">
        <f t="shared" si="24"/>
        <v>0.93721184005082292</v>
      </c>
      <c r="P83" s="100">
        <f>'K22'!C77</f>
        <v>4617</v>
      </c>
      <c r="Q83" s="100"/>
      <c r="R83" s="100">
        <f t="shared" si="27"/>
        <v>0</v>
      </c>
      <c r="S83" s="100">
        <v>0</v>
      </c>
      <c r="U83" s="100">
        <v>648.86866666666674</v>
      </c>
      <c r="V83" s="5">
        <f t="shared" si="28"/>
        <v>134295.18929964685</v>
      </c>
      <c r="W83" s="5">
        <f t="shared" si="29"/>
        <v>29087.110526239303</v>
      </c>
    </row>
    <row r="84" spans="1:23" ht="13">
      <c r="A84" s="92">
        <v>1841</v>
      </c>
      <c r="B84" s="93" t="s">
        <v>647</v>
      </c>
      <c r="C84" s="574">
        <v>0.82510786242813028</v>
      </c>
      <c r="D84" s="100">
        <f t="shared" si="15"/>
        <v>33458.930105633204</v>
      </c>
      <c r="E84" s="100">
        <f t="shared" si="16"/>
        <v>321306.10580439569</v>
      </c>
      <c r="F84" s="100">
        <f t="shared" si="25"/>
        <v>4257.1083392138617</v>
      </c>
      <c r="G84" s="100">
        <f t="shared" si="17"/>
        <v>40881.011381470707</v>
      </c>
      <c r="H84" s="100">
        <f t="shared" si="26"/>
        <v>1063.9193243901166</v>
      </c>
      <c r="I84" s="100">
        <f t="shared" si="18"/>
        <v>10216.817272118289</v>
      </c>
      <c r="J84" s="100">
        <f t="shared" si="19"/>
        <v>500.38152771443481</v>
      </c>
      <c r="K84" s="100">
        <f t="shared" si="20"/>
        <v>4805.1638106417167</v>
      </c>
      <c r="L84" s="101">
        <f t="shared" si="21"/>
        <v>45686.175192112423</v>
      </c>
      <c r="M84" s="100">
        <f t="shared" si="22"/>
        <v>366992.28099650814</v>
      </c>
      <c r="N84" s="102">
        <f t="shared" si="23"/>
        <v>38216.419972561504</v>
      </c>
      <c r="O84" s="94">
        <f t="shared" si="24"/>
        <v>0.94242907629335793</v>
      </c>
      <c r="P84" s="100">
        <f>'K22'!C78</f>
        <v>9603</v>
      </c>
      <c r="Q84" s="100"/>
      <c r="R84" s="100">
        <f t="shared" si="27"/>
        <v>0</v>
      </c>
      <c r="S84" s="100">
        <v>0</v>
      </c>
      <c r="U84" s="100">
        <v>12667.063</v>
      </c>
      <c r="V84" s="5">
        <f t="shared" si="28"/>
        <v>308639.04280439566</v>
      </c>
      <c r="W84" s="5">
        <f t="shared" si="29"/>
        <v>32139.856586941132</v>
      </c>
    </row>
    <row r="85" spans="1:23" ht="13">
      <c r="A85" s="92">
        <v>1845</v>
      </c>
      <c r="B85" s="93" t="s">
        <v>648</v>
      </c>
      <c r="C85" s="574">
        <v>0.88951327919685486</v>
      </c>
      <c r="D85" s="100">
        <f t="shared" si="15"/>
        <v>36070.632691701619</v>
      </c>
      <c r="E85" s="100">
        <f t="shared" si="16"/>
        <v>67416.012500790326</v>
      </c>
      <c r="F85" s="100">
        <f t="shared" si="25"/>
        <v>2690.0867875728131</v>
      </c>
      <c r="G85" s="100">
        <f t="shared" si="17"/>
        <v>5027.7722059735879</v>
      </c>
      <c r="H85" s="100">
        <f t="shared" si="26"/>
        <v>149.82341926617119</v>
      </c>
      <c r="I85" s="100">
        <f t="shared" si="18"/>
        <v>280.01997060847395</v>
      </c>
      <c r="J85" s="100">
        <f t="shared" si="19"/>
        <v>-413.71437740951058</v>
      </c>
      <c r="K85" s="100">
        <f t="shared" si="20"/>
        <v>-773.23217137837526</v>
      </c>
      <c r="L85" s="101">
        <f t="shared" si="21"/>
        <v>4254.540034595213</v>
      </c>
      <c r="M85" s="100">
        <f t="shared" si="22"/>
        <v>71670.552535385534</v>
      </c>
      <c r="N85" s="102">
        <f t="shared" si="23"/>
        <v>38347.005101864917</v>
      </c>
      <c r="O85" s="94">
        <f t="shared" si="24"/>
        <v>0.94564934713179394</v>
      </c>
      <c r="P85" s="100">
        <f>'K22'!C79</f>
        <v>1869</v>
      </c>
      <c r="Q85" s="100"/>
      <c r="R85" s="100">
        <f t="shared" si="27"/>
        <v>0</v>
      </c>
      <c r="S85" s="100">
        <v>0</v>
      </c>
      <c r="U85" s="100">
        <v>15455.066666666666</v>
      </c>
      <c r="V85" s="5">
        <f t="shared" si="28"/>
        <v>51960.94583412366</v>
      </c>
      <c r="W85" s="5">
        <f t="shared" si="29"/>
        <v>27801.469146133582</v>
      </c>
    </row>
    <row r="86" spans="1:23" ht="13">
      <c r="A86" s="92">
        <v>1848</v>
      </c>
      <c r="B86" s="93" t="s">
        <v>649</v>
      </c>
      <c r="C86" s="574">
        <v>0.81285424214148916</v>
      </c>
      <c r="D86" s="100">
        <f t="shared" si="15"/>
        <v>32962.033828938947</v>
      </c>
      <c r="E86" s="100">
        <f t="shared" si="16"/>
        <v>85404.629650780815</v>
      </c>
      <c r="F86" s="100">
        <f t="shared" si="25"/>
        <v>4555.2461052304161</v>
      </c>
      <c r="G86" s="100">
        <f t="shared" si="17"/>
        <v>11802.642658652008</v>
      </c>
      <c r="H86" s="100">
        <f t="shared" si="26"/>
        <v>1237.8330212331064</v>
      </c>
      <c r="I86" s="100">
        <f t="shared" si="18"/>
        <v>3207.2253580149786</v>
      </c>
      <c r="J86" s="100">
        <f t="shared" si="19"/>
        <v>674.2952245574246</v>
      </c>
      <c r="K86" s="100">
        <f t="shared" si="20"/>
        <v>1747.0989268282872</v>
      </c>
      <c r="L86" s="101">
        <f t="shared" si="21"/>
        <v>13549.741585480295</v>
      </c>
      <c r="M86" s="100">
        <f t="shared" si="22"/>
        <v>98954.371236261111</v>
      </c>
      <c r="N86" s="102">
        <f t="shared" si="23"/>
        <v>38191.575158726788</v>
      </c>
      <c r="O86" s="94">
        <f t="shared" si="24"/>
        <v>0.94181639527902583</v>
      </c>
      <c r="P86" s="100">
        <f>'K22'!C80</f>
        <v>2591</v>
      </c>
      <c r="Q86" s="100"/>
      <c r="R86" s="100">
        <f t="shared" si="27"/>
        <v>0</v>
      </c>
      <c r="S86" s="100">
        <v>0</v>
      </c>
      <c r="U86" s="100">
        <v>64.333333333333329</v>
      </c>
      <c r="V86" s="5">
        <f t="shared" si="28"/>
        <v>85340.296317447486</v>
      </c>
      <c r="W86" s="5">
        <f t="shared" si="29"/>
        <v>32937.204290794092</v>
      </c>
    </row>
    <row r="87" spans="1:23" ht="13">
      <c r="A87" s="92">
        <v>1851</v>
      </c>
      <c r="B87" s="93" t="s">
        <v>651</v>
      </c>
      <c r="C87" s="574">
        <v>0.81228157830933811</v>
      </c>
      <c r="D87" s="100">
        <f t="shared" si="15"/>
        <v>32938.811750945919</v>
      </c>
      <c r="E87" s="100">
        <f t="shared" si="16"/>
        <v>65087.092019869131</v>
      </c>
      <c r="F87" s="100">
        <f t="shared" si="25"/>
        <v>4569.1793520262336</v>
      </c>
      <c r="G87" s="100">
        <f t="shared" si="17"/>
        <v>9028.698399603838</v>
      </c>
      <c r="H87" s="100">
        <f t="shared" si="26"/>
        <v>1245.9607485306663</v>
      </c>
      <c r="I87" s="100">
        <f t="shared" si="18"/>
        <v>2462.0184390965965</v>
      </c>
      <c r="J87" s="100">
        <f t="shared" si="19"/>
        <v>682.42295185498449</v>
      </c>
      <c r="K87" s="100">
        <f t="shared" si="20"/>
        <v>1348.4677528654493</v>
      </c>
      <c r="L87" s="101">
        <f t="shared" si="21"/>
        <v>10377.166152469286</v>
      </c>
      <c r="M87" s="100">
        <f t="shared" si="22"/>
        <v>75464.258172338406</v>
      </c>
      <c r="N87" s="102">
        <f t="shared" si="23"/>
        <v>38190.414054827132</v>
      </c>
      <c r="O87" s="94">
        <f t="shared" si="24"/>
        <v>0.9417877620874181</v>
      </c>
      <c r="P87" s="100">
        <f>'K22'!C81</f>
        <v>1976</v>
      </c>
      <c r="Q87" s="100"/>
      <c r="R87" s="100">
        <f t="shared" si="27"/>
        <v>0</v>
      </c>
      <c r="S87" s="100">
        <v>0</v>
      </c>
      <c r="U87" s="100">
        <v>0</v>
      </c>
      <c r="V87" s="5">
        <f t="shared" si="28"/>
        <v>65087.092019869131</v>
      </c>
      <c r="W87" s="5">
        <f t="shared" si="29"/>
        <v>32938.811750945919</v>
      </c>
    </row>
    <row r="88" spans="1:23" ht="13">
      <c r="A88" s="92">
        <v>1853</v>
      </c>
      <c r="B88" s="93" t="s">
        <v>653</v>
      </c>
      <c r="C88" s="574">
        <v>0.67450650184832095</v>
      </c>
      <c r="D88" s="100">
        <f t="shared" si="15"/>
        <v>27351.897768522227</v>
      </c>
      <c r="E88" s="100">
        <f t="shared" si="16"/>
        <v>36487.431623208649</v>
      </c>
      <c r="F88" s="100">
        <f t="shared" si="25"/>
        <v>7921.3277414804479</v>
      </c>
      <c r="G88" s="100">
        <f t="shared" si="17"/>
        <v>10567.051207134917</v>
      </c>
      <c r="H88" s="100">
        <f t="shared" si="26"/>
        <v>3201.3806423789583</v>
      </c>
      <c r="I88" s="100">
        <f t="shared" si="18"/>
        <v>4270.6417769335303</v>
      </c>
      <c r="J88" s="100">
        <f t="shared" si="19"/>
        <v>2637.8428457032765</v>
      </c>
      <c r="K88" s="100">
        <f t="shared" si="20"/>
        <v>3518.8823561681711</v>
      </c>
      <c r="L88" s="101">
        <f t="shared" si="21"/>
        <v>14085.933563303088</v>
      </c>
      <c r="M88" s="100">
        <f t="shared" si="22"/>
        <v>50573.365186511735</v>
      </c>
      <c r="N88" s="102">
        <f t="shared" si="23"/>
        <v>37911.068355705946</v>
      </c>
      <c r="O88" s="94">
        <f t="shared" si="24"/>
        <v>0.93489900826436723</v>
      </c>
      <c r="P88" s="100">
        <f>'K22'!C82</f>
        <v>1334</v>
      </c>
      <c r="Q88" s="100"/>
      <c r="R88" s="100">
        <f t="shared" si="27"/>
        <v>0</v>
      </c>
      <c r="S88" s="100">
        <v>0</v>
      </c>
      <c r="U88" s="100">
        <v>770.24800000000005</v>
      </c>
      <c r="V88" s="5">
        <f t="shared" si="28"/>
        <v>35717.18362320865</v>
      </c>
      <c r="W88" s="5">
        <f t="shared" si="29"/>
        <v>26774.5004671729</v>
      </c>
    </row>
    <row r="89" spans="1:23" ht="13">
      <c r="A89" s="92">
        <v>1856</v>
      </c>
      <c r="B89" s="93" t="s">
        <v>654</v>
      </c>
      <c r="C89" s="574">
        <v>1.1223522874443916</v>
      </c>
      <c r="D89" s="100">
        <f t="shared" si="15"/>
        <v>45512.482003248893</v>
      </c>
      <c r="E89" s="100">
        <f t="shared" si="16"/>
        <v>21345.354059523732</v>
      </c>
      <c r="F89" s="100">
        <f t="shared" si="25"/>
        <v>-2975.0227993555513</v>
      </c>
      <c r="G89" s="100">
        <f t="shared" si="17"/>
        <v>-1395.2856928977535</v>
      </c>
      <c r="H89" s="100">
        <f t="shared" si="26"/>
        <v>0</v>
      </c>
      <c r="I89" s="100">
        <f t="shared" si="18"/>
        <v>0</v>
      </c>
      <c r="J89" s="100">
        <f t="shared" si="19"/>
        <v>-563.53779667568176</v>
      </c>
      <c r="K89" s="100">
        <f t="shared" si="20"/>
        <v>-264.29922664089474</v>
      </c>
      <c r="L89" s="101">
        <f t="shared" si="21"/>
        <v>-1659.5849195386481</v>
      </c>
      <c r="M89" s="100">
        <f t="shared" si="22"/>
        <v>19685.769139985085</v>
      </c>
      <c r="N89" s="102">
        <f t="shared" si="23"/>
        <v>41973.921407217662</v>
      </c>
      <c r="O89" s="94">
        <f t="shared" si="24"/>
        <v>1.0350902572406171</v>
      </c>
      <c r="P89" s="100">
        <f>'K22'!C83</f>
        <v>469</v>
      </c>
      <c r="Q89" s="100"/>
      <c r="R89" s="100">
        <f t="shared" si="27"/>
        <v>0</v>
      </c>
      <c r="S89" s="100">
        <v>0</v>
      </c>
      <c r="U89" s="100">
        <v>0</v>
      </c>
      <c r="V89" s="5">
        <f t="shared" si="28"/>
        <v>21345.354059523732</v>
      </c>
      <c r="W89" s="5">
        <f t="shared" si="29"/>
        <v>45512.482003248893</v>
      </c>
    </row>
    <row r="90" spans="1:23" ht="13">
      <c r="A90" s="92">
        <v>1857</v>
      </c>
      <c r="B90" s="93" t="s">
        <v>655</v>
      </c>
      <c r="C90" s="574">
        <v>1.0011696596615529</v>
      </c>
      <c r="D90" s="100">
        <f t="shared" si="15"/>
        <v>40598.408028640348</v>
      </c>
      <c r="E90" s="100">
        <f t="shared" si="16"/>
        <v>27525.720643418157</v>
      </c>
      <c r="F90" s="100">
        <f t="shared" si="25"/>
        <v>-26.578414590423925</v>
      </c>
      <c r="G90" s="100">
        <f t="shared" si="17"/>
        <v>-18.020165092307423</v>
      </c>
      <c r="H90" s="100">
        <f t="shared" si="26"/>
        <v>0</v>
      </c>
      <c r="I90" s="100">
        <f t="shared" si="18"/>
        <v>0</v>
      </c>
      <c r="J90" s="100">
        <f t="shared" si="19"/>
        <v>-563.53779667568176</v>
      </c>
      <c r="K90" s="100">
        <f t="shared" si="20"/>
        <v>-382.07862614611224</v>
      </c>
      <c r="L90" s="101">
        <f t="shared" si="21"/>
        <v>-400.09879123841966</v>
      </c>
      <c r="M90" s="100">
        <f t="shared" si="22"/>
        <v>27125.621852179738</v>
      </c>
      <c r="N90" s="102">
        <f t="shared" si="23"/>
        <v>40008.291817374244</v>
      </c>
      <c r="O90" s="94">
        <f t="shared" si="24"/>
        <v>0.98661720612748161</v>
      </c>
      <c r="P90" s="100">
        <f>'K22'!C84</f>
        <v>678</v>
      </c>
      <c r="Q90" s="100"/>
      <c r="R90" s="100">
        <f t="shared" si="27"/>
        <v>0</v>
      </c>
      <c r="S90" s="100">
        <v>0</v>
      </c>
      <c r="U90" s="100">
        <v>0</v>
      </c>
      <c r="V90" s="5">
        <f t="shared" si="28"/>
        <v>27525.720643418157</v>
      </c>
      <c r="W90" s="5">
        <f t="shared" si="29"/>
        <v>40598.408028640348</v>
      </c>
    </row>
    <row r="91" spans="1:23" ht="13">
      <c r="A91" s="92">
        <v>1859</v>
      </c>
      <c r="B91" s="93" t="s">
        <v>656</v>
      </c>
      <c r="C91" s="574">
        <v>0.9135680003301675</v>
      </c>
      <c r="D91" s="100">
        <f t="shared" si="15"/>
        <v>37046.075139603527</v>
      </c>
      <c r="E91" s="100">
        <f t="shared" si="16"/>
        <v>45048.027369757889</v>
      </c>
      <c r="F91" s="100">
        <f t="shared" si="25"/>
        <v>2104.8213188316686</v>
      </c>
      <c r="G91" s="100">
        <f t="shared" si="17"/>
        <v>2559.4627236993088</v>
      </c>
      <c r="H91" s="100">
        <f t="shared" si="26"/>
        <v>0</v>
      </c>
      <c r="I91" s="100">
        <f t="shared" si="18"/>
        <v>0</v>
      </c>
      <c r="J91" s="100">
        <f t="shared" si="19"/>
        <v>-563.53779667568176</v>
      </c>
      <c r="K91" s="100">
        <f t="shared" si="20"/>
        <v>-685.26196075762903</v>
      </c>
      <c r="L91" s="101">
        <f t="shared" si="21"/>
        <v>1874.2007629416798</v>
      </c>
      <c r="M91" s="100">
        <f t="shared" si="22"/>
        <v>46922.228132699573</v>
      </c>
      <c r="N91" s="102">
        <f t="shared" si="23"/>
        <v>38587.358661759514</v>
      </c>
      <c r="O91" s="94">
        <f t="shared" si="24"/>
        <v>0.95157654239492739</v>
      </c>
      <c r="P91" s="100">
        <f>'K22'!C85</f>
        <v>1216</v>
      </c>
      <c r="Q91" s="100"/>
      <c r="R91" s="100">
        <f t="shared" si="27"/>
        <v>0</v>
      </c>
      <c r="S91" s="100">
        <v>0</v>
      </c>
      <c r="U91" s="100">
        <v>0</v>
      </c>
      <c r="V91" s="5">
        <f t="shared" si="28"/>
        <v>45048.027369757889</v>
      </c>
      <c r="W91" s="5">
        <f t="shared" si="29"/>
        <v>37046.075139603527</v>
      </c>
    </row>
    <row r="92" spans="1:23" ht="13">
      <c r="A92" s="92">
        <v>1860</v>
      </c>
      <c r="B92" s="93" t="s">
        <v>657</v>
      </c>
      <c r="C92" s="574">
        <v>0.792138062472446</v>
      </c>
      <c r="D92" s="100">
        <f t="shared" si="15"/>
        <v>32121.972499790441</v>
      </c>
      <c r="E92" s="100">
        <f t="shared" si="16"/>
        <v>371522.73393257626</v>
      </c>
      <c r="F92" s="100">
        <f t="shared" si="25"/>
        <v>5059.2829027195194</v>
      </c>
      <c r="G92" s="100">
        <f t="shared" si="17"/>
        <v>58515.666052853965</v>
      </c>
      <c r="H92" s="100">
        <f t="shared" si="26"/>
        <v>1531.8544864350833</v>
      </c>
      <c r="I92" s="100">
        <f t="shared" si="18"/>
        <v>17717.428990108172</v>
      </c>
      <c r="J92" s="100">
        <f t="shared" si="19"/>
        <v>968.31668975940158</v>
      </c>
      <c r="K92" s="100">
        <f t="shared" si="20"/>
        <v>11199.550833757239</v>
      </c>
      <c r="L92" s="101">
        <f t="shared" si="21"/>
        <v>69715.216886611204</v>
      </c>
      <c r="M92" s="100">
        <f t="shared" si="22"/>
        <v>441237.95081918751</v>
      </c>
      <c r="N92" s="102">
        <f t="shared" si="23"/>
        <v>38149.572092269365</v>
      </c>
      <c r="O92" s="94">
        <f t="shared" si="24"/>
        <v>0.94078058629557371</v>
      </c>
      <c r="P92" s="100">
        <f>'K22'!C86</f>
        <v>11566</v>
      </c>
      <c r="Q92" s="100"/>
      <c r="R92" s="100">
        <f t="shared" si="27"/>
        <v>0</v>
      </c>
      <c r="S92" s="100">
        <v>0</v>
      </c>
      <c r="U92" s="100">
        <v>0</v>
      </c>
      <c r="V92" s="5">
        <f t="shared" si="28"/>
        <v>371522.73393257626</v>
      </c>
      <c r="W92" s="5">
        <f t="shared" si="29"/>
        <v>32121.972499790441</v>
      </c>
    </row>
    <row r="93" spans="1:23" ht="13">
      <c r="A93" s="92">
        <v>1865</v>
      </c>
      <c r="B93" s="93" t="s">
        <v>658</v>
      </c>
      <c r="C93" s="574">
        <v>0.92178270211426216</v>
      </c>
      <c r="D93" s="100">
        <f t="shared" si="15"/>
        <v>37379.189324243336</v>
      </c>
      <c r="E93" s="100">
        <f t="shared" si="16"/>
        <v>363475.2369889422</v>
      </c>
      <c r="F93" s="100">
        <f t="shared" si="25"/>
        <v>1904.952808047783</v>
      </c>
      <c r="G93" s="100">
        <f t="shared" si="17"/>
        <v>18523.761105456644</v>
      </c>
      <c r="H93" s="100">
        <f t="shared" si="26"/>
        <v>0</v>
      </c>
      <c r="I93" s="100">
        <f t="shared" si="18"/>
        <v>0</v>
      </c>
      <c r="J93" s="100">
        <f t="shared" si="19"/>
        <v>-563.53779667568176</v>
      </c>
      <c r="K93" s="100">
        <f t="shared" si="20"/>
        <v>-5479.8415348743292</v>
      </c>
      <c r="L93" s="101">
        <f t="shared" si="21"/>
        <v>13043.919570582315</v>
      </c>
      <c r="M93" s="100">
        <f t="shared" si="22"/>
        <v>376519.15655952448</v>
      </c>
      <c r="N93" s="102">
        <f t="shared" si="23"/>
        <v>38720.604335615433</v>
      </c>
      <c r="O93" s="94">
        <f t="shared" si="24"/>
        <v>0.95486242310856517</v>
      </c>
      <c r="P93" s="100">
        <f>'K22'!C87</f>
        <v>9724</v>
      </c>
      <c r="Q93" s="100"/>
      <c r="R93" s="100">
        <f t="shared" si="27"/>
        <v>0</v>
      </c>
      <c r="S93" s="100">
        <v>0</v>
      </c>
      <c r="U93" s="100">
        <v>0</v>
      </c>
      <c r="V93" s="5">
        <f t="shared" si="28"/>
        <v>363475.2369889422</v>
      </c>
      <c r="W93" s="5">
        <f t="shared" si="29"/>
        <v>37379.189324243336</v>
      </c>
    </row>
    <row r="94" spans="1:23" ht="13">
      <c r="A94" s="92">
        <v>1866</v>
      </c>
      <c r="B94" s="93" t="s">
        <v>659</v>
      </c>
      <c r="C94" s="574">
        <v>0.91859864577340411</v>
      </c>
      <c r="D94" s="100">
        <f t="shared" si="15"/>
        <v>37250.072728205028</v>
      </c>
      <c r="E94" s="100">
        <f t="shared" si="16"/>
        <v>301986.33960755821</v>
      </c>
      <c r="F94" s="100">
        <f t="shared" si="25"/>
        <v>1982.4227656707676</v>
      </c>
      <c r="G94" s="100">
        <f t="shared" si="17"/>
        <v>16071.501361292914</v>
      </c>
      <c r="H94" s="100">
        <f t="shared" si="26"/>
        <v>0</v>
      </c>
      <c r="I94" s="100">
        <f t="shared" si="18"/>
        <v>0</v>
      </c>
      <c r="J94" s="100">
        <f t="shared" si="19"/>
        <v>-563.53779667568176</v>
      </c>
      <c r="K94" s="100">
        <f t="shared" si="20"/>
        <v>-4568.6009176497528</v>
      </c>
      <c r="L94" s="101">
        <f t="shared" si="21"/>
        <v>11502.900443643161</v>
      </c>
      <c r="M94" s="100">
        <f t="shared" si="22"/>
        <v>313489.24005120137</v>
      </c>
      <c r="N94" s="102">
        <f t="shared" si="23"/>
        <v>38668.957697200116</v>
      </c>
      <c r="O94" s="94">
        <f t="shared" si="24"/>
        <v>0.95358880057222206</v>
      </c>
      <c r="P94" s="100">
        <f>'K22'!C88</f>
        <v>8107</v>
      </c>
      <c r="Q94" s="100"/>
      <c r="R94" s="100">
        <f t="shared" si="27"/>
        <v>0</v>
      </c>
      <c r="S94" s="100">
        <v>0</v>
      </c>
      <c r="U94" s="100">
        <v>0</v>
      </c>
      <c r="V94" s="5">
        <f t="shared" si="28"/>
        <v>301986.33960755821</v>
      </c>
      <c r="W94" s="5">
        <f t="shared" si="29"/>
        <v>37250.072728205028</v>
      </c>
    </row>
    <row r="95" spans="1:23" ht="13">
      <c r="A95" s="92">
        <v>1867</v>
      </c>
      <c r="B95" s="93" t="s">
        <v>474</v>
      </c>
      <c r="C95" s="574">
        <v>0.9842025594553091</v>
      </c>
      <c r="D95" s="100">
        <f t="shared" si="15"/>
        <v>39910.375535257779</v>
      </c>
      <c r="E95" s="100">
        <f t="shared" si="16"/>
        <v>102370.1132479362</v>
      </c>
      <c r="F95" s="100">
        <f t="shared" si="25"/>
        <v>-3590.3671056953858</v>
      </c>
      <c r="G95" s="100">
        <f t="shared" si="17"/>
        <v>-9209.2916261086648</v>
      </c>
      <c r="H95" s="100">
        <f t="shared" si="26"/>
        <v>0</v>
      </c>
      <c r="I95" s="100">
        <f t="shared" si="18"/>
        <v>0</v>
      </c>
      <c r="J95" s="100">
        <f t="shared" si="19"/>
        <v>-563.53779667568176</v>
      </c>
      <c r="K95" s="100">
        <f t="shared" si="20"/>
        <v>-1445.4744484731239</v>
      </c>
      <c r="L95" s="101">
        <f>K95+G95</f>
        <v>-10654.766074581788</v>
      </c>
      <c r="M95" s="100">
        <f t="shared" si="22"/>
        <v>91715.347173354414</v>
      </c>
      <c r="N95" s="102">
        <f>M95*1000/P95</f>
        <v>35756.470632886711</v>
      </c>
      <c r="O95" s="94">
        <f>N95/N$367</f>
        <v>0.88176594286582399</v>
      </c>
      <c r="P95" s="100">
        <f>'K22'!C89</f>
        <v>2565</v>
      </c>
      <c r="Q95" s="100"/>
      <c r="R95" s="100">
        <f t="shared" si="27"/>
        <v>6627.6803118908383</v>
      </c>
      <c r="S95" s="100">
        <f>ROUNDDOWN(15000*1.025*1.15,-3)</f>
        <v>17000</v>
      </c>
      <c r="U95" s="100">
        <v>0</v>
      </c>
      <c r="V95" s="5">
        <f t="shared" si="28"/>
        <v>102370.1132479362</v>
      </c>
      <c r="W95" s="5">
        <f t="shared" si="29"/>
        <v>39910.375535257779</v>
      </c>
    </row>
    <row r="96" spans="1:23" ht="13">
      <c r="A96" s="92">
        <v>1868</v>
      </c>
      <c r="B96" s="93" t="s">
        <v>660</v>
      </c>
      <c r="C96" s="574">
        <v>0.85215895737280356</v>
      </c>
      <c r="D96" s="100">
        <f t="shared" si="15"/>
        <v>34555.878439601489</v>
      </c>
      <c r="E96" s="100">
        <f t="shared" si="16"/>
        <v>154050.10608374342</v>
      </c>
      <c r="F96" s="100">
        <f t="shared" si="25"/>
        <v>3598.9393388328913</v>
      </c>
      <c r="G96" s="100">
        <f t="shared" si="17"/>
        <v>16044.07157251703</v>
      </c>
      <c r="H96" s="100">
        <f t="shared" si="26"/>
        <v>679.98740750121681</v>
      </c>
      <c r="I96" s="100">
        <f t="shared" si="18"/>
        <v>3031.3838626404245</v>
      </c>
      <c r="J96" s="100">
        <f t="shared" si="19"/>
        <v>116.44961082553505</v>
      </c>
      <c r="K96" s="100">
        <f t="shared" si="20"/>
        <v>519.1323650602352</v>
      </c>
      <c r="L96" s="101">
        <f t="shared" si="21"/>
        <v>16563.203937577266</v>
      </c>
      <c r="M96" s="100">
        <f t="shared" si="22"/>
        <v>170613.31002132071</v>
      </c>
      <c r="N96" s="102">
        <f t="shared" si="23"/>
        <v>38271.267389259912</v>
      </c>
      <c r="O96" s="94">
        <f t="shared" si="24"/>
        <v>0.94378163104059143</v>
      </c>
      <c r="P96" s="100">
        <f>'K22'!C90</f>
        <v>4458</v>
      </c>
      <c r="Q96" s="100"/>
      <c r="R96" s="100">
        <f t="shared" si="27"/>
        <v>0</v>
      </c>
      <c r="S96" s="100">
        <v>0</v>
      </c>
      <c r="U96" s="100">
        <v>0</v>
      </c>
      <c r="V96" s="5">
        <f t="shared" si="28"/>
        <v>154050.10608374342</v>
      </c>
      <c r="W96" s="5">
        <f t="shared" si="29"/>
        <v>34555.878439601489</v>
      </c>
    </row>
    <row r="97" spans="1:23" ht="13">
      <c r="A97" s="92">
        <v>1870</v>
      </c>
      <c r="B97" s="93" t="s">
        <v>661</v>
      </c>
      <c r="C97" s="574">
        <v>0.86687625058865958</v>
      </c>
      <c r="D97" s="100">
        <f t="shared" si="15"/>
        <v>35152.679061043062</v>
      </c>
      <c r="E97" s="100">
        <f t="shared" si="16"/>
        <v>367978.24441099877</v>
      </c>
      <c r="F97" s="100">
        <f t="shared" si="25"/>
        <v>3240.8589659679478</v>
      </c>
      <c r="G97" s="100">
        <f t="shared" si="17"/>
        <v>33925.311655752477</v>
      </c>
      <c r="H97" s="100">
        <f t="shared" si="26"/>
        <v>471.10718999666636</v>
      </c>
      <c r="I97" s="100">
        <f t="shared" si="18"/>
        <v>4931.550064885103</v>
      </c>
      <c r="J97" s="100">
        <f t="shared" si="19"/>
        <v>-92.430606679015398</v>
      </c>
      <c r="K97" s="100">
        <f t="shared" si="20"/>
        <v>-967.56359071593317</v>
      </c>
      <c r="L97" s="101">
        <f t="shared" si="21"/>
        <v>32957.748065036547</v>
      </c>
      <c r="M97" s="100">
        <f t="shared" si="22"/>
        <v>400935.99247603532</v>
      </c>
      <c r="N97" s="102">
        <f t="shared" si="23"/>
        <v>38301.107420331995</v>
      </c>
      <c r="O97" s="94">
        <f t="shared" si="24"/>
        <v>0.94451749570138432</v>
      </c>
      <c r="P97" s="100">
        <f>'K22'!C91</f>
        <v>10468</v>
      </c>
      <c r="Q97" s="100"/>
      <c r="R97" s="100">
        <f t="shared" si="27"/>
        <v>0</v>
      </c>
      <c r="S97" s="100">
        <v>0</v>
      </c>
      <c r="U97" s="100">
        <v>0</v>
      </c>
      <c r="V97" s="5">
        <f t="shared" si="28"/>
        <v>367978.24441099877</v>
      </c>
      <c r="W97" s="5">
        <f t="shared" si="29"/>
        <v>35152.679061043062</v>
      </c>
    </row>
    <row r="98" spans="1:23" ht="13">
      <c r="A98" s="92">
        <v>1871</v>
      </c>
      <c r="B98" s="93" t="s">
        <v>662</v>
      </c>
      <c r="C98" s="574">
        <v>0.80940877383208065</v>
      </c>
      <c r="D98" s="100">
        <f t="shared" si="15"/>
        <v>32822.316722127696</v>
      </c>
      <c r="E98" s="100">
        <f t="shared" si="16"/>
        <v>150063.63205356782</v>
      </c>
      <c r="F98" s="100">
        <f t="shared" si="25"/>
        <v>4639.0763693171666</v>
      </c>
      <c r="G98" s="100">
        <f t="shared" si="17"/>
        <v>21209.857160518088</v>
      </c>
      <c r="H98" s="100">
        <f t="shared" si="26"/>
        <v>1286.7340086170443</v>
      </c>
      <c r="I98" s="100">
        <f t="shared" si="18"/>
        <v>5882.9478873971266</v>
      </c>
      <c r="J98" s="100">
        <f t="shared" si="19"/>
        <v>723.19621194136255</v>
      </c>
      <c r="K98" s="100">
        <f t="shared" si="20"/>
        <v>3306.4530809959092</v>
      </c>
      <c r="L98" s="101">
        <f t="shared" si="21"/>
        <v>24516.310241513998</v>
      </c>
      <c r="M98" s="100">
        <f t="shared" si="22"/>
        <v>174579.94229508183</v>
      </c>
      <c r="N98" s="102">
        <f t="shared" si="23"/>
        <v>38184.589303386223</v>
      </c>
      <c r="O98" s="94">
        <f t="shared" si="24"/>
        <v>0.94164412186355528</v>
      </c>
      <c r="P98" s="100">
        <f>'K22'!C92</f>
        <v>4572</v>
      </c>
      <c r="Q98" s="100"/>
      <c r="R98" s="100">
        <f t="shared" si="27"/>
        <v>0</v>
      </c>
      <c r="S98" s="100">
        <v>0</v>
      </c>
      <c r="U98" s="100">
        <v>0</v>
      </c>
      <c r="V98" s="5">
        <f t="shared" si="28"/>
        <v>150063.63205356782</v>
      </c>
      <c r="W98" s="5">
        <f t="shared" si="29"/>
        <v>32822.316722127696</v>
      </c>
    </row>
    <row r="99" spans="1:23" ht="13">
      <c r="A99" s="92">
        <v>1874</v>
      </c>
      <c r="B99" s="93" t="s">
        <v>663</v>
      </c>
      <c r="C99" s="574">
        <v>0.98512389843293113</v>
      </c>
      <c r="D99" s="100">
        <f t="shared" si="15"/>
        <v>39947.736731120262</v>
      </c>
      <c r="E99" s="100">
        <f t="shared" si="16"/>
        <v>39228.677469960094</v>
      </c>
      <c r="F99" s="100">
        <f t="shared" si="25"/>
        <v>363.82436392162782</v>
      </c>
      <c r="G99" s="100">
        <f t="shared" si="17"/>
        <v>357.27552537103855</v>
      </c>
      <c r="H99" s="100">
        <f t="shared" si="26"/>
        <v>0</v>
      </c>
      <c r="I99" s="100">
        <f t="shared" si="18"/>
        <v>0</v>
      </c>
      <c r="J99" s="100">
        <f t="shared" si="19"/>
        <v>-563.53779667568176</v>
      </c>
      <c r="K99" s="100">
        <f t="shared" si="20"/>
        <v>-553.39411633551947</v>
      </c>
      <c r="L99" s="101">
        <f t="shared" si="21"/>
        <v>-196.11859096448092</v>
      </c>
      <c r="M99" s="100">
        <f t="shared" si="22"/>
        <v>39032.558878995616</v>
      </c>
      <c r="N99" s="102">
        <f t="shared" si="23"/>
        <v>39748.023298366214</v>
      </c>
      <c r="O99" s="94">
        <f t="shared" si="24"/>
        <v>0.98019890163603296</v>
      </c>
      <c r="P99" s="100">
        <f>'K22'!C93</f>
        <v>982</v>
      </c>
      <c r="Q99" s="100"/>
      <c r="R99" s="100">
        <f t="shared" si="27"/>
        <v>0</v>
      </c>
      <c r="S99" s="100">
        <v>0</v>
      </c>
      <c r="U99" s="100">
        <v>0</v>
      </c>
      <c r="V99" s="5">
        <f t="shared" si="28"/>
        <v>39228.677469960094</v>
      </c>
      <c r="W99" s="5">
        <f t="shared" si="29"/>
        <v>39947.736731120262</v>
      </c>
    </row>
    <row r="100" spans="1:23" ht="13">
      <c r="A100" s="92">
        <v>1875</v>
      </c>
      <c r="B100" s="93" t="s">
        <v>650</v>
      </c>
      <c r="C100" s="574">
        <v>0.81441167108479862</v>
      </c>
      <c r="D100" s="100">
        <f t="shared" si="15"/>
        <v>33025.189094488509</v>
      </c>
      <c r="E100" s="100">
        <f t="shared" si="16"/>
        <v>89432.212067874876</v>
      </c>
      <c r="F100" s="100">
        <f t="shared" si="25"/>
        <v>4517.3529459006795</v>
      </c>
      <c r="G100" s="100">
        <f t="shared" si="17"/>
        <v>12232.991777499041</v>
      </c>
      <c r="H100" s="100">
        <f t="shared" si="26"/>
        <v>1215.7286782907597</v>
      </c>
      <c r="I100" s="100">
        <f t="shared" si="18"/>
        <v>3292.1932608113775</v>
      </c>
      <c r="J100" s="100">
        <f t="shared" si="19"/>
        <v>652.19088161507796</v>
      </c>
      <c r="K100" s="100">
        <f t="shared" si="20"/>
        <v>1766.1329074136313</v>
      </c>
      <c r="L100" s="101">
        <f t="shared" si="21"/>
        <v>13999.124684912673</v>
      </c>
      <c r="M100" s="100">
        <f t="shared" si="22"/>
        <v>103431.33675278755</v>
      </c>
      <c r="N100" s="102">
        <f t="shared" si="23"/>
        <v>38194.732922004267</v>
      </c>
      <c r="O100" s="94">
        <f t="shared" si="24"/>
        <v>0.94189426672619125</v>
      </c>
      <c r="P100" s="100">
        <f>'K22'!C94</f>
        <v>2708</v>
      </c>
      <c r="Q100" s="100"/>
      <c r="R100" s="100">
        <f t="shared" si="27"/>
        <v>0</v>
      </c>
      <c r="S100" s="100">
        <v>0</v>
      </c>
      <c r="U100" s="100">
        <v>8016.4046666666654</v>
      </c>
      <c r="V100" s="5">
        <f t="shared" si="28"/>
        <v>81415.807401208207</v>
      </c>
      <c r="W100" s="5">
        <f t="shared" si="29"/>
        <v>30064.921492322086</v>
      </c>
    </row>
    <row r="101" spans="1:23" ht="13">
      <c r="A101" s="92">
        <v>3001</v>
      </c>
      <c r="B101" s="93" t="s">
        <v>364</v>
      </c>
      <c r="C101" s="574">
        <v>0.75371738555827816</v>
      </c>
      <c r="D101" s="100">
        <f t="shared" si="15"/>
        <v>30563.976506758405</v>
      </c>
      <c r="E101" s="100">
        <f t="shared" si="16"/>
        <v>961053.67727851134</v>
      </c>
      <c r="F101" s="100">
        <f t="shared" si="25"/>
        <v>5994.0804985387413</v>
      </c>
      <c r="G101" s="100">
        <f t="shared" si="17"/>
        <v>188477.86719605219</v>
      </c>
      <c r="H101" s="100">
        <f t="shared" si="26"/>
        <v>2077.1530839962961</v>
      </c>
      <c r="I101" s="100">
        <f t="shared" si="18"/>
        <v>65314.001573179536</v>
      </c>
      <c r="J101" s="100">
        <f t="shared" si="19"/>
        <v>1513.6152873206142</v>
      </c>
      <c r="K101" s="100">
        <f t="shared" si="20"/>
        <v>47594.119094509391</v>
      </c>
      <c r="L101" s="101">
        <f t="shared" si="21"/>
        <v>236071.98629056159</v>
      </c>
      <c r="M101" s="100">
        <f t="shared" si="22"/>
        <v>1197125.663569073</v>
      </c>
      <c r="N101" s="102">
        <f t="shared" si="23"/>
        <v>38071.672292617761</v>
      </c>
      <c r="O101" s="94">
        <f t="shared" si="24"/>
        <v>0.93885955244986519</v>
      </c>
      <c r="P101" s="100">
        <f>'K22'!C95</f>
        <v>31444</v>
      </c>
      <c r="Q101" s="100"/>
      <c r="R101" s="100">
        <f t="shared" si="27"/>
        <v>0</v>
      </c>
      <c r="S101" s="100">
        <v>0</v>
      </c>
      <c r="U101" s="100">
        <v>1074.1293333333333</v>
      </c>
      <c r="V101" s="5">
        <f t="shared" si="28"/>
        <v>959979.547945178</v>
      </c>
      <c r="W101" s="5">
        <f t="shared" si="29"/>
        <v>30529.816433824515</v>
      </c>
    </row>
    <row r="102" spans="1:23" ht="13">
      <c r="A102" s="92">
        <v>3002</v>
      </c>
      <c r="B102" s="93" t="s">
        <v>365</v>
      </c>
      <c r="C102" s="574">
        <v>0.89285115475785537</v>
      </c>
      <c r="D102" s="100">
        <f t="shared" si="15"/>
        <v>36205.986807426758</v>
      </c>
      <c r="E102" s="100">
        <f t="shared" si="16"/>
        <v>1820799.0765454916</v>
      </c>
      <c r="F102" s="100">
        <f t="shared" si="25"/>
        <v>2608.8743181377299</v>
      </c>
      <c r="G102" s="100">
        <f t="shared" si="17"/>
        <v>131200.28945914644</v>
      </c>
      <c r="H102" s="100">
        <f t="shared" si="26"/>
        <v>102.44947876237273</v>
      </c>
      <c r="I102" s="100">
        <f t="shared" si="18"/>
        <v>5152.1842869597249</v>
      </c>
      <c r="J102" s="100">
        <f t="shared" si="19"/>
        <v>-461.08831791330903</v>
      </c>
      <c r="K102" s="100">
        <f t="shared" si="20"/>
        <v>-23188.131507860311</v>
      </c>
      <c r="L102" s="101">
        <f t="shared" si="21"/>
        <v>108012.15795128614</v>
      </c>
      <c r="M102" s="100">
        <f t="shared" si="22"/>
        <v>1928811.2344967779</v>
      </c>
      <c r="N102" s="102">
        <f t="shared" si="23"/>
        <v>38353.772807651178</v>
      </c>
      <c r="O102" s="94">
        <f t="shared" si="24"/>
        <v>0.94581624090984406</v>
      </c>
      <c r="P102" s="100">
        <f>'K22'!C96</f>
        <v>50290</v>
      </c>
      <c r="Q102" s="100"/>
      <c r="R102" s="100">
        <f t="shared" si="27"/>
        <v>0</v>
      </c>
      <c r="S102" s="100">
        <v>0</v>
      </c>
      <c r="U102" s="100">
        <v>0</v>
      </c>
      <c r="V102" s="5">
        <f t="shared" si="28"/>
        <v>1820799.0765454916</v>
      </c>
      <c r="W102" s="5">
        <f t="shared" si="29"/>
        <v>36205.986807426758</v>
      </c>
    </row>
    <row r="103" spans="1:23" ht="13">
      <c r="A103" s="92">
        <v>3003</v>
      </c>
      <c r="B103" s="93" t="s">
        <v>366</v>
      </c>
      <c r="C103" s="574">
        <v>0.78738720824323072</v>
      </c>
      <c r="D103" s="100">
        <f t="shared" si="15"/>
        <v>31929.320718325675</v>
      </c>
      <c r="E103" s="100">
        <f t="shared" si="16"/>
        <v>1857711.7380336244</v>
      </c>
      <c r="F103" s="100">
        <f t="shared" si="25"/>
        <v>5174.8739715983802</v>
      </c>
      <c r="G103" s="100">
        <f t="shared" si="17"/>
        <v>301084.51741553692</v>
      </c>
      <c r="H103" s="100">
        <f t="shared" si="26"/>
        <v>1599.2826099477518</v>
      </c>
      <c r="I103" s="100">
        <f t="shared" si="18"/>
        <v>93049.460811980098</v>
      </c>
      <c r="J103" s="100">
        <f t="shared" si="19"/>
        <v>1035.7448132720701</v>
      </c>
      <c r="K103" s="100">
        <f t="shared" si="20"/>
        <v>60261.704725795586</v>
      </c>
      <c r="L103" s="101">
        <f t="shared" si="21"/>
        <v>361346.22214133252</v>
      </c>
      <c r="M103" s="100">
        <f t="shared" si="22"/>
        <v>2219057.9601749568</v>
      </c>
      <c r="N103" s="102">
        <f t="shared" si="23"/>
        <v>38139.939503196125</v>
      </c>
      <c r="O103" s="94">
        <f t="shared" si="24"/>
        <v>0.94054304358411289</v>
      </c>
      <c r="P103" s="100">
        <f>'K22'!C97</f>
        <v>58182</v>
      </c>
      <c r="Q103" s="100"/>
      <c r="R103" s="100">
        <f t="shared" si="27"/>
        <v>0</v>
      </c>
      <c r="S103" s="100">
        <v>0</v>
      </c>
      <c r="U103" s="100">
        <v>8816.8163333333341</v>
      </c>
      <c r="V103" s="5">
        <f t="shared" si="28"/>
        <v>1848894.9217002911</v>
      </c>
      <c r="W103" s="5">
        <f t="shared" si="29"/>
        <v>31777.7821611545</v>
      </c>
    </row>
    <row r="104" spans="1:23" ht="13">
      <c r="A104" s="92">
        <v>3004</v>
      </c>
      <c r="B104" s="93" t="s">
        <v>372</v>
      </c>
      <c r="C104" s="574">
        <v>0.84072951277666796</v>
      </c>
      <c r="D104" s="100">
        <f t="shared" si="15"/>
        <v>34092.4032925305</v>
      </c>
      <c r="E104" s="100">
        <f t="shared" si="16"/>
        <v>2860079.8970169686</v>
      </c>
      <c r="F104" s="100">
        <f t="shared" si="25"/>
        <v>3877.0244270754847</v>
      </c>
      <c r="G104" s="100">
        <f t="shared" si="17"/>
        <v>325251.33323621657</v>
      </c>
      <c r="H104" s="100">
        <f t="shared" si="26"/>
        <v>842.2037089760629</v>
      </c>
      <c r="I104" s="100">
        <f t="shared" si="18"/>
        <v>70654.153553419877</v>
      </c>
      <c r="J104" s="100">
        <f t="shared" si="19"/>
        <v>278.66591230038114</v>
      </c>
      <c r="K104" s="100">
        <f t="shared" si="20"/>
        <v>23377.840714703576</v>
      </c>
      <c r="L104" s="101">
        <f t="shared" si="21"/>
        <v>348629.17395092011</v>
      </c>
      <c r="M104" s="100">
        <f t="shared" si="22"/>
        <v>3208709.0709678889</v>
      </c>
      <c r="N104" s="102">
        <f t="shared" si="23"/>
        <v>38248.093631906362</v>
      </c>
      <c r="O104" s="94">
        <f t="shared" si="24"/>
        <v>0.94321015881078463</v>
      </c>
      <c r="P104" s="100">
        <f>'K22'!C98</f>
        <v>83892</v>
      </c>
      <c r="Q104" s="100"/>
      <c r="R104" s="100">
        <f t="shared" si="27"/>
        <v>0</v>
      </c>
      <c r="S104" s="100">
        <v>0</v>
      </c>
      <c r="U104" s="100">
        <v>0</v>
      </c>
      <c r="V104" s="5">
        <f t="shared" si="28"/>
        <v>2860079.8970169686</v>
      </c>
      <c r="W104" s="5">
        <f t="shared" si="29"/>
        <v>34092.4032925305</v>
      </c>
    </row>
    <row r="105" spans="1:23" ht="13">
      <c r="A105" s="92">
        <v>3005</v>
      </c>
      <c r="B105" s="93" t="s">
        <v>447</v>
      </c>
      <c r="C105" s="574">
        <v>0.92643138431005867</v>
      </c>
      <c r="D105" s="100">
        <f t="shared" si="15"/>
        <v>37567.697929911854</v>
      </c>
      <c r="E105" s="100">
        <f t="shared" si="16"/>
        <v>3842161.1703858753</v>
      </c>
      <c r="F105" s="100">
        <f t="shared" si="25"/>
        <v>1791.8476446466723</v>
      </c>
      <c r="G105" s="100">
        <f t="shared" si="17"/>
        <v>183257.63416094912</v>
      </c>
      <c r="H105" s="100">
        <f t="shared" si="26"/>
        <v>0</v>
      </c>
      <c r="I105" s="100">
        <f t="shared" si="18"/>
        <v>0</v>
      </c>
      <c r="J105" s="100">
        <f t="shared" si="19"/>
        <v>-563.53779667568176</v>
      </c>
      <c r="K105" s="100">
        <f t="shared" si="20"/>
        <v>-57634.701079412</v>
      </c>
      <c r="L105" s="101">
        <f t="shared" si="21"/>
        <v>125622.93308153712</v>
      </c>
      <c r="M105" s="100">
        <f t="shared" si="22"/>
        <v>3967784.1034674123</v>
      </c>
      <c r="N105" s="102">
        <f t="shared" si="23"/>
        <v>38796.007777882849</v>
      </c>
      <c r="O105" s="94">
        <f t="shared" si="24"/>
        <v>0.95672189598688395</v>
      </c>
      <c r="P105" s="100">
        <f>'K22'!C99</f>
        <v>102273</v>
      </c>
      <c r="Q105" s="100"/>
      <c r="R105" s="100">
        <f t="shared" si="27"/>
        <v>0</v>
      </c>
      <c r="S105" s="100">
        <v>0</v>
      </c>
      <c r="U105" s="100">
        <v>0</v>
      </c>
      <c r="V105" s="5">
        <f t="shared" si="28"/>
        <v>3842161.1703858753</v>
      </c>
      <c r="W105" s="5">
        <f t="shared" si="29"/>
        <v>37567.697929911854</v>
      </c>
    </row>
    <row r="106" spans="1:23" ht="13">
      <c r="A106" s="92">
        <v>3006</v>
      </c>
      <c r="B106" s="93" t="s">
        <v>448</v>
      </c>
      <c r="C106" s="574">
        <v>0.99261952567068534</v>
      </c>
      <c r="D106" s="100">
        <f t="shared" si="15"/>
        <v>40251.691740236107</v>
      </c>
      <c r="E106" s="100">
        <f t="shared" si="16"/>
        <v>1122176.9140260424</v>
      </c>
      <c r="F106" s="100">
        <f t="shared" si="25"/>
        <v>181.45135845212062</v>
      </c>
      <c r="G106" s="100">
        <f t="shared" si="17"/>
        <v>5058.6824222866708</v>
      </c>
      <c r="H106" s="100">
        <f t="shared" si="26"/>
        <v>0</v>
      </c>
      <c r="I106" s="100">
        <f t="shared" si="18"/>
        <v>0</v>
      </c>
      <c r="J106" s="100">
        <f t="shared" si="19"/>
        <v>-563.53779667568176</v>
      </c>
      <c r="K106" s="100">
        <f t="shared" si="20"/>
        <v>-15710.870233521331</v>
      </c>
      <c r="L106" s="101">
        <f t="shared" si="21"/>
        <v>-10652.18781123466</v>
      </c>
      <c r="M106" s="100">
        <f t="shared" si="22"/>
        <v>1111524.7262148077</v>
      </c>
      <c r="N106" s="102">
        <f t="shared" si="23"/>
        <v>39869.605302012547</v>
      </c>
      <c r="O106" s="94">
        <f t="shared" si="24"/>
        <v>0.9831971525311346</v>
      </c>
      <c r="P106" s="100">
        <f>'K22'!C100</f>
        <v>27879</v>
      </c>
      <c r="Q106" s="100"/>
      <c r="R106" s="100">
        <f t="shared" si="27"/>
        <v>0</v>
      </c>
      <c r="S106" s="100">
        <v>0</v>
      </c>
      <c r="U106" s="100">
        <v>6711.2813333333334</v>
      </c>
      <c r="V106" s="5">
        <f t="shared" si="28"/>
        <v>1115465.6326927091</v>
      </c>
      <c r="W106" s="5">
        <f t="shared" si="29"/>
        <v>40010.962828390875</v>
      </c>
    </row>
    <row r="107" spans="1:23" ht="13">
      <c r="A107" s="92">
        <v>3007</v>
      </c>
      <c r="B107" s="93" t="s">
        <v>449</v>
      </c>
      <c r="C107" s="574">
        <v>0.87970943428438997</v>
      </c>
      <c r="D107" s="100">
        <f t="shared" si="15"/>
        <v>35673.077200317362</v>
      </c>
      <c r="E107" s="100">
        <f t="shared" si="16"/>
        <v>1106257.7970590417</v>
      </c>
      <c r="F107" s="100">
        <f t="shared" si="25"/>
        <v>2928.6200824033672</v>
      </c>
      <c r="G107" s="100">
        <f t="shared" si="17"/>
        <v>90819.437375410824</v>
      </c>
      <c r="H107" s="100">
        <f t="shared" si="26"/>
        <v>288.96784125066114</v>
      </c>
      <c r="I107" s="100">
        <f t="shared" si="18"/>
        <v>8961.181725024253</v>
      </c>
      <c r="J107" s="100">
        <f t="shared" si="19"/>
        <v>-274.56995542502062</v>
      </c>
      <c r="K107" s="100">
        <f t="shared" si="20"/>
        <v>-8514.6888876853136</v>
      </c>
      <c r="L107" s="101">
        <f t="shared" si="21"/>
        <v>82304.748487725505</v>
      </c>
      <c r="M107" s="100">
        <f t="shared" si="22"/>
        <v>1188562.5455467673</v>
      </c>
      <c r="N107" s="102">
        <f t="shared" si="23"/>
        <v>38327.127327295711</v>
      </c>
      <c r="O107" s="94">
        <f t="shared" si="24"/>
        <v>0.94515915488617086</v>
      </c>
      <c r="P107" s="100">
        <f>'K22'!C101</f>
        <v>31011</v>
      </c>
      <c r="Q107" s="100"/>
      <c r="R107" s="100">
        <f t="shared" si="27"/>
        <v>0</v>
      </c>
      <c r="S107" s="100">
        <v>0</v>
      </c>
      <c r="U107" s="100">
        <v>5547.3963333333331</v>
      </c>
      <c r="V107" s="5">
        <f t="shared" si="28"/>
        <v>1100710.4007257083</v>
      </c>
      <c r="W107" s="5">
        <f t="shared" si="29"/>
        <v>35494.192406749484</v>
      </c>
    </row>
    <row r="108" spans="1:23" ht="13">
      <c r="A108" s="92">
        <v>3011</v>
      </c>
      <c r="B108" s="93" t="s">
        <v>373</v>
      </c>
      <c r="C108" s="574">
        <v>1.0934286238809015</v>
      </c>
      <c r="D108" s="100">
        <f t="shared" si="15"/>
        <v>44339.599181939018</v>
      </c>
      <c r="E108" s="100">
        <f t="shared" si="16"/>
        <v>210214.03972157289</v>
      </c>
      <c r="F108" s="100">
        <f t="shared" si="25"/>
        <v>-2271.2931065696262</v>
      </c>
      <c r="G108" s="100">
        <f t="shared" si="17"/>
        <v>-10768.200618246598</v>
      </c>
      <c r="H108" s="100">
        <f t="shared" si="26"/>
        <v>0</v>
      </c>
      <c r="I108" s="100">
        <f t="shared" si="18"/>
        <v>0</v>
      </c>
      <c r="J108" s="100">
        <f t="shared" si="19"/>
        <v>-563.53779667568176</v>
      </c>
      <c r="K108" s="100">
        <f t="shared" si="20"/>
        <v>-2671.7326940394073</v>
      </c>
      <c r="L108" s="101">
        <f t="shared" si="21"/>
        <v>-13439.933312286004</v>
      </c>
      <c r="M108" s="100">
        <f t="shared" si="22"/>
        <v>196774.10640928688</v>
      </c>
      <c r="N108" s="102">
        <f t="shared" si="23"/>
        <v>41504.768278693715</v>
      </c>
      <c r="O108" s="94">
        <f t="shared" si="24"/>
        <v>1.0235207918152212</v>
      </c>
      <c r="P108" s="100">
        <f>'K22'!C102</f>
        <v>4741</v>
      </c>
      <c r="Q108" s="100"/>
      <c r="R108" s="100">
        <f t="shared" si="27"/>
        <v>0</v>
      </c>
      <c r="S108" s="100">
        <v>0</v>
      </c>
      <c r="U108" s="100">
        <v>0</v>
      </c>
      <c r="V108" s="5">
        <f t="shared" si="28"/>
        <v>210214.03972157289</v>
      </c>
      <c r="W108" s="5">
        <f t="shared" si="29"/>
        <v>44339.599181939018</v>
      </c>
    </row>
    <row r="109" spans="1:23" ht="13">
      <c r="A109" s="92">
        <v>3012</v>
      </c>
      <c r="B109" s="93" t="s">
        <v>374</v>
      </c>
      <c r="C109" s="574">
        <v>0.81890708254432665</v>
      </c>
      <c r="D109" s="100">
        <f t="shared" si="15"/>
        <v>33207.482422027264</v>
      </c>
      <c r="E109" s="100">
        <f t="shared" si="16"/>
        <v>43667.839384965853</v>
      </c>
      <c r="F109" s="100">
        <f t="shared" si="25"/>
        <v>4407.9769493774265</v>
      </c>
      <c r="G109" s="100">
        <f t="shared" si="17"/>
        <v>5796.4896884313157</v>
      </c>
      <c r="H109" s="100">
        <f t="shared" si="26"/>
        <v>1151.9260136521955</v>
      </c>
      <c r="I109" s="100">
        <f t="shared" si="18"/>
        <v>1514.7827079526369</v>
      </c>
      <c r="J109" s="100">
        <f t="shared" si="19"/>
        <v>588.38821697651372</v>
      </c>
      <c r="K109" s="100">
        <f t="shared" si="20"/>
        <v>773.73050532411548</v>
      </c>
      <c r="L109" s="101">
        <f t="shared" si="21"/>
        <v>6570.220193755431</v>
      </c>
      <c r="M109" s="100">
        <f t="shared" si="22"/>
        <v>50238.059578721281</v>
      </c>
      <c r="N109" s="102">
        <f t="shared" si="23"/>
        <v>38203.847588381199</v>
      </c>
      <c r="O109" s="94">
        <f t="shared" si="24"/>
        <v>0.94211903729916757</v>
      </c>
      <c r="P109" s="100">
        <f>'K22'!C103</f>
        <v>1315</v>
      </c>
      <c r="Q109" s="100"/>
      <c r="R109" s="100">
        <f t="shared" si="27"/>
        <v>0</v>
      </c>
      <c r="S109" s="100">
        <v>0</v>
      </c>
      <c r="U109" s="100">
        <v>0</v>
      </c>
      <c r="V109" s="5">
        <f t="shared" si="28"/>
        <v>43667.839384965853</v>
      </c>
      <c r="W109" s="5">
        <f t="shared" si="29"/>
        <v>33207.482422027264</v>
      </c>
    </row>
    <row r="110" spans="1:23" ht="13">
      <c r="A110" s="92">
        <v>3013</v>
      </c>
      <c r="B110" s="93" t="s">
        <v>375</v>
      </c>
      <c r="C110" s="574">
        <v>0.80769503671698217</v>
      </c>
      <c r="D110" s="100">
        <f t="shared" si="15"/>
        <v>32752.823007469869</v>
      </c>
      <c r="E110" s="100">
        <f t="shared" si="16"/>
        <v>117189.60072072719</v>
      </c>
      <c r="F110" s="100">
        <f t="shared" si="25"/>
        <v>4680.7725981118629</v>
      </c>
      <c r="G110" s="100">
        <f t="shared" si="17"/>
        <v>16747.804356044246</v>
      </c>
      <c r="H110" s="100">
        <f t="shared" si="26"/>
        <v>1311.0568087472836</v>
      </c>
      <c r="I110" s="100">
        <f t="shared" si="18"/>
        <v>4690.9612616977811</v>
      </c>
      <c r="J110" s="100">
        <f t="shared" si="19"/>
        <v>747.51901207160188</v>
      </c>
      <c r="K110" s="100">
        <f t="shared" si="20"/>
        <v>2674.6230251921916</v>
      </c>
      <c r="L110" s="101">
        <f t="shared" si="21"/>
        <v>19422.427381236437</v>
      </c>
      <c r="M110" s="100">
        <f t="shared" si="22"/>
        <v>136612.02810196363</v>
      </c>
      <c r="N110" s="102">
        <f t="shared" si="23"/>
        <v>38181.114617653337</v>
      </c>
      <c r="O110" s="94">
        <f t="shared" si="24"/>
        <v>0.94155843500780045</v>
      </c>
      <c r="P110" s="100">
        <f>'K22'!C104</f>
        <v>3578</v>
      </c>
      <c r="Q110" s="100"/>
      <c r="R110" s="100">
        <f t="shared" si="27"/>
        <v>0</v>
      </c>
      <c r="S110" s="100">
        <v>0</v>
      </c>
      <c r="U110" s="100">
        <v>0</v>
      </c>
      <c r="V110" s="5">
        <f t="shared" si="28"/>
        <v>117189.60072072719</v>
      </c>
      <c r="W110" s="5">
        <f t="shared" si="29"/>
        <v>32752.823007469869</v>
      </c>
    </row>
    <row r="111" spans="1:23" ht="13">
      <c r="A111" s="92">
        <v>3014</v>
      </c>
      <c r="B111" s="93" t="s">
        <v>1818</v>
      </c>
      <c r="C111" s="574">
        <v>0.82194962640443758</v>
      </c>
      <c r="D111" s="100">
        <f t="shared" si="15"/>
        <v>33330.860548687204</v>
      </c>
      <c r="E111" s="100">
        <f t="shared" si="16"/>
        <v>1520153.887904526</v>
      </c>
      <c r="F111" s="100">
        <f t="shared" si="25"/>
        <v>4333.9500733814621</v>
      </c>
      <c r="G111" s="100">
        <f t="shared" si="17"/>
        <v>197662.79494678174</v>
      </c>
      <c r="H111" s="100">
        <f t="shared" si="26"/>
        <v>1108.7436693212167</v>
      </c>
      <c r="I111" s="100">
        <f t="shared" si="18"/>
        <v>50567.58127040205</v>
      </c>
      <c r="J111" s="100">
        <f t="shared" si="19"/>
        <v>545.2058726455349</v>
      </c>
      <c r="K111" s="100">
        <f t="shared" si="20"/>
        <v>24865.749439617557</v>
      </c>
      <c r="L111" s="101">
        <f t="shared" si="21"/>
        <v>222528.5443863993</v>
      </c>
      <c r="M111" s="100">
        <f t="shared" si="22"/>
        <v>1742682.4322909254</v>
      </c>
      <c r="N111" s="102">
        <f t="shared" si="23"/>
        <v>38210.016494714204</v>
      </c>
      <c r="O111" s="94">
        <f t="shared" si="24"/>
        <v>0.9422711644921733</v>
      </c>
      <c r="P111" s="100">
        <f>'K22'!C105</f>
        <v>45608</v>
      </c>
      <c r="Q111" s="100"/>
      <c r="R111" s="100">
        <f t="shared" si="27"/>
        <v>0</v>
      </c>
      <c r="S111" s="100">
        <v>0</v>
      </c>
      <c r="U111" s="100">
        <v>34563.311999999998</v>
      </c>
      <c r="V111" s="5">
        <f t="shared" si="28"/>
        <v>1485590.575904526</v>
      </c>
      <c r="W111" s="5">
        <f t="shared" si="29"/>
        <v>32573.026133672294</v>
      </c>
    </row>
    <row r="112" spans="1:23" ht="13">
      <c r="A112" s="92">
        <v>3015</v>
      </c>
      <c r="B112" s="93" t="s">
        <v>376</v>
      </c>
      <c r="C112" s="574">
        <v>0.79298024772144238</v>
      </c>
      <c r="D112" s="100">
        <f t="shared" si="15"/>
        <v>32156.123934609208</v>
      </c>
      <c r="E112" s="100">
        <f t="shared" si="16"/>
        <v>123672.45265250701</v>
      </c>
      <c r="F112" s="100">
        <f t="shared" si="25"/>
        <v>5038.7920418282602</v>
      </c>
      <c r="G112" s="100">
        <f t="shared" si="17"/>
        <v>19379.194192871488</v>
      </c>
      <c r="H112" s="100">
        <f t="shared" si="26"/>
        <v>1519.9014842485151</v>
      </c>
      <c r="I112" s="100">
        <f t="shared" si="18"/>
        <v>5845.5411084197895</v>
      </c>
      <c r="J112" s="100">
        <f t="shared" si="19"/>
        <v>956.36368757283333</v>
      </c>
      <c r="K112" s="100">
        <f t="shared" si="20"/>
        <v>3678.1747424051168</v>
      </c>
      <c r="L112" s="101">
        <f t="shared" si="21"/>
        <v>23057.368935276605</v>
      </c>
      <c r="M112" s="100">
        <f t="shared" si="22"/>
        <v>146729.8215877836</v>
      </c>
      <c r="N112" s="102">
        <f t="shared" si="23"/>
        <v>38151.279664010297</v>
      </c>
      <c r="O112" s="94">
        <f t="shared" si="24"/>
        <v>0.94082269555802334</v>
      </c>
      <c r="P112" s="100">
        <f>'K22'!C106</f>
        <v>3846</v>
      </c>
      <c r="Q112" s="100"/>
      <c r="R112" s="100">
        <f t="shared" si="27"/>
        <v>0</v>
      </c>
      <c r="S112" s="100">
        <v>0</v>
      </c>
      <c r="U112" s="100">
        <v>2889.192333333333</v>
      </c>
      <c r="V112" s="5">
        <f t="shared" si="28"/>
        <v>120783.26031917367</v>
      </c>
      <c r="W112" s="5">
        <f t="shared" si="29"/>
        <v>31404.903879140318</v>
      </c>
    </row>
    <row r="113" spans="1:23" ht="13">
      <c r="A113" s="92">
        <v>3016</v>
      </c>
      <c r="B113" s="93" t="s">
        <v>377</v>
      </c>
      <c r="C113" s="574">
        <v>0.80153988720706781</v>
      </c>
      <c r="D113" s="100">
        <f t="shared" si="15"/>
        <v>32503.225680114519</v>
      </c>
      <c r="E113" s="100">
        <f t="shared" si="16"/>
        <v>270166.81185311184</v>
      </c>
      <c r="F113" s="100">
        <f t="shared" si="25"/>
        <v>4830.5309945250729</v>
      </c>
      <c r="G113" s="100">
        <f t="shared" si="17"/>
        <v>40151.373626492401</v>
      </c>
      <c r="H113" s="100">
        <f t="shared" si="26"/>
        <v>1398.4158733216561</v>
      </c>
      <c r="I113" s="100">
        <f t="shared" si="18"/>
        <v>11623.632739049606</v>
      </c>
      <c r="J113" s="100">
        <f t="shared" si="19"/>
        <v>834.87807664597437</v>
      </c>
      <c r="K113" s="100">
        <f t="shared" si="20"/>
        <v>6939.5065730813385</v>
      </c>
      <c r="L113" s="101">
        <f t="shared" si="21"/>
        <v>47090.880199573738</v>
      </c>
      <c r="M113" s="100">
        <f t="shared" si="22"/>
        <v>317257.6920526856</v>
      </c>
      <c r="N113" s="102">
        <f t="shared" si="23"/>
        <v>38168.634751285565</v>
      </c>
      <c r="O113" s="94">
        <f t="shared" si="24"/>
        <v>0.94125067753230462</v>
      </c>
      <c r="P113" s="100">
        <f>'K22'!C107</f>
        <v>8312</v>
      </c>
      <c r="Q113" s="100"/>
      <c r="R113" s="100">
        <f t="shared" si="27"/>
        <v>0</v>
      </c>
      <c r="S113" s="100">
        <v>0</v>
      </c>
      <c r="U113" s="100">
        <v>0</v>
      </c>
      <c r="V113" s="5">
        <f t="shared" si="28"/>
        <v>270166.81185311184</v>
      </c>
      <c r="W113" s="5">
        <f t="shared" si="29"/>
        <v>32503.225680114516</v>
      </c>
    </row>
    <row r="114" spans="1:23" ht="13">
      <c r="A114" s="92">
        <v>3017</v>
      </c>
      <c r="B114" s="93" t="s">
        <v>378</v>
      </c>
      <c r="C114" s="574">
        <v>0.86069913529767739</v>
      </c>
      <c r="D114" s="100">
        <f t="shared" si="15"/>
        <v>34902.190999800747</v>
      </c>
      <c r="E114" s="100">
        <f t="shared" si="16"/>
        <v>266408.42390147911</v>
      </c>
      <c r="F114" s="100">
        <f t="shared" si="25"/>
        <v>3391.1518027133366</v>
      </c>
      <c r="G114" s="100">
        <f t="shared" si="17"/>
        <v>25884.6617101109</v>
      </c>
      <c r="H114" s="100">
        <f t="shared" si="26"/>
        <v>558.77801143147656</v>
      </c>
      <c r="I114" s="100">
        <f t="shared" si="18"/>
        <v>4265.152561256461</v>
      </c>
      <c r="J114" s="100">
        <f t="shared" si="19"/>
        <v>-4.7597852442052044</v>
      </c>
      <c r="K114" s="100">
        <f t="shared" si="20"/>
        <v>-36.331440769018329</v>
      </c>
      <c r="L114" s="101">
        <f t="shared" si="21"/>
        <v>25848.330269341881</v>
      </c>
      <c r="M114" s="100">
        <f t="shared" si="22"/>
        <v>292256.75417082099</v>
      </c>
      <c r="N114" s="102">
        <f t="shared" si="23"/>
        <v>38288.583017269884</v>
      </c>
      <c r="O114" s="94">
        <f t="shared" si="24"/>
        <v>0.94420863993683535</v>
      </c>
      <c r="P114" s="100">
        <f>'K22'!C108</f>
        <v>7633</v>
      </c>
      <c r="Q114" s="100"/>
      <c r="R114" s="100">
        <f t="shared" si="27"/>
        <v>0</v>
      </c>
      <c r="S114" s="100">
        <v>0</v>
      </c>
      <c r="U114" s="100">
        <v>0</v>
      </c>
      <c r="V114" s="5">
        <f t="shared" si="28"/>
        <v>266408.42390147911</v>
      </c>
      <c r="W114" s="5">
        <f t="shared" si="29"/>
        <v>34902.190999800747</v>
      </c>
    </row>
    <row r="115" spans="1:23" ht="13">
      <c r="A115" s="92">
        <v>3018</v>
      </c>
      <c r="B115" s="93" t="s">
        <v>379</v>
      </c>
      <c r="C115" s="574">
        <v>0.8150479160727625</v>
      </c>
      <c r="D115" s="100">
        <f t="shared" si="15"/>
        <v>33050.989450480389</v>
      </c>
      <c r="E115" s="100">
        <f t="shared" si="16"/>
        <v>195430.50062069052</v>
      </c>
      <c r="F115" s="100">
        <f t="shared" si="25"/>
        <v>4501.8727323055509</v>
      </c>
      <c r="G115" s="100">
        <f t="shared" si="17"/>
        <v>26619.573466122725</v>
      </c>
      <c r="H115" s="100">
        <f t="shared" si="26"/>
        <v>1206.6985536936018</v>
      </c>
      <c r="I115" s="100">
        <f t="shared" si="18"/>
        <v>7135.2085479902671</v>
      </c>
      <c r="J115" s="100">
        <f t="shared" si="19"/>
        <v>643.16075701791999</v>
      </c>
      <c r="K115" s="100">
        <f t="shared" si="20"/>
        <v>3803.009556246961</v>
      </c>
      <c r="L115" s="101">
        <f t="shared" si="21"/>
        <v>30422.583022369687</v>
      </c>
      <c r="M115" s="100">
        <f t="shared" si="22"/>
        <v>225853.08364306021</v>
      </c>
      <c r="N115" s="102">
        <f t="shared" si="23"/>
        <v>38196.022939803857</v>
      </c>
      <c r="O115" s="94">
        <f t="shared" si="24"/>
        <v>0.94192607897558933</v>
      </c>
      <c r="P115" s="100">
        <f>'K22'!C109</f>
        <v>5913</v>
      </c>
      <c r="Q115" s="100"/>
      <c r="R115" s="100">
        <f t="shared" si="27"/>
        <v>0</v>
      </c>
      <c r="S115" s="100">
        <v>0</v>
      </c>
      <c r="U115" s="100">
        <v>182.51566666666668</v>
      </c>
      <c r="V115" s="5">
        <f t="shared" si="28"/>
        <v>195247.98495402385</v>
      </c>
      <c r="W115" s="5">
        <f t="shared" si="29"/>
        <v>33020.122603420234</v>
      </c>
    </row>
    <row r="116" spans="1:23" ht="13">
      <c r="A116" s="92">
        <v>3019</v>
      </c>
      <c r="B116" s="93" t="s">
        <v>380</v>
      </c>
      <c r="C116" s="574">
        <v>0.95427336260910056</v>
      </c>
      <c r="D116" s="100">
        <f t="shared" si="15"/>
        <v>38696.717356740235</v>
      </c>
      <c r="E116" s="100">
        <f t="shared" si="16"/>
        <v>723589.91785368556</v>
      </c>
      <c r="F116" s="100">
        <f t="shared" si="25"/>
        <v>1114.4359885496435</v>
      </c>
      <c r="G116" s="100">
        <f t="shared" si="17"/>
        <v>20838.838549889784</v>
      </c>
      <c r="H116" s="100">
        <f t="shared" si="26"/>
        <v>0</v>
      </c>
      <c r="I116" s="100">
        <f t="shared" si="18"/>
        <v>0</v>
      </c>
      <c r="J116" s="100">
        <f t="shared" si="19"/>
        <v>-563.53779667568176</v>
      </c>
      <c r="K116" s="100">
        <f t="shared" si="20"/>
        <v>-10537.593260038573</v>
      </c>
      <c r="L116" s="101">
        <f t="shared" si="21"/>
        <v>10301.245289851211</v>
      </c>
      <c r="M116" s="100">
        <f t="shared" si="22"/>
        <v>733891.16314353677</v>
      </c>
      <c r="N116" s="102">
        <f t="shared" si="23"/>
        <v>39247.615548614194</v>
      </c>
      <c r="O116" s="94">
        <f t="shared" si="24"/>
        <v>0.9678586873065006</v>
      </c>
      <c r="P116" s="100">
        <f>'K22'!C110</f>
        <v>18699</v>
      </c>
      <c r="Q116" s="100"/>
      <c r="R116" s="100">
        <f t="shared" si="27"/>
        <v>0</v>
      </c>
      <c r="S116" s="100">
        <v>0</v>
      </c>
      <c r="U116" s="100">
        <v>0</v>
      </c>
      <c r="V116" s="5">
        <f t="shared" si="28"/>
        <v>723589.91785368556</v>
      </c>
      <c r="W116" s="5">
        <f t="shared" si="29"/>
        <v>38696.717356740235</v>
      </c>
    </row>
    <row r="117" spans="1:23" ht="13">
      <c r="A117" s="92">
        <v>3020</v>
      </c>
      <c r="B117" s="93" t="s">
        <v>1819</v>
      </c>
      <c r="C117" s="574">
        <v>1.1116510880720736</v>
      </c>
      <c r="D117" s="100">
        <f t="shared" si="15"/>
        <v>45078.537911635023</v>
      </c>
      <c r="E117" s="100">
        <f t="shared" si="16"/>
        <v>2751233.3258229089</v>
      </c>
      <c r="F117" s="100">
        <f t="shared" si="25"/>
        <v>-2714.6563443872292</v>
      </c>
      <c r="G117" s="100">
        <f t="shared" si="17"/>
        <v>-165680.90601064137</v>
      </c>
      <c r="H117" s="100">
        <f t="shared" si="26"/>
        <v>0</v>
      </c>
      <c r="I117" s="100">
        <f t="shared" si="18"/>
        <v>0</v>
      </c>
      <c r="J117" s="100">
        <f t="shared" si="19"/>
        <v>-563.53779667568176</v>
      </c>
      <c r="K117" s="100">
        <f t="shared" si="20"/>
        <v>-34393.838806710206</v>
      </c>
      <c r="L117" s="101">
        <f t="shared" si="21"/>
        <v>-200074.74481735157</v>
      </c>
      <c r="M117" s="100">
        <f t="shared" si="22"/>
        <v>2551158.5810055574</v>
      </c>
      <c r="N117" s="102">
        <f t="shared" si="23"/>
        <v>41800.343770572115</v>
      </c>
      <c r="O117" s="94">
        <f t="shared" si="24"/>
        <v>1.0308097774916898</v>
      </c>
      <c r="P117" s="100">
        <f>'K22'!C111</f>
        <v>61032</v>
      </c>
      <c r="Q117" s="100"/>
      <c r="R117" s="100">
        <f t="shared" si="27"/>
        <v>0</v>
      </c>
      <c r="S117" s="100">
        <v>0</v>
      </c>
      <c r="U117" s="100">
        <v>0</v>
      </c>
      <c r="V117" s="5">
        <f t="shared" si="28"/>
        <v>2751233.3258229089</v>
      </c>
      <c r="W117" s="5">
        <f t="shared" si="29"/>
        <v>45078.537911635023</v>
      </c>
    </row>
    <row r="118" spans="1:23" ht="13">
      <c r="A118" s="92">
        <v>3021</v>
      </c>
      <c r="B118" s="93" t="s">
        <v>381</v>
      </c>
      <c r="C118" s="574">
        <v>0.9110159428569985</v>
      </c>
      <c r="D118" s="100">
        <f t="shared" si="15"/>
        <v>36942.586715230696</v>
      </c>
      <c r="E118" s="100">
        <f t="shared" si="16"/>
        <v>767666.95194249391</v>
      </c>
      <c r="F118" s="100">
        <f t="shared" si="25"/>
        <v>2166.9143734553668</v>
      </c>
      <c r="G118" s="100">
        <f t="shared" si="17"/>
        <v>45028.480680402528</v>
      </c>
      <c r="H118" s="100">
        <f t="shared" si="26"/>
        <v>0</v>
      </c>
      <c r="I118" s="100">
        <f t="shared" si="18"/>
        <v>0</v>
      </c>
      <c r="J118" s="100">
        <f t="shared" si="19"/>
        <v>-563.53779667568176</v>
      </c>
      <c r="K118" s="100">
        <f t="shared" si="20"/>
        <v>-11710.315414920668</v>
      </c>
      <c r="L118" s="101">
        <f t="shared" si="21"/>
        <v>33318.165265481861</v>
      </c>
      <c r="M118" s="100">
        <f t="shared" si="22"/>
        <v>800985.11720797571</v>
      </c>
      <c r="N118" s="102">
        <f t="shared" si="23"/>
        <v>38545.963292010383</v>
      </c>
      <c r="O118" s="94">
        <f t="shared" si="24"/>
        <v>0.95055571940565986</v>
      </c>
      <c r="P118" s="100">
        <f>'K22'!C112</f>
        <v>20780</v>
      </c>
      <c r="Q118" s="100"/>
      <c r="R118" s="100">
        <f t="shared" si="27"/>
        <v>0</v>
      </c>
      <c r="S118" s="100">
        <v>0</v>
      </c>
      <c r="U118" s="100">
        <v>0</v>
      </c>
      <c r="V118" s="5">
        <f t="shared" si="28"/>
        <v>767666.95194249391</v>
      </c>
      <c r="W118" s="5">
        <f t="shared" si="29"/>
        <v>36942.586715230696</v>
      </c>
    </row>
    <row r="119" spans="1:23" ht="13">
      <c r="A119" s="92">
        <v>3022</v>
      </c>
      <c r="B119" s="93" t="s">
        <v>382</v>
      </c>
      <c r="C119" s="574">
        <v>1.2138160515847498</v>
      </c>
      <c r="D119" s="100">
        <f t="shared" si="15"/>
        <v>49221.427016285808</v>
      </c>
      <c r="E119" s="100">
        <f t="shared" si="16"/>
        <v>791677.43212994095</v>
      </c>
      <c r="F119" s="100">
        <f t="shared" si="25"/>
        <v>-5200.3898071777003</v>
      </c>
      <c r="G119" s="100">
        <f t="shared" si="17"/>
        <v>-83643.069658646142</v>
      </c>
      <c r="H119" s="100">
        <f t="shared" si="26"/>
        <v>0</v>
      </c>
      <c r="I119" s="100">
        <f t="shared" si="18"/>
        <v>0</v>
      </c>
      <c r="J119" s="100">
        <f t="shared" si="19"/>
        <v>-563.53779667568176</v>
      </c>
      <c r="K119" s="100">
        <f t="shared" si="20"/>
        <v>-9063.9419217316663</v>
      </c>
      <c r="L119" s="101">
        <f t="shared" si="21"/>
        <v>-92707.011580377803</v>
      </c>
      <c r="M119" s="100">
        <f t="shared" si="22"/>
        <v>698970.42054956313</v>
      </c>
      <c r="N119" s="102">
        <f t="shared" si="23"/>
        <v>43457.499412432429</v>
      </c>
      <c r="O119" s="94">
        <f t="shared" si="24"/>
        <v>1.0716757628967604</v>
      </c>
      <c r="P119" s="100">
        <f>'K22'!C113</f>
        <v>16084</v>
      </c>
      <c r="Q119" s="100"/>
      <c r="R119" s="100">
        <f t="shared" si="27"/>
        <v>0</v>
      </c>
      <c r="S119" s="100">
        <v>0</v>
      </c>
      <c r="U119" s="100">
        <v>0</v>
      </c>
      <c r="V119" s="5">
        <f t="shared" si="28"/>
        <v>791677.43212994095</v>
      </c>
      <c r="W119" s="5">
        <f t="shared" si="29"/>
        <v>49221.427016285808</v>
      </c>
    </row>
    <row r="120" spans="1:23" ht="13">
      <c r="A120" s="92">
        <v>3023</v>
      </c>
      <c r="B120" s="93" t="s">
        <v>383</v>
      </c>
      <c r="C120" s="574">
        <v>1.0462206290308631</v>
      </c>
      <c r="D120" s="100">
        <f t="shared" si="15"/>
        <v>42425.268859759948</v>
      </c>
      <c r="E120" s="100">
        <f t="shared" si="16"/>
        <v>845917.4357947536</v>
      </c>
      <c r="F120" s="100">
        <f t="shared" si="25"/>
        <v>-1122.6949132621842</v>
      </c>
      <c r="G120" s="100">
        <f t="shared" si="17"/>
        <v>-22385.41387553469</v>
      </c>
      <c r="H120" s="100">
        <f t="shared" si="26"/>
        <v>0</v>
      </c>
      <c r="I120" s="100">
        <f t="shared" si="18"/>
        <v>0</v>
      </c>
      <c r="J120" s="100">
        <f t="shared" si="19"/>
        <v>-563.53779667568176</v>
      </c>
      <c r="K120" s="100">
        <f t="shared" si="20"/>
        <v>-11236.380127916418</v>
      </c>
      <c r="L120" s="101">
        <f t="shared" si="21"/>
        <v>-33621.794003451112</v>
      </c>
      <c r="M120" s="100">
        <f t="shared" si="22"/>
        <v>812295.64179130248</v>
      </c>
      <c r="N120" s="102">
        <f t="shared" si="23"/>
        <v>40739.036149822081</v>
      </c>
      <c r="O120" s="94">
        <f t="shared" si="24"/>
        <v>1.0046375938752057</v>
      </c>
      <c r="P120" s="100">
        <f>'K22'!C114</f>
        <v>19939</v>
      </c>
      <c r="Q120" s="100"/>
      <c r="R120" s="100">
        <f t="shared" si="27"/>
        <v>0</v>
      </c>
      <c r="S120" s="100">
        <v>0</v>
      </c>
      <c r="U120" s="100">
        <v>0</v>
      </c>
      <c r="V120" s="5">
        <f t="shared" si="28"/>
        <v>845917.4357947536</v>
      </c>
      <c r="W120" s="5">
        <f t="shared" si="29"/>
        <v>42425.268859759948</v>
      </c>
    </row>
    <row r="121" spans="1:23" ht="13">
      <c r="A121" s="92">
        <v>3024</v>
      </c>
      <c r="B121" s="93" t="s">
        <v>386</v>
      </c>
      <c r="C121" s="574">
        <v>1.7049348616656936</v>
      </c>
      <c r="D121" s="100">
        <f t="shared" si="15"/>
        <v>69136.774679684619</v>
      </c>
      <c r="E121" s="100">
        <f t="shared" si="16"/>
        <v>8917399.4717350807</v>
      </c>
      <c r="F121" s="100">
        <f t="shared" si="25"/>
        <v>-17149.598405216984</v>
      </c>
      <c r="G121" s="100">
        <f t="shared" si="17"/>
        <v>-2211989.5015016971</v>
      </c>
      <c r="H121" s="100">
        <f t="shared" si="26"/>
        <v>0</v>
      </c>
      <c r="I121" s="100">
        <f t="shared" si="18"/>
        <v>0</v>
      </c>
      <c r="J121" s="100">
        <f t="shared" si="19"/>
        <v>-563.53779667568176</v>
      </c>
      <c r="K121" s="100">
        <f t="shared" si="20"/>
        <v>-72686.232090822785</v>
      </c>
      <c r="L121" s="101">
        <f t="shared" si="21"/>
        <v>-2284675.73359252</v>
      </c>
      <c r="M121" s="100">
        <f t="shared" si="22"/>
        <v>6632723.7381425602</v>
      </c>
      <c r="N121" s="102">
        <f t="shared" si="23"/>
        <v>51423.638477791937</v>
      </c>
      <c r="O121" s="94">
        <f t="shared" si="24"/>
        <v>1.2681232869291374</v>
      </c>
      <c r="P121" s="100">
        <f>'K22'!C115</f>
        <v>128982</v>
      </c>
      <c r="Q121" s="100"/>
      <c r="R121" s="100">
        <f t="shared" si="27"/>
        <v>0</v>
      </c>
      <c r="S121" s="100">
        <v>0</v>
      </c>
      <c r="U121" s="100">
        <v>0</v>
      </c>
      <c r="V121" s="5">
        <f t="shared" si="28"/>
        <v>8917399.4717350807</v>
      </c>
      <c r="W121" s="5">
        <f t="shared" si="29"/>
        <v>69136.774679684619</v>
      </c>
    </row>
    <row r="122" spans="1:23" ht="13">
      <c r="A122" s="92">
        <v>3025</v>
      </c>
      <c r="B122" s="93" t="s">
        <v>387</v>
      </c>
      <c r="C122" s="574">
        <v>1.388627562765141</v>
      </c>
      <c r="D122" s="100">
        <f t="shared" si="15"/>
        <v>56310.204618080017</v>
      </c>
      <c r="E122" s="100">
        <f t="shared" si="16"/>
        <v>5410734.9413420726</v>
      </c>
      <c r="F122" s="100">
        <f t="shared" si="25"/>
        <v>-9453.6563682542255</v>
      </c>
      <c r="G122" s="100">
        <f t="shared" si="17"/>
        <v>-908382.933112812</v>
      </c>
      <c r="H122" s="100">
        <f t="shared" si="26"/>
        <v>0</v>
      </c>
      <c r="I122" s="100">
        <f t="shared" si="18"/>
        <v>0</v>
      </c>
      <c r="J122" s="100">
        <f t="shared" si="19"/>
        <v>-563.53779667568176</v>
      </c>
      <c r="K122" s="100">
        <f t="shared" si="20"/>
        <v>-54149.219806972906</v>
      </c>
      <c r="L122" s="101">
        <f t="shared" si="21"/>
        <v>-962532.15291978489</v>
      </c>
      <c r="M122" s="100">
        <f t="shared" si="22"/>
        <v>4448202.7884222874</v>
      </c>
      <c r="N122" s="102">
        <f t="shared" si="23"/>
        <v>46293.010453150098</v>
      </c>
      <c r="O122" s="94">
        <f t="shared" si="24"/>
        <v>1.1416003673689166</v>
      </c>
      <c r="P122" s="100">
        <f>'K22'!C116</f>
        <v>96088</v>
      </c>
      <c r="Q122" s="100"/>
      <c r="R122" s="100">
        <f t="shared" si="27"/>
        <v>0</v>
      </c>
      <c r="S122" s="100">
        <v>0</v>
      </c>
      <c r="U122" s="100">
        <v>0</v>
      </c>
      <c r="V122" s="5">
        <f t="shared" si="28"/>
        <v>5410734.9413420726</v>
      </c>
      <c r="W122" s="5">
        <f t="shared" si="29"/>
        <v>56310.204618080017</v>
      </c>
    </row>
    <row r="123" spans="1:23" ht="13">
      <c r="A123" s="92">
        <v>3026</v>
      </c>
      <c r="B123" s="93" t="s">
        <v>388</v>
      </c>
      <c r="C123" s="574">
        <v>0.77452009793942034</v>
      </c>
      <c r="D123" s="100">
        <f t="shared" si="15"/>
        <v>31407.546821941112</v>
      </c>
      <c r="E123" s="100">
        <f t="shared" si="16"/>
        <v>557609.58627674251</v>
      </c>
      <c r="F123" s="100">
        <f t="shared" si="25"/>
        <v>5487.938309429117</v>
      </c>
      <c r="G123" s="100">
        <f t="shared" si="17"/>
        <v>97432.856745604542</v>
      </c>
      <c r="H123" s="100">
        <f t="shared" si="26"/>
        <v>1781.9034736823487</v>
      </c>
      <c r="I123" s="100">
        <f t="shared" si="18"/>
        <v>31635.914271756417</v>
      </c>
      <c r="J123" s="100">
        <f t="shared" si="19"/>
        <v>1218.3656770066668</v>
      </c>
      <c r="K123" s="100">
        <f t="shared" si="20"/>
        <v>21630.864229576364</v>
      </c>
      <c r="L123" s="101">
        <f t="shared" si="21"/>
        <v>119063.72097518091</v>
      </c>
      <c r="M123" s="100">
        <f t="shared" si="22"/>
        <v>676673.30725192337</v>
      </c>
      <c r="N123" s="102">
        <f t="shared" si="23"/>
        <v>38113.85080837689</v>
      </c>
      <c r="O123" s="94">
        <f t="shared" si="24"/>
        <v>0.93989968806892221</v>
      </c>
      <c r="P123" s="100">
        <f>'K22'!C117</f>
        <v>17754</v>
      </c>
      <c r="Q123" s="100"/>
      <c r="R123" s="100">
        <f t="shared" si="27"/>
        <v>0</v>
      </c>
      <c r="S123" s="100">
        <v>0</v>
      </c>
      <c r="U123" s="100">
        <v>0</v>
      </c>
      <c r="V123" s="5">
        <f t="shared" si="28"/>
        <v>557609.58627674251</v>
      </c>
      <c r="W123" s="5">
        <f t="shared" si="29"/>
        <v>31407.546821941109</v>
      </c>
    </row>
    <row r="124" spans="1:23" ht="13">
      <c r="A124" s="92">
        <v>3027</v>
      </c>
      <c r="B124" s="93" t="s">
        <v>389</v>
      </c>
      <c r="C124" s="574">
        <v>0.98849776136159062</v>
      </c>
      <c r="D124" s="100">
        <f t="shared" si="15"/>
        <v>40084.550169770337</v>
      </c>
      <c r="E124" s="100">
        <f t="shared" si="16"/>
        <v>762568.48242971092</v>
      </c>
      <c r="F124" s="100">
        <f t="shared" si="25"/>
        <v>281.73630073158273</v>
      </c>
      <c r="G124" s="100">
        <f t="shared" si="17"/>
        <v>5359.75138511763</v>
      </c>
      <c r="H124" s="100">
        <f t="shared" si="26"/>
        <v>0</v>
      </c>
      <c r="I124" s="100">
        <f t="shared" si="18"/>
        <v>0</v>
      </c>
      <c r="J124" s="100">
        <f t="shared" si="19"/>
        <v>-563.53779667568176</v>
      </c>
      <c r="K124" s="100">
        <f t="shared" si="20"/>
        <v>-10720.743043958169</v>
      </c>
      <c r="L124" s="101">
        <f t="shared" si="21"/>
        <v>-5360.9916588405395</v>
      </c>
      <c r="M124" s="100">
        <f t="shared" si="22"/>
        <v>757207.49077087035</v>
      </c>
      <c r="N124" s="102">
        <f t="shared" si="23"/>
        <v>39802.748673826238</v>
      </c>
      <c r="O124" s="94">
        <f t="shared" si="24"/>
        <v>0.98154844680749664</v>
      </c>
      <c r="P124" s="100">
        <f>'K22'!C118</f>
        <v>19024</v>
      </c>
      <c r="Q124" s="100"/>
      <c r="R124" s="100">
        <f t="shared" si="27"/>
        <v>0</v>
      </c>
      <c r="S124" s="100">
        <v>0</v>
      </c>
      <c r="U124" s="100">
        <v>12.209666666666669</v>
      </c>
      <c r="V124" s="5">
        <f t="shared" si="28"/>
        <v>762556.27276304422</v>
      </c>
      <c r="W124" s="5">
        <f t="shared" si="29"/>
        <v>40083.908366434203</v>
      </c>
    </row>
    <row r="125" spans="1:23" ht="13">
      <c r="A125" s="92">
        <v>3028</v>
      </c>
      <c r="B125" s="93" t="s">
        <v>390</v>
      </c>
      <c r="C125" s="574">
        <v>0.82510218415606784</v>
      </c>
      <c r="D125" s="100">
        <f t="shared" si="15"/>
        <v>33458.69984615234</v>
      </c>
      <c r="E125" s="100">
        <f t="shared" si="16"/>
        <v>376376.91456936765</v>
      </c>
      <c r="F125" s="100">
        <f t="shared" si="25"/>
        <v>4257.2464949023806</v>
      </c>
      <c r="G125" s="100">
        <f t="shared" si="17"/>
        <v>47889.765821156885</v>
      </c>
      <c r="H125" s="100">
        <f t="shared" si="26"/>
        <v>1063.999915208419</v>
      </c>
      <c r="I125" s="100">
        <f t="shared" si="18"/>
        <v>11968.935046179506</v>
      </c>
      <c r="J125" s="100">
        <f t="shared" si="19"/>
        <v>500.46211853273724</v>
      </c>
      <c r="K125" s="100">
        <f t="shared" si="20"/>
        <v>5629.6983713747604</v>
      </c>
      <c r="L125" s="101">
        <f t="shared" si="21"/>
        <v>53519.464192531646</v>
      </c>
      <c r="M125" s="100">
        <f t="shared" si="22"/>
        <v>429896.37876189931</v>
      </c>
      <c r="N125" s="102">
        <f t="shared" si="23"/>
        <v>38216.408459587459</v>
      </c>
      <c r="O125" s="94">
        <f t="shared" si="24"/>
        <v>0.94242879237975474</v>
      </c>
      <c r="P125" s="100">
        <f>'K22'!C119</f>
        <v>11249</v>
      </c>
      <c r="Q125" s="100"/>
      <c r="R125" s="100">
        <f t="shared" si="27"/>
        <v>0</v>
      </c>
      <c r="S125" s="100">
        <v>0</v>
      </c>
      <c r="U125" s="100">
        <v>9.2296666666666667</v>
      </c>
      <c r="V125" s="5">
        <f t="shared" si="28"/>
        <v>376367.684902701</v>
      </c>
      <c r="W125" s="5">
        <f t="shared" si="29"/>
        <v>33457.879358405284</v>
      </c>
    </row>
    <row r="126" spans="1:23" ht="13">
      <c r="A126" s="92">
        <v>3029</v>
      </c>
      <c r="B126" s="93" t="s">
        <v>391</v>
      </c>
      <c r="C126" s="574">
        <v>1.0092938211461224</v>
      </c>
      <c r="D126" s="100">
        <f t="shared" si="15"/>
        <v>40927.850715659661</v>
      </c>
      <c r="E126" s="100">
        <f t="shared" si="16"/>
        <v>1829188.4320349772</v>
      </c>
      <c r="F126" s="100">
        <f t="shared" si="25"/>
        <v>-224.24402680201163</v>
      </c>
      <c r="G126" s="100">
        <f t="shared" si="17"/>
        <v>-10022.138289862307</v>
      </c>
      <c r="H126" s="100">
        <f t="shared" si="26"/>
        <v>0</v>
      </c>
      <c r="I126" s="100">
        <f t="shared" si="18"/>
        <v>0</v>
      </c>
      <c r="J126" s="100">
        <f t="shared" si="19"/>
        <v>-563.53779667568176</v>
      </c>
      <c r="K126" s="100">
        <f t="shared" si="20"/>
        <v>-25186.194746826248</v>
      </c>
      <c r="L126" s="101">
        <f t="shared" si="21"/>
        <v>-35208.333036688557</v>
      </c>
      <c r="M126" s="100">
        <f t="shared" si="22"/>
        <v>1793980.0989982886</v>
      </c>
      <c r="N126" s="102">
        <f t="shared" si="23"/>
        <v>40140.068892181967</v>
      </c>
      <c r="O126" s="94">
        <f t="shared" si="24"/>
        <v>0.9898668707213093</v>
      </c>
      <c r="P126" s="100">
        <f>'K22'!C120</f>
        <v>44693</v>
      </c>
      <c r="Q126" s="100"/>
      <c r="R126" s="100">
        <f t="shared" si="27"/>
        <v>0</v>
      </c>
      <c r="S126" s="100">
        <v>0</v>
      </c>
      <c r="U126" s="100">
        <v>0</v>
      </c>
      <c r="V126" s="5">
        <f t="shared" si="28"/>
        <v>1829188.4320349772</v>
      </c>
      <c r="W126" s="5">
        <f t="shared" si="29"/>
        <v>40927.850715659661</v>
      </c>
    </row>
    <row r="127" spans="1:23" ht="13">
      <c r="A127" s="92">
        <v>3030</v>
      </c>
      <c r="B127" s="93" t="s">
        <v>1820</v>
      </c>
      <c r="C127" s="574">
        <v>0.98104765274540584</v>
      </c>
      <c r="D127" s="100">
        <f t="shared" si="15"/>
        <v>39782.440985239307</v>
      </c>
      <c r="E127" s="100">
        <f t="shared" si="16"/>
        <v>3544416.5795798958</v>
      </c>
      <c r="F127" s="100">
        <f t="shared" si="25"/>
        <v>463.00181145020031</v>
      </c>
      <c r="G127" s="100">
        <f t="shared" si="17"/>
        <v>41251.146391155591</v>
      </c>
      <c r="H127" s="100">
        <f t="shared" si="26"/>
        <v>0</v>
      </c>
      <c r="I127" s="100">
        <f t="shared" si="18"/>
        <v>0</v>
      </c>
      <c r="J127" s="100">
        <f t="shared" si="19"/>
        <v>-563.53779667568176</v>
      </c>
      <c r="K127" s="100">
        <f t="shared" si="20"/>
        <v>-50208.399994819862</v>
      </c>
      <c r="L127" s="101">
        <f t="shared" si="21"/>
        <v>-8957.2536036642705</v>
      </c>
      <c r="M127" s="100">
        <f t="shared" si="22"/>
        <v>3535459.3259762316</v>
      </c>
      <c r="N127" s="102">
        <f t="shared" si="23"/>
        <v>39681.905000013823</v>
      </c>
      <c r="O127" s="94">
        <f t="shared" si="24"/>
        <v>0.97856840336102269</v>
      </c>
      <c r="P127" s="100">
        <f>'K22'!C121</f>
        <v>89095</v>
      </c>
      <c r="Q127" s="100"/>
      <c r="R127" s="100">
        <f t="shared" si="27"/>
        <v>0</v>
      </c>
      <c r="S127" s="100">
        <v>0</v>
      </c>
      <c r="U127" s="100">
        <v>2269.7153333333331</v>
      </c>
      <c r="V127" s="5">
        <f t="shared" si="28"/>
        <v>3542146.8642465626</v>
      </c>
      <c r="W127" s="5">
        <f t="shared" si="29"/>
        <v>39756.965758421487</v>
      </c>
    </row>
    <row r="128" spans="1:23" ht="13">
      <c r="A128" s="92">
        <v>3031</v>
      </c>
      <c r="B128" s="93" t="s">
        <v>392</v>
      </c>
      <c r="C128" s="574">
        <v>1.0299573385413656</v>
      </c>
      <c r="D128" s="100">
        <f t="shared" si="15"/>
        <v>41765.776538144717</v>
      </c>
      <c r="E128" s="100">
        <f t="shared" si="16"/>
        <v>1041930.8272970963</v>
      </c>
      <c r="F128" s="100">
        <f t="shared" si="25"/>
        <v>-726.99952029304552</v>
      </c>
      <c r="G128" s="100">
        <f t="shared" si="17"/>
        <v>-18136.457032750608</v>
      </c>
      <c r="H128" s="100">
        <f t="shared" si="26"/>
        <v>0</v>
      </c>
      <c r="I128" s="100">
        <f t="shared" si="18"/>
        <v>0</v>
      </c>
      <c r="J128" s="100">
        <f t="shared" si="19"/>
        <v>-563.53779667568176</v>
      </c>
      <c r="K128" s="100">
        <f t="shared" si="20"/>
        <v>-14058.577413668232</v>
      </c>
      <c r="L128" s="101">
        <f t="shared" si="21"/>
        <v>-32195.034446418838</v>
      </c>
      <c r="M128" s="100">
        <f t="shared" si="22"/>
        <v>1009735.7928506774</v>
      </c>
      <c r="N128" s="102">
        <f t="shared" si="23"/>
        <v>40475.239221175987</v>
      </c>
      <c r="O128" s="94">
        <f t="shared" si="24"/>
        <v>0.99813227767940649</v>
      </c>
      <c r="P128" s="100">
        <f>'K22'!C122</f>
        <v>24947</v>
      </c>
      <c r="Q128" s="100"/>
      <c r="R128" s="100">
        <f t="shared" si="27"/>
        <v>0</v>
      </c>
      <c r="S128" s="100">
        <v>0</v>
      </c>
      <c r="U128" s="100">
        <v>0</v>
      </c>
      <c r="V128" s="5">
        <f t="shared" si="28"/>
        <v>1041930.8272970963</v>
      </c>
      <c r="W128" s="5">
        <f t="shared" si="29"/>
        <v>41765.776538144717</v>
      </c>
    </row>
    <row r="129" spans="1:23" ht="13">
      <c r="A129" s="92">
        <v>3032</v>
      </c>
      <c r="B129" s="93" t="s">
        <v>393</v>
      </c>
      <c r="C129" s="574">
        <v>1.0873739338375916</v>
      </c>
      <c r="D129" s="100">
        <f t="shared" si="15"/>
        <v>44094.075584122103</v>
      </c>
      <c r="E129" s="100">
        <f t="shared" si="16"/>
        <v>308173.49425742938</v>
      </c>
      <c r="F129" s="100">
        <f t="shared" si="25"/>
        <v>-2123.9789478794773</v>
      </c>
      <c r="G129" s="100">
        <f t="shared" si="17"/>
        <v>-14844.488866729667</v>
      </c>
      <c r="H129" s="100">
        <f t="shared" si="26"/>
        <v>0</v>
      </c>
      <c r="I129" s="100">
        <f t="shared" si="18"/>
        <v>0</v>
      </c>
      <c r="J129" s="100">
        <f t="shared" si="19"/>
        <v>-563.53779667568176</v>
      </c>
      <c r="K129" s="100">
        <f t="shared" si="20"/>
        <v>-3938.5656609663401</v>
      </c>
      <c r="L129" s="101">
        <f t="shared" si="21"/>
        <v>-18783.054527696007</v>
      </c>
      <c r="M129" s="100">
        <f t="shared" si="22"/>
        <v>289390.43972973339</v>
      </c>
      <c r="N129" s="102">
        <f t="shared" si="23"/>
        <v>41406.558839566947</v>
      </c>
      <c r="O129" s="94">
        <f t="shared" si="24"/>
        <v>1.0210989157978971</v>
      </c>
      <c r="P129" s="100">
        <f>'K22'!C123</f>
        <v>6989</v>
      </c>
      <c r="Q129" s="100"/>
      <c r="R129" s="100">
        <f t="shared" si="27"/>
        <v>0</v>
      </c>
      <c r="S129" s="100">
        <v>0</v>
      </c>
      <c r="U129" s="100">
        <v>0</v>
      </c>
      <c r="V129" s="5">
        <f t="shared" si="28"/>
        <v>308173.49425742938</v>
      </c>
      <c r="W129" s="5">
        <f t="shared" si="29"/>
        <v>44094.075584122103</v>
      </c>
    </row>
    <row r="130" spans="1:23" ht="13">
      <c r="A130" s="92">
        <v>3033</v>
      </c>
      <c r="B130" s="93" t="s">
        <v>394</v>
      </c>
      <c r="C130" s="574">
        <v>0.91011441117850611</v>
      </c>
      <c r="D130" s="100">
        <f t="shared" si="15"/>
        <v>36906.028724703348</v>
      </c>
      <c r="E130" s="100">
        <f t="shared" si="16"/>
        <v>1533999.0839422946</v>
      </c>
      <c r="F130" s="100">
        <f t="shared" si="25"/>
        <v>2188.8491677717757</v>
      </c>
      <c r="G130" s="100">
        <f t="shared" si="17"/>
        <v>90979.515658433855</v>
      </c>
      <c r="H130" s="100">
        <f t="shared" si="26"/>
        <v>0</v>
      </c>
      <c r="I130" s="100">
        <f t="shared" si="18"/>
        <v>0</v>
      </c>
      <c r="J130" s="100">
        <f t="shared" si="19"/>
        <v>-563.53779667568176</v>
      </c>
      <c r="K130" s="100">
        <f t="shared" si="20"/>
        <v>-23423.448518824713</v>
      </c>
      <c r="L130" s="101">
        <f t="shared" si="21"/>
        <v>67556.067139609135</v>
      </c>
      <c r="M130" s="100">
        <f t="shared" si="22"/>
        <v>1601555.1510819036</v>
      </c>
      <c r="N130" s="102">
        <f t="shared" si="23"/>
        <v>38531.340095799438</v>
      </c>
      <c r="O130" s="94">
        <f t="shared" si="24"/>
        <v>0.95019510673426277</v>
      </c>
      <c r="P130" s="100">
        <f>'K22'!C124</f>
        <v>41565</v>
      </c>
      <c r="Q130" s="100"/>
      <c r="R130" s="100">
        <f t="shared" si="27"/>
        <v>0</v>
      </c>
      <c r="S130" s="100">
        <v>0</v>
      </c>
      <c r="U130" s="100">
        <v>0</v>
      </c>
      <c r="V130" s="5">
        <f t="shared" si="28"/>
        <v>1533999.0839422946</v>
      </c>
      <c r="W130" s="5">
        <f t="shared" si="29"/>
        <v>36906.028724703348</v>
      </c>
    </row>
    <row r="131" spans="1:23" ht="13">
      <c r="A131" s="92">
        <v>3034</v>
      </c>
      <c r="B131" s="93" t="s">
        <v>395</v>
      </c>
      <c r="C131" s="574">
        <v>0.8167160227114062</v>
      </c>
      <c r="D131" s="100">
        <f t="shared" si="15"/>
        <v>33118.632804728491</v>
      </c>
      <c r="E131" s="100">
        <f t="shared" si="16"/>
        <v>791469.08676740143</v>
      </c>
      <c r="F131" s="100">
        <f t="shared" si="25"/>
        <v>4461.2867197566893</v>
      </c>
      <c r="G131" s="100">
        <f t="shared" si="17"/>
        <v>106615.83002874537</v>
      </c>
      <c r="H131" s="100">
        <f t="shared" si="26"/>
        <v>1183.0233797067658</v>
      </c>
      <c r="I131" s="100">
        <f t="shared" si="18"/>
        <v>28271.892728232291</v>
      </c>
      <c r="J131" s="100">
        <f t="shared" si="19"/>
        <v>619.48558303108405</v>
      </c>
      <c r="K131" s="100">
        <f t="shared" si="20"/>
        <v>14804.466463276847</v>
      </c>
      <c r="L131" s="101">
        <f t="shared" si="21"/>
        <v>121420.29649202223</v>
      </c>
      <c r="M131" s="100">
        <f t="shared" si="22"/>
        <v>912889.38325942366</v>
      </c>
      <c r="N131" s="102">
        <f t="shared" si="23"/>
        <v>38199.405107516264</v>
      </c>
      <c r="O131" s="94">
        <f t="shared" si="24"/>
        <v>0.94200948430752163</v>
      </c>
      <c r="P131" s="100">
        <f>'K22'!C125</f>
        <v>23898</v>
      </c>
      <c r="Q131" s="100"/>
      <c r="R131" s="100">
        <f t="shared" si="27"/>
        <v>0</v>
      </c>
      <c r="S131" s="100">
        <v>0</v>
      </c>
      <c r="U131" s="100">
        <v>7719.6986666666671</v>
      </c>
      <c r="V131" s="5">
        <f t="shared" si="28"/>
        <v>783749.3881007348</v>
      </c>
      <c r="W131" s="5">
        <f t="shared" si="29"/>
        <v>32795.605828970409</v>
      </c>
    </row>
    <row r="132" spans="1:23" ht="13">
      <c r="A132" s="92">
        <v>3035</v>
      </c>
      <c r="B132" s="93" t="s">
        <v>396</v>
      </c>
      <c r="C132" s="574">
        <v>0.77836486836638052</v>
      </c>
      <c r="D132" s="100">
        <f t="shared" si="15"/>
        <v>31563.456019811678</v>
      </c>
      <c r="E132" s="100">
        <f t="shared" si="16"/>
        <v>843249.29102528887</v>
      </c>
      <c r="F132" s="100">
        <f t="shared" si="25"/>
        <v>5394.3927907067782</v>
      </c>
      <c r="G132" s="100">
        <f t="shared" si="17"/>
        <v>144116.59779652228</v>
      </c>
      <c r="H132" s="100">
        <f t="shared" si="26"/>
        <v>1727.3352544276506</v>
      </c>
      <c r="I132" s="100">
        <f t="shared" si="18"/>
        <v>46147.488657289119</v>
      </c>
      <c r="J132" s="100">
        <f t="shared" si="19"/>
        <v>1163.797457751969</v>
      </c>
      <c r="K132" s="100">
        <f t="shared" si="20"/>
        <v>31092.012881301605</v>
      </c>
      <c r="L132" s="101">
        <f t="shared" si="21"/>
        <v>175208.61067782389</v>
      </c>
      <c r="M132" s="100">
        <f t="shared" si="22"/>
        <v>1018457.9017031128</v>
      </c>
      <c r="N132" s="102">
        <f t="shared" si="23"/>
        <v>38121.64626827043</v>
      </c>
      <c r="O132" s="94">
        <f t="shared" si="24"/>
        <v>0.94009192659027052</v>
      </c>
      <c r="P132" s="100">
        <f>'K22'!C126</f>
        <v>26716</v>
      </c>
      <c r="Q132" s="100"/>
      <c r="R132" s="100">
        <f t="shared" si="27"/>
        <v>0</v>
      </c>
      <c r="S132" s="100">
        <v>0</v>
      </c>
      <c r="U132" s="100">
        <v>755.41233333333332</v>
      </c>
      <c r="V132" s="5">
        <f t="shared" si="28"/>
        <v>842493.87869195559</v>
      </c>
      <c r="W132" s="5">
        <f t="shared" si="29"/>
        <v>31535.180367268887</v>
      </c>
    </row>
    <row r="133" spans="1:23" ht="13">
      <c r="A133" s="92">
        <v>3036</v>
      </c>
      <c r="B133" s="93" t="s">
        <v>397</v>
      </c>
      <c r="C133" s="574">
        <v>0.80350798048166239</v>
      </c>
      <c r="D133" s="100">
        <f t="shared" si="15"/>
        <v>32583.033785593288</v>
      </c>
      <c r="E133" s="100">
        <f t="shared" si="16"/>
        <v>491156.65128403326</v>
      </c>
      <c r="F133" s="100">
        <f t="shared" si="25"/>
        <v>4782.6461312378115</v>
      </c>
      <c r="G133" s="100">
        <f t="shared" si="17"/>
        <v>72093.607782278777</v>
      </c>
      <c r="H133" s="100">
        <f t="shared" si="26"/>
        <v>1370.483036404087</v>
      </c>
      <c r="I133" s="100">
        <f t="shared" si="18"/>
        <v>20658.661290755208</v>
      </c>
      <c r="J133" s="100">
        <f t="shared" si="19"/>
        <v>806.94523972840523</v>
      </c>
      <c r="K133" s="100">
        <f t="shared" si="20"/>
        <v>12163.892543665981</v>
      </c>
      <c r="L133" s="101">
        <f t="shared" si="21"/>
        <v>84257.500325944755</v>
      </c>
      <c r="M133" s="100">
        <f t="shared" si="22"/>
        <v>575414.15160997806</v>
      </c>
      <c r="N133" s="102">
        <f t="shared" si="23"/>
        <v>38172.625156559508</v>
      </c>
      <c r="O133" s="94">
        <f t="shared" si="24"/>
        <v>0.94134908219603453</v>
      </c>
      <c r="P133" s="100">
        <f>'K22'!C127</f>
        <v>15074</v>
      </c>
      <c r="Q133" s="100"/>
      <c r="R133" s="100">
        <f t="shared" si="27"/>
        <v>0</v>
      </c>
      <c r="S133" s="100">
        <v>0</v>
      </c>
      <c r="U133" s="100">
        <v>26.251999999999999</v>
      </c>
      <c r="V133" s="5">
        <f t="shared" si="28"/>
        <v>491130.39928403328</v>
      </c>
      <c r="W133" s="5">
        <f t="shared" si="29"/>
        <v>32581.292243865817</v>
      </c>
    </row>
    <row r="134" spans="1:23" ht="13">
      <c r="A134" s="92">
        <v>3037</v>
      </c>
      <c r="B134" s="93" t="s">
        <v>398</v>
      </c>
      <c r="C134" s="574">
        <v>0.73495178002048833</v>
      </c>
      <c r="D134" s="100">
        <f t="shared" si="15"/>
        <v>29803.012864706718</v>
      </c>
      <c r="E134" s="100">
        <f t="shared" si="16"/>
        <v>86577.752371973009</v>
      </c>
      <c r="F134" s="100">
        <f t="shared" si="25"/>
        <v>6450.6586837697541</v>
      </c>
      <c r="G134" s="100">
        <f t="shared" si="17"/>
        <v>18739.163476351136</v>
      </c>
      <c r="H134" s="100">
        <f t="shared" si="26"/>
        <v>2343.4903587143867</v>
      </c>
      <c r="I134" s="100">
        <f t="shared" si="18"/>
        <v>6807.8394920652936</v>
      </c>
      <c r="J134" s="100">
        <f t="shared" si="19"/>
        <v>1779.9525620387049</v>
      </c>
      <c r="K134" s="100">
        <f t="shared" si="20"/>
        <v>5170.7621927224382</v>
      </c>
      <c r="L134" s="101">
        <f t="shared" si="21"/>
        <v>23909.925669073575</v>
      </c>
      <c r="M134" s="100">
        <f t="shared" si="22"/>
        <v>110487.67804104659</v>
      </c>
      <c r="N134" s="102">
        <f t="shared" si="23"/>
        <v>38033.624110515178</v>
      </c>
      <c r="O134" s="94">
        <f t="shared" si="24"/>
        <v>0.93792127217297583</v>
      </c>
      <c r="P134" s="100">
        <f>'K22'!C128</f>
        <v>2905</v>
      </c>
      <c r="Q134" s="100"/>
      <c r="R134" s="100">
        <f t="shared" si="27"/>
        <v>0</v>
      </c>
      <c r="S134" s="100">
        <v>0</v>
      </c>
      <c r="U134" s="100">
        <v>57.51466666666667</v>
      </c>
      <c r="V134" s="5">
        <f t="shared" si="28"/>
        <v>86520.237705306339</v>
      </c>
      <c r="W134" s="5">
        <f t="shared" si="29"/>
        <v>29783.214356387722</v>
      </c>
    </row>
    <row r="135" spans="1:23" ht="13">
      <c r="A135" s="92">
        <v>3038</v>
      </c>
      <c r="B135" s="93" t="s">
        <v>450</v>
      </c>
      <c r="C135" s="574">
        <v>1.1453112605897793</v>
      </c>
      <c r="D135" s="100">
        <f t="shared" si="15"/>
        <v>46443.490799490421</v>
      </c>
      <c r="E135" s="100">
        <f t="shared" si="16"/>
        <v>318555.90339370479</v>
      </c>
      <c r="F135" s="100">
        <f t="shared" si="25"/>
        <v>-3533.6280771004676</v>
      </c>
      <c r="G135" s="100">
        <f t="shared" si="17"/>
        <v>-24237.154980832107</v>
      </c>
      <c r="H135" s="100">
        <f t="shared" si="26"/>
        <v>0</v>
      </c>
      <c r="I135" s="100">
        <f t="shared" si="18"/>
        <v>0</v>
      </c>
      <c r="J135" s="100">
        <f t="shared" si="19"/>
        <v>-563.53779667568176</v>
      </c>
      <c r="K135" s="100">
        <f t="shared" si="20"/>
        <v>-3865.3057473985014</v>
      </c>
      <c r="L135" s="101">
        <f t="shared" si="21"/>
        <v>-28102.46072823061</v>
      </c>
      <c r="M135" s="100">
        <f t="shared" si="22"/>
        <v>290453.44266547414</v>
      </c>
      <c r="N135" s="102">
        <f t="shared" si="23"/>
        <v>42346.32492571426</v>
      </c>
      <c r="O135" s="94">
        <f t="shared" si="24"/>
        <v>1.0442738464987718</v>
      </c>
      <c r="P135" s="100">
        <f>'K22'!C129</f>
        <v>6859</v>
      </c>
      <c r="Q135" s="100"/>
      <c r="R135" s="100">
        <f t="shared" si="27"/>
        <v>0</v>
      </c>
      <c r="S135" s="100">
        <v>0</v>
      </c>
      <c r="U135" s="100">
        <v>161.60133333333332</v>
      </c>
      <c r="V135" s="5">
        <f t="shared" si="28"/>
        <v>318394.30206037144</v>
      </c>
      <c r="W135" s="5">
        <f t="shared" si="29"/>
        <v>46419.930319342682</v>
      </c>
    </row>
    <row r="136" spans="1:23" ht="13">
      <c r="A136" s="92">
        <v>3039</v>
      </c>
      <c r="B136" s="93" t="s">
        <v>451</v>
      </c>
      <c r="C136" s="574">
        <v>1.0203651428087721</v>
      </c>
      <c r="D136" s="100">
        <f t="shared" si="15"/>
        <v>41376.803627824942</v>
      </c>
      <c r="E136" s="100">
        <f t="shared" si="16"/>
        <v>43735.281434610966</v>
      </c>
      <c r="F136" s="100">
        <f t="shared" si="25"/>
        <v>-493.61577410118042</v>
      </c>
      <c r="G136" s="100">
        <f t="shared" si="17"/>
        <v>-521.75187322494776</v>
      </c>
      <c r="H136" s="100">
        <f t="shared" si="26"/>
        <v>0</v>
      </c>
      <c r="I136" s="100">
        <f t="shared" si="18"/>
        <v>0</v>
      </c>
      <c r="J136" s="100">
        <f t="shared" si="19"/>
        <v>-563.53779667568176</v>
      </c>
      <c r="K136" s="100">
        <f t="shared" si="20"/>
        <v>-595.65945108619565</v>
      </c>
      <c r="L136" s="101">
        <f t="shared" si="21"/>
        <v>-1117.4113243111433</v>
      </c>
      <c r="M136" s="100">
        <f t="shared" si="22"/>
        <v>42617.870110299824</v>
      </c>
      <c r="N136" s="102">
        <f t="shared" si="23"/>
        <v>40319.650057048086</v>
      </c>
      <c r="O136" s="94">
        <f t="shared" si="24"/>
        <v>0.99429539938636935</v>
      </c>
      <c r="P136" s="100">
        <f>'K22'!C130</f>
        <v>1057</v>
      </c>
      <c r="Q136" s="100"/>
      <c r="R136" s="100">
        <f t="shared" si="27"/>
        <v>0</v>
      </c>
      <c r="S136" s="100">
        <v>0</v>
      </c>
      <c r="U136" s="100">
        <v>89.271999999999991</v>
      </c>
      <c r="V136" s="5">
        <f t="shared" si="28"/>
        <v>43646.009434610969</v>
      </c>
      <c r="W136" s="5">
        <f t="shared" si="29"/>
        <v>41292.345728108769</v>
      </c>
    </row>
    <row r="137" spans="1:23" ht="13">
      <c r="A137" s="92">
        <v>3040</v>
      </c>
      <c r="B137" s="93" t="s">
        <v>1967</v>
      </c>
      <c r="C137" s="574">
        <v>1.0045216525507186</v>
      </c>
      <c r="D137" s="100">
        <f t="shared" si="15"/>
        <v>40734.334615817839</v>
      </c>
      <c r="E137" s="100">
        <f t="shared" si="16"/>
        <v>133323.47719757177</v>
      </c>
      <c r="F137" s="100">
        <f t="shared" si="25"/>
        <v>-108.13436689691879</v>
      </c>
      <c r="G137" s="100">
        <f t="shared" si="17"/>
        <v>-353.92378285361519</v>
      </c>
      <c r="H137" s="100">
        <f t="shared" si="26"/>
        <v>0</v>
      </c>
      <c r="I137" s="100">
        <f t="shared" si="18"/>
        <v>0</v>
      </c>
      <c r="J137" s="100">
        <f t="shared" si="19"/>
        <v>-563.53779667568176</v>
      </c>
      <c r="K137" s="100">
        <f t="shared" si="20"/>
        <v>-1844.4592085195065</v>
      </c>
      <c r="L137" s="101">
        <f t="shared" si="21"/>
        <v>-2198.3829913731215</v>
      </c>
      <c r="M137" s="100">
        <f t="shared" si="22"/>
        <v>131125.09420619864</v>
      </c>
      <c r="N137" s="102">
        <f t="shared" si="23"/>
        <v>40062.662452245233</v>
      </c>
      <c r="O137" s="94">
        <f t="shared" si="24"/>
        <v>0.98795800328314765</v>
      </c>
      <c r="P137" s="100">
        <f>'K22'!C131</f>
        <v>3273</v>
      </c>
      <c r="Q137" s="100"/>
      <c r="R137" s="100">
        <f t="shared" si="27"/>
        <v>0</v>
      </c>
      <c r="S137" s="100">
        <v>0</v>
      </c>
      <c r="U137" s="100">
        <v>3980.9303333333337</v>
      </c>
      <c r="V137" s="5">
        <f t="shared" si="28"/>
        <v>129342.54686423844</v>
      </c>
      <c r="W137" s="5">
        <f t="shared" si="29"/>
        <v>39518.040594023354</v>
      </c>
    </row>
    <row r="138" spans="1:23" ht="13">
      <c r="A138" s="92">
        <v>3041</v>
      </c>
      <c r="B138" s="93" t="s">
        <v>452</v>
      </c>
      <c r="C138" s="574">
        <v>0.97518475920192549</v>
      </c>
      <c r="D138" s="100">
        <f t="shared" ref="D138:D201" si="30">C138*D$367</f>
        <v>39544.694922911411</v>
      </c>
      <c r="E138" s="100">
        <f t="shared" ref="E138:E201" si="31">D138*P138/1000</f>
        <v>184555.09120522757</v>
      </c>
      <c r="F138" s="100">
        <f t="shared" si="25"/>
        <v>605.6494488469383</v>
      </c>
      <c r="G138" s="100">
        <f t="shared" ref="G138:G201" si="32">F138*P138/1000</f>
        <v>2826.565977768661</v>
      </c>
      <c r="H138" s="100">
        <f t="shared" si="26"/>
        <v>0</v>
      </c>
      <c r="I138" s="100">
        <f t="shared" ref="I138:I201" si="33">H138*P138/1000</f>
        <v>0</v>
      </c>
      <c r="J138" s="100">
        <f t="shared" ref="J138:J201" si="34">H138+H$370</f>
        <v>-563.53779667568176</v>
      </c>
      <c r="K138" s="100">
        <f t="shared" ref="K138:K201" si="35">J138*P138/1000</f>
        <v>-2630.0308970854067</v>
      </c>
      <c r="L138" s="101">
        <f t="shared" ref="L138:L201" si="36">K138+G138</f>
        <v>196.53508068325436</v>
      </c>
      <c r="M138" s="100">
        <f t="shared" ref="M138:M201" si="37">K138+E138+G138</f>
        <v>184751.62628591081</v>
      </c>
      <c r="N138" s="102">
        <f t="shared" ref="N138:N201" si="38">M138*1000/P138</f>
        <v>39586.806575082672</v>
      </c>
      <c r="O138" s="94">
        <f t="shared" ref="O138:O201" si="39">N138/N$367</f>
        <v>0.97622324594363075</v>
      </c>
      <c r="P138" s="100">
        <f>'K22'!C132</f>
        <v>4667</v>
      </c>
      <c r="Q138" s="100"/>
      <c r="R138" s="100">
        <f t="shared" si="27"/>
        <v>0</v>
      </c>
      <c r="S138" s="100">
        <v>0</v>
      </c>
      <c r="U138" s="100">
        <v>7883.4106666666667</v>
      </c>
      <c r="V138" s="5">
        <f t="shared" si="28"/>
        <v>176671.6805385609</v>
      </c>
      <c r="W138" s="5">
        <f t="shared" si="29"/>
        <v>37855.513293027834</v>
      </c>
    </row>
    <row r="139" spans="1:23" ht="13">
      <c r="A139" s="92">
        <v>3042</v>
      </c>
      <c r="B139" s="93" t="s">
        <v>453</v>
      </c>
      <c r="C139" s="574">
        <v>1.2045980961354192</v>
      </c>
      <c r="D139" s="100">
        <f t="shared" si="30"/>
        <v>48847.629915154859</v>
      </c>
      <c r="E139" s="100">
        <f t="shared" si="31"/>
        <v>127541.16170846933</v>
      </c>
      <c r="F139" s="100">
        <f t="shared" ref="F139:F202" si="40">($D$367+$R$367-D139-R139)*0.6</f>
        <v>-4976.1115464991308</v>
      </c>
      <c r="G139" s="100">
        <f t="shared" si="32"/>
        <v>-12992.627247909231</v>
      </c>
      <c r="H139" s="100">
        <f t="shared" ref="H139:H202" si="41">IF((D139+R139)&lt;(D$367+R$367)*0.9,((D$367+R$367)*0.9-(D139+R139))*0.35,0)</f>
        <v>0</v>
      </c>
      <c r="I139" s="100">
        <f t="shared" si="33"/>
        <v>0</v>
      </c>
      <c r="J139" s="100">
        <f t="shared" si="34"/>
        <v>-563.53779667568176</v>
      </c>
      <c r="K139" s="100">
        <f t="shared" si="35"/>
        <v>-1471.397187120205</v>
      </c>
      <c r="L139" s="101">
        <f t="shared" si="36"/>
        <v>-14464.024435029436</v>
      </c>
      <c r="M139" s="100">
        <f t="shared" si="37"/>
        <v>113077.13727343989</v>
      </c>
      <c r="N139" s="102">
        <f t="shared" si="38"/>
        <v>43307.980571980042</v>
      </c>
      <c r="O139" s="94">
        <f t="shared" si="39"/>
        <v>1.067988580717028</v>
      </c>
      <c r="P139" s="100">
        <f>'K22'!C133</f>
        <v>2611</v>
      </c>
      <c r="Q139" s="100"/>
      <c r="R139" s="100">
        <f t="shared" ref="R139:R202" si="42">S139*1000/P139</f>
        <v>0</v>
      </c>
      <c r="S139" s="100">
        <v>0</v>
      </c>
      <c r="U139" s="100">
        <v>4510.4490000000005</v>
      </c>
      <c r="V139" s="5">
        <f t="shared" ref="V139:V202" si="43">+E139-U139</f>
        <v>123030.71270846933</v>
      </c>
      <c r="W139" s="5">
        <f t="shared" ref="W139:W202" si="44">+V139*1000/P139</f>
        <v>47120.150405388486</v>
      </c>
    </row>
    <row r="140" spans="1:23" ht="13">
      <c r="A140" s="92">
        <v>3043</v>
      </c>
      <c r="B140" s="93" t="s">
        <v>454</v>
      </c>
      <c r="C140" s="574">
        <v>0.94765818345303177</v>
      </c>
      <c r="D140" s="100">
        <f t="shared" si="30"/>
        <v>38428.465377698616</v>
      </c>
      <c r="E140" s="100">
        <f t="shared" si="31"/>
        <v>178692.36400629857</v>
      </c>
      <c r="F140" s="100">
        <f t="shared" si="40"/>
        <v>1275.387175974615</v>
      </c>
      <c r="G140" s="100">
        <f t="shared" si="32"/>
        <v>5930.5503682819599</v>
      </c>
      <c r="H140" s="100">
        <f t="shared" si="41"/>
        <v>0</v>
      </c>
      <c r="I140" s="100">
        <f t="shared" si="33"/>
        <v>0</v>
      </c>
      <c r="J140" s="100">
        <f t="shared" si="34"/>
        <v>-563.53779667568176</v>
      </c>
      <c r="K140" s="100">
        <f t="shared" si="35"/>
        <v>-2620.4507545419201</v>
      </c>
      <c r="L140" s="101">
        <f t="shared" si="36"/>
        <v>3310.0996137400398</v>
      </c>
      <c r="M140" s="100">
        <f t="shared" si="37"/>
        <v>182002.46362003859</v>
      </c>
      <c r="N140" s="102">
        <f t="shared" si="38"/>
        <v>39140.314756997548</v>
      </c>
      <c r="O140" s="94">
        <f t="shared" si="39"/>
        <v>0.96521261564407312</v>
      </c>
      <c r="P140" s="100">
        <f>'K22'!C134</f>
        <v>4650</v>
      </c>
      <c r="Q140" s="100"/>
      <c r="R140" s="100">
        <f t="shared" si="42"/>
        <v>0</v>
      </c>
      <c r="S140" s="100">
        <v>0</v>
      </c>
      <c r="U140" s="100">
        <v>12673.834666666668</v>
      </c>
      <c r="V140" s="5">
        <f t="shared" si="43"/>
        <v>166018.5293396319</v>
      </c>
      <c r="W140" s="5">
        <f t="shared" si="44"/>
        <v>35702.909535404709</v>
      </c>
    </row>
    <row r="141" spans="1:23" ht="13">
      <c r="A141" s="92">
        <v>3044</v>
      </c>
      <c r="B141" s="93" t="s">
        <v>455</v>
      </c>
      <c r="C141" s="574">
        <v>1.3284297508359051</v>
      </c>
      <c r="D141" s="100">
        <f t="shared" si="30"/>
        <v>53869.124519867044</v>
      </c>
      <c r="E141" s="100">
        <f t="shared" si="31"/>
        <v>242626.53683748117</v>
      </c>
      <c r="F141" s="100">
        <f t="shared" si="40"/>
        <v>-7989.0083093264411</v>
      </c>
      <c r="G141" s="100">
        <f t="shared" si="32"/>
        <v>-35982.493425206289</v>
      </c>
      <c r="H141" s="100">
        <f t="shared" si="41"/>
        <v>0</v>
      </c>
      <c r="I141" s="100">
        <f t="shared" si="33"/>
        <v>0</v>
      </c>
      <c r="J141" s="100">
        <f t="shared" si="34"/>
        <v>-563.53779667568176</v>
      </c>
      <c r="K141" s="100">
        <f t="shared" si="35"/>
        <v>-2538.1742362272707</v>
      </c>
      <c r="L141" s="101">
        <f t="shared" si="36"/>
        <v>-38520.667661433559</v>
      </c>
      <c r="M141" s="100">
        <f t="shared" si="37"/>
        <v>204105.86917604762</v>
      </c>
      <c r="N141" s="102">
        <f t="shared" si="38"/>
        <v>45316.578413864925</v>
      </c>
      <c r="O141" s="94">
        <f t="shared" si="39"/>
        <v>1.1175212425972225</v>
      </c>
      <c r="P141" s="100">
        <f>'K22'!C135</f>
        <v>4504</v>
      </c>
      <c r="Q141" s="100"/>
      <c r="R141" s="100">
        <f t="shared" si="42"/>
        <v>0</v>
      </c>
      <c r="S141" s="100">
        <v>0</v>
      </c>
      <c r="U141" s="100">
        <v>24062.580666666665</v>
      </c>
      <c r="V141" s="5">
        <f t="shared" si="43"/>
        <v>218563.95617081449</v>
      </c>
      <c r="W141" s="5">
        <f t="shared" si="44"/>
        <v>48526.633252845131</v>
      </c>
    </row>
    <row r="142" spans="1:23" ht="13">
      <c r="A142" s="92">
        <v>3045</v>
      </c>
      <c r="B142" s="93" t="s">
        <v>456</v>
      </c>
      <c r="C142" s="574">
        <v>0.93624479778347236</v>
      </c>
      <c r="D142" s="100">
        <f t="shared" si="30"/>
        <v>37965.641435792852</v>
      </c>
      <c r="E142" s="100">
        <f t="shared" si="31"/>
        <v>132576.01989378865</v>
      </c>
      <c r="F142" s="100">
        <f t="shared" si="40"/>
        <v>1553.0815411180738</v>
      </c>
      <c r="G142" s="100">
        <f t="shared" si="32"/>
        <v>5423.3607415843144</v>
      </c>
      <c r="H142" s="100">
        <f t="shared" si="41"/>
        <v>0</v>
      </c>
      <c r="I142" s="100">
        <f t="shared" si="33"/>
        <v>0</v>
      </c>
      <c r="J142" s="100">
        <f t="shared" si="34"/>
        <v>-563.53779667568176</v>
      </c>
      <c r="K142" s="100">
        <f t="shared" si="35"/>
        <v>-1967.8739859914808</v>
      </c>
      <c r="L142" s="101">
        <f t="shared" si="36"/>
        <v>3455.4867555928336</v>
      </c>
      <c r="M142" s="100">
        <f t="shared" si="37"/>
        <v>136031.50664938148</v>
      </c>
      <c r="N142" s="102">
        <f t="shared" si="38"/>
        <v>38955.185180235247</v>
      </c>
      <c r="O142" s="94">
        <f t="shared" si="39"/>
        <v>0.96064726137624945</v>
      </c>
      <c r="P142" s="100">
        <f>'K22'!C136</f>
        <v>3492</v>
      </c>
      <c r="Q142" s="100"/>
      <c r="R142" s="100">
        <f t="shared" si="42"/>
        <v>0</v>
      </c>
      <c r="S142" s="100">
        <v>0</v>
      </c>
      <c r="U142" s="100">
        <v>217.25966666666667</v>
      </c>
      <c r="V142" s="5">
        <f t="shared" si="43"/>
        <v>132358.76022712197</v>
      </c>
      <c r="W142" s="5">
        <f t="shared" si="44"/>
        <v>37903.425036403773</v>
      </c>
    </row>
    <row r="143" spans="1:23" ht="13">
      <c r="A143" s="92">
        <v>3046</v>
      </c>
      <c r="B143" s="93" t="s">
        <v>457</v>
      </c>
      <c r="C143" s="574">
        <v>1.1820261289166469</v>
      </c>
      <c r="D143" s="100">
        <f t="shared" si="30"/>
        <v>47932.314587414505</v>
      </c>
      <c r="E143" s="100">
        <f t="shared" si="31"/>
        <v>104923.83663185035</v>
      </c>
      <c r="F143" s="100">
        <f t="shared" si="40"/>
        <v>-4426.9223498549181</v>
      </c>
      <c r="G143" s="100">
        <f t="shared" si="32"/>
        <v>-9690.5330238324168</v>
      </c>
      <c r="H143" s="100">
        <f t="shared" si="41"/>
        <v>0</v>
      </c>
      <c r="I143" s="100">
        <f t="shared" si="33"/>
        <v>0</v>
      </c>
      <c r="J143" s="100">
        <f t="shared" si="34"/>
        <v>-563.53779667568176</v>
      </c>
      <c r="K143" s="100">
        <f t="shared" si="35"/>
        <v>-1233.5842369230675</v>
      </c>
      <c r="L143" s="101">
        <f t="shared" si="36"/>
        <v>-10924.117260755484</v>
      </c>
      <c r="M143" s="100">
        <f t="shared" si="37"/>
        <v>93999.719371094863</v>
      </c>
      <c r="N143" s="102">
        <f t="shared" si="38"/>
        <v>42941.854440883908</v>
      </c>
      <c r="O143" s="94">
        <f t="shared" si="39"/>
        <v>1.0589597938295192</v>
      </c>
      <c r="P143" s="100">
        <f>'K22'!C137</f>
        <v>2189</v>
      </c>
      <c r="Q143" s="100"/>
      <c r="R143" s="100">
        <f t="shared" si="42"/>
        <v>0</v>
      </c>
      <c r="S143" s="100">
        <v>0</v>
      </c>
      <c r="U143" s="100">
        <v>480.11466666666666</v>
      </c>
      <c r="V143" s="5">
        <f t="shared" si="43"/>
        <v>104443.72196518369</v>
      </c>
      <c r="W143" s="5">
        <f t="shared" si="44"/>
        <v>47712.983995058792</v>
      </c>
    </row>
    <row r="144" spans="1:23" ht="13">
      <c r="A144" s="92">
        <v>3047</v>
      </c>
      <c r="B144" s="93" t="s">
        <v>458</v>
      </c>
      <c r="C144" s="574">
        <v>0.82125799172568892</v>
      </c>
      <c r="D144" s="100">
        <f t="shared" si="30"/>
        <v>33302.814086607956</v>
      </c>
      <c r="E144" s="100">
        <f t="shared" si="31"/>
        <v>475331.06545815535</v>
      </c>
      <c r="F144" s="100">
        <f t="shared" si="40"/>
        <v>4350.7779506290108</v>
      </c>
      <c r="G144" s="100">
        <f t="shared" si="32"/>
        <v>62098.653689327875</v>
      </c>
      <c r="H144" s="100">
        <f t="shared" si="41"/>
        <v>1118.5599310489533</v>
      </c>
      <c r="I144" s="100">
        <f t="shared" si="33"/>
        <v>15965.205895861711</v>
      </c>
      <c r="J144" s="100">
        <f t="shared" si="34"/>
        <v>555.02213437327157</v>
      </c>
      <c r="K144" s="100">
        <f t="shared" si="35"/>
        <v>7921.8309239097052</v>
      </c>
      <c r="L144" s="101">
        <f t="shared" si="36"/>
        <v>70020.484613237582</v>
      </c>
      <c r="M144" s="100">
        <f t="shared" si="37"/>
        <v>545351.55007139291</v>
      </c>
      <c r="N144" s="102">
        <f t="shared" si="38"/>
        <v>38208.614171610236</v>
      </c>
      <c r="O144" s="94">
        <f t="shared" si="39"/>
        <v>0.94223658275823574</v>
      </c>
      <c r="P144" s="100">
        <f>'K22'!C138</f>
        <v>14273</v>
      </c>
      <c r="Q144" s="100"/>
      <c r="R144" s="100">
        <f t="shared" si="42"/>
        <v>0</v>
      </c>
      <c r="S144" s="100">
        <v>0</v>
      </c>
      <c r="U144" s="100">
        <v>13734.300333333333</v>
      </c>
      <c r="V144" s="5">
        <f t="shared" si="43"/>
        <v>461596.76512482204</v>
      </c>
      <c r="W144" s="5">
        <f t="shared" si="44"/>
        <v>32340.556654159744</v>
      </c>
    </row>
    <row r="145" spans="1:23" ht="13">
      <c r="A145" s="92">
        <v>3048</v>
      </c>
      <c r="B145" s="93" t="s">
        <v>459</v>
      </c>
      <c r="C145" s="574">
        <v>0.94157400753166343</v>
      </c>
      <c r="D145" s="100">
        <f t="shared" si="30"/>
        <v>38181.746098713229</v>
      </c>
      <c r="E145" s="100">
        <f t="shared" si="31"/>
        <v>765314.91880260804</v>
      </c>
      <c r="F145" s="100">
        <f t="shared" si="40"/>
        <v>1423.4187433658474</v>
      </c>
      <c r="G145" s="100">
        <f t="shared" si="32"/>
        <v>28531.005292025045</v>
      </c>
      <c r="H145" s="100">
        <f t="shared" si="41"/>
        <v>0</v>
      </c>
      <c r="I145" s="100">
        <f t="shared" si="33"/>
        <v>0</v>
      </c>
      <c r="J145" s="100">
        <f t="shared" si="34"/>
        <v>-563.53779667568176</v>
      </c>
      <c r="K145" s="100">
        <f t="shared" si="35"/>
        <v>-11295.551596567364</v>
      </c>
      <c r="L145" s="101">
        <f t="shared" si="36"/>
        <v>17235.453695457683</v>
      </c>
      <c r="M145" s="100">
        <f t="shared" si="37"/>
        <v>782550.3724980657</v>
      </c>
      <c r="N145" s="102">
        <f t="shared" si="38"/>
        <v>39041.627045403395</v>
      </c>
      <c r="O145" s="94">
        <f t="shared" si="39"/>
        <v>0.96277894527552577</v>
      </c>
      <c r="P145" s="100">
        <f>'K22'!C139</f>
        <v>20044</v>
      </c>
      <c r="Q145" s="100"/>
      <c r="R145" s="100">
        <f t="shared" si="42"/>
        <v>0</v>
      </c>
      <c r="S145" s="100">
        <v>0</v>
      </c>
      <c r="U145" s="100">
        <v>662.57133333333331</v>
      </c>
      <c r="V145" s="5">
        <f t="shared" si="43"/>
        <v>764652.34746927465</v>
      </c>
      <c r="W145" s="5">
        <f t="shared" si="44"/>
        <v>38148.690254902947</v>
      </c>
    </row>
    <row r="146" spans="1:23" ht="13">
      <c r="A146" s="92">
        <v>3049</v>
      </c>
      <c r="B146" s="93" t="s">
        <v>460</v>
      </c>
      <c r="C146" s="574">
        <v>1.1098915134803753</v>
      </c>
      <c r="D146" s="100">
        <f t="shared" si="30"/>
        <v>45007.185442509319</v>
      </c>
      <c r="E146" s="100">
        <f t="shared" si="31"/>
        <v>1241478.2032461769</v>
      </c>
      <c r="F146" s="100">
        <f t="shared" si="40"/>
        <v>-2671.8448629118066</v>
      </c>
      <c r="G146" s="100">
        <f t="shared" si="32"/>
        <v>-73700.168698559268</v>
      </c>
      <c r="H146" s="100">
        <f t="shared" si="41"/>
        <v>0</v>
      </c>
      <c r="I146" s="100">
        <f t="shared" si="33"/>
        <v>0</v>
      </c>
      <c r="J146" s="100">
        <f t="shared" si="34"/>
        <v>-563.53779667568176</v>
      </c>
      <c r="K146" s="100">
        <f t="shared" si="35"/>
        <v>-15544.626583502006</v>
      </c>
      <c r="L146" s="101">
        <f t="shared" si="36"/>
        <v>-89244.79528206127</v>
      </c>
      <c r="M146" s="100">
        <f t="shared" si="37"/>
        <v>1152233.4079641157</v>
      </c>
      <c r="N146" s="102">
        <f t="shared" si="38"/>
        <v>41771.802782921826</v>
      </c>
      <c r="O146" s="94">
        <f t="shared" si="39"/>
        <v>1.0301059476550103</v>
      </c>
      <c r="P146" s="100">
        <f>'K22'!C140</f>
        <v>27584</v>
      </c>
      <c r="Q146" s="100"/>
      <c r="R146" s="100">
        <f t="shared" si="42"/>
        <v>0</v>
      </c>
      <c r="S146" s="100">
        <v>0</v>
      </c>
      <c r="U146" s="100">
        <v>0.16133333333333333</v>
      </c>
      <c r="V146" s="5">
        <f t="shared" si="43"/>
        <v>1241478.0419128437</v>
      </c>
      <c r="W146" s="5">
        <f t="shared" si="44"/>
        <v>45007.179593708082</v>
      </c>
    </row>
    <row r="147" spans="1:23" ht="13">
      <c r="A147" s="92">
        <v>3050</v>
      </c>
      <c r="B147" s="93" t="s">
        <v>461</v>
      </c>
      <c r="C147" s="574">
        <v>0.93107888558917939</v>
      </c>
      <c r="D147" s="100">
        <f t="shared" si="30"/>
        <v>37756.158648255194</v>
      </c>
      <c r="E147" s="100">
        <f t="shared" si="31"/>
        <v>102696.75152325412</v>
      </c>
      <c r="F147" s="100">
        <f t="shared" si="40"/>
        <v>1678.7712136406683</v>
      </c>
      <c r="G147" s="100">
        <f t="shared" si="32"/>
        <v>4566.2577011026178</v>
      </c>
      <c r="H147" s="100">
        <f t="shared" si="41"/>
        <v>0</v>
      </c>
      <c r="I147" s="100">
        <f t="shared" si="33"/>
        <v>0</v>
      </c>
      <c r="J147" s="100">
        <f t="shared" si="34"/>
        <v>-563.53779667568176</v>
      </c>
      <c r="K147" s="100">
        <f t="shared" si="35"/>
        <v>-1532.8228069578545</v>
      </c>
      <c r="L147" s="101">
        <f t="shared" si="36"/>
        <v>3033.4348941447633</v>
      </c>
      <c r="M147" s="100">
        <f t="shared" si="37"/>
        <v>105730.18641739889</v>
      </c>
      <c r="N147" s="102">
        <f t="shared" si="38"/>
        <v>38871.392065220178</v>
      </c>
      <c r="O147" s="94">
        <f t="shared" si="39"/>
        <v>0.95858089649853206</v>
      </c>
      <c r="P147" s="100">
        <f>'K22'!C141</f>
        <v>2720</v>
      </c>
      <c r="Q147" s="100"/>
      <c r="R147" s="100">
        <f t="shared" si="42"/>
        <v>0</v>
      </c>
      <c r="S147" s="100">
        <v>0</v>
      </c>
      <c r="U147" s="100">
        <v>1396.6023333333333</v>
      </c>
      <c r="V147" s="5">
        <f t="shared" si="43"/>
        <v>101300.14918992079</v>
      </c>
      <c r="W147" s="5">
        <f t="shared" si="44"/>
        <v>37242.701908059113</v>
      </c>
    </row>
    <row r="148" spans="1:23" ht="13">
      <c r="A148" s="92">
        <v>3051</v>
      </c>
      <c r="B148" s="93" t="s">
        <v>462</v>
      </c>
      <c r="C148" s="574">
        <v>0.87208137545598963</v>
      </c>
      <c r="D148" s="100">
        <f t="shared" si="30"/>
        <v>35363.751960790469</v>
      </c>
      <c r="E148" s="100">
        <f t="shared" si="31"/>
        <v>48448.340186282941</v>
      </c>
      <c r="F148" s="100">
        <f t="shared" si="40"/>
        <v>3114.2152261195033</v>
      </c>
      <c r="G148" s="100">
        <f t="shared" si="32"/>
        <v>4266.4748597837197</v>
      </c>
      <c r="H148" s="100">
        <f t="shared" si="41"/>
        <v>397.2316750850739</v>
      </c>
      <c r="I148" s="100">
        <f t="shared" si="33"/>
        <v>544.20739486655123</v>
      </c>
      <c r="J148" s="100">
        <f t="shared" si="34"/>
        <v>-166.30612159060786</v>
      </c>
      <c r="K148" s="100">
        <f t="shared" si="35"/>
        <v>-227.83938657913276</v>
      </c>
      <c r="L148" s="101">
        <f t="shared" si="36"/>
        <v>4038.635473204587</v>
      </c>
      <c r="M148" s="100">
        <f t="shared" si="37"/>
        <v>52486.975659487529</v>
      </c>
      <c r="N148" s="102">
        <f t="shared" si="38"/>
        <v>38311.661065319364</v>
      </c>
      <c r="O148" s="94">
        <f t="shared" si="39"/>
        <v>0.94477775194475078</v>
      </c>
      <c r="P148" s="100">
        <f>'K22'!C142</f>
        <v>1370</v>
      </c>
      <c r="Q148" s="100"/>
      <c r="R148" s="100">
        <f t="shared" si="42"/>
        <v>0</v>
      </c>
      <c r="S148" s="100">
        <v>0</v>
      </c>
      <c r="U148" s="100">
        <v>3702.8809999999999</v>
      </c>
      <c r="V148" s="5">
        <f t="shared" si="43"/>
        <v>44745.45918628294</v>
      </c>
      <c r="W148" s="5">
        <f t="shared" si="44"/>
        <v>32660.919114075139</v>
      </c>
    </row>
    <row r="149" spans="1:23" ht="13">
      <c r="A149" s="92">
        <v>3052</v>
      </c>
      <c r="B149" s="93" t="s">
        <v>463</v>
      </c>
      <c r="C149" s="574">
        <v>1.0903990948354572</v>
      </c>
      <c r="D149" s="100">
        <f t="shared" si="30"/>
        <v>44216.748818731699</v>
      </c>
      <c r="E149" s="100">
        <f t="shared" si="31"/>
        <v>108552.11834998631</v>
      </c>
      <c r="F149" s="100">
        <f t="shared" si="40"/>
        <v>-2197.582888645235</v>
      </c>
      <c r="G149" s="100">
        <f t="shared" si="32"/>
        <v>-5395.065991624052</v>
      </c>
      <c r="H149" s="100">
        <f t="shared" si="41"/>
        <v>0</v>
      </c>
      <c r="I149" s="100">
        <f t="shared" si="33"/>
        <v>0</v>
      </c>
      <c r="J149" s="100">
        <f t="shared" si="34"/>
        <v>-563.53779667568176</v>
      </c>
      <c r="K149" s="100">
        <f t="shared" si="35"/>
        <v>-1383.4852908387988</v>
      </c>
      <c r="L149" s="101">
        <f t="shared" si="36"/>
        <v>-6778.5512824628513</v>
      </c>
      <c r="M149" s="100">
        <f t="shared" si="37"/>
        <v>101773.56706752346</v>
      </c>
      <c r="N149" s="102">
        <f t="shared" si="38"/>
        <v>41455.628133410777</v>
      </c>
      <c r="O149" s="94">
        <f t="shared" si="39"/>
        <v>1.0223089801970431</v>
      </c>
      <c r="P149" s="100">
        <f>'K22'!C143</f>
        <v>2455</v>
      </c>
      <c r="Q149" s="100"/>
      <c r="R149" s="100">
        <f t="shared" si="42"/>
        <v>0</v>
      </c>
      <c r="S149" s="100">
        <v>0</v>
      </c>
      <c r="U149" s="100">
        <v>24013.492333333332</v>
      </c>
      <c r="V149" s="5">
        <f t="shared" si="43"/>
        <v>84538.626016652983</v>
      </c>
      <c r="W149" s="5">
        <f t="shared" si="44"/>
        <v>34435.285546498162</v>
      </c>
    </row>
    <row r="150" spans="1:23" ht="13">
      <c r="A150" s="92">
        <v>3053</v>
      </c>
      <c r="B150" s="93" t="s">
        <v>436</v>
      </c>
      <c r="C150" s="574">
        <v>0.80720431287241345</v>
      </c>
      <c r="D150" s="100">
        <f t="shared" si="30"/>
        <v>32732.923676043945</v>
      </c>
      <c r="E150" s="100">
        <f t="shared" si="31"/>
        <v>226119.03675411158</v>
      </c>
      <c r="F150" s="100">
        <f t="shared" si="40"/>
        <v>4692.7121969674172</v>
      </c>
      <c r="G150" s="100">
        <f t="shared" si="32"/>
        <v>32417.255856650918</v>
      </c>
      <c r="H150" s="100">
        <f t="shared" si="41"/>
        <v>1318.0215747463571</v>
      </c>
      <c r="I150" s="100">
        <f t="shared" si="33"/>
        <v>9104.8930383478346</v>
      </c>
      <c r="J150" s="100">
        <f t="shared" si="34"/>
        <v>754.48377807067538</v>
      </c>
      <c r="K150" s="100">
        <f t="shared" si="35"/>
        <v>5211.973938912226</v>
      </c>
      <c r="L150" s="101">
        <f t="shared" si="36"/>
        <v>37629.229795563144</v>
      </c>
      <c r="M150" s="100">
        <f t="shared" si="37"/>
        <v>263748.26654967474</v>
      </c>
      <c r="N150" s="102">
        <f t="shared" si="38"/>
        <v>38180.119651082045</v>
      </c>
      <c r="O150" s="94">
        <f t="shared" si="39"/>
        <v>0.94153389881557215</v>
      </c>
      <c r="P150" s="100">
        <f>'K22'!C144</f>
        <v>6908</v>
      </c>
      <c r="Q150" s="100"/>
      <c r="R150" s="100">
        <f t="shared" si="42"/>
        <v>0</v>
      </c>
      <c r="S150" s="100">
        <v>0</v>
      </c>
      <c r="U150" s="100">
        <v>204.17233333333334</v>
      </c>
      <c r="V150" s="5">
        <f t="shared" si="43"/>
        <v>225914.86442077826</v>
      </c>
      <c r="W150" s="5">
        <f t="shared" si="44"/>
        <v>32703.367750546942</v>
      </c>
    </row>
    <row r="151" spans="1:23" ht="13">
      <c r="A151" s="92">
        <v>3054</v>
      </c>
      <c r="B151" s="93" t="s">
        <v>437</v>
      </c>
      <c r="C151" s="574">
        <v>0.84020063961297708</v>
      </c>
      <c r="D151" s="100">
        <f t="shared" si="30"/>
        <v>34070.956968935177</v>
      </c>
      <c r="E151" s="100">
        <f t="shared" si="31"/>
        <v>311544.83052394324</v>
      </c>
      <c r="F151" s="100">
        <f t="shared" si="40"/>
        <v>3889.8922212326779</v>
      </c>
      <c r="G151" s="100">
        <f t="shared" si="32"/>
        <v>35569.174470951606</v>
      </c>
      <c r="H151" s="100">
        <f t="shared" si="41"/>
        <v>849.7099222344259</v>
      </c>
      <c r="I151" s="100">
        <f t="shared" si="33"/>
        <v>7769.747528911591</v>
      </c>
      <c r="J151" s="100">
        <f t="shared" si="34"/>
        <v>286.17212555874414</v>
      </c>
      <c r="K151" s="100">
        <f t="shared" si="35"/>
        <v>2616.7579161091562</v>
      </c>
      <c r="L151" s="101">
        <f t="shared" si="36"/>
        <v>38185.932387060762</v>
      </c>
      <c r="M151" s="100">
        <f t="shared" si="37"/>
        <v>349730.76291100401</v>
      </c>
      <c r="N151" s="102">
        <f t="shared" si="38"/>
        <v>38247.021315726597</v>
      </c>
      <c r="O151" s="94">
        <f t="shared" si="39"/>
        <v>0.94318371515260013</v>
      </c>
      <c r="P151" s="100">
        <f>'K22'!C145</f>
        <v>9144</v>
      </c>
      <c r="Q151" s="100"/>
      <c r="R151" s="100">
        <f t="shared" si="42"/>
        <v>0</v>
      </c>
      <c r="S151" s="100">
        <v>0</v>
      </c>
      <c r="U151" s="100">
        <v>0</v>
      </c>
      <c r="V151" s="5">
        <f t="shared" si="43"/>
        <v>311544.83052394324</v>
      </c>
      <c r="W151" s="5">
        <f t="shared" si="44"/>
        <v>34070.956968935177</v>
      </c>
    </row>
    <row r="152" spans="1:23" ht="13">
      <c r="A152" s="92">
        <v>3401</v>
      </c>
      <c r="B152" s="93" t="s">
        <v>400</v>
      </c>
      <c r="C152" s="574">
        <v>0.86126672528747283</v>
      </c>
      <c r="D152" s="100">
        <f t="shared" si="30"/>
        <v>34925.207328528166</v>
      </c>
      <c r="E152" s="100">
        <f t="shared" si="31"/>
        <v>626872.54633975204</v>
      </c>
      <c r="F152" s="100">
        <f t="shared" si="40"/>
        <v>3377.3420054768853</v>
      </c>
      <c r="G152" s="100">
        <f t="shared" si="32"/>
        <v>60619.911656304612</v>
      </c>
      <c r="H152" s="100">
        <f t="shared" si="41"/>
        <v>550.72229637687997</v>
      </c>
      <c r="I152" s="100">
        <f t="shared" si="33"/>
        <v>9884.9144976686184</v>
      </c>
      <c r="J152" s="100">
        <f t="shared" si="34"/>
        <v>-12.815500298801794</v>
      </c>
      <c r="K152" s="100">
        <f t="shared" si="35"/>
        <v>-230.02541486319342</v>
      </c>
      <c r="L152" s="101">
        <f t="shared" si="36"/>
        <v>60389.886241441418</v>
      </c>
      <c r="M152" s="100">
        <f t="shared" si="37"/>
        <v>687262.43258119351</v>
      </c>
      <c r="N152" s="102">
        <f t="shared" si="38"/>
        <v>38289.733833706254</v>
      </c>
      <c r="O152" s="94">
        <f t="shared" si="39"/>
        <v>0.9442370194363251</v>
      </c>
      <c r="P152" s="100">
        <f>'K22'!C146</f>
        <v>17949</v>
      </c>
      <c r="Q152" s="100"/>
      <c r="R152" s="100">
        <f t="shared" si="42"/>
        <v>0</v>
      </c>
      <c r="S152" s="100">
        <v>0</v>
      </c>
      <c r="U152" s="100">
        <v>953.1016666666668</v>
      </c>
      <c r="V152" s="5">
        <f t="shared" si="43"/>
        <v>625919.44467308535</v>
      </c>
      <c r="W152" s="5">
        <f t="shared" si="44"/>
        <v>34872.106784393858</v>
      </c>
    </row>
    <row r="153" spans="1:23" ht="13">
      <c r="A153" s="92">
        <v>3403</v>
      </c>
      <c r="B153" s="93" t="s">
        <v>401</v>
      </c>
      <c r="C153" s="574">
        <v>0.91676209981353374</v>
      </c>
      <c r="D153" s="100">
        <f t="shared" si="30"/>
        <v>37175.598994884567</v>
      </c>
      <c r="E153" s="100">
        <f t="shared" si="31"/>
        <v>1189581.9922373113</v>
      </c>
      <c r="F153" s="100">
        <f t="shared" si="40"/>
        <v>2027.1070056630442</v>
      </c>
      <c r="G153" s="100">
        <f t="shared" si="32"/>
        <v>64865.397074211753</v>
      </c>
      <c r="H153" s="100">
        <f t="shared" si="41"/>
        <v>0</v>
      </c>
      <c r="I153" s="100">
        <f t="shared" si="33"/>
        <v>0</v>
      </c>
      <c r="J153" s="100">
        <f t="shared" si="34"/>
        <v>-563.53779667568176</v>
      </c>
      <c r="K153" s="100">
        <f t="shared" si="35"/>
        <v>-18032.645955825137</v>
      </c>
      <c r="L153" s="101">
        <f t="shared" si="36"/>
        <v>46832.751118386615</v>
      </c>
      <c r="M153" s="100">
        <f t="shared" si="37"/>
        <v>1236414.743355698</v>
      </c>
      <c r="N153" s="102">
        <f t="shared" si="38"/>
        <v>38639.16820387193</v>
      </c>
      <c r="O153" s="94">
        <f t="shared" si="39"/>
        <v>0.95285418218827389</v>
      </c>
      <c r="P153" s="100">
        <f>'K22'!C147</f>
        <v>31999</v>
      </c>
      <c r="Q153" s="100"/>
      <c r="R153" s="100">
        <f t="shared" si="42"/>
        <v>0</v>
      </c>
      <c r="S153" s="100">
        <v>0</v>
      </c>
      <c r="U153" s="100">
        <v>147.42833333333334</v>
      </c>
      <c r="V153" s="5">
        <f t="shared" si="43"/>
        <v>1189434.5639039781</v>
      </c>
      <c r="W153" s="5">
        <f t="shared" si="44"/>
        <v>37170.991715490425</v>
      </c>
    </row>
    <row r="154" spans="1:23" ht="13">
      <c r="A154" s="92">
        <v>3405</v>
      </c>
      <c r="B154" s="93" t="s">
        <v>421</v>
      </c>
      <c r="C154" s="574">
        <v>0.90542494306084575</v>
      </c>
      <c r="D154" s="100">
        <f t="shared" si="30"/>
        <v>36715.866210047803</v>
      </c>
      <c r="E154" s="100">
        <f t="shared" si="31"/>
        <v>1043648.4970206087</v>
      </c>
      <c r="F154" s="100">
        <f t="shared" si="40"/>
        <v>2302.9466765651027</v>
      </c>
      <c r="G154" s="100">
        <f t="shared" si="32"/>
        <v>65461.259281363047</v>
      </c>
      <c r="H154" s="100">
        <f t="shared" si="41"/>
        <v>0</v>
      </c>
      <c r="I154" s="100">
        <f t="shared" si="33"/>
        <v>0</v>
      </c>
      <c r="J154" s="100">
        <f t="shared" si="34"/>
        <v>-563.53779667568176</v>
      </c>
      <c r="K154" s="100">
        <f t="shared" si="35"/>
        <v>-16018.561870506255</v>
      </c>
      <c r="L154" s="101">
        <f t="shared" si="36"/>
        <v>49442.697410856796</v>
      </c>
      <c r="M154" s="100">
        <f t="shared" si="37"/>
        <v>1093091.1944314656</v>
      </c>
      <c r="N154" s="102">
        <f t="shared" si="38"/>
        <v>38455.275089937226</v>
      </c>
      <c r="O154" s="94">
        <f t="shared" si="39"/>
        <v>0.94831931948719872</v>
      </c>
      <c r="P154" s="100">
        <f>'K22'!C148</f>
        <v>28425</v>
      </c>
      <c r="Q154" s="100"/>
      <c r="R154" s="100">
        <f t="shared" si="42"/>
        <v>0</v>
      </c>
      <c r="S154" s="100">
        <v>0</v>
      </c>
      <c r="U154" s="100">
        <v>4149.9530000000004</v>
      </c>
      <c r="V154" s="5">
        <f t="shared" si="43"/>
        <v>1039498.5440206088</v>
      </c>
      <c r="W154" s="5">
        <f t="shared" si="44"/>
        <v>36569.869622536811</v>
      </c>
    </row>
    <row r="155" spans="1:23" ht="13">
      <c r="A155" s="92">
        <v>3407</v>
      </c>
      <c r="B155" s="93" t="s">
        <v>422</v>
      </c>
      <c r="C155" s="574">
        <v>0.82780871181799964</v>
      </c>
      <c r="D155" s="100">
        <f t="shared" si="30"/>
        <v>33568.452187625669</v>
      </c>
      <c r="E155" s="100">
        <f t="shared" si="31"/>
        <v>1016016.3423628662</v>
      </c>
      <c r="F155" s="100">
        <f t="shared" si="40"/>
        <v>4191.3950900183827</v>
      </c>
      <c r="G155" s="100">
        <f t="shared" si="32"/>
        <v>126860.95518958638</v>
      </c>
      <c r="H155" s="100">
        <f t="shared" si="41"/>
        <v>1025.5865956927537</v>
      </c>
      <c r="I155" s="100">
        <f t="shared" si="33"/>
        <v>31041.429491832576</v>
      </c>
      <c r="J155" s="100">
        <f t="shared" si="34"/>
        <v>462.04879901707193</v>
      </c>
      <c r="K155" s="100">
        <f t="shared" si="35"/>
        <v>13984.830999849717</v>
      </c>
      <c r="L155" s="101">
        <f t="shared" si="36"/>
        <v>140845.7861894361</v>
      </c>
      <c r="M155" s="100">
        <f t="shared" si="37"/>
        <v>1156862.1285523023</v>
      </c>
      <c r="N155" s="102">
        <f t="shared" si="38"/>
        <v>38221.896076661127</v>
      </c>
      <c r="O155" s="94">
        <f t="shared" si="39"/>
        <v>0.9425641187628514</v>
      </c>
      <c r="P155" s="100">
        <f>'K22'!C149</f>
        <v>30267</v>
      </c>
      <c r="Q155" s="100"/>
      <c r="R155" s="100">
        <f t="shared" si="42"/>
        <v>0</v>
      </c>
      <c r="S155" s="100">
        <v>0</v>
      </c>
      <c r="U155" s="100">
        <v>267.0796666666667</v>
      </c>
      <c r="V155" s="5">
        <f t="shared" si="43"/>
        <v>1015749.2626961995</v>
      </c>
      <c r="W155" s="5">
        <f t="shared" si="44"/>
        <v>33559.628066745943</v>
      </c>
    </row>
    <row r="156" spans="1:23" ht="13">
      <c r="A156" s="92">
        <v>3411</v>
      </c>
      <c r="B156" s="93" t="s">
        <v>402</v>
      </c>
      <c r="C156" s="574">
        <v>0.78554222766903736</v>
      </c>
      <c r="D156" s="100">
        <f t="shared" si="30"/>
        <v>31854.504953152231</v>
      </c>
      <c r="E156" s="100">
        <f t="shared" si="31"/>
        <v>1117233.052221908</v>
      </c>
      <c r="F156" s="100">
        <f t="shared" si="40"/>
        <v>5219.7634307024464</v>
      </c>
      <c r="G156" s="100">
        <f t="shared" si="32"/>
        <v>183072.7628050269</v>
      </c>
      <c r="H156" s="100">
        <f t="shared" si="41"/>
        <v>1625.4681277584571</v>
      </c>
      <c r="I156" s="100">
        <f t="shared" si="33"/>
        <v>57010.04364487237</v>
      </c>
      <c r="J156" s="100">
        <f t="shared" si="34"/>
        <v>1061.9303310827754</v>
      </c>
      <c r="K156" s="100">
        <f t="shared" si="35"/>
        <v>37245.08250206618</v>
      </c>
      <c r="L156" s="101">
        <f t="shared" si="36"/>
        <v>220317.84530709308</v>
      </c>
      <c r="M156" s="100">
        <f t="shared" si="37"/>
        <v>1337550.8975290011</v>
      </c>
      <c r="N156" s="102">
        <f t="shared" si="38"/>
        <v>38136.198714937447</v>
      </c>
      <c r="O156" s="94">
        <f t="shared" si="39"/>
        <v>0.94045079455540304</v>
      </c>
      <c r="P156" s="100">
        <f>'K22'!C150</f>
        <v>35073</v>
      </c>
      <c r="Q156" s="100"/>
      <c r="R156" s="100">
        <f t="shared" si="42"/>
        <v>0</v>
      </c>
      <c r="S156" s="100">
        <v>0</v>
      </c>
      <c r="U156" s="100">
        <v>818.26766666666663</v>
      </c>
      <c r="V156" s="5">
        <f t="shared" si="43"/>
        <v>1116414.7845552412</v>
      </c>
      <c r="W156" s="5">
        <f t="shared" si="44"/>
        <v>31831.174537542876</v>
      </c>
    </row>
    <row r="157" spans="1:23" ht="13">
      <c r="A157" s="92">
        <v>3412</v>
      </c>
      <c r="B157" s="93" t="s">
        <v>403</v>
      </c>
      <c r="C157" s="574">
        <v>0.69409130074824155</v>
      </c>
      <c r="D157" s="100">
        <f t="shared" si="30"/>
        <v>28146.080501912922</v>
      </c>
      <c r="E157" s="100">
        <f t="shared" si="31"/>
        <v>217147.0110722582</v>
      </c>
      <c r="F157" s="100">
        <f t="shared" si="40"/>
        <v>7444.8181014460315</v>
      </c>
      <c r="G157" s="100">
        <f t="shared" si="32"/>
        <v>57436.771652656127</v>
      </c>
      <c r="H157" s="100">
        <f t="shared" si="41"/>
        <v>2923.4166856922152</v>
      </c>
      <c r="I157" s="100">
        <f t="shared" si="33"/>
        <v>22554.15973011544</v>
      </c>
      <c r="J157" s="100">
        <f t="shared" si="34"/>
        <v>2359.8788890165333</v>
      </c>
      <c r="K157" s="100">
        <f t="shared" si="35"/>
        <v>18206.465628762555</v>
      </c>
      <c r="L157" s="101">
        <f t="shared" si="36"/>
        <v>75643.237281418682</v>
      </c>
      <c r="M157" s="100">
        <f t="shared" si="37"/>
        <v>292790.24835367687</v>
      </c>
      <c r="N157" s="102">
        <f t="shared" si="38"/>
        <v>37950.777492375484</v>
      </c>
      <c r="O157" s="94">
        <f t="shared" si="39"/>
        <v>0.93587824820936338</v>
      </c>
      <c r="P157" s="100">
        <f>'K22'!C151</f>
        <v>7715</v>
      </c>
      <c r="Q157" s="100"/>
      <c r="R157" s="100">
        <f t="shared" si="42"/>
        <v>0</v>
      </c>
      <c r="S157" s="100">
        <v>0</v>
      </c>
      <c r="U157" s="100">
        <v>20.951666666666668</v>
      </c>
      <c r="V157" s="5">
        <f t="shared" si="43"/>
        <v>217126.05940559154</v>
      </c>
      <c r="W157" s="5">
        <f t="shared" si="44"/>
        <v>28143.364796577</v>
      </c>
    </row>
    <row r="158" spans="1:23" ht="13">
      <c r="A158" s="92">
        <v>3413</v>
      </c>
      <c r="B158" s="93" t="s">
        <v>404</v>
      </c>
      <c r="C158" s="574">
        <v>0.75883914820559772</v>
      </c>
      <c r="D158" s="100">
        <f t="shared" si="30"/>
        <v>30771.668987023961</v>
      </c>
      <c r="E158" s="100">
        <f t="shared" si="31"/>
        <v>651005.42908947892</v>
      </c>
      <c r="F158" s="100">
        <f t="shared" si="40"/>
        <v>5869.4650103794083</v>
      </c>
      <c r="G158" s="100">
        <f t="shared" si="32"/>
        <v>124174.40175958676</v>
      </c>
      <c r="H158" s="100">
        <f t="shared" si="41"/>
        <v>2004.4607159033517</v>
      </c>
      <c r="I158" s="100">
        <f t="shared" si="33"/>
        <v>42406.370905651311</v>
      </c>
      <c r="J158" s="100">
        <f t="shared" si="34"/>
        <v>1440.9229192276698</v>
      </c>
      <c r="K158" s="100">
        <f t="shared" si="35"/>
        <v>30484.165279180583</v>
      </c>
      <c r="L158" s="101">
        <f t="shared" si="36"/>
        <v>154658.56703876733</v>
      </c>
      <c r="M158" s="100">
        <f t="shared" si="37"/>
        <v>805663.9961282463</v>
      </c>
      <c r="N158" s="102">
        <f t="shared" si="38"/>
        <v>38082.056916631038</v>
      </c>
      <c r="O158" s="94">
        <f t="shared" si="39"/>
        <v>0.93911564058223118</v>
      </c>
      <c r="P158" s="100">
        <f>'K22'!C152</f>
        <v>21156</v>
      </c>
      <c r="Q158" s="100"/>
      <c r="R158" s="100">
        <f t="shared" si="42"/>
        <v>0</v>
      </c>
      <c r="S158" s="100">
        <v>0</v>
      </c>
      <c r="U158" s="100">
        <v>123.907</v>
      </c>
      <c r="V158" s="5">
        <f t="shared" si="43"/>
        <v>650881.52208947891</v>
      </c>
      <c r="W158" s="5">
        <f t="shared" si="44"/>
        <v>30765.812161537098</v>
      </c>
    </row>
    <row r="159" spans="1:23" ht="13">
      <c r="A159" s="92">
        <v>3414</v>
      </c>
      <c r="B159" s="93" t="s">
        <v>405</v>
      </c>
      <c r="C159" s="574">
        <v>0.67330109651398229</v>
      </c>
      <c r="D159" s="100">
        <f t="shared" si="30"/>
        <v>27303.01740430911</v>
      </c>
      <c r="E159" s="100">
        <f t="shared" si="31"/>
        <v>136951.93530001451</v>
      </c>
      <c r="F159" s="100">
        <f t="shared" si="40"/>
        <v>7950.6559600083183</v>
      </c>
      <c r="G159" s="100">
        <f t="shared" si="32"/>
        <v>39880.490295401723</v>
      </c>
      <c r="H159" s="100">
        <f t="shared" si="41"/>
        <v>3218.4887698535495</v>
      </c>
      <c r="I159" s="100">
        <f t="shared" si="33"/>
        <v>16143.939669585405</v>
      </c>
      <c r="J159" s="100">
        <f t="shared" si="34"/>
        <v>2654.9509731778676</v>
      </c>
      <c r="K159" s="100">
        <f t="shared" si="35"/>
        <v>13317.234081460183</v>
      </c>
      <c r="L159" s="101">
        <f t="shared" si="36"/>
        <v>53197.724376861908</v>
      </c>
      <c r="M159" s="100">
        <f t="shared" si="37"/>
        <v>190149.65967687641</v>
      </c>
      <c r="N159" s="102">
        <f t="shared" si="38"/>
        <v>37908.624337495297</v>
      </c>
      <c r="O159" s="94">
        <f t="shared" si="39"/>
        <v>0.93483873799765049</v>
      </c>
      <c r="P159" s="100">
        <f>'K22'!C153</f>
        <v>5016</v>
      </c>
      <c r="Q159" s="100"/>
      <c r="R159" s="100">
        <f t="shared" si="42"/>
        <v>0</v>
      </c>
      <c r="S159" s="100">
        <v>0</v>
      </c>
      <c r="U159" s="100">
        <v>0</v>
      </c>
      <c r="V159" s="5">
        <f t="shared" si="43"/>
        <v>136951.93530001451</v>
      </c>
      <c r="W159" s="5">
        <f t="shared" si="44"/>
        <v>27303.01740430911</v>
      </c>
    </row>
    <row r="160" spans="1:23" ht="13">
      <c r="A160" s="92">
        <v>3415</v>
      </c>
      <c r="B160" s="93" t="s">
        <v>406</v>
      </c>
      <c r="C160" s="574">
        <v>0.7706936568893491</v>
      </c>
      <c r="D160" s="100">
        <f t="shared" si="30"/>
        <v>31252.380898214611</v>
      </c>
      <c r="E160" s="100">
        <f t="shared" si="31"/>
        <v>249331.49480595614</v>
      </c>
      <c r="F160" s="100">
        <f t="shared" si="40"/>
        <v>5581.0378636650175</v>
      </c>
      <c r="G160" s="100">
        <f t="shared" si="32"/>
        <v>44525.52007631951</v>
      </c>
      <c r="H160" s="100">
        <f t="shared" si="41"/>
        <v>1836.2115469866239</v>
      </c>
      <c r="I160" s="100">
        <f t="shared" si="33"/>
        <v>14649.295721859286</v>
      </c>
      <c r="J160" s="100">
        <f t="shared" si="34"/>
        <v>1272.6737503109421</v>
      </c>
      <c r="K160" s="100">
        <f t="shared" si="35"/>
        <v>10153.391179980696</v>
      </c>
      <c r="L160" s="101">
        <f t="shared" si="36"/>
        <v>54678.911256300205</v>
      </c>
      <c r="M160" s="100">
        <f t="shared" si="37"/>
        <v>304010.40606225637</v>
      </c>
      <c r="N160" s="102">
        <f t="shared" si="38"/>
        <v>38106.092512190575</v>
      </c>
      <c r="O160" s="94">
        <f t="shared" si="39"/>
        <v>0.93970836601641883</v>
      </c>
      <c r="P160" s="100">
        <f>'K22'!C154</f>
        <v>7978</v>
      </c>
      <c r="Q160" s="100"/>
      <c r="R160" s="100">
        <f t="shared" si="42"/>
        <v>0</v>
      </c>
      <c r="S160" s="100">
        <v>0</v>
      </c>
      <c r="U160" s="100">
        <v>953.1016666666668</v>
      </c>
      <c r="V160" s="5">
        <f t="shared" si="43"/>
        <v>248378.39313928949</v>
      </c>
      <c r="W160" s="5">
        <f t="shared" si="44"/>
        <v>31132.914657719917</v>
      </c>
    </row>
    <row r="161" spans="1:23" ht="13">
      <c r="A161" s="92">
        <v>3416</v>
      </c>
      <c r="B161" s="93" t="s">
        <v>407</v>
      </c>
      <c r="C161" s="574">
        <v>0.68574063154096365</v>
      </c>
      <c r="D161" s="100">
        <f t="shared" si="30"/>
        <v>27807.452705397514</v>
      </c>
      <c r="E161" s="100">
        <f t="shared" si="31"/>
        <v>167734.55471895781</v>
      </c>
      <c r="F161" s="100">
        <f t="shared" si="40"/>
        <v>7647.9947793552756</v>
      </c>
      <c r="G161" s="100">
        <f t="shared" si="32"/>
        <v>46132.704509071023</v>
      </c>
      <c r="H161" s="100">
        <f t="shared" si="41"/>
        <v>3041.9364144726078</v>
      </c>
      <c r="I161" s="100">
        <f t="shared" si="33"/>
        <v>18348.96045209877</v>
      </c>
      <c r="J161" s="100">
        <f t="shared" si="34"/>
        <v>2478.3986177969259</v>
      </c>
      <c r="K161" s="100">
        <f t="shared" si="35"/>
        <v>14949.700462551058</v>
      </c>
      <c r="L161" s="101">
        <f t="shared" si="36"/>
        <v>61082.404971622083</v>
      </c>
      <c r="M161" s="100">
        <f t="shared" si="37"/>
        <v>228816.95969057988</v>
      </c>
      <c r="N161" s="102">
        <f t="shared" si="38"/>
        <v>37933.846102549716</v>
      </c>
      <c r="O161" s="94">
        <f t="shared" si="39"/>
        <v>0.9354607147489995</v>
      </c>
      <c r="P161" s="100">
        <f>'K22'!C155</f>
        <v>6032</v>
      </c>
      <c r="Q161" s="100"/>
      <c r="R161" s="100">
        <f t="shared" si="42"/>
        <v>0</v>
      </c>
      <c r="S161" s="100">
        <v>0</v>
      </c>
      <c r="U161" s="100">
        <v>0</v>
      </c>
      <c r="V161" s="5">
        <f t="shared" si="43"/>
        <v>167734.55471895781</v>
      </c>
      <c r="W161" s="5">
        <f t="shared" si="44"/>
        <v>27807.452705397514</v>
      </c>
    </row>
    <row r="162" spans="1:23" ht="13">
      <c r="A162" s="92">
        <v>3417</v>
      </c>
      <c r="B162" s="93" t="s">
        <v>408</v>
      </c>
      <c r="C162" s="574">
        <v>0.86306140124804476</v>
      </c>
      <c r="D162" s="100">
        <f t="shared" si="30"/>
        <v>34997.983192462278</v>
      </c>
      <c r="E162" s="100">
        <f t="shared" si="31"/>
        <v>159170.82755931845</v>
      </c>
      <c r="F162" s="100">
        <f t="shared" si="40"/>
        <v>3333.6764871164182</v>
      </c>
      <c r="G162" s="100">
        <f t="shared" si="32"/>
        <v>15161.560663405471</v>
      </c>
      <c r="H162" s="100">
        <f t="shared" si="41"/>
        <v>525.25074399994082</v>
      </c>
      <c r="I162" s="100">
        <f t="shared" si="33"/>
        <v>2388.8403837117312</v>
      </c>
      <c r="J162" s="100">
        <f t="shared" si="34"/>
        <v>-38.287052675740938</v>
      </c>
      <c r="K162" s="100">
        <f t="shared" si="35"/>
        <v>-174.12951556926978</v>
      </c>
      <c r="L162" s="101">
        <f t="shared" si="36"/>
        <v>14987.431147836201</v>
      </c>
      <c r="M162" s="100">
        <f t="shared" si="37"/>
        <v>174158.25870715466</v>
      </c>
      <c r="N162" s="102">
        <f t="shared" si="38"/>
        <v>38293.372626902958</v>
      </c>
      <c r="O162" s="94">
        <f t="shared" si="39"/>
        <v>0.94432675323435367</v>
      </c>
      <c r="P162" s="100">
        <f>'K22'!C156</f>
        <v>4548</v>
      </c>
      <c r="Q162" s="100"/>
      <c r="R162" s="100">
        <f t="shared" si="42"/>
        <v>0</v>
      </c>
      <c r="S162" s="100">
        <v>0</v>
      </c>
      <c r="U162" s="100">
        <v>0</v>
      </c>
      <c r="V162" s="5">
        <f t="shared" si="43"/>
        <v>159170.82755931845</v>
      </c>
      <c r="W162" s="5">
        <f t="shared" si="44"/>
        <v>34997.983192462278</v>
      </c>
    </row>
    <row r="163" spans="1:23" ht="13">
      <c r="A163" s="92">
        <v>3418</v>
      </c>
      <c r="B163" s="93" t="s">
        <v>409</v>
      </c>
      <c r="C163" s="574">
        <v>0.68370330158417381</v>
      </c>
      <c r="D163" s="100">
        <f t="shared" si="30"/>
        <v>27724.836984798585</v>
      </c>
      <c r="E163" s="100">
        <f t="shared" si="31"/>
        <v>199923.7994973826</v>
      </c>
      <c r="F163" s="100">
        <f t="shared" si="40"/>
        <v>7697.5642117146335</v>
      </c>
      <c r="G163" s="100">
        <f t="shared" si="32"/>
        <v>55507.135530674219</v>
      </c>
      <c r="H163" s="100">
        <f t="shared" si="41"/>
        <v>3070.851916682233</v>
      </c>
      <c r="I163" s="100">
        <f t="shared" si="33"/>
        <v>22143.913171195582</v>
      </c>
      <c r="J163" s="100">
        <f t="shared" si="34"/>
        <v>2507.3141200065511</v>
      </c>
      <c r="K163" s="100">
        <f t="shared" si="35"/>
        <v>18080.242119367238</v>
      </c>
      <c r="L163" s="101">
        <f t="shared" si="36"/>
        <v>73587.377650041453</v>
      </c>
      <c r="M163" s="100">
        <f t="shared" si="37"/>
        <v>273511.17714742408</v>
      </c>
      <c r="N163" s="102">
        <f t="shared" si="38"/>
        <v>37929.715316519774</v>
      </c>
      <c r="O163" s="94">
        <f t="shared" si="39"/>
        <v>0.93535884825116011</v>
      </c>
      <c r="P163" s="100">
        <f>'K22'!C157</f>
        <v>7211</v>
      </c>
      <c r="Q163" s="100"/>
      <c r="R163" s="100">
        <f t="shared" si="42"/>
        <v>0</v>
      </c>
      <c r="S163" s="100">
        <v>0</v>
      </c>
      <c r="U163" s="100">
        <v>0</v>
      </c>
      <c r="V163" s="5">
        <f t="shared" si="43"/>
        <v>199923.7994973826</v>
      </c>
      <c r="W163" s="5">
        <f t="shared" si="44"/>
        <v>27724.836984798589</v>
      </c>
    </row>
    <row r="164" spans="1:23" ht="13">
      <c r="A164" s="92">
        <v>3419</v>
      </c>
      <c r="B164" s="93" t="s">
        <v>379</v>
      </c>
      <c r="C164" s="574">
        <v>0.70061865723767969</v>
      </c>
      <c r="D164" s="100">
        <f t="shared" si="30"/>
        <v>28410.771186003556</v>
      </c>
      <c r="E164" s="100">
        <f t="shared" si="31"/>
        <v>102193.5439560548</v>
      </c>
      <c r="F164" s="100">
        <f t="shared" si="40"/>
        <v>7286.0036909916507</v>
      </c>
      <c r="G164" s="100">
        <f t="shared" si="32"/>
        <v>26207.75527649697</v>
      </c>
      <c r="H164" s="100">
        <f t="shared" si="41"/>
        <v>2830.7749462604934</v>
      </c>
      <c r="I164" s="100">
        <f t="shared" si="33"/>
        <v>10182.297481698995</v>
      </c>
      <c r="J164" s="100">
        <f t="shared" si="34"/>
        <v>2267.2371495848115</v>
      </c>
      <c r="K164" s="100">
        <f t="shared" si="35"/>
        <v>8155.2520270565674</v>
      </c>
      <c r="L164" s="101">
        <f t="shared" si="36"/>
        <v>34363.007303553539</v>
      </c>
      <c r="M164" s="100">
        <f t="shared" si="37"/>
        <v>136556.55125960833</v>
      </c>
      <c r="N164" s="102">
        <f t="shared" si="38"/>
        <v>37964.012026580021</v>
      </c>
      <c r="O164" s="94">
        <f t="shared" si="39"/>
        <v>0.93620461603383542</v>
      </c>
      <c r="P164" s="100">
        <f>'K22'!C158</f>
        <v>3597</v>
      </c>
      <c r="Q164" s="100"/>
      <c r="R164" s="100">
        <f t="shared" si="42"/>
        <v>0</v>
      </c>
      <c r="S164" s="100">
        <v>0</v>
      </c>
      <c r="U164" s="100">
        <v>1319.6276666666665</v>
      </c>
      <c r="V164" s="5">
        <f t="shared" si="43"/>
        <v>100873.91628938813</v>
      </c>
      <c r="W164" s="5">
        <f t="shared" si="44"/>
        <v>28043.90222112542</v>
      </c>
    </row>
    <row r="165" spans="1:23" ht="13">
      <c r="A165" s="92">
        <v>3420</v>
      </c>
      <c r="B165" s="93" t="s">
        <v>410</v>
      </c>
      <c r="C165" s="574">
        <v>0.77888362518218202</v>
      </c>
      <c r="D165" s="100">
        <f t="shared" si="30"/>
        <v>31584.492115614525</v>
      </c>
      <c r="E165" s="100">
        <f t="shared" si="31"/>
        <v>677013.58849819726</v>
      </c>
      <c r="F165" s="100">
        <f t="shared" si="40"/>
        <v>5381.7711332250701</v>
      </c>
      <c r="G165" s="100">
        <f t="shared" si="32"/>
        <v>115358.26424067939</v>
      </c>
      <c r="H165" s="100">
        <f t="shared" si="41"/>
        <v>1719.9726208966542</v>
      </c>
      <c r="I165" s="100">
        <f t="shared" si="33"/>
        <v>36867.61312891978</v>
      </c>
      <c r="J165" s="100">
        <f t="shared" si="34"/>
        <v>1156.4348242209726</v>
      </c>
      <c r="K165" s="100">
        <f t="shared" si="35"/>
        <v>24788.180457176546</v>
      </c>
      <c r="L165" s="101">
        <f t="shared" si="36"/>
        <v>140146.44469785594</v>
      </c>
      <c r="M165" s="100">
        <f t="shared" si="37"/>
        <v>817160.03319605323</v>
      </c>
      <c r="N165" s="102">
        <f t="shared" si="38"/>
        <v>38122.698073060565</v>
      </c>
      <c r="O165" s="94">
        <f t="shared" si="39"/>
        <v>0.94011786443106038</v>
      </c>
      <c r="P165" s="100">
        <f>'K22'!C159</f>
        <v>21435</v>
      </c>
      <c r="Q165" s="100"/>
      <c r="R165" s="100">
        <f t="shared" si="42"/>
        <v>0</v>
      </c>
      <c r="S165" s="100">
        <v>0</v>
      </c>
      <c r="U165" s="100">
        <v>2994.626666666667</v>
      </c>
      <c r="V165" s="5">
        <f t="shared" si="43"/>
        <v>674018.96183153056</v>
      </c>
      <c r="W165" s="5">
        <f t="shared" si="44"/>
        <v>31444.784783369749</v>
      </c>
    </row>
    <row r="166" spans="1:23" ht="13">
      <c r="A166" s="92">
        <v>3421</v>
      </c>
      <c r="B166" s="93" t="s">
        <v>411</v>
      </c>
      <c r="C166" s="574">
        <v>0.83694385452682019</v>
      </c>
      <c r="D166" s="100">
        <f t="shared" si="30"/>
        <v>33938.891151205455</v>
      </c>
      <c r="E166" s="100">
        <f t="shared" si="31"/>
        <v>224098.49827140963</v>
      </c>
      <c r="F166" s="100">
        <f t="shared" si="40"/>
        <v>3969.1317118705119</v>
      </c>
      <c r="G166" s="100">
        <f t="shared" si="32"/>
        <v>26208.176693480989</v>
      </c>
      <c r="H166" s="100">
        <f t="shared" si="41"/>
        <v>895.93295843982878</v>
      </c>
      <c r="I166" s="100">
        <f t="shared" si="33"/>
        <v>5915.8453245781893</v>
      </c>
      <c r="J166" s="100">
        <f t="shared" si="34"/>
        <v>332.39516176414702</v>
      </c>
      <c r="K166" s="100">
        <f t="shared" si="35"/>
        <v>2194.8052531286626</v>
      </c>
      <c r="L166" s="101">
        <f t="shared" si="36"/>
        <v>28402.981946609652</v>
      </c>
      <c r="M166" s="100">
        <f t="shared" si="37"/>
        <v>252501.48021801928</v>
      </c>
      <c r="N166" s="102">
        <f t="shared" si="38"/>
        <v>38240.418024840117</v>
      </c>
      <c r="O166" s="94">
        <f t="shared" si="39"/>
        <v>0.94302087589829242</v>
      </c>
      <c r="P166" s="100">
        <f>'K22'!C160</f>
        <v>6603</v>
      </c>
      <c r="Q166" s="100"/>
      <c r="R166" s="100">
        <f t="shared" si="42"/>
        <v>0</v>
      </c>
      <c r="S166" s="100">
        <v>0</v>
      </c>
      <c r="U166" s="100">
        <v>1007.0683333333333</v>
      </c>
      <c r="V166" s="5">
        <f t="shared" si="43"/>
        <v>223091.4299380763</v>
      </c>
      <c r="W166" s="5">
        <f t="shared" si="44"/>
        <v>33786.374365905845</v>
      </c>
    </row>
    <row r="167" spans="1:23" ht="13">
      <c r="A167" s="92">
        <v>3422</v>
      </c>
      <c r="B167" s="93" t="s">
        <v>412</v>
      </c>
      <c r="C167" s="574">
        <v>0.73530945035311535</v>
      </c>
      <c r="D167" s="100">
        <f t="shared" si="30"/>
        <v>29817.516746205321</v>
      </c>
      <c r="E167" s="100">
        <f t="shared" si="31"/>
        <v>125084.48275033133</v>
      </c>
      <c r="F167" s="100">
        <f t="shared" si="40"/>
        <v>6441.9563548705919</v>
      </c>
      <c r="G167" s="100">
        <f t="shared" si="32"/>
        <v>27024.006908682135</v>
      </c>
      <c r="H167" s="100">
        <f t="shared" si="41"/>
        <v>2338.4140001898754</v>
      </c>
      <c r="I167" s="100">
        <f t="shared" si="33"/>
        <v>9809.6467307965268</v>
      </c>
      <c r="J167" s="100">
        <f t="shared" si="34"/>
        <v>1774.8762035141935</v>
      </c>
      <c r="K167" s="100">
        <f t="shared" si="35"/>
        <v>7445.6056737420422</v>
      </c>
      <c r="L167" s="101">
        <f t="shared" si="36"/>
        <v>34469.612582424175</v>
      </c>
      <c r="M167" s="100">
        <f t="shared" si="37"/>
        <v>159554.0953327555</v>
      </c>
      <c r="N167" s="102">
        <f t="shared" si="38"/>
        <v>38034.349304590112</v>
      </c>
      <c r="O167" s="94">
        <f t="shared" si="39"/>
        <v>0.93793915568960717</v>
      </c>
      <c r="P167" s="100">
        <f>'K22'!C161</f>
        <v>4195</v>
      </c>
      <c r="Q167" s="100"/>
      <c r="R167" s="100">
        <f t="shared" si="42"/>
        <v>0</v>
      </c>
      <c r="S167" s="100">
        <v>0</v>
      </c>
      <c r="U167" s="100">
        <v>5457.1596666666665</v>
      </c>
      <c r="V167" s="5">
        <f t="shared" si="43"/>
        <v>119627.32308366467</v>
      </c>
      <c r="W167" s="5">
        <f t="shared" si="44"/>
        <v>28516.644358442114</v>
      </c>
    </row>
    <row r="168" spans="1:23" ht="13">
      <c r="A168" s="92">
        <v>3423</v>
      </c>
      <c r="B168" s="93" t="s">
        <v>413</v>
      </c>
      <c r="C168" s="574">
        <v>0.6843736891862614</v>
      </c>
      <c r="D168" s="100">
        <f t="shared" si="30"/>
        <v>27752.021857156877</v>
      </c>
      <c r="E168" s="100">
        <f t="shared" si="31"/>
        <v>64329.186664889639</v>
      </c>
      <c r="F168" s="100">
        <f t="shared" si="40"/>
        <v>7681.2532882996584</v>
      </c>
      <c r="G168" s="100">
        <f t="shared" si="32"/>
        <v>17805.145122278609</v>
      </c>
      <c r="H168" s="100">
        <f t="shared" si="41"/>
        <v>3061.3372113568312</v>
      </c>
      <c r="I168" s="100">
        <f t="shared" si="33"/>
        <v>7096.1796559251352</v>
      </c>
      <c r="J168" s="100">
        <f t="shared" si="34"/>
        <v>2497.7994146811493</v>
      </c>
      <c r="K168" s="100">
        <f t="shared" si="35"/>
        <v>5789.8990432309047</v>
      </c>
      <c r="L168" s="101">
        <f t="shared" si="36"/>
        <v>23595.044165509513</v>
      </c>
      <c r="M168" s="100">
        <f t="shared" si="37"/>
        <v>87924.230830399159</v>
      </c>
      <c r="N168" s="102">
        <f t="shared" si="38"/>
        <v>37931.074560137684</v>
      </c>
      <c r="O168" s="94">
        <f t="shared" si="39"/>
        <v>0.93539236763126443</v>
      </c>
      <c r="P168" s="100">
        <f>'K22'!C162</f>
        <v>2318</v>
      </c>
      <c r="Q168" s="100"/>
      <c r="R168" s="100">
        <f t="shared" si="42"/>
        <v>0</v>
      </c>
      <c r="S168" s="100">
        <v>0</v>
      </c>
      <c r="U168" s="100">
        <v>1009.7083333333334</v>
      </c>
      <c r="V168" s="5">
        <f t="shared" si="43"/>
        <v>63319.478331556304</v>
      </c>
      <c r="W168" s="5">
        <f t="shared" si="44"/>
        <v>27316.427235356474</v>
      </c>
    </row>
    <row r="169" spans="1:23" ht="13">
      <c r="A169" s="92">
        <v>3424</v>
      </c>
      <c r="B169" s="93" t="s">
        <v>414</v>
      </c>
      <c r="C169" s="574">
        <v>0.70220791701755381</v>
      </c>
      <c r="D169" s="100">
        <f t="shared" si="30"/>
        <v>28475.217223080475</v>
      </c>
      <c r="E169" s="100">
        <f t="shared" si="31"/>
        <v>49034.324058144579</v>
      </c>
      <c r="F169" s="100">
        <f t="shared" si="40"/>
        <v>7247.3360687454997</v>
      </c>
      <c r="G169" s="100">
        <f t="shared" si="32"/>
        <v>12479.912710379749</v>
      </c>
      <c r="H169" s="100">
        <f t="shared" si="41"/>
        <v>2808.2188332835713</v>
      </c>
      <c r="I169" s="100">
        <f t="shared" si="33"/>
        <v>4835.752830914309</v>
      </c>
      <c r="J169" s="100">
        <f t="shared" si="34"/>
        <v>2244.6810366078894</v>
      </c>
      <c r="K169" s="100">
        <f t="shared" si="35"/>
        <v>3865.3407450387854</v>
      </c>
      <c r="L169" s="101">
        <f t="shared" si="36"/>
        <v>16345.253455418535</v>
      </c>
      <c r="M169" s="100">
        <f t="shared" si="37"/>
        <v>65379.577513563112</v>
      </c>
      <c r="N169" s="102">
        <f t="shared" si="38"/>
        <v>37967.234328433864</v>
      </c>
      <c r="O169" s="94">
        <f t="shared" si="39"/>
        <v>0.93628407902282895</v>
      </c>
      <c r="P169" s="100">
        <f>'K22'!C163</f>
        <v>1722</v>
      </c>
      <c r="Q169" s="100"/>
      <c r="R169" s="100">
        <f t="shared" si="42"/>
        <v>0</v>
      </c>
      <c r="S169" s="100">
        <v>0</v>
      </c>
      <c r="U169" s="100">
        <v>5439.704999999999</v>
      </c>
      <c r="V169" s="5">
        <f t="shared" si="43"/>
        <v>43594.619058144577</v>
      </c>
      <c r="W169" s="5">
        <f t="shared" si="44"/>
        <v>25316.271230049115</v>
      </c>
    </row>
    <row r="170" spans="1:23" ht="13">
      <c r="A170" s="92">
        <v>3425</v>
      </c>
      <c r="B170" s="93" t="s">
        <v>415</v>
      </c>
      <c r="C170" s="574">
        <v>0.67564375149585199</v>
      </c>
      <c r="D170" s="100">
        <f t="shared" si="30"/>
        <v>27398.014353034487</v>
      </c>
      <c r="E170" s="100">
        <f t="shared" si="31"/>
        <v>34329.711984352209</v>
      </c>
      <c r="F170" s="100">
        <f t="shared" si="40"/>
        <v>7893.6577907730925</v>
      </c>
      <c r="G170" s="100">
        <f t="shared" si="32"/>
        <v>9890.7532118386844</v>
      </c>
      <c r="H170" s="100">
        <f t="shared" si="41"/>
        <v>3185.2398377996674</v>
      </c>
      <c r="I170" s="100">
        <f t="shared" si="33"/>
        <v>3991.1055167629829</v>
      </c>
      <c r="J170" s="100">
        <f t="shared" si="34"/>
        <v>2621.7020411239855</v>
      </c>
      <c r="K170" s="100">
        <f t="shared" si="35"/>
        <v>3284.9926575283539</v>
      </c>
      <c r="L170" s="101">
        <f t="shared" si="36"/>
        <v>13175.745869367038</v>
      </c>
      <c r="M170" s="100">
        <f t="shared" si="37"/>
        <v>47505.457853719243</v>
      </c>
      <c r="N170" s="102">
        <f t="shared" si="38"/>
        <v>37913.374184931556</v>
      </c>
      <c r="O170" s="94">
        <f t="shared" si="39"/>
        <v>0.93495587074674369</v>
      </c>
      <c r="P170" s="100">
        <f>'K22'!C164</f>
        <v>1253</v>
      </c>
      <c r="Q170" s="100"/>
      <c r="R170" s="100">
        <f t="shared" si="42"/>
        <v>0</v>
      </c>
      <c r="S170" s="100">
        <v>0</v>
      </c>
      <c r="U170" s="100">
        <v>0</v>
      </c>
      <c r="V170" s="5">
        <f t="shared" si="43"/>
        <v>34329.711984352209</v>
      </c>
      <c r="W170" s="5">
        <f t="shared" si="44"/>
        <v>27398.014353034483</v>
      </c>
    </row>
    <row r="171" spans="1:23" ht="13">
      <c r="A171" s="92">
        <v>3426</v>
      </c>
      <c r="B171" s="93" t="s">
        <v>416</v>
      </c>
      <c r="C171" s="574">
        <v>0.62529041387831608</v>
      </c>
      <c r="D171" s="100">
        <f t="shared" si="30"/>
        <v>25356.137308047251</v>
      </c>
      <c r="E171" s="100">
        <f t="shared" si="31"/>
        <v>39327.368964781286</v>
      </c>
      <c r="F171" s="100">
        <f t="shared" si="40"/>
        <v>9118.7840177654343</v>
      </c>
      <c r="G171" s="100">
        <f t="shared" si="32"/>
        <v>14143.234011554188</v>
      </c>
      <c r="H171" s="100">
        <f t="shared" si="41"/>
        <v>3899.8968035451999</v>
      </c>
      <c r="I171" s="100">
        <f t="shared" si="33"/>
        <v>6048.7399422986055</v>
      </c>
      <c r="J171" s="100">
        <f t="shared" si="34"/>
        <v>3336.359006869518</v>
      </c>
      <c r="K171" s="100">
        <f t="shared" si="35"/>
        <v>5174.6928196546223</v>
      </c>
      <c r="L171" s="101">
        <f t="shared" si="36"/>
        <v>19317.92683120881</v>
      </c>
      <c r="M171" s="100">
        <f t="shared" si="37"/>
        <v>58645.295795990096</v>
      </c>
      <c r="N171" s="102">
        <f t="shared" si="38"/>
        <v>37811.280332682203</v>
      </c>
      <c r="O171" s="94">
        <f t="shared" si="39"/>
        <v>0.93243820386586718</v>
      </c>
      <c r="P171" s="100">
        <f>'K22'!C165</f>
        <v>1551</v>
      </c>
      <c r="Q171" s="100"/>
      <c r="R171" s="100">
        <f t="shared" si="42"/>
        <v>0</v>
      </c>
      <c r="S171" s="100">
        <v>0</v>
      </c>
      <c r="U171" s="100">
        <v>0</v>
      </c>
      <c r="V171" s="5">
        <f t="shared" si="43"/>
        <v>39327.368964781286</v>
      </c>
      <c r="W171" s="5">
        <f t="shared" si="44"/>
        <v>25356.137308047251</v>
      </c>
    </row>
    <row r="172" spans="1:23" ht="13">
      <c r="A172" s="92">
        <v>3427</v>
      </c>
      <c r="B172" s="93" t="s">
        <v>417</v>
      </c>
      <c r="C172" s="574">
        <v>0.75808736834249013</v>
      </c>
      <c r="D172" s="100">
        <f t="shared" si="30"/>
        <v>30741.183578945896</v>
      </c>
      <c r="E172" s="100">
        <f t="shared" si="31"/>
        <v>171566.54555409704</v>
      </c>
      <c r="F172" s="100">
        <f t="shared" si="40"/>
        <v>5887.756255226247</v>
      </c>
      <c r="G172" s="100">
        <f t="shared" si="32"/>
        <v>32859.567660417684</v>
      </c>
      <c r="H172" s="100">
        <f t="shared" si="41"/>
        <v>2015.1306087306741</v>
      </c>
      <c r="I172" s="100">
        <f t="shared" si="33"/>
        <v>11246.443927325892</v>
      </c>
      <c r="J172" s="100">
        <f t="shared" si="34"/>
        <v>1451.5928120549925</v>
      </c>
      <c r="K172" s="100">
        <f t="shared" si="35"/>
        <v>8101.3394840789133</v>
      </c>
      <c r="L172" s="101">
        <f t="shared" si="36"/>
        <v>40960.907144496596</v>
      </c>
      <c r="M172" s="100">
        <f t="shared" si="37"/>
        <v>212527.45269859367</v>
      </c>
      <c r="N172" s="102">
        <f t="shared" si="38"/>
        <v>38080.532646227141</v>
      </c>
      <c r="O172" s="94">
        <f t="shared" si="39"/>
        <v>0.93907805158907598</v>
      </c>
      <c r="P172" s="100">
        <f>'K22'!C166</f>
        <v>5581</v>
      </c>
      <c r="Q172" s="100"/>
      <c r="R172" s="100">
        <f t="shared" si="42"/>
        <v>0</v>
      </c>
      <c r="S172" s="100">
        <v>0</v>
      </c>
      <c r="U172" s="100">
        <v>3569.2900000000004</v>
      </c>
      <c r="V172" s="5">
        <f t="shared" si="43"/>
        <v>167997.25555409704</v>
      </c>
      <c r="W172" s="5">
        <f t="shared" si="44"/>
        <v>30101.640486310163</v>
      </c>
    </row>
    <row r="173" spans="1:23" ht="13">
      <c r="A173" s="92">
        <v>3428</v>
      </c>
      <c r="B173" s="93" t="s">
        <v>418</v>
      </c>
      <c r="C173" s="574">
        <v>0.75422775966554922</v>
      </c>
      <c r="D173" s="100">
        <f t="shared" si="30"/>
        <v>30584.672675538877</v>
      </c>
      <c r="E173" s="100">
        <f t="shared" si="31"/>
        <v>74779.524691692568</v>
      </c>
      <c r="F173" s="100">
        <f t="shared" si="40"/>
        <v>5981.6627972704582</v>
      </c>
      <c r="G173" s="100">
        <f t="shared" si="32"/>
        <v>14625.165539326272</v>
      </c>
      <c r="H173" s="100">
        <f t="shared" si="41"/>
        <v>2069.9094249231307</v>
      </c>
      <c r="I173" s="100">
        <f t="shared" si="33"/>
        <v>5060.9285439370542</v>
      </c>
      <c r="J173" s="100">
        <f t="shared" si="34"/>
        <v>1506.3716282474488</v>
      </c>
      <c r="K173" s="100">
        <f t="shared" si="35"/>
        <v>3683.0786310650124</v>
      </c>
      <c r="L173" s="101">
        <f t="shared" si="36"/>
        <v>18308.244170391285</v>
      </c>
      <c r="M173" s="100">
        <f t="shared" si="37"/>
        <v>93087.76886208386</v>
      </c>
      <c r="N173" s="102">
        <f t="shared" si="38"/>
        <v>38072.707101056796</v>
      </c>
      <c r="O173" s="94">
        <f t="shared" si="39"/>
        <v>0.93888507115522912</v>
      </c>
      <c r="P173" s="100">
        <f>'K22'!C167</f>
        <v>2445</v>
      </c>
      <c r="Q173" s="100"/>
      <c r="R173" s="100">
        <f t="shared" si="42"/>
        <v>0</v>
      </c>
      <c r="S173" s="100">
        <v>0</v>
      </c>
      <c r="U173" s="100">
        <v>3313.9833333333336</v>
      </c>
      <c r="V173" s="5">
        <f t="shared" si="43"/>
        <v>71465.541358359231</v>
      </c>
      <c r="W173" s="5">
        <f t="shared" si="44"/>
        <v>29229.260269267579</v>
      </c>
    </row>
    <row r="174" spans="1:23" ht="13">
      <c r="A174" s="92">
        <v>3429</v>
      </c>
      <c r="B174" s="93" t="s">
        <v>419</v>
      </c>
      <c r="C174" s="574">
        <v>0.6984939430906123</v>
      </c>
      <c r="D174" s="100">
        <f t="shared" si="30"/>
        <v>28324.611951098228</v>
      </c>
      <c r="E174" s="100">
        <f t="shared" si="31"/>
        <v>43336.656285180288</v>
      </c>
      <c r="F174" s="100">
        <f t="shared" si="40"/>
        <v>7337.6992319348474</v>
      </c>
      <c r="G174" s="100">
        <f t="shared" si="32"/>
        <v>11226.679824860315</v>
      </c>
      <c r="H174" s="100">
        <f t="shared" si="41"/>
        <v>2860.930678477358</v>
      </c>
      <c r="I174" s="100">
        <f t="shared" si="33"/>
        <v>4377.2239380703577</v>
      </c>
      <c r="J174" s="100">
        <f t="shared" si="34"/>
        <v>2297.3928818016761</v>
      </c>
      <c r="K174" s="100">
        <f t="shared" si="35"/>
        <v>3515.0111091565645</v>
      </c>
      <c r="L174" s="101">
        <f t="shared" si="36"/>
        <v>14741.69093401688</v>
      </c>
      <c r="M174" s="100">
        <f t="shared" si="37"/>
        <v>58078.347219197167</v>
      </c>
      <c r="N174" s="102">
        <f t="shared" si="38"/>
        <v>37959.704064834754</v>
      </c>
      <c r="O174" s="94">
        <f t="shared" si="39"/>
        <v>0.93609838032648196</v>
      </c>
      <c r="P174" s="100">
        <f>'K22'!C168</f>
        <v>1530</v>
      </c>
      <c r="Q174" s="100"/>
      <c r="R174" s="100">
        <f t="shared" si="42"/>
        <v>0</v>
      </c>
      <c r="S174" s="100">
        <v>0</v>
      </c>
      <c r="U174" s="100">
        <v>763.50666666666666</v>
      </c>
      <c r="V174" s="5">
        <f t="shared" si="43"/>
        <v>42573.14961851362</v>
      </c>
      <c r="W174" s="5">
        <f t="shared" si="44"/>
        <v>27825.587985956616</v>
      </c>
    </row>
    <row r="175" spans="1:23" ht="13">
      <c r="A175" s="92">
        <v>3430</v>
      </c>
      <c r="B175" s="93" t="s">
        <v>420</v>
      </c>
      <c r="C175" s="574">
        <v>0.89467438817818157</v>
      </c>
      <c r="D175" s="100">
        <f t="shared" si="30"/>
        <v>36279.920704259865</v>
      </c>
      <c r="E175" s="100">
        <f t="shared" si="31"/>
        <v>67299.252906402049</v>
      </c>
      <c r="F175" s="100">
        <f t="shared" si="40"/>
        <v>2564.5139800378661</v>
      </c>
      <c r="G175" s="100">
        <f t="shared" si="32"/>
        <v>4757.1734329702413</v>
      </c>
      <c r="H175" s="100">
        <f t="shared" si="41"/>
        <v>76.572614870785401</v>
      </c>
      <c r="I175" s="100">
        <f t="shared" si="33"/>
        <v>142.04220058530692</v>
      </c>
      <c r="J175" s="100">
        <f t="shared" si="34"/>
        <v>-486.96518180489636</v>
      </c>
      <c r="K175" s="100">
        <f t="shared" si="35"/>
        <v>-903.32041224808268</v>
      </c>
      <c r="L175" s="101">
        <f t="shared" si="36"/>
        <v>3853.8530207221584</v>
      </c>
      <c r="M175" s="100">
        <f t="shared" si="37"/>
        <v>71153.105927124212</v>
      </c>
      <c r="N175" s="102">
        <f t="shared" si="38"/>
        <v>38357.469502492837</v>
      </c>
      <c r="O175" s="94">
        <f t="shared" si="39"/>
        <v>0.94590740258086048</v>
      </c>
      <c r="P175" s="100">
        <f>'K22'!C169</f>
        <v>1855</v>
      </c>
      <c r="Q175" s="100"/>
      <c r="R175" s="100">
        <f t="shared" si="42"/>
        <v>0</v>
      </c>
      <c r="S175" s="100">
        <v>0</v>
      </c>
      <c r="U175" s="100">
        <v>0</v>
      </c>
      <c r="V175" s="5">
        <f t="shared" si="43"/>
        <v>67299.252906402049</v>
      </c>
      <c r="W175" s="5">
        <f t="shared" si="44"/>
        <v>36279.920704259865</v>
      </c>
    </row>
    <row r="176" spans="1:23" ht="13">
      <c r="A176" s="92">
        <v>3431</v>
      </c>
      <c r="B176" s="93" t="s">
        <v>423</v>
      </c>
      <c r="C176" s="574">
        <v>0.70771094232548937</v>
      </c>
      <c r="D176" s="100">
        <f t="shared" si="30"/>
        <v>28698.370276798691</v>
      </c>
      <c r="E176" s="100">
        <f t="shared" si="31"/>
        <v>71688.528951443135</v>
      </c>
      <c r="F176" s="100">
        <f t="shared" si="40"/>
        <v>7113.4442365145705</v>
      </c>
      <c r="G176" s="100">
        <f t="shared" si="32"/>
        <v>17769.383702813397</v>
      </c>
      <c r="H176" s="100">
        <f t="shared" si="41"/>
        <v>2730.1152644821959</v>
      </c>
      <c r="I176" s="100">
        <f t="shared" si="33"/>
        <v>6819.8279306765253</v>
      </c>
      <c r="J176" s="100">
        <f t="shared" si="34"/>
        <v>2166.5774678065141</v>
      </c>
      <c r="K176" s="100">
        <f t="shared" si="35"/>
        <v>5412.1105145806714</v>
      </c>
      <c r="L176" s="101">
        <f t="shared" si="36"/>
        <v>23181.494217394069</v>
      </c>
      <c r="M176" s="100">
        <f t="shared" si="37"/>
        <v>94870.023168837201</v>
      </c>
      <c r="N176" s="102">
        <f t="shared" si="38"/>
        <v>37978.391981119777</v>
      </c>
      <c r="O176" s="94">
        <f t="shared" si="39"/>
        <v>0.93655923028822585</v>
      </c>
      <c r="P176" s="100">
        <f>'K22'!C170</f>
        <v>2498</v>
      </c>
      <c r="Q176" s="100"/>
      <c r="R176" s="100">
        <f t="shared" si="42"/>
        <v>0</v>
      </c>
      <c r="S176" s="100">
        <v>0</v>
      </c>
      <c r="U176" s="100">
        <v>26.689333333333334</v>
      </c>
      <c r="V176" s="5">
        <f t="shared" si="43"/>
        <v>71661.839618109807</v>
      </c>
      <c r="W176" s="5">
        <f t="shared" si="44"/>
        <v>28687.685996040756</v>
      </c>
    </row>
    <row r="177" spans="1:23" ht="13">
      <c r="A177" s="92">
        <v>3432</v>
      </c>
      <c r="B177" s="93" t="s">
        <v>424</v>
      </c>
      <c r="C177" s="574">
        <v>0.73492690665775862</v>
      </c>
      <c r="D177" s="100">
        <f t="shared" si="30"/>
        <v>29802.004225542114</v>
      </c>
      <c r="E177" s="100">
        <f t="shared" si="31"/>
        <v>59186.780391926637</v>
      </c>
      <c r="F177" s="100">
        <f t="shared" si="40"/>
        <v>6451.2638672685162</v>
      </c>
      <c r="G177" s="100">
        <f t="shared" si="32"/>
        <v>12812.210040395274</v>
      </c>
      <c r="H177" s="100">
        <f t="shared" si="41"/>
        <v>2343.8433824219978</v>
      </c>
      <c r="I177" s="100">
        <f t="shared" si="33"/>
        <v>4654.8729574900872</v>
      </c>
      <c r="J177" s="100">
        <f t="shared" si="34"/>
        <v>1780.305585746316</v>
      </c>
      <c r="K177" s="100">
        <f t="shared" si="35"/>
        <v>3535.6868932921834</v>
      </c>
      <c r="L177" s="101">
        <f t="shared" si="36"/>
        <v>16347.896933687458</v>
      </c>
      <c r="M177" s="100">
        <f t="shared" si="37"/>
        <v>75534.677325614102</v>
      </c>
      <c r="N177" s="102">
        <f t="shared" si="38"/>
        <v>38033.573678556953</v>
      </c>
      <c r="O177" s="94">
        <f t="shared" si="39"/>
        <v>0.93792002850483946</v>
      </c>
      <c r="P177" s="100">
        <f>'K22'!C171</f>
        <v>1986</v>
      </c>
      <c r="Q177" s="100"/>
      <c r="R177" s="100">
        <f t="shared" si="42"/>
        <v>0</v>
      </c>
      <c r="S177" s="100">
        <v>0</v>
      </c>
      <c r="U177" s="100">
        <v>1534.7783333333334</v>
      </c>
      <c r="V177" s="5">
        <f t="shared" si="43"/>
        <v>57652.002058593302</v>
      </c>
      <c r="W177" s="5">
        <f t="shared" si="44"/>
        <v>29029.205467569638</v>
      </c>
    </row>
    <row r="178" spans="1:23" ht="13">
      <c r="A178" s="92">
        <v>3433</v>
      </c>
      <c r="B178" s="93" t="s">
        <v>425</v>
      </c>
      <c r="C178" s="574">
        <v>0.82292393670889508</v>
      </c>
      <c r="D178" s="100">
        <f t="shared" si="30"/>
        <v>33370.36978361573</v>
      </c>
      <c r="E178" s="100">
        <f t="shared" si="31"/>
        <v>71779.66540455744</v>
      </c>
      <c r="F178" s="100">
        <f t="shared" si="40"/>
        <v>4310.2445324243463</v>
      </c>
      <c r="G178" s="100">
        <f t="shared" si="32"/>
        <v>9271.3359892447679</v>
      </c>
      <c r="H178" s="100">
        <f t="shared" si="41"/>
        <v>1094.9154370962324</v>
      </c>
      <c r="I178" s="100">
        <f t="shared" si="33"/>
        <v>2355.1631051939958</v>
      </c>
      <c r="J178" s="100">
        <f t="shared" si="34"/>
        <v>531.37764042055062</v>
      </c>
      <c r="K178" s="100">
        <f t="shared" si="35"/>
        <v>1142.9933045446044</v>
      </c>
      <c r="L178" s="101">
        <f t="shared" si="36"/>
        <v>10414.329293789373</v>
      </c>
      <c r="M178" s="100">
        <f t="shared" si="37"/>
        <v>82193.994698346811</v>
      </c>
      <c r="N178" s="102">
        <f t="shared" si="38"/>
        <v>38211.991956460624</v>
      </c>
      <c r="O178" s="94">
        <f t="shared" si="39"/>
        <v>0.94231988000739597</v>
      </c>
      <c r="P178" s="100">
        <f>'K22'!C172</f>
        <v>2151</v>
      </c>
      <c r="Q178" s="100"/>
      <c r="R178" s="100">
        <f t="shared" si="42"/>
        <v>0</v>
      </c>
      <c r="S178" s="100">
        <v>0</v>
      </c>
      <c r="U178" s="100">
        <v>12012.529999999999</v>
      </c>
      <c r="V178" s="5">
        <f t="shared" si="43"/>
        <v>59767.135404557441</v>
      </c>
      <c r="W178" s="5">
        <f t="shared" si="44"/>
        <v>27785.74402815316</v>
      </c>
    </row>
    <row r="179" spans="1:23" ht="13">
      <c r="A179" s="92">
        <v>3434</v>
      </c>
      <c r="B179" s="93" t="s">
        <v>426</v>
      </c>
      <c r="C179" s="574">
        <v>0.71590110840346177</v>
      </c>
      <c r="D179" s="100">
        <f t="shared" si="30"/>
        <v>29030.489514579287</v>
      </c>
      <c r="E179" s="100">
        <f t="shared" si="31"/>
        <v>64186.412316734808</v>
      </c>
      <c r="F179" s="100">
        <f t="shared" si="40"/>
        <v>6914.1726938462125</v>
      </c>
      <c r="G179" s="100">
        <f t="shared" si="32"/>
        <v>15287.235826093976</v>
      </c>
      <c r="H179" s="100">
        <f t="shared" si="41"/>
        <v>2613.8735312589874</v>
      </c>
      <c r="I179" s="100">
        <f t="shared" si="33"/>
        <v>5779.2743776136213</v>
      </c>
      <c r="J179" s="100">
        <f t="shared" si="34"/>
        <v>2050.3357345833056</v>
      </c>
      <c r="K179" s="100">
        <f t="shared" si="35"/>
        <v>4533.2923091636885</v>
      </c>
      <c r="L179" s="101">
        <f t="shared" si="36"/>
        <v>19820.528135257664</v>
      </c>
      <c r="M179" s="100">
        <f t="shared" si="37"/>
        <v>84006.940451992472</v>
      </c>
      <c r="N179" s="102">
        <f t="shared" si="38"/>
        <v>37994.997943008806</v>
      </c>
      <c r="O179" s="94">
        <f t="shared" si="39"/>
        <v>0.93696873859212448</v>
      </c>
      <c r="P179" s="100">
        <f>'K22'!C173</f>
        <v>2211</v>
      </c>
      <c r="Q179" s="100"/>
      <c r="R179" s="100">
        <f t="shared" si="42"/>
        <v>0</v>
      </c>
      <c r="S179" s="100">
        <v>0</v>
      </c>
      <c r="U179" s="100">
        <v>2062.2266666666669</v>
      </c>
      <c r="V179" s="5">
        <f t="shared" si="43"/>
        <v>62124.185650068139</v>
      </c>
      <c r="W179" s="5">
        <f t="shared" si="44"/>
        <v>28097.777317986496</v>
      </c>
    </row>
    <row r="180" spans="1:23" ht="13">
      <c r="A180" s="92">
        <v>3435</v>
      </c>
      <c r="B180" s="93" t="s">
        <v>427</v>
      </c>
      <c r="C180" s="574">
        <v>0.72555821481032312</v>
      </c>
      <c r="D180" s="100">
        <f t="shared" si="30"/>
        <v>29422.094616170452</v>
      </c>
      <c r="E180" s="100">
        <f t="shared" si="31"/>
        <v>105654.7417666681</v>
      </c>
      <c r="F180" s="100">
        <f t="shared" si="40"/>
        <v>6679.2096328915131</v>
      </c>
      <c r="G180" s="100">
        <f t="shared" si="32"/>
        <v>23985.041791713425</v>
      </c>
      <c r="H180" s="100">
        <f t="shared" si="41"/>
        <v>2476.8117457020794</v>
      </c>
      <c r="I180" s="100">
        <f t="shared" si="33"/>
        <v>8894.2309788161674</v>
      </c>
      <c r="J180" s="100">
        <f t="shared" si="34"/>
        <v>1913.2739490263975</v>
      </c>
      <c r="K180" s="100">
        <f t="shared" si="35"/>
        <v>6870.5667509537934</v>
      </c>
      <c r="L180" s="101">
        <f t="shared" si="36"/>
        <v>30855.608542667218</v>
      </c>
      <c r="M180" s="100">
        <f t="shared" si="37"/>
        <v>136510.35030933531</v>
      </c>
      <c r="N180" s="102">
        <f t="shared" si="38"/>
        <v>38014.578198088362</v>
      </c>
      <c r="O180" s="94">
        <f t="shared" si="39"/>
        <v>0.93745159391246746</v>
      </c>
      <c r="P180" s="100">
        <f>'K22'!C174</f>
        <v>3591</v>
      </c>
      <c r="Q180" s="100"/>
      <c r="R180" s="100">
        <f t="shared" si="42"/>
        <v>0</v>
      </c>
      <c r="S180" s="100">
        <v>0</v>
      </c>
      <c r="U180" s="100">
        <v>3247.8103333333333</v>
      </c>
      <c r="V180" s="5">
        <f t="shared" si="43"/>
        <v>102406.93143333477</v>
      </c>
      <c r="W180" s="5">
        <f t="shared" si="44"/>
        <v>28517.664002599489</v>
      </c>
    </row>
    <row r="181" spans="1:23" ht="13">
      <c r="A181" s="92">
        <v>3436</v>
      </c>
      <c r="B181" s="93" t="s">
        <v>428</v>
      </c>
      <c r="C181" s="574">
        <v>0.85590815490356142</v>
      </c>
      <c r="D181" s="100">
        <f t="shared" si="30"/>
        <v>34707.912063138516</v>
      </c>
      <c r="E181" s="100">
        <f t="shared" si="31"/>
        <v>195336.12909134358</v>
      </c>
      <c r="F181" s="100">
        <f t="shared" si="40"/>
        <v>3507.7191647106752</v>
      </c>
      <c r="G181" s="100">
        <f t="shared" si="32"/>
        <v>19741.443458991682</v>
      </c>
      <c r="H181" s="100">
        <f t="shared" si="41"/>
        <v>626.7756392632574</v>
      </c>
      <c r="I181" s="100">
        <f t="shared" si="33"/>
        <v>3527.4932977736125</v>
      </c>
      <c r="J181" s="100">
        <f t="shared" si="34"/>
        <v>63.237842587575642</v>
      </c>
      <c r="K181" s="100">
        <f t="shared" si="35"/>
        <v>355.90257808287572</v>
      </c>
      <c r="L181" s="101">
        <f t="shared" si="36"/>
        <v>20097.346037074556</v>
      </c>
      <c r="M181" s="100">
        <f t="shared" si="37"/>
        <v>215433.47512841813</v>
      </c>
      <c r="N181" s="102">
        <f t="shared" si="38"/>
        <v>38278.869070436769</v>
      </c>
      <c r="O181" s="94">
        <f t="shared" si="39"/>
        <v>0.94396909091712944</v>
      </c>
      <c r="P181" s="100">
        <f>'K22'!C175</f>
        <v>5628</v>
      </c>
      <c r="Q181" s="100"/>
      <c r="R181" s="100">
        <f t="shared" si="42"/>
        <v>0</v>
      </c>
      <c r="S181" s="100">
        <v>0</v>
      </c>
      <c r="U181" s="100">
        <v>18033.153666666665</v>
      </c>
      <c r="V181" s="5">
        <f t="shared" si="43"/>
        <v>177302.9754246769</v>
      </c>
      <c r="W181" s="5">
        <f t="shared" si="44"/>
        <v>31503.726976666116</v>
      </c>
    </row>
    <row r="182" spans="1:23" ht="13">
      <c r="A182" s="92">
        <v>3437</v>
      </c>
      <c r="B182" s="93" t="s">
        <v>429</v>
      </c>
      <c r="C182" s="574">
        <v>0.64053445355825966</v>
      </c>
      <c r="D182" s="100">
        <f t="shared" si="30"/>
        <v>25974.298013337051</v>
      </c>
      <c r="E182" s="100">
        <f t="shared" si="31"/>
        <v>143663.84231176722</v>
      </c>
      <c r="F182" s="100">
        <f t="shared" si="40"/>
        <v>8747.8875945915534</v>
      </c>
      <c r="G182" s="100">
        <f t="shared" si="32"/>
        <v>48384.566285685883</v>
      </c>
      <c r="H182" s="100">
        <f t="shared" si="41"/>
        <v>3683.5405566937698</v>
      </c>
      <c r="I182" s="100">
        <f t="shared" si="33"/>
        <v>20373.662819073241</v>
      </c>
      <c r="J182" s="100">
        <f t="shared" si="34"/>
        <v>3120.0027600180879</v>
      </c>
      <c r="K182" s="100">
        <f t="shared" si="35"/>
        <v>17256.735265660045</v>
      </c>
      <c r="L182" s="101">
        <f t="shared" si="36"/>
        <v>65641.301551345925</v>
      </c>
      <c r="M182" s="100">
        <f t="shared" si="37"/>
        <v>209305.14386311313</v>
      </c>
      <c r="N182" s="102">
        <f t="shared" si="38"/>
        <v>37842.188367946692</v>
      </c>
      <c r="O182" s="94">
        <f t="shared" si="39"/>
        <v>0.9332004058498643</v>
      </c>
      <c r="P182" s="100">
        <f>'K22'!C176</f>
        <v>5531</v>
      </c>
      <c r="Q182" s="100"/>
      <c r="R182" s="100">
        <f t="shared" si="42"/>
        <v>0</v>
      </c>
      <c r="S182" s="100">
        <v>0</v>
      </c>
      <c r="U182" s="100">
        <v>551.52933333333328</v>
      </c>
      <c r="V182" s="5">
        <f t="shared" si="43"/>
        <v>143112.31297843388</v>
      </c>
      <c r="W182" s="5">
        <f t="shared" si="44"/>
        <v>25874.5819885073</v>
      </c>
    </row>
    <row r="183" spans="1:23" ht="13">
      <c r="A183" s="92">
        <v>3438</v>
      </c>
      <c r="B183" s="93" t="s">
        <v>430</v>
      </c>
      <c r="C183" s="574">
        <v>0.82800199337758629</v>
      </c>
      <c r="D183" s="100">
        <f t="shared" si="30"/>
        <v>33576.289943739015</v>
      </c>
      <c r="E183" s="100">
        <f t="shared" si="31"/>
        <v>102877.75238761633</v>
      </c>
      <c r="F183" s="100">
        <f t="shared" si="40"/>
        <v>4186.6924363503758</v>
      </c>
      <c r="G183" s="100">
        <f t="shared" si="32"/>
        <v>12828.025624977552</v>
      </c>
      <c r="H183" s="100">
        <f t="shared" si="41"/>
        <v>1022.8433810530827</v>
      </c>
      <c r="I183" s="100">
        <f t="shared" si="33"/>
        <v>3133.9921195466454</v>
      </c>
      <c r="J183" s="100">
        <f t="shared" si="34"/>
        <v>459.30558437740092</v>
      </c>
      <c r="K183" s="100">
        <f t="shared" si="35"/>
        <v>1407.3123105323564</v>
      </c>
      <c r="L183" s="101">
        <f t="shared" si="36"/>
        <v>14235.337935509908</v>
      </c>
      <c r="M183" s="100">
        <f t="shared" si="37"/>
        <v>117113.09032312625</v>
      </c>
      <c r="N183" s="102">
        <f t="shared" si="38"/>
        <v>38222.287964466792</v>
      </c>
      <c r="O183" s="94">
        <f t="shared" si="39"/>
        <v>0.9425737828408306</v>
      </c>
      <c r="P183" s="100">
        <f>'K22'!C177</f>
        <v>3064</v>
      </c>
      <c r="Q183" s="100"/>
      <c r="R183" s="100">
        <f t="shared" si="42"/>
        <v>0</v>
      </c>
      <c r="S183" s="100">
        <v>0</v>
      </c>
      <c r="U183" s="100">
        <v>6090.2010000000009</v>
      </c>
      <c r="V183" s="5">
        <f t="shared" si="43"/>
        <v>96787.551387616331</v>
      </c>
      <c r="W183" s="5">
        <f t="shared" si="44"/>
        <v>31588.626431989665</v>
      </c>
    </row>
    <row r="184" spans="1:23" ht="13">
      <c r="A184" s="92">
        <v>3439</v>
      </c>
      <c r="B184" s="93" t="s">
        <v>431</v>
      </c>
      <c r="C184" s="574">
        <v>0.81748469168799032</v>
      </c>
      <c r="D184" s="100">
        <f t="shared" si="30"/>
        <v>33149.803082861836</v>
      </c>
      <c r="E184" s="100">
        <f t="shared" si="31"/>
        <v>145361.88651834914</v>
      </c>
      <c r="F184" s="100">
        <f t="shared" si="40"/>
        <v>4442.5845528766831</v>
      </c>
      <c r="G184" s="100">
        <f t="shared" si="32"/>
        <v>19480.733264364255</v>
      </c>
      <c r="H184" s="100">
        <f t="shared" si="41"/>
        <v>1172.1137823600955</v>
      </c>
      <c r="I184" s="100">
        <f t="shared" si="33"/>
        <v>5139.7189356490189</v>
      </c>
      <c r="J184" s="100">
        <f t="shared" si="34"/>
        <v>608.57598568441369</v>
      </c>
      <c r="K184" s="100">
        <f t="shared" si="35"/>
        <v>2668.605697226154</v>
      </c>
      <c r="L184" s="101">
        <f t="shared" si="36"/>
        <v>22149.338961590409</v>
      </c>
      <c r="M184" s="100">
        <f t="shared" si="37"/>
        <v>167511.22547993955</v>
      </c>
      <c r="N184" s="102">
        <f t="shared" si="38"/>
        <v>38200.963621422932</v>
      </c>
      <c r="O184" s="94">
        <f t="shared" si="39"/>
        <v>0.94204791775635088</v>
      </c>
      <c r="P184" s="100">
        <f>'K22'!C178</f>
        <v>4385</v>
      </c>
      <c r="Q184" s="100"/>
      <c r="R184" s="100">
        <f t="shared" si="42"/>
        <v>0</v>
      </c>
      <c r="S184" s="100">
        <v>0</v>
      </c>
      <c r="U184" s="100">
        <v>0</v>
      </c>
      <c r="V184" s="5">
        <f t="shared" si="43"/>
        <v>145361.88651834914</v>
      </c>
      <c r="W184" s="5">
        <f t="shared" si="44"/>
        <v>33149.803082861836</v>
      </c>
    </row>
    <row r="185" spans="1:23" ht="13">
      <c r="A185" s="92">
        <v>3440</v>
      </c>
      <c r="B185" s="93" t="s">
        <v>432</v>
      </c>
      <c r="C185" s="574">
        <v>0.90922178311982194</v>
      </c>
      <c r="D185" s="100">
        <f t="shared" si="30"/>
        <v>36869.831784659713</v>
      </c>
      <c r="E185" s="100">
        <f t="shared" si="31"/>
        <v>187372.48512964067</v>
      </c>
      <c r="F185" s="100">
        <f t="shared" si="40"/>
        <v>2210.5673317979567</v>
      </c>
      <c r="G185" s="100">
        <f t="shared" si="32"/>
        <v>11234.103180197217</v>
      </c>
      <c r="H185" s="100">
        <f t="shared" si="41"/>
        <v>0</v>
      </c>
      <c r="I185" s="100">
        <f t="shared" si="33"/>
        <v>0</v>
      </c>
      <c r="J185" s="100">
        <f t="shared" si="34"/>
        <v>-563.53779667568176</v>
      </c>
      <c r="K185" s="100">
        <f t="shared" si="35"/>
        <v>-2863.8990827058146</v>
      </c>
      <c r="L185" s="101">
        <f t="shared" si="36"/>
        <v>8370.2040974914016</v>
      </c>
      <c r="M185" s="100">
        <f t="shared" si="37"/>
        <v>195742.68922713207</v>
      </c>
      <c r="N185" s="102">
        <f t="shared" si="38"/>
        <v>38516.861319781994</v>
      </c>
      <c r="O185" s="94">
        <f t="shared" si="39"/>
        <v>0.94983805551078937</v>
      </c>
      <c r="P185" s="100">
        <f>'K22'!C179</f>
        <v>5082</v>
      </c>
      <c r="Q185" s="100"/>
      <c r="R185" s="100">
        <f t="shared" si="42"/>
        <v>0</v>
      </c>
      <c r="S185" s="100">
        <v>0</v>
      </c>
      <c r="U185" s="100">
        <v>3419.4450000000002</v>
      </c>
      <c r="V185" s="5">
        <f t="shared" si="43"/>
        <v>183953.04012964066</v>
      </c>
      <c r="W185" s="5">
        <f t="shared" si="44"/>
        <v>36196.977593396434</v>
      </c>
    </row>
    <row r="186" spans="1:23" ht="13">
      <c r="A186" s="92">
        <v>3441</v>
      </c>
      <c r="B186" s="93" t="s">
        <v>433</v>
      </c>
      <c r="C186" s="574">
        <v>0.79635678596872828</v>
      </c>
      <c r="D186" s="100">
        <f t="shared" si="30"/>
        <v>32293.045860043869</v>
      </c>
      <c r="E186" s="100">
        <f t="shared" si="31"/>
        <v>196309.42578320668</v>
      </c>
      <c r="F186" s="100">
        <f t="shared" si="40"/>
        <v>4956.6388865674635</v>
      </c>
      <c r="G186" s="100">
        <f t="shared" si="32"/>
        <v>30131.407791443609</v>
      </c>
      <c r="H186" s="100">
        <f t="shared" si="41"/>
        <v>1471.9788103463839</v>
      </c>
      <c r="I186" s="100">
        <f t="shared" si="33"/>
        <v>8948.1591880956676</v>
      </c>
      <c r="J186" s="100">
        <f t="shared" si="34"/>
        <v>908.44101367070209</v>
      </c>
      <c r="K186" s="100">
        <f t="shared" si="35"/>
        <v>5522.4129221041976</v>
      </c>
      <c r="L186" s="101">
        <f t="shared" si="36"/>
        <v>35653.820713547808</v>
      </c>
      <c r="M186" s="100">
        <f t="shared" si="37"/>
        <v>231963.24649675449</v>
      </c>
      <c r="N186" s="102">
        <f t="shared" si="38"/>
        <v>38158.125760282033</v>
      </c>
      <c r="O186" s="94">
        <f t="shared" si="39"/>
        <v>0.94099152247038775</v>
      </c>
      <c r="P186" s="100">
        <f>'K22'!C180</f>
        <v>6079</v>
      </c>
      <c r="Q186" s="100"/>
      <c r="R186" s="100">
        <f t="shared" si="42"/>
        <v>0</v>
      </c>
      <c r="S186" s="100">
        <v>0</v>
      </c>
      <c r="U186" s="100">
        <v>1013.2496666666667</v>
      </c>
      <c r="V186" s="5">
        <f t="shared" si="43"/>
        <v>195296.17611654001</v>
      </c>
      <c r="W186" s="5">
        <f t="shared" si="44"/>
        <v>32126.365539815761</v>
      </c>
    </row>
    <row r="187" spans="1:23" ht="13">
      <c r="A187" s="92">
        <v>3442</v>
      </c>
      <c r="B187" s="93" t="s">
        <v>434</v>
      </c>
      <c r="C187" s="574">
        <v>0.79083016499448811</v>
      </c>
      <c r="D187" s="100">
        <f t="shared" si="30"/>
        <v>32068.935978999638</v>
      </c>
      <c r="E187" s="100">
        <f t="shared" si="31"/>
        <v>475486.11376062763</v>
      </c>
      <c r="F187" s="100">
        <f t="shared" si="40"/>
        <v>5091.1048151940022</v>
      </c>
      <c r="G187" s="100">
        <f t="shared" si="32"/>
        <v>75485.811094881472</v>
      </c>
      <c r="H187" s="100">
        <f t="shared" si="41"/>
        <v>1550.4172687118646</v>
      </c>
      <c r="I187" s="100">
        <f t="shared" si="33"/>
        <v>22988.036843190814</v>
      </c>
      <c r="J187" s="100">
        <f t="shared" si="34"/>
        <v>986.87947203618285</v>
      </c>
      <c r="K187" s="100">
        <f t="shared" si="35"/>
        <v>14632.461931880483</v>
      </c>
      <c r="L187" s="101">
        <f t="shared" si="36"/>
        <v>90118.273026761948</v>
      </c>
      <c r="M187" s="100">
        <f t="shared" si="37"/>
        <v>565604.38678738964</v>
      </c>
      <c r="N187" s="102">
        <f t="shared" si="38"/>
        <v>38146.920266229827</v>
      </c>
      <c r="O187" s="94">
        <f t="shared" si="39"/>
        <v>0.94071519142167581</v>
      </c>
      <c r="P187" s="100">
        <f>'K22'!C181</f>
        <v>14827</v>
      </c>
      <c r="Q187" s="100"/>
      <c r="R187" s="100">
        <f t="shared" si="42"/>
        <v>0</v>
      </c>
      <c r="S187" s="100">
        <v>0</v>
      </c>
      <c r="U187" s="100">
        <v>78.620333333333335</v>
      </c>
      <c r="V187" s="5">
        <f t="shared" si="43"/>
        <v>475407.49342729431</v>
      </c>
      <c r="W187" s="5">
        <f t="shared" si="44"/>
        <v>32063.633467815089</v>
      </c>
    </row>
    <row r="188" spans="1:23" ht="13">
      <c r="A188" s="92">
        <v>3443</v>
      </c>
      <c r="B188" s="93" t="s">
        <v>435</v>
      </c>
      <c r="C188" s="574">
        <v>0.73664137746734693</v>
      </c>
      <c r="D188" s="100">
        <f t="shared" si="30"/>
        <v>29871.527692228461</v>
      </c>
      <c r="E188" s="100">
        <f t="shared" si="31"/>
        <v>405416.37383892463</v>
      </c>
      <c r="F188" s="100">
        <f t="shared" si="40"/>
        <v>6409.5497872567075</v>
      </c>
      <c r="G188" s="100">
        <f t="shared" si="32"/>
        <v>86990.409712648034</v>
      </c>
      <c r="H188" s="100">
        <f t="shared" si="41"/>
        <v>2319.5101690817764</v>
      </c>
      <c r="I188" s="100">
        <f t="shared" si="33"/>
        <v>31480.39201477787</v>
      </c>
      <c r="J188" s="100">
        <f t="shared" si="34"/>
        <v>1755.9723724060946</v>
      </c>
      <c r="K188" s="100">
        <f t="shared" si="35"/>
        <v>23832.057038295516</v>
      </c>
      <c r="L188" s="101">
        <f t="shared" si="36"/>
        <v>110822.46675094355</v>
      </c>
      <c r="M188" s="100">
        <f t="shared" si="37"/>
        <v>516238.84058986814</v>
      </c>
      <c r="N188" s="102">
        <f t="shared" si="38"/>
        <v>38037.049851891257</v>
      </c>
      <c r="O188" s="94">
        <f t="shared" si="39"/>
        <v>0.93800575204531855</v>
      </c>
      <c r="P188" s="100">
        <f>'K22'!C182</f>
        <v>13572</v>
      </c>
      <c r="Q188" s="100"/>
      <c r="R188" s="100">
        <f t="shared" si="42"/>
        <v>0</v>
      </c>
      <c r="S188" s="100">
        <v>0</v>
      </c>
      <c r="U188" s="100">
        <v>41.540666666666667</v>
      </c>
      <c r="V188" s="5">
        <f t="shared" si="43"/>
        <v>405374.83317225799</v>
      </c>
      <c r="W188" s="5">
        <f t="shared" si="44"/>
        <v>29868.466929874598</v>
      </c>
    </row>
    <row r="189" spans="1:23" ht="13">
      <c r="A189" s="92">
        <v>3446</v>
      </c>
      <c r="B189" s="93" t="s">
        <v>438</v>
      </c>
      <c r="C189" s="574">
        <v>0.82475111598594564</v>
      </c>
      <c r="D189" s="100">
        <f t="shared" si="30"/>
        <v>33444.463688794844</v>
      </c>
      <c r="E189" s="100">
        <f t="shared" si="31"/>
        <v>455948.37346934009</v>
      </c>
      <c r="F189" s="100">
        <f t="shared" si="40"/>
        <v>4265.7881893168787</v>
      </c>
      <c r="G189" s="100">
        <f t="shared" si="32"/>
        <v>58155.490384957011</v>
      </c>
      <c r="H189" s="100">
        <f t="shared" si="41"/>
        <v>1068.9825702835426</v>
      </c>
      <c r="I189" s="100">
        <f t="shared" si="33"/>
        <v>14573.439380675536</v>
      </c>
      <c r="J189" s="100">
        <f t="shared" si="34"/>
        <v>505.44477360786084</v>
      </c>
      <c r="K189" s="100">
        <f t="shared" si="35"/>
        <v>6890.728598595967</v>
      </c>
      <c r="L189" s="101">
        <f t="shared" si="36"/>
        <v>65046.218983552979</v>
      </c>
      <c r="M189" s="100">
        <f t="shared" si="37"/>
        <v>520994.59245289303</v>
      </c>
      <c r="N189" s="102">
        <f t="shared" si="38"/>
        <v>38215.696651719576</v>
      </c>
      <c r="O189" s="94">
        <f t="shared" si="39"/>
        <v>0.94241123897124845</v>
      </c>
      <c r="P189" s="100">
        <f>'K22'!C183</f>
        <v>13633</v>
      </c>
      <c r="Q189" s="100"/>
      <c r="R189" s="100">
        <f t="shared" si="42"/>
        <v>0</v>
      </c>
      <c r="S189" s="100">
        <v>0</v>
      </c>
      <c r="U189" s="100">
        <v>57.669666666666664</v>
      </c>
      <c r="V189" s="5">
        <f t="shared" si="43"/>
        <v>455890.70380267344</v>
      </c>
      <c r="W189" s="5">
        <f t="shared" si="44"/>
        <v>33440.233536468382</v>
      </c>
    </row>
    <row r="190" spans="1:23" ht="13">
      <c r="A190" s="92">
        <v>3447</v>
      </c>
      <c r="B190" s="93" t="s">
        <v>439</v>
      </c>
      <c r="C190" s="574">
        <v>0.67428208045627203</v>
      </c>
      <c r="D190" s="100">
        <f t="shared" si="30"/>
        <v>27342.797261773114</v>
      </c>
      <c r="E190" s="100">
        <f t="shared" si="31"/>
        <v>151342.38284391418</v>
      </c>
      <c r="F190" s="100">
        <f t="shared" si="40"/>
        <v>7926.7880455299164</v>
      </c>
      <c r="G190" s="100">
        <f t="shared" si="32"/>
        <v>43874.771832008089</v>
      </c>
      <c r="H190" s="100">
        <f t="shared" si="41"/>
        <v>3204.5658197411481</v>
      </c>
      <c r="I190" s="100">
        <f t="shared" si="33"/>
        <v>17737.271812267256</v>
      </c>
      <c r="J190" s="100">
        <f t="shared" si="34"/>
        <v>2641.0280230654662</v>
      </c>
      <c r="K190" s="100">
        <f t="shared" si="35"/>
        <v>14618.090107667354</v>
      </c>
      <c r="L190" s="101">
        <f t="shared" si="36"/>
        <v>58492.861939675444</v>
      </c>
      <c r="M190" s="100">
        <f t="shared" si="37"/>
        <v>209835.24478358962</v>
      </c>
      <c r="N190" s="102">
        <f t="shared" si="38"/>
        <v>37910.613330368491</v>
      </c>
      <c r="O190" s="94">
        <f t="shared" si="39"/>
        <v>0.93488778719476484</v>
      </c>
      <c r="P190" s="100">
        <f>'K22'!C184</f>
        <v>5535</v>
      </c>
      <c r="Q190" s="100"/>
      <c r="R190" s="100">
        <f t="shared" si="42"/>
        <v>0</v>
      </c>
      <c r="S190" s="100">
        <v>0</v>
      </c>
      <c r="U190" s="100">
        <v>150.98566666666667</v>
      </c>
      <c r="V190" s="5">
        <f t="shared" si="43"/>
        <v>151191.39717724751</v>
      </c>
      <c r="W190" s="5">
        <f t="shared" si="44"/>
        <v>27315.518911878498</v>
      </c>
    </row>
    <row r="191" spans="1:23" ht="13">
      <c r="A191" s="92">
        <v>3448</v>
      </c>
      <c r="B191" s="93" t="s">
        <v>440</v>
      </c>
      <c r="C191" s="574">
        <v>0.68053958155412109</v>
      </c>
      <c r="D191" s="100">
        <f t="shared" si="30"/>
        <v>27596.545046035793</v>
      </c>
      <c r="E191" s="100">
        <f t="shared" si="31"/>
        <v>181502.47676777741</v>
      </c>
      <c r="F191" s="100">
        <f t="shared" si="40"/>
        <v>7774.539374972308</v>
      </c>
      <c r="G191" s="100">
        <f t="shared" si="32"/>
        <v>51133.145469192867</v>
      </c>
      <c r="H191" s="100">
        <f t="shared" si="41"/>
        <v>3115.75409524921</v>
      </c>
      <c r="I191" s="100">
        <f t="shared" si="33"/>
        <v>20492.314684454053</v>
      </c>
      <c r="J191" s="100">
        <f t="shared" si="34"/>
        <v>2552.2162985735281</v>
      </c>
      <c r="K191" s="100">
        <f t="shared" si="35"/>
        <v>16785.926595718094</v>
      </c>
      <c r="L191" s="101">
        <f t="shared" si="36"/>
        <v>67919.072064910957</v>
      </c>
      <c r="M191" s="100">
        <f t="shared" si="37"/>
        <v>249421.54883268836</v>
      </c>
      <c r="N191" s="102">
        <f t="shared" si="38"/>
        <v>37923.300719581624</v>
      </c>
      <c r="O191" s="94">
        <f t="shared" si="39"/>
        <v>0.93520066224965726</v>
      </c>
      <c r="P191" s="100">
        <f>'K22'!C185</f>
        <v>6577</v>
      </c>
      <c r="Q191" s="100"/>
      <c r="R191" s="100">
        <f t="shared" si="42"/>
        <v>0</v>
      </c>
      <c r="S191" s="100">
        <v>0</v>
      </c>
      <c r="U191" s="100">
        <v>7190.7699999999995</v>
      </c>
      <c r="V191" s="5">
        <f t="shared" si="43"/>
        <v>174311.70676777742</v>
      </c>
      <c r="W191" s="5">
        <f t="shared" si="44"/>
        <v>26503.22438311957</v>
      </c>
    </row>
    <row r="192" spans="1:23" ht="13">
      <c r="A192" s="92">
        <v>3449</v>
      </c>
      <c r="B192" s="93" t="s">
        <v>441</v>
      </c>
      <c r="C192" s="574">
        <v>0.78658101448527395</v>
      </c>
      <c r="D192" s="100">
        <f t="shared" si="30"/>
        <v>31896.62877363896</v>
      </c>
      <c r="E192" s="100">
        <f t="shared" si="31"/>
        <v>92149.360527042954</v>
      </c>
      <c r="F192" s="100">
        <f t="shared" si="40"/>
        <v>5194.4891384104085</v>
      </c>
      <c r="G192" s="100">
        <f t="shared" si="32"/>
        <v>15006.87912086767</v>
      </c>
      <c r="H192" s="100">
        <f t="shared" si="41"/>
        <v>1610.7247905881018</v>
      </c>
      <c r="I192" s="100">
        <f t="shared" si="33"/>
        <v>4653.383920009026</v>
      </c>
      <c r="J192" s="100">
        <f t="shared" si="34"/>
        <v>1047.1869939124199</v>
      </c>
      <c r="K192" s="100">
        <f t="shared" si="35"/>
        <v>3025.3232254129812</v>
      </c>
      <c r="L192" s="101">
        <f t="shared" si="36"/>
        <v>18032.20234628065</v>
      </c>
      <c r="M192" s="100">
        <f t="shared" si="37"/>
        <v>110181.56287332361</v>
      </c>
      <c r="N192" s="102">
        <f t="shared" si="38"/>
        <v>38138.304905961784</v>
      </c>
      <c r="O192" s="94">
        <f t="shared" si="39"/>
        <v>0.94050273389621486</v>
      </c>
      <c r="P192" s="100">
        <f>'K22'!C186</f>
        <v>2889</v>
      </c>
      <c r="Q192" s="100"/>
      <c r="R192" s="100">
        <f t="shared" si="42"/>
        <v>0</v>
      </c>
      <c r="S192" s="100">
        <v>0</v>
      </c>
      <c r="U192" s="100">
        <v>4228.9336666666668</v>
      </c>
      <c r="V192" s="5">
        <f t="shared" si="43"/>
        <v>87920.42686037629</v>
      </c>
      <c r="W192" s="5">
        <f t="shared" si="44"/>
        <v>30432.823419998713</v>
      </c>
    </row>
    <row r="193" spans="1:23" ht="13">
      <c r="A193" s="92">
        <v>3450</v>
      </c>
      <c r="B193" s="93" t="s">
        <v>442</v>
      </c>
      <c r="C193" s="574">
        <v>0.72815187531967895</v>
      </c>
      <c r="D193" s="100">
        <f t="shared" si="30"/>
        <v>29527.270084314576</v>
      </c>
      <c r="E193" s="100">
        <f t="shared" si="31"/>
        <v>37086.251225899105</v>
      </c>
      <c r="F193" s="100">
        <f t="shared" si="40"/>
        <v>6616.1043520050389</v>
      </c>
      <c r="G193" s="100">
        <f t="shared" si="32"/>
        <v>8309.8270661183287</v>
      </c>
      <c r="H193" s="100">
        <f t="shared" si="41"/>
        <v>2440.0003318516365</v>
      </c>
      <c r="I193" s="100">
        <f t="shared" si="33"/>
        <v>3064.6404168056551</v>
      </c>
      <c r="J193" s="100">
        <f t="shared" si="34"/>
        <v>1876.4625351759546</v>
      </c>
      <c r="K193" s="100">
        <f t="shared" si="35"/>
        <v>2356.8369441809991</v>
      </c>
      <c r="L193" s="101">
        <f t="shared" si="36"/>
        <v>10666.664010299328</v>
      </c>
      <c r="M193" s="100">
        <f t="shared" si="37"/>
        <v>47752.915236198431</v>
      </c>
      <c r="N193" s="102">
        <f t="shared" si="38"/>
        <v>38019.83697149557</v>
      </c>
      <c r="O193" s="94">
        <f t="shared" si="39"/>
        <v>0.93758127693793525</v>
      </c>
      <c r="P193" s="100">
        <f>'K22'!C187</f>
        <v>1256</v>
      </c>
      <c r="Q193" s="100"/>
      <c r="R193" s="100">
        <f t="shared" si="42"/>
        <v>0</v>
      </c>
      <c r="S193" s="100">
        <v>0</v>
      </c>
      <c r="U193" s="100">
        <v>0</v>
      </c>
      <c r="V193" s="5">
        <f t="shared" si="43"/>
        <v>37086.251225899105</v>
      </c>
      <c r="W193" s="5">
        <f t="shared" si="44"/>
        <v>29527.270084314576</v>
      </c>
    </row>
    <row r="194" spans="1:23" ht="13">
      <c r="A194" s="92">
        <v>3451</v>
      </c>
      <c r="B194" s="93" t="s">
        <v>443</v>
      </c>
      <c r="C194" s="574">
        <v>0.83406685623883281</v>
      </c>
      <c r="D194" s="100">
        <f t="shared" si="30"/>
        <v>33822.226059264001</v>
      </c>
      <c r="E194" s="100">
        <f t="shared" si="31"/>
        <v>214906.42438056346</v>
      </c>
      <c r="F194" s="100">
        <f t="shared" si="40"/>
        <v>4039.1307670353835</v>
      </c>
      <c r="G194" s="100">
        <f t="shared" si="32"/>
        <v>25664.636893742827</v>
      </c>
      <c r="H194" s="100">
        <f t="shared" si="41"/>
        <v>936.76574061933741</v>
      </c>
      <c r="I194" s="100">
        <f t="shared" si="33"/>
        <v>5952.2095158952698</v>
      </c>
      <c r="J194" s="100">
        <f t="shared" si="34"/>
        <v>373.22794394365565</v>
      </c>
      <c r="K194" s="100">
        <f t="shared" si="35"/>
        <v>2371.4903558179881</v>
      </c>
      <c r="L194" s="101">
        <f t="shared" si="36"/>
        <v>28036.127249560814</v>
      </c>
      <c r="M194" s="100">
        <f t="shared" si="37"/>
        <v>242942.55163012428</v>
      </c>
      <c r="N194" s="102">
        <f t="shared" si="38"/>
        <v>38234.58477024304</v>
      </c>
      <c r="O194" s="94">
        <f t="shared" si="39"/>
        <v>0.942877025983893</v>
      </c>
      <c r="P194" s="100">
        <f>'K22'!C188</f>
        <v>6354</v>
      </c>
      <c r="Q194" s="100"/>
      <c r="R194" s="100">
        <f t="shared" si="42"/>
        <v>0</v>
      </c>
      <c r="S194" s="100">
        <v>0</v>
      </c>
      <c r="U194" s="100">
        <v>6688.1270000000004</v>
      </c>
      <c r="V194" s="5">
        <f t="shared" si="43"/>
        <v>208218.29738056345</v>
      </c>
      <c r="W194" s="5">
        <f t="shared" si="44"/>
        <v>32769.640758665955</v>
      </c>
    </row>
    <row r="195" spans="1:23" ht="13">
      <c r="A195" s="92">
        <v>3452</v>
      </c>
      <c r="B195" s="93" t="s">
        <v>444</v>
      </c>
      <c r="C195" s="574">
        <v>0.97390261530841726</v>
      </c>
      <c r="D195" s="100">
        <f t="shared" si="30"/>
        <v>39492.702735136088</v>
      </c>
      <c r="E195" s="100">
        <f t="shared" si="31"/>
        <v>83369.095473872294</v>
      </c>
      <c r="F195" s="100">
        <f t="shared" si="40"/>
        <v>636.84476151213164</v>
      </c>
      <c r="G195" s="100">
        <f t="shared" si="32"/>
        <v>1344.3792915521099</v>
      </c>
      <c r="H195" s="100">
        <f t="shared" si="41"/>
        <v>0</v>
      </c>
      <c r="I195" s="100">
        <f t="shared" si="33"/>
        <v>0</v>
      </c>
      <c r="J195" s="100">
        <f t="shared" si="34"/>
        <v>-563.53779667568176</v>
      </c>
      <c r="K195" s="100">
        <f t="shared" si="35"/>
        <v>-1189.6282887823643</v>
      </c>
      <c r="L195" s="101">
        <f t="shared" si="36"/>
        <v>154.75100276974558</v>
      </c>
      <c r="M195" s="100">
        <f t="shared" si="37"/>
        <v>83523.846476642037</v>
      </c>
      <c r="N195" s="102">
        <f t="shared" si="38"/>
        <v>39566.009699972543</v>
      </c>
      <c r="O195" s="94">
        <f t="shared" si="39"/>
        <v>0.97571038838622737</v>
      </c>
      <c r="P195" s="100">
        <f>'K22'!C189</f>
        <v>2111</v>
      </c>
      <c r="Q195" s="100"/>
      <c r="R195" s="100">
        <f t="shared" si="42"/>
        <v>0</v>
      </c>
      <c r="S195" s="100">
        <v>0</v>
      </c>
      <c r="U195" s="100">
        <v>1375.076</v>
      </c>
      <c r="V195" s="5">
        <f t="shared" si="43"/>
        <v>81994.019473872293</v>
      </c>
      <c r="W195" s="5">
        <f t="shared" si="44"/>
        <v>38841.316662184887</v>
      </c>
    </row>
    <row r="196" spans="1:23" ht="13">
      <c r="A196" s="92">
        <v>3453</v>
      </c>
      <c r="B196" s="93" t="s">
        <v>445</v>
      </c>
      <c r="C196" s="574">
        <v>0.95380824213962234</v>
      </c>
      <c r="D196" s="100">
        <f t="shared" si="30"/>
        <v>38677.8562671935</v>
      </c>
      <c r="E196" s="100">
        <f t="shared" si="31"/>
        <v>125780.38858091326</v>
      </c>
      <c r="F196" s="100">
        <f t="shared" si="40"/>
        <v>1125.7526422776848</v>
      </c>
      <c r="G196" s="100">
        <f t="shared" si="32"/>
        <v>3660.9475926870309</v>
      </c>
      <c r="H196" s="100">
        <f t="shared" si="41"/>
        <v>0</v>
      </c>
      <c r="I196" s="100">
        <f t="shared" si="33"/>
        <v>0</v>
      </c>
      <c r="J196" s="100">
        <f t="shared" si="34"/>
        <v>-563.53779667568176</v>
      </c>
      <c r="K196" s="100">
        <f t="shared" si="35"/>
        <v>-1832.6249147893172</v>
      </c>
      <c r="L196" s="101">
        <f t="shared" si="36"/>
        <v>1828.3226778977137</v>
      </c>
      <c r="M196" s="100">
        <f t="shared" si="37"/>
        <v>127608.71125881099</v>
      </c>
      <c r="N196" s="102">
        <f t="shared" si="38"/>
        <v>39240.071112795507</v>
      </c>
      <c r="O196" s="94">
        <f t="shared" si="39"/>
        <v>0.96767263911870938</v>
      </c>
      <c r="P196" s="100">
        <f>'K22'!C190</f>
        <v>3252</v>
      </c>
      <c r="Q196" s="100"/>
      <c r="R196" s="100">
        <f t="shared" si="42"/>
        <v>0</v>
      </c>
      <c r="S196" s="100">
        <v>0</v>
      </c>
      <c r="U196" s="100">
        <v>1418.5636666666667</v>
      </c>
      <c r="V196" s="5">
        <f t="shared" si="43"/>
        <v>124361.82491424659</v>
      </c>
      <c r="W196" s="5">
        <f t="shared" si="44"/>
        <v>38241.643577566603</v>
      </c>
    </row>
    <row r="197" spans="1:23" ht="13">
      <c r="A197" s="92">
        <v>3454</v>
      </c>
      <c r="B197" s="93" t="s">
        <v>446</v>
      </c>
      <c r="C197" s="574">
        <v>0.87079766017764892</v>
      </c>
      <c r="D197" s="100">
        <f t="shared" si="30"/>
        <v>35311.696051824656</v>
      </c>
      <c r="E197" s="100">
        <f t="shared" si="31"/>
        <v>56039.661634245727</v>
      </c>
      <c r="F197" s="100">
        <f t="shared" si="40"/>
        <v>3145.4487714989909</v>
      </c>
      <c r="G197" s="100">
        <f t="shared" si="32"/>
        <v>4991.827200368899</v>
      </c>
      <c r="H197" s="100">
        <f t="shared" si="41"/>
        <v>415.45124322310835</v>
      </c>
      <c r="I197" s="100">
        <f t="shared" si="33"/>
        <v>659.32112299507298</v>
      </c>
      <c r="J197" s="100">
        <f t="shared" si="34"/>
        <v>-148.08655345257341</v>
      </c>
      <c r="K197" s="100">
        <f t="shared" si="35"/>
        <v>-235.01336032923402</v>
      </c>
      <c r="L197" s="101">
        <f t="shared" si="36"/>
        <v>4756.8138400396647</v>
      </c>
      <c r="M197" s="100">
        <f t="shared" si="37"/>
        <v>60796.475474285391</v>
      </c>
      <c r="N197" s="102">
        <f t="shared" si="38"/>
        <v>38309.058269871071</v>
      </c>
      <c r="O197" s="94">
        <f t="shared" si="39"/>
        <v>0.94471356618083369</v>
      </c>
      <c r="P197" s="100">
        <f>'K22'!C191</f>
        <v>1587</v>
      </c>
      <c r="Q197" s="100"/>
      <c r="R197" s="100">
        <f t="shared" si="42"/>
        <v>0</v>
      </c>
      <c r="S197" s="100">
        <v>0</v>
      </c>
      <c r="U197" s="100">
        <v>6400.0933333333332</v>
      </c>
      <c r="V197" s="5">
        <f t="shared" si="43"/>
        <v>49639.568300912397</v>
      </c>
      <c r="W197" s="5">
        <f t="shared" si="44"/>
        <v>31278.871015067671</v>
      </c>
    </row>
    <row r="198" spans="1:23" ht="13">
      <c r="A198" s="92">
        <v>3801</v>
      </c>
      <c r="B198" s="93" t="s">
        <v>344</v>
      </c>
      <c r="C198" s="574">
        <v>0.77728936886876709</v>
      </c>
      <c r="D198" s="100">
        <f t="shared" si="30"/>
        <v>31519.843464219983</v>
      </c>
      <c r="E198" s="100">
        <f t="shared" si="31"/>
        <v>866858.73495297797</v>
      </c>
      <c r="F198" s="100">
        <f t="shared" si="40"/>
        <v>5420.5603240617947</v>
      </c>
      <c r="G198" s="100">
        <f t="shared" si="32"/>
        <v>149076.25003234748</v>
      </c>
      <c r="H198" s="100">
        <f t="shared" si="41"/>
        <v>1742.5996488847441</v>
      </c>
      <c r="I198" s="100">
        <f t="shared" si="33"/>
        <v>47924.975543628228</v>
      </c>
      <c r="J198" s="100">
        <f t="shared" si="34"/>
        <v>1179.0618522090622</v>
      </c>
      <c r="K198" s="100">
        <f t="shared" si="35"/>
        <v>32426.55905945363</v>
      </c>
      <c r="L198" s="101">
        <f t="shared" si="36"/>
        <v>181502.80909180111</v>
      </c>
      <c r="M198" s="100">
        <f t="shared" si="37"/>
        <v>1048361.5440447791</v>
      </c>
      <c r="N198" s="102">
        <f t="shared" si="38"/>
        <v>38119.465640490846</v>
      </c>
      <c r="O198" s="94">
        <f t="shared" si="39"/>
        <v>0.94003815161538984</v>
      </c>
      <c r="P198" s="100">
        <f>'K22'!C192</f>
        <v>27502</v>
      </c>
      <c r="Q198" s="100"/>
      <c r="R198" s="100">
        <f t="shared" si="42"/>
        <v>0</v>
      </c>
      <c r="S198" s="100">
        <v>0</v>
      </c>
      <c r="U198" s="100">
        <v>0</v>
      </c>
      <c r="V198" s="5">
        <f t="shared" si="43"/>
        <v>866858.73495297797</v>
      </c>
      <c r="W198" s="5">
        <f t="shared" si="44"/>
        <v>31519.843464219986</v>
      </c>
    </row>
    <row r="199" spans="1:23" ht="13">
      <c r="A199" s="92">
        <v>3802</v>
      </c>
      <c r="B199" s="93" t="s">
        <v>1821</v>
      </c>
      <c r="C199" s="574">
        <v>0.86860852860224624</v>
      </c>
      <c r="D199" s="100">
        <f t="shared" si="30"/>
        <v>35222.924627252498</v>
      </c>
      <c r="E199" s="100">
        <f t="shared" si="31"/>
        <v>904559.92735247139</v>
      </c>
      <c r="F199" s="100">
        <f t="shared" si="40"/>
        <v>3198.711626242286</v>
      </c>
      <c r="G199" s="100">
        <f t="shared" si="32"/>
        <v>82146.113273528143</v>
      </c>
      <c r="H199" s="100">
        <f t="shared" si="41"/>
        <v>446.52124182336371</v>
      </c>
      <c r="I199" s="100">
        <f t="shared" si="33"/>
        <v>11467.112011265803</v>
      </c>
      <c r="J199" s="100">
        <f t="shared" si="34"/>
        <v>-117.01655485231805</v>
      </c>
      <c r="K199" s="100">
        <f t="shared" si="35"/>
        <v>-3005.1021451623797</v>
      </c>
      <c r="L199" s="101">
        <f t="shared" si="36"/>
        <v>79141.011128365761</v>
      </c>
      <c r="M199" s="100">
        <f t="shared" si="37"/>
        <v>983700.93848083715</v>
      </c>
      <c r="N199" s="102">
        <f t="shared" si="38"/>
        <v>38304.619698642462</v>
      </c>
      <c r="O199" s="94">
        <f t="shared" si="39"/>
        <v>0.94460410960206354</v>
      </c>
      <c r="P199" s="100">
        <f>'K22'!C193</f>
        <v>25681</v>
      </c>
      <c r="Q199" s="100"/>
      <c r="R199" s="100">
        <f t="shared" si="42"/>
        <v>0</v>
      </c>
      <c r="S199" s="100">
        <v>0</v>
      </c>
      <c r="U199" s="100">
        <v>0</v>
      </c>
      <c r="V199" s="5">
        <f t="shared" si="43"/>
        <v>904559.92735247139</v>
      </c>
      <c r="W199" s="5">
        <f t="shared" si="44"/>
        <v>35222.924627252498</v>
      </c>
    </row>
    <row r="200" spans="1:23" ht="13">
      <c r="A200" s="92">
        <v>3803</v>
      </c>
      <c r="B200" s="93" t="s">
        <v>464</v>
      </c>
      <c r="C200" s="574">
        <v>0.95683038214694027</v>
      </c>
      <c r="D200" s="100">
        <f t="shared" si="30"/>
        <v>38800.406997684324</v>
      </c>
      <c r="E200" s="100">
        <f t="shared" si="31"/>
        <v>2242430.7220241679</v>
      </c>
      <c r="F200" s="100">
        <f t="shared" si="40"/>
        <v>1052.2222039831904</v>
      </c>
      <c r="G200" s="100">
        <f t="shared" si="32"/>
        <v>60812.130057004506</v>
      </c>
      <c r="H200" s="100">
        <f t="shared" si="41"/>
        <v>0</v>
      </c>
      <c r="I200" s="100">
        <f t="shared" si="33"/>
        <v>0</v>
      </c>
      <c r="J200" s="100">
        <f t="shared" si="34"/>
        <v>-563.53779667568176</v>
      </c>
      <c r="K200" s="100">
        <f t="shared" si="35"/>
        <v>-32569.103421074353</v>
      </c>
      <c r="L200" s="101">
        <f t="shared" si="36"/>
        <v>28243.026635930153</v>
      </c>
      <c r="M200" s="100">
        <f t="shared" si="37"/>
        <v>2270673.7486600978</v>
      </c>
      <c r="N200" s="102">
        <f t="shared" si="38"/>
        <v>39289.091404991828</v>
      </c>
      <c r="O200" s="94">
        <f t="shared" si="39"/>
        <v>0.96888149512163635</v>
      </c>
      <c r="P200" s="100">
        <f>'K22'!C194</f>
        <v>57794</v>
      </c>
      <c r="Q200" s="100"/>
      <c r="R200" s="100">
        <f t="shared" si="42"/>
        <v>0</v>
      </c>
      <c r="S200" s="100">
        <v>0</v>
      </c>
      <c r="U200" s="100">
        <v>0</v>
      </c>
      <c r="V200" s="5">
        <f t="shared" si="43"/>
        <v>2242430.7220241679</v>
      </c>
      <c r="W200" s="5">
        <f t="shared" si="44"/>
        <v>38800.406997684324</v>
      </c>
    </row>
    <row r="201" spans="1:23" ht="13">
      <c r="A201" s="92">
        <v>3804</v>
      </c>
      <c r="B201" s="93" t="s">
        <v>1822</v>
      </c>
      <c r="C201" s="574">
        <v>0.89113191720512097</v>
      </c>
      <c r="D201" s="100">
        <f t="shared" si="30"/>
        <v>36136.270044647841</v>
      </c>
      <c r="E201" s="100">
        <f t="shared" si="31"/>
        <v>2346797.7855095649</v>
      </c>
      <c r="F201" s="100">
        <f t="shared" si="40"/>
        <v>2650.70437580508</v>
      </c>
      <c r="G201" s="100">
        <f t="shared" si="32"/>
        <v>172144.69427790932</v>
      </c>
      <c r="H201" s="100">
        <f t="shared" si="41"/>
        <v>126.8503457349936</v>
      </c>
      <c r="I201" s="100">
        <f t="shared" si="33"/>
        <v>8238.0420030676887</v>
      </c>
      <c r="J201" s="100">
        <f t="shared" si="34"/>
        <v>-436.68745094068817</v>
      </c>
      <c r="K201" s="100">
        <f t="shared" si="35"/>
        <v>-28359.793126441109</v>
      </c>
      <c r="L201" s="101">
        <f t="shared" si="36"/>
        <v>143784.90115146822</v>
      </c>
      <c r="M201" s="100">
        <f t="shared" si="37"/>
        <v>2490582.686661033</v>
      </c>
      <c r="N201" s="102">
        <f t="shared" si="38"/>
        <v>38350.286969512235</v>
      </c>
      <c r="O201" s="94">
        <f t="shared" si="39"/>
        <v>0.94573027903220741</v>
      </c>
      <c r="P201" s="100">
        <f>'K22'!C195</f>
        <v>64943</v>
      </c>
      <c r="Q201" s="100"/>
      <c r="R201" s="100">
        <f t="shared" si="42"/>
        <v>0</v>
      </c>
      <c r="S201" s="100">
        <v>0</v>
      </c>
      <c r="U201" s="100">
        <v>0</v>
      </c>
      <c r="V201" s="5">
        <f t="shared" si="43"/>
        <v>2346797.7855095649</v>
      </c>
      <c r="W201" s="5">
        <f t="shared" si="44"/>
        <v>36136.270044647841</v>
      </c>
    </row>
    <row r="202" spans="1:23" ht="13">
      <c r="A202" s="92">
        <v>3805</v>
      </c>
      <c r="B202" s="93" t="s">
        <v>1823</v>
      </c>
      <c r="C202" s="574">
        <v>0.8598160270252545</v>
      </c>
      <c r="D202" s="100">
        <f t="shared" ref="D202:D265" si="45">C202*D$367</f>
        <v>34866.380096392619</v>
      </c>
      <c r="E202" s="100">
        <f t="shared" ref="E202:E265" si="46">D202*P202/1000</f>
        <v>1665811.0418653502</v>
      </c>
      <c r="F202" s="100">
        <f t="shared" si="40"/>
        <v>3412.6383447582134</v>
      </c>
      <c r="G202" s="100">
        <f t="shared" ref="G202:G265" si="47">F202*P202/1000</f>
        <v>163045.62219751318</v>
      </c>
      <c r="H202" s="100">
        <f t="shared" si="41"/>
        <v>571.31182762432138</v>
      </c>
      <c r="I202" s="100">
        <f t="shared" ref="I202:I265" si="48">H202*P202/1000</f>
        <v>27295.565188407203</v>
      </c>
      <c r="J202" s="100">
        <f t="shared" ref="J202:J265" si="49">H202+H$370</f>
        <v>7.77403094863962</v>
      </c>
      <c r="K202" s="100">
        <f t="shared" ref="K202:K265" si="50">J202*P202/1000</f>
        <v>371.41987663315513</v>
      </c>
      <c r="L202" s="101">
        <f t="shared" ref="L202:L265" si="51">K202+G202</f>
        <v>163417.04207414633</v>
      </c>
      <c r="M202" s="100">
        <f t="shared" ref="M202:M265" si="52">K202+E202+G202</f>
        <v>1829228.0839394967</v>
      </c>
      <c r="N202" s="102">
        <f t="shared" ref="N202:N265" si="53">M202*1000/P202</f>
        <v>38286.792472099478</v>
      </c>
      <c r="O202" s="94">
        <f t="shared" ref="O202:O265" si="54">N202/N$367</f>
        <v>0.94416448452321422</v>
      </c>
      <c r="P202" s="100">
        <f>'K22'!C196</f>
        <v>47777</v>
      </c>
      <c r="Q202" s="100"/>
      <c r="R202" s="100">
        <f t="shared" si="42"/>
        <v>0</v>
      </c>
      <c r="S202" s="100">
        <v>0</v>
      </c>
      <c r="U202" s="100">
        <v>18.048666666666666</v>
      </c>
      <c r="V202" s="5">
        <f t="shared" si="43"/>
        <v>1665792.9931986835</v>
      </c>
      <c r="W202" s="5">
        <f t="shared" si="44"/>
        <v>34866.002327452195</v>
      </c>
    </row>
    <row r="203" spans="1:23" ht="13">
      <c r="A203" s="92">
        <v>3806</v>
      </c>
      <c r="B203" s="93" t="s">
        <v>466</v>
      </c>
      <c r="C203" s="574">
        <v>0.86536819849904645</v>
      </c>
      <c r="D203" s="100">
        <f t="shared" si="45"/>
        <v>35091.526075161273</v>
      </c>
      <c r="E203" s="100">
        <f t="shared" si="46"/>
        <v>1285192.0509767064</v>
      </c>
      <c r="F203" s="100">
        <f t="shared" ref="F203:F266" si="55">($D$367+$R$367-D203-R203)*0.6</f>
        <v>3277.5507574970206</v>
      </c>
      <c r="G203" s="100">
        <f t="shared" si="47"/>
        <v>120037.01894257088</v>
      </c>
      <c r="H203" s="100">
        <f t="shared" ref="H203:H266" si="56">IF((D203+R203)&lt;(D$367+R$367)*0.9,((D$367+R$367)*0.9-(D203+R203))*0.35,0)</f>
        <v>492.51073505529234</v>
      </c>
      <c r="I203" s="100">
        <f t="shared" si="48"/>
        <v>18037.713160665029</v>
      </c>
      <c r="J203" s="100">
        <f t="shared" si="49"/>
        <v>-71.027061620389418</v>
      </c>
      <c r="K203" s="100">
        <f t="shared" si="50"/>
        <v>-2601.295104785142</v>
      </c>
      <c r="L203" s="101">
        <f t="shared" si="51"/>
        <v>117435.72383778574</v>
      </c>
      <c r="M203" s="100">
        <f t="shared" si="52"/>
        <v>1402627.7748144921</v>
      </c>
      <c r="N203" s="102">
        <f t="shared" si="53"/>
        <v>38298.049771037899</v>
      </c>
      <c r="O203" s="94">
        <f t="shared" si="54"/>
        <v>0.94444209309690352</v>
      </c>
      <c r="P203" s="100">
        <f>'K22'!C197</f>
        <v>36624</v>
      </c>
      <c r="Q203" s="100"/>
      <c r="R203" s="100">
        <f t="shared" ref="R203:R266" si="57">S203*1000/P203</f>
        <v>0</v>
      </c>
      <c r="S203" s="100">
        <v>0</v>
      </c>
      <c r="U203" s="100">
        <v>0</v>
      </c>
      <c r="V203" s="5">
        <f t="shared" ref="V203:V266" si="58">+E203-U203</f>
        <v>1285192.0509767064</v>
      </c>
      <c r="W203" s="5">
        <f t="shared" ref="W203:W266" si="59">+V203*1000/P203</f>
        <v>35091.526075161273</v>
      </c>
    </row>
    <row r="204" spans="1:23" ht="13">
      <c r="A204" s="92">
        <v>3807</v>
      </c>
      <c r="B204" s="93" t="s">
        <v>467</v>
      </c>
      <c r="C204" s="574">
        <v>0.80798529158925458</v>
      </c>
      <c r="D204" s="100">
        <f t="shared" si="45"/>
        <v>32764.593126173626</v>
      </c>
      <c r="E204" s="100">
        <f t="shared" si="46"/>
        <v>1818860.8582132764</v>
      </c>
      <c r="F204" s="100">
        <f t="shared" si="55"/>
        <v>4673.7105268896094</v>
      </c>
      <c r="G204" s="100">
        <f t="shared" si="47"/>
        <v>259451.6924792229</v>
      </c>
      <c r="H204" s="100">
        <f t="shared" si="56"/>
        <v>1306.9372672009688</v>
      </c>
      <c r="I204" s="100">
        <f t="shared" si="48"/>
        <v>72552.008514127374</v>
      </c>
      <c r="J204" s="100">
        <f t="shared" si="49"/>
        <v>743.39947052528703</v>
      </c>
      <c r="K204" s="100">
        <f t="shared" si="50"/>
        <v>41268.334807270257</v>
      </c>
      <c r="L204" s="101">
        <f t="shared" si="51"/>
        <v>300720.02728649316</v>
      </c>
      <c r="M204" s="100">
        <f t="shared" si="52"/>
        <v>2119580.8854997694</v>
      </c>
      <c r="N204" s="102">
        <f t="shared" si="53"/>
        <v>38181.703123588522</v>
      </c>
      <c r="O204" s="94">
        <f t="shared" si="54"/>
        <v>0.94157294775141409</v>
      </c>
      <c r="P204" s="100">
        <f>'K22'!C198</f>
        <v>55513</v>
      </c>
      <c r="Q204" s="100"/>
      <c r="R204" s="100">
        <f t="shared" si="57"/>
        <v>0</v>
      </c>
      <c r="S204" s="100">
        <v>0</v>
      </c>
      <c r="U204" s="100">
        <v>2225.1966666666663</v>
      </c>
      <c r="V204" s="5">
        <f t="shared" si="58"/>
        <v>1816635.6615466096</v>
      </c>
      <c r="W204" s="5">
        <f t="shared" si="59"/>
        <v>32724.508881642312</v>
      </c>
    </row>
    <row r="205" spans="1:23" ht="13">
      <c r="A205" s="92">
        <v>3808</v>
      </c>
      <c r="B205" s="93" t="s">
        <v>468</v>
      </c>
      <c r="C205" s="574">
        <v>0.80720390142271092</v>
      </c>
      <c r="D205" s="100">
        <f t="shared" si="45"/>
        <v>32732.906991356445</v>
      </c>
      <c r="E205" s="100">
        <f t="shared" si="46"/>
        <v>426477.04519038316</v>
      </c>
      <c r="F205" s="100">
        <f t="shared" si="55"/>
        <v>4692.722207779917</v>
      </c>
      <c r="G205" s="100">
        <f t="shared" si="47"/>
        <v>61141.477645164545</v>
      </c>
      <c r="H205" s="100">
        <f t="shared" si="56"/>
        <v>1318.0274143869819</v>
      </c>
      <c r="I205" s="100">
        <f t="shared" si="48"/>
        <v>17172.57918204799</v>
      </c>
      <c r="J205" s="100">
        <f t="shared" si="49"/>
        <v>754.48961771130018</v>
      </c>
      <c r="K205" s="100">
        <f t="shared" si="50"/>
        <v>9830.2452291605314</v>
      </c>
      <c r="L205" s="101">
        <f t="shared" si="51"/>
        <v>70971.722874325074</v>
      </c>
      <c r="M205" s="100">
        <f t="shared" si="52"/>
        <v>497448.76806470822</v>
      </c>
      <c r="N205" s="102">
        <f t="shared" si="53"/>
        <v>38180.118816847666</v>
      </c>
      <c r="O205" s="94">
        <f t="shared" si="54"/>
        <v>0.94153387824308699</v>
      </c>
      <c r="P205" s="100">
        <f>'K22'!C199</f>
        <v>13029</v>
      </c>
      <c r="Q205" s="100"/>
      <c r="R205" s="100">
        <f t="shared" si="57"/>
        <v>0</v>
      </c>
      <c r="S205" s="100">
        <v>0</v>
      </c>
      <c r="U205" s="100">
        <v>11542.969333333333</v>
      </c>
      <c r="V205" s="5">
        <f t="shared" si="58"/>
        <v>414934.07585704984</v>
      </c>
      <c r="W205" s="5">
        <f t="shared" si="59"/>
        <v>31846.962610871888</v>
      </c>
    </row>
    <row r="206" spans="1:23" ht="13">
      <c r="A206" s="92">
        <v>3811</v>
      </c>
      <c r="B206" s="93" t="s">
        <v>1824</v>
      </c>
      <c r="C206" s="574">
        <v>1.0203798625418001</v>
      </c>
      <c r="D206" s="100">
        <f t="shared" si="45"/>
        <v>41377.40052738315</v>
      </c>
      <c r="E206" s="100">
        <f t="shared" si="46"/>
        <v>1124017.0853263633</v>
      </c>
      <c r="F206" s="100">
        <f t="shared" si="55"/>
        <v>-493.97391383610517</v>
      </c>
      <c r="G206" s="100">
        <f t="shared" si="47"/>
        <v>-13418.801369357796</v>
      </c>
      <c r="H206" s="100">
        <f t="shared" si="56"/>
        <v>0</v>
      </c>
      <c r="I206" s="100">
        <f t="shared" si="48"/>
        <v>0</v>
      </c>
      <c r="J206" s="100">
        <f t="shared" si="49"/>
        <v>-563.53779667568176</v>
      </c>
      <c r="K206" s="100">
        <f t="shared" si="50"/>
        <v>-15308.504246694894</v>
      </c>
      <c r="L206" s="101">
        <f t="shared" si="51"/>
        <v>-28727.30561605269</v>
      </c>
      <c r="M206" s="100">
        <f t="shared" si="52"/>
        <v>1095289.7797103105</v>
      </c>
      <c r="N206" s="102">
        <f t="shared" si="53"/>
        <v>40319.88881687136</v>
      </c>
      <c r="O206" s="94">
        <f t="shared" si="54"/>
        <v>0.99430128727958034</v>
      </c>
      <c r="P206" s="100">
        <f>'K22'!C200</f>
        <v>27165</v>
      </c>
      <c r="Q206" s="100"/>
      <c r="R206" s="100">
        <f t="shared" si="57"/>
        <v>0</v>
      </c>
      <c r="S206" s="100">
        <v>0</v>
      </c>
      <c r="U206" s="100">
        <v>0</v>
      </c>
      <c r="V206" s="5">
        <f t="shared" si="58"/>
        <v>1124017.0853263633</v>
      </c>
      <c r="W206" s="5">
        <f t="shared" si="59"/>
        <v>41377.40052738315</v>
      </c>
    </row>
    <row r="207" spans="1:23" ht="13">
      <c r="A207" s="92">
        <v>3812</v>
      </c>
      <c r="B207" s="93" t="s">
        <v>469</v>
      </c>
      <c r="C207" s="574">
        <v>0.77690560670733</v>
      </c>
      <c r="D207" s="100">
        <f t="shared" si="45"/>
        <v>31504.281533566547</v>
      </c>
      <c r="E207" s="100">
        <f t="shared" si="46"/>
        <v>74003.557322347813</v>
      </c>
      <c r="F207" s="100">
        <f t="shared" si="55"/>
        <v>5429.8974824538564</v>
      </c>
      <c r="G207" s="100">
        <f t="shared" si="47"/>
        <v>12754.829186284109</v>
      </c>
      <c r="H207" s="100">
        <f t="shared" si="56"/>
        <v>1748.0463246134464</v>
      </c>
      <c r="I207" s="100">
        <f t="shared" si="48"/>
        <v>4106.1608165169855</v>
      </c>
      <c r="J207" s="100">
        <f t="shared" si="49"/>
        <v>1184.5085279377645</v>
      </c>
      <c r="K207" s="100">
        <f t="shared" si="50"/>
        <v>2782.4105321258089</v>
      </c>
      <c r="L207" s="101">
        <f t="shared" si="51"/>
        <v>15537.239718409917</v>
      </c>
      <c r="M207" s="100">
        <f t="shared" si="52"/>
        <v>89540.797040757738</v>
      </c>
      <c r="N207" s="102">
        <f t="shared" si="53"/>
        <v>38118.687543958164</v>
      </c>
      <c r="O207" s="94">
        <f t="shared" si="54"/>
        <v>0.94001896350731773</v>
      </c>
      <c r="P207" s="100">
        <f>'K22'!C201</f>
        <v>2349</v>
      </c>
      <c r="Q207" s="100"/>
      <c r="R207" s="100">
        <f t="shared" si="57"/>
        <v>0</v>
      </c>
      <c r="S207" s="100">
        <v>0</v>
      </c>
      <c r="U207" s="100">
        <v>268.8966666666667</v>
      </c>
      <c r="V207" s="5">
        <f t="shared" si="58"/>
        <v>73734.660655681146</v>
      </c>
      <c r="W207" s="5">
        <f t="shared" si="59"/>
        <v>31389.808708250806</v>
      </c>
    </row>
    <row r="208" spans="1:23" ht="13">
      <c r="A208" s="92">
        <v>3813</v>
      </c>
      <c r="B208" s="93" t="s">
        <v>470</v>
      </c>
      <c r="C208" s="574">
        <v>0.88726828466911811</v>
      </c>
      <c r="D208" s="100">
        <f t="shared" si="45"/>
        <v>35979.5959698238</v>
      </c>
      <c r="E208" s="100">
        <f t="shared" si="46"/>
        <v>505729.20095184335</v>
      </c>
      <c r="F208" s="100">
        <f t="shared" si="55"/>
        <v>2744.7088206995045</v>
      </c>
      <c r="G208" s="100">
        <f t="shared" si="47"/>
        <v>38579.627183752236</v>
      </c>
      <c r="H208" s="100">
        <f t="shared" si="56"/>
        <v>181.6862719234079</v>
      </c>
      <c r="I208" s="100">
        <f t="shared" si="48"/>
        <v>2553.7822381554215</v>
      </c>
      <c r="J208" s="100">
        <f t="shared" si="49"/>
        <v>-381.85152475227386</v>
      </c>
      <c r="K208" s="100">
        <f t="shared" si="50"/>
        <v>-5367.3050319179611</v>
      </c>
      <c r="L208" s="101">
        <f t="shared" si="51"/>
        <v>33212.322151834276</v>
      </c>
      <c r="M208" s="100">
        <f t="shared" si="52"/>
        <v>538941.52310367755</v>
      </c>
      <c r="N208" s="102">
        <f t="shared" si="53"/>
        <v>38342.453265771022</v>
      </c>
      <c r="O208" s="94">
        <f t="shared" si="54"/>
        <v>0.94553709740540703</v>
      </c>
      <c r="P208" s="100">
        <f>'K22'!C202</f>
        <v>14056</v>
      </c>
      <c r="Q208" s="100"/>
      <c r="R208" s="100">
        <f t="shared" si="57"/>
        <v>0</v>
      </c>
      <c r="S208" s="100">
        <v>0</v>
      </c>
      <c r="U208" s="100">
        <v>0</v>
      </c>
      <c r="V208" s="5">
        <f t="shared" si="58"/>
        <v>505729.20095184335</v>
      </c>
      <c r="W208" s="5">
        <f t="shared" si="59"/>
        <v>35979.5959698238</v>
      </c>
    </row>
    <row r="209" spans="1:23" ht="13">
      <c r="A209" s="92">
        <v>3814</v>
      </c>
      <c r="B209" s="93" t="s">
        <v>471</v>
      </c>
      <c r="C209" s="574">
        <v>0.86356519908514162</v>
      </c>
      <c r="D209" s="100">
        <f t="shared" si="45"/>
        <v>35018.412687060947</v>
      </c>
      <c r="E209" s="100">
        <f t="shared" si="46"/>
        <v>362475.58972376789</v>
      </c>
      <c r="F209" s="100">
        <f t="shared" si="55"/>
        <v>3321.4187903572165</v>
      </c>
      <c r="G209" s="100">
        <f t="shared" si="47"/>
        <v>34380.005898987547</v>
      </c>
      <c r="H209" s="100">
        <f t="shared" si="56"/>
        <v>518.10042089040655</v>
      </c>
      <c r="I209" s="100">
        <f t="shared" si="48"/>
        <v>5362.8574566365987</v>
      </c>
      <c r="J209" s="100">
        <f t="shared" si="49"/>
        <v>-45.437375785275208</v>
      </c>
      <c r="K209" s="100">
        <f t="shared" si="50"/>
        <v>-470.32227675338368</v>
      </c>
      <c r="L209" s="101">
        <f t="shared" si="51"/>
        <v>33909.683622234166</v>
      </c>
      <c r="M209" s="100">
        <f t="shared" si="52"/>
        <v>396385.27334600204</v>
      </c>
      <c r="N209" s="102">
        <f t="shared" si="53"/>
        <v>38294.39410163289</v>
      </c>
      <c r="O209" s="94">
        <f t="shared" si="54"/>
        <v>0.9443519431262084</v>
      </c>
      <c r="P209" s="100">
        <f>'K22'!C203</f>
        <v>10351</v>
      </c>
      <c r="Q209" s="100"/>
      <c r="R209" s="100">
        <f t="shared" si="57"/>
        <v>0</v>
      </c>
      <c r="S209" s="100">
        <v>0</v>
      </c>
      <c r="U209" s="100">
        <v>0</v>
      </c>
      <c r="V209" s="5">
        <f t="shared" si="58"/>
        <v>362475.58972376789</v>
      </c>
      <c r="W209" s="5">
        <f t="shared" si="59"/>
        <v>35018.412687060947</v>
      </c>
    </row>
    <row r="210" spans="1:23" ht="13">
      <c r="A210" s="92">
        <v>3815</v>
      </c>
      <c r="B210" s="93" t="s">
        <v>472</v>
      </c>
      <c r="C210" s="574">
        <v>0.69181905458798409</v>
      </c>
      <c r="D210" s="100">
        <f t="shared" si="45"/>
        <v>28053.938699706461</v>
      </c>
      <c r="E210" s="100">
        <f t="shared" si="46"/>
        <v>114824.77109789854</v>
      </c>
      <c r="F210" s="100">
        <f t="shared" si="55"/>
        <v>7500.103182769908</v>
      </c>
      <c r="G210" s="100">
        <f t="shared" si="47"/>
        <v>30697.922327077231</v>
      </c>
      <c r="H210" s="100">
        <f t="shared" si="56"/>
        <v>2955.6663164644765</v>
      </c>
      <c r="I210" s="100">
        <f t="shared" si="48"/>
        <v>12097.542233289101</v>
      </c>
      <c r="J210" s="100">
        <f t="shared" si="49"/>
        <v>2392.1285197887946</v>
      </c>
      <c r="K210" s="100">
        <f t="shared" si="50"/>
        <v>9790.9820314955359</v>
      </c>
      <c r="L210" s="101">
        <f t="shared" si="51"/>
        <v>40488.904358572763</v>
      </c>
      <c r="M210" s="100">
        <f t="shared" si="52"/>
        <v>155313.6754564713</v>
      </c>
      <c r="N210" s="102">
        <f t="shared" si="53"/>
        <v>37946.170402265161</v>
      </c>
      <c r="O210" s="94">
        <f t="shared" si="54"/>
        <v>0.93576463590135051</v>
      </c>
      <c r="P210" s="100">
        <f>'K22'!C204</f>
        <v>4093</v>
      </c>
      <c r="Q210" s="100"/>
      <c r="R210" s="100">
        <f t="shared" si="57"/>
        <v>0</v>
      </c>
      <c r="S210" s="100">
        <v>0</v>
      </c>
      <c r="U210" s="100">
        <v>0</v>
      </c>
      <c r="V210" s="5">
        <f t="shared" si="58"/>
        <v>114824.77109789854</v>
      </c>
      <c r="W210" s="5">
        <f t="shared" si="59"/>
        <v>28053.938699706461</v>
      </c>
    </row>
    <row r="211" spans="1:23" ht="13">
      <c r="A211" s="92">
        <v>3816</v>
      </c>
      <c r="B211" s="93" t="s">
        <v>473</v>
      </c>
      <c r="C211" s="574">
        <v>0.75245631528621981</v>
      </c>
      <c r="D211" s="100">
        <f t="shared" si="45"/>
        <v>30512.838874925736</v>
      </c>
      <c r="E211" s="100">
        <f t="shared" si="46"/>
        <v>198150.37565376773</v>
      </c>
      <c r="F211" s="100">
        <f t="shared" si="55"/>
        <v>6024.763077638343</v>
      </c>
      <c r="G211" s="100">
        <f t="shared" si="47"/>
        <v>39124.811426183405</v>
      </c>
      <c r="H211" s="100">
        <f t="shared" si="56"/>
        <v>2095.0512551377305</v>
      </c>
      <c r="I211" s="100">
        <f t="shared" si="48"/>
        <v>13605.262850864421</v>
      </c>
      <c r="J211" s="100">
        <f t="shared" si="49"/>
        <v>1531.5134584620487</v>
      </c>
      <c r="K211" s="100">
        <f t="shared" si="50"/>
        <v>9945.6483992525427</v>
      </c>
      <c r="L211" s="101">
        <f t="shared" si="51"/>
        <v>49070.459825435944</v>
      </c>
      <c r="M211" s="100">
        <f t="shared" si="52"/>
        <v>247220.83547920367</v>
      </c>
      <c r="N211" s="102">
        <f t="shared" si="53"/>
        <v>38069.115411026127</v>
      </c>
      <c r="O211" s="94">
        <f t="shared" si="54"/>
        <v>0.93879649893626227</v>
      </c>
      <c r="P211" s="100">
        <f>'K22'!C205</f>
        <v>6494</v>
      </c>
      <c r="Q211" s="100"/>
      <c r="R211" s="100">
        <f t="shared" si="57"/>
        <v>0</v>
      </c>
      <c r="S211" s="100">
        <v>0</v>
      </c>
      <c r="U211" s="100">
        <v>3549.8016666666663</v>
      </c>
      <c r="V211" s="5">
        <f t="shared" si="58"/>
        <v>194600.57398710106</v>
      </c>
      <c r="W211" s="5">
        <f t="shared" si="59"/>
        <v>29966.210961980451</v>
      </c>
    </row>
    <row r="212" spans="1:23" ht="13">
      <c r="A212" s="92">
        <v>3817</v>
      </c>
      <c r="B212" s="93" t="s">
        <v>1825</v>
      </c>
      <c r="C212" s="574">
        <v>0.74194694318266752</v>
      </c>
      <c r="D212" s="100">
        <f t="shared" si="45"/>
        <v>30086.673566511312</v>
      </c>
      <c r="E212" s="100">
        <f t="shared" si="46"/>
        <v>317083.45271746273</v>
      </c>
      <c r="F212" s="100">
        <f t="shared" si="55"/>
        <v>6280.4622626869977</v>
      </c>
      <c r="G212" s="100">
        <f t="shared" si="47"/>
        <v>66189.791786458271</v>
      </c>
      <c r="H212" s="100">
        <f t="shared" si="56"/>
        <v>2244.2091130827785</v>
      </c>
      <c r="I212" s="100">
        <f t="shared" si="48"/>
        <v>23651.719842779403</v>
      </c>
      <c r="J212" s="100">
        <f t="shared" si="49"/>
        <v>1680.6713164070966</v>
      </c>
      <c r="K212" s="100">
        <f t="shared" si="50"/>
        <v>17712.595003614391</v>
      </c>
      <c r="L212" s="101">
        <f t="shared" si="51"/>
        <v>83902.386790072662</v>
      </c>
      <c r="M212" s="100">
        <f t="shared" si="52"/>
        <v>400985.83950753539</v>
      </c>
      <c r="N212" s="102">
        <f t="shared" si="53"/>
        <v>38047.807145605409</v>
      </c>
      <c r="O212" s="94">
        <f t="shared" si="54"/>
        <v>0.93827103033108483</v>
      </c>
      <c r="P212" s="100">
        <f>'K22'!C206</f>
        <v>10539</v>
      </c>
      <c r="Q212" s="100"/>
      <c r="R212" s="100">
        <f t="shared" si="57"/>
        <v>0</v>
      </c>
      <c r="S212" s="100">
        <v>0</v>
      </c>
      <c r="U212" s="100">
        <v>0</v>
      </c>
      <c r="V212" s="5">
        <f t="shared" si="58"/>
        <v>317083.45271746273</v>
      </c>
      <c r="W212" s="5">
        <f t="shared" si="59"/>
        <v>30086.673566511312</v>
      </c>
    </row>
    <row r="213" spans="1:23" ht="13">
      <c r="A213" s="92">
        <v>3818</v>
      </c>
      <c r="B213" s="93" t="s">
        <v>475</v>
      </c>
      <c r="C213" s="574">
        <v>1.0464835545793174</v>
      </c>
      <c r="D213" s="100">
        <f t="shared" si="45"/>
        <v>42435.930747677034</v>
      </c>
      <c r="E213" s="100">
        <f t="shared" si="46"/>
        <v>233906.85028119583</v>
      </c>
      <c r="F213" s="100">
        <f t="shared" si="55"/>
        <v>-1129.0920460124355</v>
      </c>
      <c r="G213" s="100">
        <f t="shared" si="47"/>
        <v>-6223.5553576205448</v>
      </c>
      <c r="H213" s="100">
        <f t="shared" si="56"/>
        <v>0</v>
      </c>
      <c r="I213" s="100">
        <f t="shared" si="48"/>
        <v>0</v>
      </c>
      <c r="J213" s="100">
        <f t="shared" si="49"/>
        <v>-563.53779667568176</v>
      </c>
      <c r="K213" s="100">
        <f t="shared" si="50"/>
        <v>-3106.2203352763577</v>
      </c>
      <c r="L213" s="101">
        <f t="shared" si="51"/>
        <v>-9329.7756928969029</v>
      </c>
      <c r="M213" s="100">
        <f t="shared" si="52"/>
        <v>224577.07458829891</v>
      </c>
      <c r="N213" s="102">
        <f t="shared" si="53"/>
        <v>40743.300904988915</v>
      </c>
      <c r="O213" s="94">
        <f t="shared" si="54"/>
        <v>1.0047427640945872</v>
      </c>
      <c r="P213" s="100">
        <f>'K22'!C207</f>
        <v>5512</v>
      </c>
      <c r="Q213" s="100"/>
      <c r="R213" s="100">
        <f t="shared" si="57"/>
        <v>0</v>
      </c>
      <c r="S213" s="100">
        <v>0</v>
      </c>
      <c r="U213" s="100">
        <v>47498.424666666659</v>
      </c>
      <c r="V213" s="5">
        <f t="shared" si="58"/>
        <v>186408.42561452917</v>
      </c>
      <c r="W213" s="5">
        <f t="shared" si="59"/>
        <v>33818.654864754928</v>
      </c>
    </row>
    <row r="214" spans="1:23" ht="13">
      <c r="A214" s="92">
        <v>3819</v>
      </c>
      <c r="B214" s="93" t="s">
        <v>476</v>
      </c>
      <c r="C214" s="574">
        <v>0.94490233572847493</v>
      </c>
      <c r="D214" s="100">
        <f t="shared" si="45"/>
        <v>38316.713059490947</v>
      </c>
      <c r="E214" s="100">
        <f t="shared" si="46"/>
        <v>59850.705798924857</v>
      </c>
      <c r="F214" s="100">
        <f t="shared" si="55"/>
        <v>1342.4385668992165</v>
      </c>
      <c r="G214" s="100">
        <f t="shared" si="47"/>
        <v>2096.8890414965763</v>
      </c>
      <c r="H214" s="100">
        <f t="shared" si="56"/>
        <v>0</v>
      </c>
      <c r="I214" s="100">
        <f t="shared" si="48"/>
        <v>0</v>
      </c>
      <c r="J214" s="100">
        <f t="shared" si="49"/>
        <v>-563.53779667568176</v>
      </c>
      <c r="K214" s="100">
        <f t="shared" si="50"/>
        <v>-880.24603840741497</v>
      </c>
      <c r="L214" s="101">
        <f t="shared" si="51"/>
        <v>1216.6430030891613</v>
      </c>
      <c r="M214" s="100">
        <f t="shared" si="52"/>
        <v>61067.348802014021</v>
      </c>
      <c r="N214" s="102">
        <f t="shared" si="53"/>
        <v>39095.613829714486</v>
      </c>
      <c r="O214" s="94">
        <f t="shared" si="54"/>
        <v>0.96411027655425041</v>
      </c>
      <c r="P214" s="100">
        <f>'K22'!C208</f>
        <v>1562</v>
      </c>
      <c r="Q214" s="100"/>
      <c r="R214" s="100">
        <f t="shared" si="57"/>
        <v>0</v>
      </c>
      <c r="S214" s="100">
        <v>0</v>
      </c>
      <c r="U214" s="100">
        <v>5386.8069999999998</v>
      </c>
      <c r="V214" s="5">
        <f t="shared" si="58"/>
        <v>54463.898798924856</v>
      </c>
      <c r="W214" s="5">
        <f t="shared" si="59"/>
        <v>34868.053008274554</v>
      </c>
    </row>
    <row r="215" spans="1:23" ht="13">
      <c r="A215" s="92">
        <v>3820</v>
      </c>
      <c r="B215" s="93" t="s">
        <v>477</v>
      </c>
      <c r="C215" s="574">
        <v>0.86342765314258785</v>
      </c>
      <c r="D215" s="100">
        <f t="shared" si="45"/>
        <v>35012.835064682367</v>
      </c>
      <c r="E215" s="100">
        <f t="shared" si="46"/>
        <v>101152.08050186736</v>
      </c>
      <c r="F215" s="100">
        <f t="shared" si="55"/>
        <v>3324.7653637843641</v>
      </c>
      <c r="G215" s="100">
        <f t="shared" si="47"/>
        <v>9605.247135973028</v>
      </c>
      <c r="H215" s="100">
        <f t="shared" si="56"/>
        <v>520.05258872290938</v>
      </c>
      <c r="I215" s="100">
        <f t="shared" si="48"/>
        <v>1502.4319288204852</v>
      </c>
      <c r="J215" s="100">
        <f t="shared" si="49"/>
        <v>-43.485207952772384</v>
      </c>
      <c r="K215" s="100">
        <f t="shared" si="50"/>
        <v>-125.62876577555942</v>
      </c>
      <c r="L215" s="101">
        <f t="shared" si="51"/>
        <v>9479.6183701974678</v>
      </c>
      <c r="M215" s="100">
        <f t="shared" si="52"/>
        <v>110631.69887206482</v>
      </c>
      <c r="N215" s="102">
        <f t="shared" si="53"/>
        <v>38294.115220513959</v>
      </c>
      <c r="O215" s="94">
        <f t="shared" si="54"/>
        <v>0.94434506582908073</v>
      </c>
      <c r="P215" s="100">
        <f>'K22'!C209</f>
        <v>2889</v>
      </c>
      <c r="Q215" s="100"/>
      <c r="R215" s="100">
        <f t="shared" si="57"/>
        <v>0</v>
      </c>
      <c r="S215" s="100">
        <v>0</v>
      </c>
      <c r="U215" s="100">
        <v>4524.2659999999996</v>
      </c>
      <c r="V215" s="5">
        <f t="shared" si="58"/>
        <v>96627.814501867353</v>
      </c>
      <c r="W215" s="5">
        <f t="shared" si="59"/>
        <v>33446.803219753325</v>
      </c>
    </row>
    <row r="216" spans="1:23" ht="13">
      <c r="A216" s="92">
        <v>3821</v>
      </c>
      <c r="B216" s="93" t="s">
        <v>478</v>
      </c>
      <c r="C216" s="574">
        <v>0.84392733711837709</v>
      </c>
      <c r="D216" s="100">
        <f t="shared" si="45"/>
        <v>34222.078194457223</v>
      </c>
      <c r="E216" s="100">
        <f t="shared" si="46"/>
        <v>83912.535732809105</v>
      </c>
      <c r="F216" s="100">
        <f t="shared" si="55"/>
        <v>3799.219485919451</v>
      </c>
      <c r="G216" s="100">
        <f t="shared" si="47"/>
        <v>9315.6861794744927</v>
      </c>
      <c r="H216" s="100">
        <f t="shared" si="56"/>
        <v>796.81749330170999</v>
      </c>
      <c r="I216" s="100">
        <f t="shared" si="48"/>
        <v>1953.796493575793</v>
      </c>
      <c r="J216" s="100">
        <f t="shared" si="49"/>
        <v>233.27969662602823</v>
      </c>
      <c r="K216" s="100">
        <f t="shared" si="50"/>
        <v>572.00181612702124</v>
      </c>
      <c r="L216" s="101">
        <f t="shared" si="51"/>
        <v>9887.6879956015146</v>
      </c>
      <c r="M216" s="100">
        <f t="shared" si="52"/>
        <v>93800.223728410623</v>
      </c>
      <c r="N216" s="102">
        <f t="shared" si="53"/>
        <v>38254.577377002701</v>
      </c>
      <c r="O216" s="94">
        <f t="shared" si="54"/>
        <v>0.94337005002787011</v>
      </c>
      <c r="P216" s="100">
        <f>'K22'!C210</f>
        <v>2452</v>
      </c>
      <c r="Q216" s="100"/>
      <c r="R216" s="100">
        <f t="shared" si="57"/>
        <v>0</v>
      </c>
      <c r="S216" s="100">
        <v>0</v>
      </c>
      <c r="U216" s="100">
        <v>1354.26</v>
      </c>
      <c r="V216" s="5">
        <f t="shared" si="58"/>
        <v>82558.27573280911</v>
      </c>
      <c r="W216" s="5">
        <f t="shared" si="59"/>
        <v>33669.769874718237</v>
      </c>
    </row>
    <row r="217" spans="1:23" ht="13">
      <c r="A217" s="92">
        <v>3822</v>
      </c>
      <c r="B217" s="93" t="s">
        <v>479</v>
      </c>
      <c r="C217" s="574">
        <v>0.87927372502129175</v>
      </c>
      <c r="D217" s="100">
        <f t="shared" si="45"/>
        <v>35655.408763929569</v>
      </c>
      <c r="E217" s="100">
        <f t="shared" si="46"/>
        <v>50416.747992196411</v>
      </c>
      <c r="F217" s="100">
        <f t="shared" si="55"/>
        <v>2939.2211442360435</v>
      </c>
      <c r="G217" s="100">
        <f t="shared" si="47"/>
        <v>4156.0586979497657</v>
      </c>
      <c r="H217" s="100">
        <f t="shared" si="56"/>
        <v>295.15179398638901</v>
      </c>
      <c r="I217" s="100">
        <f t="shared" si="48"/>
        <v>417.34463669675409</v>
      </c>
      <c r="J217" s="100">
        <f t="shared" si="49"/>
        <v>-268.38600268929275</v>
      </c>
      <c r="K217" s="100">
        <f t="shared" si="50"/>
        <v>-379.49780780265991</v>
      </c>
      <c r="L217" s="101">
        <f t="shared" si="51"/>
        <v>3776.560890147106</v>
      </c>
      <c r="M217" s="100">
        <f t="shared" si="52"/>
        <v>54193.308882343517</v>
      </c>
      <c r="N217" s="102">
        <f t="shared" si="53"/>
        <v>38326.243905476316</v>
      </c>
      <c r="O217" s="94">
        <f t="shared" si="54"/>
        <v>0.94513736942301585</v>
      </c>
      <c r="P217" s="100">
        <f>'K22'!C211</f>
        <v>1414</v>
      </c>
      <c r="Q217" s="100"/>
      <c r="R217" s="100">
        <f t="shared" si="57"/>
        <v>0</v>
      </c>
      <c r="S217" s="100">
        <v>0</v>
      </c>
      <c r="U217" s="100">
        <v>6159.2380000000003</v>
      </c>
      <c r="V217" s="5">
        <f t="shared" si="58"/>
        <v>44257.509992196414</v>
      </c>
      <c r="W217" s="5">
        <f t="shared" si="59"/>
        <v>31299.512017112029</v>
      </c>
    </row>
    <row r="218" spans="1:23" ht="13">
      <c r="A218" s="92">
        <v>3823</v>
      </c>
      <c r="B218" s="93" t="s">
        <v>480</v>
      </c>
      <c r="C218" s="574">
        <v>0.82805805791432885</v>
      </c>
      <c r="D218" s="100">
        <f t="shared" si="45"/>
        <v>33578.563415489429</v>
      </c>
      <c r="E218" s="100">
        <f t="shared" si="46"/>
        <v>40227.118971756339</v>
      </c>
      <c r="F218" s="100">
        <f t="shared" si="55"/>
        <v>4185.3283533001277</v>
      </c>
      <c r="G218" s="100">
        <f t="shared" si="47"/>
        <v>5014.0233672535533</v>
      </c>
      <c r="H218" s="100">
        <f t="shared" si="56"/>
        <v>1022.0476659404379</v>
      </c>
      <c r="I218" s="100">
        <f t="shared" si="48"/>
        <v>1224.4131037966447</v>
      </c>
      <c r="J218" s="100">
        <f t="shared" si="49"/>
        <v>458.50986926475616</v>
      </c>
      <c r="K218" s="100">
        <f t="shared" si="50"/>
        <v>549.29482337917784</v>
      </c>
      <c r="L218" s="101">
        <f t="shared" si="51"/>
        <v>5563.3181906327309</v>
      </c>
      <c r="M218" s="100">
        <f t="shared" si="52"/>
        <v>45790.437162389069</v>
      </c>
      <c r="N218" s="102">
        <f t="shared" si="53"/>
        <v>38222.401638054318</v>
      </c>
      <c r="O218" s="94">
        <f t="shared" si="54"/>
        <v>0.94257658606766792</v>
      </c>
      <c r="P218" s="100">
        <f>'K22'!C212</f>
        <v>1198</v>
      </c>
      <c r="Q218" s="100"/>
      <c r="R218" s="100">
        <f t="shared" si="57"/>
        <v>0</v>
      </c>
      <c r="S218" s="100">
        <v>0</v>
      </c>
      <c r="U218" s="100">
        <v>5559.7849999999999</v>
      </c>
      <c r="V218" s="5">
        <f t="shared" si="58"/>
        <v>34667.333971756336</v>
      </c>
      <c r="W218" s="5">
        <f t="shared" si="59"/>
        <v>28937.674433853372</v>
      </c>
    </row>
    <row r="219" spans="1:23" ht="13">
      <c r="A219" s="92">
        <v>3824</v>
      </c>
      <c r="B219" s="93" t="s">
        <v>481</v>
      </c>
      <c r="C219" s="574">
        <v>1.1061565680849244</v>
      </c>
      <c r="D219" s="100">
        <f t="shared" si="45"/>
        <v>44855.72975698598</v>
      </c>
      <c r="E219" s="100">
        <f t="shared" si="46"/>
        <v>95991.261679949996</v>
      </c>
      <c r="F219" s="100">
        <f t="shared" si="55"/>
        <v>-2580.9714515978035</v>
      </c>
      <c r="G219" s="100">
        <f t="shared" si="47"/>
        <v>-5523.2789064192993</v>
      </c>
      <c r="H219" s="100">
        <f t="shared" si="56"/>
        <v>0</v>
      </c>
      <c r="I219" s="100">
        <f t="shared" si="48"/>
        <v>0</v>
      </c>
      <c r="J219" s="100">
        <f t="shared" si="49"/>
        <v>-563.53779667568176</v>
      </c>
      <c r="K219" s="100">
        <f t="shared" si="50"/>
        <v>-1205.9708848859589</v>
      </c>
      <c r="L219" s="101">
        <f t="shared" si="51"/>
        <v>-6729.2497913052584</v>
      </c>
      <c r="M219" s="100">
        <f t="shared" si="52"/>
        <v>89262.011888644731</v>
      </c>
      <c r="N219" s="102">
        <f t="shared" si="53"/>
        <v>41711.220508712489</v>
      </c>
      <c r="O219" s="94">
        <f t="shared" si="54"/>
        <v>1.0286119694968301</v>
      </c>
      <c r="P219" s="100">
        <f>'K22'!C213</f>
        <v>2140</v>
      </c>
      <c r="Q219" s="100"/>
      <c r="R219" s="100">
        <f t="shared" si="57"/>
        <v>0</v>
      </c>
      <c r="S219" s="100">
        <v>0</v>
      </c>
      <c r="U219" s="100">
        <v>23104.871333333333</v>
      </c>
      <c r="V219" s="5">
        <f t="shared" si="58"/>
        <v>72886.390346616667</v>
      </c>
      <c r="W219" s="5">
        <f t="shared" si="59"/>
        <v>34059.060909633961</v>
      </c>
    </row>
    <row r="220" spans="1:23" ht="13">
      <c r="A220" s="92">
        <v>3825</v>
      </c>
      <c r="B220" s="93" t="s">
        <v>482</v>
      </c>
      <c r="C220" s="574">
        <v>1.2098387937504917</v>
      </c>
      <c r="D220" s="100">
        <f t="shared" si="45"/>
        <v>49060.145324584424</v>
      </c>
      <c r="E220" s="100">
        <f t="shared" si="46"/>
        <v>184220.84569381451</v>
      </c>
      <c r="F220" s="100">
        <f t="shared" si="55"/>
        <v>-5103.6207921568694</v>
      </c>
      <c r="G220" s="100">
        <f t="shared" si="47"/>
        <v>-19164.096074549045</v>
      </c>
      <c r="H220" s="100">
        <f t="shared" si="56"/>
        <v>0</v>
      </c>
      <c r="I220" s="100">
        <f t="shared" si="48"/>
        <v>0</v>
      </c>
      <c r="J220" s="100">
        <f t="shared" si="49"/>
        <v>-563.53779667568176</v>
      </c>
      <c r="K220" s="100">
        <f t="shared" si="50"/>
        <v>-2116.084426517185</v>
      </c>
      <c r="L220" s="101">
        <f t="shared" si="51"/>
        <v>-21280.180501066228</v>
      </c>
      <c r="M220" s="100">
        <f t="shared" si="52"/>
        <v>162940.66519274827</v>
      </c>
      <c r="N220" s="102">
        <f t="shared" si="53"/>
        <v>43392.986735751874</v>
      </c>
      <c r="O220" s="94">
        <f t="shared" si="54"/>
        <v>1.070084859763057</v>
      </c>
      <c r="P220" s="100">
        <f>'K22'!C214</f>
        <v>3755</v>
      </c>
      <c r="Q220" s="100"/>
      <c r="R220" s="100">
        <f t="shared" si="57"/>
        <v>0</v>
      </c>
      <c r="S220" s="100">
        <v>0</v>
      </c>
      <c r="U220" s="100">
        <v>39308.231999999996</v>
      </c>
      <c r="V220" s="5">
        <f t="shared" si="58"/>
        <v>144912.61369381452</v>
      </c>
      <c r="W220" s="5">
        <f t="shared" si="59"/>
        <v>38591.907774651001</v>
      </c>
    </row>
    <row r="221" spans="1:23" ht="13">
      <c r="A221" s="92">
        <v>4201</v>
      </c>
      <c r="B221" s="93" t="s">
        <v>483</v>
      </c>
      <c r="C221" s="574">
        <v>0.82912210396835895</v>
      </c>
      <c r="D221" s="100">
        <f t="shared" si="45"/>
        <v>33621.71152275167</v>
      </c>
      <c r="E221" s="100">
        <f t="shared" si="46"/>
        <v>226442.22710573251</v>
      </c>
      <c r="F221" s="100">
        <f t="shared" si="55"/>
        <v>4159.4394889427831</v>
      </c>
      <c r="G221" s="100">
        <f t="shared" si="47"/>
        <v>28013.824958029643</v>
      </c>
      <c r="H221" s="100">
        <f t="shared" si="56"/>
        <v>1006.9458283986536</v>
      </c>
      <c r="I221" s="100">
        <f t="shared" si="48"/>
        <v>6781.7801542649313</v>
      </c>
      <c r="J221" s="100">
        <f t="shared" si="49"/>
        <v>443.40803172297183</v>
      </c>
      <c r="K221" s="100">
        <f t="shared" si="50"/>
        <v>2986.3530936542152</v>
      </c>
      <c r="L221" s="101">
        <f t="shared" si="51"/>
        <v>31000.178051683859</v>
      </c>
      <c r="M221" s="100">
        <f t="shared" si="52"/>
        <v>257442.40515741636</v>
      </c>
      <c r="N221" s="102">
        <f t="shared" si="53"/>
        <v>38224.55904341743</v>
      </c>
      <c r="O221" s="94">
        <f t="shared" si="54"/>
        <v>0.94262978837036937</v>
      </c>
      <c r="P221" s="100">
        <f>'K22'!C215</f>
        <v>6735</v>
      </c>
      <c r="Q221" s="100"/>
      <c r="R221" s="100">
        <f t="shared" si="57"/>
        <v>0</v>
      </c>
      <c r="S221" s="100">
        <v>0</v>
      </c>
      <c r="U221" s="100">
        <v>0</v>
      </c>
      <c r="V221" s="5">
        <f t="shared" si="58"/>
        <v>226442.22710573251</v>
      </c>
      <c r="W221" s="5">
        <f t="shared" si="59"/>
        <v>33621.71152275167</v>
      </c>
    </row>
    <row r="222" spans="1:23" ht="13">
      <c r="A222" s="92">
        <v>4202</v>
      </c>
      <c r="B222" s="93" t="s">
        <v>484</v>
      </c>
      <c r="C222" s="574">
        <v>0.81864513695195551</v>
      </c>
      <c r="D222" s="100">
        <f t="shared" si="45"/>
        <v>33196.860272286947</v>
      </c>
      <c r="E222" s="100">
        <f t="shared" si="46"/>
        <v>797288.99315951567</v>
      </c>
      <c r="F222" s="100">
        <f t="shared" si="55"/>
        <v>4414.350239221616</v>
      </c>
      <c r="G222" s="100">
        <f t="shared" si="47"/>
        <v>106019.44969538554</v>
      </c>
      <c r="H222" s="100">
        <f t="shared" si="56"/>
        <v>1155.6437660613065</v>
      </c>
      <c r="I222" s="100">
        <f t="shared" si="48"/>
        <v>27755.096329494398</v>
      </c>
      <c r="J222" s="100">
        <f t="shared" si="49"/>
        <v>592.10596938562469</v>
      </c>
      <c r="K222" s="100">
        <f t="shared" si="50"/>
        <v>14220.609066734549</v>
      </c>
      <c r="L222" s="101">
        <f t="shared" si="51"/>
        <v>120240.05876212008</v>
      </c>
      <c r="M222" s="100">
        <f t="shared" si="52"/>
        <v>917529.05192163575</v>
      </c>
      <c r="N222" s="102">
        <f t="shared" si="53"/>
        <v>38203.316480894187</v>
      </c>
      <c r="O222" s="94">
        <f t="shared" si="54"/>
        <v>0.94210594001954906</v>
      </c>
      <c r="P222" s="100">
        <f>'K22'!C216</f>
        <v>24017</v>
      </c>
      <c r="Q222" s="100"/>
      <c r="R222" s="100">
        <f t="shared" si="57"/>
        <v>0</v>
      </c>
      <c r="S222" s="100">
        <v>0</v>
      </c>
      <c r="U222" s="100">
        <v>1837.1006666666665</v>
      </c>
      <c r="V222" s="5">
        <f t="shared" si="58"/>
        <v>795451.89249284903</v>
      </c>
      <c r="W222" s="5">
        <f t="shared" si="59"/>
        <v>33120.368592782157</v>
      </c>
    </row>
    <row r="223" spans="1:23" ht="13">
      <c r="A223" s="92">
        <v>4203</v>
      </c>
      <c r="B223" s="93" t="s">
        <v>485</v>
      </c>
      <c r="C223" s="574">
        <v>0.81557958139376086</v>
      </c>
      <c r="D223" s="100">
        <f t="shared" si="45"/>
        <v>33072.548998782986</v>
      </c>
      <c r="E223" s="100">
        <f t="shared" si="46"/>
        <v>1505098.6323856148</v>
      </c>
      <c r="F223" s="100">
        <f t="shared" si="55"/>
        <v>4488.9370033239929</v>
      </c>
      <c r="G223" s="100">
        <f t="shared" si="47"/>
        <v>204287.03408427158</v>
      </c>
      <c r="H223" s="100">
        <f t="shared" si="56"/>
        <v>1199.1527117876929</v>
      </c>
      <c r="I223" s="100">
        <f t="shared" si="48"/>
        <v>54572.240760746114</v>
      </c>
      <c r="J223" s="100">
        <f t="shared" si="49"/>
        <v>635.61491511201109</v>
      </c>
      <c r="K223" s="100">
        <f t="shared" si="50"/>
        <v>28926.199171832512</v>
      </c>
      <c r="L223" s="101">
        <f t="shared" si="51"/>
        <v>233213.23325610408</v>
      </c>
      <c r="M223" s="100">
        <f t="shared" si="52"/>
        <v>1738311.865641719</v>
      </c>
      <c r="N223" s="102">
        <f t="shared" si="53"/>
        <v>38197.100917218988</v>
      </c>
      <c r="O223" s="94">
        <f t="shared" si="54"/>
        <v>0.94195266224163932</v>
      </c>
      <c r="P223" s="100">
        <f>'K22'!C217</f>
        <v>45509</v>
      </c>
      <c r="Q223" s="100"/>
      <c r="R223" s="100">
        <f t="shared" si="57"/>
        <v>0</v>
      </c>
      <c r="S223" s="100">
        <v>0</v>
      </c>
      <c r="U223" s="100">
        <v>1237.7583333333334</v>
      </c>
      <c r="V223" s="5">
        <f t="shared" si="58"/>
        <v>1503860.8740522815</v>
      </c>
      <c r="W223" s="5">
        <f t="shared" si="59"/>
        <v>33045.35089877346</v>
      </c>
    </row>
    <row r="224" spans="1:23" ht="13">
      <c r="A224" s="92">
        <v>4204</v>
      </c>
      <c r="B224" s="93" t="s">
        <v>499</v>
      </c>
      <c r="C224" s="574">
        <v>0.86235118933006316</v>
      </c>
      <c r="D224" s="100">
        <f t="shared" si="45"/>
        <v>34969.183405178701</v>
      </c>
      <c r="E224" s="100">
        <f t="shared" si="46"/>
        <v>3977290.0129548102</v>
      </c>
      <c r="F224" s="100">
        <f t="shared" si="55"/>
        <v>3350.956359486564</v>
      </c>
      <c r="G224" s="100">
        <f t="shared" si="47"/>
        <v>381127.72345892334</v>
      </c>
      <c r="H224" s="100">
        <f t="shared" si="56"/>
        <v>535.33066954919263</v>
      </c>
      <c r="I224" s="100">
        <f t="shared" si="48"/>
        <v>60886.904362516521</v>
      </c>
      <c r="J224" s="100">
        <f t="shared" si="49"/>
        <v>-28.207127126489127</v>
      </c>
      <c r="K224" s="100">
        <f t="shared" si="50"/>
        <v>-3208.1940179854937</v>
      </c>
      <c r="L224" s="101">
        <f t="shared" si="51"/>
        <v>377919.52944093785</v>
      </c>
      <c r="M224" s="100">
        <f t="shared" si="52"/>
        <v>4355209.5423957482</v>
      </c>
      <c r="N224" s="102">
        <f t="shared" si="53"/>
        <v>38291.932637538783</v>
      </c>
      <c r="O224" s="94">
        <f t="shared" si="54"/>
        <v>0.94429124263845465</v>
      </c>
      <c r="P224" s="100">
        <f>'K22'!C218</f>
        <v>113737</v>
      </c>
      <c r="Q224" s="100"/>
      <c r="R224" s="100">
        <f t="shared" si="57"/>
        <v>0</v>
      </c>
      <c r="S224" s="100">
        <v>0</v>
      </c>
      <c r="U224" s="100">
        <v>0</v>
      </c>
      <c r="V224" s="5">
        <f t="shared" si="58"/>
        <v>3977290.0129548102</v>
      </c>
      <c r="W224" s="5">
        <f t="shared" si="59"/>
        <v>34969.183405178701</v>
      </c>
    </row>
    <row r="225" spans="1:23" ht="13">
      <c r="A225" s="92">
        <v>4205</v>
      </c>
      <c r="B225" s="93" t="s">
        <v>505</v>
      </c>
      <c r="C225" s="574">
        <v>0.79478721313029588</v>
      </c>
      <c r="D225" s="100">
        <f t="shared" si="45"/>
        <v>32229.398147680222</v>
      </c>
      <c r="E225" s="100">
        <f t="shared" si="46"/>
        <v>746013.8789243541</v>
      </c>
      <c r="F225" s="100">
        <f t="shared" si="55"/>
        <v>4994.8275139856514</v>
      </c>
      <c r="G225" s="100">
        <f t="shared" si="47"/>
        <v>115615.27246622588</v>
      </c>
      <c r="H225" s="100">
        <f t="shared" si="56"/>
        <v>1494.2555096736603</v>
      </c>
      <c r="I225" s="100">
        <f t="shared" si="48"/>
        <v>34587.532282416214</v>
      </c>
      <c r="J225" s="100">
        <f t="shared" si="49"/>
        <v>930.71771299797854</v>
      </c>
      <c r="K225" s="100">
        <f t="shared" si="50"/>
        <v>21543.322902764208</v>
      </c>
      <c r="L225" s="101">
        <f t="shared" si="51"/>
        <v>137158.59536899009</v>
      </c>
      <c r="M225" s="100">
        <f t="shared" si="52"/>
        <v>883172.47429334419</v>
      </c>
      <c r="N225" s="102">
        <f t="shared" si="53"/>
        <v>38154.943374663853</v>
      </c>
      <c r="O225" s="94">
        <f t="shared" si="54"/>
        <v>0.94091304382846619</v>
      </c>
      <c r="P225" s="100">
        <f>'K22'!C219</f>
        <v>23147</v>
      </c>
      <c r="Q225" s="100"/>
      <c r="R225" s="100">
        <f t="shared" si="57"/>
        <v>0</v>
      </c>
      <c r="S225" s="100">
        <v>0</v>
      </c>
      <c r="U225" s="100">
        <v>4007.7553333333331</v>
      </c>
      <c r="V225" s="5">
        <f t="shared" si="58"/>
        <v>742006.12359102082</v>
      </c>
      <c r="W225" s="5">
        <f t="shared" si="59"/>
        <v>32056.254529356756</v>
      </c>
    </row>
    <row r="226" spans="1:23" ht="13">
      <c r="A226" s="92">
        <v>4206</v>
      </c>
      <c r="B226" s="93" t="s">
        <v>500</v>
      </c>
      <c r="C226" s="574">
        <v>0.79025328638025305</v>
      </c>
      <c r="D226" s="100">
        <f t="shared" si="45"/>
        <v>32045.542987474477</v>
      </c>
      <c r="E226" s="100">
        <f t="shared" si="46"/>
        <v>308342.21462547942</v>
      </c>
      <c r="F226" s="100">
        <f t="shared" si="55"/>
        <v>5105.1406101090988</v>
      </c>
      <c r="G226" s="100">
        <f t="shared" si="47"/>
        <v>49121.662950469748</v>
      </c>
      <c r="H226" s="100">
        <f t="shared" si="56"/>
        <v>1558.604815745671</v>
      </c>
      <c r="I226" s="100">
        <f t="shared" si="48"/>
        <v>14996.895537104847</v>
      </c>
      <c r="J226" s="100">
        <f t="shared" si="49"/>
        <v>995.06701906998921</v>
      </c>
      <c r="K226" s="100">
        <f t="shared" si="50"/>
        <v>9574.5348574914351</v>
      </c>
      <c r="L226" s="101">
        <f t="shared" si="51"/>
        <v>58696.197807961187</v>
      </c>
      <c r="M226" s="100">
        <f t="shared" si="52"/>
        <v>367038.41243344062</v>
      </c>
      <c r="N226" s="102">
        <f t="shared" si="53"/>
        <v>38145.750616653568</v>
      </c>
      <c r="O226" s="94">
        <f t="shared" si="54"/>
        <v>0.94068634749096403</v>
      </c>
      <c r="P226" s="100">
        <f>'K22'!C220</f>
        <v>9622</v>
      </c>
      <c r="Q226" s="100"/>
      <c r="R226" s="100">
        <f t="shared" si="57"/>
        <v>0</v>
      </c>
      <c r="S226" s="100">
        <v>0</v>
      </c>
      <c r="U226" s="100">
        <v>0</v>
      </c>
      <c r="V226" s="5">
        <f t="shared" si="58"/>
        <v>308342.21462547942</v>
      </c>
      <c r="W226" s="5">
        <f t="shared" si="59"/>
        <v>32045.542987474477</v>
      </c>
    </row>
    <row r="227" spans="1:23" ht="13">
      <c r="A227" s="92">
        <v>4207</v>
      </c>
      <c r="B227" s="93" t="s">
        <v>501</v>
      </c>
      <c r="C227" s="574">
        <v>0.83255502841813345</v>
      </c>
      <c r="D227" s="100">
        <f t="shared" si="45"/>
        <v>33760.919963797074</v>
      </c>
      <c r="E227" s="100">
        <f t="shared" si="46"/>
        <v>305468.80383243592</v>
      </c>
      <c r="F227" s="100">
        <f t="shared" si="55"/>
        <v>4075.9144243155401</v>
      </c>
      <c r="G227" s="100">
        <f t="shared" si="47"/>
        <v>36878.873711207008</v>
      </c>
      <c r="H227" s="100">
        <f t="shared" si="56"/>
        <v>958.22287403276198</v>
      </c>
      <c r="I227" s="100">
        <f t="shared" si="48"/>
        <v>8670.0005642484302</v>
      </c>
      <c r="J227" s="100">
        <f t="shared" si="49"/>
        <v>394.68507735708022</v>
      </c>
      <c r="K227" s="100">
        <f t="shared" si="50"/>
        <v>3571.1105799268621</v>
      </c>
      <c r="L227" s="101">
        <f t="shared" si="51"/>
        <v>40449.984291133871</v>
      </c>
      <c r="M227" s="100">
        <f t="shared" si="52"/>
        <v>345918.7881235698</v>
      </c>
      <c r="N227" s="102">
        <f t="shared" si="53"/>
        <v>38231.519465469697</v>
      </c>
      <c r="O227" s="94">
        <f t="shared" si="54"/>
        <v>0.94280143459285803</v>
      </c>
      <c r="P227" s="100">
        <f>'K22'!C221</f>
        <v>9048</v>
      </c>
      <c r="Q227" s="100"/>
      <c r="R227" s="100">
        <f t="shared" si="57"/>
        <v>0</v>
      </c>
      <c r="S227" s="100">
        <v>0</v>
      </c>
      <c r="U227" s="100">
        <v>2319.1353333333332</v>
      </c>
      <c r="V227" s="5">
        <f t="shared" si="58"/>
        <v>303149.66849910258</v>
      </c>
      <c r="W227" s="5">
        <f t="shared" si="59"/>
        <v>33504.605271784108</v>
      </c>
    </row>
    <row r="228" spans="1:23" ht="13">
      <c r="A228" s="92">
        <v>4211</v>
      </c>
      <c r="B228" s="93" t="s">
        <v>486</v>
      </c>
      <c r="C228" s="574">
        <v>0.65751146529576332</v>
      </c>
      <c r="D228" s="100">
        <f t="shared" si="45"/>
        <v>26662.732428997617</v>
      </c>
      <c r="E228" s="100">
        <f t="shared" si="46"/>
        <v>64710.451605177215</v>
      </c>
      <c r="F228" s="100">
        <f t="shared" si="55"/>
        <v>8334.8269451952146</v>
      </c>
      <c r="G228" s="100">
        <f t="shared" si="47"/>
        <v>20228.624995988786</v>
      </c>
      <c r="H228" s="100">
        <f t="shared" si="56"/>
        <v>3442.588511212572</v>
      </c>
      <c r="I228" s="100">
        <f t="shared" si="48"/>
        <v>8355.1623167129128</v>
      </c>
      <c r="J228" s="100">
        <f t="shared" si="49"/>
        <v>2879.0507145368902</v>
      </c>
      <c r="K228" s="100">
        <f t="shared" si="50"/>
        <v>6987.4560841810326</v>
      </c>
      <c r="L228" s="101">
        <f t="shared" si="51"/>
        <v>27216.081080169817</v>
      </c>
      <c r="M228" s="100">
        <f t="shared" si="52"/>
        <v>91926.532685347047</v>
      </c>
      <c r="N228" s="102">
        <f t="shared" si="53"/>
        <v>37876.610088729729</v>
      </c>
      <c r="O228" s="94">
        <f t="shared" si="54"/>
        <v>0.93404925643673964</v>
      </c>
      <c r="P228" s="100">
        <f>'K22'!C222</f>
        <v>2427</v>
      </c>
      <c r="Q228" s="100"/>
      <c r="R228" s="100">
        <f t="shared" si="57"/>
        <v>0</v>
      </c>
      <c r="S228" s="100">
        <v>0</v>
      </c>
      <c r="U228" s="100">
        <v>0</v>
      </c>
      <c r="V228" s="5">
        <f t="shared" si="58"/>
        <v>64710.451605177215</v>
      </c>
      <c r="W228" s="5">
        <f t="shared" si="59"/>
        <v>26662.732428997617</v>
      </c>
    </row>
    <row r="229" spans="1:23" ht="13">
      <c r="A229" s="92">
        <v>4212</v>
      </c>
      <c r="B229" s="93" t="s">
        <v>487</v>
      </c>
      <c r="C229" s="574">
        <v>0.67807365637715611</v>
      </c>
      <c r="D229" s="100">
        <f t="shared" si="45"/>
        <v>27496.549370441346</v>
      </c>
      <c r="E229" s="100">
        <f t="shared" si="46"/>
        <v>58595.14670841051</v>
      </c>
      <c r="F229" s="100">
        <f t="shared" si="55"/>
        <v>7834.5367803289773</v>
      </c>
      <c r="G229" s="100">
        <f t="shared" si="47"/>
        <v>16695.397878881049</v>
      </c>
      <c r="H229" s="100">
        <f t="shared" si="56"/>
        <v>3150.7525817072669</v>
      </c>
      <c r="I229" s="100">
        <f t="shared" si="48"/>
        <v>6714.2537516181856</v>
      </c>
      <c r="J229" s="100">
        <f t="shared" si="49"/>
        <v>2587.2147850315851</v>
      </c>
      <c r="K229" s="100">
        <f t="shared" si="50"/>
        <v>5513.354706902307</v>
      </c>
      <c r="L229" s="101">
        <f t="shared" si="51"/>
        <v>22208.752585783357</v>
      </c>
      <c r="M229" s="100">
        <f t="shared" si="52"/>
        <v>80803.899294193863</v>
      </c>
      <c r="N229" s="102">
        <f t="shared" si="53"/>
        <v>37918.300935801904</v>
      </c>
      <c r="O229" s="94">
        <f t="shared" si="54"/>
        <v>0.93507736599080904</v>
      </c>
      <c r="P229" s="100">
        <f>'K22'!C223</f>
        <v>2131</v>
      </c>
      <c r="Q229" s="100"/>
      <c r="R229" s="100">
        <f t="shared" si="57"/>
        <v>0</v>
      </c>
      <c r="S229" s="100">
        <v>0</v>
      </c>
      <c r="U229" s="100">
        <v>0</v>
      </c>
      <c r="V229" s="5">
        <f t="shared" si="58"/>
        <v>58595.14670841051</v>
      </c>
      <c r="W229" s="5">
        <f t="shared" si="59"/>
        <v>27496.549370441346</v>
      </c>
    </row>
    <row r="230" spans="1:23" ht="13">
      <c r="A230" s="92">
        <v>4213</v>
      </c>
      <c r="B230" s="93" t="s">
        <v>488</v>
      </c>
      <c r="C230" s="574">
        <v>0.80219728492785436</v>
      </c>
      <c r="D230" s="100">
        <f t="shared" si="45"/>
        <v>32529.883800092517</v>
      </c>
      <c r="E230" s="100">
        <f t="shared" si="46"/>
        <v>198920.23943756573</v>
      </c>
      <c r="F230" s="100">
        <f t="shared" si="55"/>
        <v>4814.536122538274</v>
      </c>
      <c r="G230" s="100">
        <f t="shared" si="47"/>
        <v>29440.888389321546</v>
      </c>
      <c r="H230" s="100">
        <f t="shared" si="56"/>
        <v>1389.0855313293569</v>
      </c>
      <c r="I230" s="100">
        <f t="shared" si="48"/>
        <v>8494.2580240790176</v>
      </c>
      <c r="J230" s="100">
        <f t="shared" si="49"/>
        <v>825.54773465367509</v>
      </c>
      <c r="K230" s="100">
        <f t="shared" si="50"/>
        <v>5048.2243974072235</v>
      </c>
      <c r="L230" s="101">
        <f t="shared" si="51"/>
        <v>34489.112786728772</v>
      </c>
      <c r="M230" s="100">
        <f t="shared" si="52"/>
        <v>233409.3522242945</v>
      </c>
      <c r="N230" s="102">
        <f t="shared" si="53"/>
        <v>38169.967657284469</v>
      </c>
      <c r="O230" s="94">
        <f t="shared" si="54"/>
        <v>0.94128354741834408</v>
      </c>
      <c r="P230" s="100">
        <f>'K22'!C224</f>
        <v>6115</v>
      </c>
      <c r="Q230" s="100"/>
      <c r="R230" s="100">
        <f t="shared" si="57"/>
        <v>0</v>
      </c>
      <c r="S230" s="100">
        <v>0</v>
      </c>
      <c r="U230" s="100">
        <v>0</v>
      </c>
      <c r="V230" s="5">
        <f t="shared" si="58"/>
        <v>198920.23943756573</v>
      </c>
      <c r="W230" s="5">
        <f t="shared" si="59"/>
        <v>32529.883800092517</v>
      </c>
    </row>
    <row r="231" spans="1:23" ht="13">
      <c r="A231" s="92">
        <v>4214</v>
      </c>
      <c r="B231" s="93" t="s">
        <v>489</v>
      </c>
      <c r="C231" s="574">
        <v>0.71864570204612965</v>
      </c>
      <c r="D231" s="100">
        <f t="shared" si="45"/>
        <v>29141.78546876902</v>
      </c>
      <c r="E231" s="100">
        <f t="shared" si="46"/>
        <v>177706.60778855349</v>
      </c>
      <c r="F231" s="100">
        <f t="shared" si="55"/>
        <v>6847.3951213323726</v>
      </c>
      <c r="G231" s="100">
        <f t="shared" si="47"/>
        <v>41755.415449884807</v>
      </c>
      <c r="H231" s="100">
        <f t="shared" si="56"/>
        <v>2574.9199472925811</v>
      </c>
      <c r="I231" s="100">
        <f t="shared" si="48"/>
        <v>15701.861838590161</v>
      </c>
      <c r="J231" s="100">
        <f t="shared" si="49"/>
        <v>2011.3821506168993</v>
      </c>
      <c r="K231" s="100">
        <f t="shared" si="50"/>
        <v>12265.408354461852</v>
      </c>
      <c r="L231" s="101">
        <f t="shared" si="51"/>
        <v>54020.823804346655</v>
      </c>
      <c r="M231" s="100">
        <f t="shared" si="52"/>
        <v>231727.43159290016</v>
      </c>
      <c r="N231" s="102">
        <f t="shared" si="53"/>
        <v>38000.562740718291</v>
      </c>
      <c r="O231" s="94">
        <f t="shared" si="54"/>
        <v>0.93710596827425774</v>
      </c>
      <c r="P231" s="100">
        <f>'K22'!C225</f>
        <v>6098</v>
      </c>
      <c r="Q231" s="100"/>
      <c r="R231" s="100">
        <f t="shared" si="57"/>
        <v>0</v>
      </c>
      <c r="S231" s="100">
        <v>0</v>
      </c>
      <c r="U231" s="100">
        <v>5682.7020000000002</v>
      </c>
      <c r="V231" s="5">
        <f t="shared" si="58"/>
        <v>172023.9057885535</v>
      </c>
      <c r="W231" s="5">
        <f t="shared" si="59"/>
        <v>28209.889437283291</v>
      </c>
    </row>
    <row r="232" spans="1:23" ht="13">
      <c r="A232" s="92">
        <v>4215</v>
      </c>
      <c r="B232" s="93" t="s">
        <v>490</v>
      </c>
      <c r="C232" s="574">
        <v>0.89490039073644223</v>
      </c>
      <c r="D232" s="100">
        <f t="shared" si="45"/>
        <v>36289.085328843961</v>
      </c>
      <c r="E232" s="100">
        <f t="shared" si="46"/>
        <v>409304.59342403105</v>
      </c>
      <c r="F232" s="100">
        <f t="shared" si="55"/>
        <v>2559.0152052874078</v>
      </c>
      <c r="G232" s="100">
        <f t="shared" si="47"/>
        <v>28863.13250043667</v>
      </c>
      <c r="H232" s="100">
        <f t="shared" si="56"/>
        <v>73.364996266351582</v>
      </c>
      <c r="I232" s="100">
        <f t="shared" si="48"/>
        <v>827.48379288817955</v>
      </c>
      <c r="J232" s="100">
        <f t="shared" si="49"/>
        <v>-490.17280040933019</v>
      </c>
      <c r="K232" s="100">
        <f t="shared" si="50"/>
        <v>-5528.6590158168356</v>
      </c>
      <c r="L232" s="101">
        <f t="shared" si="51"/>
        <v>23334.473484619833</v>
      </c>
      <c r="M232" s="100">
        <f t="shared" si="52"/>
        <v>432639.06690865092</v>
      </c>
      <c r="N232" s="102">
        <f t="shared" si="53"/>
        <v>38357.927733722041</v>
      </c>
      <c r="O232" s="94">
        <f t="shared" si="54"/>
        <v>0.94591870270877354</v>
      </c>
      <c r="P232" s="100">
        <f>'K22'!C226</f>
        <v>11279</v>
      </c>
      <c r="Q232" s="100"/>
      <c r="R232" s="100">
        <f t="shared" si="57"/>
        <v>0</v>
      </c>
      <c r="S232" s="100">
        <v>0</v>
      </c>
      <c r="U232" s="100">
        <v>0</v>
      </c>
      <c r="V232" s="5">
        <f t="shared" si="58"/>
        <v>409304.59342403105</v>
      </c>
      <c r="W232" s="5">
        <f t="shared" si="59"/>
        <v>36289.085328843961</v>
      </c>
    </row>
    <row r="233" spans="1:23" ht="13">
      <c r="A233" s="92">
        <v>4216</v>
      </c>
      <c r="B233" s="93" t="s">
        <v>491</v>
      </c>
      <c r="C233" s="574">
        <v>0.69886436549360709</v>
      </c>
      <c r="D233" s="100">
        <f t="shared" si="45"/>
        <v>28339.632941511398</v>
      </c>
      <c r="E233" s="100">
        <f t="shared" si="46"/>
        <v>151390.31917355387</v>
      </c>
      <c r="F233" s="100">
        <f t="shared" si="55"/>
        <v>7328.6866376869457</v>
      </c>
      <c r="G233" s="100">
        <f t="shared" si="47"/>
        <v>39149.844018523661</v>
      </c>
      <c r="H233" s="100">
        <f t="shared" si="56"/>
        <v>2855.6733318327488</v>
      </c>
      <c r="I233" s="100">
        <f t="shared" si="48"/>
        <v>15255.006938650546</v>
      </c>
      <c r="J233" s="100">
        <f t="shared" si="49"/>
        <v>2292.1355351570669</v>
      </c>
      <c r="K233" s="100">
        <f t="shared" si="50"/>
        <v>12244.588028809052</v>
      </c>
      <c r="L233" s="101">
        <f t="shared" si="51"/>
        <v>51394.43204733271</v>
      </c>
      <c r="M233" s="100">
        <f t="shared" si="52"/>
        <v>202784.7512208866</v>
      </c>
      <c r="N233" s="102">
        <f t="shared" si="53"/>
        <v>37960.455114355405</v>
      </c>
      <c r="O233" s="94">
        <f t="shared" si="54"/>
        <v>0.93611690144663151</v>
      </c>
      <c r="P233" s="100">
        <f>'K22'!C227</f>
        <v>5342</v>
      </c>
      <c r="Q233" s="100"/>
      <c r="R233" s="100">
        <f t="shared" si="57"/>
        <v>0</v>
      </c>
      <c r="S233" s="100">
        <v>0</v>
      </c>
      <c r="U233" s="100">
        <v>857.38733333333346</v>
      </c>
      <c r="V233" s="5">
        <f t="shared" si="58"/>
        <v>150532.93184022052</v>
      </c>
      <c r="W233" s="5">
        <f t="shared" si="59"/>
        <v>28179.133627896015</v>
      </c>
    </row>
    <row r="234" spans="1:23" ht="13">
      <c r="A234" s="92">
        <v>4217</v>
      </c>
      <c r="B234" s="93" t="s">
        <v>492</v>
      </c>
      <c r="C234" s="574">
        <v>0.74958701974117758</v>
      </c>
      <c r="D234" s="100">
        <f t="shared" si="45"/>
        <v>30396.48613673772</v>
      </c>
      <c r="E234" s="100">
        <f t="shared" si="46"/>
        <v>54744.071532264636</v>
      </c>
      <c r="F234" s="100">
        <f t="shared" si="55"/>
        <v>6094.5747205511525</v>
      </c>
      <c r="G234" s="100">
        <f t="shared" si="47"/>
        <v>10976.329071712626</v>
      </c>
      <c r="H234" s="100">
        <f t="shared" si="56"/>
        <v>2135.7747135035361</v>
      </c>
      <c r="I234" s="100">
        <f t="shared" si="48"/>
        <v>3846.5302590198685</v>
      </c>
      <c r="J234" s="100">
        <f t="shared" si="49"/>
        <v>1572.2369168278542</v>
      </c>
      <c r="K234" s="100">
        <f t="shared" si="50"/>
        <v>2831.5986872069652</v>
      </c>
      <c r="L234" s="101">
        <f t="shared" si="51"/>
        <v>13807.927758919592</v>
      </c>
      <c r="M234" s="100">
        <f t="shared" si="52"/>
        <v>68551.999291184227</v>
      </c>
      <c r="N234" s="102">
        <f t="shared" si="53"/>
        <v>38063.297774116727</v>
      </c>
      <c r="O234" s="94">
        <f t="shared" si="54"/>
        <v>0.93865303415901025</v>
      </c>
      <c r="P234" s="100">
        <f>'K22'!C228</f>
        <v>1801</v>
      </c>
      <c r="Q234" s="100"/>
      <c r="R234" s="100">
        <f t="shared" si="57"/>
        <v>0</v>
      </c>
      <c r="S234" s="100">
        <v>0</v>
      </c>
      <c r="U234" s="100">
        <v>3296.355</v>
      </c>
      <c r="V234" s="5">
        <f t="shared" si="58"/>
        <v>51447.716532264632</v>
      </c>
      <c r="W234" s="5">
        <f t="shared" si="59"/>
        <v>28566.19463201812</v>
      </c>
    </row>
    <row r="235" spans="1:23" ht="13">
      <c r="A235" s="92">
        <v>4218</v>
      </c>
      <c r="B235" s="93" t="s">
        <v>493</v>
      </c>
      <c r="C235" s="574">
        <v>0.7041735405027113</v>
      </c>
      <c r="D235" s="100">
        <f t="shared" si="45"/>
        <v>28554.92517618413</v>
      </c>
      <c r="E235" s="100">
        <f t="shared" si="46"/>
        <v>37778.166008091604</v>
      </c>
      <c r="F235" s="100">
        <f t="shared" si="55"/>
        <v>7199.5112968833064</v>
      </c>
      <c r="G235" s="100">
        <f t="shared" si="47"/>
        <v>9524.9534457766131</v>
      </c>
      <c r="H235" s="100">
        <f t="shared" si="56"/>
        <v>2780.3210496972924</v>
      </c>
      <c r="I235" s="100">
        <f t="shared" si="48"/>
        <v>3678.3647487495177</v>
      </c>
      <c r="J235" s="100">
        <f t="shared" si="49"/>
        <v>2216.7832530216106</v>
      </c>
      <c r="K235" s="100">
        <f t="shared" si="50"/>
        <v>2932.8042437475906</v>
      </c>
      <c r="L235" s="101">
        <f t="shared" si="51"/>
        <v>12457.757689524204</v>
      </c>
      <c r="M235" s="100">
        <f t="shared" si="52"/>
        <v>50235.923697615806</v>
      </c>
      <c r="N235" s="102">
        <f t="shared" si="53"/>
        <v>37971.219726089046</v>
      </c>
      <c r="O235" s="94">
        <f t="shared" si="54"/>
        <v>0.93638236019708687</v>
      </c>
      <c r="P235" s="100">
        <f>'K22'!C229</f>
        <v>1323</v>
      </c>
      <c r="Q235" s="100"/>
      <c r="R235" s="100">
        <f t="shared" si="57"/>
        <v>0</v>
      </c>
      <c r="S235" s="100">
        <v>0</v>
      </c>
      <c r="U235" s="100">
        <v>5034.6213333333335</v>
      </c>
      <c r="V235" s="5">
        <f t="shared" si="58"/>
        <v>32743.544674758272</v>
      </c>
      <c r="W235" s="5">
        <f t="shared" si="59"/>
        <v>24749.466874344875</v>
      </c>
    </row>
    <row r="236" spans="1:23" ht="13">
      <c r="A236" s="92">
        <v>4219</v>
      </c>
      <c r="B236" s="93" t="s">
        <v>1826</v>
      </c>
      <c r="C236" s="574">
        <v>0.72936833403650436</v>
      </c>
      <c r="D236" s="100">
        <f t="shared" si="45"/>
        <v>29576.598673988748</v>
      </c>
      <c r="E236" s="100">
        <f t="shared" si="46"/>
        <v>108043.3149560809</v>
      </c>
      <c r="F236" s="100">
        <f t="shared" si="55"/>
        <v>6586.5071982005356</v>
      </c>
      <c r="G236" s="100">
        <f t="shared" si="47"/>
        <v>24060.510795026556</v>
      </c>
      <c r="H236" s="100">
        <f t="shared" si="56"/>
        <v>2422.7353254656759</v>
      </c>
      <c r="I236" s="100">
        <f t="shared" si="48"/>
        <v>8850.2521439261145</v>
      </c>
      <c r="J236" s="100">
        <f t="shared" si="49"/>
        <v>1859.1975287899941</v>
      </c>
      <c r="K236" s="100">
        <f t="shared" si="50"/>
        <v>6791.6485726698475</v>
      </c>
      <c r="L236" s="101">
        <f t="shared" si="51"/>
        <v>30852.159367696404</v>
      </c>
      <c r="M236" s="100">
        <f t="shared" si="52"/>
        <v>138895.47432377731</v>
      </c>
      <c r="N236" s="102">
        <f t="shared" si="53"/>
        <v>38022.303400979283</v>
      </c>
      <c r="O236" s="94">
        <f t="shared" si="54"/>
        <v>0.93764209987377667</v>
      </c>
      <c r="P236" s="100">
        <f>'K22'!C230</f>
        <v>3653</v>
      </c>
      <c r="Q236" s="100"/>
      <c r="R236" s="100">
        <f t="shared" si="57"/>
        <v>0</v>
      </c>
      <c r="S236" s="100">
        <v>0</v>
      </c>
      <c r="U236" s="100">
        <v>1028.9216666666669</v>
      </c>
      <c r="V236" s="5">
        <f t="shared" si="58"/>
        <v>107014.39328941423</v>
      </c>
      <c r="W236" s="5">
        <f t="shared" si="59"/>
        <v>29294.933832306113</v>
      </c>
    </row>
    <row r="237" spans="1:23" ht="13">
      <c r="A237" s="92">
        <v>4220</v>
      </c>
      <c r="B237" s="93" t="s">
        <v>494</v>
      </c>
      <c r="C237" s="574">
        <v>0.79919260880360865</v>
      </c>
      <c r="D237" s="100">
        <f t="shared" si="45"/>
        <v>32408.041247125744</v>
      </c>
      <c r="E237" s="100">
        <f t="shared" si="46"/>
        <v>36750.718774240588</v>
      </c>
      <c r="F237" s="100">
        <f t="shared" si="55"/>
        <v>4887.6416543183377</v>
      </c>
      <c r="G237" s="100">
        <f t="shared" si="47"/>
        <v>5542.5856359969948</v>
      </c>
      <c r="H237" s="100">
        <f t="shared" si="56"/>
        <v>1431.7304248677274</v>
      </c>
      <c r="I237" s="100">
        <f t="shared" si="48"/>
        <v>1623.5823018000028</v>
      </c>
      <c r="J237" s="100">
        <f t="shared" si="49"/>
        <v>868.19262819204562</v>
      </c>
      <c r="K237" s="100">
        <f t="shared" si="50"/>
        <v>984.53044036977974</v>
      </c>
      <c r="L237" s="101">
        <f t="shared" si="51"/>
        <v>6527.1160763667749</v>
      </c>
      <c r="M237" s="100">
        <f t="shared" si="52"/>
        <v>43277.834850607367</v>
      </c>
      <c r="N237" s="102">
        <f t="shared" si="53"/>
        <v>38163.875529636127</v>
      </c>
      <c r="O237" s="94">
        <f t="shared" si="54"/>
        <v>0.94113331361213171</v>
      </c>
      <c r="P237" s="100">
        <f>'K22'!C231</f>
        <v>1134</v>
      </c>
      <c r="Q237" s="100"/>
      <c r="R237" s="100">
        <f t="shared" si="57"/>
        <v>0</v>
      </c>
      <c r="S237" s="100">
        <v>0</v>
      </c>
      <c r="U237" s="100">
        <v>3713.4239999999995</v>
      </c>
      <c r="V237" s="5">
        <f t="shared" si="58"/>
        <v>33037.294774240589</v>
      </c>
      <c r="W237" s="5">
        <f t="shared" si="59"/>
        <v>29133.4169085014</v>
      </c>
    </row>
    <row r="238" spans="1:23" ht="13">
      <c r="A238" s="92">
        <v>4221</v>
      </c>
      <c r="B238" s="93" t="s">
        <v>495</v>
      </c>
      <c r="C238" s="574">
        <v>1.177258385611857</v>
      </c>
      <c r="D238" s="100">
        <f t="shared" si="45"/>
        <v>47738.977937431409</v>
      </c>
      <c r="E238" s="100">
        <f t="shared" si="46"/>
        <v>55806.865208857322</v>
      </c>
      <c r="F238" s="100">
        <f t="shared" si="55"/>
        <v>-4310.9203598650611</v>
      </c>
      <c r="G238" s="100">
        <f t="shared" si="47"/>
        <v>-5039.4659006822567</v>
      </c>
      <c r="H238" s="100">
        <f t="shared" si="56"/>
        <v>0</v>
      </c>
      <c r="I238" s="100">
        <f t="shared" si="48"/>
        <v>0</v>
      </c>
      <c r="J238" s="100">
        <f t="shared" si="49"/>
        <v>-563.53779667568176</v>
      </c>
      <c r="K238" s="100">
        <f t="shared" si="50"/>
        <v>-658.77568431387203</v>
      </c>
      <c r="L238" s="101">
        <f t="shared" si="51"/>
        <v>-5698.2415849961289</v>
      </c>
      <c r="M238" s="100">
        <f t="shared" si="52"/>
        <v>50108.623623861196</v>
      </c>
      <c r="N238" s="102">
        <f t="shared" si="53"/>
        <v>42864.519780890667</v>
      </c>
      <c r="O238" s="94">
        <f t="shared" si="54"/>
        <v>1.0570526965076033</v>
      </c>
      <c r="P238" s="100">
        <f>'K22'!C232</f>
        <v>1169</v>
      </c>
      <c r="Q238" s="100"/>
      <c r="R238" s="100">
        <f t="shared" si="57"/>
        <v>0</v>
      </c>
      <c r="S238" s="100">
        <v>0</v>
      </c>
      <c r="U238" s="100">
        <v>14915.602333333334</v>
      </c>
      <c r="V238" s="5">
        <f t="shared" si="58"/>
        <v>40891.262875523986</v>
      </c>
      <c r="W238" s="5">
        <f t="shared" si="59"/>
        <v>34979.69450429768</v>
      </c>
    </row>
    <row r="239" spans="1:23" ht="13">
      <c r="A239" s="92">
        <v>4222</v>
      </c>
      <c r="B239" s="93" t="s">
        <v>496</v>
      </c>
      <c r="C239" s="574">
        <v>2.3715121714279013</v>
      </c>
      <c r="D239" s="100">
        <f t="shared" si="45"/>
        <v>96167.135960816362</v>
      </c>
      <c r="E239" s="100">
        <f t="shared" si="46"/>
        <v>89916.272123363306</v>
      </c>
      <c r="F239" s="100">
        <f t="shared" si="55"/>
        <v>-33367.81517389603</v>
      </c>
      <c r="G239" s="100">
        <f t="shared" si="47"/>
        <v>-31198.907187592791</v>
      </c>
      <c r="H239" s="100">
        <f t="shared" si="56"/>
        <v>0</v>
      </c>
      <c r="I239" s="100">
        <f t="shared" si="48"/>
        <v>0</v>
      </c>
      <c r="J239" s="100">
        <f t="shared" si="49"/>
        <v>-563.53779667568176</v>
      </c>
      <c r="K239" s="100">
        <f t="shared" si="50"/>
        <v>-526.90783989176248</v>
      </c>
      <c r="L239" s="101">
        <f t="shared" si="51"/>
        <v>-31725.815027484554</v>
      </c>
      <c r="M239" s="100">
        <f t="shared" si="52"/>
        <v>58190.457095878752</v>
      </c>
      <c r="N239" s="102">
        <f t="shared" si="53"/>
        <v>62235.782990244654</v>
      </c>
      <c r="O239" s="94">
        <f t="shared" si="54"/>
        <v>1.5347542108340209</v>
      </c>
      <c r="P239" s="100">
        <f>'K22'!C233</f>
        <v>935</v>
      </c>
      <c r="Q239" s="100"/>
      <c r="R239" s="100">
        <f t="shared" si="57"/>
        <v>0</v>
      </c>
      <c r="S239" s="100">
        <v>0</v>
      </c>
      <c r="U239" s="100">
        <v>39510.196333333333</v>
      </c>
      <c r="V239" s="5">
        <f t="shared" si="58"/>
        <v>50406.075790029972</v>
      </c>
      <c r="W239" s="5">
        <f t="shared" si="59"/>
        <v>53910.241486663072</v>
      </c>
    </row>
    <row r="240" spans="1:23" ht="13">
      <c r="A240" s="92">
        <v>4223</v>
      </c>
      <c r="B240" s="93" t="s">
        <v>503</v>
      </c>
      <c r="C240" s="574">
        <v>0.69695242838439209</v>
      </c>
      <c r="D240" s="100">
        <f t="shared" si="45"/>
        <v>28262.102023413809</v>
      </c>
      <c r="E240" s="100">
        <f t="shared" si="46"/>
        <v>427407.76890008699</v>
      </c>
      <c r="F240" s="100">
        <f t="shared" si="55"/>
        <v>7375.2051885454994</v>
      </c>
      <c r="G240" s="100">
        <f t="shared" si="47"/>
        <v>111535.22806637359</v>
      </c>
      <c r="H240" s="100">
        <f t="shared" si="56"/>
        <v>2882.8091531669047</v>
      </c>
      <c r="I240" s="100">
        <f t="shared" si="48"/>
        <v>43596.722823343101</v>
      </c>
      <c r="J240" s="100">
        <f t="shared" si="49"/>
        <v>2319.2713564912228</v>
      </c>
      <c r="K240" s="100">
        <f t="shared" si="50"/>
        <v>35074.34072421676</v>
      </c>
      <c r="L240" s="101">
        <f t="shared" si="51"/>
        <v>146609.56879059033</v>
      </c>
      <c r="M240" s="100">
        <f t="shared" si="52"/>
        <v>574017.33769067738</v>
      </c>
      <c r="N240" s="102">
        <f t="shared" si="53"/>
        <v>37956.578568450532</v>
      </c>
      <c r="O240" s="94">
        <f t="shared" si="54"/>
        <v>0.93602130459117094</v>
      </c>
      <c r="P240" s="100">
        <f>'K22'!C234</f>
        <v>15123</v>
      </c>
      <c r="Q240" s="100"/>
      <c r="R240" s="100">
        <f t="shared" si="57"/>
        <v>0</v>
      </c>
      <c r="S240" s="100">
        <v>0</v>
      </c>
      <c r="U240" s="100">
        <v>8963.2936666666665</v>
      </c>
      <c r="V240" s="5">
        <f t="shared" si="58"/>
        <v>418444.47523342032</v>
      </c>
      <c r="W240" s="5">
        <f t="shared" si="59"/>
        <v>27669.409193507923</v>
      </c>
    </row>
    <row r="241" spans="1:23" ht="13">
      <c r="A241" s="92">
        <v>4224</v>
      </c>
      <c r="B241" s="93" t="s">
        <v>504</v>
      </c>
      <c r="C241" s="574">
        <v>1.2361652856139334</v>
      </c>
      <c r="D241" s="100">
        <f t="shared" si="45"/>
        <v>50127.710295536497</v>
      </c>
      <c r="E241" s="100">
        <f t="shared" si="46"/>
        <v>45716.471789529285</v>
      </c>
      <c r="F241" s="100">
        <f t="shared" si="55"/>
        <v>-5744.159774728113</v>
      </c>
      <c r="G241" s="100">
        <f t="shared" si="47"/>
        <v>-5238.6737145520392</v>
      </c>
      <c r="H241" s="100">
        <f t="shared" si="56"/>
        <v>0</v>
      </c>
      <c r="I241" s="100">
        <f t="shared" si="48"/>
        <v>0</v>
      </c>
      <c r="J241" s="100">
        <f t="shared" si="49"/>
        <v>-563.53779667568176</v>
      </c>
      <c r="K241" s="100">
        <f t="shared" si="50"/>
        <v>-513.9464705682218</v>
      </c>
      <c r="L241" s="101">
        <f t="shared" si="51"/>
        <v>-5752.6201851202613</v>
      </c>
      <c r="M241" s="100">
        <f t="shared" si="52"/>
        <v>39963.851604409028</v>
      </c>
      <c r="N241" s="102">
        <f t="shared" si="53"/>
        <v>43820.012724132714</v>
      </c>
      <c r="O241" s="94">
        <f t="shared" si="54"/>
        <v>1.080615456508434</v>
      </c>
      <c r="P241" s="100">
        <f>'K22'!C235</f>
        <v>912</v>
      </c>
      <c r="Q241" s="100"/>
      <c r="R241" s="100">
        <f t="shared" si="57"/>
        <v>0</v>
      </c>
      <c r="S241" s="100">
        <v>0</v>
      </c>
      <c r="U241" s="100">
        <v>15028.686000000002</v>
      </c>
      <c r="V241" s="5">
        <f t="shared" si="58"/>
        <v>30687.785789529284</v>
      </c>
      <c r="W241" s="5">
        <f t="shared" si="59"/>
        <v>33648.887927115444</v>
      </c>
    </row>
    <row r="242" spans="1:23" ht="13">
      <c r="A242" s="92">
        <v>4225</v>
      </c>
      <c r="B242" s="93" t="s">
        <v>506</v>
      </c>
      <c r="C242" s="574">
        <v>0.72483493831880585</v>
      </c>
      <c r="D242" s="100">
        <f t="shared" si="45"/>
        <v>29392.765047663484</v>
      </c>
      <c r="E242" s="100">
        <f t="shared" si="46"/>
        <v>308036.17769951333</v>
      </c>
      <c r="F242" s="100">
        <f t="shared" si="55"/>
        <v>6696.8073739956935</v>
      </c>
      <c r="G242" s="100">
        <f t="shared" si="47"/>
        <v>70182.54127947487</v>
      </c>
      <c r="H242" s="100">
        <f t="shared" si="56"/>
        <v>2487.0770946795183</v>
      </c>
      <c r="I242" s="100">
        <f t="shared" si="48"/>
        <v>26064.567952241348</v>
      </c>
      <c r="J242" s="100">
        <f t="shared" si="49"/>
        <v>1923.5392980038364</v>
      </c>
      <c r="K242" s="100">
        <f t="shared" si="50"/>
        <v>20158.691843080203</v>
      </c>
      <c r="L242" s="101">
        <f t="shared" si="51"/>
        <v>90341.233122555073</v>
      </c>
      <c r="M242" s="100">
        <f t="shared" si="52"/>
        <v>398377.4108220684</v>
      </c>
      <c r="N242" s="102">
        <f t="shared" si="53"/>
        <v>38013.111719663015</v>
      </c>
      <c r="O242" s="94">
        <f t="shared" si="54"/>
        <v>0.93741543008789163</v>
      </c>
      <c r="P242" s="100">
        <f>'K22'!C236</f>
        <v>10480</v>
      </c>
      <c r="Q242" s="100"/>
      <c r="R242" s="100">
        <f t="shared" si="57"/>
        <v>0</v>
      </c>
      <c r="S242" s="100">
        <v>0</v>
      </c>
      <c r="U242" s="100">
        <v>520.65933333333339</v>
      </c>
      <c r="V242" s="5">
        <f t="shared" si="58"/>
        <v>307515.51836618001</v>
      </c>
      <c r="W242" s="5">
        <f t="shared" si="59"/>
        <v>29343.083813566795</v>
      </c>
    </row>
    <row r="243" spans="1:23" ht="13">
      <c r="A243" s="92">
        <v>4226</v>
      </c>
      <c r="B243" s="93" t="s">
        <v>507</v>
      </c>
      <c r="C243" s="574">
        <v>0.75186238428131957</v>
      </c>
      <c r="D243" s="100">
        <f t="shared" si="45"/>
        <v>30488.754392295734</v>
      </c>
      <c r="E243" s="100">
        <f t="shared" si="46"/>
        <v>51952.837484471929</v>
      </c>
      <c r="F243" s="100">
        <f t="shared" si="55"/>
        <v>6039.2137672163444</v>
      </c>
      <c r="G243" s="100">
        <f t="shared" si="47"/>
        <v>10290.82025933665</v>
      </c>
      <c r="H243" s="100">
        <f t="shared" si="56"/>
        <v>2103.4808240582311</v>
      </c>
      <c r="I243" s="100">
        <f t="shared" si="48"/>
        <v>3584.3313241952255</v>
      </c>
      <c r="J243" s="100">
        <f t="shared" si="49"/>
        <v>1539.9430273825492</v>
      </c>
      <c r="K243" s="100">
        <f t="shared" si="50"/>
        <v>2624.062918659864</v>
      </c>
      <c r="L243" s="101">
        <f t="shared" si="51"/>
        <v>12914.883177996513</v>
      </c>
      <c r="M243" s="100">
        <f t="shared" si="52"/>
        <v>64867.720662468448</v>
      </c>
      <c r="N243" s="102">
        <f t="shared" si="53"/>
        <v>38067.911186894627</v>
      </c>
      <c r="O243" s="94">
        <f t="shared" si="54"/>
        <v>0.93876680238601729</v>
      </c>
      <c r="P243" s="100">
        <f>'K22'!C237</f>
        <v>1704</v>
      </c>
      <c r="Q243" s="100"/>
      <c r="R243" s="100">
        <f t="shared" si="57"/>
        <v>0</v>
      </c>
      <c r="S243" s="100">
        <v>0</v>
      </c>
      <c r="U243" s="100">
        <v>0</v>
      </c>
      <c r="V243" s="5">
        <f t="shared" si="58"/>
        <v>51952.837484471929</v>
      </c>
      <c r="W243" s="5">
        <f t="shared" si="59"/>
        <v>30488.754392295734</v>
      </c>
    </row>
    <row r="244" spans="1:23" ht="13">
      <c r="A244" s="92">
        <v>4227</v>
      </c>
      <c r="B244" s="93" t="s">
        <v>508</v>
      </c>
      <c r="C244" s="574">
        <v>0.85816471070423228</v>
      </c>
      <c r="D244" s="100">
        <f t="shared" si="45"/>
        <v>34799.417605931332</v>
      </c>
      <c r="E244" s="100">
        <f t="shared" si="46"/>
        <v>204724.973775694</v>
      </c>
      <c r="F244" s="100">
        <f t="shared" si="55"/>
        <v>3452.8158390349854</v>
      </c>
      <c r="G244" s="100">
        <f t="shared" si="47"/>
        <v>20312.91558104282</v>
      </c>
      <c r="H244" s="100">
        <f t="shared" si="56"/>
        <v>594.74869928577164</v>
      </c>
      <c r="I244" s="100">
        <f t="shared" si="48"/>
        <v>3498.9065978981944</v>
      </c>
      <c r="J244" s="100">
        <f t="shared" si="49"/>
        <v>31.210902610089875</v>
      </c>
      <c r="K244" s="100">
        <f t="shared" si="50"/>
        <v>183.61374005515873</v>
      </c>
      <c r="L244" s="101">
        <f t="shared" si="51"/>
        <v>20496.52932109798</v>
      </c>
      <c r="M244" s="100">
        <f t="shared" si="52"/>
        <v>225221.50309679197</v>
      </c>
      <c r="N244" s="102">
        <f t="shared" si="53"/>
        <v>38283.444347576406</v>
      </c>
      <c r="O244" s="94">
        <f t="shared" si="54"/>
        <v>0.94408191870716285</v>
      </c>
      <c r="P244" s="100">
        <f>'K22'!C238</f>
        <v>5883</v>
      </c>
      <c r="Q244" s="100"/>
      <c r="R244" s="100">
        <f t="shared" si="57"/>
        <v>0</v>
      </c>
      <c r="S244" s="100">
        <v>0</v>
      </c>
      <c r="U244" s="100">
        <v>25320.048666666669</v>
      </c>
      <c r="V244" s="5">
        <f t="shared" si="58"/>
        <v>179404.92510902733</v>
      </c>
      <c r="W244" s="5">
        <f t="shared" si="59"/>
        <v>30495.482765430446</v>
      </c>
    </row>
    <row r="245" spans="1:23" ht="13">
      <c r="A245" s="92">
        <v>4228</v>
      </c>
      <c r="B245" s="93" t="s">
        <v>509</v>
      </c>
      <c r="C245" s="574">
        <v>1.6552129438478014</v>
      </c>
      <c r="D245" s="100">
        <f t="shared" si="45"/>
        <v>67120.502324587767</v>
      </c>
      <c r="E245" s="100">
        <f t="shared" si="46"/>
        <v>121488.10920750386</v>
      </c>
      <c r="F245" s="100">
        <f t="shared" si="55"/>
        <v>-15939.834992158874</v>
      </c>
      <c r="G245" s="100">
        <f t="shared" si="47"/>
        <v>-28851.101335807562</v>
      </c>
      <c r="H245" s="100">
        <f t="shared" si="56"/>
        <v>0</v>
      </c>
      <c r="I245" s="100">
        <f t="shared" si="48"/>
        <v>0</v>
      </c>
      <c r="J245" s="100">
        <f t="shared" si="49"/>
        <v>-563.53779667568176</v>
      </c>
      <c r="K245" s="100">
        <f t="shared" si="50"/>
        <v>-1020.0034119829839</v>
      </c>
      <c r="L245" s="101">
        <f t="shared" si="51"/>
        <v>-29871.104747790545</v>
      </c>
      <c r="M245" s="100">
        <f t="shared" si="52"/>
        <v>91617.004459713324</v>
      </c>
      <c r="N245" s="102">
        <f t="shared" si="53"/>
        <v>50617.129535753222</v>
      </c>
      <c r="O245" s="94">
        <f t="shared" si="54"/>
        <v>1.2482345198019813</v>
      </c>
      <c r="P245" s="100">
        <f>'K22'!C239</f>
        <v>1810</v>
      </c>
      <c r="Q245" s="100"/>
      <c r="R245" s="100">
        <f t="shared" si="57"/>
        <v>0</v>
      </c>
      <c r="S245" s="100">
        <v>0</v>
      </c>
      <c r="U245" s="100">
        <v>39783.35766666667</v>
      </c>
      <c r="V245" s="5">
        <f t="shared" si="58"/>
        <v>81704.751540837198</v>
      </c>
      <c r="W245" s="5">
        <f t="shared" si="59"/>
        <v>45140.746707644859</v>
      </c>
    </row>
    <row r="246" spans="1:23" ht="13">
      <c r="A246" s="92">
        <v>4601</v>
      </c>
      <c r="B246" s="93" t="s">
        <v>532</v>
      </c>
      <c r="C246" s="574">
        <v>1.0554813871867206</v>
      </c>
      <c r="D246" s="100">
        <f t="shared" si="45"/>
        <v>42800.801652466791</v>
      </c>
      <c r="E246" s="100">
        <f t="shared" si="46"/>
        <v>12280834.018142296</v>
      </c>
      <c r="F246" s="100">
        <f t="shared" si="55"/>
        <v>-1348.0145888862899</v>
      </c>
      <c r="G246" s="100">
        <f t="shared" si="47"/>
        <v>-386785.82598914311</v>
      </c>
      <c r="H246" s="100">
        <f t="shared" si="56"/>
        <v>0</v>
      </c>
      <c r="I246" s="100">
        <f t="shared" si="48"/>
        <v>0</v>
      </c>
      <c r="J246" s="100">
        <f t="shared" si="49"/>
        <v>-563.53779667568176</v>
      </c>
      <c r="K246" s="100">
        <f t="shared" si="50"/>
        <v>-161695.90000015337</v>
      </c>
      <c r="L246" s="101">
        <f t="shared" si="51"/>
        <v>-548481.72598929645</v>
      </c>
      <c r="M246" s="100">
        <f t="shared" si="52"/>
        <v>11732352.292152999</v>
      </c>
      <c r="N246" s="102">
        <f t="shared" si="53"/>
        <v>40889.249266904822</v>
      </c>
      <c r="O246" s="94">
        <f t="shared" si="54"/>
        <v>1.0083418971375486</v>
      </c>
      <c r="P246" s="100">
        <f>'K22'!C240</f>
        <v>286930</v>
      </c>
      <c r="Q246" s="100"/>
      <c r="R246" s="100">
        <f t="shared" si="57"/>
        <v>0</v>
      </c>
      <c r="S246" s="100">
        <v>0</v>
      </c>
      <c r="U246" s="100">
        <v>0</v>
      </c>
      <c r="V246" s="5">
        <f t="shared" si="58"/>
        <v>12280834.018142296</v>
      </c>
      <c r="W246" s="5">
        <f t="shared" si="59"/>
        <v>42800.801652466791</v>
      </c>
    </row>
    <row r="247" spans="1:23" ht="13">
      <c r="A247" s="92">
        <v>4602</v>
      </c>
      <c r="B247" s="93" t="s">
        <v>1827</v>
      </c>
      <c r="C247" s="574">
        <v>0.96907051178540815</v>
      </c>
      <c r="D247" s="100">
        <f t="shared" si="45"/>
        <v>39296.756215412279</v>
      </c>
      <c r="E247" s="100">
        <f t="shared" si="46"/>
        <v>673192.73072622775</v>
      </c>
      <c r="F247" s="100">
        <f t="shared" si="55"/>
        <v>754.41267334641736</v>
      </c>
      <c r="G247" s="100">
        <f t="shared" si="47"/>
        <v>12923.843507097476</v>
      </c>
      <c r="H247" s="100">
        <f t="shared" si="56"/>
        <v>0</v>
      </c>
      <c r="I247" s="100">
        <f t="shared" si="48"/>
        <v>0</v>
      </c>
      <c r="J247" s="100">
        <f t="shared" si="49"/>
        <v>-563.53779667568176</v>
      </c>
      <c r="K247" s="100">
        <f t="shared" si="50"/>
        <v>-9653.9659948511053</v>
      </c>
      <c r="L247" s="101">
        <f t="shared" si="51"/>
        <v>3269.8775122463703</v>
      </c>
      <c r="M247" s="100">
        <f t="shared" si="52"/>
        <v>676462.60823847412</v>
      </c>
      <c r="N247" s="102">
        <f t="shared" si="53"/>
        <v>39487.631092083015</v>
      </c>
      <c r="O247" s="94">
        <f t="shared" si="54"/>
        <v>0.97377754697702368</v>
      </c>
      <c r="P247" s="100">
        <f>'K22'!C241</f>
        <v>17131</v>
      </c>
      <c r="Q247" s="100"/>
      <c r="R247" s="100">
        <f t="shared" si="57"/>
        <v>0</v>
      </c>
      <c r="S247" s="100">
        <v>0</v>
      </c>
      <c r="U247" s="100">
        <v>778.17533333333324</v>
      </c>
      <c r="V247" s="5">
        <f t="shared" si="58"/>
        <v>672414.55539289443</v>
      </c>
      <c r="W247" s="5">
        <f t="shared" si="59"/>
        <v>39251.331235356629</v>
      </c>
    </row>
    <row r="248" spans="1:23" ht="13">
      <c r="A248" s="92">
        <v>4611</v>
      </c>
      <c r="B248" s="93" t="s">
        <v>533</v>
      </c>
      <c r="C248" s="574">
        <v>0.85631378998450869</v>
      </c>
      <c r="D248" s="100">
        <f t="shared" si="45"/>
        <v>34724.360962052007</v>
      </c>
      <c r="E248" s="100">
        <f t="shared" si="46"/>
        <v>140390.59136957629</v>
      </c>
      <c r="F248" s="100">
        <f t="shared" si="55"/>
        <v>3497.8498253625803</v>
      </c>
      <c r="G248" s="100">
        <f t="shared" si="47"/>
        <v>14141.806843940913</v>
      </c>
      <c r="H248" s="100">
        <f t="shared" si="56"/>
        <v>621.01852464353533</v>
      </c>
      <c r="I248" s="100">
        <f t="shared" si="48"/>
        <v>2510.7778951338132</v>
      </c>
      <c r="J248" s="100">
        <f t="shared" si="49"/>
        <v>57.480727967853568</v>
      </c>
      <c r="K248" s="100">
        <f t="shared" si="50"/>
        <v>232.39458317403199</v>
      </c>
      <c r="L248" s="101">
        <f t="shared" si="51"/>
        <v>14374.201427114944</v>
      </c>
      <c r="M248" s="100">
        <f t="shared" si="52"/>
        <v>154764.79279669124</v>
      </c>
      <c r="N248" s="102">
        <f t="shared" si="53"/>
        <v>38279.691515382445</v>
      </c>
      <c r="O248" s="94">
        <f t="shared" si="54"/>
        <v>0.94398937267117689</v>
      </c>
      <c r="P248" s="100">
        <f>'K22'!C242</f>
        <v>4043</v>
      </c>
      <c r="Q248" s="100"/>
      <c r="R248" s="100">
        <f t="shared" si="57"/>
        <v>0</v>
      </c>
      <c r="S248" s="100">
        <v>0</v>
      </c>
      <c r="U248" s="100">
        <v>3171.2903333333338</v>
      </c>
      <c r="V248" s="5">
        <f t="shared" si="58"/>
        <v>137219.30103624295</v>
      </c>
      <c r="W248" s="5">
        <f t="shared" si="59"/>
        <v>33939.970575375453</v>
      </c>
    </row>
    <row r="249" spans="1:23" ht="13">
      <c r="A249" s="92">
        <v>4612</v>
      </c>
      <c r="B249" s="93" t="s">
        <v>534</v>
      </c>
      <c r="C249" s="574">
        <v>0.80874118693854868</v>
      </c>
      <c r="D249" s="100">
        <f t="shared" si="45"/>
        <v>32795.245421238149</v>
      </c>
      <c r="E249" s="100">
        <f t="shared" si="46"/>
        <v>189392.54230765029</v>
      </c>
      <c r="F249" s="100">
        <f t="shared" si="55"/>
        <v>4655.319149850895</v>
      </c>
      <c r="G249" s="100">
        <f t="shared" si="47"/>
        <v>26884.46809038892</v>
      </c>
      <c r="H249" s="100">
        <f t="shared" si="56"/>
        <v>1296.2089639283859</v>
      </c>
      <c r="I249" s="100">
        <f t="shared" si="48"/>
        <v>7485.6067666864283</v>
      </c>
      <c r="J249" s="100">
        <f t="shared" si="49"/>
        <v>732.67116725270409</v>
      </c>
      <c r="K249" s="100">
        <f t="shared" si="50"/>
        <v>4231.175990884366</v>
      </c>
      <c r="L249" s="101">
        <f t="shared" si="51"/>
        <v>31115.644081273287</v>
      </c>
      <c r="M249" s="100">
        <f t="shared" si="52"/>
        <v>220508.18638892358</v>
      </c>
      <c r="N249" s="102">
        <f t="shared" si="53"/>
        <v>38183.235738341747</v>
      </c>
      <c r="O249" s="94">
        <f t="shared" si="54"/>
        <v>0.94161074251887877</v>
      </c>
      <c r="P249" s="100">
        <f>'K22'!C243</f>
        <v>5775</v>
      </c>
      <c r="Q249" s="100"/>
      <c r="R249" s="100">
        <f t="shared" si="57"/>
        <v>0</v>
      </c>
      <c r="S249" s="100">
        <v>0</v>
      </c>
      <c r="U249" s="100">
        <v>0</v>
      </c>
      <c r="V249" s="5">
        <f t="shared" si="58"/>
        <v>189392.54230765029</v>
      </c>
      <c r="W249" s="5">
        <f t="shared" si="59"/>
        <v>32795.245421238149</v>
      </c>
    </row>
    <row r="250" spans="1:23" ht="13">
      <c r="A250" s="92">
        <v>4613</v>
      </c>
      <c r="B250" s="93" t="s">
        <v>535</v>
      </c>
      <c r="C250" s="574">
        <v>0.87496204551730761</v>
      </c>
      <c r="D250" s="100">
        <f t="shared" si="45"/>
        <v>35480.565946728486</v>
      </c>
      <c r="E250" s="100">
        <f t="shared" si="46"/>
        <v>427931.10588349227</v>
      </c>
      <c r="F250" s="100">
        <f t="shared" si="55"/>
        <v>3044.1268345566932</v>
      </c>
      <c r="G250" s="100">
        <f t="shared" si="47"/>
        <v>36715.213751588279</v>
      </c>
      <c r="H250" s="100">
        <f t="shared" si="56"/>
        <v>356.34678000676791</v>
      </c>
      <c r="I250" s="100">
        <f t="shared" si="48"/>
        <v>4297.8985136616275</v>
      </c>
      <c r="J250" s="100">
        <f t="shared" si="49"/>
        <v>-207.19101666891385</v>
      </c>
      <c r="K250" s="100">
        <f t="shared" si="50"/>
        <v>-2498.9308520437698</v>
      </c>
      <c r="L250" s="101">
        <f t="shared" si="51"/>
        <v>34216.282899544509</v>
      </c>
      <c r="M250" s="100">
        <f t="shared" si="52"/>
        <v>462147.38878303673</v>
      </c>
      <c r="N250" s="102">
        <f t="shared" si="53"/>
        <v>38317.50176461626</v>
      </c>
      <c r="O250" s="94">
        <f t="shared" si="54"/>
        <v>0.94492178544781658</v>
      </c>
      <c r="P250" s="100">
        <f>'K22'!C244</f>
        <v>12061</v>
      </c>
      <c r="Q250" s="100"/>
      <c r="R250" s="100">
        <f t="shared" si="57"/>
        <v>0</v>
      </c>
      <c r="S250" s="100">
        <v>0</v>
      </c>
      <c r="U250" s="100">
        <v>0</v>
      </c>
      <c r="V250" s="5">
        <f t="shared" si="58"/>
        <v>427931.10588349227</v>
      </c>
      <c r="W250" s="5">
        <f t="shared" si="59"/>
        <v>35480.565946728486</v>
      </c>
    </row>
    <row r="251" spans="1:23" ht="13">
      <c r="A251" s="92">
        <v>4614</v>
      </c>
      <c r="B251" s="93" t="s">
        <v>536</v>
      </c>
      <c r="C251" s="574">
        <v>0.88601651791211877</v>
      </c>
      <c r="D251" s="100">
        <f t="shared" si="45"/>
        <v>35928.835604618042</v>
      </c>
      <c r="E251" s="100">
        <f t="shared" si="46"/>
        <v>679737.64080376877</v>
      </c>
      <c r="F251" s="100">
        <f t="shared" si="55"/>
        <v>2775.1650398229599</v>
      </c>
      <c r="G251" s="100">
        <f t="shared" si="47"/>
        <v>52503.347388410577</v>
      </c>
      <c r="H251" s="100">
        <f t="shared" si="56"/>
        <v>199.45239974542346</v>
      </c>
      <c r="I251" s="100">
        <f t="shared" si="48"/>
        <v>3773.4399507836665</v>
      </c>
      <c r="J251" s="100">
        <f t="shared" si="49"/>
        <v>-364.0853969302583</v>
      </c>
      <c r="K251" s="100">
        <f t="shared" si="50"/>
        <v>-6888.1316245235566</v>
      </c>
      <c r="L251" s="101">
        <f t="shared" si="51"/>
        <v>45615.215763887019</v>
      </c>
      <c r="M251" s="100">
        <f t="shared" si="52"/>
        <v>725352.85656765581</v>
      </c>
      <c r="N251" s="102">
        <f t="shared" si="53"/>
        <v>38339.915247510748</v>
      </c>
      <c r="O251" s="94">
        <f t="shared" si="54"/>
        <v>0.94547450906755737</v>
      </c>
      <c r="P251" s="100">
        <f>'K22'!C245</f>
        <v>18919</v>
      </c>
      <c r="Q251" s="100"/>
      <c r="R251" s="100">
        <f t="shared" si="57"/>
        <v>0</v>
      </c>
      <c r="S251" s="100">
        <v>0</v>
      </c>
      <c r="U251" s="100">
        <v>0</v>
      </c>
      <c r="V251" s="5">
        <f t="shared" si="58"/>
        <v>679737.64080376877</v>
      </c>
      <c r="W251" s="5">
        <f t="shared" si="59"/>
        <v>35928.835604618042</v>
      </c>
    </row>
    <row r="252" spans="1:23" ht="13">
      <c r="A252" s="92">
        <v>4615</v>
      </c>
      <c r="B252" s="93" t="s">
        <v>537</v>
      </c>
      <c r="C252" s="574">
        <v>0.86389266136787524</v>
      </c>
      <c r="D252" s="100">
        <f t="shared" si="45"/>
        <v>35031.69160261748</v>
      </c>
      <c r="E252" s="100">
        <f t="shared" si="46"/>
        <v>109193.78272535867</v>
      </c>
      <c r="F252" s="100">
        <f t="shared" si="55"/>
        <v>3313.4514410232964</v>
      </c>
      <c r="G252" s="100">
        <f t="shared" si="47"/>
        <v>10328.028141669614</v>
      </c>
      <c r="H252" s="100">
        <f t="shared" si="56"/>
        <v>513.4528004456198</v>
      </c>
      <c r="I252" s="100">
        <f t="shared" si="48"/>
        <v>1600.4323789889968</v>
      </c>
      <c r="J252" s="100">
        <f t="shared" si="49"/>
        <v>-50.084996230061961</v>
      </c>
      <c r="K252" s="100">
        <f t="shared" si="50"/>
        <v>-156.11493324910313</v>
      </c>
      <c r="L252" s="101">
        <f t="shared" si="51"/>
        <v>10171.913208420512</v>
      </c>
      <c r="M252" s="100">
        <f t="shared" si="52"/>
        <v>119365.69593377918</v>
      </c>
      <c r="N252" s="102">
        <f t="shared" si="53"/>
        <v>38295.058047410712</v>
      </c>
      <c r="O252" s="94">
        <f t="shared" si="54"/>
        <v>0.94436831624034501</v>
      </c>
      <c r="P252" s="100">
        <f>'K22'!C246</f>
        <v>3117</v>
      </c>
      <c r="Q252" s="100"/>
      <c r="R252" s="100">
        <f t="shared" si="57"/>
        <v>0</v>
      </c>
      <c r="S252" s="100">
        <v>0</v>
      </c>
      <c r="U252" s="100">
        <v>0</v>
      </c>
      <c r="V252" s="5">
        <f t="shared" si="58"/>
        <v>109193.78272535867</v>
      </c>
      <c r="W252" s="5">
        <f t="shared" si="59"/>
        <v>35031.69160261748</v>
      </c>
    </row>
    <row r="253" spans="1:23" ht="13">
      <c r="A253" s="92">
        <v>4616</v>
      </c>
      <c r="B253" s="93" t="s">
        <v>538</v>
      </c>
      <c r="C253" s="574">
        <v>1.2198535368130925</v>
      </c>
      <c r="D253" s="100">
        <f t="shared" si="45"/>
        <v>49466.252942043495</v>
      </c>
      <c r="E253" s="100">
        <f t="shared" si="46"/>
        <v>142611.20723191139</v>
      </c>
      <c r="F253" s="100">
        <f t="shared" si="55"/>
        <v>-5347.2853626323122</v>
      </c>
      <c r="G253" s="100">
        <f t="shared" si="47"/>
        <v>-15416.223700468956</v>
      </c>
      <c r="H253" s="100">
        <f t="shared" si="56"/>
        <v>0</v>
      </c>
      <c r="I253" s="100">
        <f t="shared" si="48"/>
        <v>0</v>
      </c>
      <c r="J253" s="100">
        <f t="shared" si="49"/>
        <v>-563.53779667568176</v>
      </c>
      <c r="K253" s="100">
        <f t="shared" si="50"/>
        <v>-1624.6794678159906</v>
      </c>
      <c r="L253" s="101">
        <f t="shared" si="51"/>
        <v>-17040.903168284945</v>
      </c>
      <c r="M253" s="100">
        <f t="shared" si="52"/>
        <v>125570.30406362645</v>
      </c>
      <c r="N253" s="102">
        <f t="shared" si="53"/>
        <v>43555.429782735504</v>
      </c>
      <c r="O253" s="94">
        <f t="shared" si="54"/>
        <v>1.0740907569880975</v>
      </c>
      <c r="P253" s="100">
        <f>'K22'!C247</f>
        <v>2883</v>
      </c>
      <c r="Q253" s="100"/>
      <c r="R253" s="100">
        <f t="shared" si="57"/>
        <v>0</v>
      </c>
      <c r="S253" s="100">
        <v>0</v>
      </c>
      <c r="U253" s="100">
        <v>0</v>
      </c>
      <c r="V253" s="5">
        <f t="shared" si="58"/>
        <v>142611.20723191139</v>
      </c>
      <c r="W253" s="5">
        <f t="shared" si="59"/>
        <v>49466.252942043495</v>
      </c>
    </row>
    <row r="254" spans="1:23" ht="13">
      <c r="A254" s="92">
        <v>4617</v>
      </c>
      <c r="B254" s="93" t="s">
        <v>539</v>
      </c>
      <c r="C254" s="574">
        <v>0.90912824376156154</v>
      </c>
      <c r="D254" s="100">
        <f t="shared" si="45"/>
        <v>36866.038672276867</v>
      </c>
      <c r="E254" s="100">
        <f t="shared" si="46"/>
        <v>479885.22539702797</v>
      </c>
      <c r="F254" s="100">
        <f t="shared" si="55"/>
        <v>2212.8431992276642</v>
      </c>
      <c r="G254" s="100">
        <f t="shared" si="47"/>
        <v>28804.579924346504</v>
      </c>
      <c r="H254" s="100">
        <f t="shared" si="56"/>
        <v>0</v>
      </c>
      <c r="I254" s="100">
        <f t="shared" si="48"/>
        <v>0</v>
      </c>
      <c r="J254" s="100">
        <f t="shared" si="49"/>
        <v>-563.53779667568176</v>
      </c>
      <c r="K254" s="100">
        <f t="shared" si="50"/>
        <v>-7335.5714993273496</v>
      </c>
      <c r="L254" s="101">
        <f t="shared" si="51"/>
        <v>21469.008425019154</v>
      </c>
      <c r="M254" s="100">
        <f t="shared" si="52"/>
        <v>501354.23382204713</v>
      </c>
      <c r="N254" s="102">
        <f t="shared" si="53"/>
        <v>38515.344074828849</v>
      </c>
      <c r="O254" s="94">
        <f t="shared" si="54"/>
        <v>0.94980063976748497</v>
      </c>
      <c r="P254" s="100">
        <f>'K22'!C248</f>
        <v>13017</v>
      </c>
      <c r="Q254" s="100"/>
      <c r="R254" s="100">
        <f t="shared" si="57"/>
        <v>0</v>
      </c>
      <c r="S254" s="100">
        <v>0</v>
      </c>
      <c r="U254" s="100">
        <v>26675.425333333333</v>
      </c>
      <c r="V254" s="5">
        <f t="shared" si="58"/>
        <v>453209.80006369465</v>
      </c>
      <c r="W254" s="5">
        <f t="shared" si="59"/>
        <v>34816.762699830579</v>
      </c>
    </row>
    <row r="255" spans="1:23" ht="13">
      <c r="A255" s="92">
        <v>4618</v>
      </c>
      <c r="B255" s="93" t="s">
        <v>540</v>
      </c>
      <c r="C255" s="574">
        <v>0.9342259747925441</v>
      </c>
      <c r="D255" s="100">
        <f t="shared" si="45"/>
        <v>37883.776190744364</v>
      </c>
      <c r="E255" s="100">
        <f t="shared" si="46"/>
        <v>412213.36873148941</v>
      </c>
      <c r="F255" s="100">
        <f t="shared" si="55"/>
        <v>1602.2006881471664</v>
      </c>
      <c r="G255" s="100">
        <f t="shared" si="47"/>
        <v>17433.545687729318</v>
      </c>
      <c r="H255" s="100">
        <f t="shared" si="56"/>
        <v>0</v>
      </c>
      <c r="I255" s="100">
        <f t="shared" si="48"/>
        <v>0</v>
      </c>
      <c r="J255" s="100">
        <f t="shared" si="49"/>
        <v>-563.53779667568176</v>
      </c>
      <c r="K255" s="100">
        <f t="shared" si="50"/>
        <v>-6131.8547656280925</v>
      </c>
      <c r="L255" s="101">
        <f t="shared" si="51"/>
        <v>11301.690922101225</v>
      </c>
      <c r="M255" s="100">
        <f t="shared" si="52"/>
        <v>423515.05965359061</v>
      </c>
      <c r="N255" s="102">
        <f t="shared" si="53"/>
        <v>38922.439082215846</v>
      </c>
      <c r="O255" s="94">
        <f t="shared" si="54"/>
        <v>0.95983973217987795</v>
      </c>
      <c r="P255" s="100">
        <f>'K22'!C249</f>
        <v>10881</v>
      </c>
      <c r="Q255" s="100"/>
      <c r="R255" s="100">
        <f t="shared" si="57"/>
        <v>0</v>
      </c>
      <c r="S255" s="100">
        <v>0</v>
      </c>
      <c r="U255" s="100">
        <v>48887.981</v>
      </c>
      <c r="V255" s="5">
        <f t="shared" si="58"/>
        <v>363325.38773148938</v>
      </c>
      <c r="W255" s="5">
        <f t="shared" si="59"/>
        <v>33390.808540712191</v>
      </c>
    </row>
    <row r="256" spans="1:23" ht="13">
      <c r="A256" s="92">
        <v>4619</v>
      </c>
      <c r="B256" s="93" t="s">
        <v>541</v>
      </c>
      <c r="C256" s="574">
        <v>1.6439180218935745</v>
      </c>
      <c r="D256" s="100">
        <f t="shared" si="45"/>
        <v>66662.482202099869</v>
      </c>
      <c r="E256" s="100">
        <f t="shared" si="46"/>
        <v>62462.745823367579</v>
      </c>
      <c r="F256" s="100">
        <f t="shared" si="55"/>
        <v>-15665.022918666136</v>
      </c>
      <c r="G256" s="100">
        <f t="shared" si="47"/>
        <v>-14678.12647479017</v>
      </c>
      <c r="H256" s="100">
        <f t="shared" si="56"/>
        <v>0</v>
      </c>
      <c r="I256" s="100">
        <f t="shared" si="48"/>
        <v>0</v>
      </c>
      <c r="J256" s="100">
        <f t="shared" si="49"/>
        <v>-563.53779667568176</v>
      </c>
      <c r="K256" s="100">
        <f t="shared" si="50"/>
        <v>-528.03491548511386</v>
      </c>
      <c r="L256" s="101">
        <f t="shared" si="51"/>
        <v>-15206.161390275283</v>
      </c>
      <c r="M256" s="100">
        <f t="shared" si="52"/>
        <v>47256.584433092299</v>
      </c>
      <c r="N256" s="102">
        <f t="shared" si="53"/>
        <v>50433.921486758052</v>
      </c>
      <c r="O256" s="94">
        <f t="shared" si="54"/>
        <v>1.2437165510202901</v>
      </c>
      <c r="P256" s="100">
        <f>'K22'!C250</f>
        <v>937</v>
      </c>
      <c r="Q256" s="100"/>
      <c r="R256" s="100">
        <f t="shared" si="57"/>
        <v>0</v>
      </c>
      <c r="S256" s="100">
        <v>0</v>
      </c>
      <c r="U256" s="100">
        <v>25837.129666666664</v>
      </c>
      <c r="V256" s="5">
        <f t="shared" si="58"/>
        <v>36625.616156700911</v>
      </c>
      <c r="W256" s="5">
        <f t="shared" si="59"/>
        <v>39088.170924974293</v>
      </c>
    </row>
    <row r="257" spans="1:23" ht="13">
      <c r="A257" s="92">
        <v>4620</v>
      </c>
      <c r="B257" s="93" t="s">
        <v>542</v>
      </c>
      <c r="C257" s="574">
        <v>0.93651937196092538</v>
      </c>
      <c r="D257" s="100">
        <f t="shared" si="45"/>
        <v>37976.775686998721</v>
      </c>
      <c r="E257" s="100">
        <f t="shared" si="46"/>
        <v>39913.591247035649</v>
      </c>
      <c r="F257" s="100">
        <f t="shared" si="55"/>
        <v>1546.4009903945523</v>
      </c>
      <c r="G257" s="100">
        <f t="shared" si="47"/>
        <v>1625.2674409046747</v>
      </c>
      <c r="H257" s="100">
        <f t="shared" si="56"/>
        <v>0</v>
      </c>
      <c r="I257" s="100">
        <f t="shared" si="48"/>
        <v>0</v>
      </c>
      <c r="J257" s="100">
        <f t="shared" si="49"/>
        <v>-563.53779667568176</v>
      </c>
      <c r="K257" s="100">
        <f t="shared" si="50"/>
        <v>-592.27822430614151</v>
      </c>
      <c r="L257" s="101">
        <f t="shared" si="51"/>
        <v>1032.9892165985332</v>
      </c>
      <c r="M257" s="100">
        <f t="shared" si="52"/>
        <v>40946.580463634178</v>
      </c>
      <c r="N257" s="102">
        <f t="shared" si="53"/>
        <v>38959.638880717583</v>
      </c>
      <c r="O257" s="94">
        <f t="shared" si="54"/>
        <v>0.96075709104723028</v>
      </c>
      <c r="P257" s="100">
        <f>'K22'!C251</f>
        <v>1051</v>
      </c>
      <c r="Q257" s="100"/>
      <c r="R257" s="100">
        <f t="shared" si="57"/>
        <v>0</v>
      </c>
      <c r="S257" s="100">
        <v>0</v>
      </c>
      <c r="U257" s="100">
        <v>10192.810666666666</v>
      </c>
      <c r="V257" s="5">
        <f t="shared" si="58"/>
        <v>29720.780580368984</v>
      </c>
      <c r="W257" s="5">
        <f t="shared" si="59"/>
        <v>28278.573340027579</v>
      </c>
    </row>
    <row r="258" spans="1:23" ht="13">
      <c r="A258" s="92">
        <v>4621</v>
      </c>
      <c r="B258" s="93" t="s">
        <v>543</v>
      </c>
      <c r="C258" s="574">
        <v>0.86208953856959325</v>
      </c>
      <c r="D258" s="100">
        <f t="shared" si="45"/>
        <v>34958.573211160088</v>
      </c>
      <c r="E258" s="100">
        <f t="shared" si="46"/>
        <v>554967.34972716647</v>
      </c>
      <c r="F258" s="100">
        <f t="shared" si="55"/>
        <v>3357.3224758977317</v>
      </c>
      <c r="G258" s="100">
        <f t="shared" si="47"/>
        <v>53297.494304876491</v>
      </c>
      <c r="H258" s="100">
        <f t="shared" si="56"/>
        <v>539.04423745570705</v>
      </c>
      <c r="I258" s="100">
        <f t="shared" si="48"/>
        <v>8557.3272696093481</v>
      </c>
      <c r="J258" s="100">
        <f t="shared" si="49"/>
        <v>-24.493559219974713</v>
      </c>
      <c r="K258" s="100">
        <f t="shared" si="50"/>
        <v>-388.83525261709855</v>
      </c>
      <c r="L258" s="101">
        <f t="shared" si="51"/>
        <v>52908.659052259391</v>
      </c>
      <c r="M258" s="100">
        <f t="shared" si="52"/>
        <v>607876.00877942587</v>
      </c>
      <c r="N258" s="102">
        <f t="shared" si="53"/>
        <v>38291.40212783785</v>
      </c>
      <c r="O258" s="94">
        <f t="shared" si="54"/>
        <v>0.94427816010043109</v>
      </c>
      <c r="P258" s="100">
        <f>'K22'!C252</f>
        <v>15875</v>
      </c>
      <c r="Q258" s="100"/>
      <c r="R258" s="100">
        <f t="shared" si="57"/>
        <v>0</v>
      </c>
      <c r="S258" s="100">
        <v>0</v>
      </c>
      <c r="U258" s="100">
        <v>12385.373333333335</v>
      </c>
      <c r="V258" s="5">
        <f t="shared" si="58"/>
        <v>542581.97639383317</v>
      </c>
      <c r="W258" s="5">
        <f t="shared" si="59"/>
        <v>34178.392213784769</v>
      </c>
    </row>
    <row r="259" spans="1:23" ht="13">
      <c r="A259" s="92">
        <v>4622</v>
      </c>
      <c r="B259" s="93" t="s">
        <v>544</v>
      </c>
      <c r="C259" s="574">
        <v>0.84471074133159807</v>
      </c>
      <c r="D259" s="100">
        <f t="shared" si="45"/>
        <v>34253.84600083527</v>
      </c>
      <c r="E259" s="100">
        <f t="shared" si="46"/>
        <v>291054.92946909729</v>
      </c>
      <c r="F259" s="100">
        <f t="shared" si="55"/>
        <v>3780.1588020926224</v>
      </c>
      <c r="G259" s="100">
        <f t="shared" si="47"/>
        <v>32120.009341381014</v>
      </c>
      <c r="H259" s="100">
        <f t="shared" si="56"/>
        <v>785.6987610693933</v>
      </c>
      <c r="I259" s="100">
        <f t="shared" si="48"/>
        <v>6676.0823728066343</v>
      </c>
      <c r="J259" s="100">
        <f t="shared" si="49"/>
        <v>222.16096439371154</v>
      </c>
      <c r="K259" s="100">
        <f t="shared" si="50"/>
        <v>1887.701714453367</v>
      </c>
      <c r="L259" s="101">
        <f t="shared" si="51"/>
        <v>34007.711055834377</v>
      </c>
      <c r="M259" s="100">
        <f t="shared" si="52"/>
        <v>325062.64052493166</v>
      </c>
      <c r="N259" s="102">
        <f t="shared" si="53"/>
        <v>38256.165767321603</v>
      </c>
      <c r="O259" s="94">
        <f t="shared" si="54"/>
        <v>0.94340922023853124</v>
      </c>
      <c r="P259" s="100">
        <f>'K22'!C253</f>
        <v>8497</v>
      </c>
      <c r="Q259" s="100"/>
      <c r="R259" s="100">
        <f t="shared" si="57"/>
        <v>0</v>
      </c>
      <c r="S259" s="100">
        <v>0</v>
      </c>
      <c r="U259" s="100">
        <v>6736.3290000000006</v>
      </c>
      <c r="V259" s="5">
        <f t="shared" si="58"/>
        <v>284318.60046909726</v>
      </c>
      <c r="W259" s="5">
        <f t="shared" si="59"/>
        <v>33461.056898799252</v>
      </c>
    </row>
    <row r="260" spans="1:23" ht="13">
      <c r="A260" s="92">
        <v>4623</v>
      </c>
      <c r="B260" s="93" t="s">
        <v>545</v>
      </c>
      <c r="C260" s="574">
        <v>0.81237600914097707</v>
      </c>
      <c r="D260" s="100">
        <f t="shared" si="45"/>
        <v>32942.641013445398</v>
      </c>
      <c r="E260" s="100">
        <f t="shared" si="46"/>
        <v>82389.545174626954</v>
      </c>
      <c r="F260" s="100">
        <f t="shared" si="55"/>
        <v>4566.8817945265455</v>
      </c>
      <c r="G260" s="100">
        <f t="shared" si="47"/>
        <v>11421.771368110889</v>
      </c>
      <c r="H260" s="100">
        <f t="shared" si="56"/>
        <v>1244.6205066558487</v>
      </c>
      <c r="I260" s="100">
        <f t="shared" si="48"/>
        <v>3112.7958871462774</v>
      </c>
      <c r="J260" s="100">
        <f t="shared" si="49"/>
        <v>681.0827099801669</v>
      </c>
      <c r="K260" s="100">
        <f t="shared" si="50"/>
        <v>1703.3878576603975</v>
      </c>
      <c r="L260" s="101">
        <f t="shared" si="51"/>
        <v>13125.159225771287</v>
      </c>
      <c r="M260" s="100">
        <f t="shared" si="52"/>
        <v>95514.704400398245</v>
      </c>
      <c r="N260" s="102">
        <f t="shared" si="53"/>
        <v>38190.605517952114</v>
      </c>
      <c r="O260" s="94">
        <f t="shared" si="54"/>
        <v>0.94179248362900025</v>
      </c>
      <c r="P260" s="100">
        <f>'K22'!C254</f>
        <v>2501</v>
      </c>
      <c r="Q260" s="100"/>
      <c r="R260" s="100">
        <f t="shared" si="57"/>
        <v>0</v>
      </c>
      <c r="S260" s="100">
        <v>0</v>
      </c>
      <c r="U260" s="100">
        <v>4553.7860000000001</v>
      </c>
      <c r="V260" s="5">
        <f t="shared" si="58"/>
        <v>77835.759174626961</v>
      </c>
      <c r="W260" s="5">
        <f t="shared" si="59"/>
        <v>31121.854927879634</v>
      </c>
    </row>
    <row r="261" spans="1:23" ht="13">
      <c r="A261" s="92">
        <v>4624</v>
      </c>
      <c r="B261" s="93" t="s">
        <v>1828</v>
      </c>
      <c r="C261" s="574">
        <v>0.87724180243240113</v>
      </c>
      <c r="D261" s="100">
        <f t="shared" si="45"/>
        <v>35573.012317382956</v>
      </c>
      <c r="E261" s="100">
        <f t="shared" si="46"/>
        <v>896902.35955817648</v>
      </c>
      <c r="F261" s="100">
        <f t="shared" si="55"/>
        <v>2988.6590121640111</v>
      </c>
      <c r="G261" s="100">
        <f t="shared" si="47"/>
        <v>75353.059673691212</v>
      </c>
      <c r="H261" s="100">
        <f t="shared" si="56"/>
        <v>323.99055027770333</v>
      </c>
      <c r="I261" s="100">
        <f t="shared" si="48"/>
        <v>8168.7737441517338</v>
      </c>
      <c r="J261" s="100">
        <f t="shared" si="49"/>
        <v>-239.54724639797843</v>
      </c>
      <c r="K261" s="100">
        <f t="shared" si="50"/>
        <v>-6039.7047234322299</v>
      </c>
      <c r="L261" s="101">
        <f t="shared" si="51"/>
        <v>69313.354950258989</v>
      </c>
      <c r="M261" s="100">
        <f t="shared" si="52"/>
        <v>966215.71450843546</v>
      </c>
      <c r="N261" s="102">
        <f t="shared" si="53"/>
        <v>38322.124083148992</v>
      </c>
      <c r="O261" s="94">
        <f t="shared" si="54"/>
        <v>0.94503577329357147</v>
      </c>
      <c r="P261" s="100">
        <f>'K22'!C255</f>
        <v>25213</v>
      </c>
      <c r="Q261" s="100"/>
      <c r="R261" s="100">
        <f t="shared" si="57"/>
        <v>0</v>
      </c>
      <c r="S261" s="100">
        <v>0</v>
      </c>
      <c r="U261" s="100">
        <v>1085.181</v>
      </c>
      <c r="V261" s="5">
        <f t="shared" si="58"/>
        <v>895817.1785581765</v>
      </c>
      <c r="W261" s="5">
        <f t="shared" si="59"/>
        <v>35529.971782738132</v>
      </c>
    </row>
    <row r="262" spans="1:23" ht="13">
      <c r="A262" s="92">
        <v>4625</v>
      </c>
      <c r="B262" s="93" t="s">
        <v>546</v>
      </c>
      <c r="C262" s="574">
        <v>1.6035141685573426</v>
      </c>
      <c r="D262" s="100">
        <f t="shared" si="45"/>
        <v>65024.066467220124</v>
      </c>
      <c r="E262" s="100">
        <f t="shared" si="46"/>
        <v>343522.14314632391</v>
      </c>
      <c r="F262" s="100">
        <f t="shared" si="55"/>
        <v>-14681.973477738289</v>
      </c>
      <c r="G262" s="100">
        <f t="shared" si="47"/>
        <v>-77564.86588289139</v>
      </c>
      <c r="H262" s="100">
        <f t="shared" si="56"/>
        <v>0</v>
      </c>
      <c r="I262" s="100">
        <f t="shared" si="48"/>
        <v>0</v>
      </c>
      <c r="J262" s="100">
        <f t="shared" si="49"/>
        <v>-563.53779667568176</v>
      </c>
      <c r="K262" s="100">
        <f t="shared" si="50"/>
        <v>-2977.1701798376271</v>
      </c>
      <c r="L262" s="101">
        <f t="shared" si="51"/>
        <v>-80542.036062729021</v>
      </c>
      <c r="M262" s="100">
        <f t="shared" si="52"/>
        <v>262980.10708359489</v>
      </c>
      <c r="N262" s="102">
        <f t="shared" si="53"/>
        <v>49778.555192806147</v>
      </c>
      <c r="O262" s="94">
        <f t="shared" si="54"/>
        <v>1.2275550096857972</v>
      </c>
      <c r="P262" s="100">
        <f>'K22'!C256</f>
        <v>5283</v>
      </c>
      <c r="Q262" s="100"/>
      <c r="R262" s="100">
        <f t="shared" si="57"/>
        <v>0</v>
      </c>
      <c r="S262" s="100">
        <v>0</v>
      </c>
      <c r="U262" s="100">
        <v>0</v>
      </c>
      <c r="V262" s="5">
        <f t="shared" si="58"/>
        <v>343522.14314632391</v>
      </c>
      <c r="W262" s="5">
        <f t="shared" si="59"/>
        <v>65024.066467220124</v>
      </c>
    </row>
    <row r="263" spans="1:23" ht="13">
      <c r="A263" s="92">
        <v>4626</v>
      </c>
      <c r="B263" s="93" t="s">
        <v>551</v>
      </c>
      <c r="C263" s="574">
        <v>0.87251930980629056</v>
      </c>
      <c r="D263" s="100">
        <f t="shared" si="45"/>
        <v>35381.510626638657</v>
      </c>
      <c r="E263" s="100">
        <f t="shared" si="46"/>
        <v>1381011.12277896</v>
      </c>
      <c r="F263" s="100">
        <f t="shared" si="55"/>
        <v>3103.5600266105903</v>
      </c>
      <c r="G263" s="100">
        <f t="shared" si="47"/>
        <v>121138.15495866457</v>
      </c>
      <c r="H263" s="100">
        <f t="shared" si="56"/>
        <v>391.01614203820787</v>
      </c>
      <c r="I263" s="100">
        <f t="shared" si="48"/>
        <v>15262.142056035331</v>
      </c>
      <c r="J263" s="100">
        <f t="shared" si="49"/>
        <v>-172.52165463747389</v>
      </c>
      <c r="K263" s="100">
        <f t="shared" si="50"/>
        <v>-6733.8652238098812</v>
      </c>
      <c r="L263" s="101">
        <f t="shared" si="51"/>
        <v>114404.28973485468</v>
      </c>
      <c r="M263" s="100">
        <f t="shared" si="52"/>
        <v>1495415.4125138149</v>
      </c>
      <c r="N263" s="102">
        <f t="shared" si="53"/>
        <v>38312.548998611775</v>
      </c>
      <c r="O263" s="94">
        <f t="shared" si="54"/>
        <v>0.94479964866226596</v>
      </c>
      <c r="P263" s="100">
        <f>'K22'!C257</f>
        <v>39032</v>
      </c>
      <c r="Q263" s="100"/>
      <c r="R263" s="100">
        <f t="shared" si="57"/>
        <v>0</v>
      </c>
      <c r="S263" s="100">
        <v>0</v>
      </c>
      <c r="U263" s="100">
        <v>0</v>
      </c>
      <c r="V263" s="5">
        <f t="shared" si="58"/>
        <v>1381011.12277896</v>
      </c>
      <c r="W263" s="5">
        <f t="shared" si="59"/>
        <v>35381.510626638657</v>
      </c>
    </row>
    <row r="264" spans="1:23" ht="13">
      <c r="A264" s="92">
        <v>4627</v>
      </c>
      <c r="B264" s="93" t="s">
        <v>547</v>
      </c>
      <c r="C264" s="574">
        <v>0.80084327999779725</v>
      </c>
      <c r="D264" s="100">
        <f t="shared" si="45"/>
        <v>32474.977577063513</v>
      </c>
      <c r="E264" s="100">
        <f t="shared" si="46"/>
        <v>968273.93143772567</v>
      </c>
      <c r="F264" s="100">
        <f t="shared" si="55"/>
        <v>4847.4798563556769</v>
      </c>
      <c r="G264" s="100">
        <f t="shared" si="47"/>
        <v>144532.45939710087</v>
      </c>
      <c r="H264" s="100">
        <f t="shared" si="56"/>
        <v>1408.3027093895082</v>
      </c>
      <c r="I264" s="100">
        <f t="shared" si="48"/>
        <v>41989.953583157578</v>
      </c>
      <c r="J264" s="100">
        <f t="shared" si="49"/>
        <v>844.76491271382645</v>
      </c>
      <c r="K264" s="100">
        <f t="shared" si="50"/>
        <v>25187.51063747545</v>
      </c>
      <c r="L264" s="101">
        <f t="shared" si="51"/>
        <v>169719.97003457631</v>
      </c>
      <c r="M264" s="100">
        <f t="shared" si="52"/>
        <v>1137993.9014723019</v>
      </c>
      <c r="N264" s="102">
        <f t="shared" si="53"/>
        <v>38167.222346133014</v>
      </c>
      <c r="O264" s="94">
        <f t="shared" si="54"/>
        <v>0.94121584717184115</v>
      </c>
      <c r="P264" s="100">
        <f>'K22'!C258</f>
        <v>29816</v>
      </c>
      <c r="Q264" s="100"/>
      <c r="R264" s="100">
        <f t="shared" si="57"/>
        <v>0</v>
      </c>
      <c r="S264" s="100">
        <v>0</v>
      </c>
      <c r="U264" s="100">
        <v>0</v>
      </c>
      <c r="V264" s="5">
        <f t="shared" si="58"/>
        <v>968273.93143772567</v>
      </c>
      <c r="W264" s="5">
        <f t="shared" si="59"/>
        <v>32474.977577063513</v>
      </c>
    </row>
    <row r="265" spans="1:23" ht="13">
      <c r="A265" s="92">
        <v>4628</v>
      </c>
      <c r="B265" s="93" t="s">
        <v>548</v>
      </c>
      <c r="C265" s="574">
        <v>0.79108175390944535</v>
      </c>
      <c r="D265" s="100">
        <f t="shared" si="45"/>
        <v>32079.138155350418</v>
      </c>
      <c r="E265" s="100">
        <f t="shared" si="46"/>
        <v>124050.02724674008</v>
      </c>
      <c r="F265" s="100">
        <f t="shared" si="55"/>
        <v>5084.9835093835336</v>
      </c>
      <c r="G265" s="100">
        <f t="shared" si="47"/>
        <v>19663.631230786126</v>
      </c>
      <c r="H265" s="100">
        <f t="shared" si="56"/>
        <v>1546.8465069890917</v>
      </c>
      <c r="I265" s="100">
        <f t="shared" si="48"/>
        <v>5981.6554425268178</v>
      </c>
      <c r="J265" s="100">
        <f t="shared" si="49"/>
        <v>983.30871031340996</v>
      </c>
      <c r="K265" s="100">
        <f t="shared" si="50"/>
        <v>3802.4547827819561</v>
      </c>
      <c r="L265" s="101">
        <f t="shared" si="51"/>
        <v>23466.086013568081</v>
      </c>
      <c r="M265" s="100">
        <f t="shared" si="52"/>
        <v>147516.11326030816</v>
      </c>
      <c r="N265" s="102">
        <f t="shared" si="53"/>
        <v>38147.43037504737</v>
      </c>
      <c r="O265" s="94">
        <f t="shared" si="54"/>
        <v>0.94072777086742376</v>
      </c>
      <c r="P265" s="100">
        <f>'K22'!C259</f>
        <v>3867</v>
      </c>
      <c r="Q265" s="100"/>
      <c r="R265" s="100">
        <f t="shared" si="57"/>
        <v>0</v>
      </c>
      <c r="S265" s="100">
        <v>0</v>
      </c>
      <c r="U265" s="100">
        <v>16282.846333333333</v>
      </c>
      <c r="V265" s="5">
        <f t="shared" si="58"/>
        <v>107767.18091340674</v>
      </c>
      <c r="W265" s="5">
        <f t="shared" si="59"/>
        <v>27868.420200001743</v>
      </c>
    </row>
    <row r="266" spans="1:23" ht="13">
      <c r="A266" s="92">
        <v>4629</v>
      </c>
      <c r="B266" s="93" t="s">
        <v>549</v>
      </c>
      <c r="C266" s="574">
        <v>2.2108968884561788</v>
      </c>
      <c r="D266" s="100">
        <f t="shared" ref="D266:D329" si="60">C266*D$367</f>
        <v>89654.029285244658</v>
      </c>
      <c r="E266" s="100">
        <f t="shared" ref="E266:E329" si="61">D266*P266/1000</f>
        <v>33889.223069822481</v>
      </c>
      <c r="F266" s="100">
        <f t="shared" si="55"/>
        <v>-29459.951168553009</v>
      </c>
      <c r="G266" s="100">
        <f t="shared" ref="G266:G329" si="62">F266*P266/1000</f>
        <v>-11135.861541713037</v>
      </c>
      <c r="H266" s="100">
        <f t="shared" si="56"/>
        <v>0</v>
      </c>
      <c r="I266" s="100">
        <f t="shared" ref="I266:I329" si="63">H266*P266/1000</f>
        <v>0</v>
      </c>
      <c r="J266" s="100">
        <f t="shared" ref="J266:J329" si="64">H266+H$370</f>
        <v>-563.53779667568176</v>
      </c>
      <c r="K266" s="100">
        <f t="shared" ref="K266:K329" si="65">J266*P266/1000</f>
        <v>-213.01728714340771</v>
      </c>
      <c r="L266" s="101">
        <f t="shared" ref="L266:L329" si="66">K266+G266</f>
        <v>-11348.878828856445</v>
      </c>
      <c r="M266" s="100">
        <f t="shared" ref="M266:M329" si="67">K266+E266+G266</f>
        <v>22540.344240966042</v>
      </c>
      <c r="N266" s="102">
        <f t="shared" ref="N266:N329" si="68">M266*1000/P266</f>
        <v>59630.540320015978</v>
      </c>
      <c r="O266" s="94">
        <f t="shared" ref="O266:O329" si="69">N266/N$367</f>
        <v>1.4705080976453322</v>
      </c>
      <c r="P266" s="100">
        <f>'K22'!C260</f>
        <v>378</v>
      </c>
      <c r="Q266" s="100"/>
      <c r="R266" s="100">
        <f t="shared" si="57"/>
        <v>0</v>
      </c>
      <c r="S266" s="100">
        <v>0</v>
      </c>
      <c r="U266" s="100">
        <v>15713.127333333332</v>
      </c>
      <c r="V266" s="5">
        <f t="shared" si="58"/>
        <v>18176.095736489151</v>
      </c>
      <c r="W266" s="5">
        <f t="shared" si="59"/>
        <v>48084.909355791402</v>
      </c>
    </row>
    <row r="267" spans="1:23" ht="13">
      <c r="A267" s="92">
        <v>4630</v>
      </c>
      <c r="B267" s="93" t="s">
        <v>550</v>
      </c>
      <c r="C267" s="574">
        <v>0.78086886848078374</v>
      </c>
      <c r="D267" s="100">
        <f t="shared" si="60"/>
        <v>31664.995671325556</v>
      </c>
      <c r="E267" s="100">
        <f t="shared" si="61"/>
        <v>257468.07980354808</v>
      </c>
      <c r="F267" s="100">
        <f t="shared" ref="F267:F330" si="70">($D$367+$R$367-D267-R267)*0.6</f>
        <v>5333.4689997984506</v>
      </c>
      <c r="G267" s="100">
        <f t="shared" si="62"/>
        <v>43366.436437361204</v>
      </c>
      <c r="H267" s="100">
        <f t="shared" ref="H267:H330" si="71">IF((D267+R267)&lt;(D$367+R$367)*0.9,((D$367+R$367)*0.9-(D267+R267))*0.35,0)</f>
        <v>1691.7963763977932</v>
      </c>
      <c r="I267" s="100">
        <f t="shared" si="63"/>
        <v>13755.996336490456</v>
      </c>
      <c r="J267" s="100">
        <f t="shared" si="64"/>
        <v>1128.2585797221113</v>
      </c>
      <c r="K267" s="100">
        <f t="shared" si="65"/>
        <v>9173.8705117204881</v>
      </c>
      <c r="L267" s="101">
        <f t="shared" si="66"/>
        <v>52540.306949081692</v>
      </c>
      <c r="M267" s="100">
        <f t="shared" si="67"/>
        <v>310008.38675262977</v>
      </c>
      <c r="N267" s="102">
        <f t="shared" si="68"/>
        <v>38126.723250846117</v>
      </c>
      <c r="O267" s="94">
        <f t="shared" si="69"/>
        <v>0.94021712659599044</v>
      </c>
      <c r="P267" s="100">
        <f>'K22'!C261</f>
        <v>8131</v>
      </c>
      <c r="Q267" s="100"/>
      <c r="R267" s="100">
        <f t="shared" ref="R267:R330" si="72">S267*1000/P267</f>
        <v>0</v>
      </c>
      <c r="S267" s="100">
        <v>0</v>
      </c>
      <c r="U267" s="100">
        <v>562.02766666666673</v>
      </c>
      <c r="V267" s="5">
        <f t="shared" ref="V267:V330" si="73">+E267-U267</f>
        <v>256906.05213688142</v>
      </c>
      <c r="W267" s="5">
        <f t="shared" ref="W267:W330" si="74">+V267*1000/P267</f>
        <v>31595.874079065477</v>
      </c>
    </row>
    <row r="268" spans="1:23" ht="13">
      <c r="A268" s="92">
        <v>4631</v>
      </c>
      <c r="B268" s="93" t="s">
        <v>1829</v>
      </c>
      <c r="C268" s="574">
        <v>0.82281296864766607</v>
      </c>
      <c r="D268" s="100">
        <f t="shared" si="60"/>
        <v>33365.869920296413</v>
      </c>
      <c r="E268" s="100">
        <f t="shared" si="61"/>
        <v>987396.18855133175</v>
      </c>
      <c r="F268" s="100">
        <f t="shared" si="70"/>
        <v>4312.9444504159374</v>
      </c>
      <c r="G268" s="100">
        <f t="shared" si="62"/>
        <v>127632.96512115884</v>
      </c>
      <c r="H268" s="100">
        <f t="shared" si="71"/>
        <v>1096.4903892579935</v>
      </c>
      <c r="I268" s="100">
        <f t="shared" si="63"/>
        <v>32448.4400893118</v>
      </c>
      <c r="J268" s="100">
        <f t="shared" si="64"/>
        <v>532.95259258231169</v>
      </c>
      <c r="K268" s="100">
        <f t="shared" si="65"/>
        <v>15771.66607228835</v>
      </c>
      <c r="L268" s="101">
        <f t="shared" si="66"/>
        <v>143404.63119344719</v>
      </c>
      <c r="M268" s="100">
        <f t="shared" si="67"/>
        <v>1130800.8197447788</v>
      </c>
      <c r="N268" s="102">
        <f t="shared" si="68"/>
        <v>38211.766963294656</v>
      </c>
      <c r="O268" s="94">
        <f t="shared" si="69"/>
        <v>0.94231433160433453</v>
      </c>
      <c r="P268" s="100">
        <f>'K22'!C262</f>
        <v>29593</v>
      </c>
      <c r="Q268" s="100"/>
      <c r="R268" s="100">
        <f t="shared" si="72"/>
        <v>0</v>
      </c>
      <c r="S268" s="100">
        <v>0</v>
      </c>
      <c r="U268" s="100">
        <v>86.262333333333345</v>
      </c>
      <c r="V268" s="5">
        <f t="shared" si="73"/>
        <v>987309.92621799838</v>
      </c>
      <c r="W268" s="5">
        <f t="shared" si="74"/>
        <v>33362.954962930366</v>
      </c>
    </row>
    <row r="269" spans="1:23" ht="13">
      <c r="A269" s="92">
        <v>4632</v>
      </c>
      <c r="B269" s="93" t="s">
        <v>552</v>
      </c>
      <c r="C269" s="574">
        <v>1.0155291215045463</v>
      </c>
      <c r="D269" s="100">
        <f t="shared" si="60"/>
        <v>41180.698238244397</v>
      </c>
      <c r="E269" s="100">
        <f t="shared" si="61"/>
        <v>118971.03721028806</v>
      </c>
      <c r="F269" s="100">
        <f t="shared" si="70"/>
        <v>-375.95254035285325</v>
      </c>
      <c r="G269" s="100">
        <f t="shared" si="62"/>
        <v>-1086.1268890793931</v>
      </c>
      <c r="H269" s="100">
        <f t="shared" si="71"/>
        <v>0</v>
      </c>
      <c r="I269" s="100">
        <f t="shared" si="63"/>
        <v>0</v>
      </c>
      <c r="J269" s="100">
        <f t="shared" si="64"/>
        <v>-563.53779667568176</v>
      </c>
      <c r="K269" s="100">
        <f t="shared" si="65"/>
        <v>-1628.0606945960446</v>
      </c>
      <c r="L269" s="101">
        <f t="shared" si="66"/>
        <v>-2714.187583675438</v>
      </c>
      <c r="M269" s="100">
        <f t="shared" si="67"/>
        <v>116256.84962661263</v>
      </c>
      <c r="N269" s="102">
        <f t="shared" si="68"/>
        <v>40241.207901215865</v>
      </c>
      <c r="O269" s="94">
        <f t="shared" si="69"/>
        <v>0.99236099086467899</v>
      </c>
      <c r="P269" s="100">
        <f>'K22'!C263</f>
        <v>2889</v>
      </c>
      <c r="Q269" s="100"/>
      <c r="R269" s="100">
        <f t="shared" si="72"/>
        <v>0</v>
      </c>
      <c r="S269" s="100">
        <v>0</v>
      </c>
      <c r="U269" s="100">
        <v>0</v>
      </c>
      <c r="V269" s="5">
        <f t="shared" si="73"/>
        <v>118971.03721028806</v>
      </c>
      <c r="W269" s="5">
        <f t="shared" si="74"/>
        <v>41180.698238244397</v>
      </c>
    </row>
    <row r="270" spans="1:23" ht="13">
      <c r="A270" s="92">
        <v>4633</v>
      </c>
      <c r="B270" s="93" t="s">
        <v>553</v>
      </c>
      <c r="C270" s="574">
        <v>0.86969237897157226</v>
      </c>
      <c r="D270" s="100">
        <f t="shared" si="60"/>
        <v>35266.875818852495</v>
      </c>
      <c r="E270" s="100">
        <f t="shared" si="61"/>
        <v>17703.971661063955</v>
      </c>
      <c r="F270" s="100">
        <f t="shared" si="70"/>
        <v>3172.3409112822874</v>
      </c>
      <c r="G270" s="100">
        <f t="shared" si="62"/>
        <v>1592.5151374637082</v>
      </c>
      <c r="H270" s="100">
        <f t="shared" si="71"/>
        <v>431.13832476336461</v>
      </c>
      <c r="I270" s="100">
        <f t="shared" si="63"/>
        <v>216.43143903120904</v>
      </c>
      <c r="J270" s="100">
        <f t="shared" si="64"/>
        <v>-132.39947191231715</v>
      </c>
      <c r="K270" s="100">
        <f t="shared" si="65"/>
        <v>-66.464534899983207</v>
      </c>
      <c r="L270" s="101">
        <f t="shared" si="66"/>
        <v>1526.0506025637251</v>
      </c>
      <c r="M270" s="100">
        <f t="shared" si="67"/>
        <v>19230.022263627681</v>
      </c>
      <c r="N270" s="102">
        <f t="shared" si="68"/>
        <v>38306.817258222472</v>
      </c>
      <c r="O270" s="94">
        <f t="shared" si="69"/>
        <v>0.94465830212053015</v>
      </c>
      <c r="P270" s="100">
        <f>'K22'!C264</f>
        <v>502</v>
      </c>
      <c r="Q270" s="100"/>
      <c r="R270" s="100">
        <f t="shared" si="72"/>
        <v>0</v>
      </c>
      <c r="S270" s="100">
        <v>0</v>
      </c>
      <c r="U270" s="100">
        <v>0</v>
      </c>
      <c r="V270" s="5">
        <f t="shared" si="73"/>
        <v>17703.971661063955</v>
      </c>
      <c r="W270" s="5">
        <f t="shared" si="74"/>
        <v>35266.875818852495</v>
      </c>
    </row>
    <row r="271" spans="1:23" ht="13">
      <c r="A271" s="92">
        <v>4634</v>
      </c>
      <c r="B271" s="93" t="s">
        <v>554</v>
      </c>
      <c r="C271" s="574">
        <v>1.0481516330565046</v>
      </c>
      <c r="D271" s="100">
        <f t="shared" si="60"/>
        <v>42503.572959950565</v>
      </c>
      <c r="E271" s="100">
        <f t="shared" si="61"/>
        <v>69238.320351759467</v>
      </c>
      <c r="F271" s="100">
        <f t="shared" si="70"/>
        <v>-1169.6773733765542</v>
      </c>
      <c r="G271" s="100">
        <f t="shared" si="62"/>
        <v>-1905.4044412304067</v>
      </c>
      <c r="H271" s="100">
        <f t="shared" si="71"/>
        <v>0</v>
      </c>
      <c r="I271" s="100">
        <f t="shared" si="63"/>
        <v>0</v>
      </c>
      <c r="J271" s="100">
        <f t="shared" si="64"/>
        <v>-563.53779667568176</v>
      </c>
      <c r="K271" s="100">
        <f t="shared" si="65"/>
        <v>-918.00307078468552</v>
      </c>
      <c r="L271" s="101">
        <f t="shared" si="66"/>
        <v>-2823.4075120150924</v>
      </c>
      <c r="M271" s="100">
        <f t="shared" si="67"/>
        <v>66414.912839744371</v>
      </c>
      <c r="N271" s="102">
        <f t="shared" si="68"/>
        <v>40770.357789898328</v>
      </c>
      <c r="O271" s="94">
        <f t="shared" si="69"/>
        <v>1.0054099954854623</v>
      </c>
      <c r="P271" s="100">
        <f>'K22'!C265</f>
        <v>1629</v>
      </c>
      <c r="Q271" s="100"/>
      <c r="R271" s="100">
        <f t="shared" si="72"/>
        <v>0</v>
      </c>
      <c r="S271" s="100">
        <v>0</v>
      </c>
      <c r="U271" s="100">
        <v>11901.442000000001</v>
      </c>
      <c r="V271" s="5">
        <f t="shared" si="73"/>
        <v>57336.878351759464</v>
      </c>
      <c r="W271" s="5">
        <f t="shared" si="74"/>
        <v>35197.592603903904</v>
      </c>
    </row>
    <row r="272" spans="1:23" ht="13">
      <c r="A272" s="92">
        <v>4635</v>
      </c>
      <c r="B272" s="93" t="s">
        <v>555</v>
      </c>
      <c r="C272" s="574">
        <v>1.0550881978181776</v>
      </c>
      <c r="D272" s="100">
        <f t="shared" si="60"/>
        <v>42784.857439353073</v>
      </c>
      <c r="E272" s="100">
        <f t="shared" si="61"/>
        <v>95410.232089757352</v>
      </c>
      <c r="F272" s="100">
        <f t="shared" si="70"/>
        <v>-1338.4480610180588</v>
      </c>
      <c r="G272" s="100">
        <f t="shared" si="62"/>
        <v>-2984.7391760702712</v>
      </c>
      <c r="H272" s="100">
        <f t="shared" si="71"/>
        <v>0</v>
      </c>
      <c r="I272" s="100">
        <f t="shared" si="63"/>
        <v>0</v>
      </c>
      <c r="J272" s="100">
        <f t="shared" si="64"/>
        <v>-563.53779667568176</v>
      </c>
      <c r="K272" s="100">
        <f t="shared" si="65"/>
        <v>-1256.6892865867703</v>
      </c>
      <c r="L272" s="101">
        <f t="shared" si="66"/>
        <v>-4241.4284626570416</v>
      </c>
      <c r="M272" s="100">
        <f t="shared" si="67"/>
        <v>91168.803627100307</v>
      </c>
      <c r="N272" s="102">
        <f t="shared" si="68"/>
        <v>40882.871581659332</v>
      </c>
      <c r="O272" s="94">
        <f t="shared" si="69"/>
        <v>1.0081846213901315</v>
      </c>
      <c r="P272" s="100">
        <f>'K22'!C266</f>
        <v>2230</v>
      </c>
      <c r="Q272" s="100"/>
      <c r="R272" s="100">
        <f t="shared" si="72"/>
        <v>0</v>
      </c>
      <c r="S272" s="100">
        <v>0</v>
      </c>
      <c r="U272" s="100">
        <v>221.68433333333334</v>
      </c>
      <c r="V272" s="5">
        <f t="shared" si="73"/>
        <v>95188.547756424014</v>
      </c>
      <c r="W272" s="5">
        <f t="shared" si="74"/>
        <v>42685.447424405385</v>
      </c>
    </row>
    <row r="273" spans="1:23" ht="13">
      <c r="A273" s="92">
        <v>4636</v>
      </c>
      <c r="B273" s="93" t="s">
        <v>556</v>
      </c>
      <c r="C273" s="574">
        <v>0.89695742764913611</v>
      </c>
      <c r="D273" s="100">
        <f t="shared" si="60"/>
        <v>36372.500185762168</v>
      </c>
      <c r="E273" s="100">
        <f t="shared" si="61"/>
        <v>27934.080142665345</v>
      </c>
      <c r="F273" s="100">
        <f t="shared" si="70"/>
        <v>2508.9662911364835</v>
      </c>
      <c r="G273" s="100">
        <f t="shared" si="62"/>
        <v>1926.8861115928194</v>
      </c>
      <c r="H273" s="100">
        <f t="shared" si="71"/>
        <v>44.169796344979112</v>
      </c>
      <c r="I273" s="100">
        <f t="shared" si="63"/>
        <v>33.922403592943958</v>
      </c>
      <c r="J273" s="100">
        <f t="shared" si="64"/>
        <v>-519.36800033070267</v>
      </c>
      <c r="K273" s="100">
        <f t="shared" si="65"/>
        <v>-398.87462425397968</v>
      </c>
      <c r="L273" s="101">
        <f t="shared" si="66"/>
        <v>1528.0114873388397</v>
      </c>
      <c r="M273" s="100">
        <f t="shared" si="67"/>
        <v>29462.091630004186</v>
      </c>
      <c r="N273" s="102">
        <f t="shared" si="68"/>
        <v>38362.098476567953</v>
      </c>
      <c r="O273" s="94">
        <f t="shared" si="69"/>
        <v>0.94602155455440828</v>
      </c>
      <c r="P273" s="100">
        <f>'K22'!C267</f>
        <v>768</v>
      </c>
      <c r="Q273" s="100"/>
      <c r="R273" s="100">
        <f t="shared" si="72"/>
        <v>0</v>
      </c>
      <c r="S273" s="100">
        <v>0</v>
      </c>
      <c r="U273" s="100">
        <v>0</v>
      </c>
      <c r="V273" s="5">
        <f t="shared" si="73"/>
        <v>27934.080142665345</v>
      </c>
      <c r="W273" s="5">
        <f t="shared" si="74"/>
        <v>36372.500185762168</v>
      </c>
    </row>
    <row r="274" spans="1:23" ht="13">
      <c r="A274" s="92">
        <v>4637</v>
      </c>
      <c r="B274" s="93" t="s">
        <v>557</v>
      </c>
      <c r="C274" s="574">
        <v>0.92683716050856102</v>
      </c>
      <c r="D274" s="100">
        <f t="shared" si="60"/>
        <v>37584.152551280102</v>
      </c>
      <c r="E274" s="100">
        <f t="shared" si="61"/>
        <v>48483.556791151328</v>
      </c>
      <c r="F274" s="100">
        <f t="shared" si="70"/>
        <v>1781.9748718257235</v>
      </c>
      <c r="G274" s="100">
        <f t="shared" si="62"/>
        <v>2298.7475846551833</v>
      </c>
      <c r="H274" s="100">
        <f t="shared" si="71"/>
        <v>0</v>
      </c>
      <c r="I274" s="100">
        <f t="shared" si="63"/>
        <v>0</v>
      </c>
      <c r="J274" s="100">
        <f t="shared" si="64"/>
        <v>-563.53779667568176</v>
      </c>
      <c r="K274" s="100">
        <f t="shared" si="65"/>
        <v>-726.96375771162946</v>
      </c>
      <c r="L274" s="101">
        <f t="shared" si="66"/>
        <v>1571.7838269435538</v>
      </c>
      <c r="M274" s="100">
        <f t="shared" si="67"/>
        <v>50055.34061809488</v>
      </c>
      <c r="N274" s="102">
        <f t="shared" si="68"/>
        <v>38802.589626430141</v>
      </c>
      <c r="O274" s="94">
        <f t="shared" si="69"/>
        <v>0.95688420646628469</v>
      </c>
      <c r="P274" s="100">
        <f>'K22'!C268</f>
        <v>1290</v>
      </c>
      <c r="Q274" s="100"/>
      <c r="R274" s="100">
        <f t="shared" si="72"/>
        <v>0</v>
      </c>
      <c r="S274" s="100">
        <v>0</v>
      </c>
      <c r="U274" s="100">
        <v>405.21599999999995</v>
      </c>
      <c r="V274" s="5">
        <f t="shared" si="73"/>
        <v>48078.340791151328</v>
      </c>
      <c r="W274" s="5">
        <f t="shared" si="74"/>
        <v>37270.031621047543</v>
      </c>
    </row>
    <row r="275" spans="1:23" ht="13">
      <c r="A275" s="92">
        <v>4638</v>
      </c>
      <c r="B275" s="93" t="s">
        <v>558</v>
      </c>
      <c r="C275" s="574">
        <v>0.91253362487143919</v>
      </c>
      <c r="D275" s="100">
        <f t="shared" si="60"/>
        <v>37004.130203974477</v>
      </c>
      <c r="E275" s="100">
        <f t="shared" si="61"/>
        <v>146721.3762587588</v>
      </c>
      <c r="F275" s="100">
        <f t="shared" si="70"/>
        <v>2129.9882802090983</v>
      </c>
      <c r="G275" s="100">
        <f t="shared" si="62"/>
        <v>8445.4035310290747</v>
      </c>
      <c r="H275" s="100">
        <f t="shared" si="71"/>
        <v>0</v>
      </c>
      <c r="I275" s="100">
        <f t="shared" si="63"/>
        <v>0</v>
      </c>
      <c r="J275" s="100">
        <f t="shared" si="64"/>
        <v>-563.53779667568176</v>
      </c>
      <c r="K275" s="100">
        <f t="shared" si="65"/>
        <v>-2234.427363819078</v>
      </c>
      <c r="L275" s="101">
        <f t="shared" si="66"/>
        <v>6210.9761672099967</v>
      </c>
      <c r="M275" s="100">
        <f t="shared" si="67"/>
        <v>152932.3524259688</v>
      </c>
      <c r="N275" s="102">
        <f t="shared" si="68"/>
        <v>38570.580687507892</v>
      </c>
      <c r="O275" s="94">
        <f t="shared" si="69"/>
        <v>0.95116279221143607</v>
      </c>
      <c r="P275" s="100">
        <f>'K22'!C269</f>
        <v>3965</v>
      </c>
      <c r="Q275" s="100"/>
      <c r="R275" s="100">
        <f t="shared" si="72"/>
        <v>0</v>
      </c>
      <c r="S275" s="100">
        <v>0</v>
      </c>
      <c r="U275" s="100">
        <v>15752.386333333334</v>
      </c>
      <c r="V275" s="5">
        <f t="shared" si="73"/>
        <v>130968.98992542547</v>
      </c>
      <c r="W275" s="5">
        <f t="shared" si="74"/>
        <v>33031.271103512096</v>
      </c>
    </row>
    <row r="276" spans="1:23" ht="13">
      <c r="A276" s="92">
        <v>4639</v>
      </c>
      <c r="B276" s="93" t="s">
        <v>559</v>
      </c>
      <c r="C276" s="574">
        <v>0.95218865968737376</v>
      </c>
      <c r="D276" s="100">
        <f t="shared" si="60"/>
        <v>38612.180616120895</v>
      </c>
      <c r="E276" s="100">
        <f t="shared" si="61"/>
        <v>98847.182377269492</v>
      </c>
      <c r="F276" s="100">
        <f t="shared" si="70"/>
        <v>1165.1580329212477</v>
      </c>
      <c r="G276" s="100">
        <f t="shared" si="62"/>
        <v>2982.8045642783941</v>
      </c>
      <c r="H276" s="100">
        <f t="shared" si="71"/>
        <v>0</v>
      </c>
      <c r="I276" s="100">
        <f t="shared" si="63"/>
        <v>0</v>
      </c>
      <c r="J276" s="100">
        <f t="shared" si="64"/>
        <v>-563.53779667568176</v>
      </c>
      <c r="K276" s="100">
        <f t="shared" si="65"/>
        <v>-1442.6567594897454</v>
      </c>
      <c r="L276" s="101">
        <f t="shared" si="66"/>
        <v>1540.1478047886487</v>
      </c>
      <c r="M276" s="100">
        <f t="shared" si="67"/>
        <v>100387.33018205814</v>
      </c>
      <c r="N276" s="102">
        <f t="shared" si="68"/>
        <v>39213.800852366461</v>
      </c>
      <c r="O276" s="94">
        <f t="shared" si="69"/>
        <v>0.96702480613780994</v>
      </c>
      <c r="P276" s="100">
        <f>'K22'!C270</f>
        <v>2560</v>
      </c>
      <c r="Q276" s="100"/>
      <c r="R276" s="100">
        <f t="shared" si="72"/>
        <v>0</v>
      </c>
      <c r="S276" s="100">
        <v>0</v>
      </c>
      <c r="U276" s="100">
        <v>11108.514666666668</v>
      </c>
      <c r="V276" s="5">
        <f t="shared" si="73"/>
        <v>87738.667710602822</v>
      </c>
      <c r="W276" s="5">
        <f t="shared" si="74"/>
        <v>34272.917074454228</v>
      </c>
    </row>
    <row r="277" spans="1:23" ht="13">
      <c r="A277" s="92">
        <v>4640</v>
      </c>
      <c r="B277" s="93" t="s">
        <v>560</v>
      </c>
      <c r="C277" s="574">
        <v>0.83606229200965954</v>
      </c>
      <c r="D277" s="100">
        <f t="shared" si="60"/>
        <v>33903.142929683694</v>
      </c>
      <c r="E277" s="100">
        <f t="shared" si="61"/>
        <v>410126.32002038363</v>
      </c>
      <c r="F277" s="100">
        <f t="shared" si="70"/>
        <v>3990.580644783568</v>
      </c>
      <c r="G277" s="100">
        <f t="shared" si="62"/>
        <v>48274.054059946822</v>
      </c>
      <c r="H277" s="100">
        <f t="shared" si="71"/>
        <v>908.44483597244505</v>
      </c>
      <c r="I277" s="100">
        <f t="shared" si="63"/>
        <v>10989.457180758669</v>
      </c>
      <c r="J277" s="100">
        <f t="shared" si="64"/>
        <v>344.90703929676329</v>
      </c>
      <c r="K277" s="100">
        <f t="shared" si="65"/>
        <v>4172.3404543729457</v>
      </c>
      <c r="L277" s="101">
        <f t="shared" si="66"/>
        <v>52446.394514319771</v>
      </c>
      <c r="M277" s="100">
        <f t="shared" si="67"/>
        <v>462572.71453470341</v>
      </c>
      <c r="N277" s="102">
        <f t="shared" si="68"/>
        <v>38238.630613764028</v>
      </c>
      <c r="O277" s="94">
        <f t="shared" si="69"/>
        <v>0.94297679777243437</v>
      </c>
      <c r="P277" s="100">
        <f>'K22'!C271</f>
        <v>12097</v>
      </c>
      <c r="Q277" s="100"/>
      <c r="R277" s="100">
        <f t="shared" si="72"/>
        <v>0</v>
      </c>
      <c r="S277" s="100">
        <v>0</v>
      </c>
      <c r="U277" s="100">
        <v>5898.7366666666667</v>
      </c>
      <c r="V277" s="5">
        <f t="shared" si="73"/>
        <v>404227.58335371694</v>
      </c>
      <c r="W277" s="5">
        <f t="shared" si="74"/>
        <v>33415.523134142095</v>
      </c>
    </row>
    <row r="278" spans="1:23" ht="13">
      <c r="A278" s="92">
        <v>4641</v>
      </c>
      <c r="B278" s="93" t="s">
        <v>561</v>
      </c>
      <c r="C278" s="574">
        <v>1.3386210077476648</v>
      </c>
      <c r="D278" s="100">
        <f t="shared" si="60"/>
        <v>54282.389946396441</v>
      </c>
      <c r="E278" s="100">
        <f t="shared" si="61"/>
        <v>95862.700645336125</v>
      </c>
      <c r="F278" s="100">
        <f t="shared" si="70"/>
        <v>-8236.9675652440801</v>
      </c>
      <c r="G278" s="100">
        <f t="shared" si="62"/>
        <v>-14546.484720221046</v>
      </c>
      <c r="H278" s="100">
        <f t="shared" si="71"/>
        <v>0</v>
      </c>
      <c r="I278" s="100">
        <f t="shared" si="63"/>
        <v>0</v>
      </c>
      <c r="J278" s="100">
        <f t="shared" si="64"/>
        <v>-563.53779667568176</v>
      </c>
      <c r="K278" s="100">
        <f t="shared" si="65"/>
        <v>-995.20774892925397</v>
      </c>
      <c r="L278" s="101">
        <f t="shared" si="66"/>
        <v>-15541.692469150299</v>
      </c>
      <c r="M278" s="100">
        <f t="shared" si="67"/>
        <v>80321.008176185816</v>
      </c>
      <c r="N278" s="102">
        <f t="shared" si="68"/>
        <v>45481.884584476677</v>
      </c>
      <c r="O278" s="94">
        <f t="shared" si="69"/>
        <v>1.1215977453619261</v>
      </c>
      <c r="P278" s="100">
        <f>'K22'!C272</f>
        <v>1766</v>
      </c>
      <c r="Q278" s="100"/>
      <c r="R278" s="100">
        <f t="shared" si="72"/>
        <v>0</v>
      </c>
      <c r="S278" s="100">
        <v>0</v>
      </c>
      <c r="U278" s="100">
        <v>31774.093333333334</v>
      </c>
      <c r="V278" s="5">
        <f t="shared" si="73"/>
        <v>64088.607312002787</v>
      </c>
      <c r="W278" s="5">
        <f t="shared" si="74"/>
        <v>36290.264616083121</v>
      </c>
    </row>
    <row r="279" spans="1:23" ht="13">
      <c r="A279" s="92">
        <v>4642</v>
      </c>
      <c r="B279" s="93" t="s">
        <v>562</v>
      </c>
      <c r="C279" s="574">
        <v>1.0144197944365609</v>
      </c>
      <c r="D279" s="100">
        <f t="shared" si="60"/>
        <v>41135.713941618276</v>
      </c>
      <c r="E279" s="100">
        <f t="shared" si="61"/>
        <v>87084.306414405903</v>
      </c>
      <c r="F279" s="100">
        <f t="shared" si="70"/>
        <v>-348.96196237718101</v>
      </c>
      <c r="G279" s="100">
        <f t="shared" si="62"/>
        <v>-738.7524743524923</v>
      </c>
      <c r="H279" s="100">
        <f t="shared" si="71"/>
        <v>0</v>
      </c>
      <c r="I279" s="100">
        <f t="shared" si="63"/>
        <v>0</v>
      </c>
      <c r="J279" s="100">
        <f t="shared" si="64"/>
        <v>-563.53779667568176</v>
      </c>
      <c r="K279" s="100">
        <f t="shared" si="65"/>
        <v>-1193.0095155624183</v>
      </c>
      <c r="L279" s="101">
        <f t="shared" si="66"/>
        <v>-1931.7619899149106</v>
      </c>
      <c r="M279" s="100">
        <f t="shared" si="67"/>
        <v>85152.544424490989</v>
      </c>
      <c r="N279" s="102">
        <f t="shared" si="68"/>
        <v>40223.214182565418</v>
      </c>
      <c r="O279" s="94">
        <f t="shared" si="69"/>
        <v>0.99191726003748493</v>
      </c>
      <c r="P279" s="100">
        <f>'K22'!C273</f>
        <v>2117</v>
      </c>
      <c r="Q279" s="100"/>
      <c r="R279" s="100">
        <f t="shared" si="72"/>
        <v>0</v>
      </c>
      <c r="S279" s="100">
        <v>0</v>
      </c>
      <c r="U279" s="100">
        <v>13704.223333333333</v>
      </c>
      <c r="V279" s="5">
        <f t="shared" si="73"/>
        <v>73380.083081072575</v>
      </c>
      <c r="W279" s="5">
        <f t="shared" si="74"/>
        <v>34662.297156859975</v>
      </c>
    </row>
    <row r="280" spans="1:23" ht="13">
      <c r="A280" s="92">
        <v>4643</v>
      </c>
      <c r="B280" s="93" t="s">
        <v>563</v>
      </c>
      <c r="C280" s="574">
        <v>1.0169701451814808</v>
      </c>
      <c r="D280" s="100">
        <f t="shared" si="60"/>
        <v>41239.133156492811</v>
      </c>
      <c r="E280" s="100">
        <f t="shared" si="61"/>
        <v>214608.44894638861</v>
      </c>
      <c r="F280" s="100">
        <f t="shared" si="70"/>
        <v>-411.01349130190209</v>
      </c>
      <c r="G280" s="100">
        <f t="shared" si="62"/>
        <v>-2138.9142087350988</v>
      </c>
      <c r="H280" s="100">
        <f t="shared" si="71"/>
        <v>0</v>
      </c>
      <c r="I280" s="100">
        <f t="shared" si="63"/>
        <v>0</v>
      </c>
      <c r="J280" s="100">
        <f t="shared" si="64"/>
        <v>-563.53779667568176</v>
      </c>
      <c r="K280" s="100">
        <f t="shared" si="65"/>
        <v>-2932.6506939002479</v>
      </c>
      <c r="L280" s="101">
        <f t="shared" si="66"/>
        <v>-5071.5649026353467</v>
      </c>
      <c r="M280" s="100">
        <f t="shared" si="67"/>
        <v>209536.88404375326</v>
      </c>
      <c r="N280" s="102">
        <f t="shared" si="68"/>
        <v>40264.581868515234</v>
      </c>
      <c r="O280" s="94">
        <f t="shared" si="69"/>
        <v>0.99293740033545286</v>
      </c>
      <c r="P280" s="100">
        <f>'K22'!C274</f>
        <v>5204</v>
      </c>
      <c r="Q280" s="100"/>
      <c r="R280" s="100">
        <f t="shared" si="72"/>
        <v>0</v>
      </c>
      <c r="S280" s="100">
        <v>0</v>
      </c>
      <c r="U280" s="100">
        <v>21798.406333333332</v>
      </c>
      <c r="V280" s="5">
        <f t="shared" si="73"/>
        <v>192810.04261305527</v>
      </c>
      <c r="W280" s="5">
        <f t="shared" si="74"/>
        <v>37050.354076298092</v>
      </c>
    </row>
    <row r="281" spans="1:23" ht="13">
      <c r="A281" s="92">
        <v>4644</v>
      </c>
      <c r="B281" s="93" t="s">
        <v>564</v>
      </c>
      <c r="C281" s="574">
        <v>0.89669618345179425</v>
      </c>
      <c r="D281" s="100">
        <f t="shared" si="60"/>
        <v>36361.906478275683</v>
      </c>
      <c r="E281" s="100">
        <f t="shared" si="61"/>
        <v>190754.56138503423</v>
      </c>
      <c r="F281" s="100">
        <f t="shared" si="70"/>
        <v>2515.3225156283747</v>
      </c>
      <c r="G281" s="100">
        <f t="shared" si="62"/>
        <v>13195.381916986455</v>
      </c>
      <c r="H281" s="100">
        <f t="shared" si="71"/>
        <v>47.877593965248884</v>
      </c>
      <c r="I281" s="100">
        <f t="shared" si="63"/>
        <v>251.16585794169563</v>
      </c>
      <c r="J281" s="100">
        <f t="shared" si="64"/>
        <v>-515.66020271043283</v>
      </c>
      <c r="K281" s="100">
        <f t="shared" si="65"/>
        <v>-2705.1534234189307</v>
      </c>
      <c r="L281" s="101">
        <f t="shared" si="66"/>
        <v>10490.228493567523</v>
      </c>
      <c r="M281" s="100">
        <f t="shared" si="67"/>
        <v>201244.78987860176</v>
      </c>
      <c r="N281" s="102">
        <f t="shared" si="68"/>
        <v>38361.568791193626</v>
      </c>
      <c r="O281" s="94">
        <f t="shared" si="69"/>
        <v>0.9460084923445411</v>
      </c>
      <c r="P281" s="100">
        <f>'K22'!C275</f>
        <v>5246</v>
      </c>
      <c r="Q281" s="100"/>
      <c r="R281" s="100">
        <f t="shared" si="72"/>
        <v>0</v>
      </c>
      <c r="S281" s="100">
        <v>0</v>
      </c>
      <c r="U281" s="100">
        <v>34389.780666666666</v>
      </c>
      <c r="V281" s="5">
        <f t="shared" si="73"/>
        <v>156364.78071836758</v>
      </c>
      <c r="W281" s="5">
        <f t="shared" si="74"/>
        <v>29806.477452986575</v>
      </c>
    </row>
    <row r="282" spans="1:23" ht="13">
      <c r="A282" s="92">
        <v>4645</v>
      </c>
      <c r="B282" s="93" t="s">
        <v>565</v>
      </c>
      <c r="C282" s="574">
        <v>0.89404776505571881</v>
      </c>
      <c r="D282" s="100">
        <f t="shared" si="60"/>
        <v>36254.510524316414</v>
      </c>
      <c r="E282" s="100">
        <f t="shared" si="61"/>
        <v>106987.06055725775</v>
      </c>
      <c r="F282" s="100">
        <f t="shared" si="70"/>
        <v>2579.7600880039358</v>
      </c>
      <c r="G282" s="100">
        <f t="shared" si="62"/>
        <v>7612.8720196996146</v>
      </c>
      <c r="H282" s="100">
        <f t="shared" si="71"/>
        <v>85.466177850992963</v>
      </c>
      <c r="I282" s="100">
        <f t="shared" si="63"/>
        <v>252.21069083828021</v>
      </c>
      <c r="J282" s="100">
        <f t="shared" si="64"/>
        <v>-478.07161882468881</v>
      </c>
      <c r="K282" s="100">
        <f t="shared" si="65"/>
        <v>-1410.7893471516566</v>
      </c>
      <c r="L282" s="101">
        <f t="shared" si="66"/>
        <v>6202.0826725479583</v>
      </c>
      <c r="M282" s="100">
        <f t="shared" si="67"/>
        <v>113189.1432298057</v>
      </c>
      <c r="N282" s="102">
        <f t="shared" si="68"/>
        <v>38356.198993495665</v>
      </c>
      <c r="O282" s="94">
        <f t="shared" si="69"/>
        <v>0.9458760714247374</v>
      </c>
      <c r="P282" s="100">
        <f>'K22'!C276</f>
        <v>2951</v>
      </c>
      <c r="Q282" s="100"/>
      <c r="R282" s="100">
        <f t="shared" si="72"/>
        <v>0</v>
      </c>
      <c r="S282" s="100">
        <v>0</v>
      </c>
      <c r="U282" s="100">
        <v>0</v>
      </c>
      <c r="V282" s="5">
        <f t="shared" si="73"/>
        <v>106987.06055725775</v>
      </c>
      <c r="W282" s="5">
        <f t="shared" si="74"/>
        <v>36254.510524316414</v>
      </c>
    </row>
    <row r="283" spans="1:23" ht="13">
      <c r="A283" s="92">
        <v>4646</v>
      </c>
      <c r="B283" s="93" t="s">
        <v>566</v>
      </c>
      <c r="C283" s="574">
        <v>0.93045602071458899</v>
      </c>
      <c r="D283" s="100">
        <f t="shared" si="60"/>
        <v>37730.900868935474</v>
      </c>
      <c r="E283" s="100">
        <f t="shared" si="61"/>
        <v>109457.34342078181</v>
      </c>
      <c r="F283" s="100">
        <f t="shared" si="70"/>
        <v>1693.9258812325002</v>
      </c>
      <c r="G283" s="100">
        <f t="shared" si="62"/>
        <v>4914.0789814554828</v>
      </c>
      <c r="H283" s="100">
        <f t="shared" si="71"/>
        <v>0</v>
      </c>
      <c r="I283" s="100">
        <f t="shared" si="63"/>
        <v>0</v>
      </c>
      <c r="J283" s="100">
        <f t="shared" si="64"/>
        <v>-563.53779667568176</v>
      </c>
      <c r="K283" s="100">
        <f t="shared" si="65"/>
        <v>-1634.8231481561529</v>
      </c>
      <c r="L283" s="101">
        <f t="shared" si="66"/>
        <v>3279.2558332993299</v>
      </c>
      <c r="M283" s="100">
        <f t="shared" si="67"/>
        <v>112736.59925408114</v>
      </c>
      <c r="N283" s="102">
        <f t="shared" si="68"/>
        <v>38861.288953492294</v>
      </c>
      <c r="O283" s="94">
        <f t="shared" si="69"/>
        <v>0.95833175054869602</v>
      </c>
      <c r="P283" s="100">
        <f>'K22'!C277</f>
        <v>2901</v>
      </c>
      <c r="Q283" s="100"/>
      <c r="R283" s="100">
        <f t="shared" si="72"/>
        <v>0</v>
      </c>
      <c r="S283" s="100">
        <v>0</v>
      </c>
      <c r="U283" s="100">
        <v>0</v>
      </c>
      <c r="V283" s="5">
        <f t="shared" si="73"/>
        <v>109457.34342078181</v>
      </c>
      <c r="W283" s="5">
        <f t="shared" si="74"/>
        <v>37730.900868935474</v>
      </c>
    </row>
    <row r="284" spans="1:23" ht="13">
      <c r="A284" s="92">
        <v>4647</v>
      </c>
      <c r="B284" s="93" t="s">
        <v>1830</v>
      </c>
      <c r="C284" s="574">
        <v>0.90604144951347432</v>
      </c>
      <c r="D284" s="100">
        <f t="shared" si="60"/>
        <v>36740.866149143607</v>
      </c>
      <c r="E284" s="100">
        <f t="shared" si="61"/>
        <v>812560.99575445999</v>
      </c>
      <c r="F284" s="100">
        <f t="shared" si="70"/>
        <v>2287.9467131076203</v>
      </c>
      <c r="G284" s="100">
        <f t="shared" si="62"/>
        <v>50600.22950708813</v>
      </c>
      <c r="H284" s="100">
        <f t="shared" si="71"/>
        <v>0</v>
      </c>
      <c r="I284" s="100">
        <f t="shared" si="63"/>
        <v>0</v>
      </c>
      <c r="J284" s="100">
        <f t="shared" si="64"/>
        <v>-563.53779667568176</v>
      </c>
      <c r="K284" s="100">
        <f t="shared" si="65"/>
        <v>-12463.201911279379</v>
      </c>
      <c r="L284" s="101">
        <f t="shared" si="66"/>
        <v>38137.027595808751</v>
      </c>
      <c r="M284" s="100">
        <f t="shared" si="67"/>
        <v>850698.02335026872</v>
      </c>
      <c r="N284" s="102">
        <f t="shared" si="68"/>
        <v>38465.275065575544</v>
      </c>
      <c r="O284" s="94">
        <f t="shared" si="69"/>
        <v>0.94856592206825008</v>
      </c>
      <c r="P284" s="100">
        <f>'K22'!C278</f>
        <v>22116</v>
      </c>
      <c r="Q284" s="100"/>
      <c r="R284" s="100">
        <f t="shared" si="72"/>
        <v>0</v>
      </c>
      <c r="S284" s="100">
        <v>0</v>
      </c>
      <c r="U284" s="100">
        <v>4952.2340000000004</v>
      </c>
      <c r="V284" s="5">
        <f t="shared" si="73"/>
        <v>807608.76175445993</v>
      </c>
      <c r="W284" s="5">
        <f t="shared" si="74"/>
        <v>36516.945277376559</v>
      </c>
    </row>
    <row r="285" spans="1:23" ht="13">
      <c r="A285" s="92">
        <v>4648</v>
      </c>
      <c r="B285" s="93" t="s">
        <v>567</v>
      </c>
      <c r="C285" s="574">
        <v>0.90511301031348645</v>
      </c>
      <c r="D285" s="100">
        <f t="shared" si="60"/>
        <v>36703.217032325949</v>
      </c>
      <c r="E285" s="100">
        <f t="shared" si="61"/>
        <v>129232.02717081967</v>
      </c>
      <c r="F285" s="100">
        <f t="shared" si="70"/>
        <v>2310.5361831982154</v>
      </c>
      <c r="G285" s="100">
        <f t="shared" si="62"/>
        <v>8135.3979010409166</v>
      </c>
      <c r="H285" s="100">
        <f t="shared" si="71"/>
        <v>0</v>
      </c>
      <c r="I285" s="100">
        <f t="shared" si="63"/>
        <v>0</v>
      </c>
      <c r="J285" s="100">
        <f t="shared" si="64"/>
        <v>-563.53779667568176</v>
      </c>
      <c r="K285" s="100">
        <f t="shared" si="65"/>
        <v>-1984.2165820950754</v>
      </c>
      <c r="L285" s="101">
        <f t="shared" si="66"/>
        <v>6151.1813189458408</v>
      </c>
      <c r="M285" s="100">
        <f t="shared" si="67"/>
        <v>135383.2084897655</v>
      </c>
      <c r="N285" s="102">
        <f t="shared" si="68"/>
        <v>38450.215418848478</v>
      </c>
      <c r="O285" s="94">
        <f t="shared" si="69"/>
        <v>0.94819454638825484</v>
      </c>
      <c r="P285" s="100">
        <f>'K22'!C279</f>
        <v>3521</v>
      </c>
      <c r="Q285" s="100"/>
      <c r="R285" s="100">
        <f t="shared" si="72"/>
        <v>0</v>
      </c>
      <c r="S285" s="100">
        <v>0</v>
      </c>
      <c r="U285" s="100">
        <v>14878.842333333334</v>
      </c>
      <c r="V285" s="5">
        <f t="shared" si="73"/>
        <v>114353.18483748633</v>
      </c>
      <c r="W285" s="5">
        <f t="shared" si="74"/>
        <v>32477.473682898701</v>
      </c>
    </row>
    <row r="286" spans="1:23" ht="13">
      <c r="A286" s="92">
        <v>4649</v>
      </c>
      <c r="B286" s="93" t="s">
        <v>1831</v>
      </c>
      <c r="C286" s="574">
        <v>0.79180078701568535</v>
      </c>
      <c r="D286" s="100">
        <f t="shared" si="60"/>
        <v>32108.295650437813</v>
      </c>
      <c r="E286" s="100">
        <f t="shared" si="61"/>
        <v>305895.73266172106</v>
      </c>
      <c r="F286" s="100">
        <f t="shared" si="70"/>
        <v>5067.489012331097</v>
      </c>
      <c r="G286" s="100">
        <f t="shared" si="62"/>
        <v>48277.967820478363</v>
      </c>
      <c r="H286" s="100">
        <f t="shared" si="71"/>
        <v>1536.6413837085036</v>
      </c>
      <c r="I286" s="100">
        <f t="shared" si="63"/>
        <v>14639.582462590914</v>
      </c>
      <c r="J286" s="100">
        <f t="shared" si="64"/>
        <v>973.10358703282179</v>
      </c>
      <c r="K286" s="100">
        <f t="shared" si="65"/>
        <v>9270.7578736616924</v>
      </c>
      <c r="L286" s="101">
        <f t="shared" si="66"/>
        <v>57548.725694140056</v>
      </c>
      <c r="M286" s="100">
        <f t="shared" si="67"/>
        <v>363444.45835586113</v>
      </c>
      <c r="N286" s="102">
        <f t="shared" si="68"/>
        <v>38148.888249801734</v>
      </c>
      <c r="O286" s="94">
        <f t="shared" si="69"/>
        <v>0.94076372252273566</v>
      </c>
      <c r="P286" s="100">
        <f>'K22'!C280</f>
        <v>9527</v>
      </c>
      <c r="Q286" s="100"/>
      <c r="R286" s="100">
        <f t="shared" si="72"/>
        <v>0</v>
      </c>
      <c r="S286" s="100">
        <v>0</v>
      </c>
      <c r="U286" s="100">
        <v>46.115000000000002</v>
      </c>
      <c r="V286" s="5">
        <f t="shared" si="73"/>
        <v>305849.61766172107</v>
      </c>
      <c r="W286" s="5">
        <f t="shared" si="74"/>
        <v>32103.455196989718</v>
      </c>
    </row>
    <row r="287" spans="1:23" ht="13">
      <c r="A287" s="92">
        <v>4650</v>
      </c>
      <c r="B287" s="93" t="s">
        <v>568</v>
      </c>
      <c r="C287" s="574">
        <v>0.79485120329386127</v>
      </c>
      <c r="D287" s="100">
        <f t="shared" si="60"/>
        <v>32231.993011343115</v>
      </c>
      <c r="E287" s="100">
        <f t="shared" si="61"/>
        <v>189362.9589416408</v>
      </c>
      <c r="F287" s="100">
        <f t="shared" si="70"/>
        <v>4993.2705957879161</v>
      </c>
      <c r="G287" s="100">
        <f t="shared" si="62"/>
        <v>29335.46475025401</v>
      </c>
      <c r="H287" s="100">
        <f t="shared" si="71"/>
        <v>1493.3473073916477</v>
      </c>
      <c r="I287" s="100">
        <f t="shared" si="63"/>
        <v>8773.4154309259302</v>
      </c>
      <c r="J287" s="100">
        <f t="shared" si="64"/>
        <v>929.80951071596598</v>
      </c>
      <c r="K287" s="100">
        <f t="shared" si="65"/>
        <v>5462.6308754563006</v>
      </c>
      <c r="L287" s="101">
        <f t="shared" si="66"/>
        <v>34798.09562571031</v>
      </c>
      <c r="M287" s="100">
        <f t="shared" si="67"/>
        <v>224161.05456735109</v>
      </c>
      <c r="N287" s="102">
        <f t="shared" si="68"/>
        <v>38155.073117846994</v>
      </c>
      <c r="O287" s="94">
        <f t="shared" si="69"/>
        <v>0.94091624333664436</v>
      </c>
      <c r="P287" s="100">
        <f>'K22'!C281</f>
        <v>5875</v>
      </c>
      <c r="Q287" s="100"/>
      <c r="R287" s="100">
        <f t="shared" si="72"/>
        <v>0</v>
      </c>
      <c r="S287" s="100">
        <v>0</v>
      </c>
      <c r="U287" s="100">
        <v>497.01600000000002</v>
      </c>
      <c r="V287" s="5">
        <f t="shared" si="73"/>
        <v>188865.94294164079</v>
      </c>
      <c r="W287" s="5">
        <f t="shared" si="74"/>
        <v>32147.394543258008</v>
      </c>
    </row>
    <row r="288" spans="1:23" ht="13">
      <c r="A288" s="92">
        <v>4651</v>
      </c>
      <c r="B288" s="93" t="s">
        <v>569</v>
      </c>
      <c r="C288" s="574">
        <v>0.85475745201215236</v>
      </c>
      <c r="D288" s="100">
        <f t="shared" si="60"/>
        <v>34661.249936440676</v>
      </c>
      <c r="E288" s="100">
        <f t="shared" si="61"/>
        <v>249803.62829192798</v>
      </c>
      <c r="F288" s="100">
        <f t="shared" si="70"/>
        <v>3535.716440729379</v>
      </c>
      <c r="G288" s="100">
        <f t="shared" si="62"/>
        <v>25481.908388336637</v>
      </c>
      <c r="H288" s="100">
        <f t="shared" si="71"/>
        <v>643.10738360750145</v>
      </c>
      <c r="I288" s="100">
        <f t="shared" si="63"/>
        <v>4634.8749136592623</v>
      </c>
      <c r="J288" s="100">
        <f t="shared" si="64"/>
        <v>79.569586931819686</v>
      </c>
      <c r="K288" s="100">
        <f t="shared" si="65"/>
        <v>573.45801301762447</v>
      </c>
      <c r="L288" s="101">
        <f t="shared" si="66"/>
        <v>26055.366401354262</v>
      </c>
      <c r="M288" s="100">
        <f t="shared" si="67"/>
        <v>275858.99469328223</v>
      </c>
      <c r="N288" s="102">
        <f t="shared" si="68"/>
        <v>38276.53596410188</v>
      </c>
      <c r="O288" s="94">
        <f t="shared" si="69"/>
        <v>0.94391155577255914</v>
      </c>
      <c r="P288" s="100">
        <f>'K22'!C282</f>
        <v>7207</v>
      </c>
      <c r="Q288" s="100"/>
      <c r="R288" s="100">
        <f t="shared" si="72"/>
        <v>0</v>
      </c>
      <c r="S288" s="100">
        <v>0</v>
      </c>
      <c r="U288" s="100">
        <v>482.80166666666668</v>
      </c>
      <c r="V288" s="5">
        <f t="shared" si="73"/>
        <v>249320.82662526131</v>
      </c>
      <c r="W288" s="5">
        <f t="shared" si="74"/>
        <v>34594.259279209284</v>
      </c>
    </row>
    <row r="289" spans="1:23" ht="13">
      <c r="A289" s="92">
        <v>5001</v>
      </c>
      <c r="B289" s="93" t="s">
        <v>592</v>
      </c>
      <c r="C289" s="574">
        <v>0.98540102779483874</v>
      </c>
      <c r="D289" s="100">
        <f t="shared" si="60"/>
        <v>39958.974597552653</v>
      </c>
      <c r="E289" s="100">
        <f t="shared" si="61"/>
        <v>8411204.3168864436</v>
      </c>
      <c r="F289" s="100">
        <f t="shared" si="70"/>
        <v>357.08164406219294</v>
      </c>
      <c r="G289" s="100">
        <f t="shared" si="62"/>
        <v>75164.257748515374</v>
      </c>
      <c r="H289" s="100">
        <f t="shared" si="71"/>
        <v>0</v>
      </c>
      <c r="I289" s="100">
        <f t="shared" si="63"/>
        <v>0</v>
      </c>
      <c r="J289" s="100">
        <f t="shared" si="64"/>
        <v>-563.53779667568176</v>
      </c>
      <c r="K289" s="100">
        <f t="shared" si="65"/>
        <v>-118622.45204904431</v>
      </c>
      <c r="L289" s="101">
        <f t="shared" si="66"/>
        <v>-43458.194300528936</v>
      </c>
      <c r="M289" s="100">
        <f t="shared" si="67"/>
        <v>8367746.122585915</v>
      </c>
      <c r="N289" s="102">
        <f t="shared" si="68"/>
        <v>39752.518444939167</v>
      </c>
      <c r="O289" s="94">
        <f t="shared" si="69"/>
        <v>0.98030975338079596</v>
      </c>
      <c r="P289" s="100">
        <f>'K22'!C283</f>
        <v>210496</v>
      </c>
      <c r="Q289" s="100"/>
      <c r="R289" s="100">
        <f t="shared" si="72"/>
        <v>0</v>
      </c>
      <c r="S289" s="100">
        <v>0</v>
      </c>
      <c r="U289" s="100">
        <v>9260.991</v>
      </c>
      <c r="V289" s="5">
        <f t="shared" si="73"/>
        <v>8401943.3258864433</v>
      </c>
      <c r="W289" s="5">
        <f t="shared" si="74"/>
        <v>39914.978554872505</v>
      </c>
    </row>
    <row r="290" spans="1:23" ht="13">
      <c r="A290" s="92">
        <v>5006</v>
      </c>
      <c r="B290" s="93" t="s">
        <v>608</v>
      </c>
      <c r="C290" s="574">
        <v>0.72554147070244124</v>
      </c>
      <c r="D290" s="100">
        <f t="shared" si="60"/>
        <v>29421.415626233727</v>
      </c>
      <c r="E290" s="100">
        <f t="shared" si="61"/>
        <v>706231.66069211438</v>
      </c>
      <c r="F290" s="100">
        <f t="shared" si="70"/>
        <v>6679.6170268535479</v>
      </c>
      <c r="G290" s="100">
        <f t="shared" si="62"/>
        <v>160337.52711259256</v>
      </c>
      <c r="H290" s="100">
        <f t="shared" si="71"/>
        <v>2477.0493921799334</v>
      </c>
      <c r="I290" s="100">
        <f t="shared" si="63"/>
        <v>59459.093609887124</v>
      </c>
      <c r="J290" s="100">
        <f t="shared" si="64"/>
        <v>1913.5115955042515</v>
      </c>
      <c r="K290" s="100">
        <f t="shared" si="65"/>
        <v>45931.932338484054</v>
      </c>
      <c r="L290" s="101">
        <f t="shared" si="66"/>
        <v>206269.45945107663</v>
      </c>
      <c r="M290" s="100">
        <f t="shared" si="67"/>
        <v>912501.12014319107</v>
      </c>
      <c r="N290" s="102">
        <f t="shared" si="68"/>
        <v>38014.544248591534</v>
      </c>
      <c r="O290" s="94">
        <f t="shared" si="69"/>
        <v>0.93745075670707356</v>
      </c>
      <c r="P290" s="100">
        <f>'K22'!C284</f>
        <v>24004</v>
      </c>
      <c r="Q290" s="100"/>
      <c r="R290" s="100">
        <f t="shared" si="72"/>
        <v>0</v>
      </c>
      <c r="S290" s="100">
        <v>0</v>
      </c>
      <c r="U290" s="100">
        <v>3654.9483333333333</v>
      </c>
      <c r="V290" s="5">
        <f t="shared" si="73"/>
        <v>702576.71235878102</v>
      </c>
      <c r="W290" s="5">
        <f t="shared" si="74"/>
        <v>29269.151489700926</v>
      </c>
    </row>
    <row r="291" spans="1:23" ht="13">
      <c r="A291" s="92">
        <v>5007</v>
      </c>
      <c r="B291" s="93" t="s">
        <v>609</v>
      </c>
      <c r="C291" s="574">
        <v>0.76324010272670606</v>
      </c>
      <c r="D291" s="100">
        <f t="shared" si="60"/>
        <v>30950.131993407758</v>
      </c>
      <c r="E291" s="100">
        <f t="shared" si="61"/>
        <v>464282.93003310979</v>
      </c>
      <c r="F291" s="100">
        <f t="shared" si="70"/>
        <v>5762.3872065491296</v>
      </c>
      <c r="G291" s="100">
        <f t="shared" si="62"/>
        <v>86441.570485443488</v>
      </c>
      <c r="H291" s="100">
        <f t="shared" si="71"/>
        <v>1941.9986636690226</v>
      </c>
      <c r="I291" s="100">
        <f t="shared" si="63"/>
        <v>29131.921953699006</v>
      </c>
      <c r="J291" s="100">
        <f t="shared" si="64"/>
        <v>1378.4608669933409</v>
      </c>
      <c r="K291" s="100">
        <f t="shared" si="65"/>
        <v>20678.291465767106</v>
      </c>
      <c r="L291" s="101">
        <f t="shared" si="66"/>
        <v>107119.86195121059</v>
      </c>
      <c r="M291" s="100">
        <f t="shared" si="67"/>
        <v>571402.79198432039</v>
      </c>
      <c r="N291" s="102">
        <f t="shared" si="68"/>
        <v>38090.980066950229</v>
      </c>
      <c r="O291" s="94">
        <f t="shared" si="69"/>
        <v>0.93933568830828662</v>
      </c>
      <c r="P291" s="100">
        <f>'K22'!C285</f>
        <v>15001</v>
      </c>
      <c r="Q291" s="100"/>
      <c r="R291" s="100">
        <f t="shared" si="72"/>
        <v>0</v>
      </c>
      <c r="S291" s="100">
        <v>0</v>
      </c>
      <c r="U291" s="100">
        <v>463.61533333333335</v>
      </c>
      <c r="V291" s="5">
        <f t="shared" si="73"/>
        <v>463819.31469977647</v>
      </c>
      <c r="W291" s="5">
        <f t="shared" si="74"/>
        <v>30919.226364894104</v>
      </c>
    </row>
    <row r="292" spans="1:23" ht="13">
      <c r="A292" s="92">
        <v>5014</v>
      </c>
      <c r="B292" s="93" t="s">
        <v>594</v>
      </c>
      <c r="C292" s="574">
        <v>2.5078373588349261</v>
      </c>
      <c r="D292" s="100">
        <f t="shared" si="60"/>
        <v>101695.25552528881</v>
      </c>
      <c r="E292" s="100">
        <f t="shared" si="61"/>
        <v>535425.52034064557</v>
      </c>
      <c r="F292" s="100">
        <f t="shared" si="70"/>
        <v>-36684.686912579498</v>
      </c>
      <c r="G292" s="100">
        <f t="shared" si="62"/>
        <v>-193144.87659473106</v>
      </c>
      <c r="H292" s="100">
        <f t="shared" si="71"/>
        <v>0</v>
      </c>
      <c r="I292" s="100">
        <f t="shared" si="63"/>
        <v>0</v>
      </c>
      <c r="J292" s="100">
        <f t="shared" si="64"/>
        <v>-563.53779667568176</v>
      </c>
      <c r="K292" s="100">
        <f t="shared" si="65"/>
        <v>-2967.0264994974646</v>
      </c>
      <c r="L292" s="101">
        <f t="shared" si="66"/>
        <v>-196111.90309422853</v>
      </c>
      <c r="M292" s="100">
        <f t="shared" si="67"/>
        <v>339313.61724641704</v>
      </c>
      <c r="N292" s="102">
        <f t="shared" si="68"/>
        <v>64447.030816033628</v>
      </c>
      <c r="O292" s="94">
        <f t="shared" si="69"/>
        <v>1.5892842857968306</v>
      </c>
      <c r="P292" s="100">
        <f>'K22'!C286</f>
        <v>5265</v>
      </c>
      <c r="Q292" s="100"/>
      <c r="R292" s="100">
        <f t="shared" si="72"/>
        <v>0</v>
      </c>
      <c r="S292" s="100">
        <v>0</v>
      </c>
      <c r="U292" s="100">
        <v>0</v>
      </c>
      <c r="V292" s="5">
        <f t="shared" si="73"/>
        <v>535425.52034064557</v>
      </c>
      <c r="W292" s="5">
        <f t="shared" si="74"/>
        <v>101695.2555252888</v>
      </c>
    </row>
    <row r="293" spans="1:23" ht="13">
      <c r="A293" s="92">
        <v>5020</v>
      </c>
      <c r="B293" s="93" t="s">
        <v>597</v>
      </c>
      <c r="C293" s="574">
        <v>0.70311434257009942</v>
      </c>
      <c r="D293" s="100">
        <f t="shared" si="60"/>
        <v>28511.973664982914</v>
      </c>
      <c r="E293" s="100">
        <f t="shared" si="61"/>
        <v>25774.824193144552</v>
      </c>
      <c r="F293" s="100">
        <f t="shared" si="70"/>
        <v>7225.2822036040361</v>
      </c>
      <c r="G293" s="100">
        <f t="shared" si="62"/>
        <v>6531.6551120580489</v>
      </c>
      <c r="H293" s="100">
        <f t="shared" si="71"/>
        <v>2795.3540786177182</v>
      </c>
      <c r="I293" s="100">
        <f t="shared" si="63"/>
        <v>2527.0000870704171</v>
      </c>
      <c r="J293" s="100">
        <f t="shared" si="64"/>
        <v>2231.8162819420363</v>
      </c>
      <c r="K293" s="100">
        <f t="shared" si="65"/>
        <v>2017.5619188756009</v>
      </c>
      <c r="L293" s="101">
        <f t="shared" si="66"/>
        <v>8549.2170309336507</v>
      </c>
      <c r="M293" s="100">
        <f t="shared" si="67"/>
        <v>34324.041224078203</v>
      </c>
      <c r="N293" s="102">
        <f t="shared" si="68"/>
        <v>37969.072150528984</v>
      </c>
      <c r="O293" s="94">
        <f t="shared" si="69"/>
        <v>0.93632940030045619</v>
      </c>
      <c r="P293" s="100">
        <f>'K22'!C287</f>
        <v>904</v>
      </c>
      <c r="Q293" s="100"/>
      <c r="R293" s="100">
        <f t="shared" si="72"/>
        <v>0</v>
      </c>
      <c r="S293" s="100">
        <v>0</v>
      </c>
      <c r="U293" s="100">
        <v>0</v>
      </c>
      <c r="V293" s="5">
        <f t="shared" si="73"/>
        <v>25774.824193144552</v>
      </c>
      <c r="W293" s="5">
        <f t="shared" si="74"/>
        <v>28511.973664982914</v>
      </c>
    </row>
    <row r="294" spans="1:23" ht="13">
      <c r="A294" s="92">
        <v>5021</v>
      </c>
      <c r="B294" s="93" t="s">
        <v>598</v>
      </c>
      <c r="C294" s="574">
        <v>0.81765980505657776</v>
      </c>
      <c r="D294" s="100">
        <f t="shared" si="60"/>
        <v>33156.904101076456</v>
      </c>
      <c r="E294" s="100">
        <f t="shared" si="61"/>
        <v>234286.68437820624</v>
      </c>
      <c r="F294" s="100">
        <f t="shared" si="70"/>
        <v>4438.3239419479114</v>
      </c>
      <c r="G294" s="100">
        <f t="shared" si="62"/>
        <v>31361.196973803941</v>
      </c>
      <c r="H294" s="100">
        <f t="shared" si="71"/>
        <v>1169.6284259849783</v>
      </c>
      <c r="I294" s="100">
        <f t="shared" si="63"/>
        <v>8264.5944580098567</v>
      </c>
      <c r="J294" s="100">
        <f t="shared" si="64"/>
        <v>606.09062930929656</v>
      </c>
      <c r="K294" s="100">
        <f t="shared" si="65"/>
        <v>4282.6363866994889</v>
      </c>
      <c r="L294" s="101">
        <f t="shared" si="66"/>
        <v>35643.833360503428</v>
      </c>
      <c r="M294" s="100">
        <f t="shared" si="67"/>
        <v>269930.51773870963</v>
      </c>
      <c r="N294" s="102">
        <f t="shared" si="68"/>
        <v>38201.318672333655</v>
      </c>
      <c r="O294" s="94">
        <f t="shared" si="69"/>
        <v>0.94205667342477994</v>
      </c>
      <c r="P294" s="100">
        <f>'K22'!C288</f>
        <v>7066</v>
      </c>
      <c r="Q294" s="100"/>
      <c r="R294" s="100">
        <f t="shared" si="72"/>
        <v>0</v>
      </c>
      <c r="S294" s="100">
        <v>0</v>
      </c>
      <c r="U294" s="100">
        <v>3496.3269999999998</v>
      </c>
      <c r="V294" s="5">
        <f t="shared" si="73"/>
        <v>230790.35737820624</v>
      </c>
      <c r="W294" s="5">
        <f t="shared" si="74"/>
        <v>32662.094166176939</v>
      </c>
    </row>
    <row r="295" spans="1:23" ht="13">
      <c r="A295" s="92">
        <v>5022</v>
      </c>
      <c r="B295" s="93" t="s">
        <v>599</v>
      </c>
      <c r="C295" s="574">
        <v>0.71102541309871414</v>
      </c>
      <c r="D295" s="100">
        <f t="shared" si="60"/>
        <v>28832.775305508683</v>
      </c>
      <c r="E295" s="100">
        <f t="shared" si="61"/>
        <v>70438.470071357719</v>
      </c>
      <c r="F295" s="100">
        <f t="shared" si="70"/>
        <v>7032.8012192885744</v>
      </c>
      <c r="G295" s="100">
        <f t="shared" si="62"/>
        <v>17181.133378721985</v>
      </c>
      <c r="H295" s="100">
        <f t="shared" si="71"/>
        <v>2683.0735044336989</v>
      </c>
      <c r="I295" s="100">
        <f t="shared" si="63"/>
        <v>6554.7485713315264</v>
      </c>
      <c r="J295" s="100">
        <f t="shared" si="64"/>
        <v>2119.535707758017</v>
      </c>
      <c r="K295" s="100">
        <f t="shared" si="65"/>
        <v>5178.025734052836</v>
      </c>
      <c r="L295" s="101">
        <f t="shared" si="66"/>
        <v>22359.159112774822</v>
      </c>
      <c r="M295" s="100">
        <f t="shared" si="67"/>
        <v>92797.629184132529</v>
      </c>
      <c r="N295" s="102">
        <f t="shared" si="68"/>
        <v>37985.112232555271</v>
      </c>
      <c r="O295" s="94">
        <f t="shared" si="69"/>
        <v>0.93672495382688692</v>
      </c>
      <c r="P295" s="100">
        <f>'K22'!C289</f>
        <v>2443</v>
      </c>
      <c r="Q295" s="100"/>
      <c r="R295" s="100">
        <f t="shared" si="72"/>
        <v>0</v>
      </c>
      <c r="S295" s="100">
        <v>0</v>
      </c>
      <c r="U295" s="100">
        <v>6181.0373333333337</v>
      </c>
      <c r="V295" s="5">
        <f t="shared" si="73"/>
        <v>64257.432738024385</v>
      </c>
      <c r="W295" s="5">
        <f t="shared" si="74"/>
        <v>26302.674063865896</v>
      </c>
    </row>
    <row r="296" spans="1:23" ht="13">
      <c r="A296" s="92">
        <v>5025</v>
      </c>
      <c r="B296" s="93" t="s">
        <v>600</v>
      </c>
      <c r="C296" s="574">
        <v>0.82946936626071044</v>
      </c>
      <c r="D296" s="100">
        <f t="shared" si="60"/>
        <v>33635.793348046507</v>
      </c>
      <c r="E296" s="100">
        <f t="shared" si="61"/>
        <v>187418.64053531512</v>
      </c>
      <c r="F296" s="100">
        <f t="shared" si="70"/>
        <v>4150.9903937658801</v>
      </c>
      <c r="G296" s="100">
        <f t="shared" si="62"/>
        <v>23129.318474063482</v>
      </c>
      <c r="H296" s="100">
        <f t="shared" si="71"/>
        <v>1002.0171895454604</v>
      </c>
      <c r="I296" s="100">
        <f t="shared" si="63"/>
        <v>5583.2397801473053</v>
      </c>
      <c r="J296" s="100">
        <f t="shared" si="64"/>
        <v>438.47939286977862</v>
      </c>
      <c r="K296" s="100">
        <f t="shared" si="65"/>
        <v>2443.2071770704065</v>
      </c>
      <c r="L296" s="101">
        <f t="shared" si="66"/>
        <v>25572.525651133888</v>
      </c>
      <c r="M296" s="100">
        <f t="shared" si="67"/>
        <v>212991.166186449</v>
      </c>
      <c r="N296" s="102">
        <f t="shared" si="68"/>
        <v>38225.263134682158</v>
      </c>
      <c r="O296" s="94">
        <f t="shared" si="69"/>
        <v>0.94264715148498668</v>
      </c>
      <c r="P296" s="100">
        <f>'K22'!C290</f>
        <v>5572</v>
      </c>
      <c r="Q296" s="100"/>
      <c r="R296" s="100">
        <f t="shared" si="72"/>
        <v>0</v>
      </c>
      <c r="S296" s="100">
        <v>0</v>
      </c>
      <c r="U296" s="100">
        <v>1430.9606666666666</v>
      </c>
      <c r="V296" s="5">
        <f t="shared" si="73"/>
        <v>185987.67986864844</v>
      </c>
      <c r="W296" s="5">
        <f t="shared" si="74"/>
        <v>33378.980593799075</v>
      </c>
    </row>
    <row r="297" spans="1:23" ht="13">
      <c r="A297" s="92">
        <v>5026</v>
      </c>
      <c r="B297" s="93" t="s">
        <v>601</v>
      </c>
      <c r="C297" s="574">
        <v>0.68300542162895661</v>
      </c>
      <c r="D297" s="100">
        <f t="shared" si="60"/>
        <v>27696.537270655735</v>
      </c>
      <c r="E297" s="100">
        <f t="shared" si="61"/>
        <v>54091.33728959065</v>
      </c>
      <c r="F297" s="100">
        <f t="shared" si="70"/>
        <v>7714.5440402003433</v>
      </c>
      <c r="G297" s="100">
        <f t="shared" si="62"/>
        <v>15066.504510511269</v>
      </c>
      <c r="H297" s="100">
        <f t="shared" si="71"/>
        <v>3080.7568166322303</v>
      </c>
      <c r="I297" s="100">
        <f t="shared" si="63"/>
        <v>6016.7180628827455</v>
      </c>
      <c r="J297" s="100">
        <f t="shared" si="64"/>
        <v>2517.2190199565484</v>
      </c>
      <c r="K297" s="100">
        <f t="shared" si="65"/>
        <v>4916.1287459751393</v>
      </c>
      <c r="L297" s="101">
        <f t="shared" si="66"/>
        <v>19982.63325648641</v>
      </c>
      <c r="M297" s="100">
        <f t="shared" si="67"/>
        <v>74073.970546077064</v>
      </c>
      <c r="N297" s="102">
        <f t="shared" si="68"/>
        <v>37928.300330812628</v>
      </c>
      <c r="O297" s="94">
        <f t="shared" si="69"/>
        <v>0.9353239542533992</v>
      </c>
      <c r="P297" s="100">
        <f>'K22'!C291</f>
        <v>1953</v>
      </c>
      <c r="Q297" s="100"/>
      <c r="R297" s="100">
        <f t="shared" si="72"/>
        <v>0</v>
      </c>
      <c r="S297" s="100">
        <v>0</v>
      </c>
      <c r="U297" s="100">
        <v>0</v>
      </c>
      <c r="V297" s="5">
        <f t="shared" si="73"/>
        <v>54091.33728959065</v>
      </c>
      <c r="W297" s="5">
        <f t="shared" si="74"/>
        <v>27696.537270655735</v>
      </c>
    </row>
    <row r="298" spans="1:23" ht="13">
      <c r="A298" s="92">
        <v>5027</v>
      </c>
      <c r="B298" s="93" t="s">
        <v>602</v>
      </c>
      <c r="C298" s="574">
        <v>0.69680072594864739</v>
      </c>
      <c r="D298" s="100">
        <f t="shared" si="60"/>
        <v>28255.950341402808</v>
      </c>
      <c r="E298" s="100">
        <f t="shared" si="61"/>
        <v>172926.41608938519</v>
      </c>
      <c r="F298" s="100">
        <f t="shared" si="70"/>
        <v>7378.8961977520994</v>
      </c>
      <c r="G298" s="100">
        <f t="shared" si="62"/>
        <v>45158.844730242847</v>
      </c>
      <c r="H298" s="100">
        <f t="shared" si="71"/>
        <v>2884.962241870755</v>
      </c>
      <c r="I298" s="100">
        <f t="shared" si="63"/>
        <v>17655.968920249019</v>
      </c>
      <c r="J298" s="100">
        <f t="shared" si="64"/>
        <v>2321.4244451950731</v>
      </c>
      <c r="K298" s="100">
        <f t="shared" si="65"/>
        <v>14207.117604593846</v>
      </c>
      <c r="L298" s="101">
        <f t="shared" si="66"/>
        <v>59365.962334836695</v>
      </c>
      <c r="M298" s="100">
        <f t="shared" si="67"/>
        <v>232292.37842422188</v>
      </c>
      <c r="N298" s="102">
        <f t="shared" si="68"/>
        <v>37956.270984349976</v>
      </c>
      <c r="O298" s="94">
        <f t="shared" si="69"/>
        <v>0.93601371946938361</v>
      </c>
      <c r="P298" s="100">
        <f>'K22'!C292</f>
        <v>6120</v>
      </c>
      <c r="Q298" s="100"/>
      <c r="R298" s="100">
        <f t="shared" si="72"/>
        <v>0</v>
      </c>
      <c r="S298" s="100">
        <v>0</v>
      </c>
      <c r="U298" s="100">
        <v>1206.2766666666666</v>
      </c>
      <c r="V298" s="5">
        <f t="shared" si="73"/>
        <v>171720.13942271852</v>
      </c>
      <c r="W298" s="5">
        <f t="shared" si="74"/>
        <v>28058.846310901721</v>
      </c>
    </row>
    <row r="299" spans="1:23" ht="13">
      <c r="A299" s="92">
        <v>5028</v>
      </c>
      <c r="B299" s="93" t="s">
        <v>603</v>
      </c>
      <c r="C299" s="574">
        <v>0.77024004588727857</v>
      </c>
      <c r="D299" s="100">
        <f t="shared" si="60"/>
        <v>31233.986528818154</v>
      </c>
      <c r="E299" s="100">
        <f t="shared" si="61"/>
        <v>534819.55133295327</v>
      </c>
      <c r="F299" s="100">
        <f t="shared" si="70"/>
        <v>5592.0744853028928</v>
      </c>
      <c r="G299" s="100">
        <f t="shared" si="62"/>
        <v>95753.091411841437</v>
      </c>
      <c r="H299" s="100">
        <f t="shared" si="71"/>
        <v>1842.6495762753841</v>
      </c>
      <c r="I299" s="100">
        <f t="shared" si="63"/>
        <v>31551.688694563403</v>
      </c>
      <c r="J299" s="100">
        <f t="shared" si="64"/>
        <v>1279.1117795997025</v>
      </c>
      <c r="K299" s="100">
        <f t="shared" si="65"/>
        <v>21902.231002085704</v>
      </c>
      <c r="L299" s="101">
        <f t="shared" si="66"/>
        <v>117655.32241392715</v>
      </c>
      <c r="M299" s="100">
        <f t="shared" si="67"/>
        <v>652474.87374688045</v>
      </c>
      <c r="N299" s="102">
        <f t="shared" si="68"/>
        <v>38105.172793720747</v>
      </c>
      <c r="O299" s="94">
        <f t="shared" si="69"/>
        <v>0.93968568546631526</v>
      </c>
      <c r="P299" s="100">
        <f>'K22'!C293</f>
        <v>17123</v>
      </c>
      <c r="Q299" s="100"/>
      <c r="R299" s="100">
        <f t="shared" si="72"/>
        <v>0</v>
      </c>
      <c r="S299" s="100">
        <v>0</v>
      </c>
      <c r="U299" s="100">
        <v>1777.1063333333332</v>
      </c>
      <c r="V299" s="5">
        <f t="shared" si="73"/>
        <v>533042.44499961997</v>
      </c>
      <c r="W299" s="5">
        <f t="shared" si="74"/>
        <v>31130.201775367634</v>
      </c>
    </row>
    <row r="300" spans="1:23" ht="13">
      <c r="A300" s="92">
        <v>5029</v>
      </c>
      <c r="B300" s="93" t="s">
        <v>604</v>
      </c>
      <c r="C300" s="574">
        <v>0.74444899055743929</v>
      </c>
      <c r="D300" s="100">
        <f t="shared" si="60"/>
        <v>30188.134032524948</v>
      </c>
      <c r="E300" s="100">
        <f t="shared" si="61"/>
        <v>252372.80051190857</v>
      </c>
      <c r="F300" s="100">
        <f t="shared" si="70"/>
        <v>6219.5859830788158</v>
      </c>
      <c r="G300" s="100">
        <f t="shared" si="62"/>
        <v>51995.738818538899</v>
      </c>
      <c r="H300" s="100">
        <f t="shared" si="71"/>
        <v>2208.6979499780064</v>
      </c>
      <c r="I300" s="100">
        <f t="shared" si="63"/>
        <v>18464.714861816134</v>
      </c>
      <c r="J300" s="100">
        <f t="shared" si="64"/>
        <v>1645.1601533023245</v>
      </c>
      <c r="K300" s="100">
        <f t="shared" si="65"/>
        <v>13753.538881607432</v>
      </c>
      <c r="L300" s="101">
        <f t="shared" si="66"/>
        <v>65749.277700146326</v>
      </c>
      <c r="M300" s="100">
        <f t="shared" si="67"/>
        <v>318122.07821205491</v>
      </c>
      <c r="N300" s="102">
        <f t="shared" si="68"/>
        <v>38052.880168906093</v>
      </c>
      <c r="O300" s="94">
        <f t="shared" si="69"/>
        <v>0.93839613269982336</v>
      </c>
      <c r="P300" s="100">
        <f>'K22'!C294</f>
        <v>8360</v>
      </c>
      <c r="Q300" s="100"/>
      <c r="R300" s="100">
        <f t="shared" si="72"/>
        <v>0</v>
      </c>
      <c r="S300" s="100">
        <v>0</v>
      </c>
      <c r="U300" s="100">
        <v>0</v>
      </c>
      <c r="V300" s="5">
        <f t="shared" si="73"/>
        <v>252372.80051190857</v>
      </c>
      <c r="W300" s="5">
        <f t="shared" si="74"/>
        <v>30188.134032524948</v>
      </c>
    </row>
    <row r="301" spans="1:23" ht="13">
      <c r="A301" s="92">
        <v>5031</v>
      </c>
      <c r="B301" s="93" t="s">
        <v>605</v>
      </c>
      <c r="C301" s="574">
        <v>0.89261107301143827</v>
      </c>
      <c r="D301" s="100">
        <f t="shared" si="60"/>
        <v>36196.25125800493</v>
      </c>
      <c r="E301" s="100">
        <f t="shared" si="61"/>
        <v>522130.92439672112</v>
      </c>
      <c r="F301" s="100">
        <f t="shared" si="70"/>
        <v>2614.715647790827</v>
      </c>
      <c r="G301" s="100">
        <f t="shared" si="62"/>
        <v>37717.273219382681</v>
      </c>
      <c r="H301" s="100">
        <f t="shared" si="71"/>
        <v>105.85692106001261</v>
      </c>
      <c r="I301" s="100">
        <f t="shared" si="63"/>
        <v>1526.9860862906819</v>
      </c>
      <c r="J301" s="100">
        <f t="shared" si="64"/>
        <v>-457.68087561566915</v>
      </c>
      <c r="K301" s="100">
        <f t="shared" si="65"/>
        <v>-6602.0466307560273</v>
      </c>
      <c r="L301" s="101">
        <f t="shared" si="66"/>
        <v>31115.226588626654</v>
      </c>
      <c r="M301" s="100">
        <f t="shared" si="67"/>
        <v>553246.15098534781</v>
      </c>
      <c r="N301" s="102">
        <f t="shared" si="68"/>
        <v>38353.286030180083</v>
      </c>
      <c r="O301" s="94">
        <f t="shared" si="69"/>
        <v>0.94580423682252313</v>
      </c>
      <c r="P301" s="100">
        <f>'K22'!C295</f>
        <v>14425</v>
      </c>
      <c r="Q301" s="100"/>
      <c r="R301" s="100">
        <f t="shared" si="72"/>
        <v>0</v>
      </c>
      <c r="S301" s="100">
        <v>0</v>
      </c>
      <c r="U301" s="100">
        <v>5.7216666666666667</v>
      </c>
      <c r="V301" s="5">
        <f t="shared" si="73"/>
        <v>522125.20273005444</v>
      </c>
      <c r="W301" s="5">
        <f t="shared" si="74"/>
        <v>36195.854608669288</v>
      </c>
    </row>
    <row r="302" spans="1:23" ht="13">
      <c r="A302" s="92">
        <v>5032</v>
      </c>
      <c r="B302" s="93" t="s">
        <v>606</v>
      </c>
      <c r="C302" s="574">
        <v>0.74645086892960633</v>
      </c>
      <c r="D302" s="100">
        <f t="shared" si="60"/>
        <v>30269.31215672462</v>
      </c>
      <c r="E302" s="100">
        <f t="shared" si="61"/>
        <v>123801.48672100369</v>
      </c>
      <c r="F302" s="100">
        <f t="shared" si="70"/>
        <v>6170.8791085590128</v>
      </c>
      <c r="G302" s="100">
        <f t="shared" si="62"/>
        <v>25238.895554006365</v>
      </c>
      <c r="H302" s="100">
        <f t="shared" si="71"/>
        <v>2180.285606508121</v>
      </c>
      <c r="I302" s="100">
        <f t="shared" si="63"/>
        <v>8917.3681306182152</v>
      </c>
      <c r="J302" s="100">
        <f t="shared" si="64"/>
        <v>1616.7478098324391</v>
      </c>
      <c r="K302" s="100">
        <f t="shared" si="65"/>
        <v>6612.4985422146756</v>
      </c>
      <c r="L302" s="101">
        <f t="shared" si="66"/>
        <v>31851.39409622104</v>
      </c>
      <c r="M302" s="100">
        <f t="shared" si="67"/>
        <v>155652.88081722474</v>
      </c>
      <c r="N302" s="102">
        <f t="shared" si="68"/>
        <v>38056.939075116075</v>
      </c>
      <c r="O302" s="94">
        <f t="shared" si="69"/>
        <v>0.93849622661843168</v>
      </c>
      <c r="P302" s="100">
        <f>'K22'!C296</f>
        <v>4090</v>
      </c>
      <c r="Q302" s="100"/>
      <c r="R302" s="100">
        <f t="shared" si="72"/>
        <v>0</v>
      </c>
      <c r="S302" s="100">
        <v>0</v>
      </c>
      <c r="U302" s="100">
        <v>4000.9756666666667</v>
      </c>
      <c r="V302" s="5">
        <f t="shared" si="73"/>
        <v>119800.51105433702</v>
      </c>
      <c r="W302" s="5">
        <f t="shared" si="74"/>
        <v>29291.078497392915</v>
      </c>
    </row>
    <row r="303" spans="1:23" ht="13">
      <c r="A303" s="92">
        <v>5033</v>
      </c>
      <c r="B303" s="93" t="s">
        <v>607</v>
      </c>
      <c r="C303" s="574">
        <v>1.2256766735011018</v>
      </c>
      <c r="D303" s="100">
        <f t="shared" si="60"/>
        <v>49702.386825032183</v>
      </c>
      <c r="E303" s="100">
        <f t="shared" si="61"/>
        <v>37276.790118774137</v>
      </c>
      <c r="F303" s="100">
        <f t="shared" si="70"/>
        <v>-5488.965692425525</v>
      </c>
      <c r="G303" s="100">
        <f t="shared" si="62"/>
        <v>-4116.7242693191438</v>
      </c>
      <c r="H303" s="100">
        <f t="shared" si="71"/>
        <v>0</v>
      </c>
      <c r="I303" s="100">
        <f t="shared" si="63"/>
        <v>0</v>
      </c>
      <c r="J303" s="100">
        <f t="shared" si="64"/>
        <v>-563.53779667568176</v>
      </c>
      <c r="K303" s="100">
        <f t="shared" si="65"/>
        <v>-422.65334750676129</v>
      </c>
      <c r="L303" s="101">
        <f t="shared" si="66"/>
        <v>-4539.3776168259046</v>
      </c>
      <c r="M303" s="100">
        <f t="shared" si="67"/>
        <v>32737.412501948231</v>
      </c>
      <c r="N303" s="102">
        <f t="shared" si="68"/>
        <v>43649.883335930972</v>
      </c>
      <c r="O303" s="94">
        <f t="shared" si="69"/>
        <v>1.0764200116633009</v>
      </c>
      <c r="P303" s="100">
        <f>'K22'!C297</f>
        <v>750</v>
      </c>
      <c r="Q303" s="100"/>
      <c r="R303" s="100">
        <f t="shared" si="72"/>
        <v>0</v>
      </c>
      <c r="S303" s="100">
        <v>0</v>
      </c>
      <c r="U303" s="100">
        <v>13612.522666666666</v>
      </c>
      <c r="V303" s="5">
        <f t="shared" si="73"/>
        <v>23664.267452107473</v>
      </c>
      <c r="W303" s="5">
        <f t="shared" si="74"/>
        <v>31552.356602809967</v>
      </c>
    </row>
    <row r="304" spans="1:23" ht="13">
      <c r="A304" s="92">
        <v>5034</v>
      </c>
      <c r="B304" s="93" t="s">
        <v>610</v>
      </c>
      <c r="C304" s="574">
        <v>0.69619542003241952</v>
      </c>
      <c r="D304" s="100">
        <f t="shared" si="60"/>
        <v>28231.404595003063</v>
      </c>
      <c r="E304" s="100">
        <f t="shared" si="61"/>
        <v>67727.139623412353</v>
      </c>
      <c r="F304" s="100">
        <f t="shared" si="70"/>
        <v>7393.6236455919461</v>
      </c>
      <c r="G304" s="100">
        <f t="shared" si="62"/>
        <v>17737.303125775081</v>
      </c>
      <c r="H304" s="100">
        <f t="shared" si="71"/>
        <v>2893.5532531106655</v>
      </c>
      <c r="I304" s="100">
        <f t="shared" si="63"/>
        <v>6941.6342542124867</v>
      </c>
      <c r="J304" s="100">
        <f t="shared" si="64"/>
        <v>2330.0154564349837</v>
      </c>
      <c r="K304" s="100">
        <f t="shared" si="65"/>
        <v>5589.7070799875255</v>
      </c>
      <c r="L304" s="101">
        <f t="shared" si="66"/>
        <v>23327.010205762606</v>
      </c>
      <c r="M304" s="100">
        <f t="shared" si="67"/>
        <v>91054.149829174959</v>
      </c>
      <c r="N304" s="102">
        <f t="shared" si="68"/>
        <v>37955.04369703</v>
      </c>
      <c r="O304" s="94">
        <f t="shared" si="69"/>
        <v>0.93598345417357243</v>
      </c>
      <c r="P304" s="100">
        <f>'K22'!C298</f>
        <v>2399</v>
      </c>
      <c r="Q304" s="100"/>
      <c r="R304" s="100">
        <f t="shared" si="72"/>
        <v>0</v>
      </c>
      <c r="S304" s="100">
        <v>0</v>
      </c>
      <c r="U304" s="100">
        <v>6693.7979999999998</v>
      </c>
      <c r="V304" s="5">
        <f t="shared" si="73"/>
        <v>61033.341623412351</v>
      </c>
      <c r="W304" s="5">
        <f t="shared" si="74"/>
        <v>25441.159492877177</v>
      </c>
    </row>
    <row r="305" spans="1:23" ht="13">
      <c r="A305" s="92">
        <v>5035</v>
      </c>
      <c r="B305" s="93" t="s">
        <v>611</v>
      </c>
      <c r="C305" s="574">
        <v>0.76880950044644758</v>
      </c>
      <c r="D305" s="100">
        <f t="shared" si="60"/>
        <v>31175.976513282923</v>
      </c>
      <c r="E305" s="100">
        <f t="shared" si="61"/>
        <v>757170.9415781023</v>
      </c>
      <c r="F305" s="100">
        <f t="shared" si="70"/>
        <v>5626.8804946240307</v>
      </c>
      <c r="G305" s="100">
        <f t="shared" si="62"/>
        <v>136660.04657293382</v>
      </c>
      <c r="H305" s="100">
        <f t="shared" si="71"/>
        <v>1862.9530817127147</v>
      </c>
      <c r="I305" s="100">
        <f t="shared" si="63"/>
        <v>45245.541495556703</v>
      </c>
      <c r="J305" s="100">
        <f t="shared" si="64"/>
        <v>1299.4152850370328</v>
      </c>
      <c r="K305" s="100">
        <f t="shared" si="65"/>
        <v>31558.899027694417</v>
      </c>
      <c r="L305" s="101">
        <f t="shared" si="66"/>
        <v>168218.94560062824</v>
      </c>
      <c r="M305" s="100">
        <f t="shared" si="67"/>
        <v>925389.88717873045</v>
      </c>
      <c r="N305" s="102">
        <f t="shared" si="68"/>
        <v>38102.272292943984</v>
      </c>
      <c r="O305" s="94">
        <f t="shared" si="69"/>
        <v>0.93961415819427363</v>
      </c>
      <c r="P305" s="100">
        <f>'K22'!C299</f>
        <v>24287</v>
      </c>
      <c r="Q305" s="100"/>
      <c r="R305" s="100">
        <f t="shared" si="72"/>
        <v>0</v>
      </c>
      <c r="S305" s="100">
        <v>0</v>
      </c>
      <c r="U305" s="100">
        <v>0</v>
      </c>
      <c r="V305" s="5">
        <f t="shared" si="73"/>
        <v>757170.9415781023</v>
      </c>
      <c r="W305" s="5">
        <f t="shared" si="74"/>
        <v>31175.976513282923</v>
      </c>
    </row>
    <row r="306" spans="1:23" ht="13">
      <c r="A306" s="92">
        <v>5036</v>
      </c>
      <c r="B306" s="93" t="s">
        <v>612</v>
      </c>
      <c r="C306" s="574">
        <v>0.70293445690684642</v>
      </c>
      <c r="D306" s="100">
        <f t="shared" si="60"/>
        <v>28504.679125556184</v>
      </c>
      <c r="E306" s="100">
        <f t="shared" si="61"/>
        <v>74340.203159450524</v>
      </c>
      <c r="F306" s="100">
        <f t="shared" si="70"/>
        <v>7229.6589272600741</v>
      </c>
      <c r="G306" s="100">
        <f t="shared" si="62"/>
        <v>18854.950482294273</v>
      </c>
      <c r="H306" s="100">
        <f t="shared" si="71"/>
        <v>2797.9071674170737</v>
      </c>
      <c r="I306" s="100">
        <f t="shared" si="63"/>
        <v>7296.9418926237286</v>
      </c>
      <c r="J306" s="100">
        <f t="shared" si="64"/>
        <v>2234.3693707413918</v>
      </c>
      <c r="K306" s="100">
        <f t="shared" si="65"/>
        <v>5827.2353188935504</v>
      </c>
      <c r="L306" s="101">
        <f t="shared" si="66"/>
        <v>24682.185801187821</v>
      </c>
      <c r="M306" s="100">
        <f t="shared" si="67"/>
        <v>99022.388960638345</v>
      </c>
      <c r="N306" s="102">
        <f t="shared" si="68"/>
        <v>37968.707423557644</v>
      </c>
      <c r="O306" s="94">
        <f t="shared" si="69"/>
        <v>0.93632040601729349</v>
      </c>
      <c r="P306" s="100">
        <f>'K22'!C300</f>
        <v>2608</v>
      </c>
      <c r="Q306" s="100"/>
      <c r="R306" s="100">
        <f t="shared" si="72"/>
        <v>0</v>
      </c>
      <c r="S306" s="100">
        <v>0</v>
      </c>
      <c r="U306" s="100">
        <v>0</v>
      </c>
      <c r="V306" s="5">
        <f t="shared" si="73"/>
        <v>74340.203159450524</v>
      </c>
      <c r="W306" s="5">
        <f t="shared" si="74"/>
        <v>28504.679125556184</v>
      </c>
    </row>
    <row r="307" spans="1:23" ht="13">
      <c r="A307" s="92">
        <v>5037</v>
      </c>
      <c r="B307" s="93" t="s">
        <v>613</v>
      </c>
      <c r="C307" s="574">
        <v>0.77558621479101209</v>
      </c>
      <c r="D307" s="100">
        <f t="shared" si="60"/>
        <v>31450.778902068032</v>
      </c>
      <c r="E307" s="100">
        <f t="shared" si="61"/>
        <v>634393.66123361432</v>
      </c>
      <c r="F307" s="100">
        <f t="shared" si="70"/>
        <v>5461.9990613529653</v>
      </c>
      <c r="G307" s="100">
        <f t="shared" si="62"/>
        <v>110173.98306655066</v>
      </c>
      <c r="H307" s="100">
        <f t="shared" si="71"/>
        <v>1766.7722456379267</v>
      </c>
      <c r="I307" s="100">
        <f t="shared" si="63"/>
        <v>35637.56296676262</v>
      </c>
      <c r="J307" s="100">
        <f t="shared" si="64"/>
        <v>1203.2344489622451</v>
      </c>
      <c r="K307" s="100">
        <f t="shared" si="65"/>
        <v>24270.442070017445</v>
      </c>
      <c r="L307" s="101">
        <f t="shared" si="66"/>
        <v>134444.42513656811</v>
      </c>
      <c r="M307" s="100">
        <f t="shared" si="67"/>
        <v>768838.08637018246</v>
      </c>
      <c r="N307" s="102">
        <f t="shared" si="68"/>
        <v>38116.01241238325</v>
      </c>
      <c r="O307" s="94">
        <f t="shared" si="69"/>
        <v>0.93995299391150211</v>
      </c>
      <c r="P307" s="100">
        <f>'K22'!C301</f>
        <v>20171</v>
      </c>
      <c r="Q307" s="100"/>
      <c r="R307" s="100">
        <f t="shared" si="72"/>
        <v>0</v>
      </c>
      <c r="S307" s="100">
        <v>0</v>
      </c>
      <c r="U307" s="100">
        <v>0</v>
      </c>
      <c r="V307" s="5">
        <f t="shared" si="73"/>
        <v>634393.66123361432</v>
      </c>
      <c r="W307" s="5">
        <f t="shared" si="74"/>
        <v>31450.778902068036</v>
      </c>
    </row>
    <row r="308" spans="1:23" ht="13">
      <c r="A308" s="92">
        <v>5038</v>
      </c>
      <c r="B308" s="93" t="s">
        <v>614</v>
      </c>
      <c r="C308" s="574">
        <v>0.71212817084193192</v>
      </c>
      <c r="D308" s="100">
        <f t="shared" si="60"/>
        <v>28877.493209596021</v>
      </c>
      <c r="E308" s="100">
        <f t="shared" si="61"/>
        <v>431862.91094950848</v>
      </c>
      <c r="F308" s="100">
        <f t="shared" si="70"/>
        <v>7005.9704768361717</v>
      </c>
      <c r="G308" s="100">
        <f t="shared" si="62"/>
        <v>104774.28848108495</v>
      </c>
      <c r="H308" s="100">
        <f t="shared" si="71"/>
        <v>2667.4222380031306</v>
      </c>
      <c r="I308" s="100">
        <f t="shared" si="63"/>
        <v>39891.299569336814</v>
      </c>
      <c r="J308" s="100">
        <f t="shared" si="64"/>
        <v>2103.8844413274487</v>
      </c>
      <c r="K308" s="100">
        <f t="shared" si="65"/>
        <v>31463.591820051995</v>
      </c>
      <c r="L308" s="101">
        <f t="shared" si="66"/>
        <v>136237.88030113693</v>
      </c>
      <c r="M308" s="100">
        <f t="shared" si="67"/>
        <v>568100.79125064542</v>
      </c>
      <c r="N308" s="102">
        <f t="shared" si="68"/>
        <v>37987.348127759637</v>
      </c>
      <c r="O308" s="94">
        <f t="shared" si="69"/>
        <v>0.93678009171404775</v>
      </c>
      <c r="P308" s="100">
        <f>'K22'!C302</f>
        <v>14955</v>
      </c>
      <c r="Q308" s="100"/>
      <c r="R308" s="100">
        <f t="shared" si="72"/>
        <v>0</v>
      </c>
      <c r="S308" s="100">
        <v>0</v>
      </c>
      <c r="U308" s="100">
        <v>0</v>
      </c>
      <c r="V308" s="5">
        <f t="shared" si="73"/>
        <v>431862.91094950848</v>
      </c>
      <c r="W308" s="5">
        <f t="shared" si="74"/>
        <v>28877.493209596021</v>
      </c>
    </row>
    <row r="309" spans="1:23" ht="13">
      <c r="A309" s="92">
        <v>5041</v>
      </c>
      <c r="B309" s="93" t="s">
        <v>1832</v>
      </c>
      <c r="C309" s="574">
        <v>0.65485360589352559</v>
      </c>
      <c r="D309" s="100">
        <f t="shared" si="60"/>
        <v>26554.953633012847</v>
      </c>
      <c r="E309" s="100">
        <f t="shared" si="61"/>
        <v>53986.220735915114</v>
      </c>
      <c r="F309" s="100">
        <f t="shared" si="70"/>
        <v>8399.4942227860756</v>
      </c>
      <c r="G309" s="100">
        <f t="shared" si="62"/>
        <v>17076.171754924093</v>
      </c>
      <c r="H309" s="100">
        <f t="shared" si="71"/>
        <v>3480.3110898072414</v>
      </c>
      <c r="I309" s="100">
        <f t="shared" si="63"/>
        <v>7075.4724455781216</v>
      </c>
      <c r="J309" s="100">
        <f t="shared" si="64"/>
        <v>2916.7732931315595</v>
      </c>
      <c r="K309" s="100">
        <f t="shared" si="65"/>
        <v>5929.8001049364602</v>
      </c>
      <c r="L309" s="101">
        <f t="shared" si="66"/>
        <v>23005.971859860554</v>
      </c>
      <c r="M309" s="100">
        <f t="shared" si="67"/>
        <v>76992.192595775676</v>
      </c>
      <c r="N309" s="102">
        <f t="shared" si="68"/>
        <v>37871.221148930483</v>
      </c>
      <c r="O309" s="94">
        <f t="shared" si="69"/>
        <v>0.93391636346662765</v>
      </c>
      <c r="P309" s="100">
        <f>'K22'!C303</f>
        <v>2033</v>
      </c>
      <c r="Q309" s="100"/>
      <c r="R309" s="100">
        <f t="shared" si="72"/>
        <v>0</v>
      </c>
      <c r="S309" s="100">
        <v>0</v>
      </c>
      <c r="U309" s="100">
        <v>763.09666666666669</v>
      </c>
      <c r="V309" s="5">
        <f t="shared" si="73"/>
        <v>53223.12406924845</v>
      </c>
      <c r="W309" s="5">
        <f t="shared" si="74"/>
        <v>26179.598656787239</v>
      </c>
    </row>
    <row r="310" spans="1:23" ht="13">
      <c r="A310" s="92">
        <v>5042</v>
      </c>
      <c r="B310" s="93" t="s">
        <v>616</v>
      </c>
      <c r="C310" s="574">
        <v>0.73940280628953314</v>
      </c>
      <c r="D310" s="100">
        <f t="shared" si="60"/>
        <v>29983.50632939877</v>
      </c>
      <c r="E310" s="100">
        <f t="shared" si="61"/>
        <v>39248.409785182987</v>
      </c>
      <c r="F310" s="100">
        <f t="shared" si="70"/>
        <v>6342.3626049545228</v>
      </c>
      <c r="G310" s="100">
        <f t="shared" si="62"/>
        <v>8302.1526498854691</v>
      </c>
      <c r="H310" s="100">
        <f t="shared" si="71"/>
        <v>2280.3176460721684</v>
      </c>
      <c r="I310" s="100">
        <f t="shared" si="63"/>
        <v>2984.9357987084682</v>
      </c>
      <c r="J310" s="100">
        <f t="shared" si="64"/>
        <v>1716.7798493964865</v>
      </c>
      <c r="K310" s="100">
        <f t="shared" si="65"/>
        <v>2247.2648228600005</v>
      </c>
      <c r="L310" s="101">
        <f t="shared" si="66"/>
        <v>10549.41747274547</v>
      </c>
      <c r="M310" s="100">
        <f t="shared" si="67"/>
        <v>49797.827257928453</v>
      </c>
      <c r="N310" s="102">
        <f t="shared" si="68"/>
        <v>38042.64878374977</v>
      </c>
      <c r="O310" s="94">
        <f t="shared" si="69"/>
        <v>0.93814382348642777</v>
      </c>
      <c r="P310" s="100">
        <f>'K22'!C304</f>
        <v>1309</v>
      </c>
      <c r="Q310" s="100"/>
      <c r="R310" s="100">
        <f t="shared" si="72"/>
        <v>0</v>
      </c>
      <c r="S310" s="100">
        <v>0</v>
      </c>
      <c r="U310" s="100">
        <v>1853.5716666666667</v>
      </c>
      <c r="V310" s="5">
        <f t="shared" si="73"/>
        <v>37394.838118516316</v>
      </c>
      <c r="W310" s="5">
        <f t="shared" si="74"/>
        <v>28567.48519367175</v>
      </c>
    </row>
    <row r="311" spans="1:23" ht="13">
      <c r="A311" s="92">
        <v>5043</v>
      </c>
      <c r="B311" s="93" t="s">
        <v>617</v>
      </c>
      <c r="C311" s="574">
        <v>0.74399338965478556</v>
      </c>
      <c r="D311" s="100">
        <f t="shared" si="60"/>
        <v>30169.658970715336</v>
      </c>
      <c r="E311" s="100">
        <f t="shared" si="61"/>
        <v>13304.819606085463</v>
      </c>
      <c r="F311" s="100">
        <f t="shared" si="70"/>
        <v>6230.6710201645828</v>
      </c>
      <c r="G311" s="100">
        <f t="shared" si="62"/>
        <v>2747.7259198925813</v>
      </c>
      <c r="H311" s="100">
        <f t="shared" si="71"/>
        <v>2215.1642216113701</v>
      </c>
      <c r="I311" s="100">
        <f t="shared" si="63"/>
        <v>976.88742173061416</v>
      </c>
      <c r="J311" s="100">
        <f t="shared" si="64"/>
        <v>1651.6264249356882</v>
      </c>
      <c r="K311" s="100">
        <f t="shared" si="65"/>
        <v>728.36725339663849</v>
      </c>
      <c r="L311" s="101">
        <f t="shared" si="66"/>
        <v>3476.0931732892195</v>
      </c>
      <c r="M311" s="100">
        <f t="shared" si="67"/>
        <v>16780.912779374681</v>
      </c>
      <c r="N311" s="102">
        <f t="shared" si="68"/>
        <v>38051.956415815606</v>
      </c>
      <c r="O311" s="94">
        <f t="shared" si="69"/>
        <v>0.93837335265469057</v>
      </c>
      <c r="P311" s="100">
        <f>'K22'!C305</f>
        <v>441</v>
      </c>
      <c r="Q311" s="100"/>
      <c r="R311" s="100">
        <f t="shared" si="72"/>
        <v>0</v>
      </c>
      <c r="S311" s="100">
        <v>0</v>
      </c>
      <c r="U311" s="100">
        <v>3103.2913333333331</v>
      </c>
      <c r="V311" s="5">
        <f t="shared" si="73"/>
        <v>10201.52827275213</v>
      </c>
      <c r="W311" s="5">
        <f t="shared" si="74"/>
        <v>23132.71717177354</v>
      </c>
    </row>
    <row r="312" spans="1:23" ht="13">
      <c r="A312" s="92">
        <v>5044</v>
      </c>
      <c r="B312" s="93" t="s">
        <v>618</v>
      </c>
      <c r="C312" s="574">
        <v>0.99685577624076294</v>
      </c>
      <c r="D312" s="100">
        <f t="shared" si="60"/>
        <v>40423.475840459148</v>
      </c>
      <c r="E312" s="100">
        <f t="shared" si="61"/>
        <v>33066.403237495586</v>
      </c>
      <c r="F312" s="100">
        <f t="shared" si="70"/>
        <v>78.38089831829565</v>
      </c>
      <c r="G312" s="100">
        <f t="shared" si="62"/>
        <v>64.115574824365837</v>
      </c>
      <c r="H312" s="100">
        <f t="shared" si="71"/>
        <v>0</v>
      </c>
      <c r="I312" s="100">
        <f t="shared" si="63"/>
        <v>0</v>
      </c>
      <c r="J312" s="100">
        <f t="shared" si="64"/>
        <v>-563.53779667568176</v>
      </c>
      <c r="K312" s="100">
        <f t="shared" si="65"/>
        <v>-460.9739176807077</v>
      </c>
      <c r="L312" s="101">
        <f t="shared" si="66"/>
        <v>-396.85834285634189</v>
      </c>
      <c r="M312" s="100">
        <f t="shared" si="67"/>
        <v>32669.544894639243</v>
      </c>
      <c r="N312" s="102">
        <f t="shared" si="68"/>
        <v>39938.318942101767</v>
      </c>
      <c r="O312" s="94">
        <f t="shared" si="69"/>
        <v>0.98489165275916568</v>
      </c>
      <c r="P312" s="100">
        <f>'K22'!C306</f>
        <v>818</v>
      </c>
      <c r="Q312" s="100"/>
      <c r="R312" s="100">
        <f t="shared" si="72"/>
        <v>0</v>
      </c>
      <c r="S312" s="100">
        <v>0</v>
      </c>
      <c r="U312" s="100">
        <v>9239.7773333333334</v>
      </c>
      <c r="V312" s="5">
        <f t="shared" si="73"/>
        <v>23826.625904162254</v>
      </c>
      <c r="W312" s="5">
        <f t="shared" si="74"/>
        <v>29127.904528315714</v>
      </c>
    </row>
    <row r="313" spans="1:23" ht="13">
      <c r="A313" s="92">
        <v>5045</v>
      </c>
      <c r="B313" s="93" t="s">
        <v>619</v>
      </c>
      <c r="C313" s="574">
        <v>0.77628885562824002</v>
      </c>
      <c r="D313" s="100">
        <f t="shared" si="60"/>
        <v>31479.271674628686</v>
      </c>
      <c r="E313" s="100">
        <f t="shared" si="61"/>
        <v>71993.094319875803</v>
      </c>
      <c r="F313" s="100">
        <f t="shared" si="70"/>
        <v>5444.9033978165726</v>
      </c>
      <c r="G313" s="100">
        <f t="shared" si="62"/>
        <v>12452.494070806501</v>
      </c>
      <c r="H313" s="100">
        <f t="shared" si="71"/>
        <v>1756.7997752416977</v>
      </c>
      <c r="I313" s="100">
        <f t="shared" si="63"/>
        <v>4017.8010859777623</v>
      </c>
      <c r="J313" s="100">
        <f t="shared" si="64"/>
        <v>1193.2619785660158</v>
      </c>
      <c r="K313" s="100">
        <f t="shared" si="65"/>
        <v>2728.9901449804779</v>
      </c>
      <c r="L313" s="101">
        <f t="shared" si="66"/>
        <v>15181.484215786979</v>
      </c>
      <c r="M313" s="100">
        <f t="shared" si="67"/>
        <v>87174.578535662775</v>
      </c>
      <c r="N313" s="102">
        <f t="shared" si="68"/>
        <v>38117.437051011271</v>
      </c>
      <c r="O313" s="94">
        <f t="shared" si="69"/>
        <v>0.93998812595336323</v>
      </c>
      <c r="P313" s="100">
        <f>'K22'!C307</f>
        <v>2287</v>
      </c>
      <c r="Q313" s="100"/>
      <c r="R313" s="100">
        <f t="shared" si="72"/>
        <v>0</v>
      </c>
      <c r="S313" s="100">
        <v>0</v>
      </c>
      <c r="U313" s="100">
        <v>5248.4826666666668</v>
      </c>
      <c r="V313" s="5">
        <f t="shared" si="73"/>
        <v>66744.61165320914</v>
      </c>
      <c r="W313" s="5">
        <f t="shared" si="74"/>
        <v>29184.351400616153</v>
      </c>
    </row>
    <row r="314" spans="1:23" ht="13">
      <c r="A314" s="92">
        <v>5046</v>
      </c>
      <c r="B314" s="93" t="s">
        <v>620</v>
      </c>
      <c r="C314" s="574">
        <v>0.65960607730519905</v>
      </c>
      <c r="D314" s="100">
        <f t="shared" si="60"/>
        <v>26747.670992806583</v>
      </c>
      <c r="E314" s="100">
        <f t="shared" si="61"/>
        <v>31909.971494418252</v>
      </c>
      <c r="F314" s="100">
        <f t="shared" si="70"/>
        <v>8283.8638069098342</v>
      </c>
      <c r="G314" s="100">
        <f t="shared" si="62"/>
        <v>9882.6495216434323</v>
      </c>
      <c r="H314" s="100">
        <f t="shared" si="71"/>
        <v>3412.8600138794336</v>
      </c>
      <c r="I314" s="100">
        <f t="shared" si="63"/>
        <v>4071.5419965581641</v>
      </c>
      <c r="J314" s="100">
        <f t="shared" si="64"/>
        <v>2849.3222172037517</v>
      </c>
      <c r="K314" s="100">
        <f t="shared" si="65"/>
        <v>3399.2414051240758</v>
      </c>
      <c r="L314" s="101">
        <f t="shared" si="66"/>
        <v>13281.890926767508</v>
      </c>
      <c r="M314" s="100">
        <f t="shared" si="67"/>
        <v>45191.86242118576</v>
      </c>
      <c r="N314" s="102">
        <f t="shared" si="68"/>
        <v>37880.85701692017</v>
      </c>
      <c r="O314" s="94">
        <f t="shared" si="69"/>
        <v>0.93415398703721131</v>
      </c>
      <c r="P314" s="100">
        <f>'K22'!C308</f>
        <v>1193</v>
      </c>
      <c r="Q314" s="100"/>
      <c r="R314" s="100">
        <f t="shared" si="72"/>
        <v>0</v>
      </c>
      <c r="S314" s="100">
        <v>0</v>
      </c>
      <c r="U314" s="100">
        <v>0</v>
      </c>
      <c r="V314" s="5">
        <f t="shared" si="73"/>
        <v>31909.971494418252</v>
      </c>
      <c r="W314" s="5">
        <f t="shared" si="74"/>
        <v>26747.670992806583</v>
      </c>
    </row>
    <row r="315" spans="1:23" ht="13">
      <c r="A315" s="92">
        <v>5047</v>
      </c>
      <c r="B315" s="93" t="s">
        <v>621</v>
      </c>
      <c r="C315" s="574">
        <v>0.72876560087031161</v>
      </c>
      <c r="D315" s="100">
        <f t="shared" si="60"/>
        <v>29552.157255116985</v>
      </c>
      <c r="E315" s="100">
        <f t="shared" si="61"/>
        <v>112800.58424278154</v>
      </c>
      <c r="F315" s="100">
        <f t="shared" si="70"/>
        <v>6601.1720495235941</v>
      </c>
      <c r="G315" s="100">
        <f t="shared" si="62"/>
        <v>25196.67371303156</v>
      </c>
      <c r="H315" s="100">
        <f t="shared" si="71"/>
        <v>2431.289822070793</v>
      </c>
      <c r="I315" s="100">
        <f t="shared" si="63"/>
        <v>9280.2332508442159</v>
      </c>
      <c r="J315" s="100">
        <f t="shared" si="64"/>
        <v>1867.7520253951111</v>
      </c>
      <c r="K315" s="100">
        <f t="shared" si="65"/>
        <v>7129.2094809331393</v>
      </c>
      <c r="L315" s="101">
        <f t="shared" si="66"/>
        <v>32325.883193964699</v>
      </c>
      <c r="M315" s="100">
        <f t="shared" si="67"/>
        <v>145126.46743674623</v>
      </c>
      <c r="N315" s="102">
        <f t="shared" si="68"/>
        <v>38021.081330035689</v>
      </c>
      <c r="O315" s="94">
        <f t="shared" si="69"/>
        <v>0.93761196321546691</v>
      </c>
      <c r="P315" s="100">
        <f>'K22'!C309</f>
        <v>3817</v>
      </c>
      <c r="Q315" s="100"/>
      <c r="R315" s="100">
        <f t="shared" si="72"/>
        <v>0</v>
      </c>
      <c r="S315" s="100">
        <v>0</v>
      </c>
      <c r="U315" s="100">
        <v>101.76266666666668</v>
      </c>
      <c r="V315" s="5">
        <f t="shared" si="73"/>
        <v>112698.82157611487</v>
      </c>
      <c r="W315" s="5">
        <f t="shared" si="74"/>
        <v>29525.496876110788</v>
      </c>
    </row>
    <row r="316" spans="1:23" ht="13">
      <c r="A316" s="92">
        <v>5049</v>
      </c>
      <c r="B316" s="93" t="s">
        <v>622</v>
      </c>
      <c r="C316" s="574">
        <v>1.1224792880463932</v>
      </c>
      <c r="D316" s="100">
        <f t="shared" si="60"/>
        <v>45517.632001763319</v>
      </c>
      <c r="E316" s="100">
        <f t="shared" si="61"/>
        <v>50114.912833941416</v>
      </c>
      <c r="F316" s="100">
        <f t="shared" si="70"/>
        <v>-2978.1127984642067</v>
      </c>
      <c r="G316" s="100">
        <f t="shared" si="62"/>
        <v>-3278.9021911090913</v>
      </c>
      <c r="H316" s="100">
        <f t="shared" si="71"/>
        <v>0</v>
      </c>
      <c r="I316" s="100">
        <f t="shared" si="63"/>
        <v>0</v>
      </c>
      <c r="J316" s="100">
        <f t="shared" si="64"/>
        <v>-563.53779667568176</v>
      </c>
      <c r="K316" s="100">
        <f t="shared" si="65"/>
        <v>-620.45511413992563</v>
      </c>
      <c r="L316" s="101">
        <f t="shared" si="66"/>
        <v>-3899.3573052490169</v>
      </c>
      <c r="M316" s="100">
        <f t="shared" si="67"/>
        <v>46215.555528692399</v>
      </c>
      <c r="N316" s="102">
        <f t="shared" si="68"/>
        <v>41975.981406623432</v>
      </c>
      <c r="O316" s="94">
        <f t="shared" si="69"/>
        <v>1.0351410574814177</v>
      </c>
      <c r="P316" s="100">
        <f>'K22'!C310</f>
        <v>1101</v>
      </c>
      <c r="Q316" s="100"/>
      <c r="R316" s="100">
        <f t="shared" si="72"/>
        <v>0</v>
      </c>
      <c r="S316" s="100">
        <v>0</v>
      </c>
      <c r="U316" s="100">
        <v>0</v>
      </c>
      <c r="V316" s="5">
        <f t="shared" si="73"/>
        <v>50114.912833941416</v>
      </c>
      <c r="W316" s="5">
        <f t="shared" si="74"/>
        <v>45517.632001763319</v>
      </c>
    </row>
    <row r="317" spans="1:23" ht="13">
      <c r="A317" s="92">
        <v>5052</v>
      </c>
      <c r="B317" s="93" t="s">
        <v>623</v>
      </c>
      <c r="C317" s="574">
        <v>0.74473247837808454</v>
      </c>
      <c r="D317" s="100">
        <f t="shared" si="60"/>
        <v>30199.629740672553</v>
      </c>
      <c r="E317" s="100">
        <f t="shared" si="61"/>
        <v>17213.788952183353</v>
      </c>
      <c r="F317" s="100">
        <f t="shared" si="70"/>
        <v>6212.6885581902525</v>
      </c>
      <c r="G317" s="100">
        <f t="shared" si="62"/>
        <v>3541.2324781684438</v>
      </c>
      <c r="H317" s="100">
        <f t="shared" si="71"/>
        <v>2204.674452126344</v>
      </c>
      <c r="I317" s="100">
        <f t="shared" si="63"/>
        <v>1256.664437712016</v>
      </c>
      <c r="J317" s="100">
        <f t="shared" si="64"/>
        <v>1641.1366554506621</v>
      </c>
      <c r="K317" s="100">
        <f t="shared" si="65"/>
        <v>935.44789360687741</v>
      </c>
      <c r="L317" s="101">
        <f t="shared" si="66"/>
        <v>4476.680371775321</v>
      </c>
      <c r="M317" s="100">
        <f t="shared" si="67"/>
        <v>21690.469323958674</v>
      </c>
      <c r="N317" s="102">
        <f t="shared" si="68"/>
        <v>38053.454954313464</v>
      </c>
      <c r="O317" s="94">
        <f t="shared" si="69"/>
        <v>0.93841030709085549</v>
      </c>
      <c r="P317" s="100">
        <f>'K22'!C311</f>
        <v>570</v>
      </c>
      <c r="Q317" s="100"/>
      <c r="R317" s="100">
        <f t="shared" si="72"/>
        <v>0</v>
      </c>
      <c r="S317" s="100">
        <v>0</v>
      </c>
      <c r="U317" s="100">
        <v>0</v>
      </c>
      <c r="V317" s="5">
        <f t="shared" si="73"/>
        <v>17213.788952183353</v>
      </c>
      <c r="W317" s="5">
        <f t="shared" si="74"/>
        <v>30199.629740672553</v>
      </c>
    </row>
    <row r="318" spans="1:23" ht="13">
      <c r="A318" s="92">
        <v>5053</v>
      </c>
      <c r="B318" s="93" t="s">
        <v>615</v>
      </c>
      <c r="C318" s="574">
        <v>0.77401680040019361</v>
      </c>
      <c r="D318" s="100">
        <f t="shared" si="60"/>
        <v>31387.137614909963</v>
      </c>
      <c r="E318" s="100">
        <f t="shared" si="61"/>
        <v>213244.21295569828</v>
      </c>
      <c r="F318" s="100">
        <f t="shared" si="70"/>
        <v>5500.1838336478068</v>
      </c>
      <c r="G318" s="100">
        <f t="shared" si="62"/>
        <v>37368.248965803199</v>
      </c>
      <c r="H318" s="100">
        <f t="shared" si="71"/>
        <v>1789.0466961432508</v>
      </c>
      <c r="I318" s="100">
        <f t="shared" si="63"/>
        <v>12154.783253597247</v>
      </c>
      <c r="J318" s="100">
        <f t="shared" si="64"/>
        <v>1225.5088994675689</v>
      </c>
      <c r="K318" s="100">
        <f t="shared" si="65"/>
        <v>8326.1074629826635</v>
      </c>
      <c r="L318" s="101">
        <f t="shared" si="66"/>
        <v>45694.356428785861</v>
      </c>
      <c r="M318" s="100">
        <f t="shared" si="67"/>
        <v>258938.56938448414</v>
      </c>
      <c r="N318" s="102">
        <f t="shared" si="68"/>
        <v>38112.830348025338</v>
      </c>
      <c r="O318" s="94">
        <f t="shared" si="69"/>
        <v>0.93987452319196096</v>
      </c>
      <c r="P318" s="100">
        <f>'K22'!C312</f>
        <v>6794</v>
      </c>
      <c r="Q318" s="100"/>
      <c r="R318" s="100">
        <f t="shared" si="72"/>
        <v>0</v>
      </c>
      <c r="S318" s="100">
        <v>0</v>
      </c>
      <c r="U318" s="100">
        <v>754.46366666666654</v>
      </c>
      <c r="V318" s="5">
        <f t="shared" si="73"/>
        <v>212489.74928903161</v>
      </c>
      <c r="W318" s="5">
        <f t="shared" si="74"/>
        <v>31276.089091703208</v>
      </c>
    </row>
    <row r="319" spans="1:23" ht="13">
      <c r="A319" s="92">
        <v>5054</v>
      </c>
      <c r="B319" s="93" t="s">
        <v>1260</v>
      </c>
      <c r="C319" s="574">
        <v>0.69459338550806327</v>
      </c>
      <c r="D319" s="100">
        <f t="shared" si="60"/>
        <v>28166.440529554086</v>
      </c>
      <c r="E319" s="100">
        <f t="shared" si="61"/>
        <v>278819.59480205592</v>
      </c>
      <c r="F319" s="100">
        <f t="shared" si="70"/>
        <v>7432.6020848613334</v>
      </c>
      <c r="G319" s="100">
        <f t="shared" si="62"/>
        <v>73575.328038042338</v>
      </c>
      <c r="H319" s="100">
        <f t="shared" si="71"/>
        <v>2916.290676017808</v>
      </c>
      <c r="I319" s="100">
        <f t="shared" si="63"/>
        <v>28868.361401900282</v>
      </c>
      <c r="J319" s="100">
        <f t="shared" si="64"/>
        <v>2352.7528793421261</v>
      </c>
      <c r="K319" s="100">
        <f t="shared" si="65"/>
        <v>23289.900752607708</v>
      </c>
      <c r="L319" s="101">
        <f t="shared" si="66"/>
        <v>96865.228790650042</v>
      </c>
      <c r="M319" s="100">
        <f t="shared" si="67"/>
        <v>375684.823592706</v>
      </c>
      <c r="N319" s="102">
        <f t="shared" si="68"/>
        <v>37951.795493757556</v>
      </c>
      <c r="O319" s="94">
        <f t="shared" si="69"/>
        <v>0.93590335244735479</v>
      </c>
      <c r="P319" s="100">
        <f>'K22'!C313</f>
        <v>9899</v>
      </c>
      <c r="Q319" s="100"/>
      <c r="R319" s="100">
        <f t="shared" si="72"/>
        <v>0</v>
      </c>
      <c r="S319" s="100">
        <v>0</v>
      </c>
      <c r="U319" s="100">
        <v>587.27066666666667</v>
      </c>
      <c r="V319" s="5">
        <f t="shared" si="73"/>
        <v>278232.32413538924</v>
      </c>
      <c r="W319" s="5">
        <f t="shared" si="74"/>
        <v>28107.114267642108</v>
      </c>
    </row>
    <row r="320" spans="1:23" ht="13">
      <c r="A320" s="92">
        <v>5055</v>
      </c>
      <c r="B320" s="93" t="s">
        <v>1833</v>
      </c>
      <c r="C320" s="574">
        <v>0.82424762538226648</v>
      </c>
      <c r="D320" s="100">
        <f t="shared" si="60"/>
        <v>33424.046652811492</v>
      </c>
      <c r="E320" s="100">
        <f t="shared" si="61"/>
        <v>196667.09050514281</v>
      </c>
      <c r="F320" s="100">
        <f t="shared" si="70"/>
        <v>4278.0384109068891</v>
      </c>
      <c r="G320" s="100">
        <f t="shared" si="62"/>
        <v>25171.978009776132</v>
      </c>
      <c r="H320" s="100">
        <f t="shared" si="71"/>
        <v>1076.1285328777158</v>
      </c>
      <c r="I320" s="100">
        <f t="shared" si="63"/>
        <v>6331.9402874524794</v>
      </c>
      <c r="J320" s="100">
        <f t="shared" si="64"/>
        <v>512.59073620203401</v>
      </c>
      <c r="K320" s="100">
        <f t="shared" si="65"/>
        <v>3016.0838918127683</v>
      </c>
      <c r="L320" s="101">
        <f t="shared" si="66"/>
        <v>28188.061901588902</v>
      </c>
      <c r="M320" s="100">
        <f t="shared" si="67"/>
        <v>224855.15240673171</v>
      </c>
      <c r="N320" s="102">
        <f t="shared" si="68"/>
        <v>38214.675799920413</v>
      </c>
      <c r="O320" s="94">
        <f t="shared" si="69"/>
        <v>0.94238606444106454</v>
      </c>
      <c r="P320" s="100">
        <f>'K22'!C314</f>
        <v>5884</v>
      </c>
      <c r="Q320" s="100"/>
      <c r="R320" s="100">
        <f t="shared" si="72"/>
        <v>0</v>
      </c>
      <c r="S320" s="100">
        <v>0</v>
      </c>
      <c r="U320" s="100">
        <v>1831.182</v>
      </c>
      <c r="V320" s="5">
        <f t="shared" si="73"/>
        <v>194835.90850514281</v>
      </c>
      <c r="W320" s="5">
        <f t="shared" si="74"/>
        <v>33112.832852675529</v>
      </c>
    </row>
    <row r="321" spans="1:23" ht="13">
      <c r="A321" s="92">
        <v>5056</v>
      </c>
      <c r="B321" s="93" t="s">
        <v>593</v>
      </c>
      <c r="C321" s="574">
        <v>0.84301233858939617</v>
      </c>
      <c r="D321" s="100">
        <f t="shared" si="60"/>
        <v>34184.974109982941</v>
      </c>
      <c r="E321" s="100">
        <f t="shared" si="61"/>
        <v>176257.72651107205</v>
      </c>
      <c r="F321" s="100">
        <f t="shared" si="70"/>
        <v>3821.4819366040201</v>
      </c>
      <c r="G321" s="100">
        <f t="shared" si="62"/>
        <v>19703.560865130326</v>
      </c>
      <c r="H321" s="100">
        <f t="shared" si="71"/>
        <v>809.80392286770871</v>
      </c>
      <c r="I321" s="100">
        <f t="shared" si="63"/>
        <v>4175.3490263059057</v>
      </c>
      <c r="J321" s="100">
        <f t="shared" si="64"/>
        <v>246.26612619202695</v>
      </c>
      <c r="K321" s="100">
        <f t="shared" si="65"/>
        <v>1269.7481466460911</v>
      </c>
      <c r="L321" s="101">
        <f t="shared" si="66"/>
        <v>20973.309011776419</v>
      </c>
      <c r="M321" s="100">
        <f t="shared" si="67"/>
        <v>197231.03552284848</v>
      </c>
      <c r="N321" s="102">
        <f t="shared" si="68"/>
        <v>38252.722172778995</v>
      </c>
      <c r="O321" s="94">
        <f t="shared" si="69"/>
        <v>0.94332430010142132</v>
      </c>
      <c r="P321" s="100">
        <f>'K22'!C315</f>
        <v>5156</v>
      </c>
      <c r="Q321" s="100"/>
      <c r="R321" s="100">
        <f t="shared" si="72"/>
        <v>0</v>
      </c>
      <c r="S321" s="100">
        <v>0</v>
      </c>
      <c r="U321" s="100">
        <v>0</v>
      </c>
      <c r="V321" s="5">
        <f t="shared" si="73"/>
        <v>176257.72651107205</v>
      </c>
      <c r="W321" s="5">
        <f t="shared" si="74"/>
        <v>34184.974109982941</v>
      </c>
    </row>
    <row r="322" spans="1:23" ht="13">
      <c r="A322" s="92">
        <v>5057</v>
      </c>
      <c r="B322" s="93" t="s">
        <v>595</v>
      </c>
      <c r="C322" s="574">
        <v>0.76326926275484519</v>
      </c>
      <c r="D322" s="100">
        <f t="shared" si="60"/>
        <v>30951.314461043581</v>
      </c>
      <c r="E322" s="100">
        <f t="shared" si="61"/>
        <v>320996.08227548294</v>
      </c>
      <c r="F322" s="100">
        <f t="shared" si="70"/>
        <v>5761.6777259676355</v>
      </c>
      <c r="G322" s="100">
        <f t="shared" si="62"/>
        <v>59754.359696010353</v>
      </c>
      <c r="H322" s="100">
        <f t="shared" si="71"/>
        <v>1941.5847999964844</v>
      </c>
      <c r="I322" s="100">
        <f t="shared" si="63"/>
        <v>20136.175960763539</v>
      </c>
      <c r="J322" s="100">
        <f t="shared" si="64"/>
        <v>1378.0470033208026</v>
      </c>
      <c r="K322" s="100">
        <f t="shared" si="65"/>
        <v>14291.725471440044</v>
      </c>
      <c r="L322" s="101">
        <f t="shared" si="66"/>
        <v>74046.085167450394</v>
      </c>
      <c r="M322" s="100">
        <f t="shared" si="67"/>
        <v>395042.16744293337</v>
      </c>
      <c r="N322" s="102">
        <f t="shared" si="68"/>
        <v>38091.03919033202</v>
      </c>
      <c r="O322" s="94">
        <f t="shared" si="69"/>
        <v>0.93933714630969356</v>
      </c>
      <c r="P322" s="100">
        <f>'K22'!C316</f>
        <v>10371</v>
      </c>
      <c r="Q322" s="100"/>
      <c r="R322" s="100">
        <f t="shared" si="72"/>
        <v>0</v>
      </c>
      <c r="S322" s="100">
        <v>0</v>
      </c>
      <c r="U322" s="100">
        <v>0</v>
      </c>
      <c r="V322" s="5">
        <f t="shared" si="73"/>
        <v>320996.08227548294</v>
      </c>
      <c r="W322" s="5">
        <f t="shared" si="74"/>
        <v>30951.314461043577</v>
      </c>
    </row>
    <row r="323" spans="1:23" ht="13">
      <c r="A323" s="92">
        <v>5058</v>
      </c>
      <c r="B323" s="93" t="s">
        <v>596</v>
      </c>
      <c r="C323" s="574">
        <v>0.82303673336023597</v>
      </c>
      <c r="D323" s="100">
        <f t="shared" si="60"/>
        <v>33374.943798050954</v>
      </c>
      <c r="E323" s="100">
        <f t="shared" si="61"/>
        <v>141910.26102931268</v>
      </c>
      <c r="F323" s="100">
        <f t="shared" si="70"/>
        <v>4307.5001237632123</v>
      </c>
      <c r="G323" s="100">
        <f t="shared" si="62"/>
        <v>18315.490526241181</v>
      </c>
      <c r="H323" s="100">
        <f t="shared" si="71"/>
        <v>1093.3145320439041</v>
      </c>
      <c r="I323" s="100">
        <f t="shared" si="63"/>
        <v>4648.7733902506798</v>
      </c>
      <c r="J323" s="100">
        <f t="shared" si="64"/>
        <v>529.77673536822238</v>
      </c>
      <c r="K323" s="100">
        <f t="shared" si="65"/>
        <v>2252.6106787856816</v>
      </c>
      <c r="L323" s="101">
        <f t="shared" si="66"/>
        <v>20568.101205026862</v>
      </c>
      <c r="M323" s="100">
        <f t="shared" si="67"/>
        <v>162478.36223433955</v>
      </c>
      <c r="N323" s="102">
        <f t="shared" si="68"/>
        <v>38212.220657182399</v>
      </c>
      <c r="O323" s="94">
        <f t="shared" si="69"/>
        <v>0.94232551983996338</v>
      </c>
      <c r="P323" s="100">
        <f>'K22'!C317</f>
        <v>4252</v>
      </c>
      <c r="Q323" s="100"/>
      <c r="R323" s="100">
        <f t="shared" si="72"/>
        <v>0</v>
      </c>
      <c r="S323" s="100">
        <v>0</v>
      </c>
      <c r="U323" s="100">
        <v>581.72200000000009</v>
      </c>
      <c r="V323" s="5">
        <f t="shared" si="73"/>
        <v>141328.53902931267</v>
      </c>
      <c r="W323" s="5">
        <f t="shared" si="74"/>
        <v>33238.132415172309</v>
      </c>
    </row>
    <row r="324" spans="1:23" ht="13">
      <c r="A324" s="92">
        <v>5059</v>
      </c>
      <c r="B324" s="93" t="s">
        <v>1834</v>
      </c>
      <c r="C324" s="574">
        <v>0.74953036888919344</v>
      </c>
      <c r="D324" s="100">
        <f t="shared" si="60"/>
        <v>30394.188889331323</v>
      </c>
      <c r="E324" s="100">
        <f t="shared" si="61"/>
        <v>562353.28283040808</v>
      </c>
      <c r="F324" s="100">
        <f t="shared" si="70"/>
        <v>6095.9530689949906</v>
      </c>
      <c r="G324" s="100">
        <f t="shared" si="62"/>
        <v>112787.32368254532</v>
      </c>
      <c r="H324" s="100">
        <f t="shared" si="71"/>
        <v>2136.5787500957749</v>
      </c>
      <c r="I324" s="100">
        <f t="shared" si="63"/>
        <v>39530.980034272026</v>
      </c>
      <c r="J324" s="100">
        <f t="shared" si="64"/>
        <v>1573.040953420093</v>
      </c>
      <c r="K324" s="100">
        <f t="shared" si="65"/>
        <v>29104.403720178561</v>
      </c>
      <c r="L324" s="101">
        <f t="shared" si="66"/>
        <v>141891.72740272389</v>
      </c>
      <c r="M324" s="100">
        <f t="shared" si="67"/>
        <v>704245.01023313194</v>
      </c>
      <c r="N324" s="102">
        <f t="shared" si="68"/>
        <v>38063.1829117464</v>
      </c>
      <c r="O324" s="94">
        <f t="shared" si="69"/>
        <v>0.93865020161641088</v>
      </c>
      <c r="P324" s="100">
        <f>'K22'!C318</f>
        <v>18502</v>
      </c>
      <c r="Q324" s="100"/>
      <c r="R324" s="100">
        <f t="shared" si="72"/>
        <v>0</v>
      </c>
      <c r="S324" s="100">
        <v>0</v>
      </c>
      <c r="U324" s="100">
        <v>2340.4306666666666</v>
      </c>
      <c r="V324" s="5">
        <f t="shared" si="73"/>
        <v>560012.85216374137</v>
      </c>
      <c r="W324" s="5">
        <f t="shared" si="74"/>
        <v>30267.692798818578</v>
      </c>
    </row>
    <row r="325" spans="1:23" ht="13">
      <c r="A325" s="92">
        <v>5060</v>
      </c>
      <c r="B325" s="93" t="s">
        <v>1835</v>
      </c>
      <c r="C325" s="574">
        <v>0.95254868033804629</v>
      </c>
      <c r="D325" s="100">
        <f t="shared" si="60"/>
        <v>38626.779805312945</v>
      </c>
      <c r="E325" s="100">
        <f t="shared" si="61"/>
        <v>375915.82106530562</v>
      </c>
      <c r="F325" s="100">
        <f t="shared" si="70"/>
        <v>1156.3985194060181</v>
      </c>
      <c r="G325" s="100">
        <f t="shared" si="62"/>
        <v>11254.070390859368</v>
      </c>
      <c r="H325" s="100">
        <f t="shared" si="71"/>
        <v>0</v>
      </c>
      <c r="I325" s="100">
        <f t="shared" si="63"/>
        <v>0</v>
      </c>
      <c r="J325" s="100">
        <f t="shared" si="64"/>
        <v>-563.53779667568176</v>
      </c>
      <c r="K325" s="100">
        <f t="shared" si="65"/>
        <v>-5484.3498372477352</v>
      </c>
      <c r="L325" s="101">
        <f t="shared" si="66"/>
        <v>5769.7205536116326</v>
      </c>
      <c r="M325" s="100">
        <f t="shared" si="67"/>
        <v>381685.54161891725</v>
      </c>
      <c r="N325" s="102">
        <f t="shared" si="68"/>
        <v>39219.640528043281</v>
      </c>
      <c r="O325" s="94">
        <f t="shared" si="69"/>
        <v>0.96716881439807889</v>
      </c>
      <c r="P325" s="100">
        <f>'K22'!C319</f>
        <v>9732</v>
      </c>
      <c r="Q325" s="100"/>
      <c r="R325" s="100">
        <f t="shared" si="72"/>
        <v>0</v>
      </c>
      <c r="S325" s="100">
        <v>0</v>
      </c>
      <c r="U325" s="100">
        <v>0</v>
      </c>
      <c r="V325" s="5">
        <f t="shared" si="73"/>
        <v>375915.82106530562</v>
      </c>
      <c r="W325" s="5">
        <f t="shared" si="74"/>
        <v>38626.779805312945</v>
      </c>
    </row>
    <row r="326" spans="1:23" ht="13">
      <c r="A326" s="92">
        <v>5061</v>
      </c>
      <c r="B326" s="93" t="s">
        <v>590</v>
      </c>
      <c r="C326" s="574">
        <v>0.72399064728584928</v>
      </c>
      <c r="D326" s="100">
        <f t="shared" si="60"/>
        <v>29358.528221247387</v>
      </c>
      <c r="E326" s="100">
        <f t="shared" si="61"/>
        <v>58129.885878069828</v>
      </c>
      <c r="F326" s="100">
        <f t="shared" si="70"/>
        <v>6717.3494698453524</v>
      </c>
      <c r="G326" s="100">
        <f t="shared" si="62"/>
        <v>13300.351950293798</v>
      </c>
      <c r="H326" s="100">
        <f t="shared" si="71"/>
        <v>2499.0599839251527</v>
      </c>
      <c r="I326" s="100">
        <f t="shared" si="63"/>
        <v>4948.1387681718024</v>
      </c>
      <c r="J326" s="100">
        <f t="shared" si="64"/>
        <v>1935.5221872494708</v>
      </c>
      <c r="K326" s="100">
        <f t="shared" si="65"/>
        <v>3832.3339307539522</v>
      </c>
      <c r="L326" s="101">
        <f t="shared" si="66"/>
        <v>17132.68588104775</v>
      </c>
      <c r="M326" s="100">
        <f t="shared" si="67"/>
        <v>75262.571759117578</v>
      </c>
      <c r="N326" s="102">
        <f t="shared" si="68"/>
        <v>38011.399878342207</v>
      </c>
      <c r="O326" s="94">
        <f t="shared" si="69"/>
        <v>0.93737321553624375</v>
      </c>
      <c r="P326" s="100">
        <f>'K22'!C320</f>
        <v>1980</v>
      </c>
      <c r="Q326" s="100"/>
      <c r="R326" s="100">
        <f t="shared" si="72"/>
        <v>0</v>
      </c>
      <c r="S326" s="100">
        <v>0</v>
      </c>
      <c r="U326" s="100">
        <v>3523.9503333333337</v>
      </c>
      <c r="V326" s="5">
        <f t="shared" si="73"/>
        <v>54605.935544736494</v>
      </c>
      <c r="W326" s="5">
        <f t="shared" si="74"/>
        <v>27578.755325624494</v>
      </c>
    </row>
    <row r="327" spans="1:23" ht="13">
      <c r="A327" s="92">
        <v>5401</v>
      </c>
      <c r="B327" s="93" t="s">
        <v>665</v>
      </c>
      <c r="C327" s="574">
        <v>0.94447974080041486</v>
      </c>
      <c r="D327" s="100">
        <f t="shared" si="60"/>
        <v>38299.576422204103</v>
      </c>
      <c r="E327" s="100">
        <f t="shared" si="61"/>
        <v>2969902.3540833951</v>
      </c>
      <c r="F327" s="100">
        <f t="shared" si="70"/>
        <v>1352.7205492713226</v>
      </c>
      <c r="G327" s="100">
        <f t="shared" si="62"/>
        <v>104895.36227269543</v>
      </c>
      <c r="H327" s="100">
        <f t="shared" si="71"/>
        <v>0</v>
      </c>
      <c r="I327" s="100">
        <f t="shared" si="63"/>
        <v>0</v>
      </c>
      <c r="J327" s="100">
        <f t="shared" si="64"/>
        <v>-563.53779667568176</v>
      </c>
      <c r="K327" s="100">
        <f t="shared" si="65"/>
        <v>-43698.974905419069</v>
      </c>
      <c r="L327" s="101">
        <f t="shared" si="66"/>
        <v>61196.387367276366</v>
      </c>
      <c r="M327" s="100">
        <f t="shared" si="67"/>
        <v>3031098.7414506716</v>
      </c>
      <c r="N327" s="102">
        <f t="shared" si="68"/>
        <v>39088.75917479975</v>
      </c>
      <c r="O327" s="94">
        <f t="shared" si="69"/>
        <v>0.96394123858302649</v>
      </c>
      <c r="P327" s="100">
        <f>'K22'!C321</f>
        <v>77544</v>
      </c>
      <c r="Q327" s="100"/>
      <c r="R327" s="100">
        <f t="shared" si="72"/>
        <v>0</v>
      </c>
      <c r="S327" s="100">
        <v>0</v>
      </c>
      <c r="U327" s="100">
        <v>0</v>
      </c>
      <c r="V327" s="5">
        <f t="shared" si="73"/>
        <v>2969902.3540833951</v>
      </c>
      <c r="W327" s="5">
        <f t="shared" si="74"/>
        <v>38299.576422204103</v>
      </c>
    </row>
    <row r="328" spans="1:23" ht="13">
      <c r="A328" s="92">
        <v>5402</v>
      </c>
      <c r="B328" s="93" t="s">
        <v>664</v>
      </c>
      <c r="C328" s="574">
        <v>0.85016740481260589</v>
      </c>
      <c r="D328" s="100">
        <f t="shared" si="60"/>
        <v>34475.119037167417</v>
      </c>
      <c r="E328" s="100">
        <f t="shared" si="61"/>
        <v>855120.85259790067</v>
      </c>
      <c r="F328" s="100">
        <f t="shared" si="70"/>
        <v>3647.3949802933348</v>
      </c>
      <c r="G328" s="100">
        <f t="shared" si="62"/>
        <v>90469.985091195878</v>
      </c>
      <c r="H328" s="100">
        <f t="shared" si="71"/>
        <v>708.25319835314212</v>
      </c>
      <c r="I328" s="100">
        <f t="shared" si="63"/>
        <v>17567.51233195134</v>
      </c>
      <c r="J328" s="100">
        <f t="shared" si="64"/>
        <v>144.71540167746036</v>
      </c>
      <c r="K328" s="100">
        <f t="shared" si="65"/>
        <v>3589.5208232077266</v>
      </c>
      <c r="L328" s="101">
        <f t="shared" si="66"/>
        <v>94059.505914403606</v>
      </c>
      <c r="M328" s="100">
        <f t="shared" si="67"/>
        <v>949180.35851230426</v>
      </c>
      <c r="N328" s="102">
        <f t="shared" si="68"/>
        <v>38267.229419138217</v>
      </c>
      <c r="O328" s="94">
        <f t="shared" si="69"/>
        <v>0.94368205341258171</v>
      </c>
      <c r="P328" s="100">
        <f>'K22'!C322</f>
        <v>24804</v>
      </c>
      <c r="Q328" s="100"/>
      <c r="R328" s="100">
        <f t="shared" si="72"/>
        <v>0</v>
      </c>
      <c r="S328" s="100">
        <v>0</v>
      </c>
      <c r="U328" s="100">
        <v>3.3283333333333331</v>
      </c>
      <c r="V328" s="5">
        <f t="shared" si="73"/>
        <v>855117.5242645673</v>
      </c>
      <c r="W328" s="5">
        <f t="shared" si="74"/>
        <v>34474.984851820969</v>
      </c>
    </row>
    <row r="329" spans="1:23" ht="13">
      <c r="A329" s="92">
        <v>5403</v>
      </c>
      <c r="B329" s="93" t="s">
        <v>688</v>
      </c>
      <c r="C329" s="574">
        <v>0.83092014407056425</v>
      </c>
      <c r="D329" s="100">
        <f t="shared" si="60"/>
        <v>33694.62380591641</v>
      </c>
      <c r="E329" s="100">
        <f t="shared" si="61"/>
        <v>712439.12575229653</v>
      </c>
      <c r="F329" s="100">
        <f t="shared" si="70"/>
        <v>4115.6921190439389</v>
      </c>
      <c r="G329" s="100">
        <f t="shared" si="62"/>
        <v>87022.194165065055</v>
      </c>
      <c r="H329" s="100">
        <f t="shared" si="71"/>
        <v>981.42652929099449</v>
      </c>
      <c r="I329" s="100">
        <f t="shared" si="63"/>
        <v>20751.282535328788</v>
      </c>
      <c r="J329" s="100">
        <f t="shared" si="64"/>
        <v>417.88873261531273</v>
      </c>
      <c r="K329" s="100">
        <f t="shared" si="65"/>
        <v>8835.8393624181736</v>
      </c>
      <c r="L329" s="101">
        <f t="shared" si="66"/>
        <v>95858.033527483232</v>
      </c>
      <c r="M329" s="100">
        <f t="shared" si="67"/>
        <v>808297.15927977976</v>
      </c>
      <c r="N329" s="102">
        <f t="shared" si="68"/>
        <v>38228.204657575661</v>
      </c>
      <c r="O329" s="94">
        <f t="shared" si="69"/>
        <v>0.94271969037547954</v>
      </c>
      <c r="P329" s="100">
        <f>'K22'!C323</f>
        <v>21144</v>
      </c>
      <c r="Q329" s="100"/>
      <c r="R329" s="100">
        <f t="shared" si="72"/>
        <v>0</v>
      </c>
      <c r="S329" s="100">
        <v>0</v>
      </c>
      <c r="U329" s="100">
        <v>6686.8849999999993</v>
      </c>
      <c r="V329" s="5">
        <f t="shared" si="73"/>
        <v>705752.24075229652</v>
      </c>
      <c r="W329" s="5">
        <f t="shared" si="74"/>
        <v>33378.369312916031</v>
      </c>
    </row>
    <row r="330" spans="1:23" ht="13">
      <c r="A330" s="92">
        <v>5404</v>
      </c>
      <c r="B330" s="93" t="s">
        <v>684</v>
      </c>
      <c r="C330" s="574">
        <v>0.6728315579925781</v>
      </c>
      <c r="D330" s="100">
        <f t="shared" ref="D330:D365" si="75">C330*D$367</f>
        <v>27283.977158439517</v>
      </c>
      <c r="E330" s="100">
        <f t="shared" ref="E330:E365" si="76">D330*P330/1000</f>
        <v>51757.70466955976</v>
      </c>
      <c r="F330" s="100">
        <f t="shared" si="70"/>
        <v>7962.0801075300742</v>
      </c>
      <c r="G330" s="100">
        <f t="shared" ref="G330:G365" si="77">F330*P330/1000</f>
        <v>15104.065963984551</v>
      </c>
      <c r="H330" s="100">
        <f t="shared" si="71"/>
        <v>3225.152855907907</v>
      </c>
      <c r="I330" s="100">
        <f t="shared" ref="I330:I365" si="78">H330*P330/1000</f>
        <v>6118.1149676572995</v>
      </c>
      <c r="J330" s="100">
        <f t="shared" ref="J330:J365" si="79">H330+H$370</f>
        <v>2661.6150592322251</v>
      </c>
      <c r="K330" s="100">
        <f t="shared" ref="K330:K365" si="80">J330*P330/1000</f>
        <v>5049.0837673635315</v>
      </c>
      <c r="L330" s="101">
        <f t="shared" ref="L330:L365" si="81">K330+G330</f>
        <v>20153.149731348083</v>
      </c>
      <c r="M330" s="100">
        <f t="shared" ref="M330:M365" si="82">K330+E330+G330</f>
        <v>71910.854400907847</v>
      </c>
      <c r="N330" s="102">
        <f t="shared" ref="N330:N365" si="83">M330*1000/P330</f>
        <v>37907.672325201813</v>
      </c>
      <c r="O330" s="94">
        <f t="shared" ref="O330:O365" si="84">N330/N$367</f>
        <v>0.93481526107158008</v>
      </c>
      <c r="P330" s="100">
        <f>'K22'!C324</f>
        <v>1897</v>
      </c>
      <c r="Q330" s="100"/>
      <c r="R330" s="100">
        <f t="shared" si="72"/>
        <v>0</v>
      </c>
      <c r="S330" s="100">
        <v>0</v>
      </c>
      <c r="U330" s="100">
        <v>0</v>
      </c>
      <c r="V330" s="5">
        <f t="shared" si="73"/>
        <v>51757.70466955976</v>
      </c>
      <c r="W330" s="5">
        <f t="shared" si="74"/>
        <v>27283.977158439517</v>
      </c>
    </row>
    <row r="331" spans="1:23" ht="13">
      <c r="A331" s="92">
        <v>5405</v>
      </c>
      <c r="B331" s="93" t="s">
        <v>685</v>
      </c>
      <c r="C331" s="574">
        <v>0.78922731902220089</v>
      </c>
      <c r="D331" s="100">
        <f t="shared" si="75"/>
        <v>32003.939008544123</v>
      </c>
      <c r="E331" s="100">
        <f t="shared" si="76"/>
        <v>178197.93239957368</v>
      </c>
      <c r="F331" s="100">
        <f t="shared" ref="F331:F365" si="85">($D$367+$R$367-D331-R331)*0.6</f>
        <v>5130.1029974673111</v>
      </c>
      <c r="G331" s="100">
        <f t="shared" si="77"/>
        <v>28564.41348989799</v>
      </c>
      <c r="H331" s="100">
        <f t="shared" ref="H331:H365" si="86">IF((D331+R331)&lt;(D$367+R$367)*0.9,((D$367+R$367)*0.9-(D331+R331))*0.35,0)</f>
        <v>1573.1662083712949</v>
      </c>
      <c r="I331" s="100">
        <f t="shared" si="78"/>
        <v>8759.3894482113701</v>
      </c>
      <c r="J331" s="100">
        <f t="shared" si="79"/>
        <v>1009.6284116956132</v>
      </c>
      <c r="K331" s="100">
        <f t="shared" si="80"/>
        <v>5621.6109963211748</v>
      </c>
      <c r="L331" s="101">
        <f t="shared" si="81"/>
        <v>34186.024486219161</v>
      </c>
      <c r="M331" s="100">
        <f t="shared" si="82"/>
        <v>212383.95688579284</v>
      </c>
      <c r="N331" s="102">
        <f t="shared" si="83"/>
        <v>38143.67041770705</v>
      </c>
      <c r="O331" s="94">
        <f t="shared" si="84"/>
        <v>0.9406350491230614</v>
      </c>
      <c r="P331" s="100">
        <f>'K22'!C325</f>
        <v>5568</v>
      </c>
      <c r="Q331" s="100"/>
      <c r="R331" s="100">
        <f t="shared" ref="R331:R367" si="87">S331*1000/P331</f>
        <v>0</v>
      </c>
      <c r="S331" s="100">
        <v>0</v>
      </c>
      <c r="U331" s="100">
        <v>0</v>
      </c>
      <c r="V331" s="5">
        <f t="shared" ref="V331:V365" si="88">+E331-U331</f>
        <v>178197.93239957368</v>
      </c>
      <c r="W331" s="5">
        <f t="shared" ref="W331:W367" si="89">+V331*1000/P331</f>
        <v>32003.939008544123</v>
      </c>
    </row>
    <row r="332" spans="1:23" ht="13">
      <c r="A332" s="92">
        <v>5406</v>
      </c>
      <c r="B332" s="93" t="s">
        <v>686</v>
      </c>
      <c r="C332" s="574">
        <v>0.87196762368715086</v>
      </c>
      <c r="D332" s="100">
        <f t="shared" si="75"/>
        <v>35359.139215407376</v>
      </c>
      <c r="E332" s="100">
        <f t="shared" si="76"/>
        <v>398638.93551450275</v>
      </c>
      <c r="F332" s="100">
        <f t="shared" si="85"/>
        <v>3116.9828733493587</v>
      </c>
      <c r="G332" s="100">
        <f t="shared" si="77"/>
        <v>35140.864914140671</v>
      </c>
      <c r="H332" s="100">
        <f t="shared" si="86"/>
        <v>398.84613596915619</v>
      </c>
      <c r="I332" s="100">
        <f t="shared" si="78"/>
        <v>4496.5913369162672</v>
      </c>
      <c r="J332" s="100">
        <f t="shared" si="79"/>
        <v>-164.69166070652557</v>
      </c>
      <c r="K332" s="100">
        <f t="shared" si="80"/>
        <v>-1856.7337828053692</v>
      </c>
      <c r="L332" s="101">
        <f t="shared" si="81"/>
        <v>33284.1311313353</v>
      </c>
      <c r="M332" s="100">
        <f t="shared" si="82"/>
        <v>431923.06664583803</v>
      </c>
      <c r="N332" s="102">
        <f t="shared" si="83"/>
        <v>38311.430428050204</v>
      </c>
      <c r="O332" s="94">
        <f t="shared" si="84"/>
        <v>0.94477206435630878</v>
      </c>
      <c r="P332" s="100">
        <f>'K22'!C326</f>
        <v>11274</v>
      </c>
      <c r="Q332" s="100"/>
      <c r="R332" s="100">
        <f t="shared" si="87"/>
        <v>0</v>
      </c>
      <c r="S332" s="100">
        <v>0</v>
      </c>
      <c r="U332" s="100">
        <v>558.19966666666664</v>
      </c>
      <c r="V332" s="5">
        <f t="shared" si="88"/>
        <v>398080.73584783607</v>
      </c>
      <c r="W332" s="5">
        <f t="shared" si="89"/>
        <v>35309.627093120107</v>
      </c>
    </row>
    <row r="333" spans="1:23" ht="13">
      <c r="A333" s="92">
        <v>5411</v>
      </c>
      <c r="B333" s="93" t="s">
        <v>666</v>
      </c>
      <c r="C333" s="574">
        <v>0.67337249507616304</v>
      </c>
      <c r="D333" s="100">
        <f t="shared" si="75"/>
        <v>27305.912685775242</v>
      </c>
      <c r="E333" s="100">
        <f t="shared" si="76"/>
        <v>76156.190480627149</v>
      </c>
      <c r="F333" s="100">
        <f t="shared" si="85"/>
        <v>7948.918791128639</v>
      </c>
      <c r="G333" s="100">
        <f t="shared" si="77"/>
        <v>22169.534508457771</v>
      </c>
      <c r="H333" s="100">
        <f t="shared" si="86"/>
        <v>3217.475421340403</v>
      </c>
      <c r="I333" s="100">
        <f t="shared" si="78"/>
        <v>8973.5389501183836</v>
      </c>
      <c r="J333" s="100">
        <f t="shared" si="79"/>
        <v>2653.9376246647212</v>
      </c>
      <c r="K333" s="100">
        <f t="shared" si="80"/>
        <v>7401.8320351899074</v>
      </c>
      <c r="L333" s="101">
        <f t="shared" si="81"/>
        <v>29571.36654364768</v>
      </c>
      <c r="M333" s="100">
        <f t="shared" si="82"/>
        <v>105727.55702427482</v>
      </c>
      <c r="N333" s="102">
        <f t="shared" si="83"/>
        <v>37908.7691015686</v>
      </c>
      <c r="O333" s="94">
        <f t="shared" si="84"/>
        <v>0.9348423079257594</v>
      </c>
      <c r="P333" s="100">
        <f>'K22'!C327</f>
        <v>2789</v>
      </c>
      <c r="Q333" s="100"/>
      <c r="R333" s="100">
        <f t="shared" si="87"/>
        <v>0</v>
      </c>
      <c r="S333" s="100">
        <v>0</v>
      </c>
      <c r="U333" s="100">
        <v>0</v>
      </c>
      <c r="V333" s="5">
        <f t="shared" si="88"/>
        <v>76156.190480627149</v>
      </c>
      <c r="W333" s="5">
        <f t="shared" si="89"/>
        <v>27305.912685775242</v>
      </c>
    </row>
    <row r="334" spans="1:23" ht="13">
      <c r="A334" s="92">
        <v>5412</v>
      </c>
      <c r="B334" s="93" t="s">
        <v>652</v>
      </c>
      <c r="C334" s="574">
        <v>0.7320104504456848</v>
      </c>
      <c r="D334" s="100">
        <f t="shared" si="75"/>
        <v>29683.739076221209</v>
      </c>
      <c r="E334" s="100">
        <f t="shared" si="76"/>
        <v>124701.38785920531</v>
      </c>
      <c r="F334" s="100">
        <f t="shared" si="85"/>
        <v>6522.2229568610592</v>
      </c>
      <c r="G334" s="100">
        <f t="shared" si="77"/>
        <v>27399.85864177331</v>
      </c>
      <c r="H334" s="100">
        <f t="shared" si="86"/>
        <v>2385.2361846843146</v>
      </c>
      <c r="I334" s="100">
        <f t="shared" si="78"/>
        <v>10020.377211858806</v>
      </c>
      <c r="J334" s="100">
        <f t="shared" si="79"/>
        <v>1821.6983880086327</v>
      </c>
      <c r="K334" s="100">
        <f t="shared" si="80"/>
        <v>7652.9549280242663</v>
      </c>
      <c r="L334" s="101">
        <f t="shared" si="81"/>
        <v>35052.813569797574</v>
      </c>
      <c r="M334" s="100">
        <f t="shared" si="82"/>
        <v>159754.20142900289</v>
      </c>
      <c r="N334" s="102">
        <f t="shared" si="83"/>
        <v>38027.660421090899</v>
      </c>
      <c r="O334" s="94">
        <f t="shared" si="84"/>
        <v>0.93777420569423553</v>
      </c>
      <c r="P334" s="100">
        <f>'K22'!C328</f>
        <v>4201</v>
      </c>
      <c r="Q334" s="100"/>
      <c r="R334" s="100">
        <f t="shared" si="87"/>
        <v>0</v>
      </c>
      <c r="S334" s="100">
        <v>0</v>
      </c>
      <c r="U334" s="100">
        <v>95.719666666666669</v>
      </c>
      <c r="V334" s="5">
        <f t="shared" si="88"/>
        <v>124605.66819253864</v>
      </c>
      <c r="W334" s="5">
        <f t="shared" si="89"/>
        <v>29660.954104389108</v>
      </c>
    </row>
    <row r="335" spans="1:23" ht="13">
      <c r="A335" s="92">
        <v>5413</v>
      </c>
      <c r="B335" s="93" t="s">
        <v>667</v>
      </c>
      <c r="C335" s="574">
        <v>0.85838273821929645</v>
      </c>
      <c r="D335" s="100">
        <f t="shared" si="75"/>
        <v>34808.258834720706</v>
      </c>
      <c r="E335" s="100">
        <f t="shared" si="76"/>
        <v>44867.84563795499</v>
      </c>
      <c r="F335" s="100">
        <f t="shared" si="85"/>
        <v>3447.5111017613613</v>
      </c>
      <c r="G335" s="100">
        <f t="shared" si="77"/>
        <v>4443.8418101703946</v>
      </c>
      <c r="H335" s="100">
        <f t="shared" si="86"/>
        <v>591.65426920949096</v>
      </c>
      <c r="I335" s="100">
        <f t="shared" si="78"/>
        <v>762.64235301103383</v>
      </c>
      <c r="J335" s="100">
        <f t="shared" si="79"/>
        <v>28.116472533809201</v>
      </c>
      <c r="K335" s="100">
        <f t="shared" si="80"/>
        <v>36.24213309608006</v>
      </c>
      <c r="L335" s="101">
        <f t="shared" si="81"/>
        <v>4480.0839432664743</v>
      </c>
      <c r="M335" s="100">
        <f t="shared" si="82"/>
        <v>49347.929581221462</v>
      </c>
      <c r="N335" s="102">
        <f t="shared" si="83"/>
        <v>38283.886409015875</v>
      </c>
      <c r="O335" s="94">
        <f t="shared" si="84"/>
        <v>0.94409282008291617</v>
      </c>
      <c r="P335" s="100">
        <f>'K22'!C329</f>
        <v>1289</v>
      </c>
      <c r="Q335" s="100"/>
      <c r="R335" s="100">
        <f t="shared" si="87"/>
        <v>0</v>
      </c>
      <c r="S335" s="100">
        <v>0</v>
      </c>
      <c r="U335" s="100">
        <v>0</v>
      </c>
      <c r="V335" s="5">
        <f t="shared" si="88"/>
        <v>44867.84563795499</v>
      </c>
      <c r="W335" s="5">
        <f t="shared" si="89"/>
        <v>34808.258834720706</v>
      </c>
    </row>
    <row r="336" spans="1:23" ht="13">
      <c r="A336" s="92">
        <v>5414</v>
      </c>
      <c r="B336" s="93" t="s">
        <v>668</v>
      </c>
      <c r="C336" s="574">
        <v>0.8026701727014196</v>
      </c>
      <c r="D336" s="100">
        <f t="shared" si="75"/>
        <v>32549.059861410085</v>
      </c>
      <c r="E336" s="100">
        <f t="shared" si="76"/>
        <v>34827.494051708796</v>
      </c>
      <c r="F336" s="100">
        <f t="shared" si="85"/>
        <v>4803.0304857477331</v>
      </c>
      <c r="G336" s="100">
        <f t="shared" si="77"/>
        <v>5139.2426197500745</v>
      </c>
      <c r="H336" s="100">
        <f t="shared" si="86"/>
        <v>1382.3739098682081</v>
      </c>
      <c r="I336" s="100">
        <f t="shared" si="78"/>
        <v>1479.1400835589827</v>
      </c>
      <c r="J336" s="100">
        <f t="shared" si="79"/>
        <v>818.83611319252634</v>
      </c>
      <c r="K336" s="100">
        <f t="shared" si="80"/>
        <v>876.15464111600318</v>
      </c>
      <c r="L336" s="101">
        <f t="shared" si="81"/>
        <v>6015.3972608660779</v>
      </c>
      <c r="M336" s="100">
        <f t="shared" si="82"/>
        <v>40842.891312574873</v>
      </c>
      <c r="N336" s="102">
        <f t="shared" si="83"/>
        <v>38170.926460350347</v>
      </c>
      <c r="O336" s="94">
        <f t="shared" si="84"/>
        <v>0.94130719180702238</v>
      </c>
      <c r="P336" s="100">
        <f>'K22'!C330</f>
        <v>1070</v>
      </c>
      <c r="Q336" s="100"/>
      <c r="R336" s="100">
        <f t="shared" si="87"/>
        <v>0</v>
      </c>
      <c r="S336" s="100">
        <v>0</v>
      </c>
      <c r="U336" s="100">
        <v>0</v>
      </c>
      <c r="V336" s="5">
        <f t="shared" si="88"/>
        <v>34827.494051708796</v>
      </c>
      <c r="W336" s="5">
        <f t="shared" si="89"/>
        <v>32549.059861410089</v>
      </c>
    </row>
    <row r="337" spans="1:23" ht="13">
      <c r="A337" s="92">
        <v>5415</v>
      </c>
      <c r="B337" s="93" t="s">
        <v>669</v>
      </c>
      <c r="C337" s="574">
        <v>0.62613718956139963</v>
      </c>
      <c r="D337" s="100">
        <f t="shared" si="75"/>
        <v>25390.474889453963</v>
      </c>
      <c r="E337" s="100">
        <f t="shared" si="76"/>
        <v>24628.760642770343</v>
      </c>
      <c r="F337" s="100">
        <f t="shared" si="85"/>
        <v>9098.1814689214061</v>
      </c>
      <c r="G337" s="100">
        <f t="shared" si="77"/>
        <v>8825.2360248537643</v>
      </c>
      <c r="H337" s="100">
        <f t="shared" si="86"/>
        <v>3887.8786500528508</v>
      </c>
      <c r="I337" s="100">
        <f t="shared" si="78"/>
        <v>3771.2422905512653</v>
      </c>
      <c r="J337" s="100">
        <f t="shared" si="79"/>
        <v>3324.340853377169</v>
      </c>
      <c r="K337" s="100">
        <f t="shared" si="80"/>
        <v>3224.610627775854</v>
      </c>
      <c r="L337" s="101">
        <f t="shared" si="81"/>
        <v>12049.846652629618</v>
      </c>
      <c r="M337" s="100">
        <f t="shared" si="82"/>
        <v>36678.607295399961</v>
      </c>
      <c r="N337" s="102">
        <f t="shared" si="83"/>
        <v>37812.997211752539</v>
      </c>
      <c r="O337" s="94">
        <f t="shared" si="84"/>
        <v>0.93248054265002134</v>
      </c>
      <c r="P337" s="100">
        <f>'K22'!C331</f>
        <v>970</v>
      </c>
      <c r="Q337" s="100"/>
      <c r="R337" s="100">
        <f t="shared" si="87"/>
        <v>0</v>
      </c>
      <c r="S337" s="100">
        <v>0</v>
      </c>
      <c r="U337" s="100">
        <v>0</v>
      </c>
      <c r="V337" s="5">
        <f t="shared" si="88"/>
        <v>24628.760642770343</v>
      </c>
      <c r="W337" s="5">
        <f t="shared" si="89"/>
        <v>25390.474889453963</v>
      </c>
    </row>
    <row r="338" spans="1:23" ht="13">
      <c r="A338" s="92">
        <v>5416</v>
      </c>
      <c r="B338" s="93" t="s">
        <v>670</v>
      </c>
      <c r="C338" s="574">
        <v>0.8975214014266284</v>
      </c>
      <c r="D338" s="100">
        <f t="shared" si="75"/>
        <v>36395.369873546981</v>
      </c>
      <c r="E338" s="100">
        <f t="shared" si="76"/>
        <v>145326.71190507311</v>
      </c>
      <c r="F338" s="100">
        <f t="shared" si="85"/>
        <v>2495.2444784655963</v>
      </c>
      <c r="G338" s="100">
        <f t="shared" si="77"/>
        <v>9963.5112025131275</v>
      </c>
      <c r="H338" s="100">
        <f t="shared" si="86"/>
        <v>36.165405620294763</v>
      </c>
      <c r="I338" s="100">
        <f t="shared" si="78"/>
        <v>144.40846464183699</v>
      </c>
      <c r="J338" s="100">
        <f t="shared" si="79"/>
        <v>-527.37239105538697</v>
      </c>
      <c r="K338" s="100">
        <f t="shared" si="80"/>
        <v>-2105.7979574841602</v>
      </c>
      <c r="L338" s="101">
        <f t="shared" si="81"/>
        <v>7857.7132450289673</v>
      </c>
      <c r="M338" s="100">
        <f t="shared" si="82"/>
        <v>153184.42515010206</v>
      </c>
      <c r="N338" s="102">
        <f t="shared" si="83"/>
        <v>38363.241960957188</v>
      </c>
      <c r="O338" s="94">
        <f t="shared" si="84"/>
        <v>0.94604975324328267</v>
      </c>
      <c r="P338" s="100">
        <f>'K22'!C332</f>
        <v>3993</v>
      </c>
      <c r="Q338" s="100"/>
      <c r="R338" s="100">
        <f t="shared" si="87"/>
        <v>0</v>
      </c>
      <c r="S338" s="100">
        <v>0</v>
      </c>
      <c r="U338" s="100">
        <v>12239.446666666665</v>
      </c>
      <c r="V338" s="5">
        <f t="shared" si="88"/>
        <v>133087.26523840646</v>
      </c>
      <c r="W338" s="5">
        <f t="shared" si="89"/>
        <v>33330.144061709601</v>
      </c>
    </row>
    <row r="339" spans="1:23" ht="13">
      <c r="A339" s="92">
        <v>5417</v>
      </c>
      <c r="B339" s="93" t="s">
        <v>671</v>
      </c>
      <c r="C339" s="574">
        <v>0.77313261437759262</v>
      </c>
      <c r="D339" s="100">
        <f t="shared" si="75"/>
        <v>31351.283007678947</v>
      </c>
      <c r="E339" s="100">
        <f t="shared" si="76"/>
        <v>65430.127637025958</v>
      </c>
      <c r="F339" s="100">
        <f t="shared" si="85"/>
        <v>5521.6965979864162</v>
      </c>
      <c r="G339" s="100">
        <f t="shared" si="77"/>
        <v>11523.78079999765</v>
      </c>
      <c r="H339" s="100">
        <f t="shared" si="86"/>
        <v>1801.5958086741064</v>
      </c>
      <c r="I339" s="100">
        <f t="shared" si="78"/>
        <v>3759.9304527028598</v>
      </c>
      <c r="J339" s="100">
        <f t="shared" si="79"/>
        <v>1238.0580119984247</v>
      </c>
      <c r="K339" s="100">
        <f t="shared" si="80"/>
        <v>2583.8270710407123</v>
      </c>
      <c r="L339" s="101">
        <f t="shared" si="81"/>
        <v>14107.607871038363</v>
      </c>
      <c r="M339" s="100">
        <f t="shared" si="82"/>
        <v>79537.735508064317</v>
      </c>
      <c r="N339" s="102">
        <f t="shared" si="83"/>
        <v>38111.03761766378</v>
      </c>
      <c r="O339" s="94">
        <f t="shared" si="84"/>
        <v>0.93983031389083072</v>
      </c>
      <c r="P339" s="100">
        <f>'K22'!C333</f>
        <v>2087</v>
      </c>
      <c r="Q339" s="100"/>
      <c r="R339" s="100">
        <f t="shared" si="87"/>
        <v>0</v>
      </c>
      <c r="S339" s="100">
        <v>0</v>
      </c>
      <c r="U339" s="100">
        <v>0</v>
      </c>
      <c r="V339" s="5">
        <f t="shared" si="88"/>
        <v>65430.127637025958</v>
      </c>
      <c r="W339" s="5">
        <f t="shared" si="89"/>
        <v>31351.283007678947</v>
      </c>
    </row>
    <row r="340" spans="1:23" ht="13">
      <c r="A340" s="92">
        <v>5418</v>
      </c>
      <c r="B340" s="93" t="s">
        <v>672</v>
      </c>
      <c r="C340" s="574">
        <v>0.85656841186801624</v>
      </c>
      <c r="D340" s="100">
        <f t="shared" si="75"/>
        <v>34734.686128241279</v>
      </c>
      <c r="E340" s="100">
        <f t="shared" si="76"/>
        <v>229214.1937602642</v>
      </c>
      <c r="F340" s="100">
        <f t="shared" si="85"/>
        <v>3491.6547256490171</v>
      </c>
      <c r="G340" s="100">
        <f t="shared" si="77"/>
        <v>23041.429534557865</v>
      </c>
      <c r="H340" s="100">
        <f t="shared" si="86"/>
        <v>617.40471647729021</v>
      </c>
      <c r="I340" s="100">
        <f t="shared" si="78"/>
        <v>4074.2537240336378</v>
      </c>
      <c r="J340" s="100">
        <f t="shared" si="79"/>
        <v>53.866919801608447</v>
      </c>
      <c r="K340" s="100">
        <f t="shared" si="80"/>
        <v>355.46780377081416</v>
      </c>
      <c r="L340" s="101">
        <f t="shared" si="81"/>
        <v>23396.897338328679</v>
      </c>
      <c r="M340" s="100">
        <f t="shared" si="82"/>
        <v>252611.09109859288</v>
      </c>
      <c r="N340" s="102">
        <f t="shared" si="83"/>
        <v>38280.207773691902</v>
      </c>
      <c r="O340" s="94">
        <f t="shared" si="84"/>
        <v>0.9440021037653521</v>
      </c>
      <c r="P340" s="100">
        <f>'K22'!C334</f>
        <v>6599</v>
      </c>
      <c r="Q340" s="100"/>
      <c r="R340" s="100">
        <f t="shared" si="87"/>
        <v>0</v>
      </c>
      <c r="S340" s="100">
        <v>0</v>
      </c>
      <c r="U340" s="100">
        <v>4330.8993333333337</v>
      </c>
      <c r="V340" s="5">
        <f t="shared" si="88"/>
        <v>224883.29442693086</v>
      </c>
      <c r="W340" s="5">
        <f t="shared" si="89"/>
        <v>34078.389820719938</v>
      </c>
    </row>
    <row r="341" spans="1:23" ht="13">
      <c r="A341" s="92">
        <v>5419</v>
      </c>
      <c r="B341" s="93" t="s">
        <v>673</v>
      </c>
      <c r="C341" s="574">
        <v>0.78785749646100822</v>
      </c>
      <c r="D341" s="100">
        <f t="shared" si="75"/>
        <v>31948.391365115796</v>
      </c>
      <c r="E341" s="100">
        <f t="shared" si="76"/>
        <v>109071.80812050533</v>
      </c>
      <c r="F341" s="100">
        <f t="shared" si="85"/>
        <v>5163.4315835243069</v>
      </c>
      <c r="G341" s="100">
        <f t="shared" si="77"/>
        <v>17627.955426151984</v>
      </c>
      <c r="H341" s="100">
        <f t="shared" si="86"/>
        <v>1592.6078835712092</v>
      </c>
      <c r="I341" s="100">
        <f t="shared" si="78"/>
        <v>5437.1633145121086</v>
      </c>
      <c r="J341" s="100">
        <f t="shared" si="79"/>
        <v>1029.0700868955273</v>
      </c>
      <c r="K341" s="100">
        <f t="shared" si="80"/>
        <v>3513.2452766613305</v>
      </c>
      <c r="L341" s="101">
        <f t="shared" si="81"/>
        <v>21141.200702813316</v>
      </c>
      <c r="M341" s="100">
        <f t="shared" si="82"/>
        <v>130213.00882331864</v>
      </c>
      <c r="N341" s="102">
        <f t="shared" si="83"/>
        <v>38140.893035535628</v>
      </c>
      <c r="O341" s="94">
        <f t="shared" si="84"/>
        <v>0.94056655799500166</v>
      </c>
      <c r="P341" s="100">
        <f>'K22'!C335</f>
        <v>3414</v>
      </c>
      <c r="Q341" s="100"/>
      <c r="R341" s="100">
        <f t="shared" si="87"/>
        <v>0</v>
      </c>
      <c r="S341" s="100">
        <v>0</v>
      </c>
      <c r="U341" s="100">
        <v>0</v>
      </c>
      <c r="V341" s="5">
        <f t="shared" si="88"/>
        <v>109071.80812050533</v>
      </c>
      <c r="W341" s="5">
        <f t="shared" si="89"/>
        <v>31948.391365115796</v>
      </c>
    </row>
    <row r="342" spans="1:23" ht="13">
      <c r="A342" s="92">
        <v>5420</v>
      </c>
      <c r="B342" s="93" t="s">
        <v>674</v>
      </c>
      <c r="C342" s="574">
        <v>0.68949419507388421</v>
      </c>
      <c r="D342" s="100">
        <f t="shared" si="75"/>
        <v>27959.663374588639</v>
      </c>
      <c r="E342" s="100">
        <f t="shared" si="76"/>
        <v>29860.920484060669</v>
      </c>
      <c r="F342" s="100">
        <f t="shared" si="85"/>
        <v>7556.6683778406004</v>
      </c>
      <c r="G342" s="100">
        <f t="shared" si="77"/>
        <v>8070.5218275337611</v>
      </c>
      <c r="H342" s="100">
        <f t="shared" si="86"/>
        <v>2988.6626802557139</v>
      </c>
      <c r="I342" s="100">
        <f t="shared" si="78"/>
        <v>3191.8917425131026</v>
      </c>
      <c r="J342" s="100">
        <f t="shared" si="79"/>
        <v>2425.124883580032</v>
      </c>
      <c r="K342" s="100">
        <f t="shared" si="80"/>
        <v>2590.0333756634741</v>
      </c>
      <c r="L342" s="101">
        <f t="shared" si="81"/>
        <v>10660.555203197235</v>
      </c>
      <c r="M342" s="100">
        <f t="shared" si="82"/>
        <v>40521.475687257902</v>
      </c>
      <c r="N342" s="102">
        <f t="shared" si="83"/>
        <v>37941.456636009272</v>
      </c>
      <c r="O342" s="94">
        <f t="shared" si="84"/>
        <v>0.9356483929256455</v>
      </c>
      <c r="P342" s="100">
        <f>'K22'!C336</f>
        <v>1068</v>
      </c>
      <c r="Q342" s="100"/>
      <c r="R342" s="100">
        <f t="shared" si="87"/>
        <v>0</v>
      </c>
      <c r="S342" s="100">
        <v>0</v>
      </c>
      <c r="U342" s="100">
        <v>0</v>
      </c>
      <c r="V342" s="5">
        <f t="shared" si="88"/>
        <v>29860.920484060669</v>
      </c>
      <c r="W342" s="5">
        <f t="shared" si="89"/>
        <v>27959.663374588639</v>
      </c>
    </row>
    <row r="343" spans="1:23" ht="13">
      <c r="A343" s="92">
        <v>5421</v>
      </c>
      <c r="B343" s="93" t="s">
        <v>1836</v>
      </c>
      <c r="C343" s="574">
        <v>0.82190715217689936</v>
      </c>
      <c r="D343" s="100">
        <f t="shared" si="75"/>
        <v>33329.138177255292</v>
      </c>
      <c r="E343" s="100">
        <f t="shared" si="76"/>
        <v>491204.83845638845</v>
      </c>
      <c r="F343" s="100">
        <f t="shared" si="85"/>
        <v>4334.9834962406094</v>
      </c>
      <c r="G343" s="100">
        <f t="shared" si="77"/>
        <v>63888.986767594099</v>
      </c>
      <c r="H343" s="100">
        <f t="shared" si="86"/>
        <v>1109.3464993223856</v>
      </c>
      <c r="I343" s="100">
        <f t="shared" si="78"/>
        <v>16349.54870701332</v>
      </c>
      <c r="J343" s="100">
        <f t="shared" si="79"/>
        <v>545.80870264670386</v>
      </c>
      <c r="K343" s="100">
        <f t="shared" si="80"/>
        <v>8044.1286596071213</v>
      </c>
      <c r="L343" s="101">
        <f t="shared" si="81"/>
        <v>71933.115427201221</v>
      </c>
      <c r="M343" s="100">
        <f t="shared" si="82"/>
        <v>563137.95388358971</v>
      </c>
      <c r="N343" s="102">
        <f t="shared" si="83"/>
        <v>38209.930376142605</v>
      </c>
      <c r="O343" s="94">
        <f t="shared" si="84"/>
        <v>0.94226904078079632</v>
      </c>
      <c r="P343" s="100">
        <f>'K22'!C337</f>
        <v>14738</v>
      </c>
      <c r="Q343" s="100"/>
      <c r="R343" s="100">
        <f t="shared" si="87"/>
        <v>0</v>
      </c>
      <c r="S343" s="100">
        <v>0</v>
      </c>
      <c r="U343" s="100">
        <v>295.39233333333334</v>
      </c>
      <c r="V343" s="5">
        <f t="shared" si="88"/>
        <v>490909.44612305512</v>
      </c>
      <c r="W343" s="5">
        <f t="shared" si="89"/>
        <v>33309.09527229306</v>
      </c>
    </row>
    <row r="344" spans="1:23" ht="13">
      <c r="A344" s="92">
        <v>5422</v>
      </c>
      <c r="B344" s="93" t="s">
        <v>675</v>
      </c>
      <c r="C344" s="574">
        <v>0.69720485664013965</v>
      </c>
      <c r="D344" s="100">
        <f t="shared" si="75"/>
        <v>28272.338235853829</v>
      </c>
      <c r="E344" s="100">
        <f t="shared" si="76"/>
        <v>157646.55800312097</v>
      </c>
      <c r="F344" s="100">
        <f t="shared" si="85"/>
        <v>7369.0634610814868</v>
      </c>
      <c r="G344" s="100">
        <f t="shared" si="77"/>
        <v>41089.897858990371</v>
      </c>
      <c r="H344" s="100">
        <f t="shared" si="86"/>
        <v>2879.2264788128978</v>
      </c>
      <c r="I344" s="100">
        <f t="shared" si="78"/>
        <v>16054.566845860718</v>
      </c>
      <c r="J344" s="100">
        <f t="shared" si="79"/>
        <v>2315.6886821372159</v>
      </c>
      <c r="K344" s="100">
        <f t="shared" si="80"/>
        <v>12912.280091597115</v>
      </c>
      <c r="L344" s="101">
        <f t="shared" si="81"/>
        <v>54002.177950587487</v>
      </c>
      <c r="M344" s="100">
        <f t="shared" si="82"/>
        <v>211648.73595370847</v>
      </c>
      <c r="N344" s="102">
        <f t="shared" si="83"/>
        <v>37957.090379072535</v>
      </c>
      <c r="O344" s="94">
        <f t="shared" si="84"/>
        <v>0.93603392600395841</v>
      </c>
      <c r="P344" s="100">
        <f>'K22'!C338</f>
        <v>5576</v>
      </c>
      <c r="Q344" s="100"/>
      <c r="R344" s="100">
        <f t="shared" si="87"/>
        <v>0</v>
      </c>
      <c r="S344" s="100">
        <v>0</v>
      </c>
      <c r="U344" s="100">
        <v>0</v>
      </c>
      <c r="V344" s="5">
        <f t="shared" si="88"/>
        <v>157646.55800312097</v>
      </c>
      <c r="W344" s="5">
        <f t="shared" si="89"/>
        <v>28272.338235853829</v>
      </c>
    </row>
    <row r="345" spans="1:23" ht="13">
      <c r="A345" s="92">
        <v>5423</v>
      </c>
      <c r="B345" s="93" t="s">
        <v>676</v>
      </c>
      <c r="C345" s="574">
        <v>0.80147236004314759</v>
      </c>
      <c r="D345" s="100">
        <f t="shared" si="75"/>
        <v>32500.487387630928</v>
      </c>
      <c r="E345" s="100">
        <f t="shared" si="76"/>
        <v>70818.562017647782</v>
      </c>
      <c r="F345" s="100">
        <f t="shared" si="85"/>
        <v>4832.1739700152275</v>
      </c>
      <c r="G345" s="100">
        <f t="shared" si="77"/>
        <v>10529.30708066318</v>
      </c>
      <c r="H345" s="100">
        <f t="shared" si="86"/>
        <v>1399.374275690913</v>
      </c>
      <c r="I345" s="100">
        <f t="shared" si="78"/>
        <v>3049.2365467304994</v>
      </c>
      <c r="J345" s="100">
        <f t="shared" si="79"/>
        <v>835.83647901523125</v>
      </c>
      <c r="K345" s="100">
        <f t="shared" si="80"/>
        <v>1821.2876877741887</v>
      </c>
      <c r="L345" s="101">
        <f t="shared" si="81"/>
        <v>12350.59476843737</v>
      </c>
      <c r="M345" s="100">
        <f t="shared" si="82"/>
        <v>83169.156786085165</v>
      </c>
      <c r="N345" s="102">
        <f t="shared" si="83"/>
        <v>38168.497836661387</v>
      </c>
      <c r="O345" s="94">
        <f t="shared" si="84"/>
        <v>0.94124730117410871</v>
      </c>
      <c r="P345" s="100">
        <f>'K22'!C339</f>
        <v>2179</v>
      </c>
      <c r="Q345" s="100"/>
      <c r="R345" s="100">
        <f t="shared" si="87"/>
        <v>0</v>
      </c>
      <c r="S345" s="100">
        <v>0</v>
      </c>
      <c r="U345" s="100">
        <v>0</v>
      </c>
      <c r="V345" s="5">
        <f t="shared" si="88"/>
        <v>70818.562017647782</v>
      </c>
      <c r="W345" s="5">
        <f t="shared" si="89"/>
        <v>32500.487387630925</v>
      </c>
    </row>
    <row r="346" spans="1:23" ht="13">
      <c r="A346" s="92">
        <v>5424</v>
      </c>
      <c r="B346" s="93" t="s">
        <v>677</v>
      </c>
      <c r="C346" s="574">
        <v>0.69996214684905256</v>
      </c>
      <c r="D346" s="100">
        <f t="shared" si="75"/>
        <v>28384.149048211708</v>
      </c>
      <c r="E346" s="100">
        <f t="shared" si="76"/>
        <v>77460.342752569748</v>
      </c>
      <c r="F346" s="100">
        <f t="shared" si="85"/>
        <v>7301.9769736667595</v>
      </c>
      <c r="G346" s="100">
        <f t="shared" si="77"/>
        <v>19927.095161136585</v>
      </c>
      <c r="H346" s="100">
        <f t="shared" si="86"/>
        <v>2840.0926944876401</v>
      </c>
      <c r="I346" s="100">
        <f t="shared" si="78"/>
        <v>7750.6129632567699</v>
      </c>
      <c r="J346" s="100">
        <f t="shared" si="79"/>
        <v>2276.5548978119582</v>
      </c>
      <c r="K346" s="100">
        <f t="shared" si="80"/>
        <v>6212.718316128834</v>
      </c>
      <c r="L346" s="101">
        <f t="shared" si="81"/>
        <v>26139.813477265419</v>
      </c>
      <c r="M346" s="100">
        <f t="shared" si="82"/>
        <v>103600.15622983518</v>
      </c>
      <c r="N346" s="102">
        <f t="shared" si="83"/>
        <v>37962.680919690429</v>
      </c>
      <c r="O346" s="94">
        <f t="shared" si="84"/>
        <v>0.93617179051440402</v>
      </c>
      <c r="P346" s="100">
        <f>'K22'!C340</f>
        <v>2729</v>
      </c>
      <c r="Q346" s="100"/>
      <c r="R346" s="100">
        <f t="shared" si="87"/>
        <v>0</v>
      </c>
      <c r="S346" s="100">
        <v>0</v>
      </c>
      <c r="U346" s="100">
        <v>0</v>
      </c>
      <c r="V346" s="5">
        <f t="shared" si="88"/>
        <v>77460.342752569748</v>
      </c>
      <c r="W346" s="5">
        <f t="shared" si="89"/>
        <v>28384.149048211708</v>
      </c>
    </row>
    <row r="347" spans="1:23" ht="13">
      <c r="A347" s="92">
        <v>5425</v>
      </c>
      <c r="B347" s="93" t="s">
        <v>678</v>
      </c>
      <c r="C347" s="574">
        <v>0.81495599055201307</v>
      </c>
      <c r="D347" s="100">
        <f t="shared" si="75"/>
        <v>33047.26178078563</v>
      </c>
      <c r="E347" s="100">
        <f t="shared" si="76"/>
        <v>60674.772629522413</v>
      </c>
      <c r="F347" s="100">
        <f t="shared" si="85"/>
        <v>4504.1093341224068</v>
      </c>
      <c r="G347" s="100">
        <f t="shared" si="77"/>
        <v>8269.5447374487394</v>
      </c>
      <c r="H347" s="100">
        <f t="shared" si="86"/>
        <v>1208.0032380867676</v>
      </c>
      <c r="I347" s="100">
        <f t="shared" si="78"/>
        <v>2217.8939451273054</v>
      </c>
      <c r="J347" s="100">
        <f t="shared" si="79"/>
        <v>644.46544141108586</v>
      </c>
      <c r="K347" s="100">
        <f t="shared" si="80"/>
        <v>1183.2385504307538</v>
      </c>
      <c r="L347" s="101">
        <f t="shared" si="81"/>
        <v>9452.7832878794925</v>
      </c>
      <c r="M347" s="100">
        <f t="shared" si="82"/>
        <v>70127.5559174019</v>
      </c>
      <c r="N347" s="102">
        <f t="shared" si="83"/>
        <v>38195.836556319118</v>
      </c>
      <c r="O347" s="94">
        <f t="shared" si="84"/>
        <v>0.94192148269955189</v>
      </c>
      <c r="P347" s="100">
        <f>'K22'!C341</f>
        <v>1836</v>
      </c>
      <c r="Q347" s="100"/>
      <c r="R347" s="100">
        <f t="shared" si="87"/>
        <v>0</v>
      </c>
      <c r="S347" s="100">
        <v>0</v>
      </c>
      <c r="U347" s="100">
        <v>4418.9679999999998</v>
      </c>
      <c r="V347" s="5">
        <f t="shared" si="88"/>
        <v>56255.804629522412</v>
      </c>
      <c r="W347" s="5">
        <f t="shared" si="89"/>
        <v>30640.416464881488</v>
      </c>
    </row>
    <row r="348" spans="1:23" ht="13">
      <c r="A348" s="92">
        <v>5426</v>
      </c>
      <c r="B348" s="93" t="s">
        <v>679</v>
      </c>
      <c r="C348" s="574">
        <v>0.67098612279827674</v>
      </c>
      <c r="D348" s="100">
        <f t="shared" si="75"/>
        <v>27209.142957976444</v>
      </c>
      <c r="E348" s="100">
        <f t="shared" si="76"/>
        <v>54744.795631448607</v>
      </c>
      <c r="F348" s="100">
        <f t="shared" si="85"/>
        <v>8006.9806278079177</v>
      </c>
      <c r="G348" s="100">
        <f t="shared" si="77"/>
        <v>16110.045023149531</v>
      </c>
      <c r="H348" s="100">
        <f t="shared" si="86"/>
        <v>3251.3448260699824</v>
      </c>
      <c r="I348" s="100">
        <f t="shared" si="78"/>
        <v>6541.7057900528052</v>
      </c>
      <c r="J348" s="100">
        <f t="shared" si="79"/>
        <v>2687.8070293943006</v>
      </c>
      <c r="K348" s="100">
        <f t="shared" si="80"/>
        <v>5407.8677431413325</v>
      </c>
      <c r="L348" s="101">
        <f t="shared" si="81"/>
        <v>21517.912766290865</v>
      </c>
      <c r="M348" s="100">
        <f t="shared" si="82"/>
        <v>76262.708397739465</v>
      </c>
      <c r="N348" s="102">
        <f t="shared" si="83"/>
        <v>37903.930615178666</v>
      </c>
      <c r="O348" s="94">
        <f t="shared" si="84"/>
        <v>0.93472298931186526</v>
      </c>
      <c r="P348" s="100">
        <f>'K22'!C342</f>
        <v>2012</v>
      </c>
      <c r="Q348" s="100"/>
      <c r="R348" s="100">
        <f t="shared" si="87"/>
        <v>0</v>
      </c>
      <c r="S348" s="100">
        <v>0</v>
      </c>
      <c r="U348" s="100">
        <v>3480.527</v>
      </c>
      <c r="V348" s="5">
        <f t="shared" si="88"/>
        <v>51264.268631448605</v>
      </c>
      <c r="W348" s="5">
        <f t="shared" si="89"/>
        <v>25479.25876314543</v>
      </c>
    </row>
    <row r="349" spans="1:23" ht="13">
      <c r="A349" s="92">
        <v>5427</v>
      </c>
      <c r="B349" s="93" t="s">
        <v>681</v>
      </c>
      <c r="C349" s="574">
        <v>0.74281528749883508</v>
      </c>
      <c r="D349" s="100">
        <f t="shared" si="75"/>
        <v>30121.885777066153</v>
      </c>
      <c r="E349" s="100">
        <f t="shared" si="76"/>
        <v>84461.767718893505</v>
      </c>
      <c r="F349" s="100">
        <f t="shared" si="85"/>
        <v>6259.3349363540929</v>
      </c>
      <c r="G349" s="100">
        <f t="shared" si="77"/>
        <v>17551.175161536878</v>
      </c>
      <c r="H349" s="100">
        <f t="shared" si="86"/>
        <v>2231.8848393885846</v>
      </c>
      <c r="I349" s="100">
        <f t="shared" si="78"/>
        <v>6258.2050896455912</v>
      </c>
      <c r="J349" s="100">
        <f t="shared" si="79"/>
        <v>1668.3470427129027</v>
      </c>
      <c r="K349" s="100">
        <f t="shared" si="80"/>
        <v>4678.0451077669795</v>
      </c>
      <c r="L349" s="101">
        <f t="shared" si="81"/>
        <v>22229.220269303856</v>
      </c>
      <c r="M349" s="100">
        <f t="shared" si="82"/>
        <v>106690.98798819736</v>
      </c>
      <c r="N349" s="102">
        <f t="shared" si="83"/>
        <v>38049.567756133154</v>
      </c>
      <c r="O349" s="94">
        <f t="shared" si="84"/>
        <v>0.93831444754689319</v>
      </c>
      <c r="P349" s="100">
        <f>'K22'!C343</f>
        <v>2804</v>
      </c>
      <c r="Q349" s="100"/>
      <c r="R349" s="100">
        <f t="shared" si="87"/>
        <v>0</v>
      </c>
      <c r="S349" s="100">
        <v>0</v>
      </c>
      <c r="U349" s="100">
        <v>0</v>
      </c>
      <c r="V349" s="5">
        <f t="shared" si="88"/>
        <v>84461.767718893505</v>
      </c>
      <c r="W349" s="5">
        <f t="shared" si="89"/>
        <v>30121.885777066156</v>
      </c>
    </row>
    <row r="350" spans="1:23" ht="13">
      <c r="A350" s="92">
        <v>5428</v>
      </c>
      <c r="B350" s="93" t="s">
        <v>682</v>
      </c>
      <c r="C350" s="574">
        <v>0.75480156387705832</v>
      </c>
      <c r="D350" s="100">
        <f t="shared" si="75"/>
        <v>30607.940997029236</v>
      </c>
      <c r="E350" s="100">
        <f t="shared" si="76"/>
        <v>145265.28797190075</v>
      </c>
      <c r="F350" s="100">
        <f t="shared" si="85"/>
        <v>5967.7018043762428</v>
      </c>
      <c r="G350" s="100">
        <f t="shared" si="77"/>
        <v>28322.712763569649</v>
      </c>
      <c r="H350" s="100">
        <f t="shared" si="86"/>
        <v>2061.765512401505</v>
      </c>
      <c r="I350" s="100">
        <f t="shared" si="78"/>
        <v>9785.1391218575427</v>
      </c>
      <c r="J350" s="100">
        <f t="shared" si="79"/>
        <v>1498.2277157258231</v>
      </c>
      <c r="K350" s="100">
        <f t="shared" si="80"/>
        <v>7110.5887388347564</v>
      </c>
      <c r="L350" s="101">
        <f t="shared" si="81"/>
        <v>35433.301502404407</v>
      </c>
      <c r="M350" s="100">
        <f t="shared" si="82"/>
        <v>180698.58947430513</v>
      </c>
      <c r="N350" s="102">
        <f t="shared" si="83"/>
        <v>38073.870517131298</v>
      </c>
      <c r="O350" s="94">
        <f t="shared" si="84"/>
        <v>0.93891376136580418</v>
      </c>
      <c r="P350" s="100">
        <f>'K22'!C344</f>
        <v>4746</v>
      </c>
      <c r="Q350" s="100"/>
      <c r="R350" s="100">
        <f t="shared" si="87"/>
        <v>0</v>
      </c>
      <c r="S350" s="100">
        <v>0</v>
      </c>
      <c r="U350" s="100">
        <v>195.523</v>
      </c>
      <c r="V350" s="5">
        <f t="shared" si="88"/>
        <v>145069.76497190076</v>
      </c>
      <c r="W350" s="5">
        <f t="shared" si="89"/>
        <v>30566.743567614994</v>
      </c>
    </row>
    <row r="351" spans="1:23" ht="13">
      <c r="A351" s="92">
        <v>5429</v>
      </c>
      <c r="B351" s="93" t="s">
        <v>683</v>
      </c>
      <c r="C351" s="574">
        <v>0.76971318611168682</v>
      </c>
      <c r="D351" s="100">
        <f t="shared" si="75"/>
        <v>31212.621850077707</v>
      </c>
      <c r="E351" s="100">
        <f t="shared" si="76"/>
        <v>36175.428724240068</v>
      </c>
      <c r="F351" s="100">
        <f t="shared" si="85"/>
        <v>5604.8932925471609</v>
      </c>
      <c r="G351" s="100">
        <f t="shared" si="77"/>
        <v>6496.0713260621596</v>
      </c>
      <c r="H351" s="100">
        <f t="shared" si="86"/>
        <v>1850.1272138345405</v>
      </c>
      <c r="I351" s="100">
        <f t="shared" si="78"/>
        <v>2144.2974408342325</v>
      </c>
      <c r="J351" s="100">
        <f t="shared" si="79"/>
        <v>1286.5894171588589</v>
      </c>
      <c r="K351" s="100">
        <f t="shared" si="80"/>
        <v>1491.1571344871174</v>
      </c>
      <c r="L351" s="101">
        <f t="shared" si="81"/>
        <v>7987.2284605492769</v>
      </c>
      <c r="M351" s="100">
        <f t="shared" si="82"/>
        <v>44162.65718478935</v>
      </c>
      <c r="N351" s="102">
        <f t="shared" si="83"/>
        <v>38104.104559783736</v>
      </c>
      <c r="O351" s="94">
        <f t="shared" si="84"/>
        <v>0.93965934247753591</v>
      </c>
      <c r="P351" s="100">
        <f>'K22'!C345</f>
        <v>1159</v>
      </c>
      <c r="Q351" s="100"/>
      <c r="R351" s="100">
        <f t="shared" si="87"/>
        <v>0</v>
      </c>
      <c r="S351" s="100">
        <v>0</v>
      </c>
      <c r="U351" s="100">
        <v>2804.6386666666672</v>
      </c>
      <c r="V351" s="5">
        <f t="shared" si="88"/>
        <v>33370.790057573402</v>
      </c>
      <c r="W351" s="5">
        <f t="shared" si="89"/>
        <v>28792.743794282484</v>
      </c>
    </row>
    <row r="352" spans="1:23" ht="13">
      <c r="A352" s="92">
        <v>5430</v>
      </c>
      <c r="B352" s="93" t="s">
        <v>687</v>
      </c>
      <c r="C352" s="574">
        <v>0.57528767544662707</v>
      </c>
      <c r="D352" s="100">
        <f t="shared" si="75"/>
        <v>23328.477402646862</v>
      </c>
      <c r="E352" s="100">
        <f t="shared" si="76"/>
        <v>67116.029487415013</v>
      </c>
      <c r="F352" s="100">
        <f t="shared" si="85"/>
        <v>10335.379961005667</v>
      </c>
      <c r="G352" s="100">
        <f t="shared" si="77"/>
        <v>29734.888147813301</v>
      </c>
      <c r="H352" s="100">
        <f t="shared" si="86"/>
        <v>4609.5777704353359</v>
      </c>
      <c r="I352" s="100">
        <f t="shared" si="78"/>
        <v>13261.755245542461</v>
      </c>
      <c r="J352" s="100">
        <f t="shared" si="79"/>
        <v>4046.039973759654</v>
      </c>
      <c r="K352" s="100">
        <f t="shared" si="80"/>
        <v>11640.457004506525</v>
      </c>
      <c r="L352" s="101">
        <f t="shared" si="81"/>
        <v>41375.345152319824</v>
      </c>
      <c r="M352" s="100">
        <f t="shared" si="82"/>
        <v>108491.37463973483</v>
      </c>
      <c r="N352" s="102">
        <f t="shared" si="83"/>
        <v>37709.897337412178</v>
      </c>
      <c r="O352" s="94">
        <f t="shared" si="84"/>
        <v>0.92993806694428249</v>
      </c>
      <c r="P352" s="100">
        <f>'K22'!C346</f>
        <v>2877</v>
      </c>
      <c r="Q352" s="100"/>
      <c r="R352" s="100">
        <f t="shared" si="87"/>
        <v>0</v>
      </c>
      <c r="S352" s="100">
        <v>0</v>
      </c>
      <c r="U352" s="100">
        <v>1595.1556666666665</v>
      </c>
      <c r="V352" s="5">
        <f t="shared" si="88"/>
        <v>65520.873820748347</v>
      </c>
      <c r="W352" s="5">
        <f t="shared" si="89"/>
        <v>22774.026354100919</v>
      </c>
    </row>
    <row r="353" spans="1:23" ht="13">
      <c r="A353" s="92">
        <v>5432</v>
      </c>
      <c r="B353" s="93" t="s">
        <v>689</v>
      </c>
      <c r="C353" s="574">
        <v>0.70920809136396312</v>
      </c>
      <c r="D353" s="100">
        <f t="shared" si="75"/>
        <v>28759.081133302465</v>
      </c>
      <c r="E353" s="100">
        <f t="shared" si="76"/>
        <v>24704.050693506819</v>
      </c>
      <c r="F353" s="100">
        <f t="shared" si="85"/>
        <v>7077.017722612306</v>
      </c>
      <c r="G353" s="100">
        <f t="shared" si="77"/>
        <v>6079.1582237239709</v>
      </c>
      <c r="H353" s="100">
        <f t="shared" si="86"/>
        <v>2708.8664647058749</v>
      </c>
      <c r="I353" s="100">
        <f t="shared" si="78"/>
        <v>2326.9162931823466</v>
      </c>
      <c r="J353" s="100">
        <f t="shared" si="79"/>
        <v>2145.3286680301931</v>
      </c>
      <c r="K353" s="100">
        <f t="shared" si="80"/>
        <v>1842.8373258379359</v>
      </c>
      <c r="L353" s="101">
        <f t="shared" si="81"/>
        <v>7921.995549561907</v>
      </c>
      <c r="M353" s="100">
        <f t="shared" si="82"/>
        <v>32626.046243068726</v>
      </c>
      <c r="N353" s="102">
        <f t="shared" si="83"/>
        <v>37981.427523944963</v>
      </c>
      <c r="O353" s="94">
        <f t="shared" si="84"/>
        <v>0.93663408774014945</v>
      </c>
      <c r="P353" s="100">
        <f>'K22'!C347</f>
        <v>859</v>
      </c>
      <c r="Q353" s="100"/>
      <c r="R353" s="100">
        <f t="shared" si="87"/>
        <v>0</v>
      </c>
      <c r="S353" s="100">
        <v>0</v>
      </c>
      <c r="U353" s="100">
        <v>0</v>
      </c>
      <c r="V353" s="5">
        <f t="shared" si="88"/>
        <v>24704.050693506819</v>
      </c>
      <c r="W353" s="5">
        <f t="shared" si="89"/>
        <v>28759.081133302465</v>
      </c>
    </row>
    <row r="354" spans="1:23" ht="13">
      <c r="A354" s="92">
        <v>5433</v>
      </c>
      <c r="B354" s="93" t="s">
        <v>690</v>
      </c>
      <c r="C354" s="574">
        <v>0.6666302661291813</v>
      </c>
      <c r="D354" s="100">
        <f t="shared" si="75"/>
        <v>27032.508713560776</v>
      </c>
      <c r="E354" s="100">
        <f t="shared" si="76"/>
        <v>26059.338399872588</v>
      </c>
      <c r="F354" s="100">
        <f t="shared" si="85"/>
        <v>8112.9611744573194</v>
      </c>
      <c r="G354" s="100">
        <f t="shared" si="77"/>
        <v>7820.8945721768559</v>
      </c>
      <c r="H354" s="100">
        <f t="shared" si="86"/>
        <v>3313.1668116154665</v>
      </c>
      <c r="I354" s="100">
        <f t="shared" si="78"/>
        <v>3193.8928063973094</v>
      </c>
      <c r="J354" s="100">
        <f t="shared" si="79"/>
        <v>2749.6290149397846</v>
      </c>
      <c r="K354" s="100">
        <f t="shared" si="80"/>
        <v>2650.6423704019526</v>
      </c>
      <c r="L354" s="101">
        <f t="shared" si="81"/>
        <v>10471.536942578809</v>
      </c>
      <c r="M354" s="100">
        <f t="shared" si="82"/>
        <v>36530.875342451392</v>
      </c>
      <c r="N354" s="102">
        <f t="shared" si="83"/>
        <v>37895.098902957878</v>
      </c>
      <c r="O354" s="94">
        <f t="shared" si="84"/>
        <v>0.93450519647841035</v>
      </c>
      <c r="P354" s="100">
        <f>'K22'!C348</f>
        <v>964</v>
      </c>
      <c r="Q354" s="100"/>
      <c r="R354" s="100">
        <f t="shared" si="87"/>
        <v>0</v>
      </c>
      <c r="S354" s="100">
        <v>0</v>
      </c>
      <c r="U354" s="100">
        <v>0</v>
      </c>
      <c r="V354" s="5">
        <f t="shared" si="88"/>
        <v>26059.338399872588</v>
      </c>
      <c r="W354" s="5">
        <f t="shared" si="89"/>
        <v>27032.508713560776</v>
      </c>
    </row>
    <row r="355" spans="1:23" ht="13">
      <c r="A355" s="92">
        <v>5434</v>
      </c>
      <c r="B355" s="93" t="s">
        <v>691</v>
      </c>
      <c r="C355" s="574">
        <v>0.84273925559676544</v>
      </c>
      <c r="D355" s="100">
        <f t="shared" si="75"/>
        <v>34173.900327778778</v>
      </c>
      <c r="E355" s="100">
        <f t="shared" si="76"/>
        <v>39710.072180878939</v>
      </c>
      <c r="F355" s="100">
        <f t="shared" si="85"/>
        <v>3828.1262059265177</v>
      </c>
      <c r="G355" s="100">
        <f t="shared" si="77"/>
        <v>4448.2826512866131</v>
      </c>
      <c r="H355" s="100">
        <f t="shared" si="86"/>
        <v>813.67974663916573</v>
      </c>
      <c r="I355" s="100">
        <f t="shared" si="78"/>
        <v>945.49586559471061</v>
      </c>
      <c r="J355" s="100">
        <f t="shared" si="79"/>
        <v>250.14194996348397</v>
      </c>
      <c r="K355" s="100">
        <f t="shared" si="80"/>
        <v>290.66494585756834</v>
      </c>
      <c r="L355" s="101">
        <f t="shared" si="81"/>
        <v>4738.9475971441816</v>
      </c>
      <c r="M355" s="100">
        <f t="shared" si="82"/>
        <v>44449.019778023125</v>
      </c>
      <c r="N355" s="102">
        <f t="shared" si="83"/>
        <v>38252.168483668778</v>
      </c>
      <c r="O355" s="94">
        <f t="shared" si="84"/>
        <v>0.94331064595178959</v>
      </c>
      <c r="P355" s="100">
        <f>'K22'!C349</f>
        <v>1162</v>
      </c>
      <c r="Q355" s="100"/>
      <c r="R355" s="100">
        <f t="shared" si="87"/>
        <v>0</v>
      </c>
      <c r="S355" s="100">
        <v>0</v>
      </c>
      <c r="U355" s="100">
        <v>0</v>
      </c>
      <c r="V355" s="5">
        <f t="shared" si="88"/>
        <v>39710.072180878939</v>
      </c>
      <c r="W355" s="5">
        <f t="shared" si="89"/>
        <v>34173.900327778778</v>
      </c>
    </row>
    <row r="356" spans="1:23" ht="13">
      <c r="A356" s="92">
        <v>5435</v>
      </c>
      <c r="B356" s="93" t="s">
        <v>692</v>
      </c>
      <c r="C356" s="574">
        <v>0.80797005977557668</v>
      </c>
      <c r="D356" s="100">
        <f t="shared" si="75"/>
        <v>32763.975461244667</v>
      </c>
      <c r="E356" s="100">
        <f t="shared" si="76"/>
        <v>96555.435684288037</v>
      </c>
      <c r="F356" s="100">
        <f t="shared" si="85"/>
        <v>4674.0811258469848</v>
      </c>
      <c r="G356" s="100">
        <f t="shared" si="77"/>
        <v>13774.517077871064</v>
      </c>
      <c r="H356" s="100">
        <f t="shared" si="86"/>
        <v>1307.1534499261045</v>
      </c>
      <c r="I356" s="100">
        <f t="shared" si="78"/>
        <v>3852.1812169322297</v>
      </c>
      <c r="J356" s="100">
        <f t="shared" si="79"/>
        <v>743.61565325042272</v>
      </c>
      <c r="K356" s="100">
        <f t="shared" si="80"/>
        <v>2191.4353301289957</v>
      </c>
      <c r="L356" s="101">
        <f t="shared" si="81"/>
        <v>15965.952408000059</v>
      </c>
      <c r="M356" s="100">
        <f t="shared" si="82"/>
        <v>112521.38809228809</v>
      </c>
      <c r="N356" s="102">
        <f t="shared" si="83"/>
        <v>38181.672240342072</v>
      </c>
      <c r="O356" s="94">
        <f t="shared" si="84"/>
        <v>0.94157218616073013</v>
      </c>
      <c r="P356" s="100">
        <f>'K22'!C350</f>
        <v>2947</v>
      </c>
      <c r="Q356" s="100"/>
      <c r="R356" s="100">
        <f t="shared" si="87"/>
        <v>0</v>
      </c>
      <c r="S356" s="100">
        <v>0</v>
      </c>
      <c r="U356" s="100">
        <v>0</v>
      </c>
      <c r="V356" s="5">
        <f t="shared" si="88"/>
        <v>96555.435684288037</v>
      </c>
      <c r="W356" s="5">
        <f t="shared" si="89"/>
        <v>32763.97546124467</v>
      </c>
    </row>
    <row r="357" spans="1:23" ht="13">
      <c r="A357" s="92">
        <v>5436</v>
      </c>
      <c r="B357" s="93" t="s">
        <v>693</v>
      </c>
      <c r="C357" s="574">
        <v>0.75172680170596862</v>
      </c>
      <c r="D357" s="100">
        <f t="shared" si="75"/>
        <v>30483.256386375808</v>
      </c>
      <c r="E357" s="100">
        <f t="shared" si="76"/>
        <v>119006.63293241114</v>
      </c>
      <c r="F357" s="100">
        <f t="shared" si="85"/>
        <v>6042.5125707683001</v>
      </c>
      <c r="G357" s="100">
        <f t="shared" si="77"/>
        <v>23589.969076279442</v>
      </c>
      <c r="H357" s="100">
        <f t="shared" si="86"/>
        <v>2105.4051261302052</v>
      </c>
      <c r="I357" s="100">
        <f t="shared" si="78"/>
        <v>8219.5016124123213</v>
      </c>
      <c r="J357" s="100">
        <f t="shared" si="79"/>
        <v>1541.8673294545233</v>
      </c>
      <c r="K357" s="100">
        <f t="shared" si="80"/>
        <v>6019.450054190459</v>
      </c>
      <c r="L357" s="101">
        <f t="shared" si="81"/>
        <v>29609.419130469902</v>
      </c>
      <c r="M357" s="100">
        <f t="shared" si="82"/>
        <v>148616.05206288103</v>
      </c>
      <c r="N357" s="102">
        <f t="shared" si="83"/>
        <v>38067.636286598623</v>
      </c>
      <c r="O357" s="94">
        <f t="shared" si="84"/>
        <v>0.93876002325724961</v>
      </c>
      <c r="P357" s="100">
        <f>'K22'!C351</f>
        <v>3904</v>
      </c>
      <c r="Q357" s="100"/>
      <c r="R357" s="100">
        <f t="shared" si="87"/>
        <v>0</v>
      </c>
      <c r="S357" s="100">
        <v>0</v>
      </c>
      <c r="U357" s="100">
        <v>0</v>
      </c>
      <c r="V357" s="5">
        <f t="shared" si="88"/>
        <v>119006.63293241114</v>
      </c>
      <c r="W357" s="5">
        <f t="shared" si="89"/>
        <v>30483.256386375808</v>
      </c>
    </row>
    <row r="358" spans="1:23" ht="13">
      <c r="A358" s="92">
        <v>5437</v>
      </c>
      <c r="B358" s="93" t="s">
        <v>694</v>
      </c>
      <c r="C358" s="574">
        <v>0.68766506972724051</v>
      </c>
      <c r="D358" s="100">
        <f t="shared" si="75"/>
        <v>27885.490554385844</v>
      </c>
      <c r="E358" s="100">
        <f t="shared" si="76"/>
        <v>72056.107592533022</v>
      </c>
      <c r="F358" s="100">
        <f t="shared" si="85"/>
        <v>7601.1720699622783</v>
      </c>
      <c r="G358" s="100">
        <f t="shared" si="77"/>
        <v>19641.428628782527</v>
      </c>
      <c r="H358" s="100">
        <f t="shared" si="86"/>
        <v>3014.6231673266925</v>
      </c>
      <c r="I358" s="100">
        <f t="shared" si="78"/>
        <v>7789.7862643721737</v>
      </c>
      <c r="J358" s="100">
        <f t="shared" si="79"/>
        <v>2451.0853706510106</v>
      </c>
      <c r="K358" s="100">
        <f t="shared" si="80"/>
        <v>6333.6045977622116</v>
      </c>
      <c r="L358" s="101">
        <f t="shared" si="81"/>
        <v>25975.03322654474</v>
      </c>
      <c r="M358" s="100">
        <f t="shared" si="82"/>
        <v>98031.140819077758</v>
      </c>
      <c r="N358" s="102">
        <f t="shared" si="83"/>
        <v>37937.747994999132</v>
      </c>
      <c r="O358" s="94">
        <f t="shared" si="84"/>
        <v>0.9355569366583133</v>
      </c>
      <c r="P358" s="100">
        <f>'K22'!C352</f>
        <v>2584</v>
      </c>
      <c r="Q358" s="100"/>
      <c r="R358" s="100">
        <f t="shared" si="87"/>
        <v>0</v>
      </c>
      <c r="S358" s="100">
        <v>0</v>
      </c>
      <c r="U358" s="100">
        <v>0</v>
      </c>
      <c r="V358" s="5">
        <f t="shared" si="88"/>
        <v>72056.107592533022</v>
      </c>
      <c r="W358" s="5">
        <f t="shared" si="89"/>
        <v>27885.490554385844</v>
      </c>
    </row>
    <row r="359" spans="1:23" ht="13">
      <c r="A359" s="92">
        <v>5438</v>
      </c>
      <c r="B359" s="93" t="s">
        <v>695</v>
      </c>
      <c r="C359" s="574">
        <v>0.84787945703694489</v>
      </c>
      <c r="D359" s="100">
        <f t="shared" si="75"/>
        <v>34382.340519112935</v>
      </c>
      <c r="E359" s="100">
        <f t="shared" si="76"/>
        <v>41980.837773836894</v>
      </c>
      <c r="F359" s="100">
        <f t="shared" si="85"/>
        <v>3703.0620911260235</v>
      </c>
      <c r="G359" s="100">
        <f t="shared" si="77"/>
        <v>4521.4388132648746</v>
      </c>
      <c r="H359" s="100">
        <f t="shared" si="86"/>
        <v>740.72567967221073</v>
      </c>
      <c r="I359" s="100">
        <f t="shared" si="78"/>
        <v>904.42605487976937</v>
      </c>
      <c r="J359" s="100">
        <f t="shared" si="79"/>
        <v>177.18788299652897</v>
      </c>
      <c r="K359" s="100">
        <f t="shared" si="80"/>
        <v>216.3464051387619</v>
      </c>
      <c r="L359" s="101">
        <f t="shared" si="81"/>
        <v>4737.7852184036365</v>
      </c>
      <c r="M359" s="100">
        <f t="shared" si="82"/>
        <v>46718.622992240533</v>
      </c>
      <c r="N359" s="102">
        <f t="shared" si="83"/>
        <v>38262.59049323549</v>
      </c>
      <c r="O359" s="94">
        <f t="shared" si="84"/>
        <v>0.94356765602379866</v>
      </c>
      <c r="P359" s="100">
        <f>'K22'!C353</f>
        <v>1221</v>
      </c>
      <c r="Q359" s="100"/>
      <c r="R359" s="100">
        <f t="shared" si="87"/>
        <v>0</v>
      </c>
      <c r="S359" s="100">
        <v>0</v>
      </c>
      <c r="U359" s="100">
        <v>2115.3103333333333</v>
      </c>
      <c r="V359" s="5">
        <f t="shared" si="88"/>
        <v>39865.52744050356</v>
      </c>
      <c r="W359" s="5">
        <f t="shared" si="89"/>
        <v>32649.899623672038</v>
      </c>
    </row>
    <row r="360" spans="1:23" ht="13">
      <c r="A360" s="92">
        <v>5439</v>
      </c>
      <c r="B360" s="93" t="s">
        <v>696</v>
      </c>
      <c r="C360" s="574">
        <v>0.72740302598998841</v>
      </c>
      <c r="D360" s="100">
        <f t="shared" si="75"/>
        <v>29496.903512230252</v>
      </c>
      <c r="E360" s="100">
        <f t="shared" si="76"/>
        <v>31178.227012427375</v>
      </c>
      <c r="F360" s="100">
        <f t="shared" si="85"/>
        <v>6634.3242952556329</v>
      </c>
      <c r="G360" s="100">
        <f t="shared" si="77"/>
        <v>7012.4807800852041</v>
      </c>
      <c r="H360" s="100">
        <f t="shared" si="86"/>
        <v>2450.6286320811496</v>
      </c>
      <c r="I360" s="100">
        <f t="shared" si="78"/>
        <v>2590.3144641097751</v>
      </c>
      <c r="J360" s="100">
        <f t="shared" si="79"/>
        <v>1887.0908354054677</v>
      </c>
      <c r="K360" s="100">
        <f t="shared" si="80"/>
        <v>1994.6550130235792</v>
      </c>
      <c r="L360" s="101">
        <f t="shared" si="81"/>
        <v>9007.1357931087841</v>
      </c>
      <c r="M360" s="100">
        <f t="shared" si="82"/>
        <v>40185.362805536162</v>
      </c>
      <c r="N360" s="102">
        <f t="shared" si="83"/>
        <v>38018.318642891361</v>
      </c>
      <c r="O360" s="94">
        <f t="shared" si="84"/>
        <v>0.93754383447145095</v>
      </c>
      <c r="P360" s="100">
        <f>'K22'!C354</f>
        <v>1057</v>
      </c>
      <c r="Q360" s="100"/>
      <c r="R360" s="100">
        <f t="shared" si="87"/>
        <v>0</v>
      </c>
      <c r="S360" s="100">
        <v>0</v>
      </c>
      <c r="U360" s="100">
        <v>0</v>
      </c>
      <c r="V360" s="5">
        <f t="shared" si="88"/>
        <v>31178.227012427375</v>
      </c>
      <c r="W360" s="5">
        <f t="shared" si="89"/>
        <v>29496.903512230252</v>
      </c>
    </row>
    <row r="361" spans="1:23" ht="13">
      <c r="A361" s="92">
        <v>5440</v>
      </c>
      <c r="B361" s="93" t="s">
        <v>702</v>
      </c>
      <c r="C361" s="574">
        <v>0.81677090021660514</v>
      </c>
      <c r="D361" s="100">
        <f t="shared" si="75"/>
        <v>33120.858141189856</v>
      </c>
      <c r="E361" s="100">
        <f t="shared" si="76"/>
        <v>30007.497475918011</v>
      </c>
      <c r="F361" s="100">
        <f t="shared" si="85"/>
        <v>4459.9515178798711</v>
      </c>
      <c r="G361" s="100">
        <f t="shared" si="77"/>
        <v>4040.7160751991632</v>
      </c>
      <c r="H361" s="100">
        <f t="shared" si="86"/>
        <v>1182.2445119452884</v>
      </c>
      <c r="I361" s="100">
        <f t="shared" si="78"/>
        <v>1071.1135278224315</v>
      </c>
      <c r="J361" s="100">
        <f t="shared" si="79"/>
        <v>618.70671526960666</v>
      </c>
      <c r="K361" s="100">
        <f t="shared" si="80"/>
        <v>560.5482840342637</v>
      </c>
      <c r="L361" s="101">
        <f t="shared" si="81"/>
        <v>4601.2643592334271</v>
      </c>
      <c r="M361" s="100">
        <f t="shared" si="82"/>
        <v>34608.761835151439</v>
      </c>
      <c r="N361" s="102">
        <f t="shared" si="83"/>
        <v>38199.516374339342</v>
      </c>
      <c r="O361" s="94">
        <f t="shared" si="84"/>
        <v>0.94201222818278174</v>
      </c>
      <c r="P361" s="100">
        <f>'K22'!C355</f>
        <v>906</v>
      </c>
      <c r="Q361" s="100"/>
      <c r="R361" s="100">
        <f t="shared" si="87"/>
        <v>0</v>
      </c>
      <c r="S361" s="100">
        <v>0</v>
      </c>
      <c r="U361" s="100">
        <v>0</v>
      </c>
      <c r="V361" s="5">
        <f t="shared" si="88"/>
        <v>30007.497475918011</v>
      </c>
      <c r="W361" s="5">
        <f t="shared" si="89"/>
        <v>33120.858141189856</v>
      </c>
    </row>
    <row r="362" spans="1:23" ht="13">
      <c r="A362" s="92">
        <v>5441</v>
      </c>
      <c r="B362" s="93" t="s">
        <v>1837</v>
      </c>
      <c r="C362" s="574">
        <v>0.77127779685773645</v>
      </c>
      <c r="D362" s="100">
        <f t="shared" si="75"/>
        <v>31276.068344746345</v>
      </c>
      <c r="E362" s="100">
        <f t="shared" si="76"/>
        <v>88229.788800529437</v>
      </c>
      <c r="F362" s="100">
        <f t="shared" si="85"/>
        <v>5566.8253957459774</v>
      </c>
      <c r="G362" s="100">
        <f t="shared" si="77"/>
        <v>15704.014441399402</v>
      </c>
      <c r="H362" s="100">
        <f t="shared" si="86"/>
        <v>1827.9209407005171</v>
      </c>
      <c r="I362" s="100">
        <f t="shared" si="78"/>
        <v>5156.5649737161584</v>
      </c>
      <c r="J362" s="100">
        <f t="shared" si="79"/>
        <v>1264.3831440248355</v>
      </c>
      <c r="K362" s="100">
        <f t="shared" si="80"/>
        <v>3566.8248492940606</v>
      </c>
      <c r="L362" s="101">
        <f t="shared" si="81"/>
        <v>19270.839290693464</v>
      </c>
      <c r="M362" s="100">
        <f t="shared" si="82"/>
        <v>107500.6280912229</v>
      </c>
      <c r="N362" s="102">
        <f t="shared" si="83"/>
        <v>38107.276884517159</v>
      </c>
      <c r="O362" s="94">
        <f t="shared" si="84"/>
        <v>0.93973757301483818</v>
      </c>
      <c r="P362" s="100">
        <f>'K22'!C356</f>
        <v>2821</v>
      </c>
      <c r="Q362" s="100"/>
      <c r="R362" s="100">
        <f t="shared" si="87"/>
        <v>0</v>
      </c>
      <c r="S362" s="100">
        <v>0</v>
      </c>
      <c r="U362" s="100">
        <v>0</v>
      </c>
      <c r="V362" s="5">
        <f t="shared" si="88"/>
        <v>88229.788800529437</v>
      </c>
      <c r="W362" s="5">
        <f t="shared" si="89"/>
        <v>31276.068344746345</v>
      </c>
    </row>
    <row r="363" spans="1:23" ht="13">
      <c r="A363" s="92">
        <v>5442</v>
      </c>
      <c r="B363" s="93" t="s">
        <v>703</v>
      </c>
      <c r="C363" s="574">
        <v>0.67313189338327939</v>
      </c>
      <c r="D363" s="100">
        <f t="shared" si="75"/>
        <v>27296.156052016111</v>
      </c>
      <c r="E363" s="100">
        <f t="shared" si="76"/>
        <v>23310.917268421759</v>
      </c>
      <c r="F363" s="100">
        <f t="shared" si="85"/>
        <v>7954.7727713841177</v>
      </c>
      <c r="G363" s="100">
        <f t="shared" si="77"/>
        <v>6793.3759467620366</v>
      </c>
      <c r="H363" s="100">
        <f t="shared" si="86"/>
        <v>3220.8902431560991</v>
      </c>
      <c r="I363" s="100">
        <f t="shared" si="78"/>
        <v>2750.6402676553089</v>
      </c>
      <c r="J363" s="100">
        <f t="shared" si="79"/>
        <v>2657.3524464804173</v>
      </c>
      <c r="K363" s="100">
        <f t="shared" si="80"/>
        <v>2269.3789892942759</v>
      </c>
      <c r="L363" s="101">
        <f t="shared" si="81"/>
        <v>9062.7549360563135</v>
      </c>
      <c r="M363" s="100">
        <f t="shared" si="82"/>
        <v>32373.672204478073</v>
      </c>
      <c r="N363" s="102">
        <f t="shared" si="83"/>
        <v>37908.281269880652</v>
      </c>
      <c r="O363" s="94">
        <f t="shared" si="84"/>
        <v>0.93483027784111539</v>
      </c>
      <c r="P363" s="100">
        <f>'K22'!C357</f>
        <v>854</v>
      </c>
      <c r="Q363" s="100"/>
      <c r="R363" s="100">
        <f t="shared" si="87"/>
        <v>0</v>
      </c>
      <c r="S363" s="100">
        <v>0</v>
      </c>
      <c r="U363" s="100">
        <v>0</v>
      </c>
      <c r="V363" s="5">
        <f t="shared" si="88"/>
        <v>23310.917268421759</v>
      </c>
      <c r="W363" s="5">
        <f t="shared" si="89"/>
        <v>27296.156052016111</v>
      </c>
    </row>
    <row r="364" spans="1:23" ht="13">
      <c r="A364" s="92">
        <v>5443</v>
      </c>
      <c r="B364" s="93" t="s">
        <v>704</v>
      </c>
      <c r="C364" s="574">
        <v>0.77944428046957137</v>
      </c>
      <c r="D364" s="100">
        <f t="shared" si="75"/>
        <v>31607.227235382881</v>
      </c>
      <c r="E364" s="100">
        <f t="shared" si="76"/>
        <v>68429.646964603933</v>
      </c>
      <c r="F364" s="100">
        <f t="shared" si="85"/>
        <v>5368.130061364056</v>
      </c>
      <c r="G364" s="100">
        <f t="shared" si="77"/>
        <v>11622.001582853181</v>
      </c>
      <c r="H364" s="100">
        <f t="shared" si="86"/>
        <v>1712.0153289777295</v>
      </c>
      <c r="I364" s="100">
        <f t="shared" si="78"/>
        <v>3706.5131872367847</v>
      </c>
      <c r="J364" s="100">
        <f t="shared" si="79"/>
        <v>1148.4775323020476</v>
      </c>
      <c r="K364" s="100">
        <f t="shared" si="80"/>
        <v>2486.4538574339331</v>
      </c>
      <c r="L364" s="101">
        <f t="shared" si="81"/>
        <v>14108.455440287114</v>
      </c>
      <c r="M364" s="100">
        <f t="shared" si="82"/>
        <v>82538.102404891048</v>
      </c>
      <c r="N364" s="102">
        <f t="shared" si="83"/>
        <v>38123.834829048981</v>
      </c>
      <c r="O364" s="94">
        <f t="shared" si="84"/>
        <v>0.94014589719542985</v>
      </c>
      <c r="P364" s="100">
        <f>'K22'!C358</f>
        <v>2165</v>
      </c>
      <c r="Q364" s="100"/>
      <c r="R364" s="100">
        <f t="shared" si="87"/>
        <v>0</v>
      </c>
      <c r="S364" s="100">
        <v>0</v>
      </c>
      <c r="U364" s="100">
        <v>0</v>
      </c>
      <c r="V364" s="5">
        <f t="shared" si="88"/>
        <v>68429.646964603933</v>
      </c>
      <c r="W364" s="5">
        <f t="shared" si="89"/>
        <v>31607.227235382878</v>
      </c>
    </row>
    <row r="365" spans="1:23" ht="13">
      <c r="A365" s="92">
        <v>5444</v>
      </c>
      <c r="B365" s="93" t="s">
        <v>705</v>
      </c>
      <c r="C365" s="574">
        <v>0.79436996500759438</v>
      </c>
      <c r="D365" s="100">
        <f t="shared" si="75"/>
        <v>32212.478328575489</v>
      </c>
      <c r="E365" s="100">
        <f t="shared" si="76"/>
        <v>319708.8474111117</v>
      </c>
      <c r="F365" s="100">
        <f t="shared" si="85"/>
        <v>5004.979405448491</v>
      </c>
      <c r="G365" s="100">
        <f t="shared" si="77"/>
        <v>49674.420599076271</v>
      </c>
      <c r="H365" s="100">
        <f t="shared" si="86"/>
        <v>1500.1774463603167</v>
      </c>
      <c r="I365" s="100">
        <f t="shared" si="78"/>
        <v>14889.261155126143</v>
      </c>
      <c r="J365" s="100">
        <f t="shared" si="79"/>
        <v>936.63964968463495</v>
      </c>
      <c r="K365" s="100">
        <f t="shared" si="80"/>
        <v>9296.1485231200004</v>
      </c>
      <c r="L365" s="101">
        <f t="shared" si="81"/>
        <v>58970.56912219627</v>
      </c>
      <c r="M365" s="100">
        <f t="shared" si="82"/>
        <v>378679.41653330793</v>
      </c>
      <c r="N365" s="102">
        <f t="shared" si="83"/>
        <v>38154.097383708606</v>
      </c>
      <c r="O365" s="94">
        <f t="shared" si="84"/>
        <v>0.94089218142233078</v>
      </c>
      <c r="P365" s="100">
        <f>'K22'!C359</f>
        <v>9925</v>
      </c>
      <c r="Q365" s="100"/>
      <c r="R365" s="100">
        <f t="shared" si="87"/>
        <v>0</v>
      </c>
      <c r="S365" s="100">
        <v>0</v>
      </c>
      <c r="U365" s="100">
        <v>4459.6930000000002</v>
      </c>
      <c r="V365" s="5">
        <f t="shared" si="88"/>
        <v>315249.15441111167</v>
      </c>
      <c r="W365" s="5">
        <f t="shared" si="89"/>
        <v>31763.138983487319</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40550.977186388875</v>
      </c>
      <c r="E367" s="129">
        <f>SUM(E10:E366)</f>
        <v>220000000.00000003</v>
      </c>
      <c r="F367" s="129">
        <f>($D$367-D367)*0.6</f>
        <v>0</v>
      </c>
      <c r="G367" s="129">
        <f>SUM(G10:G365)</f>
        <v>-9.0927642304450274E-8</v>
      </c>
      <c r="H367" s="129">
        <f>IF(D367&lt;D$367*0.9,(D$367*0.9-D367)*0.35,0)</f>
        <v>0</v>
      </c>
      <c r="I367" s="129">
        <f>SUM(I10:I365)</f>
        <v>3057344.7021706761</v>
      </c>
      <c r="J367" s="130"/>
      <c r="K367" s="131">
        <f>SUM(K10:K366)</f>
        <v>-2.3646862246096134E-9</v>
      </c>
      <c r="L367" s="132">
        <f>SUM(L10:L366)</f>
        <v>-8.7595253717154264E-8</v>
      </c>
      <c r="M367" s="129">
        <f>SUM(M10:M366)</f>
        <v>220000000</v>
      </c>
      <c r="N367" s="133">
        <f>M367*1000/P367</f>
        <v>40550.977186388882</v>
      </c>
      <c r="O367" s="128">
        <f>N367/N$367</f>
        <v>1</v>
      </c>
      <c r="P367" s="129">
        <f>SUM(P10:P366)</f>
        <v>5425270</v>
      </c>
      <c r="Q367" s="649"/>
      <c r="R367" s="129">
        <f t="shared" si="87"/>
        <v>3.1334846007664137</v>
      </c>
      <c r="S367" s="129">
        <f>SUM(S10:S366)</f>
        <v>17000</v>
      </c>
      <c r="U367" s="129">
        <f>SUM(U10:U366)</f>
        <v>1403708.2923333335</v>
      </c>
      <c r="V367" s="129">
        <f>SUM(V10:V366)</f>
        <v>218596291.70766664</v>
      </c>
      <c r="W367" s="129">
        <f t="shared" si="89"/>
        <v>40292.241991212715</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-563.53779667568176</v>
      </c>
      <c r="I370" s="88"/>
      <c r="J370" s="88"/>
      <c r="K370" s="88"/>
      <c r="L370" s="98"/>
      <c r="M370" s="88"/>
      <c r="N370" s="88"/>
      <c r="O370" s="88"/>
      <c r="P370" s="88"/>
      <c r="R370" s="95"/>
      <c r="S370" s="95"/>
    </row>
  </sheetData>
  <sheetProtection sheet="1" objects="1" scenarios="1"/>
  <mergeCells count="12">
    <mergeCell ref="R5:S5"/>
    <mergeCell ref="R6:S6"/>
    <mergeCell ref="R7:S7"/>
    <mergeCell ref="M5:O5"/>
    <mergeCell ref="D6:E6"/>
    <mergeCell ref="F6:G6"/>
    <mergeCell ref="M6:O6"/>
    <mergeCell ref="D7:E7"/>
    <mergeCell ref="F7:G7"/>
    <mergeCell ref="D5:E5"/>
    <mergeCell ref="F5:G5"/>
    <mergeCell ref="H5:K5"/>
  </mergeCells>
  <phoneticPr fontId="32" type="noConversion"/>
  <hyperlinks>
    <hyperlink ref="N1" location="Inngang!C8" display="Inngang!A1" xr:uid="{BFA865B2-C9DA-40FD-A957-CDBBF2786120}"/>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C10" sqref="C10:C365"/>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2502</v>
      </c>
      <c r="D1" s="90"/>
      <c r="E1" s="90"/>
      <c r="F1" s="97">
        <f>+Gdata!G96</f>
        <v>200885000</v>
      </c>
      <c r="G1" s="90" t="s">
        <v>709</v>
      </c>
      <c r="H1" s="90"/>
      <c r="I1" s="87" t="s">
        <v>354</v>
      </c>
      <c r="J1" s="537">
        <f>F1*1000/P367</f>
        <v>36692.088200557962</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-425.68545411956319</v>
      </c>
      <c r="I3" s="538" t="s">
        <v>1017</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75" t="s">
        <v>1018</v>
      </c>
      <c r="E5" s="1275"/>
      <c r="F5" s="1275" t="s">
        <v>1320</v>
      </c>
      <c r="G5" s="1275"/>
      <c r="H5" s="1275" t="s">
        <v>367</v>
      </c>
      <c r="I5" s="1275"/>
      <c r="J5" s="1275"/>
      <c r="K5" s="1275"/>
      <c r="L5" s="542" t="s">
        <v>368</v>
      </c>
      <c r="M5" s="1275" t="s">
        <v>369</v>
      </c>
      <c r="N5" s="1275"/>
      <c r="O5" s="1275"/>
      <c r="P5" s="734" t="s">
        <v>2234</v>
      </c>
      <c r="R5" s="1275" t="s">
        <v>2384</v>
      </c>
      <c r="S5" s="1275"/>
      <c r="U5" s="541" t="s">
        <v>2581</v>
      </c>
      <c r="V5" s="541" t="s">
        <v>2585</v>
      </c>
      <c r="W5" s="541" t="s">
        <v>2585</v>
      </c>
    </row>
    <row r="6" spans="1:23" ht="13">
      <c r="A6" s="538"/>
      <c r="B6" s="538"/>
      <c r="C6" s="543" t="s">
        <v>357</v>
      </c>
      <c r="D6" s="1276"/>
      <c r="E6" s="1276"/>
      <c r="F6" s="1276" t="s">
        <v>371</v>
      </c>
      <c r="G6" s="1276"/>
      <c r="H6" s="538"/>
      <c r="I6" s="538"/>
      <c r="J6" s="538"/>
      <c r="K6" s="538"/>
      <c r="L6" s="544" t="s">
        <v>370</v>
      </c>
      <c r="M6" s="1276" t="s">
        <v>371</v>
      </c>
      <c r="N6" s="1276"/>
      <c r="O6" s="1276"/>
      <c r="P6" s="546">
        <v>44927</v>
      </c>
      <c r="R6" s="1276" t="s">
        <v>2380</v>
      </c>
      <c r="S6" s="1276"/>
      <c r="U6" s="543" t="s">
        <v>2583</v>
      </c>
      <c r="V6" s="543" t="s">
        <v>2586</v>
      </c>
      <c r="W6" s="543" t="s">
        <v>2586</v>
      </c>
    </row>
    <row r="7" spans="1:23" ht="13">
      <c r="A7" s="538"/>
      <c r="B7" s="538"/>
      <c r="C7" s="543" t="s">
        <v>358</v>
      </c>
      <c r="D7" s="1276" t="s">
        <v>2505</v>
      </c>
      <c r="E7" s="1276"/>
      <c r="F7" s="1276"/>
      <c r="G7" s="1276"/>
      <c r="H7" s="545" t="s">
        <v>334</v>
      </c>
      <c r="I7" s="545"/>
      <c r="J7" s="545" t="s">
        <v>359</v>
      </c>
      <c r="K7" s="545"/>
      <c r="L7" s="544"/>
      <c r="M7" s="538"/>
      <c r="N7" s="538"/>
      <c r="O7" s="1152" t="s">
        <v>360</v>
      </c>
      <c r="P7" s="829" t="s">
        <v>2503</v>
      </c>
      <c r="R7" s="1276" t="s">
        <v>2381</v>
      </c>
      <c r="S7" s="1276"/>
      <c r="U7" s="543" t="s">
        <v>2582</v>
      </c>
      <c r="V7" s="543"/>
      <c r="W7" s="543"/>
    </row>
    <row r="8" spans="1:23" ht="13.5" customHeight="1">
      <c r="A8" s="547"/>
      <c r="B8" s="547"/>
      <c r="C8" s="548" t="s">
        <v>1067</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2504</v>
      </c>
      <c r="R8" s="549" t="s">
        <v>361</v>
      </c>
      <c r="S8" s="549" t="s">
        <v>268</v>
      </c>
      <c r="U8" s="548" t="s">
        <v>2584</v>
      </c>
      <c r="V8" s="548" t="s">
        <v>2584</v>
      </c>
      <c r="W8" s="548" t="s">
        <v>2587</v>
      </c>
    </row>
    <row r="10" spans="1:23" ht="13">
      <c r="A10" s="92">
        <v>301</v>
      </c>
      <c r="B10" s="93" t="s">
        <v>399</v>
      </c>
      <c r="C10" s="574">
        <v>1.3600146207188339</v>
      </c>
      <c r="D10" s="100">
        <f t="shared" ref="D10:D73" si="0">C10*D$367</f>
        <v>49901.776417463836</v>
      </c>
      <c r="E10" s="100">
        <f t="shared" ref="E10:E73" si="1">D10*P10/1000</f>
        <v>35363742.188434847</v>
      </c>
      <c r="F10" s="100">
        <f>($D$367+$R$367-D10-R10)*0.6</f>
        <v>-7923.9498776525688</v>
      </c>
      <c r="G10" s="100">
        <f t="shared" ref="G10:G73" si="2">F10*P10/1000</f>
        <v>-5615441.7879464133</v>
      </c>
      <c r="H10" s="100">
        <f>IF((D10+R10)&lt;(D$367+R$367)*0.9,((D$367+R$367)*0.9-(D10+R10))*0.35,0)</f>
        <v>0</v>
      </c>
      <c r="I10" s="100">
        <f t="shared" ref="I10:I73" si="3">H10*P10/1000</f>
        <v>0</v>
      </c>
      <c r="J10" s="100">
        <f t="shared" ref="J10:J73" si="4">H10+H$370</f>
        <v>-425.68545411956319</v>
      </c>
      <c r="K10" s="100">
        <f t="shared" ref="K10:K73" si="5">J10*P10/1000</f>
        <v>-301669.23371454846</v>
      </c>
      <c r="L10" s="101">
        <f t="shared" ref="L10:L73" si="6">K10+G10</f>
        <v>-5917111.0216609621</v>
      </c>
      <c r="M10" s="100">
        <f t="shared" ref="M10:M73" si="7">K10+E10+G10</f>
        <v>29446631.166773882</v>
      </c>
      <c r="N10" s="102">
        <f t="shared" ref="N10:N73" si="8">M10*1000/P10</f>
        <v>41552.141085691699</v>
      </c>
      <c r="O10" s="94">
        <f t="shared" ref="O10:O73" si="9">N10/N$367</f>
        <v>1.1324550638428881</v>
      </c>
      <c r="P10" s="100">
        <f>'Bef.fremskr. kommunenivå MMMM'!H5</f>
        <v>708667</v>
      </c>
      <c r="Q10" s="100"/>
      <c r="R10" s="100">
        <f>S10*1000/P10</f>
        <v>0</v>
      </c>
      <c r="S10" s="100">
        <v>0</v>
      </c>
      <c r="U10" s="100">
        <v>0</v>
      </c>
      <c r="V10" s="5">
        <f>+E10-U10</f>
        <v>35363742.188434847</v>
      </c>
      <c r="W10" s="5">
        <f>+V10*1000/P10</f>
        <v>49901.776417463836</v>
      </c>
    </row>
    <row r="11" spans="1:23" ht="13">
      <c r="A11" s="92">
        <v>1101</v>
      </c>
      <c r="B11" s="93" t="s">
        <v>510</v>
      </c>
      <c r="C11" s="574">
        <v>1.0109050267886344</v>
      </c>
      <c r="D11" s="100">
        <f t="shared" si="0"/>
        <v>37092.21640531598</v>
      </c>
      <c r="E11" s="100">
        <f t="shared" si="1"/>
        <v>550337.21480567323</v>
      </c>
      <c r="F11" s="100">
        <f t="shared" ref="F11:F74" si="10">($D$367+$R$367-D11-R11)*0.6</f>
        <v>-238.21387036385568</v>
      </c>
      <c r="G11" s="100">
        <f t="shared" si="2"/>
        <v>-3534.3791945885268</v>
      </c>
      <c r="H11" s="100">
        <f t="shared" ref="H11:H74" si="11">IF((D11+R11)&lt;(D$367+R$367)*0.9,((D$367+R$367)*0.9-(D11+R11))*0.35,0)</f>
        <v>0</v>
      </c>
      <c r="I11" s="100">
        <f t="shared" si="3"/>
        <v>0</v>
      </c>
      <c r="J11" s="100">
        <f t="shared" si="4"/>
        <v>-425.68545411956319</v>
      </c>
      <c r="K11" s="100">
        <f t="shared" si="5"/>
        <v>-6315.8950827719591</v>
      </c>
      <c r="L11" s="101">
        <f t="shared" si="6"/>
        <v>-9850.2742773604859</v>
      </c>
      <c r="M11" s="100">
        <f t="shared" si="7"/>
        <v>540486.9405283127</v>
      </c>
      <c r="N11" s="102">
        <f t="shared" si="8"/>
        <v>36428.317080832559</v>
      </c>
      <c r="O11" s="94">
        <f t="shared" si="9"/>
        <v>0.9928112262708082</v>
      </c>
      <c r="P11" s="100">
        <f>'Bef.fremskr. kommunenivå MMMM'!H6</f>
        <v>14837</v>
      </c>
      <c r="Q11" s="100"/>
      <c r="R11" s="100">
        <f t="shared" ref="R11:R74" si="12">S11*1000/P11</f>
        <v>0</v>
      </c>
      <c r="S11" s="100">
        <v>0</v>
      </c>
      <c r="U11" s="100">
        <v>766.55200000000002</v>
      </c>
      <c r="V11" s="5">
        <f t="shared" ref="V11:V74" si="13">+E11-U11</f>
        <v>549570.6628056732</v>
      </c>
      <c r="W11" s="5">
        <f t="shared" ref="W11:W74" si="14">+V11*1000/P11</f>
        <v>37040.551513491489</v>
      </c>
    </row>
    <row r="12" spans="1:23" ht="13">
      <c r="A12" s="92">
        <v>1103</v>
      </c>
      <c r="B12" s="93" t="s">
        <v>512</v>
      </c>
      <c r="C12" s="574">
        <v>1.2189390965662292</v>
      </c>
      <c r="D12" s="100">
        <f t="shared" si="0"/>
        <v>44725.420842316526</v>
      </c>
      <c r="E12" s="100">
        <f t="shared" si="1"/>
        <v>6530940.1276575858</v>
      </c>
      <c r="F12" s="100">
        <f t="shared" si="10"/>
        <v>-4818.1365325641827</v>
      </c>
      <c r="G12" s="100">
        <f t="shared" si="2"/>
        <v>-703558.75089461973</v>
      </c>
      <c r="H12" s="100">
        <f t="shared" si="11"/>
        <v>0</v>
      </c>
      <c r="I12" s="100">
        <f t="shared" si="3"/>
        <v>0</v>
      </c>
      <c r="J12" s="100">
        <f t="shared" si="4"/>
        <v>-425.68545411956319</v>
      </c>
      <c r="K12" s="100">
        <f t="shared" si="5"/>
        <v>-62159.867066900973</v>
      </c>
      <c r="L12" s="101">
        <f t="shared" si="6"/>
        <v>-765718.61796152068</v>
      </c>
      <c r="M12" s="100">
        <f t="shared" si="7"/>
        <v>5765221.5096960645</v>
      </c>
      <c r="N12" s="102">
        <f t="shared" si="8"/>
        <v>39481.598855632779</v>
      </c>
      <c r="O12" s="94">
        <f t="shared" si="9"/>
        <v>1.0760248541818462</v>
      </c>
      <c r="P12" s="100">
        <f>'Bef.fremskr. kommunenivå MMMM'!H7</f>
        <v>146023</v>
      </c>
      <c r="Q12" s="100"/>
      <c r="R12" s="100">
        <f t="shared" si="12"/>
        <v>0</v>
      </c>
      <c r="S12" s="100">
        <v>0</v>
      </c>
      <c r="U12" s="100">
        <v>0</v>
      </c>
      <c r="V12" s="5">
        <f t="shared" si="13"/>
        <v>6530940.1276575858</v>
      </c>
      <c r="W12" s="5">
        <f t="shared" si="14"/>
        <v>44725.420842316526</v>
      </c>
    </row>
    <row r="13" spans="1:23" ht="13">
      <c r="A13" s="92">
        <v>1106</v>
      </c>
      <c r="B13" s="93" t="s">
        <v>513</v>
      </c>
      <c r="C13" s="574">
        <v>0.95122548701229537</v>
      </c>
      <c r="D13" s="100">
        <f t="shared" si="0"/>
        <v>34902.449468073843</v>
      </c>
      <c r="E13" s="100">
        <f t="shared" si="1"/>
        <v>1318405.1262070213</v>
      </c>
      <c r="F13" s="100">
        <f t="shared" si="10"/>
        <v>1075.6462919814264</v>
      </c>
      <c r="G13" s="100">
        <f t="shared" si="2"/>
        <v>40631.463033306405</v>
      </c>
      <c r="H13" s="100">
        <f t="shared" si="11"/>
        <v>0</v>
      </c>
      <c r="I13" s="100">
        <f t="shared" si="3"/>
        <v>0</v>
      </c>
      <c r="J13" s="100">
        <f t="shared" si="4"/>
        <v>-425.68545411956319</v>
      </c>
      <c r="K13" s="100">
        <f t="shared" si="5"/>
        <v>-16079.84234391238</v>
      </c>
      <c r="L13" s="101">
        <f t="shared" si="6"/>
        <v>24551.620689394025</v>
      </c>
      <c r="M13" s="100">
        <f t="shared" si="7"/>
        <v>1342956.7468964153</v>
      </c>
      <c r="N13" s="102">
        <f t="shared" si="8"/>
        <v>35552.4103059357</v>
      </c>
      <c r="O13" s="94">
        <f t="shared" si="9"/>
        <v>0.96893941036027242</v>
      </c>
      <c r="P13" s="100">
        <f>'Bef.fremskr. kommunenivå MMMM'!H8</f>
        <v>37774</v>
      </c>
      <c r="Q13" s="100"/>
      <c r="R13" s="100">
        <f t="shared" si="12"/>
        <v>0</v>
      </c>
      <c r="S13" s="100">
        <v>0</v>
      </c>
      <c r="U13" s="100">
        <v>0</v>
      </c>
      <c r="V13" s="5">
        <f t="shared" si="13"/>
        <v>1318405.1262070213</v>
      </c>
      <c r="W13" s="5">
        <f t="shared" si="14"/>
        <v>34902.449468073843</v>
      </c>
    </row>
    <row r="14" spans="1:23" ht="13">
      <c r="A14" s="92">
        <v>1108</v>
      </c>
      <c r="B14" s="93" t="s">
        <v>511</v>
      </c>
      <c r="C14" s="574">
        <v>0.98147938369367371</v>
      </c>
      <c r="D14" s="100">
        <f t="shared" si="0"/>
        <v>36012.528113517546</v>
      </c>
      <c r="E14" s="100">
        <f t="shared" si="1"/>
        <v>2959761.6480656667</v>
      </c>
      <c r="F14" s="100">
        <f t="shared" si="10"/>
        <v>409.59910471520413</v>
      </c>
      <c r="G14" s="100">
        <f t="shared" si="2"/>
        <v>33663.721619228483</v>
      </c>
      <c r="H14" s="100">
        <f t="shared" si="11"/>
        <v>0</v>
      </c>
      <c r="I14" s="100">
        <f t="shared" si="3"/>
        <v>0</v>
      </c>
      <c r="J14" s="100">
        <f t="shared" si="4"/>
        <v>-425.68545411956319</v>
      </c>
      <c r="K14" s="100">
        <f t="shared" si="5"/>
        <v>-34985.81041772454</v>
      </c>
      <c r="L14" s="101">
        <f t="shared" si="6"/>
        <v>-1322.0887984960573</v>
      </c>
      <c r="M14" s="100">
        <f t="shared" si="7"/>
        <v>2958439.5592671703</v>
      </c>
      <c r="N14" s="102">
        <f t="shared" si="8"/>
        <v>35996.441764113188</v>
      </c>
      <c r="O14" s="94">
        <f t="shared" si="9"/>
        <v>0.98104096903282401</v>
      </c>
      <c r="P14" s="100">
        <f>'Bef.fremskr. kommunenivå MMMM'!H9</f>
        <v>82187</v>
      </c>
      <c r="Q14" s="100"/>
      <c r="R14" s="100">
        <f t="shared" si="12"/>
        <v>0</v>
      </c>
      <c r="S14" s="100">
        <v>0</v>
      </c>
      <c r="U14" s="100">
        <v>20328.03</v>
      </c>
      <c r="V14" s="5">
        <f t="shared" si="13"/>
        <v>2939433.6180656669</v>
      </c>
      <c r="W14" s="5">
        <f t="shared" si="14"/>
        <v>35765.189361646815</v>
      </c>
    </row>
    <row r="15" spans="1:23" ht="13">
      <c r="A15" s="92">
        <v>1111</v>
      </c>
      <c r="B15" s="93" t="s">
        <v>514</v>
      </c>
      <c r="C15" s="574">
        <v>0.81833160703939822</v>
      </c>
      <c r="D15" s="100">
        <f t="shared" si="0"/>
        <v>30026.295502793939</v>
      </c>
      <c r="E15" s="100">
        <f t="shared" si="1"/>
        <v>98606.354431175292</v>
      </c>
      <c r="F15" s="100">
        <f t="shared" si="10"/>
        <v>4001.3386711493686</v>
      </c>
      <c r="G15" s="100">
        <f t="shared" si="2"/>
        <v>13140.396196054526</v>
      </c>
      <c r="H15" s="100">
        <f t="shared" si="11"/>
        <v>1049.7824597556314</v>
      </c>
      <c r="I15" s="100">
        <f t="shared" si="3"/>
        <v>3447.485597837494</v>
      </c>
      <c r="J15" s="100">
        <f t="shared" si="4"/>
        <v>624.09700563606816</v>
      </c>
      <c r="K15" s="100">
        <f t="shared" si="5"/>
        <v>2049.5345665088475</v>
      </c>
      <c r="L15" s="101">
        <f t="shared" si="6"/>
        <v>15189.930762563374</v>
      </c>
      <c r="M15" s="100">
        <f t="shared" si="7"/>
        <v>113796.28519373867</v>
      </c>
      <c r="N15" s="102">
        <f t="shared" si="8"/>
        <v>34651.731179579372</v>
      </c>
      <c r="O15" s="94">
        <f t="shared" si="9"/>
        <v>0.94439245294991081</v>
      </c>
      <c r="P15" s="100">
        <f>'Bef.fremskr. kommunenivå MMMM'!H10</f>
        <v>3284</v>
      </c>
      <c r="Q15" s="100"/>
      <c r="R15" s="100">
        <f t="shared" si="12"/>
        <v>0</v>
      </c>
      <c r="S15" s="100">
        <v>0</v>
      </c>
      <c r="U15" s="100">
        <v>391.51233333333334</v>
      </c>
      <c r="V15" s="5">
        <f t="shared" si="13"/>
        <v>98214.84209784196</v>
      </c>
      <c r="W15" s="5">
        <f t="shared" si="14"/>
        <v>29907.077374495118</v>
      </c>
    </row>
    <row r="16" spans="1:23" ht="13">
      <c r="A16" s="92">
        <v>1112</v>
      </c>
      <c r="B16" s="93" t="s">
        <v>515</v>
      </c>
      <c r="C16" s="574">
        <v>0.79454449569117169</v>
      </c>
      <c r="D16" s="100">
        <f t="shared" si="0"/>
        <v>29153.496715168316</v>
      </c>
      <c r="E16" s="100">
        <f t="shared" si="1"/>
        <v>92620.659064089748</v>
      </c>
      <c r="F16" s="100">
        <f t="shared" si="10"/>
        <v>4525.0179437247425</v>
      </c>
      <c r="G16" s="100">
        <f t="shared" si="2"/>
        <v>14375.982007213506</v>
      </c>
      <c r="H16" s="100">
        <f t="shared" si="11"/>
        <v>1355.2620354245994</v>
      </c>
      <c r="I16" s="100">
        <f t="shared" si="3"/>
        <v>4305.6674865439527</v>
      </c>
      <c r="J16" s="100">
        <f t="shared" si="4"/>
        <v>929.57658130503614</v>
      </c>
      <c r="K16" s="100">
        <f t="shared" si="5"/>
        <v>2953.2647988060999</v>
      </c>
      <c r="L16" s="101">
        <f t="shared" si="6"/>
        <v>17329.246806019604</v>
      </c>
      <c r="M16" s="100">
        <f t="shared" si="7"/>
        <v>109949.90587010935</v>
      </c>
      <c r="N16" s="102">
        <f t="shared" si="8"/>
        <v>34608.091240198097</v>
      </c>
      <c r="O16" s="94">
        <f t="shared" si="9"/>
        <v>0.94320309738249963</v>
      </c>
      <c r="P16" s="100">
        <f>'Bef.fremskr. kommunenivå MMMM'!H11</f>
        <v>3177</v>
      </c>
      <c r="Q16" s="100"/>
      <c r="R16" s="100">
        <f t="shared" si="12"/>
        <v>0</v>
      </c>
      <c r="S16" s="100">
        <v>0</v>
      </c>
      <c r="U16" s="100">
        <v>1300.0816666666667</v>
      </c>
      <c r="V16" s="5">
        <f t="shared" si="13"/>
        <v>91320.577397423083</v>
      </c>
      <c r="W16" s="5">
        <f t="shared" si="14"/>
        <v>28744.279948826908</v>
      </c>
    </row>
    <row r="17" spans="1:23" ht="13">
      <c r="A17" s="92">
        <v>1114</v>
      </c>
      <c r="B17" s="93" t="s">
        <v>516</v>
      </c>
      <c r="C17" s="574">
        <v>0.84832701630516616</v>
      </c>
      <c r="D17" s="100">
        <f t="shared" si="0"/>
        <v>31126.889705185331</v>
      </c>
      <c r="E17" s="100">
        <f t="shared" si="1"/>
        <v>86937.402946582632</v>
      </c>
      <c r="F17" s="100">
        <f t="shared" si="10"/>
        <v>3340.9821497145335</v>
      </c>
      <c r="G17" s="100">
        <f t="shared" si="2"/>
        <v>9331.3631441526923</v>
      </c>
      <c r="H17" s="100">
        <f t="shared" si="11"/>
        <v>664.57448891864419</v>
      </c>
      <c r="I17" s="100">
        <f t="shared" si="3"/>
        <v>1856.1565475497732</v>
      </c>
      <c r="J17" s="100">
        <f t="shared" si="4"/>
        <v>238.889034799081</v>
      </c>
      <c r="K17" s="100">
        <f t="shared" si="5"/>
        <v>667.21707419383324</v>
      </c>
      <c r="L17" s="101">
        <f t="shared" si="6"/>
        <v>9998.5802183465257</v>
      </c>
      <c r="M17" s="100">
        <f t="shared" si="7"/>
        <v>96935.983164929159</v>
      </c>
      <c r="N17" s="102">
        <f t="shared" si="8"/>
        <v>34706.760889698948</v>
      </c>
      <c r="O17" s="94">
        <f t="shared" si="9"/>
        <v>0.94589222341319934</v>
      </c>
      <c r="P17" s="100">
        <f>'Bef.fremskr. kommunenivå MMMM'!H12</f>
        <v>2793</v>
      </c>
      <c r="Q17" s="100"/>
      <c r="R17" s="100">
        <f t="shared" si="12"/>
        <v>0</v>
      </c>
      <c r="S17" s="100">
        <v>0</v>
      </c>
      <c r="U17" s="100">
        <v>0.30433333333333334</v>
      </c>
      <c r="V17" s="5">
        <f t="shared" si="13"/>
        <v>86937.098613249298</v>
      </c>
      <c r="W17" s="5">
        <f t="shared" si="14"/>
        <v>31126.780742301933</v>
      </c>
    </row>
    <row r="18" spans="1:23" ht="13">
      <c r="A18" s="92">
        <v>1119</v>
      </c>
      <c r="B18" s="93" t="s">
        <v>517</v>
      </c>
      <c r="C18" s="574">
        <v>0.82592183210775538</v>
      </c>
      <c r="D18" s="100">
        <f t="shared" si="0"/>
        <v>30304.796710464187</v>
      </c>
      <c r="E18" s="100">
        <f t="shared" si="1"/>
        <v>589428.29601852852</v>
      </c>
      <c r="F18" s="100">
        <f t="shared" si="10"/>
        <v>3834.23794654722</v>
      </c>
      <c r="G18" s="100">
        <f t="shared" si="2"/>
        <v>74575.928060343431</v>
      </c>
      <c r="H18" s="100">
        <f t="shared" si="11"/>
        <v>952.30703707104465</v>
      </c>
      <c r="I18" s="100">
        <f t="shared" si="3"/>
        <v>18522.371871031817</v>
      </c>
      <c r="J18" s="100">
        <f t="shared" si="4"/>
        <v>526.62158295148151</v>
      </c>
      <c r="K18" s="100">
        <f t="shared" si="5"/>
        <v>10242.789788406317</v>
      </c>
      <c r="L18" s="101">
        <f t="shared" si="6"/>
        <v>84818.717848749744</v>
      </c>
      <c r="M18" s="100">
        <f t="shared" si="7"/>
        <v>674247.01386727835</v>
      </c>
      <c r="N18" s="102">
        <f t="shared" si="8"/>
        <v>34665.656239962897</v>
      </c>
      <c r="O18" s="94">
        <f t="shared" si="9"/>
        <v>0.94477196420332898</v>
      </c>
      <c r="P18" s="100">
        <f>'Bef.fremskr. kommunenivå MMMM'!H13</f>
        <v>19450</v>
      </c>
      <c r="Q18" s="100"/>
      <c r="R18" s="100">
        <f t="shared" si="12"/>
        <v>0</v>
      </c>
      <c r="S18" s="100">
        <v>0</v>
      </c>
      <c r="U18" s="100">
        <v>0</v>
      </c>
      <c r="V18" s="5">
        <f t="shared" si="13"/>
        <v>589428.29601852852</v>
      </c>
      <c r="W18" s="5">
        <f t="shared" si="14"/>
        <v>30304.796710464187</v>
      </c>
    </row>
    <row r="19" spans="1:23" ht="13">
      <c r="A19" s="92">
        <v>1120</v>
      </c>
      <c r="B19" s="93" t="s">
        <v>518</v>
      </c>
      <c r="C19" s="574">
        <v>0.92050584753352527</v>
      </c>
      <c r="D19" s="100">
        <f t="shared" si="0"/>
        <v>33775.281746829467</v>
      </c>
      <c r="E19" s="100">
        <f t="shared" si="1"/>
        <v>694588.66912354808</v>
      </c>
      <c r="F19" s="100">
        <f t="shared" si="10"/>
        <v>1751.9469247280517</v>
      </c>
      <c r="G19" s="100">
        <f t="shared" si="2"/>
        <v>36028.78850703239</v>
      </c>
      <c r="H19" s="100">
        <f t="shared" si="11"/>
        <v>0</v>
      </c>
      <c r="I19" s="100">
        <f t="shared" si="3"/>
        <v>0</v>
      </c>
      <c r="J19" s="100">
        <f t="shared" si="4"/>
        <v>-425.68545411956319</v>
      </c>
      <c r="K19" s="100">
        <f t="shared" si="5"/>
        <v>-8754.221363968818</v>
      </c>
      <c r="L19" s="101">
        <f t="shared" si="6"/>
        <v>27274.56714306357</v>
      </c>
      <c r="M19" s="100">
        <f t="shared" si="7"/>
        <v>721863.23626661173</v>
      </c>
      <c r="N19" s="102">
        <f t="shared" si="8"/>
        <v>35101.54321743796</v>
      </c>
      <c r="O19" s="94">
        <f t="shared" si="9"/>
        <v>0.95665155456876472</v>
      </c>
      <c r="P19" s="100">
        <f>'Bef.fremskr. kommunenivå MMMM'!H14</f>
        <v>20565</v>
      </c>
      <c r="Q19" s="100"/>
      <c r="R19" s="100">
        <f t="shared" si="12"/>
        <v>0</v>
      </c>
      <c r="S19" s="100">
        <v>0</v>
      </c>
      <c r="U19" s="100">
        <v>0</v>
      </c>
      <c r="V19" s="5">
        <f t="shared" si="13"/>
        <v>694588.66912354808</v>
      </c>
      <c r="W19" s="5">
        <f t="shared" si="14"/>
        <v>33775.281746829467</v>
      </c>
    </row>
    <row r="20" spans="1:23" ht="13">
      <c r="A20" s="92">
        <v>1121</v>
      </c>
      <c r="B20" s="93" t="s">
        <v>519</v>
      </c>
      <c r="C20" s="574">
        <v>0.95840639896315427</v>
      </c>
      <c r="D20" s="100">
        <f t="shared" si="0"/>
        <v>35165.932122735197</v>
      </c>
      <c r="E20" s="100">
        <f t="shared" si="1"/>
        <v>692241.37383604236</v>
      </c>
      <c r="F20" s="100">
        <f t="shared" si="10"/>
        <v>917.55669918461354</v>
      </c>
      <c r="G20" s="100">
        <f t="shared" si="2"/>
        <v>18062.103623449118</v>
      </c>
      <c r="H20" s="100">
        <f t="shared" si="11"/>
        <v>0</v>
      </c>
      <c r="I20" s="100">
        <f t="shared" si="3"/>
        <v>0</v>
      </c>
      <c r="J20" s="100">
        <f t="shared" si="4"/>
        <v>-425.68545411956319</v>
      </c>
      <c r="K20" s="100">
        <f t="shared" si="5"/>
        <v>-8379.6181643436012</v>
      </c>
      <c r="L20" s="101">
        <f t="shared" si="6"/>
        <v>9682.4854591055173</v>
      </c>
      <c r="M20" s="100">
        <f t="shared" si="7"/>
        <v>701923.85929514782</v>
      </c>
      <c r="N20" s="102">
        <f t="shared" si="8"/>
        <v>35657.803367800239</v>
      </c>
      <c r="O20" s="94">
        <f t="shared" si="9"/>
        <v>0.9718117751406159</v>
      </c>
      <c r="P20" s="100">
        <f>'Bef.fremskr. kommunenivå MMMM'!H15</f>
        <v>19685</v>
      </c>
      <c r="Q20" s="100"/>
      <c r="R20" s="100">
        <f t="shared" si="12"/>
        <v>0</v>
      </c>
      <c r="S20" s="100">
        <v>0</v>
      </c>
      <c r="U20" s="100">
        <v>0</v>
      </c>
      <c r="V20" s="5">
        <f t="shared" si="13"/>
        <v>692241.37383604236</v>
      </c>
      <c r="W20" s="5">
        <f t="shared" si="14"/>
        <v>35165.932122735197</v>
      </c>
    </row>
    <row r="21" spans="1:23" ht="13">
      <c r="A21" s="92">
        <v>1122</v>
      </c>
      <c r="B21" s="93" t="s">
        <v>520</v>
      </c>
      <c r="C21" s="574">
        <v>0.85537268036663772</v>
      </c>
      <c r="D21" s="100">
        <f t="shared" si="0"/>
        <v>31385.409832360347</v>
      </c>
      <c r="E21" s="100">
        <f t="shared" si="1"/>
        <v>385412.83274138503</v>
      </c>
      <c r="F21" s="100">
        <f t="shared" si="10"/>
        <v>3185.8700734095241</v>
      </c>
      <c r="G21" s="100">
        <f t="shared" si="2"/>
        <v>39122.484501468956</v>
      </c>
      <c r="H21" s="100">
        <f t="shared" si="11"/>
        <v>574.09244440738871</v>
      </c>
      <c r="I21" s="100">
        <f t="shared" si="3"/>
        <v>7049.8552173227336</v>
      </c>
      <c r="J21" s="100">
        <f t="shared" si="4"/>
        <v>148.40699028782552</v>
      </c>
      <c r="K21" s="100">
        <f t="shared" si="5"/>
        <v>1822.4378407344975</v>
      </c>
      <c r="L21" s="101">
        <f t="shared" si="6"/>
        <v>40944.922342203456</v>
      </c>
      <c r="M21" s="100">
        <f t="shared" si="7"/>
        <v>426357.75508358848</v>
      </c>
      <c r="N21" s="102">
        <f t="shared" si="8"/>
        <v>34719.68689605769</v>
      </c>
      <c r="O21" s="94">
        <f t="shared" si="9"/>
        <v>0.94624450661627268</v>
      </c>
      <c r="P21" s="100">
        <f>'Bef.fremskr. kommunenivå MMMM'!H16</f>
        <v>12280</v>
      </c>
      <c r="Q21" s="100"/>
      <c r="R21" s="100">
        <f t="shared" si="12"/>
        <v>0</v>
      </c>
      <c r="S21" s="100">
        <v>0</v>
      </c>
      <c r="U21" s="100">
        <v>3434.6133333333332</v>
      </c>
      <c r="V21" s="5">
        <f t="shared" si="13"/>
        <v>381978.21940805169</v>
      </c>
      <c r="W21" s="5">
        <f t="shared" si="14"/>
        <v>31105.718192838085</v>
      </c>
    </row>
    <row r="22" spans="1:23" ht="13">
      <c r="A22" s="92">
        <v>1124</v>
      </c>
      <c r="B22" s="93" t="s">
        <v>521</v>
      </c>
      <c r="C22" s="574">
        <v>1.2270537432891118</v>
      </c>
      <c r="D22" s="100">
        <f t="shared" si="0"/>
        <v>45023.1641755889</v>
      </c>
      <c r="E22" s="100">
        <f t="shared" si="1"/>
        <v>1258082.2765584805</v>
      </c>
      <c r="F22" s="100">
        <f t="shared" si="10"/>
        <v>-4996.7825325276071</v>
      </c>
      <c r="G22" s="100">
        <f t="shared" si="2"/>
        <v>-139625.09430641893</v>
      </c>
      <c r="H22" s="100">
        <f t="shared" si="11"/>
        <v>0</v>
      </c>
      <c r="I22" s="100">
        <f t="shared" si="3"/>
        <v>0</v>
      </c>
      <c r="J22" s="100">
        <f t="shared" si="4"/>
        <v>-425.68545411956319</v>
      </c>
      <c r="K22" s="100">
        <f t="shared" si="5"/>
        <v>-11894.928644462954</v>
      </c>
      <c r="L22" s="101">
        <f t="shared" si="6"/>
        <v>-151520.02295088189</v>
      </c>
      <c r="M22" s="100">
        <f t="shared" si="7"/>
        <v>1106562.2536075986</v>
      </c>
      <c r="N22" s="102">
        <f t="shared" si="8"/>
        <v>39600.696188941722</v>
      </c>
      <c r="O22" s="94">
        <f t="shared" si="9"/>
        <v>1.0792707128709991</v>
      </c>
      <c r="P22" s="100">
        <f>'Bef.fremskr. kommunenivå MMMM'!H17</f>
        <v>27943</v>
      </c>
      <c r="Q22" s="100"/>
      <c r="R22" s="100">
        <f t="shared" si="12"/>
        <v>0</v>
      </c>
      <c r="S22" s="100">
        <v>0</v>
      </c>
      <c r="U22" s="100">
        <v>0</v>
      </c>
      <c r="V22" s="5">
        <f t="shared" si="13"/>
        <v>1258082.2765584805</v>
      </c>
      <c r="W22" s="5">
        <f t="shared" si="14"/>
        <v>45023.164175588892</v>
      </c>
    </row>
    <row r="23" spans="1:23" ht="13">
      <c r="A23" s="92">
        <v>1127</v>
      </c>
      <c r="B23" s="93" t="s">
        <v>522</v>
      </c>
      <c r="C23" s="574">
        <v>1.0817688731743567</v>
      </c>
      <c r="D23" s="100">
        <f t="shared" si="0"/>
        <v>39692.358907131696</v>
      </c>
      <c r="E23" s="100">
        <f t="shared" si="1"/>
        <v>460510.74804054195</v>
      </c>
      <c r="F23" s="100">
        <f t="shared" si="10"/>
        <v>-1798.2993714532859</v>
      </c>
      <c r="G23" s="100">
        <f t="shared" si="2"/>
        <v>-20863.869307601024</v>
      </c>
      <c r="H23" s="100">
        <f t="shared" si="11"/>
        <v>0</v>
      </c>
      <c r="I23" s="100">
        <f t="shared" si="3"/>
        <v>0</v>
      </c>
      <c r="J23" s="100">
        <f t="shared" si="4"/>
        <v>-425.68545411956319</v>
      </c>
      <c r="K23" s="100">
        <f t="shared" si="5"/>
        <v>-4938.8026386951724</v>
      </c>
      <c r="L23" s="101">
        <f t="shared" si="6"/>
        <v>-25802.671946296196</v>
      </c>
      <c r="M23" s="100">
        <f t="shared" si="7"/>
        <v>434708.07609424577</v>
      </c>
      <c r="N23" s="102">
        <f t="shared" si="8"/>
        <v>37468.374081558854</v>
      </c>
      <c r="O23" s="94">
        <f t="shared" si="9"/>
        <v>1.0211567648250974</v>
      </c>
      <c r="P23" s="100">
        <f>'Bef.fremskr. kommunenivå MMMM'!H18</f>
        <v>11602</v>
      </c>
      <c r="Q23" s="100"/>
      <c r="R23" s="100">
        <f t="shared" si="12"/>
        <v>0</v>
      </c>
      <c r="S23" s="100">
        <v>0</v>
      </c>
      <c r="U23" s="100">
        <v>0</v>
      </c>
      <c r="V23" s="5">
        <f t="shared" si="13"/>
        <v>460510.74804054195</v>
      </c>
      <c r="W23" s="5">
        <f t="shared" si="14"/>
        <v>39692.358907131696</v>
      </c>
    </row>
    <row r="24" spans="1:23" ht="13">
      <c r="A24" s="92">
        <v>1130</v>
      </c>
      <c r="B24" s="93" t="s">
        <v>523</v>
      </c>
      <c r="C24" s="574">
        <v>0.8738138790897243</v>
      </c>
      <c r="D24" s="100">
        <f t="shared" si="0"/>
        <v>32062.055922431857</v>
      </c>
      <c r="E24" s="100">
        <f t="shared" si="1"/>
        <v>429182.68057767284</v>
      </c>
      <c r="F24" s="100">
        <f t="shared" si="10"/>
        <v>2779.8824193666178</v>
      </c>
      <c r="G24" s="100">
        <f t="shared" si="2"/>
        <v>37211.506065641544</v>
      </c>
      <c r="H24" s="100">
        <f t="shared" si="11"/>
        <v>337.26631288236018</v>
      </c>
      <c r="I24" s="100">
        <f t="shared" si="3"/>
        <v>4514.6468642432737</v>
      </c>
      <c r="J24" s="100">
        <f t="shared" si="4"/>
        <v>-88.419141237203007</v>
      </c>
      <c r="K24" s="100">
        <f t="shared" si="5"/>
        <v>-1183.5786246011996</v>
      </c>
      <c r="L24" s="101">
        <f t="shared" si="6"/>
        <v>36027.927441040345</v>
      </c>
      <c r="M24" s="100">
        <f t="shared" si="7"/>
        <v>465210.60801871319</v>
      </c>
      <c r="N24" s="102">
        <f t="shared" si="8"/>
        <v>34753.51920056127</v>
      </c>
      <c r="O24" s="94">
        <f t="shared" si="9"/>
        <v>0.94716656655242715</v>
      </c>
      <c r="P24" s="100">
        <f>'Bef.fremskr. kommunenivå MMMM'!H19</f>
        <v>13386</v>
      </c>
      <c r="Q24" s="100"/>
      <c r="R24" s="100">
        <f t="shared" si="12"/>
        <v>0</v>
      </c>
      <c r="S24" s="100">
        <v>0</v>
      </c>
      <c r="U24" s="100">
        <v>1001.927</v>
      </c>
      <c r="V24" s="5">
        <f t="shared" si="13"/>
        <v>428180.75357767282</v>
      </c>
      <c r="W24" s="5">
        <f t="shared" si="14"/>
        <v>31987.207050476081</v>
      </c>
    </row>
    <row r="25" spans="1:23" ht="13">
      <c r="A25" s="92">
        <v>1133</v>
      </c>
      <c r="B25" s="93" t="s">
        <v>524</v>
      </c>
      <c r="C25" s="574">
        <v>1.1210523204962617</v>
      </c>
      <c r="D25" s="100">
        <f t="shared" si="0"/>
        <v>41133.750621089006</v>
      </c>
      <c r="E25" s="100">
        <f t="shared" si="1"/>
        <v>104479.72657756608</v>
      </c>
      <c r="F25" s="100">
        <f t="shared" si="10"/>
        <v>-2663.1343998276716</v>
      </c>
      <c r="G25" s="100">
        <f t="shared" si="2"/>
        <v>-6764.3613755622864</v>
      </c>
      <c r="H25" s="100">
        <f t="shared" si="11"/>
        <v>0</v>
      </c>
      <c r="I25" s="100">
        <f t="shared" si="3"/>
        <v>0</v>
      </c>
      <c r="J25" s="100">
        <f t="shared" si="4"/>
        <v>-425.68545411956319</v>
      </c>
      <c r="K25" s="100">
        <f t="shared" si="5"/>
        <v>-1081.2410534636904</v>
      </c>
      <c r="L25" s="101">
        <f t="shared" si="6"/>
        <v>-7845.6024290259766</v>
      </c>
      <c r="M25" s="100">
        <f t="shared" si="7"/>
        <v>96634.124148540111</v>
      </c>
      <c r="N25" s="102">
        <f t="shared" si="8"/>
        <v>38044.930767141777</v>
      </c>
      <c r="O25" s="94">
        <f t="shared" si="9"/>
        <v>1.0368701437538594</v>
      </c>
      <c r="P25" s="100">
        <f>'Bef.fremskr. kommunenivå MMMM'!H20</f>
        <v>2540</v>
      </c>
      <c r="Q25" s="100"/>
      <c r="R25" s="100">
        <f t="shared" si="12"/>
        <v>0</v>
      </c>
      <c r="S25" s="100">
        <v>0</v>
      </c>
      <c r="U25" s="100">
        <v>22029.586666666666</v>
      </c>
      <c r="V25" s="5">
        <f t="shared" si="13"/>
        <v>82450.139910899408</v>
      </c>
      <c r="W25" s="5">
        <f t="shared" si="14"/>
        <v>32460.68500429111</v>
      </c>
    </row>
    <row r="26" spans="1:23" ht="13">
      <c r="A26" s="92">
        <v>1134</v>
      </c>
      <c r="B26" s="93" t="s">
        <v>525</v>
      </c>
      <c r="C26" s="574">
        <v>1.1958919305117262</v>
      </c>
      <c r="D26" s="100">
        <f t="shared" si="0"/>
        <v>43879.772192671793</v>
      </c>
      <c r="E26" s="100">
        <f t="shared" si="1"/>
        <v>165382.86139418001</v>
      </c>
      <c r="F26" s="100">
        <f t="shared" si="10"/>
        <v>-4310.7473427773439</v>
      </c>
      <c r="G26" s="100">
        <f t="shared" si="2"/>
        <v>-16247.20673492781</v>
      </c>
      <c r="H26" s="100">
        <f t="shared" si="11"/>
        <v>0</v>
      </c>
      <c r="I26" s="100">
        <f t="shared" si="3"/>
        <v>0</v>
      </c>
      <c r="J26" s="100">
        <f t="shared" si="4"/>
        <v>-425.68545411956319</v>
      </c>
      <c r="K26" s="100">
        <f t="shared" si="5"/>
        <v>-1604.4084765766338</v>
      </c>
      <c r="L26" s="101">
        <f t="shared" si="6"/>
        <v>-17851.615211504442</v>
      </c>
      <c r="M26" s="100">
        <f t="shared" si="7"/>
        <v>147531.24618267556</v>
      </c>
      <c r="N26" s="102">
        <f t="shared" si="8"/>
        <v>39143.339395774892</v>
      </c>
      <c r="O26" s="94">
        <f t="shared" si="9"/>
        <v>1.0668059877600453</v>
      </c>
      <c r="P26" s="100">
        <f>'Bef.fremskr. kommunenivå MMMM'!H21</f>
        <v>3769</v>
      </c>
      <c r="Q26" s="100"/>
      <c r="R26" s="100">
        <f t="shared" si="12"/>
        <v>0</v>
      </c>
      <c r="S26" s="100">
        <v>0</v>
      </c>
      <c r="U26" s="100">
        <v>51506.96166666667</v>
      </c>
      <c r="V26" s="5">
        <f t="shared" si="13"/>
        <v>113875.89972751334</v>
      </c>
      <c r="W26" s="5">
        <f t="shared" si="14"/>
        <v>30213.823223006988</v>
      </c>
    </row>
    <row r="27" spans="1:23" ht="13">
      <c r="A27" s="92">
        <v>1135</v>
      </c>
      <c r="B27" s="93" t="s">
        <v>526</v>
      </c>
      <c r="C27" s="574">
        <v>0.99112569527934991</v>
      </c>
      <c r="D27" s="100">
        <f t="shared" si="0"/>
        <v>36366.47142902924</v>
      </c>
      <c r="E27" s="100">
        <f t="shared" si="1"/>
        <v>163103.62435919614</v>
      </c>
      <c r="F27" s="100">
        <f t="shared" si="10"/>
        <v>197.2331154081883</v>
      </c>
      <c r="G27" s="100">
        <f t="shared" si="2"/>
        <v>884.59052260572457</v>
      </c>
      <c r="H27" s="100">
        <f t="shared" si="11"/>
        <v>0</v>
      </c>
      <c r="I27" s="100">
        <f t="shared" si="3"/>
        <v>0</v>
      </c>
      <c r="J27" s="100">
        <f t="shared" si="4"/>
        <v>-425.68545411956319</v>
      </c>
      <c r="K27" s="100">
        <f t="shared" si="5"/>
        <v>-1909.1992617262408</v>
      </c>
      <c r="L27" s="101">
        <f t="shared" si="6"/>
        <v>-1024.6087391205162</v>
      </c>
      <c r="M27" s="100">
        <f t="shared" si="7"/>
        <v>162079.01562007563</v>
      </c>
      <c r="N27" s="102">
        <f t="shared" si="8"/>
        <v>36138.019090317866</v>
      </c>
      <c r="O27" s="94">
        <f t="shared" si="9"/>
        <v>0.98489949366709451</v>
      </c>
      <c r="P27" s="100">
        <f>'Bef.fremskr. kommunenivå MMMM'!H22</f>
        <v>4485</v>
      </c>
      <c r="Q27" s="100"/>
      <c r="R27" s="100">
        <f t="shared" si="12"/>
        <v>0</v>
      </c>
      <c r="S27" s="100">
        <v>0</v>
      </c>
      <c r="U27" s="100">
        <v>18739.811000000002</v>
      </c>
      <c r="V27" s="5">
        <f t="shared" si="13"/>
        <v>144363.81335919612</v>
      </c>
      <c r="W27" s="5">
        <f t="shared" si="14"/>
        <v>32188.141217212069</v>
      </c>
    </row>
    <row r="28" spans="1:23" ht="13">
      <c r="A28" s="92">
        <v>1144</v>
      </c>
      <c r="B28" s="93" t="s">
        <v>527</v>
      </c>
      <c r="C28" s="574">
        <v>0.8420699714463209</v>
      </c>
      <c r="D28" s="100">
        <f t="shared" si="0"/>
        <v>30897.305663349733</v>
      </c>
      <c r="E28" s="100">
        <f t="shared" si="1"/>
        <v>16406.469307238709</v>
      </c>
      <c r="F28" s="100">
        <f t="shared" si="10"/>
        <v>3478.7325748158923</v>
      </c>
      <c r="G28" s="100">
        <f t="shared" si="2"/>
        <v>1847.2069972272386</v>
      </c>
      <c r="H28" s="100">
        <f t="shared" si="11"/>
        <v>744.92890356110365</v>
      </c>
      <c r="I28" s="100">
        <f t="shared" si="3"/>
        <v>395.55724779094606</v>
      </c>
      <c r="J28" s="100">
        <f t="shared" si="4"/>
        <v>319.24344944154046</v>
      </c>
      <c r="K28" s="100">
        <f t="shared" si="5"/>
        <v>169.51827165345799</v>
      </c>
      <c r="L28" s="101">
        <f t="shared" si="6"/>
        <v>2016.7252688806966</v>
      </c>
      <c r="M28" s="100">
        <f t="shared" si="7"/>
        <v>18423.194576119407</v>
      </c>
      <c r="N28" s="102">
        <f t="shared" si="8"/>
        <v>34695.281687607174</v>
      </c>
      <c r="O28" s="94">
        <f t="shared" si="9"/>
        <v>0.94557937117025725</v>
      </c>
      <c r="P28" s="100">
        <f>'Bef.fremskr. kommunenivå MMMM'!H23</f>
        <v>531</v>
      </c>
      <c r="Q28" s="100"/>
      <c r="R28" s="100">
        <f t="shared" si="12"/>
        <v>0</v>
      </c>
      <c r="S28" s="100">
        <v>0</v>
      </c>
      <c r="U28" s="100">
        <v>0</v>
      </c>
      <c r="V28" s="5">
        <f t="shared" si="13"/>
        <v>16406.469307238709</v>
      </c>
      <c r="W28" s="5">
        <f t="shared" si="14"/>
        <v>30897.305663349736</v>
      </c>
    </row>
    <row r="29" spans="1:23" ht="13">
      <c r="A29" s="92">
        <v>1145</v>
      </c>
      <c r="B29" s="93" t="s">
        <v>528</v>
      </c>
      <c r="C29" s="574">
        <v>0.88031449903343428</v>
      </c>
      <c r="D29" s="100">
        <f t="shared" si="0"/>
        <v>32300.577242764768</v>
      </c>
      <c r="E29" s="100">
        <f t="shared" si="1"/>
        <v>27326.288347378995</v>
      </c>
      <c r="F29" s="100">
        <f t="shared" si="10"/>
        <v>2636.769627166871</v>
      </c>
      <c r="G29" s="100">
        <f t="shared" si="2"/>
        <v>2230.7071045831731</v>
      </c>
      <c r="H29" s="100">
        <f t="shared" si="11"/>
        <v>253.78385076584127</v>
      </c>
      <c r="I29" s="100">
        <f t="shared" si="3"/>
        <v>214.70113774790173</v>
      </c>
      <c r="J29" s="100">
        <f t="shared" si="4"/>
        <v>-171.90160335372192</v>
      </c>
      <c r="K29" s="100">
        <f t="shared" si="5"/>
        <v>-145.42875643724875</v>
      </c>
      <c r="L29" s="101">
        <f t="shared" si="6"/>
        <v>2085.2783481459242</v>
      </c>
      <c r="M29" s="100">
        <f t="shared" si="7"/>
        <v>29411.566695524918</v>
      </c>
      <c r="N29" s="102">
        <f t="shared" si="8"/>
        <v>34765.445266577917</v>
      </c>
      <c r="O29" s="94">
        <f t="shared" si="9"/>
        <v>0.94749159754961276</v>
      </c>
      <c r="P29" s="100">
        <f>'Bef.fremskr. kommunenivå MMMM'!H24</f>
        <v>846</v>
      </c>
      <c r="Q29" s="100"/>
      <c r="R29" s="100">
        <f t="shared" si="12"/>
        <v>0</v>
      </c>
      <c r="S29" s="100">
        <v>0</v>
      </c>
      <c r="U29" s="100">
        <v>0</v>
      </c>
      <c r="V29" s="5">
        <f t="shared" si="13"/>
        <v>27326.288347378995</v>
      </c>
      <c r="W29" s="5">
        <f t="shared" si="14"/>
        <v>32300.577242764768</v>
      </c>
    </row>
    <row r="30" spans="1:23" ht="13">
      <c r="A30" s="92">
        <v>1146</v>
      </c>
      <c r="B30" s="93" t="s">
        <v>529</v>
      </c>
      <c r="C30" s="574">
        <v>0.86277060535815508</v>
      </c>
      <c r="D30" s="100">
        <f t="shared" si="0"/>
        <v>31656.855148650211</v>
      </c>
      <c r="E30" s="100">
        <f t="shared" si="1"/>
        <v>360603.23699827457</v>
      </c>
      <c r="F30" s="100">
        <f t="shared" si="10"/>
        <v>3023.0028836356055</v>
      </c>
      <c r="G30" s="100">
        <f t="shared" si="2"/>
        <v>34435.025847493176</v>
      </c>
      <c r="H30" s="100">
        <f t="shared" si="11"/>
        <v>479.08658370593616</v>
      </c>
      <c r="I30" s="100">
        <f t="shared" si="3"/>
        <v>5457.2752749943193</v>
      </c>
      <c r="J30" s="100">
        <f t="shared" si="4"/>
        <v>53.401129586372974</v>
      </c>
      <c r="K30" s="100">
        <f t="shared" si="5"/>
        <v>608.29226711837464</v>
      </c>
      <c r="L30" s="101">
        <f t="shared" si="6"/>
        <v>35043.318114611553</v>
      </c>
      <c r="M30" s="100">
        <f t="shared" si="7"/>
        <v>395646.55511288613</v>
      </c>
      <c r="N30" s="102">
        <f t="shared" si="8"/>
        <v>34733.259161872193</v>
      </c>
      <c r="O30" s="94">
        <f t="shared" si="9"/>
        <v>0.94661440286584886</v>
      </c>
      <c r="P30" s="100">
        <f>'Bef.fremskr. kommunenivå MMMM'!H25</f>
        <v>11391</v>
      </c>
      <c r="Q30" s="100"/>
      <c r="R30" s="100">
        <f t="shared" si="12"/>
        <v>0</v>
      </c>
      <c r="S30" s="100">
        <v>0</v>
      </c>
      <c r="U30" s="100">
        <v>0</v>
      </c>
      <c r="V30" s="5">
        <f t="shared" si="13"/>
        <v>360603.23699827457</v>
      </c>
      <c r="W30" s="5">
        <f t="shared" si="14"/>
        <v>31656.855148650211</v>
      </c>
    </row>
    <row r="31" spans="1:23" ht="13">
      <c r="A31" s="92">
        <v>1149</v>
      </c>
      <c r="B31" s="93" t="s">
        <v>530</v>
      </c>
      <c r="C31" s="574">
        <v>0.84636160160185614</v>
      </c>
      <c r="D31" s="100">
        <f t="shared" si="0"/>
        <v>31054.774535540804</v>
      </c>
      <c r="E31" s="100">
        <f t="shared" si="1"/>
        <v>1322809.1761158961</v>
      </c>
      <c r="F31" s="100">
        <f t="shared" si="10"/>
        <v>3384.2512515012495</v>
      </c>
      <c r="G31" s="100">
        <f t="shared" si="2"/>
        <v>144155.56630894722</v>
      </c>
      <c r="H31" s="100">
        <f t="shared" si="11"/>
        <v>689.81479829422858</v>
      </c>
      <c r="I31" s="100">
        <f t="shared" si="3"/>
        <v>29383.351148140959</v>
      </c>
      <c r="J31" s="100">
        <f t="shared" si="4"/>
        <v>264.12934417466539</v>
      </c>
      <c r="K31" s="100">
        <f t="shared" si="5"/>
        <v>11250.853544464046</v>
      </c>
      <c r="L31" s="101">
        <f t="shared" si="6"/>
        <v>155406.41985341127</v>
      </c>
      <c r="M31" s="100">
        <f t="shared" si="7"/>
        <v>1478215.5959693075</v>
      </c>
      <c r="N31" s="102">
        <f t="shared" si="8"/>
        <v>34703.155131216721</v>
      </c>
      <c r="O31" s="94">
        <f t="shared" si="9"/>
        <v>0.9457939526780339</v>
      </c>
      <c r="P31" s="100">
        <f>'Bef.fremskr. kommunenivå MMMM'!H26</f>
        <v>42596</v>
      </c>
      <c r="Q31" s="100"/>
      <c r="R31" s="100">
        <f t="shared" si="12"/>
        <v>0</v>
      </c>
      <c r="S31" s="100">
        <v>0</v>
      </c>
      <c r="U31" s="100">
        <v>0</v>
      </c>
      <c r="V31" s="5">
        <f t="shared" si="13"/>
        <v>1322809.1761158961</v>
      </c>
      <c r="W31" s="5">
        <f t="shared" si="14"/>
        <v>31054.774535540801</v>
      </c>
    </row>
    <row r="32" spans="1:23" ht="13">
      <c r="A32" s="92">
        <v>1151</v>
      </c>
      <c r="B32" s="93" t="s">
        <v>531</v>
      </c>
      <c r="C32" s="574">
        <v>0.94344667640957192</v>
      </c>
      <c r="D32" s="100">
        <f t="shared" si="0"/>
        <v>34617.028663343277</v>
      </c>
      <c r="E32" s="100">
        <f t="shared" si="1"/>
        <v>6542.6184173718793</v>
      </c>
      <c r="F32" s="100">
        <f t="shared" si="10"/>
        <v>1246.8987748197658</v>
      </c>
      <c r="G32" s="100">
        <f t="shared" si="2"/>
        <v>235.66386844093574</v>
      </c>
      <c r="H32" s="100">
        <f t="shared" si="11"/>
        <v>0</v>
      </c>
      <c r="I32" s="100">
        <f t="shared" si="3"/>
        <v>0</v>
      </c>
      <c r="J32" s="100">
        <f t="shared" si="4"/>
        <v>-425.68545411956319</v>
      </c>
      <c r="K32" s="100">
        <f t="shared" si="5"/>
        <v>-80.454550828597434</v>
      </c>
      <c r="L32" s="101">
        <f t="shared" si="6"/>
        <v>155.20931761233831</v>
      </c>
      <c r="M32" s="100">
        <f t="shared" si="7"/>
        <v>6697.8277349842174</v>
      </c>
      <c r="N32" s="102">
        <f t="shared" si="8"/>
        <v>35438.241984043474</v>
      </c>
      <c r="O32" s="94">
        <f t="shared" si="9"/>
        <v>0.96582788611918302</v>
      </c>
      <c r="P32" s="100">
        <f>'Bef.fremskr. kommunenivå MMMM'!H27</f>
        <v>189</v>
      </c>
      <c r="Q32" s="100"/>
      <c r="R32" s="100">
        <f t="shared" si="12"/>
        <v>0</v>
      </c>
      <c r="S32" s="100">
        <v>0</v>
      </c>
      <c r="U32" s="100">
        <v>0</v>
      </c>
      <c r="V32" s="5">
        <f t="shared" si="13"/>
        <v>6542.6184173718793</v>
      </c>
      <c r="W32" s="5">
        <f t="shared" si="14"/>
        <v>34617.028663343277</v>
      </c>
    </row>
    <row r="33" spans="1:23" ht="13">
      <c r="A33" s="92">
        <v>1160</v>
      </c>
      <c r="B33" s="93" t="s">
        <v>1813</v>
      </c>
      <c r="C33" s="574">
        <v>1.0979258348714922</v>
      </c>
      <c r="D33" s="100">
        <f t="shared" si="0"/>
        <v>40285.191570776027</v>
      </c>
      <c r="E33" s="100">
        <f t="shared" si="1"/>
        <v>355516.81561209843</v>
      </c>
      <c r="F33" s="100">
        <f t="shared" si="10"/>
        <v>-2153.9989696398843</v>
      </c>
      <c r="G33" s="100">
        <f t="shared" si="2"/>
        <v>-19009.040907071976</v>
      </c>
      <c r="H33" s="100">
        <f t="shared" si="11"/>
        <v>0</v>
      </c>
      <c r="I33" s="100">
        <f t="shared" si="3"/>
        <v>0</v>
      </c>
      <c r="J33" s="100">
        <f t="shared" si="4"/>
        <v>-425.68545411956319</v>
      </c>
      <c r="K33" s="100">
        <f t="shared" si="5"/>
        <v>-3756.6741326051451</v>
      </c>
      <c r="L33" s="101">
        <f t="shared" si="6"/>
        <v>-22765.715039677121</v>
      </c>
      <c r="M33" s="100">
        <f t="shared" si="7"/>
        <v>332751.10057242133</v>
      </c>
      <c r="N33" s="102">
        <f t="shared" si="8"/>
        <v>37705.507147016579</v>
      </c>
      <c r="O33" s="94">
        <f t="shared" si="9"/>
        <v>1.0276195495039513</v>
      </c>
      <c r="P33" s="100">
        <f>'Bef.fremskr. kommunenivå MMMM'!H28</f>
        <v>8825</v>
      </c>
      <c r="Q33" s="100"/>
      <c r="R33" s="100">
        <f t="shared" si="12"/>
        <v>0</v>
      </c>
      <c r="S33" s="100">
        <v>0</v>
      </c>
      <c r="U33" s="100">
        <v>0</v>
      </c>
      <c r="V33" s="5">
        <f t="shared" si="13"/>
        <v>355516.81561209843</v>
      </c>
      <c r="W33" s="5">
        <f t="shared" si="14"/>
        <v>40285.191570776027</v>
      </c>
    </row>
    <row r="34" spans="1:23" ht="13">
      <c r="A34" s="92">
        <v>1505</v>
      </c>
      <c r="B34" s="93" t="s">
        <v>1814</v>
      </c>
      <c r="C34" s="574">
        <v>0.85324307059877369</v>
      </c>
      <c r="D34" s="100">
        <f t="shared" si="0"/>
        <v>31307.27000292511</v>
      </c>
      <c r="E34" s="100">
        <f t="shared" si="1"/>
        <v>752720.69268032839</v>
      </c>
      <c r="F34" s="100">
        <f t="shared" si="10"/>
        <v>3232.753971070666</v>
      </c>
      <c r="G34" s="100">
        <f t="shared" si="2"/>
        <v>77725.103726452027</v>
      </c>
      <c r="H34" s="100">
        <f t="shared" si="11"/>
        <v>601.44138470972155</v>
      </c>
      <c r="I34" s="100">
        <f t="shared" si="3"/>
        <v>14460.455212575835</v>
      </c>
      <c r="J34" s="100">
        <f t="shared" si="4"/>
        <v>175.75593059015836</v>
      </c>
      <c r="K34" s="100">
        <f t="shared" si="5"/>
        <v>4225.6998391791776</v>
      </c>
      <c r="L34" s="101">
        <f t="shared" si="6"/>
        <v>81950.803565631199</v>
      </c>
      <c r="M34" s="100">
        <f t="shared" si="7"/>
        <v>834671.49624595954</v>
      </c>
      <c r="N34" s="102">
        <f t="shared" si="8"/>
        <v>34715.779904585928</v>
      </c>
      <c r="O34" s="94">
        <f t="shared" si="9"/>
        <v>0.94613802612787956</v>
      </c>
      <c r="P34" s="100">
        <f>'Bef.fremskr. kommunenivå MMMM'!H29</f>
        <v>24043</v>
      </c>
      <c r="Q34" s="100"/>
      <c r="R34" s="100">
        <f t="shared" si="12"/>
        <v>0</v>
      </c>
      <c r="S34" s="100">
        <v>0</v>
      </c>
      <c r="U34" s="100">
        <v>0</v>
      </c>
      <c r="V34" s="5">
        <f t="shared" si="13"/>
        <v>752720.69268032839</v>
      </c>
      <c r="W34" s="5">
        <f t="shared" si="14"/>
        <v>31307.270002925106</v>
      </c>
    </row>
    <row r="35" spans="1:23" ht="13">
      <c r="A35" s="92">
        <v>1506</v>
      </c>
      <c r="B35" s="93" t="s">
        <v>570</v>
      </c>
      <c r="C35" s="574">
        <v>0.9258552291247506</v>
      </c>
      <c r="D35" s="100">
        <f t="shared" si="0"/>
        <v>33971.561727993147</v>
      </c>
      <c r="E35" s="100">
        <f t="shared" si="1"/>
        <v>1094020.1738882915</v>
      </c>
      <c r="F35" s="100">
        <f t="shared" si="10"/>
        <v>1634.178936029844</v>
      </c>
      <c r="G35" s="100">
        <f t="shared" si="2"/>
        <v>52627.098455905092</v>
      </c>
      <c r="H35" s="100">
        <f t="shared" si="11"/>
        <v>0</v>
      </c>
      <c r="I35" s="100">
        <f t="shared" si="3"/>
        <v>0</v>
      </c>
      <c r="J35" s="100">
        <f t="shared" si="4"/>
        <v>-425.68545411956319</v>
      </c>
      <c r="K35" s="100">
        <f t="shared" si="5"/>
        <v>-13708.774364466413</v>
      </c>
      <c r="L35" s="101">
        <f t="shared" si="6"/>
        <v>38918.324091438677</v>
      </c>
      <c r="M35" s="100">
        <f t="shared" si="7"/>
        <v>1132938.4979797301</v>
      </c>
      <c r="N35" s="102">
        <f t="shared" si="8"/>
        <v>35180.055209903432</v>
      </c>
      <c r="O35" s="94">
        <f t="shared" si="9"/>
        <v>0.95879130720525485</v>
      </c>
      <c r="P35" s="100">
        <f>'Bef.fremskr. kommunenivå MMMM'!H30</f>
        <v>32204</v>
      </c>
      <c r="Q35" s="100"/>
      <c r="R35" s="100">
        <f t="shared" si="12"/>
        <v>0</v>
      </c>
      <c r="S35" s="100">
        <v>0</v>
      </c>
      <c r="U35" s="100">
        <v>11312.69</v>
      </c>
      <c r="V35" s="5">
        <f t="shared" si="13"/>
        <v>1082707.4838882915</v>
      </c>
      <c r="W35" s="5">
        <f t="shared" si="14"/>
        <v>33620.279589128419</v>
      </c>
    </row>
    <row r="36" spans="1:23" ht="13">
      <c r="A36" s="92">
        <v>1507</v>
      </c>
      <c r="B36" s="93" t="s">
        <v>571</v>
      </c>
      <c r="C36" s="574">
        <v>0.97090001921425095</v>
      </c>
      <c r="D36" s="100">
        <f t="shared" si="0"/>
        <v>35624.349138932717</v>
      </c>
      <c r="E36" s="100">
        <f t="shared" si="1"/>
        <v>2411055.9497229662</v>
      </c>
      <c r="F36" s="100">
        <f t="shared" si="10"/>
        <v>642.50648946610158</v>
      </c>
      <c r="G36" s="100">
        <f t="shared" si="2"/>
        <v>43484.83920706575</v>
      </c>
      <c r="H36" s="100">
        <f t="shared" si="11"/>
        <v>0</v>
      </c>
      <c r="I36" s="100">
        <f t="shared" si="3"/>
        <v>0</v>
      </c>
      <c r="J36" s="100">
        <f t="shared" si="4"/>
        <v>-425.68545411956319</v>
      </c>
      <c r="K36" s="100">
        <f t="shared" si="5"/>
        <v>-28810.391534812035</v>
      </c>
      <c r="L36" s="101">
        <f t="shared" si="6"/>
        <v>14674.447672253715</v>
      </c>
      <c r="M36" s="100">
        <f t="shared" si="7"/>
        <v>2425730.3973952201</v>
      </c>
      <c r="N36" s="102">
        <f t="shared" si="8"/>
        <v>35841.170174279257</v>
      </c>
      <c r="O36" s="94">
        <f t="shared" si="9"/>
        <v>0.9768092232410549</v>
      </c>
      <c r="P36" s="100">
        <f>'Bef.fremskr. kommunenivå MMMM'!H31</f>
        <v>67680</v>
      </c>
      <c r="Q36" s="100"/>
      <c r="R36" s="100">
        <f t="shared" si="12"/>
        <v>0</v>
      </c>
      <c r="S36" s="100">
        <v>0</v>
      </c>
      <c r="U36" s="100">
        <v>0</v>
      </c>
      <c r="V36" s="5">
        <f t="shared" si="13"/>
        <v>2411055.9497229662</v>
      </c>
      <c r="W36" s="5">
        <f t="shared" si="14"/>
        <v>35624.349138932717</v>
      </c>
    </row>
    <row r="37" spans="1:23" ht="13">
      <c r="A37" s="92">
        <v>1511</v>
      </c>
      <c r="B37" s="93" t="s">
        <v>572</v>
      </c>
      <c r="C37" s="574">
        <v>0.84923922878735381</v>
      </c>
      <c r="D37" s="100">
        <f t="shared" si="0"/>
        <v>31160.36068603941</v>
      </c>
      <c r="E37" s="100">
        <f t="shared" si="1"/>
        <v>93636.883861548427</v>
      </c>
      <c r="F37" s="100">
        <f t="shared" si="10"/>
        <v>3320.8995612020858</v>
      </c>
      <c r="G37" s="100">
        <f t="shared" si="2"/>
        <v>9979.3031814122678</v>
      </c>
      <c r="H37" s="100">
        <f t="shared" si="11"/>
        <v>652.8596456197165</v>
      </c>
      <c r="I37" s="100">
        <f t="shared" si="3"/>
        <v>1961.8432350872481</v>
      </c>
      <c r="J37" s="100">
        <f t="shared" si="4"/>
        <v>227.17419150015331</v>
      </c>
      <c r="K37" s="100">
        <f t="shared" si="5"/>
        <v>682.65844545796074</v>
      </c>
      <c r="L37" s="101">
        <f t="shared" si="6"/>
        <v>10661.961626870228</v>
      </c>
      <c r="M37" s="100">
        <f t="shared" si="7"/>
        <v>104298.84548841865</v>
      </c>
      <c r="N37" s="102">
        <f t="shared" si="8"/>
        <v>34708.43443874165</v>
      </c>
      <c r="O37" s="94">
        <f t="shared" si="9"/>
        <v>0.94593783403730869</v>
      </c>
      <c r="P37" s="100">
        <f>'Bef.fremskr. kommunenivå MMMM'!H32</f>
        <v>3005</v>
      </c>
      <c r="Q37" s="100"/>
      <c r="R37" s="100">
        <f t="shared" si="12"/>
        <v>0</v>
      </c>
      <c r="S37" s="100">
        <v>0</v>
      </c>
      <c r="U37" s="100">
        <v>390.06933333333336</v>
      </c>
      <c r="V37" s="5">
        <f t="shared" si="13"/>
        <v>93246.814528215094</v>
      </c>
      <c r="W37" s="5">
        <f t="shared" si="14"/>
        <v>31030.553919539132</v>
      </c>
    </row>
    <row r="38" spans="1:23" ht="13">
      <c r="A38" s="92">
        <v>1514</v>
      </c>
      <c r="B38" s="93" t="s">
        <v>465</v>
      </c>
      <c r="C38" s="574">
        <v>0.94298625549876136</v>
      </c>
      <c r="D38" s="100">
        <f t="shared" si="0"/>
        <v>34600.134858674435</v>
      </c>
      <c r="E38" s="100">
        <f t="shared" si="1"/>
        <v>84458.929190024297</v>
      </c>
      <c r="F38" s="100">
        <f t="shared" si="10"/>
        <v>1257.0350576210708</v>
      </c>
      <c r="G38" s="100">
        <f t="shared" si="2"/>
        <v>3068.4225756530336</v>
      </c>
      <c r="H38" s="100">
        <f t="shared" si="11"/>
        <v>0</v>
      </c>
      <c r="I38" s="100">
        <f t="shared" si="3"/>
        <v>0</v>
      </c>
      <c r="J38" s="100">
        <f t="shared" si="4"/>
        <v>-425.68545411956319</v>
      </c>
      <c r="K38" s="100">
        <f t="shared" si="5"/>
        <v>-1039.0981935058537</v>
      </c>
      <c r="L38" s="101">
        <f t="shared" si="6"/>
        <v>2029.3243821471799</v>
      </c>
      <c r="M38" s="100">
        <f t="shared" si="7"/>
        <v>86488.253572171481</v>
      </c>
      <c r="N38" s="102">
        <f t="shared" si="8"/>
        <v>35431.484462175948</v>
      </c>
      <c r="O38" s="94">
        <f t="shared" si="9"/>
        <v>0.96564371775485913</v>
      </c>
      <c r="P38" s="100">
        <f>'Bef.fremskr. kommunenivå MMMM'!H33</f>
        <v>2441</v>
      </c>
      <c r="Q38" s="100"/>
      <c r="R38" s="100">
        <f t="shared" si="12"/>
        <v>0</v>
      </c>
      <c r="S38" s="100">
        <v>0</v>
      </c>
      <c r="U38" s="100">
        <v>0</v>
      </c>
      <c r="V38" s="5">
        <f t="shared" si="13"/>
        <v>84458.929190024297</v>
      </c>
      <c r="W38" s="5">
        <f t="shared" si="14"/>
        <v>34600.134858674435</v>
      </c>
    </row>
    <row r="39" spans="1:23" ht="13">
      <c r="A39" s="92">
        <v>1515</v>
      </c>
      <c r="B39" s="93" t="s">
        <v>573</v>
      </c>
      <c r="C39" s="574">
        <v>1.0435499693868602</v>
      </c>
      <c r="D39" s="100">
        <f t="shared" si="0"/>
        <v>38290.027518432238</v>
      </c>
      <c r="E39" s="100">
        <f t="shared" si="1"/>
        <v>333238.10949291574</v>
      </c>
      <c r="F39" s="100">
        <f t="shared" si="10"/>
        <v>-956.90053823361086</v>
      </c>
      <c r="G39" s="100">
        <f t="shared" si="2"/>
        <v>-8327.9053842471149</v>
      </c>
      <c r="H39" s="100">
        <f t="shared" si="11"/>
        <v>0</v>
      </c>
      <c r="I39" s="100">
        <f t="shared" si="3"/>
        <v>0</v>
      </c>
      <c r="J39" s="100">
        <f t="shared" si="4"/>
        <v>-425.68545411956319</v>
      </c>
      <c r="K39" s="100">
        <f t="shared" si="5"/>
        <v>-3704.7405072025581</v>
      </c>
      <c r="L39" s="101">
        <f t="shared" si="6"/>
        <v>-12032.645891449672</v>
      </c>
      <c r="M39" s="100">
        <f t="shared" si="7"/>
        <v>321205.46360146604</v>
      </c>
      <c r="N39" s="102">
        <f t="shared" si="8"/>
        <v>36907.441526079063</v>
      </c>
      <c r="O39" s="94">
        <f t="shared" si="9"/>
        <v>1.0058692033100987</v>
      </c>
      <c r="P39" s="100">
        <f>'Bef.fremskr. kommunenivå MMMM'!H34</f>
        <v>8703</v>
      </c>
      <c r="Q39" s="100"/>
      <c r="R39" s="100">
        <f t="shared" si="12"/>
        <v>0</v>
      </c>
      <c r="S39" s="100">
        <v>0</v>
      </c>
      <c r="U39" s="100">
        <v>0</v>
      </c>
      <c r="V39" s="5">
        <f t="shared" si="13"/>
        <v>333238.10949291574</v>
      </c>
      <c r="W39" s="5">
        <f t="shared" si="14"/>
        <v>38290.027518432238</v>
      </c>
    </row>
    <row r="40" spans="1:23" ht="13">
      <c r="A40" s="92">
        <v>1516</v>
      </c>
      <c r="B40" s="93" t="s">
        <v>574</v>
      </c>
      <c r="C40" s="574">
        <v>1.0119001378704384</v>
      </c>
      <c r="D40" s="100">
        <f t="shared" si="0"/>
        <v>37128.729108898886</v>
      </c>
      <c r="E40" s="100">
        <f t="shared" si="1"/>
        <v>318972.91177455033</v>
      </c>
      <c r="F40" s="100">
        <f t="shared" si="10"/>
        <v>-260.12149251359949</v>
      </c>
      <c r="G40" s="100">
        <f t="shared" si="2"/>
        <v>-2234.7037421843329</v>
      </c>
      <c r="H40" s="100">
        <f t="shared" si="11"/>
        <v>0</v>
      </c>
      <c r="I40" s="100">
        <f t="shared" si="3"/>
        <v>0</v>
      </c>
      <c r="J40" s="100">
        <f t="shared" si="4"/>
        <v>-425.68545411956319</v>
      </c>
      <c r="K40" s="100">
        <f t="shared" si="5"/>
        <v>-3657.0637363411674</v>
      </c>
      <c r="L40" s="101">
        <f t="shared" si="6"/>
        <v>-5891.7674785255003</v>
      </c>
      <c r="M40" s="100">
        <f t="shared" si="7"/>
        <v>313081.14429602481</v>
      </c>
      <c r="N40" s="102">
        <f t="shared" si="8"/>
        <v>36442.922162265721</v>
      </c>
      <c r="O40" s="94">
        <f t="shared" si="9"/>
        <v>0.99320927070352982</v>
      </c>
      <c r="P40" s="100">
        <f>'Bef.fremskr. kommunenivå MMMM'!H35</f>
        <v>8591</v>
      </c>
      <c r="Q40" s="100"/>
      <c r="R40" s="100">
        <f t="shared" si="12"/>
        <v>0</v>
      </c>
      <c r="S40" s="100">
        <v>0</v>
      </c>
      <c r="U40" s="100">
        <v>0</v>
      </c>
      <c r="V40" s="5">
        <f t="shared" si="13"/>
        <v>318972.91177455033</v>
      </c>
      <c r="W40" s="5">
        <f t="shared" si="14"/>
        <v>37128.729108898886</v>
      </c>
    </row>
    <row r="41" spans="1:23" ht="13">
      <c r="A41" s="92">
        <v>1517</v>
      </c>
      <c r="B41" s="93" t="s">
        <v>575</v>
      </c>
      <c r="C41" s="574">
        <v>0.79233501376781834</v>
      </c>
      <c r="D41" s="100">
        <f t="shared" si="0"/>
        <v>29072.426209559097</v>
      </c>
      <c r="E41" s="100">
        <f t="shared" si="1"/>
        <v>149432.27071713377</v>
      </c>
      <c r="F41" s="100">
        <f t="shared" si="10"/>
        <v>4573.6602470902735</v>
      </c>
      <c r="G41" s="100">
        <f t="shared" si="2"/>
        <v>23508.613670044004</v>
      </c>
      <c r="H41" s="100">
        <f t="shared" si="11"/>
        <v>1383.6367123878263</v>
      </c>
      <c r="I41" s="100">
        <f t="shared" si="3"/>
        <v>7111.8927016734269</v>
      </c>
      <c r="J41" s="100">
        <f t="shared" si="4"/>
        <v>957.95125826826302</v>
      </c>
      <c r="K41" s="100">
        <f t="shared" si="5"/>
        <v>4923.8694674988719</v>
      </c>
      <c r="L41" s="101">
        <f t="shared" si="6"/>
        <v>28432.483137542877</v>
      </c>
      <c r="M41" s="100">
        <f t="shared" si="7"/>
        <v>177864.75385467664</v>
      </c>
      <c r="N41" s="102">
        <f t="shared" si="8"/>
        <v>34604.037714917635</v>
      </c>
      <c r="O41" s="94">
        <f t="shared" si="9"/>
        <v>0.94309262328633192</v>
      </c>
      <c r="P41" s="100">
        <f>'Bef.fremskr. kommunenivå MMMM'!H36</f>
        <v>5140</v>
      </c>
      <c r="Q41" s="100"/>
      <c r="R41" s="100">
        <f t="shared" si="12"/>
        <v>0</v>
      </c>
      <c r="S41" s="100">
        <v>0</v>
      </c>
      <c r="U41" s="100">
        <v>0</v>
      </c>
      <c r="V41" s="5">
        <f t="shared" si="13"/>
        <v>149432.27071713377</v>
      </c>
      <c r="W41" s="5">
        <f t="shared" si="14"/>
        <v>29072.426209559097</v>
      </c>
    </row>
    <row r="42" spans="1:23" ht="13">
      <c r="A42" s="92">
        <v>1520</v>
      </c>
      <c r="B42" s="93" t="s">
        <v>577</v>
      </c>
      <c r="C42" s="574">
        <v>0.80882961722942526</v>
      </c>
      <c r="D42" s="100">
        <f t="shared" si="0"/>
        <v>29677.647654605607</v>
      </c>
      <c r="E42" s="100">
        <f t="shared" si="1"/>
        <v>320429.56172677671</v>
      </c>
      <c r="F42" s="100">
        <f t="shared" si="10"/>
        <v>4210.5273800623672</v>
      </c>
      <c r="G42" s="100">
        <f t="shared" si="2"/>
        <v>45461.064122533382</v>
      </c>
      <c r="H42" s="100">
        <f t="shared" si="11"/>
        <v>1171.8092066215474</v>
      </c>
      <c r="I42" s="100">
        <f t="shared" si="3"/>
        <v>12652.024003892848</v>
      </c>
      <c r="J42" s="100">
        <f t="shared" si="4"/>
        <v>746.1237525019842</v>
      </c>
      <c r="K42" s="100">
        <f t="shared" si="5"/>
        <v>8055.8981557639236</v>
      </c>
      <c r="L42" s="101">
        <f t="shared" si="6"/>
        <v>53516.962278297302</v>
      </c>
      <c r="M42" s="100">
        <f t="shared" si="7"/>
        <v>373946.524005074</v>
      </c>
      <c r="N42" s="102">
        <f t="shared" si="8"/>
        <v>34634.298787169959</v>
      </c>
      <c r="O42" s="94">
        <f t="shared" si="9"/>
        <v>0.9439173534594123</v>
      </c>
      <c r="P42" s="100">
        <f>'Bef.fremskr. kommunenivå MMMM'!H37</f>
        <v>10797</v>
      </c>
      <c r="Q42" s="100"/>
      <c r="R42" s="100">
        <f t="shared" si="12"/>
        <v>0</v>
      </c>
      <c r="S42" s="100">
        <v>0</v>
      </c>
      <c r="U42" s="100">
        <v>1484.2619999999999</v>
      </c>
      <c r="V42" s="5">
        <f t="shared" si="13"/>
        <v>318945.29972677672</v>
      </c>
      <c r="W42" s="5">
        <f t="shared" si="14"/>
        <v>29540.177801868733</v>
      </c>
    </row>
    <row r="43" spans="1:23" ht="13">
      <c r="A43" s="92">
        <v>1525</v>
      </c>
      <c r="B43" s="93" t="s">
        <v>578</v>
      </c>
      <c r="C43" s="574">
        <v>0.9013791418601137</v>
      </c>
      <c r="D43" s="100">
        <f t="shared" si="0"/>
        <v>33073.482975274543</v>
      </c>
      <c r="E43" s="100">
        <f t="shared" si="1"/>
        <v>148334.57114410633</v>
      </c>
      <c r="F43" s="100">
        <f t="shared" si="10"/>
        <v>2173.0261876610061</v>
      </c>
      <c r="G43" s="100">
        <f t="shared" si="2"/>
        <v>9746.0224516596118</v>
      </c>
      <c r="H43" s="100">
        <f t="shared" si="11"/>
        <v>0</v>
      </c>
      <c r="I43" s="100">
        <f t="shared" si="3"/>
        <v>0</v>
      </c>
      <c r="J43" s="100">
        <f t="shared" si="4"/>
        <v>-425.68545411956319</v>
      </c>
      <c r="K43" s="100">
        <f t="shared" si="5"/>
        <v>-1909.1992617262408</v>
      </c>
      <c r="L43" s="101">
        <f t="shared" si="6"/>
        <v>7836.8231899333714</v>
      </c>
      <c r="M43" s="100">
        <f t="shared" si="7"/>
        <v>156171.39433403971</v>
      </c>
      <c r="N43" s="102">
        <f t="shared" si="8"/>
        <v>34820.823708815988</v>
      </c>
      <c r="O43" s="94">
        <f t="shared" si="9"/>
        <v>0.9490008722994</v>
      </c>
      <c r="P43" s="100">
        <f>'Bef.fremskr. kommunenivå MMMM'!H38</f>
        <v>4485</v>
      </c>
      <c r="Q43" s="100"/>
      <c r="R43" s="100">
        <f t="shared" si="12"/>
        <v>0</v>
      </c>
      <c r="S43" s="100">
        <v>0</v>
      </c>
      <c r="U43" s="100">
        <v>82.396333333333331</v>
      </c>
      <c r="V43" s="5">
        <f t="shared" si="13"/>
        <v>148252.17481077299</v>
      </c>
      <c r="W43" s="5">
        <f t="shared" si="14"/>
        <v>33055.111440529094</v>
      </c>
    </row>
    <row r="44" spans="1:23" ht="13">
      <c r="A44" s="92">
        <v>1528</v>
      </c>
      <c r="B44" s="93" t="s">
        <v>579</v>
      </c>
      <c r="C44" s="574">
        <v>0.82037240588366411</v>
      </c>
      <c r="D44" s="100">
        <f t="shared" si="0"/>
        <v>30101.176673987338</v>
      </c>
      <c r="E44" s="100">
        <f t="shared" si="1"/>
        <v>227113.37800523447</v>
      </c>
      <c r="F44" s="100">
        <f t="shared" si="10"/>
        <v>3956.4099684333287</v>
      </c>
      <c r="G44" s="100">
        <f t="shared" si="2"/>
        <v>29851.113211829466</v>
      </c>
      <c r="H44" s="100">
        <f t="shared" si="11"/>
        <v>1023.5740498379416</v>
      </c>
      <c r="I44" s="100">
        <f t="shared" si="3"/>
        <v>7722.8662060272691</v>
      </c>
      <c r="J44" s="100">
        <f t="shared" si="4"/>
        <v>597.88859571837838</v>
      </c>
      <c r="K44" s="100">
        <f t="shared" si="5"/>
        <v>4511.0694546951654</v>
      </c>
      <c r="L44" s="101">
        <f t="shared" si="6"/>
        <v>34362.182666524634</v>
      </c>
      <c r="M44" s="100">
        <f t="shared" si="7"/>
        <v>261475.5606717591</v>
      </c>
      <c r="N44" s="102">
        <f t="shared" si="8"/>
        <v>34655.475238139043</v>
      </c>
      <c r="O44" s="94">
        <f t="shared" si="9"/>
        <v>0.94449449289212417</v>
      </c>
      <c r="P44" s="100">
        <f>'Bef.fremskr. kommunenivå MMMM'!H39</f>
        <v>7545</v>
      </c>
      <c r="Q44" s="100"/>
      <c r="R44" s="100">
        <f t="shared" si="12"/>
        <v>0</v>
      </c>
      <c r="S44" s="100">
        <v>0</v>
      </c>
      <c r="U44" s="100">
        <v>0</v>
      </c>
      <c r="V44" s="5">
        <f t="shared" si="13"/>
        <v>227113.37800523447</v>
      </c>
      <c r="W44" s="5">
        <f t="shared" si="14"/>
        <v>30101.176673987338</v>
      </c>
    </row>
    <row r="45" spans="1:23" ht="13">
      <c r="A45" s="92">
        <v>1531</v>
      </c>
      <c r="B45" s="93" t="s">
        <v>580</v>
      </c>
      <c r="C45" s="574">
        <v>0.80825920558719633</v>
      </c>
      <c r="D45" s="100">
        <f t="shared" si="0"/>
        <v>29656.718060318319</v>
      </c>
      <c r="E45" s="100">
        <f t="shared" si="1"/>
        <v>287017.7173877607</v>
      </c>
      <c r="F45" s="100">
        <f t="shared" si="10"/>
        <v>4223.0851366347406</v>
      </c>
      <c r="G45" s="100">
        <f t="shared" si="2"/>
        <v>40871.017952351016</v>
      </c>
      <c r="H45" s="100">
        <f t="shared" si="11"/>
        <v>1179.1345646220984</v>
      </c>
      <c r="I45" s="100">
        <f t="shared" si="3"/>
        <v>11411.664316412669</v>
      </c>
      <c r="J45" s="100">
        <f t="shared" si="4"/>
        <v>753.44911050253518</v>
      </c>
      <c r="K45" s="100">
        <f t="shared" si="5"/>
        <v>7291.880491443535</v>
      </c>
      <c r="L45" s="101">
        <f t="shared" si="6"/>
        <v>48162.898443794547</v>
      </c>
      <c r="M45" s="100">
        <f t="shared" si="7"/>
        <v>335180.61583155527</v>
      </c>
      <c r="N45" s="102">
        <f t="shared" si="8"/>
        <v>34633.252307455594</v>
      </c>
      <c r="O45" s="94">
        <f t="shared" si="9"/>
        <v>0.94388883287730074</v>
      </c>
      <c r="P45" s="100">
        <f>'Bef.fremskr. kommunenivå MMMM'!H40</f>
        <v>9678</v>
      </c>
      <c r="Q45" s="100"/>
      <c r="R45" s="100">
        <f t="shared" si="12"/>
        <v>0</v>
      </c>
      <c r="S45" s="100">
        <v>0</v>
      </c>
      <c r="U45" s="100">
        <v>0</v>
      </c>
      <c r="V45" s="5">
        <f t="shared" si="13"/>
        <v>287017.7173877607</v>
      </c>
      <c r="W45" s="5">
        <f t="shared" si="14"/>
        <v>29656.718060318319</v>
      </c>
    </row>
    <row r="46" spans="1:23" ht="13">
      <c r="A46" s="92">
        <v>1532</v>
      </c>
      <c r="B46" s="93" t="s">
        <v>581</v>
      </c>
      <c r="C46" s="574">
        <v>0.91168565984065386</v>
      </c>
      <c r="D46" s="100">
        <f t="shared" si="0"/>
        <v>33451.650642057153</v>
      </c>
      <c r="E46" s="100">
        <f t="shared" si="1"/>
        <v>290427.23087434017</v>
      </c>
      <c r="F46" s="100">
        <f t="shared" si="10"/>
        <v>1946.1255875914401</v>
      </c>
      <c r="G46" s="100">
        <f t="shared" si="2"/>
        <v>16896.262351468882</v>
      </c>
      <c r="H46" s="100">
        <f t="shared" si="11"/>
        <v>0</v>
      </c>
      <c r="I46" s="100">
        <f t="shared" si="3"/>
        <v>0</v>
      </c>
      <c r="J46" s="100">
        <f t="shared" si="4"/>
        <v>-425.68545411956319</v>
      </c>
      <c r="K46" s="100">
        <f t="shared" si="5"/>
        <v>-3695.8011126660476</v>
      </c>
      <c r="L46" s="101">
        <f t="shared" si="6"/>
        <v>13200.461238802834</v>
      </c>
      <c r="M46" s="100">
        <f t="shared" si="7"/>
        <v>303627.69211314304</v>
      </c>
      <c r="N46" s="102">
        <f t="shared" si="8"/>
        <v>34972.090775529032</v>
      </c>
      <c r="O46" s="94">
        <f t="shared" si="9"/>
        <v>0.95312347949161602</v>
      </c>
      <c r="P46" s="100">
        <f>'Bef.fremskr. kommunenivå MMMM'!H41</f>
        <v>8682</v>
      </c>
      <c r="Q46" s="100"/>
      <c r="R46" s="100">
        <f t="shared" si="12"/>
        <v>0</v>
      </c>
      <c r="S46" s="100">
        <v>0</v>
      </c>
      <c r="U46" s="100">
        <v>0</v>
      </c>
      <c r="V46" s="5">
        <f t="shared" si="13"/>
        <v>290427.23087434017</v>
      </c>
      <c r="W46" s="5">
        <f t="shared" si="14"/>
        <v>33451.650642057153</v>
      </c>
    </row>
    <row r="47" spans="1:23" ht="13">
      <c r="A47" s="92">
        <v>1535</v>
      </c>
      <c r="B47" s="93" t="s">
        <v>582</v>
      </c>
      <c r="C47" s="574">
        <v>0.89414632330958865</v>
      </c>
      <c r="D47" s="100">
        <f t="shared" si="0"/>
        <v>32808.095759080046</v>
      </c>
      <c r="E47" s="100">
        <f t="shared" si="1"/>
        <v>228049.07362136539</v>
      </c>
      <c r="F47" s="100">
        <f t="shared" si="10"/>
        <v>2332.2585173777043</v>
      </c>
      <c r="G47" s="100">
        <f t="shared" si="2"/>
        <v>16211.528954292422</v>
      </c>
      <c r="H47" s="100">
        <f t="shared" si="11"/>
        <v>76.152370055493876</v>
      </c>
      <c r="I47" s="100">
        <f t="shared" si="3"/>
        <v>529.33512425573792</v>
      </c>
      <c r="J47" s="100">
        <f t="shared" si="4"/>
        <v>-349.53308406406933</v>
      </c>
      <c r="K47" s="100">
        <f t="shared" si="5"/>
        <v>-2429.6044673293463</v>
      </c>
      <c r="L47" s="101">
        <f t="shared" si="6"/>
        <v>13781.924486963075</v>
      </c>
      <c r="M47" s="100">
        <f t="shared" si="7"/>
        <v>241830.99810832847</v>
      </c>
      <c r="N47" s="102">
        <f t="shared" si="8"/>
        <v>34790.821192393676</v>
      </c>
      <c r="O47" s="94">
        <f t="shared" si="9"/>
        <v>0.94818318876342034</v>
      </c>
      <c r="P47" s="100">
        <f>'Bef.fremskr. kommunenivå MMMM'!H42</f>
        <v>6951</v>
      </c>
      <c r="Q47" s="100"/>
      <c r="R47" s="100">
        <f t="shared" si="12"/>
        <v>0</v>
      </c>
      <c r="S47" s="100">
        <v>0</v>
      </c>
      <c r="U47" s="100">
        <v>0</v>
      </c>
      <c r="V47" s="5">
        <f t="shared" si="13"/>
        <v>228049.07362136539</v>
      </c>
      <c r="W47" s="5">
        <f t="shared" si="14"/>
        <v>32808.095759080046</v>
      </c>
    </row>
    <row r="48" spans="1:23" ht="13">
      <c r="A48" s="92">
        <v>1539</v>
      </c>
      <c r="B48" s="93" t="s">
        <v>583</v>
      </c>
      <c r="C48" s="574">
        <v>0.885364732368774</v>
      </c>
      <c r="D48" s="100">
        <f t="shared" si="0"/>
        <v>32485.880849738453</v>
      </c>
      <c r="E48" s="100">
        <f t="shared" si="1"/>
        <v>227953.42592261473</v>
      </c>
      <c r="F48" s="100">
        <f t="shared" si="10"/>
        <v>2525.5874629826603</v>
      </c>
      <c r="G48" s="100">
        <f t="shared" si="2"/>
        <v>17722.047227749328</v>
      </c>
      <c r="H48" s="100">
        <f t="shared" si="11"/>
        <v>188.92758832505169</v>
      </c>
      <c r="I48" s="100">
        <f t="shared" si="3"/>
        <v>1325.7048872768876</v>
      </c>
      <c r="J48" s="100">
        <f t="shared" si="4"/>
        <v>-236.7578657945115</v>
      </c>
      <c r="K48" s="100">
        <f t="shared" si="5"/>
        <v>-1661.3299442800871</v>
      </c>
      <c r="L48" s="101">
        <f t="shared" si="6"/>
        <v>16060.717283469241</v>
      </c>
      <c r="M48" s="100">
        <f t="shared" si="7"/>
        <v>244014.14320608397</v>
      </c>
      <c r="N48" s="102">
        <f t="shared" si="8"/>
        <v>34774.710446926605</v>
      </c>
      <c r="O48" s="94">
        <f t="shared" si="9"/>
        <v>0.94774410921637986</v>
      </c>
      <c r="P48" s="100">
        <f>'Bef.fremskr. kommunenivå MMMM'!H43</f>
        <v>7017</v>
      </c>
      <c r="Q48" s="100"/>
      <c r="R48" s="100">
        <f t="shared" si="12"/>
        <v>0</v>
      </c>
      <c r="S48" s="100">
        <v>0</v>
      </c>
      <c r="U48" s="100">
        <v>2947.1596666666665</v>
      </c>
      <c r="V48" s="5">
        <f t="shared" si="13"/>
        <v>225006.26625594805</v>
      </c>
      <c r="W48" s="5">
        <f t="shared" si="14"/>
        <v>32065.878047021244</v>
      </c>
    </row>
    <row r="49" spans="1:23" ht="13">
      <c r="A49" s="92">
        <v>1547</v>
      </c>
      <c r="B49" s="93" t="s">
        <v>584</v>
      </c>
      <c r="C49" s="574">
        <v>0.89499183853251874</v>
      </c>
      <c r="D49" s="100">
        <f t="shared" si="0"/>
        <v>32839.119478214707</v>
      </c>
      <c r="E49" s="100">
        <f t="shared" si="1"/>
        <v>117399.85213461758</v>
      </c>
      <c r="F49" s="100">
        <f t="shared" si="10"/>
        <v>2313.6442858969081</v>
      </c>
      <c r="G49" s="100">
        <f t="shared" si="2"/>
        <v>8271.2783220814472</v>
      </c>
      <c r="H49" s="100">
        <f t="shared" si="11"/>
        <v>65.294068358362708</v>
      </c>
      <c r="I49" s="100">
        <f t="shared" si="3"/>
        <v>233.42629438114668</v>
      </c>
      <c r="J49" s="100">
        <f t="shared" si="4"/>
        <v>-360.39138576120047</v>
      </c>
      <c r="K49" s="100">
        <f t="shared" si="5"/>
        <v>-1288.3992040962917</v>
      </c>
      <c r="L49" s="101">
        <f t="shared" si="6"/>
        <v>6982.879117985156</v>
      </c>
      <c r="M49" s="100">
        <f t="shared" si="7"/>
        <v>124382.73125260274</v>
      </c>
      <c r="N49" s="102">
        <f t="shared" si="8"/>
        <v>34792.372378350417</v>
      </c>
      <c r="O49" s="94">
        <f t="shared" si="9"/>
        <v>0.94822546452456702</v>
      </c>
      <c r="P49" s="100">
        <f>'Bef.fremskr. kommunenivå MMMM'!H44</f>
        <v>3575</v>
      </c>
      <c r="Q49" s="100"/>
      <c r="R49" s="100">
        <f t="shared" si="12"/>
        <v>0</v>
      </c>
      <c r="S49" s="100">
        <v>0</v>
      </c>
      <c r="U49" s="100">
        <v>0</v>
      </c>
      <c r="V49" s="5">
        <f t="shared" si="13"/>
        <v>117399.85213461758</v>
      </c>
      <c r="W49" s="5">
        <f t="shared" si="14"/>
        <v>32839.119478214707</v>
      </c>
    </row>
    <row r="50" spans="1:23" ht="13">
      <c r="A50" s="92">
        <v>1554</v>
      </c>
      <c r="B50" s="93" t="s">
        <v>585</v>
      </c>
      <c r="C50" s="574">
        <v>0.88310737629334202</v>
      </c>
      <c r="D50" s="100">
        <f t="shared" si="0"/>
        <v>32403.053741518634</v>
      </c>
      <c r="E50" s="100">
        <f t="shared" si="1"/>
        <v>191566.85371985816</v>
      </c>
      <c r="F50" s="100">
        <f t="shared" si="10"/>
        <v>2575.2837279145519</v>
      </c>
      <c r="G50" s="100">
        <f t="shared" si="2"/>
        <v>15225.077399430831</v>
      </c>
      <c r="H50" s="100">
        <f t="shared" si="11"/>
        <v>217.91707620198829</v>
      </c>
      <c r="I50" s="100">
        <f t="shared" si="3"/>
        <v>1288.3257545061547</v>
      </c>
      <c r="J50" s="100">
        <f t="shared" si="4"/>
        <v>-207.7683779175749</v>
      </c>
      <c r="K50" s="100">
        <f t="shared" si="5"/>
        <v>-1228.3266502487029</v>
      </c>
      <c r="L50" s="101">
        <f t="shared" si="6"/>
        <v>13996.750749182129</v>
      </c>
      <c r="M50" s="100">
        <f t="shared" si="7"/>
        <v>205563.60446904029</v>
      </c>
      <c r="N50" s="102">
        <f t="shared" si="8"/>
        <v>34770.569091515616</v>
      </c>
      <c r="O50" s="94">
        <f t="shared" si="9"/>
        <v>0.94763124141260824</v>
      </c>
      <c r="P50" s="100">
        <f>'Bef.fremskr. kommunenivå MMMM'!H45</f>
        <v>5912</v>
      </c>
      <c r="Q50" s="100"/>
      <c r="R50" s="100">
        <f t="shared" si="12"/>
        <v>0</v>
      </c>
      <c r="S50" s="100">
        <v>0</v>
      </c>
      <c r="U50" s="100">
        <v>0</v>
      </c>
      <c r="V50" s="5">
        <f t="shared" si="13"/>
        <v>191566.85371985816</v>
      </c>
      <c r="W50" s="5">
        <f t="shared" si="14"/>
        <v>32403.053741518634</v>
      </c>
    </row>
    <row r="51" spans="1:23" ht="13">
      <c r="A51" s="92">
        <v>1557</v>
      </c>
      <c r="B51" s="93" t="s">
        <v>586</v>
      </c>
      <c r="C51" s="574">
        <v>0.7596134926768181</v>
      </c>
      <c r="D51" s="100">
        <f t="shared" si="0"/>
        <v>27871.8052716317</v>
      </c>
      <c r="E51" s="100">
        <f t="shared" si="1"/>
        <v>75476.848675578643</v>
      </c>
      <c r="F51" s="100">
        <f t="shared" si="10"/>
        <v>5294.0328098467116</v>
      </c>
      <c r="G51" s="100">
        <f t="shared" si="2"/>
        <v>14336.240849064896</v>
      </c>
      <c r="H51" s="100">
        <f t="shared" si="11"/>
        <v>1803.8540406624149</v>
      </c>
      <c r="I51" s="100">
        <f t="shared" si="3"/>
        <v>4884.8367421138191</v>
      </c>
      <c r="J51" s="100">
        <f t="shared" si="4"/>
        <v>1378.1685865428517</v>
      </c>
      <c r="K51" s="100">
        <f t="shared" si="5"/>
        <v>3732.0805323580425</v>
      </c>
      <c r="L51" s="101">
        <f t="shared" si="6"/>
        <v>18068.321381422938</v>
      </c>
      <c r="M51" s="100">
        <f t="shared" si="7"/>
        <v>93545.170057001582</v>
      </c>
      <c r="N51" s="102">
        <f t="shared" si="8"/>
        <v>34544.006668021262</v>
      </c>
      <c r="O51" s="94">
        <f t="shared" si="9"/>
        <v>0.94145654723178185</v>
      </c>
      <c r="P51" s="100">
        <f>'Bef.fremskr. kommunenivå MMMM'!H46</f>
        <v>2708</v>
      </c>
      <c r="Q51" s="100"/>
      <c r="R51" s="100">
        <f t="shared" si="12"/>
        <v>0</v>
      </c>
      <c r="S51" s="100">
        <v>0</v>
      </c>
      <c r="U51" s="100">
        <v>0</v>
      </c>
      <c r="V51" s="5">
        <f t="shared" si="13"/>
        <v>75476.848675578643</v>
      </c>
      <c r="W51" s="5">
        <f t="shared" si="14"/>
        <v>27871.8052716317</v>
      </c>
    </row>
    <row r="52" spans="1:23" ht="13">
      <c r="A52" s="92">
        <v>1560</v>
      </c>
      <c r="B52" s="93" t="s">
        <v>587</v>
      </c>
      <c r="C52" s="574">
        <v>0.77469684407627137</v>
      </c>
      <c r="D52" s="100">
        <f t="shared" si="0"/>
        <v>28425.244931540448</v>
      </c>
      <c r="E52" s="100">
        <f t="shared" si="1"/>
        <v>84565.103671332836</v>
      </c>
      <c r="F52" s="100">
        <f t="shared" si="10"/>
        <v>4961.9690139014629</v>
      </c>
      <c r="G52" s="100">
        <f t="shared" si="2"/>
        <v>14761.857816356853</v>
      </c>
      <c r="H52" s="100">
        <f t="shared" si="11"/>
        <v>1610.1501596943531</v>
      </c>
      <c r="I52" s="100">
        <f t="shared" si="3"/>
        <v>4790.1967250907001</v>
      </c>
      <c r="J52" s="100">
        <f t="shared" si="4"/>
        <v>1184.4647055747898</v>
      </c>
      <c r="K52" s="100">
        <f t="shared" si="5"/>
        <v>3523.7824990849999</v>
      </c>
      <c r="L52" s="101">
        <f t="shared" si="6"/>
        <v>18285.640315441851</v>
      </c>
      <c r="M52" s="100">
        <f t="shared" si="7"/>
        <v>102850.7439867747</v>
      </c>
      <c r="N52" s="102">
        <f t="shared" si="8"/>
        <v>34571.678651016708</v>
      </c>
      <c r="O52" s="94">
        <f t="shared" si="9"/>
        <v>0.94221071480175478</v>
      </c>
      <c r="P52" s="100">
        <f>'Bef.fremskr. kommunenivå MMMM'!H47</f>
        <v>2975</v>
      </c>
      <c r="Q52" s="100"/>
      <c r="R52" s="100">
        <f t="shared" si="12"/>
        <v>0</v>
      </c>
      <c r="S52" s="100">
        <v>0</v>
      </c>
      <c r="U52" s="100">
        <v>0</v>
      </c>
      <c r="V52" s="5">
        <f t="shared" si="13"/>
        <v>84565.103671332836</v>
      </c>
      <c r="W52" s="5">
        <f t="shared" si="14"/>
        <v>28425.244931540448</v>
      </c>
    </row>
    <row r="53" spans="1:23" ht="13">
      <c r="A53" s="92">
        <v>1563</v>
      </c>
      <c r="B53" s="93" t="s">
        <v>588</v>
      </c>
      <c r="C53" s="574">
        <v>0.9158892627852806</v>
      </c>
      <c r="D53" s="100">
        <f t="shared" si="0"/>
        <v>33605.889612061525</v>
      </c>
      <c r="E53" s="100">
        <f t="shared" si="1"/>
        <v>231679.00298555216</v>
      </c>
      <c r="F53" s="100">
        <f t="shared" si="10"/>
        <v>1853.5822055888173</v>
      </c>
      <c r="G53" s="100">
        <f t="shared" si="2"/>
        <v>12778.595725329305</v>
      </c>
      <c r="H53" s="100">
        <f t="shared" si="11"/>
        <v>0</v>
      </c>
      <c r="I53" s="100">
        <f t="shared" si="3"/>
        <v>0</v>
      </c>
      <c r="J53" s="100">
        <f t="shared" si="4"/>
        <v>-425.68545411956319</v>
      </c>
      <c r="K53" s="100">
        <f t="shared" si="5"/>
        <v>-2934.6755207002684</v>
      </c>
      <c r="L53" s="101">
        <f t="shared" si="6"/>
        <v>9843.9202046290375</v>
      </c>
      <c r="M53" s="100">
        <f t="shared" si="7"/>
        <v>241522.9231901812</v>
      </c>
      <c r="N53" s="102">
        <f t="shared" si="8"/>
        <v>35033.78636353078</v>
      </c>
      <c r="O53" s="94">
        <f t="shared" si="9"/>
        <v>0.95480492066946676</v>
      </c>
      <c r="P53" s="100">
        <f>'Bef.fremskr. kommunenivå MMMM'!H48</f>
        <v>6894</v>
      </c>
      <c r="Q53" s="100"/>
      <c r="R53" s="100">
        <f t="shared" si="12"/>
        <v>0</v>
      </c>
      <c r="S53" s="100">
        <v>0</v>
      </c>
      <c r="U53" s="100">
        <v>13766.625333333335</v>
      </c>
      <c r="V53" s="5">
        <f t="shared" si="13"/>
        <v>217912.37765221883</v>
      </c>
      <c r="W53" s="5">
        <f t="shared" si="14"/>
        <v>31608.990085903511</v>
      </c>
    </row>
    <row r="54" spans="1:23" ht="13">
      <c r="A54" s="92">
        <v>1566</v>
      </c>
      <c r="B54" s="93" t="s">
        <v>589</v>
      </c>
      <c r="C54" s="574">
        <v>0.78005238394028564</v>
      </c>
      <c r="D54" s="100">
        <f t="shared" si="0"/>
        <v>28621.750872592464</v>
      </c>
      <c r="E54" s="100">
        <f t="shared" si="1"/>
        <v>165719.93755231038</v>
      </c>
      <c r="F54" s="100">
        <f t="shared" si="10"/>
        <v>4844.0654492702533</v>
      </c>
      <c r="G54" s="100">
        <f t="shared" si="2"/>
        <v>28047.138951274766</v>
      </c>
      <c r="H54" s="100">
        <f t="shared" si="11"/>
        <v>1541.3730803261478</v>
      </c>
      <c r="I54" s="100">
        <f t="shared" si="3"/>
        <v>8924.5501350883951</v>
      </c>
      <c r="J54" s="100">
        <f t="shared" si="4"/>
        <v>1115.6876262065846</v>
      </c>
      <c r="K54" s="100">
        <f t="shared" si="5"/>
        <v>6459.8313557361244</v>
      </c>
      <c r="L54" s="101">
        <f t="shared" si="6"/>
        <v>34506.970307010888</v>
      </c>
      <c r="M54" s="100">
        <f t="shared" si="7"/>
        <v>200226.90785932128</v>
      </c>
      <c r="N54" s="102">
        <f t="shared" si="8"/>
        <v>34581.503948069301</v>
      </c>
      <c r="O54" s="94">
        <f t="shared" si="9"/>
        <v>0.94247849179495524</v>
      </c>
      <c r="P54" s="100">
        <f>'Bef.fremskr. kommunenivå MMMM'!H49</f>
        <v>5790</v>
      </c>
      <c r="Q54" s="100"/>
      <c r="R54" s="100">
        <f t="shared" si="12"/>
        <v>0</v>
      </c>
      <c r="S54" s="100">
        <v>0</v>
      </c>
      <c r="U54" s="100">
        <v>7124.6239999999998</v>
      </c>
      <c r="V54" s="5">
        <f t="shared" si="13"/>
        <v>158595.31355231037</v>
      </c>
      <c r="W54" s="5">
        <f t="shared" si="14"/>
        <v>27391.245863956887</v>
      </c>
    </row>
    <row r="55" spans="1:23" ht="13">
      <c r="A55" s="92">
        <v>1573</v>
      </c>
      <c r="B55" s="93" t="s">
        <v>591</v>
      </c>
      <c r="C55" s="574">
        <v>0.85114431510894328</v>
      </c>
      <c r="D55" s="100">
        <f t="shared" si="0"/>
        <v>31230.262281380845</v>
      </c>
      <c r="E55" s="100">
        <f t="shared" si="1"/>
        <v>66395.537610215673</v>
      </c>
      <c r="F55" s="100">
        <f t="shared" si="10"/>
        <v>3278.9586039972251</v>
      </c>
      <c r="G55" s="100">
        <f t="shared" si="2"/>
        <v>6971.0659920981007</v>
      </c>
      <c r="H55" s="100">
        <f t="shared" si="11"/>
        <v>628.3940872502144</v>
      </c>
      <c r="I55" s="100">
        <f t="shared" si="3"/>
        <v>1335.9658294939557</v>
      </c>
      <c r="J55" s="100">
        <f t="shared" si="4"/>
        <v>202.70863313065121</v>
      </c>
      <c r="K55" s="100">
        <f t="shared" si="5"/>
        <v>430.95855403576445</v>
      </c>
      <c r="L55" s="101">
        <f t="shared" si="6"/>
        <v>7402.0245461338654</v>
      </c>
      <c r="M55" s="100">
        <f t="shared" si="7"/>
        <v>73797.562156349537</v>
      </c>
      <c r="N55" s="102">
        <f t="shared" si="8"/>
        <v>34711.929518508718</v>
      </c>
      <c r="O55" s="94">
        <f t="shared" si="9"/>
        <v>0.94603308835338806</v>
      </c>
      <c r="P55" s="100">
        <f>'Bef.fremskr. kommunenivå MMMM'!H50</f>
        <v>2126</v>
      </c>
      <c r="Q55" s="100"/>
      <c r="R55" s="100">
        <f t="shared" si="12"/>
        <v>0</v>
      </c>
      <c r="S55" s="100">
        <v>0</v>
      </c>
      <c r="U55" s="100">
        <v>0</v>
      </c>
      <c r="V55" s="5">
        <f t="shared" si="13"/>
        <v>66395.537610215673</v>
      </c>
      <c r="W55" s="5">
        <f t="shared" si="14"/>
        <v>31230.262281380841</v>
      </c>
    </row>
    <row r="56" spans="1:23" ht="13">
      <c r="A56" s="92">
        <v>1576</v>
      </c>
      <c r="B56" s="93" t="s">
        <v>1815</v>
      </c>
      <c r="C56" s="574">
        <v>0.85089051714350594</v>
      </c>
      <c r="D56" s="100">
        <f t="shared" si="0"/>
        <v>31220.949904047899</v>
      </c>
      <c r="E56" s="100">
        <f t="shared" si="1"/>
        <v>104652.62407836856</v>
      </c>
      <c r="F56" s="100">
        <f t="shared" si="10"/>
        <v>3284.5460303969926</v>
      </c>
      <c r="G56" s="100">
        <f t="shared" si="2"/>
        <v>11009.798293890719</v>
      </c>
      <c r="H56" s="100">
        <f t="shared" si="11"/>
        <v>631.6534193167455</v>
      </c>
      <c r="I56" s="100">
        <f t="shared" si="3"/>
        <v>2117.3022615497307</v>
      </c>
      <c r="J56" s="100">
        <f t="shared" si="4"/>
        <v>205.96796519718231</v>
      </c>
      <c r="K56" s="100">
        <f t="shared" si="5"/>
        <v>690.40461934095504</v>
      </c>
      <c r="L56" s="101">
        <f t="shared" si="6"/>
        <v>11700.202913231675</v>
      </c>
      <c r="M56" s="100">
        <f t="shared" si="7"/>
        <v>116352.82699160025</v>
      </c>
      <c r="N56" s="102">
        <f t="shared" si="8"/>
        <v>34711.463899642076</v>
      </c>
      <c r="O56" s="94">
        <f t="shared" si="9"/>
        <v>0.94602039845511643</v>
      </c>
      <c r="P56" s="100">
        <f>'Bef.fremskr. kommunenivå MMMM'!H51</f>
        <v>3352</v>
      </c>
      <c r="Q56" s="100"/>
      <c r="R56" s="100">
        <f t="shared" si="12"/>
        <v>0</v>
      </c>
      <c r="S56" s="100">
        <v>0</v>
      </c>
      <c r="U56" s="100">
        <v>0</v>
      </c>
      <c r="V56" s="5">
        <f t="shared" si="13"/>
        <v>104652.62407836856</v>
      </c>
      <c r="W56" s="5">
        <f t="shared" si="14"/>
        <v>31220.949904047899</v>
      </c>
    </row>
    <row r="57" spans="1:23" ht="13">
      <c r="A57" s="92">
        <v>1577</v>
      </c>
      <c r="B57" s="93" t="s">
        <v>576</v>
      </c>
      <c r="C57" s="574">
        <v>0.76240439072147193</v>
      </c>
      <c r="D57" s="100">
        <f t="shared" si="0"/>
        <v>27974.209148844904</v>
      </c>
      <c r="E57" s="100">
        <f t="shared" si="1"/>
        <v>307688.32642814511</v>
      </c>
      <c r="F57" s="100">
        <f t="shared" si="10"/>
        <v>5232.5904835187894</v>
      </c>
      <c r="G57" s="100">
        <f t="shared" si="2"/>
        <v>57553.26272822317</v>
      </c>
      <c r="H57" s="100">
        <f t="shared" si="11"/>
        <v>1768.0126836377935</v>
      </c>
      <c r="I57" s="100">
        <f t="shared" si="3"/>
        <v>19446.371507332089</v>
      </c>
      <c r="J57" s="100">
        <f t="shared" si="4"/>
        <v>1342.3272295182303</v>
      </c>
      <c r="K57" s="100">
        <f t="shared" si="5"/>
        <v>14764.257197471015</v>
      </c>
      <c r="L57" s="101">
        <f t="shared" si="6"/>
        <v>72317.519925694185</v>
      </c>
      <c r="M57" s="100">
        <f t="shared" si="7"/>
        <v>380005.84635383933</v>
      </c>
      <c r="N57" s="102">
        <f t="shared" si="8"/>
        <v>34549.12686188193</v>
      </c>
      <c r="O57" s="94">
        <f t="shared" si="9"/>
        <v>0.94159609213401474</v>
      </c>
      <c r="P57" s="100">
        <f>'Bef.fremskr. kommunenivå MMMM'!H52</f>
        <v>10999</v>
      </c>
      <c r="Q57" s="100"/>
      <c r="R57" s="100">
        <f t="shared" si="12"/>
        <v>0</v>
      </c>
      <c r="S57" s="100">
        <v>0</v>
      </c>
      <c r="U57" s="100">
        <v>2486.4153333333334</v>
      </c>
      <c r="V57" s="5">
        <f t="shared" si="13"/>
        <v>305201.9110948118</v>
      </c>
      <c r="W57" s="5">
        <f t="shared" si="14"/>
        <v>27748.150840513845</v>
      </c>
    </row>
    <row r="58" spans="1:23" ht="13">
      <c r="A58" s="92">
        <v>1578</v>
      </c>
      <c r="B58" s="93" t="s">
        <v>1816</v>
      </c>
      <c r="C58" s="574">
        <v>0.83635267447072792</v>
      </c>
      <c r="D58" s="100">
        <f t="shared" si="0"/>
        <v>30687.52609845249</v>
      </c>
      <c r="E58" s="100">
        <f t="shared" si="1"/>
        <v>76596.065141737417</v>
      </c>
      <c r="F58" s="100">
        <f t="shared" si="10"/>
        <v>3604.600313754238</v>
      </c>
      <c r="G58" s="100">
        <f t="shared" si="2"/>
        <v>8997.0823831305788</v>
      </c>
      <c r="H58" s="100">
        <f t="shared" si="11"/>
        <v>818.35175127513844</v>
      </c>
      <c r="I58" s="100">
        <f t="shared" si="3"/>
        <v>2042.6059711827456</v>
      </c>
      <c r="J58" s="100">
        <f t="shared" si="4"/>
        <v>392.66629715557525</v>
      </c>
      <c r="K58" s="100">
        <f t="shared" si="5"/>
        <v>980.09507770031587</v>
      </c>
      <c r="L58" s="101">
        <f t="shared" si="6"/>
        <v>9977.1774608308951</v>
      </c>
      <c r="M58" s="100">
        <f t="shared" si="7"/>
        <v>86573.242602568309</v>
      </c>
      <c r="N58" s="102">
        <f t="shared" si="8"/>
        <v>34684.792709362308</v>
      </c>
      <c r="O58" s="94">
        <f t="shared" si="9"/>
        <v>0.94529350632147746</v>
      </c>
      <c r="P58" s="100">
        <f>'Bef.fremskr. kommunenivå MMMM'!H53</f>
        <v>2496</v>
      </c>
      <c r="Q58" s="100"/>
      <c r="R58" s="100">
        <f t="shared" si="12"/>
        <v>0</v>
      </c>
      <c r="S58" s="100">
        <v>0</v>
      </c>
      <c r="U58" s="100">
        <v>9552.4090000000015</v>
      </c>
      <c r="V58" s="5">
        <f t="shared" si="13"/>
        <v>67043.656141737418</v>
      </c>
      <c r="W58" s="5">
        <f t="shared" si="14"/>
        <v>26860.439159349928</v>
      </c>
    </row>
    <row r="59" spans="1:23" ht="13">
      <c r="A59" s="92">
        <v>1579</v>
      </c>
      <c r="B59" s="93" t="s">
        <v>1817</v>
      </c>
      <c r="C59" s="574">
        <v>0.81258877781219674</v>
      </c>
      <c r="D59" s="100">
        <f t="shared" si="0"/>
        <v>29815.57910626872</v>
      </c>
      <c r="E59" s="100">
        <f t="shared" si="1"/>
        <v>396875.17348354292</v>
      </c>
      <c r="F59" s="100">
        <f t="shared" si="10"/>
        <v>4127.7685090645</v>
      </c>
      <c r="G59" s="100">
        <f t="shared" si="2"/>
        <v>54944.726624157563</v>
      </c>
      <c r="H59" s="100">
        <f t="shared" si="11"/>
        <v>1123.5331985394578</v>
      </c>
      <c r="I59" s="100">
        <f t="shared" si="3"/>
        <v>14955.350405758722</v>
      </c>
      <c r="J59" s="100">
        <f t="shared" si="4"/>
        <v>697.84774441989452</v>
      </c>
      <c r="K59" s="100">
        <f t="shared" si="5"/>
        <v>9289.0513259732161</v>
      </c>
      <c r="L59" s="101">
        <f t="shared" si="6"/>
        <v>64233.777950130781</v>
      </c>
      <c r="M59" s="100">
        <f t="shared" si="7"/>
        <v>461108.95143367373</v>
      </c>
      <c r="N59" s="102">
        <f t="shared" si="8"/>
        <v>34641.195359753117</v>
      </c>
      <c r="O59" s="94">
        <f t="shared" si="9"/>
        <v>0.94410531148855092</v>
      </c>
      <c r="P59" s="100">
        <f>'Bef.fremskr. kommunenivå MMMM'!H54</f>
        <v>13311</v>
      </c>
      <c r="Q59" s="100"/>
      <c r="R59" s="100">
        <f t="shared" si="12"/>
        <v>0</v>
      </c>
      <c r="S59" s="100">
        <v>0</v>
      </c>
      <c r="U59" s="100">
        <v>0</v>
      </c>
      <c r="V59" s="5">
        <f t="shared" si="13"/>
        <v>396875.17348354292</v>
      </c>
      <c r="W59" s="5">
        <f t="shared" si="14"/>
        <v>29815.57910626872</v>
      </c>
    </row>
    <row r="60" spans="1:23" ht="13">
      <c r="A60" s="92">
        <v>1804</v>
      </c>
      <c r="B60" s="93" t="s">
        <v>624</v>
      </c>
      <c r="C60" s="574">
        <v>0.96400117473621305</v>
      </c>
      <c r="D60" s="100">
        <f t="shared" si="0"/>
        <v>35371.216128862616</v>
      </c>
      <c r="E60" s="100">
        <f t="shared" si="1"/>
        <v>1879909.3948167902</v>
      </c>
      <c r="F60" s="100">
        <f t="shared" si="10"/>
        <v>794.38629550816256</v>
      </c>
      <c r="G60" s="100">
        <f t="shared" si="2"/>
        <v>42220.042833667823</v>
      </c>
      <c r="H60" s="100">
        <f t="shared" si="11"/>
        <v>0</v>
      </c>
      <c r="I60" s="100">
        <f t="shared" si="3"/>
        <v>0</v>
      </c>
      <c r="J60" s="100">
        <f t="shared" si="4"/>
        <v>-425.68545411956319</v>
      </c>
      <c r="K60" s="100">
        <f t="shared" si="5"/>
        <v>-22624.330515546546</v>
      </c>
      <c r="L60" s="101">
        <f t="shared" si="6"/>
        <v>19595.712318121277</v>
      </c>
      <c r="M60" s="100">
        <f t="shared" si="7"/>
        <v>1899505.1071349115</v>
      </c>
      <c r="N60" s="102">
        <f t="shared" si="8"/>
        <v>35739.916970251215</v>
      </c>
      <c r="O60" s="94">
        <f t="shared" si="9"/>
        <v>0.97404968544983972</v>
      </c>
      <c r="P60" s="100">
        <f>'Bef.fremskr. kommunenivå MMMM'!H55</f>
        <v>53148</v>
      </c>
      <c r="Q60" s="100"/>
      <c r="R60" s="100">
        <f t="shared" si="12"/>
        <v>0</v>
      </c>
      <c r="S60" s="100">
        <v>0</v>
      </c>
      <c r="U60" s="100">
        <v>1342.2836666666665</v>
      </c>
      <c r="V60" s="5">
        <f t="shared" si="13"/>
        <v>1878567.1111501236</v>
      </c>
      <c r="W60" s="5">
        <f t="shared" si="14"/>
        <v>35345.960546965522</v>
      </c>
    </row>
    <row r="61" spans="1:23" ht="13">
      <c r="A61" s="92">
        <v>1806</v>
      </c>
      <c r="B61" s="93" t="s">
        <v>625</v>
      </c>
      <c r="C61" s="574">
        <v>0.85752623415456886</v>
      </c>
      <c r="D61" s="100">
        <f t="shared" si="0"/>
        <v>31464.42821789176</v>
      </c>
      <c r="E61" s="100">
        <f t="shared" si="1"/>
        <v>677554.99724408111</v>
      </c>
      <c r="F61" s="100">
        <f t="shared" si="10"/>
        <v>3138.4590420906757</v>
      </c>
      <c r="G61" s="100">
        <f t="shared" si="2"/>
        <v>67583.577012380614</v>
      </c>
      <c r="H61" s="100">
        <f t="shared" si="11"/>
        <v>546.43600947139396</v>
      </c>
      <c r="I61" s="100">
        <f t="shared" si="3"/>
        <v>11766.953027956997</v>
      </c>
      <c r="J61" s="100">
        <f t="shared" si="4"/>
        <v>120.75055535183077</v>
      </c>
      <c r="K61" s="100">
        <f t="shared" si="5"/>
        <v>2600.2424589463239</v>
      </c>
      <c r="L61" s="101">
        <f t="shared" si="6"/>
        <v>70183.819471326933</v>
      </c>
      <c r="M61" s="100">
        <f t="shared" si="7"/>
        <v>747738.816715408</v>
      </c>
      <c r="N61" s="102">
        <f t="shared" si="8"/>
        <v>34723.637815334259</v>
      </c>
      <c r="O61" s="94">
        <f t="shared" si="9"/>
        <v>0.94635218430566925</v>
      </c>
      <c r="P61" s="100">
        <f>'Bef.fremskr. kommunenivå MMMM'!H56</f>
        <v>21534</v>
      </c>
      <c r="Q61" s="100"/>
      <c r="R61" s="100">
        <f t="shared" si="12"/>
        <v>0</v>
      </c>
      <c r="S61" s="100">
        <v>0</v>
      </c>
      <c r="U61" s="100">
        <v>20007.044333333335</v>
      </c>
      <c r="V61" s="5">
        <f t="shared" si="13"/>
        <v>657547.95291074773</v>
      </c>
      <c r="W61" s="5">
        <f t="shared" si="14"/>
        <v>30535.337276434835</v>
      </c>
    </row>
    <row r="62" spans="1:23" ht="13">
      <c r="A62" s="92">
        <v>1811</v>
      </c>
      <c r="B62" s="93" t="s">
        <v>626</v>
      </c>
      <c r="C62" s="574">
        <v>0.85282804383830546</v>
      </c>
      <c r="D62" s="100">
        <f t="shared" si="0"/>
        <v>31292.041804424418</v>
      </c>
      <c r="E62" s="100">
        <f t="shared" si="1"/>
        <v>43840.150567998608</v>
      </c>
      <c r="F62" s="100">
        <f t="shared" si="10"/>
        <v>3241.8908901710811</v>
      </c>
      <c r="G62" s="100">
        <f t="shared" si="2"/>
        <v>4541.889137129685</v>
      </c>
      <c r="H62" s="100">
        <f t="shared" si="11"/>
        <v>606.77125418496371</v>
      </c>
      <c r="I62" s="100">
        <f t="shared" si="3"/>
        <v>850.08652711313414</v>
      </c>
      <c r="J62" s="100">
        <f t="shared" si="4"/>
        <v>181.08580006540052</v>
      </c>
      <c r="K62" s="100">
        <f t="shared" si="5"/>
        <v>253.70120589162613</v>
      </c>
      <c r="L62" s="101">
        <f t="shared" si="6"/>
        <v>4795.5903430213111</v>
      </c>
      <c r="M62" s="100">
        <f t="shared" si="7"/>
        <v>48635.740911019915</v>
      </c>
      <c r="N62" s="102">
        <f t="shared" si="8"/>
        <v>34715.018494660893</v>
      </c>
      <c r="O62" s="94">
        <f t="shared" si="9"/>
        <v>0.94611727478985608</v>
      </c>
      <c r="P62" s="100">
        <f>'Bef.fremskr. kommunenivå MMMM'!H57</f>
        <v>1401</v>
      </c>
      <c r="Q62" s="100"/>
      <c r="R62" s="100">
        <f t="shared" si="12"/>
        <v>0</v>
      </c>
      <c r="S62" s="100">
        <v>0</v>
      </c>
      <c r="U62" s="100">
        <v>6317.6916666666666</v>
      </c>
      <c r="V62" s="5">
        <f t="shared" si="13"/>
        <v>37522.458901331942</v>
      </c>
      <c r="W62" s="5">
        <f t="shared" si="14"/>
        <v>26782.625911014944</v>
      </c>
    </row>
    <row r="63" spans="1:23" ht="13">
      <c r="A63" s="92">
        <v>1812</v>
      </c>
      <c r="B63" s="93" t="s">
        <v>627</v>
      </c>
      <c r="C63" s="574">
        <v>0.73543252872493847</v>
      </c>
      <c r="D63" s="100">
        <f t="shared" si="0"/>
        <v>26984.555209534821</v>
      </c>
      <c r="E63" s="100">
        <f t="shared" si="1"/>
        <v>53105.604652364527</v>
      </c>
      <c r="F63" s="100">
        <f t="shared" si="10"/>
        <v>5826.3828471048391</v>
      </c>
      <c r="G63" s="100">
        <f t="shared" si="2"/>
        <v>11466.321443102323</v>
      </c>
      <c r="H63" s="100">
        <f t="shared" si="11"/>
        <v>2114.3915623963226</v>
      </c>
      <c r="I63" s="100">
        <f t="shared" si="3"/>
        <v>4161.1225947959629</v>
      </c>
      <c r="J63" s="100">
        <f t="shared" si="4"/>
        <v>1688.7061082767593</v>
      </c>
      <c r="K63" s="100">
        <f t="shared" si="5"/>
        <v>3323.3736210886623</v>
      </c>
      <c r="L63" s="101">
        <f t="shared" si="6"/>
        <v>14789.695064190984</v>
      </c>
      <c r="M63" s="100">
        <f t="shared" si="7"/>
        <v>67895.299716555513</v>
      </c>
      <c r="N63" s="102">
        <f t="shared" si="8"/>
        <v>34499.644164916419</v>
      </c>
      <c r="O63" s="94">
        <f t="shared" si="9"/>
        <v>0.94024749903418792</v>
      </c>
      <c r="P63" s="100">
        <f>'Bef.fremskr. kommunenivå MMMM'!H58</f>
        <v>1968</v>
      </c>
      <c r="Q63" s="100"/>
      <c r="R63" s="100">
        <f t="shared" si="12"/>
        <v>0</v>
      </c>
      <c r="S63" s="100">
        <v>0</v>
      </c>
      <c r="U63" s="100">
        <v>0</v>
      </c>
      <c r="V63" s="5">
        <f t="shared" si="13"/>
        <v>53105.604652364527</v>
      </c>
      <c r="W63" s="5">
        <f t="shared" si="14"/>
        <v>26984.555209534821</v>
      </c>
    </row>
    <row r="64" spans="1:23" ht="13">
      <c r="A64" s="92">
        <v>1813</v>
      </c>
      <c r="B64" s="93" t="s">
        <v>628</v>
      </c>
      <c r="C64" s="574">
        <v>0.80806238834571842</v>
      </c>
      <c r="D64" s="100">
        <f t="shared" si="0"/>
        <v>29649.496424734622</v>
      </c>
      <c r="E64" s="100">
        <f t="shared" si="1"/>
        <v>229842.8962845428</v>
      </c>
      <c r="F64" s="100">
        <f t="shared" si="10"/>
        <v>4227.4181179849593</v>
      </c>
      <c r="G64" s="100">
        <f t="shared" si="2"/>
        <v>32770.945250619407</v>
      </c>
      <c r="H64" s="100">
        <f t="shared" si="11"/>
        <v>1181.6621370763924</v>
      </c>
      <c r="I64" s="100">
        <f t="shared" si="3"/>
        <v>9160.2448866161922</v>
      </c>
      <c r="J64" s="100">
        <f t="shared" si="4"/>
        <v>755.97668295682911</v>
      </c>
      <c r="K64" s="100">
        <f t="shared" si="5"/>
        <v>5860.3312462813392</v>
      </c>
      <c r="L64" s="101">
        <f t="shared" si="6"/>
        <v>38631.276496900748</v>
      </c>
      <c r="M64" s="100">
        <f t="shared" si="7"/>
        <v>268474.17278144357</v>
      </c>
      <c r="N64" s="102">
        <f t="shared" si="8"/>
        <v>34632.891225676416</v>
      </c>
      <c r="O64" s="94">
        <f t="shared" si="9"/>
        <v>0.94387899201522707</v>
      </c>
      <c r="P64" s="100">
        <f>'Bef.fremskr. kommunenivå MMMM'!H59</f>
        <v>7752</v>
      </c>
      <c r="Q64" s="100"/>
      <c r="R64" s="100">
        <f t="shared" si="12"/>
        <v>0</v>
      </c>
      <c r="S64" s="100">
        <v>0</v>
      </c>
      <c r="U64" s="100">
        <v>149.29966666666667</v>
      </c>
      <c r="V64" s="5">
        <f t="shared" si="13"/>
        <v>229693.59661787614</v>
      </c>
      <c r="W64" s="5">
        <f t="shared" si="14"/>
        <v>29630.236921810647</v>
      </c>
    </row>
    <row r="65" spans="1:23" ht="13">
      <c r="A65" s="92">
        <v>1815</v>
      </c>
      <c r="B65" s="93" t="s">
        <v>629</v>
      </c>
      <c r="C65" s="574">
        <v>0.72930138986386761</v>
      </c>
      <c r="D65" s="100">
        <f t="shared" si="0"/>
        <v>26759.590921674539</v>
      </c>
      <c r="E65" s="100">
        <f t="shared" si="1"/>
        <v>31389.000151124234</v>
      </c>
      <c r="F65" s="100">
        <f t="shared" si="10"/>
        <v>5961.3614198210089</v>
      </c>
      <c r="G65" s="100">
        <f t="shared" si="2"/>
        <v>6992.6769454500436</v>
      </c>
      <c r="H65" s="100">
        <f t="shared" si="11"/>
        <v>2193.1290631474212</v>
      </c>
      <c r="I65" s="100">
        <f t="shared" si="3"/>
        <v>2572.5403910719251</v>
      </c>
      <c r="J65" s="100">
        <f t="shared" si="4"/>
        <v>1767.443609027858</v>
      </c>
      <c r="K65" s="100">
        <f t="shared" si="5"/>
        <v>2073.2113533896772</v>
      </c>
      <c r="L65" s="101">
        <f t="shared" si="6"/>
        <v>9065.8882988397199</v>
      </c>
      <c r="M65" s="100">
        <f t="shared" si="7"/>
        <v>40454.888449963953</v>
      </c>
      <c r="N65" s="102">
        <f t="shared" si="8"/>
        <v>34488.395950523409</v>
      </c>
      <c r="O65" s="94">
        <f t="shared" si="9"/>
        <v>0.93994094209113443</v>
      </c>
      <c r="P65" s="100">
        <f>'Bef.fremskr. kommunenivå MMMM'!H60</f>
        <v>1173</v>
      </c>
      <c r="Q65" s="100"/>
      <c r="R65" s="100">
        <f t="shared" si="12"/>
        <v>0</v>
      </c>
      <c r="S65" s="100">
        <v>0</v>
      </c>
      <c r="U65" s="100">
        <v>0</v>
      </c>
      <c r="V65" s="5">
        <f t="shared" si="13"/>
        <v>31389.000151124234</v>
      </c>
      <c r="W65" s="5">
        <f t="shared" si="14"/>
        <v>26759.590921674539</v>
      </c>
    </row>
    <row r="66" spans="1:23" ht="13">
      <c r="A66" s="92">
        <v>1816</v>
      </c>
      <c r="B66" s="93" t="s">
        <v>630</v>
      </c>
      <c r="C66" s="574">
        <v>0.78543739902989307</v>
      </c>
      <c r="D66" s="100">
        <f t="shared" si="0"/>
        <v>28819.338321221676</v>
      </c>
      <c r="E66" s="100">
        <f t="shared" si="1"/>
        <v>13343.353642725635</v>
      </c>
      <c r="F66" s="100">
        <f t="shared" si="10"/>
        <v>4725.5129800927261</v>
      </c>
      <c r="G66" s="100">
        <f t="shared" si="2"/>
        <v>2187.9125097829324</v>
      </c>
      <c r="H66" s="100">
        <f t="shared" si="11"/>
        <v>1472.2174733059235</v>
      </c>
      <c r="I66" s="100">
        <f t="shared" si="3"/>
        <v>681.6366901406426</v>
      </c>
      <c r="J66" s="100">
        <f t="shared" si="4"/>
        <v>1046.5320191863602</v>
      </c>
      <c r="K66" s="100">
        <f t="shared" si="5"/>
        <v>484.54432488328479</v>
      </c>
      <c r="L66" s="101">
        <f t="shared" si="6"/>
        <v>2672.4568346662172</v>
      </c>
      <c r="M66" s="100">
        <f t="shared" si="7"/>
        <v>16015.810477391853</v>
      </c>
      <c r="N66" s="102">
        <f t="shared" si="8"/>
        <v>34591.383320500761</v>
      </c>
      <c r="O66" s="94">
        <f t="shared" si="9"/>
        <v>0.94274774254943561</v>
      </c>
      <c r="P66" s="100">
        <f>'Bef.fremskr. kommunenivå MMMM'!H61</f>
        <v>463</v>
      </c>
      <c r="Q66" s="100"/>
      <c r="R66" s="100">
        <f t="shared" si="12"/>
        <v>0</v>
      </c>
      <c r="S66" s="100">
        <v>0</v>
      </c>
      <c r="U66" s="100">
        <v>0</v>
      </c>
      <c r="V66" s="5">
        <f t="shared" si="13"/>
        <v>13343.353642725635</v>
      </c>
      <c r="W66" s="5">
        <f t="shared" si="14"/>
        <v>28819.338321221676</v>
      </c>
    </row>
    <row r="67" spans="1:23" ht="13">
      <c r="A67" s="92">
        <v>1818</v>
      </c>
      <c r="B67" s="93" t="s">
        <v>573</v>
      </c>
      <c r="C67" s="574">
        <v>0.90135380745068194</v>
      </c>
      <c r="D67" s="100">
        <f t="shared" si="0"/>
        <v>33072.553402889163</v>
      </c>
      <c r="E67" s="100">
        <f t="shared" si="1"/>
        <v>61415.731669165179</v>
      </c>
      <c r="F67" s="100">
        <f t="shared" si="10"/>
        <v>2173.5839310922338</v>
      </c>
      <c r="G67" s="100">
        <f t="shared" si="2"/>
        <v>4036.3453600382782</v>
      </c>
      <c r="H67" s="100">
        <f t="shared" si="11"/>
        <v>0</v>
      </c>
      <c r="I67" s="100">
        <f t="shared" si="3"/>
        <v>0</v>
      </c>
      <c r="J67" s="100">
        <f t="shared" si="4"/>
        <v>-425.68545411956319</v>
      </c>
      <c r="K67" s="100">
        <f t="shared" si="5"/>
        <v>-790.49788830002888</v>
      </c>
      <c r="L67" s="101">
        <f t="shared" si="6"/>
        <v>3245.8474717382492</v>
      </c>
      <c r="M67" s="100">
        <f t="shared" si="7"/>
        <v>64661.579140903428</v>
      </c>
      <c r="N67" s="102">
        <f t="shared" si="8"/>
        <v>34820.451879861837</v>
      </c>
      <c r="O67" s="94">
        <f t="shared" si="9"/>
        <v>0.94899073853562732</v>
      </c>
      <c r="P67" s="100">
        <f>'Bef.fremskr. kommunenivå MMMM'!H62</f>
        <v>1857</v>
      </c>
      <c r="Q67" s="100"/>
      <c r="R67" s="100">
        <f t="shared" si="12"/>
        <v>0</v>
      </c>
      <c r="S67" s="100">
        <v>0</v>
      </c>
      <c r="U67" s="100">
        <v>0</v>
      </c>
      <c r="V67" s="5">
        <f t="shared" si="13"/>
        <v>61415.731669165179</v>
      </c>
      <c r="W67" s="5">
        <f t="shared" si="14"/>
        <v>33072.553402889163</v>
      </c>
    </row>
    <row r="68" spans="1:23" ht="13">
      <c r="A68" s="92">
        <v>1820</v>
      </c>
      <c r="B68" s="93" t="s">
        <v>631</v>
      </c>
      <c r="C68" s="574">
        <v>0.8168996768522262</v>
      </c>
      <c r="D68" s="100">
        <f t="shared" si="0"/>
        <v>29973.754994069182</v>
      </c>
      <c r="E68" s="100">
        <f t="shared" si="1"/>
        <v>220097.28292145001</v>
      </c>
      <c r="F68" s="100">
        <f t="shared" si="10"/>
        <v>4032.8629763842223</v>
      </c>
      <c r="G68" s="100">
        <f t="shared" si="2"/>
        <v>29613.312835589346</v>
      </c>
      <c r="H68" s="100">
        <f t="shared" si="11"/>
        <v>1068.1716378092963</v>
      </c>
      <c r="I68" s="100">
        <f t="shared" si="3"/>
        <v>7843.5843364336624</v>
      </c>
      <c r="J68" s="100">
        <f t="shared" si="4"/>
        <v>642.48618368973302</v>
      </c>
      <c r="K68" s="100">
        <f t="shared" si="5"/>
        <v>4717.7760468337101</v>
      </c>
      <c r="L68" s="101">
        <f t="shared" si="6"/>
        <v>34331.088882423057</v>
      </c>
      <c r="M68" s="100">
        <f t="shared" si="7"/>
        <v>254428.37180387307</v>
      </c>
      <c r="N68" s="102">
        <f t="shared" si="8"/>
        <v>34649.10415414314</v>
      </c>
      <c r="O68" s="94">
        <f t="shared" si="9"/>
        <v>0.94432085644055241</v>
      </c>
      <c r="P68" s="100">
        <f>'Bef.fremskr. kommunenivå MMMM'!H63</f>
        <v>7343</v>
      </c>
      <c r="Q68" s="100"/>
      <c r="R68" s="100">
        <f t="shared" si="12"/>
        <v>0</v>
      </c>
      <c r="S68" s="100">
        <v>0</v>
      </c>
      <c r="U68" s="100">
        <v>0</v>
      </c>
      <c r="V68" s="5">
        <f t="shared" si="13"/>
        <v>220097.28292145001</v>
      </c>
      <c r="W68" s="5">
        <f t="shared" si="14"/>
        <v>29973.754994069182</v>
      </c>
    </row>
    <row r="69" spans="1:23" ht="13">
      <c r="A69" s="92">
        <v>1822</v>
      </c>
      <c r="B69" s="93" t="s">
        <v>632</v>
      </c>
      <c r="C69" s="574">
        <v>0.68400789330658562</v>
      </c>
      <c r="D69" s="100">
        <f t="shared" si="0"/>
        <v>25097.677951083078</v>
      </c>
      <c r="E69" s="100">
        <f t="shared" si="1"/>
        <v>56871.338237154254</v>
      </c>
      <c r="F69" s="100">
        <f t="shared" si="10"/>
        <v>6958.5092021758846</v>
      </c>
      <c r="G69" s="100">
        <f t="shared" si="2"/>
        <v>15767.981852130555</v>
      </c>
      <c r="H69" s="100">
        <f t="shared" si="11"/>
        <v>2774.7986028544324</v>
      </c>
      <c r="I69" s="100">
        <f t="shared" si="3"/>
        <v>6287.6936340681432</v>
      </c>
      <c r="J69" s="100">
        <f t="shared" si="4"/>
        <v>2349.1131487348694</v>
      </c>
      <c r="K69" s="100">
        <f t="shared" si="5"/>
        <v>5323.090395033214</v>
      </c>
      <c r="L69" s="101">
        <f t="shared" si="6"/>
        <v>21091.072247163771</v>
      </c>
      <c r="M69" s="100">
        <f t="shared" si="7"/>
        <v>77962.410484318025</v>
      </c>
      <c r="N69" s="102">
        <f t="shared" si="8"/>
        <v>34405.300301993833</v>
      </c>
      <c r="O69" s="94">
        <f t="shared" si="9"/>
        <v>0.93767626726327025</v>
      </c>
      <c r="P69" s="100">
        <f>'Bef.fremskr. kommunenivå MMMM'!H64</f>
        <v>2266</v>
      </c>
      <c r="Q69" s="100"/>
      <c r="R69" s="100">
        <f t="shared" si="12"/>
        <v>0</v>
      </c>
      <c r="S69" s="100">
        <v>0</v>
      </c>
      <c r="U69" s="100">
        <v>0</v>
      </c>
      <c r="V69" s="5">
        <f t="shared" si="13"/>
        <v>56871.338237154254</v>
      </c>
      <c r="W69" s="5">
        <f t="shared" si="14"/>
        <v>25097.677951083078</v>
      </c>
    </row>
    <row r="70" spans="1:23" ht="13">
      <c r="A70" s="92">
        <v>1824</v>
      </c>
      <c r="B70" s="93" t="s">
        <v>633</v>
      </c>
      <c r="C70" s="574">
        <v>0.82559635048780589</v>
      </c>
      <c r="D70" s="100">
        <f t="shared" si="0"/>
        <v>30292.854110157339</v>
      </c>
      <c r="E70" s="100">
        <f t="shared" si="1"/>
        <v>399986.84567051748</v>
      </c>
      <c r="F70" s="100">
        <f t="shared" si="10"/>
        <v>3841.4035067313284</v>
      </c>
      <c r="G70" s="100">
        <f t="shared" si="2"/>
        <v>50721.891902880459</v>
      </c>
      <c r="H70" s="100">
        <f t="shared" si="11"/>
        <v>956.48694717844126</v>
      </c>
      <c r="I70" s="100">
        <f t="shared" si="3"/>
        <v>12629.453650544139</v>
      </c>
      <c r="J70" s="100">
        <f t="shared" si="4"/>
        <v>530.80149305887812</v>
      </c>
      <c r="K70" s="100">
        <f t="shared" si="5"/>
        <v>7008.7029143494265</v>
      </c>
      <c r="L70" s="101">
        <f t="shared" si="6"/>
        <v>57730.594817229889</v>
      </c>
      <c r="M70" s="100">
        <f t="shared" si="7"/>
        <v>457717.44048774737</v>
      </c>
      <c r="N70" s="102">
        <f t="shared" si="8"/>
        <v>34665.059109947542</v>
      </c>
      <c r="O70" s="94">
        <f t="shared" si="9"/>
        <v>0.94475569012233118</v>
      </c>
      <c r="P70" s="100">
        <f>'Bef.fremskr. kommunenivå MMMM'!H65</f>
        <v>13204</v>
      </c>
      <c r="Q70" s="100"/>
      <c r="R70" s="100">
        <f t="shared" si="12"/>
        <v>0</v>
      </c>
      <c r="S70" s="100">
        <v>0</v>
      </c>
      <c r="U70" s="100">
        <v>3551.6190000000001</v>
      </c>
      <c r="V70" s="5">
        <f t="shared" si="13"/>
        <v>396435.22667051747</v>
      </c>
      <c r="W70" s="5">
        <f t="shared" si="14"/>
        <v>30023.873573956182</v>
      </c>
    </row>
    <row r="71" spans="1:23" ht="13">
      <c r="A71" s="92">
        <v>1825</v>
      </c>
      <c r="B71" s="93" t="s">
        <v>634</v>
      </c>
      <c r="C71" s="574">
        <v>0.7404625125904768</v>
      </c>
      <c r="D71" s="100">
        <f t="shared" si="0"/>
        <v>27169.115821176536</v>
      </c>
      <c r="E71" s="100">
        <f t="shared" si="1"/>
        <v>39476.725288169502</v>
      </c>
      <c r="F71" s="100">
        <f t="shared" si="10"/>
        <v>5715.6464801198099</v>
      </c>
      <c r="G71" s="100">
        <f t="shared" si="2"/>
        <v>8304.8343356140831</v>
      </c>
      <c r="H71" s="100">
        <f t="shared" si="11"/>
        <v>2049.7953483217225</v>
      </c>
      <c r="I71" s="100">
        <f t="shared" si="3"/>
        <v>2978.3526411114626</v>
      </c>
      <c r="J71" s="100">
        <f t="shared" si="4"/>
        <v>1624.1098942021592</v>
      </c>
      <c r="K71" s="100">
        <f t="shared" si="5"/>
        <v>2359.8316762757377</v>
      </c>
      <c r="L71" s="101">
        <f t="shared" si="6"/>
        <v>10664.666011889822</v>
      </c>
      <c r="M71" s="100">
        <f t="shared" si="7"/>
        <v>50141.391300059324</v>
      </c>
      <c r="N71" s="102">
        <f t="shared" si="8"/>
        <v>34508.872195498501</v>
      </c>
      <c r="O71" s="94">
        <f t="shared" si="9"/>
        <v>0.94049899822746474</v>
      </c>
      <c r="P71" s="100">
        <f>'Bef.fremskr. kommunenivå MMMM'!H66</f>
        <v>1453</v>
      </c>
      <c r="Q71" s="100"/>
      <c r="R71" s="100">
        <f t="shared" si="12"/>
        <v>0</v>
      </c>
      <c r="S71" s="100">
        <v>0</v>
      </c>
      <c r="U71" s="100">
        <v>2499.3850000000002</v>
      </c>
      <c r="V71" s="5">
        <f t="shared" si="13"/>
        <v>36977.3402881695</v>
      </c>
      <c r="W71" s="5">
        <f t="shared" si="14"/>
        <v>25448.96096914625</v>
      </c>
    </row>
    <row r="72" spans="1:23" ht="13">
      <c r="A72" s="92">
        <v>1826</v>
      </c>
      <c r="B72" s="93" t="s">
        <v>635</v>
      </c>
      <c r="C72" s="574">
        <v>0.6937213387391139</v>
      </c>
      <c r="D72" s="100">
        <f t="shared" si="0"/>
        <v>25454.084547624716</v>
      </c>
      <c r="E72" s="100">
        <f t="shared" si="1"/>
        <v>32377.595544578639</v>
      </c>
      <c r="F72" s="100">
        <f t="shared" si="10"/>
        <v>6744.6652442509021</v>
      </c>
      <c r="G72" s="100">
        <f t="shared" si="2"/>
        <v>8579.2141906871475</v>
      </c>
      <c r="H72" s="100">
        <f t="shared" si="11"/>
        <v>2650.0562940648592</v>
      </c>
      <c r="I72" s="100">
        <f t="shared" si="3"/>
        <v>3370.8716060505012</v>
      </c>
      <c r="J72" s="100">
        <f t="shared" si="4"/>
        <v>2224.3708399452962</v>
      </c>
      <c r="K72" s="100">
        <f t="shared" si="5"/>
        <v>2829.3997084104167</v>
      </c>
      <c r="L72" s="101">
        <f t="shared" si="6"/>
        <v>11408.613899097563</v>
      </c>
      <c r="M72" s="100">
        <f t="shared" si="7"/>
        <v>43786.209443676205</v>
      </c>
      <c r="N72" s="102">
        <f t="shared" si="8"/>
        <v>34423.120631820915</v>
      </c>
      <c r="O72" s="94">
        <f t="shared" si="9"/>
        <v>0.93816193953489668</v>
      </c>
      <c r="P72" s="100">
        <f>'Bef.fremskr. kommunenivå MMMM'!H67</f>
        <v>1272</v>
      </c>
      <c r="Q72" s="100"/>
      <c r="R72" s="100">
        <f t="shared" si="12"/>
        <v>0</v>
      </c>
      <c r="S72" s="100">
        <v>0</v>
      </c>
      <c r="U72" s="100">
        <v>2736.6839999999997</v>
      </c>
      <c r="V72" s="5">
        <f t="shared" si="13"/>
        <v>29640.911544578637</v>
      </c>
      <c r="W72" s="5">
        <f t="shared" si="14"/>
        <v>23302.603415549245</v>
      </c>
    </row>
    <row r="73" spans="1:23" ht="13">
      <c r="A73" s="92">
        <v>1827</v>
      </c>
      <c r="B73" s="93" t="s">
        <v>636</v>
      </c>
      <c r="C73" s="574">
        <v>0.91312334159891029</v>
      </c>
      <c r="D73" s="100">
        <f t="shared" si="0"/>
        <v>33504.402187935433</v>
      </c>
      <c r="E73" s="100">
        <f t="shared" si="1"/>
        <v>45901.030997471542</v>
      </c>
      <c r="F73" s="100">
        <f t="shared" si="10"/>
        <v>1914.4746600644721</v>
      </c>
      <c r="G73" s="100">
        <f t="shared" si="2"/>
        <v>2622.8302842883268</v>
      </c>
      <c r="H73" s="100">
        <f t="shared" si="11"/>
        <v>0</v>
      </c>
      <c r="I73" s="100">
        <f t="shared" si="3"/>
        <v>0</v>
      </c>
      <c r="J73" s="100">
        <f t="shared" si="4"/>
        <v>-425.68545411956319</v>
      </c>
      <c r="K73" s="100">
        <f t="shared" si="5"/>
        <v>-583.18907214380158</v>
      </c>
      <c r="L73" s="101">
        <f t="shared" si="6"/>
        <v>2039.6412121445251</v>
      </c>
      <c r="M73" s="100">
        <f t="shared" si="7"/>
        <v>47940.672209616067</v>
      </c>
      <c r="N73" s="102">
        <f t="shared" si="8"/>
        <v>34993.191393880341</v>
      </c>
      <c r="O73" s="94">
        <f t="shared" si="9"/>
        <v>0.9536985521949185</v>
      </c>
      <c r="P73" s="100">
        <f>'Bef.fremskr. kommunenivå MMMM'!H68</f>
        <v>1370</v>
      </c>
      <c r="Q73" s="100"/>
      <c r="R73" s="100">
        <f t="shared" si="12"/>
        <v>0</v>
      </c>
      <c r="S73" s="100">
        <v>0</v>
      </c>
      <c r="U73" s="100">
        <v>0</v>
      </c>
      <c r="V73" s="5">
        <f t="shared" si="13"/>
        <v>45901.030997471542</v>
      </c>
      <c r="W73" s="5">
        <f t="shared" si="14"/>
        <v>33504.402187935433</v>
      </c>
    </row>
    <row r="74" spans="1:23" ht="13">
      <c r="A74" s="92">
        <v>1828</v>
      </c>
      <c r="B74" s="93" t="s">
        <v>637</v>
      </c>
      <c r="C74" s="574">
        <v>0.76052259751315088</v>
      </c>
      <c r="D74" s="100">
        <f t="shared" ref="D74:D137" si="15">C74*D$367</f>
        <v>27905.162226469976</v>
      </c>
      <c r="E74" s="100">
        <f t="shared" ref="E74:E137" si="16">D74*P74/1000</f>
        <v>48303.835814019534</v>
      </c>
      <c r="F74" s="100">
        <f t="shared" si="10"/>
        <v>5274.0186369437461</v>
      </c>
      <c r="G74" s="100">
        <f t="shared" ref="G74:G137" si="17">F74*P74/1000</f>
        <v>9129.3262605496238</v>
      </c>
      <c r="H74" s="100">
        <f t="shared" si="11"/>
        <v>1792.1791064690183</v>
      </c>
      <c r="I74" s="100">
        <f t="shared" ref="I74:I137" si="18">H74*P74/1000</f>
        <v>3102.2620332978709</v>
      </c>
      <c r="J74" s="100">
        <f t="shared" ref="J74:J137" si="19">H74+H$370</f>
        <v>1366.493652349455</v>
      </c>
      <c r="K74" s="100">
        <f t="shared" ref="K74:K137" si="20">J74*P74/1000</f>
        <v>2365.4005122169065</v>
      </c>
      <c r="L74" s="101">
        <f t="shared" ref="L74:L137" si="21">K74+G74</f>
        <v>11494.726772766531</v>
      </c>
      <c r="M74" s="100">
        <f t="shared" ref="M74:M137" si="22">K74+E74+G74</f>
        <v>59798.562586786065</v>
      </c>
      <c r="N74" s="102">
        <f t="shared" ref="N74:N137" si="23">M74*1000/P74</f>
        <v>34545.674515763181</v>
      </c>
      <c r="O74" s="94">
        <f t="shared" ref="O74:O137" si="24">N74/N$367</f>
        <v>0.94150200247359861</v>
      </c>
      <c r="P74" s="100">
        <f>'Bef.fremskr. kommunenivå MMMM'!H69</f>
        <v>1731</v>
      </c>
      <c r="Q74" s="100"/>
      <c r="R74" s="100">
        <f t="shared" si="12"/>
        <v>0</v>
      </c>
      <c r="S74" s="100">
        <v>0</v>
      </c>
      <c r="U74" s="100">
        <v>0</v>
      </c>
      <c r="V74" s="5">
        <f t="shared" si="13"/>
        <v>48303.835814019534</v>
      </c>
      <c r="W74" s="5">
        <f t="shared" si="14"/>
        <v>27905.162226469976</v>
      </c>
    </row>
    <row r="75" spans="1:23" ht="13">
      <c r="A75" s="92">
        <v>1832</v>
      </c>
      <c r="B75" s="93" t="s">
        <v>638</v>
      </c>
      <c r="C75" s="574">
        <v>0.89565925305738181</v>
      </c>
      <c r="D75" s="100">
        <f t="shared" si="15"/>
        <v>32863.608310827316</v>
      </c>
      <c r="E75" s="100">
        <f t="shared" si="16"/>
        <v>145191.42151723508</v>
      </c>
      <c r="F75" s="100">
        <f t="shared" ref="F75:F138" si="25">($D$367+$R$367-D75-R75)*0.6</f>
        <v>2298.9509863293424</v>
      </c>
      <c r="G75" s="100">
        <f t="shared" si="17"/>
        <v>10156.765457603036</v>
      </c>
      <c r="H75" s="100">
        <f t="shared" ref="H75:H138" si="26">IF((D75+R75)&lt;(D$367+R$367)*0.9,((D$367+R$367)*0.9-(D75+R75))*0.35,0)</f>
        <v>56.722976943949469</v>
      </c>
      <c r="I75" s="100">
        <f t="shared" si="18"/>
        <v>250.60211213836874</v>
      </c>
      <c r="J75" s="100">
        <f t="shared" si="19"/>
        <v>-368.96247717561374</v>
      </c>
      <c r="K75" s="100">
        <f t="shared" si="20"/>
        <v>-1630.0762241618615</v>
      </c>
      <c r="L75" s="101">
        <f t="shared" si="21"/>
        <v>8526.689233441175</v>
      </c>
      <c r="M75" s="100">
        <f t="shared" si="22"/>
        <v>153718.11075067625</v>
      </c>
      <c r="N75" s="102">
        <f t="shared" si="23"/>
        <v>34793.596819981045</v>
      </c>
      <c r="O75" s="94">
        <f t="shared" si="24"/>
        <v>0.94825883525081012</v>
      </c>
      <c r="P75" s="100">
        <f>'Bef.fremskr. kommunenivå MMMM'!H70</f>
        <v>4418</v>
      </c>
      <c r="Q75" s="100"/>
      <c r="R75" s="100">
        <f t="shared" ref="R75:R138" si="27">S75*1000/P75</f>
        <v>0</v>
      </c>
      <c r="S75" s="100">
        <v>0</v>
      </c>
      <c r="U75" s="100">
        <v>33142.554333333333</v>
      </c>
      <c r="V75" s="5">
        <f t="shared" ref="V75:V138" si="28">+E75-U75</f>
        <v>112048.86718390175</v>
      </c>
      <c r="W75" s="5">
        <f t="shared" ref="W75:W138" si="29">+V75*1000/P75</f>
        <v>25361.898411928869</v>
      </c>
    </row>
    <row r="76" spans="1:23" ht="13">
      <c r="A76" s="92">
        <v>1833</v>
      </c>
      <c r="B76" s="93" t="s">
        <v>639</v>
      </c>
      <c r="C76" s="574">
        <v>0.85496254255142423</v>
      </c>
      <c r="D76" s="100">
        <f t="shared" si="15"/>
        <v>31370.361019470147</v>
      </c>
      <c r="E76" s="100">
        <f t="shared" si="16"/>
        <v>816758.71950292483</v>
      </c>
      <c r="F76" s="100">
        <f t="shared" si="25"/>
        <v>3194.899361143644</v>
      </c>
      <c r="G76" s="100">
        <f t="shared" si="17"/>
        <v>83182.399766735907</v>
      </c>
      <c r="H76" s="100">
        <f t="shared" si="26"/>
        <v>579.35952891895863</v>
      </c>
      <c r="I76" s="100">
        <f t="shared" si="18"/>
        <v>15084.204694934007</v>
      </c>
      <c r="J76" s="100">
        <f t="shared" si="19"/>
        <v>153.67407479939544</v>
      </c>
      <c r="K76" s="100">
        <f t="shared" si="20"/>
        <v>4001.05821147706</v>
      </c>
      <c r="L76" s="101">
        <f t="shared" si="21"/>
        <v>87183.457978212973</v>
      </c>
      <c r="M76" s="100">
        <f t="shared" si="22"/>
        <v>903942.17748113768</v>
      </c>
      <c r="N76" s="102">
        <f t="shared" si="23"/>
        <v>34718.934455413182</v>
      </c>
      <c r="O76" s="94">
        <f t="shared" si="24"/>
        <v>0.94622399972551208</v>
      </c>
      <c r="P76" s="100">
        <f>'Bef.fremskr. kommunenivå MMMM'!H71</f>
        <v>26036</v>
      </c>
      <c r="Q76" s="100"/>
      <c r="R76" s="100">
        <f t="shared" si="27"/>
        <v>0</v>
      </c>
      <c r="S76" s="100">
        <v>0</v>
      </c>
      <c r="U76" s="100">
        <v>29504.423666666669</v>
      </c>
      <c r="V76" s="5">
        <f t="shared" si="28"/>
        <v>787254.29583625821</v>
      </c>
      <c r="W76" s="5">
        <f t="shared" si="29"/>
        <v>30237.144562769172</v>
      </c>
    </row>
    <row r="77" spans="1:23" ht="13">
      <c r="A77" s="92">
        <v>1834</v>
      </c>
      <c r="B77" s="93" t="s">
        <v>640</v>
      </c>
      <c r="C77" s="574">
        <v>1.3410131283146955</v>
      </c>
      <c r="D77" s="100">
        <f t="shared" si="15"/>
        <v>49204.571982228961</v>
      </c>
      <c r="E77" s="100">
        <f t="shared" si="16"/>
        <v>93095.050190377195</v>
      </c>
      <c r="F77" s="100">
        <f t="shared" si="25"/>
        <v>-7505.6272165116443</v>
      </c>
      <c r="G77" s="100">
        <f t="shared" si="17"/>
        <v>-14200.64669364003</v>
      </c>
      <c r="H77" s="100">
        <f t="shared" si="26"/>
        <v>0</v>
      </c>
      <c r="I77" s="100">
        <f t="shared" si="18"/>
        <v>0</v>
      </c>
      <c r="J77" s="100">
        <f t="shared" si="19"/>
        <v>-425.68545411956319</v>
      </c>
      <c r="K77" s="100">
        <f t="shared" si="20"/>
        <v>-805.39687919421351</v>
      </c>
      <c r="L77" s="101">
        <f t="shared" si="21"/>
        <v>-15006.043572834244</v>
      </c>
      <c r="M77" s="100">
        <f t="shared" si="22"/>
        <v>78089.006617542953</v>
      </c>
      <c r="N77" s="102">
        <f t="shared" si="23"/>
        <v>41273.259311597758</v>
      </c>
      <c r="O77" s="94">
        <f t="shared" si="24"/>
        <v>1.124854466881233</v>
      </c>
      <c r="P77" s="100">
        <f>'Bef.fremskr. kommunenivå MMMM'!H72</f>
        <v>1892</v>
      </c>
      <c r="Q77" s="100"/>
      <c r="R77" s="100">
        <f t="shared" si="27"/>
        <v>0</v>
      </c>
      <c r="S77" s="100">
        <v>0</v>
      </c>
      <c r="U77" s="100">
        <v>0</v>
      </c>
      <c r="V77" s="5">
        <f t="shared" si="28"/>
        <v>93095.050190377195</v>
      </c>
      <c r="W77" s="5">
        <f t="shared" si="29"/>
        <v>49204.571982228961</v>
      </c>
    </row>
    <row r="78" spans="1:23" ht="13">
      <c r="A78" s="92">
        <v>1835</v>
      </c>
      <c r="B78" s="93" t="s">
        <v>641</v>
      </c>
      <c r="C78" s="574">
        <v>0.97277232740223307</v>
      </c>
      <c r="D78" s="100">
        <f t="shared" si="15"/>
        <v>35693.048036104781</v>
      </c>
      <c r="E78" s="100">
        <f t="shared" si="16"/>
        <v>16811.425625005355</v>
      </c>
      <c r="F78" s="100">
        <f t="shared" si="25"/>
        <v>601.28715116286332</v>
      </c>
      <c r="G78" s="100">
        <f t="shared" si="17"/>
        <v>283.20624819770865</v>
      </c>
      <c r="H78" s="100">
        <f t="shared" si="26"/>
        <v>0</v>
      </c>
      <c r="I78" s="100">
        <f t="shared" si="18"/>
        <v>0</v>
      </c>
      <c r="J78" s="100">
        <f t="shared" si="19"/>
        <v>-425.68545411956319</v>
      </c>
      <c r="K78" s="100">
        <f t="shared" si="20"/>
        <v>-200.49784889031426</v>
      </c>
      <c r="L78" s="101">
        <f t="shared" si="21"/>
        <v>82.708399307394387</v>
      </c>
      <c r="M78" s="100">
        <f t="shared" si="22"/>
        <v>16894.134024312749</v>
      </c>
      <c r="N78" s="102">
        <f t="shared" si="23"/>
        <v>35868.649733148086</v>
      </c>
      <c r="O78" s="94">
        <f t="shared" si="24"/>
        <v>0.97755814651624784</v>
      </c>
      <c r="P78" s="100">
        <f>'Bef.fremskr. kommunenivå MMMM'!H73</f>
        <v>471</v>
      </c>
      <c r="Q78" s="100"/>
      <c r="R78" s="100">
        <f t="shared" si="27"/>
        <v>0</v>
      </c>
      <c r="S78" s="100">
        <v>0</v>
      </c>
      <c r="U78" s="100">
        <v>0</v>
      </c>
      <c r="V78" s="5">
        <f t="shared" si="28"/>
        <v>16811.425625005355</v>
      </c>
      <c r="W78" s="5">
        <f t="shared" si="29"/>
        <v>35693.048036104781</v>
      </c>
    </row>
    <row r="79" spans="1:23" ht="13">
      <c r="A79" s="92">
        <v>1836</v>
      </c>
      <c r="B79" s="93" t="s">
        <v>642</v>
      </c>
      <c r="C79" s="574">
        <v>0.79713705032927806</v>
      </c>
      <c r="D79" s="100">
        <f t="shared" si="15"/>
        <v>29248.622958614484</v>
      </c>
      <c r="E79" s="100">
        <f t="shared" si="16"/>
        <v>33167.938435068827</v>
      </c>
      <c r="F79" s="100">
        <f t="shared" si="25"/>
        <v>4467.942197657042</v>
      </c>
      <c r="G79" s="100">
        <f t="shared" si="17"/>
        <v>5066.6464521430853</v>
      </c>
      <c r="H79" s="100">
        <f t="shared" si="26"/>
        <v>1321.9678502184406</v>
      </c>
      <c r="I79" s="100">
        <f t="shared" si="18"/>
        <v>1499.1115421477116</v>
      </c>
      <c r="J79" s="100">
        <f t="shared" si="19"/>
        <v>896.28239609887737</v>
      </c>
      <c r="K79" s="100">
        <f t="shared" si="20"/>
        <v>1016.3842371761269</v>
      </c>
      <c r="L79" s="101">
        <f t="shared" si="21"/>
        <v>6083.0306893192119</v>
      </c>
      <c r="M79" s="100">
        <f t="shared" si="22"/>
        <v>39250.969124388037</v>
      </c>
      <c r="N79" s="102">
        <f t="shared" si="23"/>
        <v>34612.847552370404</v>
      </c>
      <c r="O79" s="94">
        <f t="shared" si="24"/>
        <v>0.94333272511440491</v>
      </c>
      <c r="P79" s="100">
        <f>'Bef.fremskr. kommunenivå MMMM'!H74</f>
        <v>1134</v>
      </c>
      <c r="Q79" s="100"/>
      <c r="R79" s="100">
        <f t="shared" si="27"/>
        <v>0</v>
      </c>
      <c r="S79" s="100">
        <v>0</v>
      </c>
      <c r="U79" s="100">
        <v>1077.7576666666666</v>
      </c>
      <c r="V79" s="5">
        <f t="shared" si="28"/>
        <v>32090.180768402159</v>
      </c>
      <c r="W79" s="5">
        <f t="shared" si="29"/>
        <v>28298.219372488678</v>
      </c>
    </row>
    <row r="80" spans="1:23" ht="13">
      <c r="A80" s="92">
        <v>1837</v>
      </c>
      <c r="B80" s="93" t="s">
        <v>643</v>
      </c>
      <c r="C80" s="574">
        <v>0.90343282945239667</v>
      </c>
      <c r="D80" s="100">
        <f t="shared" si="15"/>
        <v>33148.837061546976</v>
      </c>
      <c r="E80" s="100">
        <f t="shared" si="16"/>
        <v>204031.09211382162</v>
      </c>
      <c r="F80" s="100">
        <f t="shared" si="25"/>
        <v>2127.8137358975464</v>
      </c>
      <c r="G80" s="100">
        <f t="shared" si="17"/>
        <v>13096.693544449397</v>
      </c>
      <c r="H80" s="100">
        <f t="shared" si="26"/>
        <v>0</v>
      </c>
      <c r="I80" s="100">
        <f t="shared" si="18"/>
        <v>0</v>
      </c>
      <c r="J80" s="100">
        <f t="shared" si="19"/>
        <v>-425.68545411956319</v>
      </c>
      <c r="K80" s="100">
        <f t="shared" si="20"/>
        <v>-2620.0939701059115</v>
      </c>
      <c r="L80" s="101">
        <f t="shared" si="21"/>
        <v>10476.599574343487</v>
      </c>
      <c r="M80" s="100">
        <f t="shared" si="22"/>
        <v>214507.6916881651</v>
      </c>
      <c r="N80" s="102">
        <f t="shared" si="23"/>
        <v>34850.965343324955</v>
      </c>
      <c r="O80" s="94">
        <f t="shared" si="24"/>
        <v>0.94982234733631299</v>
      </c>
      <c r="P80" s="100">
        <f>'Bef.fremskr. kommunenivå MMMM'!H75</f>
        <v>6155</v>
      </c>
      <c r="Q80" s="100"/>
      <c r="R80" s="100">
        <f t="shared" si="27"/>
        <v>0</v>
      </c>
      <c r="S80" s="100">
        <v>0</v>
      </c>
      <c r="U80" s="100">
        <v>20925.335000000003</v>
      </c>
      <c r="V80" s="5">
        <f t="shared" si="28"/>
        <v>183105.75711382163</v>
      </c>
      <c r="W80" s="5">
        <f t="shared" si="29"/>
        <v>29749.107573326015</v>
      </c>
    </row>
    <row r="81" spans="1:23" ht="13">
      <c r="A81" s="92">
        <v>1838</v>
      </c>
      <c r="B81" s="93" t="s">
        <v>644</v>
      </c>
      <c r="C81" s="574">
        <v>0.85913856757960927</v>
      </c>
      <c r="D81" s="100">
        <f t="shared" si="15"/>
        <v>31523.588098132052</v>
      </c>
      <c r="E81" s="100">
        <f t="shared" si="16"/>
        <v>60430.718384119144</v>
      </c>
      <c r="F81" s="100">
        <f t="shared" si="25"/>
        <v>3102.9631139465009</v>
      </c>
      <c r="G81" s="100">
        <f t="shared" si="17"/>
        <v>5948.3802894354421</v>
      </c>
      <c r="H81" s="100">
        <f t="shared" si="26"/>
        <v>525.73005138729206</v>
      </c>
      <c r="I81" s="100">
        <f t="shared" si="18"/>
        <v>1007.8245085094388</v>
      </c>
      <c r="J81" s="100">
        <f t="shared" si="19"/>
        <v>100.04459726772888</v>
      </c>
      <c r="K81" s="100">
        <f t="shared" si="20"/>
        <v>191.78549296223625</v>
      </c>
      <c r="L81" s="101">
        <f t="shared" si="21"/>
        <v>6140.1657823976784</v>
      </c>
      <c r="M81" s="100">
        <f t="shared" si="22"/>
        <v>66570.884166516815</v>
      </c>
      <c r="N81" s="102">
        <f t="shared" si="23"/>
        <v>34726.595809346283</v>
      </c>
      <c r="O81" s="94">
        <f t="shared" si="24"/>
        <v>0.94643280097692151</v>
      </c>
      <c r="P81" s="100">
        <f>'Bef.fremskr. kommunenivå MMMM'!H76</f>
        <v>1917</v>
      </c>
      <c r="Q81" s="100"/>
      <c r="R81" s="100">
        <f t="shared" si="27"/>
        <v>0</v>
      </c>
      <c r="S81" s="100">
        <v>0</v>
      </c>
      <c r="U81" s="100">
        <v>3557.0426666666667</v>
      </c>
      <c r="V81" s="5">
        <f t="shared" si="28"/>
        <v>56873.675717452476</v>
      </c>
      <c r="W81" s="5">
        <f t="shared" si="29"/>
        <v>29668.062450418609</v>
      </c>
    </row>
    <row r="82" spans="1:23" ht="13">
      <c r="A82" s="92">
        <v>1839</v>
      </c>
      <c r="B82" s="93" t="s">
        <v>645</v>
      </c>
      <c r="C82" s="574">
        <v>0.82631895983657366</v>
      </c>
      <c r="D82" s="100">
        <f t="shared" si="15"/>
        <v>30319.368156116874</v>
      </c>
      <c r="E82" s="100">
        <f t="shared" si="16"/>
        <v>30925.755519239214</v>
      </c>
      <c r="F82" s="100">
        <f t="shared" si="25"/>
        <v>3825.4950791556075</v>
      </c>
      <c r="G82" s="100">
        <f t="shared" si="17"/>
        <v>3902.0049807387195</v>
      </c>
      <c r="H82" s="100">
        <f t="shared" si="26"/>
        <v>947.2070310926041</v>
      </c>
      <c r="I82" s="100">
        <f t="shared" si="18"/>
        <v>966.15117171445615</v>
      </c>
      <c r="J82" s="100">
        <f t="shared" si="19"/>
        <v>521.52157697304096</v>
      </c>
      <c r="K82" s="100">
        <f t="shared" si="20"/>
        <v>531.95200851250183</v>
      </c>
      <c r="L82" s="101">
        <f t="shared" si="21"/>
        <v>4433.9569892512209</v>
      </c>
      <c r="M82" s="100">
        <f t="shared" si="22"/>
        <v>35359.712508490433</v>
      </c>
      <c r="N82" s="102">
        <f t="shared" si="23"/>
        <v>34666.384812245524</v>
      </c>
      <c r="O82" s="94">
        <f t="shared" si="24"/>
        <v>0.94479182058976974</v>
      </c>
      <c r="P82" s="100">
        <f>'Bef.fremskr. kommunenivå MMMM'!H77</f>
        <v>1020</v>
      </c>
      <c r="Q82" s="100"/>
      <c r="R82" s="100">
        <f t="shared" si="27"/>
        <v>0</v>
      </c>
      <c r="S82" s="100">
        <v>0</v>
      </c>
      <c r="U82" s="100">
        <v>6980.3779999999997</v>
      </c>
      <c r="V82" s="5">
        <f t="shared" si="28"/>
        <v>23945.377519239213</v>
      </c>
      <c r="W82" s="5">
        <f t="shared" si="29"/>
        <v>23475.860312979621</v>
      </c>
    </row>
    <row r="83" spans="1:23" ht="13">
      <c r="A83" s="92">
        <v>1840</v>
      </c>
      <c r="B83" s="93" t="s">
        <v>646</v>
      </c>
      <c r="C83" s="574">
        <v>0.75305961618627049</v>
      </c>
      <c r="D83" s="100">
        <f t="shared" si="15"/>
        <v>27631.329857384964</v>
      </c>
      <c r="E83" s="100">
        <f t="shared" si="16"/>
        <v>127159.38000368561</v>
      </c>
      <c r="F83" s="100">
        <f t="shared" si="25"/>
        <v>5438.3180583947533</v>
      </c>
      <c r="G83" s="100">
        <f t="shared" si="17"/>
        <v>25027.139704732654</v>
      </c>
      <c r="H83" s="100">
        <f t="shared" si="26"/>
        <v>1888.0204356487725</v>
      </c>
      <c r="I83" s="100">
        <f t="shared" si="18"/>
        <v>8688.6700448556512</v>
      </c>
      <c r="J83" s="100">
        <f t="shared" si="19"/>
        <v>1462.3349815292092</v>
      </c>
      <c r="K83" s="100">
        <f t="shared" si="20"/>
        <v>6729.6655849974213</v>
      </c>
      <c r="L83" s="101">
        <f t="shared" si="21"/>
        <v>31756.805289730073</v>
      </c>
      <c r="M83" s="100">
        <f t="shared" si="22"/>
        <v>158916.18529341571</v>
      </c>
      <c r="N83" s="102">
        <f t="shared" si="23"/>
        <v>34531.982897308932</v>
      </c>
      <c r="O83" s="94">
        <f t="shared" si="24"/>
        <v>0.94112885340725461</v>
      </c>
      <c r="P83" s="100">
        <f>'Bef.fremskr. kommunenivå MMMM'!H78</f>
        <v>4602</v>
      </c>
      <c r="Q83" s="100"/>
      <c r="R83" s="100">
        <f t="shared" si="27"/>
        <v>0</v>
      </c>
      <c r="S83" s="100">
        <v>0</v>
      </c>
      <c r="U83" s="100">
        <v>648.86866666666674</v>
      </c>
      <c r="V83" s="5">
        <f t="shared" si="28"/>
        <v>126510.51133701895</v>
      </c>
      <c r="W83" s="5">
        <f t="shared" si="29"/>
        <v>27490.332754676001</v>
      </c>
    </row>
    <row r="84" spans="1:23" ht="13">
      <c r="A84" s="92">
        <v>1841</v>
      </c>
      <c r="B84" s="93" t="s">
        <v>647</v>
      </c>
      <c r="C84" s="574">
        <v>0.84923533115718342</v>
      </c>
      <c r="D84" s="100">
        <f t="shared" si="15"/>
        <v>31160.217673849424</v>
      </c>
      <c r="E84" s="100">
        <f t="shared" si="16"/>
        <v>297891.68096200051</v>
      </c>
      <c r="F84" s="100">
        <f t="shared" si="25"/>
        <v>3320.9853685160779</v>
      </c>
      <c r="G84" s="100">
        <f t="shared" si="17"/>
        <v>31748.620123013705</v>
      </c>
      <c r="H84" s="100">
        <f t="shared" si="26"/>
        <v>652.9096998862118</v>
      </c>
      <c r="I84" s="100">
        <f t="shared" si="18"/>
        <v>6241.8167309121845</v>
      </c>
      <c r="J84" s="100">
        <f t="shared" si="19"/>
        <v>227.22424576664861</v>
      </c>
      <c r="K84" s="100">
        <f t="shared" si="20"/>
        <v>2172.2637895291605</v>
      </c>
      <c r="L84" s="101">
        <f t="shared" si="21"/>
        <v>33920.883912542864</v>
      </c>
      <c r="M84" s="100">
        <f t="shared" si="22"/>
        <v>331812.56487454334</v>
      </c>
      <c r="N84" s="102">
        <f t="shared" si="23"/>
        <v>34708.427288132152</v>
      </c>
      <c r="O84" s="94">
        <f t="shared" si="24"/>
        <v>0.9459376391558002</v>
      </c>
      <c r="P84" s="100">
        <f>'Bef.fremskr. kommunenivå MMMM'!H79</f>
        <v>9560</v>
      </c>
      <c r="Q84" s="100"/>
      <c r="R84" s="100">
        <f t="shared" si="27"/>
        <v>0</v>
      </c>
      <c r="S84" s="100">
        <v>0</v>
      </c>
      <c r="U84" s="100">
        <v>12667.063</v>
      </c>
      <c r="V84" s="5">
        <f t="shared" si="28"/>
        <v>285224.61796200048</v>
      </c>
      <c r="W84" s="5">
        <f t="shared" si="29"/>
        <v>29835.211083891263</v>
      </c>
    </row>
    <row r="85" spans="1:23" ht="13">
      <c r="A85" s="92">
        <v>1845</v>
      </c>
      <c r="B85" s="93" t="s">
        <v>648</v>
      </c>
      <c r="C85" s="574">
        <v>0.94585515196155678</v>
      </c>
      <c r="D85" s="100">
        <f t="shared" si="15"/>
        <v>34705.400660725594</v>
      </c>
      <c r="E85" s="100">
        <f t="shared" si="16"/>
        <v>64690.86683159251</v>
      </c>
      <c r="F85" s="100">
        <f t="shared" si="25"/>
        <v>1193.8755763903755</v>
      </c>
      <c r="G85" s="100">
        <f t="shared" si="17"/>
        <v>2225.3840743916599</v>
      </c>
      <c r="H85" s="100">
        <f t="shared" si="26"/>
        <v>0</v>
      </c>
      <c r="I85" s="100">
        <f t="shared" si="18"/>
        <v>0</v>
      </c>
      <c r="J85" s="100">
        <f t="shared" si="19"/>
        <v>-425.68545411956319</v>
      </c>
      <c r="K85" s="100">
        <f t="shared" si="20"/>
        <v>-793.47768647886585</v>
      </c>
      <c r="L85" s="101">
        <f t="shared" si="21"/>
        <v>1431.9063879127939</v>
      </c>
      <c r="M85" s="100">
        <f t="shared" si="22"/>
        <v>66122.77321950531</v>
      </c>
      <c r="N85" s="102">
        <f t="shared" si="23"/>
        <v>35473.590782996413</v>
      </c>
      <c r="O85" s="94">
        <f t="shared" si="24"/>
        <v>0.9667912763399773</v>
      </c>
      <c r="P85" s="100">
        <f>'Bef.fremskr. kommunenivå MMMM'!H80</f>
        <v>1864</v>
      </c>
      <c r="Q85" s="100"/>
      <c r="R85" s="100">
        <f t="shared" si="27"/>
        <v>0</v>
      </c>
      <c r="S85" s="100">
        <v>0</v>
      </c>
      <c r="U85" s="100">
        <v>15455.066666666666</v>
      </c>
      <c r="V85" s="5">
        <f t="shared" si="28"/>
        <v>49235.800164925844</v>
      </c>
      <c r="W85" s="5">
        <f t="shared" si="29"/>
        <v>26414.055882470948</v>
      </c>
    </row>
    <row r="86" spans="1:23" ht="13">
      <c r="A86" s="92">
        <v>1848</v>
      </c>
      <c r="B86" s="93" t="s">
        <v>649</v>
      </c>
      <c r="C86" s="574">
        <v>0.8231689229710919</v>
      </c>
      <c r="D86" s="100">
        <f t="shared" si="15"/>
        <v>30203.786725613609</v>
      </c>
      <c r="E86" s="100">
        <f t="shared" si="16"/>
        <v>79496.366661815016</v>
      </c>
      <c r="F86" s="100">
        <f t="shared" si="25"/>
        <v>3894.8439374575664</v>
      </c>
      <c r="G86" s="100">
        <f t="shared" si="17"/>
        <v>10251.229243388316</v>
      </c>
      <c r="H86" s="100">
        <f t="shared" si="26"/>
        <v>987.66053176874698</v>
      </c>
      <c r="I86" s="100">
        <f t="shared" si="18"/>
        <v>2599.5225196153419</v>
      </c>
      <c r="J86" s="100">
        <f t="shared" si="19"/>
        <v>561.97507764918373</v>
      </c>
      <c r="K86" s="100">
        <f t="shared" si="20"/>
        <v>1479.1184043726516</v>
      </c>
      <c r="L86" s="101">
        <f t="shared" si="21"/>
        <v>11730.347647760967</v>
      </c>
      <c r="M86" s="100">
        <f t="shared" si="22"/>
        <v>91226.714309575982</v>
      </c>
      <c r="N86" s="102">
        <f t="shared" si="23"/>
        <v>34660.605740720355</v>
      </c>
      <c r="O86" s="94">
        <f t="shared" si="24"/>
        <v>0.9446343187464955</v>
      </c>
      <c r="P86" s="100">
        <f>'Bef.fremskr. kommunenivå MMMM'!H81</f>
        <v>2632</v>
      </c>
      <c r="Q86" s="100"/>
      <c r="R86" s="100">
        <f t="shared" si="27"/>
        <v>0</v>
      </c>
      <c r="S86" s="100">
        <v>0</v>
      </c>
      <c r="U86" s="100">
        <v>64.333333333333329</v>
      </c>
      <c r="V86" s="5">
        <f t="shared" si="28"/>
        <v>79432.033328481688</v>
      </c>
      <c r="W86" s="5">
        <f t="shared" si="29"/>
        <v>30179.343969787875</v>
      </c>
    </row>
    <row r="87" spans="1:23" ht="13">
      <c r="A87" s="92">
        <v>1851</v>
      </c>
      <c r="B87" s="93" t="s">
        <v>651</v>
      </c>
      <c r="C87" s="574">
        <v>0.81663583380055937</v>
      </c>
      <c r="D87" s="100">
        <f t="shared" si="15"/>
        <v>29964.074041546319</v>
      </c>
      <c r="E87" s="100">
        <f t="shared" si="16"/>
        <v>59298.902528220162</v>
      </c>
      <c r="F87" s="100">
        <f t="shared" si="25"/>
        <v>4038.6715478979404</v>
      </c>
      <c r="G87" s="100">
        <f t="shared" si="17"/>
        <v>7992.5309932900236</v>
      </c>
      <c r="H87" s="100">
        <f t="shared" si="26"/>
        <v>1071.5599711922985</v>
      </c>
      <c r="I87" s="100">
        <f t="shared" si="18"/>
        <v>2120.6171829895588</v>
      </c>
      <c r="J87" s="100">
        <f t="shared" si="19"/>
        <v>645.87451707273522</v>
      </c>
      <c r="K87" s="100">
        <f t="shared" si="20"/>
        <v>1278.185669286943</v>
      </c>
      <c r="L87" s="101">
        <f t="shared" si="21"/>
        <v>9270.716662576966</v>
      </c>
      <c r="M87" s="100">
        <f t="shared" si="22"/>
        <v>68569.619190797122</v>
      </c>
      <c r="N87" s="102">
        <f t="shared" si="23"/>
        <v>34648.620106516988</v>
      </c>
      <c r="O87" s="94">
        <f t="shared" si="24"/>
        <v>0.94430766428796875</v>
      </c>
      <c r="P87" s="100">
        <f>'Bef.fremskr. kommunenivå MMMM'!H82</f>
        <v>1979</v>
      </c>
      <c r="Q87" s="100"/>
      <c r="R87" s="100">
        <f t="shared" si="27"/>
        <v>0</v>
      </c>
      <c r="S87" s="100">
        <v>0</v>
      </c>
      <c r="U87" s="100">
        <v>0</v>
      </c>
      <c r="V87" s="5">
        <f t="shared" si="28"/>
        <v>59298.902528220162</v>
      </c>
      <c r="W87" s="5">
        <f t="shared" si="29"/>
        <v>29964.074041546319</v>
      </c>
    </row>
    <row r="88" spans="1:23" ht="13">
      <c r="A88" s="92">
        <v>1853</v>
      </c>
      <c r="B88" s="93" t="s">
        <v>653</v>
      </c>
      <c r="C88" s="574">
        <v>0.70673019898801193</v>
      </c>
      <c r="D88" s="100">
        <f t="shared" si="15"/>
        <v>25931.406795266012</v>
      </c>
      <c r="E88" s="100">
        <f t="shared" si="16"/>
        <v>35500.095902719171</v>
      </c>
      <c r="F88" s="100">
        <f t="shared" si="25"/>
        <v>6458.2718956661247</v>
      </c>
      <c r="G88" s="100">
        <f t="shared" si="17"/>
        <v>8841.3742251669246</v>
      </c>
      <c r="H88" s="100">
        <f t="shared" si="26"/>
        <v>2482.9935073904057</v>
      </c>
      <c r="I88" s="100">
        <f t="shared" si="18"/>
        <v>3399.2181116174656</v>
      </c>
      <c r="J88" s="100">
        <f t="shared" si="19"/>
        <v>2057.3080532708427</v>
      </c>
      <c r="K88" s="100">
        <f t="shared" si="20"/>
        <v>2816.4547249277834</v>
      </c>
      <c r="L88" s="101">
        <f t="shared" si="21"/>
        <v>11657.828950094708</v>
      </c>
      <c r="M88" s="100">
        <f t="shared" si="22"/>
        <v>47157.924852813878</v>
      </c>
      <c r="N88" s="102">
        <f t="shared" si="23"/>
        <v>34446.986744202979</v>
      </c>
      <c r="O88" s="94">
        <f t="shared" si="24"/>
        <v>0.93881238254734156</v>
      </c>
      <c r="P88" s="100">
        <f>'Bef.fremskr. kommunenivå MMMM'!H83</f>
        <v>1369</v>
      </c>
      <c r="Q88" s="100"/>
      <c r="R88" s="100">
        <f t="shared" si="27"/>
        <v>0</v>
      </c>
      <c r="S88" s="100">
        <v>0</v>
      </c>
      <c r="U88" s="100">
        <v>770.24800000000005</v>
      </c>
      <c r="V88" s="5">
        <f t="shared" si="28"/>
        <v>34729.847902719172</v>
      </c>
      <c r="W88" s="5">
        <f t="shared" si="29"/>
        <v>25368.77129490078</v>
      </c>
    </row>
    <row r="89" spans="1:23" ht="13">
      <c r="A89" s="92">
        <v>1856</v>
      </c>
      <c r="B89" s="93" t="s">
        <v>654</v>
      </c>
      <c r="C89" s="574">
        <v>1.1384765287892145</v>
      </c>
      <c r="D89" s="100">
        <f t="shared" si="15"/>
        <v>41773.081208598924</v>
      </c>
      <c r="E89" s="100">
        <f t="shared" si="16"/>
        <v>19257.390437164104</v>
      </c>
      <c r="F89" s="100">
        <f t="shared" si="25"/>
        <v>-3046.7327523336221</v>
      </c>
      <c r="G89" s="100">
        <f t="shared" si="17"/>
        <v>-1404.5437988257997</v>
      </c>
      <c r="H89" s="100">
        <f t="shared" si="26"/>
        <v>0</v>
      </c>
      <c r="I89" s="100">
        <f t="shared" si="18"/>
        <v>0</v>
      </c>
      <c r="J89" s="100">
        <f t="shared" si="19"/>
        <v>-425.68545411956319</v>
      </c>
      <c r="K89" s="100">
        <f t="shared" si="20"/>
        <v>-196.24099434911864</v>
      </c>
      <c r="L89" s="101">
        <f t="shared" si="21"/>
        <v>-1600.7847931749184</v>
      </c>
      <c r="M89" s="100">
        <f t="shared" si="22"/>
        <v>17656.605643989187</v>
      </c>
      <c r="N89" s="102">
        <f t="shared" si="23"/>
        <v>38300.663002145739</v>
      </c>
      <c r="O89" s="94">
        <f t="shared" si="24"/>
        <v>1.0438398270710403</v>
      </c>
      <c r="P89" s="100">
        <f>'Bef.fremskr. kommunenivå MMMM'!H84</f>
        <v>461</v>
      </c>
      <c r="Q89" s="100"/>
      <c r="R89" s="100">
        <f t="shared" si="27"/>
        <v>0</v>
      </c>
      <c r="S89" s="100">
        <v>0</v>
      </c>
      <c r="U89" s="100">
        <v>0</v>
      </c>
      <c r="V89" s="5">
        <f t="shared" si="28"/>
        <v>19257.390437164104</v>
      </c>
      <c r="W89" s="5">
        <f t="shared" si="29"/>
        <v>41773.081208598924</v>
      </c>
    </row>
    <row r="90" spans="1:23" ht="13">
      <c r="A90" s="92">
        <v>1857</v>
      </c>
      <c r="B90" s="93" t="s">
        <v>655</v>
      </c>
      <c r="C90" s="574">
        <v>1.0292067482480316</v>
      </c>
      <c r="D90" s="100">
        <f t="shared" si="15"/>
        <v>37763.744783326227</v>
      </c>
      <c r="E90" s="100">
        <f t="shared" si="16"/>
        <v>25528.29147352853</v>
      </c>
      <c r="F90" s="100">
        <f t="shared" si="25"/>
        <v>-641.130897170004</v>
      </c>
      <c r="G90" s="100">
        <f t="shared" si="17"/>
        <v>-433.40448648692274</v>
      </c>
      <c r="H90" s="100">
        <f t="shared" si="26"/>
        <v>0</v>
      </c>
      <c r="I90" s="100">
        <f t="shared" si="18"/>
        <v>0</v>
      </c>
      <c r="J90" s="100">
        <f t="shared" si="19"/>
        <v>-425.68545411956319</v>
      </c>
      <c r="K90" s="100">
        <f t="shared" si="20"/>
        <v>-287.7633669848247</v>
      </c>
      <c r="L90" s="101">
        <f t="shared" si="21"/>
        <v>-721.16785347174743</v>
      </c>
      <c r="M90" s="100">
        <f t="shared" si="22"/>
        <v>24807.123620056784</v>
      </c>
      <c r="N90" s="102">
        <f t="shared" si="23"/>
        <v>36696.928432036657</v>
      </c>
      <c r="O90" s="94">
        <f t="shared" si="24"/>
        <v>1.0001319148545671</v>
      </c>
      <c r="P90" s="100">
        <f>'Bef.fremskr. kommunenivå MMMM'!H85</f>
        <v>676</v>
      </c>
      <c r="Q90" s="100"/>
      <c r="R90" s="100">
        <f t="shared" si="27"/>
        <v>0</v>
      </c>
      <c r="S90" s="100">
        <v>0</v>
      </c>
      <c r="U90" s="100">
        <v>0</v>
      </c>
      <c r="V90" s="5">
        <f t="shared" si="28"/>
        <v>25528.29147352853</v>
      </c>
      <c r="W90" s="5">
        <f t="shared" si="29"/>
        <v>37763.744783326227</v>
      </c>
    </row>
    <row r="91" spans="1:23" ht="13">
      <c r="A91" s="92">
        <v>1859</v>
      </c>
      <c r="B91" s="93" t="s">
        <v>656</v>
      </c>
      <c r="C91" s="574">
        <v>0.95705105046725303</v>
      </c>
      <c r="D91" s="100">
        <f t="shared" si="15"/>
        <v>35116.201556181099</v>
      </c>
      <c r="E91" s="100">
        <f t="shared" si="16"/>
        <v>43052.463107878029</v>
      </c>
      <c r="F91" s="100">
        <f t="shared" si="25"/>
        <v>947.39503911707288</v>
      </c>
      <c r="G91" s="100">
        <f t="shared" si="17"/>
        <v>1161.5063179575313</v>
      </c>
      <c r="H91" s="100">
        <f t="shared" si="26"/>
        <v>0</v>
      </c>
      <c r="I91" s="100">
        <f t="shared" si="18"/>
        <v>0</v>
      </c>
      <c r="J91" s="100">
        <f t="shared" si="19"/>
        <v>-425.68545411956319</v>
      </c>
      <c r="K91" s="100">
        <f t="shared" si="20"/>
        <v>-521.89036675058446</v>
      </c>
      <c r="L91" s="101">
        <f t="shared" si="21"/>
        <v>639.61595120694687</v>
      </c>
      <c r="M91" s="100">
        <f t="shared" si="22"/>
        <v>43692.079059084972</v>
      </c>
      <c r="N91" s="102">
        <f t="shared" si="23"/>
        <v>35637.911141178607</v>
      </c>
      <c r="O91" s="94">
        <f t="shared" si="24"/>
        <v>0.97126963574225567</v>
      </c>
      <c r="P91" s="100">
        <f>'Bef.fremskr. kommunenivå MMMM'!H86</f>
        <v>1226</v>
      </c>
      <c r="Q91" s="100"/>
      <c r="R91" s="100">
        <f t="shared" si="27"/>
        <v>0</v>
      </c>
      <c r="S91" s="100">
        <v>0</v>
      </c>
      <c r="U91" s="100">
        <v>0</v>
      </c>
      <c r="V91" s="5">
        <f t="shared" si="28"/>
        <v>43052.463107878029</v>
      </c>
      <c r="W91" s="5">
        <f t="shared" si="29"/>
        <v>35116.201556181099</v>
      </c>
    </row>
    <row r="92" spans="1:23" ht="13">
      <c r="A92" s="92">
        <v>1860</v>
      </c>
      <c r="B92" s="93" t="s">
        <v>657</v>
      </c>
      <c r="C92" s="574">
        <v>0.80551858609008842</v>
      </c>
      <c r="D92" s="100">
        <f t="shared" si="15"/>
        <v>29556.159008006267</v>
      </c>
      <c r="E92" s="100">
        <f t="shared" si="16"/>
        <v>342940.11296989676</v>
      </c>
      <c r="F92" s="100">
        <f t="shared" si="25"/>
        <v>4283.420568021972</v>
      </c>
      <c r="G92" s="100">
        <f t="shared" si="17"/>
        <v>49700.528850758943</v>
      </c>
      <c r="H92" s="100">
        <f t="shared" si="26"/>
        <v>1214.3302329313165</v>
      </c>
      <c r="I92" s="100">
        <f t="shared" si="18"/>
        <v>14089.873692702064</v>
      </c>
      <c r="J92" s="100">
        <f t="shared" si="19"/>
        <v>788.64477881175321</v>
      </c>
      <c r="K92" s="100">
        <f t="shared" si="20"/>
        <v>9150.6453685527722</v>
      </c>
      <c r="L92" s="101">
        <f t="shared" si="21"/>
        <v>58851.174219311717</v>
      </c>
      <c r="M92" s="100">
        <f t="shared" si="22"/>
        <v>401791.28718920844</v>
      </c>
      <c r="N92" s="102">
        <f t="shared" si="23"/>
        <v>34628.224354839993</v>
      </c>
      <c r="O92" s="94">
        <f t="shared" si="24"/>
        <v>0.94375180190244545</v>
      </c>
      <c r="P92" s="100">
        <f>'Bef.fremskr. kommunenivå MMMM'!H87</f>
        <v>11603</v>
      </c>
      <c r="Q92" s="100"/>
      <c r="R92" s="100">
        <f t="shared" si="27"/>
        <v>0</v>
      </c>
      <c r="S92" s="100">
        <v>0</v>
      </c>
      <c r="U92" s="100">
        <v>0</v>
      </c>
      <c r="V92" s="5">
        <f t="shared" si="28"/>
        <v>342940.11296989676</v>
      </c>
      <c r="W92" s="5">
        <f t="shared" si="29"/>
        <v>29556.159008006267</v>
      </c>
    </row>
    <row r="93" spans="1:23" ht="13">
      <c r="A93" s="92">
        <v>1865</v>
      </c>
      <c r="B93" s="93" t="s">
        <v>658</v>
      </c>
      <c r="C93" s="574">
        <v>0.89584038927243703</v>
      </c>
      <c r="D93" s="100">
        <f t="shared" si="15"/>
        <v>32870.254576806437</v>
      </c>
      <c r="E93" s="100">
        <f t="shared" si="16"/>
        <v>323772.00758154341</v>
      </c>
      <c r="F93" s="100">
        <f t="shared" si="25"/>
        <v>2294.9632267418697</v>
      </c>
      <c r="G93" s="100">
        <f t="shared" si="17"/>
        <v>22605.387783407416</v>
      </c>
      <c r="H93" s="100">
        <f t="shared" si="26"/>
        <v>54.396783851256984</v>
      </c>
      <c r="I93" s="100">
        <f t="shared" si="18"/>
        <v>535.80832093488129</v>
      </c>
      <c r="J93" s="100">
        <f t="shared" si="19"/>
        <v>-371.28867026830619</v>
      </c>
      <c r="K93" s="100">
        <f t="shared" si="20"/>
        <v>-3657.1934021428156</v>
      </c>
      <c r="L93" s="101">
        <f t="shared" si="21"/>
        <v>18948.194381264599</v>
      </c>
      <c r="M93" s="100">
        <f t="shared" si="22"/>
        <v>342720.20196280803</v>
      </c>
      <c r="N93" s="102">
        <f t="shared" si="23"/>
        <v>34793.929133279998</v>
      </c>
      <c r="O93" s="94">
        <f t="shared" si="24"/>
        <v>0.94826789206156281</v>
      </c>
      <c r="P93" s="100">
        <f>'Bef.fremskr. kommunenivå MMMM'!H88</f>
        <v>9850</v>
      </c>
      <c r="Q93" s="100"/>
      <c r="R93" s="100">
        <f t="shared" si="27"/>
        <v>0</v>
      </c>
      <c r="S93" s="100">
        <v>0</v>
      </c>
      <c r="U93" s="100">
        <v>0</v>
      </c>
      <c r="V93" s="5">
        <f t="shared" si="28"/>
        <v>323772.00758154341</v>
      </c>
      <c r="W93" s="5">
        <f t="shared" si="29"/>
        <v>32870.254576806437</v>
      </c>
    </row>
    <row r="94" spans="1:23" ht="13">
      <c r="A94" s="92">
        <v>1866</v>
      </c>
      <c r="B94" s="93" t="s">
        <v>659</v>
      </c>
      <c r="C94" s="574">
        <v>0.85977836068768432</v>
      </c>
      <c r="D94" s="100">
        <f t="shared" si="15"/>
        <v>31547.063443283649</v>
      </c>
      <c r="E94" s="100">
        <f t="shared" si="16"/>
        <v>257455.58476063784</v>
      </c>
      <c r="F94" s="100">
        <f t="shared" si="25"/>
        <v>3088.8779068555427</v>
      </c>
      <c r="G94" s="100">
        <f t="shared" si="17"/>
        <v>25208.332597848083</v>
      </c>
      <c r="H94" s="100">
        <f t="shared" si="26"/>
        <v>517.51368058423304</v>
      </c>
      <c r="I94" s="100">
        <f t="shared" si="18"/>
        <v>4223.4291472479254</v>
      </c>
      <c r="J94" s="100">
        <f t="shared" si="19"/>
        <v>91.828226464669854</v>
      </c>
      <c r="K94" s="100">
        <f t="shared" si="20"/>
        <v>749.41015617817072</v>
      </c>
      <c r="L94" s="101">
        <f t="shared" si="21"/>
        <v>25957.742754026254</v>
      </c>
      <c r="M94" s="100">
        <f t="shared" si="22"/>
        <v>283413.3275146641</v>
      </c>
      <c r="N94" s="102">
        <f t="shared" si="23"/>
        <v>34727.76957660386</v>
      </c>
      <c r="O94" s="94">
        <f t="shared" si="24"/>
        <v>0.94646479063232514</v>
      </c>
      <c r="P94" s="100">
        <f>'Bef.fremskr. kommunenivå MMMM'!H89</f>
        <v>8161</v>
      </c>
      <c r="Q94" s="100"/>
      <c r="R94" s="100">
        <f t="shared" si="27"/>
        <v>0</v>
      </c>
      <c r="S94" s="100">
        <v>0</v>
      </c>
      <c r="U94" s="100">
        <v>0</v>
      </c>
      <c r="V94" s="5">
        <f t="shared" si="28"/>
        <v>257455.58476063784</v>
      </c>
      <c r="W94" s="5">
        <f t="shared" si="29"/>
        <v>31547.063443283649</v>
      </c>
    </row>
    <row r="95" spans="1:23" ht="13">
      <c r="A95" s="92">
        <v>1867</v>
      </c>
      <c r="B95" s="93" t="s">
        <v>474</v>
      </c>
      <c r="C95" s="574">
        <v>0.86204418119670367</v>
      </c>
      <c r="D95" s="100">
        <f t="shared" si="15"/>
        <v>31630.20112924722</v>
      </c>
      <c r="E95" s="100">
        <f t="shared" si="16"/>
        <v>81131.465896519119</v>
      </c>
      <c r="F95" s="100">
        <f t="shared" si="25"/>
        <v>-937.6128918571028</v>
      </c>
      <c r="G95" s="100">
        <f t="shared" si="17"/>
        <v>-2404.9770676134685</v>
      </c>
      <c r="H95" s="100">
        <f t="shared" si="26"/>
        <v>0</v>
      </c>
      <c r="I95" s="100">
        <f t="shared" si="18"/>
        <v>0</v>
      </c>
      <c r="J95" s="100">
        <f t="shared" si="19"/>
        <v>-425.68545411956319</v>
      </c>
      <c r="K95" s="100">
        <f t="shared" si="20"/>
        <v>-1091.8831898166795</v>
      </c>
      <c r="L95" s="101">
        <f>K95+G95</f>
        <v>-3496.8602574301481</v>
      </c>
      <c r="M95" s="100">
        <f t="shared" si="22"/>
        <v>77634.605639088972</v>
      </c>
      <c r="N95" s="102">
        <f>M95*1000/P95</f>
        <v>30266.902783270554</v>
      </c>
      <c r="O95" s="94">
        <f>N95/N$367</f>
        <v>0.82488907738999528</v>
      </c>
      <c r="P95" s="100">
        <f>'Bef.fremskr. kommunenivå MMMM'!H90</f>
        <v>2565</v>
      </c>
      <c r="Q95" s="100"/>
      <c r="R95" s="100">
        <f t="shared" si="27"/>
        <v>6627.6803118908383</v>
      </c>
      <c r="S95" s="100">
        <f>ROUNDDOWN(15000*1.025*1.15,-3)</f>
        <v>17000</v>
      </c>
      <c r="U95" s="100">
        <v>0</v>
      </c>
      <c r="V95" s="5">
        <f t="shared" si="28"/>
        <v>81131.465896519119</v>
      </c>
      <c r="W95" s="5">
        <f t="shared" si="29"/>
        <v>31630.201129247223</v>
      </c>
    </row>
    <row r="96" spans="1:23" ht="13">
      <c r="A96" s="92">
        <v>1868</v>
      </c>
      <c r="B96" s="93" t="s">
        <v>660</v>
      </c>
      <c r="C96" s="574">
        <v>0.86796061105105726</v>
      </c>
      <c r="D96" s="100">
        <f t="shared" si="15"/>
        <v>31847.287295295577</v>
      </c>
      <c r="E96" s="100">
        <f t="shared" si="16"/>
        <v>143599.41841448774</v>
      </c>
      <c r="F96" s="100">
        <f t="shared" si="25"/>
        <v>2908.743595648386</v>
      </c>
      <c r="G96" s="100">
        <f t="shared" si="17"/>
        <v>13115.524872778573</v>
      </c>
      <c r="H96" s="100">
        <f t="shared" si="26"/>
        <v>412.43533238005818</v>
      </c>
      <c r="I96" s="100">
        <f t="shared" si="18"/>
        <v>1859.6709137016824</v>
      </c>
      <c r="J96" s="100">
        <f t="shared" si="19"/>
        <v>-13.250121739505005</v>
      </c>
      <c r="K96" s="100">
        <f t="shared" si="20"/>
        <v>-59.744798923428071</v>
      </c>
      <c r="L96" s="101">
        <f t="shared" si="21"/>
        <v>13055.780073855145</v>
      </c>
      <c r="M96" s="100">
        <f t="shared" si="22"/>
        <v>156655.19848834287</v>
      </c>
      <c r="N96" s="102">
        <f t="shared" si="23"/>
        <v>34742.780769204452</v>
      </c>
      <c r="O96" s="94">
        <f t="shared" si="24"/>
        <v>0.94687390315049369</v>
      </c>
      <c r="P96" s="100">
        <f>'Bef.fremskr. kommunenivå MMMM'!H91</f>
        <v>4509</v>
      </c>
      <c r="Q96" s="100"/>
      <c r="R96" s="100">
        <f t="shared" si="27"/>
        <v>0</v>
      </c>
      <c r="S96" s="100">
        <v>0</v>
      </c>
      <c r="U96" s="100">
        <v>0</v>
      </c>
      <c r="V96" s="5">
        <f t="shared" si="28"/>
        <v>143599.41841448774</v>
      </c>
      <c r="W96" s="5">
        <f t="shared" si="29"/>
        <v>31847.287295295577</v>
      </c>
    </row>
    <row r="97" spans="1:23" ht="13">
      <c r="A97" s="92">
        <v>1870</v>
      </c>
      <c r="B97" s="93" t="s">
        <v>661</v>
      </c>
      <c r="C97" s="574">
        <v>0.85204361995407474</v>
      </c>
      <c r="D97" s="100">
        <f t="shared" si="15"/>
        <v>31263.259654077599</v>
      </c>
      <c r="E97" s="100">
        <f t="shared" si="16"/>
        <v>326951.1694623435</v>
      </c>
      <c r="F97" s="100">
        <f t="shared" si="25"/>
        <v>3259.1601803791723</v>
      </c>
      <c r="G97" s="100">
        <f t="shared" si="17"/>
        <v>34084.297166405384</v>
      </c>
      <c r="H97" s="100">
        <f t="shared" si="26"/>
        <v>616.84500680635028</v>
      </c>
      <c r="I97" s="100">
        <f t="shared" si="18"/>
        <v>6450.9650811808106</v>
      </c>
      <c r="J97" s="100">
        <f t="shared" si="19"/>
        <v>191.15955268678709</v>
      </c>
      <c r="K97" s="100">
        <f t="shared" si="20"/>
        <v>1999.1466019984196</v>
      </c>
      <c r="L97" s="101">
        <f t="shared" si="21"/>
        <v>36083.443768403806</v>
      </c>
      <c r="M97" s="100">
        <f t="shared" si="22"/>
        <v>363034.61323074729</v>
      </c>
      <c r="N97" s="102">
        <f t="shared" si="23"/>
        <v>34713.579387143553</v>
      </c>
      <c r="O97" s="94">
        <f t="shared" si="24"/>
        <v>0.94607805359564456</v>
      </c>
      <c r="P97" s="100">
        <f>'Bef.fremskr. kommunenivå MMMM'!H92</f>
        <v>10458</v>
      </c>
      <c r="Q97" s="100"/>
      <c r="R97" s="100">
        <f t="shared" si="27"/>
        <v>0</v>
      </c>
      <c r="S97" s="100">
        <v>0</v>
      </c>
      <c r="U97" s="100">
        <v>0</v>
      </c>
      <c r="V97" s="5">
        <f t="shared" si="28"/>
        <v>326951.1694623435</v>
      </c>
      <c r="W97" s="5">
        <f t="shared" si="29"/>
        <v>31263.259654077596</v>
      </c>
    </row>
    <row r="98" spans="1:23" ht="13">
      <c r="A98" s="92">
        <v>1871</v>
      </c>
      <c r="B98" s="93" t="s">
        <v>662</v>
      </c>
      <c r="C98" s="574">
        <v>0.83470869482262211</v>
      </c>
      <c r="D98" s="100">
        <f t="shared" si="15"/>
        <v>30627.20505220427</v>
      </c>
      <c r="E98" s="100">
        <f t="shared" si="16"/>
        <v>140823.88883003523</v>
      </c>
      <c r="F98" s="100">
        <f t="shared" si="25"/>
        <v>3640.7929415031699</v>
      </c>
      <c r="G98" s="100">
        <f t="shared" si="17"/>
        <v>16740.365945031575</v>
      </c>
      <c r="H98" s="100">
        <f t="shared" si="26"/>
        <v>839.46411746201557</v>
      </c>
      <c r="I98" s="100">
        <f t="shared" si="18"/>
        <v>3859.8560120903476</v>
      </c>
      <c r="J98" s="100">
        <f t="shared" si="19"/>
        <v>413.77866334245238</v>
      </c>
      <c r="K98" s="100">
        <f t="shared" si="20"/>
        <v>1902.5542940485959</v>
      </c>
      <c r="L98" s="101">
        <f t="shared" si="21"/>
        <v>18642.920239080173</v>
      </c>
      <c r="M98" s="100">
        <f t="shared" si="22"/>
        <v>159466.80906911541</v>
      </c>
      <c r="N98" s="102">
        <f t="shared" si="23"/>
        <v>34681.776657049893</v>
      </c>
      <c r="O98" s="94">
        <f t="shared" si="24"/>
        <v>0.9452113073390721</v>
      </c>
      <c r="P98" s="100">
        <f>'Bef.fremskr. kommunenivå MMMM'!H93</f>
        <v>4598</v>
      </c>
      <c r="Q98" s="100"/>
      <c r="R98" s="100">
        <f t="shared" si="27"/>
        <v>0</v>
      </c>
      <c r="S98" s="100">
        <v>0</v>
      </c>
      <c r="U98" s="100">
        <v>0</v>
      </c>
      <c r="V98" s="5">
        <f t="shared" si="28"/>
        <v>140823.88883003523</v>
      </c>
      <c r="W98" s="5">
        <f t="shared" si="29"/>
        <v>30627.20505220427</v>
      </c>
    </row>
    <row r="99" spans="1:23" ht="13">
      <c r="A99" s="92">
        <v>1874</v>
      </c>
      <c r="B99" s="93" t="s">
        <v>663</v>
      </c>
      <c r="C99" s="574">
        <v>0.98844938131793958</v>
      </c>
      <c r="D99" s="100">
        <f t="shared" si="15"/>
        <v>36268.271881104789</v>
      </c>
      <c r="E99" s="100">
        <f t="shared" si="16"/>
        <v>36848.564231202465</v>
      </c>
      <c r="F99" s="100">
        <f t="shared" si="25"/>
        <v>256.15284416285868</v>
      </c>
      <c r="G99" s="100">
        <f t="shared" si="17"/>
        <v>260.25128966946443</v>
      </c>
      <c r="H99" s="100">
        <f t="shared" si="26"/>
        <v>0</v>
      </c>
      <c r="I99" s="100">
        <f t="shared" si="18"/>
        <v>0</v>
      </c>
      <c r="J99" s="100">
        <f t="shared" si="19"/>
        <v>-425.68545411956319</v>
      </c>
      <c r="K99" s="100">
        <f t="shared" si="20"/>
        <v>-432.4964213854762</v>
      </c>
      <c r="L99" s="101">
        <f t="shared" si="21"/>
        <v>-172.24513171601177</v>
      </c>
      <c r="M99" s="100">
        <f t="shared" si="22"/>
        <v>36676.319099486456</v>
      </c>
      <c r="N99" s="102">
        <f t="shared" si="23"/>
        <v>36098.739271148086</v>
      </c>
      <c r="O99" s="94">
        <f t="shared" si="24"/>
        <v>0.9838289680825304</v>
      </c>
      <c r="P99" s="100">
        <f>'Bef.fremskr. kommunenivå MMMM'!H94</f>
        <v>1016</v>
      </c>
      <c r="Q99" s="100"/>
      <c r="R99" s="100">
        <f t="shared" si="27"/>
        <v>0</v>
      </c>
      <c r="S99" s="100">
        <v>0</v>
      </c>
      <c r="U99" s="100">
        <v>0</v>
      </c>
      <c r="V99" s="5">
        <f t="shared" si="28"/>
        <v>36848.564231202465</v>
      </c>
      <c r="W99" s="5">
        <f t="shared" si="29"/>
        <v>36268.271881104789</v>
      </c>
    </row>
    <row r="100" spans="1:23" ht="13">
      <c r="A100" s="92">
        <v>1875</v>
      </c>
      <c r="B100" s="93" t="s">
        <v>650</v>
      </c>
      <c r="C100" s="574">
        <v>0.85205374477396945</v>
      </c>
      <c r="D100" s="100">
        <f t="shared" si="15"/>
        <v>31263.631154862189</v>
      </c>
      <c r="E100" s="100">
        <f t="shared" si="16"/>
        <v>86131.303831645331</v>
      </c>
      <c r="F100" s="100">
        <f t="shared" si="25"/>
        <v>3258.9372799084185</v>
      </c>
      <c r="G100" s="100">
        <f t="shared" si="17"/>
        <v>8978.3722061476929</v>
      </c>
      <c r="H100" s="100">
        <f t="shared" si="26"/>
        <v>616.71498153174389</v>
      </c>
      <c r="I100" s="100">
        <f t="shared" si="18"/>
        <v>1699.0497741199542</v>
      </c>
      <c r="J100" s="100">
        <f t="shared" si="19"/>
        <v>191.0295274121807</v>
      </c>
      <c r="K100" s="100">
        <f t="shared" si="20"/>
        <v>526.28634802055774</v>
      </c>
      <c r="L100" s="101">
        <f t="shared" si="21"/>
        <v>9504.6585541682507</v>
      </c>
      <c r="M100" s="100">
        <f t="shared" si="22"/>
        <v>95635.962385813575</v>
      </c>
      <c r="N100" s="102">
        <f t="shared" si="23"/>
        <v>34713.597962182786</v>
      </c>
      <c r="O100" s="94">
        <f t="shared" si="24"/>
        <v>0.94607855983663947</v>
      </c>
      <c r="P100" s="100">
        <f>'Bef.fremskr. kommunenivå MMMM'!H95</f>
        <v>2755</v>
      </c>
      <c r="Q100" s="100"/>
      <c r="R100" s="100">
        <f t="shared" si="27"/>
        <v>0</v>
      </c>
      <c r="S100" s="100">
        <v>0</v>
      </c>
      <c r="U100" s="100">
        <v>8016.4046666666654</v>
      </c>
      <c r="V100" s="5">
        <f t="shared" si="28"/>
        <v>78114.899164978662</v>
      </c>
      <c r="W100" s="5">
        <f t="shared" si="29"/>
        <v>28353.865395636542</v>
      </c>
    </row>
    <row r="101" spans="1:23" ht="13">
      <c r="A101" s="92">
        <v>3001</v>
      </c>
      <c r="B101" s="93" t="s">
        <v>364</v>
      </c>
      <c r="C101" s="574">
        <v>0.77328348095742705</v>
      </c>
      <c r="D101" s="100">
        <f t="shared" si="15"/>
        <v>28373.385687324397</v>
      </c>
      <c r="E101" s="100">
        <f t="shared" si="16"/>
        <v>894102.12977896642</v>
      </c>
      <c r="F101" s="100">
        <f t="shared" si="25"/>
        <v>4993.0845604310935</v>
      </c>
      <c r="G101" s="100">
        <f t="shared" si="17"/>
        <v>157342.08066830461</v>
      </c>
      <c r="H101" s="100">
        <f t="shared" si="26"/>
        <v>1628.3008951699712</v>
      </c>
      <c r="I101" s="100">
        <f t="shared" si="18"/>
        <v>51311.017808596131</v>
      </c>
      <c r="J101" s="100">
        <f t="shared" si="19"/>
        <v>1202.615441050408</v>
      </c>
      <c r="K101" s="100">
        <f t="shared" si="20"/>
        <v>37896.817778380457</v>
      </c>
      <c r="L101" s="101">
        <f t="shared" si="21"/>
        <v>195238.89844668505</v>
      </c>
      <c r="M101" s="100">
        <f t="shared" si="22"/>
        <v>1089341.0282256515</v>
      </c>
      <c r="N101" s="102">
        <f t="shared" si="23"/>
        <v>34569.085688805899</v>
      </c>
      <c r="O101" s="94">
        <f t="shared" si="24"/>
        <v>0.94214004664581241</v>
      </c>
      <c r="P101" s="100">
        <f>'Bef.fremskr. kommunenivå MMMM'!H96</f>
        <v>31512</v>
      </c>
      <c r="Q101" s="100"/>
      <c r="R101" s="100">
        <f t="shared" si="27"/>
        <v>0</v>
      </c>
      <c r="S101" s="100">
        <v>0</v>
      </c>
      <c r="U101" s="100">
        <v>1074.1293333333333</v>
      </c>
      <c r="V101" s="5">
        <f t="shared" si="28"/>
        <v>893028.00044563308</v>
      </c>
      <c r="W101" s="5">
        <f t="shared" si="29"/>
        <v>28339.299328688532</v>
      </c>
    </row>
    <row r="102" spans="1:23" ht="13">
      <c r="A102" s="92">
        <v>3002</v>
      </c>
      <c r="B102" s="93" t="s">
        <v>365</v>
      </c>
      <c r="C102" s="574">
        <v>0.88965808117262679</v>
      </c>
      <c r="D102" s="100">
        <f t="shared" si="15"/>
        <v>32643.412782725176</v>
      </c>
      <c r="E102" s="100">
        <f t="shared" si="16"/>
        <v>1660309.2609549679</v>
      </c>
      <c r="F102" s="100">
        <f t="shared" si="25"/>
        <v>2431.0683031906265</v>
      </c>
      <c r="G102" s="100">
        <f t="shared" si="17"/>
        <v>123648.99603688164</v>
      </c>
      <c r="H102" s="100">
        <f t="shared" si="26"/>
        <v>133.79141177969851</v>
      </c>
      <c r="I102" s="100">
        <f t="shared" si="18"/>
        <v>6804.8987859390254</v>
      </c>
      <c r="J102" s="100">
        <f t="shared" si="19"/>
        <v>-291.89404233986465</v>
      </c>
      <c r="K102" s="100">
        <f t="shared" si="20"/>
        <v>-14846.314781490195</v>
      </c>
      <c r="L102" s="101">
        <f t="shared" si="21"/>
        <v>108802.68125539145</v>
      </c>
      <c r="M102" s="100">
        <f t="shared" si="22"/>
        <v>1769111.9422103593</v>
      </c>
      <c r="N102" s="102">
        <f t="shared" si="23"/>
        <v>34782.587043575935</v>
      </c>
      <c r="O102" s="94">
        <f t="shared" si="24"/>
        <v>0.94795877665657224</v>
      </c>
      <c r="P102" s="100">
        <f>'Bef.fremskr. kommunenivå MMMM'!H97</f>
        <v>50862</v>
      </c>
      <c r="Q102" s="100"/>
      <c r="R102" s="100">
        <f t="shared" si="27"/>
        <v>0</v>
      </c>
      <c r="S102" s="100">
        <v>0</v>
      </c>
      <c r="U102" s="100">
        <v>0</v>
      </c>
      <c r="V102" s="5">
        <f t="shared" si="28"/>
        <v>1660309.2609549679</v>
      </c>
      <c r="W102" s="5">
        <f t="shared" si="29"/>
        <v>32643.412782725176</v>
      </c>
    </row>
    <row r="103" spans="1:23" ht="13">
      <c r="A103" s="92">
        <v>3003</v>
      </c>
      <c r="B103" s="93" t="s">
        <v>366</v>
      </c>
      <c r="C103" s="574">
        <v>0.79381423588118505</v>
      </c>
      <c r="D103" s="100">
        <f t="shared" si="15"/>
        <v>29126.701957810965</v>
      </c>
      <c r="E103" s="100">
        <f t="shared" si="16"/>
        <v>1714019.0301113019</v>
      </c>
      <c r="F103" s="100">
        <f t="shared" si="25"/>
        <v>4541.0947981391528</v>
      </c>
      <c r="G103" s="100">
        <f t="shared" si="17"/>
        <v>267229.80558609474</v>
      </c>
      <c r="H103" s="100">
        <f t="shared" si="26"/>
        <v>1364.6402004996723</v>
      </c>
      <c r="I103" s="100">
        <f t="shared" si="18"/>
        <v>80304.981878804218</v>
      </c>
      <c r="J103" s="100">
        <f t="shared" si="19"/>
        <v>938.9547463801091</v>
      </c>
      <c r="K103" s="100">
        <f t="shared" si="20"/>
        <v>55254.669960230283</v>
      </c>
      <c r="L103" s="101">
        <f t="shared" si="21"/>
        <v>322484.47554632503</v>
      </c>
      <c r="M103" s="100">
        <f t="shared" si="22"/>
        <v>2036503.505657627</v>
      </c>
      <c r="N103" s="102">
        <f t="shared" si="23"/>
        <v>34606.751502330233</v>
      </c>
      <c r="O103" s="94">
        <f t="shared" si="24"/>
        <v>0.94316658439200041</v>
      </c>
      <c r="P103" s="100">
        <f>'Bef.fremskr. kommunenivå MMMM'!H98</f>
        <v>58847</v>
      </c>
      <c r="Q103" s="100"/>
      <c r="R103" s="100">
        <f t="shared" si="27"/>
        <v>0</v>
      </c>
      <c r="S103" s="100">
        <v>0</v>
      </c>
      <c r="U103" s="100">
        <v>8816.8163333333341</v>
      </c>
      <c r="V103" s="5">
        <f t="shared" si="28"/>
        <v>1705202.2137779687</v>
      </c>
      <c r="W103" s="5">
        <f t="shared" si="29"/>
        <v>28976.875860757023</v>
      </c>
    </row>
    <row r="104" spans="1:23" ht="13">
      <c r="A104" s="92">
        <v>3004</v>
      </c>
      <c r="B104" s="93" t="s">
        <v>372</v>
      </c>
      <c r="C104" s="574">
        <v>0.8441986938970254</v>
      </c>
      <c r="D104" s="100">
        <f t="shared" si="15"/>
        <v>30975.412935265489</v>
      </c>
      <c r="E104" s="100">
        <f t="shared" si="16"/>
        <v>2617453.3684428693</v>
      </c>
      <c r="F104" s="100">
        <f t="shared" si="25"/>
        <v>3431.8682116664386</v>
      </c>
      <c r="G104" s="100">
        <f t="shared" si="17"/>
        <v>289996.29575402569</v>
      </c>
      <c r="H104" s="100">
        <f t="shared" si="26"/>
        <v>717.59135839058888</v>
      </c>
      <c r="I104" s="100">
        <f t="shared" si="18"/>
        <v>60637.187375363152</v>
      </c>
      <c r="J104" s="100">
        <f t="shared" si="19"/>
        <v>291.90590427102569</v>
      </c>
      <c r="K104" s="100">
        <f t="shared" si="20"/>
        <v>24666.34081680594</v>
      </c>
      <c r="L104" s="101">
        <f t="shared" si="21"/>
        <v>314662.63657083164</v>
      </c>
      <c r="M104" s="100">
        <f t="shared" si="22"/>
        <v>2932116.005013701</v>
      </c>
      <c r="N104" s="102">
        <f t="shared" si="23"/>
        <v>34699.187051202956</v>
      </c>
      <c r="O104" s="94">
        <f t="shared" si="24"/>
        <v>0.94568580729279239</v>
      </c>
      <c r="P104" s="100">
        <f>'Bef.fremskr. kommunenivå MMMM'!H99</f>
        <v>84501</v>
      </c>
      <c r="Q104" s="100"/>
      <c r="R104" s="100">
        <f t="shared" si="27"/>
        <v>0</v>
      </c>
      <c r="S104" s="100">
        <v>0</v>
      </c>
      <c r="U104" s="100">
        <v>0</v>
      </c>
      <c r="V104" s="5">
        <f t="shared" si="28"/>
        <v>2617453.3684428693</v>
      </c>
      <c r="W104" s="5">
        <f t="shared" si="29"/>
        <v>30975.412935265489</v>
      </c>
    </row>
    <row r="105" spans="1:23" ht="13">
      <c r="A105" s="92">
        <v>3005</v>
      </c>
      <c r="B105" s="93" t="s">
        <v>447</v>
      </c>
      <c r="C105" s="574">
        <v>0.92919504596954128</v>
      </c>
      <c r="D105" s="100">
        <f t="shared" si="15"/>
        <v>34094.106582235916</v>
      </c>
      <c r="E105" s="100">
        <f t="shared" si="16"/>
        <v>3508215.3790989113</v>
      </c>
      <c r="F105" s="100">
        <f t="shared" si="25"/>
        <v>1560.6520234841823</v>
      </c>
      <c r="G105" s="100">
        <f t="shared" si="17"/>
        <v>160587.97191247542</v>
      </c>
      <c r="H105" s="100">
        <f t="shared" si="26"/>
        <v>0</v>
      </c>
      <c r="I105" s="100">
        <f t="shared" si="18"/>
        <v>0</v>
      </c>
      <c r="J105" s="100">
        <f t="shared" si="19"/>
        <v>-425.68545411956319</v>
      </c>
      <c r="K105" s="100">
        <f t="shared" si="20"/>
        <v>-43802.181857994809</v>
      </c>
      <c r="L105" s="101">
        <f t="shared" si="21"/>
        <v>116785.7900544806</v>
      </c>
      <c r="M105" s="100">
        <f t="shared" si="22"/>
        <v>3625001.1691533918</v>
      </c>
      <c r="N105" s="102">
        <f t="shared" si="23"/>
        <v>35229.073151600533</v>
      </c>
      <c r="O105" s="94">
        <f t="shared" si="24"/>
        <v>0.9601272339431709</v>
      </c>
      <c r="P105" s="100">
        <f>'Bef.fremskr. kommunenivå MMMM'!H100</f>
        <v>102898</v>
      </c>
      <c r="Q105" s="100"/>
      <c r="R105" s="100">
        <f t="shared" si="27"/>
        <v>0</v>
      </c>
      <c r="S105" s="100">
        <v>0</v>
      </c>
      <c r="U105" s="100">
        <v>0</v>
      </c>
      <c r="V105" s="5">
        <f t="shared" si="28"/>
        <v>3508215.3790989113</v>
      </c>
      <c r="W105" s="5">
        <f t="shared" si="29"/>
        <v>34094.106582235916</v>
      </c>
    </row>
    <row r="106" spans="1:23" ht="13">
      <c r="A106" s="92">
        <v>3006</v>
      </c>
      <c r="B106" s="93" t="s">
        <v>448</v>
      </c>
      <c r="C106" s="574">
        <v>1.0173335666887213</v>
      </c>
      <c r="D106" s="100">
        <f t="shared" si="15"/>
        <v>37328.092958330781</v>
      </c>
      <c r="E106" s="100">
        <f t="shared" si="16"/>
        <v>1048807.4278502199</v>
      </c>
      <c r="F106" s="100">
        <f t="shared" si="25"/>
        <v>-379.73980217273635</v>
      </c>
      <c r="G106" s="100">
        <f t="shared" si="17"/>
        <v>-10669.549221647372</v>
      </c>
      <c r="H106" s="100">
        <f t="shared" si="26"/>
        <v>0</v>
      </c>
      <c r="I106" s="100">
        <f t="shared" si="18"/>
        <v>0</v>
      </c>
      <c r="J106" s="100">
        <f t="shared" si="19"/>
        <v>-425.68545411956319</v>
      </c>
      <c r="K106" s="100">
        <f t="shared" si="20"/>
        <v>-11960.484204397368</v>
      </c>
      <c r="L106" s="101">
        <f t="shared" si="21"/>
        <v>-22630.033426044742</v>
      </c>
      <c r="M106" s="100">
        <f t="shared" si="22"/>
        <v>1026177.3944241751</v>
      </c>
      <c r="N106" s="102">
        <f t="shared" si="23"/>
        <v>36522.667702038481</v>
      </c>
      <c r="O106" s="94">
        <f t="shared" si="24"/>
        <v>0.99538264223084305</v>
      </c>
      <c r="P106" s="100">
        <f>'Bef.fremskr. kommunenivå MMMM'!H101</f>
        <v>28097</v>
      </c>
      <c r="Q106" s="100"/>
      <c r="R106" s="100">
        <f t="shared" si="27"/>
        <v>0</v>
      </c>
      <c r="S106" s="100">
        <v>0</v>
      </c>
      <c r="U106" s="100">
        <v>6711.2813333333334</v>
      </c>
      <c r="V106" s="5">
        <f t="shared" si="28"/>
        <v>1042096.1465168865</v>
      </c>
      <c r="W106" s="5">
        <f t="shared" si="29"/>
        <v>37089.231822503702</v>
      </c>
    </row>
    <row r="107" spans="1:23" ht="13">
      <c r="A107" s="92">
        <v>3007</v>
      </c>
      <c r="B107" s="93" t="s">
        <v>449</v>
      </c>
      <c r="C107" s="574">
        <v>0.87773609417910869</v>
      </c>
      <c r="D107" s="100">
        <f t="shared" si="15"/>
        <v>32205.970184433107</v>
      </c>
      <c r="E107" s="100">
        <f t="shared" si="16"/>
        <v>1007306.1294585143</v>
      </c>
      <c r="F107" s="100">
        <f t="shared" si="25"/>
        <v>2693.533862165868</v>
      </c>
      <c r="G107" s="100">
        <f t="shared" si="17"/>
        <v>84245.65860696185</v>
      </c>
      <c r="H107" s="100">
        <f t="shared" si="26"/>
        <v>286.89632118192276</v>
      </c>
      <c r="I107" s="100">
        <f t="shared" si="18"/>
        <v>8973.2562376069982</v>
      </c>
      <c r="J107" s="100">
        <f t="shared" si="19"/>
        <v>-138.78913293764043</v>
      </c>
      <c r="K107" s="100">
        <f t="shared" si="20"/>
        <v>-4340.9077108905803</v>
      </c>
      <c r="L107" s="101">
        <f t="shared" si="21"/>
        <v>79904.750896071273</v>
      </c>
      <c r="M107" s="100">
        <f t="shared" si="22"/>
        <v>1087210.8803545856</v>
      </c>
      <c r="N107" s="102">
        <f t="shared" si="23"/>
        <v>34760.714913661337</v>
      </c>
      <c r="O107" s="94">
        <f t="shared" si="24"/>
        <v>0.94736267730689649</v>
      </c>
      <c r="P107" s="100">
        <f>'Bef.fremskr. kommunenivå MMMM'!H102</f>
        <v>31277</v>
      </c>
      <c r="Q107" s="100"/>
      <c r="R107" s="100">
        <f t="shared" si="27"/>
        <v>0</v>
      </c>
      <c r="S107" s="100">
        <v>0</v>
      </c>
      <c r="U107" s="100">
        <v>5547.3963333333331</v>
      </c>
      <c r="V107" s="5">
        <f t="shared" si="28"/>
        <v>1001758.7331251809</v>
      </c>
      <c r="W107" s="5">
        <f t="shared" si="29"/>
        <v>32028.606743779164</v>
      </c>
    </row>
    <row r="108" spans="1:23" ht="13">
      <c r="A108" s="92">
        <v>3011</v>
      </c>
      <c r="B108" s="93" t="s">
        <v>373</v>
      </c>
      <c r="C108" s="574">
        <v>1.0857826723058901</v>
      </c>
      <c r="D108" s="100">
        <f t="shared" si="15"/>
        <v>39839.633578885245</v>
      </c>
      <c r="E108" s="100">
        <f t="shared" si="16"/>
        <v>192305.91128527906</v>
      </c>
      <c r="F108" s="100">
        <f t="shared" si="25"/>
        <v>-1886.6641745054148</v>
      </c>
      <c r="G108" s="100">
        <f t="shared" si="17"/>
        <v>-9106.927970337636</v>
      </c>
      <c r="H108" s="100">
        <f t="shared" si="26"/>
        <v>0</v>
      </c>
      <c r="I108" s="100">
        <f t="shared" si="18"/>
        <v>0</v>
      </c>
      <c r="J108" s="100">
        <f t="shared" si="19"/>
        <v>-425.68545411956319</v>
      </c>
      <c r="K108" s="100">
        <f t="shared" si="20"/>
        <v>-2054.7836870351316</v>
      </c>
      <c r="L108" s="101">
        <f t="shared" si="21"/>
        <v>-11161.711657372767</v>
      </c>
      <c r="M108" s="100">
        <f t="shared" si="22"/>
        <v>181144.19962790629</v>
      </c>
      <c r="N108" s="102">
        <f t="shared" si="23"/>
        <v>37527.283950260266</v>
      </c>
      <c r="O108" s="94">
        <f t="shared" si="24"/>
        <v>1.0227622844777107</v>
      </c>
      <c r="P108" s="100">
        <f>'Bef.fremskr. kommunenivå MMMM'!H103</f>
        <v>4827</v>
      </c>
      <c r="Q108" s="100"/>
      <c r="R108" s="100">
        <f t="shared" si="27"/>
        <v>0</v>
      </c>
      <c r="S108" s="100">
        <v>0</v>
      </c>
      <c r="U108" s="100">
        <v>0</v>
      </c>
      <c r="V108" s="5">
        <f t="shared" si="28"/>
        <v>192305.91128527906</v>
      </c>
      <c r="W108" s="5">
        <f t="shared" si="29"/>
        <v>39839.633578885245</v>
      </c>
    </row>
    <row r="109" spans="1:23" ht="13">
      <c r="A109" s="92">
        <v>3012</v>
      </c>
      <c r="B109" s="93" t="s">
        <v>374</v>
      </c>
      <c r="C109" s="574">
        <v>0.83167511816282291</v>
      </c>
      <c r="D109" s="100">
        <f t="shared" si="15"/>
        <v>30515.896789839764</v>
      </c>
      <c r="E109" s="100">
        <f t="shared" si="16"/>
        <v>40250.467865798651</v>
      </c>
      <c r="F109" s="100">
        <f t="shared" si="25"/>
        <v>3707.5778989218734</v>
      </c>
      <c r="G109" s="100">
        <f t="shared" si="17"/>
        <v>4890.2952486779513</v>
      </c>
      <c r="H109" s="100">
        <f t="shared" si="26"/>
        <v>878.42200928959255</v>
      </c>
      <c r="I109" s="100">
        <f t="shared" si="18"/>
        <v>1158.6386302529725</v>
      </c>
      <c r="J109" s="100">
        <f t="shared" si="19"/>
        <v>452.73655517002936</v>
      </c>
      <c r="K109" s="100">
        <f t="shared" si="20"/>
        <v>597.15951626926869</v>
      </c>
      <c r="L109" s="101">
        <f t="shared" si="21"/>
        <v>5487.4547649472197</v>
      </c>
      <c r="M109" s="100">
        <f t="shared" si="22"/>
        <v>45737.922630745874</v>
      </c>
      <c r="N109" s="102">
        <f t="shared" si="23"/>
        <v>34676.21124393167</v>
      </c>
      <c r="O109" s="94">
        <f t="shared" si="24"/>
        <v>0.94505962850608227</v>
      </c>
      <c r="P109" s="100">
        <f>'Bef.fremskr. kommunenivå MMMM'!H104</f>
        <v>1319</v>
      </c>
      <c r="Q109" s="100"/>
      <c r="R109" s="100">
        <f t="shared" si="27"/>
        <v>0</v>
      </c>
      <c r="S109" s="100">
        <v>0</v>
      </c>
      <c r="U109" s="100">
        <v>0</v>
      </c>
      <c r="V109" s="5">
        <f t="shared" si="28"/>
        <v>40250.467865798651</v>
      </c>
      <c r="W109" s="5">
        <f t="shared" si="29"/>
        <v>30515.896789839768</v>
      </c>
    </row>
    <row r="110" spans="1:23" ht="13">
      <c r="A110" s="92">
        <v>3013</v>
      </c>
      <c r="B110" s="93" t="s">
        <v>375</v>
      </c>
      <c r="C110" s="574">
        <v>0.81087740477078152</v>
      </c>
      <c r="D110" s="100">
        <f t="shared" si="15"/>
        <v>29752.785255689054</v>
      </c>
      <c r="E110" s="100">
        <f t="shared" si="16"/>
        <v>106604.22957113388</v>
      </c>
      <c r="F110" s="100">
        <f t="shared" si="25"/>
        <v>4165.4448194122997</v>
      </c>
      <c r="G110" s="100">
        <f t="shared" si="17"/>
        <v>14924.788787954269</v>
      </c>
      <c r="H110" s="100">
        <f t="shared" si="26"/>
        <v>1145.5110462423411</v>
      </c>
      <c r="I110" s="100">
        <f t="shared" si="18"/>
        <v>4104.3660786863084</v>
      </c>
      <c r="J110" s="100">
        <f t="shared" si="19"/>
        <v>719.82559212277783</v>
      </c>
      <c r="K110" s="100">
        <f t="shared" si="20"/>
        <v>2579.1350965759129</v>
      </c>
      <c r="L110" s="101">
        <f t="shared" si="21"/>
        <v>17503.923884530181</v>
      </c>
      <c r="M110" s="100">
        <f t="shared" si="22"/>
        <v>124108.15345566407</v>
      </c>
      <c r="N110" s="102">
        <f t="shared" si="23"/>
        <v>34638.055667224136</v>
      </c>
      <c r="O110" s="94">
        <f t="shared" si="24"/>
        <v>0.94401974283648016</v>
      </c>
      <c r="P110" s="100">
        <f>'Bef.fremskr. kommunenivå MMMM'!H105</f>
        <v>3583</v>
      </c>
      <c r="Q110" s="100"/>
      <c r="R110" s="100">
        <f t="shared" si="27"/>
        <v>0</v>
      </c>
      <c r="S110" s="100">
        <v>0</v>
      </c>
      <c r="U110" s="100">
        <v>0</v>
      </c>
      <c r="V110" s="5">
        <f t="shared" si="28"/>
        <v>106604.22957113388</v>
      </c>
      <c r="W110" s="5">
        <f t="shared" si="29"/>
        <v>29752.785255689054</v>
      </c>
    </row>
    <row r="111" spans="1:23" ht="13">
      <c r="A111" s="92">
        <v>3014</v>
      </c>
      <c r="B111" s="93" t="s">
        <v>1818</v>
      </c>
      <c r="C111" s="574">
        <v>0.83691234745731857</v>
      </c>
      <c r="D111" s="100">
        <f t="shared" si="15"/>
        <v>30708.061669039944</v>
      </c>
      <c r="E111" s="100">
        <f t="shared" si="16"/>
        <v>1415948.7235594317</v>
      </c>
      <c r="F111" s="100">
        <f t="shared" si="25"/>
        <v>3592.2789714017658</v>
      </c>
      <c r="G111" s="100">
        <f t="shared" si="17"/>
        <v>165639.98337133543</v>
      </c>
      <c r="H111" s="100">
        <f t="shared" si="26"/>
        <v>811.1643015695297</v>
      </c>
      <c r="I111" s="100">
        <f t="shared" si="18"/>
        <v>37402.785945371019</v>
      </c>
      <c r="J111" s="100">
        <f t="shared" si="19"/>
        <v>385.47884744996651</v>
      </c>
      <c r="K111" s="100">
        <f t="shared" si="20"/>
        <v>17774.429655917957</v>
      </c>
      <c r="L111" s="101">
        <f t="shared" si="21"/>
        <v>183414.41302725338</v>
      </c>
      <c r="M111" s="100">
        <f t="shared" si="22"/>
        <v>1599363.1365866852</v>
      </c>
      <c r="N111" s="102">
        <f t="shared" si="23"/>
        <v>34685.819487891677</v>
      </c>
      <c r="O111" s="94">
        <f t="shared" si="24"/>
        <v>0.94532148997080689</v>
      </c>
      <c r="P111" s="100">
        <f>'Bef.fremskr. kommunenivå MMMM'!H106</f>
        <v>46110</v>
      </c>
      <c r="Q111" s="100"/>
      <c r="R111" s="100">
        <f t="shared" si="27"/>
        <v>0</v>
      </c>
      <c r="S111" s="100">
        <v>0</v>
      </c>
      <c r="U111" s="100">
        <v>34563.311999999998</v>
      </c>
      <c r="V111" s="5">
        <f t="shared" si="28"/>
        <v>1381385.4115594318</v>
      </c>
      <c r="W111" s="5">
        <f t="shared" si="29"/>
        <v>29958.477804368507</v>
      </c>
    </row>
    <row r="112" spans="1:23" ht="13">
      <c r="A112" s="92">
        <v>3015</v>
      </c>
      <c r="B112" s="93" t="s">
        <v>376</v>
      </c>
      <c r="C112" s="574">
        <v>0.80838355840014686</v>
      </c>
      <c r="D112" s="100">
        <f t="shared" si="15"/>
        <v>29661.280824699086</v>
      </c>
      <c r="E112" s="100">
        <f t="shared" si="16"/>
        <v>115856.96290127463</v>
      </c>
      <c r="F112" s="100">
        <f t="shared" si="25"/>
        <v>4220.3474780062797</v>
      </c>
      <c r="G112" s="100">
        <f t="shared" si="17"/>
        <v>16484.677249092529</v>
      </c>
      <c r="H112" s="100">
        <f t="shared" si="26"/>
        <v>1177.5375970888299</v>
      </c>
      <c r="I112" s="100">
        <f t="shared" si="18"/>
        <v>4599.46185422897</v>
      </c>
      <c r="J112" s="100">
        <f t="shared" si="19"/>
        <v>751.85214296926665</v>
      </c>
      <c r="K112" s="100">
        <f t="shared" si="20"/>
        <v>2936.7344704379557</v>
      </c>
      <c r="L112" s="101">
        <f t="shared" si="21"/>
        <v>19421.411719530486</v>
      </c>
      <c r="M112" s="100">
        <f t="shared" si="22"/>
        <v>135278.37462080512</v>
      </c>
      <c r="N112" s="102">
        <f t="shared" si="23"/>
        <v>34633.480445674635</v>
      </c>
      <c r="O112" s="94">
        <f t="shared" si="24"/>
        <v>0.94389505051794842</v>
      </c>
      <c r="P112" s="100">
        <f>'Bef.fremskr. kommunenivå MMMM'!H107</f>
        <v>3906</v>
      </c>
      <c r="Q112" s="100"/>
      <c r="R112" s="100">
        <f t="shared" si="27"/>
        <v>0</v>
      </c>
      <c r="S112" s="100">
        <v>0</v>
      </c>
      <c r="U112" s="100">
        <v>2889.192333333333</v>
      </c>
      <c r="V112" s="5">
        <f t="shared" si="28"/>
        <v>112967.77056794129</v>
      </c>
      <c r="W112" s="5">
        <f t="shared" si="29"/>
        <v>28921.60024780883</v>
      </c>
    </row>
    <row r="113" spans="1:23" ht="13">
      <c r="A113" s="92">
        <v>3016</v>
      </c>
      <c r="B113" s="93" t="s">
        <v>377</v>
      </c>
      <c r="C113" s="574">
        <v>0.81566779036732562</v>
      </c>
      <c r="D113" s="100">
        <f t="shared" si="15"/>
        <v>29928.554506512133</v>
      </c>
      <c r="E113" s="100">
        <f t="shared" si="16"/>
        <v>251818.85761779308</v>
      </c>
      <c r="F113" s="100">
        <f t="shared" si="25"/>
        <v>4059.9832689184518</v>
      </c>
      <c r="G113" s="100">
        <f t="shared" si="17"/>
        <v>34160.699224679847</v>
      </c>
      <c r="H113" s="100">
        <f t="shared" si="26"/>
        <v>1083.9918084542633</v>
      </c>
      <c r="I113" s="100">
        <f t="shared" si="18"/>
        <v>9120.7070763341708</v>
      </c>
      <c r="J113" s="100">
        <f t="shared" si="19"/>
        <v>658.30635433470002</v>
      </c>
      <c r="K113" s="100">
        <f t="shared" si="20"/>
        <v>5538.9896653721662</v>
      </c>
      <c r="L113" s="101">
        <f t="shared" si="21"/>
        <v>39699.688890052013</v>
      </c>
      <c r="M113" s="100">
        <f t="shared" si="22"/>
        <v>291518.54650784511</v>
      </c>
      <c r="N113" s="102">
        <f t="shared" si="23"/>
        <v>34646.844129765283</v>
      </c>
      <c r="O113" s="94">
        <f t="shared" si="24"/>
        <v>0.94425926211630717</v>
      </c>
      <c r="P113" s="100">
        <f>'Bef.fremskr. kommunenivå MMMM'!H108</f>
        <v>8414</v>
      </c>
      <c r="Q113" s="100"/>
      <c r="R113" s="100">
        <f t="shared" si="27"/>
        <v>0</v>
      </c>
      <c r="S113" s="100">
        <v>0</v>
      </c>
      <c r="U113" s="100">
        <v>0</v>
      </c>
      <c r="V113" s="5">
        <f t="shared" si="28"/>
        <v>251818.85761779308</v>
      </c>
      <c r="W113" s="5">
        <f t="shared" si="29"/>
        <v>29928.554506512133</v>
      </c>
    </row>
    <row r="114" spans="1:23" ht="13">
      <c r="A114" s="92">
        <v>3017</v>
      </c>
      <c r="B114" s="93" t="s">
        <v>378</v>
      </c>
      <c r="C114" s="574">
        <v>0.87466263625931406</v>
      </c>
      <c r="D114" s="100">
        <f t="shared" si="15"/>
        <v>32093.198595359299</v>
      </c>
      <c r="E114" s="100">
        <f t="shared" si="16"/>
        <v>249652.99187329999</v>
      </c>
      <c r="F114" s="100">
        <f t="shared" si="25"/>
        <v>2761.1968156101525</v>
      </c>
      <c r="G114" s="100">
        <f t="shared" si="17"/>
        <v>21479.350028631379</v>
      </c>
      <c r="H114" s="100">
        <f t="shared" si="26"/>
        <v>326.36637735775525</v>
      </c>
      <c r="I114" s="100">
        <f t="shared" si="18"/>
        <v>2538.8040494659781</v>
      </c>
      <c r="J114" s="100">
        <f t="shared" si="19"/>
        <v>-99.319076761807935</v>
      </c>
      <c r="K114" s="100">
        <f t="shared" si="20"/>
        <v>-772.60309813010394</v>
      </c>
      <c r="L114" s="101">
        <f t="shared" si="21"/>
        <v>20706.746930501275</v>
      </c>
      <c r="M114" s="100">
        <f t="shared" si="22"/>
        <v>270359.73880380124</v>
      </c>
      <c r="N114" s="102">
        <f t="shared" si="23"/>
        <v>34755.076334207639</v>
      </c>
      <c r="O114" s="94">
        <f t="shared" si="24"/>
        <v>0.94720900441090661</v>
      </c>
      <c r="P114" s="100">
        <f>'Bef.fremskr. kommunenivå MMMM'!H109</f>
        <v>7779</v>
      </c>
      <c r="Q114" s="100"/>
      <c r="R114" s="100">
        <f t="shared" si="27"/>
        <v>0</v>
      </c>
      <c r="S114" s="100">
        <v>0</v>
      </c>
      <c r="U114" s="100">
        <v>0</v>
      </c>
      <c r="V114" s="5">
        <f t="shared" si="28"/>
        <v>249652.99187329999</v>
      </c>
      <c r="W114" s="5">
        <f t="shared" si="29"/>
        <v>32093.198595359299</v>
      </c>
    </row>
    <row r="115" spans="1:23" ht="13">
      <c r="A115" s="92">
        <v>3018</v>
      </c>
      <c r="B115" s="93" t="s">
        <v>379</v>
      </c>
      <c r="C115" s="574">
        <v>0.83952445809544152</v>
      </c>
      <c r="D115" s="100">
        <f t="shared" si="15"/>
        <v>30803.905462963568</v>
      </c>
      <c r="E115" s="100">
        <f t="shared" si="16"/>
        <v>188766.33267704074</v>
      </c>
      <c r="F115" s="100">
        <f t="shared" si="25"/>
        <v>3534.7726950475908</v>
      </c>
      <c r="G115" s="100">
        <f t="shared" si="17"/>
        <v>21661.087075251635</v>
      </c>
      <c r="H115" s="100">
        <f t="shared" si="26"/>
        <v>777.61897369626104</v>
      </c>
      <c r="I115" s="100">
        <f t="shared" si="18"/>
        <v>4765.249070810688</v>
      </c>
      <c r="J115" s="100">
        <f t="shared" si="19"/>
        <v>351.93351957669785</v>
      </c>
      <c r="K115" s="100">
        <f t="shared" si="20"/>
        <v>2156.6486079660044</v>
      </c>
      <c r="L115" s="101">
        <f t="shared" si="21"/>
        <v>23817.735683217637</v>
      </c>
      <c r="M115" s="100">
        <f t="shared" si="22"/>
        <v>212584.06836025836</v>
      </c>
      <c r="N115" s="102">
        <f t="shared" si="23"/>
        <v>34690.611677587855</v>
      </c>
      <c r="O115" s="94">
        <f t="shared" si="24"/>
        <v>0.94545209550271303</v>
      </c>
      <c r="P115" s="100">
        <f>'Bef.fremskr. kommunenivå MMMM'!H110</f>
        <v>6128</v>
      </c>
      <c r="Q115" s="100"/>
      <c r="R115" s="100">
        <f t="shared" si="27"/>
        <v>0</v>
      </c>
      <c r="S115" s="100">
        <v>0</v>
      </c>
      <c r="U115" s="100">
        <v>182.51566666666668</v>
      </c>
      <c r="V115" s="5">
        <f t="shared" si="28"/>
        <v>188583.81701037407</v>
      </c>
      <c r="W115" s="5">
        <f t="shared" si="29"/>
        <v>30774.121574799945</v>
      </c>
    </row>
    <row r="116" spans="1:23" ht="13">
      <c r="A116" s="92">
        <v>3019</v>
      </c>
      <c r="B116" s="93" t="s">
        <v>380</v>
      </c>
      <c r="C116" s="574">
        <v>0.97181138483547924</v>
      </c>
      <c r="D116" s="100">
        <f t="shared" si="15"/>
        <v>35657.789046689781</v>
      </c>
      <c r="E116" s="100">
        <f t="shared" si="16"/>
        <v>679316.539128487</v>
      </c>
      <c r="F116" s="100">
        <f t="shared" si="25"/>
        <v>622.44254481186363</v>
      </c>
      <c r="G116" s="100">
        <f t="shared" si="17"/>
        <v>11858.152921210814</v>
      </c>
      <c r="H116" s="100">
        <f t="shared" si="26"/>
        <v>0</v>
      </c>
      <c r="I116" s="100">
        <f t="shared" si="18"/>
        <v>0</v>
      </c>
      <c r="J116" s="100">
        <f t="shared" si="19"/>
        <v>-425.68545411956319</v>
      </c>
      <c r="K116" s="100">
        <f t="shared" si="20"/>
        <v>-8109.7335864317984</v>
      </c>
      <c r="L116" s="101">
        <f t="shared" si="21"/>
        <v>3748.419334779016</v>
      </c>
      <c r="M116" s="100">
        <f t="shared" si="22"/>
        <v>683064.95846326603</v>
      </c>
      <c r="N116" s="102">
        <f t="shared" si="23"/>
        <v>35854.54613738208</v>
      </c>
      <c r="O116" s="94">
        <f t="shared" si="24"/>
        <v>0.97717376948954615</v>
      </c>
      <c r="P116" s="100">
        <f>'Bef.fremskr. kommunenivå MMMM'!H111</f>
        <v>19051</v>
      </c>
      <c r="Q116" s="100"/>
      <c r="R116" s="100">
        <f t="shared" si="27"/>
        <v>0</v>
      </c>
      <c r="S116" s="100">
        <v>0</v>
      </c>
      <c r="U116" s="100">
        <v>0</v>
      </c>
      <c r="V116" s="5">
        <f t="shared" si="28"/>
        <v>679316.539128487</v>
      </c>
      <c r="W116" s="5">
        <f t="shared" si="29"/>
        <v>35657.789046689781</v>
      </c>
    </row>
    <row r="117" spans="1:23" ht="13">
      <c r="A117" s="92">
        <v>3020</v>
      </c>
      <c r="B117" s="93" t="s">
        <v>1819</v>
      </c>
      <c r="C117" s="574">
        <v>1.1228658997729535</v>
      </c>
      <c r="D117" s="100">
        <f t="shared" si="15"/>
        <v>41200.294631868084</v>
      </c>
      <c r="E117" s="100">
        <f t="shared" si="16"/>
        <v>2548320.6235703048</v>
      </c>
      <c r="F117" s="100">
        <f t="shared" si="25"/>
        <v>-2703.0608062951183</v>
      </c>
      <c r="G117" s="100">
        <f t="shared" si="17"/>
        <v>-167189.71699096565</v>
      </c>
      <c r="H117" s="100">
        <f t="shared" si="26"/>
        <v>0</v>
      </c>
      <c r="I117" s="100">
        <f t="shared" si="18"/>
        <v>0</v>
      </c>
      <c r="J117" s="100">
        <f t="shared" si="19"/>
        <v>-425.68545411956319</v>
      </c>
      <c r="K117" s="100">
        <f t="shared" si="20"/>
        <v>-26329.496708203224</v>
      </c>
      <c r="L117" s="101">
        <f t="shared" si="21"/>
        <v>-193519.21369916887</v>
      </c>
      <c r="M117" s="100">
        <f t="shared" si="22"/>
        <v>2354801.4098711358</v>
      </c>
      <c r="N117" s="102">
        <f t="shared" si="23"/>
        <v>38071.548371453398</v>
      </c>
      <c r="O117" s="94">
        <f t="shared" si="24"/>
        <v>1.0375955754645358</v>
      </c>
      <c r="P117" s="100">
        <f>'Bef.fremskr. kommunenivå MMMM'!H112</f>
        <v>61852</v>
      </c>
      <c r="Q117" s="100"/>
      <c r="R117" s="100">
        <f t="shared" si="27"/>
        <v>0</v>
      </c>
      <c r="S117" s="100">
        <v>0</v>
      </c>
      <c r="U117" s="100">
        <v>0</v>
      </c>
      <c r="V117" s="5">
        <f t="shared" si="28"/>
        <v>2548320.6235703048</v>
      </c>
      <c r="W117" s="5">
        <f t="shared" si="29"/>
        <v>41200.294631868084</v>
      </c>
    </row>
    <row r="118" spans="1:23" ht="13">
      <c r="A118" s="92">
        <v>3021</v>
      </c>
      <c r="B118" s="93" t="s">
        <v>381</v>
      </c>
      <c r="C118" s="574">
        <v>0.93149586321180633</v>
      </c>
      <c r="D118" s="100">
        <f t="shared" si="15"/>
        <v>34178.528371422472</v>
      </c>
      <c r="E118" s="100">
        <f t="shared" si="16"/>
        <v>732377.50594284071</v>
      </c>
      <c r="F118" s="100">
        <f t="shared" si="25"/>
        <v>1509.998949972249</v>
      </c>
      <c r="G118" s="100">
        <f t="shared" si="17"/>
        <v>32356.257500005351</v>
      </c>
      <c r="H118" s="100">
        <f t="shared" si="26"/>
        <v>0</v>
      </c>
      <c r="I118" s="100">
        <f t="shared" si="18"/>
        <v>0</v>
      </c>
      <c r="J118" s="100">
        <f t="shared" si="19"/>
        <v>-425.68545411956319</v>
      </c>
      <c r="K118" s="100">
        <f t="shared" si="20"/>
        <v>-9121.5879108739991</v>
      </c>
      <c r="L118" s="101">
        <f t="shared" si="21"/>
        <v>23234.66958913135</v>
      </c>
      <c r="M118" s="100">
        <f t="shared" si="22"/>
        <v>755612.17553197197</v>
      </c>
      <c r="N118" s="102">
        <f t="shared" si="23"/>
        <v>35262.84186727515</v>
      </c>
      <c r="O118" s="94">
        <f t="shared" si="24"/>
        <v>0.96104756084007681</v>
      </c>
      <c r="P118" s="100">
        <f>'Bef.fremskr. kommunenivå MMMM'!H113</f>
        <v>21428</v>
      </c>
      <c r="Q118" s="100"/>
      <c r="R118" s="100">
        <f t="shared" si="27"/>
        <v>0</v>
      </c>
      <c r="S118" s="100">
        <v>0</v>
      </c>
      <c r="U118" s="100">
        <v>0</v>
      </c>
      <c r="V118" s="5">
        <f t="shared" si="28"/>
        <v>732377.50594284071</v>
      </c>
      <c r="W118" s="5">
        <f t="shared" si="29"/>
        <v>34178.528371422472</v>
      </c>
    </row>
    <row r="119" spans="1:23" ht="13">
      <c r="A119" s="92">
        <v>3022</v>
      </c>
      <c r="B119" s="93" t="s">
        <v>382</v>
      </c>
      <c r="C119" s="574">
        <v>1.2023765542946121</v>
      </c>
      <c r="D119" s="100">
        <f t="shared" si="15"/>
        <v>44117.706580460879</v>
      </c>
      <c r="E119" s="100">
        <f t="shared" si="16"/>
        <v>715456.84761533409</v>
      </c>
      <c r="F119" s="100">
        <f t="shared" si="25"/>
        <v>-4453.5079754507951</v>
      </c>
      <c r="G119" s="100">
        <f t="shared" si="17"/>
        <v>-72222.538837885542</v>
      </c>
      <c r="H119" s="100">
        <f t="shared" si="26"/>
        <v>0</v>
      </c>
      <c r="I119" s="100">
        <f t="shared" si="18"/>
        <v>0</v>
      </c>
      <c r="J119" s="100">
        <f t="shared" si="19"/>
        <v>-425.68545411956319</v>
      </c>
      <c r="K119" s="100">
        <f t="shared" si="20"/>
        <v>-6903.3410094569563</v>
      </c>
      <c r="L119" s="101">
        <f t="shared" si="21"/>
        <v>-79125.879847342498</v>
      </c>
      <c r="M119" s="100">
        <f t="shared" si="22"/>
        <v>636330.96776799159</v>
      </c>
      <c r="N119" s="102">
        <f t="shared" si="23"/>
        <v>39238.513150890518</v>
      </c>
      <c r="O119" s="94">
        <f t="shared" si="24"/>
        <v>1.0693998372731994</v>
      </c>
      <c r="P119" s="100">
        <f>'Bef.fremskr. kommunenivå MMMM'!H114</f>
        <v>16217</v>
      </c>
      <c r="Q119" s="100"/>
      <c r="R119" s="100">
        <f t="shared" si="27"/>
        <v>0</v>
      </c>
      <c r="S119" s="100">
        <v>0</v>
      </c>
      <c r="U119" s="100">
        <v>0</v>
      </c>
      <c r="V119" s="5">
        <f t="shared" si="28"/>
        <v>715456.84761533409</v>
      </c>
      <c r="W119" s="5">
        <f t="shared" si="29"/>
        <v>44117.706580460879</v>
      </c>
    </row>
    <row r="120" spans="1:23" ht="13">
      <c r="A120" s="92">
        <v>3023</v>
      </c>
      <c r="B120" s="93" t="s">
        <v>383</v>
      </c>
      <c r="C120" s="574">
        <v>1.0476320022909977</v>
      </c>
      <c r="D120" s="100">
        <f t="shared" si="15"/>
        <v>38439.805829788427</v>
      </c>
      <c r="E120" s="100">
        <f t="shared" si="16"/>
        <v>771410.02339219418</v>
      </c>
      <c r="F120" s="100">
        <f t="shared" si="25"/>
        <v>-1046.7675250473242</v>
      </c>
      <c r="G120" s="100">
        <f t="shared" si="17"/>
        <v>-21006.5306926497</v>
      </c>
      <c r="H120" s="100">
        <f t="shared" si="26"/>
        <v>0</v>
      </c>
      <c r="I120" s="100">
        <f t="shared" si="18"/>
        <v>0</v>
      </c>
      <c r="J120" s="100">
        <f t="shared" si="19"/>
        <v>-425.68545411956319</v>
      </c>
      <c r="K120" s="100">
        <f t="shared" si="20"/>
        <v>-8542.6556932713956</v>
      </c>
      <c r="L120" s="101">
        <f t="shared" si="21"/>
        <v>-29549.186385921093</v>
      </c>
      <c r="M120" s="100">
        <f t="shared" si="22"/>
        <v>741860.8370062731</v>
      </c>
      <c r="N120" s="102">
        <f t="shared" si="23"/>
        <v>36967.352850621544</v>
      </c>
      <c r="O120" s="94">
        <f t="shared" si="24"/>
        <v>1.0075020164717536</v>
      </c>
      <c r="P120" s="100">
        <f>'Bef.fremskr. kommunenivå MMMM'!H115</f>
        <v>20068</v>
      </c>
      <c r="Q120" s="100"/>
      <c r="R120" s="100">
        <f t="shared" si="27"/>
        <v>0</v>
      </c>
      <c r="S120" s="100">
        <v>0</v>
      </c>
      <c r="U120" s="100">
        <v>0</v>
      </c>
      <c r="V120" s="5">
        <f t="shared" si="28"/>
        <v>771410.02339219418</v>
      </c>
      <c r="W120" s="5">
        <f t="shared" si="29"/>
        <v>38439.805829788427</v>
      </c>
    </row>
    <row r="121" spans="1:23" ht="13">
      <c r="A121" s="92">
        <v>3024</v>
      </c>
      <c r="B121" s="93" t="s">
        <v>386</v>
      </c>
      <c r="C121" s="574">
        <v>1.6593899425769842</v>
      </c>
      <c r="D121" s="100">
        <f t="shared" si="15"/>
        <v>60886.48213215352</v>
      </c>
      <c r="E121" s="100">
        <f t="shared" si="16"/>
        <v>7910554.4180557812</v>
      </c>
      <c r="F121" s="100">
        <f t="shared" si="25"/>
        <v>-14514.773306466379</v>
      </c>
      <c r="G121" s="100">
        <f t="shared" si="17"/>
        <v>-1885802.8922960314</v>
      </c>
      <c r="H121" s="100">
        <f t="shared" si="26"/>
        <v>0</v>
      </c>
      <c r="I121" s="100">
        <f t="shared" si="18"/>
        <v>0</v>
      </c>
      <c r="J121" s="100">
        <f t="shared" si="19"/>
        <v>-425.68545411956319</v>
      </c>
      <c r="K121" s="100">
        <f t="shared" si="20"/>
        <v>-55306.331255576006</v>
      </c>
      <c r="L121" s="101">
        <f t="shared" si="21"/>
        <v>-1941109.2235516075</v>
      </c>
      <c r="M121" s="100">
        <f t="shared" si="22"/>
        <v>5969445.1945041744</v>
      </c>
      <c r="N121" s="102">
        <f t="shared" si="23"/>
        <v>45946.023371567579</v>
      </c>
      <c r="O121" s="94">
        <f t="shared" si="24"/>
        <v>1.2522051925861486</v>
      </c>
      <c r="P121" s="100">
        <f>'Bef.fremskr. kommunenivå MMMM'!H116</f>
        <v>129923</v>
      </c>
      <c r="Q121" s="100"/>
      <c r="R121" s="100">
        <f t="shared" si="27"/>
        <v>0</v>
      </c>
      <c r="S121" s="100">
        <v>0</v>
      </c>
      <c r="U121" s="100">
        <v>0</v>
      </c>
      <c r="V121" s="5">
        <f t="shared" si="28"/>
        <v>7910554.4180557812</v>
      </c>
      <c r="W121" s="5">
        <f t="shared" si="29"/>
        <v>60886.48213215352</v>
      </c>
    </row>
    <row r="122" spans="1:23" ht="13">
      <c r="A122" s="92">
        <v>3025</v>
      </c>
      <c r="B122" s="93" t="s">
        <v>387</v>
      </c>
      <c r="C122" s="574">
        <v>1.3594160928511361</v>
      </c>
      <c r="D122" s="100">
        <f t="shared" si="15"/>
        <v>49879.815180151774</v>
      </c>
      <c r="E122" s="100">
        <f t="shared" si="16"/>
        <v>4842482.0971346749</v>
      </c>
      <c r="F122" s="100">
        <f t="shared" si="25"/>
        <v>-7910.7731352653318</v>
      </c>
      <c r="G122" s="100">
        <f t="shared" si="17"/>
        <v>-768001.58829096425</v>
      </c>
      <c r="H122" s="100">
        <f t="shared" si="26"/>
        <v>0</v>
      </c>
      <c r="I122" s="100">
        <f t="shared" si="18"/>
        <v>0</v>
      </c>
      <c r="J122" s="100">
        <f t="shared" si="19"/>
        <v>-425.68545411956319</v>
      </c>
      <c r="K122" s="100">
        <f t="shared" si="20"/>
        <v>-41326.820942289552</v>
      </c>
      <c r="L122" s="101">
        <f t="shared" si="21"/>
        <v>-809328.4092332538</v>
      </c>
      <c r="M122" s="100">
        <f t="shared" si="22"/>
        <v>4033153.6879014215</v>
      </c>
      <c r="N122" s="102">
        <f t="shared" si="23"/>
        <v>41543.356590766889</v>
      </c>
      <c r="O122" s="94">
        <f t="shared" si="24"/>
        <v>1.1322156526958094</v>
      </c>
      <c r="P122" s="100">
        <f>'Bef.fremskr. kommunenivå MMMM'!H117</f>
        <v>97083</v>
      </c>
      <c r="Q122" s="100"/>
      <c r="R122" s="100">
        <f t="shared" si="27"/>
        <v>0</v>
      </c>
      <c r="S122" s="100">
        <v>0</v>
      </c>
      <c r="U122" s="100">
        <v>0</v>
      </c>
      <c r="V122" s="5">
        <f t="shared" si="28"/>
        <v>4842482.0971346749</v>
      </c>
      <c r="W122" s="5">
        <f t="shared" si="29"/>
        <v>49879.815180151774</v>
      </c>
    </row>
    <row r="123" spans="1:23" ht="13">
      <c r="A123" s="92">
        <v>3026</v>
      </c>
      <c r="B123" s="93" t="s">
        <v>388</v>
      </c>
      <c r="C123" s="574">
        <v>0.79138219105277774</v>
      </c>
      <c r="D123" s="100">
        <f t="shared" si="15"/>
        <v>29037.465154459333</v>
      </c>
      <c r="E123" s="100">
        <f t="shared" si="16"/>
        <v>518870.46484503383</v>
      </c>
      <c r="F123" s="100">
        <f t="shared" si="25"/>
        <v>4594.6368801501321</v>
      </c>
      <c r="G123" s="100">
        <f t="shared" si="17"/>
        <v>82101.566411402717</v>
      </c>
      <c r="H123" s="100">
        <f t="shared" si="26"/>
        <v>1395.8730816727436</v>
      </c>
      <c r="I123" s="100">
        <f t="shared" si="18"/>
        <v>24942.856096410254</v>
      </c>
      <c r="J123" s="100">
        <f t="shared" si="19"/>
        <v>970.18762755318039</v>
      </c>
      <c r="K123" s="100">
        <f t="shared" si="20"/>
        <v>17336.282716747781</v>
      </c>
      <c r="L123" s="101">
        <f t="shared" si="21"/>
        <v>99437.849128150498</v>
      </c>
      <c r="M123" s="100">
        <f t="shared" si="22"/>
        <v>618308.31397318444</v>
      </c>
      <c r="N123" s="102">
        <f t="shared" si="23"/>
        <v>34602.289662162657</v>
      </c>
      <c r="O123" s="94">
        <f t="shared" si="24"/>
        <v>0.94304498215058019</v>
      </c>
      <c r="P123" s="100">
        <f>'Bef.fremskr. kommunenivå MMMM'!H118</f>
        <v>17869</v>
      </c>
      <c r="Q123" s="100"/>
      <c r="R123" s="100">
        <f t="shared" si="27"/>
        <v>0</v>
      </c>
      <c r="S123" s="100">
        <v>0</v>
      </c>
      <c r="U123" s="100">
        <v>0</v>
      </c>
      <c r="V123" s="5">
        <f t="shared" si="28"/>
        <v>518870.46484503383</v>
      </c>
      <c r="W123" s="5">
        <f t="shared" si="29"/>
        <v>29037.465154459333</v>
      </c>
    </row>
    <row r="124" spans="1:23" ht="13">
      <c r="A124" s="92">
        <v>3027</v>
      </c>
      <c r="B124" s="93" t="s">
        <v>389</v>
      </c>
      <c r="C124" s="574">
        <v>1.0018636846186717</v>
      </c>
      <c r="D124" s="100">
        <f t="shared" si="15"/>
        <v>36760.470680964288</v>
      </c>
      <c r="E124" s="100">
        <f t="shared" si="16"/>
        <v>717968.75286991347</v>
      </c>
      <c r="F124" s="100">
        <f t="shared" si="25"/>
        <v>-39.16643575284106</v>
      </c>
      <c r="G124" s="100">
        <f t="shared" si="17"/>
        <v>-764.95965668873873</v>
      </c>
      <c r="H124" s="100">
        <f t="shared" si="26"/>
        <v>0</v>
      </c>
      <c r="I124" s="100">
        <f t="shared" si="18"/>
        <v>0</v>
      </c>
      <c r="J124" s="100">
        <f t="shared" si="19"/>
        <v>-425.68545411956319</v>
      </c>
      <c r="K124" s="100">
        <f t="shared" si="20"/>
        <v>-8314.0626044091896</v>
      </c>
      <c r="L124" s="101">
        <f t="shared" si="21"/>
        <v>-9079.022261097929</v>
      </c>
      <c r="M124" s="100">
        <f t="shared" si="22"/>
        <v>708889.73060881556</v>
      </c>
      <c r="N124" s="102">
        <f t="shared" si="23"/>
        <v>36295.618791091882</v>
      </c>
      <c r="O124" s="94">
        <f t="shared" si="24"/>
        <v>0.98919468940282307</v>
      </c>
      <c r="P124" s="100">
        <f>'Bef.fremskr. kommunenivå MMMM'!H119</f>
        <v>19531</v>
      </c>
      <c r="Q124" s="100"/>
      <c r="R124" s="100">
        <f t="shared" si="27"/>
        <v>0</v>
      </c>
      <c r="S124" s="100">
        <v>0</v>
      </c>
      <c r="U124" s="100">
        <v>12.209666666666669</v>
      </c>
      <c r="V124" s="5">
        <f t="shared" si="28"/>
        <v>717956.54320324678</v>
      </c>
      <c r="W124" s="5">
        <f t="shared" si="29"/>
        <v>36759.845538029127</v>
      </c>
    </row>
    <row r="125" spans="1:23" ht="13">
      <c r="A125" s="92">
        <v>3028</v>
      </c>
      <c r="B125" s="93" t="s">
        <v>390</v>
      </c>
      <c r="C125" s="574">
        <v>0.84244497144084229</v>
      </c>
      <c r="D125" s="100">
        <f t="shared" si="15"/>
        <v>30911.065196223921</v>
      </c>
      <c r="E125" s="100">
        <f t="shared" si="16"/>
        <v>353220.74199725076</v>
      </c>
      <c r="F125" s="100">
        <f t="shared" si="25"/>
        <v>3470.4768550913795</v>
      </c>
      <c r="G125" s="100">
        <f t="shared" si="17"/>
        <v>39657.139023129195</v>
      </c>
      <c r="H125" s="100">
        <f t="shared" si="26"/>
        <v>740.11306705513778</v>
      </c>
      <c r="I125" s="100">
        <f t="shared" si="18"/>
        <v>8457.27201723906</v>
      </c>
      <c r="J125" s="100">
        <f t="shared" si="19"/>
        <v>314.42761293557459</v>
      </c>
      <c r="K125" s="100">
        <f t="shared" si="20"/>
        <v>3592.964333014811</v>
      </c>
      <c r="L125" s="101">
        <f t="shared" si="21"/>
        <v>43250.103356144005</v>
      </c>
      <c r="M125" s="100">
        <f t="shared" si="22"/>
        <v>396470.84535339475</v>
      </c>
      <c r="N125" s="102">
        <f t="shared" si="23"/>
        <v>34695.969664250872</v>
      </c>
      <c r="O125" s="94">
        <f t="shared" si="24"/>
        <v>0.94559812116998299</v>
      </c>
      <c r="P125" s="100">
        <f>'Bef.fremskr. kommunenivå MMMM'!H120</f>
        <v>11427</v>
      </c>
      <c r="Q125" s="100"/>
      <c r="R125" s="100">
        <f t="shared" si="27"/>
        <v>0</v>
      </c>
      <c r="S125" s="100">
        <v>0</v>
      </c>
      <c r="U125" s="100">
        <v>9.2296666666666667</v>
      </c>
      <c r="V125" s="5">
        <f t="shared" si="28"/>
        <v>353211.51233058411</v>
      </c>
      <c r="W125" s="5">
        <f t="shared" si="29"/>
        <v>30910.257489330892</v>
      </c>
    </row>
    <row r="126" spans="1:23" ht="13">
      <c r="A126" s="92">
        <v>3029</v>
      </c>
      <c r="B126" s="93" t="s">
        <v>391</v>
      </c>
      <c r="C126" s="574">
        <v>1.0265637841510953</v>
      </c>
      <c r="D126" s="100">
        <f t="shared" si="15"/>
        <v>37666.768911570536</v>
      </c>
      <c r="E126" s="100">
        <f t="shared" si="16"/>
        <v>1749169.4147155124</v>
      </c>
      <c r="F126" s="100">
        <f t="shared" si="25"/>
        <v>-582.94537411658962</v>
      </c>
      <c r="G126" s="100">
        <f t="shared" si="17"/>
        <v>-27070.817283226188</v>
      </c>
      <c r="H126" s="100">
        <f t="shared" si="26"/>
        <v>0</v>
      </c>
      <c r="I126" s="100">
        <f t="shared" si="18"/>
        <v>0</v>
      </c>
      <c r="J126" s="100">
        <f t="shared" si="19"/>
        <v>-425.68545411956319</v>
      </c>
      <c r="K126" s="100">
        <f t="shared" si="20"/>
        <v>-19767.981118404277</v>
      </c>
      <c r="L126" s="101">
        <f t="shared" si="21"/>
        <v>-46838.798401630469</v>
      </c>
      <c r="M126" s="100">
        <f t="shared" si="22"/>
        <v>1702330.6163138819</v>
      </c>
      <c r="N126" s="102">
        <f t="shared" si="23"/>
        <v>36658.138083334379</v>
      </c>
      <c r="O126" s="94">
        <f t="shared" si="24"/>
        <v>0.99907472921579255</v>
      </c>
      <c r="P126" s="100">
        <f>'Bef.fremskr. kommunenivå MMMM'!H121</f>
        <v>46438</v>
      </c>
      <c r="Q126" s="100"/>
      <c r="R126" s="100">
        <f t="shared" si="27"/>
        <v>0</v>
      </c>
      <c r="S126" s="100">
        <v>0</v>
      </c>
      <c r="U126" s="100">
        <v>0</v>
      </c>
      <c r="V126" s="5">
        <f t="shared" si="28"/>
        <v>1749169.4147155124</v>
      </c>
      <c r="W126" s="5">
        <f t="shared" si="29"/>
        <v>37666.768911570536</v>
      </c>
    </row>
    <row r="127" spans="1:23" ht="13">
      <c r="A127" s="92">
        <v>3030</v>
      </c>
      <c r="B127" s="93" t="s">
        <v>1820</v>
      </c>
      <c r="C127" s="574">
        <v>1.004254385129431</v>
      </c>
      <c r="D127" s="100">
        <f t="shared" si="15"/>
        <v>36848.190474966184</v>
      </c>
      <c r="E127" s="100">
        <f t="shared" si="16"/>
        <v>3341836.090555633</v>
      </c>
      <c r="F127" s="100">
        <f t="shared" si="25"/>
        <v>-91.798312153978614</v>
      </c>
      <c r="G127" s="100">
        <f t="shared" si="17"/>
        <v>-8325.3725258686281</v>
      </c>
      <c r="H127" s="100">
        <f t="shared" si="26"/>
        <v>0</v>
      </c>
      <c r="I127" s="100">
        <f t="shared" si="18"/>
        <v>0</v>
      </c>
      <c r="J127" s="100">
        <f t="shared" si="19"/>
        <v>-425.68545411956319</v>
      </c>
      <c r="K127" s="100">
        <f t="shared" si="20"/>
        <v>-38606.265205011427</v>
      </c>
      <c r="L127" s="101">
        <f t="shared" si="21"/>
        <v>-46931.637730880058</v>
      </c>
      <c r="M127" s="100">
        <f t="shared" si="22"/>
        <v>3294904.4528247532</v>
      </c>
      <c r="N127" s="102">
        <f t="shared" si="23"/>
        <v>36330.706708692647</v>
      </c>
      <c r="O127" s="94">
        <f t="shared" si="24"/>
        <v>0.99015096960712701</v>
      </c>
      <c r="P127" s="100">
        <f>'Bef.fremskr. kommunenivå MMMM'!H122</f>
        <v>90692</v>
      </c>
      <c r="Q127" s="100"/>
      <c r="R127" s="100">
        <f t="shared" si="27"/>
        <v>0</v>
      </c>
      <c r="S127" s="100">
        <v>0</v>
      </c>
      <c r="U127" s="100">
        <v>2269.7153333333331</v>
      </c>
      <c r="V127" s="5">
        <f t="shared" si="28"/>
        <v>3339566.3752222997</v>
      </c>
      <c r="W127" s="5">
        <f t="shared" si="29"/>
        <v>36823.163842701666</v>
      </c>
    </row>
    <row r="128" spans="1:23" ht="13">
      <c r="A128" s="92">
        <v>3031</v>
      </c>
      <c r="B128" s="93" t="s">
        <v>392</v>
      </c>
      <c r="C128" s="574">
        <v>1.0510863303231193</v>
      </c>
      <c r="D128" s="100">
        <f t="shared" si="15"/>
        <v>38566.55233861669</v>
      </c>
      <c r="E128" s="100">
        <f t="shared" si="16"/>
        <v>975849.47382401815</v>
      </c>
      <c r="F128" s="100">
        <f t="shared" si="25"/>
        <v>-1122.8154303442818</v>
      </c>
      <c r="G128" s="100">
        <f t="shared" si="17"/>
        <v>-28410.598834001361</v>
      </c>
      <c r="H128" s="100">
        <f t="shared" si="26"/>
        <v>0</v>
      </c>
      <c r="I128" s="100">
        <f t="shared" si="18"/>
        <v>0</v>
      </c>
      <c r="J128" s="100">
        <f t="shared" si="19"/>
        <v>-425.68545411956319</v>
      </c>
      <c r="K128" s="100">
        <f t="shared" si="20"/>
        <v>-10771.119045587307</v>
      </c>
      <c r="L128" s="101">
        <f t="shared" si="21"/>
        <v>-39181.717879588672</v>
      </c>
      <c r="M128" s="100">
        <f t="shared" si="22"/>
        <v>936667.75594442955</v>
      </c>
      <c r="N128" s="102">
        <f t="shared" si="23"/>
        <v>37018.051454152846</v>
      </c>
      <c r="O128" s="94">
        <f t="shared" si="24"/>
        <v>1.0088837476846022</v>
      </c>
      <c r="P128" s="100">
        <f>'Bef.fremskr. kommunenivå MMMM'!H123</f>
        <v>25303</v>
      </c>
      <c r="Q128" s="100"/>
      <c r="R128" s="100">
        <f t="shared" si="27"/>
        <v>0</v>
      </c>
      <c r="S128" s="100">
        <v>0</v>
      </c>
      <c r="U128" s="100">
        <v>0</v>
      </c>
      <c r="V128" s="5">
        <f t="shared" si="28"/>
        <v>975849.47382401815</v>
      </c>
      <c r="W128" s="5">
        <f t="shared" si="29"/>
        <v>38566.55233861669</v>
      </c>
    </row>
    <row r="129" spans="1:23" ht="13">
      <c r="A129" s="92">
        <v>3032</v>
      </c>
      <c r="B129" s="93" t="s">
        <v>393</v>
      </c>
      <c r="C129" s="574">
        <v>1.0981979984983532</v>
      </c>
      <c r="D129" s="100">
        <f t="shared" si="15"/>
        <v>40295.177822577796</v>
      </c>
      <c r="E129" s="100">
        <f t="shared" si="16"/>
        <v>284927.20238344761</v>
      </c>
      <c r="F129" s="100">
        <f t="shared" si="25"/>
        <v>-2159.9907207209458</v>
      </c>
      <c r="G129" s="100">
        <f t="shared" si="17"/>
        <v>-15273.294386217809</v>
      </c>
      <c r="H129" s="100">
        <f t="shared" si="26"/>
        <v>0</v>
      </c>
      <c r="I129" s="100">
        <f t="shared" si="18"/>
        <v>0</v>
      </c>
      <c r="J129" s="100">
        <f t="shared" si="19"/>
        <v>-425.68545411956319</v>
      </c>
      <c r="K129" s="100">
        <f t="shared" si="20"/>
        <v>-3010.0218460794313</v>
      </c>
      <c r="L129" s="101">
        <f t="shared" si="21"/>
        <v>-18283.316232297242</v>
      </c>
      <c r="M129" s="100">
        <f t="shared" si="22"/>
        <v>266643.88615115033</v>
      </c>
      <c r="N129" s="102">
        <f t="shared" si="23"/>
        <v>37709.501647737285</v>
      </c>
      <c r="O129" s="94">
        <f t="shared" si="24"/>
        <v>1.0277284149546957</v>
      </c>
      <c r="P129" s="100">
        <f>'Bef.fremskr. kommunenivå MMMM'!H124</f>
        <v>7071</v>
      </c>
      <c r="Q129" s="100"/>
      <c r="R129" s="100">
        <f t="shared" si="27"/>
        <v>0</v>
      </c>
      <c r="S129" s="100">
        <v>0</v>
      </c>
      <c r="U129" s="100">
        <v>0</v>
      </c>
      <c r="V129" s="5">
        <f t="shared" si="28"/>
        <v>284927.20238344761</v>
      </c>
      <c r="W129" s="5">
        <f t="shared" si="29"/>
        <v>40295.177822577796</v>
      </c>
    </row>
    <row r="130" spans="1:23" ht="13">
      <c r="A130" s="92">
        <v>3033</v>
      </c>
      <c r="B130" s="93" t="s">
        <v>394</v>
      </c>
      <c r="C130" s="574">
        <v>0.91925155009130155</v>
      </c>
      <c r="D130" s="100">
        <f t="shared" si="15"/>
        <v>33729.258954449666</v>
      </c>
      <c r="E130" s="100">
        <f t="shared" si="16"/>
        <v>1442870.2395534478</v>
      </c>
      <c r="F130" s="100">
        <f t="shared" si="25"/>
        <v>1779.5606001559324</v>
      </c>
      <c r="G130" s="100">
        <f t="shared" si="17"/>
        <v>76126.043353470479</v>
      </c>
      <c r="H130" s="100">
        <f t="shared" si="26"/>
        <v>0</v>
      </c>
      <c r="I130" s="100">
        <f t="shared" si="18"/>
        <v>0</v>
      </c>
      <c r="J130" s="100">
        <f t="shared" si="19"/>
        <v>-425.68545411956319</v>
      </c>
      <c r="K130" s="100">
        <f t="shared" si="20"/>
        <v>-18209.972356326674</v>
      </c>
      <c r="L130" s="101">
        <f t="shared" si="21"/>
        <v>57916.070997143805</v>
      </c>
      <c r="M130" s="100">
        <f t="shared" si="22"/>
        <v>1500786.3105505917</v>
      </c>
      <c r="N130" s="102">
        <f t="shared" si="23"/>
        <v>35083.134100486037</v>
      </c>
      <c r="O130" s="94">
        <f t="shared" si="24"/>
        <v>0.95614983559187516</v>
      </c>
      <c r="P130" s="100">
        <f>'Bef.fremskr. kommunenivå MMMM'!H125</f>
        <v>42778</v>
      </c>
      <c r="Q130" s="100"/>
      <c r="R130" s="100">
        <f t="shared" si="27"/>
        <v>0</v>
      </c>
      <c r="S130" s="100">
        <v>0</v>
      </c>
      <c r="U130" s="100">
        <v>0</v>
      </c>
      <c r="V130" s="5">
        <f t="shared" si="28"/>
        <v>1442870.2395534478</v>
      </c>
      <c r="W130" s="5">
        <f t="shared" si="29"/>
        <v>33729.258954449666</v>
      </c>
    </row>
    <row r="131" spans="1:23" ht="13">
      <c r="A131" s="92">
        <v>3034</v>
      </c>
      <c r="B131" s="93" t="s">
        <v>395</v>
      </c>
      <c r="C131" s="574">
        <v>0.84091203631341782</v>
      </c>
      <c r="D131" s="100">
        <f t="shared" si="15"/>
        <v>30854.818605322725</v>
      </c>
      <c r="E131" s="100">
        <f t="shared" si="16"/>
        <v>750913.72039773921</v>
      </c>
      <c r="F131" s="100">
        <f t="shared" si="25"/>
        <v>3504.2248096320968</v>
      </c>
      <c r="G131" s="100">
        <f t="shared" si="17"/>
        <v>85282.319192016337</v>
      </c>
      <c r="H131" s="100">
        <f t="shared" si="26"/>
        <v>759.79937387055611</v>
      </c>
      <c r="I131" s="100">
        <f t="shared" si="18"/>
        <v>18491.237361887725</v>
      </c>
      <c r="J131" s="100">
        <f t="shared" si="19"/>
        <v>334.11391975099292</v>
      </c>
      <c r="K131" s="100">
        <f t="shared" si="20"/>
        <v>8131.3304649799147</v>
      </c>
      <c r="L131" s="101">
        <f t="shared" si="21"/>
        <v>93413.649656996247</v>
      </c>
      <c r="M131" s="100">
        <f t="shared" si="22"/>
        <v>844327.37005473545</v>
      </c>
      <c r="N131" s="102">
        <f t="shared" si="23"/>
        <v>34693.157334705815</v>
      </c>
      <c r="O131" s="94">
        <f t="shared" si="24"/>
        <v>0.9455214744136119</v>
      </c>
      <c r="P131" s="100">
        <f>'Bef.fremskr. kommunenivå MMMM'!H126</f>
        <v>24337</v>
      </c>
      <c r="Q131" s="100"/>
      <c r="R131" s="100">
        <f t="shared" si="27"/>
        <v>0</v>
      </c>
      <c r="S131" s="100">
        <v>0</v>
      </c>
      <c r="U131" s="100">
        <v>7719.6986666666671</v>
      </c>
      <c r="V131" s="5">
        <f t="shared" si="28"/>
        <v>743194.02173107257</v>
      </c>
      <c r="W131" s="5">
        <f t="shared" si="29"/>
        <v>30537.618512186076</v>
      </c>
    </row>
    <row r="132" spans="1:23" ht="13">
      <c r="A132" s="92">
        <v>3035</v>
      </c>
      <c r="B132" s="93" t="s">
        <v>396</v>
      </c>
      <c r="C132" s="574">
        <v>0.80443564849345806</v>
      </c>
      <c r="D132" s="100">
        <f t="shared" si="15"/>
        <v>29516.423766195006</v>
      </c>
      <c r="E132" s="100">
        <f t="shared" si="16"/>
        <v>805562.23742699414</v>
      </c>
      <c r="F132" s="100">
        <f t="shared" si="25"/>
        <v>4307.2617131087281</v>
      </c>
      <c r="G132" s="100">
        <f t="shared" si="17"/>
        <v>117553.78667416341</v>
      </c>
      <c r="H132" s="100">
        <f t="shared" si="26"/>
        <v>1228.2375675652577</v>
      </c>
      <c r="I132" s="100">
        <f t="shared" si="18"/>
        <v>33521.05969399101</v>
      </c>
      <c r="J132" s="100">
        <f t="shared" si="19"/>
        <v>802.55211344569443</v>
      </c>
      <c r="K132" s="100">
        <f t="shared" si="20"/>
        <v>21903.25228015989</v>
      </c>
      <c r="L132" s="101">
        <f t="shared" si="21"/>
        <v>139457.0389543233</v>
      </c>
      <c r="M132" s="100">
        <f t="shared" si="22"/>
        <v>945019.27638131741</v>
      </c>
      <c r="N132" s="102">
        <f t="shared" si="23"/>
        <v>34626.237592749429</v>
      </c>
      <c r="O132" s="94">
        <f t="shared" si="24"/>
        <v>0.94369765502261393</v>
      </c>
      <c r="P132" s="100">
        <f>'Bef.fremskr. kommunenivå MMMM'!H127</f>
        <v>27292</v>
      </c>
      <c r="Q132" s="100"/>
      <c r="R132" s="100">
        <f t="shared" si="27"/>
        <v>0</v>
      </c>
      <c r="S132" s="100">
        <v>0</v>
      </c>
      <c r="U132" s="100">
        <v>755.41233333333332</v>
      </c>
      <c r="V132" s="5">
        <f t="shared" si="28"/>
        <v>804806.82509366085</v>
      </c>
      <c r="W132" s="5">
        <f t="shared" si="29"/>
        <v>29488.744873723466</v>
      </c>
    </row>
    <row r="133" spans="1:23" ht="13">
      <c r="A133" s="92">
        <v>3036</v>
      </c>
      <c r="B133" s="93" t="s">
        <v>397</v>
      </c>
      <c r="C133" s="574">
        <v>0.83349342027425499</v>
      </c>
      <c r="D133" s="100">
        <f t="shared" si="15"/>
        <v>30582.614091287691</v>
      </c>
      <c r="E133" s="100">
        <f t="shared" si="16"/>
        <v>475284.40559270204</v>
      </c>
      <c r="F133" s="100">
        <f t="shared" si="25"/>
        <v>3667.5475180531175</v>
      </c>
      <c r="G133" s="100">
        <f t="shared" si="17"/>
        <v>56997.355978063504</v>
      </c>
      <c r="H133" s="100">
        <f t="shared" si="26"/>
        <v>855.07095378281826</v>
      </c>
      <c r="I133" s="100">
        <f t="shared" si="18"/>
        <v>13288.65769273878</v>
      </c>
      <c r="J133" s="100">
        <f t="shared" si="19"/>
        <v>429.38549966325508</v>
      </c>
      <c r="K133" s="100">
        <f t="shared" si="20"/>
        <v>6673.080050266647</v>
      </c>
      <c r="L133" s="101">
        <f t="shared" si="21"/>
        <v>63670.43602833015</v>
      </c>
      <c r="M133" s="100">
        <f t="shared" si="22"/>
        <v>538954.84162103222</v>
      </c>
      <c r="N133" s="102">
        <f t="shared" si="23"/>
        <v>34679.547109004066</v>
      </c>
      <c r="O133" s="94">
        <f t="shared" si="24"/>
        <v>0.94515054361165385</v>
      </c>
      <c r="P133" s="100">
        <f>'Bef.fremskr. kommunenivå MMMM'!H128</f>
        <v>15541</v>
      </c>
      <c r="Q133" s="100"/>
      <c r="R133" s="100">
        <f t="shared" si="27"/>
        <v>0</v>
      </c>
      <c r="S133" s="100">
        <v>0</v>
      </c>
      <c r="U133" s="100">
        <v>26.251999999999999</v>
      </c>
      <c r="V133" s="5">
        <f t="shared" si="28"/>
        <v>475258.15359270206</v>
      </c>
      <c r="W133" s="5">
        <f t="shared" si="29"/>
        <v>30580.924882099094</v>
      </c>
    </row>
    <row r="134" spans="1:23" ht="13">
      <c r="A134" s="92">
        <v>3037</v>
      </c>
      <c r="B134" s="93" t="s">
        <v>398</v>
      </c>
      <c r="C134" s="574">
        <v>0.75104798264127592</v>
      </c>
      <c r="D134" s="100">
        <f t="shared" si="15"/>
        <v>27557.518821924823</v>
      </c>
      <c r="E134" s="100">
        <f t="shared" si="16"/>
        <v>82341.866239911382</v>
      </c>
      <c r="F134" s="100">
        <f t="shared" si="25"/>
        <v>5482.6046796708379</v>
      </c>
      <c r="G134" s="100">
        <f t="shared" si="17"/>
        <v>16382.022782856464</v>
      </c>
      <c r="H134" s="100">
        <f t="shared" si="26"/>
        <v>1913.854298059822</v>
      </c>
      <c r="I134" s="100">
        <f t="shared" si="18"/>
        <v>5718.596642602748</v>
      </c>
      <c r="J134" s="100">
        <f t="shared" si="19"/>
        <v>1488.1688439402587</v>
      </c>
      <c r="K134" s="100">
        <f t="shared" si="20"/>
        <v>4446.6485056934935</v>
      </c>
      <c r="L134" s="101">
        <f t="shared" si="21"/>
        <v>20828.671288549958</v>
      </c>
      <c r="M134" s="100">
        <f t="shared" si="22"/>
        <v>103170.53752846134</v>
      </c>
      <c r="N134" s="102">
        <f t="shared" si="23"/>
        <v>34528.29234553592</v>
      </c>
      <c r="O134" s="94">
        <f t="shared" si="24"/>
        <v>0.94102827173000481</v>
      </c>
      <c r="P134" s="100">
        <f>'Bef.fremskr. kommunenivå MMMM'!H129</f>
        <v>2988</v>
      </c>
      <c r="Q134" s="100"/>
      <c r="R134" s="100">
        <f t="shared" si="27"/>
        <v>0</v>
      </c>
      <c r="S134" s="100">
        <v>0</v>
      </c>
      <c r="U134" s="100">
        <v>57.51466666666667</v>
      </c>
      <c r="V134" s="5">
        <f t="shared" si="28"/>
        <v>82284.351573244712</v>
      </c>
      <c r="W134" s="5">
        <f t="shared" si="29"/>
        <v>27538.270272170248</v>
      </c>
    </row>
    <row r="135" spans="1:23" ht="13">
      <c r="A135" s="92">
        <v>3038</v>
      </c>
      <c r="B135" s="93" t="s">
        <v>450</v>
      </c>
      <c r="C135" s="574">
        <v>1.1368168744619553</v>
      </c>
      <c r="D135" s="100">
        <f t="shared" si="15"/>
        <v>41712.185025640691</v>
      </c>
      <c r="E135" s="100">
        <f t="shared" si="16"/>
        <v>290984.20273886941</v>
      </c>
      <c r="F135" s="100">
        <f t="shared" si="25"/>
        <v>-3010.1950425586824</v>
      </c>
      <c r="G135" s="100">
        <f t="shared" si="17"/>
        <v>-20999.12061688937</v>
      </c>
      <c r="H135" s="100">
        <f t="shared" si="26"/>
        <v>0</v>
      </c>
      <c r="I135" s="100">
        <f t="shared" si="18"/>
        <v>0</v>
      </c>
      <c r="J135" s="100">
        <f t="shared" si="19"/>
        <v>-425.68545411956319</v>
      </c>
      <c r="K135" s="100">
        <f t="shared" si="20"/>
        <v>-2969.5817279380726</v>
      </c>
      <c r="L135" s="101">
        <f t="shared" si="21"/>
        <v>-23968.702344827441</v>
      </c>
      <c r="M135" s="100">
        <f t="shared" si="22"/>
        <v>267015.50039404194</v>
      </c>
      <c r="N135" s="102">
        <f t="shared" si="23"/>
        <v>38276.304528962435</v>
      </c>
      <c r="O135" s="94">
        <f t="shared" si="24"/>
        <v>1.0431759653401365</v>
      </c>
      <c r="P135" s="100">
        <f>'Bef.fremskr. kommunenivå MMMM'!H130</f>
        <v>6976</v>
      </c>
      <c r="Q135" s="100"/>
      <c r="R135" s="100">
        <f t="shared" si="27"/>
        <v>0</v>
      </c>
      <c r="S135" s="100">
        <v>0</v>
      </c>
      <c r="U135" s="100">
        <v>161.60133333333332</v>
      </c>
      <c r="V135" s="5">
        <f t="shared" si="28"/>
        <v>290822.60140553606</v>
      </c>
      <c r="W135" s="5">
        <f t="shared" si="29"/>
        <v>41689.019696894502</v>
      </c>
    </row>
    <row r="136" spans="1:23" ht="13">
      <c r="A136" s="92">
        <v>3039</v>
      </c>
      <c r="B136" s="93" t="s">
        <v>451</v>
      </c>
      <c r="C136" s="574">
        <v>1.0321018913406277</v>
      </c>
      <c r="D136" s="100">
        <f t="shared" si="15"/>
        <v>37869.973629033004</v>
      </c>
      <c r="E136" s="100">
        <f t="shared" si="16"/>
        <v>40558.741756694348</v>
      </c>
      <c r="F136" s="100">
        <f t="shared" si="25"/>
        <v>-704.86820459407022</v>
      </c>
      <c r="G136" s="100">
        <f t="shared" si="17"/>
        <v>-754.91384712024922</v>
      </c>
      <c r="H136" s="100">
        <f t="shared" si="26"/>
        <v>0</v>
      </c>
      <c r="I136" s="100">
        <f t="shared" si="18"/>
        <v>0</v>
      </c>
      <c r="J136" s="100">
        <f t="shared" si="19"/>
        <v>-425.68545411956319</v>
      </c>
      <c r="K136" s="100">
        <f t="shared" si="20"/>
        <v>-455.90912136205213</v>
      </c>
      <c r="L136" s="101">
        <f t="shared" si="21"/>
        <v>-1210.8229684823013</v>
      </c>
      <c r="M136" s="100">
        <f t="shared" si="22"/>
        <v>39347.918788212053</v>
      </c>
      <c r="N136" s="102">
        <f t="shared" si="23"/>
        <v>36739.419970319381</v>
      </c>
      <c r="O136" s="94">
        <f t="shared" si="24"/>
        <v>1.001289972091606</v>
      </c>
      <c r="P136" s="100">
        <f>'Bef.fremskr. kommunenivå MMMM'!H131</f>
        <v>1071</v>
      </c>
      <c r="Q136" s="100"/>
      <c r="R136" s="100">
        <f t="shared" si="27"/>
        <v>0</v>
      </c>
      <c r="S136" s="100">
        <v>0</v>
      </c>
      <c r="U136" s="100">
        <v>89.271999999999991</v>
      </c>
      <c r="V136" s="5">
        <f t="shared" si="28"/>
        <v>40469.469756694351</v>
      </c>
      <c r="W136" s="5">
        <f t="shared" si="29"/>
        <v>37786.619754149724</v>
      </c>
    </row>
    <row r="137" spans="1:23" ht="13">
      <c r="A137" s="92">
        <v>3040</v>
      </c>
      <c r="B137" s="93" t="s">
        <v>1967</v>
      </c>
      <c r="C137" s="574">
        <v>0.97566581923855511</v>
      </c>
      <c r="D137" s="100">
        <f t="shared" si="15"/>
        <v>35799.216293770703</v>
      </c>
      <c r="E137" s="100">
        <f t="shared" si="16"/>
        <v>117493.02787615545</v>
      </c>
      <c r="F137" s="100">
        <f t="shared" si="25"/>
        <v>537.58619656330995</v>
      </c>
      <c r="G137" s="100">
        <f t="shared" si="17"/>
        <v>1764.3578971207833</v>
      </c>
      <c r="H137" s="100">
        <f t="shared" si="26"/>
        <v>0</v>
      </c>
      <c r="I137" s="100">
        <f t="shared" si="18"/>
        <v>0</v>
      </c>
      <c r="J137" s="100">
        <f t="shared" si="19"/>
        <v>-425.68545411956319</v>
      </c>
      <c r="K137" s="100">
        <f t="shared" si="20"/>
        <v>-1397.0996604204063</v>
      </c>
      <c r="L137" s="101">
        <f t="shared" si="21"/>
        <v>367.25823670037698</v>
      </c>
      <c r="M137" s="100">
        <f t="shared" si="22"/>
        <v>117860.28611285583</v>
      </c>
      <c r="N137" s="102">
        <f t="shared" si="23"/>
        <v>35911.117036214448</v>
      </c>
      <c r="O137" s="94">
        <f t="shared" si="24"/>
        <v>0.97871554325077648</v>
      </c>
      <c r="P137" s="100">
        <f>'Bef.fremskr. kommunenivå MMMM'!H132</f>
        <v>3282</v>
      </c>
      <c r="Q137" s="100"/>
      <c r="R137" s="100">
        <f t="shared" si="27"/>
        <v>0</v>
      </c>
      <c r="S137" s="100">
        <v>0</v>
      </c>
      <c r="U137" s="100">
        <v>3980.9303333333337</v>
      </c>
      <c r="V137" s="5">
        <f t="shared" si="28"/>
        <v>113512.09754282211</v>
      </c>
      <c r="W137" s="5">
        <f t="shared" si="29"/>
        <v>34586.257630354085</v>
      </c>
    </row>
    <row r="138" spans="1:23" ht="13">
      <c r="A138" s="92">
        <v>3041</v>
      </c>
      <c r="B138" s="93" t="s">
        <v>452</v>
      </c>
      <c r="C138" s="574">
        <v>0.97764918010355761</v>
      </c>
      <c r="D138" s="100">
        <f t="shared" ref="D138:D201" si="30">C138*D$367</f>
        <v>35871.989945562913</v>
      </c>
      <c r="E138" s="100">
        <f t="shared" ref="E138:E201" si="31">D138*P138/1000</f>
        <v>170391.95224142383</v>
      </c>
      <c r="F138" s="100">
        <f t="shared" si="25"/>
        <v>493.92200548798428</v>
      </c>
      <c r="G138" s="100">
        <f t="shared" ref="G138:G201" si="32">F138*P138/1000</f>
        <v>2346.1295260679253</v>
      </c>
      <c r="H138" s="100">
        <f t="shared" si="26"/>
        <v>0</v>
      </c>
      <c r="I138" s="100">
        <f t="shared" ref="I138:I201" si="33">H138*P138/1000</f>
        <v>0</v>
      </c>
      <c r="J138" s="100">
        <f t="shared" ref="J138:J201" si="34">H138+H$370</f>
        <v>-425.68545411956319</v>
      </c>
      <c r="K138" s="100">
        <f t="shared" ref="K138:K201" si="35">J138*P138/1000</f>
        <v>-2022.0059070679251</v>
      </c>
      <c r="L138" s="101">
        <f t="shared" ref="L138:L201" si="36">K138+G138</f>
        <v>324.12361900000019</v>
      </c>
      <c r="M138" s="100">
        <f t="shared" ref="M138:M201" si="37">K138+E138+G138</f>
        <v>170716.07586042385</v>
      </c>
      <c r="N138" s="102">
        <f t="shared" ref="N138:N201" si="38">M138*1000/P138</f>
        <v>35940.22649693134</v>
      </c>
      <c r="O138" s="94">
        <f t="shared" ref="O138:O201" si="39">N138/N$367</f>
        <v>0.97950888759677768</v>
      </c>
      <c r="P138" s="100">
        <f>'Bef.fremskr. kommunenivå MMMM'!H133</f>
        <v>4750</v>
      </c>
      <c r="Q138" s="100"/>
      <c r="R138" s="100">
        <f t="shared" si="27"/>
        <v>0</v>
      </c>
      <c r="S138" s="100">
        <v>0</v>
      </c>
      <c r="U138" s="100">
        <v>7883.4106666666667</v>
      </c>
      <c r="V138" s="5">
        <f t="shared" si="28"/>
        <v>162508.54157475717</v>
      </c>
      <c r="W138" s="5">
        <f t="shared" si="29"/>
        <v>34212.324542054135</v>
      </c>
    </row>
    <row r="139" spans="1:23" ht="13">
      <c r="A139" s="92">
        <v>3042</v>
      </c>
      <c r="B139" s="93" t="s">
        <v>453</v>
      </c>
      <c r="C139" s="574">
        <v>1.179692234719496</v>
      </c>
      <c r="D139" s="100">
        <f t="shared" si="30"/>
        <v>43285.371525841074</v>
      </c>
      <c r="E139" s="100">
        <f t="shared" si="31"/>
        <v>117736.21055028772</v>
      </c>
      <c r="F139" s="100">
        <f t="shared" ref="F139:F202" si="40">($D$367+$R$367-D139-R139)*0.6</f>
        <v>-3954.1069426789122</v>
      </c>
      <c r="G139" s="100">
        <f t="shared" si="32"/>
        <v>-10755.170884086641</v>
      </c>
      <c r="H139" s="100">
        <f t="shared" ref="H139:H202" si="41">IF((D139+R139)&lt;(D$367+R$367)*0.9,((D$367+R$367)*0.9-(D139+R139))*0.35,0)</f>
        <v>0</v>
      </c>
      <c r="I139" s="100">
        <f t="shared" si="33"/>
        <v>0</v>
      </c>
      <c r="J139" s="100">
        <f t="shared" si="34"/>
        <v>-425.68545411956319</v>
      </c>
      <c r="K139" s="100">
        <f t="shared" si="35"/>
        <v>-1157.864435205212</v>
      </c>
      <c r="L139" s="101">
        <f t="shared" si="36"/>
        <v>-11913.035319291854</v>
      </c>
      <c r="M139" s="100">
        <f t="shared" si="37"/>
        <v>105823.17523099587</v>
      </c>
      <c r="N139" s="102">
        <f t="shared" si="38"/>
        <v>38905.579129042599</v>
      </c>
      <c r="O139" s="94">
        <f t="shared" si="39"/>
        <v>1.0603261094431531</v>
      </c>
      <c r="P139" s="100">
        <f>'Bef.fremskr. kommunenivå MMMM'!H134</f>
        <v>2720</v>
      </c>
      <c r="Q139" s="100"/>
      <c r="R139" s="100">
        <f t="shared" ref="R139:R202" si="42">S139*1000/P139</f>
        <v>0</v>
      </c>
      <c r="S139" s="100">
        <v>0</v>
      </c>
      <c r="U139" s="100">
        <v>4510.4490000000005</v>
      </c>
      <c r="V139" s="5">
        <f t="shared" ref="V139:V202" si="43">+E139-U139</f>
        <v>113225.76155028772</v>
      </c>
      <c r="W139" s="5">
        <f t="shared" ref="W139:W202" si="44">+V139*1000/P139</f>
        <v>41627.118217017545</v>
      </c>
    </row>
    <row r="140" spans="1:23" ht="13">
      <c r="A140" s="92">
        <v>3043</v>
      </c>
      <c r="B140" s="93" t="s">
        <v>454</v>
      </c>
      <c r="C140" s="574">
        <v>0.96467621032602657</v>
      </c>
      <c r="D140" s="100">
        <f t="shared" si="30"/>
        <v>35395.984594262569</v>
      </c>
      <c r="E140" s="100">
        <f t="shared" si="31"/>
        <v>165653.20790114882</v>
      </c>
      <c r="F140" s="100">
        <f t="shared" si="40"/>
        <v>779.52521626819066</v>
      </c>
      <c r="G140" s="100">
        <f t="shared" si="32"/>
        <v>3648.1780121351321</v>
      </c>
      <c r="H140" s="100">
        <f t="shared" si="41"/>
        <v>0</v>
      </c>
      <c r="I140" s="100">
        <f t="shared" si="33"/>
        <v>0</v>
      </c>
      <c r="J140" s="100">
        <f t="shared" si="34"/>
        <v>-425.68545411956319</v>
      </c>
      <c r="K140" s="100">
        <f t="shared" si="35"/>
        <v>-1992.2079252795559</v>
      </c>
      <c r="L140" s="101">
        <f t="shared" si="36"/>
        <v>1655.9700868555763</v>
      </c>
      <c r="M140" s="100">
        <f t="shared" si="37"/>
        <v>167309.17798800438</v>
      </c>
      <c r="N140" s="102">
        <f t="shared" si="38"/>
        <v>35749.824356411191</v>
      </c>
      <c r="O140" s="94">
        <f t="shared" si="39"/>
        <v>0.97431969968576493</v>
      </c>
      <c r="P140" s="100">
        <f>'Bef.fremskr. kommunenivå MMMM'!H135</f>
        <v>4680</v>
      </c>
      <c r="Q140" s="100"/>
      <c r="R140" s="100">
        <f t="shared" si="42"/>
        <v>0</v>
      </c>
      <c r="S140" s="100">
        <v>0</v>
      </c>
      <c r="U140" s="100">
        <v>12673.834666666668</v>
      </c>
      <c r="V140" s="5">
        <f t="shared" si="43"/>
        <v>152979.37323448216</v>
      </c>
      <c r="W140" s="5">
        <f t="shared" si="44"/>
        <v>32687.90026377824</v>
      </c>
    </row>
    <row r="141" spans="1:23" ht="13">
      <c r="A141" s="92">
        <v>3044</v>
      </c>
      <c r="B141" s="93" t="s">
        <v>455</v>
      </c>
      <c r="C141" s="574">
        <v>1.3604762530130945</v>
      </c>
      <c r="D141" s="100">
        <f t="shared" si="30"/>
        <v>49918.714670321075</v>
      </c>
      <c r="E141" s="100">
        <f t="shared" si="31"/>
        <v>228577.79447540021</v>
      </c>
      <c r="F141" s="100">
        <f t="shared" si="40"/>
        <v>-7934.1128293669126</v>
      </c>
      <c r="G141" s="100">
        <f t="shared" si="32"/>
        <v>-36330.302645671094</v>
      </c>
      <c r="H141" s="100">
        <f t="shared" si="41"/>
        <v>0</v>
      </c>
      <c r="I141" s="100">
        <f t="shared" si="33"/>
        <v>0</v>
      </c>
      <c r="J141" s="100">
        <f t="shared" si="34"/>
        <v>-425.68545411956319</v>
      </c>
      <c r="K141" s="100">
        <f t="shared" si="35"/>
        <v>-1949.21369441348</v>
      </c>
      <c r="L141" s="101">
        <f t="shared" si="36"/>
        <v>-38279.516340084578</v>
      </c>
      <c r="M141" s="100">
        <f t="shared" si="37"/>
        <v>190298.27813531563</v>
      </c>
      <c r="N141" s="102">
        <f t="shared" si="38"/>
        <v>41558.9163868346</v>
      </c>
      <c r="O141" s="94">
        <f t="shared" si="39"/>
        <v>1.1326397167605926</v>
      </c>
      <c r="P141" s="100">
        <f>'Bef.fremskr. kommunenivå MMMM'!H136</f>
        <v>4579</v>
      </c>
      <c r="Q141" s="100"/>
      <c r="R141" s="100">
        <f t="shared" si="42"/>
        <v>0</v>
      </c>
      <c r="S141" s="100">
        <v>0</v>
      </c>
      <c r="U141" s="100">
        <v>24062.580666666665</v>
      </c>
      <c r="V141" s="5">
        <f t="shared" si="43"/>
        <v>204515.21380873353</v>
      </c>
      <c r="W141" s="5">
        <f t="shared" si="44"/>
        <v>44663.728719968014</v>
      </c>
    </row>
    <row r="142" spans="1:23" ht="13">
      <c r="A142" s="92">
        <v>3045</v>
      </c>
      <c r="B142" s="93" t="s">
        <v>456</v>
      </c>
      <c r="C142" s="574">
        <v>0.94916076855882214</v>
      </c>
      <c r="D142" s="100">
        <f t="shared" si="30"/>
        <v>34826.690636469684</v>
      </c>
      <c r="E142" s="100">
        <f t="shared" si="31"/>
        <v>121614.80370255213</v>
      </c>
      <c r="F142" s="100">
        <f t="shared" si="40"/>
        <v>1121.1015909439213</v>
      </c>
      <c r="G142" s="100">
        <f t="shared" si="32"/>
        <v>3914.8867555761735</v>
      </c>
      <c r="H142" s="100">
        <f t="shared" si="41"/>
        <v>0</v>
      </c>
      <c r="I142" s="100">
        <f t="shared" si="33"/>
        <v>0</v>
      </c>
      <c r="J142" s="100">
        <f t="shared" si="34"/>
        <v>-425.68545411956319</v>
      </c>
      <c r="K142" s="100">
        <f t="shared" si="35"/>
        <v>-1486.4936057855148</v>
      </c>
      <c r="L142" s="101">
        <f t="shared" si="36"/>
        <v>2428.3931497906588</v>
      </c>
      <c r="M142" s="100">
        <f t="shared" si="37"/>
        <v>124043.19685234279</v>
      </c>
      <c r="N142" s="102">
        <f t="shared" si="38"/>
        <v>35522.106773294043</v>
      </c>
      <c r="O142" s="94">
        <f t="shared" si="39"/>
        <v>0.96811352297888331</v>
      </c>
      <c r="P142" s="100">
        <f>'Bef.fremskr. kommunenivå MMMM'!H137</f>
        <v>3492</v>
      </c>
      <c r="Q142" s="100"/>
      <c r="R142" s="100">
        <f t="shared" si="42"/>
        <v>0</v>
      </c>
      <c r="S142" s="100">
        <v>0</v>
      </c>
      <c r="U142" s="100">
        <v>217.25966666666667</v>
      </c>
      <c r="V142" s="5">
        <f t="shared" si="43"/>
        <v>121397.54403588547</v>
      </c>
      <c r="W142" s="5">
        <f t="shared" si="44"/>
        <v>34764.474237080605</v>
      </c>
    </row>
    <row r="143" spans="1:23" ht="13">
      <c r="A143" s="92">
        <v>3046</v>
      </c>
      <c r="B143" s="93" t="s">
        <v>457</v>
      </c>
      <c r="C143" s="574">
        <v>1.076231148476249</v>
      </c>
      <c r="D143" s="100">
        <f t="shared" si="30"/>
        <v>39489.168224078319</v>
      </c>
      <c r="E143" s="100">
        <f t="shared" si="31"/>
        <v>86520.767578955594</v>
      </c>
      <c r="F143" s="100">
        <f t="shared" si="40"/>
        <v>-1676.3849616212594</v>
      </c>
      <c r="G143" s="100">
        <f t="shared" si="32"/>
        <v>-3672.9594509121794</v>
      </c>
      <c r="H143" s="100">
        <f t="shared" si="41"/>
        <v>0</v>
      </c>
      <c r="I143" s="100">
        <f t="shared" si="33"/>
        <v>0</v>
      </c>
      <c r="J143" s="100">
        <f t="shared" si="34"/>
        <v>-425.68545411956319</v>
      </c>
      <c r="K143" s="100">
        <f t="shared" si="35"/>
        <v>-932.67682997596296</v>
      </c>
      <c r="L143" s="101">
        <f t="shared" si="36"/>
        <v>-4605.6362808881422</v>
      </c>
      <c r="M143" s="100">
        <f t="shared" si="37"/>
        <v>81915.131298067456</v>
      </c>
      <c r="N143" s="102">
        <f t="shared" si="38"/>
        <v>37387.097808337494</v>
      </c>
      <c r="O143" s="94">
        <f t="shared" si="39"/>
        <v>1.018941674945854</v>
      </c>
      <c r="P143" s="100">
        <f>'Bef.fremskr. kommunenivå MMMM'!H138</f>
        <v>2191</v>
      </c>
      <c r="Q143" s="100"/>
      <c r="R143" s="100">
        <f t="shared" si="42"/>
        <v>0</v>
      </c>
      <c r="S143" s="100">
        <v>0</v>
      </c>
      <c r="U143" s="100">
        <v>480.11466666666666</v>
      </c>
      <c r="V143" s="5">
        <f t="shared" si="43"/>
        <v>86040.652912288933</v>
      </c>
      <c r="W143" s="5">
        <f t="shared" si="44"/>
        <v>39270.037842213118</v>
      </c>
    </row>
    <row r="144" spans="1:23" ht="13">
      <c r="A144" s="92">
        <v>3047</v>
      </c>
      <c r="B144" s="93" t="s">
        <v>458</v>
      </c>
      <c r="C144" s="574">
        <v>0.83121431693973269</v>
      </c>
      <c r="D144" s="100">
        <f t="shared" si="30"/>
        <v>30498.989030719211</v>
      </c>
      <c r="E144" s="100">
        <f t="shared" si="31"/>
        <v>439612.42788878671</v>
      </c>
      <c r="F144" s="100">
        <f t="shared" si="40"/>
        <v>3717.7225543942054</v>
      </c>
      <c r="G144" s="100">
        <f t="shared" si="32"/>
        <v>53587.252899038074</v>
      </c>
      <c r="H144" s="100">
        <f t="shared" si="41"/>
        <v>884.33972498178628</v>
      </c>
      <c r="I144" s="100">
        <f t="shared" si="33"/>
        <v>12746.872795887466</v>
      </c>
      <c r="J144" s="100">
        <f t="shared" si="34"/>
        <v>458.65427086222309</v>
      </c>
      <c r="K144" s="100">
        <f t="shared" si="35"/>
        <v>6611.0426602080834</v>
      </c>
      <c r="L144" s="101">
        <f t="shared" si="36"/>
        <v>60198.295559246159</v>
      </c>
      <c r="M144" s="100">
        <f t="shared" si="37"/>
        <v>499810.72344803286</v>
      </c>
      <c r="N144" s="102">
        <f t="shared" si="38"/>
        <v>34675.365855975637</v>
      </c>
      <c r="O144" s="94">
        <f t="shared" si="39"/>
        <v>0.94503658844492755</v>
      </c>
      <c r="P144" s="100">
        <f>'Bef.fremskr. kommunenivå MMMM'!H139</f>
        <v>14414</v>
      </c>
      <c r="Q144" s="100"/>
      <c r="R144" s="100">
        <f t="shared" si="42"/>
        <v>0</v>
      </c>
      <c r="S144" s="100">
        <v>0</v>
      </c>
      <c r="U144" s="100">
        <v>13734.300333333333</v>
      </c>
      <c r="V144" s="5">
        <f t="shared" si="43"/>
        <v>425878.12755545339</v>
      </c>
      <c r="W144" s="5">
        <f t="shared" si="44"/>
        <v>29546.144550815417</v>
      </c>
    </row>
    <row r="145" spans="1:23" ht="13">
      <c r="A145" s="92">
        <v>3048</v>
      </c>
      <c r="B145" s="93" t="s">
        <v>459</v>
      </c>
      <c r="C145" s="574">
        <v>0.9211238983638127</v>
      </c>
      <c r="D145" s="100">
        <f t="shared" si="30"/>
        <v>33797.959322406801</v>
      </c>
      <c r="E145" s="100">
        <f t="shared" si="31"/>
        <v>686808.33139062859</v>
      </c>
      <c r="F145" s="100">
        <f t="shared" si="40"/>
        <v>1738.3403793816512</v>
      </c>
      <c r="G145" s="100">
        <f t="shared" si="32"/>
        <v>35324.814849414535</v>
      </c>
      <c r="H145" s="100">
        <f t="shared" si="41"/>
        <v>0</v>
      </c>
      <c r="I145" s="100">
        <f t="shared" si="33"/>
        <v>0</v>
      </c>
      <c r="J145" s="100">
        <f t="shared" si="34"/>
        <v>-425.68545411956319</v>
      </c>
      <c r="K145" s="100">
        <f t="shared" si="35"/>
        <v>-8650.3541131636448</v>
      </c>
      <c r="L145" s="101">
        <f t="shared" si="36"/>
        <v>26674.46073625089</v>
      </c>
      <c r="M145" s="100">
        <f t="shared" si="37"/>
        <v>713482.79212687945</v>
      </c>
      <c r="N145" s="102">
        <f t="shared" si="38"/>
        <v>35110.614247668884</v>
      </c>
      <c r="O145" s="94">
        <f t="shared" si="39"/>
        <v>0.95689877490087938</v>
      </c>
      <c r="P145" s="100">
        <f>'Bef.fremskr. kommunenivå MMMM'!H140</f>
        <v>20321</v>
      </c>
      <c r="Q145" s="100"/>
      <c r="R145" s="100">
        <f t="shared" si="42"/>
        <v>0</v>
      </c>
      <c r="S145" s="100">
        <v>0</v>
      </c>
      <c r="U145" s="100">
        <v>662.57133333333331</v>
      </c>
      <c r="V145" s="5">
        <f t="shared" si="43"/>
        <v>686145.76005729521</v>
      </c>
      <c r="W145" s="5">
        <f t="shared" si="44"/>
        <v>33765.354070040608</v>
      </c>
    </row>
    <row r="146" spans="1:23" ht="13">
      <c r="A146" s="92">
        <v>3049</v>
      </c>
      <c r="B146" s="93" t="s">
        <v>460</v>
      </c>
      <c r="C146" s="574">
        <v>1.106847268722857</v>
      </c>
      <c r="D146" s="100">
        <f t="shared" si="30"/>
        <v>40612.537608525752</v>
      </c>
      <c r="E146" s="100">
        <f t="shared" si="31"/>
        <v>1142065.1700893526</v>
      </c>
      <c r="F146" s="100">
        <f t="shared" si="40"/>
        <v>-2350.4065922897194</v>
      </c>
      <c r="G146" s="100">
        <f t="shared" si="32"/>
        <v>-66095.783781779202</v>
      </c>
      <c r="H146" s="100">
        <f t="shared" si="41"/>
        <v>0</v>
      </c>
      <c r="I146" s="100">
        <f t="shared" si="33"/>
        <v>0</v>
      </c>
      <c r="J146" s="100">
        <f t="shared" si="34"/>
        <v>-425.68545411956319</v>
      </c>
      <c r="K146" s="100">
        <f t="shared" si="35"/>
        <v>-11970.700655296236</v>
      </c>
      <c r="L146" s="101">
        <f t="shared" si="36"/>
        <v>-78066.484437075444</v>
      </c>
      <c r="M146" s="100">
        <f t="shared" si="37"/>
        <v>1063998.6856522772</v>
      </c>
      <c r="N146" s="102">
        <f t="shared" si="38"/>
        <v>37836.445562116467</v>
      </c>
      <c r="O146" s="94">
        <f t="shared" si="39"/>
        <v>1.0311881230444973</v>
      </c>
      <c r="P146" s="100">
        <f>'Bef.fremskr. kommunenivå MMMM'!H141</f>
        <v>28121</v>
      </c>
      <c r="Q146" s="100"/>
      <c r="R146" s="100">
        <f t="shared" si="42"/>
        <v>0</v>
      </c>
      <c r="S146" s="100">
        <v>0</v>
      </c>
      <c r="U146" s="100">
        <v>0.16133333333333333</v>
      </c>
      <c r="V146" s="5">
        <f t="shared" si="43"/>
        <v>1142065.0087560194</v>
      </c>
      <c r="W146" s="5">
        <f t="shared" si="44"/>
        <v>40612.531871413514</v>
      </c>
    </row>
    <row r="147" spans="1:23" ht="13">
      <c r="A147" s="92">
        <v>3050</v>
      </c>
      <c r="B147" s="93" t="s">
        <v>461</v>
      </c>
      <c r="C147" s="574">
        <v>0.97004681723725983</v>
      </c>
      <c r="D147" s="100">
        <f t="shared" si="30"/>
        <v>35593.043376740068</v>
      </c>
      <c r="E147" s="100">
        <f t="shared" si="31"/>
        <v>97240.194505253865</v>
      </c>
      <c r="F147" s="100">
        <f t="shared" si="40"/>
        <v>661.28994678169113</v>
      </c>
      <c r="G147" s="100">
        <f t="shared" si="32"/>
        <v>1806.6441346075803</v>
      </c>
      <c r="H147" s="100">
        <f t="shared" si="41"/>
        <v>0</v>
      </c>
      <c r="I147" s="100">
        <f t="shared" si="33"/>
        <v>0</v>
      </c>
      <c r="J147" s="100">
        <f t="shared" si="34"/>
        <v>-425.68545411956319</v>
      </c>
      <c r="K147" s="100">
        <f t="shared" si="35"/>
        <v>-1162.9726606546467</v>
      </c>
      <c r="L147" s="101">
        <f t="shared" si="36"/>
        <v>643.67147395293364</v>
      </c>
      <c r="M147" s="100">
        <f t="shared" si="37"/>
        <v>97883.865979206792</v>
      </c>
      <c r="N147" s="102">
        <f t="shared" si="38"/>
        <v>35828.647869402193</v>
      </c>
      <c r="O147" s="94">
        <f t="shared" si="39"/>
        <v>0.97646794245025836</v>
      </c>
      <c r="P147" s="100">
        <f>'Bef.fremskr. kommunenivå MMMM'!H142</f>
        <v>2732</v>
      </c>
      <c r="Q147" s="100"/>
      <c r="R147" s="100">
        <f t="shared" si="42"/>
        <v>0</v>
      </c>
      <c r="S147" s="100">
        <v>0</v>
      </c>
      <c r="U147" s="100">
        <v>1396.6023333333333</v>
      </c>
      <c r="V147" s="5">
        <f t="shared" si="43"/>
        <v>95843.592171920536</v>
      </c>
      <c r="W147" s="5">
        <f t="shared" si="44"/>
        <v>35081.841937013371</v>
      </c>
    </row>
    <row r="148" spans="1:23" ht="13">
      <c r="A148" s="92">
        <v>3051</v>
      </c>
      <c r="B148" s="93" t="s">
        <v>462</v>
      </c>
      <c r="C148" s="574">
        <v>0.91607926346526702</v>
      </c>
      <c r="D148" s="100">
        <f t="shared" si="30"/>
        <v>33612.861133769751</v>
      </c>
      <c r="E148" s="100">
        <f t="shared" si="31"/>
        <v>45377.362530589162</v>
      </c>
      <c r="F148" s="100">
        <f t="shared" si="40"/>
        <v>1849.3992925638813</v>
      </c>
      <c r="G148" s="100">
        <f t="shared" si="32"/>
        <v>2496.6890449612397</v>
      </c>
      <c r="H148" s="100">
        <f t="shared" si="41"/>
        <v>0</v>
      </c>
      <c r="I148" s="100">
        <f t="shared" si="33"/>
        <v>0</v>
      </c>
      <c r="J148" s="100">
        <f t="shared" si="34"/>
        <v>-425.68545411956319</v>
      </c>
      <c r="K148" s="100">
        <f t="shared" si="35"/>
        <v>-574.67536306141028</v>
      </c>
      <c r="L148" s="101">
        <f t="shared" si="36"/>
        <v>1922.0136818998294</v>
      </c>
      <c r="M148" s="100">
        <f t="shared" si="37"/>
        <v>47299.376212488991</v>
      </c>
      <c r="N148" s="102">
        <f t="shared" si="38"/>
        <v>35036.574972214068</v>
      </c>
      <c r="O148" s="94">
        <f t="shared" si="39"/>
        <v>0.95488092094146126</v>
      </c>
      <c r="P148" s="100">
        <f>'Bef.fremskr. kommunenivå MMMM'!H143</f>
        <v>1350</v>
      </c>
      <c r="Q148" s="100"/>
      <c r="R148" s="100">
        <f t="shared" si="42"/>
        <v>0</v>
      </c>
      <c r="S148" s="100">
        <v>0</v>
      </c>
      <c r="U148" s="100">
        <v>3702.8809999999999</v>
      </c>
      <c r="V148" s="5">
        <f t="shared" si="43"/>
        <v>41674.481530589161</v>
      </c>
      <c r="W148" s="5">
        <f t="shared" si="44"/>
        <v>30869.986318954936</v>
      </c>
    </row>
    <row r="149" spans="1:23" ht="13">
      <c r="A149" s="92">
        <v>3052</v>
      </c>
      <c r="B149" s="93" t="s">
        <v>463</v>
      </c>
      <c r="C149" s="574">
        <v>1.1425804570999294</v>
      </c>
      <c r="D149" s="100">
        <f t="shared" si="30"/>
        <v>41923.662908144441</v>
      </c>
      <c r="E149" s="100">
        <f t="shared" si="31"/>
        <v>103467.60005730047</v>
      </c>
      <c r="F149" s="100">
        <f t="shared" si="40"/>
        <v>-3137.0817720609325</v>
      </c>
      <c r="G149" s="100">
        <f t="shared" si="32"/>
        <v>-7742.3178134463815</v>
      </c>
      <c r="H149" s="100">
        <f t="shared" si="41"/>
        <v>0</v>
      </c>
      <c r="I149" s="100">
        <f t="shared" si="33"/>
        <v>0</v>
      </c>
      <c r="J149" s="100">
        <f t="shared" si="34"/>
        <v>-425.68545411956319</v>
      </c>
      <c r="K149" s="100">
        <f t="shared" si="35"/>
        <v>-1050.5917007670819</v>
      </c>
      <c r="L149" s="101">
        <f t="shared" si="36"/>
        <v>-8792.9095142134629</v>
      </c>
      <c r="M149" s="100">
        <f t="shared" si="37"/>
        <v>94674.69054308701</v>
      </c>
      <c r="N149" s="102">
        <f t="shared" si="38"/>
        <v>38360.895681963942</v>
      </c>
      <c r="O149" s="94">
        <f t="shared" si="39"/>
        <v>1.0454813983953262</v>
      </c>
      <c r="P149" s="100">
        <f>'Bef.fremskr. kommunenivå MMMM'!H144</f>
        <v>2468</v>
      </c>
      <c r="Q149" s="100"/>
      <c r="R149" s="100">
        <f t="shared" si="42"/>
        <v>0</v>
      </c>
      <c r="S149" s="100">
        <v>0</v>
      </c>
      <c r="U149" s="100">
        <v>24013.492333333332</v>
      </c>
      <c r="V149" s="5">
        <f t="shared" si="43"/>
        <v>79454.107723967143</v>
      </c>
      <c r="W149" s="5">
        <f t="shared" si="44"/>
        <v>32193.722740667403</v>
      </c>
    </row>
    <row r="150" spans="1:23" ht="13">
      <c r="A150" s="92">
        <v>3053</v>
      </c>
      <c r="B150" s="93" t="s">
        <v>436</v>
      </c>
      <c r="C150" s="574">
        <v>0.81834888781166015</v>
      </c>
      <c r="D150" s="100">
        <f t="shared" si="30"/>
        <v>30026.929570413948</v>
      </c>
      <c r="E150" s="100">
        <f t="shared" si="31"/>
        <v>209137.56445793316</v>
      </c>
      <c r="F150" s="100">
        <f t="shared" si="40"/>
        <v>4000.9582305773633</v>
      </c>
      <c r="G150" s="100">
        <f t="shared" si="32"/>
        <v>27866.674075971336</v>
      </c>
      <c r="H150" s="100">
        <f t="shared" si="41"/>
        <v>1049.5605360886284</v>
      </c>
      <c r="I150" s="100">
        <f t="shared" si="33"/>
        <v>7310.1891338572968</v>
      </c>
      <c r="J150" s="100">
        <f t="shared" si="34"/>
        <v>623.87508196906515</v>
      </c>
      <c r="K150" s="100">
        <f t="shared" si="35"/>
        <v>4345.2899459145383</v>
      </c>
      <c r="L150" s="101">
        <f t="shared" si="36"/>
        <v>32211.964021885873</v>
      </c>
      <c r="M150" s="100">
        <f t="shared" si="37"/>
        <v>241349.52847981901</v>
      </c>
      <c r="N150" s="102">
        <f t="shared" si="38"/>
        <v>34651.762882960371</v>
      </c>
      <c r="O150" s="94">
        <f t="shared" si="39"/>
        <v>0.94439331698852391</v>
      </c>
      <c r="P150" s="100">
        <f>'Bef.fremskr. kommunenivå MMMM'!H145</f>
        <v>6965</v>
      </c>
      <c r="Q150" s="100"/>
      <c r="R150" s="100">
        <f t="shared" si="42"/>
        <v>0</v>
      </c>
      <c r="S150" s="100">
        <v>0</v>
      </c>
      <c r="U150" s="100">
        <v>204.17233333333334</v>
      </c>
      <c r="V150" s="5">
        <f t="shared" si="43"/>
        <v>208933.39212459984</v>
      </c>
      <c r="W150" s="5">
        <f t="shared" si="44"/>
        <v>29997.615523991364</v>
      </c>
    </row>
    <row r="151" spans="1:23" ht="13">
      <c r="A151" s="92">
        <v>3054</v>
      </c>
      <c r="B151" s="93" t="s">
        <v>437</v>
      </c>
      <c r="C151" s="574">
        <v>0.86830448319605413</v>
      </c>
      <c r="D151" s="100">
        <f t="shared" si="30"/>
        <v>31859.904682369517</v>
      </c>
      <c r="E151" s="100">
        <f t="shared" si="31"/>
        <v>292824.3839356582</v>
      </c>
      <c r="F151" s="100">
        <f t="shared" si="40"/>
        <v>2901.1731634040216</v>
      </c>
      <c r="G151" s="100">
        <f t="shared" si="32"/>
        <v>26664.682544846364</v>
      </c>
      <c r="H151" s="100">
        <f t="shared" si="41"/>
        <v>408.01924690417906</v>
      </c>
      <c r="I151" s="100">
        <f t="shared" si="33"/>
        <v>3750.1048982963098</v>
      </c>
      <c r="J151" s="100">
        <f t="shared" si="34"/>
        <v>-17.666207215384134</v>
      </c>
      <c r="K151" s="100">
        <f t="shared" si="35"/>
        <v>-162.37011051659556</v>
      </c>
      <c r="L151" s="101">
        <f t="shared" si="36"/>
        <v>26502.312434329768</v>
      </c>
      <c r="M151" s="100">
        <f t="shared" si="37"/>
        <v>319326.69636998797</v>
      </c>
      <c r="N151" s="102">
        <f t="shared" si="38"/>
        <v>34743.411638558151</v>
      </c>
      <c r="O151" s="94">
        <f t="shared" si="39"/>
        <v>0.94689109675774363</v>
      </c>
      <c r="P151" s="100">
        <f>'Bef.fremskr. kommunenivå MMMM'!H146</f>
        <v>9191</v>
      </c>
      <c r="Q151" s="100"/>
      <c r="R151" s="100">
        <f t="shared" si="42"/>
        <v>0</v>
      </c>
      <c r="S151" s="100">
        <v>0</v>
      </c>
      <c r="U151" s="100">
        <v>0</v>
      </c>
      <c r="V151" s="5">
        <f t="shared" si="43"/>
        <v>292824.3839356582</v>
      </c>
      <c r="W151" s="5">
        <f t="shared" si="44"/>
        <v>31859.904682369517</v>
      </c>
    </row>
    <row r="152" spans="1:23" ht="13">
      <c r="A152" s="92">
        <v>3401</v>
      </c>
      <c r="B152" s="93" t="s">
        <v>400</v>
      </c>
      <c r="C152" s="574">
        <v>0.8483423587181661</v>
      </c>
      <c r="D152" s="100">
        <f t="shared" si="30"/>
        <v>31127.452650356332</v>
      </c>
      <c r="E152" s="100">
        <f t="shared" si="31"/>
        <v>561570.37326507852</v>
      </c>
      <c r="F152" s="100">
        <f t="shared" si="40"/>
        <v>3340.6443826119325</v>
      </c>
      <c r="G152" s="100">
        <f t="shared" si="32"/>
        <v>60268.565306701879</v>
      </c>
      <c r="H152" s="100">
        <f t="shared" si="41"/>
        <v>664.3774581087938</v>
      </c>
      <c r="I152" s="100">
        <f t="shared" si="33"/>
        <v>11986.033721740749</v>
      </c>
      <c r="J152" s="100">
        <f t="shared" si="34"/>
        <v>238.69200398923061</v>
      </c>
      <c r="K152" s="100">
        <f t="shared" si="35"/>
        <v>4306.2424439697097</v>
      </c>
      <c r="L152" s="101">
        <f t="shared" si="36"/>
        <v>64574.807750671593</v>
      </c>
      <c r="M152" s="100">
        <f t="shared" si="37"/>
        <v>626145.18101575016</v>
      </c>
      <c r="N152" s="102">
        <f t="shared" si="38"/>
        <v>34706.789036957496</v>
      </c>
      <c r="O152" s="94">
        <f t="shared" si="39"/>
        <v>0.94589299053384934</v>
      </c>
      <c r="P152" s="100">
        <f>'Bef.fremskr. kommunenivå MMMM'!H147</f>
        <v>18041</v>
      </c>
      <c r="Q152" s="100"/>
      <c r="R152" s="100">
        <f t="shared" si="42"/>
        <v>0</v>
      </c>
      <c r="S152" s="100">
        <v>0</v>
      </c>
      <c r="U152" s="100">
        <v>953.1016666666668</v>
      </c>
      <c r="V152" s="5">
        <f t="shared" si="43"/>
        <v>560617.27159841184</v>
      </c>
      <c r="W152" s="5">
        <f t="shared" si="44"/>
        <v>31074.622892212836</v>
      </c>
    </row>
    <row r="153" spans="1:23" ht="13">
      <c r="A153" s="92">
        <v>3403</v>
      </c>
      <c r="B153" s="93" t="s">
        <v>401</v>
      </c>
      <c r="C153" s="574">
        <v>0.92577783780237266</v>
      </c>
      <c r="D153" s="100">
        <f t="shared" si="30"/>
        <v>33968.722078766499</v>
      </c>
      <c r="E153" s="100">
        <f t="shared" si="31"/>
        <v>1101809.4693468702</v>
      </c>
      <c r="F153" s="100">
        <f t="shared" si="40"/>
        <v>1635.8827255658325</v>
      </c>
      <c r="G153" s="100">
        <f t="shared" si="32"/>
        <v>53061.492086453341</v>
      </c>
      <c r="H153" s="100">
        <f t="shared" si="41"/>
        <v>0</v>
      </c>
      <c r="I153" s="100">
        <f t="shared" si="33"/>
        <v>0</v>
      </c>
      <c r="J153" s="100">
        <f t="shared" si="34"/>
        <v>-425.68545411956319</v>
      </c>
      <c r="K153" s="100">
        <f t="shared" si="35"/>
        <v>-13807.533389822151</v>
      </c>
      <c r="L153" s="101">
        <f t="shared" si="36"/>
        <v>39253.958696631191</v>
      </c>
      <c r="M153" s="100">
        <f t="shared" si="37"/>
        <v>1141063.4280435015</v>
      </c>
      <c r="N153" s="102">
        <f t="shared" si="38"/>
        <v>35178.919350212767</v>
      </c>
      <c r="O153" s="94">
        <f t="shared" si="39"/>
        <v>0.9587603506763035</v>
      </c>
      <c r="P153" s="100">
        <f>'Bef.fremskr. kommunenivå MMMM'!H148</f>
        <v>32436</v>
      </c>
      <c r="Q153" s="100"/>
      <c r="R153" s="100">
        <f t="shared" si="42"/>
        <v>0</v>
      </c>
      <c r="S153" s="100">
        <v>0</v>
      </c>
      <c r="U153" s="100">
        <v>147.42833333333334</v>
      </c>
      <c r="V153" s="5">
        <f t="shared" si="43"/>
        <v>1101662.041013537</v>
      </c>
      <c r="W153" s="5">
        <f t="shared" si="44"/>
        <v>33964.176871794822</v>
      </c>
    </row>
    <row r="154" spans="1:23" ht="13">
      <c r="A154" s="92">
        <v>3405</v>
      </c>
      <c r="B154" s="93" t="s">
        <v>421</v>
      </c>
      <c r="C154" s="574">
        <v>0.9244742214265731</v>
      </c>
      <c r="D154" s="100">
        <f t="shared" si="30"/>
        <v>33920.88967172597</v>
      </c>
      <c r="E154" s="100">
        <f t="shared" si="31"/>
        <v>972885.03667477251</v>
      </c>
      <c r="F154" s="100">
        <f t="shared" si="40"/>
        <v>1664.5821697901497</v>
      </c>
      <c r="G154" s="100">
        <f t="shared" si="32"/>
        <v>47741.881211751279</v>
      </c>
      <c r="H154" s="100">
        <f t="shared" si="41"/>
        <v>0</v>
      </c>
      <c r="I154" s="100">
        <f t="shared" si="33"/>
        <v>0</v>
      </c>
      <c r="J154" s="100">
        <f t="shared" si="34"/>
        <v>-425.68545411956319</v>
      </c>
      <c r="K154" s="100">
        <f t="shared" si="35"/>
        <v>-12209.084509603192</v>
      </c>
      <c r="L154" s="101">
        <f t="shared" si="36"/>
        <v>35532.796702148087</v>
      </c>
      <c r="M154" s="100">
        <f t="shared" si="37"/>
        <v>1008417.8333769205</v>
      </c>
      <c r="N154" s="102">
        <f t="shared" si="38"/>
        <v>35159.786387396554</v>
      </c>
      <c r="O154" s="94">
        <f t="shared" si="39"/>
        <v>0.95823890412598367</v>
      </c>
      <c r="P154" s="100">
        <f>'Bef.fremskr. kommunenivå MMMM'!H149</f>
        <v>28681</v>
      </c>
      <c r="Q154" s="100"/>
      <c r="R154" s="100">
        <f t="shared" si="42"/>
        <v>0</v>
      </c>
      <c r="S154" s="100">
        <v>0</v>
      </c>
      <c r="U154" s="100">
        <v>4149.9530000000004</v>
      </c>
      <c r="V154" s="5">
        <f t="shared" si="43"/>
        <v>968735.08367477253</v>
      </c>
      <c r="W154" s="5">
        <f t="shared" si="44"/>
        <v>33776.196216128184</v>
      </c>
    </row>
    <row r="155" spans="1:23" ht="13">
      <c r="A155" s="92">
        <v>3407</v>
      </c>
      <c r="B155" s="93" t="s">
        <v>422</v>
      </c>
      <c r="C155" s="574">
        <v>0.83984962730097434</v>
      </c>
      <c r="D155" s="100">
        <f t="shared" si="30"/>
        <v>30815.836600133083</v>
      </c>
      <c r="E155" s="100">
        <f t="shared" si="31"/>
        <v>936770.61680744565</v>
      </c>
      <c r="F155" s="100">
        <f t="shared" si="40"/>
        <v>3527.6140127458821</v>
      </c>
      <c r="G155" s="100">
        <f t="shared" si="32"/>
        <v>107235.93837346206</v>
      </c>
      <c r="H155" s="100">
        <f t="shared" si="41"/>
        <v>773.44307568693091</v>
      </c>
      <c r="I155" s="100">
        <f t="shared" si="33"/>
        <v>23511.896057807015</v>
      </c>
      <c r="J155" s="100">
        <f t="shared" si="34"/>
        <v>347.75762156736772</v>
      </c>
      <c r="K155" s="100">
        <f t="shared" si="35"/>
        <v>10571.483938026411</v>
      </c>
      <c r="L155" s="101">
        <f t="shared" si="36"/>
        <v>117807.42231148848</v>
      </c>
      <c r="M155" s="100">
        <f t="shared" si="37"/>
        <v>1054578.039118934</v>
      </c>
      <c r="N155" s="102">
        <f t="shared" si="38"/>
        <v>34691.208234446327</v>
      </c>
      <c r="O155" s="94">
        <f t="shared" si="39"/>
        <v>0.94546835396298956</v>
      </c>
      <c r="P155" s="100">
        <f>'Bef.fremskr. kommunenivå MMMM'!H150</f>
        <v>30399</v>
      </c>
      <c r="Q155" s="100"/>
      <c r="R155" s="100">
        <f t="shared" si="42"/>
        <v>0</v>
      </c>
      <c r="S155" s="100">
        <v>0</v>
      </c>
      <c r="U155" s="100">
        <v>267.0796666666667</v>
      </c>
      <c r="V155" s="5">
        <f t="shared" si="43"/>
        <v>936503.53714077896</v>
      </c>
      <c r="W155" s="5">
        <f t="shared" si="44"/>
        <v>30807.050795775485</v>
      </c>
    </row>
    <row r="156" spans="1:23" ht="13">
      <c r="A156" s="92">
        <v>3411</v>
      </c>
      <c r="B156" s="93" t="s">
        <v>402</v>
      </c>
      <c r="C156" s="574">
        <v>0.80486824298103787</v>
      </c>
      <c r="D156" s="100">
        <f t="shared" si="30"/>
        <v>29532.29656128836</v>
      </c>
      <c r="E156" s="100">
        <f t="shared" si="31"/>
        <v>1041131.58297166</v>
      </c>
      <c r="F156" s="100">
        <f t="shared" si="40"/>
        <v>4297.7380360527159</v>
      </c>
      <c r="G156" s="100">
        <f t="shared" si="32"/>
        <v>151512.45672300243</v>
      </c>
      <c r="H156" s="100">
        <f t="shared" si="41"/>
        <v>1222.682089282584</v>
      </c>
      <c r="I156" s="100">
        <f t="shared" si="33"/>
        <v>43104.43437556822</v>
      </c>
      <c r="J156" s="100">
        <f t="shared" si="34"/>
        <v>796.99663516302076</v>
      </c>
      <c r="K156" s="100">
        <f t="shared" si="35"/>
        <v>28097.319376037132</v>
      </c>
      <c r="L156" s="101">
        <f t="shared" si="36"/>
        <v>179609.77609903956</v>
      </c>
      <c r="M156" s="100">
        <f t="shared" si="37"/>
        <v>1220741.3590706997</v>
      </c>
      <c r="N156" s="102">
        <f t="shared" si="38"/>
        <v>34627.031232504101</v>
      </c>
      <c r="O156" s="94">
        <f t="shared" si="39"/>
        <v>0.94371928474699307</v>
      </c>
      <c r="P156" s="100">
        <f>'Bef.fremskr. kommunenivå MMMM'!H151</f>
        <v>35254</v>
      </c>
      <c r="Q156" s="100"/>
      <c r="R156" s="100">
        <f t="shared" si="42"/>
        <v>0</v>
      </c>
      <c r="S156" s="100">
        <v>0</v>
      </c>
      <c r="U156" s="100">
        <v>818.26766666666663</v>
      </c>
      <c r="V156" s="5">
        <f t="shared" si="43"/>
        <v>1040313.3153049933</v>
      </c>
      <c r="W156" s="5">
        <f t="shared" si="44"/>
        <v>29509.085927979613</v>
      </c>
    </row>
    <row r="157" spans="1:23" ht="13">
      <c r="A157" s="92">
        <v>3412</v>
      </c>
      <c r="B157" s="93" t="s">
        <v>403</v>
      </c>
      <c r="C157" s="574">
        <v>0.7196584989468735</v>
      </c>
      <c r="D157" s="100">
        <f t="shared" si="30"/>
        <v>26405.773117639834</v>
      </c>
      <c r="E157" s="100">
        <f t="shared" si="31"/>
        <v>205331.29176276733</v>
      </c>
      <c r="F157" s="100">
        <f t="shared" si="40"/>
        <v>6173.6521022418319</v>
      </c>
      <c r="G157" s="100">
        <f t="shared" si="32"/>
        <v>48006.318747032485</v>
      </c>
      <c r="H157" s="100">
        <f t="shared" si="41"/>
        <v>2316.9652945595681</v>
      </c>
      <c r="I157" s="100">
        <f t="shared" si="33"/>
        <v>18016.722130495204</v>
      </c>
      <c r="J157" s="100">
        <f t="shared" si="34"/>
        <v>1891.2798404400048</v>
      </c>
      <c r="K157" s="100">
        <f t="shared" si="35"/>
        <v>14706.592039261477</v>
      </c>
      <c r="L157" s="101">
        <f t="shared" si="36"/>
        <v>62712.910786293964</v>
      </c>
      <c r="M157" s="100">
        <f t="shared" si="37"/>
        <v>268044.20254906127</v>
      </c>
      <c r="N157" s="102">
        <f t="shared" si="38"/>
        <v>34470.705060321663</v>
      </c>
      <c r="O157" s="94">
        <f t="shared" si="39"/>
        <v>0.9394587975452845</v>
      </c>
      <c r="P157" s="100">
        <f>'Bef.fremskr. kommunenivå MMMM'!H152</f>
        <v>7776</v>
      </c>
      <c r="Q157" s="100"/>
      <c r="R157" s="100">
        <f t="shared" si="42"/>
        <v>0</v>
      </c>
      <c r="S157" s="100">
        <v>0</v>
      </c>
      <c r="U157" s="100">
        <v>20.951666666666668</v>
      </c>
      <c r="V157" s="5">
        <f t="shared" si="43"/>
        <v>205310.34009610067</v>
      </c>
      <c r="W157" s="5">
        <f t="shared" si="44"/>
        <v>26403.078716062326</v>
      </c>
    </row>
    <row r="158" spans="1:23" ht="13">
      <c r="A158" s="92">
        <v>3413</v>
      </c>
      <c r="B158" s="93" t="s">
        <v>404</v>
      </c>
      <c r="C158" s="574">
        <v>0.78450368471278875</v>
      </c>
      <c r="D158" s="100">
        <f t="shared" si="30"/>
        <v>28785.078393144358</v>
      </c>
      <c r="E158" s="100">
        <f t="shared" si="31"/>
        <v>612719.17867647076</v>
      </c>
      <c r="F158" s="100">
        <f t="shared" si="40"/>
        <v>4746.0689369391166</v>
      </c>
      <c r="G158" s="100">
        <f t="shared" si="32"/>
        <v>101024.82339168603</v>
      </c>
      <c r="H158" s="100">
        <f t="shared" si="41"/>
        <v>1484.2084481329846</v>
      </c>
      <c r="I158" s="100">
        <f t="shared" si="33"/>
        <v>31592.861026958712</v>
      </c>
      <c r="J158" s="100">
        <f t="shared" si="34"/>
        <v>1058.5229940134213</v>
      </c>
      <c r="K158" s="100">
        <f t="shared" si="35"/>
        <v>22531.720450569686</v>
      </c>
      <c r="L158" s="101">
        <f t="shared" si="36"/>
        <v>123556.54384225572</v>
      </c>
      <c r="M158" s="100">
        <f t="shared" si="37"/>
        <v>736275.72251872648</v>
      </c>
      <c r="N158" s="102">
        <f t="shared" si="38"/>
        <v>34589.670324096893</v>
      </c>
      <c r="O158" s="94">
        <f t="shared" si="39"/>
        <v>0.9427010568335803</v>
      </c>
      <c r="P158" s="100">
        <f>'Bef.fremskr. kommunenivå MMMM'!H153</f>
        <v>21286</v>
      </c>
      <c r="Q158" s="100"/>
      <c r="R158" s="100">
        <f t="shared" si="42"/>
        <v>0</v>
      </c>
      <c r="S158" s="100">
        <v>0</v>
      </c>
      <c r="U158" s="100">
        <v>123.907</v>
      </c>
      <c r="V158" s="5">
        <f t="shared" si="43"/>
        <v>612595.27167647076</v>
      </c>
      <c r="W158" s="5">
        <f t="shared" si="44"/>
        <v>28779.257337051149</v>
      </c>
    </row>
    <row r="159" spans="1:23" ht="13">
      <c r="A159" s="92">
        <v>3414</v>
      </c>
      <c r="B159" s="93" t="s">
        <v>405</v>
      </c>
      <c r="C159" s="574">
        <v>0.7006121001514235</v>
      </c>
      <c r="D159" s="100">
        <f t="shared" si="30"/>
        <v>25706.92097313418</v>
      </c>
      <c r="E159" s="100">
        <f t="shared" si="31"/>
        <v>128046.17336718134</v>
      </c>
      <c r="F159" s="100">
        <f t="shared" si="40"/>
        <v>6592.9633889452243</v>
      </c>
      <c r="G159" s="100">
        <f t="shared" si="32"/>
        <v>32839.550640336165</v>
      </c>
      <c r="H159" s="100">
        <f t="shared" si="41"/>
        <v>2561.563545136547</v>
      </c>
      <c r="I159" s="100">
        <f t="shared" si="33"/>
        <v>12759.148018325141</v>
      </c>
      <c r="J159" s="100">
        <f t="shared" si="34"/>
        <v>2135.8780910169839</v>
      </c>
      <c r="K159" s="100">
        <f t="shared" si="35"/>
        <v>10638.808771355598</v>
      </c>
      <c r="L159" s="101">
        <f t="shared" si="36"/>
        <v>43478.359411691767</v>
      </c>
      <c r="M159" s="100">
        <f t="shared" si="37"/>
        <v>171524.53277887311</v>
      </c>
      <c r="N159" s="102">
        <f t="shared" si="38"/>
        <v>34435.762453096388</v>
      </c>
      <c r="O159" s="94">
        <f t="shared" si="39"/>
        <v>0.9385064776055122</v>
      </c>
      <c r="P159" s="100">
        <f>'Bef.fremskr. kommunenivå MMMM'!H154</f>
        <v>4981</v>
      </c>
      <c r="Q159" s="100"/>
      <c r="R159" s="100">
        <f t="shared" si="42"/>
        <v>0</v>
      </c>
      <c r="S159" s="100">
        <v>0</v>
      </c>
      <c r="U159" s="100">
        <v>0</v>
      </c>
      <c r="V159" s="5">
        <f t="shared" si="43"/>
        <v>128046.17336718134</v>
      </c>
      <c r="W159" s="5">
        <f t="shared" si="44"/>
        <v>25706.92097313418</v>
      </c>
    </row>
    <row r="160" spans="1:23" ht="13">
      <c r="A160" s="92">
        <v>3415</v>
      </c>
      <c r="B160" s="93" t="s">
        <v>406</v>
      </c>
      <c r="C160" s="574">
        <v>0.79214335545970938</v>
      </c>
      <c r="D160" s="100">
        <f t="shared" si="30"/>
        <v>29065.393866013594</v>
      </c>
      <c r="E160" s="100">
        <f t="shared" si="31"/>
        <v>232755.67407903686</v>
      </c>
      <c r="F160" s="100">
        <f t="shared" si="40"/>
        <v>4577.8796532175757</v>
      </c>
      <c r="G160" s="100">
        <f t="shared" si="32"/>
        <v>36659.660262966339</v>
      </c>
      <c r="H160" s="100">
        <f t="shared" si="41"/>
        <v>1386.0980326287522</v>
      </c>
      <c r="I160" s="100">
        <f t="shared" si="33"/>
        <v>11099.873045291048</v>
      </c>
      <c r="J160" s="100">
        <f t="shared" si="34"/>
        <v>960.41257850918896</v>
      </c>
      <c r="K160" s="100">
        <f t="shared" si="35"/>
        <v>7690.9839287015848</v>
      </c>
      <c r="L160" s="101">
        <f t="shared" si="36"/>
        <v>44350.644191667925</v>
      </c>
      <c r="M160" s="100">
        <f t="shared" si="37"/>
        <v>277106.31827070477</v>
      </c>
      <c r="N160" s="102">
        <f t="shared" si="38"/>
        <v>34603.686097740356</v>
      </c>
      <c r="O160" s="94">
        <f t="shared" si="39"/>
        <v>0.94308304037092638</v>
      </c>
      <c r="P160" s="100">
        <f>'Bef.fremskr. kommunenivå MMMM'!H155</f>
        <v>8008</v>
      </c>
      <c r="Q160" s="100"/>
      <c r="R160" s="100">
        <f t="shared" si="42"/>
        <v>0</v>
      </c>
      <c r="S160" s="100">
        <v>0</v>
      </c>
      <c r="U160" s="100">
        <v>953.1016666666668</v>
      </c>
      <c r="V160" s="5">
        <f t="shared" si="43"/>
        <v>231802.57241237021</v>
      </c>
      <c r="W160" s="5">
        <f t="shared" si="44"/>
        <v>28946.375176369907</v>
      </c>
    </row>
    <row r="161" spans="1:23" ht="13">
      <c r="A161" s="92">
        <v>3416</v>
      </c>
      <c r="B161" s="93" t="s">
        <v>407</v>
      </c>
      <c r="C161" s="574">
        <v>0.69462824926986799</v>
      </c>
      <c r="D161" s="100">
        <f t="shared" si="30"/>
        <v>25487.36098880916</v>
      </c>
      <c r="E161" s="100">
        <f t="shared" si="31"/>
        <v>152796.72912791092</v>
      </c>
      <c r="F161" s="100">
        <f t="shared" si="40"/>
        <v>6724.6993795402359</v>
      </c>
      <c r="G161" s="100">
        <f t="shared" si="32"/>
        <v>40314.572780343711</v>
      </c>
      <c r="H161" s="100">
        <f t="shared" si="41"/>
        <v>2638.4095396503039</v>
      </c>
      <c r="I161" s="100">
        <f t="shared" si="33"/>
        <v>15817.265190203572</v>
      </c>
      <c r="J161" s="100">
        <f t="shared" si="34"/>
        <v>2212.7240855307409</v>
      </c>
      <c r="K161" s="100">
        <f t="shared" si="35"/>
        <v>13265.280892756791</v>
      </c>
      <c r="L161" s="101">
        <f t="shared" si="36"/>
        <v>53579.853673100501</v>
      </c>
      <c r="M161" s="100">
        <f t="shared" si="37"/>
        <v>206376.58280101142</v>
      </c>
      <c r="N161" s="102">
        <f t="shared" si="38"/>
        <v>34424.784453880136</v>
      </c>
      <c r="O161" s="94">
        <f t="shared" si="39"/>
        <v>0.93820728506143436</v>
      </c>
      <c r="P161" s="100">
        <f>'Bef.fremskr. kommunenivå MMMM'!H156</f>
        <v>5995</v>
      </c>
      <c r="Q161" s="100"/>
      <c r="R161" s="100">
        <f t="shared" si="42"/>
        <v>0</v>
      </c>
      <c r="S161" s="100">
        <v>0</v>
      </c>
      <c r="U161" s="100">
        <v>0</v>
      </c>
      <c r="V161" s="5">
        <f t="shared" si="43"/>
        <v>152796.72912791092</v>
      </c>
      <c r="W161" s="5">
        <f t="shared" si="44"/>
        <v>25487.36098880916</v>
      </c>
    </row>
    <row r="162" spans="1:23" ht="13">
      <c r="A162" s="92">
        <v>3417</v>
      </c>
      <c r="B162" s="93" t="s">
        <v>408</v>
      </c>
      <c r="C162" s="574">
        <v>0.80747778963232697</v>
      </c>
      <c r="D162" s="100">
        <f t="shared" si="30"/>
        <v>29628.046277180929</v>
      </c>
      <c r="E162" s="100">
        <f t="shared" si="31"/>
        <v>134985.3788388363</v>
      </c>
      <c r="F162" s="100">
        <f t="shared" si="40"/>
        <v>4240.2882065171743</v>
      </c>
      <c r="G162" s="100">
        <f t="shared" si="32"/>
        <v>19318.753068892249</v>
      </c>
      <c r="H162" s="100">
        <f t="shared" si="41"/>
        <v>1189.1696887201849</v>
      </c>
      <c r="I162" s="100">
        <f t="shared" si="33"/>
        <v>5417.8571018091625</v>
      </c>
      <c r="J162" s="100">
        <f t="shared" si="34"/>
        <v>763.48423460062168</v>
      </c>
      <c r="K162" s="100">
        <f t="shared" si="35"/>
        <v>3478.4341728404324</v>
      </c>
      <c r="L162" s="101">
        <f t="shared" si="36"/>
        <v>22797.187241732681</v>
      </c>
      <c r="M162" s="100">
        <f t="shared" si="37"/>
        <v>157782.566080569</v>
      </c>
      <c r="N162" s="102">
        <f t="shared" si="38"/>
        <v>34631.818718298724</v>
      </c>
      <c r="O162" s="94">
        <f t="shared" si="39"/>
        <v>0.94384976207955729</v>
      </c>
      <c r="P162" s="100">
        <f>'Bef.fremskr. kommunenivå MMMM'!H157</f>
        <v>4556</v>
      </c>
      <c r="Q162" s="100"/>
      <c r="R162" s="100">
        <f t="shared" si="42"/>
        <v>0</v>
      </c>
      <c r="S162" s="100">
        <v>0</v>
      </c>
      <c r="U162" s="100">
        <v>0</v>
      </c>
      <c r="V162" s="5">
        <f t="shared" si="43"/>
        <v>134985.3788388363</v>
      </c>
      <c r="W162" s="5">
        <f t="shared" si="44"/>
        <v>29628.046277180929</v>
      </c>
    </row>
    <row r="163" spans="1:23" ht="13">
      <c r="A163" s="92">
        <v>3418</v>
      </c>
      <c r="B163" s="93" t="s">
        <v>409</v>
      </c>
      <c r="C163" s="574">
        <v>0.71391531856488566</v>
      </c>
      <c r="D163" s="100">
        <f t="shared" si="30"/>
        <v>26195.043836512221</v>
      </c>
      <c r="E163" s="100">
        <f t="shared" si="31"/>
        <v>188997.24128043567</v>
      </c>
      <c r="F163" s="100">
        <f t="shared" si="40"/>
        <v>6300.089670918399</v>
      </c>
      <c r="G163" s="100">
        <f t="shared" si="32"/>
        <v>45455.146975676245</v>
      </c>
      <c r="H163" s="100">
        <f t="shared" si="41"/>
        <v>2390.7205429542328</v>
      </c>
      <c r="I163" s="100">
        <f t="shared" si="33"/>
        <v>17249.048717414789</v>
      </c>
      <c r="J163" s="100">
        <f t="shared" si="34"/>
        <v>1965.0350888346695</v>
      </c>
      <c r="K163" s="100">
        <f t="shared" si="35"/>
        <v>14177.728165942141</v>
      </c>
      <c r="L163" s="101">
        <f t="shared" si="36"/>
        <v>59632.875141618388</v>
      </c>
      <c r="M163" s="100">
        <f t="shared" si="37"/>
        <v>248630.11642205404</v>
      </c>
      <c r="N163" s="102">
        <f t="shared" si="38"/>
        <v>34460.168596265285</v>
      </c>
      <c r="O163" s="94">
        <f t="shared" si="39"/>
        <v>0.93917163852618513</v>
      </c>
      <c r="P163" s="100">
        <f>'Bef.fremskr. kommunenivå MMMM'!H158</f>
        <v>7215</v>
      </c>
      <c r="Q163" s="100"/>
      <c r="R163" s="100">
        <f t="shared" si="42"/>
        <v>0</v>
      </c>
      <c r="S163" s="100">
        <v>0</v>
      </c>
      <c r="U163" s="100">
        <v>0</v>
      </c>
      <c r="V163" s="5">
        <f t="shared" si="43"/>
        <v>188997.24128043567</v>
      </c>
      <c r="W163" s="5">
        <f t="shared" si="44"/>
        <v>26195.043836512221</v>
      </c>
    </row>
    <row r="164" spans="1:23" ht="13">
      <c r="A164" s="92">
        <v>3419</v>
      </c>
      <c r="B164" s="93" t="s">
        <v>379</v>
      </c>
      <c r="C164" s="574">
        <v>0.71756609658135262</v>
      </c>
      <c r="D164" s="100">
        <f t="shared" si="30"/>
        <v>26328.998505493084</v>
      </c>
      <c r="E164" s="100">
        <f t="shared" si="31"/>
        <v>95179.3295973575</v>
      </c>
      <c r="F164" s="100">
        <f t="shared" si="40"/>
        <v>6219.7168695298815</v>
      </c>
      <c r="G164" s="100">
        <f t="shared" si="32"/>
        <v>22484.276483350524</v>
      </c>
      <c r="H164" s="100">
        <f t="shared" si="41"/>
        <v>2343.8364088109306</v>
      </c>
      <c r="I164" s="100">
        <f t="shared" si="33"/>
        <v>8472.9686178515149</v>
      </c>
      <c r="J164" s="100">
        <f t="shared" si="34"/>
        <v>1918.1509546913674</v>
      </c>
      <c r="K164" s="100">
        <f t="shared" si="35"/>
        <v>6934.1157012092926</v>
      </c>
      <c r="L164" s="101">
        <f t="shared" si="36"/>
        <v>29418.392184559816</v>
      </c>
      <c r="M164" s="100">
        <f t="shared" si="37"/>
        <v>124597.72178191731</v>
      </c>
      <c r="N164" s="102">
        <f t="shared" si="38"/>
        <v>34466.866329714328</v>
      </c>
      <c r="O164" s="94">
        <f t="shared" si="39"/>
        <v>0.93935417742700855</v>
      </c>
      <c r="P164" s="100">
        <f>'Bef.fremskr. kommunenivå MMMM'!H159</f>
        <v>3615</v>
      </c>
      <c r="Q164" s="100"/>
      <c r="R164" s="100">
        <f t="shared" si="42"/>
        <v>0</v>
      </c>
      <c r="S164" s="100">
        <v>0</v>
      </c>
      <c r="U164" s="100">
        <v>1319.6276666666665</v>
      </c>
      <c r="V164" s="5">
        <f t="shared" si="43"/>
        <v>93859.701930690833</v>
      </c>
      <c r="W164" s="5">
        <f t="shared" si="44"/>
        <v>25963.956274050026</v>
      </c>
    </row>
    <row r="165" spans="1:23" ht="13">
      <c r="A165" s="92">
        <v>3420</v>
      </c>
      <c r="B165" s="93" t="s">
        <v>410</v>
      </c>
      <c r="C165" s="574">
        <v>0.79510905728988612</v>
      </c>
      <c r="D165" s="100">
        <f t="shared" si="30"/>
        <v>29174.211659142995</v>
      </c>
      <c r="E165" s="100">
        <f t="shared" si="31"/>
        <v>628149.95123300783</v>
      </c>
      <c r="F165" s="100">
        <f t="shared" si="40"/>
        <v>4512.5889773399349</v>
      </c>
      <c r="G165" s="100">
        <f t="shared" si="32"/>
        <v>97160.553271106139</v>
      </c>
      <c r="H165" s="100">
        <f t="shared" si="41"/>
        <v>1348.0118050334618</v>
      </c>
      <c r="I165" s="100">
        <f t="shared" si="33"/>
        <v>29024.042174175465</v>
      </c>
      <c r="J165" s="100">
        <f t="shared" si="34"/>
        <v>922.32635091389852</v>
      </c>
      <c r="K165" s="100">
        <f t="shared" si="35"/>
        <v>19858.608661527149</v>
      </c>
      <c r="L165" s="101">
        <f t="shared" si="36"/>
        <v>117019.16193263329</v>
      </c>
      <c r="M165" s="100">
        <f t="shared" si="37"/>
        <v>745169.11316564109</v>
      </c>
      <c r="N165" s="102">
        <f t="shared" si="38"/>
        <v>34609.126987396827</v>
      </c>
      <c r="O165" s="94">
        <f t="shared" si="39"/>
        <v>0.94323132546243527</v>
      </c>
      <c r="P165" s="100">
        <f>'Bef.fremskr. kommunenivå MMMM'!H160</f>
        <v>21531</v>
      </c>
      <c r="Q165" s="100"/>
      <c r="R165" s="100">
        <f t="shared" si="42"/>
        <v>0</v>
      </c>
      <c r="S165" s="100">
        <v>0</v>
      </c>
      <c r="U165" s="100">
        <v>2994.626666666667</v>
      </c>
      <c r="V165" s="5">
        <f t="shared" si="43"/>
        <v>625155.32456634112</v>
      </c>
      <c r="W165" s="5">
        <f t="shared" si="44"/>
        <v>29035.127238230511</v>
      </c>
    </row>
    <row r="166" spans="1:23" ht="13">
      <c r="A166" s="92">
        <v>3421</v>
      </c>
      <c r="B166" s="93" t="s">
        <v>411</v>
      </c>
      <c r="C166" s="574">
        <v>0.82242715000738909</v>
      </c>
      <c r="D166" s="100">
        <f t="shared" si="30"/>
        <v>30176.569526604635</v>
      </c>
      <c r="E166" s="100">
        <f t="shared" si="31"/>
        <v>199587.83084896306</v>
      </c>
      <c r="F166" s="100">
        <f t="shared" si="40"/>
        <v>3911.1742568629506</v>
      </c>
      <c r="G166" s="100">
        <f t="shared" si="32"/>
        <v>25868.506534891556</v>
      </c>
      <c r="H166" s="100">
        <f t="shared" si="41"/>
        <v>997.18655142188777</v>
      </c>
      <c r="I166" s="100">
        <f t="shared" si="33"/>
        <v>6595.3918511043657</v>
      </c>
      <c r="J166" s="100">
        <f t="shared" si="34"/>
        <v>571.50109730232452</v>
      </c>
      <c r="K166" s="100">
        <f t="shared" si="35"/>
        <v>3779.9082575575744</v>
      </c>
      <c r="L166" s="101">
        <f t="shared" si="36"/>
        <v>29648.41479244913</v>
      </c>
      <c r="M166" s="100">
        <f t="shared" si="37"/>
        <v>229236.24564141218</v>
      </c>
      <c r="N166" s="102">
        <f t="shared" si="38"/>
        <v>34659.244880769911</v>
      </c>
      <c r="O166" s="94">
        <f t="shared" si="39"/>
        <v>0.94459723009831043</v>
      </c>
      <c r="P166" s="100">
        <f>'Bef.fremskr. kommunenivå MMMM'!H161</f>
        <v>6614</v>
      </c>
      <c r="Q166" s="100"/>
      <c r="R166" s="100">
        <f t="shared" si="42"/>
        <v>0</v>
      </c>
      <c r="S166" s="100">
        <v>0</v>
      </c>
      <c r="U166" s="100">
        <v>1007.0683333333333</v>
      </c>
      <c r="V166" s="5">
        <f t="shared" si="43"/>
        <v>198580.76251562973</v>
      </c>
      <c r="W166" s="5">
        <f t="shared" si="44"/>
        <v>30024.306397887773</v>
      </c>
    </row>
    <row r="167" spans="1:23" ht="13">
      <c r="A167" s="92">
        <v>3422</v>
      </c>
      <c r="B167" s="93" t="s">
        <v>412</v>
      </c>
      <c r="C167" s="574">
        <v>0.76751117973556249</v>
      </c>
      <c r="D167" s="100">
        <f t="shared" si="30"/>
        <v>28161.587901771552</v>
      </c>
      <c r="E167" s="100">
        <f t="shared" si="31"/>
        <v>119855.71810993973</v>
      </c>
      <c r="F167" s="100">
        <f t="shared" si="40"/>
        <v>5120.1632317628</v>
      </c>
      <c r="G167" s="100">
        <f t="shared" si="32"/>
        <v>21791.414714382478</v>
      </c>
      <c r="H167" s="100">
        <f t="shared" si="41"/>
        <v>1702.4301201134667</v>
      </c>
      <c r="I167" s="100">
        <f t="shared" si="33"/>
        <v>7245.542591202915</v>
      </c>
      <c r="J167" s="100">
        <f t="shared" si="34"/>
        <v>1276.7446659939035</v>
      </c>
      <c r="K167" s="100">
        <f t="shared" si="35"/>
        <v>5433.825298470053</v>
      </c>
      <c r="L167" s="101">
        <f t="shared" si="36"/>
        <v>27225.24001285253</v>
      </c>
      <c r="M167" s="100">
        <f t="shared" si="37"/>
        <v>147080.95812279225</v>
      </c>
      <c r="N167" s="102">
        <f t="shared" si="38"/>
        <v>34558.495799528253</v>
      </c>
      <c r="O167" s="94">
        <f t="shared" si="39"/>
        <v>0.94185143158471907</v>
      </c>
      <c r="P167" s="100">
        <f>'Bef.fremskr. kommunenivå MMMM'!H162</f>
        <v>4256</v>
      </c>
      <c r="Q167" s="100"/>
      <c r="R167" s="100">
        <f t="shared" si="42"/>
        <v>0</v>
      </c>
      <c r="S167" s="100">
        <v>0</v>
      </c>
      <c r="U167" s="100">
        <v>5457.1596666666665</v>
      </c>
      <c r="V167" s="5">
        <f t="shared" si="43"/>
        <v>114398.55844327307</v>
      </c>
      <c r="W167" s="5">
        <f t="shared" si="44"/>
        <v>26879.360536483335</v>
      </c>
    </row>
    <row r="168" spans="1:23" ht="13">
      <c r="A168" s="92">
        <v>3423</v>
      </c>
      <c r="B168" s="93" t="s">
        <v>413</v>
      </c>
      <c r="C168" s="574">
        <v>0.69260918181317022</v>
      </c>
      <c r="D168" s="100">
        <f t="shared" si="30"/>
        <v>25413.277187605127</v>
      </c>
      <c r="E168" s="100">
        <f t="shared" si="31"/>
        <v>58933.389798056291</v>
      </c>
      <c r="F168" s="100">
        <f t="shared" si="40"/>
        <v>6769.1496602626557</v>
      </c>
      <c r="G168" s="100">
        <f t="shared" si="32"/>
        <v>15697.658062149098</v>
      </c>
      <c r="H168" s="100">
        <f t="shared" si="41"/>
        <v>2664.3388700717155</v>
      </c>
      <c r="I168" s="100">
        <f t="shared" si="33"/>
        <v>6178.6018396963082</v>
      </c>
      <c r="J168" s="100">
        <f t="shared" si="34"/>
        <v>2238.6534159521525</v>
      </c>
      <c r="K168" s="100">
        <f t="shared" si="35"/>
        <v>5191.4372715930422</v>
      </c>
      <c r="L168" s="101">
        <f t="shared" si="36"/>
        <v>20889.095333742138</v>
      </c>
      <c r="M168" s="100">
        <f t="shared" si="37"/>
        <v>79822.485131798428</v>
      </c>
      <c r="N168" s="102">
        <f t="shared" si="38"/>
        <v>34421.080263819938</v>
      </c>
      <c r="O168" s="94">
        <f t="shared" si="39"/>
        <v>0.93810633168859958</v>
      </c>
      <c r="P168" s="100">
        <f>'Bef.fremskr. kommunenivå MMMM'!H163</f>
        <v>2319</v>
      </c>
      <c r="Q168" s="100"/>
      <c r="R168" s="100">
        <f t="shared" si="42"/>
        <v>0</v>
      </c>
      <c r="S168" s="100">
        <v>0</v>
      </c>
      <c r="U168" s="100">
        <v>1009.7083333333334</v>
      </c>
      <c r="V168" s="5">
        <f t="shared" si="43"/>
        <v>57923.681464722955</v>
      </c>
      <c r="W168" s="5">
        <f t="shared" si="44"/>
        <v>24977.870403071563</v>
      </c>
    </row>
    <row r="169" spans="1:23" ht="13">
      <c r="A169" s="92">
        <v>3424</v>
      </c>
      <c r="B169" s="93" t="s">
        <v>414</v>
      </c>
      <c r="C169" s="574">
        <v>0.7367192147527204</v>
      </c>
      <c r="D169" s="100">
        <f t="shared" si="30"/>
        <v>27031.76640675262</v>
      </c>
      <c r="E169" s="100">
        <f t="shared" si="31"/>
        <v>46710.892350868533</v>
      </c>
      <c r="F169" s="100">
        <f t="shared" si="40"/>
        <v>5798.0561287741593</v>
      </c>
      <c r="G169" s="100">
        <f t="shared" si="32"/>
        <v>10019.040990521748</v>
      </c>
      <c r="H169" s="100">
        <f t="shared" si="41"/>
        <v>2097.867643370093</v>
      </c>
      <c r="I169" s="100">
        <f t="shared" si="33"/>
        <v>3625.1152877435211</v>
      </c>
      <c r="J169" s="100">
        <f t="shared" si="34"/>
        <v>1672.1821892505297</v>
      </c>
      <c r="K169" s="100">
        <f t="shared" si="35"/>
        <v>2889.5308230249157</v>
      </c>
      <c r="L169" s="101">
        <f t="shared" si="36"/>
        <v>12908.571813546663</v>
      </c>
      <c r="M169" s="100">
        <f t="shared" si="37"/>
        <v>59619.464164415192</v>
      </c>
      <c r="N169" s="102">
        <f t="shared" si="38"/>
        <v>34502.004724777311</v>
      </c>
      <c r="O169" s="94">
        <f t="shared" si="39"/>
        <v>0.940311833335577</v>
      </c>
      <c r="P169" s="100">
        <f>'Bef.fremskr. kommunenivå MMMM'!H164</f>
        <v>1728</v>
      </c>
      <c r="Q169" s="100"/>
      <c r="R169" s="100">
        <f t="shared" si="42"/>
        <v>0</v>
      </c>
      <c r="S169" s="100">
        <v>0</v>
      </c>
      <c r="U169" s="100">
        <v>5439.704999999999</v>
      </c>
      <c r="V169" s="5">
        <f t="shared" si="43"/>
        <v>41271.187350868531</v>
      </c>
      <c r="W169" s="5">
        <f t="shared" si="44"/>
        <v>23883.788976197065</v>
      </c>
    </row>
    <row r="170" spans="1:23" ht="13">
      <c r="A170" s="92">
        <v>3425</v>
      </c>
      <c r="B170" s="93" t="s">
        <v>415</v>
      </c>
      <c r="C170" s="574">
        <v>0.7018327228547776</v>
      </c>
      <c r="D170" s="100">
        <f t="shared" si="30"/>
        <v>25751.708169025253</v>
      </c>
      <c r="E170" s="100">
        <f t="shared" si="31"/>
        <v>32395.648876633768</v>
      </c>
      <c r="F170" s="100">
        <f t="shared" si="40"/>
        <v>6566.0910714105803</v>
      </c>
      <c r="G170" s="100">
        <f t="shared" si="32"/>
        <v>8260.1425678345113</v>
      </c>
      <c r="H170" s="100">
        <f t="shared" si="41"/>
        <v>2545.8880265746716</v>
      </c>
      <c r="I170" s="100">
        <f t="shared" si="33"/>
        <v>3202.7271374309371</v>
      </c>
      <c r="J170" s="100">
        <f t="shared" si="34"/>
        <v>2120.2025724551086</v>
      </c>
      <c r="K170" s="100">
        <f t="shared" si="35"/>
        <v>2667.2148361485265</v>
      </c>
      <c r="L170" s="101">
        <f t="shared" si="36"/>
        <v>10927.357403983038</v>
      </c>
      <c r="M170" s="100">
        <f t="shared" si="37"/>
        <v>43323.006280616806</v>
      </c>
      <c r="N170" s="102">
        <f t="shared" si="38"/>
        <v>34438.001812890943</v>
      </c>
      <c r="O170" s="94">
        <f t="shared" si="39"/>
        <v>0.93856750874067996</v>
      </c>
      <c r="P170" s="100">
        <f>'Bef.fremskr. kommunenivå MMMM'!H165</f>
        <v>1258</v>
      </c>
      <c r="Q170" s="100"/>
      <c r="R170" s="100">
        <f t="shared" si="42"/>
        <v>0</v>
      </c>
      <c r="S170" s="100">
        <v>0</v>
      </c>
      <c r="U170" s="100">
        <v>0</v>
      </c>
      <c r="V170" s="5">
        <f t="shared" si="43"/>
        <v>32395.648876633768</v>
      </c>
      <c r="W170" s="5">
        <f t="shared" si="44"/>
        <v>25751.708169025253</v>
      </c>
    </row>
    <row r="171" spans="1:23" ht="13">
      <c r="A171" s="92">
        <v>3426</v>
      </c>
      <c r="B171" s="93" t="s">
        <v>416</v>
      </c>
      <c r="C171" s="574">
        <v>0.65012410854942404</v>
      </c>
      <c r="D171" s="100">
        <f t="shared" si="30"/>
        <v>23854.411132204586</v>
      </c>
      <c r="E171" s="100">
        <f t="shared" si="31"/>
        <v>36926.628432652695</v>
      </c>
      <c r="F171" s="100">
        <f t="shared" si="40"/>
        <v>7704.4692935029798</v>
      </c>
      <c r="G171" s="100">
        <f t="shared" si="32"/>
        <v>11926.518466342613</v>
      </c>
      <c r="H171" s="100">
        <f t="shared" si="41"/>
        <v>3209.9419894619045</v>
      </c>
      <c r="I171" s="100">
        <f t="shared" si="33"/>
        <v>4968.9901996870285</v>
      </c>
      <c r="J171" s="100">
        <f t="shared" si="34"/>
        <v>2784.2565353423415</v>
      </c>
      <c r="K171" s="100">
        <f t="shared" si="35"/>
        <v>4310.0291167099449</v>
      </c>
      <c r="L171" s="101">
        <f t="shared" si="36"/>
        <v>16236.547583052557</v>
      </c>
      <c r="M171" s="100">
        <f t="shared" si="37"/>
        <v>53163.176015705249</v>
      </c>
      <c r="N171" s="102">
        <f t="shared" si="38"/>
        <v>34343.136961049902</v>
      </c>
      <c r="O171" s="94">
        <f t="shared" si="39"/>
        <v>0.935982078025412</v>
      </c>
      <c r="P171" s="100">
        <f>'Bef.fremskr. kommunenivå MMMM'!H166</f>
        <v>1548</v>
      </c>
      <c r="Q171" s="100"/>
      <c r="R171" s="100">
        <f t="shared" si="42"/>
        <v>0</v>
      </c>
      <c r="S171" s="100">
        <v>0</v>
      </c>
      <c r="U171" s="100">
        <v>0</v>
      </c>
      <c r="V171" s="5">
        <f t="shared" si="43"/>
        <v>36926.628432652695</v>
      </c>
      <c r="W171" s="5">
        <f t="shared" si="44"/>
        <v>23854.411132204583</v>
      </c>
    </row>
    <row r="172" spans="1:23" ht="13">
      <c r="A172" s="92">
        <v>3427</v>
      </c>
      <c r="B172" s="93" t="s">
        <v>417</v>
      </c>
      <c r="C172" s="574">
        <v>0.78358387936277063</v>
      </c>
      <c r="D172" s="100">
        <f t="shared" si="30"/>
        <v>28751.328814114149</v>
      </c>
      <c r="E172" s="100">
        <f t="shared" si="31"/>
        <v>160604.92275564163</v>
      </c>
      <c r="F172" s="100">
        <f t="shared" si="40"/>
        <v>4766.3186843572421</v>
      </c>
      <c r="G172" s="100">
        <f t="shared" si="32"/>
        <v>26624.656170819555</v>
      </c>
      <c r="H172" s="100">
        <f t="shared" si="41"/>
        <v>1496.0208007935578</v>
      </c>
      <c r="I172" s="100">
        <f t="shared" si="33"/>
        <v>8356.7721932328132</v>
      </c>
      <c r="J172" s="100">
        <f t="shared" si="34"/>
        <v>1070.3353466739945</v>
      </c>
      <c r="K172" s="100">
        <f t="shared" si="35"/>
        <v>5978.8932465209336</v>
      </c>
      <c r="L172" s="101">
        <f t="shared" si="36"/>
        <v>32603.549417340488</v>
      </c>
      <c r="M172" s="100">
        <f t="shared" si="37"/>
        <v>193208.47217298212</v>
      </c>
      <c r="N172" s="102">
        <f t="shared" si="38"/>
        <v>34587.982845145387</v>
      </c>
      <c r="O172" s="94">
        <f t="shared" si="39"/>
        <v>0.94265506656607956</v>
      </c>
      <c r="P172" s="100">
        <f>'Bef.fremskr. kommunenivå MMMM'!H167</f>
        <v>5586</v>
      </c>
      <c r="Q172" s="100"/>
      <c r="R172" s="100">
        <f t="shared" si="42"/>
        <v>0</v>
      </c>
      <c r="S172" s="100">
        <v>0</v>
      </c>
      <c r="U172" s="100">
        <v>3569.2900000000004</v>
      </c>
      <c r="V172" s="5">
        <f t="shared" si="43"/>
        <v>157035.63275564162</v>
      </c>
      <c r="W172" s="5">
        <f t="shared" si="44"/>
        <v>28112.35817322621</v>
      </c>
    </row>
    <row r="173" spans="1:23" ht="13">
      <c r="A173" s="92">
        <v>3428</v>
      </c>
      <c r="B173" s="93" t="s">
        <v>418</v>
      </c>
      <c r="C173" s="574">
        <v>0.77608629693890985</v>
      </c>
      <c r="D173" s="100">
        <f t="shared" si="30"/>
        <v>28476.226858526898</v>
      </c>
      <c r="E173" s="100">
        <f t="shared" si="31"/>
        <v>69738.279576532383</v>
      </c>
      <c r="F173" s="100">
        <f t="shared" si="40"/>
        <v>4931.3798577095931</v>
      </c>
      <c r="G173" s="100">
        <f t="shared" si="32"/>
        <v>12076.949271530793</v>
      </c>
      <c r="H173" s="100">
        <f t="shared" si="41"/>
        <v>1592.3064852490959</v>
      </c>
      <c r="I173" s="100">
        <f t="shared" si="33"/>
        <v>3899.5585823750357</v>
      </c>
      <c r="J173" s="100">
        <f t="shared" si="34"/>
        <v>1166.6210311295326</v>
      </c>
      <c r="K173" s="100">
        <f t="shared" si="35"/>
        <v>2857.0549052362257</v>
      </c>
      <c r="L173" s="101">
        <f t="shared" si="36"/>
        <v>14934.004176767019</v>
      </c>
      <c r="M173" s="100">
        <f t="shared" si="37"/>
        <v>84672.283753299387</v>
      </c>
      <c r="N173" s="102">
        <f t="shared" si="38"/>
        <v>34574.227747366022</v>
      </c>
      <c r="O173" s="94">
        <f t="shared" si="39"/>
        <v>0.9422801874448864</v>
      </c>
      <c r="P173" s="100">
        <f>'Bef.fremskr. kommunenivå MMMM'!H168</f>
        <v>2449</v>
      </c>
      <c r="Q173" s="100"/>
      <c r="R173" s="100">
        <f t="shared" si="42"/>
        <v>0</v>
      </c>
      <c r="S173" s="100">
        <v>0</v>
      </c>
      <c r="U173" s="100">
        <v>3313.9833333333336</v>
      </c>
      <c r="V173" s="5">
        <f t="shared" si="43"/>
        <v>66424.296243199045</v>
      </c>
      <c r="W173" s="5">
        <f t="shared" si="44"/>
        <v>27123.028274070657</v>
      </c>
    </row>
    <row r="174" spans="1:23" ht="13">
      <c r="A174" s="92">
        <v>3429</v>
      </c>
      <c r="B174" s="93" t="s">
        <v>419</v>
      </c>
      <c r="C174" s="574">
        <v>0.71023654603392483</v>
      </c>
      <c r="D174" s="100">
        <f t="shared" si="30"/>
        <v>26060.061990336417</v>
      </c>
      <c r="E174" s="100">
        <f t="shared" si="31"/>
        <v>39976.135093176068</v>
      </c>
      <c r="F174" s="100">
        <f t="shared" si="40"/>
        <v>6381.0787786238816</v>
      </c>
      <c r="G174" s="100">
        <f t="shared" si="32"/>
        <v>9788.5748464090339</v>
      </c>
      <c r="H174" s="100">
        <f t="shared" si="41"/>
        <v>2437.9641891157639</v>
      </c>
      <c r="I174" s="100">
        <f t="shared" si="33"/>
        <v>3739.8370661035819</v>
      </c>
      <c r="J174" s="100">
        <f t="shared" si="34"/>
        <v>2012.2787349962007</v>
      </c>
      <c r="K174" s="100">
        <f t="shared" si="35"/>
        <v>3086.8355794841718</v>
      </c>
      <c r="L174" s="101">
        <f t="shared" si="36"/>
        <v>12875.410425893206</v>
      </c>
      <c r="M174" s="100">
        <f t="shared" si="37"/>
        <v>52851.545519069274</v>
      </c>
      <c r="N174" s="102">
        <f t="shared" si="38"/>
        <v>34453.419503956502</v>
      </c>
      <c r="O174" s="94">
        <f t="shared" si="39"/>
        <v>0.93898769989963726</v>
      </c>
      <c r="P174" s="100">
        <f>'Bef.fremskr. kommunenivå MMMM'!H169</f>
        <v>1534</v>
      </c>
      <c r="Q174" s="100"/>
      <c r="R174" s="100">
        <f t="shared" si="42"/>
        <v>0</v>
      </c>
      <c r="S174" s="100">
        <v>0</v>
      </c>
      <c r="U174" s="100">
        <v>763.50666666666666</v>
      </c>
      <c r="V174" s="5">
        <f t="shared" si="43"/>
        <v>39212.6284265094</v>
      </c>
      <c r="W174" s="5">
        <f t="shared" si="44"/>
        <v>25562.339261088269</v>
      </c>
    </row>
    <row r="175" spans="1:23" ht="13">
      <c r="A175" s="92">
        <v>3430</v>
      </c>
      <c r="B175" s="93" t="s">
        <v>420</v>
      </c>
      <c r="C175" s="574">
        <v>0.92325115940238667</v>
      </c>
      <c r="D175" s="100">
        <f t="shared" si="30"/>
        <v>33876.012972059769</v>
      </c>
      <c r="E175" s="100">
        <f t="shared" si="31"/>
        <v>62196.359816701734</v>
      </c>
      <c r="F175" s="100">
        <f t="shared" si="40"/>
        <v>1691.5081895898707</v>
      </c>
      <c r="G175" s="100">
        <f t="shared" si="32"/>
        <v>3105.6090360870026</v>
      </c>
      <c r="H175" s="100">
        <f t="shared" si="41"/>
        <v>0</v>
      </c>
      <c r="I175" s="100">
        <f t="shared" si="33"/>
        <v>0</v>
      </c>
      <c r="J175" s="100">
        <f t="shared" si="34"/>
        <v>-425.68545411956319</v>
      </c>
      <c r="K175" s="100">
        <f t="shared" si="35"/>
        <v>-781.55849376351807</v>
      </c>
      <c r="L175" s="101">
        <f t="shared" si="36"/>
        <v>2324.0505423234845</v>
      </c>
      <c r="M175" s="100">
        <f t="shared" si="37"/>
        <v>64520.410359025213</v>
      </c>
      <c r="N175" s="102">
        <f t="shared" si="38"/>
        <v>35141.835707530074</v>
      </c>
      <c r="O175" s="94">
        <f t="shared" si="39"/>
        <v>0.95774967931630905</v>
      </c>
      <c r="P175" s="100">
        <f>'Bef.fremskr. kommunenivå MMMM'!H170</f>
        <v>1836</v>
      </c>
      <c r="Q175" s="100"/>
      <c r="R175" s="100">
        <f t="shared" si="42"/>
        <v>0</v>
      </c>
      <c r="S175" s="100">
        <v>0</v>
      </c>
      <c r="U175" s="100">
        <v>0</v>
      </c>
      <c r="V175" s="5">
        <f t="shared" si="43"/>
        <v>62196.359816701734</v>
      </c>
      <c r="W175" s="5">
        <f t="shared" si="44"/>
        <v>33876.012972059769</v>
      </c>
    </row>
    <row r="176" spans="1:23" ht="13">
      <c r="A176" s="92">
        <v>3431</v>
      </c>
      <c r="B176" s="93" t="s">
        <v>423</v>
      </c>
      <c r="C176" s="574">
        <v>0.73204527388351892</v>
      </c>
      <c r="D176" s="100">
        <f t="shared" si="30"/>
        <v>26860.269756135687</v>
      </c>
      <c r="E176" s="100">
        <f t="shared" si="31"/>
        <v>66694.049804484908</v>
      </c>
      <c r="F176" s="100">
        <f t="shared" si="40"/>
        <v>5900.9541191443195</v>
      </c>
      <c r="G176" s="100">
        <f t="shared" si="32"/>
        <v>14652.069077835346</v>
      </c>
      <c r="H176" s="100">
        <f t="shared" si="41"/>
        <v>2157.8914710860195</v>
      </c>
      <c r="I176" s="100">
        <f t="shared" si="33"/>
        <v>5358.0445227065857</v>
      </c>
      <c r="J176" s="100">
        <f t="shared" si="34"/>
        <v>1732.2060169664562</v>
      </c>
      <c r="K176" s="100">
        <f t="shared" si="35"/>
        <v>4301.0675401277103</v>
      </c>
      <c r="L176" s="101">
        <f t="shared" si="36"/>
        <v>18953.136617963057</v>
      </c>
      <c r="M176" s="100">
        <f t="shared" si="37"/>
        <v>85647.186422447965</v>
      </c>
      <c r="N176" s="102">
        <f t="shared" si="38"/>
        <v>34493.429892246459</v>
      </c>
      <c r="O176" s="94">
        <f t="shared" si="39"/>
        <v>0.94007813629211678</v>
      </c>
      <c r="P176" s="100">
        <f>'Bef.fremskr. kommunenivå MMMM'!H171</f>
        <v>2483</v>
      </c>
      <c r="Q176" s="100"/>
      <c r="R176" s="100">
        <f t="shared" si="42"/>
        <v>0</v>
      </c>
      <c r="S176" s="100">
        <v>0</v>
      </c>
      <c r="U176" s="100">
        <v>26.689333333333334</v>
      </c>
      <c r="V176" s="5">
        <f t="shared" si="43"/>
        <v>66667.36047115158</v>
      </c>
      <c r="W176" s="5">
        <f t="shared" si="44"/>
        <v>26849.520930790004</v>
      </c>
    </row>
    <row r="177" spans="1:23" ht="13">
      <c r="A177" s="92">
        <v>3432</v>
      </c>
      <c r="B177" s="93" t="s">
        <v>424</v>
      </c>
      <c r="C177" s="574">
        <v>0.76170180176474167</v>
      </c>
      <c r="D177" s="100">
        <f t="shared" si="30"/>
        <v>27948.429692875819</v>
      </c>
      <c r="E177" s="100">
        <f t="shared" si="31"/>
        <v>54918.664346500984</v>
      </c>
      <c r="F177" s="100">
        <f t="shared" si="40"/>
        <v>5248.0581571002404</v>
      </c>
      <c r="G177" s="100">
        <f t="shared" si="32"/>
        <v>10312.434278701972</v>
      </c>
      <c r="H177" s="100">
        <f t="shared" si="41"/>
        <v>1777.0354932269731</v>
      </c>
      <c r="I177" s="100">
        <f t="shared" si="33"/>
        <v>3491.8747441910023</v>
      </c>
      <c r="J177" s="100">
        <f t="shared" si="34"/>
        <v>1351.3500391074099</v>
      </c>
      <c r="K177" s="100">
        <f t="shared" si="35"/>
        <v>2655.4028268460602</v>
      </c>
      <c r="L177" s="101">
        <f t="shared" si="36"/>
        <v>12967.837105548033</v>
      </c>
      <c r="M177" s="100">
        <f t="shared" si="37"/>
        <v>67886.501452049022</v>
      </c>
      <c r="N177" s="102">
        <f t="shared" si="38"/>
        <v>34547.837889083472</v>
      </c>
      <c r="O177" s="94">
        <f t="shared" si="39"/>
        <v>0.94156096268617817</v>
      </c>
      <c r="P177" s="100">
        <f>'Bef.fremskr. kommunenivå MMMM'!H172</f>
        <v>1965</v>
      </c>
      <c r="Q177" s="100"/>
      <c r="R177" s="100">
        <f t="shared" si="42"/>
        <v>0</v>
      </c>
      <c r="S177" s="100">
        <v>0</v>
      </c>
      <c r="U177" s="100">
        <v>1534.7783333333334</v>
      </c>
      <c r="V177" s="5">
        <f t="shared" si="43"/>
        <v>53383.886013167648</v>
      </c>
      <c r="W177" s="5">
        <f t="shared" si="44"/>
        <v>27167.37201687921</v>
      </c>
    </row>
    <row r="178" spans="1:23" ht="13">
      <c r="A178" s="92">
        <v>3433</v>
      </c>
      <c r="B178" s="93" t="s">
        <v>425</v>
      </c>
      <c r="C178" s="574">
        <v>0.86144861269217432</v>
      </c>
      <c r="D178" s="100">
        <f t="shared" si="30"/>
        <v>31608.348477149557</v>
      </c>
      <c r="E178" s="100">
        <f t="shared" si="31"/>
        <v>67167.740513942801</v>
      </c>
      <c r="F178" s="100">
        <f t="shared" si="40"/>
        <v>3052.106886535998</v>
      </c>
      <c r="G178" s="100">
        <f t="shared" si="32"/>
        <v>6485.7271338889959</v>
      </c>
      <c r="H178" s="100">
        <f t="shared" si="41"/>
        <v>496.06391873116513</v>
      </c>
      <c r="I178" s="100">
        <f t="shared" si="33"/>
        <v>1054.135827303726</v>
      </c>
      <c r="J178" s="100">
        <f t="shared" si="34"/>
        <v>70.378464611601942</v>
      </c>
      <c r="K178" s="100">
        <f t="shared" si="35"/>
        <v>149.55423729965415</v>
      </c>
      <c r="L178" s="101">
        <f t="shared" si="36"/>
        <v>6635.2813711886502</v>
      </c>
      <c r="M178" s="100">
        <f t="shared" si="37"/>
        <v>73803.021885131457</v>
      </c>
      <c r="N178" s="102">
        <f t="shared" si="38"/>
        <v>34730.83382829716</v>
      </c>
      <c r="O178" s="94">
        <f t="shared" si="39"/>
        <v>0.94654830323254979</v>
      </c>
      <c r="P178" s="100">
        <f>'Bef.fremskr. kommunenivå MMMM'!H173</f>
        <v>2125</v>
      </c>
      <c r="Q178" s="100"/>
      <c r="R178" s="100">
        <f t="shared" si="42"/>
        <v>0</v>
      </c>
      <c r="S178" s="100">
        <v>0</v>
      </c>
      <c r="U178" s="100">
        <v>12012.529999999999</v>
      </c>
      <c r="V178" s="5">
        <f t="shared" si="43"/>
        <v>55155.210513942802</v>
      </c>
      <c r="W178" s="5">
        <f t="shared" si="44"/>
        <v>25955.393183031905</v>
      </c>
    </row>
    <row r="179" spans="1:23" ht="13">
      <c r="A179" s="92">
        <v>3434</v>
      </c>
      <c r="B179" s="93" t="s">
        <v>426</v>
      </c>
      <c r="C179" s="574">
        <v>0.7532495225449134</v>
      </c>
      <c r="D179" s="100">
        <f t="shared" si="30"/>
        <v>27638.297918246135</v>
      </c>
      <c r="E179" s="100">
        <f t="shared" si="31"/>
        <v>60417.319249286047</v>
      </c>
      <c r="F179" s="100">
        <f t="shared" si="40"/>
        <v>5434.1372218780507</v>
      </c>
      <c r="G179" s="100">
        <f t="shared" si="32"/>
        <v>11879.02396702542</v>
      </c>
      <c r="H179" s="100">
        <f t="shared" si="41"/>
        <v>1885.5816143473628</v>
      </c>
      <c r="I179" s="100">
        <f t="shared" si="33"/>
        <v>4121.8814089633352</v>
      </c>
      <c r="J179" s="100">
        <f t="shared" si="34"/>
        <v>1459.8961602277996</v>
      </c>
      <c r="K179" s="100">
        <f t="shared" si="35"/>
        <v>3191.3330062579698</v>
      </c>
      <c r="L179" s="101">
        <f t="shared" si="36"/>
        <v>15070.356973283389</v>
      </c>
      <c r="M179" s="100">
        <f t="shared" si="37"/>
        <v>75487.67622256944</v>
      </c>
      <c r="N179" s="102">
        <f t="shared" si="38"/>
        <v>34532.331300351987</v>
      </c>
      <c r="O179" s="94">
        <f t="shared" si="39"/>
        <v>0.94113834872518676</v>
      </c>
      <c r="P179" s="100">
        <f>'Bef.fremskr. kommunenivå MMMM'!H174</f>
        <v>2186</v>
      </c>
      <c r="Q179" s="100"/>
      <c r="R179" s="100">
        <f t="shared" si="42"/>
        <v>0</v>
      </c>
      <c r="S179" s="100">
        <v>0</v>
      </c>
      <c r="U179" s="100">
        <v>2062.2266666666669</v>
      </c>
      <c r="V179" s="5">
        <f t="shared" si="43"/>
        <v>58355.092582619378</v>
      </c>
      <c r="W179" s="5">
        <f t="shared" si="44"/>
        <v>26694.918839258637</v>
      </c>
    </row>
    <row r="180" spans="1:23" ht="13">
      <c r="A180" s="92">
        <v>3435</v>
      </c>
      <c r="B180" s="93" t="s">
        <v>427</v>
      </c>
      <c r="C180" s="574">
        <v>0.75628903920171031</v>
      </c>
      <c r="D180" s="100">
        <f t="shared" si="30"/>
        <v>27749.824131504392</v>
      </c>
      <c r="E180" s="100">
        <f t="shared" si="31"/>
        <v>98928.123028813148</v>
      </c>
      <c r="F180" s="100">
        <f t="shared" si="40"/>
        <v>5367.2214939230962</v>
      </c>
      <c r="G180" s="100">
        <f t="shared" si="32"/>
        <v>19134.144625835841</v>
      </c>
      <c r="H180" s="100">
        <f t="shared" si="41"/>
        <v>1846.5474397069727</v>
      </c>
      <c r="I180" s="100">
        <f t="shared" si="33"/>
        <v>6582.9416225553578</v>
      </c>
      <c r="J180" s="100">
        <f t="shared" si="34"/>
        <v>1420.8619855874094</v>
      </c>
      <c r="K180" s="100">
        <f t="shared" si="35"/>
        <v>5065.3729786191143</v>
      </c>
      <c r="L180" s="101">
        <f t="shared" si="36"/>
        <v>24199.517604454955</v>
      </c>
      <c r="M180" s="100">
        <f t="shared" si="37"/>
        <v>123127.64063326811</v>
      </c>
      <c r="N180" s="102">
        <f t="shared" si="38"/>
        <v>34537.907611014896</v>
      </c>
      <c r="O180" s="94">
        <f t="shared" si="39"/>
        <v>0.94129032455802641</v>
      </c>
      <c r="P180" s="100">
        <f>'Bef.fremskr. kommunenivå MMMM'!H175</f>
        <v>3565</v>
      </c>
      <c r="Q180" s="100"/>
      <c r="R180" s="100">
        <f t="shared" si="42"/>
        <v>0</v>
      </c>
      <c r="S180" s="100">
        <v>0</v>
      </c>
      <c r="U180" s="100">
        <v>3247.8103333333333</v>
      </c>
      <c r="V180" s="5">
        <f t="shared" si="43"/>
        <v>95680.312695479821</v>
      </c>
      <c r="W180" s="5">
        <f t="shared" si="44"/>
        <v>26838.797390036416</v>
      </c>
    </row>
    <row r="181" spans="1:23" ht="13">
      <c r="A181" s="92">
        <v>3436</v>
      </c>
      <c r="B181" s="93" t="s">
        <v>428</v>
      </c>
      <c r="C181" s="574">
        <v>0.87192779409113041</v>
      </c>
      <c r="D181" s="100">
        <f t="shared" si="30"/>
        <v>31992.851525309699</v>
      </c>
      <c r="E181" s="100">
        <f t="shared" si="31"/>
        <v>179159.9685417343</v>
      </c>
      <c r="F181" s="100">
        <f t="shared" si="40"/>
        <v>2821.4050576399122</v>
      </c>
      <c r="G181" s="100">
        <f t="shared" si="32"/>
        <v>15799.86832278351</v>
      </c>
      <c r="H181" s="100">
        <f t="shared" si="41"/>
        <v>361.48785187511527</v>
      </c>
      <c r="I181" s="100">
        <f t="shared" si="33"/>
        <v>2024.3319705006454</v>
      </c>
      <c r="J181" s="100">
        <f t="shared" si="34"/>
        <v>-64.197602244447921</v>
      </c>
      <c r="K181" s="100">
        <f t="shared" si="35"/>
        <v>-359.50657256890833</v>
      </c>
      <c r="L181" s="101">
        <f t="shared" si="36"/>
        <v>15440.361750214601</v>
      </c>
      <c r="M181" s="100">
        <f t="shared" si="37"/>
        <v>194600.33029194889</v>
      </c>
      <c r="N181" s="102">
        <f t="shared" si="38"/>
        <v>34750.058980705158</v>
      </c>
      <c r="O181" s="94">
        <f t="shared" si="39"/>
        <v>0.94707226230249741</v>
      </c>
      <c r="P181" s="100">
        <f>'Bef.fremskr. kommunenivå MMMM'!H176</f>
        <v>5600</v>
      </c>
      <c r="Q181" s="100"/>
      <c r="R181" s="100">
        <f t="shared" si="42"/>
        <v>0</v>
      </c>
      <c r="S181" s="100">
        <v>0</v>
      </c>
      <c r="U181" s="100">
        <v>18033.153666666665</v>
      </c>
      <c r="V181" s="5">
        <f t="shared" si="43"/>
        <v>161126.81487506762</v>
      </c>
      <c r="W181" s="5">
        <f t="shared" si="44"/>
        <v>28772.645513404932</v>
      </c>
    </row>
    <row r="182" spans="1:23" ht="13">
      <c r="A182" s="92">
        <v>3437</v>
      </c>
      <c r="B182" s="93" t="s">
        <v>429</v>
      </c>
      <c r="C182" s="574">
        <v>0.6704144617575265</v>
      </c>
      <c r="D182" s="100">
        <f t="shared" si="30"/>
        <v>24598.906561736756</v>
      </c>
      <c r="E182" s="100">
        <f t="shared" si="31"/>
        <v>134433.02435989139</v>
      </c>
      <c r="F182" s="100">
        <f t="shared" si="40"/>
        <v>7257.7720357836779</v>
      </c>
      <c r="G182" s="100">
        <f t="shared" si="32"/>
        <v>39663.7241755578</v>
      </c>
      <c r="H182" s="100">
        <f t="shared" si="41"/>
        <v>2949.3685891256455</v>
      </c>
      <c r="I182" s="100">
        <f t="shared" si="33"/>
        <v>16118.299339571653</v>
      </c>
      <c r="J182" s="100">
        <f t="shared" si="34"/>
        <v>2523.6831350060825</v>
      </c>
      <c r="K182" s="100">
        <f t="shared" si="35"/>
        <v>13791.928332808242</v>
      </c>
      <c r="L182" s="101">
        <f t="shared" si="36"/>
        <v>53455.652508366038</v>
      </c>
      <c r="M182" s="100">
        <f t="shared" si="37"/>
        <v>187888.67686825746</v>
      </c>
      <c r="N182" s="102">
        <f t="shared" si="38"/>
        <v>34380.361732526522</v>
      </c>
      <c r="O182" s="94">
        <f t="shared" si="39"/>
        <v>0.9369965956858175</v>
      </c>
      <c r="P182" s="100">
        <f>'Bef.fremskr. kommunenivå MMMM'!H177</f>
        <v>5465</v>
      </c>
      <c r="Q182" s="100"/>
      <c r="R182" s="100">
        <f t="shared" si="42"/>
        <v>0</v>
      </c>
      <c r="S182" s="100">
        <v>0</v>
      </c>
      <c r="U182" s="100">
        <v>551.52933333333328</v>
      </c>
      <c r="V182" s="5">
        <f t="shared" si="43"/>
        <v>133881.49502655806</v>
      </c>
      <c r="W182" s="5">
        <f t="shared" si="44"/>
        <v>24497.986281163412</v>
      </c>
    </row>
    <row r="183" spans="1:23" ht="13">
      <c r="A183" s="92">
        <v>3438</v>
      </c>
      <c r="B183" s="93" t="s">
        <v>430</v>
      </c>
      <c r="C183" s="574">
        <v>0.84067313078617534</v>
      </c>
      <c r="D183" s="100">
        <f t="shared" si="30"/>
        <v>30846.052662645543</v>
      </c>
      <c r="E183" s="100">
        <f t="shared" si="31"/>
        <v>94635.689568996517</v>
      </c>
      <c r="F183" s="100">
        <f t="shared" si="40"/>
        <v>3509.4843752384063</v>
      </c>
      <c r="G183" s="100">
        <f t="shared" si="32"/>
        <v>10767.098063231431</v>
      </c>
      <c r="H183" s="100">
        <f t="shared" si="41"/>
        <v>762.86745380756997</v>
      </c>
      <c r="I183" s="100">
        <f t="shared" si="33"/>
        <v>2340.4773482816249</v>
      </c>
      <c r="J183" s="100">
        <f t="shared" si="34"/>
        <v>337.18199968800678</v>
      </c>
      <c r="K183" s="100">
        <f t="shared" si="35"/>
        <v>1034.4743750428049</v>
      </c>
      <c r="L183" s="101">
        <f t="shared" si="36"/>
        <v>11801.572438274236</v>
      </c>
      <c r="M183" s="100">
        <f t="shared" si="37"/>
        <v>106437.26200727075</v>
      </c>
      <c r="N183" s="102">
        <f t="shared" si="38"/>
        <v>34692.719037571951</v>
      </c>
      <c r="O183" s="94">
        <f t="shared" si="39"/>
        <v>0.94550952913724962</v>
      </c>
      <c r="P183" s="100">
        <f>'Bef.fremskr. kommunenivå MMMM'!H178</f>
        <v>3068</v>
      </c>
      <c r="Q183" s="100"/>
      <c r="R183" s="100">
        <f t="shared" si="42"/>
        <v>0</v>
      </c>
      <c r="S183" s="100">
        <v>0</v>
      </c>
      <c r="U183" s="100">
        <v>6090.2010000000009</v>
      </c>
      <c r="V183" s="5">
        <f t="shared" si="43"/>
        <v>88545.488568996516</v>
      </c>
      <c r="W183" s="5">
        <f t="shared" si="44"/>
        <v>28860.980628747235</v>
      </c>
    </row>
    <row r="184" spans="1:23" ht="13">
      <c r="A184" s="92">
        <v>3439</v>
      </c>
      <c r="B184" s="93" t="s">
        <v>431</v>
      </c>
      <c r="C184" s="574">
        <v>0.84322918909959343</v>
      </c>
      <c r="D184" s="100">
        <f t="shared" si="30"/>
        <v>30939.839779727252</v>
      </c>
      <c r="E184" s="100">
        <f t="shared" si="31"/>
        <v>135454.61855564592</v>
      </c>
      <c r="F184" s="100">
        <f t="shared" si="40"/>
        <v>3453.2121049893808</v>
      </c>
      <c r="G184" s="100">
        <f t="shared" si="32"/>
        <v>15118.162595643509</v>
      </c>
      <c r="H184" s="100">
        <f t="shared" si="41"/>
        <v>730.04196282897192</v>
      </c>
      <c r="I184" s="100">
        <f t="shared" si="33"/>
        <v>3196.1237132652391</v>
      </c>
      <c r="J184" s="100">
        <f t="shared" si="34"/>
        <v>304.35650870940873</v>
      </c>
      <c r="K184" s="100">
        <f t="shared" si="35"/>
        <v>1332.4727951297914</v>
      </c>
      <c r="L184" s="101">
        <f t="shared" si="36"/>
        <v>16450.635390773299</v>
      </c>
      <c r="M184" s="100">
        <f t="shared" si="37"/>
        <v>151905.25394641922</v>
      </c>
      <c r="N184" s="102">
        <f t="shared" si="38"/>
        <v>34697.408393426042</v>
      </c>
      <c r="O184" s="94">
        <f t="shared" si="39"/>
        <v>0.94563733205292066</v>
      </c>
      <c r="P184" s="100">
        <f>'Bef.fremskr. kommunenivå MMMM'!H179</f>
        <v>4378</v>
      </c>
      <c r="Q184" s="100"/>
      <c r="R184" s="100">
        <f t="shared" si="42"/>
        <v>0</v>
      </c>
      <c r="S184" s="100">
        <v>0</v>
      </c>
      <c r="U184" s="100">
        <v>0</v>
      </c>
      <c r="V184" s="5">
        <f t="shared" si="43"/>
        <v>135454.61855564592</v>
      </c>
      <c r="W184" s="5">
        <f t="shared" si="44"/>
        <v>30939.839779727252</v>
      </c>
    </row>
    <row r="185" spans="1:23" ht="13">
      <c r="A185" s="92">
        <v>3440</v>
      </c>
      <c r="B185" s="93" t="s">
        <v>432</v>
      </c>
      <c r="C185" s="574">
        <v>0.94495955036018031</v>
      </c>
      <c r="D185" s="100">
        <f t="shared" si="30"/>
        <v>34672.539167775329</v>
      </c>
      <c r="E185" s="100">
        <f t="shared" si="31"/>
        <v>177003.31245149305</v>
      </c>
      <c r="F185" s="100">
        <f t="shared" si="40"/>
        <v>1213.5924721605347</v>
      </c>
      <c r="G185" s="100">
        <f t="shared" si="32"/>
        <v>6195.3895703795297</v>
      </c>
      <c r="H185" s="100">
        <f t="shared" si="41"/>
        <v>0</v>
      </c>
      <c r="I185" s="100">
        <f t="shared" si="33"/>
        <v>0</v>
      </c>
      <c r="J185" s="100">
        <f t="shared" si="34"/>
        <v>-425.68545411956319</v>
      </c>
      <c r="K185" s="100">
        <f t="shared" si="35"/>
        <v>-2173.1242432803701</v>
      </c>
      <c r="L185" s="101">
        <f t="shared" si="36"/>
        <v>4022.2653270991595</v>
      </c>
      <c r="M185" s="100">
        <f t="shared" si="37"/>
        <v>181025.57777859221</v>
      </c>
      <c r="N185" s="102">
        <f t="shared" si="38"/>
        <v>35460.446185816298</v>
      </c>
      <c r="O185" s="94">
        <f t="shared" si="39"/>
        <v>0.96643303569942651</v>
      </c>
      <c r="P185" s="100">
        <f>'Bef.fremskr. kommunenivå MMMM'!H180</f>
        <v>5105</v>
      </c>
      <c r="Q185" s="100"/>
      <c r="R185" s="100">
        <f t="shared" si="42"/>
        <v>0</v>
      </c>
      <c r="S185" s="100">
        <v>0</v>
      </c>
      <c r="U185" s="100">
        <v>3419.4450000000002</v>
      </c>
      <c r="V185" s="5">
        <f t="shared" si="43"/>
        <v>173583.86745149305</v>
      </c>
      <c r="W185" s="5">
        <f t="shared" si="44"/>
        <v>34002.716444954567</v>
      </c>
    </row>
    <row r="186" spans="1:23" ht="13">
      <c r="A186" s="92">
        <v>3441</v>
      </c>
      <c r="B186" s="93" t="s">
        <v>433</v>
      </c>
      <c r="C186" s="574">
        <v>0.82387349063014947</v>
      </c>
      <c r="D186" s="100">
        <f t="shared" si="30"/>
        <v>30229.63878430301</v>
      </c>
      <c r="E186" s="100">
        <f t="shared" si="31"/>
        <v>183675.2852534251</v>
      </c>
      <c r="F186" s="100">
        <f t="shared" si="40"/>
        <v>3879.3327022439262</v>
      </c>
      <c r="G186" s="100">
        <f t="shared" si="32"/>
        <v>23570.825498834096</v>
      </c>
      <c r="H186" s="100">
        <f t="shared" si="41"/>
        <v>978.61231122745664</v>
      </c>
      <c r="I186" s="100">
        <f t="shared" si="33"/>
        <v>5946.0484030180269</v>
      </c>
      <c r="J186" s="100">
        <f t="shared" si="34"/>
        <v>552.92685710789351</v>
      </c>
      <c r="K186" s="100">
        <f t="shared" si="35"/>
        <v>3359.5835837875611</v>
      </c>
      <c r="L186" s="101">
        <f t="shared" si="36"/>
        <v>26930.409082621656</v>
      </c>
      <c r="M186" s="100">
        <f t="shared" si="37"/>
        <v>210605.69433604676</v>
      </c>
      <c r="N186" s="102">
        <f t="shared" si="38"/>
        <v>34661.89834365483</v>
      </c>
      <c r="O186" s="94">
        <f t="shared" si="39"/>
        <v>0.94466954712944851</v>
      </c>
      <c r="P186" s="100">
        <f>'Bef.fremskr. kommunenivå MMMM'!H181</f>
        <v>6076</v>
      </c>
      <c r="Q186" s="100"/>
      <c r="R186" s="100">
        <f t="shared" si="42"/>
        <v>0</v>
      </c>
      <c r="S186" s="100">
        <v>0</v>
      </c>
      <c r="U186" s="100">
        <v>1013.2496666666667</v>
      </c>
      <c r="V186" s="5">
        <f t="shared" si="43"/>
        <v>182662.03558675843</v>
      </c>
      <c r="W186" s="5">
        <f t="shared" si="44"/>
        <v>30062.876166352606</v>
      </c>
    </row>
    <row r="187" spans="1:23" ht="13">
      <c r="A187" s="92">
        <v>3442</v>
      </c>
      <c r="B187" s="93" t="s">
        <v>434</v>
      </c>
      <c r="C187" s="574">
        <v>0.80576249097617159</v>
      </c>
      <c r="D187" s="100">
        <f t="shared" si="30"/>
        <v>29565.108387598979</v>
      </c>
      <c r="E187" s="100">
        <f t="shared" si="31"/>
        <v>438302.73184615484</v>
      </c>
      <c r="F187" s="100">
        <f t="shared" si="40"/>
        <v>4278.0509402663447</v>
      </c>
      <c r="G187" s="100">
        <f t="shared" si="32"/>
        <v>63422.105189448557</v>
      </c>
      <c r="H187" s="100">
        <f t="shared" si="41"/>
        <v>1211.1979500738673</v>
      </c>
      <c r="I187" s="100">
        <f t="shared" si="33"/>
        <v>17956.009609845085</v>
      </c>
      <c r="J187" s="100">
        <f t="shared" si="34"/>
        <v>785.51249595430409</v>
      </c>
      <c r="K187" s="100">
        <f t="shared" si="35"/>
        <v>11645.222752522557</v>
      </c>
      <c r="L187" s="101">
        <f t="shared" si="36"/>
        <v>75067.327941971118</v>
      </c>
      <c r="M187" s="100">
        <f t="shared" si="37"/>
        <v>513370.05978812597</v>
      </c>
      <c r="N187" s="102">
        <f t="shared" si="38"/>
        <v>34628.671823819626</v>
      </c>
      <c r="O187" s="94">
        <f t="shared" si="39"/>
        <v>0.94376399714674952</v>
      </c>
      <c r="P187" s="100">
        <f>'Bef.fremskr. kommunenivå MMMM'!H182</f>
        <v>14825</v>
      </c>
      <c r="Q187" s="100"/>
      <c r="R187" s="100">
        <f t="shared" si="42"/>
        <v>0</v>
      </c>
      <c r="S187" s="100">
        <v>0</v>
      </c>
      <c r="U187" s="100">
        <v>78.620333333333335</v>
      </c>
      <c r="V187" s="5">
        <f t="shared" si="43"/>
        <v>438224.11151282152</v>
      </c>
      <c r="W187" s="5">
        <f t="shared" si="44"/>
        <v>29559.805161067216</v>
      </c>
    </row>
    <row r="188" spans="1:23" ht="13">
      <c r="A188" s="92">
        <v>3443</v>
      </c>
      <c r="B188" s="93" t="s">
        <v>435</v>
      </c>
      <c r="C188" s="574">
        <v>0.76536082271377004</v>
      </c>
      <c r="D188" s="100">
        <f t="shared" si="30"/>
        <v>28082.686812265256</v>
      </c>
      <c r="E188" s="100">
        <f t="shared" si="31"/>
        <v>383609.50185554335</v>
      </c>
      <c r="F188" s="100">
        <f t="shared" si="40"/>
        <v>5167.5038854665781</v>
      </c>
      <c r="G188" s="100">
        <f t="shared" si="32"/>
        <v>70588.103075473453</v>
      </c>
      <c r="H188" s="100">
        <f t="shared" si="41"/>
        <v>1730.0455014406705</v>
      </c>
      <c r="I188" s="100">
        <f t="shared" si="33"/>
        <v>23632.421549679559</v>
      </c>
      <c r="J188" s="100">
        <f t="shared" si="34"/>
        <v>1304.3600473211072</v>
      </c>
      <c r="K188" s="100">
        <f t="shared" si="35"/>
        <v>17817.558246406323</v>
      </c>
      <c r="L188" s="101">
        <f t="shared" si="36"/>
        <v>88405.661321879772</v>
      </c>
      <c r="M188" s="100">
        <f t="shared" si="37"/>
        <v>472015.16317742312</v>
      </c>
      <c r="N188" s="102">
        <f t="shared" si="38"/>
        <v>34554.55074505294</v>
      </c>
      <c r="O188" s="94">
        <f t="shared" si="39"/>
        <v>0.94174391373362942</v>
      </c>
      <c r="P188" s="100">
        <f>'Bef.fremskr. kommunenivå MMMM'!H183</f>
        <v>13660</v>
      </c>
      <c r="Q188" s="100"/>
      <c r="R188" s="100">
        <f t="shared" si="42"/>
        <v>0</v>
      </c>
      <c r="S188" s="100">
        <v>0</v>
      </c>
      <c r="U188" s="100">
        <v>41.540666666666667</v>
      </c>
      <c r="V188" s="5">
        <f t="shared" si="43"/>
        <v>383567.96118887671</v>
      </c>
      <c r="W188" s="5">
        <f t="shared" si="44"/>
        <v>28079.645767853344</v>
      </c>
    </row>
    <row r="189" spans="1:23" ht="13">
      <c r="A189" s="92">
        <v>3446</v>
      </c>
      <c r="B189" s="93" t="s">
        <v>438</v>
      </c>
      <c r="C189" s="574">
        <v>0.84352906765410374</v>
      </c>
      <c r="D189" s="100">
        <f t="shared" si="30"/>
        <v>30950.842950098799</v>
      </c>
      <c r="E189" s="100">
        <f t="shared" si="31"/>
        <v>421086.21833609411</v>
      </c>
      <c r="F189" s="100">
        <f t="shared" si="40"/>
        <v>3446.6102027664529</v>
      </c>
      <c r="G189" s="100">
        <f t="shared" si="32"/>
        <v>46891.13180863759</v>
      </c>
      <c r="H189" s="100">
        <f t="shared" si="41"/>
        <v>726.19085319893054</v>
      </c>
      <c r="I189" s="100">
        <f t="shared" si="33"/>
        <v>9879.8265577714501</v>
      </c>
      <c r="J189" s="100">
        <f t="shared" si="34"/>
        <v>300.50539907936735</v>
      </c>
      <c r="K189" s="100">
        <f t="shared" si="35"/>
        <v>4088.3759544747927</v>
      </c>
      <c r="L189" s="101">
        <f t="shared" si="36"/>
        <v>50979.507763112386</v>
      </c>
      <c r="M189" s="100">
        <f t="shared" si="37"/>
        <v>472065.72609920648</v>
      </c>
      <c r="N189" s="102">
        <f t="shared" si="38"/>
        <v>34697.958551944619</v>
      </c>
      <c r="O189" s="94">
        <f t="shared" si="39"/>
        <v>0.94565232598064619</v>
      </c>
      <c r="P189" s="100">
        <f>'Bef.fremskr. kommunenivå MMMM'!H184</f>
        <v>13605</v>
      </c>
      <c r="Q189" s="100"/>
      <c r="R189" s="100">
        <f t="shared" si="42"/>
        <v>0</v>
      </c>
      <c r="S189" s="100">
        <v>0</v>
      </c>
      <c r="U189" s="100">
        <v>57.669666666666664</v>
      </c>
      <c r="V189" s="5">
        <f t="shared" si="43"/>
        <v>421028.54866942746</v>
      </c>
      <c r="W189" s="5">
        <f t="shared" si="44"/>
        <v>30946.604091835903</v>
      </c>
    </row>
    <row r="190" spans="1:23" ht="13">
      <c r="A190" s="92">
        <v>3447</v>
      </c>
      <c r="B190" s="93" t="s">
        <v>439</v>
      </c>
      <c r="C190" s="574">
        <v>0.68844216507120326</v>
      </c>
      <c r="D190" s="100">
        <f t="shared" si="30"/>
        <v>25260.380641775675</v>
      </c>
      <c r="E190" s="100">
        <f t="shared" si="31"/>
        <v>139993.0295167208</v>
      </c>
      <c r="F190" s="100">
        <f t="shared" si="40"/>
        <v>6860.8875877603268</v>
      </c>
      <c r="G190" s="100">
        <f t="shared" si="32"/>
        <v>38023.039011367728</v>
      </c>
      <c r="H190" s="100">
        <f t="shared" si="41"/>
        <v>2717.8526611120237</v>
      </c>
      <c r="I190" s="100">
        <f t="shared" si="33"/>
        <v>15062.339447882834</v>
      </c>
      <c r="J190" s="100">
        <f t="shared" si="34"/>
        <v>2292.1672069924607</v>
      </c>
      <c r="K190" s="100">
        <f t="shared" si="35"/>
        <v>12703.190661152217</v>
      </c>
      <c r="L190" s="101">
        <f t="shared" si="36"/>
        <v>50726.229672519941</v>
      </c>
      <c r="M190" s="100">
        <f t="shared" si="37"/>
        <v>190719.25918924075</v>
      </c>
      <c r="N190" s="102">
        <f t="shared" si="38"/>
        <v>34413.435436528467</v>
      </c>
      <c r="O190" s="94">
        <f t="shared" si="39"/>
        <v>0.93789798085150133</v>
      </c>
      <c r="P190" s="100">
        <f>'Bef.fremskr. kommunenivå MMMM'!H185</f>
        <v>5542</v>
      </c>
      <c r="Q190" s="100"/>
      <c r="R190" s="100">
        <f t="shared" si="42"/>
        <v>0</v>
      </c>
      <c r="S190" s="100">
        <v>0</v>
      </c>
      <c r="U190" s="100">
        <v>150.98566666666667</v>
      </c>
      <c r="V190" s="5">
        <f t="shared" si="43"/>
        <v>139842.04385005412</v>
      </c>
      <c r="W190" s="5">
        <f t="shared" si="44"/>
        <v>25233.136746671618</v>
      </c>
    </row>
    <row r="191" spans="1:23" ht="13">
      <c r="A191" s="92">
        <v>3448</v>
      </c>
      <c r="B191" s="93" t="s">
        <v>440</v>
      </c>
      <c r="C191" s="574">
        <v>0.70899594141919808</v>
      </c>
      <c r="D191" s="100">
        <f t="shared" si="30"/>
        <v>26014.541616390841</v>
      </c>
      <c r="E191" s="100">
        <f t="shared" si="31"/>
        <v>171019.59658615338</v>
      </c>
      <c r="F191" s="100">
        <f t="shared" si="40"/>
        <v>6408.3910029912267</v>
      </c>
      <c r="G191" s="100">
        <f t="shared" si="32"/>
        <v>42128.762453664327</v>
      </c>
      <c r="H191" s="100">
        <f t="shared" si="41"/>
        <v>2453.8963199967156</v>
      </c>
      <c r="I191" s="100">
        <f t="shared" si="33"/>
        <v>16131.914407658409</v>
      </c>
      <c r="J191" s="100">
        <f t="shared" si="34"/>
        <v>2028.2108658771524</v>
      </c>
      <c r="K191" s="100">
        <f t="shared" si="35"/>
        <v>13333.4582322764</v>
      </c>
      <c r="L191" s="101">
        <f t="shared" si="36"/>
        <v>55462.220685940731</v>
      </c>
      <c r="M191" s="100">
        <f t="shared" si="37"/>
        <v>226481.81727209411</v>
      </c>
      <c r="N191" s="102">
        <f t="shared" si="38"/>
        <v>34451.143485259221</v>
      </c>
      <c r="O191" s="94">
        <f t="shared" si="39"/>
        <v>0.9389256696689009</v>
      </c>
      <c r="P191" s="100">
        <f>'Bef.fremskr. kommunenivå MMMM'!H186</f>
        <v>6574</v>
      </c>
      <c r="Q191" s="100"/>
      <c r="R191" s="100">
        <f t="shared" si="42"/>
        <v>0</v>
      </c>
      <c r="S191" s="100">
        <v>0</v>
      </c>
      <c r="U191" s="100">
        <v>7190.7699999999995</v>
      </c>
      <c r="V191" s="5">
        <f t="shared" si="43"/>
        <v>163828.82658615339</v>
      </c>
      <c r="W191" s="5">
        <f t="shared" si="44"/>
        <v>24920.722024057406</v>
      </c>
    </row>
    <row r="192" spans="1:23" ht="13">
      <c r="A192" s="92">
        <v>3449</v>
      </c>
      <c r="B192" s="93" t="s">
        <v>441</v>
      </c>
      <c r="C192" s="574">
        <v>0.80988998676836843</v>
      </c>
      <c r="D192" s="100">
        <f t="shared" si="30"/>
        <v>29716.554827253694</v>
      </c>
      <c r="E192" s="100">
        <f t="shared" si="31"/>
        <v>85851.126895935929</v>
      </c>
      <c r="F192" s="100">
        <f t="shared" si="40"/>
        <v>4187.183076473515</v>
      </c>
      <c r="G192" s="100">
        <f t="shared" si="32"/>
        <v>12096.771907931985</v>
      </c>
      <c r="H192" s="100">
        <f t="shared" si="41"/>
        <v>1158.191696194717</v>
      </c>
      <c r="I192" s="100">
        <f t="shared" si="33"/>
        <v>3346.0158103065373</v>
      </c>
      <c r="J192" s="100">
        <f t="shared" si="34"/>
        <v>732.50624207515375</v>
      </c>
      <c r="K192" s="100">
        <f t="shared" si="35"/>
        <v>2116.210533355119</v>
      </c>
      <c r="L192" s="101">
        <f t="shared" si="36"/>
        <v>14212.982441287104</v>
      </c>
      <c r="M192" s="100">
        <f t="shared" si="37"/>
        <v>100064.10933722302</v>
      </c>
      <c r="N192" s="102">
        <f t="shared" si="38"/>
        <v>34636.24414580236</v>
      </c>
      <c r="O192" s="94">
        <f t="shared" si="39"/>
        <v>0.94397037193635935</v>
      </c>
      <c r="P192" s="100">
        <f>'Bef.fremskr. kommunenivå MMMM'!H187</f>
        <v>2889</v>
      </c>
      <c r="Q192" s="100"/>
      <c r="R192" s="100">
        <f t="shared" si="42"/>
        <v>0</v>
      </c>
      <c r="S192" s="100">
        <v>0</v>
      </c>
      <c r="U192" s="100">
        <v>4228.9336666666668</v>
      </c>
      <c r="V192" s="5">
        <f t="shared" si="43"/>
        <v>81622.193229269265</v>
      </c>
      <c r="W192" s="5">
        <f t="shared" si="44"/>
        <v>28252.749473613454</v>
      </c>
    </row>
    <row r="193" spans="1:23" ht="13">
      <c r="A193" s="92">
        <v>3450</v>
      </c>
      <c r="B193" s="93" t="s">
        <v>442</v>
      </c>
      <c r="C193" s="574">
        <v>0.7506986254841389</v>
      </c>
      <c r="D193" s="100">
        <f t="shared" si="30"/>
        <v>27544.700178301653</v>
      </c>
      <c r="E193" s="100">
        <f t="shared" si="31"/>
        <v>35174.58212769121</v>
      </c>
      <c r="F193" s="100">
        <f t="shared" si="40"/>
        <v>5490.2958658447396</v>
      </c>
      <c r="G193" s="100">
        <f t="shared" si="32"/>
        <v>7011.1078206837328</v>
      </c>
      <c r="H193" s="100">
        <f t="shared" si="41"/>
        <v>1918.3408233279313</v>
      </c>
      <c r="I193" s="100">
        <f t="shared" si="33"/>
        <v>2449.7212313897685</v>
      </c>
      <c r="J193" s="100">
        <f t="shared" si="34"/>
        <v>1492.655369208368</v>
      </c>
      <c r="K193" s="100">
        <f t="shared" si="35"/>
        <v>1906.120906479086</v>
      </c>
      <c r="L193" s="101">
        <f t="shared" si="36"/>
        <v>8917.2287271628193</v>
      </c>
      <c r="M193" s="100">
        <f t="shared" si="37"/>
        <v>44091.810854854033</v>
      </c>
      <c r="N193" s="102">
        <f t="shared" si="38"/>
        <v>34527.651413354761</v>
      </c>
      <c r="O193" s="94">
        <f t="shared" si="39"/>
        <v>0.94101080387214797</v>
      </c>
      <c r="P193" s="100">
        <f>'Bef.fremskr. kommunenivå MMMM'!H188</f>
        <v>1277</v>
      </c>
      <c r="Q193" s="100"/>
      <c r="R193" s="100">
        <f t="shared" si="42"/>
        <v>0</v>
      </c>
      <c r="S193" s="100">
        <v>0</v>
      </c>
      <c r="U193" s="100">
        <v>0</v>
      </c>
      <c r="V193" s="5">
        <f t="shared" si="43"/>
        <v>35174.58212769121</v>
      </c>
      <c r="W193" s="5">
        <f t="shared" si="44"/>
        <v>27544.700178301653</v>
      </c>
    </row>
    <row r="194" spans="1:23" ht="13">
      <c r="A194" s="92">
        <v>3451</v>
      </c>
      <c r="B194" s="93" t="s">
        <v>443</v>
      </c>
      <c r="C194" s="574">
        <v>0.85708870533713433</v>
      </c>
      <c r="D194" s="100">
        <f t="shared" si="30"/>
        <v>31448.374371932168</v>
      </c>
      <c r="E194" s="100">
        <f t="shared" si="31"/>
        <v>200420.48987232373</v>
      </c>
      <c r="F194" s="100">
        <f t="shared" si="40"/>
        <v>3148.0913496664311</v>
      </c>
      <c r="G194" s="100">
        <f t="shared" si="32"/>
        <v>20062.786171424166</v>
      </c>
      <c r="H194" s="100">
        <f t="shared" si="41"/>
        <v>552.05485555725113</v>
      </c>
      <c r="I194" s="100">
        <f t="shared" si="33"/>
        <v>3518.2455944663616</v>
      </c>
      <c r="J194" s="100">
        <f t="shared" si="34"/>
        <v>126.36940143768794</v>
      </c>
      <c r="K194" s="100">
        <f t="shared" si="35"/>
        <v>805.35219536238526</v>
      </c>
      <c r="L194" s="101">
        <f t="shared" si="36"/>
        <v>20868.138366786552</v>
      </c>
      <c r="M194" s="100">
        <f t="shared" si="37"/>
        <v>221288.62823911029</v>
      </c>
      <c r="N194" s="102">
        <f t="shared" si="38"/>
        <v>34722.83512303629</v>
      </c>
      <c r="O194" s="94">
        <f t="shared" si="39"/>
        <v>0.94633030786479777</v>
      </c>
      <c r="P194" s="100">
        <f>'Bef.fremskr. kommunenivå MMMM'!H189</f>
        <v>6373</v>
      </c>
      <c r="Q194" s="100"/>
      <c r="R194" s="100">
        <f t="shared" si="42"/>
        <v>0</v>
      </c>
      <c r="S194" s="100">
        <v>0</v>
      </c>
      <c r="U194" s="100">
        <v>6688.1270000000004</v>
      </c>
      <c r="V194" s="5">
        <f t="shared" si="43"/>
        <v>193732.36287232372</v>
      </c>
      <c r="W194" s="5">
        <f t="shared" si="44"/>
        <v>30398.927172810876</v>
      </c>
    </row>
    <row r="195" spans="1:23" ht="13">
      <c r="A195" s="92">
        <v>3452</v>
      </c>
      <c r="B195" s="93" t="s">
        <v>444</v>
      </c>
      <c r="C195" s="574">
        <v>0.97962436049264778</v>
      </c>
      <c r="D195" s="100">
        <f t="shared" si="30"/>
        <v>35944.463438611419</v>
      </c>
      <c r="E195" s="100">
        <f t="shared" si="31"/>
        <v>76238.206953294808</v>
      </c>
      <c r="F195" s="100">
        <f t="shared" si="40"/>
        <v>450.43790965888036</v>
      </c>
      <c r="G195" s="100">
        <f t="shared" si="32"/>
        <v>955.37880638648528</v>
      </c>
      <c r="H195" s="100">
        <f t="shared" si="41"/>
        <v>0</v>
      </c>
      <c r="I195" s="100">
        <f t="shared" si="33"/>
        <v>0</v>
      </c>
      <c r="J195" s="100">
        <f t="shared" si="34"/>
        <v>-425.68545411956319</v>
      </c>
      <c r="K195" s="100">
        <f t="shared" si="35"/>
        <v>-902.87884818759346</v>
      </c>
      <c r="L195" s="101">
        <f t="shared" si="36"/>
        <v>52.499958198891818</v>
      </c>
      <c r="M195" s="100">
        <f t="shared" si="37"/>
        <v>76290.706911493704</v>
      </c>
      <c r="N195" s="102">
        <f t="shared" si="38"/>
        <v>35969.21589415073</v>
      </c>
      <c r="O195" s="94">
        <f t="shared" si="39"/>
        <v>0.98029895975241343</v>
      </c>
      <c r="P195" s="100">
        <f>'Bef.fremskr. kommunenivå MMMM'!H190</f>
        <v>2121</v>
      </c>
      <c r="Q195" s="100"/>
      <c r="R195" s="100">
        <f t="shared" si="42"/>
        <v>0</v>
      </c>
      <c r="S195" s="100">
        <v>0</v>
      </c>
      <c r="U195" s="100">
        <v>1375.076</v>
      </c>
      <c r="V195" s="5">
        <f t="shared" si="43"/>
        <v>74863.130953294807</v>
      </c>
      <c r="W195" s="5">
        <f t="shared" si="44"/>
        <v>35296.148492831126</v>
      </c>
    </row>
    <row r="196" spans="1:23" ht="13">
      <c r="A196" s="92">
        <v>3453</v>
      </c>
      <c r="B196" s="93" t="s">
        <v>445</v>
      </c>
      <c r="C196" s="574">
        <v>0.97853046499569707</v>
      </c>
      <c r="D196" s="100">
        <f t="shared" si="30"/>
        <v>35904.326128555113</v>
      </c>
      <c r="E196" s="100">
        <f t="shared" si="31"/>
        <v>117658.4767232751</v>
      </c>
      <c r="F196" s="100">
        <f t="shared" si="40"/>
        <v>474.52029569266449</v>
      </c>
      <c r="G196" s="100">
        <f t="shared" si="32"/>
        <v>1555.0030089848615</v>
      </c>
      <c r="H196" s="100">
        <f t="shared" si="41"/>
        <v>0</v>
      </c>
      <c r="I196" s="100">
        <f t="shared" si="33"/>
        <v>0</v>
      </c>
      <c r="J196" s="100">
        <f t="shared" si="34"/>
        <v>-425.68545411956319</v>
      </c>
      <c r="K196" s="100">
        <f t="shared" si="35"/>
        <v>-1394.9712331498085</v>
      </c>
      <c r="L196" s="101">
        <f t="shared" si="36"/>
        <v>160.03177583505294</v>
      </c>
      <c r="M196" s="100">
        <f t="shared" si="37"/>
        <v>117818.50849911016</v>
      </c>
      <c r="N196" s="102">
        <f t="shared" si="38"/>
        <v>35953.160970128214</v>
      </c>
      <c r="O196" s="94">
        <f t="shared" si="39"/>
        <v>0.97986140155363333</v>
      </c>
      <c r="P196" s="100">
        <f>'Bef.fremskr. kommunenivå MMMM'!H191</f>
        <v>3277</v>
      </c>
      <c r="Q196" s="100"/>
      <c r="R196" s="100">
        <f t="shared" si="42"/>
        <v>0</v>
      </c>
      <c r="S196" s="100">
        <v>0</v>
      </c>
      <c r="U196" s="100">
        <v>1418.5636666666667</v>
      </c>
      <c r="V196" s="5">
        <f t="shared" si="43"/>
        <v>116239.91305660843</v>
      </c>
      <c r="W196" s="5">
        <f t="shared" si="44"/>
        <v>35471.441274521952</v>
      </c>
    </row>
    <row r="197" spans="1:23" ht="13">
      <c r="A197" s="92">
        <v>3454</v>
      </c>
      <c r="B197" s="93" t="s">
        <v>446</v>
      </c>
      <c r="C197" s="574">
        <v>0.9046748325413706</v>
      </c>
      <c r="D197" s="100">
        <f t="shared" si="30"/>
        <v>33194.408748432972</v>
      </c>
      <c r="E197" s="100">
        <f t="shared" si="31"/>
        <v>54472.024756178507</v>
      </c>
      <c r="F197" s="100">
        <f t="shared" si="40"/>
        <v>2100.4707237659486</v>
      </c>
      <c r="G197" s="100">
        <f t="shared" si="32"/>
        <v>3446.8724576999216</v>
      </c>
      <c r="H197" s="100">
        <f t="shared" si="41"/>
        <v>0</v>
      </c>
      <c r="I197" s="100">
        <f t="shared" si="33"/>
        <v>0</v>
      </c>
      <c r="J197" s="100">
        <f t="shared" si="34"/>
        <v>-425.68545411956319</v>
      </c>
      <c r="K197" s="100">
        <f t="shared" si="35"/>
        <v>-698.54983021020314</v>
      </c>
      <c r="L197" s="101">
        <f t="shared" si="36"/>
        <v>2748.3226274897183</v>
      </c>
      <c r="M197" s="100">
        <f t="shared" si="37"/>
        <v>57220.347383668224</v>
      </c>
      <c r="N197" s="102">
        <f t="shared" si="38"/>
        <v>34869.194018079354</v>
      </c>
      <c r="O197" s="94">
        <f t="shared" si="39"/>
        <v>0.95031914857190258</v>
      </c>
      <c r="P197" s="100">
        <f>'Bef.fremskr. kommunenivå MMMM'!H192</f>
        <v>1641</v>
      </c>
      <c r="Q197" s="100"/>
      <c r="R197" s="100">
        <f t="shared" si="42"/>
        <v>0</v>
      </c>
      <c r="S197" s="100">
        <v>0</v>
      </c>
      <c r="U197" s="100">
        <v>6400.0933333333332</v>
      </c>
      <c r="V197" s="5">
        <f t="shared" si="43"/>
        <v>48071.931422845177</v>
      </c>
      <c r="W197" s="5">
        <f t="shared" si="44"/>
        <v>29294.290934092125</v>
      </c>
    </row>
    <row r="198" spans="1:23" ht="13">
      <c r="A198" s="92">
        <v>3801</v>
      </c>
      <c r="B198" s="93" t="s">
        <v>344</v>
      </c>
      <c r="C198" s="574">
        <v>0.80021849668250367</v>
      </c>
      <c r="D198" s="100">
        <f t="shared" si="30"/>
        <v>29361.687659992323</v>
      </c>
      <c r="E198" s="100">
        <f t="shared" si="31"/>
        <v>810705.557980048</v>
      </c>
      <c r="F198" s="100">
        <f t="shared" si="40"/>
        <v>4400.1033768303378</v>
      </c>
      <c r="G198" s="100">
        <f t="shared" si="32"/>
        <v>121491.25433766245</v>
      </c>
      <c r="H198" s="100">
        <f t="shared" si="41"/>
        <v>1282.3952047361968</v>
      </c>
      <c r="I198" s="100">
        <f t="shared" si="33"/>
        <v>35408.213997971136</v>
      </c>
      <c r="J198" s="100">
        <f t="shared" si="34"/>
        <v>856.70975061663353</v>
      </c>
      <c r="K198" s="100">
        <f t="shared" si="35"/>
        <v>23654.612924275869</v>
      </c>
      <c r="L198" s="101">
        <f t="shared" si="36"/>
        <v>145145.86726193831</v>
      </c>
      <c r="M198" s="100">
        <f t="shared" si="37"/>
        <v>955851.42524198641</v>
      </c>
      <c r="N198" s="102">
        <f t="shared" si="38"/>
        <v>34618.500787439298</v>
      </c>
      <c r="O198" s="94">
        <f t="shared" si="39"/>
        <v>0.94348679743206632</v>
      </c>
      <c r="P198" s="100">
        <f>'Bef.fremskr. kommunenivå MMMM'!H193</f>
        <v>27611</v>
      </c>
      <c r="Q198" s="100"/>
      <c r="R198" s="100">
        <f t="shared" si="42"/>
        <v>0</v>
      </c>
      <c r="S198" s="100">
        <v>0</v>
      </c>
      <c r="U198" s="100">
        <v>0</v>
      </c>
      <c r="V198" s="5">
        <f t="shared" si="43"/>
        <v>810705.557980048</v>
      </c>
      <c r="W198" s="5">
        <f t="shared" si="44"/>
        <v>29361.687659992323</v>
      </c>
    </row>
    <row r="199" spans="1:23" ht="13">
      <c r="A199" s="92">
        <v>3802</v>
      </c>
      <c r="B199" s="93" t="s">
        <v>1821</v>
      </c>
      <c r="C199" s="574">
        <v>0.88137551176133488</v>
      </c>
      <c r="D199" s="100">
        <f t="shared" si="30"/>
        <v>32339.50801535881</v>
      </c>
      <c r="E199" s="100">
        <f t="shared" si="31"/>
        <v>851240.52998027462</v>
      </c>
      <c r="F199" s="100">
        <f t="shared" si="40"/>
        <v>2613.4111636104462</v>
      </c>
      <c r="G199" s="100">
        <f t="shared" si="32"/>
        <v>68790.208648554166</v>
      </c>
      <c r="H199" s="100">
        <f t="shared" si="41"/>
        <v>240.15808035792668</v>
      </c>
      <c r="I199" s="100">
        <f t="shared" si="33"/>
        <v>6321.4409911813455</v>
      </c>
      <c r="J199" s="100">
        <f t="shared" si="34"/>
        <v>-185.52737376163651</v>
      </c>
      <c r="K199" s="100">
        <f t="shared" si="35"/>
        <v>-4883.4515321537965</v>
      </c>
      <c r="L199" s="101">
        <f t="shared" si="36"/>
        <v>63906.757116400368</v>
      </c>
      <c r="M199" s="100">
        <f t="shared" si="37"/>
        <v>915147.28709667502</v>
      </c>
      <c r="N199" s="102">
        <f t="shared" si="38"/>
        <v>34767.391805207626</v>
      </c>
      <c r="O199" s="94">
        <f t="shared" si="39"/>
        <v>0.94754464818600792</v>
      </c>
      <c r="P199" s="100">
        <f>'Bef.fremskr. kommunenivå MMMM'!H194</f>
        <v>26322</v>
      </c>
      <c r="Q199" s="100"/>
      <c r="R199" s="100">
        <f t="shared" si="42"/>
        <v>0</v>
      </c>
      <c r="S199" s="100">
        <v>0</v>
      </c>
      <c r="U199" s="100">
        <v>0</v>
      </c>
      <c r="V199" s="5">
        <f t="shared" si="43"/>
        <v>851240.52998027462</v>
      </c>
      <c r="W199" s="5">
        <f t="shared" si="44"/>
        <v>32339.50801535881</v>
      </c>
    </row>
    <row r="200" spans="1:23" ht="13">
      <c r="A200" s="92">
        <v>3803</v>
      </c>
      <c r="B200" s="93" t="s">
        <v>464</v>
      </c>
      <c r="C200" s="574">
        <v>0.95562804959376424</v>
      </c>
      <c r="D200" s="100">
        <f t="shared" si="30"/>
        <v>35063.988682621573</v>
      </c>
      <c r="E200" s="100">
        <f t="shared" si="31"/>
        <v>2052119.9376504277</v>
      </c>
      <c r="F200" s="100">
        <f t="shared" si="40"/>
        <v>978.7227632527879</v>
      </c>
      <c r="G200" s="100">
        <f t="shared" si="32"/>
        <v>57279.749719369414</v>
      </c>
      <c r="H200" s="100">
        <f t="shared" si="41"/>
        <v>0</v>
      </c>
      <c r="I200" s="100">
        <f t="shared" si="33"/>
        <v>0</v>
      </c>
      <c r="J200" s="100">
        <f t="shared" si="34"/>
        <v>-425.68545411956319</v>
      </c>
      <c r="K200" s="100">
        <f t="shared" si="35"/>
        <v>-24913.241202347435</v>
      </c>
      <c r="L200" s="101">
        <f t="shared" si="36"/>
        <v>32366.508517021979</v>
      </c>
      <c r="M200" s="100">
        <f t="shared" si="37"/>
        <v>2084486.4461674497</v>
      </c>
      <c r="N200" s="102">
        <f t="shared" si="38"/>
        <v>35617.025991754803</v>
      </c>
      <c r="O200" s="94">
        <f t="shared" si="39"/>
        <v>0.97070043539286033</v>
      </c>
      <c r="P200" s="100">
        <f>'Bef.fremskr. kommunenivå MMMM'!H195</f>
        <v>58525</v>
      </c>
      <c r="Q200" s="100"/>
      <c r="R200" s="100">
        <f t="shared" si="42"/>
        <v>0</v>
      </c>
      <c r="S200" s="100">
        <v>0</v>
      </c>
      <c r="U200" s="100">
        <v>0</v>
      </c>
      <c r="V200" s="5">
        <f t="shared" si="43"/>
        <v>2052119.9376504277</v>
      </c>
      <c r="W200" s="5">
        <f t="shared" si="44"/>
        <v>35063.988682621573</v>
      </c>
    </row>
    <row r="201" spans="1:23" ht="13">
      <c r="A201" s="92">
        <v>3804</v>
      </c>
      <c r="B201" s="93" t="s">
        <v>1822</v>
      </c>
      <c r="C201" s="574">
        <v>0.88589772030800273</v>
      </c>
      <c r="D201" s="100">
        <f t="shared" si="30"/>
        <v>32505.437290214464</v>
      </c>
      <c r="E201" s="100">
        <f t="shared" si="31"/>
        <v>2129463.7023192397</v>
      </c>
      <c r="F201" s="100">
        <f t="shared" si="40"/>
        <v>2513.8535986970533</v>
      </c>
      <c r="G201" s="100">
        <f t="shared" si="32"/>
        <v>164685.06310424264</v>
      </c>
      <c r="H201" s="100">
        <f t="shared" si="41"/>
        <v>182.08283415844761</v>
      </c>
      <c r="I201" s="100">
        <f t="shared" si="33"/>
        <v>11928.42854855406</v>
      </c>
      <c r="J201" s="100">
        <f t="shared" si="34"/>
        <v>-243.60261996111558</v>
      </c>
      <c r="K201" s="100">
        <f t="shared" si="35"/>
        <v>-15958.651236272643</v>
      </c>
      <c r="L201" s="101">
        <f t="shared" si="36"/>
        <v>148726.41186796999</v>
      </c>
      <c r="M201" s="100">
        <f t="shared" si="37"/>
        <v>2278190.1141872099</v>
      </c>
      <c r="N201" s="102">
        <f t="shared" si="38"/>
        <v>34775.688268950405</v>
      </c>
      <c r="O201" s="94">
        <f t="shared" si="39"/>
        <v>0.94777075861334126</v>
      </c>
      <c r="P201" s="100">
        <f>'Bef.fremskr. kommunenivå MMMM'!H196</f>
        <v>65511</v>
      </c>
      <c r="Q201" s="100"/>
      <c r="R201" s="100">
        <f t="shared" si="42"/>
        <v>0</v>
      </c>
      <c r="S201" s="100">
        <v>0</v>
      </c>
      <c r="U201" s="100">
        <v>0</v>
      </c>
      <c r="V201" s="5">
        <f t="shared" si="43"/>
        <v>2129463.7023192397</v>
      </c>
      <c r="W201" s="5">
        <f t="shared" si="44"/>
        <v>32505.437290214461</v>
      </c>
    </row>
    <row r="202" spans="1:23" ht="13">
      <c r="A202" s="92">
        <v>3805</v>
      </c>
      <c r="B202" s="93" t="s">
        <v>1823</v>
      </c>
      <c r="C202" s="574">
        <v>0.86195723387708878</v>
      </c>
      <c r="D202" s="100">
        <f t="shared" ref="D202:D265" si="45">C202*D$367</f>
        <v>31627.010850527109</v>
      </c>
      <c r="E202" s="100">
        <f t="shared" ref="E202:E265" si="46">D202*P202/1000</f>
        <v>1519709.498378678</v>
      </c>
      <c r="F202" s="100">
        <f t="shared" si="40"/>
        <v>3040.9094625094663</v>
      </c>
      <c r="G202" s="100">
        <f t="shared" ref="G202:G265" si="47">F202*P202/1000</f>
        <v>146118.74058304235</v>
      </c>
      <c r="H202" s="100">
        <f t="shared" si="41"/>
        <v>489.53208804902187</v>
      </c>
      <c r="I202" s="100">
        <f t="shared" ref="I202:I265" si="48">H202*P202/1000</f>
        <v>23522.506362843549</v>
      </c>
      <c r="J202" s="100">
        <f t="shared" ref="J202:J265" si="49">H202+H$370</f>
        <v>63.846633929458676</v>
      </c>
      <c r="K202" s="100">
        <f t="shared" ref="K202:K265" si="50">J202*P202/1000</f>
        <v>3067.8946069444191</v>
      </c>
      <c r="L202" s="101">
        <f t="shared" ref="L202:L265" si="51">K202+G202</f>
        <v>149186.63518998676</v>
      </c>
      <c r="M202" s="100">
        <f t="shared" ref="M202:M265" si="52">K202+E202+G202</f>
        <v>1668896.1335686648</v>
      </c>
      <c r="N202" s="102">
        <f t="shared" ref="N202:N265" si="53">M202*1000/P202</f>
        <v>34731.766946966032</v>
      </c>
      <c r="O202" s="94">
        <f t="shared" ref="O202:O265" si="54">N202/N$367</f>
        <v>0.94657373429179537</v>
      </c>
      <c r="P202" s="100">
        <f>'Bef.fremskr. kommunenivå MMMM'!H197</f>
        <v>48051</v>
      </c>
      <c r="Q202" s="100"/>
      <c r="R202" s="100">
        <f t="shared" si="42"/>
        <v>0</v>
      </c>
      <c r="S202" s="100">
        <v>0</v>
      </c>
      <c r="U202" s="100">
        <v>18.048666666666666</v>
      </c>
      <c r="V202" s="5">
        <f t="shared" si="43"/>
        <v>1519691.4497120113</v>
      </c>
      <c r="W202" s="5">
        <f t="shared" si="44"/>
        <v>31626.63523572894</v>
      </c>
    </row>
    <row r="203" spans="1:23" ht="13">
      <c r="A203" s="92">
        <v>3806</v>
      </c>
      <c r="B203" s="93" t="s">
        <v>466</v>
      </c>
      <c r="C203" s="574">
        <v>0.87931080074023571</v>
      </c>
      <c r="D203" s="100">
        <f t="shared" si="45"/>
        <v>32263.749456463975</v>
      </c>
      <c r="E203" s="100">
        <f t="shared" si="46"/>
        <v>1189177.2774663491</v>
      </c>
      <c r="F203" s="100">
        <f t="shared" ref="F203:F266" si="55">($D$367+$R$367-D203-R203)*0.6</f>
        <v>2658.8662989473473</v>
      </c>
      <c r="G203" s="100">
        <f t="shared" si="47"/>
        <v>98000.494046601321</v>
      </c>
      <c r="H203" s="100">
        <f t="shared" ref="H203:H266" si="56">IF((D203+R203)&lt;(D$367+R$367)*0.9,((D$367+R$367)*0.9-(D203+R203))*0.35,0)</f>
        <v>266.67357597111896</v>
      </c>
      <c r="I203" s="100">
        <f t="shared" si="48"/>
        <v>9829.0546631435027</v>
      </c>
      <c r="J203" s="100">
        <f t="shared" si="49"/>
        <v>-159.01187814844423</v>
      </c>
      <c r="K203" s="100">
        <f t="shared" si="50"/>
        <v>-5860.8598047953574</v>
      </c>
      <c r="L203" s="101">
        <f t="shared" si="51"/>
        <v>92139.634241805965</v>
      </c>
      <c r="M203" s="100">
        <f t="shared" si="52"/>
        <v>1281316.9117081549</v>
      </c>
      <c r="N203" s="102">
        <f t="shared" si="53"/>
        <v>34763.603877262874</v>
      </c>
      <c r="O203" s="94">
        <f t="shared" si="54"/>
        <v>0.94744141263495274</v>
      </c>
      <c r="P203" s="100">
        <f>'Bef.fremskr. kommunenivå MMMM'!H198</f>
        <v>36858</v>
      </c>
      <c r="Q203" s="100"/>
      <c r="R203" s="100">
        <f t="shared" ref="R203:R266" si="57">S203*1000/P203</f>
        <v>0</v>
      </c>
      <c r="S203" s="100">
        <v>0</v>
      </c>
      <c r="U203" s="100">
        <v>0</v>
      </c>
      <c r="V203" s="5">
        <f t="shared" ref="V203:V266" si="58">+E203-U203</f>
        <v>1189177.2774663491</v>
      </c>
      <c r="W203" s="5">
        <f t="shared" ref="W203:W266" si="59">+V203*1000/P203</f>
        <v>32263.749456463975</v>
      </c>
    </row>
    <row r="204" spans="1:23" ht="13">
      <c r="A204" s="92">
        <v>3807</v>
      </c>
      <c r="B204" s="93" t="s">
        <v>467</v>
      </c>
      <c r="C204" s="574">
        <v>0.82031700907603089</v>
      </c>
      <c r="D204" s="100">
        <f t="shared" si="45"/>
        <v>30099.144049435632</v>
      </c>
      <c r="E204" s="100">
        <f t="shared" si="46"/>
        <v>1681398.3848895733</v>
      </c>
      <c r="F204" s="100">
        <f t="shared" si="55"/>
        <v>3957.6295431643525</v>
      </c>
      <c r="G204" s="100">
        <f t="shared" si="47"/>
        <v>221081.10154024707</v>
      </c>
      <c r="H204" s="100">
        <f t="shared" si="56"/>
        <v>1024.2854684310389</v>
      </c>
      <c r="I204" s="100">
        <f t="shared" si="48"/>
        <v>57218.63483749469</v>
      </c>
      <c r="J204" s="100">
        <f t="shared" si="49"/>
        <v>598.60001431147566</v>
      </c>
      <c r="K204" s="100">
        <f t="shared" si="50"/>
        <v>33438.993999467653</v>
      </c>
      <c r="L204" s="101">
        <f t="shared" si="51"/>
        <v>254520.09553971473</v>
      </c>
      <c r="M204" s="100">
        <f t="shared" si="52"/>
        <v>1935918.480429288</v>
      </c>
      <c r="N204" s="102">
        <f t="shared" si="53"/>
        <v>34655.37360691146</v>
      </c>
      <c r="O204" s="94">
        <f t="shared" si="54"/>
        <v>0.94449172305174256</v>
      </c>
      <c r="P204" s="100">
        <f>'Bef.fremskr. kommunenivå MMMM'!H199</f>
        <v>55862</v>
      </c>
      <c r="Q204" s="100"/>
      <c r="R204" s="100">
        <f t="shared" si="57"/>
        <v>0</v>
      </c>
      <c r="S204" s="100">
        <v>0</v>
      </c>
      <c r="U204" s="100">
        <v>2225.1966666666663</v>
      </c>
      <c r="V204" s="5">
        <f t="shared" si="58"/>
        <v>1679173.1882229066</v>
      </c>
      <c r="W204" s="5">
        <f t="shared" si="59"/>
        <v>30059.31023276837</v>
      </c>
    </row>
    <row r="205" spans="1:23" ht="13">
      <c r="A205" s="92">
        <v>3808</v>
      </c>
      <c r="B205" s="93" t="s">
        <v>468</v>
      </c>
      <c r="C205" s="574">
        <v>0.81811737538445228</v>
      </c>
      <c r="D205" s="100">
        <f t="shared" si="45"/>
        <v>30018.434896015311</v>
      </c>
      <c r="E205" s="100">
        <f t="shared" si="46"/>
        <v>392310.92565602408</v>
      </c>
      <c r="F205" s="100">
        <f t="shared" si="55"/>
        <v>4006.0550352165451</v>
      </c>
      <c r="G205" s="100">
        <f t="shared" si="47"/>
        <v>52355.133255245033</v>
      </c>
      <c r="H205" s="100">
        <f t="shared" si="56"/>
        <v>1052.5336721281512</v>
      </c>
      <c r="I205" s="100">
        <f t="shared" si="48"/>
        <v>13755.562561042809</v>
      </c>
      <c r="J205" s="100">
        <f t="shared" si="49"/>
        <v>626.84821800858799</v>
      </c>
      <c r="K205" s="100">
        <f t="shared" si="50"/>
        <v>8192.2793611542365</v>
      </c>
      <c r="L205" s="101">
        <f t="shared" si="51"/>
        <v>60547.41261639927</v>
      </c>
      <c r="M205" s="100">
        <f t="shared" si="52"/>
        <v>452858.33827242337</v>
      </c>
      <c r="N205" s="102">
        <f t="shared" si="53"/>
        <v>34651.338149240444</v>
      </c>
      <c r="O205" s="94">
        <f t="shared" si="54"/>
        <v>0.94438174136716357</v>
      </c>
      <c r="P205" s="100">
        <f>'Bef.fremskr. kommunenivå MMMM'!H200</f>
        <v>13069</v>
      </c>
      <c r="Q205" s="100"/>
      <c r="R205" s="100">
        <f t="shared" si="57"/>
        <v>0</v>
      </c>
      <c r="S205" s="100">
        <v>0</v>
      </c>
      <c r="U205" s="100">
        <v>11542.969333333333</v>
      </c>
      <c r="V205" s="5">
        <f t="shared" si="58"/>
        <v>380767.95632269076</v>
      </c>
      <c r="W205" s="5">
        <f t="shared" si="59"/>
        <v>29135.202105952314</v>
      </c>
    </row>
    <row r="206" spans="1:23" ht="13">
      <c r="A206" s="92">
        <v>3811</v>
      </c>
      <c r="B206" s="93" t="s">
        <v>1824</v>
      </c>
      <c r="C206" s="574">
        <v>1.0172227119372961</v>
      </c>
      <c r="D206" s="100">
        <f t="shared" si="45"/>
        <v>37324.025466014034</v>
      </c>
      <c r="E206" s="100">
        <f t="shared" si="46"/>
        <v>1024059.286711027</v>
      </c>
      <c r="F206" s="100">
        <f t="shared" si="55"/>
        <v>-377.29930678268863</v>
      </c>
      <c r="G206" s="100">
        <f t="shared" si="47"/>
        <v>-10351.961080196628</v>
      </c>
      <c r="H206" s="100">
        <f t="shared" si="56"/>
        <v>0</v>
      </c>
      <c r="I206" s="100">
        <f t="shared" si="48"/>
        <v>0</v>
      </c>
      <c r="J206" s="100">
        <f t="shared" si="49"/>
        <v>-425.68545411956319</v>
      </c>
      <c r="K206" s="100">
        <f t="shared" si="50"/>
        <v>-11679.531804678454</v>
      </c>
      <c r="L206" s="101">
        <f t="shared" si="51"/>
        <v>-22031.492884875082</v>
      </c>
      <c r="M206" s="100">
        <f t="shared" si="52"/>
        <v>1002027.7938261519</v>
      </c>
      <c r="N206" s="102">
        <f t="shared" si="53"/>
        <v>36521.04070511178</v>
      </c>
      <c r="O206" s="94">
        <f t="shared" si="54"/>
        <v>0.99533830033027293</v>
      </c>
      <c r="P206" s="100">
        <f>'Bef.fremskr. kommunenivå MMMM'!H201</f>
        <v>27437</v>
      </c>
      <c r="Q206" s="100"/>
      <c r="R206" s="100">
        <f t="shared" si="57"/>
        <v>0</v>
      </c>
      <c r="S206" s="100">
        <v>0</v>
      </c>
      <c r="U206" s="100">
        <v>0</v>
      </c>
      <c r="V206" s="5">
        <f t="shared" si="58"/>
        <v>1024059.286711027</v>
      </c>
      <c r="W206" s="5">
        <f t="shared" si="59"/>
        <v>37324.025466014034</v>
      </c>
    </row>
    <row r="207" spans="1:23" ht="13">
      <c r="A207" s="92">
        <v>3812</v>
      </c>
      <c r="B207" s="93" t="s">
        <v>469</v>
      </c>
      <c r="C207" s="574">
        <v>0.80556959287483154</v>
      </c>
      <c r="D207" s="100">
        <f t="shared" si="45"/>
        <v>29558.030553450888</v>
      </c>
      <c r="E207" s="100">
        <f t="shared" si="46"/>
        <v>70141.206503338966</v>
      </c>
      <c r="F207" s="100">
        <f t="shared" si="55"/>
        <v>4282.2976407551987</v>
      </c>
      <c r="G207" s="100">
        <f t="shared" si="47"/>
        <v>10161.892301512087</v>
      </c>
      <c r="H207" s="100">
        <f t="shared" si="56"/>
        <v>1213.6751920256993</v>
      </c>
      <c r="I207" s="100">
        <f t="shared" si="48"/>
        <v>2880.0512306769842</v>
      </c>
      <c r="J207" s="100">
        <f t="shared" si="49"/>
        <v>787.98973790613604</v>
      </c>
      <c r="K207" s="100">
        <f t="shared" si="50"/>
        <v>1869.8996480512608</v>
      </c>
      <c r="L207" s="101">
        <f t="shared" si="51"/>
        <v>12031.791949563349</v>
      </c>
      <c r="M207" s="100">
        <f t="shared" si="52"/>
        <v>82172.998452902306</v>
      </c>
      <c r="N207" s="102">
        <f t="shared" si="53"/>
        <v>34628.317932112222</v>
      </c>
      <c r="O207" s="94">
        <f t="shared" si="54"/>
        <v>0.94375435224168258</v>
      </c>
      <c r="P207" s="100">
        <f>'Bef.fremskr. kommunenivå MMMM'!H202</f>
        <v>2373</v>
      </c>
      <c r="Q207" s="100"/>
      <c r="R207" s="100">
        <f t="shared" si="57"/>
        <v>0</v>
      </c>
      <c r="S207" s="100">
        <v>0</v>
      </c>
      <c r="U207" s="100">
        <v>268.8966666666667</v>
      </c>
      <c r="V207" s="5">
        <f t="shared" si="58"/>
        <v>69872.309836672299</v>
      </c>
      <c r="W207" s="5">
        <f t="shared" si="59"/>
        <v>29444.715481109273</v>
      </c>
    </row>
    <row r="208" spans="1:23" ht="13">
      <c r="A208" s="92">
        <v>3813</v>
      </c>
      <c r="B208" s="93" t="s">
        <v>470</v>
      </c>
      <c r="C208" s="574">
        <v>0.89243681003914566</v>
      </c>
      <c r="D208" s="100">
        <f t="shared" si="45"/>
        <v>32745.370147380923</v>
      </c>
      <c r="E208" s="100">
        <f t="shared" si="46"/>
        <v>461349.52000644983</v>
      </c>
      <c r="F208" s="100">
        <f t="shared" si="55"/>
        <v>2369.8938843971778</v>
      </c>
      <c r="G208" s="100">
        <f t="shared" si="47"/>
        <v>33389.434937271835</v>
      </c>
      <c r="H208" s="100">
        <f t="shared" si="56"/>
        <v>98.10633415018691</v>
      </c>
      <c r="I208" s="100">
        <f t="shared" si="48"/>
        <v>1382.2201418419834</v>
      </c>
      <c r="J208" s="100">
        <f t="shared" si="49"/>
        <v>-327.57911996937628</v>
      </c>
      <c r="K208" s="100">
        <f t="shared" si="50"/>
        <v>-4615.2622212485421</v>
      </c>
      <c r="L208" s="101">
        <f t="shared" si="51"/>
        <v>28774.172716023291</v>
      </c>
      <c r="M208" s="100">
        <f t="shared" si="52"/>
        <v>490123.69272247312</v>
      </c>
      <c r="N208" s="102">
        <f t="shared" si="53"/>
        <v>34787.684911808727</v>
      </c>
      <c r="O208" s="94">
        <f t="shared" si="54"/>
        <v>0.94809771309989832</v>
      </c>
      <c r="P208" s="100">
        <f>'Bef.fremskr. kommunenivå MMMM'!H203</f>
        <v>14089</v>
      </c>
      <c r="Q208" s="100"/>
      <c r="R208" s="100">
        <f t="shared" si="57"/>
        <v>0</v>
      </c>
      <c r="S208" s="100">
        <v>0</v>
      </c>
      <c r="U208" s="100">
        <v>0</v>
      </c>
      <c r="V208" s="5">
        <f t="shared" si="58"/>
        <v>461349.52000644983</v>
      </c>
      <c r="W208" s="5">
        <f t="shared" si="59"/>
        <v>32745.370147380923</v>
      </c>
    </row>
    <row r="209" spans="1:23" ht="13">
      <c r="A209" s="92">
        <v>3814</v>
      </c>
      <c r="B209" s="93" t="s">
        <v>471</v>
      </c>
      <c r="C209" s="574">
        <v>0.81628115953488856</v>
      </c>
      <c r="D209" s="100">
        <f t="shared" si="45"/>
        <v>29951.060302107857</v>
      </c>
      <c r="E209" s="100">
        <f t="shared" si="46"/>
        <v>309214.74655896152</v>
      </c>
      <c r="F209" s="100">
        <f t="shared" si="55"/>
        <v>4046.4797915610179</v>
      </c>
      <c r="G209" s="100">
        <f t="shared" si="47"/>
        <v>41775.857368075951</v>
      </c>
      <c r="H209" s="100">
        <f t="shared" si="56"/>
        <v>1076.11477999576</v>
      </c>
      <c r="I209" s="100">
        <f t="shared" si="48"/>
        <v>11109.808988676228</v>
      </c>
      <c r="J209" s="100">
        <f t="shared" si="49"/>
        <v>650.4293258761968</v>
      </c>
      <c r="K209" s="100">
        <f t="shared" si="50"/>
        <v>6715.0323603458555</v>
      </c>
      <c r="L209" s="101">
        <f t="shared" si="51"/>
        <v>48490.889728421804</v>
      </c>
      <c r="M209" s="100">
        <f t="shared" si="52"/>
        <v>357705.63628738333</v>
      </c>
      <c r="N209" s="102">
        <f t="shared" si="53"/>
        <v>34647.969419545072</v>
      </c>
      <c r="O209" s="94">
        <f t="shared" si="54"/>
        <v>0.94428993057468547</v>
      </c>
      <c r="P209" s="100">
        <f>'Bef.fremskr. kommunenivå MMMM'!H204</f>
        <v>10324</v>
      </c>
      <c r="Q209" s="100"/>
      <c r="R209" s="100">
        <f t="shared" si="57"/>
        <v>0</v>
      </c>
      <c r="S209" s="100">
        <v>0</v>
      </c>
      <c r="U209" s="100">
        <v>0</v>
      </c>
      <c r="V209" s="5">
        <f t="shared" si="58"/>
        <v>309214.74655896152</v>
      </c>
      <c r="W209" s="5">
        <f t="shared" si="59"/>
        <v>29951.060302107857</v>
      </c>
    </row>
    <row r="210" spans="1:23" ht="13">
      <c r="A210" s="92">
        <v>3815</v>
      </c>
      <c r="B210" s="93" t="s">
        <v>472</v>
      </c>
      <c r="C210" s="574">
        <v>0.71932032397052381</v>
      </c>
      <c r="D210" s="100">
        <f t="shared" si="45"/>
        <v>26393.364771580389</v>
      </c>
      <c r="E210" s="100">
        <f t="shared" si="46"/>
        <v>108001.64864530695</v>
      </c>
      <c r="F210" s="100">
        <f t="shared" si="55"/>
        <v>6181.097109877498</v>
      </c>
      <c r="G210" s="100">
        <f t="shared" si="47"/>
        <v>25293.049373618724</v>
      </c>
      <c r="H210" s="100">
        <f t="shared" si="56"/>
        <v>2321.3082156803739</v>
      </c>
      <c r="I210" s="100">
        <f t="shared" si="48"/>
        <v>9498.7932185640893</v>
      </c>
      <c r="J210" s="100">
        <f t="shared" si="49"/>
        <v>1895.6227615608107</v>
      </c>
      <c r="K210" s="100">
        <f t="shared" si="50"/>
        <v>7756.8883403068376</v>
      </c>
      <c r="L210" s="101">
        <f t="shared" si="51"/>
        <v>33049.937713925559</v>
      </c>
      <c r="M210" s="100">
        <f t="shared" si="52"/>
        <v>141051.58635923252</v>
      </c>
      <c r="N210" s="102">
        <f t="shared" si="53"/>
        <v>34470.084643018701</v>
      </c>
      <c r="O210" s="94">
        <f t="shared" si="54"/>
        <v>0.93944188879646728</v>
      </c>
      <c r="P210" s="100">
        <f>'Bef.fremskr. kommunenivå MMMM'!H205</f>
        <v>4092</v>
      </c>
      <c r="Q210" s="100"/>
      <c r="R210" s="100">
        <f t="shared" si="57"/>
        <v>0</v>
      </c>
      <c r="S210" s="100">
        <v>0</v>
      </c>
      <c r="U210" s="100">
        <v>0</v>
      </c>
      <c r="V210" s="5">
        <f t="shared" si="58"/>
        <v>108001.64864530695</v>
      </c>
      <c r="W210" s="5">
        <f t="shared" si="59"/>
        <v>26393.364771580389</v>
      </c>
    </row>
    <row r="211" spans="1:23" ht="13">
      <c r="A211" s="92">
        <v>3816</v>
      </c>
      <c r="B211" s="93" t="s">
        <v>473</v>
      </c>
      <c r="C211" s="574">
        <v>0.76143628206618164</v>
      </c>
      <c r="D211" s="100">
        <f t="shared" si="45"/>
        <v>27938.687220677268</v>
      </c>
      <c r="E211" s="100">
        <f t="shared" si="46"/>
        <v>182244.05674047783</v>
      </c>
      <c r="F211" s="100">
        <f t="shared" si="55"/>
        <v>5253.9036404193712</v>
      </c>
      <c r="G211" s="100">
        <f t="shared" si="47"/>
        <v>34271.213446455564</v>
      </c>
      <c r="H211" s="100">
        <f t="shared" si="56"/>
        <v>1780.4453584964663</v>
      </c>
      <c r="I211" s="100">
        <f t="shared" si="48"/>
        <v>11613.84507347245</v>
      </c>
      <c r="J211" s="100">
        <f t="shared" si="49"/>
        <v>1354.759904376903</v>
      </c>
      <c r="K211" s="100">
        <f t="shared" si="50"/>
        <v>8837.0988562505372</v>
      </c>
      <c r="L211" s="101">
        <f t="shared" si="51"/>
        <v>43108.312302706101</v>
      </c>
      <c r="M211" s="100">
        <f t="shared" si="52"/>
        <v>225352.36904318395</v>
      </c>
      <c r="N211" s="102">
        <f t="shared" si="53"/>
        <v>34547.350765473551</v>
      </c>
      <c r="O211" s="94">
        <f t="shared" si="54"/>
        <v>0.94154768670125033</v>
      </c>
      <c r="P211" s="100">
        <f>'Bef.fremskr. kommunenivå MMMM'!H206</f>
        <v>6523</v>
      </c>
      <c r="Q211" s="100"/>
      <c r="R211" s="100">
        <f t="shared" si="57"/>
        <v>0</v>
      </c>
      <c r="S211" s="100">
        <v>0</v>
      </c>
      <c r="U211" s="100">
        <v>3549.8016666666663</v>
      </c>
      <c r="V211" s="5">
        <f t="shared" si="58"/>
        <v>178694.25507381116</v>
      </c>
      <c r="W211" s="5">
        <f t="shared" si="59"/>
        <v>27394.489510012445</v>
      </c>
    </row>
    <row r="212" spans="1:23" ht="13">
      <c r="A212" s="92">
        <v>3817</v>
      </c>
      <c r="B212" s="93" t="s">
        <v>1825</v>
      </c>
      <c r="C212" s="574">
        <v>0.75448037656152167</v>
      </c>
      <c r="D212" s="100">
        <f t="shared" si="45"/>
        <v>27683.460522385536</v>
      </c>
      <c r="E212" s="100">
        <f t="shared" si="46"/>
        <v>296683.64641840575</v>
      </c>
      <c r="F212" s="100">
        <f t="shared" si="55"/>
        <v>5407.0396593944106</v>
      </c>
      <c r="G212" s="100">
        <f t="shared" si="47"/>
        <v>57947.244029729896</v>
      </c>
      <c r="H212" s="100">
        <f t="shared" si="56"/>
        <v>1869.7747028985723</v>
      </c>
      <c r="I212" s="100">
        <f t="shared" si="48"/>
        <v>20038.375490963997</v>
      </c>
      <c r="J212" s="100">
        <f t="shared" si="49"/>
        <v>1444.089248779009</v>
      </c>
      <c r="K212" s="100">
        <f t="shared" si="50"/>
        <v>15476.304479164639</v>
      </c>
      <c r="L212" s="101">
        <f t="shared" si="51"/>
        <v>73423.548508894542</v>
      </c>
      <c r="M212" s="100">
        <f t="shared" si="52"/>
        <v>370107.19492730033</v>
      </c>
      <c r="N212" s="102">
        <f t="shared" si="53"/>
        <v>34534.589430558954</v>
      </c>
      <c r="O212" s="94">
        <f t="shared" si="54"/>
        <v>0.94119989142601701</v>
      </c>
      <c r="P212" s="100">
        <f>'Bef.fremskr. kommunenivå MMMM'!H207</f>
        <v>10717</v>
      </c>
      <c r="Q212" s="100"/>
      <c r="R212" s="100">
        <f t="shared" si="57"/>
        <v>0</v>
      </c>
      <c r="S212" s="100">
        <v>0</v>
      </c>
      <c r="U212" s="100">
        <v>0</v>
      </c>
      <c r="V212" s="5">
        <f t="shared" si="58"/>
        <v>296683.64641840575</v>
      </c>
      <c r="W212" s="5">
        <f t="shared" si="59"/>
        <v>27683.460522385536</v>
      </c>
    </row>
    <row r="213" spans="1:23" ht="13">
      <c r="A213" s="92">
        <v>3818</v>
      </c>
      <c r="B213" s="93" t="s">
        <v>475</v>
      </c>
      <c r="C213" s="574">
        <v>1.1012758327837104</v>
      </c>
      <c r="D213" s="100">
        <f t="shared" si="45"/>
        <v>40408.109989642828</v>
      </c>
      <c r="E213" s="100">
        <f t="shared" si="46"/>
        <v>220426.23999350163</v>
      </c>
      <c r="F213" s="100">
        <f t="shared" si="55"/>
        <v>-2227.7500209599643</v>
      </c>
      <c r="G213" s="100">
        <f t="shared" si="47"/>
        <v>-12152.376364336606</v>
      </c>
      <c r="H213" s="100">
        <f t="shared" si="56"/>
        <v>0</v>
      </c>
      <c r="I213" s="100">
        <f t="shared" si="48"/>
        <v>0</v>
      </c>
      <c r="J213" s="100">
        <f t="shared" si="49"/>
        <v>-425.68545411956319</v>
      </c>
      <c r="K213" s="100">
        <f t="shared" si="50"/>
        <v>-2322.1141522222169</v>
      </c>
      <c r="L213" s="101">
        <f t="shared" si="51"/>
        <v>-14474.490516558822</v>
      </c>
      <c r="M213" s="100">
        <f t="shared" si="52"/>
        <v>205951.74947694279</v>
      </c>
      <c r="N213" s="102">
        <f t="shared" si="53"/>
        <v>37754.674514563296</v>
      </c>
      <c r="O213" s="94">
        <f t="shared" si="54"/>
        <v>1.0289595486688385</v>
      </c>
      <c r="P213" s="100">
        <f>'Bef.fremskr. kommunenivå MMMM'!H208</f>
        <v>5455</v>
      </c>
      <c r="Q213" s="100"/>
      <c r="R213" s="100">
        <f t="shared" si="57"/>
        <v>0</v>
      </c>
      <c r="S213" s="100">
        <v>0</v>
      </c>
      <c r="U213" s="100">
        <v>47498.424666666659</v>
      </c>
      <c r="V213" s="5">
        <f t="shared" si="58"/>
        <v>172927.81532683497</v>
      </c>
      <c r="W213" s="5">
        <f t="shared" si="59"/>
        <v>31700.79107732997</v>
      </c>
    </row>
    <row r="214" spans="1:23" ht="13">
      <c r="A214" s="92">
        <v>3819</v>
      </c>
      <c r="B214" s="93" t="s">
        <v>476</v>
      </c>
      <c r="C214" s="574">
        <v>0.95365914163558396</v>
      </c>
      <c r="D214" s="100">
        <f t="shared" si="45"/>
        <v>34991.745338161243</v>
      </c>
      <c r="E214" s="100">
        <f t="shared" si="46"/>
        <v>54517.139236855219</v>
      </c>
      <c r="F214" s="100">
        <f t="shared" si="55"/>
        <v>1022.0687699289861</v>
      </c>
      <c r="G214" s="100">
        <f t="shared" si="47"/>
        <v>1592.3831435493603</v>
      </c>
      <c r="H214" s="100">
        <f t="shared" si="56"/>
        <v>0</v>
      </c>
      <c r="I214" s="100">
        <f t="shared" si="48"/>
        <v>0</v>
      </c>
      <c r="J214" s="100">
        <f t="shared" si="49"/>
        <v>-425.68545411956319</v>
      </c>
      <c r="K214" s="100">
        <f t="shared" si="50"/>
        <v>-663.21793751827943</v>
      </c>
      <c r="L214" s="101">
        <f t="shared" si="51"/>
        <v>929.16520603108086</v>
      </c>
      <c r="M214" s="100">
        <f t="shared" si="52"/>
        <v>55446.3044428863</v>
      </c>
      <c r="N214" s="102">
        <f t="shared" si="53"/>
        <v>35588.128653970671</v>
      </c>
      <c r="O214" s="94">
        <f t="shared" si="54"/>
        <v>0.96991287220958822</v>
      </c>
      <c r="P214" s="100">
        <f>'Bef.fremskr. kommunenivå MMMM'!H209</f>
        <v>1558</v>
      </c>
      <c r="Q214" s="100"/>
      <c r="R214" s="100">
        <f t="shared" si="57"/>
        <v>0</v>
      </c>
      <c r="S214" s="100">
        <v>0</v>
      </c>
      <c r="U214" s="100">
        <v>5386.8069999999998</v>
      </c>
      <c r="V214" s="5">
        <f t="shared" si="58"/>
        <v>49130.332236855218</v>
      </c>
      <c r="W214" s="5">
        <f t="shared" si="59"/>
        <v>31534.231217493721</v>
      </c>
    </row>
    <row r="215" spans="1:23" ht="13">
      <c r="A215" s="92">
        <v>3820</v>
      </c>
      <c r="B215" s="93" t="s">
        <v>477</v>
      </c>
      <c r="C215" s="574">
        <v>0.86815125025587181</v>
      </c>
      <c r="D215" s="100">
        <f t="shared" si="45"/>
        <v>31854.282245813116</v>
      </c>
      <c r="E215" s="100">
        <f t="shared" si="46"/>
        <v>92154.43853713735</v>
      </c>
      <c r="F215" s="100">
        <f t="shared" si="55"/>
        <v>2904.5466253378622</v>
      </c>
      <c r="G215" s="100">
        <f t="shared" si="47"/>
        <v>8402.8533871024356</v>
      </c>
      <c r="H215" s="100">
        <f t="shared" si="56"/>
        <v>409.98709969891951</v>
      </c>
      <c r="I215" s="100">
        <f t="shared" si="48"/>
        <v>1186.0926794289742</v>
      </c>
      <c r="J215" s="100">
        <f t="shared" si="49"/>
        <v>-15.698354420643682</v>
      </c>
      <c r="K215" s="100">
        <f t="shared" si="50"/>
        <v>-45.415339338922173</v>
      </c>
      <c r="L215" s="101">
        <f t="shared" si="51"/>
        <v>8357.4380477635132</v>
      </c>
      <c r="M215" s="100">
        <f t="shared" si="52"/>
        <v>100511.87658490086</v>
      </c>
      <c r="N215" s="102">
        <f t="shared" si="53"/>
        <v>34743.130516730336</v>
      </c>
      <c r="O215" s="94">
        <f t="shared" si="54"/>
        <v>0.94688343511073469</v>
      </c>
      <c r="P215" s="100">
        <f>'Bef.fremskr. kommunenivå MMMM'!H210</f>
        <v>2893</v>
      </c>
      <c r="Q215" s="100"/>
      <c r="R215" s="100">
        <f t="shared" si="57"/>
        <v>0</v>
      </c>
      <c r="S215" s="100">
        <v>0</v>
      </c>
      <c r="U215" s="100">
        <v>4524.2659999999996</v>
      </c>
      <c r="V215" s="5">
        <f t="shared" si="58"/>
        <v>87630.172537137347</v>
      </c>
      <c r="W215" s="5">
        <f t="shared" si="59"/>
        <v>30290.415671322968</v>
      </c>
    </row>
    <row r="216" spans="1:23" ht="13">
      <c r="A216" s="92">
        <v>3821</v>
      </c>
      <c r="B216" s="93" t="s">
        <v>478</v>
      </c>
      <c r="C216" s="574">
        <v>0.86513253598800433</v>
      </c>
      <c r="D216" s="100">
        <f t="shared" si="45"/>
        <v>31743.51931564424</v>
      </c>
      <c r="E216" s="100">
        <f t="shared" si="46"/>
        <v>78406.492709641272</v>
      </c>
      <c r="F216" s="100">
        <f t="shared" si="55"/>
        <v>2971.0043834391877</v>
      </c>
      <c r="G216" s="100">
        <f t="shared" si="47"/>
        <v>7338.3808270947929</v>
      </c>
      <c r="H216" s="100">
        <f t="shared" si="56"/>
        <v>448.75412525802602</v>
      </c>
      <c r="I216" s="100">
        <f t="shared" si="48"/>
        <v>1108.4226893873242</v>
      </c>
      <c r="J216" s="100">
        <f t="shared" si="49"/>
        <v>23.068671138462832</v>
      </c>
      <c r="K216" s="100">
        <f t="shared" si="50"/>
        <v>56.97961771200319</v>
      </c>
      <c r="L216" s="101">
        <f t="shared" si="51"/>
        <v>7395.3604448067963</v>
      </c>
      <c r="M216" s="100">
        <f t="shared" si="52"/>
        <v>85801.853154448065</v>
      </c>
      <c r="N216" s="102">
        <f t="shared" si="53"/>
        <v>34737.592370221886</v>
      </c>
      <c r="O216" s="94">
        <f t="shared" si="54"/>
        <v>0.94673249939734105</v>
      </c>
      <c r="P216" s="100">
        <f>'Bef.fremskr. kommunenivå MMMM'!H211</f>
        <v>2470</v>
      </c>
      <c r="Q216" s="100"/>
      <c r="R216" s="100">
        <f t="shared" si="57"/>
        <v>0</v>
      </c>
      <c r="S216" s="100">
        <v>0</v>
      </c>
      <c r="U216" s="100">
        <v>1354.26</v>
      </c>
      <c r="V216" s="5">
        <f t="shared" si="58"/>
        <v>77052.232709641277</v>
      </c>
      <c r="W216" s="5">
        <f t="shared" si="59"/>
        <v>31195.235914834524</v>
      </c>
    </row>
    <row r="217" spans="1:23" ht="13">
      <c r="A217" s="92">
        <v>3822</v>
      </c>
      <c r="B217" s="93" t="s">
        <v>479</v>
      </c>
      <c r="C217" s="574">
        <v>0.91996859542753651</v>
      </c>
      <c r="D217" s="100">
        <f t="shared" si="45"/>
        <v>33755.568845170594</v>
      </c>
      <c r="E217" s="100">
        <f t="shared" si="46"/>
        <v>47966.663328987415</v>
      </c>
      <c r="F217" s="100">
        <f t="shared" si="55"/>
        <v>1763.7746657233758</v>
      </c>
      <c r="G217" s="100">
        <f t="shared" si="47"/>
        <v>2506.323799992917</v>
      </c>
      <c r="H217" s="100">
        <f t="shared" si="56"/>
        <v>0</v>
      </c>
      <c r="I217" s="100">
        <f t="shared" si="48"/>
        <v>0</v>
      </c>
      <c r="J217" s="100">
        <f t="shared" si="49"/>
        <v>-425.68545411956319</v>
      </c>
      <c r="K217" s="100">
        <f t="shared" si="50"/>
        <v>-604.89903030389928</v>
      </c>
      <c r="L217" s="101">
        <f t="shared" si="51"/>
        <v>1901.4247696890177</v>
      </c>
      <c r="M217" s="100">
        <f t="shared" si="52"/>
        <v>49868.088098676431</v>
      </c>
      <c r="N217" s="102">
        <f t="shared" si="53"/>
        <v>35093.658056774402</v>
      </c>
      <c r="O217" s="94">
        <f t="shared" si="54"/>
        <v>0.95643665372636899</v>
      </c>
      <c r="P217" s="100">
        <f>'Bef.fremskr. kommunenivå MMMM'!H212</f>
        <v>1421</v>
      </c>
      <c r="Q217" s="100"/>
      <c r="R217" s="100">
        <f t="shared" si="57"/>
        <v>0</v>
      </c>
      <c r="S217" s="100">
        <v>0</v>
      </c>
      <c r="U217" s="100">
        <v>6159.2380000000003</v>
      </c>
      <c r="V217" s="5">
        <f t="shared" si="58"/>
        <v>41807.425328987418</v>
      </c>
      <c r="W217" s="5">
        <f t="shared" si="59"/>
        <v>29421.129717795509</v>
      </c>
    </row>
    <row r="218" spans="1:23" ht="13">
      <c r="A218" s="92">
        <v>3823</v>
      </c>
      <c r="B218" s="93" t="s">
        <v>480</v>
      </c>
      <c r="C218" s="574">
        <v>0.87144646780553314</v>
      </c>
      <c r="D218" s="100">
        <f t="shared" si="45"/>
        <v>31975.190658785315</v>
      </c>
      <c r="E218" s="100">
        <f t="shared" si="46"/>
        <v>38338.253599883596</v>
      </c>
      <c r="F218" s="100">
        <f t="shared" si="55"/>
        <v>2832.0015775545426</v>
      </c>
      <c r="G218" s="100">
        <f t="shared" si="47"/>
        <v>3395.5698914878963</v>
      </c>
      <c r="H218" s="100">
        <f t="shared" si="56"/>
        <v>367.66915515864963</v>
      </c>
      <c r="I218" s="100">
        <f t="shared" si="48"/>
        <v>440.8353170352209</v>
      </c>
      <c r="J218" s="100">
        <f t="shared" si="49"/>
        <v>-58.016298960913559</v>
      </c>
      <c r="K218" s="100">
        <f t="shared" si="50"/>
        <v>-69.561542454135363</v>
      </c>
      <c r="L218" s="101">
        <f t="shared" si="51"/>
        <v>3326.0083490337611</v>
      </c>
      <c r="M218" s="100">
        <f t="shared" si="52"/>
        <v>41664.261948917359</v>
      </c>
      <c r="N218" s="102">
        <f t="shared" si="53"/>
        <v>34749.175937378946</v>
      </c>
      <c r="O218" s="94">
        <f t="shared" si="54"/>
        <v>0.94704819598821777</v>
      </c>
      <c r="P218" s="100">
        <f>'Bef.fremskr. kommunenivå MMMM'!H213</f>
        <v>1199</v>
      </c>
      <c r="Q218" s="100"/>
      <c r="R218" s="100">
        <f t="shared" si="57"/>
        <v>0</v>
      </c>
      <c r="S218" s="100">
        <v>0</v>
      </c>
      <c r="U218" s="100">
        <v>5559.7849999999999</v>
      </c>
      <c r="V218" s="5">
        <f t="shared" si="58"/>
        <v>32778.468599883592</v>
      </c>
      <c r="W218" s="5">
        <f t="shared" si="59"/>
        <v>27338.172310161463</v>
      </c>
    </row>
    <row r="219" spans="1:23" ht="13">
      <c r="A219" s="92">
        <v>3824</v>
      </c>
      <c r="B219" s="93" t="s">
        <v>481</v>
      </c>
      <c r="C219" s="574">
        <v>1.1777283842698139</v>
      </c>
      <c r="D219" s="100">
        <f t="shared" si="45"/>
        <v>43213.313751928632</v>
      </c>
      <c r="E219" s="100">
        <f t="shared" si="46"/>
        <v>91569.011840336767</v>
      </c>
      <c r="F219" s="100">
        <f t="shared" si="55"/>
        <v>-3910.872278331447</v>
      </c>
      <c r="G219" s="100">
        <f t="shared" si="47"/>
        <v>-8287.1383577843371</v>
      </c>
      <c r="H219" s="100">
        <f t="shared" si="56"/>
        <v>0</v>
      </c>
      <c r="I219" s="100">
        <f t="shared" si="48"/>
        <v>0</v>
      </c>
      <c r="J219" s="100">
        <f t="shared" si="49"/>
        <v>-425.68545411956319</v>
      </c>
      <c r="K219" s="100">
        <f t="shared" si="50"/>
        <v>-902.02747727935434</v>
      </c>
      <c r="L219" s="101">
        <f t="shared" si="51"/>
        <v>-9189.1658350636917</v>
      </c>
      <c r="M219" s="100">
        <f t="shared" si="52"/>
        <v>82379.846005273081</v>
      </c>
      <c r="N219" s="102">
        <f t="shared" si="53"/>
        <v>38876.756019477616</v>
      </c>
      <c r="O219" s="94">
        <f t="shared" si="54"/>
        <v>1.05954056926328</v>
      </c>
      <c r="P219" s="100">
        <f>'Bef.fremskr. kommunenivå MMMM'!H214</f>
        <v>2119</v>
      </c>
      <c r="Q219" s="100"/>
      <c r="R219" s="100">
        <f t="shared" si="57"/>
        <v>0</v>
      </c>
      <c r="S219" s="100">
        <v>0</v>
      </c>
      <c r="U219" s="100">
        <v>23104.871333333333</v>
      </c>
      <c r="V219" s="5">
        <f t="shared" si="58"/>
        <v>68464.140507003438</v>
      </c>
      <c r="W219" s="5">
        <f t="shared" si="59"/>
        <v>32309.646298727439</v>
      </c>
    </row>
    <row r="220" spans="1:23" ht="13">
      <c r="A220" s="92">
        <v>3825</v>
      </c>
      <c r="B220" s="93" t="s">
        <v>482</v>
      </c>
      <c r="C220" s="574">
        <v>1.2509978468608933</v>
      </c>
      <c r="D220" s="100">
        <f t="shared" si="45"/>
        <v>45901.723335727998</v>
      </c>
      <c r="E220" s="100">
        <f t="shared" si="46"/>
        <v>173462.61248571609</v>
      </c>
      <c r="F220" s="100">
        <f t="shared" si="55"/>
        <v>-5523.9180286110668</v>
      </c>
      <c r="G220" s="100">
        <f t="shared" si="47"/>
        <v>-20874.886230121221</v>
      </c>
      <c r="H220" s="100">
        <f t="shared" si="56"/>
        <v>0</v>
      </c>
      <c r="I220" s="100">
        <f t="shared" si="48"/>
        <v>0</v>
      </c>
      <c r="J220" s="100">
        <f t="shared" si="49"/>
        <v>-425.68545411956319</v>
      </c>
      <c r="K220" s="100">
        <f t="shared" si="50"/>
        <v>-1608.6653311178293</v>
      </c>
      <c r="L220" s="101">
        <f t="shared" si="51"/>
        <v>-22483.551561239052</v>
      </c>
      <c r="M220" s="100">
        <f t="shared" si="52"/>
        <v>150979.06092447703</v>
      </c>
      <c r="N220" s="102">
        <f t="shared" si="53"/>
        <v>39952.119852997363</v>
      </c>
      <c r="O220" s="94">
        <f t="shared" si="54"/>
        <v>1.0888483542997118</v>
      </c>
      <c r="P220" s="100">
        <f>'Bef.fremskr. kommunenivå MMMM'!H215</f>
        <v>3779</v>
      </c>
      <c r="Q220" s="100"/>
      <c r="R220" s="100">
        <f t="shared" si="57"/>
        <v>0</v>
      </c>
      <c r="S220" s="100">
        <v>0</v>
      </c>
      <c r="U220" s="100">
        <v>39308.231999999996</v>
      </c>
      <c r="V220" s="5">
        <f t="shared" si="58"/>
        <v>134154.3804857161</v>
      </c>
      <c r="W220" s="5">
        <f t="shared" si="59"/>
        <v>35499.968374097938</v>
      </c>
    </row>
    <row r="221" spans="1:23" ht="13">
      <c r="A221" s="92">
        <v>4201</v>
      </c>
      <c r="B221" s="93" t="s">
        <v>483</v>
      </c>
      <c r="C221" s="574">
        <v>0.82088237160782929</v>
      </c>
      <c r="D221" s="100">
        <f t="shared" si="45"/>
        <v>30119.888381317669</v>
      </c>
      <c r="E221" s="100">
        <f t="shared" si="46"/>
        <v>202285.17036892948</v>
      </c>
      <c r="F221" s="100">
        <f t="shared" si="55"/>
        <v>3945.1829440351303</v>
      </c>
      <c r="G221" s="100">
        <f t="shared" si="47"/>
        <v>26495.848652139935</v>
      </c>
      <c r="H221" s="100">
        <f t="shared" si="56"/>
        <v>1017.0249522723259</v>
      </c>
      <c r="I221" s="100">
        <f t="shared" si="48"/>
        <v>6830.3395794609405</v>
      </c>
      <c r="J221" s="100">
        <f t="shared" si="49"/>
        <v>591.33949815276264</v>
      </c>
      <c r="K221" s="100">
        <f t="shared" si="50"/>
        <v>3971.436069593954</v>
      </c>
      <c r="L221" s="101">
        <f t="shared" si="51"/>
        <v>30467.284721733889</v>
      </c>
      <c r="M221" s="100">
        <f t="shared" si="52"/>
        <v>232752.4550906634</v>
      </c>
      <c r="N221" s="102">
        <f t="shared" si="53"/>
        <v>34656.410823505568</v>
      </c>
      <c r="O221" s="94">
        <f t="shared" si="54"/>
        <v>0.94451999117833263</v>
      </c>
      <c r="P221" s="100">
        <f>'Bef.fremskr. kommunenivå MMMM'!H216</f>
        <v>6716</v>
      </c>
      <c r="Q221" s="100"/>
      <c r="R221" s="100">
        <f t="shared" si="57"/>
        <v>0</v>
      </c>
      <c r="S221" s="100">
        <v>0</v>
      </c>
      <c r="U221" s="100">
        <v>0</v>
      </c>
      <c r="V221" s="5">
        <f t="shared" si="58"/>
        <v>202285.17036892948</v>
      </c>
      <c r="W221" s="5">
        <f t="shared" si="59"/>
        <v>30119.888381317669</v>
      </c>
    </row>
    <row r="222" spans="1:23" ht="13">
      <c r="A222" s="92">
        <v>4202</v>
      </c>
      <c r="B222" s="93" t="s">
        <v>484</v>
      </c>
      <c r="C222" s="574">
        <v>0.81417344843505235</v>
      </c>
      <c r="D222" s="100">
        <f t="shared" si="45"/>
        <v>29873.723980531369</v>
      </c>
      <c r="E222" s="100">
        <f t="shared" si="46"/>
        <v>725602.88176312635</v>
      </c>
      <c r="F222" s="100">
        <f t="shared" si="55"/>
        <v>4092.8815845069103</v>
      </c>
      <c r="G222" s="100">
        <f t="shared" si="47"/>
        <v>99412.000806088341</v>
      </c>
      <c r="H222" s="100">
        <f t="shared" si="56"/>
        <v>1103.1824925475307</v>
      </c>
      <c r="I222" s="100">
        <f t="shared" si="48"/>
        <v>26795.199561486974</v>
      </c>
      <c r="J222" s="100">
        <f t="shared" si="49"/>
        <v>677.49703842796748</v>
      </c>
      <c r="K222" s="100">
        <f t="shared" si="50"/>
        <v>16455.725566376903</v>
      </c>
      <c r="L222" s="101">
        <f t="shared" si="51"/>
        <v>115867.72637246524</v>
      </c>
      <c r="M222" s="100">
        <f t="shared" si="52"/>
        <v>841470.60813559161</v>
      </c>
      <c r="N222" s="102">
        <f t="shared" si="53"/>
        <v>34644.102603466243</v>
      </c>
      <c r="O222" s="94">
        <f t="shared" si="54"/>
        <v>0.94418454501969351</v>
      </c>
      <c r="P222" s="100">
        <f>'Bef.fremskr. kommunenivå MMMM'!H217</f>
        <v>24289</v>
      </c>
      <c r="Q222" s="100"/>
      <c r="R222" s="100">
        <f t="shared" si="57"/>
        <v>0</v>
      </c>
      <c r="S222" s="100">
        <v>0</v>
      </c>
      <c r="U222" s="100">
        <v>1837.1006666666665</v>
      </c>
      <c r="V222" s="5">
        <f t="shared" si="58"/>
        <v>723765.78109645972</v>
      </c>
      <c r="W222" s="5">
        <f t="shared" si="59"/>
        <v>29798.088891945314</v>
      </c>
    </row>
    <row r="223" spans="1:23" ht="13">
      <c r="A223" s="92">
        <v>4203</v>
      </c>
      <c r="B223" s="93" t="s">
        <v>485</v>
      </c>
      <c r="C223" s="574">
        <v>0.82806609084543203</v>
      </c>
      <c r="D223" s="100">
        <f t="shared" si="45"/>
        <v>30383.474041191836</v>
      </c>
      <c r="E223" s="100">
        <f t="shared" si="46"/>
        <v>1389132.4331632908</v>
      </c>
      <c r="F223" s="100">
        <f t="shared" si="55"/>
        <v>3787.0315481106304</v>
      </c>
      <c r="G223" s="100">
        <f t="shared" si="47"/>
        <v>173143.08237961802</v>
      </c>
      <c r="H223" s="100">
        <f t="shared" si="56"/>
        <v>924.76997131636756</v>
      </c>
      <c r="I223" s="100">
        <f t="shared" si="48"/>
        <v>42280.483088584326</v>
      </c>
      <c r="J223" s="100">
        <f t="shared" si="49"/>
        <v>499.08451719680437</v>
      </c>
      <c r="K223" s="100">
        <f t="shared" si="50"/>
        <v>22818.144126237894</v>
      </c>
      <c r="L223" s="101">
        <f t="shared" si="51"/>
        <v>195961.22650585591</v>
      </c>
      <c r="M223" s="100">
        <f t="shared" si="52"/>
        <v>1585093.6596691466</v>
      </c>
      <c r="N223" s="102">
        <f t="shared" si="53"/>
        <v>34669.590106499265</v>
      </c>
      <c r="O223" s="94">
        <f t="shared" si="54"/>
        <v>0.94487917714021241</v>
      </c>
      <c r="P223" s="100">
        <f>'Bef.fremskr. kommunenivå MMMM'!H218</f>
        <v>45720</v>
      </c>
      <c r="Q223" s="100"/>
      <c r="R223" s="100">
        <f t="shared" si="57"/>
        <v>0</v>
      </c>
      <c r="S223" s="100">
        <v>0</v>
      </c>
      <c r="U223" s="100">
        <v>1237.7583333333334</v>
      </c>
      <c r="V223" s="5">
        <f t="shared" si="58"/>
        <v>1387894.6748299575</v>
      </c>
      <c r="W223" s="5">
        <f t="shared" si="59"/>
        <v>30356.401461722606</v>
      </c>
    </row>
    <row r="224" spans="1:23" ht="13">
      <c r="A224" s="92">
        <v>4204</v>
      </c>
      <c r="B224" s="93" t="s">
        <v>499</v>
      </c>
      <c r="C224" s="574">
        <v>0.86366125689466944</v>
      </c>
      <c r="D224" s="100">
        <f t="shared" si="45"/>
        <v>31689.53501338396</v>
      </c>
      <c r="E224" s="100">
        <f t="shared" si="46"/>
        <v>3652123.8416874614</v>
      </c>
      <c r="F224" s="100">
        <f t="shared" si="55"/>
        <v>3003.3949647953559</v>
      </c>
      <c r="G224" s="100">
        <f t="shared" si="47"/>
        <v>346132.25950777036</v>
      </c>
      <c r="H224" s="100">
        <f t="shared" si="56"/>
        <v>467.64863104912399</v>
      </c>
      <c r="I224" s="100">
        <f t="shared" si="48"/>
        <v>53895.101782518395</v>
      </c>
      <c r="J224" s="100">
        <f t="shared" si="49"/>
        <v>41.963176929560802</v>
      </c>
      <c r="K224" s="100">
        <f t="shared" si="50"/>
        <v>4836.1302516010937</v>
      </c>
      <c r="L224" s="101">
        <f t="shared" si="51"/>
        <v>350968.38975937146</v>
      </c>
      <c r="M224" s="100">
        <f t="shared" si="52"/>
        <v>4003092.2314468324</v>
      </c>
      <c r="N224" s="102">
        <f t="shared" si="53"/>
        <v>34734.893155108875</v>
      </c>
      <c r="O224" s="94">
        <f t="shared" si="54"/>
        <v>0.94665893544267443</v>
      </c>
      <c r="P224" s="100">
        <f>'Bef.fremskr. kommunenivå MMMM'!H219</f>
        <v>115247</v>
      </c>
      <c r="Q224" s="100"/>
      <c r="R224" s="100">
        <f t="shared" si="57"/>
        <v>0</v>
      </c>
      <c r="S224" s="100">
        <v>0</v>
      </c>
      <c r="U224" s="100">
        <v>0</v>
      </c>
      <c r="V224" s="5">
        <f t="shared" si="58"/>
        <v>3652123.8416874614</v>
      </c>
      <c r="W224" s="5">
        <f t="shared" si="59"/>
        <v>31689.53501338396</v>
      </c>
    </row>
    <row r="225" spans="1:23" ht="13">
      <c r="A225" s="92">
        <v>4205</v>
      </c>
      <c r="B225" s="93" t="s">
        <v>505</v>
      </c>
      <c r="C225" s="574">
        <v>0.80594162329362529</v>
      </c>
      <c r="D225" s="100">
        <f t="shared" si="45"/>
        <v>29571.681126390558</v>
      </c>
      <c r="E225" s="100">
        <f t="shared" si="46"/>
        <v>685471.56850973319</v>
      </c>
      <c r="F225" s="100">
        <f t="shared" si="55"/>
        <v>4274.1072969913967</v>
      </c>
      <c r="G225" s="100">
        <f t="shared" si="47"/>
        <v>99073.807144260572</v>
      </c>
      <c r="H225" s="100">
        <f t="shared" si="56"/>
        <v>1208.8974914968146</v>
      </c>
      <c r="I225" s="100">
        <f t="shared" si="48"/>
        <v>28022.243852896161</v>
      </c>
      <c r="J225" s="100">
        <f t="shared" si="49"/>
        <v>783.21203737725136</v>
      </c>
      <c r="K225" s="100">
        <f t="shared" si="50"/>
        <v>18154.855026404686</v>
      </c>
      <c r="L225" s="101">
        <f t="shared" si="51"/>
        <v>117228.66217066525</v>
      </c>
      <c r="M225" s="100">
        <f t="shared" si="52"/>
        <v>802700.23068039853</v>
      </c>
      <c r="N225" s="102">
        <f t="shared" si="53"/>
        <v>34629.000460759213</v>
      </c>
      <c r="O225" s="94">
        <f t="shared" si="54"/>
        <v>0.94377295376262238</v>
      </c>
      <c r="P225" s="100">
        <f>'Bef.fremskr. kommunenivå MMMM'!H220</f>
        <v>23180</v>
      </c>
      <c r="Q225" s="100"/>
      <c r="R225" s="100">
        <f t="shared" si="57"/>
        <v>0</v>
      </c>
      <c r="S225" s="100">
        <v>0</v>
      </c>
      <c r="U225" s="100">
        <v>4007.7553333333331</v>
      </c>
      <c r="V225" s="5">
        <f t="shared" si="58"/>
        <v>681463.81317639991</v>
      </c>
      <c r="W225" s="5">
        <f t="shared" si="59"/>
        <v>29398.784002433131</v>
      </c>
    </row>
    <row r="226" spans="1:23" ht="13">
      <c r="A226" s="92">
        <v>4206</v>
      </c>
      <c r="B226" s="93" t="s">
        <v>500</v>
      </c>
      <c r="C226" s="574">
        <v>0.81433925260688134</v>
      </c>
      <c r="D226" s="100">
        <f t="shared" si="45"/>
        <v>29879.807681828141</v>
      </c>
      <c r="E226" s="100">
        <f t="shared" si="46"/>
        <v>286099.15855350444</v>
      </c>
      <c r="F226" s="100">
        <f t="shared" si="55"/>
        <v>4089.2313637288476</v>
      </c>
      <c r="G226" s="100">
        <f t="shared" si="47"/>
        <v>39154.390307703718</v>
      </c>
      <c r="H226" s="100">
        <f t="shared" si="56"/>
        <v>1101.0531970936609</v>
      </c>
      <c r="I226" s="100">
        <f t="shared" si="48"/>
        <v>10542.584362171803</v>
      </c>
      <c r="J226" s="100">
        <f t="shared" si="49"/>
        <v>675.36774297409761</v>
      </c>
      <c r="K226" s="100">
        <f t="shared" si="50"/>
        <v>6466.6461389769847</v>
      </c>
      <c r="L226" s="101">
        <f t="shared" si="51"/>
        <v>45621.0364466807</v>
      </c>
      <c r="M226" s="100">
        <f t="shared" si="52"/>
        <v>331720.19500018511</v>
      </c>
      <c r="N226" s="102">
        <f t="shared" si="53"/>
        <v>34644.406788531087</v>
      </c>
      <c r="O226" s="94">
        <f t="shared" si="54"/>
        <v>0.94419283522828512</v>
      </c>
      <c r="P226" s="100">
        <f>'Bef.fremskr. kommunenivå MMMM'!H221</f>
        <v>9575</v>
      </c>
      <c r="Q226" s="100"/>
      <c r="R226" s="100">
        <f t="shared" si="57"/>
        <v>0</v>
      </c>
      <c r="S226" s="100">
        <v>0</v>
      </c>
      <c r="U226" s="100">
        <v>0</v>
      </c>
      <c r="V226" s="5">
        <f t="shared" si="58"/>
        <v>286099.15855350444</v>
      </c>
      <c r="W226" s="5">
        <f t="shared" si="59"/>
        <v>29879.807681828144</v>
      </c>
    </row>
    <row r="227" spans="1:23" ht="13">
      <c r="A227" s="92">
        <v>4207</v>
      </c>
      <c r="B227" s="93" t="s">
        <v>501</v>
      </c>
      <c r="C227" s="574">
        <v>0.85087033806123347</v>
      </c>
      <c r="D227" s="100">
        <f t="shared" si="45"/>
        <v>31220.209491381349</v>
      </c>
      <c r="E227" s="100">
        <f t="shared" si="46"/>
        <v>281949.71191666496</v>
      </c>
      <c r="F227" s="100">
        <f t="shared" si="55"/>
        <v>3284.9902779969225</v>
      </c>
      <c r="G227" s="100">
        <f t="shared" si="47"/>
        <v>29666.747200590209</v>
      </c>
      <c r="H227" s="100">
        <f t="shared" si="56"/>
        <v>631.91256375003786</v>
      </c>
      <c r="I227" s="100">
        <f t="shared" si="48"/>
        <v>5706.8023632265913</v>
      </c>
      <c r="J227" s="100">
        <f t="shared" si="49"/>
        <v>206.22710963047467</v>
      </c>
      <c r="K227" s="100">
        <f t="shared" si="50"/>
        <v>1862.4370270728168</v>
      </c>
      <c r="L227" s="101">
        <f t="shared" si="51"/>
        <v>31529.184227663027</v>
      </c>
      <c r="M227" s="100">
        <f t="shared" si="52"/>
        <v>313478.896144328</v>
      </c>
      <c r="N227" s="102">
        <f t="shared" si="53"/>
        <v>34711.426879008744</v>
      </c>
      <c r="O227" s="94">
        <f t="shared" si="54"/>
        <v>0.94601938950100262</v>
      </c>
      <c r="P227" s="100">
        <f>'Bef.fremskr. kommunenivå MMMM'!H222</f>
        <v>9031</v>
      </c>
      <c r="Q227" s="100"/>
      <c r="R227" s="100">
        <f t="shared" si="57"/>
        <v>0</v>
      </c>
      <c r="S227" s="100">
        <v>0</v>
      </c>
      <c r="U227" s="100">
        <v>2319.1353333333332</v>
      </c>
      <c r="V227" s="5">
        <f t="shared" si="58"/>
        <v>279630.57658333163</v>
      </c>
      <c r="W227" s="5">
        <f t="shared" si="59"/>
        <v>30963.412311297936</v>
      </c>
    </row>
    <row r="228" spans="1:23" ht="13">
      <c r="A228" s="92">
        <v>4211</v>
      </c>
      <c r="B228" s="93" t="s">
        <v>486</v>
      </c>
      <c r="C228" s="574">
        <v>0.68279177716735184</v>
      </c>
      <c r="D228" s="100">
        <f t="shared" si="45"/>
        <v>25053.056110440193</v>
      </c>
      <c r="E228" s="100">
        <f t="shared" si="46"/>
        <v>60653.448843375707</v>
      </c>
      <c r="F228" s="100">
        <f t="shared" si="55"/>
        <v>6985.2823065616158</v>
      </c>
      <c r="G228" s="100">
        <f t="shared" si="47"/>
        <v>16911.368464185671</v>
      </c>
      <c r="H228" s="100">
        <f t="shared" si="56"/>
        <v>2790.4162470794422</v>
      </c>
      <c r="I228" s="100">
        <f t="shared" si="48"/>
        <v>6755.5977341793296</v>
      </c>
      <c r="J228" s="100">
        <f t="shared" si="49"/>
        <v>2364.7307929598792</v>
      </c>
      <c r="K228" s="100">
        <f t="shared" si="50"/>
        <v>5725.0132497558679</v>
      </c>
      <c r="L228" s="101">
        <f t="shared" si="51"/>
        <v>22636.381713941541</v>
      </c>
      <c r="M228" s="100">
        <f t="shared" si="52"/>
        <v>83289.83055731724</v>
      </c>
      <c r="N228" s="102">
        <f t="shared" si="53"/>
        <v>34403.069209961686</v>
      </c>
      <c r="O228" s="94">
        <f t="shared" si="54"/>
        <v>0.93761546145630859</v>
      </c>
      <c r="P228" s="100">
        <f>'Bef.fremskr. kommunenivå MMMM'!H223</f>
        <v>2421</v>
      </c>
      <c r="Q228" s="100"/>
      <c r="R228" s="100">
        <f t="shared" si="57"/>
        <v>0</v>
      </c>
      <c r="S228" s="100">
        <v>0</v>
      </c>
      <c r="U228" s="100">
        <v>0</v>
      </c>
      <c r="V228" s="5">
        <f t="shared" si="58"/>
        <v>60653.448843375707</v>
      </c>
      <c r="W228" s="5">
        <f t="shared" si="59"/>
        <v>25053.056110440193</v>
      </c>
    </row>
    <row r="229" spans="1:23" ht="13">
      <c r="A229" s="92">
        <v>4212</v>
      </c>
      <c r="B229" s="93" t="s">
        <v>487</v>
      </c>
      <c r="C229" s="574">
        <v>0.70584638646906117</v>
      </c>
      <c r="D229" s="100">
        <f t="shared" si="45"/>
        <v>25898.977868367914</v>
      </c>
      <c r="E229" s="100">
        <f t="shared" si="46"/>
        <v>55346.115704702235</v>
      </c>
      <c r="F229" s="100">
        <f t="shared" si="55"/>
        <v>6477.7292518049835</v>
      </c>
      <c r="G229" s="100">
        <f t="shared" si="47"/>
        <v>13842.90741110725</v>
      </c>
      <c r="H229" s="100">
        <f t="shared" si="56"/>
        <v>2494.3436318047397</v>
      </c>
      <c r="I229" s="100">
        <f t="shared" si="48"/>
        <v>5330.4123411667288</v>
      </c>
      <c r="J229" s="100">
        <f t="shared" si="49"/>
        <v>2068.6581776851767</v>
      </c>
      <c r="K229" s="100">
        <f t="shared" si="50"/>
        <v>4420.7225257132231</v>
      </c>
      <c r="L229" s="101">
        <f t="shared" si="51"/>
        <v>18263.629936820471</v>
      </c>
      <c r="M229" s="100">
        <f t="shared" si="52"/>
        <v>73609.745641522706</v>
      </c>
      <c r="N229" s="102">
        <f t="shared" si="53"/>
        <v>34445.365297858072</v>
      </c>
      <c r="O229" s="94">
        <f t="shared" si="54"/>
        <v>0.93876819192139394</v>
      </c>
      <c r="P229" s="100">
        <f>'Bef.fremskr. kommunenivå MMMM'!H224</f>
        <v>2137</v>
      </c>
      <c r="Q229" s="100"/>
      <c r="R229" s="100">
        <f t="shared" si="57"/>
        <v>0</v>
      </c>
      <c r="S229" s="100">
        <v>0</v>
      </c>
      <c r="U229" s="100">
        <v>0</v>
      </c>
      <c r="V229" s="5">
        <f t="shared" si="58"/>
        <v>55346.115704702235</v>
      </c>
      <c r="W229" s="5">
        <f t="shared" si="59"/>
        <v>25898.977868367914</v>
      </c>
    </row>
    <row r="230" spans="1:23" ht="13">
      <c r="A230" s="92">
        <v>4213</v>
      </c>
      <c r="B230" s="93" t="s">
        <v>488</v>
      </c>
      <c r="C230" s="574">
        <v>0.82343305498432451</v>
      </c>
      <c r="D230" s="100">
        <f t="shared" si="45"/>
        <v>30213.478280739728</v>
      </c>
      <c r="E230" s="100">
        <f t="shared" si="46"/>
        <v>186175.45316591821</v>
      </c>
      <c r="F230" s="100">
        <f t="shared" si="55"/>
        <v>3889.029004381895</v>
      </c>
      <c r="G230" s="100">
        <f t="shared" si="47"/>
        <v>23964.196725001239</v>
      </c>
      <c r="H230" s="100">
        <f t="shared" si="56"/>
        <v>984.26848747460531</v>
      </c>
      <c r="I230" s="100">
        <f t="shared" si="48"/>
        <v>6065.0624198185178</v>
      </c>
      <c r="J230" s="100">
        <f t="shared" si="49"/>
        <v>558.58303335504206</v>
      </c>
      <c r="K230" s="100">
        <f t="shared" si="50"/>
        <v>3441.9886515337689</v>
      </c>
      <c r="L230" s="101">
        <f t="shared" si="51"/>
        <v>27406.185376535006</v>
      </c>
      <c r="M230" s="100">
        <f t="shared" si="52"/>
        <v>213581.63854245321</v>
      </c>
      <c r="N230" s="102">
        <f t="shared" si="53"/>
        <v>34661.090318476665</v>
      </c>
      <c r="O230" s="94">
        <f t="shared" si="54"/>
        <v>0.94464752534715724</v>
      </c>
      <c r="P230" s="100">
        <f>'Bef.fremskr. kommunenivå MMMM'!H225</f>
        <v>6162</v>
      </c>
      <c r="Q230" s="100"/>
      <c r="R230" s="100">
        <f t="shared" si="57"/>
        <v>0</v>
      </c>
      <c r="S230" s="100">
        <v>0</v>
      </c>
      <c r="U230" s="100">
        <v>0</v>
      </c>
      <c r="V230" s="5">
        <f t="shared" si="58"/>
        <v>186175.45316591821</v>
      </c>
      <c r="W230" s="5">
        <f t="shared" si="59"/>
        <v>30213.478280739728</v>
      </c>
    </row>
    <row r="231" spans="1:23" ht="13">
      <c r="A231" s="92">
        <v>4214</v>
      </c>
      <c r="B231" s="93" t="s">
        <v>489</v>
      </c>
      <c r="C231" s="574">
        <v>0.73722122466149365</v>
      </c>
      <c r="D231" s="100">
        <f t="shared" si="45"/>
        <v>27050.186198602882</v>
      </c>
      <c r="E231" s="100">
        <f t="shared" si="46"/>
        <v>168360.35890010436</v>
      </c>
      <c r="F231" s="100">
        <f t="shared" si="55"/>
        <v>5787.004253664003</v>
      </c>
      <c r="G231" s="100">
        <f t="shared" si="47"/>
        <v>36018.314474804749</v>
      </c>
      <c r="H231" s="100">
        <f t="shared" si="56"/>
        <v>2091.4207162225016</v>
      </c>
      <c r="I231" s="100">
        <f t="shared" si="48"/>
        <v>13017.002537768851</v>
      </c>
      <c r="J231" s="100">
        <f t="shared" si="49"/>
        <v>1665.7352621029383</v>
      </c>
      <c r="K231" s="100">
        <f t="shared" si="50"/>
        <v>10367.536271328687</v>
      </c>
      <c r="L231" s="101">
        <f t="shared" si="51"/>
        <v>46385.850746133437</v>
      </c>
      <c r="M231" s="100">
        <f t="shared" si="52"/>
        <v>214746.20964623778</v>
      </c>
      <c r="N231" s="102">
        <f t="shared" si="53"/>
        <v>34502.925714369827</v>
      </c>
      <c r="O231" s="94">
        <f t="shared" si="54"/>
        <v>0.9403369338310158</v>
      </c>
      <c r="P231" s="100">
        <f>'Bef.fremskr. kommunenivå MMMM'!H226</f>
        <v>6224</v>
      </c>
      <c r="Q231" s="100"/>
      <c r="R231" s="100">
        <f t="shared" si="57"/>
        <v>0</v>
      </c>
      <c r="S231" s="100">
        <v>0</v>
      </c>
      <c r="U231" s="100">
        <v>5682.7020000000002</v>
      </c>
      <c r="V231" s="5">
        <f t="shared" si="58"/>
        <v>162677.65690010437</v>
      </c>
      <c r="W231" s="5">
        <f t="shared" si="59"/>
        <v>26137.155671610599</v>
      </c>
    </row>
    <row r="232" spans="1:23" ht="13">
      <c r="A232" s="92">
        <v>4215</v>
      </c>
      <c r="B232" s="93" t="s">
        <v>490</v>
      </c>
      <c r="C232" s="574">
        <v>0.88753250673674067</v>
      </c>
      <c r="D232" s="100">
        <f t="shared" si="45"/>
        <v>32565.421018046793</v>
      </c>
      <c r="E232" s="100">
        <f t="shared" si="46"/>
        <v>371669.15007896803</v>
      </c>
      <c r="F232" s="100">
        <f t="shared" si="55"/>
        <v>2477.8633619976563</v>
      </c>
      <c r="G232" s="100">
        <f t="shared" si="47"/>
        <v>28279.854550479253</v>
      </c>
      <c r="H232" s="100">
        <f t="shared" si="56"/>
        <v>161.08852941713266</v>
      </c>
      <c r="I232" s="100">
        <f t="shared" si="48"/>
        <v>1838.5033862377352</v>
      </c>
      <c r="J232" s="100">
        <f t="shared" si="49"/>
        <v>-264.59692470243056</v>
      </c>
      <c r="K232" s="100">
        <f t="shared" si="50"/>
        <v>-3019.8447016288401</v>
      </c>
      <c r="L232" s="101">
        <f t="shared" si="51"/>
        <v>25260.009848850412</v>
      </c>
      <c r="M232" s="100">
        <f t="shared" si="52"/>
        <v>396929.15992781846</v>
      </c>
      <c r="N232" s="102">
        <f t="shared" si="53"/>
        <v>34778.68745534202</v>
      </c>
      <c r="O232" s="94">
        <f t="shared" si="54"/>
        <v>0.9478524979347781</v>
      </c>
      <c r="P232" s="100">
        <f>'Bef.fremskr. kommunenivå MMMM'!H227</f>
        <v>11413</v>
      </c>
      <c r="Q232" s="100"/>
      <c r="R232" s="100">
        <f t="shared" si="57"/>
        <v>0</v>
      </c>
      <c r="S232" s="100">
        <v>0</v>
      </c>
      <c r="U232" s="100">
        <v>0</v>
      </c>
      <c r="V232" s="5">
        <f t="shared" si="58"/>
        <v>371669.15007896803</v>
      </c>
      <c r="W232" s="5">
        <f t="shared" si="59"/>
        <v>32565.421018046793</v>
      </c>
    </row>
    <row r="233" spans="1:23" ht="13">
      <c r="A233" s="92">
        <v>4216</v>
      </c>
      <c r="B233" s="93" t="s">
        <v>491</v>
      </c>
      <c r="C233" s="574">
        <v>0.71594898925296302</v>
      </c>
      <c r="D233" s="100">
        <f t="shared" si="45"/>
        <v>26269.663460770043</v>
      </c>
      <c r="E233" s="100">
        <f t="shared" si="46"/>
        <v>141987.53100546208</v>
      </c>
      <c r="F233" s="100">
        <f t="shared" si="55"/>
        <v>6255.3178963637056</v>
      </c>
      <c r="G233" s="100">
        <f t="shared" si="47"/>
        <v>33809.99322984583</v>
      </c>
      <c r="H233" s="100">
        <f t="shared" si="56"/>
        <v>2364.6036744639946</v>
      </c>
      <c r="I233" s="100">
        <f t="shared" si="48"/>
        <v>12780.682860477891</v>
      </c>
      <c r="J233" s="100">
        <f t="shared" si="49"/>
        <v>1938.9182203444313</v>
      </c>
      <c r="K233" s="100">
        <f t="shared" si="50"/>
        <v>10479.85298096165</v>
      </c>
      <c r="L233" s="101">
        <f t="shared" si="51"/>
        <v>44289.846210807482</v>
      </c>
      <c r="M233" s="100">
        <f t="shared" si="52"/>
        <v>186277.37721626955</v>
      </c>
      <c r="N233" s="102">
        <f t="shared" si="53"/>
        <v>34463.89957747818</v>
      </c>
      <c r="O233" s="94">
        <f t="shared" si="54"/>
        <v>0.93927332206058911</v>
      </c>
      <c r="P233" s="100">
        <f>'Bef.fremskr. kommunenivå MMMM'!H228</f>
        <v>5405</v>
      </c>
      <c r="Q233" s="100"/>
      <c r="R233" s="100">
        <f t="shared" si="57"/>
        <v>0</v>
      </c>
      <c r="S233" s="100">
        <v>0</v>
      </c>
      <c r="U233" s="100">
        <v>857.38733333333346</v>
      </c>
      <c r="V233" s="5">
        <f t="shared" si="58"/>
        <v>141130.14367212873</v>
      </c>
      <c r="W233" s="5">
        <f t="shared" si="59"/>
        <v>26111.034906961839</v>
      </c>
    </row>
    <row r="234" spans="1:23" ht="13">
      <c r="A234" s="92">
        <v>4217</v>
      </c>
      <c r="B234" s="93" t="s">
        <v>492</v>
      </c>
      <c r="C234" s="574">
        <v>0.76311764780822522</v>
      </c>
      <c r="D234" s="100">
        <f t="shared" si="45"/>
        <v>28000.380040781729</v>
      </c>
      <c r="E234" s="100">
        <f t="shared" si="46"/>
        <v>50680.687873814932</v>
      </c>
      <c r="F234" s="100">
        <f t="shared" si="55"/>
        <v>5216.8879483566943</v>
      </c>
      <c r="G234" s="100">
        <f t="shared" si="47"/>
        <v>9442.5671865256172</v>
      </c>
      <c r="H234" s="100">
        <f t="shared" si="56"/>
        <v>1758.8528714599049</v>
      </c>
      <c r="I234" s="100">
        <f t="shared" si="48"/>
        <v>3183.523697342428</v>
      </c>
      <c r="J234" s="100">
        <f t="shared" si="49"/>
        <v>1333.1674173403417</v>
      </c>
      <c r="K234" s="100">
        <f t="shared" si="50"/>
        <v>2413.0330253860184</v>
      </c>
      <c r="L234" s="101">
        <f t="shared" si="51"/>
        <v>11855.600211911635</v>
      </c>
      <c r="M234" s="100">
        <f t="shared" si="52"/>
        <v>62536.288085726563</v>
      </c>
      <c r="N234" s="102">
        <f t="shared" si="53"/>
        <v>34550.435406478762</v>
      </c>
      <c r="O234" s="94">
        <f t="shared" si="54"/>
        <v>0.94163175498835217</v>
      </c>
      <c r="P234" s="100">
        <f>'Bef.fremskr. kommunenivå MMMM'!H229</f>
        <v>1810</v>
      </c>
      <c r="Q234" s="100"/>
      <c r="R234" s="100">
        <f t="shared" si="57"/>
        <v>0</v>
      </c>
      <c r="S234" s="100">
        <v>0</v>
      </c>
      <c r="U234" s="100">
        <v>3296.355</v>
      </c>
      <c r="V234" s="5">
        <f t="shared" si="58"/>
        <v>47384.332873814928</v>
      </c>
      <c r="W234" s="5">
        <f t="shared" si="59"/>
        <v>26179.189433046919</v>
      </c>
    </row>
    <row r="235" spans="1:23" ht="13">
      <c r="A235" s="92">
        <v>4218</v>
      </c>
      <c r="B235" s="93" t="s">
        <v>493</v>
      </c>
      <c r="C235" s="574">
        <v>0.74160440578233089</v>
      </c>
      <c r="D235" s="100">
        <f t="shared" si="45"/>
        <v>27211.014266887662</v>
      </c>
      <c r="E235" s="100">
        <f t="shared" si="46"/>
        <v>36489.970131896356</v>
      </c>
      <c r="F235" s="100">
        <f t="shared" si="55"/>
        <v>5690.5074126931349</v>
      </c>
      <c r="G235" s="100">
        <f t="shared" si="47"/>
        <v>7630.9704404214935</v>
      </c>
      <c r="H235" s="100">
        <f t="shared" si="56"/>
        <v>2035.1308923228285</v>
      </c>
      <c r="I235" s="100">
        <f t="shared" si="48"/>
        <v>2729.110526604913</v>
      </c>
      <c r="J235" s="100">
        <f t="shared" si="49"/>
        <v>1609.4454382032652</v>
      </c>
      <c r="K235" s="100">
        <f t="shared" si="50"/>
        <v>2158.2663326305783</v>
      </c>
      <c r="L235" s="101">
        <f t="shared" si="51"/>
        <v>9789.2367730520709</v>
      </c>
      <c r="M235" s="100">
        <f t="shared" si="52"/>
        <v>46279.206904948427</v>
      </c>
      <c r="N235" s="102">
        <f t="shared" si="53"/>
        <v>34510.967117784065</v>
      </c>
      <c r="O235" s="94">
        <f t="shared" si="54"/>
        <v>0.94055609288705766</v>
      </c>
      <c r="P235" s="100">
        <f>'Bef.fremskr. kommunenivå MMMM'!H230</f>
        <v>1341</v>
      </c>
      <c r="Q235" s="100"/>
      <c r="R235" s="100">
        <f t="shared" si="57"/>
        <v>0</v>
      </c>
      <c r="S235" s="100">
        <v>0</v>
      </c>
      <c r="U235" s="100">
        <v>5034.6213333333335</v>
      </c>
      <c r="V235" s="5">
        <f t="shared" si="58"/>
        <v>31455.348798563024</v>
      </c>
      <c r="W235" s="5">
        <f t="shared" si="59"/>
        <v>23456.635942254303</v>
      </c>
    </row>
    <row r="236" spans="1:23" ht="13">
      <c r="A236" s="92">
        <v>4219</v>
      </c>
      <c r="B236" s="93" t="s">
        <v>1826</v>
      </c>
      <c r="C236" s="574">
        <v>0.73879756713410127</v>
      </c>
      <c r="D236" s="100">
        <f t="shared" si="45"/>
        <v>27108.025495642087</v>
      </c>
      <c r="E236" s="100">
        <f t="shared" si="46"/>
        <v>99784.641849458509</v>
      </c>
      <c r="F236" s="100">
        <f t="shared" si="55"/>
        <v>5752.3006754404796</v>
      </c>
      <c r="G236" s="100">
        <f t="shared" si="47"/>
        <v>21174.218786296406</v>
      </c>
      <c r="H236" s="100">
        <f t="shared" si="56"/>
        <v>2071.1769622587794</v>
      </c>
      <c r="I236" s="100">
        <f t="shared" si="48"/>
        <v>7624.0023980745673</v>
      </c>
      <c r="J236" s="100">
        <f t="shared" si="49"/>
        <v>1645.4915081392162</v>
      </c>
      <c r="K236" s="100">
        <f t="shared" si="50"/>
        <v>6057.0542414604543</v>
      </c>
      <c r="L236" s="101">
        <f t="shared" si="51"/>
        <v>27231.273027756859</v>
      </c>
      <c r="M236" s="100">
        <f t="shared" si="52"/>
        <v>127015.91487721537</v>
      </c>
      <c r="N236" s="102">
        <f t="shared" si="53"/>
        <v>34505.817679221778</v>
      </c>
      <c r="O236" s="94">
        <f t="shared" si="54"/>
        <v>0.94041575095464591</v>
      </c>
      <c r="P236" s="100">
        <f>'Bef.fremskr. kommunenivå MMMM'!H231</f>
        <v>3681</v>
      </c>
      <c r="Q236" s="100"/>
      <c r="R236" s="100">
        <f t="shared" si="57"/>
        <v>0</v>
      </c>
      <c r="S236" s="100">
        <v>0</v>
      </c>
      <c r="U236" s="100">
        <v>1028.9216666666669</v>
      </c>
      <c r="V236" s="5">
        <f t="shared" si="58"/>
        <v>98755.720182791847</v>
      </c>
      <c r="W236" s="5">
        <f t="shared" si="59"/>
        <v>26828.503173809248</v>
      </c>
    </row>
    <row r="237" spans="1:23" ht="13">
      <c r="A237" s="92">
        <v>4220</v>
      </c>
      <c r="B237" s="93" t="s">
        <v>494</v>
      </c>
      <c r="C237" s="574">
        <v>0.82966239373214556</v>
      </c>
      <c r="D237" s="100">
        <f t="shared" si="45"/>
        <v>30442.045727505934</v>
      </c>
      <c r="E237" s="100">
        <f t="shared" si="46"/>
        <v>34886.584403721805</v>
      </c>
      <c r="F237" s="100">
        <f t="shared" si="55"/>
        <v>3751.8885363221711</v>
      </c>
      <c r="G237" s="100">
        <f t="shared" si="47"/>
        <v>4299.6642626252078</v>
      </c>
      <c r="H237" s="100">
        <f t="shared" si="56"/>
        <v>904.26988110643299</v>
      </c>
      <c r="I237" s="100">
        <f t="shared" si="48"/>
        <v>1036.2932837479723</v>
      </c>
      <c r="J237" s="100">
        <f t="shared" si="49"/>
        <v>478.5844269868698</v>
      </c>
      <c r="K237" s="100">
        <f t="shared" si="50"/>
        <v>548.4577533269528</v>
      </c>
      <c r="L237" s="101">
        <f t="shared" si="51"/>
        <v>4848.1220159521608</v>
      </c>
      <c r="M237" s="100">
        <f t="shared" si="52"/>
        <v>39734.706419673967</v>
      </c>
      <c r="N237" s="102">
        <f t="shared" si="53"/>
        <v>34672.518690814977</v>
      </c>
      <c r="O237" s="94">
        <f t="shared" si="54"/>
        <v>0.94495899228454838</v>
      </c>
      <c r="P237" s="100">
        <f>'Bef.fremskr. kommunenivå MMMM'!H232</f>
        <v>1146</v>
      </c>
      <c r="Q237" s="100"/>
      <c r="R237" s="100">
        <f t="shared" si="57"/>
        <v>0</v>
      </c>
      <c r="S237" s="100">
        <v>0</v>
      </c>
      <c r="U237" s="100">
        <v>3713.4239999999995</v>
      </c>
      <c r="V237" s="5">
        <f t="shared" si="58"/>
        <v>31173.160403721806</v>
      </c>
      <c r="W237" s="5">
        <f t="shared" si="59"/>
        <v>27201.710648971908</v>
      </c>
    </row>
    <row r="238" spans="1:23" ht="13">
      <c r="A238" s="92">
        <v>4221</v>
      </c>
      <c r="B238" s="93" t="s">
        <v>495</v>
      </c>
      <c r="C238" s="574">
        <v>1.2449004430392097</v>
      </c>
      <c r="D238" s="100">
        <f t="shared" si="45"/>
        <v>45677.996856908365</v>
      </c>
      <c r="E238" s="100">
        <f t="shared" si="46"/>
        <v>53580.290313153513</v>
      </c>
      <c r="F238" s="100">
        <f t="shared" si="55"/>
        <v>-5389.6821413192865</v>
      </c>
      <c r="G238" s="100">
        <f t="shared" si="47"/>
        <v>-6322.0971517675234</v>
      </c>
      <c r="H238" s="100">
        <f t="shared" si="56"/>
        <v>0</v>
      </c>
      <c r="I238" s="100">
        <f t="shared" si="48"/>
        <v>0</v>
      </c>
      <c r="J238" s="100">
        <f t="shared" si="49"/>
        <v>-425.68545411956319</v>
      </c>
      <c r="K238" s="100">
        <f t="shared" si="50"/>
        <v>-499.32903768224764</v>
      </c>
      <c r="L238" s="101">
        <f t="shared" si="51"/>
        <v>-6821.4261894497713</v>
      </c>
      <c r="M238" s="100">
        <f t="shared" si="52"/>
        <v>46758.864123703745</v>
      </c>
      <c r="N238" s="102">
        <f t="shared" si="53"/>
        <v>39862.629261469519</v>
      </c>
      <c r="O238" s="94">
        <f t="shared" si="54"/>
        <v>1.0864093927710385</v>
      </c>
      <c r="P238" s="100">
        <f>'Bef.fremskr. kommunenivå MMMM'!H233</f>
        <v>1173</v>
      </c>
      <c r="Q238" s="100"/>
      <c r="R238" s="100">
        <f t="shared" si="57"/>
        <v>0</v>
      </c>
      <c r="S238" s="100">
        <v>0</v>
      </c>
      <c r="U238" s="100">
        <v>14915.602333333334</v>
      </c>
      <c r="V238" s="5">
        <f t="shared" si="58"/>
        <v>38664.687979820177</v>
      </c>
      <c r="W238" s="5">
        <f t="shared" si="59"/>
        <v>32962.223341705183</v>
      </c>
    </row>
    <row r="239" spans="1:23" ht="13">
      <c r="A239" s="92">
        <v>4222</v>
      </c>
      <c r="B239" s="93" t="s">
        <v>496</v>
      </c>
      <c r="C239" s="574">
        <v>2.4460105367390197</v>
      </c>
      <c r="D239" s="100">
        <f t="shared" si="45"/>
        <v>89749.234353522232</v>
      </c>
      <c r="E239" s="100">
        <f t="shared" si="46"/>
        <v>87415.75426033065</v>
      </c>
      <c r="F239" s="100">
        <f t="shared" si="55"/>
        <v>-31832.424639287605</v>
      </c>
      <c r="G239" s="100">
        <f t="shared" si="47"/>
        <v>-31004.781598666126</v>
      </c>
      <c r="H239" s="100">
        <f t="shared" si="56"/>
        <v>0</v>
      </c>
      <c r="I239" s="100">
        <f t="shared" si="48"/>
        <v>0</v>
      </c>
      <c r="J239" s="100">
        <f t="shared" si="49"/>
        <v>-425.68545411956319</v>
      </c>
      <c r="K239" s="100">
        <f t="shared" si="50"/>
        <v>-414.61763231245459</v>
      </c>
      <c r="L239" s="101">
        <f t="shared" si="51"/>
        <v>-31419.399230978583</v>
      </c>
      <c r="M239" s="100">
        <f t="shared" si="52"/>
        <v>55996.355029352068</v>
      </c>
      <c r="N239" s="102">
        <f t="shared" si="53"/>
        <v>57491.124260115059</v>
      </c>
      <c r="O239" s="94">
        <f t="shared" si="54"/>
        <v>1.5668534302509629</v>
      </c>
      <c r="P239" s="100">
        <f>'Bef.fremskr. kommunenivå MMMM'!H234</f>
        <v>974</v>
      </c>
      <c r="Q239" s="100"/>
      <c r="R239" s="100">
        <f t="shared" si="57"/>
        <v>0</v>
      </c>
      <c r="S239" s="100">
        <v>0</v>
      </c>
      <c r="U239" s="100">
        <v>39510.196333333333</v>
      </c>
      <c r="V239" s="5">
        <f t="shared" si="58"/>
        <v>47905.557926997317</v>
      </c>
      <c r="W239" s="5">
        <f t="shared" si="59"/>
        <v>49184.351054412029</v>
      </c>
    </row>
    <row r="240" spans="1:23" ht="13">
      <c r="A240" s="92">
        <v>4223</v>
      </c>
      <c r="B240" s="93" t="s">
        <v>503</v>
      </c>
      <c r="C240" s="574">
        <v>0.71926087590464149</v>
      </c>
      <c r="D240" s="100">
        <f t="shared" si="45"/>
        <v>26391.183497903679</v>
      </c>
      <c r="E240" s="100">
        <f t="shared" si="46"/>
        <v>402518.3307100269</v>
      </c>
      <c r="F240" s="100">
        <f t="shared" si="55"/>
        <v>6182.4058740835244</v>
      </c>
      <c r="G240" s="100">
        <f t="shared" si="47"/>
        <v>94294.054391521917</v>
      </c>
      <c r="H240" s="100">
        <f t="shared" si="56"/>
        <v>2322.0716614672219</v>
      </c>
      <c r="I240" s="100">
        <f t="shared" si="48"/>
        <v>35416.236980698071</v>
      </c>
      <c r="J240" s="100">
        <f t="shared" si="49"/>
        <v>1896.3862073476587</v>
      </c>
      <c r="K240" s="100">
        <f t="shared" si="50"/>
        <v>28923.682434466489</v>
      </c>
      <c r="L240" s="101">
        <f t="shared" si="51"/>
        <v>123217.73682598841</v>
      </c>
      <c r="M240" s="100">
        <f t="shared" si="52"/>
        <v>525736.0675360153</v>
      </c>
      <c r="N240" s="102">
        <f t="shared" si="53"/>
        <v>34469.97557933486</v>
      </c>
      <c r="O240" s="94">
        <f t="shared" si="54"/>
        <v>0.93943891639317301</v>
      </c>
      <c r="P240" s="100">
        <f>'Bef.fremskr. kommunenivå MMMM'!H235</f>
        <v>15252</v>
      </c>
      <c r="Q240" s="100"/>
      <c r="R240" s="100">
        <f t="shared" si="57"/>
        <v>0</v>
      </c>
      <c r="S240" s="100">
        <v>0</v>
      </c>
      <c r="U240" s="100">
        <v>8963.2936666666665</v>
      </c>
      <c r="V240" s="5">
        <f t="shared" si="58"/>
        <v>393555.03704336024</v>
      </c>
      <c r="W240" s="5">
        <f t="shared" si="59"/>
        <v>25803.503608927371</v>
      </c>
    </row>
    <row r="241" spans="1:23" ht="13">
      <c r="A241" s="92">
        <v>4224</v>
      </c>
      <c r="B241" s="93" t="s">
        <v>504</v>
      </c>
      <c r="C241" s="574">
        <v>1.3151576982683701</v>
      </c>
      <c r="D241" s="100">
        <f t="shared" si="45"/>
        <v>48255.882262505831</v>
      </c>
      <c r="E241" s="100">
        <f t="shared" si="46"/>
        <v>43333.782271730233</v>
      </c>
      <c r="F241" s="100">
        <f t="shared" si="55"/>
        <v>-6936.4133846777668</v>
      </c>
      <c r="G241" s="100">
        <f t="shared" si="47"/>
        <v>-6228.8992194406346</v>
      </c>
      <c r="H241" s="100">
        <f t="shared" si="56"/>
        <v>0</v>
      </c>
      <c r="I241" s="100">
        <f t="shared" si="48"/>
        <v>0</v>
      </c>
      <c r="J241" s="100">
        <f t="shared" si="49"/>
        <v>-425.68545411956319</v>
      </c>
      <c r="K241" s="100">
        <f t="shared" si="50"/>
        <v>-382.26553779936773</v>
      </c>
      <c r="L241" s="101">
        <f t="shared" si="51"/>
        <v>-6611.1647572400025</v>
      </c>
      <c r="M241" s="100">
        <f t="shared" si="52"/>
        <v>36722.617514490237</v>
      </c>
      <c r="N241" s="102">
        <f t="shared" si="53"/>
        <v>40893.783423708504</v>
      </c>
      <c r="O241" s="94">
        <f t="shared" si="54"/>
        <v>1.1145122948627029</v>
      </c>
      <c r="P241" s="100">
        <f>'Bef.fremskr. kommunenivå MMMM'!H236</f>
        <v>898</v>
      </c>
      <c r="Q241" s="100"/>
      <c r="R241" s="100">
        <f t="shared" si="57"/>
        <v>0</v>
      </c>
      <c r="S241" s="100">
        <v>0</v>
      </c>
      <c r="U241" s="100">
        <v>15028.686000000002</v>
      </c>
      <c r="V241" s="5">
        <f t="shared" si="58"/>
        <v>28305.096271730232</v>
      </c>
      <c r="W241" s="5">
        <f t="shared" si="59"/>
        <v>31520.151750256384</v>
      </c>
    </row>
    <row r="242" spans="1:23" ht="13">
      <c r="A242" s="92">
        <v>4225</v>
      </c>
      <c r="B242" s="93" t="s">
        <v>506</v>
      </c>
      <c r="C242" s="574">
        <v>0.73612600025082875</v>
      </c>
      <c r="D242" s="100">
        <f t="shared" si="45"/>
        <v>27010.00012792736</v>
      </c>
      <c r="E242" s="100">
        <f t="shared" si="46"/>
        <v>283307.89134183008</v>
      </c>
      <c r="F242" s="100">
        <f t="shared" si="55"/>
        <v>5811.1158960693156</v>
      </c>
      <c r="G242" s="100">
        <f t="shared" si="47"/>
        <v>60952.794633871046</v>
      </c>
      <c r="H242" s="100">
        <f t="shared" si="56"/>
        <v>2105.4858409589337</v>
      </c>
      <c r="I242" s="100">
        <f t="shared" si="48"/>
        <v>22084.440985818255</v>
      </c>
      <c r="J242" s="100">
        <f t="shared" si="49"/>
        <v>1679.8003868393705</v>
      </c>
      <c r="K242" s="100">
        <f t="shared" si="50"/>
        <v>17619.426257558156</v>
      </c>
      <c r="L242" s="101">
        <f t="shared" si="51"/>
        <v>78572.220891429199</v>
      </c>
      <c r="M242" s="100">
        <f t="shared" si="52"/>
        <v>361880.11223325931</v>
      </c>
      <c r="N242" s="102">
        <f t="shared" si="53"/>
        <v>34500.916410836049</v>
      </c>
      <c r="O242" s="94">
        <f t="shared" si="54"/>
        <v>0.94028217261048253</v>
      </c>
      <c r="P242" s="100">
        <f>'Bef.fremskr. kommunenivå MMMM'!H237</f>
        <v>10489</v>
      </c>
      <c r="Q242" s="100"/>
      <c r="R242" s="100">
        <f t="shared" si="57"/>
        <v>0</v>
      </c>
      <c r="S242" s="100">
        <v>0</v>
      </c>
      <c r="U242" s="100">
        <v>520.65933333333339</v>
      </c>
      <c r="V242" s="5">
        <f t="shared" si="58"/>
        <v>282787.23200849677</v>
      </c>
      <c r="W242" s="5">
        <f t="shared" si="59"/>
        <v>26960.361522404113</v>
      </c>
    </row>
    <row r="243" spans="1:23" ht="13">
      <c r="A243" s="92">
        <v>4226</v>
      </c>
      <c r="B243" s="93" t="s">
        <v>507</v>
      </c>
      <c r="C243" s="574">
        <v>0.77029105606510395</v>
      </c>
      <c r="D243" s="100">
        <f t="shared" si="45"/>
        <v>28263.587369241734</v>
      </c>
      <c r="E243" s="100">
        <f t="shared" si="46"/>
        <v>47680.67189191081</v>
      </c>
      <c r="F243" s="100">
        <f t="shared" si="55"/>
        <v>5058.9635512806917</v>
      </c>
      <c r="G243" s="100">
        <f t="shared" si="47"/>
        <v>8534.471511010528</v>
      </c>
      <c r="H243" s="100">
        <f t="shared" si="56"/>
        <v>1666.7303064989032</v>
      </c>
      <c r="I243" s="100">
        <f t="shared" si="48"/>
        <v>2811.7740270636496</v>
      </c>
      <c r="J243" s="100">
        <f t="shared" si="49"/>
        <v>1241.04485237934</v>
      </c>
      <c r="K243" s="100">
        <f t="shared" si="50"/>
        <v>2093.6426659639465</v>
      </c>
      <c r="L243" s="101">
        <f t="shared" si="51"/>
        <v>10628.114176974475</v>
      </c>
      <c r="M243" s="100">
        <f t="shared" si="52"/>
        <v>58308.786068885282</v>
      </c>
      <c r="N243" s="102">
        <f t="shared" si="53"/>
        <v>34563.595772901768</v>
      </c>
      <c r="O243" s="94">
        <f t="shared" si="54"/>
        <v>0.94199042540119626</v>
      </c>
      <c r="P243" s="100">
        <f>'Bef.fremskr. kommunenivå MMMM'!H238</f>
        <v>1687</v>
      </c>
      <c r="Q243" s="100"/>
      <c r="R243" s="100">
        <f t="shared" si="57"/>
        <v>0</v>
      </c>
      <c r="S243" s="100">
        <v>0</v>
      </c>
      <c r="U243" s="100">
        <v>0</v>
      </c>
      <c r="V243" s="5">
        <f t="shared" si="58"/>
        <v>47680.67189191081</v>
      </c>
      <c r="W243" s="5">
        <f t="shared" si="59"/>
        <v>28263.587369241734</v>
      </c>
    </row>
    <row r="244" spans="1:23" ht="13">
      <c r="A244" s="92">
        <v>4227</v>
      </c>
      <c r="B244" s="93" t="s">
        <v>508</v>
      </c>
      <c r="C244" s="574">
        <v>0.88863932348537134</v>
      </c>
      <c r="D244" s="100">
        <f t="shared" si="45"/>
        <v>32606.032435809404</v>
      </c>
      <c r="E244" s="100">
        <f t="shared" si="46"/>
        <v>190517.04752243435</v>
      </c>
      <c r="F244" s="100">
        <f t="shared" si="55"/>
        <v>2453.4965113400895</v>
      </c>
      <c r="G244" s="100">
        <f t="shared" si="47"/>
        <v>14335.780115760143</v>
      </c>
      <c r="H244" s="100">
        <f t="shared" si="56"/>
        <v>146.87453320021868</v>
      </c>
      <c r="I244" s="100">
        <f t="shared" si="48"/>
        <v>858.18789748887775</v>
      </c>
      <c r="J244" s="100">
        <f t="shared" si="49"/>
        <v>-278.81092091934454</v>
      </c>
      <c r="K244" s="100">
        <f t="shared" si="50"/>
        <v>-1629.0922109317303</v>
      </c>
      <c r="L244" s="101">
        <f t="shared" si="51"/>
        <v>12706.687904828412</v>
      </c>
      <c r="M244" s="100">
        <f t="shared" si="52"/>
        <v>203223.73542726276</v>
      </c>
      <c r="N244" s="102">
        <f t="shared" si="53"/>
        <v>34780.718026230148</v>
      </c>
      <c r="O244" s="94">
        <f t="shared" si="54"/>
        <v>0.94790783877220952</v>
      </c>
      <c r="P244" s="100">
        <f>'Bef.fremskr. kommunenivå MMMM'!H239</f>
        <v>5843</v>
      </c>
      <c r="Q244" s="100"/>
      <c r="R244" s="100">
        <f t="shared" si="57"/>
        <v>0</v>
      </c>
      <c r="S244" s="100">
        <v>0</v>
      </c>
      <c r="U244" s="100">
        <v>25320.048666666669</v>
      </c>
      <c r="V244" s="5">
        <f t="shared" si="58"/>
        <v>165196.99885576768</v>
      </c>
      <c r="W244" s="5">
        <f t="shared" si="59"/>
        <v>28272.633725101437</v>
      </c>
    </row>
    <row r="245" spans="1:23" ht="13">
      <c r="A245" s="92">
        <v>4228</v>
      </c>
      <c r="B245" s="93" t="s">
        <v>509</v>
      </c>
      <c r="C245" s="574">
        <v>1.7547332587193036</v>
      </c>
      <c r="D245" s="100">
        <f t="shared" si="45"/>
        <v>64384.827497381186</v>
      </c>
      <c r="E245" s="100">
        <f t="shared" si="46"/>
        <v>117373.54052772591</v>
      </c>
      <c r="F245" s="100">
        <f t="shared" si="55"/>
        <v>-16613.780525602979</v>
      </c>
      <c r="G245" s="100">
        <f t="shared" si="47"/>
        <v>-30286.921898174231</v>
      </c>
      <c r="H245" s="100">
        <f t="shared" si="56"/>
        <v>0</v>
      </c>
      <c r="I245" s="100">
        <f t="shared" si="48"/>
        <v>0</v>
      </c>
      <c r="J245" s="100">
        <f t="shared" si="49"/>
        <v>-425.68545411956319</v>
      </c>
      <c r="K245" s="100">
        <f t="shared" si="50"/>
        <v>-776.02458285996363</v>
      </c>
      <c r="L245" s="101">
        <f t="shared" si="51"/>
        <v>-31062.946481034196</v>
      </c>
      <c r="M245" s="100">
        <f t="shared" si="52"/>
        <v>86310.594046691724</v>
      </c>
      <c r="N245" s="102">
        <f t="shared" si="53"/>
        <v>47345.361517658654</v>
      </c>
      <c r="O245" s="94">
        <f t="shared" si="54"/>
        <v>1.2903425190430766</v>
      </c>
      <c r="P245" s="100">
        <f>'Bef.fremskr. kommunenivå MMMM'!H240</f>
        <v>1823</v>
      </c>
      <c r="Q245" s="100"/>
      <c r="R245" s="100">
        <f t="shared" si="57"/>
        <v>0</v>
      </c>
      <c r="S245" s="100">
        <v>0</v>
      </c>
      <c r="U245" s="100">
        <v>39783.35766666667</v>
      </c>
      <c r="V245" s="5">
        <f t="shared" si="58"/>
        <v>77590.182861059235</v>
      </c>
      <c r="W245" s="5">
        <f t="shared" si="59"/>
        <v>42561.811772385758</v>
      </c>
    </row>
    <row r="246" spans="1:23" ht="13">
      <c r="A246" s="92">
        <v>4601</v>
      </c>
      <c r="B246" s="93" t="s">
        <v>532</v>
      </c>
      <c r="C246" s="574">
        <v>1.0557965569946226</v>
      </c>
      <c r="D246" s="100">
        <f t="shared" si="45"/>
        <v>38739.380391092112</v>
      </c>
      <c r="E246" s="100">
        <f t="shared" si="46"/>
        <v>11235659.973589228</v>
      </c>
      <c r="F246" s="100">
        <f t="shared" si="55"/>
        <v>-1226.5122618295354</v>
      </c>
      <c r="G246" s="100">
        <f t="shared" si="47"/>
        <v>-355727.80432294379</v>
      </c>
      <c r="H246" s="100">
        <f t="shared" si="56"/>
        <v>0</v>
      </c>
      <c r="I246" s="100">
        <f t="shared" si="48"/>
        <v>0</v>
      </c>
      <c r="J246" s="100">
        <f t="shared" si="49"/>
        <v>-425.68545411956319</v>
      </c>
      <c r="K246" s="100">
        <f t="shared" si="50"/>
        <v>-123462.40362920515</v>
      </c>
      <c r="L246" s="101">
        <f t="shared" si="51"/>
        <v>-479190.20795214892</v>
      </c>
      <c r="M246" s="100">
        <f t="shared" si="52"/>
        <v>10756469.765637081</v>
      </c>
      <c r="N246" s="102">
        <f t="shared" si="53"/>
        <v>37087.18267514302</v>
      </c>
      <c r="O246" s="94">
        <f t="shared" si="54"/>
        <v>1.0107678383532037</v>
      </c>
      <c r="P246" s="100">
        <f>'Bef.fremskr. kommunenivå MMMM'!H241</f>
        <v>290032</v>
      </c>
      <c r="Q246" s="100"/>
      <c r="R246" s="100">
        <f t="shared" si="57"/>
        <v>0</v>
      </c>
      <c r="S246" s="100">
        <v>0</v>
      </c>
      <c r="U246" s="100">
        <v>0</v>
      </c>
      <c r="V246" s="5">
        <f t="shared" si="58"/>
        <v>11235659.973589228</v>
      </c>
      <c r="W246" s="5">
        <f t="shared" si="59"/>
        <v>38739.380391092112</v>
      </c>
    </row>
    <row r="247" spans="1:23" ht="13">
      <c r="A247" s="92">
        <v>4602</v>
      </c>
      <c r="B247" s="93" t="s">
        <v>1827</v>
      </c>
      <c r="C247" s="574">
        <v>0.97506597799029637</v>
      </c>
      <c r="D247" s="100">
        <f t="shared" si="45"/>
        <v>35777.206865783264</v>
      </c>
      <c r="E247" s="100">
        <f t="shared" si="46"/>
        <v>611718.68299116229</v>
      </c>
      <c r="F247" s="100">
        <f t="shared" si="55"/>
        <v>550.79185335577347</v>
      </c>
      <c r="G247" s="100">
        <f t="shared" si="47"/>
        <v>9417.4391086770156</v>
      </c>
      <c r="H247" s="100">
        <f t="shared" si="56"/>
        <v>0</v>
      </c>
      <c r="I247" s="100">
        <f t="shared" si="48"/>
        <v>0</v>
      </c>
      <c r="J247" s="100">
        <f t="shared" si="49"/>
        <v>-425.68545411956319</v>
      </c>
      <c r="K247" s="100">
        <f t="shared" si="50"/>
        <v>-7278.3698945362912</v>
      </c>
      <c r="L247" s="101">
        <f t="shared" si="51"/>
        <v>2139.0692141407244</v>
      </c>
      <c r="M247" s="100">
        <f t="shared" si="52"/>
        <v>613857.75220530294</v>
      </c>
      <c r="N247" s="102">
        <f t="shared" si="53"/>
        <v>35902.313265019475</v>
      </c>
      <c r="O247" s="94">
        <f t="shared" si="54"/>
        <v>0.97847560675147305</v>
      </c>
      <c r="P247" s="100">
        <f>'Bef.fremskr. kommunenivå MMMM'!H242</f>
        <v>17098</v>
      </c>
      <c r="Q247" s="100"/>
      <c r="R247" s="100">
        <f t="shared" si="57"/>
        <v>0</v>
      </c>
      <c r="S247" s="100">
        <v>0</v>
      </c>
      <c r="U247" s="100">
        <v>778.17533333333324</v>
      </c>
      <c r="V247" s="5">
        <f t="shared" si="58"/>
        <v>610940.50765782897</v>
      </c>
      <c r="W247" s="5">
        <f t="shared" si="59"/>
        <v>35731.694213231312</v>
      </c>
    </row>
    <row r="248" spans="1:23" ht="13">
      <c r="A248" s="92">
        <v>4611</v>
      </c>
      <c r="B248" s="93" t="s">
        <v>533</v>
      </c>
      <c r="C248" s="574">
        <v>0.88442646916778789</v>
      </c>
      <c r="D248" s="100">
        <f t="shared" si="45"/>
        <v>32451.454013612529</v>
      </c>
      <c r="E248" s="100">
        <f t="shared" si="46"/>
        <v>130811.8111288721</v>
      </c>
      <c r="F248" s="100">
        <f t="shared" si="55"/>
        <v>2546.2435646582148</v>
      </c>
      <c r="G248" s="100">
        <f t="shared" si="47"/>
        <v>10263.907809137265</v>
      </c>
      <c r="H248" s="100">
        <f t="shared" si="56"/>
        <v>200.97698096912498</v>
      </c>
      <c r="I248" s="100">
        <f t="shared" si="48"/>
        <v>810.13821028654274</v>
      </c>
      <c r="J248" s="100">
        <f t="shared" si="49"/>
        <v>-224.70847315043821</v>
      </c>
      <c r="K248" s="100">
        <f t="shared" si="50"/>
        <v>-905.79985526941641</v>
      </c>
      <c r="L248" s="101">
        <f t="shared" si="51"/>
        <v>9358.1079538678478</v>
      </c>
      <c r="M248" s="100">
        <f t="shared" si="52"/>
        <v>140169.91908273994</v>
      </c>
      <c r="N248" s="102">
        <f t="shared" si="53"/>
        <v>34772.989105120309</v>
      </c>
      <c r="O248" s="94">
        <f t="shared" si="54"/>
        <v>0.94769719605633052</v>
      </c>
      <c r="P248" s="100">
        <f>'Bef.fremskr. kommunenivå MMMM'!H243</f>
        <v>4031</v>
      </c>
      <c r="Q248" s="100"/>
      <c r="R248" s="100">
        <f t="shared" si="57"/>
        <v>0</v>
      </c>
      <c r="S248" s="100">
        <v>0</v>
      </c>
      <c r="U248" s="100">
        <v>3171.2903333333338</v>
      </c>
      <c r="V248" s="5">
        <f t="shared" si="58"/>
        <v>127640.52079553876</v>
      </c>
      <c r="W248" s="5">
        <f t="shared" si="59"/>
        <v>31664.728552602024</v>
      </c>
    </row>
    <row r="249" spans="1:23" ht="13">
      <c r="A249" s="92">
        <v>4612</v>
      </c>
      <c r="B249" s="93" t="s">
        <v>534</v>
      </c>
      <c r="C249" s="574">
        <v>0.83061609160959804</v>
      </c>
      <c r="D249" s="100">
        <f t="shared" si="45"/>
        <v>30477.038894142104</v>
      </c>
      <c r="E249" s="100">
        <f t="shared" si="46"/>
        <v>176644.91743044765</v>
      </c>
      <c r="F249" s="100">
        <f t="shared" si="55"/>
        <v>3730.8926363404694</v>
      </c>
      <c r="G249" s="100">
        <f t="shared" si="47"/>
        <v>21624.253720229361</v>
      </c>
      <c r="H249" s="100">
        <f t="shared" si="56"/>
        <v>892.02227278377359</v>
      </c>
      <c r="I249" s="100">
        <f t="shared" si="48"/>
        <v>5170.1610930547522</v>
      </c>
      <c r="J249" s="100">
        <f t="shared" si="49"/>
        <v>466.3368186642104</v>
      </c>
      <c r="K249" s="100">
        <f t="shared" si="50"/>
        <v>2702.8882009777635</v>
      </c>
      <c r="L249" s="101">
        <f t="shared" si="51"/>
        <v>24327.141921207123</v>
      </c>
      <c r="M249" s="100">
        <f t="shared" si="52"/>
        <v>200972.05935165478</v>
      </c>
      <c r="N249" s="102">
        <f t="shared" si="53"/>
        <v>34674.268349146783</v>
      </c>
      <c r="O249" s="94">
        <f t="shared" si="54"/>
        <v>0.94500667717842091</v>
      </c>
      <c r="P249" s="100">
        <f>'Bef.fremskr. kommunenivå MMMM'!H244</f>
        <v>5796</v>
      </c>
      <c r="Q249" s="100"/>
      <c r="R249" s="100">
        <f t="shared" si="57"/>
        <v>0</v>
      </c>
      <c r="S249" s="100">
        <v>0</v>
      </c>
      <c r="U249" s="100">
        <v>0</v>
      </c>
      <c r="V249" s="5">
        <f t="shared" si="58"/>
        <v>176644.91743044765</v>
      </c>
      <c r="W249" s="5">
        <f t="shared" si="59"/>
        <v>30477.038894142104</v>
      </c>
    </row>
    <row r="250" spans="1:23" ht="13">
      <c r="A250" s="92">
        <v>4613</v>
      </c>
      <c r="B250" s="93" t="s">
        <v>535</v>
      </c>
      <c r="C250" s="574">
        <v>0.88944122070562615</v>
      </c>
      <c r="D250" s="100">
        <f t="shared" si="45"/>
        <v>32635.455719342775</v>
      </c>
      <c r="E250" s="100">
        <f t="shared" si="46"/>
        <v>394366.84691253811</v>
      </c>
      <c r="F250" s="100">
        <f t="shared" si="55"/>
        <v>2435.8425412200668</v>
      </c>
      <c r="G250" s="100">
        <f t="shared" si="47"/>
        <v>29434.721268103287</v>
      </c>
      <c r="H250" s="100">
        <f t="shared" si="56"/>
        <v>136.57638396353866</v>
      </c>
      <c r="I250" s="100">
        <f t="shared" si="48"/>
        <v>1650.3890238154011</v>
      </c>
      <c r="J250" s="100">
        <f t="shared" si="49"/>
        <v>-289.10907015602453</v>
      </c>
      <c r="K250" s="100">
        <f t="shared" si="50"/>
        <v>-3493.5940037654004</v>
      </c>
      <c r="L250" s="101">
        <f t="shared" si="51"/>
        <v>25941.127264337887</v>
      </c>
      <c r="M250" s="100">
        <f t="shared" si="52"/>
        <v>420307.97417687601</v>
      </c>
      <c r="N250" s="102">
        <f t="shared" si="53"/>
        <v>34782.189190406818</v>
      </c>
      <c r="O250" s="94">
        <f t="shared" si="54"/>
        <v>0.94794793363322227</v>
      </c>
      <c r="P250" s="100">
        <f>'Bef.fremskr. kommunenivå MMMM'!H245</f>
        <v>12084</v>
      </c>
      <c r="Q250" s="100"/>
      <c r="R250" s="100">
        <f t="shared" si="57"/>
        <v>0</v>
      </c>
      <c r="S250" s="100">
        <v>0</v>
      </c>
      <c r="U250" s="100">
        <v>0</v>
      </c>
      <c r="V250" s="5">
        <f t="shared" si="58"/>
        <v>394366.84691253811</v>
      </c>
      <c r="W250" s="5">
        <f t="shared" si="59"/>
        <v>32635.455719342775</v>
      </c>
    </row>
    <row r="251" spans="1:23" ht="13">
      <c r="A251" s="92">
        <v>4614</v>
      </c>
      <c r="B251" s="93" t="s">
        <v>536</v>
      </c>
      <c r="C251" s="574">
        <v>0.91187160759362285</v>
      </c>
      <c r="D251" s="100">
        <f t="shared" si="45"/>
        <v>33458.473453409788</v>
      </c>
      <c r="E251" s="100">
        <f t="shared" si="46"/>
        <v>635041.82614571776</v>
      </c>
      <c r="F251" s="100">
        <f t="shared" si="55"/>
        <v>1942.0319007798591</v>
      </c>
      <c r="G251" s="100">
        <f t="shared" si="47"/>
        <v>36859.765476801724</v>
      </c>
      <c r="H251" s="100">
        <f t="shared" si="56"/>
        <v>0</v>
      </c>
      <c r="I251" s="100">
        <f t="shared" si="48"/>
        <v>0</v>
      </c>
      <c r="J251" s="100">
        <f t="shared" si="49"/>
        <v>-425.68545411956319</v>
      </c>
      <c r="K251" s="100">
        <f t="shared" si="50"/>
        <v>-8079.5099191893096</v>
      </c>
      <c r="L251" s="101">
        <f t="shared" si="51"/>
        <v>28780.255557612414</v>
      </c>
      <c r="M251" s="100">
        <f t="shared" si="52"/>
        <v>663822.08170333016</v>
      </c>
      <c r="N251" s="102">
        <f t="shared" si="53"/>
        <v>34974.819900070084</v>
      </c>
      <c r="O251" s="94">
        <f t="shared" si="54"/>
        <v>0.95319785859280359</v>
      </c>
      <c r="P251" s="100">
        <f>'Bef.fremskr. kommunenivå MMMM'!H246</f>
        <v>18980</v>
      </c>
      <c r="Q251" s="100"/>
      <c r="R251" s="100">
        <f t="shared" si="57"/>
        <v>0</v>
      </c>
      <c r="S251" s="100">
        <v>0</v>
      </c>
      <c r="U251" s="100">
        <v>0</v>
      </c>
      <c r="V251" s="5">
        <f t="shared" si="58"/>
        <v>635041.82614571776</v>
      </c>
      <c r="W251" s="5">
        <f t="shared" si="59"/>
        <v>33458.473453409788</v>
      </c>
    </row>
    <row r="252" spans="1:23" ht="13">
      <c r="A252" s="92">
        <v>4615</v>
      </c>
      <c r="B252" s="93" t="s">
        <v>537</v>
      </c>
      <c r="C252" s="574">
        <v>0.87802355775067886</v>
      </c>
      <c r="D252" s="100">
        <f t="shared" si="45"/>
        <v>32216.517823155606</v>
      </c>
      <c r="E252" s="100">
        <f t="shared" si="46"/>
        <v>100096.72087654447</v>
      </c>
      <c r="F252" s="100">
        <f t="shared" si="55"/>
        <v>2687.2052789323684</v>
      </c>
      <c r="G252" s="100">
        <f t="shared" si="47"/>
        <v>8349.146801642868</v>
      </c>
      <c r="H252" s="100">
        <f t="shared" si="56"/>
        <v>283.20464762904811</v>
      </c>
      <c r="I252" s="100">
        <f t="shared" si="48"/>
        <v>879.91684018345245</v>
      </c>
      <c r="J252" s="100">
        <f t="shared" si="49"/>
        <v>-142.48080649051508</v>
      </c>
      <c r="K252" s="100">
        <f t="shared" si="50"/>
        <v>-442.68786576603031</v>
      </c>
      <c r="L252" s="101">
        <f t="shared" si="51"/>
        <v>7906.458935876838</v>
      </c>
      <c r="M252" s="100">
        <f t="shared" si="52"/>
        <v>108003.17981242131</v>
      </c>
      <c r="N252" s="102">
        <f t="shared" si="53"/>
        <v>34761.242295597462</v>
      </c>
      <c r="O252" s="94">
        <f t="shared" si="54"/>
        <v>0.94737705048547505</v>
      </c>
      <c r="P252" s="100">
        <f>'Bef.fremskr. kommunenivå MMMM'!H247</f>
        <v>3107</v>
      </c>
      <c r="Q252" s="100"/>
      <c r="R252" s="100">
        <f t="shared" si="57"/>
        <v>0</v>
      </c>
      <c r="S252" s="100">
        <v>0</v>
      </c>
      <c r="U252" s="100">
        <v>0</v>
      </c>
      <c r="V252" s="5">
        <f t="shared" si="58"/>
        <v>100096.72087654447</v>
      </c>
      <c r="W252" s="5">
        <f t="shared" si="59"/>
        <v>32216.517823155602</v>
      </c>
    </row>
    <row r="253" spans="1:23" ht="13">
      <c r="A253" s="92">
        <v>4616</v>
      </c>
      <c r="B253" s="93" t="s">
        <v>538</v>
      </c>
      <c r="C253" s="574">
        <v>1.1301637001395022</v>
      </c>
      <c r="D253" s="100">
        <f t="shared" si="45"/>
        <v>41468.066166587552</v>
      </c>
      <c r="E253" s="100">
        <f t="shared" si="46"/>
        <v>118474.26503794064</v>
      </c>
      <c r="F253" s="100">
        <f t="shared" si="55"/>
        <v>-2863.7237271267991</v>
      </c>
      <c r="G253" s="100">
        <f t="shared" si="47"/>
        <v>-8181.658688401265</v>
      </c>
      <c r="H253" s="100">
        <f t="shared" si="56"/>
        <v>0</v>
      </c>
      <c r="I253" s="100">
        <f t="shared" si="48"/>
        <v>0</v>
      </c>
      <c r="J253" s="100">
        <f t="shared" si="49"/>
        <v>-425.68545411956319</v>
      </c>
      <c r="K253" s="100">
        <f t="shared" si="50"/>
        <v>-1216.183342419592</v>
      </c>
      <c r="L253" s="101">
        <f t="shared" si="51"/>
        <v>-9397.842030820857</v>
      </c>
      <c r="M253" s="100">
        <f t="shared" si="52"/>
        <v>109076.42300711978</v>
      </c>
      <c r="N253" s="102">
        <f t="shared" si="53"/>
        <v>38178.656985341186</v>
      </c>
      <c r="O253" s="94">
        <f t="shared" si="54"/>
        <v>1.0405146956111553</v>
      </c>
      <c r="P253" s="100">
        <f>'Bef.fremskr. kommunenivå MMMM'!H248</f>
        <v>2857</v>
      </c>
      <c r="Q253" s="100"/>
      <c r="R253" s="100">
        <f t="shared" si="57"/>
        <v>0</v>
      </c>
      <c r="S253" s="100">
        <v>0</v>
      </c>
      <c r="U253" s="100">
        <v>0</v>
      </c>
      <c r="V253" s="5">
        <f t="shared" si="58"/>
        <v>118474.26503794064</v>
      </c>
      <c r="W253" s="5">
        <f t="shared" si="59"/>
        <v>41468.066166587552</v>
      </c>
    </row>
    <row r="254" spans="1:23" ht="13">
      <c r="A254" s="92">
        <v>4617</v>
      </c>
      <c r="B254" s="93" t="s">
        <v>539</v>
      </c>
      <c r="C254" s="574">
        <v>0.8982081824499476</v>
      </c>
      <c r="D254" s="100">
        <f t="shared" si="45"/>
        <v>32957.133852916333</v>
      </c>
      <c r="E254" s="100">
        <f t="shared" si="46"/>
        <v>425905.04078123777</v>
      </c>
      <c r="F254" s="100">
        <f t="shared" si="55"/>
        <v>2242.835661075932</v>
      </c>
      <c r="G254" s="100">
        <f t="shared" si="47"/>
        <v>28984.165248084268</v>
      </c>
      <c r="H254" s="100">
        <f t="shared" si="56"/>
        <v>23.98903721279348</v>
      </c>
      <c r="I254" s="100">
        <f t="shared" si="48"/>
        <v>310.01032790093012</v>
      </c>
      <c r="J254" s="100">
        <f t="shared" si="49"/>
        <v>-401.69641690676968</v>
      </c>
      <c r="K254" s="100">
        <f t="shared" si="50"/>
        <v>-5191.1227956861849</v>
      </c>
      <c r="L254" s="101">
        <f t="shared" si="51"/>
        <v>23793.042452398084</v>
      </c>
      <c r="M254" s="100">
        <f t="shared" si="52"/>
        <v>449698.08323363587</v>
      </c>
      <c r="N254" s="102">
        <f t="shared" si="53"/>
        <v>34798.273097085497</v>
      </c>
      <c r="O254" s="94">
        <f t="shared" si="54"/>
        <v>0.94838628172043848</v>
      </c>
      <c r="P254" s="100">
        <f>'Bef.fremskr. kommunenivå MMMM'!H249</f>
        <v>12923</v>
      </c>
      <c r="Q254" s="100"/>
      <c r="R254" s="100">
        <f t="shared" si="57"/>
        <v>0</v>
      </c>
      <c r="S254" s="100">
        <v>0</v>
      </c>
      <c r="U254" s="100">
        <v>26675.425333333333</v>
      </c>
      <c r="V254" s="5">
        <f t="shared" si="58"/>
        <v>399229.61544790445</v>
      </c>
      <c r="W254" s="5">
        <f t="shared" si="59"/>
        <v>30892.951748657779</v>
      </c>
    </row>
    <row r="255" spans="1:23" ht="13">
      <c r="A255" s="92">
        <v>4618</v>
      </c>
      <c r="B255" s="93" t="s">
        <v>540</v>
      </c>
      <c r="C255" s="574">
        <v>0.97856385752826192</v>
      </c>
      <c r="D255" s="100">
        <f t="shared" si="45"/>
        <v>35905.55137030522</v>
      </c>
      <c r="E255" s="100">
        <f t="shared" si="46"/>
        <v>387887.67145340727</v>
      </c>
      <c r="F255" s="100">
        <f t="shared" si="55"/>
        <v>473.78515064259989</v>
      </c>
      <c r="G255" s="100">
        <f t="shared" si="47"/>
        <v>5118.3009823920065</v>
      </c>
      <c r="H255" s="100">
        <f t="shared" si="56"/>
        <v>0</v>
      </c>
      <c r="I255" s="100">
        <f t="shared" si="48"/>
        <v>0</v>
      </c>
      <c r="J255" s="100">
        <f t="shared" si="49"/>
        <v>-425.68545411956319</v>
      </c>
      <c r="K255" s="100">
        <f t="shared" si="50"/>
        <v>-4598.6799608536412</v>
      </c>
      <c r="L255" s="101">
        <f t="shared" si="51"/>
        <v>519.62102153836531</v>
      </c>
      <c r="M255" s="100">
        <f t="shared" si="52"/>
        <v>388407.2924749456</v>
      </c>
      <c r="N255" s="102">
        <f t="shared" si="53"/>
        <v>35953.65106682825</v>
      </c>
      <c r="O255" s="94">
        <f t="shared" si="54"/>
        <v>0.97987475856665907</v>
      </c>
      <c r="P255" s="100">
        <f>'Bef.fremskr. kommunenivå MMMM'!H250</f>
        <v>10803</v>
      </c>
      <c r="Q255" s="100"/>
      <c r="R255" s="100">
        <f t="shared" si="57"/>
        <v>0</v>
      </c>
      <c r="S255" s="100">
        <v>0</v>
      </c>
      <c r="U255" s="100">
        <v>48887.981</v>
      </c>
      <c r="V255" s="5">
        <f t="shared" si="58"/>
        <v>338999.69045340724</v>
      </c>
      <c r="W255" s="5">
        <f t="shared" si="59"/>
        <v>31380.143520633828</v>
      </c>
    </row>
    <row r="256" spans="1:23" ht="13">
      <c r="A256" s="92">
        <v>4619</v>
      </c>
      <c r="B256" s="93" t="s">
        <v>541</v>
      </c>
      <c r="C256" s="574">
        <v>1.7385659972658369</v>
      </c>
      <c r="D256" s="100">
        <f t="shared" si="45"/>
        <v>63791.616914169099</v>
      </c>
      <c r="E256" s="100">
        <f t="shared" si="46"/>
        <v>60410.661217718138</v>
      </c>
      <c r="F256" s="100">
        <f t="shared" si="55"/>
        <v>-16257.854175675726</v>
      </c>
      <c r="G256" s="100">
        <f t="shared" si="47"/>
        <v>-15396.187904364911</v>
      </c>
      <c r="H256" s="100">
        <f t="shared" si="56"/>
        <v>0</v>
      </c>
      <c r="I256" s="100">
        <f t="shared" si="48"/>
        <v>0</v>
      </c>
      <c r="J256" s="100">
        <f t="shared" si="49"/>
        <v>-425.68545411956319</v>
      </c>
      <c r="K256" s="100">
        <f t="shared" si="50"/>
        <v>-403.12412505122637</v>
      </c>
      <c r="L256" s="101">
        <f t="shared" si="51"/>
        <v>-15799.312029416138</v>
      </c>
      <c r="M256" s="100">
        <f t="shared" si="52"/>
        <v>44611.349188302003</v>
      </c>
      <c r="N256" s="102">
        <f t="shared" si="53"/>
        <v>47108.077284373816</v>
      </c>
      <c r="O256" s="94">
        <f t="shared" si="54"/>
        <v>1.2838756144616899</v>
      </c>
      <c r="P256" s="100">
        <f>'Bef.fremskr. kommunenivå MMMM'!H251</f>
        <v>947</v>
      </c>
      <c r="Q256" s="100"/>
      <c r="R256" s="100">
        <f t="shared" si="57"/>
        <v>0</v>
      </c>
      <c r="S256" s="100">
        <v>0</v>
      </c>
      <c r="U256" s="100">
        <v>25837.129666666664</v>
      </c>
      <c r="V256" s="5">
        <f t="shared" si="58"/>
        <v>34573.531551051477</v>
      </c>
      <c r="W256" s="5">
        <f t="shared" si="59"/>
        <v>36508.48104651687</v>
      </c>
    </row>
    <row r="257" spans="1:23" ht="13">
      <c r="A257" s="92">
        <v>4620</v>
      </c>
      <c r="B257" s="93" t="s">
        <v>542</v>
      </c>
      <c r="C257" s="574">
        <v>0.99400609233423631</v>
      </c>
      <c r="D257" s="100">
        <f t="shared" si="45"/>
        <v>36472.159211819759</v>
      </c>
      <c r="E257" s="100">
        <f t="shared" si="46"/>
        <v>38332.239331622564</v>
      </c>
      <c r="F257" s="100">
        <f t="shared" si="55"/>
        <v>133.82044573387682</v>
      </c>
      <c r="G257" s="100">
        <f t="shared" si="47"/>
        <v>140.64528846630455</v>
      </c>
      <c r="H257" s="100">
        <f t="shared" si="56"/>
        <v>0</v>
      </c>
      <c r="I257" s="100">
        <f t="shared" si="48"/>
        <v>0</v>
      </c>
      <c r="J257" s="100">
        <f t="shared" si="49"/>
        <v>-425.68545411956319</v>
      </c>
      <c r="K257" s="100">
        <f t="shared" si="50"/>
        <v>-447.39541227966095</v>
      </c>
      <c r="L257" s="101">
        <f t="shared" si="51"/>
        <v>-306.75012381335637</v>
      </c>
      <c r="M257" s="100">
        <f t="shared" si="52"/>
        <v>38025.489207809202</v>
      </c>
      <c r="N257" s="102">
        <f t="shared" si="53"/>
        <v>36180.294203434067</v>
      </c>
      <c r="O257" s="94">
        <f t="shared" si="54"/>
        <v>0.9860516524890488</v>
      </c>
      <c r="P257" s="100">
        <f>'Bef.fremskr. kommunenivå MMMM'!H252</f>
        <v>1051</v>
      </c>
      <c r="Q257" s="100"/>
      <c r="R257" s="100">
        <f t="shared" si="57"/>
        <v>0</v>
      </c>
      <c r="S257" s="100">
        <v>0</v>
      </c>
      <c r="U257" s="100">
        <v>10192.810666666666</v>
      </c>
      <c r="V257" s="5">
        <f t="shared" si="58"/>
        <v>28139.4286649559</v>
      </c>
      <c r="W257" s="5">
        <f t="shared" si="59"/>
        <v>26773.95686484862</v>
      </c>
    </row>
    <row r="258" spans="1:23" ht="13">
      <c r="A258" s="92">
        <v>4621</v>
      </c>
      <c r="B258" s="93" t="s">
        <v>543</v>
      </c>
      <c r="C258" s="574">
        <v>0.88303940271469683</v>
      </c>
      <c r="D258" s="100">
        <f t="shared" si="45"/>
        <v>32400.559648975679</v>
      </c>
      <c r="E258" s="100">
        <f t="shared" si="46"/>
        <v>515914.11129063973</v>
      </c>
      <c r="F258" s="100">
        <f t="shared" si="55"/>
        <v>2576.7801834403244</v>
      </c>
      <c r="G258" s="100">
        <f t="shared" si="47"/>
        <v>41030.070860920285</v>
      </c>
      <c r="H258" s="100">
        <f t="shared" si="56"/>
        <v>218.79000859202242</v>
      </c>
      <c r="I258" s="100">
        <f t="shared" si="48"/>
        <v>3483.7933068107732</v>
      </c>
      <c r="J258" s="100">
        <f t="shared" si="49"/>
        <v>-206.89544552754077</v>
      </c>
      <c r="K258" s="100">
        <f t="shared" si="50"/>
        <v>-3294.3961791350316</v>
      </c>
      <c r="L258" s="101">
        <f t="shared" si="51"/>
        <v>37735.674681785255</v>
      </c>
      <c r="M258" s="100">
        <f t="shared" si="52"/>
        <v>553649.78597242502</v>
      </c>
      <c r="N258" s="102">
        <f t="shared" si="53"/>
        <v>34770.444386888463</v>
      </c>
      <c r="O258" s="94">
        <f t="shared" si="54"/>
        <v>0.94762784273367584</v>
      </c>
      <c r="P258" s="100">
        <f>'Bef.fremskr. kommunenivå MMMM'!H253</f>
        <v>15923</v>
      </c>
      <c r="Q258" s="100"/>
      <c r="R258" s="100">
        <f t="shared" si="57"/>
        <v>0</v>
      </c>
      <c r="S258" s="100">
        <v>0</v>
      </c>
      <c r="U258" s="100">
        <v>12385.373333333335</v>
      </c>
      <c r="V258" s="5">
        <f t="shared" si="58"/>
        <v>503528.73795730638</v>
      </c>
      <c r="W258" s="5">
        <f t="shared" si="59"/>
        <v>31622.7305129251</v>
      </c>
    </row>
    <row r="259" spans="1:23" ht="13">
      <c r="A259" s="92">
        <v>4622</v>
      </c>
      <c r="B259" s="93" t="s">
        <v>544</v>
      </c>
      <c r="C259" s="574">
        <v>0.87008237091300122</v>
      </c>
      <c r="D259" s="100">
        <f t="shared" si="45"/>
        <v>31925.139095290429</v>
      </c>
      <c r="E259" s="100">
        <f t="shared" si="46"/>
        <v>270150.52702434763</v>
      </c>
      <c r="F259" s="100">
        <f t="shared" si="55"/>
        <v>2862.0325156514741</v>
      </c>
      <c r="G259" s="100">
        <f t="shared" si="47"/>
        <v>24218.519147442774</v>
      </c>
      <c r="H259" s="100">
        <f t="shared" si="56"/>
        <v>385.18720238185978</v>
      </c>
      <c r="I259" s="100">
        <f t="shared" si="48"/>
        <v>3259.4541065552976</v>
      </c>
      <c r="J259" s="100">
        <f t="shared" si="49"/>
        <v>-40.498251737703413</v>
      </c>
      <c r="K259" s="100">
        <f t="shared" si="50"/>
        <v>-342.69620620444624</v>
      </c>
      <c r="L259" s="101">
        <f t="shared" si="51"/>
        <v>23875.822941238326</v>
      </c>
      <c r="M259" s="100">
        <f t="shared" si="52"/>
        <v>294026.34996558598</v>
      </c>
      <c r="N259" s="102">
        <f t="shared" si="53"/>
        <v>34746.673359204207</v>
      </c>
      <c r="O259" s="94">
        <f t="shared" si="54"/>
        <v>0.94697999114359122</v>
      </c>
      <c r="P259" s="100">
        <f>'Bef.fremskr. kommunenivå MMMM'!H254</f>
        <v>8462</v>
      </c>
      <c r="Q259" s="100"/>
      <c r="R259" s="100">
        <f t="shared" si="57"/>
        <v>0</v>
      </c>
      <c r="S259" s="100">
        <v>0</v>
      </c>
      <c r="U259" s="100">
        <v>6736.3290000000006</v>
      </c>
      <c r="V259" s="5">
        <f t="shared" si="58"/>
        <v>263414.1980243476</v>
      </c>
      <c r="W259" s="5">
        <f t="shared" si="59"/>
        <v>31129.070908100639</v>
      </c>
    </row>
    <row r="260" spans="1:23" ht="13">
      <c r="A260" s="92">
        <v>4623</v>
      </c>
      <c r="B260" s="93" t="s">
        <v>545</v>
      </c>
      <c r="C260" s="574">
        <v>0.84947708312211456</v>
      </c>
      <c r="D260" s="100">
        <f t="shared" si="45"/>
        <v>31169.088058269335</v>
      </c>
      <c r="E260" s="100">
        <f t="shared" si="46"/>
        <v>77611.029265090649</v>
      </c>
      <c r="F260" s="100">
        <f t="shared" si="55"/>
        <v>3315.6631378641309</v>
      </c>
      <c r="G260" s="100">
        <f t="shared" si="47"/>
        <v>8256.0012132816864</v>
      </c>
      <c r="H260" s="100">
        <f t="shared" si="56"/>
        <v>649.80506533924267</v>
      </c>
      <c r="I260" s="100">
        <f t="shared" si="48"/>
        <v>1618.0146126947143</v>
      </c>
      <c r="J260" s="100">
        <f t="shared" si="49"/>
        <v>224.11961121967948</v>
      </c>
      <c r="K260" s="100">
        <f t="shared" si="50"/>
        <v>558.05783193700188</v>
      </c>
      <c r="L260" s="101">
        <f t="shared" si="51"/>
        <v>8814.059045218688</v>
      </c>
      <c r="M260" s="100">
        <f t="shared" si="52"/>
        <v>86425.088310309337</v>
      </c>
      <c r="N260" s="102">
        <f t="shared" si="53"/>
        <v>34708.870807353145</v>
      </c>
      <c r="O260" s="94">
        <f t="shared" si="54"/>
        <v>0.94594972675404676</v>
      </c>
      <c r="P260" s="100">
        <f>'Bef.fremskr. kommunenivå MMMM'!H255</f>
        <v>2490</v>
      </c>
      <c r="Q260" s="100"/>
      <c r="R260" s="100">
        <f t="shared" si="57"/>
        <v>0</v>
      </c>
      <c r="S260" s="100">
        <v>0</v>
      </c>
      <c r="U260" s="100">
        <v>4553.7860000000001</v>
      </c>
      <c r="V260" s="5">
        <f t="shared" si="58"/>
        <v>73057.243265090656</v>
      </c>
      <c r="W260" s="5">
        <f t="shared" si="59"/>
        <v>29340.25833939384</v>
      </c>
    </row>
    <row r="261" spans="1:23" ht="13">
      <c r="A261" s="92">
        <v>4624</v>
      </c>
      <c r="B261" s="93" t="s">
        <v>1828</v>
      </c>
      <c r="C261" s="574">
        <v>0.89349674482592478</v>
      </c>
      <c r="D261" s="100">
        <f t="shared" si="45"/>
        <v>32784.261368064261</v>
      </c>
      <c r="E261" s="100">
        <f t="shared" si="46"/>
        <v>831212.16272590123</v>
      </c>
      <c r="F261" s="100">
        <f t="shared" si="55"/>
        <v>2346.5591519871755</v>
      </c>
      <c r="G261" s="100">
        <f t="shared" si="47"/>
        <v>59494.660739482853</v>
      </c>
      <c r="H261" s="100">
        <f t="shared" si="56"/>
        <v>84.494406911018814</v>
      </c>
      <c r="I261" s="100">
        <f t="shared" si="48"/>
        <v>2142.271192821971</v>
      </c>
      <c r="J261" s="100">
        <f t="shared" si="49"/>
        <v>-341.19104720854438</v>
      </c>
      <c r="K261" s="100">
        <f t="shared" si="50"/>
        <v>-8650.5578109254329</v>
      </c>
      <c r="L261" s="101">
        <f t="shared" si="51"/>
        <v>50844.102928557419</v>
      </c>
      <c r="M261" s="100">
        <f t="shared" si="52"/>
        <v>882056.26565445866</v>
      </c>
      <c r="N261" s="102">
        <f t="shared" si="53"/>
        <v>34789.629472842891</v>
      </c>
      <c r="O261" s="94">
        <f t="shared" si="54"/>
        <v>0.94815070983923722</v>
      </c>
      <c r="P261" s="100">
        <f>'Bef.fremskr. kommunenivå MMMM'!H256</f>
        <v>25354</v>
      </c>
      <c r="Q261" s="100"/>
      <c r="R261" s="100">
        <f t="shared" si="57"/>
        <v>0</v>
      </c>
      <c r="S261" s="100">
        <v>0</v>
      </c>
      <c r="U261" s="100">
        <v>1085.181</v>
      </c>
      <c r="V261" s="5">
        <f t="shared" si="58"/>
        <v>830126.98172590125</v>
      </c>
      <c r="W261" s="5">
        <f t="shared" si="59"/>
        <v>32741.460192707313</v>
      </c>
    </row>
    <row r="262" spans="1:23" ht="13">
      <c r="A262" s="92">
        <v>4625</v>
      </c>
      <c r="B262" s="93" t="s">
        <v>546</v>
      </c>
      <c r="C262" s="574">
        <v>1.5502084931140632</v>
      </c>
      <c r="D262" s="100">
        <f t="shared" si="45"/>
        <v>56880.386758595254</v>
      </c>
      <c r="E262" s="100">
        <f t="shared" si="46"/>
        <v>300612.84401917597</v>
      </c>
      <c r="F262" s="100">
        <f t="shared" si="55"/>
        <v>-12111.11608233142</v>
      </c>
      <c r="G262" s="100">
        <f t="shared" si="47"/>
        <v>-64007.248495121552</v>
      </c>
      <c r="H262" s="100">
        <f t="shared" si="56"/>
        <v>0</v>
      </c>
      <c r="I262" s="100">
        <f t="shared" si="48"/>
        <v>0</v>
      </c>
      <c r="J262" s="100">
        <f t="shared" si="49"/>
        <v>-425.68545411956319</v>
      </c>
      <c r="K262" s="100">
        <f t="shared" si="50"/>
        <v>-2249.7476250218915</v>
      </c>
      <c r="L262" s="101">
        <f t="shared" si="51"/>
        <v>-66256.996120143449</v>
      </c>
      <c r="M262" s="100">
        <f t="shared" si="52"/>
        <v>234355.84789903252</v>
      </c>
      <c r="N262" s="102">
        <f t="shared" si="53"/>
        <v>44343.585222144284</v>
      </c>
      <c r="O262" s="94">
        <f t="shared" si="54"/>
        <v>1.2085326128009803</v>
      </c>
      <c r="P262" s="100">
        <f>'Bef.fremskr. kommunenivå MMMM'!H257</f>
        <v>5285</v>
      </c>
      <c r="Q262" s="100"/>
      <c r="R262" s="100">
        <f t="shared" si="57"/>
        <v>0</v>
      </c>
      <c r="S262" s="100">
        <v>0</v>
      </c>
      <c r="U262" s="100">
        <v>0</v>
      </c>
      <c r="V262" s="5">
        <f t="shared" si="58"/>
        <v>300612.84401917597</v>
      </c>
      <c r="W262" s="5">
        <f t="shared" si="59"/>
        <v>56880.386758595261</v>
      </c>
    </row>
    <row r="263" spans="1:23" ht="13">
      <c r="A263" s="92">
        <v>4626</v>
      </c>
      <c r="B263" s="93" t="s">
        <v>551</v>
      </c>
      <c r="C263" s="574">
        <v>0.88731241543687145</v>
      </c>
      <c r="D263" s="100">
        <f t="shared" si="45"/>
        <v>32557.345408659814</v>
      </c>
      <c r="E263" s="100">
        <f t="shared" si="46"/>
        <v>1280447.8375771819</v>
      </c>
      <c r="F263" s="100">
        <f t="shared" si="55"/>
        <v>2482.7087276298435</v>
      </c>
      <c r="G263" s="100">
        <f t="shared" si="47"/>
        <v>97642.451548954108</v>
      </c>
      <c r="H263" s="100">
        <f t="shared" si="56"/>
        <v>163.91499270257518</v>
      </c>
      <c r="I263" s="100">
        <f t="shared" si="48"/>
        <v>6446.6127479995785</v>
      </c>
      <c r="J263" s="100">
        <f t="shared" si="49"/>
        <v>-261.77046141698804</v>
      </c>
      <c r="K263" s="100">
        <f t="shared" si="50"/>
        <v>-10295.170477068723</v>
      </c>
      <c r="L263" s="101">
        <f t="shared" si="51"/>
        <v>87347.281071885387</v>
      </c>
      <c r="M263" s="100">
        <f t="shared" si="52"/>
        <v>1367795.1186490671</v>
      </c>
      <c r="N263" s="102">
        <f t="shared" si="53"/>
        <v>34778.28367487267</v>
      </c>
      <c r="O263" s="94">
        <f t="shared" si="54"/>
        <v>0.94784149336978463</v>
      </c>
      <c r="P263" s="100">
        <f>'Bef.fremskr. kommunenivå MMMM'!H258</f>
        <v>39329</v>
      </c>
      <c r="Q263" s="100"/>
      <c r="R263" s="100">
        <f t="shared" si="57"/>
        <v>0</v>
      </c>
      <c r="S263" s="100">
        <v>0</v>
      </c>
      <c r="U263" s="100">
        <v>0</v>
      </c>
      <c r="V263" s="5">
        <f t="shared" si="58"/>
        <v>1280447.8375771819</v>
      </c>
      <c r="W263" s="5">
        <f t="shared" si="59"/>
        <v>32557.345408659814</v>
      </c>
    </row>
    <row r="264" spans="1:23" ht="13">
      <c r="A264" s="92">
        <v>4627</v>
      </c>
      <c r="B264" s="93" t="s">
        <v>547</v>
      </c>
      <c r="C264" s="574">
        <v>0.82232299153023036</v>
      </c>
      <c r="D264" s="100">
        <f t="shared" si="45"/>
        <v>30172.747734573892</v>
      </c>
      <c r="E264" s="100">
        <f t="shared" si="46"/>
        <v>904548.80433479068</v>
      </c>
      <c r="F264" s="100">
        <f t="shared" si="55"/>
        <v>3913.4673320813968</v>
      </c>
      <c r="G264" s="100">
        <f t="shared" si="47"/>
        <v>117321.8371484682</v>
      </c>
      <c r="H264" s="100">
        <f t="shared" si="56"/>
        <v>998.52417863264793</v>
      </c>
      <c r="I264" s="100">
        <f t="shared" si="48"/>
        <v>29934.756351228152</v>
      </c>
      <c r="J264" s="100">
        <f t="shared" si="49"/>
        <v>572.8387245130848</v>
      </c>
      <c r="K264" s="100">
        <f t="shared" si="50"/>
        <v>17173.132122177769</v>
      </c>
      <c r="L264" s="101">
        <f t="shared" si="51"/>
        <v>134494.96927064596</v>
      </c>
      <c r="M264" s="100">
        <f t="shared" si="52"/>
        <v>1039043.7736054367</v>
      </c>
      <c r="N264" s="102">
        <f t="shared" si="53"/>
        <v>34659.053791168371</v>
      </c>
      <c r="O264" s="94">
        <f t="shared" si="54"/>
        <v>0.94459202217445248</v>
      </c>
      <c r="P264" s="100">
        <f>'Bef.fremskr. kommunenivå MMMM'!H259</f>
        <v>29979</v>
      </c>
      <c r="Q264" s="100"/>
      <c r="R264" s="100">
        <f t="shared" si="57"/>
        <v>0</v>
      </c>
      <c r="S264" s="100">
        <v>0</v>
      </c>
      <c r="U264" s="100">
        <v>0</v>
      </c>
      <c r="V264" s="5">
        <f t="shared" si="58"/>
        <v>904548.80433479068</v>
      </c>
      <c r="W264" s="5">
        <f t="shared" si="59"/>
        <v>30172.747734573892</v>
      </c>
    </row>
    <row r="265" spans="1:23" ht="13">
      <c r="A265" s="92">
        <v>4628</v>
      </c>
      <c r="B265" s="93" t="s">
        <v>548</v>
      </c>
      <c r="C265" s="574">
        <v>0.83763130080128823</v>
      </c>
      <c r="D265" s="100">
        <f t="shared" si="45"/>
        <v>30734.441568548966</v>
      </c>
      <c r="E265" s="100">
        <f t="shared" si="46"/>
        <v>117989.52118165948</v>
      </c>
      <c r="F265" s="100">
        <f t="shared" si="55"/>
        <v>3576.4510316963524</v>
      </c>
      <c r="G265" s="100">
        <f t="shared" si="47"/>
        <v>13729.995510682296</v>
      </c>
      <c r="H265" s="100">
        <f t="shared" si="56"/>
        <v>801.93133674137198</v>
      </c>
      <c r="I265" s="100">
        <f t="shared" si="48"/>
        <v>3078.6144017501269</v>
      </c>
      <c r="J265" s="100">
        <f t="shared" si="49"/>
        <v>376.24588262180879</v>
      </c>
      <c r="K265" s="100">
        <f t="shared" si="50"/>
        <v>1444.4079433851239</v>
      </c>
      <c r="L265" s="101">
        <f t="shared" si="51"/>
        <v>15174.40345406742</v>
      </c>
      <c r="M265" s="100">
        <f t="shared" si="52"/>
        <v>133163.9246357269</v>
      </c>
      <c r="N265" s="102">
        <f t="shared" si="53"/>
        <v>34687.138482867129</v>
      </c>
      <c r="O265" s="94">
        <f t="shared" si="54"/>
        <v>0.9453574376380055</v>
      </c>
      <c r="P265" s="100">
        <f>'Bef.fremskr. kommunenivå MMMM'!H260</f>
        <v>3839</v>
      </c>
      <c r="Q265" s="100"/>
      <c r="R265" s="100">
        <f t="shared" si="57"/>
        <v>0</v>
      </c>
      <c r="S265" s="100">
        <v>0</v>
      </c>
      <c r="U265" s="100">
        <v>16282.846333333333</v>
      </c>
      <c r="V265" s="5">
        <f t="shared" si="58"/>
        <v>101706.67484832615</v>
      </c>
      <c r="W265" s="5">
        <f t="shared" si="59"/>
        <v>26493.012463747367</v>
      </c>
    </row>
    <row r="266" spans="1:23" ht="13">
      <c r="A266" s="92">
        <v>4629</v>
      </c>
      <c r="B266" s="93" t="s">
        <v>549</v>
      </c>
      <c r="C266" s="574">
        <v>2.1294654110502607</v>
      </c>
      <c r="D266" s="100">
        <f t="shared" ref="D266:D329" si="60">C266*D$367</f>
        <v>78134.532682293575</v>
      </c>
      <c r="E266" s="100">
        <f t="shared" ref="E266:E329" si="61">D266*P266/1000</f>
        <v>29300.449755860089</v>
      </c>
      <c r="F266" s="100">
        <f t="shared" si="55"/>
        <v>-24863.603636550411</v>
      </c>
      <c r="G266" s="100">
        <f t="shared" ref="G266:G329" si="62">F266*P266/1000</f>
        <v>-9323.8513637064043</v>
      </c>
      <c r="H266" s="100">
        <f t="shared" si="56"/>
        <v>0</v>
      </c>
      <c r="I266" s="100">
        <f t="shared" ref="I266:I329" si="63">H266*P266/1000</f>
        <v>0</v>
      </c>
      <c r="J266" s="100">
        <f t="shared" ref="J266:J329" si="64">H266+H$370</f>
        <v>-425.68545411956319</v>
      </c>
      <c r="K266" s="100">
        <f t="shared" ref="K266:K329" si="65">J266*P266/1000</f>
        <v>-159.63204529483619</v>
      </c>
      <c r="L266" s="101">
        <f t="shared" ref="L266:L329" si="66">K266+G266</f>
        <v>-9483.4834090012409</v>
      </c>
      <c r="M266" s="100">
        <f t="shared" ref="M266:M329" si="67">K266+E266+G266</f>
        <v>19816.966346858848</v>
      </c>
      <c r="N266" s="102">
        <f t="shared" ref="N266:N329" si="68">M266*1000/P266</f>
        <v>52845.243591623592</v>
      </c>
      <c r="O266" s="94">
        <f t="shared" ref="O266:O329" si="69">N266/N$367</f>
        <v>1.440235379975459</v>
      </c>
      <c r="P266" s="100">
        <f>'Bef.fremskr. kommunenivå MMMM'!H261</f>
        <v>375</v>
      </c>
      <c r="Q266" s="100"/>
      <c r="R266" s="100">
        <f t="shared" si="57"/>
        <v>0</v>
      </c>
      <c r="S266" s="100">
        <v>0</v>
      </c>
      <c r="U266" s="100">
        <v>15713.127333333332</v>
      </c>
      <c r="V266" s="5">
        <f t="shared" si="58"/>
        <v>13587.322422526757</v>
      </c>
      <c r="W266" s="5">
        <f t="shared" si="59"/>
        <v>36232.859793404685</v>
      </c>
    </row>
    <row r="267" spans="1:23" ht="13">
      <c r="A267" s="92">
        <v>4630</v>
      </c>
      <c r="B267" s="93" t="s">
        <v>550</v>
      </c>
      <c r="C267" s="574">
        <v>0.78699826890555669</v>
      </c>
      <c r="D267" s="100">
        <f t="shared" si="60"/>
        <v>28876.609896369118</v>
      </c>
      <c r="E267" s="100">
        <f t="shared" si="61"/>
        <v>234651.33201789547</v>
      </c>
      <c r="F267" s="100">
        <f t="shared" ref="F267:F330" si="70">($D$367+$R$367-D267-R267)*0.6</f>
        <v>4691.1500350042606</v>
      </c>
      <c r="G267" s="100">
        <f t="shared" si="62"/>
        <v>38120.28518444462</v>
      </c>
      <c r="H267" s="100">
        <f t="shared" ref="H267:H330" si="71">IF((D267+R267)&lt;(D$367+R$367)*0.9,((D$367+R$367)*0.9-(D267+R267))*0.35,0)</f>
        <v>1452.1724220043186</v>
      </c>
      <c r="I267" s="100">
        <f t="shared" si="63"/>
        <v>11800.353101207093</v>
      </c>
      <c r="J267" s="100">
        <f t="shared" si="64"/>
        <v>1026.4869678847554</v>
      </c>
      <c r="K267" s="100">
        <f t="shared" si="65"/>
        <v>8341.2331010315229</v>
      </c>
      <c r="L267" s="101">
        <f t="shared" si="66"/>
        <v>46461.518285476144</v>
      </c>
      <c r="M267" s="100">
        <f t="shared" si="67"/>
        <v>281112.85030337161</v>
      </c>
      <c r="N267" s="102">
        <f t="shared" si="68"/>
        <v>34594.246899258134</v>
      </c>
      <c r="O267" s="94">
        <f t="shared" si="69"/>
        <v>0.94282578604321887</v>
      </c>
      <c r="P267" s="100">
        <f>'Bef.fremskr. kommunenivå MMMM'!H262</f>
        <v>8126</v>
      </c>
      <c r="Q267" s="100"/>
      <c r="R267" s="100">
        <f t="shared" ref="R267:R330" si="72">S267*1000/P267</f>
        <v>0</v>
      </c>
      <c r="S267" s="100">
        <v>0</v>
      </c>
      <c r="U267" s="100">
        <v>562.02766666666673</v>
      </c>
      <c r="V267" s="5">
        <f t="shared" ref="V267:V330" si="73">+E267-U267</f>
        <v>234089.30435122881</v>
      </c>
      <c r="W267" s="5">
        <f t="shared" ref="W267:W330" si="74">+V267*1000/P267</f>
        <v>28807.445772979179</v>
      </c>
    </row>
    <row r="268" spans="1:23" ht="13">
      <c r="A268" s="92">
        <v>4631</v>
      </c>
      <c r="B268" s="93" t="s">
        <v>1829</v>
      </c>
      <c r="C268" s="574">
        <v>0.84575828267833153</v>
      </c>
      <c r="D268" s="100">
        <f t="shared" si="60"/>
        <v>31032.637504385773</v>
      </c>
      <c r="E268" s="100">
        <f t="shared" si="61"/>
        <v>922507.21509287588</v>
      </c>
      <c r="F268" s="100">
        <f t="shared" si="70"/>
        <v>3397.5334701942679</v>
      </c>
      <c r="G268" s="100">
        <f t="shared" si="62"/>
        <v>100998.477468465</v>
      </c>
      <c r="H268" s="100">
        <f t="shared" si="71"/>
        <v>697.5627591984894</v>
      </c>
      <c r="I268" s="100">
        <f t="shared" si="63"/>
        <v>20736.448142693494</v>
      </c>
      <c r="J268" s="100">
        <f t="shared" si="64"/>
        <v>271.87730507892621</v>
      </c>
      <c r="K268" s="100">
        <f t="shared" si="65"/>
        <v>8082.0966480812394</v>
      </c>
      <c r="L268" s="101">
        <f t="shared" si="66"/>
        <v>109080.57411654624</v>
      </c>
      <c r="M268" s="100">
        <f t="shared" si="67"/>
        <v>1031587.7892094221</v>
      </c>
      <c r="N268" s="102">
        <f t="shared" si="68"/>
        <v>34702.048279658964</v>
      </c>
      <c r="O268" s="94">
        <f t="shared" si="69"/>
        <v>0.94576378673185746</v>
      </c>
      <c r="P268" s="100">
        <f>'Bef.fremskr. kommunenivå MMMM'!H263</f>
        <v>29727</v>
      </c>
      <c r="Q268" s="100"/>
      <c r="R268" s="100">
        <f t="shared" si="72"/>
        <v>0</v>
      </c>
      <c r="S268" s="100">
        <v>0</v>
      </c>
      <c r="U268" s="100">
        <v>86.262333333333345</v>
      </c>
      <c r="V268" s="5">
        <f t="shared" si="73"/>
        <v>922420.9527595425</v>
      </c>
      <c r="W268" s="5">
        <f t="shared" si="74"/>
        <v>31029.735686734028</v>
      </c>
    </row>
    <row r="269" spans="1:23" ht="13">
      <c r="A269" s="92">
        <v>4632</v>
      </c>
      <c r="B269" s="93" t="s">
        <v>552</v>
      </c>
      <c r="C269" s="574">
        <v>1.050629514807859</v>
      </c>
      <c r="D269" s="100">
        <f t="shared" si="60"/>
        <v>38549.790823439384</v>
      </c>
      <c r="E269" s="100">
        <f t="shared" si="61"/>
        <v>113220.73564844146</v>
      </c>
      <c r="F269" s="100">
        <f t="shared" si="70"/>
        <v>-1112.7585212378981</v>
      </c>
      <c r="G269" s="100">
        <f t="shared" si="62"/>
        <v>-3268.1717768757067</v>
      </c>
      <c r="H269" s="100">
        <f t="shared" si="71"/>
        <v>0</v>
      </c>
      <c r="I269" s="100">
        <f t="shared" si="63"/>
        <v>0</v>
      </c>
      <c r="J269" s="100">
        <f t="shared" si="64"/>
        <v>-425.68545411956319</v>
      </c>
      <c r="K269" s="100">
        <f t="shared" si="65"/>
        <v>-1250.2381787491572</v>
      </c>
      <c r="L269" s="101">
        <f t="shared" si="66"/>
        <v>-4518.4099556248639</v>
      </c>
      <c r="M269" s="100">
        <f t="shared" si="67"/>
        <v>108702.32569281659</v>
      </c>
      <c r="N269" s="102">
        <f t="shared" si="68"/>
        <v>37011.346848081921</v>
      </c>
      <c r="O269" s="94">
        <f t="shared" si="69"/>
        <v>1.0087010214784982</v>
      </c>
      <c r="P269" s="100">
        <f>'Bef.fremskr. kommunenivå MMMM'!H264</f>
        <v>2937</v>
      </c>
      <c r="Q269" s="100"/>
      <c r="R269" s="100">
        <f t="shared" si="72"/>
        <v>0</v>
      </c>
      <c r="S269" s="100">
        <v>0</v>
      </c>
      <c r="U269" s="100">
        <v>0</v>
      </c>
      <c r="V269" s="5">
        <f t="shared" si="73"/>
        <v>113220.73564844146</v>
      </c>
      <c r="W269" s="5">
        <f t="shared" si="74"/>
        <v>38549.790823439384</v>
      </c>
    </row>
    <row r="270" spans="1:23" ht="13">
      <c r="A270" s="92">
        <v>4633</v>
      </c>
      <c r="B270" s="93" t="s">
        <v>553</v>
      </c>
      <c r="C270" s="574">
        <v>0.86957862363731886</v>
      </c>
      <c r="D270" s="100">
        <f t="shared" si="60"/>
        <v>31906.6555558203</v>
      </c>
      <c r="E270" s="100">
        <f t="shared" si="61"/>
        <v>15793.794500131049</v>
      </c>
      <c r="F270" s="100">
        <f t="shared" si="70"/>
        <v>2873.1226393335519</v>
      </c>
      <c r="G270" s="100">
        <f t="shared" si="62"/>
        <v>1422.1957064701082</v>
      </c>
      <c r="H270" s="100">
        <f t="shared" si="71"/>
        <v>391.65644119640507</v>
      </c>
      <c r="I270" s="100">
        <f t="shared" si="63"/>
        <v>193.86993839222049</v>
      </c>
      <c r="J270" s="100">
        <f t="shared" si="64"/>
        <v>-34.02901292315812</v>
      </c>
      <c r="K270" s="100">
        <f t="shared" si="65"/>
        <v>-16.844361396963269</v>
      </c>
      <c r="L270" s="101">
        <f t="shared" si="66"/>
        <v>1405.351345073145</v>
      </c>
      <c r="M270" s="100">
        <f t="shared" si="67"/>
        <v>17199.145845204195</v>
      </c>
      <c r="N270" s="102">
        <f t="shared" si="68"/>
        <v>34745.749182230698</v>
      </c>
      <c r="O270" s="94">
        <f t="shared" si="69"/>
        <v>0.94695480377980712</v>
      </c>
      <c r="P270" s="100">
        <f>'Bef.fremskr. kommunenivå MMMM'!H265</f>
        <v>495</v>
      </c>
      <c r="Q270" s="100"/>
      <c r="R270" s="100">
        <f t="shared" si="72"/>
        <v>0</v>
      </c>
      <c r="S270" s="100">
        <v>0</v>
      </c>
      <c r="U270" s="100">
        <v>0</v>
      </c>
      <c r="V270" s="5">
        <f t="shared" si="73"/>
        <v>15793.794500131049</v>
      </c>
      <c r="W270" s="5">
        <f t="shared" si="74"/>
        <v>31906.6555558203</v>
      </c>
    </row>
    <row r="271" spans="1:23" ht="13">
      <c r="A271" s="92">
        <v>4634</v>
      </c>
      <c r="B271" s="93" t="s">
        <v>554</v>
      </c>
      <c r="C271" s="574">
        <v>1.0570476277313476</v>
      </c>
      <c r="D271" s="100">
        <f t="shared" si="60"/>
        <v>38785.284788909164</v>
      </c>
      <c r="E271" s="100">
        <f t="shared" si="61"/>
        <v>62715.805503666117</v>
      </c>
      <c r="F271" s="100">
        <f t="shared" si="70"/>
        <v>-1254.0549005197665</v>
      </c>
      <c r="G271" s="100">
        <f t="shared" si="62"/>
        <v>-2027.8067741404625</v>
      </c>
      <c r="H271" s="100">
        <f t="shared" si="71"/>
        <v>0</v>
      </c>
      <c r="I271" s="100">
        <f t="shared" si="63"/>
        <v>0</v>
      </c>
      <c r="J271" s="100">
        <f t="shared" si="64"/>
        <v>-425.68545411956319</v>
      </c>
      <c r="K271" s="100">
        <f t="shared" si="65"/>
        <v>-688.3333793113336</v>
      </c>
      <c r="L271" s="101">
        <f t="shared" si="66"/>
        <v>-2716.1401534517963</v>
      </c>
      <c r="M271" s="100">
        <f t="shared" si="67"/>
        <v>59999.665350214324</v>
      </c>
      <c r="N271" s="102">
        <f t="shared" si="68"/>
        <v>37105.544434269839</v>
      </c>
      <c r="O271" s="94">
        <f t="shared" si="69"/>
        <v>1.0112682666478936</v>
      </c>
      <c r="P271" s="100">
        <f>'Bef.fremskr. kommunenivå MMMM'!H266</f>
        <v>1617</v>
      </c>
      <c r="Q271" s="100"/>
      <c r="R271" s="100">
        <f t="shared" si="72"/>
        <v>0</v>
      </c>
      <c r="S271" s="100">
        <v>0</v>
      </c>
      <c r="U271" s="100">
        <v>11901.442000000001</v>
      </c>
      <c r="V271" s="5">
        <f t="shared" si="73"/>
        <v>50814.363503666114</v>
      </c>
      <c r="W271" s="5">
        <f t="shared" si="74"/>
        <v>31425.08565471003</v>
      </c>
    </row>
    <row r="272" spans="1:23" ht="13">
      <c r="A272" s="92">
        <v>4635</v>
      </c>
      <c r="B272" s="93" t="s">
        <v>555</v>
      </c>
      <c r="C272" s="574">
        <v>1.069214140931154</v>
      </c>
      <c r="D272" s="100">
        <f t="shared" si="60"/>
        <v>39231.699564329712</v>
      </c>
      <c r="E272" s="100">
        <f t="shared" si="61"/>
        <v>87682.848526276895</v>
      </c>
      <c r="F272" s="100">
        <f t="shared" si="70"/>
        <v>-1521.9037657720953</v>
      </c>
      <c r="G272" s="100">
        <f t="shared" si="62"/>
        <v>-3401.4549165006333</v>
      </c>
      <c r="H272" s="100">
        <f t="shared" si="71"/>
        <v>0</v>
      </c>
      <c r="I272" s="100">
        <f t="shared" si="63"/>
        <v>0</v>
      </c>
      <c r="J272" s="100">
        <f t="shared" si="64"/>
        <v>-425.68545411956319</v>
      </c>
      <c r="K272" s="100">
        <f t="shared" si="65"/>
        <v>-951.4069899572238</v>
      </c>
      <c r="L272" s="101">
        <f t="shared" si="66"/>
        <v>-4352.861906457857</v>
      </c>
      <c r="M272" s="100">
        <f t="shared" si="67"/>
        <v>83329.986619819043</v>
      </c>
      <c r="N272" s="102">
        <f t="shared" si="68"/>
        <v>37284.11034443805</v>
      </c>
      <c r="O272" s="94">
        <f t="shared" si="69"/>
        <v>1.016134871927816</v>
      </c>
      <c r="P272" s="100">
        <f>'Bef.fremskr. kommunenivå MMMM'!H267</f>
        <v>2235</v>
      </c>
      <c r="Q272" s="100"/>
      <c r="R272" s="100">
        <f t="shared" si="72"/>
        <v>0</v>
      </c>
      <c r="S272" s="100">
        <v>0</v>
      </c>
      <c r="U272" s="100">
        <v>221.68433333333334</v>
      </c>
      <c r="V272" s="5">
        <f t="shared" si="73"/>
        <v>87461.164192943557</v>
      </c>
      <c r="W272" s="5">
        <f t="shared" si="74"/>
        <v>39132.511943151483</v>
      </c>
    </row>
    <row r="273" spans="1:23" ht="13">
      <c r="A273" s="92">
        <v>4636</v>
      </c>
      <c r="B273" s="93" t="s">
        <v>556</v>
      </c>
      <c r="C273" s="574">
        <v>0.92614064407430174</v>
      </c>
      <c r="D273" s="100">
        <f t="shared" si="60"/>
        <v>33982.034198495836</v>
      </c>
      <c r="E273" s="100">
        <f t="shared" si="61"/>
        <v>26200.148367040289</v>
      </c>
      <c r="F273" s="100">
        <f t="shared" si="70"/>
        <v>1627.8954537282304</v>
      </c>
      <c r="G273" s="100">
        <f t="shared" si="62"/>
        <v>1255.1073948244657</v>
      </c>
      <c r="H273" s="100">
        <f t="shared" si="71"/>
        <v>0</v>
      </c>
      <c r="I273" s="100">
        <f t="shared" si="63"/>
        <v>0</v>
      </c>
      <c r="J273" s="100">
        <f t="shared" si="64"/>
        <v>-425.68545411956319</v>
      </c>
      <c r="K273" s="100">
        <f t="shared" si="65"/>
        <v>-328.20348512618318</v>
      </c>
      <c r="L273" s="101">
        <f t="shared" si="66"/>
        <v>926.90390969828252</v>
      </c>
      <c r="M273" s="100">
        <f t="shared" si="67"/>
        <v>27127.052276738574</v>
      </c>
      <c r="N273" s="102">
        <f t="shared" si="68"/>
        <v>35184.244198104505</v>
      </c>
      <c r="O273" s="94">
        <f t="shared" si="69"/>
        <v>0.95890547318507513</v>
      </c>
      <c r="P273" s="100">
        <f>'Bef.fremskr. kommunenivå MMMM'!H268</f>
        <v>771</v>
      </c>
      <c r="Q273" s="100"/>
      <c r="R273" s="100">
        <f t="shared" si="72"/>
        <v>0</v>
      </c>
      <c r="S273" s="100">
        <v>0</v>
      </c>
      <c r="U273" s="100">
        <v>0</v>
      </c>
      <c r="V273" s="5">
        <f t="shared" si="73"/>
        <v>26200.148367040289</v>
      </c>
      <c r="W273" s="5">
        <f t="shared" si="74"/>
        <v>33982.034198495836</v>
      </c>
    </row>
    <row r="274" spans="1:23" ht="13">
      <c r="A274" s="92">
        <v>4637</v>
      </c>
      <c r="B274" s="93" t="s">
        <v>557</v>
      </c>
      <c r="C274" s="574">
        <v>0.9676625506767158</v>
      </c>
      <c r="D274" s="100">
        <f t="shared" si="60"/>
        <v>35505.559657806945</v>
      </c>
      <c r="E274" s="100">
        <f t="shared" si="61"/>
        <v>45695.655279597537</v>
      </c>
      <c r="F274" s="100">
        <f t="shared" si="70"/>
        <v>713.78017814156476</v>
      </c>
      <c r="G274" s="100">
        <f t="shared" si="62"/>
        <v>918.63508926819384</v>
      </c>
      <c r="H274" s="100">
        <f t="shared" si="71"/>
        <v>0</v>
      </c>
      <c r="I274" s="100">
        <f t="shared" si="63"/>
        <v>0</v>
      </c>
      <c r="J274" s="100">
        <f t="shared" si="64"/>
        <v>-425.68545411956319</v>
      </c>
      <c r="K274" s="100">
        <f t="shared" si="65"/>
        <v>-547.85717945187787</v>
      </c>
      <c r="L274" s="101">
        <f t="shared" si="66"/>
        <v>370.77790981631597</v>
      </c>
      <c r="M274" s="100">
        <f t="shared" si="67"/>
        <v>46066.433189413852</v>
      </c>
      <c r="N274" s="102">
        <f t="shared" si="68"/>
        <v>35793.654381828943</v>
      </c>
      <c r="O274" s="94">
        <f t="shared" si="69"/>
        <v>0.97551423582604069</v>
      </c>
      <c r="P274" s="100">
        <f>'Bef.fremskr. kommunenivå MMMM'!H269</f>
        <v>1287</v>
      </c>
      <c r="Q274" s="100"/>
      <c r="R274" s="100">
        <f t="shared" si="72"/>
        <v>0</v>
      </c>
      <c r="S274" s="100">
        <v>0</v>
      </c>
      <c r="U274" s="100">
        <v>405.21599999999995</v>
      </c>
      <c r="V274" s="5">
        <f t="shared" si="73"/>
        <v>45290.439279597536</v>
      </c>
      <c r="W274" s="5">
        <f t="shared" si="74"/>
        <v>35190.706510953794</v>
      </c>
    </row>
    <row r="275" spans="1:23" ht="13">
      <c r="A275" s="92">
        <v>4638</v>
      </c>
      <c r="B275" s="93" t="s">
        <v>558</v>
      </c>
      <c r="C275" s="574">
        <v>0.9537912383183641</v>
      </c>
      <c r="D275" s="100">
        <f t="shared" si="60"/>
        <v>34996.592241296814</v>
      </c>
      <c r="E275" s="100">
        <f t="shared" si="61"/>
        <v>136906.66884795314</v>
      </c>
      <c r="F275" s="100">
        <f t="shared" si="70"/>
        <v>1019.1606280476436</v>
      </c>
      <c r="G275" s="100">
        <f t="shared" si="62"/>
        <v>3986.9563769223819</v>
      </c>
      <c r="H275" s="100">
        <f t="shared" si="71"/>
        <v>0</v>
      </c>
      <c r="I275" s="100">
        <f t="shared" si="63"/>
        <v>0</v>
      </c>
      <c r="J275" s="100">
        <f t="shared" si="64"/>
        <v>-425.68545411956319</v>
      </c>
      <c r="K275" s="100">
        <f t="shared" si="65"/>
        <v>-1665.2814965157311</v>
      </c>
      <c r="L275" s="101">
        <f t="shared" si="66"/>
        <v>2321.674880406651</v>
      </c>
      <c r="M275" s="100">
        <f t="shared" si="67"/>
        <v>139228.34372835979</v>
      </c>
      <c r="N275" s="102">
        <f t="shared" si="68"/>
        <v>35590.067415224898</v>
      </c>
      <c r="O275" s="94">
        <f t="shared" si="69"/>
        <v>0.96996571088270023</v>
      </c>
      <c r="P275" s="100">
        <f>'Bef.fremskr. kommunenivå MMMM'!H270</f>
        <v>3912</v>
      </c>
      <c r="Q275" s="100"/>
      <c r="R275" s="100">
        <f t="shared" si="72"/>
        <v>0</v>
      </c>
      <c r="S275" s="100">
        <v>0</v>
      </c>
      <c r="U275" s="100">
        <v>15752.386333333334</v>
      </c>
      <c r="V275" s="5">
        <f t="shared" si="73"/>
        <v>121154.28251461982</v>
      </c>
      <c r="W275" s="5">
        <f t="shared" si="74"/>
        <v>30969.908618256599</v>
      </c>
    </row>
    <row r="276" spans="1:23" ht="13">
      <c r="A276" s="92">
        <v>4639</v>
      </c>
      <c r="B276" s="93" t="s">
        <v>559</v>
      </c>
      <c r="C276" s="574">
        <v>0.9674673005625517</v>
      </c>
      <c r="D276" s="100">
        <f t="shared" si="60"/>
        <v>35498.395523396866</v>
      </c>
      <c r="E276" s="100">
        <f t="shared" si="61"/>
        <v>89633.448696577092</v>
      </c>
      <c r="F276" s="100">
        <f t="shared" si="70"/>
        <v>718.0786587876122</v>
      </c>
      <c r="G276" s="100">
        <f t="shared" si="62"/>
        <v>1813.1486134387208</v>
      </c>
      <c r="H276" s="100">
        <f t="shared" si="71"/>
        <v>0</v>
      </c>
      <c r="I276" s="100">
        <f t="shared" si="63"/>
        <v>0</v>
      </c>
      <c r="J276" s="100">
        <f t="shared" si="64"/>
        <v>-425.68545411956319</v>
      </c>
      <c r="K276" s="100">
        <f t="shared" si="65"/>
        <v>-1074.8557716518972</v>
      </c>
      <c r="L276" s="101">
        <f t="shared" si="66"/>
        <v>738.2928417868236</v>
      </c>
      <c r="M276" s="100">
        <f t="shared" si="67"/>
        <v>90371.741538363916</v>
      </c>
      <c r="N276" s="102">
        <f t="shared" si="68"/>
        <v>35790.788728064916</v>
      </c>
      <c r="O276" s="94">
        <f t="shared" si="69"/>
        <v>0.97543613578037514</v>
      </c>
      <c r="P276" s="100">
        <f>'Bef.fremskr. kommunenivå MMMM'!H271</f>
        <v>2525</v>
      </c>
      <c r="Q276" s="100"/>
      <c r="R276" s="100">
        <f t="shared" si="72"/>
        <v>0</v>
      </c>
      <c r="S276" s="100">
        <v>0</v>
      </c>
      <c r="U276" s="100">
        <v>11108.514666666668</v>
      </c>
      <c r="V276" s="5">
        <f t="shared" si="73"/>
        <v>78524.934029910422</v>
      </c>
      <c r="W276" s="5">
        <f t="shared" si="74"/>
        <v>31098.983774221946</v>
      </c>
    </row>
    <row r="277" spans="1:23" ht="13">
      <c r="A277" s="92">
        <v>4640</v>
      </c>
      <c r="B277" s="93" t="s">
        <v>560</v>
      </c>
      <c r="C277" s="574">
        <v>0.85534001006614102</v>
      </c>
      <c r="D277" s="100">
        <f t="shared" si="60"/>
        <v>31384.211090812983</v>
      </c>
      <c r="E277" s="100">
        <f t="shared" si="61"/>
        <v>386057.18062809051</v>
      </c>
      <c r="F277" s="100">
        <f t="shared" si="70"/>
        <v>3186.5893183379417</v>
      </c>
      <c r="G277" s="100">
        <f t="shared" si="62"/>
        <v>39198.235204875025</v>
      </c>
      <c r="H277" s="100">
        <f t="shared" si="71"/>
        <v>574.5120039489658</v>
      </c>
      <c r="I277" s="100">
        <f t="shared" si="63"/>
        <v>7067.0721605762283</v>
      </c>
      <c r="J277" s="100">
        <f t="shared" si="64"/>
        <v>148.82654982940261</v>
      </c>
      <c r="K277" s="100">
        <f t="shared" si="65"/>
        <v>1830.7153894514813</v>
      </c>
      <c r="L277" s="101">
        <f t="shared" si="66"/>
        <v>41028.95059432651</v>
      </c>
      <c r="M277" s="100">
        <f t="shared" si="67"/>
        <v>427086.131222417</v>
      </c>
      <c r="N277" s="102">
        <f t="shared" si="68"/>
        <v>34719.626958980327</v>
      </c>
      <c r="O277" s="94">
        <f t="shared" si="69"/>
        <v>0.94624287310124799</v>
      </c>
      <c r="P277" s="100">
        <f>'Bef.fremskr. kommunenivå MMMM'!H272</f>
        <v>12301</v>
      </c>
      <c r="Q277" s="100"/>
      <c r="R277" s="100">
        <f t="shared" si="72"/>
        <v>0</v>
      </c>
      <c r="S277" s="100">
        <v>0</v>
      </c>
      <c r="U277" s="100">
        <v>5898.7366666666667</v>
      </c>
      <c r="V277" s="5">
        <f t="shared" si="73"/>
        <v>380158.44396142382</v>
      </c>
      <c r="W277" s="5">
        <f t="shared" si="74"/>
        <v>30904.677990523032</v>
      </c>
    </row>
    <row r="278" spans="1:23" ht="13">
      <c r="A278" s="92">
        <v>4641</v>
      </c>
      <c r="B278" s="93" t="s">
        <v>561</v>
      </c>
      <c r="C278" s="574">
        <v>1.4007870882668065</v>
      </c>
      <c r="D278" s="100">
        <f t="shared" si="60"/>
        <v>51397.80339288844</v>
      </c>
      <c r="E278" s="100">
        <f t="shared" si="61"/>
        <v>91333.896629162758</v>
      </c>
      <c r="F278" s="100">
        <f t="shared" si="70"/>
        <v>-8821.5660629073318</v>
      </c>
      <c r="G278" s="100">
        <f t="shared" si="62"/>
        <v>-15675.922893786328</v>
      </c>
      <c r="H278" s="100">
        <f t="shared" si="71"/>
        <v>0</v>
      </c>
      <c r="I278" s="100">
        <f t="shared" si="63"/>
        <v>0</v>
      </c>
      <c r="J278" s="100">
        <f t="shared" si="64"/>
        <v>-425.68545411956319</v>
      </c>
      <c r="K278" s="100">
        <f t="shared" si="65"/>
        <v>-756.44305197046378</v>
      </c>
      <c r="L278" s="101">
        <f t="shared" si="66"/>
        <v>-16432.365945756792</v>
      </c>
      <c r="M278" s="100">
        <f t="shared" si="67"/>
        <v>74901.530683405974</v>
      </c>
      <c r="N278" s="102">
        <f t="shared" si="68"/>
        <v>42150.551875861551</v>
      </c>
      <c r="O278" s="94">
        <f t="shared" si="69"/>
        <v>1.1487640508620776</v>
      </c>
      <c r="P278" s="100">
        <f>'Bef.fremskr. kommunenivå MMMM'!H273</f>
        <v>1777</v>
      </c>
      <c r="Q278" s="100"/>
      <c r="R278" s="100">
        <f t="shared" si="72"/>
        <v>0</v>
      </c>
      <c r="S278" s="100">
        <v>0</v>
      </c>
      <c r="U278" s="100">
        <v>31774.093333333334</v>
      </c>
      <c r="V278" s="5">
        <f t="shared" si="73"/>
        <v>59559.803295829421</v>
      </c>
      <c r="W278" s="5">
        <f t="shared" si="74"/>
        <v>33517.053064619824</v>
      </c>
    </row>
    <row r="279" spans="1:23" ht="13">
      <c r="A279" s="92">
        <v>4642</v>
      </c>
      <c r="B279" s="93" t="s">
        <v>562</v>
      </c>
      <c r="C279" s="574">
        <v>1.0525772728013361</v>
      </c>
      <c r="D279" s="100">
        <f t="shared" si="60"/>
        <v>38621.258131529379</v>
      </c>
      <c r="E279" s="100">
        <f t="shared" si="61"/>
        <v>81606.718431921574</v>
      </c>
      <c r="F279" s="100">
        <f t="shared" si="70"/>
        <v>-1155.6389060918955</v>
      </c>
      <c r="G279" s="100">
        <f t="shared" si="62"/>
        <v>-2441.8650085721752</v>
      </c>
      <c r="H279" s="100">
        <f t="shared" si="71"/>
        <v>0</v>
      </c>
      <c r="I279" s="100">
        <f t="shared" si="63"/>
        <v>0</v>
      </c>
      <c r="J279" s="100">
        <f t="shared" si="64"/>
        <v>-425.68545411956319</v>
      </c>
      <c r="K279" s="100">
        <f t="shared" si="65"/>
        <v>-899.47336455463699</v>
      </c>
      <c r="L279" s="101">
        <f t="shared" si="66"/>
        <v>-3341.3383731268123</v>
      </c>
      <c r="M279" s="100">
        <f t="shared" si="67"/>
        <v>78265.380058794763</v>
      </c>
      <c r="N279" s="102">
        <f t="shared" si="68"/>
        <v>37039.933771317919</v>
      </c>
      <c r="O279" s="94">
        <f t="shared" si="69"/>
        <v>1.0094801246758889</v>
      </c>
      <c r="P279" s="100">
        <f>'Bef.fremskr. kommunenivå MMMM'!H274</f>
        <v>2113</v>
      </c>
      <c r="Q279" s="100"/>
      <c r="R279" s="100">
        <f t="shared" si="72"/>
        <v>0</v>
      </c>
      <c r="S279" s="100">
        <v>0</v>
      </c>
      <c r="U279" s="100">
        <v>13704.223333333333</v>
      </c>
      <c r="V279" s="5">
        <f t="shared" si="73"/>
        <v>67902.495098588246</v>
      </c>
      <c r="W279" s="5">
        <f t="shared" si="74"/>
        <v>32135.586890008635</v>
      </c>
    </row>
    <row r="280" spans="1:23" ht="13">
      <c r="A280" s="92">
        <v>4643</v>
      </c>
      <c r="B280" s="93" t="s">
        <v>563</v>
      </c>
      <c r="C280" s="574">
        <v>1.0668793028558214</v>
      </c>
      <c r="D280" s="100">
        <f t="shared" si="60"/>
        <v>39146.029479735589</v>
      </c>
      <c r="E280" s="100">
        <f t="shared" si="61"/>
        <v>202345.82638075325</v>
      </c>
      <c r="F280" s="100">
        <f t="shared" si="70"/>
        <v>-1470.5017150156214</v>
      </c>
      <c r="G280" s="100">
        <f t="shared" si="62"/>
        <v>-7601.0233649157472</v>
      </c>
      <c r="H280" s="100">
        <f t="shared" si="71"/>
        <v>0</v>
      </c>
      <c r="I280" s="100">
        <f t="shared" si="63"/>
        <v>0</v>
      </c>
      <c r="J280" s="100">
        <f t="shared" si="64"/>
        <v>-425.68545411956319</v>
      </c>
      <c r="K280" s="100">
        <f t="shared" si="65"/>
        <v>-2200.3681123440219</v>
      </c>
      <c r="L280" s="101">
        <f t="shared" si="66"/>
        <v>-9801.3914772597691</v>
      </c>
      <c r="M280" s="100">
        <f t="shared" si="67"/>
        <v>192544.43490349347</v>
      </c>
      <c r="N280" s="102">
        <f t="shared" si="68"/>
        <v>37249.842310600397</v>
      </c>
      <c r="O280" s="94">
        <f t="shared" si="69"/>
        <v>1.0152009366976829</v>
      </c>
      <c r="P280" s="100">
        <f>'Bef.fremskr. kommunenivå MMMM'!H275</f>
        <v>5169</v>
      </c>
      <c r="Q280" s="100"/>
      <c r="R280" s="100">
        <f t="shared" si="72"/>
        <v>0</v>
      </c>
      <c r="S280" s="100">
        <v>0</v>
      </c>
      <c r="U280" s="100">
        <v>21798.406333333332</v>
      </c>
      <c r="V280" s="5">
        <f t="shared" si="73"/>
        <v>180547.4200474199</v>
      </c>
      <c r="W280" s="5">
        <f t="shared" si="74"/>
        <v>34928.887608322671</v>
      </c>
    </row>
    <row r="281" spans="1:23" ht="13">
      <c r="A281" s="92">
        <v>4644</v>
      </c>
      <c r="B281" s="93" t="s">
        <v>564</v>
      </c>
      <c r="C281" s="574">
        <v>0.93988887043414937</v>
      </c>
      <c r="D281" s="100">
        <f t="shared" si="60"/>
        <v>34486.485332692602</v>
      </c>
      <c r="E281" s="100">
        <f t="shared" si="61"/>
        <v>181260.96690863231</v>
      </c>
      <c r="F281" s="100">
        <f t="shared" si="70"/>
        <v>1325.2247732101707</v>
      </c>
      <c r="G281" s="100">
        <f t="shared" si="62"/>
        <v>6965.3814079926569</v>
      </c>
      <c r="H281" s="100">
        <f t="shared" si="71"/>
        <v>0</v>
      </c>
      <c r="I281" s="100">
        <f t="shared" si="63"/>
        <v>0</v>
      </c>
      <c r="J281" s="100">
        <f t="shared" si="64"/>
        <v>-425.68545411956319</v>
      </c>
      <c r="K281" s="100">
        <f t="shared" si="65"/>
        <v>-2237.4027468524241</v>
      </c>
      <c r="L281" s="101">
        <f t="shared" si="66"/>
        <v>4727.9786611402324</v>
      </c>
      <c r="M281" s="100">
        <f t="shared" si="67"/>
        <v>185988.94556977254</v>
      </c>
      <c r="N281" s="102">
        <f t="shared" si="68"/>
        <v>35386.024651783206</v>
      </c>
      <c r="O281" s="94">
        <f t="shared" si="69"/>
        <v>0.96440476372901407</v>
      </c>
      <c r="P281" s="100">
        <f>'Bef.fremskr. kommunenivå MMMM'!H276</f>
        <v>5256</v>
      </c>
      <c r="Q281" s="100"/>
      <c r="R281" s="100">
        <f t="shared" si="72"/>
        <v>0</v>
      </c>
      <c r="S281" s="100">
        <v>0</v>
      </c>
      <c r="U281" s="100">
        <v>34389.780666666666</v>
      </c>
      <c r="V281" s="5">
        <f t="shared" si="73"/>
        <v>146871.18624196565</v>
      </c>
      <c r="W281" s="5">
        <f t="shared" si="74"/>
        <v>27943.528584848867</v>
      </c>
    </row>
    <row r="282" spans="1:23" ht="13">
      <c r="A282" s="92">
        <v>4645</v>
      </c>
      <c r="B282" s="93" t="s">
        <v>565</v>
      </c>
      <c r="C282" s="574">
        <v>0.84071672681044085</v>
      </c>
      <c r="D282" s="100">
        <f t="shared" si="60"/>
        <v>30847.65229181309</v>
      </c>
      <c r="E282" s="100">
        <f t="shared" si="61"/>
        <v>90229.382953553286</v>
      </c>
      <c r="F282" s="100">
        <f t="shared" si="70"/>
        <v>3508.5245977378777</v>
      </c>
      <c r="G282" s="100">
        <f t="shared" si="62"/>
        <v>10262.434448383292</v>
      </c>
      <c r="H282" s="100">
        <f t="shared" si="71"/>
        <v>762.30758359892843</v>
      </c>
      <c r="I282" s="100">
        <f t="shared" si="63"/>
        <v>2229.7496820268657</v>
      </c>
      <c r="J282" s="100">
        <f t="shared" si="64"/>
        <v>336.62212947936524</v>
      </c>
      <c r="K282" s="100">
        <f t="shared" si="65"/>
        <v>984.61972872714341</v>
      </c>
      <c r="L282" s="101">
        <f t="shared" si="66"/>
        <v>11247.054177110436</v>
      </c>
      <c r="M282" s="100">
        <f t="shared" si="67"/>
        <v>101476.43713066373</v>
      </c>
      <c r="N282" s="102">
        <f t="shared" si="68"/>
        <v>34692.799019030339</v>
      </c>
      <c r="O282" s="94">
        <f t="shared" si="69"/>
        <v>0.94551170893846326</v>
      </c>
      <c r="P282" s="100">
        <f>'Bef.fremskr. kommunenivå MMMM'!H277</f>
        <v>2925</v>
      </c>
      <c r="Q282" s="100"/>
      <c r="R282" s="100">
        <f t="shared" si="72"/>
        <v>0</v>
      </c>
      <c r="S282" s="100">
        <v>0</v>
      </c>
      <c r="U282" s="100">
        <v>0</v>
      </c>
      <c r="V282" s="5">
        <f t="shared" si="73"/>
        <v>90229.382953553286</v>
      </c>
      <c r="W282" s="5">
        <f t="shared" si="74"/>
        <v>30847.65229181309</v>
      </c>
    </row>
    <row r="283" spans="1:23" ht="13">
      <c r="A283" s="92">
        <v>4646</v>
      </c>
      <c r="B283" s="93" t="s">
        <v>566</v>
      </c>
      <c r="C283" s="574">
        <v>0.7678047890624583</v>
      </c>
      <c r="D283" s="100">
        <f t="shared" si="60"/>
        <v>28172.36104109052</v>
      </c>
      <c r="E283" s="100">
        <f t="shared" si="61"/>
        <v>83728.257014121031</v>
      </c>
      <c r="F283" s="100">
        <f t="shared" si="70"/>
        <v>5113.6993481714198</v>
      </c>
      <c r="G283" s="100">
        <f t="shared" si="62"/>
        <v>15197.914462765459</v>
      </c>
      <c r="H283" s="100">
        <f t="shared" si="71"/>
        <v>1698.6595213518278</v>
      </c>
      <c r="I283" s="100">
        <f t="shared" si="63"/>
        <v>5048.4160974576325</v>
      </c>
      <c r="J283" s="100">
        <f t="shared" si="64"/>
        <v>1272.9740672322646</v>
      </c>
      <c r="K283" s="100">
        <f t="shared" si="65"/>
        <v>3783.2789278142905</v>
      </c>
      <c r="L283" s="101">
        <f t="shared" si="66"/>
        <v>18981.193390579749</v>
      </c>
      <c r="M283" s="100">
        <f t="shared" si="67"/>
        <v>102709.45040470078</v>
      </c>
      <c r="N283" s="102">
        <f t="shared" si="68"/>
        <v>34559.034456494206</v>
      </c>
      <c r="O283" s="94">
        <f t="shared" si="69"/>
        <v>0.94186611205106396</v>
      </c>
      <c r="P283" s="100">
        <f>'Bef.fremskr. kommunenivå MMMM'!H278</f>
        <v>2972</v>
      </c>
      <c r="Q283" s="100"/>
      <c r="R283" s="100">
        <f t="shared" si="72"/>
        <v>0</v>
      </c>
      <c r="S283" s="100">
        <v>0</v>
      </c>
      <c r="U283" s="100">
        <v>0</v>
      </c>
      <c r="V283" s="5">
        <f t="shared" si="73"/>
        <v>83728.257014121031</v>
      </c>
      <c r="W283" s="5">
        <f t="shared" si="74"/>
        <v>28172.36104109052</v>
      </c>
    </row>
    <row r="284" spans="1:23" ht="13">
      <c r="A284" s="92">
        <v>4647</v>
      </c>
      <c r="B284" s="93" t="s">
        <v>1830</v>
      </c>
      <c r="C284" s="574">
        <v>0.91358457034210561</v>
      </c>
      <c r="D284" s="100">
        <f t="shared" si="60"/>
        <v>33521.325633661392</v>
      </c>
      <c r="E284" s="100">
        <f t="shared" si="61"/>
        <v>743335.39592644142</v>
      </c>
      <c r="F284" s="100">
        <f t="shared" si="70"/>
        <v>1904.3205926288965</v>
      </c>
      <c r="G284" s="100">
        <f t="shared" si="62"/>
        <v>42228.309141545782</v>
      </c>
      <c r="H284" s="100">
        <f t="shared" si="71"/>
        <v>0</v>
      </c>
      <c r="I284" s="100">
        <f t="shared" si="63"/>
        <v>0</v>
      </c>
      <c r="J284" s="100">
        <f t="shared" si="64"/>
        <v>-425.68545411956319</v>
      </c>
      <c r="K284" s="100">
        <f t="shared" si="65"/>
        <v>-9439.5749451013126</v>
      </c>
      <c r="L284" s="101">
        <f t="shared" si="66"/>
        <v>32788.734196444471</v>
      </c>
      <c r="M284" s="100">
        <f t="shared" si="67"/>
        <v>776124.13012288592</v>
      </c>
      <c r="N284" s="102">
        <f t="shared" si="68"/>
        <v>34999.960772170729</v>
      </c>
      <c r="O284" s="94">
        <f t="shared" si="69"/>
        <v>0.95388304369219679</v>
      </c>
      <c r="P284" s="100">
        <f>'Bef.fremskr. kommunenivå MMMM'!H279</f>
        <v>22175</v>
      </c>
      <c r="Q284" s="100"/>
      <c r="R284" s="100">
        <f t="shared" si="72"/>
        <v>0</v>
      </c>
      <c r="S284" s="100">
        <v>0</v>
      </c>
      <c r="U284" s="100">
        <v>4952.2340000000004</v>
      </c>
      <c r="V284" s="5">
        <f t="shared" si="73"/>
        <v>738383.16192644136</v>
      </c>
      <c r="W284" s="5">
        <f t="shared" si="74"/>
        <v>33298.000537832755</v>
      </c>
    </row>
    <row r="285" spans="1:23" ht="13">
      <c r="A285" s="92">
        <v>4648</v>
      </c>
      <c r="B285" s="93" t="s">
        <v>567</v>
      </c>
      <c r="C285" s="574">
        <v>0.93632773557499216</v>
      </c>
      <c r="D285" s="100">
        <f t="shared" si="60"/>
        <v>34355.819858346324</v>
      </c>
      <c r="E285" s="100">
        <f t="shared" si="61"/>
        <v>119626.96474676191</v>
      </c>
      <c r="F285" s="100">
        <f t="shared" si="70"/>
        <v>1403.6240578179379</v>
      </c>
      <c r="G285" s="100">
        <f t="shared" si="62"/>
        <v>4887.4189693220605</v>
      </c>
      <c r="H285" s="100">
        <f t="shared" si="71"/>
        <v>0</v>
      </c>
      <c r="I285" s="100">
        <f t="shared" si="63"/>
        <v>0</v>
      </c>
      <c r="J285" s="100">
        <f t="shared" si="64"/>
        <v>-425.68545411956319</v>
      </c>
      <c r="K285" s="100">
        <f t="shared" si="65"/>
        <v>-1482.2367512443191</v>
      </c>
      <c r="L285" s="101">
        <f t="shared" si="66"/>
        <v>3405.1822180777417</v>
      </c>
      <c r="M285" s="100">
        <f t="shared" si="67"/>
        <v>123032.14696483965</v>
      </c>
      <c r="N285" s="102">
        <f t="shared" si="68"/>
        <v>35333.758462044701</v>
      </c>
      <c r="O285" s="94">
        <f t="shared" si="69"/>
        <v>0.96298030978535143</v>
      </c>
      <c r="P285" s="100">
        <f>'Bef.fremskr. kommunenivå MMMM'!H280</f>
        <v>3482</v>
      </c>
      <c r="Q285" s="100"/>
      <c r="R285" s="100">
        <f t="shared" si="72"/>
        <v>0</v>
      </c>
      <c r="S285" s="100">
        <v>0</v>
      </c>
      <c r="U285" s="100">
        <v>14878.842333333334</v>
      </c>
      <c r="V285" s="5">
        <f t="shared" si="73"/>
        <v>104748.12241342857</v>
      </c>
      <c r="W285" s="5">
        <f t="shared" si="74"/>
        <v>30082.746241650941</v>
      </c>
    </row>
    <row r="286" spans="1:23" ht="13">
      <c r="A286" s="92">
        <v>4649</v>
      </c>
      <c r="B286" s="93" t="s">
        <v>1831</v>
      </c>
      <c r="C286" s="574">
        <v>0.8085432169208574</v>
      </c>
      <c r="D286" s="100">
        <f t="shared" si="60"/>
        <v>29667.13902922297</v>
      </c>
      <c r="E286" s="100">
        <f t="shared" si="61"/>
        <v>283261.84345102089</v>
      </c>
      <c r="F286" s="100">
        <f t="shared" si="70"/>
        <v>4216.8325552919496</v>
      </c>
      <c r="G286" s="100">
        <f t="shared" si="62"/>
        <v>40262.317237927535</v>
      </c>
      <c r="H286" s="100">
        <f t="shared" si="71"/>
        <v>1175.4872255054706</v>
      </c>
      <c r="I286" s="100">
        <f t="shared" si="63"/>
        <v>11223.552029126235</v>
      </c>
      <c r="J286" s="100">
        <f t="shared" si="64"/>
        <v>749.80177138590739</v>
      </c>
      <c r="K286" s="100">
        <f t="shared" si="65"/>
        <v>7159.1073131926441</v>
      </c>
      <c r="L286" s="101">
        <f t="shared" si="66"/>
        <v>47421.424551120181</v>
      </c>
      <c r="M286" s="100">
        <f t="shared" si="67"/>
        <v>330683.26800214103</v>
      </c>
      <c r="N286" s="102">
        <f t="shared" si="68"/>
        <v>34633.773355900827</v>
      </c>
      <c r="O286" s="94">
        <f t="shared" si="69"/>
        <v>0.94390303344398385</v>
      </c>
      <c r="P286" s="100">
        <f>'Bef.fremskr. kommunenivå MMMM'!H281</f>
        <v>9548</v>
      </c>
      <c r="Q286" s="100"/>
      <c r="R286" s="100">
        <f t="shared" si="72"/>
        <v>0</v>
      </c>
      <c r="S286" s="100">
        <v>0</v>
      </c>
      <c r="U286" s="100">
        <v>46.115000000000002</v>
      </c>
      <c r="V286" s="5">
        <f t="shared" si="73"/>
        <v>283215.7284510209</v>
      </c>
      <c r="W286" s="5">
        <f t="shared" si="74"/>
        <v>29662.309221933483</v>
      </c>
    </row>
    <row r="287" spans="1:23" ht="13">
      <c r="A287" s="92">
        <v>4650</v>
      </c>
      <c r="B287" s="93" t="s">
        <v>568</v>
      </c>
      <c r="C287" s="574">
        <v>0.80824197473216097</v>
      </c>
      <c r="D287" s="100">
        <f t="shared" si="60"/>
        <v>29656.085824265592</v>
      </c>
      <c r="E287" s="100">
        <f t="shared" si="61"/>
        <v>173577.0703294265</v>
      </c>
      <c r="F287" s="100">
        <f t="shared" si="70"/>
        <v>4223.4644782663763</v>
      </c>
      <c r="G287" s="100">
        <f t="shared" si="62"/>
        <v>24719.937591293099</v>
      </c>
      <c r="H287" s="100">
        <f t="shared" si="71"/>
        <v>1179.3558472405527</v>
      </c>
      <c r="I287" s="100">
        <f t="shared" si="63"/>
        <v>6902.7697738989555</v>
      </c>
      <c r="J287" s="100">
        <f t="shared" si="64"/>
        <v>753.6703931209895</v>
      </c>
      <c r="K287" s="100">
        <f t="shared" si="65"/>
        <v>4411.232810937151</v>
      </c>
      <c r="L287" s="101">
        <f t="shared" si="66"/>
        <v>29131.170402230251</v>
      </c>
      <c r="M287" s="100">
        <f t="shared" si="67"/>
        <v>202708.24073165676</v>
      </c>
      <c r="N287" s="102">
        <f t="shared" si="68"/>
        <v>34633.220695652955</v>
      </c>
      <c r="O287" s="94">
        <f t="shared" si="69"/>
        <v>0.94388797133454894</v>
      </c>
      <c r="P287" s="100">
        <f>'Bef.fremskr. kommunenivå MMMM'!H282</f>
        <v>5853</v>
      </c>
      <c r="Q287" s="100"/>
      <c r="R287" s="100">
        <f t="shared" si="72"/>
        <v>0</v>
      </c>
      <c r="S287" s="100">
        <v>0</v>
      </c>
      <c r="U287" s="100">
        <v>497.01600000000002</v>
      </c>
      <c r="V287" s="5">
        <f t="shared" si="73"/>
        <v>173080.05432942649</v>
      </c>
      <c r="W287" s="5">
        <f t="shared" si="74"/>
        <v>29571.169371164615</v>
      </c>
    </row>
    <row r="288" spans="1:23" ht="13">
      <c r="A288" s="92">
        <v>4651</v>
      </c>
      <c r="B288" s="93" t="s">
        <v>569</v>
      </c>
      <c r="C288" s="574">
        <v>0.83497615889190935</v>
      </c>
      <c r="D288" s="100">
        <f t="shared" si="60"/>
        <v>30637.018867425038</v>
      </c>
      <c r="E288" s="100">
        <f t="shared" si="61"/>
        <v>222914.94927938457</v>
      </c>
      <c r="F288" s="100">
        <f t="shared" si="70"/>
        <v>3634.9046523707088</v>
      </c>
      <c r="G288" s="100">
        <f t="shared" si="62"/>
        <v>26447.566250649277</v>
      </c>
      <c r="H288" s="100">
        <f t="shared" si="71"/>
        <v>836.02928213474661</v>
      </c>
      <c r="I288" s="100">
        <f t="shared" si="63"/>
        <v>6082.9490568124165</v>
      </c>
      <c r="J288" s="100">
        <f t="shared" si="64"/>
        <v>410.34382801518342</v>
      </c>
      <c r="K288" s="100">
        <f t="shared" si="65"/>
        <v>2985.6616926384745</v>
      </c>
      <c r="L288" s="101">
        <f t="shared" si="66"/>
        <v>29433.227943287751</v>
      </c>
      <c r="M288" s="100">
        <f t="shared" si="67"/>
        <v>252348.17722267233</v>
      </c>
      <c r="N288" s="102">
        <f t="shared" si="68"/>
        <v>34682.267347810928</v>
      </c>
      <c r="O288" s="94">
        <f t="shared" si="69"/>
        <v>0.94522468054253639</v>
      </c>
      <c r="P288" s="100">
        <f>'Bef.fremskr. kommunenivå MMMM'!H283</f>
        <v>7276</v>
      </c>
      <c r="Q288" s="100"/>
      <c r="R288" s="100">
        <f t="shared" si="72"/>
        <v>0</v>
      </c>
      <c r="S288" s="100">
        <v>0</v>
      </c>
      <c r="U288" s="100">
        <v>482.80166666666668</v>
      </c>
      <c r="V288" s="5">
        <f t="shared" si="73"/>
        <v>222432.1476127179</v>
      </c>
      <c r="W288" s="5">
        <f t="shared" si="74"/>
        <v>30570.663498174534</v>
      </c>
    </row>
    <row r="289" spans="1:23" ht="13">
      <c r="A289" s="92">
        <v>5001</v>
      </c>
      <c r="B289" s="93" t="s">
        <v>592</v>
      </c>
      <c r="C289" s="574">
        <v>0.99149663001299637</v>
      </c>
      <c r="D289" s="100">
        <f t="shared" si="60"/>
        <v>36380.081798992847</v>
      </c>
      <c r="E289" s="100">
        <f t="shared" si="61"/>
        <v>7810621.661834769</v>
      </c>
      <c r="F289" s="100">
        <f t="shared" si="70"/>
        <v>189.06689343002361</v>
      </c>
      <c r="G289" s="100">
        <f t="shared" si="62"/>
        <v>40591.716684958919</v>
      </c>
      <c r="H289" s="100">
        <f t="shared" si="71"/>
        <v>0</v>
      </c>
      <c r="I289" s="100">
        <f t="shared" si="63"/>
        <v>0</v>
      </c>
      <c r="J289" s="100">
        <f t="shared" si="64"/>
        <v>-425.68545411956319</v>
      </c>
      <c r="K289" s="100">
        <f t="shared" si="65"/>
        <v>-91392.538572199614</v>
      </c>
      <c r="L289" s="101">
        <f t="shared" si="66"/>
        <v>-50800.821887240694</v>
      </c>
      <c r="M289" s="100">
        <f t="shared" si="67"/>
        <v>7759820.8399475282</v>
      </c>
      <c r="N289" s="102">
        <f t="shared" si="68"/>
        <v>36143.463238303302</v>
      </c>
      <c r="O289" s="94">
        <f t="shared" si="69"/>
        <v>0.98504786756055285</v>
      </c>
      <c r="P289" s="100">
        <f>'Bef.fremskr. kommunenivå MMMM'!H284</f>
        <v>214695</v>
      </c>
      <c r="Q289" s="100"/>
      <c r="R289" s="100">
        <f t="shared" si="72"/>
        <v>0</v>
      </c>
      <c r="S289" s="100">
        <v>0</v>
      </c>
      <c r="U289" s="100">
        <v>9260.991</v>
      </c>
      <c r="V289" s="5">
        <f t="shared" si="73"/>
        <v>7801360.6708347686</v>
      </c>
      <c r="W289" s="5">
        <f t="shared" si="74"/>
        <v>36336.946229929752</v>
      </c>
    </row>
    <row r="290" spans="1:23" ht="13">
      <c r="A290" s="92">
        <v>5006</v>
      </c>
      <c r="B290" s="93" t="s">
        <v>608</v>
      </c>
      <c r="C290" s="574">
        <v>0.74428481653324496</v>
      </c>
      <c r="D290" s="100">
        <f t="shared" si="60"/>
        <v>27309.364134573927</v>
      </c>
      <c r="E290" s="100">
        <f t="shared" si="61"/>
        <v>652529.94663150946</v>
      </c>
      <c r="F290" s="100">
        <f t="shared" si="70"/>
        <v>5631.4974920813756</v>
      </c>
      <c r="G290" s="100">
        <f t="shared" si="62"/>
        <v>134559.00107579239</v>
      </c>
      <c r="H290" s="100">
        <f t="shared" si="71"/>
        <v>2000.7084386326355</v>
      </c>
      <c r="I290" s="100">
        <f t="shared" si="63"/>
        <v>47804.927432688193</v>
      </c>
      <c r="J290" s="100">
        <f t="shared" si="64"/>
        <v>1575.0229845130723</v>
      </c>
      <c r="K290" s="100">
        <f t="shared" si="65"/>
        <v>37633.599191955349</v>
      </c>
      <c r="L290" s="101">
        <f t="shared" si="66"/>
        <v>172192.60026774774</v>
      </c>
      <c r="M290" s="100">
        <f t="shared" si="67"/>
        <v>824722.54689925723</v>
      </c>
      <c r="N290" s="102">
        <f t="shared" si="68"/>
        <v>34515.884611168374</v>
      </c>
      <c r="O290" s="94">
        <f t="shared" si="69"/>
        <v>0.94069011342460318</v>
      </c>
      <c r="P290" s="100">
        <f>'Bef.fremskr. kommunenivå MMMM'!H285</f>
        <v>23894</v>
      </c>
      <c r="Q290" s="100"/>
      <c r="R290" s="100">
        <f t="shared" si="72"/>
        <v>0</v>
      </c>
      <c r="S290" s="100">
        <v>0</v>
      </c>
      <c r="U290" s="100">
        <v>3654.9483333333333</v>
      </c>
      <c r="V290" s="5">
        <f t="shared" si="73"/>
        <v>648874.9982981761</v>
      </c>
      <c r="W290" s="5">
        <f t="shared" si="74"/>
        <v>27156.399024783463</v>
      </c>
    </row>
    <row r="291" spans="1:23" ht="13">
      <c r="A291" s="92">
        <v>5007</v>
      </c>
      <c r="B291" s="93" t="s">
        <v>609</v>
      </c>
      <c r="C291" s="574">
        <v>0.78253290906903283</v>
      </c>
      <c r="D291" s="100">
        <f t="shared" si="60"/>
        <v>28712.766519400157</v>
      </c>
      <c r="E291" s="100">
        <f t="shared" si="61"/>
        <v>428681.60413464432</v>
      </c>
      <c r="F291" s="100">
        <f t="shared" si="70"/>
        <v>4789.4560611856377</v>
      </c>
      <c r="G291" s="100">
        <f t="shared" si="62"/>
        <v>71506.578993501578</v>
      </c>
      <c r="H291" s="100">
        <f t="shared" si="71"/>
        <v>1509.5176039434552</v>
      </c>
      <c r="I291" s="100">
        <f t="shared" si="63"/>
        <v>22537.097826875786</v>
      </c>
      <c r="J291" s="100">
        <f t="shared" si="64"/>
        <v>1083.832149823892</v>
      </c>
      <c r="K291" s="100">
        <f t="shared" si="65"/>
        <v>16181.613996870708</v>
      </c>
      <c r="L291" s="101">
        <f t="shared" si="66"/>
        <v>87688.192990372292</v>
      </c>
      <c r="M291" s="100">
        <f t="shared" si="67"/>
        <v>516369.79712501657</v>
      </c>
      <c r="N291" s="102">
        <f t="shared" si="68"/>
        <v>34586.054730409684</v>
      </c>
      <c r="O291" s="94">
        <f t="shared" si="69"/>
        <v>0.94260251805139261</v>
      </c>
      <c r="P291" s="100">
        <f>'Bef.fremskr. kommunenivå MMMM'!H286</f>
        <v>14930</v>
      </c>
      <c r="Q291" s="100"/>
      <c r="R291" s="100">
        <f t="shared" si="72"/>
        <v>0</v>
      </c>
      <c r="S291" s="100">
        <v>0</v>
      </c>
      <c r="U291" s="100">
        <v>463.61533333333335</v>
      </c>
      <c r="V291" s="5">
        <f t="shared" si="73"/>
        <v>428217.988801311</v>
      </c>
      <c r="W291" s="5">
        <f t="shared" si="74"/>
        <v>28681.713918373141</v>
      </c>
    </row>
    <row r="292" spans="1:23" ht="13">
      <c r="A292" s="92">
        <v>5014</v>
      </c>
      <c r="B292" s="93" t="s">
        <v>594</v>
      </c>
      <c r="C292" s="574">
        <v>2.0368512968849779</v>
      </c>
      <c r="D292" s="100">
        <f t="shared" si="60"/>
        <v>74736.327436724474</v>
      </c>
      <c r="E292" s="100">
        <f t="shared" si="61"/>
        <v>407238.24820271163</v>
      </c>
      <c r="F292" s="100">
        <f t="shared" si="70"/>
        <v>-22824.680489208953</v>
      </c>
      <c r="G292" s="100">
        <f t="shared" si="62"/>
        <v>-124371.68398569958</v>
      </c>
      <c r="H292" s="100">
        <f t="shared" si="71"/>
        <v>0</v>
      </c>
      <c r="I292" s="100">
        <f t="shared" si="63"/>
        <v>0</v>
      </c>
      <c r="J292" s="100">
        <f t="shared" si="64"/>
        <v>-425.68545411956319</v>
      </c>
      <c r="K292" s="100">
        <f t="shared" si="65"/>
        <v>-2319.5600394974999</v>
      </c>
      <c r="L292" s="101">
        <f t="shared" si="66"/>
        <v>-126691.24402519708</v>
      </c>
      <c r="M292" s="100">
        <f t="shared" si="67"/>
        <v>280547.00417751458</v>
      </c>
      <c r="N292" s="102">
        <f t="shared" si="68"/>
        <v>51485.961493395953</v>
      </c>
      <c r="O292" s="94">
        <f t="shared" si="69"/>
        <v>1.403189734309346</v>
      </c>
      <c r="P292" s="100">
        <f>'Bef.fremskr. kommunenivå MMMM'!H287</f>
        <v>5449</v>
      </c>
      <c r="Q292" s="100"/>
      <c r="R292" s="100">
        <f t="shared" si="72"/>
        <v>0</v>
      </c>
      <c r="S292" s="100">
        <v>0</v>
      </c>
      <c r="U292" s="100">
        <v>0</v>
      </c>
      <c r="V292" s="5">
        <f t="shared" si="73"/>
        <v>407238.24820271163</v>
      </c>
      <c r="W292" s="5">
        <f t="shared" si="74"/>
        <v>74736.327436724474</v>
      </c>
    </row>
    <row r="293" spans="1:23" ht="13">
      <c r="A293" s="92">
        <v>5020</v>
      </c>
      <c r="B293" s="93" t="s">
        <v>597</v>
      </c>
      <c r="C293" s="574">
        <v>0.73196672966490461</v>
      </c>
      <c r="D293" s="100">
        <f t="shared" si="60"/>
        <v>26857.387804738646</v>
      </c>
      <c r="E293" s="100">
        <f t="shared" si="61"/>
        <v>24198.506412069521</v>
      </c>
      <c r="F293" s="100">
        <f t="shared" si="70"/>
        <v>5902.683289982544</v>
      </c>
      <c r="G293" s="100">
        <f t="shared" si="62"/>
        <v>5318.3176442742724</v>
      </c>
      <c r="H293" s="100">
        <f t="shared" si="71"/>
        <v>2158.9001540749837</v>
      </c>
      <c r="I293" s="100">
        <f t="shared" si="63"/>
        <v>1945.1690388215604</v>
      </c>
      <c r="J293" s="100">
        <f t="shared" si="64"/>
        <v>1733.2146999554204</v>
      </c>
      <c r="K293" s="100">
        <f t="shared" si="65"/>
        <v>1561.6264446598339</v>
      </c>
      <c r="L293" s="101">
        <f t="shared" si="66"/>
        <v>6879.9440889341058</v>
      </c>
      <c r="M293" s="100">
        <f t="shared" si="67"/>
        <v>31078.450501003626</v>
      </c>
      <c r="N293" s="102">
        <f t="shared" si="68"/>
        <v>34493.285794676609</v>
      </c>
      <c r="O293" s="94">
        <f t="shared" si="69"/>
        <v>0.94007420908118622</v>
      </c>
      <c r="P293" s="100">
        <f>'Bef.fremskr. kommunenivå MMMM'!H288</f>
        <v>901</v>
      </c>
      <c r="Q293" s="100"/>
      <c r="R293" s="100">
        <f t="shared" si="72"/>
        <v>0</v>
      </c>
      <c r="S293" s="100">
        <v>0</v>
      </c>
      <c r="U293" s="100">
        <v>0</v>
      </c>
      <c r="V293" s="5">
        <f t="shared" si="73"/>
        <v>24198.506412069521</v>
      </c>
      <c r="W293" s="5">
        <f t="shared" si="74"/>
        <v>26857.38780473865</v>
      </c>
    </row>
    <row r="294" spans="1:23" ht="13">
      <c r="A294" s="92">
        <v>5021</v>
      </c>
      <c r="B294" s="93" t="s">
        <v>598</v>
      </c>
      <c r="C294" s="574">
        <v>0.83907675553616701</v>
      </c>
      <c r="D294" s="100">
        <f t="shared" si="60"/>
        <v>30787.478321171053</v>
      </c>
      <c r="E294" s="100">
        <f t="shared" si="61"/>
        <v>218560.30860199328</v>
      </c>
      <c r="F294" s="100">
        <f t="shared" si="70"/>
        <v>3544.6289801231001</v>
      </c>
      <c r="G294" s="100">
        <f t="shared" si="62"/>
        <v>25163.321129893888</v>
      </c>
      <c r="H294" s="100">
        <f t="shared" si="71"/>
        <v>783.36847332364152</v>
      </c>
      <c r="I294" s="100">
        <f t="shared" si="63"/>
        <v>5561.1327921245311</v>
      </c>
      <c r="J294" s="100">
        <f t="shared" si="64"/>
        <v>357.68301920407833</v>
      </c>
      <c r="K294" s="100">
        <f t="shared" si="65"/>
        <v>2539.1917533297519</v>
      </c>
      <c r="L294" s="101">
        <f t="shared" si="66"/>
        <v>27702.512883223641</v>
      </c>
      <c r="M294" s="100">
        <f t="shared" si="67"/>
        <v>246262.8214852169</v>
      </c>
      <c r="N294" s="102">
        <f t="shared" si="68"/>
        <v>34689.790320498229</v>
      </c>
      <c r="O294" s="94">
        <f t="shared" si="69"/>
        <v>0.94542971037474932</v>
      </c>
      <c r="P294" s="100">
        <f>'Bef.fremskr. kommunenivå MMMM'!H289</f>
        <v>7099</v>
      </c>
      <c r="Q294" s="100"/>
      <c r="R294" s="100">
        <f t="shared" si="72"/>
        <v>0</v>
      </c>
      <c r="S294" s="100">
        <v>0</v>
      </c>
      <c r="U294" s="100">
        <v>3496.3269999999998</v>
      </c>
      <c r="V294" s="5">
        <f t="shared" si="73"/>
        <v>215063.98160199329</v>
      </c>
      <c r="W294" s="5">
        <f t="shared" si="74"/>
        <v>30294.968531059767</v>
      </c>
    </row>
    <row r="295" spans="1:23" ht="13">
      <c r="A295" s="92">
        <v>5022</v>
      </c>
      <c r="B295" s="93" t="s">
        <v>599</v>
      </c>
      <c r="C295" s="574">
        <v>0.74640780887164315</v>
      </c>
      <c r="D295" s="100">
        <f t="shared" si="60"/>
        <v>27387.261156703542</v>
      </c>
      <c r="E295" s="100">
        <f t="shared" si="61"/>
        <v>66770.142700043245</v>
      </c>
      <c r="F295" s="100">
        <f t="shared" si="70"/>
        <v>5584.7592788036063</v>
      </c>
      <c r="G295" s="100">
        <f t="shared" si="62"/>
        <v>13615.643121723191</v>
      </c>
      <c r="H295" s="100">
        <f t="shared" si="71"/>
        <v>1973.4444808872702</v>
      </c>
      <c r="I295" s="100">
        <f t="shared" si="63"/>
        <v>4811.2576444031647</v>
      </c>
      <c r="J295" s="100">
        <f t="shared" si="64"/>
        <v>1547.7590267677069</v>
      </c>
      <c r="K295" s="100">
        <f t="shared" si="65"/>
        <v>3773.4365072596697</v>
      </c>
      <c r="L295" s="101">
        <f t="shared" si="66"/>
        <v>17389.079628982861</v>
      </c>
      <c r="M295" s="100">
        <f t="shared" si="67"/>
        <v>84159.222329026103</v>
      </c>
      <c r="N295" s="102">
        <f t="shared" si="68"/>
        <v>34519.779462274855</v>
      </c>
      <c r="O295" s="94">
        <f t="shared" si="69"/>
        <v>0.94079626304152308</v>
      </c>
      <c r="P295" s="100">
        <f>'Bef.fremskr. kommunenivå MMMM'!H290</f>
        <v>2438</v>
      </c>
      <c r="Q295" s="100"/>
      <c r="R295" s="100">
        <f t="shared" si="72"/>
        <v>0</v>
      </c>
      <c r="S295" s="100">
        <v>0</v>
      </c>
      <c r="U295" s="100">
        <v>6181.0373333333337</v>
      </c>
      <c r="V295" s="5">
        <f t="shared" si="73"/>
        <v>60589.105366709911</v>
      </c>
      <c r="W295" s="5">
        <f t="shared" si="74"/>
        <v>24851.971028182899</v>
      </c>
    </row>
    <row r="296" spans="1:23" ht="13">
      <c r="A296" s="92">
        <v>5025</v>
      </c>
      <c r="B296" s="93" t="s">
        <v>600</v>
      </c>
      <c r="C296" s="574">
        <v>0.8474198190177481</v>
      </c>
      <c r="D296" s="100">
        <f t="shared" si="60"/>
        <v>31093.602742300078</v>
      </c>
      <c r="E296" s="100">
        <f t="shared" si="61"/>
        <v>174279.64337059195</v>
      </c>
      <c r="F296" s="100">
        <f t="shared" si="70"/>
        <v>3360.9543274456851</v>
      </c>
      <c r="G296" s="100">
        <f t="shared" si="62"/>
        <v>18838.149005333067</v>
      </c>
      <c r="H296" s="100">
        <f t="shared" si="71"/>
        <v>676.22492592848278</v>
      </c>
      <c r="I296" s="100">
        <f t="shared" si="63"/>
        <v>3790.240709829146</v>
      </c>
      <c r="J296" s="100">
        <f t="shared" si="64"/>
        <v>250.53947180891959</v>
      </c>
      <c r="K296" s="100">
        <f t="shared" si="65"/>
        <v>1404.2737394889941</v>
      </c>
      <c r="L296" s="101">
        <f t="shared" si="66"/>
        <v>20242.422744822063</v>
      </c>
      <c r="M296" s="100">
        <f t="shared" si="67"/>
        <v>194522.06611541403</v>
      </c>
      <c r="N296" s="102">
        <f t="shared" si="68"/>
        <v>34705.096541554689</v>
      </c>
      <c r="O296" s="94">
        <f t="shared" si="69"/>
        <v>0.94584686354882863</v>
      </c>
      <c r="P296" s="100">
        <f>'Bef.fremskr. kommunenivå MMMM'!H291</f>
        <v>5605</v>
      </c>
      <c r="Q296" s="100"/>
      <c r="R296" s="100">
        <f t="shared" si="72"/>
        <v>0</v>
      </c>
      <c r="S296" s="100">
        <v>0</v>
      </c>
      <c r="U296" s="100">
        <v>1430.9606666666666</v>
      </c>
      <c r="V296" s="5">
        <f t="shared" si="73"/>
        <v>172848.68270392527</v>
      </c>
      <c r="W296" s="5">
        <f t="shared" si="74"/>
        <v>30838.301998916195</v>
      </c>
    </row>
    <row r="297" spans="1:23" ht="13">
      <c r="A297" s="92">
        <v>5026</v>
      </c>
      <c r="B297" s="93" t="s">
        <v>601</v>
      </c>
      <c r="C297" s="574">
        <v>0.70850431144212955</v>
      </c>
      <c r="D297" s="100">
        <f t="shared" si="60"/>
        <v>25996.502685910207</v>
      </c>
      <c r="E297" s="100">
        <f t="shared" si="61"/>
        <v>50433.215210665803</v>
      </c>
      <c r="F297" s="100">
        <f t="shared" si="70"/>
        <v>6419.2143612796071</v>
      </c>
      <c r="G297" s="100">
        <f t="shared" si="62"/>
        <v>12453.275860882439</v>
      </c>
      <c r="H297" s="100">
        <f t="shared" si="71"/>
        <v>2460.2099456649375</v>
      </c>
      <c r="I297" s="100">
        <f t="shared" si="63"/>
        <v>4772.8072945899785</v>
      </c>
      <c r="J297" s="100">
        <f t="shared" si="64"/>
        <v>2034.5244915453743</v>
      </c>
      <c r="K297" s="100">
        <f t="shared" si="65"/>
        <v>3946.9775135980262</v>
      </c>
      <c r="L297" s="101">
        <f t="shared" si="66"/>
        <v>16400.253374480464</v>
      </c>
      <c r="M297" s="100">
        <f t="shared" si="67"/>
        <v>66833.468585146271</v>
      </c>
      <c r="N297" s="102">
        <f t="shared" si="68"/>
        <v>34450.241538735194</v>
      </c>
      <c r="O297" s="94">
        <f t="shared" si="69"/>
        <v>0.93890108817004758</v>
      </c>
      <c r="P297" s="100">
        <f>'Bef.fremskr. kommunenivå MMMM'!H292</f>
        <v>1940</v>
      </c>
      <c r="Q297" s="100"/>
      <c r="R297" s="100">
        <f t="shared" si="72"/>
        <v>0</v>
      </c>
      <c r="S297" s="100">
        <v>0</v>
      </c>
      <c r="U297" s="100">
        <v>0</v>
      </c>
      <c r="V297" s="5">
        <f t="shared" si="73"/>
        <v>50433.215210665803</v>
      </c>
      <c r="W297" s="5">
        <f t="shared" si="74"/>
        <v>25996.502685910207</v>
      </c>
    </row>
    <row r="298" spans="1:23" ht="13">
      <c r="A298" s="92">
        <v>5027</v>
      </c>
      <c r="B298" s="93" t="s">
        <v>602</v>
      </c>
      <c r="C298" s="574">
        <v>0.7246704945835537</v>
      </c>
      <c r="D298" s="100">
        <f t="shared" si="60"/>
        <v>26589.673703601715</v>
      </c>
      <c r="E298" s="100">
        <f t="shared" si="61"/>
        <v>162143.83024456326</v>
      </c>
      <c r="F298" s="100">
        <f t="shared" si="70"/>
        <v>6063.3117506647031</v>
      </c>
      <c r="G298" s="100">
        <f t="shared" si="62"/>
        <v>36974.07505555336</v>
      </c>
      <c r="H298" s="100">
        <f t="shared" si="71"/>
        <v>2252.6000894729095</v>
      </c>
      <c r="I298" s="100">
        <f t="shared" si="63"/>
        <v>13736.355345605802</v>
      </c>
      <c r="J298" s="100">
        <f t="shared" si="64"/>
        <v>1826.9146353533463</v>
      </c>
      <c r="K298" s="100">
        <f t="shared" si="65"/>
        <v>11140.525446384705</v>
      </c>
      <c r="L298" s="101">
        <f t="shared" si="66"/>
        <v>48114.600501938068</v>
      </c>
      <c r="M298" s="100">
        <f t="shared" si="67"/>
        <v>210258.43074650131</v>
      </c>
      <c r="N298" s="102">
        <f t="shared" si="68"/>
        <v>34479.900089619769</v>
      </c>
      <c r="O298" s="94">
        <f t="shared" si="69"/>
        <v>0.93970939732711878</v>
      </c>
      <c r="P298" s="100">
        <f>'Bef.fremskr. kommunenivå MMMM'!H293</f>
        <v>6098</v>
      </c>
      <c r="Q298" s="100"/>
      <c r="R298" s="100">
        <f t="shared" si="72"/>
        <v>0</v>
      </c>
      <c r="S298" s="100">
        <v>0</v>
      </c>
      <c r="U298" s="100">
        <v>1206.2766666666666</v>
      </c>
      <c r="V298" s="5">
        <f t="shared" si="73"/>
        <v>160937.55357789659</v>
      </c>
      <c r="W298" s="5">
        <f t="shared" si="74"/>
        <v>26391.85857295779</v>
      </c>
    </row>
    <row r="299" spans="1:23" ht="13">
      <c r="A299" s="92">
        <v>5028</v>
      </c>
      <c r="B299" s="93" t="s">
        <v>603</v>
      </c>
      <c r="C299" s="574">
        <v>0.79132754365896429</v>
      </c>
      <c r="D299" s="100">
        <f t="shared" si="60"/>
        <v>29035.4600274656</v>
      </c>
      <c r="E299" s="100">
        <f t="shared" si="61"/>
        <v>501384.32375427597</v>
      </c>
      <c r="F299" s="100">
        <f t="shared" si="70"/>
        <v>4595.8399563463718</v>
      </c>
      <c r="G299" s="100">
        <f t="shared" si="62"/>
        <v>79360.964366189146</v>
      </c>
      <c r="H299" s="100">
        <f t="shared" si="71"/>
        <v>1396.5748761205498</v>
      </c>
      <c r="I299" s="100">
        <f t="shared" si="63"/>
        <v>24116.054960849655</v>
      </c>
      <c r="J299" s="100">
        <f t="shared" si="64"/>
        <v>970.88942200098654</v>
      </c>
      <c r="K299" s="100">
        <f t="shared" si="65"/>
        <v>16765.318539113036</v>
      </c>
      <c r="L299" s="101">
        <f t="shared" si="66"/>
        <v>96126.282905302185</v>
      </c>
      <c r="M299" s="100">
        <f t="shared" si="67"/>
        <v>597510.60665957816</v>
      </c>
      <c r="N299" s="102">
        <f t="shared" si="68"/>
        <v>34602.189405812962</v>
      </c>
      <c r="O299" s="94">
        <f t="shared" si="69"/>
        <v>0.94304224978088935</v>
      </c>
      <c r="P299" s="100">
        <f>'Bef.fremskr. kommunenivå MMMM'!H294</f>
        <v>17268</v>
      </c>
      <c r="Q299" s="100"/>
      <c r="R299" s="100">
        <f t="shared" si="72"/>
        <v>0</v>
      </c>
      <c r="S299" s="100">
        <v>0</v>
      </c>
      <c r="U299" s="100">
        <v>1777.1063333333332</v>
      </c>
      <c r="V299" s="5">
        <f t="shared" si="73"/>
        <v>499607.21742094262</v>
      </c>
      <c r="W299" s="5">
        <f t="shared" si="74"/>
        <v>28932.546758219978</v>
      </c>
    </row>
    <row r="300" spans="1:23" ht="13">
      <c r="A300" s="92">
        <v>5029</v>
      </c>
      <c r="B300" s="93" t="s">
        <v>604</v>
      </c>
      <c r="C300" s="574">
        <v>0.77309754744964787</v>
      </c>
      <c r="D300" s="100">
        <f t="shared" si="60"/>
        <v>28366.563398657523</v>
      </c>
      <c r="E300" s="100">
        <f t="shared" si="61"/>
        <v>238704.63099970305</v>
      </c>
      <c r="F300" s="100">
        <f t="shared" si="70"/>
        <v>4997.1779336312184</v>
      </c>
      <c r="G300" s="100">
        <f t="shared" si="62"/>
        <v>42051.252311506702</v>
      </c>
      <c r="H300" s="100">
        <f t="shared" si="71"/>
        <v>1630.6886962033768</v>
      </c>
      <c r="I300" s="100">
        <f t="shared" si="63"/>
        <v>13722.245378551415</v>
      </c>
      <c r="J300" s="100">
        <f t="shared" si="64"/>
        <v>1205.0032420838136</v>
      </c>
      <c r="K300" s="100">
        <f t="shared" si="65"/>
        <v>10140.102282135291</v>
      </c>
      <c r="L300" s="101">
        <f t="shared" si="66"/>
        <v>52191.354593641991</v>
      </c>
      <c r="M300" s="100">
        <f t="shared" si="67"/>
        <v>290895.98559334502</v>
      </c>
      <c r="N300" s="102">
        <f t="shared" si="68"/>
        <v>34568.744574372555</v>
      </c>
      <c r="O300" s="94">
        <f t="shared" si="69"/>
        <v>0.94213074997042334</v>
      </c>
      <c r="P300" s="100">
        <f>'Bef.fremskr. kommunenivå MMMM'!H295</f>
        <v>8415</v>
      </c>
      <c r="Q300" s="100"/>
      <c r="R300" s="100">
        <f t="shared" si="72"/>
        <v>0</v>
      </c>
      <c r="S300" s="100">
        <v>0</v>
      </c>
      <c r="U300" s="100">
        <v>0</v>
      </c>
      <c r="V300" s="5">
        <f t="shared" si="73"/>
        <v>238704.63099970305</v>
      </c>
      <c r="W300" s="5">
        <f t="shared" si="74"/>
        <v>28366.563398657523</v>
      </c>
    </row>
    <row r="301" spans="1:23" ht="13">
      <c r="A301" s="92">
        <v>5031</v>
      </c>
      <c r="B301" s="93" t="s">
        <v>605</v>
      </c>
      <c r="C301" s="574">
        <v>0.91000053881771714</v>
      </c>
      <c r="D301" s="100">
        <f t="shared" si="60"/>
        <v>33389.82003285495</v>
      </c>
      <c r="E301" s="100">
        <f t="shared" si="61"/>
        <v>487057.30481925519</v>
      </c>
      <c r="F301" s="100">
        <f t="shared" si="70"/>
        <v>1983.2239531127618</v>
      </c>
      <c r="G301" s="100">
        <f t="shared" si="62"/>
        <v>28929.287804055857</v>
      </c>
      <c r="H301" s="100">
        <f t="shared" si="71"/>
        <v>0</v>
      </c>
      <c r="I301" s="100">
        <f t="shared" si="63"/>
        <v>0</v>
      </c>
      <c r="J301" s="100">
        <f t="shared" si="64"/>
        <v>-425.68545411956319</v>
      </c>
      <c r="K301" s="100">
        <f t="shared" si="65"/>
        <v>-6209.473719242068</v>
      </c>
      <c r="L301" s="101">
        <f t="shared" si="66"/>
        <v>22719.814084813788</v>
      </c>
      <c r="M301" s="100">
        <f t="shared" si="67"/>
        <v>509777.11890406895</v>
      </c>
      <c r="N301" s="102">
        <f t="shared" si="68"/>
        <v>34947.358531848149</v>
      </c>
      <c r="O301" s="94">
        <f t="shared" si="69"/>
        <v>0.9524494310824414</v>
      </c>
      <c r="P301" s="100">
        <f>'Bef.fremskr. kommunenivå MMMM'!H296</f>
        <v>14587</v>
      </c>
      <c r="Q301" s="100"/>
      <c r="R301" s="100">
        <f t="shared" si="72"/>
        <v>0</v>
      </c>
      <c r="S301" s="100">
        <v>0</v>
      </c>
      <c r="U301" s="100">
        <v>5.7216666666666667</v>
      </c>
      <c r="V301" s="5">
        <f t="shared" si="73"/>
        <v>487051.58315258852</v>
      </c>
      <c r="W301" s="5">
        <f t="shared" si="74"/>
        <v>33389.427788619214</v>
      </c>
    </row>
    <row r="302" spans="1:23" ht="13">
      <c r="A302" s="92">
        <v>5032</v>
      </c>
      <c r="B302" s="93" t="s">
        <v>606</v>
      </c>
      <c r="C302" s="574">
        <v>0.77611804961970532</v>
      </c>
      <c r="D302" s="100">
        <f t="shared" si="60"/>
        <v>28477.39193069125</v>
      </c>
      <c r="E302" s="100">
        <f t="shared" si="61"/>
        <v>116899.69387548757</v>
      </c>
      <c r="F302" s="100">
        <f t="shared" si="70"/>
        <v>4930.6808144109818</v>
      </c>
      <c r="G302" s="100">
        <f t="shared" si="62"/>
        <v>20240.444743157081</v>
      </c>
      <c r="H302" s="100">
        <f t="shared" si="71"/>
        <v>1591.8987099915723</v>
      </c>
      <c r="I302" s="100">
        <f t="shared" si="63"/>
        <v>6534.7442045154039</v>
      </c>
      <c r="J302" s="100">
        <f t="shared" si="64"/>
        <v>1166.2132558720091</v>
      </c>
      <c r="K302" s="100">
        <f t="shared" si="65"/>
        <v>4787.3054153545972</v>
      </c>
      <c r="L302" s="101">
        <f t="shared" si="66"/>
        <v>25027.750158511677</v>
      </c>
      <c r="M302" s="100">
        <f t="shared" si="67"/>
        <v>141927.44403399926</v>
      </c>
      <c r="N302" s="102">
        <f t="shared" si="68"/>
        <v>34574.286000974244</v>
      </c>
      <c r="O302" s="94">
        <f t="shared" si="69"/>
        <v>0.9422817750789263</v>
      </c>
      <c r="P302" s="100">
        <f>'Bef.fremskr. kommunenivå MMMM'!H297</f>
        <v>4105</v>
      </c>
      <c r="Q302" s="100"/>
      <c r="R302" s="100">
        <f t="shared" si="72"/>
        <v>0</v>
      </c>
      <c r="S302" s="100">
        <v>0</v>
      </c>
      <c r="U302" s="100">
        <v>4000.9756666666667</v>
      </c>
      <c r="V302" s="5">
        <f t="shared" si="73"/>
        <v>112898.71820882091</v>
      </c>
      <c r="W302" s="5">
        <f t="shared" si="74"/>
        <v>27502.732815790721</v>
      </c>
    </row>
    <row r="303" spans="1:23" ht="13">
      <c r="A303" s="92">
        <v>5033</v>
      </c>
      <c r="B303" s="93" t="s">
        <v>607</v>
      </c>
      <c r="C303" s="574">
        <v>1.3118451485240457</v>
      </c>
      <c r="D303" s="100">
        <f t="shared" si="60"/>
        <v>48134.33789511834</v>
      </c>
      <c r="E303" s="100">
        <f t="shared" si="61"/>
        <v>35715.678718177813</v>
      </c>
      <c r="F303" s="100">
        <f t="shared" si="70"/>
        <v>-6863.4867642452718</v>
      </c>
      <c r="G303" s="100">
        <f t="shared" si="62"/>
        <v>-5092.707179069992</v>
      </c>
      <c r="H303" s="100">
        <f t="shared" si="71"/>
        <v>0</v>
      </c>
      <c r="I303" s="100">
        <f t="shared" si="63"/>
        <v>0</v>
      </c>
      <c r="J303" s="100">
        <f t="shared" si="64"/>
        <v>-425.68545411956319</v>
      </c>
      <c r="K303" s="100">
        <f t="shared" si="65"/>
        <v>-315.85860695671585</v>
      </c>
      <c r="L303" s="101">
        <f t="shared" si="66"/>
        <v>-5408.5657860267074</v>
      </c>
      <c r="M303" s="100">
        <f t="shared" si="67"/>
        <v>30307.112932151103</v>
      </c>
      <c r="N303" s="102">
        <f t="shared" si="68"/>
        <v>40845.16567675351</v>
      </c>
      <c r="O303" s="94">
        <f t="shared" si="69"/>
        <v>1.1131872749649729</v>
      </c>
      <c r="P303" s="100">
        <f>'Bef.fremskr. kommunenivå MMMM'!H298</f>
        <v>742</v>
      </c>
      <c r="Q303" s="100"/>
      <c r="R303" s="100">
        <f t="shared" si="72"/>
        <v>0</v>
      </c>
      <c r="S303" s="100">
        <v>0</v>
      </c>
      <c r="U303" s="100">
        <v>13612.522666666666</v>
      </c>
      <c r="V303" s="5">
        <f t="shared" si="73"/>
        <v>22103.156051511149</v>
      </c>
      <c r="W303" s="5">
        <f t="shared" si="74"/>
        <v>29788.620015513679</v>
      </c>
    </row>
    <row r="304" spans="1:23" ht="13">
      <c r="A304" s="92">
        <v>5034</v>
      </c>
      <c r="B304" s="93" t="s">
        <v>610</v>
      </c>
      <c r="C304" s="574">
        <v>0.72344936877498511</v>
      </c>
      <c r="D304" s="100">
        <f t="shared" si="60"/>
        <v>26544.868047729738</v>
      </c>
      <c r="E304" s="100">
        <f t="shared" si="61"/>
        <v>64424.394751840075</v>
      </c>
      <c r="F304" s="100">
        <f t="shared" si="70"/>
        <v>6090.1951441878891</v>
      </c>
      <c r="G304" s="100">
        <f t="shared" si="62"/>
        <v>14780.903614944007</v>
      </c>
      <c r="H304" s="100">
        <f t="shared" si="71"/>
        <v>2268.2820690281014</v>
      </c>
      <c r="I304" s="100">
        <f t="shared" si="63"/>
        <v>5505.1205815312023</v>
      </c>
      <c r="J304" s="100">
        <f t="shared" si="64"/>
        <v>1842.5966149085382</v>
      </c>
      <c r="K304" s="100">
        <f t="shared" si="65"/>
        <v>4471.9819843830228</v>
      </c>
      <c r="L304" s="101">
        <f t="shared" si="66"/>
        <v>19252.88559932703</v>
      </c>
      <c r="M304" s="100">
        <f t="shared" si="67"/>
        <v>83677.280351167108</v>
      </c>
      <c r="N304" s="102">
        <f t="shared" si="68"/>
        <v>34477.659806826166</v>
      </c>
      <c r="O304" s="94">
        <f t="shared" si="69"/>
        <v>0.93964834103669026</v>
      </c>
      <c r="P304" s="100">
        <f>'Bef.fremskr. kommunenivå MMMM'!H299</f>
        <v>2427</v>
      </c>
      <c r="Q304" s="100"/>
      <c r="R304" s="100">
        <f t="shared" si="72"/>
        <v>0</v>
      </c>
      <c r="S304" s="100">
        <v>0</v>
      </c>
      <c r="U304" s="100">
        <v>6693.7979999999998</v>
      </c>
      <c r="V304" s="5">
        <f t="shared" si="73"/>
        <v>57730.596751840072</v>
      </c>
      <c r="W304" s="5">
        <f t="shared" si="74"/>
        <v>23786.813659596239</v>
      </c>
    </row>
    <row r="305" spans="1:23" ht="13">
      <c r="A305" s="92">
        <v>5035</v>
      </c>
      <c r="B305" s="93" t="s">
        <v>611</v>
      </c>
      <c r="C305" s="574">
        <v>0.79166841431686441</v>
      </c>
      <c r="D305" s="100">
        <f t="shared" si="60"/>
        <v>29047.967283710252</v>
      </c>
      <c r="E305" s="100">
        <f t="shared" si="61"/>
        <v>706766.09197995416</v>
      </c>
      <c r="F305" s="100">
        <f t="shared" si="70"/>
        <v>4588.3356025995809</v>
      </c>
      <c r="G305" s="100">
        <f t="shared" si="62"/>
        <v>111638.7935468504</v>
      </c>
      <c r="H305" s="100">
        <f t="shared" si="71"/>
        <v>1392.1973364349219</v>
      </c>
      <c r="I305" s="100">
        <f t="shared" si="63"/>
        <v>33873.553392798087</v>
      </c>
      <c r="J305" s="100">
        <f t="shared" si="64"/>
        <v>966.51188231535866</v>
      </c>
      <c r="K305" s="100">
        <f t="shared" si="65"/>
        <v>23516.200608614992</v>
      </c>
      <c r="L305" s="101">
        <f t="shared" si="66"/>
        <v>135154.99415546539</v>
      </c>
      <c r="M305" s="100">
        <f t="shared" si="67"/>
        <v>841921.08613541955</v>
      </c>
      <c r="N305" s="102">
        <f t="shared" si="68"/>
        <v>34602.814768625198</v>
      </c>
      <c r="O305" s="94">
        <f t="shared" si="69"/>
        <v>0.94305929331378435</v>
      </c>
      <c r="P305" s="100">
        <f>'Bef.fremskr. kommunenivå MMMM'!H300</f>
        <v>24331</v>
      </c>
      <c r="Q305" s="100"/>
      <c r="R305" s="100">
        <f t="shared" si="72"/>
        <v>0</v>
      </c>
      <c r="S305" s="100">
        <v>0</v>
      </c>
      <c r="U305" s="100">
        <v>0</v>
      </c>
      <c r="V305" s="5">
        <f t="shared" si="73"/>
        <v>706766.09197995416</v>
      </c>
      <c r="W305" s="5">
        <f t="shared" si="74"/>
        <v>29047.967283710252</v>
      </c>
    </row>
    <row r="306" spans="1:23" ht="13">
      <c r="A306" s="92">
        <v>5036</v>
      </c>
      <c r="B306" s="93" t="s">
        <v>612</v>
      </c>
      <c r="C306" s="574">
        <v>0.71866720198174328</v>
      </c>
      <c r="D306" s="100">
        <f t="shared" si="60"/>
        <v>26369.400361962329</v>
      </c>
      <c r="E306" s="100">
        <f t="shared" si="61"/>
        <v>69826.172158476242</v>
      </c>
      <c r="F306" s="100">
        <f t="shared" si="70"/>
        <v>6195.4757556483346</v>
      </c>
      <c r="G306" s="100">
        <f t="shared" si="62"/>
        <v>16405.619800956789</v>
      </c>
      <c r="H306" s="100">
        <f t="shared" si="71"/>
        <v>2329.6957590466945</v>
      </c>
      <c r="I306" s="100">
        <f t="shared" si="63"/>
        <v>6169.034369955647</v>
      </c>
      <c r="J306" s="100">
        <f t="shared" si="64"/>
        <v>1904.0103049271313</v>
      </c>
      <c r="K306" s="100">
        <f t="shared" si="65"/>
        <v>5041.8192874470433</v>
      </c>
      <c r="L306" s="101">
        <f t="shared" si="66"/>
        <v>21447.439088403833</v>
      </c>
      <c r="M306" s="100">
        <f t="shared" si="67"/>
        <v>91273.611246880071</v>
      </c>
      <c r="N306" s="102">
        <f t="shared" si="68"/>
        <v>34468.886422537791</v>
      </c>
      <c r="O306" s="94">
        <f t="shared" si="69"/>
        <v>0.93940923269702803</v>
      </c>
      <c r="P306" s="100">
        <f>'Bef.fremskr. kommunenivå MMMM'!H301</f>
        <v>2648</v>
      </c>
      <c r="Q306" s="100"/>
      <c r="R306" s="100">
        <f t="shared" si="72"/>
        <v>0</v>
      </c>
      <c r="S306" s="100">
        <v>0</v>
      </c>
      <c r="U306" s="100">
        <v>0</v>
      </c>
      <c r="V306" s="5">
        <f t="shared" si="73"/>
        <v>69826.172158476242</v>
      </c>
      <c r="W306" s="5">
        <f t="shared" si="74"/>
        <v>26369.400361962329</v>
      </c>
    </row>
    <row r="307" spans="1:23" ht="13">
      <c r="A307" s="92">
        <v>5037</v>
      </c>
      <c r="B307" s="93" t="s">
        <v>613</v>
      </c>
      <c r="C307" s="574">
        <v>0.79799469333136974</v>
      </c>
      <c r="D307" s="100">
        <f t="shared" si="60"/>
        <v>29280.091671291822</v>
      </c>
      <c r="E307" s="100">
        <f t="shared" si="61"/>
        <v>592102.01377686323</v>
      </c>
      <c r="F307" s="100">
        <f t="shared" si="70"/>
        <v>4449.0609700506384</v>
      </c>
      <c r="G307" s="100">
        <f t="shared" si="62"/>
        <v>89968.910936364016</v>
      </c>
      <c r="H307" s="100">
        <f t="shared" si="71"/>
        <v>1310.9538007813721</v>
      </c>
      <c r="I307" s="100">
        <f t="shared" si="63"/>
        <v>26510.107759400908</v>
      </c>
      <c r="J307" s="100">
        <f t="shared" si="64"/>
        <v>885.26834666180889</v>
      </c>
      <c r="K307" s="100">
        <f t="shared" si="65"/>
        <v>17901.896506195098</v>
      </c>
      <c r="L307" s="101">
        <f t="shared" si="66"/>
        <v>107870.80744255912</v>
      </c>
      <c r="M307" s="100">
        <f t="shared" si="67"/>
        <v>699972.82121942227</v>
      </c>
      <c r="N307" s="102">
        <f t="shared" si="68"/>
        <v>34614.420988004262</v>
      </c>
      <c r="O307" s="94">
        <f t="shared" si="69"/>
        <v>0.94337560726450931</v>
      </c>
      <c r="P307" s="100">
        <f>'Bef.fremskr. kommunenivå MMMM'!H302</f>
        <v>20222</v>
      </c>
      <c r="Q307" s="100"/>
      <c r="R307" s="100">
        <f t="shared" si="72"/>
        <v>0</v>
      </c>
      <c r="S307" s="100">
        <v>0</v>
      </c>
      <c r="U307" s="100">
        <v>0</v>
      </c>
      <c r="V307" s="5">
        <f t="shared" si="73"/>
        <v>592102.01377686323</v>
      </c>
      <c r="W307" s="5">
        <f t="shared" si="74"/>
        <v>29280.091671291822</v>
      </c>
    </row>
    <row r="308" spans="1:23" ht="13">
      <c r="A308" s="92">
        <v>5038</v>
      </c>
      <c r="B308" s="93" t="s">
        <v>614</v>
      </c>
      <c r="C308" s="574">
        <v>0.73126004429947866</v>
      </c>
      <c r="D308" s="100">
        <f t="shared" si="60"/>
        <v>26831.458042980394</v>
      </c>
      <c r="E308" s="100">
        <f t="shared" si="61"/>
        <v>400191.19671105262</v>
      </c>
      <c r="F308" s="100">
        <f t="shared" si="70"/>
        <v>5918.2411470374955</v>
      </c>
      <c r="G308" s="100">
        <f t="shared" si="62"/>
        <v>88270.566708064245</v>
      </c>
      <c r="H308" s="100">
        <f t="shared" si="71"/>
        <v>2167.975570690372</v>
      </c>
      <c r="I308" s="100">
        <f t="shared" si="63"/>
        <v>32335.3556368469</v>
      </c>
      <c r="J308" s="100">
        <f t="shared" si="64"/>
        <v>1742.2901165708088</v>
      </c>
      <c r="K308" s="100">
        <f t="shared" si="65"/>
        <v>25986.257088653612</v>
      </c>
      <c r="L308" s="101">
        <f t="shared" si="66"/>
        <v>114256.82379671786</v>
      </c>
      <c r="M308" s="100">
        <f t="shared" si="67"/>
        <v>514448.02050777047</v>
      </c>
      <c r="N308" s="102">
        <f t="shared" si="68"/>
        <v>34491.989306588701</v>
      </c>
      <c r="O308" s="94">
        <f t="shared" si="69"/>
        <v>0.94003887481291504</v>
      </c>
      <c r="P308" s="100">
        <f>'Bef.fremskr. kommunenivå MMMM'!H303</f>
        <v>14915</v>
      </c>
      <c r="Q308" s="100"/>
      <c r="R308" s="100">
        <f t="shared" si="72"/>
        <v>0</v>
      </c>
      <c r="S308" s="100">
        <v>0</v>
      </c>
      <c r="U308" s="100">
        <v>0</v>
      </c>
      <c r="V308" s="5">
        <f t="shared" si="73"/>
        <v>400191.19671105262</v>
      </c>
      <c r="W308" s="5">
        <f t="shared" si="74"/>
        <v>26831.458042980394</v>
      </c>
    </row>
    <row r="309" spans="1:23" ht="13">
      <c r="A309" s="92">
        <v>5041</v>
      </c>
      <c r="B309" s="93" t="s">
        <v>1832</v>
      </c>
      <c r="C309" s="574">
        <v>0.68865518676908399</v>
      </c>
      <c r="D309" s="100">
        <f t="shared" si="60"/>
        <v>25268.196852702946</v>
      </c>
      <c r="E309" s="100">
        <f t="shared" si="61"/>
        <v>50485.857311700485</v>
      </c>
      <c r="F309" s="100">
        <f t="shared" si="70"/>
        <v>6856.1978612039647</v>
      </c>
      <c r="G309" s="100">
        <f t="shared" si="62"/>
        <v>13698.683326685521</v>
      </c>
      <c r="H309" s="100">
        <f t="shared" si="71"/>
        <v>2715.1169872874789</v>
      </c>
      <c r="I309" s="100">
        <f t="shared" si="63"/>
        <v>5424.8037406003832</v>
      </c>
      <c r="J309" s="100">
        <f t="shared" si="64"/>
        <v>2289.4315331679159</v>
      </c>
      <c r="K309" s="100">
        <f t="shared" si="65"/>
        <v>4574.2842032694953</v>
      </c>
      <c r="L309" s="101">
        <f t="shared" si="66"/>
        <v>18272.967529955014</v>
      </c>
      <c r="M309" s="100">
        <f t="shared" si="67"/>
        <v>68758.8248416555</v>
      </c>
      <c r="N309" s="102">
        <f t="shared" si="68"/>
        <v>34413.826247074823</v>
      </c>
      <c r="O309" s="94">
        <f t="shared" si="69"/>
        <v>0.93790863193639507</v>
      </c>
      <c r="P309" s="100">
        <f>'Bef.fremskr. kommunenivå MMMM'!H304</f>
        <v>1998</v>
      </c>
      <c r="Q309" s="100"/>
      <c r="R309" s="100">
        <f t="shared" si="72"/>
        <v>0</v>
      </c>
      <c r="S309" s="100">
        <v>0</v>
      </c>
      <c r="U309" s="100">
        <v>763.09666666666669</v>
      </c>
      <c r="V309" s="5">
        <f t="shared" si="73"/>
        <v>49722.760645033821</v>
      </c>
      <c r="W309" s="5">
        <f t="shared" si="74"/>
        <v>24886.266589106017</v>
      </c>
    </row>
    <row r="310" spans="1:23" ht="13">
      <c r="A310" s="92">
        <v>5042</v>
      </c>
      <c r="B310" s="93" t="s">
        <v>616</v>
      </c>
      <c r="C310" s="574">
        <v>0.76210510466285364</v>
      </c>
      <c r="D310" s="100">
        <f t="shared" si="60"/>
        <v>27963.227718384882</v>
      </c>
      <c r="E310" s="100">
        <f t="shared" si="61"/>
        <v>35848.857934969419</v>
      </c>
      <c r="F310" s="100">
        <f t="shared" si="70"/>
        <v>5239.1793417948029</v>
      </c>
      <c r="G310" s="100">
        <f t="shared" si="62"/>
        <v>6716.627916180938</v>
      </c>
      <c r="H310" s="100">
        <f t="shared" si="71"/>
        <v>1771.8561842988013</v>
      </c>
      <c r="I310" s="100">
        <f t="shared" si="63"/>
        <v>2271.5196282710635</v>
      </c>
      <c r="J310" s="100">
        <f t="shared" si="64"/>
        <v>1346.170730179238</v>
      </c>
      <c r="K310" s="100">
        <f t="shared" si="65"/>
        <v>1725.7908760897831</v>
      </c>
      <c r="L310" s="101">
        <f t="shared" si="66"/>
        <v>8442.4187922707206</v>
      </c>
      <c r="M310" s="100">
        <f t="shared" si="67"/>
        <v>44291.27672724014</v>
      </c>
      <c r="N310" s="102">
        <f t="shared" si="68"/>
        <v>34548.577790358919</v>
      </c>
      <c r="O310" s="94">
        <f t="shared" si="69"/>
        <v>0.94158112783108361</v>
      </c>
      <c r="P310" s="100">
        <f>'Bef.fremskr. kommunenivå MMMM'!H305</f>
        <v>1282</v>
      </c>
      <c r="Q310" s="100"/>
      <c r="R310" s="100">
        <f t="shared" si="72"/>
        <v>0</v>
      </c>
      <c r="S310" s="100">
        <v>0</v>
      </c>
      <c r="U310" s="100">
        <v>1853.5716666666667</v>
      </c>
      <c r="V310" s="5">
        <f t="shared" si="73"/>
        <v>33995.286268302749</v>
      </c>
      <c r="W310" s="5">
        <f t="shared" si="74"/>
        <v>26517.383984635526</v>
      </c>
    </row>
    <row r="311" spans="1:23" ht="13">
      <c r="A311" s="92">
        <v>5043</v>
      </c>
      <c r="B311" s="93" t="s">
        <v>617</v>
      </c>
      <c r="C311" s="574">
        <v>0.79529325220645175</v>
      </c>
      <c r="D311" s="100">
        <f t="shared" si="60"/>
        <v>29180.970155267714</v>
      </c>
      <c r="E311" s="100">
        <f t="shared" si="61"/>
        <v>12752.083957851992</v>
      </c>
      <c r="F311" s="100">
        <f t="shared" si="70"/>
        <v>4508.5338796651031</v>
      </c>
      <c r="G311" s="100">
        <f t="shared" si="62"/>
        <v>1970.2293054136501</v>
      </c>
      <c r="H311" s="100">
        <f t="shared" si="71"/>
        <v>1345.64633138981</v>
      </c>
      <c r="I311" s="100">
        <f t="shared" si="63"/>
        <v>588.04744681734701</v>
      </c>
      <c r="J311" s="100">
        <f t="shared" si="64"/>
        <v>919.96087727024678</v>
      </c>
      <c r="K311" s="100">
        <f t="shared" si="65"/>
        <v>402.02290336709785</v>
      </c>
      <c r="L311" s="101">
        <f t="shared" si="66"/>
        <v>2372.2522087807479</v>
      </c>
      <c r="M311" s="100">
        <f t="shared" si="67"/>
        <v>15124.33616663274</v>
      </c>
      <c r="N311" s="102">
        <f t="shared" si="68"/>
        <v>34609.464912203068</v>
      </c>
      <c r="O311" s="94">
        <f t="shared" si="69"/>
        <v>0.94324053520826368</v>
      </c>
      <c r="P311" s="100">
        <f>'Bef.fremskr. kommunenivå MMMM'!H306</f>
        <v>437</v>
      </c>
      <c r="Q311" s="100"/>
      <c r="R311" s="100">
        <f t="shared" si="72"/>
        <v>0</v>
      </c>
      <c r="S311" s="100">
        <v>0</v>
      </c>
      <c r="U311" s="100">
        <v>3103.2913333333331</v>
      </c>
      <c r="V311" s="5">
        <f t="shared" si="73"/>
        <v>9648.7926245186591</v>
      </c>
      <c r="W311" s="5">
        <f t="shared" si="74"/>
        <v>22079.616989745216</v>
      </c>
    </row>
    <row r="312" spans="1:23" ht="13">
      <c r="A312" s="92">
        <v>5044</v>
      </c>
      <c r="B312" s="93" t="s">
        <v>618</v>
      </c>
      <c r="C312" s="574">
        <v>1.0452629622135841</v>
      </c>
      <c r="D312" s="100">
        <f t="shared" si="60"/>
        <v>38352.880802317311</v>
      </c>
      <c r="E312" s="100">
        <f t="shared" si="61"/>
        <v>31219.24497308629</v>
      </c>
      <c r="F312" s="100">
        <f t="shared" si="70"/>
        <v>-994.61250856465483</v>
      </c>
      <c r="G312" s="100">
        <f t="shared" si="62"/>
        <v>-809.61458197162904</v>
      </c>
      <c r="H312" s="100">
        <f t="shared" si="71"/>
        <v>0</v>
      </c>
      <c r="I312" s="100">
        <f t="shared" si="63"/>
        <v>0</v>
      </c>
      <c r="J312" s="100">
        <f t="shared" si="64"/>
        <v>-425.68545411956319</v>
      </c>
      <c r="K312" s="100">
        <f t="shared" si="65"/>
        <v>-346.50795965332446</v>
      </c>
      <c r="L312" s="101">
        <f t="shared" si="66"/>
        <v>-1156.1225416249536</v>
      </c>
      <c r="M312" s="100">
        <f t="shared" si="67"/>
        <v>30063.122431461336</v>
      </c>
      <c r="N312" s="102">
        <f t="shared" si="68"/>
        <v>36932.582839633091</v>
      </c>
      <c r="O312" s="94">
        <f t="shared" si="69"/>
        <v>1.006554400440788</v>
      </c>
      <c r="P312" s="100">
        <f>'Bef.fremskr. kommunenivå MMMM'!H307</f>
        <v>814</v>
      </c>
      <c r="Q312" s="100"/>
      <c r="R312" s="100">
        <f t="shared" si="72"/>
        <v>0</v>
      </c>
      <c r="S312" s="100">
        <v>0</v>
      </c>
      <c r="U312" s="100">
        <v>9239.7773333333334</v>
      </c>
      <c r="V312" s="5">
        <f t="shared" si="73"/>
        <v>21979.467639752955</v>
      </c>
      <c r="W312" s="5">
        <f t="shared" si="74"/>
        <v>27001.802997239502</v>
      </c>
    </row>
    <row r="313" spans="1:23" ht="13">
      <c r="A313" s="92">
        <v>5045</v>
      </c>
      <c r="B313" s="93" t="s">
        <v>619</v>
      </c>
      <c r="C313" s="574">
        <v>0.81463540486346431</v>
      </c>
      <c r="D313" s="100">
        <f t="shared" si="60"/>
        <v>29890.674126547477</v>
      </c>
      <c r="E313" s="100">
        <f t="shared" si="61"/>
        <v>68330.081053287533</v>
      </c>
      <c r="F313" s="100">
        <f t="shared" si="70"/>
        <v>4082.7114968972455</v>
      </c>
      <c r="G313" s="100">
        <f t="shared" si="62"/>
        <v>9333.0784819071032</v>
      </c>
      <c r="H313" s="100">
        <f t="shared" si="71"/>
        <v>1097.2499414418928</v>
      </c>
      <c r="I313" s="100">
        <f t="shared" si="63"/>
        <v>2508.3133661361671</v>
      </c>
      <c r="J313" s="100">
        <f t="shared" si="64"/>
        <v>671.56448732232957</v>
      </c>
      <c r="K313" s="100">
        <f t="shared" si="65"/>
        <v>1535.1964180188454</v>
      </c>
      <c r="L313" s="101">
        <f t="shared" si="66"/>
        <v>10868.274899925949</v>
      </c>
      <c r="M313" s="100">
        <f t="shared" si="67"/>
        <v>79198.355953213482</v>
      </c>
      <c r="N313" s="102">
        <f t="shared" si="68"/>
        <v>34644.950110767051</v>
      </c>
      <c r="O313" s="94">
        <f t="shared" si="69"/>
        <v>0.94420764284111414</v>
      </c>
      <c r="P313" s="100">
        <f>'Bef.fremskr. kommunenivå MMMM'!H308</f>
        <v>2286</v>
      </c>
      <c r="Q313" s="100"/>
      <c r="R313" s="100">
        <f t="shared" si="72"/>
        <v>0</v>
      </c>
      <c r="S313" s="100">
        <v>0</v>
      </c>
      <c r="U313" s="100">
        <v>5248.4826666666668</v>
      </c>
      <c r="V313" s="5">
        <f t="shared" si="73"/>
        <v>63081.59838662087</v>
      </c>
      <c r="W313" s="5">
        <f t="shared" si="74"/>
        <v>27594.749950402831</v>
      </c>
    </row>
    <row r="314" spans="1:23" ht="13">
      <c r="A314" s="92">
        <v>5046</v>
      </c>
      <c r="B314" s="93" t="s">
        <v>620</v>
      </c>
      <c r="C314" s="574">
        <v>0.68651714088474669</v>
      </c>
      <c r="D314" s="100">
        <f t="shared" si="60"/>
        <v>25189.747484538002</v>
      </c>
      <c r="E314" s="100">
        <f t="shared" si="61"/>
        <v>29749.091779239378</v>
      </c>
      <c r="F314" s="100">
        <f t="shared" si="70"/>
        <v>6903.2674821029304</v>
      </c>
      <c r="G314" s="100">
        <f t="shared" si="62"/>
        <v>8152.7588963635608</v>
      </c>
      <c r="H314" s="100">
        <f t="shared" si="71"/>
        <v>2742.5742661452091</v>
      </c>
      <c r="I314" s="100">
        <f t="shared" si="63"/>
        <v>3238.9802083174923</v>
      </c>
      <c r="J314" s="100">
        <f t="shared" si="64"/>
        <v>2316.8888120256461</v>
      </c>
      <c r="K314" s="100">
        <f t="shared" si="65"/>
        <v>2736.2456870022884</v>
      </c>
      <c r="L314" s="101">
        <f t="shared" si="66"/>
        <v>10889.00458336585</v>
      </c>
      <c r="M314" s="100">
        <f t="shared" si="67"/>
        <v>40638.096362605225</v>
      </c>
      <c r="N314" s="102">
        <f t="shared" si="68"/>
        <v>34409.903778666579</v>
      </c>
      <c r="O314" s="94">
        <f t="shared" si="69"/>
        <v>0.93780172964217834</v>
      </c>
      <c r="P314" s="100">
        <f>'Bef.fremskr. kommunenivå MMMM'!H309</f>
        <v>1181</v>
      </c>
      <c r="Q314" s="100"/>
      <c r="R314" s="100">
        <f t="shared" si="72"/>
        <v>0</v>
      </c>
      <c r="S314" s="100">
        <v>0</v>
      </c>
      <c r="U314" s="100">
        <v>0</v>
      </c>
      <c r="V314" s="5">
        <f t="shared" si="73"/>
        <v>29749.091779239378</v>
      </c>
      <c r="W314" s="5">
        <f t="shared" si="74"/>
        <v>25189.747484538002</v>
      </c>
    </row>
    <row r="315" spans="1:23" ht="13">
      <c r="A315" s="92">
        <v>5047</v>
      </c>
      <c r="B315" s="93" t="s">
        <v>621</v>
      </c>
      <c r="C315" s="574">
        <v>0.75010602945046834</v>
      </c>
      <c r="D315" s="100">
        <f t="shared" si="60"/>
        <v>27522.956592366914</v>
      </c>
      <c r="E315" s="100">
        <f t="shared" si="61"/>
        <v>104834.94166032557</v>
      </c>
      <c r="F315" s="100">
        <f t="shared" si="70"/>
        <v>5503.3420174055836</v>
      </c>
      <c r="G315" s="100">
        <f t="shared" si="62"/>
        <v>20962.229744297871</v>
      </c>
      <c r="H315" s="100">
        <f t="shared" si="71"/>
        <v>1925.9510784050899</v>
      </c>
      <c r="I315" s="100">
        <f t="shared" si="63"/>
        <v>7335.947657644987</v>
      </c>
      <c r="J315" s="100">
        <f t="shared" si="64"/>
        <v>1500.2656242855267</v>
      </c>
      <c r="K315" s="100">
        <f t="shared" si="65"/>
        <v>5714.5117629035713</v>
      </c>
      <c r="L315" s="101">
        <f t="shared" si="66"/>
        <v>26676.741507201441</v>
      </c>
      <c r="M315" s="100">
        <f t="shared" si="67"/>
        <v>131511.68316752699</v>
      </c>
      <c r="N315" s="102">
        <f t="shared" si="68"/>
        <v>34526.564234058016</v>
      </c>
      <c r="O315" s="94">
        <f t="shared" si="69"/>
        <v>0.94098117407046422</v>
      </c>
      <c r="P315" s="100">
        <f>'Bef.fremskr. kommunenivå MMMM'!H310</f>
        <v>3809</v>
      </c>
      <c r="Q315" s="100"/>
      <c r="R315" s="100">
        <f t="shared" si="72"/>
        <v>0</v>
      </c>
      <c r="S315" s="100">
        <v>0</v>
      </c>
      <c r="U315" s="100">
        <v>101.76266666666668</v>
      </c>
      <c r="V315" s="5">
        <f t="shared" si="73"/>
        <v>104733.1789936589</v>
      </c>
      <c r="W315" s="5">
        <f t="shared" si="74"/>
        <v>27496.240218865554</v>
      </c>
    </row>
    <row r="316" spans="1:23" ht="13">
      <c r="A316" s="92">
        <v>5049</v>
      </c>
      <c r="B316" s="93" t="s">
        <v>622</v>
      </c>
      <c r="C316" s="574">
        <v>1.059987254004835</v>
      </c>
      <c r="D316" s="100">
        <f t="shared" si="60"/>
        <v>38893.145815412638</v>
      </c>
      <c r="E316" s="100">
        <f t="shared" si="61"/>
        <v>42860.246688584732</v>
      </c>
      <c r="F316" s="100">
        <f t="shared" si="70"/>
        <v>-1318.7715164218505</v>
      </c>
      <c r="G316" s="100">
        <f t="shared" si="62"/>
        <v>-1453.2862110968792</v>
      </c>
      <c r="H316" s="100">
        <f t="shared" si="71"/>
        <v>0</v>
      </c>
      <c r="I316" s="100">
        <f t="shared" si="63"/>
        <v>0</v>
      </c>
      <c r="J316" s="100">
        <f t="shared" si="64"/>
        <v>-425.68545411956319</v>
      </c>
      <c r="K316" s="100">
        <f t="shared" si="65"/>
        <v>-469.10537043975864</v>
      </c>
      <c r="L316" s="101">
        <f t="shared" si="66"/>
        <v>-1922.3915815366379</v>
      </c>
      <c r="M316" s="100">
        <f t="shared" si="67"/>
        <v>40937.855107048097</v>
      </c>
      <c r="N316" s="102">
        <f t="shared" si="68"/>
        <v>37148.688844871227</v>
      </c>
      <c r="O316" s="94">
        <f t="shared" si="69"/>
        <v>1.0124441171572887</v>
      </c>
      <c r="P316" s="100">
        <f>'Bef.fremskr. kommunenivå MMMM'!H311</f>
        <v>1102</v>
      </c>
      <c r="Q316" s="100"/>
      <c r="R316" s="100">
        <f t="shared" si="72"/>
        <v>0</v>
      </c>
      <c r="S316" s="100">
        <v>0</v>
      </c>
      <c r="U316" s="100">
        <v>0</v>
      </c>
      <c r="V316" s="5">
        <f t="shared" si="73"/>
        <v>42860.246688584732</v>
      </c>
      <c r="W316" s="5">
        <f t="shared" si="74"/>
        <v>38893.145815412638</v>
      </c>
    </row>
    <row r="317" spans="1:23" ht="13">
      <c r="A317" s="92">
        <v>5052</v>
      </c>
      <c r="B317" s="93" t="s">
        <v>623</v>
      </c>
      <c r="C317" s="574">
        <v>0.78393004632156571</v>
      </c>
      <c r="D317" s="100">
        <f t="shared" si="60"/>
        <v>28764.030402698379</v>
      </c>
      <c r="E317" s="100">
        <f t="shared" si="61"/>
        <v>16625.609572759662</v>
      </c>
      <c r="F317" s="100">
        <f t="shared" si="70"/>
        <v>4758.6977312067038</v>
      </c>
      <c r="G317" s="100">
        <f t="shared" si="62"/>
        <v>2750.5272886374746</v>
      </c>
      <c r="H317" s="100">
        <f t="shared" si="71"/>
        <v>1491.5752447890773</v>
      </c>
      <c r="I317" s="100">
        <f t="shared" si="63"/>
        <v>862.13049148808659</v>
      </c>
      <c r="J317" s="100">
        <f t="shared" si="64"/>
        <v>1065.889790669514</v>
      </c>
      <c r="K317" s="100">
        <f t="shared" si="65"/>
        <v>616.08429900697911</v>
      </c>
      <c r="L317" s="101">
        <f t="shared" si="66"/>
        <v>3366.6115876444537</v>
      </c>
      <c r="M317" s="100">
        <f t="shared" si="67"/>
        <v>19992.221160404115</v>
      </c>
      <c r="N317" s="102">
        <f t="shared" si="68"/>
        <v>34588.617924574595</v>
      </c>
      <c r="O317" s="94">
        <f t="shared" si="69"/>
        <v>0.94267237491401923</v>
      </c>
      <c r="P317" s="100">
        <f>'Bef.fremskr. kommunenivå MMMM'!H312</f>
        <v>578</v>
      </c>
      <c r="Q317" s="100"/>
      <c r="R317" s="100">
        <f t="shared" si="72"/>
        <v>0</v>
      </c>
      <c r="S317" s="100">
        <v>0</v>
      </c>
      <c r="U317" s="100">
        <v>0</v>
      </c>
      <c r="V317" s="5">
        <f t="shared" si="73"/>
        <v>16625.609572759662</v>
      </c>
      <c r="W317" s="5">
        <f t="shared" si="74"/>
        <v>28764.030402698376</v>
      </c>
    </row>
    <row r="318" spans="1:23" ht="13">
      <c r="A318" s="92">
        <v>5053</v>
      </c>
      <c r="B318" s="93" t="s">
        <v>615</v>
      </c>
      <c r="C318" s="574">
        <v>0.77129008232053464</v>
      </c>
      <c r="D318" s="100">
        <f t="shared" si="60"/>
        <v>28300.24372872067</v>
      </c>
      <c r="E318" s="100">
        <f t="shared" si="61"/>
        <v>193913.27002919401</v>
      </c>
      <c r="F318" s="100">
        <f t="shared" si="70"/>
        <v>5036.9697355933295</v>
      </c>
      <c r="G318" s="100">
        <f t="shared" si="62"/>
        <v>34513.316628285487</v>
      </c>
      <c r="H318" s="100">
        <f t="shared" si="71"/>
        <v>1653.9005806812754</v>
      </c>
      <c r="I318" s="100">
        <f t="shared" si="63"/>
        <v>11332.5267788281</v>
      </c>
      <c r="J318" s="100">
        <f t="shared" si="64"/>
        <v>1228.2151265617122</v>
      </c>
      <c r="K318" s="100">
        <f t="shared" si="65"/>
        <v>8415.7300472008519</v>
      </c>
      <c r="L318" s="101">
        <f t="shared" si="66"/>
        <v>42929.046675486337</v>
      </c>
      <c r="M318" s="100">
        <f t="shared" si="67"/>
        <v>236842.31670468036</v>
      </c>
      <c r="N318" s="102">
        <f t="shared" si="68"/>
        <v>34565.428590875708</v>
      </c>
      <c r="O318" s="94">
        <f t="shared" si="69"/>
        <v>0.94204037671396768</v>
      </c>
      <c r="P318" s="100">
        <f>'Bef.fremskr. kommunenivå MMMM'!H313</f>
        <v>6852</v>
      </c>
      <c r="Q318" s="100"/>
      <c r="R318" s="100">
        <f t="shared" si="72"/>
        <v>0</v>
      </c>
      <c r="S318" s="100">
        <v>0</v>
      </c>
      <c r="U318" s="100">
        <v>754.46366666666654</v>
      </c>
      <c r="V318" s="5">
        <f t="shared" si="73"/>
        <v>193158.80636252734</v>
      </c>
      <c r="W318" s="5">
        <f t="shared" si="74"/>
        <v>28190.135195932187</v>
      </c>
    </row>
    <row r="319" spans="1:23" ht="13">
      <c r="A319" s="92">
        <v>5054</v>
      </c>
      <c r="B319" s="93" t="s">
        <v>1260</v>
      </c>
      <c r="C319" s="574">
        <v>0.71848384382899488</v>
      </c>
      <c r="D319" s="100">
        <f t="shared" si="60"/>
        <v>26362.672568449394</v>
      </c>
      <c r="E319" s="100">
        <f t="shared" si="61"/>
        <v>259487.78609124737</v>
      </c>
      <c r="F319" s="100">
        <f t="shared" si="70"/>
        <v>6199.5124317560958</v>
      </c>
      <c r="G319" s="100">
        <f t="shared" si="62"/>
        <v>61021.800865775251</v>
      </c>
      <c r="H319" s="100">
        <f t="shared" si="71"/>
        <v>2332.050486776222</v>
      </c>
      <c r="I319" s="100">
        <f t="shared" si="63"/>
        <v>22954.372941338352</v>
      </c>
      <c r="J319" s="100">
        <f t="shared" si="64"/>
        <v>1906.3650326566587</v>
      </c>
      <c r="K319" s="100">
        <f t="shared" si="65"/>
        <v>18764.351016439494</v>
      </c>
      <c r="L319" s="101">
        <f t="shared" si="66"/>
        <v>79786.151882214748</v>
      </c>
      <c r="M319" s="100">
        <f t="shared" si="67"/>
        <v>339273.9379734621</v>
      </c>
      <c r="N319" s="102">
        <f t="shared" si="68"/>
        <v>34468.550032862149</v>
      </c>
      <c r="O319" s="94">
        <f t="shared" si="69"/>
        <v>0.93940006478939075</v>
      </c>
      <c r="P319" s="100">
        <f>'Bef.fremskr. kommunenivå MMMM'!H314</f>
        <v>9843</v>
      </c>
      <c r="Q319" s="100"/>
      <c r="R319" s="100">
        <f t="shared" si="72"/>
        <v>0</v>
      </c>
      <c r="S319" s="100">
        <v>0</v>
      </c>
      <c r="U319" s="100">
        <v>587.27066666666667</v>
      </c>
      <c r="V319" s="5">
        <f t="shared" si="73"/>
        <v>258900.51542458069</v>
      </c>
      <c r="W319" s="5">
        <f t="shared" si="74"/>
        <v>26303.008780308919</v>
      </c>
    </row>
    <row r="320" spans="1:23" ht="13">
      <c r="A320" s="92">
        <v>5055</v>
      </c>
      <c r="B320" s="93" t="s">
        <v>1833</v>
      </c>
      <c r="C320" s="574">
        <v>0.83774460686439844</v>
      </c>
      <c r="D320" s="100">
        <f t="shared" si="60"/>
        <v>30738.599004610263</v>
      </c>
      <c r="E320" s="100">
        <f t="shared" si="61"/>
        <v>179482.67958791932</v>
      </c>
      <c r="F320" s="100">
        <f t="shared" si="70"/>
        <v>3573.956570059574</v>
      </c>
      <c r="G320" s="100">
        <f t="shared" si="62"/>
        <v>20868.332412577853</v>
      </c>
      <c r="H320" s="100">
        <f t="shared" si="71"/>
        <v>800.47623411991788</v>
      </c>
      <c r="I320" s="100">
        <f t="shared" si="63"/>
        <v>4673.9807310262004</v>
      </c>
      <c r="J320" s="100">
        <f t="shared" si="64"/>
        <v>374.79078000035469</v>
      </c>
      <c r="K320" s="100">
        <f t="shared" si="65"/>
        <v>2188.4033644220708</v>
      </c>
      <c r="L320" s="101">
        <f t="shared" si="66"/>
        <v>23056.735776999922</v>
      </c>
      <c r="M320" s="100">
        <f t="shared" si="67"/>
        <v>202539.41536491923</v>
      </c>
      <c r="N320" s="102">
        <f t="shared" si="68"/>
        <v>34687.34635467019</v>
      </c>
      <c r="O320" s="94">
        <f t="shared" si="69"/>
        <v>0.94536310294116088</v>
      </c>
      <c r="P320" s="100">
        <f>'Bef.fremskr. kommunenivå MMMM'!H315</f>
        <v>5839</v>
      </c>
      <c r="Q320" s="100"/>
      <c r="R320" s="100">
        <f t="shared" si="72"/>
        <v>0</v>
      </c>
      <c r="S320" s="100">
        <v>0</v>
      </c>
      <c r="U320" s="100">
        <v>1831.182</v>
      </c>
      <c r="V320" s="5">
        <f t="shared" si="73"/>
        <v>177651.49758791932</v>
      </c>
      <c r="W320" s="5">
        <f t="shared" si="74"/>
        <v>30424.986742236568</v>
      </c>
    </row>
    <row r="321" spans="1:23" ht="13">
      <c r="A321" s="92">
        <v>5056</v>
      </c>
      <c r="B321" s="93" t="s">
        <v>593</v>
      </c>
      <c r="C321" s="574">
        <v>0.86809811880860754</v>
      </c>
      <c r="D321" s="100">
        <f t="shared" si="60"/>
        <v>31852.332742063874</v>
      </c>
      <c r="E321" s="100">
        <f t="shared" si="61"/>
        <v>167479.56555777186</v>
      </c>
      <c r="F321" s="100">
        <f t="shared" si="70"/>
        <v>2905.7163275874072</v>
      </c>
      <c r="G321" s="100">
        <f t="shared" si="62"/>
        <v>15278.256450454586</v>
      </c>
      <c r="H321" s="100">
        <f t="shared" si="71"/>
        <v>410.66942601115403</v>
      </c>
      <c r="I321" s="100">
        <f t="shared" si="63"/>
        <v>2159.2998419666483</v>
      </c>
      <c r="J321" s="100">
        <f t="shared" si="64"/>
        <v>-15.016028108409159</v>
      </c>
      <c r="K321" s="100">
        <f t="shared" si="65"/>
        <v>-78.954275794015359</v>
      </c>
      <c r="L321" s="101">
        <f t="shared" si="66"/>
        <v>15199.30217466057</v>
      </c>
      <c r="M321" s="100">
        <f t="shared" si="67"/>
        <v>182678.86773243244</v>
      </c>
      <c r="N321" s="102">
        <f t="shared" si="68"/>
        <v>34743.033041542876</v>
      </c>
      <c r="O321" s="94">
        <f t="shared" si="69"/>
        <v>0.94688077853837149</v>
      </c>
      <c r="P321" s="100">
        <f>'Bef.fremskr. kommunenivå MMMM'!H316</f>
        <v>5258</v>
      </c>
      <c r="Q321" s="100"/>
      <c r="R321" s="100">
        <f t="shared" si="72"/>
        <v>0</v>
      </c>
      <c r="S321" s="100">
        <v>0</v>
      </c>
      <c r="U321" s="100">
        <v>0</v>
      </c>
      <c r="V321" s="5">
        <f t="shared" si="73"/>
        <v>167479.56555777186</v>
      </c>
      <c r="W321" s="5">
        <f t="shared" si="74"/>
        <v>31852.332742063878</v>
      </c>
    </row>
    <row r="322" spans="1:23" ht="13">
      <c r="A322" s="92">
        <v>5057</v>
      </c>
      <c r="B322" s="93" t="s">
        <v>595</v>
      </c>
      <c r="C322" s="574">
        <v>0.79467053447376457</v>
      </c>
      <c r="D322" s="100">
        <f t="shared" si="60"/>
        <v>29158.121341295908</v>
      </c>
      <c r="E322" s="100">
        <f t="shared" si="61"/>
        <v>303944.25686166855</v>
      </c>
      <c r="F322" s="100">
        <f t="shared" si="70"/>
        <v>4522.2431680481868</v>
      </c>
      <c r="G322" s="100">
        <f t="shared" si="62"/>
        <v>47139.862783734301</v>
      </c>
      <c r="H322" s="100">
        <f t="shared" si="71"/>
        <v>1353.6434162799424</v>
      </c>
      <c r="I322" s="100">
        <f t="shared" si="63"/>
        <v>14110.37897130212</v>
      </c>
      <c r="J322" s="100">
        <f t="shared" si="64"/>
        <v>927.95796216037911</v>
      </c>
      <c r="K322" s="100">
        <f t="shared" si="65"/>
        <v>9673.0337975597922</v>
      </c>
      <c r="L322" s="101">
        <f t="shared" si="66"/>
        <v>56812.896581294095</v>
      </c>
      <c r="M322" s="100">
        <f t="shared" si="67"/>
        <v>360757.15344296262</v>
      </c>
      <c r="N322" s="102">
        <f t="shared" si="68"/>
        <v>34608.322471504478</v>
      </c>
      <c r="O322" s="94">
        <f t="shared" si="69"/>
        <v>0.94320939932162928</v>
      </c>
      <c r="P322" s="100">
        <f>'Bef.fremskr. kommunenivå MMMM'!H317</f>
        <v>10424</v>
      </c>
      <c r="Q322" s="100"/>
      <c r="R322" s="100">
        <f t="shared" si="72"/>
        <v>0</v>
      </c>
      <c r="S322" s="100">
        <v>0</v>
      </c>
      <c r="U322" s="100">
        <v>0</v>
      </c>
      <c r="V322" s="5">
        <f t="shared" si="73"/>
        <v>303944.25686166855</v>
      </c>
      <c r="W322" s="5">
        <f t="shared" si="74"/>
        <v>29158.121341295908</v>
      </c>
    </row>
    <row r="323" spans="1:23" ht="13">
      <c r="A323" s="92">
        <v>5058</v>
      </c>
      <c r="B323" s="93" t="s">
        <v>596</v>
      </c>
      <c r="C323" s="574">
        <v>0.83515946968821309</v>
      </c>
      <c r="D323" s="100">
        <f t="shared" si="60"/>
        <v>30643.744923331127</v>
      </c>
      <c r="E323" s="100">
        <f t="shared" si="61"/>
        <v>130082.69719954063</v>
      </c>
      <c r="F323" s="100">
        <f t="shared" si="70"/>
        <v>3630.8690188270557</v>
      </c>
      <c r="G323" s="100">
        <f t="shared" si="62"/>
        <v>15413.038984920851</v>
      </c>
      <c r="H323" s="100">
        <f t="shared" si="71"/>
        <v>833.67516256761553</v>
      </c>
      <c r="I323" s="100">
        <f t="shared" si="63"/>
        <v>3538.951065099528</v>
      </c>
      <c r="J323" s="100">
        <f t="shared" si="64"/>
        <v>407.98970844805234</v>
      </c>
      <c r="K323" s="100">
        <f t="shared" si="65"/>
        <v>1731.9163123619821</v>
      </c>
      <c r="L323" s="101">
        <f t="shared" si="66"/>
        <v>17144.955297282835</v>
      </c>
      <c r="M323" s="100">
        <f t="shared" si="67"/>
        <v>147227.65249682349</v>
      </c>
      <c r="N323" s="102">
        <f t="shared" si="68"/>
        <v>34682.603650606237</v>
      </c>
      <c r="O323" s="94">
        <f t="shared" si="69"/>
        <v>0.94523384608235173</v>
      </c>
      <c r="P323" s="100">
        <f>'Bef.fremskr. kommunenivå MMMM'!H318</f>
        <v>4245</v>
      </c>
      <c r="Q323" s="100"/>
      <c r="R323" s="100">
        <f t="shared" si="72"/>
        <v>0</v>
      </c>
      <c r="S323" s="100">
        <v>0</v>
      </c>
      <c r="U323" s="100">
        <v>581.72200000000009</v>
      </c>
      <c r="V323" s="5">
        <f t="shared" si="73"/>
        <v>129500.97519954064</v>
      </c>
      <c r="W323" s="5">
        <f t="shared" si="74"/>
        <v>30506.70793864326</v>
      </c>
    </row>
    <row r="324" spans="1:23" ht="13">
      <c r="A324" s="92">
        <v>5059</v>
      </c>
      <c r="B324" s="93" t="s">
        <v>1834</v>
      </c>
      <c r="C324" s="574">
        <v>0.77527377021817034</v>
      </c>
      <c r="D324" s="100">
        <f t="shared" si="60"/>
        <v>28446.413556424213</v>
      </c>
      <c r="E324" s="100">
        <f t="shared" si="61"/>
        <v>529700.66683417524</v>
      </c>
      <c r="F324" s="100">
        <f t="shared" si="70"/>
        <v>4949.2678389712037</v>
      </c>
      <c r="G324" s="100">
        <f t="shared" si="62"/>
        <v>92160.316429482787</v>
      </c>
      <c r="H324" s="100">
        <f t="shared" si="71"/>
        <v>1602.7411409850354</v>
      </c>
      <c r="I324" s="100">
        <f t="shared" si="63"/>
        <v>29844.64278628234</v>
      </c>
      <c r="J324" s="100">
        <f t="shared" si="64"/>
        <v>1177.0556868654721</v>
      </c>
      <c r="K324" s="100">
        <f t="shared" si="65"/>
        <v>21917.953945121953</v>
      </c>
      <c r="L324" s="101">
        <f t="shared" si="66"/>
        <v>114078.27037460473</v>
      </c>
      <c r="M324" s="100">
        <f t="shared" si="67"/>
        <v>643778.93720877997</v>
      </c>
      <c r="N324" s="102">
        <f t="shared" si="68"/>
        <v>34572.737082260886</v>
      </c>
      <c r="O324" s="94">
        <f t="shared" si="69"/>
        <v>0.94223956110884943</v>
      </c>
      <c r="P324" s="100">
        <f>'Bef.fremskr. kommunenivå MMMM'!H319</f>
        <v>18621</v>
      </c>
      <c r="Q324" s="100"/>
      <c r="R324" s="100">
        <f t="shared" si="72"/>
        <v>0</v>
      </c>
      <c r="S324" s="100">
        <v>0</v>
      </c>
      <c r="U324" s="100">
        <v>2340.4306666666666</v>
      </c>
      <c r="V324" s="5">
        <f t="shared" si="73"/>
        <v>527360.23616750853</v>
      </c>
      <c r="W324" s="5">
        <f t="shared" si="74"/>
        <v>28320.725856157485</v>
      </c>
    </row>
    <row r="325" spans="1:23" ht="13">
      <c r="A325" s="92">
        <v>5060</v>
      </c>
      <c r="B325" s="93" t="s">
        <v>1835</v>
      </c>
      <c r="C325" s="574">
        <v>0.92085839891362131</v>
      </c>
      <c r="D325" s="100">
        <f t="shared" si="60"/>
        <v>33788.217593163179</v>
      </c>
      <c r="E325" s="100">
        <f t="shared" si="61"/>
        <v>330482.55627872905</v>
      </c>
      <c r="F325" s="100">
        <f t="shared" si="70"/>
        <v>1744.1854169278245</v>
      </c>
      <c r="G325" s="100">
        <f t="shared" si="62"/>
        <v>17059.877562971051</v>
      </c>
      <c r="H325" s="100">
        <f t="shared" si="71"/>
        <v>0</v>
      </c>
      <c r="I325" s="100">
        <f t="shared" si="63"/>
        <v>0</v>
      </c>
      <c r="J325" s="100">
        <f t="shared" si="64"/>
        <v>-425.68545411956319</v>
      </c>
      <c r="K325" s="100">
        <f t="shared" si="65"/>
        <v>-4163.6294267434478</v>
      </c>
      <c r="L325" s="101">
        <f t="shared" si="66"/>
        <v>12896.248136227603</v>
      </c>
      <c r="M325" s="100">
        <f t="shared" si="67"/>
        <v>343378.80441495666</v>
      </c>
      <c r="N325" s="102">
        <f t="shared" si="68"/>
        <v>35106.717555971438</v>
      </c>
      <c r="O325" s="94">
        <f t="shared" si="69"/>
        <v>0.95679257512080285</v>
      </c>
      <c r="P325" s="100">
        <f>'Bef.fremskr. kommunenivå MMMM'!H320</f>
        <v>9781</v>
      </c>
      <c r="Q325" s="100"/>
      <c r="R325" s="100">
        <f t="shared" si="72"/>
        <v>0</v>
      </c>
      <c r="S325" s="100">
        <v>0</v>
      </c>
      <c r="U325" s="100">
        <v>0</v>
      </c>
      <c r="V325" s="5">
        <f t="shared" si="73"/>
        <v>330482.55627872905</v>
      </c>
      <c r="W325" s="5">
        <f t="shared" si="74"/>
        <v>33788.217593163179</v>
      </c>
    </row>
    <row r="326" spans="1:23" ht="13">
      <c r="A326" s="92">
        <v>5061</v>
      </c>
      <c r="B326" s="93" t="s">
        <v>590</v>
      </c>
      <c r="C326" s="574">
        <v>0.75867681916161633</v>
      </c>
      <c r="D326" s="100">
        <f t="shared" si="60"/>
        <v>27837.436764396789</v>
      </c>
      <c r="E326" s="100">
        <f t="shared" si="61"/>
        <v>54255.164253809344</v>
      </c>
      <c r="F326" s="100">
        <f t="shared" si="70"/>
        <v>5314.6539141876583</v>
      </c>
      <c r="G326" s="100">
        <f t="shared" si="62"/>
        <v>10358.260478751747</v>
      </c>
      <c r="H326" s="100">
        <f t="shared" si="71"/>
        <v>1815.8830181946339</v>
      </c>
      <c r="I326" s="100">
        <f t="shared" si="63"/>
        <v>3539.1560024613418</v>
      </c>
      <c r="J326" s="100">
        <f t="shared" si="64"/>
        <v>1390.1975640750707</v>
      </c>
      <c r="K326" s="100">
        <f t="shared" si="65"/>
        <v>2709.4950523823127</v>
      </c>
      <c r="L326" s="101">
        <f t="shared" si="66"/>
        <v>13067.755531134058</v>
      </c>
      <c r="M326" s="100">
        <f t="shared" si="67"/>
        <v>67322.919784943399</v>
      </c>
      <c r="N326" s="102">
        <f t="shared" si="68"/>
        <v>34542.288242659517</v>
      </c>
      <c r="O326" s="94">
        <f t="shared" si="69"/>
        <v>0.94140971355602177</v>
      </c>
      <c r="P326" s="100">
        <f>'Bef.fremskr. kommunenivå MMMM'!H321</f>
        <v>1949</v>
      </c>
      <c r="Q326" s="100"/>
      <c r="R326" s="100">
        <f t="shared" si="72"/>
        <v>0</v>
      </c>
      <c r="S326" s="100">
        <v>0</v>
      </c>
      <c r="U326" s="100">
        <v>3523.9503333333337</v>
      </c>
      <c r="V326" s="5">
        <f t="shared" si="73"/>
        <v>50731.21392047601</v>
      </c>
      <c r="W326" s="5">
        <f t="shared" si="74"/>
        <v>26029.355526154959</v>
      </c>
    </row>
    <row r="327" spans="1:23" ht="13">
      <c r="A327" s="92">
        <v>5401</v>
      </c>
      <c r="B327" s="93" t="s">
        <v>665</v>
      </c>
      <c r="C327" s="574">
        <v>0.97169686801653943</v>
      </c>
      <c r="D327" s="100">
        <f t="shared" si="60"/>
        <v>35653.587185468794</v>
      </c>
      <c r="E327" s="100">
        <f t="shared" si="61"/>
        <v>2791105.4192272392</v>
      </c>
      <c r="F327" s="100">
        <f t="shared" si="70"/>
        <v>624.9636615444557</v>
      </c>
      <c r="G327" s="100">
        <f t="shared" si="62"/>
        <v>48924.655280346167</v>
      </c>
      <c r="H327" s="100">
        <f t="shared" si="71"/>
        <v>0</v>
      </c>
      <c r="I327" s="100">
        <f t="shared" si="63"/>
        <v>0</v>
      </c>
      <c r="J327" s="100">
        <f t="shared" si="64"/>
        <v>-425.68545411956319</v>
      </c>
      <c r="K327" s="100">
        <f t="shared" si="65"/>
        <v>-33324.360090295886</v>
      </c>
      <c r="L327" s="101">
        <f t="shared" si="66"/>
        <v>15600.295190050281</v>
      </c>
      <c r="M327" s="100">
        <f t="shared" si="67"/>
        <v>2806705.7144172895</v>
      </c>
      <c r="N327" s="102">
        <f t="shared" si="68"/>
        <v>35852.865392893684</v>
      </c>
      <c r="O327" s="94">
        <f t="shared" si="69"/>
        <v>0.97712796276197023</v>
      </c>
      <c r="P327" s="100">
        <f>'Bef.fremskr. kommunenivå MMMM'!H322</f>
        <v>78284</v>
      </c>
      <c r="Q327" s="100"/>
      <c r="R327" s="100">
        <f t="shared" si="72"/>
        <v>0</v>
      </c>
      <c r="S327" s="100">
        <v>0</v>
      </c>
      <c r="U327" s="100">
        <v>0</v>
      </c>
      <c r="V327" s="5">
        <f t="shared" si="73"/>
        <v>2791105.4192272392</v>
      </c>
      <c r="W327" s="5">
        <f t="shared" si="74"/>
        <v>35653.587185468794</v>
      </c>
    </row>
    <row r="328" spans="1:23" ht="13">
      <c r="A328" s="92">
        <v>5402</v>
      </c>
      <c r="B328" s="93" t="s">
        <v>664</v>
      </c>
      <c r="C328" s="574">
        <v>0.85959676869202661</v>
      </c>
      <c r="D328" s="100">
        <f t="shared" si="60"/>
        <v>31540.400453762461</v>
      </c>
      <c r="E328" s="100">
        <f t="shared" si="61"/>
        <v>782548.87565830036</v>
      </c>
      <c r="F328" s="100">
        <f t="shared" si="70"/>
        <v>3092.8757005682555</v>
      </c>
      <c r="G328" s="100">
        <f t="shared" si="62"/>
        <v>76737.339006798982</v>
      </c>
      <c r="H328" s="100">
        <f t="shared" si="71"/>
        <v>519.84572691664891</v>
      </c>
      <c r="I328" s="100">
        <f t="shared" si="63"/>
        <v>12897.892330528977</v>
      </c>
      <c r="J328" s="100">
        <f t="shared" si="64"/>
        <v>94.160272797085725</v>
      </c>
      <c r="K328" s="100">
        <f t="shared" si="65"/>
        <v>2336.2105283684941</v>
      </c>
      <c r="L328" s="101">
        <f t="shared" si="66"/>
        <v>79073.549535167476</v>
      </c>
      <c r="M328" s="100">
        <f t="shared" si="67"/>
        <v>861622.42519346788</v>
      </c>
      <c r="N328" s="102">
        <f t="shared" si="68"/>
        <v>34727.436427127803</v>
      </c>
      <c r="O328" s="94">
        <f t="shared" si="69"/>
        <v>0.94645571103254234</v>
      </c>
      <c r="P328" s="100">
        <f>'Bef.fremskr. kommunenivå MMMM'!H323</f>
        <v>24811</v>
      </c>
      <c r="Q328" s="100"/>
      <c r="R328" s="100">
        <f t="shared" si="72"/>
        <v>0</v>
      </c>
      <c r="S328" s="100">
        <v>0</v>
      </c>
      <c r="U328" s="100">
        <v>3.3283333333333331</v>
      </c>
      <c r="V328" s="5">
        <f t="shared" si="73"/>
        <v>782545.54732496699</v>
      </c>
      <c r="W328" s="5">
        <f t="shared" si="74"/>
        <v>31540.266306274112</v>
      </c>
    </row>
    <row r="329" spans="1:23" ht="13">
      <c r="A329" s="92">
        <v>5403</v>
      </c>
      <c r="B329" s="93" t="s">
        <v>688</v>
      </c>
      <c r="C329" s="574">
        <v>0.85557807892624049</v>
      </c>
      <c r="D329" s="100">
        <f t="shared" si="60"/>
        <v>31392.946334425556</v>
      </c>
      <c r="E329" s="100">
        <f t="shared" si="61"/>
        <v>668826.72165493644</v>
      </c>
      <c r="F329" s="100">
        <f t="shared" si="70"/>
        <v>3181.3481721703979</v>
      </c>
      <c r="G329" s="100">
        <f t="shared" si="62"/>
        <v>67778.622808090324</v>
      </c>
      <c r="H329" s="100">
        <f t="shared" si="71"/>
        <v>571.45466868456526</v>
      </c>
      <c r="I329" s="100">
        <f t="shared" si="63"/>
        <v>12174.841716324663</v>
      </c>
      <c r="J329" s="100">
        <f t="shared" si="64"/>
        <v>145.76921456500207</v>
      </c>
      <c r="K329" s="100">
        <f t="shared" si="65"/>
        <v>3105.6131163073692</v>
      </c>
      <c r="L329" s="101">
        <f t="shared" si="66"/>
        <v>70884.235924397697</v>
      </c>
      <c r="M329" s="100">
        <f t="shared" si="67"/>
        <v>739710.95757933415</v>
      </c>
      <c r="N329" s="102">
        <f t="shared" si="68"/>
        <v>34720.063721160957</v>
      </c>
      <c r="O329" s="94">
        <f t="shared" si="69"/>
        <v>0.94625477654425305</v>
      </c>
      <c r="P329" s="100">
        <f>'Bef.fremskr. kommunenivå MMMM'!H324</f>
        <v>21305</v>
      </c>
      <c r="Q329" s="100"/>
      <c r="R329" s="100">
        <f t="shared" si="72"/>
        <v>0</v>
      </c>
      <c r="S329" s="100">
        <v>0</v>
      </c>
      <c r="U329" s="100">
        <v>6686.8849999999993</v>
      </c>
      <c r="V329" s="5">
        <f t="shared" si="73"/>
        <v>662139.83665493643</v>
      </c>
      <c r="W329" s="5">
        <f t="shared" si="74"/>
        <v>31079.081748647568</v>
      </c>
    </row>
    <row r="330" spans="1:23" ht="13">
      <c r="A330" s="92">
        <v>5404</v>
      </c>
      <c r="B330" s="93" t="s">
        <v>684</v>
      </c>
      <c r="C330" s="574">
        <v>0.71096055164249772</v>
      </c>
      <c r="D330" s="100">
        <f t="shared" ref="D330:D365" si="75">C330*D$367</f>
        <v>26086.627267983869</v>
      </c>
      <c r="E330" s="100">
        <f t="shared" ref="E330:E365" si="76">D330*P330/1000</f>
        <v>49877.631336385159</v>
      </c>
      <c r="F330" s="100">
        <f t="shared" si="70"/>
        <v>6365.1396120354102</v>
      </c>
      <c r="G330" s="100">
        <f t="shared" ref="G330:G365" si="77">F330*P330/1000</f>
        <v>12170.146938211703</v>
      </c>
      <c r="H330" s="100">
        <f t="shared" si="71"/>
        <v>2428.6663419391557</v>
      </c>
      <c r="I330" s="100">
        <f t="shared" ref="I330:I365" si="78">H330*P330/1000</f>
        <v>4643.6100457876664</v>
      </c>
      <c r="J330" s="100">
        <f t="shared" ref="J330:J365" si="79">H330+H$370</f>
        <v>2002.9808878195925</v>
      </c>
      <c r="K330" s="100">
        <f t="shared" ref="K330:K365" si="80">J330*P330/1000</f>
        <v>3829.6994575110607</v>
      </c>
      <c r="L330" s="101">
        <f t="shared" ref="L330:L365" si="81">K330+G330</f>
        <v>15999.846395722763</v>
      </c>
      <c r="M330" s="100">
        <f t="shared" ref="M330:M365" si="82">K330+E330+G330</f>
        <v>65877.477732107916</v>
      </c>
      <c r="N330" s="102">
        <f t="shared" ref="N330:N365" si="83">M330*1000/P330</f>
        <v>34454.747767838868</v>
      </c>
      <c r="O330" s="94">
        <f t="shared" ref="O330:O365" si="84">N330/N$367</f>
        <v>0.93902390018006576</v>
      </c>
      <c r="P330" s="100">
        <f>'Bef.fremskr. kommunenivå MMMM'!H325</f>
        <v>1912</v>
      </c>
      <c r="Q330" s="100"/>
      <c r="R330" s="100">
        <f t="shared" si="72"/>
        <v>0</v>
      </c>
      <c r="S330" s="100">
        <v>0</v>
      </c>
      <c r="U330" s="100">
        <v>0</v>
      </c>
      <c r="V330" s="5">
        <f t="shared" si="73"/>
        <v>49877.631336385159</v>
      </c>
      <c r="W330" s="5">
        <f t="shared" si="74"/>
        <v>26086.627267983869</v>
      </c>
    </row>
    <row r="331" spans="1:23" ht="13">
      <c r="A331" s="92">
        <v>5405</v>
      </c>
      <c r="B331" s="93" t="s">
        <v>685</v>
      </c>
      <c r="C331" s="574">
        <v>0.82601352784701365</v>
      </c>
      <c r="D331" s="100">
        <f t="shared" si="75"/>
        <v>30308.161218616664</v>
      </c>
      <c r="E331" s="100">
        <f t="shared" si="76"/>
        <v>168392.14373063418</v>
      </c>
      <c r="F331" s="100">
        <f t="shared" ref="F331:F365" si="85">($D$367+$R$367-D331-R331)*0.6</f>
        <v>3832.2192416557336</v>
      </c>
      <c r="G331" s="100">
        <f t="shared" si="77"/>
        <v>21291.810106639256</v>
      </c>
      <c r="H331" s="100">
        <f t="shared" ref="H331:H365" si="86">IF((D331+R331)&lt;(D$367+R$367)*0.9,((D$367+R$367)*0.9-(D331+R331))*0.35,0)</f>
        <v>951.12945921767766</v>
      </c>
      <c r="I331" s="100">
        <f t="shared" si="78"/>
        <v>5284.475275413417</v>
      </c>
      <c r="J331" s="100">
        <f t="shared" si="79"/>
        <v>525.44400509811453</v>
      </c>
      <c r="K331" s="100">
        <f t="shared" si="80"/>
        <v>2919.3668923251244</v>
      </c>
      <c r="L331" s="101">
        <f t="shared" si="81"/>
        <v>24211.17699896438</v>
      </c>
      <c r="M331" s="100">
        <f t="shared" si="82"/>
        <v>192603.32072959855</v>
      </c>
      <c r="N331" s="102">
        <f t="shared" si="83"/>
        <v>34665.824465370511</v>
      </c>
      <c r="O331" s="94">
        <f t="shared" si="84"/>
        <v>0.94477654899029162</v>
      </c>
      <c r="P331" s="100">
        <f>'Bef.fremskr. kommunenivå MMMM'!H326</f>
        <v>5556</v>
      </c>
      <c r="Q331" s="100"/>
      <c r="R331" s="100">
        <f t="shared" ref="R331:R367" si="87">S331*1000/P331</f>
        <v>0</v>
      </c>
      <c r="S331" s="100">
        <v>0</v>
      </c>
      <c r="U331" s="100">
        <v>0</v>
      </c>
      <c r="V331" s="5">
        <f t="shared" ref="V331:V365" si="88">+E331-U331</f>
        <v>168392.14373063418</v>
      </c>
      <c r="W331" s="5">
        <f t="shared" ref="W331:W367" si="89">+V331*1000/P331</f>
        <v>30308.161218616664</v>
      </c>
    </row>
    <row r="332" spans="1:23" ht="13">
      <c r="A332" s="92">
        <v>5406</v>
      </c>
      <c r="B332" s="93" t="s">
        <v>686</v>
      </c>
      <c r="C332" s="574">
        <v>0.91634347893335033</v>
      </c>
      <c r="D332" s="100">
        <f t="shared" si="75"/>
        <v>33622.555751028616</v>
      </c>
      <c r="E332" s="100">
        <f t="shared" si="76"/>
        <v>380237.48298838263</v>
      </c>
      <c r="F332" s="100">
        <f t="shared" si="85"/>
        <v>1843.5825222085623</v>
      </c>
      <c r="G332" s="100">
        <f t="shared" si="77"/>
        <v>20849.074743656631</v>
      </c>
      <c r="H332" s="100">
        <f t="shared" si="86"/>
        <v>0</v>
      </c>
      <c r="I332" s="100">
        <f t="shared" si="78"/>
        <v>0</v>
      </c>
      <c r="J332" s="100">
        <f t="shared" si="79"/>
        <v>-425.68545411956319</v>
      </c>
      <c r="K332" s="100">
        <f t="shared" si="80"/>
        <v>-4814.0768006381404</v>
      </c>
      <c r="L332" s="101">
        <f t="shared" si="81"/>
        <v>16034.99794301849</v>
      </c>
      <c r="M332" s="100">
        <f t="shared" si="82"/>
        <v>396272.48093140108</v>
      </c>
      <c r="N332" s="102">
        <f t="shared" si="83"/>
        <v>35040.452819117614</v>
      </c>
      <c r="O332" s="94">
        <f t="shared" si="84"/>
        <v>0.95498660712869454</v>
      </c>
      <c r="P332" s="100">
        <f>'Bef.fremskr. kommunenivå MMMM'!H327</f>
        <v>11309</v>
      </c>
      <c r="Q332" s="100"/>
      <c r="R332" s="100">
        <f t="shared" si="87"/>
        <v>0</v>
      </c>
      <c r="S332" s="100">
        <v>0</v>
      </c>
      <c r="U332" s="100">
        <v>558.19966666666664</v>
      </c>
      <c r="V332" s="5">
        <f t="shared" si="88"/>
        <v>379679.28332171595</v>
      </c>
      <c r="W332" s="5">
        <f t="shared" si="89"/>
        <v>33573.196862827477</v>
      </c>
    </row>
    <row r="333" spans="1:23" ht="13">
      <c r="A333" s="92">
        <v>5411</v>
      </c>
      <c r="B333" s="93" t="s">
        <v>666</v>
      </c>
      <c r="C333" s="574">
        <v>0.70159314143252172</v>
      </c>
      <c r="D333" s="100">
        <f t="shared" si="75"/>
        <v>25742.917426348624</v>
      </c>
      <c r="E333" s="100">
        <f t="shared" si="76"/>
        <v>72363.340885465979</v>
      </c>
      <c r="F333" s="100">
        <f t="shared" si="85"/>
        <v>6571.3655170165575</v>
      </c>
      <c r="G333" s="100">
        <f t="shared" si="77"/>
        <v>18472.108468333543</v>
      </c>
      <c r="H333" s="100">
        <f t="shared" si="86"/>
        <v>2548.9647865114916</v>
      </c>
      <c r="I333" s="100">
        <f t="shared" si="78"/>
        <v>7165.1400148838029</v>
      </c>
      <c r="J333" s="100">
        <f t="shared" si="79"/>
        <v>2123.2793323919286</v>
      </c>
      <c r="K333" s="100">
        <f t="shared" si="80"/>
        <v>5968.5382033537117</v>
      </c>
      <c r="L333" s="101">
        <f t="shared" si="81"/>
        <v>24440.646671687253</v>
      </c>
      <c r="M333" s="100">
        <f t="shared" si="82"/>
        <v>96803.987557153247</v>
      </c>
      <c r="N333" s="102">
        <f t="shared" si="83"/>
        <v>34437.562275757111</v>
      </c>
      <c r="O333" s="94">
        <f t="shared" si="84"/>
        <v>0.93855552966956712</v>
      </c>
      <c r="P333" s="100">
        <f>'Bef.fremskr. kommunenivå MMMM'!H328</f>
        <v>2811</v>
      </c>
      <c r="Q333" s="100"/>
      <c r="R333" s="100">
        <f t="shared" si="87"/>
        <v>0</v>
      </c>
      <c r="S333" s="100">
        <v>0</v>
      </c>
      <c r="U333" s="100">
        <v>0</v>
      </c>
      <c r="V333" s="5">
        <f t="shared" si="88"/>
        <v>72363.340885465979</v>
      </c>
      <c r="W333" s="5">
        <f t="shared" si="89"/>
        <v>25742.917426348624</v>
      </c>
    </row>
    <row r="334" spans="1:23" ht="13">
      <c r="A334" s="92">
        <v>5412</v>
      </c>
      <c r="B334" s="93" t="s">
        <v>652</v>
      </c>
      <c r="C334" s="574">
        <v>0.74648005355010516</v>
      </c>
      <c r="D334" s="100">
        <f t="shared" si="75"/>
        <v>27389.911964817689</v>
      </c>
      <c r="E334" s="100">
        <f t="shared" si="76"/>
        <v>116544.07541029927</v>
      </c>
      <c r="F334" s="100">
        <f t="shared" si="85"/>
        <v>5583.1687939351186</v>
      </c>
      <c r="G334" s="100">
        <f t="shared" si="77"/>
        <v>23756.383218193929</v>
      </c>
      <c r="H334" s="100">
        <f t="shared" si="86"/>
        <v>1972.5166980473186</v>
      </c>
      <c r="I334" s="100">
        <f t="shared" si="78"/>
        <v>8393.0585501913411</v>
      </c>
      <c r="J334" s="100">
        <f t="shared" si="79"/>
        <v>1546.8312439277554</v>
      </c>
      <c r="K334" s="100">
        <f t="shared" si="80"/>
        <v>6581.766942912599</v>
      </c>
      <c r="L334" s="101">
        <f t="shared" si="81"/>
        <v>30338.150161106529</v>
      </c>
      <c r="M334" s="100">
        <f t="shared" si="82"/>
        <v>146882.22557140578</v>
      </c>
      <c r="N334" s="102">
        <f t="shared" si="83"/>
        <v>34519.912002680554</v>
      </c>
      <c r="O334" s="94">
        <f t="shared" si="84"/>
        <v>0.94079987527544595</v>
      </c>
      <c r="P334" s="100">
        <f>'Bef.fremskr. kommunenivå MMMM'!H329</f>
        <v>4255</v>
      </c>
      <c r="Q334" s="100"/>
      <c r="R334" s="100">
        <f t="shared" si="87"/>
        <v>0</v>
      </c>
      <c r="S334" s="100">
        <v>0</v>
      </c>
      <c r="U334" s="100">
        <v>95.719666666666669</v>
      </c>
      <c r="V334" s="5">
        <f t="shared" si="88"/>
        <v>116448.35574363259</v>
      </c>
      <c r="W334" s="5">
        <f t="shared" si="89"/>
        <v>27367.416155965358</v>
      </c>
    </row>
    <row r="335" spans="1:23" ht="13">
      <c r="A335" s="92">
        <v>5413</v>
      </c>
      <c r="B335" s="93" t="s">
        <v>667</v>
      </c>
      <c r="C335" s="574">
        <v>0.8087855025742019</v>
      </c>
      <c r="D335" s="100">
        <f t="shared" si="75"/>
        <v>29676.028995785215</v>
      </c>
      <c r="E335" s="100">
        <f t="shared" si="76"/>
        <v>38044.669172596645</v>
      </c>
      <c r="F335" s="100">
        <f t="shared" si="85"/>
        <v>4211.4985753546034</v>
      </c>
      <c r="G335" s="100">
        <f t="shared" si="77"/>
        <v>5399.141173604602</v>
      </c>
      <c r="H335" s="100">
        <f t="shared" si="86"/>
        <v>1172.3757372086848</v>
      </c>
      <c r="I335" s="100">
        <f t="shared" si="78"/>
        <v>1502.9856951015338</v>
      </c>
      <c r="J335" s="100">
        <f t="shared" si="79"/>
        <v>746.69028308912152</v>
      </c>
      <c r="K335" s="100">
        <f t="shared" si="80"/>
        <v>957.25694292025389</v>
      </c>
      <c r="L335" s="101">
        <f t="shared" si="81"/>
        <v>6356.3981165248561</v>
      </c>
      <c r="M335" s="100">
        <f t="shared" si="82"/>
        <v>44401.0672891215</v>
      </c>
      <c r="N335" s="102">
        <f t="shared" si="83"/>
        <v>34634.21785422894</v>
      </c>
      <c r="O335" s="94">
        <f t="shared" si="84"/>
        <v>0.94391514772665108</v>
      </c>
      <c r="P335" s="100">
        <f>'Bef.fremskr. kommunenivå MMMM'!H330</f>
        <v>1282</v>
      </c>
      <c r="Q335" s="100"/>
      <c r="R335" s="100">
        <f t="shared" si="87"/>
        <v>0</v>
      </c>
      <c r="S335" s="100">
        <v>0</v>
      </c>
      <c r="U335" s="100">
        <v>0</v>
      </c>
      <c r="V335" s="5">
        <f t="shared" si="88"/>
        <v>38044.669172596645</v>
      </c>
      <c r="W335" s="5">
        <f t="shared" si="89"/>
        <v>29676.028995785218</v>
      </c>
    </row>
    <row r="336" spans="1:23" ht="13">
      <c r="A336" s="92">
        <v>5414</v>
      </c>
      <c r="B336" s="93" t="s">
        <v>668</v>
      </c>
      <c r="C336" s="574">
        <v>0.80916710473145881</v>
      </c>
      <c r="D336" s="100">
        <f t="shared" si="75"/>
        <v>29690.030775796808</v>
      </c>
      <c r="E336" s="100">
        <f t="shared" si="76"/>
        <v>32065.233237860553</v>
      </c>
      <c r="F336" s="100">
        <f t="shared" si="85"/>
        <v>4203.0975073476475</v>
      </c>
      <c r="G336" s="100">
        <f t="shared" si="77"/>
        <v>4539.3453079354595</v>
      </c>
      <c r="H336" s="100">
        <f t="shared" si="86"/>
        <v>1167.4751142046273</v>
      </c>
      <c r="I336" s="100">
        <f t="shared" si="78"/>
        <v>1260.8731233409974</v>
      </c>
      <c r="J336" s="100">
        <f t="shared" si="79"/>
        <v>741.78966008506404</v>
      </c>
      <c r="K336" s="100">
        <f t="shared" si="80"/>
        <v>801.13283289186916</v>
      </c>
      <c r="L336" s="101">
        <f t="shared" si="81"/>
        <v>5340.4781408273284</v>
      </c>
      <c r="M336" s="100">
        <f t="shared" si="82"/>
        <v>37405.711378687884</v>
      </c>
      <c r="N336" s="102">
        <f t="shared" si="83"/>
        <v>34634.91794322952</v>
      </c>
      <c r="O336" s="94">
        <f t="shared" si="84"/>
        <v>0.94393422783451397</v>
      </c>
      <c r="P336" s="100">
        <f>'Bef.fremskr. kommunenivå MMMM'!H331</f>
        <v>1080</v>
      </c>
      <c r="Q336" s="100"/>
      <c r="R336" s="100">
        <f t="shared" si="87"/>
        <v>0</v>
      </c>
      <c r="S336" s="100">
        <v>0</v>
      </c>
      <c r="U336" s="100">
        <v>0</v>
      </c>
      <c r="V336" s="5">
        <f t="shared" si="88"/>
        <v>32065.233237860553</v>
      </c>
      <c r="W336" s="5">
        <f t="shared" si="89"/>
        <v>29690.030775796808</v>
      </c>
    </row>
    <row r="337" spans="1:23" ht="13">
      <c r="A337" s="92">
        <v>5415</v>
      </c>
      <c r="B337" s="93" t="s">
        <v>669</v>
      </c>
      <c r="C337" s="574">
        <v>0.65442137602227357</v>
      </c>
      <c r="D337" s="100">
        <f t="shared" si="75"/>
        <v>24012.086849339768</v>
      </c>
      <c r="E337" s="100">
        <f t="shared" si="76"/>
        <v>22883.518767420799</v>
      </c>
      <c r="F337" s="100">
        <f t="shared" si="85"/>
        <v>7609.8638632218708</v>
      </c>
      <c r="G337" s="100">
        <f t="shared" si="77"/>
        <v>7252.2002616504433</v>
      </c>
      <c r="H337" s="100">
        <f t="shared" si="86"/>
        <v>3154.7554884645911</v>
      </c>
      <c r="I337" s="100">
        <f t="shared" si="78"/>
        <v>3006.4819805067555</v>
      </c>
      <c r="J337" s="100">
        <f t="shared" si="79"/>
        <v>2729.070034345028</v>
      </c>
      <c r="K337" s="100">
        <f t="shared" si="80"/>
        <v>2600.8037427308118</v>
      </c>
      <c r="L337" s="101">
        <f t="shared" si="81"/>
        <v>9853.0040043812551</v>
      </c>
      <c r="M337" s="100">
        <f t="shared" si="82"/>
        <v>32736.522771802054</v>
      </c>
      <c r="N337" s="102">
        <f t="shared" si="83"/>
        <v>34351.020746906666</v>
      </c>
      <c r="O337" s="94">
        <f t="shared" si="84"/>
        <v>0.93619694139905463</v>
      </c>
      <c r="P337" s="100">
        <f>'Bef.fremskr. kommunenivå MMMM'!H332</f>
        <v>953</v>
      </c>
      <c r="Q337" s="100"/>
      <c r="R337" s="100">
        <f t="shared" si="87"/>
        <v>0</v>
      </c>
      <c r="S337" s="100">
        <v>0</v>
      </c>
      <c r="U337" s="100">
        <v>0</v>
      </c>
      <c r="V337" s="5">
        <f t="shared" si="88"/>
        <v>22883.518767420799</v>
      </c>
      <c r="W337" s="5">
        <f t="shared" si="89"/>
        <v>24012.086849339768</v>
      </c>
    </row>
    <row r="338" spans="1:23" ht="13">
      <c r="A338" s="92">
        <v>5416</v>
      </c>
      <c r="B338" s="93" t="s">
        <v>670</v>
      </c>
      <c r="C338" s="574">
        <v>0.9480093379130482</v>
      </c>
      <c r="D338" s="100">
        <f t="shared" si="75"/>
        <v>34784.442241658122</v>
      </c>
      <c r="E338" s="100">
        <f t="shared" si="76"/>
        <v>142233.58432614006</v>
      </c>
      <c r="F338" s="100">
        <f t="shared" si="85"/>
        <v>1146.4506278308588</v>
      </c>
      <c r="G338" s="100">
        <f t="shared" si="77"/>
        <v>4687.8366172003816</v>
      </c>
      <c r="H338" s="100">
        <f t="shared" si="86"/>
        <v>0</v>
      </c>
      <c r="I338" s="100">
        <f t="shared" si="78"/>
        <v>0</v>
      </c>
      <c r="J338" s="100">
        <f t="shared" si="79"/>
        <v>-425.68545411956319</v>
      </c>
      <c r="K338" s="100">
        <f t="shared" si="80"/>
        <v>-1740.6278218948939</v>
      </c>
      <c r="L338" s="101">
        <f t="shared" si="81"/>
        <v>2947.2087953054879</v>
      </c>
      <c r="M338" s="100">
        <f t="shared" si="82"/>
        <v>145180.79312144555</v>
      </c>
      <c r="N338" s="102">
        <f t="shared" si="83"/>
        <v>35505.207415369412</v>
      </c>
      <c r="O338" s="94">
        <f t="shared" si="84"/>
        <v>0.96765295072057356</v>
      </c>
      <c r="P338" s="100">
        <f>'Bef.fremskr. kommunenivå MMMM'!H333</f>
        <v>4089</v>
      </c>
      <c r="Q338" s="100"/>
      <c r="R338" s="100">
        <f t="shared" si="87"/>
        <v>0</v>
      </c>
      <c r="S338" s="100">
        <v>0</v>
      </c>
      <c r="U338" s="100">
        <v>12239.446666666665</v>
      </c>
      <c r="V338" s="5">
        <f t="shared" si="88"/>
        <v>129994.13765947339</v>
      </c>
      <c r="W338" s="5">
        <f t="shared" si="89"/>
        <v>31791.180645505843</v>
      </c>
    </row>
    <row r="339" spans="1:23" ht="13">
      <c r="A339" s="92">
        <v>5417</v>
      </c>
      <c r="B339" s="93" t="s">
        <v>671</v>
      </c>
      <c r="C339" s="574">
        <v>0.79463373760411926</v>
      </c>
      <c r="D339" s="100">
        <f t="shared" si="75"/>
        <v>29156.771187309376</v>
      </c>
      <c r="E339" s="100">
        <f t="shared" si="76"/>
        <v>61608.257518784711</v>
      </c>
      <c r="F339" s="100">
        <f t="shared" si="85"/>
        <v>4523.053260440106</v>
      </c>
      <c r="G339" s="100">
        <f t="shared" si="77"/>
        <v>9557.211539309943</v>
      </c>
      <c r="H339" s="100">
        <f t="shared" si="86"/>
        <v>1354.1159701752285</v>
      </c>
      <c r="I339" s="100">
        <f t="shared" si="78"/>
        <v>2861.2470449802577</v>
      </c>
      <c r="J339" s="100">
        <f t="shared" si="79"/>
        <v>928.43051605566529</v>
      </c>
      <c r="K339" s="100">
        <f t="shared" si="80"/>
        <v>1961.7736804256208</v>
      </c>
      <c r="L339" s="101">
        <f t="shared" si="81"/>
        <v>11518.985219735563</v>
      </c>
      <c r="M339" s="100">
        <f t="shared" si="82"/>
        <v>73127.242738520275</v>
      </c>
      <c r="N339" s="102">
        <f t="shared" si="83"/>
        <v>34608.25496380515</v>
      </c>
      <c r="O339" s="94">
        <f t="shared" si="84"/>
        <v>0.94320755947814705</v>
      </c>
      <c r="P339" s="100">
        <f>'Bef.fremskr. kommunenivå MMMM'!H334</f>
        <v>2113</v>
      </c>
      <c r="Q339" s="100"/>
      <c r="R339" s="100">
        <f t="shared" si="87"/>
        <v>0</v>
      </c>
      <c r="S339" s="100">
        <v>0</v>
      </c>
      <c r="U339" s="100">
        <v>0</v>
      </c>
      <c r="V339" s="5">
        <f t="shared" si="88"/>
        <v>61608.257518784711</v>
      </c>
      <c r="W339" s="5">
        <f t="shared" si="89"/>
        <v>29156.771187309376</v>
      </c>
    </row>
    <row r="340" spans="1:23" ht="13">
      <c r="A340" s="92">
        <v>5418</v>
      </c>
      <c r="B340" s="93" t="s">
        <v>672</v>
      </c>
      <c r="C340" s="574">
        <v>0.8878728073502552</v>
      </c>
      <c r="D340" s="100">
        <f t="shared" si="75"/>
        <v>32577.907358172572</v>
      </c>
      <c r="E340" s="100">
        <f t="shared" si="76"/>
        <v>218011.35604089085</v>
      </c>
      <c r="F340" s="100">
        <f t="shared" si="85"/>
        <v>2470.3715579221889</v>
      </c>
      <c r="G340" s="100">
        <f t="shared" si="77"/>
        <v>16531.726465615287</v>
      </c>
      <c r="H340" s="100">
        <f t="shared" si="86"/>
        <v>156.71831037311003</v>
      </c>
      <c r="I340" s="100">
        <f t="shared" si="78"/>
        <v>1048.7589330168523</v>
      </c>
      <c r="J340" s="100">
        <f t="shared" si="79"/>
        <v>-268.96714374645319</v>
      </c>
      <c r="K340" s="100">
        <f t="shared" si="80"/>
        <v>-1799.9281259512647</v>
      </c>
      <c r="L340" s="101">
        <f t="shared" si="81"/>
        <v>14731.798339664023</v>
      </c>
      <c r="M340" s="100">
        <f t="shared" si="82"/>
        <v>232743.15438055489</v>
      </c>
      <c r="N340" s="102">
        <f t="shared" si="83"/>
        <v>34779.311772348308</v>
      </c>
      <c r="O340" s="94">
        <f t="shared" si="84"/>
        <v>0.94786951296545374</v>
      </c>
      <c r="P340" s="100">
        <f>'Bef.fremskr. kommunenivå MMMM'!H335</f>
        <v>6692</v>
      </c>
      <c r="Q340" s="100"/>
      <c r="R340" s="100">
        <f t="shared" si="87"/>
        <v>0</v>
      </c>
      <c r="S340" s="100">
        <v>0</v>
      </c>
      <c r="U340" s="100">
        <v>4330.8993333333337</v>
      </c>
      <c r="V340" s="5">
        <f t="shared" si="88"/>
        <v>213680.45670755752</v>
      </c>
      <c r="W340" s="5">
        <f t="shared" si="89"/>
        <v>31930.731725576439</v>
      </c>
    </row>
    <row r="341" spans="1:23" ht="13">
      <c r="A341" s="92">
        <v>5419</v>
      </c>
      <c r="B341" s="93" t="s">
        <v>673</v>
      </c>
      <c r="C341" s="574">
        <v>0.80930616613092698</v>
      </c>
      <c r="D341" s="100">
        <f t="shared" si="75"/>
        <v>29695.133228931387</v>
      </c>
      <c r="E341" s="100">
        <f t="shared" si="76"/>
        <v>101676.13617586107</v>
      </c>
      <c r="F341" s="100">
        <f t="shared" si="85"/>
        <v>4200.0360354669001</v>
      </c>
      <c r="G341" s="100">
        <f t="shared" si="77"/>
        <v>14380.923385438666</v>
      </c>
      <c r="H341" s="100">
        <f t="shared" si="86"/>
        <v>1165.6892556075245</v>
      </c>
      <c r="I341" s="100">
        <f t="shared" si="78"/>
        <v>3991.3200112001641</v>
      </c>
      <c r="J341" s="100">
        <f t="shared" si="79"/>
        <v>740.00380148796125</v>
      </c>
      <c r="K341" s="100">
        <f t="shared" si="80"/>
        <v>2533.7730162947792</v>
      </c>
      <c r="L341" s="101">
        <f t="shared" si="81"/>
        <v>16914.696401733447</v>
      </c>
      <c r="M341" s="100">
        <f t="shared" si="82"/>
        <v>118590.83257759453</v>
      </c>
      <c r="N341" s="102">
        <f t="shared" si="83"/>
        <v>34635.173065886251</v>
      </c>
      <c r="O341" s="94">
        <f t="shared" si="84"/>
        <v>0.94394118090448742</v>
      </c>
      <c r="P341" s="100">
        <f>'Bef.fremskr. kommunenivå MMMM'!H336</f>
        <v>3424</v>
      </c>
      <c r="Q341" s="100"/>
      <c r="R341" s="100">
        <f t="shared" si="87"/>
        <v>0</v>
      </c>
      <c r="S341" s="100">
        <v>0</v>
      </c>
      <c r="U341" s="100">
        <v>0</v>
      </c>
      <c r="V341" s="5">
        <f t="shared" si="88"/>
        <v>101676.13617586107</v>
      </c>
      <c r="W341" s="5">
        <f t="shared" si="89"/>
        <v>29695.13322893139</v>
      </c>
    </row>
    <row r="342" spans="1:23" ht="13">
      <c r="A342" s="92">
        <v>5420</v>
      </c>
      <c r="B342" s="93" t="s">
        <v>674</v>
      </c>
      <c r="C342" s="574">
        <v>0.71780308026720108</v>
      </c>
      <c r="D342" s="100">
        <f t="shared" si="75"/>
        <v>26337.69393179633</v>
      </c>
      <c r="E342" s="100">
        <f t="shared" si="76"/>
        <v>28260.345588817461</v>
      </c>
      <c r="F342" s="100">
        <f t="shared" si="85"/>
        <v>6214.4996137479338</v>
      </c>
      <c r="G342" s="100">
        <f t="shared" si="77"/>
        <v>6668.1580855515331</v>
      </c>
      <c r="H342" s="100">
        <f t="shared" si="86"/>
        <v>2340.7930096047944</v>
      </c>
      <c r="I342" s="100">
        <f t="shared" si="78"/>
        <v>2511.6708993059442</v>
      </c>
      <c r="J342" s="100">
        <f t="shared" si="79"/>
        <v>1915.1075554852312</v>
      </c>
      <c r="K342" s="100">
        <f t="shared" si="80"/>
        <v>2054.910407035653</v>
      </c>
      <c r="L342" s="101">
        <f t="shared" si="81"/>
        <v>8723.0684925871865</v>
      </c>
      <c r="M342" s="100">
        <f t="shared" si="82"/>
        <v>36983.414081404648</v>
      </c>
      <c r="N342" s="102">
        <f t="shared" si="83"/>
        <v>34467.301101029494</v>
      </c>
      <c r="O342" s="94">
        <f t="shared" si="84"/>
        <v>0.93936602661130097</v>
      </c>
      <c r="P342" s="100">
        <f>'Bef.fremskr. kommunenivå MMMM'!H337</f>
        <v>1073</v>
      </c>
      <c r="Q342" s="100"/>
      <c r="R342" s="100">
        <f t="shared" si="87"/>
        <v>0</v>
      </c>
      <c r="S342" s="100">
        <v>0</v>
      </c>
      <c r="U342" s="100">
        <v>0</v>
      </c>
      <c r="V342" s="5">
        <f t="shared" si="88"/>
        <v>28260.345588817461</v>
      </c>
      <c r="W342" s="5">
        <f t="shared" si="89"/>
        <v>26337.69393179633</v>
      </c>
    </row>
    <row r="343" spans="1:23" ht="13">
      <c r="A343" s="92">
        <v>5421</v>
      </c>
      <c r="B343" s="93" t="s">
        <v>1836</v>
      </c>
      <c r="C343" s="574">
        <v>0.82095590656464734</v>
      </c>
      <c r="D343" s="100">
        <f t="shared" si="75"/>
        <v>30122.586532439062</v>
      </c>
      <c r="E343" s="100">
        <f t="shared" si="76"/>
        <v>445482.93222824129</v>
      </c>
      <c r="F343" s="100">
        <f t="shared" si="85"/>
        <v>3943.564053362295</v>
      </c>
      <c r="G343" s="100">
        <f t="shared" si="77"/>
        <v>58321.368785174978</v>
      </c>
      <c r="H343" s="100">
        <f t="shared" si="86"/>
        <v>1016.0805993798384</v>
      </c>
      <c r="I343" s="100">
        <f t="shared" si="78"/>
        <v>15026.815984228429</v>
      </c>
      <c r="J343" s="100">
        <f t="shared" si="79"/>
        <v>590.39514526027529</v>
      </c>
      <c r="K343" s="100">
        <f t="shared" si="80"/>
        <v>8731.353803254211</v>
      </c>
      <c r="L343" s="101">
        <f t="shared" si="81"/>
        <v>67052.722588429184</v>
      </c>
      <c r="M343" s="100">
        <f t="shared" si="82"/>
        <v>512535.65481667046</v>
      </c>
      <c r="N343" s="102">
        <f t="shared" si="83"/>
        <v>34656.545731061633</v>
      </c>
      <c r="O343" s="94">
        <f t="shared" si="84"/>
        <v>0.94452366792617337</v>
      </c>
      <c r="P343" s="100">
        <f>'Bef.fremskr. kommunenivå MMMM'!H338</f>
        <v>14789</v>
      </c>
      <c r="Q343" s="100"/>
      <c r="R343" s="100">
        <f t="shared" si="87"/>
        <v>0</v>
      </c>
      <c r="S343" s="100">
        <v>0</v>
      </c>
      <c r="U343" s="100">
        <v>295.39233333333334</v>
      </c>
      <c r="V343" s="5">
        <f t="shared" si="88"/>
        <v>445187.53989490797</v>
      </c>
      <c r="W343" s="5">
        <f t="shared" si="89"/>
        <v>30102.612745615523</v>
      </c>
    </row>
    <row r="344" spans="1:23" ht="13">
      <c r="A344" s="92">
        <v>5422</v>
      </c>
      <c r="B344" s="93" t="s">
        <v>675</v>
      </c>
      <c r="C344" s="574">
        <v>0.72352807864619362</v>
      </c>
      <c r="D344" s="100">
        <f t="shared" si="75"/>
        <v>26547.756077266375</v>
      </c>
      <c r="E344" s="100">
        <f t="shared" si="76"/>
        <v>148508.14749622811</v>
      </c>
      <c r="F344" s="100">
        <f t="shared" si="85"/>
        <v>6088.4623264659067</v>
      </c>
      <c r="G344" s="100">
        <f t="shared" si="77"/>
        <v>34058.858254250277</v>
      </c>
      <c r="H344" s="100">
        <f t="shared" si="86"/>
        <v>2267.271258690279</v>
      </c>
      <c r="I344" s="100">
        <f t="shared" si="78"/>
        <v>12683.11542111342</v>
      </c>
      <c r="J344" s="100">
        <f t="shared" si="79"/>
        <v>1841.5858045707157</v>
      </c>
      <c r="K344" s="100">
        <f t="shared" si="80"/>
        <v>10301.830990768583</v>
      </c>
      <c r="L344" s="101">
        <f t="shared" si="81"/>
        <v>44360.689245018861</v>
      </c>
      <c r="M344" s="100">
        <f t="shared" si="82"/>
        <v>192868.83674124698</v>
      </c>
      <c r="N344" s="102">
        <f t="shared" si="83"/>
        <v>34477.804208302994</v>
      </c>
      <c r="O344" s="94">
        <f t="shared" si="84"/>
        <v>0.93965227653025063</v>
      </c>
      <c r="P344" s="100">
        <f>'Bef.fremskr. kommunenivå MMMM'!H339</f>
        <v>5594</v>
      </c>
      <c r="Q344" s="100"/>
      <c r="R344" s="100">
        <f t="shared" si="87"/>
        <v>0</v>
      </c>
      <c r="S344" s="100">
        <v>0</v>
      </c>
      <c r="U344" s="100">
        <v>0</v>
      </c>
      <c r="V344" s="5">
        <f t="shared" si="88"/>
        <v>148508.14749622811</v>
      </c>
      <c r="W344" s="5">
        <f t="shared" si="89"/>
        <v>26547.756077266375</v>
      </c>
    </row>
    <row r="345" spans="1:23" ht="13">
      <c r="A345" s="92">
        <v>5423</v>
      </c>
      <c r="B345" s="93" t="s">
        <v>676</v>
      </c>
      <c r="C345" s="574">
        <v>0.81354051753764933</v>
      </c>
      <c r="D345" s="100">
        <f t="shared" si="75"/>
        <v>29850.500424219001</v>
      </c>
      <c r="E345" s="100">
        <f t="shared" si="76"/>
        <v>66686.017947705244</v>
      </c>
      <c r="F345" s="100">
        <f t="shared" si="85"/>
        <v>4106.8157182943314</v>
      </c>
      <c r="G345" s="100">
        <f t="shared" si="77"/>
        <v>9174.6263146695364</v>
      </c>
      <c r="H345" s="100">
        <f t="shared" si="86"/>
        <v>1111.3107372568597</v>
      </c>
      <c r="I345" s="100">
        <f t="shared" si="78"/>
        <v>2482.6681870318248</v>
      </c>
      <c r="J345" s="100">
        <f t="shared" si="79"/>
        <v>685.62528313729649</v>
      </c>
      <c r="K345" s="100">
        <f t="shared" si="80"/>
        <v>1531.6868825287204</v>
      </c>
      <c r="L345" s="101">
        <f t="shared" si="81"/>
        <v>10706.313197198257</v>
      </c>
      <c r="M345" s="100">
        <f t="shared" si="82"/>
        <v>77392.33114490351</v>
      </c>
      <c r="N345" s="102">
        <f t="shared" si="83"/>
        <v>34642.941425650628</v>
      </c>
      <c r="O345" s="94">
        <f t="shared" si="84"/>
        <v>0.94415289847482342</v>
      </c>
      <c r="P345" s="100">
        <f>'Bef.fremskr. kommunenivå MMMM'!H340</f>
        <v>2234</v>
      </c>
      <c r="Q345" s="100"/>
      <c r="R345" s="100">
        <f t="shared" si="87"/>
        <v>0</v>
      </c>
      <c r="S345" s="100">
        <v>0</v>
      </c>
      <c r="U345" s="100">
        <v>0</v>
      </c>
      <c r="V345" s="5">
        <f t="shared" si="88"/>
        <v>66686.017947705244</v>
      </c>
      <c r="W345" s="5">
        <f t="shared" si="89"/>
        <v>29850.500424219001</v>
      </c>
    </row>
    <row r="346" spans="1:23" ht="13">
      <c r="A346" s="92">
        <v>5424</v>
      </c>
      <c r="B346" s="93" t="s">
        <v>677</v>
      </c>
      <c r="C346" s="574">
        <v>0.72411303801530136</v>
      </c>
      <c r="D346" s="100">
        <f t="shared" si="75"/>
        <v>26569.219458031417</v>
      </c>
      <c r="E346" s="100">
        <f t="shared" si="76"/>
        <v>72162.000048013331</v>
      </c>
      <c r="F346" s="100">
        <f t="shared" si="85"/>
        <v>6075.5842980068819</v>
      </c>
      <c r="G346" s="100">
        <f t="shared" si="77"/>
        <v>16501.286953386691</v>
      </c>
      <c r="H346" s="100">
        <f t="shared" si="86"/>
        <v>2259.7590754225139</v>
      </c>
      <c r="I346" s="100">
        <f t="shared" si="78"/>
        <v>6137.5056488475475</v>
      </c>
      <c r="J346" s="100">
        <f t="shared" si="79"/>
        <v>1834.0736213029506</v>
      </c>
      <c r="K346" s="100">
        <f t="shared" si="80"/>
        <v>4981.343955458814</v>
      </c>
      <c r="L346" s="101">
        <f t="shared" si="81"/>
        <v>21482.630908845505</v>
      </c>
      <c r="M346" s="100">
        <f t="shared" si="82"/>
        <v>93644.630956858833</v>
      </c>
      <c r="N346" s="102">
        <f t="shared" si="83"/>
        <v>34478.877377341247</v>
      </c>
      <c r="O346" s="94">
        <f t="shared" si="84"/>
        <v>0.93968152449870601</v>
      </c>
      <c r="P346" s="100">
        <f>'Bef.fremskr. kommunenivå MMMM'!H341</f>
        <v>2716</v>
      </c>
      <c r="Q346" s="100"/>
      <c r="R346" s="100">
        <f t="shared" si="87"/>
        <v>0</v>
      </c>
      <c r="S346" s="100">
        <v>0</v>
      </c>
      <c r="U346" s="100">
        <v>0</v>
      </c>
      <c r="V346" s="5">
        <f t="shared" si="88"/>
        <v>72162.000048013331</v>
      </c>
      <c r="W346" s="5">
        <f t="shared" si="89"/>
        <v>26569.219458031417</v>
      </c>
    </row>
    <row r="347" spans="1:23" ht="13">
      <c r="A347" s="92">
        <v>5425</v>
      </c>
      <c r="B347" s="93" t="s">
        <v>678</v>
      </c>
      <c r="C347" s="574">
        <v>0.86125759148570813</v>
      </c>
      <c r="D347" s="100">
        <f t="shared" si="75"/>
        <v>31601.33951019372</v>
      </c>
      <c r="E347" s="100">
        <f t="shared" si="76"/>
        <v>58715.288809939935</v>
      </c>
      <c r="F347" s="100">
        <f t="shared" si="85"/>
        <v>3056.3122667094999</v>
      </c>
      <c r="G347" s="100">
        <f t="shared" si="77"/>
        <v>5678.6281915462514</v>
      </c>
      <c r="H347" s="100">
        <f t="shared" si="86"/>
        <v>498.51705716570791</v>
      </c>
      <c r="I347" s="100">
        <f t="shared" si="78"/>
        <v>926.24469221388529</v>
      </c>
      <c r="J347" s="100">
        <f t="shared" si="79"/>
        <v>72.831603046144721</v>
      </c>
      <c r="K347" s="100">
        <f t="shared" si="80"/>
        <v>135.32111845973691</v>
      </c>
      <c r="L347" s="101">
        <f t="shared" si="81"/>
        <v>5813.9493100059881</v>
      </c>
      <c r="M347" s="100">
        <f t="shared" si="82"/>
        <v>64529.238119945927</v>
      </c>
      <c r="N347" s="102">
        <f t="shared" si="83"/>
        <v>34730.483379949372</v>
      </c>
      <c r="O347" s="94">
        <f t="shared" si="84"/>
        <v>0.94653875217222661</v>
      </c>
      <c r="P347" s="100">
        <f>'Bef.fremskr. kommunenivå MMMM'!H342</f>
        <v>1858</v>
      </c>
      <c r="Q347" s="100"/>
      <c r="R347" s="100">
        <f t="shared" si="87"/>
        <v>0</v>
      </c>
      <c r="S347" s="100">
        <v>0</v>
      </c>
      <c r="U347" s="100">
        <v>4418.9679999999998</v>
      </c>
      <c r="V347" s="5">
        <f t="shared" si="88"/>
        <v>54296.320809939934</v>
      </c>
      <c r="W347" s="5">
        <f t="shared" si="89"/>
        <v>29222.992900936457</v>
      </c>
    </row>
    <row r="348" spans="1:23" ht="13">
      <c r="A348" s="92">
        <v>5426</v>
      </c>
      <c r="B348" s="93" t="s">
        <v>679</v>
      </c>
      <c r="C348" s="574">
        <v>0.71199917149491121</v>
      </c>
      <c r="D348" s="100">
        <f t="shared" si="75"/>
        <v>26124.736399215475</v>
      </c>
      <c r="E348" s="100">
        <f t="shared" si="76"/>
        <v>52014.350170838014</v>
      </c>
      <c r="F348" s="100">
        <f t="shared" si="85"/>
        <v>6342.274133296447</v>
      </c>
      <c r="G348" s="100">
        <f t="shared" si="77"/>
        <v>12627.467799393226</v>
      </c>
      <c r="H348" s="100">
        <f t="shared" si="86"/>
        <v>2415.3281460080934</v>
      </c>
      <c r="I348" s="100">
        <f t="shared" si="78"/>
        <v>4808.9183387021139</v>
      </c>
      <c r="J348" s="100">
        <f t="shared" si="79"/>
        <v>1989.6426918885302</v>
      </c>
      <c r="K348" s="100">
        <f t="shared" si="80"/>
        <v>3961.3785995500639</v>
      </c>
      <c r="L348" s="101">
        <f t="shared" si="81"/>
        <v>16588.846398943289</v>
      </c>
      <c r="M348" s="100">
        <f t="shared" si="82"/>
        <v>68603.196569781299</v>
      </c>
      <c r="N348" s="102">
        <f t="shared" si="83"/>
        <v>34456.653224400456</v>
      </c>
      <c r="O348" s="94">
        <f t="shared" si="84"/>
        <v>0.93907583117268667</v>
      </c>
      <c r="P348" s="100">
        <f>'Bef.fremskr. kommunenivå MMMM'!H343</f>
        <v>1991</v>
      </c>
      <c r="Q348" s="100"/>
      <c r="R348" s="100">
        <f t="shared" si="87"/>
        <v>0</v>
      </c>
      <c r="S348" s="100">
        <v>0</v>
      </c>
      <c r="U348" s="100">
        <v>3480.527</v>
      </c>
      <c r="V348" s="5">
        <f t="shared" si="88"/>
        <v>48533.823170838012</v>
      </c>
      <c r="W348" s="5">
        <f t="shared" si="89"/>
        <v>24376.606313831246</v>
      </c>
    </row>
    <row r="349" spans="1:23" ht="13">
      <c r="A349" s="92">
        <v>5427</v>
      </c>
      <c r="B349" s="93" t="s">
        <v>681</v>
      </c>
      <c r="C349" s="574">
        <v>0.77398744475947245</v>
      </c>
      <c r="D349" s="100">
        <f t="shared" si="75"/>
        <v>28399.215589239047</v>
      </c>
      <c r="E349" s="100">
        <f t="shared" si="76"/>
        <v>79404.206787512376</v>
      </c>
      <c r="F349" s="100">
        <f t="shared" si="85"/>
        <v>4977.5866192823032</v>
      </c>
      <c r="G349" s="100">
        <f t="shared" si="77"/>
        <v>13917.332187513321</v>
      </c>
      <c r="H349" s="100">
        <f t="shared" si="86"/>
        <v>1619.2604294998434</v>
      </c>
      <c r="I349" s="100">
        <f t="shared" si="78"/>
        <v>4527.4521608815621</v>
      </c>
      <c r="J349" s="100">
        <f t="shared" si="79"/>
        <v>1193.5749753802802</v>
      </c>
      <c r="K349" s="100">
        <f t="shared" si="80"/>
        <v>3337.2356311632634</v>
      </c>
      <c r="L349" s="101">
        <f t="shared" si="81"/>
        <v>17254.567818676584</v>
      </c>
      <c r="M349" s="100">
        <f t="shared" si="82"/>
        <v>96658.774606188963</v>
      </c>
      <c r="N349" s="102">
        <f t="shared" si="83"/>
        <v>34570.377183901634</v>
      </c>
      <c r="O349" s="94">
        <f t="shared" si="84"/>
        <v>0.94217524483591464</v>
      </c>
      <c r="P349" s="100">
        <f>'Bef.fremskr. kommunenivå MMMM'!H344</f>
        <v>2796</v>
      </c>
      <c r="Q349" s="100"/>
      <c r="R349" s="100">
        <f t="shared" si="87"/>
        <v>0</v>
      </c>
      <c r="S349" s="100">
        <v>0</v>
      </c>
      <c r="U349" s="100">
        <v>0</v>
      </c>
      <c r="V349" s="5">
        <f t="shared" si="88"/>
        <v>79404.206787512376</v>
      </c>
      <c r="W349" s="5">
        <f t="shared" si="89"/>
        <v>28399.215589239047</v>
      </c>
    </row>
    <row r="350" spans="1:23" ht="13">
      <c r="A350" s="92">
        <v>5428</v>
      </c>
      <c r="B350" s="93" t="s">
        <v>682</v>
      </c>
      <c r="C350" s="574">
        <v>0.7860010382144873</v>
      </c>
      <c r="D350" s="100">
        <f t="shared" si="75"/>
        <v>28840.019419896096</v>
      </c>
      <c r="E350" s="100">
        <f t="shared" si="76"/>
        <v>135980.69156481008</v>
      </c>
      <c r="F350" s="100">
        <f t="shared" si="85"/>
        <v>4713.1043208880737</v>
      </c>
      <c r="G350" s="100">
        <f t="shared" si="77"/>
        <v>22222.286872987268</v>
      </c>
      <c r="H350" s="100">
        <f t="shared" si="86"/>
        <v>1464.9790887698764</v>
      </c>
      <c r="I350" s="100">
        <f t="shared" si="78"/>
        <v>6907.3764035499671</v>
      </c>
      <c r="J350" s="100">
        <f t="shared" si="79"/>
        <v>1039.2936346503132</v>
      </c>
      <c r="K350" s="100">
        <f t="shared" si="80"/>
        <v>4900.2694873762257</v>
      </c>
      <c r="L350" s="101">
        <f t="shared" si="81"/>
        <v>27122.556360363495</v>
      </c>
      <c r="M350" s="100">
        <f t="shared" si="82"/>
        <v>163103.24792517358</v>
      </c>
      <c r="N350" s="102">
        <f t="shared" si="83"/>
        <v>34592.417375434481</v>
      </c>
      <c r="O350" s="94">
        <f t="shared" si="84"/>
        <v>0.94277592450866532</v>
      </c>
      <c r="P350" s="100">
        <f>'Bef.fremskr. kommunenivå MMMM'!H345</f>
        <v>4715</v>
      </c>
      <c r="Q350" s="100"/>
      <c r="R350" s="100">
        <f t="shared" si="87"/>
        <v>0</v>
      </c>
      <c r="S350" s="100">
        <v>0</v>
      </c>
      <c r="U350" s="100">
        <v>195.523</v>
      </c>
      <c r="V350" s="5">
        <f t="shared" si="88"/>
        <v>135785.1685648101</v>
      </c>
      <c r="W350" s="5">
        <f t="shared" si="89"/>
        <v>28798.55112721317</v>
      </c>
    </row>
    <row r="351" spans="1:23" ht="13">
      <c r="A351" s="92">
        <v>5429</v>
      </c>
      <c r="B351" s="93" t="s">
        <v>683</v>
      </c>
      <c r="C351" s="574">
        <v>0.8147336371080115</v>
      </c>
      <c r="D351" s="100">
        <f t="shared" si="75"/>
        <v>29894.27847272854</v>
      </c>
      <c r="E351" s="100">
        <f t="shared" si="76"/>
        <v>34737.151585310567</v>
      </c>
      <c r="F351" s="100">
        <f t="shared" si="85"/>
        <v>4080.548889188608</v>
      </c>
      <c r="G351" s="100">
        <f t="shared" si="77"/>
        <v>4741.5978092371624</v>
      </c>
      <c r="H351" s="100">
        <f t="shared" si="86"/>
        <v>1095.9884202785211</v>
      </c>
      <c r="I351" s="100">
        <f t="shared" si="78"/>
        <v>1273.5385443636414</v>
      </c>
      <c r="J351" s="100">
        <f t="shared" si="79"/>
        <v>670.30296615895782</v>
      </c>
      <c r="K351" s="100">
        <f t="shared" si="80"/>
        <v>778.89204667670901</v>
      </c>
      <c r="L351" s="101">
        <f t="shared" si="81"/>
        <v>5520.489855913871</v>
      </c>
      <c r="M351" s="100">
        <f t="shared" si="82"/>
        <v>40257.641441224434</v>
      </c>
      <c r="N351" s="102">
        <f t="shared" si="83"/>
        <v>34645.130328076106</v>
      </c>
      <c r="O351" s="94">
        <f t="shared" si="84"/>
        <v>0.94421255445334162</v>
      </c>
      <c r="P351" s="100">
        <f>'Bef.fremskr. kommunenivå MMMM'!H346</f>
        <v>1162</v>
      </c>
      <c r="Q351" s="100"/>
      <c r="R351" s="100">
        <f t="shared" si="87"/>
        <v>0</v>
      </c>
      <c r="S351" s="100">
        <v>0</v>
      </c>
      <c r="U351" s="100">
        <v>2804.6386666666672</v>
      </c>
      <c r="V351" s="5">
        <f t="shared" si="88"/>
        <v>31932.512918643901</v>
      </c>
      <c r="W351" s="5">
        <f t="shared" si="89"/>
        <v>27480.647950640188</v>
      </c>
    </row>
    <row r="352" spans="1:23" ht="13">
      <c r="A352" s="92">
        <v>5430</v>
      </c>
      <c r="B352" s="93" t="s">
        <v>687</v>
      </c>
      <c r="C352" s="574">
        <v>0.60870760814530411</v>
      </c>
      <c r="D352" s="100">
        <f t="shared" si="75"/>
        <v>22334.753246418171</v>
      </c>
      <c r="E352" s="100">
        <f t="shared" si="76"/>
        <v>63676.3815055382</v>
      </c>
      <c r="F352" s="100">
        <f t="shared" si="85"/>
        <v>8616.2640249748292</v>
      </c>
      <c r="G352" s="100">
        <f t="shared" si="77"/>
        <v>24564.968735203238</v>
      </c>
      <c r="H352" s="100">
        <f t="shared" si="86"/>
        <v>3741.8222494871497</v>
      </c>
      <c r="I352" s="100">
        <f t="shared" si="78"/>
        <v>10667.935233287864</v>
      </c>
      <c r="J352" s="100">
        <f t="shared" si="79"/>
        <v>3316.1367953675867</v>
      </c>
      <c r="K352" s="100">
        <f t="shared" si="80"/>
        <v>9454.3060035929902</v>
      </c>
      <c r="L352" s="101">
        <f t="shared" si="81"/>
        <v>34019.27473879623</v>
      </c>
      <c r="M352" s="100">
        <f t="shared" si="82"/>
        <v>97695.65624433443</v>
      </c>
      <c r="N352" s="102">
        <f t="shared" si="83"/>
        <v>34267.154066760588</v>
      </c>
      <c r="O352" s="94">
        <f t="shared" si="84"/>
        <v>0.93391125300520617</v>
      </c>
      <c r="P352" s="100">
        <f>'Bef.fremskr. kommunenivå MMMM'!H347</f>
        <v>2851</v>
      </c>
      <c r="Q352" s="100"/>
      <c r="R352" s="100">
        <f t="shared" si="87"/>
        <v>0</v>
      </c>
      <c r="S352" s="100">
        <v>0</v>
      </c>
      <c r="U352" s="100">
        <v>1595.1556666666665</v>
      </c>
      <c r="V352" s="5">
        <f t="shared" si="88"/>
        <v>62081.225838871535</v>
      </c>
      <c r="W352" s="5">
        <f t="shared" si="89"/>
        <v>21775.245822122601</v>
      </c>
    </row>
    <row r="353" spans="1:23" ht="13">
      <c r="A353" s="92">
        <v>5432</v>
      </c>
      <c r="B353" s="93" t="s">
        <v>689</v>
      </c>
      <c r="C353" s="574">
        <v>0.74523581471531386</v>
      </c>
      <c r="D353" s="100">
        <f t="shared" si="75"/>
        <v>27344.258243748969</v>
      </c>
      <c r="E353" s="100">
        <f t="shared" si="76"/>
        <v>24090.291512742842</v>
      </c>
      <c r="F353" s="100">
        <f t="shared" si="85"/>
        <v>5610.5610265763507</v>
      </c>
      <c r="G353" s="100">
        <f t="shared" si="77"/>
        <v>4942.9042644137644</v>
      </c>
      <c r="H353" s="100">
        <f t="shared" si="86"/>
        <v>1988.4955004213707</v>
      </c>
      <c r="I353" s="100">
        <f t="shared" si="78"/>
        <v>1751.8645358712274</v>
      </c>
      <c r="J353" s="100">
        <f t="shared" si="79"/>
        <v>1562.8100463018075</v>
      </c>
      <c r="K353" s="100">
        <f t="shared" si="80"/>
        <v>1376.8356507918922</v>
      </c>
      <c r="L353" s="101">
        <f t="shared" si="81"/>
        <v>6319.7399152056569</v>
      </c>
      <c r="M353" s="100">
        <f t="shared" si="82"/>
        <v>30410.031427948496</v>
      </c>
      <c r="N353" s="102">
        <f t="shared" si="83"/>
        <v>34517.629316627128</v>
      </c>
      <c r="O353" s="94">
        <f t="shared" si="84"/>
        <v>0.94073766333370668</v>
      </c>
      <c r="P353" s="100">
        <f>'Bef.fremskr. kommunenivå MMMM'!H348</f>
        <v>881</v>
      </c>
      <c r="Q353" s="100"/>
      <c r="R353" s="100">
        <f t="shared" si="87"/>
        <v>0</v>
      </c>
      <c r="S353" s="100">
        <v>0</v>
      </c>
      <c r="U353" s="100">
        <v>0</v>
      </c>
      <c r="V353" s="5">
        <f t="shared" si="88"/>
        <v>24090.291512742842</v>
      </c>
      <c r="W353" s="5">
        <f t="shared" si="89"/>
        <v>27344.258243748973</v>
      </c>
    </row>
    <row r="354" spans="1:23" ht="13">
      <c r="A354" s="92">
        <v>5433</v>
      </c>
      <c r="B354" s="93" t="s">
        <v>690</v>
      </c>
      <c r="C354" s="574">
        <v>0.70467300445846803</v>
      </c>
      <c r="D354" s="100">
        <f t="shared" si="75"/>
        <v>25855.924032142284</v>
      </c>
      <c r="E354" s="100">
        <f t="shared" si="76"/>
        <v>25106.102235210157</v>
      </c>
      <c r="F354" s="100">
        <f t="shared" si="85"/>
        <v>6503.5615535403613</v>
      </c>
      <c r="G354" s="100">
        <f t="shared" si="77"/>
        <v>6314.9582684876914</v>
      </c>
      <c r="H354" s="100">
        <f t="shared" si="86"/>
        <v>2509.4124744837104</v>
      </c>
      <c r="I354" s="100">
        <f t="shared" si="78"/>
        <v>2436.6395127236829</v>
      </c>
      <c r="J354" s="100">
        <f t="shared" si="79"/>
        <v>2083.7270203641474</v>
      </c>
      <c r="K354" s="100">
        <f t="shared" si="80"/>
        <v>2023.298936773587</v>
      </c>
      <c r="L354" s="101">
        <f t="shared" si="81"/>
        <v>8338.2572052612777</v>
      </c>
      <c r="M354" s="100">
        <f t="shared" si="82"/>
        <v>33444.359440471439</v>
      </c>
      <c r="N354" s="102">
        <f t="shared" si="83"/>
        <v>34443.212606046793</v>
      </c>
      <c r="O354" s="94">
        <f t="shared" si="84"/>
        <v>0.93870952282086439</v>
      </c>
      <c r="P354" s="100">
        <f>'Bef.fremskr. kommunenivå MMMM'!H349</f>
        <v>971</v>
      </c>
      <c r="Q354" s="100"/>
      <c r="R354" s="100">
        <f t="shared" si="87"/>
        <v>0</v>
      </c>
      <c r="S354" s="100">
        <v>0</v>
      </c>
      <c r="U354" s="100">
        <v>0</v>
      </c>
      <c r="V354" s="5">
        <f t="shared" si="88"/>
        <v>25106.102235210157</v>
      </c>
      <c r="W354" s="5">
        <f t="shared" si="89"/>
        <v>25855.924032142284</v>
      </c>
    </row>
    <row r="355" spans="1:23" ht="13">
      <c r="A355" s="92">
        <v>5434</v>
      </c>
      <c r="B355" s="93" t="s">
        <v>691</v>
      </c>
      <c r="C355" s="574">
        <v>0.88160655248335729</v>
      </c>
      <c r="D355" s="100">
        <f t="shared" si="75"/>
        <v>32347.985381909177</v>
      </c>
      <c r="E355" s="100">
        <f t="shared" si="76"/>
        <v>38202.970736034738</v>
      </c>
      <c r="F355" s="100">
        <f t="shared" si="85"/>
        <v>2608.3247436802258</v>
      </c>
      <c r="G355" s="100">
        <f t="shared" si="77"/>
        <v>3080.4315222863465</v>
      </c>
      <c r="H355" s="100">
        <f t="shared" si="86"/>
        <v>237.19100206529819</v>
      </c>
      <c r="I355" s="100">
        <f t="shared" si="78"/>
        <v>280.12257343911716</v>
      </c>
      <c r="J355" s="100">
        <f t="shared" si="79"/>
        <v>-188.494452054265</v>
      </c>
      <c r="K355" s="100">
        <f t="shared" si="80"/>
        <v>-222.61194787608696</v>
      </c>
      <c r="L355" s="101">
        <f t="shared" si="81"/>
        <v>2857.8195744102595</v>
      </c>
      <c r="M355" s="100">
        <f t="shared" si="82"/>
        <v>41060.790310444994</v>
      </c>
      <c r="N355" s="102">
        <f t="shared" si="83"/>
        <v>34767.815673535137</v>
      </c>
      <c r="O355" s="94">
        <f t="shared" si="84"/>
        <v>0.94755620022210885</v>
      </c>
      <c r="P355" s="100">
        <f>'Bef.fremskr. kommunenivå MMMM'!H350</f>
        <v>1181</v>
      </c>
      <c r="Q355" s="100"/>
      <c r="R355" s="100">
        <f t="shared" si="87"/>
        <v>0</v>
      </c>
      <c r="S355" s="100">
        <v>0</v>
      </c>
      <c r="U355" s="100">
        <v>0</v>
      </c>
      <c r="V355" s="5">
        <f t="shared" si="88"/>
        <v>38202.970736034738</v>
      </c>
      <c r="W355" s="5">
        <f t="shared" si="89"/>
        <v>32347.985381909177</v>
      </c>
    </row>
    <row r="356" spans="1:23" ht="13">
      <c r="A356" s="92">
        <v>5435</v>
      </c>
      <c r="B356" s="93" t="s">
        <v>692</v>
      </c>
      <c r="C356" s="574">
        <v>0.84760258352814322</v>
      </c>
      <c r="D356" s="100">
        <f t="shared" si="75"/>
        <v>31100.30875383543</v>
      </c>
      <c r="E356" s="100">
        <f t="shared" si="76"/>
        <v>90812.901561199455</v>
      </c>
      <c r="F356" s="100">
        <f t="shared" si="85"/>
        <v>3356.9307205244736</v>
      </c>
      <c r="G356" s="100">
        <f t="shared" si="77"/>
        <v>9802.2377039314615</v>
      </c>
      <c r="H356" s="100">
        <f t="shared" si="86"/>
        <v>673.87782189110942</v>
      </c>
      <c r="I356" s="100">
        <f t="shared" si="78"/>
        <v>1967.7232399220395</v>
      </c>
      <c r="J356" s="100">
        <f t="shared" si="79"/>
        <v>248.19236777154623</v>
      </c>
      <c r="K356" s="100">
        <f t="shared" si="80"/>
        <v>724.72171389291498</v>
      </c>
      <c r="L356" s="101">
        <f t="shared" si="81"/>
        <v>10526.959417824377</v>
      </c>
      <c r="M356" s="100">
        <f t="shared" si="82"/>
        <v>101339.86097902383</v>
      </c>
      <c r="N356" s="102">
        <f t="shared" si="83"/>
        <v>34705.431842131446</v>
      </c>
      <c r="O356" s="94">
        <f t="shared" si="84"/>
        <v>0.94585600177434803</v>
      </c>
      <c r="P356" s="100">
        <f>'Bef.fremskr. kommunenivå MMMM'!H351</f>
        <v>2920</v>
      </c>
      <c r="Q356" s="100"/>
      <c r="R356" s="100">
        <f t="shared" si="87"/>
        <v>0</v>
      </c>
      <c r="S356" s="100">
        <v>0</v>
      </c>
      <c r="U356" s="100">
        <v>0</v>
      </c>
      <c r="V356" s="5">
        <f t="shared" si="88"/>
        <v>90812.901561199455</v>
      </c>
      <c r="W356" s="5">
        <f t="shared" si="89"/>
        <v>31100.30875383543</v>
      </c>
    </row>
    <row r="357" spans="1:23" ht="13">
      <c r="A357" s="92">
        <v>5436</v>
      </c>
      <c r="B357" s="93" t="s">
        <v>693</v>
      </c>
      <c r="C357" s="574">
        <v>0.78953250298577249</v>
      </c>
      <c r="D357" s="100">
        <f t="shared" si="75"/>
        <v>28969.596236761256</v>
      </c>
      <c r="E357" s="100">
        <f t="shared" si="76"/>
        <v>112604.82057229101</v>
      </c>
      <c r="F357" s="100">
        <f t="shared" si="85"/>
        <v>4635.3582307689785</v>
      </c>
      <c r="G357" s="100">
        <f t="shared" si="77"/>
        <v>18017.637442999021</v>
      </c>
      <c r="H357" s="100">
        <f t="shared" si="86"/>
        <v>1419.6272028670705</v>
      </c>
      <c r="I357" s="100">
        <f t="shared" si="78"/>
        <v>5518.0909375443034</v>
      </c>
      <c r="J357" s="100">
        <f t="shared" si="79"/>
        <v>993.94174874750729</v>
      </c>
      <c r="K357" s="100">
        <f t="shared" si="80"/>
        <v>3863.451577381561</v>
      </c>
      <c r="L357" s="101">
        <f t="shared" si="81"/>
        <v>21881.089020380583</v>
      </c>
      <c r="M357" s="100">
        <f t="shared" si="82"/>
        <v>134485.90959267158</v>
      </c>
      <c r="N357" s="102">
        <f t="shared" si="83"/>
        <v>34598.896216277739</v>
      </c>
      <c r="O357" s="94">
        <f t="shared" si="84"/>
        <v>0.94295249774722956</v>
      </c>
      <c r="P357" s="100">
        <f>'Bef.fremskr. kommunenivå MMMM'!H352</f>
        <v>3887</v>
      </c>
      <c r="Q357" s="100"/>
      <c r="R357" s="100">
        <f t="shared" si="87"/>
        <v>0</v>
      </c>
      <c r="S357" s="100">
        <v>0</v>
      </c>
      <c r="U357" s="100">
        <v>0</v>
      </c>
      <c r="V357" s="5">
        <f t="shared" si="88"/>
        <v>112604.82057229101</v>
      </c>
      <c r="W357" s="5">
        <f t="shared" si="89"/>
        <v>28969.596236761256</v>
      </c>
    </row>
    <row r="358" spans="1:23" ht="13">
      <c r="A358" s="92">
        <v>5437</v>
      </c>
      <c r="B358" s="93" t="s">
        <v>694</v>
      </c>
      <c r="C358" s="574">
        <v>0.72490212004527732</v>
      </c>
      <c r="D358" s="100">
        <f t="shared" si="75"/>
        <v>26598.172525472772</v>
      </c>
      <c r="E358" s="100">
        <f t="shared" si="76"/>
        <v>67931.73263005745</v>
      </c>
      <c r="F358" s="100">
        <f t="shared" si="85"/>
        <v>6058.2124575420685</v>
      </c>
      <c r="G358" s="100">
        <f t="shared" si="77"/>
        <v>15472.674616562443</v>
      </c>
      <c r="H358" s="100">
        <f t="shared" si="86"/>
        <v>2249.62550181804</v>
      </c>
      <c r="I358" s="100">
        <f t="shared" si="78"/>
        <v>5745.543531643274</v>
      </c>
      <c r="J358" s="100">
        <f t="shared" si="79"/>
        <v>1823.9400476984767</v>
      </c>
      <c r="K358" s="100">
        <f t="shared" si="80"/>
        <v>4658.3428818219099</v>
      </c>
      <c r="L358" s="101">
        <f t="shared" si="81"/>
        <v>20131.017498384354</v>
      </c>
      <c r="M358" s="100">
        <f t="shared" si="82"/>
        <v>88062.75012844181</v>
      </c>
      <c r="N358" s="102">
        <f t="shared" si="83"/>
        <v>34480.325030713313</v>
      </c>
      <c r="O358" s="94">
        <f t="shared" si="84"/>
        <v>0.93972097860020476</v>
      </c>
      <c r="P358" s="100">
        <f>'Bef.fremskr. kommunenivå MMMM'!H353</f>
        <v>2554</v>
      </c>
      <c r="Q358" s="100"/>
      <c r="R358" s="100">
        <f t="shared" si="87"/>
        <v>0</v>
      </c>
      <c r="S358" s="100">
        <v>0</v>
      </c>
      <c r="U358" s="100">
        <v>0</v>
      </c>
      <c r="V358" s="5">
        <f t="shared" si="88"/>
        <v>67931.73263005745</v>
      </c>
      <c r="W358" s="5">
        <f t="shared" si="89"/>
        <v>26598.172525472768</v>
      </c>
    </row>
    <row r="359" spans="1:23" ht="13">
      <c r="A359" s="92">
        <v>5438</v>
      </c>
      <c r="B359" s="93" t="s">
        <v>695</v>
      </c>
      <c r="C359" s="574">
        <v>0.87825213936614099</v>
      </c>
      <c r="D359" s="100">
        <f t="shared" si="75"/>
        <v>32224.904959951171</v>
      </c>
      <c r="E359" s="100">
        <f t="shared" si="76"/>
        <v>39475.508575940185</v>
      </c>
      <c r="F359" s="100">
        <f t="shared" si="85"/>
        <v>2682.1729968550294</v>
      </c>
      <c r="G359" s="100">
        <f t="shared" si="77"/>
        <v>3285.6619211474112</v>
      </c>
      <c r="H359" s="100">
        <f t="shared" si="86"/>
        <v>280.26914975060026</v>
      </c>
      <c r="I359" s="100">
        <f t="shared" si="78"/>
        <v>343.32970844448533</v>
      </c>
      <c r="J359" s="100">
        <f t="shared" si="79"/>
        <v>-145.41630436896293</v>
      </c>
      <c r="K359" s="100">
        <f t="shared" si="80"/>
        <v>-178.13497285197957</v>
      </c>
      <c r="L359" s="101">
        <f t="shared" si="81"/>
        <v>3107.5269482954318</v>
      </c>
      <c r="M359" s="100">
        <f t="shared" si="82"/>
        <v>42583.035524235616</v>
      </c>
      <c r="N359" s="102">
        <f t="shared" si="83"/>
        <v>34761.661652437237</v>
      </c>
      <c r="O359" s="94">
        <f t="shared" si="84"/>
        <v>0.94738847956624805</v>
      </c>
      <c r="P359" s="100">
        <f>'Bef.fremskr. kommunenivå MMMM'!H354</f>
        <v>1225</v>
      </c>
      <c r="Q359" s="100"/>
      <c r="R359" s="100">
        <f t="shared" si="87"/>
        <v>0</v>
      </c>
      <c r="S359" s="100">
        <v>0</v>
      </c>
      <c r="U359" s="100">
        <v>2115.3103333333333</v>
      </c>
      <c r="V359" s="5">
        <f t="shared" si="88"/>
        <v>37360.19824260685</v>
      </c>
      <c r="W359" s="5">
        <f t="shared" si="89"/>
        <v>30498.121014372937</v>
      </c>
    </row>
    <row r="360" spans="1:23" ht="13">
      <c r="A360" s="92">
        <v>5439</v>
      </c>
      <c r="B360" s="93" t="s">
        <v>696</v>
      </c>
      <c r="C360" s="574">
        <v>0.76930043700311657</v>
      </c>
      <c r="D360" s="100">
        <f t="shared" si="75"/>
        <v>28227.239487246137</v>
      </c>
      <c r="E360" s="100">
        <f t="shared" si="76"/>
        <v>30428.964167251339</v>
      </c>
      <c r="F360" s="100">
        <f t="shared" si="85"/>
        <v>5080.7722804780497</v>
      </c>
      <c r="G360" s="100">
        <f t="shared" si="77"/>
        <v>5477.0725183553377</v>
      </c>
      <c r="H360" s="100">
        <f t="shared" si="86"/>
        <v>1679.4520651973619</v>
      </c>
      <c r="I360" s="100">
        <f t="shared" si="78"/>
        <v>1810.4493262827561</v>
      </c>
      <c r="J360" s="100">
        <f t="shared" si="79"/>
        <v>1253.7666110777986</v>
      </c>
      <c r="K360" s="100">
        <f t="shared" si="80"/>
        <v>1351.5604067418669</v>
      </c>
      <c r="L360" s="101">
        <f t="shared" si="81"/>
        <v>6828.6329250972049</v>
      </c>
      <c r="M360" s="100">
        <f t="shared" si="82"/>
        <v>37257.597092348544</v>
      </c>
      <c r="N360" s="102">
        <f t="shared" si="83"/>
        <v>34561.778378801988</v>
      </c>
      <c r="O360" s="94">
        <f t="shared" si="84"/>
        <v>0.94194089444809692</v>
      </c>
      <c r="P360" s="100">
        <f>'Bef.fremskr. kommunenivå MMMM'!H355</f>
        <v>1078</v>
      </c>
      <c r="Q360" s="100"/>
      <c r="R360" s="100">
        <f t="shared" si="87"/>
        <v>0</v>
      </c>
      <c r="S360" s="100">
        <v>0</v>
      </c>
      <c r="U360" s="100">
        <v>0</v>
      </c>
      <c r="V360" s="5">
        <f t="shared" si="88"/>
        <v>30428.964167251339</v>
      </c>
      <c r="W360" s="5">
        <f t="shared" si="89"/>
        <v>28227.239487246137</v>
      </c>
    </row>
    <row r="361" spans="1:23" ht="13">
      <c r="A361" s="92">
        <v>5440</v>
      </c>
      <c r="B361" s="93" t="s">
        <v>702</v>
      </c>
      <c r="C361" s="574">
        <v>0.86074070364834931</v>
      </c>
      <c r="D361" s="100">
        <f t="shared" si="75"/>
        <v>31582.373816075557</v>
      </c>
      <c r="E361" s="100">
        <f t="shared" si="76"/>
        <v>28645.21305118053</v>
      </c>
      <c r="F361" s="100">
        <f t="shared" si="85"/>
        <v>3067.6916831803978</v>
      </c>
      <c r="G361" s="100">
        <f t="shared" si="77"/>
        <v>2782.3963566446205</v>
      </c>
      <c r="H361" s="100">
        <f t="shared" si="86"/>
        <v>505.15505010706528</v>
      </c>
      <c r="I361" s="100">
        <f t="shared" si="78"/>
        <v>458.17563044710818</v>
      </c>
      <c r="J361" s="100">
        <f t="shared" si="79"/>
        <v>79.469595987502089</v>
      </c>
      <c r="K361" s="100">
        <f t="shared" si="80"/>
        <v>72.078923560664393</v>
      </c>
      <c r="L361" s="101">
        <f t="shared" si="81"/>
        <v>2854.4752802052849</v>
      </c>
      <c r="M361" s="100">
        <f t="shared" si="82"/>
        <v>31499.688331385816</v>
      </c>
      <c r="N361" s="102">
        <f t="shared" si="83"/>
        <v>34729.53509524346</v>
      </c>
      <c r="O361" s="94">
        <f t="shared" si="84"/>
        <v>0.94651290778035857</v>
      </c>
      <c r="P361" s="100">
        <f>'Bef.fremskr. kommunenivå MMMM'!H356</f>
        <v>907</v>
      </c>
      <c r="Q361" s="100"/>
      <c r="R361" s="100">
        <f t="shared" si="87"/>
        <v>0</v>
      </c>
      <c r="S361" s="100">
        <v>0</v>
      </c>
      <c r="U361" s="100">
        <v>0</v>
      </c>
      <c r="V361" s="5">
        <f t="shared" si="88"/>
        <v>28645.21305118053</v>
      </c>
      <c r="W361" s="5">
        <f t="shared" si="89"/>
        <v>31582.373816075557</v>
      </c>
    </row>
    <row r="362" spans="1:23" ht="13">
      <c r="A362" s="92">
        <v>5441</v>
      </c>
      <c r="B362" s="93" t="s">
        <v>1837</v>
      </c>
      <c r="C362" s="574">
        <v>0.80051351136477666</v>
      </c>
      <c r="D362" s="100">
        <f t="shared" si="75"/>
        <v>29372.512364734743</v>
      </c>
      <c r="E362" s="100">
        <f t="shared" si="76"/>
        <v>82918.602405646176</v>
      </c>
      <c r="F362" s="100">
        <f t="shared" si="85"/>
        <v>4393.6085539848864</v>
      </c>
      <c r="G362" s="100">
        <f t="shared" si="77"/>
        <v>12403.156947899333</v>
      </c>
      <c r="H362" s="100">
        <f t="shared" si="86"/>
        <v>1278.60655807635</v>
      </c>
      <c r="I362" s="100">
        <f t="shared" si="78"/>
        <v>3609.5063134495358</v>
      </c>
      <c r="J362" s="100">
        <f t="shared" si="79"/>
        <v>852.92110395678674</v>
      </c>
      <c r="K362" s="100">
        <f t="shared" si="80"/>
        <v>2407.7962764700087</v>
      </c>
      <c r="L362" s="101">
        <f t="shared" si="81"/>
        <v>14810.953224369343</v>
      </c>
      <c r="M362" s="100">
        <f t="shared" si="82"/>
        <v>97729.555630015515</v>
      </c>
      <c r="N362" s="102">
        <f t="shared" si="83"/>
        <v>34619.042022676418</v>
      </c>
      <c r="O362" s="94">
        <f t="shared" si="84"/>
        <v>0.94350154816617993</v>
      </c>
      <c r="P362" s="100">
        <f>'Bef.fremskr. kommunenivå MMMM'!H357</f>
        <v>2823</v>
      </c>
      <c r="Q362" s="100"/>
      <c r="R362" s="100">
        <f t="shared" si="87"/>
        <v>0</v>
      </c>
      <c r="S362" s="100">
        <v>0</v>
      </c>
      <c r="U362" s="100">
        <v>0</v>
      </c>
      <c r="V362" s="5">
        <f t="shared" si="88"/>
        <v>82918.602405646176</v>
      </c>
      <c r="W362" s="5">
        <f t="shared" si="89"/>
        <v>29372.512364734743</v>
      </c>
    </row>
    <row r="363" spans="1:23" ht="13">
      <c r="A363" s="92">
        <v>5442</v>
      </c>
      <c r="B363" s="93" t="s">
        <v>703</v>
      </c>
      <c r="C363" s="574">
        <v>0.70184351360741204</v>
      </c>
      <c r="D363" s="100">
        <f t="shared" si="75"/>
        <v>25752.104104272665</v>
      </c>
      <c r="E363" s="100">
        <f t="shared" si="76"/>
        <v>21812.032176318946</v>
      </c>
      <c r="F363" s="100">
        <f t="shared" si="85"/>
        <v>6565.8535102621327</v>
      </c>
      <c r="G363" s="100">
        <f t="shared" si="77"/>
        <v>5561.2779231920258</v>
      </c>
      <c r="H363" s="100">
        <f t="shared" si="86"/>
        <v>2545.7494492380774</v>
      </c>
      <c r="I363" s="100">
        <f t="shared" si="78"/>
        <v>2156.2497835046515</v>
      </c>
      <c r="J363" s="100">
        <f t="shared" si="79"/>
        <v>2120.0639951185144</v>
      </c>
      <c r="K363" s="100">
        <f t="shared" si="80"/>
        <v>1795.6942038653817</v>
      </c>
      <c r="L363" s="101">
        <f t="shared" si="81"/>
        <v>7356.9721270574073</v>
      </c>
      <c r="M363" s="100">
        <f t="shared" si="82"/>
        <v>29169.004303376354</v>
      </c>
      <c r="N363" s="102">
        <f t="shared" si="83"/>
        <v>34438.021609653311</v>
      </c>
      <c r="O363" s="94">
        <f t="shared" si="84"/>
        <v>0.93856804827831153</v>
      </c>
      <c r="P363" s="100">
        <f>'Bef.fremskr. kommunenivå MMMM'!H358</f>
        <v>847</v>
      </c>
      <c r="Q363" s="100"/>
      <c r="R363" s="100">
        <f t="shared" si="87"/>
        <v>0</v>
      </c>
      <c r="S363" s="100">
        <v>0</v>
      </c>
      <c r="U363" s="100">
        <v>0</v>
      </c>
      <c r="V363" s="5">
        <f t="shared" si="88"/>
        <v>21812.032176318946</v>
      </c>
      <c r="W363" s="5">
        <f t="shared" si="89"/>
        <v>25752.104104272665</v>
      </c>
    </row>
    <row r="364" spans="1:23" ht="13">
      <c r="A364" s="92">
        <v>5443</v>
      </c>
      <c r="B364" s="93" t="s">
        <v>704</v>
      </c>
      <c r="C364" s="574">
        <v>0.81457480358724466</v>
      </c>
      <c r="D364" s="100">
        <f t="shared" si="75"/>
        <v>29888.450539175359</v>
      </c>
      <c r="E364" s="100">
        <f t="shared" si="76"/>
        <v>65156.822175402282</v>
      </c>
      <c r="F364" s="100">
        <f t="shared" si="85"/>
        <v>4084.0456493205165</v>
      </c>
      <c r="G364" s="100">
        <f t="shared" si="77"/>
        <v>8903.2195155187273</v>
      </c>
      <c r="H364" s="100">
        <f t="shared" si="86"/>
        <v>1098.0281970221342</v>
      </c>
      <c r="I364" s="100">
        <f t="shared" si="78"/>
        <v>2393.7014695082526</v>
      </c>
      <c r="J364" s="100">
        <f t="shared" si="79"/>
        <v>672.34274290257099</v>
      </c>
      <c r="K364" s="100">
        <f t="shared" si="80"/>
        <v>1465.7071795276047</v>
      </c>
      <c r="L364" s="101">
        <f t="shared" si="81"/>
        <v>10368.926695046332</v>
      </c>
      <c r="M364" s="100">
        <f t="shared" si="82"/>
        <v>75525.748870448602</v>
      </c>
      <c r="N364" s="102">
        <f t="shared" si="83"/>
        <v>34644.838931398444</v>
      </c>
      <c r="O364" s="94">
        <f t="shared" si="84"/>
        <v>0.94420461277730316</v>
      </c>
      <c r="P364" s="100">
        <f>'Bef.fremskr. kommunenivå MMMM'!H359</f>
        <v>2180</v>
      </c>
      <c r="Q364" s="100"/>
      <c r="R364" s="100">
        <f t="shared" si="87"/>
        <v>0</v>
      </c>
      <c r="S364" s="100">
        <v>0</v>
      </c>
      <c r="U364" s="100">
        <v>0</v>
      </c>
      <c r="V364" s="5">
        <f t="shared" si="88"/>
        <v>65156.822175402282</v>
      </c>
      <c r="W364" s="5">
        <f t="shared" si="89"/>
        <v>29888.450539175359</v>
      </c>
    </row>
    <row r="365" spans="1:23" ht="13">
      <c r="A365" s="92">
        <v>5444</v>
      </c>
      <c r="B365" s="93" t="s">
        <v>705</v>
      </c>
      <c r="C365" s="574">
        <v>0.83285570855924085</v>
      </c>
      <c r="D365" s="100">
        <f t="shared" si="75"/>
        <v>30559.215116793861</v>
      </c>
      <c r="E365" s="100">
        <f t="shared" si="76"/>
        <v>302811.26259231038</v>
      </c>
      <c r="F365" s="100">
        <f t="shared" si="85"/>
        <v>3681.5869027494155</v>
      </c>
      <c r="G365" s="100">
        <f t="shared" si="77"/>
        <v>36480.844619343959</v>
      </c>
      <c r="H365" s="100">
        <f t="shared" si="86"/>
        <v>863.26059485565872</v>
      </c>
      <c r="I365" s="100">
        <f t="shared" si="78"/>
        <v>8554.0492344247214</v>
      </c>
      <c r="J365" s="100">
        <f t="shared" si="79"/>
        <v>437.57514073609553</v>
      </c>
      <c r="K365" s="100">
        <f t="shared" si="80"/>
        <v>4335.93206955397</v>
      </c>
      <c r="L365" s="101">
        <f t="shared" si="81"/>
        <v>40816.776688897931</v>
      </c>
      <c r="M365" s="100">
        <f t="shared" si="82"/>
        <v>343628.0392812083</v>
      </c>
      <c r="N365" s="102">
        <f t="shared" si="83"/>
        <v>34678.377160279371</v>
      </c>
      <c r="O365" s="94">
        <f t="shared" si="84"/>
        <v>0.945118658025903</v>
      </c>
      <c r="P365" s="100">
        <f>'Bef.fremskr. kommunenivå MMMM'!H360</f>
        <v>9909</v>
      </c>
      <c r="Q365" s="100"/>
      <c r="R365" s="100">
        <f t="shared" si="87"/>
        <v>0</v>
      </c>
      <c r="S365" s="100">
        <v>0</v>
      </c>
      <c r="U365" s="100">
        <v>4459.6930000000002</v>
      </c>
      <c r="V365" s="5">
        <f t="shared" si="88"/>
        <v>298351.56959231035</v>
      </c>
      <c r="W365" s="5">
        <f t="shared" si="89"/>
        <v>30109.15022629028</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36692.088200557962</v>
      </c>
      <c r="E367" s="129">
        <f>SUM(E10:E366)</f>
        <v>200884999.99999997</v>
      </c>
      <c r="F367" s="129">
        <f>($D$367-D367)*0.6</f>
        <v>0</v>
      </c>
      <c r="G367" s="129">
        <f>SUM(G10:G365)</f>
        <v>1.7540151020511985E-7</v>
      </c>
      <c r="H367" s="129">
        <f>IF(D367&lt;D$367*0.9,(D$367*0.9-D367)*0.35,0)</f>
        <v>0</v>
      </c>
      <c r="I367" s="129">
        <f>SUM(I10:I365)</f>
        <v>2330579.3331628391</v>
      </c>
      <c r="J367" s="130"/>
      <c r="K367" s="131">
        <f>SUM(K10:K366)</f>
        <v>4.5292836148291826E-10</v>
      </c>
      <c r="L367" s="132">
        <f>SUM(L10:L366)</f>
        <v>1.7601269064471126E-7</v>
      </c>
      <c r="M367" s="129">
        <f>SUM(M10:M366)</f>
        <v>200884999.99999973</v>
      </c>
      <c r="N367" s="133">
        <f>M367*1000/P367</f>
        <v>36692.088200557919</v>
      </c>
      <c r="O367" s="128">
        <f>N367/N$367</f>
        <v>1</v>
      </c>
      <c r="P367" s="129">
        <f>SUM(P10:P366)</f>
        <v>5474886</v>
      </c>
      <c r="Q367" s="649"/>
      <c r="R367" s="129">
        <f t="shared" si="87"/>
        <v>3.1050874849266266</v>
      </c>
      <c r="S367" s="129">
        <f>SUM(S10:S366)</f>
        <v>17000</v>
      </c>
      <c r="U367" s="129">
        <f>SUM(U10:U366)</f>
        <v>1403708.2923333335</v>
      </c>
      <c r="V367" s="129">
        <f>SUM(V10:V366)</f>
        <v>199481291.70766649</v>
      </c>
      <c r="W367" s="129">
        <f t="shared" si="89"/>
        <v>36435.697785792523</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-425.68545411956319</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rgb="FFFF0000"/>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C10" sqref="C10:C365"/>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2593</v>
      </c>
      <c r="D1" s="90"/>
      <c r="E1" s="90"/>
      <c r="F1" s="97">
        <f>+Gdata!H96</f>
        <v>201725915.998</v>
      </c>
      <c r="G1" s="90" t="s">
        <v>709</v>
      </c>
      <c r="H1" s="90"/>
      <c r="I1" s="87" t="s">
        <v>354</v>
      </c>
      <c r="J1" s="537">
        <f>F1*1000/P367</f>
        <v>36845.683361808813</v>
      </c>
      <c r="K1" s="88"/>
      <c r="L1" s="98"/>
      <c r="M1" s="88"/>
      <c r="N1" s="74" t="s">
        <v>719</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-420.03543870207375</v>
      </c>
      <c r="I3" s="538" t="s">
        <v>1017</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776</v>
      </c>
      <c r="C5" s="541" t="s">
        <v>356</v>
      </c>
      <c r="D5" s="1275" t="s">
        <v>1018</v>
      </c>
      <c r="E5" s="1275"/>
      <c r="F5" s="1275" t="s">
        <v>1320</v>
      </c>
      <c r="G5" s="1275"/>
      <c r="H5" s="1275" t="s">
        <v>367</v>
      </c>
      <c r="I5" s="1275"/>
      <c r="J5" s="1275"/>
      <c r="K5" s="1275"/>
      <c r="L5" s="542" t="s">
        <v>368</v>
      </c>
      <c r="M5" s="1275" t="s">
        <v>369</v>
      </c>
      <c r="N5" s="1275"/>
      <c r="O5" s="1275"/>
      <c r="P5" s="734" t="s">
        <v>2234</v>
      </c>
      <c r="R5" s="1275" t="s">
        <v>2384</v>
      </c>
      <c r="S5" s="1275"/>
      <c r="U5" s="541" t="s">
        <v>2581</v>
      </c>
      <c r="V5" s="541" t="s">
        <v>2585</v>
      </c>
      <c r="W5" s="541" t="s">
        <v>2585</v>
      </c>
    </row>
    <row r="6" spans="1:23" ht="13">
      <c r="A6" s="538"/>
      <c r="B6" s="538"/>
      <c r="C6" s="543" t="s">
        <v>357</v>
      </c>
      <c r="D6" s="1276"/>
      <c r="E6" s="1276"/>
      <c r="F6" s="1276" t="s">
        <v>371</v>
      </c>
      <c r="G6" s="1276"/>
      <c r="H6" s="538"/>
      <c r="I6" s="538"/>
      <c r="J6" s="538"/>
      <c r="K6" s="538"/>
      <c r="L6" s="544" t="s">
        <v>370</v>
      </c>
      <c r="M6" s="1276" t="s">
        <v>371</v>
      </c>
      <c r="N6" s="1276"/>
      <c r="O6" s="1276"/>
      <c r="P6" s="546">
        <v>45292</v>
      </c>
      <c r="R6" s="1276" t="s">
        <v>2380</v>
      </c>
      <c r="S6" s="1276"/>
      <c r="U6" s="543" t="s">
        <v>2583</v>
      </c>
      <c r="V6" s="543" t="s">
        <v>2586</v>
      </c>
      <c r="W6" s="543" t="s">
        <v>2586</v>
      </c>
    </row>
    <row r="7" spans="1:23" ht="13">
      <c r="A7" s="538"/>
      <c r="B7" s="538"/>
      <c r="C7" s="543" t="s">
        <v>358</v>
      </c>
      <c r="D7" s="1276" t="s">
        <v>2505</v>
      </c>
      <c r="E7" s="1276"/>
      <c r="F7" s="1276"/>
      <c r="G7" s="1276"/>
      <c r="H7" s="545" t="s">
        <v>334</v>
      </c>
      <c r="I7" s="545"/>
      <c r="J7" s="545" t="s">
        <v>359</v>
      </c>
      <c r="K7" s="545"/>
      <c r="L7" s="544"/>
      <c r="M7" s="538"/>
      <c r="N7" s="538"/>
      <c r="O7" s="1174" t="s">
        <v>360</v>
      </c>
      <c r="P7" s="829" t="s">
        <v>2594</v>
      </c>
      <c r="R7" s="1276" t="s">
        <v>2381</v>
      </c>
      <c r="S7" s="1276"/>
      <c r="U7" s="543" t="s">
        <v>2582</v>
      </c>
      <c r="V7" s="543"/>
      <c r="W7" s="543"/>
    </row>
    <row r="8" spans="1:23" ht="13.5" customHeight="1">
      <c r="A8" s="547"/>
      <c r="B8" s="547"/>
      <c r="C8" s="548" t="s">
        <v>1067</v>
      </c>
      <c r="D8" s="549" t="s">
        <v>361</v>
      </c>
      <c r="E8" s="549" t="s">
        <v>268</v>
      </c>
      <c r="F8" s="549" t="s">
        <v>361</v>
      </c>
      <c r="G8" s="549" t="s">
        <v>268</v>
      </c>
      <c r="H8" s="549" t="s">
        <v>361</v>
      </c>
      <c r="I8" s="549" t="s">
        <v>268</v>
      </c>
      <c r="J8" s="549" t="s">
        <v>361</v>
      </c>
      <c r="K8" s="549" t="s">
        <v>268</v>
      </c>
      <c r="L8" s="550" t="s">
        <v>268</v>
      </c>
      <c r="M8" s="549" t="s">
        <v>268</v>
      </c>
      <c r="N8" s="549" t="s">
        <v>361</v>
      </c>
      <c r="O8" s="549" t="s">
        <v>362</v>
      </c>
      <c r="P8" s="769">
        <v>44927</v>
      </c>
      <c r="R8" s="549" t="s">
        <v>361</v>
      </c>
      <c r="S8" s="549" t="s">
        <v>268</v>
      </c>
      <c r="U8" s="548" t="s">
        <v>2584</v>
      </c>
      <c r="V8" s="548" t="s">
        <v>2584</v>
      </c>
      <c r="W8" s="548" t="s">
        <v>2587</v>
      </c>
    </row>
    <row r="10" spans="1:23" ht="13">
      <c r="A10" s="92">
        <v>301</v>
      </c>
      <c r="B10" s="93" t="s">
        <v>399</v>
      </c>
      <c r="C10" s="574">
        <v>1.3543452547059536</v>
      </c>
      <c r="D10" s="100">
        <f t="shared" ref="D10:D73" si="0">C10*D$367</f>
        <v>49901.776417463872</v>
      </c>
      <c r="E10" s="100">
        <f t="shared" ref="E10:E73" si="1">D10*P10/1000</f>
        <v>35363742.188434869</v>
      </c>
      <c r="F10" s="100">
        <f>($D$367+$R$367-D10-R10)*0.6</f>
        <v>-7831.7927809020803</v>
      </c>
      <c r="G10" s="100">
        <f t="shared" ref="G10:G73" si="2">F10*P10/1000</f>
        <v>-5550133.0946635343</v>
      </c>
      <c r="H10" s="100">
        <f>IF((D10+R10)&lt;(D$367+R$367)*0.9,((D$367+R$367)*0.9-(D10+R10))*0.35,0)</f>
        <v>0</v>
      </c>
      <c r="I10" s="100">
        <f t="shared" ref="I10:I73" si="3">H10*P10/1000</f>
        <v>0</v>
      </c>
      <c r="J10" s="100">
        <f t="shared" ref="J10:J73" si="4">H10+H$370</f>
        <v>-420.03543870207375</v>
      </c>
      <c r="K10" s="100">
        <f t="shared" ref="K10:K73" si="5">J10*P10/1000</f>
        <v>-297665.25423868251</v>
      </c>
      <c r="L10" s="101">
        <f t="shared" ref="L10:L73" si="6">K10+G10</f>
        <v>-5847798.3489022171</v>
      </c>
      <c r="M10" s="100">
        <f t="shared" ref="M10:M73" si="7">K10+E10+G10</f>
        <v>29515943.839532655</v>
      </c>
      <c r="N10" s="102">
        <f t="shared" ref="N10:N73" si="8">M10*1000/P10</f>
        <v>41649.948197859718</v>
      </c>
      <c r="O10" s="94">
        <f t="shared" ref="O10:O73" si="9">N10/N$367</f>
        <v>1.1303888107834805</v>
      </c>
      <c r="P10" s="100">
        <f>'Bef.fremskr. kommunenivå MMMM'!H5</f>
        <v>708667</v>
      </c>
      <c r="Q10" s="100"/>
      <c r="R10" s="100">
        <f>S10*1000/P10</f>
        <v>0</v>
      </c>
      <c r="S10" s="100">
        <v>0</v>
      </c>
      <c r="U10" s="100">
        <v>0</v>
      </c>
      <c r="V10" s="5">
        <f>+E10-U10</f>
        <v>35363742.188434869</v>
      </c>
      <c r="W10" s="5">
        <f>+V10*1000/P10</f>
        <v>49901.776417463872</v>
      </c>
    </row>
    <row r="11" spans="1:23" ht="13">
      <c r="A11" s="92">
        <v>1101</v>
      </c>
      <c r="B11" s="93" t="s">
        <v>510</v>
      </c>
      <c r="C11" s="574">
        <v>1.0160736085932491</v>
      </c>
      <c r="D11" s="100">
        <f t="shared" si="0"/>
        <v>37437.926454517321</v>
      </c>
      <c r="E11" s="100">
        <f t="shared" si="1"/>
        <v>555466.51480567351</v>
      </c>
      <c r="F11" s="100">
        <f t="shared" ref="F11:F74" si="10">($D$367+$R$367-D11-R11)*0.6</f>
        <v>-353.48280313415017</v>
      </c>
      <c r="G11" s="100">
        <f t="shared" si="2"/>
        <v>-5244.624350101386</v>
      </c>
      <c r="H11" s="100">
        <f t="shared" ref="H11:H74" si="11">IF((D11+R11)&lt;(D$367+R$367)*0.9,((D$367+R$367)*0.9-(D11+R11))*0.35,0)</f>
        <v>0</v>
      </c>
      <c r="I11" s="100">
        <f t="shared" si="3"/>
        <v>0</v>
      </c>
      <c r="J11" s="100">
        <f t="shared" si="4"/>
        <v>-420.03543870207375</v>
      </c>
      <c r="K11" s="100">
        <f t="shared" si="5"/>
        <v>-6232.0658040226681</v>
      </c>
      <c r="L11" s="101">
        <f t="shared" si="6"/>
        <v>-11476.690154124055</v>
      </c>
      <c r="M11" s="100">
        <f t="shared" si="7"/>
        <v>543989.82465154945</v>
      </c>
      <c r="N11" s="102">
        <f t="shared" si="8"/>
        <v>36664.408212681097</v>
      </c>
      <c r="O11" s="94">
        <f t="shared" si="9"/>
        <v>0.99508015233839875</v>
      </c>
      <c r="P11" s="100">
        <f>'Bef.fremskr. kommunenivå MMMM'!H6</f>
        <v>14837</v>
      </c>
      <c r="Q11" s="100"/>
      <c r="R11" s="100">
        <f t="shared" ref="R11:R74" si="12">S11*1000/P11</f>
        <v>0</v>
      </c>
      <c r="S11" s="100">
        <v>0</v>
      </c>
      <c r="U11" s="100">
        <v>766.55200000000002</v>
      </c>
      <c r="V11" s="5">
        <f t="shared" ref="V11:V74" si="13">+E11-U11</f>
        <v>554699.96280567348</v>
      </c>
      <c r="W11" s="5">
        <f t="shared" ref="W11:W74" si="14">+V11*1000/P11</f>
        <v>37386.261562692831</v>
      </c>
    </row>
    <row r="12" spans="1:23" ht="13">
      <c r="A12" s="92">
        <v>1103</v>
      </c>
      <c r="B12" s="93" t="s">
        <v>512</v>
      </c>
      <c r="C12" s="574">
        <v>1.2163723995816362</v>
      </c>
      <c r="D12" s="100">
        <f t="shared" si="0"/>
        <v>44818.072285028553</v>
      </c>
      <c r="E12" s="100">
        <f t="shared" si="1"/>
        <v>6544469.3692767248</v>
      </c>
      <c r="F12" s="100">
        <f t="shared" si="10"/>
        <v>-4781.5703014408891</v>
      </c>
      <c r="G12" s="100">
        <f t="shared" si="2"/>
        <v>-698219.24012730306</v>
      </c>
      <c r="H12" s="100">
        <f t="shared" si="11"/>
        <v>0</v>
      </c>
      <c r="I12" s="100">
        <f t="shared" si="3"/>
        <v>0</v>
      </c>
      <c r="J12" s="100">
        <f t="shared" si="4"/>
        <v>-420.03543870207375</v>
      </c>
      <c r="K12" s="100">
        <f t="shared" si="5"/>
        <v>-61334.834865592915</v>
      </c>
      <c r="L12" s="101">
        <f t="shared" si="6"/>
        <v>-759554.07499289594</v>
      </c>
      <c r="M12" s="100">
        <f t="shared" si="7"/>
        <v>5784915.2942838287</v>
      </c>
      <c r="N12" s="102">
        <f t="shared" si="8"/>
        <v>39616.466544885589</v>
      </c>
      <c r="O12" s="94">
        <f t="shared" si="9"/>
        <v>1.0751996687337535</v>
      </c>
      <c r="P12" s="100">
        <f>'Bef.fremskr. kommunenivå MMMM'!H7</f>
        <v>146023</v>
      </c>
      <c r="Q12" s="100"/>
      <c r="R12" s="100">
        <f t="shared" si="12"/>
        <v>0</v>
      </c>
      <c r="S12" s="100">
        <v>0</v>
      </c>
      <c r="U12" s="100">
        <v>0</v>
      </c>
      <c r="V12" s="5">
        <f t="shared" si="13"/>
        <v>6544469.3692767248</v>
      </c>
      <c r="W12" s="5">
        <f t="shared" si="14"/>
        <v>44818.072285028553</v>
      </c>
    </row>
    <row r="13" spans="1:23" ht="13">
      <c r="A13" s="92">
        <v>1106</v>
      </c>
      <c r="B13" s="93" t="s">
        <v>513</v>
      </c>
      <c r="C13" s="574">
        <v>0.94850750322078503</v>
      </c>
      <c r="D13" s="100">
        <f t="shared" si="0"/>
        <v>34948.407129972897</v>
      </c>
      <c r="E13" s="100">
        <f t="shared" si="1"/>
        <v>1320141.130927596</v>
      </c>
      <c r="F13" s="100">
        <f t="shared" si="10"/>
        <v>1140.2287915925044</v>
      </c>
      <c r="G13" s="100">
        <f t="shared" si="2"/>
        <v>43071.002373615265</v>
      </c>
      <c r="H13" s="100">
        <f t="shared" si="11"/>
        <v>0</v>
      </c>
      <c r="I13" s="100">
        <f t="shared" si="3"/>
        <v>0</v>
      </c>
      <c r="J13" s="100">
        <f t="shared" si="4"/>
        <v>-420.03543870207375</v>
      </c>
      <c r="K13" s="100">
        <f t="shared" si="5"/>
        <v>-15866.418661532134</v>
      </c>
      <c r="L13" s="101">
        <f t="shared" si="6"/>
        <v>27204.583712083131</v>
      </c>
      <c r="M13" s="100">
        <f t="shared" si="7"/>
        <v>1347345.7146396791</v>
      </c>
      <c r="N13" s="102">
        <f t="shared" si="8"/>
        <v>35668.600482863316</v>
      </c>
      <c r="O13" s="94">
        <f t="shared" si="9"/>
        <v>0.96805371018941277</v>
      </c>
      <c r="P13" s="100">
        <f>'Bef.fremskr. kommunenivå MMMM'!H8</f>
        <v>37774</v>
      </c>
      <c r="Q13" s="100"/>
      <c r="R13" s="100">
        <f t="shared" si="12"/>
        <v>0</v>
      </c>
      <c r="S13" s="100">
        <v>0</v>
      </c>
      <c r="U13" s="100">
        <v>0</v>
      </c>
      <c r="V13" s="5">
        <f t="shared" si="13"/>
        <v>1320141.130927596</v>
      </c>
      <c r="W13" s="5">
        <f t="shared" si="14"/>
        <v>34948.407129972897</v>
      </c>
    </row>
    <row r="14" spans="1:23" ht="13">
      <c r="A14" s="92">
        <v>1108</v>
      </c>
      <c r="B14" s="93" t="s">
        <v>511</v>
      </c>
      <c r="C14" s="574">
        <v>0.97826075046990046</v>
      </c>
      <c r="D14" s="100">
        <f t="shared" si="0"/>
        <v>36044.685857099415</v>
      </c>
      <c r="E14" s="100">
        <f t="shared" si="1"/>
        <v>2962404.5965374298</v>
      </c>
      <c r="F14" s="100">
        <f t="shared" si="10"/>
        <v>482.46155531659315</v>
      </c>
      <c r="G14" s="100">
        <f t="shared" si="2"/>
        <v>39652.067846804843</v>
      </c>
      <c r="H14" s="100">
        <f t="shared" si="11"/>
        <v>0</v>
      </c>
      <c r="I14" s="100">
        <f t="shared" si="3"/>
        <v>0</v>
      </c>
      <c r="J14" s="100">
        <f t="shared" si="4"/>
        <v>-420.03543870207375</v>
      </c>
      <c r="K14" s="100">
        <f t="shared" si="5"/>
        <v>-34521.452600607336</v>
      </c>
      <c r="L14" s="101">
        <f t="shared" si="6"/>
        <v>5130.6152461975071</v>
      </c>
      <c r="M14" s="100">
        <f t="shared" si="7"/>
        <v>2967535.2117836275</v>
      </c>
      <c r="N14" s="102">
        <f t="shared" si="8"/>
        <v>36107.111973713938</v>
      </c>
      <c r="O14" s="94">
        <f t="shared" si="9"/>
        <v>0.97995500908905941</v>
      </c>
      <c r="P14" s="100">
        <f>'Bef.fremskr. kommunenivå MMMM'!H9</f>
        <v>82187</v>
      </c>
      <c r="Q14" s="100"/>
      <c r="R14" s="100">
        <f t="shared" si="12"/>
        <v>0</v>
      </c>
      <c r="S14" s="100">
        <v>0</v>
      </c>
      <c r="U14" s="100">
        <v>20328.03</v>
      </c>
      <c r="V14" s="5">
        <f t="shared" si="13"/>
        <v>2942076.56653743</v>
      </c>
      <c r="W14" s="5">
        <f t="shared" si="14"/>
        <v>35797.347105228684</v>
      </c>
    </row>
    <row r="15" spans="1:23" ht="13">
      <c r="A15" s="92">
        <v>1111</v>
      </c>
      <c r="B15" s="93" t="s">
        <v>514</v>
      </c>
      <c r="C15" s="574">
        <v>0.8649197986016437</v>
      </c>
      <c r="D15" s="100">
        <f t="shared" si="0"/>
        <v>31868.561032635611</v>
      </c>
      <c r="E15" s="100">
        <f t="shared" si="1"/>
        <v>104656.35443117535</v>
      </c>
      <c r="F15" s="100">
        <f t="shared" si="10"/>
        <v>2988.1364499948759</v>
      </c>
      <c r="G15" s="100">
        <f t="shared" si="2"/>
        <v>9813.0401017831737</v>
      </c>
      <c r="H15" s="100">
        <f t="shared" si="11"/>
        <v>453.37200010506416</v>
      </c>
      <c r="I15" s="100">
        <f t="shared" si="3"/>
        <v>1488.8736483450307</v>
      </c>
      <c r="J15" s="100">
        <f t="shared" si="4"/>
        <v>33.336561402990412</v>
      </c>
      <c r="K15" s="100">
        <f t="shared" si="5"/>
        <v>109.4772676474205</v>
      </c>
      <c r="L15" s="101">
        <f t="shared" si="6"/>
        <v>9922.517369430594</v>
      </c>
      <c r="M15" s="100">
        <f t="shared" si="7"/>
        <v>114578.87180060595</v>
      </c>
      <c r="N15" s="102">
        <f t="shared" si="8"/>
        <v>34890.034044033484</v>
      </c>
      <c r="O15" s="94">
        <f t="shared" si="9"/>
        <v>0.94692324475104261</v>
      </c>
      <c r="P15" s="100">
        <f>'Bef.fremskr. kommunenivå MMMM'!H10</f>
        <v>3284</v>
      </c>
      <c r="Q15" s="100"/>
      <c r="R15" s="100">
        <f t="shared" si="12"/>
        <v>0</v>
      </c>
      <c r="S15" s="100">
        <v>0</v>
      </c>
      <c r="U15" s="100">
        <v>391.51233333333334</v>
      </c>
      <c r="V15" s="5">
        <f t="shared" si="13"/>
        <v>104264.84209784202</v>
      </c>
      <c r="W15" s="5">
        <f t="shared" si="14"/>
        <v>31749.342904336791</v>
      </c>
    </row>
    <row r="16" spans="1:23" ht="13">
      <c r="A16" s="92">
        <v>1112</v>
      </c>
      <c r="B16" s="93" t="s">
        <v>515</v>
      </c>
      <c r="C16" s="574">
        <v>0.7912323522105289</v>
      </c>
      <c r="D16" s="100">
        <f t="shared" si="0"/>
        <v>29153.496715168334</v>
      </c>
      <c r="E16" s="100">
        <f t="shared" si="1"/>
        <v>92620.659064089792</v>
      </c>
      <c r="F16" s="100">
        <f t="shared" si="10"/>
        <v>4617.175040475242</v>
      </c>
      <c r="G16" s="100">
        <f t="shared" si="2"/>
        <v>14668.765103589843</v>
      </c>
      <c r="H16" s="100">
        <f t="shared" si="11"/>
        <v>1403.6445112186111</v>
      </c>
      <c r="I16" s="100">
        <f t="shared" si="3"/>
        <v>4459.3786121415269</v>
      </c>
      <c r="J16" s="100">
        <f t="shared" si="4"/>
        <v>983.60907251653737</v>
      </c>
      <c r="K16" s="100">
        <f t="shared" si="5"/>
        <v>3124.9260233850391</v>
      </c>
      <c r="L16" s="101">
        <f t="shared" si="6"/>
        <v>17793.691126974882</v>
      </c>
      <c r="M16" s="100">
        <f t="shared" si="7"/>
        <v>110414.35019106467</v>
      </c>
      <c r="N16" s="102">
        <f t="shared" si="8"/>
        <v>34754.28082816011</v>
      </c>
      <c r="O16" s="94">
        <f t="shared" si="9"/>
        <v>0.94323887243148663</v>
      </c>
      <c r="P16" s="100">
        <f>'Bef.fremskr. kommunenivå MMMM'!H11</f>
        <v>3177</v>
      </c>
      <c r="Q16" s="100"/>
      <c r="R16" s="100">
        <f t="shared" si="12"/>
        <v>0</v>
      </c>
      <c r="S16" s="100">
        <v>0</v>
      </c>
      <c r="U16" s="100">
        <v>1300.0816666666667</v>
      </c>
      <c r="V16" s="5">
        <f t="shared" si="13"/>
        <v>91320.577397423127</v>
      </c>
      <c r="W16" s="5">
        <f t="shared" si="14"/>
        <v>28744.279948826923</v>
      </c>
    </row>
    <row r="17" spans="1:23" ht="13">
      <c r="A17" s="92">
        <v>1114</v>
      </c>
      <c r="B17" s="93" t="s">
        <v>516</v>
      </c>
      <c r="C17" s="574">
        <v>0.95582002755420803</v>
      </c>
      <c r="D17" s="100">
        <f t="shared" si="0"/>
        <v>35217.842086137724</v>
      </c>
      <c r="E17" s="100">
        <f t="shared" si="1"/>
        <v>98363.432946582659</v>
      </c>
      <c r="F17" s="100">
        <f t="shared" si="10"/>
        <v>978.56781789360821</v>
      </c>
      <c r="G17" s="100">
        <f t="shared" si="2"/>
        <v>2733.1399153768475</v>
      </c>
      <c r="H17" s="100">
        <f t="shared" si="11"/>
        <v>0</v>
      </c>
      <c r="I17" s="100">
        <f t="shared" si="3"/>
        <v>0</v>
      </c>
      <c r="J17" s="100">
        <f t="shared" si="4"/>
        <v>-420.03543870207375</v>
      </c>
      <c r="K17" s="100">
        <f t="shared" si="5"/>
        <v>-1173.1589802948918</v>
      </c>
      <c r="L17" s="101">
        <f t="shared" si="6"/>
        <v>1559.9809350819557</v>
      </c>
      <c r="M17" s="100">
        <f t="shared" si="7"/>
        <v>99923.413881664615</v>
      </c>
      <c r="N17" s="102">
        <f t="shared" si="8"/>
        <v>35776.37446532926</v>
      </c>
      <c r="O17" s="94">
        <f t="shared" si="9"/>
        <v>0.9709787199227824</v>
      </c>
      <c r="P17" s="100">
        <f>'Bef.fremskr. kommunenivå MMMM'!H12</f>
        <v>2793</v>
      </c>
      <c r="Q17" s="100"/>
      <c r="R17" s="100">
        <f t="shared" si="12"/>
        <v>0</v>
      </c>
      <c r="S17" s="100">
        <v>0</v>
      </c>
      <c r="U17" s="100">
        <v>0.30433333333333334</v>
      </c>
      <c r="V17" s="5">
        <f t="shared" si="13"/>
        <v>98363.128613249326</v>
      </c>
      <c r="W17" s="5">
        <f t="shared" si="14"/>
        <v>35217.733123254329</v>
      </c>
    </row>
    <row r="18" spans="1:23" ht="13">
      <c r="A18" s="92">
        <v>1119</v>
      </c>
      <c r="B18" s="93" t="s">
        <v>517</v>
      </c>
      <c r="C18" s="574">
        <v>0.83093803116638865</v>
      </c>
      <c r="D18" s="100">
        <f t="shared" si="0"/>
        <v>30616.479589641578</v>
      </c>
      <c r="E18" s="100">
        <f t="shared" si="1"/>
        <v>595490.52801852871</v>
      </c>
      <c r="F18" s="100">
        <f t="shared" si="10"/>
        <v>3739.3853157912954</v>
      </c>
      <c r="G18" s="100">
        <f t="shared" si="2"/>
        <v>72731.044392140699</v>
      </c>
      <c r="H18" s="100">
        <f t="shared" si="11"/>
        <v>891.60050515297564</v>
      </c>
      <c r="I18" s="100">
        <f t="shared" si="3"/>
        <v>17341.629825225376</v>
      </c>
      <c r="J18" s="100">
        <f t="shared" si="4"/>
        <v>471.5650664509019</v>
      </c>
      <c r="K18" s="100">
        <f t="shared" si="5"/>
        <v>9171.9405424700417</v>
      </c>
      <c r="L18" s="101">
        <f t="shared" si="6"/>
        <v>81902.984934610737</v>
      </c>
      <c r="M18" s="100">
        <f t="shared" si="7"/>
        <v>677393.51295313949</v>
      </c>
      <c r="N18" s="102">
        <f t="shared" si="8"/>
        <v>34827.429971883779</v>
      </c>
      <c r="O18" s="94">
        <f t="shared" si="9"/>
        <v>0.94522415637927981</v>
      </c>
      <c r="P18" s="100">
        <f>'Bef.fremskr. kommunenivå MMMM'!H13</f>
        <v>19450</v>
      </c>
      <c r="Q18" s="100"/>
      <c r="R18" s="100">
        <f t="shared" si="12"/>
        <v>0</v>
      </c>
      <c r="S18" s="100">
        <v>0</v>
      </c>
      <c r="U18" s="100">
        <v>0</v>
      </c>
      <c r="V18" s="5">
        <f t="shared" si="13"/>
        <v>595490.52801852871</v>
      </c>
      <c r="W18" s="5">
        <f t="shared" si="14"/>
        <v>30616.479589641578</v>
      </c>
    </row>
    <row r="19" spans="1:23" ht="13">
      <c r="A19" s="92">
        <v>1120</v>
      </c>
      <c r="B19" s="93" t="s">
        <v>518</v>
      </c>
      <c r="C19" s="574">
        <v>0.91666862072201793</v>
      </c>
      <c r="D19" s="100">
        <f t="shared" si="0"/>
        <v>33775.281746829489</v>
      </c>
      <c r="E19" s="100">
        <f t="shared" si="1"/>
        <v>694588.66912354843</v>
      </c>
      <c r="F19" s="100">
        <f t="shared" si="10"/>
        <v>1844.1040214785489</v>
      </c>
      <c r="G19" s="100">
        <f t="shared" si="2"/>
        <v>37923.999201706356</v>
      </c>
      <c r="H19" s="100">
        <f t="shared" si="11"/>
        <v>0</v>
      </c>
      <c r="I19" s="100">
        <f t="shared" si="3"/>
        <v>0</v>
      </c>
      <c r="J19" s="100">
        <f t="shared" si="4"/>
        <v>-420.03543870207375</v>
      </c>
      <c r="K19" s="100">
        <f t="shared" si="5"/>
        <v>-8638.0287969081455</v>
      </c>
      <c r="L19" s="101">
        <f t="shared" si="6"/>
        <v>29285.970404798209</v>
      </c>
      <c r="M19" s="100">
        <f t="shared" si="7"/>
        <v>723874.63952834671</v>
      </c>
      <c r="N19" s="102">
        <f t="shared" si="8"/>
        <v>35199.350329605964</v>
      </c>
      <c r="O19" s="94">
        <f t="shared" si="9"/>
        <v>0.9553181571899062</v>
      </c>
      <c r="P19" s="100">
        <f>'Bef.fremskr. kommunenivå MMMM'!H14</f>
        <v>20565</v>
      </c>
      <c r="Q19" s="100"/>
      <c r="R19" s="100">
        <f t="shared" si="12"/>
        <v>0</v>
      </c>
      <c r="S19" s="100">
        <v>0</v>
      </c>
      <c r="U19" s="100">
        <v>0</v>
      </c>
      <c r="V19" s="5">
        <f t="shared" si="13"/>
        <v>694588.66912354843</v>
      </c>
      <c r="W19" s="5">
        <f t="shared" si="14"/>
        <v>33775.281746829489</v>
      </c>
    </row>
    <row r="20" spans="1:23" ht="13">
      <c r="A20" s="92">
        <v>1121</v>
      </c>
      <c r="B20" s="93" t="s">
        <v>519</v>
      </c>
      <c r="C20" s="574">
        <v>0.95785357032599505</v>
      </c>
      <c r="D20" s="100">
        <f t="shared" si="0"/>
        <v>35292.769359209684</v>
      </c>
      <c r="E20" s="100">
        <f t="shared" si="1"/>
        <v>694738.16483604268</v>
      </c>
      <c r="F20" s="100">
        <f t="shared" si="10"/>
        <v>933.61145405043203</v>
      </c>
      <c r="G20" s="100">
        <f t="shared" si="2"/>
        <v>18378.141472982752</v>
      </c>
      <c r="H20" s="100">
        <f t="shared" si="11"/>
        <v>0</v>
      </c>
      <c r="I20" s="100">
        <f t="shared" si="3"/>
        <v>0</v>
      </c>
      <c r="J20" s="100">
        <f t="shared" si="4"/>
        <v>-420.03543870207375</v>
      </c>
      <c r="K20" s="100">
        <f t="shared" si="5"/>
        <v>-8268.397610850323</v>
      </c>
      <c r="L20" s="101">
        <f t="shared" si="6"/>
        <v>10109.743862132429</v>
      </c>
      <c r="M20" s="100">
        <f t="shared" si="7"/>
        <v>704847.9086981751</v>
      </c>
      <c r="N20" s="102">
        <f t="shared" si="8"/>
        <v>35806.345374558041</v>
      </c>
      <c r="O20" s="94">
        <f t="shared" si="9"/>
        <v>0.97179213703149703</v>
      </c>
      <c r="P20" s="100">
        <f>'Bef.fremskr. kommunenivå MMMM'!H15</f>
        <v>19685</v>
      </c>
      <c r="Q20" s="100"/>
      <c r="R20" s="100">
        <f t="shared" si="12"/>
        <v>0</v>
      </c>
      <c r="S20" s="100">
        <v>0</v>
      </c>
      <c r="U20" s="100">
        <v>0</v>
      </c>
      <c r="V20" s="5">
        <f t="shared" si="13"/>
        <v>694738.16483604268</v>
      </c>
      <c r="W20" s="5">
        <f t="shared" si="14"/>
        <v>35292.769359209684</v>
      </c>
    </row>
    <row r="21" spans="1:23" ht="13">
      <c r="A21" s="92">
        <v>1122</v>
      </c>
      <c r="B21" s="93" t="s">
        <v>520</v>
      </c>
      <c r="C21" s="574">
        <v>0.8536073145602795</v>
      </c>
      <c r="D21" s="100">
        <f t="shared" si="0"/>
        <v>31451.74482761199</v>
      </c>
      <c r="E21" s="100">
        <f t="shared" si="1"/>
        <v>386227.42648307525</v>
      </c>
      <c r="F21" s="100">
        <f t="shared" si="10"/>
        <v>3238.2261730090481</v>
      </c>
      <c r="G21" s="100">
        <f t="shared" si="2"/>
        <v>39765.41740455111</v>
      </c>
      <c r="H21" s="100">
        <f t="shared" si="11"/>
        <v>599.25767186333132</v>
      </c>
      <c r="I21" s="100">
        <f t="shared" si="3"/>
        <v>7358.8842104817086</v>
      </c>
      <c r="J21" s="100">
        <f t="shared" si="4"/>
        <v>179.22223316125758</v>
      </c>
      <c r="K21" s="100">
        <f t="shared" si="5"/>
        <v>2200.849023220243</v>
      </c>
      <c r="L21" s="101">
        <f t="shared" si="6"/>
        <v>41966.266427771356</v>
      </c>
      <c r="M21" s="100">
        <f t="shared" si="7"/>
        <v>428193.69291084661</v>
      </c>
      <c r="N21" s="102">
        <f t="shared" si="8"/>
        <v>34869.193233782295</v>
      </c>
      <c r="O21" s="94">
        <f t="shared" si="9"/>
        <v>0.94635762054897421</v>
      </c>
      <c r="P21" s="100">
        <f>'Bef.fremskr. kommunenivå MMMM'!H16</f>
        <v>12280</v>
      </c>
      <c r="Q21" s="100"/>
      <c r="R21" s="100">
        <f t="shared" si="12"/>
        <v>0</v>
      </c>
      <c r="S21" s="100">
        <v>0</v>
      </c>
      <c r="U21" s="100">
        <v>3434.6133333333332</v>
      </c>
      <c r="V21" s="5">
        <f t="shared" si="13"/>
        <v>382792.81314974191</v>
      </c>
      <c r="W21" s="5">
        <f t="shared" si="14"/>
        <v>31172.053188089729</v>
      </c>
    </row>
    <row r="22" spans="1:23" ht="13">
      <c r="A22" s="92">
        <v>1124</v>
      </c>
      <c r="B22" s="93" t="s">
        <v>521</v>
      </c>
      <c r="C22" s="574">
        <v>1.2219386388761135</v>
      </c>
      <c r="D22" s="100">
        <f t="shared" si="0"/>
        <v>45023.164175588921</v>
      </c>
      <c r="E22" s="100">
        <f t="shared" si="1"/>
        <v>1258082.2765584812</v>
      </c>
      <c r="F22" s="100">
        <f t="shared" si="10"/>
        <v>-4904.6254357771104</v>
      </c>
      <c r="G22" s="100">
        <f t="shared" si="2"/>
        <v>-137049.94855191978</v>
      </c>
      <c r="H22" s="100">
        <f t="shared" si="11"/>
        <v>0</v>
      </c>
      <c r="I22" s="100">
        <f t="shared" si="3"/>
        <v>0</v>
      </c>
      <c r="J22" s="100">
        <f t="shared" si="4"/>
        <v>-420.03543870207375</v>
      </c>
      <c r="K22" s="100">
        <f t="shared" si="5"/>
        <v>-11737.050263652047</v>
      </c>
      <c r="L22" s="101">
        <f t="shared" si="6"/>
        <v>-148786.99881557183</v>
      </c>
      <c r="M22" s="100">
        <f t="shared" si="7"/>
        <v>1109295.2777429093</v>
      </c>
      <c r="N22" s="102">
        <f t="shared" si="8"/>
        <v>39698.503301109733</v>
      </c>
      <c r="O22" s="94">
        <f t="shared" si="9"/>
        <v>1.0774261644515444</v>
      </c>
      <c r="P22" s="100">
        <f>'Bef.fremskr. kommunenivå MMMM'!H17</f>
        <v>27943</v>
      </c>
      <c r="Q22" s="100"/>
      <c r="R22" s="100">
        <f t="shared" si="12"/>
        <v>0</v>
      </c>
      <c r="S22" s="100">
        <v>0</v>
      </c>
      <c r="U22" s="100">
        <v>0</v>
      </c>
      <c r="V22" s="5">
        <f t="shared" si="13"/>
        <v>1258082.2765584812</v>
      </c>
      <c r="W22" s="5">
        <f t="shared" si="14"/>
        <v>45023.164175588921</v>
      </c>
    </row>
    <row r="23" spans="1:23" ht="13">
      <c r="A23" s="92">
        <v>1127</v>
      </c>
      <c r="B23" s="93" t="s">
        <v>522</v>
      </c>
      <c r="C23" s="574">
        <v>1.0772594042392909</v>
      </c>
      <c r="D23" s="100">
        <f t="shared" si="0"/>
        <v>39692.358907131718</v>
      </c>
      <c r="E23" s="100">
        <f t="shared" si="1"/>
        <v>460510.74804054218</v>
      </c>
      <c r="F23" s="100">
        <f t="shared" si="10"/>
        <v>-1706.1422747027884</v>
      </c>
      <c r="G23" s="100">
        <f t="shared" si="2"/>
        <v>-19794.662671101752</v>
      </c>
      <c r="H23" s="100">
        <f t="shared" si="11"/>
        <v>0</v>
      </c>
      <c r="I23" s="100">
        <f t="shared" si="3"/>
        <v>0</v>
      </c>
      <c r="J23" s="100">
        <f t="shared" si="4"/>
        <v>-420.03543870207375</v>
      </c>
      <c r="K23" s="100">
        <f t="shared" si="5"/>
        <v>-4873.2511598214596</v>
      </c>
      <c r="L23" s="101">
        <f t="shared" si="6"/>
        <v>-24667.913830923211</v>
      </c>
      <c r="M23" s="100">
        <f t="shared" si="7"/>
        <v>435842.83420961897</v>
      </c>
      <c r="N23" s="102">
        <f t="shared" si="8"/>
        <v>37566.181193726858</v>
      </c>
      <c r="O23" s="94">
        <f t="shared" si="9"/>
        <v>1.0195544705968156</v>
      </c>
      <c r="P23" s="100">
        <f>'Bef.fremskr. kommunenivå MMMM'!H18</f>
        <v>11602</v>
      </c>
      <c r="Q23" s="100"/>
      <c r="R23" s="100">
        <f t="shared" si="12"/>
        <v>0</v>
      </c>
      <c r="S23" s="100">
        <v>0</v>
      </c>
      <c r="U23" s="100">
        <v>0</v>
      </c>
      <c r="V23" s="5">
        <f t="shared" si="13"/>
        <v>460510.74804054218</v>
      </c>
      <c r="W23" s="5">
        <f t="shared" si="14"/>
        <v>39692.358907131718</v>
      </c>
    </row>
    <row r="24" spans="1:23" ht="13">
      <c r="A24" s="92">
        <v>1130</v>
      </c>
      <c r="B24" s="93" t="s">
        <v>523</v>
      </c>
      <c r="C24" s="574">
        <v>0.87293534739630108</v>
      </c>
      <c r="D24" s="100">
        <f t="shared" si="0"/>
        <v>32163.899405494685</v>
      </c>
      <c r="E24" s="100">
        <f t="shared" si="1"/>
        <v>430545.95744195185</v>
      </c>
      <c r="F24" s="100">
        <f t="shared" si="10"/>
        <v>2810.9334262794314</v>
      </c>
      <c r="G24" s="100">
        <f t="shared" si="2"/>
        <v>37627.154844176468</v>
      </c>
      <c r="H24" s="100">
        <f t="shared" si="11"/>
        <v>350.00356960438819</v>
      </c>
      <c r="I24" s="100">
        <f t="shared" si="3"/>
        <v>4685.1477827243407</v>
      </c>
      <c r="J24" s="100">
        <f t="shared" si="4"/>
        <v>-70.031869097685558</v>
      </c>
      <c r="K24" s="100">
        <f t="shared" si="5"/>
        <v>-937.4465997416188</v>
      </c>
      <c r="L24" s="101">
        <f t="shared" si="6"/>
        <v>36689.708244434849</v>
      </c>
      <c r="M24" s="100">
        <f t="shared" si="7"/>
        <v>467235.6656863867</v>
      </c>
      <c r="N24" s="102">
        <f t="shared" si="8"/>
        <v>34904.800962676432</v>
      </c>
      <c r="O24" s="94">
        <f t="shared" si="9"/>
        <v>0.94732402219077527</v>
      </c>
      <c r="P24" s="100">
        <f>'Bef.fremskr. kommunenivå MMMM'!H19</f>
        <v>13386</v>
      </c>
      <c r="Q24" s="100"/>
      <c r="R24" s="100">
        <f t="shared" si="12"/>
        <v>0</v>
      </c>
      <c r="S24" s="100">
        <v>0</v>
      </c>
      <c r="U24" s="100">
        <v>1001.927</v>
      </c>
      <c r="V24" s="5">
        <f t="shared" si="13"/>
        <v>429544.03044195182</v>
      </c>
      <c r="W24" s="5">
        <f t="shared" si="14"/>
        <v>32089.050533538906</v>
      </c>
    </row>
    <row r="25" spans="1:23" ht="13">
      <c r="A25" s="92">
        <v>1133</v>
      </c>
      <c r="B25" s="93" t="s">
        <v>524</v>
      </c>
      <c r="C25" s="574">
        <v>1.1419283092676646</v>
      </c>
      <c r="D25" s="100">
        <f t="shared" si="0"/>
        <v>42075.128905162062</v>
      </c>
      <c r="E25" s="100">
        <f t="shared" si="1"/>
        <v>106870.82741911164</v>
      </c>
      <c r="F25" s="100">
        <f t="shared" si="10"/>
        <v>-3135.8042735209951</v>
      </c>
      <c r="G25" s="100">
        <f t="shared" si="2"/>
        <v>-7964.9428547433281</v>
      </c>
      <c r="H25" s="100">
        <f t="shared" si="11"/>
        <v>0</v>
      </c>
      <c r="I25" s="100">
        <f t="shared" si="3"/>
        <v>0</v>
      </c>
      <c r="J25" s="100">
        <f t="shared" si="4"/>
        <v>-420.03543870207375</v>
      </c>
      <c r="K25" s="100">
        <f t="shared" si="5"/>
        <v>-1066.8900143032672</v>
      </c>
      <c r="L25" s="101">
        <f t="shared" si="6"/>
        <v>-9031.8328690465951</v>
      </c>
      <c r="M25" s="100">
        <f t="shared" si="7"/>
        <v>97838.994550065036</v>
      </c>
      <c r="N25" s="102">
        <f t="shared" si="8"/>
        <v>38519.289192938995</v>
      </c>
      <c r="O25" s="94">
        <f t="shared" si="9"/>
        <v>1.0454220326081651</v>
      </c>
      <c r="P25" s="100">
        <f>'Bef.fremskr. kommunenivå MMMM'!H20</f>
        <v>2540</v>
      </c>
      <c r="Q25" s="100"/>
      <c r="R25" s="100">
        <f t="shared" si="12"/>
        <v>0</v>
      </c>
      <c r="S25" s="100">
        <v>0</v>
      </c>
      <c r="U25" s="100">
        <v>22029.586666666666</v>
      </c>
      <c r="V25" s="5">
        <f t="shared" si="13"/>
        <v>84841.240752444966</v>
      </c>
      <c r="W25" s="5">
        <f t="shared" si="14"/>
        <v>33402.063288364159</v>
      </c>
    </row>
    <row r="26" spans="1:23" ht="13">
      <c r="A26" s="92">
        <v>1134</v>
      </c>
      <c r="B26" s="93" t="s">
        <v>525</v>
      </c>
      <c r="C26" s="574">
        <v>1.2084131026407638</v>
      </c>
      <c r="D26" s="100">
        <f t="shared" si="0"/>
        <v>44524.806550162561</v>
      </c>
      <c r="E26" s="100">
        <f t="shared" si="1"/>
        <v>167813.99588756269</v>
      </c>
      <c r="F26" s="100">
        <f t="shared" si="10"/>
        <v>-4605.6108605212939</v>
      </c>
      <c r="G26" s="100">
        <f t="shared" si="2"/>
        <v>-17358.547333304756</v>
      </c>
      <c r="H26" s="100">
        <f t="shared" si="11"/>
        <v>0</v>
      </c>
      <c r="I26" s="100">
        <f t="shared" si="3"/>
        <v>0</v>
      </c>
      <c r="J26" s="100">
        <f t="shared" si="4"/>
        <v>-420.03543870207375</v>
      </c>
      <c r="K26" s="100">
        <f t="shared" si="5"/>
        <v>-1583.113568468116</v>
      </c>
      <c r="L26" s="101">
        <f t="shared" si="6"/>
        <v>-18941.660901772873</v>
      </c>
      <c r="M26" s="100">
        <f t="shared" si="7"/>
        <v>148872.33498578984</v>
      </c>
      <c r="N26" s="102">
        <f t="shared" si="8"/>
        <v>39499.160250939196</v>
      </c>
      <c r="O26" s="94">
        <f t="shared" si="9"/>
        <v>1.0720159499574049</v>
      </c>
      <c r="P26" s="100">
        <f>'Bef.fremskr. kommunenivå MMMM'!H21</f>
        <v>3769</v>
      </c>
      <c r="Q26" s="100"/>
      <c r="R26" s="100">
        <f t="shared" si="12"/>
        <v>0</v>
      </c>
      <c r="S26" s="100">
        <v>0</v>
      </c>
      <c r="U26" s="100">
        <v>51506.96166666667</v>
      </c>
      <c r="V26" s="5">
        <f t="shared" si="13"/>
        <v>116307.03422089602</v>
      </c>
      <c r="W26" s="5">
        <f t="shared" si="14"/>
        <v>30858.857580497752</v>
      </c>
    </row>
    <row r="27" spans="1:23" ht="13">
      <c r="A27" s="92">
        <v>1135</v>
      </c>
      <c r="B27" s="93" t="s">
        <v>526</v>
      </c>
      <c r="C27" s="574">
        <v>0.98699408209982442</v>
      </c>
      <c r="D27" s="100">
        <f t="shared" si="0"/>
        <v>36366.471429029261</v>
      </c>
      <c r="E27" s="100">
        <f t="shared" si="1"/>
        <v>163103.62435919626</v>
      </c>
      <c r="F27" s="100">
        <f t="shared" si="10"/>
        <v>289.39021215868559</v>
      </c>
      <c r="G27" s="100">
        <f t="shared" si="2"/>
        <v>1297.915101531705</v>
      </c>
      <c r="H27" s="100">
        <f t="shared" si="11"/>
        <v>0</v>
      </c>
      <c r="I27" s="100">
        <f t="shared" si="3"/>
        <v>0</v>
      </c>
      <c r="J27" s="100">
        <f t="shared" si="4"/>
        <v>-420.03543870207375</v>
      </c>
      <c r="K27" s="100">
        <f t="shared" si="5"/>
        <v>-1883.8589425788007</v>
      </c>
      <c r="L27" s="101">
        <f t="shared" si="6"/>
        <v>-585.9438410470957</v>
      </c>
      <c r="M27" s="100">
        <f t="shared" si="7"/>
        <v>162517.68051814917</v>
      </c>
      <c r="N27" s="102">
        <f t="shared" si="8"/>
        <v>36235.826202485878</v>
      </c>
      <c r="O27" s="94">
        <f t="shared" si="9"/>
        <v>0.98344834174102902</v>
      </c>
      <c r="P27" s="100">
        <f>'Bef.fremskr. kommunenivå MMMM'!H22</f>
        <v>4485</v>
      </c>
      <c r="Q27" s="100"/>
      <c r="R27" s="100">
        <f t="shared" si="12"/>
        <v>0</v>
      </c>
      <c r="S27" s="100">
        <v>0</v>
      </c>
      <c r="U27" s="100">
        <v>18739.811000000002</v>
      </c>
      <c r="V27" s="5">
        <f t="shared" si="13"/>
        <v>144363.81335919624</v>
      </c>
      <c r="W27" s="5">
        <f t="shared" si="14"/>
        <v>32188.141217212094</v>
      </c>
    </row>
    <row r="28" spans="1:23" ht="13">
      <c r="A28" s="92">
        <v>1144</v>
      </c>
      <c r="B28" s="93" t="s">
        <v>527</v>
      </c>
      <c r="C28" s="574">
        <v>0.9155705293061015</v>
      </c>
      <c r="D28" s="100">
        <f t="shared" si="0"/>
        <v>33734.821818216311</v>
      </c>
      <c r="E28" s="100">
        <f t="shared" si="1"/>
        <v>17913.190385472859</v>
      </c>
      <c r="F28" s="100">
        <f t="shared" si="10"/>
        <v>1868.3799786464558</v>
      </c>
      <c r="G28" s="100">
        <f t="shared" si="2"/>
        <v>992.10976866126805</v>
      </c>
      <c r="H28" s="100">
        <f t="shared" si="11"/>
        <v>0</v>
      </c>
      <c r="I28" s="100">
        <f t="shared" si="3"/>
        <v>0</v>
      </c>
      <c r="J28" s="100">
        <f t="shared" si="4"/>
        <v>-420.03543870207375</v>
      </c>
      <c r="K28" s="100">
        <f t="shared" si="5"/>
        <v>-223.03881795080116</v>
      </c>
      <c r="L28" s="101">
        <f t="shared" si="6"/>
        <v>769.07095071046683</v>
      </c>
      <c r="M28" s="100">
        <f t="shared" si="7"/>
        <v>18682.261336183325</v>
      </c>
      <c r="N28" s="102">
        <f t="shared" si="8"/>
        <v>35183.166358160684</v>
      </c>
      <c r="O28" s="94">
        <f t="shared" si="9"/>
        <v>0.95487892062353941</v>
      </c>
      <c r="P28" s="100">
        <f>'Bef.fremskr. kommunenivå MMMM'!H23</f>
        <v>531</v>
      </c>
      <c r="Q28" s="100"/>
      <c r="R28" s="100">
        <f t="shared" si="12"/>
        <v>0</v>
      </c>
      <c r="S28" s="100">
        <v>0</v>
      </c>
      <c r="U28" s="100">
        <v>0</v>
      </c>
      <c r="V28" s="5">
        <f t="shared" si="13"/>
        <v>17913.190385472859</v>
      </c>
      <c r="W28" s="5">
        <f t="shared" si="14"/>
        <v>33734.821818216311</v>
      </c>
    </row>
    <row r="29" spans="1:23" ht="13">
      <c r="A29" s="92">
        <v>1145</v>
      </c>
      <c r="B29" s="93" t="s">
        <v>528</v>
      </c>
      <c r="C29" s="574">
        <v>0.9518350438255333</v>
      </c>
      <c r="D29" s="100">
        <f t="shared" si="0"/>
        <v>35071.012637469015</v>
      </c>
      <c r="E29" s="100">
        <f t="shared" si="1"/>
        <v>29670.076691298786</v>
      </c>
      <c r="F29" s="100">
        <f t="shared" si="10"/>
        <v>1066.6654870948332</v>
      </c>
      <c r="G29" s="100">
        <f t="shared" si="2"/>
        <v>902.39900208222889</v>
      </c>
      <c r="H29" s="100">
        <f t="shared" si="11"/>
        <v>0</v>
      </c>
      <c r="I29" s="100">
        <f t="shared" si="3"/>
        <v>0</v>
      </c>
      <c r="J29" s="100">
        <f t="shared" si="4"/>
        <v>-420.03543870207375</v>
      </c>
      <c r="K29" s="100">
        <f t="shared" si="5"/>
        <v>-355.34998114195434</v>
      </c>
      <c r="L29" s="101">
        <f t="shared" si="6"/>
        <v>547.04902094027454</v>
      </c>
      <c r="M29" s="100">
        <f t="shared" si="7"/>
        <v>30217.12571223906</v>
      </c>
      <c r="N29" s="102">
        <f t="shared" si="8"/>
        <v>35717.642685861771</v>
      </c>
      <c r="O29" s="94">
        <f t="shared" si="9"/>
        <v>0.96938472643131235</v>
      </c>
      <c r="P29" s="100">
        <f>'Bef.fremskr. kommunenivå MMMM'!H24</f>
        <v>846</v>
      </c>
      <c r="Q29" s="100"/>
      <c r="R29" s="100">
        <f t="shared" si="12"/>
        <v>0</v>
      </c>
      <c r="S29" s="100">
        <v>0</v>
      </c>
      <c r="U29" s="100">
        <v>0</v>
      </c>
      <c r="V29" s="5">
        <f t="shared" si="13"/>
        <v>29670.076691298786</v>
      </c>
      <c r="W29" s="5">
        <f t="shared" si="14"/>
        <v>35071.012637469015</v>
      </c>
    </row>
    <row r="30" spans="1:23" ht="13">
      <c r="A30" s="92">
        <v>1146</v>
      </c>
      <c r="B30" s="93" t="s">
        <v>529</v>
      </c>
      <c r="C30" s="574">
        <v>0.87425657728761597</v>
      </c>
      <c r="D30" s="100">
        <f t="shared" si="0"/>
        <v>32212.58102371823</v>
      </c>
      <c r="E30" s="100">
        <f t="shared" si="1"/>
        <v>366933.51044117438</v>
      </c>
      <c r="F30" s="100">
        <f t="shared" si="10"/>
        <v>2781.7244553453042</v>
      </c>
      <c r="G30" s="100">
        <f t="shared" si="2"/>
        <v>31686.623270838361</v>
      </c>
      <c r="H30" s="100">
        <f t="shared" si="11"/>
        <v>332.96500322614736</v>
      </c>
      <c r="I30" s="100">
        <f t="shared" si="3"/>
        <v>3792.8043517490446</v>
      </c>
      <c r="J30" s="100">
        <f t="shared" si="4"/>
        <v>-87.070435475926388</v>
      </c>
      <c r="K30" s="100">
        <f t="shared" si="5"/>
        <v>-991.81933050627754</v>
      </c>
      <c r="L30" s="101">
        <f t="shared" si="6"/>
        <v>30694.803940332084</v>
      </c>
      <c r="M30" s="100">
        <f t="shared" si="7"/>
        <v>397628.31438150647</v>
      </c>
      <c r="N30" s="102">
        <f t="shared" si="8"/>
        <v>34907.235043587607</v>
      </c>
      <c r="O30" s="94">
        <f t="shared" si="9"/>
        <v>0.94739008368534094</v>
      </c>
      <c r="P30" s="100">
        <f>'Bef.fremskr. kommunenivå MMMM'!H25</f>
        <v>11391</v>
      </c>
      <c r="Q30" s="100"/>
      <c r="R30" s="100">
        <f t="shared" si="12"/>
        <v>0</v>
      </c>
      <c r="S30" s="100">
        <v>0</v>
      </c>
      <c r="U30" s="100">
        <v>0</v>
      </c>
      <c r="V30" s="5">
        <f t="shared" si="13"/>
        <v>366933.51044117438</v>
      </c>
      <c r="W30" s="5">
        <f t="shared" si="14"/>
        <v>32212.581023718234</v>
      </c>
    </row>
    <row r="31" spans="1:23" ht="13">
      <c r="A31" s="92">
        <v>1149</v>
      </c>
      <c r="B31" s="93" t="s">
        <v>530</v>
      </c>
      <c r="C31" s="574">
        <v>0.84405953677425538</v>
      </c>
      <c r="D31" s="100">
        <f t="shared" si="0"/>
        <v>31099.950430499237</v>
      </c>
      <c r="E31" s="100">
        <f t="shared" si="1"/>
        <v>1324733.4885375455</v>
      </c>
      <c r="F31" s="100">
        <f t="shared" si="10"/>
        <v>3449.3028112767001</v>
      </c>
      <c r="G31" s="100">
        <f t="shared" si="2"/>
        <v>146926.50254914234</v>
      </c>
      <c r="H31" s="100">
        <f t="shared" si="11"/>
        <v>722.385710852795</v>
      </c>
      <c r="I31" s="100">
        <f t="shared" si="3"/>
        <v>30770.741739485657</v>
      </c>
      <c r="J31" s="100">
        <f t="shared" si="4"/>
        <v>302.35027215072125</v>
      </c>
      <c r="K31" s="100">
        <f t="shared" si="5"/>
        <v>12878.912192532121</v>
      </c>
      <c r="L31" s="101">
        <f t="shared" si="6"/>
        <v>159805.41474167447</v>
      </c>
      <c r="M31" s="100">
        <f t="shared" si="7"/>
        <v>1484538.90327922</v>
      </c>
      <c r="N31" s="102">
        <f t="shared" si="8"/>
        <v>34851.603513926661</v>
      </c>
      <c r="O31" s="94">
        <f t="shared" si="9"/>
        <v>0.94588023165967305</v>
      </c>
      <c r="P31" s="100">
        <f>'Bef.fremskr. kommunenivå MMMM'!H26</f>
        <v>42596</v>
      </c>
      <c r="Q31" s="100"/>
      <c r="R31" s="100">
        <f t="shared" si="12"/>
        <v>0</v>
      </c>
      <c r="S31" s="100">
        <v>0</v>
      </c>
      <c r="U31" s="100">
        <v>0</v>
      </c>
      <c r="V31" s="5">
        <f t="shared" si="13"/>
        <v>1324733.4885375455</v>
      </c>
      <c r="W31" s="5">
        <f t="shared" si="14"/>
        <v>31099.950430499237</v>
      </c>
    </row>
    <row r="32" spans="1:23" ht="13">
      <c r="A32" s="92">
        <v>1151</v>
      </c>
      <c r="B32" s="93" t="s">
        <v>531</v>
      </c>
      <c r="C32" s="574">
        <v>0.94504238190189982</v>
      </c>
      <c r="D32" s="100">
        <f t="shared" si="0"/>
        <v>34820.732367047</v>
      </c>
      <c r="E32" s="100">
        <f t="shared" si="1"/>
        <v>6581.118417371883</v>
      </c>
      <c r="F32" s="100">
        <f t="shared" si="10"/>
        <v>1216.8336493480426</v>
      </c>
      <c r="G32" s="100">
        <f t="shared" si="2"/>
        <v>229.98155972678003</v>
      </c>
      <c r="H32" s="100">
        <f t="shared" si="11"/>
        <v>0</v>
      </c>
      <c r="I32" s="100">
        <f t="shared" si="3"/>
        <v>0</v>
      </c>
      <c r="J32" s="100">
        <f t="shared" si="4"/>
        <v>-420.03543870207375</v>
      </c>
      <c r="K32" s="100">
        <f t="shared" si="5"/>
        <v>-79.386697914691936</v>
      </c>
      <c r="L32" s="101">
        <f t="shared" si="6"/>
        <v>150.59486181208808</v>
      </c>
      <c r="M32" s="100">
        <f t="shared" si="7"/>
        <v>6731.7132791839704</v>
      </c>
      <c r="N32" s="102">
        <f t="shared" si="8"/>
        <v>35617.530577692967</v>
      </c>
      <c r="O32" s="94">
        <f t="shared" si="9"/>
        <v>0.96666766166185902</v>
      </c>
      <c r="P32" s="100">
        <f>'Bef.fremskr. kommunenivå MMMM'!H27</f>
        <v>189</v>
      </c>
      <c r="Q32" s="100"/>
      <c r="R32" s="100">
        <f t="shared" si="12"/>
        <v>0</v>
      </c>
      <c r="S32" s="100">
        <v>0</v>
      </c>
      <c r="U32" s="100">
        <v>0</v>
      </c>
      <c r="V32" s="5">
        <f t="shared" si="13"/>
        <v>6581.118417371883</v>
      </c>
      <c r="W32" s="5">
        <f t="shared" si="14"/>
        <v>34820.732367047</v>
      </c>
    </row>
    <row r="33" spans="1:23" ht="13">
      <c r="A33" s="92">
        <v>1160</v>
      </c>
      <c r="B33" s="93" t="s">
        <v>1813</v>
      </c>
      <c r="C33" s="574">
        <v>1.1019477330221294</v>
      </c>
      <c r="D33" s="100">
        <f t="shared" si="0"/>
        <v>40602.017252196412</v>
      </c>
      <c r="E33" s="100">
        <f t="shared" si="1"/>
        <v>358312.80225063337</v>
      </c>
      <c r="F33" s="100">
        <f t="shared" si="10"/>
        <v>-2251.9372817416047</v>
      </c>
      <c r="G33" s="100">
        <f t="shared" si="2"/>
        <v>-19873.346511369662</v>
      </c>
      <c r="H33" s="100">
        <f t="shared" si="11"/>
        <v>0</v>
      </c>
      <c r="I33" s="100">
        <f t="shared" si="3"/>
        <v>0</v>
      </c>
      <c r="J33" s="100">
        <f t="shared" si="4"/>
        <v>-420.03543870207375</v>
      </c>
      <c r="K33" s="100">
        <f t="shared" si="5"/>
        <v>-3706.812746545801</v>
      </c>
      <c r="L33" s="101">
        <f t="shared" si="6"/>
        <v>-23580.159257915464</v>
      </c>
      <c r="M33" s="100">
        <f t="shared" si="7"/>
        <v>334732.64299271785</v>
      </c>
      <c r="N33" s="102">
        <f t="shared" si="8"/>
        <v>37930.044531752734</v>
      </c>
      <c r="O33" s="94">
        <f t="shared" si="9"/>
        <v>1.0294298021099508</v>
      </c>
      <c r="P33" s="100">
        <f>'Bef.fremskr. kommunenivå MMMM'!H28</f>
        <v>8825</v>
      </c>
      <c r="Q33" s="100"/>
      <c r="R33" s="100">
        <f t="shared" si="12"/>
        <v>0</v>
      </c>
      <c r="S33" s="100">
        <v>0</v>
      </c>
      <c r="U33" s="100">
        <v>0</v>
      </c>
      <c r="V33" s="5">
        <f t="shared" si="13"/>
        <v>358312.80225063337</v>
      </c>
      <c r="W33" s="5">
        <f t="shared" si="14"/>
        <v>40602.017252196412</v>
      </c>
    </row>
    <row r="34" spans="1:23" ht="13">
      <c r="A34" s="92">
        <v>1505</v>
      </c>
      <c r="B34" s="93" t="s">
        <v>1814</v>
      </c>
      <c r="C34" s="574">
        <v>0.85337133937940257</v>
      </c>
      <c r="D34" s="100">
        <f t="shared" si="0"/>
        <v>31443.050160816154</v>
      </c>
      <c r="E34" s="100">
        <f t="shared" si="1"/>
        <v>755985.25501650269</v>
      </c>
      <c r="F34" s="100">
        <f t="shared" si="10"/>
        <v>3243.44297308655</v>
      </c>
      <c r="G34" s="100">
        <f t="shared" si="2"/>
        <v>77982.099401919913</v>
      </c>
      <c r="H34" s="100">
        <f t="shared" si="11"/>
        <v>602.30080524187406</v>
      </c>
      <c r="I34" s="100">
        <f t="shared" si="3"/>
        <v>14481.118260430379</v>
      </c>
      <c r="J34" s="100">
        <f t="shared" si="4"/>
        <v>182.26536653980031</v>
      </c>
      <c r="K34" s="100">
        <f t="shared" si="5"/>
        <v>4382.2062077164182</v>
      </c>
      <c r="L34" s="101">
        <f t="shared" si="6"/>
        <v>82364.305609636329</v>
      </c>
      <c r="M34" s="100">
        <f t="shared" si="7"/>
        <v>838349.56062613893</v>
      </c>
      <c r="N34" s="102">
        <f t="shared" si="8"/>
        <v>34868.758500442498</v>
      </c>
      <c r="O34" s="94">
        <f t="shared" si="9"/>
        <v>0.94634582178993021</v>
      </c>
      <c r="P34" s="100">
        <f>'Bef.fremskr. kommunenivå MMMM'!H29</f>
        <v>24043</v>
      </c>
      <c r="Q34" s="100"/>
      <c r="R34" s="100">
        <f t="shared" si="12"/>
        <v>0</v>
      </c>
      <c r="S34" s="100">
        <v>0</v>
      </c>
      <c r="U34" s="100">
        <v>0</v>
      </c>
      <c r="V34" s="5">
        <f t="shared" si="13"/>
        <v>755985.25501650269</v>
      </c>
      <c r="W34" s="5">
        <f t="shared" si="14"/>
        <v>31443.05016081615</v>
      </c>
    </row>
    <row r="35" spans="1:23" ht="13">
      <c r="A35" s="92">
        <v>1506</v>
      </c>
      <c r="B35" s="93" t="s">
        <v>570</v>
      </c>
      <c r="C35" s="574">
        <v>0.92513570541834333</v>
      </c>
      <c r="D35" s="100">
        <f t="shared" si="0"/>
        <v>34087.25726854791</v>
      </c>
      <c r="E35" s="100">
        <f t="shared" si="1"/>
        <v>1097746.0330763168</v>
      </c>
      <c r="F35" s="100">
        <f t="shared" si="10"/>
        <v>1656.9187084474963</v>
      </c>
      <c r="G35" s="100">
        <f t="shared" si="2"/>
        <v>53359.410086843171</v>
      </c>
      <c r="H35" s="100">
        <f t="shared" si="11"/>
        <v>0</v>
      </c>
      <c r="I35" s="100">
        <f t="shared" si="3"/>
        <v>0</v>
      </c>
      <c r="J35" s="100">
        <f t="shared" si="4"/>
        <v>-420.03543870207375</v>
      </c>
      <c r="K35" s="100">
        <f t="shared" si="5"/>
        <v>-13526.821267961583</v>
      </c>
      <c r="L35" s="101">
        <f t="shared" si="6"/>
        <v>39832.588818881588</v>
      </c>
      <c r="M35" s="100">
        <f t="shared" si="7"/>
        <v>1137578.6218951985</v>
      </c>
      <c r="N35" s="102">
        <f t="shared" si="8"/>
        <v>35324.140538293337</v>
      </c>
      <c r="O35" s="94">
        <f t="shared" si="9"/>
        <v>0.95870499106843654</v>
      </c>
      <c r="P35" s="100">
        <f>'Bef.fremskr. kommunenivå MMMM'!H30</f>
        <v>32204</v>
      </c>
      <c r="Q35" s="100"/>
      <c r="R35" s="100">
        <f t="shared" si="12"/>
        <v>0</v>
      </c>
      <c r="S35" s="100">
        <v>0</v>
      </c>
      <c r="U35" s="100">
        <v>11312.69</v>
      </c>
      <c r="V35" s="5">
        <f t="shared" si="13"/>
        <v>1086433.3430763169</v>
      </c>
      <c r="W35" s="5">
        <f t="shared" si="14"/>
        <v>33735.975129683167</v>
      </c>
    </row>
    <row r="36" spans="1:23" ht="13">
      <c r="A36" s="92">
        <v>1507</v>
      </c>
      <c r="B36" s="93" t="s">
        <v>571</v>
      </c>
      <c r="C36" s="574">
        <v>0.96881817384015145</v>
      </c>
      <c r="D36" s="100">
        <f t="shared" si="0"/>
        <v>35696.767668480068</v>
      </c>
      <c r="E36" s="100">
        <f t="shared" si="1"/>
        <v>2415957.235802731</v>
      </c>
      <c r="F36" s="100">
        <f t="shared" si="10"/>
        <v>691.21246848820158</v>
      </c>
      <c r="G36" s="100">
        <f t="shared" si="2"/>
        <v>46781.259867281478</v>
      </c>
      <c r="H36" s="100">
        <f t="shared" si="11"/>
        <v>0</v>
      </c>
      <c r="I36" s="100">
        <f t="shared" si="3"/>
        <v>0</v>
      </c>
      <c r="J36" s="100">
        <f t="shared" si="4"/>
        <v>-420.03543870207375</v>
      </c>
      <c r="K36" s="100">
        <f t="shared" si="5"/>
        <v>-28427.998491356349</v>
      </c>
      <c r="L36" s="101">
        <f t="shared" si="6"/>
        <v>18353.261375925129</v>
      </c>
      <c r="M36" s="100">
        <f t="shared" si="7"/>
        <v>2434310.4971786565</v>
      </c>
      <c r="N36" s="102">
        <f t="shared" si="8"/>
        <v>35967.944698266205</v>
      </c>
      <c r="O36" s="94">
        <f t="shared" si="9"/>
        <v>0.97617797843715992</v>
      </c>
      <c r="P36" s="100">
        <f>'Bef.fremskr. kommunenivå MMMM'!H31</f>
        <v>67680</v>
      </c>
      <c r="Q36" s="100"/>
      <c r="R36" s="100">
        <f t="shared" si="12"/>
        <v>0</v>
      </c>
      <c r="S36" s="100">
        <v>0</v>
      </c>
      <c r="U36" s="100">
        <v>0</v>
      </c>
      <c r="V36" s="5">
        <f t="shared" si="13"/>
        <v>2415957.235802731</v>
      </c>
      <c r="W36" s="5">
        <f t="shared" si="14"/>
        <v>35696.767668480068</v>
      </c>
    </row>
    <row r="37" spans="1:23" ht="13">
      <c r="A37" s="92">
        <v>1511</v>
      </c>
      <c r="B37" s="93" t="s">
        <v>572</v>
      </c>
      <c r="C37" s="574">
        <v>0.86364617583328973</v>
      </c>
      <c r="D37" s="100">
        <f t="shared" si="0"/>
        <v>31821.633531390453</v>
      </c>
      <c r="E37" s="100">
        <f t="shared" si="1"/>
        <v>95624.008761828314</v>
      </c>
      <c r="F37" s="100">
        <f t="shared" si="10"/>
        <v>3016.2929507419708</v>
      </c>
      <c r="G37" s="100">
        <f t="shared" si="2"/>
        <v>9063.9603169796228</v>
      </c>
      <c r="H37" s="100">
        <f t="shared" si="11"/>
        <v>469.79662554086951</v>
      </c>
      <c r="I37" s="100">
        <f t="shared" si="3"/>
        <v>1411.7388597503129</v>
      </c>
      <c r="J37" s="100">
        <f t="shared" si="4"/>
        <v>49.761186838795766</v>
      </c>
      <c r="K37" s="100">
        <f t="shared" si="5"/>
        <v>149.53236645058126</v>
      </c>
      <c r="L37" s="101">
        <f t="shared" si="6"/>
        <v>9213.4926834302041</v>
      </c>
      <c r="M37" s="100">
        <f t="shared" si="7"/>
        <v>104837.50144525852</v>
      </c>
      <c r="N37" s="102">
        <f t="shared" si="8"/>
        <v>34887.687668971223</v>
      </c>
      <c r="O37" s="94">
        <f t="shared" si="9"/>
        <v>0.9468595636126248</v>
      </c>
      <c r="P37" s="100">
        <f>'Bef.fremskr. kommunenivå MMMM'!H32</f>
        <v>3005</v>
      </c>
      <c r="Q37" s="100"/>
      <c r="R37" s="100">
        <f t="shared" si="12"/>
        <v>0</v>
      </c>
      <c r="S37" s="100">
        <v>0</v>
      </c>
      <c r="U37" s="100">
        <v>390.06933333333336</v>
      </c>
      <c r="V37" s="5">
        <f t="shared" si="13"/>
        <v>95233.939428494981</v>
      </c>
      <c r="W37" s="5">
        <f t="shared" si="14"/>
        <v>31691.826764890175</v>
      </c>
    </row>
    <row r="38" spans="1:23" ht="13">
      <c r="A38" s="92">
        <v>1514</v>
      </c>
      <c r="B38" s="93" t="s">
        <v>465</v>
      </c>
      <c r="C38" s="574">
        <v>0.9433636112016226</v>
      </c>
      <c r="D38" s="100">
        <f t="shared" si="0"/>
        <v>34758.876913387503</v>
      </c>
      <c r="E38" s="100">
        <f t="shared" si="1"/>
        <v>84846.418545578897</v>
      </c>
      <c r="F38" s="100">
        <f t="shared" si="10"/>
        <v>1253.9469215437405</v>
      </c>
      <c r="G38" s="100">
        <f t="shared" si="2"/>
        <v>3060.8844354882708</v>
      </c>
      <c r="H38" s="100">
        <f t="shared" si="11"/>
        <v>0</v>
      </c>
      <c r="I38" s="100">
        <f t="shared" si="3"/>
        <v>0</v>
      </c>
      <c r="J38" s="100">
        <f t="shared" si="4"/>
        <v>-420.03543870207375</v>
      </c>
      <c r="K38" s="100">
        <f t="shared" si="5"/>
        <v>-1025.3065058717621</v>
      </c>
      <c r="L38" s="101">
        <f t="shared" si="6"/>
        <v>2035.5779296165088</v>
      </c>
      <c r="M38" s="100">
        <f t="shared" si="7"/>
        <v>86881.99647519541</v>
      </c>
      <c r="N38" s="102">
        <f t="shared" si="8"/>
        <v>35592.788396229174</v>
      </c>
      <c r="O38" s="94">
        <f t="shared" si="9"/>
        <v>0.96599615338174827</v>
      </c>
      <c r="P38" s="100">
        <f>'Bef.fremskr. kommunenivå MMMM'!H33</f>
        <v>2441</v>
      </c>
      <c r="Q38" s="100"/>
      <c r="R38" s="100">
        <f t="shared" si="12"/>
        <v>0</v>
      </c>
      <c r="S38" s="100">
        <v>0</v>
      </c>
      <c r="U38" s="100">
        <v>0</v>
      </c>
      <c r="V38" s="5">
        <f t="shared" si="13"/>
        <v>84846.418545578897</v>
      </c>
      <c r="W38" s="5">
        <f t="shared" si="14"/>
        <v>34758.876913387503</v>
      </c>
    </row>
    <row r="39" spans="1:23" ht="13">
      <c r="A39" s="92">
        <v>1515</v>
      </c>
      <c r="B39" s="93" t="s">
        <v>573</v>
      </c>
      <c r="C39" s="574">
        <v>1.0415324838080873</v>
      </c>
      <c r="D39" s="100">
        <f t="shared" si="0"/>
        <v>38375.976109431045</v>
      </c>
      <c r="E39" s="100">
        <f t="shared" si="1"/>
        <v>333986.12008037843</v>
      </c>
      <c r="F39" s="100">
        <f t="shared" si="10"/>
        <v>-916.31259608238463</v>
      </c>
      <c r="G39" s="100">
        <f t="shared" si="2"/>
        <v>-7974.6685237049933</v>
      </c>
      <c r="H39" s="100">
        <f t="shared" si="11"/>
        <v>0</v>
      </c>
      <c r="I39" s="100">
        <f t="shared" si="3"/>
        <v>0</v>
      </c>
      <c r="J39" s="100">
        <f t="shared" si="4"/>
        <v>-420.03543870207375</v>
      </c>
      <c r="K39" s="100">
        <f t="shared" si="5"/>
        <v>-3655.5684230241477</v>
      </c>
      <c r="L39" s="101">
        <f t="shared" si="6"/>
        <v>-11630.236946729141</v>
      </c>
      <c r="M39" s="100">
        <f t="shared" si="7"/>
        <v>322355.8831336493</v>
      </c>
      <c r="N39" s="102">
        <f t="shared" si="8"/>
        <v>37039.628074646593</v>
      </c>
      <c r="O39" s="94">
        <f t="shared" si="9"/>
        <v>1.005263702424334</v>
      </c>
      <c r="P39" s="100">
        <f>'Bef.fremskr. kommunenivå MMMM'!H34</f>
        <v>8703</v>
      </c>
      <c r="Q39" s="100"/>
      <c r="R39" s="100">
        <f t="shared" si="12"/>
        <v>0</v>
      </c>
      <c r="S39" s="100">
        <v>0</v>
      </c>
      <c r="U39" s="100">
        <v>0</v>
      </c>
      <c r="V39" s="5">
        <f t="shared" si="13"/>
        <v>333986.12008037843</v>
      </c>
      <c r="W39" s="5">
        <f t="shared" si="14"/>
        <v>38375.976109431045</v>
      </c>
    </row>
    <row r="40" spans="1:23" ht="13">
      <c r="A40" s="92">
        <v>1516</v>
      </c>
      <c r="B40" s="93" t="s">
        <v>574</v>
      </c>
      <c r="C40" s="574">
        <v>1.0090271279007179</v>
      </c>
      <c r="D40" s="100">
        <f t="shared" si="0"/>
        <v>37178.294058105217</v>
      </c>
      <c r="E40" s="100">
        <f t="shared" si="1"/>
        <v>319398.72425318195</v>
      </c>
      <c r="F40" s="100">
        <f t="shared" si="10"/>
        <v>-197.70336528688784</v>
      </c>
      <c r="G40" s="100">
        <f t="shared" si="2"/>
        <v>-1698.4696111796536</v>
      </c>
      <c r="H40" s="100">
        <f t="shared" si="11"/>
        <v>0</v>
      </c>
      <c r="I40" s="100">
        <f t="shared" si="3"/>
        <v>0</v>
      </c>
      <c r="J40" s="100">
        <f t="shared" si="4"/>
        <v>-420.03543870207375</v>
      </c>
      <c r="K40" s="100">
        <f t="shared" si="5"/>
        <v>-3608.5244538895158</v>
      </c>
      <c r="L40" s="101">
        <f t="shared" si="6"/>
        <v>-5306.9940650691697</v>
      </c>
      <c r="M40" s="100">
        <f t="shared" si="7"/>
        <v>314091.73018811276</v>
      </c>
      <c r="N40" s="102">
        <f t="shared" si="8"/>
        <v>36560.555254116254</v>
      </c>
      <c r="O40" s="94">
        <f t="shared" si="9"/>
        <v>0.99226156006138622</v>
      </c>
      <c r="P40" s="100">
        <f>'Bef.fremskr. kommunenivå MMMM'!H35</f>
        <v>8591</v>
      </c>
      <c r="Q40" s="100"/>
      <c r="R40" s="100">
        <f t="shared" si="12"/>
        <v>0</v>
      </c>
      <c r="S40" s="100">
        <v>0</v>
      </c>
      <c r="U40" s="100">
        <v>0</v>
      </c>
      <c r="V40" s="5">
        <f t="shared" si="13"/>
        <v>319398.72425318195</v>
      </c>
      <c r="W40" s="5">
        <f t="shared" si="14"/>
        <v>37178.294058105217</v>
      </c>
    </row>
    <row r="41" spans="1:23" ht="13">
      <c r="A41" s="92">
        <v>1517</v>
      </c>
      <c r="B41" s="93" t="s">
        <v>575</v>
      </c>
      <c r="C41" s="574">
        <v>0.78903208074824815</v>
      </c>
      <c r="D41" s="100">
        <f t="shared" si="0"/>
        <v>29072.426209559115</v>
      </c>
      <c r="E41" s="100">
        <f t="shared" si="1"/>
        <v>149432.27071713386</v>
      </c>
      <c r="F41" s="100">
        <f t="shared" si="10"/>
        <v>4665.817343840773</v>
      </c>
      <c r="G41" s="100">
        <f t="shared" si="2"/>
        <v>23982.301147341572</v>
      </c>
      <c r="H41" s="100">
        <f t="shared" si="11"/>
        <v>1432.0191881818378</v>
      </c>
      <c r="I41" s="100">
        <f t="shared" si="3"/>
        <v>7360.5786272546466</v>
      </c>
      <c r="J41" s="100">
        <f t="shared" si="4"/>
        <v>1011.983749479764</v>
      </c>
      <c r="K41" s="100">
        <f t="shared" si="5"/>
        <v>5201.5964723259876</v>
      </c>
      <c r="L41" s="101">
        <f t="shared" si="6"/>
        <v>29183.897619667558</v>
      </c>
      <c r="M41" s="100">
        <f t="shared" si="7"/>
        <v>178616.16833680143</v>
      </c>
      <c r="N41" s="102">
        <f t="shared" si="8"/>
        <v>34750.227302879655</v>
      </c>
      <c r="O41" s="94">
        <f t="shared" si="9"/>
        <v>0.94312885885837272</v>
      </c>
      <c r="P41" s="100">
        <f>'Bef.fremskr. kommunenivå MMMM'!H36</f>
        <v>5140</v>
      </c>
      <c r="Q41" s="100"/>
      <c r="R41" s="100">
        <f t="shared" si="12"/>
        <v>0</v>
      </c>
      <c r="S41" s="100">
        <v>0</v>
      </c>
      <c r="U41" s="100">
        <v>0</v>
      </c>
      <c r="V41" s="5">
        <f t="shared" si="13"/>
        <v>149432.27071713386</v>
      </c>
      <c r="W41" s="5">
        <f t="shared" si="14"/>
        <v>29072.426209559115</v>
      </c>
    </row>
    <row r="42" spans="1:23" ht="13">
      <c r="A42" s="92">
        <v>1520</v>
      </c>
      <c r="B42" s="93" t="s">
        <v>577</v>
      </c>
      <c r="C42" s="574">
        <v>0.8109469351275288</v>
      </c>
      <c r="D42" s="100">
        <f t="shared" si="0"/>
        <v>29879.89399493824</v>
      </c>
      <c r="E42" s="100">
        <f t="shared" si="1"/>
        <v>322613.21546334814</v>
      </c>
      <c r="F42" s="100">
        <f t="shared" si="10"/>
        <v>4181.3366726132981</v>
      </c>
      <c r="G42" s="100">
        <f t="shared" si="2"/>
        <v>45145.892054205782</v>
      </c>
      <c r="H42" s="100">
        <f t="shared" si="11"/>
        <v>1149.4054632991438</v>
      </c>
      <c r="I42" s="100">
        <f t="shared" si="3"/>
        <v>12410.130787240856</v>
      </c>
      <c r="J42" s="100">
        <f t="shared" si="4"/>
        <v>729.37002459707003</v>
      </c>
      <c r="K42" s="100">
        <f t="shared" si="5"/>
        <v>7875.0081555745646</v>
      </c>
      <c r="L42" s="101">
        <f t="shared" si="6"/>
        <v>53020.900209780346</v>
      </c>
      <c r="M42" s="100">
        <f t="shared" si="7"/>
        <v>375634.11567312846</v>
      </c>
      <c r="N42" s="102">
        <f t="shared" si="8"/>
        <v>34790.600692148604</v>
      </c>
      <c r="O42" s="94">
        <f t="shared" si="9"/>
        <v>0.94422460157733656</v>
      </c>
      <c r="P42" s="100">
        <f>'Bef.fremskr. kommunenivå MMMM'!H37</f>
        <v>10797</v>
      </c>
      <c r="Q42" s="100"/>
      <c r="R42" s="100">
        <f t="shared" si="12"/>
        <v>0</v>
      </c>
      <c r="S42" s="100">
        <v>0</v>
      </c>
      <c r="U42" s="100">
        <v>1484.2619999999999</v>
      </c>
      <c r="V42" s="5">
        <f t="shared" si="13"/>
        <v>321128.95346334815</v>
      </c>
      <c r="W42" s="5">
        <f t="shared" si="14"/>
        <v>29742.424142201366</v>
      </c>
    </row>
    <row r="43" spans="1:23" ht="13">
      <c r="A43" s="92">
        <v>1525</v>
      </c>
      <c r="B43" s="93" t="s">
        <v>578</v>
      </c>
      <c r="C43" s="574">
        <v>0.91050530885485081</v>
      </c>
      <c r="D43" s="100">
        <f t="shared" si="0"/>
        <v>33548.190309311773</v>
      </c>
      <c r="E43" s="100">
        <f t="shared" si="1"/>
        <v>150463.63353726332</v>
      </c>
      <c r="F43" s="100">
        <f t="shared" si="10"/>
        <v>1980.3588839891788</v>
      </c>
      <c r="G43" s="100">
        <f t="shared" si="2"/>
        <v>8881.9095946914658</v>
      </c>
      <c r="H43" s="100">
        <f t="shared" si="11"/>
        <v>0</v>
      </c>
      <c r="I43" s="100">
        <f t="shared" si="3"/>
        <v>0</v>
      </c>
      <c r="J43" s="100">
        <f t="shared" si="4"/>
        <v>-420.03543870207375</v>
      </c>
      <c r="K43" s="100">
        <f t="shared" si="5"/>
        <v>-1883.8589425788007</v>
      </c>
      <c r="L43" s="101">
        <f t="shared" si="6"/>
        <v>6998.0506521126654</v>
      </c>
      <c r="M43" s="100">
        <f t="shared" si="7"/>
        <v>157461.68418937598</v>
      </c>
      <c r="N43" s="102">
        <f t="shared" si="8"/>
        <v>35108.513754598884</v>
      </c>
      <c r="O43" s="94">
        <f t="shared" si="9"/>
        <v>0.95285283244303953</v>
      </c>
      <c r="P43" s="100">
        <f>'Bef.fremskr. kommunenivå MMMM'!H38</f>
        <v>4485</v>
      </c>
      <c r="Q43" s="100"/>
      <c r="R43" s="100">
        <f t="shared" si="12"/>
        <v>0</v>
      </c>
      <c r="S43" s="100">
        <v>0</v>
      </c>
      <c r="U43" s="100">
        <v>82.396333333333331</v>
      </c>
      <c r="V43" s="5">
        <f t="shared" si="13"/>
        <v>150381.23720392998</v>
      </c>
      <c r="W43" s="5">
        <f t="shared" si="14"/>
        <v>33529.818774566331</v>
      </c>
    </row>
    <row r="44" spans="1:23" ht="13">
      <c r="A44" s="92">
        <v>1528</v>
      </c>
      <c r="B44" s="93" t="s">
        <v>579</v>
      </c>
      <c r="C44" s="574">
        <v>0.81695259600444126</v>
      </c>
      <c r="D44" s="100">
        <f t="shared" si="0"/>
        <v>30101.176673987356</v>
      </c>
      <c r="E44" s="100">
        <f t="shared" si="1"/>
        <v>227113.37800523461</v>
      </c>
      <c r="F44" s="100">
        <f t="shared" si="10"/>
        <v>4048.5670651838282</v>
      </c>
      <c r="G44" s="100">
        <f t="shared" si="2"/>
        <v>30546.438506811985</v>
      </c>
      <c r="H44" s="100">
        <f t="shared" si="11"/>
        <v>1071.9565256319531</v>
      </c>
      <c r="I44" s="100">
        <f t="shared" si="3"/>
        <v>8087.9119858930862</v>
      </c>
      <c r="J44" s="100">
        <f t="shared" si="4"/>
        <v>651.92108692987938</v>
      </c>
      <c r="K44" s="100">
        <f t="shared" si="5"/>
        <v>4918.7446008859397</v>
      </c>
      <c r="L44" s="101">
        <f t="shared" si="6"/>
        <v>35465.183107697922</v>
      </c>
      <c r="M44" s="100">
        <f t="shared" si="7"/>
        <v>262578.56111293251</v>
      </c>
      <c r="N44" s="102">
        <f t="shared" si="8"/>
        <v>34801.664826101063</v>
      </c>
      <c r="O44" s="94">
        <f t="shared" si="9"/>
        <v>0.94452488462118223</v>
      </c>
      <c r="P44" s="100">
        <f>'Bef.fremskr. kommunenivå MMMM'!H39</f>
        <v>7545</v>
      </c>
      <c r="Q44" s="100"/>
      <c r="R44" s="100">
        <f t="shared" si="12"/>
        <v>0</v>
      </c>
      <c r="S44" s="100">
        <v>0</v>
      </c>
      <c r="U44" s="100">
        <v>0</v>
      </c>
      <c r="V44" s="5">
        <f t="shared" si="13"/>
        <v>227113.37800523461</v>
      </c>
      <c r="W44" s="5">
        <f t="shared" si="14"/>
        <v>30101.176673987356</v>
      </c>
    </row>
    <row r="45" spans="1:23" ht="13">
      <c r="A45" s="92">
        <v>1531</v>
      </c>
      <c r="B45" s="93" t="s">
        <v>580</v>
      </c>
      <c r="C45" s="574">
        <v>0.80488989087546792</v>
      </c>
      <c r="D45" s="100">
        <f t="shared" si="0"/>
        <v>29656.718060318341</v>
      </c>
      <c r="E45" s="100">
        <f t="shared" si="1"/>
        <v>287017.71738776087</v>
      </c>
      <c r="F45" s="100">
        <f t="shared" si="10"/>
        <v>4315.2422333852383</v>
      </c>
      <c r="G45" s="100">
        <f t="shared" si="2"/>
        <v>41762.914334702335</v>
      </c>
      <c r="H45" s="100">
        <f t="shared" si="11"/>
        <v>1227.5170404161088</v>
      </c>
      <c r="I45" s="100">
        <f t="shared" si="3"/>
        <v>11879.909917147101</v>
      </c>
      <c r="J45" s="100">
        <f t="shared" si="4"/>
        <v>807.48160171403504</v>
      </c>
      <c r="K45" s="100">
        <f t="shared" si="5"/>
        <v>7814.8069413884314</v>
      </c>
      <c r="L45" s="101">
        <f t="shared" si="6"/>
        <v>49577.721276090764</v>
      </c>
      <c r="M45" s="100">
        <f t="shared" si="7"/>
        <v>336595.43866385159</v>
      </c>
      <c r="N45" s="102">
        <f t="shared" si="8"/>
        <v>34779.4418954176</v>
      </c>
      <c r="O45" s="94">
        <f t="shared" si="9"/>
        <v>0.94392174936473328</v>
      </c>
      <c r="P45" s="100">
        <f>'Bef.fremskr. kommunenivå MMMM'!H40</f>
        <v>9678</v>
      </c>
      <c r="Q45" s="100"/>
      <c r="R45" s="100">
        <f t="shared" si="12"/>
        <v>0</v>
      </c>
      <c r="S45" s="100">
        <v>0</v>
      </c>
      <c r="U45" s="100">
        <v>0</v>
      </c>
      <c r="V45" s="5">
        <f t="shared" si="13"/>
        <v>287017.71738776087</v>
      </c>
      <c r="W45" s="5">
        <f t="shared" si="14"/>
        <v>29656.718060318337</v>
      </c>
    </row>
    <row r="46" spans="1:23" ht="13">
      <c r="A46" s="92">
        <v>1532</v>
      </c>
      <c r="B46" s="93" t="s">
        <v>581</v>
      </c>
      <c r="C46" s="574">
        <v>0.91103548038080295</v>
      </c>
      <c r="D46" s="100">
        <f t="shared" si="0"/>
        <v>33567.724841484451</v>
      </c>
      <c r="E46" s="100">
        <f t="shared" si="1"/>
        <v>291434.98707376805</v>
      </c>
      <c r="F46" s="100">
        <f t="shared" si="10"/>
        <v>1968.6381646855718</v>
      </c>
      <c r="G46" s="100">
        <f t="shared" si="2"/>
        <v>17091.716545800133</v>
      </c>
      <c r="H46" s="100">
        <f t="shared" si="11"/>
        <v>0</v>
      </c>
      <c r="I46" s="100">
        <f t="shared" si="3"/>
        <v>0</v>
      </c>
      <c r="J46" s="100">
        <f t="shared" si="4"/>
        <v>-420.03543870207375</v>
      </c>
      <c r="K46" s="100">
        <f t="shared" si="5"/>
        <v>-3646.7476788114045</v>
      </c>
      <c r="L46" s="101">
        <f t="shared" si="6"/>
        <v>13444.968866988729</v>
      </c>
      <c r="M46" s="100">
        <f t="shared" si="7"/>
        <v>304879.95594075677</v>
      </c>
      <c r="N46" s="102">
        <f t="shared" si="8"/>
        <v>35116.327567467953</v>
      </c>
      <c r="O46" s="94">
        <f t="shared" si="9"/>
        <v>0.95306490105342034</v>
      </c>
      <c r="P46" s="100">
        <f>'Bef.fremskr. kommunenivå MMMM'!H41</f>
        <v>8682</v>
      </c>
      <c r="Q46" s="100"/>
      <c r="R46" s="100">
        <f t="shared" si="12"/>
        <v>0</v>
      </c>
      <c r="S46" s="100">
        <v>0</v>
      </c>
      <c r="U46" s="100">
        <v>0</v>
      </c>
      <c r="V46" s="5">
        <f t="shared" si="13"/>
        <v>291434.98707376805</v>
      </c>
      <c r="W46" s="5">
        <f t="shared" si="14"/>
        <v>33567.724841484451</v>
      </c>
    </row>
    <row r="47" spans="1:23" ht="13">
      <c r="A47" s="92">
        <v>1535</v>
      </c>
      <c r="B47" s="93" t="s">
        <v>582</v>
      </c>
      <c r="C47" s="574">
        <v>0.89817772010620056</v>
      </c>
      <c r="D47" s="100">
        <f t="shared" si="0"/>
        <v>33093.971877664408</v>
      </c>
      <c r="E47" s="100">
        <f t="shared" si="1"/>
        <v>230036.1985216453</v>
      </c>
      <c r="F47" s="100">
        <f t="shared" si="10"/>
        <v>2252.8899429775979</v>
      </c>
      <c r="G47" s="100">
        <f t="shared" si="2"/>
        <v>15659.837993637282</v>
      </c>
      <c r="H47" s="100">
        <f t="shared" si="11"/>
        <v>24.47820434498535</v>
      </c>
      <c r="I47" s="100">
        <f t="shared" si="3"/>
        <v>170.14799840199316</v>
      </c>
      <c r="J47" s="100">
        <f t="shared" si="4"/>
        <v>-395.55723435708842</v>
      </c>
      <c r="K47" s="100">
        <f t="shared" si="5"/>
        <v>-2749.5183360161218</v>
      </c>
      <c r="L47" s="101">
        <f t="shared" si="6"/>
        <v>12910.319657621159</v>
      </c>
      <c r="M47" s="100">
        <f t="shared" si="7"/>
        <v>242946.51817926645</v>
      </c>
      <c r="N47" s="102">
        <f t="shared" si="8"/>
        <v>34951.304586284918</v>
      </c>
      <c r="O47" s="94">
        <f t="shared" si="9"/>
        <v>0.94858614082627024</v>
      </c>
      <c r="P47" s="100">
        <f>'Bef.fremskr. kommunenivå MMMM'!H42</f>
        <v>6951</v>
      </c>
      <c r="Q47" s="100"/>
      <c r="R47" s="100">
        <f t="shared" si="12"/>
        <v>0</v>
      </c>
      <c r="S47" s="100">
        <v>0</v>
      </c>
      <c r="U47" s="100">
        <v>0</v>
      </c>
      <c r="V47" s="5">
        <f t="shared" si="13"/>
        <v>230036.1985216453</v>
      </c>
      <c r="W47" s="5">
        <f t="shared" si="14"/>
        <v>33093.971877664408</v>
      </c>
    </row>
    <row r="48" spans="1:23" ht="13">
      <c r="A48" s="92">
        <v>1539</v>
      </c>
      <c r="B48" s="93" t="s">
        <v>583</v>
      </c>
      <c r="C48" s="574">
        <v>0.88661484365377186</v>
      </c>
      <c r="D48" s="100">
        <f t="shared" si="0"/>
        <v>32667.929793146504</v>
      </c>
      <c r="E48" s="100">
        <f t="shared" si="1"/>
        <v>229230.86335850903</v>
      </c>
      <c r="F48" s="100">
        <f t="shared" si="10"/>
        <v>2508.5151936883399</v>
      </c>
      <c r="G48" s="100">
        <f t="shared" si="2"/>
        <v>17602.251114111081</v>
      </c>
      <c r="H48" s="100">
        <f t="shared" si="11"/>
        <v>173.59293392625148</v>
      </c>
      <c r="I48" s="100">
        <f t="shared" si="3"/>
        <v>1218.1016173605067</v>
      </c>
      <c r="J48" s="100">
        <f t="shared" si="4"/>
        <v>-246.44250477582227</v>
      </c>
      <c r="K48" s="100">
        <f t="shared" si="5"/>
        <v>-1729.2870560119447</v>
      </c>
      <c r="L48" s="101">
        <f t="shared" si="6"/>
        <v>15872.964058099136</v>
      </c>
      <c r="M48" s="100">
        <f t="shared" si="7"/>
        <v>245103.82741660817</v>
      </c>
      <c r="N48" s="102">
        <f t="shared" si="8"/>
        <v>34930.002482059019</v>
      </c>
      <c r="O48" s="94">
        <f t="shared" si="9"/>
        <v>0.94800799700364879</v>
      </c>
      <c r="P48" s="100">
        <f>'Bef.fremskr. kommunenivå MMMM'!H43</f>
        <v>7017</v>
      </c>
      <c r="Q48" s="100"/>
      <c r="R48" s="100">
        <f t="shared" si="12"/>
        <v>0</v>
      </c>
      <c r="S48" s="100">
        <v>0</v>
      </c>
      <c r="U48" s="100">
        <v>2947.1596666666665</v>
      </c>
      <c r="V48" s="5">
        <f t="shared" si="13"/>
        <v>226283.70369184235</v>
      </c>
      <c r="W48" s="5">
        <f t="shared" si="14"/>
        <v>32247.926990429292</v>
      </c>
    </row>
    <row r="49" spans="1:23" ht="13">
      <c r="A49" s="92">
        <v>1547</v>
      </c>
      <c r="B49" s="93" t="s">
        <v>584</v>
      </c>
      <c r="C49" s="574">
        <v>0.91527083012629395</v>
      </c>
      <c r="D49" s="100">
        <f t="shared" si="0"/>
        <v>33723.779197133328</v>
      </c>
      <c r="E49" s="100">
        <f t="shared" si="1"/>
        <v>120562.51062975165</v>
      </c>
      <c r="F49" s="100">
        <f t="shared" si="10"/>
        <v>1875.0055512962454</v>
      </c>
      <c r="G49" s="100">
        <f t="shared" si="2"/>
        <v>6703.1448458840769</v>
      </c>
      <c r="H49" s="100">
        <f t="shared" si="11"/>
        <v>0</v>
      </c>
      <c r="I49" s="100">
        <f t="shared" si="3"/>
        <v>0</v>
      </c>
      <c r="J49" s="100">
        <f t="shared" si="4"/>
        <v>-420.03543870207375</v>
      </c>
      <c r="K49" s="100">
        <f t="shared" si="5"/>
        <v>-1501.6266933599136</v>
      </c>
      <c r="L49" s="101">
        <f t="shared" si="6"/>
        <v>5201.5181525241633</v>
      </c>
      <c r="M49" s="100">
        <f t="shared" si="7"/>
        <v>125764.02878227581</v>
      </c>
      <c r="N49" s="102">
        <f t="shared" si="8"/>
        <v>35178.7493097275</v>
      </c>
      <c r="O49" s="94">
        <f t="shared" si="9"/>
        <v>0.95475904095161668</v>
      </c>
      <c r="P49" s="100">
        <f>'Bef.fremskr. kommunenivå MMMM'!H44</f>
        <v>3575</v>
      </c>
      <c r="Q49" s="100"/>
      <c r="R49" s="100">
        <f t="shared" si="12"/>
        <v>0</v>
      </c>
      <c r="S49" s="100">
        <v>0</v>
      </c>
      <c r="U49" s="100">
        <v>0</v>
      </c>
      <c r="V49" s="5">
        <f t="shared" si="13"/>
        <v>120562.51062975165</v>
      </c>
      <c r="W49" s="5">
        <f t="shared" si="14"/>
        <v>33723.779197133328</v>
      </c>
    </row>
    <row r="50" spans="1:23" ht="13">
      <c r="A50" s="92">
        <v>1554</v>
      </c>
      <c r="B50" s="93" t="s">
        <v>585</v>
      </c>
      <c r="C50" s="574">
        <v>0.89086233306286866</v>
      </c>
      <c r="D50" s="100">
        <f t="shared" si="0"/>
        <v>32824.43144299672</v>
      </c>
      <c r="E50" s="100">
        <f t="shared" si="1"/>
        <v>194058.03869099662</v>
      </c>
      <c r="F50" s="100">
        <f t="shared" si="10"/>
        <v>2414.6142037782106</v>
      </c>
      <c r="G50" s="100">
        <f t="shared" si="2"/>
        <v>14275.19917273678</v>
      </c>
      <c r="H50" s="100">
        <f t="shared" si="11"/>
        <v>118.81735647867607</v>
      </c>
      <c r="I50" s="100">
        <f t="shared" si="3"/>
        <v>702.44821150193297</v>
      </c>
      <c r="J50" s="100">
        <f t="shared" si="4"/>
        <v>-301.21808222339769</v>
      </c>
      <c r="K50" s="100">
        <f t="shared" si="5"/>
        <v>-1780.801302104727</v>
      </c>
      <c r="L50" s="101">
        <f t="shared" si="6"/>
        <v>12494.397870632054</v>
      </c>
      <c r="M50" s="100">
        <f t="shared" si="7"/>
        <v>206552.43656162868</v>
      </c>
      <c r="N50" s="102">
        <f t="shared" si="8"/>
        <v>34937.827564551531</v>
      </c>
      <c r="O50" s="94">
        <f t="shared" si="9"/>
        <v>0.94822037147410365</v>
      </c>
      <c r="P50" s="100">
        <f>'Bef.fremskr. kommunenivå MMMM'!H45</f>
        <v>5912</v>
      </c>
      <c r="Q50" s="100"/>
      <c r="R50" s="100">
        <f t="shared" si="12"/>
        <v>0</v>
      </c>
      <c r="S50" s="100">
        <v>0</v>
      </c>
      <c r="U50" s="100">
        <v>0</v>
      </c>
      <c r="V50" s="5">
        <f t="shared" si="13"/>
        <v>194058.03869099662</v>
      </c>
      <c r="W50" s="5">
        <f t="shared" si="14"/>
        <v>32824.43144299672</v>
      </c>
    </row>
    <row r="51" spans="1:23" ht="13">
      <c r="A51" s="92">
        <v>1557</v>
      </c>
      <c r="B51" s="93" t="s">
        <v>586</v>
      </c>
      <c r="C51" s="574">
        <v>0.76924974519132072</v>
      </c>
      <c r="D51" s="100">
        <f t="shared" si="0"/>
        <v>28343.532537471514</v>
      </c>
      <c r="E51" s="100">
        <f t="shared" si="1"/>
        <v>76754.286111472858</v>
      </c>
      <c r="F51" s="100">
        <f t="shared" si="10"/>
        <v>5103.1535470933341</v>
      </c>
      <c r="G51" s="100">
        <f t="shared" si="2"/>
        <v>13819.339805528749</v>
      </c>
      <c r="H51" s="100">
        <f t="shared" si="11"/>
        <v>1687.1319734124982</v>
      </c>
      <c r="I51" s="100">
        <f t="shared" si="3"/>
        <v>4568.7533840010447</v>
      </c>
      <c r="J51" s="100">
        <f t="shared" si="4"/>
        <v>1267.0965347104243</v>
      </c>
      <c r="K51" s="100">
        <f t="shared" si="5"/>
        <v>3431.2974159958289</v>
      </c>
      <c r="L51" s="101">
        <f t="shared" si="6"/>
        <v>17250.637221524579</v>
      </c>
      <c r="M51" s="100">
        <f t="shared" si="7"/>
        <v>94004.923332997438</v>
      </c>
      <c r="N51" s="102">
        <f t="shared" si="8"/>
        <v>34713.782619275276</v>
      </c>
      <c r="O51" s="94">
        <f t="shared" si="9"/>
        <v>0.94213974208052642</v>
      </c>
      <c r="P51" s="100">
        <f>'Bef.fremskr. kommunenivå MMMM'!H46</f>
        <v>2708</v>
      </c>
      <c r="Q51" s="100"/>
      <c r="R51" s="100">
        <f t="shared" si="12"/>
        <v>0</v>
      </c>
      <c r="S51" s="100">
        <v>0</v>
      </c>
      <c r="U51" s="100">
        <v>0</v>
      </c>
      <c r="V51" s="5">
        <f t="shared" si="13"/>
        <v>76754.286111472858</v>
      </c>
      <c r="W51" s="5">
        <f t="shared" si="14"/>
        <v>28343.532537471514</v>
      </c>
    </row>
    <row r="52" spans="1:23" ht="13">
      <c r="A52" s="92">
        <v>1560</v>
      </c>
      <c r="B52" s="93" t="s">
        <v>587</v>
      </c>
      <c r="C52" s="574">
        <v>0.78506349046945256</v>
      </c>
      <c r="D52" s="100">
        <f t="shared" si="0"/>
        <v>28926.20078875386</v>
      </c>
      <c r="E52" s="100">
        <f t="shared" si="1"/>
        <v>86055.447346542729</v>
      </c>
      <c r="F52" s="100">
        <f t="shared" si="10"/>
        <v>4753.5525963239261</v>
      </c>
      <c r="G52" s="100">
        <f t="shared" si="2"/>
        <v>14141.818974063679</v>
      </c>
      <c r="H52" s="100">
        <f t="shared" si="11"/>
        <v>1483.1980854636768</v>
      </c>
      <c r="I52" s="100">
        <f t="shared" si="3"/>
        <v>4412.5143042544387</v>
      </c>
      <c r="J52" s="100">
        <f t="shared" si="4"/>
        <v>1063.1626467616029</v>
      </c>
      <c r="K52" s="100">
        <f t="shared" si="5"/>
        <v>3162.9088741157689</v>
      </c>
      <c r="L52" s="101">
        <f t="shared" si="6"/>
        <v>17304.727848179449</v>
      </c>
      <c r="M52" s="100">
        <f t="shared" si="7"/>
        <v>103360.17519472218</v>
      </c>
      <c r="N52" s="102">
        <f t="shared" si="8"/>
        <v>34742.916031839384</v>
      </c>
      <c r="O52" s="94">
        <f t="shared" si="9"/>
        <v>0.94293042934443272</v>
      </c>
      <c r="P52" s="100">
        <f>'Bef.fremskr. kommunenivå MMMM'!H47</f>
        <v>2975</v>
      </c>
      <c r="Q52" s="100"/>
      <c r="R52" s="100">
        <f t="shared" si="12"/>
        <v>0</v>
      </c>
      <c r="S52" s="100">
        <v>0</v>
      </c>
      <c r="U52" s="100">
        <v>0</v>
      </c>
      <c r="V52" s="5">
        <f t="shared" si="13"/>
        <v>86055.447346542729</v>
      </c>
      <c r="W52" s="5">
        <f t="shared" si="14"/>
        <v>28926.20078875386</v>
      </c>
    </row>
    <row r="53" spans="1:23" ht="13">
      <c r="A53" s="92">
        <v>1563</v>
      </c>
      <c r="B53" s="93" t="s">
        <v>588</v>
      </c>
      <c r="C53" s="574">
        <v>0.91207128069972587</v>
      </c>
      <c r="D53" s="100">
        <f t="shared" si="0"/>
        <v>33605.889612061546</v>
      </c>
      <c r="E53" s="100">
        <f t="shared" si="1"/>
        <v>231679.0029855523</v>
      </c>
      <c r="F53" s="100">
        <f t="shared" si="10"/>
        <v>1945.7393023393145</v>
      </c>
      <c r="G53" s="100">
        <f t="shared" si="2"/>
        <v>13413.926750327233</v>
      </c>
      <c r="H53" s="100">
        <f t="shared" si="11"/>
        <v>0</v>
      </c>
      <c r="I53" s="100">
        <f t="shared" si="3"/>
        <v>0</v>
      </c>
      <c r="J53" s="100">
        <f t="shared" si="4"/>
        <v>-420.03543870207375</v>
      </c>
      <c r="K53" s="100">
        <f t="shared" si="5"/>
        <v>-2895.7243144120966</v>
      </c>
      <c r="L53" s="101">
        <f t="shared" si="6"/>
        <v>10518.202435915136</v>
      </c>
      <c r="M53" s="100">
        <f t="shared" si="7"/>
        <v>242197.20542146743</v>
      </c>
      <c r="N53" s="102">
        <f t="shared" si="8"/>
        <v>35131.593475698784</v>
      </c>
      <c r="O53" s="94">
        <f t="shared" si="9"/>
        <v>0.95347922118098938</v>
      </c>
      <c r="P53" s="100">
        <f>'Bef.fremskr. kommunenivå MMMM'!H48</f>
        <v>6894</v>
      </c>
      <c r="Q53" s="100"/>
      <c r="R53" s="100">
        <f t="shared" si="12"/>
        <v>0</v>
      </c>
      <c r="S53" s="100">
        <v>0</v>
      </c>
      <c r="U53" s="100">
        <v>13766.625333333335</v>
      </c>
      <c r="V53" s="5">
        <f t="shared" si="13"/>
        <v>217912.37765221897</v>
      </c>
      <c r="W53" s="5">
        <f t="shared" si="14"/>
        <v>31608.990085903533</v>
      </c>
    </row>
    <row r="54" spans="1:23" ht="13">
      <c r="A54" s="92">
        <v>1566</v>
      </c>
      <c r="B54" s="93" t="s">
        <v>589</v>
      </c>
      <c r="C54" s="574">
        <v>0.77746597447448318</v>
      </c>
      <c r="D54" s="100">
        <f t="shared" si="0"/>
        <v>28646.265120066939</v>
      </c>
      <c r="E54" s="100">
        <f t="shared" si="1"/>
        <v>165861.87504518757</v>
      </c>
      <c r="F54" s="100">
        <f t="shared" si="10"/>
        <v>4921.5139975360789</v>
      </c>
      <c r="G54" s="100">
        <f t="shared" si="2"/>
        <v>28495.5660457339</v>
      </c>
      <c r="H54" s="100">
        <f t="shared" si="11"/>
        <v>1581.1755695040993</v>
      </c>
      <c r="I54" s="100">
        <f t="shared" si="3"/>
        <v>9155.0065474287348</v>
      </c>
      <c r="J54" s="100">
        <f t="shared" si="4"/>
        <v>1161.1401308020254</v>
      </c>
      <c r="K54" s="100">
        <f t="shared" si="5"/>
        <v>6723.0013573437263</v>
      </c>
      <c r="L54" s="101">
        <f t="shared" si="6"/>
        <v>35218.567403077628</v>
      </c>
      <c r="M54" s="100">
        <f t="shared" si="7"/>
        <v>201080.44244826518</v>
      </c>
      <c r="N54" s="102">
        <f t="shared" si="8"/>
        <v>34728.919248405044</v>
      </c>
      <c r="O54" s="94">
        <f t="shared" si="9"/>
        <v>0.94255055354468442</v>
      </c>
      <c r="P54" s="100">
        <f>'Bef.fremskr. kommunenivå MMMM'!H49</f>
        <v>5790</v>
      </c>
      <c r="Q54" s="100"/>
      <c r="R54" s="100">
        <f t="shared" si="12"/>
        <v>0</v>
      </c>
      <c r="S54" s="100">
        <v>0</v>
      </c>
      <c r="U54" s="100">
        <v>7124.6239999999998</v>
      </c>
      <c r="V54" s="5">
        <f t="shared" si="13"/>
        <v>158737.25104518756</v>
      </c>
      <c r="W54" s="5">
        <f t="shared" si="14"/>
        <v>27415.760111431358</v>
      </c>
    </row>
    <row r="55" spans="1:23" ht="13">
      <c r="A55" s="92">
        <v>1573</v>
      </c>
      <c r="B55" s="93" t="s">
        <v>591</v>
      </c>
      <c r="C55" s="574">
        <v>1.0473291089924111</v>
      </c>
      <c r="D55" s="100">
        <f t="shared" si="0"/>
        <v>38589.556725539725</v>
      </c>
      <c r="E55" s="100">
        <f t="shared" si="1"/>
        <v>82041.397598497453</v>
      </c>
      <c r="F55" s="100">
        <f t="shared" si="10"/>
        <v>-1044.4609657475928</v>
      </c>
      <c r="G55" s="100">
        <f t="shared" si="2"/>
        <v>-2220.5240131793821</v>
      </c>
      <c r="H55" s="100">
        <f t="shared" si="11"/>
        <v>0</v>
      </c>
      <c r="I55" s="100">
        <f t="shared" si="3"/>
        <v>0</v>
      </c>
      <c r="J55" s="100">
        <f t="shared" si="4"/>
        <v>-420.03543870207375</v>
      </c>
      <c r="K55" s="100">
        <f t="shared" si="5"/>
        <v>-892.9953426806087</v>
      </c>
      <c r="L55" s="101">
        <f t="shared" si="6"/>
        <v>-3113.5193558599908</v>
      </c>
      <c r="M55" s="100">
        <f t="shared" si="7"/>
        <v>78927.878242637467</v>
      </c>
      <c r="N55" s="102">
        <f t="shared" si="8"/>
        <v>37125.060321090059</v>
      </c>
      <c r="O55" s="94">
        <f t="shared" si="9"/>
        <v>1.0075823524980636</v>
      </c>
      <c r="P55" s="100">
        <f>'Bef.fremskr. kommunenivå MMMM'!H50</f>
        <v>2126</v>
      </c>
      <c r="Q55" s="100"/>
      <c r="R55" s="100">
        <f t="shared" si="12"/>
        <v>0</v>
      </c>
      <c r="S55" s="100">
        <v>0</v>
      </c>
      <c r="U55" s="100">
        <v>0</v>
      </c>
      <c r="V55" s="5">
        <f t="shared" si="13"/>
        <v>82041.397598497453</v>
      </c>
      <c r="W55" s="5">
        <f t="shared" si="14"/>
        <v>38589.556725539725</v>
      </c>
    </row>
    <row r="56" spans="1:23" ht="13">
      <c r="A56" s="92">
        <v>1576</v>
      </c>
      <c r="B56" s="93" t="s">
        <v>1815</v>
      </c>
      <c r="C56" s="574">
        <v>0.87952189589911167</v>
      </c>
      <c r="D56" s="100">
        <f t="shared" si="0"/>
        <v>32406.585286076443</v>
      </c>
      <c r="E56" s="100">
        <f t="shared" si="1"/>
        <v>108626.87387892824</v>
      </c>
      <c r="F56" s="100">
        <f t="shared" si="10"/>
        <v>2665.321897930377</v>
      </c>
      <c r="G56" s="100">
        <f t="shared" si="2"/>
        <v>8934.159001862623</v>
      </c>
      <c r="H56" s="100">
        <f t="shared" si="11"/>
        <v>265.06351140077311</v>
      </c>
      <c r="I56" s="100">
        <f t="shared" si="3"/>
        <v>888.49289021539141</v>
      </c>
      <c r="J56" s="100">
        <f t="shared" si="4"/>
        <v>-154.97192730130064</v>
      </c>
      <c r="K56" s="100">
        <f t="shared" si="5"/>
        <v>-519.46590031395976</v>
      </c>
      <c r="L56" s="101">
        <f t="shared" si="6"/>
        <v>8414.6931015486625</v>
      </c>
      <c r="M56" s="100">
        <f t="shared" si="7"/>
        <v>117041.5669804769</v>
      </c>
      <c r="N56" s="102">
        <f t="shared" si="8"/>
        <v>34916.935256705518</v>
      </c>
      <c r="O56" s="94">
        <f t="shared" si="9"/>
        <v>0.94765334961591574</v>
      </c>
      <c r="P56" s="100">
        <f>'Bef.fremskr. kommunenivå MMMM'!H51</f>
        <v>3352</v>
      </c>
      <c r="Q56" s="100"/>
      <c r="R56" s="100">
        <f t="shared" si="12"/>
        <v>0</v>
      </c>
      <c r="S56" s="100">
        <v>0</v>
      </c>
      <c r="U56" s="100">
        <v>0</v>
      </c>
      <c r="V56" s="5">
        <f t="shared" si="13"/>
        <v>108626.87387892824</v>
      </c>
      <c r="W56" s="5">
        <f t="shared" si="14"/>
        <v>32406.585286076439</v>
      </c>
    </row>
    <row r="57" spans="1:23" ht="13">
      <c r="A57" s="92">
        <v>1577</v>
      </c>
      <c r="B57" s="93" t="s">
        <v>576</v>
      </c>
      <c r="C57" s="574">
        <v>0.76415643251093113</v>
      </c>
      <c r="D57" s="100">
        <f t="shared" si="0"/>
        <v>28155.865951187196</v>
      </c>
      <c r="E57" s="100">
        <f t="shared" si="1"/>
        <v>309686.36959710793</v>
      </c>
      <c r="F57" s="100">
        <f t="shared" si="10"/>
        <v>5215.7534988639245</v>
      </c>
      <c r="G57" s="100">
        <f t="shared" si="2"/>
        <v>57368.072734004301</v>
      </c>
      <c r="H57" s="100">
        <f t="shared" si="11"/>
        <v>1752.8152786120095</v>
      </c>
      <c r="I57" s="100">
        <f t="shared" si="3"/>
        <v>19279.215249453493</v>
      </c>
      <c r="J57" s="100">
        <f t="shared" si="4"/>
        <v>1332.7798399099356</v>
      </c>
      <c r="K57" s="100">
        <f t="shared" si="5"/>
        <v>14659.245459169382</v>
      </c>
      <c r="L57" s="101">
        <f t="shared" si="6"/>
        <v>72027.318193173676</v>
      </c>
      <c r="M57" s="100">
        <f t="shared" si="7"/>
        <v>381713.6877902816</v>
      </c>
      <c r="N57" s="102">
        <f t="shared" si="8"/>
        <v>34704.399289961053</v>
      </c>
      <c r="O57" s="94">
        <f t="shared" si="9"/>
        <v>0.94188507644650665</v>
      </c>
      <c r="P57" s="100">
        <f>'Bef.fremskr. kommunenivå MMMM'!H52</f>
        <v>10999</v>
      </c>
      <c r="Q57" s="100"/>
      <c r="R57" s="100">
        <f t="shared" si="12"/>
        <v>0</v>
      </c>
      <c r="S57" s="100">
        <v>0</v>
      </c>
      <c r="U57" s="100">
        <v>2486.4153333333334</v>
      </c>
      <c r="V57" s="5">
        <f t="shared" si="13"/>
        <v>307199.95426377462</v>
      </c>
      <c r="W57" s="5">
        <f t="shared" si="14"/>
        <v>27929.807642856136</v>
      </c>
    </row>
    <row r="58" spans="1:23" ht="13">
      <c r="A58" s="92">
        <v>1578</v>
      </c>
      <c r="B58" s="93" t="s">
        <v>1816</v>
      </c>
      <c r="C58" s="574">
        <v>0.84521309197695249</v>
      </c>
      <c r="D58" s="100">
        <f t="shared" si="0"/>
        <v>31142.453960238181</v>
      </c>
      <c r="E58" s="100">
        <f t="shared" si="1"/>
        <v>77731.565084754504</v>
      </c>
      <c r="F58" s="100">
        <f t="shared" si="10"/>
        <v>3423.8006934333339</v>
      </c>
      <c r="G58" s="100">
        <f t="shared" si="2"/>
        <v>8545.8065308096011</v>
      </c>
      <c r="H58" s="100">
        <f t="shared" si="11"/>
        <v>707.50947544416465</v>
      </c>
      <c r="I58" s="100">
        <f t="shared" si="3"/>
        <v>1765.9436507086348</v>
      </c>
      <c r="J58" s="100">
        <f t="shared" si="4"/>
        <v>287.4740367420909</v>
      </c>
      <c r="K58" s="100">
        <f t="shared" si="5"/>
        <v>717.53519570825893</v>
      </c>
      <c r="L58" s="101">
        <f t="shared" si="6"/>
        <v>9263.3417265178596</v>
      </c>
      <c r="M58" s="100">
        <f t="shared" si="7"/>
        <v>86994.906811272362</v>
      </c>
      <c r="N58" s="102">
        <f t="shared" si="8"/>
        <v>34853.728690413605</v>
      </c>
      <c r="O58" s="94">
        <f t="shared" si="9"/>
        <v>0.94593790941980782</v>
      </c>
      <c r="P58" s="100">
        <f>'Bef.fremskr. kommunenivå MMMM'!H53</f>
        <v>2496</v>
      </c>
      <c r="Q58" s="100"/>
      <c r="R58" s="100">
        <f t="shared" si="12"/>
        <v>0</v>
      </c>
      <c r="S58" s="100">
        <v>0</v>
      </c>
      <c r="U58" s="100">
        <v>9552.4090000000015</v>
      </c>
      <c r="V58" s="5">
        <f t="shared" si="13"/>
        <v>68179.156084754504</v>
      </c>
      <c r="W58" s="5">
        <f t="shared" si="14"/>
        <v>27315.367021135615</v>
      </c>
    </row>
    <row r="59" spans="1:23" ht="13">
      <c r="A59" s="92">
        <v>1579</v>
      </c>
      <c r="B59" s="93" t="s">
        <v>1817</v>
      </c>
      <c r="C59" s="574">
        <v>0.81180602263695001</v>
      </c>
      <c r="D59" s="100">
        <f t="shared" si="0"/>
        <v>29911.547661290457</v>
      </c>
      <c r="E59" s="100">
        <f t="shared" si="1"/>
        <v>398152.61091943731</v>
      </c>
      <c r="F59" s="100">
        <f t="shared" si="10"/>
        <v>4162.3444728019685</v>
      </c>
      <c r="G59" s="100">
        <f t="shared" si="2"/>
        <v>55404.967277467003</v>
      </c>
      <c r="H59" s="100">
        <f t="shared" si="11"/>
        <v>1138.3266800758681</v>
      </c>
      <c r="I59" s="100">
        <f t="shared" si="3"/>
        <v>15152.26643848988</v>
      </c>
      <c r="J59" s="100">
        <f t="shared" si="4"/>
        <v>718.29124137379438</v>
      </c>
      <c r="K59" s="100">
        <f t="shared" si="5"/>
        <v>9561.1747139265754</v>
      </c>
      <c r="L59" s="101">
        <f t="shared" si="6"/>
        <v>64966.141991393582</v>
      </c>
      <c r="M59" s="100">
        <f t="shared" si="7"/>
        <v>463118.7529108309</v>
      </c>
      <c r="N59" s="102">
        <f t="shared" si="8"/>
        <v>34792.183375466222</v>
      </c>
      <c r="O59" s="94">
        <f t="shared" si="9"/>
        <v>0.94426755595280776</v>
      </c>
      <c r="P59" s="100">
        <f>'Bef.fremskr. kommunenivå MMMM'!H54</f>
        <v>13311</v>
      </c>
      <c r="Q59" s="100"/>
      <c r="R59" s="100">
        <f t="shared" si="12"/>
        <v>0</v>
      </c>
      <c r="S59" s="100">
        <v>0</v>
      </c>
      <c r="U59" s="100">
        <v>0</v>
      </c>
      <c r="V59" s="5">
        <f t="shared" si="13"/>
        <v>398152.61091943731</v>
      </c>
      <c r="W59" s="5">
        <f t="shared" si="14"/>
        <v>29911.547661290457</v>
      </c>
    </row>
    <row r="60" spans="1:23" ht="13">
      <c r="A60" s="92">
        <v>1804</v>
      </c>
      <c r="B60" s="93" t="s">
        <v>624</v>
      </c>
      <c r="C60" s="574">
        <v>0.96206655186322487</v>
      </c>
      <c r="D60" s="100">
        <f t="shared" si="0"/>
        <v>35447.9995429396</v>
      </c>
      <c r="E60" s="100">
        <f t="shared" si="1"/>
        <v>1883990.279708154</v>
      </c>
      <c r="F60" s="100">
        <f t="shared" si="10"/>
        <v>840.4733438124822</v>
      </c>
      <c r="G60" s="100">
        <f t="shared" si="2"/>
        <v>44669.477276945807</v>
      </c>
      <c r="H60" s="100">
        <f t="shared" si="11"/>
        <v>0</v>
      </c>
      <c r="I60" s="100">
        <f t="shared" si="3"/>
        <v>0</v>
      </c>
      <c r="J60" s="100">
        <f t="shared" si="4"/>
        <v>-420.03543870207375</v>
      </c>
      <c r="K60" s="100">
        <f t="shared" si="5"/>
        <v>-22324.043496137816</v>
      </c>
      <c r="L60" s="101">
        <f t="shared" si="6"/>
        <v>22345.433780807991</v>
      </c>
      <c r="M60" s="100">
        <f t="shared" si="7"/>
        <v>1906335.713488962</v>
      </c>
      <c r="N60" s="102">
        <f t="shared" si="8"/>
        <v>35868.437448050012</v>
      </c>
      <c r="O60" s="94">
        <f t="shared" si="9"/>
        <v>0.97347732964638911</v>
      </c>
      <c r="P60" s="100">
        <f>'Bef.fremskr. kommunenivå MMMM'!H55</f>
        <v>53148</v>
      </c>
      <c r="Q60" s="100"/>
      <c r="R60" s="100">
        <f t="shared" si="12"/>
        <v>0</v>
      </c>
      <c r="S60" s="100">
        <v>0</v>
      </c>
      <c r="U60" s="100">
        <v>1342.2836666666665</v>
      </c>
      <c r="V60" s="5">
        <f t="shared" si="13"/>
        <v>1882647.9960414874</v>
      </c>
      <c r="W60" s="5">
        <f t="shared" si="14"/>
        <v>35422.743961042514</v>
      </c>
    </row>
    <row r="61" spans="1:23" ht="13">
      <c r="A61" s="92">
        <v>1806</v>
      </c>
      <c r="B61" s="93" t="s">
        <v>625</v>
      </c>
      <c r="C61" s="574">
        <v>0.86197010310347855</v>
      </c>
      <c r="D61" s="100">
        <f t="shared" si="0"/>
        <v>31759.877486296467</v>
      </c>
      <c r="E61" s="100">
        <f t="shared" si="1"/>
        <v>683917.20178990823</v>
      </c>
      <c r="F61" s="100">
        <f t="shared" si="10"/>
        <v>3053.346577798362</v>
      </c>
      <c r="G61" s="100">
        <f t="shared" si="2"/>
        <v>65750.765206309923</v>
      </c>
      <c r="H61" s="100">
        <f t="shared" si="11"/>
        <v>491.41124132376439</v>
      </c>
      <c r="I61" s="100">
        <f t="shared" si="3"/>
        <v>10582.049670665941</v>
      </c>
      <c r="J61" s="100">
        <f t="shared" si="4"/>
        <v>71.375802621690639</v>
      </c>
      <c r="K61" s="100">
        <f t="shared" si="5"/>
        <v>1537.0065336554862</v>
      </c>
      <c r="L61" s="101">
        <f t="shared" si="6"/>
        <v>67287.771739965407</v>
      </c>
      <c r="M61" s="100">
        <f t="shared" si="7"/>
        <v>751204.97352987365</v>
      </c>
      <c r="N61" s="102">
        <f t="shared" si="8"/>
        <v>34884.599866716526</v>
      </c>
      <c r="O61" s="94">
        <f t="shared" si="9"/>
        <v>0.94677575997613428</v>
      </c>
      <c r="P61" s="100">
        <f>'Bef.fremskr. kommunenivå MMMM'!H56</f>
        <v>21534</v>
      </c>
      <c r="Q61" s="100"/>
      <c r="R61" s="100">
        <f t="shared" si="12"/>
        <v>0</v>
      </c>
      <c r="S61" s="100">
        <v>0</v>
      </c>
      <c r="U61" s="100">
        <v>20007.044333333335</v>
      </c>
      <c r="V61" s="5">
        <f t="shared" si="13"/>
        <v>663910.15745657485</v>
      </c>
      <c r="W61" s="5">
        <f t="shared" si="14"/>
        <v>30830.786544839546</v>
      </c>
    </row>
    <row r="62" spans="1:23" ht="13">
      <c r="A62" s="92">
        <v>1811</v>
      </c>
      <c r="B62" s="93" t="s">
        <v>626</v>
      </c>
      <c r="C62" s="574">
        <v>0.96849356010829146</v>
      </c>
      <c r="D62" s="100">
        <f t="shared" si="0"/>
        <v>35684.807053701057</v>
      </c>
      <c r="E62" s="100">
        <f t="shared" si="1"/>
        <v>49994.414682235183</v>
      </c>
      <c r="F62" s="100">
        <f t="shared" si="10"/>
        <v>698.38883735560808</v>
      </c>
      <c r="G62" s="100">
        <f t="shared" si="2"/>
        <v>978.44276113520687</v>
      </c>
      <c r="H62" s="100">
        <f t="shared" si="11"/>
        <v>0</v>
      </c>
      <c r="I62" s="100">
        <f t="shared" si="3"/>
        <v>0</v>
      </c>
      <c r="J62" s="100">
        <f t="shared" si="4"/>
        <v>-420.03543870207375</v>
      </c>
      <c r="K62" s="100">
        <f t="shared" si="5"/>
        <v>-588.4696496216053</v>
      </c>
      <c r="L62" s="101">
        <f t="shared" si="6"/>
        <v>389.97311151360157</v>
      </c>
      <c r="M62" s="100">
        <f t="shared" si="7"/>
        <v>50384.387793748785</v>
      </c>
      <c r="N62" s="102">
        <f t="shared" si="8"/>
        <v>35963.160452354598</v>
      </c>
      <c r="O62" s="94">
        <f t="shared" si="9"/>
        <v>0.97604813294441584</v>
      </c>
      <c r="P62" s="100">
        <f>'Bef.fremskr. kommunenivå MMMM'!H57</f>
        <v>1401</v>
      </c>
      <c r="Q62" s="100"/>
      <c r="R62" s="100">
        <f t="shared" si="12"/>
        <v>0</v>
      </c>
      <c r="S62" s="100">
        <v>0</v>
      </c>
      <c r="U62" s="100">
        <v>6317.6916666666666</v>
      </c>
      <c r="V62" s="5">
        <f t="shared" si="13"/>
        <v>43676.723015568517</v>
      </c>
      <c r="W62" s="5">
        <f t="shared" si="14"/>
        <v>31175.39116029159</v>
      </c>
    </row>
    <row r="63" spans="1:23" ht="13">
      <c r="A63" s="92">
        <v>1812</v>
      </c>
      <c r="B63" s="93" t="s">
        <v>627</v>
      </c>
      <c r="C63" s="574">
        <v>0.75275414759453529</v>
      </c>
      <c r="D63" s="100">
        <f t="shared" si="0"/>
        <v>27735.740971556545</v>
      </c>
      <c r="E63" s="100">
        <f t="shared" si="1"/>
        <v>54583.938232023276</v>
      </c>
      <c r="F63" s="100">
        <f t="shared" si="10"/>
        <v>5467.8284866423155</v>
      </c>
      <c r="G63" s="100">
        <f t="shared" si="2"/>
        <v>10760.686461712077</v>
      </c>
      <c r="H63" s="100">
        <f t="shared" si="11"/>
        <v>1899.8590214827373</v>
      </c>
      <c r="I63" s="100">
        <f t="shared" si="3"/>
        <v>3738.9225542780268</v>
      </c>
      <c r="J63" s="100">
        <f t="shared" si="4"/>
        <v>1479.8235827806634</v>
      </c>
      <c r="K63" s="100">
        <f t="shared" si="5"/>
        <v>2912.2928109123454</v>
      </c>
      <c r="L63" s="101">
        <f t="shared" si="6"/>
        <v>13672.979272624423</v>
      </c>
      <c r="M63" s="100">
        <f t="shared" si="7"/>
        <v>68256.917504647703</v>
      </c>
      <c r="N63" s="102">
        <f t="shared" si="8"/>
        <v>34683.393040979521</v>
      </c>
      <c r="O63" s="94">
        <f t="shared" si="9"/>
        <v>0.94131496220068689</v>
      </c>
      <c r="P63" s="100">
        <f>'Bef.fremskr. kommunenivå MMMM'!H58</f>
        <v>1968</v>
      </c>
      <c r="Q63" s="100"/>
      <c r="R63" s="100">
        <f t="shared" si="12"/>
        <v>0</v>
      </c>
      <c r="S63" s="100">
        <v>0</v>
      </c>
      <c r="U63" s="100">
        <v>0</v>
      </c>
      <c r="V63" s="5">
        <f t="shared" si="13"/>
        <v>54583.938232023276</v>
      </c>
      <c r="W63" s="5">
        <f t="shared" si="14"/>
        <v>27735.740971556545</v>
      </c>
    </row>
    <row r="64" spans="1:23" ht="13">
      <c r="A64" s="92">
        <v>1813</v>
      </c>
      <c r="B64" s="93" t="s">
        <v>628</v>
      </c>
      <c r="C64" s="574">
        <v>0.82168896011391834</v>
      </c>
      <c r="D64" s="100">
        <f t="shared" si="0"/>
        <v>30275.691246251386</v>
      </c>
      <c r="E64" s="100">
        <f t="shared" si="1"/>
        <v>234697.15854094076</v>
      </c>
      <c r="F64" s="100">
        <f t="shared" si="10"/>
        <v>3943.8583218254103</v>
      </c>
      <c r="G64" s="100">
        <f t="shared" si="2"/>
        <v>30572.789710790581</v>
      </c>
      <c r="H64" s="100">
        <f t="shared" si="11"/>
        <v>1010.8764253395427</v>
      </c>
      <c r="I64" s="100">
        <f t="shared" si="3"/>
        <v>7836.3140492321354</v>
      </c>
      <c r="J64" s="100">
        <f t="shared" si="4"/>
        <v>590.84098663746897</v>
      </c>
      <c r="K64" s="100">
        <f t="shared" si="5"/>
        <v>4580.1993284136597</v>
      </c>
      <c r="L64" s="101">
        <f t="shared" si="6"/>
        <v>35152.989039204243</v>
      </c>
      <c r="M64" s="100">
        <f t="shared" si="7"/>
        <v>269850.14758014499</v>
      </c>
      <c r="N64" s="102">
        <f t="shared" si="8"/>
        <v>34810.390554714264</v>
      </c>
      <c r="O64" s="94">
        <f t="shared" si="9"/>
        <v>0.94476170282665606</v>
      </c>
      <c r="P64" s="100">
        <f>'Bef.fremskr. kommunenivå MMMM'!H59</f>
        <v>7752</v>
      </c>
      <c r="Q64" s="100"/>
      <c r="R64" s="100">
        <f t="shared" si="12"/>
        <v>0</v>
      </c>
      <c r="S64" s="100">
        <v>0</v>
      </c>
      <c r="U64" s="100">
        <v>149.29966666666667</v>
      </c>
      <c r="V64" s="5">
        <f t="shared" si="13"/>
        <v>234547.8588742741</v>
      </c>
      <c r="W64" s="5">
        <f t="shared" si="14"/>
        <v>30256.431743327412</v>
      </c>
    </row>
    <row r="65" spans="1:23" ht="13">
      <c r="A65" s="92">
        <v>1815</v>
      </c>
      <c r="B65" s="93" t="s">
        <v>629</v>
      </c>
      <c r="C65" s="574">
        <v>0.77804848842836094</v>
      </c>
      <c r="D65" s="100">
        <f t="shared" si="0"/>
        <v>28667.728244765356</v>
      </c>
      <c r="E65" s="100">
        <f t="shared" si="1"/>
        <v>33627.245231109759</v>
      </c>
      <c r="F65" s="100">
        <f t="shared" si="10"/>
        <v>4908.6361227170282</v>
      </c>
      <c r="G65" s="100">
        <f t="shared" si="2"/>
        <v>5757.8301719470737</v>
      </c>
      <c r="H65" s="100">
        <f t="shared" si="11"/>
        <v>1573.6634758596533</v>
      </c>
      <c r="I65" s="100">
        <f t="shared" si="3"/>
        <v>1845.9072571833735</v>
      </c>
      <c r="J65" s="100">
        <f t="shared" si="4"/>
        <v>1153.6280371575795</v>
      </c>
      <c r="K65" s="100">
        <f t="shared" si="5"/>
        <v>1353.2056875858407</v>
      </c>
      <c r="L65" s="101">
        <f t="shared" si="6"/>
        <v>7111.0358595329144</v>
      </c>
      <c r="M65" s="100">
        <f t="shared" si="7"/>
        <v>40738.281090642675</v>
      </c>
      <c r="N65" s="102">
        <f t="shared" si="8"/>
        <v>34729.992404639961</v>
      </c>
      <c r="O65" s="94">
        <f t="shared" si="9"/>
        <v>0.94257967924237818</v>
      </c>
      <c r="P65" s="100">
        <f>'Bef.fremskr. kommunenivå MMMM'!H60</f>
        <v>1173</v>
      </c>
      <c r="Q65" s="100"/>
      <c r="R65" s="100">
        <f t="shared" si="12"/>
        <v>0</v>
      </c>
      <c r="S65" s="100">
        <v>0</v>
      </c>
      <c r="U65" s="100">
        <v>0</v>
      </c>
      <c r="V65" s="5">
        <f t="shared" si="13"/>
        <v>33627.245231109759</v>
      </c>
      <c r="W65" s="5">
        <f t="shared" si="14"/>
        <v>28667.728244765356</v>
      </c>
    </row>
    <row r="66" spans="1:23" ht="13">
      <c r="A66" s="92">
        <v>1816</v>
      </c>
      <c r="B66" s="93" t="s">
        <v>630</v>
      </c>
      <c r="C66" s="574">
        <v>0.92360523764143754</v>
      </c>
      <c r="D66" s="100">
        <f t="shared" si="0"/>
        <v>34030.866137444587</v>
      </c>
      <c r="E66" s="100">
        <f t="shared" si="1"/>
        <v>15756.291021636844</v>
      </c>
      <c r="F66" s="100">
        <f t="shared" si="10"/>
        <v>1690.7533871094899</v>
      </c>
      <c r="G66" s="100">
        <f t="shared" si="2"/>
        <v>782.81881823169385</v>
      </c>
      <c r="H66" s="100">
        <f t="shared" si="11"/>
        <v>0</v>
      </c>
      <c r="I66" s="100">
        <f t="shared" si="3"/>
        <v>0</v>
      </c>
      <c r="J66" s="100">
        <f t="shared" si="4"/>
        <v>-420.03543870207375</v>
      </c>
      <c r="K66" s="100">
        <f t="shared" si="5"/>
        <v>-194.47640811906015</v>
      </c>
      <c r="L66" s="101">
        <f t="shared" si="6"/>
        <v>588.34241011263373</v>
      </c>
      <c r="M66" s="100">
        <f t="shared" si="7"/>
        <v>16344.633431749477</v>
      </c>
      <c r="N66" s="102">
        <f t="shared" si="8"/>
        <v>35301.584085852002</v>
      </c>
      <c r="O66" s="94">
        <f t="shared" si="9"/>
        <v>0.95809280395767404</v>
      </c>
      <c r="P66" s="100">
        <f>'Bef.fremskr. kommunenivå MMMM'!H61</f>
        <v>463</v>
      </c>
      <c r="Q66" s="100"/>
      <c r="R66" s="100">
        <f t="shared" si="12"/>
        <v>0</v>
      </c>
      <c r="S66" s="100">
        <v>0</v>
      </c>
      <c r="U66" s="100">
        <v>0</v>
      </c>
      <c r="V66" s="5">
        <f t="shared" si="13"/>
        <v>15756.291021636844</v>
      </c>
      <c r="W66" s="5">
        <f t="shared" si="14"/>
        <v>34030.866137444587</v>
      </c>
    </row>
    <row r="67" spans="1:23" ht="13">
      <c r="A67" s="92">
        <v>1818</v>
      </c>
      <c r="B67" s="93" t="s">
        <v>573</v>
      </c>
      <c r="C67" s="574">
        <v>0.99748496956988919</v>
      </c>
      <c r="D67" s="100">
        <f t="shared" si="0"/>
        <v>36753.015346935637</v>
      </c>
      <c r="E67" s="100">
        <f t="shared" si="1"/>
        <v>68250.349499259479</v>
      </c>
      <c r="F67" s="100">
        <f t="shared" si="10"/>
        <v>57.463861414859998</v>
      </c>
      <c r="G67" s="100">
        <f t="shared" si="2"/>
        <v>106.71039064739502</v>
      </c>
      <c r="H67" s="100">
        <f t="shared" si="11"/>
        <v>0</v>
      </c>
      <c r="I67" s="100">
        <f t="shared" si="3"/>
        <v>0</v>
      </c>
      <c r="J67" s="100">
        <f t="shared" si="4"/>
        <v>-420.03543870207375</v>
      </c>
      <c r="K67" s="100">
        <f t="shared" si="5"/>
        <v>-780.00580966975099</v>
      </c>
      <c r="L67" s="101">
        <f t="shared" si="6"/>
        <v>-673.29541902235599</v>
      </c>
      <c r="M67" s="100">
        <f t="shared" si="7"/>
        <v>67577.054080237125</v>
      </c>
      <c r="N67" s="102">
        <f t="shared" si="8"/>
        <v>36390.443769648424</v>
      </c>
      <c r="O67" s="94">
        <f t="shared" si="9"/>
        <v>0.98764469672905475</v>
      </c>
      <c r="P67" s="100">
        <f>'Bef.fremskr. kommunenivå MMMM'!H62</f>
        <v>1857</v>
      </c>
      <c r="Q67" s="100"/>
      <c r="R67" s="100">
        <f t="shared" si="12"/>
        <v>0</v>
      </c>
      <c r="S67" s="100">
        <v>0</v>
      </c>
      <c r="U67" s="100">
        <v>0</v>
      </c>
      <c r="V67" s="5">
        <f t="shared" si="13"/>
        <v>68250.349499259479</v>
      </c>
      <c r="W67" s="5">
        <f t="shared" si="14"/>
        <v>36753.015346935637</v>
      </c>
    </row>
    <row r="68" spans="1:23" ht="13">
      <c r="A68" s="92">
        <v>1820</v>
      </c>
      <c r="B68" s="93" t="s">
        <v>631</v>
      </c>
      <c r="C68" s="574">
        <v>0.82796834735156166</v>
      </c>
      <c r="D68" s="100">
        <f t="shared" si="0"/>
        <v>30507.059560115777</v>
      </c>
      <c r="E68" s="100">
        <f t="shared" si="1"/>
        <v>224013.33834993013</v>
      </c>
      <c r="F68" s="100">
        <f t="shared" si="10"/>
        <v>3805.0373335067761</v>
      </c>
      <c r="G68" s="100">
        <f t="shared" si="2"/>
        <v>27940.389139940256</v>
      </c>
      <c r="H68" s="100">
        <f t="shared" si="11"/>
        <v>929.89751548700622</v>
      </c>
      <c r="I68" s="100">
        <f t="shared" si="3"/>
        <v>6828.2374562210871</v>
      </c>
      <c r="J68" s="100">
        <f t="shared" si="4"/>
        <v>509.86207678493247</v>
      </c>
      <c r="K68" s="100">
        <f t="shared" si="5"/>
        <v>3743.9172298317594</v>
      </c>
      <c r="L68" s="101">
        <f t="shared" si="6"/>
        <v>31684.306369772017</v>
      </c>
      <c r="M68" s="100">
        <f t="shared" si="7"/>
        <v>255697.64471970216</v>
      </c>
      <c r="N68" s="102">
        <f t="shared" si="8"/>
        <v>34821.958970407482</v>
      </c>
      <c r="O68" s="94">
        <f t="shared" si="9"/>
        <v>0.94507567218853827</v>
      </c>
      <c r="P68" s="100">
        <f>'Bef.fremskr. kommunenivå MMMM'!H63</f>
        <v>7343</v>
      </c>
      <c r="Q68" s="100"/>
      <c r="R68" s="100">
        <f t="shared" si="12"/>
        <v>0</v>
      </c>
      <c r="S68" s="100">
        <v>0</v>
      </c>
      <c r="U68" s="100">
        <v>0</v>
      </c>
      <c r="V68" s="5">
        <f t="shared" si="13"/>
        <v>224013.33834993013</v>
      </c>
      <c r="W68" s="5">
        <f t="shared" si="14"/>
        <v>30507.059560115777</v>
      </c>
    </row>
    <row r="69" spans="1:23" ht="13">
      <c r="A69" s="92">
        <v>1822</v>
      </c>
      <c r="B69" s="93" t="s">
        <v>632</v>
      </c>
      <c r="C69" s="574">
        <v>0.69135657307081999</v>
      </c>
      <c r="D69" s="100">
        <f t="shared" si="0"/>
        <v>25473.505381472671</v>
      </c>
      <c r="E69" s="100">
        <f t="shared" si="1"/>
        <v>57722.963194417076</v>
      </c>
      <c r="F69" s="100">
        <f t="shared" si="10"/>
        <v>6825.1698406926398</v>
      </c>
      <c r="G69" s="100">
        <f t="shared" si="2"/>
        <v>15465.834859009521</v>
      </c>
      <c r="H69" s="100">
        <f t="shared" si="11"/>
        <v>2691.6414780120931</v>
      </c>
      <c r="I69" s="100">
        <f t="shared" si="3"/>
        <v>6099.2595891754036</v>
      </c>
      <c r="J69" s="100">
        <f t="shared" si="4"/>
        <v>2271.6060393100192</v>
      </c>
      <c r="K69" s="100">
        <f t="shared" si="5"/>
        <v>5147.4592850765039</v>
      </c>
      <c r="L69" s="101">
        <f t="shared" si="6"/>
        <v>20613.294144086023</v>
      </c>
      <c r="M69" s="100">
        <f t="shared" si="7"/>
        <v>78336.257338503099</v>
      </c>
      <c r="N69" s="102">
        <f t="shared" si="8"/>
        <v>34570.281261475327</v>
      </c>
      <c r="O69" s="94">
        <f t="shared" si="9"/>
        <v>0.9382450834745012</v>
      </c>
      <c r="P69" s="100">
        <f>'Bef.fremskr. kommunenivå MMMM'!H64</f>
        <v>2266</v>
      </c>
      <c r="Q69" s="100"/>
      <c r="R69" s="100">
        <f t="shared" si="12"/>
        <v>0</v>
      </c>
      <c r="S69" s="100">
        <v>0</v>
      </c>
      <c r="U69" s="100">
        <v>0</v>
      </c>
      <c r="V69" s="5">
        <f t="shared" si="13"/>
        <v>57722.963194417076</v>
      </c>
      <c r="W69" s="5">
        <f t="shared" si="14"/>
        <v>25473.505381472671</v>
      </c>
    </row>
    <row r="70" spans="1:23" ht="13">
      <c r="A70" s="92">
        <v>1824</v>
      </c>
      <c r="B70" s="93" t="s">
        <v>633</v>
      </c>
      <c r="C70" s="574">
        <v>0.85265392680372154</v>
      </c>
      <c r="D70" s="100">
        <f t="shared" si="0"/>
        <v>31416.616604212832</v>
      </c>
      <c r="E70" s="100">
        <f t="shared" si="1"/>
        <v>414825.00564202626</v>
      </c>
      <c r="F70" s="100">
        <f t="shared" si="10"/>
        <v>3259.3031070485436</v>
      </c>
      <c r="G70" s="100">
        <f t="shared" si="2"/>
        <v>43035.838225468971</v>
      </c>
      <c r="H70" s="100">
        <f t="shared" si="11"/>
        <v>611.55255005303695</v>
      </c>
      <c r="I70" s="100">
        <f t="shared" si="3"/>
        <v>8074.9398709003008</v>
      </c>
      <c r="J70" s="100">
        <f t="shared" si="4"/>
        <v>191.51711135096321</v>
      </c>
      <c r="K70" s="100">
        <f t="shared" si="5"/>
        <v>2528.7919382781183</v>
      </c>
      <c r="L70" s="101">
        <f t="shared" si="6"/>
        <v>45564.63016374709</v>
      </c>
      <c r="M70" s="100">
        <f t="shared" si="7"/>
        <v>460389.63580577337</v>
      </c>
      <c r="N70" s="102">
        <f t="shared" si="8"/>
        <v>34867.436822612341</v>
      </c>
      <c r="O70" s="94">
        <f t="shared" si="9"/>
        <v>0.94630995116114636</v>
      </c>
      <c r="P70" s="100">
        <f>'Bef.fremskr. kommunenivå MMMM'!H65</f>
        <v>13204</v>
      </c>
      <c r="Q70" s="100"/>
      <c r="R70" s="100">
        <f t="shared" si="12"/>
        <v>0</v>
      </c>
      <c r="S70" s="100">
        <v>0</v>
      </c>
      <c r="U70" s="100">
        <v>3551.6190000000001</v>
      </c>
      <c r="V70" s="5">
        <f t="shared" si="13"/>
        <v>411273.38664202625</v>
      </c>
      <c r="W70" s="5">
        <f t="shared" si="14"/>
        <v>31147.636068011681</v>
      </c>
    </row>
    <row r="71" spans="1:23" ht="13">
      <c r="A71" s="92">
        <v>1825</v>
      </c>
      <c r="B71" s="93" t="s">
        <v>634</v>
      </c>
      <c r="C71" s="574">
        <v>0.73737581562506205</v>
      </c>
      <c r="D71" s="100">
        <f t="shared" si="0"/>
        <v>27169.115821176551</v>
      </c>
      <c r="E71" s="100">
        <f t="shared" si="1"/>
        <v>39476.725288169524</v>
      </c>
      <c r="F71" s="100">
        <f t="shared" si="10"/>
        <v>5807.8035768703121</v>
      </c>
      <c r="G71" s="100">
        <f t="shared" si="2"/>
        <v>8438.7385971925632</v>
      </c>
      <c r="H71" s="100">
        <f t="shared" si="11"/>
        <v>2098.1778241157353</v>
      </c>
      <c r="I71" s="100">
        <f t="shared" si="3"/>
        <v>3048.6523784401634</v>
      </c>
      <c r="J71" s="100">
        <f t="shared" si="4"/>
        <v>1678.1423854136615</v>
      </c>
      <c r="K71" s="100">
        <f t="shared" si="5"/>
        <v>2438.3408860060504</v>
      </c>
      <c r="L71" s="101">
        <f t="shared" si="6"/>
        <v>10877.079483198613</v>
      </c>
      <c r="M71" s="100">
        <f t="shared" si="7"/>
        <v>50353.804771368137</v>
      </c>
      <c r="N71" s="102">
        <f t="shared" si="8"/>
        <v>34655.061783460522</v>
      </c>
      <c r="O71" s="94">
        <f t="shared" si="9"/>
        <v>0.94054604560221322</v>
      </c>
      <c r="P71" s="100">
        <f>'Bef.fremskr. kommunenivå MMMM'!H66</f>
        <v>1453</v>
      </c>
      <c r="Q71" s="100"/>
      <c r="R71" s="100">
        <f t="shared" si="12"/>
        <v>0</v>
      </c>
      <c r="S71" s="100">
        <v>0</v>
      </c>
      <c r="U71" s="100">
        <v>2499.3850000000002</v>
      </c>
      <c r="V71" s="5">
        <f t="shared" si="13"/>
        <v>36977.340288169522</v>
      </c>
      <c r="W71" s="5">
        <f t="shared" si="14"/>
        <v>25448.960969146268</v>
      </c>
    </row>
    <row r="72" spans="1:23" ht="13">
      <c r="A72" s="92">
        <v>1826</v>
      </c>
      <c r="B72" s="93" t="s">
        <v>635</v>
      </c>
      <c r="C72" s="574">
        <v>0.69082948734256144</v>
      </c>
      <c r="D72" s="100">
        <f t="shared" si="0"/>
        <v>25454.084547624727</v>
      </c>
      <c r="E72" s="100">
        <f t="shared" si="1"/>
        <v>32377.595544578653</v>
      </c>
      <c r="F72" s="100">
        <f t="shared" si="10"/>
        <v>6836.8223410014061</v>
      </c>
      <c r="G72" s="100">
        <f t="shared" si="2"/>
        <v>8696.4380177537896</v>
      </c>
      <c r="H72" s="100">
        <f t="shared" si="11"/>
        <v>2698.4387698588735</v>
      </c>
      <c r="I72" s="100">
        <f t="shared" si="3"/>
        <v>3432.4141152604871</v>
      </c>
      <c r="J72" s="100">
        <f t="shared" si="4"/>
        <v>2278.4033311567996</v>
      </c>
      <c r="K72" s="100">
        <f t="shared" si="5"/>
        <v>2898.1290372314488</v>
      </c>
      <c r="L72" s="101">
        <f t="shared" si="6"/>
        <v>11594.567054985238</v>
      </c>
      <c r="M72" s="100">
        <f t="shared" si="7"/>
        <v>43972.16259956389</v>
      </c>
      <c r="N72" s="102">
        <f t="shared" si="8"/>
        <v>34569.310219782928</v>
      </c>
      <c r="O72" s="94">
        <f t="shared" si="9"/>
        <v>0.93821872918808813</v>
      </c>
      <c r="P72" s="100">
        <f>'Bef.fremskr. kommunenivå MMMM'!H67</f>
        <v>1272</v>
      </c>
      <c r="Q72" s="100"/>
      <c r="R72" s="100">
        <f t="shared" si="12"/>
        <v>0</v>
      </c>
      <c r="S72" s="100">
        <v>0</v>
      </c>
      <c r="U72" s="100">
        <v>2736.6839999999997</v>
      </c>
      <c r="V72" s="5">
        <f t="shared" si="13"/>
        <v>29640.911544578652</v>
      </c>
      <c r="W72" s="5">
        <f t="shared" si="14"/>
        <v>23302.603415549256</v>
      </c>
    </row>
    <row r="73" spans="1:23" ht="13">
      <c r="A73" s="92">
        <v>1827</v>
      </c>
      <c r="B73" s="93" t="s">
        <v>636</v>
      </c>
      <c r="C73" s="574">
        <v>1.0150851724453505</v>
      </c>
      <c r="D73" s="100">
        <f t="shared" si="0"/>
        <v>37401.506849188481</v>
      </c>
      <c r="E73" s="100">
        <f t="shared" si="1"/>
        <v>51240.06438338822</v>
      </c>
      <c r="F73" s="100">
        <f t="shared" si="10"/>
        <v>-331.63103993684632</v>
      </c>
      <c r="G73" s="100">
        <f t="shared" si="2"/>
        <v>-454.33452471347942</v>
      </c>
      <c r="H73" s="100">
        <f t="shared" si="11"/>
        <v>0</v>
      </c>
      <c r="I73" s="100">
        <f t="shared" si="3"/>
        <v>0</v>
      </c>
      <c r="J73" s="100">
        <f t="shared" si="4"/>
        <v>-420.03543870207375</v>
      </c>
      <c r="K73" s="100">
        <f t="shared" si="5"/>
        <v>-575.44855102184101</v>
      </c>
      <c r="L73" s="101">
        <f t="shared" si="6"/>
        <v>-1029.7830757353204</v>
      </c>
      <c r="M73" s="100">
        <f t="shared" si="7"/>
        <v>50210.281307652898</v>
      </c>
      <c r="N73" s="102">
        <f t="shared" si="8"/>
        <v>36649.840370549558</v>
      </c>
      <c r="O73" s="94">
        <f t="shared" si="9"/>
        <v>0.99468477787923926</v>
      </c>
      <c r="P73" s="100">
        <f>'Bef.fremskr. kommunenivå MMMM'!H68</f>
        <v>1370</v>
      </c>
      <c r="Q73" s="100"/>
      <c r="R73" s="100">
        <f t="shared" si="12"/>
        <v>0</v>
      </c>
      <c r="S73" s="100">
        <v>0</v>
      </c>
      <c r="U73" s="100">
        <v>0</v>
      </c>
      <c r="V73" s="5">
        <f t="shared" si="13"/>
        <v>51240.06438338822</v>
      </c>
      <c r="W73" s="5">
        <f t="shared" si="14"/>
        <v>37401.506849188481</v>
      </c>
    </row>
    <row r="74" spans="1:23" ht="13">
      <c r="A74" s="92">
        <v>1828</v>
      </c>
      <c r="B74" s="93" t="s">
        <v>637</v>
      </c>
      <c r="C74" s="574">
        <v>0.77515569777511506</v>
      </c>
      <c r="D74" s="100">
        <f t="shared" ref="D74:D137" si="15">C74*D$367</f>
        <v>28561.141396323859</v>
      </c>
      <c r="E74" s="100">
        <f t="shared" ref="E74:E137" si="16">D74*P74/1000</f>
        <v>49439.335757036606</v>
      </c>
      <c r="F74" s="100">
        <f t="shared" si="10"/>
        <v>4972.5882317819269</v>
      </c>
      <c r="G74" s="100">
        <f t="shared" ref="G74:G137" si="17">F74*P74/1000</f>
        <v>8607.5502292145156</v>
      </c>
      <c r="H74" s="100">
        <f t="shared" si="11"/>
        <v>1610.9688728141773</v>
      </c>
      <c r="I74" s="100">
        <f t="shared" ref="I74:I137" si="18">H74*P74/1000</f>
        <v>2788.5871188413407</v>
      </c>
      <c r="J74" s="100">
        <f t="shared" ref="J74:J137" si="19">H74+H$370</f>
        <v>1190.9334341121034</v>
      </c>
      <c r="K74" s="100">
        <f t="shared" ref="K74:K137" si="20">J74*P74/1000</f>
        <v>2061.5057744480509</v>
      </c>
      <c r="L74" s="101">
        <f t="shared" ref="L74:L137" si="21">K74+G74</f>
        <v>10669.056003662567</v>
      </c>
      <c r="M74" s="100">
        <f t="shared" ref="M74:M137" si="22">K74+E74+G74</f>
        <v>60108.391760699174</v>
      </c>
      <c r="N74" s="102">
        <f t="shared" ref="N74:N137" si="23">M74*1000/P74</f>
        <v>34724.663062217893</v>
      </c>
      <c r="O74" s="94">
        <f t="shared" ref="O74:O137" si="24">N74/N$367</f>
        <v>0.94243503970971609</v>
      </c>
      <c r="P74" s="100">
        <f>'Bef.fremskr. kommunenivå MMMM'!H69</f>
        <v>1731</v>
      </c>
      <c r="Q74" s="100"/>
      <c r="R74" s="100">
        <f t="shared" si="12"/>
        <v>0</v>
      </c>
      <c r="S74" s="100">
        <v>0</v>
      </c>
      <c r="U74" s="100">
        <v>0</v>
      </c>
      <c r="V74" s="5">
        <f t="shared" si="13"/>
        <v>49439.335757036606</v>
      </c>
      <c r="W74" s="5">
        <f t="shared" si="14"/>
        <v>28561.141396323863</v>
      </c>
    </row>
    <row r="75" spans="1:23" ht="13">
      <c r="A75" s="92">
        <v>1832</v>
      </c>
      <c r="B75" s="93" t="s">
        <v>638</v>
      </c>
      <c r="C75" s="574">
        <v>0.89192560192521864</v>
      </c>
      <c r="D75" s="100">
        <f t="shared" si="15"/>
        <v>32863.608310827338</v>
      </c>
      <c r="E75" s="100">
        <f t="shared" si="16"/>
        <v>145191.4215172352</v>
      </c>
      <c r="F75" s="100">
        <f t="shared" ref="F75:F138" si="25">($D$367+$R$367-D75-R75)*0.6</f>
        <v>2391.1080830798396</v>
      </c>
      <c r="G75" s="100">
        <f t="shared" si="17"/>
        <v>10563.915511046733</v>
      </c>
      <c r="H75" s="100">
        <f t="shared" ref="H75:H138" si="26">IF((D75+R75)&lt;(D$367+R$367)*0.9,((D$367+R$367)*0.9-(D75+R75))*0.35,0)</f>
        <v>105.10545273795978</v>
      </c>
      <c r="I75" s="100">
        <f t="shared" si="18"/>
        <v>464.35589019630629</v>
      </c>
      <c r="J75" s="100">
        <f t="shared" si="19"/>
        <v>-314.92998596411394</v>
      </c>
      <c r="K75" s="100">
        <f t="shared" si="20"/>
        <v>-1391.3606779894553</v>
      </c>
      <c r="L75" s="101">
        <f t="shared" si="21"/>
        <v>9172.5548330572783</v>
      </c>
      <c r="M75" s="100">
        <f t="shared" si="22"/>
        <v>154363.97635029248</v>
      </c>
      <c r="N75" s="102">
        <f t="shared" si="23"/>
        <v>34939.786407943066</v>
      </c>
      <c r="O75" s="94">
        <f t="shared" si="24"/>
        <v>0.94827353491722122</v>
      </c>
      <c r="P75" s="100">
        <f>'Bef.fremskr. kommunenivå MMMM'!H70</f>
        <v>4418</v>
      </c>
      <c r="Q75" s="100"/>
      <c r="R75" s="100">
        <f t="shared" ref="R75:R138" si="27">S75*1000/P75</f>
        <v>0</v>
      </c>
      <c r="S75" s="100">
        <v>0</v>
      </c>
      <c r="U75" s="100">
        <v>33142.554333333333</v>
      </c>
      <c r="V75" s="5">
        <f t="shared" ref="V75:V138" si="28">+E75-U75</f>
        <v>112048.86718390186</v>
      </c>
      <c r="W75" s="5">
        <f t="shared" ref="W75:W138" si="29">+V75*1000/P75</f>
        <v>25361.898411928894</v>
      </c>
    </row>
    <row r="76" spans="1:23" ht="13">
      <c r="A76" s="92">
        <v>1833</v>
      </c>
      <c r="B76" s="93" t="s">
        <v>639</v>
      </c>
      <c r="C76" s="574">
        <v>0.85258219799945512</v>
      </c>
      <c r="D76" s="100">
        <f t="shared" si="15"/>
        <v>31413.973707402911</v>
      </c>
      <c r="E76" s="100">
        <f t="shared" si="16"/>
        <v>817894.2194459422</v>
      </c>
      <c r="F76" s="100">
        <f t="shared" si="25"/>
        <v>3260.888845134496</v>
      </c>
      <c r="G76" s="100">
        <f t="shared" si="17"/>
        <v>84900.501971921738</v>
      </c>
      <c r="H76" s="100">
        <f t="shared" si="26"/>
        <v>612.47756393650923</v>
      </c>
      <c r="I76" s="100">
        <f t="shared" si="18"/>
        <v>15946.465854650954</v>
      </c>
      <c r="J76" s="100">
        <f t="shared" si="19"/>
        <v>192.44212523443548</v>
      </c>
      <c r="K76" s="100">
        <f t="shared" si="20"/>
        <v>5010.4231726037615</v>
      </c>
      <c r="L76" s="101">
        <f t="shared" si="21"/>
        <v>89910.925144525507</v>
      </c>
      <c r="M76" s="100">
        <f t="shared" si="22"/>
        <v>907805.14459046768</v>
      </c>
      <c r="N76" s="102">
        <f t="shared" si="23"/>
        <v>34867.304677771841</v>
      </c>
      <c r="O76" s="94">
        <f t="shared" si="24"/>
        <v>0.94630636472093299</v>
      </c>
      <c r="P76" s="100">
        <f>'Bef.fremskr. kommunenivå MMMM'!H71</f>
        <v>26036</v>
      </c>
      <c r="Q76" s="100"/>
      <c r="R76" s="100">
        <f t="shared" si="27"/>
        <v>0</v>
      </c>
      <c r="S76" s="100">
        <v>0</v>
      </c>
      <c r="U76" s="100">
        <v>29504.423666666669</v>
      </c>
      <c r="V76" s="5">
        <f t="shared" si="28"/>
        <v>788389.79577927548</v>
      </c>
      <c r="W76" s="5">
        <f t="shared" si="29"/>
        <v>30280.757250701929</v>
      </c>
    </row>
    <row r="77" spans="1:23" ht="13">
      <c r="A77" s="92">
        <v>1834</v>
      </c>
      <c r="B77" s="93" t="s">
        <v>640</v>
      </c>
      <c r="C77" s="574">
        <v>1.4638353582338361</v>
      </c>
      <c r="D77" s="100">
        <f t="shared" si="15"/>
        <v>53936.014103303904</v>
      </c>
      <c r="E77" s="100">
        <f t="shared" si="16"/>
        <v>102046.93868345098</v>
      </c>
      <c r="F77" s="100">
        <f t="shared" si="25"/>
        <v>-10252.335392406099</v>
      </c>
      <c r="G77" s="100">
        <f t="shared" si="17"/>
        <v>-19397.41856243234</v>
      </c>
      <c r="H77" s="100">
        <f t="shared" si="26"/>
        <v>0</v>
      </c>
      <c r="I77" s="100">
        <f t="shared" si="18"/>
        <v>0</v>
      </c>
      <c r="J77" s="100">
        <f t="shared" si="19"/>
        <v>-420.03543870207375</v>
      </c>
      <c r="K77" s="100">
        <f t="shared" si="20"/>
        <v>-794.70705002432351</v>
      </c>
      <c r="L77" s="101">
        <f t="shared" si="21"/>
        <v>-20192.125612456664</v>
      </c>
      <c r="M77" s="100">
        <f t="shared" si="22"/>
        <v>81854.813070994307</v>
      </c>
      <c r="N77" s="102">
        <f t="shared" si="23"/>
        <v>43263.643272195717</v>
      </c>
      <c r="O77" s="94">
        <f t="shared" si="24"/>
        <v>1.1741848521946334</v>
      </c>
      <c r="P77" s="100">
        <f>'Bef.fremskr. kommunenivå MMMM'!H72</f>
        <v>1892</v>
      </c>
      <c r="Q77" s="100"/>
      <c r="R77" s="100">
        <f t="shared" si="27"/>
        <v>0</v>
      </c>
      <c r="S77" s="100">
        <v>0</v>
      </c>
      <c r="U77" s="100">
        <v>0</v>
      </c>
      <c r="V77" s="5">
        <f t="shared" si="28"/>
        <v>102046.93868345098</v>
      </c>
      <c r="W77" s="5">
        <f t="shared" si="29"/>
        <v>53936.014103303904</v>
      </c>
    </row>
    <row r="78" spans="1:23" ht="13">
      <c r="A78" s="92">
        <v>1835</v>
      </c>
      <c r="B78" s="93" t="s">
        <v>641</v>
      </c>
      <c r="C78" s="574">
        <v>1.0064655315128734</v>
      </c>
      <c r="D78" s="100">
        <f t="shared" si="15"/>
        <v>37083.910288697945</v>
      </c>
      <c r="E78" s="100">
        <f t="shared" si="16"/>
        <v>17466.52174597673</v>
      </c>
      <c r="F78" s="100">
        <f t="shared" si="25"/>
        <v>-141.07310364252479</v>
      </c>
      <c r="G78" s="100">
        <f t="shared" si="17"/>
        <v>-66.445431815629163</v>
      </c>
      <c r="H78" s="100">
        <f t="shared" si="26"/>
        <v>0</v>
      </c>
      <c r="I78" s="100">
        <f t="shared" si="18"/>
        <v>0</v>
      </c>
      <c r="J78" s="100">
        <f t="shared" si="19"/>
        <v>-420.03543870207375</v>
      </c>
      <c r="K78" s="100">
        <f t="shared" si="20"/>
        <v>-197.83669162867673</v>
      </c>
      <c r="L78" s="101">
        <f t="shared" si="21"/>
        <v>-264.28212344430591</v>
      </c>
      <c r="M78" s="100">
        <f t="shared" si="22"/>
        <v>17202.239622532426</v>
      </c>
      <c r="N78" s="102">
        <f t="shared" si="23"/>
        <v>36522.801746353347</v>
      </c>
      <c r="O78" s="94">
        <f t="shared" si="24"/>
        <v>0.99123692150624854</v>
      </c>
      <c r="P78" s="100">
        <f>'Bef.fremskr. kommunenivå MMMM'!H73</f>
        <v>471</v>
      </c>
      <c r="Q78" s="100"/>
      <c r="R78" s="100">
        <f t="shared" si="27"/>
        <v>0</v>
      </c>
      <c r="S78" s="100">
        <v>0</v>
      </c>
      <c r="U78" s="100">
        <v>0</v>
      </c>
      <c r="V78" s="5">
        <f t="shared" si="28"/>
        <v>17466.52174597673</v>
      </c>
      <c r="W78" s="5">
        <f t="shared" si="29"/>
        <v>37083.910288697945</v>
      </c>
    </row>
    <row r="79" spans="1:23" ht="13">
      <c r="A79" s="92">
        <v>1836</v>
      </c>
      <c r="B79" s="93" t="s">
        <v>642</v>
      </c>
      <c r="C79" s="574">
        <v>1.0121637688575968</v>
      </c>
      <c r="D79" s="100">
        <f t="shared" si="15"/>
        <v>37293.865737622058</v>
      </c>
      <c r="E79" s="100">
        <f t="shared" si="16"/>
        <v>42291.243746463413</v>
      </c>
      <c r="F79" s="100">
        <f t="shared" si="25"/>
        <v>-267.04637299699243</v>
      </c>
      <c r="G79" s="100">
        <f t="shared" si="17"/>
        <v>-302.83058697858939</v>
      </c>
      <c r="H79" s="100">
        <f t="shared" si="26"/>
        <v>0</v>
      </c>
      <c r="I79" s="100">
        <f t="shared" si="18"/>
        <v>0</v>
      </c>
      <c r="J79" s="100">
        <f t="shared" si="19"/>
        <v>-420.03543870207375</v>
      </c>
      <c r="K79" s="100">
        <f t="shared" si="20"/>
        <v>-476.32018748815165</v>
      </c>
      <c r="L79" s="101">
        <f t="shared" si="21"/>
        <v>-779.15077446674104</v>
      </c>
      <c r="M79" s="100">
        <f t="shared" si="22"/>
        <v>41512.092971996673</v>
      </c>
      <c r="N79" s="102">
        <f t="shared" si="23"/>
        <v>36606.783925922995</v>
      </c>
      <c r="O79" s="94">
        <f t="shared" si="24"/>
        <v>0.9935162164441379</v>
      </c>
      <c r="P79" s="100">
        <f>'Bef.fremskr. kommunenivå MMMM'!H74</f>
        <v>1134</v>
      </c>
      <c r="Q79" s="100"/>
      <c r="R79" s="100">
        <f t="shared" si="27"/>
        <v>0</v>
      </c>
      <c r="S79" s="100">
        <v>0</v>
      </c>
      <c r="U79" s="100">
        <v>1077.7576666666666</v>
      </c>
      <c r="V79" s="5">
        <f t="shared" si="28"/>
        <v>41213.486079796749</v>
      </c>
      <c r="W79" s="5">
        <f t="shared" si="29"/>
        <v>36343.462151496249</v>
      </c>
    </row>
    <row r="80" spans="1:23" ht="13">
      <c r="A80" s="92">
        <v>1837</v>
      </c>
      <c r="B80" s="93" t="s">
        <v>643</v>
      </c>
      <c r="C80" s="574">
        <v>0.91796136419035201</v>
      </c>
      <c r="D80" s="100">
        <f t="shared" si="15"/>
        <v>33822.913763331773</v>
      </c>
      <c r="E80" s="100">
        <f t="shared" si="16"/>
        <v>208180.03421330705</v>
      </c>
      <c r="F80" s="100">
        <f t="shared" si="25"/>
        <v>1815.5248115771785</v>
      </c>
      <c r="G80" s="100">
        <f t="shared" si="17"/>
        <v>11174.555215257533</v>
      </c>
      <c r="H80" s="100">
        <f t="shared" si="26"/>
        <v>0</v>
      </c>
      <c r="I80" s="100">
        <f t="shared" si="18"/>
        <v>0</v>
      </c>
      <c r="J80" s="100">
        <f t="shared" si="19"/>
        <v>-420.03543870207375</v>
      </c>
      <c r="K80" s="100">
        <f t="shared" si="20"/>
        <v>-2585.318125211264</v>
      </c>
      <c r="L80" s="101">
        <f t="shared" si="21"/>
        <v>8589.2370900462683</v>
      </c>
      <c r="M80" s="100">
        <f t="shared" si="22"/>
        <v>216769.27130335334</v>
      </c>
      <c r="N80" s="102">
        <f t="shared" si="23"/>
        <v>35218.403136206878</v>
      </c>
      <c r="O80" s="94">
        <f t="shared" si="24"/>
        <v>0.95583525457723995</v>
      </c>
      <c r="P80" s="100">
        <f>'Bef.fremskr. kommunenivå MMMM'!H75</f>
        <v>6155</v>
      </c>
      <c r="Q80" s="100"/>
      <c r="R80" s="100">
        <f t="shared" si="27"/>
        <v>0</v>
      </c>
      <c r="S80" s="100">
        <v>0</v>
      </c>
      <c r="U80" s="100">
        <v>20925.335000000003</v>
      </c>
      <c r="V80" s="5">
        <f t="shared" si="28"/>
        <v>187254.69921330706</v>
      </c>
      <c r="W80" s="5">
        <f t="shared" si="29"/>
        <v>30423.184275110812</v>
      </c>
    </row>
    <row r="81" spans="1:23" ht="13">
      <c r="A81" s="92">
        <v>1838</v>
      </c>
      <c r="B81" s="93" t="s">
        <v>644</v>
      </c>
      <c r="C81" s="574">
        <v>0.96834688650577527</v>
      </c>
      <c r="D81" s="100">
        <f t="shared" si="15"/>
        <v>35679.402764585211</v>
      </c>
      <c r="E81" s="100">
        <f t="shared" si="16"/>
        <v>68397.415099709848</v>
      </c>
      <c r="F81" s="100">
        <f t="shared" si="25"/>
        <v>701.63141082511572</v>
      </c>
      <c r="G81" s="100">
        <f t="shared" si="17"/>
        <v>1345.0274145517467</v>
      </c>
      <c r="H81" s="100">
        <f t="shared" si="26"/>
        <v>0</v>
      </c>
      <c r="I81" s="100">
        <f t="shared" si="18"/>
        <v>0</v>
      </c>
      <c r="J81" s="100">
        <f t="shared" si="19"/>
        <v>-420.03543870207375</v>
      </c>
      <c r="K81" s="100">
        <f t="shared" si="20"/>
        <v>-805.20793599187539</v>
      </c>
      <c r="L81" s="101">
        <f t="shared" si="21"/>
        <v>539.8194785598713</v>
      </c>
      <c r="M81" s="100">
        <f t="shared" si="22"/>
        <v>68937.234578269723</v>
      </c>
      <c r="N81" s="102">
        <f t="shared" si="23"/>
        <v>35960.99873670825</v>
      </c>
      <c r="O81" s="94">
        <f t="shared" si="24"/>
        <v>0.97598946350340909</v>
      </c>
      <c r="P81" s="100">
        <f>'Bef.fremskr. kommunenivå MMMM'!H76</f>
        <v>1917</v>
      </c>
      <c r="Q81" s="100"/>
      <c r="R81" s="100">
        <f t="shared" si="27"/>
        <v>0</v>
      </c>
      <c r="S81" s="100">
        <v>0</v>
      </c>
      <c r="U81" s="100">
        <v>3557.0426666666667</v>
      </c>
      <c r="V81" s="5">
        <f t="shared" si="28"/>
        <v>64840.37243304318</v>
      </c>
      <c r="W81" s="5">
        <f t="shared" si="29"/>
        <v>33823.877116871772</v>
      </c>
    </row>
    <row r="82" spans="1:23" ht="13">
      <c r="A82" s="92">
        <v>1839</v>
      </c>
      <c r="B82" s="93" t="s">
        <v>645</v>
      </c>
      <c r="C82" s="574">
        <v>0.8228743611129069</v>
      </c>
      <c r="D82" s="100">
        <f t="shared" si="15"/>
        <v>30319.368156116892</v>
      </c>
      <c r="E82" s="100">
        <f t="shared" si="16"/>
        <v>30925.755519239232</v>
      </c>
      <c r="F82" s="100">
        <f t="shared" si="25"/>
        <v>3917.652175906107</v>
      </c>
      <c r="G82" s="100">
        <f t="shared" si="17"/>
        <v>3996.0052194242289</v>
      </c>
      <c r="H82" s="100">
        <f t="shared" si="26"/>
        <v>995.5895068866156</v>
      </c>
      <c r="I82" s="100">
        <f t="shared" si="18"/>
        <v>1015.501297024348</v>
      </c>
      <c r="J82" s="100">
        <f t="shared" si="19"/>
        <v>575.55406818454185</v>
      </c>
      <c r="K82" s="100">
        <f t="shared" si="20"/>
        <v>587.06514954823263</v>
      </c>
      <c r="L82" s="101">
        <f t="shared" si="21"/>
        <v>4583.0703689724614</v>
      </c>
      <c r="M82" s="100">
        <f t="shared" si="22"/>
        <v>35508.825888211693</v>
      </c>
      <c r="N82" s="102">
        <f t="shared" si="23"/>
        <v>34812.574400207537</v>
      </c>
      <c r="O82" s="94">
        <f t="shared" si="24"/>
        <v>0.94482097287660549</v>
      </c>
      <c r="P82" s="100">
        <f>'Bef.fremskr. kommunenivå MMMM'!H77</f>
        <v>1020</v>
      </c>
      <c r="Q82" s="100"/>
      <c r="R82" s="100">
        <f t="shared" si="27"/>
        <v>0</v>
      </c>
      <c r="S82" s="100">
        <v>0</v>
      </c>
      <c r="U82" s="100">
        <v>6980.3779999999997</v>
      </c>
      <c r="V82" s="5">
        <f t="shared" si="28"/>
        <v>23945.377519239231</v>
      </c>
      <c r="W82" s="5">
        <f t="shared" si="29"/>
        <v>23475.860312979639</v>
      </c>
    </row>
    <row r="83" spans="1:23" ht="13">
      <c r="A83" s="92">
        <v>1840</v>
      </c>
      <c r="B83" s="93" t="s">
        <v>646</v>
      </c>
      <c r="C83" s="574">
        <v>0.75845856257720523</v>
      </c>
      <c r="D83" s="100">
        <f t="shared" si="15"/>
        <v>27945.924039772359</v>
      </c>
      <c r="E83" s="100">
        <f t="shared" si="16"/>
        <v>128607.14243103239</v>
      </c>
      <c r="F83" s="100">
        <f t="shared" si="25"/>
        <v>5341.7186457128273</v>
      </c>
      <c r="G83" s="100">
        <f t="shared" si="17"/>
        <v>24582.589207570429</v>
      </c>
      <c r="H83" s="100">
        <f t="shared" si="26"/>
        <v>1826.2949476072024</v>
      </c>
      <c r="I83" s="100">
        <f t="shared" si="18"/>
        <v>8404.6093488883453</v>
      </c>
      <c r="J83" s="100">
        <f t="shared" si="19"/>
        <v>1406.2595089051288</v>
      </c>
      <c r="K83" s="100">
        <f t="shared" si="20"/>
        <v>6471.6062599814022</v>
      </c>
      <c r="L83" s="101">
        <f t="shared" si="21"/>
        <v>31054.195467551832</v>
      </c>
      <c r="M83" s="100">
        <f t="shared" si="22"/>
        <v>159661.3378985842</v>
      </c>
      <c r="N83" s="102">
        <f t="shared" si="23"/>
        <v>34693.902194390306</v>
      </c>
      <c r="O83" s="94">
        <f t="shared" si="24"/>
        <v>0.94160018294982029</v>
      </c>
      <c r="P83" s="100">
        <f>'Bef.fremskr. kommunenivå MMMM'!H78</f>
        <v>4602</v>
      </c>
      <c r="Q83" s="100"/>
      <c r="R83" s="100">
        <f t="shared" si="27"/>
        <v>0</v>
      </c>
      <c r="S83" s="100">
        <v>0</v>
      </c>
      <c r="U83" s="100">
        <v>648.86866666666674</v>
      </c>
      <c r="V83" s="5">
        <f t="shared" si="28"/>
        <v>127958.27376436573</v>
      </c>
      <c r="W83" s="5">
        <f t="shared" si="29"/>
        <v>27804.926937063392</v>
      </c>
    </row>
    <row r="84" spans="1:23" ht="13">
      <c r="A84" s="92">
        <v>1841</v>
      </c>
      <c r="B84" s="93" t="s">
        <v>647</v>
      </c>
      <c r="C84" s="574">
        <v>0.85013593368311469</v>
      </c>
      <c r="D84" s="100">
        <f t="shared" si="15"/>
        <v>31323.839426983741</v>
      </c>
      <c r="E84" s="100">
        <f t="shared" si="16"/>
        <v>299455.90492196457</v>
      </c>
      <c r="F84" s="100">
        <f t="shared" si="25"/>
        <v>3314.969413385998</v>
      </c>
      <c r="G84" s="100">
        <f t="shared" si="17"/>
        <v>31691.107591970143</v>
      </c>
      <c r="H84" s="100">
        <f t="shared" si="26"/>
        <v>644.02456208321871</v>
      </c>
      <c r="I84" s="100">
        <f t="shared" si="18"/>
        <v>6156.8748135155711</v>
      </c>
      <c r="J84" s="100">
        <f t="shared" si="19"/>
        <v>223.98912338114496</v>
      </c>
      <c r="K84" s="100">
        <f t="shared" si="20"/>
        <v>2141.336019523746</v>
      </c>
      <c r="L84" s="101">
        <f t="shared" si="21"/>
        <v>33832.443611493887</v>
      </c>
      <c r="M84" s="100">
        <f t="shared" si="22"/>
        <v>333288.34853345843</v>
      </c>
      <c r="N84" s="102">
        <f t="shared" si="23"/>
        <v>34862.797963750883</v>
      </c>
      <c r="O84" s="94">
        <f t="shared" si="24"/>
        <v>0.94618405150511598</v>
      </c>
      <c r="P84" s="100">
        <f>'Bef.fremskr. kommunenivå MMMM'!H79</f>
        <v>9560</v>
      </c>
      <c r="Q84" s="100"/>
      <c r="R84" s="100">
        <f t="shared" si="27"/>
        <v>0</v>
      </c>
      <c r="S84" s="100">
        <v>0</v>
      </c>
      <c r="U84" s="100">
        <v>12667.063</v>
      </c>
      <c r="V84" s="5">
        <f t="shared" si="28"/>
        <v>286788.84192196454</v>
      </c>
      <c r="W84" s="5">
        <f t="shared" si="29"/>
        <v>29998.832837025577</v>
      </c>
    </row>
    <row r="85" spans="1:23" ht="13">
      <c r="A85" s="92">
        <v>1845</v>
      </c>
      <c r="B85" s="93" t="s">
        <v>648</v>
      </c>
      <c r="C85" s="574">
        <v>1.0058190884824498</v>
      </c>
      <c r="D85" s="100">
        <f t="shared" si="15"/>
        <v>37060.091653487507</v>
      </c>
      <c r="E85" s="100">
        <f t="shared" si="16"/>
        <v>69080.010842100703</v>
      </c>
      <c r="F85" s="100">
        <f t="shared" si="25"/>
        <v>-126.78192251626169</v>
      </c>
      <c r="G85" s="100">
        <f t="shared" si="17"/>
        <v>-236.32150357031179</v>
      </c>
      <c r="H85" s="100">
        <f t="shared" si="26"/>
        <v>0</v>
      </c>
      <c r="I85" s="100">
        <f t="shared" si="18"/>
        <v>0</v>
      </c>
      <c r="J85" s="100">
        <f t="shared" si="19"/>
        <v>-420.03543870207375</v>
      </c>
      <c r="K85" s="100">
        <f t="shared" si="20"/>
        <v>-782.94605774066554</v>
      </c>
      <c r="L85" s="101">
        <f t="shared" si="21"/>
        <v>-1019.2675613109773</v>
      </c>
      <c r="M85" s="100">
        <f t="shared" si="22"/>
        <v>68060.743280789713</v>
      </c>
      <c r="N85" s="102">
        <f t="shared" si="23"/>
        <v>36513.274292269161</v>
      </c>
      <c r="O85" s="94">
        <f t="shared" si="24"/>
        <v>0.99097834429407872</v>
      </c>
      <c r="P85" s="100">
        <f>'Bef.fremskr. kommunenivå MMMM'!H80</f>
        <v>1864</v>
      </c>
      <c r="Q85" s="100"/>
      <c r="R85" s="100">
        <f t="shared" si="27"/>
        <v>0</v>
      </c>
      <c r="S85" s="100">
        <v>0</v>
      </c>
      <c r="U85" s="100">
        <v>15455.066666666666</v>
      </c>
      <c r="V85" s="5">
        <f t="shared" si="28"/>
        <v>53624.944175434037</v>
      </c>
      <c r="W85" s="5">
        <f t="shared" si="29"/>
        <v>28768.746875232853</v>
      </c>
    </row>
    <row r="86" spans="1:23" ht="13">
      <c r="A86" s="92">
        <v>1848</v>
      </c>
      <c r="B86" s="93" t="s">
        <v>649</v>
      </c>
      <c r="C86" s="574">
        <v>0.9217021120323875</v>
      </c>
      <c r="D86" s="100">
        <f t="shared" si="15"/>
        <v>33960.744173855783</v>
      </c>
      <c r="E86" s="100">
        <f t="shared" si="16"/>
        <v>89384.678665588421</v>
      </c>
      <c r="F86" s="100">
        <f t="shared" si="25"/>
        <v>1732.8265652627726</v>
      </c>
      <c r="G86" s="100">
        <f t="shared" si="17"/>
        <v>4560.7995197716182</v>
      </c>
      <c r="H86" s="100">
        <f t="shared" si="26"/>
        <v>0</v>
      </c>
      <c r="I86" s="100">
        <f t="shared" si="18"/>
        <v>0</v>
      </c>
      <c r="J86" s="100">
        <f t="shared" si="19"/>
        <v>-420.03543870207375</v>
      </c>
      <c r="K86" s="100">
        <f t="shared" si="20"/>
        <v>-1105.533274663858</v>
      </c>
      <c r="L86" s="101">
        <f t="shared" si="21"/>
        <v>3455.2662451077604</v>
      </c>
      <c r="M86" s="100">
        <f t="shared" si="22"/>
        <v>92839.944910696184</v>
      </c>
      <c r="N86" s="102">
        <f t="shared" si="23"/>
        <v>35273.535300416479</v>
      </c>
      <c r="O86" s="94">
        <f t="shared" si="24"/>
        <v>0.95733155371405398</v>
      </c>
      <c r="P86" s="100">
        <f>'Bef.fremskr. kommunenivå MMMM'!H81</f>
        <v>2632</v>
      </c>
      <c r="Q86" s="100"/>
      <c r="R86" s="100">
        <f t="shared" si="27"/>
        <v>0</v>
      </c>
      <c r="S86" s="100">
        <v>0</v>
      </c>
      <c r="U86" s="100">
        <v>64.333333333333329</v>
      </c>
      <c r="V86" s="5">
        <f t="shared" si="28"/>
        <v>89320.345332255092</v>
      </c>
      <c r="W86" s="5">
        <f t="shared" si="29"/>
        <v>33936.301418030052</v>
      </c>
    </row>
    <row r="87" spans="1:23" ht="13">
      <c r="A87" s="92">
        <v>1851</v>
      </c>
      <c r="B87" s="93" t="s">
        <v>651</v>
      </c>
      <c r="C87" s="574">
        <v>0.86369206757112316</v>
      </c>
      <c r="D87" s="100">
        <f t="shared" si="15"/>
        <v>31823.324443831585</v>
      </c>
      <c r="E87" s="100">
        <f t="shared" si="16"/>
        <v>62978.359074342705</v>
      </c>
      <c r="F87" s="100">
        <f t="shared" si="25"/>
        <v>3015.2784032772911</v>
      </c>
      <c r="G87" s="100">
        <f t="shared" si="17"/>
        <v>5967.235960085759</v>
      </c>
      <c r="H87" s="100">
        <f t="shared" si="26"/>
        <v>469.20480618647321</v>
      </c>
      <c r="I87" s="100">
        <f t="shared" si="18"/>
        <v>928.55631144303049</v>
      </c>
      <c r="J87" s="100">
        <f t="shared" si="19"/>
        <v>49.169367484399459</v>
      </c>
      <c r="K87" s="100">
        <f t="shared" si="20"/>
        <v>97.30617825162652</v>
      </c>
      <c r="L87" s="101">
        <f t="shared" si="21"/>
        <v>6064.542138337385</v>
      </c>
      <c r="M87" s="100">
        <f t="shared" si="22"/>
        <v>69042.901212680081</v>
      </c>
      <c r="N87" s="102">
        <f t="shared" si="23"/>
        <v>34887.772214593271</v>
      </c>
      <c r="O87" s="94">
        <f t="shared" si="24"/>
        <v>0.94686185819951629</v>
      </c>
      <c r="P87" s="100">
        <f>'Bef.fremskr. kommunenivå MMMM'!H82</f>
        <v>1979</v>
      </c>
      <c r="Q87" s="100"/>
      <c r="R87" s="100">
        <f t="shared" si="27"/>
        <v>0</v>
      </c>
      <c r="S87" s="100">
        <v>0</v>
      </c>
      <c r="U87" s="100">
        <v>0</v>
      </c>
      <c r="V87" s="5">
        <f t="shared" si="28"/>
        <v>62978.359074342705</v>
      </c>
      <c r="W87" s="5">
        <f t="shared" si="29"/>
        <v>31823.324443831585</v>
      </c>
    </row>
    <row r="88" spans="1:23" ht="13">
      <c r="A88" s="92">
        <v>1853</v>
      </c>
      <c r="B88" s="93" t="s">
        <v>653</v>
      </c>
      <c r="C88" s="574">
        <v>0.71503967747248343</v>
      </c>
      <c r="D88" s="100">
        <f t="shared" si="15"/>
        <v>26346.125547281023</v>
      </c>
      <c r="E88" s="100">
        <f t="shared" si="16"/>
        <v>36067.845874227714</v>
      </c>
      <c r="F88" s="100">
        <f t="shared" si="25"/>
        <v>6301.597741207629</v>
      </c>
      <c r="G88" s="100">
        <f t="shared" si="17"/>
        <v>8626.8873077132448</v>
      </c>
      <c r="H88" s="100">
        <f t="shared" si="26"/>
        <v>2386.2244199791699</v>
      </c>
      <c r="I88" s="100">
        <f t="shared" si="18"/>
        <v>3266.7412309514834</v>
      </c>
      <c r="J88" s="100">
        <f t="shared" si="19"/>
        <v>1966.188981277096</v>
      </c>
      <c r="K88" s="100">
        <f t="shared" si="20"/>
        <v>2691.7127153683446</v>
      </c>
      <c r="L88" s="101">
        <f t="shared" si="21"/>
        <v>11318.60002308159</v>
      </c>
      <c r="M88" s="100">
        <f t="shared" si="22"/>
        <v>47386.445897309306</v>
      </c>
      <c r="N88" s="102">
        <f t="shared" si="23"/>
        <v>34613.912269765744</v>
      </c>
      <c r="O88" s="94">
        <f t="shared" si="24"/>
        <v>0.93942923869458428</v>
      </c>
      <c r="P88" s="100">
        <f>'Bef.fremskr. kommunenivå MMMM'!H83</f>
        <v>1369</v>
      </c>
      <c r="Q88" s="100"/>
      <c r="R88" s="100">
        <f t="shared" si="27"/>
        <v>0</v>
      </c>
      <c r="S88" s="100">
        <v>0</v>
      </c>
      <c r="U88" s="100">
        <v>770.24800000000005</v>
      </c>
      <c r="V88" s="5">
        <f t="shared" si="28"/>
        <v>35297.597874227715</v>
      </c>
      <c r="W88" s="5">
        <f t="shared" si="29"/>
        <v>25783.490046915791</v>
      </c>
    </row>
    <row r="89" spans="1:23" ht="13">
      <c r="A89" s="92">
        <v>1856</v>
      </c>
      <c r="B89" s="93" t="s">
        <v>654</v>
      </c>
      <c r="C89" s="574">
        <v>1.1337306679429771</v>
      </c>
      <c r="D89" s="100">
        <f t="shared" si="15"/>
        <v>41773.081208598946</v>
      </c>
      <c r="E89" s="100">
        <f t="shared" si="16"/>
        <v>19257.390437164115</v>
      </c>
      <c r="F89" s="100">
        <f t="shared" si="25"/>
        <v>-2954.5756555831249</v>
      </c>
      <c r="G89" s="100">
        <f t="shared" si="17"/>
        <v>-1362.0593772238205</v>
      </c>
      <c r="H89" s="100">
        <f t="shared" si="26"/>
        <v>0</v>
      </c>
      <c r="I89" s="100">
        <f t="shared" si="18"/>
        <v>0</v>
      </c>
      <c r="J89" s="100">
        <f t="shared" si="19"/>
        <v>-420.03543870207375</v>
      </c>
      <c r="K89" s="100">
        <f t="shared" si="20"/>
        <v>-193.63633724165601</v>
      </c>
      <c r="L89" s="101">
        <f t="shared" si="21"/>
        <v>-1555.6957144654766</v>
      </c>
      <c r="M89" s="100">
        <f t="shared" si="22"/>
        <v>17701.694722698638</v>
      </c>
      <c r="N89" s="102">
        <f t="shared" si="23"/>
        <v>38398.470114313743</v>
      </c>
      <c r="O89" s="94">
        <f t="shared" si="24"/>
        <v>1.0421429760782899</v>
      </c>
      <c r="P89" s="100">
        <f>'Bef.fremskr. kommunenivå MMMM'!H84</f>
        <v>461</v>
      </c>
      <c r="Q89" s="100"/>
      <c r="R89" s="100">
        <f t="shared" si="27"/>
        <v>0</v>
      </c>
      <c r="S89" s="100">
        <v>0</v>
      </c>
      <c r="U89" s="100">
        <v>0</v>
      </c>
      <c r="V89" s="5">
        <f t="shared" si="28"/>
        <v>19257.390437164115</v>
      </c>
      <c r="W89" s="5">
        <f t="shared" si="29"/>
        <v>41773.081208598946</v>
      </c>
    </row>
    <row r="90" spans="1:23" ht="13">
      <c r="A90" s="92">
        <v>1857</v>
      </c>
      <c r="B90" s="93" t="s">
        <v>655</v>
      </c>
      <c r="C90" s="574">
        <v>1.0249163901372778</v>
      </c>
      <c r="D90" s="100">
        <f t="shared" si="15"/>
        <v>37763.744783326249</v>
      </c>
      <c r="E90" s="100">
        <f t="shared" si="16"/>
        <v>25528.291473528545</v>
      </c>
      <c r="F90" s="100">
        <f t="shared" si="25"/>
        <v>-548.97380041950669</v>
      </c>
      <c r="G90" s="100">
        <f t="shared" si="17"/>
        <v>-371.10628908358655</v>
      </c>
      <c r="H90" s="100">
        <f t="shared" si="26"/>
        <v>0</v>
      </c>
      <c r="I90" s="100">
        <f t="shared" si="18"/>
        <v>0</v>
      </c>
      <c r="J90" s="100">
        <f t="shared" si="19"/>
        <v>-420.03543870207375</v>
      </c>
      <c r="K90" s="100">
        <f t="shared" si="20"/>
        <v>-283.94395656260184</v>
      </c>
      <c r="L90" s="101">
        <f t="shared" si="21"/>
        <v>-655.05024564618839</v>
      </c>
      <c r="M90" s="100">
        <f t="shared" si="22"/>
        <v>24873.241227882358</v>
      </c>
      <c r="N90" s="102">
        <f t="shared" si="23"/>
        <v>36794.735544204676</v>
      </c>
      <c r="O90" s="94">
        <f t="shared" si="24"/>
        <v>0.99861726495601044</v>
      </c>
      <c r="P90" s="100">
        <f>'Bef.fremskr. kommunenivå MMMM'!H85</f>
        <v>676</v>
      </c>
      <c r="Q90" s="100"/>
      <c r="R90" s="100">
        <f t="shared" si="27"/>
        <v>0</v>
      </c>
      <c r="S90" s="100">
        <v>0</v>
      </c>
      <c r="U90" s="100">
        <v>0</v>
      </c>
      <c r="V90" s="5">
        <f t="shared" si="28"/>
        <v>25528.291473528545</v>
      </c>
      <c r="W90" s="5">
        <f t="shared" si="29"/>
        <v>37763.744783326249</v>
      </c>
    </row>
    <row r="91" spans="1:23" ht="13">
      <c r="A91" s="92">
        <v>1859</v>
      </c>
      <c r="B91" s="93" t="s">
        <v>656</v>
      </c>
      <c r="C91" s="574">
        <v>0.96562988227318436</v>
      </c>
      <c r="D91" s="100">
        <f t="shared" si="15"/>
        <v>35579.29288693847</v>
      </c>
      <c r="E91" s="100">
        <f t="shared" si="16"/>
        <v>43620.213079386565</v>
      </c>
      <c r="F91" s="100">
        <f t="shared" si="25"/>
        <v>761.69733741316008</v>
      </c>
      <c r="G91" s="100">
        <f t="shared" si="17"/>
        <v>933.84093566853426</v>
      </c>
      <c r="H91" s="100">
        <f t="shared" si="26"/>
        <v>0</v>
      </c>
      <c r="I91" s="100">
        <f t="shared" si="18"/>
        <v>0</v>
      </c>
      <c r="J91" s="100">
        <f t="shared" si="19"/>
        <v>-420.03543870207375</v>
      </c>
      <c r="K91" s="100">
        <f t="shared" si="20"/>
        <v>-514.96344784874248</v>
      </c>
      <c r="L91" s="101">
        <f t="shared" si="21"/>
        <v>418.87748781979178</v>
      </c>
      <c r="M91" s="100">
        <f t="shared" si="22"/>
        <v>44039.09056720636</v>
      </c>
      <c r="N91" s="102">
        <f t="shared" si="23"/>
        <v>35920.954785649563</v>
      </c>
      <c r="O91" s="94">
        <f t="shared" si="24"/>
        <v>0.97490266181037299</v>
      </c>
      <c r="P91" s="100">
        <f>'Bef.fremskr. kommunenivå MMMM'!H86</f>
        <v>1226</v>
      </c>
      <c r="Q91" s="100"/>
      <c r="R91" s="100">
        <f t="shared" si="27"/>
        <v>0</v>
      </c>
      <c r="S91" s="100">
        <v>0</v>
      </c>
      <c r="U91" s="100">
        <v>0</v>
      </c>
      <c r="V91" s="5">
        <f t="shared" si="28"/>
        <v>43620.213079386565</v>
      </c>
      <c r="W91" s="5">
        <f t="shared" si="29"/>
        <v>35579.29288693847</v>
      </c>
    </row>
    <row r="92" spans="1:23" ht="13">
      <c r="A92" s="92">
        <v>1860</v>
      </c>
      <c r="B92" s="93" t="s">
        <v>657</v>
      </c>
      <c r="C92" s="574">
        <v>0.80760722532254858</v>
      </c>
      <c r="D92" s="100">
        <f t="shared" si="15"/>
        <v>29756.840104943611</v>
      </c>
      <c r="E92" s="100">
        <f t="shared" si="16"/>
        <v>345268.61573766073</v>
      </c>
      <c r="F92" s="100">
        <f t="shared" si="25"/>
        <v>4255.1690066100755</v>
      </c>
      <c r="G92" s="100">
        <f t="shared" si="17"/>
        <v>49372.725983696706</v>
      </c>
      <c r="H92" s="100">
        <f t="shared" si="26"/>
        <v>1192.4743247972642</v>
      </c>
      <c r="I92" s="100">
        <f t="shared" si="18"/>
        <v>13836.279590622657</v>
      </c>
      <c r="J92" s="100">
        <f t="shared" si="19"/>
        <v>772.43888609519047</v>
      </c>
      <c r="K92" s="100">
        <f t="shared" si="20"/>
        <v>8962.6083953624948</v>
      </c>
      <c r="L92" s="101">
        <f t="shared" si="21"/>
        <v>58335.334379059204</v>
      </c>
      <c r="M92" s="100">
        <f t="shared" si="22"/>
        <v>403603.95011671993</v>
      </c>
      <c r="N92" s="102">
        <f t="shared" si="23"/>
        <v>34784.44799764888</v>
      </c>
      <c r="O92" s="94">
        <f t="shared" si="24"/>
        <v>0.94405761608708771</v>
      </c>
      <c r="P92" s="100">
        <f>'Bef.fremskr. kommunenivå MMMM'!H87</f>
        <v>11603</v>
      </c>
      <c r="Q92" s="100"/>
      <c r="R92" s="100">
        <f t="shared" si="27"/>
        <v>0</v>
      </c>
      <c r="S92" s="100">
        <v>0</v>
      </c>
      <c r="U92" s="100">
        <v>0</v>
      </c>
      <c r="V92" s="5">
        <f t="shared" si="28"/>
        <v>345268.61573766073</v>
      </c>
      <c r="W92" s="5">
        <f t="shared" si="29"/>
        <v>29756.840104943611</v>
      </c>
    </row>
    <row r="93" spans="1:23" ht="13">
      <c r="A93" s="92">
        <v>1865</v>
      </c>
      <c r="B93" s="93" t="s">
        <v>658</v>
      </c>
      <c r="C93" s="574">
        <v>0.90247763187667873</v>
      </c>
      <c r="D93" s="100">
        <f t="shared" si="15"/>
        <v>33252.405065243162</v>
      </c>
      <c r="E93" s="100">
        <f t="shared" si="16"/>
        <v>327536.18989264511</v>
      </c>
      <c r="F93" s="100">
        <f t="shared" si="25"/>
        <v>2157.8300304303452</v>
      </c>
      <c r="G93" s="100">
        <f t="shared" si="17"/>
        <v>21254.6257997389</v>
      </c>
      <c r="H93" s="100">
        <f t="shared" si="26"/>
        <v>0</v>
      </c>
      <c r="I93" s="100">
        <f t="shared" si="18"/>
        <v>0</v>
      </c>
      <c r="J93" s="100">
        <f t="shared" si="19"/>
        <v>-420.03543870207375</v>
      </c>
      <c r="K93" s="100">
        <f t="shared" si="20"/>
        <v>-4137.3490712154262</v>
      </c>
      <c r="L93" s="101">
        <f t="shared" si="21"/>
        <v>17117.276728523473</v>
      </c>
      <c r="M93" s="100">
        <f t="shared" si="22"/>
        <v>344653.4666211686</v>
      </c>
      <c r="N93" s="102">
        <f t="shared" si="23"/>
        <v>34990.199656971432</v>
      </c>
      <c r="O93" s="94">
        <f t="shared" si="24"/>
        <v>0.9496417616517705</v>
      </c>
      <c r="P93" s="100">
        <f>'Bef.fremskr. kommunenivå MMMM'!H88</f>
        <v>9850</v>
      </c>
      <c r="Q93" s="100"/>
      <c r="R93" s="100">
        <f t="shared" si="27"/>
        <v>0</v>
      </c>
      <c r="S93" s="100">
        <v>0</v>
      </c>
      <c r="U93" s="100">
        <v>0</v>
      </c>
      <c r="V93" s="5">
        <f t="shared" si="28"/>
        <v>327536.18989264511</v>
      </c>
      <c r="W93" s="5">
        <f t="shared" si="29"/>
        <v>33252.405065243162</v>
      </c>
    </row>
    <row r="94" spans="1:23" ht="13">
      <c r="A94" s="92">
        <v>1866</v>
      </c>
      <c r="B94" s="93" t="s">
        <v>659</v>
      </c>
      <c r="C94" s="574">
        <v>0.88668991053167034</v>
      </c>
      <c r="D94" s="100">
        <f t="shared" si="15"/>
        <v>32670.695683560512</v>
      </c>
      <c r="E94" s="100">
        <f t="shared" si="16"/>
        <v>266625.54747353733</v>
      </c>
      <c r="F94" s="100">
        <f t="shared" si="25"/>
        <v>2506.8556594399347</v>
      </c>
      <c r="G94" s="100">
        <f t="shared" si="17"/>
        <v>20458.449036689308</v>
      </c>
      <c r="H94" s="100">
        <f t="shared" si="26"/>
        <v>172.62487228134867</v>
      </c>
      <c r="I94" s="100">
        <f t="shared" si="18"/>
        <v>1408.7915826880865</v>
      </c>
      <c r="J94" s="100">
        <f t="shared" si="19"/>
        <v>-247.41056642072508</v>
      </c>
      <c r="K94" s="100">
        <f t="shared" si="20"/>
        <v>-2019.1176325595375</v>
      </c>
      <c r="L94" s="101">
        <f t="shared" si="21"/>
        <v>18439.331404129771</v>
      </c>
      <c r="M94" s="100">
        <f t="shared" si="22"/>
        <v>285064.87887766707</v>
      </c>
      <c r="N94" s="102">
        <f t="shared" si="23"/>
        <v>34930.140776579719</v>
      </c>
      <c r="O94" s="94">
        <f t="shared" si="24"/>
        <v>0.9480117503475437</v>
      </c>
      <c r="P94" s="100">
        <f>'Bef.fremskr. kommunenivå MMMM'!H89</f>
        <v>8161</v>
      </c>
      <c r="Q94" s="100"/>
      <c r="R94" s="100">
        <f t="shared" si="27"/>
        <v>0</v>
      </c>
      <c r="S94" s="100">
        <v>0</v>
      </c>
      <c r="U94" s="100">
        <v>0</v>
      </c>
      <c r="V94" s="5">
        <f t="shared" si="28"/>
        <v>266625.54747353733</v>
      </c>
      <c r="W94" s="5">
        <f t="shared" si="29"/>
        <v>32670.695683560509</v>
      </c>
    </row>
    <row r="95" spans="1:23" ht="13">
      <c r="A95" s="92">
        <v>1867</v>
      </c>
      <c r="B95" s="93" t="s">
        <v>474</v>
      </c>
      <c r="C95" s="574">
        <v>0.8924307099185802</v>
      </c>
      <c r="D95" s="100">
        <f t="shared" si="15"/>
        <v>32882.219360014256</v>
      </c>
      <c r="E95" s="100">
        <f t="shared" si="16"/>
        <v>84342.892658436569</v>
      </c>
      <c r="F95" s="100">
        <f t="shared" si="25"/>
        <v>-1596.6667335668144</v>
      </c>
      <c r="G95" s="100">
        <f t="shared" si="17"/>
        <v>-4095.450171598879</v>
      </c>
      <c r="H95" s="100">
        <f t="shared" si="26"/>
        <v>0</v>
      </c>
      <c r="I95" s="100">
        <f t="shared" si="18"/>
        <v>0</v>
      </c>
      <c r="J95" s="100">
        <f t="shared" si="19"/>
        <v>-420.03543870207375</v>
      </c>
      <c r="K95" s="100">
        <f t="shared" si="20"/>
        <v>-1077.3909002708192</v>
      </c>
      <c r="L95" s="101">
        <f>K95+G95</f>
        <v>-5172.8410718696978</v>
      </c>
      <c r="M95" s="100">
        <f t="shared" si="22"/>
        <v>79170.051586566871</v>
      </c>
      <c r="N95" s="102">
        <f>M95*1000/P95</f>
        <v>30865.517187745365</v>
      </c>
      <c r="O95" s="94">
        <f>N95/N$367</f>
        <v>0.83769696668831561</v>
      </c>
      <c r="P95" s="100">
        <f>'Bef.fremskr. kommunenivå MMMM'!H90</f>
        <v>2565</v>
      </c>
      <c r="Q95" s="100"/>
      <c r="R95" s="100">
        <f t="shared" si="27"/>
        <v>6627.6803118908383</v>
      </c>
      <c r="S95" s="100">
        <f>ROUNDDOWN(15000*1.025*1.15,-3)</f>
        <v>17000</v>
      </c>
      <c r="U95" s="100">
        <v>0</v>
      </c>
      <c r="V95" s="5">
        <f t="shared" si="28"/>
        <v>84342.892658436569</v>
      </c>
      <c r="W95" s="5">
        <f t="shared" si="29"/>
        <v>32882.219360014256</v>
      </c>
    </row>
    <row r="96" spans="1:23" ht="13">
      <c r="A96" s="92">
        <v>1868</v>
      </c>
      <c r="B96" s="93" t="s">
        <v>660</v>
      </c>
      <c r="C96" s="574">
        <v>0.8972625195527737</v>
      </c>
      <c r="D96" s="100">
        <f t="shared" si="15"/>
        <v>33060.250687860287</v>
      </c>
      <c r="E96" s="100">
        <f t="shared" si="16"/>
        <v>149068.67035156203</v>
      </c>
      <c r="F96" s="100">
        <f t="shared" si="25"/>
        <v>2273.12265686007</v>
      </c>
      <c r="G96" s="100">
        <f t="shared" si="17"/>
        <v>10249.510059782056</v>
      </c>
      <c r="H96" s="100">
        <f t="shared" si="26"/>
        <v>36.280620776427526</v>
      </c>
      <c r="I96" s="100">
        <f t="shared" si="18"/>
        <v>163.58931908091174</v>
      </c>
      <c r="J96" s="100">
        <f t="shared" si="19"/>
        <v>-383.75481792564619</v>
      </c>
      <c r="K96" s="100">
        <f t="shared" si="20"/>
        <v>-1730.3504740267388</v>
      </c>
      <c r="L96" s="101">
        <f t="shared" si="21"/>
        <v>8519.1595857553184</v>
      </c>
      <c r="M96" s="100">
        <f t="shared" si="22"/>
        <v>157587.82993731735</v>
      </c>
      <c r="N96" s="102">
        <f t="shared" si="23"/>
        <v>34949.618526794708</v>
      </c>
      <c r="O96" s="94">
        <f t="shared" si="24"/>
        <v>0.94854038079859881</v>
      </c>
      <c r="P96" s="100">
        <f>'Bef.fremskr. kommunenivå MMMM'!H91</f>
        <v>4509</v>
      </c>
      <c r="Q96" s="100"/>
      <c r="R96" s="100">
        <f t="shared" si="27"/>
        <v>0</v>
      </c>
      <c r="S96" s="100">
        <v>0</v>
      </c>
      <c r="U96" s="100">
        <v>0</v>
      </c>
      <c r="V96" s="5">
        <f t="shared" si="28"/>
        <v>149068.67035156203</v>
      </c>
      <c r="W96" s="5">
        <f t="shared" si="29"/>
        <v>33060.250687860287</v>
      </c>
    </row>
    <row r="97" spans="1:23" ht="13">
      <c r="A97" s="92">
        <v>1870</v>
      </c>
      <c r="B97" s="93" t="s">
        <v>661</v>
      </c>
      <c r="C97" s="574">
        <v>0.86530586090974038</v>
      </c>
      <c r="D97" s="100">
        <f t="shared" si="15"/>
        <v>31882.785762197673</v>
      </c>
      <c r="E97" s="100">
        <f t="shared" si="16"/>
        <v>333430.17350106331</v>
      </c>
      <c r="F97" s="100">
        <f t="shared" si="25"/>
        <v>2979.6016122576389</v>
      </c>
      <c r="G97" s="100">
        <f t="shared" si="17"/>
        <v>31160.673660990386</v>
      </c>
      <c r="H97" s="100">
        <f t="shared" si="26"/>
        <v>448.39334475834255</v>
      </c>
      <c r="I97" s="100">
        <f t="shared" si="18"/>
        <v>4689.2975994827466</v>
      </c>
      <c r="J97" s="100">
        <f t="shared" si="19"/>
        <v>28.357906056268803</v>
      </c>
      <c r="K97" s="100">
        <f t="shared" si="20"/>
        <v>296.56698153645914</v>
      </c>
      <c r="L97" s="101">
        <f t="shared" si="21"/>
        <v>31457.240642526845</v>
      </c>
      <c r="M97" s="100">
        <f t="shared" si="22"/>
        <v>364887.41414359014</v>
      </c>
      <c r="N97" s="102">
        <f t="shared" si="23"/>
        <v>34890.745280511583</v>
      </c>
      <c r="O97" s="94">
        <f t="shared" si="24"/>
        <v>0.94694254786644727</v>
      </c>
      <c r="P97" s="100">
        <f>'Bef.fremskr. kommunenivå MMMM'!H92</f>
        <v>10458</v>
      </c>
      <c r="Q97" s="100"/>
      <c r="R97" s="100">
        <f t="shared" si="27"/>
        <v>0</v>
      </c>
      <c r="S97" s="100">
        <v>0</v>
      </c>
      <c r="U97" s="100">
        <v>0</v>
      </c>
      <c r="V97" s="5">
        <f t="shared" si="28"/>
        <v>333430.17350106331</v>
      </c>
      <c r="W97" s="5">
        <f t="shared" si="29"/>
        <v>31882.785762197676</v>
      </c>
    </row>
    <row r="98" spans="1:23" ht="13">
      <c r="A98" s="92">
        <v>1871</v>
      </c>
      <c r="B98" s="93" t="s">
        <v>662</v>
      </c>
      <c r="C98" s="574">
        <v>0.83464907453820592</v>
      </c>
      <c r="D98" s="100">
        <f t="shared" si="15"/>
        <v>30753.215518661498</v>
      </c>
      <c r="E98" s="100">
        <f t="shared" si="16"/>
        <v>141403.2849548056</v>
      </c>
      <c r="F98" s="100">
        <f t="shared" si="25"/>
        <v>3657.3437583793434</v>
      </c>
      <c r="G98" s="100">
        <f t="shared" si="17"/>
        <v>16816.466601028224</v>
      </c>
      <c r="H98" s="100">
        <f t="shared" si="26"/>
        <v>843.74292999600357</v>
      </c>
      <c r="I98" s="100">
        <f t="shared" si="18"/>
        <v>3879.5299921216242</v>
      </c>
      <c r="J98" s="100">
        <f t="shared" si="19"/>
        <v>423.70749129392982</v>
      </c>
      <c r="K98" s="100">
        <f t="shared" si="20"/>
        <v>1948.2070449694893</v>
      </c>
      <c r="L98" s="101">
        <f t="shared" si="21"/>
        <v>18764.673645997711</v>
      </c>
      <c r="M98" s="100">
        <f t="shared" si="22"/>
        <v>160167.95860080331</v>
      </c>
      <c r="N98" s="102">
        <f t="shared" si="23"/>
        <v>34834.266768334783</v>
      </c>
      <c r="O98" s="94">
        <f t="shared" si="24"/>
        <v>0.94540970854787088</v>
      </c>
      <c r="P98" s="100">
        <f>'Bef.fremskr. kommunenivå MMMM'!H93</f>
        <v>4598</v>
      </c>
      <c r="Q98" s="100"/>
      <c r="R98" s="100">
        <f t="shared" si="27"/>
        <v>0</v>
      </c>
      <c r="S98" s="100">
        <v>0</v>
      </c>
      <c r="U98" s="100">
        <v>0</v>
      </c>
      <c r="V98" s="5">
        <f t="shared" si="28"/>
        <v>141403.2849548056</v>
      </c>
      <c r="W98" s="5">
        <f t="shared" si="29"/>
        <v>30753.215518661502</v>
      </c>
    </row>
    <row r="99" spans="1:23" ht="13">
      <c r="A99" s="92">
        <v>1874</v>
      </c>
      <c r="B99" s="93" t="s">
        <v>663</v>
      </c>
      <c r="C99" s="574">
        <v>0.9843289246386322</v>
      </c>
      <c r="D99" s="100">
        <f t="shared" si="15"/>
        <v>36268.271881104811</v>
      </c>
      <c r="E99" s="100">
        <f t="shared" si="16"/>
        <v>36848.564231202494</v>
      </c>
      <c r="F99" s="100">
        <f t="shared" si="25"/>
        <v>348.30994091335594</v>
      </c>
      <c r="G99" s="100">
        <f t="shared" si="17"/>
        <v>353.88289996796965</v>
      </c>
      <c r="H99" s="100">
        <f t="shared" si="26"/>
        <v>0</v>
      </c>
      <c r="I99" s="100">
        <f t="shared" si="18"/>
        <v>0</v>
      </c>
      <c r="J99" s="100">
        <f t="shared" si="19"/>
        <v>-420.03543870207375</v>
      </c>
      <c r="K99" s="100">
        <f t="shared" si="20"/>
        <v>-426.75600572130696</v>
      </c>
      <c r="L99" s="101">
        <f t="shared" si="21"/>
        <v>-72.873105753337313</v>
      </c>
      <c r="M99" s="100">
        <f t="shared" si="22"/>
        <v>36775.691125449157</v>
      </c>
      <c r="N99" s="102">
        <f t="shared" si="23"/>
        <v>36196.546383316097</v>
      </c>
      <c r="O99" s="94">
        <f t="shared" si="24"/>
        <v>0.98238227875655204</v>
      </c>
      <c r="P99" s="100">
        <f>'Bef.fremskr. kommunenivå MMMM'!H94</f>
        <v>1016</v>
      </c>
      <c r="Q99" s="100"/>
      <c r="R99" s="100">
        <f t="shared" si="27"/>
        <v>0</v>
      </c>
      <c r="S99" s="100">
        <v>0</v>
      </c>
      <c r="U99" s="100">
        <v>0</v>
      </c>
      <c r="V99" s="5">
        <f t="shared" si="28"/>
        <v>36848.564231202494</v>
      </c>
      <c r="W99" s="5">
        <f t="shared" si="29"/>
        <v>36268.271881104811</v>
      </c>
    </row>
    <row r="100" spans="1:23" ht="13">
      <c r="A100" s="92">
        <v>1875</v>
      </c>
      <c r="B100" s="93" t="s">
        <v>650</v>
      </c>
      <c r="C100" s="574">
        <v>0.96922509329811135</v>
      </c>
      <c r="D100" s="100">
        <f t="shared" si="15"/>
        <v>35711.760893981816</v>
      </c>
      <c r="E100" s="100">
        <f t="shared" si="16"/>
        <v>98385.901262919899</v>
      </c>
      <c r="F100" s="100">
        <f t="shared" si="25"/>
        <v>682.21653318715255</v>
      </c>
      <c r="G100" s="100">
        <f t="shared" si="17"/>
        <v>1879.5065489306053</v>
      </c>
      <c r="H100" s="100">
        <f t="shared" si="26"/>
        <v>0</v>
      </c>
      <c r="I100" s="100">
        <f t="shared" si="18"/>
        <v>0</v>
      </c>
      <c r="J100" s="100">
        <f t="shared" si="19"/>
        <v>-420.03543870207375</v>
      </c>
      <c r="K100" s="100">
        <f t="shared" si="20"/>
        <v>-1157.1976336242133</v>
      </c>
      <c r="L100" s="101">
        <f t="shared" si="21"/>
        <v>722.30891530639201</v>
      </c>
      <c r="M100" s="100">
        <f t="shared" si="22"/>
        <v>99108.210178226291</v>
      </c>
      <c r="N100" s="102">
        <f t="shared" si="23"/>
        <v>35973.941988466897</v>
      </c>
      <c r="O100" s="94">
        <f t="shared" si="24"/>
        <v>0.97634074622034372</v>
      </c>
      <c r="P100" s="100">
        <f>'Bef.fremskr. kommunenivå MMMM'!H95</f>
        <v>2755</v>
      </c>
      <c r="Q100" s="100"/>
      <c r="R100" s="100">
        <f t="shared" si="27"/>
        <v>0</v>
      </c>
      <c r="S100" s="100">
        <v>0</v>
      </c>
      <c r="U100" s="100">
        <v>8016.4046666666654</v>
      </c>
      <c r="V100" s="5">
        <f t="shared" si="28"/>
        <v>90369.49659625323</v>
      </c>
      <c r="W100" s="5">
        <f t="shared" si="29"/>
        <v>32801.995134756165</v>
      </c>
    </row>
    <row r="101" spans="1:23" ht="13">
      <c r="A101" s="92">
        <v>3001</v>
      </c>
      <c r="B101" s="93" t="s">
        <v>364</v>
      </c>
      <c r="C101" s="574">
        <v>0.77005996628451512</v>
      </c>
      <c r="D101" s="100">
        <f t="shared" si="15"/>
        <v>28373.385687324415</v>
      </c>
      <c r="E101" s="100">
        <f t="shared" si="16"/>
        <v>894102.12977896689</v>
      </c>
      <c r="F101" s="100">
        <f t="shared" si="25"/>
        <v>5085.2416571815929</v>
      </c>
      <c r="G101" s="100">
        <f t="shared" si="17"/>
        <v>160246.13510110634</v>
      </c>
      <c r="H101" s="100">
        <f t="shared" si="26"/>
        <v>1676.6833709639827</v>
      </c>
      <c r="I101" s="100">
        <f t="shared" si="18"/>
        <v>52835.646385817025</v>
      </c>
      <c r="J101" s="100">
        <f t="shared" si="19"/>
        <v>1256.6479322619089</v>
      </c>
      <c r="K101" s="100">
        <f t="shared" si="20"/>
        <v>39599.489641437271</v>
      </c>
      <c r="L101" s="101">
        <f t="shared" si="21"/>
        <v>199845.62474254362</v>
      </c>
      <c r="M101" s="100">
        <f t="shared" si="22"/>
        <v>1093947.7545215106</v>
      </c>
      <c r="N101" s="102">
        <f t="shared" si="23"/>
        <v>34715.275276767919</v>
      </c>
      <c r="O101" s="94">
        <f t="shared" si="24"/>
        <v>0.94218025313518605</v>
      </c>
      <c r="P101" s="100">
        <f>'Bef.fremskr. kommunenivå MMMM'!H96</f>
        <v>31512</v>
      </c>
      <c r="Q101" s="100"/>
      <c r="R101" s="100">
        <f t="shared" si="27"/>
        <v>0</v>
      </c>
      <c r="S101" s="100">
        <v>0</v>
      </c>
      <c r="U101" s="100">
        <v>1074.1293333333333</v>
      </c>
      <c r="V101" s="5">
        <f t="shared" si="28"/>
        <v>893028.00044563354</v>
      </c>
      <c r="W101" s="5">
        <f t="shared" si="29"/>
        <v>28339.299328688547</v>
      </c>
    </row>
    <row r="102" spans="1:23" ht="13">
      <c r="A102" s="92">
        <v>3002</v>
      </c>
      <c r="B102" s="93" t="s">
        <v>365</v>
      </c>
      <c r="C102" s="574">
        <v>0.88594944656558217</v>
      </c>
      <c r="D102" s="100">
        <f t="shared" si="15"/>
        <v>32643.412782725198</v>
      </c>
      <c r="E102" s="100">
        <f t="shared" si="16"/>
        <v>1660309.2609549689</v>
      </c>
      <c r="F102" s="100">
        <f t="shared" si="25"/>
        <v>2523.2253999411237</v>
      </c>
      <c r="G102" s="100">
        <f t="shared" si="17"/>
        <v>128336.29029180543</v>
      </c>
      <c r="H102" s="100">
        <f t="shared" si="26"/>
        <v>182.17388757370881</v>
      </c>
      <c r="I102" s="100">
        <f t="shared" si="18"/>
        <v>9265.7282697739774</v>
      </c>
      <c r="J102" s="100">
        <f t="shared" si="19"/>
        <v>-237.86155112836494</v>
      </c>
      <c r="K102" s="100">
        <f t="shared" si="20"/>
        <v>-12098.114213490899</v>
      </c>
      <c r="L102" s="101">
        <f t="shared" si="21"/>
        <v>116238.17607831453</v>
      </c>
      <c r="M102" s="100">
        <f t="shared" si="22"/>
        <v>1776547.4370332835</v>
      </c>
      <c r="N102" s="102">
        <f t="shared" si="23"/>
        <v>34928.776631537956</v>
      </c>
      <c r="O102" s="94">
        <f t="shared" si="24"/>
        <v>0.94797472714923936</v>
      </c>
      <c r="P102" s="100">
        <f>'Bef.fremskr. kommunenivå MMMM'!H97</f>
        <v>50862</v>
      </c>
      <c r="Q102" s="100"/>
      <c r="R102" s="100">
        <f t="shared" si="27"/>
        <v>0</v>
      </c>
      <c r="S102" s="100">
        <v>0</v>
      </c>
      <c r="U102" s="100">
        <v>0</v>
      </c>
      <c r="V102" s="5">
        <f t="shared" si="28"/>
        <v>1660309.2609549689</v>
      </c>
      <c r="W102" s="5">
        <f t="shared" si="29"/>
        <v>32643.412782725198</v>
      </c>
    </row>
    <row r="103" spans="1:23" ht="13">
      <c r="A103" s="92">
        <v>3003</v>
      </c>
      <c r="B103" s="93" t="s">
        <v>366</v>
      </c>
      <c r="C103" s="574">
        <v>0.79050513656645349</v>
      </c>
      <c r="D103" s="100">
        <f t="shared" si="15"/>
        <v>29126.701957810979</v>
      </c>
      <c r="E103" s="100">
        <f t="shared" si="16"/>
        <v>1714019.0301113026</v>
      </c>
      <c r="F103" s="100">
        <f t="shared" si="25"/>
        <v>4633.251894889655</v>
      </c>
      <c r="G103" s="100">
        <f t="shared" si="17"/>
        <v>272652.97425857151</v>
      </c>
      <c r="H103" s="100">
        <f t="shared" si="26"/>
        <v>1413.0226762936852</v>
      </c>
      <c r="I103" s="100">
        <f t="shared" si="18"/>
        <v>83152.145431854486</v>
      </c>
      <c r="J103" s="100">
        <f t="shared" si="19"/>
        <v>992.98723759161146</v>
      </c>
      <c r="K103" s="100">
        <f t="shared" si="20"/>
        <v>58434.319970553559</v>
      </c>
      <c r="L103" s="101">
        <f t="shared" si="21"/>
        <v>331087.29422912508</v>
      </c>
      <c r="M103" s="100">
        <f t="shared" si="22"/>
        <v>2045106.3243404278</v>
      </c>
      <c r="N103" s="102">
        <f t="shared" si="23"/>
        <v>34752.941090292246</v>
      </c>
      <c r="O103" s="94">
        <f t="shared" si="24"/>
        <v>0.94320251164928293</v>
      </c>
      <c r="P103" s="100">
        <f>'Bef.fremskr. kommunenivå MMMM'!H98</f>
        <v>58847</v>
      </c>
      <c r="Q103" s="100"/>
      <c r="R103" s="100">
        <f t="shared" si="27"/>
        <v>0</v>
      </c>
      <c r="S103" s="100">
        <v>0</v>
      </c>
      <c r="U103" s="100">
        <v>8816.8163333333341</v>
      </c>
      <c r="V103" s="5">
        <f t="shared" si="28"/>
        <v>1705202.2137779694</v>
      </c>
      <c r="W103" s="5">
        <f t="shared" si="29"/>
        <v>28976.875860757038</v>
      </c>
    </row>
    <row r="104" spans="1:23" ht="13">
      <c r="A104" s="92">
        <v>3004</v>
      </c>
      <c r="B104" s="93" t="s">
        <v>372</v>
      </c>
      <c r="C104" s="574">
        <v>0.84067956159477986</v>
      </c>
      <c r="D104" s="100">
        <f t="shared" si="15"/>
        <v>30975.412935265507</v>
      </c>
      <c r="E104" s="100">
        <f t="shared" si="16"/>
        <v>2617453.3684428707</v>
      </c>
      <c r="F104" s="100">
        <f t="shared" si="25"/>
        <v>3524.0253084169381</v>
      </c>
      <c r="G104" s="100">
        <f t="shared" si="17"/>
        <v>297783.66258653969</v>
      </c>
      <c r="H104" s="100">
        <f t="shared" si="26"/>
        <v>765.97383418460049</v>
      </c>
      <c r="I104" s="100">
        <f t="shared" si="18"/>
        <v>64725.554962432929</v>
      </c>
      <c r="J104" s="100">
        <f t="shared" si="19"/>
        <v>345.93839548252674</v>
      </c>
      <c r="K104" s="100">
        <f t="shared" si="20"/>
        <v>29232.140356668995</v>
      </c>
      <c r="L104" s="101">
        <f t="shared" si="21"/>
        <v>327015.80294320866</v>
      </c>
      <c r="M104" s="100">
        <f t="shared" si="22"/>
        <v>2944469.1713860794</v>
      </c>
      <c r="N104" s="102">
        <f t="shared" si="23"/>
        <v>34845.37663916497</v>
      </c>
      <c r="O104" s="94">
        <f t="shared" si="24"/>
        <v>0.94571123290069914</v>
      </c>
      <c r="P104" s="100">
        <f>'Bef.fremskr. kommunenivå MMMM'!H99</f>
        <v>84501</v>
      </c>
      <c r="Q104" s="100"/>
      <c r="R104" s="100">
        <f t="shared" si="27"/>
        <v>0</v>
      </c>
      <c r="S104" s="100">
        <v>0</v>
      </c>
      <c r="U104" s="100">
        <v>0</v>
      </c>
      <c r="V104" s="5">
        <f t="shared" si="28"/>
        <v>2617453.3684428707</v>
      </c>
      <c r="W104" s="5">
        <f t="shared" si="29"/>
        <v>30975.412935265507</v>
      </c>
    </row>
    <row r="105" spans="1:23" ht="13">
      <c r="A105" s="92">
        <v>3005</v>
      </c>
      <c r="B105" s="93" t="s">
        <v>447</v>
      </c>
      <c r="C105" s="574">
        <v>0.92532159730751717</v>
      </c>
      <c r="D105" s="100">
        <f t="shared" si="15"/>
        <v>34094.106582235938</v>
      </c>
      <c r="E105" s="100">
        <f t="shared" si="16"/>
        <v>3508215.3790989136</v>
      </c>
      <c r="F105" s="100">
        <f t="shared" si="25"/>
        <v>1652.8091202346798</v>
      </c>
      <c r="G105" s="100">
        <f t="shared" si="17"/>
        <v>170070.75285390808</v>
      </c>
      <c r="H105" s="100">
        <f t="shared" si="26"/>
        <v>0</v>
      </c>
      <c r="I105" s="100">
        <f t="shared" si="18"/>
        <v>0</v>
      </c>
      <c r="J105" s="100">
        <f t="shared" si="19"/>
        <v>-420.03543870207375</v>
      </c>
      <c r="K105" s="100">
        <f t="shared" si="20"/>
        <v>-43220.806571565983</v>
      </c>
      <c r="L105" s="101">
        <f t="shared" si="21"/>
        <v>126849.94628234211</v>
      </c>
      <c r="M105" s="100">
        <f t="shared" si="22"/>
        <v>3635065.3253812557</v>
      </c>
      <c r="N105" s="102">
        <f t="shared" si="23"/>
        <v>35326.880263768544</v>
      </c>
      <c r="O105" s="94">
        <f t="shared" si="24"/>
        <v>0.9587793478241059</v>
      </c>
      <c r="P105" s="100">
        <f>'Bef.fremskr. kommunenivå MMMM'!H100</f>
        <v>102898</v>
      </c>
      <c r="Q105" s="100"/>
      <c r="R105" s="100">
        <f t="shared" si="27"/>
        <v>0</v>
      </c>
      <c r="S105" s="100">
        <v>0</v>
      </c>
      <c r="U105" s="100">
        <v>0</v>
      </c>
      <c r="V105" s="5">
        <f t="shared" si="28"/>
        <v>3508215.3790989136</v>
      </c>
      <c r="W105" s="5">
        <f t="shared" si="29"/>
        <v>34094.106582235938</v>
      </c>
    </row>
    <row r="106" spans="1:23" ht="13">
      <c r="A106" s="92">
        <v>3006</v>
      </c>
      <c r="B106" s="93" t="s">
        <v>448</v>
      </c>
      <c r="C106" s="574">
        <v>1.0130927032017545</v>
      </c>
      <c r="D106" s="100">
        <f t="shared" si="15"/>
        <v>37328.092958330803</v>
      </c>
      <c r="E106" s="100">
        <f t="shared" si="16"/>
        <v>1048807.4278502206</v>
      </c>
      <c r="F106" s="100">
        <f t="shared" si="25"/>
        <v>-287.58270542223909</v>
      </c>
      <c r="G106" s="100">
        <f t="shared" si="17"/>
        <v>-8080.2112742486515</v>
      </c>
      <c r="H106" s="100">
        <f t="shared" si="26"/>
        <v>0</v>
      </c>
      <c r="I106" s="100">
        <f t="shared" si="18"/>
        <v>0</v>
      </c>
      <c r="J106" s="100">
        <f t="shared" si="19"/>
        <v>-420.03543870207375</v>
      </c>
      <c r="K106" s="100">
        <f t="shared" si="20"/>
        <v>-11801.735721212166</v>
      </c>
      <c r="L106" s="101">
        <f t="shared" si="21"/>
        <v>-19881.946995460818</v>
      </c>
      <c r="M106" s="100">
        <f t="shared" si="22"/>
        <v>1028925.4808547598</v>
      </c>
      <c r="N106" s="102">
        <f t="shared" si="23"/>
        <v>36620.474814206493</v>
      </c>
      <c r="O106" s="94">
        <f t="shared" si="24"/>
        <v>0.99388779018180107</v>
      </c>
      <c r="P106" s="100">
        <f>'Bef.fremskr. kommunenivå MMMM'!H101</f>
        <v>28097</v>
      </c>
      <c r="Q106" s="100"/>
      <c r="R106" s="100">
        <f t="shared" si="27"/>
        <v>0</v>
      </c>
      <c r="S106" s="100">
        <v>0</v>
      </c>
      <c r="U106" s="100">
        <v>6711.2813333333334</v>
      </c>
      <c r="V106" s="5">
        <f t="shared" si="28"/>
        <v>1042096.1465168872</v>
      </c>
      <c r="W106" s="5">
        <f t="shared" si="29"/>
        <v>37089.231822503723</v>
      </c>
    </row>
    <row r="107" spans="1:23" ht="13">
      <c r="A107" s="92">
        <v>3007</v>
      </c>
      <c r="B107" s="93" t="s">
        <v>449</v>
      </c>
      <c r="C107" s="574">
        <v>0.87407715764650928</v>
      </c>
      <c r="D107" s="100">
        <f t="shared" si="15"/>
        <v>32205.970184433125</v>
      </c>
      <c r="E107" s="100">
        <f t="shared" si="16"/>
        <v>1007306.1294585149</v>
      </c>
      <c r="F107" s="100">
        <f t="shared" si="25"/>
        <v>2785.6909589163674</v>
      </c>
      <c r="G107" s="100">
        <f t="shared" si="17"/>
        <v>87128.056122027221</v>
      </c>
      <c r="H107" s="100">
        <f t="shared" si="26"/>
        <v>335.27879697593431</v>
      </c>
      <c r="I107" s="100">
        <f t="shared" si="18"/>
        <v>10486.514933016299</v>
      </c>
      <c r="J107" s="100">
        <f t="shared" si="19"/>
        <v>-84.756641726139435</v>
      </c>
      <c r="K107" s="100">
        <f t="shared" si="20"/>
        <v>-2650.9334832684631</v>
      </c>
      <c r="L107" s="101">
        <f t="shared" si="21"/>
        <v>84477.122638758752</v>
      </c>
      <c r="M107" s="100">
        <f t="shared" si="22"/>
        <v>1091783.2520972737</v>
      </c>
      <c r="N107" s="102">
        <f t="shared" si="23"/>
        <v>34906.904501623358</v>
      </c>
      <c r="O107" s="94">
        <f t="shared" si="24"/>
        <v>0.94738111270328584</v>
      </c>
      <c r="P107" s="100">
        <f>'Bef.fremskr. kommunenivå MMMM'!H102</f>
        <v>31277</v>
      </c>
      <c r="Q107" s="100"/>
      <c r="R107" s="100">
        <f t="shared" si="27"/>
        <v>0</v>
      </c>
      <c r="S107" s="100">
        <v>0</v>
      </c>
      <c r="U107" s="100">
        <v>5547.3963333333331</v>
      </c>
      <c r="V107" s="5">
        <f t="shared" si="28"/>
        <v>1001758.7331251815</v>
      </c>
      <c r="W107" s="5">
        <f t="shared" si="29"/>
        <v>32028.606743779186</v>
      </c>
    </row>
    <row r="108" spans="1:23" ht="13">
      <c r="A108" s="92">
        <v>3011</v>
      </c>
      <c r="B108" s="93" t="s">
        <v>373</v>
      </c>
      <c r="C108" s="574">
        <v>1.0812564714210113</v>
      </c>
      <c r="D108" s="100">
        <f t="shared" si="15"/>
        <v>39839.633578885267</v>
      </c>
      <c r="E108" s="100">
        <f t="shared" si="16"/>
        <v>192305.91128527917</v>
      </c>
      <c r="F108" s="100">
        <f t="shared" si="25"/>
        <v>-1794.5070777549174</v>
      </c>
      <c r="G108" s="100">
        <f t="shared" si="17"/>
        <v>-8662.0856643229872</v>
      </c>
      <c r="H108" s="100">
        <f t="shared" si="26"/>
        <v>0</v>
      </c>
      <c r="I108" s="100">
        <f t="shared" si="18"/>
        <v>0</v>
      </c>
      <c r="J108" s="100">
        <f t="shared" si="19"/>
        <v>-420.03543870207375</v>
      </c>
      <c r="K108" s="100">
        <f t="shared" si="20"/>
        <v>-2027.5110626149101</v>
      </c>
      <c r="L108" s="101">
        <f t="shared" si="21"/>
        <v>-10689.596726937898</v>
      </c>
      <c r="M108" s="100">
        <f t="shared" si="22"/>
        <v>181616.31455834128</v>
      </c>
      <c r="N108" s="102">
        <f t="shared" si="23"/>
        <v>37625.091062428277</v>
      </c>
      <c r="O108" s="94">
        <f t="shared" si="24"/>
        <v>1.0211532974695037</v>
      </c>
      <c r="P108" s="100">
        <f>'Bef.fremskr. kommunenivå MMMM'!H103</f>
        <v>4827</v>
      </c>
      <c r="Q108" s="100"/>
      <c r="R108" s="100">
        <f t="shared" si="27"/>
        <v>0</v>
      </c>
      <c r="S108" s="100">
        <v>0</v>
      </c>
      <c r="U108" s="100">
        <v>0</v>
      </c>
      <c r="V108" s="5">
        <f t="shared" si="28"/>
        <v>192305.91128527917</v>
      </c>
      <c r="W108" s="5">
        <f t="shared" si="29"/>
        <v>39839.633578885267</v>
      </c>
    </row>
    <row r="109" spans="1:23" ht="13">
      <c r="A109" s="92">
        <v>3012</v>
      </c>
      <c r="B109" s="93" t="s">
        <v>374</v>
      </c>
      <c r="C109" s="574">
        <v>0.82820819172185678</v>
      </c>
      <c r="D109" s="100">
        <f t="shared" si="15"/>
        <v>30515.896789839782</v>
      </c>
      <c r="E109" s="100">
        <f t="shared" si="16"/>
        <v>40250.467865798673</v>
      </c>
      <c r="F109" s="100">
        <f t="shared" si="25"/>
        <v>3799.7349956723729</v>
      </c>
      <c r="G109" s="100">
        <f t="shared" si="17"/>
        <v>5011.8504592918598</v>
      </c>
      <c r="H109" s="100">
        <f t="shared" si="26"/>
        <v>926.80448508360416</v>
      </c>
      <c r="I109" s="100">
        <f t="shared" si="18"/>
        <v>1222.4551158252739</v>
      </c>
      <c r="J109" s="100">
        <f t="shared" si="19"/>
        <v>506.76904638153042</v>
      </c>
      <c r="K109" s="100">
        <f t="shared" si="20"/>
        <v>668.42837217723854</v>
      </c>
      <c r="L109" s="101">
        <f t="shared" si="21"/>
        <v>5680.2788314690988</v>
      </c>
      <c r="M109" s="100">
        <f t="shared" si="22"/>
        <v>45930.746697267772</v>
      </c>
      <c r="N109" s="102">
        <f t="shared" si="23"/>
        <v>34822.400831893683</v>
      </c>
      <c r="O109" s="94">
        <f t="shared" si="24"/>
        <v>0.94508766440705294</v>
      </c>
      <c r="P109" s="100">
        <f>'Bef.fremskr. kommunenivå MMMM'!H104</f>
        <v>1319</v>
      </c>
      <c r="Q109" s="100"/>
      <c r="R109" s="100">
        <f t="shared" si="27"/>
        <v>0</v>
      </c>
      <c r="S109" s="100">
        <v>0</v>
      </c>
      <c r="U109" s="100">
        <v>0</v>
      </c>
      <c r="V109" s="5">
        <f t="shared" si="28"/>
        <v>40250.467865798673</v>
      </c>
      <c r="W109" s="5">
        <f t="shared" si="29"/>
        <v>30515.896789839782</v>
      </c>
    </row>
    <row r="110" spans="1:23" ht="13">
      <c r="A110" s="92">
        <v>3013</v>
      </c>
      <c r="B110" s="93" t="s">
        <v>375</v>
      </c>
      <c r="C110" s="574">
        <v>0.82349498417911138</v>
      </c>
      <c r="D110" s="100">
        <f t="shared" si="15"/>
        <v>30342.235437101295</v>
      </c>
      <c r="E110" s="100">
        <f t="shared" si="16"/>
        <v>108716.22957113394</v>
      </c>
      <c r="F110" s="100">
        <f t="shared" si="25"/>
        <v>3903.931807315465</v>
      </c>
      <c r="G110" s="100">
        <f t="shared" si="17"/>
        <v>13987.787665611311</v>
      </c>
      <c r="H110" s="100">
        <f t="shared" si="26"/>
        <v>987.58595854207465</v>
      </c>
      <c r="I110" s="100">
        <f t="shared" si="18"/>
        <v>3538.5204894562535</v>
      </c>
      <c r="J110" s="100">
        <f t="shared" si="19"/>
        <v>567.5505198400009</v>
      </c>
      <c r="K110" s="100">
        <f t="shared" si="20"/>
        <v>2033.5335125867234</v>
      </c>
      <c r="L110" s="101">
        <f t="shared" si="21"/>
        <v>16021.321178198035</v>
      </c>
      <c r="M110" s="100">
        <f t="shared" si="22"/>
        <v>124737.55074933197</v>
      </c>
      <c r="N110" s="102">
        <f t="shared" si="23"/>
        <v>34813.717764256762</v>
      </c>
      <c r="O110" s="94">
        <f t="shared" si="24"/>
        <v>0.94485200402991587</v>
      </c>
      <c r="P110" s="100">
        <f>'Bef.fremskr. kommunenivå MMMM'!H105</f>
        <v>3583</v>
      </c>
      <c r="Q110" s="100"/>
      <c r="R110" s="100">
        <f t="shared" si="27"/>
        <v>0</v>
      </c>
      <c r="S110" s="100">
        <v>0</v>
      </c>
      <c r="U110" s="100">
        <v>0</v>
      </c>
      <c r="V110" s="5">
        <f t="shared" si="28"/>
        <v>108716.22957113394</v>
      </c>
      <c r="W110" s="5">
        <f t="shared" si="29"/>
        <v>30342.235437101295</v>
      </c>
    </row>
    <row r="111" spans="1:23" ht="13">
      <c r="A111" s="92">
        <v>3014</v>
      </c>
      <c r="B111" s="93" t="s">
        <v>1818</v>
      </c>
      <c r="C111" s="574">
        <v>0.83342358906740754</v>
      </c>
      <c r="D111" s="100">
        <f t="shared" si="15"/>
        <v>30708.061669039962</v>
      </c>
      <c r="E111" s="100">
        <f t="shared" si="16"/>
        <v>1415948.7235594327</v>
      </c>
      <c r="F111" s="100">
        <f t="shared" si="25"/>
        <v>3684.4360681522649</v>
      </c>
      <c r="G111" s="100">
        <f t="shared" si="17"/>
        <v>169889.34710250093</v>
      </c>
      <c r="H111" s="100">
        <f t="shared" si="26"/>
        <v>859.54677736354131</v>
      </c>
      <c r="I111" s="100">
        <f t="shared" si="18"/>
        <v>39633.70190423289</v>
      </c>
      <c r="J111" s="100">
        <f t="shared" si="19"/>
        <v>439.51133866146756</v>
      </c>
      <c r="K111" s="100">
        <f t="shared" si="20"/>
        <v>20265.86782568027</v>
      </c>
      <c r="L111" s="101">
        <f t="shared" si="21"/>
        <v>190155.2149281812</v>
      </c>
      <c r="M111" s="100">
        <f t="shared" si="22"/>
        <v>1606103.9384876138</v>
      </c>
      <c r="N111" s="102">
        <f t="shared" si="23"/>
        <v>34832.009075853697</v>
      </c>
      <c r="O111" s="94">
        <f t="shared" si="24"/>
        <v>0.94534843427433068</v>
      </c>
      <c r="P111" s="100">
        <f>'Bef.fremskr. kommunenivå MMMM'!H106</f>
        <v>46110</v>
      </c>
      <c r="Q111" s="100"/>
      <c r="R111" s="100">
        <f t="shared" si="27"/>
        <v>0</v>
      </c>
      <c r="S111" s="100">
        <v>0</v>
      </c>
      <c r="U111" s="100">
        <v>34563.311999999998</v>
      </c>
      <c r="V111" s="5">
        <f t="shared" si="28"/>
        <v>1381385.4115594327</v>
      </c>
      <c r="W111" s="5">
        <f t="shared" si="29"/>
        <v>29958.477804368526</v>
      </c>
    </row>
    <row r="112" spans="1:23" ht="13">
      <c r="A112" s="92">
        <v>3015</v>
      </c>
      <c r="B112" s="93" t="s">
        <v>376</v>
      </c>
      <c r="C112" s="574">
        <v>0.80501372531045345</v>
      </c>
      <c r="D112" s="100">
        <f t="shared" si="15"/>
        <v>29661.280824699104</v>
      </c>
      <c r="E112" s="100">
        <f t="shared" si="16"/>
        <v>115856.9629012747</v>
      </c>
      <c r="F112" s="100">
        <f t="shared" si="25"/>
        <v>4312.5045747567792</v>
      </c>
      <c r="G112" s="100">
        <f t="shared" si="17"/>
        <v>16844.642868999981</v>
      </c>
      <c r="H112" s="100">
        <f t="shared" si="26"/>
        <v>1225.9200728828414</v>
      </c>
      <c r="I112" s="100">
        <f t="shared" si="18"/>
        <v>4788.443804680378</v>
      </c>
      <c r="J112" s="100">
        <f t="shared" si="19"/>
        <v>805.88463418076765</v>
      </c>
      <c r="K112" s="100">
        <f t="shared" si="20"/>
        <v>3147.7853811100786</v>
      </c>
      <c r="L112" s="101">
        <f t="shared" si="21"/>
        <v>19992.428250110061</v>
      </c>
      <c r="M112" s="100">
        <f t="shared" si="22"/>
        <v>135849.39115138477</v>
      </c>
      <c r="N112" s="102">
        <f t="shared" si="23"/>
        <v>34779.670033636656</v>
      </c>
      <c r="O112" s="94">
        <f t="shared" si="24"/>
        <v>0.94392794108648304</v>
      </c>
      <c r="P112" s="100">
        <f>'Bef.fremskr. kommunenivå MMMM'!H107</f>
        <v>3906</v>
      </c>
      <c r="Q112" s="100"/>
      <c r="R112" s="100">
        <f t="shared" si="27"/>
        <v>0</v>
      </c>
      <c r="S112" s="100">
        <v>0</v>
      </c>
      <c r="U112" s="100">
        <v>2889.192333333333</v>
      </c>
      <c r="V112" s="5">
        <f t="shared" si="28"/>
        <v>112967.77056794136</v>
      </c>
      <c r="W112" s="5">
        <f t="shared" si="29"/>
        <v>28921.600247808849</v>
      </c>
    </row>
    <row r="113" spans="1:23" ht="13">
      <c r="A113" s="92">
        <v>3016</v>
      </c>
      <c r="B113" s="93" t="s">
        <v>377</v>
      </c>
      <c r="C113" s="574">
        <v>0.81226759217970201</v>
      </c>
      <c r="D113" s="100">
        <f t="shared" si="15"/>
        <v>29928.554506512151</v>
      </c>
      <c r="E113" s="100">
        <f t="shared" si="16"/>
        <v>251818.85761779323</v>
      </c>
      <c r="F113" s="100">
        <f t="shared" si="25"/>
        <v>4152.1403656689517</v>
      </c>
      <c r="G113" s="100">
        <f t="shared" si="17"/>
        <v>34936.109036738562</v>
      </c>
      <c r="H113" s="100">
        <f t="shared" si="26"/>
        <v>1132.374284248275</v>
      </c>
      <c r="I113" s="100">
        <f t="shared" si="18"/>
        <v>9527.7972276649871</v>
      </c>
      <c r="J113" s="100">
        <f t="shared" si="19"/>
        <v>712.33884554620124</v>
      </c>
      <c r="K113" s="100">
        <f t="shared" si="20"/>
        <v>5993.619046425737</v>
      </c>
      <c r="L113" s="101">
        <f t="shared" si="21"/>
        <v>40929.7280831643</v>
      </c>
      <c r="M113" s="100">
        <f t="shared" si="22"/>
        <v>292748.58570095751</v>
      </c>
      <c r="N113" s="102">
        <f t="shared" si="23"/>
        <v>34793.033717727303</v>
      </c>
      <c r="O113" s="94">
        <f t="shared" si="24"/>
        <v>0.94429063442994532</v>
      </c>
      <c r="P113" s="100">
        <f>'Bef.fremskr. kommunenivå MMMM'!H108</f>
        <v>8414</v>
      </c>
      <c r="Q113" s="100"/>
      <c r="R113" s="100">
        <f t="shared" si="27"/>
        <v>0</v>
      </c>
      <c r="S113" s="100">
        <v>0</v>
      </c>
      <c r="U113" s="100">
        <v>0</v>
      </c>
      <c r="V113" s="5">
        <f t="shared" si="28"/>
        <v>251818.85761779323</v>
      </c>
      <c r="W113" s="5">
        <f t="shared" si="29"/>
        <v>29928.554506512151</v>
      </c>
    </row>
    <row r="114" spans="1:23" ht="13">
      <c r="A114" s="92">
        <v>3017</v>
      </c>
      <c r="B114" s="93" t="s">
        <v>378</v>
      </c>
      <c r="C114" s="574">
        <v>0.87101651176388473</v>
      </c>
      <c r="D114" s="100">
        <f t="shared" si="15"/>
        <v>32093.198595359318</v>
      </c>
      <c r="E114" s="100">
        <f t="shared" si="16"/>
        <v>249652.99187330014</v>
      </c>
      <c r="F114" s="100">
        <f t="shared" si="25"/>
        <v>2853.353912360652</v>
      </c>
      <c r="G114" s="100">
        <f t="shared" si="17"/>
        <v>22196.240084253513</v>
      </c>
      <c r="H114" s="100">
        <f t="shared" si="26"/>
        <v>374.74885315176687</v>
      </c>
      <c r="I114" s="100">
        <f t="shared" si="18"/>
        <v>2915.1713286675945</v>
      </c>
      <c r="J114" s="100">
        <f t="shared" si="19"/>
        <v>-45.286585550306881</v>
      </c>
      <c r="K114" s="100">
        <f t="shared" si="20"/>
        <v>-352.28434899583721</v>
      </c>
      <c r="L114" s="101">
        <f t="shared" si="21"/>
        <v>21843.955735257678</v>
      </c>
      <c r="M114" s="100">
        <f t="shared" si="22"/>
        <v>271496.94760855782</v>
      </c>
      <c r="N114" s="102">
        <f t="shared" si="23"/>
        <v>34901.265922169667</v>
      </c>
      <c r="O114" s="94">
        <f t="shared" si="24"/>
        <v>0.94722808040915463</v>
      </c>
      <c r="P114" s="100">
        <f>'Bef.fremskr. kommunenivå MMMM'!H109</f>
        <v>7779</v>
      </c>
      <c r="Q114" s="100"/>
      <c r="R114" s="100">
        <f t="shared" si="27"/>
        <v>0</v>
      </c>
      <c r="S114" s="100">
        <v>0</v>
      </c>
      <c r="U114" s="100">
        <v>0</v>
      </c>
      <c r="V114" s="5">
        <f t="shared" si="28"/>
        <v>249652.99187330014</v>
      </c>
      <c r="W114" s="5">
        <f t="shared" si="29"/>
        <v>32093.198595359318</v>
      </c>
    </row>
    <row r="115" spans="1:23" ht="13">
      <c r="A115" s="92">
        <v>3018</v>
      </c>
      <c r="B115" s="93" t="s">
        <v>379</v>
      </c>
      <c r="C115" s="574">
        <v>0.83602481084371372</v>
      </c>
      <c r="D115" s="100">
        <f t="shared" si="15"/>
        <v>30803.905462963583</v>
      </c>
      <c r="E115" s="100">
        <f t="shared" si="16"/>
        <v>188766.33267704083</v>
      </c>
      <c r="F115" s="100">
        <f t="shared" si="25"/>
        <v>3626.9297917980925</v>
      </c>
      <c r="G115" s="100">
        <f t="shared" si="17"/>
        <v>22225.82576413871</v>
      </c>
      <c r="H115" s="100">
        <f t="shared" si="26"/>
        <v>826.0014494902739</v>
      </c>
      <c r="I115" s="100">
        <f t="shared" si="18"/>
        <v>5061.7368824763989</v>
      </c>
      <c r="J115" s="100">
        <f t="shared" si="19"/>
        <v>405.96601078820015</v>
      </c>
      <c r="K115" s="100">
        <f t="shared" si="20"/>
        <v>2487.7597141100905</v>
      </c>
      <c r="L115" s="101">
        <f t="shared" si="21"/>
        <v>24713.585478248802</v>
      </c>
      <c r="M115" s="100">
        <f t="shared" si="22"/>
        <v>213479.91815528963</v>
      </c>
      <c r="N115" s="102">
        <f t="shared" si="23"/>
        <v>34836.801265549875</v>
      </c>
      <c r="O115" s="94">
        <f t="shared" si="24"/>
        <v>0.94547849536314588</v>
      </c>
      <c r="P115" s="100">
        <f>'Bef.fremskr. kommunenivå MMMM'!H110</f>
        <v>6128</v>
      </c>
      <c r="Q115" s="100"/>
      <c r="R115" s="100">
        <f t="shared" si="27"/>
        <v>0</v>
      </c>
      <c r="S115" s="100">
        <v>0</v>
      </c>
      <c r="U115" s="100">
        <v>182.51566666666668</v>
      </c>
      <c r="V115" s="5">
        <f t="shared" si="28"/>
        <v>188583.81701037416</v>
      </c>
      <c r="W115" s="5">
        <f t="shared" si="29"/>
        <v>30774.121574799959</v>
      </c>
    </row>
    <row r="116" spans="1:23" ht="13">
      <c r="A116" s="92">
        <v>3019</v>
      </c>
      <c r="B116" s="93" t="s">
        <v>380</v>
      </c>
      <c r="C116" s="574">
        <v>0.96776028541920645</v>
      </c>
      <c r="D116" s="100">
        <f t="shared" si="15"/>
        <v>35657.789046689802</v>
      </c>
      <c r="E116" s="100">
        <f t="shared" si="16"/>
        <v>679316.53912848746</v>
      </c>
      <c r="F116" s="100">
        <f t="shared" si="25"/>
        <v>714.59964156236094</v>
      </c>
      <c r="G116" s="100">
        <f t="shared" si="17"/>
        <v>13613.837771404538</v>
      </c>
      <c r="H116" s="100">
        <f t="shared" si="26"/>
        <v>0</v>
      </c>
      <c r="I116" s="100">
        <f t="shared" si="18"/>
        <v>0</v>
      </c>
      <c r="J116" s="100">
        <f t="shared" si="19"/>
        <v>-420.03543870207375</v>
      </c>
      <c r="K116" s="100">
        <f t="shared" si="20"/>
        <v>-8002.0951427132068</v>
      </c>
      <c r="L116" s="101">
        <f t="shared" si="21"/>
        <v>5611.7426286913314</v>
      </c>
      <c r="M116" s="100">
        <f t="shared" si="22"/>
        <v>684928.28175717883</v>
      </c>
      <c r="N116" s="102">
        <f t="shared" si="23"/>
        <v>35952.353249550091</v>
      </c>
      <c r="O116" s="94">
        <f t="shared" si="24"/>
        <v>0.9757548230687817</v>
      </c>
      <c r="P116" s="100">
        <f>'Bef.fremskr. kommunenivå MMMM'!H111</f>
        <v>19051</v>
      </c>
      <c r="Q116" s="100"/>
      <c r="R116" s="100">
        <f t="shared" si="27"/>
        <v>0</v>
      </c>
      <c r="S116" s="100">
        <v>0</v>
      </c>
      <c r="U116" s="100">
        <v>0</v>
      </c>
      <c r="V116" s="5">
        <f t="shared" si="28"/>
        <v>679316.53912848746</v>
      </c>
      <c r="W116" s="5">
        <f t="shared" si="29"/>
        <v>35657.789046689802</v>
      </c>
    </row>
    <row r="117" spans="1:23" ht="13">
      <c r="A117" s="92">
        <v>3020</v>
      </c>
      <c r="B117" s="93" t="s">
        <v>1819</v>
      </c>
      <c r="C117" s="574">
        <v>1.1181851134988836</v>
      </c>
      <c r="D117" s="100">
        <f t="shared" si="15"/>
        <v>41200.294631868113</v>
      </c>
      <c r="E117" s="100">
        <f t="shared" si="16"/>
        <v>2548320.6235703067</v>
      </c>
      <c r="F117" s="100">
        <f t="shared" si="25"/>
        <v>-2610.9037095446256</v>
      </c>
      <c r="G117" s="100">
        <f t="shared" si="17"/>
        <v>-161489.61624275419</v>
      </c>
      <c r="H117" s="100">
        <f t="shared" si="26"/>
        <v>0</v>
      </c>
      <c r="I117" s="100">
        <f t="shared" si="18"/>
        <v>0</v>
      </c>
      <c r="J117" s="100">
        <f t="shared" si="19"/>
        <v>-420.03543870207375</v>
      </c>
      <c r="K117" s="100">
        <f t="shared" si="20"/>
        <v>-25980.031954600665</v>
      </c>
      <c r="L117" s="101">
        <f t="shared" si="21"/>
        <v>-187469.64819735487</v>
      </c>
      <c r="M117" s="100">
        <f t="shared" si="22"/>
        <v>2360850.9753729519</v>
      </c>
      <c r="N117" s="102">
        <f t="shared" si="23"/>
        <v>38169.355483621417</v>
      </c>
      <c r="O117" s="94">
        <f t="shared" si="24"/>
        <v>1.0359247543006527</v>
      </c>
      <c r="P117" s="100">
        <f>'Bef.fremskr. kommunenivå MMMM'!H112</f>
        <v>61852</v>
      </c>
      <c r="Q117" s="100"/>
      <c r="R117" s="100">
        <f t="shared" si="27"/>
        <v>0</v>
      </c>
      <c r="S117" s="100">
        <v>0</v>
      </c>
      <c r="U117" s="100">
        <v>0</v>
      </c>
      <c r="V117" s="5">
        <f t="shared" si="28"/>
        <v>2548320.6235703067</v>
      </c>
      <c r="W117" s="5">
        <f t="shared" si="29"/>
        <v>41200.294631868121</v>
      </c>
    </row>
    <row r="118" spans="1:23" ht="13">
      <c r="A118" s="92">
        <v>3021</v>
      </c>
      <c r="B118" s="93" t="s">
        <v>381</v>
      </c>
      <c r="C118" s="574">
        <v>0.92761282334769035</v>
      </c>
      <c r="D118" s="100">
        <f t="shared" si="15"/>
        <v>34178.528371422493</v>
      </c>
      <c r="E118" s="100">
        <f t="shared" si="16"/>
        <v>732377.50594284118</v>
      </c>
      <c r="F118" s="100">
        <f t="shared" si="25"/>
        <v>1602.1560467227464</v>
      </c>
      <c r="G118" s="100">
        <f t="shared" si="17"/>
        <v>34330.99976917501</v>
      </c>
      <c r="H118" s="100">
        <f t="shared" si="26"/>
        <v>0</v>
      </c>
      <c r="I118" s="100">
        <f t="shared" si="18"/>
        <v>0</v>
      </c>
      <c r="J118" s="100">
        <f t="shared" si="19"/>
        <v>-420.03543870207375</v>
      </c>
      <c r="K118" s="100">
        <f t="shared" si="20"/>
        <v>-9000.5193805080362</v>
      </c>
      <c r="L118" s="101">
        <f t="shared" si="21"/>
        <v>25330.480388666976</v>
      </c>
      <c r="M118" s="100">
        <f t="shared" si="22"/>
        <v>757707.98633150815</v>
      </c>
      <c r="N118" s="102">
        <f t="shared" si="23"/>
        <v>35360.648979443169</v>
      </c>
      <c r="O118" s="94">
        <f t="shared" si="24"/>
        <v>0.95969583824017535</v>
      </c>
      <c r="P118" s="100">
        <f>'Bef.fremskr. kommunenivå MMMM'!H113</f>
        <v>21428</v>
      </c>
      <c r="Q118" s="100"/>
      <c r="R118" s="100">
        <f t="shared" si="27"/>
        <v>0</v>
      </c>
      <c r="S118" s="100">
        <v>0</v>
      </c>
      <c r="U118" s="100">
        <v>0</v>
      </c>
      <c r="V118" s="5">
        <f t="shared" si="28"/>
        <v>732377.50594284118</v>
      </c>
      <c r="W118" s="5">
        <f t="shared" si="29"/>
        <v>34178.528371422493</v>
      </c>
    </row>
    <row r="119" spans="1:23" ht="13">
      <c r="A119" s="92">
        <v>3022</v>
      </c>
      <c r="B119" s="93" t="s">
        <v>382</v>
      </c>
      <c r="C119" s="574">
        <v>1.1973643193761379</v>
      </c>
      <c r="D119" s="100">
        <f t="shared" si="15"/>
        <v>44117.706580460894</v>
      </c>
      <c r="E119" s="100">
        <f t="shared" si="16"/>
        <v>715456.84761533432</v>
      </c>
      <c r="F119" s="100">
        <f t="shared" si="25"/>
        <v>-4361.3508787002938</v>
      </c>
      <c r="G119" s="100">
        <f t="shared" si="17"/>
        <v>-70728.027199882665</v>
      </c>
      <c r="H119" s="100">
        <f t="shared" si="26"/>
        <v>0</v>
      </c>
      <c r="I119" s="100">
        <f t="shared" si="18"/>
        <v>0</v>
      </c>
      <c r="J119" s="100">
        <f t="shared" si="19"/>
        <v>-420.03543870207375</v>
      </c>
      <c r="K119" s="100">
        <f t="shared" si="20"/>
        <v>-6811.7147094315296</v>
      </c>
      <c r="L119" s="101">
        <f t="shared" si="21"/>
        <v>-77539.741909314194</v>
      </c>
      <c r="M119" s="100">
        <f t="shared" si="22"/>
        <v>637917.10570602014</v>
      </c>
      <c r="N119" s="102">
        <f t="shared" si="23"/>
        <v>39336.320263058529</v>
      </c>
      <c r="O119" s="94">
        <f t="shared" si="24"/>
        <v>1.0675964366515545</v>
      </c>
      <c r="P119" s="100">
        <f>'Bef.fremskr. kommunenivå MMMM'!H114</f>
        <v>16217</v>
      </c>
      <c r="Q119" s="100"/>
      <c r="R119" s="100">
        <f t="shared" si="27"/>
        <v>0</v>
      </c>
      <c r="S119" s="100">
        <v>0</v>
      </c>
      <c r="U119" s="100">
        <v>0</v>
      </c>
      <c r="V119" s="5">
        <f t="shared" si="28"/>
        <v>715456.84761533432</v>
      </c>
      <c r="W119" s="5">
        <f t="shared" si="29"/>
        <v>44117.706580460894</v>
      </c>
    </row>
    <row r="120" spans="1:23" ht="13">
      <c r="A120" s="92">
        <v>3023</v>
      </c>
      <c r="B120" s="93" t="s">
        <v>383</v>
      </c>
      <c r="C120" s="574">
        <v>1.0432648365434303</v>
      </c>
      <c r="D120" s="100">
        <f t="shared" si="15"/>
        <v>38439.805829788456</v>
      </c>
      <c r="E120" s="100">
        <f t="shared" si="16"/>
        <v>771410.02339219477</v>
      </c>
      <c r="F120" s="100">
        <f t="shared" si="25"/>
        <v>-954.61042829683129</v>
      </c>
      <c r="G120" s="100">
        <f t="shared" si="17"/>
        <v>-19157.122075060812</v>
      </c>
      <c r="H120" s="100">
        <f t="shared" si="26"/>
        <v>0</v>
      </c>
      <c r="I120" s="100">
        <f t="shared" si="18"/>
        <v>0</v>
      </c>
      <c r="J120" s="100">
        <f t="shared" si="19"/>
        <v>-420.03543870207375</v>
      </c>
      <c r="K120" s="100">
        <f t="shared" si="20"/>
        <v>-8429.2711838732157</v>
      </c>
      <c r="L120" s="101">
        <f t="shared" si="21"/>
        <v>-27586.393258934026</v>
      </c>
      <c r="M120" s="100">
        <f t="shared" si="22"/>
        <v>743823.63013326074</v>
      </c>
      <c r="N120" s="102">
        <f t="shared" si="23"/>
        <v>37065.159962789548</v>
      </c>
      <c r="O120" s="94">
        <f t="shared" si="24"/>
        <v>1.005956643518471</v>
      </c>
      <c r="P120" s="100">
        <f>'Bef.fremskr. kommunenivå MMMM'!H115</f>
        <v>20068</v>
      </c>
      <c r="Q120" s="100"/>
      <c r="R120" s="100">
        <f t="shared" si="27"/>
        <v>0</v>
      </c>
      <c r="S120" s="100">
        <v>0</v>
      </c>
      <c r="U120" s="100">
        <v>0</v>
      </c>
      <c r="V120" s="5">
        <f t="shared" si="28"/>
        <v>771410.02339219477</v>
      </c>
      <c r="W120" s="5">
        <f t="shared" si="29"/>
        <v>38439.805829788456</v>
      </c>
    </row>
    <row r="121" spans="1:23" ht="13">
      <c r="A121" s="92">
        <v>3024</v>
      </c>
      <c r="B121" s="93" t="s">
        <v>386</v>
      </c>
      <c r="C121" s="574">
        <v>1.6524725986019693</v>
      </c>
      <c r="D121" s="100">
        <f t="shared" si="15"/>
        <v>60886.482132153549</v>
      </c>
      <c r="E121" s="100">
        <f t="shared" si="16"/>
        <v>7910554.4180557849</v>
      </c>
      <c r="F121" s="100">
        <f t="shared" si="25"/>
        <v>-14422.616209715887</v>
      </c>
      <c r="G121" s="100">
        <f t="shared" si="17"/>
        <v>-1873829.565814917</v>
      </c>
      <c r="H121" s="100">
        <f t="shared" si="26"/>
        <v>0</v>
      </c>
      <c r="I121" s="100">
        <f t="shared" si="18"/>
        <v>0</v>
      </c>
      <c r="J121" s="100">
        <f t="shared" si="19"/>
        <v>-420.03543870207375</v>
      </c>
      <c r="K121" s="100">
        <f t="shared" si="20"/>
        <v>-54572.26430248953</v>
      </c>
      <c r="L121" s="101">
        <f t="shared" si="21"/>
        <v>-1928401.8301174066</v>
      </c>
      <c r="M121" s="100">
        <f t="shared" si="22"/>
        <v>5982152.5879383786</v>
      </c>
      <c r="N121" s="102">
        <f t="shared" si="23"/>
        <v>46043.830483735583</v>
      </c>
      <c r="O121" s="94">
        <f t="shared" si="24"/>
        <v>1.2496397483418868</v>
      </c>
      <c r="P121" s="100">
        <f>'Bef.fremskr. kommunenivå MMMM'!H116</f>
        <v>129923</v>
      </c>
      <c r="Q121" s="100"/>
      <c r="R121" s="100">
        <f t="shared" si="27"/>
        <v>0</v>
      </c>
      <c r="S121" s="100">
        <v>0</v>
      </c>
      <c r="U121" s="100">
        <v>0</v>
      </c>
      <c r="V121" s="5">
        <f t="shared" si="28"/>
        <v>7910554.4180557849</v>
      </c>
      <c r="W121" s="5">
        <f t="shared" si="29"/>
        <v>60886.482132153549</v>
      </c>
    </row>
    <row r="122" spans="1:23" ht="13">
      <c r="A122" s="92">
        <v>3025</v>
      </c>
      <c r="B122" s="93" t="s">
        <v>387</v>
      </c>
      <c r="C122" s="574">
        <v>1.3537492218655143</v>
      </c>
      <c r="D122" s="100">
        <f t="shared" si="15"/>
        <v>49879.815180151803</v>
      </c>
      <c r="E122" s="100">
        <f t="shared" si="16"/>
        <v>4842482.0971346777</v>
      </c>
      <c r="F122" s="100">
        <f t="shared" si="25"/>
        <v>-7818.6160385148396</v>
      </c>
      <c r="G122" s="100">
        <f t="shared" si="17"/>
        <v>-759054.70086713613</v>
      </c>
      <c r="H122" s="100">
        <f t="shared" si="26"/>
        <v>0</v>
      </c>
      <c r="I122" s="100">
        <f t="shared" si="18"/>
        <v>0</v>
      </c>
      <c r="J122" s="100">
        <f t="shared" si="19"/>
        <v>-420.03543870207375</v>
      </c>
      <c r="K122" s="100">
        <f t="shared" si="20"/>
        <v>-40778.300495513424</v>
      </c>
      <c r="L122" s="101">
        <f t="shared" si="21"/>
        <v>-799833.00136264949</v>
      </c>
      <c r="M122" s="100">
        <f t="shared" si="22"/>
        <v>4042649.095772028</v>
      </c>
      <c r="N122" s="102">
        <f t="shared" si="23"/>
        <v>41641.163702934893</v>
      </c>
      <c r="O122" s="94">
        <f t="shared" si="24"/>
        <v>1.1301503976473048</v>
      </c>
      <c r="P122" s="100">
        <f>'Bef.fremskr. kommunenivå MMMM'!H117</f>
        <v>97083</v>
      </c>
      <c r="Q122" s="100"/>
      <c r="R122" s="100">
        <f t="shared" si="27"/>
        <v>0</v>
      </c>
      <c r="S122" s="100">
        <v>0</v>
      </c>
      <c r="U122" s="100">
        <v>0</v>
      </c>
      <c r="V122" s="5">
        <f t="shared" si="28"/>
        <v>4842482.0971346777</v>
      </c>
      <c r="W122" s="5">
        <f t="shared" si="29"/>
        <v>49879.815180151811</v>
      </c>
    </row>
    <row r="123" spans="1:23" ht="13">
      <c r="A123" s="92">
        <v>3026</v>
      </c>
      <c r="B123" s="93" t="s">
        <v>388</v>
      </c>
      <c r="C123" s="574">
        <v>0.7880832299763284</v>
      </c>
      <c r="D123" s="100">
        <f t="shared" si="15"/>
        <v>29037.465154459351</v>
      </c>
      <c r="E123" s="100">
        <f t="shared" si="16"/>
        <v>518870.46484503412</v>
      </c>
      <c r="F123" s="100">
        <f t="shared" si="25"/>
        <v>4686.7939769006316</v>
      </c>
      <c r="G123" s="100">
        <f t="shared" si="17"/>
        <v>83748.321573237394</v>
      </c>
      <c r="H123" s="100">
        <f t="shared" si="26"/>
        <v>1444.2555574667551</v>
      </c>
      <c r="I123" s="100">
        <f t="shared" si="18"/>
        <v>25807.402556373447</v>
      </c>
      <c r="J123" s="100">
        <f t="shared" si="19"/>
        <v>1024.2201187646815</v>
      </c>
      <c r="K123" s="100">
        <f t="shared" si="20"/>
        <v>18301.789302206096</v>
      </c>
      <c r="L123" s="101">
        <f t="shared" si="21"/>
        <v>102050.1108754435</v>
      </c>
      <c r="M123" s="100">
        <f t="shared" si="22"/>
        <v>620920.57572047762</v>
      </c>
      <c r="N123" s="102">
        <f t="shared" si="23"/>
        <v>34748.479250124663</v>
      </c>
      <c r="O123" s="94">
        <f t="shared" si="24"/>
        <v>0.9430814163197766</v>
      </c>
      <c r="P123" s="100">
        <f>'Bef.fremskr. kommunenivå MMMM'!H118</f>
        <v>17869</v>
      </c>
      <c r="Q123" s="100"/>
      <c r="R123" s="100">
        <f t="shared" si="27"/>
        <v>0</v>
      </c>
      <c r="S123" s="100">
        <v>0</v>
      </c>
      <c r="U123" s="100">
        <v>0</v>
      </c>
      <c r="V123" s="5">
        <f t="shared" si="28"/>
        <v>518870.46484503412</v>
      </c>
      <c r="W123" s="5">
        <f t="shared" si="29"/>
        <v>29037.465154459351</v>
      </c>
    </row>
    <row r="124" spans="1:23" ht="13">
      <c r="A124" s="92">
        <v>3027</v>
      </c>
      <c r="B124" s="93" t="s">
        <v>389</v>
      </c>
      <c r="C124" s="574">
        <v>0.99768730898521407</v>
      </c>
      <c r="D124" s="100">
        <f t="shared" si="15"/>
        <v>36760.47068096431</v>
      </c>
      <c r="E124" s="100">
        <f t="shared" si="16"/>
        <v>717968.75286991394</v>
      </c>
      <c r="F124" s="100">
        <f t="shared" si="25"/>
        <v>52.990660997656228</v>
      </c>
      <c r="G124" s="100">
        <f t="shared" si="17"/>
        <v>1034.9605999452237</v>
      </c>
      <c r="H124" s="100">
        <f t="shared" si="26"/>
        <v>0</v>
      </c>
      <c r="I124" s="100">
        <f t="shared" si="18"/>
        <v>0</v>
      </c>
      <c r="J124" s="100">
        <f t="shared" si="19"/>
        <v>-420.03543870207375</v>
      </c>
      <c r="K124" s="100">
        <f t="shared" si="20"/>
        <v>-8203.712153290202</v>
      </c>
      <c r="L124" s="101">
        <f t="shared" si="21"/>
        <v>-7168.7515533449787</v>
      </c>
      <c r="M124" s="100">
        <f t="shared" si="22"/>
        <v>710800.00131656905</v>
      </c>
      <c r="N124" s="102">
        <f t="shared" si="23"/>
        <v>36393.4259032599</v>
      </c>
      <c r="O124" s="94">
        <f t="shared" si="24"/>
        <v>0.98772563249518497</v>
      </c>
      <c r="P124" s="100">
        <f>'Bef.fremskr. kommunenivå MMMM'!H119</f>
        <v>19531</v>
      </c>
      <c r="Q124" s="100"/>
      <c r="R124" s="100">
        <f t="shared" si="27"/>
        <v>0</v>
      </c>
      <c r="S124" s="100">
        <v>0</v>
      </c>
      <c r="U124" s="100">
        <v>12.209666666666669</v>
      </c>
      <c r="V124" s="5">
        <f t="shared" si="28"/>
        <v>717956.54320324725</v>
      </c>
      <c r="W124" s="5">
        <f t="shared" si="29"/>
        <v>36759.845538029142</v>
      </c>
    </row>
    <row r="125" spans="1:23" ht="13">
      <c r="A125" s="92">
        <v>3028</v>
      </c>
      <c r="B125" s="93" t="s">
        <v>390</v>
      </c>
      <c r="C125" s="574">
        <v>0.83893314971771671</v>
      </c>
      <c r="D125" s="100">
        <f t="shared" si="15"/>
        <v>30911.065196223935</v>
      </c>
      <c r="E125" s="100">
        <f t="shared" si="16"/>
        <v>353220.74199725094</v>
      </c>
      <c r="F125" s="100">
        <f t="shared" si="25"/>
        <v>3562.6339518418813</v>
      </c>
      <c r="G125" s="100">
        <f t="shared" si="17"/>
        <v>40710.218167697174</v>
      </c>
      <c r="H125" s="100">
        <f t="shared" si="26"/>
        <v>788.49554284915064</v>
      </c>
      <c r="I125" s="100">
        <f t="shared" si="18"/>
        <v>9010.1385681372449</v>
      </c>
      <c r="J125" s="100">
        <f t="shared" si="19"/>
        <v>368.46010414707689</v>
      </c>
      <c r="K125" s="100">
        <f t="shared" si="20"/>
        <v>4210.3936100886476</v>
      </c>
      <c r="L125" s="101">
        <f t="shared" si="21"/>
        <v>44920.611777785824</v>
      </c>
      <c r="M125" s="100">
        <f t="shared" si="22"/>
        <v>398141.35377503675</v>
      </c>
      <c r="N125" s="102">
        <f t="shared" si="23"/>
        <v>34842.159252212892</v>
      </c>
      <c r="O125" s="94">
        <f t="shared" si="24"/>
        <v>0.94562391230684606</v>
      </c>
      <c r="P125" s="100">
        <f>'Bef.fremskr. kommunenivå MMMM'!H120</f>
        <v>11427</v>
      </c>
      <c r="Q125" s="100"/>
      <c r="R125" s="100">
        <f t="shared" si="27"/>
        <v>0</v>
      </c>
      <c r="S125" s="100">
        <v>0</v>
      </c>
      <c r="U125" s="100">
        <v>9.2296666666666667</v>
      </c>
      <c r="V125" s="5">
        <f t="shared" si="28"/>
        <v>353211.51233058429</v>
      </c>
      <c r="W125" s="5">
        <f t="shared" si="29"/>
        <v>30910.257489330907</v>
      </c>
    </row>
    <row r="126" spans="1:23" ht="13">
      <c r="A126" s="92">
        <v>3029</v>
      </c>
      <c r="B126" s="93" t="s">
        <v>391</v>
      </c>
      <c r="C126" s="574">
        <v>1.0222844435180924</v>
      </c>
      <c r="D126" s="100">
        <f t="shared" si="15"/>
        <v>37666.768911570558</v>
      </c>
      <c r="E126" s="100">
        <f t="shared" si="16"/>
        <v>1749169.4147155134</v>
      </c>
      <c r="F126" s="100">
        <f t="shared" si="25"/>
        <v>-490.78827736609236</v>
      </c>
      <c r="G126" s="100">
        <f t="shared" si="17"/>
        <v>-22791.226024326596</v>
      </c>
      <c r="H126" s="100">
        <f t="shared" si="26"/>
        <v>0</v>
      </c>
      <c r="I126" s="100">
        <f t="shared" si="18"/>
        <v>0</v>
      </c>
      <c r="J126" s="100">
        <f t="shared" si="19"/>
        <v>-420.03543870207375</v>
      </c>
      <c r="K126" s="100">
        <f t="shared" si="20"/>
        <v>-19505.605702446901</v>
      </c>
      <c r="L126" s="101">
        <f t="shared" si="21"/>
        <v>-42296.831726773496</v>
      </c>
      <c r="M126" s="100">
        <f t="shared" si="22"/>
        <v>1706872.5829887397</v>
      </c>
      <c r="N126" s="102">
        <f t="shared" si="23"/>
        <v>36755.945195502383</v>
      </c>
      <c r="O126" s="94">
        <f t="shared" si="24"/>
        <v>0.99756448630833583</v>
      </c>
      <c r="P126" s="100">
        <f>'Bef.fremskr. kommunenivå MMMM'!H121</f>
        <v>46438</v>
      </c>
      <c r="Q126" s="100"/>
      <c r="R126" s="100">
        <f t="shared" si="27"/>
        <v>0</v>
      </c>
      <c r="S126" s="100">
        <v>0</v>
      </c>
      <c r="U126" s="100">
        <v>0</v>
      </c>
      <c r="V126" s="5">
        <f t="shared" si="28"/>
        <v>1749169.4147155134</v>
      </c>
      <c r="W126" s="5">
        <f t="shared" si="29"/>
        <v>37666.768911570558</v>
      </c>
    </row>
    <row r="127" spans="1:23" ht="13">
      <c r="A127" s="92">
        <v>3030</v>
      </c>
      <c r="B127" s="93" t="s">
        <v>1820</v>
      </c>
      <c r="C127" s="574">
        <v>1.0000680436058893</v>
      </c>
      <c r="D127" s="100">
        <f t="shared" si="15"/>
        <v>36848.190474966206</v>
      </c>
      <c r="E127" s="100">
        <f t="shared" si="16"/>
        <v>3341836.0905556348</v>
      </c>
      <c r="F127" s="100">
        <f t="shared" si="25"/>
        <v>0.35878459651867162</v>
      </c>
      <c r="G127" s="100">
        <f t="shared" si="17"/>
        <v>32.53889262747137</v>
      </c>
      <c r="H127" s="100">
        <f t="shared" si="26"/>
        <v>0</v>
      </c>
      <c r="I127" s="100">
        <f t="shared" si="18"/>
        <v>0</v>
      </c>
      <c r="J127" s="100">
        <f t="shared" si="19"/>
        <v>-420.03543870207375</v>
      </c>
      <c r="K127" s="100">
        <f t="shared" si="20"/>
        <v>-38093.854006768473</v>
      </c>
      <c r="L127" s="101">
        <f t="shared" si="21"/>
        <v>-38061.315114141005</v>
      </c>
      <c r="M127" s="100">
        <f t="shared" si="22"/>
        <v>3303774.7754414938</v>
      </c>
      <c r="N127" s="102">
        <f t="shared" si="23"/>
        <v>36428.513820860651</v>
      </c>
      <c r="O127" s="94">
        <f t="shared" si="24"/>
        <v>0.98867792634345486</v>
      </c>
      <c r="P127" s="100">
        <f>'Bef.fremskr. kommunenivå MMMM'!H122</f>
        <v>90692</v>
      </c>
      <c r="Q127" s="100"/>
      <c r="R127" s="100">
        <f t="shared" si="27"/>
        <v>0</v>
      </c>
      <c r="S127" s="100">
        <v>0</v>
      </c>
      <c r="U127" s="100">
        <v>2269.7153333333331</v>
      </c>
      <c r="V127" s="5">
        <f t="shared" si="28"/>
        <v>3339566.3752223016</v>
      </c>
      <c r="W127" s="5">
        <f t="shared" si="29"/>
        <v>36823.163842701688</v>
      </c>
    </row>
    <row r="128" spans="1:23" ht="13">
      <c r="A128" s="92">
        <v>3031</v>
      </c>
      <c r="B128" s="93" t="s">
        <v>392</v>
      </c>
      <c r="C128" s="574">
        <v>1.0467047648406926</v>
      </c>
      <c r="D128" s="100">
        <f t="shared" si="15"/>
        <v>38566.552338616711</v>
      </c>
      <c r="E128" s="100">
        <f t="shared" si="16"/>
        <v>975849.47382401861</v>
      </c>
      <c r="F128" s="100">
        <f t="shared" si="25"/>
        <v>-1030.6583335937844</v>
      </c>
      <c r="G128" s="100">
        <f t="shared" si="17"/>
        <v>-26078.747814923525</v>
      </c>
      <c r="H128" s="100">
        <f t="shared" si="26"/>
        <v>0</v>
      </c>
      <c r="I128" s="100">
        <f t="shared" si="18"/>
        <v>0</v>
      </c>
      <c r="J128" s="100">
        <f t="shared" si="19"/>
        <v>-420.03543870207375</v>
      </c>
      <c r="K128" s="100">
        <f t="shared" si="20"/>
        <v>-10628.156705478572</v>
      </c>
      <c r="L128" s="101">
        <f t="shared" si="21"/>
        <v>-36706.904520402095</v>
      </c>
      <c r="M128" s="100">
        <f t="shared" si="22"/>
        <v>939142.56930361653</v>
      </c>
      <c r="N128" s="102">
        <f t="shared" si="23"/>
        <v>37115.858566320851</v>
      </c>
      <c r="O128" s="94">
        <f t="shared" si="24"/>
        <v>1.007332614837376</v>
      </c>
      <c r="P128" s="100">
        <f>'Bef.fremskr. kommunenivå MMMM'!H123</f>
        <v>25303</v>
      </c>
      <c r="Q128" s="100"/>
      <c r="R128" s="100">
        <f t="shared" si="27"/>
        <v>0</v>
      </c>
      <c r="S128" s="100">
        <v>0</v>
      </c>
      <c r="U128" s="100">
        <v>0</v>
      </c>
      <c r="V128" s="5">
        <f t="shared" si="28"/>
        <v>975849.47382401861</v>
      </c>
      <c r="W128" s="5">
        <f t="shared" si="29"/>
        <v>38566.552338616711</v>
      </c>
    </row>
    <row r="129" spans="1:23" ht="13">
      <c r="A129" s="92">
        <v>3032</v>
      </c>
      <c r="B129" s="93" t="s">
        <v>393</v>
      </c>
      <c r="C129" s="574">
        <v>1.0936200430019563</v>
      </c>
      <c r="D129" s="100">
        <f t="shared" si="15"/>
        <v>40295.177822577818</v>
      </c>
      <c r="E129" s="100">
        <f t="shared" si="16"/>
        <v>284927.20238344779</v>
      </c>
      <c r="F129" s="100">
        <f t="shared" si="25"/>
        <v>-2067.8336239704481</v>
      </c>
      <c r="G129" s="100">
        <f t="shared" si="17"/>
        <v>-14621.651555095039</v>
      </c>
      <c r="H129" s="100">
        <f t="shared" si="26"/>
        <v>0</v>
      </c>
      <c r="I129" s="100">
        <f t="shared" si="18"/>
        <v>0</v>
      </c>
      <c r="J129" s="100">
        <f t="shared" si="19"/>
        <v>-420.03543870207375</v>
      </c>
      <c r="K129" s="100">
        <f t="shared" si="20"/>
        <v>-2970.0705870623633</v>
      </c>
      <c r="L129" s="101">
        <f t="shared" si="21"/>
        <v>-17591.722142157403</v>
      </c>
      <c r="M129" s="100">
        <f t="shared" si="22"/>
        <v>267335.48024129041</v>
      </c>
      <c r="N129" s="102">
        <f t="shared" si="23"/>
        <v>37807.308759905303</v>
      </c>
      <c r="O129" s="94">
        <f t="shared" si="24"/>
        <v>1.0260987261018819</v>
      </c>
      <c r="P129" s="100">
        <f>'Bef.fremskr. kommunenivå MMMM'!H124</f>
        <v>7071</v>
      </c>
      <c r="Q129" s="100"/>
      <c r="R129" s="100">
        <f t="shared" si="27"/>
        <v>0</v>
      </c>
      <c r="S129" s="100">
        <v>0</v>
      </c>
      <c r="U129" s="100">
        <v>0</v>
      </c>
      <c r="V129" s="5">
        <f t="shared" si="28"/>
        <v>284927.20238344779</v>
      </c>
      <c r="W129" s="5">
        <f t="shared" si="29"/>
        <v>40295.177822577818</v>
      </c>
    </row>
    <row r="130" spans="1:23" ht="13">
      <c r="A130" s="92">
        <v>3033</v>
      </c>
      <c r="B130" s="93" t="s">
        <v>394</v>
      </c>
      <c r="C130" s="574">
        <v>0.91541955195247215</v>
      </c>
      <c r="D130" s="100">
        <f t="shared" si="15"/>
        <v>33729.25895444968</v>
      </c>
      <c r="E130" s="100">
        <f t="shared" si="16"/>
        <v>1442870.2395534485</v>
      </c>
      <c r="F130" s="100">
        <f t="shared" si="25"/>
        <v>1871.717696906434</v>
      </c>
      <c r="G130" s="100">
        <f t="shared" si="17"/>
        <v>80068.339638263438</v>
      </c>
      <c r="H130" s="100">
        <f t="shared" si="26"/>
        <v>0</v>
      </c>
      <c r="I130" s="100">
        <f t="shared" si="18"/>
        <v>0</v>
      </c>
      <c r="J130" s="100">
        <f t="shared" si="19"/>
        <v>-420.03543870207375</v>
      </c>
      <c r="K130" s="100">
        <f t="shared" si="20"/>
        <v>-17968.275996797311</v>
      </c>
      <c r="L130" s="101">
        <f t="shared" si="21"/>
        <v>62100.063641466128</v>
      </c>
      <c r="M130" s="100">
        <f t="shared" si="22"/>
        <v>1504970.3031949147</v>
      </c>
      <c r="N130" s="102">
        <f t="shared" si="23"/>
        <v>35180.941212654048</v>
      </c>
      <c r="O130" s="94">
        <f t="shared" si="24"/>
        <v>0.95481852968208814</v>
      </c>
      <c r="P130" s="100">
        <f>'Bef.fremskr. kommunenivå MMMM'!H125</f>
        <v>42778</v>
      </c>
      <c r="Q130" s="100"/>
      <c r="R130" s="100">
        <f t="shared" si="27"/>
        <v>0</v>
      </c>
      <c r="S130" s="100">
        <v>0</v>
      </c>
      <c r="U130" s="100">
        <v>0</v>
      </c>
      <c r="V130" s="5">
        <f t="shared" si="28"/>
        <v>1442870.2395534485</v>
      </c>
      <c r="W130" s="5">
        <f t="shared" si="29"/>
        <v>33729.25895444968</v>
      </c>
    </row>
    <row r="131" spans="1:23" ht="13">
      <c r="A131" s="92">
        <v>3034</v>
      </c>
      <c r="B131" s="93" t="s">
        <v>395</v>
      </c>
      <c r="C131" s="574">
        <v>0.83740660479388196</v>
      </c>
      <c r="D131" s="100">
        <f t="shared" si="15"/>
        <v>30854.818605322744</v>
      </c>
      <c r="E131" s="100">
        <f t="shared" si="16"/>
        <v>750913.72039773967</v>
      </c>
      <c r="F131" s="100">
        <f t="shared" si="25"/>
        <v>3596.3819063825963</v>
      </c>
      <c r="G131" s="100">
        <f t="shared" si="17"/>
        <v>87525.14645563325</v>
      </c>
      <c r="H131" s="100">
        <f t="shared" si="26"/>
        <v>808.18184966456772</v>
      </c>
      <c r="I131" s="100">
        <f t="shared" si="18"/>
        <v>19668.721675286582</v>
      </c>
      <c r="J131" s="100">
        <f t="shared" si="19"/>
        <v>388.14641096249397</v>
      </c>
      <c r="K131" s="100">
        <f t="shared" si="20"/>
        <v>9446.3192035942157</v>
      </c>
      <c r="L131" s="101">
        <f t="shared" si="21"/>
        <v>96971.46565922747</v>
      </c>
      <c r="M131" s="100">
        <f t="shared" si="22"/>
        <v>847885.18605696713</v>
      </c>
      <c r="N131" s="102">
        <f t="shared" si="23"/>
        <v>34839.346922667835</v>
      </c>
      <c r="O131" s="94">
        <f t="shared" si="24"/>
        <v>0.94554758506065439</v>
      </c>
      <c r="P131" s="100">
        <f>'Bef.fremskr. kommunenivå MMMM'!H126</f>
        <v>24337</v>
      </c>
      <c r="Q131" s="100"/>
      <c r="R131" s="100">
        <f t="shared" si="27"/>
        <v>0</v>
      </c>
      <c r="S131" s="100">
        <v>0</v>
      </c>
      <c r="U131" s="100">
        <v>7719.6986666666671</v>
      </c>
      <c r="V131" s="5">
        <f t="shared" si="28"/>
        <v>743194.02173107304</v>
      </c>
      <c r="W131" s="5">
        <f t="shared" si="29"/>
        <v>30537.618512186094</v>
      </c>
    </row>
    <row r="132" spans="1:23" ht="13">
      <c r="A132" s="92">
        <v>3035</v>
      </c>
      <c r="B132" s="93" t="s">
        <v>396</v>
      </c>
      <c r="C132" s="574">
        <v>0.8010822726873158</v>
      </c>
      <c r="D132" s="100">
        <f t="shared" si="15"/>
        <v>29516.423766195021</v>
      </c>
      <c r="E132" s="100">
        <f t="shared" si="16"/>
        <v>805562.2374269946</v>
      </c>
      <c r="F132" s="100">
        <f t="shared" si="25"/>
        <v>4399.4188098592294</v>
      </c>
      <c r="G132" s="100">
        <f t="shared" si="17"/>
        <v>120068.93815867808</v>
      </c>
      <c r="H132" s="100">
        <f t="shared" si="26"/>
        <v>1276.6200433592705</v>
      </c>
      <c r="I132" s="100">
        <f t="shared" si="18"/>
        <v>34841.514223361206</v>
      </c>
      <c r="J132" s="100">
        <f t="shared" si="19"/>
        <v>856.58460465719679</v>
      </c>
      <c r="K132" s="100">
        <f t="shared" si="20"/>
        <v>23377.907030304217</v>
      </c>
      <c r="L132" s="101">
        <f t="shared" si="21"/>
        <v>143446.84518898229</v>
      </c>
      <c r="M132" s="100">
        <f t="shared" si="22"/>
        <v>949009.08261597692</v>
      </c>
      <c r="N132" s="102">
        <f t="shared" si="23"/>
        <v>34772.427180711449</v>
      </c>
      <c r="O132" s="94">
        <f t="shared" si="24"/>
        <v>0.94373136845532601</v>
      </c>
      <c r="P132" s="100">
        <f>'Bef.fremskr. kommunenivå MMMM'!H127</f>
        <v>27292</v>
      </c>
      <c r="Q132" s="100"/>
      <c r="R132" s="100">
        <f t="shared" si="27"/>
        <v>0</v>
      </c>
      <c r="S132" s="100">
        <v>0</v>
      </c>
      <c r="U132" s="100">
        <v>755.41233333333332</v>
      </c>
      <c r="V132" s="5">
        <f t="shared" si="28"/>
        <v>804806.82509366132</v>
      </c>
      <c r="W132" s="5">
        <f t="shared" si="29"/>
        <v>29488.744873723484</v>
      </c>
    </row>
    <row r="133" spans="1:23" ht="13">
      <c r="A133" s="92">
        <v>3036</v>
      </c>
      <c r="B133" s="93" t="s">
        <v>397</v>
      </c>
      <c r="C133" s="574">
        <v>0.83001891404698747</v>
      </c>
      <c r="D133" s="100">
        <f t="shared" si="15"/>
        <v>30582.614091287705</v>
      </c>
      <c r="E133" s="100">
        <f t="shared" si="16"/>
        <v>475284.40559270221</v>
      </c>
      <c r="F133" s="100">
        <f t="shared" si="25"/>
        <v>3759.7046148036188</v>
      </c>
      <c r="G133" s="100">
        <f t="shared" si="17"/>
        <v>58429.569418663043</v>
      </c>
      <c r="H133" s="100">
        <f t="shared" si="26"/>
        <v>903.45342957683113</v>
      </c>
      <c r="I133" s="100">
        <f t="shared" si="18"/>
        <v>14040.569749053533</v>
      </c>
      <c r="J133" s="100">
        <f t="shared" si="19"/>
        <v>483.41799087475738</v>
      </c>
      <c r="K133" s="100">
        <f t="shared" si="20"/>
        <v>7512.7989961846042</v>
      </c>
      <c r="L133" s="101">
        <f t="shared" si="21"/>
        <v>65942.368414847646</v>
      </c>
      <c r="M133" s="100">
        <f t="shared" si="22"/>
        <v>541226.77400754986</v>
      </c>
      <c r="N133" s="102">
        <f t="shared" si="23"/>
        <v>34825.73669696608</v>
      </c>
      <c r="O133" s="94">
        <f t="shared" si="24"/>
        <v>0.94517820052330959</v>
      </c>
      <c r="P133" s="100">
        <f>'Bef.fremskr. kommunenivå MMMM'!H128</f>
        <v>15541</v>
      </c>
      <c r="Q133" s="100"/>
      <c r="R133" s="100">
        <f t="shared" si="27"/>
        <v>0</v>
      </c>
      <c r="S133" s="100">
        <v>0</v>
      </c>
      <c r="U133" s="100">
        <v>26.251999999999999</v>
      </c>
      <c r="V133" s="5">
        <f t="shared" si="28"/>
        <v>475258.15359270223</v>
      </c>
      <c r="W133" s="5">
        <f t="shared" si="29"/>
        <v>30580.924882099105</v>
      </c>
    </row>
    <row r="134" spans="1:23" ht="13">
      <c r="A134" s="92">
        <v>3037</v>
      </c>
      <c r="B134" s="93" t="s">
        <v>398</v>
      </c>
      <c r="C134" s="574">
        <v>0.74791715901485178</v>
      </c>
      <c r="D134" s="100">
        <f t="shared" si="15"/>
        <v>27557.518821924841</v>
      </c>
      <c r="E134" s="100">
        <f t="shared" si="16"/>
        <v>82341.866239911426</v>
      </c>
      <c r="F134" s="100">
        <f t="shared" si="25"/>
        <v>5574.7617764213373</v>
      </c>
      <c r="G134" s="100">
        <f t="shared" si="17"/>
        <v>16657.388187946955</v>
      </c>
      <c r="H134" s="100">
        <f t="shared" si="26"/>
        <v>1962.2367738538335</v>
      </c>
      <c r="I134" s="100">
        <f t="shared" si="18"/>
        <v>5863.1634802752551</v>
      </c>
      <c r="J134" s="100">
        <f t="shared" si="19"/>
        <v>1542.2013351517598</v>
      </c>
      <c r="K134" s="100">
        <f t="shared" si="20"/>
        <v>4608.0975894334588</v>
      </c>
      <c r="L134" s="101">
        <f t="shared" si="21"/>
        <v>21265.485777380414</v>
      </c>
      <c r="M134" s="100">
        <f t="shared" si="22"/>
        <v>103607.35201729184</v>
      </c>
      <c r="N134" s="102">
        <f t="shared" si="23"/>
        <v>34674.481933497933</v>
      </c>
      <c r="O134" s="94">
        <f t="shared" si="24"/>
        <v>0.94107311277170269</v>
      </c>
      <c r="P134" s="100">
        <f>'Bef.fremskr. kommunenivå MMMM'!H129</f>
        <v>2988</v>
      </c>
      <c r="Q134" s="100"/>
      <c r="R134" s="100">
        <f t="shared" si="27"/>
        <v>0</v>
      </c>
      <c r="S134" s="100">
        <v>0</v>
      </c>
      <c r="U134" s="100">
        <v>57.51466666666667</v>
      </c>
      <c r="V134" s="5">
        <f t="shared" si="28"/>
        <v>82284.351573244756</v>
      </c>
      <c r="W134" s="5">
        <f t="shared" si="29"/>
        <v>27538.270272170266</v>
      </c>
    </row>
    <row r="135" spans="1:23" ht="13">
      <c r="A135" s="92">
        <v>3038</v>
      </c>
      <c r="B135" s="93" t="s">
        <v>450</v>
      </c>
      <c r="C135" s="574">
        <v>1.1320779320618088</v>
      </c>
      <c r="D135" s="100">
        <f t="shared" si="15"/>
        <v>41712.18502564072</v>
      </c>
      <c r="E135" s="100">
        <f t="shared" si="16"/>
        <v>290984.20273886964</v>
      </c>
      <c r="F135" s="100">
        <f t="shared" si="25"/>
        <v>-2918.0379458081893</v>
      </c>
      <c r="G135" s="100">
        <f t="shared" si="17"/>
        <v>-20356.232709957927</v>
      </c>
      <c r="H135" s="100">
        <f t="shared" si="26"/>
        <v>0</v>
      </c>
      <c r="I135" s="100">
        <f t="shared" si="18"/>
        <v>0</v>
      </c>
      <c r="J135" s="100">
        <f t="shared" si="19"/>
        <v>-420.03543870207375</v>
      </c>
      <c r="K135" s="100">
        <f t="shared" si="20"/>
        <v>-2930.1672203856665</v>
      </c>
      <c r="L135" s="101">
        <f t="shared" si="21"/>
        <v>-23286.399930343592</v>
      </c>
      <c r="M135" s="100">
        <f t="shared" si="22"/>
        <v>267697.80280852603</v>
      </c>
      <c r="N135" s="102">
        <f t="shared" si="23"/>
        <v>38374.111641130454</v>
      </c>
      <c r="O135" s="94">
        <f t="shared" si="24"/>
        <v>1.0414818817258227</v>
      </c>
      <c r="P135" s="100">
        <f>'Bef.fremskr. kommunenivå MMMM'!H130</f>
        <v>6976</v>
      </c>
      <c r="Q135" s="100"/>
      <c r="R135" s="100">
        <f t="shared" si="27"/>
        <v>0</v>
      </c>
      <c r="S135" s="100">
        <v>0</v>
      </c>
      <c r="U135" s="100">
        <v>161.60133333333332</v>
      </c>
      <c r="V135" s="5">
        <f t="shared" si="28"/>
        <v>290822.60140553629</v>
      </c>
      <c r="W135" s="5">
        <f t="shared" si="29"/>
        <v>41689.019696894538</v>
      </c>
    </row>
    <row r="136" spans="1:23" ht="13">
      <c r="A136" s="92">
        <v>3039</v>
      </c>
      <c r="B136" s="93" t="s">
        <v>451</v>
      </c>
      <c r="C136" s="574">
        <v>1.0277994645170812</v>
      </c>
      <c r="D136" s="100">
        <f t="shared" si="15"/>
        <v>37869.973629033026</v>
      </c>
      <c r="E136" s="100">
        <f t="shared" si="16"/>
        <v>40558.74175669437</v>
      </c>
      <c r="F136" s="100">
        <f t="shared" si="25"/>
        <v>-612.7111078435729</v>
      </c>
      <c r="G136" s="100">
        <f t="shared" si="17"/>
        <v>-656.21359650046656</v>
      </c>
      <c r="H136" s="100">
        <f t="shared" si="26"/>
        <v>0</v>
      </c>
      <c r="I136" s="100">
        <f t="shared" si="18"/>
        <v>0</v>
      </c>
      <c r="J136" s="100">
        <f t="shared" si="19"/>
        <v>-420.03543870207375</v>
      </c>
      <c r="K136" s="100">
        <f t="shared" si="20"/>
        <v>-449.85795484992099</v>
      </c>
      <c r="L136" s="101">
        <f t="shared" si="21"/>
        <v>-1106.0715513503876</v>
      </c>
      <c r="M136" s="100">
        <f t="shared" si="22"/>
        <v>39452.670205343988</v>
      </c>
      <c r="N136" s="102">
        <f t="shared" si="23"/>
        <v>36837.227082487378</v>
      </c>
      <c r="O136" s="94">
        <f t="shared" si="24"/>
        <v>0.99977049470793156</v>
      </c>
      <c r="P136" s="100">
        <f>'Bef.fremskr. kommunenivå MMMM'!H131</f>
        <v>1071</v>
      </c>
      <c r="Q136" s="100"/>
      <c r="R136" s="100">
        <f t="shared" si="27"/>
        <v>0</v>
      </c>
      <c r="S136" s="100">
        <v>0</v>
      </c>
      <c r="U136" s="100">
        <v>89.271999999999991</v>
      </c>
      <c r="V136" s="5">
        <f t="shared" si="28"/>
        <v>40469.469756694372</v>
      </c>
      <c r="W136" s="5">
        <f t="shared" si="29"/>
        <v>37786.619754149739</v>
      </c>
    </row>
    <row r="137" spans="1:23" ht="13">
      <c r="A137" s="92">
        <v>3040</v>
      </c>
      <c r="B137" s="93" t="s">
        <v>1967</v>
      </c>
      <c r="C137" s="574">
        <v>0.97159865220133845</v>
      </c>
      <c r="D137" s="100">
        <f t="shared" si="15"/>
        <v>35799.216293770725</v>
      </c>
      <c r="E137" s="100">
        <f t="shared" si="16"/>
        <v>117493.02787615552</v>
      </c>
      <c r="F137" s="100">
        <f t="shared" si="25"/>
        <v>629.74329331380716</v>
      </c>
      <c r="G137" s="100">
        <f t="shared" si="17"/>
        <v>2066.817488655915</v>
      </c>
      <c r="H137" s="100">
        <f t="shared" si="26"/>
        <v>0</v>
      </c>
      <c r="I137" s="100">
        <f t="shared" si="18"/>
        <v>0</v>
      </c>
      <c r="J137" s="100">
        <f t="shared" si="19"/>
        <v>-420.03543870207375</v>
      </c>
      <c r="K137" s="100">
        <f t="shared" si="20"/>
        <v>-1378.556309820206</v>
      </c>
      <c r="L137" s="101">
        <f t="shared" si="21"/>
        <v>688.26117883570896</v>
      </c>
      <c r="M137" s="100">
        <f t="shared" si="22"/>
        <v>118181.28905499123</v>
      </c>
      <c r="N137" s="102">
        <f t="shared" si="23"/>
        <v>36008.924148382459</v>
      </c>
      <c r="O137" s="94">
        <f t="shared" si="24"/>
        <v>0.97729016978163452</v>
      </c>
      <c r="P137" s="100">
        <f>'Bef.fremskr. kommunenivå MMMM'!H132</f>
        <v>3282</v>
      </c>
      <c r="Q137" s="100"/>
      <c r="R137" s="100">
        <f t="shared" si="27"/>
        <v>0</v>
      </c>
      <c r="S137" s="100">
        <v>0</v>
      </c>
      <c r="U137" s="100">
        <v>3980.9303333333337</v>
      </c>
      <c r="V137" s="5">
        <f t="shared" si="28"/>
        <v>113512.09754282219</v>
      </c>
      <c r="W137" s="5">
        <f t="shared" si="29"/>
        <v>34586.257630354106</v>
      </c>
    </row>
    <row r="138" spans="1:23" ht="13">
      <c r="A138" s="92">
        <v>3041</v>
      </c>
      <c r="B138" s="93" t="s">
        <v>452</v>
      </c>
      <c r="C138" s="574">
        <v>0.97357374521501949</v>
      </c>
      <c r="D138" s="100">
        <f t="shared" ref="D138:D201" si="30">C138*D$367</f>
        <v>35871.989945562935</v>
      </c>
      <c r="E138" s="100">
        <f t="shared" ref="E138:E201" si="31">D138*P138/1000</f>
        <v>170391.95224142395</v>
      </c>
      <c r="F138" s="100">
        <f t="shared" si="25"/>
        <v>586.0791022384816</v>
      </c>
      <c r="G138" s="100">
        <f t="shared" ref="G138:G201" si="32">F138*P138/1000</f>
        <v>2783.8757356327874</v>
      </c>
      <c r="H138" s="100">
        <f t="shared" si="26"/>
        <v>0</v>
      </c>
      <c r="I138" s="100">
        <f t="shared" ref="I138:I201" si="33">H138*P138/1000</f>
        <v>0</v>
      </c>
      <c r="J138" s="100">
        <f t="shared" ref="J138:J201" si="34">H138+H$370</f>
        <v>-420.03543870207375</v>
      </c>
      <c r="K138" s="100">
        <f t="shared" ref="K138:K201" si="35">J138*P138/1000</f>
        <v>-1995.1683338348503</v>
      </c>
      <c r="L138" s="101">
        <f t="shared" ref="L138:L201" si="36">K138+G138</f>
        <v>788.70740179793711</v>
      </c>
      <c r="M138" s="100">
        <f t="shared" ref="M138:M201" si="37">K138+E138+G138</f>
        <v>171180.65964322188</v>
      </c>
      <c r="N138" s="102">
        <f t="shared" ref="N138:N201" si="38">M138*1000/P138</f>
        <v>36038.033609099344</v>
      </c>
      <c r="O138" s="94">
        <f t="shared" ref="O138:O201" si="39">N138/N$367</f>
        <v>0.97808020698710696</v>
      </c>
      <c r="P138" s="100">
        <f>'Bef.fremskr. kommunenivå MMMM'!H133</f>
        <v>4750</v>
      </c>
      <c r="Q138" s="100"/>
      <c r="R138" s="100">
        <f t="shared" si="27"/>
        <v>0</v>
      </c>
      <c r="S138" s="100">
        <v>0</v>
      </c>
      <c r="U138" s="100">
        <v>7883.4106666666667</v>
      </c>
      <c r="V138" s="5">
        <f t="shared" si="28"/>
        <v>162508.54157475728</v>
      </c>
      <c r="W138" s="5">
        <f t="shared" si="29"/>
        <v>34212.324542054164</v>
      </c>
    </row>
    <row r="139" spans="1:23" ht="13">
      <c r="A139" s="92">
        <v>3042</v>
      </c>
      <c r="B139" s="93" t="s">
        <v>453</v>
      </c>
      <c r="C139" s="574">
        <v>1.1747745618068015</v>
      </c>
      <c r="D139" s="100">
        <f t="shared" si="30"/>
        <v>43285.371525841103</v>
      </c>
      <c r="E139" s="100">
        <f t="shared" si="31"/>
        <v>117736.2105502878</v>
      </c>
      <c r="F139" s="100">
        <f t="shared" ref="F139:F202" si="40">($D$367+$R$367-D139-R139)*0.6</f>
        <v>-3861.9498459284191</v>
      </c>
      <c r="G139" s="100">
        <f t="shared" si="32"/>
        <v>-10504.5035809253</v>
      </c>
      <c r="H139" s="100">
        <f t="shared" ref="H139:H202" si="41">IF((D139+R139)&lt;(D$367+R$367)*0.9,((D$367+R$367)*0.9-(D139+R139))*0.35,0)</f>
        <v>0</v>
      </c>
      <c r="I139" s="100">
        <f t="shared" si="33"/>
        <v>0</v>
      </c>
      <c r="J139" s="100">
        <f t="shared" si="34"/>
        <v>-420.03543870207375</v>
      </c>
      <c r="K139" s="100">
        <f t="shared" si="35"/>
        <v>-1142.4963932696405</v>
      </c>
      <c r="L139" s="101">
        <f t="shared" si="36"/>
        <v>-11646.999974194941</v>
      </c>
      <c r="M139" s="100">
        <f t="shared" si="37"/>
        <v>106089.21057609285</v>
      </c>
      <c r="N139" s="102">
        <f t="shared" si="38"/>
        <v>39003.38624121061</v>
      </c>
      <c r="O139" s="94">
        <f t="shared" si="39"/>
        <v>1.0585605336238197</v>
      </c>
      <c r="P139" s="100">
        <f>'Bef.fremskr. kommunenivå MMMM'!H134</f>
        <v>2720</v>
      </c>
      <c r="Q139" s="100"/>
      <c r="R139" s="100">
        <f t="shared" ref="R139:R202" si="42">S139*1000/P139</f>
        <v>0</v>
      </c>
      <c r="S139" s="100">
        <v>0</v>
      </c>
      <c r="U139" s="100">
        <v>4510.4490000000005</v>
      </c>
      <c r="V139" s="5">
        <f t="shared" ref="V139:V202" si="43">+E139-U139</f>
        <v>113225.7615502878</v>
      </c>
      <c r="W139" s="5">
        <f t="shared" ref="W139:W202" si="44">+V139*1000/P139</f>
        <v>41627.118217017574</v>
      </c>
    </row>
    <row r="140" spans="1:23" ht="13">
      <c r="A140" s="92">
        <v>3043</v>
      </c>
      <c r="B140" s="93" t="s">
        <v>454</v>
      </c>
      <c r="C140" s="574">
        <v>0.96065485464577216</v>
      </c>
      <c r="D140" s="100">
        <f t="shared" si="30"/>
        <v>35395.984594262591</v>
      </c>
      <c r="E140" s="100">
        <f t="shared" si="31"/>
        <v>165653.20790114891</v>
      </c>
      <c r="F140" s="100">
        <f t="shared" si="40"/>
        <v>871.68231301868798</v>
      </c>
      <c r="G140" s="100">
        <f t="shared" si="32"/>
        <v>4079.4732249274598</v>
      </c>
      <c r="H140" s="100">
        <f t="shared" si="41"/>
        <v>0</v>
      </c>
      <c r="I140" s="100">
        <f t="shared" si="33"/>
        <v>0</v>
      </c>
      <c r="J140" s="100">
        <f t="shared" si="34"/>
        <v>-420.03543870207375</v>
      </c>
      <c r="K140" s="100">
        <f t="shared" si="35"/>
        <v>-1965.7658531257052</v>
      </c>
      <c r="L140" s="101">
        <f t="shared" si="36"/>
        <v>2113.7073718017546</v>
      </c>
      <c r="M140" s="100">
        <f t="shared" si="37"/>
        <v>167766.91527295066</v>
      </c>
      <c r="N140" s="102">
        <f t="shared" si="38"/>
        <v>35847.631468579202</v>
      </c>
      <c r="O140" s="94">
        <f t="shared" si="39"/>
        <v>0.97291265075940792</v>
      </c>
      <c r="P140" s="100">
        <f>'Bef.fremskr. kommunenivå MMMM'!H135</f>
        <v>4680</v>
      </c>
      <c r="Q140" s="100"/>
      <c r="R140" s="100">
        <f t="shared" si="42"/>
        <v>0</v>
      </c>
      <c r="S140" s="100">
        <v>0</v>
      </c>
      <c r="U140" s="100">
        <v>12673.834666666668</v>
      </c>
      <c r="V140" s="5">
        <f t="shared" si="43"/>
        <v>152979.37323448225</v>
      </c>
      <c r="W140" s="5">
        <f t="shared" si="44"/>
        <v>32687.900263778261</v>
      </c>
    </row>
    <row r="141" spans="1:23" ht="13">
      <c r="A141" s="92">
        <v>3044</v>
      </c>
      <c r="B141" s="93" t="s">
        <v>455</v>
      </c>
      <c r="C141" s="574">
        <v>1.3548049626367551</v>
      </c>
      <c r="D141" s="100">
        <f t="shared" si="30"/>
        <v>49918.714670321096</v>
      </c>
      <c r="E141" s="100">
        <f t="shared" si="31"/>
        <v>228577.7944754003</v>
      </c>
      <c r="F141" s="100">
        <f t="shared" si="40"/>
        <v>-7841.9557326164149</v>
      </c>
      <c r="G141" s="100">
        <f t="shared" si="32"/>
        <v>-35908.315299650567</v>
      </c>
      <c r="H141" s="100">
        <f t="shared" si="41"/>
        <v>0</v>
      </c>
      <c r="I141" s="100">
        <f t="shared" si="33"/>
        <v>0</v>
      </c>
      <c r="J141" s="100">
        <f t="shared" si="34"/>
        <v>-420.03543870207375</v>
      </c>
      <c r="K141" s="100">
        <f t="shared" si="35"/>
        <v>-1923.3422738167958</v>
      </c>
      <c r="L141" s="101">
        <f t="shared" si="36"/>
        <v>-37831.657573467361</v>
      </c>
      <c r="M141" s="100">
        <f t="shared" si="37"/>
        <v>190746.13690193294</v>
      </c>
      <c r="N141" s="102">
        <f t="shared" si="38"/>
        <v>41656.723499002612</v>
      </c>
      <c r="O141" s="94">
        <f t="shared" si="39"/>
        <v>1.1305726939558014</v>
      </c>
      <c r="P141" s="100">
        <f>'Bef.fremskr. kommunenivå MMMM'!H136</f>
        <v>4579</v>
      </c>
      <c r="Q141" s="100"/>
      <c r="R141" s="100">
        <f t="shared" si="42"/>
        <v>0</v>
      </c>
      <c r="S141" s="100">
        <v>0</v>
      </c>
      <c r="U141" s="100">
        <v>24062.580666666665</v>
      </c>
      <c r="V141" s="5">
        <f t="shared" si="43"/>
        <v>204515.21380873362</v>
      </c>
      <c r="W141" s="5">
        <f t="shared" si="44"/>
        <v>44663.728719968029</v>
      </c>
    </row>
    <row r="142" spans="1:23" ht="13">
      <c r="A142" s="92">
        <v>3045</v>
      </c>
      <c r="B142" s="93" t="s">
        <v>456</v>
      </c>
      <c r="C142" s="574">
        <v>0.94520409065253419</v>
      </c>
      <c r="D142" s="100">
        <f t="shared" si="30"/>
        <v>34826.690636469706</v>
      </c>
      <c r="E142" s="100">
        <f t="shared" si="31"/>
        <v>121614.80370255222</v>
      </c>
      <c r="F142" s="100">
        <f t="shared" si="40"/>
        <v>1213.2586876944188</v>
      </c>
      <c r="G142" s="100">
        <f t="shared" si="32"/>
        <v>4236.6993374289104</v>
      </c>
      <c r="H142" s="100">
        <f t="shared" si="41"/>
        <v>0</v>
      </c>
      <c r="I142" s="100">
        <f t="shared" si="33"/>
        <v>0</v>
      </c>
      <c r="J142" s="100">
        <f t="shared" si="34"/>
        <v>-420.03543870207375</v>
      </c>
      <c r="K142" s="100">
        <f t="shared" si="35"/>
        <v>-1466.7637519476416</v>
      </c>
      <c r="L142" s="101">
        <f t="shared" si="36"/>
        <v>2769.9355854812688</v>
      </c>
      <c r="M142" s="100">
        <f t="shared" si="37"/>
        <v>124384.7392880335</v>
      </c>
      <c r="N142" s="102">
        <f t="shared" si="38"/>
        <v>35619.913885462054</v>
      </c>
      <c r="O142" s="94">
        <f t="shared" si="39"/>
        <v>0.96673234516211282</v>
      </c>
      <c r="P142" s="100">
        <f>'Bef.fremskr. kommunenivå MMMM'!H137</f>
        <v>3492</v>
      </c>
      <c r="Q142" s="100"/>
      <c r="R142" s="100">
        <f t="shared" si="42"/>
        <v>0</v>
      </c>
      <c r="S142" s="100">
        <v>0</v>
      </c>
      <c r="U142" s="100">
        <v>217.25966666666667</v>
      </c>
      <c r="V142" s="5">
        <f t="shared" si="43"/>
        <v>121397.54403588556</v>
      </c>
      <c r="W142" s="5">
        <f t="shared" si="44"/>
        <v>34764.474237080627</v>
      </c>
    </row>
    <row r="143" spans="1:23" ht="13">
      <c r="A143" s="92">
        <v>3046</v>
      </c>
      <c r="B143" s="93" t="s">
        <v>457</v>
      </c>
      <c r="C143" s="574">
        <v>1.0717447641372706</v>
      </c>
      <c r="D143" s="100">
        <f t="shared" si="30"/>
        <v>39489.168224078341</v>
      </c>
      <c r="E143" s="100">
        <f t="shared" si="31"/>
        <v>86520.767578955652</v>
      </c>
      <c r="F143" s="100">
        <f t="shared" si="40"/>
        <v>-1584.2278648707622</v>
      </c>
      <c r="G143" s="100">
        <f t="shared" si="32"/>
        <v>-3471.0432519318401</v>
      </c>
      <c r="H143" s="100">
        <f t="shared" si="41"/>
        <v>0</v>
      </c>
      <c r="I143" s="100">
        <f t="shared" si="33"/>
        <v>0</v>
      </c>
      <c r="J143" s="100">
        <f t="shared" si="34"/>
        <v>-420.03543870207375</v>
      </c>
      <c r="K143" s="100">
        <f t="shared" si="35"/>
        <v>-920.29764619624359</v>
      </c>
      <c r="L143" s="101">
        <f t="shared" si="36"/>
        <v>-4391.3408981280836</v>
      </c>
      <c r="M143" s="100">
        <f t="shared" si="37"/>
        <v>82129.426680827572</v>
      </c>
      <c r="N143" s="102">
        <f t="shared" si="38"/>
        <v>37484.904920505513</v>
      </c>
      <c r="O143" s="94">
        <f t="shared" si="39"/>
        <v>1.0173486145560076</v>
      </c>
      <c r="P143" s="100">
        <f>'Bef.fremskr. kommunenivå MMMM'!H138</f>
        <v>2191</v>
      </c>
      <c r="Q143" s="100"/>
      <c r="R143" s="100">
        <f t="shared" si="42"/>
        <v>0</v>
      </c>
      <c r="S143" s="100">
        <v>0</v>
      </c>
      <c r="U143" s="100">
        <v>480.11466666666666</v>
      </c>
      <c r="V143" s="5">
        <f t="shared" si="43"/>
        <v>86040.652912288992</v>
      </c>
      <c r="W143" s="5">
        <f t="shared" si="44"/>
        <v>39270.03784221314</v>
      </c>
    </row>
    <row r="144" spans="1:23" ht="13">
      <c r="A144" s="92">
        <v>3047</v>
      </c>
      <c r="B144" s="93" t="s">
        <v>458</v>
      </c>
      <c r="C144" s="574">
        <v>0.82774931139781649</v>
      </c>
      <c r="D144" s="100">
        <f t="shared" si="30"/>
        <v>30498.989030719229</v>
      </c>
      <c r="E144" s="100">
        <f t="shared" si="31"/>
        <v>439612.42788878694</v>
      </c>
      <c r="F144" s="100">
        <f t="shared" si="40"/>
        <v>3809.8796511447049</v>
      </c>
      <c r="G144" s="100">
        <f t="shared" si="32"/>
        <v>54915.605291599772</v>
      </c>
      <c r="H144" s="100">
        <f t="shared" si="41"/>
        <v>932.72220077579777</v>
      </c>
      <c r="I144" s="100">
        <f t="shared" si="33"/>
        <v>13444.257801982349</v>
      </c>
      <c r="J144" s="100">
        <f t="shared" si="34"/>
        <v>512.68676207372403</v>
      </c>
      <c r="K144" s="100">
        <f t="shared" si="35"/>
        <v>7389.8669885306581</v>
      </c>
      <c r="L144" s="101">
        <f t="shared" si="36"/>
        <v>62305.472280130431</v>
      </c>
      <c r="M144" s="100">
        <f t="shared" si="37"/>
        <v>501917.90016891737</v>
      </c>
      <c r="N144" s="102">
        <f t="shared" si="38"/>
        <v>34821.555443937657</v>
      </c>
      <c r="O144" s="94">
        <f t="shared" si="39"/>
        <v>0.94506472039085099</v>
      </c>
      <c r="P144" s="100">
        <f>'Bef.fremskr. kommunenivå MMMM'!H139</f>
        <v>14414</v>
      </c>
      <c r="Q144" s="100"/>
      <c r="R144" s="100">
        <f t="shared" si="42"/>
        <v>0</v>
      </c>
      <c r="S144" s="100">
        <v>0</v>
      </c>
      <c r="U144" s="100">
        <v>13734.300333333333</v>
      </c>
      <c r="V144" s="5">
        <f t="shared" si="43"/>
        <v>425878.12755545363</v>
      </c>
      <c r="W144" s="5">
        <f t="shared" si="44"/>
        <v>29546.144550815428</v>
      </c>
    </row>
    <row r="145" spans="1:23" ht="13">
      <c r="A145" s="92">
        <v>3048</v>
      </c>
      <c r="B145" s="93" t="s">
        <v>459</v>
      </c>
      <c r="C145" s="574">
        <v>0.91728409514149467</v>
      </c>
      <c r="D145" s="100">
        <f t="shared" si="30"/>
        <v>33797.959322406823</v>
      </c>
      <c r="E145" s="100">
        <f t="shared" si="31"/>
        <v>686808.33139062906</v>
      </c>
      <c r="F145" s="100">
        <f t="shared" si="40"/>
        <v>1830.4974761321484</v>
      </c>
      <c r="G145" s="100">
        <f t="shared" si="32"/>
        <v>37197.539212481388</v>
      </c>
      <c r="H145" s="100">
        <f t="shared" si="41"/>
        <v>0</v>
      </c>
      <c r="I145" s="100">
        <f t="shared" si="33"/>
        <v>0</v>
      </c>
      <c r="J145" s="100">
        <f t="shared" si="34"/>
        <v>-420.03543870207375</v>
      </c>
      <c r="K145" s="100">
        <f t="shared" si="35"/>
        <v>-8535.5401498648407</v>
      </c>
      <c r="L145" s="101">
        <f t="shared" si="36"/>
        <v>28661.999062616545</v>
      </c>
      <c r="M145" s="100">
        <f t="shared" si="37"/>
        <v>715470.33045324555</v>
      </c>
      <c r="N145" s="102">
        <f t="shared" si="38"/>
        <v>35208.421359836895</v>
      </c>
      <c r="O145" s="94">
        <f t="shared" si="39"/>
        <v>0.95556434695769688</v>
      </c>
      <c r="P145" s="100">
        <f>'Bef.fremskr. kommunenivå MMMM'!H140</f>
        <v>20321</v>
      </c>
      <c r="Q145" s="100"/>
      <c r="R145" s="100">
        <f t="shared" si="42"/>
        <v>0</v>
      </c>
      <c r="S145" s="100">
        <v>0</v>
      </c>
      <c r="U145" s="100">
        <v>662.57133333333331</v>
      </c>
      <c r="V145" s="5">
        <f t="shared" si="43"/>
        <v>686145.76005729567</v>
      </c>
      <c r="W145" s="5">
        <f t="shared" si="44"/>
        <v>33765.35407004063</v>
      </c>
    </row>
    <row r="146" spans="1:23" ht="13">
      <c r="A146" s="92">
        <v>3049</v>
      </c>
      <c r="B146" s="93" t="s">
        <v>460</v>
      </c>
      <c r="C146" s="574">
        <v>1.1022332578209519</v>
      </c>
      <c r="D146" s="100">
        <f t="shared" si="30"/>
        <v>40612.537608525774</v>
      </c>
      <c r="E146" s="100">
        <f t="shared" si="31"/>
        <v>1142065.1700893533</v>
      </c>
      <c r="F146" s="100">
        <f t="shared" si="40"/>
        <v>-2258.2494955392217</v>
      </c>
      <c r="G146" s="100">
        <f t="shared" si="32"/>
        <v>-63504.234064058452</v>
      </c>
      <c r="H146" s="100">
        <f t="shared" si="41"/>
        <v>0</v>
      </c>
      <c r="I146" s="100">
        <f t="shared" si="33"/>
        <v>0</v>
      </c>
      <c r="J146" s="100">
        <f t="shared" si="34"/>
        <v>-420.03543870207375</v>
      </c>
      <c r="K146" s="100">
        <f t="shared" si="35"/>
        <v>-11811.816571741017</v>
      </c>
      <c r="L146" s="101">
        <f t="shared" si="36"/>
        <v>-75316.050635799475</v>
      </c>
      <c r="M146" s="100">
        <f t="shared" si="37"/>
        <v>1066749.1194535538</v>
      </c>
      <c r="N146" s="102">
        <f t="shared" si="38"/>
        <v>37934.252674284478</v>
      </c>
      <c r="O146" s="94">
        <f t="shared" si="39"/>
        <v>1.0295440120294799</v>
      </c>
      <c r="P146" s="100">
        <f>'Bef.fremskr. kommunenivå MMMM'!H141</f>
        <v>28121</v>
      </c>
      <c r="Q146" s="100"/>
      <c r="R146" s="100">
        <f t="shared" si="42"/>
        <v>0</v>
      </c>
      <c r="S146" s="100">
        <v>0</v>
      </c>
      <c r="U146" s="100">
        <v>0.16133333333333333</v>
      </c>
      <c r="V146" s="5">
        <f t="shared" si="43"/>
        <v>1142065.0087560201</v>
      </c>
      <c r="W146" s="5">
        <f t="shared" si="44"/>
        <v>40612.531871413536</v>
      </c>
    </row>
    <row r="147" spans="1:23" ht="13">
      <c r="A147" s="92">
        <v>3050</v>
      </c>
      <c r="B147" s="93" t="s">
        <v>461</v>
      </c>
      <c r="C147" s="574">
        <v>0.96600307360923843</v>
      </c>
      <c r="D147" s="100">
        <f t="shared" si="30"/>
        <v>35593.04337674009</v>
      </c>
      <c r="E147" s="100">
        <f t="shared" si="31"/>
        <v>97240.194505253923</v>
      </c>
      <c r="F147" s="100">
        <f t="shared" si="40"/>
        <v>753.44704353218833</v>
      </c>
      <c r="G147" s="100">
        <f t="shared" si="32"/>
        <v>2058.4173229299386</v>
      </c>
      <c r="H147" s="100">
        <f t="shared" si="41"/>
        <v>0</v>
      </c>
      <c r="I147" s="100">
        <f t="shared" si="33"/>
        <v>0</v>
      </c>
      <c r="J147" s="100">
        <f t="shared" si="34"/>
        <v>-420.03543870207375</v>
      </c>
      <c r="K147" s="100">
        <f t="shared" si="35"/>
        <v>-1147.5368185340656</v>
      </c>
      <c r="L147" s="101">
        <f t="shared" si="36"/>
        <v>910.880504395873</v>
      </c>
      <c r="M147" s="100">
        <f t="shared" si="37"/>
        <v>98151.075009649794</v>
      </c>
      <c r="N147" s="102">
        <f t="shared" si="38"/>
        <v>35926.454981570205</v>
      </c>
      <c r="O147" s="94">
        <f t="shared" si="39"/>
        <v>0.97505193834479442</v>
      </c>
      <c r="P147" s="100">
        <f>'Bef.fremskr. kommunenivå MMMM'!H142</f>
        <v>2732</v>
      </c>
      <c r="Q147" s="100"/>
      <c r="R147" s="100">
        <f t="shared" si="42"/>
        <v>0</v>
      </c>
      <c r="S147" s="100">
        <v>0</v>
      </c>
      <c r="U147" s="100">
        <v>1396.6023333333333</v>
      </c>
      <c r="V147" s="5">
        <f t="shared" si="43"/>
        <v>95843.592171920594</v>
      </c>
      <c r="W147" s="5">
        <f t="shared" si="44"/>
        <v>35081.841937013392</v>
      </c>
    </row>
    <row r="148" spans="1:23" ht="13">
      <c r="A148" s="92">
        <v>3051</v>
      </c>
      <c r="B148" s="93" t="s">
        <v>462</v>
      </c>
      <c r="C148" s="574">
        <v>0.9122604893416113</v>
      </c>
      <c r="D148" s="100">
        <f t="shared" si="30"/>
        <v>33612.861133769773</v>
      </c>
      <c r="E148" s="100">
        <f t="shared" si="31"/>
        <v>45377.362530589191</v>
      </c>
      <c r="F148" s="100">
        <f t="shared" si="40"/>
        <v>1941.5563893143785</v>
      </c>
      <c r="G148" s="100">
        <f t="shared" si="32"/>
        <v>2621.1011255744111</v>
      </c>
      <c r="H148" s="100">
        <f t="shared" si="41"/>
        <v>0</v>
      </c>
      <c r="I148" s="100">
        <f t="shared" si="33"/>
        <v>0</v>
      </c>
      <c r="J148" s="100">
        <f t="shared" si="34"/>
        <v>-420.03543870207375</v>
      </c>
      <c r="K148" s="100">
        <f t="shared" si="35"/>
        <v>-567.04784224779951</v>
      </c>
      <c r="L148" s="101">
        <f t="shared" si="36"/>
        <v>2054.0532833266116</v>
      </c>
      <c r="M148" s="100">
        <f t="shared" si="37"/>
        <v>47431.415813915803</v>
      </c>
      <c r="N148" s="102">
        <f t="shared" si="38"/>
        <v>35134.382084382079</v>
      </c>
      <c r="O148" s="94">
        <f t="shared" si="39"/>
        <v>0.95355490463774362</v>
      </c>
      <c r="P148" s="100">
        <f>'Bef.fremskr. kommunenivå MMMM'!H143</f>
        <v>1350</v>
      </c>
      <c r="Q148" s="100"/>
      <c r="R148" s="100">
        <f t="shared" si="42"/>
        <v>0</v>
      </c>
      <c r="S148" s="100">
        <v>0</v>
      </c>
      <c r="U148" s="100">
        <v>3702.8809999999999</v>
      </c>
      <c r="V148" s="5">
        <f t="shared" si="43"/>
        <v>41674.48153058919</v>
      </c>
      <c r="W148" s="5">
        <f t="shared" si="44"/>
        <v>30869.986318954958</v>
      </c>
    </row>
    <row r="149" spans="1:23" ht="13">
      <c r="A149" s="92">
        <v>3052</v>
      </c>
      <c r="B149" s="93" t="s">
        <v>463</v>
      </c>
      <c r="C149" s="574">
        <v>1.1378174885907821</v>
      </c>
      <c r="D149" s="100">
        <f t="shared" si="30"/>
        <v>41923.66290814447</v>
      </c>
      <c r="E149" s="100">
        <f t="shared" si="31"/>
        <v>103467.60005730056</v>
      </c>
      <c r="F149" s="100">
        <f t="shared" si="40"/>
        <v>-3044.9246753104394</v>
      </c>
      <c r="G149" s="100">
        <f t="shared" si="32"/>
        <v>-7514.8740986661642</v>
      </c>
      <c r="H149" s="100">
        <f t="shared" si="41"/>
        <v>0</v>
      </c>
      <c r="I149" s="100">
        <f t="shared" si="33"/>
        <v>0</v>
      </c>
      <c r="J149" s="100">
        <f t="shared" si="34"/>
        <v>-420.03543870207375</v>
      </c>
      <c r="K149" s="100">
        <f t="shared" si="35"/>
        <v>-1036.6474627167179</v>
      </c>
      <c r="L149" s="101">
        <f t="shared" si="36"/>
        <v>-8551.5215613828823</v>
      </c>
      <c r="M149" s="100">
        <f t="shared" si="37"/>
        <v>94916.078495917682</v>
      </c>
      <c r="N149" s="102">
        <f t="shared" si="38"/>
        <v>38458.702794131961</v>
      </c>
      <c r="O149" s="94">
        <f t="shared" si="39"/>
        <v>1.0437777043374121</v>
      </c>
      <c r="P149" s="100">
        <f>'Bef.fremskr. kommunenivå MMMM'!H144</f>
        <v>2468</v>
      </c>
      <c r="Q149" s="100"/>
      <c r="R149" s="100">
        <f t="shared" si="42"/>
        <v>0</v>
      </c>
      <c r="S149" s="100">
        <v>0</v>
      </c>
      <c r="U149" s="100">
        <v>24013.492333333332</v>
      </c>
      <c r="V149" s="5">
        <f t="shared" si="43"/>
        <v>79454.10772396723</v>
      </c>
      <c r="W149" s="5">
        <f t="shared" si="44"/>
        <v>32193.722740667432</v>
      </c>
    </row>
    <row r="150" spans="1:23" ht="13">
      <c r="A150" s="92">
        <v>3053</v>
      </c>
      <c r="B150" s="93" t="s">
        <v>436</v>
      </c>
      <c r="C150" s="574">
        <v>0.81493751318335961</v>
      </c>
      <c r="D150" s="100">
        <f t="shared" si="30"/>
        <v>30026.929570413962</v>
      </c>
      <c r="E150" s="100">
        <f t="shared" si="31"/>
        <v>209137.56445793324</v>
      </c>
      <c r="F150" s="100">
        <f t="shared" si="40"/>
        <v>4093.1153273278651</v>
      </c>
      <c r="G150" s="100">
        <f t="shared" si="32"/>
        <v>28508.548254838581</v>
      </c>
      <c r="H150" s="100">
        <f t="shared" si="41"/>
        <v>1097.9430118826413</v>
      </c>
      <c r="I150" s="100">
        <f t="shared" si="33"/>
        <v>7647.1730777625962</v>
      </c>
      <c r="J150" s="100">
        <f t="shared" si="34"/>
        <v>677.90757318056751</v>
      </c>
      <c r="K150" s="100">
        <f t="shared" si="35"/>
        <v>4721.6262472026528</v>
      </c>
      <c r="L150" s="101">
        <f t="shared" si="36"/>
        <v>33230.174502041235</v>
      </c>
      <c r="M150" s="100">
        <f t="shared" si="37"/>
        <v>242367.73895997449</v>
      </c>
      <c r="N150" s="102">
        <f t="shared" si="38"/>
        <v>34797.952470922399</v>
      </c>
      <c r="O150" s="94">
        <f t="shared" si="39"/>
        <v>0.9444241304801283</v>
      </c>
      <c r="P150" s="100">
        <f>'Bef.fremskr. kommunenivå MMMM'!H145</f>
        <v>6965</v>
      </c>
      <c r="Q150" s="100"/>
      <c r="R150" s="100">
        <f t="shared" si="42"/>
        <v>0</v>
      </c>
      <c r="S150" s="100">
        <v>0</v>
      </c>
      <c r="U150" s="100">
        <v>204.17233333333334</v>
      </c>
      <c r="V150" s="5">
        <f t="shared" si="43"/>
        <v>208933.39212459992</v>
      </c>
      <c r="W150" s="5">
        <f t="shared" si="44"/>
        <v>29997.615523991375</v>
      </c>
    </row>
    <row r="151" spans="1:23" ht="13">
      <c r="A151" s="92">
        <v>3054</v>
      </c>
      <c r="B151" s="93" t="s">
        <v>437</v>
      </c>
      <c r="C151" s="574">
        <v>0.8646848633398635</v>
      </c>
      <c r="D151" s="100">
        <f t="shared" si="30"/>
        <v>31859.904682369535</v>
      </c>
      <c r="E151" s="100">
        <f t="shared" si="31"/>
        <v>292824.38393565838</v>
      </c>
      <c r="F151" s="100">
        <f t="shared" si="40"/>
        <v>2993.3302601545211</v>
      </c>
      <c r="G151" s="100">
        <f t="shared" si="32"/>
        <v>27511.6984210802</v>
      </c>
      <c r="H151" s="100">
        <f t="shared" si="41"/>
        <v>456.40172269819067</v>
      </c>
      <c r="I151" s="100">
        <f t="shared" si="33"/>
        <v>4194.7882333190701</v>
      </c>
      <c r="J151" s="100">
        <f t="shared" si="34"/>
        <v>36.36628399611692</v>
      </c>
      <c r="K151" s="100">
        <f t="shared" si="35"/>
        <v>334.24251620831063</v>
      </c>
      <c r="L151" s="101">
        <f t="shared" si="36"/>
        <v>27845.940937288509</v>
      </c>
      <c r="M151" s="100">
        <f t="shared" si="37"/>
        <v>320670.32487294689</v>
      </c>
      <c r="N151" s="102">
        <f t="shared" si="38"/>
        <v>34889.601226520172</v>
      </c>
      <c r="O151" s="94">
        <f t="shared" si="39"/>
        <v>0.94691149798795338</v>
      </c>
      <c r="P151" s="100">
        <f>'Bef.fremskr. kommunenivå MMMM'!H146</f>
        <v>9191</v>
      </c>
      <c r="Q151" s="100"/>
      <c r="R151" s="100">
        <f t="shared" si="42"/>
        <v>0</v>
      </c>
      <c r="S151" s="100">
        <v>0</v>
      </c>
      <c r="U151" s="100">
        <v>0</v>
      </c>
      <c r="V151" s="5">
        <f t="shared" si="43"/>
        <v>292824.38393565838</v>
      </c>
      <c r="W151" s="5">
        <f t="shared" si="44"/>
        <v>31859.904682369535</v>
      </c>
    </row>
    <row r="152" spans="1:23" ht="13">
      <c r="A152" s="92">
        <v>3401</v>
      </c>
      <c r="B152" s="93" t="s">
        <v>400</v>
      </c>
      <c r="C152" s="574">
        <v>0.84480595310712825</v>
      </c>
      <c r="D152" s="100">
        <f t="shared" si="30"/>
        <v>31127.45265035635</v>
      </c>
      <c r="E152" s="100">
        <f t="shared" si="31"/>
        <v>561570.37326507887</v>
      </c>
      <c r="F152" s="100">
        <f t="shared" si="40"/>
        <v>3432.801479362432</v>
      </c>
      <c r="G152" s="100">
        <f t="shared" si="32"/>
        <v>61931.171489177636</v>
      </c>
      <c r="H152" s="100">
        <f t="shared" si="41"/>
        <v>712.75993390280541</v>
      </c>
      <c r="I152" s="100">
        <f t="shared" si="33"/>
        <v>12858.901967540512</v>
      </c>
      <c r="J152" s="100">
        <f t="shared" si="34"/>
        <v>292.72449520073167</v>
      </c>
      <c r="K152" s="100">
        <f t="shared" si="35"/>
        <v>5281.0426179163996</v>
      </c>
      <c r="L152" s="101">
        <f t="shared" si="36"/>
        <v>67212.214107094042</v>
      </c>
      <c r="M152" s="100">
        <f t="shared" si="37"/>
        <v>628782.58737217286</v>
      </c>
      <c r="N152" s="102">
        <f t="shared" si="38"/>
        <v>34852.978624919509</v>
      </c>
      <c r="O152" s="94">
        <f t="shared" si="39"/>
        <v>0.94591755247631648</v>
      </c>
      <c r="P152" s="100">
        <f>'Bef.fremskr. kommunenivå MMMM'!H147</f>
        <v>18041</v>
      </c>
      <c r="Q152" s="100"/>
      <c r="R152" s="100">
        <f t="shared" si="42"/>
        <v>0</v>
      </c>
      <c r="S152" s="100">
        <v>0</v>
      </c>
      <c r="U152" s="100">
        <v>953.1016666666668</v>
      </c>
      <c r="V152" s="5">
        <f t="shared" si="43"/>
        <v>560617.27159841219</v>
      </c>
      <c r="W152" s="5">
        <f t="shared" si="44"/>
        <v>31074.622892212858</v>
      </c>
    </row>
    <row r="153" spans="1:23" ht="13">
      <c r="A153" s="92">
        <v>3403</v>
      </c>
      <c r="B153" s="93" t="s">
        <v>401</v>
      </c>
      <c r="C153" s="574">
        <v>0.92191863413709108</v>
      </c>
      <c r="D153" s="100">
        <f t="shared" si="30"/>
        <v>33968.722078766521</v>
      </c>
      <c r="E153" s="100">
        <f t="shared" si="31"/>
        <v>1101809.4693468709</v>
      </c>
      <c r="F153" s="100">
        <f t="shared" si="40"/>
        <v>1728.0398223163297</v>
      </c>
      <c r="G153" s="100">
        <f t="shared" si="32"/>
        <v>56050.699676652468</v>
      </c>
      <c r="H153" s="100">
        <f t="shared" si="41"/>
        <v>0</v>
      </c>
      <c r="I153" s="100">
        <f t="shared" si="33"/>
        <v>0</v>
      </c>
      <c r="J153" s="100">
        <f t="shared" si="34"/>
        <v>-420.03543870207375</v>
      </c>
      <c r="K153" s="100">
        <f t="shared" si="35"/>
        <v>-13624.269489740465</v>
      </c>
      <c r="L153" s="101">
        <f t="shared" si="36"/>
        <v>42426.430186912003</v>
      </c>
      <c r="M153" s="100">
        <f t="shared" si="37"/>
        <v>1144235.8995337829</v>
      </c>
      <c r="N153" s="102">
        <f t="shared" si="38"/>
        <v>35276.726462380779</v>
      </c>
      <c r="O153" s="94">
        <f t="shared" si="39"/>
        <v>0.95741816255593559</v>
      </c>
      <c r="P153" s="100">
        <f>'Bef.fremskr. kommunenivå MMMM'!H148</f>
        <v>32436</v>
      </c>
      <c r="Q153" s="100"/>
      <c r="R153" s="100">
        <f t="shared" si="42"/>
        <v>0</v>
      </c>
      <c r="S153" s="100">
        <v>0</v>
      </c>
      <c r="U153" s="100">
        <v>147.42833333333334</v>
      </c>
      <c r="V153" s="5">
        <f t="shared" si="43"/>
        <v>1101662.0410135377</v>
      </c>
      <c r="W153" s="5">
        <f t="shared" si="44"/>
        <v>33964.176871794843</v>
      </c>
    </row>
    <row r="154" spans="1:23" ht="13">
      <c r="A154" s="92">
        <v>3405</v>
      </c>
      <c r="B154" s="93" t="s">
        <v>421</v>
      </c>
      <c r="C154" s="574">
        <v>0.92062045202520471</v>
      </c>
      <c r="D154" s="100">
        <f t="shared" si="30"/>
        <v>33920.889671725992</v>
      </c>
      <c r="E154" s="100">
        <f t="shared" si="31"/>
        <v>972885.0366747732</v>
      </c>
      <c r="F154" s="100">
        <f t="shared" si="40"/>
        <v>1756.7392665406471</v>
      </c>
      <c r="G154" s="100">
        <f t="shared" si="32"/>
        <v>50385.038903652305</v>
      </c>
      <c r="H154" s="100">
        <f t="shared" si="41"/>
        <v>0</v>
      </c>
      <c r="I154" s="100">
        <f t="shared" si="33"/>
        <v>0</v>
      </c>
      <c r="J154" s="100">
        <f t="shared" si="34"/>
        <v>-420.03543870207375</v>
      </c>
      <c r="K154" s="100">
        <f t="shared" si="35"/>
        <v>-12047.036417414178</v>
      </c>
      <c r="L154" s="101">
        <f t="shared" si="36"/>
        <v>38338.002486238125</v>
      </c>
      <c r="M154" s="100">
        <f t="shared" si="37"/>
        <v>1011223.0391610113</v>
      </c>
      <c r="N154" s="102">
        <f t="shared" si="38"/>
        <v>35257.593499564566</v>
      </c>
      <c r="O154" s="94">
        <f t="shared" si="39"/>
        <v>0.95689888971118098</v>
      </c>
      <c r="P154" s="100">
        <f>'Bef.fremskr. kommunenivå MMMM'!H149</f>
        <v>28681</v>
      </c>
      <c r="Q154" s="100"/>
      <c r="R154" s="100">
        <f t="shared" si="42"/>
        <v>0</v>
      </c>
      <c r="S154" s="100">
        <v>0</v>
      </c>
      <c r="U154" s="100">
        <v>4149.9530000000004</v>
      </c>
      <c r="V154" s="5">
        <f t="shared" si="43"/>
        <v>968735.08367477322</v>
      </c>
      <c r="W154" s="5">
        <f t="shared" si="44"/>
        <v>33776.196216128214</v>
      </c>
    </row>
    <row r="155" spans="1:23" ht="13">
      <c r="A155" s="92">
        <v>3407</v>
      </c>
      <c r="B155" s="93" t="s">
        <v>422</v>
      </c>
      <c r="C155" s="574">
        <v>0.83634862454672909</v>
      </c>
      <c r="D155" s="100">
        <f t="shared" si="30"/>
        <v>30815.836600133101</v>
      </c>
      <c r="E155" s="100">
        <f t="shared" si="31"/>
        <v>936770.61680744612</v>
      </c>
      <c r="F155" s="100">
        <f t="shared" si="40"/>
        <v>3619.7711094963815</v>
      </c>
      <c r="G155" s="100">
        <f t="shared" si="32"/>
        <v>110037.4219575805</v>
      </c>
      <c r="H155" s="100">
        <f t="shared" si="41"/>
        <v>821.82555148094252</v>
      </c>
      <c r="I155" s="100">
        <f t="shared" si="33"/>
        <v>24982.674939469172</v>
      </c>
      <c r="J155" s="100">
        <f t="shared" si="34"/>
        <v>401.79011277886877</v>
      </c>
      <c r="K155" s="100">
        <f t="shared" si="35"/>
        <v>12214.01763836483</v>
      </c>
      <c r="L155" s="101">
        <f t="shared" si="36"/>
        <v>122251.43959594534</v>
      </c>
      <c r="M155" s="100">
        <f t="shared" si="37"/>
        <v>1059022.0564033915</v>
      </c>
      <c r="N155" s="102">
        <f t="shared" si="38"/>
        <v>34837.397822408355</v>
      </c>
      <c r="O155" s="94">
        <f t="shared" si="39"/>
        <v>0.94549468604829678</v>
      </c>
      <c r="P155" s="100">
        <f>'Bef.fremskr. kommunenivå MMMM'!H150</f>
        <v>30399</v>
      </c>
      <c r="Q155" s="100"/>
      <c r="R155" s="100">
        <f t="shared" si="42"/>
        <v>0</v>
      </c>
      <c r="S155" s="100">
        <v>0</v>
      </c>
      <c r="U155" s="100">
        <v>267.0796666666667</v>
      </c>
      <c r="V155" s="5">
        <f t="shared" si="43"/>
        <v>936503.53714077943</v>
      </c>
      <c r="W155" s="5">
        <f t="shared" si="44"/>
        <v>30807.0507957755</v>
      </c>
    </row>
    <row r="156" spans="1:23" ht="13">
      <c r="A156" s="92">
        <v>3411</v>
      </c>
      <c r="B156" s="93" t="s">
        <v>402</v>
      </c>
      <c r="C156" s="574">
        <v>0.8015130638586313</v>
      </c>
      <c r="D156" s="100">
        <f t="shared" si="30"/>
        <v>29532.296561288375</v>
      </c>
      <c r="E156" s="100">
        <f t="shared" si="31"/>
        <v>1041131.5829716604</v>
      </c>
      <c r="F156" s="100">
        <f t="shared" si="40"/>
        <v>4389.8951328032172</v>
      </c>
      <c r="G156" s="100">
        <f t="shared" si="32"/>
        <v>154761.3630118446</v>
      </c>
      <c r="H156" s="100">
        <f t="shared" si="41"/>
        <v>1271.0645650765969</v>
      </c>
      <c r="I156" s="100">
        <f t="shared" si="33"/>
        <v>44810.110177210343</v>
      </c>
      <c r="J156" s="100">
        <f t="shared" si="34"/>
        <v>851.02912637452312</v>
      </c>
      <c r="K156" s="100">
        <f t="shared" si="35"/>
        <v>30002.180821207439</v>
      </c>
      <c r="L156" s="101">
        <f t="shared" si="36"/>
        <v>184763.54383305204</v>
      </c>
      <c r="M156" s="100">
        <f t="shared" si="37"/>
        <v>1225895.1268047125</v>
      </c>
      <c r="N156" s="102">
        <f t="shared" si="38"/>
        <v>34773.220820466115</v>
      </c>
      <c r="O156" s="94">
        <f t="shared" si="39"/>
        <v>0.94375290801389178</v>
      </c>
      <c r="P156" s="100">
        <f>'Bef.fremskr. kommunenivå MMMM'!H151</f>
        <v>35254</v>
      </c>
      <c r="Q156" s="100"/>
      <c r="R156" s="100">
        <f t="shared" si="42"/>
        <v>0</v>
      </c>
      <c r="S156" s="100">
        <v>0</v>
      </c>
      <c r="U156" s="100">
        <v>818.26766666666663</v>
      </c>
      <c r="V156" s="5">
        <f t="shared" si="43"/>
        <v>1040313.3153049938</v>
      </c>
      <c r="W156" s="5">
        <f t="shared" si="44"/>
        <v>29509.085927979628</v>
      </c>
    </row>
    <row r="157" spans="1:23" ht="13">
      <c r="A157" s="92">
        <v>3412</v>
      </c>
      <c r="B157" s="93" t="s">
        <v>403</v>
      </c>
      <c r="C157" s="574">
        <v>0.7166585257313991</v>
      </c>
      <c r="D157" s="100">
        <f t="shared" si="30"/>
        <v>26405.773117639845</v>
      </c>
      <c r="E157" s="100">
        <f t="shared" si="31"/>
        <v>205331.29176276745</v>
      </c>
      <c r="F157" s="100">
        <f t="shared" si="40"/>
        <v>6265.809198992335</v>
      </c>
      <c r="G157" s="100">
        <f t="shared" si="32"/>
        <v>48722.932331364398</v>
      </c>
      <c r="H157" s="100">
        <f t="shared" si="41"/>
        <v>2365.3477703535823</v>
      </c>
      <c r="I157" s="100">
        <f t="shared" si="33"/>
        <v>18392.944262269455</v>
      </c>
      <c r="J157" s="100">
        <f t="shared" si="34"/>
        <v>1945.3123316515084</v>
      </c>
      <c r="K157" s="100">
        <f t="shared" si="35"/>
        <v>15126.74869092213</v>
      </c>
      <c r="L157" s="101">
        <f t="shared" si="36"/>
        <v>63849.681022286532</v>
      </c>
      <c r="M157" s="100">
        <f t="shared" si="37"/>
        <v>269180.97278505401</v>
      </c>
      <c r="N157" s="102">
        <f t="shared" si="38"/>
        <v>34616.894648283698</v>
      </c>
      <c r="O157" s="94">
        <f t="shared" si="39"/>
        <v>0.93951018110753048</v>
      </c>
      <c r="P157" s="100">
        <f>'Bef.fremskr. kommunenivå MMMM'!H152</f>
        <v>7776</v>
      </c>
      <c r="Q157" s="100"/>
      <c r="R157" s="100">
        <f t="shared" si="42"/>
        <v>0</v>
      </c>
      <c r="S157" s="100">
        <v>0</v>
      </c>
      <c r="U157" s="100">
        <v>20.951666666666668</v>
      </c>
      <c r="V157" s="5">
        <f t="shared" si="43"/>
        <v>205310.34009610079</v>
      </c>
      <c r="W157" s="5">
        <f t="shared" si="44"/>
        <v>26403.078716062344</v>
      </c>
    </row>
    <row r="158" spans="1:23" ht="13">
      <c r="A158" s="92">
        <v>3413</v>
      </c>
      <c r="B158" s="93" t="s">
        <v>404</v>
      </c>
      <c r="C158" s="574">
        <v>0.78123339742371578</v>
      </c>
      <c r="D158" s="100">
        <f t="shared" si="30"/>
        <v>28785.078393144377</v>
      </c>
      <c r="E158" s="100">
        <f t="shared" si="31"/>
        <v>612719.17867647123</v>
      </c>
      <c r="F158" s="100">
        <f t="shared" si="40"/>
        <v>4838.2260336896161</v>
      </c>
      <c r="G158" s="100">
        <f t="shared" si="32"/>
        <v>102986.47935311717</v>
      </c>
      <c r="H158" s="100">
        <f t="shared" si="41"/>
        <v>1532.5909239269961</v>
      </c>
      <c r="I158" s="100">
        <f t="shared" si="33"/>
        <v>32622.730406710041</v>
      </c>
      <c r="J158" s="100">
        <f t="shared" si="34"/>
        <v>1112.5554852249224</v>
      </c>
      <c r="K158" s="100">
        <f t="shared" si="35"/>
        <v>23681.856058497702</v>
      </c>
      <c r="L158" s="101">
        <f t="shared" si="36"/>
        <v>126668.33541161488</v>
      </c>
      <c r="M158" s="100">
        <f t="shared" si="37"/>
        <v>739387.51408808609</v>
      </c>
      <c r="N158" s="102">
        <f t="shared" si="38"/>
        <v>34735.859912058921</v>
      </c>
      <c r="O158" s="94">
        <f t="shared" si="39"/>
        <v>0.94273892469214615</v>
      </c>
      <c r="P158" s="100">
        <f>'Bef.fremskr. kommunenivå MMMM'!H153</f>
        <v>21286</v>
      </c>
      <c r="Q158" s="100"/>
      <c r="R158" s="100">
        <f t="shared" si="42"/>
        <v>0</v>
      </c>
      <c r="S158" s="100">
        <v>0</v>
      </c>
      <c r="U158" s="100">
        <v>123.907</v>
      </c>
      <c r="V158" s="5">
        <f t="shared" si="43"/>
        <v>612595.27167647122</v>
      </c>
      <c r="W158" s="5">
        <f t="shared" si="44"/>
        <v>28779.257337051171</v>
      </c>
    </row>
    <row r="159" spans="1:23" ht="13">
      <c r="A159" s="92">
        <v>3414</v>
      </c>
      <c r="B159" s="93" t="s">
        <v>405</v>
      </c>
      <c r="C159" s="574">
        <v>0.72946972074987082</v>
      </c>
      <c r="D159" s="100">
        <f t="shared" si="30"/>
        <v>26877.810352776836</v>
      </c>
      <c r="E159" s="100">
        <f t="shared" si="31"/>
        <v>133878.37336718143</v>
      </c>
      <c r="F159" s="100">
        <f t="shared" si="40"/>
        <v>5982.5868579101407</v>
      </c>
      <c r="G159" s="100">
        <f t="shared" si="32"/>
        <v>29799.265139250412</v>
      </c>
      <c r="H159" s="100">
        <f t="shared" si="41"/>
        <v>2200.1347380556354</v>
      </c>
      <c r="I159" s="100">
        <f t="shared" si="33"/>
        <v>10958.87113025512</v>
      </c>
      <c r="J159" s="100">
        <f t="shared" si="34"/>
        <v>1780.0992993535615</v>
      </c>
      <c r="K159" s="100">
        <f t="shared" si="35"/>
        <v>8866.6746100800901</v>
      </c>
      <c r="L159" s="101">
        <f t="shared" si="36"/>
        <v>38665.9397493305</v>
      </c>
      <c r="M159" s="100">
        <f t="shared" si="37"/>
        <v>172544.31311651191</v>
      </c>
      <c r="N159" s="102">
        <f t="shared" si="38"/>
        <v>34640.496510040539</v>
      </c>
      <c r="O159" s="94">
        <f t="shared" si="39"/>
        <v>0.94015074085845374</v>
      </c>
      <c r="P159" s="100">
        <f>'Bef.fremskr. kommunenivå MMMM'!H154</f>
        <v>4981</v>
      </c>
      <c r="Q159" s="100"/>
      <c r="R159" s="100">
        <f t="shared" si="42"/>
        <v>0</v>
      </c>
      <c r="S159" s="100">
        <v>0</v>
      </c>
      <c r="U159" s="100">
        <v>0</v>
      </c>
      <c r="V159" s="5">
        <f t="shared" si="43"/>
        <v>133878.37336718143</v>
      </c>
      <c r="W159" s="5">
        <f t="shared" si="44"/>
        <v>26877.810352776836</v>
      </c>
    </row>
    <row r="160" spans="1:23" ht="13">
      <c r="A160" s="92">
        <v>3415</v>
      </c>
      <c r="B160" s="93" t="s">
        <v>406</v>
      </c>
      <c r="C160" s="574">
        <v>0.78884122138823987</v>
      </c>
      <c r="D160" s="100">
        <f t="shared" si="30"/>
        <v>29065.393866013612</v>
      </c>
      <c r="E160" s="100">
        <f t="shared" si="31"/>
        <v>232755.67407903701</v>
      </c>
      <c r="F160" s="100">
        <f t="shared" si="40"/>
        <v>4670.0367499680751</v>
      </c>
      <c r="G160" s="100">
        <f t="shared" si="32"/>
        <v>37397.654293744345</v>
      </c>
      <c r="H160" s="100">
        <f t="shared" si="41"/>
        <v>1434.4805084227637</v>
      </c>
      <c r="I160" s="100">
        <f t="shared" si="33"/>
        <v>11487.319911449493</v>
      </c>
      <c r="J160" s="100">
        <f t="shared" si="34"/>
        <v>1014.44506972069</v>
      </c>
      <c r="K160" s="100">
        <f t="shared" si="35"/>
        <v>8123.6761183232848</v>
      </c>
      <c r="L160" s="101">
        <f t="shared" si="36"/>
        <v>45521.330412067633</v>
      </c>
      <c r="M160" s="100">
        <f t="shared" si="37"/>
        <v>278277.00449110463</v>
      </c>
      <c r="N160" s="102">
        <f t="shared" si="38"/>
        <v>34749.875685702376</v>
      </c>
      <c r="O160" s="94">
        <f t="shared" si="39"/>
        <v>0.94311931589037223</v>
      </c>
      <c r="P160" s="100">
        <f>'Bef.fremskr. kommunenivå MMMM'!H155</f>
        <v>8008</v>
      </c>
      <c r="Q160" s="100"/>
      <c r="R160" s="100">
        <f t="shared" si="42"/>
        <v>0</v>
      </c>
      <c r="S160" s="100">
        <v>0</v>
      </c>
      <c r="U160" s="100">
        <v>953.1016666666668</v>
      </c>
      <c r="V160" s="5">
        <f t="shared" si="43"/>
        <v>231802.57241237035</v>
      </c>
      <c r="W160" s="5">
        <f t="shared" si="44"/>
        <v>28946.375176369926</v>
      </c>
    </row>
    <row r="161" spans="1:23" ht="13">
      <c r="A161" s="92">
        <v>3416</v>
      </c>
      <c r="B161" s="93" t="s">
        <v>407</v>
      </c>
      <c r="C161" s="574">
        <v>0.69173261732003222</v>
      </c>
      <c r="D161" s="100">
        <f t="shared" si="30"/>
        <v>25487.360988809174</v>
      </c>
      <c r="E161" s="100">
        <f t="shared" si="31"/>
        <v>152796.72912791101</v>
      </c>
      <c r="F161" s="100">
        <f t="shared" si="40"/>
        <v>6816.8564762907381</v>
      </c>
      <c r="G161" s="100">
        <f t="shared" si="32"/>
        <v>40867.05457536297</v>
      </c>
      <c r="H161" s="100">
        <f t="shared" si="41"/>
        <v>2686.7920154443168</v>
      </c>
      <c r="I161" s="100">
        <f t="shared" si="33"/>
        <v>16107.31813258868</v>
      </c>
      <c r="J161" s="100">
        <f t="shared" si="34"/>
        <v>2266.7565767422429</v>
      </c>
      <c r="K161" s="100">
        <f t="shared" si="35"/>
        <v>13589.205677569747</v>
      </c>
      <c r="L161" s="101">
        <f t="shared" si="36"/>
        <v>54456.26025293272</v>
      </c>
      <c r="M161" s="100">
        <f t="shared" si="37"/>
        <v>207252.98938084373</v>
      </c>
      <c r="N161" s="102">
        <f t="shared" si="38"/>
        <v>34570.974041842157</v>
      </c>
      <c r="O161" s="94">
        <f t="shared" si="39"/>
        <v>0.93826388568696184</v>
      </c>
      <c r="P161" s="100">
        <f>'Bef.fremskr. kommunenivå MMMM'!H156</f>
        <v>5995</v>
      </c>
      <c r="Q161" s="100"/>
      <c r="R161" s="100">
        <f t="shared" si="42"/>
        <v>0</v>
      </c>
      <c r="S161" s="100">
        <v>0</v>
      </c>
      <c r="U161" s="100">
        <v>0</v>
      </c>
      <c r="V161" s="5">
        <f t="shared" si="43"/>
        <v>152796.72912791101</v>
      </c>
      <c r="W161" s="5">
        <f t="shared" si="44"/>
        <v>25487.360988809174</v>
      </c>
    </row>
    <row r="162" spans="1:23" ht="13">
      <c r="A162" s="92">
        <v>3417</v>
      </c>
      <c r="B162" s="93" t="s">
        <v>408</v>
      </c>
      <c r="C162" s="574">
        <v>0.80411173233635636</v>
      </c>
      <c r="D162" s="100">
        <f t="shared" si="30"/>
        <v>29628.046277180947</v>
      </c>
      <c r="E162" s="100">
        <f t="shared" si="31"/>
        <v>134985.37883883639</v>
      </c>
      <c r="F162" s="100">
        <f t="shared" si="40"/>
        <v>4332.4453032676738</v>
      </c>
      <c r="G162" s="100">
        <f t="shared" si="32"/>
        <v>19738.620801687524</v>
      </c>
      <c r="H162" s="100">
        <f t="shared" si="41"/>
        <v>1237.5521645141964</v>
      </c>
      <c r="I162" s="100">
        <f t="shared" si="33"/>
        <v>5638.2876615266787</v>
      </c>
      <c r="J162" s="100">
        <f t="shared" si="34"/>
        <v>817.51672581212267</v>
      </c>
      <c r="K162" s="100">
        <f t="shared" si="35"/>
        <v>3724.606202800031</v>
      </c>
      <c r="L162" s="101">
        <f t="shared" si="36"/>
        <v>23463.227004487555</v>
      </c>
      <c r="M162" s="100">
        <f t="shared" si="37"/>
        <v>158448.60584332395</v>
      </c>
      <c r="N162" s="102">
        <f t="shared" si="38"/>
        <v>34778.008306260745</v>
      </c>
      <c r="O162" s="94">
        <f t="shared" si="39"/>
        <v>0.94388284143777801</v>
      </c>
      <c r="P162" s="100">
        <f>'Bef.fremskr. kommunenivå MMMM'!H157</f>
        <v>4556</v>
      </c>
      <c r="Q162" s="100"/>
      <c r="R162" s="100">
        <f t="shared" si="42"/>
        <v>0</v>
      </c>
      <c r="S162" s="100">
        <v>0</v>
      </c>
      <c r="U162" s="100">
        <v>0</v>
      </c>
      <c r="V162" s="5">
        <f t="shared" si="43"/>
        <v>134985.37883883639</v>
      </c>
      <c r="W162" s="5">
        <f t="shared" si="44"/>
        <v>29628.046277180947</v>
      </c>
    </row>
    <row r="163" spans="1:23" ht="13">
      <c r="A163" s="92">
        <v>3418</v>
      </c>
      <c r="B163" s="93" t="s">
        <v>409</v>
      </c>
      <c r="C163" s="574">
        <v>0.71093928640943183</v>
      </c>
      <c r="D163" s="100">
        <f t="shared" si="30"/>
        <v>26195.043836512232</v>
      </c>
      <c r="E163" s="100">
        <f t="shared" si="31"/>
        <v>188997.24128043573</v>
      </c>
      <c r="F163" s="100">
        <f t="shared" si="40"/>
        <v>6392.246767668903</v>
      </c>
      <c r="G163" s="100">
        <f t="shared" si="32"/>
        <v>46120.060428731136</v>
      </c>
      <c r="H163" s="100">
        <f t="shared" si="41"/>
        <v>2439.1030187482465</v>
      </c>
      <c r="I163" s="100">
        <f t="shared" si="33"/>
        <v>17598.1282802686</v>
      </c>
      <c r="J163" s="100">
        <f t="shared" si="34"/>
        <v>2019.0675800461727</v>
      </c>
      <c r="K163" s="100">
        <f t="shared" si="35"/>
        <v>14567.572590033136</v>
      </c>
      <c r="L163" s="101">
        <f t="shared" si="36"/>
        <v>60687.633018764274</v>
      </c>
      <c r="M163" s="100">
        <f t="shared" si="37"/>
        <v>249684.87429920002</v>
      </c>
      <c r="N163" s="102">
        <f t="shared" si="38"/>
        <v>34606.358184227305</v>
      </c>
      <c r="O163" s="94">
        <f t="shared" si="39"/>
        <v>0.93922421914143173</v>
      </c>
      <c r="P163" s="100">
        <f>'Bef.fremskr. kommunenivå MMMM'!H158</f>
        <v>7215</v>
      </c>
      <c r="Q163" s="100"/>
      <c r="R163" s="100">
        <f t="shared" si="42"/>
        <v>0</v>
      </c>
      <c r="S163" s="100">
        <v>0</v>
      </c>
      <c r="U163" s="100">
        <v>0</v>
      </c>
      <c r="V163" s="5">
        <f t="shared" si="43"/>
        <v>188997.24128043573</v>
      </c>
      <c r="W163" s="5">
        <f t="shared" si="44"/>
        <v>26195.043836512232</v>
      </c>
    </row>
    <row r="164" spans="1:23" ht="13">
      <c r="A164" s="92">
        <v>3419</v>
      </c>
      <c r="B164" s="93" t="s">
        <v>379</v>
      </c>
      <c r="C164" s="574">
        <v>0.73066145178621311</v>
      </c>
      <c r="D164" s="100">
        <f t="shared" si="30"/>
        <v>26921.720497194343</v>
      </c>
      <c r="E164" s="100">
        <f t="shared" si="31"/>
        <v>97322.019597357561</v>
      </c>
      <c r="F164" s="100">
        <f t="shared" si="40"/>
        <v>5956.2407712596369</v>
      </c>
      <c r="G164" s="100">
        <f t="shared" si="32"/>
        <v>21531.810388103586</v>
      </c>
      <c r="H164" s="100">
        <f t="shared" si="41"/>
        <v>2184.7661875095077</v>
      </c>
      <c r="I164" s="100">
        <f t="shared" si="33"/>
        <v>7897.9297678468702</v>
      </c>
      <c r="J164" s="100">
        <f t="shared" si="34"/>
        <v>1764.7307488074339</v>
      </c>
      <c r="K164" s="100">
        <f t="shared" si="35"/>
        <v>6379.5016569388736</v>
      </c>
      <c r="L164" s="101">
        <f t="shared" si="36"/>
        <v>27911.312045042461</v>
      </c>
      <c r="M164" s="100">
        <f t="shared" si="37"/>
        <v>125233.33164240001</v>
      </c>
      <c r="N164" s="102">
        <f t="shared" si="38"/>
        <v>34642.692017261412</v>
      </c>
      <c r="O164" s="94">
        <f t="shared" si="39"/>
        <v>0.94021032741027077</v>
      </c>
      <c r="P164" s="100">
        <f>'Bef.fremskr. kommunenivå MMMM'!H159</f>
        <v>3615</v>
      </c>
      <c r="Q164" s="100"/>
      <c r="R164" s="100">
        <f t="shared" si="42"/>
        <v>0</v>
      </c>
      <c r="S164" s="100">
        <v>0</v>
      </c>
      <c r="U164" s="100">
        <v>1319.6276666666665</v>
      </c>
      <c r="V164" s="5">
        <f t="shared" si="43"/>
        <v>96002.391930690894</v>
      </c>
      <c r="W164" s="5">
        <f t="shared" si="44"/>
        <v>26556.678265751285</v>
      </c>
    </row>
    <row r="165" spans="1:23" ht="13">
      <c r="A165" s="92">
        <v>3420</v>
      </c>
      <c r="B165" s="93" t="s">
        <v>410</v>
      </c>
      <c r="C165" s="574">
        <v>0.79179456037399998</v>
      </c>
      <c r="D165" s="100">
        <f t="shared" si="30"/>
        <v>29174.211659143013</v>
      </c>
      <c r="E165" s="100">
        <f t="shared" si="31"/>
        <v>628149.95123300829</v>
      </c>
      <c r="F165" s="100">
        <f t="shared" si="40"/>
        <v>4604.7460740904344</v>
      </c>
      <c r="G165" s="100">
        <f t="shared" si="32"/>
        <v>99144.78772124114</v>
      </c>
      <c r="H165" s="100">
        <f t="shared" si="41"/>
        <v>1396.3942808274733</v>
      </c>
      <c r="I165" s="100">
        <f t="shared" si="33"/>
        <v>30065.765260496326</v>
      </c>
      <c r="J165" s="100">
        <f t="shared" si="34"/>
        <v>976.35884212539952</v>
      </c>
      <c r="K165" s="100">
        <f t="shared" si="35"/>
        <v>21021.982229801975</v>
      </c>
      <c r="L165" s="101">
        <f t="shared" si="36"/>
        <v>120166.76995104311</v>
      </c>
      <c r="M165" s="100">
        <f t="shared" si="37"/>
        <v>748316.72118405136</v>
      </c>
      <c r="N165" s="102">
        <f t="shared" si="38"/>
        <v>34755.316575358847</v>
      </c>
      <c r="O165" s="94">
        <f t="shared" si="39"/>
        <v>0.94326698283966026</v>
      </c>
      <c r="P165" s="100">
        <f>'Bef.fremskr. kommunenivå MMMM'!H160</f>
        <v>21531</v>
      </c>
      <c r="Q165" s="100"/>
      <c r="R165" s="100">
        <f t="shared" si="42"/>
        <v>0</v>
      </c>
      <c r="S165" s="100">
        <v>0</v>
      </c>
      <c r="U165" s="100">
        <v>2994.626666666667</v>
      </c>
      <c r="V165" s="5">
        <f t="shared" si="43"/>
        <v>625155.32456634159</v>
      </c>
      <c r="W165" s="5">
        <f t="shared" si="44"/>
        <v>29035.127238230536</v>
      </c>
    </row>
    <row r="166" spans="1:23" ht="13">
      <c r="A166" s="92">
        <v>3421</v>
      </c>
      <c r="B166" s="93" t="s">
        <v>411</v>
      </c>
      <c r="C166" s="574">
        <v>0.81899877470811644</v>
      </c>
      <c r="D166" s="100">
        <f t="shared" si="30"/>
        <v>30176.56952660465</v>
      </c>
      <c r="E166" s="100">
        <f t="shared" si="31"/>
        <v>199587.83084896315</v>
      </c>
      <c r="F166" s="100">
        <f t="shared" si="40"/>
        <v>4003.3313536134524</v>
      </c>
      <c r="G166" s="100">
        <f t="shared" si="32"/>
        <v>26478.033572799373</v>
      </c>
      <c r="H166" s="100">
        <f t="shared" si="41"/>
        <v>1045.5690272159006</v>
      </c>
      <c r="I166" s="100">
        <f t="shared" si="33"/>
        <v>6915.3935460059674</v>
      </c>
      <c r="J166" s="100">
        <f t="shared" si="34"/>
        <v>625.53358851382688</v>
      </c>
      <c r="K166" s="100">
        <f t="shared" si="35"/>
        <v>4137.2791544304509</v>
      </c>
      <c r="L166" s="101">
        <f t="shared" si="36"/>
        <v>30615.312727229822</v>
      </c>
      <c r="M166" s="100">
        <f t="shared" si="37"/>
        <v>230203.14357619299</v>
      </c>
      <c r="N166" s="102">
        <f t="shared" si="38"/>
        <v>34805.434468731932</v>
      </c>
      <c r="O166" s="94">
        <f t="shared" si="39"/>
        <v>0.94462719355636615</v>
      </c>
      <c r="P166" s="100">
        <f>'Bef.fremskr. kommunenivå MMMM'!H161</f>
        <v>6614</v>
      </c>
      <c r="Q166" s="100"/>
      <c r="R166" s="100">
        <f t="shared" si="42"/>
        <v>0</v>
      </c>
      <c r="S166" s="100">
        <v>0</v>
      </c>
      <c r="U166" s="100">
        <v>1007.0683333333333</v>
      </c>
      <c r="V166" s="5">
        <f t="shared" si="43"/>
        <v>198580.76251562982</v>
      </c>
      <c r="W166" s="5">
        <f t="shared" si="44"/>
        <v>30024.306397887787</v>
      </c>
    </row>
    <row r="167" spans="1:23" ht="13">
      <c r="A167" s="92">
        <v>3422</v>
      </c>
      <c r="B167" s="93" t="s">
        <v>412</v>
      </c>
      <c r="C167" s="574">
        <v>0.79016062013741073</v>
      </c>
      <c r="D167" s="100">
        <f t="shared" si="30"/>
        <v>29114.008014553528</v>
      </c>
      <c r="E167" s="100">
        <f t="shared" si="31"/>
        <v>123909.21810993981</v>
      </c>
      <c r="F167" s="100">
        <f t="shared" si="40"/>
        <v>4640.868260844125</v>
      </c>
      <c r="G167" s="100">
        <f t="shared" si="32"/>
        <v>19751.535318152597</v>
      </c>
      <c r="H167" s="100">
        <f t="shared" si="41"/>
        <v>1417.4655564337929</v>
      </c>
      <c r="I167" s="100">
        <f t="shared" si="33"/>
        <v>6032.7334081822228</v>
      </c>
      <c r="J167" s="100">
        <f t="shared" si="34"/>
        <v>997.43011773171918</v>
      </c>
      <c r="K167" s="100">
        <f t="shared" si="35"/>
        <v>4245.0625810661968</v>
      </c>
      <c r="L167" s="101">
        <f t="shared" si="36"/>
        <v>23996.597899218796</v>
      </c>
      <c r="M167" s="100">
        <f t="shared" si="37"/>
        <v>147905.81600915862</v>
      </c>
      <c r="N167" s="102">
        <f t="shared" si="38"/>
        <v>34752.306393129373</v>
      </c>
      <c r="O167" s="94">
        <f t="shared" si="39"/>
        <v>0.94318528582783079</v>
      </c>
      <c r="P167" s="100">
        <f>'Bef.fremskr. kommunenivå MMMM'!H162</f>
        <v>4256</v>
      </c>
      <c r="Q167" s="100"/>
      <c r="R167" s="100">
        <f t="shared" si="42"/>
        <v>0</v>
      </c>
      <c r="S167" s="100">
        <v>0</v>
      </c>
      <c r="U167" s="100">
        <v>5457.1596666666665</v>
      </c>
      <c r="V167" s="5">
        <f t="shared" si="43"/>
        <v>118452.05844327316</v>
      </c>
      <c r="W167" s="5">
        <f t="shared" si="44"/>
        <v>27831.780649265311</v>
      </c>
    </row>
    <row r="168" spans="1:23" ht="13">
      <c r="A168" s="92">
        <v>3423</v>
      </c>
      <c r="B168" s="93" t="s">
        <v>413</v>
      </c>
      <c r="C168" s="574">
        <v>0.68972196656139217</v>
      </c>
      <c r="D168" s="100">
        <f t="shared" si="30"/>
        <v>25413.277187605141</v>
      </c>
      <c r="E168" s="100">
        <f t="shared" si="31"/>
        <v>58933.38979805632</v>
      </c>
      <c r="F168" s="100">
        <f t="shared" si="40"/>
        <v>6861.3067570131579</v>
      </c>
      <c r="G168" s="100">
        <f t="shared" si="32"/>
        <v>15911.370369513514</v>
      </c>
      <c r="H168" s="100">
        <f t="shared" si="41"/>
        <v>2712.7213458657284</v>
      </c>
      <c r="I168" s="100">
        <f t="shared" si="33"/>
        <v>6290.8008010626236</v>
      </c>
      <c r="J168" s="100">
        <f t="shared" si="34"/>
        <v>2292.6859071636545</v>
      </c>
      <c r="K168" s="100">
        <f t="shared" si="35"/>
        <v>5316.7386187125148</v>
      </c>
      <c r="L168" s="101">
        <f t="shared" si="36"/>
        <v>21228.108988226028</v>
      </c>
      <c r="M168" s="100">
        <f t="shared" si="37"/>
        <v>80161.498786282347</v>
      </c>
      <c r="N168" s="102">
        <f t="shared" si="38"/>
        <v>34567.269851781952</v>
      </c>
      <c r="O168" s="94">
        <f t="shared" si="39"/>
        <v>0.93816335314902977</v>
      </c>
      <c r="P168" s="100">
        <f>'Bef.fremskr. kommunenivå MMMM'!H163</f>
        <v>2319</v>
      </c>
      <c r="Q168" s="100"/>
      <c r="R168" s="100">
        <f t="shared" si="42"/>
        <v>0</v>
      </c>
      <c r="S168" s="100">
        <v>0</v>
      </c>
      <c r="U168" s="100">
        <v>1009.7083333333334</v>
      </c>
      <c r="V168" s="5">
        <f t="shared" si="43"/>
        <v>57923.681464722984</v>
      </c>
      <c r="W168" s="5">
        <f t="shared" si="44"/>
        <v>24977.870403071574</v>
      </c>
    </row>
    <row r="169" spans="1:23" ht="13">
      <c r="A169" s="92">
        <v>3424</v>
      </c>
      <c r="B169" s="93" t="s">
        <v>414</v>
      </c>
      <c r="C169" s="574">
        <v>0.73364812212362251</v>
      </c>
      <c r="D169" s="100">
        <f t="shared" si="30"/>
        <v>27031.766406752638</v>
      </c>
      <c r="E169" s="100">
        <f t="shared" si="31"/>
        <v>46710.892350868562</v>
      </c>
      <c r="F169" s="100">
        <f t="shared" si="40"/>
        <v>5890.2132255246588</v>
      </c>
      <c r="G169" s="100">
        <f t="shared" si="32"/>
        <v>10178.288453706611</v>
      </c>
      <c r="H169" s="100">
        <f t="shared" si="41"/>
        <v>2146.2501191641045</v>
      </c>
      <c r="I169" s="100">
        <f t="shared" si="33"/>
        <v>3708.7202059155725</v>
      </c>
      <c r="J169" s="100">
        <f t="shared" si="34"/>
        <v>1726.2146804620306</v>
      </c>
      <c r="K169" s="100">
        <f t="shared" si="35"/>
        <v>2982.8989678383887</v>
      </c>
      <c r="L169" s="101">
        <f t="shared" si="36"/>
        <v>13161.187421545001</v>
      </c>
      <c r="M169" s="100">
        <f t="shared" si="37"/>
        <v>59872.079772413563</v>
      </c>
      <c r="N169" s="102">
        <f t="shared" si="38"/>
        <v>34648.194312739332</v>
      </c>
      <c r="O169" s="94">
        <f t="shared" si="39"/>
        <v>0.94035966092714141</v>
      </c>
      <c r="P169" s="100">
        <f>'Bef.fremskr. kommunenivå MMMM'!H164</f>
        <v>1728</v>
      </c>
      <c r="Q169" s="100"/>
      <c r="R169" s="100">
        <f t="shared" si="42"/>
        <v>0</v>
      </c>
      <c r="S169" s="100">
        <v>0</v>
      </c>
      <c r="U169" s="100">
        <v>5439.704999999999</v>
      </c>
      <c r="V169" s="5">
        <f t="shared" si="43"/>
        <v>41271.18735086856</v>
      </c>
      <c r="W169" s="5">
        <f t="shared" si="44"/>
        <v>23883.788976197084</v>
      </c>
    </row>
    <row r="170" spans="1:23" ht="13">
      <c r="A170" s="92">
        <v>3425</v>
      </c>
      <c r="B170" s="93" t="s">
        <v>415</v>
      </c>
      <c r="C170" s="574">
        <v>0.69890705828833555</v>
      </c>
      <c r="D170" s="100">
        <f t="shared" si="30"/>
        <v>25751.708169025267</v>
      </c>
      <c r="E170" s="100">
        <f t="shared" si="31"/>
        <v>32395.648876633786</v>
      </c>
      <c r="F170" s="100">
        <f t="shared" si="40"/>
        <v>6658.2481681610816</v>
      </c>
      <c r="G170" s="100">
        <f t="shared" si="32"/>
        <v>8376.0761955466405</v>
      </c>
      <c r="H170" s="100">
        <f t="shared" si="41"/>
        <v>2594.2705023686844</v>
      </c>
      <c r="I170" s="100">
        <f t="shared" si="33"/>
        <v>3263.5922919798049</v>
      </c>
      <c r="J170" s="100">
        <f t="shared" si="34"/>
        <v>2174.2350636666106</v>
      </c>
      <c r="K170" s="100">
        <f t="shared" si="35"/>
        <v>2735.1877100925963</v>
      </c>
      <c r="L170" s="101">
        <f t="shared" si="36"/>
        <v>11111.263905639236</v>
      </c>
      <c r="M170" s="100">
        <f t="shared" si="37"/>
        <v>43506.912782273022</v>
      </c>
      <c r="N170" s="102">
        <f t="shared" si="38"/>
        <v>34584.191400852964</v>
      </c>
      <c r="O170" s="94">
        <f t="shared" si="39"/>
        <v>0.93862260773537709</v>
      </c>
      <c r="P170" s="100">
        <f>'Bef.fremskr. kommunenivå MMMM'!H165</f>
        <v>1258</v>
      </c>
      <c r="Q170" s="100"/>
      <c r="R170" s="100">
        <f t="shared" si="42"/>
        <v>0</v>
      </c>
      <c r="S170" s="100">
        <v>0</v>
      </c>
      <c r="U170" s="100">
        <v>0</v>
      </c>
      <c r="V170" s="5">
        <f t="shared" si="43"/>
        <v>32395.648876633786</v>
      </c>
      <c r="W170" s="5">
        <f t="shared" si="44"/>
        <v>25751.708169025267</v>
      </c>
    </row>
    <row r="171" spans="1:23" ht="13">
      <c r="A171" s="92">
        <v>3426</v>
      </c>
      <c r="B171" s="93" t="s">
        <v>416</v>
      </c>
      <c r="C171" s="574">
        <v>0.64741399685723044</v>
      </c>
      <c r="D171" s="100">
        <f t="shared" si="30"/>
        <v>23854.411132204597</v>
      </c>
      <c r="E171" s="100">
        <f t="shared" si="31"/>
        <v>36926.628432652717</v>
      </c>
      <c r="F171" s="100">
        <f t="shared" si="40"/>
        <v>7796.6263902534838</v>
      </c>
      <c r="G171" s="100">
        <f t="shared" si="32"/>
        <v>12069.177652112392</v>
      </c>
      <c r="H171" s="100">
        <f t="shared" si="41"/>
        <v>3258.3244652559188</v>
      </c>
      <c r="I171" s="100">
        <f t="shared" si="33"/>
        <v>5043.886272216163</v>
      </c>
      <c r="J171" s="100">
        <f t="shared" si="34"/>
        <v>2838.2890265538449</v>
      </c>
      <c r="K171" s="100">
        <f t="shared" si="35"/>
        <v>4393.6714131053523</v>
      </c>
      <c r="L171" s="101">
        <f t="shared" si="36"/>
        <v>16462.849065217742</v>
      </c>
      <c r="M171" s="100">
        <f t="shared" si="37"/>
        <v>53389.477497870459</v>
      </c>
      <c r="N171" s="102">
        <f t="shared" si="38"/>
        <v>34489.326549011923</v>
      </c>
      <c r="O171" s="94">
        <f t="shared" si="39"/>
        <v>0.93604795466382162</v>
      </c>
      <c r="P171" s="100">
        <f>'Bef.fremskr. kommunenivå MMMM'!H166</f>
        <v>1548</v>
      </c>
      <c r="Q171" s="100"/>
      <c r="R171" s="100">
        <f t="shared" si="42"/>
        <v>0</v>
      </c>
      <c r="S171" s="100">
        <v>0</v>
      </c>
      <c r="U171" s="100">
        <v>0</v>
      </c>
      <c r="V171" s="5">
        <f t="shared" si="43"/>
        <v>36926.628432652717</v>
      </c>
      <c r="W171" s="5">
        <f t="shared" si="44"/>
        <v>23854.411132204597</v>
      </c>
    </row>
    <row r="172" spans="1:23" ht="13">
      <c r="A172" s="92">
        <v>3427</v>
      </c>
      <c r="B172" s="93" t="s">
        <v>417</v>
      </c>
      <c r="C172" s="574">
        <v>0.78031742638041057</v>
      </c>
      <c r="D172" s="100">
        <f t="shared" si="30"/>
        <v>28751.328814114167</v>
      </c>
      <c r="E172" s="100">
        <f t="shared" si="31"/>
        <v>160604.92275564172</v>
      </c>
      <c r="F172" s="100">
        <f t="shared" si="40"/>
        <v>4858.4757811077416</v>
      </c>
      <c r="G172" s="100">
        <f t="shared" si="32"/>
        <v>27139.445713267844</v>
      </c>
      <c r="H172" s="100">
        <f t="shared" si="41"/>
        <v>1544.4032765875693</v>
      </c>
      <c r="I172" s="100">
        <f t="shared" si="33"/>
        <v>8627.0367030181624</v>
      </c>
      <c r="J172" s="100">
        <f t="shared" si="34"/>
        <v>1124.3678378854956</v>
      </c>
      <c r="K172" s="100">
        <f t="shared" si="35"/>
        <v>6280.7187424283793</v>
      </c>
      <c r="L172" s="101">
        <f t="shared" si="36"/>
        <v>33420.16445569622</v>
      </c>
      <c r="M172" s="100">
        <f t="shared" si="37"/>
        <v>194025.08721133793</v>
      </c>
      <c r="N172" s="102">
        <f t="shared" si="38"/>
        <v>34734.1724331074</v>
      </c>
      <c r="O172" s="94">
        <f t="shared" si="39"/>
        <v>0.94269312613998058</v>
      </c>
      <c r="P172" s="100">
        <f>'Bef.fremskr. kommunenivå MMMM'!H167</f>
        <v>5586</v>
      </c>
      <c r="Q172" s="100"/>
      <c r="R172" s="100">
        <f t="shared" si="42"/>
        <v>0</v>
      </c>
      <c r="S172" s="100">
        <v>0</v>
      </c>
      <c r="U172" s="100">
        <v>3569.2900000000004</v>
      </c>
      <c r="V172" s="5">
        <f t="shared" si="43"/>
        <v>157035.63275564171</v>
      </c>
      <c r="W172" s="5">
        <f t="shared" si="44"/>
        <v>28112.358173226225</v>
      </c>
    </row>
    <row r="173" spans="1:23" ht="13">
      <c r="A173" s="92">
        <v>3428</v>
      </c>
      <c r="B173" s="93" t="s">
        <v>418</v>
      </c>
      <c r="C173" s="574">
        <v>0.77285109842861577</v>
      </c>
      <c r="D173" s="100">
        <f t="shared" si="30"/>
        <v>28476.226858526912</v>
      </c>
      <c r="E173" s="100">
        <f t="shared" si="31"/>
        <v>69738.279576532412</v>
      </c>
      <c r="F173" s="100">
        <f t="shared" si="40"/>
        <v>5023.5369544600953</v>
      </c>
      <c r="G173" s="100">
        <f t="shared" si="32"/>
        <v>12302.642001472774</v>
      </c>
      <c r="H173" s="100">
        <f t="shared" si="41"/>
        <v>1640.6889610431087</v>
      </c>
      <c r="I173" s="100">
        <f t="shared" si="33"/>
        <v>4018.0472655945732</v>
      </c>
      <c r="J173" s="100">
        <f t="shared" si="34"/>
        <v>1220.6535223410351</v>
      </c>
      <c r="K173" s="100">
        <f t="shared" si="35"/>
        <v>2989.3804762131949</v>
      </c>
      <c r="L173" s="101">
        <f t="shared" si="36"/>
        <v>15292.022477685969</v>
      </c>
      <c r="M173" s="100">
        <f t="shared" si="37"/>
        <v>85030.30205421838</v>
      </c>
      <c r="N173" s="102">
        <f t="shared" si="38"/>
        <v>34720.417335328042</v>
      </c>
      <c r="O173" s="94">
        <f t="shared" si="39"/>
        <v>0.94231980974239105</v>
      </c>
      <c r="P173" s="100">
        <f>'Bef.fremskr. kommunenivå MMMM'!H168</f>
        <v>2449</v>
      </c>
      <c r="Q173" s="100"/>
      <c r="R173" s="100">
        <f t="shared" si="42"/>
        <v>0</v>
      </c>
      <c r="S173" s="100">
        <v>0</v>
      </c>
      <c r="U173" s="100">
        <v>3313.9833333333336</v>
      </c>
      <c r="V173" s="5">
        <f t="shared" si="43"/>
        <v>66424.296243199075</v>
      </c>
      <c r="W173" s="5">
        <f t="shared" si="44"/>
        <v>27123.028274070672</v>
      </c>
    </row>
    <row r="174" spans="1:23" ht="13">
      <c r="A174" s="92">
        <v>3429</v>
      </c>
      <c r="B174" s="93" t="s">
        <v>419</v>
      </c>
      <c r="C174" s="574">
        <v>0.70727584923416387</v>
      </c>
      <c r="D174" s="100">
        <f t="shared" si="30"/>
        <v>26060.061990336431</v>
      </c>
      <c r="E174" s="100">
        <f t="shared" si="31"/>
        <v>39976.13509317609</v>
      </c>
      <c r="F174" s="100">
        <f t="shared" si="40"/>
        <v>6473.2358753743838</v>
      </c>
      <c r="G174" s="100">
        <f t="shared" si="32"/>
        <v>9929.943832824305</v>
      </c>
      <c r="H174" s="100">
        <f t="shared" si="41"/>
        <v>2486.3466649097768</v>
      </c>
      <c r="I174" s="100">
        <f t="shared" si="33"/>
        <v>3814.0557839715975</v>
      </c>
      <c r="J174" s="100">
        <f t="shared" si="34"/>
        <v>2066.3112262077029</v>
      </c>
      <c r="K174" s="100">
        <f t="shared" si="35"/>
        <v>3169.7214210026164</v>
      </c>
      <c r="L174" s="101">
        <f t="shared" si="36"/>
        <v>13099.665253826921</v>
      </c>
      <c r="M174" s="100">
        <f t="shared" si="37"/>
        <v>53075.800347003009</v>
      </c>
      <c r="N174" s="102">
        <f t="shared" si="38"/>
        <v>34599.609091918515</v>
      </c>
      <c r="O174" s="94">
        <f t="shared" si="39"/>
        <v>0.93904104728266835</v>
      </c>
      <c r="P174" s="100">
        <f>'Bef.fremskr. kommunenivå MMMM'!H169</f>
        <v>1534</v>
      </c>
      <c r="Q174" s="100"/>
      <c r="R174" s="100">
        <f t="shared" si="42"/>
        <v>0</v>
      </c>
      <c r="S174" s="100">
        <v>0</v>
      </c>
      <c r="U174" s="100">
        <v>763.50666666666666</v>
      </c>
      <c r="V174" s="5">
        <f t="shared" si="43"/>
        <v>39212.628426509422</v>
      </c>
      <c r="W174" s="5">
        <f t="shared" si="44"/>
        <v>25562.339261088284</v>
      </c>
    </row>
    <row r="175" spans="1:23" ht="13">
      <c r="A175" s="92">
        <v>3430</v>
      </c>
      <c r="B175" s="93" t="s">
        <v>420</v>
      </c>
      <c r="C175" s="574">
        <v>0.91940248846552441</v>
      </c>
      <c r="D175" s="100">
        <f t="shared" si="30"/>
        <v>33876.012972059791</v>
      </c>
      <c r="E175" s="100">
        <f t="shared" si="31"/>
        <v>62196.359816701777</v>
      </c>
      <c r="F175" s="100">
        <f t="shared" si="40"/>
        <v>1783.6652863403681</v>
      </c>
      <c r="G175" s="100">
        <f t="shared" si="32"/>
        <v>3274.8094657209158</v>
      </c>
      <c r="H175" s="100">
        <f t="shared" si="41"/>
        <v>0</v>
      </c>
      <c r="I175" s="100">
        <f t="shared" si="33"/>
        <v>0</v>
      </c>
      <c r="J175" s="100">
        <f t="shared" si="34"/>
        <v>-420.03543870207375</v>
      </c>
      <c r="K175" s="100">
        <f t="shared" si="35"/>
        <v>-771.18506545700734</v>
      </c>
      <c r="L175" s="101">
        <f t="shared" si="36"/>
        <v>2503.6244002639087</v>
      </c>
      <c r="M175" s="100">
        <f t="shared" si="37"/>
        <v>64699.984216965684</v>
      </c>
      <c r="N175" s="102">
        <f t="shared" si="38"/>
        <v>35239.642819698085</v>
      </c>
      <c r="O175" s="94">
        <f t="shared" si="39"/>
        <v>0.95641170428730882</v>
      </c>
      <c r="P175" s="100">
        <f>'Bef.fremskr. kommunenivå MMMM'!H170</f>
        <v>1836</v>
      </c>
      <c r="Q175" s="100"/>
      <c r="R175" s="100">
        <f t="shared" si="42"/>
        <v>0</v>
      </c>
      <c r="S175" s="100">
        <v>0</v>
      </c>
      <c r="U175" s="100">
        <v>0</v>
      </c>
      <c r="V175" s="5">
        <f t="shared" si="43"/>
        <v>62196.359816701777</v>
      </c>
      <c r="W175" s="5">
        <f t="shared" si="44"/>
        <v>33876.012972059791</v>
      </c>
    </row>
    <row r="176" spans="1:23" ht="13">
      <c r="A176" s="92">
        <v>3431</v>
      </c>
      <c r="B176" s="93" t="s">
        <v>423</v>
      </c>
      <c r="C176" s="574">
        <v>0.72899366507548169</v>
      </c>
      <c r="D176" s="100">
        <f t="shared" si="30"/>
        <v>26860.269756135702</v>
      </c>
      <c r="E176" s="100">
        <f t="shared" si="31"/>
        <v>66694.049804484952</v>
      </c>
      <c r="F176" s="100">
        <f t="shared" si="40"/>
        <v>5993.1112158948208</v>
      </c>
      <c r="G176" s="100">
        <f t="shared" si="32"/>
        <v>14880.895149066839</v>
      </c>
      <c r="H176" s="100">
        <f t="shared" si="41"/>
        <v>2206.2739468800323</v>
      </c>
      <c r="I176" s="100">
        <f t="shared" si="33"/>
        <v>5478.1782101031204</v>
      </c>
      <c r="J176" s="100">
        <f t="shared" si="34"/>
        <v>1786.2385081779585</v>
      </c>
      <c r="K176" s="100">
        <f t="shared" si="35"/>
        <v>4435.2302158058701</v>
      </c>
      <c r="L176" s="101">
        <f t="shared" si="36"/>
        <v>19316.125364872707</v>
      </c>
      <c r="M176" s="100">
        <f t="shared" si="37"/>
        <v>86010.175169357666</v>
      </c>
      <c r="N176" s="102">
        <f t="shared" si="38"/>
        <v>34639.619480208486</v>
      </c>
      <c r="O176" s="94">
        <f t="shared" si="39"/>
        <v>0.94012693807473446</v>
      </c>
      <c r="P176" s="100">
        <f>'Bef.fremskr. kommunenivå MMMM'!H171</f>
        <v>2483</v>
      </c>
      <c r="Q176" s="100"/>
      <c r="R176" s="100">
        <f t="shared" si="42"/>
        <v>0</v>
      </c>
      <c r="S176" s="100">
        <v>0</v>
      </c>
      <c r="U176" s="100">
        <v>26.689333333333334</v>
      </c>
      <c r="V176" s="5">
        <f t="shared" si="43"/>
        <v>66667.360471151624</v>
      </c>
      <c r="W176" s="5">
        <f t="shared" si="44"/>
        <v>26849.520930790019</v>
      </c>
    </row>
    <row r="177" spans="1:23" ht="13">
      <c r="A177" s="92">
        <v>3432</v>
      </c>
      <c r="B177" s="93" t="s">
        <v>424</v>
      </c>
      <c r="C177" s="574">
        <v>0.7585265665569082</v>
      </c>
      <c r="D177" s="100">
        <f t="shared" si="30"/>
        <v>27948.429692875838</v>
      </c>
      <c r="E177" s="100">
        <f t="shared" si="31"/>
        <v>54918.66434650102</v>
      </c>
      <c r="F177" s="100">
        <f t="shared" si="40"/>
        <v>5340.2152538507398</v>
      </c>
      <c r="G177" s="100">
        <f t="shared" si="32"/>
        <v>10493.522973816704</v>
      </c>
      <c r="H177" s="100">
        <f t="shared" si="41"/>
        <v>1825.4179690209846</v>
      </c>
      <c r="I177" s="100">
        <f t="shared" si="33"/>
        <v>3586.9463091262346</v>
      </c>
      <c r="J177" s="100">
        <f t="shared" si="34"/>
        <v>1405.382530318911</v>
      </c>
      <c r="K177" s="100">
        <f t="shared" si="35"/>
        <v>2761.5766720766601</v>
      </c>
      <c r="L177" s="101">
        <f t="shared" si="36"/>
        <v>13255.099645893364</v>
      </c>
      <c r="M177" s="100">
        <f t="shared" si="37"/>
        <v>68173.763992394379</v>
      </c>
      <c r="N177" s="102">
        <f t="shared" si="38"/>
        <v>34694.027477045485</v>
      </c>
      <c r="O177" s="94">
        <f t="shared" si="39"/>
        <v>0.94160358314880555</v>
      </c>
      <c r="P177" s="100">
        <f>'Bef.fremskr. kommunenivå MMMM'!H172</f>
        <v>1965</v>
      </c>
      <c r="Q177" s="100"/>
      <c r="R177" s="100">
        <f t="shared" si="42"/>
        <v>0</v>
      </c>
      <c r="S177" s="100">
        <v>0</v>
      </c>
      <c r="U177" s="100">
        <v>1534.7783333333334</v>
      </c>
      <c r="V177" s="5">
        <f t="shared" si="43"/>
        <v>53383.886013167685</v>
      </c>
      <c r="W177" s="5">
        <f t="shared" si="44"/>
        <v>27167.372016879232</v>
      </c>
    </row>
    <row r="178" spans="1:23" ht="13">
      <c r="A178" s="92">
        <v>3433</v>
      </c>
      <c r="B178" s="93" t="s">
        <v>425</v>
      </c>
      <c r="C178" s="574">
        <v>0.85785757226346282</v>
      </c>
      <c r="D178" s="100">
        <f t="shared" si="30"/>
        <v>31608.348477149575</v>
      </c>
      <c r="E178" s="100">
        <f t="shared" si="31"/>
        <v>67167.740513942859</v>
      </c>
      <c r="F178" s="100">
        <f t="shared" si="40"/>
        <v>3144.2639832864975</v>
      </c>
      <c r="G178" s="100">
        <f t="shared" si="32"/>
        <v>6681.5609644838069</v>
      </c>
      <c r="H178" s="100">
        <f t="shared" si="41"/>
        <v>544.44639452517674</v>
      </c>
      <c r="I178" s="100">
        <f t="shared" si="33"/>
        <v>1156.9485883660006</v>
      </c>
      <c r="J178" s="100">
        <f t="shared" si="34"/>
        <v>124.410955823103</v>
      </c>
      <c r="K178" s="100">
        <f t="shared" si="35"/>
        <v>264.37328112409386</v>
      </c>
      <c r="L178" s="101">
        <f t="shared" si="36"/>
        <v>6945.9342456079012</v>
      </c>
      <c r="M178" s="100">
        <f t="shared" si="37"/>
        <v>74113.674759550762</v>
      </c>
      <c r="N178" s="102">
        <f t="shared" si="38"/>
        <v>34877.023416259181</v>
      </c>
      <c r="O178" s="94">
        <f t="shared" si="39"/>
        <v>0.94657013343413354</v>
      </c>
      <c r="P178" s="100">
        <f>'Bef.fremskr. kommunenivå MMMM'!H173</f>
        <v>2125</v>
      </c>
      <c r="Q178" s="100"/>
      <c r="R178" s="100">
        <f t="shared" si="42"/>
        <v>0</v>
      </c>
      <c r="S178" s="100">
        <v>0</v>
      </c>
      <c r="U178" s="100">
        <v>12012.529999999999</v>
      </c>
      <c r="V178" s="5">
        <f t="shared" si="43"/>
        <v>55155.21051394286</v>
      </c>
      <c r="W178" s="5">
        <f t="shared" si="44"/>
        <v>25955.393183031934</v>
      </c>
    </row>
    <row r="179" spans="1:23" ht="13">
      <c r="A179" s="92">
        <v>3434</v>
      </c>
      <c r="B179" s="93" t="s">
        <v>426</v>
      </c>
      <c r="C179" s="574">
        <v>0.75010952156457289</v>
      </c>
      <c r="D179" s="100">
        <f t="shared" si="30"/>
        <v>27638.297918246153</v>
      </c>
      <c r="E179" s="100">
        <f t="shared" si="31"/>
        <v>60417.319249286091</v>
      </c>
      <c r="F179" s="100">
        <f t="shared" si="40"/>
        <v>5526.2943186285502</v>
      </c>
      <c r="G179" s="100">
        <f t="shared" si="32"/>
        <v>12080.479380522011</v>
      </c>
      <c r="H179" s="100">
        <f t="shared" si="41"/>
        <v>1933.9640901413743</v>
      </c>
      <c r="I179" s="100">
        <f t="shared" si="33"/>
        <v>4227.6455010490445</v>
      </c>
      <c r="J179" s="100">
        <f t="shared" si="34"/>
        <v>1513.9286514393007</v>
      </c>
      <c r="K179" s="100">
        <f t="shared" si="35"/>
        <v>3309.4480320463113</v>
      </c>
      <c r="L179" s="101">
        <f t="shared" si="36"/>
        <v>15389.927412568322</v>
      </c>
      <c r="M179" s="100">
        <f t="shared" si="37"/>
        <v>75807.246661854413</v>
      </c>
      <c r="N179" s="102">
        <f t="shared" si="38"/>
        <v>34678.520888314008</v>
      </c>
      <c r="O179" s="94">
        <f t="shared" si="39"/>
        <v>0.94118273089918891</v>
      </c>
      <c r="P179" s="100">
        <f>'Bef.fremskr. kommunenivå MMMM'!H174</f>
        <v>2186</v>
      </c>
      <c r="Q179" s="100"/>
      <c r="R179" s="100">
        <f t="shared" si="42"/>
        <v>0</v>
      </c>
      <c r="S179" s="100">
        <v>0</v>
      </c>
      <c r="U179" s="100">
        <v>2062.2266666666669</v>
      </c>
      <c r="V179" s="5">
        <f t="shared" si="43"/>
        <v>58355.092582619422</v>
      </c>
      <c r="W179" s="5">
        <f t="shared" si="44"/>
        <v>26694.918839258655</v>
      </c>
    </row>
    <row r="180" spans="1:23" ht="13">
      <c r="A180" s="92">
        <v>3435</v>
      </c>
      <c r="B180" s="93" t="s">
        <v>427</v>
      </c>
      <c r="C180" s="574">
        <v>0.75313636767197489</v>
      </c>
      <c r="D180" s="100">
        <f t="shared" si="30"/>
        <v>27749.824131504411</v>
      </c>
      <c r="E180" s="100">
        <f t="shared" si="31"/>
        <v>98928.123028813221</v>
      </c>
      <c r="F180" s="100">
        <f t="shared" si="40"/>
        <v>5459.3785906735957</v>
      </c>
      <c r="G180" s="100">
        <f t="shared" si="32"/>
        <v>19462.68467575137</v>
      </c>
      <c r="H180" s="100">
        <f t="shared" si="41"/>
        <v>1894.9299155009842</v>
      </c>
      <c r="I180" s="100">
        <f t="shared" si="33"/>
        <v>6755.425148761009</v>
      </c>
      <c r="J180" s="100">
        <f t="shared" si="34"/>
        <v>1474.8944767989105</v>
      </c>
      <c r="K180" s="100">
        <f t="shared" si="35"/>
        <v>5257.998809788116</v>
      </c>
      <c r="L180" s="101">
        <f t="shared" si="36"/>
        <v>24720.683485539485</v>
      </c>
      <c r="M180" s="100">
        <f t="shared" si="37"/>
        <v>123648.80651435271</v>
      </c>
      <c r="N180" s="102">
        <f t="shared" si="38"/>
        <v>34684.097198976917</v>
      </c>
      <c r="O180" s="94">
        <f t="shared" si="39"/>
        <v>0.94133407320455897</v>
      </c>
      <c r="P180" s="100">
        <f>'Bef.fremskr. kommunenivå MMMM'!H175</f>
        <v>3565</v>
      </c>
      <c r="Q180" s="100"/>
      <c r="R180" s="100">
        <f t="shared" si="42"/>
        <v>0</v>
      </c>
      <c r="S180" s="100">
        <v>0</v>
      </c>
      <c r="U180" s="100">
        <v>3247.8103333333333</v>
      </c>
      <c r="V180" s="5">
        <f t="shared" si="43"/>
        <v>95680.312695479894</v>
      </c>
      <c r="W180" s="5">
        <f t="shared" si="44"/>
        <v>26838.797390036438</v>
      </c>
    </row>
    <row r="181" spans="1:23" ht="13">
      <c r="A181" s="92">
        <v>3436</v>
      </c>
      <c r="B181" s="93" t="s">
        <v>428</v>
      </c>
      <c r="C181" s="574">
        <v>0.86829307007699197</v>
      </c>
      <c r="D181" s="100">
        <f t="shared" si="30"/>
        <v>31992.851525309718</v>
      </c>
      <c r="E181" s="100">
        <f t="shared" si="31"/>
        <v>179159.96854173442</v>
      </c>
      <c r="F181" s="100">
        <f t="shared" si="40"/>
        <v>2913.5621543904117</v>
      </c>
      <c r="G181" s="100">
        <f t="shared" si="32"/>
        <v>16315.948064586306</v>
      </c>
      <c r="H181" s="100">
        <f t="shared" si="41"/>
        <v>409.87032766912688</v>
      </c>
      <c r="I181" s="100">
        <f t="shared" si="33"/>
        <v>2295.2738349471106</v>
      </c>
      <c r="J181" s="100">
        <f t="shared" si="34"/>
        <v>-10.165111032946868</v>
      </c>
      <c r="K181" s="100">
        <f t="shared" si="35"/>
        <v>-56.924621784502456</v>
      </c>
      <c r="L181" s="101">
        <f t="shared" si="36"/>
        <v>16259.023442801803</v>
      </c>
      <c r="M181" s="100">
        <f t="shared" si="37"/>
        <v>195418.9919845362</v>
      </c>
      <c r="N181" s="102">
        <f t="shared" si="38"/>
        <v>34896.248568667179</v>
      </c>
      <c r="O181" s="94">
        <f t="shared" si="39"/>
        <v>0.94709190832480972</v>
      </c>
      <c r="P181" s="100">
        <f>'Bef.fremskr. kommunenivå MMMM'!H176</f>
        <v>5600</v>
      </c>
      <c r="Q181" s="100"/>
      <c r="R181" s="100">
        <f t="shared" si="42"/>
        <v>0</v>
      </c>
      <c r="S181" s="100">
        <v>0</v>
      </c>
      <c r="U181" s="100">
        <v>18033.153666666665</v>
      </c>
      <c r="V181" s="5">
        <f t="shared" si="43"/>
        <v>161126.81487506774</v>
      </c>
      <c r="W181" s="5">
        <f t="shared" si="44"/>
        <v>28772.645513404954</v>
      </c>
    </row>
    <row r="182" spans="1:23" ht="13">
      <c r="A182" s="92">
        <v>3437</v>
      </c>
      <c r="B182" s="93" t="s">
        <v>429</v>
      </c>
      <c r="C182" s="574">
        <v>0.66761976756370767</v>
      </c>
      <c r="D182" s="100">
        <f t="shared" si="30"/>
        <v>24598.906561736771</v>
      </c>
      <c r="E182" s="100">
        <f t="shared" si="31"/>
        <v>134433.02435989145</v>
      </c>
      <c r="F182" s="100">
        <f t="shared" si="40"/>
        <v>7349.9291325341801</v>
      </c>
      <c r="G182" s="100">
        <f t="shared" si="32"/>
        <v>40167.362709299297</v>
      </c>
      <c r="H182" s="100">
        <f t="shared" si="41"/>
        <v>2997.7510649196583</v>
      </c>
      <c r="I182" s="100">
        <f t="shared" si="33"/>
        <v>16382.709569785931</v>
      </c>
      <c r="J182" s="100">
        <f t="shared" si="34"/>
        <v>2577.7156262175845</v>
      </c>
      <c r="K182" s="100">
        <f t="shared" si="35"/>
        <v>14087.215897279098</v>
      </c>
      <c r="L182" s="101">
        <f t="shared" si="36"/>
        <v>54254.578606578398</v>
      </c>
      <c r="M182" s="100">
        <f t="shared" si="37"/>
        <v>188687.60296646983</v>
      </c>
      <c r="N182" s="102">
        <f t="shared" si="38"/>
        <v>34526.551320488528</v>
      </c>
      <c r="O182" s="94">
        <f t="shared" si="39"/>
        <v>0.93705824319914544</v>
      </c>
      <c r="P182" s="100">
        <f>'Bef.fremskr. kommunenivå MMMM'!H177</f>
        <v>5465</v>
      </c>
      <c r="Q182" s="100"/>
      <c r="R182" s="100">
        <f t="shared" si="42"/>
        <v>0</v>
      </c>
      <c r="S182" s="100">
        <v>0</v>
      </c>
      <c r="U182" s="100">
        <v>551.52933333333328</v>
      </c>
      <c r="V182" s="5">
        <f t="shared" si="43"/>
        <v>133881.49502655811</v>
      </c>
      <c r="W182" s="5">
        <f t="shared" si="44"/>
        <v>24497.986281163423</v>
      </c>
    </row>
    <row r="183" spans="1:23" ht="13">
      <c r="A183" s="92">
        <v>3438</v>
      </c>
      <c r="B183" s="93" t="s">
        <v>430</v>
      </c>
      <c r="C183" s="574">
        <v>0.83716869516981274</v>
      </c>
      <c r="D183" s="100">
        <f t="shared" si="30"/>
        <v>30846.052662645565</v>
      </c>
      <c r="E183" s="100">
        <f t="shared" si="31"/>
        <v>94635.68956899659</v>
      </c>
      <c r="F183" s="100">
        <f t="shared" si="40"/>
        <v>3601.6414719889035</v>
      </c>
      <c r="G183" s="100">
        <f t="shared" si="32"/>
        <v>11049.836036061955</v>
      </c>
      <c r="H183" s="100">
        <f t="shared" si="41"/>
        <v>811.24992960158033</v>
      </c>
      <c r="I183" s="100">
        <f t="shared" si="33"/>
        <v>2488.9147840176483</v>
      </c>
      <c r="J183" s="100">
        <f t="shared" si="34"/>
        <v>391.21449089950659</v>
      </c>
      <c r="K183" s="100">
        <f t="shared" si="35"/>
        <v>1200.2460580796862</v>
      </c>
      <c r="L183" s="101">
        <f t="shared" si="36"/>
        <v>12250.082094141642</v>
      </c>
      <c r="M183" s="100">
        <f t="shared" si="37"/>
        <v>106885.77166313824</v>
      </c>
      <c r="N183" s="102">
        <f t="shared" si="38"/>
        <v>34838.908625533979</v>
      </c>
      <c r="O183" s="94">
        <f t="shared" si="39"/>
        <v>0.945535689579451</v>
      </c>
      <c r="P183" s="100">
        <f>'Bef.fremskr. kommunenivå MMMM'!H178</f>
        <v>3068</v>
      </c>
      <c r="Q183" s="100"/>
      <c r="R183" s="100">
        <f t="shared" si="42"/>
        <v>0</v>
      </c>
      <c r="S183" s="100">
        <v>0</v>
      </c>
      <c r="U183" s="100">
        <v>6090.2010000000009</v>
      </c>
      <c r="V183" s="5">
        <f t="shared" si="43"/>
        <v>88545.488568996589</v>
      </c>
      <c r="W183" s="5">
        <f t="shared" si="44"/>
        <v>28860.98062874726</v>
      </c>
    </row>
    <row r="184" spans="1:23" ht="13">
      <c r="A184" s="92">
        <v>3439</v>
      </c>
      <c r="B184" s="93" t="s">
        <v>431</v>
      </c>
      <c r="C184" s="574">
        <v>0.83971409828150845</v>
      </c>
      <c r="D184" s="100">
        <f t="shared" si="30"/>
        <v>30939.839779727266</v>
      </c>
      <c r="E184" s="100">
        <f t="shared" si="31"/>
        <v>135454.61855564598</v>
      </c>
      <c r="F184" s="100">
        <f t="shared" si="40"/>
        <v>3545.3692017398826</v>
      </c>
      <c r="G184" s="100">
        <f t="shared" si="32"/>
        <v>15521.626365217206</v>
      </c>
      <c r="H184" s="100">
        <f t="shared" si="41"/>
        <v>778.42443862298478</v>
      </c>
      <c r="I184" s="100">
        <f t="shared" si="33"/>
        <v>3407.9421922914275</v>
      </c>
      <c r="J184" s="100">
        <f t="shared" si="34"/>
        <v>358.38899992091103</v>
      </c>
      <c r="K184" s="100">
        <f t="shared" si="35"/>
        <v>1569.0270416537487</v>
      </c>
      <c r="L184" s="101">
        <f t="shared" si="36"/>
        <v>17090.653406870955</v>
      </c>
      <c r="M184" s="100">
        <f t="shared" si="37"/>
        <v>152545.27196251694</v>
      </c>
      <c r="N184" s="102">
        <f t="shared" si="38"/>
        <v>34843.597981388062</v>
      </c>
      <c r="O184" s="94">
        <f t="shared" si="39"/>
        <v>0.94566295973503567</v>
      </c>
      <c r="P184" s="100">
        <f>'Bef.fremskr. kommunenivå MMMM'!H179</f>
        <v>4378</v>
      </c>
      <c r="Q184" s="100"/>
      <c r="R184" s="100">
        <f t="shared" si="42"/>
        <v>0</v>
      </c>
      <c r="S184" s="100">
        <v>0</v>
      </c>
      <c r="U184" s="100">
        <v>0</v>
      </c>
      <c r="V184" s="5">
        <f t="shared" si="43"/>
        <v>135454.61855564598</v>
      </c>
      <c r="W184" s="5">
        <f t="shared" si="44"/>
        <v>30939.839779727266</v>
      </c>
    </row>
    <row r="185" spans="1:23" ht="13">
      <c r="A185" s="92">
        <v>3440</v>
      </c>
      <c r="B185" s="93" t="s">
        <v>432</v>
      </c>
      <c r="C185" s="574">
        <v>0.94102038568007773</v>
      </c>
      <c r="D185" s="100">
        <f t="shared" si="30"/>
        <v>34672.539167775351</v>
      </c>
      <c r="E185" s="100">
        <f t="shared" si="31"/>
        <v>177003.31245149317</v>
      </c>
      <c r="F185" s="100">
        <f t="shared" si="40"/>
        <v>1305.7495689110322</v>
      </c>
      <c r="G185" s="100">
        <f t="shared" si="32"/>
        <v>6665.8515492908191</v>
      </c>
      <c r="H185" s="100">
        <f t="shared" si="41"/>
        <v>0</v>
      </c>
      <c r="I185" s="100">
        <f t="shared" si="33"/>
        <v>0</v>
      </c>
      <c r="J185" s="100">
        <f t="shared" si="34"/>
        <v>-420.03543870207375</v>
      </c>
      <c r="K185" s="100">
        <f t="shared" si="35"/>
        <v>-2144.2809145740866</v>
      </c>
      <c r="L185" s="101">
        <f t="shared" si="36"/>
        <v>4521.5706347167325</v>
      </c>
      <c r="M185" s="100">
        <f t="shared" si="37"/>
        <v>181524.88308620991</v>
      </c>
      <c r="N185" s="102">
        <f t="shared" si="38"/>
        <v>35558.253297984316</v>
      </c>
      <c r="O185" s="94">
        <f t="shared" si="39"/>
        <v>0.96505886317313039</v>
      </c>
      <c r="P185" s="100">
        <f>'Bef.fremskr. kommunenivå MMMM'!H180</f>
        <v>5105</v>
      </c>
      <c r="Q185" s="100"/>
      <c r="R185" s="100">
        <f t="shared" si="42"/>
        <v>0</v>
      </c>
      <c r="S185" s="100">
        <v>0</v>
      </c>
      <c r="U185" s="100">
        <v>3419.4450000000002</v>
      </c>
      <c r="V185" s="5">
        <f t="shared" si="43"/>
        <v>173583.86745149316</v>
      </c>
      <c r="W185" s="5">
        <f t="shared" si="44"/>
        <v>34002.716444954589</v>
      </c>
    </row>
    <row r="186" spans="1:23" ht="13">
      <c r="A186" s="92">
        <v>3441</v>
      </c>
      <c r="B186" s="93" t="s">
        <v>433</v>
      </c>
      <c r="C186" s="574">
        <v>0.82043908610571648</v>
      </c>
      <c r="D186" s="100">
        <f t="shared" si="30"/>
        <v>30229.638784303024</v>
      </c>
      <c r="E186" s="100">
        <f t="shared" si="31"/>
        <v>183675.28525342519</v>
      </c>
      <c r="F186" s="100">
        <f t="shared" si="40"/>
        <v>3971.4897989944275</v>
      </c>
      <c r="G186" s="100">
        <f t="shared" si="32"/>
        <v>24130.772018690142</v>
      </c>
      <c r="H186" s="100">
        <f t="shared" si="41"/>
        <v>1026.9947870214694</v>
      </c>
      <c r="I186" s="100">
        <f t="shared" si="33"/>
        <v>6240.0203259424479</v>
      </c>
      <c r="J186" s="100">
        <f t="shared" si="34"/>
        <v>606.95934831939564</v>
      </c>
      <c r="K186" s="100">
        <f t="shared" si="35"/>
        <v>3687.8850003886478</v>
      </c>
      <c r="L186" s="101">
        <f t="shared" si="36"/>
        <v>27818.65701907879</v>
      </c>
      <c r="M186" s="100">
        <f t="shared" si="37"/>
        <v>211493.94227250398</v>
      </c>
      <c r="N186" s="102">
        <f t="shared" si="38"/>
        <v>34808.08793161685</v>
      </c>
      <c r="O186" s="94">
        <f t="shared" si="39"/>
        <v>0.94469920912624616</v>
      </c>
      <c r="P186" s="100">
        <f>'Bef.fremskr. kommunenivå MMMM'!H181</f>
        <v>6076</v>
      </c>
      <c r="Q186" s="100"/>
      <c r="R186" s="100">
        <f t="shared" si="42"/>
        <v>0</v>
      </c>
      <c r="S186" s="100">
        <v>0</v>
      </c>
      <c r="U186" s="100">
        <v>1013.2496666666667</v>
      </c>
      <c r="V186" s="5">
        <f t="shared" si="43"/>
        <v>182662.03558675852</v>
      </c>
      <c r="W186" s="5">
        <f t="shared" si="44"/>
        <v>30062.87616635262</v>
      </c>
    </row>
    <row r="187" spans="1:23" ht="13">
      <c r="A187" s="92">
        <v>3442</v>
      </c>
      <c r="B187" s="93" t="s">
        <v>434</v>
      </c>
      <c r="C187" s="574">
        <v>0.80240358408561208</v>
      </c>
      <c r="D187" s="100">
        <f t="shared" si="30"/>
        <v>29565.108387598997</v>
      </c>
      <c r="E187" s="100">
        <f t="shared" si="31"/>
        <v>438302.73184615513</v>
      </c>
      <c r="F187" s="100">
        <f t="shared" si="40"/>
        <v>4370.2080370168442</v>
      </c>
      <c r="G187" s="100">
        <f t="shared" si="32"/>
        <v>64788.334148774717</v>
      </c>
      <c r="H187" s="100">
        <f t="shared" si="41"/>
        <v>1259.5804258678791</v>
      </c>
      <c r="I187" s="100">
        <f t="shared" si="33"/>
        <v>18673.279813491306</v>
      </c>
      <c r="J187" s="100">
        <f t="shared" si="34"/>
        <v>839.54498716580531</v>
      </c>
      <c r="K187" s="100">
        <f t="shared" si="35"/>
        <v>12446.254434733062</v>
      </c>
      <c r="L187" s="101">
        <f t="shared" si="36"/>
        <v>77234.588583507779</v>
      </c>
      <c r="M187" s="100">
        <f t="shared" si="37"/>
        <v>515537.32042966294</v>
      </c>
      <c r="N187" s="102">
        <f t="shared" si="38"/>
        <v>34774.861411781647</v>
      </c>
      <c r="O187" s="94">
        <f t="shared" si="39"/>
        <v>0.94379743402524086</v>
      </c>
      <c r="P187" s="100">
        <f>'Bef.fremskr. kommunenivå MMMM'!H182</f>
        <v>14825</v>
      </c>
      <c r="Q187" s="100"/>
      <c r="R187" s="100">
        <f t="shared" si="42"/>
        <v>0</v>
      </c>
      <c r="S187" s="100">
        <v>0</v>
      </c>
      <c r="U187" s="100">
        <v>78.620333333333335</v>
      </c>
      <c r="V187" s="5">
        <f t="shared" si="43"/>
        <v>438224.11151282181</v>
      </c>
      <c r="W187" s="5">
        <f t="shared" si="44"/>
        <v>29559.805161067237</v>
      </c>
    </row>
    <row r="188" spans="1:23" ht="13">
      <c r="A188" s="92">
        <v>3443</v>
      </c>
      <c r="B188" s="93" t="s">
        <v>435</v>
      </c>
      <c r="C188" s="574">
        <v>0.7621703344868197</v>
      </c>
      <c r="D188" s="100">
        <f t="shared" si="30"/>
        <v>28082.68681226527</v>
      </c>
      <c r="E188" s="100">
        <f t="shared" si="31"/>
        <v>383609.50185554364</v>
      </c>
      <c r="F188" s="100">
        <f t="shared" si="40"/>
        <v>5259.6609822170803</v>
      </c>
      <c r="G188" s="100">
        <f t="shared" si="32"/>
        <v>71846.969017085314</v>
      </c>
      <c r="H188" s="100">
        <f t="shared" si="41"/>
        <v>1778.4279772346833</v>
      </c>
      <c r="I188" s="100">
        <f t="shared" si="33"/>
        <v>24293.326169025775</v>
      </c>
      <c r="J188" s="100">
        <f t="shared" si="34"/>
        <v>1358.3925385326097</v>
      </c>
      <c r="K188" s="100">
        <f t="shared" si="35"/>
        <v>18555.642076355449</v>
      </c>
      <c r="L188" s="101">
        <f t="shared" si="36"/>
        <v>90402.611093440762</v>
      </c>
      <c r="M188" s="100">
        <f t="shared" si="37"/>
        <v>474012.11294898443</v>
      </c>
      <c r="N188" s="102">
        <f t="shared" si="38"/>
        <v>34700.740333014968</v>
      </c>
      <c r="O188" s="94">
        <f t="shared" si="39"/>
        <v>0.94178577154530141</v>
      </c>
      <c r="P188" s="100">
        <f>'Bef.fremskr. kommunenivå MMMM'!H183</f>
        <v>13660</v>
      </c>
      <c r="Q188" s="100"/>
      <c r="R188" s="100">
        <f t="shared" si="42"/>
        <v>0</v>
      </c>
      <c r="S188" s="100">
        <v>0</v>
      </c>
      <c r="U188" s="100">
        <v>41.540666666666667</v>
      </c>
      <c r="V188" s="5">
        <f t="shared" si="43"/>
        <v>383567.961188877</v>
      </c>
      <c r="W188" s="5">
        <f t="shared" si="44"/>
        <v>28079.645767853366</v>
      </c>
    </row>
    <row r="189" spans="1:23" ht="13">
      <c r="A189" s="92">
        <v>3446</v>
      </c>
      <c r="B189" s="93" t="s">
        <v>438</v>
      </c>
      <c r="C189" s="574">
        <v>0.84001272676027772</v>
      </c>
      <c r="D189" s="100">
        <f t="shared" si="30"/>
        <v>30950.842950098817</v>
      </c>
      <c r="E189" s="100">
        <f t="shared" si="31"/>
        <v>421086.2183360944</v>
      </c>
      <c r="F189" s="100">
        <f t="shared" si="40"/>
        <v>3538.7672995169523</v>
      </c>
      <c r="G189" s="100">
        <f t="shared" si="32"/>
        <v>48144.92910992814</v>
      </c>
      <c r="H189" s="100">
        <f t="shared" si="41"/>
        <v>774.57332899294215</v>
      </c>
      <c r="I189" s="100">
        <f t="shared" si="33"/>
        <v>10538.070140948977</v>
      </c>
      <c r="J189" s="100">
        <f t="shared" si="34"/>
        <v>354.5378902908684</v>
      </c>
      <c r="K189" s="100">
        <f t="shared" si="35"/>
        <v>4823.4879974072646</v>
      </c>
      <c r="L189" s="101">
        <f t="shared" si="36"/>
        <v>52968.417107335408</v>
      </c>
      <c r="M189" s="100">
        <f t="shared" si="37"/>
        <v>474054.63544342981</v>
      </c>
      <c r="N189" s="102">
        <f t="shared" si="38"/>
        <v>34844.14813990664</v>
      </c>
      <c r="O189" s="94">
        <f t="shared" si="39"/>
        <v>0.94567789115897416</v>
      </c>
      <c r="P189" s="100">
        <f>'Bef.fremskr. kommunenivå MMMM'!H184</f>
        <v>13605</v>
      </c>
      <c r="Q189" s="100"/>
      <c r="R189" s="100">
        <f t="shared" si="42"/>
        <v>0</v>
      </c>
      <c r="S189" s="100">
        <v>0</v>
      </c>
      <c r="U189" s="100">
        <v>57.669666666666664</v>
      </c>
      <c r="V189" s="5">
        <f t="shared" si="43"/>
        <v>421028.54866942775</v>
      </c>
      <c r="W189" s="5">
        <f t="shared" si="44"/>
        <v>30946.604091835925</v>
      </c>
    </row>
    <row r="190" spans="1:23" ht="13">
      <c r="A190" s="92">
        <v>3447</v>
      </c>
      <c r="B190" s="93" t="s">
        <v>439</v>
      </c>
      <c r="C190" s="574">
        <v>0.68557232047319028</v>
      </c>
      <c r="D190" s="100">
        <f t="shared" si="30"/>
        <v>25260.380641775686</v>
      </c>
      <c r="E190" s="100">
        <f t="shared" si="31"/>
        <v>139993.02951672085</v>
      </c>
      <c r="F190" s="100">
        <f t="shared" si="40"/>
        <v>6953.0446845108308</v>
      </c>
      <c r="G190" s="100">
        <f t="shared" si="32"/>
        <v>38533.773641559026</v>
      </c>
      <c r="H190" s="100">
        <f t="shared" si="41"/>
        <v>2766.235136906038</v>
      </c>
      <c r="I190" s="100">
        <f t="shared" si="33"/>
        <v>15330.475128733262</v>
      </c>
      <c r="J190" s="100">
        <f t="shared" si="34"/>
        <v>2346.1996982039641</v>
      </c>
      <c r="K190" s="100">
        <f t="shared" si="35"/>
        <v>13002.63872744637</v>
      </c>
      <c r="L190" s="101">
        <f t="shared" si="36"/>
        <v>51536.412369005397</v>
      </c>
      <c r="M190" s="100">
        <f t="shared" si="37"/>
        <v>191529.44188572626</v>
      </c>
      <c r="N190" s="102">
        <f t="shared" si="38"/>
        <v>34559.625024490488</v>
      </c>
      <c r="O190" s="94">
        <f t="shared" si="39"/>
        <v>0.93795587084461995</v>
      </c>
      <c r="P190" s="100">
        <f>'Bef.fremskr. kommunenivå MMMM'!H185</f>
        <v>5542</v>
      </c>
      <c r="Q190" s="100"/>
      <c r="R190" s="100">
        <f t="shared" si="42"/>
        <v>0</v>
      </c>
      <c r="S190" s="100">
        <v>0</v>
      </c>
      <c r="U190" s="100">
        <v>150.98566666666667</v>
      </c>
      <c r="V190" s="5">
        <f t="shared" si="43"/>
        <v>139842.04385005418</v>
      </c>
      <c r="W190" s="5">
        <f t="shared" si="44"/>
        <v>25233.136746671629</v>
      </c>
    </row>
    <row r="191" spans="1:23" ht="13">
      <c r="A191" s="92">
        <v>3448</v>
      </c>
      <c r="B191" s="93" t="s">
        <v>440</v>
      </c>
      <c r="C191" s="574">
        <v>0.70604041621210312</v>
      </c>
      <c r="D191" s="100">
        <f t="shared" si="30"/>
        <v>26014.541616390856</v>
      </c>
      <c r="E191" s="100">
        <f t="shared" si="31"/>
        <v>171019.59658615346</v>
      </c>
      <c r="F191" s="100">
        <f t="shared" si="40"/>
        <v>6500.5480997417289</v>
      </c>
      <c r="G191" s="100">
        <f t="shared" si="32"/>
        <v>42734.603207702123</v>
      </c>
      <c r="H191" s="100">
        <f t="shared" si="41"/>
        <v>2502.2787957907285</v>
      </c>
      <c r="I191" s="100">
        <f t="shared" si="33"/>
        <v>16449.980803528248</v>
      </c>
      <c r="J191" s="100">
        <f t="shared" si="34"/>
        <v>2082.2433570886546</v>
      </c>
      <c r="K191" s="100">
        <f t="shared" si="35"/>
        <v>13688.667829500815</v>
      </c>
      <c r="L191" s="101">
        <f t="shared" si="36"/>
        <v>56423.27103720294</v>
      </c>
      <c r="M191" s="100">
        <f t="shared" si="37"/>
        <v>227442.8676233564</v>
      </c>
      <c r="N191" s="102">
        <f t="shared" si="38"/>
        <v>34597.333073221234</v>
      </c>
      <c r="O191" s="94">
        <f t="shared" si="39"/>
        <v>0.93897927563156525</v>
      </c>
      <c r="P191" s="100">
        <f>'Bef.fremskr. kommunenivå MMMM'!H186</f>
        <v>6574</v>
      </c>
      <c r="Q191" s="100"/>
      <c r="R191" s="100">
        <f t="shared" si="42"/>
        <v>0</v>
      </c>
      <c r="S191" s="100">
        <v>0</v>
      </c>
      <c r="U191" s="100">
        <v>7190.7699999999995</v>
      </c>
      <c r="V191" s="5">
        <f t="shared" si="43"/>
        <v>163828.82658615347</v>
      </c>
      <c r="W191" s="5">
        <f t="shared" si="44"/>
        <v>24920.722024057421</v>
      </c>
    </row>
    <row r="192" spans="1:23" ht="13">
      <c r="A192" s="92">
        <v>3449</v>
      </c>
      <c r="B192" s="93" t="s">
        <v>441</v>
      </c>
      <c r="C192" s="574">
        <v>0.80651387397133845</v>
      </c>
      <c r="D192" s="100">
        <f t="shared" si="30"/>
        <v>29716.554827253716</v>
      </c>
      <c r="E192" s="100">
        <f t="shared" si="31"/>
        <v>85851.126895935988</v>
      </c>
      <c r="F192" s="100">
        <f t="shared" si="40"/>
        <v>4279.3401732240127</v>
      </c>
      <c r="G192" s="100">
        <f t="shared" si="32"/>
        <v>12363.013760444172</v>
      </c>
      <c r="H192" s="100">
        <f t="shared" si="41"/>
        <v>1206.5741719887274</v>
      </c>
      <c r="I192" s="100">
        <f t="shared" si="33"/>
        <v>3485.7927828754337</v>
      </c>
      <c r="J192" s="100">
        <f t="shared" si="34"/>
        <v>786.53873328665361</v>
      </c>
      <c r="K192" s="100">
        <f t="shared" si="35"/>
        <v>2272.3104004651423</v>
      </c>
      <c r="L192" s="101">
        <f t="shared" si="36"/>
        <v>14635.324160909313</v>
      </c>
      <c r="M192" s="100">
        <f t="shared" si="37"/>
        <v>100486.4510568453</v>
      </c>
      <c r="N192" s="102">
        <f t="shared" si="38"/>
        <v>34782.433733764381</v>
      </c>
      <c r="O192" s="94">
        <f t="shared" si="39"/>
        <v>0.94400294851952715</v>
      </c>
      <c r="P192" s="100">
        <f>'Bef.fremskr. kommunenivå MMMM'!H187</f>
        <v>2889</v>
      </c>
      <c r="Q192" s="100"/>
      <c r="R192" s="100">
        <f t="shared" si="42"/>
        <v>0</v>
      </c>
      <c r="S192" s="100">
        <v>0</v>
      </c>
      <c r="U192" s="100">
        <v>4228.9336666666668</v>
      </c>
      <c r="V192" s="5">
        <f t="shared" si="43"/>
        <v>81622.193229269324</v>
      </c>
      <c r="W192" s="5">
        <f t="shared" si="44"/>
        <v>28252.749473613472</v>
      </c>
    </row>
    <row r="193" spans="1:23" ht="13">
      <c r="A193" s="92">
        <v>3450</v>
      </c>
      <c r="B193" s="93" t="s">
        <v>442</v>
      </c>
      <c r="C193" s="574">
        <v>0.74756925819028852</v>
      </c>
      <c r="D193" s="100">
        <f t="shared" si="30"/>
        <v>27544.700178301671</v>
      </c>
      <c r="E193" s="100">
        <f t="shared" si="31"/>
        <v>35174.582127691232</v>
      </c>
      <c r="F193" s="100">
        <f t="shared" si="40"/>
        <v>5582.4529625952391</v>
      </c>
      <c r="G193" s="100">
        <f t="shared" si="32"/>
        <v>7128.7924332341208</v>
      </c>
      <c r="H193" s="100">
        <f t="shared" si="41"/>
        <v>1966.723299121943</v>
      </c>
      <c r="I193" s="100">
        <f t="shared" si="33"/>
        <v>2511.5056529787212</v>
      </c>
      <c r="J193" s="100">
        <f t="shared" si="34"/>
        <v>1546.6878604198691</v>
      </c>
      <c r="K193" s="100">
        <f t="shared" si="35"/>
        <v>1975.1203977561729</v>
      </c>
      <c r="L193" s="101">
        <f t="shared" si="36"/>
        <v>9103.9128309902935</v>
      </c>
      <c r="M193" s="100">
        <f t="shared" si="37"/>
        <v>44278.494958681527</v>
      </c>
      <c r="N193" s="102">
        <f t="shared" si="38"/>
        <v>34673.841001316774</v>
      </c>
      <c r="O193" s="94">
        <f t="shared" si="39"/>
        <v>0.94105571773047447</v>
      </c>
      <c r="P193" s="100">
        <f>'Bef.fremskr. kommunenivå MMMM'!H188</f>
        <v>1277</v>
      </c>
      <c r="Q193" s="100"/>
      <c r="R193" s="100">
        <f t="shared" si="42"/>
        <v>0</v>
      </c>
      <c r="S193" s="100">
        <v>0</v>
      </c>
      <c r="U193" s="100">
        <v>0</v>
      </c>
      <c r="V193" s="5">
        <f t="shared" si="43"/>
        <v>35174.582127691232</v>
      </c>
      <c r="W193" s="5">
        <f t="shared" si="44"/>
        <v>27544.700178301668</v>
      </c>
    </row>
    <row r="194" spans="1:23" ht="13">
      <c r="A194" s="92">
        <v>3451</v>
      </c>
      <c r="B194" s="93" t="s">
        <v>443</v>
      </c>
      <c r="C194" s="574">
        <v>0.85351583964728328</v>
      </c>
      <c r="D194" s="100">
        <f t="shared" si="30"/>
        <v>31448.374371932183</v>
      </c>
      <c r="E194" s="100">
        <f t="shared" si="31"/>
        <v>200420.48987232381</v>
      </c>
      <c r="F194" s="100">
        <f t="shared" si="40"/>
        <v>3240.2484464169324</v>
      </c>
      <c r="G194" s="100">
        <f t="shared" si="32"/>
        <v>20650.103349015109</v>
      </c>
      <c r="H194" s="100">
        <f t="shared" si="41"/>
        <v>600.43733135126399</v>
      </c>
      <c r="I194" s="100">
        <f t="shared" si="33"/>
        <v>3826.5871127016057</v>
      </c>
      <c r="J194" s="100">
        <f t="shared" si="34"/>
        <v>180.40189264919024</v>
      </c>
      <c r="K194" s="100">
        <f t="shared" si="35"/>
        <v>1149.7012618532892</v>
      </c>
      <c r="L194" s="101">
        <f t="shared" si="36"/>
        <v>21799.804610868399</v>
      </c>
      <c r="M194" s="100">
        <f t="shared" si="37"/>
        <v>222220.29448319221</v>
      </c>
      <c r="N194" s="102">
        <f t="shared" si="38"/>
        <v>34869.024710998303</v>
      </c>
      <c r="O194" s="94">
        <f t="shared" si="39"/>
        <v>0.94635304680332433</v>
      </c>
      <c r="P194" s="100">
        <f>'Bef.fremskr. kommunenivå MMMM'!H189</f>
        <v>6373</v>
      </c>
      <c r="Q194" s="100"/>
      <c r="R194" s="100">
        <f t="shared" si="42"/>
        <v>0</v>
      </c>
      <c r="S194" s="100">
        <v>0</v>
      </c>
      <c r="U194" s="100">
        <v>6688.1270000000004</v>
      </c>
      <c r="V194" s="5">
        <f t="shared" si="43"/>
        <v>193732.36287232381</v>
      </c>
      <c r="W194" s="5">
        <f t="shared" si="44"/>
        <v>30398.927172810891</v>
      </c>
    </row>
    <row r="195" spans="1:23" ht="13">
      <c r="A195" s="92">
        <v>3452</v>
      </c>
      <c r="B195" s="93" t="s">
        <v>444</v>
      </c>
      <c r="C195" s="574">
        <v>0.97554069185397441</v>
      </c>
      <c r="D195" s="100">
        <f t="shared" si="30"/>
        <v>35944.463438611441</v>
      </c>
      <c r="E195" s="100">
        <f t="shared" si="31"/>
        <v>76238.206953294866</v>
      </c>
      <c r="F195" s="100">
        <f t="shared" si="40"/>
        <v>542.59500640937767</v>
      </c>
      <c r="G195" s="100">
        <f t="shared" si="32"/>
        <v>1150.84400859429</v>
      </c>
      <c r="H195" s="100">
        <f t="shared" si="41"/>
        <v>0</v>
      </c>
      <c r="I195" s="100">
        <f t="shared" si="33"/>
        <v>0</v>
      </c>
      <c r="J195" s="100">
        <f t="shared" si="34"/>
        <v>-420.03543870207375</v>
      </c>
      <c r="K195" s="100">
        <f t="shared" si="35"/>
        <v>-890.89516548709844</v>
      </c>
      <c r="L195" s="101">
        <f t="shared" si="36"/>
        <v>259.94884310719158</v>
      </c>
      <c r="M195" s="100">
        <f t="shared" si="37"/>
        <v>76498.155796402047</v>
      </c>
      <c r="N195" s="102">
        <f t="shared" si="38"/>
        <v>36067.023006318741</v>
      </c>
      <c r="O195" s="94">
        <f t="shared" si="39"/>
        <v>0.9788669856426887</v>
      </c>
      <c r="P195" s="100">
        <f>'Bef.fremskr. kommunenivå MMMM'!H190</f>
        <v>2121</v>
      </c>
      <c r="Q195" s="100"/>
      <c r="R195" s="100">
        <f t="shared" si="42"/>
        <v>0</v>
      </c>
      <c r="S195" s="100">
        <v>0</v>
      </c>
      <c r="U195" s="100">
        <v>1375.076</v>
      </c>
      <c r="V195" s="5">
        <f t="shared" si="43"/>
        <v>74863.130953294865</v>
      </c>
      <c r="W195" s="5">
        <f t="shared" si="44"/>
        <v>35296.148492831147</v>
      </c>
    </row>
    <row r="196" spans="1:23" ht="13">
      <c r="A196" s="92">
        <v>3453</v>
      </c>
      <c r="B196" s="93" t="s">
        <v>445</v>
      </c>
      <c r="C196" s="574">
        <v>0.97445135637708347</v>
      </c>
      <c r="D196" s="100">
        <f t="shared" si="30"/>
        <v>35904.326128555134</v>
      </c>
      <c r="E196" s="100">
        <f t="shared" si="31"/>
        <v>117658.47672327518</v>
      </c>
      <c r="F196" s="100">
        <f t="shared" si="40"/>
        <v>566.67739244316181</v>
      </c>
      <c r="G196" s="100">
        <f t="shared" si="32"/>
        <v>1857.0018150362412</v>
      </c>
      <c r="H196" s="100">
        <f t="shared" si="41"/>
        <v>0</v>
      </c>
      <c r="I196" s="100">
        <f t="shared" si="33"/>
        <v>0</v>
      </c>
      <c r="J196" s="100">
        <f t="shared" si="34"/>
        <v>-420.03543870207375</v>
      </c>
      <c r="K196" s="100">
        <f t="shared" si="35"/>
        <v>-1376.4561326266955</v>
      </c>
      <c r="L196" s="101">
        <f t="shared" si="36"/>
        <v>480.54568240954563</v>
      </c>
      <c r="M196" s="100">
        <f t="shared" si="37"/>
        <v>118139.02240568472</v>
      </c>
      <c r="N196" s="102">
        <f t="shared" si="38"/>
        <v>36050.968082296225</v>
      </c>
      <c r="O196" s="94">
        <f t="shared" si="39"/>
        <v>0.97843125145193255</v>
      </c>
      <c r="P196" s="100">
        <f>'Bef.fremskr. kommunenivå MMMM'!H191</f>
        <v>3277</v>
      </c>
      <c r="Q196" s="100"/>
      <c r="R196" s="100">
        <f t="shared" si="42"/>
        <v>0</v>
      </c>
      <c r="S196" s="100">
        <v>0</v>
      </c>
      <c r="U196" s="100">
        <v>1418.5636666666667</v>
      </c>
      <c r="V196" s="5">
        <f t="shared" si="43"/>
        <v>116239.91305660851</v>
      </c>
      <c r="W196" s="5">
        <f t="shared" si="44"/>
        <v>35471.441274521974</v>
      </c>
    </row>
    <row r="197" spans="1:23" ht="13">
      <c r="A197" s="92">
        <v>3454</v>
      </c>
      <c r="B197" s="93" t="s">
        <v>446</v>
      </c>
      <c r="C197" s="574">
        <v>0.90090359900447858</v>
      </c>
      <c r="D197" s="100">
        <f t="shared" si="30"/>
        <v>33194.408748432994</v>
      </c>
      <c r="E197" s="100">
        <f t="shared" si="31"/>
        <v>54472.024756178544</v>
      </c>
      <c r="F197" s="100">
        <f t="shared" si="40"/>
        <v>2192.6278205164458</v>
      </c>
      <c r="G197" s="100">
        <f t="shared" si="32"/>
        <v>3598.1022534674876</v>
      </c>
      <c r="H197" s="100">
        <f t="shared" si="41"/>
        <v>0</v>
      </c>
      <c r="I197" s="100">
        <f t="shared" si="33"/>
        <v>0</v>
      </c>
      <c r="J197" s="100">
        <f t="shared" si="34"/>
        <v>-420.03543870207375</v>
      </c>
      <c r="K197" s="100">
        <f t="shared" si="35"/>
        <v>-689.27815491010301</v>
      </c>
      <c r="L197" s="101">
        <f t="shared" si="36"/>
        <v>2908.8240985573848</v>
      </c>
      <c r="M197" s="100">
        <f t="shared" si="37"/>
        <v>57380.848854735923</v>
      </c>
      <c r="N197" s="102">
        <f t="shared" si="38"/>
        <v>34967.001130247365</v>
      </c>
      <c r="O197" s="94">
        <f t="shared" si="39"/>
        <v>0.94901214850289051</v>
      </c>
      <c r="P197" s="100">
        <f>'Bef.fremskr. kommunenivå MMMM'!H192</f>
        <v>1641</v>
      </c>
      <c r="Q197" s="100"/>
      <c r="R197" s="100">
        <f t="shared" si="42"/>
        <v>0</v>
      </c>
      <c r="S197" s="100">
        <v>0</v>
      </c>
      <c r="U197" s="100">
        <v>6400.0933333333332</v>
      </c>
      <c r="V197" s="5">
        <f t="shared" si="43"/>
        <v>48071.931422845213</v>
      </c>
      <c r="W197" s="5">
        <f t="shared" si="44"/>
        <v>29294.290934092147</v>
      </c>
    </row>
    <row r="198" spans="1:23" ht="13">
      <c r="A198" s="92">
        <v>3801</v>
      </c>
      <c r="B198" s="93" t="s">
        <v>344</v>
      </c>
      <c r="C198" s="574">
        <v>0.79688270052350929</v>
      </c>
      <c r="D198" s="100">
        <f t="shared" si="30"/>
        <v>29361.687659992342</v>
      </c>
      <c r="E198" s="100">
        <f t="shared" si="31"/>
        <v>810705.55798004859</v>
      </c>
      <c r="F198" s="100">
        <f t="shared" si="40"/>
        <v>4492.2604735808372</v>
      </c>
      <c r="G198" s="100">
        <f t="shared" si="32"/>
        <v>124035.80393604049</v>
      </c>
      <c r="H198" s="100">
        <f t="shared" si="41"/>
        <v>1330.7776805302083</v>
      </c>
      <c r="I198" s="100">
        <f t="shared" si="33"/>
        <v>36744.102537119579</v>
      </c>
      <c r="J198" s="100">
        <f t="shared" si="34"/>
        <v>910.74224182813452</v>
      </c>
      <c r="K198" s="100">
        <f t="shared" si="35"/>
        <v>25146.504039116622</v>
      </c>
      <c r="L198" s="101">
        <f t="shared" si="36"/>
        <v>149182.30797515711</v>
      </c>
      <c r="M198" s="100">
        <f t="shared" si="37"/>
        <v>959887.86595520575</v>
      </c>
      <c r="N198" s="102">
        <f t="shared" si="38"/>
        <v>34764.690375401318</v>
      </c>
      <c r="O198" s="94">
        <f t="shared" si="39"/>
        <v>0.94352138984713585</v>
      </c>
      <c r="P198" s="100">
        <f>'Bef.fremskr. kommunenivå MMMM'!H193</f>
        <v>27611</v>
      </c>
      <c r="Q198" s="100"/>
      <c r="R198" s="100">
        <f t="shared" si="42"/>
        <v>0</v>
      </c>
      <c r="S198" s="100">
        <v>0</v>
      </c>
      <c r="U198" s="100">
        <v>0</v>
      </c>
      <c r="V198" s="5">
        <f t="shared" si="43"/>
        <v>810705.55798004859</v>
      </c>
      <c r="W198" s="5">
        <f t="shared" si="44"/>
        <v>29361.687659992342</v>
      </c>
    </row>
    <row r="199" spans="1:23" ht="13">
      <c r="A199" s="92">
        <v>3802</v>
      </c>
      <c r="B199" s="93" t="s">
        <v>1821</v>
      </c>
      <c r="C199" s="574">
        <v>0.87770140392834417</v>
      </c>
      <c r="D199" s="100">
        <f t="shared" si="30"/>
        <v>32339.508015358828</v>
      </c>
      <c r="E199" s="100">
        <f t="shared" si="31"/>
        <v>851240.52998027508</v>
      </c>
      <c r="F199" s="100">
        <f t="shared" si="40"/>
        <v>2705.5682603609457</v>
      </c>
      <c r="G199" s="100">
        <f t="shared" si="32"/>
        <v>71215.967749220814</v>
      </c>
      <c r="H199" s="100">
        <f t="shared" si="41"/>
        <v>288.54055615193829</v>
      </c>
      <c r="I199" s="100">
        <f t="shared" si="33"/>
        <v>7594.9645190313195</v>
      </c>
      <c r="J199" s="100">
        <f t="shared" si="34"/>
        <v>-131.49488255013546</v>
      </c>
      <c r="K199" s="100">
        <f t="shared" si="35"/>
        <v>-3461.2082984846652</v>
      </c>
      <c r="L199" s="101">
        <f t="shared" si="36"/>
        <v>67754.75945073615</v>
      </c>
      <c r="M199" s="100">
        <f t="shared" si="37"/>
        <v>918995.28943101119</v>
      </c>
      <c r="N199" s="102">
        <f t="shared" si="38"/>
        <v>34913.581393169639</v>
      </c>
      <c r="O199" s="94">
        <f t="shared" si="39"/>
        <v>0.94756232501737747</v>
      </c>
      <c r="P199" s="100">
        <f>'Bef.fremskr. kommunenivå MMMM'!H194</f>
        <v>26322</v>
      </c>
      <c r="Q199" s="100"/>
      <c r="R199" s="100">
        <f t="shared" si="42"/>
        <v>0</v>
      </c>
      <c r="S199" s="100">
        <v>0</v>
      </c>
      <c r="U199" s="100">
        <v>0</v>
      </c>
      <c r="V199" s="5">
        <f t="shared" si="43"/>
        <v>851240.52998027508</v>
      </c>
      <c r="W199" s="5">
        <f t="shared" si="44"/>
        <v>32339.508015358828</v>
      </c>
    </row>
    <row r="200" spans="1:23" ht="13">
      <c r="A200" s="92">
        <v>3803</v>
      </c>
      <c r="B200" s="93" t="s">
        <v>464</v>
      </c>
      <c r="C200" s="574">
        <v>0.9516444121366473</v>
      </c>
      <c r="D200" s="100">
        <f t="shared" si="30"/>
        <v>35063.988682621595</v>
      </c>
      <c r="E200" s="100">
        <f t="shared" si="31"/>
        <v>2052119.9376504289</v>
      </c>
      <c r="F200" s="100">
        <f t="shared" si="40"/>
        <v>1070.8798600032853</v>
      </c>
      <c r="G200" s="100">
        <f t="shared" si="32"/>
        <v>62673.24380669227</v>
      </c>
      <c r="H200" s="100">
        <f t="shared" si="41"/>
        <v>0</v>
      </c>
      <c r="I200" s="100">
        <f t="shared" si="33"/>
        <v>0</v>
      </c>
      <c r="J200" s="100">
        <f t="shared" si="34"/>
        <v>-420.03543870207375</v>
      </c>
      <c r="K200" s="100">
        <f t="shared" si="35"/>
        <v>-24582.574050038867</v>
      </c>
      <c r="L200" s="101">
        <f t="shared" si="36"/>
        <v>38090.669756653399</v>
      </c>
      <c r="M200" s="100">
        <f t="shared" si="37"/>
        <v>2090210.6074070823</v>
      </c>
      <c r="N200" s="102">
        <f t="shared" si="38"/>
        <v>35714.833103922807</v>
      </c>
      <c r="O200" s="94">
        <f t="shared" si="39"/>
        <v>0.96930847375575802</v>
      </c>
      <c r="P200" s="100">
        <f>'Bef.fremskr. kommunenivå MMMM'!H195</f>
        <v>58525</v>
      </c>
      <c r="Q200" s="100"/>
      <c r="R200" s="100">
        <f t="shared" si="42"/>
        <v>0</v>
      </c>
      <c r="S200" s="100">
        <v>0</v>
      </c>
      <c r="U200" s="100">
        <v>0</v>
      </c>
      <c r="V200" s="5">
        <f t="shared" si="43"/>
        <v>2052119.9376504289</v>
      </c>
      <c r="W200" s="5">
        <f t="shared" si="44"/>
        <v>35063.988682621595</v>
      </c>
    </row>
    <row r="201" spans="1:23" ht="13">
      <c r="A201" s="92">
        <v>3804</v>
      </c>
      <c r="B201" s="93" t="s">
        <v>1822</v>
      </c>
      <c r="C201" s="574">
        <v>0.8822047611663224</v>
      </c>
      <c r="D201" s="100">
        <f t="shared" si="30"/>
        <v>32505.437290214482</v>
      </c>
      <c r="E201" s="100">
        <f t="shared" si="31"/>
        <v>2129463.7023192411</v>
      </c>
      <c r="F201" s="100">
        <f t="shared" si="40"/>
        <v>2606.0106954475527</v>
      </c>
      <c r="G201" s="100">
        <f t="shared" si="32"/>
        <v>170722.36666946462</v>
      </c>
      <c r="H201" s="100">
        <f t="shared" si="41"/>
        <v>230.46530995245919</v>
      </c>
      <c r="I201" s="100">
        <f t="shared" si="33"/>
        <v>15098.012920295556</v>
      </c>
      <c r="J201" s="100">
        <f t="shared" si="34"/>
        <v>-189.57012874961455</v>
      </c>
      <c r="K201" s="100">
        <f t="shared" si="35"/>
        <v>-12418.928704516</v>
      </c>
      <c r="L201" s="101">
        <f t="shared" si="36"/>
        <v>158303.43796494862</v>
      </c>
      <c r="M201" s="100">
        <f t="shared" si="37"/>
        <v>2287767.14028419</v>
      </c>
      <c r="N201" s="102">
        <f t="shared" si="38"/>
        <v>34921.877856912426</v>
      </c>
      <c r="O201" s="94">
        <f t="shared" si="39"/>
        <v>0.94778749287927644</v>
      </c>
      <c r="P201" s="100">
        <f>'Bef.fremskr. kommunenivå MMMM'!H196</f>
        <v>65511</v>
      </c>
      <c r="Q201" s="100"/>
      <c r="R201" s="100">
        <f t="shared" si="42"/>
        <v>0</v>
      </c>
      <c r="S201" s="100">
        <v>0</v>
      </c>
      <c r="U201" s="100">
        <v>0</v>
      </c>
      <c r="V201" s="5">
        <f t="shared" si="43"/>
        <v>2129463.7023192411</v>
      </c>
      <c r="W201" s="5">
        <f t="shared" si="44"/>
        <v>32505.437290214482</v>
      </c>
    </row>
    <row r="202" spans="1:23" ht="13">
      <c r="A202" s="92">
        <v>3805</v>
      </c>
      <c r="B202" s="93" t="s">
        <v>1823</v>
      </c>
      <c r="C202" s="574">
        <v>0.85836407320671571</v>
      </c>
      <c r="D202" s="100">
        <f t="shared" ref="D202:D265" si="45">C202*D$367</f>
        <v>31627.010850527127</v>
      </c>
      <c r="E202" s="100">
        <f t="shared" ref="E202:E265" si="46">D202*P202/1000</f>
        <v>1519709.4983786789</v>
      </c>
      <c r="F202" s="100">
        <f t="shared" si="40"/>
        <v>3133.0665592599657</v>
      </c>
      <c r="G202" s="100">
        <f t="shared" ref="G202:G265" si="47">F202*P202/1000</f>
        <v>150546.98123900063</v>
      </c>
      <c r="H202" s="100">
        <f t="shared" si="41"/>
        <v>537.91456384303342</v>
      </c>
      <c r="I202" s="100">
        <f t="shared" ref="I202:I265" si="48">H202*P202/1000</f>
        <v>25847.332707221598</v>
      </c>
      <c r="J202" s="100">
        <f t="shared" ref="J202:J265" si="49">H202+H$370</f>
        <v>117.87912514095967</v>
      </c>
      <c r="K202" s="100">
        <f t="shared" ref="K202:K265" si="50">J202*P202/1000</f>
        <v>5664.2098421482524</v>
      </c>
      <c r="L202" s="101">
        <f t="shared" ref="L202:L265" si="51">K202+G202</f>
        <v>156211.19108114889</v>
      </c>
      <c r="M202" s="100">
        <f t="shared" ref="M202:M265" si="52">K202+E202+G202</f>
        <v>1675920.6894598277</v>
      </c>
      <c r="N202" s="102">
        <f t="shared" ref="N202:N265" si="53">M202*1000/P202</f>
        <v>34877.956534928046</v>
      </c>
      <c r="O202" s="94">
        <f t="shared" ref="O202:O265" si="54">N202/N$367</f>
        <v>0.94659545848129578</v>
      </c>
      <c r="P202" s="100">
        <f>'Bef.fremskr. kommunenivå MMMM'!H197</f>
        <v>48051</v>
      </c>
      <c r="Q202" s="100"/>
      <c r="R202" s="100">
        <f t="shared" si="42"/>
        <v>0</v>
      </c>
      <c r="S202" s="100">
        <v>0</v>
      </c>
      <c r="U202" s="100">
        <v>18.048666666666666</v>
      </c>
      <c r="V202" s="5">
        <f t="shared" si="43"/>
        <v>1519691.4497120122</v>
      </c>
      <c r="W202" s="5">
        <f t="shared" si="44"/>
        <v>31626.635235728962</v>
      </c>
    </row>
    <row r="203" spans="1:23" ht="13">
      <c r="A203" s="92">
        <v>3806</v>
      </c>
      <c r="B203" s="93" t="s">
        <v>466</v>
      </c>
      <c r="C203" s="574">
        <v>0.87564529987536954</v>
      </c>
      <c r="D203" s="100">
        <f t="shared" si="45"/>
        <v>32263.749456463993</v>
      </c>
      <c r="E203" s="100">
        <f t="shared" si="46"/>
        <v>1189177.2774663498</v>
      </c>
      <c r="F203" s="100">
        <f t="shared" ref="F203:F266" si="55">($D$367+$R$367-D203-R203)*0.6</f>
        <v>2751.0233956978468</v>
      </c>
      <c r="G203" s="100">
        <f t="shared" si="47"/>
        <v>101397.22031863123</v>
      </c>
      <c r="H203" s="100">
        <f t="shared" ref="H203:H266" si="56">IF((D203+R203)&lt;(D$367+R$367)*0.9,((D$367+R$367)*0.9-(D203+R203))*0.35,0)</f>
        <v>315.05605176513052</v>
      </c>
      <c r="I203" s="100">
        <f t="shared" si="48"/>
        <v>11612.335955959181</v>
      </c>
      <c r="J203" s="100">
        <f t="shared" si="49"/>
        <v>-104.97938693694323</v>
      </c>
      <c r="K203" s="100">
        <f t="shared" si="50"/>
        <v>-3869.3302437218535</v>
      </c>
      <c r="L203" s="101">
        <f t="shared" si="51"/>
        <v>97527.890074909374</v>
      </c>
      <c r="M203" s="100">
        <f t="shared" si="52"/>
        <v>1286705.1675412592</v>
      </c>
      <c r="N203" s="102">
        <f t="shared" si="53"/>
        <v>34909.793465224895</v>
      </c>
      <c r="O203" s="94">
        <f t="shared" si="54"/>
        <v>0.94745951981472865</v>
      </c>
      <c r="P203" s="100">
        <f>'Bef.fremskr. kommunenivå MMMM'!H198</f>
        <v>36858</v>
      </c>
      <c r="Q203" s="100"/>
      <c r="R203" s="100">
        <f t="shared" ref="R203:R266" si="57">S203*1000/P203</f>
        <v>0</v>
      </c>
      <c r="S203" s="100">
        <v>0</v>
      </c>
      <c r="U203" s="100">
        <v>0</v>
      </c>
      <c r="V203" s="5">
        <f t="shared" ref="V203:V266" si="58">+E203-U203</f>
        <v>1189177.2774663498</v>
      </c>
      <c r="W203" s="5">
        <f t="shared" ref="W203:W266" si="59">+V203*1000/P203</f>
        <v>32263.749456463993</v>
      </c>
    </row>
    <row r="204" spans="1:23" ht="13">
      <c r="A204" s="92">
        <v>3807</v>
      </c>
      <c r="B204" s="93" t="s">
        <v>467</v>
      </c>
      <c r="C204" s="574">
        <v>0.81689743012430949</v>
      </c>
      <c r="D204" s="100">
        <f t="shared" si="45"/>
        <v>30099.144049435647</v>
      </c>
      <c r="E204" s="100">
        <f t="shared" si="46"/>
        <v>1681398.384889574</v>
      </c>
      <c r="F204" s="100">
        <f t="shared" si="55"/>
        <v>4049.7866399148543</v>
      </c>
      <c r="G204" s="100">
        <f t="shared" si="47"/>
        <v>226229.18127892361</v>
      </c>
      <c r="H204" s="100">
        <f t="shared" si="56"/>
        <v>1072.6679442250518</v>
      </c>
      <c r="I204" s="100">
        <f t="shared" si="48"/>
        <v>59921.376700299843</v>
      </c>
      <c r="J204" s="100">
        <f t="shared" si="49"/>
        <v>652.63250552297802</v>
      </c>
      <c r="K204" s="100">
        <f t="shared" si="50"/>
        <v>36457.357023524601</v>
      </c>
      <c r="L204" s="101">
        <f t="shared" si="51"/>
        <v>262686.53830244823</v>
      </c>
      <c r="M204" s="100">
        <f t="shared" si="52"/>
        <v>1944084.9231920221</v>
      </c>
      <c r="N204" s="102">
        <f t="shared" si="53"/>
        <v>34801.563194873474</v>
      </c>
      <c r="O204" s="94">
        <f t="shared" si="54"/>
        <v>0.94452212632717558</v>
      </c>
      <c r="P204" s="100">
        <f>'Bef.fremskr. kommunenivå MMMM'!H199</f>
        <v>55862</v>
      </c>
      <c r="Q204" s="100"/>
      <c r="R204" s="100">
        <f t="shared" si="57"/>
        <v>0</v>
      </c>
      <c r="S204" s="100">
        <v>0</v>
      </c>
      <c r="U204" s="100">
        <v>2225.1966666666663</v>
      </c>
      <c r="V204" s="5">
        <f t="shared" si="58"/>
        <v>1679173.1882229073</v>
      </c>
      <c r="W204" s="5">
        <f t="shared" si="59"/>
        <v>30059.310232768381</v>
      </c>
    </row>
    <row r="205" spans="1:23" ht="13">
      <c r="A205" s="92">
        <v>3808</v>
      </c>
      <c r="B205" s="93" t="s">
        <v>468</v>
      </c>
      <c r="C205" s="574">
        <v>0.81470696584039903</v>
      </c>
      <c r="D205" s="100">
        <f t="shared" si="45"/>
        <v>30018.434896015333</v>
      </c>
      <c r="E205" s="100">
        <f t="shared" si="46"/>
        <v>392310.92565602442</v>
      </c>
      <c r="F205" s="100">
        <f t="shared" si="55"/>
        <v>4098.2121319670423</v>
      </c>
      <c r="G205" s="100">
        <f t="shared" si="47"/>
        <v>53559.534352677278</v>
      </c>
      <c r="H205" s="100">
        <f t="shared" si="56"/>
        <v>1100.9161479221614</v>
      </c>
      <c r="I205" s="100">
        <f t="shared" si="48"/>
        <v>14387.873137194727</v>
      </c>
      <c r="J205" s="100">
        <f t="shared" si="49"/>
        <v>680.88070922008762</v>
      </c>
      <c r="K205" s="100">
        <f t="shared" si="50"/>
        <v>8898.4299887973248</v>
      </c>
      <c r="L205" s="101">
        <f t="shared" si="51"/>
        <v>62457.964341474602</v>
      </c>
      <c r="M205" s="100">
        <f t="shared" si="52"/>
        <v>454768.88999749906</v>
      </c>
      <c r="N205" s="102">
        <f t="shared" si="53"/>
        <v>34797.527737202465</v>
      </c>
      <c r="O205" s="94">
        <f t="shared" si="54"/>
        <v>0.94441260311298025</v>
      </c>
      <c r="P205" s="100">
        <f>'Bef.fremskr. kommunenivå MMMM'!H200</f>
        <v>13069</v>
      </c>
      <c r="Q205" s="100"/>
      <c r="R205" s="100">
        <f t="shared" si="57"/>
        <v>0</v>
      </c>
      <c r="S205" s="100">
        <v>0</v>
      </c>
      <c r="U205" s="100">
        <v>11542.969333333333</v>
      </c>
      <c r="V205" s="5">
        <f t="shared" si="58"/>
        <v>380767.95632269111</v>
      </c>
      <c r="W205" s="5">
        <f t="shared" si="59"/>
        <v>29135.202105952336</v>
      </c>
    </row>
    <row r="206" spans="1:23" ht="13">
      <c r="A206" s="92">
        <v>3811</v>
      </c>
      <c r="B206" s="93" t="s">
        <v>1824</v>
      </c>
      <c r="C206" s="574">
        <v>1.012982310560185</v>
      </c>
      <c r="D206" s="100">
        <f t="shared" si="45"/>
        <v>37324.025466014056</v>
      </c>
      <c r="E206" s="100">
        <f t="shared" si="46"/>
        <v>1024059.2867110276</v>
      </c>
      <c r="F206" s="100">
        <f t="shared" si="55"/>
        <v>-285.14221003219137</v>
      </c>
      <c r="G206" s="100">
        <f t="shared" si="47"/>
        <v>-7823.4468166532351</v>
      </c>
      <c r="H206" s="100">
        <f t="shared" si="56"/>
        <v>0</v>
      </c>
      <c r="I206" s="100">
        <f t="shared" si="48"/>
        <v>0</v>
      </c>
      <c r="J206" s="100">
        <f t="shared" si="49"/>
        <v>-420.03543870207375</v>
      </c>
      <c r="K206" s="100">
        <f t="shared" si="50"/>
        <v>-11524.512331668799</v>
      </c>
      <c r="L206" s="101">
        <f t="shared" si="51"/>
        <v>-19347.959148322036</v>
      </c>
      <c r="M206" s="100">
        <f t="shared" si="52"/>
        <v>1004711.3275627056</v>
      </c>
      <c r="N206" s="102">
        <f t="shared" si="53"/>
        <v>36618.847817279791</v>
      </c>
      <c r="O206" s="94">
        <f t="shared" si="54"/>
        <v>0.9938436331251731</v>
      </c>
      <c r="P206" s="100">
        <f>'Bef.fremskr. kommunenivå MMMM'!H201</f>
        <v>27437</v>
      </c>
      <c r="Q206" s="100"/>
      <c r="R206" s="100">
        <f t="shared" si="57"/>
        <v>0</v>
      </c>
      <c r="S206" s="100">
        <v>0</v>
      </c>
      <c r="U206" s="100">
        <v>0</v>
      </c>
      <c r="V206" s="5">
        <f t="shared" si="58"/>
        <v>1024059.2867110276</v>
      </c>
      <c r="W206" s="5">
        <f t="shared" si="59"/>
        <v>37324.025466014056</v>
      </c>
    </row>
    <row r="207" spans="1:23" ht="13">
      <c r="A207" s="92">
        <v>3812</v>
      </c>
      <c r="B207" s="93" t="s">
        <v>469</v>
      </c>
      <c r="C207" s="574">
        <v>0.8022114901005829</v>
      </c>
      <c r="D207" s="100">
        <f t="shared" si="45"/>
        <v>29558.030553450903</v>
      </c>
      <c r="E207" s="100">
        <f t="shared" si="46"/>
        <v>70141.206503338995</v>
      </c>
      <c r="F207" s="100">
        <f t="shared" si="55"/>
        <v>4374.4547375057009</v>
      </c>
      <c r="G207" s="100">
        <f t="shared" si="47"/>
        <v>10380.581092101029</v>
      </c>
      <c r="H207" s="100">
        <f t="shared" si="56"/>
        <v>1262.0576678197122</v>
      </c>
      <c r="I207" s="100">
        <f t="shared" si="48"/>
        <v>2994.8628457361765</v>
      </c>
      <c r="J207" s="100">
        <f t="shared" si="49"/>
        <v>842.0222291176384</v>
      </c>
      <c r="K207" s="100">
        <f t="shared" si="50"/>
        <v>1998.1187496961561</v>
      </c>
      <c r="L207" s="101">
        <f t="shared" si="51"/>
        <v>12378.699841797184</v>
      </c>
      <c r="M207" s="100">
        <f t="shared" si="52"/>
        <v>82519.906345136173</v>
      </c>
      <c r="N207" s="102">
        <f t="shared" si="53"/>
        <v>34774.507520074236</v>
      </c>
      <c r="O207" s="94">
        <f t="shared" si="54"/>
        <v>0.94378782932598926</v>
      </c>
      <c r="P207" s="100">
        <f>'Bef.fremskr. kommunenivå MMMM'!H202</f>
        <v>2373</v>
      </c>
      <c r="Q207" s="100"/>
      <c r="R207" s="100">
        <f t="shared" si="57"/>
        <v>0</v>
      </c>
      <c r="S207" s="100">
        <v>0</v>
      </c>
      <c r="U207" s="100">
        <v>268.8966666666667</v>
      </c>
      <c r="V207" s="5">
        <f t="shared" si="58"/>
        <v>69872.309836672328</v>
      </c>
      <c r="W207" s="5">
        <f t="shared" si="59"/>
        <v>29444.715481109281</v>
      </c>
    </row>
    <row r="208" spans="1:23" ht="13">
      <c r="A208" s="92">
        <v>3813</v>
      </c>
      <c r="B208" s="93" t="s">
        <v>470</v>
      </c>
      <c r="C208" s="574">
        <v>0.88871659200442688</v>
      </c>
      <c r="D208" s="100">
        <f t="shared" si="45"/>
        <v>32745.370147380941</v>
      </c>
      <c r="E208" s="100">
        <f t="shared" si="46"/>
        <v>461349.52000645007</v>
      </c>
      <c r="F208" s="100">
        <f t="shared" si="55"/>
        <v>2462.0509811476772</v>
      </c>
      <c r="G208" s="100">
        <f t="shared" si="47"/>
        <v>34687.836273389621</v>
      </c>
      <c r="H208" s="100">
        <f t="shared" si="56"/>
        <v>146.48880994419849</v>
      </c>
      <c r="I208" s="100">
        <f t="shared" si="48"/>
        <v>2063.8808433038125</v>
      </c>
      <c r="J208" s="100">
        <f t="shared" si="49"/>
        <v>-273.54662875787528</v>
      </c>
      <c r="K208" s="100">
        <f t="shared" si="50"/>
        <v>-3853.998452569705</v>
      </c>
      <c r="L208" s="101">
        <f t="shared" si="51"/>
        <v>30833.837820819917</v>
      </c>
      <c r="M208" s="100">
        <f t="shared" si="52"/>
        <v>492183.35782727</v>
      </c>
      <c r="N208" s="102">
        <f t="shared" si="53"/>
        <v>34933.87449977074</v>
      </c>
      <c r="O208" s="94">
        <f t="shared" si="54"/>
        <v>0.94811308442118147</v>
      </c>
      <c r="P208" s="100">
        <f>'Bef.fremskr. kommunenivå MMMM'!H203</f>
        <v>14089</v>
      </c>
      <c r="Q208" s="100"/>
      <c r="R208" s="100">
        <f t="shared" si="57"/>
        <v>0</v>
      </c>
      <c r="S208" s="100">
        <v>0</v>
      </c>
      <c r="U208" s="100">
        <v>0</v>
      </c>
      <c r="V208" s="5">
        <f t="shared" si="58"/>
        <v>461349.52000645007</v>
      </c>
      <c r="W208" s="5">
        <f t="shared" si="59"/>
        <v>32745.370147380938</v>
      </c>
    </row>
    <row r="209" spans="1:23" ht="13">
      <c r="A209" s="92">
        <v>3814</v>
      </c>
      <c r="B209" s="93" t="s">
        <v>471</v>
      </c>
      <c r="C209" s="574">
        <v>0.81287840445246473</v>
      </c>
      <c r="D209" s="100">
        <f t="shared" si="45"/>
        <v>29951.060302107875</v>
      </c>
      <c r="E209" s="100">
        <f t="shared" si="46"/>
        <v>309214.74655896169</v>
      </c>
      <c r="F209" s="100">
        <f t="shared" si="55"/>
        <v>4138.6368883115174</v>
      </c>
      <c r="G209" s="100">
        <f t="shared" si="47"/>
        <v>42727.28723492811</v>
      </c>
      <c r="H209" s="100">
        <f t="shared" si="56"/>
        <v>1124.4972557897718</v>
      </c>
      <c r="I209" s="100">
        <f t="shared" si="48"/>
        <v>11609.309668773605</v>
      </c>
      <c r="J209" s="100">
        <f t="shared" si="49"/>
        <v>704.46181708769802</v>
      </c>
      <c r="K209" s="100">
        <f t="shared" si="50"/>
        <v>7272.8637996133948</v>
      </c>
      <c r="L209" s="101">
        <f t="shared" si="51"/>
        <v>50000.151034541501</v>
      </c>
      <c r="M209" s="100">
        <f t="shared" si="52"/>
        <v>359214.89759350318</v>
      </c>
      <c r="N209" s="102">
        <f t="shared" si="53"/>
        <v>34794.159007507085</v>
      </c>
      <c r="O209" s="94">
        <f t="shared" si="54"/>
        <v>0.94432117504358337</v>
      </c>
      <c r="P209" s="100">
        <f>'Bef.fremskr. kommunenivå MMMM'!H204</f>
        <v>10324</v>
      </c>
      <c r="Q209" s="100"/>
      <c r="R209" s="100">
        <f t="shared" si="57"/>
        <v>0</v>
      </c>
      <c r="S209" s="100">
        <v>0</v>
      </c>
      <c r="U209" s="100">
        <v>0</v>
      </c>
      <c r="V209" s="5">
        <f t="shared" si="58"/>
        <v>309214.74655896169</v>
      </c>
      <c r="W209" s="5">
        <f t="shared" si="59"/>
        <v>29951.060302107875</v>
      </c>
    </row>
    <row r="210" spans="1:23" ht="13">
      <c r="A210" s="92">
        <v>3815</v>
      </c>
      <c r="B210" s="93" t="s">
        <v>472</v>
      </c>
      <c r="C210" s="574">
        <v>0.71632176047350993</v>
      </c>
      <c r="D210" s="100">
        <f t="shared" si="45"/>
        <v>26393.364771580404</v>
      </c>
      <c r="E210" s="100">
        <f t="shared" si="46"/>
        <v>108001.64864530701</v>
      </c>
      <c r="F210" s="100">
        <f t="shared" si="55"/>
        <v>6273.2542066280002</v>
      </c>
      <c r="G210" s="100">
        <f t="shared" si="47"/>
        <v>25670.156213521779</v>
      </c>
      <c r="H210" s="100">
        <f t="shared" si="56"/>
        <v>2369.6906914743868</v>
      </c>
      <c r="I210" s="100">
        <f t="shared" si="48"/>
        <v>9696.77430951319</v>
      </c>
      <c r="J210" s="100">
        <f t="shared" si="49"/>
        <v>1949.6552527723129</v>
      </c>
      <c r="K210" s="100">
        <f t="shared" si="50"/>
        <v>7977.9892943443037</v>
      </c>
      <c r="L210" s="101">
        <f t="shared" si="51"/>
        <v>33648.14550786608</v>
      </c>
      <c r="M210" s="100">
        <f t="shared" si="52"/>
        <v>141649.79415317308</v>
      </c>
      <c r="N210" s="102">
        <f t="shared" si="53"/>
        <v>34616.274230980714</v>
      </c>
      <c r="O210" s="94">
        <f t="shared" si="54"/>
        <v>0.9394933428446357</v>
      </c>
      <c r="P210" s="100">
        <f>'Bef.fremskr. kommunenivå MMMM'!H205</f>
        <v>4092</v>
      </c>
      <c r="Q210" s="100"/>
      <c r="R210" s="100">
        <f t="shared" si="57"/>
        <v>0</v>
      </c>
      <c r="S210" s="100">
        <v>0</v>
      </c>
      <c r="U210" s="100">
        <v>0</v>
      </c>
      <c r="V210" s="5">
        <f t="shared" si="58"/>
        <v>108001.64864530701</v>
      </c>
      <c r="W210" s="5">
        <f t="shared" si="59"/>
        <v>26393.364771580404</v>
      </c>
    </row>
    <row r="211" spans="1:23" ht="13">
      <c r="A211" s="92">
        <v>3816</v>
      </c>
      <c r="B211" s="93" t="s">
        <v>473</v>
      </c>
      <c r="C211" s="574">
        <v>0.75826215370553329</v>
      </c>
      <c r="D211" s="100">
        <f t="shared" si="45"/>
        <v>27938.687220677286</v>
      </c>
      <c r="E211" s="100">
        <f t="shared" si="46"/>
        <v>182244.05674047794</v>
      </c>
      <c r="F211" s="100">
        <f t="shared" si="55"/>
        <v>5346.0607371698707</v>
      </c>
      <c r="G211" s="100">
        <f t="shared" si="47"/>
        <v>34872.35418855906</v>
      </c>
      <c r="H211" s="100">
        <f t="shared" si="56"/>
        <v>1828.8278342904778</v>
      </c>
      <c r="I211" s="100">
        <f t="shared" si="48"/>
        <v>11929.443963076787</v>
      </c>
      <c r="J211" s="100">
        <f t="shared" si="49"/>
        <v>1408.7923955884039</v>
      </c>
      <c r="K211" s="100">
        <f t="shared" si="50"/>
        <v>9189.5527964231587</v>
      </c>
      <c r="L211" s="101">
        <f t="shared" si="51"/>
        <v>44061.906984982219</v>
      </c>
      <c r="M211" s="100">
        <f t="shared" si="52"/>
        <v>226305.96372546017</v>
      </c>
      <c r="N211" s="102">
        <f t="shared" si="53"/>
        <v>34693.540353435565</v>
      </c>
      <c r="O211" s="94">
        <f t="shared" si="54"/>
        <v>0.94159036250623696</v>
      </c>
      <c r="P211" s="100">
        <f>'Bef.fremskr. kommunenivå MMMM'!H206</f>
        <v>6523</v>
      </c>
      <c r="Q211" s="100"/>
      <c r="R211" s="100">
        <f t="shared" si="57"/>
        <v>0</v>
      </c>
      <c r="S211" s="100">
        <v>0</v>
      </c>
      <c r="U211" s="100">
        <v>3549.8016666666663</v>
      </c>
      <c r="V211" s="5">
        <f t="shared" si="58"/>
        <v>178694.25507381128</v>
      </c>
      <c r="W211" s="5">
        <f t="shared" si="59"/>
        <v>27394.48951001246</v>
      </c>
    </row>
    <row r="212" spans="1:23" ht="13">
      <c r="A212" s="92">
        <v>3817</v>
      </c>
      <c r="B212" s="93" t="s">
        <v>1825</v>
      </c>
      <c r="C212" s="574">
        <v>0.7513352446349234</v>
      </c>
      <c r="D212" s="100">
        <f t="shared" si="45"/>
        <v>27683.460522385551</v>
      </c>
      <c r="E212" s="100">
        <f t="shared" si="46"/>
        <v>296683.64641840593</v>
      </c>
      <c r="F212" s="100">
        <f t="shared" si="55"/>
        <v>5499.1967561449119</v>
      </c>
      <c r="G212" s="100">
        <f t="shared" si="47"/>
        <v>58934.891635605025</v>
      </c>
      <c r="H212" s="100">
        <f t="shared" si="56"/>
        <v>1918.1571786925851</v>
      </c>
      <c r="I212" s="100">
        <f t="shared" si="48"/>
        <v>20556.890484048432</v>
      </c>
      <c r="J212" s="100">
        <f t="shared" si="49"/>
        <v>1498.1217399905113</v>
      </c>
      <c r="K212" s="100">
        <f t="shared" si="50"/>
        <v>16055.370687478309</v>
      </c>
      <c r="L212" s="101">
        <f t="shared" si="51"/>
        <v>74990.262323083327</v>
      </c>
      <c r="M212" s="100">
        <f t="shared" si="52"/>
        <v>371673.90874148929</v>
      </c>
      <c r="N212" s="102">
        <f t="shared" si="53"/>
        <v>34680.779018520974</v>
      </c>
      <c r="O212" s="94">
        <f t="shared" si="54"/>
        <v>0.94124401705270644</v>
      </c>
      <c r="P212" s="100">
        <f>'Bef.fremskr. kommunenivå MMMM'!H207</f>
        <v>10717</v>
      </c>
      <c r="Q212" s="100"/>
      <c r="R212" s="100">
        <f t="shared" si="57"/>
        <v>0</v>
      </c>
      <c r="S212" s="100">
        <v>0</v>
      </c>
      <c r="U212" s="100">
        <v>0</v>
      </c>
      <c r="V212" s="5">
        <f t="shared" si="58"/>
        <v>296683.64641840593</v>
      </c>
      <c r="W212" s="5">
        <f t="shared" si="59"/>
        <v>27683.460522385551</v>
      </c>
    </row>
    <row r="213" spans="1:23" ht="13">
      <c r="A213" s="92">
        <v>3818</v>
      </c>
      <c r="B213" s="93" t="s">
        <v>475</v>
      </c>
      <c r="C213" s="574">
        <v>1.0966850470067968</v>
      </c>
      <c r="D213" s="100">
        <f t="shared" si="45"/>
        <v>40408.10998964285</v>
      </c>
      <c r="E213" s="100">
        <f t="shared" si="46"/>
        <v>220426.23999350175</v>
      </c>
      <c r="F213" s="100">
        <f t="shared" si="55"/>
        <v>-2135.5929242094671</v>
      </c>
      <c r="G213" s="100">
        <f t="shared" si="47"/>
        <v>-11649.659401562642</v>
      </c>
      <c r="H213" s="100">
        <f t="shared" si="56"/>
        <v>0</v>
      </c>
      <c r="I213" s="100">
        <f t="shared" si="48"/>
        <v>0</v>
      </c>
      <c r="J213" s="100">
        <f t="shared" si="49"/>
        <v>-420.03543870207375</v>
      </c>
      <c r="K213" s="100">
        <f t="shared" si="50"/>
        <v>-2291.2933181198123</v>
      </c>
      <c r="L213" s="101">
        <f t="shared" si="51"/>
        <v>-13940.952719682453</v>
      </c>
      <c r="M213" s="100">
        <f t="shared" si="52"/>
        <v>206485.2872738193</v>
      </c>
      <c r="N213" s="102">
        <f t="shared" si="53"/>
        <v>37852.481626731307</v>
      </c>
      <c r="O213" s="94">
        <f t="shared" si="54"/>
        <v>1.0273247277038178</v>
      </c>
      <c r="P213" s="100">
        <f>'Bef.fremskr. kommunenivå MMMM'!H208</f>
        <v>5455</v>
      </c>
      <c r="Q213" s="100"/>
      <c r="R213" s="100">
        <f t="shared" si="57"/>
        <v>0</v>
      </c>
      <c r="S213" s="100">
        <v>0</v>
      </c>
      <c r="U213" s="100">
        <v>47498.424666666659</v>
      </c>
      <c r="V213" s="5">
        <f t="shared" si="58"/>
        <v>172927.81532683509</v>
      </c>
      <c r="W213" s="5">
        <f t="shared" si="59"/>
        <v>31700.791077329992</v>
      </c>
    </row>
    <row r="214" spans="1:23" ht="13">
      <c r="A214" s="92">
        <v>3819</v>
      </c>
      <c r="B214" s="93" t="s">
        <v>476</v>
      </c>
      <c r="C214" s="574">
        <v>0.94968371178130495</v>
      </c>
      <c r="D214" s="100">
        <f t="shared" si="45"/>
        <v>34991.745338161265</v>
      </c>
      <c r="E214" s="100">
        <f t="shared" si="46"/>
        <v>54517.139236855255</v>
      </c>
      <c r="F214" s="100">
        <f t="shared" si="55"/>
        <v>1114.2258666794835</v>
      </c>
      <c r="G214" s="100">
        <f t="shared" si="47"/>
        <v>1735.9639002866354</v>
      </c>
      <c r="H214" s="100">
        <f t="shared" si="56"/>
        <v>0</v>
      </c>
      <c r="I214" s="100">
        <f t="shared" si="48"/>
        <v>0</v>
      </c>
      <c r="J214" s="100">
        <f t="shared" si="49"/>
        <v>-420.03543870207375</v>
      </c>
      <c r="K214" s="100">
        <f t="shared" si="50"/>
        <v>-654.4152134978309</v>
      </c>
      <c r="L214" s="101">
        <f t="shared" si="51"/>
        <v>1081.5486867888044</v>
      </c>
      <c r="M214" s="100">
        <f t="shared" si="52"/>
        <v>55598.687923644065</v>
      </c>
      <c r="N214" s="102">
        <f t="shared" si="53"/>
        <v>35685.935766138682</v>
      </c>
      <c r="O214" s="94">
        <f t="shared" si="54"/>
        <v>0.9685241936136213</v>
      </c>
      <c r="P214" s="100">
        <f>'Bef.fremskr. kommunenivå MMMM'!H209</f>
        <v>1558</v>
      </c>
      <c r="Q214" s="100"/>
      <c r="R214" s="100">
        <f t="shared" si="57"/>
        <v>0</v>
      </c>
      <c r="S214" s="100">
        <v>0</v>
      </c>
      <c r="U214" s="100">
        <v>5386.8069999999998</v>
      </c>
      <c r="V214" s="5">
        <f t="shared" si="58"/>
        <v>49130.332236855254</v>
      </c>
      <c r="W214" s="5">
        <f t="shared" si="59"/>
        <v>31534.231217493743</v>
      </c>
    </row>
    <row r="215" spans="1:23" ht="13">
      <c r="A215" s="92">
        <v>3820</v>
      </c>
      <c r="B215" s="93" t="s">
        <v>477</v>
      </c>
      <c r="C215" s="574">
        <v>0.864532269167537</v>
      </c>
      <c r="D215" s="100">
        <f t="shared" si="45"/>
        <v>31854.282245813138</v>
      </c>
      <c r="E215" s="100">
        <f t="shared" si="46"/>
        <v>92154.438537137408</v>
      </c>
      <c r="F215" s="100">
        <f t="shared" si="55"/>
        <v>2996.7037220883599</v>
      </c>
      <c r="G215" s="100">
        <f t="shared" si="47"/>
        <v>8669.4638680016251</v>
      </c>
      <c r="H215" s="100">
        <f t="shared" si="56"/>
        <v>458.36957549292981</v>
      </c>
      <c r="I215" s="100">
        <f t="shared" si="48"/>
        <v>1326.0631819010459</v>
      </c>
      <c r="J215" s="100">
        <f t="shared" si="49"/>
        <v>38.334136790856064</v>
      </c>
      <c r="K215" s="100">
        <f t="shared" si="50"/>
        <v>110.9006577359466</v>
      </c>
      <c r="L215" s="101">
        <f t="shared" si="51"/>
        <v>8780.364525737572</v>
      </c>
      <c r="M215" s="100">
        <f t="shared" si="52"/>
        <v>100934.80306287497</v>
      </c>
      <c r="N215" s="102">
        <f t="shared" si="53"/>
        <v>34889.32010469235</v>
      </c>
      <c r="O215" s="94">
        <f t="shared" si="54"/>
        <v>0.94690386827933692</v>
      </c>
      <c r="P215" s="100">
        <f>'Bef.fremskr. kommunenivå MMMM'!H210</f>
        <v>2893</v>
      </c>
      <c r="Q215" s="100"/>
      <c r="R215" s="100">
        <f t="shared" si="57"/>
        <v>0</v>
      </c>
      <c r="S215" s="100">
        <v>0</v>
      </c>
      <c r="U215" s="100">
        <v>4524.2659999999996</v>
      </c>
      <c r="V215" s="5">
        <f t="shared" si="58"/>
        <v>87630.172537137405</v>
      </c>
      <c r="W215" s="5">
        <f t="shared" si="59"/>
        <v>30290.41567132299</v>
      </c>
    </row>
    <row r="216" spans="1:23" ht="13">
      <c r="A216" s="92">
        <v>3821</v>
      </c>
      <c r="B216" s="93" t="s">
        <v>478</v>
      </c>
      <c r="C216" s="574">
        <v>0.86152613873208728</v>
      </c>
      <c r="D216" s="100">
        <f t="shared" si="45"/>
        <v>31743.519315644258</v>
      </c>
      <c r="E216" s="100">
        <f t="shared" si="46"/>
        <v>78406.492709641316</v>
      </c>
      <c r="F216" s="100">
        <f t="shared" si="55"/>
        <v>3063.1614801896872</v>
      </c>
      <c r="G216" s="100">
        <f t="shared" si="47"/>
        <v>7566.0088560685272</v>
      </c>
      <c r="H216" s="100">
        <f t="shared" si="56"/>
        <v>497.13660105203758</v>
      </c>
      <c r="I216" s="100">
        <f t="shared" si="48"/>
        <v>1227.9274045985328</v>
      </c>
      <c r="J216" s="100">
        <f t="shared" si="49"/>
        <v>77.101162349963829</v>
      </c>
      <c r="K216" s="100">
        <f t="shared" si="50"/>
        <v>190.43987100441066</v>
      </c>
      <c r="L216" s="101">
        <f t="shared" si="51"/>
        <v>7756.4487270729378</v>
      </c>
      <c r="M216" s="100">
        <f t="shared" si="52"/>
        <v>86162.941436714245</v>
      </c>
      <c r="N216" s="102">
        <f t="shared" si="53"/>
        <v>34883.781958183907</v>
      </c>
      <c r="O216" s="94">
        <f t="shared" si="54"/>
        <v>0.94675356175756453</v>
      </c>
      <c r="P216" s="100">
        <f>'Bef.fremskr. kommunenivå MMMM'!H211</f>
        <v>2470</v>
      </c>
      <c r="Q216" s="100"/>
      <c r="R216" s="100">
        <f t="shared" si="57"/>
        <v>0</v>
      </c>
      <c r="S216" s="100">
        <v>0</v>
      </c>
      <c r="U216" s="100">
        <v>1354.26</v>
      </c>
      <c r="V216" s="5">
        <f t="shared" si="58"/>
        <v>77052.232709641321</v>
      </c>
      <c r="W216" s="5">
        <f t="shared" si="59"/>
        <v>31195.235914834542</v>
      </c>
    </row>
    <row r="217" spans="1:23" ht="13">
      <c r="A217" s="92">
        <v>3822</v>
      </c>
      <c r="B217" s="93" t="s">
        <v>479</v>
      </c>
      <c r="C217" s="574">
        <v>0.91613360820873924</v>
      </c>
      <c r="D217" s="100">
        <f t="shared" si="45"/>
        <v>33755.568845170616</v>
      </c>
      <c r="E217" s="100">
        <f t="shared" si="46"/>
        <v>47966.663328987444</v>
      </c>
      <c r="F217" s="100">
        <f t="shared" si="55"/>
        <v>1855.9317624738731</v>
      </c>
      <c r="G217" s="100">
        <f t="shared" si="47"/>
        <v>2637.2790344753735</v>
      </c>
      <c r="H217" s="100">
        <f t="shared" si="56"/>
        <v>0</v>
      </c>
      <c r="I217" s="100">
        <f t="shared" si="48"/>
        <v>0</v>
      </c>
      <c r="J217" s="100">
        <f t="shared" si="49"/>
        <v>-420.03543870207375</v>
      </c>
      <c r="K217" s="100">
        <f t="shared" si="50"/>
        <v>-596.8703583956468</v>
      </c>
      <c r="L217" s="101">
        <f t="shared" si="51"/>
        <v>2040.4086760797268</v>
      </c>
      <c r="M217" s="100">
        <f t="shared" si="52"/>
        <v>50007.072005067173</v>
      </c>
      <c r="N217" s="102">
        <f t="shared" si="53"/>
        <v>35191.465168942421</v>
      </c>
      <c r="O217" s="94">
        <f t="shared" si="54"/>
        <v>0.95510415218459488</v>
      </c>
      <c r="P217" s="100">
        <f>'Bef.fremskr. kommunenivå MMMM'!H212</f>
        <v>1421</v>
      </c>
      <c r="Q217" s="100"/>
      <c r="R217" s="100">
        <f t="shared" si="57"/>
        <v>0</v>
      </c>
      <c r="S217" s="100">
        <v>0</v>
      </c>
      <c r="U217" s="100">
        <v>6159.2380000000003</v>
      </c>
      <c r="V217" s="5">
        <f t="shared" si="58"/>
        <v>41807.425328987447</v>
      </c>
      <c r="W217" s="5">
        <f t="shared" si="59"/>
        <v>29421.129717795531</v>
      </c>
    </row>
    <row r="218" spans="1:23" ht="13">
      <c r="A218" s="92">
        <v>3823</v>
      </c>
      <c r="B218" s="93" t="s">
        <v>480</v>
      </c>
      <c r="C218" s="574">
        <v>0.86781375025135699</v>
      </c>
      <c r="D218" s="100">
        <f t="shared" si="45"/>
        <v>31975.190658785334</v>
      </c>
      <c r="E218" s="100">
        <f t="shared" si="46"/>
        <v>38338.253599883617</v>
      </c>
      <c r="F218" s="100">
        <f t="shared" si="55"/>
        <v>2924.158674305042</v>
      </c>
      <c r="G218" s="100">
        <f t="shared" si="47"/>
        <v>3506.0662504917454</v>
      </c>
      <c r="H218" s="100">
        <f t="shared" si="56"/>
        <v>416.05163095266124</v>
      </c>
      <c r="I218" s="100">
        <f t="shared" si="48"/>
        <v>498.84590551224085</v>
      </c>
      <c r="J218" s="100">
        <f t="shared" si="49"/>
        <v>-3.9838077494125059</v>
      </c>
      <c r="K218" s="100">
        <f t="shared" si="50"/>
        <v>-4.7765854915455952</v>
      </c>
      <c r="L218" s="101">
        <f t="shared" si="51"/>
        <v>3501.2896650001999</v>
      </c>
      <c r="M218" s="100">
        <f t="shared" si="52"/>
        <v>41839.543264883818</v>
      </c>
      <c r="N218" s="102">
        <f t="shared" si="53"/>
        <v>34895.365525340967</v>
      </c>
      <c r="O218" s="94">
        <f t="shared" si="54"/>
        <v>0.9470679423335282</v>
      </c>
      <c r="P218" s="100">
        <f>'Bef.fremskr. kommunenivå MMMM'!H213</f>
        <v>1199</v>
      </c>
      <c r="Q218" s="100"/>
      <c r="R218" s="100">
        <f t="shared" si="57"/>
        <v>0</v>
      </c>
      <c r="S218" s="100">
        <v>0</v>
      </c>
      <c r="U218" s="100">
        <v>5559.7849999999999</v>
      </c>
      <c r="V218" s="5">
        <f t="shared" si="58"/>
        <v>32778.468599883621</v>
      </c>
      <c r="W218" s="5">
        <f t="shared" si="59"/>
        <v>27338.172310161484</v>
      </c>
    </row>
    <row r="219" spans="1:23" ht="13">
      <c r="A219" s="92">
        <v>3824</v>
      </c>
      <c r="B219" s="93" t="s">
        <v>481</v>
      </c>
      <c r="C219" s="574">
        <v>1.1728188978771934</v>
      </c>
      <c r="D219" s="100">
        <f t="shared" si="45"/>
        <v>43213.313751928654</v>
      </c>
      <c r="E219" s="100">
        <f t="shared" si="46"/>
        <v>91569.011840336811</v>
      </c>
      <c r="F219" s="100">
        <f t="shared" si="55"/>
        <v>-3818.7151815809498</v>
      </c>
      <c r="G219" s="100">
        <f t="shared" si="47"/>
        <v>-8091.8574697700333</v>
      </c>
      <c r="H219" s="100">
        <f t="shared" si="56"/>
        <v>0</v>
      </c>
      <c r="I219" s="100">
        <f t="shared" si="48"/>
        <v>0</v>
      </c>
      <c r="J219" s="100">
        <f t="shared" si="49"/>
        <v>-420.03543870207375</v>
      </c>
      <c r="K219" s="100">
        <f t="shared" si="50"/>
        <v>-890.05509460969438</v>
      </c>
      <c r="L219" s="101">
        <f t="shared" si="51"/>
        <v>-8981.912564379727</v>
      </c>
      <c r="M219" s="100">
        <f t="shared" si="52"/>
        <v>82587.09927595708</v>
      </c>
      <c r="N219" s="102">
        <f t="shared" si="53"/>
        <v>38974.563131645627</v>
      </c>
      <c r="O219" s="94">
        <f t="shared" si="54"/>
        <v>1.0577782680519765</v>
      </c>
      <c r="P219" s="100">
        <f>'Bef.fremskr. kommunenivå MMMM'!H214</f>
        <v>2119</v>
      </c>
      <c r="Q219" s="100"/>
      <c r="R219" s="100">
        <f t="shared" si="57"/>
        <v>0</v>
      </c>
      <c r="S219" s="100">
        <v>0</v>
      </c>
      <c r="U219" s="100">
        <v>23104.871333333333</v>
      </c>
      <c r="V219" s="5">
        <f t="shared" si="58"/>
        <v>68464.140507003482</v>
      </c>
      <c r="W219" s="5">
        <f t="shared" si="59"/>
        <v>32309.646298727461</v>
      </c>
    </row>
    <row r="220" spans="1:23" ht="13">
      <c r="A220" s="92">
        <v>3825</v>
      </c>
      <c r="B220" s="93" t="s">
        <v>482</v>
      </c>
      <c r="C220" s="574">
        <v>1.2457829288981503</v>
      </c>
      <c r="D220" s="100">
        <f t="shared" si="45"/>
        <v>45901.723335728027</v>
      </c>
      <c r="E220" s="100">
        <f t="shared" si="46"/>
        <v>173462.61248571624</v>
      </c>
      <c r="F220" s="100">
        <f t="shared" si="55"/>
        <v>-5431.7609318605737</v>
      </c>
      <c r="G220" s="100">
        <f t="shared" si="47"/>
        <v>-20526.624561501107</v>
      </c>
      <c r="H220" s="100">
        <f t="shared" si="56"/>
        <v>0</v>
      </c>
      <c r="I220" s="100">
        <f t="shared" si="48"/>
        <v>0</v>
      </c>
      <c r="J220" s="100">
        <f t="shared" si="49"/>
        <v>-420.03543870207375</v>
      </c>
      <c r="K220" s="100">
        <f t="shared" si="50"/>
        <v>-1587.3139228551368</v>
      </c>
      <c r="L220" s="101">
        <f t="shared" si="51"/>
        <v>-22113.938484356244</v>
      </c>
      <c r="M220" s="100">
        <f t="shared" si="52"/>
        <v>151348.67400135999</v>
      </c>
      <c r="N220" s="102">
        <f t="shared" si="53"/>
        <v>40049.926965165389</v>
      </c>
      <c r="O220" s="94">
        <f t="shared" si="54"/>
        <v>1.0869638804603594</v>
      </c>
      <c r="P220" s="100">
        <f>'Bef.fremskr. kommunenivå MMMM'!H215</f>
        <v>3779</v>
      </c>
      <c r="Q220" s="100"/>
      <c r="R220" s="100">
        <f t="shared" si="57"/>
        <v>0</v>
      </c>
      <c r="S220" s="100">
        <v>0</v>
      </c>
      <c r="U220" s="100">
        <v>39308.231999999996</v>
      </c>
      <c r="V220" s="5">
        <f t="shared" si="58"/>
        <v>134154.38048571625</v>
      </c>
      <c r="W220" s="5">
        <f t="shared" si="59"/>
        <v>35499.968374097974</v>
      </c>
    </row>
    <row r="221" spans="1:23" ht="13">
      <c r="A221" s="92">
        <v>4201</v>
      </c>
      <c r="B221" s="93" t="s">
        <v>483</v>
      </c>
      <c r="C221" s="574">
        <v>0.81746043588208961</v>
      </c>
      <c r="D221" s="100">
        <f t="shared" si="45"/>
        <v>30119.888381317691</v>
      </c>
      <c r="E221" s="100">
        <f t="shared" si="46"/>
        <v>202285.17036892963</v>
      </c>
      <c r="F221" s="100">
        <f t="shared" si="55"/>
        <v>4037.3400407856279</v>
      </c>
      <c r="G221" s="100">
        <f t="shared" si="47"/>
        <v>27114.775713916275</v>
      </c>
      <c r="H221" s="100">
        <f t="shared" si="56"/>
        <v>1065.4074280663363</v>
      </c>
      <c r="I221" s="100">
        <f t="shared" si="48"/>
        <v>7155.2762868935142</v>
      </c>
      <c r="J221" s="100">
        <f t="shared" si="49"/>
        <v>645.3719893642625</v>
      </c>
      <c r="K221" s="100">
        <f t="shared" si="50"/>
        <v>4334.3182805703873</v>
      </c>
      <c r="L221" s="101">
        <f t="shared" si="51"/>
        <v>31449.093994486662</v>
      </c>
      <c r="M221" s="100">
        <f t="shared" si="52"/>
        <v>233734.2643634163</v>
      </c>
      <c r="N221" s="102">
        <f t="shared" si="53"/>
        <v>34802.600411467582</v>
      </c>
      <c r="O221" s="94">
        <f t="shared" si="54"/>
        <v>0.94455027661506474</v>
      </c>
      <c r="P221" s="100">
        <f>'Bef.fremskr. kommunenivå MMMM'!H216</f>
        <v>6716</v>
      </c>
      <c r="Q221" s="100"/>
      <c r="R221" s="100">
        <f t="shared" si="57"/>
        <v>0</v>
      </c>
      <c r="S221" s="100">
        <v>0</v>
      </c>
      <c r="U221" s="100">
        <v>0</v>
      </c>
      <c r="V221" s="5">
        <f t="shared" si="58"/>
        <v>202285.17036892963</v>
      </c>
      <c r="W221" s="5">
        <f t="shared" si="59"/>
        <v>30119.888381317694</v>
      </c>
    </row>
    <row r="222" spans="1:23" ht="13">
      <c r="A222" s="92">
        <v>4202</v>
      </c>
      <c r="B222" s="93" t="s">
        <v>484</v>
      </c>
      <c r="C222" s="574">
        <v>0.81077947957116792</v>
      </c>
      <c r="D222" s="100">
        <f t="shared" si="45"/>
        <v>29873.723980531391</v>
      </c>
      <c r="E222" s="100">
        <f t="shared" si="46"/>
        <v>725602.88176312693</v>
      </c>
      <c r="F222" s="100">
        <f t="shared" si="55"/>
        <v>4185.0386812574079</v>
      </c>
      <c r="G222" s="100">
        <f t="shared" si="47"/>
        <v>101650.40452906118</v>
      </c>
      <c r="H222" s="100">
        <f t="shared" si="56"/>
        <v>1151.5649683415411</v>
      </c>
      <c r="I222" s="100">
        <f t="shared" si="48"/>
        <v>27970.361516047691</v>
      </c>
      <c r="J222" s="100">
        <f t="shared" si="49"/>
        <v>731.52952963946734</v>
      </c>
      <c r="K222" s="100">
        <f t="shared" si="50"/>
        <v>17768.120745413024</v>
      </c>
      <c r="L222" s="101">
        <f t="shared" si="51"/>
        <v>119418.5252744742</v>
      </c>
      <c r="M222" s="100">
        <f t="shared" si="52"/>
        <v>845021.40703760111</v>
      </c>
      <c r="N222" s="102">
        <f t="shared" si="53"/>
        <v>34790.292191428263</v>
      </c>
      <c r="O222" s="94">
        <f t="shared" si="54"/>
        <v>0.9442162287995185</v>
      </c>
      <c r="P222" s="100">
        <f>'Bef.fremskr. kommunenivå MMMM'!H217</f>
        <v>24289</v>
      </c>
      <c r="Q222" s="100"/>
      <c r="R222" s="100">
        <f t="shared" si="57"/>
        <v>0</v>
      </c>
      <c r="S222" s="100">
        <v>0</v>
      </c>
      <c r="U222" s="100">
        <v>1837.1006666666665</v>
      </c>
      <c r="V222" s="5">
        <f t="shared" si="58"/>
        <v>723765.7810964603</v>
      </c>
      <c r="W222" s="5">
        <f t="shared" si="59"/>
        <v>29798.088891945339</v>
      </c>
    </row>
    <row r="223" spans="1:23" ht="13">
      <c r="A223" s="92">
        <v>4203</v>
      </c>
      <c r="B223" s="93" t="s">
        <v>485</v>
      </c>
      <c r="C223" s="574">
        <v>0.82461420901979654</v>
      </c>
      <c r="D223" s="100">
        <f t="shared" si="45"/>
        <v>30383.474041191854</v>
      </c>
      <c r="E223" s="100">
        <f t="shared" si="46"/>
        <v>1389132.4331632915</v>
      </c>
      <c r="F223" s="100">
        <f t="shared" si="55"/>
        <v>3879.1886448611299</v>
      </c>
      <c r="G223" s="100">
        <f t="shared" si="47"/>
        <v>177356.50484305088</v>
      </c>
      <c r="H223" s="100">
        <f t="shared" si="56"/>
        <v>973.15244711037917</v>
      </c>
      <c r="I223" s="100">
        <f t="shared" si="48"/>
        <v>44492.529881886534</v>
      </c>
      <c r="J223" s="100">
        <f t="shared" si="49"/>
        <v>553.11700840830542</v>
      </c>
      <c r="K223" s="100">
        <f t="shared" si="50"/>
        <v>25288.509624427723</v>
      </c>
      <c r="L223" s="101">
        <f t="shared" si="51"/>
        <v>202645.01446747861</v>
      </c>
      <c r="M223" s="100">
        <f t="shared" si="52"/>
        <v>1591777.44763077</v>
      </c>
      <c r="N223" s="102">
        <f t="shared" si="53"/>
        <v>34815.779694461286</v>
      </c>
      <c r="O223" s="94">
        <f t="shared" si="54"/>
        <v>0.94490796527194998</v>
      </c>
      <c r="P223" s="100">
        <f>'Bef.fremskr. kommunenivå MMMM'!H218</f>
        <v>45720</v>
      </c>
      <c r="Q223" s="100"/>
      <c r="R223" s="100">
        <f t="shared" si="57"/>
        <v>0</v>
      </c>
      <c r="S223" s="100">
        <v>0</v>
      </c>
      <c r="U223" s="100">
        <v>1237.7583333333334</v>
      </c>
      <c r="V223" s="5">
        <f t="shared" si="58"/>
        <v>1387894.6748299582</v>
      </c>
      <c r="W223" s="5">
        <f t="shared" si="59"/>
        <v>30356.40146172262</v>
      </c>
    </row>
    <row r="224" spans="1:23" ht="13">
      <c r="A224" s="92">
        <v>4204</v>
      </c>
      <c r="B224" s="93" t="s">
        <v>499</v>
      </c>
      <c r="C224" s="574">
        <v>0.86006099282258741</v>
      </c>
      <c r="D224" s="100">
        <f t="shared" si="45"/>
        <v>31689.535013383978</v>
      </c>
      <c r="E224" s="100">
        <f t="shared" si="46"/>
        <v>3652123.8416874632</v>
      </c>
      <c r="F224" s="100">
        <f t="shared" si="55"/>
        <v>3095.5520615458554</v>
      </c>
      <c r="G224" s="100">
        <f t="shared" si="47"/>
        <v>356753.0884369752</v>
      </c>
      <c r="H224" s="100">
        <f t="shared" si="56"/>
        <v>516.0311068431356</v>
      </c>
      <c r="I224" s="100">
        <f t="shared" si="48"/>
        <v>59471.036970350848</v>
      </c>
      <c r="J224" s="100">
        <f t="shared" si="49"/>
        <v>95.995668141061856</v>
      </c>
      <c r="K224" s="100">
        <f t="shared" si="50"/>
        <v>11063.212766252955</v>
      </c>
      <c r="L224" s="101">
        <f t="shared" si="51"/>
        <v>367816.30120322818</v>
      </c>
      <c r="M224" s="100">
        <f t="shared" si="52"/>
        <v>4019940.1428906913</v>
      </c>
      <c r="N224" s="102">
        <f t="shared" si="53"/>
        <v>34881.082743070896</v>
      </c>
      <c r="O224" s="94">
        <f t="shared" si="54"/>
        <v>0.94668030446208962</v>
      </c>
      <c r="P224" s="100">
        <f>'Bef.fremskr. kommunenivå MMMM'!H219</f>
        <v>115247</v>
      </c>
      <c r="Q224" s="100"/>
      <c r="R224" s="100">
        <f t="shared" si="57"/>
        <v>0</v>
      </c>
      <c r="S224" s="100">
        <v>0</v>
      </c>
      <c r="U224" s="100">
        <v>0</v>
      </c>
      <c r="V224" s="5">
        <f t="shared" si="58"/>
        <v>3652123.8416874632</v>
      </c>
      <c r="W224" s="5">
        <f t="shared" si="59"/>
        <v>31689.535013383978</v>
      </c>
    </row>
    <row r="225" spans="1:23" ht="13">
      <c r="A225" s="92">
        <v>4205</v>
      </c>
      <c r="B225" s="93" t="s">
        <v>505</v>
      </c>
      <c r="C225" s="574">
        <v>0.8029168317627301</v>
      </c>
      <c r="D225" s="100">
        <f t="shared" si="45"/>
        <v>29584.019348996269</v>
      </c>
      <c r="E225" s="100">
        <f t="shared" si="46"/>
        <v>685757.56850973354</v>
      </c>
      <c r="F225" s="100">
        <f t="shared" si="55"/>
        <v>4358.8614601784802</v>
      </c>
      <c r="G225" s="100">
        <f t="shared" si="47"/>
        <v>101038.40864693718</v>
      </c>
      <c r="H225" s="100">
        <f t="shared" si="56"/>
        <v>1252.9615893788337</v>
      </c>
      <c r="I225" s="100">
        <f t="shared" si="48"/>
        <v>29043.649641801363</v>
      </c>
      <c r="J225" s="100">
        <f t="shared" si="49"/>
        <v>832.9261506767599</v>
      </c>
      <c r="K225" s="100">
        <f t="shared" si="50"/>
        <v>19307.228172687297</v>
      </c>
      <c r="L225" s="101">
        <f t="shared" si="51"/>
        <v>120345.63681962449</v>
      </c>
      <c r="M225" s="100">
        <f t="shared" si="52"/>
        <v>806103.20532935811</v>
      </c>
      <c r="N225" s="102">
        <f t="shared" si="53"/>
        <v>34775.806959851514</v>
      </c>
      <c r="O225" s="94">
        <f t="shared" si="54"/>
        <v>0.94382309640909678</v>
      </c>
      <c r="P225" s="100">
        <f>'Bef.fremskr. kommunenivå MMMM'!H220</f>
        <v>23180</v>
      </c>
      <c r="Q225" s="100"/>
      <c r="R225" s="100">
        <f t="shared" si="57"/>
        <v>0</v>
      </c>
      <c r="S225" s="100">
        <v>0</v>
      </c>
      <c r="U225" s="100">
        <v>4007.7553333333331</v>
      </c>
      <c r="V225" s="5">
        <f t="shared" si="58"/>
        <v>681749.81317640026</v>
      </c>
      <c r="W225" s="5">
        <f t="shared" si="59"/>
        <v>29411.122225038838</v>
      </c>
    </row>
    <row r="226" spans="1:23" ht="13">
      <c r="A226" s="92">
        <v>4206</v>
      </c>
      <c r="B226" s="93" t="s">
        <v>500</v>
      </c>
      <c r="C226" s="574">
        <v>0.81901101350203565</v>
      </c>
      <c r="D226" s="100">
        <f t="shared" si="45"/>
        <v>30177.020473330129</v>
      </c>
      <c r="E226" s="100">
        <f t="shared" si="46"/>
        <v>288944.97103213595</v>
      </c>
      <c r="F226" s="100">
        <f t="shared" si="55"/>
        <v>4003.060785578165</v>
      </c>
      <c r="G226" s="100">
        <f t="shared" si="47"/>
        <v>38329.307021910929</v>
      </c>
      <c r="H226" s="100">
        <f t="shared" si="56"/>
        <v>1045.4111958619828</v>
      </c>
      <c r="I226" s="100">
        <f t="shared" si="48"/>
        <v>10009.812200378485</v>
      </c>
      <c r="J226" s="100">
        <f t="shared" si="49"/>
        <v>625.37575715990909</v>
      </c>
      <c r="K226" s="100">
        <f t="shared" si="50"/>
        <v>5987.9728748061298</v>
      </c>
      <c r="L226" s="101">
        <f t="shared" si="51"/>
        <v>44317.27989671706</v>
      </c>
      <c r="M226" s="100">
        <f t="shared" si="52"/>
        <v>333262.250928853</v>
      </c>
      <c r="N226" s="102">
        <f t="shared" si="53"/>
        <v>34805.457016068198</v>
      </c>
      <c r="O226" s="94">
        <f t="shared" si="54"/>
        <v>0.94462780549606185</v>
      </c>
      <c r="P226" s="100">
        <f>'Bef.fremskr. kommunenivå MMMM'!H221</f>
        <v>9575</v>
      </c>
      <c r="Q226" s="100"/>
      <c r="R226" s="100">
        <f t="shared" si="57"/>
        <v>0</v>
      </c>
      <c r="S226" s="100">
        <v>0</v>
      </c>
      <c r="U226" s="100">
        <v>0</v>
      </c>
      <c r="V226" s="5">
        <f t="shared" si="58"/>
        <v>288944.97103213595</v>
      </c>
      <c r="W226" s="5">
        <f t="shared" si="59"/>
        <v>30177.020473330125</v>
      </c>
    </row>
    <row r="227" spans="1:23" ht="13">
      <c r="A227" s="92">
        <v>4207</v>
      </c>
      <c r="B227" s="93" t="s">
        <v>501</v>
      </c>
      <c r="C227" s="574">
        <v>0.86182625210426</v>
      </c>
      <c r="D227" s="100">
        <f t="shared" si="45"/>
        <v>31754.577197927982</v>
      </c>
      <c r="E227" s="100">
        <f t="shared" si="46"/>
        <v>286775.58667448757</v>
      </c>
      <c r="F227" s="100">
        <f t="shared" si="55"/>
        <v>3056.5267508194534</v>
      </c>
      <c r="G227" s="100">
        <f t="shared" si="47"/>
        <v>27603.493086650484</v>
      </c>
      <c r="H227" s="100">
        <f t="shared" si="56"/>
        <v>493.26634225273443</v>
      </c>
      <c r="I227" s="100">
        <f t="shared" si="48"/>
        <v>4454.6883368844447</v>
      </c>
      <c r="J227" s="100">
        <f t="shared" si="49"/>
        <v>73.230903550660685</v>
      </c>
      <c r="K227" s="100">
        <f t="shared" si="50"/>
        <v>661.34828996601664</v>
      </c>
      <c r="L227" s="101">
        <f t="shared" si="51"/>
        <v>28264.841376616499</v>
      </c>
      <c r="M227" s="100">
        <f t="shared" si="52"/>
        <v>315040.42805110407</v>
      </c>
      <c r="N227" s="102">
        <f t="shared" si="53"/>
        <v>34884.334852298089</v>
      </c>
      <c r="O227" s="94">
        <f t="shared" si="54"/>
        <v>0.94676856742617299</v>
      </c>
      <c r="P227" s="100">
        <f>'Bef.fremskr. kommunenivå MMMM'!H222</f>
        <v>9031</v>
      </c>
      <c r="Q227" s="100"/>
      <c r="R227" s="100">
        <f t="shared" si="57"/>
        <v>0</v>
      </c>
      <c r="S227" s="100">
        <v>0</v>
      </c>
      <c r="U227" s="100">
        <v>2319.1353333333332</v>
      </c>
      <c r="V227" s="5">
        <f t="shared" si="58"/>
        <v>284456.45134115423</v>
      </c>
      <c r="W227" s="5">
        <f t="shared" si="59"/>
        <v>31497.780017844561</v>
      </c>
    </row>
    <row r="228" spans="1:23" ht="13">
      <c r="A228" s="92">
        <v>4211</v>
      </c>
      <c r="B228" s="93" t="s">
        <v>486</v>
      </c>
      <c r="C228" s="574">
        <v>0.67994548681401668</v>
      </c>
      <c r="D228" s="100">
        <f t="shared" si="45"/>
        <v>25053.056110440208</v>
      </c>
      <c r="E228" s="100">
        <f t="shared" si="46"/>
        <v>60653.448843375743</v>
      </c>
      <c r="F228" s="100">
        <f t="shared" si="55"/>
        <v>7077.439403312118</v>
      </c>
      <c r="G228" s="100">
        <f t="shared" si="47"/>
        <v>17134.48079541864</v>
      </c>
      <c r="H228" s="100">
        <f t="shared" si="56"/>
        <v>2838.7987228734551</v>
      </c>
      <c r="I228" s="100">
        <f t="shared" si="48"/>
        <v>6872.7317080766343</v>
      </c>
      <c r="J228" s="100">
        <f t="shared" si="49"/>
        <v>2418.7632841713812</v>
      </c>
      <c r="K228" s="100">
        <f t="shared" si="50"/>
        <v>5855.8259109789142</v>
      </c>
      <c r="L228" s="101">
        <f t="shared" si="51"/>
        <v>22990.306706397554</v>
      </c>
      <c r="M228" s="100">
        <f t="shared" si="52"/>
        <v>83643.755549773297</v>
      </c>
      <c r="N228" s="102">
        <f t="shared" si="53"/>
        <v>34549.258797923707</v>
      </c>
      <c r="O228" s="94">
        <f t="shared" si="54"/>
        <v>0.93767452916166105</v>
      </c>
      <c r="P228" s="100">
        <f>'Bef.fremskr. kommunenivå MMMM'!H223</f>
        <v>2421</v>
      </c>
      <c r="Q228" s="100"/>
      <c r="R228" s="100">
        <f t="shared" si="57"/>
        <v>0</v>
      </c>
      <c r="S228" s="100">
        <v>0</v>
      </c>
      <c r="U228" s="100">
        <v>0</v>
      </c>
      <c r="V228" s="5">
        <f t="shared" si="58"/>
        <v>60653.448843375743</v>
      </c>
      <c r="W228" s="5">
        <f t="shared" si="59"/>
        <v>25053.056110440208</v>
      </c>
    </row>
    <row r="229" spans="1:23" ht="13">
      <c r="A229" s="92">
        <v>4212</v>
      </c>
      <c r="B229" s="93" t="s">
        <v>487</v>
      </c>
      <c r="C229" s="574">
        <v>0.70290399051772423</v>
      </c>
      <c r="D229" s="100">
        <f t="shared" si="45"/>
        <v>25898.977868367932</v>
      </c>
      <c r="E229" s="100">
        <f t="shared" si="46"/>
        <v>55346.115704702272</v>
      </c>
      <c r="F229" s="100">
        <f t="shared" si="55"/>
        <v>6569.886348555483</v>
      </c>
      <c r="G229" s="100">
        <f t="shared" si="47"/>
        <v>14039.847126863067</v>
      </c>
      <c r="H229" s="100">
        <f t="shared" si="56"/>
        <v>2542.7261075987517</v>
      </c>
      <c r="I229" s="100">
        <f t="shared" si="48"/>
        <v>5433.8056919385326</v>
      </c>
      <c r="J229" s="100">
        <f t="shared" si="49"/>
        <v>2122.6906688966778</v>
      </c>
      <c r="K229" s="100">
        <f t="shared" si="50"/>
        <v>4536.1899594322003</v>
      </c>
      <c r="L229" s="101">
        <f t="shared" si="51"/>
        <v>18576.03708629527</v>
      </c>
      <c r="M229" s="100">
        <f t="shared" si="52"/>
        <v>73922.152790997541</v>
      </c>
      <c r="N229" s="102">
        <f t="shared" si="53"/>
        <v>34591.554885820093</v>
      </c>
      <c r="O229" s="94">
        <f t="shared" si="54"/>
        <v>0.93882245434684641</v>
      </c>
      <c r="P229" s="100">
        <f>'Bef.fremskr. kommunenivå MMMM'!H224</f>
        <v>2137</v>
      </c>
      <c r="Q229" s="100"/>
      <c r="R229" s="100">
        <f t="shared" si="57"/>
        <v>0</v>
      </c>
      <c r="S229" s="100">
        <v>0</v>
      </c>
      <c r="U229" s="100">
        <v>0</v>
      </c>
      <c r="V229" s="5">
        <f t="shared" si="58"/>
        <v>55346.115704702272</v>
      </c>
      <c r="W229" s="5">
        <f t="shared" si="59"/>
        <v>25898.977868367932</v>
      </c>
    </row>
    <row r="230" spans="1:23" ht="13">
      <c r="A230" s="92">
        <v>4213</v>
      </c>
      <c r="B230" s="93" t="s">
        <v>488</v>
      </c>
      <c r="C230" s="574">
        <v>0.82000048646286039</v>
      </c>
      <c r="D230" s="100">
        <f t="shared" si="45"/>
        <v>30213.47828073975</v>
      </c>
      <c r="E230" s="100">
        <f t="shared" si="46"/>
        <v>186175.45316591836</v>
      </c>
      <c r="F230" s="100">
        <f t="shared" si="55"/>
        <v>3981.1861011323927</v>
      </c>
      <c r="G230" s="100">
        <f t="shared" si="47"/>
        <v>24532.068755177803</v>
      </c>
      <c r="H230" s="100">
        <f t="shared" si="56"/>
        <v>1032.6509632686157</v>
      </c>
      <c r="I230" s="100">
        <f t="shared" si="48"/>
        <v>6363.1952356612092</v>
      </c>
      <c r="J230" s="100">
        <f t="shared" si="49"/>
        <v>612.61552456654192</v>
      </c>
      <c r="K230" s="100">
        <f t="shared" si="50"/>
        <v>3774.9368623790315</v>
      </c>
      <c r="L230" s="101">
        <f t="shared" si="51"/>
        <v>28307.005617556835</v>
      </c>
      <c r="M230" s="100">
        <f t="shared" si="52"/>
        <v>214482.45878347519</v>
      </c>
      <c r="N230" s="102">
        <f t="shared" si="53"/>
        <v>34807.279906438685</v>
      </c>
      <c r="O230" s="94">
        <f t="shared" si="54"/>
        <v>0.94467727914410327</v>
      </c>
      <c r="P230" s="100">
        <f>'Bef.fremskr. kommunenivå MMMM'!H225</f>
        <v>6162</v>
      </c>
      <c r="Q230" s="100"/>
      <c r="R230" s="100">
        <f t="shared" si="57"/>
        <v>0</v>
      </c>
      <c r="S230" s="100">
        <v>0</v>
      </c>
      <c r="U230" s="100">
        <v>0</v>
      </c>
      <c r="V230" s="5">
        <f t="shared" si="58"/>
        <v>186175.45316591836</v>
      </c>
      <c r="W230" s="5">
        <f t="shared" si="59"/>
        <v>30213.478280739753</v>
      </c>
    </row>
    <row r="231" spans="1:23" ht="13">
      <c r="A231" s="92">
        <v>4214</v>
      </c>
      <c r="B231" s="93" t="s">
        <v>489</v>
      </c>
      <c r="C231" s="574">
        <v>0.73414803935054396</v>
      </c>
      <c r="D231" s="100">
        <f t="shared" si="45"/>
        <v>27050.1861986029</v>
      </c>
      <c r="E231" s="100">
        <f t="shared" si="46"/>
        <v>168360.35890010447</v>
      </c>
      <c r="F231" s="100">
        <f t="shared" si="55"/>
        <v>5879.1613504145025</v>
      </c>
      <c r="G231" s="100">
        <f t="shared" si="47"/>
        <v>36591.900244979865</v>
      </c>
      <c r="H231" s="100">
        <f t="shared" si="56"/>
        <v>2139.8031920165131</v>
      </c>
      <c r="I231" s="100">
        <f t="shared" si="48"/>
        <v>13318.135067110778</v>
      </c>
      <c r="J231" s="100">
        <f t="shared" si="49"/>
        <v>1719.7677533144392</v>
      </c>
      <c r="K231" s="100">
        <f t="shared" si="50"/>
        <v>10703.83449662907</v>
      </c>
      <c r="L231" s="101">
        <f t="shared" si="51"/>
        <v>47295.734741608932</v>
      </c>
      <c r="M231" s="100">
        <f t="shared" si="52"/>
        <v>215656.09364171341</v>
      </c>
      <c r="N231" s="102">
        <f t="shared" si="53"/>
        <v>34649.115302331847</v>
      </c>
      <c r="O231" s="94">
        <f t="shared" si="54"/>
        <v>0.94038465678848759</v>
      </c>
      <c r="P231" s="100">
        <f>'Bef.fremskr. kommunenivå MMMM'!H226</f>
        <v>6224</v>
      </c>
      <c r="Q231" s="100"/>
      <c r="R231" s="100">
        <f t="shared" si="57"/>
        <v>0</v>
      </c>
      <c r="S231" s="100">
        <v>0</v>
      </c>
      <c r="U231" s="100">
        <v>5682.7020000000002</v>
      </c>
      <c r="V231" s="5">
        <f t="shared" si="58"/>
        <v>162677.65690010448</v>
      </c>
      <c r="W231" s="5">
        <f t="shared" si="59"/>
        <v>26137.155671610621</v>
      </c>
    </row>
    <row r="232" spans="1:23" ht="13">
      <c r="A232" s="92">
        <v>4215</v>
      </c>
      <c r="B232" s="93" t="s">
        <v>490</v>
      </c>
      <c r="C232" s="574">
        <v>0.88447966280715529</v>
      </c>
      <c r="D232" s="100">
        <f t="shared" si="45"/>
        <v>32589.257595751871</v>
      </c>
      <c r="E232" s="100">
        <f t="shared" si="46"/>
        <v>371941.19694031606</v>
      </c>
      <c r="F232" s="100">
        <f t="shared" si="55"/>
        <v>2555.7185121251196</v>
      </c>
      <c r="G232" s="100">
        <f t="shared" si="47"/>
        <v>29168.41537888399</v>
      </c>
      <c r="H232" s="100">
        <f t="shared" si="56"/>
        <v>201.12820301437313</v>
      </c>
      <c r="I232" s="100">
        <f t="shared" si="48"/>
        <v>2295.4761810030404</v>
      </c>
      <c r="J232" s="100">
        <f t="shared" si="49"/>
        <v>-218.90723568770062</v>
      </c>
      <c r="K232" s="100">
        <f t="shared" si="50"/>
        <v>-2498.3882809037273</v>
      </c>
      <c r="L232" s="101">
        <f t="shared" si="51"/>
        <v>26670.027097980263</v>
      </c>
      <c r="M232" s="100">
        <f t="shared" si="52"/>
        <v>398611.22403829632</v>
      </c>
      <c r="N232" s="102">
        <f t="shared" si="53"/>
        <v>34926.068872189288</v>
      </c>
      <c r="O232" s="94">
        <f t="shared" si="54"/>
        <v>0.94790123796131787</v>
      </c>
      <c r="P232" s="100">
        <f>'Bef.fremskr. kommunenivå MMMM'!H227</f>
        <v>11413</v>
      </c>
      <c r="Q232" s="100"/>
      <c r="R232" s="100">
        <f t="shared" si="57"/>
        <v>0</v>
      </c>
      <c r="S232" s="100">
        <v>0</v>
      </c>
      <c r="U232" s="100">
        <v>0</v>
      </c>
      <c r="V232" s="5">
        <f t="shared" si="58"/>
        <v>371941.19694031606</v>
      </c>
      <c r="W232" s="5">
        <f t="shared" si="59"/>
        <v>32589.257595751867</v>
      </c>
    </row>
    <row r="233" spans="1:23" ht="13">
      <c r="A233" s="92">
        <v>4216</v>
      </c>
      <c r="B233" s="93" t="s">
        <v>491</v>
      </c>
      <c r="C233" s="574">
        <v>0.71296447952432385</v>
      </c>
      <c r="D233" s="100">
        <f t="shared" si="45"/>
        <v>26269.663460770058</v>
      </c>
      <c r="E233" s="100">
        <f t="shared" si="46"/>
        <v>141987.53100546217</v>
      </c>
      <c r="F233" s="100">
        <f t="shared" si="55"/>
        <v>6347.4749931142078</v>
      </c>
      <c r="G233" s="100">
        <f t="shared" si="47"/>
        <v>34308.102337782293</v>
      </c>
      <c r="H233" s="100">
        <f t="shared" si="56"/>
        <v>2412.9861502580075</v>
      </c>
      <c r="I233" s="100">
        <f t="shared" si="48"/>
        <v>13042.190142144531</v>
      </c>
      <c r="J233" s="100">
        <f t="shared" si="49"/>
        <v>1992.9507115559336</v>
      </c>
      <c r="K233" s="100">
        <f t="shared" si="50"/>
        <v>10771.898595959821</v>
      </c>
      <c r="L233" s="101">
        <f t="shared" si="51"/>
        <v>45080.000933742114</v>
      </c>
      <c r="M233" s="100">
        <f t="shared" si="52"/>
        <v>187067.53193920429</v>
      </c>
      <c r="N233" s="102">
        <f t="shared" si="53"/>
        <v>34610.0891654402</v>
      </c>
      <c r="O233" s="94">
        <f t="shared" si="54"/>
        <v>0.93932547879717643</v>
      </c>
      <c r="P233" s="100">
        <f>'Bef.fremskr. kommunenivå MMMM'!H228</f>
        <v>5405</v>
      </c>
      <c r="Q233" s="100"/>
      <c r="R233" s="100">
        <f t="shared" si="57"/>
        <v>0</v>
      </c>
      <c r="S233" s="100">
        <v>0</v>
      </c>
      <c r="U233" s="100">
        <v>857.38733333333346</v>
      </c>
      <c r="V233" s="5">
        <f t="shared" si="58"/>
        <v>141130.14367212882</v>
      </c>
      <c r="W233" s="5">
        <f t="shared" si="59"/>
        <v>26111.034906961853</v>
      </c>
    </row>
    <row r="234" spans="1:23" ht="13">
      <c r="A234" s="92">
        <v>4217</v>
      </c>
      <c r="B234" s="93" t="s">
        <v>492</v>
      </c>
      <c r="C234" s="574">
        <v>0.75993651049513777</v>
      </c>
      <c r="D234" s="100">
        <f t="shared" si="45"/>
        <v>28000.380040781747</v>
      </c>
      <c r="E234" s="100">
        <f t="shared" si="46"/>
        <v>50680.687873814961</v>
      </c>
      <c r="F234" s="100">
        <f t="shared" si="55"/>
        <v>5309.0450451071938</v>
      </c>
      <c r="G234" s="100">
        <f t="shared" si="47"/>
        <v>9609.3715316440193</v>
      </c>
      <c r="H234" s="100">
        <f t="shared" si="56"/>
        <v>1807.2353472539164</v>
      </c>
      <c r="I234" s="100">
        <f t="shared" si="48"/>
        <v>3271.0959785295886</v>
      </c>
      <c r="J234" s="100">
        <f t="shared" si="49"/>
        <v>1387.1999085518428</v>
      </c>
      <c r="K234" s="100">
        <f t="shared" si="50"/>
        <v>2510.8318344788354</v>
      </c>
      <c r="L234" s="101">
        <f t="shared" si="51"/>
        <v>12120.203366122854</v>
      </c>
      <c r="M234" s="100">
        <f t="shared" si="52"/>
        <v>62800.891239937817</v>
      </c>
      <c r="N234" s="102">
        <f t="shared" si="53"/>
        <v>34696.624994440783</v>
      </c>
      <c r="O234" s="94">
        <f t="shared" si="54"/>
        <v>0.94167408034571709</v>
      </c>
      <c r="P234" s="100">
        <f>'Bef.fremskr. kommunenivå MMMM'!H229</f>
        <v>1810</v>
      </c>
      <c r="Q234" s="100"/>
      <c r="R234" s="100">
        <f t="shared" si="57"/>
        <v>0</v>
      </c>
      <c r="S234" s="100">
        <v>0</v>
      </c>
      <c r="U234" s="100">
        <v>3296.355</v>
      </c>
      <c r="V234" s="5">
        <f t="shared" si="58"/>
        <v>47384.332873814958</v>
      </c>
      <c r="W234" s="5">
        <f t="shared" si="59"/>
        <v>26179.189433046937</v>
      </c>
    </row>
    <row r="235" spans="1:23" ht="13">
      <c r="A235" s="92">
        <v>4218</v>
      </c>
      <c r="B235" s="93" t="s">
        <v>493</v>
      </c>
      <c r="C235" s="574">
        <v>0.7385129487133455</v>
      </c>
      <c r="D235" s="100">
        <f t="shared" si="45"/>
        <v>27211.01426688768</v>
      </c>
      <c r="E235" s="100">
        <f t="shared" si="46"/>
        <v>36489.970131896378</v>
      </c>
      <c r="F235" s="100">
        <f t="shared" si="55"/>
        <v>5782.6645094436344</v>
      </c>
      <c r="G235" s="100">
        <f t="shared" si="47"/>
        <v>7754.5531071639134</v>
      </c>
      <c r="H235" s="100">
        <f t="shared" si="56"/>
        <v>2083.51336811684</v>
      </c>
      <c r="I235" s="100">
        <f t="shared" si="48"/>
        <v>2793.9914266446826</v>
      </c>
      <c r="J235" s="100">
        <f t="shared" si="49"/>
        <v>1663.4779294147661</v>
      </c>
      <c r="K235" s="100">
        <f t="shared" si="50"/>
        <v>2230.7239033452011</v>
      </c>
      <c r="L235" s="101">
        <f t="shared" si="51"/>
        <v>9985.2770105091149</v>
      </c>
      <c r="M235" s="100">
        <f t="shared" si="52"/>
        <v>46475.247142405489</v>
      </c>
      <c r="N235" s="102">
        <f t="shared" si="53"/>
        <v>34657.156705746078</v>
      </c>
      <c r="O235" s="94">
        <f t="shared" si="54"/>
        <v>0.94060290225662746</v>
      </c>
      <c r="P235" s="100">
        <f>'Bef.fremskr. kommunenivå MMMM'!H230</f>
        <v>1341</v>
      </c>
      <c r="Q235" s="100"/>
      <c r="R235" s="100">
        <f t="shared" si="57"/>
        <v>0</v>
      </c>
      <c r="S235" s="100">
        <v>0</v>
      </c>
      <c r="U235" s="100">
        <v>5034.6213333333335</v>
      </c>
      <c r="V235" s="5">
        <f t="shared" si="58"/>
        <v>31455.348798563045</v>
      </c>
      <c r="W235" s="5">
        <f t="shared" si="59"/>
        <v>23456.635942254321</v>
      </c>
    </row>
    <row r="236" spans="1:23" ht="13">
      <c r="A236" s="92">
        <v>4219</v>
      </c>
      <c r="B236" s="93" t="s">
        <v>1826</v>
      </c>
      <c r="C236" s="574">
        <v>0.7357178106714134</v>
      </c>
      <c r="D236" s="100">
        <f t="shared" si="45"/>
        <v>27108.025495642101</v>
      </c>
      <c r="E236" s="100">
        <f t="shared" si="46"/>
        <v>99784.641849458581</v>
      </c>
      <c r="F236" s="100">
        <f t="shared" si="55"/>
        <v>5844.4577721909818</v>
      </c>
      <c r="G236" s="100">
        <f t="shared" si="47"/>
        <v>21513.449059435003</v>
      </c>
      <c r="H236" s="100">
        <f t="shared" si="56"/>
        <v>2119.5594380527923</v>
      </c>
      <c r="I236" s="100">
        <f t="shared" si="48"/>
        <v>7802.098291472329</v>
      </c>
      <c r="J236" s="100">
        <f t="shared" si="49"/>
        <v>1699.5239993507184</v>
      </c>
      <c r="K236" s="100">
        <f t="shared" si="50"/>
        <v>6255.9478416099946</v>
      </c>
      <c r="L236" s="101">
        <f t="shared" si="51"/>
        <v>27769.396901044998</v>
      </c>
      <c r="M236" s="100">
        <f t="shared" si="52"/>
        <v>127554.03875050358</v>
      </c>
      <c r="N236" s="102">
        <f t="shared" si="53"/>
        <v>34652.007267183799</v>
      </c>
      <c r="O236" s="94">
        <f t="shared" si="54"/>
        <v>0.94046314535453079</v>
      </c>
      <c r="P236" s="100">
        <f>'Bef.fremskr. kommunenivå MMMM'!H231</f>
        <v>3681</v>
      </c>
      <c r="Q236" s="100"/>
      <c r="R236" s="100">
        <f t="shared" si="57"/>
        <v>0</v>
      </c>
      <c r="S236" s="100">
        <v>0</v>
      </c>
      <c r="U236" s="100">
        <v>1028.9216666666669</v>
      </c>
      <c r="V236" s="5">
        <f t="shared" si="58"/>
        <v>98755.72018279192</v>
      </c>
      <c r="W236" s="5">
        <f t="shared" si="59"/>
        <v>26828.503173809269</v>
      </c>
    </row>
    <row r="237" spans="1:23" ht="13">
      <c r="A237" s="92">
        <v>4220</v>
      </c>
      <c r="B237" s="93" t="s">
        <v>494</v>
      </c>
      <c r="C237" s="574">
        <v>0.82620385754765657</v>
      </c>
      <c r="D237" s="100">
        <f t="shared" si="45"/>
        <v>30442.045727505949</v>
      </c>
      <c r="E237" s="100">
        <f t="shared" si="46"/>
        <v>34886.584403721819</v>
      </c>
      <c r="F237" s="100">
        <f t="shared" si="55"/>
        <v>3844.0456330726729</v>
      </c>
      <c r="G237" s="100">
        <f t="shared" si="47"/>
        <v>4405.2762955012831</v>
      </c>
      <c r="H237" s="100">
        <f t="shared" si="56"/>
        <v>952.65235690044585</v>
      </c>
      <c r="I237" s="100">
        <f t="shared" si="48"/>
        <v>1091.739601007911</v>
      </c>
      <c r="J237" s="100">
        <f t="shared" si="49"/>
        <v>532.6169181983721</v>
      </c>
      <c r="K237" s="100">
        <f t="shared" si="50"/>
        <v>610.37898825533443</v>
      </c>
      <c r="L237" s="101">
        <f t="shared" si="51"/>
        <v>5015.6552837566178</v>
      </c>
      <c r="M237" s="100">
        <f t="shared" si="52"/>
        <v>39902.239687478432</v>
      </c>
      <c r="N237" s="102">
        <f t="shared" si="53"/>
        <v>34818.70827877699</v>
      </c>
      <c r="O237" s="94">
        <f t="shared" si="54"/>
        <v>0.94498744769834297</v>
      </c>
      <c r="P237" s="100">
        <f>'Bef.fremskr. kommunenivå MMMM'!H232</f>
        <v>1146</v>
      </c>
      <c r="Q237" s="100"/>
      <c r="R237" s="100">
        <f t="shared" si="57"/>
        <v>0</v>
      </c>
      <c r="S237" s="100">
        <v>0</v>
      </c>
      <c r="U237" s="100">
        <v>3713.4239999999995</v>
      </c>
      <c r="V237" s="5">
        <f t="shared" si="58"/>
        <v>31173.16040372182</v>
      </c>
      <c r="W237" s="5">
        <f t="shared" si="59"/>
        <v>27201.710648971919</v>
      </c>
    </row>
    <row r="238" spans="1:23" ht="13">
      <c r="A238" s="92">
        <v>4221</v>
      </c>
      <c r="B238" s="93" t="s">
        <v>495</v>
      </c>
      <c r="C238" s="574">
        <v>1.2397109427546789</v>
      </c>
      <c r="D238" s="100">
        <f t="shared" si="45"/>
        <v>45677.996856908387</v>
      </c>
      <c r="E238" s="100">
        <f t="shared" si="46"/>
        <v>53580.290313153535</v>
      </c>
      <c r="F238" s="100">
        <f t="shared" si="55"/>
        <v>-5297.5250445687898</v>
      </c>
      <c r="G238" s="100">
        <f t="shared" si="47"/>
        <v>-6213.9968772791899</v>
      </c>
      <c r="H238" s="100">
        <f t="shared" si="56"/>
        <v>0</v>
      </c>
      <c r="I238" s="100">
        <f t="shared" si="48"/>
        <v>0</v>
      </c>
      <c r="J238" s="100">
        <f t="shared" si="49"/>
        <v>-420.03543870207375</v>
      </c>
      <c r="K238" s="100">
        <f t="shared" si="50"/>
        <v>-492.70156959753251</v>
      </c>
      <c r="L238" s="101">
        <f t="shared" si="51"/>
        <v>-6706.6984468767223</v>
      </c>
      <c r="M238" s="100">
        <f t="shared" si="52"/>
        <v>46873.591866276809</v>
      </c>
      <c r="N238" s="102">
        <f t="shared" si="53"/>
        <v>39960.436373637516</v>
      </c>
      <c r="O238" s="94">
        <f t="shared" si="54"/>
        <v>1.0845350860029705</v>
      </c>
      <c r="P238" s="100">
        <f>'Bef.fremskr. kommunenivå MMMM'!H233</f>
        <v>1173</v>
      </c>
      <c r="Q238" s="100"/>
      <c r="R238" s="100">
        <f t="shared" si="57"/>
        <v>0</v>
      </c>
      <c r="S238" s="100">
        <v>0</v>
      </c>
      <c r="U238" s="100">
        <v>14915.602333333334</v>
      </c>
      <c r="V238" s="5">
        <f t="shared" si="58"/>
        <v>38664.687979820199</v>
      </c>
      <c r="W238" s="5">
        <f t="shared" si="59"/>
        <v>32962.223341705198</v>
      </c>
    </row>
    <row r="239" spans="1:23" ht="13">
      <c r="A239" s="92">
        <v>4222</v>
      </c>
      <c r="B239" s="93" t="s">
        <v>496</v>
      </c>
      <c r="C239" s="574">
        <v>2.4358140809120918</v>
      </c>
      <c r="D239" s="100">
        <f t="shared" si="45"/>
        <v>89749.23435352229</v>
      </c>
      <c r="E239" s="100">
        <f t="shared" si="46"/>
        <v>87415.754260330708</v>
      </c>
      <c r="F239" s="100">
        <f t="shared" si="55"/>
        <v>-31740.267542537131</v>
      </c>
      <c r="G239" s="100">
        <f t="shared" si="47"/>
        <v>-30915.020586431165</v>
      </c>
      <c r="H239" s="100">
        <f t="shared" si="56"/>
        <v>0</v>
      </c>
      <c r="I239" s="100">
        <f t="shared" si="48"/>
        <v>0</v>
      </c>
      <c r="J239" s="100">
        <f t="shared" si="49"/>
        <v>-420.03543870207375</v>
      </c>
      <c r="K239" s="100">
        <f t="shared" si="50"/>
        <v>-409.11451729581984</v>
      </c>
      <c r="L239" s="101">
        <f t="shared" si="51"/>
        <v>-31324.135103726985</v>
      </c>
      <c r="M239" s="100">
        <f t="shared" si="52"/>
        <v>56091.619156603723</v>
      </c>
      <c r="N239" s="102">
        <f t="shared" si="53"/>
        <v>57588.931372283085</v>
      </c>
      <c r="O239" s="94">
        <f t="shared" si="54"/>
        <v>1.5629763412659361</v>
      </c>
      <c r="P239" s="100">
        <f>'Bef.fremskr. kommunenivå MMMM'!H234</f>
        <v>974</v>
      </c>
      <c r="Q239" s="100"/>
      <c r="R239" s="100">
        <f t="shared" si="57"/>
        <v>0</v>
      </c>
      <c r="S239" s="100">
        <v>0</v>
      </c>
      <c r="U239" s="100">
        <v>39510.196333333333</v>
      </c>
      <c r="V239" s="5">
        <f t="shared" si="58"/>
        <v>47905.557926997375</v>
      </c>
      <c r="W239" s="5">
        <f t="shared" si="59"/>
        <v>49184.351054412095</v>
      </c>
    </row>
    <row r="240" spans="1:23" ht="13">
      <c r="A240" s="92">
        <v>4223</v>
      </c>
      <c r="B240" s="93" t="s">
        <v>503</v>
      </c>
      <c r="C240" s="574">
        <v>0.71626256022323131</v>
      </c>
      <c r="D240" s="100">
        <f t="shared" si="45"/>
        <v>26391.183497903698</v>
      </c>
      <c r="E240" s="100">
        <f t="shared" si="46"/>
        <v>402518.33071002719</v>
      </c>
      <c r="F240" s="100">
        <f t="shared" si="55"/>
        <v>6274.5629708340239</v>
      </c>
      <c r="G240" s="100">
        <f t="shared" si="47"/>
        <v>95699.634431160535</v>
      </c>
      <c r="H240" s="100">
        <f t="shared" si="56"/>
        <v>2370.4541372612339</v>
      </c>
      <c r="I240" s="100">
        <f t="shared" si="48"/>
        <v>36154.166501508342</v>
      </c>
      <c r="J240" s="100">
        <f t="shared" si="49"/>
        <v>1950.41869855916</v>
      </c>
      <c r="K240" s="100">
        <f t="shared" si="50"/>
        <v>29747.785990424309</v>
      </c>
      <c r="L240" s="101">
        <f t="shared" si="51"/>
        <v>125447.42042158484</v>
      </c>
      <c r="M240" s="100">
        <f t="shared" si="52"/>
        <v>527965.75113161199</v>
      </c>
      <c r="N240" s="102">
        <f t="shared" si="53"/>
        <v>34616.16516729688</v>
      </c>
      <c r="O240" s="94">
        <f t="shared" si="54"/>
        <v>0.93949038283212172</v>
      </c>
      <c r="P240" s="100">
        <f>'Bef.fremskr. kommunenivå MMMM'!H235</f>
        <v>15252</v>
      </c>
      <c r="Q240" s="100"/>
      <c r="R240" s="100">
        <f t="shared" si="57"/>
        <v>0</v>
      </c>
      <c r="S240" s="100">
        <v>0</v>
      </c>
      <c r="U240" s="100">
        <v>8963.2936666666665</v>
      </c>
      <c r="V240" s="5">
        <f t="shared" si="58"/>
        <v>393555.03704336053</v>
      </c>
      <c r="W240" s="5">
        <f t="shared" si="59"/>
        <v>25803.503608927389</v>
      </c>
    </row>
    <row r="241" spans="1:23" ht="13">
      <c r="A241" s="92">
        <v>4224</v>
      </c>
      <c r="B241" s="93" t="s">
        <v>504</v>
      </c>
      <c r="C241" s="574">
        <v>1.3096753231214031</v>
      </c>
      <c r="D241" s="100">
        <f t="shared" si="45"/>
        <v>48255.88226250586</v>
      </c>
      <c r="E241" s="100">
        <f t="shared" si="46"/>
        <v>43333.782271730262</v>
      </c>
      <c r="F241" s="100">
        <f t="shared" si="55"/>
        <v>-6844.2562879272737</v>
      </c>
      <c r="G241" s="100">
        <f t="shared" si="47"/>
        <v>-6146.1421465586918</v>
      </c>
      <c r="H241" s="100">
        <f t="shared" si="56"/>
        <v>0</v>
      </c>
      <c r="I241" s="100">
        <f t="shared" si="48"/>
        <v>0</v>
      </c>
      <c r="J241" s="100">
        <f t="shared" si="49"/>
        <v>-420.03543870207375</v>
      </c>
      <c r="K241" s="100">
        <f t="shared" si="50"/>
        <v>-377.19182395446222</v>
      </c>
      <c r="L241" s="101">
        <f t="shared" si="51"/>
        <v>-6523.3339705131539</v>
      </c>
      <c r="M241" s="100">
        <f t="shared" si="52"/>
        <v>36810.448301217111</v>
      </c>
      <c r="N241" s="102">
        <f t="shared" si="53"/>
        <v>40991.590535876516</v>
      </c>
      <c r="O241" s="94">
        <f t="shared" si="54"/>
        <v>1.1125208381496605</v>
      </c>
      <c r="P241" s="100">
        <f>'Bef.fremskr. kommunenivå MMMM'!H236</f>
        <v>898</v>
      </c>
      <c r="Q241" s="100"/>
      <c r="R241" s="100">
        <f t="shared" si="57"/>
        <v>0</v>
      </c>
      <c r="S241" s="100">
        <v>0</v>
      </c>
      <c r="U241" s="100">
        <v>15028.686000000002</v>
      </c>
      <c r="V241" s="5">
        <f t="shared" si="58"/>
        <v>28305.096271730261</v>
      </c>
      <c r="W241" s="5">
        <f t="shared" si="59"/>
        <v>31520.151750256413</v>
      </c>
    </row>
    <row r="242" spans="1:23" ht="13">
      <c r="A242" s="92">
        <v>4225</v>
      </c>
      <c r="B242" s="93" t="s">
        <v>506</v>
      </c>
      <c r="C242" s="574">
        <v>0.73415916760022548</v>
      </c>
      <c r="D242" s="100">
        <f t="shared" si="45"/>
        <v>27050.596226567035</v>
      </c>
      <c r="E242" s="100">
        <f t="shared" si="46"/>
        <v>283733.70382046164</v>
      </c>
      <c r="F242" s="100">
        <f t="shared" si="55"/>
        <v>5878.9153336360214</v>
      </c>
      <c r="G242" s="100">
        <f t="shared" si="47"/>
        <v>61663.942934508224</v>
      </c>
      <c r="H242" s="100">
        <f t="shared" si="56"/>
        <v>2139.6596822290658</v>
      </c>
      <c r="I242" s="100">
        <f t="shared" si="48"/>
        <v>22442.890406900671</v>
      </c>
      <c r="J242" s="100">
        <f t="shared" si="49"/>
        <v>1719.6242435269919</v>
      </c>
      <c r="K242" s="100">
        <f t="shared" si="50"/>
        <v>18037.138690354619</v>
      </c>
      <c r="L242" s="101">
        <f t="shared" si="51"/>
        <v>79701.08162486284</v>
      </c>
      <c r="M242" s="100">
        <f t="shared" si="52"/>
        <v>363434.78544532444</v>
      </c>
      <c r="N242" s="102">
        <f t="shared" si="53"/>
        <v>34649.135803730045</v>
      </c>
      <c r="O242" s="94">
        <f t="shared" si="54"/>
        <v>0.94038521320097146</v>
      </c>
      <c r="P242" s="100">
        <f>'Bef.fremskr. kommunenivå MMMM'!H237</f>
        <v>10489</v>
      </c>
      <c r="Q242" s="100"/>
      <c r="R242" s="100">
        <f t="shared" si="57"/>
        <v>0</v>
      </c>
      <c r="S242" s="100">
        <v>0</v>
      </c>
      <c r="U242" s="100">
        <v>520.65933333333339</v>
      </c>
      <c r="V242" s="5">
        <f t="shared" si="58"/>
        <v>283213.04448712833</v>
      </c>
      <c r="W242" s="5">
        <f t="shared" si="59"/>
        <v>27000.957621043792</v>
      </c>
    </row>
    <row r="243" spans="1:23" ht="13">
      <c r="A243" s="92">
        <v>4226</v>
      </c>
      <c r="B243" s="93" t="s">
        <v>507</v>
      </c>
      <c r="C243" s="574">
        <v>0.76708001563454364</v>
      </c>
      <c r="D243" s="100">
        <f t="shared" si="45"/>
        <v>28263.587369241748</v>
      </c>
      <c r="E243" s="100">
        <f t="shared" si="46"/>
        <v>47680.671891910832</v>
      </c>
      <c r="F243" s="100">
        <f t="shared" si="55"/>
        <v>5151.120648031193</v>
      </c>
      <c r="G243" s="100">
        <f t="shared" si="47"/>
        <v>8689.9405332286224</v>
      </c>
      <c r="H243" s="100">
        <f t="shared" si="56"/>
        <v>1715.1127822929161</v>
      </c>
      <c r="I243" s="100">
        <f t="shared" si="48"/>
        <v>2893.3952637281495</v>
      </c>
      <c r="J243" s="100">
        <f t="shared" si="49"/>
        <v>1295.0773435908422</v>
      </c>
      <c r="K243" s="100">
        <f t="shared" si="50"/>
        <v>2184.7954786377509</v>
      </c>
      <c r="L243" s="101">
        <f t="shared" si="51"/>
        <v>10874.736011866373</v>
      </c>
      <c r="M243" s="100">
        <f t="shared" si="52"/>
        <v>58555.407903777203</v>
      </c>
      <c r="N243" s="102">
        <f t="shared" si="53"/>
        <v>34709.785360863782</v>
      </c>
      <c r="O243" s="94">
        <f t="shared" si="54"/>
        <v>0.9420312556026873</v>
      </c>
      <c r="P243" s="100">
        <f>'Bef.fremskr. kommunenivå MMMM'!H238</f>
        <v>1687</v>
      </c>
      <c r="Q243" s="100"/>
      <c r="R243" s="100">
        <f t="shared" si="57"/>
        <v>0</v>
      </c>
      <c r="S243" s="100">
        <v>0</v>
      </c>
      <c r="U243" s="100">
        <v>0</v>
      </c>
      <c r="V243" s="5">
        <f t="shared" si="58"/>
        <v>47680.671891910832</v>
      </c>
      <c r="W243" s="5">
        <f t="shared" si="59"/>
        <v>28263.587369241748</v>
      </c>
    </row>
    <row r="244" spans="1:23" ht="13">
      <c r="A244" s="92">
        <v>4227</v>
      </c>
      <c r="B244" s="93" t="s">
        <v>508</v>
      </c>
      <c r="C244" s="574">
        <v>0.90087525205983654</v>
      </c>
      <c r="D244" s="100">
        <f t="shared" si="45"/>
        <v>33193.36428588644</v>
      </c>
      <c r="E244" s="100">
        <f t="shared" si="46"/>
        <v>193948.82752243447</v>
      </c>
      <c r="F244" s="100">
        <f t="shared" si="55"/>
        <v>2193.2544980443781</v>
      </c>
      <c r="G244" s="100">
        <f t="shared" si="47"/>
        <v>12815.186032073303</v>
      </c>
      <c r="H244" s="100">
        <f t="shared" si="56"/>
        <v>0</v>
      </c>
      <c r="I244" s="100">
        <f t="shared" si="48"/>
        <v>0</v>
      </c>
      <c r="J244" s="100">
        <f t="shared" si="49"/>
        <v>-420.03543870207375</v>
      </c>
      <c r="K244" s="100">
        <f t="shared" si="50"/>
        <v>-2454.2670683362167</v>
      </c>
      <c r="L244" s="101">
        <f t="shared" si="51"/>
        <v>10360.918963737087</v>
      </c>
      <c r="M244" s="100">
        <f t="shared" si="52"/>
        <v>204309.74648617156</v>
      </c>
      <c r="N244" s="102">
        <f t="shared" si="53"/>
        <v>34966.583345228741</v>
      </c>
      <c r="O244" s="94">
        <f t="shared" si="54"/>
        <v>0.94900080972503364</v>
      </c>
      <c r="P244" s="100">
        <f>'Bef.fremskr. kommunenivå MMMM'!H239</f>
        <v>5843</v>
      </c>
      <c r="Q244" s="100"/>
      <c r="R244" s="100">
        <f t="shared" si="57"/>
        <v>0</v>
      </c>
      <c r="S244" s="100">
        <v>0</v>
      </c>
      <c r="U244" s="100">
        <v>25320.048666666669</v>
      </c>
      <c r="V244" s="5">
        <f t="shared" si="58"/>
        <v>168628.7788557678</v>
      </c>
      <c r="W244" s="5">
        <f t="shared" si="59"/>
        <v>28859.965575178467</v>
      </c>
    </row>
    <row r="245" spans="1:23" ht="13">
      <c r="A245" s="92">
        <v>4228</v>
      </c>
      <c r="B245" s="93" t="s">
        <v>509</v>
      </c>
      <c r="C245" s="574">
        <v>1.8571405893309239</v>
      </c>
      <c r="D245" s="100">
        <f t="shared" si="45"/>
        <v>68427.614112850235</v>
      </c>
      <c r="E245" s="100">
        <f t="shared" si="46"/>
        <v>124743.54052772599</v>
      </c>
      <c r="F245" s="100">
        <f t="shared" si="55"/>
        <v>-18947.295398133898</v>
      </c>
      <c r="G245" s="100">
        <f t="shared" si="47"/>
        <v>-34540.9195107981</v>
      </c>
      <c r="H245" s="100">
        <f t="shared" si="56"/>
        <v>0</v>
      </c>
      <c r="I245" s="100">
        <f t="shared" si="48"/>
        <v>0</v>
      </c>
      <c r="J245" s="100">
        <f t="shared" si="49"/>
        <v>-420.03543870207375</v>
      </c>
      <c r="K245" s="100">
        <f t="shared" si="50"/>
        <v>-765.72460475388039</v>
      </c>
      <c r="L245" s="101">
        <f t="shared" si="51"/>
        <v>-35306.644115551979</v>
      </c>
      <c r="M245" s="100">
        <f t="shared" si="52"/>
        <v>89436.896412174014</v>
      </c>
      <c r="N245" s="102">
        <f t="shared" si="53"/>
        <v>49060.28327601427</v>
      </c>
      <c r="O245" s="94">
        <f t="shared" si="54"/>
        <v>1.3315069446334691</v>
      </c>
      <c r="P245" s="100">
        <f>'Bef.fremskr. kommunenivå MMMM'!H240</f>
        <v>1823</v>
      </c>
      <c r="Q245" s="100"/>
      <c r="R245" s="100">
        <f t="shared" si="57"/>
        <v>0</v>
      </c>
      <c r="S245" s="100">
        <v>0</v>
      </c>
      <c r="U245" s="100">
        <v>39783.35766666667</v>
      </c>
      <c r="V245" s="5">
        <f t="shared" si="58"/>
        <v>84960.182861059322</v>
      </c>
      <c r="W245" s="5">
        <f t="shared" si="59"/>
        <v>46604.598387854814</v>
      </c>
    </row>
    <row r="246" spans="1:23" ht="13">
      <c r="A246" s="92">
        <v>4601</v>
      </c>
      <c r="B246" s="93" t="s">
        <v>532</v>
      </c>
      <c r="C246" s="574">
        <v>1.0513953564298979</v>
      </c>
      <c r="D246" s="100">
        <f t="shared" si="45"/>
        <v>38739.380391092134</v>
      </c>
      <c r="E246" s="100">
        <f t="shared" si="46"/>
        <v>11235659.973589234</v>
      </c>
      <c r="F246" s="100">
        <f t="shared" si="55"/>
        <v>-1134.355165079038</v>
      </c>
      <c r="G246" s="100">
        <f t="shared" si="47"/>
        <v>-328999.29723820352</v>
      </c>
      <c r="H246" s="100">
        <f t="shared" si="56"/>
        <v>0</v>
      </c>
      <c r="I246" s="100">
        <f t="shared" si="48"/>
        <v>0</v>
      </c>
      <c r="J246" s="100">
        <f t="shared" si="49"/>
        <v>-420.03543870207375</v>
      </c>
      <c r="K246" s="100">
        <f t="shared" si="50"/>
        <v>-121823.71835763985</v>
      </c>
      <c r="L246" s="101">
        <f t="shared" si="51"/>
        <v>-450823.01559584338</v>
      </c>
      <c r="M246" s="100">
        <f t="shared" si="52"/>
        <v>10784836.957993392</v>
      </c>
      <c r="N246" s="102">
        <f t="shared" si="53"/>
        <v>37184.989787311024</v>
      </c>
      <c r="O246" s="94">
        <f t="shared" si="54"/>
        <v>1.0092088514730584</v>
      </c>
      <c r="P246" s="100">
        <f>'Bef.fremskr. kommunenivå MMMM'!H241</f>
        <v>290032</v>
      </c>
      <c r="Q246" s="100"/>
      <c r="R246" s="100">
        <f t="shared" si="57"/>
        <v>0</v>
      </c>
      <c r="S246" s="100">
        <v>0</v>
      </c>
      <c r="U246" s="100">
        <v>0</v>
      </c>
      <c r="V246" s="5">
        <f t="shared" si="58"/>
        <v>11235659.973589234</v>
      </c>
      <c r="W246" s="5">
        <f t="shared" si="59"/>
        <v>38739.380391092134</v>
      </c>
    </row>
    <row r="247" spans="1:23" ht="13">
      <c r="A247" s="92">
        <v>4602</v>
      </c>
      <c r="B247" s="93" t="s">
        <v>1827</v>
      </c>
      <c r="C247" s="574">
        <v>1.0047762309015709</v>
      </c>
      <c r="D247" s="100">
        <f t="shared" si="45"/>
        <v>37021.666853270981</v>
      </c>
      <c r="E247" s="100">
        <f t="shared" si="46"/>
        <v>632996.45985722716</v>
      </c>
      <c r="F247" s="100">
        <f t="shared" si="55"/>
        <v>-103.72704238634614</v>
      </c>
      <c r="G247" s="100">
        <f t="shared" si="47"/>
        <v>-1773.5249707217463</v>
      </c>
      <c r="H247" s="100">
        <f t="shared" si="56"/>
        <v>0</v>
      </c>
      <c r="I247" s="100">
        <f t="shared" si="48"/>
        <v>0</v>
      </c>
      <c r="J247" s="100">
        <f t="shared" si="49"/>
        <v>-420.03543870207375</v>
      </c>
      <c r="K247" s="100">
        <f t="shared" si="50"/>
        <v>-7181.7659309280571</v>
      </c>
      <c r="L247" s="101">
        <f t="shared" si="51"/>
        <v>-8955.2909016498033</v>
      </c>
      <c r="M247" s="100">
        <f t="shared" si="52"/>
        <v>624041.1689555773</v>
      </c>
      <c r="N247" s="102">
        <f t="shared" si="53"/>
        <v>36497.904372182551</v>
      </c>
      <c r="O247" s="94">
        <f t="shared" si="54"/>
        <v>0.9905612012617272</v>
      </c>
      <c r="P247" s="100">
        <f>'Bef.fremskr. kommunenivå MMMM'!H242</f>
        <v>17098</v>
      </c>
      <c r="Q247" s="100"/>
      <c r="R247" s="100">
        <f t="shared" si="57"/>
        <v>0</v>
      </c>
      <c r="S247" s="100">
        <v>0</v>
      </c>
      <c r="U247" s="100">
        <v>778.17533333333324</v>
      </c>
      <c r="V247" s="5">
        <f t="shared" si="58"/>
        <v>632218.28452389385</v>
      </c>
      <c r="W247" s="5">
        <f t="shared" si="59"/>
        <v>36976.154200719022</v>
      </c>
    </row>
    <row r="248" spans="1:23" ht="13">
      <c r="A248" s="92">
        <v>4611</v>
      </c>
      <c r="B248" s="93" t="s">
        <v>533</v>
      </c>
      <c r="C248" s="574">
        <v>0.89273424407576563</v>
      </c>
      <c r="D248" s="100">
        <f t="shared" si="45"/>
        <v>32893.403283459404</v>
      </c>
      <c r="E248" s="100">
        <f t="shared" si="46"/>
        <v>132593.30863562485</v>
      </c>
      <c r="F248" s="100">
        <f t="shared" si="55"/>
        <v>2373.2310995006001</v>
      </c>
      <c r="G248" s="100">
        <f t="shared" si="47"/>
        <v>9566.4945620869184</v>
      </c>
      <c r="H248" s="100">
        <f t="shared" si="56"/>
        <v>94.677212316736757</v>
      </c>
      <c r="I248" s="100">
        <f t="shared" si="48"/>
        <v>381.64384284876581</v>
      </c>
      <c r="J248" s="100">
        <f t="shared" si="49"/>
        <v>-325.35822638533699</v>
      </c>
      <c r="K248" s="100">
        <f t="shared" si="50"/>
        <v>-1311.5190105592935</v>
      </c>
      <c r="L248" s="101">
        <f t="shared" si="51"/>
        <v>8254.9755515276247</v>
      </c>
      <c r="M248" s="100">
        <f t="shared" si="52"/>
        <v>140848.28418715246</v>
      </c>
      <c r="N248" s="102">
        <f t="shared" si="53"/>
        <v>34941.276156574655</v>
      </c>
      <c r="O248" s="94">
        <f t="shared" si="54"/>
        <v>0.94831396702474824</v>
      </c>
      <c r="P248" s="100">
        <f>'Bef.fremskr. kommunenivå MMMM'!H243</f>
        <v>4031</v>
      </c>
      <c r="Q248" s="100"/>
      <c r="R248" s="100">
        <f t="shared" si="57"/>
        <v>0</v>
      </c>
      <c r="S248" s="100">
        <v>0</v>
      </c>
      <c r="U248" s="100">
        <v>3171.2903333333338</v>
      </c>
      <c r="V248" s="5">
        <f t="shared" si="58"/>
        <v>129422.01830229152</v>
      </c>
      <c r="W248" s="5">
        <f t="shared" si="59"/>
        <v>32106.677822448899</v>
      </c>
    </row>
    <row r="249" spans="1:23" ht="13">
      <c r="A249" s="92">
        <v>4612</v>
      </c>
      <c r="B249" s="93" t="s">
        <v>534</v>
      </c>
      <c r="C249" s="574">
        <v>0.84310478052095683</v>
      </c>
      <c r="D249" s="100">
        <f t="shared" si="45"/>
        <v>31064.771783902492</v>
      </c>
      <c r="E249" s="100">
        <f t="shared" si="46"/>
        <v>180051.41725949885</v>
      </c>
      <c r="F249" s="100">
        <f t="shared" si="55"/>
        <v>3470.4099992347474</v>
      </c>
      <c r="G249" s="100">
        <f t="shared" si="47"/>
        <v>20114.496355564595</v>
      </c>
      <c r="H249" s="100">
        <f t="shared" si="56"/>
        <v>734.69823716165592</v>
      </c>
      <c r="I249" s="100">
        <f t="shared" si="48"/>
        <v>4258.3109825889578</v>
      </c>
      <c r="J249" s="100">
        <f t="shared" si="49"/>
        <v>314.66279845958218</v>
      </c>
      <c r="K249" s="100">
        <f t="shared" si="50"/>
        <v>1823.7855798717383</v>
      </c>
      <c r="L249" s="101">
        <f t="shared" si="51"/>
        <v>21938.281935436335</v>
      </c>
      <c r="M249" s="100">
        <f t="shared" si="52"/>
        <v>201989.69919493518</v>
      </c>
      <c r="N249" s="102">
        <f t="shared" si="53"/>
        <v>34849.844581596823</v>
      </c>
      <c r="O249" s="94">
        <f t="shared" si="54"/>
        <v>0.94583249384700807</v>
      </c>
      <c r="P249" s="100">
        <f>'Bef.fremskr. kommunenivå MMMM'!H244</f>
        <v>5796</v>
      </c>
      <c r="Q249" s="100"/>
      <c r="R249" s="100">
        <f t="shared" si="57"/>
        <v>0</v>
      </c>
      <c r="S249" s="100">
        <v>0</v>
      </c>
      <c r="U249" s="100">
        <v>0</v>
      </c>
      <c r="V249" s="5">
        <f t="shared" si="58"/>
        <v>180051.41725949885</v>
      </c>
      <c r="W249" s="5">
        <f t="shared" si="59"/>
        <v>31064.771783902492</v>
      </c>
    </row>
    <row r="250" spans="1:23" ht="13">
      <c r="A250" s="92">
        <v>4613</v>
      </c>
      <c r="B250" s="93" t="s">
        <v>535</v>
      </c>
      <c r="C250" s="574">
        <v>0.90476258651673336</v>
      </c>
      <c r="D250" s="100">
        <f t="shared" si="45"/>
        <v>33336.595780406707</v>
      </c>
      <c r="E250" s="100">
        <f t="shared" si="46"/>
        <v>402839.42341043468</v>
      </c>
      <c r="F250" s="100">
        <f t="shared" si="55"/>
        <v>2107.3156013322177</v>
      </c>
      <c r="G250" s="100">
        <f t="shared" si="47"/>
        <v>25464.801726498517</v>
      </c>
      <c r="H250" s="100">
        <f t="shared" si="56"/>
        <v>0</v>
      </c>
      <c r="I250" s="100">
        <f t="shared" si="48"/>
        <v>0</v>
      </c>
      <c r="J250" s="100">
        <f t="shared" si="49"/>
        <v>-420.03543870207375</v>
      </c>
      <c r="K250" s="100">
        <f t="shared" si="50"/>
        <v>-5075.7082412758591</v>
      </c>
      <c r="L250" s="101">
        <f t="shared" si="51"/>
        <v>20389.093485222656</v>
      </c>
      <c r="M250" s="100">
        <f t="shared" si="52"/>
        <v>423228.51689565735</v>
      </c>
      <c r="N250" s="102">
        <f t="shared" si="53"/>
        <v>35023.875943036852</v>
      </c>
      <c r="O250" s="94">
        <f t="shared" si="54"/>
        <v>0.95055574350779237</v>
      </c>
      <c r="P250" s="100">
        <f>'Bef.fremskr. kommunenivå MMMM'!H245</f>
        <v>12084</v>
      </c>
      <c r="Q250" s="100"/>
      <c r="R250" s="100">
        <f t="shared" si="57"/>
        <v>0</v>
      </c>
      <c r="S250" s="100">
        <v>0</v>
      </c>
      <c r="U250" s="100">
        <v>0</v>
      </c>
      <c r="V250" s="5">
        <f t="shared" si="58"/>
        <v>402839.42341043468</v>
      </c>
      <c r="W250" s="5">
        <f t="shared" si="59"/>
        <v>33336.595780406707</v>
      </c>
    </row>
    <row r="251" spans="1:23" ht="13">
      <c r="A251" s="92">
        <v>4614</v>
      </c>
      <c r="B251" s="93" t="s">
        <v>536</v>
      </c>
      <c r="C251" s="574">
        <v>0.90928814433289651</v>
      </c>
      <c r="D251" s="100">
        <f t="shared" si="45"/>
        <v>33503.343050736614</v>
      </c>
      <c r="E251" s="100">
        <f t="shared" si="46"/>
        <v>635893.45110298099</v>
      </c>
      <c r="F251" s="100">
        <f t="shared" si="55"/>
        <v>2007.267239134274</v>
      </c>
      <c r="G251" s="100">
        <f t="shared" si="47"/>
        <v>38097.932198768518</v>
      </c>
      <c r="H251" s="100">
        <f t="shared" si="56"/>
        <v>0</v>
      </c>
      <c r="I251" s="100">
        <f t="shared" si="48"/>
        <v>0</v>
      </c>
      <c r="J251" s="100">
        <f t="shared" si="49"/>
        <v>-420.03543870207375</v>
      </c>
      <c r="K251" s="100">
        <f t="shared" si="50"/>
        <v>-7972.2726265653591</v>
      </c>
      <c r="L251" s="101">
        <f t="shared" si="51"/>
        <v>30125.65957220316</v>
      </c>
      <c r="M251" s="100">
        <f t="shared" si="52"/>
        <v>666019.11067518417</v>
      </c>
      <c r="N251" s="102">
        <f t="shared" si="53"/>
        <v>35090.574851168814</v>
      </c>
      <c r="O251" s="94">
        <f t="shared" si="54"/>
        <v>0.95236596663425765</v>
      </c>
      <c r="P251" s="100">
        <f>'Bef.fremskr. kommunenivå MMMM'!H246</f>
        <v>18980</v>
      </c>
      <c r="Q251" s="100"/>
      <c r="R251" s="100">
        <f t="shared" si="57"/>
        <v>0</v>
      </c>
      <c r="S251" s="100">
        <v>0</v>
      </c>
      <c r="U251" s="100">
        <v>0</v>
      </c>
      <c r="V251" s="5">
        <f t="shared" si="58"/>
        <v>635893.45110298099</v>
      </c>
      <c r="W251" s="5">
        <f t="shared" si="59"/>
        <v>33503.343050736614</v>
      </c>
    </row>
    <row r="252" spans="1:23" ht="13">
      <c r="A252" s="92">
        <v>4615</v>
      </c>
      <c r="B252" s="93" t="s">
        <v>537</v>
      </c>
      <c r="C252" s="574">
        <v>0.94334487049745008</v>
      </c>
      <c r="D252" s="100">
        <f t="shared" si="45"/>
        <v>34758.186399335587</v>
      </c>
      <c r="E252" s="100">
        <f t="shared" si="46"/>
        <v>107993.68514273567</v>
      </c>
      <c r="F252" s="100">
        <f t="shared" si="55"/>
        <v>1254.36122997489</v>
      </c>
      <c r="G252" s="100">
        <f t="shared" si="47"/>
        <v>3897.3003415319831</v>
      </c>
      <c r="H252" s="100">
        <f t="shared" si="56"/>
        <v>0</v>
      </c>
      <c r="I252" s="100">
        <f t="shared" si="48"/>
        <v>0</v>
      </c>
      <c r="J252" s="100">
        <f t="shared" si="49"/>
        <v>-420.03543870207375</v>
      </c>
      <c r="K252" s="100">
        <f t="shared" si="50"/>
        <v>-1305.0501080473432</v>
      </c>
      <c r="L252" s="101">
        <f t="shared" si="51"/>
        <v>2592.2502334846399</v>
      </c>
      <c r="M252" s="100">
        <f t="shared" si="52"/>
        <v>110585.93537622031</v>
      </c>
      <c r="N252" s="102">
        <f t="shared" si="53"/>
        <v>35592.512190608402</v>
      </c>
      <c r="O252" s="94">
        <f t="shared" si="54"/>
        <v>0.96598865710007908</v>
      </c>
      <c r="P252" s="100">
        <f>'Bef.fremskr. kommunenivå MMMM'!H247</f>
        <v>3107</v>
      </c>
      <c r="Q252" s="100"/>
      <c r="R252" s="100">
        <f t="shared" si="57"/>
        <v>0</v>
      </c>
      <c r="S252" s="100">
        <v>0</v>
      </c>
      <c r="U252" s="100">
        <v>0</v>
      </c>
      <c r="V252" s="5">
        <f t="shared" si="58"/>
        <v>107993.68514273567</v>
      </c>
      <c r="W252" s="5">
        <f t="shared" si="59"/>
        <v>34758.186399335587</v>
      </c>
    </row>
    <row r="253" spans="1:23" ht="13">
      <c r="A253" s="92">
        <v>4616</v>
      </c>
      <c r="B253" s="93" t="s">
        <v>538</v>
      </c>
      <c r="C253" s="574">
        <v>1.1833275077146992</v>
      </c>
      <c r="D253" s="100">
        <f t="shared" si="45"/>
        <v>43600.510662574183</v>
      </c>
      <c r="E253" s="100">
        <f t="shared" si="46"/>
        <v>124566.65896297444</v>
      </c>
      <c r="F253" s="100">
        <f t="shared" si="55"/>
        <v>-4051.0333279682673</v>
      </c>
      <c r="G253" s="100">
        <f t="shared" si="47"/>
        <v>-11573.802218005339</v>
      </c>
      <c r="H253" s="100">
        <f t="shared" si="56"/>
        <v>0</v>
      </c>
      <c r="I253" s="100">
        <f t="shared" si="48"/>
        <v>0</v>
      </c>
      <c r="J253" s="100">
        <f t="shared" si="49"/>
        <v>-420.03543870207375</v>
      </c>
      <c r="K253" s="100">
        <f t="shared" si="50"/>
        <v>-1200.0412483718246</v>
      </c>
      <c r="L253" s="101">
        <f t="shared" si="51"/>
        <v>-12773.843466377164</v>
      </c>
      <c r="M253" s="100">
        <f t="shared" si="52"/>
        <v>111792.81549659728</v>
      </c>
      <c r="N253" s="102">
        <f t="shared" si="53"/>
        <v>39129.441895903845</v>
      </c>
      <c r="O253" s="94">
        <f t="shared" si="54"/>
        <v>1.061981711986979</v>
      </c>
      <c r="P253" s="100">
        <f>'Bef.fremskr. kommunenivå MMMM'!H248</f>
        <v>2857</v>
      </c>
      <c r="Q253" s="100"/>
      <c r="R253" s="100">
        <f t="shared" si="57"/>
        <v>0</v>
      </c>
      <c r="S253" s="100">
        <v>0</v>
      </c>
      <c r="U253" s="100">
        <v>0</v>
      </c>
      <c r="V253" s="5">
        <f t="shared" si="58"/>
        <v>124566.65896297444</v>
      </c>
      <c r="W253" s="5">
        <f t="shared" si="59"/>
        <v>43600.510662574183</v>
      </c>
    </row>
    <row r="254" spans="1:23" ht="13">
      <c r="A254" s="92">
        <v>4617</v>
      </c>
      <c r="B254" s="93" t="s">
        <v>539</v>
      </c>
      <c r="C254" s="574">
        <v>0.91536458941795429</v>
      </c>
      <c r="D254" s="100">
        <f t="shared" si="45"/>
        <v>33727.233822306072</v>
      </c>
      <c r="E254" s="100">
        <f t="shared" si="46"/>
        <v>435857.04268566135</v>
      </c>
      <c r="F254" s="100">
        <f t="shared" si="55"/>
        <v>1872.9327761925988</v>
      </c>
      <c r="G254" s="100">
        <f t="shared" si="47"/>
        <v>24203.910266736955</v>
      </c>
      <c r="H254" s="100">
        <f t="shared" si="56"/>
        <v>0</v>
      </c>
      <c r="I254" s="100">
        <f t="shared" si="48"/>
        <v>0</v>
      </c>
      <c r="J254" s="100">
        <f t="shared" si="49"/>
        <v>-420.03543870207375</v>
      </c>
      <c r="K254" s="100">
        <f t="shared" si="50"/>
        <v>-5428.1179743468992</v>
      </c>
      <c r="L254" s="101">
        <f t="shared" si="51"/>
        <v>18775.792292390055</v>
      </c>
      <c r="M254" s="100">
        <f t="shared" si="52"/>
        <v>454632.83497805137</v>
      </c>
      <c r="N254" s="102">
        <f t="shared" si="53"/>
        <v>35180.131159796591</v>
      </c>
      <c r="O254" s="94">
        <f t="shared" si="54"/>
        <v>0.95479654466828057</v>
      </c>
      <c r="P254" s="100">
        <f>'Bef.fremskr. kommunenivå MMMM'!H249</f>
        <v>12923</v>
      </c>
      <c r="Q254" s="100"/>
      <c r="R254" s="100">
        <f t="shared" si="57"/>
        <v>0</v>
      </c>
      <c r="S254" s="100">
        <v>0</v>
      </c>
      <c r="U254" s="100">
        <v>26675.425333333333</v>
      </c>
      <c r="V254" s="5">
        <f t="shared" si="58"/>
        <v>409181.61735232803</v>
      </c>
      <c r="W254" s="5">
        <f t="shared" si="59"/>
        <v>31663.051718047511</v>
      </c>
    </row>
    <row r="255" spans="1:23" ht="13">
      <c r="A255" s="92">
        <v>4618</v>
      </c>
      <c r="B255" s="93" t="s">
        <v>540</v>
      </c>
      <c r="C255" s="574">
        <v>0.98232953512364096</v>
      </c>
      <c r="D255" s="100">
        <f t="shared" si="45"/>
        <v>36194.603008118524</v>
      </c>
      <c r="E255" s="100">
        <f t="shared" si="46"/>
        <v>391010.29629670439</v>
      </c>
      <c r="F255" s="100">
        <f t="shared" si="55"/>
        <v>392.51126470512827</v>
      </c>
      <c r="G255" s="100">
        <f t="shared" si="47"/>
        <v>4240.299192609501</v>
      </c>
      <c r="H255" s="100">
        <f t="shared" si="56"/>
        <v>0</v>
      </c>
      <c r="I255" s="100">
        <f t="shared" si="48"/>
        <v>0</v>
      </c>
      <c r="J255" s="100">
        <f t="shared" si="49"/>
        <v>-420.03543870207375</v>
      </c>
      <c r="K255" s="100">
        <f t="shared" si="50"/>
        <v>-4537.6428442985025</v>
      </c>
      <c r="L255" s="101">
        <f t="shared" si="51"/>
        <v>-297.34365168900149</v>
      </c>
      <c r="M255" s="100">
        <f t="shared" si="52"/>
        <v>390712.95264501538</v>
      </c>
      <c r="N255" s="102">
        <f t="shared" si="53"/>
        <v>36167.078834121574</v>
      </c>
      <c r="O255" s="94">
        <f t="shared" si="54"/>
        <v>0.98158252295055537</v>
      </c>
      <c r="P255" s="100">
        <f>'Bef.fremskr. kommunenivå MMMM'!H250</f>
        <v>10803</v>
      </c>
      <c r="Q255" s="100"/>
      <c r="R255" s="100">
        <f t="shared" si="57"/>
        <v>0</v>
      </c>
      <c r="S255" s="100">
        <v>0</v>
      </c>
      <c r="U255" s="100">
        <v>48887.981</v>
      </c>
      <c r="V255" s="5">
        <f t="shared" si="58"/>
        <v>342122.31529670442</v>
      </c>
      <c r="W255" s="5">
        <f t="shared" si="59"/>
        <v>31669.195158447135</v>
      </c>
    </row>
    <row r="256" spans="1:23" ht="13">
      <c r="A256" s="92">
        <v>4619</v>
      </c>
      <c r="B256" s="93" t="s">
        <v>541</v>
      </c>
      <c r="C256" s="574">
        <v>1.7313185994615112</v>
      </c>
      <c r="D256" s="100">
        <f t="shared" si="45"/>
        <v>63791.616914169143</v>
      </c>
      <c r="E256" s="100">
        <f t="shared" si="46"/>
        <v>60410.661217718174</v>
      </c>
      <c r="F256" s="100">
        <f t="shared" si="55"/>
        <v>-16165.697078925243</v>
      </c>
      <c r="G256" s="100">
        <f t="shared" si="47"/>
        <v>-15308.915133742206</v>
      </c>
      <c r="H256" s="100">
        <f t="shared" si="56"/>
        <v>0</v>
      </c>
      <c r="I256" s="100">
        <f t="shared" si="48"/>
        <v>0</v>
      </c>
      <c r="J256" s="100">
        <f t="shared" si="49"/>
        <v>-420.03543870207375</v>
      </c>
      <c r="K256" s="100">
        <f t="shared" si="50"/>
        <v>-397.77356045086384</v>
      </c>
      <c r="L256" s="101">
        <f t="shared" si="51"/>
        <v>-15706.68869419307</v>
      </c>
      <c r="M256" s="100">
        <f t="shared" si="52"/>
        <v>44703.972523525103</v>
      </c>
      <c r="N256" s="102">
        <f t="shared" si="53"/>
        <v>47205.88439654182</v>
      </c>
      <c r="O256" s="94">
        <f t="shared" si="54"/>
        <v>1.2811781486857037</v>
      </c>
      <c r="P256" s="100">
        <f>'Bef.fremskr. kommunenivå MMMM'!H251</f>
        <v>947</v>
      </c>
      <c r="Q256" s="100"/>
      <c r="R256" s="100">
        <f t="shared" si="57"/>
        <v>0</v>
      </c>
      <c r="S256" s="100">
        <v>0</v>
      </c>
      <c r="U256" s="100">
        <v>25837.129666666664</v>
      </c>
      <c r="V256" s="5">
        <f t="shared" si="58"/>
        <v>34573.531551051507</v>
      </c>
      <c r="W256" s="5">
        <f t="shared" si="59"/>
        <v>36508.481046516899</v>
      </c>
    </row>
    <row r="257" spans="1:23" ht="13">
      <c r="A257" s="92">
        <v>4620</v>
      </c>
      <c r="B257" s="93" t="s">
        <v>542</v>
      </c>
      <c r="C257" s="574">
        <v>0.989862471912349</v>
      </c>
      <c r="D257" s="100">
        <f t="shared" si="45"/>
        <v>36472.15921181978</v>
      </c>
      <c r="E257" s="100">
        <f t="shared" si="46"/>
        <v>38332.239331622586</v>
      </c>
      <c r="F257" s="100">
        <f t="shared" si="55"/>
        <v>225.97754248437414</v>
      </c>
      <c r="G257" s="100">
        <f t="shared" si="47"/>
        <v>237.50239715107722</v>
      </c>
      <c r="H257" s="100">
        <f t="shared" si="56"/>
        <v>0</v>
      </c>
      <c r="I257" s="100">
        <f t="shared" si="48"/>
        <v>0</v>
      </c>
      <c r="J257" s="100">
        <f t="shared" si="49"/>
        <v>-420.03543870207375</v>
      </c>
      <c r="K257" s="100">
        <f t="shared" si="50"/>
        <v>-441.45724607587948</v>
      </c>
      <c r="L257" s="101">
        <f t="shared" si="51"/>
        <v>-203.95484892480226</v>
      </c>
      <c r="M257" s="100">
        <f t="shared" si="52"/>
        <v>38128.284482697782</v>
      </c>
      <c r="N257" s="102">
        <f t="shared" si="53"/>
        <v>36278.101315602078</v>
      </c>
      <c r="O257" s="94">
        <f t="shared" si="54"/>
        <v>0.98459569766603861</v>
      </c>
      <c r="P257" s="100">
        <f>'Bef.fremskr. kommunenivå MMMM'!H252</f>
        <v>1051</v>
      </c>
      <c r="Q257" s="100"/>
      <c r="R257" s="100">
        <f t="shared" si="57"/>
        <v>0</v>
      </c>
      <c r="S257" s="100">
        <v>0</v>
      </c>
      <c r="U257" s="100">
        <v>10192.810666666666</v>
      </c>
      <c r="V257" s="5">
        <f t="shared" si="58"/>
        <v>28139.428664955922</v>
      </c>
      <c r="W257" s="5">
        <f t="shared" si="59"/>
        <v>26773.956864848642</v>
      </c>
    </row>
    <row r="258" spans="1:23" ht="13">
      <c r="A258" s="92">
        <v>4621</v>
      </c>
      <c r="B258" s="93" t="s">
        <v>543</v>
      </c>
      <c r="C258" s="574">
        <v>0.87935835877478763</v>
      </c>
      <c r="D258" s="100">
        <f t="shared" si="45"/>
        <v>32400.559648975697</v>
      </c>
      <c r="E258" s="100">
        <f t="shared" si="46"/>
        <v>515914.11129064008</v>
      </c>
      <c r="F258" s="100">
        <f t="shared" si="55"/>
        <v>2668.9372801908239</v>
      </c>
      <c r="G258" s="100">
        <f t="shared" si="47"/>
        <v>42497.48831247849</v>
      </c>
      <c r="H258" s="100">
        <f t="shared" si="56"/>
        <v>267.172484386034</v>
      </c>
      <c r="I258" s="100">
        <f t="shared" si="48"/>
        <v>4254.1874688788193</v>
      </c>
      <c r="J258" s="100">
        <f t="shared" si="49"/>
        <v>-152.86295431603975</v>
      </c>
      <c r="K258" s="100">
        <f t="shared" si="50"/>
        <v>-2434.036821574301</v>
      </c>
      <c r="L258" s="101">
        <f t="shared" si="51"/>
        <v>40063.45149090419</v>
      </c>
      <c r="M258" s="100">
        <f t="shared" si="52"/>
        <v>555977.56278154429</v>
      </c>
      <c r="N258" s="102">
        <f t="shared" si="53"/>
        <v>34916.633974850491</v>
      </c>
      <c r="O258" s="94">
        <f t="shared" si="54"/>
        <v>0.94764517275969984</v>
      </c>
      <c r="P258" s="100">
        <f>'Bef.fremskr. kommunenivå MMMM'!H253</f>
        <v>15923</v>
      </c>
      <c r="Q258" s="100"/>
      <c r="R258" s="100">
        <f t="shared" si="57"/>
        <v>0</v>
      </c>
      <c r="S258" s="100">
        <v>0</v>
      </c>
      <c r="U258" s="100">
        <v>12385.373333333335</v>
      </c>
      <c r="V258" s="5">
        <f t="shared" si="58"/>
        <v>503528.73795730673</v>
      </c>
      <c r="W258" s="5">
        <f t="shared" si="59"/>
        <v>31622.730512925125</v>
      </c>
    </row>
    <row r="259" spans="1:23" ht="13">
      <c r="A259" s="92">
        <v>4622</v>
      </c>
      <c r="B259" s="93" t="s">
        <v>544</v>
      </c>
      <c r="C259" s="574">
        <v>0.87931286504386597</v>
      </c>
      <c r="D259" s="100">
        <f t="shared" si="45"/>
        <v>32398.883401371211</v>
      </c>
      <c r="E259" s="100">
        <f t="shared" si="46"/>
        <v>274159.35134240316</v>
      </c>
      <c r="F259" s="100">
        <f t="shared" si="55"/>
        <v>2669.9430287535156</v>
      </c>
      <c r="G259" s="100">
        <f t="shared" si="47"/>
        <v>22593.057909312247</v>
      </c>
      <c r="H259" s="100">
        <f t="shared" si="56"/>
        <v>267.75917104760407</v>
      </c>
      <c r="I259" s="100">
        <f t="shared" si="48"/>
        <v>2265.7781054048255</v>
      </c>
      <c r="J259" s="100">
        <f t="shared" si="49"/>
        <v>-152.27626765446968</v>
      </c>
      <c r="K259" s="100">
        <f t="shared" si="50"/>
        <v>-1288.5617768921225</v>
      </c>
      <c r="L259" s="101">
        <f t="shared" si="51"/>
        <v>21304.496132420125</v>
      </c>
      <c r="M259" s="100">
        <f t="shared" si="52"/>
        <v>295463.8474748233</v>
      </c>
      <c r="N259" s="102">
        <f t="shared" si="53"/>
        <v>34916.550162470252</v>
      </c>
      <c r="O259" s="94">
        <f t="shared" si="54"/>
        <v>0.94764289807315338</v>
      </c>
      <c r="P259" s="100">
        <f>'Bef.fremskr. kommunenivå MMMM'!H254</f>
        <v>8462</v>
      </c>
      <c r="Q259" s="100"/>
      <c r="R259" s="100">
        <f t="shared" si="57"/>
        <v>0</v>
      </c>
      <c r="S259" s="100">
        <v>0</v>
      </c>
      <c r="U259" s="100">
        <v>6736.3290000000006</v>
      </c>
      <c r="V259" s="5">
        <f t="shared" si="58"/>
        <v>267423.02234240313</v>
      </c>
      <c r="W259" s="5">
        <f t="shared" si="59"/>
        <v>31602.815214181413</v>
      </c>
    </row>
    <row r="260" spans="1:23" ht="13">
      <c r="A260" s="92">
        <v>4623</v>
      </c>
      <c r="B260" s="93" t="s">
        <v>545</v>
      </c>
      <c r="C260" s="574">
        <v>0.85212424442542423</v>
      </c>
      <c r="D260" s="100">
        <f t="shared" si="45"/>
        <v>31397.100095019759</v>
      </c>
      <c r="E260" s="100">
        <f t="shared" si="46"/>
        <v>78178.779236599206</v>
      </c>
      <c r="F260" s="100">
        <f t="shared" si="55"/>
        <v>3271.0130125643868</v>
      </c>
      <c r="G260" s="100">
        <f t="shared" si="47"/>
        <v>8144.8224012853234</v>
      </c>
      <c r="H260" s="100">
        <f t="shared" si="56"/>
        <v>618.3833282706122</v>
      </c>
      <c r="I260" s="100">
        <f t="shared" si="48"/>
        <v>1539.7744873938243</v>
      </c>
      <c r="J260" s="100">
        <f t="shared" si="49"/>
        <v>198.34788956853845</v>
      </c>
      <c r="K260" s="100">
        <f t="shared" si="50"/>
        <v>493.88624502566074</v>
      </c>
      <c r="L260" s="101">
        <f t="shared" si="51"/>
        <v>8638.7086463109845</v>
      </c>
      <c r="M260" s="100">
        <f t="shared" si="52"/>
        <v>86817.48788291018</v>
      </c>
      <c r="N260" s="102">
        <f t="shared" si="53"/>
        <v>34866.460997152681</v>
      </c>
      <c r="O260" s="94">
        <f t="shared" si="54"/>
        <v>0.94628346704223132</v>
      </c>
      <c r="P260" s="100">
        <f>'Bef.fremskr. kommunenivå MMMM'!H255</f>
        <v>2490</v>
      </c>
      <c r="Q260" s="100"/>
      <c r="R260" s="100">
        <f t="shared" si="57"/>
        <v>0</v>
      </c>
      <c r="S260" s="100">
        <v>0</v>
      </c>
      <c r="U260" s="100">
        <v>4553.7860000000001</v>
      </c>
      <c r="V260" s="5">
        <f t="shared" si="58"/>
        <v>73624.993236599199</v>
      </c>
      <c r="W260" s="5">
        <f t="shared" si="59"/>
        <v>29568.270376144254</v>
      </c>
    </row>
    <row r="261" spans="1:23" ht="13">
      <c r="A261" s="92">
        <v>4624</v>
      </c>
      <c r="B261" s="93" t="s">
        <v>1828</v>
      </c>
      <c r="C261" s="574">
        <v>0.89750337271331815</v>
      </c>
      <c r="D261" s="100">
        <f t="shared" si="45"/>
        <v>33069.125087150402</v>
      </c>
      <c r="E261" s="100">
        <f t="shared" si="46"/>
        <v>838434.59745961125</v>
      </c>
      <c r="F261" s="100">
        <f t="shared" si="55"/>
        <v>2267.7980172860011</v>
      </c>
      <c r="G261" s="100">
        <f t="shared" si="47"/>
        <v>57497.750930269271</v>
      </c>
      <c r="H261" s="100">
        <f t="shared" si="56"/>
        <v>33.174581024887445</v>
      </c>
      <c r="I261" s="100">
        <f t="shared" si="48"/>
        <v>841.10832730499635</v>
      </c>
      <c r="J261" s="100">
        <f t="shared" si="49"/>
        <v>-386.86085767718629</v>
      </c>
      <c r="K261" s="100">
        <f t="shared" si="50"/>
        <v>-9808.4701855473813</v>
      </c>
      <c r="L261" s="101">
        <f t="shared" si="51"/>
        <v>47689.280744721887</v>
      </c>
      <c r="M261" s="100">
        <f t="shared" si="52"/>
        <v>886123.87820433313</v>
      </c>
      <c r="N261" s="102">
        <f t="shared" si="53"/>
        <v>34950.062246759218</v>
      </c>
      <c r="O261" s="94">
        <f t="shared" si="54"/>
        <v>0.94855242345662616</v>
      </c>
      <c r="P261" s="100">
        <f>'Bef.fremskr. kommunenivå MMMM'!H256</f>
        <v>25354</v>
      </c>
      <c r="Q261" s="100"/>
      <c r="R261" s="100">
        <f t="shared" si="57"/>
        <v>0</v>
      </c>
      <c r="S261" s="100">
        <v>0</v>
      </c>
      <c r="U261" s="100">
        <v>1085.181</v>
      </c>
      <c r="V261" s="5">
        <f t="shared" si="58"/>
        <v>837349.41645961127</v>
      </c>
      <c r="W261" s="5">
        <f t="shared" si="59"/>
        <v>33026.323911793457</v>
      </c>
    </row>
    <row r="262" spans="1:23" ht="13">
      <c r="A262" s="92">
        <v>4625</v>
      </c>
      <c r="B262" s="93" t="s">
        <v>546</v>
      </c>
      <c r="C262" s="574">
        <v>1.5963763074016382</v>
      </c>
      <c r="D262" s="100">
        <f t="shared" si="45"/>
        <v>58819.57594881433</v>
      </c>
      <c r="E262" s="100">
        <f t="shared" si="46"/>
        <v>310861.45888948377</v>
      </c>
      <c r="F262" s="100">
        <f t="shared" si="55"/>
        <v>-13182.472499712356</v>
      </c>
      <c r="G262" s="100">
        <f t="shared" si="47"/>
        <v>-69669.367160979804</v>
      </c>
      <c r="H262" s="100">
        <f t="shared" si="56"/>
        <v>0</v>
      </c>
      <c r="I262" s="100">
        <f t="shared" si="48"/>
        <v>0</v>
      </c>
      <c r="J262" s="100">
        <f t="shared" si="49"/>
        <v>-420.03543870207375</v>
      </c>
      <c r="K262" s="100">
        <f t="shared" si="50"/>
        <v>-2219.8872935404597</v>
      </c>
      <c r="L262" s="101">
        <f t="shared" si="51"/>
        <v>-71889.254454520269</v>
      </c>
      <c r="M262" s="100">
        <f t="shared" si="52"/>
        <v>238972.2044349635</v>
      </c>
      <c r="N262" s="102">
        <f t="shared" si="53"/>
        <v>45217.068010399904</v>
      </c>
      <c r="O262" s="94">
        <f t="shared" si="54"/>
        <v>1.2272012318617547</v>
      </c>
      <c r="P262" s="100">
        <f>'Bef.fremskr. kommunenivå MMMM'!H257</f>
        <v>5285</v>
      </c>
      <c r="Q262" s="100"/>
      <c r="R262" s="100">
        <f t="shared" si="57"/>
        <v>0</v>
      </c>
      <c r="S262" s="100">
        <v>0</v>
      </c>
      <c r="U262" s="100">
        <v>0</v>
      </c>
      <c r="V262" s="5">
        <f t="shared" si="58"/>
        <v>310861.45888948377</v>
      </c>
      <c r="W262" s="5">
        <f t="shared" si="59"/>
        <v>58819.57594881433</v>
      </c>
    </row>
    <row r="263" spans="1:23" ht="13">
      <c r="A263" s="92">
        <v>4626</v>
      </c>
      <c r="B263" s="93" t="s">
        <v>551</v>
      </c>
      <c r="C263" s="574">
        <v>0.89076002928693065</v>
      </c>
      <c r="D263" s="100">
        <f t="shared" si="45"/>
        <v>32820.661990461791</v>
      </c>
      <c r="E263" s="100">
        <f t="shared" si="46"/>
        <v>1290803.8154228718</v>
      </c>
      <c r="F263" s="100">
        <f t="shared" si="55"/>
        <v>2416.8758752991675</v>
      </c>
      <c r="G263" s="100">
        <f t="shared" si="47"/>
        <v>95053.311299640947</v>
      </c>
      <c r="H263" s="100">
        <f t="shared" si="56"/>
        <v>120.13666486590118</v>
      </c>
      <c r="I263" s="100">
        <f t="shared" si="48"/>
        <v>4724.8548925110281</v>
      </c>
      <c r="J263" s="100">
        <f t="shared" si="49"/>
        <v>-299.89877383617255</v>
      </c>
      <c r="K263" s="100">
        <f t="shared" si="50"/>
        <v>-11794.718876202831</v>
      </c>
      <c r="L263" s="101">
        <f t="shared" si="51"/>
        <v>83258.592423438124</v>
      </c>
      <c r="M263" s="100">
        <f t="shared" si="52"/>
        <v>1374062.4078463099</v>
      </c>
      <c r="N263" s="102">
        <f t="shared" si="53"/>
        <v>34937.639091924786</v>
      </c>
      <c r="O263" s="94">
        <f t="shared" si="54"/>
        <v>0.94821525628530678</v>
      </c>
      <c r="P263" s="100">
        <f>'Bef.fremskr. kommunenivå MMMM'!H258</f>
        <v>39329</v>
      </c>
      <c r="Q263" s="100"/>
      <c r="R263" s="100">
        <f t="shared" si="57"/>
        <v>0</v>
      </c>
      <c r="S263" s="100">
        <v>0</v>
      </c>
      <c r="U263" s="100">
        <v>0</v>
      </c>
      <c r="V263" s="5">
        <f t="shared" si="58"/>
        <v>1290803.8154228718</v>
      </c>
      <c r="W263" s="5">
        <f t="shared" si="59"/>
        <v>32820.661990461791</v>
      </c>
    </row>
    <row r="264" spans="1:23" ht="13">
      <c r="A264" s="92">
        <v>4627</v>
      </c>
      <c r="B264" s="93" t="s">
        <v>547</v>
      </c>
      <c r="C264" s="574">
        <v>0.81992302733476963</v>
      </c>
      <c r="D264" s="100">
        <f t="shared" si="45"/>
        <v>30210.624246232634</v>
      </c>
      <c r="E264" s="100">
        <f t="shared" si="46"/>
        <v>905684.30427780806</v>
      </c>
      <c r="F264" s="100">
        <f t="shared" si="55"/>
        <v>3982.898521836662</v>
      </c>
      <c r="G264" s="100">
        <f t="shared" si="47"/>
        <v>119403.31478614129</v>
      </c>
      <c r="H264" s="100">
        <f t="shared" si="56"/>
        <v>1033.6498753461062</v>
      </c>
      <c r="I264" s="100">
        <f t="shared" si="48"/>
        <v>30987.789613000918</v>
      </c>
      <c r="J264" s="100">
        <f t="shared" si="49"/>
        <v>613.61443664403248</v>
      </c>
      <c r="K264" s="100">
        <f t="shared" si="50"/>
        <v>18395.547196151449</v>
      </c>
      <c r="L264" s="101">
        <f t="shared" si="51"/>
        <v>137798.86198229273</v>
      </c>
      <c r="M264" s="100">
        <f t="shared" si="52"/>
        <v>1043483.1662601008</v>
      </c>
      <c r="N264" s="102">
        <f t="shared" si="53"/>
        <v>34807.137204713326</v>
      </c>
      <c r="O264" s="94">
        <f t="shared" si="54"/>
        <v>0.94467340618769868</v>
      </c>
      <c r="P264" s="100">
        <f>'Bef.fremskr. kommunenivå MMMM'!H259</f>
        <v>29979</v>
      </c>
      <c r="Q264" s="100"/>
      <c r="R264" s="100">
        <f t="shared" si="57"/>
        <v>0</v>
      </c>
      <c r="S264" s="100">
        <v>0</v>
      </c>
      <c r="U264" s="100">
        <v>0</v>
      </c>
      <c r="V264" s="5">
        <f t="shared" si="58"/>
        <v>905684.30427780806</v>
      </c>
      <c r="W264" s="5">
        <f t="shared" si="59"/>
        <v>30210.624246232634</v>
      </c>
    </row>
    <row r="265" spans="1:23" ht="13">
      <c r="A265" s="92">
        <v>4628</v>
      </c>
      <c r="B265" s="93" t="s">
        <v>548</v>
      </c>
      <c r="C265" s="574">
        <v>0.8371498722591183</v>
      </c>
      <c r="D265" s="100">
        <f t="shared" si="45"/>
        <v>30845.359119638168</v>
      </c>
      <c r="E265" s="100">
        <f t="shared" si="46"/>
        <v>118415.33366029093</v>
      </c>
      <c r="F265" s="100">
        <f t="shared" si="55"/>
        <v>3602.0575977933418</v>
      </c>
      <c r="G265" s="100">
        <f t="shared" si="47"/>
        <v>13828.299117928638</v>
      </c>
      <c r="H265" s="100">
        <f t="shared" si="56"/>
        <v>811.49266965416928</v>
      </c>
      <c r="I265" s="100">
        <f t="shared" si="48"/>
        <v>3115.3203588023557</v>
      </c>
      <c r="J265" s="100">
        <f t="shared" si="49"/>
        <v>391.45723095209553</v>
      </c>
      <c r="K265" s="100">
        <f t="shared" si="50"/>
        <v>1502.8043096250947</v>
      </c>
      <c r="L265" s="101">
        <f t="shared" si="51"/>
        <v>15331.103427553733</v>
      </c>
      <c r="M265" s="100">
        <f t="shared" si="52"/>
        <v>133746.43708784465</v>
      </c>
      <c r="N265" s="102">
        <f t="shared" si="53"/>
        <v>34838.873948383603</v>
      </c>
      <c r="O265" s="94">
        <f t="shared" si="54"/>
        <v>0.94553474843391605</v>
      </c>
      <c r="P265" s="100">
        <f>'Bef.fremskr. kommunenivå MMMM'!H260</f>
        <v>3839</v>
      </c>
      <c r="Q265" s="100"/>
      <c r="R265" s="100">
        <f t="shared" si="57"/>
        <v>0</v>
      </c>
      <c r="S265" s="100">
        <v>0</v>
      </c>
      <c r="U265" s="100">
        <v>16282.846333333333</v>
      </c>
      <c r="V265" s="5">
        <f t="shared" si="58"/>
        <v>102132.48732695759</v>
      </c>
      <c r="W265" s="5">
        <f t="shared" si="59"/>
        <v>26603.930014836573</v>
      </c>
    </row>
    <row r="266" spans="1:23" ht="13">
      <c r="A266" s="92">
        <v>4629</v>
      </c>
      <c r="B266" s="93" t="s">
        <v>549</v>
      </c>
      <c r="C266" s="574">
        <v>2.1205885073441579</v>
      </c>
      <c r="D266" s="100">
        <f t="shared" ref="D266:D329" si="60">C266*D$367</f>
        <v>78134.532682293633</v>
      </c>
      <c r="E266" s="100">
        <f t="shared" ref="E266:E329" si="61">D266*P266/1000</f>
        <v>29300.449755860114</v>
      </c>
      <c r="F266" s="100">
        <f t="shared" si="55"/>
        <v>-24771.446539799937</v>
      </c>
      <c r="G266" s="100">
        <f t="shared" ref="G266:G329" si="62">F266*P266/1000</f>
        <v>-9289.2924524249775</v>
      </c>
      <c r="H266" s="100">
        <f t="shared" si="56"/>
        <v>0</v>
      </c>
      <c r="I266" s="100">
        <f t="shared" ref="I266:I329" si="63">H266*P266/1000</f>
        <v>0</v>
      </c>
      <c r="J266" s="100">
        <f t="shared" ref="J266:J329" si="64">H266+H$370</f>
        <v>-420.03543870207375</v>
      </c>
      <c r="K266" s="100">
        <f t="shared" ref="K266:K329" si="65">J266*P266/1000</f>
        <v>-157.51328951327764</v>
      </c>
      <c r="L266" s="101">
        <f t="shared" ref="L266:L329" si="66">K266+G266</f>
        <v>-9446.8057419382549</v>
      </c>
      <c r="M266" s="100">
        <f t="shared" ref="M266:M329" si="67">K266+E266+G266</f>
        <v>19853.644013921861</v>
      </c>
      <c r="N266" s="102">
        <f t="shared" ref="N266:N329" si="68">M266*1000/P266</f>
        <v>52943.050703791625</v>
      </c>
      <c r="O266" s="94">
        <f t="shared" ref="O266:O329" si="69">N266/N$367</f>
        <v>1.4368861118387628</v>
      </c>
      <c r="P266" s="100">
        <f>'Bef.fremskr. kommunenivå MMMM'!H261</f>
        <v>375</v>
      </c>
      <c r="Q266" s="100"/>
      <c r="R266" s="100">
        <f t="shared" si="57"/>
        <v>0</v>
      </c>
      <c r="S266" s="100">
        <v>0</v>
      </c>
      <c r="U266" s="100">
        <v>15713.127333333332</v>
      </c>
      <c r="V266" s="5">
        <f t="shared" si="58"/>
        <v>13587.322422526782</v>
      </c>
      <c r="W266" s="5">
        <f t="shared" si="59"/>
        <v>36232.85979340475</v>
      </c>
    </row>
    <row r="267" spans="1:23" ht="13">
      <c r="A267" s="92">
        <v>4630</v>
      </c>
      <c r="B267" s="93" t="s">
        <v>550</v>
      </c>
      <c r="C267" s="574">
        <v>0.79462097231647122</v>
      </c>
      <c r="D267" s="100">
        <f t="shared" si="60"/>
        <v>29278.352738625345</v>
      </c>
      <c r="E267" s="100">
        <f t="shared" si="61"/>
        <v>237915.89435406955</v>
      </c>
      <c r="F267" s="100">
        <f t="shared" ref="F267:F330" si="70">($D$367+$R$367-D267-R267)*0.6</f>
        <v>4542.2614264010354</v>
      </c>
      <c r="G267" s="100">
        <f t="shared" si="62"/>
        <v>36910.416350934815</v>
      </c>
      <c r="H267" s="100">
        <f t="shared" ref="H267:H330" si="71">IF((D267+R267)&lt;(D$367+R$367)*0.9,((D$367+R$367)*0.9-(D267+R267))*0.35,0)</f>
        <v>1359.9449030086573</v>
      </c>
      <c r="I267" s="100">
        <f t="shared" si="63"/>
        <v>11050.912281848348</v>
      </c>
      <c r="J267" s="100">
        <f t="shared" si="64"/>
        <v>939.90946430658357</v>
      </c>
      <c r="K267" s="100">
        <f t="shared" si="65"/>
        <v>7637.7043069552983</v>
      </c>
      <c r="L267" s="101">
        <f t="shared" si="66"/>
        <v>44548.120657890111</v>
      </c>
      <c r="M267" s="100">
        <f t="shared" si="67"/>
        <v>282464.01501195965</v>
      </c>
      <c r="N267" s="102">
        <f t="shared" si="68"/>
        <v>34760.523629332965</v>
      </c>
      <c r="O267" s="94">
        <f t="shared" si="69"/>
        <v>0.94340830343678383</v>
      </c>
      <c r="P267" s="100">
        <f>'Bef.fremskr. kommunenivå MMMM'!H262</f>
        <v>8126</v>
      </c>
      <c r="Q267" s="100"/>
      <c r="R267" s="100">
        <f t="shared" ref="R267:R330" si="72">S267*1000/P267</f>
        <v>0</v>
      </c>
      <c r="S267" s="100">
        <v>0</v>
      </c>
      <c r="U267" s="100">
        <v>562.02766666666673</v>
      </c>
      <c r="V267" s="5">
        <f t="shared" ref="V267:V330" si="73">+E267-U267</f>
        <v>237353.86668740289</v>
      </c>
      <c r="W267" s="5">
        <f t="shared" ref="W267:W330" si="74">+V267*1000/P267</f>
        <v>29209.188615235402</v>
      </c>
    </row>
    <row r="268" spans="1:23" ht="13">
      <c r="A268" s="92">
        <v>4631</v>
      </c>
      <c r="B268" s="93" t="s">
        <v>1829</v>
      </c>
      <c r="C268" s="574">
        <v>0.85036336509403387</v>
      </c>
      <c r="D268" s="100">
        <f t="shared" si="60"/>
        <v>31332.219292736998</v>
      </c>
      <c r="E268" s="100">
        <f t="shared" si="61"/>
        <v>931412.88291519275</v>
      </c>
      <c r="F268" s="100">
        <f t="shared" si="70"/>
        <v>3309.9414939340436</v>
      </c>
      <c r="G268" s="100">
        <f t="shared" si="62"/>
        <v>98394.630790177311</v>
      </c>
      <c r="H268" s="100">
        <f t="shared" si="71"/>
        <v>641.09160906957868</v>
      </c>
      <c r="I268" s="100">
        <f t="shared" si="63"/>
        <v>19057.730262811365</v>
      </c>
      <c r="J268" s="100">
        <f t="shared" si="64"/>
        <v>221.05617036750493</v>
      </c>
      <c r="K268" s="100">
        <f t="shared" si="65"/>
        <v>6571.3367765148187</v>
      </c>
      <c r="L268" s="101">
        <f t="shared" si="66"/>
        <v>104965.96756669212</v>
      </c>
      <c r="M268" s="100">
        <f t="shared" si="67"/>
        <v>1036378.8504818848</v>
      </c>
      <c r="N268" s="102">
        <f t="shared" si="68"/>
        <v>34863.216957038545</v>
      </c>
      <c r="O268" s="94">
        <f t="shared" si="69"/>
        <v>0.94619542307566185</v>
      </c>
      <c r="P268" s="100">
        <f>'Bef.fremskr. kommunenivå MMMM'!H263</f>
        <v>29727</v>
      </c>
      <c r="Q268" s="100"/>
      <c r="R268" s="100">
        <f t="shared" si="72"/>
        <v>0</v>
      </c>
      <c r="S268" s="100">
        <v>0</v>
      </c>
      <c r="U268" s="100">
        <v>86.262333333333345</v>
      </c>
      <c r="V268" s="5">
        <f t="shared" si="73"/>
        <v>931326.62058185937</v>
      </c>
      <c r="W268" s="5">
        <f t="shared" si="74"/>
        <v>31329.317475085256</v>
      </c>
    </row>
    <row r="269" spans="1:23" ht="13">
      <c r="A269" s="92">
        <v>4632</v>
      </c>
      <c r="B269" s="93" t="s">
        <v>552</v>
      </c>
      <c r="C269" s="574">
        <v>1.0580543938525957</v>
      </c>
      <c r="D269" s="100">
        <f t="shared" si="60"/>
        <v>38984.737175463291</v>
      </c>
      <c r="E269" s="100">
        <f t="shared" si="61"/>
        <v>114498.17308433568</v>
      </c>
      <c r="F269" s="100">
        <f t="shared" si="70"/>
        <v>-1281.5692357017324</v>
      </c>
      <c r="G269" s="100">
        <f t="shared" si="62"/>
        <v>-3763.9688452559881</v>
      </c>
      <c r="H269" s="100">
        <f t="shared" si="71"/>
        <v>0</v>
      </c>
      <c r="I269" s="100">
        <f t="shared" si="63"/>
        <v>0</v>
      </c>
      <c r="J269" s="100">
        <f t="shared" si="64"/>
        <v>-420.03543870207375</v>
      </c>
      <c r="K269" s="100">
        <f t="shared" si="65"/>
        <v>-1233.6440834679906</v>
      </c>
      <c r="L269" s="101">
        <f t="shared" si="66"/>
        <v>-4997.6129287239783</v>
      </c>
      <c r="M269" s="100">
        <f t="shared" si="67"/>
        <v>109500.56015561169</v>
      </c>
      <c r="N269" s="102">
        <f t="shared" si="68"/>
        <v>37283.132501059481</v>
      </c>
      <c r="O269" s="94">
        <f t="shared" si="69"/>
        <v>1.0118724664421372</v>
      </c>
      <c r="P269" s="100">
        <f>'Bef.fremskr. kommunenivå MMMM'!H264</f>
        <v>2937</v>
      </c>
      <c r="Q269" s="100"/>
      <c r="R269" s="100">
        <f t="shared" si="72"/>
        <v>0</v>
      </c>
      <c r="S269" s="100">
        <v>0</v>
      </c>
      <c r="U269" s="100">
        <v>0</v>
      </c>
      <c r="V269" s="5">
        <f t="shared" si="73"/>
        <v>114498.17308433568</v>
      </c>
      <c r="W269" s="5">
        <f t="shared" si="74"/>
        <v>38984.737175463291</v>
      </c>
    </row>
    <row r="270" spans="1:23" ht="13">
      <c r="A270" s="92">
        <v>4633</v>
      </c>
      <c r="B270" s="93" t="s">
        <v>553</v>
      </c>
      <c r="C270" s="574">
        <v>0.89708270221667585</v>
      </c>
      <c r="D270" s="100">
        <f t="shared" si="60"/>
        <v>33053.625195231463</v>
      </c>
      <c r="E270" s="100">
        <f t="shared" si="61"/>
        <v>16361.544471639574</v>
      </c>
      <c r="F270" s="100">
        <f t="shared" si="70"/>
        <v>2277.0979524373643</v>
      </c>
      <c r="G270" s="100">
        <f t="shared" si="62"/>
        <v>1127.1634864564953</v>
      </c>
      <c r="H270" s="100">
        <f t="shared" si="71"/>
        <v>38.599543196515874</v>
      </c>
      <c r="I270" s="100">
        <f t="shared" si="63"/>
        <v>19.106773882275355</v>
      </c>
      <c r="J270" s="100">
        <f t="shared" si="64"/>
        <v>-381.43589550555788</v>
      </c>
      <c r="K270" s="100">
        <f t="shared" si="65"/>
        <v>-188.81076827525115</v>
      </c>
      <c r="L270" s="101">
        <f t="shared" si="66"/>
        <v>938.3527181812442</v>
      </c>
      <c r="M270" s="100">
        <f t="shared" si="67"/>
        <v>17299.897189820818</v>
      </c>
      <c r="N270" s="102">
        <f t="shared" si="68"/>
        <v>34949.287252163267</v>
      </c>
      <c r="O270" s="94">
        <f t="shared" si="69"/>
        <v>0.94853138993179398</v>
      </c>
      <c r="P270" s="100">
        <f>'Bef.fremskr. kommunenivå MMMM'!H265</f>
        <v>495</v>
      </c>
      <c r="Q270" s="100"/>
      <c r="R270" s="100">
        <f t="shared" si="72"/>
        <v>0</v>
      </c>
      <c r="S270" s="100">
        <v>0</v>
      </c>
      <c r="U270" s="100">
        <v>0</v>
      </c>
      <c r="V270" s="5">
        <f t="shared" si="73"/>
        <v>16361.544471639574</v>
      </c>
      <c r="W270" s="5">
        <f t="shared" si="74"/>
        <v>33053.625195231463</v>
      </c>
    </row>
    <row r="271" spans="1:23" ht="13">
      <c r="A271" s="92">
        <v>4634</v>
      </c>
      <c r="B271" s="93" t="s">
        <v>554</v>
      </c>
      <c r="C271" s="574">
        <v>1.0862991483931275</v>
      </c>
      <c r="D271" s="100">
        <f t="shared" si="60"/>
        <v>40025.434457895739</v>
      </c>
      <c r="E271" s="100">
        <f t="shared" si="61"/>
        <v>64721.127518417408</v>
      </c>
      <c r="F271" s="100">
        <f t="shared" si="70"/>
        <v>-1905.9876051612009</v>
      </c>
      <c r="G271" s="100">
        <f t="shared" si="62"/>
        <v>-3081.9819575456618</v>
      </c>
      <c r="H271" s="100">
        <f t="shared" si="71"/>
        <v>0</v>
      </c>
      <c r="I271" s="100">
        <f t="shared" si="63"/>
        <v>0</v>
      </c>
      <c r="J271" s="100">
        <f t="shared" si="64"/>
        <v>-420.03543870207375</v>
      </c>
      <c r="K271" s="100">
        <f t="shared" si="65"/>
        <v>-679.19730438125316</v>
      </c>
      <c r="L271" s="101">
        <f t="shared" si="66"/>
        <v>-3761.1792619269149</v>
      </c>
      <c r="M271" s="100">
        <f t="shared" si="67"/>
        <v>60959.94825649049</v>
      </c>
      <c r="N271" s="102">
        <f t="shared" si="68"/>
        <v>37699.41141403246</v>
      </c>
      <c r="O271" s="94">
        <f t="shared" si="69"/>
        <v>1.0231703682583499</v>
      </c>
      <c r="P271" s="100">
        <f>'Bef.fremskr. kommunenivå MMMM'!H266</f>
        <v>1617</v>
      </c>
      <c r="Q271" s="100"/>
      <c r="R271" s="100">
        <f t="shared" si="72"/>
        <v>0</v>
      </c>
      <c r="S271" s="100">
        <v>0</v>
      </c>
      <c r="U271" s="100">
        <v>11901.442000000001</v>
      </c>
      <c r="V271" s="5">
        <f t="shared" si="73"/>
        <v>52819.685518417406</v>
      </c>
      <c r="W271" s="5">
        <f t="shared" si="74"/>
        <v>32665.235323696601</v>
      </c>
    </row>
    <row r="272" spans="1:23" ht="13">
      <c r="A272" s="92">
        <v>4635</v>
      </c>
      <c r="B272" s="93" t="s">
        <v>555</v>
      </c>
      <c r="C272" s="574">
        <v>1.1735860027880476</v>
      </c>
      <c r="D272" s="100">
        <f t="shared" si="60"/>
        <v>43241.578256579276</v>
      </c>
      <c r="E272" s="100">
        <f t="shared" si="61"/>
        <v>96644.927403454683</v>
      </c>
      <c r="F272" s="100">
        <f t="shared" si="70"/>
        <v>-3835.6738843713229</v>
      </c>
      <c r="G272" s="100">
        <f t="shared" si="62"/>
        <v>-8572.7311315699062</v>
      </c>
      <c r="H272" s="100">
        <f t="shared" si="71"/>
        <v>0</v>
      </c>
      <c r="I272" s="100">
        <f t="shared" si="63"/>
        <v>0</v>
      </c>
      <c r="J272" s="100">
        <f t="shared" si="64"/>
        <v>-420.03543870207375</v>
      </c>
      <c r="K272" s="100">
        <f t="shared" si="65"/>
        <v>-938.77920549913483</v>
      </c>
      <c r="L272" s="101">
        <f t="shared" si="66"/>
        <v>-9511.5103370690413</v>
      </c>
      <c r="M272" s="100">
        <f t="shared" si="67"/>
        <v>87133.417066385649</v>
      </c>
      <c r="N272" s="102">
        <f t="shared" si="68"/>
        <v>38985.868933505888</v>
      </c>
      <c r="O272" s="94">
        <f t="shared" si="69"/>
        <v>1.0580851100163184</v>
      </c>
      <c r="P272" s="100">
        <f>'Bef.fremskr. kommunenivå MMMM'!H267</f>
        <v>2235</v>
      </c>
      <c r="Q272" s="100"/>
      <c r="R272" s="100">
        <f t="shared" si="72"/>
        <v>0</v>
      </c>
      <c r="S272" s="100">
        <v>0</v>
      </c>
      <c r="U272" s="100">
        <v>221.68433333333334</v>
      </c>
      <c r="V272" s="5">
        <f t="shared" si="73"/>
        <v>96423.243070121345</v>
      </c>
      <c r="W272" s="5">
        <f t="shared" si="74"/>
        <v>43142.390635401047</v>
      </c>
    </row>
    <row r="273" spans="1:23" ht="13">
      <c r="A273" s="92">
        <v>4636</v>
      </c>
      <c r="B273" s="93" t="s">
        <v>556</v>
      </c>
      <c r="C273" s="574">
        <v>1.158263165475732</v>
      </c>
      <c r="D273" s="100">
        <f t="shared" si="60"/>
        <v>42676.997844765188</v>
      </c>
      <c r="E273" s="100">
        <f t="shared" si="61"/>
        <v>32903.965338313959</v>
      </c>
      <c r="F273" s="100">
        <f t="shared" si="70"/>
        <v>-3496.9256372828704</v>
      </c>
      <c r="G273" s="100">
        <f t="shared" si="62"/>
        <v>-2696.129666345093</v>
      </c>
      <c r="H273" s="100">
        <f t="shared" si="71"/>
        <v>0</v>
      </c>
      <c r="I273" s="100">
        <f t="shared" si="63"/>
        <v>0</v>
      </c>
      <c r="J273" s="100">
        <f t="shared" si="64"/>
        <v>-420.03543870207375</v>
      </c>
      <c r="K273" s="100">
        <f t="shared" si="65"/>
        <v>-323.84732323929887</v>
      </c>
      <c r="L273" s="101">
        <f t="shared" si="66"/>
        <v>-3019.976989584392</v>
      </c>
      <c r="M273" s="100">
        <f t="shared" si="67"/>
        <v>29883.98834872957</v>
      </c>
      <c r="N273" s="102">
        <f t="shared" si="68"/>
        <v>38760.036768780243</v>
      </c>
      <c r="O273" s="94">
        <f t="shared" si="69"/>
        <v>1.0519559750913918</v>
      </c>
      <c r="P273" s="100">
        <f>'Bef.fremskr. kommunenivå MMMM'!H268</f>
        <v>771</v>
      </c>
      <c r="Q273" s="100"/>
      <c r="R273" s="100">
        <f t="shared" si="72"/>
        <v>0</v>
      </c>
      <c r="S273" s="100">
        <v>0</v>
      </c>
      <c r="U273" s="100">
        <v>0</v>
      </c>
      <c r="V273" s="5">
        <f t="shared" si="73"/>
        <v>32903.965338313959</v>
      </c>
      <c r="W273" s="5">
        <f t="shared" si="74"/>
        <v>42676.997844765188</v>
      </c>
    </row>
    <row r="274" spans="1:23" ht="13">
      <c r="A274" s="92">
        <v>4637</v>
      </c>
      <c r="B274" s="93" t="s">
        <v>557</v>
      </c>
      <c r="C274" s="574">
        <v>1.0653966628566369</v>
      </c>
      <c r="D274" s="100">
        <f t="shared" si="60"/>
        <v>39255.268094343417</v>
      </c>
      <c r="E274" s="100">
        <f t="shared" si="61"/>
        <v>50521.530037419972</v>
      </c>
      <c r="F274" s="100">
        <f t="shared" si="70"/>
        <v>-1443.8877870298077</v>
      </c>
      <c r="G274" s="100">
        <f t="shared" si="62"/>
        <v>-1858.2835819073625</v>
      </c>
      <c r="H274" s="100">
        <f t="shared" si="71"/>
        <v>0</v>
      </c>
      <c r="I274" s="100">
        <f t="shared" si="63"/>
        <v>0</v>
      </c>
      <c r="J274" s="100">
        <f t="shared" si="64"/>
        <v>-420.03543870207375</v>
      </c>
      <c r="K274" s="100">
        <f t="shared" si="65"/>
        <v>-540.58560960956891</v>
      </c>
      <c r="L274" s="101">
        <f t="shared" si="66"/>
        <v>-2398.8691915169316</v>
      </c>
      <c r="M274" s="100">
        <f t="shared" si="67"/>
        <v>48122.660845903039</v>
      </c>
      <c r="N274" s="102">
        <f t="shared" si="68"/>
        <v>37391.34486861153</v>
      </c>
      <c r="O274" s="94">
        <f t="shared" si="69"/>
        <v>1.0148093740437536</v>
      </c>
      <c r="P274" s="100">
        <f>'Bef.fremskr. kommunenivå MMMM'!H269</f>
        <v>1287</v>
      </c>
      <c r="Q274" s="100"/>
      <c r="R274" s="100">
        <f t="shared" si="72"/>
        <v>0</v>
      </c>
      <c r="S274" s="100">
        <v>0</v>
      </c>
      <c r="U274" s="100">
        <v>405.21599999999995</v>
      </c>
      <c r="V274" s="5">
        <f t="shared" si="73"/>
        <v>50116.314037419972</v>
      </c>
      <c r="W274" s="5">
        <f t="shared" si="74"/>
        <v>38940.414947490266</v>
      </c>
    </row>
    <row r="275" spans="1:23" ht="13">
      <c r="A275" s="92">
        <v>4638</v>
      </c>
      <c r="B275" s="93" t="s">
        <v>558</v>
      </c>
      <c r="C275" s="574">
        <v>0.97640263103624447</v>
      </c>
      <c r="D275" s="100">
        <f t="shared" si="60"/>
        <v>35976.222176798503</v>
      </c>
      <c r="E275" s="100">
        <f t="shared" si="61"/>
        <v>140738.98115563573</v>
      </c>
      <c r="F275" s="100">
        <f t="shared" si="70"/>
        <v>523.5397634971406</v>
      </c>
      <c r="G275" s="100">
        <f t="shared" si="62"/>
        <v>2048.0875548008139</v>
      </c>
      <c r="H275" s="100">
        <f t="shared" si="71"/>
        <v>0</v>
      </c>
      <c r="I275" s="100">
        <f t="shared" si="63"/>
        <v>0</v>
      </c>
      <c r="J275" s="100">
        <f t="shared" si="64"/>
        <v>-420.03543870207375</v>
      </c>
      <c r="K275" s="100">
        <f t="shared" si="65"/>
        <v>-1643.1786362025125</v>
      </c>
      <c r="L275" s="101">
        <f t="shared" si="66"/>
        <v>404.9089185983014</v>
      </c>
      <c r="M275" s="100">
        <f t="shared" si="67"/>
        <v>141143.89007423405</v>
      </c>
      <c r="N275" s="102">
        <f t="shared" si="68"/>
        <v>36079.72650159357</v>
      </c>
      <c r="O275" s="94">
        <f t="shared" si="69"/>
        <v>0.97921176131559695</v>
      </c>
      <c r="P275" s="100">
        <f>'Bef.fremskr. kommunenivå MMMM'!H270</f>
        <v>3912</v>
      </c>
      <c r="Q275" s="100"/>
      <c r="R275" s="100">
        <f t="shared" si="72"/>
        <v>0</v>
      </c>
      <c r="S275" s="100">
        <v>0</v>
      </c>
      <c r="U275" s="100">
        <v>15752.386333333334</v>
      </c>
      <c r="V275" s="5">
        <f t="shared" si="73"/>
        <v>124986.5948223024</v>
      </c>
      <c r="W275" s="5">
        <f t="shared" si="74"/>
        <v>31949.538553758284</v>
      </c>
    </row>
    <row r="276" spans="1:23" ht="13">
      <c r="A276" s="92">
        <v>4639</v>
      </c>
      <c r="B276" s="93" t="s">
        <v>559</v>
      </c>
      <c r="C276" s="574">
        <v>0.96343430992493384</v>
      </c>
      <c r="D276" s="100">
        <f t="shared" si="60"/>
        <v>35498.395523396888</v>
      </c>
      <c r="E276" s="100">
        <f t="shared" si="61"/>
        <v>89633.44869657715</v>
      </c>
      <c r="F276" s="100">
        <f t="shared" si="70"/>
        <v>810.23575553810952</v>
      </c>
      <c r="G276" s="100">
        <f t="shared" si="62"/>
        <v>2045.8452827337264</v>
      </c>
      <c r="H276" s="100">
        <f t="shared" si="71"/>
        <v>0</v>
      </c>
      <c r="I276" s="100">
        <f t="shared" si="63"/>
        <v>0</v>
      </c>
      <c r="J276" s="100">
        <f t="shared" si="64"/>
        <v>-420.03543870207375</v>
      </c>
      <c r="K276" s="100">
        <f t="shared" si="65"/>
        <v>-1060.5894827227362</v>
      </c>
      <c r="L276" s="101">
        <f t="shared" si="66"/>
        <v>985.25580001099024</v>
      </c>
      <c r="M276" s="100">
        <f t="shared" si="67"/>
        <v>90618.704496588151</v>
      </c>
      <c r="N276" s="102">
        <f t="shared" si="68"/>
        <v>35888.595840232934</v>
      </c>
      <c r="O276" s="94">
        <f t="shared" si="69"/>
        <v>0.97402443287107288</v>
      </c>
      <c r="P276" s="100">
        <f>'Bef.fremskr. kommunenivå MMMM'!H271</f>
        <v>2525</v>
      </c>
      <c r="Q276" s="100"/>
      <c r="R276" s="100">
        <f t="shared" si="72"/>
        <v>0</v>
      </c>
      <c r="S276" s="100">
        <v>0</v>
      </c>
      <c r="U276" s="100">
        <v>11108.514666666668</v>
      </c>
      <c r="V276" s="5">
        <f t="shared" si="73"/>
        <v>78524.934029910481</v>
      </c>
      <c r="W276" s="5">
        <f t="shared" si="74"/>
        <v>31098.983774221972</v>
      </c>
    </row>
    <row r="277" spans="1:23" ht="13">
      <c r="A277" s="92">
        <v>4640</v>
      </c>
      <c r="B277" s="93" t="s">
        <v>560</v>
      </c>
      <c r="C277" s="574">
        <v>0.85177443399905228</v>
      </c>
      <c r="D277" s="100">
        <f t="shared" si="60"/>
        <v>31384.211090812998</v>
      </c>
      <c r="E277" s="100">
        <f t="shared" si="61"/>
        <v>386057.18062809069</v>
      </c>
      <c r="F277" s="100">
        <f t="shared" si="70"/>
        <v>3278.7464150884434</v>
      </c>
      <c r="G277" s="100">
        <f t="shared" si="62"/>
        <v>40331.859652002946</v>
      </c>
      <c r="H277" s="100">
        <f t="shared" si="71"/>
        <v>622.89447974297866</v>
      </c>
      <c r="I277" s="100">
        <f t="shared" si="63"/>
        <v>7662.22499531838</v>
      </c>
      <c r="J277" s="100">
        <f t="shared" si="64"/>
        <v>202.85904104090491</v>
      </c>
      <c r="K277" s="100">
        <f t="shared" si="65"/>
        <v>2495.3690638441713</v>
      </c>
      <c r="L277" s="101">
        <f t="shared" si="66"/>
        <v>42827.228715847115</v>
      </c>
      <c r="M277" s="100">
        <f t="shared" si="67"/>
        <v>428884.40934393776</v>
      </c>
      <c r="N277" s="102">
        <f t="shared" si="68"/>
        <v>34865.81654694234</v>
      </c>
      <c r="O277" s="94">
        <f t="shared" si="69"/>
        <v>0.94626597652091271</v>
      </c>
      <c r="P277" s="100">
        <f>'Bef.fremskr. kommunenivå MMMM'!H272</f>
        <v>12301</v>
      </c>
      <c r="Q277" s="100"/>
      <c r="R277" s="100">
        <f t="shared" si="72"/>
        <v>0</v>
      </c>
      <c r="S277" s="100">
        <v>0</v>
      </c>
      <c r="U277" s="100">
        <v>5898.7366666666667</v>
      </c>
      <c r="V277" s="5">
        <f t="shared" si="73"/>
        <v>380158.443961424</v>
      </c>
      <c r="W277" s="5">
        <f t="shared" si="74"/>
        <v>30904.677990523047</v>
      </c>
    </row>
    <row r="278" spans="1:23" ht="13">
      <c r="A278" s="92">
        <v>4641</v>
      </c>
      <c r="B278" s="93" t="s">
        <v>561</v>
      </c>
      <c r="C278" s="574">
        <v>1.3949477578739433</v>
      </c>
      <c r="D278" s="100">
        <f t="shared" si="60"/>
        <v>51397.803392888462</v>
      </c>
      <c r="E278" s="100">
        <f t="shared" si="61"/>
        <v>91333.896629162802</v>
      </c>
      <c r="F278" s="100">
        <f t="shared" si="70"/>
        <v>-8729.4089661568341</v>
      </c>
      <c r="G278" s="100">
        <f t="shared" si="62"/>
        <v>-15512.159732860693</v>
      </c>
      <c r="H278" s="100">
        <f t="shared" si="71"/>
        <v>0</v>
      </c>
      <c r="I278" s="100">
        <f t="shared" si="63"/>
        <v>0</v>
      </c>
      <c r="J278" s="100">
        <f t="shared" si="64"/>
        <v>-420.03543870207375</v>
      </c>
      <c r="K278" s="100">
        <f t="shared" si="65"/>
        <v>-746.40297457358508</v>
      </c>
      <c r="L278" s="101">
        <f t="shared" si="66"/>
        <v>-16258.562707434277</v>
      </c>
      <c r="M278" s="100">
        <f t="shared" si="67"/>
        <v>75075.333921728525</v>
      </c>
      <c r="N278" s="102">
        <f t="shared" si="68"/>
        <v>42248.358988029555</v>
      </c>
      <c r="O278" s="94">
        <f t="shared" si="69"/>
        <v>1.1466298120506766</v>
      </c>
      <c r="P278" s="100">
        <f>'Bef.fremskr. kommunenivå MMMM'!H273</f>
        <v>1777</v>
      </c>
      <c r="Q278" s="100"/>
      <c r="R278" s="100">
        <f t="shared" si="72"/>
        <v>0</v>
      </c>
      <c r="S278" s="100">
        <v>0</v>
      </c>
      <c r="U278" s="100">
        <v>31774.093333333334</v>
      </c>
      <c r="V278" s="5">
        <f t="shared" si="73"/>
        <v>59559.803295829464</v>
      </c>
      <c r="W278" s="5">
        <f t="shared" si="74"/>
        <v>33517.053064619846</v>
      </c>
    </row>
    <row r="279" spans="1:23" ht="13">
      <c r="A279" s="92">
        <v>4642</v>
      </c>
      <c r="B279" s="93" t="s">
        <v>562</v>
      </c>
      <c r="C279" s="574">
        <v>1.0481894921661572</v>
      </c>
      <c r="D279" s="100">
        <f t="shared" si="60"/>
        <v>38621.258131529408</v>
      </c>
      <c r="E279" s="100">
        <f t="shared" si="61"/>
        <v>81606.718431921647</v>
      </c>
      <c r="F279" s="100">
        <f t="shared" si="70"/>
        <v>-1063.4818093414026</v>
      </c>
      <c r="G279" s="100">
        <f t="shared" si="62"/>
        <v>-2247.1370631383838</v>
      </c>
      <c r="H279" s="100">
        <f t="shared" si="71"/>
        <v>0</v>
      </c>
      <c r="I279" s="100">
        <f t="shared" si="63"/>
        <v>0</v>
      </c>
      <c r="J279" s="100">
        <f t="shared" si="64"/>
        <v>-420.03543870207375</v>
      </c>
      <c r="K279" s="100">
        <f t="shared" si="65"/>
        <v>-887.53488197748186</v>
      </c>
      <c r="L279" s="101">
        <f t="shared" si="66"/>
        <v>-3134.6719451158656</v>
      </c>
      <c r="M279" s="100">
        <f t="shared" si="67"/>
        <v>78472.046486805775</v>
      </c>
      <c r="N279" s="102">
        <f t="shared" si="68"/>
        <v>37137.740883485938</v>
      </c>
      <c r="O279" s="94">
        <f t="shared" si="69"/>
        <v>1.0079265057675622</v>
      </c>
      <c r="P279" s="100">
        <f>'Bef.fremskr. kommunenivå MMMM'!H274</f>
        <v>2113</v>
      </c>
      <c r="Q279" s="100"/>
      <c r="R279" s="100">
        <f t="shared" si="72"/>
        <v>0</v>
      </c>
      <c r="S279" s="100">
        <v>0</v>
      </c>
      <c r="U279" s="100">
        <v>13704.223333333333</v>
      </c>
      <c r="V279" s="5">
        <f t="shared" si="73"/>
        <v>67902.495098588319</v>
      </c>
      <c r="W279" s="5">
        <f t="shared" si="74"/>
        <v>32135.586890008668</v>
      </c>
    </row>
    <row r="280" spans="1:23" ht="13">
      <c r="A280" s="92">
        <v>4643</v>
      </c>
      <c r="B280" s="93" t="s">
        <v>563</v>
      </c>
      <c r="C280" s="574">
        <v>1.0624319026828295</v>
      </c>
      <c r="D280" s="100">
        <f t="shared" si="60"/>
        <v>39146.029479735611</v>
      </c>
      <c r="E280" s="100">
        <f t="shared" si="61"/>
        <v>202345.82638075337</v>
      </c>
      <c r="F280" s="100">
        <f t="shared" si="70"/>
        <v>-1378.3446182651242</v>
      </c>
      <c r="G280" s="100">
        <f t="shared" si="62"/>
        <v>-7124.6633318124268</v>
      </c>
      <c r="H280" s="100">
        <f t="shared" si="71"/>
        <v>0</v>
      </c>
      <c r="I280" s="100">
        <f t="shared" si="63"/>
        <v>0</v>
      </c>
      <c r="J280" s="100">
        <f t="shared" si="64"/>
        <v>-420.03543870207375</v>
      </c>
      <c r="K280" s="100">
        <f t="shared" si="65"/>
        <v>-2171.1631826510193</v>
      </c>
      <c r="L280" s="101">
        <f t="shared" si="66"/>
        <v>-9295.8265144634461</v>
      </c>
      <c r="M280" s="100">
        <f t="shared" si="67"/>
        <v>193049.99986628993</v>
      </c>
      <c r="N280" s="102">
        <f t="shared" si="68"/>
        <v>37347.649422768416</v>
      </c>
      <c r="O280" s="94">
        <f t="shared" si="69"/>
        <v>1.013623469974231</v>
      </c>
      <c r="P280" s="100">
        <f>'Bef.fremskr. kommunenivå MMMM'!H275</f>
        <v>5169</v>
      </c>
      <c r="Q280" s="100"/>
      <c r="R280" s="100">
        <f t="shared" si="72"/>
        <v>0</v>
      </c>
      <c r="S280" s="100">
        <v>0</v>
      </c>
      <c r="U280" s="100">
        <v>21798.406333333332</v>
      </c>
      <c r="V280" s="5">
        <f t="shared" si="73"/>
        <v>180547.42004742002</v>
      </c>
      <c r="W280" s="5">
        <f t="shared" si="74"/>
        <v>34928.887608322701</v>
      </c>
    </row>
    <row r="281" spans="1:23" ht="13">
      <c r="A281" s="92">
        <v>4644</v>
      </c>
      <c r="B281" s="93" t="s">
        <v>564</v>
      </c>
      <c r="C281" s="574">
        <v>0.93597084342418413</v>
      </c>
      <c r="D281" s="100">
        <f t="shared" si="60"/>
        <v>34486.485332692624</v>
      </c>
      <c r="E281" s="100">
        <f t="shared" si="61"/>
        <v>181260.96690863243</v>
      </c>
      <c r="F281" s="100">
        <f t="shared" si="70"/>
        <v>1417.3818699606679</v>
      </c>
      <c r="G281" s="100">
        <f t="shared" si="62"/>
        <v>7449.7591085132708</v>
      </c>
      <c r="H281" s="100">
        <f t="shared" si="71"/>
        <v>0</v>
      </c>
      <c r="I281" s="100">
        <f t="shared" si="63"/>
        <v>0</v>
      </c>
      <c r="J281" s="100">
        <f t="shared" si="64"/>
        <v>-420.03543870207375</v>
      </c>
      <c r="K281" s="100">
        <f t="shared" si="65"/>
        <v>-2207.7062658180994</v>
      </c>
      <c r="L281" s="101">
        <f t="shared" si="66"/>
        <v>5242.0528426951714</v>
      </c>
      <c r="M281" s="100">
        <f t="shared" si="67"/>
        <v>186503.01975132761</v>
      </c>
      <c r="N281" s="102">
        <f t="shared" si="68"/>
        <v>35483.831763951217</v>
      </c>
      <c r="O281" s="94">
        <f t="shared" si="69"/>
        <v>0.96303904627077275</v>
      </c>
      <c r="P281" s="100">
        <f>'Bef.fremskr. kommunenivå MMMM'!H276</f>
        <v>5256</v>
      </c>
      <c r="Q281" s="100"/>
      <c r="R281" s="100">
        <f t="shared" si="72"/>
        <v>0</v>
      </c>
      <c r="S281" s="100">
        <v>0</v>
      </c>
      <c r="U281" s="100">
        <v>34389.780666666666</v>
      </c>
      <c r="V281" s="5">
        <f t="shared" si="73"/>
        <v>146871.18624196577</v>
      </c>
      <c r="W281" s="5">
        <f t="shared" si="74"/>
        <v>27943.528584848889</v>
      </c>
    </row>
    <row r="282" spans="1:23" ht="13">
      <c r="A282" s="92">
        <v>4645</v>
      </c>
      <c r="B282" s="93" t="s">
        <v>565</v>
      </c>
      <c r="C282" s="574">
        <v>0.88462398596343894</v>
      </c>
      <c r="D282" s="100">
        <f t="shared" si="60"/>
        <v>32594.575281070076</v>
      </c>
      <c r="E282" s="100">
        <f t="shared" si="61"/>
        <v>95339.132697129986</v>
      </c>
      <c r="F282" s="100">
        <f t="shared" si="70"/>
        <v>2552.5279009341966</v>
      </c>
      <c r="G282" s="100">
        <f t="shared" si="62"/>
        <v>7466.1441102325252</v>
      </c>
      <c r="H282" s="100">
        <f t="shared" si="71"/>
        <v>199.26701315300141</v>
      </c>
      <c r="I282" s="100">
        <f t="shared" si="63"/>
        <v>582.85601347252918</v>
      </c>
      <c r="J282" s="100">
        <f t="shared" si="64"/>
        <v>-220.76842554907233</v>
      </c>
      <c r="K282" s="100">
        <f t="shared" si="65"/>
        <v>-645.74764473103664</v>
      </c>
      <c r="L282" s="101">
        <f t="shared" si="66"/>
        <v>6820.3964655014888</v>
      </c>
      <c r="M282" s="100">
        <f t="shared" si="67"/>
        <v>102159.52916263147</v>
      </c>
      <c r="N282" s="102">
        <f t="shared" si="68"/>
        <v>34926.334756455202</v>
      </c>
      <c r="O282" s="94">
        <f t="shared" si="69"/>
        <v>0.94790845411913227</v>
      </c>
      <c r="P282" s="100">
        <f>'Bef.fremskr. kommunenivå MMMM'!H277</f>
        <v>2925</v>
      </c>
      <c r="Q282" s="100"/>
      <c r="R282" s="100">
        <f t="shared" si="72"/>
        <v>0</v>
      </c>
      <c r="S282" s="100">
        <v>0</v>
      </c>
      <c r="U282" s="100">
        <v>0</v>
      </c>
      <c r="V282" s="5">
        <f t="shared" si="73"/>
        <v>95339.132697129986</v>
      </c>
      <c r="W282" s="5">
        <f t="shared" si="74"/>
        <v>32594.57528107008</v>
      </c>
    </row>
    <row r="283" spans="1:23" ht="13">
      <c r="A283" s="92">
        <v>4646</v>
      </c>
      <c r="B283" s="93" t="s">
        <v>566</v>
      </c>
      <c r="C283" s="574">
        <v>0.80156309805180048</v>
      </c>
      <c r="D283" s="100">
        <f t="shared" si="60"/>
        <v>29534.140105327151</v>
      </c>
      <c r="E283" s="100">
        <f t="shared" si="61"/>
        <v>87775.464393032293</v>
      </c>
      <c r="F283" s="100">
        <f t="shared" si="70"/>
        <v>4388.7890063799514</v>
      </c>
      <c r="G283" s="100">
        <f t="shared" si="62"/>
        <v>13043.480926961216</v>
      </c>
      <c r="H283" s="100">
        <f t="shared" si="71"/>
        <v>1270.419324663025</v>
      </c>
      <c r="I283" s="100">
        <f t="shared" si="63"/>
        <v>3775.6862328985108</v>
      </c>
      <c r="J283" s="100">
        <f t="shared" si="64"/>
        <v>850.38388596095126</v>
      </c>
      <c r="K283" s="100">
        <f t="shared" si="65"/>
        <v>2527.3409090759469</v>
      </c>
      <c r="L283" s="101">
        <f t="shared" si="66"/>
        <v>15570.821836037163</v>
      </c>
      <c r="M283" s="100">
        <f t="shared" si="67"/>
        <v>103346.28622906946</v>
      </c>
      <c r="N283" s="102">
        <f t="shared" si="68"/>
        <v>34773.312997668058</v>
      </c>
      <c r="O283" s="94">
        <f t="shared" si="69"/>
        <v>0.94375540972355032</v>
      </c>
      <c r="P283" s="100">
        <f>'Bef.fremskr. kommunenivå MMMM'!H278</f>
        <v>2972</v>
      </c>
      <c r="Q283" s="100"/>
      <c r="R283" s="100">
        <f t="shared" si="72"/>
        <v>0</v>
      </c>
      <c r="S283" s="100">
        <v>0</v>
      </c>
      <c r="U283" s="100">
        <v>0</v>
      </c>
      <c r="V283" s="5">
        <f t="shared" si="73"/>
        <v>87775.464393032293</v>
      </c>
      <c r="W283" s="5">
        <f t="shared" si="74"/>
        <v>29534.140105327151</v>
      </c>
    </row>
    <row r="284" spans="1:23" ht="13">
      <c r="A284" s="92">
        <v>4647</v>
      </c>
      <c r="B284" s="93" t="s">
        <v>1830</v>
      </c>
      <c r="C284" s="574">
        <v>0.90977619561283096</v>
      </c>
      <c r="D284" s="100">
        <f t="shared" si="60"/>
        <v>33521.325633661407</v>
      </c>
      <c r="E284" s="100">
        <f t="shared" si="61"/>
        <v>743335.39592644165</v>
      </c>
      <c r="F284" s="100">
        <f t="shared" si="70"/>
        <v>1996.4776893793983</v>
      </c>
      <c r="G284" s="100">
        <f t="shared" si="62"/>
        <v>44271.892761988158</v>
      </c>
      <c r="H284" s="100">
        <f t="shared" si="71"/>
        <v>0</v>
      </c>
      <c r="I284" s="100">
        <f t="shared" si="63"/>
        <v>0</v>
      </c>
      <c r="J284" s="100">
        <f t="shared" si="64"/>
        <v>-420.03543870207375</v>
      </c>
      <c r="K284" s="100">
        <f t="shared" si="65"/>
        <v>-9314.2858532184855</v>
      </c>
      <c r="L284" s="101">
        <f t="shared" si="66"/>
        <v>34957.606908769674</v>
      </c>
      <c r="M284" s="100">
        <f t="shared" si="67"/>
        <v>778293.00283521134</v>
      </c>
      <c r="N284" s="102">
        <f t="shared" si="68"/>
        <v>35097.767884338733</v>
      </c>
      <c r="O284" s="94">
        <f t="shared" si="69"/>
        <v>0.9525611871462315</v>
      </c>
      <c r="P284" s="100">
        <f>'Bef.fremskr. kommunenivå MMMM'!H279</f>
        <v>22175</v>
      </c>
      <c r="Q284" s="100"/>
      <c r="R284" s="100">
        <f t="shared" si="72"/>
        <v>0</v>
      </c>
      <c r="S284" s="100">
        <v>0</v>
      </c>
      <c r="U284" s="100">
        <v>4952.2340000000004</v>
      </c>
      <c r="V284" s="5">
        <f t="shared" si="73"/>
        <v>738383.16192644159</v>
      </c>
      <c r="W284" s="5">
        <f t="shared" si="74"/>
        <v>33298.000537832762</v>
      </c>
    </row>
    <row r="285" spans="1:23" ht="13">
      <c r="A285" s="92">
        <v>4648</v>
      </c>
      <c r="B285" s="93" t="s">
        <v>567</v>
      </c>
      <c r="C285" s="574">
        <v>0.9902067411252401</v>
      </c>
      <c r="D285" s="100">
        <f t="shared" si="60"/>
        <v>36484.844046229184</v>
      </c>
      <c r="E285" s="100">
        <f t="shared" si="61"/>
        <v>127040.22696897002</v>
      </c>
      <c r="F285" s="100">
        <f t="shared" si="70"/>
        <v>218.36664183873216</v>
      </c>
      <c r="G285" s="100">
        <f t="shared" si="62"/>
        <v>760.35264688246536</v>
      </c>
      <c r="H285" s="100">
        <f t="shared" si="71"/>
        <v>0</v>
      </c>
      <c r="I285" s="100">
        <f t="shared" si="63"/>
        <v>0</v>
      </c>
      <c r="J285" s="100">
        <f t="shared" si="64"/>
        <v>-420.03543870207375</v>
      </c>
      <c r="K285" s="100">
        <f t="shared" si="65"/>
        <v>-1462.5633975606206</v>
      </c>
      <c r="L285" s="101">
        <f t="shared" si="66"/>
        <v>-702.21075067815525</v>
      </c>
      <c r="M285" s="100">
        <f t="shared" si="67"/>
        <v>126338.01621829187</v>
      </c>
      <c r="N285" s="102">
        <f t="shared" si="68"/>
        <v>36283.17524936585</v>
      </c>
      <c r="O285" s="94">
        <f t="shared" si="69"/>
        <v>0.98473340535119536</v>
      </c>
      <c r="P285" s="100">
        <f>'Bef.fremskr. kommunenivå MMMM'!H280</f>
        <v>3482</v>
      </c>
      <c r="Q285" s="100"/>
      <c r="R285" s="100">
        <f t="shared" si="72"/>
        <v>0</v>
      </c>
      <c r="S285" s="100">
        <v>0</v>
      </c>
      <c r="U285" s="100">
        <v>14878.842333333334</v>
      </c>
      <c r="V285" s="5">
        <f t="shared" si="73"/>
        <v>112161.38463563668</v>
      </c>
      <c r="W285" s="5">
        <f t="shared" si="74"/>
        <v>32211.770429533797</v>
      </c>
    </row>
    <row r="286" spans="1:23" ht="13">
      <c r="A286" s="92">
        <v>4649</v>
      </c>
      <c r="B286" s="93" t="s">
        <v>1831</v>
      </c>
      <c r="C286" s="574">
        <v>0.81397310809944146</v>
      </c>
      <c r="D286" s="100">
        <f t="shared" si="60"/>
        <v>29991.395406059397</v>
      </c>
      <c r="E286" s="100">
        <f t="shared" si="61"/>
        <v>286357.84333705512</v>
      </c>
      <c r="F286" s="100">
        <f t="shared" si="70"/>
        <v>4114.4358259406044</v>
      </c>
      <c r="G286" s="100">
        <f t="shared" si="62"/>
        <v>39284.633266080891</v>
      </c>
      <c r="H286" s="100">
        <f t="shared" si="71"/>
        <v>1110.3799694067391</v>
      </c>
      <c r="I286" s="100">
        <f t="shared" si="63"/>
        <v>10601.907947895546</v>
      </c>
      <c r="J286" s="100">
        <f t="shared" si="64"/>
        <v>690.34453070466532</v>
      </c>
      <c r="K286" s="100">
        <f t="shared" si="65"/>
        <v>6591.4095791681448</v>
      </c>
      <c r="L286" s="101">
        <f t="shared" si="66"/>
        <v>45876.042845249038</v>
      </c>
      <c r="M286" s="100">
        <f t="shared" si="67"/>
        <v>332233.88618230412</v>
      </c>
      <c r="N286" s="102">
        <f t="shared" si="68"/>
        <v>34796.175762704668</v>
      </c>
      <c r="O286" s="94">
        <f t="shared" si="69"/>
        <v>0.94437591022593237</v>
      </c>
      <c r="P286" s="100">
        <f>'Bef.fremskr. kommunenivå MMMM'!H281</f>
        <v>9548</v>
      </c>
      <c r="Q286" s="100"/>
      <c r="R286" s="100">
        <f t="shared" si="72"/>
        <v>0</v>
      </c>
      <c r="S286" s="100">
        <v>0</v>
      </c>
      <c r="U286" s="100">
        <v>46.115000000000002</v>
      </c>
      <c r="V286" s="5">
        <f t="shared" si="73"/>
        <v>286311.72833705513</v>
      </c>
      <c r="W286" s="5">
        <f t="shared" si="74"/>
        <v>29986.565598769914</v>
      </c>
    </row>
    <row r="287" spans="1:23" ht="13">
      <c r="A287" s="92">
        <v>4650</v>
      </c>
      <c r="B287" s="93" t="s">
        <v>568</v>
      </c>
      <c r="C287" s="574">
        <v>0.8081635356812723</v>
      </c>
      <c r="D287" s="100">
        <f t="shared" si="60"/>
        <v>29777.337740272036</v>
      </c>
      <c r="E287" s="100">
        <f t="shared" si="61"/>
        <v>174286.75779381223</v>
      </c>
      <c r="F287" s="100">
        <f t="shared" si="70"/>
        <v>4242.8704254130207</v>
      </c>
      <c r="G287" s="100">
        <f t="shared" si="62"/>
        <v>24833.520599942407</v>
      </c>
      <c r="H287" s="100">
        <f t="shared" si="71"/>
        <v>1185.3001524323154</v>
      </c>
      <c r="I287" s="100">
        <f t="shared" si="63"/>
        <v>6937.5617921863422</v>
      </c>
      <c r="J287" s="100">
        <f t="shared" si="64"/>
        <v>765.26471373024162</v>
      </c>
      <c r="K287" s="100">
        <f t="shared" si="65"/>
        <v>4479.0943694631042</v>
      </c>
      <c r="L287" s="101">
        <f t="shared" si="66"/>
        <v>29312.614969405513</v>
      </c>
      <c r="M287" s="100">
        <f t="shared" si="67"/>
        <v>203599.37276321772</v>
      </c>
      <c r="N287" s="102">
        <f t="shared" si="68"/>
        <v>34785.472879415291</v>
      </c>
      <c r="O287" s="94">
        <f t="shared" si="69"/>
        <v>0.94408543160502367</v>
      </c>
      <c r="P287" s="100">
        <f>'Bef.fremskr. kommunenivå MMMM'!H282</f>
        <v>5853</v>
      </c>
      <c r="Q287" s="100"/>
      <c r="R287" s="100">
        <f t="shared" si="72"/>
        <v>0</v>
      </c>
      <c r="S287" s="100">
        <v>0</v>
      </c>
      <c r="U287" s="100">
        <v>497.01600000000002</v>
      </c>
      <c r="V287" s="5">
        <f t="shared" si="73"/>
        <v>173789.74179381222</v>
      </c>
      <c r="W287" s="5">
        <f t="shared" si="74"/>
        <v>29692.421287171059</v>
      </c>
    </row>
    <row r="288" spans="1:23" ht="13">
      <c r="A288" s="92">
        <v>4651</v>
      </c>
      <c r="B288" s="93" t="s">
        <v>569</v>
      </c>
      <c r="C288" s="574">
        <v>0.83149547171055738</v>
      </c>
      <c r="D288" s="100">
        <f t="shared" si="60"/>
        <v>30637.018867425053</v>
      </c>
      <c r="E288" s="100">
        <f t="shared" si="61"/>
        <v>222914.94927938466</v>
      </c>
      <c r="F288" s="100">
        <f t="shared" si="70"/>
        <v>3727.0617491212106</v>
      </c>
      <c r="G288" s="100">
        <f t="shared" si="62"/>
        <v>27118.101286605928</v>
      </c>
      <c r="H288" s="100">
        <f t="shared" si="71"/>
        <v>884.41175792875947</v>
      </c>
      <c r="I288" s="100">
        <f t="shared" si="63"/>
        <v>6434.9799506896543</v>
      </c>
      <c r="J288" s="100">
        <f t="shared" si="64"/>
        <v>464.37631922668572</v>
      </c>
      <c r="K288" s="100">
        <f t="shared" si="65"/>
        <v>3378.8020986933652</v>
      </c>
      <c r="L288" s="101">
        <f t="shared" si="66"/>
        <v>30496.903385299294</v>
      </c>
      <c r="M288" s="100">
        <f t="shared" si="67"/>
        <v>253411.85266468395</v>
      </c>
      <c r="N288" s="102">
        <f t="shared" si="68"/>
        <v>34828.456935772942</v>
      </c>
      <c r="O288" s="94">
        <f t="shared" si="69"/>
        <v>0.94525202840648792</v>
      </c>
      <c r="P288" s="100">
        <f>'Bef.fremskr. kommunenivå MMMM'!H283</f>
        <v>7276</v>
      </c>
      <c r="Q288" s="100"/>
      <c r="R288" s="100">
        <f t="shared" si="72"/>
        <v>0</v>
      </c>
      <c r="S288" s="100">
        <v>0</v>
      </c>
      <c r="U288" s="100">
        <v>482.80166666666668</v>
      </c>
      <c r="V288" s="5">
        <f t="shared" si="73"/>
        <v>222432.14761271799</v>
      </c>
      <c r="W288" s="5">
        <f t="shared" si="74"/>
        <v>30570.663498174545</v>
      </c>
    </row>
    <row r="289" spans="1:23" ht="13">
      <c r="A289" s="92">
        <v>5001</v>
      </c>
      <c r="B289" s="93" t="s">
        <v>592</v>
      </c>
      <c r="C289" s="574">
        <v>0.98736388771509487</v>
      </c>
      <c r="D289" s="100">
        <f t="shared" si="60"/>
        <v>36380.097169634937</v>
      </c>
      <c r="E289" s="100">
        <f t="shared" si="61"/>
        <v>7810624.9618347734</v>
      </c>
      <c r="F289" s="100">
        <f t="shared" si="70"/>
        <v>281.21476779528018</v>
      </c>
      <c r="G289" s="100">
        <f t="shared" si="62"/>
        <v>60375.404571807674</v>
      </c>
      <c r="H289" s="100">
        <f t="shared" si="71"/>
        <v>0</v>
      </c>
      <c r="I289" s="100">
        <f t="shared" si="63"/>
        <v>0</v>
      </c>
      <c r="J289" s="100">
        <f t="shared" si="64"/>
        <v>-420.03543870207375</v>
      </c>
      <c r="K289" s="100">
        <f t="shared" si="65"/>
        <v>-90179.508512141721</v>
      </c>
      <c r="L289" s="101">
        <f t="shared" si="66"/>
        <v>-29804.103940334047</v>
      </c>
      <c r="M289" s="100">
        <f t="shared" si="67"/>
        <v>7780820.8578944393</v>
      </c>
      <c r="N289" s="102">
        <f t="shared" si="68"/>
        <v>36241.276498728148</v>
      </c>
      <c r="O289" s="94">
        <f t="shared" si="69"/>
        <v>0.98359626398713718</v>
      </c>
      <c r="P289" s="100">
        <f>'Bef.fremskr. kommunenivå MMMM'!H284</f>
        <v>214695</v>
      </c>
      <c r="Q289" s="100"/>
      <c r="R289" s="100">
        <f t="shared" si="72"/>
        <v>0</v>
      </c>
      <c r="S289" s="100">
        <v>0</v>
      </c>
      <c r="U289" s="100">
        <v>9260.991</v>
      </c>
      <c r="V289" s="5">
        <f t="shared" si="73"/>
        <v>7801363.970834773</v>
      </c>
      <c r="W289" s="5">
        <f t="shared" si="74"/>
        <v>36336.961600571849</v>
      </c>
    </row>
    <row r="290" spans="1:23" ht="13">
      <c r="A290" s="92">
        <v>5006</v>
      </c>
      <c r="B290" s="93" t="s">
        <v>608</v>
      </c>
      <c r="C290" s="574">
        <v>0.74118218588613749</v>
      </c>
      <c r="D290" s="100">
        <f t="shared" si="60"/>
        <v>27309.364134573942</v>
      </c>
      <c r="E290" s="100">
        <f t="shared" si="61"/>
        <v>652529.94663150981</v>
      </c>
      <c r="F290" s="100">
        <f t="shared" si="70"/>
        <v>5723.6545888318769</v>
      </c>
      <c r="G290" s="100">
        <f t="shared" si="62"/>
        <v>136761.00274554887</v>
      </c>
      <c r="H290" s="100">
        <f t="shared" si="71"/>
        <v>2049.0909144266484</v>
      </c>
      <c r="I290" s="100">
        <f t="shared" si="63"/>
        <v>48960.97830931034</v>
      </c>
      <c r="J290" s="100">
        <f t="shared" si="64"/>
        <v>1629.0554757245745</v>
      </c>
      <c r="K290" s="100">
        <f t="shared" si="65"/>
        <v>38924.651536962985</v>
      </c>
      <c r="L290" s="101">
        <f t="shared" si="66"/>
        <v>175685.65428251185</v>
      </c>
      <c r="M290" s="100">
        <f t="shared" si="67"/>
        <v>828215.6009140216</v>
      </c>
      <c r="N290" s="102">
        <f t="shared" si="68"/>
        <v>34662.074199130395</v>
      </c>
      <c r="O290" s="94">
        <f t="shared" si="69"/>
        <v>0.94073636411526718</v>
      </c>
      <c r="P290" s="100">
        <f>'Bef.fremskr. kommunenivå MMMM'!H285</f>
        <v>23894</v>
      </c>
      <c r="Q290" s="100"/>
      <c r="R290" s="100">
        <f t="shared" si="72"/>
        <v>0</v>
      </c>
      <c r="S290" s="100">
        <v>0</v>
      </c>
      <c r="U290" s="100">
        <v>3654.9483333333333</v>
      </c>
      <c r="V290" s="5">
        <f t="shared" si="73"/>
        <v>648874.99829817645</v>
      </c>
      <c r="W290" s="5">
        <f t="shared" si="74"/>
        <v>27156.399024783477</v>
      </c>
    </row>
    <row r="291" spans="1:23" ht="13">
      <c r="A291" s="92">
        <v>5007</v>
      </c>
      <c r="B291" s="93" t="s">
        <v>609</v>
      </c>
      <c r="C291" s="574">
        <v>0.79156971504590123</v>
      </c>
      <c r="D291" s="100">
        <f t="shared" si="60"/>
        <v>29165.927079378507</v>
      </c>
      <c r="E291" s="100">
        <f t="shared" si="61"/>
        <v>435447.29129512113</v>
      </c>
      <c r="F291" s="100">
        <f t="shared" si="70"/>
        <v>4609.7168219491377</v>
      </c>
      <c r="G291" s="100">
        <f t="shared" si="62"/>
        <v>68823.072151700631</v>
      </c>
      <c r="H291" s="100">
        <f t="shared" si="71"/>
        <v>1399.2938837450504</v>
      </c>
      <c r="I291" s="100">
        <f t="shared" si="63"/>
        <v>20891.457684313602</v>
      </c>
      <c r="J291" s="100">
        <f t="shared" si="64"/>
        <v>979.25844504297663</v>
      </c>
      <c r="K291" s="100">
        <f t="shared" si="65"/>
        <v>14620.328584491641</v>
      </c>
      <c r="L291" s="101">
        <f t="shared" si="66"/>
        <v>83443.40073619227</v>
      </c>
      <c r="M291" s="100">
        <f t="shared" si="67"/>
        <v>518890.69203131337</v>
      </c>
      <c r="N291" s="102">
        <f t="shared" si="68"/>
        <v>34754.902346370618</v>
      </c>
      <c r="O291" s="94">
        <f t="shared" si="69"/>
        <v>0.94325574057325523</v>
      </c>
      <c r="P291" s="100">
        <f>'Bef.fremskr. kommunenivå MMMM'!H286</f>
        <v>14930</v>
      </c>
      <c r="Q291" s="100"/>
      <c r="R291" s="100">
        <f t="shared" si="72"/>
        <v>0</v>
      </c>
      <c r="S291" s="100">
        <v>0</v>
      </c>
      <c r="U291" s="100">
        <v>463.61533333333335</v>
      </c>
      <c r="V291" s="5">
        <f t="shared" si="73"/>
        <v>434983.67596178781</v>
      </c>
      <c r="W291" s="5">
        <f t="shared" si="74"/>
        <v>29134.874478351496</v>
      </c>
    </row>
    <row r="292" spans="1:23" ht="13">
      <c r="A292" s="92">
        <v>5014</v>
      </c>
      <c r="B292" s="93" t="s">
        <v>594</v>
      </c>
      <c r="C292" s="574">
        <v>2.1809238573369703</v>
      </c>
      <c r="D292" s="100">
        <f t="shared" si="60"/>
        <v>80357.629883652698</v>
      </c>
      <c r="E292" s="100">
        <f t="shared" si="61"/>
        <v>437868.72523602354</v>
      </c>
      <c r="F292" s="100">
        <f t="shared" si="70"/>
        <v>-26105.304860615375</v>
      </c>
      <c r="G292" s="100">
        <f t="shared" si="62"/>
        <v>-142247.80618549316</v>
      </c>
      <c r="H292" s="100">
        <f t="shared" si="71"/>
        <v>0</v>
      </c>
      <c r="I292" s="100">
        <f t="shared" si="63"/>
        <v>0</v>
      </c>
      <c r="J292" s="100">
        <f t="shared" si="64"/>
        <v>-420.03543870207375</v>
      </c>
      <c r="K292" s="100">
        <f t="shared" si="65"/>
        <v>-2288.7731054875999</v>
      </c>
      <c r="L292" s="101">
        <f t="shared" si="66"/>
        <v>-144536.57929098076</v>
      </c>
      <c r="M292" s="100">
        <f t="shared" si="67"/>
        <v>293332.14594504284</v>
      </c>
      <c r="N292" s="102">
        <f t="shared" si="68"/>
        <v>53832.28958433526</v>
      </c>
      <c r="O292" s="94">
        <f t="shared" si="69"/>
        <v>1.4610202518358877</v>
      </c>
      <c r="P292" s="100">
        <f>'Bef.fremskr. kommunenivå MMMM'!H287</f>
        <v>5449</v>
      </c>
      <c r="Q292" s="100"/>
      <c r="R292" s="100">
        <f t="shared" si="72"/>
        <v>0</v>
      </c>
      <c r="S292" s="100">
        <v>0</v>
      </c>
      <c r="U292" s="100">
        <v>0</v>
      </c>
      <c r="V292" s="5">
        <f t="shared" si="73"/>
        <v>437868.72523602354</v>
      </c>
      <c r="W292" s="5">
        <f t="shared" si="74"/>
        <v>80357.629883652698</v>
      </c>
    </row>
    <row r="293" spans="1:23" ht="13">
      <c r="A293" s="92">
        <v>5020</v>
      </c>
      <c r="B293" s="93" t="s">
        <v>597</v>
      </c>
      <c r="C293" s="574">
        <v>0.83152716768067703</v>
      </c>
      <c r="D293" s="100">
        <f t="shared" si="60"/>
        <v>30638.18672710393</v>
      </c>
      <c r="E293" s="100">
        <f t="shared" si="61"/>
        <v>27605.006241120642</v>
      </c>
      <c r="F293" s="100">
        <f t="shared" si="70"/>
        <v>3726.361033313884</v>
      </c>
      <c r="G293" s="100">
        <f t="shared" si="62"/>
        <v>3357.4512910158096</v>
      </c>
      <c r="H293" s="100">
        <f t="shared" si="71"/>
        <v>884.0030070411525</v>
      </c>
      <c r="I293" s="100">
        <f t="shared" si="63"/>
        <v>796.48670934407846</v>
      </c>
      <c r="J293" s="100">
        <f t="shared" si="64"/>
        <v>463.96756833907875</v>
      </c>
      <c r="K293" s="100">
        <f t="shared" si="65"/>
        <v>418.03477907350998</v>
      </c>
      <c r="L293" s="101">
        <f t="shared" si="66"/>
        <v>3775.4860700893196</v>
      </c>
      <c r="M293" s="100">
        <f t="shared" si="67"/>
        <v>31380.49231120996</v>
      </c>
      <c r="N293" s="102">
        <f t="shared" si="68"/>
        <v>34828.515328756897</v>
      </c>
      <c r="O293" s="94">
        <f t="shared" si="69"/>
        <v>0.94525361320499424</v>
      </c>
      <c r="P293" s="100">
        <f>'Bef.fremskr. kommunenivå MMMM'!H288</f>
        <v>901</v>
      </c>
      <c r="Q293" s="100"/>
      <c r="R293" s="100">
        <f t="shared" si="72"/>
        <v>0</v>
      </c>
      <c r="S293" s="100">
        <v>0</v>
      </c>
      <c r="U293" s="100">
        <v>0</v>
      </c>
      <c r="V293" s="5">
        <f t="shared" si="73"/>
        <v>27605.006241120642</v>
      </c>
      <c r="W293" s="5">
        <f t="shared" si="74"/>
        <v>30638.18672710393</v>
      </c>
    </row>
    <row r="294" spans="1:23" ht="13">
      <c r="A294" s="92">
        <v>5021</v>
      </c>
      <c r="B294" s="93" t="s">
        <v>598</v>
      </c>
      <c r="C294" s="574">
        <v>0.83557897458031194</v>
      </c>
      <c r="D294" s="100">
        <f t="shared" si="60"/>
        <v>30787.478321171067</v>
      </c>
      <c r="E294" s="100">
        <f t="shared" si="61"/>
        <v>218560.3086019934</v>
      </c>
      <c r="F294" s="100">
        <f t="shared" si="70"/>
        <v>3636.7860768736018</v>
      </c>
      <c r="G294" s="100">
        <f t="shared" si="62"/>
        <v>25817.5443597257</v>
      </c>
      <c r="H294" s="100">
        <f t="shared" si="71"/>
        <v>831.75094911765439</v>
      </c>
      <c r="I294" s="100">
        <f t="shared" si="63"/>
        <v>5904.5999877862287</v>
      </c>
      <c r="J294" s="100">
        <f t="shared" si="64"/>
        <v>411.71551041558064</v>
      </c>
      <c r="K294" s="100">
        <f t="shared" si="65"/>
        <v>2922.7684084402072</v>
      </c>
      <c r="L294" s="101">
        <f t="shared" si="66"/>
        <v>28740.312768165906</v>
      </c>
      <c r="M294" s="100">
        <f t="shared" si="67"/>
        <v>247300.62137015929</v>
      </c>
      <c r="N294" s="102">
        <f t="shared" si="68"/>
        <v>34835.979908460249</v>
      </c>
      <c r="O294" s="94">
        <f t="shared" si="69"/>
        <v>0.94545620354997584</v>
      </c>
      <c r="P294" s="100">
        <f>'Bef.fremskr. kommunenivå MMMM'!H289</f>
        <v>7099</v>
      </c>
      <c r="Q294" s="100"/>
      <c r="R294" s="100">
        <f t="shared" si="72"/>
        <v>0</v>
      </c>
      <c r="S294" s="100">
        <v>0</v>
      </c>
      <c r="U294" s="100">
        <v>3496.3269999999998</v>
      </c>
      <c r="V294" s="5">
        <f t="shared" si="73"/>
        <v>215063.98160199341</v>
      </c>
      <c r="W294" s="5">
        <f t="shared" si="74"/>
        <v>30294.968531059785</v>
      </c>
    </row>
    <row r="295" spans="1:23" ht="13">
      <c r="A295" s="92">
        <v>5022</v>
      </c>
      <c r="B295" s="93" t="s">
        <v>599</v>
      </c>
      <c r="C295" s="574">
        <v>0.74329632830452341</v>
      </c>
      <c r="D295" s="100">
        <f t="shared" si="60"/>
        <v>27387.26115670356</v>
      </c>
      <c r="E295" s="100">
        <f t="shared" si="61"/>
        <v>66770.142700043274</v>
      </c>
      <c r="F295" s="100">
        <f t="shared" si="70"/>
        <v>5676.9163755541058</v>
      </c>
      <c r="G295" s="100">
        <f t="shared" si="62"/>
        <v>13840.32212360091</v>
      </c>
      <c r="H295" s="100">
        <f t="shared" si="71"/>
        <v>2021.8269566812819</v>
      </c>
      <c r="I295" s="100">
        <f t="shared" si="63"/>
        <v>4929.2141203889651</v>
      </c>
      <c r="J295" s="100">
        <f t="shared" si="64"/>
        <v>1601.791517979208</v>
      </c>
      <c r="K295" s="100">
        <f t="shared" si="65"/>
        <v>3905.167720833309</v>
      </c>
      <c r="L295" s="101">
        <f t="shared" si="66"/>
        <v>17745.489844434218</v>
      </c>
      <c r="M295" s="100">
        <f t="shared" si="67"/>
        <v>84515.632544477499</v>
      </c>
      <c r="N295" s="102">
        <f t="shared" si="68"/>
        <v>34665.969050236868</v>
      </c>
      <c r="O295" s="94">
        <f t="shared" si="69"/>
        <v>0.94084207123618624</v>
      </c>
      <c r="P295" s="100">
        <f>'Bef.fremskr. kommunenivå MMMM'!H290</f>
        <v>2438</v>
      </c>
      <c r="Q295" s="100"/>
      <c r="R295" s="100">
        <f t="shared" si="72"/>
        <v>0</v>
      </c>
      <c r="S295" s="100">
        <v>0</v>
      </c>
      <c r="U295" s="100">
        <v>6181.0373333333337</v>
      </c>
      <c r="V295" s="5">
        <f t="shared" si="73"/>
        <v>60589.10536670994</v>
      </c>
      <c r="W295" s="5">
        <f t="shared" si="74"/>
        <v>24851.971028182914</v>
      </c>
    </row>
    <row r="296" spans="1:23" ht="13">
      <c r="A296" s="92">
        <v>5025</v>
      </c>
      <c r="B296" s="93" t="s">
        <v>600</v>
      </c>
      <c r="C296" s="574">
        <v>0.84388725911185447</v>
      </c>
      <c r="D296" s="100">
        <f t="shared" si="60"/>
        <v>31093.6027423001</v>
      </c>
      <c r="E296" s="100">
        <f t="shared" si="61"/>
        <v>174279.64337059206</v>
      </c>
      <c r="F296" s="100">
        <f t="shared" si="70"/>
        <v>3453.1114241961827</v>
      </c>
      <c r="G296" s="100">
        <f t="shared" si="62"/>
        <v>19354.689532619603</v>
      </c>
      <c r="H296" s="100">
        <f t="shared" si="71"/>
        <v>724.60740172249314</v>
      </c>
      <c r="I296" s="100">
        <f t="shared" si="63"/>
        <v>4061.4244866545741</v>
      </c>
      <c r="J296" s="100">
        <f t="shared" si="64"/>
        <v>304.57196302041939</v>
      </c>
      <c r="K296" s="100">
        <f t="shared" si="65"/>
        <v>1707.1258527294506</v>
      </c>
      <c r="L296" s="101">
        <f t="shared" si="66"/>
        <v>21061.815385349055</v>
      </c>
      <c r="M296" s="100">
        <f t="shared" si="67"/>
        <v>195341.45875594113</v>
      </c>
      <c r="N296" s="102">
        <f t="shared" si="68"/>
        <v>34851.286129516702</v>
      </c>
      <c r="O296" s="94">
        <f t="shared" si="69"/>
        <v>0.94587161777655293</v>
      </c>
      <c r="P296" s="100">
        <f>'Bef.fremskr. kommunenivå MMMM'!H291</f>
        <v>5605</v>
      </c>
      <c r="Q296" s="100"/>
      <c r="R296" s="100">
        <f t="shared" si="72"/>
        <v>0</v>
      </c>
      <c r="S296" s="100">
        <v>0</v>
      </c>
      <c r="U296" s="100">
        <v>1430.9606666666666</v>
      </c>
      <c r="V296" s="5">
        <f t="shared" si="73"/>
        <v>172848.68270392538</v>
      </c>
      <c r="W296" s="5">
        <f t="shared" si="74"/>
        <v>30838.301998916213</v>
      </c>
    </row>
    <row r="297" spans="1:23" ht="13">
      <c r="A297" s="92">
        <v>5026</v>
      </c>
      <c r="B297" s="93" t="s">
        <v>601</v>
      </c>
      <c r="C297" s="574">
        <v>0.70555083564703391</v>
      </c>
      <c r="D297" s="100">
        <f t="shared" si="60"/>
        <v>25996.502685910222</v>
      </c>
      <c r="E297" s="100">
        <f t="shared" si="61"/>
        <v>50433.215210665832</v>
      </c>
      <c r="F297" s="100">
        <f t="shared" si="70"/>
        <v>6511.3714580301094</v>
      </c>
      <c r="G297" s="100">
        <f t="shared" si="62"/>
        <v>12632.060628578411</v>
      </c>
      <c r="H297" s="100">
        <f t="shared" si="71"/>
        <v>2508.5924214589504</v>
      </c>
      <c r="I297" s="100">
        <f t="shared" si="63"/>
        <v>4866.6692976303639</v>
      </c>
      <c r="J297" s="100">
        <f t="shared" si="64"/>
        <v>2088.5569827568766</v>
      </c>
      <c r="K297" s="100">
        <f t="shared" si="65"/>
        <v>4051.8005465483407</v>
      </c>
      <c r="L297" s="101">
        <f t="shared" si="66"/>
        <v>16683.861175126753</v>
      </c>
      <c r="M297" s="100">
        <f t="shared" si="67"/>
        <v>67117.076385792592</v>
      </c>
      <c r="N297" s="102">
        <f t="shared" si="68"/>
        <v>34596.431126697214</v>
      </c>
      <c r="O297" s="94">
        <f t="shared" si="69"/>
        <v>0.93895479660331216</v>
      </c>
      <c r="P297" s="100">
        <f>'Bef.fremskr. kommunenivå MMMM'!H292</f>
        <v>1940</v>
      </c>
      <c r="Q297" s="100"/>
      <c r="R297" s="100">
        <f t="shared" si="72"/>
        <v>0</v>
      </c>
      <c r="S297" s="100">
        <v>0</v>
      </c>
      <c r="U297" s="100">
        <v>0</v>
      </c>
      <c r="V297" s="5">
        <f t="shared" si="73"/>
        <v>50433.215210665832</v>
      </c>
      <c r="W297" s="5">
        <f t="shared" si="74"/>
        <v>25996.502685910222</v>
      </c>
    </row>
    <row r="298" spans="1:23" ht="13">
      <c r="A298" s="92">
        <v>5027</v>
      </c>
      <c r="B298" s="93" t="s">
        <v>602</v>
      </c>
      <c r="C298" s="574">
        <v>0.72164962832966173</v>
      </c>
      <c r="D298" s="100">
        <f t="shared" si="60"/>
        <v>26589.673703601729</v>
      </c>
      <c r="E298" s="100">
        <f t="shared" si="61"/>
        <v>162143.83024456335</v>
      </c>
      <c r="F298" s="100">
        <f t="shared" si="70"/>
        <v>6155.4688474152044</v>
      </c>
      <c r="G298" s="100">
        <f t="shared" si="62"/>
        <v>37536.049031537921</v>
      </c>
      <c r="H298" s="100">
        <f t="shared" si="71"/>
        <v>2300.9825652669224</v>
      </c>
      <c r="I298" s="100">
        <f t="shared" si="63"/>
        <v>14031.391682997692</v>
      </c>
      <c r="J298" s="100">
        <f t="shared" si="64"/>
        <v>1880.9471265648485</v>
      </c>
      <c r="K298" s="100">
        <f t="shared" si="65"/>
        <v>11470.015577792446</v>
      </c>
      <c r="L298" s="101">
        <f t="shared" si="66"/>
        <v>49006.064609330366</v>
      </c>
      <c r="M298" s="100">
        <f t="shared" si="67"/>
        <v>211149.89485389373</v>
      </c>
      <c r="N298" s="102">
        <f t="shared" si="68"/>
        <v>34626.089677581782</v>
      </c>
      <c r="O298" s="94">
        <f t="shared" si="69"/>
        <v>0.93975973623744324</v>
      </c>
      <c r="P298" s="100">
        <f>'Bef.fremskr. kommunenivå MMMM'!H293</f>
        <v>6098</v>
      </c>
      <c r="Q298" s="100"/>
      <c r="R298" s="100">
        <f t="shared" si="72"/>
        <v>0</v>
      </c>
      <c r="S298" s="100">
        <v>0</v>
      </c>
      <c r="U298" s="100">
        <v>1206.2766666666666</v>
      </c>
      <c r="V298" s="5">
        <f t="shared" si="73"/>
        <v>160937.55357789667</v>
      </c>
      <c r="W298" s="5">
        <f t="shared" si="74"/>
        <v>26391.858572957804</v>
      </c>
    </row>
    <row r="299" spans="1:23" ht="13">
      <c r="A299" s="92">
        <v>5028</v>
      </c>
      <c r="B299" s="93" t="s">
        <v>603</v>
      </c>
      <c r="C299" s="574">
        <v>0.78802881038600503</v>
      </c>
      <c r="D299" s="100">
        <f t="shared" si="60"/>
        <v>29035.460027465619</v>
      </c>
      <c r="E299" s="100">
        <f t="shared" si="61"/>
        <v>501384.32375427627</v>
      </c>
      <c r="F299" s="100">
        <f t="shared" si="70"/>
        <v>4687.9970530968712</v>
      </c>
      <c r="G299" s="100">
        <f t="shared" si="62"/>
        <v>80952.333112876775</v>
      </c>
      <c r="H299" s="100">
        <f t="shared" si="71"/>
        <v>1444.9573519145615</v>
      </c>
      <c r="I299" s="100">
        <f t="shared" si="63"/>
        <v>24951.523552860646</v>
      </c>
      <c r="J299" s="100">
        <f t="shared" si="64"/>
        <v>1024.9219132124877</v>
      </c>
      <c r="K299" s="100">
        <f t="shared" si="65"/>
        <v>17698.351597353238</v>
      </c>
      <c r="L299" s="101">
        <f t="shared" si="66"/>
        <v>98650.684710230009</v>
      </c>
      <c r="M299" s="100">
        <f t="shared" si="67"/>
        <v>600035.00846450625</v>
      </c>
      <c r="N299" s="102">
        <f t="shared" si="68"/>
        <v>34748.378993774975</v>
      </c>
      <c r="O299" s="94">
        <f t="shared" si="69"/>
        <v>0.94307869534026045</v>
      </c>
      <c r="P299" s="100">
        <f>'Bef.fremskr. kommunenivå MMMM'!H294</f>
        <v>17268</v>
      </c>
      <c r="Q299" s="100"/>
      <c r="R299" s="100">
        <f t="shared" si="72"/>
        <v>0</v>
      </c>
      <c r="S299" s="100">
        <v>0</v>
      </c>
      <c r="U299" s="100">
        <v>1777.1063333333332</v>
      </c>
      <c r="V299" s="5">
        <f t="shared" si="73"/>
        <v>499607.21742094291</v>
      </c>
      <c r="W299" s="5">
        <f t="shared" si="74"/>
        <v>28932.546758219996</v>
      </c>
    </row>
    <row r="300" spans="1:23" ht="13">
      <c r="A300" s="92">
        <v>5029</v>
      </c>
      <c r="B300" s="93" t="s">
        <v>604</v>
      </c>
      <c r="C300" s="574">
        <v>0.76987480786039586</v>
      </c>
      <c r="D300" s="100">
        <f t="shared" si="60"/>
        <v>28366.563398657545</v>
      </c>
      <c r="E300" s="100">
        <f t="shared" si="61"/>
        <v>238704.63099970322</v>
      </c>
      <c r="F300" s="100">
        <f t="shared" si="70"/>
        <v>5089.3350303817151</v>
      </c>
      <c r="G300" s="100">
        <f t="shared" si="62"/>
        <v>42826.754280662135</v>
      </c>
      <c r="H300" s="100">
        <f t="shared" si="71"/>
        <v>1679.0711719973872</v>
      </c>
      <c r="I300" s="100">
        <f t="shared" si="63"/>
        <v>14129.383912358015</v>
      </c>
      <c r="J300" s="100">
        <f t="shared" si="64"/>
        <v>1259.0357332953135</v>
      </c>
      <c r="K300" s="100">
        <f t="shared" si="65"/>
        <v>10594.785695680062</v>
      </c>
      <c r="L300" s="101">
        <f t="shared" si="66"/>
        <v>53421.539976342196</v>
      </c>
      <c r="M300" s="100">
        <f t="shared" si="67"/>
        <v>292126.17097604543</v>
      </c>
      <c r="N300" s="102">
        <f t="shared" si="68"/>
        <v>34714.934162334575</v>
      </c>
      <c r="O300" s="94">
        <f t="shared" si="69"/>
        <v>0.94217099521398007</v>
      </c>
      <c r="P300" s="100">
        <f>'Bef.fremskr. kommunenivå MMMM'!H295</f>
        <v>8415</v>
      </c>
      <c r="Q300" s="100"/>
      <c r="R300" s="100">
        <f t="shared" si="72"/>
        <v>0</v>
      </c>
      <c r="S300" s="100">
        <v>0</v>
      </c>
      <c r="U300" s="100">
        <v>0</v>
      </c>
      <c r="V300" s="5">
        <f t="shared" si="73"/>
        <v>238704.63099970322</v>
      </c>
      <c r="W300" s="5">
        <f t="shared" si="74"/>
        <v>28366.563398657545</v>
      </c>
    </row>
    <row r="301" spans="1:23" ht="13">
      <c r="A301" s="92">
        <v>5031</v>
      </c>
      <c r="B301" s="93" t="s">
        <v>605</v>
      </c>
      <c r="C301" s="574">
        <v>0.90620710450614383</v>
      </c>
      <c r="D301" s="100">
        <f t="shared" si="60"/>
        <v>33389.820032854965</v>
      </c>
      <c r="E301" s="100">
        <f t="shared" si="61"/>
        <v>487057.30481925537</v>
      </c>
      <c r="F301" s="100">
        <f t="shared" si="70"/>
        <v>2075.3810498632633</v>
      </c>
      <c r="G301" s="100">
        <f t="shared" si="62"/>
        <v>30273.583374355425</v>
      </c>
      <c r="H301" s="100">
        <f t="shared" si="71"/>
        <v>0</v>
      </c>
      <c r="I301" s="100">
        <f t="shared" si="63"/>
        <v>0</v>
      </c>
      <c r="J301" s="100">
        <f t="shared" si="64"/>
        <v>-420.03543870207375</v>
      </c>
      <c r="K301" s="100">
        <f t="shared" si="65"/>
        <v>-6127.0569443471495</v>
      </c>
      <c r="L301" s="101">
        <f t="shared" si="66"/>
        <v>24146.526430008274</v>
      </c>
      <c r="M301" s="100">
        <f t="shared" si="67"/>
        <v>511203.8312492636</v>
      </c>
      <c r="N301" s="102">
        <f t="shared" si="68"/>
        <v>35045.165644016153</v>
      </c>
      <c r="O301" s="94">
        <f t="shared" si="69"/>
        <v>0.95113355070355654</v>
      </c>
      <c r="P301" s="100">
        <f>'Bef.fremskr. kommunenivå MMMM'!H296</f>
        <v>14587</v>
      </c>
      <c r="Q301" s="100"/>
      <c r="R301" s="100">
        <f t="shared" si="72"/>
        <v>0</v>
      </c>
      <c r="S301" s="100">
        <v>0</v>
      </c>
      <c r="U301" s="100">
        <v>5.7216666666666667</v>
      </c>
      <c r="V301" s="5">
        <f t="shared" si="73"/>
        <v>487051.58315258869</v>
      </c>
      <c r="W301" s="5">
        <f t="shared" si="74"/>
        <v>33389.427788619229</v>
      </c>
    </row>
    <row r="302" spans="1:23" ht="13">
      <c r="A302" s="92">
        <v>5032</v>
      </c>
      <c r="B302" s="93" t="s">
        <v>606</v>
      </c>
      <c r="C302" s="574">
        <v>0.79552903508614226</v>
      </c>
      <c r="D302" s="100">
        <f t="shared" si="60"/>
        <v>29311.810931909291</v>
      </c>
      <c r="E302" s="100">
        <f t="shared" si="61"/>
        <v>120324.98387548764</v>
      </c>
      <c r="F302" s="100">
        <f t="shared" si="70"/>
        <v>4522.186510430668</v>
      </c>
      <c r="G302" s="100">
        <f t="shared" si="62"/>
        <v>18563.575625317895</v>
      </c>
      <c r="H302" s="100">
        <f t="shared" si="71"/>
        <v>1348.2345353592762</v>
      </c>
      <c r="I302" s="100">
        <f t="shared" si="63"/>
        <v>5534.5027676498285</v>
      </c>
      <c r="J302" s="100">
        <f t="shared" si="64"/>
        <v>928.1990966572024</v>
      </c>
      <c r="K302" s="100">
        <f t="shared" si="65"/>
        <v>3810.2572917778157</v>
      </c>
      <c r="L302" s="101">
        <f t="shared" si="66"/>
        <v>22373.832917095711</v>
      </c>
      <c r="M302" s="100">
        <f t="shared" si="67"/>
        <v>142698.81679258335</v>
      </c>
      <c r="N302" s="102">
        <f t="shared" si="68"/>
        <v>34762.196538997159</v>
      </c>
      <c r="O302" s="94">
        <f t="shared" si="69"/>
        <v>0.94345370657526728</v>
      </c>
      <c r="P302" s="100">
        <f>'Bef.fremskr. kommunenivå MMMM'!H297</f>
        <v>4105</v>
      </c>
      <c r="Q302" s="100"/>
      <c r="R302" s="100">
        <f t="shared" si="72"/>
        <v>0</v>
      </c>
      <c r="S302" s="100">
        <v>0</v>
      </c>
      <c r="U302" s="100">
        <v>4000.9756666666667</v>
      </c>
      <c r="V302" s="5">
        <f t="shared" si="73"/>
        <v>116324.00820882097</v>
      </c>
      <c r="W302" s="5">
        <f t="shared" si="74"/>
        <v>28337.151817008762</v>
      </c>
    </row>
    <row r="303" spans="1:23" ht="13">
      <c r="A303" s="92">
        <v>5033</v>
      </c>
      <c r="B303" s="93" t="s">
        <v>607</v>
      </c>
      <c r="C303" s="574">
        <v>1.3063765820940221</v>
      </c>
      <c r="D303" s="100">
        <f t="shared" si="60"/>
        <v>48134.337895118377</v>
      </c>
      <c r="E303" s="100">
        <f t="shared" si="61"/>
        <v>35715.678718177835</v>
      </c>
      <c r="F303" s="100">
        <f t="shared" si="70"/>
        <v>-6771.3296674947833</v>
      </c>
      <c r="G303" s="100">
        <f t="shared" si="62"/>
        <v>-5024.3266132811286</v>
      </c>
      <c r="H303" s="100">
        <f t="shared" si="71"/>
        <v>0</v>
      </c>
      <c r="I303" s="100">
        <f t="shared" si="63"/>
        <v>0</v>
      </c>
      <c r="J303" s="100">
        <f t="shared" si="64"/>
        <v>-420.03543870207375</v>
      </c>
      <c r="K303" s="100">
        <f t="shared" si="65"/>
        <v>-311.6662955169387</v>
      </c>
      <c r="L303" s="101">
        <f t="shared" si="66"/>
        <v>-5335.9929087980672</v>
      </c>
      <c r="M303" s="100">
        <f t="shared" si="67"/>
        <v>30379.685809379767</v>
      </c>
      <c r="N303" s="102">
        <f t="shared" si="68"/>
        <v>40942.972788921521</v>
      </c>
      <c r="O303" s="94">
        <f t="shared" si="69"/>
        <v>1.1112013417387081</v>
      </c>
      <c r="P303" s="100">
        <f>'Bef.fremskr. kommunenivå MMMM'!H298</f>
        <v>742</v>
      </c>
      <c r="Q303" s="100"/>
      <c r="R303" s="100">
        <f t="shared" si="72"/>
        <v>0</v>
      </c>
      <c r="S303" s="100">
        <v>0</v>
      </c>
      <c r="U303" s="100">
        <v>13612.522666666666</v>
      </c>
      <c r="V303" s="5">
        <f t="shared" si="73"/>
        <v>22103.156051511171</v>
      </c>
      <c r="W303" s="5">
        <f t="shared" si="74"/>
        <v>29788.620015513708</v>
      </c>
    </row>
    <row r="304" spans="1:23" ht="13">
      <c r="A304" s="92">
        <v>5034</v>
      </c>
      <c r="B304" s="93" t="s">
        <v>610</v>
      </c>
      <c r="C304" s="574">
        <v>0.72043359291427789</v>
      </c>
      <c r="D304" s="100">
        <f t="shared" si="60"/>
        <v>26544.868047729753</v>
      </c>
      <c r="E304" s="100">
        <f t="shared" si="61"/>
        <v>64424.394751840104</v>
      </c>
      <c r="F304" s="100">
        <f t="shared" si="70"/>
        <v>6182.3522409383904</v>
      </c>
      <c r="G304" s="100">
        <f t="shared" si="62"/>
        <v>15004.568888757472</v>
      </c>
      <c r="H304" s="100">
        <f t="shared" si="71"/>
        <v>2316.6645448221143</v>
      </c>
      <c r="I304" s="100">
        <f t="shared" si="63"/>
        <v>5622.5448502832714</v>
      </c>
      <c r="J304" s="100">
        <f t="shared" si="64"/>
        <v>1896.6291061200404</v>
      </c>
      <c r="K304" s="100">
        <f t="shared" si="65"/>
        <v>4603.1188405533376</v>
      </c>
      <c r="L304" s="101">
        <f t="shared" si="66"/>
        <v>19607.687729310812</v>
      </c>
      <c r="M304" s="100">
        <f t="shared" si="67"/>
        <v>84032.082481150923</v>
      </c>
      <c r="N304" s="102">
        <f t="shared" si="68"/>
        <v>34623.849394788187</v>
      </c>
      <c r="O304" s="94">
        <f t="shared" si="69"/>
        <v>0.93969893446667419</v>
      </c>
      <c r="P304" s="100">
        <f>'Bef.fremskr. kommunenivå MMMM'!H299</f>
        <v>2427</v>
      </c>
      <c r="Q304" s="100"/>
      <c r="R304" s="100">
        <f t="shared" si="72"/>
        <v>0</v>
      </c>
      <c r="S304" s="100">
        <v>0</v>
      </c>
      <c r="U304" s="100">
        <v>6693.7979999999998</v>
      </c>
      <c r="V304" s="5">
        <f t="shared" si="73"/>
        <v>57730.596751840101</v>
      </c>
      <c r="W304" s="5">
        <f t="shared" si="74"/>
        <v>23786.81365959625</v>
      </c>
    </row>
    <row r="305" spans="1:23" ht="13">
      <c r="A305" s="92">
        <v>5035</v>
      </c>
      <c r="B305" s="93" t="s">
        <v>611</v>
      </c>
      <c r="C305" s="574">
        <v>0.78836826008820859</v>
      </c>
      <c r="D305" s="100">
        <f t="shared" si="60"/>
        <v>29047.96728371027</v>
      </c>
      <c r="E305" s="100">
        <f t="shared" si="61"/>
        <v>706766.09197995462</v>
      </c>
      <c r="F305" s="100">
        <f t="shared" si="70"/>
        <v>4680.4926993500803</v>
      </c>
      <c r="G305" s="100">
        <f t="shared" si="62"/>
        <v>113881.06786788681</v>
      </c>
      <c r="H305" s="100">
        <f t="shared" si="71"/>
        <v>1440.5798122289334</v>
      </c>
      <c r="I305" s="100">
        <f t="shared" si="63"/>
        <v>35050.747411342178</v>
      </c>
      <c r="J305" s="100">
        <f t="shared" si="64"/>
        <v>1020.5443735268597</v>
      </c>
      <c r="K305" s="100">
        <f t="shared" si="65"/>
        <v>24830.865152282022</v>
      </c>
      <c r="L305" s="101">
        <f t="shared" si="66"/>
        <v>138711.93302016883</v>
      </c>
      <c r="M305" s="100">
        <f t="shared" si="67"/>
        <v>845478.02500012354</v>
      </c>
      <c r="N305" s="102">
        <f t="shared" si="68"/>
        <v>34749.004356587211</v>
      </c>
      <c r="O305" s="94">
        <f t="shared" si="69"/>
        <v>0.94309566782537069</v>
      </c>
      <c r="P305" s="100">
        <f>'Bef.fremskr. kommunenivå MMMM'!H300</f>
        <v>24331</v>
      </c>
      <c r="Q305" s="100"/>
      <c r="R305" s="100">
        <f t="shared" si="72"/>
        <v>0</v>
      </c>
      <c r="S305" s="100">
        <v>0</v>
      </c>
      <c r="U305" s="100">
        <v>0</v>
      </c>
      <c r="V305" s="5">
        <f t="shared" si="73"/>
        <v>706766.09197995462</v>
      </c>
      <c r="W305" s="5">
        <f t="shared" si="74"/>
        <v>29047.96728371027</v>
      </c>
    </row>
    <row r="306" spans="1:23" ht="13">
      <c r="A306" s="92">
        <v>5036</v>
      </c>
      <c r="B306" s="93" t="s">
        <v>612</v>
      </c>
      <c r="C306" s="574">
        <v>0.71567136109340501</v>
      </c>
      <c r="D306" s="100">
        <f t="shared" si="60"/>
        <v>26369.40036196234</v>
      </c>
      <c r="E306" s="100">
        <f t="shared" si="61"/>
        <v>69826.172158476285</v>
      </c>
      <c r="F306" s="100">
        <f t="shared" si="70"/>
        <v>6287.6328523988386</v>
      </c>
      <c r="G306" s="100">
        <f t="shared" si="62"/>
        <v>16649.651793152127</v>
      </c>
      <c r="H306" s="100">
        <f t="shared" si="71"/>
        <v>2378.0782348407088</v>
      </c>
      <c r="I306" s="100">
        <f t="shared" si="63"/>
        <v>6297.1511658581967</v>
      </c>
      <c r="J306" s="100">
        <f t="shared" si="64"/>
        <v>1958.0427961386349</v>
      </c>
      <c r="K306" s="100">
        <f t="shared" si="65"/>
        <v>5184.8973241751055</v>
      </c>
      <c r="L306" s="101">
        <f t="shared" si="66"/>
        <v>21834.549117327231</v>
      </c>
      <c r="M306" s="100">
        <f t="shared" si="67"/>
        <v>91660.721275803517</v>
      </c>
      <c r="N306" s="102">
        <f t="shared" si="68"/>
        <v>34615.076010499819</v>
      </c>
      <c r="O306" s="94">
        <f t="shared" si="69"/>
        <v>0.9394608228756306</v>
      </c>
      <c r="P306" s="100">
        <f>'Bef.fremskr. kommunenivå MMMM'!H301</f>
        <v>2648</v>
      </c>
      <c r="Q306" s="100"/>
      <c r="R306" s="100">
        <f t="shared" si="72"/>
        <v>0</v>
      </c>
      <c r="S306" s="100">
        <v>0</v>
      </c>
      <c r="U306" s="100">
        <v>0</v>
      </c>
      <c r="V306" s="5">
        <f t="shared" si="73"/>
        <v>69826.172158476285</v>
      </c>
      <c r="W306" s="5">
        <f t="shared" si="74"/>
        <v>26369.40036196234</v>
      </c>
    </row>
    <row r="307" spans="1:23" ht="13">
      <c r="A307" s="92">
        <v>5037</v>
      </c>
      <c r="B307" s="93" t="s">
        <v>613</v>
      </c>
      <c r="C307" s="574">
        <v>0.79466816733384726</v>
      </c>
      <c r="D307" s="100">
        <f t="shared" si="60"/>
        <v>29280.091671291837</v>
      </c>
      <c r="E307" s="100">
        <f t="shared" si="61"/>
        <v>592102.01377686358</v>
      </c>
      <c r="F307" s="100">
        <f t="shared" si="70"/>
        <v>4541.2180668011397</v>
      </c>
      <c r="G307" s="100">
        <f t="shared" si="62"/>
        <v>91832.511746852644</v>
      </c>
      <c r="H307" s="100">
        <f t="shared" si="71"/>
        <v>1359.336276575385</v>
      </c>
      <c r="I307" s="100">
        <f t="shared" si="63"/>
        <v>27488.498184907436</v>
      </c>
      <c r="J307" s="100">
        <f t="shared" si="64"/>
        <v>939.30083787331125</v>
      </c>
      <c r="K307" s="100">
        <f t="shared" si="65"/>
        <v>18994.541543474101</v>
      </c>
      <c r="L307" s="101">
        <f t="shared" si="66"/>
        <v>110827.05329032674</v>
      </c>
      <c r="M307" s="100">
        <f t="shared" si="67"/>
        <v>702929.06706719031</v>
      </c>
      <c r="N307" s="102">
        <f t="shared" si="68"/>
        <v>34760.61057596629</v>
      </c>
      <c r="O307" s="94">
        <f t="shared" si="69"/>
        <v>0.94341066318765265</v>
      </c>
      <c r="P307" s="100">
        <f>'Bef.fremskr. kommunenivå MMMM'!H302</f>
        <v>20222</v>
      </c>
      <c r="Q307" s="100"/>
      <c r="R307" s="100">
        <f t="shared" si="72"/>
        <v>0</v>
      </c>
      <c r="S307" s="100">
        <v>0</v>
      </c>
      <c r="U307" s="100">
        <v>0</v>
      </c>
      <c r="V307" s="5">
        <f t="shared" si="73"/>
        <v>592102.01377686358</v>
      </c>
      <c r="W307" s="5">
        <f t="shared" si="74"/>
        <v>29280.091671291841</v>
      </c>
    </row>
    <row r="308" spans="1:23" ht="13">
      <c r="A308" s="92">
        <v>5038</v>
      </c>
      <c r="B308" s="93" t="s">
        <v>614</v>
      </c>
      <c r="C308" s="574">
        <v>0.7282117088047193</v>
      </c>
      <c r="D308" s="100">
        <f t="shared" si="60"/>
        <v>26831.458042980412</v>
      </c>
      <c r="E308" s="100">
        <f t="shared" si="61"/>
        <v>400191.19671105285</v>
      </c>
      <c r="F308" s="100">
        <f t="shared" si="70"/>
        <v>6010.3982437879949</v>
      </c>
      <c r="G308" s="100">
        <f t="shared" si="62"/>
        <v>89645.089806097938</v>
      </c>
      <c r="H308" s="100">
        <f t="shared" si="71"/>
        <v>2216.3580464843835</v>
      </c>
      <c r="I308" s="100">
        <f t="shared" si="63"/>
        <v>33056.980263314581</v>
      </c>
      <c r="J308" s="100">
        <f t="shared" si="64"/>
        <v>1796.3226077823097</v>
      </c>
      <c r="K308" s="100">
        <f t="shared" si="65"/>
        <v>26792.151695073149</v>
      </c>
      <c r="L308" s="101">
        <f t="shared" si="66"/>
        <v>116437.24150117108</v>
      </c>
      <c r="M308" s="100">
        <f t="shared" si="67"/>
        <v>516628.43821222393</v>
      </c>
      <c r="N308" s="102">
        <f t="shared" si="68"/>
        <v>34638.178894550714</v>
      </c>
      <c r="O308" s="94">
        <f t="shared" si="69"/>
        <v>0.94008784026119607</v>
      </c>
      <c r="P308" s="100">
        <f>'Bef.fremskr. kommunenivå MMMM'!H303</f>
        <v>14915</v>
      </c>
      <c r="Q308" s="100"/>
      <c r="R308" s="100">
        <f t="shared" si="72"/>
        <v>0</v>
      </c>
      <c r="S308" s="100">
        <v>0</v>
      </c>
      <c r="U308" s="100">
        <v>0</v>
      </c>
      <c r="V308" s="5">
        <f t="shared" si="73"/>
        <v>400191.19671105285</v>
      </c>
      <c r="W308" s="5">
        <f t="shared" si="74"/>
        <v>26831.458042980412</v>
      </c>
    </row>
    <row r="309" spans="1:23" ht="13">
      <c r="A309" s="92">
        <v>5041</v>
      </c>
      <c r="B309" s="93" t="s">
        <v>1832</v>
      </c>
      <c r="C309" s="574">
        <v>0.68578445416740141</v>
      </c>
      <c r="D309" s="100">
        <f t="shared" si="60"/>
        <v>25268.19685270296</v>
      </c>
      <c r="E309" s="100">
        <f t="shared" si="61"/>
        <v>50485.857311700514</v>
      </c>
      <c r="F309" s="100">
        <f t="shared" si="70"/>
        <v>6948.354957954466</v>
      </c>
      <c r="G309" s="100">
        <f t="shared" si="62"/>
        <v>13882.813205993023</v>
      </c>
      <c r="H309" s="100">
        <f t="shared" si="71"/>
        <v>2763.4994630814917</v>
      </c>
      <c r="I309" s="100">
        <f t="shared" si="63"/>
        <v>5521.4719272368202</v>
      </c>
      <c r="J309" s="100">
        <f t="shared" si="64"/>
        <v>2343.4640243794179</v>
      </c>
      <c r="K309" s="100">
        <f t="shared" si="65"/>
        <v>4682.2411207100768</v>
      </c>
      <c r="L309" s="101">
        <f t="shared" si="66"/>
        <v>18565.054326703099</v>
      </c>
      <c r="M309" s="100">
        <f t="shared" si="67"/>
        <v>69050.911638403617</v>
      </c>
      <c r="N309" s="102">
        <f t="shared" si="68"/>
        <v>34560.015835036851</v>
      </c>
      <c r="O309" s="94">
        <f t="shared" si="69"/>
        <v>0.93796647752933049</v>
      </c>
      <c r="P309" s="100">
        <f>'Bef.fremskr. kommunenivå MMMM'!H304</f>
        <v>1998</v>
      </c>
      <c r="Q309" s="100"/>
      <c r="R309" s="100">
        <f t="shared" si="72"/>
        <v>0</v>
      </c>
      <c r="S309" s="100">
        <v>0</v>
      </c>
      <c r="U309" s="100">
        <v>763.09666666666669</v>
      </c>
      <c r="V309" s="5">
        <f t="shared" si="73"/>
        <v>49722.76064503385</v>
      </c>
      <c r="W309" s="5">
        <f t="shared" si="74"/>
        <v>24886.266589106031</v>
      </c>
    </row>
    <row r="310" spans="1:23" ht="13">
      <c r="A310" s="92">
        <v>5042</v>
      </c>
      <c r="B310" s="93" t="s">
        <v>616</v>
      </c>
      <c r="C310" s="574">
        <v>0.75892818824387087</v>
      </c>
      <c r="D310" s="100">
        <f t="shared" si="60"/>
        <v>27963.2277183849</v>
      </c>
      <c r="E310" s="100">
        <f t="shared" si="61"/>
        <v>35848.857934969441</v>
      </c>
      <c r="F310" s="100">
        <f t="shared" si="70"/>
        <v>5331.3364385453024</v>
      </c>
      <c r="G310" s="100">
        <f t="shared" si="62"/>
        <v>6834.7733142150782</v>
      </c>
      <c r="H310" s="100">
        <f t="shared" si="71"/>
        <v>1820.2386600928128</v>
      </c>
      <c r="I310" s="100">
        <f t="shared" si="63"/>
        <v>2333.5459622389862</v>
      </c>
      <c r="J310" s="100">
        <f t="shared" si="64"/>
        <v>1400.2032213907391</v>
      </c>
      <c r="K310" s="100">
        <f t="shared" si="65"/>
        <v>1795.0605298229277</v>
      </c>
      <c r="L310" s="101">
        <f t="shared" si="66"/>
        <v>8629.8338440380066</v>
      </c>
      <c r="M310" s="100">
        <f t="shared" si="67"/>
        <v>44478.691779007444</v>
      </c>
      <c r="N310" s="102">
        <f t="shared" si="68"/>
        <v>34694.767378320939</v>
      </c>
      <c r="O310" s="94">
        <f t="shared" si="69"/>
        <v>0.94162366423315369</v>
      </c>
      <c r="P310" s="100">
        <f>'Bef.fremskr. kommunenivå MMMM'!H305</f>
        <v>1282</v>
      </c>
      <c r="Q310" s="100"/>
      <c r="R310" s="100">
        <f t="shared" si="72"/>
        <v>0</v>
      </c>
      <c r="S310" s="100">
        <v>0</v>
      </c>
      <c r="U310" s="100">
        <v>1853.5716666666667</v>
      </c>
      <c r="V310" s="5">
        <f t="shared" si="73"/>
        <v>33995.286268302778</v>
      </c>
      <c r="W310" s="5">
        <f t="shared" si="74"/>
        <v>26517.383984635551</v>
      </c>
    </row>
    <row r="311" spans="1:23" ht="13">
      <c r="A311" s="92">
        <v>5043</v>
      </c>
      <c r="B311" s="93" t="s">
        <v>617</v>
      </c>
      <c r="C311" s="574">
        <v>0.79197798745440862</v>
      </c>
      <c r="D311" s="100">
        <f t="shared" si="60"/>
        <v>29180.970155267732</v>
      </c>
      <c r="E311" s="100">
        <f t="shared" si="61"/>
        <v>12752.083957851999</v>
      </c>
      <c r="F311" s="100">
        <f t="shared" si="70"/>
        <v>4600.6909764156026</v>
      </c>
      <c r="G311" s="100">
        <f t="shared" si="62"/>
        <v>2010.5019566936182</v>
      </c>
      <c r="H311" s="100">
        <f t="shared" si="71"/>
        <v>1394.0288071838215</v>
      </c>
      <c r="I311" s="100">
        <f t="shared" si="63"/>
        <v>609.19058873933011</v>
      </c>
      <c r="J311" s="100">
        <f t="shared" si="64"/>
        <v>973.99336848174778</v>
      </c>
      <c r="K311" s="100">
        <f t="shared" si="65"/>
        <v>425.63510202652378</v>
      </c>
      <c r="L311" s="101">
        <f t="shared" si="66"/>
        <v>2436.1370587201418</v>
      </c>
      <c r="M311" s="100">
        <f t="shared" si="67"/>
        <v>15188.221016572143</v>
      </c>
      <c r="N311" s="102">
        <f t="shared" si="68"/>
        <v>34755.654500165081</v>
      </c>
      <c r="O311" s="94">
        <f t="shared" si="69"/>
        <v>0.9432761541936806</v>
      </c>
      <c r="P311" s="100">
        <f>'Bef.fremskr. kommunenivå MMMM'!H306</f>
        <v>437</v>
      </c>
      <c r="Q311" s="100"/>
      <c r="R311" s="100">
        <f t="shared" si="72"/>
        <v>0</v>
      </c>
      <c r="S311" s="100">
        <v>0</v>
      </c>
      <c r="U311" s="100">
        <v>3103.2913333333331</v>
      </c>
      <c r="V311" s="5">
        <f t="shared" si="73"/>
        <v>9648.7926245186663</v>
      </c>
      <c r="W311" s="5">
        <f t="shared" si="74"/>
        <v>22079.616989745231</v>
      </c>
    </row>
    <row r="312" spans="1:23" ht="13">
      <c r="A312" s="92">
        <v>5044</v>
      </c>
      <c r="B312" s="93" t="s">
        <v>618</v>
      </c>
      <c r="C312" s="574">
        <v>1.0409056720622736</v>
      </c>
      <c r="D312" s="100">
        <f t="shared" si="60"/>
        <v>38352.880802317333</v>
      </c>
      <c r="E312" s="100">
        <f t="shared" si="61"/>
        <v>31219.244973086308</v>
      </c>
      <c r="F312" s="100">
        <f t="shared" si="70"/>
        <v>-902.45541181415751</v>
      </c>
      <c r="G312" s="100">
        <f t="shared" si="62"/>
        <v>-734.59870521672417</v>
      </c>
      <c r="H312" s="100">
        <f t="shared" si="71"/>
        <v>0</v>
      </c>
      <c r="I312" s="100">
        <f t="shared" si="63"/>
        <v>0</v>
      </c>
      <c r="J312" s="100">
        <f t="shared" si="64"/>
        <v>-420.03543870207375</v>
      </c>
      <c r="K312" s="100">
        <f t="shared" si="65"/>
        <v>-341.90884710348803</v>
      </c>
      <c r="L312" s="101">
        <f t="shared" si="66"/>
        <v>-1076.5075523202122</v>
      </c>
      <c r="M312" s="100">
        <f t="shared" si="67"/>
        <v>30142.737420766094</v>
      </c>
      <c r="N312" s="102">
        <f t="shared" si="68"/>
        <v>37030.389951801095</v>
      </c>
      <c r="O312" s="94">
        <f t="shared" si="69"/>
        <v>1.0050129777260084</v>
      </c>
      <c r="P312" s="100">
        <f>'Bef.fremskr. kommunenivå MMMM'!H307</f>
        <v>814</v>
      </c>
      <c r="Q312" s="100"/>
      <c r="R312" s="100">
        <f t="shared" si="72"/>
        <v>0</v>
      </c>
      <c r="S312" s="100">
        <v>0</v>
      </c>
      <c r="U312" s="100">
        <v>9239.7773333333334</v>
      </c>
      <c r="V312" s="5">
        <f t="shared" si="73"/>
        <v>21979.467639752977</v>
      </c>
      <c r="W312" s="5">
        <f t="shared" si="74"/>
        <v>27001.802997239531</v>
      </c>
    </row>
    <row r="313" spans="1:23" ht="13">
      <c r="A313" s="92">
        <v>5045</v>
      </c>
      <c r="B313" s="93" t="s">
        <v>619</v>
      </c>
      <c r="C313" s="574">
        <v>0.81123951028493324</v>
      </c>
      <c r="D313" s="100">
        <f t="shared" si="60"/>
        <v>29890.674126547496</v>
      </c>
      <c r="E313" s="100">
        <f t="shared" si="61"/>
        <v>68330.081053287577</v>
      </c>
      <c r="F313" s="100">
        <f t="shared" si="70"/>
        <v>4174.868593647745</v>
      </c>
      <c r="G313" s="100">
        <f t="shared" si="62"/>
        <v>9543.7496050787449</v>
      </c>
      <c r="H313" s="100">
        <f t="shared" si="71"/>
        <v>1145.6324172359045</v>
      </c>
      <c r="I313" s="100">
        <f t="shared" si="63"/>
        <v>2618.9157058012779</v>
      </c>
      <c r="J313" s="100">
        <f t="shared" si="64"/>
        <v>725.59697853383079</v>
      </c>
      <c r="K313" s="100">
        <f t="shared" si="65"/>
        <v>1658.7146929283372</v>
      </c>
      <c r="L313" s="101">
        <f t="shared" si="66"/>
        <v>11202.464298007082</v>
      </c>
      <c r="M313" s="100">
        <f t="shared" si="67"/>
        <v>79532.545351294655</v>
      </c>
      <c r="N313" s="102">
        <f t="shared" si="68"/>
        <v>34791.139698729072</v>
      </c>
      <c r="O313" s="94">
        <f t="shared" si="69"/>
        <v>0.94423923033520685</v>
      </c>
      <c r="P313" s="100">
        <f>'Bef.fremskr. kommunenivå MMMM'!H308</f>
        <v>2286</v>
      </c>
      <c r="Q313" s="100"/>
      <c r="R313" s="100">
        <f t="shared" si="72"/>
        <v>0</v>
      </c>
      <c r="S313" s="100">
        <v>0</v>
      </c>
      <c r="U313" s="100">
        <v>5248.4826666666668</v>
      </c>
      <c r="V313" s="5">
        <f t="shared" si="73"/>
        <v>63081.598386620914</v>
      </c>
      <c r="W313" s="5">
        <f t="shared" si="74"/>
        <v>27594.749950402849</v>
      </c>
    </row>
    <row r="314" spans="1:23" ht="13">
      <c r="A314" s="92">
        <v>5046</v>
      </c>
      <c r="B314" s="93" t="s">
        <v>620</v>
      </c>
      <c r="C314" s="574">
        <v>0.68365532095538839</v>
      </c>
      <c r="D314" s="100">
        <f t="shared" si="60"/>
        <v>25189.747484538017</v>
      </c>
      <c r="E314" s="100">
        <f t="shared" si="61"/>
        <v>29749.091779239396</v>
      </c>
      <c r="F314" s="100">
        <f t="shared" si="70"/>
        <v>6995.4245788534326</v>
      </c>
      <c r="G314" s="100">
        <f t="shared" si="62"/>
        <v>8261.5964276259037</v>
      </c>
      <c r="H314" s="100">
        <f t="shared" si="71"/>
        <v>2790.956741939222</v>
      </c>
      <c r="I314" s="100">
        <f t="shared" si="63"/>
        <v>3296.119912230221</v>
      </c>
      <c r="J314" s="100">
        <f t="shared" si="64"/>
        <v>2370.9213032371481</v>
      </c>
      <c r="K314" s="100">
        <f t="shared" si="65"/>
        <v>2800.0580591230719</v>
      </c>
      <c r="L314" s="101">
        <f t="shared" si="66"/>
        <v>11061.654486748976</v>
      </c>
      <c r="M314" s="100">
        <f t="shared" si="67"/>
        <v>40810.746265988375</v>
      </c>
      <c r="N314" s="102">
        <f t="shared" si="68"/>
        <v>34556.093366628593</v>
      </c>
      <c r="O314" s="94">
        <f t="shared" si="69"/>
        <v>0.93786002086872955</v>
      </c>
      <c r="P314" s="100">
        <f>'Bef.fremskr. kommunenivå MMMM'!H309</f>
        <v>1181</v>
      </c>
      <c r="Q314" s="100"/>
      <c r="R314" s="100">
        <f t="shared" si="72"/>
        <v>0</v>
      </c>
      <c r="S314" s="100">
        <v>0</v>
      </c>
      <c r="U314" s="100">
        <v>0</v>
      </c>
      <c r="V314" s="5">
        <f t="shared" si="73"/>
        <v>29749.091779239396</v>
      </c>
      <c r="W314" s="5">
        <f t="shared" si="74"/>
        <v>25189.747484538017</v>
      </c>
    </row>
    <row r="315" spans="1:23" ht="13">
      <c r="A315" s="92">
        <v>5047</v>
      </c>
      <c r="B315" s="93" t="s">
        <v>621</v>
      </c>
      <c r="C315" s="574">
        <v>0.7469791324563938</v>
      </c>
      <c r="D315" s="100">
        <f t="shared" si="60"/>
        <v>27522.956592366932</v>
      </c>
      <c r="E315" s="100">
        <f t="shared" si="61"/>
        <v>104834.94166032564</v>
      </c>
      <c r="F315" s="100">
        <f t="shared" si="70"/>
        <v>5595.4991141560831</v>
      </c>
      <c r="G315" s="100">
        <f t="shared" si="62"/>
        <v>21313.256125820521</v>
      </c>
      <c r="H315" s="100">
        <f t="shared" si="71"/>
        <v>1974.3335541991016</v>
      </c>
      <c r="I315" s="100">
        <f t="shared" si="63"/>
        <v>7520.236507944378</v>
      </c>
      <c r="J315" s="100">
        <f t="shared" si="64"/>
        <v>1554.298115497028</v>
      </c>
      <c r="K315" s="100">
        <f t="shared" si="65"/>
        <v>5920.3215219281801</v>
      </c>
      <c r="L315" s="101">
        <f t="shared" si="66"/>
        <v>27233.577647748702</v>
      </c>
      <c r="M315" s="100">
        <f t="shared" si="67"/>
        <v>132068.51930807435</v>
      </c>
      <c r="N315" s="102">
        <f t="shared" si="68"/>
        <v>34672.753822020044</v>
      </c>
      <c r="O315" s="94">
        <f t="shared" si="69"/>
        <v>0.94102621144377996</v>
      </c>
      <c r="P315" s="100">
        <f>'Bef.fremskr. kommunenivå MMMM'!H310</f>
        <v>3809</v>
      </c>
      <c r="Q315" s="100"/>
      <c r="R315" s="100">
        <f t="shared" si="72"/>
        <v>0</v>
      </c>
      <c r="S315" s="100">
        <v>0</v>
      </c>
      <c r="U315" s="100">
        <v>101.76266666666668</v>
      </c>
      <c r="V315" s="5">
        <f t="shared" si="73"/>
        <v>104733.17899365898</v>
      </c>
      <c r="W315" s="5">
        <f t="shared" si="74"/>
        <v>27496.240218865576</v>
      </c>
    </row>
    <row r="316" spans="1:23" ht="13">
      <c r="A316" s="92">
        <v>5049</v>
      </c>
      <c r="B316" s="93" t="s">
        <v>622</v>
      </c>
      <c r="C316" s="574">
        <v>1.4165865277955294</v>
      </c>
      <c r="D316" s="100">
        <f t="shared" si="60"/>
        <v>52195.098657758259</v>
      </c>
      <c r="E316" s="100">
        <f t="shared" si="61"/>
        <v>57518.998720849602</v>
      </c>
      <c r="F316" s="100">
        <f t="shared" si="70"/>
        <v>-9207.7861250787118</v>
      </c>
      <c r="G316" s="100">
        <f t="shared" si="62"/>
        <v>-10146.980309836739</v>
      </c>
      <c r="H316" s="100">
        <f t="shared" si="71"/>
        <v>0</v>
      </c>
      <c r="I316" s="100">
        <f t="shared" si="63"/>
        <v>0</v>
      </c>
      <c r="J316" s="100">
        <f t="shared" si="64"/>
        <v>-420.03543870207375</v>
      </c>
      <c r="K316" s="100">
        <f t="shared" si="65"/>
        <v>-462.87905344968527</v>
      </c>
      <c r="L316" s="101">
        <f t="shared" si="66"/>
        <v>-10609.859363286425</v>
      </c>
      <c r="M316" s="100">
        <f t="shared" si="67"/>
        <v>46909.139357563174</v>
      </c>
      <c r="N316" s="102">
        <f t="shared" si="68"/>
        <v>42567.277093977471</v>
      </c>
      <c r="O316" s="94">
        <f t="shared" si="69"/>
        <v>1.1552853200193109</v>
      </c>
      <c r="P316" s="100">
        <f>'Bef.fremskr. kommunenivå MMMM'!H311</f>
        <v>1102</v>
      </c>
      <c r="Q316" s="100"/>
      <c r="R316" s="100">
        <f t="shared" si="72"/>
        <v>0</v>
      </c>
      <c r="S316" s="100">
        <v>0</v>
      </c>
      <c r="U316" s="100">
        <v>0</v>
      </c>
      <c r="V316" s="5">
        <f t="shared" si="73"/>
        <v>57518.998720849602</v>
      </c>
      <c r="W316" s="5">
        <f t="shared" si="74"/>
        <v>52195.098657758259</v>
      </c>
    </row>
    <row r="317" spans="1:23" ht="13">
      <c r="A317" s="92">
        <v>5052</v>
      </c>
      <c r="B317" s="93" t="s">
        <v>623</v>
      </c>
      <c r="C317" s="574">
        <v>1.0539161530805345</v>
      </c>
      <c r="D317" s="100">
        <f t="shared" si="60"/>
        <v>38832.260866301003</v>
      </c>
      <c r="E317" s="100">
        <f t="shared" si="61"/>
        <v>22445.046780721979</v>
      </c>
      <c r="F317" s="100">
        <f t="shared" si="70"/>
        <v>-1190.0834502043595</v>
      </c>
      <c r="G317" s="100">
        <f t="shared" si="62"/>
        <v>-687.86823421811971</v>
      </c>
      <c r="H317" s="100">
        <f t="shared" si="71"/>
        <v>0</v>
      </c>
      <c r="I317" s="100">
        <f t="shared" si="63"/>
        <v>0</v>
      </c>
      <c r="J317" s="100">
        <f t="shared" si="64"/>
        <v>-420.03543870207375</v>
      </c>
      <c r="K317" s="100">
        <f t="shared" si="65"/>
        <v>-242.78048356979861</v>
      </c>
      <c r="L317" s="101">
        <f t="shared" si="66"/>
        <v>-930.64871778791826</v>
      </c>
      <c r="M317" s="100">
        <f t="shared" si="67"/>
        <v>21514.398062934062</v>
      </c>
      <c r="N317" s="102">
        <f t="shared" si="68"/>
        <v>37222.141977394574</v>
      </c>
      <c r="O317" s="94">
        <f t="shared" si="69"/>
        <v>1.0102171701333131</v>
      </c>
      <c r="P317" s="100">
        <f>'Bef.fremskr. kommunenivå MMMM'!H312</f>
        <v>578</v>
      </c>
      <c r="Q317" s="100"/>
      <c r="R317" s="100">
        <f t="shared" si="72"/>
        <v>0</v>
      </c>
      <c r="S317" s="100">
        <v>0</v>
      </c>
      <c r="U317" s="100">
        <v>0</v>
      </c>
      <c r="V317" s="5">
        <f t="shared" si="73"/>
        <v>22445.046780721979</v>
      </c>
      <c r="W317" s="5">
        <f t="shared" si="74"/>
        <v>38832.260866301003</v>
      </c>
    </row>
    <row r="318" spans="1:23" ht="13">
      <c r="A318" s="92">
        <v>5053</v>
      </c>
      <c r="B318" s="93" t="s">
        <v>615</v>
      </c>
      <c r="C318" s="574">
        <v>0.76807487734246715</v>
      </c>
      <c r="D318" s="100">
        <f t="shared" si="60"/>
        <v>28300.243728720689</v>
      </c>
      <c r="E318" s="100">
        <f t="shared" si="61"/>
        <v>193913.27002919416</v>
      </c>
      <c r="F318" s="100">
        <f t="shared" si="70"/>
        <v>5129.1268323438289</v>
      </c>
      <c r="G318" s="100">
        <f t="shared" si="62"/>
        <v>35144.777055219922</v>
      </c>
      <c r="H318" s="100">
        <f t="shared" si="71"/>
        <v>1702.2830564752869</v>
      </c>
      <c r="I318" s="100">
        <f t="shared" si="63"/>
        <v>11664.043502968665</v>
      </c>
      <c r="J318" s="100">
        <f t="shared" si="64"/>
        <v>1282.2476177732133</v>
      </c>
      <c r="K318" s="100">
        <f t="shared" si="65"/>
        <v>8785.9606769820584</v>
      </c>
      <c r="L318" s="101">
        <f t="shared" si="66"/>
        <v>43930.737732201982</v>
      </c>
      <c r="M318" s="100">
        <f t="shared" si="67"/>
        <v>237844.00776139615</v>
      </c>
      <c r="N318" s="102">
        <f t="shared" si="68"/>
        <v>34711.618178837729</v>
      </c>
      <c r="O318" s="94">
        <f t="shared" si="69"/>
        <v>0.94208099868808348</v>
      </c>
      <c r="P318" s="100">
        <f>'Bef.fremskr. kommunenivå MMMM'!H313</f>
        <v>6852</v>
      </c>
      <c r="Q318" s="100"/>
      <c r="R318" s="100">
        <f t="shared" si="72"/>
        <v>0</v>
      </c>
      <c r="S318" s="100">
        <v>0</v>
      </c>
      <c r="U318" s="100">
        <v>754.46366666666654</v>
      </c>
      <c r="V318" s="5">
        <f t="shared" si="73"/>
        <v>193158.80636252748</v>
      </c>
      <c r="W318" s="5">
        <f t="shared" si="74"/>
        <v>28190.135195932209</v>
      </c>
    </row>
    <row r="319" spans="1:23" ht="13">
      <c r="A319" s="92">
        <v>5054</v>
      </c>
      <c r="B319" s="93" t="s">
        <v>1260</v>
      </c>
      <c r="C319" s="574">
        <v>0.7154887672886745</v>
      </c>
      <c r="D319" s="100">
        <f t="shared" si="60"/>
        <v>26362.672568449412</v>
      </c>
      <c r="E319" s="100">
        <f t="shared" si="61"/>
        <v>259487.78609124754</v>
      </c>
      <c r="F319" s="100">
        <f t="shared" si="70"/>
        <v>6291.6695285065953</v>
      </c>
      <c r="G319" s="100">
        <f t="shared" si="62"/>
        <v>61928.903169090423</v>
      </c>
      <c r="H319" s="100">
        <f t="shared" si="71"/>
        <v>2380.4329625702335</v>
      </c>
      <c r="I319" s="100">
        <f t="shared" si="63"/>
        <v>23430.601650578807</v>
      </c>
      <c r="J319" s="100">
        <f t="shared" si="64"/>
        <v>1960.3975238681596</v>
      </c>
      <c r="K319" s="100">
        <f t="shared" si="65"/>
        <v>19296.192827434294</v>
      </c>
      <c r="L319" s="101">
        <f t="shared" si="66"/>
        <v>81225.095996524717</v>
      </c>
      <c r="M319" s="100">
        <f t="shared" si="67"/>
        <v>340712.88208777225</v>
      </c>
      <c r="N319" s="102">
        <f t="shared" si="68"/>
        <v>34614.739620824163</v>
      </c>
      <c r="O319" s="94">
        <f t="shared" si="69"/>
        <v>0.93945169318539379</v>
      </c>
      <c r="P319" s="100">
        <f>'Bef.fremskr. kommunenivå MMMM'!H314</f>
        <v>9843</v>
      </c>
      <c r="Q319" s="100"/>
      <c r="R319" s="100">
        <f t="shared" si="72"/>
        <v>0</v>
      </c>
      <c r="S319" s="100">
        <v>0</v>
      </c>
      <c r="U319" s="100">
        <v>587.27066666666667</v>
      </c>
      <c r="V319" s="5">
        <f t="shared" si="73"/>
        <v>258900.51542458087</v>
      </c>
      <c r="W319" s="5">
        <f t="shared" si="74"/>
        <v>26303.008780308937</v>
      </c>
    </row>
    <row r="320" spans="1:23" ht="13">
      <c r="A320" s="92">
        <v>5055</v>
      </c>
      <c r="B320" s="93" t="s">
        <v>1833</v>
      </c>
      <c r="C320" s="574">
        <v>0.87534226608942267</v>
      </c>
      <c r="D320" s="100">
        <f t="shared" si="60"/>
        <v>32252.583969539064</v>
      </c>
      <c r="E320" s="100">
        <f t="shared" si="61"/>
        <v>188322.83779813859</v>
      </c>
      <c r="F320" s="100">
        <f t="shared" si="70"/>
        <v>2757.722687852804</v>
      </c>
      <c r="G320" s="100">
        <f t="shared" si="62"/>
        <v>16102.342774372524</v>
      </c>
      <c r="H320" s="100">
        <f t="shared" si="71"/>
        <v>318.96397218885556</v>
      </c>
      <c r="I320" s="100">
        <f t="shared" si="63"/>
        <v>1862.4306336107277</v>
      </c>
      <c r="J320" s="100">
        <f t="shared" si="64"/>
        <v>-101.07146651321818</v>
      </c>
      <c r="K320" s="100">
        <f t="shared" si="65"/>
        <v>-590.15629297068097</v>
      </c>
      <c r="L320" s="101">
        <f t="shared" si="66"/>
        <v>15512.186481401843</v>
      </c>
      <c r="M320" s="100">
        <f t="shared" si="67"/>
        <v>203835.02427954043</v>
      </c>
      <c r="N320" s="102">
        <f t="shared" si="68"/>
        <v>34909.235190878644</v>
      </c>
      <c r="O320" s="94">
        <f t="shared" si="69"/>
        <v>0.9474443681254312</v>
      </c>
      <c r="P320" s="100">
        <f>'Bef.fremskr. kommunenivå MMMM'!H315</f>
        <v>5839</v>
      </c>
      <c r="Q320" s="100"/>
      <c r="R320" s="100">
        <f t="shared" si="72"/>
        <v>0</v>
      </c>
      <c r="S320" s="100">
        <v>0</v>
      </c>
      <c r="U320" s="100">
        <v>1831.182</v>
      </c>
      <c r="V320" s="5">
        <f t="shared" si="73"/>
        <v>186491.65579813858</v>
      </c>
      <c r="W320" s="5">
        <f t="shared" si="74"/>
        <v>31938.971707165369</v>
      </c>
    </row>
    <row r="321" spans="1:23" ht="13">
      <c r="A321" s="92">
        <v>5056</v>
      </c>
      <c r="B321" s="93" t="s">
        <v>593</v>
      </c>
      <c r="C321" s="574">
        <v>0.9840086223823532</v>
      </c>
      <c r="D321" s="100">
        <f t="shared" si="60"/>
        <v>36256.470125589884</v>
      </c>
      <c r="E321" s="100">
        <f t="shared" si="61"/>
        <v>190636.51992035159</v>
      </c>
      <c r="F321" s="100">
        <f t="shared" si="70"/>
        <v>355.39099422231226</v>
      </c>
      <c r="G321" s="100">
        <f t="shared" si="62"/>
        <v>1868.6458476209179</v>
      </c>
      <c r="H321" s="100">
        <f t="shared" si="71"/>
        <v>0</v>
      </c>
      <c r="I321" s="100">
        <f t="shared" si="63"/>
        <v>0</v>
      </c>
      <c r="J321" s="100">
        <f t="shared" si="64"/>
        <v>-420.03543870207375</v>
      </c>
      <c r="K321" s="100">
        <f t="shared" si="65"/>
        <v>-2208.5463366955041</v>
      </c>
      <c r="L321" s="101">
        <f t="shared" si="66"/>
        <v>-339.90048907458618</v>
      </c>
      <c r="M321" s="100">
        <f t="shared" si="67"/>
        <v>190296.61943127701</v>
      </c>
      <c r="N321" s="102">
        <f t="shared" si="68"/>
        <v>36191.825681110116</v>
      </c>
      <c r="O321" s="94">
        <f t="shared" si="69"/>
        <v>0.98225415785404024</v>
      </c>
      <c r="P321" s="100">
        <f>'Bef.fremskr. kommunenivå MMMM'!H316</f>
        <v>5258</v>
      </c>
      <c r="Q321" s="100"/>
      <c r="R321" s="100">
        <f t="shared" si="72"/>
        <v>0</v>
      </c>
      <c r="S321" s="100">
        <v>0</v>
      </c>
      <c r="U321" s="100">
        <v>0</v>
      </c>
      <c r="V321" s="5">
        <f t="shared" si="73"/>
        <v>190636.51992035159</v>
      </c>
      <c r="W321" s="5">
        <f t="shared" si="74"/>
        <v>36256.470125589884</v>
      </c>
    </row>
    <row r="322" spans="1:23" ht="13">
      <c r="A322" s="92">
        <v>5057</v>
      </c>
      <c r="B322" s="93" t="s">
        <v>595</v>
      </c>
      <c r="C322" s="574">
        <v>0.80322785855057821</v>
      </c>
      <c r="D322" s="100">
        <f t="shared" si="60"/>
        <v>29595.479343538362</v>
      </c>
      <c r="E322" s="100">
        <f t="shared" si="61"/>
        <v>308503.27667704388</v>
      </c>
      <c r="F322" s="100">
        <f t="shared" si="70"/>
        <v>4351.9854634532248</v>
      </c>
      <c r="G322" s="100">
        <f t="shared" si="62"/>
        <v>45365.096471036421</v>
      </c>
      <c r="H322" s="100">
        <f t="shared" si="71"/>
        <v>1248.9505912891013</v>
      </c>
      <c r="I322" s="100">
        <f t="shared" si="63"/>
        <v>13019.060963597592</v>
      </c>
      <c r="J322" s="100">
        <f t="shared" si="64"/>
        <v>828.91515258702759</v>
      </c>
      <c r="K322" s="100">
        <f t="shared" si="65"/>
        <v>8640.6115505671769</v>
      </c>
      <c r="L322" s="101">
        <f t="shared" si="66"/>
        <v>54005.708021603597</v>
      </c>
      <c r="M322" s="100">
        <f t="shared" si="67"/>
        <v>362508.98469864752</v>
      </c>
      <c r="N322" s="102">
        <f t="shared" si="68"/>
        <v>34776.379959578619</v>
      </c>
      <c r="O322" s="94">
        <f t="shared" si="69"/>
        <v>0.94383864774848925</v>
      </c>
      <c r="P322" s="100">
        <f>'Bef.fremskr. kommunenivå MMMM'!H317</f>
        <v>10424</v>
      </c>
      <c r="Q322" s="100"/>
      <c r="R322" s="100">
        <f t="shared" si="72"/>
        <v>0</v>
      </c>
      <c r="S322" s="100">
        <v>0</v>
      </c>
      <c r="U322" s="100">
        <v>0</v>
      </c>
      <c r="V322" s="5">
        <f t="shared" si="73"/>
        <v>308503.27667704388</v>
      </c>
      <c r="W322" s="5">
        <f t="shared" si="74"/>
        <v>29595.479343538358</v>
      </c>
    </row>
    <row r="323" spans="1:23" ht="13">
      <c r="A323" s="92">
        <v>5058</v>
      </c>
      <c r="B323" s="93" t="s">
        <v>596</v>
      </c>
      <c r="C323" s="574">
        <v>1.1125067405679951</v>
      </c>
      <c r="D323" s="100">
        <f t="shared" si="60"/>
        <v>40991.071100846333</v>
      </c>
      <c r="E323" s="100">
        <f t="shared" si="61"/>
        <v>174007.0968230927</v>
      </c>
      <c r="F323" s="100">
        <f t="shared" si="70"/>
        <v>-2485.3695909315575</v>
      </c>
      <c r="G323" s="100">
        <f t="shared" si="62"/>
        <v>-10550.39391350446</v>
      </c>
      <c r="H323" s="100">
        <f t="shared" si="71"/>
        <v>0</v>
      </c>
      <c r="I323" s="100">
        <f t="shared" si="63"/>
        <v>0</v>
      </c>
      <c r="J323" s="100">
        <f t="shared" si="64"/>
        <v>-420.03543870207375</v>
      </c>
      <c r="K323" s="100">
        <f t="shared" si="65"/>
        <v>-1783.0504372903029</v>
      </c>
      <c r="L323" s="101">
        <f t="shared" si="66"/>
        <v>-12333.444350794764</v>
      </c>
      <c r="M323" s="100">
        <f t="shared" si="67"/>
        <v>161673.65247229792</v>
      </c>
      <c r="N323" s="102">
        <f t="shared" si="68"/>
        <v>38085.666071212705</v>
      </c>
      <c r="O323" s="94">
        <f t="shared" si="69"/>
        <v>1.0336534051282973</v>
      </c>
      <c r="P323" s="100">
        <f>'Bef.fremskr. kommunenivå MMMM'!H318</f>
        <v>4245</v>
      </c>
      <c r="Q323" s="100"/>
      <c r="R323" s="100">
        <f t="shared" si="72"/>
        <v>0</v>
      </c>
      <c r="S323" s="100">
        <v>0</v>
      </c>
      <c r="U323" s="100">
        <v>581.72200000000009</v>
      </c>
      <c r="V323" s="5">
        <f t="shared" si="73"/>
        <v>173425.37482309269</v>
      </c>
      <c r="W323" s="5">
        <f t="shared" si="74"/>
        <v>40854.034116158466</v>
      </c>
    </row>
    <row r="324" spans="1:23" ht="13">
      <c r="A324" s="92">
        <v>5059</v>
      </c>
      <c r="B324" s="93" t="s">
        <v>1834</v>
      </c>
      <c r="C324" s="574">
        <v>0.78694842006356902</v>
      </c>
      <c r="D324" s="100">
        <f t="shared" si="60"/>
        <v>28995.652307737979</v>
      </c>
      <c r="E324" s="100">
        <f t="shared" si="61"/>
        <v>539928.04162238899</v>
      </c>
      <c r="F324" s="100">
        <f t="shared" si="70"/>
        <v>4711.8816849334553</v>
      </c>
      <c r="G324" s="100">
        <f t="shared" si="62"/>
        <v>87739.948855145878</v>
      </c>
      <c r="H324" s="100">
        <f t="shared" si="71"/>
        <v>1458.8900538192354</v>
      </c>
      <c r="I324" s="100">
        <f t="shared" si="63"/>
        <v>27165.991692167983</v>
      </c>
      <c r="J324" s="100">
        <f t="shared" si="64"/>
        <v>1038.8546151171618</v>
      </c>
      <c r="K324" s="100">
        <f t="shared" si="65"/>
        <v>19344.511788096672</v>
      </c>
      <c r="L324" s="101">
        <f t="shared" si="66"/>
        <v>107084.46064324255</v>
      </c>
      <c r="M324" s="100">
        <f t="shared" si="67"/>
        <v>647012.50226563145</v>
      </c>
      <c r="N324" s="102">
        <f t="shared" si="68"/>
        <v>34746.388607788598</v>
      </c>
      <c r="O324" s="94">
        <f t="shared" si="69"/>
        <v>0.94302467582413874</v>
      </c>
      <c r="P324" s="100">
        <f>'Bef.fremskr. kommunenivå MMMM'!H319</f>
        <v>18621</v>
      </c>
      <c r="Q324" s="100"/>
      <c r="R324" s="100">
        <f t="shared" si="72"/>
        <v>0</v>
      </c>
      <c r="S324" s="100">
        <v>0</v>
      </c>
      <c r="U324" s="100">
        <v>2340.4306666666666</v>
      </c>
      <c r="V324" s="5">
        <f t="shared" si="73"/>
        <v>537587.61095572228</v>
      </c>
      <c r="W324" s="5">
        <f t="shared" si="74"/>
        <v>28869.964607471258</v>
      </c>
    </row>
    <row r="325" spans="1:23" ht="13">
      <c r="A325" s="92">
        <v>5060</v>
      </c>
      <c r="B325" s="93" t="s">
        <v>1835</v>
      </c>
      <c r="C325" s="574">
        <v>0.99772796836352828</v>
      </c>
      <c r="D325" s="100">
        <f t="shared" si="60"/>
        <v>36761.968803543365</v>
      </c>
      <c r="E325" s="100">
        <f t="shared" si="61"/>
        <v>359568.81686745764</v>
      </c>
      <c r="F325" s="100">
        <f t="shared" si="70"/>
        <v>52.091787450223634</v>
      </c>
      <c r="G325" s="100">
        <f t="shared" si="62"/>
        <v>509.50977305063736</v>
      </c>
      <c r="H325" s="100">
        <f t="shared" si="71"/>
        <v>0</v>
      </c>
      <c r="I325" s="100">
        <f t="shared" si="63"/>
        <v>0</v>
      </c>
      <c r="J325" s="100">
        <f t="shared" si="64"/>
        <v>-420.03543870207375</v>
      </c>
      <c r="K325" s="100">
        <f t="shared" si="65"/>
        <v>-4108.3666259449828</v>
      </c>
      <c r="L325" s="101">
        <f t="shared" si="66"/>
        <v>-3598.8568528943456</v>
      </c>
      <c r="M325" s="100">
        <f t="shared" si="67"/>
        <v>355969.96001456329</v>
      </c>
      <c r="N325" s="102">
        <f t="shared" si="68"/>
        <v>36394.025152291513</v>
      </c>
      <c r="O325" s="94">
        <f t="shared" si="69"/>
        <v>0.98774189624651043</v>
      </c>
      <c r="P325" s="100">
        <f>'Bef.fremskr. kommunenivå MMMM'!H320</f>
        <v>9781</v>
      </c>
      <c r="Q325" s="100"/>
      <c r="R325" s="100">
        <f t="shared" si="72"/>
        <v>0</v>
      </c>
      <c r="S325" s="100">
        <v>0</v>
      </c>
      <c r="U325" s="100">
        <v>0</v>
      </c>
      <c r="V325" s="5">
        <f t="shared" si="73"/>
        <v>359568.81686745764</v>
      </c>
      <c r="W325" s="5">
        <f t="shared" si="74"/>
        <v>36761.968803543365</v>
      </c>
    </row>
    <row r="326" spans="1:23" ht="13">
      <c r="A326" s="92">
        <v>5061</v>
      </c>
      <c r="B326" s="93" t="s">
        <v>590</v>
      </c>
      <c r="C326" s="574">
        <v>0.75551419391642471</v>
      </c>
      <c r="D326" s="100">
        <f t="shared" si="60"/>
        <v>27837.436764396807</v>
      </c>
      <c r="E326" s="100">
        <f t="shared" si="61"/>
        <v>54255.16425380938</v>
      </c>
      <c r="F326" s="100">
        <f t="shared" si="70"/>
        <v>5406.8110109381578</v>
      </c>
      <c r="G326" s="100">
        <f t="shared" si="62"/>
        <v>10537.87466031847</v>
      </c>
      <c r="H326" s="100">
        <f t="shared" si="71"/>
        <v>1864.2654939886454</v>
      </c>
      <c r="I326" s="100">
        <f t="shared" si="63"/>
        <v>3633.4534477838697</v>
      </c>
      <c r="J326" s="100">
        <f t="shared" si="64"/>
        <v>1444.2300552865718</v>
      </c>
      <c r="K326" s="100">
        <f t="shared" si="65"/>
        <v>2814.8043777535281</v>
      </c>
      <c r="L326" s="101">
        <f t="shared" si="66"/>
        <v>13352.679038071998</v>
      </c>
      <c r="M326" s="100">
        <f t="shared" si="67"/>
        <v>67607.843291881378</v>
      </c>
      <c r="N326" s="102">
        <f t="shared" si="68"/>
        <v>34688.477830621538</v>
      </c>
      <c r="O326" s="94">
        <f t="shared" si="69"/>
        <v>0.94145296451678151</v>
      </c>
      <c r="P326" s="100">
        <f>'Bef.fremskr. kommunenivå MMMM'!H321</f>
        <v>1949</v>
      </c>
      <c r="Q326" s="100"/>
      <c r="R326" s="100">
        <f t="shared" si="72"/>
        <v>0</v>
      </c>
      <c r="S326" s="100">
        <v>0</v>
      </c>
      <c r="U326" s="100">
        <v>3523.9503333333337</v>
      </c>
      <c r="V326" s="5">
        <f t="shared" si="73"/>
        <v>50731.213920476046</v>
      </c>
      <c r="W326" s="5">
        <f t="shared" si="74"/>
        <v>26029.355526154977</v>
      </c>
    </row>
    <row r="327" spans="1:23" ht="13">
      <c r="A327" s="92">
        <v>5401</v>
      </c>
      <c r="B327" s="93" t="s">
        <v>665</v>
      </c>
      <c r="C327" s="574">
        <v>0.97377778364973644</v>
      </c>
      <c r="D327" s="100">
        <f t="shared" si="60"/>
        <v>35879.507881122154</v>
      </c>
      <c r="E327" s="100">
        <f t="shared" si="61"/>
        <v>2808791.3949657669</v>
      </c>
      <c r="F327" s="100">
        <f t="shared" si="70"/>
        <v>581.56834090295013</v>
      </c>
      <c r="G327" s="100">
        <f t="shared" si="62"/>
        <v>45527.495999246545</v>
      </c>
      <c r="H327" s="100">
        <f t="shared" si="71"/>
        <v>0</v>
      </c>
      <c r="I327" s="100">
        <f t="shared" si="63"/>
        <v>0</v>
      </c>
      <c r="J327" s="100">
        <f t="shared" si="64"/>
        <v>-420.03543870207375</v>
      </c>
      <c r="K327" s="100">
        <f t="shared" si="65"/>
        <v>-32882.054283353144</v>
      </c>
      <c r="L327" s="101">
        <f t="shared" si="66"/>
        <v>12645.441715893401</v>
      </c>
      <c r="M327" s="100">
        <f t="shared" si="67"/>
        <v>2821436.8366816603</v>
      </c>
      <c r="N327" s="102">
        <f t="shared" si="68"/>
        <v>36041.040783323035</v>
      </c>
      <c r="O327" s="94">
        <f t="shared" si="69"/>
        <v>0.9781618223609938</v>
      </c>
      <c r="P327" s="100">
        <f>'Bef.fremskr. kommunenivå MMMM'!H322</f>
        <v>78284</v>
      </c>
      <c r="Q327" s="100"/>
      <c r="R327" s="100">
        <f t="shared" si="72"/>
        <v>0</v>
      </c>
      <c r="S327" s="100">
        <v>0</v>
      </c>
      <c r="U327" s="100">
        <v>0</v>
      </c>
      <c r="V327" s="5">
        <f t="shared" si="73"/>
        <v>2808791.3949657669</v>
      </c>
      <c r="W327" s="5">
        <f t="shared" si="74"/>
        <v>35879.507881122154</v>
      </c>
    </row>
    <row r="328" spans="1:23" ht="13">
      <c r="A328" s="92">
        <v>5402</v>
      </c>
      <c r="B328" s="93" t="s">
        <v>664</v>
      </c>
      <c r="C328" s="574">
        <v>0.86764916909602152</v>
      </c>
      <c r="D328" s="100">
        <f t="shared" si="60"/>
        <v>31969.126553648523</v>
      </c>
      <c r="E328" s="100">
        <f t="shared" si="61"/>
        <v>793185.9989225734</v>
      </c>
      <c r="F328" s="100">
        <f t="shared" si="70"/>
        <v>2927.7971373871287</v>
      </c>
      <c r="G328" s="100">
        <f t="shared" si="62"/>
        <v>72641.574775712055</v>
      </c>
      <c r="H328" s="100">
        <f t="shared" si="71"/>
        <v>418.17406775054513</v>
      </c>
      <c r="I328" s="100">
        <f t="shared" si="63"/>
        <v>10375.316794958775</v>
      </c>
      <c r="J328" s="100">
        <f t="shared" si="64"/>
        <v>-1.8613709515286132</v>
      </c>
      <c r="K328" s="100">
        <f t="shared" si="65"/>
        <v>-46.182474678376423</v>
      </c>
      <c r="L328" s="101">
        <f t="shared" si="66"/>
        <v>72595.392301033673</v>
      </c>
      <c r="M328" s="100">
        <f t="shared" si="67"/>
        <v>865781.39122360712</v>
      </c>
      <c r="N328" s="102">
        <f t="shared" si="68"/>
        <v>34895.062320084122</v>
      </c>
      <c r="O328" s="94">
        <f t="shared" si="69"/>
        <v>0.94705971327576133</v>
      </c>
      <c r="P328" s="100">
        <f>'Bef.fremskr. kommunenivå MMMM'!H323</f>
        <v>24811</v>
      </c>
      <c r="Q328" s="100"/>
      <c r="R328" s="100">
        <f t="shared" si="72"/>
        <v>0</v>
      </c>
      <c r="S328" s="100">
        <v>0</v>
      </c>
      <c r="U328" s="100">
        <v>3.3283333333333331</v>
      </c>
      <c r="V328" s="5">
        <f t="shared" si="73"/>
        <v>793182.67058924004</v>
      </c>
      <c r="W328" s="5">
        <f t="shared" si="74"/>
        <v>31968.992406160174</v>
      </c>
    </row>
    <row r="329" spans="1:23" ht="13">
      <c r="A329" s="92">
        <v>5403</v>
      </c>
      <c r="B329" s="93" t="s">
        <v>688</v>
      </c>
      <c r="C329" s="574">
        <v>0.86783169606081656</v>
      </c>
      <c r="D329" s="100">
        <f t="shared" si="60"/>
        <v>31975.851884398351</v>
      </c>
      <c r="E329" s="100">
        <f t="shared" si="61"/>
        <v>681245.52439710684</v>
      </c>
      <c r="F329" s="100">
        <f t="shared" si="70"/>
        <v>2923.7619389372317</v>
      </c>
      <c r="G329" s="100">
        <f t="shared" si="62"/>
        <v>62290.74810905772</v>
      </c>
      <c r="H329" s="100">
        <f t="shared" si="71"/>
        <v>415.82020198810511</v>
      </c>
      <c r="I329" s="100">
        <f t="shared" si="63"/>
        <v>8859.0494033565792</v>
      </c>
      <c r="J329" s="100">
        <f t="shared" si="64"/>
        <v>-4.2152367139686362</v>
      </c>
      <c r="K329" s="100">
        <f t="shared" si="65"/>
        <v>-89.805618191101786</v>
      </c>
      <c r="L329" s="101">
        <f t="shared" si="66"/>
        <v>62200.942490866619</v>
      </c>
      <c r="M329" s="100">
        <f t="shared" si="67"/>
        <v>743446.46688797348</v>
      </c>
      <c r="N329" s="102">
        <f t="shared" si="68"/>
        <v>34895.39858662161</v>
      </c>
      <c r="O329" s="94">
        <f t="shared" si="69"/>
        <v>0.9470688396240009</v>
      </c>
      <c r="P329" s="100">
        <f>'Bef.fremskr. kommunenivå MMMM'!H324</f>
        <v>21305</v>
      </c>
      <c r="Q329" s="100"/>
      <c r="R329" s="100">
        <f t="shared" si="72"/>
        <v>0</v>
      </c>
      <c r="S329" s="100">
        <v>0</v>
      </c>
      <c r="U329" s="100">
        <v>6686.8849999999993</v>
      </c>
      <c r="V329" s="5">
        <f t="shared" si="73"/>
        <v>674558.63939710683</v>
      </c>
      <c r="W329" s="5">
        <f t="shared" si="74"/>
        <v>31661.987298620366</v>
      </c>
    </row>
    <row r="330" spans="1:23" ht="13">
      <c r="A330" s="92">
        <v>5404</v>
      </c>
      <c r="B330" s="93" t="s">
        <v>684</v>
      </c>
      <c r="C330" s="574">
        <v>0.70799683674813119</v>
      </c>
      <c r="D330" s="100">
        <f t="shared" ref="D330:D365" si="75">C330*D$367</f>
        <v>26086.627267983888</v>
      </c>
      <c r="E330" s="100">
        <f t="shared" ref="E330:E365" si="76">D330*P330/1000</f>
        <v>49877.631336385188</v>
      </c>
      <c r="F330" s="100">
        <f t="shared" si="70"/>
        <v>6457.2967087859097</v>
      </c>
      <c r="G330" s="100">
        <f t="shared" ref="G330:G365" si="77">F330*P330/1000</f>
        <v>12346.351307198658</v>
      </c>
      <c r="H330" s="100">
        <f t="shared" si="71"/>
        <v>2477.0488177331672</v>
      </c>
      <c r="I330" s="100">
        <f t="shared" ref="I330:I365" si="78">H330*P330/1000</f>
        <v>4736.1173395058158</v>
      </c>
      <c r="J330" s="100">
        <f t="shared" ref="J330:J365" si="79">H330+H$370</f>
        <v>2057.0133790310933</v>
      </c>
      <c r="K330" s="100">
        <f t="shared" ref="K330:K365" si="80">J330*P330/1000</f>
        <v>3933.0095807074504</v>
      </c>
      <c r="L330" s="101">
        <f t="shared" ref="L330:L365" si="81">K330+G330</f>
        <v>16279.360887906108</v>
      </c>
      <c r="M330" s="100">
        <f t="shared" ref="M330:M365" si="82">K330+E330+G330</f>
        <v>66156.992224291287</v>
      </c>
      <c r="N330" s="102">
        <f t="shared" ref="N330:N365" si="83">M330*1000/P330</f>
        <v>34600.937355800881</v>
      </c>
      <c r="O330" s="94">
        <f t="shared" ref="O330:O365" si="84">N330/N$367</f>
        <v>0.93907709665836647</v>
      </c>
      <c r="P330" s="100">
        <f>'Bef.fremskr. kommunenivå MMMM'!H325</f>
        <v>1912</v>
      </c>
      <c r="Q330" s="100"/>
      <c r="R330" s="100">
        <f t="shared" si="72"/>
        <v>0</v>
      </c>
      <c r="S330" s="100">
        <v>0</v>
      </c>
      <c r="U330" s="100">
        <v>0</v>
      </c>
      <c r="V330" s="5">
        <f t="shared" si="73"/>
        <v>49877.631336385188</v>
      </c>
      <c r="W330" s="5">
        <f t="shared" si="74"/>
        <v>26086.627267983888</v>
      </c>
    </row>
    <row r="331" spans="1:23" ht="13">
      <c r="A331" s="92">
        <v>5405</v>
      </c>
      <c r="B331" s="93" t="s">
        <v>685</v>
      </c>
      <c r="C331" s="574">
        <v>0.82257020234917444</v>
      </c>
      <c r="D331" s="100">
        <f t="shared" si="75"/>
        <v>30308.161218616686</v>
      </c>
      <c r="E331" s="100">
        <f t="shared" si="76"/>
        <v>168392.1437306343</v>
      </c>
      <c r="F331" s="100">
        <f t="shared" ref="F331:F365" si="85">($D$367+$R$367-D331-R331)*0.6</f>
        <v>3924.3763384062308</v>
      </c>
      <c r="G331" s="100">
        <f t="shared" si="77"/>
        <v>21803.834936185016</v>
      </c>
      <c r="H331" s="100">
        <f t="shared" ref="H331:H365" si="86">IF((D331+R331)&lt;(D$367+R$367)*0.9,((D$367+R$367)*0.9-(D331+R331))*0.35,0)</f>
        <v>999.51193501168791</v>
      </c>
      <c r="I331" s="100">
        <f t="shared" si="78"/>
        <v>5553.2883109249378</v>
      </c>
      <c r="J331" s="100">
        <f t="shared" si="79"/>
        <v>579.47649630961416</v>
      </c>
      <c r="K331" s="100">
        <f t="shared" si="80"/>
        <v>3219.5714134962163</v>
      </c>
      <c r="L331" s="101">
        <f t="shared" si="81"/>
        <v>25023.40634968123</v>
      </c>
      <c r="M331" s="100">
        <f t="shared" si="82"/>
        <v>193415.55008031553</v>
      </c>
      <c r="N331" s="102">
        <f t="shared" si="83"/>
        <v>34812.014053332532</v>
      </c>
      <c r="O331" s="94">
        <f t="shared" si="84"/>
        <v>0.94480576493841895</v>
      </c>
      <c r="P331" s="100">
        <f>'Bef.fremskr. kommunenivå MMMM'!H326</f>
        <v>5556</v>
      </c>
      <c r="Q331" s="100"/>
      <c r="R331" s="100">
        <f t="shared" ref="R331:R367" si="87">S331*1000/P331</f>
        <v>0</v>
      </c>
      <c r="S331" s="100">
        <v>0</v>
      </c>
      <c r="U331" s="100">
        <v>0</v>
      </c>
      <c r="V331" s="5">
        <f t="shared" ref="V331:V365" si="88">+E331-U331</f>
        <v>168392.1437306343</v>
      </c>
      <c r="W331" s="5">
        <f t="shared" ref="W331:W367" si="89">+V331*1000/P331</f>
        <v>30308.161218616686</v>
      </c>
    </row>
    <row r="332" spans="1:23" ht="13">
      <c r="A332" s="92">
        <v>5406</v>
      </c>
      <c r="B332" s="93" t="s">
        <v>686</v>
      </c>
      <c r="C332" s="574">
        <v>0.9579329964598603</v>
      </c>
      <c r="D332" s="100">
        <f t="shared" si="75"/>
        <v>35295.695869388735</v>
      </c>
      <c r="E332" s="100">
        <f t="shared" si="76"/>
        <v>399159.02458691725</v>
      </c>
      <c r="F332" s="100">
        <f t="shared" si="85"/>
        <v>931.85554794300106</v>
      </c>
      <c r="G332" s="100">
        <f t="shared" si="77"/>
        <v>10538.354391687399</v>
      </c>
      <c r="H332" s="100">
        <f t="shared" si="86"/>
        <v>0</v>
      </c>
      <c r="I332" s="100">
        <f t="shared" si="78"/>
        <v>0</v>
      </c>
      <c r="J332" s="100">
        <f t="shared" si="79"/>
        <v>-420.03543870207375</v>
      </c>
      <c r="K332" s="100">
        <f t="shared" si="80"/>
        <v>-4750.1807762817516</v>
      </c>
      <c r="L332" s="101">
        <f t="shared" si="81"/>
        <v>5788.1736154056471</v>
      </c>
      <c r="M332" s="100">
        <f t="shared" si="82"/>
        <v>404947.19820232288</v>
      </c>
      <c r="N332" s="102">
        <f t="shared" si="83"/>
        <v>35807.515978629664</v>
      </c>
      <c r="O332" s="94">
        <f t="shared" si="84"/>
        <v>0.97182390748504321</v>
      </c>
      <c r="P332" s="100">
        <f>'Bef.fremskr. kommunenivå MMMM'!H327</f>
        <v>11309</v>
      </c>
      <c r="Q332" s="100"/>
      <c r="R332" s="100">
        <f t="shared" si="87"/>
        <v>0</v>
      </c>
      <c r="S332" s="100">
        <v>0</v>
      </c>
      <c r="U332" s="100">
        <v>558.19966666666664</v>
      </c>
      <c r="V332" s="5">
        <f t="shared" si="88"/>
        <v>398600.82492025057</v>
      </c>
      <c r="W332" s="5">
        <f t="shared" si="89"/>
        <v>35246.336981187604</v>
      </c>
    </row>
    <row r="333" spans="1:23" ht="13">
      <c r="A333" s="92">
        <v>5411</v>
      </c>
      <c r="B333" s="93" t="s">
        <v>666</v>
      </c>
      <c r="C333" s="574">
        <v>0.73308678241392011</v>
      </c>
      <c r="D333" s="100">
        <f t="shared" si="75"/>
        <v>27011.083461550534</v>
      </c>
      <c r="E333" s="100">
        <f t="shared" si="76"/>
        <v>75928.155610418544</v>
      </c>
      <c r="F333" s="100">
        <f t="shared" si="85"/>
        <v>5902.6229926459218</v>
      </c>
      <c r="G333" s="100">
        <f t="shared" si="77"/>
        <v>16592.273232327687</v>
      </c>
      <c r="H333" s="100">
        <f t="shared" si="86"/>
        <v>2153.4891499848409</v>
      </c>
      <c r="I333" s="100">
        <f t="shared" si="78"/>
        <v>6053.4580006073884</v>
      </c>
      <c r="J333" s="100">
        <f t="shared" si="79"/>
        <v>1733.453711282767</v>
      </c>
      <c r="K333" s="100">
        <f t="shared" si="80"/>
        <v>4872.7383824158578</v>
      </c>
      <c r="L333" s="101">
        <f t="shared" si="81"/>
        <v>21465.011614743544</v>
      </c>
      <c r="M333" s="100">
        <f t="shared" si="82"/>
        <v>97393.167225162091</v>
      </c>
      <c r="N333" s="102">
        <f t="shared" si="83"/>
        <v>34647.160165479218</v>
      </c>
      <c r="O333" s="94">
        <f t="shared" si="84"/>
        <v>0.94033159394165611</v>
      </c>
      <c r="P333" s="100">
        <f>'Bef.fremskr. kommunenivå MMMM'!H328</f>
        <v>2811</v>
      </c>
      <c r="Q333" s="100"/>
      <c r="R333" s="100">
        <f t="shared" si="87"/>
        <v>0</v>
      </c>
      <c r="S333" s="100">
        <v>0</v>
      </c>
      <c r="U333" s="100">
        <v>0</v>
      </c>
      <c r="V333" s="5">
        <f t="shared" si="88"/>
        <v>75928.155610418544</v>
      </c>
      <c r="W333" s="5">
        <f t="shared" si="89"/>
        <v>27011.08346155053</v>
      </c>
    </row>
    <row r="334" spans="1:23" ht="13">
      <c r="A334" s="92">
        <v>5412</v>
      </c>
      <c r="B334" s="93" t="s">
        <v>652</v>
      </c>
      <c r="C334" s="574">
        <v>0.77034271390015496</v>
      </c>
      <c r="D334" s="100">
        <f t="shared" si="75"/>
        <v>28383.803716441587</v>
      </c>
      <c r="E334" s="100">
        <f t="shared" si="76"/>
        <v>120773.08481345895</v>
      </c>
      <c r="F334" s="100">
        <f t="shared" si="85"/>
        <v>5078.9908397112895</v>
      </c>
      <c r="G334" s="100">
        <f t="shared" si="77"/>
        <v>21611.106022971537</v>
      </c>
      <c r="H334" s="100">
        <f t="shared" si="86"/>
        <v>1673.0370607729724</v>
      </c>
      <c r="I334" s="100">
        <f t="shared" si="78"/>
        <v>7118.7726935889968</v>
      </c>
      <c r="J334" s="100">
        <f t="shared" si="79"/>
        <v>1253.0016220708985</v>
      </c>
      <c r="K334" s="100">
        <f t="shared" si="80"/>
        <v>5331.521901911673</v>
      </c>
      <c r="L334" s="101">
        <f t="shared" si="81"/>
        <v>26942.627924883211</v>
      </c>
      <c r="M334" s="100">
        <f t="shared" si="82"/>
        <v>147715.71273834218</v>
      </c>
      <c r="N334" s="102">
        <f t="shared" si="83"/>
        <v>34715.796178223776</v>
      </c>
      <c r="O334" s="94">
        <f t="shared" si="84"/>
        <v>0.94219439051596798</v>
      </c>
      <c r="P334" s="100">
        <f>'Bef.fremskr. kommunenivå MMMM'!H329</f>
        <v>4255</v>
      </c>
      <c r="Q334" s="100"/>
      <c r="R334" s="100">
        <f t="shared" si="87"/>
        <v>0</v>
      </c>
      <c r="S334" s="100">
        <v>0</v>
      </c>
      <c r="U334" s="100">
        <v>95.719666666666669</v>
      </c>
      <c r="V334" s="5">
        <f t="shared" si="88"/>
        <v>120677.36514679228</v>
      </c>
      <c r="W334" s="5">
        <f t="shared" si="89"/>
        <v>28361.307907589253</v>
      </c>
    </row>
    <row r="335" spans="1:23" ht="13">
      <c r="A335" s="92">
        <v>5413</v>
      </c>
      <c r="B335" s="93" t="s">
        <v>667</v>
      </c>
      <c r="C335" s="574">
        <v>0.97942550440986664</v>
      </c>
      <c r="D335" s="100">
        <f t="shared" si="75"/>
        <v>36087.602011965828</v>
      </c>
      <c r="E335" s="100">
        <f t="shared" si="76"/>
        <v>46264.305779340189</v>
      </c>
      <c r="F335" s="100">
        <f t="shared" si="85"/>
        <v>456.71186239674569</v>
      </c>
      <c r="G335" s="100">
        <f t="shared" si="77"/>
        <v>585.50460759262796</v>
      </c>
      <c r="H335" s="100">
        <f t="shared" si="86"/>
        <v>0</v>
      </c>
      <c r="I335" s="100">
        <f t="shared" si="78"/>
        <v>0</v>
      </c>
      <c r="J335" s="100">
        <f t="shared" si="79"/>
        <v>-420.03543870207375</v>
      </c>
      <c r="K335" s="100">
        <f t="shared" si="80"/>
        <v>-538.48543241605853</v>
      </c>
      <c r="L335" s="101">
        <f t="shared" si="81"/>
        <v>47.019175176569433</v>
      </c>
      <c r="M335" s="100">
        <f t="shared" si="82"/>
        <v>46311.324954516764</v>
      </c>
      <c r="N335" s="102">
        <f t="shared" si="83"/>
        <v>36124.278435660497</v>
      </c>
      <c r="O335" s="94">
        <f t="shared" si="84"/>
        <v>0.98042091066504566</v>
      </c>
      <c r="P335" s="100">
        <f>'Bef.fremskr. kommunenivå MMMM'!H330</f>
        <v>1282</v>
      </c>
      <c r="Q335" s="100"/>
      <c r="R335" s="100">
        <f t="shared" si="87"/>
        <v>0</v>
      </c>
      <c r="S335" s="100">
        <v>0</v>
      </c>
      <c r="U335" s="100">
        <v>0</v>
      </c>
      <c r="V335" s="5">
        <f t="shared" si="88"/>
        <v>46264.305779340189</v>
      </c>
      <c r="W335" s="5">
        <f t="shared" si="89"/>
        <v>36087.602011965828</v>
      </c>
    </row>
    <row r="336" spans="1:23" ht="13">
      <c r="A336" s="92">
        <v>5414</v>
      </c>
      <c r="B336" s="93" t="s">
        <v>668</v>
      </c>
      <c r="C336" s="574">
        <v>0.88865503951324354</v>
      </c>
      <c r="D336" s="100">
        <f t="shared" si="75"/>
        <v>32743.102203780672</v>
      </c>
      <c r="E336" s="100">
        <f t="shared" si="76"/>
        <v>35362.550380083128</v>
      </c>
      <c r="F336" s="100">
        <f t="shared" si="85"/>
        <v>2463.4117473078391</v>
      </c>
      <c r="G336" s="100">
        <f t="shared" si="77"/>
        <v>2660.4846870924662</v>
      </c>
      <c r="H336" s="100">
        <f t="shared" si="86"/>
        <v>147.28259020429266</v>
      </c>
      <c r="I336" s="100">
        <f t="shared" si="78"/>
        <v>159.06519742063608</v>
      </c>
      <c r="J336" s="100">
        <f t="shared" si="79"/>
        <v>-272.75284849778109</v>
      </c>
      <c r="K336" s="100">
        <f t="shared" si="80"/>
        <v>-294.57307637760357</v>
      </c>
      <c r="L336" s="101">
        <f t="shared" si="81"/>
        <v>2365.9116107148625</v>
      </c>
      <c r="M336" s="100">
        <f t="shared" si="82"/>
        <v>37728.461990797994</v>
      </c>
      <c r="N336" s="102">
        <f t="shared" si="83"/>
        <v>34933.761102590739</v>
      </c>
      <c r="O336" s="94">
        <f t="shared" si="84"/>
        <v>0.94811000679662261</v>
      </c>
      <c r="P336" s="100">
        <f>'Bef.fremskr. kommunenivå MMMM'!H331</f>
        <v>1080</v>
      </c>
      <c r="Q336" s="100"/>
      <c r="R336" s="100">
        <f t="shared" si="87"/>
        <v>0</v>
      </c>
      <c r="S336" s="100">
        <v>0</v>
      </c>
      <c r="U336" s="100">
        <v>0</v>
      </c>
      <c r="V336" s="5">
        <f t="shared" si="88"/>
        <v>35362.550380083128</v>
      </c>
      <c r="W336" s="5">
        <f t="shared" si="89"/>
        <v>32743.102203780676</v>
      </c>
    </row>
    <row r="337" spans="1:23" ht="13">
      <c r="A337" s="92">
        <v>5415</v>
      </c>
      <c r="B337" s="93" t="s">
        <v>669</v>
      </c>
      <c r="C337" s="574">
        <v>0.69833410015877251</v>
      </c>
      <c r="D337" s="100">
        <f t="shared" si="75"/>
        <v>25730.597135203814</v>
      </c>
      <c r="E337" s="100">
        <f t="shared" si="76"/>
        <v>24521.259069849235</v>
      </c>
      <c r="F337" s="100">
        <f t="shared" si="85"/>
        <v>6670.9147884539534</v>
      </c>
      <c r="G337" s="100">
        <f t="shared" si="77"/>
        <v>6357.3817933966175</v>
      </c>
      <c r="H337" s="100">
        <f t="shared" si="86"/>
        <v>2601.659364206193</v>
      </c>
      <c r="I337" s="100">
        <f t="shared" si="78"/>
        <v>2479.3813740885021</v>
      </c>
      <c r="J337" s="100">
        <f t="shared" si="79"/>
        <v>2181.6239255041191</v>
      </c>
      <c r="K337" s="100">
        <f t="shared" si="80"/>
        <v>2079.0876010054253</v>
      </c>
      <c r="L337" s="101">
        <f t="shared" si="81"/>
        <v>8436.4693944020437</v>
      </c>
      <c r="M337" s="100">
        <f t="shared" si="82"/>
        <v>32957.728464251282</v>
      </c>
      <c r="N337" s="102">
        <f t="shared" si="83"/>
        <v>34583.135849161896</v>
      </c>
      <c r="O337" s="94">
        <f t="shared" si="84"/>
        <v>0.93859395982889904</v>
      </c>
      <c r="P337" s="100">
        <f>'Bef.fremskr. kommunenivå MMMM'!H332</f>
        <v>953</v>
      </c>
      <c r="Q337" s="100"/>
      <c r="R337" s="100">
        <f t="shared" si="87"/>
        <v>0</v>
      </c>
      <c r="S337" s="100">
        <v>0</v>
      </c>
      <c r="U337" s="100">
        <v>0</v>
      </c>
      <c r="V337" s="5">
        <f t="shared" si="88"/>
        <v>24521.259069849235</v>
      </c>
      <c r="W337" s="5">
        <f t="shared" si="89"/>
        <v>25730.597135203814</v>
      </c>
    </row>
    <row r="338" spans="1:23" ht="13">
      <c r="A338" s="92">
        <v>5416</v>
      </c>
      <c r="B338" s="93" t="s">
        <v>670</v>
      </c>
      <c r="C338" s="574">
        <v>0.94405745986822487</v>
      </c>
      <c r="D338" s="100">
        <f t="shared" si="75"/>
        <v>34784.442241658144</v>
      </c>
      <c r="E338" s="100">
        <f t="shared" si="76"/>
        <v>142233.58432614015</v>
      </c>
      <c r="F338" s="100">
        <f t="shared" si="85"/>
        <v>1238.607724581356</v>
      </c>
      <c r="G338" s="100">
        <f t="shared" si="77"/>
        <v>5064.6669858131654</v>
      </c>
      <c r="H338" s="100">
        <f t="shared" si="86"/>
        <v>0</v>
      </c>
      <c r="I338" s="100">
        <f t="shared" si="78"/>
        <v>0</v>
      </c>
      <c r="J338" s="100">
        <f t="shared" si="79"/>
        <v>-420.03543870207375</v>
      </c>
      <c r="K338" s="100">
        <f t="shared" si="80"/>
        <v>-1717.5249088527796</v>
      </c>
      <c r="L338" s="101">
        <f t="shared" si="81"/>
        <v>3347.1420769603856</v>
      </c>
      <c r="M338" s="100">
        <f t="shared" si="82"/>
        <v>145580.72640310053</v>
      </c>
      <c r="N338" s="102">
        <f t="shared" si="83"/>
        <v>35603.014527537423</v>
      </c>
      <c r="O338" s="94">
        <f t="shared" si="84"/>
        <v>0.96627369284838893</v>
      </c>
      <c r="P338" s="100">
        <f>'Bef.fremskr. kommunenivå MMMM'!H333</f>
        <v>4089</v>
      </c>
      <c r="Q338" s="100"/>
      <c r="R338" s="100">
        <f t="shared" si="87"/>
        <v>0</v>
      </c>
      <c r="S338" s="100">
        <v>0</v>
      </c>
      <c r="U338" s="100">
        <v>12239.446666666665</v>
      </c>
      <c r="V338" s="5">
        <f t="shared" si="88"/>
        <v>129994.13765947348</v>
      </c>
      <c r="W338" s="5">
        <f t="shared" si="89"/>
        <v>31791.180645505865</v>
      </c>
    </row>
    <row r="339" spans="1:23" ht="13">
      <c r="A339" s="92">
        <v>5417</v>
      </c>
      <c r="B339" s="93" t="s">
        <v>671</v>
      </c>
      <c r="C339" s="574">
        <v>0.81375940313319772</v>
      </c>
      <c r="D339" s="100">
        <f t="shared" si="75"/>
        <v>29983.521300540335</v>
      </c>
      <c r="E339" s="100">
        <f t="shared" si="76"/>
        <v>63355.180508041725</v>
      </c>
      <c r="F339" s="100">
        <f t="shared" si="85"/>
        <v>4119.1602892520414</v>
      </c>
      <c r="G339" s="100">
        <f t="shared" si="77"/>
        <v>8703.7856911895633</v>
      </c>
      <c r="H339" s="100">
        <f t="shared" si="86"/>
        <v>1113.1359063384107</v>
      </c>
      <c r="I339" s="100">
        <f t="shared" si="78"/>
        <v>2352.0561700930621</v>
      </c>
      <c r="J339" s="100">
        <f t="shared" si="79"/>
        <v>693.10046763633693</v>
      </c>
      <c r="K339" s="100">
        <f t="shared" si="80"/>
        <v>1464.5212881155799</v>
      </c>
      <c r="L339" s="101">
        <f t="shared" si="81"/>
        <v>10168.306979305144</v>
      </c>
      <c r="M339" s="100">
        <f t="shared" si="82"/>
        <v>73523.487487346865</v>
      </c>
      <c r="N339" s="102">
        <f t="shared" si="83"/>
        <v>34795.782057428703</v>
      </c>
      <c r="O339" s="94">
        <f t="shared" si="84"/>
        <v>0.94436522497761988</v>
      </c>
      <c r="P339" s="100">
        <f>'Bef.fremskr. kommunenivå MMMM'!H334</f>
        <v>2113</v>
      </c>
      <c r="Q339" s="100"/>
      <c r="R339" s="100">
        <f t="shared" si="87"/>
        <v>0</v>
      </c>
      <c r="S339" s="100">
        <v>0</v>
      </c>
      <c r="U339" s="100">
        <v>0</v>
      </c>
      <c r="V339" s="5">
        <f t="shared" si="88"/>
        <v>63355.180508041725</v>
      </c>
      <c r="W339" s="5">
        <f t="shared" si="89"/>
        <v>29983.521300540335</v>
      </c>
    </row>
    <row r="340" spans="1:23" ht="13">
      <c r="A340" s="92">
        <v>5418</v>
      </c>
      <c r="B340" s="93" t="s">
        <v>672</v>
      </c>
      <c r="C340" s="574">
        <v>0.8841716148475659</v>
      </c>
      <c r="D340" s="100">
        <f t="shared" si="75"/>
        <v>32577.90735817259</v>
      </c>
      <c r="E340" s="100">
        <f t="shared" si="76"/>
        <v>218011.35604089097</v>
      </c>
      <c r="F340" s="100">
        <f t="shared" si="85"/>
        <v>2562.5286546726884</v>
      </c>
      <c r="G340" s="100">
        <f t="shared" si="77"/>
        <v>17148.441757069631</v>
      </c>
      <c r="H340" s="100">
        <f t="shared" si="86"/>
        <v>205.10078616712161</v>
      </c>
      <c r="I340" s="100">
        <f t="shared" si="78"/>
        <v>1372.5344610303778</v>
      </c>
      <c r="J340" s="100">
        <f t="shared" si="79"/>
        <v>-214.93465253495214</v>
      </c>
      <c r="K340" s="100">
        <f t="shared" si="80"/>
        <v>-1438.3426947638998</v>
      </c>
      <c r="L340" s="101">
        <f t="shared" si="81"/>
        <v>15710.099062305731</v>
      </c>
      <c r="M340" s="100">
        <f t="shared" si="82"/>
        <v>233721.4551031967</v>
      </c>
      <c r="N340" s="102">
        <f t="shared" si="83"/>
        <v>34925.501360310329</v>
      </c>
      <c r="O340" s="94">
        <f t="shared" si="84"/>
        <v>0.94788583556333861</v>
      </c>
      <c r="P340" s="100">
        <f>'Bef.fremskr. kommunenivå MMMM'!H335</f>
        <v>6692</v>
      </c>
      <c r="Q340" s="100"/>
      <c r="R340" s="100">
        <f t="shared" si="87"/>
        <v>0</v>
      </c>
      <c r="S340" s="100">
        <v>0</v>
      </c>
      <c r="U340" s="100">
        <v>4330.8993333333337</v>
      </c>
      <c r="V340" s="5">
        <f t="shared" si="88"/>
        <v>213680.45670755763</v>
      </c>
      <c r="W340" s="5">
        <f t="shared" si="89"/>
        <v>31930.731725576457</v>
      </c>
    </row>
    <row r="341" spans="1:23" ht="13">
      <c r="A341" s="92">
        <v>5419</v>
      </c>
      <c r="B341" s="93" t="s">
        <v>673</v>
      </c>
      <c r="C341" s="574">
        <v>0.81112508450840126</v>
      </c>
      <c r="D341" s="100">
        <f t="shared" si="75"/>
        <v>29886.458030616966</v>
      </c>
      <c r="E341" s="100">
        <f t="shared" si="76"/>
        <v>102331.23229683249</v>
      </c>
      <c r="F341" s="100">
        <f t="shared" si="85"/>
        <v>4177.398251206062</v>
      </c>
      <c r="G341" s="100">
        <f t="shared" si="77"/>
        <v>14303.411612129556</v>
      </c>
      <c r="H341" s="100">
        <f t="shared" si="86"/>
        <v>1147.1080508115897</v>
      </c>
      <c r="I341" s="100">
        <f t="shared" si="78"/>
        <v>3927.6979659788831</v>
      </c>
      <c r="J341" s="100">
        <f t="shared" si="79"/>
        <v>727.07261210951594</v>
      </c>
      <c r="K341" s="100">
        <f t="shared" si="80"/>
        <v>2489.4966238629827</v>
      </c>
      <c r="L341" s="101">
        <f t="shared" si="81"/>
        <v>16792.908235992538</v>
      </c>
      <c r="M341" s="100">
        <f t="shared" si="82"/>
        <v>119124.14053282503</v>
      </c>
      <c r="N341" s="102">
        <f t="shared" si="83"/>
        <v>34790.928893932542</v>
      </c>
      <c r="O341" s="94">
        <f t="shared" si="84"/>
        <v>0.94423350904638015</v>
      </c>
      <c r="P341" s="100">
        <f>'Bef.fremskr. kommunenivå MMMM'!H336</f>
        <v>3424</v>
      </c>
      <c r="Q341" s="100"/>
      <c r="R341" s="100">
        <f t="shared" si="87"/>
        <v>0</v>
      </c>
      <c r="S341" s="100">
        <v>0</v>
      </c>
      <c r="U341" s="100">
        <v>0</v>
      </c>
      <c r="V341" s="5">
        <f t="shared" si="88"/>
        <v>102331.23229683249</v>
      </c>
      <c r="W341" s="5">
        <f t="shared" si="89"/>
        <v>29886.458030616966</v>
      </c>
    </row>
    <row r="342" spans="1:23" ht="13">
      <c r="A342" s="92">
        <v>5420</v>
      </c>
      <c r="B342" s="93" t="s">
        <v>674</v>
      </c>
      <c r="C342" s="574">
        <v>0.81696859620351026</v>
      </c>
      <c r="D342" s="100">
        <f t="shared" si="75"/>
        <v>30101.766212255981</v>
      </c>
      <c r="E342" s="100">
        <f t="shared" si="76"/>
        <v>32299.195145750669</v>
      </c>
      <c r="F342" s="100">
        <f t="shared" si="85"/>
        <v>4048.2133422226534</v>
      </c>
      <c r="G342" s="100">
        <f t="shared" si="77"/>
        <v>4343.7329162049073</v>
      </c>
      <c r="H342" s="100">
        <f t="shared" si="86"/>
        <v>1071.7501872379346</v>
      </c>
      <c r="I342" s="100">
        <f t="shared" si="78"/>
        <v>1149.9879509063037</v>
      </c>
      <c r="J342" s="100">
        <f t="shared" si="79"/>
        <v>651.71474853586085</v>
      </c>
      <c r="K342" s="100">
        <f t="shared" si="80"/>
        <v>699.28992517897871</v>
      </c>
      <c r="L342" s="101">
        <f t="shared" si="81"/>
        <v>5043.0228413838859</v>
      </c>
      <c r="M342" s="100">
        <f t="shared" si="82"/>
        <v>37342.217987134558</v>
      </c>
      <c r="N342" s="102">
        <f t="shared" si="83"/>
        <v>34801.694303014505</v>
      </c>
      <c r="O342" s="94">
        <f t="shared" si="84"/>
        <v>0.94452568463113595</v>
      </c>
      <c r="P342" s="100">
        <f>'Bef.fremskr. kommunenivå MMMM'!H337</f>
        <v>1073</v>
      </c>
      <c r="Q342" s="100"/>
      <c r="R342" s="100">
        <f t="shared" si="87"/>
        <v>0</v>
      </c>
      <c r="S342" s="100">
        <v>0</v>
      </c>
      <c r="U342" s="100">
        <v>0</v>
      </c>
      <c r="V342" s="5">
        <f t="shared" si="88"/>
        <v>32299.195145750669</v>
      </c>
      <c r="W342" s="5">
        <f t="shared" si="89"/>
        <v>30101.766212255981</v>
      </c>
    </row>
    <row r="343" spans="1:23" ht="13">
      <c r="A343" s="92">
        <v>5421</v>
      </c>
      <c r="B343" s="93" t="s">
        <v>1836</v>
      </c>
      <c r="C343" s="574">
        <v>0.85774251174399996</v>
      </c>
      <c r="D343" s="100">
        <f t="shared" si="75"/>
        <v>31604.108993681999</v>
      </c>
      <c r="E343" s="100">
        <f t="shared" si="76"/>
        <v>467393.1679075631</v>
      </c>
      <c r="F343" s="100">
        <f t="shared" si="85"/>
        <v>3146.8076733670428</v>
      </c>
      <c r="G343" s="100">
        <f t="shared" si="77"/>
        <v>46538.138681425196</v>
      </c>
      <c r="H343" s="100">
        <f t="shared" si="86"/>
        <v>545.93021373882834</v>
      </c>
      <c r="I343" s="100">
        <f t="shared" si="78"/>
        <v>8073.7619309835318</v>
      </c>
      <c r="J343" s="100">
        <f t="shared" si="79"/>
        <v>125.8947750367546</v>
      </c>
      <c r="K343" s="100">
        <f t="shared" si="80"/>
        <v>1861.8578280185639</v>
      </c>
      <c r="L343" s="101">
        <f t="shared" si="81"/>
        <v>48399.996509443758</v>
      </c>
      <c r="M343" s="100">
        <f t="shared" si="82"/>
        <v>515793.16441700683</v>
      </c>
      <c r="N343" s="102">
        <f t="shared" si="83"/>
        <v>34876.811442085796</v>
      </c>
      <c r="O343" s="94">
        <f t="shared" si="84"/>
        <v>0.94656438040816027</v>
      </c>
      <c r="P343" s="100">
        <f>'Bef.fremskr. kommunenivå MMMM'!H338</f>
        <v>14789</v>
      </c>
      <c r="Q343" s="100"/>
      <c r="R343" s="100">
        <f t="shared" si="87"/>
        <v>0</v>
      </c>
      <c r="S343" s="100">
        <v>0</v>
      </c>
      <c r="U343" s="100">
        <v>295.39233333333334</v>
      </c>
      <c r="V343" s="5">
        <f t="shared" si="88"/>
        <v>467097.77557422977</v>
      </c>
      <c r="W343" s="5">
        <f t="shared" si="89"/>
        <v>31584.13520685846</v>
      </c>
    </row>
    <row r="344" spans="1:23" ht="13">
      <c r="A344" s="92">
        <v>5422</v>
      </c>
      <c r="B344" s="93" t="s">
        <v>675</v>
      </c>
      <c r="C344" s="574">
        <v>0.72051197467499273</v>
      </c>
      <c r="D344" s="100">
        <f t="shared" si="75"/>
        <v>26547.756077266393</v>
      </c>
      <c r="E344" s="100">
        <f t="shared" si="76"/>
        <v>148508.14749622819</v>
      </c>
      <c r="F344" s="100">
        <f t="shared" si="85"/>
        <v>6180.6194232164062</v>
      </c>
      <c r="G344" s="100">
        <f t="shared" si="77"/>
        <v>34574.385053472579</v>
      </c>
      <c r="H344" s="100">
        <f t="shared" si="86"/>
        <v>2315.6537344842905</v>
      </c>
      <c r="I344" s="100">
        <f t="shared" si="78"/>
        <v>12953.76699070512</v>
      </c>
      <c r="J344" s="100">
        <f t="shared" si="79"/>
        <v>1895.6182957822166</v>
      </c>
      <c r="K344" s="100">
        <f t="shared" si="80"/>
        <v>10604.088746605721</v>
      </c>
      <c r="L344" s="101">
        <f t="shared" si="81"/>
        <v>45178.473800078296</v>
      </c>
      <c r="M344" s="100">
        <f t="shared" si="82"/>
        <v>193686.62129630649</v>
      </c>
      <c r="N344" s="102">
        <f t="shared" si="83"/>
        <v>34623.993796265015</v>
      </c>
      <c r="O344" s="94">
        <f t="shared" si="84"/>
        <v>0.93970285355470984</v>
      </c>
      <c r="P344" s="100">
        <f>'Bef.fremskr. kommunenivå MMMM'!H339</f>
        <v>5594</v>
      </c>
      <c r="Q344" s="100"/>
      <c r="R344" s="100">
        <f t="shared" si="87"/>
        <v>0</v>
      </c>
      <c r="S344" s="100">
        <v>0</v>
      </c>
      <c r="U344" s="100">
        <v>0</v>
      </c>
      <c r="V344" s="5">
        <f t="shared" si="88"/>
        <v>148508.14749622819</v>
      </c>
      <c r="W344" s="5">
        <f t="shared" si="89"/>
        <v>26547.756077266389</v>
      </c>
    </row>
    <row r="345" spans="1:23" ht="13">
      <c r="A345" s="92">
        <v>5423</v>
      </c>
      <c r="B345" s="93" t="s">
        <v>676</v>
      </c>
      <c r="C345" s="574">
        <v>0.95864828282755765</v>
      </c>
      <c r="D345" s="100">
        <f t="shared" si="75"/>
        <v>35322.051084405932</v>
      </c>
      <c r="E345" s="100">
        <f t="shared" si="76"/>
        <v>78909.462122562851</v>
      </c>
      <c r="F345" s="100">
        <f t="shared" si="85"/>
        <v>916.04241893268329</v>
      </c>
      <c r="G345" s="100">
        <f t="shared" si="77"/>
        <v>2046.4387638956146</v>
      </c>
      <c r="H345" s="100">
        <f t="shared" si="86"/>
        <v>0</v>
      </c>
      <c r="I345" s="100">
        <f t="shared" si="78"/>
        <v>0</v>
      </c>
      <c r="J345" s="100">
        <f t="shared" si="79"/>
        <v>-420.03543870207375</v>
      </c>
      <c r="K345" s="100">
        <f t="shared" si="80"/>
        <v>-938.3591700604328</v>
      </c>
      <c r="L345" s="101">
        <f t="shared" si="81"/>
        <v>1108.0795938351816</v>
      </c>
      <c r="M345" s="100">
        <f t="shared" si="82"/>
        <v>80017.541716398031</v>
      </c>
      <c r="N345" s="102">
        <f t="shared" si="83"/>
        <v>35818.058064636542</v>
      </c>
      <c r="O345" s="94">
        <f t="shared" si="84"/>
        <v>0.97211002203212216</v>
      </c>
      <c r="P345" s="100">
        <f>'Bef.fremskr. kommunenivå MMMM'!H340</f>
        <v>2234</v>
      </c>
      <c r="Q345" s="100"/>
      <c r="R345" s="100">
        <f t="shared" si="87"/>
        <v>0</v>
      </c>
      <c r="S345" s="100">
        <v>0</v>
      </c>
      <c r="U345" s="100">
        <v>0</v>
      </c>
      <c r="V345" s="5">
        <f t="shared" si="88"/>
        <v>78909.462122562851</v>
      </c>
      <c r="W345" s="5">
        <f t="shared" si="89"/>
        <v>35322.051084405932</v>
      </c>
    </row>
    <row r="346" spans="1:23" ht="13">
      <c r="A346" s="92">
        <v>5424</v>
      </c>
      <c r="B346" s="93" t="s">
        <v>677</v>
      </c>
      <c r="C346" s="574">
        <v>0.73091378148929764</v>
      </c>
      <c r="D346" s="100">
        <f t="shared" si="75"/>
        <v>26931.017757536978</v>
      </c>
      <c r="E346" s="100">
        <f t="shared" si="76"/>
        <v>73144.644229470432</v>
      </c>
      <c r="F346" s="100">
        <f t="shared" si="85"/>
        <v>5950.6624150540556</v>
      </c>
      <c r="G346" s="100">
        <f t="shared" si="77"/>
        <v>16161.999119286815</v>
      </c>
      <c r="H346" s="100">
        <f t="shared" si="86"/>
        <v>2181.5121463895857</v>
      </c>
      <c r="I346" s="100">
        <f t="shared" si="78"/>
        <v>5924.9869895941147</v>
      </c>
      <c r="J346" s="100">
        <f t="shared" si="79"/>
        <v>1761.4767076875119</v>
      </c>
      <c r="K346" s="100">
        <f t="shared" si="80"/>
        <v>4784.1707380792823</v>
      </c>
      <c r="L346" s="101">
        <f t="shared" si="81"/>
        <v>20946.169857366098</v>
      </c>
      <c r="M346" s="100">
        <f t="shared" si="82"/>
        <v>94090.81408683653</v>
      </c>
      <c r="N346" s="102">
        <f t="shared" si="83"/>
        <v>34643.156880278548</v>
      </c>
      <c r="O346" s="94">
        <f t="shared" si="84"/>
        <v>0.94022294389542516</v>
      </c>
      <c r="P346" s="100">
        <f>'Bef.fremskr. kommunenivå MMMM'!H341</f>
        <v>2716</v>
      </c>
      <c r="Q346" s="100"/>
      <c r="R346" s="100">
        <f t="shared" si="87"/>
        <v>0</v>
      </c>
      <c r="S346" s="100">
        <v>0</v>
      </c>
      <c r="U346" s="100">
        <v>0</v>
      </c>
      <c r="V346" s="5">
        <f t="shared" si="88"/>
        <v>73144.644229470432</v>
      </c>
      <c r="W346" s="5">
        <f t="shared" si="89"/>
        <v>26931.017757536978</v>
      </c>
    </row>
    <row r="347" spans="1:23" ht="13">
      <c r="A347" s="92">
        <v>5425</v>
      </c>
      <c r="B347" s="93" t="s">
        <v>678</v>
      </c>
      <c r="C347" s="574">
        <v>0.85766734734927119</v>
      </c>
      <c r="D347" s="100">
        <f t="shared" si="75"/>
        <v>31601.339510193742</v>
      </c>
      <c r="E347" s="100">
        <f t="shared" si="76"/>
        <v>58715.288809939972</v>
      </c>
      <c r="F347" s="100">
        <f t="shared" si="85"/>
        <v>3148.4693634599971</v>
      </c>
      <c r="G347" s="100">
        <f t="shared" si="77"/>
        <v>5849.8560773086747</v>
      </c>
      <c r="H347" s="100">
        <f t="shared" si="86"/>
        <v>546.89953295971827</v>
      </c>
      <c r="I347" s="100">
        <f t="shared" si="78"/>
        <v>1016.1393322391566</v>
      </c>
      <c r="J347" s="100">
        <f t="shared" si="79"/>
        <v>126.86409425764452</v>
      </c>
      <c r="K347" s="100">
        <f t="shared" si="80"/>
        <v>235.71348713070353</v>
      </c>
      <c r="L347" s="101">
        <f t="shared" si="81"/>
        <v>6085.5695644393782</v>
      </c>
      <c r="M347" s="100">
        <f t="shared" si="82"/>
        <v>64800.85837437935</v>
      </c>
      <c r="N347" s="102">
        <f t="shared" si="83"/>
        <v>34876.672967911385</v>
      </c>
      <c r="O347" s="94">
        <f t="shared" si="84"/>
        <v>0.94656062218842385</v>
      </c>
      <c r="P347" s="100">
        <f>'Bef.fremskr. kommunenivå MMMM'!H342</f>
        <v>1858</v>
      </c>
      <c r="Q347" s="100"/>
      <c r="R347" s="100">
        <f t="shared" si="87"/>
        <v>0</v>
      </c>
      <c r="S347" s="100">
        <v>0</v>
      </c>
      <c r="U347" s="100">
        <v>4418.9679999999998</v>
      </c>
      <c r="V347" s="5">
        <f t="shared" si="88"/>
        <v>54296.320809939971</v>
      </c>
      <c r="W347" s="5">
        <f t="shared" si="89"/>
        <v>29222.992900936475</v>
      </c>
    </row>
    <row r="348" spans="1:23" ht="13">
      <c r="A348" s="92">
        <v>5426</v>
      </c>
      <c r="B348" s="93" t="s">
        <v>679</v>
      </c>
      <c r="C348" s="574">
        <v>0.71796103844891934</v>
      </c>
      <c r="D348" s="100">
        <f t="shared" si="75"/>
        <v>26453.765088804324</v>
      </c>
      <c r="E348" s="100">
        <f t="shared" si="76"/>
        <v>52669.446291809407</v>
      </c>
      <c r="F348" s="100">
        <f t="shared" si="85"/>
        <v>6237.0140162936477</v>
      </c>
      <c r="G348" s="100">
        <f t="shared" si="77"/>
        <v>12417.894906440653</v>
      </c>
      <c r="H348" s="100">
        <f t="shared" si="86"/>
        <v>2348.5505804460145</v>
      </c>
      <c r="I348" s="100">
        <f t="shared" si="78"/>
        <v>4675.9642056680141</v>
      </c>
      <c r="J348" s="100">
        <f t="shared" si="79"/>
        <v>1928.5151417439406</v>
      </c>
      <c r="K348" s="100">
        <f t="shared" si="80"/>
        <v>3839.6736472121861</v>
      </c>
      <c r="L348" s="101">
        <f t="shared" si="81"/>
        <v>16257.56855365284</v>
      </c>
      <c r="M348" s="100">
        <f t="shared" si="82"/>
        <v>68927.014845462239</v>
      </c>
      <c r="N348" s="102">
        <f t="shared" si="83"/>
        <v>34619.294246841906</v>
      </c>
      <c r="O348" s="94">
        <f t="shared" si="84"/>
        <v>0.93957530674340606</v>
      </c>
      <c r="P348" s="100">
        <f>'Bef.fremskr. kommunenivå MMMM'!H343</f>
        <v>1991</v>
      </c>
      <c r="Q348" s="100"/>
      <c r="R348" s="100">
        <f t="shared" si="87"/>
        <v>0</v>
      </c>
      <c r="S348" s="100">
        <v>0</v>
      </c>
      <c r="U348" s="100">
        <v>3480.527</v>
      </c>
      <c r="V348" s="5">
        <f t="shared" si="88"/>
        <v>49188.919291809405</v>
      </c>
      <c r="W348" s="5">
        <f t="shared" si="89"/>
        <v>24705.635003420091</v>
      </c>
    </row>
    <row r="349" spans="1:23" ht="13">
      <c r="A349" s="92">
        <v>5427</v>
      </c>
      <c r="B349" s="93" t="s">
        <v>681</v>
      </c>
      <c r="C349" s="574">
        <v>0.87103714260613307</v>
      </c>
      <c r="D349" s="100">
        <f t="shared" si="75"/>
        <v>32093.958752840288</v>
      </c>
      <c r="E349" s="100">
        <f t="shared" si="76"/>
        <v>89734.708672941444</v>
      </c>
      <c r="F349" s="100">
        <f t="shared" si="85"/>
        <v>2852.8978178720695</v>
      </c>
      <c r="G349" s="100">
        <f t="shared" si="77"/>
        <v>7976.7022987703067</v>
      </c>
      <c r="H349" s="100">
        <f t="shared" si="86"/>
        <v>374.48279803342717</v>
      </c>
      <c r="I349" s="100">
        <f t="shared" si="78"/>
        <v>1047.0539033014625</v>
      </c>
      <c r="J349" s="100">
        <f t="shared" si="79"/>
        <v>-45.552640668646575</v>
      </c>
      <c r="K349" s="100">
        <f t="shared" si="80"/>
        <v>-127.36518330953582</v>
      </c>
      <c r="L349" s="101">
        <f t="shared" si="81"/>
        <v>7849.3371154607712</v>
      </c>
      <c r="M349" s="100">
        <f t="shared" si="82"/>
        <v>97584.045788402218</v>
      </c>
      <c r="N349" s="102">
        <f t="shared" si="83"/>
        <v>34901.303930043709</v>
      </c>
      <c r="O349" s="94">
        <f t="shared" si="84"/>
        <v>0.9472291119512668</v>
      </c>
      <c r="P349" s="100">
        <f>'Bef.fremskr. kommunenivå MMMM'!H344</f>
        <v>2796</v>
      </c>
      <c r="Q349" s="100"/>
      <c r="R349" s="100">
        <f t="shared" si="87"/>
        <v>0</v>
      </c>
      <c r="S349" s="100">
        <v>0</v>
      </c>
      <c r="U349" s="100">
        <v>0</v>
      </c>
      <c r="V349" s="5">
        <f t="shared" si="88"/>
        <v>89734.708672941444</v>
      </c>
      <c r="W349" s="5">
        <f t="shared" si="89"/>
        <v>32093.958752840288</v>
      </c>
    </row>
    <row r="350" spans="1:23" ht="13">
      <c r="A350" s="92">
        <v>5428</v>
      </c>
      <c r="B350" s="93" t="s">
        <v>682</v>
      </c>
      <c r="C350" s="574">
        <v>0.79393224761675929</v>
      </c>
      <c r="D350" s="100">
        <f t="shared" si="75"/>
        <v>29252.976206416304</v>
      </c>
      <c r="E350" s="100">
        <f t="shared" si="76"/>
        <v>137927.78281325285</v>
      </c>
      <c r="F350" s="100">
        <f t="shared" si="85"/>
        <v>4557.4873457264594</v>
      </c>
      <c r="G350" s="100">
        <f t="shared" si="77"/>
        <v>21488.552835100258</v>
      </c>
      <c r="H350" s="100">
        <f t="shared" si="86"/>
        <v>1368.8266892818215</v>
      </c>
      <c r="I350" s="100">
        <f t="shared" si="78"/>
        <v>6454.017839963788</v>
      </c>
      <c r="J350" s="100">
        <f t="shared" si="79"/>
        <v>948.79125057974773</v>
      </c>
      <c r="K350" s="100">
        <f t="shared" si="80"/>
        <v>4473.55074648351</v>
      </c>
      <c r="L350" s="101">
        <f t="shared" si="81"/>
        <v>25962.103581583768</v>
      </c>
      <c r="M350" s="100">
        <f t="shared" si="82"/>
        <v>163889.88639483665</v>
      </c>
      <c r="N350" s="102">
        <f t="shared" si="83"/>
        <v>34759.254802722513</v>
      </c>
      <c r="O350" s="94">
        <f t="shared" si="84"/>
        <v>0.94337386720179828</v>
      </c>
      <c r="P350" s="100">
        <f>'Bef.fremskr. kommunenivå MMMM'!H345</f>
        <v>4715</v>
      </c>
      <c r="Q350" s="100"/>
      <c r="R350" s="100">
        <f t="shared" si="87"/>
        <v>0</v>
      </c>
      <c r="S350" s="100">
        <v>0</v>
      </c>
      <c r="U350" s="100">
        <v>195.523</v>
      </c>
      <c r="V350" s="5">
        <f t="shared" si="88"/>
        <v>137732.25981325287</v>
      </c>
      <c r="W350" s="5">
        <f t="shared" si="89"/>
        <v>29211.507913733374</v>
      </c>
    </row>
    <row r="351" spans="1:23" ht="13">
      <c r="A351" s="92">
        <v>5429</v>
      </c>
      <c r="B351" s="93" t="s">
        <v>683</v>
      </c>
      <c r="C351" s="574">
        <v>0.92817544307590127</v>
      </c>
      <c r="D351" s="100">
        <f t="shared" si="75"/>
        <v>34199.25847978126</v>
      </c>
      <c r="E351" s="100">
        <f t="shared" si="76"/>
        <v>39739.538353505821</v>
      </c>
      <c r="F351" s="100">
        <f t="shared" si="85"/>
        <v>1589.7179817074866</v>
      </c>
      <c r="G351" s="100">
        <f t="shared" si="77"/>
        <v>1847.2522947440996</v>
      </c>
      <c r="H351" s="100">
        <f t="shared" si="86"/>
        <v>0</v>
      </c>
      <c r="I351" s="100">
        <f t="shared" si="78"/>
        <v>0</v>
      </c>
      <c r="J351" s="100">
        <f t="shared" si="79"/>
        <v>-420.03543870207375</v>
      </c>
      <c r="K351" s="100">
        <f t="shared" si="80"/>
        <v>-488.08117977180973</v>
      </c>
      <c r="L351" s="101">
        <f t="shared" si="81"/>
        <v>1359.1711149722898</v>
      </c>
      <c r="M351" s="100">
        <f t="shared" si="82"/>
        <v>41098.709468478111</v>
      </c>
      <c r="N351" s="102">
        <f t="shared" si="83"/>
        <v>35368.941022786676</v>
      </c>
      <c r="O351" s="94">
        <f t="shared" si="84"/>
        <v>0.95992088613145965</v>
      </c>
      <c r="P351" s="100">
        <f>'Bef.fremskr. kommunenivå MMMM'!H346</f>
        <v>1162</v>
      </c>
      <c r="Q351" s="100"/>
      <c r="R351" s="100">
        <f t="shared" si="87"/>
        <v>0</v>
      </c>
      <c r="S351" s="100">
        <v>0</v>
      </c>
      <c r="U351" s="100">
        <v>2804.6386666666672</v>
      </c>
      <c r="V351" s="5">
        <f t="shared" si="88"/>
        <v>36934.899686839155</v>
      </c>
      <c r="W351" s="5">
        <f t="shared" si="89"/>
        <v>31785.627957692905</v>
      </c>
    </row>
    <row r="352" spans="1:23" ht="13">
      <c r="A352" s="92">
        <v>5430</v>
      </c>
      <c r="B352" s="93" t="s">
        <v>687</v>
      </c>
      <c r="C352" s="574">
        <v>0.60617014555274995</v>
      </c>
      <c r="D352" s="100">
        <f t="shared" si="75"/>
        <v>22334.753246418186</v>
      </c>
      <c r="E352" s="100">
        <f t="shared" si="76"/>
        <v>63676.381505538251</v>
      </c>
      <c r="F352" s="100">
        <f t="shared" si="85"/>
        <v>8708.4211217253305</v>
      </c>
      <c r="G352" s="100">
        <f t="shared" si="77"/>
        <v>24827.70861803892</v>
      </c>
      <c r="H352" s="100">
        <f t="shared" si="86"/>
        <v>3790.2047252811626</v>
      </c>
      <c r="I352" s="100">
        <f t="shared" si="78"/>
        <v>10805.873671776595</v>
      </c>
      <c r="J352" s="100">
        <f t="shared" si="79"/>
        <v>3370.1692865790887</v>
      </c>
      <c r="K352" s="100">
        <f t="shared" si="80"/>
        <v>9608.3526360369833</v>
      </c>
      <c r="L352" s="101">
        <f t="shared" si="81"/>
        <v>34436.061254075903</v>
      </c>
      <c r="M352" s="100">
        <f t="shared" si="82"/>
        <v>98112.442759614147</v>
      </c>
      <c r="N352" s="102">
        <f t="shared" si="83"/>
        <v>34413.343654722601</v>
      </c>
      <c r="O352" s="94">
        <f t="shared" si="84"/>
        <v>0.93398576209859763</v>
      </c>
      <c r="P352" s="100">
        <f>'Bef.fremskr. kommunenivå MMMM'!H347</f>
        <v>2851</v>
      </c>
      <c r="Q352" s="100"/>
      <c r="R352" s="100">
        <f t="shared" si="87"/>
        <v>0</v>
      </c>
      <c r="S352" s="100">
        <v>0</v>
      </c>
      <c r="U352" s="100">
        <v>1595.1556666666665</v>
      </c>
      <c r="V352" s="5">
        <f t="shared" si="88"/>
        <v>62081.225838871585</v>
      </c>
      <c r="W352" s="5">
        <f t="shared" si="89"/>
        <v>21775.245822122619</v>
      </c>
    </row>
    <row r="353" spans="1:23" ht="13">
      <c r="A353" s="92">
        <v>5432</v>
      </c>
      <c r="B353" s="93" t="s">
        <v>689</v>
      </c>
      <c r="C353" s="574">
        <v>0.9402336824361297</v>
      </c>
      <c r="D353" s="100">
        <f t="shared" si="75"/>
        <v>34643.552549149135</v>
      </c>
      <c r="E353" s="100">
        <f t="shared" si="76"/>
        <v>30520.969795800389</v>
      </c>
      <c r="F353" s="100">
        <f t="shared" si="85"/>
        <v>1323.1415400867611</v>
      </c>
      <c r="G353" s="100">
        <f t="shared" si="77"/>
        <v>1165.6876968164365</v>
      </c>
      <c r="H353" s="100">
        <f t="shared" si="86"/>
        <v>0</v>
      </c>
      <c r="I353" s="100">
        <f t="shared" si="78"/>
        <v>0</v>
      </c>
      <c r="J353" s="100">
        <f t="shared" si="79"/>
        <v>-420.03543870207375</v>
      </c>
      <c r="K353" s="100">
        <f t="shared" si="80"/>
        <v>-370.05122149652698</v>
      </c>
      <c r="L353" s="101">
        <f t="shared" si="81"/>
        <v>795.63647531990955</v>
      </c>
      <c r="M353" s="100">
        <f t="shared" si="82"/>
        <v>31316.606271120298</v>
      </c>
      <c r="N353" s="102">
        <f t="shared" si="83"/>
        <v>35546.65865053382</v>
      </c>
      <c r="O353" s="94">
        <f t="shared" si="84"/>
        <v>0.96474418187555089</v>
      </c>
      <c r="P353" s="100">
        <f>'Bef.fremskr. kommunenivå MMMM'!H348</f>
        <v>881</v>
      </c>
      <c r="Q353" s="100"/>
      <c r="R353" s="100">
        <f t="shared" si="87"/>
        <v>0</v>
      </c>
      <c r="S353" s="100">
        <v>0</v>
      </c>
      <c r="U353" s="100">
        <v>0</v>
      </c>
      <c r="V353" s="5">
        <f t="shared" si="88"/>
        <v>30520.969795800389</v>
      </c>
      <c r="W353" s="5">
        <f t="shared" si="89"/>
        <v>34643.552549149135</v>
      </c>
    </row>
    <row r="354" spans="1:23" ht="13">
      <c r="A354" s="92">
        <v>5433</v>
      </c>
      <c r="B354" s="93" t="s">
        <v>690</v>
      </c>
      <c r="C354" s="574">
        <v>0.75280132978643377</v>
      </c>
      <c r="D354" s="100">
        <f t="shared" si="75"/>
        <v>27737.479431659551</v>
      </c>
      <c r="E354" s="100">
        <f t="shared" si="76"/>
        <v>26933.092528141424</v>
      </c>
      <c r="F354" s="100">
        <f t="shared" si="85"/>
        <v>5466.7854105805118</v>
      </c>
      <c r="G354" s="100">
        <f t="shared" si="77"/>
        <v>5308.2486336736774</v>
      </c>
      <c r="H354" s="100">
        <f t="shared" si="86"/>
        <v>1899.2505604466851</v>
      </c>
      <c r="I354" s="100">
        <f t="shared" si="78"/>
        <v>1844.1722941937312</v>
      </c>
      <c r="J354" s="100">
        <f t="shared" si="79"/>
        <v>1479.2151217446112</v>
      </c>
      <c r="K354" s="100">
        <f t="shared" si="80"/>
        <v>1436.3178832140177</v>
      </c>
      <c r="L354" s="101">
        <f t="shared" si="81"/>
        <v>6744.5665168876949</v>
      </c>
      <c r="M354" s="100">
        <f t="shared" si="82"/>
        <v>33677.659045029119</v>
      </c>
      <c r="N354" s="102">
        <f t="shared" si="83"/>
        <v>34683.479963984675</v>
      </c>
      <c r="O354" s="94">
        <f t="shared" si="84"/>
        <v>0.9413173213102819</v>
      </c>
      <c r="P354" s="100">
        <f>'Bef.fremskr. kommunenivå MMMM'!H349</f>
        <v>971</v>
      </c>
      <c r="Q354" s="100"/>
      <c r="R354" s="100">
        <f t="shared" si="87"/>
        <v>0</v>
      </c>
      <c r="S354" s="100">
        <v>0</v>
      </c>
      <c r="U354" s="100">
        <v>0</v>
      </c>
      <c r="V354" s="5">
        <f t="shared" si="88"/>
        <v>26933.092528141424</v>
      </c>
      <c r="W354" s="5">
        <f t="shared" si="89"/>
        <v>27737.479431659551</v>
      </c>
    </row>
    <row r="355" spans="1:23" ht="13">
      <c r="A355" s="92">
        <v>5434</v>
      </c>
      <c r="B355" s="93" t="s">
        <v>691</v>
      </c>
      <c r="C355" s="574">
        <v>1.0864186713449047</v>
      </c>
      <c r="D355" s="100">
        <f t="shared" si="75"/>
        <v>40029.838362731389</v>
      </c>
      <c r="E355" s="100">
        <f t="shared" si="76"/>
        <v>47275.239106385765</v>
      </c>
      <c r="F355" s="100">
        <f t="shared" si="85"/>
        <v>-1908.6299480625908</v>
      </c>
      <c r="G355" s="100">
        <f t="shared" si="77"/>
        <v>-2254.0919686619195</v>
      </c>
      <c r="H355" s="100">
        <f t="shared" si="86"/>
        <v>0</v>
      </c>
      <c r="I355" s="100">
        <f t="shared" si="78"/>
        <v>0</v>
      </c>
      <c r="J355" s="100">
        <f t="shared" si="79"/>
        <v>-420.03543870207375</v>
      </c>
      <c r="K355" s="100">
        <f t="shared" si="80"/>
        <v>-496.06185310714909</v>
      </c>
      <c r="L355" s="101">
        <f t="shared" si="81"/>
        <v>-2750.1538217690686</v>
      </c>
      <c r="M355" s="100">
        <f t="shared" si="82"/>
        <v>44525.085284616696</v>
      </c>
      <c r="N355" s="102">
        <f t="shared" si="83"/>
        <v>37701.172975966721</v>
      </c>
      <c r="O355" s="94">
        <f t="shared" si="84"/>
        <v>1.023218177439061</v>
      </c>
      <c r="P355" s="100">
        <f>'Bef.fremskr. kommunenivå MMMM'!H350</f>
        <v>1181</v>
      </c>
      <c r="Q355" s="100"/>
      <c r="R355" s="100">
        <f t="shared" si="87"/>
        <v>0</v>
      </c>
      <c r="S355" s="100">
        <v>0</v>
      </c>
      <c r="U355" s="100">
        <v>0</v>
      </c>
      <c r="V355" s="5">
        <f t="shared" si="88"/>
        <v>47275.239106385765</v>
      </c>
      <c r="W355" s="5">
        <f t="shared" si="89"/>
        <v>40029.838362731389</v>
      </c>
    </row>
    <row r="356" spans="1:23" ht="13">
      <c r="A356" s="92">
        <v>5435</v>
      </c>
      <c r="B356" s="93" t="s">
        <v>692</v>
      </c>
      <c r="C356" s="574">
        <v>0.89571458313341124</v>
      </c>
      <c r="D356" s="100">
        <f t="shared" si="75"/>
        <v>33003.215912688247</v>
      </c>
      <c r="E356" s="100">
        <f t="shared" si="76"/>
        <v>96369.390465049684</v>
      </c>
      <c r="F356" s="100">
        <f t="shared" si="85"/>
        <v>2307.3435219632943</v>
      </c>
      <c r="G356" s="100">
        <f t="shared" si="77"/>
        <v>6737.4430841328194</v>
      </c>
      <c r="H356" s="100">
        <f t="shared" si="86"/>
        <v>56.242792086641565</v>
      </c>
      <c r="I356" s="100">
        <f t="shared" si="78"/>
        <v>164.22895289299336</v>
      </c>
      <c r="J356" s="100">
        <f t="shared" si="79"/>
        <v>-363.7926466154322</v>
      </c>
      <c r="K356" s="100">
        <f t="shared" si="80"/>
        <v>-1062.2745281170621</v>
      </c>
      <c r="L356" s="101">
        <f t="shared" si="81"/>
        <v>5675.1685560157575</v>
      </c>
      <c r="M356" s="100">
        <f t="shared" si="82"/>
        <v>102044.55902106543</v>
      </c>
      <c r="N356" s="102">
        <f t="shared" si="83"/>
        <v>34946.766788036104</v>
      </c>
      <c r="O356" s="94">
        <f t="shared" si="84"/>
        <v>0.94846298397763062</v>
      </c>
      <c r="P356" s="100">
        <f>'Bef.fremskr. kommunenivå MMMM'!H351</f>
        <v>2920</v>
      </c>
      <c r="Q356" s="100"/>
      <c r="R356" s="100">
        <f t="shared" si="87"/>
        <v>0</v>
      </c>
      <c r="S356" s="100">
        <v>0</v>
      </c>
      <c r="U356" s="100">
        <v>0</v>
      </c>
      <c r="V356" s="5">
        <f t="shared" si="88"/>
        <v>96369.390465049684</v>
      </c>
      <c r="W356" s="5">
        <f t="shared" si="89"/>
        <v>33003.215912688247</v>
      </c>
    </row>
    <row r="357" spans="1:23" ht="13">
      <c r="A357" s="92">
        <v>5436</v>
      </c>
      <c r="B357" s="93" t="s">
        <v>693</v>
      </c>
      <c r="C357" s="574">
        <v>0.78624125253132804</v>
      </c>
      <c r="D357" s="100">
        <f t="shared" si="75"/>
        <v>28969.596236761274</v>
      </c>
      <c r="E357" s="100">
        <f t="shared" si="76"/>
        <v>112604.82057229108</v>
      </c>
      <c r="F357" s="100">
        <f t="shared" si="85"/>
        <v>4727.515327519478</v>
      </c>
      <c r="G357" s="100">
        <f t="shared" si="77"/>
        <v>18375.852078068212</v>
      </c>
      <c r="H357" s="100">
        <f t="shared" si="86"/>
        <v>1468.009678661082</v>
      </c>
      <c r="I357" s="100">
        <f t="shared" si="78"/>
        <v>5706.1536209556252</v>
      </c>
      <c r="J357" s="100">
        <f t="shared" si="79"/>
        <v>1047.9742399590082</v>
      </c>
      <c r="K357" s="100">
        <f t="shared" si="80"/>
        <v>4073.4758707206652</v>
      </c>
      <c r="L357" s="101">
        <f t="shared" si="81"/>
        <v>22449.327948788876</v>
      </c>
      <c r="M357" s="100">
        <f t="shared" si="82"/>
        <v>135054.14852107994</v>
      </c>
      <c r="N357" s="102">
        <f t="shared" si="83"/>
        <v>34745.085804239759</v>
      </c>
      <c r="O357" s="94">
        <f t="shared" si="84"/>
        <v>0.94298931744752656</v>
      </c>
      <c r="P357" s="100">
        <f>'Bef.fremskr. kommunenivå MMMM'!H352</f>
        <v>3887</v>
      </c>
      <c r="Q357" s="100"/>
      <c r="R357" s="100">
        <f t="shared" si="87"/>
        <v>0</v>
      </c>
      <c r="S357" s="100">
        <v>0</v>
      </c>
      <c r="U357" s="100">
        <v>0</v>
      </c>
      <c r="V357" s="5">
        <f t="shared" si="88"/>
        <v>112604.82057229108</v>
      </c>
      <c r="W357" s="5">
        <f t="shared" si="89"/>
        <v>28969.596236761274</v>
      </c>
    </row>
    <row r="358" spans="1:23" ht="13">
      <c r="A358" s="92">
        <v>5437</v>
      </c>
      <c r="B358" s="93" t="s">
        <v>694</v>
      </c>
      <c r="C358" s="574">
        <v>0.72188028823594175</v>
      </c>
      <c r="D358" s="100">
        <f t="shared" si="75"/>
        <v>26598.17252547279</v>
      </c>
      <c r="E358" s="100">
        <f t="shared" si="76"/>
        <v>67931.732630057493</v>
      </c>
      <c r="F358" s="100">
        <f t="shared" si="85"/>
        <v>6150.369554292568</v>
      </c>
      <c r="G358" s="100">
        <f t="shared" si="77"/>
        <v>15708.043841663219</v>
      </c>
      <c r="H358" s="100">
        <f t="shared" si="86"/>
        <v>2298.0079776120515</v>
      </c>
      <c r="I358" s="100">
        <f t="shared" si="78"/>
        <v>5869.1123748211794</v>
      </c>
      <c r="J358" s="100">
        <f t="shared" si="79"/>
        <v>1877.9725389099776</v>
      </c>
      <c r="K358" s="100">
        <f t="shared" si="80"/>
        <v>4796.3418643760833</v>
      </c>
      <c r="L358" s="101">
        <f t="shared" si="81"/>
        <v>20504.385706039302</v>
      </c>
      <c r="M358" s="100">
        <f t="shared" si="82"/>
        <v>88436.118336096799</v>
      </c>
      <c r="N358" s="102">
        <f t="shared" si="83"/>
        <v>34626.514618675334</v>
      </c>
      <c r="O358" s="94">
        <f t="shared" si="84"/>
        <v>0.93977126923275722</v>
      </c>
      <c r="P358" s="100">
        <f>'Bef.fremskr. kommunenivå MMMM'!H353</f>
        <v>2554</v>
      </c>
      <c r="Q358" s="100"/>
      <c r="R358" s="100">
        <f t="shared" si="87"/>
        <v>0</v>
      </c>
      <c r="S358" s="100">
        <v>0</v>
      </c>
      <c r="U358" s="100">
        <v>0</v>
      </c>
      <c r="V358" s="5">
        <f t="shared" si="88"/>
        <v>67931.732630057493</v>
      </c>
      <c r="W358" s="5">
        <f t="shared" si="89"/>
        <v>26598.172525472786</v>
      </c>
    </row>
    <row r="359" spans="1:23" ht="13">
      <c r="A359" s="92">
        <v>5438</v>
      </c>
      <c r="B359" s="93" t="s">
        <v>695</v>
      </c>
      <c r="C359" s="574">
        <v>0.98432555026700463</v>
      </c>
      <c r="D359" s="100">
        <f t="shared" si="75"/>
        <v>36268.147550076275</v>
      </c>
      <c r="E359" s="100">
        <f t="shared" si="76"/>
        <v>44428.480748843438</v>
      </c>
      <c r="F359" s="100">
        <f t="shared" si="85"/>
        <v>348.38453953047718</v>
      </c>
      <c r="G359" s="100">
        <f t="shared" si="77"/>
        <v>426.77106092483456</v>
      </c>
      <c r="H359" s="100">
        <f t="shared" si="86"/>
        <v>0</v>
      </c>
      <c r="I359" s="100">
        <f t="shared" si="78"/>
        <v>0</v>
      </c>
      <c r="J359" s="100">
        <f t="shared" si="79"/>
        <v>-420.03543870207375</v>
      </c>
      <c r="K359" s="100">
        <f t="shared" si="80"/>
        <v>-514.54341241004033</v>
      </c>
      <c r="L359" s="101">
        <f t="shared" si="81"/>
        <v>-87.772351485205775</v>
      </c>
      <c r="M359" s="100">
        <f t="shared" si="82"/>
        <v>44340.708397358227</v>
      </c>
      <c r="N359" s="102">
        <f t="shared" si="83"/>
        <v>36196.496650904672</v>
      </c>
      <c r="O359" s="94">
        <f t="shared" si="84"/>
        <v>0.98238092900790075</v>
      </c>
      <c r="P359" s="100">
        <f>'Bef.fremskr. kommunenivå MMMM'!H354</f>
        <v>1225</v>
      </c>
      <c r="Q359" s="100"/>
      <c r="R359" s="100">
        <f t="shared" si="87"/>
        <v>0</v>
      </c>
      <c r="S359" s="100">
        <v>0</v>
      </c>
      <c r="U359" s="100">
        <v>2115.3103333333333</v>
      </c>
      <c r="V359" s="5">
        <f t="shared" si="88"/>
        <v>42313.170415510103</v>
      </c>
      <c r="W359" s="5">
        <f t="shared" si="89"/>
        <v>34541.363604498045</v>
      </c>
    </row>
    <row r="360" spans="1:23" ht="13">
      <c r="A360" s="92">
        <v>5439</v>
      </c>
      <c r="B360" s="93" t="s">
        <v>696</v>
      </c>
      <c r="C360" s="574">
        <v>0.76609352607378089</v>
      </c>
      <c r="D360" s="100">
        <f t="shared" si="75"/>
        <v>28227.239487246155</v>
      </c>
      <c r="E360" s="100">
        <f t="shared" si="76"/>
        <v>30428.964167251357</v>
      </c>
      <c r="F360" s="100">
        <f t="shared" si="85"/>
        <v>5172.9293772285491</v>
      </c>
      <c r="G360" s="100">
        <f t="shared" si="77"/>
        <v>5576.4178686523765</v>
      </c>
      <c r="H360" s="100">
        <f t="shared" si="86"/>
        <v>1727.8345409913736</v>
      </c>
      <c r="I360" s="100">
        <f t="shared" si="78"/>
        <v>1862.6056351887009</v>
      </c>
      <c r="J360" s="100">
        <f t="shared" si="79"/>
        <v>1307.7991022892998</v>
      </c>
      <c r="K360" s="100">
        <f t="shared" si="80"/>
        <v>1409.8074322678651</v>
      </c>
      <c r="L360" s="101">
        <f t="shared" si="81"/>
        <v>6986.2253009202414</v>
      </c>
      <c r="M360" s="100">
        <f t="shared" si="82"/>
        <v>37415.1894681716</v>
      </c>
      <c r="N360" s="102">
        <f t="shared" si="83"/>
        <v>34707.967966764008</v>
      </c>
      <c r="O360" s="94">
        <f t="shared" si="84"/>
        <v>0.94198193112464934</v>
      </c>
      <c r="P360" s="100">
        <f>'Bef.fremskr. kommunenivå MMMM'!H355</f>
        <v>1078</v>
      </c>
      <c r="Q360" s="100"/>
      <c r="R360" s="100">
        <f t="shared" si="87"/>
        <v>0</v>
      </c>
      <c r="S360" s="100">
        <v>0</v>
      </c>
      <c r="U360" s="100">
        <v>0</v>
      </c>
      <c r="V360" s="5">
        <f t="shared" si="88"/>
        <v>30428.964167251357</v>
      </c>
      <c r="W360" s="5">
        <f t="shared" si="89"/>
        <v>28227.239487246155</v>
      </c>
    </row>
    <row r="361" spans="1:23" ht="13">
      <c r="A361" s="92">
        <v>5440</v>
      </c>
      <c r="B361" s="93" t="s">
        <v>702</v>
      </c>
      <c r="C361" s="574">
        <v>0.97268557385954701</v>
      </c>
      <c r="D361" s="100">
        <f t="shared" si="75"/>
        <v>35839.264665028168</v>
      </c>
      <c r="E361" s="100">
        <f t="shared" si="76"/>
        <v>32506.213051180548</v>
      </c>
      <c r="F361" s="100">
        <f t="shared" si="85"/>
        <v>605.7142705593418</v>
      </c>
      <c r="G361" s="100">
        <f t="shared" si="77"/>
        <v>549.38284339732309</v>
      </c>
      <c r="H361" s="100">
        <f t="shared" si="86"/>
        <v>0</v>
      </c>
      <c r="I361" s="100">
        <f t="shared" si="78"/>
        <v>0</v>
      </c>
      <c r="J361" s="100">
        <f t="shared" si="79"/>
        <v>-420.03543870207375</v>
      </c>
      <c r="K361" s="100">
        <f t="shared" si="80"/>
        <v>-380.97214290278089</v>
      </c>
      <c r="L361" s="101">
        <f t="shared" si="81"/>
        <v>168.4107004945422</v>
      </c>
      <c r="M361" s="100">
        <f t="shared" si="82"/>
        <v>32674.623751675092</v>
      </c>
      <c r="N361" s="102">
        <f t="shared" si="83"/>
        <v>36024.94349688544</v>
      </c>
      <c r="O361" s="94">
        <f t="shared" si="84"/>
        <v>0.97772493844491803</v>
      </c>
      <c r="P361" s="100">
        <f>'Bef.fremskr. kommunenivå MMMM'!H356</f>
        <v>907</v>
      </c>
      <c r="Q361" s="100"/>
      <c r="R361" s="100">
        <f t="shared" si="87"/>
        <v>0</v>
      </c>
      <c r="S361" s="100">
        <v>0</v>
      </c>
      <c r="U361" s="100">
        <v>0</v>
      </c>
      <c r="V361" s="5">
        <f t="shared" si="88"/>
        <v>32506.213051180548</v>
      </c>
      <c r="W361" s="5">
        <f t="shared" si="89"/>
        <v>35839.264665028168</v>
      </c>
    </row>
    <row r="362" spans="1:23" ht="13">
      <c r="A362" s="92">
        <v>5441</v>
      </c>
      <c r="B362" s="93" t="s">
        <v>1837</v>
      </c>
      <c r="C362" s="574">
        <v>0.79717648540561137</v>
      </c>
      <c r="D362" s="100">
        <f t="shared" si="75"/>
        <v>29372.512364734761</v>
      </c>
      <c r="E362" s="100">
        <f t="shared" si="76"/>
        <v>82918.602405646234</v>
      </c>
      <c r="F362" s="100">
        <f t="shared" si="85"/>
        <v>4485.7656507353859</v>
      </c>
      <c r="G362" s="100">
        <f t="shared" si="77"/>
        <v>12663.316432025995</v>
      </c>
      <c r="H362" s="100">
        <f t="shared" si="86"/>
        <v>1326.9890338703617</v>
      </c>
      <c r="I362" s="100">
        <f t="shared" si="78"/>
        <v>3746.090042616031</v>
      </c>
      <c r="J362" s="100">
        <f t="shared" si="79"/>
        <v>906.95359516828796</v>
      </c>
      <c r="K362" s="100">
        <f t="shared" si="80"/>
        <v>2560.329999160077</v>
      </c>
      <c r="L362" s="101">
        <f t="shared" si="81"/>
        <v>15223.646431186073</v>
      </c>
      <c r="M362" s="100">
        <f t="shared" si="82"/>
        <v>98142.24883683231</v>
      </c>
      <c r="N362" s="102">
        <f t="shared" si="83"/>
        <v>34765.231610638439</v>
      </c>
      <c r="O362" s="94">
        <f t="shared" si="84"/>
        <v>0.94353607909124093</v>
      </c>
      <c r="P362" s="100">
        <f>'Bef.fremskr. kommunenivå MMMM'!H357</f>
        <v>2823</v>
      </c>
      <c r="Q362" s="100"/>
      <c r="R362" s="100">
        <f t="shared" si="87"/>
        <v>0</v>
      </c>
      <c r="S362" s="100">
        <v>0</v>
      </c>
      <c r="U362" s="100">
        <v>0</v>
      </c>
      <c r="V362" s="5">
        <f t="shared" si="88"/>
        <v>82918.602405646234</v>
      </c>
      <c r="W362" s="5">
        <f t="shared" si="89"/>
        <v>29372.512364734761</v>
      </c>
    </row>
    <row r="363" spans="1:23" ht="13">
      <c r="A363" s="92">
        <v>5442</v>
      </c>
      <c r="B363" s="93" t="s">
        <v>703</v>
      </c>
      <c r="C363" s="574">
        <v>0.76049166964822668</v>
      </c>
      <c r="D363" s="100">
        <f t="shared" si="75"/>
        <v>28020.835259151871</v>
      </c>
      <c r="E363" s="100">
        <f t="shared" si="76"/>
        <v>23733.647464501635</v>
      </c>
      <c r="F363" s="100">
        <f t="shared" si="85"/>
        <v>5296.7719140851195</v>
      </c>
      <c r="G363" s="100">
        <f t="shared" si="77"/>
        <v>4486.3658112300964</v>
      </c>
      <c r="H363" s="100">
        <f t="shared" si="86"/>
        <v>1800.0760208243732</v>
      </c>
      <c r="I363" s="100">
        <f t="shared" si="78"/>
        <v>1524.6643896382441</v>
      </c>
      <c r="J363" s="100">
        <f t="shared" si="79"/>
        <v>1380.0405821222994</v>
      </c>
      <c r="K363" s="100">
        <f t="shared" si="80"/>
        <v>1168.8943730575875</v>
      </c>
      <c r="L363" s="101">
        <f t="shared" si="81"/>
        <v>5655.2601842876838</v>
      </c>
      <c r="M363" s="100">
        <f t="shared" si="82"/>
        <v>29388.907648789318</v>
      </c>
      <c r="N363" s="102">
        <f t="shared" si="83"/>
        <v>34697.647755359285</v>
      </c>
      <c r="O363" s="94">
        <f t="shared" si="84"/>
        <v>0.9417018383033714</v>
      </c>
      <c r="P363" s="100">
        <f>'Bef.fremskr. kommunenivå MMMM'!H358</f>
        <v>847</v>
      </c>
      <c r="Q363" s="100"/>
      <c r="R363" s="100">
        <f t="shared" si="87"/>
        <v>0</v>
      </c>
      <c r="S363" s="100">
        <v>0</v>
      </c>
      <c r="U363" s="100">
        <v>0</v>
      </c>
      <c r="V363" s="5">
        <f t="shared" si="88"/>
        <v>23733.647464501635</v>
      </c>
      <c r="W363" s="5">
        <f t="shared" si="89"/>
        <v>28020.835259151871</v>
      </c>
    </row>
    <row r="364" spans="1:23" ht="13">
      <c r="A364" s="92">
        <v>5443</v>
      </c>
      <c r="B364" s="93" t="s">
        <v>704</v>
      </c>
      <c r="C364" s="574">
        <v>0.85001743771399518</v>
      </c>
      <c r="D364" s="100">
        <f t="shared" si="75"/>
        <v>31319.47336202591</v>
      </c>
      <c r="E364" s="100">
        <f t="shared" si="76"/>
        <v>68276.451929216491</v>
      </c>
      <c r="F364" s="100">
        <f t="shared" si="85"/>
        <v>3317.5890523606963</v>
      </c>
      <c r="G364" s="100">
        <f t="shared" si="77"/>
        <v>7232.3441341463176</v>
      </c>
      <c r="H364" s="100">
        <f t="shared" si="86"/>
        <v>645.5526848184594</v>
      </c>
      <c r="I364" s="100">
        <f t="shared" si="78"/>
        <v>1407.3048529042414</v>
      </c>
      <c r="J364" s="100">
        <f t="shared" si="79"/>
        <v>225.51724611638565</v>
      </c>
      <c r="K364" s="100">
        <f t="shared" si="80"/>
        <v>491.62759653372075</v>
      </c>
      <c r="L364" s="101">
        <f t="shared" si="81"/>
        <v>7723.9717306800385</v>
      </c>
      <c r="M364" s="100">
        <f t="shared" si="82"/>
        <v>76000.423659896536</v>
      </c>
      <c r="N364" s="102">
        <f t="shared" si="83"/>
        <v>34862.579660502997</v>
      </c>
      <c r="O364" s="94">
        <f t="shared" si="84"/>
        <v>0.94617812670666013</v>
      </c>
      <c r="P364" s="100">
        <f>'Bef.fremskr. kommunenivå MMMM'!H359</f>
        <v>2180</v>
      </c>
      <c r="Q364" s="100"/>
      <c r="R364" s="100">
        <f t="shared" si="87"/>
        <v>0</v>
      </c>
      <c r="S364" s="100">
        <v>0</v>
      </c>
      <c r="U364" s="100">
        <v>0</v>
      </c>
      <c r="V364" s="5">
        <f t="shared" si="88"/>
        <v>68276.451929216491</v>
      </c>
      <c r="W364" s="5">
        <f t="shared" si="89"/>
        <v>31319.473362025914</v>
      </c>
    </row>
    <row r="365" spans="1:23" ht="13">
      <c r="A365" s="92">
        <v>5444</v>
      </c>
      <c r="B365" s="93" t="s">
        <v>705</v>
      </c>
      <c r="C365" s="574">
        <v>0.83748799490540826</v>
      </c>
      <c r="D365" s="100">
        <f t="shared" si="75"/>
        <v>30857.817479600824</v>
      </c>
      <c r="E365" s="100">
        <f t="shared" si="76"/>
        <v>305770.11340536457</v>
      </c>
      <c r="F365" s="100">
        <f t="shared" si="85"/>
        <v>3594.5825818157477</v>
      </c>
      <c r="G365" s="100">
        <f t="shared" si="77"/>
        <v>35618.71880321225</v>
      </c>
      <c r="H365" s="100">
        <f t="shared" si="86"/>
        <v>807.13224366723944</v>
      </c>
      <c r="I365" s="100">
        <f t="shared" si="78"/>
        <v>7997.8734024986752</v>
      </c>
      <c r="J365" s="100">
        <f t="shared" si="79"/>
        <v>387.09680496516569</v>
      </c>
      <c r="K365" s="100">
        <f t="shared" si="80"/>
        <v>3835.7422403998266</v>
      </c>
      <c r="L365" s="101">
        <f t="shared" si="81"/>
        <v>39454.461043612078</v>
      </c>
      <c r="M365" s="100">
        <f t="shared" si="82"/>
        <v>345224.57444897667</v>
      </c>
      <c r="N365" s="102">
        <f t="shared" si="83"/>
        <v>34839.496866381734</v>
      </c>
      <c r="O365" s="94">
        <f t="shared" si="84"/>
        <v>0.94555165456623058</v>
      </c>
      <c r="P365" s="100">
        <f>'Bef.fremskr. kommunenivå MMMM'!H360</f>
        <v>9909</v>
      </c>
      <c r="Q365" s="100"/>
      <c r="R365" s="100">
        <f t="shared" si="87"/>
        <v>0</v>
      </c>
      <c r="S365" s="100">
        <v>0</v>
      </c>
      <c r="U365" s="100">
        <v>4459.6930000000002</v>
      </c>
      <c r="V365" s="5">
        <f t="shared" si="88"/>
        <v>301310.42040536454</v>
      </c>
      <c r="W365" s="5">
        <f t="shared" si="89"/>
        <v>30407.752589097236</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36845.683361808813</v>
      </c>
      <c r="E367" s="129">
        <f>SUM(E10:E366)</f>
        <v>201725915.99799997</v>
      </c>
      <c r="F367" s="129">
        <f>($D$367-D367)*0.6</f>
        <v>0</v>
      </c>
      <c r="G367" s="129">
        <f>SUM(G10:G365)</f>
        <v>1.1918018572032452E-7</v>
      </c>
      <c r="H367" s="129">
        <f>IF(D367&lt;D$367*0.9,(D$367*0.9-D367)*0.35,0)</f>
        <v>0</v>
      </c>
      <c r="I367" s="129">
        <f>SUM(I10:I365)</f>
        <v>2299646.1428538417</v>
      </c>
      <c r="J367" s="130"/>
      <c r="K367" s="131">
        <f>SUM(K10:K366)</f>
        <v>1.1882548278663307E-9</v>
      </c>
      <c r="L367" s="132">
        <f>SUM(L10:L366)</f>
        <v>1.2531381798908114E-7</v>
      </c>
      <c r="M367" s="129">
        <f>SUM(M10:M366)</f>
        <v>201725915.99799988</v>
      </c>
      <c r="N367" s="133">
        <f>M367*1000/P367</f>
        <v>36845.683361808791</v>
      </c>
      <c r="O367" s="128">
        <f>N367/N$367</f>
        <v>1</v>
      </c>
      <c r="P367" s="129">
        <f>SUM(P10:P366)</f>
        <v>5474886</v>
      </c>
      <c r="Q367" s="649"/>
      <c r="R367" s="129">
        <f t="shared" si="87"/>
        <v>3.1050874849266266</v>
      </c>
      <c r="S367" s="129">
        <f>SUM(S10:S366)</f>
        <v>17000</v>
      </c>
      <c r="U367" s="129">
        <f>SUM(U10:U366)</f>
        <v>1403708.2923333335</v>
      </c>
      <c r="V367" s="129">
        <f>SUM(V10:V366)</f>
        <v>200322207.70566654</v>
      </c>
      <c r="W367" s="129">
        <f t="shared" si="89"/>
        <v>36589.292947043381</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-420.03543870207375</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1474</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1187</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1189</v>
      </c>
      <c r="B5" s="458"/>
      <c r="C5" s="455"/>
      <c r="D5" s="459">
        <v>127614500.354175</v>
      </c>
      <c r="E5" s="436"/>
      <c r="F5" s="436"/>
      <c r="G5" s="436"/>
      <c r="H5" s="436"/>
      <c r="I5" s="532" t="s">
        <v>268</v>
      </c>
      <c r="J5" s="436"/>
      <c r="K5" s="436"/>
      <c r="L5" s="436"/>
      <c r="M5" s="453"/>
    </row>
    <row r="6" spans="1:13" ht="13">
      <c r="A6" s="475" t="s">
        <v>1190</v>
      </c>
      <c r="B6" s="458"/>
      <c r="C6" s="455"/>
      <c r="D6" s="459"/>
      <c r="E6" s="436"/>
      <c r="F6" s="436"/>
      <c r="G6" s="642" t="s">
        <v>1193</v>
      </c>
      <c r="H6" s="534"/>
      <c r="I6" s="533">
        <f>+D8+D9+D10</f>
        <v>-409969.94000000006</v>
      </c>
      <c r="J6" s="436"/>
      <c r="K6" s="436"/>
      <c r="L6" s="436"/>
      <c r="M6" s="453"/>
    </row>
    <row r="7" spans="1:13" ht="13">
      <c r="A7" s="460" t="s">
        <v>1188</v>
      </c>
      <c r="B7" s="458"/>
      <c r="C7" s="455"/>
      <c r="D7" s="459">
        <v>-95000</v>
      </c>
      <c r="E7" s="436"/>
      <c r="F7" s="436"/>
      <c r="G7" s="441" t="s">
        <v>964</v>
      </c>
      <c r="H7" s="730">
        <f>I6*1000/Gdata!B60</f>
        <v>-77.677922959829246</v>
      </c>
      <c r="I7" s="588"/>
      <c r="J7" s="436"/>
      <c r="K7" s="436"/>
      <c r="L7" s="436"/>
      <c r="M7" s="453"/>
    </row>
    <row r="8" spans="1:13" ht="13">
      <c r="A8" s="460" t="s">
        <v>1277</v>
      </c>
      <c r="B8" s="458"/>
      <c r="C8" s="455"/>
      <c r="D8" s="459">
        <v>-77969.94000000009</v>
      </c>
      <c r="E8" s="436"/>
      <c r="F8" s="436"/>
      <c r="G8" s="436"/>
      <c r="H8" s="436"/>
      <c r="I8" s="532"/>
      <c r="J8" s="436"/>
      <c r="K8" s="436"/>
      <c r="L8" s="436"/>
      <c r="M8" s="453"/>
    </row>
    <row r="9" spans="1:13" ht="13">
      <c r="A9" s="460" t="s">
        <v>1274</v>
      </c>
      <c r="B9" s="458"/>
      <c r="C9" s="455"/>
      <c r="D9" s="459">
        <v>-150000</v>
      </c>
      <c r="E9" s="436"/>
      <c r="F9" s="436"/>
      <c r="G9" s="436"/>
      <c r="H9" s="436"/>
      <c r="I9" s="532" t="s">
        <v>268</v>
      </c>
      <c r="J9" s="436"/>
      <c r="K9" s="436"/>
      <c r="L9" s="436"/>
      <c r="M9" s="453"/>
    </row>
    <row r="10" spans="1:13" ht="13">
      <c r="A10" s="460" t="s">
        <v>1275</v>
      </c>
      <c r="B10" s="458"/>
      <c r="C10" s="455"/>
      <c r="D10" s="459">
        <v>-182000</v>
      </c>
      <c r="E10" s="436"/>
      <c r="F10" s="436"/>
      <c r="G10" s="642" t="s">
        <v>1194</v>
      </c>
      <c r="H10" s="534"/>
      <c r="I10" s="533">
        <f>D13+D14+D15</f>
        <v>310600</v>
      </c>
      <c r="J10" s="436"/>
      <c r="K10" s="436"/>
      <c r="L10" s="436"/>
      <c r="M10" s="453"/>
    </row>
    <row r="11" spans="1:13" ht="13">
      <c r="A11" s="460" t="s">
        <v>1191</v>
      </c>
      <c r="B11" s="458"/>
      <c r="C11" s="455"/>
      <c r="D11" s="459"/>
      <c r="E11" s="436"/>
      <c r="F11" s="436"/>
      <c r="G11" s="441" t="s">
        <v>964</v>
      </c>
      <c r="H11" s="730">
        <f>I10*1000/Gdata!B60</f>
        <v>58.850077816249062</v>
      </c>
      <c r="I11" s="535"/>
      <c r="J11" s="436"/>
      <c r="K11" s="436"/>
      <c r="L11" s="436"/>
      <c r="M11" s="453"/>
    </row>
    <row r="12" spans="1:13" ht="13">
      <c r="A12" s="460" t="s">
        <v>1276</v>
      </c>
      <c r="B12" s="458"/>
      <c r="C12" s="455"/>
      <c r="D12" s="459">
        <v>5664</v>
      </c>
      <c r="E12" s="436"/>
      <c r="F12" s="436"/>
      <c r="G12" s="450"/>
      <c r="H12" s="463"/>
      <c r="I12" s="461"/>
      <c r="J12" s="436"/>
      <c r="K12" s="436"/>
      <c r="L12" s="436"/>
      <c r="M12" s="453"/>
    </row>
    <row r="13" spans="1:13" ht="13">
      <c r="A13" s="460" t="s">
        <v>1278</v>
      </c>
      <c r="B13" s="458"/>
      <c r="C13" s="455"/>
      <c r="D13" s="459">
        <v>132000</v>
      </c>
      <c r="E13" s="436"/>
      <c r="F13" s="436"/>
      <c r="G13" s="453"/>
      <c r="H13" s="453"/>
      <c r="I13" s="453"/>
      <c r="J13" s="436"/>
      <c r="K13" s="436"/>
      <c r="L13" s="436"/>
      <c r="M13" s="453"/>
    </row>
    <row r="14" spans="1:13" ht="13">
      <c r="A14" s="460" t="s">
        <v>1279</v>
      </c>
      <c r="B14" s="458"/>
      <c r="C14" s="455"/>
      <c r="D14" s="459">
        <v>172200</v>
      </c>
      <c r="E14" s="462" t="s">
        <v>772</v>
      </c>
      <c r="F14" s="751" t="s">
        <v>766</v>
      </c>
      <c r="G14" s="436"/>
      <c r="H14" s="436"/>
      <c r="I14" s="481" t="s">
        <v>268</v>
      </c>
      <c r="J14" s="436"/>
      <c r="K14" s="436"/>
      <c r="L14" s="436"/>
      <c r="M14" s="453"/>
    </row>
    <row r="15" spans="1:13" ht="13">
      <c r="A15" s="460" t="s">
        <v>1281</v>
      </c>
      <c r="B15" s="458"/>
      <c r="C15" s="455"/>
      <c r="D15" s="459">
        <v>6400</v>
      </c>
      <c r="E15" s="621" t="s">
        <v>1284</v>
      </c>
      <c r="F15" s="752"/>
      <c r="G15" s="484" t="s">
        <v>1196</v>
      </c>
      <c r="H15" s="468"/>
      <c r="I15" s="466">
        <f>+D56</f>
        <v>334560</v>
      </c>
      <c r="J15" s="436"/>
      <c r="K15" s="436"/>
      <c r="L15" s="436"/>
      <c r="M15" s="453"/>
    </row>
    <row r="16" spans="1:13" ht="13">
      <c r="A16" s="460" t="s">
        <v>1294</v>
      </c>
      <c r="B16" s="458"/>
      <c r="C16" s="455"/>
      <c r="D16" s="459">
        <v>20000</v>
      </c>
      <c r="E16" s="689"/>
      <c r="F16" s="753"/>
      <c r="G16" s="448" t="s">
        <v>748</v>
      </c>
      <c r="H16" s="732">
        <f>I15*1000/Gdata!B60</f>
        <v>63.389832692222427</v>
      </c>
      <c r="I16" s="442"/>
      <c r="J16" s="436"/>
      <c r="K16" s="436"/>
      <c r="L16" s="436"/>
      <c r="M16" s="453"/>
    </row>
    <row r="17" spans="1:13" ht="13">
      <c r="A17" s="464" t="s">
        <v>1192</v>
      </c>
      <c r="B17" s="439"/>
      <c r="C17" s="438"/>
      <c r="D17" s="440">
        <f>SUM(D5:D16)</f>
        <v>127445794.414175</v>
      </c>
      <c r="E17" s="536">
        <v>127445794</v>
      </c>
      <c r="F17" s="465">
        <f>+D17-E17</f>
        <v>0.41417500376701355</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1109</v>
      </c>
      <c r="H19" s="646"/>
      <c r="I19" s="647">
        <f>+D24+D25+D26+D27+D28+D29+D30+D31+D32+D33+D34+D35+D36+D37+D38+D39+D40+D41</f>
        <v>-257504.87329434697</v>
      </c>
      <c r="J19" s="436"/>
      <c r="K19" s="436"/>
      <c r="L19" s="436"/>
      <c r="M19" s="453"/>
    </row>
    <row r="20" spans="1:13">
      <c r="A20" s="489" t="s">
        <v>1346</v>
      </c>
      <c r="B20" s="459"/>
      <c r="C20" s="456"/>
      <c r="D20" s="459"/>
      <c r="E20" s="447"/>
      <c r="F20" s="480"/>
      <c r="G20" s="441" t="s">
        <v>964</v>
      </c>
      <c r="H20" s="731">
        <f>I19*1000/Gdata!B60</f>
        <v>-48.790025213894637</v>
      </c>
      <c r="I20" s="442"/>
      <c r="J20" s="436"/>
      <c r="K20" s="436"/>
      <c r="L20" s="436"/>
      <c r="M20" s="453"/>
    </row>
    <row r="21" spans="1:13">
      <c r="A21" s="489"/>
      <c r="B21" s="459"/>
      <c r="C21" s="456"/>
      <c r="D21" s="570" t="s">
        <v>1118</v>
      </c>
      <c r="E21" s="571" t="s">
        <v>1195</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1107</v>
      </c>
      <c r="B23" s="459"/>
      <c r="C23" s="467"/>
      <c r="D23" s="459"/>
      <c r="E23" s="447"/>
      <c r="F23" s="447"/>
      <c r="G23" s="485" t="s">
        <v>1111</v>
      </c>
      <c r="H23" s="646"/>
      <c r="I23" s="647">
        <f>D44+D45</f>
        <v>-27602.339181286548</v>
      </c>
      <c r="J23" s="436"/>
      <c r="K23" s="447"/>
      <c r="L23" s="447"/>
      <c r="M23" s="453"/>
    </row>
    <row r="24" spans="1:13" ht="13">
      <c r="A24" s="483" t="s">
        <v>1176</v>
      </c>
      <c r="B24" s="459"/>
      <c r="C24" s="456"/>
      <c r="D24" s="569">
        <f t="shared" ref="D24:D32" si="0">E24/1.026</f>
        <v>15107.212475633529</v>
      </c>
      <c r="E24" s="447">
        <v>15500</v>
      </c>
      <c r="F24" s="687"/>
      <c r="G24" s="441" t="s">
        <v>964</v>
      </c>
      <c r="H24" s="731">
        <f>I23*1000/Gdata!B60</f>
        <v>-5.229877040338744</v>
      </c>
      <c r="I24" s="442"/>
      <c r="J24" s="436"/>
      <c r="K24" s="436"/>
      <c r="L24" s="436"/>
      <c r="M24" s="453"/>
    </row>
    <row r="25" spans="1:13" ht="13">
      <c r="A25" s="483" t="s">
        <v>1285</v>
      </c>
      <c r="B25" s="459"/>
      <c r="C25" s="456"/>
      <c r="D25" s="569">
        <f t="shared" si="0"/>
        <v>27777.777777777777</v>
      </c>
      <c r="E25" s="447">
        <v>28500</v>
      </c>
      <c r="F25" s="447"/>
      <c r="G25" s="453"/>
      <c r="H25" s="453"/>
      <c r="I25" s="453"/>
      <c r="J25" s="436"/>
      <c r="K25" s="436"/>
      <c r="L25" s="436"/>
      <c r="M25" s="453"/>
    </row>
    <row r="26" spans="1:13" ht="13">
      <c r="A26" s="483" t="s">
        <v>1286</v>
      </c>
      <c r="B26" s="459"/>
      <c r="C26" s="456"/>
      <c r="D26" s="569">
        <f t="shared" si="0"/>
        <v>-31773.879142300193</v>
      </c>
      <c r="E26" s="447">
        <v>-32600</v>
      </c>
      <c r="F26" s="447"/>
      <c r="G26" s="453"/>
      <c r="H26" s="453"/>
      <c r="I26" s="453"/>
      <c r="J26" s="447"/>
      <c r="K26" s="436"/>
      <c r="L26" s="436"/>
      <c r="M26" s="453"/>
    </row>
    <row r="27" spans="1:13" ht="13">
      <c r="A27" s="483" t="s">
        <v>1287</v>
      </c>
      <c r="B27" s="459"/>
      <c r="C27" s="456"/>
      <c r="D27" s="569">
        <f t="shared" si="0"/>
        <v>18031.189083820664</v>
      </c>
      <c r="E27" s="447">
        <v>18500</v>
      </c>
      <c r="F27" s="447"/>
      <c r="G27" s="444" t="s">
        <v>1225</v>
      </c>
      <c r="H27" s="594"/>
      <c r="I27" s="444"/>
      <c r="J27" s="436"/>
      <c r="K27" s="436"/>
      <c r="L27" s="436"/>
      <c r="M27" s="453"/>
    </row>
    <row r="28" spans="1:13" ht="13">
      <c r="A28" s="483" t="s">
        <v>1288</v>
      </c>
      <c r="B28" s="459"/>
      <c r="C28" s="459"/>
      <c r="D28" s="569">
        <f t="shared" si="0"/>
        <v>19493.177387914231</v>
      </c>
      <c r="E28" s="447">
        <v>20000</v>
      </c>
      <c r="F28" s="447"/>
      <c r="G28" s="485" t="s">
        <v>51</v>
      </c>
      <c r="H28" s="486" t="s">
        <v>268</v>
      </c>
      <c r="I28" s="487" t="s">
        <v>748</v>
      </c>
      <c r="J28" s="436"/>
      <c r="K28" s="436"/>
      <c r="L28" s="436"/>
      <c r="M28" s="453"/>
    </row>
    <row r="29" spans="1:13" ht="13">
      <c r="A29" s="483" t="s">
        <v>1300</v>
      </c>
      <c r="C29" s="459"/>
      <c r="D29" s="569">
        <f t="shared" si="0"/>
        <v>-293859.64912280702</v>
      </c>
      <c r="E29" s="447">
        <v>-301500</v>
      </c>
      <c r="F29" s="447"/>
      <c r="G29" s="715">
        <v>2019</v>
      </c>
      <c r="H29" s="677">
        <v>300000</v>
      </c>
      <c r="I29" s="761">
        <f>H29*1000/Gdata!C60</f>
        <v>56.470503197359889</v>
      </c>
      <c r="J29" s="447"/>
      <c r="K29" s="447"/>
      <c r="L29" s="436"/>
      <c r="M29" s="453"/>
    </row>
    <row r="30" spans="1:13" ht="13">
      <c r="A30" s="483" t="s">
        <v>1289</v>
      </c>
      <c r="B30" s="459"/>
      <c r="C30" s="459"/>
      <c r="D30" s="569">
        <f t="shared" si="0"/>
        <v>2923.9766081871344</v>
      </c>
      <c r="E30" s="447">
        <v>3000</v>
      </c>
      <c r="F30" s="447"/>
      <c r="G30" s="684">
        <v>2020</v>
      </c>
      <c r="H30" s="645">
        <v>300000</v>
      </c>
      <c r="I30" s="762">
        <f>H30*1000/Gdata!D60</f>
        <v>56.119504614426269</v>
      </c>
      <c r="J30" s="453"/>
      <c r="K30" s="436"/>
      <c r="L30" s="436"/>
      <c r="M30" s="453"/>
    </row>
    <row r="31" spans="1:13" ht="13">
      <c r="A31" s="483" t="s">
        <v>1290</v>
      </c>
      <c r="B31" s="459"/>
      <c r="C31" s="459"/>
      <c r="D31" s="569">
        <f t="shared" si="0"/>
        <v>-4873.2943469785578</v>
      </c>
      <c r="E31" s="447">
        <v>-5000</v>
      </c>
      <c r="F31" s="447"/>
      <c r="G31" s="453"/>
      <c r="H31" s="453"/>
      <c r="I31" s="453"/>
      <c r="J31" s="453"/>
      <c r="K31" s="436"/>
      <c r="L31" s="436"/>
      <c r="M31" s="453"/>
    </row>
    <row r="32" spans="1:13" ht="13">
      <c r="A32" s="483" t="s">
        <v>1293</v>
      </c>
      <c r="B32" s="459"/>
      <c r="C32" s="467"/>
      <c r="D32" s="569">
        <f t="shared" si="0"/>
        <v>-134307.99220272904</v>
      </c>
      <c r="E32" s="447">
        <v>-137800</v>
      </c>
      <c r="F32" s="447"/>
      <c r="G32" s="453"/>
      <c r="H32" s="453"/>
      <c r="I32" s="453"/>
      <c r="J32" s="436"/>
      <c r="K32" s="436"/>
      <c r="L32" s="436"/>
      <c r="M32" s="453"/>
    </row>
    <row r="33" spans="1:13" ht="13">
      <c r="A33" s="483"/>
      <c r="B33" s="459"/>
      <c r="C33" s="456"/>
      <c r="D33" s="569"/>
      <c r="E33" s="447"/>
      <c r="F33" s="447"/>
      <c r="G33" s="444" t="s">
        <v>1197</v>
      </c>
      <c r="H33" s="594"/>
      <c r="I33" s="444"/>
      <c r="J33" s="436"/>
      <c r="K33" s="436"/>
      <c r="L33" s="436"/>
      <c r="M33" s="453"/>
    </row>
    <row r="34" spans="1:13" ht="13">
      <c r="A34" s="483"/>
      <c r="B34" s="459"/>
      <c r="C34" s="456"/>
      <c r="D34" s="569"/>
      <c r="E34" s="447"/>
      <c r="F34" s="447"/>
      <c r="G34" s="485" t="s">
        <v>51</v>
      </c>
      <c r="H34" s="486" t="s">
        <v>268</v>
      </c>
      <c r="I34" s="487" t="s">
        <v>748</v>
      </c>
      <c r="J34" s="444"/>
      <c r="K34" s="436"/>
      <c r="L34" s="436"/>
      <c r="M34" s="453"/>
    </row>
    <row r="35" spans="1:13" ht="13">
      <c r="A35" s="483"/>
      <c r="B35" s="459"/>
      <c r="C35" s="456"/>
      <c r="D35" s="569"/>
      <c r="E35" s="447"/>
      <c r="F35" s="447"/>
      <c r="G35" s="713">
        <v>2019</v>
      </c>
      <c r="H35" s="677">
        <f>-1740.86</f>
        <v>-1740.86</v>
      </c>
      <c r="I35" s="759">
        <f>H35*1000/Gdata!C60</f>
        <v>-0.32769080065385314</v>
      </c>
      <c r="J35" s="453"/>
      <c r="K35" s="453"/>
      <c r="L35" s="453"/>
      <c r="M35" s="453"/>
    </row>
    <row r="36" spans="1:13" ht="13">
      <c r="A36" s="483"/>
      <c r="B36" s="459"/>
      <c r="C36" s="456"/>
      <c r="D36" s="569"/>
      <c r="E36" s="447"/>
      <c r="F36" s="447"/>
      <c r="G36" s="713">
        <v>2020</v>
      </c>
      <c r="H36" s="677">
        <v>350000</v>
      </c>
      <c r="I36" s="759">
        <f>H36*1000/Gdata!D60</f>
        <v>65.472755383497315</v>
      </c>
      <c r="J36" s="453"/>
      <c r="K36" s="453"/>
      <c r="L36" s="453"/>
      <c r="M36" s="453"/>
    </row>
    <row r="37" spans="1:13" ht="13.5">
      <c r="A37" s="643" t="s">
        <v>1209</v>
      </c>
      <c r="B37" s="459"/>
      <c r="C37" s="467"/>
      <c r="D37" s="459"/>
      <c r="E37" s="447"/>
      <c r="F37" s="459"/>
      <c r="G37" s="644">
        <v>2021</v>
      </c>
      <c r="H37" s="645">
        <f>-1740.86-2861.16-1972.56-4767.45</f>
        <v>-11342.029999999999</v>
      </c>
      <c r="I37" s="760">
        <f>H37*1000/Gdata!E60</f>
        <v>-2.1101470792065848</v>
      </c>
      <c r="J37" s="453"/>
      <c r="K37" s="453"/>
      <c r="L37" s="453"/>
      <c r="M37" s="453"/>
    </row>
    <row r="38" spans="1:13" ht="13">
      <c r="A38" s="483" t="s">
        <v>1282</v>
      </c>
      <c r="B38" s="459"/>
      <c r="C38" s="456"/>
      <c r="D38" s="569">
        <f>E38/1.026</f>
        <v>-124658.8693957115</v>
      </c>
      <c r="E38" s="447">
        <v>-127900</v>
      </c>
      <c r="F38" s="459"/>
      <c r="G38" s="453"/>
      <c r="H38" s="453"/>
      <c r="I38" s="453"/>
      <c r="J38" s="453"/>
      <c r="K38" s="453"/>
      <c r="L38" s="453"/>
      <c r="M38" s="453"/>
    </row>
    <row r="39" spans="1:13" ht="13">
      <c r="A39" s="483" t="s">
        <v>1280</v>
      </c>
      <c r="B39" s="459"/>
      <c r="C39" s="456"/>
      <c r="D39" s="569">
        <f>E39/1.026</f>
        <v>240935.67251461989</v>
      </c>
      <c r="E39" s="447">
        <v>247200</v>
      </c>
      <c r="F39" s="459"/>
      <c r="G39" s="444" t="s">
        <v>1097</v>
      </c>
      <c r="H39" s="594"/>
      <c r="I39" s="444"/>
      <c r="J39" s="453"/>
      <c r="K39" s="453"/>
      <c r="L39" s="453"/>
      <c r="M39" s="453"/>
    </row>
    <row r="40" spans="1:13" ht="13">
      <c r="A40" s="483" t="s">
        <v>1283</v>
      </c>
      <c r="B40" s="459"/>
      <c r="C40" s="456"/>
      <c r="D40" s="569">
        <f>E40/1.026</f>
        <v>7699.805068226121</v>
      </c>
      <c r="E40" s="447">
        <v>7900</v>
      </c>
      <c r="F40" s="459"/>
      <c r="G40" s="485" t="s">
        <v>51</v>
      </c>
      <c r="H40" s="486" t="s">
        <v>268</v>
      </c>
      <c r="I40" s="487" t="s">
        <v>748</v>
      </c>
      <c r="J40" s="453"/>
      <c r="K40" s="453"/>
      <c r="L40" s="453"/>
      <c r="M40" s="453"/>
    </row>
    <row r="41" spans="1:13" ht="13">
      <c r="A41" s="483"/>
      <c r="B41" s="459"/>
      <c r="C41" s="456"/>
      <c r="D41" s="569"/>
      <c r="E41" s="447"/>
      <c r="F41" s="459"/>
      <c r="G41" s="715">
        <v>2019</v>
      </c>
      <c r="H41" s="677">
        <v>-57473</v>
      </c>
      <c r="I41" s="761">
        <f>H41*1000/Gdata!C60</f>
        <v>-10.818430767539549</v>
      </c>
      <c r="J41" s="453"/>
      <c r="K41" s="453"/>
      <c r="L41" s="453"/>
      <c r="M41" s="453"/>
    </row>
    <row r="42" spans="1:13" ht="13">
      <c r="A42" s="483"/>
      <c r="B42" s="459"/>
      <c r="C42" s="456"/>
      <c r="D42" s="569"/>
      <c r="E42" s="447"/>
      <c r="F42" s="459"/>
      <c r="G42" s="684">
        <v>2020</v>
      </c>
      <c r="H42" s="645">
        <v>-57473</v>
      </c>
      <c r="I42" s="762">
        <f>H42*1000/Gdata!D60</f>
        <v>-10.751187629016403</v>
      </c>
      <c r="J42" s="453"/>
      <c r="K42" s="453"/>
      <c r="L42" s="453"/>
      <c r="M42" s="453"/>
    </row>
    <row r="43" spans="1:13" ht="13.5">
      <c r="A43" s="643" t="s">
        <v>1110</v>
      </c>
      <c r="B43" s="459"/>
      <c r="C43" s="456"/>
      <c r="D43" s="569"/>
      <c r="E43" s="447"/>
      <c r="F43" s="459"/>
      <c r="G43" s="453"/>
      <c r="H43" s="453"/>
      <c r="I43" s="453"/>
      <c r="J43" s="453"/>
      <c r="K43" s="453"/>
      <c r="L43" s="453"/>
      <c r="M43" s="453"/>
    </row>
    <row r="44" spans="1:13">
      <c r="A44" s="729" t="s">
        <v>1291</v>
      </c>
      <c r="B44" s="459"/>
      <c r="C44" s="456"/>
      <c r="D44" s="569">
        <f>E44/1.026</f>
        <v>-7602.3391812865493</v>
      </c>
      <c r="E44" s="447">
        <v>-7800</v>
      </c>
      <c r="F44" s="459"/>
      <c r="G44" s="444" t="s">
        <v>1200</v>
      </c>
      <c r="H44" s="594"/>
      <c r="I44" s="444"/>
      <c r="J44" s="572"/>
      <c r="K44" s="453"/>
      <c r="L44" s="453"/>
      <c r="M44" s="453"/>
    </row>
    <row r="45" spans="1:13" ht="13">
      <c r="A45" s="483" t="s">
        <v>1292</v>
      </c>
      <c r="B45" s="459"/>
      <c r="C45" s="456"/>
      <c r="D45" s="569">
        <f>-20000</f>
        <v>-20000</v>
      </c>
      <c r="E45" s="447">
        <v>-20500</v>
      </c>
      <c r="F45" s="459"/>
      <c r="G45" s="485" t="s">
        <v>51</v>
      </c>
      <c r="H45" s="486" t="s">
        <v>268</v>
      </c>
      <c r="I45" s="487" t="s">
        <v>748</v>
      </c>
      <c r="J45" s="453"/>
      <c r="K45" s="453"/>
      <c r="L45" s="453"/>
      <c r="M45" s="453"/>
    </row>
    <row r="46" spans="1:13" ht="13">
      <c r="A46" s="483"/>
      <c r="B46" s="459"/>
      <c r="C46" s="456"/>
      <c r="D46" s="569"/>
      <c r="E46" s="447"/>
      <c r="F46" s="459"/>
      <c r="G46" s="488">
        <v>2021</v>
      </c>
      <c r="H46" s="595">
        <v>169900</v>
      </c>
      <c r="I46" s="763">
        <f>H46*1000/Gdata!E60</f>
        <v>31.609331729610911</v>
      </c>
      <c r="J46" s="444"/>
      <c r="K46" s="453"/>
      <c r="L46" s="453"/>
      <c r="M46" s="453"/>
    </row>
    <row r="47" spans="1:13" ht="13">
      <c r="A47" s="483"/>
      <c r="B47" s="459"/>
      <c r="C47" s="459"/>
      <c r="D47" s="491"/>
      <c r="E47" s="447"/>
      <c r="F47" s="459"/>
      <c r="G47" s="453"/>
      <c r="H47" s="453"/>
      <c r="I47" s="453"/>
      <c r="J47" s="444"/>
      <c r="K47" s="453"/>
      <c r="L47" s="453"/>
      <c r="M47" s="453"/>
    </row>
    <row r="48" spans="1:13" ht="13">
      <c r="A48" s="483"/>
      <c r="B48" s="459"/>
      <c r="C48" s="456"/>
      <c r="D48" s="569"/>
      <c r="E48" s="447"/>
      <c r="F48" s="459"/>
      <c r="G48" s="444" t="s">
        <v>1299</v>
      </c>
      <c r="H48" s="594"/>
      <c r="I48" s="444"/>
      <c r="J48" s="435"/>
      <c r="K48" s="453"/>
      <c r="L48" s="669"/>
      <c r="M48" s="453"/>
    </row>
    <row r="49" spans="1:13" ht="13">
      <c r="A49" s="483"/>
      <c r="B49" s="459"/>
      <c r="C49" s="456"/>
      <c r="D49" s="569"/>
      <c r="E49" s="447"/>
      <c r="F49" s="459"/>
      <c r="G49" s="485" t="s">
        <v>51</v>
      </c>
      <c r="H49" s="486" t="s">
        <v>268</v>
      </c>
      <c r="I49" s="487" t="s">
        <v>748</v>
      </c>
      <c r="J49" s="451"/>
      <c r="K49" s="669"/>
      <c r="L49" s="444"/>
      <c r="M49" s="453"/>
    </row>
    <row r="50" spans="1:13" ht="13">
      <c r="A50" s="483"/>
      <c r="B50" s="459"/>
      <c r="C50" s="456"/>
      <c r="D50" s="459"/>
      <c r="E50" s="447"/>
      <c r="F50" s="447"/>
      <c r="G50" s="715">
        <v>2019</v>
      </c>
      <c r="H50" s="677">
        <v>0</v>
      </c>
      <c r="I50" s="761">
        <f>H50*1000/Gdata!C60</f>
        <v>0</v>
      </c>
      <c r="J50" s="683"/>
      <c r="K50" s="444"/>
      <c r="L50" s="680"/>
      <c r="M50" s="453"/>
    </row>
    <row r="51" spans="1:13" ht="13">
      <c r="A51" s="464" t="s">
        <v>1226</v>
      </c>
      <c r="B51" s="464"/>
      <c r="C51" s="469"/>
      <c r="D51" s="470">
        <f>D17+D24+D25+D26+D27+D28+D29+D30+D31+D32+D33+D34+D35+D36+D37+D38+D39+D40+D41+D42+D43+D44+D45+D46+D47+D49</f>
        <v>127160687.20169935</v>
      </c>
      <c r="E51" s="536">
        <v>127160687</v>
      </c>
      <c r="F51" s="536">
        <f>+E51-D51</f>
        <v>-0.20169934630393982</v>
      </c>
      <c r="G51" s="684">
        <v>2020</v>
      </c>
      <c r="H51" s="645">
        <v>-254160</v>
      </c>
      <c r="I51" s="762">
        <f>H51*1000/Gdata!D60</f>
        <v>-47.544444309341934</v>
      </c>
      <c r="J51" s="444"/>
      <c r="K51" s="444"/>
      <c r="L51" s="567"/>
      <c r="M51" s="453"/>
    </row>
    <row r="52" spans="1:13">
      <c r="A52" s="456"/>
      <c r="B52" s="456"/>
      <c r="C52" s="456"/>
      <c r="D52" s="459"/>
      <c r="E52" s="447"/>
      <c r="F52" s="447"/>
      <c r="G52" s="453"/>
      <c r="H52" s="453"/>
      <c r="I52" s="454"/>
      <c r="J52" s="444"/>
      <c r="K52" s="525"/>
      <c r="L52" s="669"/>
      <c r="M52" s="453"/>
    </row>
    <row r="53" spans="1:13" ht="13">
      <c r="A53" s="489" t="s">
        <v>1198</v>
      </c>
      <c r="B53" s="490">
        <v>2.5999999999999999E-2</v>
      </c>
      <c r="C53" s="456"/>
      <c r="D53" s="459">
        <f>ROUND(D51*B53,0)</f>
        <v>3306178</v>
      </c>
      <c r="E53" s="436"/>
      <c r="F53" s="436"/>
      <c r="G53" s="453"/>
      <c r="H53" s="453"/>
      <c r="I53" s="453"/>
      <c r="J53" s="524"/>
      <c r="K53" s="525"/>
      <c r="L53" s="669"/>
      <c r="M53" s="453"/>
    </row>
    <row r="54" spans="1:13" ht="13">
      <c r="A54" s="338" t="s">
        <v>2518</v>
      </c>
      <c r="B54" s="490"/>
      <c r="C54" s="456"/>
      <c r="D54" s="459"/>
      <c r="E54" s="436"/>
      <c r="F54" s="436"/>
      <c r="G54" s="453"/>
      <c r="H54" s="453"/>
      <c r="I54" s="453"/>
      <c r="J54" s="681"/>
      <c r="K54" s="682"/>
      <c r="L54" s="444"/>
      <c r="M54" s="453"/>
    </row>
    <row r="55" spans="1:13" ht="13">
      <c r="A55" s="338"/>
      <c r="B55" s="490"/>
      <c r="C55" s="456"/>
      <c r="D55" s="459"/>
      <c r="E55" s="436"/>
      <c r="F55" s="447"/>
      <c r="G55" s="453"/>
      <c r="H55" s="453"/>
      <c r="I55" s="453"/>
      <c r="J55" s="444"/>
      <c r="K55" s="444"/>
      <c r="L55" s="444"/>
      <c r="M55" s="453"/>
    </row>
    <row r="56" spans="1:13">
      <c r="A56" s="489" t="s">
        <v>1199</v>
      </c>
      <c r="B56" s="471"/>
      <c r="C56" s="456"/>
      <c r="D56" s="459">
        <f>334560</f>
        <v>334560</v>
      </c>
      <c r="E56" s="437"/>
      <c r="F56" s="437"/>
      <c r="G56" s="453"/>
      <c r="H56" s="453"/>
      <c r="I56" s="454"/>
      <c r="J56" s="524"/>
      <c r="K56" s="525"/>
      <c r="L56" s="669"/>
      <c r="M56" s="453"/>
    </row>
    <row r="57" spans="1:13" ht="13">
      <c r="A57" s="464" t="s">
        <v>1227</v>
      </c>
      <c r="B57" s="464"/>
      <c r="C57" s="464"/>
      <c r="D57" s="470">
        <f>D53+D51+D56</f>
        <v>130801425.20169935</v>
      </c>
      <c r="E57" s="536">
        <v>130801425</v>
      </c>
      <c r="F57" s="688">
        <f>+E57-D57</f>
        <v>-0.20169934630393982</v>
      </c>
      <c r="G57" s="453"/>
      <c r="H57" s="453"/>
      <c r="I57" s="454"/>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1210</v>
      </c>
      <c r="F59" s="616" t="s">
        <v>1056</v>
      </c>
      <c r="G59" s="616" t="s">
        <v>748</v>
      </c>
      <c r="H59" s="453"/>
      <c r="I59" s="454"/>
      <c r="J59" s="524"/>
      <c r="K59" s="525"/>
      <c r="L59" s="680"/>
      <c r="M59" s="453"/>
    </row>
    <row r="60" spans="1:13">
      <c r="A60" s="489" t="s">
        <v>965</v>
      </c>
      <c r="B60" s="473"/>
      <c r="C60" s="524"/>
      <c r="D60" s="714">
        <v>430495</v>
      </c>
      <c r="E60" s="531">
        <v>434628</v>
      </c>
      <c r="F60" s="531">
        <f>D60-E60</f>
        <v>-4133</v>
      </c>
      <c r="G60" s="531">
        <f>F60*1000/D73</f>
        <v>-0.78308876888138246</v>
      </c>
      <c r="H60" s="454"/>
      <c r="I60" s="767"/>
      <c r="J60" s="681"/>
      <c r="K60" s="682"/>
      <c r="L60" s="567"/>
      <c r="M60" s="453"/>
    </row>
    <row r="61" spans="1:13">
      <c r="A61" s="456" t="s">
        <v>352</v>
      </c>
      <c r="B61" s="473"/>
      <c r="C61" s="473"/>
      <c r="D61" s="714">
        <v>312444</v>
      </c>
      <c r="E61" s="531">
        <v>422426</v>
      </c>
      <c r="F61" s="531">
        <f t="shared" ref="F61:F70" si="1">D61-E61</f>
        <v>-109982</v>
      </c>
      <c r="G61" s="531">
        <f>F61*1000/D73</f>
        <v>-20.838535925263052</v>
      </c>
      <c r="H61" s="454"/>
      <c r="I61" s="454"/>
      <c r="J61" s="453"/>
      <c r="K61" s="453"/>
      <c r="L61" s="453"/>
      <c r="M61" s="453"/>
    </row>
    <row r="62" spans="1:13">
      <c r="A62" s="489" t="s">
        <v>1177</v>
      </c>
      <c r="B62" s="456"/>
      <c r="C62" s="489"/>
      <c r="D62" s="714">
        <v>894937</v>
      </c>
      <c r="E62" s="531">
        <f>493051+410762</f>
        <v>903813</v>
      </c>
      <c r="F62" s="531">
        <f t="shared" si="1"/>
        <v>-8876</v>
      </c>
      <c r="G62" s="531">
        <f>F62*1000/D73</f>
        <v>-1.6817556043046578</v>
      </c>
      <c r="H62" s="454"/>
      <c r="I62" s="453"/>
      <c r="J62" s="449"/>
      <c r="K62" s="444"/>
      <c r="L62" s="669"/>
      <c r="M62" s="453"/>
    </row>
    <row r="63" spans="1:13">
      <c r="A63" s="456" t="s">
        <v>764</v>
      </c>
      <c r="B63" s="456"/>
      <c r="C63" s="489"/>
      <c r="D63" s="714">
        <v>1360000</v>
      </c>
      <c r="E63" s="531">
        <f>1701000-95000+20000</f>
        <v>1626000</v>
      </c>
      <c r="F63" s="531">
        <f>D63-E63</f>
        <v>-266000</v>
      </c>
      <c r="G63" s="531">
        <f>F63*1000/D73</f>
        <v>-50.399615901874597</v>
      </c>
      <c r="H63" s="454"/>
      <c r="I63" s="453"/>
      <c r="J63" s="449"/>
      <c r="K63" s="525"/>
      <c r="L63" s="444"/>
      <c r="M63" s="453"/>
    </row>
    <row r="64" spans="1:13">
      <c r="A64" s="456" t="s">
        <v>774</v>
      </c>
      <c r="B64" s="456"/>
      <c r="C64" s="489"/>
      <c r="D64" s="714">
        <v>1645503</v>
      </c>
      <c r="E64" s="531">
        <v>1636224</v>
      </c>
      <c r="F64" s="531">
        <f t="shared" si="1"/>
        <v>9279</v>
      </c>
      <c r="G64" s="531">
        <f>F64*1000/D73</f>
        <v>1.7581129171184</v>
      </c>
      <c r="H64" s="454"/>
      <c r="I64" s="453"/>
      <c r="J64" s="449"/>
      <c r="K64" s="525"/>
      <c r="L64" s="680"/>
      <c r="M64" s="453"/>
    </row>
    <row r="65" spans="1:13">
      <c r="A65" s="456" t="s">
        <v>765</v>
      </c>
      <c r="B65" s="456"/>
      <c r="C65" s="489"/>
      <c r="D65" s="714">
        <v>490158</v>
      </c>
      <c r="E65" s="531">
        <v>462127</v>
      </c>
      <c r="F65" s="531">
        <f t="shared" si="1"/>
        <v>28031</v>
      </c>
      <c r="G65" s="531">
        <f>F65*1000/D73</f>
        <v>5.311096365960327</v>
      </c>
      <c r="H65" s="454"/>
      <c r="I65" s="453"/>
      <c r="J65" s="449"/>
      <c r="K65" s="682"/>
      <c r="L65" s="567"/>
      <c r="M65" s="453"/>
    </row>
    <row r="66" spans="1:13">
      <c r="A66" s="489" t="s">
        <v>1074</v>
      </c>
      <c r="B66" s="456"/>
      <c r="C66" s="456"/>
      <c r="D66" s="714">
        <v>199621.91845107003</v>
      </c>
      <c r="E66" s="531">
        <v>129756</v>
      </c>
      <c r="F66" s="531">
        <f t="shared" si="1"/>
        <v>69865.918451070029</v>
      </c>
      <c r="G66" s="531">
        <f>F66*1000/D73</f>
        <v>13.237652084833169</v>
      </c>
      <c r="H66" s="454"/>
      <c r="I66" s="453"/>
      <c r="J66" s="449"/>
      <c r="K66" s="453"/>
      <c r="L66" s="453"/>
      <c r="M66" s="453"/>
    </row>
    <row r="67" spans="1:13">
      <c r="A67" s="489" t="s">
        <v>1075</v>
      </c>
      <c r="B67" s="456"/>
      <c r="C67" s="456"/>
      <c r="D67" s="714">
        <v>-19350</v>
      </c>
      <c r="E67" s="531">
        <v>-19350</v>
      </c>
      <c r="F67" s="531">
        <f t="shared" si="1"/>
        <v>0</v>
      </c>
      <c r="G67" s="531">
        <f>F67*1000/D73</f>
        <v>0</v>
      </c>
      <c r="H67" s="454"/>
      <c r="I67" s="453"/>
      <c r="J67" s="449"/>
      <c r="K67" s="453"/>
      <c r="L67" s="453"/>
      <c r="M67" s="453"/>
    </row>
    <row r="68" spans="1:13">
      <c r="A68" s="489" t="s">
        <v>1142</v>
      </c>
      <c r="B68" s="456"/>
      <c r="C68" s="456"/>
      <c r="D68" s="714">
        <v>75251.97</v>
      </c>
      <c r="E68" s="531">
        <v>73345</v>
      </c>
      <c r="F68" s="531">
        <f t="shared" si="1"/>
        <v>1906.9700000000012</v>
      </c>
      <c r="G68" s="531">
        <f>F68*1000/D73</f>
        <v>0.36131787795638293</v>
      </c>
      <c r="H68" s="454"/>
      <c r="I68" s="453"/>
      <c r="J68" s="449"/>
      <c r="K68" s="669"/>
      <c r="L68" s="669"/>
      <c r="M68" s="453"/>
    </row>
    <row r="69" spans="1:13">
      <c r="A69" s="489" t="s">
        <v>1138</v>
      </c>
      <c r="B69" s="456"/>
      <c r="C69" s="456"/>
      <c r="D69" s="714">
        <v>-1043736.0408000001</v>
      </c>
      <c r="E69" s="531">
        <f>-1015378+5664</f>
        <v>-1009714</v>
      </c>
      <c r="F69" s="531">
        <f t="shared" si="1"/>
        <v>-34022.040800000075</v>
      </c>
      <c r="G69" s="531">
        <f>F69*1000/D73</f>
        <v>-6.4462322876613163</v>
      </c>
      <c r="H69" s="454"/>
      <c r="I69" s="453"/>
      <c r="J69" s="449"/>
      <c r="K69" s="444"/>
      <c r="L69" s="444"/>
      <c r="M69" s="453"/>
    </row>
    <row r="70" spans="1:13">
      <c r="A70" s="489" t="s">
        <v>1295</v>
      </c>
      <c r="B70" s="456"/>
      <c r="C70" s="456"/>
      <c r="D70" s="714">
        <v>200000</v>
      </c>
      <c r="E70" s="531">
        <v>100000</v>
      </c>
      <c r="F70" s="531">
        <f t="shared" si="1"/>
        <v>100000</v>
      </c>
      <c r="G70" s="531">
        <f>F70*1000/D73</f>
        <v>18.947224023261128</v>
      </c>
      <c r="H70" s="454"/>
      <c r="I70" s="453"/>
      <c r="J70" s="449"/>
      <c r="K70" s="444"/>
      <c r="L70" s="444"/>
      <c r="M70" s="453"/>
    </row>
    <row r="71" spans="1:13">
      <c r="A71" s="456" t="s">
        <v>349</v>
      </c>
      <c r="B71" s="456"/>
      <c r="C71" s="456"/>
      <c r="D71" s="714">
        <f>(753482-114945.25329613-28094.1188346+169900+254159.694)</f>
        <v>1034502.3218692701</v>
      </c>
      <c r="E71" s="531">
        <f>734388+38919-168049-27382+150986</f>
        <v>728862</v>
      </c>
      <c r="F71" s="531">
        <f>D71-E71</f>
        <v>305640.32186927006</v>
      </c>
      <c r="G71" s="531">
        <f>F71*1000/D73</f>
        <v>57.910356489986974</v>
      </c>
      <c r="H71" s="454"/>
      <c r="I71" s="453"/>
      <c r="J71" s="449"/>
      <c r="K71" s="444"/>
      <c r="L71" s="444"/>
      <c r="M71" s="453"/>
    </row>
    <row r="72" spans="1:13" ht="13">
      <c r="A72" s="464" t="s">
        <v>1214</v>
      </c>
      <c r="B72" s="464"/>
      <c r="C72" s="464"/>
      <c r="D72" s="812">
        <f>+D57-D60-D61-D62-D63-D64-D65-D66-D67-D68-D69-D70-D71</f>
        <v>125221598.03217901</v>
      </c>
      <c r="E72" s="437"/>
      <c r="F72" s="437">
        <f>SUM(F60:F71)</f>
        <v>91710.169520340045</v>
      </c>
      <c r="G72" s="437">
        <f>SUM(G60:G71)</f>
        <v>17.376531271131363</v>
      </c>
      <c r="H72" s="454"/>
      <c r="I72" s="453"/>
      <c r="J72" s="449"/>
      <c r="K72" s="444"/>
      <c r="L72" s="444"/>
      <c r="M72" s="453"/>
    </row>
    <row r="73" spans="1:13" ht="13">
      <c r="A73" s="475" t="s">
        <v>1215</v>
      </c>
      <c r="B73" s="475"/>
      <c r="C73" s="475"/>
      <c r="D73" s="476">
        <f>Gdata!B60</f>
        <v>5277818</v>
      </c>
      <c r="E73" s="449"/>
      <c r="F73" s="615"/>
      <c r="G73" s="455" t="s">
        <v>1124</v>
      </c>
      <c r="H73" s="453"/>
      <c r="I73" s="453"/>
      <c r="J73" s="449"/>
      <c r="K73" s="444"/>
      <c r="L73" s="444"/>
      <c r="M73" s="453"/>
    </row>
    <row r="74" spans="1:13" ht="13.5" thickBot="1">
      <c r="A74" s="477" t="s">
        <v>1216</v>
      </c>
      <c r="B74" s="477"/>
      <c r="C74" s="477"/>
      <c r="D74" s="478">
        <f>D72*1000/D73</f>
        <v>23726.016704664507</v>
      </c>
      <c r="E74" s="620"/>
      <c r="F74" s="656"/>
      <c r="G74" s="656">
        <f>G60+G61+G62+G64+G65+G66+G68+G69+G70+G71</f>
        <v>67.776147173005967</v>
      </c>
      <c r="H74" s="453" t="s">
        <v>1090</v>
      </c>
      <c r="I74" s="453"/>
      <c r="J74" s="449"/>
      <c r="K74" s="682"/>
      <c r="L74" s="680"/>
      <c r="M74" s="453"/>
    </row>
    <row r="75" spans="1:13" ht="13">
      <c r="A75" s="451"/>
      <c r="B75" s="451"/>
      <c r="C75" s="451"/>
      <c r="D75" s="452"/>
      <c r="E75" s="447"/>
      <c r="F75" s="447"/>
      <c r="G75" s="572">
        <f>(((D60+D61+D62+D64+D65+D66+D68+D69+D70+D71)/(1+B53))-(SUM(E60:E71)-E63-E67))*1000/D73</f>
        <v>47.421989013794537</v>
      </c>
      <c r="H75" s="453" t="s">
        <v>1089</v>
      </c>
      <c r="I75" s="453"/>
      <c r="J75" s="733"/>
      <c r="K75" s="682"/>
      <c r="L75" s="567"/>
      <c r="M75" s="453"/>
    </row>
    <row r="76" spans="1:13">
      <c r="A76" s="436"/>
      <c r="B76" s="436"/>
      <c r="C76" s="436"/>
      <c r="D76" s="447"/>
      <c r="E76" s="447"/>
      <c r="F76" s="436"/>
      <c r="G76" s="572">
        <f>((D63+D67)/(1+B53)-(E63+E67))*1000/D73</f>
        <v>-56.836667491118362</v>
      </c>
      <c r="H76" s="453" t="s">
        <v>1091</v>
      </c>
      <c r="I76" s="453"/>
      <c r="J76" s="453"/>
      <c r="K76" s="453"/>
      <c r="L76" s="453"/>
      <c r="M76" s="453"/>
    </row>
    <row r="77" spans="1:13">
      <c r="A77" s="453"/>
      <c r="B77" s="459"/>
      <c r="C77" s="456"/>
      <c r="D77" s="459"/>
      <c r="E77" s="447"/>
      <c r="F77" s="436"/>
      <c r="G77" s="454">
        <f>(F60+F61+F62+F64+F65+F66+F68+F69+F70+F71)</f>
        <v>357710.16952034004</v>
      </c>
      <c r="H77" s="489" t="s">
        <v>1125</v>
      </c>
      <c r="I77" s="453"/>
      <c r="J77" s="453"/>
      <c r="K77" s="453"/>
      <c r="L77" s="453"/>
      <c r="M77" s="453"/>
    </row>
    <row r="78" spans="1:13">
      <c r="A78" s="453"/>
      <c r="B78" s="459"/>
      <c r="C78" s="456"/>
      <c r="D78" s="491"/>
      <c r="E78" s="447"/>
      <c r="F78" s="436"/>
      <c r="G78" s="454">
        <f>(((D60+D61+D62+D64+D65+D66+D68+D69+D70+D71)/(1+B53))-(SUM(E60:E71)-E63-E67))</f>
        <v>250284.62721280707</v>
      </c>
      <c r="H78" s="489" t="s">
        <v>1139</v>
      </c>
      <c r="I78" s="453"/>
      <c r="J78" s="453"/>
      <c r="K78" s="453"/>
      <c r="L78" s="453"/>
      <c r="M78" s="453"/>
    </row>
    <row r="79" spans="1:13">
      <c r="A79" s="453"/>
      <c r="B79" s="669"/>
      <c r="C79" s="669"/>
      <c r="D79" s="567"/>
      <c r="E79" s="436"/>
      <c r="F79" s="436"/>
      <c r="G79" s="454">
        <f>(D63+D67)/(1+B53)-(E63+E67)</f>
        <v>-299973.58674463932</v>
      </c>
      <c r="H79" s="489" t="s">
        <v>1140</v>
      </c>
      <c r="I79" s="453"/>
      <c r="J79" s="453"/>
      <c r="K79" s="453"/>
      <c r="L79" s="453"/>
      <c r="M79" s="453"/>
    </row>
    <row r="80" spans="1:13">
      <c r="A80" s="524"/>
      <c r="B80" s="669"/>
      <c r="C80" s="669"/>
      <c r="D80" s="834"/>
      <c r="E80" s="1031"/>
      <c r="F80" s="453"/>
      <c r="G80" s="453"/>
      <c r="H80" s="453"/>
      <c r="I80" s="453"/>
      <c r="J80" s="453"/>
      <c r="K80" s="453"/>
      <c r="L80" s="453"/>
      <c r="M80" s="453"/>
    </row>
    <row r="81" spans="1:13">
      <c r="A81" s="669"/>
      <c r="B81" s="669"/>
      <c r="C81" s="669"/>
      <c r="D81" s="835"/>
      <c r="E81" s="834"/>
      <c r="F81" s="454"/>
      <c r="G81" s="453"/>
      <c r="H81" s="453"/>
      <c r="I81" s="453"/>
      <c r="J81" s="453"/>
      <c r="K81" s="453"/>
      <c r="L81" s="453"/>
      <c r="M81" s="453"/>
    </row>
    <row r="82" spans="1:13">
      <c r="A82" s="669"/>
      <c r="B82" s="669"/>
      <c r="C82" s="669"/>
      <c r="D82" s="835"/>
      <c r="E82" s="834"/>
      <c r="F82" s="453"/>
      <c r="I82" s="453"/>
      <c r="J82" s="453"/>
      <c r="K82" s="453"/>
      <c r="L82" s="453"/>
      <c r="M82" s="453"/>
    </row>
    <row r="83" spans="1:13">
      <c r="A83" s="669"/>
      <c r="B83" s="669"/>
      <c r="C83" s="669"/>
      <c r="D83" s="834"/>
      <c r="E83" s="834"/>
      <c r="F83" s="453"/>
      <c r="J83" s="453"/>
      <c r="K83" s="453"/>
      <c r="L83" s="453"/>
      <c r="M83" s="453"/>
    </row>
    <row r="84" spans="1:13">
      <c r="A84" s="669"/>
      <c r="B84" s="474"/>
      <c r="C84" s="473"/>
      <c r="D84" s="677"/>
      <c r="E84" s="834"/>
      <c r="F84" s="453"/>
      <c r="J84" s="453"/>
      <c r="K84" s="453"/>
      <c r="L84" s="453"/>
      <c r="M84" s="453"/>
    </row>
    <row r="85" spans="1:13">
      <c r="A85" s="669"/>
      <c r="B85" s="669"/>
      <c r="C85" s="669"/>
      <c r="D85" s="834"/>
      <c r="E85" s="669"/>
      <c r="F85" s="453"/>
      <c r="J85" s="453"/>
      <c r="K85" s="453"/>
      <c r="L85" s="453"/>
      <c r="M85" s="453"/>
    </row>
    <row r="86" spans="1:13">
      <c r="A86" s="524"/>
      <c r="B86" s="669"/>
      <c r="C86" s="669"/>
      <c r="D86" s="834"/>
      <c r="E86" s="669"/>
      <c r="F86" s="453"/>
      <c r="J86" s="453"/>
      <c r="K86" s="453"/>
      <c r="L86" s="453"/>
      <c r="M86" s="453"/>
    </row>
    <row r="87" spans="1:13">
      <c r="A87" s="1032"/>
      <c r="B87" s="85"/>
      <c r="C87" s="85"/>
      <c r="D87" s="85"/>
      <c r="E87" s="85"/>
      <c r="F87" s="453"/>
      <c r="J87" s="453"/>
      <c r="K87" s="453"/>
      <c r="L87" s="453"/>
      <c r="M87" s="453"/>
    </row>
    <row r="88" spans="1:13">
      <c r="A88" s="85"/>
      <c r="B88" s="85"/>
      <c r="C88" s="85"/>
      <c r="D88" s="85"/>
      <c r="E88" s="85"/>
      <c r="J88" s="453"/>
      <c r="K88" s="453"/>
      <c r="L88" s="453"/>
      <c r="M88" s="453"/>
    </row>
    <row r="89" spans="1:13">
      <c r="A89" s="85"/>
      <c r="B89" s="85"/>
      <c r="C89" s="85"/>
      <c r="D89" s="1033"/>
      <c r="E89" s="517"/>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1475</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1343</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1336</v>
      </c>
      <c r="B5" s="458"/>
      <c r="C5" s="455"/>
      <c r="D5" s="459">
        <f>'R18'!D57</f>
        <v>130801425.20169935</v>
      </c>
      <c r="E5" s="436"/>
      <c r="F5" s="436"/>
      <c r="G5" s="436"/>
      <c r="H5" s="436"/>
      <c r="I5" s="532" t="s">
        <v>268</v>
      </c>
      <c r="J5" s="436"/>
      <c r="K5" s="436"/>
      <c r="L5" s="436"/>
      <c r="M5" s="453"/>
    </row>
    <row r="6" spans="1:13" ht="13">
      <c r="A6" s="475" t="s">
        <v>1337</v>
      </c>
      <c r="B6" s="458"/>
      <c r="C6" s="455"/>
      <c r="D6" s="459"/>
      <c r="E6" s="436"/>
      <c r="F6" s="436"/>
      <c r="G6" s="642" t="s">
        <v>1359</v>
      </c>
      <c r="H6" s="534"/>
      <c r="I6" s="533">
        <f>+D7+D8+D9</f>
        <v>56800</v>
      </c>
      <c r="J6" s="436"/>
      <c r="K6" s="436"/>
      <c r="L6" s="436"/>
      <c r="M6" s="453"/>
    </row>
    <row r="7" spans="1:13" ht="13">
      <c r="A7" s="460" t="s">
        <v>1410</v>
      </c>
      <c r="B7" s="458"/>
      <c r="C7" s="455"/>
      <c r="D7" s="459">
        <v>24800</v>
      </c>
      <c r="E7" s="436"/>
      <c r="F7" s="436"/>
      <c r="G7" s="441" t="s">
        <v>964</v>
      </c>
      <c r="H7" s="730">
        <f>I6*1000/Gdata!B60</f>
        <v>10.762023245212321</v>
      </c>
      <c r="I7" s="588"/>
      <c r="J7" s="436"/>
      <c r="K7" s="436"/>
      <c r="L7" s="436"/>
      <c r="M7" s="453"/>
    </row>
    <row r="8" spans="1:13" ht="13">
      <c r="A8" s="460" t="s">
        <v>1413</v>
      </c>
      <c r="B8" s="458"/>
      <c r="C8" s="455"/>
      <c r="D8" s="459">
        <v>75000</v>
      </c>
      <c r="E8" s="436"/>
      <c r="F8" s="436"/>
      <c r="G8" s="436"/>
      <c r="H8" s="436"/>
      <c r="I8" s="532"/>
      <c r="J8" s="436"/>
      <c r="K8" s="436"/>
      <c r="L8" s="436"/>
      <c r="M8" s="453"/>
    </row>
    <row r="9" spans="1:13" ht="13">
      <c r="A9" s="460" t="s">
        <v>1415</v>
      </c>
      <c r="B9" s="458"/>
      <c r="C9" s="455"/>
      <c r="D9" s="459">
        <v>-43000</v>
      </c>
      <c r="E9" s="447"/>
      <c r="F9" s="436"/>
      <c r="G9" s="436"/>
      <c r="H9" s="436"/>
      <c r="I9" s="532" t="s">
        <v>268</v>
      </c>
      <c r="J9" s="436"/>
      <c r="K9" s="436"/>
      <c r="L9" s="436"/>
      <c r="M9" s="453"/>
    </row>
    <row r="10" spans="1:13" ht="13">
      <c r="A10" s="460" t="s">
        <v>1414</v>
      </c>
      <c r="B10" s="458"/>
      <c r="C10" s="455"/>
      <c r="D10" s="459">
        <v>100000</v>
      </c>
      <c r="E10" s="436"/>
      <c r="F10" s="436"/>
      <c r="G10" s="642" t="s">
        <v>1411</v>
      </c>
      <c r="H10" s="534"/>
      <c r="I10" s="533">
        <f>+D15</f>
        <v>14200</v>
      </c>
      <c r="J10" s="436"/>
      <c r="K10" s="436"/>
      <c r="L10" s="436"/>
      <c r="M10" s="453"/>
    </row>
    <row r="11" spans="1:13" ht="13">
      <c r="A11" s="460" t="s">
        <v>1417</v>
      </c>
      <c r="B11" s="458"/>
      <c r="C11" s="455"/>
      <c r="D11" s="459">
        <v>5000</v>
      </c>
      <c r="E11" s="447"/>
      <c r="F11" s="436"/>
      <c r="G11" s="441" t="s">
        <v>964</v>
      </c>
      <c r="H11" s="730">
        <f>I10*1000/Gdata!B60</f>
        <v>2.6905058113030802</v>
      </c>
      <c r="I11" s="535"/>
      <c r="J11" s="436"/>
      <c r="K11" s="436"/>
      <c r="L11" s="436"/>
      <c r="M11" s="453"/>
    </row>
    <row r="12" spans="1:13" ht="13">
      <c r="A12" s="460" t="s">
        <v>1412</v>
      </c>
      <c r="B12" s="458"/>
      <c r="C12" s="455"/>
      <c r="D12" s="459">
        <v>72500</v>
      </c>
      <c r="E12" s="436"/>
      <c r="F12" s="436"/>
      <c r="G12" s="450"/>
      <c r="H12" s="463"/>
      <c r="I12" s="461"/>
      <c r="J12" s="436"/>
      <c r="K12" s="436"/>
      <c r="L12" s="436"/>
      <c r="M12" s="453"/>
    </row>
    <row r="13" spans="1:13" ht="13">
      <c r="A13" s="460"/>
      <c r="B13" s="458"/>
      <c r="C13" s="455"/>
      <c r="D13" s="459"/>
      <c r="E13" s="436"/>
      <c r="F13" s="436"/>
      <c r="G13" s="453"/>
      <c r="H13" s="453"/>
      <c r="I13" s="453"/>
      <c r="J13" s="436"/>
      <c r="K13" s="436"/>
      <c r="L13" s="436"/>
      <c r="M13" s="453"/>
    </row>
    <row r="14" spans="1:13" ht="13">
      <c r="A14" s="460" t="s">
        <v>1338</v>
      </c>
      <c r="B14" s="458"/>
      <c r="C14" s="455"/>
      <c r="D14" s="459"/>
      <c r="E14" s="462" t="s">
        <v>772</v>
      </c>
      <c r="F14" s="751" t="s">
        <v>766</v>
      </c>
      <c r="G14" s="436"/>
      <c r="H14" s="436"/>
      <c r="I14" s="481" t="s">
        <v>268</v>
      </c>
      <c r="J14" s="436"/>
      <c r="K14" s="436"/>
      <c r="L14" s="436"/>
      <c r="M14" s="453"/>
    </row>
    <row r="15" spans="1:13" ht="13">
      <c r="A15" s="460" t="s">
        <v>1416</v>
      </c>
      <c r="B15" s="458"/>
      <c r="C15" s="455"/>
      <c r="D15" s="459">
        <v>14200</v>
      </c>
      <c r="E15" s="621" t="s">
        <v>1418</v>
      </c>
      <c r="F15" s="752"/>
      <c r="G15" s="484" t="s">
        <v>1360</v>
      </c>
      <c r="H15" s="468"/>
      <c r="I15" s="466">
        <f>+D56</f>
        <v>2120100</v>
      </c>
      <c r="J15" s="436"/>
      <c r="K15" s="436"/>
      <c r="L15" s="436"/>
      <c r="M15" s="453"/>
    </row>
    <row r="16" spans="1:13" ht="13">
      <c r="A16" s="460"/>
      <c r="B16" s="458"/>
      <c r="C16" s="455"/>
      <c r="D16" s="459"/>
      <c r="E16" s="689"/>
      <c r="F16" s="753"/>
      <c r="G16" s="448" t="s">
        <v>748</v>
      </c>
      <c r="H16" s="732">
        <f>I15*1000/Gdata!B60</f>
        <v>401.70009651715918</v>
      </c>
      <c r="I16" s="442"/>
      <c r="J16" s="436"/>
      <c r="K16" s="436"/>
      <c r="L16" s="436"/>
      <c r="M16" s="453"/>
    </row>
    <row r="17" spans="1:13" ht="13">
      <c r="A17" s="464" t="s">
        <v>1344</v>
      </c>
      <c r="B17" s="439"/>
      <c r="C17" s="438"/>
      <c r="D17" s="440">
        <f>SUM(D5:D16)</f>
        <v>131049925.20169935</v>
      </c>
      <c r="E17" s="536">
        <v>131049925</v>
      </c>
      <c r="F17" s="465">
        <f>+D17-E17</f>
        <v>0.20169934630393982</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1109</v>
      </c>
      <c r="H19" s="646"/>
      <c r="I19" s="647">
        <f>+D24+D25+D26+D27+D28+D29+D30+D31+D32+D33+D34+D35+D36+D37+D38+D39+D40+D41</f>
        <v>205644.4552529183</v>
      </c>
      <c r="J19" s="436"/>
      <c r="K19" s="436"/>
      <c r="L19" s="436"/>
      <c r="M19" s="453"/>
    </row>
    <row r="20" spans="1:13">
      <c r="A20" s="489" t="s">
        <v>1345</v>
      </c>
      <c r="B20" s="459"/>
      <c r="C20" s="456"/>
      <c r="D20" s="459"/>
      <c r="E20" s="447"/>
      <c r="F20" s="480"/>
      <c r="G20" s="441" t="s">
        <v>964</v>
      </c>
      <c r="H20" s="731">
        <f>I19*1000/Gdata!B60</f>
        <v>38.963915628185418</v>
      </c>
      <c r="I20" s="442"/>
      <c r="J20" s="436"/>
      <c r="K20" s="436"/>
      <c r="L20" s="436"/>
      <c r="M20" s="453"/>
    </row>
    <row r="21" spans="1:13">
      <c r="A21" s="489"/>
      <c r="B21" s="459"/>
      <c r="C21" s="456"/>
      <c r="D21" s="570" t="s">
        <v>1195</v>
      </c>
      <c r="E21" s="571" t="s">
        <v>1339</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1107</v>
      </c>
      <c r="B23" s="459"/>
      <c r="C23" s="467"/>
      <c r="D23" s="459"/>
      <c r="E23" s="447"/>
      <c r="F23" s="447"/>
      <c r="G23" s="485" t="s">
        <v>1111</v>
      </c>
      <c r="H23" s="646"/>
      <c r="I23" s="647">
        <f>D44+D45+D46</f>
        <v>-76435.311284046693</v>
      </c>
      <c r="J23" s="436"/>
      <c r="K23" s="447"/>
      <c r="L23" s="447"/>
      <c r="M23" s="453"/>
    </row>
    <row r="24" spans="1:13" ht="13">
      <c r="A24" s="483" t="s">
        <v>1369</v>
      </c>
      <c r="B24" s="459"/>
      <c r="C24" s="456"/>
      <c r="D24" s="569">
        <f>+E24/1.028</f>
        <v>179961.08949416343</v>
      </c>
      <c r="E24" s="447">
        <v>185000</v>
      </c>
      <c r="F24" s="687"/>
      <c r="G24" s="441" t="s">
        <v>964</v>
      </c>
      <c r="H24" s="731">
        <f>I23*1000/Gdata!B60</f>
        <v>-14.482369661865318</v>
      </c>
      <c r="I24" s="442"/>
      <c r="J24" s="436"/>
      <c r="K24" s="436"/>
      <c r="L24" s="436"/>
      <c r="M24" s="453"/>
    </row>
    <row r="25" spans="1:13" ht="13">
      <c r="A25" s="483" t="s">
        <v>1423</v>
      </c>
      <c r="B25" s="459"/>
      <c r="C25" s="456"/>
      <c r="D25" s="569">
        <f>+E25/1.028</f>
        <v>-64007.782101167315</v>
      </c>
      <c r="E25" s="447">
        <v>-65800</v>
      </c>
      <c r="F25" s="447"/>
      <c r="G25" s="453"/>
      <c r="H25" s="453"/>
      <c r="I25" s="453"/>
      <c r="J25" s="436"/>
      <c r="K25" s="436"/>
      <c r="L25" s="436"/>
      <c r="M25" s="453"/>
    </row>
    <row r="26" spans="1:13" ht="13">
      <c r="A26" s="483" t="s">
        <v>1424</v>
      </c>
      <c r="B26" s="459"/>
      <c r="C26" s="456"/>
      <c r="D26" s="569">
        <f>+E26/1.028</f>
        <v>44489.785992217898</v>
      </c>
      <c r="E26" s="447">
        <v>45735.5</v>
      </c>
      <c r="F26" s="447"/>
      <c r="G26" s="453"/>
      <c r="H26" s="453"/>
      <c r="I26" s="453"/>
      <c r="J26" s="447"/>
      <c r="K26" s="436"/>
      <c r="L26" s="436"/>
      <c r="M26" s="453"/>
    </row>
    <row r="27" spans="1:13" ht="13">
      <c r="A27" s="483" t="s">
        <v>1370</v>
      </c>
      <c r="B27" s="459"/>
      <c r="C27" s="456"/>
      <c r="D27" s="569">
        <f>+E27/1.028</f>
        <v>15173.638132295719</v>
      </c>
      <c r="E27" s="447">
        <v>15598.5</v>
      </c>
      <c r="F27" s="447"/>
      <c r="G27" s="453"/>
      <c r="H27" s="453"/>
      <c r="I27" s="453"/>
      <c r="J27" s="436"/>
      <c r="K27" s="436"/>
      <c r="L27" s="436"/>
      <c r="M27" s="453"/>
    </row>
    <row r="28" spans="1:13" ht="13">
      <c r="A28" s="483" t="s">
        <v>1371</v>
      </c>
      <c r="B28" s="459"/>
      <c r="C28" s="456"/>
      <c r="D28" s="569">
        <f>+E28/1.028</f>
        <v>8657.5875486381319</v>
      </c>
      <c r="E28" s="447">
        <v>8900</v>
      </c>
      <c r="F28" s="447"/>
      <c r="G28" s="453"/>
      <c r="H28" s="453"/>
      <c r="I28" s="453"/>
      <c r="J28" s="436"/>
      <c r="K28" s="436"/>
      <c r="L28" s="436"/>
      <c r="M28" s="453"/>
    </row>
    <row r="29" spans="1:13" ht="13">
      <c r="A29" s="483" t="s">
        <v>1420</v>
      </c>
      <c r="B29" s="459"/>
      <c r="C29" s="467"/>
      <c r="D29" s="569">
        <v>-100443.57976653696</v>
      </c>
      <c r="E29" s="447">
        <v>-103256</v>
      </c>
      <c r="F29" s="447"/>
      <c r="G29" s="453"/>
      <c r="H29" s="453"/>
      <c r="I29" s="453"/>
      <c r="J29" s="447"/>
      <c r="K29" s="447"/>
      <c r="L29" s="436"/>
      <c r="M29" s="453"/>
    </row>
    <row r="30" spans="1:13" ht="13">
      <c r="A30" s="483"/>
      <c r="B30" s="459"/>
      <c r="C30" s="456"/>
      <c r="D30" s="569"/>
      <c r="E30" s="447"/>
      <c r="F30" s="447"/>
      <c r="G30" s="453"/>
      <c r="H30" s="453"/>
      <c r="I30" s="453"/>
      <c r="J30" s="453"/>
      <c r="K30" s="436"/>
      <c r="L30" s="436"/>
      <c r="M30" s="453"/>
    </row>
    <row r="31" spans="1:13" ht="13">
      <c r="A31" s="483"/>
      <c r="B31" s="459"/>
      <c r="C31" s="459"/>
      <c r="D31" s="569"/>
      <c r="E31" s="447"/>
      <c r="F31" s="447"/>
      <c r="G31" s="453"/>
      <c r="H31" s="453"/>
      <c r="I31" s="453"/>
      <c r="J31" s="453"/>
      <c r="K31" s="436"/>
      <c r="L31" s="436"/>
      <c r="M31" s="453"/>
    </row>
    <row r="32" spans="1:13" ht="13">
      <c r="A32" s="483"/>
      <c r="B32" s="459"/>
      <c r="C32" s="467"/>
      <c r="D32" s="569"/>
      <c r="E32" s="447"/>
      <c r="F32" s="447"/>
      <c r="G32" s="444" t="s">
        <v>1367</v>
      </c>
      <c r="H32" s="594"/>
      <c r="I32" s="444"/>
      <c r="J32" s="436"/>
      <c r="K32" s="436"/>
      <c r="L32" s="436"/>
      <c r="M32" s="453"/>
    </row>
    <row r="33" spans="1:13" ht="13">
      <c r="A33" s="483"/>
      <c r="B33" s="459"/>
      <c r="C33" s="456"/>
      <c r="D33" s="569"/>
      <c r="E33" s="447"/>
      <c r="F33" s="447"/>
      <c r="G33" s="485" t="s">
        <v>51</v>
      </c>
      <c r="H33" s="486" t="s">
        <v>268</v>
      </c>
      <c r="I33" s="487" t="s">
        <v>748</v>
      </c>
      <c r="J33" s="436"/>
      <c r="K33" s="436"/>
      <c r="L33" s="436"/>
      <c r="M33" s="453"/>
    </row>
    <row r="34" spans="1:13" ht="13">
      <c r="A34" s="483"/>
      <c r="B34" s="459"/>
      <c r="C34" s="456"/>
      <c r="D34" s="569"/>
      <c r="E34" s="447"/>
      <c r="F34" s="447"/>
      <c r="G34" s="713">
        <v>2020</v>
      </c>
      <c r="H34" s="677">
        <f>-3764/2-15089/5</f>
        <v>-4899.8</v>
      </c>
      <c r="I34" s="759">
        <f>H34*1000/Gdata!D60</f>
        <v>-0.91658116236588605</v>
      </c>
      <c r="J34" s="444"/>
      <c r="K34" s="436"/>
      <c r="L34" s="436"/>
      <c r="M34" s="453"/>
    </row>
    <row r="35" spans="1:13" ht="13">
      <c r="A35" s="483"/>
      <c r="B35" s="459"/>
      <c r="C35" s="456"/>
      <c r="D35" s="569"/>
      <c r="E35" s="447"/>
      <c r="F35" s="447"/>
      <c r="G35" s="713">
        <v>2021</v>
      </c>
      <c r="H35" s="677">
        <f>0-15089/5-10403/5-25142/5</f>
        <v>-10126.799999999999</v>
      </c>
      <c r="I35" s="759">
        <f>H35*1000/Gdata!E60</f>
        <v>-1.8840575665651782</v>
      </c>
      <c r="J35" s="453"/>
      <c r="K35" s="453"/>
      <c r="L35" s="453"/>
      <c r="M35" s="453"/>
    </row>
    <row r="36" spans="1:13" ht="13">
      <c r="A36" s="483"/>
      <c r="B36" s="459"/>
      <c r="C36" s="456"/>
      <c r="D36" s="569"/>
      <c r="E36" s="447"/>
      <c r="F36" s="447"/>
      <c r="G36" s="644">
        <v>2022</v>
      </c>
      <c r="H36" s="645">
        <f>0-15089/5-10403/5-25142/5</f>
        <v>-10126.799999999999</v>
      </c>
      <c r="I36" s="760">
        <f>H36*1000/Gdata!F60</f>
        <v>-1.8746997542497212</v>
      </c>
      <c r="J36" s="453"/>
      <c r="K36" s="453"/>
      <c r="L36" s="453"/>
      <c r="M36" s="453"/>
    </row>
    <row r="37" spans="1:13" ht="13.5">
      <c r="A37" s="643" t="s">
        <v>1209</v>
      </c>
      <c r="B37" s="459"/>
      <c r="C37" s="467"/>
      <c r="D37" s="459"/>
      <c r="E37" s="447"/>
      <c r="F37" s="459"/>
      <c r="G37" s="453"/>
      <c r="H37" s="453"/>
      <c r="I37" s="453"/>
      <c r="J37" s="453"/>
      <c r="K37" s="453"/>
      <c r="L37" s="453"/>
      <c r="M37" s="453"/>
    </row>
    <row r="38" spans="1:13" ht="13">
      <c r="A38" s="483" t="s">
        <v>1419</v>
      </c>
      <c r="B38" s="459"/>
      <c r="C38" s="456"/>
      <c r="D38" s="569">
        <f>+E38/1.028</f>
        <v>97276.264591439685</v>
      </c>
      <c r="E38" s="447">
        <v>100000</v>
      </c>
      <c r="F38" s="459"/>
      <c r="G38" s="444" t="s">
        <v>1097</v>
      </c>
      <c r="H38" s="594"/>
      <c r="I38" s="444"/>
      <c r="J38" s="453"/>
      <c r="K38" s="453"/>
      <c r="L38" s="453"/>
      <c r="M38" s="453"/>
    </row>
    <row r="39" spans="1:13" ht="13">
      <c r="A39" s="483" t="s">
        <v>1422</v>
      </c>
      <c r="B39" s="459"/>
      <c r="C39" s="456"/>
      <c r="D39" s="569">
        <f>+E39/1.028</f>
        <v>-21303.501945525291</v>
      </c>
      <c r="E39" s="447">
        <v>-21900</v>
      </c>
      <c r="F39" s="459"/>
      <c r="G39" s="485" t="s">
        <v>51</v>
      </c>
      <c r="H39" s="486" t="s">
        <v>268</v>
      </c>
      <c r="I39" s="487" t="s">
        <v>748</v>
      </c>
      <c r="J39" s="453"/>
      <c r="K39" s="453"/>
      <c r="L39" s="453"/>
      <c r="M39" s="453"/>
    </row>
    <row r="40" spans="1:13" ht="13">
      <c r="A40" s="483" t="s">
        <v>1425</v>
      </c>
      <c r="B40" s="459"/>
      <c r="C40" s="456"/>
      <c r="D40" s="569">
        <f>+E40/1.028</f>
        <v>45840.953307392992</v>
      </c>
      <c r="E40" s="447">
        <v>47124.5</v>
      </c>
      <c r="F40" s="459"/>
      <c r="G40" s="684">
        <v>2020</v>
      </c>
      <c r="H40" s="645">
        <v>-59082</v>
      </c>
      <c r="I40" s="762">
        <f>H40*1000/Gdata!D60</f>
        <v>-11.052175238765109</v>
      </c>
      <c r="J40" s="453"/>
      <c r="K40" s="453"/>
      <c r="L40" s="453"/>
      <c r="M40" s="453"/>
    </row>
    <row r="41" spans="1:13" ht="13">
      <c r="A41" s="483"/>
      <c r="B41" s="459"/>
      <c r="C41" s="456"/>
      <c r="D41" s="569"/>
      <c r="E41" s="447"/>
      <c r="F41" s="459"/>
      <c r="G41" s="453"/>
      <c r="H41" s="453"/>
      <c r="I41" s="453"/>
      <c r="J41" s="453"/>
      <c r="K41" s="453"/>
      <c r="L41" s="453"/>
      <c r="M41" s="453"/>
    </row>
    <row r="42" spans="1:13" ht="13">
      <c r="A42" s="483"/>
      <c r="B42" s="459"/>
      <c r="C42" s="456"/>
      <c r="D42" s="569"/>
      <c r="E42" s="447"/>
      <c r="F42" s="459"/>
      <c r="G42" s="444" t="s">
        <v>1200</v>
      </c>
      <c r="H42" s="594"/>
      <c r="I42" s="444"/>
      <c r="J42" s="453"/>
      <c r="K42" s="453"/>
      <c r="L42" s="453"/>
      <c r="M42" s="453"/>
    </row>
    <row r="43" spans="1:13" ht="13.5">
      <c r="A43" s="643" t="s">
        <v>1110</v>
      </c>
      <c r="B43" s="459"/>
      <c r="C43" s="456"/>
      <c r="D43" s="569"/>
      <c r="E43" s="447"/>
      <c r="F43" s="459"/>
      <c r="G43" s="485" t="s">
        <v>51</v>
      </c>
      <c r="H43" s="486" t="s">
        <v>268</v>
      </c>
      <c r="I43" s="487" t="s">
        <v>748</v>
      </c>
      <c r="J43" s="453"/>
      <c r="K43" s="453"/>
      <c r="L43" s="453"/>
      <c r="M43" s="453"/>
    </row>
    <row r="44" spans="1:13">
      <c r="A44" s="729" t="s">
        <v>1372</v>
      </c>
      <c r="B44" s="459"/>
      <c r="C44" s="456"/>
      <c r="D44" s="767">
        <f>+E44/1.028</f>
        <v>-5491.7315175097274</v>
      </c>
      <c r="E44" s="447">
        <v>-5645.5</v>
      </c>
      <c r="F44" s="459"/>
      <c r="G44" s="488">
        <v>2021</v>
      </c>
      <c r="H44" s="595">
        <v>187404</v>
      </c>
      <c r="I44" s="763">
        <f>H44*1000/Gdata!E60</f>
        <v>34.865892898505024</v>
      </c>
      <c r="J44" s="572"/>
      <c r="K44" s="453"/>
      <c r="L44" s="453"/>
      <c r="M44" s="453"/>
    </row>
    <row r="45" spans="1:13" ht="13">
      <c r="A45" s="483" t="s">
        <v>1379</v>
      </c>
      <c r="B45" s="459"/>
      <c r="C45" s="456"/>
      <c r="D45" s="569">
        <f>+E45/1.028</f>
        <v>-72500</v>
      </c>
      <c r="E45" s="447">
        <v>-74530</v>
      </c>
      <c r="F45" s="459"/>
      <c r="G45" s="453"/>
      <c r="H45" s="453"/>
      <c r="I45" s="453"/>
      <c r="J45" s="453"/>
      <c r="K45" s="453"/>
      <c r="L45" s="453"/>
      <c r="M45" s="453"/>
    </row>
    <row r="46" spans="1:13" ht="13">
      <c r="A46" s="483" t="s">
        <v>1421</v>
      </c>
      <c r="B46" s="459"/>
      <c r="C46" s="456"/>
      <c r="D46" s="569">
        <f>+E46/1.028</f>
        <v>1556.4202334630349</v>
      </c>
      <c r="E46" s="447">
        <v>1600</v>
      </c>
      <c r="F46" s="459"/>
      <c r="G46" s="444" t="s">
        <v>1366</v>
      </c>
      <c r="H46" s="594"/>
      <c r="I46" s="444"/>
      <c r="J46" s="444"/>
      <c r="K46" s="453"/>
      <c r="L46" s="453"/>
      <c r="M46" s="453"/>
    </row>
    <row r="47" spans="1:13" ht="13">
      <c r="A47" s="483"/>
      <c r="B47" s="459"/>
      <c r="C47" s="459"/>
      <c r="D47" s="491"/>
      <c r="E47" s="447"/>
      <c r="F47" s="459"/>
      <c r="G47" s="485" t="s">
        <v>51</v>
      </c>
      <c r="H47" s="486" t="s">
        <v>268</v>
      </c>
      <c r="I47" s="487" t="s">
        <v>748</v>
      </c>
      <c r="J47" s="444"/>
      <c r="K47" s="453"/>
      <c r="L47" s="453"/>
      <c r="M47" s="453"/>
    </row>
    <row r="48" spans="1:13" ht="13">
      <c r="A48" s="483"/>
      <c r="B48" s="459"/>
      <c r="C48" s="456"/>
      <c r="D48" s="569"/>
      <c r="E48" s="447"/>
      <c r="F48" s="459"/>
      <c r="G48" s="684">
        <v>2020</v>
      </c>
      <c r="H48" s="645">
        <v>-302826</v>
      </c>
      <c r="I48" s="762">
        <f>H48*1000/Gdata!D60</f>
        <v>-56.648150347894159</v>
      </c>
      <c r="J48" s="435"/>
      <c r="K48" s="453"/>
      <c r="L48" s="669"/>
      <c r="M48" s="453"/>
    </row>
    <row r="49" spans="1:13" ht="13">
      <c r="A49" s="483"/>
      <c r="B49" s="459"/>
      <c r="C49" s="456"/>
      <c r="D49" s="569"/>
      <c r="E49" s="447"/>
      <c r="F49" s="459"/>
      <c r="G49" s="453"/>
      <c r="H49" s="453"/>
      <c r="I49" s="454"/>
      <c r="J49" s="451"/>
      <c r="K49" s="669"/>
      <c r="L49" s="444"/>
      <c r="M49" s="453"/>
    </row>
    <row r="50" spans="1:13" ht="13">
      <c r="A50" s="483"/>
      <c r="B50" s="459"/>
      <c r="C50" s="456"/>
      <c r="D50" s="459"/>
      <c r="E50" s="447"/>
      <c r="F50" s="447"/>
      <c r="G50" s="444" t="s">
        <v>1470</v>
      </c>
      <c r="H50" s="594"/>
      <c r="I50" s="444"/>
      <c r="J50" s="683"/>
      <c r="K50" s="444"/>
      <c r="L50" s="680"/>
      <c r="M50" s="453"/>
    </row>
    <row r="51" spans="1:13" ht="13">
      <c r="A51" s="464" t="s">
        <v>1347</v>
      </c>
      <c r="B51" s="464"/>
      <c r="C51" s="469"/>
      <c r="D51" s="470">
        <f>D17+D24+D25+D26+D27+D28+D29+D30+D31+D32+D33+D34+D35+D36+D37+D38+D39+D40+D41+D42+D43+D44+D45+D46+D47+D49</f>
        <v>131179134.34566821</v>
      </c>
      <c r="E51" s="536">
        <f>SUM(D24:D46)+E17</f>
        <v>131179134.14396887</v>
      </c>
      <c r="F51" s="536">
        <f>+E51-D51</f>
        <v>-0.20169934630393982</v>
      </c>
      <c r="G51" s="485" t="s">
        <v>51</v>
      </c>
      <c r="H51" s="486" t="s">
        <v>268</v>
      </c>
      <c r="I51" s="487" t="s">
        <v>748</v>
      </c>
      <c r="J51" s="444"/>
      <c r="K51" s="444"/>
      <c r="L51" s="567"/>
      <c r="M51" s="453"/>
    </row>
    <row r="52" spans="1:13">
      <c r="A52" s="456"/>
      <c r="B52" s="456"/>
      <c r="C52" s="456"/>
      <c r="D52" s="459"/>
      <c r="E52" s="447"/>
      <c r="F52" s="447"/>
      <c r="G52" s="684">
        <v>2020</v>
      </c>
      <c r="H52" s="645">
        <f>+E26*7/5+E25*7/5</f>
        <v>-28090.300000000003</v>
      </c>
      <c r="I52" s="762">
        <f>H52*1000/Gdata!D60</f>
        <v>-5.2547124015687281</v>
      </c>
      <c r="J52" s="444"/>
      <c r="K52" s="525"/>
      <c r="L52" s="669"/>
      <c r="M52" s="453"/>
    </row>
    <row r="53" spans="1:13" ht="13">
      <c r="A53" s="489" t="s">
        <v>1348</v>
      </c>
      <c r="B53" s="490">
        <v>2.8000000000000025E-2</v>
      </c>
      <c r="C53" s="456"/>
      <c r="D53" s="459">
        <f>ROUND(D51*B53,0)-0.345668</f>
        <v>3673015.6543319998</v>
      </c>
      <c r="E53" s="436"/>
      <c r="F53" s="436"/>
      <c r="G53" s="453"/>
      <c r="H53" s="453"/>
      <c r="I53" s="453"/>
      <c r="J53" s="524"/>
      <c r="K53" s="525"/>
      <c r="L53" s="669"/>
      <c r="M53" s="453"/>
    </row>
    <row r="54" spans="1:13" ht="13">
      <c r="A54" s="338" t="s">
        <v>2518</v>
      </c>
      <c r="B54" s="490"/>
      <c r="C54" s="456"/>
      <c r="D54" s="459"/>
      <c r="E54" s="436"/>
      <c r="F54" s="436"/>
      <c r="G54" s="444" t="s">
        <v>1427</v>
      </c>
      <c r="H54" s="594"/>
      <c r="I54" s="444"/>
      <c r="J54" s="681"/>
      <c r="K54" s="682"/>
      <c r="L54" s="444"/>
      <c r="M54" s="453"/>
    </row>
    <row r="55" spans="1:13" ht="13">
      <c r="A55" s="338"/>
      <c r="B55" s="490"/>
      <c r="C55" s="456"/>
      <c r="D55" s="459"/>
      <c r="E55" s="447"/>
      <c r="F55" s="447"/>
      <c r="G55" s="485" t="s">
        <v>51</v>
      </c>
      <c r="H55" s="486" t="s">
        <v>268</v>
      </c>
      <c r="I55" s="487" t="s">
        <v>748</v>
      </c>
      <c r="J55" s="444"/>
      <c r="K55" s="444"/>
      <c r="L55" s="444"/>
      <c r="M55" s="453"/>
    </row>
    <row r="56" spans="1:13">
      <c r="A56" s="489" t="s">
        <v>1349</v>
      </c>
      <c r="B56" s="471"/>
      <c r="C56" s="456"/>
      <c r="D56" s="459">
        <f>2120100</f>
        <v>2120100</v>
      </c>
      <c r="E56" s="437"/>
      <c r="F56" s="437"/>
      <c r="G56" s="713">
        <v>2020</v>
      </c>
      <c r="H56" s="677">
        <f>1600*1.4</f>
        <v>2240</v>
      </c>
      <c r="I56" s="842">
        <f>H56*1000/Gdata!D60</f>
        <v>0.41902563445438279</v>
      </c>
      <c r="J56" s="524"/>
      <c r="K56" s="525"/>
      <c r="L56" s="669"/>
      <c r="M56" s="453"/>
    </row>
    <row r="57" spans="1:13" ht="13">
      <c r="A57" s="464" t="s">
        <v>1361</v>
      </c>
      <c r="B57" s="464"/>
      <c r="C57" s="464"/>
      <c r="D57" s="470">
        <f>D53+D51+D56</f>
        <v>136972250.00000021</v>
      </c>
      <c r="E57" s="536">
        <v>136972250</v>
      </c>
      <c r="F57" s="688">
        <f>+E57-D57</f>
        <v>0</v>
      </c>
      <c r="G57" s="684" t="s">
        <v>1436</v>
      </c>
      <c r="H57" s="645">
        <f>-1600*2.4</f>
        <v>-3840</v>
      </c>
      <c r="I57" s="760">
        <f>+H57*1000/Gdata!F60</f>
        <v>-0.7108708630879379</v>
      </c>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1350</v>
      </c>
      <c r="F59" s="616" t="s">
        <v>1056</v>
      </c>
      <c r="G59" s="616" t="s">
        <v>748</v>
      </c>
      <c r="H59" s="453"/>
      <c r="I59" s="454"/>
      <c r="J59" s="524"/>
      <c r="K59" s="525"/>
      <c r="L59" s="680"/>
      <c r="M59" s="453"/>
    </row>
    <row r="60" spans="1:13">
      <c r="A60" s="489" t="s">
        <v>965</v>
      </c>
      <c r="B60" s="473"/>
      <c r="C60" s="524"/>
      <c r="D60" s="491">
        <v>435300</v>
      </c>
      <c r="E60" s="531">
        <v>430495</v>
      </c>
      <c r="F60" s="531">
        <f>D60-E60</f>
        <v>4805</v>
      </c>
      <c r="G60" s="531">
        <f>F60*1000/D73</f>
        <v>0.90446922621104764</v>
      </c>
      <c r="H60" s="454"/>
      <c r="I60" s="767"/>
      <c r="J60" s="681"/>
      <c r="K60" s="682"/>
      <c r="L60" s="567"/>
      <c r="M60" s="453"/>
    </row>
    <row r="61" spans="1:13">
      <c r="A61" s="456" t="s">
        <v>352</v>
      </c>
      <c r="B61" s="473"/>
      <c r="C61" s="473"/>
      <c r="D61" s="491">
        <v>231934</v>
      </c>
      <c r="E61" s="531">
        <v>312444</v>
      </c>
      <c r="F61" s="531">
        <f t="shared" ref="F61:F70" si="0">D61-E61</f>
        <v>-80510</v>
      </c>
      <c r="G61" s="531">
        <f>F61*1000/D73</f>
        <v>-15.154800708064815</v>
      </c>
      <c r="H61" s="454"/>
      <c r="I61" s="454"/>
      <c r="J61" s="453"/>
      <c r="K61" s="831"/>
      <c r="L61" s="453"/>
      <c r="M61" s="453"/>
    </row>
    <row r="62" spans="1:13">
      <c r="A62" s="489" t="s">
        <v>1177</v>
      </c>
      <c r="B62" s="456"/>
      <c r="C62" s="489"/>
      <c r="D62" s="491">
        <v>929487</v>
      </c>
      <c r="E62" s="531">
        <v>894937</v>
      </c>
      <c r="F62" s="531">
        <f t="shared" si="0"/>
        <v>34550</v>
      </c>
      <c r="G62" s="531">
        <f>F62*1000/D73</f>
        <v>6.5035196182292809</v>
      </c>
      <c r="H62" s="454"/>
      <c r="I62" s="453"/>
      <c r="J62" s="449"/>
      <c r="K62" s="832"/>
      <c r="L62" s="669"/>
      <c r="M62" s="453"/>
    </row>
    <row r="63" spans="1:13">
      <c r="A63" s="456" t="s">
        <v>764</v>
      </c>
      <c r="B63" s="456"/>
      <c r="C63" s="489"/>
      <c r="D63" s="491">
        <v>1237000</v>
      </c>
      <c r="E63" s="531">
        <f>1360000+72500</f>
        <v>1432500</v>
      </c>
      <c r="F63" s="531">
        <f>D63-E63</f>
        <v>-195500</v>
      </c>
      <c r="G63" s="531">
        <f>F63*1000/D73</f>
        <v>-36.799944583612863</v>
      </c>
      <c r="H63" s="454"/>
      <c r="I63" s="453"/>
      <c r="J63" s="449"/>
      <c r="K63" s="833"/>
      <c r="L63" s="444"/>
      <c r="M63" s="453"/>
    </row>
    <row r="64" spans="1:13">
      <c r="A64" s="489" t="s">
        <v>1426</v>
      </c>
      <c r="B64" s="456"/>
      <c r="C64" s="489"/>
      <c r="D64" s="491">
        <v>1695462</v>
      </c>
      <c r="E64" s="531">
        <v>1645503</v>
      </c>
      <c r="F64" s="531">
        <f t="shared" si="0"/>
        <v>49959</v>
      </c>
      <c r="G64" s="531">
        <f>F64*1000/D73</f>
        <v>9.404032897456343</v>
      </c>
      <c r="H64" s="454"/>
      <c r="I64" s="453"/>
      <c r="J64" s="449"/>
      <c r="K64" s="833"/>
      <c r="L64" s="680"/>
      <c r="M64" s="453"/>
    </row>
    <row r="65" spans="1:13">
      <c r="A65" s="456" t="s">
        <v>765</v>
      </c>
      <c r="B65" s="456"/>
      <c r="C65" s="489"/>
      <c r="D65" s="491">
        <v>508768</v>
      </c>
      <c r="E65" s="531">
        <v>490158</v>
      </c>
      <c r="F65" s="531">
        <f t="shared" si="0"/>
        <v>18610</v>
      </c>
      <c r="G65" s="531">
        <f>F65*1000/D73</f>
        <v>3.503053548342892</v>
      </c>
      <c r="H65" s="454"/>
      <c r="I65" s="453"/>
      <c r="J65" s="449"/>
      <c r="K65" s="682"/>
      <c r="L65" s="567"/>
      <c r="M65" s="453"/>
    </row>
    <row r="66" spans="1:13">
      <c r="A66" s="489" t="s">
        <v>1074</v>
      </c>
      <c r="B66" s="456"/>
      <c r="C66" s="456"/>
      <c r="D66" s="491">
        <v>203329.29281477001</v>
      </c>
      <c r="E66" s="531">
        <v>199621.91845107003</v>
      </c>
      <c r="F66" s="531">
        <f t="shared" si="0"/>
        <v>3707.3743636999861</v>
      </c>
      <c r="G66" s="531">
        <f>F66*1000/D73</f>
        <v>0.69785765286376722</v>
      </c>
      <c r="H66" s="454"/>
      <c r="I66" s="453"/>
      <c r="J66" s="449"/>
      <c r="K66" s="831"/>
      <c r="L66" s="453"/>
      <c r="M66" s="453"/>
    </row>
    <row r="67" spans="1:13">
      <c r="A67" s="489" t="s">
        <v>1075</v>
      </c>
      <c r="B67" s="456"/>
      <c r="C67" s="456"/>
      <c r="D67" s="491">
        <v>-19350</v>
      </c>
      <c r="E67" s="531">
        <v>-19350</v>
      </c>
      <c r="F67" s="531">
        <f t="shared" si="0"/>
        <v>0</v>
      </c>
      <c r="G67" s="531">
        <f>F67*1000/D73</f>
        <v>0</v>
      </c>
      <c r="H67" s="454"/>
      <c r="I67" s="453"/>
      <c r="J67" s="449"/>
      <c r="K67" s="453"/>
      <c r="L67" s="453"/>
      <c r="M67" s="453"/>
    </row>
    <row r="68" spans="1:13">
      <c r="A68" s="489" t="s">
        <v>1142</v>
      </c>
      <c r="B68" s="456"/>
      <c r="C68" s="456"/>
      <c r="D68" s="491">
        <v>77359.025160000005</v>
      </c>
      <c r="E68" s="531">
        <v>75251.97</v>
      </c>
      <c r="F68" s="531">
        <f t="shared" si="0"/>
        <v>2107.0551600000035</v>
      </c>
      <c r="G68" s="531">
        <f>F68*1000/D73</f>
        <v>0.39662155049931286</v>
      </c>
      <c r="H68" s="454"/>
      <c r="I68" s="453"/>
      <c r="J68" s="449"/>
      <c r="K68" s="834"/>
      <c r="L68" s="669"/>
      <c r="M68" s="453"/>
    </row>
    <row r="69" spans="1:13">
      <c r="A69" s="489" t="s">
        <v>1138</v>
      </c>
      <c r="B69" s="456"/>
      <c r="C69" s="456"/>
      <c r="D69" s="491">
        <v>-1078606.6762572699</v>
      </c>
      <c r="E69" s="531">
        <v>-1043736.0408000001</v>
      </c>
      <c r="F69" s="531">
        <f t="shared" si="0"/>
        <v>-34870.635457269847</v>
      </c>
      <c r="G69" s="531">
        <f>F69*1000/D73</f>
        <v>-6.5638744369457607</v>
      </c>
      <c r="H69" s="454"/>
      <c r="I69" s="453"/>
      <c r="J69" s="449"/>
      <c r="K69" s="444"/>
      <c r="L69" s="444"/>
      <c r="M69" s="453"/>
    </row>
    <row r="70" spans="1:13">
      <c r="A70" s="489" t="s">
        <v>1295</v>
      </c>
      <c r="B70" s="456"/>
      <c r="C70" s="456"/>
      <c r="D70" s="491">
        <f>200000</f>
        <v>200000</v>
      </c>
      <c r="E70" s="531">
        <v>200000</v>
      </c>
      <c r="F70" s="531">
        <f t="shared" si="0"/>
        <v>0</v>
      </c>
      <c r="G70" s="531">
        <f>F70*1000/D73</f>
        <v>0</v>
      </c>
      <c r="H70" s="454"/>
      <c r="I70" s="453"/>
      <c r="J70" s="449"/>
      <c r="K70" s="444"/>
      <c r="L70" s="444"/>
      <c r="M70" s="453"/>
    </row>
    <row r="71" spans="1:13">
      <c r="A71" s="456" t="s">
        <v>349</v>
      </c>
      <c r="B71" s="456"/>
      <c r="C71" s="456"/>
      <c r="D71" s="491">
        <f>(877379.496-59081.86019421-28880.75416197+187404.4+302825.529164+1600)</f>
        <v>1281246.8108078202</v>
      </c>
      <c r="E71" s="531">
        <f>1034502.32186927+D10+D11</f>
        <v>1139502.3218692699</v>
      </c>
      <c r="F71" s="531">
        <f>D71-E71</f>
        <v>141744.48893855023</v>
      </c>
      <c r="G71" s="531">
        <f>F71*1000/D73</f>
        <v>26.681275386041815</v>
      </c>
      <c r="H71" s="454"/>
      <c r="I71" s="453"/>
      <c r="J71" s="449"/>
      <c r="K71" s="444"/>
      <c r="L71" s="444"/>
      <c r="M71" s="453"/>
    </row>
    <row r="72" spans="1:13" ht="13">
      <c r="A72" s="464" t="s">
        <v>1351</v>
      </c>
      <c r="B72" s="464"/>
      <c r="C72" s="464"/>
      <c r="D72" s="812">
        <f>+D57-D60-D61-D62-D63-D64-D65-D66-D67-D68-D69-D70-D71</f>
        <v>131270320.54747488</v>
      </c>
      <c r="E72" s="437"/>
      <c r="F72" s="437">
        <f>SUM(F60:F71)</f>
        <v>-55397.71699501964</v>
      </c>
      <c r="G72" s="437">
        <f>SUM(G60:G71)</f>
        <v>-10.427789848978986</v>
      </c>
      <c r="H72" s="454"/>
      <c r="I72" s="453"/>
      <c r="J72" s="449"/>
      <c r="K72" s="444"/>
      <c r="L72" s="444"/>
      <c r="M72" s="453"/>
    </row>
    <row r="73" spans="1:13" ht="13">
      <c r="A73" s="475" t="s">
        <v>1352</v>
      </c>
      <c r="B73" s="475"/>
      <c r="C73" s="475"/>
      <c r="D73" s="476">
        <f>Gdata!C60</f>
        <v>5312508</v>
      </c>
      <c r="E73" s="449"/>
      <c r="F73" s="615"/>
      <c r="G73" s="455" t="s">
        <v>1124</v>
      </c>
      <c r="H73" s="453"/>
      <c r="I73" s="453"/>
      <c r="J73" s="449"/>
      <c r="K73" s="444"/>
      <c r="L73" s="444"/>
      <c r="M73" s="453"/>
    </row>
    <row r="74" spans="1:13" ht="13.5" thickBot="1">
      <c r="A74" s="477" t="s">
        <v>1353</v>
      </c>
      <c r="B74" s="477"/>
      <c r="C74" s="477"/>
      <c r="D74" s="478">
        <f>D72*1000/D73</f>
        <v>24709.670187315456</v>
      </c>
      <c r="E74" s="620"/>
      <c r="F74" s="656"/>
      <c r="G74" s="656">
        <f>G60+G61+G62+G64+G65+G66+G68+G69+G70+G71</f>
        <v>26.372154734633881</v>
      </c>
      <c r="H74" s="453" t="s">
        <v>1090</v>
      </c>
      <c r="I74" s="453"/>
      <c r="J74" s="449"/>
      <c r="K74" s="682"/>
      <c r="L74" s="680"/>
      <c r="M74" s="453"/>
    </row>
    <row r="75" spans="1:13" ht="13">
      <c r="A75" s="451"/>
      <c r="B75" s="451"/>
      <c r="C75" s="451"/>
      <c r="D75" s="452"/>
      <c r="E75" s="447"/>
      <c r="F75" s="447"/>
      <c r="G75" s="572">
        <f>(((D60+D61+D62+D64+D65+D66+D68+D69+D70+D71)/(1+B53))-(SUM(E60:E71)-E63-E67))*1000/D73</f>
        <v>3.3811479884366662</v>
      </c>
      <c r="H75" s="453" t="s">
        <v>1089</v>
      </c>
      <c r="I75" s="453"/>
      <c r="J75" s="733"/>
      <c r="K75" s="682"/>
      <c r="L75" s="567"/>
      <c r="M75" s="453"/>
    </row>
    <row r="76" spans="1:13">
      <c r="A76" s="436"/>
      <c r="B76" s="436"/>
      <c r="C76" s="436"/>
      <c r="D76" s="447"/>
      <c r="E76" s="447"/>
      <c r="F76" s="436"/>
      <c r="G76" s="572">
        <f>((D63+D67)/(1+B53)-(E63+E67))*1000/D73</f>
        <v>-43.042864914713491</v>
      </c>
      <c r="H76" s="453" t="s">
        <v>1091</v>
      </c>
      <c r="I76" s="453"/>
      <c r="J76" s="453"/>
      <c r="K76" s="453"/>
      <c r="L76" s="453"/>
      <c r="M76" s="453"/>
    </row>
    <row r="77" spans="1:13">
      <c r="A77" s="669"/>
      <c r="B77" s="474"/>
      <c r="C77" s="473"/>
      <c r="D77" s="474"/>
      <c r="E77" s="447"/>
      <c r="F77" s="436"/>
      <c r="G77" s="454">
        <f>(F60+F61+F62+F64+F65+F66+F68+F69+F70+F71)</f>
        <v>140102.28300498036</v>
      </c>
      <c r="H77" s="489" t="s">
        <v>1125</v>
      </c>
      <c r="I77" s="453"/>
      <c r="J77" s="453"/>
      <c r="K77" s="453"/>
      <c r="L77" s="453"/>
      <c r="M77" s="453"/>
    </row>
    <row r="78" spans="1:13">
      <c r="A78" s="669"/>
      <c r="B78" s="474"/>
      <c r="C78" s="473"/>
      <c r="D78" s="677"/>
      <c r="E78" s="447"/>
      <c r="F78" s="436"/>
      <c r="G78" s="454">
        <f>(((D60+D61+D62+D64+D65+D66+D68+D69+D70+D71)/(1+B53))-(SUM(E60:E71)-E63-E67))</f>
        <v>17962.375737753697</v>
      </c>
      <c r="H78" s="489" t="s">
        <v>1139</v>
      </c>
      <c r="I78" s="453"/>
      <c r="J78" s="453"/>
      <c r="K78" s="453"/>
      <c r="L78" s="453"/>
      <c r="M78" s="453"/>
    </row>
    <row r="79" spans="1:13">
      <c r="A79" s="669"/>
      <c r="B79" s="669"/>
      <c r="C79" s="669"/>
      <c r="D79" s="567"/>
      <c r="E79" s="436"/>
      <c r="F79" s="436"/>
      <c r="G79" s="454">
        <f>(D63+D67)/(1+B53)-(E63+E67)</f>
        <v>-228665.56420233473</v>
      </c>
      <c r="H79" s="489" t="s">
        <v>1140</v>
      </c>
      <c r="I79" s="453"/>
      <c r="J79" s="453"/>
      <c r="K79" s="453"/>
      <c r="L79" s="453"/>
      <c r="M79" s="453"/>
    </row>
    <row r="80" spans="1:13">
      <c r="A80" s="524"/>
      <c r="B80" s="669"/>
      <c r="C80" s="669"/>
      <c r="D80" s="834"/>
      <c r="E80" s="792"/>
      <c r="F80" s="453"/>
      <c r="G80" s="454"/>
      <c r="H80" s="453"/>
      <c r="I80" s="453"/>
      <c r="J80" s="453"/>
      <c r="K80" s="453"/>
      <c r="L80" s="453"/>
      <c r="M80" s="453"/>
    </row>
    <row r="81" spans="1:13">
      <c r="A81" s="669"/>
      <c r="B81" s="669"/>
      <c r="C81" s="669"/>
      <c r="D81" s="835"/>
      <c r="E81" s="454"/>
      <c r="F81" s="454"/>
      <c r="G81" s="453"/>
      <c r="H81" s="453"/>
      <c r="I81" s="453"/>
      <c r="J81" s="453"/>
      <c r="K81" s="453"/>
      <c r="L81" s="453"/>
      <c r="M81" s="453"/>
    </row>
    <row r="82" spans="1:13">
      <c r="A82" s="669"/>
      <c r="B82" s="669"/>
      <c r="C82" s="669"/>
      <c r="D82" s="841"/>
      <c r="E82" s="454"/>
      <c r="F82" s="453"/>
      <c r="I82" s="453"/>
      <c r="J82" s="453"/>
      <c r="K82" s="453"/>
      <c r="L82" s="453"/>
      <c r="M82" s="453"/>
    </row>
    <row r="83" spans="1:13">
      <c r="A83" s="669"/>
      <c r="B83" s="669"/>
      <c r="C83" s="669"/>
      <c r="D83" s="834"/>
      <c r="E83" s="454"/>
      <c r="F83" s="453"/>
      <c r="J83" s="453"/>
      <c r="K83" s="453"/>
      <c r="L83" s="453"/>
      <c r="M83" s="453"/>
    </row>
    <row r="84" spans="1:13">
      <c r="A84" s="669"/>
      <c r="B84" s="474"/>
      <c r="C84" s="473"/>
      <c r="D84" s="677"/>
      <c r="E84" s="454"/>
      <c r="F84" s="453"/>
      <c r="J84" s="453"/>
      <c r="K84" s="453"/>
      <c r="L84" s="453"/>
      <c r="M84" s="453"/>
    </row>
    <row r="85" spans="1:13">
      <c r="A85" s="669"/>
      <c r="B85" s="669"/>
      <c r="C85" s="669"/>
      <c r="D85" s="834"/>
      <c r="E85" s="453"/>
      <c r="F85" s="453"/>
      <c r="J85" s="453"/>
      <c r="K85" s="453"/>
      <c r="L85" s="453"/>
      <c r="M85" s="453"/>
    </row>
    <row r="86" spans="1:13">
      <c r="A86" s="524"/>
      <c r="B86" s="669"/>
      <c r="C86" s="669"/>
      <c r="D86" s="834"/>
      <c r="E86" s="453"/>
      <c r="F86" s="453"/>
      <c r="J86" s="453"/>
      <c r="K86" s="453"/>
      <c r="L86" s="453"/>
      <c r="M86" s="453"/>
    </row>
    <row r="87" spans="1:13">
      <c r="A87" s="526"/>
      <c r="F87" s="453"/>
      <c r="J87" s="453"/>
      <c r="K87" s="453"/>
      <c r="L87" s="453"/>
      <c r="M87" s="453"/>
    </row>
    <row r="88" spans="1:13">
      <c r="J88" s="453"/>
      <c r="K88" s="453"/>
      <c r="L88" s="453"/>
      <c r="M88" s="453"/>
    </row>
    <row r="89" spans="1:13">
      <c r="D89" s="811"/>
      <c r="E89" s="5"/>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2523</v>
      </c>
      <c r="B1" s="61"/>
      <c r="C1" s="61"/>
      <c r="D1" s="125"/>
      <c r="E1" s="125"/>
      <c r="F1" s="125"/>
      <c r="G1" s="61"/>
      <c r="H1" s="61"/>
      <c r="I1" s="61"/>
      <c r="J1" s="61"/>
      <c r="K1" s="74" t="s">
        <v>719</v>
      </c>
      <c r="L1" s="61"/>
    </row>
    <row r="2" spans="1:13">
      <c r="A2" s="61"/>
      <c r="B2" s="61"/>
      <c r="C2" s="61"/>
      <c r="D2" s="61"/>
      <c r="E2" s="61"/>
      <c r="F2" s="61"/>
      <c r="G2" s="61"/>
      <c r="H2" s="61"/>
      <c r="I2" s="61"/>
      <c r="J2" s="61"/>
      <c r="K2" s="61"/>
      <c r="L2" s="61"/>
    </row>
    <row r="3" spans="1:13" ht="15.5">
      <c r="A3" s="80" t="s">
        <v>1473</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1468</v>
      </c>
      <c r="B5" s="458"/>
      <c r="C5" s="455"/>
      <c r="D5" s="459">
        <f>'R19'!D57</f>
        <v>136972250.00000021</v>
      </c>
      <c r="E5" s="436"/>
      <c r="F5" s="436"/>
      <c r="G5" s="436"/>
      <c r="H5" s="436"/>
      <c r="I5" s="532" t="s">
        <v>268</v>
      </c>
      <c r="J5" s="436"/>
      <c r="K5" s="436"/>
      <c r="L5" s="436"/>
      <c r="M5" s="453"/>
    </row>
    <row r="6" spans="1:13" ht="13">
      <c r="A6" s="475" t="s">
        <v>1467</v>
      </c>
      <c r="B6" s="458"/>
      <c r="C6" s="455"/>
      <c r="D6" s="459"/>
      <c r="E6" s="436"/>
      <c r="F6" s="436"/>
      <c r="G6" s="642" t="s">
        <v>1476</v>
      </c>
      <c r="H6" s="534"/>
      <c r="I6" s="533">
        <f>+D7+D8+D9</f>
        <v>-215000</v>
      </c>
      <c r="J6" s="436"/>
      <c r="K6" s="436"/>
      <c r="L6" s="436"/>
      <c r="M6" s="453"/>
    </row>
    <row r="7" spans="1:13" ht="13">
      <c r="A7" s="460" t="s">
        <v>1888</v>
      </c>
      <c r="B7" s="458"/>
      <c r="C7" s="455"/>
      <c r="D7" s="459">
        <v>-200000</v>
      </c>
      <c r="E7" s="436"/>
      <c r="F7" s="436"/>
      <c r="G7" s="441" t="s">
        <v>964</v>
      </c>
      <c r="H7" s="730">
        <f>I6*1000/Gdata!C60</f>
        <v>-40.470527291441257</v>
      </c>
      <c r="I7" s="588"/>
      <c r="J7" s="436"/>
      <c r="K7" s="436"/>
      <c r="L7" s="436"/>
      <c r="M7" s="453"/>
    </row>
    <row r="8" spans="1:13" ht="13">
      <c r="A8" s="460" t="s">
        <v>1889</v>
      </c>
      <c r="B8" s="458"/>
      <c r="C8" s="455"/>
      <c r="D8" s="459">
        <v>-15000</v>
      </c>
      <c r="E8" s="436"/>
      <c r="F8" s="436"/>
      <c r="G8" s="436"/>
      <c r="H8" s="436"/>
      <c r="I8" s="532"/>
      <c r="J8" s="436"/>
      <c r="K8" s="436"/>
      <c r="L8" s="436"/>
      <c r="M8" s="453"/>
    </row>
    <row r="9" spans="1:13" ht="13">
      <c r="A9" s="460"/>
      <c r="B9" s="458"/>
      <c r="C9" s="455"/>
      <c r="D9" s="459"/>
      <c r="E9" s="447"/>
      <c r="F9" s="436"/>
      <c r="G9" s="436"/>
      <c r="H9" s="436"/>
      <c r="I9" s="532" t="s">
        <v>268</v>
      </c>
      <c r="J9" s="436"/>
      <c r="K9" s="436"/>
      <c r="L9" s="436"/>
      <c r="M9" s="453"/>
    </row>
    <row r="10" spans="1:13" ht="13">
      <c r="A10" s="475"/>
      <c r="B10" s="458"/>
      <c r="C10" s="455"/>
      <c r="D10" s="459"/>
      <c r="E10" s="436"/>
      <c r="F10" s="436"/>
      <c r="G10" s="642" t="s">
        <v>1477</v>
      </c>
      <c r="H10" s="534"/>
      <c r="I10" s="533">
        <f>+D15</f>
        <v>90000</v>
      </c>
      <c r="J10" s="436"/>
      <c r="K10" s="436"/>
      <c r="L10" s="436"/>
      <c r="M10" s="453"/>
    </row>
    <row r="11" spans="1:13" ht="13">
      <c r="A11" s="460"/>
      <c r="B11" s="458"/>
      <c r="C11" s="455"/>
      <c r="D11" s="459"/>
      <c r="E11" s="447"/>
      <c r="F11" s="436"/>
      <c r="G11" s="441" t="s">
        <v>964</v>
      </c>
      <c r="H11" s="730">
        <f>I10*1000/Gdata!C60</f>
        <v>16.941150959207967</v>
      </c>
      <c r="I11" s="535"/>
      <c r="J11" s="436"/>
      <c r="K11" s="436"/>
      <c r="L11" s="436"/>
      <c r="M11" s="453"/>
    </row>
    <row r="12" spans="1:13" ht="13">
      <c r="A12" s="460"/>
      <c r="B12" s="458"/>
      <c r="C12" s="455"/>
      <c r="D12" s="459"/>
      <c r="E12" s="436"/>
      <c r="F12" s="436"/>
      <c r="G12" s="450"/>
      <c r="H12" s="463"/>
      <c r="I12" s="461"/>
      <c r="J12" s="436"/>
      <c r="K12" s="436"/>
      <c r="L12" s="436"/>
      <c r="M12" s="453"/>
    </row>
    <row r="13" spans="1:13" ht="13">
      <c r="A13" s="460"/>
      <c r="B13" s="458"/>
      <c r="C13" s="455"/>
      <c r="D13" s="459"/>
      <c r="E13" s="436"/>
      <c r="F13" s="436"/>
      <c r="G13" s="436"/>
      <c r="H13" s="436"/>
      <c r="I13" s="481" t="s">
        <v>268</v>
      </c>
      <c r="J13" s="436"/>
      <c r="K13" s="436"/>
      <c r="L13" s="436"/>
      <c r="M13" s="453"/>
    </row>
    <row r="14" spans="1:13" ht="13">
      <c r="A14" s="475" t="s">
        <v>1466</v>
      </c>
      <c r="B14" s="458"/>
      <c r="C14" s="455"/>
      <c r="D14" s="459"/>
      <c r="E14" s="462" t="s">
        <v>772</v>
      </c>
      <c r="F14" s="751" t="s">
        <v>766</v>
      </c>
      <c r="G14" s="484" t="s">
        <v>1478</v>
      </c>
      <c r="H14" s="468"/>
      <c r="I14" s="466">
        <f>+D61</f>
        <v>-912739</v>
      </c>
      <c r="J14" s="436"/>
      <c r="K14" s="436"/>
      <c r="L14" s="436"/>
      <c r="M14" s="453"/>
    </row>
    <row r="15" spans="1:13" ht="13">
      <c r="A15" s="460" t="s">
        <v>1890</v>
      </c>
      <c r="B15" s="458"/>
      <c r="C15" s="455"/>
      <c r="D15" s="459">
        <v>90000</v>
      </c>
      <c r="E15" s="621" t="s">
        <v>1936</v>
      </c>
      <c r="F15" s="752"/>
      <c r="G15" s="448" t="s">
        <v>748</v>
      </c>
      <c r="H15" s="732">
        <f>I14*1000/Gdata!D60</f>
        <v>-170.74153507422272</v>
      </c>
      <c r="I15" s="442"/>
      <c r="J15" s="436"/>
      <c r="K15" s="436"/>
      <c r="L15" s="436"/>
      <c r="M15" s="453"/>
    </row>
    <row r="16" spans="1:13" ht="13">
      <c r="A16" s="460" t="s">
        <v>1919</v>
      </c>
      <c r="B16" s="458"/>
      <c r="C16" s="455"/>
      <c r="D16" s="459">
        <v>142389.66540147335</v>
      </c>
      <c r="E16" s="689"/>
      <c r="F16" s="753"/>
      <c r="G16" s="436"/>
      <c r="H16" s="436"/>
      <c r="I16" s="436"/>
      <c r="J16" s="436"/>
      <c r="K16" s="436"/>
      <c r="L16" s="436"/>
      <c r="M16" s="453"/>
    </row>
    <row r="17" spans="1:13" ht="13">
      <c r="A17" s="464" t="s">
        <v>1469</v>
      </c>
      <c r="B17" s="439"/>
      <c r="C17" s="438"/>
      <c r="D17" s="440">
        <f>SUM(D5:D16)</f>
        <v>136989639.66540167</v>
      </c>
      <c r="E17" s="536">
        <v>136989640</v>
      </c>
      <c r="F17" s="465">
        <f>+D17-E17</f>
        <v>-0.33459833264350891</v>
      </c>
      <c r="G17" s="450"/>
      <c r="H17" s="445"/>
      <c r="I17" s="481" t="s">
        <v>268</v>
      </c>
      <c r="J17" s="436"/>
      <c r="K17" s="436"/>
      <c r="L17" s="436"/>
      <c r="M17" s="453"/>
    </row>
    <row r="18" spans="1:13" ht="13">
      <c r="A18" s="391"/>
      <c r="B18" s="458"/>
      <c r="C18" s="455"/>
      <c r="D18" s="459"/>
      <c r="E18" s="479"/>
      <c r="F18" s="436"/>
      <c r="G18" s="485" t="s">
        <v>1109</v>
      </c>
      <c r="H18" s="646"/>
      <c r="I18" s="647">
        <f>+D24+D25+D26+D27+D28+D29+D30+D31+D32+D33+D34+D35+D36+D37+D38+D42+D43+D44+D45+D46</f>
        <v>504001.93986420956</v>
      </c>
      <c r="J18" s="436"/>
      <c r="K18" s="447"/>
      <c r="L18" s="436"/>
      <c r="M18" s="453"/>
    </row>
    <row r="19" spans="1:13" ht="13">
      <c r="A19" s="392"/>
      <c r="B19" s="458"/>
      <c r="C19" s="456"/>
      <c r="D19" s="459"/>
      <c r="E19" s="482"/>
      <c r="F19" s="446"/>
      <c r="G19" s="441" t="s">
        <v>964</v>
      </c>
      <c r="H19" s="731">
        <f>I18*1000/Gdata!D60</f>
        <v>94.28113063296432</v>
      </c>
      <c r="I19" s="442"/>
      <c r="J19" s="436"/>
      <c r="K19" s="436"/>
      <c r="L19" s="436"/>
      <c r="M19" s="453"/>
    </row>
    <row r="20" spans="1:13">
      <c r="A20" s="489" t="s">
        <v>1345</v>
      </c>
      <c r="B20" s="459"/>
      <c r="C20" s="456"/>
      <c r="D20" s="459"/>
      <c r="E20" s="447"/>
      <c r="F20" s="480"/>
      <c r="G20" s="453"/>
      <c r="H20" s="453"/>
      <c r="I20" s="453"/>
      <c r="J20" s="436"/>
      <c r="K20" s="436"/>
      <c r="L20" s="436"/>
      <c r="M20" s="453"/>
    </row>
    <row r="21" spans="1:13">
      <c r="A21" s="489"/>
      <c r="B21" s="459"/>
      <c r="C21" s="456"/>
      <c r="D21" s="570" t="s">
        <v>1339</v>
      </c>
      <c r="E21" s="571" t="s">
        <v>1471</v>
      </c>
      <c r="F21" s="446"/>
      <c r="G21" s="450"/>
      <c r="H21" s="445"/>
      <c r="I21" s="481" t="s">
        <v>268</v>
      </c>
      <c r="J21" s="436"/>
      <c r="K21" s="436"/>
      <c r="L21" s="436"/>
      <c r="M21" s="453"/>
    </row>
    <row r="22" spans="1:13" ht="13">
      <c r="A22" s="483"/>
      <c r="B22" s="459"/>
      <c r="C22" s="467"/>
      <c r="D22" s="459"/>
      <c r="E22" s="447"/>
      <c r="F22" s="447"/>
      <c r="G22" s="485" t="s">
        <v>1111</v>
      </c>
      <c r="H22" s="646"/>
      <c r="I22" s="647">
        <f>D49+D50+D51+D52</f>
        <v>1225590.6886517946</v>
      </c>
      <c r="J22" s="436"/>
      <c r="K22" s="436"/>
      <c r="L22" s="436"/>
      <c r="M22" s="453"/>
    </row>
    <row r="23" spans="1:13" ht="13.5">
      <c r="A23" s="643" t="s">
        <v>1107</v>
      </c>
      <c r="B23" s="459"/>
      <c r="C23" s="467"/>
      <c r="D23" s="459"/>
      <c r="E23" s="447"/>
      <c r="F23" s="447"/>
      <c r="G23" s="441" t="s">
        <v>964</v>
      </c>
      <c r="H23" s="731">
        <f>I22*1000/Gdata!D60</f>
        <v>229.26514102397419</v>
      </c>
      <c r="I23" s="442"/>
      <c r="J23" s="436"/>
      <c r="K23" s="447"/>
      <c r="L23" s="447"/>
      <c r="M23" s="453"/>
    </row>
    <row r="24" spans="1:13" ht="13">
      <c r="A24" s="483" t="s">
        <v>1892</v>
      </c>
      <c r="B24" s="459"/>
      <c r="C24" s="456"/>
      <c r="D24" s="569">
        <f>+E24/1.031</f>
        <v>358044.61687681865</v>
      </c>
      <c r="E24" s="447">
        <v>369144</v>
      </c>
      <c r="F24" s="687"/>
      <c r="G24" s="453"/>
      <c r="H24" s="453"/>
      <c r="I24" s="453"/>
      <c r="J24" s="436"/>
      <c r="K24" s="436"/>
      <c r="L24" s="436"/>
      <c r="M24" s="453"/>
    </row>
    <row r="25" spans="1:13" ht="13">
      <c r="A25" s="483" t="s">
        <v>1891</v>
      </c>
      <c r="B25" s="459"/>
      <c r="C25" s="456"/>
      <c r="D25" s="569">
        <f t="shared" ref="D25:D37" si="0">+E25/1.031</f>
        <v>205237.63336566443</v>
      </c>
      <c r="E25" s="447">
        <v>211600</v>
      </c>
      <c r="F25" s="447"/>
      <c r="G25" s="444" t="s">
        <v>1963</v>
      </c>
      <c r="H25" s="594"/>
      <c r="I25" s="444"/>
      <c r="J25" s="436"/>
      <c r="K25" s="436"/>
      <c r="L25" s="436"/>
      <c r="M25" s="453"/>
    </row>
    <row r="26" spans="1:13" ht="13">
      <c r="A26" s="483" t="s">
        <v>1893</v>
      </c>
      <c r="B26" s="459"/>
      <c r="C26" s="456"/>
      <c r="D26" s="569">
        <f t="shared" si="0"/>
        <v>481574.19980601361</v>
      </c>
      <c r="E26" s="447">
        <v>496503</v>
      </c>
      <c r="F26" s="447"/>
      <c r="G26" s="485" t="s">
        <v>51</v>
      </c>
      <c r="H26" s="486" t="s">
        <v>268</v>
      </c>
      <c r="I26" s="487" t="s">
        <v>748</v>
      </c>
      <c r="J26" s="447"/>
      <c r="K26" s="436"/>
      <c r="L26" s="436"/>
      <c r="M26" s="453"/>
    </row>
    <row r="27" spans="1:13" ht="13">
      <c r="A27" s="483" t="s">
        <v>1927</v>
      </c>
      <c r="B27" s="459"/>
      <c r="C27" s="456"/>
      <c r="D27" s="569">
        <f t="shared" si="0"/>
        <v>10087.293889427741</v>
      </c>
      <c r="E27" s="447">
        <v>10400</v>
      </c>
      <c r="F27" s="447"/>
      <c r="G27" s="713">
        <v>2021</v>
      </c>
      <c r="H27" s="677">
        <f>-3880.76514572104/2-12445.16848861/4-10725.05036853/5-25921.22759521/5</f>
        <v>-12380.930287761021</v>
      </c>
      <c r="I27" s="759">
        <f>H27*1000/Gdata!E60</f>
        <v>-2.3034310334727794</v>
      </c>
      <c r="J27" s="436"/>
      <c r="K27" s="436"/>
      <c r="L27" s="436"/>
      <c r="M27" s="453"/>
    </row>
    <row r="28" spans="1:13" ht="13">
      <c r="A28" s="483" t="s">
        <v>1931</v>
      </c>
      <c r="B28" s="459"/>
      <c r="C28" s="456"/>
      <c r="D28" s="569">
        <f t="shared" si="0"/>
        <v>6149.3695441319114</v>
      </c>
      <c r="E28" s="447">
        <v>6340</v>
      </c>
      <c r="F28" s="447"/>
      <c r="G28" s="713">
        <v>2022</v>
      </c>
      <c r="H28" s="677">
        <f>0-12445.16848861/4-10725.05036853/5-25921.22759521/5</f>
        <v>-10440.547714900498</v>
      </c>
      <c r="I28" s="759">
        <f>H28*1000/Gdata!F60</f>
        <v>-1.9327815534380506</v>
      </c>
      <c r="J28" s="436"/>
      <c r="K28" s="436"/>
      <c r="L28" s="436"/>
      <c r="M28" s="453"/>
    </row>
    <row r="29" spans="1:13" ht="13">
      <c r="A29" s="483" t="s">
        <v>1932</v>
      </c>
      <c r="B29" s="459"/>
      <c r="C29" s="467"/>
      <c r="D29" s="569">
        <f t="shared" si="0"/>
        <v>4073.7148399612029</v>
      </c>
      <c r="E29" s="447">
        <f>2500+1700</f>
        <v>4200</v>
      </c>
      <c r="F29" s="447"/>
      <c r="G29" s="644">
        <v>2023</v>
      </c>
      <c r="H29" s="645">
        <f>0-12445.16848861/4-10725.05036853/5-25921.22759521/5-10674.12958404/5</f>
        <v>-12575.373631708499</v>
      </c>
      <c r="I29" s="963">
        <f>H29*1000/Gdata!G60</f>
        <v>-2.3049584059855102</v>
      </c>
      <c r="J29" s="447"/>
      <c r="K29" s="447"/>
      <c r="L29" s="436"/>
      <c r="M29" s="453"/>
    </row>
    <row r="30" spans="1:13" ht="13">
      <c r="A30" s="483" t="s">
        <v>1921</v>
      </c>
      <c r="B30" s="459"/>
      <c r="C30" s="456"/>
      <c r="D30" s="569">
        <f t="shared" si="0"/>
        <v>-1251.2124151309408</v>
      </c>
      <c r="E30" s="447">
        <v>-1290</v>
      </c>
      <c r="F30" s="447"/>
      <c r="G30" s="453"/>
      <c r="H30" s="453"/>
      <c r="I30" s="453"/>
      <c r="J30" s="453"/>
      <c r="K30" s="436"/>
      <c r="L30" s="436"/>
      <c r="M30" s="453"/>
    </row>
    <row r="31" spans="1:13" ht="13">
      <c r="A31" s="483" t="s">
        <v>1930</v>
      </c>
      <c r="B31" s="459"/>
      <c r="C31" s="459"/>
      <c r="D31" s="569">
        <f t="shared" si="0"/>
        <v>47145.489815712906</v>
      </c>
      <c r="E31" s="447">
        <v>48607</v>
      </c>
      <c r="F31" s="447"/>
      <c r="G31" s="444" t="s">
        <v>1952</v>
      </c>
      <c r="H31" s="594"/>
      <c r="I31" s="444"/>
      <c r="J31" s="453"/>
      <c r="K31" s="436"/>
      <c r="L31" s="436"/>
      <c r="M31" s="453"/>
    </row>
    <row r="32" spans="1:13" ht="13">
      <c r="A32" s="483" t="s">
        <v>1933</v>
      </c>
      <c r="B32" s="459"/>
      <c r="C32" s="467"/>
      <c r="D32" s="569">
        <f t="shared" si="0"/>
        <v>54380.213385063049</v>
      </c>
      <c r="E32" s="447">
        <v>56066</v>
      </c>
      <c r="F32" s="447"/>
      <c r="G32" s="485" t="s">
        <v>51</v>
      </c>
      <c r="H32" s="486" t="s">
        <v>268</v>
      </c>
      <c r="I32" s="487" t="s">
        <v>748</v>
      </c>
      <c r="J32" s="436"/>
      <c r="K32" s="436"/>
      <c r="L32" s="436"/>
      <c r="M32" s="453"/>
    </row>
    <row r="33" spans="1:13" ht="13">
      <c r="A33" s="483" t="s">
        <v>1923</v>
      </c>
      <c r="B33" s="459"/>
      <c r="C33" s="456"/>
      <c r="D33" s="569">
        <f t="shared" si="0"/>
        <v>-625024.24830261886</v>
      </c>
      <c r="E33" s="447">
        <v>-644400</v>
      </c>
      <c r="F33" s="447"/>
      <c r="G33" s="488">
        <v>2021</v>
      </c>
      <c r="H33" s="595">
        <f>-1104700+644400</f>
        <v>-460300</v>
      </c>
      <c r="I33" s="763">
        <f>H33*1000/Gdata!E60</f>
        <v>-85.637288964919961</v>
      </c>
      <c r="J33" s="436"/>
      <c r="K33" s="447">
        <f>+E33+H33</f>
        <v>-1104700</v>
      </c>
      <c r="L33" s="436"/>
      <c r="M33" s="453"/>
    </row>
    <row r="34" spans="1:13" ht="13">
      <c r="A34" s="483" t="s">
        <v>1929</v>
      </c>
      <c r="B34" s="459"/>
      <c r="C34" s="456"/>
      <c r="D34" s="569">
        <f t="shared" si="0"/>
        <v>84384.093113482057</v>
      </c>
      <c r="E34" s="447">
        <v>87000</v>
      </c>
      <c r="F34" s="447"/>
      <c r="G34" s="453"/>
      <c r="H34" s="453"/>
      <c r="I34" s="453"/>
      <c r="J34" s="444"/>
      <c r="K34" s="436"/>
      <c r="L34" s="436"/>
      <c r="M34" s="453"/>
    </row>
    <row r="35" spans="1:13" ht="13">
      <c r="A35" s="483" t="s">
        <v>1925</v>
      </c>
      <c r="B35" s="459"/>
      <c r="C35" s="456"/>
      <c r="D35" s="569">
        <f t="shared" si="0"/>
        <v>56450.048496605239</v>
      </c>
      <c r="E35" s="447">
        <v>58200</v>
      </c>
      <c r="F35" s="447"/>
      <c r="G35" s="444" t="s">
        <v>1200</v>
      </c>
      <c r="H35" s="594"/>
      <c r="I35" s="444"/>
      <c r="J35" s="453"/>
      <c r="K35" s="453"/>
      <c r="L35" s="453"/>
      <c r="M35" s="453"/>
    </row>
    <row r="36" spans="1:13" ht="13">
      <c r="A36" s="483" t="s">
        <v>1926</v>
      </c>
      <c r="B36" s="459"/>
      <c r="C36" s="456"/>
      <c r="D36" s="569">
        <f t="shared" si="0"/>
        <v>20368.574199806015</v>
      </c>
      <c r="E36" s="447">
        <v>21000</v>
      </c>
      <c r="F36" s="447"/>
      <c r="G36" s="485" t="s">
        <v>51</v>
      </c>
      <c r="H36" s="486" t="s">
        <v>268</v>
      </c>
      <c r="I36" s="487" t="s">
        <v>748</v>
      </c>
      <c r="J36" s="453"/>
      <c r="K36" s="453"/>
      <c r="L36" s="453"/>
      <c r="M36" s="453"/>
    </row>
    <row r="37" spans="1:13" ht="13">
      <c r="A37" s="483" t="s">
        <v>1922</v>
      </c>
      <c r="B37" s="459"/>
      <c r="C37" s="456"/>
      <c r="D37" s="569">
        <f t="shared" si="0"/>
        <v>-7274.4907856450054</v>
      </c>
      <c r="E37" s="447">
        <v>-7500</v>
      </c>
      <c r="F37" s="447"/>
      <c r="G37" s="488">
        <v>2021</v>
      </c>
      <c r="H37" s="595">
        <f>+'K20'!Y361</f>
        <v>200201.64612356998</v>
      </c>
      <c r="I37" s="763">
        <f>H37*1000/Gdata!E60</f>
        <v>37.246852531689797</v>
      </c>
      <c r="J37" s="453"/>
      <c r="K37" s="453"/>
      <c r="L37" s="453"/>
      <c r="M37" s="453"/>
    </row>
    <row r="38" spans="1:13" ht="13">
      <c r="A38" s="483" t="s">
        <v>1920</v>
      </c>
      <c r="B38" s="459"/>
      <c r="C38" s="456"/>
      <c r="D38" s="569">
        <f t="shared" ref="D38" si="1">+E38/1.031</f>
        <v>-165989.33074684773</v>
      </c>
      <c r="E38" s="447">
        <v>-171135</v>
      </c>
      <c r="F38" s="447"/>
      <c r="G38" s="453"/>
      <c r="H38" s="453"/>
      <c r="I38" s="453"/>
      <c r="J38" s="453"/>
      <c r="K38" s="453"/>
      <c r="L38" s="453"/>
      <c r="M38" s="453"/>
    </row>
    <row r="39" spans="1:13" ht="13">
      <c r="A39" s="483"/>
      <c r="B39" s="459"/>
      <c r="C39" s="456"/>
      <c r="D39" s="569"/>
      <c r="E39" s="447"/>
      <c r="F39" s="447"/>
      <c r="G39" s="444" t="s">
        <v>1427</v>
      </c>
      <c r="H39" s="594"/>
      <c r="I39" s="444"/>
      <c r="J39" s="453"/>
      <c r="K39" s="453"/>
      <c r="L39" s="453"/>
      <c r="M39" s="453"/>
    </row>
    <row r="40" spans="1:13" ht="13">
      <c r="A40" s="483"/>
      <c r="B40" s="459"/>
      <c r="C40" s="456"/>
      <c r="D40" s="569"/>
      <c r="E40" s="447"/>
      <c r="F40" s="447"/>
      <c r="G40" s="485" t="s">
        <v>51</v>
      </c>
      <c r="H40" s="486" t="s">
        <v>268</v>
      </c>
      <c r="I40" s="487" t="s">
        <v>748</v>
      </c>
      <c r="J40" s="453"/>
      <c r="K40" s="453"/>
      <c r="L40" s="453"/>
      <c r="M40" s="453"/>
    </row>
    <row r="41" spans="1:13" ht="13">
      <c r="A41" s="483"/>
      <c r="B41" s="459"/>
      <c r="C41" s="456"/>
      <c r="D41" s="569"/>
      <c r="E41" s="447"/>
      <c r="F41" s="447"/>
      <c r="G41" s="846" t="s">
        <v>1436</v>
      </c>
      <c r="H41" s="595">
        <f>-'K20'!BT361</f>
        <v>-3957.6</v>
      </c>
      <c r="I41" s="847">
        <f>H41*1000/Gdata!F60</f>
        <v>-0.73264128327000599</v>
      </c>
      <c r="J41" s="453"/>
      <c r="K41" s="453"/>
      <c r="L41" s="453"/>
      <c r="M41" s="453"/>
    </row>
    <row r="42" spans="1:13" ht="13.5">
      <c r="A42" s="643" t="s">
        <v>1209</v>
      </c>
      <c r="B42" s="459"/>
      <c r="C42" s="467"/>
      <c r="D42" s="459"/>
      <c r="E42" s="447"/>
      <c r="F42" s="459"/>
      <c r="G42" s="453"/>
      <c r="H42" s="453"/>
      <c r="I42" s="453"/>
      <c r="J42" s="453"/>
      <c r="K42" s="453"/>
      <c r="L42" s="453"/>
      <c r="M42" s="453"/>
    </row>
    <row r="43" spans="1:13" ht="13">
      <c r="A43" s="483" t="s">
        <v>1934</v>
      </c>
      <c r="B43" s="459"/>
      <c r="C43" s="456"/>
      <c r="D43" s="569">
        <f t="shared" ref="D43:D44" si="2">+E43/1.031</f>
        <v>56045.586808923377</v>
      </c>
      <c r="E43" s="447">
        <f>57783</f>
        <v>57783</v>
      </c>
      <c r="F43" s="459"/>
      <c r="G43" s="444" t="s">
        <v>1481</v>
      </c>
      <c r="H43" s="594"/>
      <c r="I43" s="444"/>
      <c r="J43" s="453"/>
      <c r="K43" s="453"/>
      <c r="L43" s="453"/>
      <c r="M43" s="453"/>
    </row>
    <row r="44" spans="1:13" ht="13">
      <c r="A44" s="483" t="s">
        <v>1935</v>
      </c>
      <c r="B44" s="459"/>
      <c r="C44" s="456"/>
      <c r="D44" s="569">
        <f t="shared" si="2"/>
        <v>-80399.612027158102</v>
      </c>
      <c r="E44" s="447">
        <v>-82892</v>
      </c>
      <c r="F44" s="459"/>
      <c r="G44" s="485" t="s">
        <v>51</v>
      </c>
      <c r="H44" s="486" t="s">
        <v>268</v>
      </c>
      <c r="I44" s="487" t="s">
        <v>748</v>
      </c>
      <c r="J44" s="453"/>
      <c r="K44" s="453"/>
      <c r="L44" s="453"/>
      <c r="M44" s="453"/>
    </row>
    <row r="45" spans="1:13" ht="13">
      <c r="A45" s="483"/>
      <c r="B45" s="459"/>
      <c r="C45" s="456"/>
      <c r="D45" s="569"/>
      <c r="E45" s="447"/>
      <c r="F45" s="459"/>
      <c r="G45" s="846">
        <v>2023</v>
      </c>
      <c r="H45" s="595">
        <f>-'K20'!BL361</f>
        <v>999623.18660000002</v>
      </c>
      <c r="I45" s="847">
        <f>H45*1000/Gdata!G60</f>
        <v>183.22237845577692</v>
      </c>
      <c r="J45" s="453"/>
      <c r="K45" s="453"/>
      <c r="L45" s="453"/>
      <c r="M45" s="453"/>
    </row>
    <row r="46" spans="1:13" ht="13">
      <c r="A46" s="483"/>
      <c r="B46" s="459"/>
      <c r="C46" s="456"/>
      <c r="D46" s="569"/>
      <c r="E46" s="447"/>
      <c r="F46" s="459"/>
      <c r="G46" s="453"/>
      <c r="H46" s="453"/>
      <c r="I46" s="453"/>
      <c r="J46" s="453"/>
      <c r="K46" s="453"/>
      <c r="L46" s="453"/>
      <c r="M46" s="453"/>
    </row>
    <row r="47" spans="1:13" ht="13">
      <c r="A47" s="483"/>
      <c r="B47" s="459"/>
      <c r="C47" s="456"/>
      <c r="D47" s="569"/>
      <c r="E47" s="447"/>
      <c r="F47" s="459"/>
      <c r="G47" s="444" t="s">
        <v>1497</v>
      </c>
      <c r="H47" s="594"/>
      <c r="I47" s="444"/>
      <c r="J47" s="453"/>
      <c r="K47" s="453"/>
      <c r="L47" s="453"/>
      <c r="M47" s="453"/>
    </row>
    <row r="48" spans="1:13" ht="13.5">
      <c r="A48" s="643" t="s">
        <v>1110</v>
      </c>
      <c r="B48" s="459"/>
      <c r="C48" s="456"/>
      <c r="D48" s="569"/>
      <c r="E48" s="447"/>
      <c r="F48" s="459"/>
      <c r="G48" s="485" t="s">
        <v>51</v>
      </c>
      <c r="H48" s="486" t="s">
        <v>268</v>
      </c>
      <c r="I48" s="487" t="s">
        <v>748</v>
      </c>
      <c r="J48" s="453"/>
      <c r="K48" s="453"/>
      <c r="L48" s="453"/>
      <c r="M48" s="453"/>
    </row>
    <row r="49" spans="1:13" ht="13">
      <c r="A49" s="483" t="s">
        <v>1427</v>
      </c>
      <c r="B49" s="459"/>
      <c r="C49" s="456"/>
      <c r="D49" s="569">
        <f t="shared" ref="D49:D51" si="3">+E49/1.031</f>
        <v>2238.6032977691561</v>
      </c>
      <c r="E49" s="447">
        <v>2308</v>
      </c>
      <c r="F49" s="459"/>
      <c r="G49" s="713">
        <v>2021</v>
      </c>
      <c r="H49" s="677">
        <f>+'K20'!AK361/2</f>
        <v>71499.999999969994</v>
      </c>
      <c r="I49" s="759">
        <f>H49*1000/Gdata!E60</f>
        <v>13.302337955657631</v>
      </c>
      <c r="J49" s="572"/>
      <c r="K49" s="453"/>
      <c r="L49" s="453"/>
      <c r="M49" s="453"/>
    </row>
    <row r="50" spans="1:13" ht="13">
      <c r="A50" s="483" t="s">
        <v>1924</v>
      </c>
      <c r="B50" s="459"/>
      <c r="C50" s="456"/>
      <c r="D50" s="569">
        <f t="shared" si="3"/>
        <v>-32205.625606207566</v>
      </c>
      <c r="E50" s="447">
        <v>-33204</v>
      </c>
      <c r="F50" s="459"/>
      <c r="G50" s="713">
        <v>2022</v>
      </c>
      <c r="H50" s="677">
        <f>+H49</f>
        <v>71499.999999969994</v>
      </c>
      <c r="I50" s="759">
        <f>H50*1000/Gdata!F60</f>
        <v>13.236267372595371</v>
      </c>
      <c r="J50" s="453"/>
      <c r="K50" s="453"/>
      <c r="L50" s="453"/>
      <c r="M50" s="453"/>
    </row>
    <row r="51" spans="1:13" ht="13">
      <c r="A51" s="483" t="s">
        <v>1894</v>
      </c>
      <c r="B51" s="459"/>
      <c r="C51" s="456"/>
      <c r="D51" s="569">
        <f t="shared" si="3"/>
        <v>1277237.6333656644</v>
      </c>
      <c r="E51" s="447">
        <v>1316832</v>
      </c>
      <c r="F51" s="459"/>
      <c r="G51" s="644">
        <v>2023</v>
      </c>
      <c r="H51" s="645">
        <f>+H50</f>
        <v>71499.999999969994</v>
      </c>
      <c r="I51" s="760">
        <f>H51*1000/Gdata!G60</f>
        <v>13.105338326675575</v>
      </c>
      <c r="J51" s="444"/>
      <c r="K51" s="453"/>
      <c r="L51" s="453"/>
      <c r="M51" s="453"/>
    </row>
    <row r="52" spans="1:13" ht="13">
      <c r="A52" s="483" t="s">
        <v>1928</v>
      </c>
      <c r="B52" s="459"/>
      <c r="C52" s="459"/>
      <c r="D52" s="491">
        <f t="shared" ref="D52" si="4">+E52/1.031</f>
        <v>-21679.922405431622</v>
      </c>
      <c r="E52" s="447">
        <v>-22352</v>
      </c>
      <c r="F52" s="459"/>
      <c r="G52" s="444"/>
      <c r="H52" s="444"/>
      <c r="I52" s="444"/>
      <c r="J52" s="444"/>
      <c r="K52" s="453"/>
      <c r="L52" s="453"/>
      <c r="M52" s="453"/>
    </row>
    <row r="53" spans="1:13" ht="13">
      <c r="A53" s="483"/>
      <c r="B53" s="459"/>
      <c r="C53" s="456"/>
      <c r="D53" s="569"/>
      <c r="E53" s="447"/>
      <c r="F53" s="459"/>
      <c r="G53" s="444" t="s">
        <v>1953</v>
      </c>
      <c r="H53" s="594"/>
      <c r="I53" s="444"/>
      <c r="J53" s="435"/>
      <c r="K53" s="453"/>
      <c r="L53" s="669"/>
      <c r="M53" s="453"/>
    </row>
    <row r="54" spans="1:13" ht="13">
      <c r="A54" s="483"/>
      <c r="B54" s="459"/>
      <c r="C54" s="456"/>
      <c r="D54" s="569"/>
      <c r="E54" s="447"/>
      <c r="F54" s="459"/>
      <c r="G54" s="485" t="s">
        <v>51</v>
      </c>
      <c r="H54" s="486" t="s">
        <v>268</v>
      </c>
      <c r="I54" s="487" t="s">
        <v>748</v>
      </c>
      <c r="J54" s="451"/>
      <c r="K54" s="669"/>
      <c r="L54" s="444"/>
      <c r="M54" s="453"/>
    </row>
    <row r="55" spans="1:13" ht="13">
      <c r="A55" s="483"/>
      <c r="B55" s="459"/>
      <c r="C55" s="456"/>
      <c r="D55" s="459"/>
      <c r="E55" s="447"/>
      <c r="F55" s="447"/>
      <c r="G55" s="846">
        <v>2021</v>
      </c>
      <c r="H55" s="595">
        <f>139700-58200</f>
        <v>81500</v>
      </c>
      <c r="I55" s="847">
        <f>H55*1000/Gdata!E60</f>
        <v>15.162804802609118</v>
      </c>
      <c r="J55" s="683"/>
      <c r="K55" s="444"/>
      <c r="L55" s="680"/>
      <c r="M55" s="453"/>
    </row>
    <row r="56" spans="1:13" ht="13">
      <c r="A56" s="464" t="s">
        <v>1494</v>
      </c>
      <c r="B56" s="464"/>
      <c r="C56" s="469"/>
      <c r="D56" s="470">
        <f>D17+D24+D25+D26+D27+D28+D29+D30+D31+D32+D33+D34+D35+D36+D37+D38+D42+D43+D44+D45+D46+D47+D48+D49+D50+D51+D52+D53+D54</f>
        <v>138719232.29391763</v>
      </c>
      <c r="E56" s="536">
        <v>138719232</v>
      </c>
      <c r="F56" s="536">
        <f>+E56-D56</f>
        <v>-0.29391762614250183</v>
      </c>
      <c r="G56" s="444"/>
      <c r="H56" s="444"/>
      <c r="I56" s="444"/>
      <c r="J56" s="444"/>
      <c r="K56" s="444"/>
      <c r="L56" s="567"/>
      <c r="M56" s="453"/>
    </row>
    <row r="57" spans="1:13">
      <c r="A57" s="456"/>
      <c r="B57" s="456"/>
      <c r="C57" s="456"/>
      <c r="D57" s="459"/>
      <c r="E57" s="447"/>
      <c r="F57" s="447"/>
      <c r="G57" s="444" t="s">
        <v>1954</v>
      </c>
      <c r="H57" s="594"/>
      <c r="I57" s="444"/>
      <c r="J57" s="444"/>
      <c r="K57" s="525"/>
      <c r="L57" s="669"/>
      <c r="M57" s="453"/>
    </row>
    <row r="58" spans="1:13" ht="13">
      <c r="A58" s="489" t="s">
        <v>1479</v>
      </c>
      <c r="B58" s="490">
        <v>3.1E-2</v>
      </c>
      <c r="C58" s="456"/>
      <c r="D58" s="459">
        <f>ROUND(D56*B58,0)</f>
        <v>4300296</v>
      </c>
      <c r="E58" s="447"/>
      <c r="F58" s="436"/>
      <c r="G58" s="485" t="s">
        <v>51</v>
      </c>
      <c r="H58" s="486" t="s">
        <v>268</v>
      </c>
      <c r="I58" s="487" t="s">
        <v>748</v>
      </c>
      <c r="J58" s="524"/>
      <c r="K58" s="525"/>
      <c r="L58" s="669"/>
      <c r="M58" s="453"/>
    </row>
    <row r="59" spans="1:13" ht="13">
      <c r="A59" s="338" t="s">
        <v>2518</v>
      </c>
      <c r="B59" s="490"/>
      <c r="C59" s="456"/>
      <c r="D59" s="459"/>
      <c r="E59" s="447"/>
      <c r="F59" s="436"/>
      <c r="G59" s="846">
        <v>2021</v>
      </c>
      <c r="H59" s="595">
        <f>50400-21000</f>
        <v>29400</v>
      </c>
      <c r="I59" s="847">
        <f>H59*1000/Gdata!E60</f>
        <v>5.4697725300209585</v>
      </c>
      <c r="J59" s="681"/>
      <c r="K59" s="682"/>
      <c r="L59" s="444"/>
      <c r="M59" s="453"/>
    </row>
    <row r="60" spans="1:13" ht="13">
      <c r="A60" s="338"/>
      <c r="B60" s="490"/>
      <c r="C60" s="456"/>
      <c r="D60" s="459"/>
      <c r="E60" s="447"/>
      <c r="F60" s="447"/>
      <c r="G60" s="444"/>
      <c r="H60" s="444"/>
      <c r="I60" s="444"/>
      <c r="J60" s="444"/>
      <c r="K60" s="444"/>
      <c r="L60" s="444"/>
      <c r="M60" s="453"/>
    </row>
    <row r="61" spans="1:13">
      <c r="A61" s="489" t="s">
        <v>1480</v>
      </c>
      <c r="B61" s="471"/>
      <c r="C61" s="456"/>
      <c r="D61" s="459">
        <v>-912739</v>
      </c>
      <c r="E61" s="437"/>
      <c r="F61" s="437"/>
      <c r="G61" s="524"/>
      <c r="H61" s="524"/>
      <c r="I61" s="524"/>
      <c r="J61" s="524"/>
      <c r="K61" s="525"/>
      <c r="L61" s="669"/>
      <c r="M61" s="453"/>
    </row>
    <row r="62" spans="1:13" ht="13">
      <c r="A62" s="464" t="s">
        <v>1493</v>
      </c>
      <c r="B62" s="464"/>
      <c r="C62" s="464"/>
      <c r="D62" s="470">
        <f>D58+D56+D61</f>
        <v>142106789.29391763</v>
      </c>
      <c r="E62" s="536">
        <v>142106789</v>
      </c>
      <c r="F62" s="688">
        <f>+E62-D62</f>
        <v>-0.29391762614250183</v>
      </c>
      <c r="G62" s="524"/>
      <c r="H62" s="524"/>
      <c r="I62" s="524"/>
      <c r="J62" s="524"/>
      <c r="K62" s="525"/>
      <c r="L62" s="669"/>
      <c r="M62" s="453"/>
    </row>
    <row r="63" spans="1:13" ht="13">
      <c r="A63" s="472" t="s">
        <v>337</v>
      </c>
      <c r="B63" s="473"/>
      <c r="C63" s="473"/>
      <c r="D63" s="474"/>
      <c r="E63" s="447"/>
      <c r="F63" s="436"/>
      <c r="G63" s="453"/>
      <c r="H63" s="453"/>
      <c r="I63" s="453"/>
      <c r="J63" s="524"/>
      <c r="K63" s="525"/>
      <c r="L63" s="669"/>
      <c r="M63" s="453"/>
    </row>
    <row r="64" spans="1:13" ht="13">
      <c r="A64" s="758"/>
      <c r="B64" s="473"/>
      <c r="C64" s="473"/>
      <c r="D64" s="474"/>
      <c r="E64" s="616" t="s">
        <v>1472</v>
      </c>
      <c r="F64" s="616" t="s">
        <v>1056</v>
      </c>
      <c r="G64" s="616" t="s">
        <v>748</v>
      </c>
      <c r="H64" s="453"/>
      <c r="I64" s="454"/>
      <c r="J64" s="524"/>
      <c r="K64" s="525"/>
      <c r="L64" s="680"/>
      <c r="M64" s="453"/>
    </row>
    <row r="65" spans="1:13">
      <c r="A65" s="489" t="s">
        <v>965</v>
      </c>
      <c r="B65" s="473"/>
      <c r="C65" s="524"/>
      <c r="D65" s="491">
        <v>451364</v>
      </c>
      <c r="E65" s="531">
        <v>435300</v>
      </c>
      <c r="F65" s="531">
        <f>D65-E65</f>
        <v>16064</v>
      </c>
      <c r="G65" s="531">
        <f>F65*1000/D78</f>
        <v>3.0050124070871451</v>
      </c>
      <c r="H65" s="454"/>
      <c r="I65" s="767"/>
      <c r="J65" s="681"/>
      <c r="K65" s="682"/>
      <c r="L65" s="567"/>
      <c r="M65" s="453"/>
    </row>
    <row r="66" spans="1:13">
      <c r="A66" s="456" t="s">
        <v>352</v>
      </c>
      <c r="B66" s="473"/>
      <c r="C66" s="473"/>
      <c r="D66" s="491">
        <v>203885</v>
      </c>
      <c r="E66" s="531">
        <v>231934</v>
      </c>
      <c r="F66" s="531">
        <f t="shared" ref="F66:F75" si="5">D66-E66</f>
        <v>-28049</v>
      </c>
      <c r="G66" s="531">
        <f>F66*1000/D78</f>
        <v>-5.2469866164334746</v>
      </c>
      <c r="H66" s="454"/>
      <c r="I66" s="454"/>
      <c r="J66" s="453"/>
      <c r="K66" s="831"/>
      <c r="L66" s="453"/>
      <c r="M66" s="453"/>
    </row>
    <row r="67" spans="1:13">
      <c r="A67" s="489" t="s">
        <v>1177</v>
      </c>
      <c r="B67" s="456"/>
      <c r="C67" s="489"/>
      <c r="D67" s="491">
        <f>333715+455027</f>
        <v>788742</v>
      </c>
      <c r="E67" s="531">
        <v>929487</v>
      </c>
      <c r="F67" s="531">
        <f t="shared" si="5"/>
        <v>-140745</v>
      </c>
      <c r="G67" s="531">
        <f>F67*1000/D78</f>
        <v>-26.328465589858084</v>
      </c>
      <c r="H67" s="454"/>
      <c r="I67" s="453"/>
      <c r="J67" s="449"/>
      <c r="K67" s="832"/>
      <c r="L67" s="669"/>
      <c r="M67" s="453"/>
    </row>
    <row r="68" spans="1:13">
      <c r="A68" s="456" t="s">
        <v>764</v>
      </c>
      <c r="B68" s="456"/>
      <c r="C68" s="489"/>
      <c r="D68" s="491">
        <f>1084000</f>
        <v>1084000</v>
      </c>
      <c r="E68" s="531">
        <v>1237000</v>
      </c>
      <c r="F68" s="531">
        <f>D68-E68</f>
        <v>-153000</v>
      </c>
      <c r="G68" s="531">
        <f>F68*1000/D78</f>
        <v>-28.620947353357398</v>
      </c>
      <c r="H68" s="454"/>
      <c r="I68" s="453"/>
      <c r="J68" s="449"/>
      <c r="K68" s="833"/>
      <c r="L68" s="444"/>
      <c r="M68" s="453"/>
    </row>
    <row r="69" spans="1:13">
      <c r="A69" s="489" t="s">
        <v>1426</v>
      </c>
      <c r="B69" s="456"/>
      <c r="C69" s="489"/>
      <c r="D69" s="491">
        <v>1749942</v>
      </c>
      <c r="E69" s="531">
        <v>1695462</v>
      </c>
      <c r="F69" s="531">
        <f t="shared" si="5"/>
        <v>54480</v>
      </c>
      <c r="G69" s="531">
        <f>F69*1000/D78</f>
        <v>10.19130203797981</v>
      </c>
      <c r="H69" s="454"/>
      <c r="I69" s="453"/>
      <c r="J69" s="449"/>
      <c r="K69" s="833"/>
      <c r="L69" s="680"/>
      <c r="M69" s="453"/>
    </row>
    <row r="70" spans="1:13">
      <c r="A70" s="456" t="s">
        <v>765</v>
      </c>
      <c r="B70" s="456"/>
      <c r="C70" s="489"/>
      <c r="D70" s="491">
        <v>581233</v>
      </c>
      <c r="E70" s="531">
        <v>508768</v>
      </c>
      <c r="F70" s="531">
        <f t="shared" si="5"/>
        <v>72465</v>
      </c>
      <c r="G70" s="531">
        <f>F70*1000/D78</f>
        <v>13.555666339614664</v>
      </c>
      <c r="H70" s="454"/>
      <c r="I70" s="453"/>
      <c r="J70" s="449"/>
      <c r="K70" s="682"/>
      <c r="L70" s="567"/>
      <c r="M70" s="453"/>
    </row>
    <row r="71" spans="1:13">
      <c r="A71" s="489" t="s">
        <v>1295</v>
      </c>
      <c r="B71" s="456"/>
      <c r="C71" s="456"/>
      <c r="D71" s="491">
        <v>196855</v>
      </c>
      <c r="E71" s="531">
        <v>200000</v>
      </c>
      <c r="F71" s="531">
        <f>D71-E71</f>
        <v>-3145</v>
      </c>
      <c r="G71" s="531">
        <f>F71*1000/D78</f>
        <v>-0.58831947337456869</v>
      </c>
      <c r="H71" s="454"/>
      <c r="I71" s="453"/>
      <c r="J71" s="449"/>
      <c r="K71" s="682"/>
      <c r="L71" s="567"/>
      <c r="M71" s="453"/>
    </row>
    <row r="72" spans="1:13">
      <c r="A72" s="489" t="s">
        <v>1074</v>
      </c>
      <c r="B72" s="456"/>
      <c r="C72" s="456"/>
      <c r="D72" s="491">
        <v>1383875.1813970001</v>
      </c>
      <c r="E72" s="531">
        <v>203329.29281477001</v>
      </c>
      <c r="F72" s="531">
        <f t="shared" si="5"/>
        <v>1180545.8885822301</v>
      </c>
      <c r="G72" s="531">
        <f>F72*1000/D78</f>
        <v>220.83883480610805</v>
      </c>
      <c r="H72" s="454"/>
      <c r="I72" s="453"/>
      <c r="J72" s="449"/>
      <c r="K72" s="831"/>
      <c r="L72" s="453"/>
      <c r="M72" s="453"/>
    </row>
    <row r="73" spans="1:13">
      <c r="A73" s="489" t="s">
        <v>1075</v>
      </c>
      <c r="B73" s="456"/>
      <c r="C73" s="456"/>
      <c r="D73" s="491">
        <v>-19350</v>
      </c>
      <c r="E73" s="531">
        <v>-19350</v>
      </c>
      <c r="F73" s="531">
        <f t="shared" si="5"/>
        <v>0</v>
      </c>
      <c r="G73" s="531">
        <f>F73*1000/D78</f>
        <v>0</v>
      </c>
      <c r="H73" s="454"/>
      <c r="I73" s="453"/>
      <c r="J73" s="449"/>
      <c r="K73" s="453"/>
      <c r="L73" s="453"/>
      <c r="M73" s="453"/>
    </row>
    <row r="74" spans="1:13">
      <c r="A74" s="489" t="s">
        <v>1142</v>
      </c>
      <c r="B74" s="456"/>
      <c r="C74" s="456"/>
      <c r="D74" s="491">
        <v>57426.646765550002</v>
      </c>
      <c r="E74" s="531">
        <v>77359.025160000005</v>
      </c>
      <c r="F74" s="531">
        <f t="shared" si="5"/>
        <v>-19932.378394450003</v>
      </c>
      <c r="G74" s="531">
        <f>F74*1000/D78</f>
        <v>-3.7286506709460912</v>
      </c>
      <c r="H74" s="454"/>
      <c r="I74" s="453"/>
      <c r="J74" s="449"/>
      <c r="K74" s="834"/>
      <c r="L74" s="669"/>
      <c r="M74" s="453"/>
    </row>
    <row r="75" spans="1:13">
      <c r="A75" s="489" t="s">
        <v>1138</v>
      </c>
      <c r="B75" s="456"/>
      <c r="C75" s="456"/>
      <c r="D75" s="491">
        <v>-999623.18660000002</v>
      </c>
      <c r="E75" s="531">
        <v>-1078606.6762572699</v>
      </c>
      <c r="F75" s="531">
        <f t="shared" si="5"/>
        <v>78983.489657269907</v>
      </c>
      <c r="G75" s="531">
        <f>F75*1000/D78</f>
        <v>14.775047707615494</v>
      </c>
      <c r="H75" s="454"/>
      <c r="I75" s="453"/>
      <c r="J75" s="449"/>
      <c r="K75" s="444"/>
      <c r="L75" s="444"/>
      <c r="M75" s="453"/>
    </row>
    <row r="76" spans="1:13">
      <c r="A76" s="489" t="s">
        <v>1937</v>
      </c>
      <c r="B76" s="456"/>
      <c r="C76" s="456"/>
      <c r="D76" s="491">
        <f>904578.26037586-29776.05754099+3957.6+142999.99999994+1316831.9949998+200201.64612357</f>
        <v>2538793.44395818</v>
      </c>
      <c r="E76" s="531">
        <v>1281246.8108078202</v>
      </c>
      <c r="F76" s="531">
        <f>D76-E76</f>
        <v>1257546.6331503598</v>
      </c>
      <c r="G76" s="531">
        <f>F76*1000/D78</f>
        <v>235.24298027312611</v>
      </c>
      <c r="H76" s="454"/>
      <c r="I76" s="453"/>
      <c r="J76" s="449"/>
      <c r="K76" s="444"/>
      <c r="L76" s="444"/>
      <c r="M76" s="453"/>
    </row>
    <row r="77" spans="1:13" ht="13">
      <c r="A77" s="464" t="s">
        <v>1495</v>
      </c>
      <c r="B77" s="464"/>
      <c r="C77" s="464"/>
      <c r="D77" s="812">
        <f>+D62-D65-D66-D67-D68-D69-D70-D72-D73-D74-D75-D71-D76</f>
        <v>134089646.2083969</v>
      </c>
      <c r="E77" s="437"/>
      <c r="F77" s="437">
        <f>SUM(F65:F76)</f>
        <v>2315213.6329954099</v>
      </c>
      <c r="G77" s="437">
        <f>SUM(G65:G76)</f>
        <v>433.09547386756162</v>
      </c>
      <c r="H77" s="454"/>
      <c r="I77" s="453"/>
      <c r="J77" s="449"/>
      <c r="K77" s="444"/>
      <c r="L77" s="444"/>
      <c r="M77" s="453"/>
    </row>
    <row r="78" spans="1:13" ht="13">
      <c r="A78" s="475" t="s">
        <v>1896</v>
      </c>
      <c r="B78" s="475"/>
      <c r="C78" s="475"/>
      <c r="D78" s="476">
        <f>Gdata!D60</f>
        <v>5345735</v>
      </c>
      <c r="E78" s="449"/>
      <c r="F78" s="615"/>
      <c r="G78" s="455" t="s">
        <v>1124</v>
      </c>
      <c r="H78" s="453"/>
      <c r="I78" s="453"/>
      <c r="J78" s="449"/>
      <c r="K78" s="444"/>
      <c r="L78" s="444"/>
      <c r="M78" s="453"/>
    </row>
    <row r="79" spans="1:13" ht="13.5" thickBot="1">
      <c r="A79" s="477" t="s">
        <v>1496</v>
      </c>
      <c r="B79" s="477"/>
      <c r="C79" s="477"/>
      <c r="D79" s="478">
        <f>D77*1000/D78</f>
        <v>25083.481730463052</v>
      </c>
      <c r="E79" s="620"/>
      <c r="F79" s="656"/>
      <c r="G79" s="656">
        <f>G65+G66+G67+G69+G70+G72+G74+G75+G71+G76</f>
        <v>461.71642122091907</v>
      </c>
      <c r="H79" s="453" t="s">
        <v>1090</v>
      </c>
      <c r="I79" s="453"/>
      <c r="J79" s="449"/>
      <c r="K79" s="682"/>
      <c r="L79" s="680"/>
      <c r="M79" s="453"/>
    </row>
    <row r="80" spans="1:13" ht="13">
      <c r="A80" s="451"/>
      <c r="B80" s="451"/>
      <c r="C80" s="451"/>
      <c r="D80" s="452"/>
      <c r="E80" s="447"/>
      <c r="F80" s="447"/>
      <c r="G80" s="572">
        <f>(((D65+D66+D67+D69+D70+D72+D74+D75+D71+D76)/(1+B58))-(SUM(E65:E76)-E68-E73))*1000/D78</f>
        <v>422.61107204007862</v>
      </c>
      <c r="H80" s="453" t="s">
        <v>1089</v>
      </c>
      <c r="I80" s="453"/>
      <c r="J80" s="733"/>
      <c r="K80" s="682"/>
      <c r="L80" s="567"/>
      <c r="M80" s="453"/>
    </row>
    <row r="81" spans="1:13">
      <c r="A81" s="436"/>
      <c r="B81" s="436"/>
      <c r="C81" s="436"/>
      <c r="D81" s="848"/>
      <c r="E81" s="447"/>
      <c r="F81" s="436"/>
      <c r="G81" s="572">
        <f>((D68+D73)/(1+B58)-(E68+E73))*1000/D78</f>
        <v>-34.609232345986591</v>
      </c>
      <c r="H81" s="453" t="s">
        <v>1091</v>
      </c>
      <c r="I81" s="453"/>
      <c r="J81" s="453"/>
      <c r="K81" s="453"/>
      <c r="L81" s="453"/>
      <c r="M81" s="453"/>
    </row>
    <row r="82" spans="1:13">
      <c r="A82" s="669"/>
      <c r="B82" s="474"/>
      <c r="C82" s="473"/>
      <c r="D82" s="849"/>
      <c r="E82" s="447"/>
      <c r="F82" s="436"/>
      <c r="G82" s="454">
        <f>(F65+F66+F67+F69+F70+F72+F74+F75+F71+F76)</f>
        <v>2468213.6329954099</v>
      </c>
      <c r="H82" s="489" t="s">
        <v>1125</v>
      </c>
      <c r="I82" s="453"/>
      <c r="J82" s="453"/>
      <c r="K82" s="453"/>
      <c r="L82" s="453"/>
      <c r="M82" s="453"/>
    </row>
    <row r="83" spans="1:13">
      <c r="A83" s="669"/>
      <c r="B83" s="474"/>
      <c r="C83" s="473"/>
      <c r="D83" s="856">
        <f>+D61/D56</f>
        <v>-6.5797581554235618E-3</v>
      </c>
      <c r="E83" s="447"/>
      <c r="F83" s="436"/>
      <c r="G83" s="454">
        <f>(((D65+D66+D67+D69+D70+D72+D74+D75+D71+D76)/(1+B58))-(SUM(E65:E76)-E68-E73))</f>
        <v>2259166.7991921697</v>
      </c>
      <c r="H83" s="489" t="s">
        <v>1139</v>
      </c>
      <c r="I83" s="453"/>
      <c r="J83" s="453"/>
      <c r="K83" s="453"/>
      <c r="L83" s="453"/>
      <c r="M83" s="453"/>
    </row>
    <row r="84" spans="1:13">
      <c r="A84" s="669"/>
      <c r="B84" s="669"/>
      <c r="C84" s="669"/>
      <c r="D84" s="567"/>
      <c r="E84" s="436"/>
      <c r="F84" s="436"/>
      <c r="G84" s="454">
        <f>(D68+D73)/(1+B58)-(E68+E73)</f>
        <v>-185011.78467507265</v>
      </c>
      <c r="H84" s="489" t="s">
        <v>1140</v>
      </c>
      <c r="I84" s="453"/>
      <c r="J84" s="453"/>
      <c r="K84" s="453"/>
      <c r="L84" s="453"/>
      <c r="M84" s="453"/>
    </row>
    <row r="85" spans="1:13">
      <c r="A85" s="524"/>
      <c r="B85" s="669"/>
      <c r="C85" s="669"/>
      <c r="D85" s="834"/>
      <c r="E85" s="792"/>
      <c r="F85" s="453"/>
      <c r="G85" s="454"/>
      <c r="H85" s="453"/>
      <c r="I85" s="453"/>
      <c r="J85" s="453"/>
      <c r="K85" s="453"/>
      <c r="L85" s="453"/>
      <c r="M85" s="453"/>
    </row>
    <row r="86" spans="1:13">
      <c r="A86" s="669"/>
      <c r="B86" s="669"/>
      <c r="C86" s="669"/>
      <c r="D86" s="835"/>
      <c r="E86" s="454"/>
      <c r="F86" s="454"/>
      <c r="G86" s="454"/>
      <c r="H86" s="454"/>
      <c r="I86" s="454"/>
      <c r="J86" s="454"/>
      <c r="K86" s="453"/>
      <c r="L86" s="453"/>
      <c r="M86" s="453"/>
    </row>
    <row r="87" spans="1:13">
      <c r="A87" s="669"/>
      <c r="B87" s="669"/>
      <c r="C87" s="669"/>
      <c r="D87" s="841"/>
      <c r="E87" s="454"/>
      <c r="F87" s="453"/>
      <c r="G87" s="454"/>
      <c r="H87" s="454"/>
      <c r="I87" s="454"/>
      <c r="J87" s="454"/>
      <c r="K87" s="453"/>
      <c r="L87" s="453"/>
      <c r="M87" s="453"/>
    </row>
    <row r="88" spans="1:13">
      <c r="A88" s="669"/>
      <c r="B88" s="669"/>
      <c r="C88" s="669"/>
      <c r="D88" s="834"/>
      <c r="E88" s="454"/>
      <c r="F88" s="453"/>
      <c r="G88" s="454"/>
      <c r="H88" s="454"/>
      <c r="I88" s="454"/>
      <c r="J88" s="454"/>
      <c r="K88" s="453"/>
      <c r="L88" s="453"/>
      <c r="M88" s="453"/>
    </row>
    <row r="89" spans="1:13">
      <c r="A89" s="669"/>
      <c r="B89" s="474"/>
      <c r="C89" s="473"/>
      <c r="D89" s="677"/>
      <c r="E89" s="454"/>
      <c r="F89" s="453"/>
      <c r="G89" s="454"/>
      <c r="H89" s="454"/>
      <c r="I89" s="454"/>
      <c r="J89" s="454"/>
      <c r="K89" s="453"/>
      <c r="L89" s="453"/>
      <c r="M89" s="453"/>
    </row>
    <row r="90" spans="1:13">
      <c r="A90" s="669"/>
      <c r="B90" s="669"/>
      <c r="C90" s="669"/>
      <c r="D90" s="834"/>
      <c r="E90" s="453"/>
      <c r="F90" s="453"/>
      <c r="G90" s="454"/>
      <c r="H90" s="454"/>
      <c r="I90" s="454"/>
      <c r="J90" s="454"/>
      <c r="K90" s="453"/>
      <c r="L90" s="453"/>
      <c r="M90" s="453"/>
    </row>
    <row r="91" spans="1:13">
      <c r="A91" s="524"/>
      <c r="B91" s="669"/>
      <c r="C91" s="669"/>
      <c r="D91" s="834"/>
      <c r="E91" s="453"/>
      <c r="F91" s="453"/>
      <c r="G91" s="454"/>
      <c r="H91" s="454"/>
      <c r="I91" s="454"/>
      <c r="J91" s="454"/>
      <c r="K91" s="453"/>
      <c r="L91" s="453"/>
      <c r="M91" s="453"/>
    </row>
    <row r="92" spans="1:13">
      <c r="A92" s="526"/>
      <c r="F92" s="453"/>
      <c r="G92" s="454"/>
      <c r="H92" s="454"/>
      <c r="I92" s="454"/>
      <c r="J92" s="454"/>
      <c r="K92" s="453"/>
      <c r="L92" s="453"/>
      <c r="M92" s="453"/>
    </row>
    <row r="93" spans="1:13">
      <c r="J93" s="453"/>
      <c r="K93" s="453"/>
      <c r="L93" s="453"/>
      <c r="M93" s="453"/>
    </row>
    <row r="94" spans="1:13">
      <c r="D94" s="811">
        <f>+D79/'R19'!D74-1</f>
        <v>1.5128147818803672E-2</v>
      </c>
      <c r="E94" s="5"/>
      <c r="M94" s="453"/>
    </row>
    <row r="95" spans="1:13">
      <c r="E95" s="5"/>
    </row>
    <row r="96" spans="1:13">
      <c r="E96" s="5"/>
    </row>
    <row r="97" spans="5:5">
      <c r="E97" s="5"/>
    </row>
    <row r="98" spans="5:5">
      <c r="E98" s="517"/>
    </row>
    <row r="99" spans="5:5">
      <c r="E99" s="5"/>
    </row>
    <row r="101" spans="5:5">
      <c r="E101" s="5"/>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30" width="18.54296875" customWidth="1"/>
  </cols>
  <sheetData>
    <row r="1" spans="1:30" ht="23">
      <c r="A1" s="125" t="s">
        <v>2522</v>
      </c>
      <c r="B1" s="61"/>
      <c r="C1" s="61"/>
      <c r="D1" s="125"/>
      <c r="E1" s="125"/>
      <c r="F1" s="125"/>
      <c r="G1" s="61"/>
      <c r="H1" s="61"/>
      <c r="I1" s="61"/>
      <c r="J1" s="61"/>
      <c r="K1" s="74" t="s">
        <v>719</v>
      </c>
      <c r="L1" s="61"/>
    </row>
    <row r="2" spans="1:30">
      <c r="A2" s="61"/>
      <c r="B2" s="61"/>
      <c r="C2" s="61"/>
      <c r="D2" s="61"/>
      <c r="E2" s="61"/>
      <c r="F2" s="61"/>
      <c r="G2" s="61"/>
      <c r="H2" s="61"/>
      <c r="I2" s="61"/>
      <c r="J2" s="61"/>
      <c r="K2" s="61"/>
      <c r="L2" s="61"/>
    </row>
    <row r="3" spans="1:30" ht="15.5">
      <c r="A3" s="80" t="s">
        <v>2111</v>
      </c>
      <c r="B3" s="60"/>
      <c r="C3" s="60"/>
      <c r="D3" s="60"/>
      <c r="E3" s="80"/>
      <c r="F3" s="80"/>
      <c r="G3" s="61"/>
      <c r="H3" s="61"/>
      <c r="I3" s="61"/>
      <c r="J3" s="61"/>
      <c r="K3" s="61"/>
      <c r="L3" s="61"/>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2042</v>
      </c>
      <c r="B5" s="458"/>
      <c r="C5" s="455"/>
      <c r="D5" s="459">
        <f>+'R20'!D62</f>
        <v>142106789.29391763</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94" t="s">
        <v>1990</v>
      </c>
      <c r="B6" s="458"/>
      <c r="C6" s="455"/>
      <c r="D6" s="459"/>
      <c r="E6" s="436"/>
      <c r="F6" s="436"/>
      <c r="G6" s="642" t="s">
        <v>2051</v>
      </c>
      <c r="H6" s="534"/>
      <c r="I6" s="533">
        <f>+D6</f>
        <v>0</v>
      </c>
      <c r="J6" s="436"/>
      <c r="K6" s="436"/>
      <c r="L6" s="436"/>
      <c r="M6" s="453"/>
      <c r="N6" s="453"/>
      <c r="O6" s="453"/>
      <c r="P6" s="453"/>
      <c r="Q6" s="453"/>
      <c r="R6" s="453"/>
      <c r="S6" s="453"/>
      <c r="T6" s="453"/>
      <c r="U6" s="453"/>
      <c r="V6" s="453"/>
      <c r="W6" s="453"/>
      <c r="X6" s="453"/>
      <c r="Y6" s="453"/>
      <c r="Z6" s="453"/>
      <c r="AA6" s="453"/>
      <c r="AB6" s="453"/>
      <c r="AC6" s="453"/>
      <c r="AD6" s="453"/>
    </row>
    <row r="7" spans="1:30" ht="13">
      <c r="B7" s="458"/>
      <c r="C7" s="455"/>
      <c r="D7" s="459"/>
      <c r="E7" s="436"/>
      <c r="F7" s="436"/>
      <c r="G7" s="441" t="s">
        <v>964</v>
      </c>
      <c r="H7" s="730">
        <f>I6*1000/Gdata!E60</f>
        <v>0</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974" t="s">
        <v>1993</v>
      </c>
      <c r="B8" s="458"/>
      <c r="C8" s="455"/>
      <c r="D8" s="459"/>
      <c r="E8" s="436"/>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1991</v>
      </c>
      <c r="B9" s="458"/>
      <c r="C9" s="455"/>
      <c r="D9" s="459">
        <v>250000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1992</v>
      </c>
      <c r="B10" s="460"/>
      <c r="D10" s="459">
        <v>150000</v>
      </c>
      <c r="E10" s="447"/>
      <c r="F10" s="436"/>
      <c r="G10" s="642" t="s">
        <v>2047</v>
      </c>
      <c r="H10" s="534"/>
      <c r="I10" s="533">
        <f>D9+D10+D11+D12+D15+D20+D23-D61</f>
        <v>6266602</v>
      </c>
      <c r="J10" s="436"/>
      <c r="K10" s="436"/>
      <c r="L10" s="436"/>
      <c r="M10" s="453"/>
      <c r="N10" s="453"/>
      <c r="O10" s="453"/>
      <c r="P10" s="453"/>
      <c r="Q10" s="453"/>
      <c r="R10" s="453"/>
      <c r="S10" s="453"/>
      <c r="T10" s="453"/>
      <c r="U10" s="453"/>
      <c r="V10" s="453"/>
      <c r="W10" s="453"/>
      <c r="X10" s="453"/>
      <c r="Y10" s="453"/>
      <c r="Z10" s="453"/>
      <c r="AA10" s="453"/>
      <c r="AB10" s="453"/>
      <c r="AC10" s="453"/>
      <c r="AD10" s="453"/>
    </row>
    <row r="11" spans="1:30" ht="13">
      <c r="A11" s="460" t="s">
        <v>1994</v>
      </c>
      <c r="B11" s="460"/>
      <c r="C11" s="455"/>
      <c r="D11" s="459">
        <v>3750000</v>
      </c>
      <c r="E11" s="436"/>
      <c r="F11" s="436"/>
      <c r="G11" s="441" t="s">
        <v>964</v>
      </c>
      <c r="H11" s="730">
        <f>I10*1000/Gdata!E60</f>
        <v>1165.8805264004898</v>
      </c>
      <c r="I11" s="588"/>
      <c r="J11" s="436"/>
      <c r="K11" s="436"/>
      <c r="L11" s="436"/>
      <c r="M11" s="453"/>
      <c r="N11" s="453"/>
      <c r="O11" s="453"/>
      <c r="P11" s="453"/>
      <c r="Q11" s="453"/>
      <c r="R11" s="453"/>
      <c r="S11" s="453"/>
      <c r="T11" s="453"/>
      <c r="U11" s="453"/>
      <c r="V11" s="453"/>
      <c r="W11" s="453"/>
      <c r="X11" s="453"/>
      <c r="Y11" s="453"/>
      <c r="Z11" s="453"/>
      <c r="AA11" s="453"/>
      <c r="AB11" s="453"/>
      <c r="AC11" s="453"/>
      <c r="AD11" s="453"/>
    </row>
    <row r="12" spans="1:30" ht="13">
      <c r="A12" s="460" t="s">
        <v>1996</v>
      </c>
      <c r="B12" s="460"/>
      <c r="C12" s="455"/>
      <c r="D12" s="459">
        <v>1000000</v>
      </c>
      <c r="E12" s="447"/>
      <c r="F12" s="436"/>
      <c r="G12" s="450"/>
      <c r="H12" s="463"/>
      <c r="I12" s="463"/>
      <c r="J12" s="436"/>
      <c r="K12" s="436"/>
      <c r="L12" s="436"/>
      <c r="M12" s="453"/>
      <c r="N12" s="453"/>
      <c r="O12" s="453"/>
      <c r="P12" s="453"/>
      <c r="Q12" s="453"/>
      <c r="R12" s="453"/>
      <c r="S12" s="453"/>
      <c r="T12" s="453"/>
      <c r="U12" s="453"/>
      <c r="V12" s="453"/>
      <c r="W12" s="453"/>
      <c r="X12" s="453"/>
      <c r="Y12" s="453"/>
      <c r="Z12" s="453"/>
      <c r="AA12" s="453"/>
      <c r="AB12" s="453"/>
      <c r="AC12" s="453"/>
      <c r="AD12" s="453"/>
    </row>
    <row r="13" spans="1:30" ht="13">
      <c r="A13" s="460"/>
      <c r="B13" s="460"/>
      <c r="C13" s="455"/>
      <c r="D13" s="459"/>
      <c r="E13" s="447"/>
      <c r="F13" s="436"/>
      <c r="G13" s="436"/>
      <c r="H13" s="436"/>
      <c r="I13" s="532" t="s">
        <v>268</v>
      </c>
      <c r="J13" s="436"/>
      <c r="K13" s="436"/>
      <c r="L13" s="436"/>
      <c r="M13" s="453"/>
      <c r="N13" s="453"/>
      <c r="O13" s="453"/>
      <c r="P13" s="453"/>
      <c r="Q13" s="453"/>
      <c r="R13" s="453"/>
      <c r="S13" s="453"/>
      <c r="T13" s="453"/>
      <c r="U13" s="453"/>
      <c r="V13" s="453"/>
      <c r="W13" s="453"/>
      <c r="X13" s="453"/>
      <c r="Y13" s="453"/>
      <c r="Z13" s="453"/>
      <c r="AA13" s="453"/>
      <c r="AB13" s="453"/>
      <c r="AC13" s="453"/>
      <c r="AD13" s="453"/>
    </row>
    <row r="14" spans="1:30" ht="13">
      <c r="A14" s="974" t="s">
        <v>2102</v>
      </c>
      <c r="B14" s="460"/>
      <c r="C14" s="455"/>
      <c r="D14" s="459"/>
      <c r="E14" s="447"/>
      <c r="F14" s="436"/>
      <c r="G14" s="642" t="s">
        <v>2015</v>
      </c>
      <c r="H14" s="534"/>
      <c r="I14" s="533">
        <f>+D27+D28+D29+D30+D61</f>
        <v>662798</v>
      </c>
      <c r="J14" s="436"/>
      <c r="K14" s="436"/>
      <c r="L14" s="436"/>
      <c r="M14" s="453"/>
      <c r="N14" s="453"/>
      <c r="O14" s="453"/>
      <c r="P14" s="453"/>
      <c r="Q14" s="453"/>
      <c r="R14" s="453"/>
      <c r="S14" s="453"/>
      <c r="T14" s="453"/>
      <c r="U14" s="453"/>
      <c r="V14" s="453"/>
      <c r="W14" s="453"/>
      <c r="X14" s="453"/>
      <c r="Y14" s="453"/>
      <c r="Z14" s="453"/>
      <c r="AA14" s="453"/>
      <c r="AB14" s="453"/>
      <c r="AC14" s="453"/>
      <c r="AD14" s="453"/>
    </row>
    <row r="15" spans="1:30" ht="13">
      <c r="A15" s="729" t="s">
        <v>2030</v>
      </c>
      <c r="B15" s="460"/>
      <c r="C15" s="455"/>
      <c r="D15" s="459">
        <v>150000</v>
      </c>
      <c r="E15" s="447"/>
      <c r="F15" s="436"/>
      <c r="G15" s="441" t="s">
        <v>964</v>
      </c>
      <c r="H15" s="730">
        <f>I14*1000/Gdata!E60</f>
        <v>123.31137052220514</v>
      </c>
      <c r="I15" s="535"/>
      <c r="J15" s="436"/>
      <c r="K15" s="436"/>
      <c r="L15" s="436"/>
      <c r="M15" s="453"/>
      <c r="N15" s="453"/>
      <c r="O15" s="453"/>
      <c r="P15" s="453"/>
      <c r="Q15" s="453"/>
      <c r="R15" s="453"/>
      <c r="S15" s="453"/>
      <c r="T15" s="453"/>
      <c r="U15" s="453"/>
      <c r="V15" s="453"/>
      <c r="W15" s="453"/>
      <c r="X15" s="453"/>
      <c r="Y15" s="453"/>
      <c r="Z15" s="453"/>
      <c r="AA15" s="453"/>
      <c r="AB15" s="453"/>
      <c r="AC15" s="453"/>
      <c r="AD15" s="453"/>
    </row>
    <row r="16" spans="1:30" ht="13">
      <c r="A16" s="974"/>
      <c r="B16" s="460"/>
      <c r="C16" s="455"/>
      <c r="D16" s="459"/>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974" t="s">
        <v>2112</v>
      </c>
      <c r="B17" s="460"/>
      <c r="C17" s="455"/>
      <c r="D17" s="459"/>
      <c r="E17" s="447"/>
      <c r="F17" s="436"/>
      <c r="G17" s="436"/>
      <c r="H17" s="436"/>
      <c r="I17" s="481" t="s">
        <v>268</v>
      </c>
      <c r="J17" s="436"/>
      <c r="K17" s="436"/>
      <c r="L17" s="436"/>
      <c r="M17" s="453"/>
      <c r="N17" s="453"/>
      <c r="O17" s="453"/>
      <c r="P17" s="453"/>
      <c r="Q17" s="453"/>
      <c r="R17" s="453"/>
      <c r="S17" s="453"/>
      <c r="T17" s="453"/>
      <c r="U17" s="453"/>
      <c r="V17" s="453"/>
      <c r="W17" s="453"/>
      <c r="X17" s="453"/>
      <c r="Y17" s="453"/>
      <c r="Z17" s="453"/>
      <c r="AA17" s="453"/>
      <c r="AB17" s="453"/>
      <c r="AC17" s="453"/>
      <c r="AD17" s="453"/>
    </row>
    <row r="18" spans="1:30" ht="13">
      <c r="A18" s="460" t="s">
        <v>2045</v>
      </c>
      <c r="B18" s="460"/>
      <c r="C18" s="455"/>
      <c r="D18" s="491">
        <v>550000</v>
      </c>
      <c r="E18" s="447"/>
      <c r="F18" s="436"/>
      <c r="G18" s="484" t="s">
        <v>2016</v>
      </c>
      <c r="H18" s="468"/>
      <c r="I18" s="466">
        <f>+D79</f>
        <v>-5202952.3513664901</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ht="13">
      <c r="A19" s="460" t="s">
        <v>2046</v>
      </c>
      <c r="B19" s="460"/>
      <c r="C19" s="455"/>
      <c r="D19" s="491">
        <v>100000</v>
      </c>
      <c r="E19" s="447"/>
      <c r="F19" s="436"/>
      <c r="G19" s="448" t="s">
        <v>748</v>
      </c>
      <c r="H19" s="732">
        <f>I18*1000/Gdata!E60</f>
        <v>-967.99203559565922</v>
      </c>
      <c r="I19" s="442"/>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460" t="s">
        <v>2053</v>
      </c>
      <c r="B20" s="460"/>
      <c r="C20" s="455"/>
      <c r="D20" s="491">
        <v>400000</v>
      </c>
      <c r="E20" s="447"/>
      <c r="F20" s="436"/>
      <c r="G20" s="444"/>
      <c r="H20" s="1002"/>
      <c r="I20" s="444"/>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c r="B21" s="460"/>
      <c r="C21" s="455"/>
      <c r="D21" s="491"/>
      <c r="E21" s="447"/>
      <c r="F21" s="436"/>
      <c r="G21" s="444"/>
      <c r="H21" s="1002"/>
      <c r="I21" s="444"/>
      <c r="J21" s="436"/>
      <c r="K21" s="436"/>
      <c r="L21" s="447"/>
      <c r="M21" s="453"/>
      <c r="N21" s="453"/>
      <c r="O21" s="453"/>
      <c r="P21" s="453"/>
      <c r="Q21" s="453"/>
      <c r="R21" s="453"/>
      <c r="S21" s="453"/>
      <c r="T21" s="453"/>
      <c r="U21" s="453"/>
      <c r="V21" s="453"/>
      <c r="W21" s="453"/>
      <c r="X21" s="453"/>
      <c r="Y21" s="453"/>
      <c r="Z21" s="453"/>
      <c r="AA21" s="453"/>
      <c r="AB21" s="453"/>
      <c r="AC21" s="453"/>
      <c r="AD21" s="453"/>
    </row>
    <row r="22" spans="1:30" ht="13">
      <c r="A22" s="974" t="s">
        <v>2105</v>
      </c>
      <c r="B22" s="460"/>
      <c r="C22" s="455"/>
      <c r="D22" s="491"/>
      <c r="E22" s="447"/>
      <c r="F22" s="436"/>
      <c r="G22" s="450"/>
      <c r="H22" s="445"/>
      <c r="I22" s="481" t="s">
        <v>268</v>
      </c>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2093</v>
      </c>
      <c r="B23" s="460"/>
      <c r="C23" s="455"/>
      <c r="D23" s="491">
        <v>500000</v>
      </c>
      <c r="E23" s="447"/>
      <c r="F23" s="436"/>
      <c r="G23" s="485" t="s">
        <v>2052</v>
      </c>
      <c r="H23" s="646"/>
      <c r="I23" s="647">
        <f>+D39+D40+D41+D42+D61</f>
        <v>-4966602</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c r="B24" s="460"/>
      <c r="C24" s="455"/>
      <c r="D24" s="459"/>
      <c r="E24" s="447"/>
      <c r="F24" s="436"/>
      <c r="G24" s="441" t="s">
        <v>964</v>
      </c>
      <c r="H24" s="731">
        <f>I23*1000/Gdata!E60</f>
        <v>-924.01983629752215</v>
      </c>
      <c r="I24" s="442"/>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459"/>
      <c r="E25" s="447"/>
      <c r="F25" s="436"/>
      <c r="G25" s="453"/>
      <c r="H25" s="453"/>
      <c r="I25" s="453"/>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t="s">
        <v>2022</v>
      </c>
      <c r="B26" s="460"/>
      <c r="C26" s="455"/>
      <c r="D26" s="459"/>
      <c r="E26" s="447"/>
      <c r="F26" s="436"/>
      <c r="G26" s="450"/>
      <c r="H26" s="445"/>
      <c r="I26" s="481" t="s">
        <v>268</v>
      </c>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460" t="s">
        <v>2023</v>
      </c>
      <c r="B27" s="460"/>
      <c r="C27" s="455"/>
      <c r="D27" s="459">
        <f>233300+33300</f>
        <v>266600</v>
      </c>
      <c r="E27" s="447"/>
      <c r="F27" s="436"/>
      <c r="G27" s="485" t="s">
        <v>2039</v>
      </c>
      <c r="H27" s="646"/>
      <c r="I27" s="647">
        <f>+D43+D44+D45+D46+D47+D48+D49+D50+D51+D52+D53+D54+D55+D56+D57+D58+D59+D60+D61+D62+D63+D64</f>
        <v>-1440896.9425511197</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2024</v>
      </c>
      <c r="B28" s="458"/>
      <c r="C28" s="455"/>
      <c r="D28" s="459">
        <v>5000</v>
      </c>
      <c r="E28" s="447"/>
      <c r="F28" s="436"/>
      <c r="G28" s="441" t="s">
        <v>964</v>
      </c>
      <c r="H28" s="731">
        <f>I27*1000/Gdata!E60</f>
        <v>-268.07409914820755</v>
      </c>
      <c r="I28" s="442"/>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2025</v>
      </c>
      <c r="B29" s="458"/>
      <c r="C29" s="455"/>
      <c r="D29" s="459">
        <v>460300</v>
      </c>
      <c r="E29" s="462" t="s">
        <v>772</v>
      </c>
      <c r="F29" s="751" t="s">
        <v>766</v>
      </c>
      <c r="G29" s="453"/>
      <c r="H29" s="453"/>
      <c r="I29" s="453"/>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2050</v>
      </c>
      <c r="B30" s="458"/>
      <c r="C30" s="455"/>
      <c r="D30" s="459">
        <v>-2500</v>
      </c>
      <c r="E30" s="621" t="s">
        <v>1936</v>
      </c>
      <c r="F30" s="752"/>
      <c r="G30" s="450"/>
      <c r="H30" s="445"/>
      <c r="I30" s="481" t="s">
        <v>268</v>
      </c>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2026</v>
      </c>
      <c r="B31" s="458"/>
      <c r="C31" s="455"/>
      <c r="D31" s="459">
        <v>-4322</v>
      </c>
      <c r="E31" s="689"/>
      <c r="F31" s="753"/>
      <c r="G31" s="485" t="s">
        <v>2009</v>
      </c>
      <c r="H31" s="646"/>
      <c r="I31" s="647">
        <f>+D67</f>
        <v>-1300000</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1995</v>
      </c>
      <c r="B32" s="439"/>
      <c r="C32" s="438"/>
      <c r="D32" s="440">
        <f>SUM(D5:D31)</f>
        <v>149681867.29391763</v>
      </c>
      <c r="E32" s="536">
        <v>149681867</v>
      </c>
      <c r="F32" s="465">
        <f>+E32-D32</f>
        <v>-0.29391762614250183</v>
      </c>
      <c r="G32" s="441" t="s">
        <v>964</v>
      </c>
      <c r="H32" s="731">
        <f>I31*1000/Gdata!E60</f>
        <v>-241.86069010296754</v>
      </c>
      <c r="I32" s="442"/>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53"/>
      <c r="H33" s="453"/>
      <c r="I33" s="481"/>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t="s">
        <v>268</v>
      </c>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1997</v>
      </c>
      <c r="B35" s="459"/>
      <c r="C35" s="456"/>
      <c r="D35" s="459"/>
      <c r="E35" s="447"/>
      <c r="F35" s="480"/>
      <c r="G35" s="485" t="s">
        <v>2010</v>
      </c>
      <c r="H35" s="646"/>
      <c r="I35" s="647">
        <f>+D68+D69+D70+D71</f>
        <v>-1084113</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1471</v>
      </c>
      <c r="E36" s="571" t="s">
        <v>1998</v>
      </c>
      <c r="F36" s="446"/>
      <c r="G36" s="441" t="s">
        <v>964</v>
      </c>
      <c r="H36" s="731">
        <f>I35*1000/Gdata!E60</f>
        <v>-201.69562948430649</v>
      </c>
      <c r="I36" s="442"/>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53"/>
      <c r="H37" s="453"/>
      <c r="I37" s="453"/>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1107</v>
      </c>
      <c r="B38" s="459"/>
      <c r="C38" s="467"/>
      <c r="D38" s="459"/>
      <c r="E38" s="447"/>
      <c r="F38" s="447"/>
      <c r="G38" s="444" t="s">
        <v>1963</v>
      </c>
      <c r="H38" s="594"/>
      <c r="I38" s="444"/>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2000</v>
      </c>
      <c r="B39" s="459"/>
      <c r="C39" s="456"/>
      <c r="D39" s="569">
        <v>-3750000</v>
      </c>
      <c r="E39" s="447">
        <f>+D39*1.027</f>
        <v>-3851249.9999999995</v>
      </c>
      <c r="F39" s="687"/>
      <c r="G39" s="485" t="s">
        <v>51</v>
      </c>
      <c r="H39" s="486" t="s">
        <v>268</v>
      </c>
      <c r="I39" s="487" t="s">
        <v>748</v>
      </c>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2011</v>
      </c>
      <c r="B40" s="459"/>
      <c r="C40" s="456"/>
      <c r="D40" s="569">
        <v>-1000000</v>
      </c>
      <c r="E40" s="447">
        <f t="shared" ref="E40:E41" si="0">+D40*1.027</f>
        <v>-1026999.9999999999</v>
      </c>
      <c r="F40" s="447"/>
      <c r="G40" s="713">
        <v>2022</v>
      </c>
      <c r="H40" s="677">
        <f>-9586/3-8812/4-21297/4</f>
        <v>-10722.583333333334</v>
      </c>
      <c r="I40" s="759">
        <f>H40*1000/Gdata!F60</f>
        <v>-1.9849927262236993</v>
      </c>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t="s">
        <v>2031</v>
      </c>
      <c r="B41" s="459"/>
      <c r="C41" s="456"/>
      <c r="D41" s="569">
        <v>-150000</v>
      </c>
      <c r="E41" s="447">
        <f t="shared" si="0"/>
        <v>-154050</v>
      </c>
      <c r="F41" s="447"/>
      <c r="G41" s="713">
        <v>2023</v>
      </c>
      <c r="H41" s="677">
        <f>-9586/3-8812/4-21297/4-10962/5</f>
        <v>-12914.983333333334</v>
      </c>
      <c r="I41" s="759">
        <f>H41*1000/Gdata!G60</f>
        <v>-2.3672059589759531</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483"/>
      <c r="B42" s="459"/>
      <c r="C42" s="456"/>
      <c r="D42" s="569"/>
      <c r="E42" s="447"/>
      <c r="F42" s="447"/>
      <c r="G42" s="644">
        <v>2024</v>
      </c>
      <c r="H42" s="645">
        <f>-9586/3-8812/4-21297/4-10962/5</f>
        <v>-12914.983333333334</v>
      </c>
      <c r="I42" s="963">
        <f>H42*1000/Gdata!H60</f>
        <v>-2.3672059589759531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483" t="s">
        <v>1921</v>
      </c>
      <c r="B43" s="459"/>
      <c r="C43" s="456"/>
      <c r="D43" s="569">
        <f t="shared" ref="D43:D49" si="1">+E43/1.027</f>
        <v>-7199.6105160662128</v>
      </c>
      <c r="E43" s="1037">
        <v>-7394</v>
      </c>
      <c r="F43" s="447"/>
      <c r="G43" s="1036"/>
      <c r="H43" s="677"/>
      <c r="I43" s="1038"/>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2094</v>
      </c>
      <c r="B44" s="459"/>
      <c r="C44" s="467"/>
      <c r="D44" s="569">
        <f t="shared" si="1"/>
        <v>24342.745861733205</v>
      </c>
      <c r="E44" s="1037">
        <v>25000</v>
      </c>
      <c r="F44" s="447"/>
      <c r="G44" s="444" t="s">
        <v>2104</v>
      </c>
      <c r="H44" s="594"/>
      <c r="I44" s="444"/>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2096</v>
      </c>
      <c r="B45" s="459"/>
      <c r="C45" s="467"/>
      <c r="D45" s="569">
        <f t="shared" si="1"/>
        <v>2500.4868549172347</v>
      </c>
      <c r="E45" s="1037">
        <v>2568</v>
      </c>
      <c r="F45" s="447"/>
      <c r="G45" s="485" t="s">
        <v>51</v>
      </c>
      <c r="H45" s="486" t="s">
        <v>268</v>
      </c>
      <c r="I45" s="487" t="s">
        <v>748</v>
      </c>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t="s">
        <v>2097</v>
      </c>
      <c r="B46" s="459"/>
      <c r="C46" s="467"/>
      <c r="D46" s="1046">
        <f>+E46/1.027+1</f>
        <v>-455500.46056475176</v>
      </c>
      <c r="E46" s="1037">
        <v>-467800</v>
      </c>
      <c r="F46" s="447"/>
      <c r="G46" s="488">
        <v>2022</v>
      </c>
      <c r="H46" s="595">
        <v>35000</v>
      </c>
      <c r="I46" s="847">
        <f>H46*1000/Gdata!F60</f>
        <v>6.4792917208536007</v>
      </c>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2098</v>
      </c>
      <c r="B47" s="459"/>
      <c r="C47" s="467"/>
      <c r="D47" s="569">
        <f t="shared" si="1"/>
        <v>23369.036027263879</v>
      </c>
      <c r="E47" s="1037">
        <v>24000</v>
      </c>
      <c r="F47" s="447"/>
      <c r="G47" s="453"/>
      <c r="H47" s="453"/>
      <c r="I47" s="453"/>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2099</v>
      </c>
      <c r="B48" s="459"/>
      <c r="C48" s="456"/>
      <c r="D48" s="569">
        <f t="shared" si="1"/>
        <v>-210146.05647517042</v>
      </c>
      <c r="E48" s="1037">
        <v>-215820</v>
      </c>
      <c r="F48" s="447"/>
      <c r="G48" s="444" t="s">
        <v>2113</v>
      </c>
      <c r="H48" s="594"/>
      <c r="I48" s="444"/>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2100</v>
      </c>
      <c r="B49" s="459"/>
      <c r="C49" s="459"/>
      <c r="D49" s="569">
        <f t="shared" si="1"/>
        <v>48685.49172346641</v>
      </c>
      <c r="E49" s="1037">
        <v>50000</v>
      </c>
      <c r="F49" s="447"/>
      <c r="G49" s="485" t="s">
        <v>51</v>
      </c>
      <c r="H49" s="486" t="s">
        <v>268</v>
      </c>
      <c r="I49" s="487" t="s">
        <v>748</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569"/>
      <c r="E50" s="1037"/>
      <c r="F50" s="447"/>
      <c r="G50" s="488">
        <v>2022</v>
      </c>
      <c r="H50" s="595">
        <v>-100000</v>
      </c>
      <c r="I50" s="847"/>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c r="B51" s="459"/>
      <c r="C51" s="456"/>
      <c r="D51" s="569"/>
      <c r="E51" s="1037"/>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t="s">
        <v>1920</v>
      </c>
      <c r="B52" s="459"/>
      <c r="C52" s="456"/>
      <c r="D52" s="569">
        <v>-184867.57546251218</v>
      </c>
      <c r="E52" s="1037">
        <v>-189859</v>
      </c>
      <c r="F52" s="447"/>
      <c r="G52" s="444" t="s">
        <v>2027</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c r="B53" s="459"/>
      <c r="C53" s="456"/>
      <c r="D53" s="569"/>
      <c r="E53" s="1037"/>
      <c r="F53" s="447"/>
      <c r="G53" s="485" t="s">
        <v>51</v>
      </c>
      <c r="H53" s="486" t="s">
        <v>268</v>
      </c>
      <c r="I53" s="487" t="s">
        <v>748</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c r="B54" s="459"/>
      <c r="C54" s="456"/>
      <c r="D54" s="569"/>
      <c r="E54" s="1037"/>
      <c r="F54" s="447"/>
      <c r="G54" s="846" t="s">
        <v>1436</v>
      </c>
      <c r="H54" s="595">
        <f>-'K21'!BT361</f>
        <v>-4064</v>
      </c>
      <c r="I54" s="847">
        <f>H54*1000/Gdata!F60</f>
        <v>-0.75233833010140094</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c r="B55" s="459"/>
      <c r="C55" s="456"/>
      <c r="D55" s="569"/>
      <c r="E55" s="1037"/>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5">
      <c r="A56" s="643" t="s">
        <v>1209</v>
      </c>
      <c r="B56" s="459"/>
      <c r="C56" s="467"/>
      <c r="D56" s="459"/>
      <c r="E56" s="1037"/>
      <c r="F56" s="447"/>
      <c r="G56" s="444" t="s">
        <v>2038</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2002</v>
      </c>
      <c r="B57" s="459"/>
      <c r="C57" s="456"/>
      <c r="D57" s="569">
        <f>ROUND(E57/1.027,0)</f>
        <v>-920600</v>
      </c>
      <c r="E57" s="1037">
        <v>-945456</v>
      </c>
      <c r="F57" s="447"/>
      <c r="G57" s="485" t="s">
        <v>51</v>
      </c>
      <c r="H57" s="486" t="s">
        <v>268</v>
      </c>
      <c r="I57" s="487" t="s">
        <v>748</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2003</v>
      </c>
      <c r="B58" s="459"/>
      <c r="C58" s="456"/>
      <c r="D58" s="569">
        <f t="shared" ref="D58:D62" si="2">ROUND(E58/1.027,0)</f>
        <v>81500</v>
      </c>
      <c r="E58" s="1037">
        <v>83700</v>
      </c>
      <c r="F58" s="447"/>
      <c r="G58" s="846" t="s">
        <v>1436</v>
      </c>
      <c r="H58" s="595">
        <f>-'K21'!AC361</f>
        <v>-676201</v>
      </c>
      <c r="I58" s="847">
        <f>H58*1000/Gdata!F60</f>
        <v>-125.18010116951216</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2004</v>
      </c>
      <c r="B59" s="459"/>
      <c r="C59" s="456"/>
      <c r="D59" s="569">
        <f t="shared" si="2"/>
        <v>29400</v>
      </c>
      <c r="E59" s="1037">
        <v>30194</v>
      </c>
      <c r="F59" s="447"/>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2028</v>
      </c>
      <c r="B60" s="459"/>
      <c r="C60" s="456"/>
      <c r="D60" s="569">
        <f t="shared" si="2"/>
        <v>189484</v>
      </c>
      <c r="E60" s="1037">
        <v>194600</v>
      </c>
      <c r="F60" s="459"/>
      <c r="G60" s="444" t="s">
        <v>1481</v>
      </c>
      <c r="H60" s="594"/>
      <c r="I60" s="444"/>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t="s">
        <v>2103</v>
      </c>
      <c r="B61" s="459"/>
      <c r="C61" s="456"/>
      <c r="D61" s="569">
        <f t="shared" si="2"/>
        <v>-66602</v>
      </c>
      <c r="E61" s="1037">
        <v>-68400</v>
      </c>
      <c r="F61" s="459"/>
      <c r="G61" s="485" t="s">
        <v>51</v>
      </c>
      <c r="H61" s="486" t="s">
        <v>268</v>
      </c>
      <c r="I61" s="487" t="s">
        <v>748</v>
      </c>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2029</v>
      </c>
      <c r="B62" s="459"/>
      <c r="C62" s="456"/>
      <c r="D62" s="569">
        <f t="shared" si="2"/>
        <v>4737</v>
      </c>
      <c r="E62" s="1037">
        <v>4865</v>
      </c>
      <c r="F62" s="459"/>
      <c r="G62" s="846">
        <v>2023</v>
      </c>
      <c r="H62" s="595">
        <f>-'K21'!BL361</f>
        <v>1935042</v>
      </c>
      <c r="I62" s="847"/>
      <c r="J62" s="453"/>
      <c r="K62" s="489"/>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569"/>
      <c r="E63" s="1037"/>
      <c r="F63" s="459"/>
      <c r="G63" s="453"/>
      <c r="H63" s="453"/>
      <c r="I63" s="453"/>
      <c r="J63" s="669"/>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56"/>
      <c r="D64" s="569"/>
      <c r="E64" s="1037"/>
      <c r="F64" s="459"/>
      <c r="G64" s="444" t="s">
        <v>1497</v>
      </c>
      <c r="H64" s="594"/>
      <c r="I64" s="444"/>
      <c r="J64" s="669"/>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569"/>
      <c r="E65" s="1037"/>
      <c r="F65" s="459"/>
      <c r="G65" s="485" t="s">
        <v>51</v>
      </c>
      <c r="H65" s="486" t="s">
        <v>268</v>
      </c>
      <c r="I65" s="487" t="s">
        <v>748</v>
      </c>
      <c r="J65" s="669"/>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1110</v>
      </c>
      <c r="B66" s="459"/>
      <c r="C66" s="456"/>
      <c r="D66" s="569"/>
      <c r="E66" s="1037"/>
      <c r="F66" s="459"/>
      <c r="G66" s="713">
        <v>2022</v>
      </c>
      <c r="H66" s="677">
        <v>31400</v>
      </c>
      <c r="I66" s="759">
        <f>H66*1000/Gdata!F60</f>
        <v>5.8128502867086587</v>
      </c>
      <c r="J66" s="669"/>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1999</v>
      </c>
      <c r="B67" s="459"/>
      <c r="C67" s="456"/>
      <c r="D67" s="569">
        <f t="shared" ref="D67:D70" si="3">ROUND(E67/1.027,0)</f>
        <v>-1300000</v>
      </c>
      <c r="E67" s="1037">
        <v>-1335100</v>
      </c>
      <c r="F67" s="459"/>
      <c r="G67" s="713">
        <v>2023</v>
      </c>
      <c r="H67" s="677">
        <f>+H66</f>
        <v>31400</v>
      </c>
      <c r="I67" s="759">
        <f>H67*1000/Gdata!G60</f>
        <v>5.7553513770319693</v>
      </c>
      <c r="J67" s="835"/>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2048</v>
      </c>
      <c r="B68" s="459"/>
      <c r="C68" s="456"/>
      <c r="D68" s="569">
        <f t="shared" si="3"/>
        <v>-100000</v>
      </c>
      <c r="E68" s="1037">
        <v>-102700</v>
      </c>
      <c r="F68" s="459"/>
      <c r="G68" s="644">
        <v>2024</v>
      </c>
      <c r="H68" s="645">
        <f>+H67</f>
        <v>31400</v>
      </c>
      <c r="I68" s="760">
        <f>H68*1000/Gdata!H60</f>
        <v>5.7553513770319693</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t="s">
        <v>2095</v>
      </c>
      <c r="B69" s="459"/>
      <c r="C69" s="456"/>
      <c r="D69" s="569">
        <f t="shared" si="3"/>
        <v>-880110</v>
      </c>
      <c r="E69" s="1037">
        <v>-903873</v>
      </c>
      <c r="F69" s="459"/>
      <c r="G69" s="453"/>
      <c r="H69" s="453"/>
      <c r="I69" s="453"/>
      <c r="J69" s="444"/>
      <c r="K69" s="453"/>
      <c r="L69" s="453"/>
      <c r="M69" s="453"/>
      <c r="N69" s="453"/>
      <c r="O69" s="453"/>
      <c r="P69" s="453"/>
      <c r="Q69" s="453"/>
      <c r="R69" s="453"/>
      <c r="S69" s="453"/>
      <c r="T69" s="453"/>
      <c r="U69" s="453"/>
      <c r="V69" s="453"/>
      <c r="W69" s="453"/>
      <c r="X69" s="453"/>
      <c r="Y69" s="453"/>
      <c r="Z69" s="453"/>
      <c r="AA69" s="453"/>
      <c r="AB69" s="453"/>
      <c r="AC69" s="453"/>
      <c r="AD69" s="453"/>
    </row>
    <row r="70" spans="1:30" ht="13">
      <c r="A70" s="483" t="s">
        <v>1181</v>
      </c>
      <c r="B70" s="459"/>
      <c r="C70" s="459"/>
      <c r="D70" s="569">
        <f t="shared" si="3"/>
        <v>-201374</v>
      </c>
      <c r="E70" s="1037">
        <v>-206811</v>
      </c>
      <c r="F70" s="459"/>
      <c r="G70" s="453"/>
      <c r="H70" s="453"/>
      <c r="I70" s="453"/>
      <c r="J70" s="444"/>
      <c r="K70" s="453"/>
      <c r="L70" s="453"/>
      <c r="M70" s="453"/>
      <c r="N70" s="453"/>
      <c r="O70" s="453"/>
      <c r="P70" s="453"/>
      <c r="Q70" s="453"/>
      <c r="R70" s="453"/>
      <c r="S70" s="453"/>
      <c r="T70" s="453"/>
      <c r="U70" s="453"/>
      <c r="V70" s="453"/>
      <c r="W70" s="453"/>
      <c r="X70" s="453"/>
      <c r="Y70" s="453"/>
      <c r="Z70" s="453"/>
      <c r="AA70" s="453"/>
      <c r="AB70" s="453"/>
      <c r="AC70" s="453"/>
      <c r="AD70" s="453"/>
    </row>
    <row r="71" spans="1:30" ht="13">
      <c r="A71" s="483" t="s">
        <v>2101</v>
      </c>
      <c r="B71" s="459"/>
      <c r="C71" s="456"/>
      <c r="D71" s="569">
        <v>97371</v>
      </c>
      <c r="E71" s="1037">
        <v>100000</v>
      </c>
      <c r="F71" s="459"/>
      <c r="G71" s="453"/>
      <c r="H71" s="453"/>
      <c r="I71" s="453"/>
      <c r="J71" s="435"/>
      <c r="K71" s="453"/>
      <c r="L71" s="669"/>
      <c r="M71" s="453"/>
      <c r="N71" s="453"/>
      <c r="O71" s="453"/>
      <c r="P71" s="453"/>
      <c r="Q71" s="453"/>
      <c r="R71" s="453"/>
      <c r="S71" s="453"/>
      <c r="T71" s="453"/>
      <c r="U71" s="453"/>
      <c r="V71" s="453"/>
      <c r="W71" s="453"/>
      <c r="X71" s="453"/>
      <c r="Y71" s="453"/>
      <c r="Z71" s="453"/>
      <c r="AA71" s="453"/>
      <c r="AB71" s="453"/>
      <c r="AC71" s="453"/>
      <c r="AD71" s="453"/>
    </row>
    <row r="72" spans="1:30" ht="13">
      <c r="A72" s="483"/>
      <c r="B72" s="459"/>
      <c r="C72" s="456"/>
      <c r="D72" s="569"/>
      <c r="E72" s="447"/>
      <c r="F72" s="459"/>
      <c r="G72" s="454"/>
      <c r="H72" s="453"/>
      <c r="I72" s="453"/>
      <c r="J72" s="451"/>
      <c r="K72" s="669"/>
      <c r="L72" s="444"/>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459"/>
      <c r="E73" s="447"/>
      <c r="F73" s="447"/>
      <c r="G73" s="453"/>
      <c r="H73" s="453"/>
      <c r="I73" s="453"/>
      <c r="J73" s="683"/>
      <c r="K73" s="444"/>
      <c r="L73" s="680"/>
      <c r="M73" s="453"/>
      <c r="N73" s="453"/>
      <c r="O73" s="453"/>
      <c r="P73" s="453"/>
      <c r="Q73" s="453"/>
      <c r="R73" s="453"/>
      <c r="S73" s="453"/>
      <c r="T73" s="453"/>
      <c r="U73" s="453"/>
      <c r="V73" s="453"/>
      <c r="W73" s="453"/>
      <c r="X73" s="453"/>
      <c r="Y73" s="453"/>
      <c r="Z73" s="453"/>
      <c r="AA73" s="453"/>
      <c r="AB73" s="453"/>
      <c r="AC73" s="453"/>
      <c r="AD73" s="453"/>
    </row>
    <row r="74" spans="1:30" ht="13">
      <c r="A74" s="464" t="s">
        <v>2006</v>
      </c>
      <c r="B74" s="464"/>
      <c r="C74" s="469"/>
      <c r="D74" s="470">
        <f>D32+D39+D40+D41+D42+D43+D44+D45+D46+D47+D48+D49+D50+D51+D52+D53+D54+D55+D56+D57+D58+D59+D60+D61+D62+D63+D64+D65+D66+D67+D68+D69+D70+D71+D72</f>
        <v>140956857.35136649</v>
      </c>
      <c r="E74" s="536">
        <v>140956857</v>
      </c>
      <c r="F74" s="536">
        <f>+E74-D74</f>
        <v>-0.35136649012565613</v>
      </c>
      <c r="G74" s="1035"/>
      <c r="H74" s="454"/>
      <c r="I74" s="454"/>
      <c r="J74" s="449"/>
      <c r="K74" s="449"/>
      <c r="L74" s="567"/>
      <c r="M74" s="453"/>
      <c r="N74" s="453"/>
      <c r="O74" s="453"/>
      <c r="P74" s="453"/>
      <c r="Q74" s="453"/>
      <c r="R74" s="453"/>
      <c r="S74" s="453"/>
      <c r="T74" s="453"/>
      <c r="U74" s="453"/>
      <c r="V74" s="453"/>
      <c r="W74" s="453"/>
      <c r="X74" s="453"/>
      <c r="Y74" s="453"/>
      <c r="Z74" s="453"/>
      <c r="AA74" s="453"/>
      <c r="AB74" s="453"/>
      <c r="AC74" s="453"/>
      <c r="AD74" s="453"/>
    </row>
    <row r="75" spans="1:30">
      <c r="A75" s="456"/>
      <c r="B75" s="456"/>
      <c r="C75" s="456"/>
      <c r="D75" s="459"/>
      <c r="E75" s="447"/>
      <c r="F75" s="447"/>
      <c r="G75" s="453"/>
      <c r="H75" s="454"/>
      <c r="I75" s="454"/>
      <c r="J75" s="449"/>
      <c r="K75" s="449"/>
      <c r="L75" s="669"/>
      <c r="M75" s="453"/>
      <c r="N75" s="453"/>
      <c r="O75" s="453"/>
      <c r="P75" s="453"/>
      <c r="Q75" s="453"/>
      <c r="R75" s="453"/>
      <c r="S75" s="453"/>
      <c r="T75" s="453"/>
      <c r="U75" s="453"/>
      <c r="V75" s="453"/>
      <c r="W75" s="453"/>
      <c r="X75" s="453"/>
      <c r="Y75" s="453"/>
      <c r="Z75" s="453"/>
      <c r="AA75" s="453"/>
      <c r="AB75" s="453"/>
      <c r="AC75" s="453"/>
      <c r="AD75" s="453"/>
    </row>
    <row r="76" spans="1:30" ht="13">
      <c r="A76" s="489" t="s">
        <v>2057</v>
      </c>
      <c r="B76" s="490">
        <v>2.7E-2</v>
      </c>
      <c r="C76" s="456"/>
      <c r="D76" s="459">
        <f>ROUND((D74)*B76,0)</f>
        <v>3805835</v>
      </c>
      <c r="E76" s="447"/>
      <c r="F76" s="436"/>
      <c r="G76" s="453"/>
      <c r="H76" s="454"/>
      <c r="I76" s="454"/>
      <c r="J76" s="449"/>
      <c r="K76" s="449"/>
      <c r="L76" s="669"/>
      <c r="M76" s="453"/>
      <c r="N76" s="453"/>
      <c r="O76" s="453"/>
      <c r="P76" s="453"/>
      <c r="Q76" s="453"/>
      <c r="R76" s="453"/>
      <c r="S76" s="453"/>
      <c r="T76" s="453"/>
      <c r="U76" s="453"/>
      <c r="V76" s="453"/>
      <c r="W76" s="453"/>
      <c r="X76" s="453"/>
      <c r="Y76" s="453"/>
      <c r="Z76" s="453"/>
      <c r="AA76" s="453"/>
      <c r="AB76" s="453"/>
      <c r="AC76" s="453"/>
      <c r="AD76" s="453"/>
    </row>
    <row r="77" spans="1:30" ht="13">
      <c r="A77" s="338" t="s">
        <v>2518</v>
      </c>
      <c r="B77" s="490"/>
      <c r="C77" s="456"/>
      <c r="D77" s="459"/>
      <c r="E77" s="447"/>
      <c r="F77" s="436"/>
      <c r="G77" s="453"/>
      <c r="H77" s="453"/>
      <c r="I77" s="453"/>
      <c r="J77" s="681"/>
      <c r="K77" s="682"/>
      <c r="L77" s="444"/>
      <c r="M77" s="453"/>
      <c r="N77" s="453"/>
      <c r="O77" s="453"/>
      <c r="P77" s="453"/>
      <c r="Q77" s="453"/>
      <c r="R77" s="453"/>
      <c r="S77" s="453"/>
      <c r="T77" s="453"/>
      <c r="U77" s="453"/>
      <c r="V77" s="453"/>
      <c r="W77" s="453"/>
      <c r="X77" s="453"/>
      <c r="Y77" s="453"/>
      <c r="Z77" s="453"/>
      <c r="AA77" s="453"/>
      <c r="AB77" s="453"/>
      <c r="AC77" s="453"/>
      <c r="AD77" s="453"/>
    </row>
    <row r="78" spans="1:30" ht="13">
      <c r="A78" s="338"/>
      <c r="B78" s="490"/>
      <c r="C78" s="456"/>
      <c r="D78" s="459"/>
      <c r="E78" s="447"/>
      <c r="F78" s="447"/>
      <c r="G78" s="453"/>
      <c r="H78" s="453"/>
      <c r="I78" s="453"/>
      <c r="J78" s="444"/>
      <c r="K78" s="682"/>
      <c r="L78" s="444"/>
      <c r="M78" s="453"/>
      <c r="N78" s="453"/>
      <c r="O78" s="453"/>
      <c r="P78" s="453"/>
      <c r="Q78" s="453"/>
      <c r="R78" s="453"/>
      <c r="S78" s="453"/>
      <c r="T78" s="453"/>
      <c r="U78" s="453"/>
      <c r="V78" s="453"/>
      <c r="W78" s="453"/>
      <c r="X78" s="453"/>
      <c r="Y78" s="453"/>
      <c r="Z78" s="453"/>
      <c r="AA78" s="453"/>
      <c r="AB78" s="453"/>
      <c r="AC78" s="453"/>
      <c r="AD78" s="453"/>
    </row>
    <row r="79" spans="1:30">
      <c r="A79" s="489" t="s">
        <v>2005</v>
      </c>
      <c r="B79" s="471"/>
      <c r="C79" s="456"/>
      <c r="D79" s="459">
        <v>-5202952.3513664901</v>
      </c>
      <c r="E79" s="437"/>
      <c r="F79" s="437"/>
      <c r="G79" s="459"/>
      <c r="H79" s="454"/>
      <c r="I79" s="453"/>
      <c r="J79" s="524"/>
      <c r="K79" s="525"/>
      <c r="L79" s="669"/>
      <c r="M79" s="453"/>
      <c r="N79" s="453"/>
      <c r="O79" s="453"/>
      <c r="P79" s="453"/>
      <c r="Q79" s="453"/>
      <c r="R79" s="453"/>
      <c r="S79" s="453"/>
      <c r="T79" s="453"/>
      <c r="U79" s="453"/>
      <c r="V79" s="453"/>
      <c r="W79" s="453"/>
      <c r="X79" s="453"/>
      <c r="Y79" s="453"/>
      <c r="Z79" s="453"/>
      <c r="AA79" s="453"/>
      <c r="AB79" s="453"/>
      <c r="AC79" s="453"/>
      <c r="AD79" s="453"/>
    </row>
    <row r="80" spans="1:30" ht="13">
      <c r="A80" s="464" t="s">
        <v>2007</v>
      </c>
      <c r="B80" s="464"/>
      <c r="C80" s="464"/>
      <c r="D80" s="470">
        <f>D76+D74+D79</f>
        <v>139559740</v>
      </c>
      <c r="E80" s="536">
        <v>139559740</v>
      </c>
      <c r="F80" s="688"/>
      <c r="G80" s="1045"/>
      <c r="H80" s="453"/>
      <c r="I80" s="453"/>
      <c r="J80" s="524"/>
      <c r="K80" s="525"/>
      <c r="L80" s="669"/>
      <c r="M80" s="453"/>
      <c r="N80" s="453"/>
      <c r="O80" s="453"/>
      <c r="P80" s="453"/>
      <c r="Q80" s="453"/>
      <c r="R80" s="453"/>
      <c r="S80" s="453"/>
      <c r="T80" s="453"/>
      <c r="U80" s="453"/>
      <c r="V80" s="453"/>
      <c r="W80" s="453"/>
      <c r="X80" s="453"/>
      <c r="Y80" s="453"/>
      <c r="Z80" s="453"/>
      <c r="AA80" s="453"/>
      <c r="AB80" s="453"/>
      <c r="AC80" s="453"/>
      <c r="AD80" s="453"/>
    </row>
    <row r="81" spans="1:30" ht="13">
      <c r="A81" s="472" t="s">
        <v>337</v>
      </c>
      <c r="B81" s="473"/>
      <c r="C81" s="473"/>
      <c r="D81" s="474"/>
      <c r="E81" s="447"/>
      <c r="F81" s="436"/>
      <c r="G81" s="453"/>
      <c r="H81" s="453"/>
      <c r="I81" s="453"/>
      <c r="J81" s="524"/>
      <c r="K81" s="525"/>
      <c r="L81" s="669"/>
      <c r="M81" s="453"/>
      <c r="N81" s="453"/>
      <c r="O81" s="453"/>
      <c r="P81" s="453"/>
      <c r="Q81" s="453"/>
      <c r="R81" s="453"/>
      <c r="S81" s="453"/>
      <c r="T81" s="453"/>
      <c r="U81" s="453"/>
      <c r="V81" s="453"/>
      <c r="W81" s="453"/>
      <c r="X81" s="453"/>
      <c r="Y81" s="453"/>
      <c r="Z81" s="453"/>
      <c r="AA81" s="453"/>
      <c r="AB81" s="453"/>
      <c r="AC81" s="453"/>
      <c r="AD81" s="453"/>
    </row>
    <row r="82" spans="1:30" ht="13">
      <c r="A82" s="758"/>
      <c r="B82" s="473"/>
      <c r="C82" s="473"/>
      <c r="D82" s="474"/>
      <c r="E82" s="616" t="s">
        <v>2001</v>
      </c>
      <c r="F82" s="616" t="s">
        <v>1056</v>
      </c>
      <c r="G82" s="616" t="s">
        <v>748</v>
      </c>
      <c r="H82" s="453"/>
      <c r="I82" s="454"/>
      <c r="J82" s="524"/>
      <c r="K82" s="525"/>
      <c r="L82" s="680"/>
      <c r="M82" s="453"/>
      <c r="N82" s="453"/>
      <c r="O82" s="453"/>
      <c r="P82" s="453"/>
      <c r="Q82" s="453"/>
      <c r="R82" s="453"/>
      <c r="S82" s="453"/>
      <c r="T82" s="453"/>
      <c r="U82" s="453"/>
      <c r="V82" s="453"/>
      <c r="W82" s="453"/>
      <c r="X82" s="453"/>
      <c r="Y82" s="453"/>
      <c r="Z82" s="453"/>
      <c r="AA82" s="453"/>
      <c r="AB82" s="453"/>
      <c r="AC82" s="453"/>
      <c r="AD82" s="453"/>
    </row>
    <row r="83" spans="1:30">
      <c r="A83" s="489" t="s">
        <v>965</v>
      </c>
      <c r="B83" s="473"/>
      <c r="C83" s="524"/>
      <c r="D83" s="1029">
        <v>462259</v>
      </c>
      <c r="E83" s="531">
        <v>451364</v>
      </c>
      <c r="F83" s="531">
        <f>D83-E83</f>
        <v>10895</v>
      </c>
      <c r="G83" s="531">
        <f>F83*1000/D96</f>
        <v>2.0269786297475627</v>
      </c>
      <c r="H83" s="454"/>
      <c r="I83" s="767"/>
      <c r="J83" s="681"/>
      <c r="K83" s="682"/>
      <c r="L83" s="567"/>
      <c r="M83" s="453"/>
      <c r="N83" s="453"/>
      <c r="O83" s="453"/>
      <c r="P83" s="453"/>
      <c r="Q83" s="453"/>
      <c r="R83" s="453"/>
      <c r="S83" s="453"/>
      <c r="T83" s="453"/>
      <c r="U83" s="453"/>
      <c r="V83" s="453"/>
      <c r="W83" s="453"/>
      <c r="X83" s="453"/>
      <c r="Y83" s="453"/>
      <c r="Z83" s="453"/>
      <c r="AA83" s="453"/>
      <c r="AB83" s="453"/>
      <c r="AC83" s="453"/>
      <c r="AD83" s="453"/>
    </row>
    <row r="84" spans="1:30">
      <c r="A84" s="456" t="s">
        <v>352</v>
      </c>
      <c r="B84" s="473"/>
      <c r="C84" s="473"/>
      <c r="D84" s="1029">
        <v>190848</v>
      </c>
      <c r="E84" s="531">
        <v>203885</v>
      </c>
      <c r="F84" s="531">
        <f t="shared" ref="F84:F93" si="4">D84-E84</f>
        <v>-13037</v>
      </c>
      <c r="G84" s="531">
        <f>F84*1000/D96</f>
        <v>-2.425490628363375</v>
      </c>
      <c r="H84" s="454"/>
      <c r="I84" s="454"/>
      <c r="J84" s="453"/>
      <c r="K84" s="831"/>
      <c r="L84" s="453"/>
      <c r="M84" s="453"/>
      <c r="N84" s="453"/>
      <c r="O84" s="453"/>
      <c r="P84" s="453"/>
      <c r="Q84" s="453"/>
      <c r="R84" s="453"/>
      <c r="S84" s="453"/>
      <c r="T84" s="453"/>
      <c r="U84" s="453"/>
      <c r="V84" s="453"/>
      <c r="W84" s="453"/>
      <c r="X84" s="453"/>
      <c r="Y84" s="453"/>
      <c r="Z84" s="453"/>
      <c r="AA84" s="453"/>
      <c r="AB84" s="453"/>
      <c r="AC84" s="453"/>
      <c r="AD84" s="453"/>
    </row>
    <row r="85" spans="1:30">
      <c r="A85" s="489" t="s">
        <v>1177</v>
      </c>
      <c r="B85" s="456"/>
      <c r="C85" s="489"/>
      <c r="D85" s="1029">
        <v>826156</v>
      </c>
      <c r="E85" s="531">
        <v>788742</v>
      </c>
      <c r="F85" s="531">
        <f t="shared" si="4"/>
        <v>37414</v>
      </c>
      <c r="G85" s="531">
        <f>F85*1000/D96</f>
        <v>6.9607506611634058</v>
      </c>
      <c r="H85" s="454"/>
      <c r="I85" s="453"/>
      <c r="J85" s="449"/>
      <c r="K85" s="832"/>
      <c r="L85" s="669"/>
      <c r="M85" s="453"/>
      <c r="N85" s="453"/>
      <c r="O85" s="453"/>
      <c r="P85" s="453"/>
      <c r="Q85" s="453"/>
      <c r="R85" s="453"/>
      <c r="S85" s="453"/>
      <c r="T85" s="453"/>
      <c r="U85" s="453"/>
      <c r="V85" s="453"/>
      <c r="W85" s="453"/>
      <c r="X85" s="453"/>
      <c r="Y85" s="453"/>
      <c r="Z85" s="453"/>
      <c r="AA85" s="453"/>
      <c r="AB85" s="453"/>
      <c r="AC85" s="453"/>
      <c r="AD85" s="453"/>
    </row>
    <row r="86" spans="1:30">
      <c r="A86" s="456" t="s">
        <v>764</v>
      </c>
      <c r="B86" s="456"/>
      <c r="C86" s="489"/>
      <c r="D86" s="1029">
        <f>995000+30000</f>
        <v>1025000</v>
      </c>
      <c r="E86" s="531">
        <f>1084000+400000+100000+400000</f>
        <v>1984000</v>
      </c>
      <c r="F86" s="531">
        <f>D86-E86</f>
        <v>-959000</v>
      </c>
      <c r="G86" s="531">
        <f>F86*1000/D96</f>
        <v>-178.41877062211222</v>
      </c>
      <c r="H86" s="454"/>
      <c r="I86" s="453"/>
      <c r="J86" s="449"/>
      <c r="K86" s="833"/>
      <c r="L86" s="444"/>
      <c r="M86" s="453"/>
      <c r="N86" s="453"/>
      <c r="O86" s="453"/>
      <c r="P86" s="453"/>
      <c r="Q86" s="453"/>
      <c r="R86" s="453"/>
      <c r="S86" s="453"/>
      <c r="T86" s="453"/>
      <c r="U86" s="453"/>
      <c r="V86" s="453"/>
      <c r="W86" s="453"/>
      <c r="X86" s="453"/>
      <c r="Y86" s="453"/>
      <c r="Z86" s="453"/>
      <c r="AA86" s="453"/>
      <c r="AB86" s="453"/>
      <c r="AC86" s="453"/>
      <c r="AD86" s="453"/>
    </row>
    <row r="87" spans="1:30">
      <c r="A87" s="489" t="s">
        <v>1426</v>
      </c>
      <c r="B87" s="456"/>
      <c r="C87" s="489"/>
      <c r="D87" s="1029">
        <v>1789344</v>
      </c>
      <c r="E87" s="531">
        <f>1749942</f>
        <v>1749942</v>
      </c>
      <c r="F87" s="531">
        <f t="shared" si="4"/>
        <v>39402</v>
      </c>
      <c r="G87" s="531">
        <f>F87*1000/D96</f>
        <v>7.330611470336251</v>
      </c>
      <c r="H87" s="454"/>
      <c r="I87" s="453"/>
      <c r="J87" s="449"/>
      <c r="K87" s="833"/>
      <c r="L87" s="680"/>
      <c r="M87" s="453"/>
      <c r="N87" s="453"/>
      <c r="O87" s="453"/>
      <c r="P87" s="453"/>
      <c r="Q87" s="453"/>
      <c r="R87" s="453"/>
      <c r="S87" s="453"/>
      <c r="T87" s="453"/>
      <c r="U87" s="453"/>
      <c r="V87" s="453"/>
      <c r="W87" s="453"/>
      <c r="X87" s="453"/>
      <c r="Y87" s="453"/>
      <c r="Z87" s="453"/>
      <c r="AA87" s="453"/>
      <c r="AB87" s="453"/>
      <c r="AC87" s="453"/>
      <c r="AD87" s="453"/>
    </row>
    <row r="88" spans="1:30">
      <c r="A88" s="456" t="s">
        <v>765</v>
      </c>
      <c r="B88" s="456"/>
      <c r="C88" s="489"/>
      <c r="D88" s="1029">
        <f>604897.347+0.653</f>
        <v>604898</v>
      </c>
      <c r="E88" s="531">
        <v>581233</v>
      </c>
      <c r="F88" s="531">
        <f t="shared" si="4"/>
        <v>23665</v>
      </c>
      <c r="G88" s="531">
        <f>F88*1000/D96</f>
        <v>4.402794793297482</v>
      </c>
      <c r="H88" s="454"/>
      <c r="I88" s="453"/>
      <c r="J88" s="449"/>
      <c r="K88" s="682"/>
      <c r="L88" s="567"/>
      <c r="M88" s="453"/>
      <c r="N88" s="453"/>
      <c r="O88" s="453"/>
      <c r="P88" s="453"/>
      <c r="Q88" s="453"/>
      <c r="R88" s="453"/>
      <c r="S88" s="453"/>
      <c r="T88" s="453"/>
      <c r="U88" s="453"/>
      <c r="V88" s="453"/>
      <c r="W88" s="453"/>
      <c r="X88" s="453"/>
      <c r="Y88" s="453"/>
      <c r="Z88" s="453"/>
      <c r="AA88" s="453"/>
      <c r="AB88" s="453"/>
      <c r="AC88" s="453"/>
      <c r="AD88" s="453"/>
    </row>
    <row r="89" spans="1:30">
      <c r="A89" s="489" t="s">
        <v>1295</v>
      </c>
      <c r="B89" s="456"/>
      <c r="C89" s="456"/>
      <c r="D89" s="1029">
        <f>202896.32+0.68</f>
        <v>202897</v>
      </c>
      <c r="E89" s="531">
        <v>196855</v>
      </c>
      <c r="F89" s="531">
        <f>D89-E89</f>
        <v>6042</v>
      </c>
      <c r="G89" s="531">
        <f>F89*1000/D96</f>
        <v>1.1240940689247152</v>
      </c>
      <c r="H89" s="454"/>
      <c r="I89" s="453"/>
      <c r="J89" s="449"/>
      <c r="K89" s="682"/>
      <c r="L89" s="567"/>
      <c r="M89" s="453"/>
      <c r="N89" s="453"/>
      <c r="O89" s="453"/>
      <c r="P89" s="453"/>
      <c r="Q89" s="453"/>
      <c r="R89" s="453"/>
      <c r="S89" s="453"/>
      <c r="T89" s="453"/>
      <c r="U89" s="453"/>
      <c r="V89" s="453"/>
      <c r="W89" s="453"/>
      <c r="X89" s="453"/>
      <c r="Y89" s="453"/>
      <c r="Z89" s="453"/>
      <c r="AA89" s="453"/>
      <c r="AB89" s="453"/>
      <c r="AC89" s="453"/>
      <c r="AD89" s="453"/>
    </row>
    <row r="90" spans="1:30">
      <c r="A90" s="489" t="s">
        <v>1074</v>
      </c>
      <c r="B90" s="456"/>
      <c r="C90" s="456"/>
      <c r="D90" s="1029">
        <v>1408519</v>
      </c>
      <c r="E90" s="531">
        <v>1383875.1813970001</v>
      </c>
      <c r="F90" s="531">
        <f t="shared" si="4"/>
        <v>24643.818602999905</v>
      </c>
      <c r="G90" s="531">
        <f>F90*1000/D96</f>
        <v>4.5849007493030047</v>
      </c>
      <c r="H90" s="454"/>
      <c r="I90" s="453"/>
      <c r="J90" s="449"/>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1075</v>
      </c>
      <c r="B91" s="456"/>
      <c r="C91" s="456"/>
      <c r="D91" s="1029">
        <v>-19350</v>
      </c>
      <c r="E91" s="531">
        <v>-19350</v>
      </c>
      <c r="F91" s="531">
        <f t="shared" si="4"/>
        <v>0</v>
      </c>
      <c r="G91" s="531">
        <f>F91*1000/D96</f>
        <v>0</v>
      </c>
      <c r="H91" s="454"/>
      <c r="I91" s="453"/>
      <c r="J91" s="449"/>
      <c r="K91" s="453"/>
      <c r="L91" s="453"/>
      <c r="M91" s="453"/>
      <c r="N91" s="453"/>
      <c r="O91" s="453"/>
      <c r="P91" s="453"/>
      <c r="Q91" s="453"/>
      <c r="R91" s="453"/>
      <c r="S91" s="453"/>
      <c r="T91" s="453"/>
      <c r="U91" s="453"/>
      <c r="V91" s="453"/>
      <c r="W91" s="453"/>
      <c r="X91" s="453"/>
      <c r="Y91" s="453"/>
      <c r="Z91" s="453"/>
      <c r="AA91" s="453"/>
      <c r="AB91" s="453"/>
      <c r="AC91" s="453"/>
      <c r="AD91" s="453"/>
    </row>
    <row r="92" spans="1:30">
      <c r="A92" s="489" t="s">
        <v>1142</v>
      </c>
      <c r="B92" s="456"/>
      <c r="C92" s="456"/>
      <c r="D92" s="1029">
        <v>58977</v>
      </c>
      <c r="E92" s="531">
        <v>57426.646765550002</v>
      </c>
      <c r="F92" s="531">
        <f t="shared" si="4"/>
        <v>1550.3532344499981</v>
      </c>
      <c r="G92" s="531">
        <f>F92*1000/D96</f>
        <v>0.28843807937495719</v>
      </c>
      <c r="H92" s="454"/>
      <c r="I92" s="453"/>
      <c r="J92" s="449"/>
      <c r="K92" s="834"/>
      <c r="L92" s="669"/>
      <c r="M92" s="453"/>
      <c r="N92" s="453"/>
      <c r="O92" s="453"/>
      <c r="P92" s="453"/>
      <c r="Q92" s="453"/>
      <c r="R92" s="453"/>
      <c r="S92" s="453"/>
      <c r="T92" s="453"/>
      <c r="U92" s="453"/>
      <c r="V92" s="453"/>
      <c r="W92" s="453"/>
      <c r="X92" s="453"/>
      <c r="Y92" s="453"/>
      <c r="Z92" s="453"/>
      <c r="AA92" s="453"/>
      <c r="AB92" s="453"/>
      <c r="AC92" s="453"/>
      <c r="AD92" s="453"/>
    </row>
    <row r="93" spans="1:30">
      <c r="A93" s="489" t="s">
        <v>1138</v>
      </c>
      <c r="B93" s="456"/>
      <c r="C93" s="456"/>
      <c r="D93" s="1029">
        <f>-1935042</f>
        <v>-1935042</v>
      </c>
      <c r="E93" s="531">
        <f>-999623.1866-4300</f>
        <v>-1003923.1866</v>
      </c>
      <c r="F93" s="531">
        <f t="shared" si="4"/>
        <v>-931118.81339999998</v>
      </c>
      <c r="G93" s="531">
        <f>F93*1000/D96</f>
        <v>-173.23156828983096</v>
      </c>
      <c r="H93" s="454"/>
      <c r="I93" s="453"/>
      <c r="J93" s="449"/>
      <c r="K93" s="444"/>
      <c r="L93" s="444"/>
      <c r="M93" s="453"/>
      <c r="N93" s="453"/>
      <c r="O93" s="453"/>
      <c r="P93" s="453"/>
      <c r="Q93" s="453"/>
      <c r="R93" s="453"/>
      <c r="S93" s="453"/>
      <c r="T93" s="453"/>
      <c r="U93" s="453"/>
      <c r="V93" s="453"/>
      <c r="W93" s="453"/>
      <c r="X93" s="453"/>
      <c r="Y93" s="453"/>
      <c r="Z93" s="453"/>
      <c r="AA93" s="453"/>
      <c r="AB93" s="453"/>
      <c r="AC93" s="453"/>
      <c r="AD93" s="453"/>
    </row>
    <row r="94" spans="1:30">
      <c r="A94" s="489" t="s">
        <v>1937</v>
      </c>
      <c r="B94" s="456"/>
      <c r="C94" s="456"/>
      <c r="D94" s="1029">
        <f>(928990-30580+4064+676201+100000+174400)</f>
        <v>1853075</v>
      </c>
      <c r="E94" s="531">
        <v>2538793.44395818</v>
      </c>
      <c r="F94" s="531">
        <f>D94-E94</f>
        <v>-685718.44395818003</v>
      </c>
      <c r="G94" s="531">
        <f>F94*1000/D96</f>
        <v>-127.5756431323527</v>
      </c>
      <c r="H94" s="454"/>
      <c r="I94" s="453"/>
      <c r="J94" s="449"/>
      <c r="K94" s="444"/>
      <c r="L94" s="444"/>
      <c r="M94" s="453"/>
      <c r="N94" s="453"/>
      <c r="O94" s="453"/>
      <c r="P94" s="453"/>
      <c r="Q94" s="453"/>
      <c r="R94" s="453"/>
      <c r="S94" s="453"/>
      <c r="T94" s="453"/>
      <c r="U94" s="453"/>
      <c r="V94" s="453"/>
      <c r="W94" s="453"/>
      <c r="X94" s="453"/>
      <c r="Y94" s="453"/>
      <c r="Z94" s="453"/>
      <c r="AA94" s="453"/>
      <c r="AB94" s="453"/>
      <c r="AC94" s="453"/>
      <c r="AD94" s="453"/>
    </row>
    <row r="95" spans="1:30" ht="13">
      <c r="A95" s="464" t="s">
        <v>2123</v>
      </c>
      <c r="B95" s="464"/>
      <c r="C95" s="464"/>
      <c r="D95" s="812">
        <f>+D80-D83-D84-D85-D86-D87-D88-D90-D91-D92-D93-D89-D94</f>
        <v>133092159</v>
      </c>
      <c r="E95" s="437"/>
      <c r="F95" s="437">
        <f>SUM(F83:F94)</f>
        <v>-2445262.0855207304</v>
      </c>
      <c r="G95" s="437">
        <f>SUM(G83:G94)</f>
        <v>-454.93290422051183</v>
      </c>
      <c r="H95" s="454"/>
      <c r="I95" s="453"/>
      <c r="J95" s="449"/>
      <c r="K95" s="444"/>
      <c r="L95" s="444"/>
      <c r="M95" s="453"/>
      <c r="N95" s="453"/>
      <c r="O95" s="453"/>
      <c r="P95" s="453"/>
      <c r="Q95" s="453"/>
      <c r="R95" s="453"/>
      <c r="S95" s="453"/>
      <c r="T95" s="453"/>
      <c r="U95" s="453"/>
      <c r="V95" s="453"/>
      <c r="W95" s="453"/>
      <c r="X95" s="453"/>
      <c r="Y95" s="453"/>
      <c r="Z95" s="453"/>
      <c r="AA95" s="453"/>
      <c r="AB95" s="453"/>
      <c r="AC95" s="453"/>
      <c r="AD95" s="453"/>
    </row>
    <row r="96" spans="1:30" ht="13">
      <c r="A96" s="475" t="s">
        <v>2008</v>
      </c>
      <c r="B96" s="475"/>
      <c r="C96" s="475"/>
      <c r="D96" s="476">
        <f>Gdata!E60</f>
        <v>5374995</v>
      </c>
      <c r="E96" s="449"/>
      <c r="F96" s="615"/>
      <c r="G96" s="455" t="s">
        <v>1124</v>
      </c>
      <c r="H96" s="453"/>
      <c r="I96" s="453"/>
      <c r="J96" s="449"/>
      <c r="K96" s="444"/>
      <c r="L96" s="444"/>
      <c r="M96" s="453"/>
      <c r="N96" s="453"/>
      <c r="O96" s="453"/>
      <c r="P96" s="453"/>
      <c r="Q96" s="453"/>
      <c r="R96" s="453"/>
      <c r="S96" s="453"/>
      <c r="T96" s="453"/>
      <c r="U96" s="453"/>
      <c r="V96" s="453"/>
      <c r="W96" s="453"/>
      <c r="X96" s="453"/>
      <c r="Y96" s="453"/>
      <c r="Z96" s="453"/>
      <c r="AA96" s="453"/>
      <c r="AB96" s="453"/>
      <c r="AC96" s="453"/>
      <c r="AD96" s="453"/>
    </row>
    <row r="97" spans="1:30" ht="13.5" thickBot="1">
      <c r="A97" s="477" t="s">
        <v>2124</v>
      </c>
      <c r="B97" s="477"/>
      <c r="C97" s="477"/>
      <c r="D97" s="478">
        <f>D95*1000/D96</f>
        <v>24761.354940795292</v>
      </c>
      <c r="E97" s="620"/>
      <c r="F97" s="656"/>
      <c r="G97" s="656">
        <f>G83+G84+G85+G87+G88+G90+G92+G93+G89+G94</f>
        <v>-276.51413359839967</v>
      </c>
      <c r="H97" s="453" t="s">
        <v>1090</v>
      </c>
      <c r="I97" s="453"/>
      <c r="J97" s="449"/>
      <c r="K97" s="682"/>
      <c r="L97" s="680"/>
      <c r="M97" s="453"/>
      <c r="N97" s="453"/>
      <c r="O97" s="453"/>
      <c r="P97" s="453"/>
      <c r="Q97" s="453"/>
      <c r="R97" s="453"/>
      <c r="S97" s="453"/>
      <c r="T97" s="453"/>
      <c r="U97" s="453"/>
      <c r="V97" s="453"/>
      <c r="W97" s="453"/>
      <c r="X97" s="453"/>
      <c r="Y97" s="453"/>
      <c r="Z97" s="453"/>
      <c r="AA97" s="453"/>
      <c r="AB97" s="453"/>
      <c r="AC97" s="453"/>
      <c r="AD97" s="453"/>
    </row>
    <row r="98" spans="1:30" ht="13">
      <c r="A98" s="451"/>
      <c r="B98" s="451"/>
      <c r="C98" s="451"/>
      <c r="D98" s="452"/>
      <c r="E98" s="447"/>
      <c r="F98" s="447"/>
      <c r="G98" s="572">
        <f>(((D83+D84+D85+D87+D88+D90+D92+D93+D89+D94)/(1+B76))-(SUM(E83:E94)-E86-E91))*1000/D96</f>
        <v>-303.22952033031424</v>
      </c>
      <c r="H98" s="453" t="s">
        <v>1089</v>
      </c>
      <c r="I98" s="453"/>
      <c r="J98" s="733"/>
      <c r="K98" s="682"/>
      <c r="L98" s="567"/>
      <c r="M98" s="453"/>
      <c r="N98" s="453"/>
      <c r="O98" s="453"/>
      <c r="P98" s="453"/>
      <c r="Q98" s="453"/>
      <c r="R98" s="453"/>
      <c r="S98" s="453"/>
      <c r="T98" s="453"/>
      <c r="U98" s="453"/>
      <c r="V98" s="453"/>
      <c r="W98" s="453"/>
      <c r="X98" s="453"/>
      <c r="Y98" s="453"/>
      <c r="Z98" s="453"/>
      <c r="AA98" s="453"/>
      <c r="AB98" s="453"/>
      <c r="AC98" s="453"/>
      <c r="AD98" s="453"/>
    </row>
    <row r="99" spans="1:30">
      <c r="A99" s="436"/>
      <c r="B99" s="436"/>
      <c r="C99" s="436"/>
      <c r="D99" s="848"/>
      <c r="E99" s="447"/>
      <c r="F99" s="436"/>
      <c r="G99" s="572">
        <f>((D86+D91)-(E86+E91))*1000/D96</f>
        <v>-178.41877062211222</v>
      </c>
      <c r="H99" s="453" t="s">
        <v>1091</v>
      </c>
      <c r="I99" s="453"/>
      <c r="J99" s="453"/>
      <c r="K99" s="453"/>
      <c r="L99" s="453"/>
      <c r="M99" s="453"/>
      <c r="N99" s="453"/>
      <c r="O99" s="453"/>
      <c r="P99" s="453"/>
      <c r="Q99" s="453"/>
      <c r="R99" s="453"/>
      <c r="S99" s="453"/>
      <c r="T99" s="453"/>
      <c r="U99" s="453"/>
      <c r="V99" s="453"/>
      <c r="W99" s="453"/>
      <c r="X99" s="453"/>
      <c r="Y99" s="453"/>
      <c r="Z99" s="453"/>
      <c r="AA99" s="453"/>
      <c r="AB99" s="453"/>
      <c r="AC99" s="453"/>
      <c r="AD99" s="453"/>
    </row>
    <row r="100" spans="1:30">
      <c r="A100" s="669"/>
      <c r="B100" s="474"/>
      <c r="C100" s="473"/>
      <c r="D100" s="849"/>
      <c r="E100" s="447"/>
      <c r="F100" s="436"/>
      <c r="G100" s="454">
        <f>(F83+F84+F85+F87+F88+F90+F92+F93+F89+F94)</f>
        <v>-1486262.0855207301</v>
      </c>
      <c r="H100" s="489" t="s">
        <v>1125</v>
      </c>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row>
    <row r="101" spans="1:30">
      <c r="A101" s="669"/>
      <c r="B101" s="474"/>
      <c r="C101" s="473"/>
      <c r="D101" s="856">
        <f>+D79/D74</f>
        <v>-3.6911665378555995E-2</v>
      </c>
      <c r="E101" s="447"/>
      <c r="F101" s="436"/>
      <c r="G101" s="454">
        <f>(((D83+D84+D85+D87+D88+D90+D92+D93+D89+D94)/(1+B76))-(SUM(E83:E94)-E86-E91))</f>
        <v>-1629857.1556278374</v>
      </c>
      <c r="H101" s="489" t="s">
        <v>1139</v>
      </c>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row>
    <row r="102" spans="1:30">
      <c r="A102" s="669"/>
      <c r="B102" s="669"/>
      <c r="C102" s="669"/>
      <c r="D102" s="567"/>
      <c r="E102" s="436"/>
      <c r="F102" s="436"/>
      <c r="G102" s="454">
        <f>(D86+D91)/(1+B76)-(E86+E91)</f>
        <v>-985438.70496592007</v>
      </c>
      <c r="H102" s="489" t="s">
        <v>1140</v>
      </c>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row>
    <row r="103" spans="1:30">
      <c r="A103" s="524"/>
      <c r="B103" s="669"/>
      <c r="C103" s="669"/>
      <c r="D103" s="834"/>
      <c r="E103" s="792"/>
      <c r="F103" s="453"/>
      <c r="G103" s="454"/>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row>
    <row r="104" spans="1:30">
      <c r="A104" s="491"/>
      <c r="B104" s="669"/>
      <c r="C104" s="669"/>
      <c r="D104" s="835"/>
      <c r="E104" s="454"/>
      <c r="F104" s="454"/>
      <c r="G104" s="454"/>
      <c r="H104" s="454"/>
      <c r="I104" s="454"/>
      <c r="J104" s="454"/>
      <c r="K104" s="453"/>
      <c r="L104" s="453"/>
      <c r="M104" s="453"/>
      <c r="N104" s="453"/>
      <c r="O104" s="453"/>
      <c r="P104" s="453"/>
      <c r="Q104" s="453"/>
      <c r="R104" s="453"/>
      <c r="S104" s="453"/>
      <c r="T104" s="453"/>
      <c r="U104" s="453"/>
      <c r="V104" s="453"/>
      <c r="W104" s="453"/>
      <c r="X104" s="453"/>
      <c r="Y104" s="453"/>
      <c r="Z104" s="453"/>
      <c r="AA104" s="453"/>
      <c r="AB104" s="453"/>
      <c r="AC104" s="453"/>
      <c r="AD104" s="453"/>
    </row>
    <row r="105" spans="1:30">
      <c r="A105" s="669"/>
      <c r="B105" s="669"/>
      <c r="C105" s="669"/>
      <c r="D105" s="835"/>
      <c r="E105" s="454"/>
      <c r="F105" s="453"/>
      <c r="G105" s="454"/>
      <c r="H105" s="454"/>
      <c r="I105" s="454"/>
      <c r="J105" s="454"/>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669"/>
      <c r="C106" s="669"/>
      <c r="D106" s="835"/>
      <c r="E106" s="454"/>
      <c r="F106" s="453"/>
      <c r="G106" s="998"/>
      <c r="H106" s="767" t="s">
        <v>2043</v>
      </c>
      <c r="I106" s="454"/>
      <c r="J106" s="454"/>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35"/>
      <c r="E107" s="454"/>
      <c r="F107" s="453"/>
      <c r="G107" s="454"/>
      <c r="H107" s="454"/>
      <c r="I107" s="454"/>
      <c r="J107" s="454"/>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835"/>
      <c r="E108" s="453"/>
      <c r="F108" s="453"/>
      <c r="G108" s="454"/>
      <c r="H108" s="454"/>
      <c r="I108" s="454"/>
      <c r="J108" s="454"/>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453"/>
      <c r="F109" s="453"/>
      <c r="G109" s="454"/>
      <c r="H109" s="454"/>
      <c r="I109" s="454"/>
      <c r="J109" s="454"/>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526"/>
      <c r="E110" s="5"/>
      <c r="F110" s="491"/>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J111" s="453"/>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D112" s="811">
        <f>+D97/'R19'!D74-1</f>
        <v>2.0916812360518566E-3</v>
      </c>
      <c r="E112" s="5"/>
      <c r="M112" s="453"/>
      <c r="N112" s="453"/>
      <c r="O112" s="453"/>
      <c r="P112" s="453"/>
      <c r="Q112" s="453"/>
      <c r="R112" s="453"/>
      <c r="S112" s="453"/>
      <c r="T112" s="453"/>
      <c r="U112" s="453"/>
      <c r="V112" s="453"/>
      <c r="W112" s="453"/>
      <c r="X112" s="453"/>
      <c r="Y112" s="453"/>
      <c r="Z112" s="453"/>
      <c r="AA112" s="453"/>
      <c r="AB112" s="453"/>
      <c r="AC112" s="453"/>
      <c r="AD112" s="453"/>
    </row>
    <row r="113" spans="5:5">
      <c r="E113" s="5"/>
    </row>
    <row r="114" spans="5:5">
      <c r="E114" s="5"/>
    </row>
    <row r="115" spans="5:5">
      <c r="E115" s="5"/>
    </row>
    <row r="116" spans="5:5">
      <c r="E116" s="517"/>
    </row>
    <row r="117" spans="5:5">
      <c r="E117" s="5"/>
    </row>
    <row r="119" spans="5:5">
      <c r="E119" s="5"/>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zoomScaleNormal="100" workbookViewId="0">
      <selection activeCell="D85" sqref="D85"/>
    </sheetView>
  </sheetViews>
  <sheetFormatPr baseColWidth="10" defaultRowHeight="12.5"/>
  <cols>
    <col min="1" max="1" width="32.54296875" customWidth="1"/>
    <col min="2" max="2" width="10.1796875" bestFit="1" customWidth="1"/>
    <col min="3" max="3" width="20.726562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2521</v>
      </c>
      <c r="B1" s="61"/>
      <c r="C1" s="61"/>
      <c r="D1" s="125"/>
      <c r="E1" s="125"/>
      <c r="F1" s="125"/>
      <c r="G1" s="61"/>
      <c r="H1" s="61"/>
      <c r="I1" s="61"/>
      <c r="J1" s="61"/>
      <c r="K1" s="74" t="s">
        <v>719</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2191</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2188</v>
      </c>
      <c r="B5" s="458"/>
      <c r="C5" s="455"/>
      <c r="D5" s="459">
        <f>+'R21'!D80</f>
        <v>139559740</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2163</v>
      </c>
      <c r="B6" s="460"/>
      <c r="C6" s="455"/>
      <c r="D6" s="459"/>
      <c r="E6" s="436"/>
      <c r="F6" s="436"/>
      <c r="G6" s="642" t="s">
        <v>2180</v>
      </c>
      <c r="H6" s="534"/>
      <c r="I6" s="533">
        <f>+D7+D8+D9+D10</f>
        <v>365820</v>
      </c>
      <c r="J6" s="436"/>
      <c r="K6" s="436"/>
      <c r="L6" s="436"/>
      <c r="M6" s="453"/>
      <c r="N6" s="453"/>
      <c r="O6" s="453"/>
      <c r="P6" s="453"/>
      <c r="Q6" s="453"/>
      <c r="R6" s="453"/>
      <c r="S6" s="453"/>
      <c r="T6" s="453"/>
      <c r="U6" s="453"/>
      <c r="V6" s="453"/>
      <c r="W6" s="453"/>
      <c r="X6" s="453"/>
      <c r="Y6" s="453"/>
      <c r="Z6" s="453"/>
      <c r="AA6" s="453"/>
      <c r="AB6" s="453"/>
      <c r="AC6" s="453"/>
      <c r="AD6" s="453"/>
    </row>
    <row r="7" spans="1:30" ht="13">
      <c r="A7" s="460" t="s">
        <v>2045</v>
      </c>
      <c r="B7" s="460"/>
      <c r="C7" s="455"/>
      <c r="D7" s="1072">
        <v>65000</v>
      </c>
      <c r="E7" s="447"/>
      <c r="F7" s="436"/>
      <c r="G7" s="441" t="s">
        <v>964</v>
      </c>
      <c r="H7" s="730">
        <f>I6*1000/Gdata!E60</f>
        <v>68.059598194975067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460" t="s">
        <v>2159</v>
      </c>
      <c r="B8" s="460"/>
      <c r="C8" s="455"/>
      <c r="D8" s="1072">
        <v>215820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2160</v>
      </c>
      <c r="B9" s="460"/>
      <c r="C9" s="455"/>
      <c r="D9" s="1072">
        <v>135000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2162</v>
      </c>
      <c r="B10" s="460"/>
      <c r="C10" s="455"/>
      <c r="D10" s="1072">
        <v>-50000</v>
      </c>
      <c r="E10" s="447"/>
      <c r="F10" s="436"/>
      <c r="G10" s="642" t="s">
        <v>2181</v>
      </c>
      <c r="H10" s="534"/>
      <c r="I10" s="533">
        <f>D14+D15+D16+D17+D21+D22+D23+D24</f>
        <v>10078000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53"/>
      <c r="B11" s="453"/>
      <c r="C11" s="453"/>
      <c r="D11" s="729"/>
      <c r="E11" s="436"/>
      <c r="F11" s="436"/>
      <c r="G11" s="441" t="s">
        <v>964</v>
      </c>
      <c r="H11" s="730">
        <f>I10*1000/Gdata!E60</f>
        <v>1874.9784883520822</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53"/>
      <c r="B12" s="453"/>
      <c r="C12" s="453"/>
      <c r="D12" s="729"/>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ht="13">
      <c r="A13" s="974" t="s">
        <v>2161</v>
      </c>
      <c r="B13" s="458"/>
      <c r="C13" s="455"/>
      <c r="D13" s="1072"/>
      <c r="E13" s="447"/>
      <c r="F13" s="436"/>
      <c r="G13" s="436"/>
      <c r="H13" s="436"/>
      <c r="I13" s="532"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ht="13">
      <c r="A14" s="460" t="s">
        <v>2156</v>
      </c>
      <c r="B14" s="458"/>
      <c r="C14" s="455"/>
      <c r="D14" s="1072">
        <v>4400000</v>
      </c>
      <c r="E14" s="447"/>
      <c r="F14" s="436"/>
      <c r="G14" s="642" t="s">
        <v>2182</v>
      </c>
      <c r="H14" s="534"/>
      <c r="I14" s="533">
        <f>+D28+D31</f>
        <v>199200</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ht="13">
      <c r="A15" s="460" t="s">
        <v>2158</v>
      </c>
      <c r="B15" s="460"/>
      <c r="C15" s="453"/>
      <c r="D15" s="1072">
        <v>321000</v>
      </c>
      <c r="E15" s="447"/>
      <c r="F15" s="436"/>
      <c r="G15" s="441" t="s">
        <v>964</v>
      </c>
      <c r="H15" s="730">
        <f>I14*1000/Gdata!E60</f>
        <v>37.060499591162412</v>
      </c>
      <c r="I15" s="588"/>
      <c r="J15" s="436"/>
      <c r="K15" s="447"/>
      <c r="L15" s="436"/>
      <c r="M15" s="453"/>
      <c r="N15" s="453"/>
      <c r="O15" s="453"/>
      <c r="P15" s="453"/>
      <c r="Q15" s="453"/>
      <c r="R15" s="453"/>
      <c r="S15" s="453"/>
      <c r="T15" s="453"/>
      <c r="U15" s="453"/>
      <c r="V15" s="453"/>
      <c r="W15" s="453"/>
      <c r="X15" s="453"/>
      <c r="Y15" s="453"/>
      <c r="Z15" s="453"/>
      <c r="AA15" s="453"/>
      <c r="AB15" s="453"/>
      <c r="AC15" s="453"/>
      <c r="AD15" s="453"/>
    </row>
    <row r="16" spans="1:30" ht="13">
      <c r="A16" s="460" t="s">
        <v>2157</v>
      </c>
      <c r="B16" s="460"/>
      <c r="C16" s="455"/>
      <c r="D16" s="1072">
        <v>1500000</v>
      </c>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460" t="s">
        <v>2164</v>
      </c>
      <c r="B17" s="460"/>
      <c r="C17" s="455"/>
      <c r="D17" s="1072">
        <v>500000</v>
      </c>
      <c r="E17" s="447"/>
      <c r="F17" s="436"/>
      <c r="G17" s="453"/>
      <c r="H17" s="453"/>
      <c r="I17" s="453"/>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53"/>
      <c r="B18" s="453"/>
      <c r="C18" s="453"/>
      <c r="D18" s="729"/>
      <c r="E18" s="447"/>
      <c r="F18" s="436"/>
      <c r="G18" s="436"/>
      <c r="H18" s="436"/>
      <c r="I18" s="481" t="s">
        <v>268</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53"/>
      <c r="B19" s="453"/>
      <c r="C19" s="453"/>
      <c r="D19" s="729"/>
      <c r="E19" s="447"/>
      <c r="F19" s="436"/>
      <c r="G19" s="484" t="s">
        <v>2165</v>
      </c>
      <c r="H19" s="468"/>
      <c r="I19" s="466">
        <f>+D85</f>
        <v>1348549.634146452</v>
      </c>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974" t="s">
        <v>2193</v>
      </c>
      <c r="B20" s="453"/>
      <c r="C20" s="453"/>
      <c r="D20" s="729"/>
      <c r="E20" s="447"/>
      <c r="F20" s="436"/>
      <c r="G20" s="448" t="s">
        <v>748</v>
      </c>
      <c r="H20" s="732">
        <f>I19*1000/Gdata!E60</f>
        <v>250.89318857905022</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t="s">
        <v>2194</v>
      </c>
      <c r="B21" s="453"/>
      <c r="C21" s="453"/>
      <c r="D21" s="1072">
        <v>1000000</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460" t="s">
        <v>2195</v>
      </c>
      <c r="B22" s="460"/>
      <c r="C22" s="455"/>
      <c r="D22" s="1072">
        <v>757000</v>
      </c>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2196</v>
      </c>
      <c r="B23" s="460"/>
      <c r="C23" s="455"/>
      <c r="D23" s="1072">
        <v>1500000</v>
      </c>
      <c r="E23" s="447"/>
      <c r="F23" s="436"/>
      <c r="G23" s="1070"/>
      <c r="H23" s="445"/>
      <c r="I23" s="481" t="s">
        <v>268</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729" t="s">
        <v>2211</v>
      </c>
      <c r="B24" s="460"/>
      <c r="C24" s="455"/>
      <c r="D24" s="1072">
        <v>100000</v>
      </c>
      <c r="E24" s="447"/>
      <c r="F24" s="436"/>
      <c r="G24" s="485" t="s">
        <v>2183</v>
      </c>
      <c r="H24" s="646"/>
      <c r="I24" s="647">
        <f>+D39+D40</f>
        <v>-6978000</v>
      </c>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4"/>
      <c r="B25" s="460"/>
      <c r="C25" s="455"/>
      <c r="D25" s="1072"/>
      <c r="E25" s="447"/>
      <c r="F25" s="436"/>
      <c r="G25" s="441" t="s">
        <v>964</v>
      </c>
      <c r="H25" s="731">
        <f>I24*1000/Gdata!E60</f>
        <v>-1298.2337657988519</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4"/>
      <c r="B26" s="460"/>
      <c r="C26" s="455"/>
      <c r="D26" s="1072"/>
      <c r="E26" s="447"/>
      <c r="F26" s="436"/>
      <c r="G26" s="453"/>
      <c r="H26" s="453"/>
      <c r="I26" s="453"/>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974" t="s">
        <v>2197</v>
      </c>
      <c r="B27" s="460"/>
      <c r="C27" s="455"/>
      <c r="D27" s="1072"/>
      <c r="E27" s="447"/>
      <c r="F27" s="436"/>
      <c r="G27" s="450"/>
      <c r="H27" s="445"/>
      <c r="I27" s="481" t="s">
        <v>268</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2198</v>
      </c>
      <c r="B28" s="458"/>
      <c r="C28" s="455"/>
      <c r="D28" s="1072">
        <v>75000</v>
      </c>
      <c r="E28" s="447"/>
      <c r="F28" s="436"/>
      <c r="G28" s="485" t="s">
        <v>2184</v>
      </c>
      <c r="H28" s="646"/>
      <c r="I28" s="647">
        <f>D42+D43+D44+D45+D46+D47+D48+D49+D50+D51+D52+D53+D54+D55+D56+D57+D58+D59+D60+D61+D62+D63+D64+D65+D66+D67+D68</f>
        <v>1763909.2682926832</v>
      </c>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2199</v>
      </c>
      <c r="B29" s="458"/>
      <c r="C29" s="455"/>
      <c r="D29" s="1072">
        <v>125000</v>
      </c>
      <c r="E29" s="462" t="s">
        <v>772</v>
      </c>
      <c r="F29" s="751" t="s">
        <v>766</v>
      </c>
      <c r="G29" s="441" t="s">
        <v>964</v>
      </c>
      <c r="H29" s="731">
        <f>I28*1000/Gdata!E60</f>
        <v>328.16947146791449</v>
      </c>
      <c r="I29" s="442"/>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2212</v>
      </c>
      <c r="B30" s="458"/>
      <c r="C30" s="455"/>
      <c r="D30" s="1072">
        <v>-129488</v>
      </c>
      <c r="E30" s="621" t="s">
        <v>2253</v>
      </c>
      <c r="F30" s="752"/>
      <c r="G30" s="453"/>
      <c r="H30" s="453"/>
      <c r="I30" s="453"/>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2226</v>
      </c>
      <c r="B31" s="458"/>
      <c r="C31" s="455"/>
      <c r="D31" s="1072">
        <v>124200</v>
      </c>
      <c r="E31" s="689"/>
      <c r="F31" s="753"/>
      <c r="G31" s="450"/>
      <c r="H31" s="445"/>
      <c r="I31" s="481" t="s">
        <v>268</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2187</v>
      </c>
      <c r="B32" s="439"/>
      <c r="C32" s="438"/>
      <c r="D32" s="440">
        <f>SUM(D5:D31)</f>
        <v>150198272</v>
      </c>
      <c r="E32" s="536">
        <v>150198272</v>
      </c>
      <c r="F32" s="688">
        <f>+D32-E32</f>
        <v>0</v>
      </c>
      <c r="G32" s="485" t="s">
        <v>2185</v>
      </c>
      <c r="H32" s="646"/>
      <c r="I32" s="647">
        <f>+D71</f>
        <v>-3100000</v>
      </c>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41" t="s">
        <v>964</v>
      </c>
      <c r="H33" s="731">
        <f>I32*1000/Gdata!E60</f>
        <v>-576.7447225532303</v>
      </c>
      <c r="I33" s="442"/>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1997</v>
      </c>
      <c r="B35" s="459"/>
      <c r="C35" s="456"/>
      <c r="D35" s="459"/>
      <c r="E35" s="447"/>
      <c r="F35" s="480"/>
      <c r="G35" s="453"/>
      <c r="H35" s="453"/>
      <c r="I35" s="481" t="s">
        <v>268</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1998</v>
      </c>
      <c r="E36" s="571" t="s">
        <v>2168</v>
      </c>
      <c r="F36" s="446"/>
      <c r="G36" s="485" t="s">
        <v>2186</v>
      </c>
      <c r="H36" s="646"/>
      <c r="I36" s="647">
        <f>+D72+D74+D75+D76+D77+D78</f>
        <v>1797972.7073170734</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41" t="s">
        <v>964</v>
      </c>
      <c r="H37" s="731">
        <f>I36*1000/Gdata!E60</f>
        <v>334.50686136769866</v>
      </c>
      <c r="I37" s="442"/>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1107</v>
      </c>
      <c r="B38" s="459"/>
      <c r="C38" s="467"/>
      <c r="D38" s="459"/>
      <c r="E38" s="447"/>
      <c r="F38" s="447"/>
      <c r="G38" s="453"/>
      <c r="H38" s="453"/>
      <c r="I38" s="453"/>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2166</v>
      </c>
      <c r="B39" s="459"/>
      <c r="C39" s="456"/>
      <c r="D39" s="1072">
        <f>-D14-D15-D21</f>
        <v>-5721000</v>
      </c>
      <c r="E39" s="447">
        <f>+D39*1.025</f>
        <v>-5864024.9999999991</v>
      </c>
      <c r="F39" s="687"/>
      <c r="G39" s="453"/>
      <c r="H39" s="453"/>
      <c r="I39" s="453"/>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2167</v>
      </c>
      <c r="B40" s="459"/>
      <c r="C40" s="456"/>
      <c r="D40" s="1072">
        <f>-D17-D22</f>
        <v>-1257000</v>
      </c>
      <c r="E40" s="447">
        <f>+D40*1.025</f>
        <v>-1288425</v>
      </c>
      <c r="F40" s="447"/>
      <c r="G40" s="444" t="s">
        <v>1963</v>
      </c>
      <c r="H40" s="594"/>
      <c r="I40" s="444"/>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c r="B41" s="459"/>
      <c r="C41" s="456"/>
      <c r="D41" s="1072"/>
      <c r="E41" s="447"/>
      <c r="F41" s="447"/>
      <c r="G41" s="485" t="s">
        <v>51</v>
      </c>
      <c r="H41" s="486" t="s">
        <v>268</v>
      </c>
      <c r="I41" s="487" t="s">
        <v>748</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1112" t="s">
        <v>2270</v>
      </c>
      <c r="B42" s="1113"/>
      <c r="C42" s="1114"/>
      <c r="D42" s="1115">
        <f>+E42/1.025</f>
        <v>639024.39024390245</v>
      </c>
      <c r="E42" s="447">
        <f>1310000-655000</f>
        <v>655000</v>
      </c>
      <c r="F42" s="447"/>
      <c r="G42" s="713">
        <v>2023</v>
      </c>
      <c r="H42" s="677">
        <f>-6550/2-16372/3-6774/3-11236/3</f>
        <v>-14735.666666666666</v>
      </c>
      <c r="I42" s="759">
        <f>H42*1000/Gdata!G60</f>
        <v>-2.7009216382638241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1112" t="s">
        <v>2269</v>
      </c>
      <c r="B43" s="459"/>
      <c r="C43" s="456"/>
      <c r="D43" s="1072"/>
      <c r="E43" s="447"/>
      <c r="F43" s="447"/>
      <c r="G43" s="713">
        <v>2024</v>
      </c>
      <c r="H43" s="677">
        <f>-6550/2-16372/3-6774/3-11236/3</f>
        <v>-14735.666666666666</v>
      </c>
      <c r="I43" s="759">
        <f>H43*1000/Gdata!H60</f>
        <v>-2.7009216382638241</v>
      </c>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2202</v>
      </c>
      <c r="B44" s="459"/>
      <c r="C44" s="467"/>
      <c r="D44" s="1072">
        <f>+E44/1.025</f>
        <v>820604.87804878061</v>
      </c>
      <c r="E44" s="1037">
        <v>841120</v>
      </c>
      <c r="F44" s="447"/>
      <c r="G44" s="644">
        <v>2025</v>
      </c>
      <c r="H44" s="645">
        <f>-16372/3-6774/3-11236/3</f>
        <v>-11460.666666666666</v>
      </c>
      <c r="I44" s="963">
        <f>H44*1000/Gdata!I60</f>
        <v>-2.1006421554682926</v>
      </c>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2254</v>
      </c>
      <c r="B45" s="459"/>
      <c r="C45" s="467"/>
      <c r="D45" s="1072">
        <f>+E45/1.025</f>
        <v>51219.512195121955</v>
      </c>
      <c r="E45" s="1037">
        <v>52500</v>
      </c>
      <c r="F45" s="447"/>
      <c r="G45" s="1036"/>
      <c r="H45" s="677"/>
      <c r="I45" s="1038"/>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c r="B46" s="459"/>
      <c r="C46" s="467"/>
      <c r="D46" s="1072"/>
      <c r="E46" s="1037"/>
      <c r="F46" s="447"/>
      <c r="G46" s="444" t="s">
        <v>1497</v>
      </c>
      <c r="H46" s="594"/>
      <c r="I46" s="444"/>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2255</v>
      </c>
      <c r="B47" s="459"/>
      <c r="C47" s="467"/>
      <c r="D47" s="1072">
        <f>+E47/1.025</f>
        <v>-259200.00000000003</v>
      </c>
      <c r="E47" s="1037">
        <v>-265680</v>
      </c>
      <c r="F47" s="447"/>
      <c r="G47" s="485" t="s">
        <v>51</v>
      </c>
      <c r="H47" s="486" t="s">
        <v>268</v>
      </c>
      <c r="I47" s="487" t="s">
        <v>748</v>
      </c>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2256</v>
      </c>
      <c r="B48" s="459"/>
      <c r="C48" s="456"/>
      <c r="D48" s="1072">
        <f>+E48/1.025</f>
        <v>-201819.51219512196</v>
      </c>
      <c r="E48" s="1037">
        <v>-206865</v>
      </c>
      <c r="F48" s="447"/>
      <c r="G48" s="713">
        <v>2023</v>
      </c>
      <c r="H48" s="677">
        <v>31400</v>
      </c>
      <c r="I48" s="759">
        <f>H48*1000/Gdata!G60</f>
        <v>5.7553513770319693</v>
      </c>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2259</v>
      </c>
      <c r="B49" s="459"/>
      <c r="C49" s="459"/>
      <c r="D49" s="1072">
        <f>+E49/1.025</f>
        <v>-4878.0487804878057</v>
      </c>
      <c r="E49" s="1037">
        <v>-5000</v>
      </c>
      <c r="F49" s="447"/>
      <c r="G49" s="713">
        <v>2024</v>
      </c>
      <c r="H49" s="677">
        <f>+H48</f>
        <v>31400</v>
      </c>
      <c r="I49" s="759">
        <f>H49*1000/Gdata!H60</f>
        <v>5.7553513770319693</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1072"/>
      <c r="E50" s="1037"/>
      <c r="F50" s="447"/>
      <c r="G50" s="644">
        <v>2025</v>
      </c>
      <c r="H50" s="645">
        <f>+H49</f>
        <v>31400</v>
      </c>
      <c r="I50" s="760">
        <f>H50*1000/Gdata!I60</f>
        <v>5.7553513770319693</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t="s">
        <v>2260</v>
      </c>
      <c r="B51" s="459"/>
      <c r="C51" s="456"/>
      <c r="D51" s="1072">
        <f>+E51/1.025</f>
        <v>97365.853658536595</v>
      </c>
      <c r="E51" s="1037">
        <v>99800</v>
      </c>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c r="B52" s="459"/>
      <c r="C52" s="456"/>
      <c r="D52" s="1072"/>
      <c r="E52" s="1037"/>
      <c r="F52" s="447"/>
      <c r="G52" s="444" t="s">
        <v>2273</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2261</v>
      </c>
      <c r="B53" s="459"/>
      <c r="C53" s="456"/>
      <c r="D53" s="1072">
        <f>+E53/1.025</f>
        <v>49756.097560975613</v>
      </c>
      <c r="E53" s="1037">
        <v>51000</v>
      </c>
      <c r="F53" s="447"/>
      <c r="G53" s="485" t="s">
        <v>51</v>
      </c>
      <c r="H53" s="486" t="s">
        <v>268</v>
      </c>
      <c r="I53" s="487" t="s">
        <v>748</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t="s">
        <v>2262</v>
      </c>
      <c r="B54" s="459"/>
      <c r="C54" s="456"/>
      <c r="D54" s="1072">
        <f>+E54/1.025</f>
        <v>314341.46341463417</v>
      </c>
      <c r="E54" s="1037">
        <v>322200</v>
      </c>
      <c r="F54" s="447"/>
      <c r="G54" s="846">
        <v>2023</v>
      </c>
      <c r="H54" s="595">
        <v>-20400</v>
      </c>
      <c r="I54" s="847">
        <f>H54*1000/Gdata!G60</f>
        <v>-3.7391454806194959</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t="s">
        <v>2265</v>
      </c>
      <c r="B55" s="459"/>
      <c r="C55" s="456"/>
      <c r="D55" s="1072">
        <f>+E55/1.025</f>
        <v>-53658.536585365859</v>
      </c>
      <c r="E55" s="1037">
        <v>-55000</v>
      </c>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
      <c r="A56" s="483"/>
      <c r="B56" s="459"/>
      <c r="C56" s="467"/>
      <c r="D56" s="1072"/>
      <c r="E56" s="1037"/>
      <c r="F56" s="447"/>
      <c r="G56" s="444" t="s">
        <v>2274</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2272</v>
      </c>
      <c r="B57" s="459"/>
      <c r="C57" s="456"/>
      <c r="D57" s="1072">
        <f>+E57/1.025</f>
        <v>67317.073170731717</v>
      </c>
      <c r="E57" s="1037">
        <v>69000</v>
      </c>
      <c r="F57" s="447"/>
      <c r="G57" s="485" t="s">
        <v>51</v>
      </c>
      <c r="H57" s="486" t="s">
        <v>268</v>
      </c>
      <c r="I57" s="487" t="s">
        <v>748</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2263</v>
      </c>
      <c r="B58" s="459"/>
      <c r="C58" s="456"/>
      <c r="D58" s="1072">
        <f>+E58/1.025</f>
        <v>97560.975609756104</v>
      </c>
      <c r="E58" s="1037">
        <v>100000</v>
      </c>
      <c r="F58" s="447"/>
      <c r="G58" s="713">
        <v>2023</v>
      </c>
      <c r="H58" s="677">
        <v>52500</v>
      </c>
      <c r="I58" s="759">
        <f>H58*1000/Gdata!G60</f>
        <v>9.6228008692413489</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2264</v>
      </c>
      <c r="B59" s="459"/>
      <c r="C59" s="467"/>
      <c r="D59" s="1072">
        <f>+E59/1.025</f>
        <v>97560.975609756104</v>
      </c>
      <c r="E59" s="1037">
        <v>100000</v>
      </c>
      <c r="F59" s="447"/>
      <c r="G59" s="713">
        <v>2024</v>
      </c>
      <c r="H59" s="677">
        <f>+H58</f>
        <v>52500</v>
      </c>
      <c r="I59" s="759">
        <f>H59*1000/Gdata!H60</f>
        <v>9.6228008692413489</v>
      </c>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2258</v>
      </c>
      <c r="B60" s="459"/>
      <c r="C60" s="456"/>
      <c r="D60" s="1072">
        <f>+E60/1.025</f>
        <v>20169.756097560978</v>
      </c>
      <c r="E60" s="1037">
        <v>20674</v>
      </c>
      <c r="F60" s="459"/>
      <c r="G60" s="644">
        <v>2025</v>
      </c>
      <c r="H60" s="645">
        <f>+H59</f>
        <v>52500</v>
      </c>
      <c r="I60" s="760">
        <f>H60*1000/Gdata!I60</f>
        <v>9.6228008692413489</v>
      </c>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56"/>
      <c r="D61" s="1072"/>
      <c r="E61" s="1037"/>
      <c r="F61" s="459"/>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2257</v>
      </c>
      <c r="B62" s="459"/>
      <c r="C62" s="456"/>
      <c r="D62" s="1072">
        <f>+E62/1.025</f>
        <v>33170.731707317078</v>
      </c>
      <c r="E62" s="1037">
        <v>34000</v>
      </c>
      <c r="F62" s="459"/>
      <c r="G62" s="444" t="s">
        <v>2275</v>
      </c>
      <c r="H62" s="594"/>
      <c r="I62" s="444"/>
      <c r="J62" s="453"/>
      <c r="K62" s="453"/>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1072"/>
      <c r="E63" s="1037"/>
      <c r="F63" s="459"/>
      <c r="G63" s="485" t="s">
        <v>51</v>
      </c>
      <c r="H63" s="486" t="s">
        <v>268</v>
      </c>
      <c r="I63" s="487" t="s">
        <v>748</v>
      </c>
      <c r="J63" s="453"/>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t="s">
        <v>1920</v>
      </c>
      <c r="B64" s="459"/>
      <c r="C64" s="456"/>
      <c r="D64" s="1072">
        <f>+E64/1.025</f>
        <v>-114870.24390243903</v>
      </c>
      <c r="E64" s="1037">
        <v>-117742</v>
      </c>
      <c r="F64" s="459"/>
      <c r="G64" s="846">
        <v>2023</v>
      </c>
      <c r="H64" s="595">
        <f>99800*1.4</f>
        <v>139720</v>
      </c>
      <c r="I64" s="847">
        <f>H64*1000/Gdata!G60</f>
        <v>25.609480713340979</v>
      </c>
      <c r="J64" s="453"/>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1072"/>
      <c r="E65" s="1037"/>
      <c r="F65" s="459"/>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1209</v>
      </c>
      <c r="B66" s="459"/>
      <c r="C66" s="456"/>
      <c r="D66" s="1072"/>
      <c r="E66" s="1037"/>
      <c r="F66" s="459"/>
      <c r="G66" s="444" t="s">
        <v>2276</v>
      </c>
      <c r="H66" s="594"/>
      <c r="I66" s="444"/>
      <c r="J66" s="453"/>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2169</v>
      </c>
      <c r="B67" s="459"/>
      <c r="C67" s="456"/>
      <c r="D67" s="1072">
        <f>+E67/1.025</f>
        <v>35000</v>
      </c>
      <c r="E67" s="1037">
        <v>35875</v>
      </c>
      <c r="F67" s="459"/>
      <c r="G67" s="485" t="s">
        <v>51</v>
      </c>
      <c r="H67" s="486" t="s">
        <v>268</v>
      </c>
      <c r="I67" s="487" t="s">
        <v>748</v>
      </c>
      <c r="J67" s="669"/>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2198</v>
      </c>
      <c r="B68" s="459"/>
      <c r="C68" s="456"/>
      <c r="D68" s="1072">
        <f>+E68/1.025</f>
        <v>75243.902439024401</v>
      </c>
      <c r="E68" s="1037">
        <v>77125</v>
      </c>
      <c r="F68" s="459"/>
      <c r="G68" s="846">
        <v>2023</v>
      </c>
      <c r="H68" s="595">
        <v>80000</v>
      </c>
      <c r="I68" s="847">
        <f>H68*1000/Gdata!G60</f>
        <v>14.663315610272532</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c r="B69" s="459"/>
      <c r="C69" s="456"/>
      <c r="D69" s="1072"/>
      <c r="E69" s="1037"/>
      <c r="F69" s="459"/>
      <c r="G69" s="453"/>
      <c r="H69" s="453"/>
      <c r="I69" s="453"/>
      <c r="J69" s="669"/>
      <c r="K69" s="453"/>
      <c r="L69" s="453"/>
      <c r="M69" s="453"/>
      <c r="N69" s="453"/>
      <c r="O69" s="453"/>
      <c r="P69" s="453"/>
      <c r="Q69" s="453"/>
      <c r="R69" s="453"/>
      <c r="S69" s="453"/>
      <c r="T69" s="453"/>
      <c r="U69" s="453"/>
      <c r="V69" s="453"/>
      <c r="W69" s="453"/>
      <c r="X69" s="453"/>
      <c r="Y69" s="453"/>
      <c r="Z69" s="453"/>
      <c r="AA69" s="453"/>
      <c r="AB69" s="453"/>
      <c r="AC69" s="453"/>
      <c r="AD69" s="453"/>
    </row>
    <row r="70" spans="1:30" ht="13.5">
      <c r="A70" s="643" t="s">
        <v>1110</v>
      </c>
      <c r="B70" s="459"/>
      <c r="C70" s="456"/>
      <c r="D70" s="1072"/>
      <c r="E70" s="1037"/>
      <c r="F70" s="459"/>
      <c r="G70" s="444" t="s">
        <v>2277</v>
      </c>
      <c r="H70" s="594"/>
      <c r="I70" s="444"/>
      <c r="J70" s="669"/>
      <c r="K70" s="489"/>
      <c r="L70" s="453"/>
      <c r="M70" s="453"/>
      <c r="N70" s="453"/>
      <c r="O70" s="453"/>
      <c r="P70" s="453"/>
      <c r="Q70" s="453"/>
      <c r="R70" s="453"/>
      <c r="S70" s="453"/>
      <c r="T70" s="453"/>
      <c r="U70" s="453"/>
      <c r="V70" s="453"/>
      <c r="W70" s="453"/>
      <c r="X70" s="453"/>
      <c r="Y70" s="453"/>
      <c r="Z70" s="453"/>
      <c r="AA70" s="453"/>
      <c r="AB70" s="453"/>
      <c r="AC70" s="453"/>
      <c r="AD70" s="453"/>
    </row>
    <row r="71" spans="1:30" ht="13">
      <c r="A71" s="483" t="s">
        <v>1999</v>
      </c>
      <c r="B71" s="459"/>
      <c r="C71" s="456"/>
      <c r="D71" s="1072">
        <f>-D16-D23-D24</f>
        <v>-3100000</v>
      </c>
      <c r="E71" s="447">
        <f t="shared" ref="E71:E72" si="0">+D71*1.025</f>
        <v>-3177499.9999999995</v>
      </c>
      <c r="F71" s="459"/>
      <c r="G71" s="485" t="s">
        <v>51</v>
      </c>
      <c r="H71" s="486" t="s">
        <v>268</v>
      </c>
      <c r="I71" s="487" t="s">
        <v>748</v>
      </c>
      <c r="J71" s="835"/>
      <c r="K71" s="453"/>
      <c r="L71" s="453"/>
      <c r="M71" s="453"/>
      <c r="N71" s="453"/>
      <c r="O71" s="453"/>
      <c r="P71" s="453"/>
      <c r="Q71" s="453"/>
      <c r="R71" s="453"/>
      <c r="S71" s="453"/>
      <c r="T71" s="453"/>
      <c r="U71" s="453"/>
      <c r="V71" s="453"/>
      <c r="W71" s="453"/>
      <c r="X71" s="453"/>
      <c r="Y71" s="453"/>
      <c r="Z71" s="453"/>
      <c r="AA71" s="453"/>
      <c r="AB71" s="453"/>
      <c r="AC71" s="453"/>
      <c r="AD71" s="453"/>
    </row>
    <row r="72" spans="1:30" ht="13">
      <c r="A72" s="483" t="s">
        <v>2173</v>
      </c>
      <c r="B72" s="459"/>
      <c r="C72" s="456"/>
      <c r="D72" s="1072">
        <v>-100000</v>
      </c>
      <c r="E72" s="447">
        <f t="shared" si="0"/>
        <v>-102499.99999999999</v>
      </c>
      <c r="F72" s="459"/>
      <c r="G72" s="713">
        <v>2023</v>
      </c>
      <c r="H72" s="677">
        <v>-432.83333333333331</v>
      </c>
      <c r="I72" s="759">
        <f>H72*1000/Gdata!G60</f>
        <v>-7.9334647166412003E-2</v>
      </c>
      <c r="J72" s="669"/>
      <c r="K72" s="453"/>
      <c r="L72" s="453"/>
      <c r="M72" s="453"/>
      <c r="N72" s="453"/>
      <c r="O72" s="453"/>
      <c r="P72" s="453"/>
      <c r="Q72" s="453"/>
      <c r="R72" s="453"/>
      <c r="S72" s="453"/>
      <c r="T72" s="453"/>
      <c r="U72" s="453"/>
      <c r="V72" s="453"/>
      <c r="W72" s="453"/>
      <c r="X72" s="453"/>
      <c r="Y72" s="453"/>
      <c r="Z72" s="453"/>
      <c r="AA72" s="453"/>
      <c r="AB72" s="453"/>
      <c r="AC72" s="453"/>
      <c r="AD72" s="453"/>
    </row>
    <row r="73" spans="1:30" ht="13">
      <c r="A73" s="1112" t="s">
        <v>2268</v>
      </c>
      <c r="B73" s="1113"/>
      <c r="C73" s="456"/>
      <c r="D73" s="1115">
        <f>+E73/1.025</f>
        <v>639024.39024390245</v>
      </c>
      <c r="E73" s="447">
        <v>655000</v>
      </c>
      <c r="F73" s="459"/>
      <c r="G73" s="713">
        <v>2024</v>
      </c>
      <c r="H73" s="677">
        <f>+H72</f>
        <v>-432.83333333333331</v>
      </c>
      <c r="I73" s="759">
        <f>H73*1000/Gdata!H60</f>
        <v>-7.9334647166412003E-2</v>
      </c>
      <c r="J73" s="669"/>
      <c r="K73" s="453"/>
      <c r="L73" s="453"/>
      <c r="M73" s="453"/>
      <c r="N73" s="453"/>
      <c r="O73" s="453"/>
      <c r="P73" s="453"/>
      <c r="Q73" s="453"/>
      <c r="R73" s="453"/>
      <c r="S73" s="453"/>
      <c r="T73" s="453"/>
      <c r="U73" s="453"/>
      <c r="V73" s="453"/>
      <c r="W73" s="453"/>
      <c r="X73" s="453"/>
      <c r="Y73" s="453"/>
      <c r="Z73" s="453"/>
      <c r="AA73" s="453"/>
      <c r="AB73" s="453"/>
      <c r="AC73" s="453"/>
      <c r="AD73" s="453"/>
    </row>
    <row r="74" spans="1:30" ht="13">
      <c r="A74" s="483" t="s">
        <v>2266</v>
      </c>
      <c r="B74" s="459"/>
      <c r="C74" s="456"/>
      <c r="D74" s="1072">
        <f>+E74/1.025</f>
        <v>2064529.7560975612</v>
      </c>
      <c r="E74" s="1037">
        <v>2116143</v>
      </c>
      <c r="F74" s="459"/>
      <c r="G74" s="644">
        <v>2025</v>
      </c>
      <c r="H74" s="645">
        <f>+H73</f>
        <v>-432.83333333333331</v>
      </c>
      <c r="I74" s="760">
        <f>H74*1000/Gdata!I60</f>
        <v>-7.9334647166412003E-2</v>
      </c>
      <c r="J74" s="444"/>
      <c r="K74" s="453"/>
      <c r="L74" s="453"/>
      <c r="M74" s="453"/>
      <c r="N74" s="453"/>
      <c r="O74" s="453"/>
      <c r="P74" s="453"/>
      <c r="Q74" s="453"/>
      <c r="R74" s="453"/>
      <c r="S74" s="453"/>
      <c r="T74" s="453"/>
      <c r="U74" s="453"/>
      <c r="V74" s="453"/>
      <c r="W74" s="453"/>
      <c r="X74" s="453"/>
      <c r="Y74" s="453"/>
      <c r="Z74" s="453"/>
      <c r="AA74" s="453"/>
      <c r="AB74" s="453"/>
      <c r="AC74" s="453"/>
      <c r="AD74" s="453"/>
    </row>
    <row r="75" spans="1:30" ht="13">
      <c r="A75" s="483" t="s">
        <v>2200</v>
      </c>
      <c r="B75" s="459"/>
      <c r="C75" s="459"/>
      <c r="D75" s="1072">
        <f>+E75/1.025</f>
        <v>-58926.829268292691</v>
      </c>
      <c r="E75" s="1037">
        <f>-60400</f>
        <v>-60400</v>
      </c>
      <c r="F75" s="459"/>
      <c r="G75" s="453"/>
      <c r="H75" s="453"/>
      <c r="I75" s="453"/>
      <c r="J75" s="444"/>
      <c r="K75" s="453"/>
      <c r="L75" s="453"/>
      <c r="M75" s="453"/>
      <c r="N75" s="453"/>
      <c r="O75" s="453"/>
      <c r="P75" s="453"/>
      <c r="Q75" s="453"/>
      <c r="R75" s="453"/>
      <c r="S75" s="453"/>
      <c r="T75" s="453"/>
      <c r="U75" s="453"/>
      <c r="V75" s="453"/>
      <c r="W75" s="453"/>
      <c r="X75" s="453"/>
      <c r="Y75" s="453"/>
      <c r="Z75" s="453"/>
      <c r="AA75" s="453"/>
      <c r="AB75" s="453"/>
      <c r="AC75" s="453"/>
      <c r="AD75" s="453"/>
    </row>
    <row r="76" spans="1:30" ht="13">
      <c r="A76" s="483" t="s">
        <v>2201</v>
      </c>
      <c r="B76" s="459"/>
      <c r="C76" s="456"/>
      <c r="D76" s="1072">
        <f>+E76/1.025</f>
        <v>19902.439024390245</v>
      </c>
      <c r="E76" s="1037">
        <v>20400</v>
      </c>
      <c r="F76" s="459"/>
      <c r="G76" s="444" t="s">
        <v>2278</v>
      </c>
      <c r="H76" s="594"/>
      <c r="I76" s="444"/>
      <c r="J76" s="435"/>
      <c r="K76" s="453"/>
      <c r="L76" s="669"/>
      <c r="M76" s="453"/>
      <c r="N76" s="453"/>
      <c r="O76" s="453"/>
      <c r="P76" s="453"/>
      <c r="Q76" s="453"/>
      <c r="R76" s="453"/>
      <c r="S76" s="453"/>
      <c r="T76" s="453"/>
      <c r="U76" s="453"/>
      <c r="V76" s="453"/>
      <c r="W76" s="453"/>
      <c r="X76" s="453"/>
      <c r="Y76" s="453"/>
      <c r="Z76" s="453"/>
      <c r="AA76" s="453"/>
      <c r="AB76" s="453"/>
      <c r="AC76" s="453"/>
      <c r="AD76" s="453"/>
    </row>
    <row r="77" spans="1:30" ht="13">
      <c r="A77" s="483" t="s">
        <v>2203</v>
      </c>
      <c r="B77" s="459"/>
      <c r="C77" s="456"/>
      <c r="D77" s="1072">
        <v>-125000</v>
      </c>
      <c r="E77" s="447">
        <f>+D77*1.025</f>
        <v>-128124.99999999999</v>
      </c>
      <c r="F77" s="459"/>
      <c r="G77" s="485" t="s">
        <v>51</v>
      </c>
      <c r="H77" s="486" t="s">
        <v>268</v>
      </c>
      <c r="I77" s="487" t="s">
        <v>748</v>
      </c>
      <c r="J77" s="451"/>
      <c r="K77" s="669"/>
      <c r="L77" s="444"/>
      <c r="M77" s="453"/>
      <c r="N77" s="453"/>
      <c r="O77" s="453"/>
      <c r="P77" s="453"/>
      <c r="Q77" s="453"/>
      <c r="R77" s="453"/>
      <c r="S77" s="453"/>
      <c r="T77" s="453"/>
      <c r="U77" s="453"/>
      <c r="V77" s="453"/>
      <c r="W77" s="453"/>
      <c r="X77" s="453"/>
      <c r="Y77" s="453"/>
      <c r="Z77" s="453"/>
      <c r="AA77" s="453"/>
      <c r="AB77" s="453"/>
      <c r="AC77" s="453"/>
      <c r="AD77" s="453"/>
    </row>
    <row r="78" spans="1:30" ht="13">
      <c r="A78" s="483" t="s">
        <v>2267</v>
      </c>
      <c r="B78" s="459"/>
      <c r="C78" s="456"/>
      <c r="D78" s="1072">
        <f>+E78/1.025+1</f>
        <v>-2532.6585365853662</v>
      </c>
      <c r="E78" s="447">
        <v>-2597</v>
      </c>
      <c r="F78" s="459"/>
      <c r="G78" s="846">
        <v>2025</v>
      </c>
      <c r="H78" s="595">
        <v>-655000</v>
      </c>
      <c r="I78" s="847">
        <f>H78*1000/Gdata!G60</f>
        <v>-120.05589655910636</v>
      </c>
      <c r="J78" s="451"/>
      <c r="K78" s="669"/>
      <c r="L78" s="444"/>
      <c r="M78" s="453"/>
      <c r="N78" s="453"/>
      <c r="O78" s="453"/>
      <c r="P78" s="453"/>
      <c r="Q78" s="453"/>
      <c r="R78" s="453"/>
      <c r="S78" s="453"/>
      <c r="T78" s="453"/>
      <c r="U78" s="453"/>
      <c r="V78" s="453"/>
      <c r="W78" s="453"/>
      <c r="X78" s="453"/>
      <c r="Y78" s="453"/>
      <c r="Z78" s="453"/>
      <c r="AA78" s="453"/>
      <c r="AB78" s="453"/>
      <c r="AC78" s="453"/>
      <c r="AD78" s="453"/>
    </row>
    <row r="79" spans="1:30" ht="13">
      <c r="A79" s="483"/>
      <c r="B79" s="459"/>
      <c r="C79" s="456"/>
      <c r="D79" s="459"/>
      <c r="E79" s="447"/>
      <c r="F79" s="447"/>
      <c r="G79" s="453"/>
      <c r="H79" s="453"/>
      <c r="I79" s="453"/>
      <c r="J79" s="683"/>
      <c r="K79" s="444"/>
      <c r="L79" s="680"/>
      <c r="M79" s="453"/>
      <c r="N79" s="453"/>
      <c r="O79" s="453"/>
      <c r="P79" s="453"/>
      <c r="Q79" s="453"/>
      <c r="R79" s="453"/>
      <c r="S79" s="453"/>
      <c r="T79" s="453"/>
      <c r="U79" s="453"/>
      <c r="V79" s="453"/>
      <c r="W79" s="453"/>
      <c r="X79" s="453"/>
      <c r="Y79" s="453"/>
      <c r="Z79" s="453"/>
      <c r="AA79" s="453"/>
      <c r="AB79" s="453"/>
      <c r="AC79" s="453"/>
      <c r="AD79" s="453"/>
    </row>
    <row r="80" spans="1:30" ht="13">
      <c r="A80" s="464" t="s">
        <v>2189</v>
      </c>
      <c r="B80" s="464"/>
      <c r="C80" s="469"/>
      <c r="D80" s="470">
        <f>D32+SUM(D39:D78)</f>
        <v>144321178.36585367</v>
      </c>
      <c r="E80" s="536">
        <v>144321178</v>
      </c>
      <c r="F80" s="536">
        <f>+D80-E80</f>
        <v>0.36585366725921631</v>
      </c>
      <c r="G80" s="1035"/>
      <c r="H80" s="454"/>
      <c r="I80" s="454"/>
      <c r="J80" s="449"/>
      <c r="K80" s="449"/>
      <c r="L80" s="567"/>
      <c r="M80" s="453"/>
      <c r="N80" s="453"/>
      <c r="O80" s="453"/>
      <c r="P80" s="453"/>
      <c r="Q80" s="453"/>
      <c r="R80" s="453"/>
      <c r="S80" s="453"/>
      <c r="T80" s="453"/>
      <c r="U80" s="453"/>
      <c r="V80" s="453"/>
      <c r="W80" s="453"/>
      <c r="X80" s="453"/>
      <c r="Y80" s="453"/>
      <c r="Z80" s="453"/>
      <c r="AA80" s="453"/>
      <c r="AB80" s="453"/>
      <c r="AC80" s="453"/>
      <c r="AD80" s="453"/>
    </row>
    <row r="81" spans="1:30">
      <c r="A81" s="456"/>
      <c r="B81" s="456"/>
      <c r="C81" s="456"/>
      <c r="D81" s="459"/>
      <c r="E81" s="447"/>
      <c r="F81" s="447"/>
      <c r="G81" s="453"/>
      <c r="H81" s="454"/>
      <c r="I81" s="454"/>
      <c r="J81" s="449"/>
      <c r="K81" s="449"/>
      <c r="L81" s="669"/>
      <c r="M81" s="453"/>
      <c r="N81" s="453"/>
      <c r="O81" s="453"/>
      <c r="P81" s="453"/>
      <c r="Q81" s="453"/>
      <c r="R81" s="453"/>
      <c r="S81" s="453"/>
      <c r="T81" s="453"/>
      <c r="U81" s="453"/>
      <c r="V81" s="453"/>
      <c r="W81" s="453"/>
      <c r="X81" s="453"/>
      <c r="Y81" s="453"/>
      <c r="Z81" s="453"/>
      <c r="AA81" s="453"/>
      <c r="AB81" s="453"/>
      <c r="AC81" s="453"/>
      <c r="AD81" s="453"/>
    </row>
    <row r="82" spans="1:30" ht="13">
      <c r="A82" s="489" t="s">
        <v>2517</v>
      </c>
      <c r="B82" s="490">
        <v>2.5000000000000001E-2</v>
      </c>
      <c r="C82" s="456"/>
      <c r="D82" s="459">
        <f>ROUND((D80)*B82,0)</f>
        <v>3608029</v>
      </c>
      <c r="E82" s="447"/>
      <c r="F82" s="436"/>
      <c r="G82" s="453"/>
      <c r="H82" s="454"/>
      <c r="I82" s="454"/>
      <c r="J82" s="449"/>
      <c r="K82" s="449"/>
      <c r="L82" s="669"/>
      <c r="M82" s="453"/>
      <c r="N82" s="453"/>
      <c r="O82" s="453"/>
      <c r="P82" s="453"/>
      <c r="Q82" s="453"/>
      <c r="R82" s="453"/>
      <c r="S82" s="453"/>
      <c r="T82" s="453"/>
      <c r="U82" s="453"/>
      <c r="V82" s="453"/>
      <c r="W82" s="453"/>
      <c r="X82" s="453"/>
      <c r="Y82" s="453"/>
      <c r="Z82" s="453"/>
      <c r="AA82" s="453"/>
      <c r="AB82" s="453"/>
      <c r="AC82" s="453"/>
      <c r="AD82" s="453"/>
    </row>
    <row r="83" spans="1:30" ht="13">
      <c r="A83" s="338" t="s">
        <v>2520</v>
      </c>
      <c r="B83" s="490"/>
      <c r="C83" s="456"/>
      <c r="D83" s="459"/>
      <c r="E83" s="447"/>
      <c r="F83" s="436"/>
      <c r="G83" s="453"/>
      <c r="H83" s="453"/>
      <c r="I83" s="453"/>
      <c r="J83" s="681"/>
      <c r="K83" s="682"/>
      <c r="L83" s="444"/>
      <c r="M83" s="453"/>
      <c r="N83" s="453"/>
      <c r="O83" s="453"/>
      <c r="P83" s="453"/>
      <c r="Q83" s="453"/>
      <c r="R83" s="453"/>
      <c r="S83" s="453"/>
      <c r="T83" s="453"/>
      <c r="U83" s="453"/>
      <c r="V83" s="453"/>
      <c r="W83" s="453"/>
      <c r="X83" s="453"/>
      <c r="Y83" s="453"/>
      <c r="Z83" s="453"/>
      <c r="AA83" s="453"/>
      <c r="AB83" s="453"/>
      <c r="AC83" s="453"/>
      <c r="AD83" s="453"/>
    </row>
    <row r="84" spans="1:30" ht="13">
      <c r="A84" s="338"/>
      <c r="B84" s="490"/>
      <c r="C84" s="456"/>
      <c r="D84" s="459"/>
      <c r="E84" s="447"/>
      <c r="F84" s="447"/>
      <c r="G84" s="453"/>
      <c r="H84" s="453"/>
      <c r="I84" s="453"/>
      <c r="J84" s="444"/>
      <c r="K84" s="682"/>
      <c r="L84" s="444"/>
      <c r="M84" s="453"/>
      <c r="N84" s="453"/>
      <c r="O84" s="453"/>
      <c r="P84" s="453"/>
      <c r="Q84" s="453"/>
      <c r="R84" s="453"/>
      <c r="S84" s="453"/>
      <c r="T84" s="453"/>
      <c r="U84" s="453"/>
      <c r="V84" s="453"/>
      <c r="W84" s="453"/>
      <c r="X84" s="453"/>
      <c r="Y84" s="453"/>
      <c r="Z84" s="453"/>
      <c r="AA84" s="453"/>
      <c r="AB84" s="453"/>
      <c r="AC84" s="453"/>
      <c r="AD84" s="453"/>
    </row>
    <row r="85" spans="1:30">
      <c r="A85" s="489" t="s">
        <v>2170</v>
      </c>
      <c r="B85" s="471"/>
      <c r="C85" s="456"/>
      <c r="D85" s="459">
        <v>1348549.634146452</v>
      </c>
      <c r="E85" s="437"/>
      <c r="F85" s="437"/>
      <c r="G85" s="459"/>
      <c r="H85" s="454"/>
      <c r="I85" s="453"/>
      <c r="J85" s="524"/>
      <c r="K85" s="525"/>
      <c r="L85" s="669"/>
      <c r="M85" s="453"/>
      <c r="N85" s="453"/>
      <c r="O85" s="453"/>
      <c r="P85" s="453"/>
      <c r="Q85" s="453"/>
      <c r="R85" s="453"/>
      <c r="S85" s="453"/>
      <c r="T85" s="453"/>
      <c r="U85" s="453"/>
      <c r="V85" s="453"/>
      <c r="W85" s="453"/>
      <c r="X85" s="453"/>
      <c r="Y85" s="453"/>
      <c r="Z85" s="453"/>
      <c r="AA85" s="453"/>
      <c r="AB85" s="453"/>
      <c r="AC85" s="453"/>
      <c r="AD85" s="453"/>
    </row>
    <row r="86" spans="1:30" ht="13">
      <c r="A86" s="464" t="s">
        <v>2171</v>
      </c>
      <c r="B86" s="464"/>
      <c r="C86" s="464"/>
      <c r="D86" s="470">
        <f>D82+D80+D85</f>
        <v>149277757.00000012</v>
      </c>
      <c r="E86" s="536">
        <v>149277757</v>
      </c>
      <c r="F86" s="688">
        <f>+E86-D86</f>
        <v>0</v>
      </c>
      <c r="G86" s="1045"/>
      <c r="H86" s="453"/>
      <c r="I86" s="453"/>
      <c r="J86" s="524"/>
      <c r="K86" s="525"/>
      <c r="L86" s="669"/>
      <c r="M86" s="453"/>
      <c r="N86" s="453"/>
      <c r="O86" s="453"/>
      <c r="P86" s="453"/>
      <c r="Q86" s="453"/>
      <c r="R86" s="453"/>
      <c r="S86" s="453"/>
      <c r="T86" s="453"/>
      <c r="U86" s="453"/>
      <c r="V86" s="453"/>
      <c r="W86" s="453"/>
      <c r="X86" s="453"/>
      <c r="Y86" s="453"/>
      <c r="Z86" s="453"/>
      <c r="AA86" s="453"/>
      <c r="AB86" s="453"/>
      <c r="AC86" s="453"/>
      <c r="AD86" s="453"/>
    </row>
    <row r="87" spans="1:30" ht="13">
      <c r="A87" s="472" t="s">
        <v>337</v>
      </c>
      <c r="B87" s="473"/>
      <c r="C87" s="473"/>
      <c r="D87" s="474"/>
      <c r="E87" s="447"/>
      <c r="F87" s="436"/>
      <c r="G87" s="453"/>
      <c r="H87" s="453"/>
      <c r="I87" s="453"/>
      <c r="J87" s="524"/>
      <c r="K87" s="525"/>
      <c r="L87" s="669"/>
      <c r="M87" s="453"/>
      <c r="N87" s="453"/>
      <c r="O87" s="453"/>
      <c r="P87" s="453"/>
      <c r="Q87" s="453"/>
      <c r="R87" s="453"/>
      <c r="S87" s="453"/>
      <c r="T87" s="453"/>
      <c r="U87" s="453"/>
      <c r="V87" s="453"/>
      <c r="W87" s="453"/>
      <c r="X87" s="453"/>
      <c r="Y87" s="453"/>
      <c r="Z87" s="453"/>
      <c r="AA87" s="453"/>
      <c r="AB87" s="453"/>
      <c r="AC87" s="453"/>
      <c r="AD87" s="453"/>
    </row>
    <row r="88" spans="1:30" ht="13">
      <c r="A88" s="758"/>
      <c r="B88" s="473"/>
      <c r="C88" s="473"/>
      <c r="D88" s="474"/>
      <c r="E88" s="616" t="s">
        <v>2172</v>
      </c>
      <c r="F88" s="616" t="s">
        <v>1056</v>
      </c>
      <c r="G88" s="616" t="s">
        <v>748</v>
      </c>
      <c r="H88" s="453"/>
      <c r="I88" s="454"/>
      <c r="J88" s="524"/>
      <c r="K88" s="525"/>
      <c r="L88" s="680"/>
      <c r="M88" s="453"/>
      <c r="N88" s="453"/>
      <c r="O88" s="453"/>
      <c r="P88" s="453"/>
      <c r="Q88" s="453"/>
      <c r="R88" s="453"/>
      <c r="S88" s="453"/>
      <c r="T88" s="453"/>
      <c r="U88" s="453"/>
      <c r="V88" s="453"/>
      <c r="W88" s="453"/>
      <c r="X88" s="453"/>
      <c r="Y88" s="453"/>
      <c r="Z88" s="453"/>
      <c r="AA88" s="453"/>
      <c r="AB88" s="453"/>
      <c r="AC88" s="453"/>
      <c r="AD88" s="453"/>
    </row>
    <row r="89" spans="1:30">
      <c r="A89" s="489" t="s">
        <v>965</v>
      </c>
      <c r="B89" s="473"/>
      <c r="C89" s="524"/>
      <c r="D89" s="491">
        <v>457548</v>
      </c>
      <c r="E89" s="531">
        <v>462259</v>
      </c>
      <c r="F89" s="531">
        <f>D89-E89</f>
        <v>-4711</v>
      </c>
      <c r="G89" s="531">
        <f>F89*1000/D102</f>
        <v>-0.8721126656268946</v>
      </c>
      <c r="H89" s="454"/>
      <c r="I89" s="767"/>
      <c r="J89" s="681"/>
      <c r="K89" s="682"/>
      <c r="L89" s="567"/>
      <c r="M89" s="453"/>
      <c r="N89" s="453"/>
      <c r="O89" s="453"/>
      <c r="P89" s="453"/>
      <c r="Q89" s="453"/>
      <c r="R89" s="453"/>
      <c r="S89" s="453"/>
      <c r="T89" s="453"/>
      <c r="U89" s="453"/>
      <c r="V89" s="453"/>
      <c r="W89" s="453"/>
      <c r="X89" s="453"/>
      <c r="Y89" s="453"/>
      <c r="Z89" s="453"/>
      <c r="AA89" s="453"/>
      <c r="AB89" s="453"/>
      <c r="AC89" s="453"/>
      <c r="AD89" s="453"/>
    </row>
    <row r="90" spans="1:30">
      <c r="A90" s="456" t="s">
        <v>352</v>
      </c>
      <c r="B90" s="473"/>
      <c r="C90" s="473"/>
      <c r="D90" s="491">
        <v>145756</v>
      </c>
      <c r="E90" s="531">
        <v>190848</v>
      </c>
      <c r="F90" s="531">
        <f t="shared" ref="F90:F99" si="1">D90-E90</f>
        <v>-45092</v>
      </c>
      <c r="G90" s="531">
        <f>F90*1000/D102</f>
        <v>-8.3475492079065869</v>
      </c>
      <c r="H90" s="454"/>
      <c r="I90" s="767"/>
      <c r="J90" s="453"/>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1177</v>
      </c>
      <c r="B91" s="456"/>
      <c r="C91" s="489"/>
      <c r="D91" s="491">
        <f>350580+474369</f>
        <v>824949</v>
      </c>
      <c r="E91" s="531">
        <v>826156</v>
      </c>
      <c r="F91" s="531">
        <f t="shared" si="1"/>
        <v>-1207</v>
      </c>
      <c r="G91" s="531">
        <f>F91*1000/D102</f>
        <v>-0.2234430030591513</v>
      </c>
      <c r="H91" s="454"/>
      <c r="I91" s="767"/>
      <c r="J91" s="449"/>
      <c r="K91" s="832"/>
      <c r="L91" s="669"/>
      <c r="M91" s="453"/>
      <c r="N91" s="453"/>
      <c r="O91" s="453"/>
      <c r="P91" s="453"/>
      <c r="Q91" s="453"/>
      <c r="R91" s="453"/>
      <c r="S91" s="453"/>
      <c r="T91" s="453"/>
      <c r="U91" s="453"/>
      <c r="V91" s="453"/>
      <c r="W91" s="453"/>
      <c r="X91" s="453"/>
      <c r="Y91" s="453"/>
      <c r="Z91" s="453"/>
      <c r="AA91" s="453"/>
      <c r="AB91" s="453"/>
      <c r="AC91" s="453"/>
      <c r="AD91" s="453"/>
    </row>
    <row r="92" spans="1:30">
      <c r="A92" s="456" t="s">
        <v>764</v>
      </c>
      <c r="B92" s="456"/>
      <c r="C92" s="489"/>
      <c r="D92" s="491">
        <f>850000+120000+20000</f>
        <v>990000</v>
      </c>
      <c r="E92" s="531">
        <f>1025000+1500000+1500000+100000+125000</f>
        <v>4250000</v>
      </c>
      <c r="F92" s="531">
        <f>D92-E92</f>
        <v>-3260000</v>
      </c>
      <c r="G92" s="531">
        <f>F92*1000/D102</f>
        <v>-603.49974314236397</v>
      </c>
      <c r="H92" s="454"/>
      <c r="I92" s="767"/>
      <c r="J92" s="449"/>
      <c r="K92" s="833"/>
      <c r="L92" s="444"/>
      <c r="M92" s="453"/>
      <c r="N92" s="453"/>
      <c r="O92" s="453"/>
      <c r="P92" s="453"/>
      <c r="Q92" s="453"/>
      <c r="R92" s="453"/>
      <c r="S92" s="453"/>
      <c r="T92" s="453"/>
      <c r="U92" s="453"/>
      <c r="V92" s="453"/>
      <c r="W92" s="453"/>
      <c r="X92" s="453"/>
      <c r="Y92" s="453"/>
      <c r="Z92" s="453"/>
      <c r="AA92" s="453"/>
      <c r="AB92" s="453"/>
      <c r="AC92" s="453"/>
      <c r="AD92" s="453"/>
    </row>
    <row r="93" spans="1:30">
      <c r="A93" s="489" t="s">
        <v>1426</v>
      </c>
      <c r="B93" s="456"/>
      <c r="C93" s="489"/>
      <c r="D93" s="491">
        <v>1778977</v>
      </c>
      <c r="E93" s="531">
        <v>1789344</v>
      </c>
      <c r="F93" s="531">
        <f t="shared" si="1"/>
        <v>-10367</v>
      </c>
      <c r="G93" s="531">
        <f>F93*1000/D102</f>
        <v>-1.9191662077168365</v>
      </c>
      <c r="H93" s="454"/>
      <c r="I93" s="767"/>
      <c r="J93" s="449"/>
      <c r="K93" s="833"/>
      <c r="L93" s="680"/>
      <c r="M93" s="453"/>
      <c r="N93" s="453"/>
      <c r="O93" s="453"/>
      <c r="P93" s="453"/>
      <c r="Q93" s="453"/>
      <c r="R93" s="453"/>
      <c r="S93" s="453"/>
      <c r="T93" s="453"/>
      <c r="U93" s="453"/>
      <c r="V93" s="453"/>
      <c r="W93" s="453"/>
      <c r="X93" s="453"/>
      <c r="Y93" s="453"/>
      <c r="Z93" s="453"/>
      <c r="AA93" s="453"/>
      <c r="AB93" s="453"/>
      <c r="AC93" s="453"/>
      <c r="AD93" s="453"/>
    </row>
    <row r="94" spans="1:30">
      <c r="A94" s="456" t="s">
        <v>765</v>
      </c>
      <c r="B94" s="456"/>
      <c r="C94" s="489"/>
      <c r="D94" s="491">
        <v>608665</v>
      </c>
      <c r="E94" s="531">
        <v>604898</v>
      </c>
      <c r="F94" s="531">
        <f t="shared" si="1"/>
        <v>3767</v>
      </c>
      <c r="G94" s="531">
        <f>F94*1000/D102</f>
        <v>0.69735691178444326</v>
      </c>
      <c r="H94" s="454"/>
      <c r="I94" s="767"/>
      <c r="J94" s="449"/>
      <c r="K94" s="682"/>
      <c r="L94" s="567"/>
      <c r="M94" s="453"/>
      <c r="N94" s="453"/>
      <c r="O94" s="453"/>
      <c r="P94" s="453"/>
      <c r="Q94" s="453"/>
      <c r="R94" s="453"/>
      <c r="S94" s="453"/>
      <c r="T94" s="453"/>
      <c r="U94" s="453"/>
      <c r="V94" s="453"/>
      <c r="W94" s="453"/>
      <c r="X94" s="453"/>
      <c r="Y94" s="453"/>
      <c r="Z94" s="453"/>
      <c r="AA94" s="453"/>
      <c r="AB94" s="453"/>
      <c r="AC94" s="453"/>
      <c r="AD94" s="453"/>
    </row>
    <row r="95" spans="1:30">
      <c r="A95" s="489" t="s">
        <v>1295</v>
      </c>
      <c r="B95" s="456"/>
      <c r="C95" s="456"/>
      <c r="D95" s="491">
        <v>203375</v>
      </c>
      <c r="E95" s="531">
        <v>202897</v>
      </c>
      <c r="F95" s="531">
        <f>D95-E95</f>
        <v>478</v>
      </c>
      <c r="G95" s="531">
        <f>F95*1000/D102</f>
        <v>8.8488612644800596E-2</v>
      </c>
      <c r="H95" s="454"/>
      <c r="I95" s="767"/>
      <c r="J95" s="449"/>
      <c r="K95" s="682"/>
      <c r="L95" s="567"/>
      <c r="M95" s="453"/>
      <c r="N95" s="453"/>
      <c r="O95" s="453"/>
      <c r="P95" s="453"/>
      <c r="Q95" s="453"/>
      <c r="R95" s="453"/>
      <c r="S95" s="453"/>
      <c r="T95" s="453"/>
      <c r="U95" s="453"/>
      <c r="V95" s="453"/>
      <c r="W95" s="453"/>
      <c r="X95" s="453"/>
      <c r="Y95" s="453"/>
      <c r="Z95" s="453"/>
      <c r="AA95" s="453"/>
      <c r="AB95" s="453"/>
      <c r="AC95" s="453"/>
      <c r="AD95" s="453"/>
    </row>
    <row r="96" spans="1:30">
      <c r="A96" s="489" t="s">
        <v>1074</v>
      </c>
      <c r="B96" s="456"/>
      <c r="C96" s="456"/>
      <c r="D96" s="491">
        <v>1432752</v>
      </c>
      <c r="E96" s="531">
        <v>1408519</v>
      </c>
      <c r="F96" s="531">
        <f t="shared" si="1"/>
        <v>24233</v>
      </c>
      <c r="G96" s="531">
        <f>F96*1000/D102</f>
        <v>4.4860764648984368</v>
      </c>
      <c r="H96" s="454"/>
      <c r="I96" s="767"/>
      <c r="J96" s="449"/>
      <c r="K96" s="831"/>
      <c r="L96" s="453"/>
      <c r="M96" s="453"/>
      <c r="N96" s="453"/>
      <c r="O96" s="453"/>
      <c r="P96" s="453"/>
      <c r="Q96" s="453"/>
      <c r="R96" s="453"/>
      <c r="S96" s="453"/>
      <c r="T96" s="453"/>
      <c r="U96" s="453"/>
      <c r="V96" s="453"/>
      <c r="W96" s="453"/>
      <c r="X96" s="453"/>
      <c r="Y96" s="453"/>
      <c r="Z96" s="453"/>
      <c r="AA96" s="453"/>
      <c r="AB96" s="453"/>
      <c r="AC96" s="453"/>
      <c r="AD96" s="453"/>
    </row>
    <row r="97" spans="1:30">
      <c r="A97" s="489" t="s">
        <v>1075</v>
      </c>
      <c r="B97" s="456"/>
      <c r="C97" s="456"/>
      <c r="D97" s="491">
        <v>-19350</v>
      </c>
      <c r="E97" s="531">
        <v>-19350</v>
      </c>
      <c r="F97" s="531">
        <f t="shared" si="1"/>
        <v>0</v>
      </c>
      <c r="G97" s="531">
        <f>F97*1000/D102</f>
        <v>0</v>
      </c>
      <c r="H97" s="454"/>
      <c r="I97" s="767"/>
      <c r="J97" s="449"/>
      <c r="K97" s="453"/>
      <c r="L97" s="453"/>
      <c r="M97" s="453"/>
      <c r="N97" s="453"/>
      <c r="O97" s="453"/>
      <c r="P97" s="453"/>
      <c r="Q97" s="453"/>
      <c r="R97" s="453"/>
      <c r="S97" s="453"/>
      <c r="T97" s="453"/>
      <c r="U97" s="453"/>
      <c r="V97" s="453"/>
      <c r="W97" s="453"/>
      <c r="X97" s="453"/>
      <c r="Y97" s="453"/>
      <c r="Z97" s="453"/>
      <c r="AA97" s="453"/>
      <c r="AB97" s="453"/>
      <c r="AC97" s="453"/>
      <c r="AD97" s="453"/>
    </row>
    <row r="98" spans="1:30">
      <c r="A98" s="489" t="s">
        <v>1142</v>
      </c>
      <c r="B98" s="456"/>
      <c r="C98" s="456"/>
      <c r="D98" s="491">
        <v>20400</v>
      </c>
      <c r="E98" s="531">
        <v>58977</v>
      </c>
      <c r="F98" s="531">
        <f t="shared" si="1"/>
        <v>-38577</v>
      </c>
      <c r="G98" s="531">
        <f>F98*1000/D102</f>
        <v>-7.1414753347248388</v>
      </c>
      <c r="H98" s="454"/>
      <c r="I98" s="767"/>
      <c r="J98" s="449"/>
      <c r="K98" s="834"/>
      <c r="L98" s="669"/>
      <c r="M98" s="453"/>
      <c r="N98" s="453"/>
      <c r="O98" s="453"/>
      <c r="P98" s="453"/>
      <c r="Q98" s="453"/>
      <c r="R98" s="453"/>
      <c r="S98" s="453"/>
      <c r="T98" s="453"/>
      <c r="U98" s="453"/>
      <c r="V98" s="453"/>
      <c r="W98" s="453"/>
      <c r="X98" s="453"/>
      <c r="Y98" s="453"/>
      <c r="Z98" s="453"/>
      <c r="AA98" s="453"/>
      <c r="AB98" s="453"/>
      <c r="AC98" s="453"/>
      <c r="AD98" s="453"/>
    </row>
    <row r="99" spans="1:30">
      <c r="A99" s="489" t="s">
        <v>1138</v>
      </c>
      <c r="B99" s="456"/>
      <c r="C99" s="456"/>
      <c r="D99" s="569">
        <v>0</v>
      </c>
      <c r="E99" s="531">
        <f>-1935042-129560</f>
        <v>-2064602</v>
      </c>
      <c r="F99" s="531">
        <f t="shared" si="1"/>
        <v>2064602</v>
      </c>
      <c r="G99" s="531">
        <f>F99*1000/D102</f>
        <v>382.20453272736529</v>
      </c>
      <c r="H99" s="454"/>
      <c r="I99" s="767"/>
      <c r="J99" s="449"/>
      <c r="K99" s="454"/>
      <c r="L99" s="444"/>
      <c r="M99" s="453"/>
      <c r="N99" s="453"/>
      <c r="O99" s="453"/>
      <c r="P99" s="453"/>
      <c r="Q99" s="453"/>
      <c r="R99" s="453"/>
      <c r="S99" s="453"/>
      <c r="T99" s="453"/>
      <c r="U99" s="453"/>
      <c r="V99" s="453"/>
      <c r="W99" s="453"/>
      <c r="X99" s="453"/>
      <c r="Y99" s="453"/>
      <c r="Z99" s="453"/>
      <c r="AA99" s="453"/>
      <c r="AB99" s="453"/>
      <c r="AC99" s="453"/>
      <c r="AD99" s="453"/>
    </row>
    <row r="100" spans="1:30">
      <c r="A100" s="489" t="s">
        <v>1937</v>
      </c>
      <c r="B100" s="456"/>
      <c r="C100" s="456"/>
      <c r="D100" s="569">
        <f>952215-144439+205800-2597+655000</f>
        <v>1665979</v>
      </c>
      <c r="E100" s="531">
        <v>1853075</v>
      </c>
      <c r="F100" s="531">
        <f>D100-E100</f>
        <v>-187096</v>
      </c>
      <c r="G100" s="531">
        <f>F100*1000/D102</f>
        <v>-34.635701822995003</v>
      </c>
      <c r="H100" s="454"/>
      <c r="I100" s="767"/>
      <c r="J100" s="449"/>
      <c r="K100" s="454"/>
      <c r="L100" s="454"/>
      <c r="M100" s="453"/>
      <c r="N100" s="453"/>
      <c r="O100" s="453"/>
      <c r="P100" s="453"/>
      <c r="Q100" s="453"/>
      <c r="R100" s="453"/>
      <c r="S100" s="453"/>
      <c r="T100" s="453"/>
      <c r="U100" s="453"/>
      <c r="V100" s="453"/>
      <c r="W100" s="453"/>
      <c r="X100" s="453"/>
      <c r="Y100" s="453"/>
      <c r="Z100" s="453"/>
      <c r="AA100" s="453"/>
      <c r="AB100" s="453"/>
      <c r="AC100" s="453"/>
      <c r="AD100" s="453"/>
    </row>
    <row r="101" spans="1:30" ht="13">
      <c r="A101" s="464" t="s">
        <v>2179</v>
      </c>
      <c r="B101" s="464"/>
      <c r="C101" s="464"/>
      <c r="D101" s="812">
        <f>+D86-D89-D90-D91-D92-D93-D94-D96-D97-D98-D99-D95-D100</f>
        <v>141168706.00000012</v>
      </c>
      <c r="E101" s="437"/>
      <c r="F101" s="437">
        <f>SUM(F89:F100)</f>
        <v>-1453970</v>
      </c>
      <c r="G101" s="437">
        <f>SUM(G89:G100)</f>
        <v>-269.16273666770019</v>
      </c>
      <c r="H101" s="454"/>
      <c r="I101" s="453"/>
      <c r="J101" s="449"/>
      <c r="K101" s="444"/>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75" t="s">
        <v>2271</v>
      </c>
      <c r="B102" s="475"/>
      <c r="C102" s="475"/>
      <c r="D102" s="476">
        <f>Gdata!F60</f>
        <v>5401825</v>
      </c>
      <c r="E102" s="449"/>
      <c r="F102" s="615"/>
      <c r="G102" s="455" t="s">
        <v>1124</v>
      </c>
      <c r="H102" s="453"/>
      <c r="I102" s="453"/>
      <c r="J102" s="449"/>
      <c r="K102" s="444"/>
      <c r="L102" s="444"/>
      <c r="M102" s="453"/>
      <c r="N102" s="453"/>
      <c r="O102" s="453"/>
      <c r="P102" s="453"/>
      <c r="Q102" s="453"/>
      <c r="R102" s="453"/>
      <c r="S102" s="453"/>
      <c r="T102" s="453"/>
      <c r="U102" s="453"/>
      <c r="V102" s="453"/>
      <c r="W102" s="453"/>
      <c r="X102" s="453"/>
      <c r="Y102" s="453"/>
      <c r="Z102" s="453"/>
      <c r="AA102" s="453"/>
      <c r="AB102" s="453"/>
      <c r="AC102" s="453"/>
      <c r="AD102" s="453"/>
    </row>
    <row r="103" spans="1:30" ht="13.5" thickBot="1">
      <c r="A103" s="477" t="s">
        <v>2219</v>
      </c>
      <c r="B103" s="477"/>
      <c r="C103" s="477"/>
      <c r="D103" s="478">
        <f>D101*1000/D102</f>
        <v>26133.520800840481</v>
      </c>
      <c r="E103" s="620"/>
      <c r="F103" s="656"/>
      <c r="G103" s="656">
        <f>G89+G90+G91+G93+G94+G96+G95+G100</f>
        <v>-40.726050917976792</v>
      </c>
      <c r="H103" s="489" t="s">
        <v>2205</v>
      </c>
      <c r="I103" s="453"/>
      <c r="J103" s="449"/>
      <c r="K103" s="682"/>
      <c r="L103" s="680"/>
      <c r="M103" s="453"/>
      <c r="N103" s="453"/>
      <c r="O103" s="453"/>
      <c r="P103" s="453"/>
      <c r="Q103" s="453"/>
      <c r="R103" s="453"/>
      <c r="S103" s="453"/>
      <c r="T103" s="453"/>
      <c r="U103" s="453"/>
      <c r="V103" s="453"/>
      <c r="W103" s="453"/>
      <c r="X103" s="453"/>
      <c r="Y103" s="453"/>
      <c r="Z103" s="453"/>
      <c r="AA103" s="453"/>
      <c r="AB103" s="453"/>
      <c r="AC103" s="453"/>
      <c r="AD103" s="453"/>
    </row>
    <row r="104" spans="1:30" ht="13">
      <c r="A104" s="451"/>
      <c r="B104" s="451"/>
      <c r="C104" s="451"/>
      <c r="D104" s="452"/>
      <c r="E104" s="447"/>
      <c r="F104" s="447"/>
      <c r="G104" s="572">
        <f>(((D89+D90+D91+D93+D94+D95+D96+D100)/(1+B82))-(E89+E90+E91+E93+E94+E95+E96+E100))*1000/D102</f>
        <v>-72.865148442943749</v>
      </c>
      <c r="H104" s="489" t="s">
        <v>2206</v>
      </c>
      <c r="I104" s="453"/>
      <c r="J104" s="733"/>
      <c r="K104" s="682"/>
      <c r="L104" s="567"/>
      <c r="M104" s="453"/>
      <c r="N104" s="453"/>
      <c r="O104" s="453"/>
      <c r="P104" s="453"/>
      <c r="Q104" s="453"/>
      <c r="R104" s="453"/>
      <c r="S104" s="453"/>
      <c r="T104" s="453"/>
      <c r="U104" s="453"/>
      <c r="V104" s="453"/>
      <c r="W104" s="453"/>
      <c r="X104" s="453"/>
      <c r="Y104" s="453"/>
      <c r="Z104" s="453"/>
      <c r="AA104" s="453"/>
      <c r="AB104" s="453"/>
      <c r="AC104" s="453"/>
      <c r="AD104" s="453"/>
    </row>
    <row r="105" spans="1:30">
      <c r="A105" s="436"/>
      <c r="B105" s="436"/>
      <c r="C105" s="436"/>
      <c r="D105" s="848"/>
      <c r="E105" s="447"/>
      <c r="F105" s="436"/>
      <c r="G105" s="572">
        <f>((D92+D97+D98+D99)-(E92+E97+E98+E99))*1000/D102</f>
        <v>-228.43668574972347</v>
      </c>
      <c r="H105" s="489" t="s">
        <v>2207</v>
      </c>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474"/>
      <c r="C106" s="473"/>
      <c r="D106" s="849"/>
      <c r="E106" s="447"/>
      <c r="F106" s="436"/>
      <c r="G106" s="454">
        <f>(F89+F90+F91+F93+F94+F96+F95+F100)</f>
        <v>-219995</v>
      </c>
      <c r="H106" s="489" t="s">
        <v>2208</v>
      </c>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56">
        <f>+D85/D80</f>
        <v>9.3440869137576162E-3</v>
      </c>
      <c r="E107" s="447"/>
      <c r="F107" s="436"/>
      <c r="G107" s="454">
        <f>(((D89+D90+D91+D93+D94+D95+D96+D100)/(1+B82))-(E89+E90+E91+E93+E94+E95+E96+E100))</f>
        <v>-393604.78048780467</v>
      </c>
      <c r="H107" s="489" t="s">
        <v>2209</v>
      </c>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567"/>
      <c r="E108" s="436"/>
      <c r="F108" s="436"/>
      <c r="G108" s="454">
        <f>(D92+D97+D98+D99)/(1+B82)-(E92+E97+E98+E99)</f>
        <v>-1258146.9512195121</v>
      </c>
      <c r="H108" s="489" t="s">
        <v>2210</v>
      </c>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792"/>
      <c r="F109" s="453"/>
      <c r="G109" s="454"/>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491"/>
      <c r="B110" s="669"/>
      <c r="C110" s="669"/>
      <c r="D110" s="835"/>
      <c r="E110" s="454"/>
      <c r="F110" s="454"/>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A111" s="669"/>
      <c r="B111" s="669"/>
      <c r="C111" s="669"/>
      <c r="D111" s="835"/>
      <c r="E111" s="454"/>
      <c r="F111" s="453"/>
      <c r="G111" s="454"/>
      <c r="H111" s="454"/>
      <c r="I111" s="454"/>
      <c r="J111" s="454"/>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A112" s="669"/>
      <c r="B112" s="669"/>
      <c r="C112" s="669"/>
      <c r="D112" s="835"/>
      <c r="E112" s="454"/>
      <c r="F112" s="453"/>
      <c r="G112" s="998">
        <f>Analyse!F18*'R22'!D102/1000</f>
        <v>0</v>
      </c>
      <c r="H112" s="767" t="s">
        <v>2192</v>
      </c>
      <c r="I112" s="454"/>
      <c r="J112" s="454"/>
      <c r="K112" s="453"/>
      <c r="L112" s="453"/>
      <c r="M112" s="453"/>
      <c r="N112" s="453"/>
      <c r="O112" s="453"/>
      <c r="P112" s="453"/>
      <c r="Q112" s="453"/>
      <c r="R112" s="453"/>
      <c r="S112" s="453"/>
      <c r="T112" s="453"/>
      <c r="U112" s="453"/>
      <c r="V112" s="453"/>
      <c r="W112" s="453"/>
      <c r="X112" s="453"/>
      <c r="Y112" s="453"/>
      <c r="Z112" s="453"/>
      <c r="AA112" s="453"/>
      <c r="AB112" s="453"/>
      <c r="AC112" s="453"/>
      <c r="AD112" s="453"/>
    </row>
    <row r="113" spans="1:30">
      <c r="A113" s="669"/>
      <c r="B113" s="474"/>
      <c r="C113" s="473"/>
      <c r="D113" s="835"/>
      <c r="E113" s="454"/>
      <c r="F113" s="453"/>
      <c r="G113" s="454"/>
      <c r="H113" s="454"/>
      <c r="I113" s="454"/>
      <c r="J113" s="454"/>
      <c r="K113" s="453"/>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669"/>
      <c r="B114" s="669"/>
      <c r="C114" s="669"/>
      <c r="D114" s="835"/>
      <c r="E114" s="453"/>
      <c r="F114" s="453"/>
      <c r="G114" s="454"/>
      <c r="H114" s="454"/>
      <c r="I114" s="454"/>
      <c r="J114" s="454"/>
      <c r="K114" s="453"/>
      <c r="L114" s="453"/>
      <c r="M114" s="453"/>
      <c r="N114" s="453"/>
      <c r="O114" s="453"/>
      <c r="P114" s="453"/>
      <c r="Q114" s="453"/>
      <c r="R114" s="453"/>
      <c r="S114" s="453"/>
      <c r="T114" s="453"/>
      <c r="U114" s="453"/>
      <c r="V114" s="453"/>
      <c r="W114" s="453"/>
      <c r="X114" s="453"/>
      <c r="Y114" s="453"/>
      <c r="Z114" s="453"/>
      <c r="AA114" s="453"/>
      <c r="AB114" s="453"/>
      <c r="AC114" s="453"/>
      <c r="AD114" s="453"/>
    </row>
    <row r="115" spans="1:30">
      <c r="A115" s="524"/>
      <c r="B115" s="669"/>
      <c r="C115" s="669"/>
      <c r="D115" s="834"/>
      <c r="E115" s="453"/>
      <c r="F115" s="453"/>
      <c r="G115" s="454"/>
      <c r="H115" s="454"/>
      <c r="I115" s="454"/>
      <c r="J115" s="454"/>
      <c r="K115" s="453"/>
      <c r="L115" s="453"/>
      <c r="M115" s="453"/>
      <c r="N115" s="453"/>
      <c r="O115" s="453"/>
      <c r="P115" s="453"/>
      <c r="Q115" s="453"/>
      <c r="R115" s="453"/>
      <c r="S115" s="453"/>
      <c r="T115" s="453"/>
      <c r="U115" s="453"/>
      <c r="V115" s="453"/>
      <c r="W115" s="453"/>
      <c r="X115" s="453"/>
      <c r="Y115" s="453"/>
      <c r="Z115" s="453"/>
      <c r="AA115" s="453"/>
      <c r="AB115" s="453"/>
      <c r="AC115" s="453"/>
      <c r="AD115" s="453"/>
    </row>
    <row r="116" spans="1:30">
      <c r="A116" s="526"/>
      <c r="E116" s="5"/>
      <c r="F116" s="491"/>
      <c r="G116" s="454"/>
      <c r="H116" s="454"/>
      <c r="I116" s="454"/>
      <c r="J116" s="454"/>
      <c r="K116" s="453"/>
      <c r="L116" s="453"/>
      <c r="M116" s="453"/>
      <c r="N116" s="453"/>
      <c r="O116" s="453"/>
      <c r="P116" s="453"/>
      <c r="Q116" s="453"/>
      <c r="R116" s="453"/>
      <c r="S116" s="453"/>
      <c r="T116" s="453"/>
      <c r="U116" s="453"/>
      <c r="V116" s="453"/>
      <c r="W116" s="453"/>
      <c r="X116" s="453"/>
      <c r="Y116" s="453"/>
      <c r="Z116" s="453"/>
      <c r="AA116" s="453"/>
      <c r="AB116" s="453"/>
      <c r="AC116" s="453"/>
      <c r="AD116" s="453"/>
    </row>
    <row r="117" spans="1:30">
      <c r="J117" s="453"/>
      <c r="K117" s="453"/>
      <c r="L117" s="453"/>
      <c r="M117" s="453"/>
      <c r="N117" s="453"/>
      <c r="O117" s="453"/>
      <c r="P117" s="453"/>
      <c r="Q117" s="453"/>
      <c r="R117" s="453"/>
      <c r="S117" s="453"/>
      <c r="T117" s="453"/>
      <c r="U117" s="453"/>
      <c r="V117" s="453"/>
      <c r="W117" s="453"/>
      <c r="X117" s="453"/>
      <c r="Y117" s="453"/>
      <c r="Z117" s="453"/>
      <c r="AA117" s="453"/>
      <c r="AB117" s="453"/>
      <c r="AC117" s="453"/>
      <c r="AD117" s="453"/>
    </row>
    <row r="118" spans="1:30">
      <c r="D118" s="811">
        <f>+D103/'R19'!D74-1</f>
        <v>5.7623214018289515E-2</v>
      </c>
      <c r="E118" s="5"/>
      <c r="M118" s="453"/>
      <c r="N118" s="453"/>
      <c r="O118" s="453"/>
      <c r="P118" s="453"/>
      <c r="Q118" s="453"/>
      <c r="R118" s="453"/>
      <c r="S118" s="453"/>
      <c r="T118" s="453"/>
      <c r="U118" s="453"/>
      <c r="V118" s="453"/>
      <c r="W118" s="453"/>
      <c r="X118" s="453"/>
      <c r="Y118" s="453"/>
      <c r="Z118" s="453"/>
      <c r="AA118" s="453"/>
      <c r="AB118" s="453"/>
      <c r="AC118" s="453"/>
      <c r="AD118" s="453"/>
    </row>
    <row r="119" spans="1:30">
      <c r="E119" s="5"/>
    </row>
    <row r="120" spans="1:30">
      <c r="D120" s="5"/>
      <c r="E120" s="5"/>
    </row>
    <row r="121" spans="1:30">
      <c r="E121" s="5"/>
    </row>
    <row r="122" spans="1:30">
      <c r="E122" s="517"/>
    </row>
    <row r="123" spans="1:30">
      <c r="E123" s="5"/>
    </row>
    <row r="125" spans="1:30">
      <c r="E125" s="5"/>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24" sqref="D124"/>
    </sheetView>
  </sheetViews>
  <sheetFormatPr baseColWidth="10" defaultRowHeight="12.5"/>
  <cols>
    <col min="1" max="1" width="29" customWidth="1"/>
    <col min="2" max="2" width="10.1796875" bestFit="1" customWidth="1"/>
    <col min="3" max="3" width="30.179687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2638</v>
      </c>
      <c r="B1" s="61"/>
      <c r="C1" s="61"/>
      <c r="D1" s="125"/>
      <c r="E1" s="125"/>
      <c r="F1" s="125"/>
      <c r="G1" s="61"/>
      <c r="H1" s="61"/>
      <c r="I1" s="61"/>
      <c r="J1" s="61"/>
      <c r="K1" s="74" t="s">
        <v>719</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2191</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2390</v>
      </c>
      <c r="B5" s="458"/>
      <c r="C5" s="455"/>
      <c r="D5" s="459">
        <f>+'R22'!D86</f>
        <v>149277757.00000012</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4" t="s">
        <v>2391</v>
      </c>
      <c r="B6" s="460"/>
      <c r="C6" s="455"/>
      <c r="D6" s="459"/>
      <c r="E6" s="436"/>
      <c r="F6" s="436"/>
      <c r="G6" s="642" t="s">
        <v>2411</v>
      </c>
      <c r="H6" s="534"/>
      <c r="I6" s="533">
        <f>+D7+D8+D9+D10+D11+D12+D16+D19+D20+D21+D29</f>
        <v>-1526195.0000000005</v>
      </c>
      <c r="J6" s="436"/>
      <c r="K6" s="436"/>
      <c r="L6" s="436"/>
      <c r="M6" s="453"/>
      <c r="N6" s="453"/>
      <c r="O6" s="453"/>
      <c r="P6" s="453"/>
      <c r="Q6" s="453"/>
      <c r="R6" s="453"/>
      <c r="S6" s="453"/>
      <c r="T6" s="453"/>
      <c r="U6" s="453"/>
      <c r="V6" s="453"/>
      <c r="W6" s="453"/>
      <c r="X6" s="453"/>
      <c r="Y6" s="453"/>
      <c r="Z6" s="453"/>
      <c r="AA6" s="453"/>
      <c r="AB6" s="453"/>
      <c r="AC6" s="453"/>
      <c r="AD6" s="453"/>
    </row>
    <row r="7" spans="1:30" ht="13">
      <c r="A7" s="729" t="s">
        <v>2392</v>
      </c>
      <c r="B7" s="460"/>
      <c r="C7" s="455"/>
      <c r="D7" s="1072">
        <v>2000000</v>
      </c>
      <c r="E7" s="447"/>
      <c r="F7" s="436"/>
      <c r="G7" s="441" t="s">
        <v>964</v>
      </c>
      <c r="H7" s="730">
        <f>I6*1000/D125</f>
        <v>-279.7384870977487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729" t="s">
        <v>2393</v>
      </c>
      <c r="B8" s="460"/>
      <c r="C8" s="455"/>
      <c r="D8" s="1072">
        <v>-2517000.0000000005</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729" t="s">
        <v>2394</v>
      </c>
      <c r="B9" s="460"/>
      <c r="C9" s="455"/>
      <c r="D9" s="1072">
        <v>314940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729" t="s">
        <v>2395</v>
      </c>
      <c r="B10" s="460"/>
      <c r="C10" s="455"/>
      <c r="D10" s="1072">
        <v>-168900</v>
      </c>
      <c r="E10" s="447"/>
      <c r="F10" s="436"/>
      <c r="G10" s="642" t="s">
        <v>2412</v>
      </c>
      <c r="H10" s="534"/>
      <c r="I10" s="533">
        <f>D25+D26+D33</f>
        <v>913450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t="s">
        <v>2323</v>
      </c>
      <c r="B11" s="453"/>
      <c r="C11" s="453"/>
      <c r="D11" s="1072">
        <v>-99800</v>
      </c>
      <c r="E11" s="436"/>
      <c r="F11" s="436"/>
      <c r="G11" s="441" t="s">
        <v>964</v>
      </c>
      <c r="H11" s="730">
        <f>I10*1000/D125</f>
        <v>167.42757055254305</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t="s">
        <v>2396</v>
      </c>
      <c r="B12" s="453"/>
      <c r="C12" s="453"/>
      <c r="D12" s="1072">
        <f>980</f>
        <v>980</v>
      </c>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72"/>
      <c r="E13" s="447"/>
      <c r="F13" s="436"/>
      <c r="G13" s="450"/>
      <c r="H13" s="463"/>
      <c r="I13" s="463"/>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t="s">
        <v>2397</v>
      </c>
      <c r="B14" s="453"/>
      <c r="C14" s="453"/>
      <c r="D14" s="1072">
        <v>-2643</v>
      </c>
      <c r="E14" s="447"/>
      <c r="F14" s="436"/>
      <c r="G14" s="436"/>
      <c r="H14" s="436"/>
      <c r="I14" s="532" t="s">
        <v>268</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t="s">
        <v>2398</v>
      </c>
      <c r="B15" s="453"/>
      <c r="C15" s="453"/>
      <c r="D15" s="1072">
        <v>1240500</v>
      </c>
      <c r="E15" s="447"/>
      <c r="F15" s="436"/>
      <c r="G15" s="642" t="s">
        <v>2418</v>
      </c>
      <c r="H15" s="534"/>
      <c r="I15" s="533">
        <f>+D37+D38+D39</f>
        <v>3850</v>
      </c>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t="s">
        <v>2399</v>
      </c>
      <c r="B16" s="453"/>
      <c r="C16" s="453"/>
      <c r="D16" s="1072">
        <v>-1240500</v>
      </c>
      <c r="E16" s="447"/>
      <c r="F16" s="436"/>
      <c r="G16" s="441" t="s">
        <v>964</v>
      </c>
      <c r="H16" s="730">
        <f>I15*1000/D125</f>
        <v>0.70567206374436564</v>
      </c>
      <c r="I16" s="588"/>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72"/>
      <c r="E17" s="447"/>
      <c r="F17" s="436"/>
      <c r="G17" s="450"/>
      <c r="H17" s="463"/>
      <c r="I17" s="461"/>
      <c r="J17" s="436"/>
      <c r="K17" s="436"/>
      <c r="L17" s="453"/>
      <c r="M17" s="453"/>
      <c r="N17" s="453"/>
      <c r="O17" s="453"/>
      <c r="P17" s="453"/>
      <c r="Q17" s="453"/>
      <c r="R17" s="453"/>
      <c r="S17" s="453"/>
      <c r="T17" s="453"/>
      <c r="U17" s="453"/>
      <c r="V17" s="453"/>
      <c r="W17" s="453"/>
      <c r="X17" s="453"/>
      <c r="Y17" s="453"/>
      <c r="Z17" s="453"/>
      <c r="AA17" s="453"/>
      <c r="AB17" s="453"/>
      <c r="AC17" s="453"/>
      <c r="AD17" s="453"/>
    </row>
    <row r="18" spans="1:30" ht="13">
      <c r="A18" s="974" t="s">
        <v>2400</v>
      </c>
      <c r="B18" s="458"/>
      <c r="C18" s="455"/>
      <c r="D18" s="1072"/>
      <c r="E18" s="447"/>
      <c r="F18" s="436"/>
      <c r="G18" s="436"/>
      <c r="H18" s="436"/>
      <c r="I18" s="481" t="s">
        <v>268</v>
      </c>
      <c r="J18" s="436"/>
      <c r="K18" s="436"/>
      <c r="L18" s="453"/>
      <c r="M18" s="453"/>
      <c r="N18" s="453"/>
      <c r="O18" s="453"/>
      <c r="P18" s="453"/>
      <c r="Q18" s="453"/>
      <c r="R18" s="453"/>
      <c r="S18" s="453"/>
      <c r="T18" s="453"/>
      <c r="U18" s="453"/>
      <c r="V18" s="453"/>
      <c r="W18" s="453"/>
      <c r="X18" s="453"/>
      <c r="Y18" s="453"/>
      <c r="Z18" s="453"/>
      <c r="AA18" s="453"/>
      <c r="AB18" s="453"/>
      <c r="AC18" s="453"/>
      <c r="AD18" s="453"/>
    </row>
    <row r="19" spans="1:30" ht="13">
      <c r="A19" s="729" t="s">
        <v>2401</v>
      </c>
      <c r="B19" s="458"/>
      <c r="C19" s="455"/>
      <c r="D19" s="1072">
        <v>640000</v>
      </c>
      <c r="E19" s="447"/>
      <c r="F19" s="436"/>
      <c r="G19" s="484" t="s">
        <v>2413</v>
      </c>
      <c r="H19" s="468"/>
      <c r="I19" s="466">
        <f>+D108</f>
        <v>5965029.5744453967</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ht="13">
      <c r="A20" s="729" t="s">
        <v>2402</v>
      </c>
      <c r="B20" s="460"/>
      <c r="C20" s="453"/>
      <c r="D20" s="1072">
        <v>187000</v>
      </c>
      <c r="E20" s="447"/>
      <c r="F20" s="436"/>
      <c r="G20" s="448" t="s">
        <v>748</v>
      </c>
      <c r="H20" s="732">
        <f>I19*1000/D125</f>
        <v>1093.3388909337814</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729" t="s">
        <v>2403</v>
      </c>
      <c r="B21" s="460"/>
      <c r="C21" s="455"/>
      <c r="D21" s="1072">
        <v>-942915</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729"/>
      <c r="B22" s="460"/>
      <c r="C22" s="455"/>
      <c r="D22" s="1072"/>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729"/>
      <c r="B23" s="460"/>
      <c r="C23" s="455"/>
      <c r="D23" s="1072"/>
      <c r="E23" s="447"/>
      <c r="F23" s="436"/>
      <c r="G23" s="444"/>
      <c r="H23" s="1002"/>
      <c r="I23" s="444"/>
      <c r="J23" s="436"/>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4" t="s">
        <v>2405</v>
      </c>
      <c r="B24" s="460"/>
      <c r="C24" s="455"/>
      <c r="D24" s="1072"/>
      <c r="E24" s="447"/>
      <c r="F24" s="436"/>
      <c r="G24" s="1070"/>
      <c r="H24" s="445"/>
      <c r="I24" s="481" t="s">
        <v>268</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ht="13">
      <c r="A25" s="729" t="s">
        <v>2406</v>
      </c>
      <c r="B25" s="460"/>
      <c r="C25" s="455"/>
      <c r="D25" s="1072">
        <v>702450</v>
      </c>
      <c r="E25" s="447"/>
      <c r="F25" s="436"/>
      <c r="G25" s="485" t="s">
        <v>2435</v>
      </c>
      <c r="H25" s="646"/>
      <c r="I25" s="647">
        <f>+D52+D53+D54</f>
        <v>-913450</v>
      </c>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729" t="s">
        <v>2434</v>
      </c>
      <c r="B26" s="460"/>
      <c r="C26" s="455"/>
      <c r="D26" s="1072">
        <v>11000</v>
      </c>
      <c r="E26" s="447"/>
      <c r="F26" s="436"/>
      <c r="G26" s="441" t="s">
        <v>964</v>
      </c>
      <c r="H26" s="731">
        <f>I25*1000/D125</f>
        <v>-167.42757055254305</v>
      </c>
      <c r="I26" s="442"/>
      <c r="J26" s="436"/>
      <c r="K26" s="436"/>
      <c r="L26" s="436"/>
      <c r="M26" s="453"/>
      <c r="N26" s="453"/>
      <c r="O26" s="453"/>
      <c r="P26" s="453"/>
      <c r="Q26" s="453"/>
      <c r="R26" s="453"/>
      <c r="S26" s="453"/>
      <c r="T26" s="453"/>
      <c r="U26" s="453"/>
      <c r="V26" s="453"/>
      <c r="W26" s="453"/>
      <c r="X26" s="453"/>
      <c r="Y26" s="453"/>
      <c r="Z26" s="453"/>
      <c r="AA26" s="453"/>
      <c r="AB26" s="453"/>
      <c r="AC26" s="453"/>
      <c r="AD26" s="453"/>
    </row>
    <row r="27" spans="1:30" ht="13">
      <c r="A27" s="729"/>
      <c r="B27" s="460"/>
      <c r="C27" s="455"/>
      <c r="D27" s="1072"/>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ht="13">
      <c r="A28" s="974" t="s">
        <v>2407</v>
      </c>
      <c r="B28" s="460"/>
      <c r="C28" s="455"/>
      <c r="D28" s="1072"/>
      <c r="E28" s="447"/>
      <c r="F28" s="436"/>
      <c r="G28" s="450"/>
      <c r="H28" s="445"/>
      <c r="I28" s="481" t="s">
        <v>268</v>
      </c>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t="s">
        <v>2408</v>
      </c>
      <c r="B29" s="453"/>
      <c r="C29" s="453"/>
      <c r="D29" s="1072">
        <v>300000</v>
      </c>
      <c r="E29" s="447"/>
      <c r="F29" s="436"/>
      <c r="G29" s="485" t="s">
        <v>2436</v>
      </c>
      <c r="H29" s="646"/>
      <c r="I29" s="647">
        <f>SUM(D56:D91)</f>
        <v>11640944.069431052</v>
      </c>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t="s">
        <v>2500</v>
      </c>
      <c r="B30" s="453"/>
      <c r="C30" s="453"/>
      <c r="D30" s="1072">
        <v>170000</v>
      </c>
      <c r="E30" s="447"/>
      <c r="F30" s="436"/>
      <c r="G30" s="441" t="s">
        <v>964</v>
      </c>
      <c r="H30" s="731">
        <f>I29*1000/D125</f>
        <v>2133.6854611449726</v>
      </c>
      <c r="I30" s="442"/>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72"/>
      <c r="E31" s="447"/>
      <c r="F31" s="436"/>
      <c r="G31" s="453"/>
      <c r="H31" s="453"/>
      <c r="I31" s="453"/>
      <c r="J31" s="436"/>
      <c r="K31" s="447"/>
      <c r="L31" s="436"/>
      <c r="M31" s="453"/>
      <c r="N31" s="453"/>
      <c r="O31" s="453"/>
      <c r="P31" s="453"/>
      <c r="Q31" s="453"/>
      <c r="R31" s="453"/>
      <c r="S31" s="453"/>
      <c r="T31" s="453"/>
      <c r="U31" s="453"/>
      <c r="V31" s="453"/>
      <c r="W31" s="453"/>
      <c r="X31" s="453"/>
      <c r="Y31" s="453"/>
      <c r="Z31" s="453"/>
      <c r="AA31" s="453"/>
      <c r="AB31" s="453"/>
      <c r="AC31" s="453"/>
      <c r="AD31" s="453"/>
    </row>
    <row r="32" spans="1:30" ht="13">
      <c r="A32" s="974" t="s">
        <v>2409</v>
      </c>
      <c r="B32" s="453"/>
      <c r="C32" s="453"/>
      <c r="D32" s="729"/>
      <c r="E32" s="447"/>
      <c r="F32" s="436"/>
      <c r="G32" s="450"/>
      <c r="H32" s="445"/>
      <c r="I32" s="481" t="s">
        <v>268</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t="s">
        <v>2488</v>
      </c>
      <c r="B33" s="453"/>
      <c r="C33" s="453"/>
      <c r="D33" s="1072">
        <v>200000</v>
      </c>
      <c r="E33" s="447"/>
      <c r="F33" s="436"/>
      <c r="G33" s="485" t="s">
        <v>2437</v>
      </c>
      <c r="H33" s="646"/>
      <c r="I33" s="647"/>
      <c r="J33" s="436"/>
      <c r="K33" s="436"/>
      <c r="L33" s="436"/>
      <c r="M33" s="453"/>
      <c r="N33" s="453"/>
      <c r="O33" s="453"/>
      <c r="P33" s="453"/>
      <c r="Q33" s="453"/>
      <c r="R33" s="453"/>
      <c r="S33" s="453"/>
      <c r="T33" s="453"/>
      <c r="U33" s="453"/>
      <c r="V33" s="453"/>
      <c r="W33" s="453"/>
      <c r="X33" s="453"/>
      <c r="Y33" s="453"/>
      <c r="Z33" s="453"/>
      <c r="AA33" s="453"/>
      <c r="AB33" s="453"/>
      <c r="AC33" s="453"/>
      <c r="AD33" s="453"/>
    </row>
    <row r="34" spans="1:30" ht="13">
      <c r="A34" s="460"/>
      <c r="B34" s="460"/>
      <c r="C34" s="455"/>
      <c r="D34" s="1072"/>
      <c r="E34" s="447"/>
      <c r="F34" s="436"/>
      <c r="G34" s="441" t="s">
        <v>964</v>
      </c>
      <c r="H34" s="731">
        <f>I33*1000/D125</f>
        <v>0</v>
      </c>
      <c r="I34" s="442"/>
      <c r="J34" s="447"/>
      <c r="K34" s="436"/>
      <c r="L34" s="436"/>
      <c r="M34" s="453"/>
      <c r="N34" s="453"/>
      <c r="O34" s="453"/>
      <c r="P34" s="453"/>
      <c r="Q34" s="453"/>
      <c r="R34" s="453"/>
      <c r="S34" s="453"/>
      <c r="T34" s="453"/>
      <c r="U34" s="453"/>
      <c r="V34" s="453"/>
      <c r="W34" s="453"/>
      <c r="X34" s="453"/>
      <c r="Y34" s="453"/>
      <c r="Z34" s="453"/>
      <c r="AA34" s="453"/>
      <c r="AB34" s="453"/>
      <c r="AC34" s="453"/>
      <c r="AD34" s="453"/>
    </row>
    <row r="35" spans="1:30" ht="13">
      <c r="A35" s="974" t="s">
        <v>2410</v>
      </c>
      <c r="B35" s="460"/>
      <c r="C35" s="455"/>
      <c r="D35" s="1072"/>
      <c r="E35" s="447"/>
      <c r="F35" s="436"/>
      <c r="G35" s="453"/>
      <c r="H35" s="453"/>
      <c r="I35" s="481"/>
      <c r="J35" s="436"/>
      <c r="K35" s="436"/>
      <c r="L35" s="436"/>
      <c r="M35" s="454"/>
      <c r="N35" s="453"/>
      <c r="O35" s="453"/>
      <c r="P35" s="453"/>
      <c r="Q35" s="453"/>
      <c r="R35" s="453"/>
      <c r="S35" s="453"/>
      <c r="T35" s="453"/>
      <c r="U35" s="453"/>
      <c r="V35" s="453"/>
      <c r="W35" s="453"/>
      <c r="X35" s="453"/>
      <c r="Y35" s="453"/>
      <c r="Z35" s="453"/>
      <c r="AA35" s="453"/>
      <c r="AB35" s="453"/>
      <c r="AC35" s="453"/>
      <c r="AD35" s="453"/>
    </row>
    <row r="36" spans="1:30" ht="13">
      <c r="A36" s="729" t="s">
        <v>2501</v>
      </c>
      <c r="B36" s="460"/>
      <c r="C36" s="455"/>
      <c r="D36" s="1072">
        <v>-9100000</v>
      </c>
      <c r="E36" s="447"/>
      <c r="F36" s="436"/>
      <c r="G36" s="453"/>
      <c r="H36" s="453"/>
      <c r="I36" s="481" t="s">
        <v>268</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729" t="s">
        <v>2489</v>
      </c>
      <c r="B37" s="460"/>
      <c r="C37" s="455"/>
      <c r="D37" s="1072">
        <v>8000</v>
      </c>
      <c r="E37" s="447"/>
      <c r="F37" s="436"/>
      <c r="G37" s="485" t="s">
        <v>2186</v>
      </c>
      <c r="H37" s="646"/>
      <c r="I37" s="647">
        <f>D94+D95+D96+D97+D98+D99+D100+D101</f>
        <v>-1827313.0097299907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ht="13">
      <c r="A38" s="729" t="s">
        <v>2490</v>
      </c>
      <c r="B38" s="460"/>
      <c r="C38" s="455"/>
      <c r="D38" s="1072">
        <v>1050</v>
      </c>
      <c r="E38" s="447"/>
      <c r="F38" s="436"/>
      <c r="G38" s="441" t="s">
        <v>964</v>
      </c>
      <c r="H38" s="731">
        <f>I37*1000/D125</f>
        <v>-334.93084225534818</v>
      </c>
      <c r="I38" s="442"/>
      <c r="J38" s="436"/>
      <c r="K38" s="436"/>
      <c r="L38" s="436"/>
      <c r="M38" s="454"/>
      <c r="N38" s="453"/>
      <c r="O38" s="453"/>
      <c r="P38" s="453"/>
      <c r="Q38" s="453"/>
      <c r="R38" s="453"/>
      <c r="S38" s="453"/>
      <c r="T38" s="453"/>
      <c r="U38" s="453"/>
      <c r="V38" s="453"/>
      <c r="W38" s="453"/>
      <c r="X38" s="453"/>
      <c r="Y38" s="453"/>
      <c r="Z38" s="453"/>
      <c r="AA38" s="453"/>
      <c r="AB38" s="453"/>
      <c r="AC38" s="453"/>
      <c r="AD38" s="453"/>
    </row>
    <row r="39" spans="1:30" ht="13">
      <c r="A39" s="729" t="s">
        <v>2491</v>
      </c>
      <c r="B39" s="460"/>
      <c r="C39" s="455"/>
      <c r="D39" s="1072">
        <v>-5200</v>
      </c>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ht="13">
      <c r="A40" s="729"/>
      <c r="B40" s="460"/>
      <c r="C40" s="455"/>
      <c r="D40" s="1072"/>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ht="13">
      <c r="A41" s="974" t="s">
        <v>2533</v>
      </c>
      <c r="B41" s="460"/>
      <c r="C41" s="455"/>
      <c r="D41" s="1072"/>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ht="13">
      <c r="A42" s="729" t="s">
        <v>2534</v>
      </c>
      <c r="B42" s="458"/>
      <c r="C42" s="455"/>
      <c r="D42" s="1072">
        <v>71700</v>
      </c>
      <c r="E42" s="462" t="s">
        <v>772</v>
      </c>
      <c r="F42" s="751" t="s">
        <v>766</v>
      </c>
      <c r="G42" s="453"/>
      <c r="H42" s="453"/>
      <c r="I42" s="453"/>
      <c r="J42" s="436"/>
      <c r="K42" s="447"/>
      <c r="L42" s="436"/>
      <c r="M42" s="453"/>
      <c r="N42" s="453"/>
      <c r="O42" s="453"/>
      <c r="P42" s="453"/>
      <c r="Q42" s="453"/>
      <c r="R42" s="453"/>
      <c r="S42" s="453"/>
      <c r="T42" s="453"/>
      <c r="U42" s="453"/>
      <c r="V42" s="453"/>
      <c r="W42" s="453"/>
      <c r="X42" s="453"/>
      <c r="Y42" s="453"/>
      <c r="Z42" s="453"/>
      <c r="AA42" s="453"/>
      <c r="AB42" s="453"/>
      <c r="AC42" s="453"/>
      <c r="AD42" s="453"/>
    </row>
    <row r="43" spans="1:30" ht="13">
      <c r="A43" s="729" t="s">
        <v>2535</v>
      </c>
      <c r="B43" s="458"/>
      <c r="C43" s="455"/>
      <c r="D43" s="1072">
        <v>-565500</v>
      </c>
      <c r="E43" s="621" t="s">
        <v>2253</v>
      </c>
      <c r="F43" s="752"/>
      <c r="G43" s="444" t="s">
        <v>1963</v>
      </c>
      <c r="H43" s="594"/>
      <c r="I43" s="444"/>
      <c r="J43" s="436"/>
      <c r="K43" s="447"/>
      <c r="L43" s="436"/>
      <c r="M43" s="453"/>
      <c r="N43" s="453"/>
      <c r="O43" s="453"/>
      <c r="P43" s="453"/>
      <c r="Q43" s="453"/>
      <c r="R43" s="453"/>
      <c r="S43" s="453"/>
      <c r="T43" s="453"/>
      <c r="U43" s="453"/>
      <c r="V43" s="453"/>
      <c r="W43" s="453"/>
      <c r="X43" s="453"/>
      <c r="Y43" s="453"/>
      <c r="Z43" s="453"/>
      <c r="AA43" s="453"/>
      <c r="AB43" s="453"/>
      <c r="AC43" s="453"/>
      <c r="AD43" s="453"/>
    </row>
    <row r="44" spans="1:30" ht="13">
      <c r="A44" s="460"/>
      <c r="B44" s="458"/>
      <c r="C44" s="455"/>
      <c r="D44" s="1072"/>
      <c r="E44" s="689"/>
      <c r="F44" s="753"/>
      <c r="G44" s="485" t="s">
        <v>51</v>
      </c>
      <c r="H44" s="486" t="s">
        <v>268</v>
      </c>
      <c r="I44" s="487" t="s">
        <v>748</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ht="13">
      <c r="A45" s="464" t="s">
        <v>2404</v>
      </c>
      <c r="B45" s="439"/>
      <c r="C45" s="438"/>
      <c r="D45" s="440">
        <f>SUM(D5:D44)</f>
        <v>140482919.00000012</v>
      </c>
      <c r="E45" s="536">
        <v>140482919</v>
      </c>
      <c r="F45" s="688">
        <f>+D45-E45</f>
        <v>0</v>
      </c>
      <c r="G45" s="713">
        <v>2024</v>
      </c>
      <c r="H45" s="677">
        <f>-4683/2-11318/2-3396-9321/4</f>
        <v>-13726.75</v>
      </c>
      <c r="I45" s="759">
        <f>H45*1000/Gdata!H60</f>
        <v>-2.5159958444163562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ht="13">
      <c r="A46" s="391"/>
      <c r="B46" s="458"/>
      <c r="C46" s="455"/>
      <c r="D46" s="459"/>
      <c r="E46" s="479"/>
      <c r="F46" s="436"/>
      <c r="G46" s="713">
        <v>2025</v>
      </c>
      <c r="H46" s="677">
        <f>-4683/2-11318/2-9321/4</f>
        <v>-10330.75</v>
      </c>
      <c r="I46" s="842">
        <f>H46*1000/Gdata!I60</f>
        <v>-1.8935380967602871</v>
      </c>
      <c r="J46" s="436"/>
      <c r="K46" s="447"/>
      <c r="L46" s="436"/>
      <c r="M46" s="453"/>
      <c r="N46" s="453"/>
      <c r="O46" s="453"/>
      <c r="P46" s="453"/>
      <c r="Q46" s="453"/>
      <c r="R46" s="453"/>
      <c r="S46" s="453"/>
      <c r="T46" s="453"/>
      <c r="U46" s="453"/>
      <c r="V46" s="453"/>
      <c r="W46" s="453"/>
      <c r="X46" s="453"/>
      <c r="Y46" s="453"/>
      <c r="Z46" s="453"/>
      <c r="AA46" s="453"/>
      <c r="AB46" s="453"/>
      <c r="AC46" s="453"/>
      <c r="AD46" s="453"/>
    </row>
    <row r="47" spans="1:30" ht="13">
      <c r="A47" s="392"/>
      <c r="B47" s="458"/>
      <c r="C47" s="456"/>
      <c r="D47" s="459"/>
      <c r="E47" s="482"/>
      <c r="F47" s="446"/>
      <c r="G47" s="644">
        <v>2026</v>
      </c>
      <c r="H47" s="645">
        <f>-9321/4</f>
        <v>-2330.25</v>
      </c>
      <c r="I47" s="963">
        <f>H47*1000/Gdata!J60</f>
        <v>-0.42711489001046959</v>
      </c>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2511</v>
      </c>
      <c r="B48" s="459"/>
      <c r="C48" s="456"/>
      <c r="D48" s="459"/>
      <c r="E48" s="447"/>
      <c r="F48" s="480"/>
      <c r="G48" s="453"/>
      <c r="H48" s="453"/>
      <c r="I48" s="453"/>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2168</v>
      </c>
      <c r="E49" s="571" t="s">
        <v>2414</v>
      </c>
      <c r="F49" s="446"/>
      <c r="G49" s="444" t="s">
        <v>1497</v>
      </c>
      <c r="H49" s="594"/>
      <c r="I49" s="444"/>
      <c r="J49" s="436"/>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459"/>
      <c r="E50" s="447"/>
      <c r="F50" s="447"/>
      <c r="G50" s="485" t="s">
        <v>51</v>
      </c>
      <c r="H50" s="486" t="s">
        <v>268</v>
      </c>
      <c r="I50" s="487" t="s">
        <v>748</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1107</v>
      </c>
      <c r="B51" s="459"/>
      <c r="C51" s="467"/>
      <c r="D51" s="459"/>
      <c r="E51" s="447"/>
      <c r="F51" s="447"/>
      <c r="G51" s="713">
        <v>2024</v>
      </c>
      <c r="H51" s="677">
        <v>31400</v>
      </c>
      <c r="I51" s="759">
        <f>H51*1000/Gdata!H60</f>
        <v>5.7553513770319693</v>
      </c>
      <c r="J51" s="436"/>
      <c r="K51" s="447"/>
      <c r="L51" s="447"/>
      <c r="M51" s="453"/>
      <c r="N51" s="453"/>
      <c r="O51" s="453"/>
      <c r="P51" s="453"/>
      <c r="Q51" s="453"/>
      <c r="R51" s="453"/>
      <c r="S51" s="453"/>
      <c r="T51" s="453"/>
      <c r="U51" s="453"/>
      <c r="V51" s="453"/>
      <c r="W51" s="453"/>
      <c r="X51" s="453"/>
      <c r="Y51" s="453"/>
      <c r="Z51" s="453"/>
      <c r="AA51" s="453"/>
      <c r="AB51" s="453"/>
      <c r="AC51" s="453"/>
      <c r="AD51" s="453"/>
    </row>
    <row r="52" spans="1:30" ht="13">
      <c r="A52" s="483" t="s">
        <v>2167</v>
      </c>
      <c r="B52" s="459"/>
      <c r="C52" s="456"/>
      <c r="D52" s="1072">
        <f>-D25</f>
        <v>-702450</v>
      </c>
      <c r="E52" s="447">
        <f>+D52*1.037</f>
        <v>-728440.64999999991</v>
      </c>
      <c r="F52" s="687"/>
      <c r="G52" s="644">
        <v>2025</v>
      </c>
      <c r="H52" s="645">
        <f>+H51</f>
        <v>31400</v>
      </c>
      <c r="I52" s="760">
        <f>H52*1000/Gdata!I60</f>
        <v>5.7553513770319693</v>
      </c>
      <c r="J52" s="436"/>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2492</v>
      </c>
      <c r="B53" s="459"/>
      <c r="C53" s="456"/>
      <c r="D53" s="1072">
        <v>-11000</v>
      </c>
      <c r="E53" s="447">
        <f t="shared" ref="E53:E54" si="0">+D53*1.037</f>
        <v>-11407</v>
      </c>
      <c r="F53" s="447"/>
      <c r="G53" s="453"/>
      <c r="H53" s="453"/>
      <c r="I53" s="453"/>
      <c r="J53" s="436"/>
      <c r="K53" s="436"/>
      <c r="L53" s="436"/>
      <c r="M53" s="453"/>
      <c r="N53" s="453"/>
      <c r="O53" s="453"/>
      <c r="P53" s="453"/>
      <c r="Q53" s="453"/>
      <c r="R53" s="453"/>
      <c r="S53" s="453"/>
      <c r="T53" s="453"/>
      <c r="U53" s="453"/>
      <c r="V53" s="453"/>
      <c r="W53" s="453"/>
      <c r="X53" s="453"/>
      <c r="Y53" s="453"/>
      <c r="Z53" s="453"/>
      <c r="AA53" s="453"/>
      <c r="AB53" s="453"/>
      <c r="AC53" s="453"/>
      <c r="AD53" s="453"/>
    </row>
    <row r="54" spans="1:30" ht="13">
      <c r="A54" s="483" t="s">
        <v>2494</v>
      </c>
      <c r="B54" s="491"/>
      <c r="C54" s="456"/>
      <c r="D54" s="1072">
        <f>-D33</f>
        <v>-200000</v>
      </c>
      <c r="E54" s="447">
        <f t="shared" si="0"/>
        <v>-207399.99999999997</v>
      </c>
      <c r="F54" s="447"/>
      <c r="G54" s="453"/>
      <c r="H54" s="453"/>
      <c r="I54" s="453"/>
      <c r="J54" s="447"/>
      <c r="K54" s="447"/>
      <c r="L54" s="436"/>
      <c r="M54" s="453"/>
      <c r="N54" s="453"/>
      <c r="O54" s="453"/>
      <c r="P54" s="453"/>
      <c r="Q54" s="453"/>
      <c r="R54" s="453"/>
      <c r="S54" s="453"/>
      <c r="T54" s="453"/>
      <c r="U54" s="453"/>
      <c r="V54" s="453"/>
      <c r="W54" s="453"/>
      <c r="X54" s="453"/>
      <c r="Y54" s="453"/>
      <c r="Z54" s="453"/>
      <c r="AA54" s="453"/>
      <c r="AB54" s="453"/>
      <c r="AC54" s="453"/>
      <c r="AD54" s="453"/>
    </row>
    <row r="55" spans="1:30" ht="13">
      <c r="A55" s="483"/>
      <c r="B55" s="491"/>
      <c r="C55" s="489"/>
      <c r="D55" s="1072"/>
      <c r="E55" s="447"/>
      <c r="F55" s="447"/>
      <c r="G55" s="444" t="s">
        <v>2277</v>
      </c>
      <c r="H55" s="594"/>
      <c r="I55" s="444"/>
      <c r="J55" s="436"/>
      <c r="K55" s="436"/>
      <c r="L55" s="436"/>
      <c r="M55" s="453"/>
      <c r="N55" s="453"/>
      <c r="O55" s="453"/>
      <c r="P55" s="453"/>
      <c r="Q55" s="453"/>
      <c r="R55" s="453"/>
      <c r="S55" s="453"/>
      <c r="T55" s="453"/>
      <c r="U55" s="453"/>
      <c r="V55" s="453"/>
      <c r="W55" s="453"/>
      <c r="X55" s="453"/>
      <c r="Y55" s="453"/>
      <c r="Z55" s="453"/>
      <c r="AA55" s="453"/>
      <c r="AB55" s="453"/>
      <c r="AC55" s="453"/>
      <c r="AD55" s="453"/>
    </row>
    <row r="56" spans="1:30" ht="13">
      <c r="A56" s="483" t="s">
        <v>2493</v>
      </c>
      <c r="B56" s="491"/>
      <c r="C56" s="489"/>
      <c r="D56" s="1072">
        <f>+E56/1.037</f>
        <v>-300000</v>
      </c>
      <c r="E56" s="447">
        <v>-311100</v>
      </c>
      <c r="F56" s="447"/>
      <c r="G56" s="485" t="s">
        <v>51</v>
      </c>
      <c r="H56" s="486" t="s">
        <v>268</v>
      </c>
      <c r="I56" s="487" t="s">
        <v>748</v>
      </c>
      <c r="J56" s="436"/>
      <c r="K56" s="436"/>
      <c r="L56" s="436"/>
      <c r="M56" s="453"/>
      <c r="N56" s="453"/>
      <c r="O56" s="453"/>
      <c r="P56" s="453"/>
      <c r="Q56" s="453"/>
      <c r="R56" s="453"/>
      <c r="S56" s="453"/>
      <c r="T56" s="453"/>
      <c r="U56" s="453"/>
      <c r="V56" s="453"/>
      <c r="W56" s="453"/>
      <c r="X56" s="453"/>
      <c r="Y56" s="453"/>
      <c r="Z56" s="453"/>
      <c r="AA56" s="453"/>
      <c r="AB56" s="453"/>
      <c r="AC56" s="453"/>
      <c r="AD56" s="453"/>
    </row>
    <row r="57" spans="1:30" ht="13">
      <c r="A57" s="483" t="s">
        <v>2512</v>
      </c>
      <c r="B57" s="459"/>
      <c r="C57" s="467"/>
      <c r="D57" s="1072">
        <f>+E57/1.037</f>
        <v>-170000</v>
      </c>
      <c r="E57" s="1037">
        <v>-176290</v>
      </c>
      <c r="F57" s="447"/>
      <c r="G57" s="713">
        <v>2024</v>
      </c>
      <c r="H57" s="677">
        <f>-5436/6</f>
        <v>-906</v>
      </c>
      <c r="I57" s="759">
        <f>H57*1000/Gdata!H60</f>
        <v>-0.16606204928633642</v>
      </c>
      <c r="J57" s="447"/>
      <c r="K57" s="447"/>
      <c r="L57" s="436"/>
      <c r="M57" s="453"/>
      <c r="N57" s="453"/>
      <c r="O57" s="453"/>
      <c r="P57" s="453"/>
      <c r="Q57" s="453"/>
      <c r="R57" s="453"/>
      <c r="S57" s="453"/>
      <c r="T57" s="453"/>
      <c r="U57" s="453"/>
      <c r="V57" s="453"/>
      <c r="W57" s="453"/>
      <c r="X57" s="453"/>
      <c r="Y57" s="453"/>
      <c r="Z57" s="453"/>
      <c r="AA57" s="453"/>
      <c r="AB57" s="453"/>
      <c r="AC57" s="453"/>
      <c r="AD57" s="453"/>
    </row>
    <row r="58" spans="1:30" ht="13">
      <c r="A58" s="483" t="s">
        <v>2608</v>
      </c>
      <c r="B58" s="459"/>
      <c r="C58" s="467"/>
      <c r="D58" s="1072">
        <f>+E58/1.037</f>
        <v>9665500.4821600784</v>
      </c>
      <c r="E58" s="1037">
        <v>10023124</v>
      </c>
      <c r="F58" s="447"/>
      <c r="G58" s="713">
        <v>2025</v>
      </c>
      <c r="H58" s="677">
        <f>+H57</f>
        <v>-906</v>
      </c>
      <c r="I58" s="759">
        <f>H58*1000/Gdata!I60</f>
        <v>-0.16606204928633642</v>
      </c>
      <c r="J58" s="447"/>
      <c r="K58" s="447"/>
      <c r="L58" s="436"/>
      <c r="M58" s="453"/>
      <c r="N58" s="453"/>
      <c r="O58" s="453"/>
      <c r="P58" s="453"/>
      <c r="Q58" s="453"/>
      <c r="R58" s="453"/>
      <c r="S58" s="453"/>
      <c r="T58" s="453"/>
      <c r="U58" s="453"/>
      <c r="V58" s="453"/>
      <c r="W58" s="453"/>
      <c r="X58" s="453"/>
      <c r="Y58" s="453"/>
      <c r="Z58" s="453"/>
      <c r="AA58" s="453"/>
      <c r="AB58" s="453"/>
      <c r="AC58" s="453"/>
      <c r="AD58" s="453"/>
    </row>
    <row r="59" spans="1:30" ht="13">
      <c r="A59" s="483" t="s">
        <v>2616</v>
      </c>
      <c r="B59" s="459"/>
      <c r="C59" s="467"/>
      <c r="D59" s="1072">
        <f>+E59/1.037</f>
        <v>-8000.0000000000009</v>
      </c>
      <c r="E59" s="1037">
        <v>-8296</v>
      </c>
      <c r="F59" s="447"/>
      <c r="G59" s="644">
        <v>2026</v>
      </c>
      <c r="H59" s="645">
        <f>+H58</f>
        <v>-906</v>
      </c>
      <c r="I59" s="760">
        <f>H59*1000/Gdata!J60</f>
        <v>-0.16606204928633642</v>
      </c>
      <c r="J59" s="447"/>
      <c r="K59" s="447"/>
      <c r="L59" s="436"/>
      <c r="M59" s="453"/>
      <c r="N59" s="453"/>
      <c r="O59" s="453"/>
      <c r="P59" s="453"/>
      <c r="Q59" s="453"/>
      <c r="R59" s="453"/>
      <c r="S59" s="453"/>
      <c r="T59" s="453"/>
      <c r="U59" s="453"/>
      <c r="V59" s="453"/>
      <c r="W59" s="453"/>
      <c r="X59" s="453"/>
      <c r="Y59" s="453"/>
      <c r="Z59" s="453"/>
      <c r="AA59" s="453"/>
      <c r="AB59" s="453"/>
      <c r="AC59" s="453"/>
      <c r="AD59" s="453"/>
    </row>
    <row r="60" spans="1:30" ht="13">
      <c r="A60" s="483" t="s">
        <v>2606</v>
      </c>
      <c r="B60" s="459"/>
      <c r="C60" s="456"/>
      <c r="D60" s="1072">
        <v>-34000</v>
      </c>
      <c r="E60" s="1037">
        <v>-35258</v>
      </c>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67"/>
      <c r="D61" s="1072"/>
      <c r="E61" s="1037"/>
      <c r="F61" s="447"/>
      <c r="G61" s="444" t="s">
        <v>2624</v>
      </c>
      <c r="H61" s="594"/>
      <c r="I61" s="444"/>
      <c r="J61" s="453"/>
      <c r="K61" s="436"/>
      <c r="L61" s="436"/>
      <c r="M61" s="453"/>
      <c r="N61" s="453"/>
      <c r="O61" s="453"/>
      <c r="P61" s="453"/>
      <c r="Q61" s="453"/>
      <c r="R61" s="453"/>
      <c r="S61" s="453"/>
      <c r="T61" s="453"/>
      <c r="U61" s="453"/>
      <c r="V61" s="453"/>
      <c r="W61" s="453"/>
      <c r="X61" s="453"/>
      <c r="Y61" s="453"/>
      <c r="Z61" s="453"/>
      <c r="AA61" s="453"/>
      <c r="AB61" s="453"/>
      <c r="AC61" s="453"/>
      <c r="AD61" s="453"/>
    </row>
    <row r="62" spans="1:30" ht="13">
      <c r="A62" s="483" t="s">
        <v>2605</v>
      </c>
      <c r="B62" s="459"/>
      <c r="C62" s="467"/>
      <c r="D62" s="1072">
        <f>+E62/1.037</f>
        <v>4821.6007714561238</v>
      </c>
      <c r="E62" s="1037">
        <v>5000</v>
      </c>
      <c r="F62" s="447"/>
      <c r="G62" s="485" t="s">
        <v>51</v>
      </c>
      <c r="H62" s="486" t="s">
        <v>268</v>
      </c>
      <c r="I62" s="487" t="s">
        <v>748</v>
      </c>
      <c r="J62" s="453"/>
      <c r="K62" s="436"/>
      <c r="L62" s="436"/>
      <c r="M62" s="453"/>
      <c r="N62" s="453"/>
      <c r="O62" s="453"/>
      <c r="P62" s="453"/>
      <c r="Q62" s="453"/>
      <c r="R62" s="453"/>
      <c r="S62" s="453"/>
      <c r="T62" s="453"/>
      <c r="U62" s="453"/>
      <c r="V62" s="453"/>
      <c r="W62" s="453"/>
      <c r="X62" s="453"/>
      <c r="Y62" s="453"/>
      <c r="Z62" s="453"/>
      <c r="AA62" s="453"/>
      <c r="AB62" s="453"/>
      <c r="AC62" s="453"/>
      <c r="AD62" s="453"/>
    </row>
    <row r="63" spans="1:30" ht="13">
      <c r="A63" s="483" t="s">
        <v>2613</v>
      </c>
      <c r="B63" s="459"/>
      <c r="C63" s="459"/>
      <c r="D63" s="1072">
        <f>+E63/1.037</f>
        <v>-11475.409836065575</v>
      </c>
      <c r="E63" s="1037">
        <v>-11900</v>
      </c>
      <c r="F63" s="447"/>
      <c r="G63" s="846">
        <v>2024</v>
      </c>
      <c r="H63" s="595">
        <v>-53000</v>
      </c>
      <c r="I63" s="847">
        <f>H63*1000/Gdata!I60</f>
        <v>-9.7144465918055527</v>
      </c>
      <c r="J63" s="436"/>
      <c r="K63" s="436"/>
      <c r="L63" s="436"/>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67"/>
      <c r="D64" s="1072"/>
      <c r="E64" s="1037"/>
      <c r="F64" s="447"/>
      <c r="G64" s="453"/>
      <c r="H64" s="453"/>
      <c r="I64" s="453"/>
      <c r="J64" s="436"/>
      <c r="K64" s="436"/>
      <c r="L64" s="436"/>
      <c r="M64" s="453"/>
      <c r="N64" s="453"/>
      <c r="O64" s="453"/>
      <c r="P64" s="453"/>
      <c r="Q64" s="453"/>
      <c r="R64" s="453"/>
      <c r="S64" s="453"/>
      <c r="T64" s="453"/>
      <c r="U64" s="453"/>
      <c r="V64" s="453"/>
      <c r="W64" s="453"/>
      <c r="X64" s="453"/>
      <c r="Y64" s="453"/>
      <c r="Z64" s="453"/>
      <c r="AA64" s="453"/>
      <c r="AB64" s="453"/>
      <c r="AC64" s="453"/>
      <c r="AD64" s="453"/>
    </row>
    <row r="65" spans="1:30" ht="13">
      <c r="A65" s="483" t="s">
        <v>2609</v>
      </c>
      <c r="B65" s="459"/>
      <c r="C65" s="456"/>
      <c r="D65" s="1072">
        <f>+E65/1.037</f>
        <v>317405.97878495662</v>
      </c>
      <c r="E65" s="1037">
        <v>329150</v>
      </c>
      <c r="F65" s="447"/>
      <c r="G65" s="444" t="s">
        <v>2625</v>
      </c>
      <c r="H65" s="594"/>
      <c r="I65" s="444"/>
      <c r="J65" s="444"/>
      <c r="K65" s="436"/>
      <c r="L65" s="436"/>
      <c r="M65" s="453"/>
      <c r="N65" s="453"/>
      <c r="O65" s="453"/>
      <c r="P65" s="453"/>
      <c r="Q65" s="453"/>
      <c r="R65" s="453"/>
      <c r="S65" s="453"/>
      <c r="T65" s="453"/>
      <c r="U65" s="453"/>
      <c r="V65" s="453"/>
      <c r="W65" s="453"/>
      <c r="X65" s="453"/>
      <c r="Y65" s="453"/>
      <c r="Z65" s="453"/>
      <c r="AA65" s="453"/>
      <c r="AB65" s="453"/>
      <c r="AC65" s="453"/>
      <c r="AD65" s="453"/>
    </row>
    <row r="66" spans="1:30" ht="13">
      <c r="A66" s="483" t="s">
        <v>2611</v>
      </c>
      <c r="B66" s="459"/>
      <c r="C66" s="456"/>
      <c r="D66" s="1072">
        <f>+E66/1.037</f>
        <v>-51100.289296046292</v>
      </c>
      <c r="E66" s="1037">
        <v>-52991</v>
      </c>
      <c r="F66" s="447"/>
      <c r="G66" s="485" t="s">
        <v>51</v>
      </c>
      <c r="H66" s="486" t="s">
        <v>268</v>
      </c>
      <c r="I66" s="487" t="s">
        <v>748</v>
      </c>
      <c r="J66" s="444"/>
      <c r="K66" s="436"/>
      <c r="L66" s="436"/>
      <c r="M66" s="453"/>
      <c r="N66" s="453"/>
      <c r="O66" s="453"/>
      <c r="P66" s="453"/>
      <c r="Q66" s="453"/>
      <c r="R66" s="453"/>
      <c r="S66" s="453"/>
      <c r="T66" s="453"/>
      <c r="U66" s="453"/>
      <c r="V66" s="453"/>
      <c r="W66" s="453"/>
      <c r="X66" s="453"/>
      <c r="Y66" s="453"/>
      <c r="Z66" s="453"/>
      <c r="AA66" s="453"/>
      <c r="AB66" s="453"/>
      <c r="AC66" s="453"/>
      <c r="AD66" s="453"/>
    </row>
    <row r="67" spans="1:30" ht="13">
      <c r="A67" s="483" t="s">
        <v>2612</v>
      </c>
      <c r="B67" s="459"/>
      <c r="C67" s="456"/>
      <c r="D67" s="1072">
        <f>+E67/1.037</f>
        <v>19286.403085824495</v>
      </c>
      <c r="E67" s="1037">
        <v>20000</v>
      </c>
      <c r="F67" s="447"/>
      <c r="G67" s="846">
        <v>2024</v>
      </c>
      <c r="H67" s="595">
        <f>20000*1.2</f>
        <v>24000</v>
      </c>
      <c r="I67" s="847">
        <f>H67*1000/Gdata!I60</f>
        <v>4.3989946830817601</v>
      </c>
      <c r="J67" s="444"/>
      <c r="K67" s="436"/>
      <c r="L67" s="436"/>
      <c r="M67" s="453"/>
      <c r="N67" s="453"/>
      <c r="O67" s="453"/>
      <c r="P67" s="453"/>
      <c r="Q67" s="453"/>
      <c r="R67" s="453"/>
      <c r="S67" s="453"/>
      <c r="T67" s="453"/>
      <c r="U67" s="453"/>
      <c r="V67" s="453"/>
      <c r="W67" s="453"/>
      <c r="X67" s="453"/>
      <c r="Y67" s="453"/>
      <c r="Z67" s="453"/>
      <c r="AA67" s="453"/>
      <c r="AB67" s="453"/>
      <c r="AC67" s="453"/>
      <c r="AD67" s="453"/>
    </row>
    <row r="68" spans="1:30" ht="13">
      <c r="A68" s="483"/>
      <c r="B68" s="459"/>
      <c r="C68" s="456"/>
      <c r="D68" s="1072"/>
      <c r="E68" s="1037"/>
      <c r="F68" s="447"/>
      <c r="G68" s="453"/>
      <c r="H68" s="453"/>
      <c r="I68" s="453"/>
      <c r="J68" s="444"/>
      <c r="K68" s="436"/>
      <c r="L68" s="436"/>
      <c r="M68" s="453"/>
      <c r="N68" s="453"/>
      <c r="O68" s="453"/>
      <c r="P68" s="453"/>
      <c r="Q68" s="453"/>
      <c r="R68" s="453"/>
      <c r="S68" s="453"/>
      <c r="T68" s="453"/>
      <c r="U68" s="453"/>
      <c r="V68" s="453"/>
      <c r="W68" s="453"/>
      <c r="X68" s="453"/>
      <c r="Y68" s="453"/>
      <c r="Z68" s="453"/>
      <c r="AA68" s="453"/>
      <c r="AB68" s="453"/>
      <c r="AC68" s="453"/>
      <c r="AD68" s="453"/>
    </row>
    <row r="69" spans="1:30" ht="13">
      <c r="A69" s="483" t="s">
        <v>2615</v>
      </c>
      <c r="B69" s="459"/>
      <c r="C69" s="456"/>
      <c r="D69" s="1072">
        <f>+E69/1.037</f>
        <v>462873.67405978788</v>
      </c>
      <c r="E69" s="1037">
        <v>480000</v>
      </c>
      <c r="F69" s="447"/>
      <c r="G69" s="444" t="s">
        <v>2628</v>
      </c>
      <c r="H69" s="594"/>
      <c r="I69" s="444"/>
      <c r="J69" s="444"/>
      <c r="K69" s="436"/>
      <c r="L69" s="436"/>
      <c r="M69" s="453"/>
      <c r="N69" s="453"/>
      <c r="O69" s="453"/>
      <c r="P69" s="453"/>
      <c r="Q69" s="453"/>
      <c r="R69" s="453"/>
      <c r="S69" s="453"/>
      <c r="T69" s="453"/>
      <c r="U69" s="453"/>
      <c r="V69" s="453"/>
      <c r="W69" s="453"/>
      <c r="X69" s="453"/>
      <c r="Y69" s="453"/>
      <c r="Z69" s="453"/>
      <c r="AA69" s="453"/>
      <c r="AB69" s="453"/>
      <c r="AC69" s="453"/>
      <c r="AD69" s="453"/>
    </row>
    <row r="70" spans="1:30" ht="13">
      <c r="A70" s="483" t="s">
        <v>2617</v>
      </c>
      <c r="B70" s="459"/>
      <c r="C70" s="456"/>
      <c r="D70" s="1072">
        <f>+E70/1.037</f>
        <v>17220.829315332692</v>
      </c>
      <c r="E70" s="1037">
        <v>17858</v>
      </c>
      <c r="F70" s="447"/>
      <c r="G70" s="485" t="s">
        <v>51</v>
      </c>
      <c r="H70" s="486" t="s">
        <v>268</v>
      </c>
      <c r="I70" s="487" t="s">
        <v>748</v>
      </c>
      <c r="J70" s="444"/>
      <c r="K70" s="436"/>
      <c r="L70" s="436"/>
      <c r="M70" s="453"/>
      <c r="N70" s="453"/>
      <c r="O70" s="453"/>
      <c r="P70" s="453"/>
      <c r="Q70" s="453"/>
      <c r="R70" s="453"/>
      <c r="S70" s="453"/>
      <c r="T70" s="453"/>
      <c r="U70" s="453"/>
      <c r="V70" s="453"/>
      <c r="W70" s="453"/>
      <c r="X70" s="453"/>
      <c r="Y70" s="453"/>
      <c r="Z70" s="453"/>
      <c r="AA70" s="453"/>
      <c r="AB70" s="453"/>
      <c r="AC70" s="453"/>
      <c r="AD70" s="453"/>
    </row>
    <row r="71" spans="1:30" ht="13">
      <c r="A71" s="483"/>
      <c r="B71" s="459"/>
      <c r="C71" s="456"/>
      <c r="D71" s="1072"/>
      <c r="E71" s="1037"/>
      <c r="F71" s="447"/>
      <c r="G71" s="846">
        <v>2024</v>
      </c>
      <c r="H71" s="595">
        <f>480000*4/8</f>
        <v>240000</v>
      </c>
      <c r="I71" s="847">
        <f>H71*1000/Gdata!I60</f>
        <v>43.989946830817594</v>
      </c>
      <c r="J71" s="444"/>
      <c r="K71" s="436"/>
      <c r="L71" s="436"/>
      <c r="M71" s="453"/>
      <c r="N71" s="453"/>
      <c r="O71" s="453"/>
      <c r="P71" s="453"/>
      <c r="Q71" s="453"/>
      <c r="R71" s="453"/>
      <c r="S71" s="453"/>
      <c r="T71" s="453"/>
      <c r="U71" s="453"/>
      <c r="V71" s="453"/>
      <c r="W71" s="453"/>
      <c r="X71" s="453"/>
      <c r="Y71" s="453"/>
      <c r="Z71" s="453"/>
      <c r="AA71" s="453"/>
      <c r="AB71" s="453"/>
      <c r="AC71" s="453"/>
      <c r="AD71" s="453"/>
    </row>
    <row r="72" spans="1:30" ht="13">
      <c r="A72" s="483" t="s">
        <v>2619</v>
      </c>
      <c r="B72" s="459"/>
      <c r="C72" s="456"/>
      <c r="D72" s="1072">
        <f>+E72/1.037</f>
        <v>-96432.015429122475</v>
      </c>
      <c r="E72" s="1037">
        <v>-100000</v>
      </c>
      <c r="F72" s="447"/>
      <c r="G72" s="524"/>
      <c r="H72" s="525"/>
      <c r="I72" s="680"/>
      <c r="J72" s="444"/>
      <c r="K72" s="436"/>
      <c r="L72" s="436"/>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1072"/>
      <c r="E73" s="1037"/>
      <c r="F73" s="447"/>
      <c r="G73" s="444" t="s">
        <v>2629</v>
      </c>
      <c r="H73" s="594"/>
      <c r="I73" s="444"/>
      <c r="J73" s="444"/>
      <c r="K73" s="436"/>
      <c r="L73" s="436"/>
      <c r="M73" s="453"/>
      <c r="N73" s="453"/>
      <c r="O73" s="453"/>
      <c r="P73" s="453"/>
      <c r="Q73" s="453"/>
      <c r="R73" s="453"/>
      <c r="S73" s="453"/>
      <c r="T73" s="453"/>
      <c r="U73" s="453"/>
      <c r="V73" s="453"/>
      <c r="W73" s="453"/>
      <c r="X73" s="453"/>
      <c r="Y73" s="453"/>
      <c r="Z73" s="453"/>
      <c r="AA73" s="453"/>
      <c r="AB73" s="453"/>
      <c r="AC73" s="453"/>
      <c r="AD73" s="453"/>
    </row>
    <row r="74" spans="1:30" ht="13">
      <c r="A74" s="483" t="s">
        <v>2620</v>
      </c>
      <c r="B74" s="459"/>
      <c r="C74" s="456"/>
      <c r="D74" s="1072">
        <f>+E74/1.037</f>
        <v>-18322.08293153327</v>
      </c>
      <c r="E74" s="1037">
        <v>-19000</v>
      </c>
      <c r="F74" s="447"/>
      <c r="G74" s="485" t="s">
        <v>51</v>
      </c>
      <c r="H74" s="486" t="s">
        <v>268</v>
      </c>
      <c r="I74" s="487" t="s">
        <v>748</v>
      </c>
      <c r="J74" s="444"/>
      <c r="K74" s="436"/>
      <c r="L74" s="436"/>
      <c r="M74" s="453"/>
      <c r="N74" s="453"/>
      <c r="O74" s="453"/>
      <c r="P74" s="453"/>
      <c r="Q74" s="453"/>
      <c r="R74" s="453"/>
      <c r="S74" s="453"/>
      <c r="T74" s="453"/>
      <c r="U74" s="453"/>
      <c r="V74" s="453"/>
      <c r="W74" s="453"/>
      <c r="X74" s="453"/>
      <c r="Y74" s="453"/>
      <c r="Z74" s="453"/>
      <c r="AA74" s="453"/>
      <c r="AB74" s="453"/>
      <c r="AC74" s="453"/>
      <c r="AD74" s="453"/>
    </row>
    <row r="75" spans="1:30" ht="13">
      <c r="A75" s="483" t="s">
        <v>2621</v>
      </c>
      <c r="B75" s="459"/>
      <c r="C75" s="456"/>
      <c r="D75" s="1072">
        <f>+E75/1.037</f>
        <v>30376.084860173582</v>
      </c>
      <c r="E75" s="1037">
        <v>31500</v>
      </c>
      <c r="F75" s="447"/>
      <c r="G75" s="846">
        <v>2024</v>
      </c>
      <c r="H75" s="595">
        <v>-13000</v>
      </c>
      <c r="I75" s="847">
        <f>H75*1000/Gdata!I60</f>
        <v>-2.3827887866692867</v>
      </c>
      <c r="J75" s="453"/>
      <c r="K75" s="453"/>
      <c r="L75" s="453"/>
      <c r="M75" s="453"/>
      <c r="N75" s="453"/>
      <c r="O75" s="453"/>
      <c r="P75" s="453"/>
      <c r="Q75" s="453"/>
      <c r="R75" s="453"/>
      <c r="S75" s="453"/>
      <c r="T75" s="453"/>
      <c r="U75" s="453"/>
      <c r="V75" s="453"/>
      <c r="W75" s="453"/>
      <c r="X75" s="453"/>
      <c r="Y75" s="453"/>
      <c r="Z75" s="453"/>
      <c r="AA75" s="453"/>
      <c r="AB75" s="453"/>
      <c r="AC75" s="453"/>
      <c r="AD75" s="453"/>
    </row>
    <row r="76" spans="1:30" ht="13">
      <c r="A76" s="1226" t="s">
        <v>2270</v>
      </c>
      <c r="B76" s="1227"/>
      <c r="C76" s="1228"/>
      <c r="D76" s="1072">
        <f>+E76/1.037</f>
        <v>239993.24975891999</v>
      </c>
      <c r="E76" s="1037">
        <v>248873</v>
      </c>
      <c r="F76" s="447"/>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1:30" ht="13">
      <c r="A77" s="1226" t="s">
        <v>2269</v>
      </c>
      <c r="B77" s="1227"/>
      <c r="C77" s="1228"/>
      <c r="D77" s="1072"/>
      <c r="E77" s="1037"/>
      <c r="F77" s="447"/>
      <c r="G77" s="444" t="s">
        <v>2278</v>
      </c>
      <c r="H77" s="594"/>
      <c r="I77" s="444"/>
      <c r="J77" s="453"/>
      <c r="K77" s="453"/>
      <c r="L77" s="453"/>
      <c r="M77" s="453"/>
      <c r="N77" s="453"/>
      <c r="O77" s="453"/>
      <c r="P77" s="453"/>
      <c r="Q77" s="453"/>
      <c r="R77" s="453"/>
      <c r="S77" s="453"/>
      <c r="T77" s="453"/>
      <c r="U77" s="453"/>
      <c r="V77" s="453"/>
      <c r="W77" s="453"/>
      <c r="X77" s="453"/>
      <c r="Y77" s="453"/>
      <c r="Z77" s="453"/>
      <c r="AA77" s="453"/>
      <c r="AB77" s="453"/>
      <c r="AC77" s="453"/>
      <c r="AD77" s="453"/>
    </row>
    <row r="78" spans="1:30" ht="13">
      <c r="A78" s="483"/>
      <c r="B78" s="459"/>
      <c r="C78" s="456"/>
      <c r="D78" s="1072"/>
      <c r="E78" s="1037"/>
      <c r="F78" s="447"/>
      <c r="G78" s="485" t="s">
        <v>51</v>
      </c>
      <c r="H78" s="486" t="s">
        <v>268</v>
      </c>
      <c r="I78" s="487" t="s">
        <v>748</v>
      </c>
      <c r="J78" s="453"/>
      <c r="K78" s="453"/>
      <c r="L78" s="453"/>
      <c r="M78" s="453"/>
      <c r="N78" s="453"/>
      <c r="O78" s="453"/>
      <c r="P78" s="453"/>
      <c r="Q78" s="453"/>
      <c r="R78" s="453"/>
      <c r="S78" s="453"/>
      <c r="T78" s="453"/>
      <c r="U78" s="453"/>
      <c r="V78" s="453"/>
      <c r="W78" s="453"/>
      <c r="X78" s="453"/>
      <c r="Y78" s="453"/>
      <c r="Z78" s="453"/>
      <c r="AA78" s="453"/>
      <c r="AB78" s="453"/>
      <c r="AC78" s="453"/>
      <c r="AD78" s="453"/>
    </row>
    <row r="79" spans="1:30" ht="13">
      <c r="A79" s="483" t="s">
        <v>2607</v>
      </c>
      <c r="B79" s="459"/>
      <c r="C79" s="456"/>
      <c r="D79" s="1072">
        <v>12536.162005785922</v>
      </c>
      <c r="E79" s="1037">
        <v>13000</v>
      </c>
      <c r="F79" s="447"/>
      <c r="G79" s="846">
        <v>2025</v>
      </c>
      <c r="H79" s="595">
        <v>-928113</v>
      </c>
      <c r="I79" s="847">
        <f>H79*1000/Gdata!I60</f>
        <v>-170.11517301246087</v>
      </c>
      <c r="J79" s="453"/>
      <c r="K79" s="489"/>
      <c r="L79" s="453"/>
      <c r="M79" s="453"/>
      <c r="N79" s="453"/>
      <c r="O79" s="453"/>
      <c r="P79" s="453"/>
      <c r="Q79" s="453"/>
      <c r="R79" s="453"/>
      <c r="S79" s="453"/>
      <c r="T79" s="453"/>
      <c r="U79" s="453"/>
      <c r="V79" s="453"/>
      <c r="W79" s="453"/>
      <c r="X79" s="453"/>
      <c r="Y79" s="453"/>
      <c r="Z79" s="453"/>
      <c r="AA79" s="453"/>
      <c r="AB79" s="453"/>
      <c r="AC79" s="453"/>
      <c r="AD79" s="453"/>
    </row>
    <row r="80" spans="1:30" ht="13">
      <c r="A80" s="483" t="s">
        <v>2516</v>
      </c>
      <c r="B80" s="459"/>
      <c r="C80" s="456"/>
      <c r="D80" s="1072">
        <f>+E80/1.037</f>
        <v>-25000.000000000004</v>
      </c>
      <c r="E80" s="1037">
        <v>-25925</v>
      </c>
      <c r="F80" s="459"/>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row>
    <row r="81" spans="1:30" ht="13">
      <c r="A81" s="483" t="s">
        <v>2431</v>
      </c>
      <c r="B81" s="459"/>
      <c r="C81" s="456"/>
      <c r="D81" s="1072">
        <f>+E81/1.037</f>
        <v>-102495.6605593057</v>
      </c>
      <c r="E81" s="1037">
        <v>-106288</v>
      </c>
      <c r="F81" s="459"/>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row>
    <row r="82" spans="1:30" ht="13">
      <c r="A82" s="483"/>
      <c r="B82" s="459"/>
      <c r="C82" s="456"/>
      <c r="D82" s="1072"/>
      <c r="E82" s="1037"/>
      <c r="F82" s="459"/>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row>
    <row r="83" spans="1:30" ht="13">
      <c r="A83" s="483"/>
      <c r="B83" s="459"/>
      <c r="C83" s="456"/>
      <c r="D83" s="1072"/>
      <c r="E83" s="1037"/>
      <c r="F83" s="459"/>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1209</v>
      </c>
      <c r="B84" s="459"/>
      <c r="C84" s="456"/>
      <c r="D84" s="1072"/>
      <c r="E84" s="1037"/>
      <c r="F84" s="459"/>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row>
    <row r="85" spans="1:30" ht="13">
      <c r="A85" s="483" t="s">
        <v>2415</v>
      </c>
      <c r="B85" s="459"/>
      <c r="C85" s="456"/>
      <c r="D85" s="1072">
        <f t="shared" ref="D85:D90" si="1">+E85/1.037</f>
        <v>386100.28929604631</v>
      </c>
      <c r="E85" s="1037">
        <v>400386</v>
      </c>
      <c r="F85" s="459"/>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row>
    <row r="86" spans="1:30" ht="13">
      <c r="A86" s="483" t="s">
        <v>2417</v>
      </c>
      <c r="B86" s="459"/>
      <c r="C86" s="456"/>
      <c r="D86" s="1072">
        <f t="shared" si="1"/>
        <v>767000</v>
      </c>
      <c r="E86" s="1037">
        <v>795379</v>
      </c>
      <c r="F86" s="459"/>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row>
    <row r="87" spans="1:30" ht="13">
      <c r="A87" s="483" t="s">
        <v>2416</v>
      </c>
      <c r="B87" s="459"/>
      <c r="C87" s="456"/>
      <c r="D87" s="1072">
        <f t="shared" si="1"/>
        <v>373000</v>
      </c>
      <c r="E87" s="1037">
        <v>386801</v>
      </c>
      <c r="F87" s="459"/>
      <c r="G87" s="453"/>
      <c r="H87" s="453"/>
      <c r="I87" s="453"/>
      <c r="J87" s="453"/>
      <c r="K87" s="489"/>
      <c r="L87" s="453"/>
      <c r="M87" s="453"/>
      <c r="N87" s="453"/>
      <c r="O87" s="453"/>
      <c r="P87" s="453"/>
      <c r="Q87" s="453"/>
      <c r="R87" s="453"/>
      <c r="S87" s="453"/>
      <c r="T87" s="453"/>
      <c r="U87" s="453"/>
      <c r="V87" s="453"/>
      <c r="W87" s="453"/>
      <c r="X87" s="453"/>
      <c r="Y87" s="453"/>
      <c r="Z87" s="453"/>
      <c r="AA87" s="453"/>
      <c r="AB87" s="453"/>
      <c r="AC87" s="453"/>
      <c r="AD87" s="453"/>
    </row>
    <row r="88" spans="1:30" ht="13">
      <c r="A88" s="483" t="s">
        <v>2430</v>
      </c>
      <c r="B88" s="459"/>
      <c r="C88" s="456"/>
      <c r="D88" s="1072">
        <f t="shared" si="1"/>
        <v>80000</v>
      </c>
      <c r="E88" s="1037">
        <v>82960</v>
      </c>
      <c r="F88" s="459"/>
      <c r="G88" s="453"/>
      <c r="H88" s="453"/>
      <c r="I88" s="453"/>
      <c r="J88" s="453"/>
      <c r="K88" s="489"/>
      <c r="L88" s="453"/>
      <c r="M88" s="453"/>
      <c r="N88" s="453"/>
      <c r="O88" s="453"/>
      <c r="P88" s="453"/>
      <c r="Q88" s="453"/>
      <c r="R88" s="453"/>
      <c r="S88" s="453"/>
      <c r="T88" s="453"/>
      <c r="U88" s="453"/>
      <c r="V88" s="453"/>
      <c r="W88" s="453"/>
      <c r="X88" s="453"/>
      <c r="Y88" s="453"/>
      <c r="Z88" s="453"/>
      <c r="AA88" s="453"/>
      <c r="AB88" s="453"/>
      <c r="AC88" s="453"/>
      <c r="AD88" s="453"/>
    </row>
    <row r="89" spans="1:30" ht="13">
      <c r="A89" s="483" t="s">
        <v>2614</v>
      </c>
      <c r="B89" s="459"/>
      <c r="C89" s="456"/>
      <c r="D89" s="1072">
        <f t="shared" si="1"/>
        <v>-1928.6403085824495</v>
      </c>
      <c r="E89" s="1037">
        <v>-2000</v>
      </c>
      <c r="F89" s="459"/>
      <c r="G89" s="453"/>
      <c r="H89" s="453"/>
      <c r="I89" s="453"/>
      <c r="J89" s="669"/>
      <c r="K89" s="453"/>
      <c r="L89" s="453"/>
      <c r="M89" s="453"/>
      <c r="N89" s="453"/>
      <c r="O89" s="453"/>
      <c r="P89" s="453"/>
      <c r="Q89" s="453"/>
      <c r="R89" s="453"/>
      <c r="S89" s="453"/>
      <c r="T89" s="453"/>
      <c r="U89" s="453"/>
      <c r="V89" s="453"/>
      <c r="W89" s="453"/>
      <c r="X89" s="453"/>
      <c r="Y89" s="453"/>
      <c r="Z89" s="453"/>
      <c r="AA89" s="453"/>
      <c r="AB89" s="453"/>
      <c r="AC89" s="453"/>
      <c r="AD89" s="453"/>
    </row>
    <row r="90" spans="1:30" ht="13">
      <c r="A90" s="483" t="s">
        <v>2536</v>
      </c>
      <c r="B90" s="459"/>
      <c r="C90" s="456"/>
      <c r="D90" s="1072">
        <f t="shared" si="1"/>
        <v>66583.4136933462</v>
      </c>
      <c r="E90" s="1037">
        <v>69047</v>
      </c>
      <c r="F90" s="459"/>
      <c r="G90" s="453"/>
      <c r="H90" s="453"/>
      <c r="I90" s="453"/>
      <c r="J90" s="669"/>
      <c r="K90" s="453"/>
      <c r="L90" s="453"/>
      <c r="M90" s="453"/>
      <c r="N90" s="453"/>
      <c r="O90" s="453"/>
      <c r="P90" s="453"/>
      <c r="Q90" s="453"/>
      <c r="R90" s="453"/>
      <c r="S90" s="453"/>
      <c r="T90" s="453"/>
      <c r="U90" s="453"/>
      <c r="V90" s="453"/>
      <c r="W90" s="453"/>
      <c r="X90" s="453"/>
      <c r="Y90" s="453"/>
      <c r="Z90" s="453"/>
      <c r="AA90" s="453"/>
      <c r="AB90" s="453"/>
      <c r="AC90" s="453"/>
      <c r="AD90" s="453"/>
    </row>
    <row r="91" spans="1:30" ht="13">
      <c r="A91" s="483" t="s">
        <v>2618</v>
      </c>
      <c r="B91" s="459"/>
      <c r="C91" s="456"/>
      <c r="D91" s="1072">
        <v>17000</v>
      </c>
      <c r="E91" s="1037">
        <v>17629</v>
      </c>
      <c r="F91" s="459"/>
      <c r="G91" s="453"/>
      <c r="H91" s="453"/>
      <c r="I91" s="453"/>
      <c r="J91" s="669"/>
      <c r="K91" s="453"/>
      <c r="L91" s="453"/>
      <c r="M91" s="453"/>
      <c r="N91" s="453"/>
      <c r="O91" s="453"/>
      <c r="P91" s="453"/>
      <c r="Q91" s="453"/>
      <c r="R91" s="453"/>
      <c r="S91" s="453"/>
      <c r="T91" s="453"/>
      <c r="U91" s="453"/>
      <c r="V91" s="453"/>
      <c r="W91" s="453"/>
      <c r="X91" s="453"/>
      <c r="Y91" s="453"/>
      <c r="Z91" s="453"/>
      <c r="AA91" s="453"/>
      <c r="AB91" s="453"/>
      <c r="AC91" s="453"/>
      <c r="AD91" s="453"/>
    </row>
    <row r="92" spans="1:30" ht="13">
      <c r="A92" s="483"/>
      <c r="B92" s="459"/>
      <c r="C92" s="456"/>
      <c r="D92" s="1072"/>
      <c r="E92" s="1037"/>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1110</v>
      </c>
      <c r="B93" s="459"/>
      <c r="C93" s="456"/>
      <c r="D93" s="1072"/>
      <c r="E93" s="1037"/>
      <c r="F93" s="459"/>
      <c r="G93" s="453"/>
      <c r="H93" s="453"/>
      <c r="I93" s="453"/>
      <c r="J93" s="669"/>
      <c r="K93" s="489"/>
      <c r="L93" s="453"/>
      <c r="M93" s="453"/>
      <c r="N93" s="453"/>
      <c r="O93" s="453"/>
      <c r="P93" s="453"/>
      <c r="Q93" s="453"/>
      <c r="R93" s="453"/>
      <c r="S93" s="453"/>
      <c r="T93" s="453"/>
      <c r="U93" s="453"/>
      <c r="V93" s="453"/>
      <c r="W93" s="453"/>
      <c r="X93" s="453"/>
      <c r="Y93" s="453"/>
      <c r="Z93" s="453"/>
      <c r="AA93" s="453"/>
      <c r="AB93" s="453"/>
      <c r="AC93" s="453"/>
      <c r="AD93" s="453"/>
    </row>
    <row r="94" spans="1:30" ht="13">
      <c r="A94" s="483" t="s">
        <v>2201</v>
      </c>
      <c r="B94" s="459"/>
      <c r="C94" s="456"/>
      <c r="D94" s="1072">
        <f>+E94/1.037</f>
        <v>-20400.192864030862</v>
      </c>
      <c r="E94" s="447">
        <v>-21155</v>
      </c>
      <c r="F94" s="459"/>
      <c r="G94" s="453"/>
      <c r="H94" s="453"/>
      <c r="I94" s="453"/>
      <c r="J94" s="835"/>
      <c r="K94" s="453"/>
      <c r="L94" s="453"/>
      <c r="M94" s="453"/>
      <c r="N94" s="453"/>
      <c r="O94" s="453"/>
      <c r="P94" s="453"/>
      <c r="Q94" s="453"/>
      <c r="R94" s="453"/>
      <c r="S94" s="453"/>
      <c r="T94" s="453"/>
      <c r="U94" s="453"/>
      <c r="V94" s="453"/>
      <c r="W94" s="453"/>
      <c r="X94" s="453"/>
      <c r="Y94" s="453"/>
      <c r="Z94" s="453"/>
      <c r="AA94" s="453"/>
      <c r="AB94" s="453"/>
      <c r="AC94" s="453"/>
      <c r="AD94" s="453"/>
    </row>
    <row r="95" spans="1:30" ht="13">
      <c r="A95" s="483" t="s">
        <v>2623</v>
      </c>
      <c r="B95" s="459"/>
      <c r="C95" s="456"/>
      <c r="D95" s="1072">
        <f>+E95/1.037</f>
        <v>-2121504.3394406945</v>
      </c>
      <c r="E95" s="447">
        <v>-2200000</v>
      </c>
      <c r="F95" s="459"/>
      <c r="G95" s="453"/>
      <c r="H95" s="453"/>
      <c r="I95" s="453"/>
      <c r="J95" s="669"/>
      <c r="K95" s="453"/>
      <c r="L95" s="453"/>
      <c r="M95" s="453"/>
      <c r="N95" s="453"/>
      <c r="O95" s="453"/>
      <c r="P95" s="453"/>
      <c r="Q95" s="453"/>
      <c r="R95" s="453"/>
      <c r="S95" s="453"/>
      <c r="T95" s="453"/>
      <c r="U95" s="453"/>
      <c r="V95" s="453"/>
      <c r="W95" s="453"/>
      <c r="X95" s="453"/>
      <c r="Y95" s="453"/>
      <c r="Z95" s="453"/>
      <c r="AA95" s="453"/>
      <c r="AB95" s="453"/>
      <c r="AC95" s="453"/>
      <c r="AD95" s="453"/>
    </row>
    <row r="96" spans="1:30" ht="13">
      <c r="A96" s="483" t="s">
        <v>2610</v>
      </c>
      <c r="B96" s="1113"/>
      <c r="C96" s="456"/>
      <c r="D96" s="1072">
        <f>+E96/1.037</f>
        <v>74445.515911282549</v>
      </c>
      <c r="E96" s="447">
        <v>77200</v>
      </c>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ht="13">
      <c r="A97" s="1112" t="s">
        <v>2268</v>
      </c>
      <c r="B97" s="459"/>
      <c r="C97" s="456"/>
      <c r="D97" s="1115">
        <f>+E97/1.037</f>
        <v>239998.07135969144</v>
      </c>
      <c r="E97" s="1037">
        <v>248878</v>
      </c>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ht="13">
      <c r="A98" s="483"/>
      <c r="B98" s="459"/>
      <c r="C98" s="459"/>
      <c r="D98" s="1072"/>
      <c r="E98" s="1037"/>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ht="13">
      <c r="A99" s="483" t="s">
        <v>2622</v>
      </c>
      <c r="B99" s="459"/>
      <c r="C99" s="456"/>
      <c r="D99" s="1072">
        <f>+E99/1.037-0.57</f>
        <v>147.93530376084863</v>
      </c>
      <c r="E99" s="1037">
        <v>154</v>
      </c>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ht="13">
      <c r="A100" s="483"/>
      <c r="B100" s="459"/>
      <c r="C100" s="456"/>
      <c r="D100" s="1072"/>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ht="13">
      <c r="A101" s="483"/>
      <c r="B101" s="459"/>
      <c r="C101" s="456"/>
      <c r="D101" s="1072"/>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83"/>
      <c r="B102" s="459"/>
      <c r="C102" s="456"/>
      <c r="D102" s="459"/>
      <c r="E102" s="447"/>
      <c r="F102" s="447"/>
      <c r="G102" s="453"/>
      <c r="H102" s="453"/>
      <c r="I102" s="453"/>
      <c r="J102" s="683"/>
      <c r="K102" s="444"/>
      <c r="L102" s="1229"/>
      <c r="M102" s="453"/>
      <c r="N102" s="453"/>
      <c r="O102" s="453"/>
      <c r="P102" s="453"/>
      <c r="Q102" s="453"/>
      <c r="R102" s="453"/>
      <c r="S102" s="453"/>
      <c r="T102" s="453"/>
      <c r="U102" s="453"/>
      <c r="V102" s="453"/>
      <c r="W102" s="453"/>
      <c r="X102" s="453"/>
      <c r="Y102" s="453"/>
      <c r="Z102" s="453"/>
      <c r="AA102" s="453"/>
      <c r="AB102" s="453"/>
      <c r="AC102" s="453"/>
      <c r="AD102" s="453"/>
    </row>
    <row r="103" spans="1:30" ht="13">
      <c r="A103" s="464" t="s">
        <v>2419</v>
      </c>
      <c r="B103" s="464"/>
      <c r="C103" s="469"/>
      <c r="D103" s="470">
        <f>D45+SUM(D52:D101)</f>
        <v>149383100.05970117</v>
      </c>
      <c r="E103" s="536">
        <v>149383100</v>
      </c>
      <c r="F103" s="536">
        <f>+D103-E103</f>
        <v>5.970117449760437E-2</v>
      </c>
      <c r="G103" s="1035"/>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ht="13">
      <c r="A105" s="489" t="s">
        <v>2421</v>
      </c>
      <c r="B105" s="490">
        <f>Gdata!B24-1</f>
        <v>3.6999999999999922E-2</v>
      </c>
      <c r="C105" s="456"/>
      <c r="D105" s="459">
        <f>ROUND((D103)*B105,0)</f>
        <v>5527175</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ht="13">
      <c r="A106" s="338" t="s">
        <v>1016</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ht="13">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2420</v>
      </c>
      <c r="B108" s="471"/>
      <c r="C108" s="456"/>
      <c r="D108" s="459">
        <v>5965029.5744453967</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ht="13">
      <c r="A109" s="464" t="s">
        <v>2422</v>
      </c>
      <c r="B109" s="464"/>
      <c r="C109" s="464"/>
      <c r="D109" s="470">
        <f>D105+D103+D108</f>
        <v>160875304.63414657</v>
      </c>
      <c r="E109" s="536">
        <v>160875305</v>
      </c>
      <c r="F109" s="688">
        <f>+D109-E109</f>
        <v>-0.36585342884063721</v>
      </c>
      <c r="G109" s="1045"/>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ht="13">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ht="13">
      <c r="A111" s="758"/>
      <c r="B111" s="473"/>
      <c r="C111" s="473"/>
      <c r="D111" s="474"/>
      <c r="E111" s="616" t="s">
        <v>2423</v>
      </c>
      <c r="F111" s="616" t="s">
        <v>1056</v>
      </c>
      <c r="G111" s="616" t="s">
        <v>748</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965</v>
      </c>
      <c r="B112" s="473"/>
      <c r="C112" s="524"/>
      <c r="D112" s="491">
        <v>473727</v>
      </c>
      <c r="E112" s="531">
        <v>457548</v>
      </c>
      <c r="F112" s="531">
        <f>D112-E112</f>
        <v>16179</v>
      </c>
      <c r="G112" s="531">
        <f>F112*1000/D125</f>
        <v>2.9654722907324911</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173901</v>
      </c>
      <c r="E113" s="531">
        <v>145756</v>
      </c>
      <c r="F113" s="531">
        <f t="shared" ref="F113:F122" si="2">D113-E113</f>
        <v>28145</v>
      </c>
      <c r="G113" s="531">
        <f>F113*1000/D125</f>
        <v>5.158737723139005</v>
      </c>
      <c r="H113" s="454"/>
      <c r="I113" s="767"/>
      <c r="J113" s="453"/>
      <c r="K113" s="831"/>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1177</v>
      </c>
      <c r="B114" s="456"/>
      <c r="C114" s="489"/>
      <c r="D114" s="491">
        <v>855468</v>
      </c>
      <c r="E114" s="531">
        <v>824949</v>
      </c>
      <c r="F114" s="531">
        <f t="shared" si="2"/>
        <v>30519</v>
      </c>
      <c r="G114" s="531">
        <f>F114*1000/D125</f>
        <v>5.5938716138738425</v>
      </c>
      <c r="H114" s="454"/>
      <c r="I114" s="767"/>
      <c r="J114" s="449"/>
      <c r="K114" s="832"/>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764</v>
      </c>
      <c r="B115" s="456"/>
      <c r="C115" s="489"/>
      <c r="D115" s="491">
        <f>800000+120000+30000</f>
        <v>950000</v>
      </c>
      <c r="E115" s="531">
        <f>990000+170000</f>
        <v>1160000</v>
      </c>
      <c r="F115" s="531">
        <f>D115-E115</f>
        <v>-210000</v>
      </c>
      <c r="G115" s="531">
        <f>F115*1000/D125</f>
        <v>-38.491203476965396</v>
      </c>
      <c r="H115" s="454"/>
      <c r="I115" s="767"/>
      <c r="J115" s="449"/>
      <c r="K115" s="833"/>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1426</v>
      </c>
      <c r="B116" s="456"/>
      <c r="C116" s="489"/>
      <c r="D116" s="491">
        <v>1839475</v>
      </c>
      <c r="E116" s="531">
        <v>1778977</v>
      </c>
      <c r="F116" s="531">
        <f t="shared" si="2"/>
        <v>60498</v>
      </c>
      <c r="G116" s="531">
        <f>F116*1000/D125</f>
        <v>11.088765847378346</v>
      </c>
      <c r="H116" s="454"/>
      <c r="I116" s="767"/>
      <c r="J116" s="449"/>
      <c r="K116" s="833"/>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765</v>
      </c>
      <c r="B117" s="456"/>
      <c r="C117" s="489"/>
      <c r="D117" s="491">
        <v>635647</v>
      </c>
      <c r="E117" s="531">
        <v>608665</v>
      </c>
      <c r="F117" s="531">
        <f t="shared" si="2"/>
        <v>26982</v>
      </c>
      <c r="G117" s="531">
        <f>F117*1000/D125</f>
        <v>4.9455697724546681</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1295</v>
      </c>
      <c r="B118" s="456"/>
      <c r="C118" s="456"/>
      <c r="D118" s="491">
        <v>212151</v>
      </c>
      <c r="E118" s="531">
        <v>203375</v>
      </c>
      <c r="F118" s="531">
        <f>D118-E118</f>
        <v>8776</v>
      </c>
      <c r="G118" s="531">
        <f>F118*1000/D125</f>
        <v>1.6085657224468968</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1074</v>
      </c>
      <c r="B119" s="456"/>
      <c r="C119" s="456"/>
      <c r="D119" s="491">
        <v>1472034</v>
      </c>
      <c r="E119" s="531">
        <v>1432752</v>
      </c>
      <c r="F119" s="531">
        <f t="shared" si="2"/>
        <v>39282</v>
      </c>
      <c r="G119" s="531">
        <f>F119*1000/D125</f>
        <v>7.2000545475340703</v>
      </c>
      <c r="H119" s="454"/>
      <c r="I119" s="767"/>
      <c r="J119" s="449"/>
      <c r="K119" s="831"/>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1075</v>
      </c>
      <c r="B120" s="456"/>
      <c r="C120" s="456"/>
      <c r="D120" s="491">
        <v>-19350</v>
      </c>
      <c r="E120" s="531">
        <v>-19350</v>
      </c>
      <c r="F120" s="531">
        <f t="shared" si="2"/>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1142</v>
      </c>
      <c r="B121" s="456"/>
      <c r="C121" s="456"/>
      <c r="D121" s="491">
        <f>0</f>
        <v>0</v>
      </c>
      <c r="E121" s="531">
        <v>20400</v>
      </c>
      <c r="F121" s="531">
        <f t="shared" si="2"/>
        <v>-20400</v>
      </c>
      <c r="G121" s="531">
        <f>F121*1000/D125</f>
        <v>-3.7391454806194959</v>
      </c>
      <c r="H121" s="454"/>
      <c r="I121" s="767"/>
      <c r="J121" s="449"/>
      <c r="K121" s="834"/>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2424</v>
      </c>
      <c r="B122" s="456"/>
      <c r="C122" s="456"/>
      <c r="D122" s="569">
        <v>1286498</v>
      </c>
      <c r="E122" s="531">
        <v>1240500</v>
      </c>
      <c r="F122" s="531">
        <f t="shared" si="2"/>
        <v>45998</v>
      </c>
      <c r="G122" s="531">
        <f>F122*1000/D125</f>
        <v>8.4310398930164485</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1937</v>
      </c>
      <c r="B123" s="456"/>
      <c r="C123" s="456"/>
      <c r="D123" s="569">
        <f>987447-192339-(5434-906)+928113+(205800+31400)+77200+(-19096-2200000)-2</f>
        <v>-186005</v>
      </c>
      <c r="E123" s="531">
        <v>1665979</v>
      </c>
      <c r="F123" s="531">
        <f>D123-E123</f>
        <v>-1851984</v>
      </c>
      <c r="G123" s="531">
        <f>F123*1000/D125</f>
        <v>-339.45282371468704</v>
      </c>
      <c r="H123" s="1037">
        <f>+(D123+2643-E123)*1000/D125</f>
        <v>-338.96838442521272</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ht="13">
      <c r="A124" s="464" t="s">
        <v>2428</v>
      </c>
      <c r="B124" s="464"/>
      <c r="C124" s="464"/>
      <c r="D124" s="812">
        <f>+D109-D112-D113-D114-D115-D116-D117-D118-D119-D120-D121-D122-D123</f>
        <v>153181758.63414657</v>
      </c>
      <c r="E124" s="437"/>
      <c r="F124" s="437">
        <f>SUM(F112:F123)</f>
        <v>-1826005</v>
      </c>
      <c r="G124" s="437">
        <f>SUM(G112:G123)</f>
        <v>-334.69109526169615</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ht="13">
      <c r="A125" s="475" t="s">
        <v>2427</v>
      </c>
      <c r="B125" s="475"/>
      <c r="C125" s="475"/>
      <c r="D125" s="476">
        <f>Gdata!G60</f>
        <v>5455792</v>
      </c>
      <c r="E125" s="449"/>
      <c r="F125" s="615"/>
      <c r="G125" s="455" t="s">
        <v>1124</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2429</v>
      </c>
      <c r="B126" s="477"/>
      <c r="C126" s="477"/>
      <c r="D126" s="478">
        <f>D124*1000/D125</f>
        <v>28076.905907363511</v>
      </c>
      <c r="E126" s="620"/>
      <c r="F126" s="656"/>
      <c r="G126" s="656">
        <f>G112+G113+G114+G116+G117+G119+G118+G123</f>
        <v>-300.89178619712771</v>
      </c>
      <c r="H126" s="489" t="s">
        <v>2205</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ht="13">
      <c r="A127" s="451"/>
      <c r="B127" s="451"/>
      <c r="C127" s="451"/>
      <c r="D127" s="452"/>
      <c r="E127" s="447"/>
      <c r="F127" s="447"/>
      <c r="G127" s="572">
        <f>(((D112+D113+D114+D116+D117+D118+D119+D123)/(1+B105))-(E112+E113+E114+E116+E117+E118+E119+E123))*1000/D125</f>
        <v>-336.70639124069339</v>
      </c>
      <c r="H127" s="489" t="s">
        <v>2206</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8"/>
      <c r="E128" s="447"/>
      <c r="F128" s="436"/>
      <c r="G128" s="572">
        <f>((D115+D120+D121+D122)-(E115+E120+E121+E122))*1000/D125</f>
        <v>-33.79930906456844</v>
      </c>
      <c r="H128" s="489" t="s">
        <v>2207</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9"/>
      <c r="E129" s="447"/>
      <c r="F129" s="436"/>
      <c r="G129" s="454">
        <f>(F112+F113+F114+F116+F117+F119+F118+F123)</f>
        <v>-1641603</v>
      </c>
      <c r="H129" s="489" t="s">
        <v>2208</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6">
        <f>+D108/D103</f>
        <v>3.9931087064476928E-2</v>
      </c>
      <c r="E130" s="447"/>
      <c r="F130" s="436"/>
      <c r="G130" s="454">
        <f>(((D112+D113+D114+D116+D117+D118+D119+D123)/(1+B105))-(E112+E113+E114+E116+E117+E118+E119+E123))</f>
        <v>-1837000.0356798451</v>
      </c>
      <c r="H130" s="489" t="s">
        <v>2209</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-263509.4985535196</v>
      </c>
      <c r="H131" s="489" t="s">
        <v>2210</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4"/>
      <c r="E132" s="792"/>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5"/>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5"/>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5"/>
      <c r="E135" s="454"/>
      <c r="F135" s="453"/>
      <c r="G135" s="998">
        <f>Analyse!F18*'R23'!D125/1000</f>
        <v>0</v>
      </c>
      <c r="H135" s="767" t="s">
        <v>2192</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5"/>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5"/>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4"/>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11">
        <f>+D126/'R19'!D74-1</f>
        <v>0.13627198155710718</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2018</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Gdata!B90</f>
        <v>2018</v>
      </c>
      <c r="G5" s="23"/>
      <c r="H5" s="23"/>
      <c r="I5" s="21"/>
      <c r="J5" s="21"/>
      <c r="K5" s="21"/>
      <c r="L5" s="21"/>
      <c r="M5" s="21"/>
      <c r="N5" s="21"/>
      <c r="O5" s="21"/>
    </row>
    <row r="6" spans="1:15" ht="18">
      <c r="A6" s="196" t="s">
        <v>312</v>
      </c>
      <c r="B6" s="23"/>
      <c r="C6" s="23"/>
      <c r="D6" s="23"/>
      <c r="E6" s="23"/>
      <c r="F6" s="635" t="s">
        <v>1386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1054</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f>+Bregn!C109</f>
        <v>5.4000000000000003E-3</v>
      </c>
      <c r="C11" s="142">
        <f>Gdata!B61</f>
        <v>118267</v>
      </c>
      <c r="D11" s="143" t="e">
        <f>Gdata!B29</f>
        <v>#N/A</v>
      </c>
      <c r="E11" s="208" t="e">
        <f>ROUND((D11/C11)/(Gdata!B$28/Gdata!B$60),8)</f>
        <v>#N/A</v>
      </c>
      <c r="F11" s="145" t="e">
        <f t="shared" ref="F11:F35" si="0">(E11-1)*B11</f>
        <v>#N/A</v>
      </c>
      <c r="G11" s="411" t="e">
        <f t="shared" ref="G11:G34" si="1">G$43*B11*(E11-1)</f>
        <v>#N/A</v>
      </c>
      <c r="H11" s="411" t="e">
        <f>G11*Gdata!B$28/1000</f>
        <v>#N/A</v>
      </c>
      <c r="I11" s="619"/>
      <c r="J11" s="411"/>
      <c r="K11" s="21"/>
      <c r="L11" s="21"/>
      <c r="M11" s="21"/>
      <c r="N11" s="21"/>
      <c r="O11" s="21"/>
    </row>
    <row r="12" spans="1:15">
      <c r="A12" s="305" t="s">
        <v>1005</v>
      </c>
      <c r="B12" s="298">
        <f>+Bregn!C110</f>
        <v>0.1414</v>
      </c>
      <c r="C12" s="142">
        <f>Gdata!B62</f>
        <v>246598</v>
      </c>
      <c r="D12" s="143" t="e">
        <f>Gdata!B30</f>
        <v>#N/A</v>
      </c>
      <c r="E12" s="208" t="e">
        <f>ROUND((D12/C12)/(Gdata!B$28/Gdata!B$60),8)</f>
        <v>#N/A</v>
      </c>
      <c r="F12" s="145" t="e">
        <f t="shared" si="0"/>
        <v>#N/A</v>
      </c>
      <c r="G12" s="411" t="e">
        <f t="shared" si="1"/>
        <v>#N/A</v>
      </c>
      <c r="H12" s="411" t="e">
        <f>G12*Gdata!B$28/1000</f>
        <v>#N/A</v>
      </c>
      <c r="I12" s="619"/>
      <c r="J12" s="411"/>
      <c r="K12" s="21"/>
      <c r="L12" s="21"/>
      <c r="M12" s="21"/>
      <c r="N12" s="21"/>
      <c r="O12" s="21"/>
    </row>
    <row r="13" spans="1:15">
      <c r="A13" s="48" t="s">
        <v>777</v>
      </c>
      <c r="B13" s="298">
        <f>+Bregn!C111</f>
        <v>0.2646</v>
      </c>
      <c r="C13" s="142">
        <f>Gdata!B63</f>
        <v>634798</v>
      </c>
      <c r="D13" s="143" t="e">
        <f>Gdata!B31</f>
        <v>#N/A</v>
      </c>
      <c r="E13" s="208" t="e">
        <f>ROUND((D13/C13)/(Gdata!B$28/Gdata!B$60),8)</f>
        <v>#N/A</v>
      </c>
      <c r="F13" s="145" t="e">
        <f t="shared" si="0"/>
        <v>#N/A</v>
      </c>
      <c r="G13" s="411" t="e">
        <f t="shared" si="1"/>
        <v>#N/A</v>
      </c>
      <c r="H13" s="411" t="e">
        <f>G13*Gdata!B$28/1000</f>
        <v>#N/A</v>
      </c>
      <c r="I13" s="619"/>
      <c r="J13" s="411"/>
      <c r="K13" s="21"/>
      <c r="L13" s="21"/>
      <c r="M13" s="21"/>
      <c r="N13" s="21"/>
      <c r="O13" s="21"/>
    </row>
    <row r="14" spans="1:15">
      <c r="A14" s="48" t="s">
        <v>163</v>
      </c>
      <c r="B14" s="298">
        <f>+Bregn!C112</f>
        <v>2.2499999999999999E-2</v>
      </c>
      <c r="C14" s="142">
        <f>Gdata!B64</f>
        <v>465492</v>
      </c>
      <c r="D14" s="143" t="e">
        <f>Gdata!B32</f>
        <v>#N/A</v>
      </c>
      <c r="E14" s="208" t="e">
        <f>ROUND((D14/C14)/(Gdata!B$28/Gdata!B$60),8)</f>
        <v>#N/A</v>
      </c>
      <c r="F14" s="145" t="e">
        <f t="shared" si="0"/>
        <v>#N/A</v>
      </c>
      <c r="G14" s="411" t="e">
        <f t="shared" si="1"/>
        <v>#N/A</v>
      </c>
      <c r="H14" s="411" t="e">
        <f>G14*Gdata!B$28/1000</f>
        <v>#N/A</v>
      </c>
      <c r="I14" s="619"/>
      <c r="J14" s="411"/>
      <c r="K14" s="21"/>
      <c r="L14" s="21"/>
      <c r="M14" s="21"/>
      <c r="N14" s="21"/>
      <c r="O14" s="21"/>
    </row>
    <row r="15" spans="1:15">
      <c r="A15" s="48" t="s">
        <v>158</v>
      </c>
      <c r="B15" s="298">
        <f>+Bregn!C113</f>
        <v>0.1033</v>
      </c>
      <c r="C15" s="142">
        <f>Gdata!B65</f>
        <v>3035065</v>
      </c>
      <c r="D15" s="143" t="e">
        <f>Gdata!B33</f>
        <v>#N/A</v>
      </c>
      <c r="E15" s="208" t="e">
        <f>ROUND((D15/C15)/(Gdata!B$28/Gdata!B$60),8)</f>
        <v>#N/A</v>
      </c>
      <c r="F15" s="145" t="e">
        <f t="shared" si="0"/>
        <v>#N/A</v>
      </c>
      <c r="G15" s="411" t="e">
        <f t="shared" si="1"/>
        <v>#N/A</v>
      </c>
      <c r="H15" s="411" t="e">
        <f>G15*Gdata!B$28/1000</f>
        <v>#N/A</v>
      </c>
      <c r="I15" s="619"/>
      <c r="J15" s="411"/>
      <c r="K15" s="21"/>
      <c r="L15" s="21"/>
      <c r="M15" s="21"/>
      <c r="N15" s="21"/>
      <c r="O15" s="21"/>
    </row>
    <row r="16" spans="1:15">
      <c r="A16" s="48" t="s">
        <v>723</v>
      </c>
      <c r="B16" s="298">
        <f>+Bregn!C114</f>
        <v>5.5100000000000003E-2</v>
      </c>
      <c r="C16" s="142">
        <f>Gdata!B66</f>
        <v>555836</v>
      </c>
      <c r="D16" s="143" t="e">
        <f>Gdata!B34</f>
        <v>#N/A</v>
      </c>
      <c r="E16" s="208" t="e">
        <f>ROUND((D16/C16)/(Gdata!B$28/Gdata!B$60),8)</f>
        <v>#N/A</v>
      </c>
      <c r="F16" s="145" t="e">
        <f t="shared" si="0"/>
        <v>#N/A</v>
      </c>
      <c r="G16" s="411" t="e">
        <f t="shared" si="1"/>
        <v>#N/A</v>
      </c>
      <c r="H16" s="411" t="e">
        <f>G16*Gdata!B$28/1000</f>
        <v>#N/A</v>
      </c>
      <c r="I16" s="619"/>
      <c r="J16" s="411"/>
      <c r="K16" s="21"/>
      <c r="L16" s="21"/>
      <c r="M16" s="21"/>
      <c r="N16" s="21"/>
      <c r="O16" s="21"/>
    </row>
    <row r="17" spans="1:15">
      <c r="A17" s="48" t="s">
        <v>724</v>
      </c>
      <c r="B17" s="298">
        <f>+Bregn!C115</f>
        <v>7.5800000000000006E-2</v>
      </c>
      <c r="C17" s="142">
        <f>Gdata!B67</f>
        <v>177201</v>
      </c>
      <c r="D17" s="143" t="e">
        <f>Gdata!B35</f>
        <v>#N/A</v>
      </c>
      <c r="E17" s="208" t="e">
        <f>ROUND((D17/C17)/(Gdata!B$28/Gdata!B$60),8)</f>
        <v>#N/A</v>
      </c>
      <c r="F17" s="145" t="e">
        <f t="shared" si="0"/>
        <v>#N/A</v>
      </c>
      <c r="G17" s="411" t="e">
        <f t="shared" si="1"/>
        <v>#N/A</v>
      </c>
      <c r="H17" s="411" t="e">
        <f>G17*Gdata!B$28/1000</f>
        <v>#N/A</v>
      </c>
      <c r="I17" s="619"/>
      <c r="J17" s="411"/>
      <c r="K17" s="21"/>
      <c r="L17" s="21"/>
      <c r="M17" s="21"/>
      <c r="N17" s="21"/>
      <c r="O17" s="21"/>
    </row>
    <row r="18" spans="1:15">
      <c r="A18" s="48" t="s">
        <v>725</v>
      </c>
      <c r="B18" s="298">
        <f>+Bregn!C116</f>
        <v>3.8199999999999998E-2</v>
      </c>
      <c r="C18" s="142">
        <f>Gdata!B68</f>
        <v>44561</v>
      </c>
      <c r="D18" s="143" t="e">
        <f>Gdata!B36</f>
        <v>#N/A</v>
      </c>
      <c r="E18" s="208" t="e">
        <f>ROUND((D18/C18)/(Gdata!B$28/Gdata!B$60),8)</f>
        <v>#N/A</v>
      </c>
      <c r="F18" s="145" t="e">
        <f t="shared" si="0"/>
        <v>#N/A</v>
      </c>
      <c r="G18" s="411" t="e">
        <f t="shared" si="1"/>
        <v>#N/A</v>
      </c>
      <c r="H18" s="411" t="e">
        <f>G18*Gdata!B$28/1000</f>
        <v>#N/A</v>
      </c>
      <c r="I18" s="619"/>
      <c r="J18" s="411"/>
      <c r="K18" s="21"/>
      <c r="L18" s="21"/>
      <c r="M18" s="21"/>
      <c r="N18" s="21"/>
      <c r="O18" s="21"/>
    </row>
    <row r="19" spans="1:15">
      <c r="A19" s="48" t="s">
        <v>729</v>
      </c>
      <c r="B19" s="298">
        <f>+Bregn!C117</f>
        <v>1.89E-2</v>
      </c>
      <c r="C19" s="142">
        <f>Gdata!B69</f>
        <v>325.06474423000014</v>
      </c>
      <c r="D19" s="299" t="e">
        <f>Gdata!B37</f>
        <v>#N/A</v>
      </c>
      <c r="E19" s="208" t="e">
        <f>ROUND((D19/C19)/(Gdata!B$28/Gdata!B$60),8)</f>
        <v>#N/A</v>
      </c>
      <c r="F19" s="145" t="e">
        <f t="shared" si="0"/>
        <v>#N/A</v>
      </c>
      <c r="G19" s="411" t="e">
        <f t="shared" si="1"/>
        <v>#N/A</v>
      </c>
      <c r="H19" s="411" t="e">
        <f>G19*Gdata!B$28/1000</f>
        <v>#N/A</v>
      </c>
      <c r="I19" s="619"/>
      <c r="J19" s="411"/>
      <c r="K19" s="21"/>
      <c r="L19" s="21"/>
      <c r="M19" s="21"/>
      <c r="N19" s="21"/>
      <c r="O19" s="21"/>
    </row>
    <row r="20" spans="1:15">
      <c r="A20" s="48" t="s">
        <v>348</v>
      </c>
      <c r="B20" s="298">
        <f>+Bregn!C118</f>
        <v>1.01E-2</v>
      </c>
      <c r="C20" s="142">
        <f>Gdata!B70</f>
        <v>20473408.768499982</v>
      </c>
      <c r="D20" s="143" t="e">
        <f>Gdata!B38</f>
        <v>#N/A</v>
      </c>
      <c r="E20" s="208" t="e">
        <f>ROUND((D20/C20)/(Gdata!B$28/Gdata!B$60),8)</f>
        <v>#N/A</v>
      </c>
      <c r="F20" s="145" t="e">
        <f t="shared" si="0"/>
        <v>#N/A</v>
      </c>
      <c r="G20" s="411" t="e">
        <f t="shared" si="1"/>
        <v>#N/A</v>
      </c>
      <c r="H20" s="411" t="e">
        <f>G20*Gdata!B$28/1000</f>
        <v>#N/A</v>
      </c>
      <c r="I20" s="619"/>
      <c r="J20" s="411"/>
      <c r="K20" s="21"/>
      <c r="L20" s="21"/>
      <c r="M20" s="21"/>
      <c r="N20" s="21"/>
      <c r="O20" s="21"/>
    </row>
    <row r="21" spans="1:15">
      <c r="A21" s="48" t="s">
        <v>347</v>
      </c>
      <c r="B21" s="298">
        <f>+Bregn!C119</f>
        <v>1.01E-2</v>
      </c>
      <c r="C21" s="142">
        <f>Gdata!B71</f>
        <v>9385626.614166623</v>
      </c>
      <c r="D21" s="143" t="e">
        <f>Gdata!B39</f>
        <v>#N/A</v>
      </c>
      <c r="E21" s="208" t="e">
        <f>ROUND((D21/C21)/(Gdata!B$28/Gdata!B$60),8)</f>
        <v>#N/A</v>
      </c>
      <c r="F21" s="145" t="e">
        <f t="shared" si="0"/>
        <v>#N/A</v>
      </c>
      <c r="G21" s="411" t="e">
        <f t="shared" si="1"/>
        <v>#N/A</v>
      </c>
      <c r="H21" s="411" t="e">
        <f>G21*Gdata!B$28/1000</f>
        <v>#N/A</v>
      </c>
      <c r="I21" s="619"/>
      <c r="J21" s="411"/>
      <c r="K21" s="21"/>
      <c r="L21" s="21"/>
      <c r="M21" s="21"/>
      <c r="N21" s="21"/>
      <c r="O21" s="21"/>
    </row>
    <row r="22" spans="1:15">
      <c r="A22" s="48" t="s">
        <v>746</v>
      </c>
      <c r="B22" s="298">
        <f>+Bregn!C120</f>
        <v>2.0999999999999999E-3</v>
      </c>
      <c r="C22" s="142">
        <f>Gdata!B72</f>
        <v>1</v>
      </c>
      <c r="D22" s="299" t="e">
        <f>Gdata!B40</f>
        <v>#N/A</v>
      </c>
      <c r="E22" s="208" t="e">
        <f>ROUND((D22/C22)/(Gdata!B$28/Gdata!B$60),8)</f>
        <v>#N/A</v>
      </c>
      <c r="F22" s="145" t="e">
        <f t="shared" si="0"/>
        <v>#N/A</v>
      </c>
      <c r="G22" s="411" t="e">
        <f t="shared" si="1"/>
        <v>#N/A</v>
      </c>
      <c r="H22" s="411" t="e">
        <f>G22*Gdata!B$28/1000</f>
        <v>#N/A</v>
      </c>
      <c r="I22" s="619"/>
      <c r="J22" s="411"/>
      <c r="K22" s="21"/>
      <c r="L22" s="21"/>
      <c r="M22" s="21"/>
      <c r="N22" s="21"/>
      <c r="O22" s="21"/>
    </row>
    <row r="23" spans="1:15">
      <c r="A23" s="305" t="s">
        <v>1008</v>
      </c>
      <c r="B23" s="298">
        <f>+Bregn!C121</f>
        <v>7.1000000000000004E-3</v>
      </c>
      <c r="C23" s="142">
        <f>Gdata!B73</f>
        <v>49464</v>
      </c>
      <c r="D23" s="143" t="e">
        <f>Gdata!B41</f>
        <v>#N/A</v>
      </c>
      <c r="E23" s="208" t="e">
        <f>ROUND((D23/C23)/(Gdata!B$28/Gdata!B$60),8)</f>
        <v>#N/A</v>
      </c>
      <c r="F23" s="145" t="e">
        <f t="shared" si="0"/>
        <v>#N/A</v>
      </c>
      <c r="G23" s="411" t="e">
        <f t="shared" si="1"/>
        <v>#N/A</v>
      </c>
      <c r="H23" s="411" t="e">
        <f>G23*Gdata!B$28/1000</f>
        <v>#N/A</v>
      </c>
      <c r="I23" s="619"/>
      <c r="J23" s="411"/>
      <c r="K23" s="21"/>
      <c r="L23" s="21"/>
      <c r="M23" s="21"/>
      <c r="N23" s="21"/>
      <c r="O23" s="21"/>
    </row>
    <row r="24" spans="1:15">
      <c r="A24" s="305" t="s">
        <v>991</v>
      </c>
      <c r="B24" s="298">
        <f>+Bregn!C122</f>
        <v>8.3999999999999995E-3</v>
      </c>
      <c r="C24" s="142">
        <f>Gdata!B74</f>
        <v>147902</v>
      </c>
      <c r="D24" s="143" t="e">
        <f>Gdata!B42</f>
        <v>#N/A</v>
      </c>
      <c r="E24" s="208" t="e">
        <f>ROUND((D24/C24)/(Gdata!B$28/Gdata!B$60),8)</f>
        <v>#N/A</v>
      </c>
      <c r="F24" s="145" t="e">
        <f t="shared" si="0"/>
        <v>#N/A</v>
      </c>
      <c r="G24" s="411" t="e">
        <f t="shared" si="1"/>
        <v>#N/A</v>
      </c>
      <c r="H24" s="411" t="e">
        <f>G24*Gdata!B$28/1000</f>
        <v>#N/A</v>
      </c>
      <c r="I24" s="619"/>
      <c r="J24" s="411"/>
      <c r="K24" s="21"/>
      <c r="L24" s="21"/>
      <c r="M24" s="21"/>
      <c r="N24" s="21"/>
      <c r="O24" s="21"/>
    </row>
    <row r="25" spans="1:15">
      <c r="A25" s="48" t="s">
        <v>726</v>
      </c>
      <c r="B25" s="298">
        <f>+Bregn!C123</f>
        <v>4.5100000000000001E-2</v>
      </c>
      <c r="C25" s="142">
        <f>Gdata!B75</f>
        <v>41160</v>
      </c>
      <c r="D25" s="143" t="e">
        <f>Gdata!B43</f>
        <v>#N/A</v>
      </c>
      <c r="E25" s="208" t="e">
        <f>ROUND((D25/C25)/(Gdata!B$28/Gdata!B$60),8)</f>
        <v>#N/A</v>
      </c>
      <c r="F25" s="145" t="e">
        <f t="shared" si="0"/>
        <v>#N/A</v>
      </c>
      <c r="G25" s="411" t="e">
        <f t="shared" si="1"/>
        <v>#N/A</v>
      </c>
      <c r="H25" s="411" t="e">
        <f>G25*Gdata!B$28/1000</f>
        <v>#N/A</v>
      </c>
      <c r="I25" s="619"/>
      <c r="J25" s="411"/>
      <c r="K25" s="21"/>
      <c r="L25" s="21"/>
      <c r="M25" s="21"/>
      <c r="N25" s="21"/>
      <c r="O25" s="21"/>
    </row>
    <row r="26" spans="1:15">
      <c r="A26" s="48" t="s">
        <v>159</v>
      </c>
      <c r="B26" s="298">
        <f>+Bregn!C124</f>
        <v>1.6400000000000001E-2</v>
      </c>
      <c r="C26" s="142">
        <f>Gdata!B76</f>
        <v>122673</v>
      </c>
      <c r="D26" s="143" t="e">
        <f>Gdata!B44</f>
        <v>#N/A</v>
      </c>
      <c r="E26" s="208" t="e">
        <f>ROUND((D26/C26)/(Gdata!B$28/Gdata!B$60),8)</f>
        <v>#N/A</v>
      </c>
      <c r="F26" s="145" t="e">
        <f t="shared" si="0"/>
        <v>#N/A</v>
      </c>
      <c r="G26" s="411" t="e">
        <f t="shared" si="1"/>
        <v>#N/A</v>
      </c>
      <c r="H26" s="411" t="e">
        <f>G26*Gdata!B$28/1000</f>
        <v>#N/A</v>
      </c>
      <c r="I26" s="619"/>
      <c r="J26" s="411"/>
      <c r="K26" s="21"/>
      <c r="L26" s="21"/>
      <c r="M26" s="21"/>
      <c r="N26" s="21"/>
      <c r="O26" s="21"/>
    </row>
    <row r="27" spans="1:15">
      <c r="A27" s="305" t="s">
        <v>1011</v>
      </c>
      <c r="B27" s="298">
        <f>+Bregn!C125</f>
        <v>1.03E-2</v>
      </c>
      <c r="C27" s="142">
        <f>Gdata!B77</f>
        <v>260937</v>
      </c>
      <c r="D27" s="143" t="e">
        <f>Gdata!B45</f>
        <v>#N/A</v>
      </c>
      <c r="E27" s="208" t="e">
        <f>ROUND((D27/C27)/(Gdata!B$28/Gdata!B$60),8)</f>
        <v>#N/A</v>
      </c>
      <c r="F27" s="145" t="e">
        <f t="shared" si="0"/>
        <v>#N/A</v>
      </c>
      <c r="G27" s="411" t="e">
        <f t="shared" si="1"/>
        <v>#N/A</v>
      </c>
      <c r="H27" s="411" t="e">
        <f>G27*Gdata!B$28/1000</f>
        <v>#N/A</v>
      </c>
      <c r="I27" s="619"/>
      <c r="J27" s="411"/>
      <c r="K27" s="21"/>
      <c r="L27" s="21"/>
      <c r="M27" s="21"/>
      <c r="N27" s="21"/>
      <c r="O27" s="21"/>
    </row>
    <row r="28" spans="1:15">
      <c r="A28" s="48" t="s">
        <v>759</v>
      </c>
      <c r="B28" s="298">
        <f>+Bregn!C126</f>
        <v>6.4999999999999997E-3</v>
      </c>
      <c r="C28" s="142">
        <f>Gdata!B78</f>
        <v>94623</v>
      </c>
      <c r="D28" s="143" t="e">
        <f>Gdata!B46</f>
        <v>#N/A</v>
      </c>
      <c r="E28" s="208" t="e">
        <f>ROUND((D28/C28)/(Gdata!B$28/Gdata!B$60),8)</f>
        <v>#N/A</v>
      </c>
      <c r="F28" s="145" t="e">
        <f t="shared" si="0"/>
        <v>#N/A</v>
      </c>
      <c r="G28" s="411" t="e">
        <f t="shared" si="1"/>
        <v>#N/A</v>
      </c>
      <c r="H28" s="411" t="e">
        <f>G28*Gdata!B$28/1000</f>
        <v>#N/A</v>
      </c>
      <c r="I28" s="619"/>
      <c r="J28" s="411"/>
      <c r="K28" s="21"/>
      <c r="L28" s="21"/>
      <c r="M28" s="21"/>
      <c r="N28" s="21"/>
      <c r="O28" s="21"/>
    </row>
    <row r="29" spans="1:15">
      <c r="A29" s="48" t="s">
        <v>160</v>
      </c>
      <c r="B29" s="298">
        <f>+Bregn!C127</f>
        <v>9.5999999999999992E-3</v>
      </c>
      <c r="C29" s="142">
        <f>Gdata!B79</f>
        <v>223.69054585000003</v>
      </c>
      <c r="D29" s="299" t="e">
        <f>Gdata!B47</f>
        <v>#N/A</v>
      </c>
      <c r="E29" s="208" t="e">
        <f>ROUND((D29/C29)/(Gdata!B$28/Gdata!B$60),8)</f>
        <v>#N/A</v>
      </c>
      <c r="F29" s="145" t="e">
        <f t="shared" si="0"/>
        <v>#N/A</v>
      </c>
      <c r="G29" s="411" t="e">
        <f t="shared" si="1"/>
        <v>#N/A</v>
      </c>
      <c r="H29" s="411" t="e">
        <f>G29*Gdata!B$28/1000</f>
        <v>#N/A</v>
      </c>
      <c r="I29" s="619"/>
      <c r="J29" s="411"/>
      <c r="K29" s="21"/>
      <c r="L29" s="21"/>
      <c r="M29" s="21"/>
      <c r="N29" s="21"/>
      <c r="O29" s="21"/>
    </row>
    <row r="30" spans="1:15">
      <c r="A30" s="48" t="s">
        <v>1120</v>
      </c>
      <c r="B30" s="298">
        <f>+Bregn!C128</f>
        <v>1.9400000000000001E-2</v>
      </c>
      <c r="C30" s="142">
        <f>+Gdata!B80</f>
        <v>449127</v>
      </c>
      <c r="D30" s="143" t="e">
        <f>+Gdata!B48</f>
        <v>#N/A</v>
      </c>
      <c r="E30" s="208" t="e">
        <f>ROUND((D30/C30)/(Gdata!B$28/Gdata!B$60),8)</f>
        <v>#N/A</v>
      </c>
      <c r="F30" s="145" t="e">
        <f t="shared" si="0"/>
        <v>#N/A</v>
      </c>
      <c r="G30" s="411" t="e">
        <f t="shared" si="1"/>
        <v>#N/A</v>
      </c>
      <c r="H30" s="411" t="e">
        <f>G30*Gdata!B$28/1000</f>
        <v>#N/A</v>
      </c>
      <c r="I30" s="619"/>
      <c r="J30" s="411"/>
      <c r="K30" s="21"/>
      <c r="L30" s="21"/>
      <c r="M30" s="21"/>
      <c r="N30" s="21"/>
      <c r="O30" s="21"/>
    </row>
    <row r="31" spans="1:15">
      <c r="A31" s="48" t="s">
        <v>728</v>
      </c>
      <c r="B31" s="298">
        <f>+Bregn!C129</f>
        <v>4.8300000000000003E-2</v>
      </c>
      <c r="C31" s="142">
        <f>Gdata!B81</f>
        <v>19487</v>
      </c>
      <c r="D31" s="143" t="e">
        <f>Gdata!B49</f>
        <v>#N/A</v>
      </c>
      <c r="E31" s="208" t="e">
        <f>ROUND((D31/C31)/(Gdata!B$28/Gdata!B$60),8)</f>
        <v>#N/A</v>
      </c>
      <c r="F31" s="145" t="e">
        <f t="shared" si="0"/>
        <v>#N/A</v>
      </c>
      <c r="G31" s="411" t="e">
        <f t="shared" si="1"/>
        <v>#N/A</v>
      </c>
      <c r="H31" s="411" t="e">
        <f>G31*Gdata!B$28/1000</f>
        <v>#N/A</v>
      </c>
      <c r="I31" s="619"/>
      <c r="J31" s="411"/>
      <c r="K31" s="21"/>
      <c r="L31" s="21"/>
      <c r="M31" s="21"/>
      <c r="N31" s="21"/>
      <c r="O31" s="21"/>
    </row>
    <row r="32" spans="1:15">
      <c r="A32" s="48" t="s">
        <v>727</v>
      </c>
      <c r="B32" s="298">
        <f>+Bregn!C130</f>
        <v>4.5100000000000001E-2</v>
      </c>
      <c r="C32" s="142">
        <f>Gdata!B82</f>
        <v>342622</v>
      </c>
      <c r="D32" s="143" t="e">
        <f>Gdata!B50</f>
        <v>#N/A</v>
      </c>
      <c r="E32" s="208" t="e">
        <f>ROUND((D32/C32)/(Gdata!B$28/Gdata!B$60),8)</f>
        <v>#N/A</v>
      </c>
      <c r="F32" s="145" t="e">
        <f t="shared" si="0"/>
        <v>#N/A</v>
      </c>
      <c r="G32" s="411" t="e">
        <f t="shared" si="1"/>
        <v>#N/A</v>
      </c>
      <c r="H32" s="411" t="e">
        <f>G32*Gdata!B$28/1000</f>
        <v>#N/A</v>
      </c>
      <c r="I32" s="619"/>
      <c r="J32" s="411"/>
      <c r="K32" s="21"/>
      <c r="L32" s="21"/>
      <c r="M32" s="21"/>
      <c r="N32" s="21"/>
      <c r="O32" s="21"/>
    </row>
    <row r="33" spans="1:15">
      <c r="A33" s="305" t="s">
        <v>1002</v>
      </c>
      <c r="B33" s="298">
        <f>+Bregn!C131</f>
        <v>1.7299999999999999E-2</v>
      </c>
      <c r="C33" s="142">
        <f>Gdata!B83</f>
        <v>40654.208333949959</v>
      </c>
      <c r="D33" s="143" t="e">
        <f>Gdata!B51</f>
        <v>#N/A</v>
      </c>
      <c r="E33" s="208" t="e">
        <f>ROUND((D33/C33)/(Gdata!B$28/Gdata!B$60),8)</f>
        <v>#N/A</v>
      </c>
      <c r="F33" s="145" t="e">
        <f t="shared" si="0"/>
        <v>#N/A</v>
      </c>
      <c r="G33" s="411" t="e">
        <f t="shared" si="1"/>
        <v>#N/A</v>
      </c>
      <c r="H33" s="411" t="e">
        <f>G33*Gdata!B$28/1000</f>
        <v>#N/A</v>
      </c>
      <c r="I33" s="619"/>
      <c r="J33" s="411"/>
      <c r="K33" s="21"/>
      <c r="L33" s="21"/>
      <c r="M33" s="21"/>
      <c r="N33" s="21"/>
      <c r="O33" s="21"/>
    </row>
    <row r="34" spans="1:15">
      <c r="A34" s="48" t="s">
        <v>161</v>
      </c>
      <c r="B34" s="298">
        <f>+Bregn!C132</f>
        <v>1.9E-2</v>
      </c>
      <c r="C34" s="142">
        <f>Gdata!B84</f>
        <v>1321033</v>
      </c>
      <c r="D34" s="143" t="e">
        <f>Gdata!B52</f>
        <v>#N/A</v>
      </c>
      <c r="E34" s="208" t="e">
        <f>ROUND((D34/C34)/(Gdata!B$28/Gdata!B$60),8)</f>
        <v>#N/A</v>
      </c>
      <c r="F34" s="145" t="e">
        <f t="shared" si="0"/>
        <v>#N/A</v>
      </c>
      <c r="G34" s="411" t="e">
        <f t="shared" si="1"/>
        <v>#N/A</v>
      </c>
      <c r="H34" s="411" t="e">
        <f>G34*Gdata!B$28/1000</f>
        <v>#N/A</v>
      </c>
      <c r="I34" s="619"/>
      <c r="J34" s="411"/>
      <c r="K34" s="21"/>
      <c r="L34" s="21"/>
      <c r="M34" s="21"/>
      <c r="N34" s="21"/>
      <c r="O34" s="21"/>
    </row>
    <row r="35" spans="1:15" s="19" customFormat="1" ht="14" thickBot="1">
      <c r="A35" s="146" t="s">
        <v>760</v>
      </c>
      <c r="B35" s="300">
        <f>SUM(B11:B34)</f>
        <v>1</v>
      </c>
      <c r="C35" s="301"/>
      <c r="D35" s="302"/>
      <c r="E35" s="151" t="e">
        <f>ROUND(B11*E11+B12*E12+B13*E13+B14*E14+B15*E15+B16*E16+B17*E17+B18*E18+B19*E19+B20*E20+B21*E21+B22*E22+B23*E23+B24*E24+B25*E25+B34*E34+B26*E26+B27*E27+B28*E28+B29*E29+B30*E30+B31*E31+B32*E32+B33*E33,8)</f>
        <v>#N/A</v>
      </c>
      <c r="F35" s="147" t="e">
        <f t="shared" si="0"/>
        <v>#N/A</v>
      </c>
      <c r="G35" s="412" t="e">
        <f>SUM(G11:G34)</f>
        <v>#N/A</v>
      </c>
      <c r="H35" s="412" t="e">
        <f>IF(Inngang!C8=301,SUM(H11:H34)+14,SUM(H11:H34))</f>
        <v>#N/A</v>
      </c>
      <c r="I35" s="802"/>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t="e">
        <f>IF(Inngang!C8=301,G35*Gdata!B28/1000+14,G35*Gdata!B28/1000)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t="e">
        <f>Bregn!C90</f>
        <v>#N/A</v>
      </c>
      <c r="H40" s="413"/>
      <c r="I40" s="21"/>
      <c r="J40" s="21"/>
      <c r="K40" s="21"/>
      <c r="L40" s="21"/>
      <c r="M40" s="21"/>
      <c r="N40" s="21"/>
      <c r="O40" s="21"/>
    </row>
    <row r="41" spans="1:15" s="20" customFormat="1" ht="13.5" thickBot="1">
      <c r="A41" s="144" t="s">
        <v>763</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Bregn!C87</f>
        <v>50166.646708920001</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topLeftCell="A52" zoomScaleNormal="100" workbookViewId="0">
      <selection activeCell="O71" sqref="O71"/>
    </sheetView>
  </sheetViews>
  <sheetFormatPr baseColWidth="10" defaultColWidth="10.81640625" defaultRowHeight="14.5"/>
  <cols>
    <col min="1" max="16384" width="10.81640625" style="1233"/>
  </cols>
  <sheetData>
    <row r="1" spans="13:13">
      <c r="M1" s="75" t="s">
        <v>719</v>
      </c>
    </row>
  </sheetData>
  <sheetProtection sheet="1" objects="1" scenarios="1"/>
  <hyperlinks>
    <hyperlink ref="M1" location="Inngang!C8" display="Inngang!A1" xr:uid="{4E40983F-15B5-450D-AF44-17CCA8497949}"/>
  </hyperlinks>
  <pageMargins left="0.7" right="0.7" top="0.75" bottom="0.75" header="0.3" footer="0.3"/>
  <pageSetup paperSize="9" scale="63"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81640625"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2019</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Gdata!C90</f>
        <v>2019</v>
      </c>
      <c r="G5" s="23"/>
      <c r="H5" s="23"/>
      <c r="I5" s="21"/>
      <c r="J5" s="21"/>
      <c r="K5" s="21"/>
      <c r="L5" s="21"/>
      <c r="M5" s="21"/>
      <c r="N5" s="21"/>
      <c r="O5" s="21"/>
    </row>
    <row r="6" spans="1:15" ht="18">
      <c r="A6" s="196" t="s">
        <v>312</v>
      </c>
      <c r="B6" s="23"/>
      <c r="C6" s="23"/>
      <c r="D6" s="23"/>
      <c r="E6" s="23"/>
      <c r="F6" s="635" t="s">
        <v>1482</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1072</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f>+Bregn!D109</f>
        <v>5.4999999999999997E-3</v>
      </c>
      <c r="C11" s="142">
        <f>Gdata!C61</f>
        <v>114436</v>
      </c>
      <c r="D11" s="143" t="e">
        <f>Gdata!C29</f>
        <v>#N/A</v>
      </c>
      <c r="E11" s="208" t="e">
        <f>(D11/C11)/(Gdata!C$28/Gdata!C$60)</f>
        <v>#N/A</v>
      </c>
      <c r="F11" s="145" t="e">
        <f t="shared" ref="F11:F35" si="0">(E11-1)*B11</f>
        <v>#N/A</v>
      </c>
      <c r="G11" s="411" t="e">
        <f t="shared" ref="G11:G34" si="1">G$43*B11*(E11-1)</f>
        <v>#N/A</v>
      </c>
      <c r="H11" s="411" t="e">
        <f>G11*Gdata!C$28/1000</f>
        <v>#N/A</v>
      </c>
      <c r="I11" s="21"/>
      <c r="J11" s="411"/>
      <c r="K11" s="411"/>
      <c r="L11" s="21"/>
      <c r="M11" s="21"/>
      <c r="N11" s="21"/>
      <c r="O11" s="21"/>
    </row>
    <row r="12" spans="1:15">
      <c r="A12" s="305" t="s">
        <v>1005</v>
      </c>
      <c r="B12" s="298">
        <f>+Bregn!D110</f>
        <v>0.1401</v>
      </c>
      <c r="C12" s="142">
        <f>Gdata!C62</f>
        <v>245126</v>
      </c>
      <c r="D12" s="143" t="e">
        <f>Gdata!C30</f>
        <v>#N/A</v>
      </c>
      <c r="E12" s="208" t="e">
        <f>(D12/C12)/(Gdata!C$28/Gdata!C$60)</f>
        <v>#N/A</v>
      </c>
      <c r="F12" s="145" t="e">
        <f t="shared" si="0"/>
        <v>#N/A</v>
      </c>
      <c r="G12" s="411" t="e">
        <f t="shared" si="1"/>
        <v>#N/A</v>
      </c>
      <c r="H12" s="411" t="e">
        <f>G12*Gdata!C$28/1000</f>
        <v>#N/A</v>
      </c>
      <c r="I12" s="21"/>
      <c r="J12" s="411"/>
      <c r="K12" s="411"/>
      <c r="L12" s="21"/>
      <c r="M12" s="21"/>
      <c r="N12" s="21"/>
      <c r="O12" s="21"/>
    </row>
    <row r="13" spans="1:15">
      <c r="A13" s="48" t="s">
        <v>777</v>
      </c>
      <c r="B13" s="298">
        <f>+Bregn!D111</f>
        <v>0.26279999999999998</v>
      </c>
      <c r="C13" s="142">
        <f>Gdata!C63</f>
        <v>639819</v>
      </c>
      <c r="D13" s="143" t="e">
        <f>Gdata!C31</f>
        <v>#N/A</v>
      </c>
      <c r="E13" s="208" t="e">
        <f>(D13/C13)/(Gdata!C$28/Gdata!C$60)</f>
        <v>#N/A</v>
      </c>
      <c r="F13" s="145" t="e">
        <f t="shared" si="0"/>
        <v>#N/A</v>
      </c>
      <c r="G13" s="411" t="e">
        <f t="shared" si="1"/>
        <v>#N/A</v>
      </c>
      <c r="H13" s="411" t="e">
        <f>G13*Gdata!C$28/1000</f>
        <v>#N/A</v>
      </c>
      <c r="I13" s="21"/>
      <c r="J13" s="411"/>
      <c r="K13" s="411"/>
      <c r="L13" s="21"/>
      <c r="M13" s="21"/>
      <c r="N13" s="21"/>
      <c r="O13" s="21"/>
    </row>
    <row r="14" spans="1:15">
      <c r="A14" s="48" t="s">
        <v>163</v>
      </c>
      <c r="B14" s="298">
        <f>+Bregn!D112</f>
        <v>2.29E-2</v>
      </c>
      <c r="C14" s="142">
        <f>Gdata!C64</f>
        <v>461318</v>
      </c>
      <c r="D14" s="143" t="e">
        <f>Gdata!C32</f>
        <v>#N/A</v>
      </c>
      <c r="E14" s="208" t="e">
        <f>(D14/C14)/(Gdata!C$28/Gdata!C$60)</f>
        <v>#N/A</v>
      </c>
      <c r="F14" s="145" t="e">
        <f t="shared" si="0"/>
        <v>#N/A</v>
      </c>
      <c r="G14" s="411" t="e">
        <f t="shared" si="1"/>
        <v>#N/A</v>
      </c>
      <c r="H14" s="411" t="e">
        <f>G14*Gdata!C$28/1000</f>
        <v>#N/A</v>
      </c>
      <c r="I14" s="21"/>
      <c r="J14" s="411"/>
      <c r="K14" s="411"/>
      <c r="L14" s="21"/>
      <c r="M14" s="21"/>
      <c r="N14" s="21"/>
      <c r="O14" s="21"/>
    </row>
    <row r="15" spans="1:15">
      <c r="A15" s="48" t="s">
        <v>158</v>
      </c>
      <c r="B15" s="298">
        <f>+Bregn!D113</f>
        <v>0.1031</v>
      </c>
      <c r="C15" s="142">
        <f>Gdata!C65</f>
        <v>3054570</v>
      </c>
      <c r="D15" s="143" t="e">
        <f>Gdata!C33</f>
        <v>#N/A</v>
      </c>
      <c r="E15" s="208" t="e">
        <f>(D15/C15)/(Gdata!C$28/Gdata!C$60)</f>
        <v>#N/A</v>
      </c>
      <c r="F15" s="145" t="e">
        <f t="shared" si="0"/>
        <v>#N/A</v>
      </c>
      <c r="G15" s="411" t="e">
        <f t="shared" si="1"/>
        <v>#N/A</v>
      </c>
      <c r="H15" s="411" t="e">
        <f>G15*Gdata!C$28/1000</f>
        <v>#N/A</v>
      </c>
      <c r="I15" s="21"/>
      <c r="J15" s="411"/>
      <c r="K15" s="411"/>
      <c r="L15" s="21"/>
      <c r="M15" s="21"/>
      <c r="N15" s="21"/>
      <c r="O15" s="21"/>
    </row>
    <row r="16" spans="1:15">
      <c r="A16" s="48" t="s">
        <v>723</v>
      </c>
      <c r="B16" s="298">
        <f>+Bregn!D114</f>
        <v>5.5300000000000002E-2</v>
      </c>
      <c r="C16" s="142">
        <f>Gdata!C66</f>
        <v>572790</v>
      </c>
      <c r="D16" s="143" t="e">
        <f>Gdata!C34</f>
        <v>#N/A</v>
      </c>
      <c r="E16" s="208" t="e">
        <f>(D16/C16)/(Gdata!C$28/Gdata!C$60)</f>
        <v>#N/A</v>
      </c>
      <c r="F16" s="145" t="e">
        <f t="shared" si="0"/>
        <v>#N/A</v>
      </c>
      <c r="G16" s="411" t="e">
        <f t="shared" si="1"/>
        <v>#N/A</v>
      </c>
      <c r="H16" s="411" t="e">
        <f>G16*Gdata!C$28/1000</f>
        <v>#N/A</v>
      </c>
      <c r="I16" s="21"/>
      <c r="J16" s="411"/>
      <c r="K16" s="411"/>
      <c r="L16" s="21"/>
      <c r="M16" s="21"/>
      <c r="N16" s="21"/>
      <c r="O16" s="21"/>
    </row>
    <row r="17" spans="1:15">
      <c r="A17" s="48" t="s">
        <v>724</v>
      </c>
      <c r="B17" s="298">
        <f>+Bregn!D115</f>
        <v>7.5999999999999998E-2</v>
      </c>
      <c r="C17" s="142">
        <f>Gdata!C67</f>
        <v>179646</v>
      </c>
      <c r="D17" s="143" t="e">
        <f>Gdata!C35</f>
        <v>#N/A</v>
      </c>
      <c r="E17" s="208" t="e">
        <f>(D17/C17)/(Gdata!C$28/Gdata!C$60)</f>
        <v>#N/A</v>
      </c>
      <c r="F17" s="145" t="e">
        <f t="shared" si="0"/>
        <v>#N/A</v>
      </c>
      <c r="G17" s="411" t="e">
        <f t="shared" si="1"/>
        <v>#N/A</v>
      </c>
      <c r="H17" s="411" t="e">
        <f>G17*Gdata!C$28/1000</f>
        <v>#N/A</v>
      </c>
      <c r="I17" s="21"/>
      <c r="J17" s="411"/>
      <c r="K17" s="411"/>
      <c r="L17" s="21"/>
      <c r="M17" s="21"/>
      <c r="N17" s="21"/>
      <c r="O17" s="21"/>
    </row>
    <row r="18" spans="1:15">
      <c r="A18" s="48" t="s">
        <v>725</v>
      </c>
      <c r="B18" s="298">
        <f>+Bregn!D116</f>
        <v>3.8300000000000001E-2</v>
      </c>
      <c r="C18" s="142">
        <f>Gdata!C68</f>
        <v>44803</v>
      </c>
      <c r="D18" s="143" t="e">
        <f>Gdata!C36</f>
        <v>#N/A</v>
      </c>
      <c r="E18" s="208" t="e">
        <f>(D18/C18)/(Gdata!C$28/Gdata!C$60)</f>
        <v>#N/A</v>
      </c>
      <c r="F18" s="145" t="e">
        <f t="shared" si="0"/>
        <v>#N/A</v>
      </c>
      <c r="G18" s="411" t="e">
        <f t="shared" si="1"/>
        <v>#N/A</v>
      </c>
      <c r="H18" s="411" t="e">
        <f>G18*Gdata!C$28/1000</f>
        <v>#N/A</v>
      </c>
      <c r="I18" s="21"/>
      <c r="J18" s="411"/>
      <c r="K18" s="411"/>
      <c r="L18" s="21"/>
      <c r="M18" s="21"/>
      <c r="N18" s="21"/>
      <c r="O18" s="21"/>
    </row>
    <row r="19" spans="1:15">
      <c r="A19" s="48" t="s">
        <v>729</v>
      </c>
      <c r="B19" s="298">
        <f>+Bregn!D117</f>
        <v>1.8800000000000001E-2</v>
      </c>
      <c r="C19" s="142">
        <f>Gdata!C69</f>
        <v>324.93630098000017</v>
      </c>
      <c r="D19" s="299" t="e">
        <f>Gdata!C37</f>
        <v>#N/A</v>
      </c>
      <c r="E19" s="208" t="e">
        <f>(D19/C19)/(Gdata!C$28/Gdata!C$60)</f>
        <v>#N/A</v>
      </c>
      <c r="F19" s="145" t="e">
        <f t="shared" si="0"/>
        <v>#N/A</v>
      </c>
      <c r="G19" s="411" t="e">
        <f t="shared" si="1"/>
        <v>#N/A</v>
      </c>
      <c r="H19" s="411" t="e">
        <f>G19*Gdata!C$28/1000</f>
        <v>#N/A</v>
      </c>
      <c r="I19" s="21"/>
      <c r="J19" s="411"/>
      <c r="K19" s="411"/>
      <c r="L19" s="21"/>
      <c r="M19" s="21"/>
      <c r="N19" s="21"/>
      <c r="O19" s="21"/>
    </row>
    <row r="20" spans="1:15">
      <c r="A20" s="48" t="s">
        <v>348</v>
      </c>
      <c r="B20" s="298">
        <f>+Bregn!D118</f>
        <v>1.01E-2</v>
      </c>
      <c r="C20" s="142">
        <f>Gdata!C70</f>
        <v>20463927.099499971</v>
      </c>
      <c r="D20" s="143" t="e">
        <f>Gdata!C38</f>
        <v>#N/A</v>
      </c>
      <c r="E20" s="208" t="e">
        <f>(D20/C20)/(Gdata!C$28/Gdata!C$60)</f>
        <v>#N/A</v>
      </c>
      <c r="F20" s="145" t="e">
        <f t="shared" si="0"/>
        <v>#N/A</v>
      </c>
      <c r="G20" s="411" t="e">
        <f t="shared" si="1"/>
        <v>#N/A</v>
      </c>
      <c r="H20" s="411" t="e">
        <f>G20*Gdata!C$28/1000</f>
        <v>#N/A</v>
      </c>
      <c r="I20" s="21"/>
      <c r="J20" s="411"/>
      <c r="K20" s="411"/>
      <c r="L20" s="21"/>
      <c r="M20" s="21"/>
      <c r="N20" s="21"/>
      <c r="O20" s="21"/>
    </row>
    <row r="21" spans="1:15">
      <c r="A21" s="48" t="s">
        <v>347</v>
      </c>
      <c r="B21" s="298">
        <f>+Bregn!D119</f>
        <v>1.01E-2</v>
      </c>
      <c r="C21" s="142">
        <f>Gdata!C71</f>
        <v>9424649.3361667134</v>
      </c>
      <c r="D21" s="143" t="e">
        <f>Gdata!C39</f>
        <v>#N/A</v>
      </c>
      <c r="E21" s="208" t="e">
        <f>(D21/C21)/(Gdata!C$28/Gdata!C$60)</f>
        <v>#N/A</v>
      </c>
      <c r="F21" s="145" t="e">
        <f t="shared" si="0"/>
        <v>#N/A</v>
      </c>
      <c r="G21" s="411" t="e">
        <f t="shared" si="1"/>
        <v>#N/A</v>
      </c>
      <c r="H21" s="411" t="e">
        <f>G21*Gdata!C$28/1000</f>
        <v>#N/A</v>
      </c>
      <c r="I21" s="21"/>
      <c r="J21" s="411"/>
      <c r="K21" s="411"/>
      <c r="L21" s="21"/>
      <c r="M21" s="21"/>
      <c r="N21" s="21"/>
      <c r="O21" s="21"/>
    </row>
    <row r="22" spans="1:15">
      <c r="A22" s="48" t="s">
        <v>746</v>
      </c>
      <c r="B22" s="298">
        <f>+Bregn!D120</f>
        <v>2E-3</v>
      </c>
      <c r="C22" s="142">
        <f>Gdata!C72</f>
        <v>1.0000000000000002</v>
      </c>
      <c r="D22" s="299" t="e">
        <f>Gdata!C40</f>
        <v>#N/A</v>
      </c>
      <c r="E22" s="208" t="e">
        <f>(D22/C22)/(Gdata!C$28/Gdata!C$60)</f>
        <v>#N/A</v>
      </c>
      <c r="F22" s="145" t="e">
        <f t="shared" si="0"/>
        <v>#N/A</v>
      </c>
      <c r="G22" s="411" t="e">
        <f t="shared" si="1"/>
        <v>#N/A</v>
      </c>
      <c r="H22" s="411" t="e">
        <f>G22*Gdata!C$28/1000</f>
        <v>#N/A</v>
      </c>
      <c r="I22" s="21"/>
      <c r="J22" s="411"/>
      <c r="K22" s="411"/>
      <c r="L22" s="21"/>
      <c r="M22" s="21"/>
      <c r="N22" s="21"/>
      <c r="O22" s="21"/>
    </row>
    <row r="23" spans="1:15">
      <c r="A23" s="305" t="s">
        <v>1008</v>
      </c>
      <c r="B23" s="298">
        <f>+Bregn!D121</f>
        <v>7.1000000000000004E-3</v>
      </c>
      <c r="C23" s="142">
        <f>Gdata!C73</f>
        <v>51039</v>
      </c>
      <c r="D23" s="143" t="e">
        <f>Gdata!C41</f>
        <v>#N/A</v>
      </c>
      <c r="E23" s="208" t="e">
        <f>(D23/C23)/(Gdata!C$28/Gdata!C$60)</f>
        <v>#N/A</v>
      </c>
      <c r="F23" s="145" t="e">
        <f t="shared" si="0"/>
        <v>#N/A</v>
      </c>
      <c r="G23" s="411" t="e">
        <f t="shared" si="1"/>
        <v>#N/A</v>
      </c>
      <c r="H23" s="411" t="e">
        <f>G23*Gdata!C$28/1000</f>
        <v>#N/A</v>
      </c>
      <c r="I23" s="21"/>
      <c r="J23" s="411"/>
      <c r="K23" s="411"/>
      <c r="L23" s="21"/>
      <c r="M23" s="21"/>
      <c r="N23" s="21"/>
      <c r="O23" s="21"/>
    </row>
    <row r="24" spans="1:15">
      <c r="A24" s="305" t="s">
        <v>991</v>
      </c>
      <c r="B24" s="298">
        <f>+Bregn!D122</f>
        <v>8.3999999999999995E-3</v>
      </c>
      <c r="C24" s="142">
        <f>Gdata!C74</f>
        <v>150287</v>
      </c>
      <c r="D24" s="143" t="e">
        <f>Gdata!C42</f>
        <v>#N/A</v>
      </c>
      <c r="E24" s="208" t="e">
        <f>(D24/C24)/(Gdata!C$28/Gdata!C$60)</f>
        <v>#N/A</v>
      </c>
      <c r="F24" s="145" t="e">
        <f t="shared" si="0"/>
        <v>#N/A</v>
      </c>
      <c r="G24" s="411" t="e">
        <f t="shared" si="1"/>
        <v>#N/A</v>
      </c>
      <c r="H24" s="411" t="e">
        <f>G24*Gdata!C$28/1000</f>
        <v>#N/A</v>
      </c>
      <c r="I24" s="21"/>
      <c r="J24" s="411"/>
      <c r="K24" s="411"/>
      <c r="L24" s="21"/>
      <c r="M24" s="21"/>
      <c r="N24" s="21"/>
      <c r="O24" s="21"/>
    </row>
    <row r="25" spans="1:15">
      <c r="A25" s="48" t="s">
        <v>726</v>
      </c>
      <c r="B25" s="298">
        <f>+Bregn!D123</f>
        <v>4.5199999999999997E-2</v>
      </c>
      <c r="C25" s="142">
        <f>Gdata!C75</f>
        <v>40765</v>
      </c>
      <c r="D25" s="143" t="e">
        <f>Gdata!C43</f>
        <v>#N/A</v>
      </c>
      <c r="E25" s="208" t="e">
        <f>(D25/C25)/(Gdata!C$28/Gdata!C$60)</f>
        <v>#N/A</v>
      </c>
      <c r="F25" s="145" t="e">
        <f t="shared" si="0"/>
        <v>#N/A</v>
      </c>
      <c r="G25" s="411" t="e">
        <f t="shared" si="1"/>
        <v>#N/A</v>
      </c>
      <c r="H25" s="411" t="e">
        <f>G25*Gdata!C$28/1000</f>
        <v>#N/A</v>
      </c>
      <c r="I25" s="21"/>
      <c r="J25" s="411"/>
      <c r="K25" s="411"/>
      <c r="L25" s="21"/>
      <c r="M25" s="21"/>
      <c r="N25" s="21"/>
      <c r="O25" s="21"/>
    </row>
    <row r="26" spans="1:15">
      <c r="A26" s="48" t="s">
        <v>159</v>
      </c>
      <c r="B26" s="298">
        <f>+Bregn!D124</f>
        <v>1.8100000000000002E-2</v>
      </c>
      <c r="C26" s="142">
        <f>Gdata!C76</f>
        <v>119602</v>
      </c>
      <c r="D26" s="143" t="e">
        <f>Gdata!C44</f>
        <v>#N/A</v>
      </c>
      <c r="E26" s="208" t="e">
        <f>(D26/C26)/(Gdata!C$28/Gdata!C$60)</f>
        <v>#N/A</v>
      </c>
      <c r="F26" s="145" t="e">
        <f t="shared" si="0"/>
        <v>#N/A</v>
      </c>
      <c r="G26" s="411" t="e">
        <f t="shared" si="1"/>
        <v>#N/A</v>
      </c>
      <c r="H26" s="411" t="e">
        <f>G26*Gdata!C$28/1000</f>
        <v>#N/A</v>
      </c>
      <c r="I26" s="21"/>
      <c r="J26" s="411"/>
      <c r="K26" s="411"/>
      <c r="L26" s="21"/>
      <c r="M26" s="21"/>
      <c r="N26" s="21"/>
      <c r="O26" s="21"/>
    </row>
    <row r="27" spans="1:15">
      <c r="A27" s="305" t="s">
        <v>1011</v>
      </c>
      <c r="B27" s="298">
        <f>+Bregn!D125</f>
        <v>1.1299999999999999E-2</v>
      </c>
      <c r="C27" s="142">
        <f>Gdata!C77</f>
        <v>263451</v>
      </c>
      <c r="D27" s="143" t="e">
        <f>Gdata!C45</f>
        <v>#N/A</v>
      </c>
      <c r="E27" s="208" t="e">
        <f>(D27/C27)/(Gdata!C$28/Gdata!C$60)</f>
        <v>#N/A</v>
      </c>
      <c r="F27" s="145" t="e">
        <f t="shared" si="0"/>
        <v>#N/A</v>
      </c>
      <c r="G27" s="411" t="e">
        <f t="shared" si="1"/>
        <v>#N/A</v>
      </c>
      <c r="H27" s="411" t="e">
        <f>G27*Gdata!C$28/1000</f>
        <v>#N/A</v>
      </c>
      <c r="I27" s="21"/>
      <c r="J27" s="411"/>
      <c r="K27" s="411"/>
      <c r="L27" s="21"/>
      <c r="M27" s="21"/>
      <c r="N27" s="21"/>
      <c r="O27" s="21"/>
    </row>
    <row r="28" spans="1:15">
      <c r="A28" s="48" t="s">
        <v>759</v>
      </c>
      <c r="B28" s="298">
        <f>+Bregn!D126</f>
        <v>6.4999999999999997E-3</v>
      </c>
      <c r="C28" s="142">
        <f>Gdata!C78</f>
        <v>99701</v>
      </c>
      <c r="D28" s="143" t="e">
        <f>Gdata!C46</f>
        <v>#N/A</v>
      </c>
      <c r="E28" s="208" t="e">
        <f>(D28/C28)/(Gdata!C$28/Gdata!C$60)</f>
        <v>#N/A</v>
      </c>
      <c r="F28" s="145" t="e">
        <f t="shared" si="0"/>
        <v>#N/A</v>
      </c>
      <c r="G28" s="411" t="e">
        <f t="shared" si="1"/>
        <v>#N/A</v>
      </c>
      <c r="H28" s="411" t="e">
        <f>G28*Gdata!C$28/1000</f>
        <v>#N/A</v>
      </c>
      <c r="I28" s="21"/>
      <c r="J28" s="411"/>
      <c r="K28" s="411"/>
      <c r="L28" s="21"/>
      <c r="M28" s="21"/>
      <c r="N28" s="21"/>
      <c r="O28" s="21"/>
    </row>
    <row r="29" spans="1:15">
      <c r="A29" s="48" t="s">
        <v>160</v>
      </c>
      <c r="B29" s="298">
        <f>+Bregn!D127</f>
        <v>9.4999999999999998E-3</v>
      </c>
      <c r="C29" s="142">
        <f>Gdata!C79</f>
        <v>190.44625632</v>
      </c>
      <c r="D29" s="299" t="e">
        <f>Gdata!C47</f>
        <v>#N/A</v>
      </c>
      <c r="E29" s="208" t="e">
        <f>(D29/C29)/(Gdata!C$28/Gdata!C$60)</f>
        <v>#N/A</v>
      </c>
      <c r="F29" s="145" t="e">
        <f t="shared" si="0"/>
        <v>#N/A</v>
      </c>
      <c r="G29" s="411" t="e">
        <f t="shared" si="1"/>
        <v>#N/A</v>
      </c>
      <c r="H29" s="411" t="e">
        <f>G29*Gdata!C$28/1000</f>
        <v>#N/A</v>
      </c>
      <c r="I29" s="21"/>
      <c r="J29" s="411"/>
      <c r="K29" s="411"/>
      <c r="L29" s="21"/>
      <c r="M29" s="21"/>
      <c r="N29" s="21"/>
      <c r="O29" s="21"/>
    </row>
    <row r="30" spans="1:15">
      <c r="A30" s="48" t="s">
        <v>1120</v>
      </c>
      <c r="B30" s="298">
        <f>+Bregn!D128</f>
        <v>1.9400000000000001E-2</v>
      </c>
      <c r="C30" s="142">
        <f>+Gdata!C80</f>
        <v>455399</v>
      </c>
      <c r="D30" s="143" t="e">
        <f>+Gdata!C48</f>
        <v>#N/A</v>
      </c>
      <c r="E30" s="208" t="e">
        <f>(D30/C30)/(Gdata!C$28/Gdata!C$60)</f>
        <v>#N/A</v>
      </c>
      <c r="F30" s="145" t="e">
        <f t="shared" si="0"/>
        <v>#N/A</v>
      </c>
      <c r="G30" s="411" t="e">
        <f t="shared" si="1"/>
        <v>#N/A</v>
      </c>
      <c r="H30" s="411" t="e">
        <f>G30*Gdata!C$28/1000</f>
        <v>#N/A</v>
      </c>
      <c r="I30" s="21"/>
      <c r="J30" s="411"/>
      <c r="K30" s="411"/>
      <c r="L30" s="839"/>
      <c r="M30" s="21"/>
      <c r="N30" s="21"/>
      <c r="O30" s="21"/>
    </row>
    <row r="31" spans="1:15">
      <c r="A31" s="48" t="s">
        <v>728</v>
      </c>
      <c r="B31" s="298">
        <f>+Bregn!D129</f>
        <v>4.8399999999999999E-2</v>
      </c>
      <c r="C31" s="142">
        <f>Gdata!C81</f>
        <v>19858</v>
      </c>
      <c r="D31" s="143" t="e">
        <f>Gdata!C49</f>
        <v>#N/A</v>
      </c>
      <c r="E31" s="208" t="e">
        <f>(D31/C31)/(Gdata!C$28/Gdata!C$60)</f>
        <v>#N/A</v>
      </c>
      <c r="F31" s="145" t="e">
        <f t="shared" si="0"/>
        <v>#N/A</v>
      </c>
      <c r="G31" s="411" t="e">
        <f t="shared" si="1"/>
        <v>#N/A</v>
      </c>
      <c r="H31" s="411" t="e">
        <f>G31*Gdata!C$28/1000</f>
        <v>#N/A</v>
      </c>
      <c r="I31" s="21"/>
      <c r="J31" s="411"/>
      <c r="K31" s="411"/>
      <c r="L31" s="21"/>
      <c r="M31" s="21"/>
      <c r="N31" s="21"/>
      <c r="O31" s="21"/>
    </row>
    <row r="32" spans="1:15">
      <c r="A32" s="48" t="s">
        <v>727</v>
      </c>
      <c r="B32" s="298">
        <f>+Bregn!D130</f>
        <v>4.5199999999999997E-2</v>
      </c>
      <c r="C32" s="142">
        <f>Gdata!C82</f>
        <v>350364</v>
      </c>
      <c r="D32" s="143" t="e">
        <f>Gdata!C50</f>
        <v>#N/A</v>
      </c>
      <c r="E32" s="208" t="e">
        <f>(D32/C32)/(Gdata!C$28/Gdata!C$60)</f>
        <v>#N/A</v>
      </c>
      <c r="F32" s="145" t="e">
        <f t="shared" si="0"/>
        <v>#N/A</v>
      </c>
      <c r="G32" s="411" t="e">
        <f t="shared" si="1"/>
        <v>#N/A</v>
      </c>
      <c r="H32" s="411" t="e">
        <f>G32*Gdata!C$28/1000</f>
        <v>#N/A</v>
      </c>
      <c r="I32" s="21"/>
      <c r="J32" s="411"/>
      <c r="K32" s="411"/>
      <c r="L32" s="21"/>
      <c r="M32" s="21"/>
      <c r="N32" s="21"/>
      <c r="O32" s="21"/>
    </row>
    <row r="33" spans="1:15">
      <c r="A33" s="305" t="s">
        <v>1002</v>
      </c>
      <c r="B33" s="298">
        <f>+Bregn!D131</f>
        <v>1.7100000000000001E-2</v>
      </c>
      <c r="C33" s="142">
        <f>Gdata!C83</f>
        <v>39069.171666949944</v>
      </c>
      <c r="D33" s="143" t="e">
        <f>Gdata!C51</f>
        <v>#N/A</v>
      </c>
      <c r="E33" s="208" t="e">
        <f>(D33/C33)/(Gdata!C$28/Gdata!C$60)</f>
        <v>#N/A</v>
      </c>
      <c r="F33" s="145" t="e">
        <f t="shared" si="0"/>
        <v>#N/A</v>
      </c>
      <c r="G33" s="411" t="e">
        <f t="shared" si="1"/>
        <v>#N/A</v>
      </c>
      <c r="H33" s="411" t="e">
        <f>G33*Gdata!C$28/1000</f>
        <v>#N/A</v>
      </c>
      <c r="I33" s="21"/>
      <c r="J33" s="411"/>
      <c r="K33" s="411"/>
      <c r="L33" s="21"/>
      <c r="M33" s="21"/>
      <c r="N33" s="21"/>
      <c r="O33" s="21"/>
    </row>
    <row r="34" spans="1:15">
      <c r="A34" s="48" t="s">
        <v>161</v>
      </c>
      <c r="B34" s="298">
        <f>+Bregn!D132</f>
        <v>1.8800000000000001E-2</v>
      </c>
      <c r="C34" s="142">
        <f>Gdata!C84</f>
        <v>1355932</v>
      </c>
      <c r="D34" s="143" t="e">
        <f>Gdata!C52</f>
        <v>#N/A</v>
      </c>
      <c r="E34" s="208" t="e">
        <f>(D34/C34)/(Gdata!C$28/Gdata!C$60)</f>
        <v>#N/A</v>
      </c>
      <c r="F34" s="145" t="e">
        <f t="shared" si="0"/>
        <v>#N/A</v>
      </c>
      <c r="G34" s="411" t="e">
        <f t="shared" si="1"/>
        <v>#N/A</v>
      </c>
      <c r="H34" s="411" t="e">
        <f>G34*Gdata!C$28/1000</f>
        <v>#N/A</v>
      </c>
      <c r="I34" s="21"/>
      <c r="J34" s="411"/>
      <c r="K34" s="411"/>
      <c r="L34" s="21"/>
      <c r="M34" s="21"/>
      <c r="N34" s="21"/>
      <c r="O34" s="21"/>
    </row>
    <row r="35" spans="1:15" s="19" customFormat="1" ht="14" thickBot="1">
      <c r="A35" s="146" t="s">
        <v>760</v>
      </c>
      <c r="B35" s="300">
        <f>SUM(B11:B34)</f>
        <v>0.99999999999999989</v>
      </c>
      <c r="C35" s="301"/>
      <c r="D35" s="302"/>
      <c r="E35" s="151" t="e">
        <f>B11*E11+B12*E12+B13*E13+B14*E14+B15*E15+B16*E16+B17*E17+B18*E18+B19*E19+B20*E20+B21*E21+B22*E22+B23*E23+B24*E24+B25*E25+B34*E34+B26*E26+B27*E27+B28*E28+B29*E29+B30*E30+B31*E31+B32*E32+B33*E33</f>
        <v>#N/A</v>
      </c>
      <c r="F35" s="147" t="e">
        <f t="shared" si="0"/>
        <v>#N/A</v>
      </c>
      <c r="G35" s="412" t="e">
        <f>SUM(G11:G34)</f>
        <v>#N/A</v>
      </c>
      <c r="H35" s="412" t="e">
        <f>SUM(H11:H34)</f>
        <v>#N/A</v>
      </c>
      <c r="I35" s="27"/>
      <c r="J35" s="411"/>
      <c r="K35" s="411"/>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t="e">
        <f>G35*Gdata!C28/1000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t="e">
        <f>Bregn!D90</f>
        <v>#N/A</v>
      </c>
      <c r="H40" s="413"/>
      <c r="I40" s="21"/>
      <c r="J40" s="21"/>
      <c r="K40" s="21"/>
      <c r="L40" s="21"/>
      <c r="M40" s="21"/>
      <c r="N40" s="21"/>
      <c r="O40" s="21"/>
    </row>
    <row r="41" spans="1:15" s="20" customFormat="1" ht="13.5" thickBot="1">
      <c r="A41" s="144" t="s">
        <v>763</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Bregn!D87</f>
        <v>52286.539615560003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9.453125" style="9" customWidth="1"/>
    <col min="5" max="5" width="10.453125" style="9" customWidth="1"/>
    <col min="6" max="6" width="13" style="9" bestFit="1" customWidth="1"/>
    <col min="7" max="7" width="18" style="9" customWidth="1"/>
    <col min="8" max="8" width="10.7265625" style="9" customWidth="1"/>
    <col min="9" max="9" width="10" style="9" bestFit="1" customWidth="1"/>
    <col min="10" max="10" width="13" style="9" customWidth="1"/>
    <col min="11" max="11" width="18.26953125" style="9" customWidth="1"/>
    <col min="12" max="16384" width="9.1796875" style="9"/>
  </cols>
  <sheetData>
    <row r="1" spans="1:15" s="55" customFormat="1" ht="15.5">
      <c r="A1" s="55" t="str">
        <f>A2</f>
        <v>HEIM (FRA 1.1.2020)</v>
      </c>
      <c r="B1" s="26"/>
      <c r="C1" s="26"/>
      <c r="D1" s="26"/>
      <c r="E1" s="26"/>
      <c r="F1" s="55">
        <f>F5</f>
        <v>2020</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Gdata!D90</f>
        <v>2020</v>
      </c>
      <c r="G5" s="23"/>
      <c r="H5" s="23"/>
      <c r="I5" s="21"/>
      <c r="J5" s="21"/>
      <c r="K5" s="21"/>
      <c r="L5" s="21"/>
      <c r="M5" s="21"/>
      <c r="N5" s="21"/>
      <c r="O5" s="21"/>
    </row>
    <row r="6" spans="1:15" ht="18">
      <c r="A6" s="196" t="s">
        <v>312</v>
      </c>
      <c r="B6" s="23"/>
      <c r="C6" s="23"/>
      <c r="D6" s="23"/>
      <c r="E6" s="23"/>
      <c r="F6" s="635" t="s">
        <v>2013</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1123</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v>5.5999999999999999E-3</v>
      </c>
      <c r="C11" s="142">
        <f>Gdata!D61</f>
        <v>111725</v>
      </c>
      <c r="D11" s="143">
        <f>Gdata!D29</f>
        <v>100</v>
      </c>
      <c r="E11" s="208">
        <f>(D11/C11)/(Gdata!D$28/Gdata!D$60)</f>
        <v>0.79931939349494308</v>
      </c>
      <c r="F11" s="145">
        <f t="shared" ref="F11:F35" si="0">(E11-1)*B11</f>
        <v>-1.1238113964283187E-3</v>
      </c>
      <c r="G11" s="411">
        <f t="shared" ref="G11:G34" si="1">G$43*B11*(E11-1)</f>
        <v>-61.628333332594686</v>
      </c>
      <c r="H11" s="411">
        <f>G11*Gdata!D$28/1000</f>
        <v>-368.90720332891181</v>
      </c>
      <c r="I11" s="21"/>
      <c r="J11" s="411"/>
      <c r="K11" s="411"/>
      <c r="L11" s="21"/>
      <c r="M11" s="21"/>
      <c r="N11" s="21"/>
      <c r="O11" s="21"/>
    </row>
    <row r="12" spans="1:15">
      <c r="A12" s="305" t="s">
        <v>1005</v>
      </c>
      <c r="B12" s="298">
        <v>0.13739999999999999</v>
      </c>
      <c r="C12" s="142">
        <f>Gdata!D62</f>
        <v>241699</v>
      </c>
      <c r="D12" s="143">
        <f>Gdata!D30</f>
        <v>255</v>
      </c>
      <c r="E12" s="208">
        <f>(D12/C12)/(Gdata!D$28/Gdata!D$60)</f>
        <v>0.94218468449380188</v>
      </c>
      <c r="F12" s="145">
        <f t="shared" si="0"/>
        <v>-7.9438243505516211E-3</v>
      </c>
      <c r="G12" s="411">
        <f t="shared" si="1"/>
        <v>-435.62884000580988</v>
      </c>
      <c r="H12" s="411">
        <f>G12*Gdata!D$28/1000</f>
        <v>-2607.6742362747777</v>
      </c>
      <c r="I12" s="21"/>
      <c r="J12" s="411"/>
      <c r="K12" s="411"/>
      <c r="L12" s="21"/>
      <c r="M12" s="21"/>
      <c r="N12" s="21"/>
      <c r="O12" s="21"/>
    </row>
    <row r="13" spans="1:15">
      <c r="A13" s="48" t="s">
        <v>777</v>
      </c>
      <c r="B13" s="298">
        <v>0.26150000000000001</v>
      </c>
      <c r="C13" s="142">
        <f>Gdata!D63</f>
        <v>642002</v>
      </c>
      <c r="D13" s="143">
        <f>Gdata!D31</f>
        <v>655</v>
      </c>
      <c r="E13" s="208">
        <f>(D13/C13)/(Gdata!D$28/Gdata!D$60)</f>
        <v>0.9111201102338583</v>
      </c>
      <c r="F13" s="145">
        <f t="shared" si="0"/>
        <v>-2.3242091173846055E-2</v>
      </c>
      <c r="G13" s="411">
        <f t="shared" si="1"/>
        <v>-1274.5655959360117</v>
      </c>
      <c r="H13" s="411">
        <f>G13*Gdata!D$28/1000</f>
        <v>-7629.5496572729662</v>
      </c>
      <c r="I13" s="21"/>
      <c r="J13" s="411"/>
      <c r="K13" s="411"/>
      <c r="L13" s="21"/>
      <c r="M13" s="21"/>
      <c r="N13" s="21"/>
      <c r="O13" s="21"/>
    </row>
    <row r="14" spans="1:15">
      <c r="A14" s="48" t="s">
        <v>163</v>
      </c>
      <c r="B14" s="298">
        <v>2.3300000000000001E-2</v>
      </c>
      <c r="C14" s="142">
        <f>Gdata!D64</f>
        <v>456651</v>
      </c>
      <c r="D14" s="143">
        <f>Gdata!D32</f>
        <v>556</v>
      </c>
      <c r="E14" s="208">
        <f>(D14/C14)/(Gdata!D$28/Gdata!D$60)</f>
        <v>1.0873293026064046</v>
      </c>
      <c r="F14" s="145">
        <f t="shared" si="0"/>
        <v>2.0347727507292273E-3</v>
      </c>
      <c r="G14" s="411">
        <f t="shared" si="1"/>
        <v>111.58425135798123</v>
      </c>
      <c r="H14" s="411">
        <f>G14*Gdata!D$28/1000</f>
        <v>667.94332862887563</v>
      </c>
      <c r="I14" s="21"/>
      <c r="J14" s="411"/>
      <c r="K14" s="411"/>
      <c r="L14" s="21"/>
      <c r="M14" s="21"/>
      <c r="N14" s="21"/>
      <c r="O14" s="21"/>
    </row>
    <row r="15" spans="1:15">
      <c r="A15" s="48" t="s">
        <v>158</v>
      </c>
      <c r="B15" s="298">
        <v>0.1053</v>
      </c>
      <c r="C15" s="142">
        <f>Gdata!D65</f>
        <v>3076256</v>
      </c>
      <c r="D15" s="143">
        <f>Gdata!D33</f>
        <v>3148</v>
      </c>
      <c r="E15" s="208">
        <f>(D15/C15)/(Gdata!D$28/Gdata!D$60)</f>
        <v>0.91386693331739777</v>
      </c>
      <c r="F15" s="145">
        <f t="shared" si="0"/>
        <v>-9.0698119216780157E-3</v>
      </c>
      <c r="G15" s="411">
        <f t="shared" si="1"/>
        <v>-497.37651188587716</v>
      </c>
      <c r="H15" s="411">
        <f>G15*Gdata!D$28/1000</f>
        <v>-2977.2958001488605</v>
      </c>
      <c r="I15" s="21"/>
      <c r="J15" s="411"/>
      <c r="K15" s="411"/>
      <c r="L15" s="21"/>
      <c r="M15" s="21"/>
      <c r="N15" s="21"/>
      <c r="O15" s="21"/>
    </row>
    <row r="16" spans="1:15">
      <c r="A16" s="48" t="s">
        <v>723</v>
      </c>
      <c r="B16" s="298">
        <v>5.6500000000000002E-2</v>
      </c>
      <c r="C16" s="142">
        <f>Gdata!D66</f>
        <v>588564</v>
      </c>
      <c r="D16" s="143">
        <f>Gdata!D34</f>
        <v>913</v>
      </c>
      <c r="E16" s="208">
        <f>(D16/C16)/(Gdata!D$28/Gdata!D$60)</f>
        <v>1.3853126386339831</v>
      </c>
      <c r="F16" s="145">
        <f t="shared" si="0"/>
        <v>2.1770164082820048E-2</v>
      </c>
      <c r="G16" s="411">
        <f t="shared" si="1"/>
        <v>1193.8470574914577</v>
      </c>
      <c r="H16" s="411">
        <f>G16*Gdata!D$28/1000</f>
        <v>7146.368486143866</v>
      </c>
      <c r="I16" s="21"/>
      <c r="J16" s="411"/>
      <c r="K16" s="411"/>
      <c r="L16" s="21"/>
      <c r="M16" s="21"/>
      <c r="N16" s="21"/>
      <c r="O16" s="21"/>
    </row>
    <row r="17" spans="1:15">
      <c r="A17" s="48" t="s">
        <v>724</v>
      </c>
      <c r="B17" s="298">
        <v>7.7200000000000005E-2</v>
      </c>
      <c r="C17" s="142">
        <f>Gdata!D67</f>
        <v>183672</v>
      </c>
      <c r="D17" s="143">
        <f>Gdata!D35</f>
        <v>297</v>
      </c>
      <c r="E17" s="208">
        <f>(D17/C17)/(Gdata!D$28/Gdata!D$60)</f>
        <v>1.4440565733346449</v>
      </c>
      <c r="F17" s="145">
        <f t="shared" si="0"/>
        <v>3.4281167461434586E-2</v>
      </c>
      <c r="G17" s="411">
        <f t="shared" si="1"/>
        <v>1879.9339658400993</v>
      </c>
      <c r="H17" s="411">
        <f>G17*Gdata!D$28/1000</f>
        <v>11253.284719518835</v>
      </c>
      <c r="I17" s="21"/>
      <c r="J17" s="411"/>
      <c r="K17" s="411"/>
      <c r="L17" s="21"/>
      <c r="M17" s="21"/>
      <c r="N17" s="21"/>
      <c r="O17" s="21"/>
    </row>
    <row r="18" spans="1:15">
      <c r="A18" s="48" t="s">
        <v>725</v>
      </c>
      <c r="B18" s="298">
        <v>3.8899999999999997E-2</v>
      </c>
      <c r="C18" s="142">
        <f>Gdata!D68</f>
        <v>45166</v>
      </c>
      <c r="D18" s="143">
        <f>Gdata!D36</f>
        <v>62</v>
      </c>
      <c r="E18" s="208">
        <f>(D18/C18)/(Gdata!D$28/Gdata!D$60)</f>
        <v>1.2258879406566436</v>
      </c>
      <c r="F18" s="145">
        <f t="shared" si="0"/>
        <v>8.7870408915434375E-3</v>
      </c>
      <c r="G18" s="411">
        <f t="shared" si="1"/>
        <v>481.86972190552967</v>
      </c>
      <c r="H18" s="411">
        <f>G18*Gdata!D$28/1000</f>
        <v>2884.4721553265003</v>
      </c>
      <c r="I18" s="21"/>
      <c r="J18" s="411"/>
      <c r="K18" s="411"/>
      <c r="L18" s="21"/>
      <c r="M18" s="21"/>
      <c r="N18" s="21"/>
      <c r="O18" s="21"/>
    </row>
    <row r="19" spans="1:15">
      <c r="A19" s="48" t="s">
        <v>729</v>
      </c>
      <c r="B19" s="298">
        <v>1.61E-2</v>
      </c>
      <c r="C19" s="142">
        <f>Gdata!D69</f>
        <v>274.58317453000001</v>
      </c>
      <c r="D19" s="299">
        <f>Gdata!D37</f>
        <v>0.86505310999999996</v>
      </c>
      <c r="E19" s="208">
        <f>(D19/C19)/(Gdata!D$28/Gdata!D$60)</f>
        <v>2.8134523466913031</v>
      </c>
      <c r="F19" s="145">
        <f t="shared" si="0"/>
        <v>2.9196582781729978E-2</v>
      </c>
      <c r="G19" s="411">
        <f t="shared" si="1"/>
        <v>1601.1020546363704</v>
      </c>
      <c r="H19" s="411">
        <f>G19*Gdata!D$28/1000</f>
        <v>9584.1968990533132</v>
      </c>
      <c r="I19" s="21"/>
      <c r="J19" s="411"/>
      <c r="K19" s="411"/>
      <c r="L19" s="21"/>
      <c r="M19" s="21"/>
      <c r="N19" s="21"/>
      <c r="O19" s="21"/>
    </row>
    <row r="20" spans="1:15">
      <c r="A20" s="48" t="s">
        <v>348</v>
      </c>
      <c r="B20" s="298">
        <v>1.0200000000000001E-2</v>
      </c>
      <c r="C20" s="142">
        <f>Gdata!D70</f>
        <v>20594754.128651891</v>
      </c>
      <c r="D20" s="143">
        <f>Gdata!D38</f>
        <v>69339.25552644</v>
      </c>
      <c r="E20" s="208">
        <f>(D20/C20)/(Gdata!D$28/Gdata!D$60)</f>
        <v>3.0067220081676367</v>
      </c>
      <c r="F20" s="145">
        <f t="shared" si="0"/>
        <v>2.0468564483309897E-2</v>
      </c>
      <c r="G20" s="411">
        <f t="shared" si="1"/>
        <v>1122.4690538165323</v>
      </c>
      <c r="H20" s="411">
        <f>G20*Gdata!D$28/1000</f>
        <v>6719.0997561457625</v>
      </c>
      <c r="I20" s="21"/>
      <c r="J20" s="411"/>
      <c r="K20" s="411"/>
      <c r="L20" s="21"/>
      <c r="M20" s="21"/>
      <c r="N20" s="21"/>
      <c r="O20" s="21"/>
    </row>
    <row r="21" spans="1:15">
      <c r="A21" s="48" t="s">
        <v>347</v>
      </c>
      <c r="B21" s="298">
        <v>1.0200000000000001E-2</v>
      </c>
      <c r="C21" s="142">
        <f>Gdata!D71</f>
        <v>9462950.3373260424</v>
      </c>
      <c r="D21" s="143">
        <f>Gdata!D39</f>
        <v>20773.865044179998</v>
      </c>
      <c r="E21" s="208">
        <f>(D21/C21)/(Gdata!D$28/Gdata!D$60)</f>
        <v>1.9604756772400109</v>
      </c>
      <c r="F21" s="145">
        <f t="shared" si="0"/>
        <v>9.7968519078481114E-3</v>
      </c>
      <c r="G21" s="411">
        <f t="shared" si="1"/>
        <v>537.24642489460655</v>
      </c>
      <c r="H21" s="411">
        <f>G21*Gdata!D$28/1000</f>
        <v>3215.9570994191145</v>
      </c>
      <c r="I21" s="21"/>
      <c r="J21" s="411"/>
      <c r="K21" s="411"/>
      <c r="L21" s="21"/>
      <c r="M21" s="21"/>
      <c r="N21" s="21"/>
      <c r="O21" s="21"/>
    </row>
    <row r="22" spans="1:15">
      <c r="A22" s="48" t="s">
        <v>746</v>
      </c>
      <c r="B22" s="298">
        <v>2.0999999999999999E-3</v>
      </c>
      <c r="C22" s="142">
        <f>Gdata!D72</f>
        <v>0.99999999999999944</v>
      </c>
      <c r="D22" s="299">
        <f>Gdata!D40</f>
        <v>4.1325511945300795E-3</v>
      </c>
      <c r="E22" s="208">
        <f>(D22/C22)/(Gdata!D$28/Gdata!D$60)</f>
        <v>3.6905318342618223</v>
      </c>
      <c r="F22" s="145">
        <f t="shared" si="0"/>
        <v>5.6501168519498268E-3</v>
      </c>
      <c r="G22" s="411">
        <f t="shared" si="1"/>
        <v>309.84494891824539</v>
      </c>
      <c r="H22" s="411">
        <f>G22*Gdata!D$28/1000</f>
        <v>1854.7318642246169</v>
      </c>
      <c r="I22" s="21"/>
      <c r="J22" s="411"/>
      <c r="K22" s="411"/>
      <c r="L22" s="21"/>
      <c r="M22" s="21"/>
      <c r="N22" s="21"/>
      <c r="O22" s="21"/>
    </row>
    <row r="23" spans="1:15">
      <c r="A23" s="305" t="s">
        <v>1008</v>
      </c>
      <c r="B23" s="298">
        <v>7.0000000000000001E-3</v>
      </c>
      <c r="C23" s="142">
        <f>Gdata!D73</f>
        <v>51420</v>
      </c>
      <c r="D23" s="143">
        <f>Gdata!D41</f>
        <v>44</v>
      </c>
      <c r="E23" s="208">
        <f>(D23/C23)/(Gdata!D$28/Gdata!D$60)</f>
        <v>0.76417234665145684</v>
      </c>
      <c r="F23" s="145">
        <f t="shared" si="0"/>
        <v>-1.6507935734398022E-3</v>
      </c>
      <c r="G23" s="411">
        <f t="shared" si="1"/>
        <v>-90.527340201912935</v>
      </c>
      <c r="H23" s="411">
        <f>G23*Gdata!D$28/1000</f>
        <v>-541.8966584486509</v>
      </c>
      <c r="I23" s="21"/>
      <c r="J23" s="411"/>
      <c r="K23" s="411"/>
      <c r="L23" s="21"/>
      <c r="M23" s="21"/>
      <c r="N23" s="21"/>
      <c r="O23" s="21"/>
    </row>
    <row r="24" spans="1:15">
      <c r="A24" s="305" t="s">
        <v>991</v>
      </c>
      <c r="B24" s="298">
        <v>8.3999999999999995E-3</v>
      </c>
      <c r="C24" s="142">
        <f>Gdata!D74</f>
        <v>152560.5</v>
      </c>
      <c r="D24" s="143">
        <f>Gdata!D42</f>
        <v>38</v>
      </c>
      <c r="E24" s="208">
        <f>(D24/C24)/(Gdata!D$28/Gdata!D$60)</f>
        <v>0.22243965187925155</v>
      </c>
      <c r="F24" s="145">
        <f t="shared" si="0"/>
        <v>-6.531506924214287E-3</v>
      </c>
      <c r="G24" s="411">
        <f t="shared" si="1"/>
        <v>-358.17921687654206</v>
      </c>
      <c r="H24" s="411">
        <f>G24*Gdata!D$28/1000</f>
        <v>-2144.060792222981</v>
      </c>
      <c r="I24" s="21"/>
      <c r="J24" s="411"/>
      <c r="K24" s="411"/>
      <c r="L24" s="21"/>
      <c r="M24" s="21"/>
      <c r="N24" s="21"/>
      <c r="O24" s="21"/>
    </row>
    <row r="25" spans="1:15">
      <c r="A25" s="48" t="s">
        <v>726</v>
      </c>
      <c r="B25" s="298">
        <v>4.58E-2</v>
      </c>
      <c r="C25" s="142">
        <f>Gdata!D75</f>
        <v>40228</v>
      </c>
      <c r="D25" s="143">
        <f>Gdata!D43</f>
        <v>44</v>
      </c>
      <c r="E25" s="208">
        <f>(D25/C25)/(Gdata!D$28/Gdata!D$60)</f>
        <v>0.97677592882613884</v>
      </c>
      <c r="F25" s="145">
        <f t="shared" si="0"/>
        <v>-1.0636624597628412E-3</v>
      </c>
      <c r="G25" s="411">
        <f t="shared" si="1"/>
        <v>-58.329845054043389</v>
      </c>
      <c r="H25" s="411">
        <f>G25*Gdata!D$28/1000</f>
        <v>-349.16245249350374</v>
      </c>
      <c r="I25" s="21"/>
      <c r="J25" s="411"/>
      <c r="K25" s="411"/>
      <c r="L25" s="21"/>
      <c r="M25" s="21"/>
      <c r="N25" s="21"/>
      <c r="O25" s="21"/>
    </row>
    <row r="26" spans="1:15">
      <c r="A26" s="48" t="s">
        <v>159</v>
      </c>
      <c r="B26" s="298">
        <v>1.77E-2</v>
      </c>
      <c r="C26" s="142">
        <f>Gdata!D76</f>
        <v>116670</v>
      </c>
      <c r="D26" s="143">
        <f>Gdata!D44</f>
        <v>118</v>
      </c>
      <c r="E26" s="208">
        <f>(D26/C26)/(Gdata!D$28/Gdata!D$60)</f>
        <v>0.9032199528679401</v>
      </c>
      <c r="F26" s="145">
        <f t="shared" si="0"/>
        <v>-1.7130068342374604E-3</v>
      </c>
      <c r="G26" s="411">
        <f t="shared" si="1"/>
        <v>-93.939033290567494</v>
      </c>
      <c r="H26" s="411">
        <f>G26*Gdata!D$28/1000</f>
        <v>-562.31905327733705</v>
      </c>
      <c r="I26" s="21"/>
      <c r="J26" s="411"/>
      <c r="K26" s="411"/>
      <c r="L26" s="21"/>
      <c r="M26" s="21"/>
      <c r="N26" s="21"/>
      <c r="O26" s="21"/>
    </row>
    <row r="27" spans="1:15">
      <c r="A27" s="305" t="s">
        <v>1011</v>
      </c>
      <c r="B27" s="298">
        <v>1.11E-2</v>
      </c>
      <c r="C27" s="142">
        <f>Gdata!D77</f>
        <v>276501</v>
      </c>
      <c r="D27" s="143">
        <f>Gdata!D45</f>
        <v>240</v>
      </c>
      <c r="E27" s="208">
        <f>(D27/C27)/(Gdata!D$28/Gdata!D$60)</f>
        <v>0.77514910315598884</v>
      </c>
      <c r="F27" s="145">
        <f t="shared" si="0"/>
        <v>-2.4958449549685241E-3</v>
      </c>
      <c r="G27" s="411">
        <f t="shared" si="1"/>
        <v>-136.86884233433375</v>
      </c>
      <c r="H27" s="411">
        <f>G27*Gdata!D$28/1000</f>
        <v>-819.29689021332183</v>
      </c>
      <c r="I27" s="21"/>
      <c r="J27" s="411"/>
      <c r="K27" s="411"/>
      <c r="L27" s="21"/>
      <c r="M27" s="21"/>
      <c r="N27" s="21"/>
      <c r="O27" s="21"/>
    </row>
    <row r="28" spans="1:15">
      <c r="A28" s="48" t="s">
        <v>759</v>
      </c>
      <c r="B28" s="298">
        <v>6.4999999999999997E-3</v>
      </c>
      <c r="C28" s="142">
        <f>Gdata!D78</f>
        <v>107852</v>
      </c>
      <c r="D28" s="143">
        <f>Gdata!D46</f>
        <v>160</v>
      </c>
      <c r="E28" s="208">
        <f>(D28/C28)/(Gdata!D$28/Gdata!D$60)</f>
        <v>1.3248371359006419</v>
      </c>
      <c r="F28" s="145">
        <f t="shared" si="0"/>
        <v>2.1114413833541721E-3</v>
      </c>
      <c r="G28" s="411">
        <f t="shared" si="1"/>
        <v>115.78865795376871</v>
      </c>
      <c r="H28" s="411">
        <f>G28*Gdata!D$28/1000</f>
        <v>693.11090651125949</v>
      </c>
      <c r="I28" s="21"/>
      <c r="J28" s="411"/>
      <c r="K28" s="411"/>
      <c r="L28" s="21"/>
      <c r="M28" s="21"/>
      <c r="N28" s="21"/>
      <c r="O28" s="21"/>
    </row>
    <row r="29" spans="1:15">
      <c r="A29" s="48" t="s">
        <v>160</v>
      </c>
      <c r="B29" s="298">
        <v>9.5999999999999992E-3</v>
      </c>
      <c r="C29" s="142">
        <f>Gdata!D79</f>
        <v>173.51029916999997</v>
      </c>
      <c r="D29" s="299">
        <f>Gdata!D47</f>
        <v>5.3156000000000002E-2</v>
      </c>
      <c r="E29" s="208">
        <f>(D29/C29)/(Gdata!D$28/Gdata!D$60)</f>
        <v>0.2735884428748494</v>
      </c>
      <c r="F29" s="145">
        <f t="shared" si="0"/>
        <v>-6.9735509484014453E-3</v>
      </c>
      <c r="G29" s="411">
        <f t="shared" si="1"/>
        <v>-382.42032757969849</v>
      </c>
      <c r="H29" s="411">
        <f>G29*Gdata!D$28/1000</f>
        <v>-2289.1680808920755</v>
      </c>
      <c r="I29" s="21"/>
      <c r="J29" s="411"/>
      <c r="K29" s="411"/>
      <c r="L29" s="21"/>
      <c r="M29" s="21"/>
      <c r="N29" s="21"/>
      <c r="O29" s="21"/>
    </row>
    <row r="30" spans="1:15">
      <c r="A30" s="48" t="s">
        <v>1120</v>
      </c>
      <c r="B30" s="298">
        <v>1.95E-2</v>
      </c>
      <c r="C30" s="142">
        <f>+Gdata!D80</f>
        <v>475871</v>
      </c>
      <c r="D30" s="143">
        <f>+Gdata!D48</f>
        <v>441</v>
      </c>
      <c r="E30" s="208">
        <f>(D30/C30)/(Gdata!D$28/Gdata!D$60)</f>
        <v>0.82759920281034416</v>
      </c>
      <c r="F30" s="145">
        <f t="shared" si="0"/>
        <v>-3.3618155451982891E-3</v>
      </c>
      <c r="G30" s="411">
        <f t="shared" si="1"/>
        <v>-184.35752625453435</v>
      </c>
      <c r="H30" s="411">
        <f>G30*Gdata!D$28/1000</f>
        <v>-1103.5641521596426</v>
      </c>
      <c r="I30" s="21"/>
      <c r="J30" s="411"/>
      <c r="K30" s="411"/>
      <c r="L30" s="21"/>
      <c r="M30" s="21"/>
      <c r="N30" s="21"/>
      <c r="O30" s="21"/>
    </row>
    <row r="31" spans="1:15">
      <c r="A31" s="48" t="s">
        <v>728</v>
      </c>
      <c r="B31" s="298">
        <v>4.9099999999999998E-2</v>
      </c>
      <c r="C31" s="142">
        <f>Gdata!D81</f>
        <v>19431</v>
      </c>
      <c r="D31" s="143">
        <f>Gdata!D49</f>
        <v>23</v>
      </c>
      <c r="E31" s="208">
        <f>(D31/C31)/(Gdata!D$28/Gdata!D$60)</f>
        <v>1.0570691485148052</v>
      </c>
      <c r="F31" s="145">
        <f t="shared" si="0"/>
        <v>2.802095192076933E-3</v>
      </c>
      <c r="G31" s="411">
        <f t="shared" si="1"/>
        <v>153.66320102804985</v>
      </c>
      <c r="H31" s="411">
        <f>G31*Gdata!D$28/1000</f>
        <v>919.82792135390639</v>
      </c>
      <c r="I31" s="21"/>
      <c r="J31" s="411"/>
      <c r="K31" s="411"/>
      <c r="L31" s="21"/>
      <c r="M31" s="21"/>
      <c r="N31" s="21"/>
      <c r="O31" s="21"/>
    </row>
    <row r="32" spans="1:15">
      <c r="A32" s="48" t="s">
        <v>727</v>
      </c>
      <c r="B32" s="298">
        <v>4.58E-2</v>
      </c>
      <c r="C32" s="142">
        <f>Gdata!D82</f>
        <v>358209</v>
      </c>
      <c r="D32" s="143">
        <f>Gdata!D50</f>
        <v>551</v>
      </c>
      <c r="E32" s="208">
        <f>(D32/C32)/(Gdata!D$28/Gdata!D$60)</f>
        <v>1.3736807712888457</v>
      </c>
      <c r="F32" s="145">
        <f t="shared" si="0"/>
        <v>1.7114579325029133E-2</v>
      </c>
      <c r="G32" s="411">
        <f t="shared" si="1"/>
        <v>938.54093564293612</v>
      </c>
      <c r="H32" s="411">
        <f>G32*Gdata!D$28/1000</f>
        <v>5618.1060407586156</v>
      </c>
      <c r="I32" s="21"/>
      <c r="J32" s="411"/>
      <c r="K32" s="411"/>
      <c r="L32" s="21"/>
      <c r="M32" s="21"/>
      <c r="N32" s="21"/>
      <c r="O32" s="21"/>
    </row>
    <row r="33" spans="1:15">
      <c r="A33" s="305" t="s">
        <v>1002</v>
      </c>
      <c r="B33" s="298">
        <v>1.6799999999999999E-2</v>
      </c>
      <c r="C33" s="142">
        <f>Gdata!D83</f>
        <v>39544.291750000004</v>
      </c>
      <c r="D33" s="143">
        <f>Gdata!D51</f>
        <v>45.433349999999997</v>
      </c>
      <c r="E33" s="208">
        <f>(D33/C33)/(Gdata!D$28/Gdata!D$60)</f>
        <v>1.026033810924404</v>
      </c>
      <c r="F33" s="145">
        <f t="shared" si="0"/>
        <v>4.373680235299879E-4</v>
      </c>
      <c r="G33" s="411">
        <f t="shared" si="1"/>
        <v>23.984685000338903</v>
      </c>
      <c r="H33" s="411">
        <f>G33*Gdata!D$28/1000</f>
        <v>143.57232441202868</v>
      </c>
      <c r="I33" s="21"/>
      <c r="J33" s="411"/>
      <c r="K33" s="411"/>
      <c r="L33" s="21"/>
      <c r="M33" s="21"/>
      <c r="N33" s="21"/>
      <c r="O33" s="21"/>
    </row>
    <row r="34" spans="1:15">
      <c r="A34" s="48" t="s">
        <v>161</v>
      </c>
      <c r="B34" s="298">
        <v>1.84E-2</v>
      </c>
      <c r="C34" s="142">
        <f>Gdata!D84</f>
        <v>1392556</v>
      </c>
      <c r="D34" s="143">
        <f>Gdata!D52</f>
        <v>909</v>
      </c>
      <c r="E34" s="208">
        <f>(D34/C34)/(Gdata!D$28/Gdata!D$60)</f>
        <v>0.58293741111699837</v>
      </c>
      <c r="F34" s="145">
        <f t="shared" si="0"/>
        <v>-7.6739516354472296E-3</v>
      </c>
      <c r="G34" s="411">
        <f t="shared" si="1"/>
        <v>-420.82937659345725</v>
      </c>
      <c r="H34" s="411">
        <f>G34*Gdata!D$28/1000</f>
        <v>-2519.0846482884353</v>
      </c>
      <c r="I34" s="21"/>
      <c r="J34" s="411"/>
      <c r="K34" s="41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1.0816070734171817</v>
      </c>
      <c r="F35" s="147">
        <f t="shared" si="0"/>
        <v>8.1607073417181639E-2</v>
      </c>
      <c r="G35" s="412">
        <f>SUM(G11:G34)</f>
        <v>4475.2241691405325</v>
      </c>
      <c r="H35" s="412">
        <f>SUM(H11:H34)</f>
        <v>26788.691876475226</v>
      </c>
      <c r="I35" s="27"/>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G35*Gdata!D28/1000</f>
        <v>26788.691876475226</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Bregn!E90</f>
        <v>2969.3458392299999</v>
      </c>
      <c r="H40" s="413"/>
      <c r="I40" s="21"/>
      <c r="J40" s="21"/>
      <c r="K40" s="21"/>
      <c r="L40" s="21"/>
      <c r="M40" s="21"/>
      <c r="N40" s="21"/>
      <c r="O40" s="21"/>
    </row>
    <row r="41" spans="1:15" s="20" customFormat="1" ht="13.5" thickBot="1">
      <c r="A41" s="144" t="s">
        <v>763</v>
      </c>
      <c r="B41" s="144"/>
      <c r="C41" s="144"/>
      <c r="D41" s="144"/>
      <c r="E41" s="144"/>
      <c r="F41" s="144"/>
      <c r="G41" s="353">
        <f>G38+G40</f>
        <v>29758.037715705228</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Bregn!E87</f>
        <v>54838.67980736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2021</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Gdata!E90</f>
        <v>2021</v>
      </c>
      <c r="G5" s="23"/>
      <c r="H5" s="23"/>
      <c r="I5" s="21"/>
      <c r="J5" s="21"/>
      <c r="K5" s="21"/>
      <c r="L5" s="21"/>
      <c r="M5" s="21"/>
      <c r="N5" s="21"/>
      <c r="O5" s="21"/>
    </row>
    <row r="6" spans="1:15" ht="18">
      <c r="A6" s="196" t="s">
        <v>312</v>
      </c>
      <c r="B6" s="23"/>
      <c r="C6" s="23"/>
      <c r="D6" s="23"/>
      <c r="E6" s="23"/>
      <c r="F6" s="635" t="s">
        <v>2485</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1203</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1"/>
      <c r="K9" s="21"/>
      <c r="L9" s="21"/>
      <c r="M9" s="21"/>
      <c r="N9" s="21"/>
      <c r="O9" s="21"/>
    </row>
    <row r="10" spans="1:15" ht="15">
      <c r="A10" s="205"/>
      <c r="B10" s="206"/>
      <c r="C10" s="206"/>
      <c r="D10" s="207"/>
      <c r="E10" s="323"/>
      <c r="F10" s="323"/>
      <c r="G10" s="416" t="s">
        <v>993</v>
      </c>
      <c r="H10" s="416" t="s">
        <v>268</v>
      </c>
      <c r="I10" s="21"/>
      <c r="J10" s="21"/>
      <c r="K10" s="21"/>
      <c r="L10" s="21"/>
      <c r="M10" s="21"/>
      <c r="N10" s="21"/>
      <c r="O10" s="21"/>
    </row>
    <row r="11" spans="1:15">
      <c r="A11" s="305" t="s">
        <v>1004</v>
      </c>
      <c r="B11" s="298">
        <v>5.4999999999999997E-3</v>
      </c>
      <c r="C11" s="142">
        <f>Gdata!E61</f>
        <v>109851</v>
      </c>
      <c r="D11" s="143">
        <f>Gdata!E29</f>
        <v>87</v>
      </c>
      <c r="E11" s="208">
        <f>(D11/C11)/(Gdata!E$28/Gdata!E$60)</f>
        <v>0.71785810652641968</v>
      </c>
      <c r="F11" s="145">
        <f t="shared" ref="F11:F35" si="0">(E11-1)*B11</f>
        <v>-1.5517804141046917E-3</v>
      </c>
      <c r="G11" s="411">
        <f t="shared" ref="G11:G34" si="1">G$43*B11*(E11-1)</f>
        <v>-87.393540516015037</v>
      </c>
      <c r="H11" s="411">
        <f>G11*Gdata!E$28/1000</f>
        <v>-518.24369525996917</v>
      </c>
      <c r="I11" s="21"/>
      <c r="J11" s="1014"/>
      <c r="K11" s="21"/>
      <c r="L11" s="21"/>
      <c r="M11" s="21"/>
      <c r="N11" s="21"/>
      <c r="O11" s="21"/>
    </row>
    <row r="12" spans="1:15">
      <c r="A12" s="305" t="s">
        <v>1005</v>
      </c>
      <c r="B12" s="298">
        <v>0.1363</v>
      </c>
      <c r="C12" s="142">
        <f>Gdata!E62</f>
        <v>237316</v>
      </c>
      <c r="D12" s="143">
        <f>Gdata!E30</f>
        <v>254</v>
      </c>
      <c r="E12" s="208">
        <f>(D12/C12)/(Gdata!E$28/Gdata!E$60)</f>
        <v>0.97013029808882623</v>
      </c>
      <c r="F12" s="145">
        <f t="shared" si="0"/>
        <v>-4.0712403704929855E-3</v>
      </c>
      <c r="G12" s="411">
        <f t="shared" si="1"/>
        <v>-229.28508894371868</v>
      </c>
      <c r="H12" s="411">
        <f>G12*Gdata!E$28/1000</f>
        <v>-1359.6605774362517</v>
      </c>
      <c r="I12" s="21"/>
      <c r="J12" s="1014"/>
      <c r="K12" s="21"/>
      <c r="L12" s="21"/>
      <c r="M12" s="21"/>
      <c r="N12" s="21"/>
      <c r="O12" s="21"/>
    </row>
    <row r="13" spans="1:15">
      <c r="A13" s="48" t="s">
        <v>777</v>
      </c>
      <c r="B13" s="298">
        <v>0.26279999999999998</v>
      </c>
      <c r="C13" s="142">
        <f>Gdata!E63</f>
        <v>641420</v>
      </c>
      <c r="D13" s="143">
        <f>Gdata!E31</f>
        <v>656</v>
      </c>
      <c r="E13" s="208">
        <f>(D13/C13)/(Gdata!E$28/Gdata!E$60)</f>
        <v>0.92701062771612919</v>
      </c>
      <c r="F13" s="145">
        <f t="shared" si="0"/>
        <v>-1.9181607036201247E-2</v>
      </c>
      <c r="G13" s="411">
        <f t="shared" si="1"/>
        <v>-1080.2743329169493</v>
      </c>
      <c r="H13" s="411">
        <f>G13*Gdata!E$28/1000</f>
        <v>-6406.0267941975098</v>
      </c>
      <c r="I13" s="21"/>
      <c r="J13" s="1014"/>
      <c r="K13" s="21"/>
      <c r="L13" s="21"/>
      <c r="M13" s="21"/>
      <c r="N13" s="21"/>
      <c r="O13" s="21"/>
    </row>
    <row r="14" spans="1:15">
      <c r="A14" s="48" t="s">
        <v>163</v>
      </c>
      <c r="B14" s="298">
        <v>2.3099999999999999E-2</v>
      </c>
      <c r="C14" s="142">
        <f>Gdata!E64</f>
        <v>453148</v>
      </c>
      <c r="D14" s="143">
        <f>Gdata!E32</f>
        <v>515</v>
      </c>
      <c r="E14" s="208">
        <f>(D14/C14)/(Gdata!E$28/Gdata!E$60)</f>
        <v>1.0301264363990332</v>
      </c>
      <c r="F14" s="145">
        <f t="shared" si="0"/>
        <v>6.9592068081766759E-4</v>
      </c>
      <c r="G14" s="411">
        <f t="shared" si="1"/>
        <v>39.193027352430825</v>
      </c>
      <c r="H14" s="411">
        <f>G14*Gdata!E$28/1000</f>
        <v>232.4146521999148</v>
      </c>
      <c r="I14" s="21"/>
      <c r="J14" s="1014"/>
      <c r="K14" s="21"/>
      <c r="L14" s="21"/>
      <c r="M14" s="21"/>
      <c r="N14" s="21"/>
      <c r="O14" s="21"/>
    </row>
    <row r="15" spans="1:15">
      <c r="A15" s="48" t="s">
        <v>158</v>
      </c>
      <c r="B15" s="298">
        <v>0.10539999999999999</v>
      </c>
      <c r="C15" s="142">
        <f>Gdata!E65</f>
        <v>3093029</v>
      </c>
      <c r="D15" s="143">
        <f>Gdata!E33</f>
        <v>3139</v>
      </c>
      <c r="E15" s="208">
        <f>(D15/C15)/(Gdata!E$28/Gdata!E$60)</f>
        <v>0.91987898002898372</v>
      </c>
      <c r="F15" s="145">
        <f t="shared" si="0"/>
        <v>-8.4447555049451152E-3</v>
      </c>
      <c r="G15" s="411">
        <f t="shared" si="1"/>
        <v>-475.59376034209396</v>
      </c>
      <c r="H15" s="411">
        <f>G15*Gdata!E$28/1000</f>
        <v>-2820.2709988286174</v>
      </c>
      <c r="I15" s="21"/>
      <c r="J15" s="1014"/>
      <c r="K15" s="21"/>
      <c r="L15" s="21"/>
      <c r="M15" s="21"/>
      <c r="N15" s="21"/>
      <c r="O15" s="21"/>
    </row>
    <row r="16" spans="1:15">
      <c r="A16" s="48" t="s">
        <v>723</v>
      </c>
      <c r="B16" s="298">
        <v>5.7200000000000001E-2</v>
      </c>
      <c r="C16" s="142">
        <f>Gdata!E66</f>
        <v>605814</v>
      </c>
      <c r="D16" s="143">
        <f>Gdata!E34</f>
        <v>921</v>
      </c>
      <c r="E16" s="208">
        <f>(D16/C16)/(Gdata!E$28/Gdata!E$60)</f>
        <v>1.3779824804557832</v>
      </c>
      <c r="F16" s="145">
        <f t="shared" si="0"/>
        <v>2.16205978820708E-2</v>
      </c>
      <c r="G16" s="411">
        <f t="shared" si="1"/>
        <v>1217.6340027318756</v>
      </c>
      <c r="H16" s="411">
        <f>G16*Gdata!E$28/1000</f>
        <v>7220.5696362000226</v>
      </c>
      <c r="I16" s="21"/>
      <c r="J16" s="1014"/>
      <c r="K16" s="21"/>
      <c r="L16" s="21"/>
      <c r="M16" s="21"/>
      <c r="N16" s="21"/>
      <c r="O16" s="21"/>
    </row>
    <row r="17" spans="1:15">
      <c r="A17" s="48" t="s">
        <v>724</v>
      </c>
      <c r="B17" s="298">
        <v>7.8100000000000003E-2</v>
      </c>
      <c r="C17" s="142">
        <f>Gdata!E67</f>
        <v>188542</v>
      </c>
      <c r="D17" s="143">
        <f>Gdata!E35</f>
        <v>292</v>
      </c>
      <c r="E17" s="208">
        <f>(D17/C17)/(Gdata!E$28/Gdata!E$60)</f>
        <v>1.4037769694248954</v>
      </c>
      <c r="F17" s="145">
        <f t="shared" si="0"/>
        <v>3.1534981312084327E-2</v>
      </c>
      <c r="G17" s="411">
        <f t="shared" si="1"/>
        <v>1775.9946200632271</v>
      </c>
      <c r="H17" s="411">
        <f>G17*Gdata!E$28/1000</f>
        <v>10531.648096974937</v>
      </c>
      <c r="I17" s="21"/>
      <c r="J17" s="1014"/>
      <c r="K17" s="21"/>
      <c r="L17" s="21"/>
      <c r="M17" s="21"/>
      <c r="N17" s="21"/>
      <c r="O17" s="21"/>
    </row>
    <row r="18" spans="1:15">
      <c r="A18" s="48" t="s">
        <v>725</v>
      </c>
      <c r="B18" s="298">
        <v>3.9300000000000002E-2</v>
      </c>
      <c r="C18" s="142">
        <f>Gdata!E68</f>
        <v>45875</v>
      </c>
      <c r="D18" s="143">
        <f>Gdata!E36</f>
        <v>66</v>
      </c>
      <c r="E18" s="208">
        <f>(D18/C18)/(Gdata!E$28/Gdata!E$60)</f>
        <v>1.3040409500484766</v>
      </c>
      <c r="F18" s="145">
        <f t="shared" si="0"/>
        <v>1.1948809336905132E-2</v>
      </c>
      <c r="G18" s="411">
        <f t="shared" si="1"/>
        <v>672.93590214917276</v>
      </c>
      <c r="H18" s="411">
        <f>G18*Gdata!E$28/1000</f>
        <v>3990.5098997445943</v>
      </c>
      <c r="I18" s="21"/>
      <c r="J18" s="1014"/>
      <c r="K18" s="21"/>
      <c r="L18" s="21"/>
      <c r="M18" s="21"/>
      <c r="N18" s="21"/>
      <c r="O18" s="21"/>
    </row>
    <row r="19" spans="1:15">
      <c r="A19" s="48" t="s">
        <v>729</v>
      </c>
      <c r="B19" s="298">
        <v>1.6E-2</v>
      </c>
      <c r="C19" s="142">
        <f>Gdata!E69</f>
        <v>274.58229885999981</v>
      </c>
      <c r="D19" s="299">
        <f>Gdata!E37</f>
        <v>0.86890540000000005</v>
      </c>
      <c r="E19" s="208">
        <f>(D19/C19)/(Gdata!E$28/Gdata!E$60)</f>
        <v>2.8682917962773136</v>
      </c>
      <c r="F19" s="145">
        <f t="shared" si="0"/>
        <v>2.9892668740437018E-2</v>
      </c>
      <c r="G19" s="411">
        <f t="shared" si="1"/>
        <v>1683.5024678452669</v>
      </c>
      <c r="H19" s="411">
        <f>G19*Gdata!E$28/1000</f>
        <v>9983.1696343224321</v>
      </c>
      <c r="I19" s="21"/>
      <c r="J19" s="1014"/>
      <c r="K19" s="21"/>
      <c r="L19" s="21"/>
      <c r="M19" s="21"/>
      <c r="N19" s="21"/>
      <c r="O19" s="21"/>
    </row>
    <row r="20" spans="1:15">
      <c r="A20" s="48" t="s">
        <v>348</v>
      </c>
      <c r="B20" s="298">
        <v>0.01</v>
      </c>
      <c r="C20" s="142">
        <f>Gdata!E70</f>
        <v>20827541.169325836</v>
      </c>
      <c r="D20" s="143">
        <f>Gdata!E38</f>
        <v>91256.294702500003</v>
      </c>
      <c r="E20" s="208">
        <f>(D20/C20)/(Gdata!E$28/Gdata!E$60)</f>
        <v>3.971441783234603</v>
      </c>
      <c r="F20" s="145">
        <f t="shared" si="0"/>
        <v>2.9714417832346029E-2</v>
      </c>
      <c r="G20" s="411">
        <f t="shared" si="1"/>
        <v>1673.4636905693892</v>
      </c>
      <c r="H20" s="411">
        <f>G20*Gdata!E$28/1000</f>
        <v>9923.6396850764795</v>
      </c>
      <c r="I20" s="21"/>
      <c r="J20" s="1014"/>
      <c r="K20" s="21"/>
      <c r="L20" s="21"/>
      <c r="M20" s="21"/>
      <c r="N20" s="21"/>
      <c r="O20" s="21"/>
    </row>
    <row r="21" spans="1:15">
      <c r="A21" s="48" t="s">
        <v>347</v>
      </c>
      <c r="B21" s="298">
        <v>0.01</v>
      </c>
      <c r="C21" s="142">
        <f>Gdata!E71</f>
        <v>9518719.3936629929</v>
      </c>
      <c r="D21" s="143">
        <f>Gdata!E39</f>
        <v>20626.427788699999</v>
      </c>
      <c r="E21" s="208">
        <f>(D21/C21)/(Gdata!E$28/Gdata!E$60)</f>
        <v>1.9641238429418566</v>
      </c>
      <c r="F21" s="145">
        <f t="shared" si="0"/>
        <v>9.6412384294185666E-3</v>
      </c>
      <c r="G21" s="411">
        <f t="shared" si="1"/>
        <v>542.97757185708838</v>
      </c>
      <c r="H21" s="411">
        <f>G21*Gdata!E$28/1000</f>
        <v>3219.8570011125344</v>
      </c>
      <c r="I21" s="21"/>
      <c r="J21" s="1014"/>
      <c r="K21" s="21"/>
      <c r="L21" s="21"/>
      <c r="M21" s="21"/>
      <c r="N21" s="21"/>
      <c r="O21" s="21"/>
    </row>
    <row r="22" spans="1:15">
      <c r="A22" s="48" t="s">
        <v>746</v>
      </c>
      <c r="B22" s="298">
        <v>2.0999999999999999E-3</v>
      </c>
      <c r="C22" s="142">
        <f>Gdata!E72</f>
        <v>1.0000000000000007</v>
      </c>
      <c r="D22" s="299">
        <f>Gdata!E40</f>
        <v>4.0455992286418298E-3</v>
      </c>
      <c r="E22" s="208">
        <f>(D22/C22)/(Gdata!E$28/Gdata!E$60)</f>
        <v>3.6669604765520538</v>
      </c>
      <c r="F22" s="145">
        <f t="shared" si="0"/>
        <v>5.6006170007593123E-3</v>
      </c>
      <c r="G22" s="411">
        <f t="shared" si="1"/>
        <v>315.41688780299307</v>
      </c>
      <c r="H22" s="411">
        <f>G22*Gdata!E$28/1000</f>
        <v>1870.4221446717488</v>
      </c>
      <c r="I22" s="21"/>
      <c r="J22" s="1014"/>
      <c r="K22" s="21"/>
      <c r="L22" s="21"/>
      <c r="M22" s="21"/>
      <c r="N22" s="21"/>
      <c r="O22" s="21"/>
    </row>
    <row r="23" spans="1:15">
      <c r="A23" s="305" t="s">
        <v>1008</v>
      </c>
      <c r="B23" s="298">
        <v>7.0000000000000001E-3</v>
      </c>
      <c r="C23" s="142">
        <f>Gdata!E73</f>
        <v>51419</v>
      </c>
      <c r="D23" s="143">
        <f>Gdata!E41</f>
        <v>44</v>
      </c>
      <c r="E23" s="208">
        <f>(D23/C23)/(Gdata!E$28/Gdata!E$60)</f>
        <v>0.77562611205292287</v>
      </c>
      <c r="F23" s="145">
        <f t="shared" si="0"/>
        <v>-1.5706172156295399E-3</v>
      </c>
      <c r="G23" s="411">
        <f t="shared" si="1"/>
        <v>-88.454396009673118</v>
      </c>
      <c r="H23" s="411">
        <f>G23*Gdata!E$28/1000</f>
        <v>-524.53456833736152</v>
      </c>
      <c r="I23" s="21"/>
      <c r="J23" s="1014"/>
      <c r="K23" s="21"/>
      <c r="L23" s="21"/>
      <c r="M23" s="21"/>
      <c r="N23" s="21"/>
      <c r="O23" s="21"/>
    </row>
    <row r="24" spans="1:15">
      <c r="A24" s="305" t="s">
        <v>991</v>
      </c>
      <c r="B24" s="298">
        <v>8.2000000000000007E-3</v>
      </c>
      <c r="C24" s="142">
        <f>Gdata!E74</f>
        <v>155864.5</v>
      </c>
      <c r="D24" s="143">
        <f>Gdata!E42</f>
        <v>43</v>
      </c>
      <c r="E24" s="208">
        <f>(D24/C24)/(Gdata!E$28/Gdata!E$60)</f>
        <v>0.25006022413304174</v>
      </c>
      <c r="F24" s="145">
        <f t="shared" si="0"/>
        <v>-6.1495061621090578E-3</v>
      </c>
      <c r="G24" s="411">
        <f t="shared" si="1"/>
        <v>-346.32935887506591</v>
      </c>
      <c r="H24" s="411">
        <f>G24*Gdata!E$28/1000</f>
        <v>-2053.7330981291411</v>
      </c>
      <c r="I24" s="21"/>
      <c r="J24" s="1014"/>
      <c r="K24" s="21"/>
      <c r="L24" s="21"/>
      <c r="M24" s="21"/>
      <c r="N24" s="21"/>
      <c r="O24" s="21"/>
    </row>
    <row r="25" spans="1:15">
      <c r="A25" s="48" t="s">
        <v>726</v>
      </c>
      <c r="B25" s="298">
        <v>4.6399999999999997E-2</v>
      </c>
      <c r="C25" s="142">
        <f>Gdata!E75</f>
        <v>40489</v>
      </c>
      <c r="D25" s="143">
        <f>Gdata!E43</f>
        <v>47</v>
      </c>
      <c r="E25" s="208">
        <f>(D25/C25)/(Gdata!E$28/Gdata!E$60)</f>
        <v>1.0521657934116306</v>
      </c>
      <c r="F25" s="145">
        <f t="shared" si="0"/>
        <v>2.4204928142996613E-3</v>
      </c>
      <c r="G25" s="411">
        <f t="shared" si="1"/>
        <v>136.31789324861873</v>
      </c>
      <c r="H25" s="411">
        <f>G25*Gdata!E$28/1000</f>
        <v>808.36510696430912</v>
      </c>
      <c r="I25" s="21"/>
      <c r="J25" s="1014"/>
      <c r="K25" s="21"/>
      <c r="L25" s="21"/>
      <c r="M25" s="21"/>
      <c r="N25" s="21"/>
      <c r="O25" s="21"/>
    </row>
    <row r="26" spans="1:15">
      <c r="A26" s="48" t="s">
        <v>159</v>
      </c>
      <c r="B26" s="298">
        <v>1.67E-2</v>
      </c>
      <c r="C26" s="142">
        <f>Gdata!E76</f>
        <v>113292</v>
      </c>
      <c r="D26" s="143">
        <f>Gdata!E44</f>
        <v>123</v>
      </c>
      <c r="E26" s="208">
        <f>(D26/C26)/(Gdata!E$28/Gdata!E$60)</f>
        <v>0.98407735679099073</v>
      </c>
      <c r="F26" s="145">
        <f t="shared" si="0"/>
        <v>-2.6590814159045478E-4</v>
      </c>
      <c r="G26" s="411">
        <f t="shared" si="1"/>
        <v>-14.975478317936721</v>
      </c>
      <c r="H26" s="411">
        <f>G26*Gdata!E$28/1000</f>
        <v>-88.804586425364761</v>
      </c>
      <c r="I26" s="21"/>
      <c r="J26" s="1014"/>
      <c r="K26" s="21"/>
      <c r="L26" s="21"/>
      <c r="M26" s="21"/>
      <c r="N26" s="21"/>
      <c r="O26" s="21"/>
    </row>
    <row r="27" spans="1:15">
      <c r="A27" s="305" t="s">
        <v>1011</v>
      </c>
      <c r="B27" s="298">
        <v>1.0500000000000001E-2</v>
      </c>
      <c r="C27" s="142">
        <f>Gdata!E77</f>
        <v>285344</v>
      </c>
      <c r="D27" s="143">
        <f>Gdata!E45</f>
        <v>164</v>
      </c>
      <c r="E27" s="208">
        <f>(D27/C27)/(Gdata!E$28/Gdata!E$60)</f>
        <v>0.52095291720666947</v>
      </c>
      <c r="F27" s="145">
        <f t="shared" si="0"/>
        <v>-5.0299943693299706E-3</v>
      </c>
      <c r="G27" s="411">
        <f t="shared" si="1"/>
        <v>-283.28042596477138</v>
      </c>
      <c r="H27" s="411">
        <f>G27*Gdata!E$28/1000</f>
        <v>-1679.8529259710942</v>
      </c>
      <c r="I27" s="21"/>
      <c r="J27" s="1014"/>
      <c r="K27" s="21"/>
      <c r="L27" s="21"/>
      <c r="M27" s="21"/>
      <c r="N27" s="21"/>
      <c r="O27" s="21"/>
    </row>
    <row r="28" spans="1:15">
      <c r="A28" s="48" t="s">
        <v>759</v>
      </c>
      <c r="B28" s="298">
        <v>6.3E-3</v>
      </c>
      <c r="C28" s="142">
        <f>Gdata!E78</f>
        <v>115718</v>
      </c>
      <c r="D28" s="143">
        <f>Gdata!E46</f>
        <v>162</v>
      </c>
      <c r="E28" s="208">
        <f>(D28/C28)/(Gdata!E$28/Gdata!E$60)</f>
        <v>1.2689294207028325</v>
      </c>
      <c r="F28" s="145">
        <f t="shared" si="0"/>
        <v>1.6942553504278451E-3</v>
      </c>
      <c r="G28" s="411">
        <f t="shared" si="1"/>
        <v>95.41747805698347</v>
      </c>
      <c r="H28" s="411">
        <f>G28*Gdata!E$28/1000</f>
        <v>565.82564487791205</v>
      </c>
      <c r="I28" s="21"/>
      <c r="J28" s="1014"/>
      <c r="K28" s="21"/>
      <c r="L28" s="21"/>
      <c r="M28" s="21"/>
      <c r="N28" s="21"/>
      <c r="O28" s="21"/>
    </row>
    <row r="29" spans="1:15">
      <c r="A29" s="48" t="s">
        <v>160</v>
      </c>
      <c r="B29" s="298">
        <v>9.2999999999999992E-3</v>
      </c>
      <c r="C29" s="142">
        <f>Gdata!E79</f>
        <v>171.39600564999989</v>
      </c>
      <c r="D29" s="299">
        <f>Gdata!E47</f>
        <v>3.9268820000000003E-2</v>
      </c>
      <c r="E29" s="208">
        <f>(D29/C29)/(Gdata!E$28/Gdata!E$60)</f>
        <v>0.20766845214172866</v>
      </c>
      <c r="F29" s="145">
        <f t="shared" si="0"/>
        <v>-7.3686833950819229E-3</v>
      </c>
      <c r="G29" s="411">
        <f t="shared" si="1"/>
        <v>-414.99127388414962</v>
      </c>
      <c r="H29" s="411">
        <f>G29*Gdata!E$28/1000</f>
        <v>-2460.898254133007</v>
      </c>
      <c r="I29" s="21"/>
      <c r="J29" s="1014"/>
      <c r="K29" s="21"/>
      <c r="L29" s="21"/>
      <c r="M29" s="21"/>
      <c r="N29" s="21"/>
      <c r="O29" s="21"/>
    </row>
    <row r="30" spans="1:15">
      <c r="A30" s="48" t="s">
        <v>1120</v>
      </c>
      <c r="B30" s="298">
        <v>1.89E-2</v>
      </c>
      <c r="C30" s="142">
        <f>+Gdata!E80</f>
        <v>488624</v>
      </c>
      <c r="D30" s="143">
        <f>+Gdata!E48</f>
        <v>455</v>
      </c>
      <c r="E30" s="208">
        <f>(D30/C30)/(Gdata!E$28/Gdata!E$60)</f>
        <v>0.84403406162092687</v>
      </c>
      <c r="F30" s="145">
        <f t="shared" si="0"/>
        <v>-2.9477562353644824E-3</v>
      </c>
      <c r="G30" s="411">
        <f t="shared" si="1"/>
        <v>-166.01244070688583</v>
      </c>
      <c r="H30" s="411">
        <f>G30*Gdata!E$28/1000</f>
        <v>-984.4537733918329</v>
      </c>
      <c r="I30" s="21"/>
      <c r="J30" s="1014"/>
      <c r="K30" s="21"/>
      <c r="L30" s="21"/>
      <c r="M30" s="21"/>
      <c r="N30" s="21"/>
      <c r="O30" s="21"/>
    </row>
    <row r="31" spans="1:15">
      <c r="A31" s="48" t="s">
        <v>728</v>
      </c>
      <c r="B31" s="298">
        <v>4.9700000000000001E-2</v>
      </c>
      <c r="C31" s="142">
        <f>Gdata!E81</f>
        <v>19681</v>
      </c>
      <c r="D31" s="143">
        <f>Gdata!E49</f>
        <v>23</v>
      </c>
      <c r="E31" s="208">
        <f>(D31/C31)/(Gdata!E$28/Gdata!E$60)</f>
        <v>1.0592635932670789</v>
      </c>
      <c r="F31" s="145">
        <f t="shared" si="0"/>
        <v>2.9454005853738197E-3</v>
      </c>
      <c r="G31" s="411">
        <f t="shared" si="1"/>
        <v>165.87977464728789</v>
      </c>
      <c r="H31" s="411">
        <f>G31*Gdata!E$28/1000</f>
        <v>983.66706365841719</v>
      </c>
      <c r="I31" s="21"/>
      <c r="J31" s="1014"/>
      <c r="K31" s="21"/>
      <c r="L31" s="21"/>
      <c r="M31" s="21"/>
      <c r="N31" s="21"/>
      <c r="O31" s="21"/>
    </row>
    <row r="32" spans="1:15">
      <c r="A32" s="48" t="s">
        <v>727</v>
      </c>
      <c r="B32" s="298">
        <v>4.6399999999999997E-2</v>
      </c>
      <c r="C32" s="142">
        <f>Gdata!E82</f>
        <v>367626</v>
      </c>
      <c r="D32" s="143">
        <f>Gdata!E50</f>
        <v>544</v>
      </c>
      <c r="E32" s="208">
        <f>(D32/C32)/(Gdata!E$28/Gdata!E$60)</f>
        <v>1.3412695094689358</v>
      </c>
      <c r="F32" s="145">
        <f t="shared" si="0"/>
        <v>1.5834905239358616E-2</v>
      </c>
      <c r="G32" s="411">
        <f t="shared" si="1"/>
        <v>891.79398065903342</v>
      </c>
      <c r="H32" s="411">
        <f>G32*Gdata!E$28/1000</f>
        <v>5288.3383053080679</v>
      </c>
      <c r="I32" s="21"/>
      <c r="J32" s="1014"/>
      <c r="K32" s="21"/>
      <c r="L32" s="21"/>
      <c r="M32" s="21"/>
      <c r="N32" s="21"/>
      <c r="O32" s="21"/>
    </row>
    <row r="33" spans="1:15">
      <c r="A33" s="305" t="s">
        <v>1002</v>
      </c>
      <c r="B33" s="298">
        <v>1.66E-2</v>
      </c>
      <c r="C33" s="142">
        <f>Gdata!E83</f>
        <v>39438.333050000001</v>
      </c>
      <c r="D33" s="143">
        <f>Gdata!E51</f>
        <v>25.250050000000002</v>
      </c>
      <c r="E33" s="208">
        <f>(D33/C33)/(Gdata!E$28/Gdata!E$60)</f>
        <v>0.5803193655721115</v>
      </c>
      <c r="F33" s="145">
        <f t="shared" si="0"/>
        <v>-6.9666985315029488E-3</v>
      </c>
      <c r="G33" s="411">
        <f t="shared" si="1"/>
        <v>-392.35219419046587</v>
      </c>
      <c r="H33" s="411">
        <f>G33*Gdata!E$28/1000</f>
        <v>-2326.6485115494625</v>
      </c>
      <c r="I33" s="21"/>
      <c r="J33" s="1014"/>
      <c r="K33" s="21"/>
      <c r="L33" s="21"/>
      <c r="M33" s="21"/>
      <c r="N33" s="21"/>
      <c r="O33" s="21"/>
    </row>
    <row r="34" spans="1:15">
      <c r="A34" s="48" t="s">
        <v>161</v>
      </c>
      <c r="B34" s="298">
        <v>1.8200000000000001E-2</v>
      </c>
      <c r="C34" s="142">
        <f>Gdata!E84</f>
        <v>1452561</v>
      </c>
      <c r="D34" s="143">
        <f>Gdata!E52</f>
        <v>926</v>
      </c>
      <c r="E34" s="208">
        <f>(D34/C34)/(Gdata!E$28/Gdata!E$60)</f>
        <v>0.57782985683297539</v>
      </c>
      <c r="F34" s="145">
        <f t="shared" si="0"/>
        <v>-7.6834966056398488E-3</v>
      </c>
      <c r="G34" s="411">
        <f t="shared" si="1"/>
        <v>-432.72099957329908</v>
      </c>
      <c r="H34" s="411">
        <f>G34*Gdata!E$28/1000</f>
        <v>-2566.0355274696635</v>
      </c>
      <c r="I34" s="21"/>
      <c r="J34" s="1014"/>
      <c r="K34" s="21"/>
      <c r="L34" s="21"/>
      <c r="M34" s="21"/>
      <c r="N34" s="21"/>
      <c r="O34" s="21"/>
    </row>
    <row r="35" spans="1:15" s="19" customFormat="1" ht="14" thickBot="1">
      <c r="A35" s="146" t="s">
        <v>760</v>
      </c>
      <c r="B35" s="300">
        <f>SUM(B11:B34)</f>
        <v>0.99999999999999978</v>
      </c>
      <c r="C35" s="301"/>
      <c r="D35" s="302"/>
      <c r="E35" s="151">
        <f>B11*E11+B12*E12+B13*E13+B14*E14+B15*E15+B16*E16+B17*E17+B18*E18+B19*E19+B20*E20+B21*E21+B22*E22+B23*E23+B24*E24+B25*E25+B34*E34+B26*E26+B27*E27+B28*E28+B29*E29+B30*E30+B31*E31+B32*E32+B33*E33</f>
        <v>1.0923122612223066</v>
      </c>
      <c r="F35" s="147">
        <f t="shared" si="0"/>
        <v>9.231226122230661E-2</v>
      </c>
      <c r="G35" s="412">
        <f>SUM(G11:G34)</f>
        <v>5198.8640067423439</v>
      </c>
      <c r="H35" s="412">
        <f>SUM(H11:H34)</f>
        <v>30829.263559982086</v>
      </c>
      <c r="I35" s="27"/>
      <c r="J35" s="411"/>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G35*Gdata!E28/1000</f>
        <v>30829.263559982097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Bregn!F90</f>
        <v>3308.7810311100002</v>
      </c>
      <c r="H40" s="413"/>
      <c r="I40" s="21"/>
      <c r="J40" s="411"/>
      <c r="K40" s="21"/>
      <c r="L40" s="21"/>
      <c r="M40" s="21"/>
      <c r="N40" s="21"/>
      <c r="O40" s="21"/>
    </row>
    <row r="41" spans="1:15" s="20" customFormat="1" ht="13.5" thickBot="1">
      <c r="A41" s="144" t="s">
        <v>763</v>
      </c>
      <c r="B41" s="144"/>
      <c r="C41" s="144"/>
      <c r="D41" s="144"/>
      <c r="E41" s="144"/>
      <c r="F41" s="144"/>
      <c r="G41" s="353">
        <f>G38+G40</f>
        <v>34138.044591092097</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Bregn!F87</f>
        <v>56318.239179759999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zoomScaleNormal="100" workbookViewId="0">
      <selection activeCell="E29" sqref="E29"/>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2022</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2022</v>
      </c>
      <c r="G5" s="23"/>
      <c r="H5" s="23"/>
      <c r="I5" s="21"/>
      <c r="J5" s="21"/>
      <c r="K5" s="21"/>
      <c r="L5" s="21"/>
      <c r="M5" s="21"/>
      <c r="N5" s="21"/>
      <c r="O5" s="21"/>
    </row>
    <row r="6" spans="1:15" ht="18">
      <c r="A6" s="196" t="s">
        <v>312</v>
      </c>
      <c r="B6" s="23"/>
      <c r="C6" s="23"/>
      <c r="D6" s="23"/>
      <c r="E6" s="23"/>
      <c r="F6" s="635" t="s">
        <v>2486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1342</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Gdata!F61</f>
        <v>108843</v>
      </c>
      <c r="D11" s="143">
        <f>Gdata!F29</f>
        <v>89</v>
      </c>
      <c r="E11" s="208">
        <f>(D11/C11)/(Gdata!F$28/Gdata!F$60)</f>
        <v>0.7454897196213135</v>
      </c>
      <c r="F11" s="145">
        <f t="shared" ref="F11:F35" si="0">(E11-1)*B11</f>
        <v>-1.4507085981585132E-3</v>
      </c>
      <c r="G11" s="411">
        <f>G$43*B11*(E11-1)</f>
        <v>-85.697212930160845</v>
      </c>
      <c r="H11" s="411">
        <f>G11*Gdata!F$28/1000</f>
        <v>-507.75598661120301</v>
      </c>
      <c r="I11" s="21"/>
      <c r="J11" s="1074">
        <f>+H11-'Ut21'!H11</f>
        <v>10.487708648766159</v>
      </c>
      <c r="K11" s="21"/>
      <c r="L11" s="21"/>
      <c r="M11" s="21"/>
      <c r="N11" s="21"/>
      <c r="O11" s="21"/>
    </row>
    <row r="12" spans="1:15">
      <c r="A12" s="305" t="s">
        <v>1005</v>
      </c>
      <c r="B12" s="298">
        <v>0.13550000000000001</v>
      </c>
      <c r="C12" s="142">
        <f>Gdata!F62</f>
        <v>232622</v>
      </c>
      <c r="D12" s="143">
        <f>Gdata!F30</f>
        <v>234</v>
      </c>
      <c r="E12" s="208">
        <f>(D12/C12)/(Gdata!F$28/Gdata!F$60)</f>
        <v>0.91710112858705217</v>
      </c>
      <c r="F12" s="145">
        <f t="shared" si="0"/>
        <v>-1.1232797076454432E-2</v>
      </c>
      <c r="G12" s="411">
        <f>G$43*B12*(E12-1)</f>
        <v>-663.55118049491432</v>
      </c>
      <c r="H12" s="411">
        <f>G12*Gdata!F$28/1000</f>
        <v>-3931.5407444323673</v>
      </c>
      <c r="I12" s="21"/>
      <c r="J12" s="1074">
        <f>+H12-'Ut21'!H12</f>
        <v>-2571.8801669961158</v>
      </c>
      <c r="K12" s="21"/>
      <c r="L12" s="21"/>
      <c r="M12" s="21"/>
      <c r="N12" s="21"/>
      <c r="O12" s="21"/>
    </row>
    <row r="13" spans="1:15">
      <c r="A13" s="48" t="s">
        <v>777</v>
      </c>
      <c r="B13" s="298">
        <v>0.26319999999999999</v>
      </c>
      <c r="C13" s="142">
        <f>Gdata!F63</f>
        <v>639962</v>
      </c>
      <c r="D13" s="143">
        <f>Gdata!F31</f>
        <v>663</v>
      </c>
      <c r="E13" s="208">
        <f>(D13/C13)/(Gdata!F$28/Gdata!F$60)</f>
        <v>0.94452073677317627</v>
      </c>
      <c r="F13" s="145">
        <f t="shared" si="0"/>
        <v>-1.4602142081300005E-2</v>
      </c>
      <c r="G13" s="411">
        <f t="shared" ref="G13:G34" si="1">G$43*B13*(E13-1)</f>
        <v>-862.58734577438338</v>
      </c>
      <c r="H13" s="411">
        <f>G13*Gdata!F$28/1000</f>
        <v>-5110.8300237132216</v>
      </c>
      <c r="I13" s="21"/>
      <c r="J13" s="1074">
        <f>+H13-'Ut21'!H13</f>
        <v>1295.1967704842882</v>
      </c>
      <c r="K13" s="21"/>
      <c r="L13" s="21"/>
      <c r="M13" s="21"/>
      <c r="N13" s="21"/>
      <c r="O13" s="21"/>
    </row>
    <row r="14" spans="1:15">
      <c r="A14" s="48" t="s">
        <v>163</v>
      </c>
      <c r="B14" s="298">
        <v>2.3599999999999999E-2</v>
      </c>
      <c r="C14" s="142">
        <f>Gdata!F64</f>
        <v>451409</v>
      </c>
      <c r="D14" s="143">
        <f>Gdata!F32</f>
        <v>484</v>
      </c>
      <c r="E14" s="208">
        <f>(D14/C14)/(Gdata!F$28/Gdata!F$60)</f>
        <v>0.97752371844471275</v>
      </c>
      <c r="F14" s="145">
        <f t="shared" si="0"/>
        <v>-5.3044024470477898E-4</v>
      </c>
      <c r="G14" s="411">
        <f t="shared" si="1"/>
        <v>-31.334515184437567</v>
      </c>
      <c r="H14" s="411">
        <f>G14*Gdata!F$28/1000</f>
        <v>-185.65700246779261</v>
      </c>
      <c r="I14" s="21"/>
      <c r="J14" s="1074">
        <f>+H14-'Ut21'!H14</f>
        <v>-418.07165466770743</v>
      </c>
      <c r="K14" s="21"/>
      <c r="L14" s="21"/>
      <c r="M14" s="21"/>
      <c r="N14" s="21"/>
      <c r="O14" s="21"/>
    </row>
    <row r="15" spans="1:15">
      <c r="A15" s="48" t="s">
        <v>158</v>
      </c>
      <c r="B15" s="298">
        <v>0.1051</v>
      </c>
      <c r="C15" s="142">
        <f>Gdata!F65</f>
        <v>3106418</v>
      </c>
      <c r="D15" s="143">
        <f>Gdata!F33</f>
        <v>3123</v>
      </c>
      <c r="E15" s="208">
        <f>(D15/C15)/(Gdata!F$28/Gdata!F$60)</f>
        <v>0.91656706139402966</v>
      </c>
      <c r="F15" s="145">
        <f t="shared" si="0"/>
        <v>-8.7688018474874826E-3</v>
      </c>
      <c r="G15" s="411">
        <f t="shared" si="1"/>
        <v>-517.99643292967744</v>
      </c>
      <c r="H15" s="411">
        <f>G15*Gdata!F$28/1000</f>
        <v>-3069.1288651083387</v>
      </c>
      <c r="I15" s="21"/>
      <c r="J15" s="1074">
        <f>+H15-'Ut21'!H15</f>
        <v>-248.85786627972129</v>
      </c>
      <c r="K15" s="21"/>
      <c r="L15" s="21"/>
      <c r="M15" s="21"/>
      <c r="N15" s="21"/>
      <c r="O15" s="21"/>
    </row>
    <row r="16" spans="1:15">
      <c r="A16" s="48" t="s">
        <v>723</v>
      </c>
      <c r="B16" s="298">
        <v>5.7000000000000002E-2</v>
      </c>
      <c r="C16" s="142">
        <f>Gdata!F66</f>
        <v>623431</v>
      </c>
      <c r="D16" s="143">
        <f>Gdata!F34</f>
        <v>943</v>
      </c>
      <c r="E16" s="208">
        <f>(D16/C16)/(Gdata!F$28/Gdata!F$60)</f>
        <v>1.379035527412489</v>
      </c>
      <c r="F16" s="145">
        <f t="shared" si="0"/>
        <v>2.1605025062511874E-2</v>
      </c>
      <c r="G16" s="411">
        <f t="shared" si="1"/>
        <v>1276.2662573957095</v>
      </c>
      <c r="H16" s="411">
        <f>G16*Gdata!F$28/1000</f>
        <v>7561.8775750695795</v>
      </c>
      <c r="I16" s="21"/>
      <c r="J16" s="1074">
        <f>+H16-'Ut21'!H16</f>
        <v>341.30793886955689</v>
      </c>
      <c r="K16" s="21"/>
      <c r="L16" s="21"/>
      <c r="M16" s="21"/>
      <c r="N16" s="21"/>
      <c r="O16" s="21"/>
    </row>
    <row r="17" spans="1:15">
      <c r="A17" s="48" t="s">
        <v>724</v>
      </c>
      <c r="B17" s="298">
        <v>7.7499999999999999E-2</v>
      </c>
      <c r="C17" s="142">
        <f>Gdata!F67</f>
        <v>192104</v>
      </c>
      <c r="D17" s="143">
        <f>Gdata!F35</f>
        <v>315</v>
      </c>
      <c r="E17" s="208">
        <f>(D17/C17)/(Gdata!F$28/Gdata!F$60)</f>
        <v>1.4949487408455442</v>
      </c>
      <c r="F17" s="145">
        <f t="shared" si="0"/>
        <v>3.8358527415529677E-2</v>
      </c>
      <c r="G17" s="411">
        <f t="shared" si="1"/>
        <v>2265.9401728153798</v>
      </c>
      <c r="H17" s="411">
        <f>G17*Gdata!F$28/1000</f>
        <v>13425.695523931125</v>
      </c>
      <c r="I17" s="21"/>
      <c r="J17" s="1074">
        <f>+H17-'Ut21'!H17</f>
        <v>2894.0474269561873</v>
      </c>
      <c r="K17" s="21"/>
      <c r="L17" s="21"/>
      <c r="M17" s="21"/>
      <c r="N17" s="21"/>
      <c r="O17" s="21"/>
    </row>
    <row r="18" spans="1:15">
      <c r="A18" s="48" t="s">
        <v>725</v>
      </c>
      <c r="B18" s="298">
        <v>3.8899999999999997E-2</v>
      </c>
      <c r="C18" s="142">
        <f>Gdata!F68</f>
        <v>47036</v>
      </c>
      <c r="D18" s="143">
        <f>Gdata!F36</f>
        <v>74</v>
      </c>
      <c r="E18" s="208">
        <f>(D18/C18)/(Gdata!F$28/Gdata!F$60)</f>
        <v>1.43434457061886</v>
      </c>
      <c r="F18" s="145">
        <f t="shared" si="0"/>
        <v>1.6896003797073653E-2</v>
      </c>
      <c r="G18" s="411">
        <f t="shared" si="1"/>
        <v>998.09185449414167</v>
      </c>
      <c r="H18" s="411">
        <f>G18*Gdata!F$28/1000</f>
        <v>5913.6942378777885</v>
      </c>
      <c r="I18" s="21"/>
      <c r="J18" s="1074">
        <f>+H18-'Ut21'!H18</f>
        <v>1923.1843381331942</v>
      </c>
      <c r="K18" s="21"/>
      <c r="L18" s="21"/>
      <c r="M18" s="21"/>
      <c r="N18" s="21"/>
      <c r="O18" s="21"/>
    </row>
    <row r="19" spans="1:15">
      <c r="A19" s="48" t="s">
        <v>729</v>
      </c>
      <c r="B19" s="298">
        <v>1.5900000000000001E-2</v>
      </c>
      <c r="C19" s="142">
        <f>Gdata!F69</f>
        <v>274.62708669999978</v>
      </c>
      <c r="D19" s="299">
        <f>Gdata!F37</f>
        <v>0.86987820999999999</v>
      </c>
      <c r="E19" s="208">
        <f>(D19/C19)/(Gdata!F$28/Gdata!F$60)</f>
        <v>2.887800837943419</v>
      </c>
      <c r="F19" s="145">
        <f t="shared" si="0"/>
        <v>3.0016033323300363E-2</v>
      </c>
      <c r="G19" s="411">
        <f t="shared" si="1"/>
        <v>1773.1268721305328</v>
      </c>
      <c r="H19" s="411">
        <f>G19*Gdata!F$28/1000</f>
        <v>10505.776717373406</v>
      </c>
      <c r="I19" s="21"/>
      <c r="J19" s="1074">
        <f>+H19-'Ut21'!H19</f>
        <v>522.60708305097432</v>
      </c>
      <c r="K19" s="21"/>
      <c r="L19" s="21"/>
      <c r="M19" s="21"/>
      <c r="N19" s="21"/>
      <c r="O19" s="21"/>
    </row>
    <row r="20" spans="1:15">
      <c r="A20" s="48" t="s">
        <v>348</v>
      </c>
      <c r="B20" s="298">
        <v>0.01</v>
      </c>
      <c r="C20" s="142">
        <f>Gdata!F70</f>
        <v>21146080.194666672</v>
      </c>
      <c r="D20" s="143">
        <f>Gdata!F38</f>
        <v>109920.15166667</v>
      </c>
      <c r="E20" s="208">
        <f>(D20/C20)/(Gdata!F$28/Gdata!F$60)</f>
        <v>4.7391406696541925</v>
      </c>
      <c r="F20" s="145">
        <f t="shared" si="0"/>
        <v>3.7391406696541923E-2</v>
      </c>
      <c r="G20" s="411">
        <f t="shared" si="1"/>
        <v>2208.8097813022473</v>
      </c>
      <c r="H20" s="411">
        <f>G20*Gdata!F$28/1000</f>
        <v>13087.197954215815</v>
      </c>
      <c r="I20" s="21"/>
      <c r="J20" s="1074">
        <f>+H20-'Ut21'!H20</f>
        <v>3163.5582691393356</v>
      </c>
      <c r="K20" s="21"/>
      <c r="L20" s="21"/>
      <c r="M20" s="21"/>
      <c r="N20" s="21"/>
      <c r="O20" s="21"/>
    </row>
    <row r="21" spans="1:15">
      <c r="A21" s="48" t="s">
        <v>347</v>
      </c>
      <c r="B21" s="298">
        <v>0.01</v>
      </c>
      <c r="C21" s="142">
        <f>Gdata!F71</f>
        <v>9629998.8709999528</v>
      </c>
      <c r="D21" s="143">
        <f>Gdata!F39</f>
        <v>20371.421666670001</v>
      </c>
      <c r="E21" s="208">
        <f>(D21/C21)/(Gdata!F$28/Gdata!F$60)</f>
        <v>1.9286226278769103</v>
      </c>
      <c r="F21" s="145">
        <f t="shared" si="0"/>
        <v>9.2862262787691031E-3</v>
      </c>
      <c r="G21" s="411">
        <f t="shared" si="1"/>
        <v>548.56206941869698</v>
      </c>
      <c r="H21" s="411">
        <f>G21*Gdata!F$28/1000</f>
        <v>3250.2302613057795</v>
      </c>
      <c r="I21" s="21"/>
      <c r="J21" s="1074">
        <f>+H21-'Ut21'!H21</f>
        <v>30.373260193245187</v>
      </c>
      <c r="K21" s="21"/>
      <c r="L21" s="21"/>
      <c r="M21" s="21"/>
      <c r="N21" s="21"/>
      <c r="O21" s="21"/>
    </row>
    <row r="22" spans="1:15">
      <c r="A22" s="48" t="s">
        <v>746</v>
      </c>
      <c r="B22" s="298">
        <v>2.0999999999999999E-3</v>
      </c>
      <c r="C22" s="142">
        <f>Gdata!F72</f>
        <v>0.99999999999999956</v>
      </c>
      <c r="D22" s="299">
        <f>Gdata!F40</f>
        <v>4.0600125655226409E-3</v>
      </c>
      <c r="E22" s="208">
        <f>(D22/C22)/(Gdata!F$28/Gdata!F$60)</f>
        <v>3.7015151690724641</v>
      </c>
      <c r="F22" s="145">
        <f t="shared" si="0"/>
        <v>5.6731818550521743E-3</v>
      </c>
      <c r="G22" s="411">
        <f t="shared" si="1"/>
        <v>335.12993170445702</v>
      </c>
      <c r="H22" s="411">
        <f>G22*Gdata!F$28/1000</f>
        <v>1985.6448453489079</v>
      </c>
      <c r="I22" s="21"/>
      <c r="J22" s="1074">
        <f>+H22-'Ut21'!H22</f>
        <v>115.22270067715908</v>
      </c>
      <c r="K22" s="21"/>
      <c r="L22" s="21"/>
      <c r="M22" s="21"/>
      <c r="N22" s="21"/>
      <c r="O22" s="21"/>
    </row>
    <row r="23" spans="1:15">
      <c r="A23" s="305" t="s">
        <v>1008</v>
      </c>
      <c r="B23" s="298">
        <v>7.0000000000000001E-3</v>
      </c>
      <c r="C23" s="142">
        <f>Gdata!F73</f>
        <v>49484</v>
      </c>
      <c r="D23" s="143">
        <f>Gdata!F41</f>
        <v>40</v>
      </c>
      <c r="E23" s="208">
        <f>(D23/C23)/(Gdata!F$28/Gdata!F$60)</f>
        <v>0.736965824865353</v>
      </c>
      <c r="F23" s="145">
        <f t="shared" si="0"/>
        <v>-1.8412392259425289E-3</v>
      </c>
      <c r="G23" s="411">
        <f t="shared" si="1"/>
        <v>-108.76689515816908</v>
      </c>
      <c r="H23" s="411">
        <f>G23*Gdata!F$28/1000</f>
        <v>-644.44385381215181</v>
      </c>
      <c r="I23" s="21"/>
      <c r="J23" s="1074">
        <f>+H23-'Ut21'!H23</f>
        <v>-119.90928547479029</v>
      </c>
      <c r="K23" s="21"/>
      <c r="L23" s="21"/>
      <c r="M23" s="21"/>
      <c r="N23" s="21"/>
      <c r="O23" s="21"/>
    </row>
    <row r="24" spans="1:15">
      <c r="A24" s="305" t="s">
        <v>991</v>
      </c>
      <c r="B24" s="298">
        <v>8.2000000000000007E-3</v>
      </c>
      <c r="C24" s="142">
        <f>Gdata!F74</f>
        <v>163697.5</v>
      </c>
      <c r="D24" s="143">
        <f>Gdata!F42</f>
        <v>56</v>
      </c>
      <c r="E24" s="208">
        <f>(D24/C24)/(Gdata!F$28/Gdata!F$60)</f>
        <v>0.31188761971741769</v>
      </c>
      <c r="F24" s="145">
        <f t="shared" si="0"/>
        <v>-5.6425215183171758E-3</v>
      </c>
      <c r="G24" s="411">
        <f t="shared" si="1"/>
        <v>-333.31874411721526</v>
      </c>
      <c r="H24" s="411">
        <f>G24*Gdata!F$28/1000</f>
        <v>-1974.9135588945003</v>
      </c>
      <c r="I24" s="21"/>
      <c r="J24" s="1074">
        <f>+H24-'Ut21'!H24</f>
        <v>78.819539234640843</v>
      </c>
      <c r="K24" s="21"/>
      <c r="L24" s="21"/>
      <c r="M24" s="21"/>
      <c r="N24" s="21"/>
      <c r="O24" s="21"/>
    </row>
    <row r="25" spans="1:15">
      <c r="A25" s="48" t="s">
        <v>726</v>
      </c>
      <c r="B25" s="298">
        <v>4.5900000000000003E-2</v>
      </c>
      <c r="C25" s="142">
        <f>Gdata!F75</f>
        <v>40469</v>
      </c>
      <c r="D25" s="143">
        <f>Gdata!F43</f>
        <v>44</v>
      </c>
      <c r="E25" s="208">
        <f>(D25/C25)/(Gdata!F$28/Gdata!F$60)</f>
        <v>0.99124808039241996</v>
      </c>
      <c r="F25" s="145">
        <f t="shared" si="0"/>
        <v>-4.0171310998792382E-4</v>
      </c>
      <c r="G25" s="411">
        <f t="shared" si="1"/>
        <v>-23.730261175243047</v>
      </c>
      <c r="H25" s="411">
        <f>G25*Gdata!F$28/1000</f>
        <v>-140.60179746331505</v>
      </c>
      <c r="I25" s="21"/>
      <c r="J25" s="1074">
        <f>+H25-'Ut21'!H25</f>
        <v>-948.96690442762417</v>
      </c>
      <c r="K25" s="21"/>
      <c r="L25" s="21"/>
      <c r="M25" s="21"/>
      <c r="N25" s="21"/>
      <c r="O25" s="21"/>
    </row>
    <row r="26" spans="1:15">
      <c r="A26" s="48" t="s">
        <v>159</v>
      </c>
      <c r="B26" s="298">
        <v>1.8599999999999998E-2</v>
      </c>
      <c r="C26" s="142">
        <f>Gdata!F76</f>
        <v>110975</v>
      </c>
      <c r="D26" s="143">
        <f>Gdata!F44</f>
        <v>142</v>
      </c>
      <c r="E26" s="208">
        <f>(D26/C26)/(Gdata!F$28/Gdata!F$60)</f>
        <v>1.1665822024384935</v>
      </c>
      <c r="F26" s="145">
        <f t="shared" si="0"/>
        <v>3.0984289653559795E-3</v>
      </c>
      <c r="G26" s="411">
        <f t="shared" si="1"/>
        <v>183.03243472199802</v>
      </c>
      <c r="H26" s="411">
        <f>G26*Gdata!F$28/1000</f>
        <v>1084.4671757278381</v>
      </c>
      <c r="I26" s="21"/>
      <c r="J26" s="1074">
        <f>+H26-'Ut21'!H26</f>
        <v>1173.2717621532029</v>
      </c>
      <c r="K26" s="21"/>
      <c r="L26" s="21"/>
      <c r="M26" s="21"/>
      <c r="N26" s="21"/>
      <c r="O26" s="21"/>
    </row>
    <row r="27" spans="1:15">
      <c r="A27" s="305" t="s">
        <v>1011</v>
      </c>
      <c r="B27" s="298">
        <v>1.17E-2</v>
      </c>
      <c r="C27" s="142">
        <f>Gdata!F77</f>
        <v>286977</v>
      </c>
      <c r="D27" s="143">
        <f>Gdata!F45</f>
        <v>199</v>
      </c>
      <c r="E27" s="208">
        <f>(D27/C27)/(Gdata!F$28/Gdata!F$60)</f>
        <v>0.63220531250324852</v>
      </c>
      <c r="F27" s="145">
        <f t="shared" si="0"/>
        <v>-4.3031978437119926E-3</v>
      </c>
      <c r="G27" s="411">
        <f t="shared" si="1"/>
        <v>-254.20133468658284</v>
      </c>
      <c r="H27" s="411">
        <f>G27*Gdata!F$28/1000</f>
        <v>-1506.1429080180033</v>
      </c>
      <c r="I27" s="21"/>
      <c r="J27" s="1074">
        <f>+H27-'Ut21'!H27</f>
        <v>173.71001795309098</v>
      </c>
      <c r="K27" s="21"/>
      <c r="L27" s="21"/>
      <c r="M27" s="21"/>
      <c r="N27" s="21"/>
      <c r="O27" s="21"/>
    </row>
    <row r="28" spans="1:15">
      <c r="A28" s="48" t="s">
        <v>759</v>
      </c>
      <c r="B28" s="298">
        <v>6.3E-3</v>
      </c>
      <c r="C28" s="142">
        <f>Gdata!F78</f>
        <v>119344</v>
      </c>
      <c r="D28" s="143">
        <f>Gdata!F46</f>
        <v>160</v>
      </c>
      <c r="E28" s="208">
        <f>(D28/C28)/(Gdata!F$28/Gdata!F$60)</f>
        <v>1.2222823728930532</v>
      </c>
      <c r="F28" s="145">
        <f t="shared" si="0"/>
        <v>1.400378949226235E-3</v>
      </c>
      <c r="G28" s="411">
        <f t="shared" si="1"/>
        <v>82.724106789668795</v>
      </c>
      <c r="H28" s="411">
        <f>G28*Gdata!F$28/1000</f>
        <v>490.1403327287876</v>
      </c>
      <c r="I28" s="21"/>
      <c r="J28" s="1074">
        <f>+H28-'Ut21'!H28</f>
        <v>-75.685312149124456</v>
      </c>
      <c r="K28" s="21"/>
      <c r="L28" s="21"/>
      <c r="M28" s="21"/>
      <c r="N28" s="21"/>
      <c r="O28" s="21"/>
    </row>
    <row r="29" spans="1:15">
      <c r="A29" s="48" t="s">
        <v>160</v>
      </c>
      <c r="B29" s="298">
        <v>9.2999999999999992E-3</v>
      </c>
      <c r="C29" s="142">
        <f>Gdata!F79</f>
        <v>168.87335640000001</v>
      </c>
      <c r="D29" s="299">
        <f>Gdata!F47</f>
        <v>4.7444739999999999E-2</v>
      </c>
      <c r="E29" s="208">
        <f>(D29/C29)/(Gdata!F$28/Gdata!F$60)</f>
        <v>0.25614099464228823</v>
      </c>
      <c r="F29" s="145">
        <f t="shared" si="0"/>
        <v>-6.9178887498267186E-3</v>
      </c>
      <c r="G29" s="411">
        <f t="shared" si="1"/>
        <v>-408.65807645560454</v>
      </c>
      <c r="H29" s="411">
        <f>G29*Gdata!F$28/1000</f>
        <v>-2421.2991029994569</v>
      </c>
      <c r="I29" s="21"/>
      <c r="J29" s="1074">
        <f>+H29-'Ut21'!H29</f>
        <v>39.599151133550095</v>
      </c>
      <c r="K29" s="21"/>
      <c r="L29" s="21"/>
      <c r="M29" s="21"/>
      <c r="N29" s="21"/>
      <c r="O29" s="21"/>
    </row>
    <row r="30" spans="1:15">
      <c r="A30" s="48" t="s">
        <v>1120</v>
      </c>
      <c r="B30" s="298">
        <v>1.89E-2</v>
      </c>
      <c r="C30" s="142">
        <f>+Gdata!F80</f>
        <v>502421</v>
      </c>
      <c r="D30" s="143">
        <f>+Gdata!F48</f>
        <v>473</v>
      </c>
      <c r="E30" s="208">
        <f>(D30/C30)/(Gdata!F$28/Gdata!F$60)</f>
        <v>0.85831264930816809</v>
      </c>
      <c r="F30" s="145">
        <f t="shared" si="0"/>
        <v>-2.6778909280756233E-3</v>
      </c>
      <c r="G30" s="411">
        <f t="shared" si="1"/>
        <v>-158.19013505424022</v>
      </c>
      <c r="H30" s="411">
        <f>G30*Gdata!F$28/1000</f>
        <v>-937.27655019637325</v>
      </c>
      <c r="I30" s="21"/>
      <c r="J30" s="1074">
        <f>+H30-'Ut21'!H30</f>
        <v>47.177223195459646</v>
      </c>
      <c r="K30" s="21"/>
      <c r="L30" s="21"/>
      <c r="M30" s="21"/>
      <c r="N30" s="21"/>
      <c r="O30" s="21"/>
    </row>
    <row r="31" spans="1:15">
      <c r="A31" s="48" t="s">
        <v>728</v>
      </c>
      <c r="B31" s="298">
        <v>4.9099999999999998E-2</v>
      </c>
      <c r="C31" s="142">
        <f>Gdata!F81</f>
        <v>19939</v>
      </c>
      <c r="D31" s="143">
        <f>Gdata!F49</f>
        <v>23</v>
      </c>
      <c r="E31" s="208">
        <f>(D31/C31)/(Gdata!F$28/Gdata!F$60)</f>
        <v>1.0516630575576182</v>
      </c>
      <c r="F31" s="145">
        <f t="shared" si="0"/>
        <v>2.5366561260790556E-3</v>
      </c>
      <c r="G31" s="411">
        <f t="shared" si="1"/>
        <v>149.84701989299234</v>
      </c>
      <c r="H31" s="411">
        <f>G31*Gdata!F$28/1000</f>
        <v>887.84359286597953</v>
      </c>
      <c r="I31" s="21"/>
      <c r="J31" s="1074">
        <f>+H31-'Ut21'!H31</f>
        <v>-95.823470792437661</v>
      </c>
      <c r="K31" s="21"/>
      <c r="L31" s="21"/>
      <c r="M31" s="21"/>
      <c r="N31" s="21"/>
      <c r="O31" s="21"/>
    </row>
    <row r="32" spans="1:15">
      <c r="A32" s="48" t="s">
        <v>727</v>
      </c>
      <c r="B32" s="298">
        <v>4.5900000000000003E-2</v>
      </c>
      <c r="C32" s="142">
        <f>Gdata!F82</f>
        <v>377824</v>
      </c>
      <c r="D32" s="143">
        <f>Gdata!F50</f>
        <v>547</v>
      </c>
      <c r="E32" s="208">
        <f>(D32/C32)/(Gdata!F$28/Gdata!F$60)</f>
        <v>1.3199270845729436</v>
      </c>
      <c r="F32" s="145">
        <f t="shared" si="0"/>
        <v>1.4684653181898114E-2</v>
      </c>
      <c r="G32" s="411">
        <f t="shared" si="1"/>
        <v>867.46149580426106</v>
      </c>
      <c r="H32" s="411">
        <f>G32*Gdata!F$28/1000</f>
        <v>5139.7093626402466</v>
      </c>
      <c r="I32" s="21"/>
      <c r="J32" s="1074">
        <f>+H32-'Ut21'!H32</f>
        <v>-148.62894266782132</v>
      </c>
      <c r="K32" s="21"/>
      <c r="L32" s="21"/>
      <c r="M32" s="21"/>
      <c r="N32" s="21"/>
      <c r="O32" s="21"/>
    </row>
    <row r="33" spans="1:15">
      <c r="A33" s="48" t="s">
        <v>1002</v>
      </c>
      <c r="B33" s="298">
        <v>1.6500000000000001E-2</v>
      </c>
      <c r="C33" s="142">
        <f>Gdata!F83</f>
        <v>38895.041199999985</v>
      </c>
      <c r="D33" s="143">
        <f>Gdata!F51</f>
        <v>33.583300000000001</v>
      </c>
      <c r="E33" s="208">
        <f>(D33/C33)/(Gdata!F$28/Gdata!F$60)</f>
        <v>0.78719311859653696</v>
      </c>
      <c r="F33" s="145">
        <f t="shared" si="0"/>
        <v>-3.5113135431571402E-3</v>
      </c>
      <c r="G33" s="411">
        <f t="shared" si="1"/>
        <v>-207.42262419514228</v>
      </c>
      <c r="H33" s="411">
        <f>G33*Gdata!F$28/1000</f>
        <v>-1228.9790483562181</v>
      </c>
      <c r="I33" s="21"/>
      <c r="J33" s="1074">
        <f>+H33-'Ut21'!H33</f>
        <v>1097.6694631932444</v>
      </c>
      <c r="K33" s="21"/>
      <c r="L33" s="21"/>
      <c r="M33" s="21"/>
      <c r="N33" s="21"/>
      <c r="O33" s="21"/>
    </row>
    <row r="34" spans="1:15">
      <c r="A34" s="48" t="s">
        <v>161</v>
      </c>
      <c r="B34" s="298">
        <v>1.8100000000000002E-2</v>
      </c>
      <c r="C34" s="142">
        <f>Gdata!F84</f>
        <v>1496396</v>
      </c>
      <c r="D34" s="143">
        <f>Gdata!F52</f>
        <v>951</v>
      </c>
      <c r="E34" s="208">
        <f>(D34/C34)/(Gdata!F$28/Gdata!F$60)</f>
        <v>0.57941019707739316</v>
      </c>
      <c r="F34" s="145">
        <f t="shared" si="0"/>
        <v>-7.6126754328991846E-3</v>
      </c>
      <c r="G34" s="411">
        <f t="shared" si="1"/>
        <v>-449.70097259331351</v>
      </c>
      <c r="H34" s="411">
        <f>G34*Gdata!F$28/1000</f>
        <v>-2664.4782626153828</v>
      </c>
      <c r="I34" s="21"/>
      <c r="J34" s="1074">
        <f>+H34-'Ut21'!H34</f>
        <v>-98.442735145719325</v>
      </c>
      <c r="K34" s="21"/>
      <c r="L34" s="21"/>
      <c r="M34" s="21"/>
      <c r="N34" s="21"/>
      <c r="O34" s="21"/>
    </row>
    <row r="35" spans="1:15" s="19" customFormat="1" ht="14" thickBot="1">
      <c r="A35" s="146" t="s">
        <v>760</v>
      </c>
      <c r="B35" s="300">
        <f>SUM(B11:B34)</f>
        <v>1.0000000000000002</v>
      </c>
      <c r="C35" s="301"/>
      <c r="D35" s="302"/>
      <c r="E35" s="151">
        <f>B11*E11+B12*E12+B13*E13+B14*E14+B15*E15+B16*E16+B17*E17+B18*E18+B19*E19+B20*E20+B21*E21+B22*E22+B23*E23+B24*E24+B25*E25+B34*E34+B26*E26+B27*E27+B28*E28+B29*E29+B30*E30+B31*E31+B32*E32+B33*E33</f>
        <v>1.1114531914513148</v>
      </c>
      <c r="F35" s="147">
        <f t="shared" si="0"/>
        <v>0.11145319145131485</v>
      </c>
      <c r="G35" s="412">
        <f>SUM(G11:G34)</f>
        <v>6583.8362657210018</v>
      </c>
      <c r="H35" s="412">
        <f>SUM(H11:H34)</f>
        <v>39009.22987439693</v>
      </c>
      <c r="I35" s="27"/>
      <c r="J35" s="412">
        <f>SUM(J11:J34)</f>
        <v>8179.9663144148344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761</v>
      </c>
      <c r="B38" s="23"/>
      <c r="C38" s="23"/>
      <c r="D38" s="23"/>
      <c r="E38" s="23"/>
      <c r="F38" s="23"/>
      <c r="G38" s="344">
        <f>G35*Gdata!F28/1000</f>
        <v>39009.229874396937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Bregn!G90</f>
        <v>3432.33227343</v>
      </c>
      <c r="H40" s="413"/>
      <c r="I40" s="21"/>
      <c r="J40" s="21"/>
      <c r="K40" s="21"/>
      <c r="L40" s="21"/>
      <c r="M40" s="21"/>
      <c r="N40" s="21"/>
      <c r="O40" s="21"/>
    </row>
    <row r="41" spans="1:15" s="20" customFormat="1" ht="13.5" thickBot="1">
      <c r="A41" s="144" t="s">
        <v>763</v>
      </c>
      <c r="B41" s="144"/>
      <c r="C41" s="144"/>
      <c r="D41" s="144"/>
      <c r="E41" s="144"/>
      <c r="F41" s="144"/>
      <c r="G41" s="353">
        <f>G38+G40</f>
        <v>42441.562147826939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Bregn!G87</f>
        <v>59072.6580368672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zoomScaleNormal="100" workbookViewId="0">
      <selection activeCell="B16" sqref="B16"/>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2023</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2023</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1456</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Gdata!G61</f>
        <v>109740</v>
      </c>
      <c r="D11" s="143">
        <f>Gdata!G29</f>
        <v>100</v>
      </c>
      <c r="E11" s="1224">
        <f>(D11/C11)/(Gdata!G$28/Gdata!G$60)</f>
        <v>0.84478536508398072</v>
      </c>
      <c r="F11" s="145">
        <f t="shared" ref="F11:F35" si="0">(E11-1)*B11</f>
        <v>-8.8472341902130997E-4</v>
      </c>
      <c r="G11" s="411">
        <f t="shared" ref="G11:G34" si="1">G$43*B11*(E11-1)</f>
        <v>-55.612612694326913</v>
      </c>
      <c r="H11" s="411">
        <f>G11*Gdata!G$28/1000</f>
        <v>-327.28022570611392</v>
      </c>
      <c r="I11" s="21"/>
      <c r="J11" s="1074">
        <f>+H11-'Ut22'!H11</f>
        <v>180.47576090508909</v>
      </c>
      <c r="K11" s="21"/>
      <c r="L11" s="298"/>
      <c r="M11" s="1231"/>
      <c r="N11" s="21"/>
      <c r="O11" s="21"/>
    </row>
    <row r="12" spans="1:15">
      <c r="A12" s="305" t="s">
        <v>1005</v>
      </c>
      <c r="B12" s="298">
        <v>0.1361</v>
      </c>
      <c r="C12" s="142">
        <f>Gdata!G62</f>
        <v>228507</v>
      </c>
      <c r="D12" s="143">
        <f>Gdata!G30</f>
        <v>216</v>
      </c>
      <c r="E12" s="1224">
        <f>(D12/C12)/(Gdata!G$28/Gdata!G$60)</f>
        <v>0.8763257636874261</v>
      </c>
      <c r="F12" s="145">
        <f t="shared" si="0"/>
        <v>-1.6832063562141307E-2</v>
      </c>
      <c r="G12" s="411">
        <f t="shared" si="1"/>
        <v>-1058.0425606492399</v>
      </c>
      <c r="H12" s="411">
        <f>G12*Gdata!G$28/1000</f>
        <v>-6226.5804694207764</v>
      </c>
      <c r="I12" s="21"/>
      <c r="J12" s="1074">
        <f>+H12-'Ut22'!H12</f>
        <v>-2295.039724988409</v>
      </c>
      <c r="K12" s="21"/>
      <c r="L12" s="298"/>
      <c r="M12" s="1231"/>
      <c r="N12" s="21"/>
      <c r="O12" s="21"/>
    </row>
    <row r="13" spans="1:15">
      <c r="A13" s="48" t="s">
        <v>777</v>
      </c>
      <c r="B13" s="298">
        <v>0.26450000000000001</v>
      </c>
      <c r="C13" s="142">
        <f>Gdata!G63</f>
        <v>643155</v>
      </c>
      <c r="D13" s="143">
        <f>Gdata!G31</f>
        <v>662</v>
      </c>
      <c r="E13" s="1224">
        <f>(D13/C13)/(Gdata!G$28/Gdata!G$60)</f>
        <v>0.95423134125330955</v>
      </c>
      <c r="F13" s="145">
        <f t="shared" si="0"/>
        <v>-1.2105810238499624E-2</v>
      </c>
      <c r="G13" s="411">
        <f t="shared" si="1"/>
        <v>-760.95616061507371</v>
      </c>
      <c r="H13" s="411">
        <f>G13*Gdata!G$28/1000</f>
        <v>-4478.2270052197091</v>
      </c>
      <c r="I13" s="21"/>
      <c r="J13" s="1074">
        <f>+H13-'Ut22'!H13</f>
        <v>632.60301849351254</v>
      </c>
      <c r="K13" s="21"/>
      <c r="L13" s="298"/>
      <c r="M13" s="1231"/>
      <c r="N13" s="21"/>
      <c r="O13" s="21"/>
    </row>
    <row r="14" spans="1:15">
      <c r="A14" s="48" t="s">
        <v>163</v>
      </c>
      <c r="B14" s="298">
        <v>2.3599999999999999E-2</v>
      </c>
      <c r="C14" s="142">
        <f>Gdata!G64</f>
        <v>453296</v>
      </c>
      <c r="D14" s="143">
        <f>Gdata!G32</f>
        <v>485</v>
      </c>
      <c r="E14" s="1224">
        <f>(D14/C14)/(Gdata!G$28/Gdata!G$60)</f>
        <v>0.99190753487110594</v>
      </c>
      <c r="F14" s="145">
        <f t="shared" si="0"/>
        <v>-1.9098217704189969E-4</v>
      </c>
      <c r="G14" s="411">
        <f t="shared" si="1"/>
        <v>-12.004901887981692</v>
      </c>
      <c r="H14" s="411">
        <f>G14*Gdata!G$28/1000</f>
        <v>-70.648847610772251</v>
      </c>
      <c r="I14" s="21"/>
      <c r="J14" s="1074">
        <f>+H14-'Ut22'!H14</f>
        <v>115.00815485702036</v>
      </c>
      <c r="K14" s="21"/>
      <c r="L14" s="298"/>
      <c r="M14" s="1231"/>
      <c r="N14" s="21"/>
      <c r="O14" s="21"/>
    </row>
    <row r="15" spans="1:15">
      <c r="A15" s="48" t="s">
        <v>158</v>
      </c>
      <c r="B15" s="298">
        <v>0.10489999999999999</v>
      </c>
      <c r="C15" s="142">
        <f>Gdata!G65</f>
        <v>3138464</v>
      </c>
      <c r="D15" s="143">
        <f>Gdata!G33</f>
        <v>3070</v>
      </c>
      <c r="E15" s="1224">
        <f>(D15/C15)/(Gdata!G$28/Gdata!G$60)</f>
        <v>0.90684395331745171</v>
      </c>
      <c r="F15" s="145">
        <f t="shared" si="0"/>
        <v>-9.7720692969993153E-3</v>
      </c>
      <c r="G15" s="411">
        <f t="shared" si="1"/>
        <v>-614.26011039395416</v>
      </c>
      <c r="H15" s="411">
        <f>G15*Gdata!G$28/1000</f>
        <v>-3614.9207496684203</v>
      </c>
      <c r="I15" s="21"/>
      <c r="J15" s="1074">
        <f>+H15-'Ut22'!H15</f>
        <v>-545.7918845600816</v>
      </c>
      <c r="K15" s="21"/>
      <c r="L15" s="298"/>
      <c r="M15" s="1231"/>
      <c r="N15" s="21"/>
      <c r="O15" s="21"/>
    </row>
    <row r="16" spans="1:15">
      <c r="A16" s="48" t="s">
        <v>723</v>
      </c>
      <c r="B16" s="298">
        <v>5.67E-2</v>
      </c>
      <c r="C16" s="142">
        <f>Gdata!G66</f>
        <v>639203</v>
      </c>
      <c r="D16" s="143">
        <f>Gdata!G34</f>
        <v>960</v>
      </c>
      <c r="E16" s="1224">
        <f>(D16/C16)/(Gdata!G$28/Gdata!G$60)</f>
        <v>1.3923350817462279</v>
      </c>
      <c r="F16" s="145">
        <f t="shared" si="0"/>
        <v>2.2245399135011123E-2</v>
      </c>
      <c r="G16" s="411">
        <f t="shared" si="1"/>
        <v>1398.3180954954357</v>
      </c>
      <c r="H16" s="411">
        <f>G16*Gdata!G$28/1000</f>
        <v>8229.1019919906394</v>
      </c>
      <c r="I16" s="21"/>
      <c r="J16" s="1074">
        <f>+H16-'Ut22'!H16</f>
        <v>667.22441692105986</v>
      </c>
      <c r="K16" s="21"/>
      <c r="L16" s="298"/>
      <c r="M16" s="1231"/>
      <c r="N16" s="21"/>
      <c r="O16" s="21"/>
    </row>
    <row r="17" spans="1:15">
      <c r="A17" s="48" t="s">
        <v>724</v>
      </c>
      <c r="B17" s="298">
        <v>7.6700000000000004E-2</v>
      </c>
      <c r="C17" s="142">
        <f>Gdata!G67</f>
        <v>196967</v>
      </c>
      <c r="D17" s="143">
        <f>Gdata!G35</f>
        <v>316</v>
      </c>
      <c r="E17" s="1224">
        <f>(D17/C17)/(Gdata!G$28/Gdata!G$60)</f>
        <v>1.4873218216616932</v>
      </c>
      <c r="F17" s="145">
        <f t="shared" si="0"/>
        <v>3.7377583721451876E-2</v>
      </c>
      <c r="G17" s="411">
        <f t="shared" si="1"/>
        <v>2349.5083799752042</v>
      </c>
      <c r="H17" s="411">
        <f>G17*Gdata!G$28/1000</f>
        <v>13826.856816154077</v>
      </c>
      <c r="I17" s="21"/>
      <c r="J17" s="1074">
        <f>+H17-'Ut22'!H17</f>
        <v>401.1612922229524</v>
      </c>
      <c r="K17" s="21"/>
      <c r="L17" s="298"/>
      <c r="M17" s="1231"/>
      <c r="N17" s="21"/>
      <c r="O17" s="21"/>
    </row>
    <row r="18" spans="1:15">
      <c r="A18" s="48" t="s">
        <v>725</v>
      </c>
      <c r="B18" s="298">
        <v>3.85E-2</v>
      </c>
      <c r="C18" s="142">
        <f>Gdata!G68</f>
        <v>46460</v>
      </c>
      <c r="D18" s="143">
        <f>Gdata!G36</f>
        <v>76</v>
      </c>
      <c r="E18" s="1224">
        <f>(D18/C18)/(Gdata!G$28/Gdata!G$60)</f>
        <v>1.5165115568850667</v>
      </c>
      <c r="F18" s="145">
        <f t="shared" si="0"/>
        <v>1.9885694940075065E-2</v>
      </c>
      <c r="G18" s="411">
        <f t="shared" si="1"/>
        <v>1249.9900274859731</v>
      </c>
      <c r="H18" s="411">
        <f>G18*Gdata!G$28/1000</f>
        <v>7356.1913117549511</v>
      </c>
      <c r="I18" s="21"/>
      <c r="J18" s="1074">
        <f>+H18-'Ut22'!H18</f>
        <v>1442.4970738771626</v>
      </c>
      <c r="K18" s="21"/>
      <c r="L18" s="298"/>
      <c r="M18" s="1231"/>
      <c r="N18" s="21"/>
      <c r="O18" s="21"/>
    </row>
    <row r="19" spans="1:15">
      <c r="A19" s="48" t="s">
        <v>729</v>
      </c>
      <c r="B19" s="298">
        <v>1.5900000000000001E-2</v>
      </c>
      <c r="C19" s="142">
        <f>Gdata!G69</f>
        <v>274.56015800000011</v>
      </c>
      <c r="D19" s="299">
        <f>Gdata!G37</f>
        <v>0.87415852999999999</v>
      </c>
      <c r="E19" s="1224">
        <f>(D19/C19)/(Gdata!G$28/Gdata!G$60)</f>
        <v>2.9516443086126833</v>
      </c>
      <c r="F19" s="145">
        <f t="shared" si="0"/>
        <v>3.1031144506941666E-2</v>
      </c>
      <c r="G19" s="411">
        <f t="shared" si="1"/>
        <v>1950.5791118711988</v>
      </c>
      <c r="H19" s="411">
        <f>G19*Gdata!G$28/1000</f>
        <v>11479.158073362007</v>
      </c>
      <c r="I19" s="21"/>
      <c r="J19" s="1074">
        <f>+H19-'Ut22'!H19</f>
        <v>973.38135598860026</v>
      </c>
      <c r="K19" s="21"/>
      <c r="L19" s="298"/>
      <c r="M19" s="1231"/>
      <c r="N19" s="21"/>
      <c r="O19" s="21"/>
    </row>
    <row r="20" spans="1:15">
      <c r="A20" s="48" t="s">
        <v>348</v>
      </c>
      <c r="B20" s="298">
        <v>0.01</v>
      </c>
      <c r="C20" s="142">
        <f>Gdata!G70</f>
        <v>21404993.032999922</v>
      </c>
      <c r="D20" s="143">
        <f>Gdata!G38</f>
        <v>108674.414</v>
      </c>
      <c r="E20" s="1224">
        <f>(D20/C20)/(Gdata!G$28/Gdata!G$60)</f>
        <v>4.7067762535528912</v>
      </c>
      <c r="F20" s="145">
        <f t="shared" si="0"/>
        <v>3.706776253552891E-2</v>
      </c>
      <c r="G20" s="411">
        <f t="shared" si="1"/>
        <v>2330.0334059360966</v>
      </c>
      <c r="H20" s="411">
        <f>G20*Gdata!G$28/1000</f>
        <v>13712.246593933929</v>
      </c>
      <c r="I20" s="21"/>
      <c r="J20" s="1074">
        <f>+H20-'Ut22'!H20</f>
        <v>625.04863971811392</v>
      </c>
      <c r="K20" s="21"/>
      <c r="L20" s="298"/>
      <c r="M20" s="1231"/>
      <c r="N20" s="21"/>
      <c r="O20" s="21"/>
    </row>
    <row r="21" spans="1:15">
      <c r="A21" s="48" t="s">
        <v>347</v>
      </c>
      <c r="B21" s="298">
        <v>0.01</v>
      </c>
      <c r="C21" s="142">
        <f>Gdata!G71</f>
        <v>9740388.0300000217</v>
      </c>
      <c r="D21" s="143">
        <f>Gdata!G39</f>
        <v>20309.210666669998</v>
      </c>
      <c r="E21" s="1224">
        <f>(D21/C21)/(Gdata!G$28/Gdata!G$60)</f>
        <v>1.9329833967720784</v>
      </c>
      <c r="F21" s="145">
        <f t="shared" si="0"/>
        <v>9.3298339677207846E-3</v>
      </c>
      <c r="G21" s="411">
        <f t="shared" si="1"/>
        <v>586.46174815084657</v>
      </c>
      <c r="H21" s="411">
        <f>G21*Gdata!G$28/1000</f>
        <v>3451.3273878677319</v>
      </c>
      <c r="I21" s="21"/>
      <c r="J21" s="1074">
        <f>+H21-'Ut22'!H21</f>
        <v>201.09712656195234</v>
      </c>
      <c r="K21" s="21"/>
      <c r="L21" s="298"/>
      <c r="M21" s="1231"/>
      <c r="N21" s="21"/>
      <c r="O21" s="21"/>
    </row>
    <row r="22" spans="1:15">
      <c r="A22" s="48" t="s">
        <v>746</v>
      </c>
      <c r="B22" s="298">
        <v>2.0999999999999999E-3</v>
      </c>
      <c r="C22" s="142">
        <f>Gdata!G72</f>
        <v>1.0000000000000004</v>
      </c>
      <c r="D22" s="299">
        <f>Gdata!G40</f>
        <v>3.9778098558009307E-3</v>
      </c>
      <c r="E22" s="1224">
        <f>(D22/C22)/(Gdata!G$28/Gdata!G$60)</f>
        <v>3.6876980779608939</v>
      </c>
      <c r="F22" s="145">
        <f t="shared" si="0"/>
        <v>5.6441659637178768E-3</v>
      </c>
      <c r="G22" s="411">
        <f t="shared" si="1"/>
        <v>354.78524584549768</v>
      </c>
      <c r="H22" s="411">
        <f>G22*Gdata!G$28/1000</f>
        <v>2087.9111718007539</v>
      </c>
      <c r="I22" s="21"/>
      <c r="J22" s="1074">
        <f>+H22-'Ut22'!H22</f>
        <v>102.266326451846</v>
      </c>
      <c r="K22" s="21"/>
      <c r="L22" s="298"/>
      <c r="M22" s="1231"/>
      <c r="N22" s="21"/>
      <c r="O22" s="21"/>
    </row>
    <row r="23" spans="1:15">
      <c r="A23" s="305" t="s">
        <v>1008</v>
      </c>
      <c r="B23" s="298">
        <v>7.1000000000000004E-3</v>
      </c>
      <c r="C23" s="142">
        <f>Gdata!G73</f>
        <v>48588</v>
      </c>
      <c r="D23" s="143">
        <f>Gdata!G41</f>
        <v>43</v>
      </c>
      <c r="E23" s="1224">
        <f>(D23/C23)/(Gdata!G$28/Gdata!G$60)</f>
        <v>0.82044745131834818</v>
      </c>
      <c r="F23" s="145">
        <f t="shared" si="0"/>
        <v>-1.2748230956397279E-3</v>
      </c>
      <c r="G23" s="411">
        <f t="shared" si="1"/>
        <v>-80.133792716848419</v>
      </c>
      <c r="H23" s="411">
        <f>G23*Gdata!G$28/1000</f>
        <v>-471.587370138653</v>
      </c>
      <c r="I23" s="21"/>
      <c r="J23" s="1074">
        <f>+H23-'Ut22'!H23</f>
        <v>172.85648367349881</v>
      </c>
      <c r="K23" s="21"/>
      <c r="L23" s="298"/>
      <c r="M23" s="1231"/>
      <c r="N23" s="21"/>
      <c r="O23" s="21"/>
    </row>
    <row r="24" spans="1:15">
      <c r="A24" s="305" t="s">
        <v>991</v>
      </c>
      <c r="B24" s="1142">
        <v>8.3999999999999995E-3</v>
      </c>
      <c r="C24" s="142">
        <f>Gdata!G74</f>
        <v>177205.5</v>
      </c>
      <c r="D24" s="143">
        <f>Gdata!G42</f>
        <v>70</v>
      </c>
      <c r="E24" s="1224">
        <f>(D24/C24)/(Gdata!G$28/Gdata!G$60)</f>
        <v>0.36621167049003128</v>
      </c>
      <c r="F24" s="145">
        <f t="shared" si="0"/>
        <v>-5.3238219678837361E-3</v>
      </c>
      <c r="G24" s="411">
        <f t="shared" si="1"/>
        <v>-334.64882107561374</v>
      </c>
      <c r="H24" s="411">
        <f>G24*Gdata!G$28/1000</f>
        <v>-1969.408312029987</v>
      </c>
      <c r="I24" s="21"/>
      <c r="J24" s="1074">
        <f>+H24-'Ut22'!H24</f>
        <v>5.5052468645133104</v>
      </c>
      <c r="K24" s="21"/>
      <c r="L24" s="298"/>
      <c r="M24" s="1231"/>
      <c r="N24" s="21"/>
      <c r="O24" s="21"/>
    </row>
    <row r="25" spans="1:15">
      <c r="A25" s="48" t="s">
        <v>726</v>
      </c>
      <c r="B25" s="1142">
        <v>4.5400000000000003E-2</v>
      </c>
      <c r="C25" s="142">
        <f>Gdata!G75</f>
        <v>40709</v>
      </c>
      <c r="D25" s="143">
        <f>Gdata!G43</f>
        <v>42</v>
      </c>
      <c r="E25" s="1224">
        <f>(D25/C25)/(Gdata!G$28/Gdata!G$60)</f>
        <v>0.95646744712502729</v>
      </c>
      <c r="F25" s="145">
        <f t="shared" si="0"/>
        <v>-1.9763779005237611E-3</v>
      </c>
      <c r="G25" s="411">
        <f t="shared" si="1"/>
        <v>-124.23265435998084</v>
      </c>
      <c r="H25" s="411">
        <f>G25*Gdata!G$28/1000</f>
        <v>-731.10917090848727</v>
      </c>
      <c r="I25" s="21"/>
      <c r="J25" s="1074">
        <f>+H25-'Ut22'!H25</f>
        <v>-590.50737344517222</v>
      </c>
      <c r="K25" s="21"/>
      <c r="L25" s="298"/>
      <c r="M25" s="1231"/>
      <c r="N25" s="21"/>
      <c r="O25" s="21"/>
    </row>
    <row r="26" spans="1:15">
      <c r="A26" s="48" t="s">
        <v>159</v>
      </c>
      <c r="B26" s="1142">
        <v>1.8800000000000001E-2</v>
      </c>
      <c r="C26" s="142">
        <f>Gdata!G76</f>
        <v>107249</v>
      </c>
      <c r="D26" s="143">
        <f>Gdata!G44</f>
        <v>126</v>
      </c>
      <c r="E26" s="1224">
        <f>(D26/C26)/(Gdata!G$28/Gdata!G$60)</f>
        <v>1.0891523456166325</v>
      </c>
      <c r="F26" s="145">
        <f t="shared" si="0"/>
        <v>1.6760640975926919E-3</v>
      </c>
      <c r="G26" s="411">
        <f t="shared" si="1"/>
        <v>105.35530257964587</v>
      </c>
      <c r="H26" s="411">
        <f>G26*Gdata!G$28/1000</f>
        <v>620.01595568121593</v>
      </c>
      <c r="I26" s="21"/>
      <c r="J26" s="1074">
        <f>+H26-'Ut22'!H26</f>
        <v>-464.45122004662221</v>
      </c>
      <c r="K26" s="21"/>
      <c r="L26" s="298"/>
      <c r="M26" s="1231"/>
      <c r="N26" s="21"/>
      <c r="O26" s="21"/>
    </row>
    <row r="27" spans="1:15">
      <c r="A27" s="305" t="s">
        <v>1011</v>
      </c>
      <c r="B27" s="1142">
        <v>1.18E-2</v>
      </c>
      <c r="C27" s="142">
        <f>Gdata!G77</f>
        <v>285349</v>
      </c>
      <c r="D27" s="143">
        <f>Gdata!G45</f>
        <v>205</v>
      </c>
      <c r="E27" s="1224">
        <f>(D27/C27)/(Gdata!G$28/Gdata!G$60)</f>
        <v>0.66602241194764267</v>
      </c>
      <c r="F27" s="145">
        <f t="shared" si="0"/>
        <v>-3.9409355390178161E-3</v>
      </c>
      <c r="G27" s="411">
        <f t="shared" si="1"/>
        <v>-247.72230176426172</v>
      </c>
      <c r="H27" s="411">
        <f>G27*Gdata!G$28/1000</f>
        <v>-1457.8457458826801</v>
      </c>
      <c r="I27" s="21"/>
      <c r="J27" s="1074">
        <f>+H27-'Ut22'!H27</f>
        <v>48.297162135323106</v>
      </c>
      <c r="K27" s="21"/>
      <c r="L27" s="298"/>
      <c r="M27" s="1231"/>
      <c r="N27" s="21"/>
      <c r="O27" s="21"/>
    </row>
    <row r="28" spans="1:15">
      <c r="A28" s="48" t="s">
        <v>759</v>
      </c>
      <c r="B28" s="1142">
        <v>6.4000000000000003E-3</v>
      </c>
      <c r="C28" s="142">
        <f>Gdata!G78</f>
        <v>121768</v>
      </c>
      <c r="D28" s="143">
        <f>Gdata!G46</f>
        <v>161</v>
      </c>
      <c r="E28" s="1224">
        <f>(D28/C28)/(Gdata!G$28/Gdata!G$60)</f>
        <v>1.2257560360895214</v>
      </c>
      <c r="F28" s="145">
        <f t="shared" si="0"/>
        <v>1.4448386309729372E-3</v>
      </c>
      <c r="G28" s="411">
        <f t="shared" si="1"/>
        <v>90.820757609180134</v>
      </c>
      <c r="H28" s="411">
        <f>G28*Gdata!G$28/1000</f>
        <v>534.48015853002505</v>
      </c>
      <c r="I28" s="21"/>
      <c r="J28" s="1074">
        <f>+H28-'Ut22'!H28</f>
        <v>44.339825801237453</v>
      </c>
      <c r="K28" s="21"/>
      <c r="L28" s="298"/>
      <c r="M28" s="1231"/>
      <c r="N28" s="21"/>
      <c r="O28" s="21"/>
    </row>
    <row r="29" spans="1:15">
      <c r="A29" s="48" t="s">
        <v>160</v>
      </c>
      <c r="B29" s="1142">
        <v>9.4999999999999998E-3</v>
      </c>
      <c r="C29" s="142">
        <f>Gdata!G79</f>
        <v>233.69029071</v>
      </c>
      <c r="D29" s="299">
        <f>Gdata!G47</f>
        <v>4.7872770000000002E-2</v>
      </c>
      <c r="E29" s="1224">
        <f>(D29/C29)/(Gdata!G$28/Gdata!G$60)</f>
        <v>0.18991498164147799</v>
      </c>
      <c r="F29" s="145">
        <f t="shared" si="0"/>
        <v>-7.6958076744059589E-3</v>
      </c>
      <c r="G29" s="411">
        <f t="shared" si="1"/>
        <v>-483.74888961366889</v>
      </c>
      <c r="H29" s="411">
        <f>G29*Gdata!G$28/1000</f>
        <v>-2846.8622153764413</v>
      </c>
      <c r="I29" s="21"/>
      <c r="J29" s="1074">
        <f>+H29-'Ut22'!H29</f>
        <v>-425.56311237698446</v>
      </c>
      <c r="K29" s="21"/>
      <c r="L29" s="298"/>
      <c r="M29" s="1231"/>
      <c r="N29" s="21"/>
      <c r="O29" s="21"/>
    </row>
    <row r="30" spans="1:15">
      <c r="A30" s="48" t="s">
        <v>1120</v>
      </c>
      <c r="B30" s="1142">
        <v>1.9300000000000001E-2</v>
      </c>
      <c r="C30" s="142">
        <f>+Gdata!G80</f>
        <v>515435</v>
      </c>
      <c r="D30" s="143">
        <f>+Gdata!G48</f>
        <v>488</v>
      </c>
      <c r="E30" s="1224">
        <f>(D30/C30)/(Gdata!G$28/Gdata!G$60)</f>
        <v>0.87772254562818264</v>
      </c>
      <c r="F30" s="145">
        <f t="shared" si="0"/>
        <v>-2.3599548693760751E-3</v>
      </c>
      <c r="G30" s="411">
        <f t="shared" si="1"/>
        <v>-148.34382509268849</v>
      </c>
      <c r="H30" s="411">
        <f>G30*Gdata!G$28/1000</f>
        <v>-873.00341067047168</v>
      </c>
      <c r="I30" s="21"/>
      <c r="J30" s="1074">
        <f>+H30-'Ut22'!H30</f>
        <v>64.27313952590157</v>
      </c>
      <c r="K30" s="21"/>
      <c r="L30" s="298"/>
      <c r="M30" s="1231"/>
      <c r="N30" s="21"/>
      <c r="O30" s="21"/>
    </row>
    <row r="31" spans="1:15">
      <c r="A31" s="48" t="s">
        <v>728</v>
      </c>
      <c r="B31" s="1142">
        <v>4.8599999999999997E-2</v>
      </c>
      <c r="C31" s="142">
        <f>Gdata!G81</f>
        <v>20146</v>
      </c>
      <c r="D31" s="143">
        <f>Gdata!G49</f>
        <v>24</v>
      </c>
      <c r="E31" s="1224">
        <f>(D31/C31)/(Gdata!G$28/Gdata!G$60)</f>
        <v>1.1044186950975803</v>
      </c>
      <c r="F31" s="145">
        <f t="shared" si="0"/>
        <v>5.0747485817424012E-3</v>
      </c>
      <c r="G31" s="411">
        <f t="shared" si="1"/>
        <v>318.99237810356561</v>
      </c>
      <c r="H31" s="411">
        <f>G31*Gdata!G$28/1000</f>
        <v>1877.2701451394837</v>
      </c>
      <c r="I31" s="21"/>
      <c r="J31" s="1074">
        <f>+H31-'Ut22'!H31</f>
        <v>989.42655227350417</v>
      </c>
      <c r="K31" s="21"/>
      <c r="L31" s="298"/>
      <c r="M31" s="1231"/>
      <c r="N31" s="21"/>
      <c r="O31" s="21"/>
    </row>
    <row r="32" spans="1:15">
      <c r="A32" s="48" t="s">
        <v>727</v>
      </c>
      <c r="B32" s="1142">
        <v>4.5400000000000003E-2</v>
      </c>
      <c r="C32" s="142">
        <f>Gdata!G82</f>
        <v>388016</v>
      </c>
      <c r="D32" s="143">
        <f>Gdata!G50</f>
        <v>572</v>
      </c>
      <c r="E32" s="1224">
        <f>(D32/C32)/(Gdata!G$28/Gdata!G$60)</f>
        <v>1.3666513414804744</v>
      </c>
      <c r="F32" s="145">
        <f t="shared" si="0"/>
        <v>1.6645970903213538E-2</v>
      </c>
      <c r="G32" s="411">
        <f t="shared" si="1"/>
        <v>1046.3450077827681</v>
      </c>
      <c r="H32" s="411">
        <f>G32*Gdata!G$28/1000</f>
        <v>6157.74037080159</v>
      </c>
      <c r="I32" s="21"/>
      <c r="J32" s="1074">
        <f>+H32-'Ut22'!H32</f>
        <v>1018.0310081613434</v>
      </c>
      <c r="K32" s="21"/>
      <c r="L32" s="298"/>
      <c r="M32" s="1231"/>
      <c r="N32" s="21"/>
      <c r="O32" s="21"/>
    </row>
    <row r="33" spans="1:15">
      <c r="A33" s="305" t="s">
        <v>1002</v>
      </c>
      <c r="B33" s="298">
        <v>1.6500000000000001E-2</v>
      </c>
      <c r="C33" s="142">
        <f>Gdata!G83</f>
        <v>41007.707449999973</v>
      </c>
      <c r="D33" s="143">
        <f>Gdata!G51</f>
        <v>27.875</v>
      </c>
      <c r="E33" s="1224">
        <f>(D33/C33)/(Gdata!G$28/Gdata!G$60)</f>
        <v>0.63017435122560395</v>
      </c>
      <c r="F33" s="145">
        <f t="shared" si="0"/>
        <v>-6.1021232047775353E-3</v>
      </c>
      <c r="G33" s="411">
        <f t="shared" si="1"/>
        <v>-383.57186789036967</v>
      </c>
      <c r="H33" s="411">
        <f>G33*Gdata!G$28/1000</f>
        <v>-2257.3204425348258</v>
      </c>
      <c r="I33" s="21"/>
      <c r="J33" s="1074">
        <f>+H33-'Ut22'!H33</f>
        <v>-1028.3413941786077</v>
      </c>
      <c r="K33" s="21"/>
      <c r="L33" s="298"/>
      <c r="M33" s="1231"/>
      <c r="N33" s="21"/>
      <c r="O33" s="21"/>
    </row>
    <row r="34" spans="1:15">
      <c r="A34" s="48" t="s">
        <v>161</v>
      </c>
      <c r="B34" s="298">
        <v>1.8100000000000002E-2</v>
      </c>
      <c r="C34" s="142">
        <f>Gdata!G84</f>
        <v>1533254</v>
      </c>
      <c r="D34" s="143">
        <f>Gdata!G52</f>
        <v>938</v>
      </c>
      <c r="E34" s="1224">
        <f>(D34/C34)/(Gdata!G$28/Gdata!G$60)</f>
        <v>0.56715278560844107</v>
      </c>
      <c r="F34" s="145">
        <f t="shared" si="0"/>
        <v>-7.834534580487218E-3</v>
      </c>
      <c r="G34" s="411">
        <f t="shared" si="1"/>
        <v>-492.46909022361058</v>
      </c>
      <c r="H34" s="411">
        <f>G34*Gdata!G$28/1000</f>
        <v>-2898.1805959659482</v>
      </c>
      <c r="I34" s="21"/>
      <c r="J34" s="1074">
        <f>+H34-'Ut22'!H34</f>
        <v>-233.70233335056537</v>
      </c>
      <c r="K34" s="21"/>
      <c r="L34" s="298"/>
      <c r="M34" s="1231"/>
      <c r="N34" s="21"/>
      <c r="O34" s="21"/>
    </row>
    <row r="35" spans="1:15" s="19" customFormat="1" ht="14" thickBot="1">
      <c r="A35" s="146" t="s">
        <v>760</v>
      </c>
      <c r="B35" s="300">
        <f>SUM(B11:B34)</f>
        <v>0.99999999999999978</v>
      </c>
      <c r="C35" s="301"/>
      <c r="D35" s="302"/>
      <c r="E35" s="151">
        <f>B11*E11+B12*E12+B13*E13+B14*E14+B15*E15+B16*E16+B17*E17+B18*E18+B19*E19+B20*E20+B21*E21+B22*E22+B23*E23+B24*E24+B25*E25+B34*E34+B26*E26+B27*E27+B28*E28+B29*E29+B30*E30+B31*E31+B32*E32+B33*E33</f>
        <v>1.1111291794581537</v>
      </c>
      <c r="F35" s="147">
        <f t="shared" si="0"/>
        <v>0.11112917945815368</v>
      </c>
      <c r="G35" s="412">
        <f>SUM(G11:G34)</f>
        <v>6985.4418718577926</v>
      </c>
      <c r="H35" s="412">
        <f>SUM(H11:H34)</f>
        <v>41109.325415883126</v>
      </c>
      <c r="I35" s="27"/>
      <c r="J35" s="412">
        <f>+H35-'Ut22'!H35</f>
        <v>2100.0955414861965</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G35*Gdata!G28/1000</f>
        <v>41109.325415883111</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Bregn!H90</f>
        <v>3791.8511677800002</v>
      </c>
      <c r="H40" s="413"/>
      <c r="I40" s="21"/>
      <c r="J40" s="21"/>
      <c r="K40" s="21"/>
      <c r="L40" s="21"/>
      <c r="M40" s="21"/>
      <c r="N40" s="21"/>
      <c r="O40" s="21"/>
    </row>
    <row r="41" spans="1:15" s="20" customFormat="1" ht="13.5" thickBot="1">
      <c r="A41" s="144" t="s">
        <v>763</v>
      </c>
      <c r="B41" s="144"/>
      <c r="C41" s="144"/>
      <c r="D41" s="144"/>
      <c r="E41" s="144"/>
      <c r="F41" s="144"/>
      <c r="G41" s="353">
        <f>G38+G40</f>
        <v>44901.176583663109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Bregn!H87</f>
        <v>62858.755062509998</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topLeftCell="A4" zoomScaleNormal="100" workbookViewId="0">
      <selection activeCell="B11" sqref="B11"/>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2024</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2024</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1973</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Gdata!H61</f>
        <v>109740</v>
      </c>
      <c r="D11" s="143">
        <f>Gdata!H29</f>
        <v>100</v>
      </c>
      <c r="E11" s="208">
        <f>(D11/C11)/(Gdata!H$28/Gdata!H$60)</f>
        <v>0.84478536508398072</v>
      </c>
      <c r="F11" s="145">
        <f>(E11-1)*B11</f>
        <v>-8.8472341902130997E-4</v>
      </c>
      <c r="G11" s="411">
        <f>G$43*B11*(E11-1)</f>
        <v>-55.943316016202957</v>
      </c>
      <c r="H11" s="411">
        <f>G11*Gdata!H$28/1000</f>
        <v>-329.22641475535443</v>
      </c>
      <c r="I11" s="21"/>
      <c r="J11" s="1074">
        <f>+H11-'Ut23'!H11</f>
        <v>-1.9461890492405018</v>
      </c>
      <c r="K11" s="21"/>
      <c r="L11" s="21"/>
      <c r="M11" s="21"/>
      <c r="N11" s="21"/>
      <c r="O11" s="21"/>
    </row>
    <row r="12" spans="1:15">
      <c r="A12" s="305" t="s">
        <v>1005</v>
      </c>
      <c r="B12" s="298">
        <v>0.13600000000000001</v>
      </c>
      <c r="C12" s="142">
        <f>Gdata!H62</f>
        <v>228507</v>
      </c>
      <c r="D12" s="143">
        <f>Gdata!H30</f>
        <v>216</v>
      </c>
      <c r="E12" s="208">
        <f>(D12/C12)/(Gdata!H$28/Gdata!H$60)</f>
        <v>0.8763257636874261</v>
      </c>
      <c r="F12" s="145">
        <f t="shared" ref="F12:F35" si="0">(E12-1)*B12</f>
        <v>-1.6819696138510053E-2</v>
      </c>
      <c r="G12" s="411">
        <f t="shared" ref="G12:G34" si="1">G$43*B12*(E12-1)</f>
        <v>-1063.5522425913223</v>
      </c>
      <c r="H12" s="411">
        <f>G12*Gdata!H$28/1000</f>
        <v>-6259.0049476499316</v>
      </c>
      <c r="I12" s="21"/>
      <c r="J12" s="1074">
        <f>+H12-'Ut23'!H12</f>
        <v>-32.424478229155284</v>
      </c>
      <c r="K12" s="21"/>
      <c r="L12" s="21"/>
      <c r="M12" s="21"/>
      <c r="N12" s="21"/>
      <c r="O12" s="21"/>
    </row>
    <row r="13" spans="1:15">
      <c r="A13" s="48" t="s">
        <v>777</v>
      </c>
      <c r="B13" s="298">
        <v>0.26440000000000002</v>
      </c>
      <c r="C13" s="142">
        <f>Gdata!H63</f>
        <v>643155</v>
      </c>
      <c r="D13" s="143">
        <f>Gdata!H31</f>
        <v>662</v>
      </c>
      <c r="E13" s="208">
        <f>(D13/C13)/(Gdata!H$28/Gdata!H$60)</f>
        <v>0.95423134125330955</v>
      </c>
      <c r="F13" s="145">
        <f t="shared" si="0"/>
        <v>-1.2101233372624956E-2</v>
      </c>
      <c r="G13" s="411">
        <f t="shared" si="1"/>
        <v>-765.19181949480321</v>
      </c>
      <c r="H13" s="411">
        <f>G13*Gdata!H$28/1000</f>
        <v>-4503.1538577269166</v>
      </c>
      <c r="I13" s="21"/>
      <c r="J13" s="1074">
        <f>+H13-'Ut23'!H13</f>
        <v>-24.926852507207514</v>
      </c>
      <c r="K13" s="21"/>
      <c r="L13" s="21"/>
      <c r="M13" s="21"/>
      <c r="N13" s="21"/>
      <c r="O13" s="21"/>
    </row>
    <row r="14" spans="1:15">
      <c r="A14" s="48" t="s">
        <v>163</v>
      </c>
      <c r="B14" s="298">
        <v>2.3699999999999999E-2</v>
      </c>
      <c r="C14" s="142">
        <f>Gdata!H64</f>
        <v>453296</v>
      </c>
      <c r="D14" s="143">
        <f>Gdata!H32</f>
        <v>485</v>
      </c>
      <c r="E14" s="208">
        <f>(D14/C14)/(Gdata!H$28/Gdata!H$60)</f>
        <v>0.99190753487110594</v>
      </c>
      <c r="F14" s="145">
        <f t="shared" si="0"/>
        <v>-1.9179142355478911E-4</v>
      </c>
      <c r="G14" s="411">
        <f t="shared" si="1"/>
        <v>-12.127460386424518</v>
      </c>
      <c r="H14" s="411">
        <f>G14*Gdata!H$28/1000</f>
        <v>-71.37010437410828</v>
      </c>
      <c r="I14" s="21"/>
      <c r="J14" s="1074">
        <f>+H14-'Ut23'!H14</f>
        <v>-0.72125676333602939</v>
      </c>
      <c r="K14" s="21"/>
      <c r="L14" s="21"/>
      <c r="M14" s="21"/>
      <c r="N14" s="21"/>
      <c r="O14" s="21"/>
    </row>
    <row r="15" spans="1:15">
      <c r="A15" s="48" t="s">
        <v>158</v>
      </c>
      <c r="B15" s="298">
        <v>0.105</v>
      </c>
      <c r="C15" s="142">
        <f>Gdata!H65</f>
        <v>3138464</v>
      </c>
      <c r="D15" s="143">
        <f>Gdata!H33</f>
        <v>3070</v>
      </c>
      <c r="E15" s="208">
        <f>(D15/C15)/(Gdata!H$28/Gdata!H$60)</f>
        <v>0.90684395331745171</v>
      </c>
      <c r="F15" s="145">
        <f t="shared" si="0"/>
        <v>-9.7813849016675693E-3</v>
      </c>
      <c r="G15" s="411">
        <f t="shared" si="1"/>
        <v>-618.50188981707618</v>
      </c>
      <c r="H15" s="411">
        <f>G15*Gdata!H$28/1000</f>
        <v>-3639.8836215734932</v>
      </c>
      <c r="I15" s="21"/>
      <c r="J15" s="1074">
        <f>+H15-'Ut23'!H15</f>
        <v>-24.962871905072916</v>
      </c>
      <c r="K15" s="21"/>
      <c r="L15" s="21"/>
      <c r="M15" s="21"/>
      <c r="N15" s="21"/>
      <c r="O15" s="21"/>
    </row>
    <row r="16" spans="1:15">
      <c r="A16" s="48" t="s">
        <v>723</v>
      </c>
      <c r="B16" s="298">
        <v>5.6800000000000003E-2</v>
      </c>
      <c r="C16" s="142">
        <f>Gdata!H66</f>
        <v>639203</v>
      </c>
      <c r="D16" s="143">
        <f>Gdata!H34</f>
        <v>960</v>
      </c>
      <c r="E16" s="208">
        <f>(D16/C16)/(Gdata!H$28/Gdata!H$60)</f>
        <v>1.3923350817462279</v>
      </c>
      <c r="F16" s="145">
        <f t="shared" si="0"/>
        <v>2.2284632643185746E-2</v>
      </c>
      <c r="G16" s="411">
        <f t="shared" si="1"/>
        <v>1409.1141021697133</v>
      </c>
      <c r="H16" s="411">
        <f>G16*Gdata!H$28/1000</f>
        <v>8292.6364912687623</v>
      </c>
      <c r="I16" s="21"/>
      <c r="J16" s="1074">
        <f>+H16-'Ut23'!H16</f>
        <v>63.534499278122894</v>
      </c>
      <c r="K16" s="21"/>
      <c r="L16" s="21"/>
      <c r="M16" s="21"/>
      <c r="N16" s="21"/>
      <c r="O16" s="21"/>
    </row>
    <row r="17" spans="1:15">
      <c r="A17" s="48" t="s">
        <v>724</v>
      </c>
      <c r="B17" s="298">
        <v>7.6700000000000004E-2</v>
      </c>
      <c r="C17" s="142">
        <f>Gdata!H67</f>
        <v>196967</v>
      </c>
      <c r="D17" s="143">
        <f>Gdata!H35</f>
        <v>316</v>
      </c>
      <c r="E17" s="208">
        <f>(D17/C17)/(Gdata!H$28/Gdata!H$60)</f>
        <v>1.4873218216616932</v>
      </c>
      <c r="F17" s="145">
        <f t="shared" si="0"/>
        <v>3.7377583721451876E-2</v>
      </c>
      <c r="G17" s="411">
        <f t="shared" si="1"/>
        <v>2363.4798549408579</v>
      </c>
      <c r="H17" s="411">
        <f>G17*Gdata!H$28/1000</f>
        <v>13909.078946326948</v>
      </c>
      <c r="I17" s="21"/>
      <c r="J17" s="1074">
        <f>+H17-'Ut23'!H17</f>
        <v>82.222130172871402</v>
      </c>
      <c r="K17" s="21"/>
      <c r="L17" s="21"/>
      <c r="M17" s="21"/>
      <c r="N17" s="21"/>
      <c r="O17" s="21"/>
    </row>
    <row r="18" spans="1:15">
      <c r="A18" s="48" t="s">
        <v>725</v>
      </c>
      <c r="B18" s="298">
        <v>3.85E-2</v>
      </c>
      <c r="C18" s="142">
        <f>Gdata!H68</f>
        <v>46460</v>
      </c>
      <c r="D18" s="143">
        <f>Gdata!H36</f>
        <v>76</v>
      </c>
      <c r="E18" s="208">
        <f>(D18/C18)/(Gdata!H$28/Gdata!H$60)</f>
        <v>1.5165115568850667</v>
      </c>
      <c r="F18" s="145">
        <f t="shared" si="0"/>
        <v>1.9885694940075065E-2</v>
      </c>
      <c r="G18" s="411">
        <f t="shared" si="1"/>
        <v>1257.4231588274843</v>
      </c>
      <c r="H18" s="411">
        <f>G18*Gdata!H$28/1000</f>
        <v>7399.9352896997443</v>
      </c>
      <c r="I18" s="21"/>
      <c r="J18" s="1074">
        <f>+H18-'Ut23'!H18</f>
        <v>43.743977944793187</v>
      </c>
      <c r="K18" s="21"/>
      <c r="L18" s="21"/>
      <c r="M18" s="21"/>
      <c r="N18" s="21"/>
      <c r="O18" s="21"/>
    </row>
    <row r="19" spans="1:15">
      <c r="A19" s="48" t="s">
        <v>729</v>
      </c>
      <c r="B19" s="298">
        <v>1.5900000000000001E-2</v>
      </c>
      <c r="C19" s="142">
        <f>Gdata!H69</f>
        <v>274.56015800000011</v>
      </c>
      <c r="D19" s="299">
        <f>Gdata!H37</f>
        <v>0.87415852999999999</v>
      </c>
      <c r="E19" s="208">
        <f>(D19/C19)/(Gdata!H$28/Gdata!H$60)</f>
        <v>2.9516443086126833</v>
      </c>
      <c r="F19" s="145">
        <f t="shared" si="0"/>
        <v>3.1031144506941666E-2</v>
      </c>
      <c r="G19" s="411">
        <f t="shared" si="1"/>
        <v>1962.1783329943528</v>
      </c>
      <c r="H19" s="411">
        <f>G19*Gdata!H$28/1000</f>
        <v>11547.419489671767</v>
      </c>
      <c r="I19" s="21"/>
      <c r="J19" s="1074">
        <f>+H19-'Ut23'!H19</f>
        <v>68.261416309760534</v>
      </c>
      <c r="K19" s="21"/>
      <c r="L19" s="21"/>
      <c r="M19" s="21"/>
      <c r="N19" s="21"/>
      <c r="O19" s="21"/>
    </row>
    <row r="20" spans="1:15">
      <c r="A20" s="48" t="s">
        <v>348</v>
      </c>
      <c r="B20" s="298">
        <v>0.01</v>
      </c>
      <c r="C20" s="142">
        <f>Gdata!H70</f>
        <v>21404993.032999922</v>
      </c>
      <c r="D20" s="143">
        <f>Gdata!H38</f>
        <v>108674.414</v>
      </c>
      <c r="E20" s="208">
        <f>(D20/C20)/(Gdata!H$28/Gdata!H$60)</f>
        <v>4.7067762535528912</v>
      </c>
      <c r="F20" s="145">
        <f t="shared" si="0"/>
        <v>3.706776253552891E-2</v>
      </c>
      <c r="G20" s="411">
        <f t="shared" si="1"/>
        <v>2343.8890719459009</v>
      </c>
      <c r="H20" s="411">
        <f>G20*Gdata!H$28/1000</f>
        <v>13793.787188401626</v>
      </c>
      <c r="I20" s="21"/>
      <c r="J20" s="1074">
        <f>+H20-'Ut23'!H20</f>
        <v>81.540594467696792</v>
      </c>
      <c r="K20" s="21"/>
      <c r="L20" s="21"/>
      <c r="M20" s="21"/>
      <c r="N20" s="21"/>
      <c r="O20" s="21"/>
    </row>
    <row r="21" spans="1:15">
      <c r="A21" s="48" t="s">
        <v>347</v>
      </c>
      <c r="B21" s="298">
        <v>0.01</v>
      </c>
      <c r="C21" s="142">
        <f>Gdata!H71</f>
        <v>9740388.0300000217</v>
      </c>
      <c r="D21" s="143">
        <f>Gdata!H39</f>
        <v>20309.210666669998</v>
      </c>
      <c r="E21" s="208">
        <f>(D21/C21)/(Gdata!H$28/Gdata!H$60)</f>
        <v>1.9329833967720784</v>
      </c>
      <c r="F21" s="145">
        <f t="shared" si="0"/>
        <v>9.3298339677207846E-3</v>
      </c>
      <c r="G21" s="411">
        <f t="shared" si="1"/>
        <v>589.94917373418912</v>
      </c>
      <c r="H21" s="411">
        <f>G21*Gdata!H$28/1000</f>
        <v>3471.8508874257031</v>
      </c>
      <c r="I21" s="21"/>
      <c r="J21" s="1074">
        <f>+H21-'Ut23'!H21</f>
        <v>20.523499557971263</v>
      </c>
      <c r="K21" s="21"/>
      <c r="L21" s="21"/>
      <c r="M21" s="21"/>
      <c r="N21" s="21"/>
      <c r="O21" s="21"/>
    </row>
    <row r="22" spans="1:15">
      <c r="A22" s="48" t="s">
        <v>746</v>
      </c>
      <c r="B22" s="298">
        <v>2.0999999999999999E-3</v>
      </c>
      <c r="C22" s="142">
        <f>Gdata!H72</f>
        <v>1.0000000000000004</v>
      </c>
      <c r="D22" s="299">
        <f>Gdata!H40</f>
        <v>3.9778098558009307E-3</v>
      </c>
      <c r="E22" s="208">
        <f>(D22/C22)/(Gdata!H$28/Gdata!H$60)</f>
        <v>3.6876980779608939</v>
      </c>
      <c r="F22" s="145">
        <f t="shared" si="0"/>
        <v>5.6441659637178768E-3</v>
      </c>
      <c r="G22" s="411">
        <f t="shared" si="1"/>
        <v>356.89499494141961</v>
      </c>
      <c r="H22" s="411">
        <f>G22*Gdata!H$28/1000</f>
        <v>2100.3270452302545</v>
      </c>
      <c r="I22" s="21"/>
      <c r="J22" s="1074">
        <f>+H22-'Ut23'!H22</f>
        <v>12.415873429500607</v>
      </c>
      <c r="K22" s="21"/>
      <c r="L22" s="21"/>
      <c r="M22" s="21"/>
      <c r="N22" s="21"/>
      <c r="O22" s="21"/>
    </row>
    <row r="23" spans="1:15">
      <c r="A23" s="305" t="s">
        <v>1008</v>
      </c>
      <c r="B23" s="1142">
        <v>7.0000000000000001E-3</v>
      </c>
      <c r="C23" s="142">
        <f>Gdata!H73</f>
        <v>48588</v>
      </c>
      <c r="D23" s="143">
        <f>Gdata!H41</f>
        <v>43</v>
      </c>
      <c r="E23" s="208">
        <f>(D23/C23)/(Gdata!H$28/Gdata!H$60)</f>
        <v>0.82044745131834818</v>
      </c>
      <c r="F23" s="145">
        <f t="shared" si="0"/>
        <v>-1.2568678407715629E-3</v>
      </c>
      <c r="G23" s="411">
        <f t="shared" si="1"/>
        <v>-79.474956009040142</v>
      </c>
      <c r="H23" s="411">
        <f>G23*Gdata!H$28/1000</f>
        <v>-467.71011611320125</v>
      </c>
      <c r="I23" s="21"/>
      <c r="J23" s="1074">
        <f>+H23-'Ut23'!H23</f>
        <v>3.877254025451748</v>
      </c>
      <c r="K23" s="21"/>
      <c r="L23" s="21"/>
      <c r="M23" s="21"/>
      <c r="N23" s="21"/>
      <c r="O23" s="21"/>
    </row>
    <row r="24" spans="1:15">
      <c r="A24" s="305" t="s">
        <v>991</v>
      </c>
      <c r="B24" s="1142">
        <v>8.3999999999999995E-3</v>
      </c>
      <c r="C24" s="142">
        <f>Gdata!H74</f>
        <v>177205.5</v>
      </c>
      <c r="D24" s="143">
        <f>Gdata!H42</f>
        <v>70</v>
      </c>
      <c r="E24" s="208">
        <f>(D24/C24)/(Gdata!H$28/Gdata!H$60)</f>
        <v>0.36621167049003128</v>
      </c>
      <c r="F24" s="145">
        <f t="shared" si="0"/>
        <v>-5.3238219678837361E-3</v>
      </c>
      <c r="G24" s="411">
        <f t="shared" si="1"/>
        <v>-336.6388278641798</v>
      </c>
      <c r="H24" s="411">
        <f>G24*Gdata!H$28/1000</f>
        <v>-1981.1195019806983</v>
      </c>
      <c r="I24" s="21"/>
      <c r="J24" s="1074">
        <f>+H24-'Ut23'!H24</f>
        <v>-11.711189950711287</v>
      </c>
      <c r="K24" s="21"/>
      <c r="L24" s="21"/>
      <c r="M24" s="21"/>
      <c r="N24" s="21"/>
      <c r="O24" s="21"/>
    </row>
    <row r="25" spans="1:15">
      <c r="A25" s="48" t="s">
        <v>726</v>
      </c>
      <c r="B25" s="1142">
        <v>4.5400000000000003E-2</v>
      </c>
      <c r="C25" s="142">
        <f>Gdata!H75</f>
        <v>40709</v>
      </c>
      <c r="D25" s="143">
        <f>Gdata!H43</f>
        <v>42</v>
      </c>
      <c r="E25" s="208">
        <f>(D25/C25)/(Gdata!H$28/Gdata!H$60)</f>
        <v>0.95646744712502729</v>
      </c>
      <c r="F25" s="145">
        <f t="shared" si="0"/>
        <v>-1.9763779005237611E-3</v>
      </c>
      <c r="G25" s="411">
        <f t="shared" si="1"/>
        <v>-124.97141036319438</v>
      </c>
      <c r="H25" s="411">
        <f>G25*Gdata!H$28/1000</f>
        <v>-735.45674998739901</v>
      </c>
      <c r="I25" s="21"/>
      <c r="J25" s="1074">
        <f>+H25-'Ut23'!H25</f>
        <v>-4.3475790789117355</v>
      </c>
      <c r="K25" s="21"/>
      <c r="L25" s="21"/>
      <c r="M25" s="21"/>
      <c r="N25" s="21"/>
      <c r="O25" s="21"/>
    </row>
    <row r="26" spans="1:15">
      <c r="A26" s="48" t="s">
        <v>159</v>
      </c>
      <c r="B26" s="1142">
        <v>1.8800000000000001E-2</v>
      </c>
      <c r="C26" s="142">
        <f>Gdata!H76</f>
        <v>107249</v>
      </c>
      <c r="D26" s="143">
        <f>Gdata!H44</f>
        <v>126</v>
      </c>
      <c r="E26" s="208">
        <f>(D26/C26)/(Gdata!H$28/Gdata!H$60)</f>
        <v>1.0891523456166325</v>
      </c>
      <c r="F26" s="145">
        <f t="shared" si="0"/>
        <v>1.6760640975926919E-3</v>
      </c>
      <c r="G26" s="411">
        <f t="shared" si="1"/>
        <v>105.98180341915594</v>
      </c>
      <c r="H26" s="411">
        <f>G26*Gdata!H$28/1000</f>
        <v>623.70291312173265</v>
      </c>
      <c r="I26" s="21"/>
      <c r="J26" s="1074">
        <f>+H26-'Ut23'!H26</f>
        <v>3.6869574405167214</v>
      </c>
      <c r="K26" s="21"/>
      <c r="L26" s="21"/>
      <c r="M26" s="21"/>
      <c r="N26" s="21"/>
      <c r="O26" s="21"/>
    </row>
    <row r="27" spans="1:15">
      <c r="A27" s="305" t="s">
        <v>1011</v>
      </c>
      <c r="B27" s="1142">
        <v>1.18E-2</v>
      </c>
      <c r="C27" s="142">
        <f>Gdata!H77</f>
        <v>285349</v>
      </c>
      <c r="D27" s="143">
        <f>Gdata!H45</f>
        <v>205</v>
      </c>
      <c r="E27" s="208">
        <f>(D27/C27)/(Gdata!H$28/Gdata!H$60)</f>
        <v>0.66602241194764267</v>
      </c>
      <c r="F27" s="145">
        <f t="shared" si="0"/>
        <v>-3.9409355390178161E-3</v>
      </c>
      <c r="G27" s="411">
        <f t="shared" si="1"/>
        <v>-249.1953954408078</v>
      </c>
      <c r="H27" s="411">
        <f>G27*Gdata!H$28/1000</f>
        <v>-1466.5149021691539</v>
      </c>
      <c r="I27" s="21"/>
      <c r="J27" s="1074">
        <f>+H27-'Ut23'!H27</f>
        <v>-8.669156286473708</v>
      </c>
      <c r="K27" s="21"/>
      <c r="L27" s="21"/>
      <c r="M27" s="21"/>
      <c r="N27" s="21"/>
      <c r="O27" s="21"/>
    </row>
    <row r="28" spans="1:15">
      <c r="A28" s="48" t="s">
        <v>759</v>
      </c>
      <c r="B28" s="1142">
        <v>6.4000000000000003E-3</v>
      </c>
      <c r="C28" s="142">
        <f>Gdata!H78</f>
        <v>121768</v>
      </c>
      <c r="D28" s="143">
        <f>Gdata!H46</f>
        <v>161</v>
      </c>
      <c r="E28" s="208">
        <f>(D28/C28)/(Gdata!H$28/Gdata!H$60)</f>
        <v>1.2257560360895214</v>
      </c>
      <c r="F28" s="145">
        <f t="shared" si="0"/>
        <v>1.4448386309729372E-3</v>
      </c>
      <c r="G28" s="411">
        <f t="shared" si="1"/>
        <v>91.360828013743557</v>
      </c>
      <c r="H28" s="411">
        <f>G28*Gdata!H$28/1000</f>
        <v>537.65847286088081</v>
      </c>
      <c r="I28" s="21"/>
      <c r="J28" s="1074">
        <f>+H28-'Ut23'!H28</f>
        <v>3.1783143308557555</v>
      </c>
      <c r="K28" s="21"/>
      <c r="L28" s="21"/>
      <c r="M28" s="21"/>
      <c r="N28" s="21"/>
      <c r="O28" s="21"/>
    </row>
    <row r="29" spans="1:15">
      <c r="A29" s="48" t="s">
        <v>160</v>
      </c>
      <c r="B29" s="1142">
        <v>9.4999999999999998E-3</v>
      </c>
      <c r="C29" s="142">
        <f>Gdata!H79</f>
        <v>233.69029071</v>
      </c>
      <c r="D29" s="299">
        <f>Gdata!H47</f>
        <v>4.7872770000000002E-2</v>
      </c>
      <c r="E29" s="208">
        <f>(D29/C29)/(Gdata!H$28/Gdata!H$60)</f>
        <v>0.18991498164147799</v>
      </c>
      <c r="F29" s="145">
        <f t="shared" si="0"/>
        <v>-7.6958076744059589E-3</v>
      </c>
      <c r="G29" s="411">
        <f t="shared" si="1"/>
        <v>-486.62552778976743</v>
      </c>
      <c r="H29" s="411">
        <f>G29*Gdata!H$28/1000</f>
        <v>-2863.7912310427814</v>
      </c>
      <c r="I29" s="21"/>
      <c r="J29" s="1074">
        <f>+H29-'Ut23'!H29</f>
        <v>-16.929015666340092</v>
      </c>
      <c r="K29" s="21"/>
      <c r="L29" s="21"/>
      <c r="M29" s="21"/>
      <c r="N29" s="21"/>
      <c r="O29" s="21"/>
    </row>
    <row r="30" spans="1:15">
      <c r="A30" s="48" t="s">
        <v>1120</v>
      </c>
      <c r="B30" s="1142">
        <v>1.9300000000000001E-2</v>
      </c>
      <c r="C30" s="142">
        <f>+Gdata!H80</f>
        <v>515435</v>
      </c>
      <c r="D30" s="143">
        <f>+Gdata!H48</f>
        <v>488</v>
      </c>
      <c r="E30" s="208">
        <f>(D30/C30)/(Gdata!H$28/Gdata!H$60)</f>
        <v>0.87772254562818264</v>
      </c>
      <c r="F30" s="145">
        <f t="shared" si="0"/>
        <v>-2.3599548693760751E-3</v>
      </c>
      <c r="G30" s="411">
        <f t="shared" si="1"/>
        <v>-149.22595943885909</v>
      </c>
      <c r="H30" s="411">
        <f>G30*Gdata!H$28/1000</f>
        <v>-878.19477129768575</v>
      </c>
      <c r="I30" s="21"/>
      <c r="J30" s="1074">
        <f>+H30-'Ut23'!H30</f>
        <v>-5.1913606272140669</v>
      </c>
      <c r="K30" s="21"/>
      <c r="L30" s="21"/>
      <c r="M30" s="21"/>
      <c r="N30" s="21"/>
      <c r="O30" s="21"/>
    </row>
    <row r="31" spans="1:15">
      <c r="A31" s="48" t="s">
        <v>728</v>
      </c>
      <c r="B31" s="1142">
        <v>4.8599999999999997E-2</v>
      </c>
      <c r="C31" s="142">
        <f>Gdata!H81</f>
        <v>20146</v>
      </c>
      <c r="D31" s="143">
        <f>Gdata!H49</f>
        <v>24</v>
      </c>
      <c r="E31" s="208">
        <f>(D31/C31)/(Gdata!H$28/Gdata!H$60)</f>
        <v>1.1044186950975803</v>
      </c>
      <c r="F31" s="145">
        <f t="shared" si="0"/>
        <v>5.0747485817424012E-3</v>
      </c>
      <c r="G31" s="411">
        <f t="shared" si="1"/>
        <v>320.88928303180228</v>
      </c>
      <c r="H31" s="411">
        <f>G31*Gdata!H$28/1000</f>
        <v>1888.4334306421565</v>
      </c>
      <c r="I31" s="21"/>
      <c r="J31" s="1074">
        <f>+H31-'Ut23'!H31</f>
        <v>11.163285502672807</v>
      </c>
      <c r="K31" s="21"/>
      <c r="L31" s="21"/>
      <c r="M31" s="21"/>
      <c r="N31" s="21"/>
      <c r="O31" s="21"/>
    </row>
    <row r="32" spans="1:15">
      <c r="A32" s="48" t="s">
        <v>727</v>
      </c>
      <c r="B32" s="1142">
        <v>4.5400000000000003E-2</v>
      </c>
      <c r="C32" s="142">
        <f>Gdata!H82</f>
        <v>388016</v>
      </c>
      <c r="D32" s="143">
        <f>Gdata!H50</f>
        <v>572</v>
      </c>
      <c r="E32" s="208">
        <f>(D32/C32)/(Gdata!H$28/Gdata!H$60)</f>
        <v>1.3666513414804744</v>
      </c>
      <c r="F32" s="145">
        <f t="shared" si="0"/>
        <v>1.6645970903213538E-2</v>
      </c>
      <c r="G32" s="411">
        <f t="shared" si="1"/>
        <v>1052.5671533202221</v>
      </c>
      <c r="H32" s="411">
        <f>G32*Gdata!H$28/1000</f>
        <v>6194.3576972895071</v>
      </c>
      <c r="I32" s="21"/>
      <c r="J32" s="1074">
        <f>+H32-'Ut23'!H32</f>
        <v>36.617326487917126</v>
      </c>
      <c r="K32" s="21"/>
      <c r="L32" s="21"/>
      <c r="M32" s="21"/>
      <c r="N32" s="21"/>
      <c r="O32" s="21"/>
    </row>
    <row r="33" spans="1:15">
      <c r="A33" s="305" t="s">
        <v>1002</v>
      </c>
      <c r="B33" s="1142">
        <v>1.6500000000000001E-2</v>
      </c>
      <c r="C33" s="142">
        <f>Gdata!H83</f>
        <v>41007.707449999973</v>
      </c>
      <c r="D33" s="143">
        <f>Gdata!H51</f>
        <v>27.875</v>
      </c>
      <c r="E33" s="208">
        <f>(D33/C33)/(Gdata!H$28/Gdata!H$60)</f>
        <v>0.63017435122560395</v>
      </c>
      <c r="F33" s="145">
        <f t="shared" si="0"/>
        <v>-6.1021232047775353E-3</v>
      </c>
      <c r="G33" s="411">
        <f t="shared" si="1"/>
        <v>-385.8527981460071</v>
      </c>
      <c r="H33" s="411">
        <f>G33*Gdata!H$28/1000</f>
        <v>-2270.7437170892517</v>
      </c>
      <c r="I33" s="21"/>
      <c r="J33" s="1074">
        <f>+H33-'Ut23'!H33</f>
        <v>-13.423274554425916</v>
      </c>
      <c r="K33" s="21"/>
      <c r="L33" s="21"/>
      <c r="M33" s="21"/>
      <c r="N33" s="21"/>
      <c r="O33" s="21"/>
    </row>
    <row r="34" spans="1:15">
      <c r="A34" s="48" t="s">
        <v>161</v>
      </c>
      <c r="B34" s="298">
        <v>1.8100000000000002E-2</v>
      </c>
      <c r="C34" s="142">
        <f>Gdata!H84</f>
        <v>1533254</v>
      </c>
      <c r="D34" s="143">
        <f>Gdata!H52</f>
        <v>938</v>
      </c>
      <c r="E34" s="208">
        <f>(D34/C34)/(Gdata!H$28/Gdata!H$60)</f>
        <v>0.56715278560844107</v>
      </c>
      <c r="F34" s="145">
        <f t="shared" si="0"/>
        <v>-7.834534580487218E-3</v>
      </c>
      <c r="G34" s="411">
        <f t="shared" si="1"/>
        <v>-495.39758353057624</v>
      </c>
      <c r="H34" s="411">
        <f>G34*Gdata!H$28/1000</f>
        <v>-2915.4147790774409</v>
      </c>
      <c r="I34" s="21"/>
      <c r="J34" s="1074">
        <f>+H34-'Ut23'!H34</f>
        <v>-17.234183111492712</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1.1111931876595214</v>
      </c>
      <c r="F35" s="147">
        <f t="shared" si="0"/>
        <v>0.11119318765952134</v>
      </c>
      <c r="G35" s="412">
        <f>SUM(G11:G34)</f>
        <v>7031.0285704505804</v>
      </c>
      <c r="H35" s="412">
        <f>SUM(H11:H34)</f>
        <v>41377.60313710168</v>
      </c>
      <c r="I35" s="27"/>
      <c r="J35" s="412">
        <f>+H35-'Ut23'!H35</f>
        <v>268.27772121855378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G35*Gdata!H28/1000</f>
        <v>41377.603137101665</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Bregn!I90</f>
        <v>3791.8511677800002</v>
      </c>
      <c r="H40" s="413"/>
      <c r="I40" s="21"/>
      <c r="J40" s="21"/>
      <c r="K40" s="21"/>
      <c r="L40" s="21"/>
      <c r="M40" s="21"/>
      <c r="N40" s="21"/>
      <c r="O40" s="21"/>
    </row>
    <row r="41" spans="1:15" s="20" customFormat="1" ht="13.5" thickBot="1">
      <c r="A41" s="144" t="s">
        <v>763</v>
      </c>
      <c r="B41" s="144"/>
      <c r="C41" s="144"/>
      <c r="D41" s="144"/>
      <c r="E41" s="144"/>
      <c r="F41" s="144"/>
      <c r="G41" s="353">
        <f>G38+G40</f>
        <v>45169.454304881663</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Bregn!I87</f>
        <v>63232.54795050867</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topLeftCell="A4" zoomScaleNormal="100" workbookViewId="0">
      <selection activeCell="B11" sqref="B11:B34"/>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2025</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2025</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1973</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Gdata!I61</f>
        <v>109740</v>
      </c>
      <c r="D11" s="143">
        <f>Gdata!I29</f>
        <v>100</v>
      </c>
      <c r="E11" s="208">
        <f>(D11/C11)/(Gdata!I$28/Gdata!I$60)</f>
        <v>0.84478536508398072</v>
      </c>
      <c r="F11" s="145">
        <f>(E11-1)*B11</f>
        <v>-8.8472341902130997E-4</v>
      </c>
      <c r="G11" s="411">
        <f>G$43*B11*(E11-1)</f>
        <v>-56.09055117603301</v>
      </c>
      <c r="H11" s="411">
        <f>G11*Gdata!I$28/1000</f>
        <v>-330.09289367095425</v>
      </c>
      <c r="I11" s="21"/>
      <c r="J11" s="1074">
        <f>+H11-'Ut24'!H11</f>
        <v>-0.86647891559982781</v>
      </c>
      <c r="K11" s="21"/>
      <c r="L11" s="21"/>
      <c r="M11" s="21"/>
      <c r="N11" s="21"/>
      <c r="O11" s="21"/>
    </row>
    <row r="12" spans="1:15">
      <c r="A12" s="305" t="s">
        <v>1005</v>
      </c>
      <c r="B12" s="298">
        <v>0.1358</v>
      </c>
      <c r="C12" s="142">
        <f>Gdata!I62</f>
        <v>228507</v>
      </c>
      <c r="D12" s="143">
        <f>Gdata!I30</f>
        <v>216</v>
      </c>
      <c r="E12" s="208">
        <f>(D12/C12)/(Gdata!I$28/Gdata!I$60)</f>
        <v>0.8763257636874261</v>
      </c>
      <c r="F12" s="145">
        <f t="shared" ref="F12:F35" si="0">(E12-1)*B12</f>
        <v>-1.6794961291247537E-2</v>
      </c>
      <c r="G12" s="411">
        <f t="shared" ref="G12:G34" si="1">G$43*B12*(E12-1)</f>
        <v>-1064.7832029226786</v>
      </c>
      <c r="H12" s="411">
        <f>G12*Gdata!I$28/1000</f>
        <v>-6266.2491491999635</v>
      </c>
      <c r="I12" s="21"/>
      <c r="J12" s="1074">
        <f>+H12-'Ut24'!H12</f>
        <v>-7.244201550031903</v>
      </c>
      <c r="K12" s="21"/>
      <c r="L12" s="21"/>
      <c r="M12" s="21"/>
      <c r="N12" s="21"/>
      <c r="O12" s="21"/>
    </row>
    <row r="13" spans="1:15">
      <c r="A13" s="48" t="s">
        <v>777</v>
      </c>
      <c r="B13" s="298">
        <v>0.2641</v>
      </c>
      <c r="C13" s="142">
        <f>Gdata!I63</f>
        <v>643155</v>
      </c>
      <c r="D13" s="143">
        <f>Gdata!I31</f>
        <v>662</v>
      </c>
      <c r="E13" s="208">
        <f>(D13/C13)/(Gdata!I$28/Gdata!I$60)</f>
        <v>0.95423134125330955</v>
      </c>
      <c r="F13" s="145">
        <f t="shared" si="0"/>
        <v>-1.2087502775000947E-2</v>
      </c>
      <c r="G13" s="411">
        <f t="shared" si="1"/>
        <v>-766.33519404475169</v>
      </c>
      <c r="H13" s="411">
        <f>G13*Gdata!I$28/1000</f>
        <v>-4509.882616953364</v>
      </c>
      <c r="I13" s="21"/>
      <c r="J13" s="1074">
        <f>+H13-'Ut24'!H13</f>
        <v>-6.728759226447437</v>
      </c>
      <c r="K13" s="21"/>
      <c r="L13" s="21"/>
      <c r="M13" s="21"/>
      <c r="N13" s="21"/>
      <c r="O13" s="21"/>
    </row>
    <row r="14" spans="1:15">
      <c r="A14" s="48" t="s">
        <v>163</v>
      </c>
      <c r="B14" s="298">
        <v>2.3900000000000001E-2</v>
      </c>
      <c r="C14" s="142">
        <f>Gdata!I64</f>
        <v>453296</v>
      </c>
      <c r="D14" s="143">
        <f>Gdata!I32</f>
        <v>485</v>
      </c>
      <c r="E14" s="208">
        <f>(D14/C14)/(Gdata!I$28/Gdata!I$60)</f>
        <v>0.99190753487110594</v>
      </c>
      <c r="F14" s="145">
        <f t="shared" si="0"/>
        <v>-1.9340991658056792E-4</v>
      </c>
      <c r="G14" s="411">
        <f t="shared" si="1"/>
        <v>-12.261988990768783</v>
      </c>
      <c r="H14" s="411">
        <f>G14*Gdata!I$28/1000</f>
        <v>-72.161805210674288</v>
      </c>
      <c r="I14" s="21"/>
      <c r="J14" s="1074">
        <f>+H14-'Ut24'!H14</f>
        <v>-0.79170083656600809</v>
      </c>
      <c r="K14" s="21"/>
      <c r="L14" s="21"/>
      <c r="M14" s="21"/>
      <c r="N14" s="21"/>
      <c r="O14" s="21"/>
    </row>
    <row r="15" spans="1:15">
      <c r="A15" s="48" t="s">
        <v>158</v>
      </c>
      <c r="B15" s="298">
        <v>0.1047</v>
      </c>
      <c r="C15" s="142">
        <f>Gdata!I65</f>
        <v>3138464</v>
      </c>
      <c r="D15" s="143">
        <f>Gdata!I33</f>
        <v>3070</v>
      </c>
      <c r="E15" s="208">
        <f>(D15/C15)/(Gdata!I$28/Gdata!I$60)</f>
        <v>0.90684395331745171</v>
      </c>
      <c r="F15" s="145">
        <f t="shared" si="0"/>
        <v>-9.7534380876628055E-3</v>
      </c>
      <c r="G15" s="411">
        <f t="shared" si="1"/>
        <v>-618.35790308738615</v>
      </c>
      <c r="H15" s="411">
        <f>G15*Gdata!I$28/1000</f>
        <v>-3639.0362596692676</v>
      </c>
      <c r="I15" s="21"/>
      <c r="J15" s="1074">
        <f>+H15-'Ut24'!H15</f>
        <v>0.84736190422563595</v>
      </c>
      <c r="K15" s="21"/>
      <c r="L15" s="21"/>
      <c r="M15" s="21"/>
      <c r="N15" s="21"/>
      <c r="O15" s="21"/>
    </row>
    <row r="16" spans="1:15">
      <c r="A16" s="48" t="s">
        <v>723</v>
      </c>
      <c r="B16" s="298">
        <v>5.67E-2</v>
      </c>
      <c r="C16" s="142">
        <f>Gdata!I66</f>
        <v>639203</v>
      </c>
      <c r="D16" s="143">
        <f>Gdata!I34</f>
        <v>960</v>
      </c>
      <c r="E16" s="208">
        <f>(D16/C16)/(Gdata!I$28/Gdata!I$60)</f>
        <v>1.3923350817462279</v>
      </c>
      <c r="F16" s="145">
        <f t="shared" si="0"/>
        <v>2.2245399135011123E-2</v>
      </c>
      <c r="G16" s="411">
        <f t="shared" si="1"/>
        <v>1410.3353339441414</v>
      </c>
      <c r="H16" s="411">
        <f>G16*Gdata!I$28/1000</f>
        <v>8299.8234402612725</v>
      </c>
      <c r="I16" s="21"/>
      <c r="J16" s="1074">
        <f>+H16-'Ut24'!H16</f>
        <v>7.1869489925102243</v>
      </c>
      <c r="K16" s="21"/>
      <c r="L16" s="21"/>
      <c r="M16" s="21"/>
      <c r="N16" s="21"/>
      <c r="O16" s="21"/>
    </row>
    <row r="17" spans="1:15">
      <c r="A17" s="48" t="s">
        <v>724</v>
      </c>
      <c r="B17" s="298">
        <v>7.6499999999999999E-2</v>
      </c>
      <c r="C17" s="142">
        <f>Gdata!I67</f>
        <v>196967</v>
      </c>
      <c r="D17" s="143">
        <f>Gdata!I35</f>
        <v>316</v>
      </c>
      <c r="E17" s="208">
        <f>(D17/C17)/(Gdata!I$28/Gdata!I$60)</f>
        <v>1.4873218216616932</v>
      </c>
      <c r="F17" s="145">
        <f t="shared" si="0"/>
        <v>3.7280119357119536E-2</v>
      </c>
      <c r="G17" s="411">
        <f t="shared" si="1"/>
        <v>2363.5210707571036</v>
      </c>
      <c r="H17" s="411">
        <f>G17*Gdata!I$28/1000</f>
        <v>13909.321501405555</v>
      </c>
      <c r="I17" s="21"/>
      <c r="J17" s="1074">
        <f>+H17-'Ut24'!H17</f>
        <v>0.2425550786065287</v>
      </c>
      <c r="K17" s="21"/>
      <c r="L17" s="21"/>
      <c r="M17" s="21"/>
      <c r="N17" s="21"/>
      <c r="O17" s="21"/>
    </row>
    <row r="18" spans="1:15">
      <c r="A18" s="48" t="s">
        <v>725</v>
      </c>
      <c r="B18" s="298">
        <v>3.8399999999999997E-2</v>
      </c>
      <c r="C18" s="142">
        <f>Gdata!I68</f>
        <v>46460</v>
      </c>
      <c r="D18" s="143">
        <f>Gdata!I36</f>
        <v>76</v>
      </c>
      <c r="E18" s="208">
        <f>(D18/C18)/(Gdata!I$28/Gdata!I$60)</f>
        <v>1.5165115568850667</v>
      </c>
      <c r="F18" s="145">
        <f t="shared" si="0"/>
        <v>1.9834043784386558E-2</v>
      </c>
      <c r="G18" s="411">
        <f t="shared" si="1"/>
        <v>1257.4578947468976</v>
      </c>
      <c r="H18" s="411">
        <f>G18*Gdata!I$28/1000</f>
        <v>7400.139710585493</v>
      </c>
      <c r="I18" s="21"/>
      <c r="J18" s="1074">
        <f>+H18-'Ut24'!H18</f>
        <v>0.20442088574873196</v>
      </c>
      <c r="K18" s="21"/>
      <c r="L18" s="21"/>
      <c r="M18" s="21"/>
      <c r="N18" s="21"/>
      <c r="O18" s="21"/>
    </row>
    <row r="19" spans="1:15">
      <c r="A19" s="48" t="s">
        <v>729</v>
      </c>
      <c r="B19" s="298">
        <v>1.5900000000000001E-2</v>
      </c>
      <c r="C19" s="142">
        <f>Gdata!I69</f>
        <v>274.56015800000011</v>
      </c>
      <c r="D19" s="299">
        <f>Gdata!I37</f>
        <v>0.87415852999999999</v>
      </c>
      <c r="E19" s="208">
        <f>(D19/C19)/(Gdata!I$28/Gdata!I$60)</f>
        <v>2.9516443086126833</v>
      </c>
      <c r="F19" s="145">
        <f t="shared" si="0"/>
        <v>3.1031144506941666E-2</v>
      </c>
      <c r="G19" s="411">
        <f t="shared" si="1"/>
        <v>1967.3425181204152</v>
      </c>
      <c r="H19" s="411">
        <f>G19*Gdata!I$28/1000</f>
        <v>11577.810719138643</v>
      </c>
      <c r="I19" s="21"/>
      <c r="J19" s="1074">
        <f>+H19-'Ut24'!H19</f>
        <v>30.391229466875302</v>
      </c>
      <c r="K19" s="21"/>
      <c r="L19" s="21"/>
      <c r="M19" s="21"/>
      <c r="N19" s="21"/>
      <c r="O19" s="21"/>
    </row>
    <row r="20" spans="1:15">
      <c r="A20" s="48" t="s">
        <v>348</v>
      </c>
      <c r="B20" s="298">
        <v>0.01</v>
      </c>
      <c r="C20" s="142">
        <f>Gdata!I70</f>
        <v>21404993.032999922</v>
      </c>
      <c r="D20" s="143">
        <f>Gdata!I38</f>
        <v>108674.414</v>
      </c>
      <c r="E20" s="208">
        <f>(D20/C20)/(Gdata!I$28/Gdata!I$60)</f>
        <v>4.7067762535528912</v>
      </c>
      <c r="F20" s="145">
        <f t="shared" si="0"/>
        <v>3.706776253552891E-2</v>
      </c>
      <c r="G20" s="411">
        <f t="shared" si="1"/>
        <v>2350.0578675537963</v>
      </c>
      <c r="H20" s="411">
        <f>G20*Gdata!I$28/1000</f>
        <v>13830.09055055409</v>
      </c>
      <c r="I20" s="21"/>
      <c r="J20" s="1074">
        <f>+H20-'Ut24'!H20</f>
        <v>36.303362152464615</v>
      </c>
      <c r="K20" s="21"/>
      <c r="L20" s="21"/>
      <c r="M20" s="21"/>
      <c r="N20" s="21"/>
      <c r="O20" s="21"/>
    </row>
    <row r="21" spans="1:15">
      <c r="A21" s="48" t="s">
        <v>347</v>
      </c>
      <c r="B21" s="298">
        <v>0.01</v>
      </c>
      <c r="C21" s="142">
        <f>Gdata!I71</f>
        <v>9740388.0300000217</v>
      </c>
      <c r="D21" s="143">
        <f>Gdata!I39</f>
        <v>20309.210666669998</v>
      </c>
      <c r="E21" s="208">
        <f>(D21/C21)/(Gdata!I$28/Gdata!I$60)</f>
        <v>1.9329833967720784</v>
      </c>
      <c r="F21" s="145">
        <f t="shared" si="0"/>
        <v>9.3298339677207846E-3</v>
      </c>
      <c r="G21" s="411">
        <f t="shared" si="1"/>
        <v>591.50183930841433</v>
      </c>
      <c r="H21" s="411">
        <f>G21*Gdata!I$28/1000</f>
        <v>3480.9883243300183</v>
      </c>
      <c r="I21" s="21"/>
      <c r="J21" s="1074">
        <f>+H21-'Ut24'!H21</f>
        <v>9.1374369043151091</v>
      </c>
      <c r="K21" s="21"/>
      <c r="L21" s="21"/>
      <c r="M21" s="21"/>
      <c r="N21" s="21"/>
      <c r="O21" s="21"/>
    </row>
    <row r="22" spans="1:15">
      <c r="A22" s="48" t="s">
        <v>746</v>
      </c>
      <c r="B22" s="298">
        <v>2E-3</v>
      </c>
      <c r="C22" s="142">
        <f>Gdata!I72</f>
        <v>1.0000000000000004</v>
      </c>
      <c r="D22" s="299">
        <f>Gdata!I40</f>
        <v>3.9778098558009307E-3</v>
      </c>
      <c r="E22" s="208">
        <f>(D22/C22)/(Gdata!I$28/Gdata!I$60)</f>
        <v>3.6876980779608939</v>
      </c>
      <c r="F22" s="145">
        <f t="shared" si="0"/>
        <v>5.3753961559217878E-3</v>
      </c>
      <c r="G22" s="411">
        <f t="shared" si="1"/>
        <v>340.79456550241929</v>
      </c>
      <c r="H22" s="411">
        <f>G22*Gdata!I$28/1000</f>
        <v>2005.5760179817376</v>
      </c>
      <c r="I22" s="21"/>
      <c r="J22" s="1074">
        <f>+H22-'Ut24'!H22</f>
        <v>-94.751027248516948</v>
      </c>
      <c r="K22" s="21"/>
      <c r="L22" s="21"/>
      <c r="M22" s="21"/>
      <c r="N22" s="21"/>
      <c r="O22" s="21"/>
    </row>
    <row r="23" spans="1:15">
      <c r="A23" s="305" t="s">
        <v>1008</v>
      </c>
      <c r="B23" s="1142">
        <v>7.0000000000000001E-3</v>
      </c>
      <c r="C23" s="142">
        <f>Gdata!I73</f>
        <v>48588</v>
      </c>
      <c r="D23" s="143">
        <f>Gdata!I41</f>
        <v>43</v>
      </c>
      <c r="E23" s="208">
        <f>(D23/C23)/(Gdata!I$28/Gdata!I$60)</f>
        <v>0.82044745131834818</v>
      </c>
      <c r="F23" s="145">
        <f t="shared" si="0"/>
        <v>-1.2568678407715629E-3</v>
      </c>
      <c r="G23" s="411">
        <f t="shared" si="1"/>
        <v>-79.684123228357066</v>
      </c>
      <c r="H23" s="411">
        <f>G23*Gdata!I$28/1000</f>
        <v>-468.94106519888135</v>
      </c>
      <c r="I23" s="21"/>
      <c r="J23" s="1074">
        <f>+H23-'Ut24'!H23</f>
        <v>-1.2309490856800949</v>
      </c>
      <c r="K23" s="21"/>
      <c r="L23" s="21"/>
      <c r="M23" s="21"/>
      <c r="N23" s="21"/>
      <c r="O23" s="21"/>
    </row>
    <row r="24" spans="1:15">
      <c r="A24" s="305" t="s">
        <v>991</v>
      </c>
      <c r="B24" s="1142">
        <v>8.3000000000000001E-3</v>
      </c>
      <c r="C24" s="142">
        <f>Gdata!I74</f>
        <v>177205.5</v>
      </c>
      <c r="D24" s="143">
        <f>Gdata!I42</f>
        <v>70</v>
      </c>
      <c r="E24" s="208">
        <f>(D24/C24)/(Gdata!I$28/Gdata!I$60)</f>
        <v>0.36621167049003128</v>
      </c>
      <c r="F24" s="145">
        <f t="shared" si="0"/>
        <v>-5.2604431349327395E-3</v>
      </c>
      <c r="G24" s="411">
        <f t="shared" si="1"/>
        <v>-333.50666267538844</v>
      </c>
      <c r="H24" s="411">
        <f>G24*Gdata!I$28/1000</f>
        <v>-1962.686709844661</v>
      </c>
      <c r="I24" s="21"/>
      <c r="J24" s="1074">
        <f>+H24-'Ut24'!H24</f>
        <v>18.432792136037278</v>
      </c>
      <c r="K24" s="21"/>
      <c r="L24" s="21"/>
      <c r="M24" s="21"/>
      <c r="N24" s="21"/>
      <c r="O24" s="21"/>
    </row>
    <row r="25" spans="1:15">
      <c r="A25" s="48" t="s">
        <v>726</v>
      </c>
      <c r="B25" s="1142">
        <v>4.53E-2</v>
      </c>
      <c r="C25" s="142">
        <f>Gdata!I75</f>
        <v>40709</v>
      </c>
      <c r="D25" s="143">
        <f>Gdata!I43</f>
        <v>42</v>
      </c>
      <c r="E25" s="208">
        <f>(D25/C25)/(Gdata!I$28/Gdata!I$60)</f>
        <v>0.95646744712502729</v>
      </c>
      <c r="F25" s="145">
        <f t="shared" si="0"/>
        <v>-1.9720246452362635E-3</v>
      </c>
      <c r="G25" s="411">
        <f t="shared" si="1"/>
        <v>-125.02432614068593</v>
      </c>
      <c r="H25" s="411">
        <f>G25*Gdata!I$28/1000</f>
        <v>-735.76815933793671</v>
      </c>
      <c r="I25" s="21"/>
      <c r="J25" s="1074">
        <f>+H25-'Ut24'!H25</f>
        <v>-0.31140935053770136</v>
      </c>
      <c r="K25" s="21"/>
      <c r="L25" s="21"/>
      <c r="M25" s="21"/>
      <c r="N25" s="21"/>
      <c r="O25" s="21"/>
    </row>
    <row r="26" spans="1:15">
      <c r="A26" s="48" t="s">
        <v>159</v>
      </c>
      <c r="B26" s="1142">
        <v>1.9900000000000001E-2</v>
      </c>
      <c r="C26" s="142">
        <f>Gdata!I76</f>
        <v>107249</v>
      </c>
      <c r="D26" s="143">
        <f>Gdata!I44</f>
        <v>126</v>
      </c>
      <c r="E26" s="208">
        <f>(D26/C26)/(Gdata!I$28/Gdata!I$60)</f>
        <v>1.0891523456166325</v>
      </c>
      <c r="F26" s="145">
        <f t="shared" si="0"/>
        <v>1.7741316777709877E-3</v>
      </c>
      <c r="G26" s="411">
        <f t="shared" si="1"/>
        <v>112.4781163531492</v>
      </c>
      <c r="H26" s="411">
        <f>G26*Gdata!I$28/1000</f>
        <v>661.93371473828313</v>
      </c>
      <c r="I26" s="21"/>
      <c r="J26" s="1074">
        <f>+H26-'Ut24'!H26</f>
        <v>38.23080161655048</v>
      </c>
      <c r="K26" s="21"/>
      <c r="L26" s="21"/>
      <c r="M26" s="21"/>
      <c r="N26" s="21"/>
      <c r="O26" s="21"/>
    </row>
    <row r="27" spans="1:15">
      <c r="A27" s="305" t="s">
        <v>1011</v>
      </c>
      <c r="B27" s="1142">
        <v>1.24E-2</v>
      </c>
      <c r="C27" s="142">
        <f>Gdata!I77</f>
        <v>285349</v>
      </c>
      <c r="D27" s="143">
        <f>Gdata!I45</f>
        <v>205</v>
      </c>
      <c r="E27" s="208">
        <f>(D27/C27)/(Gdata!I$28/Gdata!I$60)</f>
        <v>0.66602241194764267</v>
      </c>
      <c r="F27" s="145">
        <f t="shared" si="0"/>
        <v>-4.1413220918492307E-3</v>
      </c>
      <c r="G27" s="411">
        <f t="shared" si="1"/>
        <v>-262.55554417929375</v>
      </c>
      <c r="H27" s="411">
        <f>G27*Gdata!I$28/1000</f>
        <v>-1545.1393774951439</v>
      </c>
      <c r="I27" s="21"/>
      <c r="J27" s="1074">
        <f>+H27-'Ut24'!H27</f>
        <v>-78.624475325990034</v>
      </c>
      <c r="K27" s="21"/>
      <c r="L27" s="21"/>
      <c r="M27" s="21"/>
      <c r="N27" s="21"/>
      <c r="O27" s="21"/>
    </row>
    <row r="28" spans="1:15">
      <c r="A28" s="48" t="s">
        <v>759</v>
      </c>
      <c r="B28" s="1142">
        <v>6.4000000000000003E-3</v>
      </c>
      <c r="C28" s="142">
        <f>Gdata!I78</f>
        <v>121768</v>
      </c>
      <c r="D28" s="143">
        <f>Gdata!I46</f>
        <v>161</v>
      </c>
      <c r="E28" s="208">
        <f>(D28/C28)/(Gdata!I$28/Gdata!I$60)</f>
        <v>1.2257560360895214</v>
      </c>
      <c r="F28" s="145">
        <f t="shared" si="0"/>
        <v>1.4448386309729372E-3</v>
      </c>
      <c r="G28" s="411">
        <f t="shared" si="1"/>
        <v>91.601277223277606</v>
      </c>
      <c r="H28" s="411">
        <f>G28*Gdata!I$28/1000</f>
        <v>539.07351645898871</v>
      </c>
      <c r="I28" s="21"/>
      <c r="J28" s="1074">
        <f>+H28-'Ut24'!H28</f>
        <v>1.4150435981078999</v>
      </c>
      <c r="K28" s="21"/>
      <c r="L28" s="21"/>
      <c r="M28" s="21"/>
      <c r="N28" s="21"/>
      <c r="O28" s="21"/>
    </row>
    <row r="29" spans="1:15">
      <c r="A29" s="48" t="s">
        <v>160</v>
      </c>
      <c r="B29" s="1142">
        <v>9.4999999999999998E-3</v>
      </c>
      <c r="C29" s="142">
        <f>Gdata!I79</f>
        <v>233.69029071</v>
      </c>
      <c r="D29" s="299">
        <f>Gdata!I47</f>
        <v>4.7872770000000002E-2</v>
      </c>
      <c r="E29" s="208">
        <f>(D29/C29)/(Gdata!I$28/Gdata!I$60)</f>
        <v>0.18991498164147799</v>
      </c>
      <c r="F29" s="145">
        <f t="shared" si="0"/>
        <v>-7.6958076744059589E-3</v>
      </c>
      <c r="G29" s="411">
        <f t="shared" si="1"/>
        <v>-487.90625965308345</v>
      </c>
      <c r="H29" s="411">
        <f>G29*Gdata!I$28/1000</f>
        <v>-2871.3283380583962</v>
      </c>
      <c r="I29" s="21"/>
      <c r="J29" s="1074">
        <f>+H29-'Ut24'!H29</f>
        <v>-7.5371070156147653</v>
      </c>
      <c r="K29" s="21"/>
      <c r="L29" s="21"/>
      <c r="M29" s="21"/>
      <c r="N29" s="21"/>
      <c r="O29" s="21"/>
    </row>
    <row r="30" spans="1:15">
      <c r="A30" s="48" t="s">
        <v>1120</v>
      </c>
      <c r="B30" s="1142">
        <v>1.9199999999999998E-2</v>
      </c>
      <c r="C30" s="142">
        <f>+Gdata!I80</f>
        <v>515435</v>
      </c>
      <c r="D30" s="143">
        <f>+Gdata!I48</f>
        <v>488</v>
      </c>
      <c r="E30" s="208">
        <f>(D30/C30)/(Gdata!I$28/Gdata!I$60)</f>
        <v>0.87772254562818264</v>
      </c>
      <c r="F30" s="145">
        <f t="shared" si="0"/>
        <v>-2.347727123938893E-3</v>
      </c>
      <c r="G30" s="411">
        <f t="shared" si="1"/>
        <v>-148.84347532964247</v>
      </c>
      <c r="H30" s="411">
        <f>G30*Gdata!I$28/1000</f>
        <v>-875.94385231494596</v>
      </c>
      <c r="I30" s="21"/>
      <c r="J30" s="1074">
        <f>+H30-'Ut24'!H30</f>
        <v>2.2509189827397904</v>
      </c>
      <c r="K30" s="21"/>
      <c r="L30" s="21"/>
      <c r="M30" s="21"/>
      <c r="N30" s="21"/>
      <c r="O30" s="21"/>
    </row>
    <row r="31" spans="1:15">
      <c r="A31" s="48" t="s">
        <v>728</v>
      </c>
      <c r="B31" s="1142">
        <v>4.8399999999999999E-2</v>
      </c>
      <c r="C31" s="142">
        <f>Gdata!I81</f>
        <v>20146</v>
      </c>
      <c r="D31" s="143">
        <f>Gdata!I49</f>
        <v>24</v>
      </c>
      <c r="E31" s="208">
        <f>(D31/C31)/(Gdata!I$28/Gdata!I$60)</f>
        <v>1.1044186950975803</v>
      </c>
      <c r="F31" s="145">
        <f t="shared" si="0"/>
        <v>5.0538648427228853E-3</v>
      </c>
      <c r="G31" s="411">
        <f t="shared" si="1"/>
        <v>320.4098122677525</v>
      </c>
      <c r="H31" s="411">
        <f>G31*Gdata!I$28/1000</f>
        <v>1885.6117451957234</v>
      </c>
      <c r="I31" s="21"/>
      <c r="J31" s="1074">
        <f>+H31-'Ut24'!H31</f>
        <v>-2.8216854464330936</v>
      </c>
      <c r="K31" s="21"/>
      <c r="L31" s="21"/>
      <c r="M31" s="21"/>
      <c r="N31" s="21"/>
      <c r="O31" s="21"/>
    </row>
    <row r="32" spans="1:15">
      <c r="A32" s="48" t="s">
        <v>727</v>
      </c>
      <c r="B32" s="1142">
        <v>4.53E-2</v>
      </c>
      <c r="C32" s="142">
        <f>Gdata!I82</f>
        <v>388016</v>
      </c>
      <c r="D32" s="143">
        <f>Gdata!I50</f>
        <v>572</v>
      </c>
      <c r="E32" s="208">
        <f>(D32/C32)/(Gdata!I$28/Gdata!I$60)</f>
        <v>1.3666513414804744</v>
      </c>
      <c r="F32" s="145">
        <f t="shared" si="0"/>
        <v>1.660930576906549E-2</v>
      </c>
      <c r="G32" s="411">
        <f t="shared" si="1"/>
        <v>1053.0128345293735</v>
      </c>
      <c r="H32" s="411">
        <f>G32*Gdata!I$28/1000</f>
        <v>6196.9805312053631</v>
      </c>
      <c r="I32" s="21"/>
      <c r="J32" s="1074">
        <f>+H32-'Ut24'!H32</f>
        <v>2.622833915856063</v>
      </c>
      <c r="K32" s="21"/>
      <c r="L32" s="21"/>
      <c r="M32" s="21"/>
      <c r="N32" s="21"/>
      <c r="O32" s="21"/>
    </row>
    <row r="33" spans="1:15">
      <c r="A33" s="305" t="s">
        <v>1002</v>
      </c>
      <c r="B33" s="1142">
        <v>1.6500000000000001E-2</v>
      </c>
      <c r="C33" s="142">
        <f>Gdata!I83</f>
        <v>41007.707449999973</v>
      </c>
      <c r="D33" s="143">
        <f>Gdata!I51</f>
        <v>27.875</v>
      </c>
      <c r="E33" s="208">
        <f>(D33/C33)/(Gdata!I$28/Gdata!I$60)</f>
        <v>0.63017435122560395</v>
      </c>
      <c r="F33" s="145">
        <f t="shared" si="0"/>
        <v>-6.1021232047775353E-3</v>
      </c>
      <c r="G33" s="411">
        <f t="shared" si="1"/>
        <v>-386.86830996138553</v>
      </c>
      <c r="H33" s="411">
        <f>G33*Gdata!I$28/1000</f>
        <v>-2276.7200041227543</v>
      </c>
      <c r="I33" s="21"/>
      <c r="J33" s="1074">
        <f>+H33-'Ut24'!H33</f>
        <v>-5.9762870335025582</v>
      </c>
      <c r="K33" s="21"/>
      <c r="L33" s="21"/>
      <c r="M33" s="21"/>
      <c r="N33" s="21"/>
      <c r="O33" s="21"/>
    </row>
    <row r="34" spans="1:15">
      <c r="A34" s="48" t="s">
        <v>161</v>
      </c>
      <c r="B34" s="298">
        <v>1.8100000000000002E-2</v>
      </c>
      <c r="C34" s="142">
        <f>Gdata!I84</f>
        <v>1533254</v>
      </c>
      <c r="D34" s="143">
        <f>Gdata!I52</f>
        <v>938</v>
      </c>
      <c r="E34" s="208">
        <f>(D34/C34)/(Gdata!I$28/Gdata!I$60)</f>
        <v>0.56715278560844107</v>
      </c>
      <c r="F34" s="145">
        <f t="shared" si="0"/>
        <v>-7.834534580487218E-3</v>
      </c>
      <c r="G34" s="411">
        <f t="shared" si="1"/>
        <v>-496.70140224538795</v>
      </c>
      <c r="H34" s="411">
        <f>G34*Gdata!I$28/1000</f>
        <v>-2923.0877522141081</v>
      </c>
      <c r="I34" s="21"/>
      <c r="J34" s="1074">
        <f>+H34-'Ut24'!H34</f>
        <v>-7.672973136667224</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0"/>
        <v>0.11072095457725005</v>
      </c>
      <c r="G35" s="412">
        <f>SUM(G11:G34)</f>
        <v>7019.5941866718995</v>
      </c>
      <c r="H35" s="412">
        <f>SUM(H11:H34)</f>
        <v>41310.311788564119</v>
      </c>
      <c r="I35" s="27"/>
      <c r="J35" s="412">
        <f>+H35-'Ut24'!H35</f>
        <v>-67.291348537561134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G35*Gdata!I28/1000</f>
        <v>41310.311788564133</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Bregn!J90</f>
        <v>3791.8511677800002</v>
      </c>
      <c r="H40" s="413"/>
      <c r="I40" s="21"/>
      <c r="J40" s="21"/>
      <c r="K40" s="21"/>
      <c r="L40" s="21"/>
      <c r="M40" s="21"/>
      <c r="N40" s="21"/>
      <c r="O40" s="21"/>
    </row>
    <row r="41" spans="1:15" s="20" customFormat="1" ht="13.5" thickBot="1">
      <c r="A41" s="144" t="s">
        <v>763</v>
      </c>
      <c r="B41" s="144"/>
      <c r="C41" s="144"/>
      <c r="D41" s="144"/>
      <c r="E41" s="144"/>
      <c r="F41" s="144"/>
      <c r="G41" s="353">
        <f>G38+G40</f>
        <v>45102.162956344131</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Bregn!J87</f>
        <v>63398.967372290143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2026</v>
      </c>
      <c r="G1" s="77" t="s">
        <v>719</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2026</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77" t="str">
        <f>A2</f>
        <v>HEIM (FRA 1.1.2020)</v>
      </c>
      <c r="E8" s="1277"/>
      <c r="F8" s="1277"/>
      <c r="G8" s="1278" t="s">
        <v>1973</v>
      </c>
      <c r="H8" s="1278"/>
      <c r="I8" s="21"/>
      <c r="J8" s="21"/>
      <c r="K8" s="21"/>
      <c r="L8" s="21"/>
      <c r="M8" s="21"/>
      <c r="N8" s="21"/>
      <c r="O8" s="21"/>
    </row>
    <row r="9" spans="1:15" ht="45">
      <c r="A9" s="202"/>
      <c r="B9" s="203" t="s">
        <v>315</v>
      </c>
      <c r="C9" s="203" t="s">
        <v>316</v>
      </c>
      <c r="D9" s="204" t="s">
        <v>316</v>
      </c>
      <c r="E9" s="528" t="s">
        <v>317</v>
      </c>
      <c r="F9" s="528" t="s">
        <v>318</v>
      </c>
      <c r="G9" s="1279" t="s">
        <v>994</v>
      </c>
      <c r="H9" s="1279"/>
      <c r="I9" s="21"/>
      <c r="J9" s="28" t="s">
        <v>2318</v>
      </c>
      <c r="K9" s="21"/>
      <c r="L9" s="21"/>
      <c r="M9" s="21"/>
      <c r="N9" s="21"/>
      <c r="O9" s="21"/>
    </row>
    <row r="10" spans="1:15" ht="15">
      <c r="A10" s="205"/>
      <c r="B10" s="206"/>
      <c r="C10" s="206"/>
      <c r="D10" s="207"/>
      <c r="E10" s="323"/>
      <c r="F10" s="323"/>
      <c r="G10" s="416" t="s">
        <v>993</v>
      </c>
      <c r="H10" s="416" t="s">
        <v>268</v>
      </c>
      <c r="I10" s="21"/>
      <c r="J10" s="416" t="s">
        <v>268</v>
      </c>
      <c r="K10" s="21"/>
      <c r="L10" s="21"/>
      <c r="M10" s="21"/>
      <c r="N10" s="21"/>
      <c r="O10" s="21"/>
    </row>
    <row r="11" spans="1:15">
      <c r="A11" s="305" t="s">
        <v>1004</v>
      </c>
      <c r="B11" s="298">
        <v>5.7000000000000002E-3</v>
      </c>
      <c r="C11" s="142">
        <f>Gdata!J61</f>
        <v>109740</v>
      </c>
      <c r="D11" s="143">
        <f>Gdata!J29</f>
        <v>100</v>
      </c>
      <c r="E11" s="208">
        <f>(D11/C11)/(Gdata!J$28/Gdata!J$60)</f>
        <v>0.84478536508398072</v>
      </c>
      <c r="F11" s="145">
        <f>(E11-1)*B11</f>
        <v>-8.8472341902130997E-4</v>
      </c>
      <c r="G11" s="411">
        <f>G$43*B11*(E11-1)</f>
        <v>-56.09107597356283</v>
      </c>
      <c r="H11" s="411">
        <f>G11*Gdata!J$28/1000</f>
        <v>-330.0959821044172</v>
      </c>
      <c r="I11" s="21"/>
      <c r="J11" s="1074">
        <f>+H11-'Ut25'!H11</f>
        <v>-3.0884334629490695E-3</v>
      </c>
      <c r="K11" s="21"/>
      <c r="L11" s="21"/>
      <c r="M11" s="21"/>
      <c r="N11" s="21"/>
      <c r="O11" s="21"/>
    </row>
    <row r="12" spans="1:15">
      <c r="A12" s="305" t="s">
        <v>1005</v>
      </c>
      <c r="B12" s="298">
        <v>0.1358</v>
      </c>
      <c r="C12" s="142">
        <f>Gdata!J62</f>
        <v>228507</v>
      </c>
      <c r="D12" s="143">
        <f>Gdata!J30</f>
        <v>216</v>
      </c>
      <c r="E12" s="208">
        <f>(D12/C12)/(Gdata!J$28/Gdata!J$60)</f>
        <v>0.8763257636874261</v>
      </c>
      <c r="F12" s="145">
        <f>(E12-1)*B12</f>
        <v>-1.6794961291247537E-2</v>
      </c>
      <c r="G12" s="411">
        <f t="shared" ref="G12:G34" si="0">G$43*B12*(E12-1)</f>
        <v>-1064.7931653064129</v>
      </c>
      <c r="H12" s="411">
        <f>G12*Gdata!J$28/1000</f>
        <v>-6266.3077778282395</v>
      </c>
      <c r="I12" s="21"/>
      <c r="J12" s="1074">
        <f>+H12-'Ut25'!H12</f>
        <v>-5.8628628275982919E-2</v>
      </c>
      <c r="K12" s="21"/>
      <c r="L12" s="21"/>
      <c r="M12" s="21"/>
      <c r="N12" s="21"/>
      <c r="O12" s="21"/>
    </row>
    <row r="13" spans="1:15">
      <c r="A13" s="48" t="s">
        <v>777</v>
      </c>
      <c r="B13" s="298">
        <v>0.2641</v>
      </c>
      <c r="C13" s="142">
        <f>Gdata!J63</f>
        <v>643155</v>
      </c>
      <c r="D13" s="143">
        <f>Gdata!J31</f>
        <v>662</v>
      </c>
      <c r="E13" s="208">
        <f>(D13/C13)/(Gdata!J$28/Gdata!J$60)</f>
        <v>0.95423134125330955</v>
      </c>
      <c r="F13" s="145">
        <f t="shared" ref="F13:F35" si="1">(E13-1)*B13</f>
        <v>-1.2087502775000947E-2</v>
      </c>
      <c r="G13" s="411">
        <f t="shared" si="0"/>
        <v>-766.34236407265143</v>
      </c>
      <c r="H13" s="411">
        <f>G13*Gdata!J$28/1000</f>
        <v>-4509.9248125675531</v>
      </c>
      <c r="I13" s="21"/>
      <c r="J13" s="1074">
        <f>+H13-'Ut25'!H13</f>
        <v>-4.2195614189040498E-2</v>
      </c>
      <c r="K13" s="21"/>
      <c r="L13" s="21"/>
      <c r="M13" s="21"/>
      <c r="N13" s="21"/>
      <c r="O13" s="21"/>
    </row>
    <row r="14" spans="1:15">
      <c r="A14" s="48" t="s">
        <v>163</v>
      </c>
      <c r="B14" s="298">
        <v>2.3900000000000001E-2</v>
      </c>
      <c r="C14" s="142">
        <f>Gdata!J64</f>
        <v>453296</v>
      </c>
      <c r="D14" s="143">
        <f>Gdata!J32</f>
        <v>485</v>
      </c>
      <c r="E14" s="208">
        <f>(D14/C14)/(Gdata!J$28/Gdata!J$60)</f>
        <v>0.99190753487110594</v>
      </c>
      <c r="F14" s="145">
        <f t="shared" si="1"/>
        <v>-1.9340991658056792E-4</v>
      </c>
      <c r="G14" s="411">
        <f t="shared" si="0"/>
        <v>-12.262103717071131</v>
      </c>
      <c r="H14" s="411">
        <f>G14*Gdata!J$28/1000</f>
        <v>-72.162480374963607</v>
      </c>
      <c r="I14" s="21"/>
      <c r="J14" s="1074">
        <f>+H14-'Ut25'!H14</f>
        <v>-6.7516428931924111E-4</v>
      </c>
      <c r="K14" s="21"/>
      <c r="L14" s="21"/>
      <c r="M14" s="21"/>
      <c r="N14" s="21"/>
      <c r="O14" s="21"/>
    </row>
    <row r="15" spans="1:15">
      <c r="A15" s="48" t="s">
        <v>158</v>
      </c>
      <c r="B15" s="298">
        <v>0.1047</v>
      </c>
      <c r="C15" s="142">
        <f>Gdata!J65</f>
        <v>3138464</v>
      </c>
      <c r="D15" s="143">
        <f>Gdata!J33</f>
        <v>3070</v>
      </c>
      <c r="E15" s="208">
        <f>(D15/C15)/(Gdata!J$28/Gdata!J$60)</f>
        <v>0.90684395331745171</v>
      </c>
      <c r="F15" s="145">
        <f t="shared" si="1"/>
        <v>-9.7534380876628055E-3</v>
      </c>
      <c r="G15" s="411">
        <f t="shared" si="0"/>
        <v>-618.36368860193863</v>
      </c>
      <c r="H15" s="411">
        <f>G15*Gdata!J$28/1000</f>
        <v>-3639.0703074224089</v>
      </c>
      <c r="I15" s="21"/>
      <c r="J15" s="1074">
        <f>+H15-'Ut25'!H15</f>
        <v>-3.4047753141294379E-2</v>
      </c>
      <c r="K15" s="21"/>
      <c r="L15" s="21"/>
      <c r="M15" s="21"/>
      <c r="N15" s="21"/>
      <c r="O15" s="21"/>
    </row>
    <row r="16" spans="1:15">
      <c r="A16" s="48" t="s">
        <v>723</v>
      </c>
      <c r="B16" s="298">
        <v>5.67E-2</v>
      </c>
      <c r="C16" s="142">
        <f>Gdata!J66</f>
        <v>639203</v>
      </c>
      <c r="D16" s="143">
        <f>Gdata!J34</f>
        <v>960</v>
      </c>
      <c r="E16" s="208">
        <f>(D16/C16)/(Gdata!J$28/Gdata!J$60)</f>
        <v>1.3923350817462279</v>
      </c>
      <c r="F16" s="145">
        <f t="shared" si="1"/>
        <v>2.2245399135011123E-2</v>
      </c>
      <c r="G16" s="411">
        <f t="shared" si="0"/>
        <v>1410.348529401914</v>
      </c>
      <c r="H16" s="411">
        <f>G16*Gdata!J$28/1000</f>
        <v>8299.9010955302638</v>
      </c>
      <c r="I16" s="21"/>
      <c r="J16" s="1074">
        <f>+H16-'Ut25'!H16</f>
        <v>7.7655268991293269E-2</v>
      </c>
      <c r="K16" s="21"/>
      <c r="L16" s="21"/>
      <c r="M16" s="21"/>
      <c r="N16" s="21"/>
      <c r="O16" s="21"/>
    </row>
    <row r="17" spans="1:15">
      <c r="A17" s="48" t="s">
        <v>724</v>
      </c>
      <c r="B17" s="298">
        <v>7.6499999999999999E-2</v>
      </c>
      <c r="C17" s="142">
        <f>Gdata!J67</f>
        <v>196967</v>
      </c>
      <c r="D17" s="143">
        <f>Gdata!J35</f>
        <v>316</v>
      </c>
      <c r="E17" s="208">
        <f>(D17/C17)/(Gdata!J$28/Gdata!J$60)</f>
        <v>1.4873218216616932</v>
      </c>
      <c r="F17" s="145">
        <f t="shared" si="1"/>
        <v>3.7280119357119536E-2</v>
      </c>
      <c r="G17" s="411">
        <f t="shared" si="0"/>
        <v>2363.5431844642007</v>
      </c>
      <c r="H17" s="411">
        <f>G17*Gdata!J$28/1000</f>
        <v>13909.451640571822</v>
      </c>
      <c r="I17" s="21"/>
      <c r="J17" s="1074">
        <f>+H17-'Ut25'!H17</f>
        <v>0.1301391662673268</v>
      </c>
      <c r="K17" s="21"/>
      <c r="L17" s="21"/>
      <c r="M17" s="21"/>
      <c r="N17" s="21"/>
      <c r="O17" s="21"/>
    </row>
    <row r="18" spans="1:15">
      <c r="A18" s="48" t="s">
        <v>725</v>
      </c>
      <c r="B18" s="298">
        <v>3.8399999999999997E-2</v>
      </c>
      <c r="C18" s="142">
        <f>Gdata!J68</f>
        <v>46460</v>
      </c>
      <c r="D18" s="143">
        <f>Gdata!J36</f>
        <v>76</v>
      </c>
      <c r="E18" s="208">
        <f>(D18/C18)/(Gdata!J$28/Gdata!J$60)</f>
        <v>1.5165115568850667</v>
      </c>
      <c r="F18" s="145">
        <f t="shared" si="1"/>
        <v>1.9834043784386558E-2</v>
      </c>
      <c r="G18" s="411">
        <f t="shared" si="0"/>
        <v>1257.4696598442833</v>
      </c>
      <c r="H18" s="411">
        <f>G18*Gdata!J$28/1000</f>
        <v>7400.2089481836074</v>
      </c>
      <c r="I18" s="21"/>
      <c r="J18" s="1074">
        <f>+H18-'Ut25'!H18</f>
        <v>6.9237598114341381E-2</v>
      </c>
      <c r="K18" s="21"/>
      <c r="L18" s="21"/>
      <c r="M18" s="21"/>
      <c r="N18" s="21"/>
      <c r="O18" s="21"/>
    </row>
    <row r="19" spans="1:15">
      <c r="A19" s="48" t="s">
        <v>729</v>
      </c>
      <c r="B19" s="298">
        <v>1.5900000000000001E-2</v>
      </c>
      <c r="C19" s="142">
        <f>Gdata!J69</f>
        <v>274.56015800000011</v>
      </c>
      <c r="D19" s="299">
        <f>Gdata!J37</f>
        <v>0.87415852999999999</v>
      </c>
      <c r="E19" s="208">
        <f>(D19/C19)/(Gdata!J$28/Gdata!J$60)</f>
        <v>2.9516443086126833</v>
      </c>
      <c r="F19" s="145">
        <f t="shared" si="1"/>
        <v>3.1031144506941666E-2</v>
      </c>
      <c r="G19" s="411">
        <f t="shared" si="0"/>
        <v>1967.3609250797367</v>
      </c>
      <c r="H19" s="411">
        <f>G19*Gdata!J$28/1000</f>
        <v>11577.919044094251</v>
      </c>
      <c r="I19" s="21"/>
      <c r="J19" s="1074">
        <f>+H19-'Ut25'!H19</f>
        <v>0.10832495560862299</v>
      </c>
      <c r="K19" s="21"/>
      <c r="L19" s="21"/>
      <c r="M19" s="21"/>
      <c r="N19" s="21"/>
      <c r="O19" s="21"/>
    </row>
    <row r="20" spans="1:15">
      <c r="A20" s="48" t="s">
        <v>348</v>
      </c>
      <c r="B20" s="298">
        <v>0.01</v>
      </c>
      <c r="C20" s="142">
        <f>Gdata!J70</f>
        <v>21404993.032999922</v>
      </c>
      <c r="D20" s="143">
        <f>Gdata!J38</f>
        <v>108674.414</v>
      </c>
      <c r="E20" s="208">
        <f>(D20/C20)/(Gdata!J$28/Gdata!J$60)</f>
        <v>4.7067762535528912</v>
      </c>
      <c r="F20" s="145">
        <f t="shared" si="1"/>
        <v>3.706776253552891E-2</v>
      </c>
      <c r="G20" s="411">
        <f t="shared" si="0"/>
        <v>2350.079855295724</v>
      </c>
      <c r="H20" s="411">
        <f>G20*Gdata!J$28/1000</f>
        <v>13830.219948415335</v>
      </c>
      <c r="I20" s="21"/>
      <c r="J20" s="1074">
        <f>+H20-'Ut25'!H20</f>
        <v>0.12939786124479724</v>
      </c>
      <c r="K20" s="21"/>
      <c r="L20" s="21"/>
      <c r="M20" s="21"/>
      <c r="N20" s="21"/>
      <c r="O20" s="21"/>
    </row>
    <row r="21" spans="1:15">
      <c r="A21" s="48" t="s">
        <v>347</v>
      </c>
      <c r="B21" s="298">
        <v>0.01</v>
      </c>
      <c r="C21" s="142">
        <f>Gdata!J71</f>
        <v>9740388.0300000217</v>
      </c>
      <c r="D21" s="143">
        <f>Gdata!J39</f>
        <v>20309.210666669998</v>
      </c>
      <c r="E21" s="208">
        <f>(D21/C21)/(Gdata!J$28/Gdata!J$60)</f>
        <v>1.9329833967720784</v>
      </c>
      <c r="F21" s="145">
        <f t="shared" si="1"/>
        <v>9.3298339677207846E-3</v>
      </c>
      <c r="G21" s="411">
        <f t="shared" si="0"/>
        <v>591.50737355077149</v>
      </c>
      <c r="H21" s="411">
        <f>G21*Gdata!J$28/1000</f>
        <v>3481.02089334629</v>
      </c>
      <c r="I21" s="21"/>
      <c r="J21" s="1074">
        <f>+H21-'Ut25'!H21</f>
        <v>3.2569016271736473E-2</v>
      </c>
      <c r="K21" s="21"/>
      <c r="L21" s="21"/>
      <c r="M21" s="21"/>
      <c r="N21" s="21"/>
      <c r="O21" s="21"/>
    </row>
    <row r="22" spans="1:15">
      <c r="A22" s="48" t="s">
        <v>746</v>
      </c>
      <c r="B22" s="298">
        <v>2E-3</v>
      </c>
      <c r="C22" s="142">
        <f>Gdata!J72</f>
        <v>1.0000000000000004</v>
      </c>
      <c r="D22" s="299">
        <f>Gdata!J40</f>
        <v>3.9778098558009307E-3</v>
      </c>
      <c r="E22" s="208">
        <f>(D22/C22)/(Gdata!J$28/Gdata!J$60)</f>
        <v>3.6876980779608939</v>
      </c>
      <c r="F22" s="145">
        <f t="shared" si="1"/>
        <v>5.3753961559217878E-3</v>
      </c>
      <c r="G22" s="411">
        <f t="shared" si="0"/>
        <v>340.79775406345857</v>
      </c>
      <c r="H22" s="411">
        <f>G22*Gdata!J$28/1000</f>
        <v>2005.5947826634535</v>
      </c>
      <c r="I22" s="21"/>
      <c r="J22" s="1074">
        <f>+H22-'Ut25'!H22</f>
        <v>1.8764681715992992E-2</v>
      </c>
      <c r="K22" s="21"/>
      <c r="L22" s="21"/>
      <c r="M22" s="21"/>
      <c r="N22" s="21"/>
      <c r="O22" s="21"/>
    </row>
    <row r="23" spans="1:15">
      <c r="A23" s="305" t="s">
        <v>1008</v>
      </c>
      <c r="B23" s="1142">
        <v>7.0000000000000001E-3</v>
      </c>
      <c r="C23" s="142">
        <f>Gdata!J73</f>
        <v>48588</v>
      </c>
      <c r="D23" s="143">
        <f>Gdata!J41</f>
        <v>43</v>
      </c>
      <c r="E23" s="208">
        <f>(D23/C23)/(Gdata!J$28/Gdata!J$60)</f>
        <v>0.82044745131834818</v>
      </c>
      <c r="F23" s="145">
        <f t="shared" si="1"/>
        <v>-1.2568678407715629E-3</v>
      </c>
      <c r="G23" s="411">
        <f t="shared" si="0"/>
        <v>-79.684868773375968</v>
      </c>
      <c r="H23" s="411">
        <f>G23*Gdata!J$28/1000</f>
        <v>-468.94545273131757</v>
      </c>
      <c r="I23" s="21"/>
      <c r="J23" s="1074">
        <f>+H23-'Ut25'!H23</f>
        <v>-4.3875324362261381E-3</v>
      </c>
      <c r="K23" s="21"/>
      <c r="L23" s="21"/>
      <c r="M23" s="21"/>
      <c r="N23" s="21"/>
      <c r="O23" s="21"/>
    </row>
    <row r="24" spans="1:15">
      <c r="A24" s="305" t="s">
        <v>991</v>
      </c>
      <c r="B24" s="1142">
        <v>8.3000000000000001E-3</v>
      </c>
      <c r="C24" s="142">
        <f>Gdata!J74</f>
        <v>177205.5</v>
      </c>
      <c r="D24" s="143">
        <f>Gdata!J42</f>
        <v>70</v>
      </c>
      <c r="E24" s="208">
        <f>(D24/C24)/(Gdata!J$28/Gdata!J$60)</f>
        <v>0.36621167049003128</v>
      </c>
      <c r="F24" s="145">
        <f t="shared" si="1"/>
        <v>-5.2604431349327395E-3</v>
      </c>
      <c r="G24" s="411">
        <f t="shared" si="0"/>
        <v>-333.50978304894659</v>
      </c>
      <c r="H24" s="411">
        <f>G24*Gdata!J$28/1000</f>
        <v>-1962.7050732430505</v>
      </c>
      <c r="I24" s="21"/>
      <c r="J24" s="1074">
        <f>+H24-'Ut25'!H24</f>
        <v>-1.8363398389510621E-2</v>
      </c>
      <c r="K24" s="21"/>
      <c r="L24" s="21"/>
      <c r="M24" s="21"/>
      <c r="N24" s="21"/>
      <c r="O24" s="21"/>
    </row>
    <row r="25" spans="1:15">
      <c r="A25" s="48" t="s">
        <v>726</v>
      </c>
      <c r="B25" s="1142">
        <v>4.53E-2</v>
      </c>
      <c r="C25" s="142">
        <f>Gdata!J75</f>
        <v>40709</v>
      </c>
      <c r="D25" s="143">
        <f>Gdata!J43</f>
        <v>42</v>
      </c>
      <c r="E25" s="208">
        <f>(D25/C25)/(Gdata!J$28/Gdata!J$60)</f>
        <v>0.95646744712502729</v>
      </c>
      <c r="F25" s="145">
        <f t="shared" si="1"/>
        <v>-1.9720246452362635E-3</v>
      </c>
      <c r="G25" s="411">
        <f t="shared" si="0"/>
        <v>-125.0254959002292</v>
      </c>
      <c r="H25" s="411">
        <f>G25*Gdata!J$28/1000</f>
        <v>-735.77504337284893</v>
      </c>
      <c r="I25" s="21"/>
      <c r="J25" s="1074">
        <f>+H25-'Ut25'!H25</f>
        <v>-6.8840349122183397E-3</v>
      </c>
      <c r="K25" s="21"/>
      <c r="L25" s="21"/>
      <c r="M25" s="21"/>
      <c r="N25" s="21"/>
      <c r="O25" s="21"/>
    </row>
    <row r="26" spans="1:15">
      <c r="A26" s="48" t="s">
        <v>159</v>
      </c>
      <c r="B26" s="1142">
        <v>1.9900000000000001E-2</v>
      </c>
      <c r="C26" s="142">
        <f>Gdata!J76</f>
        <v>107249</v>
      </c>
      <c r="D26" s="143">
        <f>Gdata!J44</f>
        <v>126</v>
      </c>
      <c r="E26" s="208">
        <f>(D26/C26)/(Gdata!J$28/Gdata!J$60)</f>
        <v>1.0891523456166325</v>
      </c>
      <c r="F26" s="145">
        <f t="shared" si="1"/>
        <v>1.7741316777709877E-3</v>
      </c>
      <c r="G26" s="411">
        <f t="shared" si="0"/>
        <v>112.47916872714777</v>
      </c>
      <c r="H26" s="411">
        <f>G26*Gdata!J$28/1000</f>
        <v>661.93990795926459</v>
      </c>
      <c r="I26" s="21"/>
      <c r="J26" s="1074">
        <f>+H26-'Ut25'!H26</f>
        <v>6.1932209814585804E-3</v>
      </c>
      <c r="K26" s="21"/>
      <c r="L26" s="21"/>
      <c r="M26" s="21"/>
      <c r="N26" s="21"/>
      <c r="O26" s="21"/>
    </row>
    <row r="27" spans="1:15">
      <c r="A27" s="305" t="s">
        <v>1011</v>
      </c>
      <c r="B27" s="1142">
        <v>1.24E-2</v>
      </c>
      <c r="C27" s="142">
        <f>Gdata!J77</f>
        <v>285349</v>
      </c>
      <c r="D27" s="143">
        <f>Gdata!J45</f>
        <v>205</v>
      </c>
      <c r="E27" s="208">
        <f>(D27/C27)/(Gdata!J$28/Gdata!J$60)</f>
        <v>0.66602241194764267</v>
      </c>
      <c r="F27" s="145">
        <f t="shared" si="1"/>
        <v>-4.1413220918492307E-3</v>
      </c>
      <c r="G27" s="411">
        <f t="shared" si="0"/>
        <v>-262.55800071605682</v>
      </c>
      <c r="H27" s="411">
        <f>G27*Gdata!J$28/1000</f>
        <v>-1545.1538342139945</v>
      </c>
      <c r="I27" s="21"/>
      <c r="J27" s="1074">
        <f>+H27-'Ut25'!H27</f>
        <v>-1.4456718850624384E-2</v>
      </c>
      <c r="K27" s="21"/>
      <c r="L27" s="21"/>
      <c r="M27" s="21"/>
      <c r="N27" s="21"/>
      <c r="O27" s="21"/>
    </row>
    <row r="28" spans="1:15">
      <c r="A28" s="48" t="s">
        <v>759</v>
      </c>
      <c r="B28" s="1142">
        <v>6.4000000000000003E-3</v>
      </c>
      <c r="C28" s="142">
        <f>Gdata!J78</f>
        <v>121768</v>
      </c>
      <c r="D28" s="143">
        <f>Gdata!J46</f>
        <v>161</v>
      </c>
      <c r="E28" s="208">
        <f>(D28/C28)/(Gdata!J$28/Gdata!J$60)</f>
        <v>1.2257560360895214</v>
      </c>
      <c r="F28" s="145">
        <f t="shared" si="1"/>
        <v>1.4448386309729372E-3</v>
      </c>
      <c r="G28" s="411">
        <f t="shared" si="0"/>
        <v>91.602134268234508</v>
      </c>
      <c r="H28" s="411">
        <f>G28*Gdata!J$28/1000</f>
        <v>539.0785601685601</v>
      </c>
      <c r="I28" s="21"/>
      <c r="J28" s="1074">
        <f>+H28-'Ut25'!H28</f>
        <v>5.0437095713959934E-3</v>
      </c>
      <c r="K28" s="21"/>
      <c r="L28" s="21"/>
      <c r="M28" s="21"/>
      <c r="N28" s="21"/>
      <c r="O28" s="21"/>
    </row>
    <row r="29" spans="1:15">
      <c r="A29" s="48" t="s">
        <v>160</v>
      </c>
      <c r="B29" s="1142">
        <v>9.4999999999999998E-3</v>
      </c>
      <c r="C29" s="142">
        <f>Gdata!J79</f>
        <v>233.69029071</v>
      </c>
      <c r="D29" s="299">
        <f>Gdata!J47</f>
        <v>4.7872770000000002E-2</v>
      </c>
      <c r="E29" s="208">
        <f>(D29/C29)/(Gdata!J$28/Gdata!J$60)</f>
        <v>0.18991498164147799</v>
      </c>
      <c r="F29" s="145">
        <f t="shared" si="1"/>
        <v>-7.6958076744059589E-3</v>
      </c>
      <c r="G29" s="411">
        <f t="shared" si="0"/>
        <v>-487.91082462872515</v>
      </c>
      <c r="H29" s="411">
        <f>G29*Gdata!J$28/1000</f>
        <v>-2871.3552029400475</v>
      </c>
      <c r="I29" s="21"/>
      <c r="J29" s="1074">
        <f>+H29-'Ut25'!H29</f>
        <v>-2.6864881651363248E-2</v>
      </c>
      <c r="K29" s="21"/>
      <c r="L29" s="21"/>
      <c r="M29" s="21"/>
      <c r="N29" s="21"/>
      <c r="O29" s="21"/>
    </row>
    <row r="30" spans="1:15">
      <c r="A30" s="48" t="s">
        <v>1120</v>
      </c>
      <c r="B30" s="1142">
        <v>1.9199999999999998E-2</v>
      </c>
      <c r="C30" s="142">
        <f>Gdata!J80</f>
        <v>515435</v>
      </c>
      <c r="D30" s="143">
        <f>+Gdata!J48</f>
        <v>488</v>
      </c>
      <c r="E30" s="208">
        <f>(D30/C30)/(Gdata!J$28/Gdata!J$60)</f>
        <v>0.87772254562818264</v>
      </c>
      <c r="F30" s="145">
        <f t="shared" si="1"/>
        <v>-2.347727123938893E-3</v>
      </c>
      <c r="G30" s="411">
        <f t="shared" si="0"/>
        <v>-148.84486794723216</v>
      </c>
      <c r="H30" s="411">
        <f>G30*Gdata!J$28/1000</f>
        <v>-875.95204786946124</v>
      </c>
      <c r="I30" s="21"/>
      <c r="J30" s="1074">
        <f>+H30-'Ut25'!H30</f>
        <v>-8.1955545152823106E-3</v>
      </c>
      <c r="K30" s="21"/>
      <c r="L30" s="21"/>
      <c r="M30" s="21"/>
      <c r="N30" s="21"/>
      <c r="O30" s="21"/>
    </row>
    <row r="31" spans="1:15">
      <c r="A31" s="48" t="s">
        <v>728</v>
      </c>
      <c r="B31" s="1142">
        <v>4.8399999999999999E-2</v>
      </c>
      <c r="C31" s="142">
        <f>Gdata!J81</f>
        <v>20146</v>
      </c>
      <c r="D31" s="143">
        <f>Gdata!J49</f>
        <v>24</v>
      </c>
      <c r="E31" s="208">
        <f>(D31/C31)/(Gdata!J$28/Gdata!J$60)</f>
        <v>1.1044186950975803</v>
      </c>
      <c r="F31" s="145">
        <f t="shared" si="1"/>
        <v>5.0538648427228853E-3</v>
      </c>
      <c r="G31" s="411">
        <f t="shared" si="0"/>
        <v>320.41281010383153</v>
      </c>
      <c r="H31" s="411">
        <f>G31*Gdata!J$28/1000</f>
        <v>1885.6293874610485</v>
      </c>
      <c r="I31" s="21"/>
      <c r="J31" s="1074">
        <f>+H31-'Ut25'!H31</f>
        <v>1.7642265325093831E-2</v>
      </c>
      <c r="K31" s="21"/>
      <c r="L31" s="21"/>
      <c r="M31" s="21"/>
      <c r="N31" s="21"/>
      <c r="O31" s="21"/>
    </row>
    <row r="32" spans="1:15">
      <c r="A32" s="48" t="s">
        <v>727</v>
      </c>
      <c r="B32" s="1142">
        <v>4.53E-2</v>
      </c>
      <c r="C32" s="142">
        <f>Gdata!J82</f>
        <v>388016</v>
      </c>
      <c r="D32" s="143">
        <f>Gdata!J50</f>
        <v>572</v>
      </c>
      <c r="E32" s="208">
        <f>(D32/C32)/(Gdata!J$28/Gdata!J$60)</f>
        <v>1.3666513414804744</v>
      </c>
      <c r="F32" s="145">
        <f t="shared" si="1"/>
        <v>1.660930576906549E-2</v>
      </c>
      <c r="G32" s="411">
        <f t="shared" si="0"/>
        <v>1053.0226867865335</v>
      </c>
      <c r="H32" s="411">
        <f>G32*Gdata!J$28/1000</f>
        <v>6197.0385117387505</v>
      </c>
      <c r="I32" s="21"/>
      <c r="J32" s="1074">
        <f>+H32-'Ut25'!H32</f>
        <v>5.7980533387308242E-2</v>
      </c>
      <c r="K32" s="21"/>
      <c r="L32" s="21"/>
      <c r="M32" s="21"/>
      <c r="N32" s="21"/>
      <c r="O32" s="21"/>
    </row>
    <row r="33" spans="1:15">
      <c r="A33" s="305" t="s">
        <v>1002</v>
      </c>
      <c r="B33" s="1142">
        <v>1.6500000000000001E-2</v>
      </c>
      <c r="C33" s="142">
        <f>Gdata!J83</f>
        <v>41007.707449999973</v>
      </c>
      <c r="D33" s="143">
        <f>Gdata!J51</f>
        <v>27.875</v>
      </c>
      <c r="E33" s="208">
        <f>(D33/C33)/(Gdata!J$28/Gdata!J$60)</f>
        <v>0.63017435122560395</v>
      </c>
      <c r="F33" s="145">
        <f t="shared" si="1"/>
        <v>-6.1021232047775353E-3</v>
      </c>
      <c r="G33" s="411">
        <f t="shared" si="0"/>
        <v>-386.8719296001513</v>
      </c>
      <c r="H33" s="411">
        <f>G33*Gdata!J$28/1000</f>
        <v>-2276.7413056968903</v>
      </c>
      <c r="I33" s="21"/>
      <c r="J33" s="1074">
        <f>+H33-'Ut25'!H33</f>
        <v>-2.1301574136032286E-2</v>
      </c>
      <c r="K33" s="21"/>
      <c r="L33" s="21"/>
      <c r="M33" s="21"/>
      <c r="N33" s="21"/>
      <c r="O33" s="21"/>
    </row>
    <row r="34" spans="1:15">
      <c r="A34" s="48" t="s">
        <v>161</v>
      </c>
      <c r="B34" s="298">
        <v>1.8100000000000002E-2</v>
      </c>
      <c r="C34" s="142">
        <f>Gdata!J84</f>
        <v>1533254</v>
      </c>
      <c r="D34" s="143">
        <f>Gdata!J52</f>
        <v>938</v>
      </c>
      <c r="E34" s="208">
        <f>(D34/C34)/(Gdata!J$28/Gdata!J$60)</f>
        <v>0.56715278560844107</v>
      </c>
      <c r="F34" s="145">
        <f t="shared" si="1"/>
        <v>-7.834534580487218E-3</v>
      </c>
      <c r="G34" s="411">
        <f t="shared" si="0"/>
        <v>-496.7060495106312</v>
      </c>
      <c r="H34" s="411">
        <f>G34*Gdata!J$28/1000</f>
        <v>-2923.1151013700646</v>
      </c>
      <c r="I34" s="21"/>
      <c r="J34" s="1074">
        <f>+H34-'Ut25'!H34</f>
        <v>-2.7349155956471805E-2</v>
      </c>
      <c r="K34" s="21"/>
      <c r="L34" s="21"/>
      <c r="M34" s="21"/>
      <c r="N34" s="21"/>
      <c r="O34" s="21"/>
    </row>
    <row r="35" spans="1:15" s="19" customFormat="1" ht="14" thickBot="1">
      <c r="A35" s="146" t="s">
        <v>760</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1"/>
        <v>0.11072095457725005</v>
      </c>
      <c r="G35" s="412">
        <f>SUM(G11:G34)</f>
        <v>7019.6598637888501</v>
      </c>
      <c r="H35" s="412">
        <f>SUM(H11:H34)</f>
        <v>41310.698298397379</v>
      </c>
      <c r="I35" s="27"/>
      <c r="J35" s="412">
        <f>+H35-'Ut25'!H35</f>
        <v>0.38650983326078858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761</v>
      </c>
      <c r="B38" s="23"/>
      <c r="C38" s="23"/>
      <c r="D38" s="23"/>
      <c r="E38" s="23"/>
      <c r="F38" s="23"/>
      <c r="G38" s="344">
        <f>G35*Gdata!J28/1000</f>
        <v>41310.698298397387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762</v>
      </c>
      <c r="B40" s="23"/>
      <c r="C40" s="23"/>
      <c r="D40" s="23"/>
      <c r="E40" s="23"/>
      <c r="F40" s="23"/>
      <c r="G40" s="414">
        <f>Bregn!K90</f>
        <v>3791.8511677800002</v>
      </c>
      <c r="H40" s="413"/>
      <c r="I40" s="21"/>
      <c r="J40" s="21"/>
      <c r="K40" s="21"/>
      <c r="L40" s="21"/>
      <c r="M40" s="21"/>
      <c r="N40" s="21"/>
      <c r="O40" s="21"/>
    </row>
    <row r="41" spans="1:15" s="20" customFormat="1" ht="13.5" thickBot="1">
      <c r="A41" s="144" t="s">
        <v>763</v>
      </c>
      <c r="B41" s="144"/>
      <c r="C41" s="144"/>
      <c r="D41" s="144"/>
      <c r="E41" s="144"/>
      <c r="F41" s="144"/>
      <c r="G41" s="353">
        <f>G38+G40</f>
        <v>45102.549466177385</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Bregn!K87</f>
        <v>63399.560549229442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s>
  <sheetData>
    <row r="1" spans="1:12" s="85" customFormat="1">
      <c r="A1"/>
      <c r="B1" s="74" t="s">
        <v>719</v>
      </c>
    </row>
    <row r="2" spans="1:12"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row>
    <row r="3" spans="1:12" s="85" customFormat="1" ht="13">
      <c r="A3" s="121">
        <v>1</v>
      </c>
      <c r="B3" s="121">
        <v>2</v>
      </c>
      <c r="C3" s="121">
        <v>3</v>
      </c>
      <c r="D3" s="121">
        <v>4</v>
      </c>
      <c r="E3" s="121">
        <v>5</v>
      </c>
      <c r="F3" s="121">
        <v>6</v>
      </c>
      <c r="G3" s="121">
        <v>7</v>
      </c>
      <c r="H3" s="121">
        <v>8</v>
      </c>
      <c r="I3" s="121">
        <v>9</v>
      </c>
      <c r="J3" s="121">
        <v>10</v>
      </c>
      <c r="K3" s="121">
        <v>11</v>
      </c>
      <c r="L3" s="121">
        <v>12</v>
      </c>
    </row>
    <row r="4" spans="1:12" s="85" customFormat="1" ht="13">
      <c r="A4" s="1">
        <v>104</v>
      </c>
      <c r="B4" s="2" t="s">
        <v>784</v>
      </c>
      <c r="C4" s="289">
        <v>31308</v>
      </c>
      <c r="D4" s="177">
        <v>654723</v>
      </c>
      <c r="E4" s="289">
        <v>31802</v>
      </c>
      <c r="F4" s="177">
        <v>706367</v>
      </c>
      <c r="G4" s="289">
        <v>32182</v>
      </c>
      <c r="H4" s="177">
        <v>780688</v>
      </c>
      <c r="I4" s="289">
        <v>32407</v>
      </c>
      <c r="J4" s="177">
        <v>804643</v>
      </c>
      <c r="K4" s="289">
        <v>32588</v>
      </c>
      <c r="L4" s="177">
        <v>850407</v>
      </c>
    </row>
    <row r="5" spans="1:12" s="85" customFormat="1" ht="13">
      <c r="A5" s="1">
        <v>121</v>
      </c>
      <c r="B5" s="2" t="s">
        <v>790</v>
      </c>
      <c r="C5" s="289">
        <v>672</v>
      </c>
      <c r="D5" s="177">
        <v>13656</v>
      </c>
      <c r="E5" s="289">
        <v>672</v>
      </c>
      <c r="F5" s="177">
        <v>14750</v>
      </c>
      <c r="G5" s="289">
        <v>672</v>
      </c>
      <c r="H5" s="177">
        <v>20035</v>
      </c>
      <c r="I5" s="289">
        <v>685</v>
      </c>
      <c r="J5" s="177">
        <v>18554</v>
      </c>
      <c r="K5" s="289">
        <v>682</v>
      </c>
      <c r="L5" s="177">
        <v>17031</v>
      </c>
    </row>
    <row r="6" spans="1:12" s="85" customFormat="1" ht="13">
      <c r="A6" s="1">
        <v>122</v>
      </c>
      <c r="B6" s="2" t="s">
        <v>791</v>
      </c>
      <c r="C6" s="289">
        <v>5366</v>
      </c>
      <c r="D6" s="177">
        <v>106758</v>
      </c>
      <c r="E6" s="289">
        <v>5346</v>
      </c>
      <c r="F6" s="177">
        <v>114965</v>
      </c>
      <c r="G6" s="289">
        <v>5343</v>
      </c>
      <c r="H6" s="177">
        <v>125619</v>
      </c>
      <c r="I6" s="289">
        <v>5367</v>
      </c>
      <c r="J6" s="177">
        <v>132106</v>
      </c>
      <c r="K6" s="289">
        <v>5337</v>
      </c>
      <c r="L6" s="177">
        <v>136209</v>
      </c>
    </row>
    <row r="7" spans="1:12" s="85" customFormat="1" ht="13">
      <c r="A7" s="1">
        <v>123</v>
      </c>
      <c r="B7" s="2" t="s">
        <v>792</v>
      </c>
      <c r="C7" s="289">
        <v>5620</v>
      </c>
      <c r="D7" s="177">
        <v>124611</v>
      </c>
      <c r="E7" s="289">
        <v>5692</v>
      </c>
      <c r="F7" s="177">
        <v>131932</v>
      </c>
      <c r="G7" s="289">
        <v>5736</v>
      </c>
      <c r="H7" s="177">
        <v>148475</v>
      </c>
      <c r="I7" s="289">
        <v>5765</v>
      </c>
      <c r="J7" s="177">
        <v>152464</v>
      </c>
      <c r="K7" s="289">
        <v>5853</v>
      </c>
      <c r="L7" s="177">
        <v>162032</v>
      </c>
    </row>
    <row r="8" spans="1:12" s="85" customFormat="1" ht="13">
      <c r="A8" s="1">
        <v>124</v>
      </c>
      <c r="B8" s="2" t="s">
        <v>793</v>
      </c>
      <c r="C8" s="289">
        <v>15430</v>
      </c>
      <c r="D8" s="177">
        <v>329976</v>
      </c>
      <c r="E8" s="289">
        <v>15513</v>
      </c>
      <c r="F8" s="177">
        <v>348072</v>
      </c>
      <c r="G8" s="289">
        <v>15615</v>
      </c>
      <c r="H8" s="177">
        <v>381956</v>
      </c>
      <c r="I8" s="289">
        <v>15720</v>
      </c>
      <c r="J8" s="177">
        <v>406616</v>
      </c>
      <c r="K8" s="289">
        <v>15810</v>
      </c>
      <c r="L8" s="177">
        <v>423469</v>
      </c>
    </row>
    <row r="9" spans="1:12" s="85" customFormat="1" ht="13">
      <c r="A9" s="1">
        <v>125</v>
      </c>
      <c r="B9" s="2" t="s">
        <v>794</v>
      </c>
      <c r="C9" s="289">
        <v>11323</v>
      </c>
      <c r="D9" s="177">
        <v>224909</v>
      </c>
      <c r="E9" s="289">
        <v>11353</v>
      </c>
      <c r="F9" s="177">
        <v>237494</v>
      </c>
      <c r="G9" s="289">
        <v>11396</v>
      </c>
      <c r="H9" s="177">
        <v>263678</v>
      </c>
      <c r="I9" s="289">
        <v>11406</v>
      </c>
      <c r="J9" s="177">
        <v>272231</v>
      </c>
      <c r="K9" s="289">
        <v>11414</v>
      </c>
      <c r="L9" s="177">
        <v>287718</v>
      </c>
    </row>
    <row r="10" spans="1:12" s="85" customFormat="1" ht="13">
      <c r="A10" s="1">
        <v>136</v>
      </c>
      <c r="B10" s="2" t="s">
        <v>798</v>
      </c>
      <c r="C10" s="289">
        <v>15101</v>
      </c>
      <c r="D10" s="177">
        <v>333585</v>
      </c>
      <c r="E10" s="289">
        <v>15242</v>
      </c>
      <c r="F10" s="177">
        <v>364572</v>
      </c>
      <c r="G10" s="289">
        <v>15458</v>
      </c>
      <c r="H10" s="177">
        <v>407583</v>
      </c>
      <c r="I10" s="289">
        <v>15747</v>
      </c>
      <c r="J10" s="177">
        <v>432231</v>
      </c>
      <c r="K10" s="289">
        <v>16083</v>
      </c>
      <c r="L10" s="177">
        <v>467477</v>
      </c>
    </row>
    <row r="11" spans="1:12" ht="13">
      <c r="A11" s="1">
        <v>138</v>
      </c>
      <c r="B11" s="2" t="s">
        <v>800</v>
      </c>
      <c r="C11" s="289">
        <v>5187</v>
      </c>
      <c r="D11" s="177">
        <v>107464</v>
      </c>
      <c r="E11" s="289">
        <v>5343</v>
      </c>
      <c r="F11" s="177">
        <v>119637</v>
      </c>
      <c r="G11" s="289">
        <v>5382</v>
      </c>
      <c r="H11" s="177">
        <v>134439</v>
      </c>
      <c r="I11" s="289">
        <v>5557</v>
      </c>
      <c r="J11" s="177">
        <v>138030</v>
      </c>
      <c r="K11" s="289">
        <v>5621</v>
      </c>
      <c r="L11" s="177">
        <v>146576</v>
      </c>
    </row>
    <row r="12" spans="1:12" ht="13">
      <c r="A12" s="1">
        <v>213</v>
      </c>
      <c r="B12" s="2" t="s">
        <v>802</v>
      </c>
      <c r="C12" s="289">
        <v>29542</v>
      </c>
      <c r="D12" s="177">
        <v>770043</v>
      </c>
      <c r="E12" s="289">
        <v>29775</v>
      </c>
      <c r="F12" s="177">
        <v>808395</v>
      </c>
      <c r="G12" s="289">
        <v>30261</v>
      </c>
      <c r="H12" s="177">
        <v>898881</v>
      </c>
      <c r="I12" s="289">
        <v>30698</v>
      </c>
      <c r="J12" s="177">
        <v>958294</v>
      </c>
      <c r="K12" s="289">
        <v>30880</v>
      </c>
      <c r="L12" s="177">
        <v>999458</v>
      </c>
    </row>
    <row r="13" spans="1:12" ht="13">
      <c r="A13" s="1">
        <v>217</v>
      </c>
      <c r="B13" s="2" t="s">
        <v>806</v>
      </c>
      <c r="C13" s="289">
        <v>26255</v>
      </c>
      <c r="D13" s="177">
        <v>832842</v>
      </c>
      <c r="E13" s="289">
        <v>26580</v>
      </c>
      <c r="F13" s="177">
        <v>873874</v>
      </c>
      <c r="G13" s="289">
        <v>26792</v>
      </c>
      <c r="H13" s="177">
        <v>958475</v>
      </c>
      <c r="I13" s="289">
        <v>26988</v>
      </c>
      <c r="J13" s="177">
        <v>1010595</v>
      </c>
      <c r="K13" s="289">
        <v>27178</v>
      </c>
      <c r="L13" s="177">
        <v>1020926</v>
      </c>
    </row>
    <row r="14" spans="1:12" ht="13">
      <c r="A14" s="1">
        <v>220</v>
      </c>
      <c r="B14" s="2" t="s">
        <v>808</v>
      </c>
      <c r="C14" s="289">
        <v>58338</v>
      </c>
      <c r="D14" s="177">
        <v>2199038</v>
      </c>
      <c r="E14" s="289">
        <v>59571</v>
      </c>
      <c r="F14" s="177">
        <v>2358793</v>
      </c>
      <c r="G14" s="289">
        <v>60106</v>
      </c>
      <c r="H14" s="177">
        <v>2702018</v>
      </c>
      <c r="I14" s="289">
        <v>60781</v>
      </c>
      <c r="J14" s="177">
        <v>2777270</v>
      </c>
      <c r="K14" s="289">
        <v>60926</v>
      </c>
      <c r="L14" s="177">
        <v>2889909</v>
      </c>
    </row>
    <row r="15" spans="1:12" ht="13">
      <c r="A15" s="1">
        <v>221</v>
      </c>
      <c r="B15" s="2" t="s">
        <v>809</v>
      </c>
      <c r="C15" s="289">
        <v>15500</v>
      </c>
      <c r="D15" s="177">
        <v>302125</v>
      </c>
      <c r="E15" s="289">
        <v>15726</v>
      </c>
      <c r="F15" s="177">
        <v>329143</v>
      </c>
      <c r="G15" s="289">
        <v>15914</v>
      </c>
      <c r="H15" s="177">
        <v>350928</v>
      </c>
      <c r="I15" s="289">
        <v>16162</v>
      </c>
      <c r="J15" s="177">
        <v>374281</v>
      </c>
      <c r="K15" s="289">
        <v>16390</v>
      </c>
      <c r="L15" s="177">
        <v>400409</v>
      </c>
    </row>
    <row r="16" spans="1:12" ht="13">
      <c r="A16" s="1">
        <v>226</v>
      </c>
      <c r="B16" s="2" t="s">
        <v>810</v>
      </c>
      <c r="C16" s="289">
        <v>16918</v>
      </c>
      <c r="D16" s="177">
        <v>421597</v>
      </c>
      <c r="E16" s="289">
        <v>17089</v>
      </c>
      <c r="F16" s="177">
        <v>436963</v>
      </c>
      <c r="G16" s="289">
        <v>17443</v>
      </c>
      <c r="H16" s="177">
        <v>486909</v>
      </c>
      <c r="I16" s="289">
        <v>17665</v>
      </c>
      <c r="J16" s="177">
        <v>514762</v>
      </c>
      <c r="K16" s="289">
        <v>17980</v>
      </c>
      <c r="L16" s="177">
        <v>535693</v>
      </c>
    </row>
    <row r="17" spans="1:12" ht="13">
      <c r="A17" s="1">
        <v>227</v>
      </c>
      <c r="B17" s="2" t="s">
        <v>811</v>
      </c>
      <c r="C17" s="289">
        <v>11048</v>
      </c>
      <c r="D17" s="177">
        <v>273412</v>
      </c>
      <c r="E17" s="289">
        <v>11199</v>
      </c>
      <c r="F17" s="177">
        <v>281509</v>
      </c>
      <c r="G17" s="289">
        <v>11374</v>
      </c>
      <c r="H17" s="177">
        <v>325799</v>
      </c>
      <c r="I17" s="289">
        <v>11555</v>
      </c>
      <c r="J17" s="177">
        <v>336499</v>
      </c>
      <c r="K17" s="289">
        <v>11663</v>
      </c>
      <c r="L17" s="177">
        <v>358041</v>
      </c>
    </row>
    <row r="18" spans="1:12" ht="13">
      <c r="A18" s="1">
        <v>231</v>
      </c>
      <c r="B18" s="2" t="s">
        <v>815</v>
      </c>
      <c r="C18" s="289">
        <v>51188</v>
      </c>
      <c r="D18" s="177">
        <v>1334508</v>
      </c>
      <c r="E18" s="289">
        <v>51725</v>
      </c>
      <c r="F18" s="177">
        <v>1392116</v>
      </c>
      <c r="G18" s="289">
        <v>52522</v>
      </c>
      <c r="H18" s="177">
        <v>1535449</v>
      </c>
      <c r="I18" s="289">
        <v>53276</v>
      </c>
      <c r="J18" s="177">
        <v>1639443</v>
      </c>
      <c r="K18" s="289">
        <v>54178</v>
      </c>
      <c r="L18" s="177">
        <v>1707289</v>
      </c>
    </row>
    <row r="19" spans="1:12" ht="13">
      <c r="A19" s="1">
        <v>301</v>
      </c>
      <c r="B19" s="2" t="s">
        <v>823</v>
      </c>
      <c r="C19" s="289">
        <v>634463</v>
      </c>
      <c r="D19" s="177">
        <v>20917085</v>
      </c>
      <c r="E19" s="289">
        <v>647676</v>
      </c>
      <c r="F19" s="177">
        <v>22488171</v>
      </c>
      <c r="G19" s="289">
        <v>658390</v>
      </c>
      <c r="H19" s="177">
        <v>25522086</v>
      </c>
      <c r="I19" s="289">
        <v>666759</v>
      </c>
      <c r="J19" s="177">
        <v>27402999</v>
      </c>
      <c r="K19" s="289">
        <v>673469</v>
      </c>
      <c r="L19" s="177">
        <v>28170461</v>
      </c>
    </row>
    <row r="20" spans="1:12" ht="13">
      <c r="A20" s="1">
        <v>602</v>
      </c>
      <c r="B20" s="2" t="s">
        <v>871</v>
      </c>
      <c r="C20" s="289">
        <v>66214</v>
      </c>
      <c r="D20" s="177">
        <v>1613484</v>
      </c>
      <c r="E20" s="289">
        <v>67016</v>
      </c>
      <c r="F20" s="177">
        <v>1706967</v>
      </c>
      <c r="G20" s="289">
        <v>67895</v>
      </c>
      <c r="H20" s="177">
        <v>1893427</v>
      </c>
      <c r="I20" s="289">
        <v>68363</v>
      </c>
      <c r="J20" s="177">
        <v>2001966</v>
      </c>
      <c r="K20" s="289">
        <v>68713</v>
      </c>
      <c r="L20" s="177">
        <v>2041109</v>
      </c>
    </row>
    <row r="21" spans="1:12" ht="13">
      <c r="A21" s="1">
        <v>625</v>
      </c>
      <c r="B21" s="2" t="s">
        <v>885</v>
      </c>
      <c r="C21" s="289">
        <v>23811</v>
      </c>
      <c r="D21" s="177">
        <v>493252</v>
      </c>
      <c r="E21" s="289">
        <v>24154</v>
      </c>
      <c r="F21" s="177">
        <v>541773</v>
      </c>
      <c r="G21" s="289">
        <v>24431</v>
      </c>
      <c r="H21" s="177">
        <v>584271</v>
      </c>
      <c r="I21" s="289">
        <v>24718</v>
      </c>
      <c r="J21" s="177">
        <v>609858</v>
      </c>
      <c r="K21" s="289">
        <v>24917</v>
      </c>
      <c r="L21" s="177">
        <v>633764</v>
      </c>
    </row>
    <row r="22" spans="1:12" ht="13">
      <c r="A22" s="1">
        <v>627</v>
      </c>
      <c r="B22" s="2" t="s">
        <v>887</v>
      </c>
      <c r="C22" s="289">
        <v>20621</v>
      </c>
      <c r="D22" s="177">
        <v>528310</v>
      </c>
      <c r="E22" s="289">
        <v>21038</v>
      </c>
      <c r="F22" s="177">
        <v>562478</v>
      </c>
      <c r="G22" s="289">
        <v>21492</v>
      </c>
      <c r="H22" s="177">
        <v>620312</v>
      </c>
      <c r="I22" s="289">
        <v>21931</v>
      </c>
      <c r="J22" s="177">
        <v>663245</v>
      </c>
      <c r="K22" s="289">
        <v>22452</v>
      </c>
      <c r="L22" s="177">
        <v>699523</v>
      </c>
    </row>
    <row r="23" spans="1:12" ht="13">
      <c r="A23" s="1">
        <v>628</v>
      </c>
      <c r="B23" s="2" t="s">
        <v>888</v>
      </c>
      <c r="C23" s="289">
        <v>9330</v>
      </c>
      <c r="D23" s="177">
        <v>220706</v>
      </c>
      <c r="E23" s="289">
        <v>9365</v>
      </c>
      <c r="F23" s="177">
        <v>225635</v>
      </c>
      <c r="G23" s="289">
        <v>9413</v>
      </c>
      <c r="H23" s="177">
        <v>242693</v>
      </c>
      <c r="I23" s="289">
        <v>9462</v>
      </c>
      <c r="J23" s="177">
        <v>254706</v>
      </c>
      <c r="K23" s="289">
        <v>9450</v>
      </c>
      <c r="L23" s="177">
        <v>260549</v>
      </c>
    </row>
    <row r="24" spans="1:12" ht="13">
      <c r="A24" s="755">
        <v>704</v>
      </c>
      <c r="B24" s="756" t="s">
        <v>893</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row>
    <row r="25" spans="1:12" ht="13">
      <c r="A25" s="1">
        <v>711</v>
      </c>
      <c r="B25" s="2" t="s">
        <v>896</v>
      </c>
      <c r="C25" s="289">
        <v>6580</v>
      </c>
      <c r="D25" s="177">
        <v>138705</v>
      </c>
      <c r="E25" s="289">
        <v>6601</v>
      </c>
      <c r="F25" s="177">
        <v>146397</v>
      </c>
      <c r="G25" s="289">
        <v>6604</v>
      </c>
      <c r="H25" s="177">
        <v>160212</v>
      </c>
      <c r="I25" s="289">
        <v>6653</v>
      </c>
      <c r="J25" s="177">
        <v>164536</v>
      </c>
      <c r="K25" s="289">
        <v>6672</v>
      </c>
      <c r="L25" s="177">
        <v>172141</v>
      </c>
    </row>
    <row r="26" spans="1:12" ht="13">
      <c r="A26" s="1">
        <v>713</v>
      </c>
      <c r="B26" s="2" t="s">
        <v>897</v>
      </c>
      <c r="C26" s="289">
        <v>9036</v>
      </c>
      <c r="D26" s="177">
        <v>200826</v>
      </c>
      <c r="E26" s="289">
        <v>9149</v>
      </c>
      <c r="F26" s="177">
        <v>216349</v>
      </c>
      <c r="G26" s="289">
        <v>9297</v>
      </c>
      <c r="H26" s="177">
        <v>247645</v>
      </c>
      <c r="I26" s="289">
        <v>9496</v>
      </c>
      <c r="J26" s="177">
        <v>261519</v>
      </c>
      <c r="K26" s="289">
        <v>9726</v>
      </c>
      <c r="L26" s="177">
        <v>270984</v>
      </c>
    </row>
    <row r="27" spans="1:12" ht="13">
      <c r="A27" s="1">
        <v>715</v>
      </c>
      <c r="B27" s="2" t="s">
        <v>1238</v>
      </c>
      <c r="C27" s="289">
        <f t="shared" ref="C27:J27" si="0">+C$438+C$439</f>
        <v>13547</v>
      </c>
      <c r="D27" s="177">
        <f t="shared" si="0"/>
        <v>290261</v>
      </c>
      <c r="E27" s="289">
        <f t="shared" si="0"/>
        <v>13775</v>
      </c>
      <c r="F27" s="177">
        <f t="shared" si="0"/>
        <v>310437</v>
      </c>
      <c r="G27" s="289">
        <f t="shared" si="0"/>
        <v>13904</v>
      </c>
      <c r="H27" s="177">
        <f t="shared" si="0"/>
        <v>338691</v>
      </c>
      <c r="I27" s="289">
        <f t="shared" si="0"/>
        <v>14037</v>
      </c>
      <c r="J27" s="177">
        <f t="shared" si="0"/>
        <v>359370</v>
      </c>
      <c r="K27" s="289">
        <v>14212</v>
      </c>
      <c r="L27" s="177">
        <v>378353</v>
      </c>
    </row>
    <row r="28" spans="1:12" ht="13">
      <c r="A28" s="1">
        <v>716</v>
      </c>
      <c r="B28" s="4" t="s">
        <v>350</v>
      </c>
      <c r="C28" s="289">
        <v>9144</v>
      </c>
      <c r="D28" s="177">
        <v>192735</v>
      </c>
      <c r="E28" s="289">
        <v>9253</v>
      </c>
      <c r="F28" s="177">
        <v>209397</v>
      </c>
      <c r="G28" s="289">
        <v>9361</v>
      </c>
      <c r="H28" s="177">
        <v>228469</v>
      </c>
      <c r="I28" s="289">
        <v>9486</v>
      </c>
      <c r="J28" s="177">
        <v>246644</v>
      </c>
      <c r="K28" s="289">
        <v>9621</v>
      </c>
      <c r="L28" s="177">
        <v>249774</v>
      </c>
    </row>
    <row r="29" spans="1:12" ht="13">
      <c r="A29" s="1">
        <v>821</v>
      </c>
      <c r="B29" s="2" t="s">
        <v>913</v>
      </c>
      <c r="C29" s="289">
        <v>5834</v>
      </c>
      <c r="D29" s="177">
        <v>112609</v>
      </c>
      <c r="E29" s="289">
        <v>5977</v>
      </c>
      <c r="F29" s="177">
        <v>120811</v>
      </c>
      <c r="G29" s="289">
        <v>6101</v>
      </c>
      <c r="H29" s="177">
        <v>132504</v>
      </c>
      <c r="I29" s="289">
        <v>6262</v>
      </c>
      <c r="J29" s="177">
        <v>141296</v>
      </c>
      <c r="K29" s="289">
        <v>6460</v>
      </c>
      <c r="L29" s="177">
        <v>151699</v>
      </c>
    </row>
    <row r="30" spans="1:12" ht="13">
      <c r="A30" s="1">
        <v>822</v>
      </c>
      <c r="B30" s="2" t="s">
        <v>914</v>
      </c>
      <c r="C30" s="289">
        <v>4325</v>
      </c>
      <c r="D30" s="177">
        <v>86308</v>
      </c>
      <c r="E30" s="289">
        <v>4346</v>
      </c>
      <c r="F30" s="177">
        <v>90745</v>
      </c>
      <c r="G30" s="289">
        <v>4338</v>
      </c>
      <c r="H30" s="177">
        <v>96485</v>
      </c>
      <c r="I30" s="289">
        <v>4303</v>
      </c>
      <c r="J30" s="177">
        <v>103179</v>
      </c>
      <c r="K30" s="289">
        <v>4359</v>
      </c>
      <c r="L30" s="177">
        <v>106413</v>
      </c>
    </row>
    <row r="31" spans="1:12" ht="13">
      <c r="A31" s="1">
        <v>1001</v>
      </c>
      <c r="B31" s="2" t="s">
        <v>942</v>
      </c>
      <c r="C31" s="289">
        <v>85983</v>
      </c>
      <c r="D31" s="177">
        <v>2050436</v>
      </c>
      <c r="E31" s="289">
        <v>87446</v>
      </c>
      <c r="F31" s="177">
        <v>2163880</v>
      </c>
      <c r="G31" s="289">
        <v>88447</v>
      </c>
      <c r="H31" s="177">
        <v>2332419</v>
      </c>
      <c r="I31" s="289">
        <v>89268</v>
      </c>
      <c r="J31" s="177">
        <v>2385821</v>
      </c>
      <c r="K31" s="289">
        <v>91440</v>
      </c>
      <c r="L31" s="177">
        <v>2526244</v>
      </c>
    </row>
    <row r="32" spans="1:12" ht="13">
      <c r="A32" s="1">
        <v>1002</v>
      </c>
      <c r="B32" s="2" t="s">
        <v>943</v>
      </c>
      <c r="C32" s="289">
        <v>15349</v>
      </c>
      <c r="D32" s="177">
        <v>313328</v>
      </c>
      <c r="E32" s="289">
        <v>15437</v>
      </c>
      <c r="F32" s="177">
        <v>334306</v>
      </c>
      <c r="G32" s="289">
        <v>15529</v>
      </c>
      <c r="H32" s="177">
        <v>365513</v>
      </c>
      <c r="I32" s="289">
        <v>15600</v>
      </c>
      <c r="J32" s="177">
        <v>384424</v>
      </c>
      <c r="K32" s="289">
        <v>15659</v>
      </c>
      <c r="L32" s="177">
        <v>398288</v>
      </c>
    </row>
    <row r="33" spans="1:12" ht="13">
      <c r="A33" s="1">
        <v>1017</v>
      </c>
      <c r="B33" s="2" t="s">
        <v>948</v>
      </c>
      <c r="C33" s="289">
        <v>6303</v>
      </c>
      <c r="D33" s="177">
        <v>112742</v>
      </c>
      <c r="E33" s="289">
        <v>6354</v>
      </c>
      <c r="F33" s="177">
        <v>118509</v>
      </c>
      <c r="G33" s="289">
        <v>6419</v>
      </c>
      <c r="H33" s="177">
        <v>131403</v>
      </c>
      <c r="I33" s="289">
        <v>6568</v>
      </c>
      <c r="J33" s="177">
        <v>133870</v>
      </c>
      <c r="K33" s="289">
        <v>6656</v>
      </c>
      <c r="L33" s="177">
        <v>137623</v>
      </c>
    </row>
    <row r="34" spans="1:12" ht="13">
      <c r="A34" s="1">
        <v>1018</v>
      </c>
      <c r="B34" s="2" t="s">
        <v>949</v>
      </c>
      <c r="C34" s="289">
        <v>11005</v>
      </c>
      <c r="D34" s="177">
        <v>241993</v>
      </c>
      <c r="E34" s="289">
        <v>11217</v>
      </c>
      <c r="F34" s="177">
        <v>258365</v>
      </c>
      <c r="G34" s="289">
        <v>11260</v>
      </c>
      <c r="H34" s="177">
        <v>281709</v>
      </c>
      <c r="I34" s="289">
        <v>11321</v>
      </c>
      <c r="J34" s="177">
        <v>282473</v>
      </c>
      <c r="K34" s="289">
        <v>11342</v>
      </c>
      <c r="L34" s="177">
        <v>304309</v>
      </c>
    </row>
    <row r="35" spans="1:12" ht="13">
      <c r="A35" s="1">
        <v>1021</v>
      </c>
      <c r="B35" s="2" t="s">
        <v>950</v>
      </c>
      <c r="C35" s="289">
        <v>2290</v>
      </c>
      <c r="D35" s="177">
        <v>43815</v>
      </c>
      <c r="E35" s="289">
        <v>2294</v>
      </c>
      <c r="F35" s="177">
        <v>45348</v>
      </c>
      <c r="G35" s="289">
        <v>2290</v>
      </c>
      <c r="H35" s="177">
        <v>49083</v>
      </c>
      <c r="I35" s="289">
        <v>2309</v>
      </c>
      <c r="J35" s="177">
        <v>51262</v>
      </c>
      <c r="K35" s="289">
        <v>2308</v>
      </c>
      <c r="L35" s="177">
        <v>54166</v>
      </c>
    </row>
    <row r="36" spans="1:12" ht="13">
      <c r="A36" s="1">
        <v>1027</v>
      </c>
      <c r="B36" s="2" t="s">
        <v>952</v>
      </c>
      <c r="C36" s="289">
        <v>1743</v>
      </c>
      <c r="D36" s="177">
        <v>33183</v>
      </c>
      <c r="E36" s="289">
        <v>1750</v>
      </c>
      <c r="F36" s="177">
        <v>34621</v>
      </c>
      <c r="G36" s="289">
        <v>1750</v>
      </c>
      <c r="H36" s="177">
        <v>36874</v>
      </c>
      <c r="I36" s="289">
        <v>1765</v>
      </c>
      <c r="J36" s="177">
        <v>38548</v>
      </c>
      <c r="K36" s="289">
        <v>1786</v>
      </c>
      <c r="L36" s="177">
        <v>40485</v>
      </c>
    </row>
    <row r="37" spans="1:12" ht="13">
      <c r="A37" s="1">
        <v>1029</v>
      </c>
      <c r="B37" s="2" t="s">
        <v>953</v>
      </c>
      <c r="C37" s="289">
        <v>4853</v>
      </c>
      <c r="D37" s="177">
        <v>89908</v>
      </c>
      <c r="E37" s="289">
        <v>4880</v>
      </c>
      <c r="F37" s="177">
        <v>101144</v>
      </c>
      <c r="G37" s="289">
        <v>4943</v>
      </c>
      <c r="H37" s="177">
        <v>111945</v>
      </c>
      <c r="I37" s="289">
        <v>4950</v>
      </c>
      <c r="J37" s="177">
        <v>116255</v>
      </c>
      <c r="K37" s="289">
        <v>4938</v>
      </c>
      <c r="L37" s="177">
        <v>113860</v>
      </c>
    </row>
    <row r="38" spans="1:12" ht="13">
      <c r="A38" s="1">
        <v>1032</v>
      </c>
      <c r="B38" s="2" t="s">
        <v>954</v>
      </c>
      <c r="C38" s="289">
        <v>8102</v>
      </c>
      <c r="D38" s="177">
        <v>157009</v>
      </c>
      <c r="E38" s="289">
        <v>8335</v>
      </c>
      <c r="F38" s="177">
        <v>164864</v>
      </c>
      <c r="G38" s="289">
        <v>8497</v>
      </c>
      <c r="H38" s="177">
        <v>180492</v>
      </c>
      <c r="I38" s="289">
        <v>8588</v>
      </c>
      <c r="J38" s="177">
        <v>190773</v>
      </c>
      <c r="K38" s="289">
        <v>8571</v>
      </c>
      <c r="L38" s="177">
        <v>195683</v>
      </c>
    </row>
    <row r="39" spans="1:12" ht="13">
      <c r="A39" s="1">
        <v>1101</v>
      </c>
      <c r="B39" s="2" t="s">
        <v>958</v>
      </c>
      <c r="C39" s="289">
        <v>14811</v>
      </c>
      <c r="D39" s="177">
        <v>406927</v>
      </c>
      <c r="E39" s="289">
        <v>14916</v>
      </c>
      <c r="F39" s="177">
        <v>402775</v>
      </c>
      <c r="G39" s="289">
        <v>14942</v>
      </c>
      <c r="H39" s="177">
        <v>418367</v>
      </c>
      <c r="I39" s="289">
        <v>14899</v>
      </c>
      <c r="J39" s="177">
        <v>420764</v>
      </c>
      <c r="K39" s="289">
        <v>14898</v>
      </c>
      <c r="L39" s="177">
        <v>421333</v>
      </c>
    </row>
    <row r="40" spans="1:12" ht="13">
      <c r="A40" s="1">
        <v>1102</v>
      </c>
      <c r="B40" s="2" t="s">
        <v>959</v>
      </c>
      <c r="C40" s="289">
        <v>71900</v>
      </c>
      <c r="D40" s="177">
        <v>2112127</v>
      </c>
      <c r="E40" s="289">
        <v>73624</v>
      </c>
      <c r="F40" s="177">
        <v>2173483</v>
      </c>
      <c r="G40" s="289">
        <v>74820</v>
      </c>
      <c r="H40" s="177">
        <v>2268290</v>
      </c>
      <c r="I40" s="289">
        <v>75497</v>
      </c>
      <c r="J40" s="177">
        <v>2267326</v>
      </c>
      <c r="K40" s="289">
        <v>76328</v>
      </c>
      <c r="L40" s="177">
        <v>2335661</v>
      </c>
    </row>
    <row r="41" spans="1:12" ht="13">
      <c r="A41" s="1">
        <v>1103</v>
      </c>
      <c r="B41" s="2" t="s">
        <v>960</v>
      </c>
      <c r="C41" s="289">
        <v>130754</v>
      </c>
      <c r="D41" s="177">
        <v>4775553</v>
      </c>
      <c r="E41" s="289">
        <v>132102</v>
      </c>
      <c r="F41" s="177">
        <v>4930488</v>
      </c>
      <c r="G41" s="289">
        <v>132644</v>
      </c>
      <c r="H41" s="177">
        <v>5058581</v>
      </c>
      <c r="I41" s="289">
        <v>132729</v>
      </c>
      <c r="J41" s="177">
        <v>4887726</v>
      </c>
      <c r="K41" s="289">
        <v>133140</v>
      </c>
      <c r="L41" s="177">
        <v>4944822</v>
      </c>
    </row>
    <row r="42" spans="1:12" ht="13">
      <c r="A42" s="1">
        <v>1106</v>
      </c>
      <c r="B42" s="2" t="s">
        <v>961</v>
      </c>
      <c r="C42" s="289">
        <v>36099</v>
      </c>
      <c r="D42" s="177">
        <v>907569</v>
      </c>
      <c r="E42" s="289">
        <v>36538</v>
      </c>
      <c r="F42" s="177">
        <v>944562</v>
      </c>
      <c r="G42" s="289">
        <v>36951</v>
      </c>
      <c r="H42" s="177">
        <v>980578</v>
      </c>
      <c r="I42" s="289">
        <v>37166</v>
      </c>
      <c r="J42" s="177">
        <v>1015625</v>
      </c>
      <c r="K42" s="289">
        <v>37167</v>
      </c>
      <c r="L42" s="177">
        <v>1084225</v>
      </c>
    </row>
    <row r="43" spans="1:12" ht="13">
      <c r="A43" s="1">
        <v>1111</v>
      </c>
      <c r="B43" s="2" t="s">
        <v>962</v>
      </c>
      <c r="C43" s="289">
        <v>3303</v>
      </c>
      <c r="D43" s="177">
        <v>74638</v>
      </c>
      <c r="E43" s="289">
        <v>3309</v>
      </c>
      <c r="F43" s="177">
        <v>77414</v>
      </c>
      <c r="G43" s="289">
        <v>3313</v>
      </c>
      <c r="H43" s="177">
        <v>81397</v>
      </c>
      <c r="I43" s="289">
        <v>3316</v>
      </c>
      <c r="J43" s="177">
        <v>81393</v>
      </c>
      <c r="K43" s="289">
        <v>3331</v>
      </c>
      <c r="L43" s="177">
        <v>84326</v>
      </c>
    </row>
    <row r="44" spans="1:12" ht="13">
      <c r="A44" s="1">
        <v>1112</v>
      </c>
      <c r="B44" s="2" t="s">
        <v>963</v>
      </c>
      <c r="C44" s="289">
        <v>3225</v>
      </c>
      <c r="D44" s="177">
        <v>66675</v>
      </c>
      <c r="E44" s="289">
        <v>3247</v>
      </c>
      <c r="F44" s="177">
        <v>68275</v>
      </c>
      <c r="G44" s="289">
        <v>3243</v>
      </c>
      <c r="H44" s="177">
        <v>71529</v>
      </c>
      <c r="I44" s="289">
        <v>3259</v>
      </c>
      <c r="J44" s="177">
        <v>79675</v>
      </c>
      <c r="K44" s="289">
        <v>3237</v>
      </c>
      <c r="L44" s="177">
        <v>78836</v>
      </c>
    </row>
    <row r="45" spans="1:12" ht="13">
      <c r="A45" s="1">
        <v>1114</v>
      </c>
      <c r="B45" s="2" t="s">
        <v>0</v>
      </c>
      <c r="C45" s="289">
        <v>2820</v>
      </c>
      <c r="D45" s="177">
        <v>64270</v>
      </c>
      <c r="E45" s="289">
        <v>2861</v>
      </c>
      <c r="F45" s="177">
        <v>66516</v>
      </c>
      <c r="G45" s="289">
        <v>2825</v>
      </c>
      <c r="H45" s="177">
        <v>73550</v>
      </c>
      <c r="I45" s="289">
        <v>2826</v>
      </c>
      <c r="J45" s="177">
        <v>76011</v>
      </c>
      <c r="K45" s="289">
        <v>2826</v>
      </c>
      <c r="L45" s="177">
        <v>71889</v>
      </c>
    </row>
    <row r="46" spans="1:12" ht="13">
      <c r="A46" s="1">
        <v>1119</v>
      </c>
      <c r="B46" s="2" t="s">
        <v>1</v>
      </c>
      <c r="C46" s="289">
        <v>18115</v>
      </c>
      <c r="D46" s="177">
        <v>424970</v>
      </c>
      <c r="E46" s="289">
        <v>18528</v>
      </c>
      <c r="F46" s="177">
        <v>436779</v>
      </c>
      <c r="G46" s="289">
        <v>18591</v>
      </c>
      <c r="H46" s="177">
        <v>467975</v>
      </c>
      <c r="I46" s="289">
        <v>18800</v>
      </c>
      <c r="J46" s="177">
        <v>470013</v>
      </c>
      <c r="K46" s="289">
        <v>18762</v>
      </c>
      <c r="L46" s="177">
        <v>474998</v>
      </c>
    </row>
    <row r="47" spans="1:12" ht="13">
      <c r="A47" s="1">
        <v>1120</v>
      </c>
      <c r="B47" s="2" t="s">
        <v>2</v>
      </c>
      <c r="C47" s="289">
        <v>18485</v>
      </c>
      <c r="D47" s="177">
        <v>490669</v>
      </c>
      <c r="E47" s="289">
        <v>18741</v>
      </c>
      <c r="F47" s="177">
        <v>496786</v>
      </c>
      <c r="G47" s="289">
        <v>18970</v>
      </c>
      <c r="H47" s="177">
        <v>534018</v>
      </c>
      <c r="I47" s="289">
        <v>19042</v>
      </c>
      <c r="J47" s="177">
        <v>526351</v>
      </c>
      <c r="K47" s="289">
        <v>19217</v>
      </c>
      <c r="L47" s="177">
        <v>545564</v>
      </c>
    </row>
    <row r="48" spans="1:12" ht="13">
      <c r="A48" s="1">
        <v>1121</v>
      </c>
      <c r="B48" s="2" t="s">
        <v>3</v>
      </c>
      <c r="C48" s="289">
        <v>17897</v>
      </c>
      <c r="D48" s="177">
        <v>477840</v>
      </c>
      <c r="E48" s="289">
        <v>18306</v>
      </c>
      <c r="F48" s="177">
        <v>493393</v>
      </c>
      <c r="G48" s="289">
        <v>18572</v>
      </c>
      <c r="H48" s="177">
        <v>534004</v>
      </c>
      <c r="I48" s="289">
        <v>18656</v>
      </c>
      <c r="J48" s="177">
        <v>529636</v>
      </c>
      <c r="K48" s="289">
        <v>18699</v>
      </c>
      <c r="L48" s="177">
        <v>540548</v>
      </c>
    </row>
    <row r="49" spans="1:12" ht="13">
      <c r="A49" s="1">
        <v>1122</v>
      </c>
      <c r="B49" s="2" t="s">
        <v>4</v>
      </c>
      <c r="C49" s="289">
        <v>11317</v>
      </c>
      <c r="D49" s="177">
        <v>281779</v>
      </c>
      <c r="E49" s="289">
        <v>11600</v>
      </c>
      <c r="F49" s="177">
        <v>293175</v>
      </c>
      <c r="G49" s="289">
        <v>11853</v>
      </c>
      <c r="H49" s="177">
        <v>310148</v>
      </c>
      <c r="I49" s="289">
        <v>11902</v>
      </c>
      <c r="J49" s="177">
        <v>305892</v>
      </c>
      <c r="K49" s="289">
        <v>11866</v>
      </c>
      <c r="L49" s="177">
        <v>315579</v>
      </c>
    </row>
    <row r="50" spans="1:12" ht="13">
      <c r="A50" s="1">
        <v>1124</v>
      </c>
      <c r="B50" s="2" t="s">
        <v>5</v>
      </c>
      <c r="C50" s="289">
        <v>25083</v>
      </c>
      <c r="D50" s="177">
        <v>894740</v>
      </c>
      <c r="E50" s="289">
        <v>25708</v>
      </c>
      <c r="F50" s="177">
        <v>961647</v>
      </c>
      <c r="G50" s="289">
        <v>26096</v>
      </c>
      <c r="H50" s="177">
        <v>986777</v>
      </c>
      <c r="I50" s="289">
        <v>26016</v>
      </c>
      <c r="J50" s="177">
        <v>945204</v>
      </c>
      <c r="K50" s="289">
        <v>26265</v>
      </c>
      <c r="L50" s="177">
        <v>971476</v>
      </c>
    </row>
    <row r="51" spans="1:12" ht="13">
      <c r="A51" s="1">
        <v>1127</v>
      </c>
      <c r="B51" s="2" t="s">
        <v>6</v>
      </c>
      <c r="C51" s="289">
        <v>10416</v>
      </c>
      <c r="D51" s="177">
        <v>337979</v>
      </c>
      <c r="E51" s="289">
        <v>10556</v>
      </c>
      <c r="F51" s="177">
        <v>344173</v>
      </c>
      <c r="G51" s="289">
        <v>10737</v>
      </c>
      <c r="H51" s="177">
        <v>354504</v>
      </c>
      <c r="I51" s="289">
        <v>10873</v>
      </c>
      <c r="J51" s="177">
        <v>341416</v>
      </c>
      <c r="K51" s="289">
        <v>10972</v>
      </c>
      <c r="L51" s="177">
        <v>354189</v>
      </c>
    </row>
    <row r="52" spans="1:12" ht="13">
      <c r="A52" s="1">
        <v>1129</v>
      </c>
      <c r="B52" s="2" t="s">
        <v>7</v>
      </c>
      <c r="C52" s="289">
        <v>1242</v>
      </c>
      <c r="D52" s="177">
        <v>46467</v>
      </c>
      <c r="E52" s="289">
        <v>1208</v>
      </c>
      <c r="F52" s="177">
        <v>47786</v>
      </c>
      <c r="G52" s="289">
        <v>1238</v>
      </c>
      <c r="H52" s="177">
        <v>53109</v>
      </c>
      <c r="I52" s="289">
        <v>1245</v>
      </c>
      <c r="J52" s="177">
        <v>53784</v>
      </c>
      <c r="K52" s="289">
        <v>1246</v>
      </c>
      <c r="L52" s="177">
        <v>49511</v>
      </c>
    </row>
    <row r="53" spans="1:12" ht="13">
      <c r="A53" s="1">
        <v>1130</v>
      </c>
      <c r="B53" s="2" t="s">
        <v>12</v>
      </c>
      <c r="C53" s="289">
        <v>12139</v>
      </c>
      <c r="D53" s="177">
        <v>294187</v>
      </c>
      <c r="E53" s="289">
        <v>12395</v>
      </c>
      <c r="F53" s="177">
        <v>299207</v>
      </c>
      <c r="G53" s="289">
        <v>12464</v>
      </c>
      <c r="H53" s="177">
        <v>327171</v>
      </c>
      <c r="I53" s="289">
        <v>12662</v>
      </c>
      <c r="J53" s="177">
        <v>333009</v>
      </c>
      <c r="K53" s="289">
        <v>12638</v>
      </c>
      <c r="L53" s="177">
        <v>341974</v>
      </c>
    </row>
    <row r="54" spans="1:12" ht="13">
      <c r="A54" s="1">
        <v>1133</v>
      </c>
      <c r="B54" s="2" t="s">
        <v>13</v>
      </c>
      <c r="C54" s="289">
        <v>2787</v>
      </c>
      <c r="D54" s="177">
        <v>86465</v>
      </c>
      <c r="E54" s="289">
        <v>2785</v>
      </c>
      <c r="F54" s="177">
        <v>91575</v>
      </c>
      <c r="G54" s="289">
        <v>2737</v>
      </c>
      <c r="H54" s="177">
        <v>94420</v>
      </c>
      <c r="I54" s="289">
        <v>2708</v>
      </c>
      <c r="J54" s="177">
        <v>95073</v>
      </c>
      <c r="K54" s="289">
        <v>2723</v>
      </c>
      <c r="L54" s="177">
        <v>94750</v>
      </c>
    </row>
    <row r="55" spans="1:12" ht="13">
      <c r="A55" s="1">
        <v>1134</v>
      </c>
      <c r="B55" s="2" t="s">
        <v>14</v>
      </c>
      <c r="C55" s="289">
        <v>3881</v>
      </c>
      <c r="D55" s="177">
        <v>128925</v>
      </c>
      <c r="E55" s="289">
        <v>3892</v>
      </c>
      <c r="F55" s="177">
        <v>135306</v>
      </c>
      <c r="G55" s="289">
        <v>3903</v>
      </c>
      <c r="H55" s="177">
        <v>141024</v>
      </c>
      <c r="I55" s="289">
        <v>3853</v>
      </c>
      <c r="J55" s="177">
        <v>145448</v>
      </c>
      <c r="K55" s="289">
        <v>3849</v>
      </c>
      <c r="L55" s="177">
        <v>153606</v>
      </c>
    </row>
    <row r="56" spans="1:12" ht="13">
      <c r="A56" s="1">
        <v>1135</v>
      </c>
      <c r="B56" s="2" t="s">
        <v>15</v>
      </c>
      <c r="C56" s="289">
        <v>4760</v>
      </c>
      <c r="D56" s="177">
        <v>127106</v>
      </c>
      <c r="E56" s="289">
        <v>4756</v>
      </c>
      <c r="F56" s="177">
        <v>134334</v>
      </c>
      <c r="G56" s="289">
        <v>4710</v>
      </c>
      <c r="H56" s="177">
        <v>112299</v>
      </c>
      <c r="I56" s="289">
        <v>4760</v>
      </c>
      <c r="J56" s="177">
        <v>154229</v>
      </c>
      <c r="K56" s="289">
        <v>4663</v>
      </c>
      <c r="L56" s="177">
        <v>132320</v>
      </c>
    </row>
    <row r="57" spans="1:12" ht="13">
      <c r="A57" s="1">
        <v>1141</v>
      </c>
      <c r="B57" s="2" t="s">
        <v>16</v>
      </c>
      <c r="C57" s="289">
        <v>3058</v>
      </c>
      <c r="D57" s="177">
        <v>79397</v>
      </c>
      <c r="E57" s="289">
        <v>3147</v>
      </c>
      <c r="F57" s="177">
        <v>79791</v>
      </c>
      <c r="G57" s="289">
        <v>3221</v>
      </c>
      <c r="H57" s="177">
        <v>86133</v>
      </c>
      <c r="I57" s="289">
        <v>3235</v>
      </c>
      <c r="J57" s="177">
        <v>93755</v>
      </c>
      <c r="K57" s="289">
        <v>3197</v>
      </c>
      <c r="L57" s="177">
        <v>90278</v>
      </c>
    </row>
    <row r="58" spans="1:12" ht="13">
      <c r="A58" s="1">
        <v>1142</v>
      </c>
      <c r="B58" s="2" t="s">
        <v>17</v>
      </c>
      <c r="C58" s="289">
        <v>4755</v>
      </c>
      <c r="D58" s="177">
        <v>134465</v>
      </c>
      <c r="E58" s="289">
        <v>4794</v>
      </c>
      <c r="F58" s="177">
        <v>141827</v>
      </c>
      <c r="G58" s="289">
        <v>4856</v>
      </c>
      <c r="H58" s="177">
        <v>153116</v>
      </c>
      <c r="I58" s="289">
        <v>4892</v>
      </c>
      <c r="J58" s="177">
        <v>146692</v>
      </c>
      <c r="K58" s="289">
        <v>4849</v>
      </c>
      <c r="L58" s="177">
        <v>154331</v>
      </c>
    </row>
    <row r="59" spans="1:12" ht="13">
      <c r="A59" s="1">
        <v>1144</v>
      </c>
      <c r="B59" s="2" t="s">
        <v>18</v>
      </c>
      <c r="C59" s="289">
        <v>531</v>
      </c>
      <c r="D59" s="177">
        <v>11917</v>
      </c>
      <c r="E59" s="289">
        <v>534</v>
      </c>
      <c r="F59" s="177">
        <v>12526</v>
      </c>
      <c r="G59" s="289">
        <v>524</v>
      </c>
      <c r="H59" s="177">
        <v>12573</v>
      </c>
      <c r="I59" s="289">
        <v>534</v>
      </c>
      <c r="J59" s="177">
        <v>15385</v>
      </c>
      <c r="K59" s="289">
        <v>542</v>
      </c>
      <c r="L59" s="177">
        <v>14773</v>
      </c>
    </row>
    <row r="60" spans="1:12" ht="13">
      <c r="A60" s="1">
        <v>1145</v>
      </c>
      <c r="B60" s="2" t="s">
        <v>19</v>
      </c>
      <c r="C60" s="289">
        <v>868</v>
      </c>
      <c r="D60" s="177">
        <v>19718</v>
      </c>
      <c r="E60" s="289">
        <v>865</v>
      </c>
      <c r="F60" s="177">
        <v>19578</v>
      </c>
      <c r="G60" s="289">
        <v>865</v>
      </c>
      <c r="H60" s="177">
        <v>20265</v>
      </c>
      <c r="I60" s="289">
        <v>855</v>
      </c>
      <c r="J60" s="177">
        <v>20969</v>
      </c>
      <c r="K60" s="289">
        <v>844</v>
      </c>
      <c r="L60" s="177">
        <v>21260</v>
      </c>
    </row>
    <row r="61" spans="1:12" ht="13">
      <c r="A61" s="1">
        <v>1146</v>
      </c>
      <c r="B61" s="2" t="s">
        <v>20</v>
      </c>
      <c r="C61" s="289">
        <v>10668</v>
      </c>
      <c r="D61" s="177">
        <v>246736</v>
      </c>
      <c r="E61" s="289">
        <v>10857</v>
      </c>
      <c r="F61" s="177">
        <v>255555</v>
      </c>
      <c r="G61" s="289">
        <v>10925</v>
      </c>
      <c r="H61" s="177">
        <v>264000</v>
      </c>
      <c r="I61" s="289">
        <v>11041</v>
      </c>
      <c r="J61" s="177">
        <v>279974</v>
      </c>
      <c r="K61" s="289">
        <v>11023</v>
      </c>
      <c r="L61" s="177">
        <v>296653</v>
      </c>
    </row>
    <row r="62" spans="1:12" ht="13">
      <c r="A62" s="1">
        <v>1149</v>
      </c>
      <c r="B62" s="2" t="s">
        <v>21</v>
      </c>
      <c r="C62" s="289">
        <v>41753</v>
      </c>
      <c r="D62" s="177">
        <v>951724</v>
      </c>
      <c r="E62" s="289">
        <v>42062</v>
      </c>
      <c r="F62" s="177">
        <v>983888</v>
      </c>
      <c r="G62" s="289">
        <v>42187</v>
      </c>
      <c r="H62" s="177">
        <v>1031685</v>
      </c>
      <c r="I62" s="289">
        <v>42229</v>
      </c>
      <c r="J62" s="177">
        <v>1048090</v>
      </c>
      <c r="K62" s="289">
        <v>42243</v>
      </c>
      <c r="L62" s="177">
        <v>1089363</v>
      </c>
    </row>
    <row r="63" spans="1:12" ht="13">
      <c r="A63" s="1">
        <v>1151</v>
      </c>
      <c r="B63" s="2" t="s">
        <v>22</v>
      </c>
      <c r="C63" s="289">
        <v>211</v>
      </c>
      <c r="D63" s="177">
        <v>5164</v>
      </c>
      <c r="E63" s="289">
        <v>206</v>
      </c>
      <c r="F63" s="177">
        <v>5153</v>
      </c>
      <c r="G63" s="289">
        <v>200</v>
      </c>
      <c r="H63" s="177">
        <v>4581</v>
      </c>
      <c r="I63" s="289">
        <v>201</v>
      </c>
      <c r="J63" s="177">
        <v>4747</v>
      </c>
      <c r="K63" s="289">
        <v>208</v>
      </c>
      <c r="L63" s="177">
        <v>5467</v>
      </c>
    </row>
    <row r="64" spans="1:12" ht="13">
      <c r="A64" s="1">
        <v>1160</v>
      </c>
      <c r="B64" s="4" t="s">
        <v>711</v>
      </c>
      <c r="C64" s="289">
        <v>8747</v>
      </c>
      <c r="D64" s="177">
        <v>219287</v>
      </c>
      <c r="E64" s="289">
        <v>8765</v>
      </c>
      <c r="F64" s="177">
        <v>224845</v>
      </c>
      <c r="G64" s="289">
        <v>8788</v>
      </c>
      <c r="H64" s="177">
        <v>241047</v>
      </c>
      <c r="I64" s="289">
        <v>8828</v>
      </c>
      <c r="J64" s="177">
        <v>300936</v>
      </c>
      <c r="K64" s="289">
        <v>8793</v>
      </c>
      <c r="L64" s="177">
        <v>278332</v>
      </c>
    </row>
    <row r="65" spans="1:12" ht="13">
      <c r="A65" s="1">
        <v>1227</v>
      </c>
      <c r="B65" s="2" t="s">
        <v>31</v>
      </c>
      <c r="C65" s="289">
        <v>1094</v>
      </c>
      <c r="D65" s="177">
        <v>24740</v>
      </c>
      <c r="E65" s="289">
        <v>1100</v>
      </c>
      <c r="F65" s="177">
        <v>26495</v>
      </c>
      <c r="G65" s="289">
        <v>1104</v>
      </c>
      <c r="H65" s="177">
        <v>25475</v>
      </c>
      <c r="I65" s="289">
        <v>1108</v>
      </c>
      <c r="J65" s="177">
        <v>28232</v>
      </c>
      <c r="K65" s="289">
        <v>1096</v>
      </c>
      <c r="L65" s="177">
        <v>29975</v>
      </c>
    </row>
    <row r="66" spans="1:12" ht="13">
      <c r="A66" s="1">
        <v>1228</v>
      </c>
      <c r="B66" s="2" t="s">
        <v>32</v>
      </c>
      <c r="C66" s="289">
        <v>7006</v>
      </c>
      <c r="D66" s="177">
        <v>190264</v>
      </c>
      <c r="E66" s="289">
        <v>6952</v>
      </c>
      <c r="F66" s="177">
        <v>203101</v>
      </c>
      <c r="G66" s="289">
        <v>6930</v>
      </c>
      <c r="H66" s="177">
        <v>209148</v>
      </c>
      <c r="I66" s="289">
        <v>7025</v>
      </c>
      <c r="J66" s="177">
        <v>217927</v>
      </c>
      <c r="K66" s="289">
        <v>6835</v>
      </c>
      <c r="L66" s="177">
        <v>218966</v>
      </c>
    </row>
    <row r="67" spans="1:12" ht="13">
      <c r="A67" s="1">
        <v>1231</v>
      </c>
      <c r="B67" s="2" t="s">
        <v>33</v>
      </c>
      <c r="C67" s="289">
        <v>3369</v>
      </c>
      <c r="D67" s="177">
        <v>77431</v>
      </c>
      <c r="E67" s="289">
        <v>3411</v>
      </c>
      <c r="F67" s="177">
        <v>78866</v>
      </c>
      <c r="G67" s="289">
        <v>3401</v>
      </c>
      <c r="H67" s="177">
        <v>81214</v>
      </c>
      <c r="I67" s="289">
        <v>3377</v>
      </c>
      <c r="J67" s="177">
        <v>81965</v>
      </c>
      <c r="K67" s="289">
        <v>3363</v>
      </c>
      <c r="L67" s="177">
        <v>86913</v>
      </c>
    </row>
    <row r="68" spans="1:12" ht="13">
      <c r="A68" s="1">
        <v>1234</v>
      </c>
      <c r="B68" s="2" t="s">
        <v>36</v>
      </c>
      <c r="C68" s="289">
        <v>911</v>
      </c>
      <c r="D68" s="177">
        <v>18684</v>
      </c>
      <c r="E68" s="289">
        <v>921</v>
      </c>
      <c r="F68" s="177">
        <v>20189</v>
      </c>
      <c r="G68" s="289">
        <v>920</v>
      </c>
      <c r="H68" s="177">
        <v>20978</v>
      </c>
      <c r="I68" s="289">
        <v>933</v>
      </c>
      <c r="J68" s="177">
        <v>23163</v>
      </c>
      <c r="K68" s="289">
        <v>931</v>
      </c>
      <c r="L68" s="177">
        <v>22248</v>
      </c>
    </row>
    <row r="69" spans="1:12" ht="13">
      <c r="A69" s="1">
        <v>1235</v>
      </c>
      <c r="B69" s="2" t="s">
        <v>37</v>
      </c>
      <c r="C69" s="289">
        <v>14168</v>
      </c>
      <c r="D69" s="177">
        <v>327718</v>
      </c>
      <c r="E69" s="289">
        <v>14347</v>
      </c>
      <c r="F69" s="177">
        <v>338868</v>
      </c>
      <c r="G69" s="289">
        <v>14425</v>
      </c>
      <c r="H69" s="177">
        <v>363063</v>
      </c>
      <c r="I69" s="289">
        <v>14514</v>
      </c>
      <c r="J69" s="177">
        <v>381225</v>
      </c>
      <c r="K69" s="289">
        <v>14577</v>
      </c>
      <c r="L69" s="177">
        <v>403939</v>
      </c>
    </row>
    <row r="70" spans="1:12" ht="13">
      <c r="A70" s="1">
        <v>1241</v>
      </c>
      <c r="B70" s="2" t="s">
        <v>39</v>
      </c>
      <c r="C70" s="289">
        <v>3829</v>
      </c>
      <c r="D70" s="177">
        <v>89922</v>
      </c>
      <c r="E70" s="289">
        <v>3838</v>
      </c>
      <c r="F70" s="177">
        <v>95486</v>
      </c>
      <c r="G70" s="289">
        <v>3876</v>
      </c>
      <c r="H70" s="177">
        <v>102650</v>
      </c>
      <c r="I70" s="289">
        <v>3895</v>
      </c>
      <c r="J70" s="177">
        <v>111546</v>
      </c>
      <c r="K70" s="289">
        <v>3920</v>
      </c>
      <c r="L70" s="177">
        <v>112231</v>
      </c>
    </row>
    <row r="71" spans="1:12" ht="13">
      <c r="A71" s="1">
        <v>1243</v>
      </c>
      <c r="B71" s="2" t="s">
        <v>844</v>
      </c>
      <c r="C71" s="289">
        <v>18678</v>
      </c>
      <c r="D71" s="177">
        <v>444878</v>
      </c>
      <c r="E71" s="289">
        <v>19097</v>
      </c>
      <c r="F71" s="177">
        <v>473653</v>
      </c>
      <c r="G71" s="289">
        <v>19742</v>
      </c>
      <c r="H71" s="177">
        <v>523893</v>
      </c>
      <c r="I71" s="289">
        <v>20152</v>
      </c>
      <c r="J71" s="177">
        <v>545538</v>
      </c>
      <c r="K71" s="289">
        <v>20573</v>
      </c>
      <c r="L71" s="177">
        <v>565744</v>
      </c>
    </row>
    <row r="72" spans="1:12" ht="13">
      <c r="A72" s="1">
        <v>1245</v>
      </c>
      <c r="B72" s="2" t="s">
        <v>42</v>
      </c>
      <c r="C72" s="289">
        <v>6635</v>
      </c>
      <c r="D72" s="177">
        <v>151086</v>
      </c>
      <c r="E72" s="289">
        <v>6752</v>
      </c>
      <c r="F72" s="177">
        <v>156703</v>
      </c>
      <c r="G72" s="289">
        <v>6975</v>
      </c>
      <c r="H72" s="177">
        <v>168072</v>
      </c>
      <c r="I72" s="289">
        <v>7058</v>
      </c>
      <c r="J72" s="177">
        <v>172226</v>
      </c>
      <c r="K72" s="289">
        <v>7085</v>
      </c>
      <c r="L72" s="177">
        <v>181153</v>
      </c>
    </row>
    <row r="73" spans="1:12" ht="13">
      <c r="A73" s="1">
        <v>1246</v>
      </c>
      <c r="B73" s="2" t="s">
        <v>43</v>
      </c>
      <c r="C73" s="289">
        <v>23852</v>
      </c>
      <c r="D73" s="177">
        <v>612157</v>
      </c>
      <c r="E73" s="289">
        <v>24427</v>
      </c>
      <c r="F73" s="177">
        <v>637454</v>
      </c>
      <c r="G73" s="289">
        <v>24870</v>
      </c>
      <c r="H73" s="177">
        <v>684024</v>
      </c>
      <c r="I73" s="289">
        <v>25204</v>
      </c>
      <c r="J73" s="177">
        <v>705797</v>
      </c>
      <c r="K73" s="289">
        <v>25725</v>
      </c>
      <c r="L73" s="177">
        <v>743530</v>
      </c>
    </row>
    <row r="74" spans="1:12" ht="13">
      <c r="A74" s="1">
        <v>1256</v>
      </c>
      <c r="B74" s="2" t="s">
        <v>48</v>
      </c>
      <c r="C74" s="289">
        <v>7544</v>
      </c>
      <c r="D74" s="177">
        <v>160894</v>
      </c>
      <c r="E74" s="289">
        <v>7736</v>
      </c>
      <c r="F74" s="177">
        <v>173698</v>
      </c>
      <c r="G74" s="289">
        <v>7812</v>
      </c>
      <c r="H74" s="177">
        <v>185566</v>
      </c>
      <c r="I74" s="289">
        <v>8021</v>
      </c>
      <c r="J74" s="177">
        <v>193046</v>
      </c>
      <c r="K74" s="289">
        <v>8079</v>
      </c>
      <c r="L74" s="177">
        <v>207938</v>
      </c>
    </row>
    <row r="75" spans="1:12" ht="13">
      <c r="A75" s="1">
        <v>1259</v>
      </c>
      <c r="B75" s="2" t="s">
        <v>49</v>
      </c>
      <c r="C75" s="289">
        <v>4704</v>
      </c>
      <c r="D75" s="177">
        <v>106106</v>
      </c>
      <c r="E75" s="289">
        <v>4733</v>
      </c>
      <c r="F75" s="177">
        <v>106768</v>
      </c>
      <c r="G75" s="289">
        <v>4852</v>
      </c>
      <c r="H75" s="177">
        <v>116933</v>
      </c>
      <c r="I75" s="289">
        <v>4913</v>
      </c>
      <c r="J75" s="177">
        <v>115041</v>
      </c>
      <c r="K75" s="289">
        <v>4877</v>
      </c>
      <c r="L75" s="177">
        <v>116750</v>
      </c>
    </row>
    <row r="76" spans="1:12" ht="13">
      <c r="A76" s="1">
        <v>1260</v>
      </c>
      <c r="B76" s="2" t="s">
        <v>53</v>
      </c>
      <c r="C76" s="289">
        <v>5039</v>
      </c>
      <c r="D76" s="177">
        <v>110958</v>
      </c>
      <c r="E76" s="289">
        <v>5014</v>
      </c>
      <c r="F76" s="177">
        <v>111389</v>
      </c>
      <c r="G76" s="289">
        <v>5077</v>
      </c>
      <c r="H76" s="177">
        <v>115873</v>
      </c>
      <c r="I76" s="289">
        <v>5128</v>
      </c>
      <c r="J76" s="177">
        <v>119973</v>
      </c>
      <c r="K76" s="289">
        <v>5129</v>
      </c>
      <c r="L76" s="177">
        <v>116817</v>
      </c>
    </row>
    <row r="77" spans="1:12" ht="13">
      <c r="A77" s="1">
        <v>1263</v>
      </c>
      <c r="B77" s="2" t="s">
        <v>54</v>
      </c>
      <c r="C77" s="289">
        <v>15069</v>
      </c>
      <c r="D77" s="177">
        <v>370954</v>
      </c>
      <c r="E77" s="289">
        <v>15402</v>
      </c>
      <c r="F77" s="177">
        <v>374667</v>
      </c>
      <c r="G77" s="289">
        <v>15607</v>
      </c>
      <c r="H77" s="177">
        <v>396793</v>
      </c>
      <c r="I77" s="289">
        <v>15731</v>
      </c>
      <c r="J77" s="177">
        <v>396271</v>
      </c>
      <c r="K77" s="289">
        <v>15789</v>
      </c>
      <c r="L77" s="177">
        <v>419158</v>
      </c>
    </row>
    <row r="78" spans="1:12" ht="13">
      <c r="A78" s="1">
        <v>1401</v>
      </c>
      <c r="B78" s="2" t="s">
        <v>58</v>
      </c>
      <c r="C78" s="289">
        <v>11779</v>
      </c>
      <c r="D78" s="177">
        <v>288423</v>
      </c>
      <c r="E78" s="289">
        <v>11862</v>
      </c>
      <c r="F78" s="177">
        <v>300441</v>
      </c>
      <c r="G78" s="289">
        <v>11923</v>
      </c>
      <c r="H78" s="177">
        <v>325784</v>
      </c>
      <c r="I78" s="289">
        <v>11999</v>
      </c>
      <c r="J78" s="177">
        <v>325879</v>
      </c>
      <c r="K78" s="289">
        <v>11988</v>
      </c>
      <c r="L78" s="177">
        <v>333690</v>
      </c>
    </row>
    <row r="79" spans="1:12" ht="13">
      <c r="A79" s="1">
        <v>1418</v>
      </c>
      <c r="B79" s="2" t="s">
        <v>64</v>
      </c>
      <c r="C79" s="289">
        <v>1306</v>
      </c>
      <c r="D79" s="177">
        <v>28081</v>
      </c>
      <c r="E79" s="289">
        <v>1304</v>
      </c>
      <c r="F79" s="177">
        <v>29193</v>
      </c>
      <c r="G79" s="289">
        <v>1294</v>
      </c>
      <c r="H79" s="177">
        <v>31062</v>
      </c>
      <c r="I79" s="289">
        <v>1288</v>
      </c>
      <c r="J79" s="177">
        <v>31810</v>
      </c>
      <c r="K79" s="289">
        <v>1262</v>
      </c>
      <c r="L79" s="177">
        <v>33797</v>
      </c>
    </row>
    <row r="80" spans="1:12" ht="13">
      <c r="A80" s="1">
        <v>1419</v>
      </c>
      <c r="B80" s="2" t="s">
        <v>65</v>
      </c>
      <c r="C80" s="289">
        <v>2268</v>
      </c>
      <c r="D80" s="177">
        <v>54210</v>
      </c>
      <c r="E80" s="289">
        <v>2276</v>
      </c>
      <c r="F80" s="177">
        <v>55791</v>
      </c>
      <c r="G80" s="289">
        <v>2298</v>
      </c>
      <c r="H80" s="177">
        <v>61486</v>
      </c>
      <c r="I80" s="289">
        <v>2332</v>
      </c>
      <c r="J80" s="177">
        <v>65897</v>
      </c>
      <c r="K80" s="289">
        <v>2345</v>
      </c>
      <c r="L80" s="177">
        <v>72179</v>
      </c>
    </row>
    <row r="81" spans="1:12" ht="13">
      <c r="A81" s="1">
        <v>1420</v>
      </c>
      <c r="B81" s="2" t="s">
        <v>66</v>
      </c>
      <c r="C81" s="289">
        <v>7623</v>
      </c>
      <c r="D81" s="177">
        <v>165511</v>
      </c>
      <c r="E81" s="289">
        <v>7677</v>
      </c>
      <c r="F81" s="177">
        <v>173721</v>
      </c>
      <c r="G81" s="289">
        <v>7839</v>
      </c>
      <c r="H81" s="177">
        <v>198568</v>
      </c>
      <c r="I81" s="289">
        <v>7941</v>
      </c>
      <c r="J81" s="177">
        <v>206275</v>
      </c>
      <c r="K81" s="289">
        <v>8059</v>
      </c>
      <c r="L81" s="177">
        <v>218690</v>
      </c>
    </row>
    <row r="82" spans="1:12" ht="13">
      <c r="A82" s="1">
        <v>1430</v>
      </c>
      <c r="B82" s="2" t="s">
        <v>73</v>
      </c>
      <c r="C82" s="289">
        <v>2928</v>
      </c>
      <c r="D82" s="177">
        <v>56494</v>
      </c>
      <c r="E82" s="289">
        <v>2960</v>
      </c>
      <c r="F82" s="177">
        <v>61188</v>
      </c>
      <c r="G82" s="289">
        <v>2942</v>
      </c>
      <c r="H82" s="177">
        <v>65337</v>
      </c>
      <c r="I82" s="289">
        <v>2966</v>
      </c>
      <c r="J82" s="177">
        <v>68625</v>
      </c>
      <c r="K82" s="289">
        <v>3006</v>
      </c>
      <c r="L82" s="177">
        <v>74545</v>
      </c>
    </row>
    <row r="83" spans="1:12" ht="13">
      <c r="A83" s="1">
        <v>1431</v>
      </c>
      <c r="B83" s="2" t="s">
        <v>74</v>
      </c>
      <c r="C83" s="289">
        <v>3070</v>
      </c>
      <c r="D83" s="177">
        <v>68883</v>
      </c>
      <c r="E83" s="289">
        <v>3026</v>
      </c>
      <c r="F83" s="177">
        <v>66273</v>
      </c>
      <c r="G83" s="289">
        <v>3020</v>
      </c>
      <c r="H83" s="177">
        <v>71117</v>
      </c>
      <c r="I83" s="289">
        <v>3049</v>
      </c>
      <c r="J83" s="177">
        <v>78085</v>
      </c>
      <c r="K83" s="289">
        <v>3043</v>
      </c>
      <c r="L83" s="177">
        <v>80458</v>
      </c>
    </row>
    <row r="84" spans="1:12" ht="13">
      <c r="A84" s="1">
        <v>1432</v>
      </c>
      <c r="B84" s="2" t="s">
        <v>75</v>
      </c>
      <c r="C84" s="289">
        <v>12685</v>
      </c>
      <c r="D84" s="177">
        <v>306432</v>
      </c>
      <c r="E84" s="289">
        <v>12801</v>
      </c>
      <c r="F84" s="177">
        <v>329023</v>
      </c>
      <c r="G84" s="289">
        <v>12900</v>
      </c>
      <c r="H84" s="177">
        <v>368164</v>
      </c>
      <c r="I84" s="289">
        <v>13009</v>
      </c>
      <c r="J84" s="177">
        <v>376559</v>
      </c>
      <c r="K84" s="289">
        <v>13089</v>
      </c>
      <c r="L84" s="177">
        <v>388465</v>
      </c>
    </row>
    <row r="85" spans="1:12" ht="13">
      <c r="A85" s="1">
        <v>1433</v>
      </c>
      <c r="B85" s="2" t="s">
        <v>76</v>
      </c>
      <c r="C85" s="289">
        <v>2776</v>
      </c>
      <c r="D85" s="177">
        <v>55832</v>
      </c>
      <c r="E85" s="289">
        <v>2777</v>
      </c>
      <c r="F85" s="177">
        <v>59772</v>
      </c>
      <c r="G85" s="289">
        <v>2840</v>
      </c>
      <c r="H85" s="177">
        <v>67819</v>
      </c>
      <c r="I85" s="289">
        <v>2848</v>
      </c>
      <c r="J85" s="177">
        <v>67887</v>
      </c>
      <c r="K85" s="289">
        <v>2825</v>
      </c>
      <c r="L85" s="177">
        <v>65952</v>
      </c>
    </row>
    <row r="86" spans="1:12" ht="13">
      <c r="A86" s="1">
        <v>1439</v>
      </c>
      <c r="B86" s="2" t="s">
        <v>78</v>
      </c>
      <c r="C86" s="289">
        <v>6091</v>
      </c>
      <c r="D86" s="177">
        <v>139692</v>
      </c>
      <c r="E86" s="289">
        <v>6082</v>
      </c>
      <c r="F86" s="177">
        <v>143596</v>
      </c>
      <c r="G86" s="289">
        <v>6046</v>
      </c>
      <c r="H86" s="177">
        <v>155147</v>
      </c>
      <c r="I86" s="289">
        <v>6031</v>
      </c>
      <c r="J86" s="177">
        <v>161472</v>
      </c>
      <c r="K86" s="289">
        <v>6001</v>
      </c>
      <c r="L86" s="177">
        <v>169038</v>
      </c>
    </row>
    <row r="87" spans="1:12" ht="13">
      <c r="A87" s="1">
        <v>1441</v>
      </c>
      <c r="B87" s="2" t="s">
        <v>79</v>
      </c>
      <c r="C87" s="289">
        <v>2782</v>
      </c>
      <c r="D87" s="177">
        <v>58242</v>
      </c>
      <c r="E87" s="289">
        <v>2752</v>
      </c>
      <c r="F87" s="177">
        <v>61846</v>
      </c>
      <c r="G87" s="289">
        <v>2774</v>
      </c>
      <c r="H87" s="177">
        <v>63415</v>
      </c>
      <c r="I87" s="289">
        <v>2791</v>
      </c>
      <c r="J87" s="177">
        <v>65535</v>
      </c>
      <c r="K87" s="289">
        <v>2757</v>
      </c>
      <c r="L87" s="177">
        <v>69577</v>
      </c>
    </row>
    <row r="88" spans="1:12" ht="13">
      <c r="A88" s="1">
        <v>1443</v>
      </c>
      <c r="B88" s="2" t="s">
        <v>80</v>
      </c>
      <c r="C88" s="289">
        <v>5926</v>
      </c>
      <c r="D88" s="177">
        <v>124434</v>
      </c>
      <c r="E88" s="289">
        <v>5987</v>
      </c>
      <c r="F88" s="177">
        <v>130598</v>
      </c>
      <c r="G88" s="289">
        <v>6015</v>
      </c>
      <c r="H88" s="177">
        <v>136144</v>
      </c>
      <c r="I88" s="289">
        <v>6064</v>
      </c>
      <c r="J88" s="177">
        <v>144754</v>
      </c>
      <c r="K88" s="289">
        <v>6157</v>
      </c>
      <c r="L88" s="177">
        <v>154404</v>
      </c>
    </row>
    <row r="89" spans="1:12" ht="13">
      <c r="A89" s="1">
        <v>1444</v>
      </c>
      <c r="B89" s="2" t="s">
        <v>81</v>
      </c>
      <c r="C89" s="289">
        <v>1223</v>
      </c>
      <c r="D89" s="177">
        <v>21735</v>
      </c>
      <c r="E89" s="289">
        <v>1221</v>
      </c>
      <c r="F89" s="177">
        <v>22709</v>
      </c>
      <c r="G89" s="289">
        <v>1200</v>
      </c>
      <c r="H89" s="177">
        <v>24138</v>
      </c>
      <c r="I89" s="289">
        <v>1198</v>
      </c>
      <c r="J89" s="177">
        <v>24790</v>
      </c>
      <c r="K89" s="289">
        <v>1175</v>
      </c>
      <c r="L89" s="177">
        <v>26735</v>
      </c>
    </row>
    <row r="90" spans="1:12" ht="13">
      <c r="A90" s="1">
        <v>1502</v>
      </c>
      <c r="B90" s="2" t="s">
        <v>84</v>
      </c>
      <c r="C90" s="289">
        <v>26048</v>
      </c>
      <c r="D90" s="177">
        <v>643728</v>
      </c>
      <c r="E90" s="289">
        <v>26392</v>
      </c>
      <c r="F90" s="177">
        <v>684093</v>
      </c>
      <c r="G90" s="289">
        <v>26732</v>
      </c>
      <c r="H90" s="177">
        <v>721890</v>
      </c>
      <c r="I90" s="289">
        <v>26822</v>
      </c>
      <c r="J90" s="177">
        <v>749627</v>
      </c>
      <c r="K90" s="289">
        <v>26900</v>
      </c>
      <c r="L90" s="177">
        <v>776989</v>
      </c>
    </row>
    <row r="91" spans="1:12" ht="13">
      <c r="A91" s="1">
        <v>1504</v>
      </c>
      <c r="B91" s="2" t="s">
        <v>85</v>
      </c>
      <c r="C91" s="289">
        <v>45747</v>
      </c>
      <c r="D91" s="177">
        <v>1174309</v>
      </c>
      <c r="E91" s="289">
        <v>46316</v>
      </c>
      <c r="F91" s="177">
        <v>1213350</v>
      </c>
      <c r="G91" s="289">
        <v>46747</v>
      </c>
      <c r="H91" s="177">
        <v>1296676</v>
      </c>
      <c r="I91" s="289">
        <v>47199</v>
      </c>
      <c r="J91" s="177">
        <v>1363237</v>
      </c>
      <c r="K91" s="289">
        <v>47510</v>
      </c>
      <c r="L91" s="177">
        <v>1459532</v>
      </c>
    </row>
    <row r="92" spans="1:12" ht="13">
      <c r="A92" s="1">
        <v>1505</v>
      </c>
      <c r="B92" s="4" t="s">
        <v>680</v>
      </c>
      <c r="C92" s="289">
        <v>24395</v>
      </c>
      <c r="D92" s="177">
        <v>563921</v>
      </c>
      <c r="E92" s="289">
        <v>24507</v>
      </c>
      <c r="F92" s="177">
        <v>582836</v>
      </c>
      <c r="G92" s="289">
        <v>24526</v>
      </c>
      <c r="H92" s="177">
        <v>605657</v>
      </c>
      <c r="I92" s="289">
        <v>24442</v>
      </c>
      <c r="J92" s="177">
        <v>613661</v>
      </c>
      <c r="K92" s="289">
        <v>24300</v>
      </c>
      <c r="L92" s="177">
        <v>637871</v>
      </c>
    </row>
    <row r="93" spans="1:12" ht="13">
      <c r="A93" s="1">
        <v>1511</v>
      </c>
      <c r="B93" s="2" t="s">
        <v>86</v>
      </c>
      <c r="C93" s="289">
        <v>3302</v>
      </c>
      <c r="D93" s="177">
        <v>72479</v>
      </c>
      <c r="E93" s="289">
        <v>3258</v>
      </c>
      <c r="F93" s="177">
        <v>74410</v>
      </c>
      <c r="G93" s="289">
        <v>3256</v>
      </c>
      <c r="H93" s="177">
        <v>74821</v>
      </c>
      <c r="I93" s="289">
        <v>3203</v>
      </c>
      <c r="J93" s="177">
        <v>77373</v>
      </c>
      <c r="K93" s="289">
        <v>3187</v>
      </c>
      <c r="L93" s="177">
        <v>83683</v>
      </c>
    </row>
    <row r="94" spans="1:12" ht="13">
      <c r="A94" s="1">
        <v>1514</v>
      </c>
      <c r="B94" s="2" t="s">
        <v>897</v>
      </c>
      <c r="C94" s="289">
        <v>2636</v>
      </c>
      <c r="D94" s="177">
        <v>55999</v>
      </c>
      <c r="E94" s="289">
        <v>2635</v>
      </c>
      <c r="F94" s="177">
        <v>62048</v>
      </c>
      <c r="G94" s="289">
        <v>2559</v>
      </c>
      <c r="H94" s="177">
        <v>63984</v>
      </c>
      <c r="I94" s="289">
        <v>2540</v>
      </c>
      <c r="J94" s="177">
        <v>61235</v>
      </c>
      <c r="K94" s="289">
        <v>2522</v>
      </c>
      <c r="L94" s="177">
        <v>68936</v>
      </c>
    </row>
    <row r="95" spans="1:12" ht="13">
      <c r="A95" s="1">
        <v>1515</v>
      </c>
      <c r="B95" s="2" t="s">
        <v>87</v>
      </c>
      <c r="C95" s="289">
        <v>8847</v>
      </c>
      <c r="D95" s="177">
        <v>231216</v>
      </c>
      <c r="E95" s="289">
        <v>8934</v>
      </c>
      <c r="F95" s="177">
        <v>248460</v>
      </c>
      <c r="G95" s="289">
        <v>8972</v>
      </c>
      <c r="H95" s="177">
        <v>260046</v>
      </c>
      <c r="I95" s="289">
        <v>8957</v>
      </c>
      <c r="J95" s="177">
        <v>261503</v>
      </c>
      <c r="K95" s="289">
        <v>8965</v>
      </c>
      <c r="L95" s="177">
        <v>270116</v>
      </c>
    </row>
    <row r="96" spans="1:12" ht="13">
      <c r="A96" s="1">
        <v>1516</v>
      </c>
      <c r="B96" s="2" t="s">
        <v>88</v>
      </c>
      <c r="C96" s="289">
        <v>8092</v>
      </c>
      <c r="D96" s="177">
        <v>242269</v>
      </c>
      <c r="E96" s="289">
        <v>8292</v>
      </c>
      <c r="F96" s="177">
        <v>257483</v>
      </c>
      <c r="G96" s="289">
        <v>8430</v>
      </c>
      <c r="H96" s="177">
        <v>245408</v>
      </c>
      <c r="I96" s="289">
        <v>8457</v>
      </c>
      <c r="J96" s="177">
        <v>249381</v>
      </c>
      <c r="K96" s="289">
        <v>8555</v>
      </c>
      <c r="L96" s="177">
        <v>262420</v>
      </c>
    </row>
    <row r="97" spans="1:12" ht="13">
      <c r="A97" s="1">
        <v>1517</v>
      </c>
      <c r="B97" s="2" t="s">
        <v>89</v>
      </c>
      <c r="C97" s="289">
        <v>5021</v>
      </c>
      <c r="D97" s="177">
        <v>112102</v>
      </c>
      <c r="E97" s="289">
        <v>5065</v>
      </c>
      <c r="F97" s="177">
        <v>114254</v>
      </c>
      <c r="G97" s="289">
        <v>5189</v>
      </c>
      <c r="H97" s="177">
        <v>119524</v>
      </c>
      <c r="I97" s="289">
        <v>5185</v>
      </c>
      <c r="J97" s="177">
        <v>120422</v>
      </c>
      <c r="K97" s="289">
        <v>5150</v>
      </c>
      <c r="L97" s="177">
        <v>124236</v>
      </c>
    </row>
    <row r="98" spans="1:12" ht="13">
      <c r="A98" s="1">
        <v>1519</v>
      </c>
      <c r="B98" s="2" t="s">
        <v>90</v>
      </c>
      <c r="C98" s="289">
        <v>8909</v>
      </c>
      <c r="D98" s="177">
        <v>184301</v>
      </c>
      <c r="E98" s="289">
        <v>8977</v>
      </c>
      <c r="F98" s="177">
        <v>193969</v>
      </c>
      <c r="G98" s="289">
        <v>9037</v>
      </c>
      <c r="H98" s="177">
        <v>206755</v>
      </c>
      <c r="I98" s="289">
        <v>9102</v>
      </c>
      <c r="J98" s="177">
        <v>209347</v>
      </c>
      <c r="K98" s="289">
        <v>9188</v>
      </c>
      <c r="L98" s="177">
        <v>222531</v>
      </c>
    </row>
    <row r="99" spans="1:12" ht="13">
      <c r="A99" s="1">
        <v>1520</v>
      </c>
      <c r="B99" s="2" t="s">
        <v>91</v>
      </c>
      <c r="C99" s="289">
        <v>10536</v>
      </c>
      <c r="D99" s="177">
        <v>230939</v>
      </c>
      <c r="E99" s="289">
        <v>10589</v>
      </c>
      <c r="F99" s="177">
        <v>248077</v>
      </c>
      <c r="G99" s="289">
        <v>10677</v>
      </c>
      <c r="H99" s="177">
        <v>257414</v>
      </c>
      <c r="I99" s="289">
        <v>10744</v>
      </c>
      <c r="J99" s="177">
        <v>268472</v>
      </c>
      <c r="K99" s="289">
        <v>10812</v>
      </c>
      <c r="L99" s="177">
        <v>277117</v>
      </c>
    </row>
    <row r="100" spans="1:12" ht="13">
      <c r="A100" s="1">
        <v>1523</v>
      </c>
      <c r="B100" s="2" t="s">
        <v>92</v>
      </c>
      <c r="C100" s="289">
        <v>2301</v>
      </c>
      <c r="D100" s="177">
        <v>49948</v>
      </c>
      <c r="E100" s="289">
        <v>2294</v>
      </c>
      <c r="F100" s="177">
        <v>57694</v>
      </c>
      <c r="G100" s="289">
        <v>2310</v>
      </c>
      <c r="H100" s="177">
        <v>57007</v>
      </c>
      <c r="I100" s="289">
        <v>2296</v>
      </c>
      <c r="J100" s="177">
        <v>52710</v>
      </c>
      <c r="K100" s="289">
        <v>2267</v>
      </c>
      <c r="L100" s="177">
        <v>60208</v>
      </c>
    </row>
    <row r="101" spans="1:12" ht="13">
      <c r="A101" s="1">
        <v>1524</v>
      </c>
      <c r="B101" s="2" t="s">
        <v>93</v>
      </c>
      <c r="C101" s="289">
        <v>1685</v>
      </c>
      <c r="D101" s="177">
        <v>43261</v>
      </c>
      <c r="E101" s="289">
        <v>1676</v>
      </c>
      <c r="F101" s="177">
        <v>43658</v>
      </c>
      <c r="G101" s="289">
        <v>1652</v>
      </c>
      <c r="H101" s="177">
        <v>45958</v>
      </c>
      <c r="I101" s="289">
        <v>1663</v>
      </c>
      <c r="J101" s="177">
        <v>50740</v>
      </c>
      <c r="K101" s="289">
        <v>1670</v>
      </c>
      <c r="L101" s="177">
        <v>48307</v>
      </c>
    </row>
    <row r="102" spans="1:12" ht="13">
      <c r="A102" s="1">
        <v>1525</v>
      </c>
      <c r="B102" s="2" t="s">
        <v>94</v>
      </c>
      <c r="C102" s="289">
        <v>4616</v>
      </c>
      <c r="D102" s="177">
        <v>102920</v>
      </c>
      <c r="E102" s="289">
        <v>4605</v>
      </c>
      <c r="F102" s="177">
        <v>104690</v>
      </c>
      <c r="G102" s="289">
        <v>4598</v>
      </c>
      <c r="H102" s="177">
        <v>117534</v>
      </c>
      <c r="I102" s="289">
        <v>4623</v>
      </c>
      <c r="J102" s="177">
        <v>121163</v>
      </c>
      <c r="K102" s="289">
        <v>4587</v>
      </c>
      <c r="L102" s="177">
        <v>127019</v>
      </c>
    </row>
    <row r="103" spans="1:12" ht="13">
      <c r="A103" s="1">
        <v>1526</v>
      </c>
      <c r="B103" s="2" t="s">
        <v>95</v>
      </c>
      <c r="C103" s="289">
        <v>1035</v>
      </c>
      <c r="D103" s="177">
        <v>18576</v>
      </c>
      <c r="E103" s="289">
        <v>1043</v>
      </c>
      <c r="F103" s="177">
        <v>18571</v>
      </c>
      <c r="G103" s="289">
        <v>1020</v>
      </c>
      <c r="H103" s="177">
        <v>20380</v>
      </c>
      <c r="I103" s="289">
        <v>1005</v>
      </c>
      <c r="J103" s="177">
        <v>21129</v>
      </c>
      <c r="K103" s="289">
        <v>972</v>
      </c>
      <c r="L103" s="177">
        <v>22562</v>
      </c>
    </row>
    <row r="104" spans="1:12" ht="13">
      <c r="A104" s="1">
        <v>1528</v>
      </c>
      <c r="B104" s="2" t="s">
        <v>96</v>
      </c>
      <c r="C104" s="289">
        <v>7730</v>
      </c>
      <c r="D104" s="177">
        <v>157880</v>
      </c>
      <c r="E104" s="289">
        <v>7707</v>
      </c>
      <c r="F104" s="177">
        <v>165427</v>
      </c>
      <c r="G104" s="289">
        <v>7675</v>
      </c>
      <c r="H104" s="177">
        <v>176372</v>
      </c>
      <c r="I104" s="289">
        <v>7695</v>
      </c>
      <c r="J104" s="177">
        <v>182002</v>
      </c>
      <c r="K104" s="289">
        <v>7695</v>
      </c>
      <c r="L104" s="177">
        <v>194273</v>
      </c>
    </row>
    <row r="105" spans="1:12" ht="13">
      <c r="A105" s="1">
        <v>1529</v>
      </c>
      <c r="B105" s="2" t="s">
        <v>97</v>
      </c>
      <c r="C105" s="289">
        <v>4387</v>
      </c>
      <c r="D105" s="177">
        <v>93598</v>
      </c>
      <c r="E105" s="289">
        <v>4465</v>
      </c>
      <c r="F105" s="177">
        <v>99262</v>
      </c>
      <c r="G105" s="289">
        <v>4620</v>
      </c>
      <c r="H105" s="177">
        <v>111556</v>
      </c>
      <c r="I105" s="289">
        <v>4667</v>
      </c>
      <c r="J105" s="177">
        <v>114146</v>
      </c>
      <c r="K105" s="289">
        <v>4680</v>
      </c>
      <c r="L105" s="177">
        <v>116891</v>
      </c>
    </row>
    <row r="106" spans="1:12" ht="13">
      <c r="A106" s="1">
        <v>1531</v>
      </c>
      <c r="B106" s="2" t="s">
        <v>98</v>
      </c>
      <c r="C106" s="289">
        <v>8651</v>
      </c>
      <c r="D106" s="177">
        <v>178416</v>
      </c>
      <c r="E106" s="289">
        <v>8855</v>
      </c>
      <c r="F106" s="177">
        <v>190618</v>
      </c>
      <c r="G106" s="289">
        <v>8952</v>
      </c>
      <c r="H106" s="177">
        <v>205516</v>
      </c>
      <c r="I106" s="289">
        <v>9007</v>
      </c>
      <c r="J106" s="177">
        <v>218659</v>
      </c>
      <c r="K106" s="289">
        <v>9131</v>
      </c>
      <c r="L106" s="177">
        <v>225657</v>
      </c>
    </row>
    <row r="107" spans="1:12" ht="13">
      <c r="A107" s="1">
        <v>1532</v>
      </c>
      <c r="B107" s="2" t="s">
        <v>99</v>
      </c>
      <c r="C107" s="289">
        <v>7739</v>
      </c>
      <c r="D107" s="177">
        <v>176985</v>
      </c>
      <c r="E107" s="289">
        <v>7924</v>
      </c>
      <c r="F107" s="177">
        <v>191013</v>
      </c>
      <c r="G107" s="289">
        <v>8094</v>
      </c>
      <c r="H107" s="177">
        <v>202891</v>
      </c>
      <c r="I107" s="289">
        <v>8176</v>
      </c>
      <c r="J107" s="177">
        <v>211132</v>
      </c>
      <c r="K107" s="289">
        <v>8292</v>
      </c>
      <c r="L107" s="177">
        <v>225895</v>
      </c>
    </row>
    <row r="108" spans="1:12" ht="13">
      <c r="A108" s="1">
        <v>1534</v>
      </c>
      <c r="B108" s="2" t="s">
        <v>100</v>
      </c>
      <c r="C108" s="289">
        <v>9084</v>
      </c>
      <c r="D108" s="177">
        <v>215808</v>
      </c>
      <c r="E108" s="289">
        <v>9120</v>
      </c>
      <c r="F108" s="177">
        <v>219138</v>
      </c>
      <c r="G108" s="289">
        <v>9200</v>
      </c>
      <c r="H108" s="177">
        <v>231827</v>
      </c>
      <c r="I108" s="289">
        <v>9312</v>
      </c>
      <c r="J108" s="177">
        <v>237154</v>
      </c>
      <c r="K108" s="289">
        <v>9345</v>
      </c>
      <c r="L108" s="177">
        <v>248949</v>
      </c>
    </row>
    <row r="109" spans="1:12" ht="13">
      <c r="A109" s="1">
        <v>1535</v>
      </c>
      <c r="B109" s="2" t="s">
        <v>101</v>
      </c>
      <c r="C109" s="289">
        <v>6615</v>
      </c>
      <c r="D109" s="177">
        <v>148221</v>
      </c>
      <c r="E109" s="289">
        <v>6708</v>
      </c>
      <c r="F109" s="177">
        <v>156759</v>
      </c>
      <c r="G109" s="289">
        <v>6611</v>
      </c>
      <c r="H109" s="177">
        <v>156952</v>
      </c>
      <c r="I109" s="289">
        <v>6577</v>
      </c>
      <c r="J109" s="177">
        <v>160490</v>
      </c>
      <c r="K109" s="289">
        <v>6559</v>
      </c>
      <c r="L109" s="177">
        <v>176646</v>
      </c>
    </row>
    <row r="110" spans="1:12" ht="13">
      <c r="A110" s="1">
        <v>1539</v>
      </c>
      <c r="B110" s="2" t="s">
        <v>102</v>
      </c>
      <c r="C110" s="289">
        <v>7453</v>
      </c>
      <c r="D110" s="177">
        <v>173016</v>
      </c>
      <c r="E110" s="289">
        <v>7445</v>
      </c>
      <c r="F110" s="177">
        <v>177886</v>
      </c>
      <c r="G110" s="289">
        <v>7492</v>
      </c>
      <c r="H110" s="177">
        <v>183416</v>
      </c>
      <c r="I110" s="289">
        <v>7503</v>
      </c>
      <c r="J110" s="177">
        <v>192778</v>
      </c>
      <c r="K110" s="289">
        <v>7507</v>
      </c>
      <c r="L110" s="177">
        <v>207857</v>
      </c>
    </row>
    <row r="111" spans="1:12" ht="13">
      <c r="A111" s="1">
        <v>1543</v>
      </c>
      <c r="B111" s="2" t="s">
        <v>103</v>
      </c>
      <c r="C111" s="289">
        <v>3001</v>
      </c>
      <c r="D111" s="177">
        <v>70816</v>
      </c>
      <c r="E111" s="289">
        <v>2975</v>
      </c>
      <c r="F111" s="177">
        <v>75819</v>
      </c>
      <c r="G111" s="289">
        <v>2970</v>
      </c>
      <c r="H111" s="177">
        <v>75915</v>
      </c>
      <c r="I111" s="289">
        <v>2963</v>
      </c>
      <c r="J111" s="177">
        <v>76676</v>
      </c>
      <c r="K111" s="289">
        <v>2946</v>
      </c>
      <c r="L111" s="177">
        <v>81794</v>
      </c>
    </row>
    <row r="112" spans="1:12" ht="13">
      <c r="A112" s="1">
        <v>1545</v>
      </c>
      <c r="B112" s="2" t="s">
        <v>104</v>
      </c>
      <c r="C112" s="289">
        <v>2036</v>
      </c>
      <c r="D112" s="177">
        <v>43816</v>
      </c>
      <c r="E112" s="289">
        <v>2068</v>
      </c>
      <c r="F112" s="177">
        <v>47190</v>
      </c>
      <c r="G112" s="289">
        <v>2088</v>
      </c>
      <c r="H112" s="177">
        <v>50242</v>
      </c>
      <c r="I112" s="289">
        <v>2085</v>
      </c>
      <c r="J112" s="177">
        <v>51819</v>
      </c>
      <c r="K112" s="289">
        <v>2049</v>
      </c>
      <c r="L112" s="177">
        <v>54739</v>
      </c>
    </row>
    <row r="113" spans="1:12" ht="13">
      <c r="A113" s="1">
        <v>1546</v>
      </c>
      <c r="B113" s="2" t="s">
        <v>105</v>
      </c>
      <c r="C113" s="289">
        <v>1285</v>
      </c>
      <c r="D113" s="177">
        <v>35372</v>
      </c>
      <c r="E113" s="289">
        <v>1262</v>
      </c>
      <c r="F113" s="177">
        <v>36460</v>
      </c>
      <c r="G113" s="289">
        <v>1270</v>
      </c>
      <c r="H113" s="177">
        <v>39495</v>
      </c>
      <c r="I113" s="289">
        <v>1246</v>
      </c>
      <c r="J113" s="177">
        <v>37801</v>
      </c>
      <c r="K113" s="289">
        <v>1263</v>
      </c>
      <c r="L113" s="177">
        <v>39378</v>
      </c>
    </row>
    <row r="114" spans="1:12" ht="13">
      <c r="A114" s="1">
        <v>1547</v>
      </c>
      <c r="B114" s="2" t="s">
        <v>106</v>
      </c>
      <c r="C114" s="289">
        <v>3377</v>
      </c>
      <c r="D114" s="177">
        <v>84225</v>
      </c>
      <c r="E114" s="289">
        <v>3466</v>
      </c>
      <c r="F114" s="177">
        <v>91555</v>
      </c>
      <c r="G114" s="289">
        <v>3518</v>
      </c>
      <c r="H114" s="177">
        <v>97276</v>
      </c>
      <c r="I114" s="289">
        <v>3547</v>
      </c>
      <c r="J114" s="177">
        <v>102416</v>
      </c>
      <c r="K114" s="289">
        <v>3557</v>
      </c>
      <c r="L114" s="177">
        <v>97066</v>
      </c>
    </row>
    <row r="115" spans="1:12" ht="13">
      <c r="A115" s="1">
        <v>1548</v>
      </c>
      <c r="B115" s="2" t="s">
        <v>107</v>
      </c>
      <c r="C115" s="289">
        <v>9720</v>
      </c>
      <c r="D115" s="177">
        <v>202953</v>
      </c>
      <c r="E115" s="289">
        <v>9787</v>
      </c>
      <c r="F115" s="177">
        <v>211898</v>
      </c>
      <c r="G115" s="289">
        <v>9717</v>
      </c>
      <c r="H115" s="177">
        <v>222394</v>
      </c>
      <c r="I115" s="289">
        <v>9741</v>
      </c>
      <c r="J115" s="177">
        <v>238648</v>
      </c>
      <c r="K115" s="289">
        <v>9775</v>
      </c>
      <c r="L115" s="177">
        <v>253366</v>
      </c>
    </row>
    <row r="116" spans="1:12" ht="13">
      <c r="A116" s="1">
        <v>1551</v>
      </c>
      <c r="B116" s="2" t="s">
        <v>108</v>
      </c>
      <c r="C116" s="289">
        <v>3471</v>
      </c>
      <c r="D116" s="177">
        <v>70518</v>
      </c>
      <c r="E116" s="289">
        <v>3463</v>
      </c>
      <c r="F116" s="177">
        <v>76467</v>
      </c>
      <c r="G116" s="289">
        <v>3467</v>
      </c>
      <c r="H116" s="177">
        <v>82666</v>
      </c>
      <c r="I116" s="289">
        <v>3454</v>
      </c>
      <c r="J116" s="177">
        <v>83031</v>
      </c>
      <c r="K116" s="289">
        <v>3440</v>
      </c>
      <c r="L116" s="177">
        <v>86542</v>
      </c>
    </row>
    <row r="117" spans="1:12" ht="13">
      <c r="A117" s="1">
        <v>1554</v>
      </c>
      <c r="B117" s="2" t="s">
        <v>109</v>
      </c>
      <c r="C117" s="289">
        <v>5687</v>
      </c>
      <c r="D117" s="177">
        <v>125329</v>
      </c>
      <c r="E117" s="289">
        <v>5794</v>
      </c>
      <c r="F117" s="177">
        <v>136191</v>
      </c>
      <c r="G117" s="289">
        <v>5826</v>
      </c>
      <c r="H117" s="177">
        <v>146606</v>
      </c>
      <c r="I117" s="289">
        <v>5856</v>
      </c>
      <c r="J117" s="177">
        <v>150786</v>
      </c>
      <c r="K117" s="289">
        <v>5859</v>
      </c>
      <c r="L117" s="177">
        <v>153466</v>
      </c>
    </row>
    <row r="118" spans="1:12" ht="13">
      <c r="A118" s="1">
        <v>1557</v>
      </c>
      <c r="B118" s="2" t="s">
        <v>110</v>
      </c>
      <c r="C118" s="289">
        <v>2565</v>
      </c>
      <c r="D118" s="177">
        <v>54164</v>
      </c>
      <c r="E118" s="289">
        <v>2580</v>
      </c>
      <c r="F118" s="177">
        <v>59425</v>
      </c>
      <c r="G118" s="289">
        <v>2593</v>
      </c>
      <c r="H118" s="177">
        <v>59460</v>
      </c>
      <c r="I118" s="289">
        <v>2611</v>
      </c>
      <c r="J118" s="177">
        <v>60402</v>
      </c>
      <c r="K118" s="289">
        <v>2623</v>
      </c>
      <c r="L118" s="177">
        <v>63780</v>
      </c>
    </row>
    <row r="119" spans="1:12" ht="13">
      <c r="A119" s="1">
        <v>1560</v>
      </c>
      <c r="B119" s="2" t="s">
        <v>111</v>
      </c>
      <c r="C119" s="289">
        <v>3064</v>
      </c>
      <c r="D119" s="177">
        <v>56739</v>
      </c>
      <c r="E119" s="289">
        <v>3090</v>
      </c>
      <c r="F119" s="177">
        <v>60801</v>
      </c>
      <c r="G119" s="289">
        <v>3103</v>
      </c>
      <c r="H119" s="177">
        <v>68044</v>
      </c>
      <c r="I119" s="289">
        <v>3109</v>
      </c>
      <c r="J119" s="177">
        <v>68507</v>
      </c>
      <c r="K119" s="289">
        <v>3078</v>
      </c>
      <c r="L119" s="177">
        <v>70887</v>
      </c>
    </row>
    <row r="120" spans="1:12" ht="13">
      <c r="A120" s="1">
        <v>1563</v>
      </c>
      <c r="B120" s="2" t="s">
        <v>112</v>
      </c>
      <c r="C120" s="289">
        <v>7171</v>
      </c>
      <c r="D120" s="177">
        <v>169264</v>
      </c>
      <c r="E120" s="289">
        <v>7155</v>
      </c>
      <c r="F120" s="177">
        <v>178481</v>
      </c>
      <c r="G120" s="289">
        <v>7160</v>
      </c>
      <c r="H120" s="177">
        <v>189734</v>
      </c>
      <c r="I120" s="289">
        <v>7126</v>
      </c>
      <c r="J120" s="177">
        <v>195106</v>
      </c>
      <c r="K120" s="289">
        <v>7119</v>
      </c>
      <c r="L120" s="177">
        <v>203672</v>
      </c>
    </row>
    <row r="121" spans="1:12" ht="13">
      <c r="A121" s="1">
        <v>1566</v>
      </c>
      <c r="B121" s="2" t="s">
        <v>113</v>
      </c>
      <c r="C121" s="289">
        <v>5954</v>
      </c>
      <c r="D121" s="177">
        <v>120188</v>
      </c>
      <c r="E121" s="289">
        <v>5976</v>
      </c>
      <c r="F121" s="177">
        <v>122573</v>
      </c>
      <c r="G121" s="289">
        <v>5969</v>
      </c>
      <c r="H121" s="177">
        <v>132821</v>
      </c>
      <c r="I121" s="289">
        <v>5986</v>
      </c>
      <c r="J121" s="177">
        <v>140387</v>
      </c>
      <c r="K121" s="289">
        <v>5978</v>
      </c>
      <c r="L121" s="177">
        <v>157123</v>
      </c>
    </row>
    <row r="122" spans="1:12" ht="13">
      <c r="A122" s="1">
        <v>1571</v>
      </c>
      <c r="B122" s="2" t="s">
        <v>115</v>
      </c>
      <c r="C122" s="289">
        <v>1581</v>
      </c>
      <c r="D122" s="177">
        <v>33613</v>
      </c>
      <c r="E122" s="289">
        <v>1563</v>
      </c>
      <c r="F122" s="177">
        <v>32045</v>
      </c>
      <c r="G122" s="289">
        <v>1547</v>
      </c>
      <c r="H122" s="177">
        <v>34151</v>
      </c>
      <c r="I122" s="289">
        <v>1599</v>
      </c>
      <c r="J122" s="177">
        <v>35422</v>
      </c>
      <c r="K122" s="289">
        <v>1571</v>
      </c>
      <c r="L122" s="177">
        <v>36197</v>
      </c>
    </row>
    <row r="123" spans="1:12" ht="13">
      <c r="A123" s="1">
        <v>1573</v>
      </c>
      <c r="B123" s="2" t="s">
        <v>116</v>
      </c>
      <c r="C123" s="289">
        <v>2166</v>
      </c>
      <c r="D123" s="177">
        <v>42888</v>
      </c>
      <c r="E123" s="289">
        <v>2146</v>
      </c>
      <c r="F123" s="177">
        <v>44088</v>
      </c>
      <c r="G123" s="289">
        <v>2141</v>
      </c>
      <c r="H123" s="177">
        <v>49763</v>
      </c>
      <c r="I123" s="289">
        <v>2160</v>
      </c>
      <c r="J123" s="177">
        <v>54812</v>
      </c>
      <c r="K123" s="289">
        <v>2172</v>
      </c>
      <c r="L123" s="177">
        <v>54874</v>
      </c>
    </row>
    <row r="124" spans="1:12" ht="13">
      <c r="A124" s="1">
        <v>1576</v>
      </c>
      <c r="B124" s="4" t="s">
        <v>710</v>
      </c>
      <c r="C124" s="289">
        <v>3577</v>
      </c>
      <c r="D124" s="177">
        <v>72755</v>
      </c>
      <c r="E124" s="289">
        <v>3549</v>
      </c>
      <c r="F124" s="177">
        <v>76165</v>
      </c>
      <c r="G124" s="289">
        <v>3536</v>
      </c>
      <c r="H124" s="177">
        <v>85813</v>
      </c>
      <c r="I124" s="289">
        <v>3590</v>
      </c>
      <c r="J124" s="177">
        <v>89415</v>
      </c>
      <c r="K124" s="289">
        <v>3593</v>
      </c>
      <c r="L124" s="177">
        <v>90980</v>
      </c>
    </row>
    <row r="125" spans="1:12" ht="13">
      <c r="A125" s="1">
        <v>1804</v>
      </c>
      <c r="B125" s="2" t="s">
        <v>174</v>
      </c>
      <c r="C125" s="289">
        <v>49731</v>
      </c>
      <c r="D125" s="177">
        <v>1162903</v>
      </c>
      <c r="E125" s="289">
        <v>50185</v>
      </c>
      <c r="F125" s="177">
        <v>1244567</v>
      </c>
      <c r="G125" s="289">
        <v>50488</v>
      </c>
      <c r="H125" s="177">
        <v>1345148</v>
      </c>
      <c r="I125" s="289">
        <v>51022</v>
      </c>
      <c r="J125" s="177">
        <v>1417947</v>
      </c>
      <c r="K125" s="289">
        <v>51558</v>
      </c>
      <c r="L125" s="177">
        <v>1519251</v>
      </c>
    </row>
    <row r="126" spans="1:12" ht="13">
      <c r="A126" s="1">
        <v>1805</v>
      </c>
      <c r="B126" s="2" t="s">
        <v>175</v>
      </c>
      <c r="C126" s="289">
        <v>18705</v>
      </c>
      <c r="D126" s="177">
        <v>414485</v>
      </c>
      <c r="E126" s="289">
        <v>18853</v>
      </c>
      <c r="F126" s="177">
        <v>450486</v>
      </c>
      <c r="G126" s="289">
        <v>18787</v>
      </c>
      <c r="H126" s="177">
        <v>482286</v>
      </c>
      <c r="I126" s="289">
        <v>18756</v>
      </c>
      <c r="J126" s="177">
        <v>503411</v>
      </c>
      <c r="K126" s="289">
        <v>18638</v>
      </c>
      <c r="L126" s="177">
        <v>525327</v>
      </c>
    </row>
    <row r="127" spans="1:12" ht="13">
      <c r="A127" s="1">
        <v>1811</v>
      </c>
      <c r="B127" s="2" t="s">
        <v>176</v>
      </c>
      <c r="C127" s="289">
        <v>1503</v>
      </c>
      <c r="D127" s="177">
        <v>30493</v>
      </c>
      <c r="E127" s="289">
        <v>1482</v>
      </c>
      <c r="F127" s="177">
        <v>32052</v>
      </c>
      <c r="G127" s="289">
        <v>1465</v>
      </c>
      <c r="H127" s="177">
        <v>35427</v>
      </c>
      <c r="I127" s="289">
        <v>1473</v>
      </c>
      <c r="J127" s="177">
        <v>37248</v>
      </c>
      <c r="K127" s="289">
        <v>1486</v>
      </c>
      <c r="L127" s="177">
        <v>40198</v>
      </c>
    </row>
    <row r="128" spans="1:12" ht="13">
      <c r="A128" s="1">
        <v>1812</v>
      </c>
      <c r="B128" s="2" t="s">
        <v>177</v>
      </c>
      <c r="C128" s="289">
        <v>2047</v>
      </c>
      <c r="D128" s="177">
        <v>38816</v>
      </c>
      <c r="E128" s="289">
        <v>2063</v>
      </c>
      <c r="F128" s="177">
        <v>39185</v>
      </c>
      <c r="G128" s="289">
        <v>2031</v>
      </c>
      <c r="H128" s="177">
        <v>39654</v>
      </c>
      <c r="I128" s="289">
        <v>2047</v>
      </c>
      <c r="J128" s="177">
        <v>41811</v>
      </c>
      <c r="K128" s="289">
        <v>2020</v>
      </c>
      <c r="L128" s="177">
        <v>44273</v>
      </c>
    </row>
    <row r="129" spans="1:12" ht="13">
      <c r="A129" s="1">
        <v>1813</v>
      </c>
      <c r="B129" s="2" t="s">
        <v>178</v>
      </c>
      <c r="C129" s="289">
        <v>7897</v>
      </c>
      <c r="D129" s="177">
        <v>156213</v>
      </c>
      <c r="E129" s="289">
        <v>7934</v>
      </c>
      <c r="F129" s="177">
        <v>167225</v>
      </c>
      <c r="G129" s="289">
        <v>7962</v>
      </c>
      <c r="H129" s="177">
        <v>181445</v>
      </c>
      <c r="I129" s="289">
        <v>7956</v>
      </c>
      <c r="J129" s="177">
        <v>190059</v>
      </c>
      <c r="K129" s="289">
        <v>7948</v>
      </c>
      <c r="L129" s="177">
        <v>197077</v>
      </c>
    </row>
    <row r="130" spans="1:12" ht="13">
      <c r="A130" s="1">
        <v>1815</v>
      </c>
      <c r="B130" s="2" t="s">
        <v>179</v>
      </c>
      <c r="C130" s="289">
        <v>1223</v>
      </c>
      <c r="D130" s="177">
        <v>21722</v>
      </c>
      <c r="E130" s="289">
        <v>1225</v>
      </c>
      <c r="F130" s="177">
        <v>22840</v>
      </c>
      <c r="G130" s="289">
        <v>1244</v>
      </c>
      <c r="H130" s="177">
        <v>24000</v>
      </c>
      <c r="I130" s="289">
        <v>1234</v>
      </c>
      <c r="J130" s="177">
        <v>24851</v>
      </c>
      <c r="K130" s="289">
        <v>1221</v>
      </c>
      <c r="L130" s="177">
        <v>26288</v>
      </c>
    </row>
    <row r="131" spans="1:12" ht="13">
      <c r="A131" s="1">
        <v>1816</v>
      </c>
      <c r="B131" s="2" t="s">
        <v>180</v>
      </c>
      <c r="C131" s="289">
        <v>495</v>
      </c>
      <c r="D131" s="177">
        <v>8703</v>
      </c>
      <c r="E131" s="289">
        <v>510</v>
      </c>
      <c r="F131" s="177">
        <v>9279</v>
      </c>
      <c r="G131" s="289">
        <v>507</v>
      </c>
      <c r="H131" s="177">
        <v>10195</v>
      </c>
      <c r="I131" s="289">
        <v>528</v>
      </c>
      <c r="J131" s="177">
        <v>10057</v>
      </c>
      <c r="K131" s="289">
        <v>506</v>
      </c>
      <c r="L131" s="177">
        <v>10264</v>
      </c>
    </row>
    <row r="132" spans="1:12" ht="13">
      <c r="A132" s="1">
        <v>1818</v>
      </c>
      <c r="B132" s="2" t="s">
        <v>87</v>
      </c>
      <c r="C132" s="289">
        <v>1733</v>
      </c>
      <c r="D132" s="177">
        <v>33864</v>
      </c>
      <c r="E132" s="289">
        <v>1737</v>
      </c>
      <c r="F132" s="177">
        <v>38421</v>
      </c>
      <c r="G132" s="289">
        <v>1743</v>
      </c>
      <c r="H132" s="177">
        <v>41230</v>
      </c>
      <c r="I132" s="289">
        <v>1788</v>
      </c>
      <c r="J132" s="177">
        <v>46836</v>
      </c>
      <c r="K132" s="289">
        <v>1790</v>
      </c>
      <c r="L132" s="177">
        <v>51964</v>
      </c>
    </row>
    <row r="133" spans="1:12" ht="13">
      <c r="A133" s="1">
        <v>1820</v>
      </c>
      <c r="B133" s="2" t="s">
        <v>181</v>
      </c>
      <c r="C133" s="289">
        <v>7394</v>
      </c>
      <c r="D133" s="177">
        <v>151380</v>
      </c>
      <c r="E133" s="289">
        <v>7454</v>
      </c>
      <c r="F133" s="177">
        <v>158275</v>
      </c>
      <c r="G133" s="289">
        <v>7437</v>
      </c>
      <c r="H133" s="177">
        <v>172927</v>
      </c>
      <c r="I133" s="289">
        <v>7428</v>
      </c>
      <c r="J133" s="177">
        <v>176287</v>
      </c>
      <c r="K133" s="289">
        <v>7450</v>
      </c>
      <c r="L133" s="177">
        <v>184472</v>
      </c>
    </row>
    <row r="134" spans="1:12" ht="13">
      <c r="A134" s="1">
        <v>1822</v>
      </c>
      <c r="B134" s="2" t="s">
        <v>182</v>
      </c>
      <c r="C134" s="289">
        <v>2188</v>
      </c>
      <c r="D134" s="177">
        <v>37305</v>
      </c>
      <c r="E134" s="289">
        <v>2188</v>
      </c>
      <c r="F134" s="177">
        <v>38473</v>
      </c>
      <c r="G134" s="289">
        <v>2216</v>
      </c>
      <c r="H134" s="177">
        <v>42435</v>
      </c>
      <c r="I134" s="289">
        <v>2278</v>
      </c>
      <c r="J134" s="177">
        <v>43914</v>
      </c>
      <c r="K134" s="289">
        <v>2307</v>
      </c>
      <c r="L134" s="177">
        <v>47531</v>
      </c>
    </row>
    <row r="135" spans="1:12" ht="13">
      <c r="A135" s="1">
        <v>1824</v>
      </c>
      <c r="B135" s="2" t="s">
        <v>183</v>
      </c>
      <c r="C135" s="289">
        <v>13286</v>
      </c>
      <c r="D135" s="177">
        <v>273516</v>
      </c>
      <c r="E135" s="289">
        <v>13352</v>
      </c>
      <c r="F135" s="177">
        <v>288336</v>
      </c>
      <c r="G135" s="289">
        <v>13427</v>
      </c>
      <c r="H135" s="177">
        <v>316667</v>
      </c>
      <c r="I135" s="289">
        <v>13465</v>
      </c>
      <c r="J135" s="177">
        <v>321672</v>
      </c>
      <c r="K135" s="289">
        <v>13448</v>
      </c>
      <c r="L135" s="177">
        <v>338074</v>
      </c>
    </row>
    <row r="136" spans="1:12" ht="13">
      <c r="A136" s="1">
        <v>1825</v>
      </c>
      <c r="B136" s="2" t="s">
        <v>184</v>
      </c>
      <c r="C136" s="289">
        <v>1465</v>
      </c>
      <c r="D136" s="177">
        <v>28175</v>
      </c>
      <c r="E136" s="289">
        <v>1458</v>
      </c>
      <c r="F136" s="177">
        <v>30028</v>
      </c>
      <c r="G136" s="289">
        <v>1462</v>
      </c>
      <c r="H136" s="177">
        <v>31257</v>
      </c>
      <c r="I136" s="289">
        <v>1469</v>
      </c>
      <c r="J136" s="177">
        <v>32445</v>
      </c>
      <c r="K136" s="289">
        <v>1463</v>
      </c>
      <c r="L136" s="177">
        <v>35736</v>
      </c>
    </row>
    <row r="137" spans="1:12" ht="13">
      <c r="A137" s="1">
        <v>1826</v>
      </c>
      <c r="B137" s="2" t="s">
        <v>185</v>
      </c>
      <c r="C137" s="289">
        <v>1500</v>
      </c>
      <c r="D137" s="177">
        <v>25086</v>
      </c>
      <c r="E137" s="289">
        <v>1533</v>
      </c>
      <c r="F137" s="177">
        <v>27288</v>
      </c>
      <c r="G137" s="289">
        <v>1465</v>
      </c>
      <c r="H137" s="177">
        <v>29443</v>
      </c>
      <c r="I137" s="289">
        <v>1414</v>
      </c>
      <c r="J137" s="177">
        <v>28941</v>
      </c>
      <c r="K137" s="289">
        <v>1411</v>
      </c>
      <c r="L137" s="177">
        <v>28471</v>
      </c>
    </row>
    <row r="138" spans="1:12" ht="13">
      <c r="A138" s="1">
        <v>1827</v>
      </c>
      <c r="B138" s="2" t="s">
        <v>186</v>
      </c>
      <c r="C138" s="289">
        <v>1420</v>
      </c>
      <c r="D138" s="177">
        <v>26092</v>
      </c>
      <c r="E138" s="289">
        <v>1407</v>
      </c>
      <c r="F138" s="177">
        <v>27767</v>
      </c>
      <c r="G138" s="289">
        <v>1402</v>
      </c>
      <c r="H138" s="177">
        <v>29285</v>
      </c>
      <c r="I138" s="289">
        <v>1410</v>
      </c>
      <c r="J138" s="177">
        <v>31550</v>
      </c>
      <c r="K138" s="289">
        <v>1403</v>
      </c>
      <c r="L138" s="177">
        <v>34700</v>
      </c>
    </row>
    <row r="139" spans="1:12" ht="13">
      <c r="A139" s="1">
        <v>1828</v>
      </c>
      <c r="B139" s="2" t="s">
        <v>187</v>
      </c>
      <c r="C139" s="289">
        <v>1902</v>
      </c>
      <c r="D139" s="177">
        <v>29300</v>
      </c>
      <c r="E139" s="289">
        <v>1871</v>
      </c>
      <c r="F139" s="177">
        <v>33036</v>
      </c>
      <c r="G139" s="289">
        <v>1838</v>
      </c>
      <c r="H139" s="177">
        <v>35368</v>
      </c>
      <c r="I139" s="289">
        <v>1837</v>
      </c>
      <c r="J139" s="177">
        <v>37688</v>
      </c>
      <c r="K139" s="289">
        <v>1805</v>
      </c>
      <c r="L139" s="177">
        <v>44961</v>
      </c>
    </row>
    <row r="140" spans="1:12" ht="13">
      <c r="A140" s="1">
        <v>1832</v>
      </c>
      <c r="B140" s="2" t="s">
        <v>188</v>
      </c>
      <c r="C140" s="289">
        <v>4553</v>
      </c>
      <c r="D140" s="177">
        <v>106976</v>
      </c>
      <c r="E140" s="289">
        <v>4528</v>
      </c>
      <c r="F140" s="177">
        <v>115881</v>
      </c>
      <c r="G140" s="289">
        <v>4486</v>
      </c>
      <c r="H140" s="177">
        <v>121742</v>
      </c>
      <c r="I140" s="289">
        <v>4524</v>
      </c>
      <c r="J140" s="177">
        <v>124876</v>
      </c>
      <c r="K140" s="289">
        <v>4503</v>
      </c>
      <c r="L140" s="177">
        <v>131134</v>
      </c>
    </row>
    <row r="141" spans="1:12" ht="13">
      <c r="A141" s="1">
        <v>1833</v>
      </c>
      <c r="B141" s="2" t="s">
        <v>189</v>
      </c>
      <c r="C141" s="289">
        <v>25943</v>
      </c>
      <c r="D141" s="177">
        <v>551613</v>
      </c>
      <c r="E141" s="289">
        <v>26078</v>
      </c>
      <c r="F141" s="177">
        <v>589326</v>
      </c>
      <c r="G141" s="289">
        <v>26039</v>
      </c>
      <c r="H141" s="177">
        <v>638012</v>
      </c>
      <c r="I141" s="289">
        <v>26101</v>
      </c>
      <c r="J141" s="177">
        <v>666769</v>
      </c>
      <c r="K141" s="289">
        <v>26230</v>
      </c>
      <c r="L141" s="177">
        <v>691020</v>
      </c>
    </row>
    <row r="142" spans="1:12" ht="13">
      <c r="A142" s="1">
        <v>1834</v>
      </c>
      <c r="B142" s="2" t="s">
        <v>190</v>
      </c>
      <c r="C142" s="289">
        <v>1901</v>
      </c>
      <c r="D142" s="177">
        <v>42293</v>
      </c>
      <c r="E142" s="289">
        <v>1917</v>
      </c>
      <c r="F142" s="177">
        <v>46055</v>
      </c>
      <c r="G142" s="289">
        <v>1923</v>
      </c>
      <c r="H142" s="177">
        <v>58139</v>
      </c>
      <c r="I142" s="289">
        <v>1920</v>
      </c>
      <c r="J142" s="177">
        <v>61482</v>
      </c>
      <c r="K142" s="289">
        <v>1920</v>
      </c>
      <c r="L142" s="177">
        <v>71323</v>
      </c>
    </row>
    <row r="143" spans="1:12" ht="13">
      <c r="A143" s="1">
        <v>1835</v>
      </c>
      <c r="B143" s="2" t="s">
        <v>191</v>
      </c>
      <c r="C143" s="289">
        <v>489</v>
      </c>
      <c r="D143" s="177">
        <v>9796</v>
      </c>
      <c r="E143" s="289">
        <v>486</v>
      </c>
      <c r="F143" s="177">
        <v>10370</v>
      </c>
      <c r="G143" s="289">
        <v>478</v>
      </c>
      <c r="H143" s="177">
        <v>11735</v>
      </c>
      <c r="I143" s="289">
        <v>465</v>
      </c>
      <c r="J143" s="177">
        <v>11809</v>
      </c>
      <c r="K143" s="289">
        <v>454</v>
      </c>
      <c r="L143" s="177">
        <v>12509</v>
      </c>
    </row>
    <row r="144" spans="1:12" ht="13">
      <c r="A144" s="1">
        <v>1836</v>
      </c>
      <c r="B144" s="2" t="s">
        <v>192</v>
      </c>
      <c r="C144" s="289">
        <v>1305</v>
      </c>
      <c r="D144" s="177">
        <v>22194</v>
      </c>
      <c r="E144" s="289">
        <v>1269</v>
      </c>
      <c r="F144" s="177">
        <v>23597</v>
      </c>
      <c r="G144" s="289">
        <v>1268</v>
      </c>
      <c r="H144" s="177">
        <v>26674</v>
      </c>
      <c r="I144" s="289">
        <v>1267</v>
      </c>
      <c r="J144" s="177">
        <v>27439</v>
      </c>
      <c r="K144" s="289">
        <v>1249</v>
      </c>
      <c r="L144" s="177">
        <v>28017</v>
      </c>
    </row>
    <row r="145" spans="1:12" ht="13">
      <c r="A145" s="1">
        <v>1837</v>
      </c>
      <c r="B145" s="2" t="s">
        <v>193</v>
      </c>
      <c r="C145" s="289">
        <v>6491</v>
      </c>
      <c r="D145" s="177">
        <v>153531</v>
      </c>
      <c r="E145" s="289">
        <v>6454</v>
      </c>
      <c r="F145" s="177">
        <v>158459</v>
      </c>
      <c r="G145" s="289">
        <v>6471</v>
      </c>
      <c r="H145" s="177">
        <v>170747</v>
      </c>
      <c r="I145" s="289">
        <v>6435</v>
      </c>
      <c r="J145" s="177">
        <v>177983</v>
      </c>
      <c r="K145" s="289">
        <v>6346</v>
      </c>
      <c r="L145" s="177">
        <v>179660</v>
      </c>
    </row>
    <row r="146" spans="1:12" ht="13">
      <c r="A146" s="1">
        <v>1838</v>
      </c>
      <c r="B146" s="2" t="s">
        <v>194</v>
      </c>
      <c r="C146" s="289">
        <v>2023</v>
      </c>
      <c r="D146" s="177">
        <v>46197</v>
      </c>
      <c r="E146" s="289">
        <v>2014</v>
      </c>
      <c r="F146" s="177">
        <v>42627</v>
      </c>
      <c r="G146" s="289">
        <v>2043</v>
      </c>
      <c r="H146" s="177">
        <v>50208</v>
      </c>
      <c r="I146" s="289">
        <v>2024</v>
      </c>
      <c r="J146" s="177">
        <v>49108</v>
      </c>
      <c r="K146" s="289">
        <v>1998</v>
      </c>
      <c r="L146" s="177">
        <v>50262</v>
      </c>
    </row>
    <row r="147" spans="1:12" ht="13">
      <c r="A147" s="1">
        <v>1839</v>
      </c>
      <c r="B147" s="2" t="s">
        <v>195</v>
      </c>
      <c r="C147" s="289">
        <v>1088</v>
      </c>
      <c r="D147" s="177">
        <v>27234</v>
      </c>
      <c r="E147" s="289">
        <v>1058</v>
      </c>
      <c r="F147" s="177">
        <v>25978</v>
      </c>
      <c r="G147" s="289">
        <v>1034</v>
      </c>
      <c r="H147" s="177">
        <v>25014</v>
      </c>
      <c r="I147" s="289">
        <v>1043</v>
      </c>
      <c r="J147" s="177">
        <v>26048</v>
      </c>
      <c r="K147" s="289">
        <v>1029</v>
      </c>
      <c r="L147" s="177">
        <v>26982</v>
      </c>
    </row>
    <row r="148" spans="1:12" ht="13">
      <c r="A148" s="1">
        <v>1840</v>
      </c>
      <c r="B148" s="2" t="s">
        <v>196</v>
      </c>
      <c r="C148" s="289">
        <v>4690</v>
      </c>
      <c r="D148" s="177">
        <v>89200</v>
      </c>
      <c r="E148" s="289">
        <v>4734</v>
      </c>
      <c r="F148" s="177">
        <v>97414</v>
      </c>
      <c r="G148" s="289">
        <v>4700</v>
      </c>
      <c r="H148" s="177">
        <v>108553</v>
      </c>
      <c r="I148" s="289">
        <v>4702</v>
      </c>
      <c r="J148" s="177">
        <v>111140</v>
      </c>
      <c r="K148" s="289">
        <v>4691</v>
      </c>
      <c r="L148" s="177">
        <v>110720</v>
      </c>
    </row>
    <row r="149" spans="1:12" ht="13">
      <c r="A149" s="1">
        <v>1841</v>
      </c>
      <c r="B149" s="2" t="s">
        <v>197</v>
      </c>
      <c r="C149" s="289">
        <v>9556</v>
      </c>
      <c r="D149" s="177">
        <v>205253</v>
      </c>
      <c r="E149" s="289">
        <v>9622</v>
      </c>
      <c r="F149" s="177">
        <v>238903</v>
      </c>
      <c r="G149" s="289">
        <v>9604</v>
      </c>
      <c r="H149" s="177">
        <v>209670</v>
      </c>
      <c r="I149" s="289">
        <v>9729</v>
      </c>
      <c r="J149" s="177">
        <v>242289</v>
      </c>
      <c r="K149" s="289">
        <v>9775</v>
      </c>
      <c r="L149" s="177">
        <v>257308</v>
      </c>
    </row>
    <row r="150" spans="1:12" ht="13">
      <c r="A150" s="1">
        <v>1845</v>
      </c>
      <c r="B150" s="2" t="s">
        <v>198</v>
      </c>
      <c r="C150" s="289">
        <v>1987</v>
      </c>
      <c r="D150" s="177">
        <v>52924</v>
      </c>
      <c r="E150" s="289">
        <v>1953</v>
      </c>
      <c r="F150" s="177">
        <v>53864</v>
      </c>
      <c r="G150" s="289">
        <v>1963</v>
      </c>
      <c r="H150" s="177">
        <v>55801</v>
      </c>
      <c r="I150" s="289">
        <v>1958</v>
      </c>
      <c r="J150" s="177">
        <v>57707</v>
      </c>
      <c r="K150" s="289">
        <v>1979</v>
      </c>
      <c r="L150" s="177">
        <v>58654</v>
      </c>
    </row>
    <row r="151" spans="1:12" ht="13">
      <c r="A151" s="1">
        <v>1848</v>
      </c>
      <c r="B151" s="2" t="s">
        <v>199</v>
      </c>
      <c r="C151" s="289">
        <v>2579</v>
      </c>
      <c r="D151" s="177">
        <v>46019</v>
      </c>
      <c r="E151" s="289">
        <v>2507</v>
      </c>
      <c r="F151" s="177">
        <v>49325</v>
      </c>
      <c r="G151" s="289">
        <v>2543</v>
      </c>
      <c r="H151" s="177">
        <v>55924</v>
      </c>
      <c r="I151" s="289">
        <v>2543</v>
      </c>
      <c r="J151" s="177">
        <v>60787</v>
      </c>
      <c r="K151" s="289">
        <v>2534</v>
      </c>
      <c r="L151" s="177">
        <v>63418</v>
      </c>
    </row>
    <row r="152" spans="1:12" ht="13">
      <c r="A152" s="1">
        <v>1849</v>
      </c>
      <c r="B152" s="2" t="s">
        <v>200</v>
      </c>
      <c r="C152" s="289">
        <v>1820</v>
      </c>
      <c r="D152" s="177">
        <v>39940</v>
      </c>
      <c r="E152" s="289">
        <v>1811</v>
      </c>
      <c r="F152" s="177">
        <v>42101</v>
      </c>
      <c r="G152" s="289">
        <v>1824</v>
      </c>
      <c r="H152" s="177">
        <v>46151</v>
      </c>
      <c r="I152" s="289">
        <v>1810</v>
      </c>
      <c r="J152" s="177">
        <v>46172</v>
      </c>
      <c r="K152" s="289">
        <v>1801</v>
      </c>
      <c r="L152" s="177">
        <v>49651</v>
      </c>
    </row>
    <row r="153" spans="1:12" ht="13">
      <c r="A153" s="1">
        <v>1850</v>
      </c>
      <c r="B153" s="2" t="s">
        <v>201</v>
      </c>
      <c r="C153" s="289">
        <v>2000</v>
      </c>
      <c r="D153" s="177">
        <v>39412</v>
      </c>
      <c r="E153" s="289">
        <v>1996</v>
      </c>
      <c r="F153" s="177">
        <v>42142</v>
      </c>
      <c r="G153" s="289">
        <v>1974</v>
      </c>
      <c r="H153" s="177">
        <v>43277</v>
      </c>
      <c r="I153" s="289">
        <v>1960</v>
      </c>
      <c r="J153" s="177">
        <v>44808</v>
      </c>
      <c r="K153" s="289">
        <v>1953</v>
      </c>
      <c r="L153" s="177">
        <v>46432</v>
      </c>
    </row>
    <row r="154" spans="1:12" ht="13">
      <c r="A154" s="1">
        <v>1851</v>
      </c>
      <c r="B154" s="2" t="s">
        <v>202</v>
      </c>
      <c r="C154" s="289">
        <v>2248</v>
      </c>
      <c r="D154" s="177">
        <v>43646</v>
      </c>
      <c r="E154" s="289">
        <v>2160</v>
      </c>
      <c r="F154" s="177">
        <v>46553</v>
      </c>
      <c r="G154" s="289">
        <v>2144</v>
      </c>
      <c r="H154" s="177">
        <v>49484</v>
      </c>
      <c r="I154" s="289">
        <v>2134</v>
      </c>
      <c r="J154" s="177">
        <v>50467</v>
      </c>
      <c r="K154" s="289">
        <v>2102</v>
      </c>
      <c r="L154" s="177">
        <v>52437</v>
      </c>
    </row>
    <row r="155" spans="1:12" ht="13">
      <c r="A155" s="1">
        <v>1852</v>
      </c>
      <c r="B155" s="2" t="s">
        <v>203</v>
      </c>
      <c r="C155" s="289">
        <v>1256</v>
      </c>
      <c r="D155" s="177">
        <v>22423</v>
      </c>
      <c r="E155" s="289">
        <v>1280</v>
      </c>
      <c r="F155" s="177">
        <v>24602</v>
      </c>
      <c r="G155" s="289">
        <v>1283</v>
      </c>
      <c r="H155" s="177">
        <v>26174</v>
      </c>
      <c r="I155" s="289">
        <v>1252</v>
      </c>
      <c r="J155" s="177">
        <v>26001</v>
      </c>
      <c r="K155" s="289">
        <v>1259</v>
      </c>
      <c r="L155" s="177">
        <v>26955</v>
      </c>
    </row>
    <row r="156" spans="1:12" ht="13">
      <c r="A156" s="1">
        <v>1853</v>
      </c>
      <c r="B156" s="2" t="s">
        <v>204</v>
      </c>
      <c r="C156" s="289">
        <v>1391</v>
      </c>
      <c r="D156" s="177">
        <v>24670</v>
      </c>
      <c r="E156" s="289">
        <v>1385</v>
      </c>
      <c r="F156" s="177">
        <v>26418</v>
      </c>
      <c r="G156" s="289">
        <v>1400</v>
      </c>
      <c r="H156" s="177">
        <v>27912</v>
      </c>
      <c r="I156" s="289">
        <v>1402</v>
      </c>
      <c r="J156" s="177">
        <v>28976</v>
      </c>
      <c r="K156" s="289">
        <v>1387</v>
      </c>
      <c r="L156" s="177">
        <v>29781</v>
      </c>
    </row>
    <row r="157" spans="1:12" ht="13">
      <c r="A157" s="1">
        <v>1854</v>
      </c>
      <c r="B157" s="2" t="s">
        <v>205</v>
      </c>
      <c r="C157" s="289">
        <v>2591</v>
      </c>
      <c r="D157" s="177">
        <v>43185</v>
      </c>
      <c r="E157" s="289">
        <v>2581</v>
      </c>
      <c r="F157" s="177">
        <v>46719</v>
      </c>
      <c r="G157" s="289">
        <v>2556</v>
      </c>
      <c r="H157" s="177">
        <v>49901</v>
      </c>
      <c r="I157" s="289">
        <v>2554</v>
      </c>
      <c r="J157" s="177">
        <v>51010</v>
      </c>
      <c r="K157" s="289">
        <v>2522</v>
      </c>
      <c r="L157" s="177">
        <v>53063</v>
      </c>
    </row>
    <row r="158" spans="1:12" ht="13">
      <c r="A158" s="1">
        <v>1856</v>
      </c>
      <c r="B158" s="2" t="s">
        <v>206</v>
      </c>
      <c r="C158" s="289">
        <v>566</v>
      </c>
      <c r="D158" s="177">
        <v>11661</v>
      </c>
      <c r="E158" s="289">
        <v>545</v>
      </c>
      <c r="F158" s="177">
        <v>13949</v>
      </c>
      <c r="G158" s="289">
        <v>551</v>
      </c>
      <c r="H158" s="177">
        <v>16165</v>
      </c>
      <c r="I158" s="289">
        <v>535</v>
      </c>
      <c r="J158" s="177">
        <v>17382</v>
      </c>
      <c r="K158" s="289">
        <v>517</v>
      </c>
      <c r="L158" s="177">
        <v>16310</v>
      </c>
    </row>
    <row r="159" spans="1:12" ht="13">
      <c r="A159" s="1">
        <v>1857</v>
      </c>
      <c r="B159" s="2" t="s">
        <v>207</v>
      </c>
      <c r="C159" s="289">
        <v>777</v>
      </c>
      <c r="D159" s="177">
        <v>16048</v>
      </c>
      <c r="E159" s="289">
        <v>780</v>
      </c>
      <c r="F159" s="177">
        <v>18594</v>
      </c>
      <c r="G159" s="289">
        <v>765</v>
      </c>
      <c r="H159" s="177">
        <v>20793</v>
      </c>
      <c r="I159" s="289">
        <v>744</v>
      </c>
      <c r="J159" s="177">
        <v>22080</v>
      </c>
      <c r="K159" s="289">
        <v>746</v>
      </c>
      <c r="L159" s="177">
        <v>21713</v>
      </c>
    </row>
    <row r="160" spans="1:12" ht="13">
      <c r="A160" s="1">
        <v>1859</v>
      </c>
      <c r="B160" s="2" t="s">
        <v>208</v>
      </c>
      <c r="C160" s="289">
        <v>1368</v>
      </c>
      <c r="D160" s="177">
        <v>26259</v>
      </c>
      <c r="E160" s="289">
        <v>1358</v>
      </c>
      <c r="F160" s="177">
        <v>28292</v>
      </c>
      <c r="G160" s="289">
        <v>1336</v>
      </c>
      <c r="H160" s="177">
        <v>32331</v>
      </c>
      <c r="I160" s="289">
        <v>1349</v>
      </c>
      <c r="J160" s="177">
        <v>35412</v>
      </c>
      <c r="K160" s="289">
        <v>1301</v>
      </c>
      <c r="L160" s="177">
        <v>37505</v>
      </c>
    </row>
    <row r="161" spans="1:12" ht="13">
      <c r="A161" s="1">
        <v>1860</v>
      </c>
      <c r="B161" s="2" t="s">
        <v>209</v>
      </c>
      <c r="C161" s="289">
        <v>10997</v>
      </c>
      <c r="D161" s="177">
        <v>209102</v>
      </c>
      <c r="E161" s="289">
        <v>11140</v>
      </c>
      <c r="F161" s="177">
        <v>227662</v>
      </c>
      <c r="G161" s="289">
        <v>11198</v>
      </c>
      <c r="H161" s="177">
        <v>253493</v>
      </c>
      <c r="I161" s="289">
        <v>11294</v>
      </c>
      <c r="J161" s="177">
        <v>265381</v>
      </c>
      <c r="K161" s="289">
        <v>11397</v>
      </c>
      <c r="L161" s="177">
        <v>282252</v>
      </c>
    </row>
    <row r="162" spans="1:12" ht="13">
      <c r="A162" s="1">
        <v>1865</v>
      </c>
      <c r="B162" s="2" t="s">
        <v>210</v>
      </c>
      <c r="C162" s="289">
        <v>9223</v>
      </c>
      <c r="D162" s="177">
        <v>176605</v>
      </c>
      <c r="E162" s="289">
        <v>9285</v>
      </c>
      <c r="F162" s="177">
        <v>202235</v>
      </c>
      <c r="G162" s="289">
        <v>9350</v>
      </c>
      <c r="H162" s="177">
        <v>224413</v>
      </c>
      <c r="I162" s="289">
        <v>9444</v>
      </c>
      <c r="J162" s="177">
        <v>240817</v>
      </c>
      <c r="K162" s="289">
        <v>9611</v>
      </c>
      <c r="L162" s="177">
        <v>268281</v>
      </c>
    </row>
    <row r="163" spans="1:12" ht="13">
      <c r="A163" s="1">
        <v>1866</v>
      </c>
      <c r="B163" s="2" t="s">
        <v>211</v>
      </c>
      <c r="C163" s="289">
        <v>8112</v>
      </c>
      <c r="D163" s="177">
        <v>156987</v>
      </c>
      <c r="E163" s="289">
        <v>8057</v>
      </c>
      <c r="F163" s="177">
        <v>161270</v>
      </c>
      <c r="G163" s="289">
        <v>8082</v>
      </c>
      <c r="H163" s="177">
        <v>190925</v>
      </c>
      <c r="I163" s="289">
        <v>8009</v>
      </c>
      <c r="J163" s="177">
        <v>197825</v>
      </c>
      <c r="K163" s="289">
        <v>8042</v>
      </c>
      <c r="L163" s="177">
        <v>188411</v>
      </c>
    </row>
    <row r="164" spans="1:12" ht="13">
      <c r="A164" s="1">
        <v>1867</v>
      </c>
      <c r="B164" s="2" t="s">
        <v>913</v>
      </c>
      <c r="C164" s="289">
        <v>2642</v>
      </c>
      <c r="D164" s="177">
        <v>42197</v>
      </c>
      <c r="E164" s="289">
        <v>2642</v>
      </c>
      <c r="F164" s="177">
        <v>45774</v>
      </c>
      <c r="G164" s="289">
        <v>2632</v>
      </c>
      <c r="H164" s="177">
        <v>52082</v>
      </c>
      <c r="I164" s="289">
        <v>2624</v>
      </c>
      <c r="J164" s="177">
        <v>54754</v>
      </c>
      <c r="K164" s="289">
        <v>2623</v>
      </c>
      <c r="L164" s="177">
        <v>61567</v>
      </c>
    </row>
    <row r="165" spans="1:12" ht="13">
      <c r="A165" s="1">
        <v>1868</v>
      </c>
      <c r="B165" s="2" t="s">
        <v>212</v>
      </c>
      <c r="C165" s="289">
        <v>4562</v>
      </c>
      <c r="D165" s="177">
        <v>88777</v>
      </c>
      <c r="E165" s="289">
        <v>4563</v>
      </c>
      <c r="F165" s="177">
        <v>96911</v>
      </c>
      <c r="G165" s="289">
        <v>4529</v>
      </c>
      <c r="H165" s="177">
        <v>105787</v>
      </c>
      <c r="I165" s="289">
        <v>4580</v>
      </c>
      <c r="J165" s="177">
        <v>109552</v>
      </c>
      <c r="K165" s="289">
        <v>4541</v>
      </c>
      <c r="L165" s="177">
        <v>122118</v>
      </c>
    </row>
    <row r="166" spans="1:12" ht="13">
      <c r="A166" s="1">
        <v>1870</v>
      </c>
      <c r="B166" s="2" t="s">
        <v>213</v>
      </c>
      <c r="C166" s="289">
        <v>10129</v>
      </c>
      <c r="D166" s="177">
        <v>197249</v>
      </c>
      <c r="E166" s="289">
        <v>10166</v>
      </c>
      <c r="F166" s="177">
        <v>213192</v>
      </c>
      <c r="G166" s="289">
        <v>10214</v>
      </c>
      <c r="H166" s="177">
        <v>236542</v>
      </c>
      <c r="I166" s="289">
        <v>10378</v>
      </c>
      <c r="J166" s="177">
        <v>247240</v>
      </c>
      <c r="K166" s="289">
        <v>10401</v>
      </c>
      <c r="L166" s="177">
        <v>270129</v>
      </c>
    </row>
    <row r="167" spans="1:12" ht="13">
      <c r="A167" s="1">
        <v>1871</v>
      </c>
      <c r="B167" s="2" t="s">
        <v>214</v>
      </c>
      <c r="C167" s="289">
        <v>4993</v>
      </c>
      <c r="D167" s="177">
        <v>97841</v>
      </c>
      <c r="E167" s="289">
        <v>4991</v>
      </c>
      <c r="F167" s="177">
        <v>105566</v>
      </c>
      <c r="G167" s="289">
        <v>4980</v>
      </c>
      <c r="H167" s="177">
        <v>110513</v>
      </c>
      <c r="I167" s="289">
        <v>4908</v>
      </c>
      <c r="J167" s="177">
        <v>114562</v>
      </c>
      <c r="K167" s="289">
        <v>4902</v>
      </c>
      <c r="L167" s="177">
        <v>134742</v>
      </c>
    </row>
    <row r="168" spans="1:12" ht="13">
      <c r="A168" s="1">
        <v>1874</v>
      </c>
      <c r="B168" s="2" t="s">
        <v>215</v>
      </c>
      <c r="C168" s="289">
        <v>1108</v>
      </c>
      <c r="D168" s="177">
        <v>23459</v>
      </c>
      <c r="E168" s="289">
        <v>1070</v>
      </c>
      <c r="F168" s="177">
        <v>25475</v>
      </c>
      <c r="G168" s="289">
        <v>1062</v>
      </c>
      <c r="H168" s="177">
        <v>25619</v>
      </c>
      <c r="I168" s="289">
        <v>1073</v>
      </c>
      <c r="J168" s="177">
        <v>28995</v>
      </c>
      <c r="K168" s="289">
        <v>1068</v>
      </c>
      <c r="L168" s="177">
        <v>30852</v>
      </c>
    </row>
    <row r="169" spans="1:12" ht="13">
      <c r="A169" s="1">
        <v>1913</v>
      </c>
      <c r="B169" s="2" t="s">
        <v>219</v>
      </c>
      <c r="C169" s="289">
        <v>2951</v>
      </c>
      <c r="D169" s="177">
        <v>55617</v>
      </c>
      <c r="E169" s="289">
        <v>2988</v>
      </c>
      <c r="F169" s="177">
        <v>61208</v>
      </c>
      <c r="G169" s="289">
        <v>3041</v>
      </c>
      <c r="H169" s="177">
        <v>66151</v>
      </c>
      <c r="I169" s="289">
        <v>3048</v>
      </c>
      <c r="J169" s="177">
        <v>70391</v>
      </c>
      <c r="K169" s="289">
        <v>2994</v>
      </c>
      <c r="L169" s="177">
        <v>69865</v>
      </c>
    </row>
    <row r="170" spans="1:12" ht="13">
      <c r="A170" s="1">
        <v>1927</v>
      </c>
      <c r="B170" s="2" t="s">
        <v>229</v>
      </c>
      <c r="C170" s="289">
        <v>1510</v>
      </c>
      <c r="D170" s="177">
        <v>26039</v>
      </c>
      <c r="E170" s="289">
        <v>1544</v>
      </c>
      <c r="F170" s="177">
        <v>27648</v>
      </c>
      <c r="G170" s="289">
        <v>1543</v>
      </c>
      <c r="H170" s="177">
        <v>30589</v>
      </c>
      <c r="I170" s="289">
        <v>1540</v>
      </c>
      <c r="J170" s="177">
        <v>31694</v>
      </c>
      <c r="K170" s="289">
        <v>1536</v>
      </c>
      <c r="L170" s="177">
        <v>32458</v>
      </c>
    </row>
    <row r="171" spans="1:12" ht="13">
      <c r="A171" s="1">
        <v>1928</v>
      </c>
      <c r="B171" s="2" t="s">
        <v>230</v>
      </c>
      <c r="C171" s="289">
        <v>878</v>
      </c>
      <c r="D171" s="177">
        <v>16199</v>
      </c>
      <c r="E171" s="289">
        <v>884</v>
      </c>
      <c r="F171" s="177">
        <v>17440</v>
      </c>
      <c r="G171" s="289">
        <v>913</v>
      </c>
      <c r="H171" s="177">
        <v>18571</v>
      </c>
      <c r="I171" s="289">
        <v>921</v>
      </c>
      <c r="J171" s="177">
        <v>19159</v>
      </c>
      <c r="K171" s="289">
        <v>943</v>
      </c>
      <c r="L171" s="177">
        <v>21406</v>
      </c>
    </row>
    <row r="172" spans="1:12" ht="13">
      <c r="A172" s="1">
        <v>1929</v>
      </c>
      <c r="B172" s="2" t="s">
        <v>231</v>
      </c>
      <c r="C172" s="289">
        <v>918</v>
      </c>
      <c r="D172" s="177">
        <v>18134</v>
      </c>
      <c r="E172" s="289">
        <v>905</v>
      </c>
      <c r="F172" s="177">
        <v>20611</v>
      </c>
      <c r="G172" s="289">
        <v>915</v>
      </c>
      <c r="H172" s="177">
        <v>21381</v>
      </c>
      <c r="I172" s="289">
        <v>914</v>
      </c>
      <c r="J172" s="177">
        <v>22587</v>
      </c>
      <c r="K172" s="289">
        <v>902</v>
      </c>
      <c r="L172" s="177">
        <v>23708</v>
      </c>
    </row>
    <row r="173" spans="1:12" ht="13">
      <c r="A173" s="1">
        <v>1931</v>
      </c>
      <c r="B173" s="2" t="s">
        <v>232</v>
      </c>
      <c r="C173" s="289">
        <v>11557</v>
      </c>
      <c r="D173" s="177">
        <v>224957</v>
      </c>
      <c r="E173" s="289">
        <v>11535</v>
      </c>
      <c r="F173" s="177">
        <v>242479</v>
      </c>
      <c r="G173" s="289">
        <v>11618</v>
      </c>
      <c r="H173" s="177">
        <v>274230</v>
      </c>
      <c r="I173" s="289">
        <v>11697</v>
      </c>
      <c r="J173" s="177">
        <v>291981</v>
      </c>
      <c r="K173" s="289">
        <v>11644</v>
      </c>
      <c r="L173" s="177">
        <v>294637</v>
      </c>
    </row>
    <row r="174" spans="1:12" ht="13">
      <c r="A174" s="1">
        <v>2004</v>
      </c>
      <c r="B174" s="2" t="s">
        <v>243</v>
      </c>
      <c r="C174" s="289">
        <v>10287</v>
      </c>
      <c r="D174" s="177">
        <v>251640</v>
      </c>
      <c r="E174" s="289">
        <v>10417</v>
      </c>
      <c r="F174" s="177">
        <v>271230</v>
      </c>
      <c r="G174" s="289">
        <v>10455</v>
      </c>
      <c r="H174" s="177">
        <v>280198</v>
      </c>
      <c r="I174" s="289">
        <v>10527</v>
      </c>
      <c r="J174" s="177">
        <v>292967</v>
      </c>
      <c r="K174" s="289">
        <v>10533</v>
      </c>
      <c r="L174" s="177">
        <v>303061</v>
      </c>
    </row>
    <row r="175" spans="1:12" ht="13">
      <c r="A175" s="1">
        <v>2017</v>
      </c>
      <c r="B175" s="2" t="s">
        <v>248</v>
      </c>
      <c r="C175" s="289">
        <v>1051</v>
      </c>
      <c r="D175" s="177">
        <v>20929</v>
      </c>
      <c r="E175" s="289">
        <v>1049</v>
      </c>
      <c r="F175" s="177">
        <v>22878</v>
      </c>
      <c r="G175" s="289">
        <v>1035</v>
      </c>
      <c r="H175" s="177">
        <v>22431</v>
      </c>
      <c r="I175" s="289">
        <v>1027</v>
      </c>
      <c r="J175" s="177">
        <v>24854</v>
      </c>
      <c r="K175" s="289">
        <v>1027</v>
      </c>
      <c r="L175" s="177">
        <v>24465</v>
      </c>
    </row>
    <row r="176" spans="1:12" ht="13">
      <c r="A176" s="1">
        <v>3001</v>
      </c>
      <c r="B176" s="2" t="s">
        <v>783</v>
      </c>
      <c r="C176" s="289">
        <v>30132</v>
      </c>
      <c r="D176" s="177">
        <v>578670</v>
      </c>
      <c r="E176" s="289">
        <v>30328</v>
      </c>
      <c r="F176" s="177">
        <v>622874</v>
      </c>
      <c r="G176" s="289">
        <v>30544</v>
      </c>
      <c r="H176" s="177">
        <v>694774</v>
      </c>
      <c r="I176" s="289">
        <v>30790</v>
      </c>
      <c r="J176" s="177">
        <v>718818</v>
      </c>
      <c r="K176" s="289">
        <v>31037</v>
      </c>
      <c r="L176" s="177">
        <v>758714</v>
      </c>
    </row>
    <row r="177" spans="1:12" ht="13">
      <c r="A177" s="1">
        <v>3003</v>
      </c>
      <c r="B177" s="2" t="s">
        <v>785</v>
      </c>
      <c r="C177" s="289">
        <v>54059</v>
      </c>
      <c r="D177" s="177">
        <v>1032285</v>
      </c>
      <c r="E177" s="289">
        <v>54192</v>
      </c>
      <c r="F177" s="177">
        <v>1110209</v>
      </c>
      <c r="G177" s="289">
        <v>54678</v>
      </c>
      <c r="H177" s="177">
        <v>1254916</v>
      </c>
      <c r="I177" s="289">
        <v>55127</v>
      </c>
      <c r="J177" s="177">
        <v>1290591</v>
      </c>
      <c r="K177" s="289">
        <v>55543</v>
      </c>
      <c r="L177" s="177">
        <v>1352585</v>
      </c>
    </row>
    <row r="178" spans="1:12" ht="13">
      <c r="A178" s="1">
        <v>3004</v>
      </c>
      <c r="B178" s="2" t="s">
        <v>786</v>
      </c>
      <c r="C178" s="289">
        <v>77591</v>
      </c>
      <c r="D178" s="177">
        <v>1625623</v>
      </c>
      <c r="E178" s="289">
        <v>78159</v>
      </c>
      <c r="F178" s="177">
        <v>1719479</v>
      </c>
      <c r="G178" s="289">
        <v>78967</v>
      </c>
      <c r="H178" s="177">
        <v>1889857</v>
      </c>
      <c r="I178" s="289">
        <v>80121</v>
      </c>
      <c r="J178" s="177">
        <v>1991852</v>
      </c>
      <c r="K178" s="289">
        <v>80977</v>
      </c>
      <c r="L178" s="177">
        <v>2095333</v>
      </c>
    </row>
    <row r="179" spans="1:12" ht="13">
      <c r="A179" s="1">
        <v>3006</v>
      </c>
      <c r="B179" s="2" t="s">
        <v>872</v>
      </c>
      <c r="C179" s="289">
        <v>26406</v>
      </c>
      <c r="D179" s="177">
        <v>752839</v>
      </c>
      <c r="E179" s="289">
        <v>26711</v>
      </c>
      <c r="F179" s="177">
        <v>781052</v>
      </c>
      <c r="G179" s="289">
        <v>27013</v>
      </c>
      <c r="H179" s="177">
        <v>820578</v>
      </c>
      <c r="I179" s="289">
        <v>27216</v>
      </c>
      <c r="J179" s="177">
        <v>824287</v>
      </c>
      <c r="K179" s="289">
        <v>27410</v>
      </c>
      <c r="L179" s="177">
        <v>875371</v>
      </c>
    </row>
    <row r="180" spans="1:12" ht="13">
      <c r="A180" s="1">
        <v>3007</v>
      </c>
      <c r="B180" s="2" t="s">
        <v>873</v>
      </c>
      <c r="C180" s="289">
        <v>29624</v>
      </c>
      <c r="D180" s="177">
        <v>636695</v>
      </c>
      <c r="E180" s="289">
        <v>29712</v>
      </c>
      <c r="F180" s="177">
        <v>674660</v>
      </c>
      <c r="G180" s="289">
        <v>29801</v>
      </c>
      <c r="H180" s="177">
        <v>741381</v>
      </c>
      <c r="I180" s="289">
        <v>30034</v>
      </c>
      <c r="J180" s="177">
        <v>781819</v>
      </c>
      <c r="K180" s="289">
        <v>30283</v>
      </c>
      <c r="L180" s="177">
        <v>803489</v>
      </c>
    </row>
    <row r="181" spans="1:12" ht="13">
      <c r="A181" s="1">
        <v>3011</v>
      </c>
      <c r="B181" s="2" t="s">
        <v>787</v>
      </c>
      <c r="C181" s="289">
        <v>4386</v>
      </c>
      <c r="D181" s="177">
        <v>118250</v>
      </c>
      <c r="E181" s="289">
        <v>4480</v>
      </c>
      <c r="F181" s="177">
        <v>120496</v>
      </c>
      <c r="G181" s="289">
        <v>4511</v>
      </c>
      <c r="H181" s="177">
        <v>127169</v>
      </c>
      <c r="I181" s="289">
        <v>4517</v>
      </c>
      <c r="J181" s="177">
        <v>140962</v>
      </c>
      <c r="K181" s="289">
        <v>4540</v>
      </c>
      <c r="L181" s="177">
        <v>152833</v>
      </c>
    </row>
    <row r="182" spans="1:12" ht="13">
      <c r="A182" s="1">
        <v>3012</v>
      </c>
      <c r="B182" s="2" t="s">
        <v>788</v>
      </c>
      <c r="C182" s="289">
        <v>1408</v>
      </c>
      <c r="D182" s="177">
        <v>27552</v>
      </c>
      <c r="E182" s="289">
        <v>1406</v>
      </c>
      <c r="F182" s="177">
        <v>29788</v>
      </c>
      <c r="G182" s="289">
        <v>1404</v>
      </c>
      <c r="H182" s="177">
        <v>32642</v>
      </c>
      <c r="I182" s="289">
        <v>1398</v>
      </c>
      <c r="J182" s="177">
        <v>34123</v>
      </c>
      <c r="K182" s="289">
        <v>1399</v>
      </c>
      <c r="L182" s="177">
        <v>33281</v>
      </c>
    </row>
    <row r="183" spans="1:12" ht="13">
      <c r="A183" s="1">
        <v>3013</v>
      </c>
      <c r="B183" s="2" t="s">
        <v>789</v>
      </c>
      <c r="C183" s="289">
        <v>3596</v>
      </c>
      <c r="D183" s="177">
        <v>65789</v>
      </c>
      <c r="E183" s="289">
        <v>3613</v>
      </c>
      <c r="F183" s="177">
        <v>75060</v>
      </c>
      <c r="G183" s="289">
        <v>3610</v>
      </c>
      <c r="H183" s="177">
        <v>85887</v>
      </c>
      <c r="I183" s="289">
        <v>3597</v>
      </c>
      <c r="J183" s="177">
        <v>82436</v>
      </c>
      <c r="K183" s="289">
        <v>3567</v>
      </c>
      <c r="L183" s="177">
        <v>87199</v>
      </c>
    </row>
    <row r="184" spans="1:12" ht="13">
      <c r="A184" s="1">
        <v>3015</v>
      </c>
      <c r="B184" s="2" t="s">
        <v>2369</v>
      </c>
      <c r="C184" s="289">
        <v>3727</v>
      </c>
      <c r="D184" s="177">
        <v>74341</v>
      </c>
      <c r="E184" s="289">
        <v>3731</v>
      </c>
      <c r="F184" s="177">
        <v>80910</v>
      </c>
      <c r="G184" s="289">
        <v>3742</v>
      </c>
      <c r="H184" s="177">
        <v>88702</v>
      </c>
      <c r="I184" s="289">
        <v>3783</v>
      </c>
      <c r="J184" s="177">
        <v>87806</v>
      </c>
      <c r="K184" s="289">
        <v>3831</v>
      </c>
      <c r="L184" s="177">
        <v>93552</v>
      </c>
    </row>
    <row r="185" spans="1:12" ht="13">
      <c r="A185" s="1">
        <v>3016</v>
      </c>
      <c r="B185" s="2" t="s">
        <v>796</v>
      </c>
      <c r="C185" s="289">
        <v>7974</v>
      </c>
      <c r="D185" s="177">
        <v>157886</v>
      </c>
      <c r="E185" s="289">
        <v>8020</v>
      </c>
      <c r="F185" s="177">
        <v>167095</v>
      </c>
      <c r="G185" s="289">
        <v>8084</v>
      </c>
      <c r="H185" s="177">
        <v>193284</v>
      </c>
      <c r="I185" s="289">
        <v>8173</v>
      </c>
      <c r="J185" s="177">
        <v>194656</v>
      </c>
      <c r="K185" s="289">
        <v>8202</v>
      </c>
      <c r="L185" s="177">
        <v>210300</v>
      </c>
    </row>
    <row r="186" spans="1:12" ht="13">
      <c r="A186" s="1">
        <v>3017</v>
      </c>
      <c r="B186" s="2" t="s">
        <v>797</v>
      </c>
      <c r="C186" s="289">
        <v>7104</v>
      </c>
      <c r="D186" s="177">
        <v>158348</v>
      </c>
      <c r="E186" s="289">
        <v>7206</v>
      </c>
      <c r="F186" s="177">
        <v>167440</v>
      </c>
      <c r="G186" s="289">
        <v>7357</v>
      </c>
      <c r="H186" s="177">
        <v>189397</v>
      </c>
      <c r="I186" s="289">
        <v>7398</v>
      </c>
      <c r="J186" s="177">
        <v>193812</v>
      </c>
      <c r="K186" s="289">
        <v>7465</v>
      </c>
      <c r="L186" s="177">
        <v>198782</v>
      </c>
    </row>
    <row r="187" spans="1:12" ht="13">
      <c r="A187" s="1">
        <v>3018</v>
      </c>
      <c r="B187" s="2" t="s">
        <v>799</v>
      </c>
      <c r="C187" s="289">
        <v>4978</v>
      </c>
      <c r="D187" s="177">
        <v>104906</v>
      </c>
      <c r="E187" s="289">
        <v>5100</v>
      </c>
      <c r="F187" s="177">
        <v>113132</v>
      </c>
      <c r="G187" s="289">
        <v>5186</v>
      </c>
      <c r="H187" s="177">
        <v>126383</v>
      </c>
      <c r="I187" s="289">
        <v>5335</v>
      </c>
      <c r="J187" s="177">
        <v>136309</v>
      </c>
      <c r="K187" s="289">
        <v>5471</v>
      </c>
      <c r="L187" s="177">
        <v>144788</v>
      </c>
    </row>
    <row r="188" spans="1:12" ht="13">
      <c r="A188" s="1">
        <v>3019</v>
      </c>
      <c r="B188" s="2" t="s">
        <v>801</v>
      </c>
      <c r="C188" s="289">
        <v>15944</v>
      </c>
      <c r="D188" s="177">
        <v>382877</v>
      </c>
      <c r="E188" s="289">
        <v>16310</v>
      </c>
      <c r="F188" s="177">
        <v>425131</v>
      </c>
      <c r="G188" s="289">
        <v>16732</v>
      </c>
      <c r="H188" s="177">
        <v>481457</v>
      </c>
      <c r="I188" s="289">
        <v>17188</v>
      </c>
      <c r="J188" s="177">
        <v>511136</v>
      </c>
      <c r="K188" s="289">
        <v>17486</v>
      </c>
      <c r="L188" s="177">
        <v>544775</v>
      </c>
    </row>
    <row r="189" spans="1:12" ht="13">
      <c r="A189" s="1">
        <v>3021</v>
      </c>
      <c r="B189" s="2" t="s">
        <v>803</v>
      </c>
      <c r="C189" s="289">
        <v>17969</v>
      </c>
      <c r="D189" s="177">
        <v>433083</v>
      </c>
      <c r="E189" s="289">
        <v>18503</v>
      </c>
      <c r="F189" s="177">
        <v>473176</v>
      </c>
      <c r="G189" s="289">
        <v>18992</v>
      </c>
      <c r="H189" s="177">
        <v>504569</v>
      </c>
      <c r="I189" s="289">
        <v>19288</v>
      </c>
      <c r="J189" s="177">
        <v>542959</v>
      </c>
      <c r="K189" s="289">
        <v>20084</v>
      </c>
      <c r="L189" s="177">
        <v>610935</v>
      </c>
    </row>
    <row r="190" spans="1:12" ht="13">
      <c r="A190" s="1">
        <v>3022</v>
      </c>
      <c r="B190" s="2" t="s">
        <v>804</v>
      </c>
      <c r="C190" s="289">
        <v>15671</v>
      </c>
      <c r="D190" s="177">
        <v>458700</v>
      </c>
      <c r="E190" s="289">
        <v>15656</v>
      </c>
      <c r="F190" s="177">
        <v>488635</v>
      </c>
      <c r="G190" s="289">
        <v>15695</v>
      </c>
      <c r="H190" s="177">
        <v>552401</v>
      </c>
      <c r="I190" s="289">
        <v>15743</v>
      </c>
      <c r="J190" s="177">
        <v>572415</v>
      </c>
      <c r="K190" s="289">
        <v>15735</v>
      </c>
      <c r="L190" s="177">
        <v>586294</v>
      </c>
    </row>
    <row r="191" spans="1:12" ht="13">
      <c r="A191" s="1">
        <v>3023</v>
      </c>
      <c r="B191" s="2" t="s">
        <v>805</v>
      </c>
      <c r="C191" s="289">
        <v>18297</v>
      </c>
      <c r="D191" s="177">
        <v>484633</v>
      </c>
      <c r="E191" s="289">
        <v>18372</v>
      </c>
      <c r="F191" s="177">
        <v>506316</v>
      </c>
      <c r="G191" s="289">
        <v>18623</v>
      </c>
      <c r="H191" s="177">
        <v>556056</v>
      </c>
      <c r="I191" s="289">
        <v>18869</v>
      </c>
      <c r="J191" s="177">
        <v>583891</v>
      </c>
      <c r="K191" s="289">
        <v>19287</v>
      </c>
      <c r="L191" s="177">
        <v>619346</v>
      </c>
    </row>
    <row r="192" spans="1:12" ht="13">
      <c r="A192" s="1">
        <v>3024</v>
      </c>
      <c r="B192" s="2" t="s">
        <v>807</v>
      </c>
      <c r="C192" s="289">
        <v>118588</v>
      </c>
      <c r="D192" s="177">
        <v>4694842</v>
      </c>
      <c r="E192" s="289">
        <v>120685</v>
      </c>
      <c r="F192" s="177">
        <v>5002876</v>
      </c>
      <c r="G192" s="289">
        <v>122348</v>
      </c>
      <c r="H192" s="177">
        <v>5817013</v>
      </c>
      <c r="I192" s="289">
        <v>124008</v>
      </c>
      <c r="J192" s="177">
        <v>6180068</v>
      </c>
      <c r="K192" s="289">
        <v>125454</v>
      </c>
      <c r="L192" s="177">
        <v>6345361</v>
      </c>
    </row>
    <row r="193" spans="1:12" ht="13">
      <c r="A193" s="1">
        <v>3027</v>
      </c>
      <c r="B193" s="2" t="s">
        <v>812</v>
      </c>
      <c r="C193" s="289">
        <v>16806</v>
      </c>
      <c r="D193" s="177">
        <v>418672</v>
      </c>
      <c r="E193" s="289">
        <v>17185</v>
      </c>
      <c r="F193" s="177">
        <v>443705</v>
      </c>
      <c r="G193" s="289">
        <v>17426</v>
      </c>
      <c r="H193" s="177">
        <v>489036</v>
      </c>
      <c r="I193" s="289">
        <v>17730</v>
      </c>
      <c r="J193" s="177">
        <v>519409</v>
      </c>
      <c r="K193" s="289">
        <v>17874</v>
      </c>
      <c r="L193" s="177">
        <v>553595</v>
      </c>
    </row>
    <row r="194" spans="1:12" ht="13">
      <c r="A194" s="1">
        <v>3028</v>
      </c>
      <c r="B194" s="2" t="s">
        <v>813</v>
      </c>
      <c r="C194" s="289">
        <v>10626</v>
      </c>
      <c r="D194" s="177">
        <v>235399</v>
      </c>
      <c r="E194" s="289">
        <v>10760</v>
      </c>
      <c r="F194" s="177">
        <v>253577</v>
      </c>
      <c r="G194" s="289">
        <v>10870</v>
      </c>
      <c r="H194" s="177">
        <v>279337</v>
      </c>
      <c r="I194" s="289">
        <v>10927</v>
      </c>
      <c r="J194" s="177">
        <v>287943</v>
      </c>
      <c r="K194" s="289">
        <v>10945</v>
      </c>
      <c r="L194" s="177">
        <v>292839</v>
      </c>
    </row>
    <row r="195" spans="1:12" ht="13">
      <c r="A195" s="1">
        <v>3029</v>
      </c>
      <c r="B195" s="2" t="s">
        <v>814</v>
      </c>
      <c r="C195" s="289">
        <v>34697</v>
      </c>
      <c r="D195" s="177">
        <v>955054</v>
      </c>
      <c r="E195" s="289">
        <v>35139</v>
      </c>
      <c r="F195" s="177">
        <v>1000847</v>
      </c>
      <c r="G195" s="289">
        <v>36368</v>
      </c>
      <c r="H195" s="177">
        <v>1106763</v>
      </c>
      <c r="I195" s="289">
        <v>37406</v>
      </c>
      <c r="J195" s="177">
        <v>1186669</v>
      </c>
      <c r="K195" s="289">
        <v>38670</v>
      </c>
      <c r="L195" s="177">
        <v>1265826</v>
      </c>
    </row>
    <row r="196" spans="1:12" ht="13">
      <c r="A196" s="1">
        <v>3031</v>
      </c>
      <c r="B196" s="2" t="s">
        <v>816</v>
      </c>
      <c r="C196" s="289">
        <v>22385</v>
      </c>
      <c r="D196" s="177">
        <v>602308</v>
      </c>
      <c r="E196" s="289">
        <v>22706</v>
      </c>
      <c r="F196" s="177">
        <v>644021</v>
      </c>
      <c r="G196" s="289">
        <v>22857</v>
      </c>
      <c r="H196" s="177">
        <v>703515</v>
      </c>
      <c r="I196" s="289">
        <v>23213</v>
      </c>
      <c r="J196" s="177">
        <v>740249</v>
      </c>
      <c r="K196" s="289">
        <v>23545</v>
      </c>
      <c r="L196" s="177">
        <v>775033</v>
      </c>
    </row>
    <row r="197" spans="1:12" ht="13">
      <c r="A197" s="1">
        <v>3032</v>
      </c>
      <c r="B197" s="2" t="s">
        <v>817</v>
      </c>
      <c r="C197" s="289">
        <v>6292</v>
      </c>
      <c r="D197" s="177">
        <v>172164</v>
      </c>
      <c r="E197" s="289">
        <v>6326</v>
      </c>
      <c r="F197" s="177">
        <v>183102</v>
      </c>
      <c r="G197" s="289">
        <v>6323</v>
      </c>
      <c r="H197" s="177">
        <v>203326</v>
      </c>
      <c r="I197" s="289">
        <v>6546</v>
      </c>
      <c r="J197" s="177">
        <v>234709</v>
      </c>
      <c r="K197" s="289">
        <v>6704</v>
      </c>
      <c r="L197" s="177">
        <v>242251</v>
      </c>
    </row>
    <row r="198" spans="1:12" ht="13">
      <c r="A198" s="1">
        <v>3033</v>
      </c>
      <c r="B198" s="2" t="s">
        <v>818</v>
      </c>
      <c r="C198" s="289">
        <v>32438</v>
      </c>
      <c r="D198" s="177">
        <v>785830</v>
      </c>
      <c r="E198" s="289">
        <v>33310</v>
      </c>
      <c r="F198" s="177">
        <v>825439</v>
      </c>
      <c r="G198" s="289">
        <v>34189</v>
      </c>
      <c r="H198" s="177">
        <v>917838</v>
      </c>
      <c r="I198" s="289">
        <v>35102</v>
      </c>
      <c r="J198" s="177">
        <v>996135</v>
      </c>
      <c r="K198" s="289">
        <v>36576</v>
      </c>
      <c r="L198" s="177">
        <v>1072566</v>
      </c>
    </row>
    <row r="199" spans="1:12" ht="13">
      <c r="A199" s="1">
        <v>3034</v>
      </c>
      <c r="B199" s="2" t="s">
        <v>819</v>
      </c>
      <c r="C199" s="289">
        <v>20164</v>
      </c>
      <c r="D199" s="177">
        <v>415395</v>
      </c>
      <c r="E199" s="289">
        <v>20410</v>
      </c>
      <c r="F199" s="177">
        <v>447461</v>
      </c>
      <c r="G199" s="289">
        <v>20783</v>
      </c>
      <c r="H199" s="177">
        <v>498018</v>
      </c>
      <c r="I199" s="289">
        <v>21241</v>
      </c>
      <c r="J199" s="177">
        <v>529616</v>
      </c>
      <c r="K199" s="289">
        <v>21681</v>
      </c>
      <c r="L199" s="177">
        <v>563996</v>
      </c>
    </row>
    <row r="200" spans="1:12" ht="13">
      <c r="A200" s="1">
        <v>3035</v>
      </c>
      <c r="B200" s="2" t="s">
        <v>820</v>
      </c>
      <c r="C200" s="289">
        <v>22689</v>
      </c>
      <c r="D200" s="177">
        <v>488216</v>
      </c>
      <c r="E200" s="289">
        <v>23238</v>
      </c>
      <c r="F200" s="177">
        <v>518464</v>
      </c>
      <c r="G200" s="289">
        <v>23811</v>
      </c>
      <c r="H200" s="177">
        <v>547726</v>
      </c>
      <c r="I200" s="289">
        <v>24415</v>
      </c>
      <c r="J200" s="177">
        <v>588642</v>
      </c>
      <c r="K200" s="289">
        <v>24647</v>
      </c>
      <c r="L200" s="177">
        <v>626457</v>
      </c>
    </row>
    <row r="201" spans="1:12" ht="13">
      <c r="A201" s="1">
        <v>3036</v>
      </c>
      <c r="B201" s="2" t="s">
        <v>821</v>
      </c>
      <c r="C201" s="289">
        <v>11707</v>
      </c>
      <c r="D201" s="177">
        <v>256510</v>
      </c>
      <c r="E201" s="289">
        <v>11882</v>
      </c>
      <c r="F201" s="177">
        <v>273585</v>
      </c>
      <c r="G201" s="289">
        <v>12267</v>
      </c>
      <c r="H201" s="177">
        <v>306685</v>
      </c>
      <c r="I201" s="289">
        <v>12657</v>
      </c>
      <c r="J201" s="177">
        <v>327371</v>
      </c>
      <c r="K201" s="289">
        <v>13240</v>
      </c>
      <c r="L201" s="177">
        <v>355948</v>
      </c>
    </row>
    <row r="202" spans="1:12" ht="13">
      <c r="A202" s="1">
        <v>3037</v>
      </c>
      <c r="B202" s="2" t="s">
        <v>822</v>
      </c>
      <c r="C202" s="289">
        <v>2695</v>
      </c>
      <c r="D202" s="177">
        <v>49896</v>
      </c>
      <c r="E202" s="289">
        <v>2752</v>
      </c>
      <c r="F202" s="177">
        <v>53872</v>
      </c>
      <c r="G202" s="289">
        <v>2837</v>
      </c>
      <c r="H202" s="177">
        <v>60073</v>
      </c>
      <c r="I202" s="289">
        <v>2910</v>
      </c>
      <c r="J202" s="177">
        <v>62531</v>
      </c>
      <c r="K202" s="289">
        <v>2903</v>
      </c>
      <c r="L202" s="177">
        <v>65315</v>
      </c>
    </row>
    <row r="203" spans="1:12" ht="13">
      <c r="A203" s="1">
        <v>3038</v>
      </c>
      <c r="B203" s="2" t="s">
        <v>874</v>
      </c>
      <c r="C203" s="289">
        <v>6595</v>
      </c>
      <c r="D203" s="177">
        <v>155090</v>
      </c>
      <c r="E203" s="289">
        <v>6698</v>
      </c>
      <c r="F203" s="177">
        <v>149683</v>
      </c>
      <c r="G203" s="289">
        <v>6767</v>
      </c>
      <c r="H203" s="177">
        <v>217126</v>
      </c>
      <c r="I203" s="289">
        <v>6772</v>
      </c>
      <c r="J203" s="177">
        <v>234181</v>
      </c>
      <c r="K203" s="289">
        <v>6833</v>
      </c>
      <c r="L203" s="177">
        <v>231734</v>
      </c>
    </row>
    <row r="204" spans="1:12" ht="13">
      <c r="A204" s="1">
        <v>3039</v>
      </c>
      <c r="B204" s="2" t="s">
        <v>875</v>
      </c>
      <c r="C204" s="289">
        <v>1033</v>
      </c>
      <c r="D204" s="177">
        <v>24901</v>
      </c>
      <c r="E204" s="289">
        <v>1033</v>
      </c>
      <c r="F204" s="177">
        <v>25335</v>
      </c>
      <c r="G204" s="289">
        <v>1074</v>
      </c>
      <c r="H204" s="177">
        <v>27039</v>
      </c>
      <c r="I204" s="289">
        <v>1081</v>
      </c>
      <c r="J204" s="177">
        <v>30416</v>
      </c>
      <c r="K204" s="289">
        <v>1069</v>
      </c>
      <c r="L204" s="177">
        <v>31909</v>
      </c>
    </row>
    <row r="205" spans="1:12" ht="13">
      <c r="A205" s="1">
        <v>3040</v>
      </c>
      <c r="B205" s="2" t="s">
        <v>1966</v>
      </c>
      <c r="C205" s="289">
        <v>3445</v>
      </c>
      <c r="D205" s="177">
        <v>77187</v>
      </c>
      <c r="E205" s="289">
        <v>3414</v>
      </c>
      <c r="F205" s="177">
        <v>79354</v>
      </c>
      <c r="G205" s="289">
        <v>3422</v>
      </c>
      <c r="H205" s="177">
        <v>89949</v>
      </c>
      <c r="I205" s="289">
        <v>3357</v>
      </c>
      <c r="J205" s="177">
        <v>96441</v>
      </c>
      <c r="K205" s="289">
        <v>3341</v>
      </c>
      <c r="L205" s="177">
        <v>98315</v>
      </c>
    </row>
    <row r="206" spans="1:12" ht="13">
      <c r="A206" s="1">
        <v>3041</v>
      </c>
      <c r="B206" s="2" t="s">
        <v>876</v>
      </c>
      <c r="C206" s="289">
        <v>4631</v>
      </c>
      <c r="D206" s="177">
        <v>112440</v>
      </c>
      <c r="E206" s="289">
        <v>4588</v>
      </c>
      <c r="F206" s="177">
        <v>114168</v>
      </c>
      <c r="G206" s="289">
        <v>4578</v>
      </c>
      <c r="H206" s="177">
        <v>123586</v>
      </c>
      <c r="I206" s="289">
        <v>4612</v>
      </c>
      <c r="J206" s="177">
        <v>132260</v>
      </c>
      <c r="K206" s="289">
        <v>4566</v>
      </c>
      <c r="L206" s="177">
        <v>141637</v>
      </c>
    </row>
    <row r="207" spans="1:12" ht="13">
      <c r="A207" s="1">
        <v>3042</v>
      </c>
      <c r="B207" s="2" t="s">
        <v>877</v>
      </c>
      <c r="C207" s="289">
        <v>2295</v>
      </c>
      <c r="D207" s="177">
        <v>60492</v>
      </c>
      <c r="E207" s="289">
        <v>2344</v>
      </c>
      <c r="F207" s="177">
        <v>64349</v>
      </c>
      <c r="G207" s="289">
        <v>2422</v>
      </c>
      <c r="H207" s="177">
        <v>69719</v>
      </c>
      <c r="I207" s="289">
        <v>2442</v>
      </c>
      <c r="J207" s="177">
        <v>76758</v>
      </c>
      <c r="K207" s="289">
        <v>2457</v>
      </c>
      <c r="L207" s="177">
        <v>84916</v>
      </c>
    </row>
    <row r="208" spans="1:12" ht="13">
      <c r="A208" s="1">
        <v>3043</v>
      </c>
      <c r="B208" s="2" t="s">
        <v>878</v>
      </c>
      <c r="C208" s="289">
        <v>4713</v>
      </c>
      <c r="D208" s="177">
        <v>112935</v>
      </c>
      <c r="E208" s="289">
        <v>4716</v>
      </c>
      <c r="F208" s="177">
        <v>119963</v>
      </c>
      <c r="G208" s="289">
        <v>4711</v>
      </c>
      <c r="H208" s="177">
        <v>129347</v>
      </c>
      <c r="I208" s="289">
        <v>4719</v>
      </c>
      <c r="J208" s="177">
        <v>138427</v>
      </c>
      <c r="K208" s="289">
        <v>4626</v>
      </c>
      <c r="L208" s="177">
        <v>141581</v>
      </c>
    </row>
    <row r="209" spans="1:12" ht="13">
      <c r="A209" s="1">
        <v>3044</v>
      </c>
      <c r="B209" s="2" t="s">
        <v>880</v>
      </c>
      <c r="C209" s="289">
        <v>4452</v>
      </c>
      <c r="D209" s="177">
        <v>141469</v>
      </c>
      <c r="E209" s="289">
        <v>4471</v>
      </c>
      <c r="F209" s="177">
        <v>150303</v>
      </c>
      <c r="G209" s="289">
        <v>4497</v>
      </c>
      <c r="H209" s="177">
        <v>163835</v>
      </c>
      <c r="I209" s="289">
        <v>4535</v>
      </c>
      <c r="J209" s="177">
        <v>174624</v>
      </c>
      <c r="K209" s="289">
        <v>4520</v>
      </c>
      <c r="L209" s="177">
        <v>178343</v>
      </c>
    </row>
    <row r="210" spans="1:12" ht="13">
      <c r="A210" s="1">
        <v>3045</v>
      </c>
      <c r="B210" s="2" t="s">
        <v>881</v>
      </c>
      <c r="C210" s="289">
        <v>3509</v>
      </c>
      <c r="D210" s="177">
        <v>84796</v>
      </c>
      <c r="E210" s="289">
        <v>3520</v>
      </c>
      <c r="F210" s="177">
        <v>87162</v>
      </c>
      <c r="G210" s="289">
        <v>3512</v>
      </c>
      <c r="H210" s="177">
        <v>106580</v>
      </c>
      <c r="I210" s="289">
        <v>3502</v>
      </c>
      <c r="J210" s="177">
        <v>102587</v>
      </c>
      <c r="K210" s="289">
        <v>3488</v>
      </c>
      <c r="L210" s="177">
        <v>98498</v>
      </c>
    </row>
    <row r="211" spans="1:12" ht="13">
      <c r="A211" s="1">
        <v>3046</v>
      </c>
      <c r="B211" s="2" t="s">
        <v>882</v>
      </c>
      <c r="C211" s="289">
        <v>2265</v>
      </c>
      <c r="D211" s="177">
        <v>56801</v>
      </c>
      <c r="E211" s="289">
        <v>2268</v>
      </c>
      <c r="F211" s="177">
        <v>62344</v>
      </c>
      <c r="G211" s="289">
        <v>2275</v>
      </c>
      <c r="H211" s="177">
        <v>67497</v>
      </c>
      <c r="I211" s="289">
        <v>2257</v>
      </c>
      <c r="J211" s="177">
        <v>71317</v>
      </c>
      <c r="K211" s="289">
        <v>2277</v>
      </c>
      <c r="L211" s="177">
        <v>72970</v>
      </c>
    </row>
    <row r="212" spans="1:12" ht="13">
      <c r="A212" s="1">
        <v>3047</v>
      </c>
      <c r="B212" s="2" t="s">
        <v>883</v>
      </c>
      <c r="C212" s="289">
        <v>13581</v>
      </c>
      <c r="D212" s="177">
        <v>292072</v>
      </c>
      <c r="E212" s="289">
        <v>13685</v>
      </c>
      <c r="F212" s="177">
        <v>305637</v>
      </c>
      <c r="G212" s="289">
        <v>13794</v>
      </c>
      <c r="H212" s="177">
        <v>341123</v>
      </c>
      <c r="I212" s="289">
        <v>13786</v>
      </c>
      <c r="J212" s="177">
        <v>349911</v>
      </c>
      <c r="K212" s="289">
        <v>13880</v>
      </c>
      <c r="L212" s="177">
        <v>373875</v>
      </c>
    </row>
    <row r="213" spans="1:12" ht="13">
      <c r="A213" s="1">
        <v>3048</v>
      </c>
      <c r="B213" s="2" t="s">
        <v>884</v>
      </c>
      <c r="C213" s="289">
        <v>17919</v>
      </c>
      <c r="D213" s="177">
        <v>404166</v>
      </c>
      <c r="E213" s="289">
        <v>18039</v>
      </c>
      <c r="F213" s="177">
        <v>436278</v>
      </c>
      <c r="G213" s="289">
        <v>18205</v>
      </c>
      <c r="H213" s="177">
        <v>475477</v>
      </c>
      <c r="I213" s="289">
        <v>18562</v>
      </c>
      <c r="J213" s="177">
        <v>512095</v>
      </c>
      <c r="K213" s="289">
        <v>18926</v>
      </c>
      <c r="L213" s="177">
        <v>525047</v>
      </c>
    </row>
    <row r="214" spans="1:12" ht="13">
      <c r="A214" s="1">
        <v>3049</v>
      </c>
      <c r="B214" s="2" t="s">
        <v>886</v>
      </c>
      <c r="C214" s="289">
        <v>25175</v>
      </c>
      <c r="D214" s="177">
        <v>692154</v>
      </c>
      <c r="E214" s="289">
        <v>25378</v>
      </c>
      <c r="F214" s="177">
        <v>737381</v>
      </c>
      <c r="G214" s="289">
        <v>25731</v>
      </c>
      <c r="H214" s="177">
        <v>817486</v>
      </c>
      <c r="I214" s="289">
        <v>25740</v>
      </c>
      <c r="J214" s="177">
        <v>854427</v>
      </c>
      <c r="K214" s="289">
        <v>25980</v>
      </c>
      <c r="L214" s="177">
        <v>880691</v>
      </c>
    </row>
    <row r="215" spans="1:12" ht="13">
      <c r="A215" s="1">
        <v>3050</v>
      </c>
      <c r="B215" s="2" t="s">
        <v>889</v>
      </c>
      <c r="C215" s="289">
        <v>2683</v>
      </c>
      <c r="D215" s="177">
        <v>61223</v>
      </c>
      <c r="E215" s="289">
        <v>2671</v>
      </c>
      <c r="F215" s="177">
        <v>64103</v>
      </c>
      <c r="G215" s="289">
        <v>2699</v>
      </c>
      <c r="H215" s="177">
        <v>70327</v>
      </c>
      <c r="I215" s="289">
        <v>2696</v>
      </c>
      <c r="J215" s="177">
        <v>71305</v>
      </c>
      <c r="K215" s="289">
        <v>2688</v>
      </c>
      <c r="L215" s="177">
        <v>75809</v>
      </c>
    </row>
    <row r="216" spans="1:12" ht="13">
      <c r="A216" s="1">
        <v>3051</v>
      </c>
      <c r="B216" s="2" t="s">
        <v>890</v>
      </c>
      <c r="C216" s="289">
        <v>1369</v>
      </c>
      <c r="D216" s="177">
        <v>33041</v>
      </c>
      <c r="E216" s="289">
        <v>1375</v>
      </c>
      <c r="F216" s="177">
        <v>33997</v>
      </c>
      <c r="G216" s="289">
        <v>1404</v>
      </c>
      <c r="H216" s="177">
        <v>35626</v>
      </c>
      <c r="I216" s="289">
        <v>1399</v>
      </c>
      <c r="J216" s="177">
        <v>38046</v>
      </c>
      <c r="K216" s="289">
        <v>1411</v>
      </c>
      <c r="L216" s="177">
        <v>41136</v>
      </c>
    </row>
    <row r="217" spans="1:12" ht="13">
      <c r="A217" s="1">
        <v>3052</v>
      </c>
      <c r="B217" s="2" t="s">
        <v>891</v>
      </c>
      <c r="C217" s="289">
        <v>2557</v>
      </c>
      <c r="D217" s="177">
        <v>75781</v>
      </c>
      <c r="E217" s="289">
        <v>2541</v>
      </c>
      <c r="F217" s="177">
        <v>79807</v>
      </c>
      <c r="G217" s="289">
        <v>2548</v>
      </c>
      <c r="H217" s="177">
        <v>82403</v>
      </c>
      <c r="I217" s="289">
        <v>2530</v>
      </c>
      <c r="J217" s="177">
        <v>86626</v>
      </c>
      <c r="K217" s="289">
        <v>2482</v>
      </c>
      <c r="L217" s="177">
        <v>90032</v>
      </c>
    </row>
    <row r="218" spans="1:12" ht="13">
      <c r="A218" s="1">
        <v>3053</v>
      </c>
      <c r="B218" s="2" t="s">
        <v>860</v>
      </c>
      <c r="C218" s="289">
        <v>6516</v>
      </c>
      <c r="D218" s="177">
        <v>126182</v>
      </c>
      <c r="E218" s="289">
        <v>6599</v>
      </c>
      <c r="F218" s="177">
        <v>133870</v>
      </c>
      <c r="G218" s="289">
        <v>6629</v>
      </c>
      <c r="H218" s="177">
        <v>147737</v>
      </c>
      <c r="I218" s="289">
        <v>6696</v>
      </c>
      <c r="J218" s="177">
        <v>157513</v>
      </c>
      <c r="K218" s="289">
        <v>6777</v>
      </c>
      <c r="L218" s="177">
        <v>167525</v>
      </c>
    </row>
    <row r="219" spans="1:12" ht="13">
      <c r="A219" s="1">
        <v>3054</v>
      </c>
      <c r="B219" s="2" t="s">
        <v>861</v>
      </c>
      <c r="C219" s="289">
        <v>8952</v>
      </c>
      <c r="D219" s="177">
        <v>195426</v>
      </c>
      <c r="E219" s="289">
        <v>9003</v>
      </c>
      <c r="F219" s="177">
        <v>209542</v>
      </c>
      <c r="G219" s="289">
        <v>9044</v>
      </c>
      <c r="H219" s="177">
        <v>229314</v>
      </c>
      <c r="I219" s="289">
        <v>9080</v>
      </c>
      <c r="J219" s="177">
        <v>238287</v>
      </c>
      <c r="K219" s="289">
        <v>9065</v>
      </c>
      <c r="L219" s="177">
        <v>250417</v>
      </c>
    </row>
    <row r="220" spans="1:12" ht="13">
      <c r="A220" s="1">
        <v>3401</v>
      </c>
      <c r="B220" s="2" t="s">
        <v>824</v>
      </c>
      <c r="C220" s="289">
        <v>17825</v>
      </c>
      <c r="D220" s="177">
        <v>346051</v>
      </c>
      <c r="E220" s="289">
        <v>17881</v>
      </c>
      <c r="F220" s="177">
        <v>377420</v>
      </c>
      <c r="G220" s="289">
        <v>17835</v>
      </c>
      <c r="H220" s="177">
        <v>418583</v>
      </c>
      <c r="I220" s="289">
        <v>17857</v>
      </c>
      <c r="J220" s="177">
        <v>438186</v>
      </c>
      <c r="K220" s="289">
        <v>17934</v>
      </c>
      <c r="L220" s="177">
        <v>464345</v>
      </c>
    </row>
    <row r="221" spans="1:12" ht="13">
      <c r="A221" s="1">
        <v>3403</v>
      </c>
      <c r="B221" s="2" t="s">
        <v>825</v>
      </c>
      <c r="C221" s="289">
        <v>29520</v>
      </c>
      <c r="D221" s="177">
        <v>664070</v>
      </c>
      <c r="E221" s="289">
        <v>29847</v>
      </c>
      <c r="F221" s="177">
        <v>723558</v>
      </c>
      <c r="G221" s="289">
        <v>30120</v>
      </c>
      <c r="H221" s="177">
        <v>799127</v>
      </c>
      <c r="I221" s="289">
        <v>30598</v>
      </c>
      <c r="J221" s="177">
        <v>838185</v>
      </c>
      <c r="K221" s="289">
        <v>30930</v>
      </c>
      <c r="L221" s="177">
        <v>879991</v>
      </c>
    </row>
    <row r="222" spans="1:12" ht="13">
      <c r="A222" s="1">
        <v>3405</v>
      </c>
      <c r="B222" s="2" t="s">
        <v>845</v>
      </c>
      <c r="C222" s="289">
        <v>27028</v>
      </c>
      <c r="D222" s="177">
        <v>624848</v>
      </c>
      <c r="E222" s="289">
        <v>27300</v>
      </c>
      <c r="F222" s="177">
        <v>657280</v>
      </c>
      <c r="G222" s="289">
        <v>27476</v>
      </c>
      <c r="H222" s="177">
        <v>729709</v>
      </c>
      <c r="I222" s="289">
        <v>27781</v>
      </c>
      <c r="J222" s="177">
        <v>769643</v>
      </c>
      <c r="K222" s="289">
        <v>27938</v>
      </c>
      <c r="L222" s="177">
        <v>805350</v>
      </c>
    </row>
    <row r="223" spans="1:12" ht="13">
      <c r="A223" s="1">
        <v>3407</v>
      </c>
      <c r="B223" s="2" t="s">
        <v>846</v>
      </c>
      <c r="C223" s="289">
        <v>29668</v>
      </c>
      <c r="D223" s="177">
        <v>594011</v>
      </c>
      <c r="E223" s="289">
        <v>30063</v>
      </c>
      <c r="F223" s="177">
        <v>645070</v>
      </c>
      <c r="G223" s="289">
        <v>30137</v>
      </c>
      <c r="H223" s="177">
        <v>711172</v>
      </c>
      <c r="I223" s="289">
        <v>30319</v>
      </c>
      <c r="J223" s="177">
        <v>758212</v>
      </c>
      <c r="K223" s="289">
        <v>30642</v>
      </c>
      <c r="L223" s="177">
        <v>797745</v>
      </c>
    </row>
    <row r="224" spans="1:12" ht="13">
      <c r="A224" s="1">
        <v>3411</v>
      </c>
      <c r="B224" s="2" t="s">
        <v>826</v>
      </c>
      <c r="C224" s="289">
        <v>33463</v>
      </c>
      <c r="D224" s="177">
        <v>639220</v>
      </c>
      <c r="E224" s="289">
        <v>33603</v>
      </c>
      <c r="F224" s="177">
        <v>679590</v>
      </c>
      <c r="G224" s="289">
        <v>33597</v>
      </c>
      <c r="H224" s="177">
        <v>752571</v>
      </c>
      <c r="I224" s="289">
        <v>33842</v>
      </c>
      <c r="J224" s="177">
        <v>789183</v>
      </c>
      <c r="K224" s="289">
        <v>34151</v>
      </c>
      <c r="L224" s="177">
        <v>837000</v>
      </c>
    </row>
    <row r="225" spans="1:12" ht="13">
      <c r="A225" s="1">
        <v>3412</v>
      </c>
      <c r="B225" s="2" t="s">
        <v>827</v>
      </c>
      <c r="C225" s="289">
        <v>7546</v>
      </c>
      <c r="D225" s="177">
        <v>135203</v>
      </c>
      <c r="E225" s="289">
        <v>7552</v>
      </c>
      <c r="F225" s="177">
        <v>143397</v>
      </c>
      <c r="G225" s="289">
        <v>7588</v>
      </c>
      <c r="H225" s="177">
        <v>154879</v>
      </c>
      <c r="I225" s="289">
        <v>7633</v>
      </c>
      <c r="J225" s="177">
        <v>162788</v>
      </c>
      <c r="K225" s="289">
        <v>7615</v>
      </c>
      <c r="L225" s="177">
        <v>169501</v>
      </c>
    </row>
    <row r="226" spans="1:12" ht="13">
      <c r="A226" s="1">
        <v>3413</v>
      </c>
      <c r="B226" s="2" t="s">
        <v>828</v>
      </c>
      <c r="C226" s="289">
        <v>19737</v>
      </c>
      <c r="D226" s="177">
        <v>376955</v>
      </c>
      <c r="E226" s="289">
        <v>20013</v>
      </c>
      <c r="F226" s="177">
        <v>407797</v>
      </c>
      <c r="G226" s="289">
        <v>20119</v>
      </c>
      <c r="H226" s="177">
        <v>451307</v>
      </c>
      <c r="I226" s="289">
        <v>20317</v>
      </c>
      <c r="J226" s="177">
        <v>472002</v>
      </c>
      <c r="K226" s="289">
        <v>20646</v>
      </c>
      <c r="L226" s="177">
        <v>497212</v>
      </c>
    </row>
    <row r="227" spans="1:12" ht="13">
      <c r="A227" s="1">
        <v>3414</v>
      </c>
      <c r="B227" s="2" t="s">
        <v>829</v>
      </c>
      <c r="C227" s="289">
        <v>5118</v>
      </c>
      <c r="D227" s="177">
        <v>89305</v>
      </c>
      <c r="E227" s="289">
        <v>5128</v>
      </c>
      <c r="F227" s="177">
        <v>94709</v>
      </c>
      <c r="G227" s="289">
        <v>5131</v>
      </c>
      <c r="H227" s="177">
        <v>100053</v>
      </c>
      <c r="I227" s="289">
        <v>5100</v>
      </c>
      <c r="J227" s="177">
        <v>103182</v>
      </c>
      <c r="K227" s="289">
        <v>5097</v>
      </c>
      <c r="L227" s="177">
        <v>109633</v>
      </c>
    </row>
    <row r="228" spans="1:12" ht="13">
      <c r="A228" s="1">
        <v>3415</v>
      </c>
      <c r="B228" s="2" t="s">
        <v>830</v>
      </c>
      <c r="C228" s="289">
        <v>7847</v>
      </c>
      <c r="D228" s="177">
        <v>154803</v>
      </c>
      <c r="E228" s="289">
        <v>7800</v>
      </c>
      <c r="F228" s="177">
        <v>164788</v>
      </c>
      <c r="G228" s="289">
        <v>7901</v>
      </c>
      <c r="H228" s="177">
        <v>181493</v>
      </c>
      <c r="I228" s="289">
        <v>7866</v>
      </c>
      <c r="J228" s="177">
        <v>184298</v>
      </c>
      <c r="K228" s="289">
        <v>7884</v>
      </c>
      <c r="L228" s="177">
        <v>192327</v>
      </c>
    </row>
    <row r="229" spans="1:12" ht="13">
      <c r="A229" s="1">
        <v>3416</v>
      </c>
      <c r="B229" s="2" t="s">
        <v>831</v>
      </c>
      <c r="C229" s="289">
        <v>6253</v>
      </c>
      <c r="D229" s="177">
        <v>99815</v>
      </c>
      <c r="E229" s="289">
        <v>6219</v>
      </c>
      <c r="F229" s="177">
        <v>110856</v>
      </c>
      <c r="G229" s="289">
        <v>6142</v>
      </c>
      <c r="H229" s="177">
        <v>122325</v>
      </c>
      <c r="I229" s="289">
        <v>6127</v>
      </c>
      <c r="J229" s="177">
        <v>125225</v>
      </c>
      <c r="K229" s="289">
        <v>6142</v>
      </c>
      <c r="L229" s="177">
        <v>129210</v>
      </c>
    </row>
    <row r="230" spans="1:12" ht="13">
      <c r="A230" s="1">
        <v>3417</v>
      </c>
      <c r="B230" s="2" t="s">
        <v>832</v>
      </c>
      <c r="C230" s="289">
        <v>4948</v>
      </c>
      <c r="D230" s="177">
        <v>88799</v>
      </c>
      <c r="E230" s="289">
        <v>4853</v>
      </c>
      <c r="F230" s="177">
        <v>94131</v>
      </c>
      <c r="G230" s="289">
        <v>4763</v>
      </c>
      <c r="H230" s="177">
        <v>100637</v>
      </c>
      <c r="I230" s="289">
        <v>4777</v>
      </c>
      <c r="J230" s="177">
        <v>100470</v>
      </c>
      <c r="K230" s="289">
        <v>4740</v>
      </c>
      <c r="L230" s="177">
        <v>105990</v>
      </c>
    </row>
    <row r="231" spans="1:12" ht="13">
      <c r="A231" s="1">
        <v>3418</v>
      </c>
      <c r="B231" s="2" t="s">
        <v>833</v>
      </c>
      <c r="C231" s="289">
        <v>7544</v>
      </c>
      <c r="D231" s="177">
        <v>131663</v>
      </c>
      <c r="E231" s="289">
        <v>7561</v>
      </c>
      <c r="F231" s="177">
        <v>141663</v>
      </c>
      <c r="G231" s="289">
        <v>7456</v>
      </c>
      <c r="H231" s="177">
        <v>150457</v>
      </c>
      <c r="I231" s="289">
        <v>7329</v>
      </c>
      <c r="J231" s="177">
        <v>157341</v>
      </c>
      <c r="K231" s="289">
        <v>7279</v>
      </c>
      <c r="L231" s="177">
        <v>162251</v>
      </c>
    </row>
    <row r="232" spans="1:12" ht="13">
      <c r="A232" s="1">
        <v>3419</v>
      </c>
      <c r="B232" s="2" t="s">
        <v>799</v>
      </c>
      <c r="C232" s="289">
        <v>3783</v>
      </c>
      <c r="D232" s="177">
        <v>67464</v>
      </c>
      <c r="E232" s="289">
        <v>3790</v>
      </c>
      <c r="F232" s="177">
        <v>72785</v>
      </c>
      <c r="G232" s="289">
        <v>3760</v>
      </c>
      <c r="H232" s="177">
        <v>79771</v>
      </c>
      <c r="I232" s="289">
        <v>3743</v>
      </c>
      <c r="J232" s="177">
        <v>80622</v>
      </c>
      <c r="K232" s="289">
        <v>3680</v>
      </c>
      <c r="L232" s="177">
        <v>81489</v>
      </c>
    </row>
    <row r="233" spans="1:12" ht="13">
      <c r="A233" s="1">
        <v>3420</v>
      </c>
      <c r="B233" s="2" t="s">
        <v>834</v>
      </c>
      <c r="C233" s="289">
        <v>20563</v>
      </c>
      <c r="D233" s="177">
        <v>413285</v>
      </c>
      <c r="E233" s="289">
        <v>20794</v>
      </c>
      <c r="F233" s="177">
        <v>442451</v>
      </c>
      <c r="G233" s="289">
        <v>21030</v>
      </c>
      <c r="H233" s="177">
        <v>469925</v>
      </c>
      <c r="I233" s="289">
        <v>21086</v>
      </c>
      <c r="J233" s="177">
        <v>490237</v>
      </c>
      <c r="K233" s="289">
        <v>21123</v>
      </c>
      <c r="L233" s="177">
        <v>510655</v>
      </c>
    </row>
    <row r="234" spans="1:12" ht="13">
      <c r="A234" s="1">
        <v>3421</v>
      </c>
      <c r="B234" s="2" t="s">
        <v>835</v>
      </c>
      <c r="C234" s="289">
        <v>6621</v>
      </c>
      <c r="D234" s="177">
        <v>123473</v>
      </c>
      <c r="E234" s="289">
        <v>6569</v>
      </c>
      <c r="F234" s="177">
        <v>128694</v>
      </c>
      <c r="G234" s="289">
        <v>6525</v>
      </c>
      <c r="H234" s="177">
        <v>143523</v>
      </c>
      <c r="I234" s="289">
        <v>6550</v>
      </c>
      <c r="J234" s="177">
        <v>155053</v>
      </c>
      <c r="K234" s="289">
        <v>6567</v>
      </c>
      <c r="L234" s="177">
        <v>169452</v>
      </c>
    </row>
    <row r="235" spans="1:12" ht="13">
      <c r="A235" s="1">
        <v>3422</v>
      </c>
      <c r="B235" s="2" t="s">
        <v>836</v>
      </c>
      <c r="C235" s="289">
        <v>4455</v>
      </c>
      <c r="D235" s="177">
        <v>86844</v>
      </c>
      <c r="E235" s="289">
        <v>4456</v>
      </c>
      <c r="F235" s="177">
        <v>91773</v>
      </c>
      <c r="G235" s="289">
        <v>4429</v>
      </c>
      <c r="H235" s="177">
        <v>97563</v>
      </c>
      <c r="I235" s="289">
        <v>4518</v>
      </c>
      <c r="J235" s="177">
        <v>101766</v>
      </c>
      <c r="K235" s="289">
        <v>4480</v>
      </c>
      <c r="L235" s="177">
        <v>103252</v>
      </c>
    </row>
    <row r="236" spans="1:12" ht="13">
      <c r="A236" s="1">
        <v>3423</v>
      </c>
      <c r="B236" s="2" t="s">
        <v>837</v>
      </c>
      <c r="C236" s="289">
        <v>2699</v>
      </c>
      <c r="D236" s="177">
        <v>45450</v>
      </c>
      <c r="E236" s="289">
        <v>2619</v>
      </c>
      <c r="F236" s="177">
        <v>46804</v>
      </c>
      <c r="G236" s="289">
        <v>2600</v>
      </c>
      <c r="H236" s="177">
        <v>51442</v>
      </c>
      <c r="I236" s="289">
        <v>2530</v>
      </c>
      <c r="J236" s="177">
        <v>55098</v>
      </c>
      <c r="K236" s="289">
        <v>2490</v>
      </c>
      <c r="L236" s="177">
        <v>52624</v>
      </c>
    </row>
    <row r="237" spans="1:12" ht="13">
      <c r="A237" s="1">
        <v>3424</v>
      </c>
      <c r="B237" s="2" t="s">
        <v>838</v>
      </c>
      <c r="C237" s="289">
        <v>1883</v>
      </c>
      <c r="D237" s="177">
        <v>37165</v>
      </c>
      <c r="E237" s="289">
        <v>1885</v>
      </c>
      <c r="F237" s="177">
        <v>39705</v>
      </c>
      <c r="G237" s="289">
        <v>1881</v>
      </c>
      <c r="H237" s="177">
        <v>41109</v>
      </c>
      <c r="I237" s="289">
        <v>1858</v>
      </c>
      <c r="J237" s="177">
        <v>41486</v>
      </c>
      <c r="K237" s="289">
        <v>1827</v>
      </c>
      <c r="L237" s="177">
        <v>42432</v>
      </c>
    </row>
    <row r="238" spans="1:12" ht="13">
      <c r="A238" s="1">
        <v>3425</v>
      </c>
      <c r="B238" s="2" t="s">
        <v>839</v>
      </c>
      <c r="C238" s="289">
        <v>1345</v>
      </c>
      <c r="D238" s="177">
        <v>21656</v>
      </c>
      <c r="E238" s="289">
        <v>1359</v>
      </c>
      <c r="F238" s="177">
        <v>23795</v>
      </c>
      <c r="G238" s="289">
        <v>1305</v>
      </c>
      <c r="H238" s="177">
        <v>24758</v>
      </c>
      <c r="I238" s="289">
        <v>1274</v>
      </c>
      <c r="J238" s="177">
        <v>26109</v>
      </c>
      <c r="K238" s="289">
        <v>1294</v>
      </c>
      <c r="L238" s="177">
        <v>27184</v>
      </c>
    </row>
    <row r="239" spans="1:12" ht="13">
      <c r="A239" s="1">
        <v>3426</v>
      </c>
      <c r="B239" s="2" t="s">
        <v>840</v>
      </c>
      <c r="C239" s="289">
        <v>1658</v>
      </c>
      <c r="D239" s="177">
        <v>27453</v>
      </c>
      <c r="E239" s="289">
        <v>1656</v>
      </c>
      <c r="F239" s="177">
        <v>27218</v>
      </c>
      <c r="G239" s="289">
        <v>1620</v>
      </c>
      <c r="H239" s="177">
        <v>30445</v>
      </c>
      <c r="I239" s="289">
        <v>1620</v>
      </c>
      <c r="J239" s="177">
        <v>29844</v>
      </c>
      <c r="K239" s="289">
        <v>1553</v>
      </c>
      <c r="L239" s="177">
        <v>29834</v>
      </c>
    </row>
    <row r="240" spans="1:12" ht="13">
      <c r="A240" s="1">
        <v>3427</v>
      </c>
      <c r="B240" s="2" t="s">
        <v>841</v>
      </c>
      <c r="C240" s="289">
        <v>5549</v>
      </c>
      <c r="D240" s="177">
        <v>107680</v>
      </c>
      <c r="E240" s="289">
        <v>5562</v>
      </c>
      <c r="F240" s="177">
        <v>113932</v>
      </c>
      <c r="G240" s="289">
        <v>5580</v>
      </c>
      <c r="H240" s="177">
        <v>122027</v>
      </c>
      <c r="I240" s="289">
        <v>5584</v>
      </c>
      <c r="J240" s="177">
        <v>130470</v>
      </c>
      <c r="K240" s="289">
        <v>5605</v>
      </c>
      <c r="L240" s="177">
        <v>136219</v>
      </c>
    </row>
    <row r="241" spans="1:12" ht="13">
      <c r="A241" s="1">
        <v>3428</v>
      </c>
      <c r="B241" s="2" t="s">
        <v>842</v>
      </c>
      <c r="C241" s="289">
        <v>2432</v>
      </c>
      <c r="D241" s="177">
        <v>48352</v>
      </c>
      <c r="E241" s="289">
        <v>2418</v>
      </c>
      <c r="F241" s="177">
        <v>49066</v>
      </c>
      <c r="G241" s="289">
        <v>2426</v>
      </c>
      <c r="H241" s="177">
        <v>52913</v>
      </c>
      <c r="I241" s="289">
        <v>2441</v>
      </c>
      <c r="J241" s="177">
        <v>59525</v>
      </c>
      <c r="K241" s="289">
        <v>2424</v>
      </c>
      <c r="L241" s="177">
        <v>59910</v>
      </c>
    </row>
    <row r="242" spans="1:12" ht="13">
      <c r="A242" s="1">
        <v>3429</v>
      </c>
      <c r="B242" s="2" t="s">
        <v>843</v>
      </c>
      <c r="C242" s="289">
        <v>1631</v>
      </c>
      <c r="D242" s="177">
        <v>28026</v>
      </c>
      <c r="E242" s="289">
        <v>1597</v>
      </c>
      <c r="F242" s="177">
        <v>29300</v>
      </c>
      <c r="G242" s="289">
        <v>1592</v>
      </c>
      <c r="H242" s="177">
        <v>31621</v>
      </c>
      <c r="I242" s="289">
        <v>1577</v>
      </c>
      <c r="J242" s="177">
        <v>31809</v>
      </c>
      <c r="K242" s="289">
        <v>1569</v>
      </c>
      <c r="L242" s="177">
        <v>32557</v>
      </c>
    </row>
    <row r="243" spans="1:12" ht="13">
      <c r="A243" s="1">
        <v>3430</v>
      </c>
      <c r="B243" s="2" t="s">
        <v>844</v>
      </c>
      <c r="C243" s="289">
        <v>2013</v>
      </c>
      <c r="D243" s="177">
        <v>35911</v>
      </c>
      <c r="E243" s="289">
        <v>1991</v>
      </c>
      <c r="F243" s="177">
        <v>38018</v>
      </c>
      <c r="G243" s="289">
        <v>1956</v>
      </c>
      <c r="H243" s="177">
        <v>40273</v>
      </c>
      <c r="I243" s="289">
        <v>1963</v>
      </c>
      <c r="J243" s="177">
        <v>40847</v>
      </c>
      <c r="K243" s="289">
        <v>1936</v>
      </c>
      <c r="L243" s="177">
        <v>42580</v>
      </c>
    </row>
    <row r="244" spans="1:12" ht="13">
      <c r="A244" s="1">
        <v>3431</v>
      </c>
      <c r="B244" s="2" t="s">
        <v>847</v>
      </c>
      <c r="C244" s="289">
        <v>2704</v>
      </c>
      <c r="D244" s="177">
        <v>50086</v>
      </c>
      <c r="E244" s="289">
        <v>2745</v>
      </c>
      <c r="F244" s="177">
        <v>54394</v>
      </c>
      <c r="G244" s="289">
        <v>2701</v>
      </c>
      <c r="H244" s="177">
        <v>59477</v>
      </c>
      <c r="I244" s="289">
        <v>2675</v>
      </c>
      <c r="J244" s="177">
        <v>58760</v>
      </c>
      <c r="K244" s="289">
        <v>2642</v>
      </c>
      <c r="L244" s="177">
        <v>61104</v>
      </c>
    </row>
    <row r="245" spans="1:12" ht="13">
      <c r="A245" s="1">
        <v>3432</v>
      </c>
      <c r="B245" s="2" t="s">
        <v>848</v>
      </c>
      <c r="C245" s="289">
        <v>2076</v>
      </c>
      <c r="D245" s="177">
        <v>38506</v>
      </c>
      <c r="E245" s="289">
        <v>2059</v>
      </c>
      <c r="F245" s="177">
        <v>41423</v>
      </c>
      <c r="G245" s="289">
        <v>2055</v>
      </c>
      <c r="H245" s="177">
        <v>46978</v>
      </c>
      <c r="I245" s="289">
        <v>2048</v>
      </c>
      <c r="J245" s="177">
        <v>48600</v>
      </c>
      <c r="K245" s="289">
        <v>2038</v>
      </c>
      <c r="L245" s="177">
        <v>49147</v>
      </c>
    </row>
    <row r="246" spans="1:12" ht="13">
      <c r="A246" s="1">
        <v>3433</v>
      </c>
      <c r="B246" s="2" t="s">
        <v>849</v>
      </c>
      <c r="C246" s="289">
        <v>2264</v>
      </c>
      <c r="D246" s="177">
        <v>54288</v>
      </c>
      <c r="E246" s="289">
        <v>2245</v>
      </c>
      <c r="F246" s="177">
        <v>57843</v>
      </c>
      <c r="G246" s="289">
        <v>2204</v>
      </c>
      <c r="H246" s="177">
        <v>56347</v>
      </c>
      <c r="I246" s="289">
        <v>2202</v>
      </c>
      <c r="J246" s="177">
        <v>57765</v>
      </c>
      <c r="K246" s="289">
        <v>2179</v>
      </c>
      <c r="L246" s="177">
        <v>59712</v>
      </c>
    </row>
    <row r="247" spans="1:12" ht="13">
      <c r="A247" s="1">
        <v>3434</v>
      </c>
      <c r="B247" s="2" t="s">
        <v>850</v>
      </c>
      <c r="C247" s="289">
        <v>2361</v>
      </c>
      <c r="D247" s="177">
        <v>45505</v>
      </c>
      <c r="E247" s="289">
        <v>2356</v>
      </c>
      <c r="F247" s="177">
        <v>48209</v>
      </c>
      <c r="G247" s="289">
        <v>2347</v>
      </c>
      <c r="H247" s="177">
        <v>50742</v>
      </c>
      <c r="I247" s="289">
        <v>2360</v>
      </c>
      <c r="J247" s="177">
        <v>52717</v>
      </c>
      <c r="K247" s="289">
        <v>2331</v>
      </c>
      <c r="L247" s="177">
        <v>53712</v>
      </c>
    </row>
    <row r="248" spans="1:12" ht="13">
      <c r="A248" s="1">
        <v>3435</v>
      </c>
      <c r="B248" s="2" t="s">
        <v>851</v>
      </c>
      <c r="C248" s="289">
        <v>3686</v>
      </c>
      <c r="D248" s="177">
        <v>67094</v>
      </c>
      <c r="E248" s="289">
        <v>3675</v>
      </c>
      <c r="F248" s="177">
        <v>69739</v>
      </c>
      <c r="G248" s="289">
        <v>3664</v>
      </c>
      <c r="H248" s="177">
        <v>75013</v>
      </c>
      <c r="I248" s="289">
        <v>3640</v>
      </c>
      <c r="J248" s="177">
        <v>75847</v>
      </c>
      <c r="K248" s="289">
        <v>3638</v>
      </c>
      <c r="L248" s="177">
        <v>88200</v>
      </c>
    </row>
    <row r="249" spans="1:12" ht="13">
      <c r="A249" s="1">
        <v>3436</v>
      </c>
      <c r="B249" s="2" t="s">
        <v>852</v>
      </c>
      <c r="C249" s="289">
        <v>5765</v>
      </c>
      <c r="D249" s="177">
        <v>135027</v>
      </c>
      <c r="E249" s="289">
        <v>5754</v>
      </c>
      <c r="F249" s="177">
        <v>147197</v>
      </c>
      <c r="G249" s="289">
        <v>5741</v>
      </c>
      <c r="H249" s="177">
        <v>156680</v>
      </c>
      <c r="I249" s="289">
        <v>5723</v>
      </c>
      <c r="J249" s="177">
        <v>157240</v>
      </c>
      <c r="K249" s="289">
        <v>5728</v>
      </c>
      <c r="L249" s="177">
        <v>163384</v>
      </c>
    </row>
    <row r="250" spans="1:12" ht="13">
      <c r="A250" s="1">
        <v>3437</v>
      </c>
      <c r="B250" s="2" t="s">
        <v>853</v>
      </c>
      <c r="C250" s="289">
        <v>5974</v>
      </c>
      <c r="D250" s="177">
        <v>99876</v>
      </c>
      <c r="E250" s="289">
        <v>5965</v>
      </c>
      <c r="F250" s="177">
        <v>106162</v>
      </c>
      <c r="G250" s="289">
        <v>5935</v>
      </c>
      <c r="H250" s="177">
        <v>113135</v>
      </c>
      <c r="I250" s="289">
        <v>5916</v>
      </c>
      <c r="J250" s="177">
        <v>115631</v>
      </c>
      <c r="K250" s="289">
        <v>5872</v>
      </c>
      <c r="L250" s="177">
        <v>120218</v>
      </c>
    </row>
    <row r="251" spans="1:12" ht="13">
      <c r="A251" s="1">
        <v>3438</v>
      </c>
      <c r="B251" s="2" t="s">
        <v>854</v>
      </c>
      <c r="C251" s="289">
        <v>3191</v>
      </c>
      <c r="D251" s="177">
        <v>71560</v>
      </c>
      <c r="E251" s="289">
        <v>3204</v>
      </c>
      <c r="F251" s="177">
        <v>72836</v>
      </c>
      <c r="G251" s="289">
        <v>3154</v>
      </c>
      <c r="H251" s="177">
        <v>80249</v>
      </c>
      <c r="I251" s="289">
        <v>3163</v>
      </c>
      <c r="J251" s="177">
        <v>81548</v>
      </c>
      <c r="K251" s="289">
        <v>3146</v>
      </c>
      <c r="L251" s="177">
        <v>85416</v>
      </c>
    </row>
    <row r="252" spans="1:12" ht="13">
      <c r="A252" s="1">
        <v>3439</v>
      </c>
      <c r="B252" s="2" t="s">
        <v>855</v>
      </c>
      <c r="C252" s="289">
        <v>4495</v>
      </c>
      <c r="D252" s="177">
        <v>88613</v>
      </c>
      <c r="E252" s="289">
        <v>4459</v>
      </c>
      <c r="F252" s="177">
        <v>96151</v>
      </c>
      <c r="G252" s="289">
        <v>4462</v>
      </c>
      <c r="H252" s="177">
        <v>103553</v>
      </c>
      <c r="I252" s="289">
        <v>4502</v>
      </c>
      <c r="J252" s="177">
        <v>106336</v>
      </c>
      <c r="K252" s="289">
        <v>4454</v>
      </c>
      <c r="L252" s="177">
        <v>110978</v>
      </c>
    </row>
    <row r="253" spans="1:12" ht="13">
      <c r="A253" s="1">
        <v>3440</v>
      </c>
      <c r="B253" s="2" t="s">
        <v>856</v>
      </c>
      <c r="C253" s="289">
        <v>5090</v>
      </c>
      <c r="D253" s="177">
        <v>116095</v>
      </c>
      <c r="E253" s="289">
        <v>5065</v>
      </c>
      <c r="F253" s="177">
        <v>116092</v>
      </c>
      <c r="G253" s="289">
        <v>5072</v>
      </c>
      <c r="H253" s="177">
        <v>131318</v>
      </c>
      <c r="I253" s="289">
        <v>5082</v>
      </c>
      <c r="J253" s="177">
        <v>140354</v>
      </c>
      <c r="K253" s="289">
        <v>5130</v>
      </c>
      <c r="L253" s="177">
        <v>149306</v>
      </c>
    </row>
    <row r="254" spans="1:12" ht="13">
      <c r="A254" s="1">
        <v>3441</v>
      </c>
      <c r="B254" s="2" t="s">
        <v>857</v>
      </c>
      <c r="C254" s="289">
        <v>6237</v>
      </c>
      <c r="D254" s="177">
        <v>121697</v>
      </c>
      <c r="E254" s="289">
        <v>6210</v>
      </c>
      <c r="F254" s="177">
        <v>129805</v>
      </c>
      <c r="G254" s="289">
        <v>6227</v>
      </c>
      <c r="H254" s="177">
        <v>141000</v>
      </c>
      <c r="I254" s="289">
        <v>6204</v>
      </c>
      <c r="J254" s="177">
        <v>148052</v>
      </c>
      <c r="K254" s="289">
        <v>6148</v>
      </c>
      <c r="L254" s="177">
        <v>156210</v>
      </c>
    </row>
    <row r="255" spans="1:12" ht="13">
      <c r="A255" s="1">
        <v>3442</v>
      </c>
      <c r="B255" s="2" t="s">
        <v>858</v>
      </c>
      <c r="C255" s="289">
        <v>14777</v>
      </c>
      <c r="D255" s="177">
        <v>281403</v>
      </c>
      <c r="E255" s="289">
        <v>14796</v>
      </c>
      <c r="F255" s="177">
        <v>298093</v>
      </c>
      <c r="G255" s="289">
        <v>14906</v>
      </c>
      <c r="H255" s="177">
        <v>331237</v>
      </c>
      <c r="I255" s="289">
        <v>14887</v>
      </c>
      <c r="J255" s="177">
        <v>349805</v>
      </c>
      <c r="K255" s="289">
        <v>14888</v>
      </c>
      <c r="L255" s="177">
        <v>375056</v>
      </c>
    </row>
    <row r="256" spans="1:12" ht="13">
      <c r="A256" s="1">
        <v>3443</v>
      </c>
      <c r="B256" s="2" t="s">
        <v>859</v>
      </c>
      <c r="C256" s="289">
        <v>13075</v>
      </c>
      <c r="D256" s="177">
        <v>248655</v>
      </c>
      <c r="E256" s="289">
        <v>13152</v>
      </c>
      <c r="F256" s="177">
        <v>268292</v>
      </c>
      <c r="G256" s="289">
        <v>13180</v>
      </c>
      <c r="H256" s="177">
        <v>289291</v>
      </c>
      <c r="I256" s="289">
        <v>13179</v>
      </c>
      <c r="J256" s="177">
        <v>298912</v>
      </c>
      <c r="K256" s="289">
        <v>13314</v>
      </c>
      <c r="L256" s="177">
        <v>319630</v>
      </c>
    </row>
    <row r="257" spans="1:12" ht="13">
      <c r="A257" s="1">
        <v>3446</v>
      </c>
      <c r="B257" s="2" t="s">
        <v>862</v>
      </c>
      <c r="C257" s="289">
        <v>13607</v>
      </c>
      <c r="D257" s="177">
        <v>275643</v>
      </c>
      <c r="E257" s="289">
        <v>13685</v>
      </c>
      <c r="F257" s="177">
        <v>299360</v>
      </c>
      <c r="G257" s="289">
        <v>13695</v>
      </c>
      <c r="H257" s="177">
        <v>330694</v>
      </c>
      <c r="I257" s="289">
        <v>13707</v>
      </c>
      <c r="J257" s="177">
        <v>341304</v>
      </c>
      <c r="K257" s="289">
        <v>13770</v>
      </c>
      <c r="L257" s="177">
        <v>356430</v>
      </c>
    </row>
    <row r="258" spans="1:12" ht="13">
      <c r="A258" s="1">
        <v>3447</v>
      </c>
      <c r="B258" s="2" t="s">
        <v>863</v>
      </c>
      <c r="C258" s="289">
        <v>5701</v>
      </c>
      <c r="D258" s="177">
        <v>93534</v>
      </c>
      <c r="E258" s="289">
        <v>5772</v>
      </c>
      <c r="F258" s="177">
        <v>99452</v>
      </c>
      <c r="G258" s="289">
        <v>5758</v>
      </c>
      <c r="H258" s="177">
        <v>111262</v>
      </c>
      <c r="I258" s="289">
        <v>5717</v>
      </c>
      <c r="J258" s="177">
        <v>114902</v>
      </c>
      <c r="K258" s="289">
        <v>5650</v>
      </c>
      <c r="L258" s="177">
        <v>118346</v>
      </c>
    </row>
    <row r="259" spans="1:12" ht="13">
      <c r="A259" s="1">
        <v>3448</v>
      </c>
      <c r="B259" s="2" t="s">
        <v>864</v>
      </c>
      <c r="C259" s="289">
        <v>6700</v>
      </c>
      <c r="D259" s="177">
        <v>119053</v>
      </c>
      <c r="E259" s="289">
        <v>6740</v>
      </c>
      <c r="F259" s="177">
        <v>130066</v>
      </c>
      <c r="G259" s="289">
        <v>6751</v>
      </c>
      <c r="H259" s="177">
        <v>140247</v>
      </c>
      <c r="I259" s="289">
        <v>6773</v>
      </c>
      <c r="J259" s="177">
        <v>144949</v>
      </c>
      <c r="K259" s="289">
        <v>6750</v>
      </c>
      <c r="L259" s="177">
        <v>148417</v>
      </c>
    </row>
    <row r="260" spans="1:12" ht="13">
      <c r="A260" s="1">
        <v>3449</v>
      </c>
      <c r="B260" s="2" t="s">
        <v>865</v>
      </c>
      <c r="C260" s="289">
        <v>3133</v>
      </c>
      <c r="D260" s="177">
        <v>62100</v>
      </c>
      <c r="E260" s="289">
        <v>3094</v>
      </c>
      <c r="F260" s="177">
        <v>64195</v>
      </c>
      <c r="G260" s="289">
        <v>3058</v>
      </c>
      <c r="H260" s="177">
        <v>66787</v>
      </c>
      <c r="I260" s="289">
        <v>3026</v>
      </c>
      <c r="J260" s="177">
        <v>67880</v>
      </c>
      <c r="K260" s="289">
        <v>3014</v>
      </c>
      <c r="L260" s="177">
        <v>73595</v>
      </c>
    </row>
    <row r="261" spans="1:12" ht="13">
      <c r="A261" s="1">
        <v>3450</v>
      </c>
      <c r="B261" s="2" t="s">
        <v>866</v>
      </c>
      <c r="C261" s="289">
        <v>1408</v>
      </c>
      <c r="D261" s="177">
        <v>23718</v>
      </c>
      <c r="E261" s="289">
        <v>1402</v>
      </c>
      <c r="F261" s="177">
        <v>24754</v>
      </c>
      <c r="G261" s="289">
        <v>1321</v>
      </c>
      <c r="H261" s="177">
        <v>28197</v>
      </c>
      <c r="I261" s="289">
        <v>1351</v>
      </c>
      <c r="J261" s="177">
        <v>32167</v>
      </c>
      <c r="K261" s="289">
        <v>1352</v>
      </c>
      <c r="L261" s="177">
        <v>32388</v>
      </c>
    </row>
    <row r="262" spans="1:12" ht="13">
      <c r="A262" s="1">
        <v>3451</v>
      </c>
      <c r="B262" s="2" t="s">
        <v>867</v>
      </c>
      <c r="C262" s="289">
        <v>6417</v>
      </c>
      <c r="D262" s="177">
        <v>138198</v>
      </c>
      <c r="E262" s="289">
        <v>6466</v>
      </c>
      <c r="F262" s="177">
        <v>144388</v>
      </c>
      <c r="G262" s="289">
        <v>6458</v>
      </c>
      <c r="H262" s="177">
        <v>160812</v>
      </c>
      <c r="I262" s="289">
        <v>6490</v>
      </c>
      <c r="J262" s="177">
        <v>168668</v>
      </c>
      <c r="K262" s="289">
        <v>6443</v>
      </c>
      <c r="L262" s="177">
        <v>174124</v>
      </c>
    </row>
    <row r="263" spans="1:12" ht="13">
      <c r="A263" s="1">
        <v>3452</v>
      </c>
      <c r="B263" s="2" t="s">
        <v>868</v>
      </c>
      <c r="C263" s="289">
        <v>2187</v>
      </c>
      <c r="D263" s="177">
        <v>48337</v>
      </c>
      <c r="E263" s="289">
        <v>2180</v>
      </c>
      <c r="F263" s="177">
        <v>50874</v>
      </c>
      <c r="G263" s="289">
        <v>2168</v>
      </c>
      <c r="H263" s="177">
        <v>54249</v>
      </c>
      <c r="I263" s="289">
        <v>2114</v>
      </c>
      <c r="J263" s="177">
        <v>56445</v>
      </c>
      <c r="K263" s="289">
        <v>2139</v>
      </c>
      <c r="L263" s="177">
        <v>61276</v>
      </c>
    </row>
    <row r="264" spans="1:12" ht="13">
      <c r="A264" s="1">
        <v>3453</v>
      </c>
      <c r="B264" s="2" t="s">
        <v>869</v>
      </c>
      <c r="C264" s="289">
        <v>3206</v>
      </c>
      <c r="D264" s="177">
        <v>73934</v>
      </c>
      <c r="E264" s="289">
        <v>3199</v>
      </c>
      <c r="F264" s="177">
        <v>80327</v>
      </c>
      <c r="G264" s="289">
        <v>3220</v>
      </c>
      <c r="H264" s="177">
        <v>81838</v>
      </c>
      <c r="I264" s="289">
        <v>3248</v>
      </c>
      <c r="J264" s="177">
        <v>90424</v>
      </c>
      <c r="K264" s="289">
        <v>3221</v>
      </c>
      <c r="L264" s="177">
        <v>96866</v>
      </c>
    </row>
    <row r="265" spans="1:12" ht="13">
      <c r="A265" s="1">
        <v>3454</v>
      </c>
      <c r="B265" s="2" t="s">
        <v>870</v>
      </c>
      <c r="C265" s="289">
        <v>1602</v>
      </c>
      <c r="D265" s="177">
        <v>38293</v>
      </c>
      <c r="E265" s="289">
        <v>1619</v>
      </c>
      <c r="F265" s="177">
        <v>37972</v>
      </c>
      <c r="G265" s="289">
        <v>1590</v>
      </c>
      <c r="H265" s="177">
        <v>44551</v>
      </c>
      <c r="I265" s="289">
        <v>1596</v>
      </c>
      <c r="J265" s="177">
        <v>45896</v>
      </c>
      <c r="K265" s="289">
        <v>1601</v>
      </c>
      <c r="L265" s="177">
        <v>47228</v>
      </c>
    </row>
    <row r="266" spans="1:12" ht="13">
      <c r="A266" s="1">
        <v>3801</v>
      </c>
      <c r="B266" s="4" t="s">
        <v>346</v>
      </c>
      <c r="C266" s="289">
        <v>26751</v>
      </c>
      <c r="D266" s="177">
        <v>552532</v>
      </c>
      <c r="E266" s="289">
        <v>26903</v>
      </c>
      <c r="F266" s="177">
        <v>579819</v>
      </c>
      <c r="G266" s="289">
        <v>27178</v>
      </c>
      <c r="H266" s="177">
        <v>637325</v>
      </c>
      <c r="I266" s="289">
        <v>27202</v>
      </c>
      <c r="J266" s="177">
        <v>663495</v>
      </c>
      <c r="K266" s="289">
        <v>27317</v>
      </c>
      <c r="L266" s="177">
        <v>672391</v>
      </c>
    </row>
    <row r="267" spans="1:12" ht="13">
      <c r="A267" s="755">
        <v>3804</v>
      </c>
      <c r="B267" s="756" t="s">
        <v>1153</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row>
    <row r="268" spans="1:12" ht="13">
      <c r="A268" s="1">
        <v>3805</v>
      </c>
      <c r="B268" s="2" t="s">
        <v>1235</v>
      </c>
      <c r="C268" s="289">
        <f t="shared" ref="C268:J268" si="1">+C$441+C$442</f>
        <v>45718</v>
      </c>
      <c r="D268" s="177">
        <f t="shared" si="1"/>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row>
    <row r="269" spans="1:12" ht="13">
      <c r="A269" s="1">
        <v>3806</v>
      </c>
      <c r="B269" s="2" t="s">
        <v>904</v>
      </c>
      <c r="C269" s="289">
        <v>35516</v>
      </c>
      <c r="D269" s="177">
        <v>786648</v>
      </c>
      <c r="E269" s="289">
        <v>35755</v>
      </c>
      <c r="F269" s="177">
        <v>832456</v>
      </c>
      <c r="G269" s="289">
        <v>35955</v>
      </c>
      <c r="H269" s="177">
        <v>899390</v>
      </c>
      <c r="I269" s="289">
        <v>36198</v>
      </c>
      <c r="J269" s="177">
        <v>954527</v>
      </c>
      <c r="K269" s="289">
        <v>36091</v>
      </c>
      <c r="L269" s="177">
        <v>994677</v>
      </c>
    </row>
    <row r="270" spans="1:12" ht="13">
      <c r="A270" s="1">
        <v>3807</v>
      </c>
      <c r="B270" s="2" t="s">
        <v>905</v>
      </c>
      <c r="C270" s="289">
        <v>53439</v>
      </c>
      <c r="D270" s="177">
        <v>1111721</v>
      </c>
      <c r="E270" s="289">
        <v>53745</v>
      </c>
      <c r="F270" s="177">
        <v>1204597</v>
      </c>
      <c r="G270" s="289">
        <v>53952</v>
      </c>
      <c r="H270" s="177">
        <v>1297835</v>
      </c>
      <c r="I270" s="289">
        <v>54316</v>
      </c>
      <c r="J270" s="177">
        <v>1350527</v>
      </c>
      <c r="K270" s="289">
        <v>54510</v>
      </c>
      <c r="L270" s="177">
        <v>1395616</v>
      </c>
    </row>
    <row r="271" spans="1:12" ht="13">
      <c r="A271" s="1">
        <v>3808</v>
      </c>
      <c r="B271" s="2" t="s">
        <v>906</v>
      </c>
      <c r="C271" s="289">
        <v>12609</v>
      </c>
      <c r="D271" s="177">
        <v>260907</v>
      </c>
      <c r="E271" s="289">
        <v>12599</v>
      </c>
      <c r="F271" s="177">
        <v>277956</v>
      </c>
      <c r="G271" s="289">
        <v>12717</v>
      </c>
      <c r="H271" s="177">
        <v>301197</v>
      </c>
      <c r="I271" s="289">
        <v>12757</v>
      </c>
      <c r="J271" s="177">
        <v>303583</v>
      </c>
      <c r="K271" s="289">
        <v>12664</v>
      </c>
      <c r="L271" s="177">
        <v>311118</v>
      </c>
    </row>
    <row r="272" spans="1:12" ht="13">
      <c r="A272" s="1">
        <v>3811</v>
      </c>
      <c r="B272" s="2" t="s">
        <v>1241</v>
      </c>
      <c r="C272" s="289">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row>
    <row r="273" spans="1:12" ht="13">
      <c r="A273" s="1">
        <v>3812</v>
      </c>
      <c r="B273" s="2" t="s">
        <v>907</v>
      </c>
      <c r="C273" s="289">
        <v>2404</v>
      </c>
      <c r="D273" s="177">
        <v>48534</v>
      </c>
      <c r="E273" s="289">
        <v>2361</v>
      </c>
      <c r="F273" s="177">
        <v>49972</v>
      </c>
      <c r="G273" s="289">
        <v>2335</v>
      </c>
      <c r="H273" s="177">
        <v>54288</v>
      </c>
      <c r="I273" s="289">
        <v>2357</v>
      </c>
      <c r="J273" s="177">
        <v>58101</v>
      </c>
      <c r="K273" s="289">
        <v>2351</v>
      </c>
      <c r="L273" s="177">
        <v>59881</v>
      </c>
    </row>
    <row r="274" spans="1:12" ht="13">
      <c r="A274" s="1">
        <v>3813</v>
      </c>
      <c r="B274" s="2" t="s">
        <v>908</v>
      </c>
      <c r="C274" s="289">
        <v>14193</v>
      </c>
      <c r="D274" s="177">
        <v>315740</v>
      </c>
      <c r="E274" s="289">
        <v>14140</v>
      </c>
      <c r="F274" s="177">
        <v>322952</v>
      </c>
      <c r="G274" s="289">
        <v>14088</v>
      </c>
      <c r="H274" s="177">
        <v>355108</v>
      </c>
      <c r="I274" s="289">
        <v>14138</v>
      </c>
      <c r="J274" s="177">
        <v>367084</v>
      </c>
      <c r="K274" s="289">
        <v>14183</v>
      </c>
      <c r="L274" s="177">
        <v>382036</v>
      </c>
    </row>
    <row r="275" spans="1:12" ht="13">
      <c r="A275" s="1">
        <v>3814</v>
      </c>
      <c r="B275" s="2" t="s">
        <v>910</v>
      </c>
      <c r="C275" s="289">
        <v>10621</v>
      </c>
      <c r="D275" s="177">
        <v>208570</v>
      </c>
      <c r="E275" s="289">
        <v>10636</v>
      </c>
      <c r="F275" s="177">
        <v>222964</v>
      </c>
      <c r="G275" s="289">
        <v>10607</v>
      </c>
      <c r="H275" s="177">
        <v>238907</v>
      </c>
      <c r="I275" s="289">
        <v>10586</v>
      </c>
      <c r="J275" s="177">
        <v>246804</v>
      </c>
      <c r="K275" s="289">
        <v>10506</v>
      </c>
      <c r="L275" s="177">
        <v>262062</v>
      </c>
    </row>
    <row r="276" spans="1:12" ht="13">
      <c r="A276" s="1">
        <v>3815</v>
      </c>
      <c r="B276" s="2" t="s">
        <v>911</v>
      </c>
      <c r="C276" s="289">
        <v>4135</v>
      </c>
      <c r="D276" s="177">
        <v>74397</v>
      </c>
      <c r="E276" s="289">
        <v>4111</v>
      </c>
      <c r="F276" s="177">
        <v>77737</v>
      </c>
      <c r="G276" s="289">
        <v>4136</v>
      </c>
      <c r="H276" s="177">
        <v>83380</v>
      </c>
      <c r="I276" s="289">
        <v>4148</v>
      </c>
      <c r="J276" s="177">
        <v>85856</v>
      </c>
      <c r="K276" s="289">
        <v>4105</v>
      </c>
      <c r="L276" s="177">
        <v>89506</v>
      </c>
    </row>
    <row r="277" spans="1:12" ht="13">
      <c r="A277" s="1">
        <v>3816</v>
      </c>
      <c r="B277" s="2" t="s">
        <v>912</v>
      </c>
      <c r="C277" s="289">
        <v>6643</v>
      </c>
      <c r="D277" s="177">
        <v>133614</v>
      </c>
      <c r="E277" s="289">
        <v>6630</v>
      </c>
      <c r="F277" s="177">
        <v>140747</v>
      </c>
      <c r="G277" s="289">
        <v>6534</v>
      </c>
      <c r="H277" s="177">
        <v>142744</v>
      </c>
      <c r="I277" s="289">
        <v>6585</v>
      </c>
      <c r="J277" s="177">
        <v>146101</v>
      </c>
      <c r="K277" s="289">
        <v>6609</v>
      </c>
      <c r="L277" s="177">
        <v>155467</v>
      </c>
    </row>
    <row r="278" spans="1:12" ht="13">
      <c r="A278" s="1">
        <v>3818</v>
      </c>
      <c r="B278" s="2" t="s">
        <v>920</v>
      </c>
      <c r="C278" s="289">
        <v>5957</v>
      </c>
      <c r="D278" s="177">
        <v>171332</v>
      </c>
      <c r="E278" s="289">
        <v>5913</v>
      </c>
      <c r="F278" s="177">
        <v>175352</v>
      </c>
      <c r="G278" s="289">
        <v>5940</v>
      </c>
      <c r="H278" s="177">
        <v>186961</v>
      </c>
      <c r="I278" s="289">
        <v>5894</v>
      </c>
      <c r="J278" s="177">
        <v>193683</v>
      </c>
      <c r="K278" s="289">
        <v>5856</v>
      </c>
      <c r="L278" s="177">
        <v>199842</v>
      </c>
    </row>
    <row r="279" spans="1:12" ht="13">
      <c r="A279" s="1">
        <v>3819</v>
      </c>
      <c r="B279" s="2" t="s">
        <v>921</v>
      </c>
      <c r="C279" s="289">
        <v>1602</v>
      </c>
      <c r="D279" s="177">
        <v>39542</v>
      </c>
      <c r="E279" s="289">
        <v>1594</v>
      </c>
      <c r="F279" s="177">
        <v>42830</v>
      </c>
      <c r="G279" s="289">
        <v>1613</v>
      </c>
      <c r="H279" s="177">
        <v>40643</v>
      </c>
      <c r="I279" s="289">
        <v>1593</v>
      </c>
      <c r="J279" s="177">
        <v>43632</v>
      </c>
      <c r="K279" s="289">
        <v>1587</v>
      </c>
      <c r="L279" s="177">
        <v>47373</v>
      </c>
    </row>
    <row r="280" spans="1:12" ht="13">
      <c r="A280" s="1">
        <v>3820</v>
      </c>
      <c r="B280" s="2" t="s">
        <v>922</v>
      </c>
      <c r="C280" s="289">
        <v>2989</v>
      </c>
      <c r="D280" s="177">
        <v>65047</v>
      </c>
      <c r="E280" s="289">
        <v>3002</v>
      </c>
      <c r="F280" s="177">
        <v>68192</v>
      </c>
      <c r="G280" s="289">
        <v>2991</v>
      </c>
      <c r="H280" s="177">
        <v>77709</v>
      </c>
      <c r="I280" s="289">
        <v>2979</v>
      </c>
      <c r="J280" s="177">
        <v>76975</v>
      </c>
      <c r="K280" s="289">
        <v>2959</v>
      </c>
      <c r="L280" s="177">
        <v>79022</v>
      </c>
    </row>
    <row r="281" spans="1:12" ht="13">
      <c r="A281" s="1">
        <v>3821</v>
      </c>
      <c r="B281" s="2" t="s">
        <v>923</v>
      </c>
      <c r="C281" s="289">
        <v>2468</v>
      </c>
      <c r="D281" s="177">
        <v>50957</v>
      </c>
      <c r="E281" s="289">
        <v>2466</v>
      </c>
      <c r="F281" s="177">
        <v>53676</v>
      </c>
      <c r="G281" s="289">
        <v>2448</v>
      </c>
      <c r="H281" s="177">
        <v>59167</v>
      </c>
      <c r="I281" s="289">
        <v>2442</v>
      </c>
      <c r="J281" s="177">
        <v>59446</v>
      </c>
      <c r="K281" s="289">
        <v>2397</v>
      </c>
      <c r="L281" s="177">
        <v>63971</v>
      </c>
    </row>
    <row r="282" spans="1:12" ht="13">
      <c r="A282" s="1">
        <v>3822</v>
      </c>
      <c r="B282" s="2" t="s">
        <v>924</v>
      </c>
      <c r="C282" s="289">
        <v>1451</v>
      </c>
      <c r="D282" s="177">
        <v>36611</v>
      </c>
      <c r="E282" s="289">
        <v>1439</v>
      </c>
      <c r="F282" s="177">
        <v>37410</v>
      </c>
      <c r="G282" s="289">
        <v>1443</v>
      </c>
      <c r="H282" s="177">
        <v>39677</v>
      </c>
      <c r="I282" s="289">
        <v>1476</v>
      </c>
      <c r="J282" s="177">
        <v>41801</v>
      </c>
      <c r="K282" s="289">
        <v>1489</v>
      </c>
      <c r="L282" s="177">
        <v>43371</v>
      </c>
    </row>
    <row r="283" spans="1:12" ht="13">
      <c r="A283" s="1">
        <v>3823</v>
      </c>
      <c r="B283" s="2" t="s">
        <v>925</v>
      </c>
      <c r="C283" s="289">
        <v>1303</v>
      </c>
      <c r="D283" s="177">
        <v>28797</v>
      </c>
      <c r="E283" s="289">
        <v>1298</v>
      </c>
      <c r="F283" s="177">
        <v>30134</v>
      </c>
      <c r="G283" s="289">
        <v>1323</v>
      </c>
      <c r="H283" s="177">
        <v>31376</v>
      </c>
      <c r="I283" s="289">
        <v>1319</v>
      </c>
      <c r="J283" s="177">
        <v>31788</v>
      </c>
      <c r="K283" s="289">
        <v>1320</v>
      </c>
      <c r="L283" s="177">
        <v>35116</v>
      </c>
    </row>
    <row r="284" spans="1:12" ht="13">
      <c r="A284" s="1">
        <v>3824</v>
      </c>
      <c r="B284" s="2" t="s">
        <v>926</v>
      </c>
      <c r="C284" s="289">
        <v>2257</v>
      </c>
      <c r="D284" s="177">
        <v>71072</v>
      </c>
      <c r="E284" s="289">
        <v>2252</v>
      </c>
      <c r="F284" s="177">
        <v>73784</v>
      </c>
      <c r="G284" s="289">
        <v>2246</v>
      </c>
      <c r="H284" s="177">
        <v>75679</v>
      </c>
      <c r="I284" s="289">
        <v>2228</v>
      </c>
      <c r="J284" s="177">
        <v>75885</v>
      </c>
      <c r="K284" s="289">
        <v>2236</v>
      </c>
      <c r="L284" s="177">
        <v>78415</v>
      </c>
    </row>
    <row r="285" spans="1:12" ht="13">
      <c r="A285" s="1">
        <v>3825</v>
      </c>
      <c r="B285" s="2" t="s">
        <v>927</v>
      </c>
      <c r="C285" s="289">
        <v>3723</v>
      </c>
      <c r="D285" s="177">
        <v>126108</v>
      </c>
      <c r="E285" s="289">
        <v>3689</v>
      </c>
      <c r="F285" s="177">
        <v>128208</v>
      </c>
      <c r="G285" s="289">
        <v>3727</v>
      </c>
      <c r="H285" s="177">
        <v>139735</v>
      </c>
      <c r="I285" s="289">
        <v>3726</v>
      </c>
      <c r="J285" s="177">
        <v>147661</v>
      </c>
      <c r="K285" s="289">
        <v>3709</v>
      </c>
      <c r="L285" s="177">
        <v>151716</v>
      </c>
    </row>
    <row r="286" spans="1:12" ht="13">
      <c r="A286" s="1">
        <v>4201</v>
      </c>
      <c r="B286" s="2" t="s">
        <v>928</v>
      </c>
      <c r="C286" s="289">
        <v>6899</v>
      </c>
      <c r="D286" s="177">
        <v>134355</v>
      </c>
      <c r="E286" s="289">
        <v>6909</v>
      </c>
      <c r="F286" s="177">
        <v>147885</v>
      </c>
      <c r="G286" s="289">
        <v>6920</v>
      </c>
      <c r="H286" s="177">
        <v>167375</v>
      </c>
      <c r="I286" s="289">
        <v>6936</v>
      </c>
      <c r="J286" s="177">
        <v>169353</v>
      </c>
      <c r="K286" s="289">
        <v>6882</v>
      </c>
      <c r="L286" s="177">
        <v>167642</v>
      </c>
    </row>
    <row r="287" spans="1:12" ht="13">
      <c r="A287" s="1">
        <v>4202</v>
      </c>
      <c r="B287" s="2" t="s">
        <v>929</v>
      </c>
      <c r="C287" s="289">
        <v>21783</v>
      </c>
      <c r="D287" s="177">
        <v>553534</v>
      </c>
      <c r="E287" s="289">
        <v>22098</v>
      </c>
      <c r="F287" s="177">
        <v>543922</v>
      </c>
      <c r="G287" s="289">
        <v>22550</v>
      </c>
      <c r="H287" s="177">
        <v>604347</v>
      </c>
      <c r="I287" s="289">
        <v>22692</v>
      </c>
      <c r="J287" s="177">
        <v>697878</v>
      </c>
      <c r="K287" s="289">
        <v>23017</v>
      </c>
      <c r="L287" s="177">
        <v>637254</v>
      </c>
    </row>
    <row r="288" spans="1:12" ht="13">
      <c r="A288" s="1">
        <v>4203</v>
      </c>
      <c r="B288" s="2" t="s">
        <v>930</v>
      </c>
      <c r="C288" s="289">
        <v>43841</v>
      </c>
      <c r="D288" s="177">
        <v>938268</v>
      </c>
      <c r="E288" s="289">
        <v>44219</v>
      </c>
      <c r="F288" s="177">
        <v>1003175</v>
      </c>
      <c r="G288" s="289">
        <v>44313</v>
      </c>
      <c r="H288" s="177">
        <v>1080289</v>
      </c>
      <c r="I288" s="289">
        <v>44576</v>
      </c>
      <c r="J288" s="177">
        <v>1108406</v>
      </c>
      <c r="K288" s="289">
        <v>44645</v>
      </c>
      <c r="L288" s="177">
        <v>1138206</v>
      </c>
    </row>
    <row r="289" spans="1:12" ht="13">
      <c r="A289" s="1">
        <v>4206</v>
      </c>
      <c r="B289" s="2" t="s">
        <v>944</v>
      </c>
      <c r="C289" s="289">
        <v>9516</v>
      </c>
      <c r="D289" s="177">
        <v>213055</v>
      </c>
      <c r="E289" s="289">
        <v>9596</v>
      </c>
      <c r="F289" s="177">
        <v>220937</v>
      </c>
      <c r="G289" s="289">
        <v>9705</v>
      </c>
      <c r="H289" s="177">
        <v>232824</v>
      </c>
      <c r="I289" s="289">
        <v>9769</v>
      </c>
      <c r="J289" s="177">
        <v>236747</v>
      </c>
      <c r="K289" s="289">
        <v>9726</v>
      </c>
      <c r="L289" s="177">
        <v>246461</v>
      </c>
    </row>
    <row r="290" spans="1:12" ht="13">
      <c r="A290" s="1">
        <v>4207</v>
      </c>
      <c r="B290" s="2" t="s">
        <v>946</v>
      </c>
      <c r="C290" s="289">
        <v>9013</v>
      </c>
      <c r="D290" s="177">
        <v>207629</v>
      </c>
      <c r="E290" s="289">
        <v>9069</v>
      </c>
      <c r="F290" s="177">
        <v>221234</v>
      </c>
      <c r="G290" s="289">
        <v>9096</v>
      </c>
      <c r="H290" s="177">
        <v>234968</v>
      </c>
      <c r="I290" s="289">
        <v>9090</v>
      </c>
      <c r="J290" s="177">
        <v>235474</v>
      </c>
      <c r="K290" s="289">
        <v>9066</v>
      </c>
      <c r="L290" s="177">
        <v>241314</v>
      </c>
    </row>
    <row r="291" spans="1:12" ht="13">
      <c r="A291" s="1">
        <v>4211</v>
      </c>
      <c r="B291" s="2" t="s">
        <v>931</v>
      </c>
      <c r="C291" s="289">
        <v>2489</v>
      </c>
      <c r="D291" s="177">
        <v>42217</v>
      </c>
      <c r="E291" s="289">
        <v>2481</v>
      </c>
      <c r="F291" s="177">
        <v>45870</v>
      </c>
      <c r="G291" s="289">
        <v>2473</v>
      </c>
      <c r="H291" s="177">
        <v>50912</v>
      </c>
      <c r="I291" s="289">
        <v>2511</v>
      </c>
      <c r="J291" s="177">
        <v>47795</v>
      </c>
      <c r="K291" s="289">
        <v>2467</v>
      </c>
      <c r="L291" s="177">
        <v>49187</v>
      </c>
    </row>
    <row r="292" spans="1:12" ht="13">
      <c r="A292" s="1">
        <v>4212</v>
      </c>
      <c r="B292" s="4" t="s">
        <v>706</v>
      </c>
      <c r="C292" s="289">
        <v>2000</v>
      </c>
      <c r="D292" s="177">
        <v>33620</v>
      </c>
      <c r="E292" s="289">
        <v>2018</v>
      </c>
      <c r="F292" s="177">
        <v>35967</v>
      </c>
      <c r="G292" s="289">
        <v>2036</v>
      </c>
      <c r="H292" s="177">
        <v>38688</v>
      </c>
      <c r="I292" s="289">
        <v>2104</v>
      </c>
      <c r="J292" s="177">
        <v>43056</v>
      </c>
      <c r="K292" s="289">
        <v>2087</v>
      </c>
      <c r="L292" s="177">
        <v>44994</v>
      </c>
    </row>
    <row r="293" spans="1:12" ht="13">
      <c r="A293" s="1">
        <v>4213</v>
      </c>
      <c r="B293" s="2" t="s">
        <v>932</v>
      </c>
      <c r="C293" s="289">
        <v>6059</v>
      </c>
      <c r="D293" s="177">
        <v>123581</v>
      </c>
      <c r="E293" s="289">
        <v>6048</v>
      </c>
      <c r="F293" s="177">
        <v>126293</v>
      </c>
      <c r="G293" s="289">
        <v>6014</v>
      </c>
      <c r="H293" s="177">
        <v>139825</v>
      </c>
      <c r="I293" s="289">
        <v>6051</v>
      </c>
      <c r="J293" s="177">
        <v>140112</v>
      </c>
      <c r="K293" s="289">
        <v>6086</v>
      </c>
      <c r="L293" s="177">
        <v>145870</v>
      </c>
    </row>
    <row r="294" spans="1:12" ht="13">
      <c r="A294" s="1">
        <v>4214</v>
      </c>
      <c r="B294" s="2" t="s">
        <v>933</v>
      </c>
      <c r="C294" s="289">
        <v>5486</v>
      </c>
      <c r="D294" s="177">
        <v>106068</v>
      </c>
      <c r="E294" s="289">
        <v>5532</v>
      </c>
      <c r="F294" s="177">
        <v>112002</v>
      </c>
      <c r="G294" s="289">
        <v>5618</v>
      </c>
      <c r="H294" s="177">
        <v>118832</v>
      </c>
      <c r="I294" s="289">
        <v>5713</v>
      </c>
      <c r="J294" s="177">
        <v>126994</v>
      </c>
      <c r="K294" s="289">
        <v>5790</v>
      </c>
      <c r="L294" s="177">
        <v>133413</v>
      </c>
    </row>
    <row r="295" spans="1:12" ht="13">
      <c r="A295" s="1">
        <v>4215</v>
      </c>
      <c r="B295" s="2" t="s">
        <v>934</v>
      </c>
      <c r="C295" s="289">
        <v>10106</v>
      </c>
      <c r="D295" s="177">
        <v>235481</v>
      </c>
      <c r="E295" s="289">
        <v>10340</v>
      </c>
      <c r="F295" s="177">
        <v>247000</v>
      </c>
      <c r="G295" s="289">
        <v>10577</v>
      </c>
      <c r="H295" s="177">
        <v>278121</v>
      </c>
      <c r="I295" s="289">
        <v>10702</v>
      </c>
      <c r="J295" s="177">
        <v>288478</v>
      </c>
      <c r="K295" s="289">
        <v>10871</v>
      </c>
      <c r="L295" s="177">
        <v>300378</v>
      </c>
    </row>
    <row r="296" spans="1:12" ht="13">
      <c r="A296" s="1">
        <v>4216</v>
      </c>
      <c r="B296" s="2" t="s">
        <v>935</v>
      </c>
      <c r="C296" s="289">
        <v>4993</v>
      </c>
      <c r="D296" s="177">
        <v>89117</v>
      </c>
      <c r="E296" s="289">
        <v>5035</v>
      </c>
      <c r="F296" s="177">
        <v>92381</v>
      </c>
      <c r="G296" s="289">
        <v>5147</v>
      </c>
      <c r="H296" s="177">
        <v>100305</v>
      </c>
      <c r="I296" s="289">
        <v>5178</v>
      </c>
      <c r="J296" s="177">
        <v>106505</v>
      </c>
      <c r="K296" s="289">
        <v>5187</v>
      </c>
      <c r="L296" s="177">
        <v>116344</v>
      </c>
    </row>
    <row r="297" spans="1:12" ht="13">
      <c r="A297" s="1">
        <v>4217</v>
      </c>
      <c r="B297" s="2" t="s">
        <v>936</v>
      </c>
      <c r="C297" s="289">
        <v>1810</v>
      </c>
      <c r="D297" s="177">
        <v>36347</v>
      </c>
      <c r="E297" s="289">
        <v>1832</v>
      </c>
      <c r="F297" s="177">
        <v>40277</v>
      </c>
      <c r="G297" s="289">
        <v>1847</v>
      </c>
      <c r="H297" s="177">
        <v>44122</v>
      </c>
      <c r="I297" s="289">
        <v>1856</v>
      </c>
      <c r="J297" s="177">
        <v>47046</v>
      </c>
      <c r="K297" s="289">
        <v>1845</v>
      </c>
      <c r="L297" s="177">
        <v>42219</v>
      </c>
    </row>
    <row r="298" spans="1:12" ht="13">
      <c r="A298" s="1">
        <v>4218</v>
      </c>
      <c r="B298" s="2" t="s">
        <v>937</v>
      </c>
      <c r="C298" s="289">
        <v>1314</v>
      </c>
      <c r="D298" s="177">
        <v>24646</v>
      </c>
      <c r="E298" s="289">
        <v>1315</v>
      </c>
      <c r="F298" s="177">
        <v>26726</v>
      </c>
      <c r="G298" s="289">
        <v>1317</v>
      </c>
      <c r="H298" s="177">
        <v>27581</v>
      </c>
      <c r="I298" s="289">
        <v>1342</v>
      </c>
      <c r="J298" s="177">
        <v>29311</v>
      </c>
      <c r="K298" s="289">
        <v>1330</v>
      </c>
      <c r="L298" s="177">
        <v>31104</v>
      </c>
    </row>
    <row r="299" spans="1:12" ht="13">
      <c r="A299" s="1">
        <v>4219</v>
      </c>
      <c r="B299" s="4" t="s">
        <v>938</v>
      </c>
      <c r="C299" s="289">
        <v>3549</v>
      </c>
      <c r="D299" s="177">
        <v>68186</v>
      </c>
      <c r="E299" s="289">
        <v>3567</v>
      </c>
      <c r="F299" s="177">
        <v>71580</v>
      </c>
      <c r="G299" s="289">
        <v>3582</v>
      </c>
      <c r="H299" s="177">
        <v>74820</v>
      </c>
      <c r="I299" s="289">
        <v>3614</v>
      </c>
      <c r="J299" s="177">
        <v>78942</v>
      </c>
      <c r="K299" s="289">
        <v>3625</v>
      </c>
      <c r="L299" s="177">
        <v>81464</v>
      </c>
    </row>
    <row r="300" spans="1:12" ht="13">
      <c r="A300" s="1">
        <v>4220</v>
      </c>
      <c r="B300" s="2" t="s">
        <v>939</v>
      </c>
      <c r="C300" s="289">
        <v>1200</v>
      </c>
      <c r="D300" s="177">
        <v>26132</v>
      </c>
      <c r="E300" s="289">
        <v>1189</v>
      </c>
      <c r="F300" s="177">
        <v>27176</v>
      </c>
      <c r="G300" s="289">
        <v>1204</v>
      </c>
      <c r="H300" s="177">
        <v>28977</v>
      </c>
      <c r="I300" s="289">
        <v>1200</v>
      </c>
      <c r="J300" s="177">
        <v>28833</v>
      </c>
      <c r="K300" s="289">
        <v>1207</v>
      </c>
      <c r="L300" s="177">
        <v>30970</v>
      </c>
    </row>
    <row r="301" spans="1:12" ht="13">
      <c r="A301" s="1">
        <v>4221</v>
      </c>
      <c r="B301" s="2" t="s">
        <v>940</v>
      </c>
      <c r="C301" s="289">
        <v>1270</v>
      </c>
      <c r="D301" s="177">
        <v>41121</v>
      </c>
      <c r="E301" s="289">
        <v>1251</v>
      </c>
      <c r="F301" s="177">
        <v>43384</v>
      </c>
      <c r="G301" s="289">
        <v>1242</v>
      </c>
      <c r="H301" s="177">
        <v>44213</v>
      </c>
      <c r="I301" s="289">
        <v>1246</v>
      </c>
      <c r="J301" s="177">
        <v>45044</v>
      </c>
      <c r="K301" s="289">
        <v>1225</v>
      </c>
      <c r="L301" s="177">
        <v>45304</v>
      </c>
    </row>
    <row r="302" spans="1:12" ht="13">
      <c r="A302" s="1">
        <v>4222</v>
      </c>
      <c r="B302" s="2" t="s">
        <v>941</v>
      </c>
      <c r="C302" s="289">
        <v>948</v>
      </c>
      <c r="D302" s="177">
        <v>67140</v>
      </c>
      <c r="E302" s="289">
        <v>933</v>
      </c>
      <c r="F302" s="177">
        <v>67630</v>
      </c>
      <c r="G302" s="289">
        <v>945</v>
      </c>
      <c r="H302" s="177">
        <v>69604</v>
      </c>
      <c r="I302" s="289">
        <v>952</v>
      </c>
      <c r="J302" s="177">
        <v>71358</v>
      </c>
      <c r="K302" s="289">
        <v>958</v>
      </c>
      <c r="L302" s="177">
        <v>79195</v>
      </c>
    </row>
    <row r="303" spans="1:12" ht="13">
      <c r="A303" s="1">
        <v>4223</v>
      </c>
      <c r="B303" s="2" t="s">
        <v>947</v>
      </c>
      <c r="C303" s="289">
        <v>13986</v>
      </c>
      <c r="D303" s="177">
        <v>254819</v>
      </c>
      <c r="E303" s="289">
        <v>14095</v>
      </c>
      <c r="F303" s="177">
        <v>267675</v>
      </c>
      <c r="G303" s="289">
        <v>14308</v>
      </c>
      <c r="H303" s="177">
        <v>289237</v>
      </c>
      <c r="I303" s="289">
        <v>14425</v>
      </c>
      <c r="J303" s="177">
        <v>303650</v>
      </c>
      <c r="K303" s="289">
        <v>14532</v>
      </c>
      <c r="L303" s="177">
        <v>327486</v>
      </c>
    </row>
    <row r="304" spans="1:12" ht="13">
      <c r="A304" s="1">
        <v>4224</v>
      </c>
      <c r="B304" s="2" t="s">
        <v>951</v>
      </c>
      <c r="C304" s="289">
        <v>923</v>
      </c>
      <c r="D304" s="177">
        <v>31841</v>
      </c>
      <c r="E304" s="289">
        <v>925</v>
      </c>
      <c r="F304" s="177">
        <v>31791</v>
      </c>
      <c r="G304" s="289">
        <v>942</v>
      </c>
      <c r="H304" s="177">
        <v>34080</v>
      </c>
      <c r="I304" s="289">
        <v>937</v>
      </c>
      <c r="J304" s="177">
        <v>36584</v>
      </c>
      <c r="K304" s="289">
        <v>943</v>
      </c>
      <c r="L304" s="177">
        <v>39045</v>
      </c>
    </row>
    <row r="305" spans="1:12" ht="13">
      <c r="A305" s="1">
        <v>4226</v>
      </c>
      <c r="B305" s="2" t="s">
        <v>955</v>
      </c>
      <c r="C305" s="289">
        <v>1690</v>
      </c>
      <c r="D305" s="177">
        <v>35232</v>
      </c>
      <c r="E305" s="289">
        <v>1693</v>
      </c>
      <c r="F305" s="177">
        <v>34679</v>
      </c>
      <c r="G305" s="289">
        <v>1702</v>
      </c>
      <c r="H305" s="177">
        <v>38210</v>
      </c>
      <c r="I305" s="289">
        <v>1702</v>
      </c>
      <c r="J305" s="177">
        <v>39047</v>
      </c>
      <c r="K305" s="289">
        <v>1699</v>
      </c>
      <c r="L305" s="177">
        <v>40812</v>
      </c>
    </row>
    <row r="306" spans="1:12" ht="13">
      <c r="A306" s="1">
        <v>4227</v>
      </c>
      <c r="B306" s="2" t="s">
        <v>956</v>
      </c>
      <c r="C306" s="289">
        <v>5891</v>
      </c>
      <c r="D306" s="177">
        <v>142597</v>
      </c>
      <c r="E306" s="289">
        <v>5948</v>
      </c>
      <c r="F306" s="177">
        <v>147426</v>
      </c>
      <c r="G306" s="289">
        <v>5981</v>
      </c>
      <c r="H306" s="177">
        <v>155451</v>
      </c>
      <c r="I306" s="289">
        <v>5988</v>
      </c>
      <c r="J306" s="177">
        <v>159751</v>
      </c>
      <c r="K306" s="289">
        <v>6024</v>
      </c>
      <c r="L306" s="177">
        <v>166149</v>
      </c>
    </row>
    <row r="307" spans="1:12" ht="13">
      <c r="A307" s="1">
        <v>4228</v>
      </c>
      <c r="B307" s="2" t="s">
        <v>957</v>
      </c>
      <c r="C307" s="289">
        <v>1831</v>
      </c>
      <c r="D307" s="177">
        <v>85268</v>
      </c>
      <c r="E307" s="289">
        <v>1838</v>
      </c>
      <c r="F307" s="177">
        <v>91757</v>
      </c>
      <c r="G307" s="289">
        <v>1832</v>
      </c>
      <c r="H307" s="177">
        <v>91636</v>
      </c>
      <c r="I307" s="289">
        <v>1836</v>
      </c>
      <c r="J307" s="177">
        <v>97913</v>
      </c>
      <c r="K307" s="289">
        <v>1842</v>
      </c>
      <c r="L307" s="177">
        <v>105701</v>
      </c>
    </row>
    <row r="308" spans="1:12" ht="13">
      <c r="A308" s="1">
        <v>4601</v>
      </c>
      <c r="B308" s="2" t="s">
        <v>23</v>
      </c>
      <c r="C308" s="289">
        <v>271949</v>
      </c>
      <c r="D308" s="177">
        <v>7561489</v>
      </c>
      <c r="E308" s="289">
        <v>275112</v>
      </c>
      <c r="F308" s="177">
        <v>7970433</v>
      </c>
      <c r="G308" s="289">
        <v>277391</v>
      </c>
      <c r="H308" s="177">
        <v>8707661</v>
      </c>
      <c r="I308" s="289">
        <v>278556</v>
      </c>
      <c r="J308" s="177">
        <v>8795464</v>
      </c>
      <c r="K308" s="289">
        <v>279792</v>
      </c>
      <c r="L308" s="177">
        <v>9126725</v>
      </c>
    </row>
    <row r="309" spans="1:12" ht="13">
      <c r="A309" s="1">
        <v>4611</v>
      </c>
      <c r="B309" s="2" t="s">
        <v>24</v>
      </c>
      <c r="C309" s="289">
        <v>4057</v>
      </c>
      <c r="D309" s="177">
        <v>90137</v>
      </c>
      <c r="E309" s="289">
        <v>4103</v>
      </c>
      <c r="F309" s="177">
        <v>90573</v>
      </c>
      <c r="G309" s="289">
        <v>4106</v>
      </c>
      <c r="H309" s="177">
        <v>100476</v>
      </c>
      <c r="I309" s="289">
        <v>4135</v>
      </c>
      <c r="J309" s="177">
        <v>101892</v>
      </c>
      <c r="K309" s="289">
        <v>4083</v>
      </c>
      <c r="L309" s="177">
        <v>106064</v>
      </c>
    </row>
    <row r="310" spans="1:12" ht="13">
      <c r="A310" s="1">
        <v>4612</v>
      </c>
      <c r="B310" s="2" t="s">
        <v>25</v>
      </c>
      <c r="C310" s="289">
        <v>5463</v>
      </c>
      <c r="D310" s="177">
        <v>117446</v>
      </c>
      <c r="E310" s="289">
        <v>5509</v>
      </c>
      <c r="F310" s="177">
        <v>121337</v>
      </c>
      <c r="G310" s="289">
        <v>5593</v>
      </c>
      <c r="H310" s="177">
        <v>130903</v>
      </c>
      <c r="I310" s="289">
        <v>5656</v>
      </c>
      <c r="J310" s="177">
        <v>160876</v>
      </c>
      <c r="K310" s="289">
        <v>5721</v>
      </c>
      <c r="L310" s="177">
        <v>140486</v>
      </c>
    </row>
    <row r="311" spans="1:12" ht="13">
      <c r="A311" s="1">
        <v>4613</v>
      </c>
      <c r="B311" s="2" t="s">
        <v>26</v>
      </c>
      <c r="C311" s="289">
        <v>11749</v>
      </c>
      <c r="D311" s="177">
        <v>283646</v>
      </c>
      <c r="E311" s="289">
        <v>11761</v>
      </c>
      <c r="F311" s="177">
        <v>291741</v>
      </c>
      <c r="G311" s="289">
        <v>11778</v>
      </c>
      <c r="H311" s="177">
        <v>340199</v>
      </c>
      <c r="I311" s="289">
        <v>11806</v>
      </c>
      <c r="J311" s="177">
        <v>315438</v>
      </c>
      <c r="K311" s="289">
        <v>11902</v>
      </c>
      <c r="L311" s="177">
        <v>295857</v>
      </c>
    </row>
    <row r="312" spans="1:12" ht="13">
      <c r="A312" s="1">
        <v>4614</v>
      </c>
      <c r="B312" s="2" t="s">
        <v>27</v>
      </c>
      <c r="C312" s="289">
        <v>18425</v>
      </c>
      <c r="D312" s="177">
        <v>450121</v>
      </c>
      <c r="E312" s="289">
        <v>18685</v>
      </c>
      <c r="F312" s="177">
        <v>484243</v>
      </c>
      <c r="G312" s="289">
        <v>18775</v>
      </c>
      <c r="H312" s="177">
        <v>488716</v>
      </c>
      <c r="I312" s="289">
        <v>18821</v>
      </c>
      <c r="J312" s="177">
        <v>497783</v>
      </c>
      <c r="K312" s="289">
        <v>18780</v>
      </c>
      <c r="L312" s="177">
        <v>517096</v>
      </c>
    </row>
    <row r="313" spans="1:12" ht="13">
      <c r="A313" s="1">
        <v>4615</v>
      </c>
      <c r="B313" s="2" t="s">
        <v>28</v>
      </c>
      <c r="C313" s="289">
        <v>3009</v>
      </c>
      <c r="D313" s="177">
        <v>74296</v>
      </c>
      <c r="E313" s="289">
        <v>3093</v>
      </c>
      <c r="F313" s="177">
        <v>78879</v>
      </c>
      <c r="G313" s="289">
        <v>3140</v>
      </c>
      <c r="H313" s="177">
        <v>84396</v>
      </c>
      <c r="I313" s="289">
        <v>3189</v>
      </c>
      <c r="J313" s="177">
        <v>80561</v>
      </c>
      <c r="K313" s="289">
        <v>3194</v>
      </c>
      <c r="L313" s="177">
        <v>81638</v>
      </c>
    </row>
    <row r="314" spans="1:12" ht="13">
      <c r="A314" s="1">
        <v>4616</v>
      </c>
      <c r="B314" s="2" t="s">
        <v>29</v>
      </c>
      <c r="C314" s="289">
        <v>2745</v>
      </c>
      <c r="D314" s="177">
        <v>65397</v>
      </c>
      <c r="E314" s="289">
        <v>2782</v>
      </c>
      <c r="F314" s="177">
        <v>71019</v>
      </c>
      <c r="G314" s="289">
        <v>2797</v>
      </c>
      <c r="H314" s="177">
        <v>76308</v>
      </c>
      <c r="I314" s="289">
        <v>2847</v>
      </c>
      <c r="J314" s="177">
        <v>83729</v>
      </c>
      <c r="K314" s="289">
        <v>2857</v>
      </c>
      <c r="L314" s="177">
        <v>90837</v>
      </c>
    </row>
    <row r="315" spans="1:12" ht="13">
      <c r="A315" s="1">
        <v>4617</v>
      </c>
      <c r="B315" s="2" t="s">
        <v>30</v>
      </c>
      <c r="C315" s="289">
        <v>13232</v>
      </c>
      <c r="D315" s="177">
        <v>317340</v>
      </c>
      <c r="E315" s="289">
        <v>13234</v>
      </c>
      <c r="F315" s="177">
        <v>323502</v>
      </c>
      <c r="G315" s="289">
        <v>13271</v>
      </c>
      <c r="H315" s="177">
        <v>335516</v>
      </c>
      <c r="I315" s="289">
        <v>13241</v>
      </c>
      <c r="J315" s="177">
        <v>343907</v>
      </c>
      <c r="K315" s="289">
        <v>13180</v>
      </c>
      <c r="L315" s="177">
        <v>358088</v>
      </c>
    </row>
    <row r="316" spans="1:12" ht="13">
      <c r="A316" s="1">
        <v>4619</v>
      </c>
      <c r="B316" s="2" t="s">
        <v>34</v>
      </c>
      <c r="C316" s="289">
        <v>950</v>
      </c>
      <c r="D316" s="177">
        <v>49498</v>
      </c>
      <c r="E316" s="289">
        <v>950</v>
      </c>
      <c r="F316" s="177">
        <v>49839</v>
      </c>
      <c r="G316" s="289">
        <v>925</v>
      </c>
      <c r="H316" s="177">
        <v>52787</v>
      </c>
      <c r="I316" s="289">
        <v>921</v>
      </c>
      <c r="J316" s="177">
        <v>55245</v>
      </c>
      <c r="K316" s="289">
        <v>931</v>
      </c>
      <c r="L316" s="177">
        <v>56711</v>
      </c>
    </row>
    <row r="317" spans="1:12" ht="13">
      <c r="A317" s="1">
        <v>4620</v>
      </c>
      <c r="B317" s="2" t="s">
        <v>35</v>
      </c>
      <c r="C317" s="289">
        <v>1094</v>
      </c>
      <c r="D317" s="177">
        <v>32828</v>
      </c>
      <c r="E317" s="289">
        <v>1107</v>
      </c>
      <c r="F317" s="177">
        <v>32883</v>
      </c>
      <c r="G317" s="289">
        <v>1116</v>
      </c>
      <c r="H317" s="177">
        <v>34173</v>
      </c>
      <c r="I317" s="289">
        <v>1131</v>
      </c>
      <c r="J317" s="177">
        <v>34103</v>
      </c>
      <c r="K317" s="289">
        <v>1117</v>
      </c>
      <c r="L317" s="177">
        <v>35225</v>
      </c>
    </row>
    <row r="318" spans="1:12" ht="13">
      <c r="A318" s="1">
        <v>4622</v>
      </c>
      <c r="B318" s="2" t="s">
        <v>38</v>
      </c>
      <c r="C318" s="289">
        <v>8584</v>
      </c>
      <c r="D318" s="177">
        <v>191886</v>
      </c>
      <c r="E318" s="289">
        <v>8539</v>
      </c>
      <c r="F318" s="177">
        <v>198344</v>
      </c>
      <c r="G318" s="289">
        <v>8475</v>
      </c>
      <c r="H318" s="177">
        <v>212701</v>
      </c>
      <c r="I318" s="289">
        <v>8423</v>
      </c>
      <c r="J318" s="177">
        <v>216753</v>
      </c>
      <c r="K318" s="289">
        <v>8455</v>
      </c>
      <c r="L318" s="177">
        <v>232403</v>
      </c>
    </row>
    <row r="319" spans="1:12" ht="13">
      <c r="A319" s="1">
        <v>4623</v>
      </c>
      <c r="B319" s="2" t="s">
        <v>40</v>
      </c>
      <c r="C319" s="289">
        <v>2436</v>
      </c>
      <c r="D319" s="177">
        <v>57433</v>
      </c>
      <c r="E319" s="289">
        <v>2443</v>
      </c>
      <c r="F319" s="177">
        <v>62067</v>
      </c>
      <c r="G319" s="289">
        <v>2443</v>
      </c>
      <c r="H319" s="177">
        <v>65531</v>
      </c>
      <c r="I319" s="289">
        <v>2488</v>
      </c>
      <c r="J319" s="177">
        <v>66651</v>
      </c>
      <c r="K319" s="289">
        <v>2463</v>
      </c>
      <c r="L319" s="177">
        <v>65455</v>
      </c>
    </row>
    <row r="320" spans="1:12" ht="13">
      <c r="A320" s="1">
        <v>4625</v>
      </c>
      <c r="B320" s="2" t="s">
        <v>41</v>
      </c>
      <c r="C320" s="289">
        <v>4924</v>
      </c>
      <c r="D320" s="177">
        <v>167181</v>
      </c>
      <c r="E320" s="289">
        <v>5012</v>
      </c>
      <c r="F320" s="177">
        <v>185918</v>
      </c>
      <c r="G320" s="289">
        <v>5118</v>
      </c>
      <c r="H320" s="177">
        <v>200516</v>
      </c>
      <c r="I320" s="289">
        <v>5156</v>
      </c>
      <c r="J320" s="177">
        <v>219330</v>
      </c>
      <c r="K320" s="289">
        <v>5189</v>
      </c>
      <c r="L320" s="177">
        <v>202389</v>
      </c>
    </row>
    <row r="321" spans="1:12" ht="13">
      <c r="A321" s="1">
        <v>4627</v>
      </c>
      <c r="B321" s="2" t="s">
        <v>44</v>
      </c>
      <c r="C321" s="289">
        <v>27346</v>
      </c>
      <c r="D321" s="177">
        <v>612963</v>
      </c>
      <c r="E321" s="289">
        <v>27858</v>
      </c>
      <c r="F321" s="177">
        <v>641304</v>
      </c>
      <c r="G321" s="289">
        <v>28380</v>
      </c>
      <c r="H321" s="177">
        <v>684373</v>
      </c>
      <c r="I321" s="289">
        <v>28821</v>
      </c>
      <c r="J321" s="177">
        <v>715328</v>
      </c>
      <c r="K321" s="289">
        <v>29071</v>
      </c>
      <c r="L321" s="177">
        <v>745203</v>
      </c>
    </row>
    <row r="322" spans="1:12" ht="13">
      <c r="A322" s="1">
        <v>4628</v>
      </c>
      <c r="B322" s="2" t="s">
        <v>45</v>
      </c>
      <c r="C322" s="289">
        <v>4140</v>
      </c>
      <c r="D322" s="177">
        <v>91771</v>
      </c>
      <c r="E322" s="289">
        <v>4096</v>
      </c>
      <c r="F322" s="177">
        <v>95145</v>
      </c>
      <c r="G322" s="289">
        <v>4125</v>
      </c>
      <c r="H322" s="177">
        <v>100840</v>
      </c>
      <c r="I322" s="289">
        <v>4123</v>
      </c>
      <c r="J322" s="177">
        <v>103284</v>
      </c>
      <c r="K322" s="289">
        <v>4127</v>
      </c>
      <c r="L322" s="177">
        <v>107402</v>
      </c>
    </row>
    <row r="323" spans="1:12" ht="13">
      <c r="A323" s="1">
        <v>4629</v>
      </c>
      <c r="B323" s="2" t="s">
        <v>46</v>
      </c>
      <c r="C323" s="289">
        <v>372</v>
      </c>
      <c r="D323" s="177">
        <v>23282</v>
      </c>
      <c r="E323" s="289">
        <v>378</v>
      </c>
      <c r="F323" s="177">
        <v>22663</v>
      </c>
      <c r="G323" s="289">
        <v>381</v>
      </c>
      <c r="H323" s="177">
        <v>24758</v>
      </c>
      <c r="I323" s="289">
        <v>383</v>
      </c>
      <c r="J323" s="177">
        <v>23712</v>
      </c>
      <c r="K323" s="289">
        <v>380</v>
      </c>
      <c r="L323" s="177">
        <v>24427</v>
      </c>
    </row>
    <row r="324" spans="1:12" ht="13">
      <c r="A324" s="1">
        <v>4630</v>
      </c>
      <c r="B324" s="2" t="s">
        <v>47</v>
      </c>
      <c r="C324" s="289">
        <v>7786</v>
      </c>
      <c r="D324" s="177">
        <v>159398</v>
      </c>
      <c r="E324" s="289">
        <v>7842</v>
      </c>
      <c r="F324" s="177">
        <v>166774</v>
      </c>
      <c r="G324" s="289">
        <v>7957</v>
      </c>
      <c r="H324" s="177">
        <v>179015</v>
      </c>
      <c r="I324" s="289">
        <v>8026</v>
      </c>
      <c r="J324" s="177">
        <v>190980</v>
      </c>
      <c r="K324" s="289">
        <v>8125</v>
      </c>
      <c r="L324" s="177">
        <v>194818</v>
      </c>
    </row>
    <row r="325" spans="1:12" ht="13">
      <c r="A325" s="1">
        <v>4632</v>
      </c>
      <c r="B325" s="2" t="s">
        <v>55</v>
      </c>
      <c r="C325" s="289">
        <v>2833</v>
      </c>
      <c r="D325" s="177">
        <v>84590</v>
      </c>
      <c r="E325" s="289">
        <v>2856</v>
      </c>
      <c r="F325" s="177">
        <v>82871</v>
      </c>
      <c r="G325" s="289">
        <v>2858</v>
      </c>
      <c r="H325" s="177">
        <v>88559</v>
      </c>
      <c r="I325" s="289">
        <v>2884</v>
      </c>
      <c r="J325" s="177">
        <v>85690</v>
      </c>
      <c r="K325" s="289">
        <v>2902</v>
      </c>
      <c r="L325" s="177">
        <v>87553</v>
      </c>
    </row>
    <row r="326" spans="1:12" ht="13">
      <c r="A326" s="1">
        <v>4633</v>
      </c>
      <c r="B326" s="2" t="s">
        <v>56</v>
      </c>
      <c r="C326" s="289">
        <v>561</v>
      </c>
      <c r="D326" s="177">
        <v>12698</v>
      </c>
      <c r="E326" s="289">
        <v>563</v>
      </c>
      <c r="F326" s="177">
        <v>12935</v>
      </c>
      <c r="G326" s="289">
        <v>576</v>
      </c>
      <c r="H326" s="177">
        <v>13743</v>
      </c>
      <c r="I326" s="289">
        <v>587</v>
      </c>
      <c r="J326" s="177">
        <v>13627</v>
      </c>
      <c r="K326" s="289">
        <v>561</v>
      </c>
      <c r="L326" s="177">
        <v>14691</v>
      </c>
    </row>
    <row r="327" spans="1:12" ht="13">
      <c r="A327" s="1">
        <v>4634</v>
      </c>
      <c r="B327" s="2" t="s">
        <v>57</v>
      </c>
      <c r="C327" s="289">
        <v>1693</v>
      </c>
      <c r="D327" s="177">
        <v>50840</v>
      </c>
      <c r="E327" s="289">
        <v>1704</v>
      </c>
      <c r="F327" s="177">
        <v>51991</v>
      </c>
      <c r="G327" s="289">
        <v>1701</v>
      </c>
      <c r="H327" s="177">
        <v>54093</v>
      </c>
      <c r="I327" s="289">
        <v>1710</v>
      </c>
      <c r="J327" s="177">
        <v>54844</v>
      </c>
      <c r="K327" s="289">
        <v>1730</v>
      </c>
      <c r="L327" s="177">
        <v>55228</v>
      </c>
    </row>
    <row r="328" spans="1:12" ht="13">
      <c r="A328" s="1">
        <v>4635</v>
      </c>
      <c r="B328" s="2" t="s">
        <v>59</v>
      </c>
      <c r="C328" s="289">
        <v>2315</v>
      </c>
      <c r="D328" s="177">
        <v>61093</v>
      </c>
      <c r="E328" s="289">
        <v>2335</v>
      </c>
      <c r="F328" s="177">
        <v>62353</v>
      </c>
      <c r="G328" s="289">
        <v>2370</v>
      </c>
      <c r="H328" s="177">
        <v>71148</v>
      </c>
      <c r="I328" s="289">
        <v>2371</v>
      </c>
      <c r="J328" s="177">
        <v>70894</v>
      </c>
      <c r="K328" s="289">
        <v>2345</v>
      </c>
      <c r="L328" s="177">
        <v>66356</v>
      </c>
    </row>
    <row r="329" spans="1:12" ht="13">
      <c r="A329" s="1">
        <v>4636</v>
      </c>
      <c r="B329" s="2" t="s">
        <v>60</v>
      </c>
      <c r="C329" s="289">
        <v>815</v>
      </c>
      <c r="D329" s="177">
        <v>18381</v>
      </c>
      <c r="E329" s="289">
        <v>800</v>
      </c>
      <c r="F329" s="177">
        <v>19212</v>
      </c>
      <c r="G329" s="289">
        <v>785</v>
      </c>
      <c r="H329" s="177">
        <v>20256</v>
      </c>
      <c r="I329" s="289">
        <v>794</v>
      </c>
      <c r="J329" s="177">
        <v>21810</v>
      </c>
      <c r="K329" s="289">
        <v>807</v>
      </c>
      <c r="L329" s="177">
        <v>22900</v>
      </c>
    </row>
    <row r="330" spans="1:12" ht="13">
      <c r="A330" s="1">
        <v>4637</v>
      </c>
      <c r="B330" s="2" t="s">
        <v>61</v>
      </c>
      <c r="C330" s="289">
        <v>1391</v>
      </c>
      <c r="D330" s="177">
        <v>34485</v>
      </c>
      <c r="E330" s="289">
        <v>1405</v>
      </c>
      <c r="F330" s="177">
        <v>36501</v>
      </c>
      <c r="G330" s="289">
        <v>1395</v>
      </c>
      <c r="H330" s="177">
        <v>35334</v>
      </c>
      <c r="I330" s="289">
        <v>1438</v>
      </c>
      <c r="J330" s="177">
        <v>34994</v>
      </c>
      <c r="K330" s="289">
        <v>1378</v>
      </c>
      <c r="L330" s="177">
        <v>35150</v>
      </c>
    </row>
    <row r="331" spans="1:12" ht="13">
      <c r="A331" s="1">
        <v>4638</v>
      </c>
      <c r="B331" s="2" t="s">
        <v>62</v>
      </c>
      <c r="C331" s="289">
        <v>4183</v>
      </c>
      <c r="D331" s="177">
        <v>102203</v>
      </c>
      <c r="E331" s="289">
        <v>4169</v>
      </c>
      <c r="F331" s="177">
        <v>106367</v>
      </c>
      <c r="G331" s="289">
        <v>4161</v>
      </c>
      <c r="H331" s="177">
        <v>110066</v>
      </c>
      <c r="I331" s="289">
        <v>4190</v>
      </c>
      <c r="J331" s="177">
        <v>113409</v>
      </c>
      <c r="K331" s="289">
        <v>4154</v>
      </c>
      <c r="L331" s="177">
        <v>123136</v>
      </c>
    </row>
    <row r="332" spans="1:12" ht="13">
      <c r="A332" s="1">
        <v>4639</v>
      </c>
      <c r="B332" s="2" t="s">
        <v>63</v>
      </c>
      <c r="C332" s="289">
        <v>2688</v>
      </c>
      <c r="D332" s="177">
        <v>68380</v>
      </c>
      <c r="E332" s="289">
        <v>2678</v>
      </c>
      <c r="F332" s="177">
        <v>70685</v>
      </c>
      <c r="G332" s="289">
        <v>2689</v>
      </c>
      <c r="H332" s="177">
        <v>77092</v>
      </c>
      <c r="I332" s="289">
        <v>2722</v>
      </c>
      <c r="J332" s="177">
        <v>79098</v>
      </c>
      <c r="K332" s="289">
        <v>2674</v>
      </c>
      <c r="L332" s="177">
        <v>82426</v>
      </c>
    </row>
    <row r="333" spans="1:12" ht="13">
      <c r="A333" s="1">
        <v>4641</v>
      </c>
      <c r="B333" s="2" t="s">
        <v>67</v>
      </c>
      <c r="C333" s="289">
        <v>1715</v>
      </c>
      <c r="D333" s="177">
        <v>71151</v>
      </c>
      <c r="E333" s="289">
        <v>1738</v>
      </c>
      <c r="F333" s="177">
        <v>72994</v>
      </c>
      <c r="G333" s="289">
        <v>1764</v>
      </c>
      <c r="H333" s="177">
        <v>77215</v>
      </c>
      <c r="I333" s="289">
        <v>1787</v>
      </c>
      <c r="J333" s="177">
        <v>81924</v>
      </c>
      <c r="K333" s="289">
        <v>1778</v>
      </c>
      <c r="L333" s="177">
        <v>85477</v>
      </c>
    </row>
    <row r="334" spans="1:12" ht="13">
      <c r="A334" s="1">
        <v>4642</v>
      </c>
      <c r="B334" s="2" t="s">
        <v>68</v>
      </c>
      <c r="C334" s="289">
        <v>2174</v>
      </c>
      <c r="D334" s="177">
        <v>64615</v>
      </c>
      <c r="E334" s="289">
        <v>2146</v>
      </c>
      <c r="F334" s="177">
        <v>65981</v>
      </c>
      <c r="G334" s="289">
        <v>2172</v>
      </c>
      <c r="H334" s="177">
        <v>68720</v>
      </c>
      <c r="I334" s="289">
        <v>2159</v>
      </c>
      <c r="J334" s="177">
        <v>68552</v>
      </c>
      <c r="K334" s="289">
        <v>2153</v>
      </c>
      <c r="L334" s="177">
        <v>75278</v>
      </c>
    </row>
    <row r="335" spans="1:12" ht="13">
      <c r="A335" s="1">
        <v>4643</v>
      </c>
      <c r="B335" s="2" t="s">
        <v>69</v>
      </c>
      <c r="C335" s="289">
        <v>5496</v>
      </c>
      <c r="D335" s="177">
        <v>145736</v>
      </c>
      <c r="E335" s="289">
        <v>5429</v>
      </c>
      <c r="F335" s="177">
        <v>151282</v>
      </c>
      <c r="G335" s="289">
        <v>5359</v>
      </c>
      <c r="H335" s="177">
        <v>163473</v>
      </c>
      <c r="I335" s="289">
        <v>5363</v>
      </c>
      <c r="J335" s="177">
        <v>168987</v>
      </c>
      <c r="K335" s="289">
        <v>5277</v>
      </c>
      <c r="L335" s="177">
        <v>176906</v>
      </c>
    </row>
    <row r="336" spans="1:12" ht="13">
      <c r="A336" s="1">
        <v>4644</v>
      </c>
      <c r="B336" s="2" t="s">
        <v>70</v>
      </c>
      <c r="C336" s="289">
        <v>5089</v>
      </c>
      <c r="D336" s="177">
        <v>136267</v>
      </c>
      <c r="E336" s="289">
        <v>5118</v>
      </c>
      <c r="F336" s="177">
        <v>137680</v>
      </c>
      <c r="G336" s="289">
        <v>5093</v>
      </c>
      <c r="H336" s="177">
        <v>149089</v>
      </c>
      <c r="I336" s="289">
        <v>5151</v>
      </c>
      <c r="J336" s="177">
        <v>154636</v>
      </c>
      <c r="K336" s="289">
        <v>5223</v>
      </c>
      <c r="L336" s="177">
        <v>159408</v>
      </c>
    </row>
    <row r="337" spans="1:12" ht="13">
      <c r="A337" s="1">
        <v>4645</v>
      </c>
      <c r="B337" s="2" t="s">
        <v>71</v>
      </c>
      <c r="C337" s="289">
        <v>3011</v>
      </c>
      <c r="D337" s="177">
        <v>59345</v>
      </c>
      <c r="E337" s="289">
        <v>3008</v>
      </c>
      <c r="F337" s="177">
        <v>64014</v>
      </c>
      <c r="G337" s="289">
        <v>3023</v>
      </c>
      <c r="H337" s="177">
        <v>71027</v>
      </c>
      <c r="I337" s="289">
        <v>3065</v>
      </c>
      <c r="J337" s="177">
        <v>72106</v>
      </c>
      <c r="K337" s="289">
        <v>3052</v>
      </c>
      <c r="L337" s="177">
        <v>73539</v>
      </c>
    </row>
    <row r="338" spans="1:12" ht="13">
      <c r="A338" s="1">
        <v>4646</v>
      </c>
      <c r="B338" s="2" t="s">
        <v>72</v>
      </c>
      <c r="C338" s="289">
        <v>2853</v>
      </c>
      <c r="D338" s="177">
        <v>54444</v>
      </c>
      <c r="E338" s="289">
        <v>2823</v>
      </c>
      <c r="F338" s="177">
        <v>56681</v>
      </c>
      <c r="G338" s="289">
        <v>2830</v>
      </c>
      <c r="H338" s="177">
        <v>64838</v>
      </c>
      <c r="I338" s="289">
        <v>2862</v>
      </c>
      <c r="J338" s="177">
        <v>65267</v>
      </c>
      <c r="K338" s="289">
        <v>2846</v>
      </c>
      <c r="L338" s="177">
        <v>63972</v>
      </c>
    </row>
    <row r="339" spans="1:12" ht="13">
      <c r="A339" s="1">
        <v>4648</v>
      </c>
      <c r="B339" s="2" t="s">
        <v>77</v>
      </c>
      <c r="C339" s="289">
        <v>3950</v>
      </c>
      <c r="D339" s="177">
        <v>93322</v>
      </c>
      <c r="E339" s="289">
        <v>3890</v>
      </c>
      <c r="F339" s="177">
        <v>95883</v>
      </c>
      <c r="G339" s="289">
        <v>3846</v>
      </c>
      <c r="H339" s="177">
        <v>102127</v>
      </c>
      <c r="I339" s="289">
        <v>3847</v>
      </c>
      <c r="J339" s="177">
        <v>103184</v>
      </c>
      <c r="K339" s="289">
        <v>3767</v>
      </c>
      <c r="L339" s="177">
        <v>105303</v>
      </c>
    </row>
    <row r="340" spans="1:12" ht="13">
      <c r="A340" s="1">
        <v>4650</v>
      </c>
      <c r="B340" s="2" t="s">
        <v>82</v>
      </c>
      <c r="C340" s="289">
        <v>5694</v>
      </c>
      <c r="D340" s="177">
        <v>123868</v>
      </c>
      <c r="E340" s="289">
        <v>5751</v>
      </c>
      <c r="F340" s="177">
        <v>128806</v>
      </c>
      <c r="G340" s="289">
        <v>5784</v>
      </c>
      <c r="H340" s="177">
        <v>136750</v>
      </c>
      <c r="I340" s="289">
        <v>5783</v>
      </c>
      <c r="J340" s="177">
        <v>147153</v>
      </c>
      <c r="K340" s="289">
        <v>5874</v>
      </c>
      <c r="L340" s="177">
        <v>169864</v>
      </c>
    </row>
    <row r="341" spans="1:12" ht="13">
      <c r="A341" s="1">
        <v>4651</v>
      </c>
      <c r="B341" s="2" t="s">
        <v>83</v>
      </c>
      <c r="C341" s="289">
        <v>7134</v>
      </c>
      <c r="D341" s="177">
        <v>151200</v>
      </c>
      <c r="E341" s="289">
        <v>7155</v>
      </c>
      <c r="F341" s="177">
        <v>163009</v>
      </c>
      <c r="G341" s="289">
        <v>7168</v>
      </c>
      <c r="H341" s="177">
        <v>178833</v>
      </c>
      <c r="I341" s="289">
        <v>7218</v>
      </c>
      <c r="J341" s="177">
        <v>186231</v>
      </c>
      <c r="K341" s="289">
        <v>7195</v>
      </c>
      <c r="L341" s="177">
        <v>181528</v>
      </c>
    </row>
    <row r="342" spans="1:12" ht="13">
      <c r="A342" s="1">
        <v>5001</v>
      </c>
      <c r="B342" s="2" t="s">
        <v>118</v>
      </c>
      <c r="C342" s="289">
        <v>182035</v>
      </c>
      <c r="D342" s="177">
        <v>4562406</v>
      </c>
      <c r="E342" s="289">
        <v>184960</v>
      </c>
      <c r="F342" s="177">
        <v>4834604</v>
      </c>
      <c r="G342" s="289">
        <v>187353</v>
      </c>
      <c r="H342" s="177">
        <v>5378471</v>
      </c>
      <c r="I342" s="289">
        <v>190464</v>
      </c>
      <c r="J342" s="177">
        <v>5733673</v>
      </c>
      <c r="K342" s="289">
        <v>193501</v>
      </c>
      <c r="L342" s="177">
        <v>6030359</v>
      </c>
    </row>
    <row r="343" spans="1:12" ht="13">
      <c r="A343" s="1">
        <v>5004</v>
      </c>
      <c r="B343" s="2" t="s">
        <v>144</v>
      </c>
      <c r="C343" s="289">
        <v>21555</v>
      </c>
      <c r="D343" s="177">
        <v>403289</v>
      </c>
      <c r="E343" s="289">
        <v>21650</v>
      </c>
      <c r="F343" s="177">
        <v>426827</v>
      </c>
      <c r="G343" s="289">
        <v>21781</v>
      </c>
      <c r="H343" s="177">
        <v>467882</v>
      </c>
      <c r="I343" s="289">
        <v>21972</v>
      </c>
      <c r="J343" s="177">
        <v>488540</v>
      </c>
      <c r="K343" s="289">
        <v>22096</v>
      </c>
      <c r="L343" s="177">
        <v>507896</v>
      </c>
    </row>
    <row r="344" spans="1:12" ht="13">
      <c r="A344" s="1">
        <v>5005</v>
      </c>
      <c r="B344" s="2" t="s">
        <v>145</v>
      </c>
      <c r="C344" s="289">
        <v>13083</v>
      </c>
      <c r="D344" s="177">
        <v>253179</v>
      </c>
      <c r="E344" s="289">
        <v>13026</v>
      </c>
      <c r="F344" s="177">
        <v>267385</v>
      </c>
      <c r="G344" s="289">
        <v>13010</v>
      </c>
      <c r="H344" s="177">
        <v>296053</v>
      </c>
      <c r="I344" s="289">
        <v>13051</v>
      </c>
      <c r="J344" s="177">
        <v>308334</v>
      </c>
      <c r="K344" s="289">
        <v>13078</v>
      </c>
      <c r="L344" s="177">
        <v>318589</v>
      </c>
    </row>
    <row r="345" spans="1:12" ht="13">
      <c r="A345" s="1">
        <v>5011</v>
      </c>
      <c r="B345" s="2" t="s">
        <v>119</v>
      </c>
      <c r="C345" s="289">
        <v>4224</v>
      </c>
      <c r="D345" s="177">
        <v>88756</v>
      </c>
      <c r="E345" s="289">
        <v>4254</v>
      </c>
      <c r="F345" s="177">
        <v>90880</v>
      </c>
      <c r="G345" s="289">
        <v>4260</v>
      </c>
      <c r="H345" s="177">
        <v>98194</v>
      </c>
      <c r="I345" s="289">
        <v>4259</v>
      </c>
      <c r="J345" s="177">
        <v>104407</v>
      </c>
      <c r="K345" s="289">
        <v>4225</v>
      </c>
      <c r="L345" s="177">
        <v>111639</v>
      </c>
    </row>
    <row r="346" spans="1:12" ht="13">
      <c r="A346" s="1">
        <v>5012</v>
      </c>
      <c r="B346" s="2" t="s">
        <v>120</v>
      </c>
      <c r="C346" s="289">
        <v>980</v>
      </c>
      <c r="D346" s="177">
        <v>18790</v>
      </c>
      <c r="E346" s="289">
        <v>982</v>
      </c>
      <c r="F346" s="177">
        <v>20716</v>
      </c>
      <c r="G346" s="289">
        <v>978</v>
      </c>
      <c r="H346" s="177">
        <v>22777</v>
      </c>
      <c r="I346" s="289">
        <v>982</v>
      </c>
      <c r="J346" s="177">
        <v>24150</v>
      </c>
      <c r="K346" s="289">
        <v>987</v>
      </c>
      <c r="L346" s="177">
        <v>25630</v>
      </c>
    </row>
    <row r="347" spans="1:12" ht="13">
      <c r="A347" s="1">
        <v>5013</v>
      </c>
      <c r="B347" s="2" t="s">
        <v>121</v>
      </c>
      <c r="C347" s="289">
        <v>4522</v>
      </c>
      <c r="D347" s="177">
        <v>90135</v>
      </c>
      <c r="E347" s="289">
        <v>4569</v>
      </c>
      <c r="F347" s="177">
        <v>97955</v>
      </c>
      <c r="G347" s="289">
        <v>4622</v>
      </c>
      <c r="H347" s="177">
        <v>106217</v>
      </c>
      <c r="I347" s="289">
        <v>4659</v>
      </c>
      <c r="J347" s="177">
        <v>112469</v>
      </c>
      <c r="K347" s="289">
        <v>4648</v>
      </c>
      <c r="L347" s="177">
        <v>114744</v>
      </c>
    </row>
    <row r="348" spans="1:12" ht="13">
      <c r="A348" s="1">
        <v>5014</v>
      </c>
      <c r="B348" s="2" t="s">
        <v>122</v>
      </c>
      <c r="C348" s="289">
        <v>4547</v>
      </c>
      <c r="D348" s="177">
        <v>128168</v>
      </c>
      <c r="E348" s="289">
        <v>4634</v>
      </c>
      <c r="F348" s="177">
        <v>126174</v>
      </c>
      <c r="G348" s="289">
        <v>4799</v>
      </c>
      <c r="H348" s="177">
        <v>215057</v>
      </c>
      <c r="I348" s="289">
        <v>4937</v>
      </c>
      <c r="J348" s="177">
        <v>283115</v>
      </c>
      <c r="K348" s="289">
        <v>4962</v>
      </c>
      <c r="L348" s="177">
        <v>199096</v>
      </c>
    </row>
    <row r="349" spans="1:12" ht="13">
      <c r="A349" s="1">
        <v>5015</v>
      </c>
      <c r="B349" s="2" t="s">
        <v>123</v>
      </c>
      <c r="C349" s="289">
        <v>5164</v>
      </c>
      <c r="D349" s="177">
        <v>102720</v>
      </c>
      <c r="E349" s="289">
        <v>5183</v>
      </c>
      <c r="F349" s="177">
        <v>115049</v>
      </c>
      <c r="G349" s="289">
        <v>5209</v>
      </c>
      <c r="H349" s="177">
        <v>119246</v>
      </c>
      <c r="I349" s="289">
        <v>5291</v>
      </c>
      <c r="J349" s="177">
        <v>131001</v>
      </c>
      <c r="K349" s="289">
        <v>5351</v>
      </c>
      <c r="L349" s="177">
        <v>140446</v>
      </c>
    </row>
    <row r="350" spans="1:12" ht="13">
      <c r="A350" s="1">
        <v>5016</v>
      </c>
      <c r="B350" s="2" t="s">
        <v>124</v>
      </c>
      <c r="C350" s="289">
        <v>1744</v>
      </c>
      <c r="D350" s="177">
        <v>32042</v>
      </c>
      <c r="E350" s="289">
        <v>1770</v>
      </c>
      <c r="F350" s="177">
        <v>32908</v>
      </c>
      <c r="G350" s="289">
        <v>1733</v>
      </c>
      <c r="H350" s="177">
        <v>34554</v>
      </c>
      <c r="I350" s="289">
        <v>1711</v>
      </c>
      <c r="J350" s="177">
        <v>37227</v>
      </c>
      <c r="K350" s="289">
        <v>1684</v>
      </c>
      <c r="L350" s="177">
        <v>36630</v>
      </c>
    </row>
    <row r="351" spans="1:12" ht="13">
      <c r="A351" s="1">
        <v>5017</v>
      </c>
      <c r="B351" s="2" t="s">
        <v>126</v>
      </c>
      <c r="C351" s="289">
        <v>4711</v>
      </c>
      <c r="D351" s="177">
        <v>84184</v>
      </c>
      <c r="E351" s="289">
        <v>4715</v>
      </c>
      <c r="F351" s="177">
        <v>89681</v>
      </c>
      <c r="G351" s="289">
        <v>4779</v>
      </c>
      <c r="H351" s="177">
        <v>98894</v>
      </c>
      <c r="I351" s="289">
        <v>4822</v>
      </c>
      <c r="J351" s="177">
        <v>102348</v>
      </c>
      <c r="K351" s="289">
        <v>4864</v>
      </c>
      <c r="L351" s="177">
        <v>111956</v>
      </c>
    </row>
    <row r="352" spans="1:12" ht="13">
      <c r="A352" s="1">
        <v>5018</v>
      </c>
      <c r="B352" s="2" t="s">
        <v>127</v>
      </c>
      <c r="C352" s="289">
        <v>3242</v>
      </c>
      <c r="D352" s="177">
        <v>62502</v>
      </c>
      <c r="E352" s="289">
        <v>3248</v>
      </c>
      <c r="F352" s="177">
        <v>69024</v>
      </c>
      <c r="G352" s="289">
        <v>3272</v>
      </c>
      <c r="H352" s="177">
        <v>71526</v>
      </c>
      <c r="I352" s="289">
        <v>3263</v>
      </c>
      <c r="J352" s="177">
        <v>77982</v>
      </c>
      <c r="K352" s="289">
        <v>3277</v>
      </c>
      <c r="L352" s="177">
        <v>84883</v>
      </c>
    </row>
    <row r="353" spans="1:12" ht="13">
      <c r="A353" s="1">
        <v>5019</v>
      </c>
      <c r="B353" s="2" t="s">
        <v>128</v>
      </c>
      <c r="C353" s="289">
        <v>986</v>
      </c>
      <c r="D353" s="177">
        <v>16409</v>
      </c>
      <c r="E353" s="289">
        <v>977</v>
      </c>
      <c r="F353" s="177">
        <v>17958</v>
      </c>
      <c r="G353" s="289">
        <v>961</v>
      </c>
      <c r="H353" s="177">
        <v>20232</v>
      </c>
      <c r="I353" s="289">
        <v>959</v>
      </c>
      <c r="J353" s="177">
        <v>20395</v>
      </c>
      <c r="K353" s="289">
        <v>953</v>
      </c>
      <c r="L353" s="177">
        <v>20843</v>
      </c>
    </row>
    <row r="354" spans="1:12" ht="13">
      <c r="A354" s="1">
        <v>5020</v>
      </c>
      <c r="B354" s="2" t="s">
        <v>129</v>
      </c>
      <c r="C354" s="289">
        <v>997</v>
      </c>
      <c r="D354" s="177">
        <v>16756</v>
      </c>
      <c r="E354" s="289">
        <v>1010</v>
      </c>
      <c r="F354" s="177">
        <v>18345</v>
      </c>
      <c r="G354" s="289">
        <v>976</v>
      </c>
      <c r="H354" s="177">
        <v>19657</v>
      </c>
      <c r="I354" s="289">
        <v>978</v>
      </c>
      <c r="J354" s="177">
        <v>21713</v>
      </c>
      <c r="K354" s="289">
        <v>967</v>
      </c>
      <c r="L354" s="177">
        <v>20690</v>
      </c>
    </row>
    <row r="355" spans="1:12" ht="13">
      <c r="A355" s="1">
        <v>5021</v>
      </c>
      <c r="B355" s="2" t="s">
        <v>130</v>
      </c>
      <c r="C355" s="289">
        <v>6814</v>
      </c>
      <c r="D355" s="177">
        <v>137555</v>
      </c>
      <c r="E355" s="289">
        <v>6852</v>
      </c>
      <c r="F355" s="177">
        <v>143069</v>
      </c>
      <c r="G355" s="289">
        <v>6886</v>
      </c>
      <c r="H355" s="177">
        <v>157388</v>
      </c>
      <c r="I355" s="289">
        <v>6973</v>
      </c>
      <c r="J355" s="177">
        <v>168825</v>
      </c>
      <c r="K355" s="289">
        <v>6970</v>
      </c>
      <c r="L355" s="177">
        <v>174333</v>
      </c>
    </row>
    <row r="356" spans="1:12" ht="13">
      <c r="A356" s="1">
        <v>5022</v>
      </c>
      <c r="B356" s="2" t="s">
        <v>131</v>
      </c>
      <c r="C356" s="289">
        <v>2556</v>
      </c>
      <c r="D356" s="177">
        <v>51530</v>
      </c>
      <c r="E356" s="289">
        <v>2567</v>
      </c>
      <c r="F356" s="177">
        <v>52413</v>
      </c>
      <c r="G356" s="289">
        <v>2562</v>
      </c>
      <c r="H356" s="177">
        <v>57456</v>
      </c>
      <c r="I356" s="289">
        <v>2556</v>
      </c>
      <c r="J356" s="177">
        <v>58411</v>
      </c>
      <c r="K356" s="289">
        <v>2541</v>
      </c>
      <c r="L356" s="177">
        <v>60864</v>
      </c>
    </row>
    <row r="357" spans="1:12" ht="13">
      <c r="A357" s="1">
        <v>5023</v>
      </c>
      <c r="B357" s="2" t="s">
        <v>132</v>
      </c>
      <c r="C357" s="289">
        <v>3962</v>
      </c>
      <c r="D357" s="177">
        <v>73276</v>
      </c>
      <c r="E357" s="289">
        <v>3967</v>
      </c>
      <c r="F357" s="177">
        <v>76287</v>
      </c>
      <c r="G357" s="289">
        <v>3954</v>
      </c>
      <c r="H357" s="177">
        <v>89225</v>
      </c>
      <c r="I357" s="289">
        <v>3960</v>
      </c>
      <c r="J357" s="177">
        <v>89846</v>
      </c>
      <c r="K357" s="289">
        <v>3930</v>
      </c>
      <c r="L357" s="177">
        <v>88373</v>
      </c>
    </row>
    <row r="358" spans="1:12" ht="13">
      <c r="A358" s="1">
        <v>5024</v>
      </c>
      <c r="B358" s="2" t="s">
        <v>133</v>
      </c>
      <c r="C358" s="289">
        <v>11628</v>
      </c>
      <c r="D358" s="177">
        <v>234704</v>
      </c>
      <c r="E358" s="289">
        <v>11722</v>
      </c>
      <c r="F358" s="177">
        <v>250084</v>
      </c>
      <c r="G358" s="289">
        <v>11779</v>
      </c>
      <c r="H358" s="177">
        <v>269668</v>
      </c>
      <c r="I358" s="289">
        <v>11891</v>
      </c>
      <c r="J358" s="177">
        <v>279573</v>
      </c>
      <c r="K358" s="289">
        <v>11933</v>
      </c>
      <c r="L358" s="177">
        <v>289138</v>
      </c>
    </row>
    <row r="359" spans="1:12" ht="13">
      <c r="A359" s="1">
        <v>5025</v>
      </c>
      <c r="B359" s="2" t="s">
        <v>134</v>
      </c>
      <c r="C359" s="289">
        <v>5583</v>
      </c>
      <c r="D359" s="177">
        <v>122917</v>
      </c>
      <c r="E359" s="289">
        <v>5593</v>
      </c>
      <c r="F359" s="177">
        <v>126206</v>
      </c>
      <c r="G359" s="289">
        <v>5635</v>
      </c>
      <c r="H359" s="177">
        <v>135849</v>
      </c>
      <c r="I359" s="289">
        <v>5623</v>
      </c>
      <c r="J359" s="177">
        <v>140005</v>
      </c>
      <c r="K359" s="289">
        <v>5663</v>
      </c>
      <c r="L359" s="177">
        <v>150634</v>
      </c>
    </row>
    <row r="360" spans="1:12" ht="13">
      <c r="A360" s="1">
        <v>5026</v>
      </c>
      <c r="B360" s="2" t="s">
        <v>135</v>
      </c>
      <c r="C360" s="289">
        <v>2024</v>
      </c>
      <c r="D360" s="177">
        <v>36840</v>
      </c>
      <c r="E360" s="289">
        <v>2014</v>
      </c>
      <c r="F360" s="177">
        <v>38051</v>
      </c>
      <c r="G360" s="289">
        <v>2031</v>
      </c>
      <c r="H360" s="177">
        <v>40877</v>
      </c>
      <c r="I360" s="289">
        <v>2046</v>
      </c>
      <c r="J360" s="177">
        <v>41668</v>
      </c>
      <c r="K360" s="289">
        <v>2028</v>
      </c>
      <c r="L360" s="177">
        <v>42917</v>
      </c>
    </row>
    <row r="361" spans="1:12" ht="13">
      <c r="A361" s="1">
        <v>5027</v>
      </c>
      <c r="B361" s="2" t="s">
        <v>136</v>
      </c>
      <c r="C361" s="289">
        <v>6361</v>
      </c>
      <c r="D361" s="177">
        <v>117036</v>
      </c>
      <c r="E361" s="289">
        <v>6336</v>
      </c>
      <c r="F361" s="177">
        <v>122762</v>
      </c>
      <c r="G361" s="289">
        <v>6298</v>
      </c>
      <c r="H361" s="177">
        <v>134262</v>
      </c>
      <c r="I361" s="289">
        <v>6319</v>
      </c>
      <c r="J361" s="177">
        <v>136088</v>
      </c>
      <c r="K361" s="289">
        <v>6225</v>
      </c>
      <c r="L361" s="177">
        <v>138350</v>
      </c>
    </row>
    <row r="362" spans="1:12" ht="13">
      <c r="A362" s="1">
        <v>5028</v>
      </c>
      <c r="B362" s="2" t="s">
        <v>137</v>
      </c>
      <c r="C362" s="289">
        <v>15844</v>
      </c>
      <c r="D362" s="177">
        <v>325097</v>
      </c>
      <c r="E362" s="289">
        <v>15916</v>
      </c>
      <c r="F362" s="177">
        <v>336584</v>
      </c>
      <c r="G362" s="289">
        <v>16096</v>
      </c>
      <c r="H362" s="177">
        <v>363387</v>
      </c>
      <c r="I362" s="289">
        <v>16213</v>
      </c>
      <c r="J362" s="177">
        <v>384271</v>
      </c>
      <c r="K362" s="289">
        <v>16424</v>
      </c>
      <c r="L362" s="177">
        <v>405508</v>
      </c>
    </row>
    <row r="363" spans="1:12" ht="13">
      <c r="A363" s="1">
        <v>5029</v>
      </c>
      <c r="B363" s="2" t="s">
        <v>138</v>
      </c>
      <c r="C363" s="289">
        <v>7392</v>
      </c>
      <c r="D363" s="177">
        <v>141880</v>
      </c>
      <c r="E363" s="289">
        <v>7668</v>
      </c>
      <c r="F363" s="177">
        <v>154041</v>
      </c>
      <c r="G363" s="289">
        <v>7755</v>
      </c>
      <c r="H363" s="177">
        <v>170390</v>
      </c>
      <c r="I363" s="289">
        <v>8000</v>
      </c>
      <c r="J363" s="177">
        <v>185257</v>
      </c>
      <c r="K363" s="289">
        <v>8142</v>
      </c>
      <c r="L363" s="177">
        <v>194457</v>
      </c>
    </row>
    <row r="364" spans="1:12" ht="13">
      <c r="A364" s="1">
        <v>5030</v>
      </c>
      <c r="B364" s="2" t="s">
        <v>139</v>
      </c>
      <c r="C364" s="289">
        <v>5970</v>
      </c>
      <c r="D364" s="177">
        <v>128833</v>
      </c>
      <c r="E364" s="289">
        <v>5995</v>
      </c>
      <c r="F364" s="177">
        <v>131530</v>
      </c>
      <c r="G364" s="289">
        <v>6067</v>
      </c>
      <c r="H364" s="177">
        <v>145327</v>
      </c>
      <c r="I364" s="289">
        <v>6050</v>
      </c>
      <c r="J364" s="177">
        <v>149554</v>
      </c>
      <c r="K364" s="289">
        <v>6094</v>
      </c>
      <c r="L364" s="177">
        <v>151440</v>
      </c>
    </row>
    <row r="365" spans="1:12" ht="13">
      <c r="A365" s="1">
        <v>5031</v>
      </c>
      <c r="B365" s="2" t="s">
        <v>141</v>
      </c>
      <c r="C365" s="289">
        <v>13371</v>
      </c>
      <c r="D365" s="177">
        <v>308238</v>
      </c>
      <c r="E365" s="289">
        <v>13498</v>
      </c>
      <c r="F365" s="177">
        <v>318663</v>
      </c>
      <c r="G365" s="289">
        <v>13738</v>
      </c>
      <c r="H365" s="177">
        <v>359450</v>
      </c>
      <c r="I365" s="289">
        <v>13820</v>
      </c>
      <c r="J365" s="177">
        <v>368227</v>
      </c>
      <c r="K365" s="289">
        <v>13958</v>
      </c>
      <c r="L365" s="177">
        <v>397644</v>
      </c>
    </row>
    <row r="366" spans="1:12" ht="13">
      <c r="A366" s="1">
        <v>5032</v>
      </c>
      <c r="B366" s="2" t="s">
        <v>142</v>
      </c>
      <c r="C366" s="289">
        <v>4030</v>
      </c>
      <c r="D366" s="177">
        <v>79555</v>
      </c>
      <c r="E366" s="289">
        <v>4078</v>
      </c>
      <c r="F366" s="177">
        <v>84730</v>
      </c>
      <c r="G366" s="289">
        <v>4132</v>
      </c>
      <c r="H366" s="177">
        <v>91266</v>
      </c>
      <c r="I366" s="289">
        <v>4098</v>
      </c>
      <c r="J366" s="177">
        <v>94622</v>
      </c>
      <c r="K366" s="289">
        <v>4093</v>
      </c>
      <c r="L366" s="177">
        <v>97338</v>
      </c>
    </row>
    <row r="367" spans="1:12" ht="13">
      <c r="A367" s="1">
        <v>5033</v>
      </c>
      <c r="B367" s="2" t="s">
        <v>143</v>
      </c>
      <c r="C367" s="289">
        <v>864</v>
      </c>
      <c r="D367" s="177">
        <v>30854</v>
      </c>
      <c r="E367" s="289">
        <v>863</v>
      </c>
      <c r="F367" s="177">
        <v>32527</v>
      </c>
      <c r="G367" s="289">
        <v>851</v>
      </c>
      <c r="H367" s="177">
        <v>33235</v>
      </c>
      <c r="I367" s="289">
        <v>861</v>
      </c>
      <c r="J367" s="177">
        <v>33121</v>
      </c>
      <c r="K367" s="289">
        <v>834</v>
      </c>
      <c r="L367" s="177">
        <v>34850</v>
      </c>
    </row>
    <row r="368" spans="1:12" ht="13">
      <c r="A368" s="1">
        <v>5034</v>
      </c>
      <c r="B368" s="2" t="s">
        <v>146</v>
      </c>
      <c r="C368" s="289">
        <v>2553</v>
      </c>
      <c r="D368" s="177">
        <v>48534</v>
      </c>
      <c r="E368" s="289">
        <v>2558</v>
      </c>
      <c r="F368" s="177">
        <v>51352</v>
      </c>
      <c r="G368" s="289">
        <v>2523</v>
      </c>
      <c r="H368" s="177">
        <v>53590</v>
      </c>
      <c r="I368" s="289">
        <v>2508</v>
      </c>
      <c r="J368" s="177">
        <v>54417</v>
      </c>
      <c r="K368" s="289">
        <v>2469</v>
      </c>
      <c r="L368" s="177">
        <v>57823</v>
      </c>
    </row>
    <row r="369" spans="1:12" ht="13">
      <c r="A369" s="1">
        <v>5035</v>
      </c>
      <c r="B369" s="2" t="s">
        <v>147</v>
      </c>
      <c r="C369" s="289">
        <v>22683</v>
      </c>
      <c r="D369" s="177">
        <v>461772</v>
      </c>
      <c r="E369" s="289">
        <v>22957</v>
      </c>
      <c r="F369" s="177">
        <v>500584</v>
      </c>
      <c r="G369" s="289">
        <v>23308</v>
      </c>
      <c r="H369" s="177">
        <v>539672</v>
      </c>
      <c r="I369" s="289">
        <v>23625</v>
      </c>
      <c r="J369" s="177">
        <v>564472</v>
      </c>
      <c r="K369" s="289">
        <v>23964</v>
      </c>
      <c r="L369" s="177">
        <v>597732</v>
      </c>
    </row>
    <row r="370" spans="1:12" ht="13">
      <c r="A370" s="1">
        <v>5036</v>
      </c>
      <c r="B370" s="2" t="s">
        <v>148</v>
      </c>
      <c r="C370" s="289">
        <v>2653</v>
      </c>
      <c r="D370" s="177">
        <v>43779</v>
      </c>
      <c r="E370" s="289">
        <v>2624</v>
      </c>
      <c r="F370" s="177">
        <v>45334</v>
      </c>
      <c r="G370" s="289">
        <v>2631</v>
      </c>
      <c r="H370" s="177">
        <v>48858</v>
      </c>
      <c r="I370" s="289">
        <v>2630</v>
      </c>
      <c r="J370" s="177">
        <v>55464</v>
      </c>
      <c r="K370" s="289">
        <v>2616</v>
      </c>
      <c r="L370" s="177">
        <v>57821</v>
      </c>
    </row>
    <row r="371" spans="1:12" ht="13">
      <c r="A371" s="1">
        <v>5037</v>
      </c>
      <c r="B371" s="2" t="s">
        <v>150</v>
      </c>
      <c r="C371" s="289">
        <v>19212</v>
      </c>
      <c r="D371" s="177">
        <v>379690</v>
      </c>
      <c r="E371" s="289">
        <v>19474</v>
      </c>
      <c r="F371" s="177">
        <v>399602</v>
      </c>
      <c r="G371" s="289">
        <v>19610</v>
      </c>
      <c r="H371" s="177">
        <v>452141</v>
      </c>
      <c r="I371" s="289">
        <v>19892</v>
      </c>
      <c r="J371" s="177">
        <v>467325</v>
      </c>
      <c r="K371" s="289">
        <v>20115</v>
      </c>
      <c r="L371" s="177">
        <v>490350</v>
      </c>
    </row>
    <row r="372" spans="1:12" ht="13">
      <c r="A372" s="1">
        <v>5038</v>
      </c>
      <c r="B372" s="2" t="s">
        <v>151</v>
      </c>
      <c r="C372" s="289">
        <v>14788</v>
      </c>
      <c r="D372" s="177">
        <v>279742</v>
      </c>
      <c r="E372" s="289">
        <v>14809</v>
      </c>
      <c r="F372" s="177">
        <v>280360</v>
      </c>
      <c r="G372" s="289">
        <v>14885</v>
      </c>
      <c r="H372" s="177">
        <v>303298</v>
      </c>
      <c r="I372" s="289">
        <v>14849</v>
      </c>
      <c r="J372" s="177">
        <v>319010</v>
      </c>
      <c r="K372" s="289">
        <v>14943</v>
      </c>
      <c r="L372" s="177">
        <v>334369</v>
      </c>
    </row>
    <row r="373" spans="1:12" ht="13">
      <c r="A373" s="1">
        <v>5039</v>
      </c>
      <c r="B373" s="2" t="s">
        <v>153</v>
      </c>
      <c r="C373" s="289">
        <v>2562</v>
      </c>
      <c r="D373" s="177">
        <v>34092</v>
      </c>
      <c r="E373" s="289">
        <v>2547</v>
      </c>
      <c r="F373" s="177">
        <v>43785</v>
      </c>
      <c r="G373" s="289">
        <v>2527</v>
      </c>
      <c r="H373" s="177">
        <v>44616</v>
      </c>
      <c r="I373" s="289">
        <v>2515</v>
      </c>
      <c r="J373" s="177">
        <v>47869</v>
      </c>
      <c r="K373" s="289">
        <v>2473</v>
      </c>
      <c r="L373" s="177">
        <v>50171</v>
      </c>
    </row>
    <row r="374" spans="1:12" ht="13">
      <c r="A374" s="1">
        <v>5040</v>
      </c>
      <c r="B374" s="2" t="s">
        <v>154</v>
      </c>
      <c r="C374" s="289">
        <v>1676</v>
      </c>
      <c r="D374" s="177">
        <v>28132</v>
      </c>
      <c r="E374" s="289">
        <v>1644</v>
      </c>
      <c r="F374" s="177">
        <v>27277</v>
      </c>
      <c r="G374" s="289">
        <v>1622</v>
      </c>
      <c r="H374" s="177">
        <v>30725</v>
      </c>
      <c r="I374" s="289">
        <v>1593</v>
      </c>
      <c r="J374" s="177">
        <v>31111</v>
      </c>
      <c r="K374" s="289">
        <v>1585</v>
      </c>
      <c r="L374" s="177">
        <v>32121</v>
      </c>
    </row>
    <row r="375" spans="1:12" ht="13">
      <c r="A375" s="1">
        <v>5041</v>
      </c>
      <c r="B375" s="2" t="s">
        <v>156</v>
      </c>
      <c r="C375" s="289">
        <v>2156</v>
      </c>
      <c r="D375" s="177">
        <v>37914</v>
      </c>
      <c r="E375" s="289">
        <v>2153</v>
      </c>
      <c r="F375" s="177">
        <v>39394</v>
      </c>
      <c r="G375" s="289">
        <v>2139</v>
      </c>
      <c r="H375" s="177">
        <v>41094</v>
      </c>
      <c r="I375" s="289">
        <v>2159</v>
      </c>
      <c r="J375" s="177">
        <v>43422</v>
      </c>
      <c r="K375" s="289">
        <v>2094</v>
      </c>
      <c r="L375" s="177">
        <v>43014</v>
      </c>
    </row>
    <row r="376" spans="1:12" ht="13">
      <c r="A376" s="1">
        <v>5042</v>
      </c>
      <c r="B376" s="2" t="s">
        <v>157</v>
      </c>
      <c r="C376" s="289">
        <v>1385</v>
      </c>
      <c r="D376" s="177">
        <v>30495</v>
      </c>
      <c r="E376" s="289">
        <v>1394</v>
      </c>
      <c r="F376" s="177">
        <v>30846</v>
      </c>
      <c r="G376" s="289">
        <v>1375</v>
      </c>
      <c r="H376" s="177">
        <v>30134</v>
      </c>
      <c r="I376" s="289">
        <v>1389</v>
      </c>
      <c r="J376" s="177">
        <v>30547</v>
      </c>
      <c r="K376" s="289">
        <v>1379</v>
      </c>
      <c r="L376" s="177">
        <v>31031</v>
      </c>
    </row>
    <row r="377" spans="1:12" ht="13">
      <c r="A377" s="1">
        <v>5043</v>
      </c>
      <c r="B377" s="2" t="s">
        <v>164</v>
      </c>
      <c r="C377" s="289">
        <v>498</v>
      </c>
      <c r="D377" s="177">
        <v>12548</v>
      </c>
      <c r="E377" s="289">
        <v>475</v>
      </c>
      <c r="F377" s="177">
        <v>12235</v>
      </c>
      <c r="G377" s="289">
        <v>469</v>
      </c>
      <c r="H377" s="177">
        <v>12455</v>
      </c>
      <c r="I377" s="289">
        <v>469</v>
      </c>
      <c r="J377" s="177">
        <v>12378</v>
      </c>
      <c r="K377" s="289">
        <v>474</v>
      </c>
      <c r="L377" s="177">
        <v>13341</v>
      </c>
    </row>
    <row r="378" spans="1:12" ht="13">
      <c r="A378" s="1">
        <v>5044</v>
      </c>
      <c r="B378" s="2" t="s">
        <v>165</v>
      </c>
      <c r="C378" s="289">
        <v>922</v>
      </c>
      <c r="D378" s="177">
        <v>25379</v>
      </c>
      <c r="E378" s="289">
        <v>892</v>
      </c>
      <c r="F378" s="177">
        <v>25338</v>
      </c>
      <c r="G378" s="289">
        <v>867</v>
      </c>
      <c r="H378" s="177">
        <v>27663</v>
      </c>
      <c r="I378" s="289">
        <v>872</v>
      </c>
      <c r="J378" s="177">
        <v>27937</v>
      </c>
      <c r="K378" s="289">
        <v>902</v>
      </c>
      <c r="L378" s="177">
        <v>29002</v>
      </c>
    </row>
    <row r="379" spans="1:12" ht="13">
      <c r="A379" s="1">
        <v>5045</v>
      </c>
      <c r="B379" s="2" t="s">
        <v>166</v>
      </c>
      <c r="C379" s="289">
        <v>2449</v>
      </c>
      <c r="D379" s="177">
        <v>50196</v>
      </c>
      <c r="E379" s="289">
        <v>2489</v>
      </c>
      <c r="F379" s="177">
        <v>52821</v>
      </c>
      <c r="G379" s="289">
        <v>2466</v>
      </c>
      <c r="H379" s="177">
        <v>57612</v>
      </c>
      <c r="I379" s="289">
        <v>2467</v>
      </c>
      <c r="J379" s="177">
        <v>60456</v>
      </c>
      <c r="K379" s="289">
        <v>2400</v>
      </c>
      <c r="L379" s="177">
        <v>62432</v>
      </c>
    </row>
    <row r="380" spans="1:12" ht="13">
      <c r="A380" s="1">
        <v>5046</v>
      </c>
      <c r="B380" s="2" t="s">
        <v>167</v>
      </c>
      <c r="C380" s="289">
        <v>1257</v>
      </c>
      <c r="D380" s="177">
        <v>22187</v>
      </c>
      <c r="E380" s="289">
        <v>1252</v>
      </c>
      <c r="F380" s="177">
        <v>23151</v>
      </c>
      <c r="G380" s="289">
        <v>1250</v>
      </c>
      <c r="H380" s="177">
        <v>26653</v>
      </c>
      <c r="I380" s="289">
        <v>1264</v>
      </c>
      <c r="J380" s="177">
        <v>27648</v>
      </c>
      <c r="K380" s="289">
        <v>1268</v>
      </c>
      <c r="L380" s="177">
        <v>26225</v>
      </c>
    </row>
    <row r="381" spans="1:12" ht="13">
      <c r="A381" s="1">
        <v>5047</v>
      </c>
      <c r="B381" s="2" t="s">
        <v>168</v>
      </c>
      <c r="C381" s="289">
        <v>3732</v>
      </c>
      <c r="D381" s="177">
        <v>72891</v>
      </c>
      <c r="E381" s="289">
        <v>3751</v>
      </c>
      <c r="F381" s="177">
        <v>75389</v>
      </c>
      <c r="G381" s="289">
        <v>3825</v>
      </c>
      <c r="H381" s="177">
        <v>82123</v>
      </c>
      <c r="I381" s="289">
        <v>3840</v>
      </c>
      <c r="J381" s="177">
        <v>89306</v>
      </c>
      <c r="K381" s="289">
        <v>3845</v>
      </c>
      <c r="L381" s="177">
        <v>93345</v>
      </c>
    </row>
    <row r="382" spans="1:12" ht="13">
      <c r="A382" s="1">
        <v>5048</v>
      </c>
      <c r="B382" s="2" t="s">
        <v>169</v>
      </c>
      <c r="C382" s="289">
        <v>642</v>
      </c>
      <c r="D382" s="177">
        <v>10338</v>
      </c>
      <c r="E382" s="289">
        <v>630</v>
      </c>
      <c r="F382" s="177">
        <v>10651</v>
      </c>
      <c r="G382" s="289">
        <v>633</v>
      </c>
      <c r="H382" s="177">
        <v>11315</v>
      </c>
      <c r="I382" s="289">
        <v>628</v>
      </c>
      <c r="J382" s="177">
        <v>11682</v>
      </c>
      <c r="K382" s="289">
        <v>618</v>
      </c>
      <c r="L382" s="177">
        <v>12474</v>
      </c>
    </row>
    <row r="383" spans="1:12" ht="13">
      <c r="A383" s="1">
        <v>5049</v>
      </c>
      <c r="B383" s="2" t="s">
        <v>170</v>
      </c>
      <c r="C383" s="289">
        <v>1120</v>
      </c>
      <c r="D383" s="177">
        <v>20942</v>
      </c>
      <c r="E383" s="289">
        <v>1119</v>
      </c>
      <c r="F383" s="177">
        <v>23043</v>
      </c>
      <c r="G383" s="289">
        <v>1103</v>
      </c>
      <c r="H383" s="177">
        <v>26366</v>
      </c>
      <c r="I383" s="289">
        <v>1090</v>
      </c>
      <c r="J383" s="177">
        <v>26376</v>
      </c>
      <c r="K383" s="289">
        <v>1105</v>
      </c>
      <c r="L383" s="177">
        <v>29062</v>
      </c>
    </row>
    <row r="384" spans="1:12" ht="13">
      <c r="A384" s="1">
        <v>5050</v>
      </c>
      <c r="B384" s="2" t="s">
        <v>171</v>
      </c>
      <c r="C384" s="289">
        <v>4321</v>
      </c>
      <c r="D384" s="177">
        <v>88579</v>
      </c>
      <c r="E384" s="289">
        <v>4363</v>
      </c>
      <c r="F384" s="177">
        <v>94283</v>
      </c>
      <c r="G384" s="289">
        <v>4387</v>
      </c>
      <c r="H384" s="177">
        <v>107429</v>
      </c>
      <c r="I384" s="289">
        <v>4418</v>
      </c>
      <c r="J384" s="177">
        <v>116736</v>
      </c>
      <c r="K384" s="289">
        <v>4492</v>
      </c>
      <c r="L384" s="177">
        <v>127124</v>
      </c>
    </row>
    <row r="385" spans="1:12" ht="13">
      <c r="A385" s="1">
        <v>5051</v>
      </c>
      <c r="B385" s="2" t="s">
        <v>172</v>
      </c>
      <c r="C385" s="289">
        <v>5064</v>
      </c>
      <c r="D385" s="177">
        <v>95834</v>
      </c>
      <c r="E385" s="289">
        <v>5081</v>
      </c>
      <c r="F385" s="177">
        <v>100302</v>
      </c>
      <c r="G385" s="289">
        <v>5126</v>
      </c>
      <c r="H385" s="177">
        <v>110312</v>
      </c>
      <c r="I385" s="289">
        <v>5138</v>
      </c>
      <c r="J385" s="177">
        <v>115006</v>
      </c>
      <c r="K385" s="289">
        <v>5117</v>
      </c>
      <c r="L385" s="177">
        <v>125626</v>
      </c>
    </row>
    <row r="386" spans="1:12" ht="13">
      <c r="A386" s="1">
        <v>5052</v>
      </c>
      <c r="B386" s="2" t="s">
        <v>173</v>
      </c>
      <c r="C386" s="289">
        <v>556</v>
      </c>
      <c r="D386" s="177">
        <v>9934</v>
      </c>
      <c r="E386" s="289">
        <v>574</v>
      </c>
      <c r="F386" s="177">
        <v>10708</v>
      </c>
      <c r="G386" s="289">
        <v>562</v>
      </c>
      <c r="H386" s="177">
        <v>11579</v>
      </c>
      <c r="I386" s="289">
        <v>584</v>
      </c>
      <c r="J386" s="177">
        <v>12951</v>
      </c>
      <c r="K386" s="289">
        <v>582</v>
      </c>
      <c r="L386" s="177">
        <v>13678</v>
      </c>
    </row>
    <row r="387" spans="1:12" ht="13">
      <c r="A387" s="1">
        <v>5053</v>
      </c>
      <c r="B387" s="2" t="s">
        <v>155</v>
      </c>
      <c r="C387" s="289">
        <v>6720</v>
      </c>
      <c r="D387" s="177">
        <v>126853</v>
      </c>
      <c r="E387" s="289">
        <v>6770</v>
      </c>
      <c r="F387" s="177">
        <v>138028</v>
      </c>
      <c r="G387" s="289">
        <v>6769</v>
      </c>
      <c r="H387" s="177">
        <v>148799</v>
      </c>
      <c r="I387" s="289">
        <v>6800</v>
      </c>
      <c r="J387" s="177">
        <v>153528</v>
      </c>
      <c r="K387" s="289">
        <v>6785</v>
      </c>
      <c r="L387" s="177">
        <v>157899</v>
      </c>
    </row>
    <row r="388" spans="1:12" ht="13">
      <c r="A388" s="1">
        <v>5054</v>
      </c>
      <c r="B388" s="2" t="s">
        <v>1245</v>
      </c>
      <c r="C388" s="289">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row>
    <row r="389" spans="1:12" ht="13">
      <c r="A389" s="1">
        <v>5061</v>
      </c>
      <c r="B389" s="2" t="s">
        <v>114</v>
      </c>
      <c r="C389" s="289">
        <v>2046</v>
      </c>
      <c r="D389" s="177">
        <v>42351</v>
      </c>
      <c r="E389" s="289">
        <v>2038</v>
      </c>
      <c r="F389" s="177">
        <v>43842</v>
      </c>
      <c r="G389" s="289">
        <v>2036</v>
      </c>
      <c r="H389" s="177">
        <v>45245</v>
      </c>
      <c r="I389" s="289">
        <v>2026</v>
      </c>
      <c r="J389" s="177">
        <v>47427</v>
      </c>
      <c r="K389" s="289">
        <v>2039</v>
      </c>
      <c r="L389" s="177">
        <v>50708</v>
      </c>
    </row>
    <row r="390" spans="1:12" ht="13">
      <c r="A390" s="1">
        <v>5401</v>
      </c>
      <c r="B390" s="2" t="s">
        <v>217</v>
      </c>
      <c r="C390" s="289">
        <v>71590</v>
      </c>
      <c r="D390" s="177">
        <v>1698963</v>
      </c>
      <c r="E390" s="289">
        <v>72681</v>
      </c>
      <c r="F390" s="177">
        <v>1840079</v>
      </c>
      <c r="G390" s="289">
        <v>73480</v>
      </c>
      <c r="H390" s="177">
        <v>2034480</v>
      </c>
      <c r="I390" s="289">
        <v>74541</v>
      </c>
      <c r="J390" s="177">
        <v>2166065</v>
      </c>
      <c r="K390" s="289">
        <v>75638</v>
      </c>
      <c r="L390" s="177">
        <v>2296830</v>
      </c>
    </row>
    <row r="391" spans="1:12" ht="13">
      <c r="A391" s="1">
        <v>5402</v>
      </c>
      <c r="B391" s="2" t="s">
        <v>216</v>
      </c>
      <c r="C391" s="289">
        <v>24441</v>
      </c>
      <c r="D391" s="177">
        <v>531842</v>
      </c>
      <c r="E391" s="289">
        <v>24676</v>
      </c>
      <c r="F391" s="177">
        <v>581441</v>
      </c>
      <c r="G391" s="289">
        <v>24695</v>
      </c>
      <c r="H391" s="177">
        <v>623987</v>
      </c>
      <c r="I391" s="289">
        <v>24845</v>
      </c>
      <c r="J391" s="177">
        <v>647002</v>
      </c>
      <c r="K391" s="289">
        <v>24820</v>
      </c>
      <c r="L391" s="177">
        <v>674405</v>
      </c>
    </row>
    <row r="392" spans="1:12" ht="13">
      <c r="A392" s="1">
        <v>5403</v>
      </c>
      <c r="B392" s="2" t="s">
        <v>245</v>
      </c>
      <c r="C392" s="289">
        <v>19822</v>
      </c>
      <c r="D392" s="177">
        <v>392331</v>
      </c>
      <c r="E392" s="289">
        <v>19898</v>
      </c>
      <c r="F392" s="177">
        <v>425132</v>
      </c>
      <c r="G392" s="289">
        <v>20097</v>
      </c>
      <c r="H392" s="177">
        <v>470693</v>
      </c>
      <c r="I392" s="289">
        <v>20446</v>
      </c>
      <c r="J392" s="177">
        <v>505393</v>
      </c>
      <c r="K392" s="289">
        <v>20635</v>
      </c>
      <c r="L392" s="177">
        <v>542406</v>
      </c>
    </row>
    <row r="393" spans="1:12" ht="13">
      <c r="A393" s="1">
        <v>5404</v>
      </c>
      <c r="B393" s="2" t="s">
        <v>241</v>
      </c>
      <c r="C393" s="289">
        <v>2119</v>
      </c>
      <c r="D393" s="177">
        <v>39140</v>
      </c>
      <c r="E393" s="289">
        <v>2128</v>
      </c>
      <c r="F393" s="177">
        <v>41735</v>
      </c>
      <c r="G393" s="289">
        <v>2137</v>
      </c>
      <c r="H393" s="177">
        <v>46439</v>
      </c>
      <c r="I393" s="289">
        <v>2104</v>
      </c>
      <c r="J393" s="177">
        <v>46940</v>
      </c>
      <c r="K393" s="289">
        <v>2110</v>
      </c>
      <c r="L393" s="177">
        <v>46676</v>
      </c>
    </row>
    <row r="394" spans="1:12" ht="13">
      <c r="A394" s="1">
        <v>5405</v>
      </c>
      <c r="B394" s="2" t="s">
        <v>242</v>
      </c>
      <c r="C394" s="289">
        <v>6223</v>
      </c>
      <c r="D394" s="177">
        <v>128264</v>
      </c>
      <c r="E394" s="289">
        <v>6239</v>
      </c>
      <c r="F394" s="177">
        <v>135985</v>
      </c>
      <c r="G394" s="289">
        <v>6160</v>
      </c>
      <c r="H394" s="177">
        <v>143163</v>
      </c>
      <c r="I394" s="289">
        <v>6154</v>
      </c>
      <c r="J394" s="177">
        <v>148082</v>
      </c>
      <c r="K394" s="289">
        <v>6033</v>
      </c>
      <c r="L394" s="177">
        <v>152909</v>
      </c>
    </row>
    <row r="395" spans="1:12" ht="13">
      <c r="A395" s="1">
        <v>5411</v>
      </c>
      <c r="B395" s="2" t="s">
        <v>218</v>
      </c>
      <c r="C395" s="289">
        <v>3107</v>
      </c>
      <c r="D395" s="177">
        <v>53243</v>
      </c>
      <c r="E395" s="289">
        <v>3076</v>
      </c>
      <c r="F395" s="177">
        <v>56094</v>
      </c>
      <c r="G395" s="289">
        <v>3029</v>
      </c>
      <c r="H395" s="177">
        <v>60507</v>
      </c>
      <c r="I395" s="289">
        <v>2986</v>
      </c>
      <c r="J395" s="177">
        <v>65886</v>
      </c>
      <c r="K395" s="289">
        <v>2928</v>
      </c>
      <c r="L395" s="177">
        <v>68090</v>
      </c>
    </row>
    <row r="396" spans="1:12" ht="13">
      <c r="A396" s="1">
        <v>5413</v>
      </c>
      <c r="B396" s="2" t="s">
        <v>221</v>
      </c>
      <c r="C396" s="289">
        <v>1436</v>
      </c>
      <c r="D396" s="177">
        <v>26022</v>
      </c>
      <c r="E396" s="289">
        <v>1410</v>
      </c>
      <c r="F396" s="177">
        <v>26855</v>
      </c>
      <c r="G396" s="289">
        <v>1403</v>
      </c>
      <c r="H396" s="177">
        <v>31656</v>
      </c>
      <c r="I396" s="289">
        <v>1394</v>
      </c>
      <c r="J396" s="177">
        <v>34562</v>
      </c>
      <c r="K396" s="289">
        <v>1380</v>
      </c>
      <c r="L396" s="177">
        <v>38050</v>
      </c>
    </row>
    <row r="397" spans="1:12" ht="13">
      <c r="A397" s="1">
        <v>5414</v>
      </c>
      <c r="B397" s="2" t="s">
        <v>222</v>
      </c>
      <c r="C397" s="289">
        <v>1135</v>
      </c>
      <c r="D397" s="177">
        <v>19557</v>
      </c>
      <c r="E397" s="289">
        <v>1137</v>
      </c>
      <c r="F397" s="177">
        <v>20678</v>
      </c>
      <c r="G397" s="289">
        <v>1137</v>
      </c>
      <c r="H397" s="177">
        <v>22524</v>
      </c>
      <c r="I397" s="289">
        <v>1121</v>
      </c>
      <c r="J397" s="177">
        <v>24726</v>
      </c>
      <c r="K397" s="289">
        <v>1117</v>
      </c>
      <c r="L397" s="177">
        <v>26493</v>
      </c>
    </row>
    <row r="398" spans="1:12" ht="13">
      <c r="A398" s="1">
        <v>5415</v>
      </c>
      <c r="B398" s="2" t="s">
        <v>223</v>
      </c>
      <c r="C398" s="289">
        <v>1014</v>
      </c>
      <c r="D398" s="177">
        <v>15717</v>
      </c>
      <c r="E398" s="289">
        <v>1008</v>
      </c>
      <c r="F398" s="177">
        <v>18284</v>
      </c>
      <c r="G398" s="289">
        <v>1051</v>
      </c>
      <c r="H398" s="177">
        <v>19351</v>
      </c>
      <c r="I398" s="289">
        <v>1076</v>
      </c>
      <c r="J398" s="177">
        <v>19972</v>
      </c>
      <c r="K398" s="289">
        <v>1061</v>
      </c>
      <c r="L398" s="177">
        <v>21842</v>
      </c>
    </row>
    <row r="399" spans="1:12" ht="13">
      <c r="A399" s="1">
        <v>5416</v>
      </c>
      <c r="B399" s="2" t="s">
        <v>224</v>
      </c>
      <c r="C399" s="289">
        <v>3985</v>
      </c>
      <c r="D399" s="177">
        <v>95072</v>
      </c>
      <c r="E399" s="289">
        <v>4078</v>
      </c>
      <c r="F399" s="177">
        <v>103643</v>
      </c>
      <c r="G399" s="289">
        <v>4019</v>
      </c>
      <c r="H399" s="177">
        <v>109015</v>
      </c>
      <c r="I399" s="289">
        <v>3994</v>
      </c>
      <c r="J399" s="177">
        <v>115085</v>
      </c>
      <c r="K399" s="289">
        <v>3979</v>
      </c>
      <c r="L399" s="177">
        <v>120113</v>
      </c>
    </row>
    <row r="400" spans="1:12" ht="13">
      <c r="A400" s="1">
        <v>5417</v>
      </c>
      <c r="B400" s="2" t="s">
        <v>225</v>
      </c>
      <c r="C400" s="289">
        <v>2223</v>
      </c>
      <c r="D400" s="177">
        <v>38368</v>
      </c>
      <c r="E400" s="289">
        <v>2219</v>
      </c>
      <c r="F400" s="177">
        <v>42072</v>
      </c>
      <c r="G400" s="289">
        <v>2230</v>
      </c>
      <c r="H400" s="177">
        <v>46921</v>
      </c>
      <c r="I400" s="289">
        <v>2220</v>
      </c>
      <c r="J400" s="177">
        <v>51862</v>
      </c>
      <c r="K400" s="289">
        <v>2226</v>
      </c>
      <c r="L400" s="177">
        <v>52604</v>
      </c>
    </row>
    <row r="401" spans="1:12" ht="13">
      <c r="A401" s="1">
        <v>5418</v>
      </c>
      <c r="B401" s="2" t="s">
        <v>226</v>
      </c>
      <c r="C401" s="289">
        <v>6634</v>
      </c>
      <c r="D401" s="177">
        <v>149063</v>
      </c>
      <c r="E401" s="289">
        <v>6693</v>
      </c>
      <c r="F401" s="177">
        <v>166088</v>
      </c>
      <c r="G401" s="289">
        <v>6741</v>
      </c>
      <c r="H401" s="177">
        <v>179331</v>
      </c>
      <c r="I401" s="289">
        <v>6781</v>
      </c>
      <c r="J401" s="177">
        <v>187236</v>
      </c>
      <c r="K401" s="289">
        <v>6798</v>
      </c>
      <c r="L401" s="177">
        <v>184693</v>
      </c>
    </row>
    <row r="402" spans="1:12" ht="13">
      <c r="A402" s="1">
        <v>5419</v>
      </c>
      <c r="B402" s="2" t="s">
        <v>227</v>
      </c>
      <c r="C402" s="289">
        <v>3450</v>
      </c>
      <c r="D402" s="177">
        <v>68185</v>
      </c>
      <c r="E402" s="289">
        <v>3451</v>
      </c>
      <c r="F402" s="177">
        <v>73491</v>
      </c>
      <c r="G402" s="289">
        <v>3452</v>
      </c>
      <c r="H402" s="177">
        <v>81156</v>
      </c>
      <c r="I402" s="289">
        <v>3496</v>
      </c>
      <c r="J402" s="177">
        <v>83904</v>
      </c>
      <c r="K402" s="289">
        <v>3494</v>
      </c>
      <c r="L402" s="177">
        <v>86393</v>
      </c>
    </row>
    <row r="403" spans="1:12" ht="13">
      <c r="A403" s="1">
        <v>5420</v>
      </c>
      <c r="B403" s="2" t="s">
        <v>228</v>
      </c>
      <c r="C403" s="289">
        <v>1171</v>
      </c>
      <c r="D403" s="177">
        <v>20896</v>
      </c>
      <c r="E403" s="289">
        <v>1154</v>
      </c>
      <c r="F403" s="177">
        <v>21773</v>
      </c>
      <c r="G403" s="289">
        <v>1158</v>
      </c>
      <c r="H403" s="177">
        <v>22702</v>
      </c>
      <c r="I403" s="289">
        <v>1138</v>
      </c>
      <c r="J403" s="177">
        <v>23986</v>
      </c>
      <c r="K403" s="289">
        <v>1165</v>
      </c>
      <c r="L403" s="177">
        <v>25457</v>
      </c>
    </row>
    <row r="404" spans="1:12" ht="13">
      <c r="A404" s="1">
        <v>5422</v>
      </c>
      <c r="B404" s="2" t="s">
        <v>233</v>
      </c>
      <c r="C404" s="289">
        <v>5593</v>
      </c>
      <c r="D404" s="177">
        <v>99418</v>
      </c>
      <c r="E404" s="289">
        <v>5720</v>
      </c>
      <c r="F404" s="177">
        <v>108717</v>
      </c>
      <c r="G404" s="289">
        <v>5701</v>
      </c>
      <c r="H404" s="177">
        <v>117146</v>
      </c>
      <c r="I404" s="289">
        <v>5685</v>
      </c>
      <c r="J404" s="177">
        <v>120376</v>
      </c>
      <c r="K404" s="289">
        <v>5653</v>
      </c>
      <c r="L404" s="177">
        <v>123856</v>
      </c>
    </row>
    <row r="405" spans="1:12" ht="13">
      <c r="A405" s="1">
        <v>5423</v>
      </c>
      <c r="B405" s="2" t="s">
        <v>234</v>
      </c>
      <c r="C405" s="289">
        <v>2334</v>
      </c>
      <c r="D405" s="177">
        <v>41906</v>
      </c>
      <c r="E405" s="289">
        <v>2289</v>
      </c>
      <c r="F405" s="177">
        <v>46139</v>
      </c>
      <c r="G405" s="289">
        <v>2282</v>
      </c>
      <c r="H405" s="177">
        <v>49979</v>
      </c>
      <c r="I405" s="289">
        <v>2273</v>
      </c>
      <c r="J405" s="177">
        <v>53340</v>
      </c>
      <c r="K405" s="289">
        <v>2263</v>
      </c>
      <c r="L405" s="177">
        <v>57505</v>
      </c>
    </row>
    <row r="406" spans="1:12" ht="13">
      <c r="A406" s="1">
        <v>5424</v>
      </c>
      <c r="B406" s="2" t="s">
        <v>235</v>
      </c>
      <c r="C406" s="289">
        <v>2992</v>
      </c>
      <c r="D406" s="177">
        <v>53448</v>
      </c>
      <c r="E406" s="289">
        <v>2922</v>
      </c>
      <c r="F406" s="177">
        <v>56189</v>
      </c>
      <c r="G406" s="289">
        <v>2861</v>
      </c>
      <c r="H406" s="177">
        <v>61736</v>
      </c>
      <c r="I406" s="289">
        <v>2876</v>
      </c>
      <c r="J406" s="177">
        <v>63968</v>
      </c>
      <c r="K406" s="289">
        <v>2877</v>
      </c>
      <c r="L406" s="177">
        <v>64289</v>
      </c>
    </row>
    <row r="407" spans="1:12" ht="13">
      <c r="A407" s="1">
        <v>5425</v>
      </c>
      <c r="B407" s="2" t="s">
        <v>236</v>
      </c>
      <c r="C407" s="289">
        <v>1941</v>
      </c>
      <c r="D407" s="177">
        <v>38933</v>
      </c>
      <c r="E407" s="289">
        <v>1898</v>
      </c>
      <c r="F407" s="177">
        <v>45189</v>
      </c>
      <c r="G407" s="289">
        <v>1865</v>
      </c>
      <c r="H407" s="177">
        <v>43833</v>
      </c>
      <c r="I407" s="289">
        <v>1890</v>
      </c>
      <c r="J407" s="177">
        <v>47106</v>
      </c>
      <c r="K407" s="289">
        <v>1856</v>
      </c>
      <c r="L407" s="177">
        <v>51883</v>
      </c>
    </row>
    <row r="408" spans="1:12" ht="13">
      <c r="A408" s="1">
        <v>5426</v>
      </c>
      <c r="B408" s="2" t="s">
        <v>237</v>
      </c>
      <c r="C408" s="289">
        <v>2221</v>
      </c>
      <c r="D408" s="177">
        <v>39815</v>
      </c>
      <c r="E408" s="289">
        <v>2182</v>
      </c>
      <c r="F408" s="177">
        <v>43608</v>
      </c>
      <c r="G408" s="289">
        <v>2150</v>
      </c>
      <c r="H408" s="177">
        <v>44224</v>
      </c>
      <c r="I408" s="289">
        <v>2132</v>
      </c>
      <c r="J408" s="177">
        <v>48957</v>
      </c>
      <c r="K408" s="289">
        <v>2132</v>
      </c>
      <c r="L408" s="177">
        <v>51110</v>
      </c>
    </row>
    <row r="409" spans="1:12" ht="13">
      <c r="A409" s="1">
        <v>5427</v>
      </c>
      <c r="B409" s="2" t="s">
        <v>238</v>
      </c>
      <c r="C409" s="289">
        <v>2881</v>
      </c>
      <c r="D409" s="177">
        <v>49091</v>
      </c>
      <c r="E409" s="289">
        <v>2895</v>
      </c>
      <c r="F409" s="177">
        <v>53859</v>
      </c>
      <c r="G409" s="289">
        <v>2920</v>
      </c>
      <c r="H409" s="177">
        <v>62594</v>
      </c>
      <c r="I409" s="289">
        <v>2912</v>
      </c>
      <c r="J409" s="177">
        <v>64296</v>
      </c>
      <c r="K409" s="289">
        <v>2925</v>
      </c>
      <c r="L409" s="177">
        <v>69371</v>
      </c>
    </row>
    <row r="410" spans="1:12" ht="13">
      <c r="A410" s="1">
        <v>5428</v>
      </c>
      <c r="B410" s="2" t="s">
        <v>239</v>
      </c>
      <c r="C410" s="289">
        <v>4854</v>
      </c>
      <c r="D410" s="177">
        <v>86034</v>
      </c>
      <c r="E410" s="289">
        <v>4882</v>
      </c>
      <c r="F410" s="177">
        <v>93075</v>
      </c>
      <c r="G410" s="289">
        <v>4895</v>
      </c>
      <c r="H410" s="177">
        <v>104420</v>
      </c>
      <c r="I410" s="289">
        <v>4919</v>
      </c>
      <c r="J410" s="177">
        <v>109786</v>
      </c>
      <c r="K410" s="289">
        <v>4944</v>
      </c>
      <c r="L410" s="177">
        <v>111919</v>
      </c>
    </row>
    <row r="411" spans="1:12" ht="13">
      <c r="A411" s="1">
        <v>5429</v>
      </c>
      <c r="B411" s="2" t="s">
        <v>240</v>
      </c>
      <c r="C411" s="289">
        <v>1234</v>
      </c>
      <c r="D411" s="177">
        <v>21009</v>
      </c>
      <c r="E411" s="289">
        <v>1226</v>
      </c>
      <c r="F411" s="177">
        <v>27192</v>
      </c>
      <c r="G411" s="289">
        <v>1231</v>
      </c>
      <c r="H411" s="177">
        <v>30668</v>
      </c>
      <c r="I411" s="289">
        <v>1233</v>
      </c>
      <c r="J411" s="177">
        <v>30275</v>
      </c>
      <c r="K411" s="289">
        <v>1224</v>
      </c>
      <c r="L411" s="177">
        <v>32637</v>
      </c>
    </row>
    <row r="412" spans="1:12" ht="13">
      <c r="A412" s="1">
        <v>5430</v>
      </c>
      <c r="B412" s="2" t="s">
        <v>244</v>
      </c>
      <c r="C412" s="289">
        <v>2931</v>
      </c>
      <c r="D412" s="177">
        <v>43023</v>
      </c>
      <c r="E412" s="289">
        <v>2914</v>
      </c>
      <c r="F412" s="177">
        <v>46407</v>
      </c>
      <c r="G412" s="289">
        <v>2956</v>
      </c>
      <c r="H412" s="177">
        <v>49253</v>
      </c>
      <c r="I412" s="289">
        <v>2938</v>
      </c>
      <c r="J412" s="177">
        <v>51161</v>
      </c>
      <c r="K412" s="289">
        <v>2946</v>
      </c>
      <c r="L412" s="177">
        <v>56500</v>
      </c>
    </row>
    <row r="413" spans="1:12" ht="13">
      <c r="A413" s="1">
        <v>5432</v>
      </c>
      <c r="B413" s="2" t="s">
        <v>246</v>
      </c>
      <c r="C413" s="289">
        <v>1027</v>
      </c>
      <c r="D413" s="177">
        <v>18345</v>
      </c>
      <c r="E413" s="289">
        <v>989</v>
      </c>
      <c r="F413" s="177">
        <v>19096</v>
      </c>
      <c r="G413" s="289">
        <v>951</v>
      </c>
      <c r="H413" s="177">
        <v>20080</v>
      </c>
      <c r="I413" s="289">
        <v>968</v>
      </c>
      <c r="J413" s="177">
        <v>22235</v>
      </c>
      <c r="K413" s="289">
        <v>941</v>
      </c>
      <c r="L413" s="177">
        <v>21026</v>
      </c>
    </row>
    <row r="414" spans="1:12" ht="13">
      <c r="A414" s="1">
        <v>5433</v>
      </c>
      <c r="B414" s="2" t="s">
        <v>247</v>
      </c>
      <c r="C414" s="289">
        <v>1037</v>
      </c>
      <c r="D414" s="177">
        <v>16494</v>
      </c>
      <c r="E414" s="289">
        <v>1041</v>
      </c>
      <c r="F414" s="177">
        <v>19180</v>
      </c>
      <c r="G414" s="289">
        <v>1054</v>
      </c>
      <c r="H414" s="177">
        <v>20250</v>
      </c>
      <c r="I414" s="289">
        <v>1037</v>
      </c>
      <c r="J414" s="177">
        <v>21765</v>
      </c>
      <c r="K414" s="289">
        <v>1022</v>
      </c>
      <c r="L414" s="177">
        <v>22383</v>
      </c>
    </row>
    <row r="415" spans="1:12" ht="13">
      <c r="A415" s="1">
        <v>5434</v>
      </c>
      <c r="B415" s="2" t="s">
        <v>249</v>
      </c>
      <c r="C415" s="289">
        <v>1241</v>
      </c>
      <c r="D415" s="177">
        <v>26699</v>
      </c>
      <c r="E415" s="289">
        <v>1241</v>
      </c>
      <c r="F415" s="177">
        <v>27733</v>
      </c>
      <c r="G415" s="289">
        <v>1215</v>
      </c>
      <c r="H415" s="177">
        <v>28417</v>
      </c>
      <c r="I415" s="289">
        <v>1204</v>
      </c>
      <c r="J415" s="177">
        <v>31575</v>
      </c>
      <c r="K415" s="289">
        <v>1231</v>
      </c>
      <c r="L415" s="177">
        <v>34428</v>
      </c>
    </row>
    <row r="416" spans="1:12" ht="13">
      <c r="A416" s="1">
        <v>5435</v>
      </c>
      <c r="B416" s="2" t="s">
        <v>250</v>
      </c>
      <c r="C416" s="289">
        <v>3213</v>
      </c>
      <c r="D416" s="177">
        <v>65401</v>
      </c>
      <c r="E416" s="289">
        <v>3278</v>
      </c>
      <c r="F416" s="177">
        <v>72134</v>
      </c>
      <c r="G416" s="289">
        <v>3276</v>
      </c>
      <c r="H416" s="177">
        <v>77401</v>
      </c>
      <c r="I416" s="289">
        <v>3291</v>
      </c>
      <c r="J416" s="177">
        <v>83829</v>
      </c>
      <c r="K416" s="289">
        <v>3239</v>
      </c>
      <c r="L416" s="177">
        <v>87685</v>
      </c>
    </row>
    <row r="417" spans="1:12" ht="13">
      <c r="A417" s="1">
        <v>5436</v>
      </c>
      <c r="B417" s="2" t="s">
        <v>251</v>
      </c>
      <c r="C417" s="289">
        <v>3963</v>
      </c>
      <c r="D417" s="177">
        <v>76473</v>
      </c>
      <c r="E417" s="289">
        <v>3925</v>
      </c>
      <c r="F417" s="177">
        <v>83751</v>
      </c>
      <c r="G417" s="289">
        <v>3978</v>
      </c>
      <c r="H417" s="177">
        <v>90906</v>
      </c>
      <c r="I417" s="289">
        <v>3971</v>
      </c>
      <c r="J417" s="177">
        <v>92125</v>
      </c>
      <c r="K417" s="289">
        <v>3964</v>
      </c>
      <c r="L417" s="177">
        <v>95910</v>
      </c>
    </row>
    <row r="418" spans="1:12" ht="13">
      <c r="A418" s="1">
        <v>5437</v>
      </c>
      <c r="B418" s="2" t="s">
        <v>252</v>
      </c>
      <c r="C418" s="289">
        <v>2698</v>
      </c>
      <c r="D418" s="177">
        <v>45269</v>
      </c>
      <c r="E418" s="289">
        <v>2708</v>
      </c>
      <c r="F418" s="177">
        <v>49630</v>
      </c>
      <c r="G418" s="289">
        <v>2668</v>
      </c>
      <c r="H418" s="177">
        <v>54018</v>
      </c>
      <c r="I418" s="289">
        <v>2696</v>
      </c>
      <c r="J418" s="177">
        <v>55305</v>
      </c>
      <c r="K418" s="289">
        <v>2701</v>
      </c>
      <c r="L418" s="177">
        <v>56961</v>
      </c>
    </row>
    <row r="419" spans="1:12" ht="13">
      <c r="A419" s="1">
        <v>5438</v>
      </c>
      <c r="B419" s="2" t="s">
        <v>253</v>
      </c>
      <c r="C419" s="289">
        <v>1341</v>
      </c>
      <c r="D419" s="177">
        <v>24435</v>
      </c>
      <c r="E419" s="289">
        <v>1343</v>
      </c>
      <c r="F419" s="177">
        <v>26851</v>
      </c>
      <c r="G419" s="289">
        <v>1318</v>
      </c>
      <c r="H419" s="177">
        <v>29174</v>
      </c>
      <c r="I419" s="289">
        <v>1330</v>
      </c>
      <c r="J419" s="177">
        <v>31546</v>
      </c>
      <c r="K419" s="289">
        <v>1349</v>
      </c>
      <c r="L419" s="177">
        <v>33468</v>
      </c>
    </row>
    <row r="420" spans="1:12" ht="13">
      <c r="A420" s="1">
        <v>5439</v>
      </c>
      <c r="B420" s="2" t="s">
        <v>254</v>
      </c>
      <c r="C420" s="289">
        <v>1098</v>
      </c>
      <c r="D420" s="177">
        <v>19365</v>
      </c>
      <c r="E420" s="289">
        <v>1116</v>
      </c>
      <c r="F420" s="177">
        <v>21577</v>
      </c>
      <c r="G420" s="289">
        <v>1139</v>
      </c>
      <c r="H420" s="177">
        <v>24178</v>
      </c>
      <c r="I420" s="289">
        <v>1137</v>
      </c>
      <c r="J420" s="177">
        <v>25362</v>
      </c>
      <c r="K420" s="289">
        <v>1153</v>
      </c>
      <c r="L420" s="177">
        <v>26285</v>
      </c>
    </row>
    <row r="421" spans="1:12" ht="13">
      <c r="A421" s="1">
        <v>5440</v>
      </c>
      <c r="B421" s="2" t="s">
        <v>255</v>
      </c>
      <c r="C421" s="289">
        <v>1057</v>
      </c>
      <c r="D421" s="177">
        <v>20462</v>
      </c>
      <c r="E421" s="289">
        <v>1020</v>
      </c>
      <c r="F421" s="177">
        <v>20445</v>
      </c>
      <c r="G421" s="289">
        <v>1000</v>
      </c>
      <c r="H421" s="177">
        <v>22785</v>
      </c>
      <c r="I421" s="289">
        <v>991</v>
      </c>
      <c r="J421" s="177">
        <v>25243</v>
      </c>
      <c r="K421" s="289">
        <v>983</v>
      </c>
      <c r="L421" s="177">
        <v>26464</v>
      </c>
    </row>
    <row r="422" spans="1:12" ht="13">
      <c r="A422" s="1">
        <v>5441</v>
      </c>
      <c r="B422" s="2" t="s">
        <v>256</v>
      </c>
      <c r="C422" s="289">
        <v>2883</v>
      </c>
      <c r="D422" s="177">
        <v>55367</v>
      </c>
      <c r="E422" s="289">
        <v>2909</v>
      </c>
      <c r="F422" s="177">
        <v>60979</v>
      </c>
      <c r="G422" s="289">
        <v>2922</v>
      </c>
      <c r="H422" s="177">
        <v>65869</v>
      </c>
      <c r="I422" s="289">
        <v>2911</v>
      </c>
      <c r="J422" s="177">
        <v>67666</v>
      </c>
      <c r="K422" s="289">
        <v>2922</v>
      </c>
      <c r="L422" s="177">
        <v>70134</v>
      </c>
    </row>
    <row r="423" spans="1:12" ht="13">
      <c r="A423" s="1">
        <v>5442</v>
      </c>
      <c r="B423" s="2" t="s">
        <v>257</v>
      </c>
      <c r="C423" s="289">
        <v>919</v>
      </c>
      <c r="D423" s="177">
        <v>15241</v>
      </c>
      <c r="E423" s="289">
        <v>934</v>
      </c>
      <c r="F423" s="177">
        <v>16586</v>
      </c>
      <c r="G423" s="289">
        <v>959</v>
      </c>
      <c r="H423" s="177">
        <v>17469</v>
      </c>
      <c r="I423" s="289">
        <v>951</v>
      </c>
      <c r="J423" s="177">
        <v>19017</v>
      </c>
      <c r="K423" s="289">
        <v>944</v>
      </c>
      <c r="L423" s="177">
        <v>20492</v>
      </c>
    </row>
    <row r="424" spans="1:12" ht="13">
      <c r="A424" s="1">
        <v>5443</v>
      </c>
      <c r="B424" s="2" t="s">
        <v>258</v>
      </c>
      <c r="C424" s="289">
        <v>2207</v>
      </c>
      <c r="D424" s="177">
        <v>42381</v>
      </c>
      <c r="E424" s="289">
        <v>2235</v>
      </c>
      <c r="F424" s="177">
        <v>46263</v>
      </c>
      <c r="G424" s="289">
        <v>2211</v>
      </c>
      <c r="H424" s="177">
        <v>50872</v>
      </c>
      <c r="I424" s="289">
        <v>2267</v>
      </c>
      <c r="J424" s="177">
        <v>55272</v>
      </c>
      <c r="K424" s="289">
        <v>2263</v>
      </c>
      <c r="L424" s="177">
        <v>61493</v>
      </c>
    </row>
    <row r="425" spans="1:12" ht="13">
      <c r="A425" s="1">
        <v>5444</v>
      </c>
      <c r="B425" s="4" t="s">
        <v>260</v>
      </c>
      <c r="C425" s="289">
        <v>10090</v>
      </c>
      <c r="D425" s="177">
        <v>236338</v>
      </c>
      <c r="E425" s="289">
        <v>10221</v>
      </c>
      <c r="F425" s="177">
        <v>244837</v>
      </c>
      <c r="G425" s="289">
        <v>10227</v>
      </c>
      <c r="H425" s="177">
        <v>252066</v>
      </c>
      <c r="I425" s="289">
        <v>10199</v>
      </c>
      <c r="J425" s="177">
        <v>260082</v>
      </c>
      <c r="K425" s="289">
        <v>10171</v>
      </c>
      <c r="L425" s="177">
        <v>262229</v>
      </c>
    </row>
    <row r="426" spans="1:12" ht="13">
      <c r="A426" s="1"/>
      <c r="B426" s="2"/>
      <c r="C426" s="179"/>
      <c r="D426" s="175"/>
      <c r="E426" s="179"/>
      <c r="F426" s="175"/>
      <c r="G426" s="179"/>
      <c r="H426" s="175"/>
      <c r="I426" s="179"/>
      <c r="J426" s="175"/>
      <c r="K426" s="179"/>
      <c r="L426" s="175"/>
    </row>
    <row r="427" spans="1:12" ht="13">
      <c r="A427" s="1"/>
      <c r="B427" s="2" t="s">
        <v>261</v>
      </c>
      <c r="C427" s="519">
        <f t="shared" ref="C427:L427" si="4">SUM(C4:C425)</f>
        <v>5109056</v>
      </c>
      <c r="D427" s="519">
        <f t="shared" si="4"/>
        <v>128883065.99999999</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v>
      </c>
    </row>
    <row r="428" spans="1:12">
      <c r="C428" s="519"/>
      <c r="D428" s="519"/>
      <c r="E428" s="519"/>
      <c r="F428" s="519"/>
      <c r="G428" s="519"/>
      <c r="H428" s="519"/>
      <c r="I428" s="519"/>
      <c r="J428" s="519"/>
      <c r="K428" s="519"/>
      <c r="L428" s="519"/>
    </row>
    <row r="429" spans="1:12">
      <c r="C429" s="5"/>
      <c r="E429" s="5"/>
      <c r="G429" s="5"/>
      <c r="I429" s="5"/>
      <c r="K429" s="5"/>
    </row>
    <row r="430" spans="1:12">
      <c r="C430" s="5"/>
      <c r="E430" s="5"/>
      <c r="G430" s="5"/>
      <c r="I430" s="5"/>
      <c r="K430" s="5"/>
    </row>
    <row r="431" spans="1:12" ht="13">
      <c r="A431" s="1"/>
      <c r="B431" s="2" t="s">
        <v>1172</v>
      </c>
      <c r="C431" s="289">
        <v>44976</v>
      </c>
      <c r="D431" s="177">
        <v>1022647</v>
      </c>
      <c r="E431" s="289">
        <v>45281</v>
      </c>
      <c r="F431" s="177">
        <v>1075893</v>
      </c>
      <c r="G431" s="289">
        <v>45820</v>
      </c>
      <c r="H431" s="177">
        <v>1204452</v>
      </c>
      <c r="I431" s="289"/>
      <c r="J431" s="177"/>
      <c r="K431" s="289"/>
      <c r="L431" s="177"/>
    </row>
    <row r="432" spans="1:12" ht="13">
      <c r="A432" s="1"/>
      <c r="B432" s="2" t="s">
        <v>1174</v>
      </c>
      <c r="C432" s="289">
        <v>5719</v>
      </c>
      <c r="D432" s="177">
        <v>111489</v>
      </c>
      <c r="E432" s="289">
        <v>5860</v>
      </c>
      <c r="F432" s="177">
        <v>117824</v>
      </c>
      <c r="G432" s="289">
        <v>5937</v>
      </c>
      <c r="H432" s="177">
        <v>131105</v>
      </c>
      <c r="I432" s="289"/>
      <c r="J432" s="177"/>
      <c r="K432" s="289"/>
      <c r="L432" s="177"/>
    </row>
    <row r="433" spans="1:12" ht="13">
      <c r="A433" s="1"/>
      <c r="B433" s="2" t="s">
        <v>1173</v>
      </c>
      <c r="C433" s="289">
        <v>11509</v>
      </c>
      <c r="D433" s="177">
        <v>240753</v>
      </c>
      <c r="E433" s="289">
        <v>11506</v>
      </c>
      <c r="F433" s="177">
        <v>256597</v>
      </c>
      <c r="G433" s="289">
        <v>11657</v>
      </c>
      <c r="H433" s="177">
        <v>282963</v>
      </c>
      <c r="I433" s="289"/>
      <c r="J433" s="177"/>
      <c r="K433" s="289"/>
      <c r="L433" s="177"/>
    </row>
    <row r="435" spans="1:12" ht="13">
      <c r="A435" s="1"/>
      <c r="B435" s="2" t="s">
        <v>1246</v>
      </c>
      <c r="C435" s="289">
        <v>6646</v>
      </c>
      <c r="D435" s="177">
        <v>119624</v>
      </c>
      <c r="E435" s="289">
        <v>6676</v>
      </c>
      <c r="F435" s="177">
        <v>126661</v>
      </c>
      <c r="G435" s="289">
        <v>6644</v>
      </c>
      <c r="H435" s="177">
        <v>134502</v>
      </c>
      <c r="I435" s="289">
        <v>6628</v>
      </c>
      <c r="J435" s="177">
        <v>138494</v>
      </c>
      <c r="K435" s="289"/>
      <c r="L435" s="177"/>
    </row>
    <row r="436" spans="1:12" ht="13">
      <c r="A436" s="1"/>
      <c r="B436" s="2" t="s">
        <v>1247</v>
      </c>
      <c r="C436" s="289">
        <v>3555</v>
      </c>
      <c r="D436" s="177">
        <v>62373</v>
      </c>
      <c r="E436" s="289">
        <v>3506</v>
      </c>
      <c r="F436" s="177">
        <v>65486</v>
      </c>
      <c r="G436" s="289">
        <v>3531</v>
      </c>
      <c r="H436" s="177">
        <v>71450</v>
      </c>
      <c r="I436" s="289">
        <v>3480</v>
      </c>
      <c r="J436" s="177">
        <v>77883</v>
      </c>
      <c r="K436" s="289"/>
      <c r="L436" s="177"/>
    </row>
    <row r="438" spans="1:12" ht="13">
      <c r="A438" s="1"/>
      <c r="B438" s="2" t="s">
        <v>1248</v>
      </c>
      <c r="C438" s="289">
        <v>10456</v>
      </c>
      <c r="D438" s="177">
        <v>224082</v>
      </c>
      <c r="E438" s="289">
        <v>10661</v>
      </c>
      <c r="F438" s="177">
        <v>243605</v>
      </c>
      <c r="G438" s="289">
        <v>10741</v>
      </c>
      <c r="H438" s="177">
        <v>265507</v>
      </c>
      <c r="I438" s="289">
        <v>10861</v>
      </c>
      <c r="J438" s="177">
        <v>280234</v>
      </c>
      <c r="K438" s="289"/>
      <c r="L438" s="177"/>
    </row>
    <row r="439" spans="1:12" ht="13">
      <c r="A439" s="1"/>
      <c r="B439" s="2" t="s">
        <v>1249</v>
      </c>
      <c r="C439" s="289">
        <v>3091</v>
      </c>
      <c r="D439" s="177">
        <v>66179</v>
      </c>
      <c r="E439" s="289">
        <v>3114</v>
      </c>
      <c r="F439" s="177">
        <v>66832</v>
      </c>
      <c r="G439" s="289">
        <v>3163</v>
      </c>
      <c r="H439" s="177">
        <v>73184</v>
      </c>
      <c r="I439" s="289">
        <v>3176</v>
      </c>
      <c r="J439" s="177">
        <v>79136</v>
      </c>
      <c r="K439" s="289"/>
      <c r="L439" s="177"/>
    </row>
    <row r="441" spans="1:12" ht="13">
      <c r="A441" s="755"/>
      <c r="B441" s="756" t="s">
        <v>1250</v>
      </c>
      <c r="C441" s="290">
        <v>43258</v>
      </c>
      <c r="D441" s="182">
        <v>916081</v>
      </c>
      <c r="E441" s="290">
        <v>43506</v>
      </c>
      <c r="F441" s="182">
        <v>1012148</v>
      </c>
      <c r="G441" s="290">
        <v>43867</v>
      </c>
      <c r="H441" s="182">
        <v>1084798</v>
      </c>
      <c r="I441" s="290">
        <v>44082</v>
      </c>
      <c r="J441" s="182">
        <v>1144766</v>
      </c>
      <c r="K441" s="290"/>
      <c r="L441" s="182"/>
    </row>
    <row r="442" spans="1:12" ht="13">
      <c r="A442" s="1"/>
      <c r="B442" s="2" t="s">
        <v>1251</v>
      </c>
      <c r="C442" s="289">
        <v>2460</v>
      </c>
      <c r="D442" s="177">
        <v>51604</v>
      </c>
      <c r="E442" s="289">
        <v>2463</v>
      </c>
      <c r="F442" s="177">
        <v>54547</v>
      </c>
      <c r="G442" s="289">
        <v>2474</v>
      </c>
      <c r="H442" s="177">
        <v>58777</v>
      </c>
      <c r="I442" s="289">
        <v>2475</v>
      </c>
      <c r="J442" s="177">
        <v>60226</v>
      </c>
      <c r="K442" s="289"/>
      <c r="L442" s="177"/>
    </row>
    <row r="444" spans="1:12" ht="13">
      <c r="A444" s="1"/>
      <c r="B444" s="2" t="s">
        <v>1252</v>
      </c>
      <c r="C444" s="289">
        <v>21403</v>
      </c>
      <c r="D444" s="177">
        <v>546861</v>
      </c>
      <c r="E444" s="289">
        <v>21483</v>
      </c>
      <c r="F444" s="177">
        <v>584105</v>
      </c>
      <c r="G444" s="289">
        <v>21621</v>
      </c>
      <c r="H444" s="177">
        <v>645403</v>
      </c>
      <c r="I444" s="289">
        <v>21748</v>
      </c>
      <c r="J444" s="177">
        <v>663186</v>
      </c>
      <c r="K444" s="289"/>
      <c r="L444" s="177"/>
    </row>
    <row r="445" spans="1:12" ht="13">
      <c r="A445" s="1"/>
      <c r="B445" s="2" t="s">
        <v>1253</v>
      </c>
      <c r="C445" s="289">
        <v>4927</v>
      </c>
      <c r="D445" s="177">
        <v>122568</v>
      </c>
      <c r="E445" s="289">
        <v>4962</v>
      </c>
      <c r="F445" s="177">
        <v>126973</v>
      </c>
      <c r="G445" s="289">
        <v>4971</v>
      </c>
      <c r="H445" s="177">
        <v>142036</v>
      </c>
      <c r="I445" s="289">
        <v>4928</v>
      </c>
      <c r="J445" s="177">
        <v>155443</v>
      </c>
      <c r="K445" s="289"/>
      <c r="L445" s="177"/>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customWidth="1"/>
  </cols>
  <sheetData>
    <row r="1" spans="1:14" s="85" customFormat="1">
      <c r="A1"/>
      <c r="B1" s="74" t="s">
        <v>719</v>
      </c>
    </row>
    <row r="2" spans="1:14"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row>
    <row r="3" spans="1:14"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4" s="85" customFormat="1" ht="13">
      <c r="A4" s="1">
        <v>104</v>
      </c>
      <c r="B4" s="2" t="s">
        <v>784</v>
      </c>
      <c r="C4" s="290">
        <v>31308</v>
      </c>
      <c r="D4" s="177">
        <v>654723</v>
      </c>
      <c r="E4" s="289">
        <v>31802</v>
      </c>
      <c r="F4" s="177">
        <v>706367</v>
      </c>
      <c r="G4" s="289">
        <v>32182</v>
      </c>
      <c r="H4" s="177">
        <v>780688</v>
      </c>
      <c r="I4" s="289">
        <v>32407</v>
      </c>
      <c r="J4" s="177">
        <v>804643</v>
      </c>
      <c r="K4" s="289">
        <v>32588</v>
      </c>
      <c r="L4" s="177">
        <v>850407</v>
      </c>
      <c r="M4" s="289">
        <v>32726</v>
      </c>
      <c r="N4" s="177">
        <f>+'K19'!Z4</f>
        <v>900954</v>
      </c>
    </row>
    <row r="5" spans="1:14" s="85" customFormat="1" ht="13">
      <c r="A5" s="1">
        <v>121</v>
      </c>
      <c r="B5" s="2" t="s">
        <v>790</v>
      </c>
      <c r="C5" s="290">
        <v>672</v>
      </c>
      <c r="D5" s="177">
        <v>13656</v>
      </c>
      <c r="E5" s="289">
        <v>672</v>
      </c>
      <c r="F5" s="177">
        <v>14750</v>
      </c>
      <c r="G5" s="289">
        <v>672</v>
      </c>
      <c r="H5" s="177">
        <v>20035</v>
      </c>
      <c r="I5" s="289">
        <v>685</v>
      </c>
      <c r="J5" s="177">
        <v>18554</v>
      </c>
      <c r="K5" s="289">
        <v>682</v>
      </c>
      <c r="L5" s="177">
        <v>17031</v>
      </c>
      <c r="M5" s="289">
        <v>673</v>
      </c>
      <c r="N5" s="177">
        <f>+'K19'!Z5</f>
        <v>20151</v>
      </c>
    </row>
    <row r="6" spans="1:14" s="85" customFormat="1" ht="13">
      <c r="A6" s="1">
        <v>122</v>
      </c>
      <c r="B6" s="2" t="s">
        <v>791</v>
      </c>
      <c r="C6" s="290">
        <v>5366</v>
      </c>
      <c r="D6" s="177">
        <v>106758</v>
      </c>
      <c r="E6" s="289">
        <v>5346</v>
      </c>
      <c r="F6" s="177">
        <v>114965</v>
      </c>
      <c r="G6" s="289">
        <v>5343</v>
      </c>
      <c r="H6" s="177">
        <v>125619</v>
      </c>
      <c r="I6" s="289">
        <v>5367</v>
      </c>
      <c r="J6" s="177">
        <v>132106</v>
      </c>
      <c r="K6" s="289">
        <v>5337</v>
      </c>
      <c r="L6" s="177">
        <v>136209</v>
      </c>
      <c r="M6" s="289">
        <v>5347</v>
      </c>
      <c r="N6" s="177">
        <f>+'K19'!Z6</f>
        <v>136422</v>
      </c>
    </row>
    <row r="7" spans="1:14" s="85" customFormat="1" ht="13">
      <c r="A7" s="1">
        <v>123</v>
      </c>
      <c r="B7" s="2" t="s">
        <v>792</v>
      </c>
      <c r="C7" s="290">
        <v>5620</v>
      </c>
      <c r="D7" s="177">
        <v>124611</v>
      </c>
      <c r="E7" s="289">
        <v>5692</v>
      </c>
      <c r="F7" s="177">
        <v>131932</v>
      </c>
      <c r="G7" s="289">
        <v>5736</v>
      </c>
      <c r="H7" s="177">
        <v>148475</v>
      </c>
      <c r="I7" s="289">
        <v>5765</v>
      </c>
      <c r="J7" s="177">
        <v>152464</v>
      </c>
      <c r="K7" s="289">
        <v>5853</v>
      </c>
      <c r="L7" s="177">
        <v>162032</v>
      </c>
      <c r="M7" s="289">
        <v>6042</v>
      </c>
      <c r="N7" s="177">
        <f>+'K19'!Z7</f>
        <v>175085</v>
      </c>
    </row>
    <row r="8" spans="1:14" s="85" customFormat="1" ht="13">
      <c r="A8" s="1">
        <v>124</v>
      </c>
      <c r="B8" s="2" t="s">
        <v>793</v>
      </c>
      <c r="C8" s="290">
        <v>15430</v>
      </c>
      <c r="D8" s="177">
        <v>329976</v>
      </c>
      <c r="E8" s="289">
        <v>15513</v>
      </c>
      <c r="F8" s="177">
        <v>348072</v>
      </c>
      <c r="G8" s="289">
        <v>15615</v>
      </c>
      <c r="H8" s="177">
        <v>381956</v>
      </c>
      <c r="I8" s="289">
        <v>15720</v>
      </c>
      <c r="J8" s="177">
        <v>406616</v>
      </c>
      <c r="K8" s="289">
        <v>15810</v>
      </c>
      <c r="L8" s="177">
        <v>423469</v>
      </c>
      <c r="M8" s="289">
        <v>15865</v>
      </c>
      <c r="N8" s="177">
        <f>+'K19'!Z8</f>
        <v>439426</v>
      </c>
    </row>
    <row r="9" spans="1:14" s="85" customFormat="1" ht="13">
      <c r="A9" s="1">
        <v>125</v>
      </c>
      <c r="B9" s="2" t="s">
        <v>794</v>
      </c>
      <c r="C9" s="290">
        <v>11323</v>
      </c>
      <c r="D9" s="177">
        <v>224909</v>
      </c>
      <c r="E9" s="289">
        <v>11353</v>
      </c>
      <c r="F9" s="177">
        <v>237494</v>
      </c>
      <c r="G9" s="289">
        <v>11396</v>
      </c>
      <c r="H9" s="177">
        <v>263678</v>
      </c>
      <c r="I9" s="289">
        <v>11406</v>
      </c>
      <c r="J9" s="177">
        <v>272231</v>
      </c>
      <c r="K9" s="289">
        <v>11414</v>
      </c>
      <c r="L9" s="177">
        <v>287718</v>
      </c>
      <c r="M9" s="289">
        <v>11424</v>
      </c>
      <c r="N9" s="177">
        <f>+'K19'!Z9</f>
        <v>296904</v>
      </c>
    </row>
    <row r="10" spans="1:14" s="85" customFormat="1" ht="13">
      <c r="A10" s="1">
        <v>136</v>
      </c>
      <c r="B10" s="2" t="s">
        <v>798</v>
      </c>
      <c r="C10" s="290">
        <v>15101</v>
      </c>
      <c r="D10" s="177">
        <v>333585</v>
      </c>
      <c r="E10" s="289">
        <v>15242</v>
      </c>
      <c r="F10" s="177">
        <v>364572</v>
      </c>
      <c r="G10" s="289">
        <v>15458</v>
      </c>
      <c r="H10" s="177">
        <v>407583</v>
      </c>
      <c r="I10" s="289">
        <v>15747</v>
      </c>
      <c r="J10" s="177">
        <v>432231</v>
      </c>
      <c r="K10" s="289">
        <v>16083</v>
      </c>
      <c r="L10" s="177">
        <v>467477</v>
      </c>
      <c r="M10" s="289">
        <v>16145</v>
      </c>
      <c r="N10" s="177">
        <f>+'K19'!Z10</f>
        <v>476607</v>
      </c>
    </row>
    <row r="11" spans="1:14" ht="13">
      <c r="A11" s="1">
        <v>138</v>
      </c>
      <c r="B11" s="2" t="s">
        <v>800</v>
      </c>
      <c r="C11" s="290">
        <v>5187</v>
      </c>
      <c r="D11" s="177">
        <v>107464</v>
      </c>
      <c r="E11" s="289">
        <v>5343</v>
      </c>
      <c r="F11" s="177">
        <v>119637</v>
      </c>
      <c r="G11" s="289">
        <v>5382</v>
      </c>
      <c r="H11" s="177">
        <v>134439</v>
      </c>
      <c r="I11" s="289">
        <v>5557</v>
      </c>
      <c r="J11" s="177">
        <v>138030</v>
      </c>
      <c r="K11" s="289">
        <v>5621</v>
      </c>
      <c r="L11" s="177">
        <v>146576</v>
      </c>
      <c r="M11" s="289">
        <v>5642</v>
      </c>
      <c r="N11" s="177">
        <f>+'K19'!Z11</f>
        <v>156525</v>
      </c>
    </row>
    <row r="12" spans="1:14" ht="13">
      <c r="A12" s="1">
        <v>213</v>
      </c>
      <c r="B12" s="2" t="s">
        <v>802</v>
      </c>
      <c r="C12" s="290">
        <v>29542</v>
      </c>
      <c r="D12" s="177">
        <v>770043</v>
      </c>
      <c r="E12" s="289">
        <v>29775</v>
      </c>
      <c r="F12" s="177">
        <v>808395</v>
      </c>
      <c r="G12" s="289">
        <v>30261</v>
      </c>
      <c r="H12" s="177">
        <v>898881</v>
      </c>
      <c r="I12" s="289">
        <v>30698</v>
      </c>
      <c r="J12" s="177">
        <v>958294</v>
      </c>
      <c r="K12" s="289">
        <v>30880</v>
      </c>
      <c r="L12" s="177">
        <v>999458</v>
      </c>
      <c r="M12" s="289">
        <v>30843</v>
      </c>
      <c r="N12" s="177">
        <f>+'K19'!Z12</f>
        <v>1039585</v>
      </c>
    </row>
    <row r="13" spans="1:14" ht="13">
      <c r="A13" s="1">
        <v>217</v>
      </c>
      <c r="B13" s="2" t="s">
        <v>806</v>
      </c>
      <c r="C13" s="290">
        <v>26255</v>
      </c>
      <c r="D13" s="177">
        <v>832842</v>
      </c>
      <c r="E13" s="289">
        <v>26580</v>
      </c>
      <c r="F13" s="177">
        <v>873874</v>
      </c>
      <c r="G13" s="289">
        <v>26792</v>
      </c>
      <c r="H13" s="177">
        <v>958475</v>
      </c>
      <c r="I13" s="289">
        <v>26988</v>
      </c>
      <c r="J13" s="177">
        <v>1010595</v>
      </c>
      <c r="K13" s="289">
        <v>27178</v>
      </c>
      <c r="L13" s="177">
        <v>1020926</v>
      </c>
      <c r="M13" s="289">
        <v>27394</v>
      </c>
      <c r="N13" s="177">
        <f>+'K19'!Z13</f>
        <v>1058845</v>
      </c>
    </row>
    <row r="14" spans="1:14" ht="13">
      <c r="A14" s="1">
        <v>220</v>
      </c>
      <c r="B14" s="2" t="s">
        <v>808</v>
      </c>
      <c r="C14" s="290">
        <v>58338</v>
      </c>
      <c r="D14" s="177">
        <v>2199038</v>
      </c>
      <c r="E14" s="289">
        <v>59571</v>
      </c>
      <c r="F14" s="177">
        <v>2358793</v>
      </c>
      <c r="G14" s="289">
        <v>60106</v>
      </c>
      <c r="H14" s="177">
        <v>2702018</v>
      </c>
      <c r="I14" s="289">
        <v>60781</v>
      </c>
      <c r="J14" s="177">
        <v>2777270</v>
      </c>
      <c r="K14" s="289">
        <v>60926</v>
      </c>
      <c r="L14" s="177">
        <v>2889909</v>
      </c>
      <c r="M14" s="289">
        <v>61523</v>
      </c>
      <c r="N14" s="177">
        <f>+'K19'!Z14</f>
        <v>3113350</v>
      </c>
    </row>
    <row r="15" spans="1:14" ht="13">
      <c r="A15" s="1">
        <v>221</v>
      </c>
      <c r="B15" s="2" t="s">
        <v>809</v>
      </c>
      <c r="C15" s="290">
        <v>15500</v>
      </c>
      <c r="D15" s="177">
        <v>302125</v>
      </c>
      <c r="E15" s="289">
        <v>15726</v>
      </c>
      <c r="F15" s="177">
        <v>329143</v>
      </c>
      <c r="G15" s="289">
        <v>15914</v>
      </c>
      <c r="H15" s="177">
        <v>350928</v>
      </c>
      <c r="I15" s="289">
        <v>16162</v>
      </c>
      <c r="J15" s="177">
        <v>374281</v>
      </c>
      <c r="K15" s="289">
        <v>16390</v>
      </c>
      <c r="L15" s="177">
        <v>400409</v>
      </c>
      <c r="M15" s="289">
        <v>16500</v>
      </c>
      <c r="N15" s="177">
        <f>+'K19'!Z15</f>
        <v>410305</v>
      </c>
    </row>
    <row r="16" spans="1:14" ht="13">
      <c r="A16" s="1">
        <v>226</v>
      </c>
      <c r="B16" s="2" t="s">
        <v>810</v>
      </c>
      <c r="C16" s="290">
        <v>16918</v>
      </c>
      <c r="D16" s="177">
        <v>421597</v>
      </c>
      <c r="E16" s="289">
        <v>17089</v>
      </c>
      <c r="F16" s="177">
        <v>436963</v>
      </c>
      <c r="G16" s="289">
        <v>17443</v>
      </c>
      <c r="H16" s="177">
        <v>486909</v>
      </c>
      <c r="I16" s="289">
        <v>17665</v>
      </c>
      <c r="J16" s="177">
        <v>514762</v>
      </c>
      <c r="K16" s="289">
        <v>17980</v>
      </c>
      <c r="L16" s="177">
        <v>535693</v>
      </c>
      <c r="M16" s="289">
        <v>18263</v>
      </c>
      <c r="N16" s="177">
        <f>+'K19'!Z16</f>
        <v>561660</v>
      </c>
    </row>
    <row r="17" spans="1:14" ht="13">
      <c r="A17" s="1">
        <v>227</v>
      </c>
      <c r="B17" s="2" t="s">
        <v>811</v>
      </c>
      <c r="C17" s="290">
        <v>11048</v>
      </c>
      <c r="D17" s="177">
        <v>273412</v>
      </c>
      <c r="E17" s="289">
        <v>11199</v>
      </c>
      <c r="F17" s="177">
        <v>281509</v>
      </c>
      <c r="G17" s="289">
        <v>11374</v>
      </c>
      <c r="H17" s="177">
        <v>325799</v>
      </c>
      <c r="I17" s="289">
        <v>11555</v>
      </c>
      <c r="J17" s="177">
        <v>336499</v>
      </c>
      <c r="K17" s="289">
        <v>11663</v>
      </c>
      <c r="L17" s="177">
        <v>358041</v>
      </c>
      <c r="M17" s="289">
        <v>11842</v>
      </c>
      <c r="N17" s="177">
        <f>+'K19'!Z17</f>
        <v>388463</v>
      </c>
    </row>
    <row r="18" spans="1:14" ht="13">
      <c r="A18" s="1">
        <v>231</v>
      </c>
      <c r="B18" s="2" t="s">
        <v>815</v>
      </c>
      <c r="C18" s="290">
        <v>51188</v>
      </c>
      <c r="D18" s="177">
        <v>1334508</v>
      </c>
      <c r="E18" s="289">
        <v>51725</v>
      </c>
      <c r="F18" s="177">
        <v>1392116</v>
      </c>
      <c r="G18" s="289">
        <v>52522</v>
      </c>
      <c r="H18" s="177">
        <v>1535449</v>
      </c>
      <c r="I18" s="289">
        <v>53276</v>
      </c>
      <c r="J18" s="177">
        <v>1639443</v>
      </c>
      <c r="K18" s="289">
        <v>54178</v>
      </c>
      <c r="L18" s="177">
        <v>1707289</v>
      </c>
      <c r="M18" s="289">
        <v>55652</v>
      </c>
      <c r="N18" s="177">
        <f>+'K19'!Z18</f>
        <v>1799911</v>
      </c>
    </row>
    <row r="19" spans="1:14" ht="13">
      <c r="A19" s="1">
        <v>301</v>
      </c>
      <c r="B19" s="2" t="s">
        <v>823</v>
      </c>
      <c r="C19" s="290">
        <v>634463</v>
      </c>
      <c r="D19" s="177">
        <v>20917085</v>
      </c>
      <c r="E19" s="289">
        <v>647676</v>
      </c>
      <c r="F19" s="177">
        <v>22488171</v>
      </c>
      <c r="G19" s="289">
        <v>658390</v>
      </c>
      <c r="H19" s="177">
        <v>25522086</v>
      </c>
      <c r="I19" s="289">
        <v>666759</v>
      </c>
      <c r="J19" s="177">
        <v>27402999</v>
      </c>
      <c r="K19" s="289">
        <v>673469</v>
      </c>
      <c r="L19" s="177">
        <v>28170461</v>
      </c>
      <c r="M19" s="289">
        <v>681071</v>
      </c>
      <c r="N19" s="177">
        <f>+'K19'!Z19</f>
        <v>29417306</v>
      </c>
    </row>
    <row r="20" spans="1:14" ht="13">
      <c r="A20" s="1">
        <v>602</v>
      </c>
      <c r="B20" s="2" t="s">
        <v>871</v>
      </c>
      <c r="C20" s="290">
        <v>66214</v>
      </c>
      <c r="D20" s="177">
        <v>1613484</v>
      </c>
      <c r="E20" s="289">
        <v>67016</v>
      </c>
      <c r="F20" s="177">
        <v>1706967</v>
      </c>
      <c r="G20" s="289">
        <v>67895</v>
      </c>
      <c r="H20" s="177">
        <v>1893427</v>
      </c>
      <c r="I20" s="289">
        <v>68363</v>
      </c>
      <c r="J20" s="177">
        <v>2001966</v>
      </c>
      <c r="K20" s="289">
        <v>68713</v>
      </c>
      <c r="L20" s="177">
        <v>2041109</v>
      </c>
      <c r="M20" s="289">
        <v>68933</v>
      </c>
      <c r="N20" s="177">
        <f>+'K19'!Z20</f>
        <v>2125721</v>
      </c>
    </row>
    <row r="21" spans="1:14" ht="13">
      <c r="A21" s="1">
        <v>625</v>
      </c>
      <c r="B21" s="2" t="s">
        <v>885</v>
      </c>
      <c r="C21" s="290">
        <v>23811</v>
      </c>
      <c r="D21" s="177">
        <v>493252</v>
      </c>
      <c r="E21" s="289">
        <v>24154</v>
      </c>
      <c r="F21" s="177">
        <v>541773</v>
      </c>
      <c r="G21" s="289">
        <v>24431</v>
      </c>
      <c r="H21" s="177">
        <v>584271</v>
      </c>
      <c r="I21" s="289">
        <v>24718</v>
      </c>
      <c r="J21" s="177">
        <v>609858</v>
      </c>
      <c r="K21" s="289">
        <v>24917</v>
      </c>
      <c r="L21" s="177">
        <v>633764</v>
      </c>
      <c r="M21" s="289">
        <v>24963</v>
      </c>
      <c r="N21" s="177">
        <f>+'K19'!Z21</f>
        <v>664991</v>
      </c>
    </row>
    <row r="22" spans="1:14" ht="13">
      <c r="A22" s="1">
        <v>627</v>
      </c>
      <c r="B22" s="2" t="s">
        <v>887</v>
      </c>
      <c r="C22" s="290">
        <v>20621</v>
      </c>
      <c r="D22" s="177">
        <v>528310</v>
      </c>
      <c r="E22" s="289">
        <v>21038</v>
      </c>
      <c r="F22" s="177">
        <v>562478</v>
      </c>
      <c r="G22" s="289">
        <v>21492</v>
      </c>
      <c r="H22" s="177">
        <v>620312</v>
      </c>
      <c r="I22" s="289">
        <v>21931</v>
      </c>
      <c r="J22" s="177">
        <v>663245</v>
      </c>
      <c r="K22" s="289">
        <v>22452</v>
      </c>
      <c r="L22" s="177">
        <v>699523</v>
      </c>
      <c r="M22" s="289">
        <v>22635</v>
      </c>
      <c r="N22" s="177">
        <f>+'K19'!Z22</f>
        <v>711117</v>
      </c>
    </row>
    <row r="23" spans="1:14" ht="13">
      <c r="A23" s="1">
        <v>628</v>
      </c>
      <c r="B23" s="2" t="s">
        <v>888</v>
      </c>
      <c r="C23" s="290">
        <v>9330</v>
      </c>
      <c r="D23" s="177">
        <v>220706</v>
      </c>
      <c r="E23" s="289">
        <v>9365</v>
      </c>
      <c r="F23" s="177">
        <v>225635</v>
      </c>
      <c r="G23" s="289">
        <v>9413</v>
      </c>
      <c r="H23" s="177">
        <v>242693</v>
      </c>
      <c r="I23" s="289">
        <v>9462</v>
      </c>
      <c r="J23" s="177">
        <v>254706</v>
      </c>
      <c r="K23" s="289">
        <v>9450</v>
      </c>
      <c r="L23" s="177">
        <v>260549</v>
      </c>
      <c r="M23" s="289">
        <v>9521</v>
      </c>
      <c r="N23" s="177">
        <f>+'K19'!Z23</f>
        <v>269702</v>
      </c>
    </row>
    <row r="24" spans="1:14" ht="13">
      <c r="A24" s="755">
        <v>704</v>
      </c>
      <c r="B24" s="756" t="s">
        <v>893</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c r="M24" s="289">
        <v>45976</v>
      </c>
      <c r="N24" s="177">
        <f>+'K19'!Z24</f>
        <v>1430688</v>
      </c>
    </row>
    <row r="25" spans="1:14" ht="13">
      <c r="A25" s="1">
        <v>711</v>
      </c>
      <c r="B25" s="2" t="s">
        <v>896</v>
      </c>
      <c r="C25" s="290">
        <v>6580</v>
      </c>
      <c r="D25" s="177">
        <v>138705</v>
      </c>
      <c r="E25" s="289">
        <v>6601</v>
      </c>
      <c r="F25" s="177">
        <v>146397</v>
      </c>
      <c r="G25" s="289">
        <v>6604</v>
      </c>
      <c r="H25" s="177">
        <v>160212</v>
      </c>
      <c r="I25" s="289">
        <v>6653</v>
      </c>
      <c r="J25" s="177">
        <v>164536</v>
      </c>
      <c r="K25" s="289">
        <v>6672</v>
      </c>
      <c r="L25" s="177">
        <v>172141</v>
      </c>
      <c r="M25" s="289">
        <v>6685</v>
      </c>
      <c r="N25" s="177">
        <f>+'K19'!Z25</f>
        <v>178213</v>
      </c>
    </row>
    <row r="26" spans="1:14" ht="13">
      <c r="A26" s="1">
        <v>713</v>
      </c>
      <c r="B26" s="2" t="s">
        <v>897</v>
      </c>
      <c r="C26" s="290">
        <v>9036</v>
      </c>
      <c r="D26" s="177">
        <v>200826</v>
      </c>
      <c r="E26" s="289">
        <v>9149</v>
      </c>
      <c r="F26" s="177">
        <v>216349</v>
      </c>
      <c r="G26" s="289">
        <v>9297</v>
      </c>
      <c r="H26" s="177">
        <v>247645</v>
      </c>
      <c r="I26" s="289">
        <v>9496</v>
      </c>
      <c r="J26" s="177">
        <v>261519</v>
      </c>
      <c r="K26" s="289">
        <v>9726</v>
      </c>
      <c r="L26" s="177">
        <v>270984</v>
      </c>
      <c r="M26" s="289">
        <v>9904</v>
      </c>
      <c r="N26" s="177">
        <f>+'K19'!Z26</f>
        <v>287853</v>
      </c>
    </row>
    <row r="27" spans="1:14" ht="13">
      <c r="A27" s="1">
        <v>715</v>
      </c>
      <c r="B27" s="2" t="s">
        <v>1238</v>
      </c>
      <c r="C27" s="290">
        <f>+$C$438+$C$439</f>
        <v>13547</v>
      </c>
      <c r="D27" s="177">
        <f t="shared" ref="D27:J27" si="0">+D$438+D$439</f>
        <v>290261</v>
      </c>
      <c r="E27" s="289">
        <f t="shared" si="0"/>
        <v>13775</v>
      </c>
      <c r="F27" s="177">
        <f t="shared" si="0"/>
        <v>310437</v>
      </c>
      <c r="G27" s="289">
        <f t="shared" si="0"/>
        <v>13904</v>
      </c>
      <c r="H27" s="177">
        <f t="shared" si="0"/>
        <v>338691</v>
      </c>
      <c r="I27" s="289">
        <f t="shared" si="0"/>
        <v>14037</v>
      </c>
      <c r="J27" s="177">
        <f t="shared" si="0"/>
        <v>359370</v>
      </c>
      <c r="K27" s="289">
        <v>14212</v>
      </c>
      <c r="L27" s="177">
        <v>378353</v>
      </c>
      <c r="M27" s="289">
        <v>14371</v>
      </c>
      <c r="N27" s="177">
        <f>+'K19'!Z27</f>
        <v>384230</v>
      </c>
    </row>
    <row r="28" spans="1:14" ht="13">
      <c r="A28" s="1">
        <v>716</v>
      </c>
      <c r="B28" s="4" t="s">
        <v>350</v>
      </c>
      <c r="C28" s="290">
        <v>9144</v>
      </c>
      <c r="D28" s="177">
        <v>192735</v>
      </c>
      <c r="E28" s="289">
        <v>9253</v>
      </c>
      <c r="F28" s="177">
        <v>209397</v>
      </c>
      <c r="G28" s="289">
        <v>9361</v>
      </c>
      <c r="H28" s="177">
        <v>228469</v>
      </c>
      <c r="I28" s="289">
        <v>9486</v>
      </c>
      <c r="J28" s="177">
        <v>246644</v>
      </c>
      <c r="K28" s="289">
        <v>9621</v>
      </c>
      <c r="L28" s="177">
        <v>249774</v>
      </c>
      <c r="M28" s="289">
        <v>9730</v>
      </c>
      <c r="N28" s="177">
        <f>+'K19'!Z28</f>
        <v>254091</v>
      </c>
    </row>
    <row r="29" spans="1:14" ht="13">
      <c r="A29" s="1">
        <v>821</v>
      </c>
      <c r="B29" s="2" t="s">
        <v>913</v>
      </c>
      <c r="C29" s="290">
        <v>5834</v>
      </c>
      <c r="D29" s="177">
        <v>112609</v>
      </c>
      <c r="E29" s="289">
        <v>5977</v>
      </c>
      <c r="F29" s="177">
        <v>120811</v>
      </c>
      <c r="G29" s="289">
        <v>6101</v>
      </c>
      <c r="H29" s="177">
        <v>132504</v>
      </c>
      <c r="I29" s="289">
        <v>6262</v>
      </c>
      <c r="J29" s="177">
        <v>141296</v>
      </c>
      <c r="K29" s="289">
        <v>6460</v>
      </c>
      <c r="L29" s="177">
        <v>151699</v>
      </c>
      <c r="M29" s="289">
        <v>6630</v>
      </c>
      <c r="N29" s="177">
        <f>+'K19'!Z29</f>
        <v>157438</v>
      </c>
    </row>
    <row r="30" spans="1:14" ht="13">
      <c r="A30" s="1">
        <v>822</v>
      </c>
      <c r="B30" s="2" t="s">
        <v>914</v>
      </c>
      <c r="C30" s="290">
        <v>4325</v>
      </c>
      <c r="D30" s="177">
        <v>86308</v>
      </c>
      <c r="E30" s="289">
        <v>4346</v>
      </c>
      <c r="F30" s="177">
        <v>90745</v>
      </c>
      <c r="G30" s="289">
        <v>4338</v>
      </c>
      <c r="H30" s="177">
        <v>96485</v>
      </c>
      <c r="I30" s="289">
        <v>4303</v>
      </c>
      <c r="J30" s="177">
        <v>103179</v>
      </c>
      <c r="K30" s="289">
        <v>4359</v>
      </c>
      <c r="L30" s="177">
        <v>106413</v>
      </c>
      <c r="M30" s="289">
        <v>4293</v>
      </c>
      <c r="N30" s="177">
        <f>+'K19'!Z30</f>
        <v>108230</v>
      </c>
    </row>
    <row r="31" spans="1:14" ht="13">
      <c r="A31" s="1">
        <v>1001</v>
      </c>
      <c r="B31" s="2" t="s">
        <v>942</v>
      </c>
      <c r="C31" s="290">
        <v>85983</v>
      </c>
      <c r="D31" s="177">
        <v>2050436</v>
      </c>
      <c r="E31" s="289">
        <v>87446</v>
      </c>
      <c r="F31" s="177">
        <v>2163880</v>
      </c>
      <c r="G31" s="289">
        <v>88447</v>
      </c>
      <c r="H31" s="177">
        <v>2332419</v>
      </c>
      <c r="I31" s="289">
        <v>89268</v>
      </c>
      <c r="J31" s="177">
        <v>2385821</v>
      </c>
      <c r="K31" s="289">
        <v>91440</v>
      </c>
      <c r="L31" s="177">
        <v>2526244</v>
      </c>
      <c r="M31" s="289">
        <v>92282</v>
      </c>
      <c r="N31" s="177">
        <f>+'K19'!Z31</f>
        <v>2593992</v>
      </c>
    </row>
    <row r="32" spans="1:14" ht="13">
      <c r="A32" s="1">
        <v>1002</v>
      </c>
      <c r="B32" s="2" t="s">
        <v>943</v>
      </c>
      <c r="C32" s="290">
        <v>15349</v>
      </c>
      <c r="D32" s="177">
        <v>313328</v>
      </c>
      <c r="E32" s="289">
        <v>15437</v>
      </c>
      <c r="F32" s="177">
        <v>334306</v>
      </c>
      <c r="G32" s="289">
        <v>15529</v>
      </c>
      <c r="H32" s="177">
        <v>365513</v>
      </c>
      <c r="I32" s="289">
        <v>15600</v>
      </c>
      <c r="J32" s="177">
        <v>384424</v>
      </c>
      <c r="K32" s="289">
        <v>15659</v>
      </c>
      <c r="L32" s="177">
        <v>398288</v>
      </c>
      <c r="M32" s="289">
        <v>15659</v>
      </c>
      <c r="N32" s="177">
        <f>+'K19'!Z32</f>
        <v>413427</v>
      </c>
    </row>
    <row r="33" spans="1:14" ht="13">
      <c r="A33" s="1">
        <v>1017</v>
      </c>
      <c r="B33" s="2" t="s">
        <v>948</v>
      </c>
      <c r="C33" s="290">
        <v>6303</v>
      </c>
      <c r="D33" s="177">
        <v>112742</v>
      </c>
      <c r="E33" s="289">
        <v>6354</v>
      </c>
      <c r="F33" s="177">
        <v>118509</v>
      </c>
      <c r="G33" s="289">
        <v>6419</v>
      </c>
      <c r="H33" s="177">
        <v>131403</v>
      </c>
      <c r="I33" s="289">
        <v>6568</v>
      </c>
      <c r="J33" s="177">
        <v>133870</v>
      </c>
      <c r="K33" s="289">
        <v>6656</v>
      </c>
      <c r="L33" s="177">
        <v>137623</v>
      </c>
      <c r="M33" s="289">
        <v>6706</v>
      </c>
      <c r="N33" s="177">
        <f>+'K19'!Z33</f>
        <v>146015</v>
      </c>
    </row>
    <row r="34" spans="1:14" ht="13">
      <c r="A34" s="1">
        <v>1018</v>
      </c>
      <c r="B34" s="2" t="s">
        <v>949</v>
      </c>
      <c r="C34" s="290">
        <v>11005</v>
      </c>
      <c r="D34" s="177">
        <v>241993</v>
      </c>
      <c r="E34" s="289">
        <v>11217</v>
      </c>
      <c r="F34" s="177">
        <v>258365</v>
      </c>
      <c r="G34" s="289">
        <v>11260</v>
      </c>
      <c r="H34" s="177">
        <v>281709</v>
      </c>
      <c r="I34" s="289">
        <v>11321</v>
      </c>
      <c r="J34" s="177">
        <v>282473</v>
      </c>
      <c r="K34" s="289">
        <v>11342</v>
      </c>
      <c r="L34" s="177">
        <v>304309</v>
      </c>
      <c r="M34" s="289">
        <v>11403</v>
      </c>
      <c r="N34" s="177">
        <f>+'K19'!Z34</f>
        <v>311780</v>
      </c>
    </row>
    <row r="35" spans="1:14" ht="13">
      <c r="A35" s="1">
        <v>1021</v>
      </c>
      <c r="B35" s="2" t="s">
        <v>950</v>
      </c>
      <c r="C35" s="290">
        <v>2290</v>
      </c>
      <c r="D35" s="177">
        <v>43815</v>
      </c>
      <c r="E35" s="289">
        <v>2294</v>
      </c>
      <c r="F35" s="177">
        <v>45348</v>
      </c>
      <c r="G35" s="289">
        <v>2290</v>
      </c>
      <c r="H35" s="177">
        <v>49083</v>
      </c>
      <c r="I35" s="289">
        <v>2309</v>
      </c>
      <c r="J35" s="177">
        <v>51262</v>
      </c>
      <c r="K35" s="289">
        <v>2308</v>
      </c>
      <c r="L35" s="177">
        <v>54166</v>
      </c>
      <c r="M35" s="289">
        <v>2297</v>
      </c>
      <c r="N35" s="177">
        <f>+'K19'!Z35</f>
        <v>60047</v>
      </c>
    </row>
    <row r="36" spans="1:14" ht="13">
      <c r="A36" s="1">
        <v>1027</v>
      </c>
      <c r="B36" s="2" t="s">
        <v>952</v>
      </c>
      <c r="C36" s="290">
        <v>1743</v>
      </c>
      <c r="D36" s="177">
        <v>33183</v>
      </c>
      <c r="E36" s="289">
        <v>1750</v>
      </c>
      <c r="F36" s="177">
        <v>34621</v>
      </c>
      <c r="G36" s="289">
        <v>1750</v>
      </c>
      <c r="H36" s="177">
        <v>36874</v>
      </c>
      <c r="I36" s="289">
        <v>1765</v>
      </c>
      <c r="J36" s="177">
        <v>38548</v>
      </c>
      <c r="K36" s="289">
        <v>1786</v>
      </c>
      <c r="L36" s="177">
        <v>40485</v>
      </c>
      <c r="M36" s="289">
        <v>1780</v>
      </c>
      <c r="N36" s="177">
        <f>+'K19'!Z36</f>
        <v>42130</v>
      </c>
    </row>
    <row r="37" spans="1:14" ht="13">
      <c r="A37" s="1">
        <v>1029</v>
      </c>
      <c r="B37" s="2" t="s">
        <v>953</v>
      </c>
      <c r="C37" s="290">
        <v>4853</v>
      </c>
      <c r="D37" s="177">
        <v>89908</v>
      </c>
      <c r="E37" s="289">
        <v>4880</v>
      </c>
      <c r="F37" s="177">
        <v>101144</v>
      </c>
      <c r="G37" s="289">
        <v>4943</v>
      </c>
      <c r="H37" s="177">
        <v>111945</v>
      </c>
      <c r="I37" s="289">
        <v>4950</v>
      </c>
      <c r="J37" s="177">
        <v>116255</v>
      </c>
      <c r="K37" s="289">
        <v>4938</v>
      </c>
      <c r="L37" s="177">
        <v>113860</v>
      </c>
      <c r="M37" s="289">
        <v>4953</v>
      </c>
      <c r="N37" s="177">
        <f>+'K19'!Z37</f>
        <v>122123</v>
      </c>
    </row>
    <row r="38" spans="1:14" ht="13">
      <c r="A38" s="1">
        <v>1032</v>
      </c>
      <c r="B38" s="2" t="s">
        <v>954</v>
      </c>
      <c r="C38" s="290">
        <v>8102</v>
      </c>
      <c r="D38" s="177">
        <v>157009</v>
      </c>
      <c r="E38" s="289">
        <v>8335</v>
      </c>
      <c r="F38" s="177">
        <v>164864</v>
      </c>
      <c r="G38" s="289">
        <v>8497</v>
      </c>
      <c r="H38" s="177">
        <v>180492</v>
      </c>
      <c r="I38" s="289">
        <v>8588</v>
      </c>
      <c r="J38" s="177">
        <v>190773</v>
      </c>
      <c r="K38" s="289">
        <v>8571</v>
      </c>
      <c r="L38" s="177">
        <v>195683</v>
      </c>
      <c r="M38" s="289">
        <v>8609</v>
      </c>
      <c r="N38" s="177">
        <f>+'K19'!Z38</f>
        <v>200153</v>
      </c>
    </row>
    <row r="39" spans="1:14" ht="13">
      <c r="A39" s="1">
        <v>1101</v>
      </c>
      <c r="B39" s="2" t="s">
        <v>958</v>
      </c>
      <c r="C39" s="290">
        <v>14811</v>
      </c>
      <c r="D39" s="177">
        <v>406927</v>
      </c>
      <c r="E39" s="289">
        <v>14916</v>
      </c>
      <c r="F39" s="177">
        <v>402775</v>
      </c>
      <c r="G39" s="289">
        <v>14942</v>
      </c>
      <c r="H39" s="177">
        <v>418367</v>
      </c>
      <c r="I39" s="289">
        <v>14899</v>
      </c>
      <c r="J39" s="177">
        <v>420764</v>
      </c>
      <c r="K39" s="289">
        <v>14898</v>
      </c>
      <c r="L39" s="177">
        <v>421333</v>
      </c>
      <c r="M39" s="289">
        <v>14830</v>
      </c>
      <c r="N39" s="177">
        <f>+'K19'!Z39</f>
        <v>455451</v>
      </c>
    </row>
    <row r="40" spans="1:14" ht="13">
      <c r="A40" s="1">
        <v>1102</v>
      </c>
      <c r="B40" s="2" t="s">
        <v>959</v>
      </c>
      <c r="C40" s="290">
        <v>71900</v>
      </c>
      <c r="D40" s="177">
        <v>2112127</v>
      </c>
      <c r="E40" s="289">
        <v>73624</v>
      </c>
      <c r="F40" s="177">
        <v>2173483</v>
      </c>
      <c r="G40" s="289">
        <v>74820</v>
      </c>
      <c r="H40" s="177">
        <v>2268290</v>
      </c>
      <c r="I40" s="289">
        <v>75497</v>
      </c>
      <c r="J40" s="177">
        <v>2267326</v>
      </c>
      <c r="K40" s="289">
        <v>76328</v>
      </c>
      <c r="L40" s="177">
        <v>2335661</v>
      </c>
      <c r="M40" s="289">
        <v>77246</v>
      </c>
      <c r="N40" s="177">
        <f>+'K19'!Z40</f>
        <v>2431286</v>
      </c>
    </row>
    <row r="41" spans="1:14" ht="13">
      <c r="A41" s="1">
        <v>1103</v>
      </c>
      <c r="B41" s="2" t="s">
        <v>960</v>
      </c>
      <c r="C41" s="290">
        <v>130754</v>
      </c>
      <c r="D41" s="177">
        <v>4775553</v>
      </c>
      <c r="E41" s="289">
        <v>132102</v>
      </c>
      <c r="F41" s="177">
        <v>4930488</v>
      </c>
      <c r="G41" s="289">
        <v>132644</v>
      </c>
      <c r="H41" s="177">
        <v>5058581</v>
      </c>
      <c r="I41" s="289">
        <v>132729</v>
      </c>
      <c r="J41" s="177">
        <v>4887726</v>
      </c>
      <c r="K41" s="289">
        <v>133140</v>
      </c>
      <c r="L41" s="177">
        <v>4944822</v>
      </c>
      <c r="M41" s="289">
        <v>134037</v>
      </c>
      <c r="N41" s="177">
        <f>+'K19'!Z41</f>
        <v>5317364</v>
      </c>
    </row>
    <row r="42" spans="1:14" ht="13">
      <c r="A42" s="1">
        <v>1106</v>
      </c>
      <c r="B42" s="2" t="s">
        <v>961</v>
      </c>
      <c r="C42" s="290">
        <v>36099</v>
      </c>
      <c r="D42" s="177">
        <v>907569</v>
      </c>
      <c r="E42" s="289">
        <v>36538</v>
      </c>
      <c r="F42" s="177">
        <v>944562</v>
      </c>
      <c r="G42" s="289">
        <v>36951</v>
      </c>
      <c r="H42" s="177">
        <v>980578</v>
      </c>
      <c r="I42" s="289">
        <v>37166</v>
      </c>
      <c r="J42" s="177">
        <v>1015625</v>
      </c>
      <c r="K42" s="289">
        <v>37167</v>
      </c>
      <c r="L42" s="177">
        <v>1084225</v>
      </c>
      <c r="M42" s="289">
        <v>37250</v>
      </c>
      <c r="N42" s="177">
        <f>+'K19'!Z42</f>
        <v>1152023</v>
      </c>
    </row>
    <row r="43" spans="1:14" ht="13">
      <c r="A43" s="1">
        <v>1111</v>
      </c>
      <c r="B43" s="2" t="s">
        <v>962</v>
      </c>
      <c r="C43" s="290">
        <v>3303</v>
      </c>
      <c r="D43" s="177">
        <v>74638</v>
      </c>
      <c r="E43" s="289">
        <v>3309</v>
      </c>
      <c r="F43" s="177">
        <v>77414</v>
      </c>
      <c r="G43" s="289">
        <v>3313</v>
      </c>
      <c r="H43" s="177">
        <v>81397</v>
      </c>
      <c r="I43" s="289">
        <v>3316</v>
      </c>
      <c r="J43" s="177">
        <v>81393</v>
      </c>
      <c r="K43" s="289">
        <v>3331</v>
      </c>
      <c r="L43" s="177">
        <v>84326</v>
      </c>
      <c r="M43" s="289">
        <v>3305</v>
      </c>
      <c r="N43" s="177">
        <f>+'K19'!Z43</f>
        <v>85248</v>
      </c>
    </row>
    <row r="44" spans="1:14" ht="13">
      <c r="A44" s="1">
        <v>1112</v>
      </c>
      <c r="B44" s="2" t="s">
        <v>963</v>
      </c>
      <c r="C44" s="290">
        <v>3225</v>
      </c>
      <c r="D44" s="177">
        <v>66675</v>
      </c>
      <c r="E44" s="289">
        <v>3247</v>
      </c>
      <c r="F44" s="177">
        <v>68275</v>
      </c>
      <c r="G44" s="289">
        <v>3243</v>
      </c>
      <c r="H44" s="177">
        <v>71529</v>
      </c>
      <c r="I44" s="289">
        <v>3259</v>
      </c>
      <c r="J44" s="177">
        <v>79675</v>
      </c>
      <c r="K44" s="289">
        <v>3237</v>
      </c>
      <c r="L44" s="177">
        <v>78836</v>
      </c>
      <c r="M44" s="289">
        <v>3213</v>
      </c>
      <c r="N44" s="177">
        <f>+'K19'!Z44</f>
        <v>82728</v>
      </c>
    </row>
    <row r="45" spans="1:14" ht="13">
      <c r="A45" s="1">
        <v>1114</v>
      </c>
      <c r="B45" s="2" t="s">
        <v>0</v>
      </c>
      <c r="C45" s="290">
        <v>2820</v>
      </c>
      <c r="D45" s="177">
        <v>64270</v>
      </c>
      <c r="E45" s="289">
        <v>2861</v>
      </c>
      <c r="F45" s="177">
        <v>66516</v>
      </c>
      <c r="G45" s="289">
        <v>2825</v>
      </c>
      <c r="H45" s="177">
        <v>73550</v>
      </c>
      <c r="I45" s="289">
        <v>2826</v>
      </c>
      <c r="J45" s="177">
        <v>76011</v>
      </c>
      <c r="K45" s="289">
        <v>2826</v>
      </c>
      <c r="L45" s="177">
        <v>71889</v>
      </c>
      <c r="M45" s="289">
        <v>2807</v>
      </c>
      <c r="N45" s="177">
        <f>+'K19'!Z45</f>
        <v>73711</v>
      </c>
    </row>
    <row r="46" spans="1:14" ht="13">
      <c r="A46" s="1">
        <v>1119</v>
      </c>
      <c r="B46" s="2" t="s">
        <v>1</v>
      </c>
      <c r="C46" s="290">
        <v>18115</v>
      </c>
      <c r="D46" s="177">
        <v>424970</v>
      </c>
      <c r="E46" s="289">
        <v>18528</v>
      </c>
      <c r="F46" s="177">
        <v>436779</v>
      </c>
      <c r="G46" s="289">
        <v>18591</v>
      </c>
      <c r="H46" s="177">
        <v>467975</v>
      </c>
      <c r="I46" s="289">
        <v>18800</v>
      </c>
      <c r="J46" s="177">
        <v>470013</v>
      </c>
      <c r="K46" s="289">
        <v>18762</v>
      </c>
      <c r="L46" s="177">
        <v>474998</v>
      </c>
      <c r="M46" s="289">
        <v>18814</v>
      </c>
      <c r="N46" s="177">
        <f>+'K19'!Z46</f>
        <v>500305</v>
      </c>
    </row>
    <row r="47" spans="1:14" ht="13">
      <c r="A47" s="1">
        <v>1120</v>
      </c>
      <c r="B47" s="2" t="s">
        <v>2</v>
      </c>
      <c r="C47" s="290">
        <v>18485</v>
      </c>
      <c r="D47" s="177">
        <v>490669</v>
      </c>
      <c r="E47" s="289">
        <v>18741</v>
      </c>
      <c r="F47" s="177">
        <v>496786</v>
      </c>
      <c r="G47" s="289">
        <v>18970</v>
      </c>
      <c r="H47" s="177">
        <v>534018</v>
      </c>
      <c r="I47" s="289">
        <v>19042</v>
      </c>
      <c r="J47" s="177">
        <v>526351</v>
      </c>
      <c r="K47" s="289">
        <v>19217</v>
      </c>
      <c r="L47" s="177">
        <v>545564</v>
      </c>
      <c r="M47" s="289">
        <v>19354</v>
      </c>
      <c r="N47" s="177">
        <f>+'K19'!Z47</f>
        <v>568602</v>
      </c>
    </row>
    <row r="48" spans="1:14" ht="13">
      <c r="A48" s="1">
        <v>1121</v>
      </c>
      <c r="B48" s="2" t="s">
        <v>3</v>
      </c>
      <c r="C48" s="290">
        <v>17897</v>
      </c>
      <c r="D48" s="177">
        <v>477840</v>
      </c>
      <c r="E48" s="289">
        <v>18306</v>
      </c>
      <c r="F48" s="177">
        <v>493393</v>
      </c>
      <c r="G48" s="289">
        <v>18572</v>
      </c>
      <c r="H48" s="177">
        <v>534004</v>
      </c>
      <c r="I48" s="289">
        <v>18656</v>
      </c>
      <c r="J48" s="177">
        <v>529636</v>
      </c>
      <c r="K48" s="289">
        <v>18699</v>
      </c>
      <c r="L48" s="177">
        <v>540548</v>
      </c>
      <c r="M48" s="289">
        <v>18795</v>
      </c>
      <c r="N48" s="177">
        <f>+'K19'!Z48</f>
        <v>561432</v>
      </c>
    </row>
    <row r="49" spans="1:14" ht="13">
      <c r="A49" s="1">
        <v>1122</v>
      </c>
      <c r="B49" s="2" t="s">
        <v>4</v>
      </c>
      <c r="C49" s="290">
        <v>11317</v>
      </c>
      <c r="D49" s="177">
        <v>281779</v>
      </c>
      <c r="E49" s="289">
        <v>11600</v>
      </c>
      <c r="F49" s="177">
        <v>293175</v>
      </c>
      <c r="G49" s="289">
        <v>11853</v>
      </c>
      <c r="H49" s="177">
        <v>310148</v>
      </c>
      <c r="I49" s="289">
        <v>11902</v>
      </c>
      <c r="J49" s="177">
        <v>305892</v>
      </c>
      <c r="K49" s="289">
        <v>11866</v>
      </c>
      <c r="L49" s="177">
        <v>315579</v>
      </c>
      <c r="M49" s="289">
        <v>11899</v>
      </c>
      <c r="N49" s="177">
        <f>+'K19'!Z49</f>
        <v>328082</v>
      </c>
    </row>
    <row r="50" spans="1:14" ht="13">
      <c r="A50" s="1">
        <v>1124</v>
      </c>
      <c r="B50" s="2" t="s">
        <v>5</v>
      </c>
      <c r="C50" s="290">
        <v>25083</v>
      </c>
      <c r="D50" s="177">
        <v>894740</v>
      </c>
      <c r="E50" s="289">
        <v>25708</v>
      </c>
      <c r="F50" s="177">
        <v>961647</v>
      </c>
      <c r="G50" s="289">
        <v>26096</v>
      </c>
      <c r="H50" s="177">
        <v>986777</v>
      </c>
      <c r="I50" s="289">
        <v>26016</v>
      </c>
      <c r="J50" s="177">
        <v>945204</v>
      </c>
      <c r="K50" s="289">
        <v>26265</v>
      </c>
      <c r="L50" s="177">
        <v>971476</v>
      </c>
      <c r="M50" s="289">
        <v>26582</v>
      </c>
      <c r="N50" s="177">
        <f>+'K19'!Z50</f>
        <v>1049894</v>
      </c>
    </row>
    <row r="51" spans="1:14" ht="13">
      <c r="A51" s="1">
        <v>1127</v>
      </c>
      <c r="B51" s="2" t="s">
        <v>6</v>
      </c>
      <c r="C51" s="290">
        <v>10416</v>
      </c>
      <c r="D51" s="177">
        <v>337979</v>
      </c>
      <c r="E51" s="289">
        <v>10556</v>
      </c>
      <c r="F51" s="177">
        <v>344173</v>
      </c>
      <c r="G51" s="289">
        <v>10737</v>
      </c>
      <c r="H51" s="177">
        <v>354504</v>
      </c>
      <c r="I51" s="289">
        <v>10873</v>
      </c>
      <c r="J51" s="177">
        <v>341416</v>
      </c>
      <c r="K51" s="289">
        <v>10972</v>
      </c>
      <c r="L51" s="177">
        <v>354189</v>
      </c>
      <c r="M51" s="289">
        <v>11053</v>
      </c>
      <c r="N51" s="177">
        <f>+'K19'!Z51</f>
        <v>377149</v>
      </c>
    </row>
    <row r="52" spans="1:14" ht="13">
      <c r="A52" s="1">
        <v>1129</v>
      </c>
      <c r="B52" s="2" t="s">
        <v>7</v>
      </c>
      <c r="C52" s="290">
        <v>1242</v>
      </c>
      <c r="D52" s="177">
        <v>46467</v>
      </c>
      <c r="E52" s="289">
        <v>1208</v>
      </c>
      <c r="F52" s="177">
        <v>47786</v>
      </c>
      <c r="G52" s="289">
        <v>1238</v>
      </c>
      <c r="H52" s="177">
        <v>53109</v>
      </c>
      <c r="I52" s="289">
        <v>1245</v>
      </c>
      <c r="J52" s="177">
        <v>53784</v>
      </c>
      <c r="K52" s="289">
        <v>1246</v>
      </c>
      <c r="L52" s="177">
        <v>49511</v>
      </c>
      <c r="M52" s="289">
        <v>1193</v>
      </c>
      <c r="N52" s="177">
        <f>+'K19'!Z52</f>
        <v>51579</v>
      </c>
    </row>
    <row r="53" spans="1:14" ht="13">
      <c r="A53" s="1">
        <v>1130</v>
      </c>
      <c r="B53" s="2" t="s">
        <v>12</v>
      </c>
      <c r="C53" s="290">
        <v>12139</v>
      </c>
      <c r="D53" s="177">
        <v>294187</v>
      </c>
      <c r="E53" s="289">
        <v>12395</v>
      </c>
      <c r="F53" s="177">
        <v>299207</v>
      </c>
      <c r="G53" s="289">
        <v>12464</v>
      </c>
      <c r="H53" s="177">
        <v>327171</v>
      </c>
      <c r="I53" s="289">
        <v>12662</v>
      </c>
      <c r="J53" s="177">
        <v>333009</v>
      </c>
      <c r="K53" s="289">
        <v>12638</v>
      </c>
      <c r="L53" s="177">
        <v>341974</v>
      </c>
      <c r="M53" s="289">
        <v>12720</v>
      </c>
      <c r="N53" s="177">
        <f>+'K19'!Z53</f>
        <v>359232</v>
      </c>
    </row>
    <row r="54" spans="1:14" ht="13">
      <c r="A54" s="1">
        <v>1133</v>
      </c>
      <c r="B54" s="2" t="s">
        <v>13</v>
      </c>
      <c r="C54" s="290">
        <v>2787</v>
      </c>
      <c r="D54" s="177">
        <v>86465</v>
      </c>
      <c r="E54" s="289">
        <v>2785</v>
      </c>
      <c r="F54" s="177">
        <v>91575</v>
      </c>
      <c r="G54" s="289">
        <v>2737</v>
      </c>
      <c r="H54" s="177">
        <v>94420</v>
      </c>
      <c r="I54" s="289">
        <v>2708</v>
      </c>
      <c r="J54" s="177">
        <v>95073</v>
      </c>
      <c r="K54" s="289">
        <v>2723</v>
      </c>
      <c r="L54" s="177">
        <v>94750</v>
      </c>
      <c r="M54" s="289">
        <v>2684</v>
      </c>
      <c r="N54" s="177">
        <f>+'K19'!Z54</f>
        <v>95706</v>
      </c>
    </row>
    <row r="55" spans="1:14" ht="13">
      <c r="A55" s="1">
        <v>1134</v>
      </c>
      <c r="B55" s="2" t="s">
        <v>14</v>
      </c>
      <c r="C55" s="290">
        <v>3881</v>
      </c>
      <c r="D55" s="177">
        <v>128925</v>
      </c>
      <c r="E55" s="289">
        <v>3892</v>
      </c>
      <c r="F55" s="177">
        <v>135306</v>
      </c>
      <c r="G55" s="289">
        <v>3903</v>
      </c>
      <c r="H55" s="177">
        <v>141024</v>
      </c>
      <c r="I55" s="289">
        <v>3853</v>
      </c>
      <c r="J55" s="177">
        <v>145448</v>
      </c>
      <c r="K55" s="289">
        <v>3849</v>
      </c>
      <c r="L55" s="177">
        <v>153606</v>
      </c>
      <c r="M55" s="289">
        <v>3794</v>
      </c>
      <c r="N55" s="177">
        <f>+'K19'!Z55</f>
        <v>156911</v>
      </c>
    </row>
    <row r="56" spans="1:14" ht="13">
      <c r="A56" s="1">
        <v>1135</v>
      </c>
      <c r="B56" s="2" t="s">
        <v>15</v>
      </c>
      <c r="C56" s="290">
        <v>4760</v>
      </c>
      <c r="D56" s="177">
        <v>127106</v>
      </c>
      <c r="E56" s="289">
        <v>4756</v>
      </c>
      <c r="F56" s="177">
        <v>134334</v>
      </c>
      <c r="G56" s="289">
        <v>4710</v>
      </c>
      <c r="H56" s="177">
        <v>112299</v>
      </c>
      <c r="I56" s="289">
        <v>4760</v>
      </c>
      <c r="J56" s="177">
        <v>154229</v>
      </c>
      <c r="K56" s="289">
        <v>4663</v>
      </c>
      <c r="L56" s="177">
        <v>132320</v>
      </c>
      <c r="M56" s="289">
        <v>4597</v>
      </c>
      <c r="N56" s="177">
        <f>+'K19'!Z56</f>
        <v>152473</v>
      </c>
    </row>
    <row r="57" spans="1:14" ht="13">
      <c r="A57" s="1">
        <v>1141</v>
      </c>
      <c r="B57" s="2" t="s">
        <v>16</v>
      </c>
      <c r="C57" s="290">
        <v>3058</v>
      </c>
      <c r="D57" s="177">
        <v>79397</v>
      </c>
      <c r="E57" s="289">
        <v>3147</v>
      </c>
      <c r="F57" s="177">
        <v>79791</v>
      </c>
      <c r="G57" s="289">
        <v>3221</v>
      </c>
      <c r="H57" s="177">
        <v>86133</v>
      </c>
      <c r="I57" s="289">
        <v>3235</v>
      </c>
      <c r="J57" s="177">
        <v>93755</v>
      </c>
      <c r="K57" s="289">
        <v>3197</v>
      </c>
      <c r="L57" s="177">
        <v>90278</v>
      </c>
      <c r="M57" s="289">
        <v>3150</v>
      </c>
      <c r="N57" s="177">
        <f>+'K19'!Z57</f>
        <v>90709</v>
      </c>
    </row>
    <row r="58" spans="1:14" ht="13">
      <c r="A58" s="1">
        <v>1142</v>
      </c>
      <c r="B58" s="2" t="s">
        <v>17</v>
      </c>
      <c r="C58" s="290">
        <v>4755</v>
      </c>
      <c r="D58" s="177">
        <v>134465</v>
      </c>
      <c r="E58" s="289">
        <v>4794</v>
      </c>
      <c r="F58" s="177">
        <v>141827</v>
      </c>
      <c r="G58" s="289">
        <v>4856</v>
      </c>
      <c r="H58" s="177">
        <v>153116</v>
      </c>
      <c r="I58" s="289">
        <v>4892</v>
      </c>
      <c r="J58" s="177">
        <v>146692</v>
      </c>
      <c r="K58" s="289">
        <v>4849</v>
      </c>
      <c r="L58" s="177">
        <v>154331</v>
      </c>
      <c r="M58" s="289">
        <v>4847</v>
      </c>
      <c r="N58" s="177">
        <f>+'K19'!Z58</f>
        <v>158491</v>
      </c>
    </row>
    <row r="59" spans="1:14" ht="13">
      <c r="A59" s="1">
        <v>1144</v>
      </c>
      <c r="B59" s="2" t="s">
        <v>18</v>
      </c>
      <c r="C59" s="290">
        <v>531</v>
      </c>
      <c r="D59" s="177">
        <v>11917</v>
      </c>
      <c r="E59" s="289">
        <v>534</v>
      </c>
      <c r="F59" s="177">
        <v>12526</v>
      </c>
      <c r="G59" s="289">
        <v>524</v>
      </c>
      <c r="H59" s="177">
        <v>12573</v>
      </c>
      <c r="I59" s="289">
        <v>534</v>
      </c>
      <c r="J59" s="177">
        <v>15385</v>
      </c>
      <c r="K59" s="289">
        <v>542</v>
      </c>
      <c r="L59" s="177">
        <v>14773</v>
      </c>
      <c r="M59" s="289">
        <v>516</v>
      </c>
      <c r="N59" s="177">
        <f>+'K19'!Z59</f>
        <v>14046</v>
      </c>
    </row>
    <row r="60" spans="1:14" ht="13">
      <c r="A60" s="1">
        <v>1145</v>
      </c>
      <c r="B60" s="2" t="s">
        <v>19</v>
      </c>
      <c r="C60" s="290">
        <v>868</v>
      </c>
      <c r="D60" s="177">
        <v>19718</v>
      </c>
      <c r="E60" s="289">
        <v>865</v>
      </c>
      <c r="F60" s="177">
        <v>19578</v>
      </c>
      <c r="G60" s="289">
        <v>865</v>
      </c>
      <c r="H60" s="177">
        <v>20265</v>
      </c>
      <c r="I60" s="289">
        <v>855</v>
      </c>
      <c r="J60" s="177">
        <v>20969</v>
      </c>
      <c r="K60" s="289">
        <v>844</v>
      </c>
      <c r="L60" s="177">
        <v>21260</v>
      </c>
      <c r="M60" s="289">
        <v>840</v>
      </c>
      <c r="N60" s="177">
        <f>+'K19'!Z60</f>
        <v>23216</v>
      </c>
    </row>
    <row r="61" spans="1:14" ht="13">
      <c r="A61" s="1">
        <v>1146</v>
      </c>
      <c r="B61" s="2" t="s">
        <v>20</v>
      </c>
      <c r="C61" s="290">
        <v>10668</v>
      </c>
      <c r="D61" s="177">
        <v>246736</v>
      </c>
      <c r="E61" s="289">
        <v>10857</v>
      </c>
      <c r="F61" s="177">
        <v>255555</v>
      </c>
      <c r="G61" s="289">
        <v>10925</v>
      </c>
      <c r="H61" s="177">
        <v>264000</v>
      </c>
      <c r="I61" s="289">
        <v>11041</v>
      </c>
      <c r="J61" s="177">
        <v>279974</v>
      </c>
      <c r="K61" s="289">
        <v>11023</v>
      </c>
      <c r="L61" s="177">
        <v>296653</v>
      </c>
      <c r="M61" s="289">
        <v>11028</v>
      </c>
      <c r="N61" s="177">
        <f>+'K19'!Z61</f>
        <v>303352</v>
      </c>
    </row>
    <row r="62" spans="1:14" ht="13">
      <c r="A62" s="1">
        <v>1149</v>
      </c>
      <c r="B62" s="2" t="s">
        <v>21</v>
      </c>
      <c r="C62" s="290">
        <v>41753</v>
      </c>
      <c r="D62" s="177">
        <v>951724</v>
      </c>
      <c r="E62" s="289">
        <v>42062</v>
      </c>
      <c r="F62" s="177">
        <v>983888</v>
      </c>
      <c r="G62" s="289">
        <v>42187</v>
      </c>
      <c r="H62" s="177">
        <v>1031685</v>
      </c>
      <c r="I62" s="289">
        <v>42229</v>
      </c>
      <c r="J62" s="177">
        <v>1048090</v>
      </c>
      <c r="K62" s="289">
        <v>42243</v>
      </c>
      <c r="L62" s="177">
        <v>1089363</v>
      </c>
      <c r="M62" s="289">
        <v>42161</v>
      </c>
      <c r="N62" s="177">
        <f>+'K19'!Z62</f>
        <v>1149890</v>
      </c>
    </row>
    <row r="63" spans="1:14" ht="13">
      <c r="A63" s="1">
        <v>1151</v>
      </c>
      <c r="B63" s="2" t="s">
        <v>22</v>
      </c>
      <c r="C63" s="290">
        <v>211</v>
      </c>
      <c r="D63" s="177">
        <v>5164</v>
      </c>
      <c r="E63" s="289">
        <v>206</v>
      </c>
      <c r="F63" s="177">
        <v>5153</v>
      </c>
      <c r="G63" s="289">
        <v>200</v>
      </c>
      <c r="H63" s="177">
        <v>4581</v>
      </c>
      <c r="I63" s="289">
        <v>201</v>
      </c>
      <c r="J63" s="177">
        <v>4747</v>
      </c>
      <c r="K63" s="289">
        <v>208</v>
      </c>
      <c r="L63" s="177">
        <v>5467</v>
      </c>
      <c r="M63" s="289">
        <v>196</v>
      </c>
      <c r="N63" s="177">
        <f>+'K19'!Z63</f>
        <v>5709</v>
      </c>
    </row>
    <row r="64" spans="1:14" ht="13">
      <c r="A64" s="1">
        <v>1160</v>
      </c>
      <c r="B64" s="4" t="s">
        <v>711</v>
      </c>
      <c r="C64" s="290">
        <v>8747</v>
      </c>
      <c r="D64" s="177">
        <v>219287</v>
      </c>
      <c r="E64" s="289">
        <v>8765</v>
      </c>
      <c r="F64" s="177">
        <v>224845</v>
      </c>
      <c r="G64" s="289">
        <v>8788</v>
      </c>
      <c r="H64" s="177">
        <v>241047</v>
      </c>
      <c r="I64" s="289">
        <v>8828</v>
      </c>
      <c r="J64" s="177">
        <v>300936</v>
      </c>
      <c r="K64" s="289">
        <v>8793</v>
      </c>
      <c r="L64" s="177">
        <v>278332</v>
      </c>
      <c r="M64" s="289">
        <v>8743</v>
      </c>
      <c r="N64" s="177">
        <f>+'K19'!Z64</f>
        <v>307150</v>
      </c>
    </row>
    <row r="65" spans="1:14" ht="13">
      <c r="A65" s="1">
        <v>1227</v>
      </c>
      <c r="B65" s="2" t="s">
        <v>31</v>
      </c>
      <c r="C65" s="290">
        <v>1094</v>
      </c>
      <c r="D65" s="177">
        <v>24740</v>
      </c>
      <c r="E65" s="289">
        <v>1100</v>
      </c>
      <c r="F65" s="177">
        <v>26495</v>
      </c>
      <c r="G65" s="289">
        <v>1104</v>
      </c>
      <c r="H65" s="177">
        <v>25475</v>
      </c>
      <c r="I65" s="289">
        <v>1108</v>
      </c>
      <c r="J65" s="177">
        <v>28232</v>
      </c>
      <c r="K65" s="289">
        <v>1096</v>
      </c>
      <c r="L65" s="177">
        <v>29975</v>
      </c>
      <c r="M65" s="289">
        <v>1087</v>
      </c>
      <c r="N65" s="177">
        <f>+'K19'!Z65</f>
        <v>30456</v>
      </c>
    </row>
    <row r="66" spans="1:14" ht="13">
      <c r="A66" s="1">
        <v>1228</v>
      </c>
      <c r="B66" s="2" t="s">
        <v>32</v>
      </c>
      <c r="C66" s="290">
        <v>7006</v>
      </c>
      <c r="D66" s="177">
        <v>190264</v>
      </c>
      <c r="E66" s="289">
        <v>6952</v>
      </c>
      <c r="F66" s="177">
        <v>203101</v>
      </c>
      <c r="G66" s="289">
        <v>6930</v>
      </c>
      <c r="H66" s="177">
        <v>209148</v>
      </c>
      <c r="I66" s="289">
        <v>7025</v>
      </c>
      <c r="J66" s="177">
        <v>217927</v>
      </c>
      <c r="K66" s="289">
        <v>6835</v>
      </c>
      <c r="L66" s="177">
        <v>218966</v>
      </c>
      <c r="M66" s="289">
        <v>6745</v>
      </c>
      <c r="N66" s="177">
        <f>+'K19'!Z66</f>
        <v>227221</v>
      </c>
    </row>
    <row r="67" spans="1:14" ht="13">
      <c r="A67" s="1">
        <v>1231</v>
      </c>
      <c r="B67" s="2" t="s">
        <v>33</v>
      </c>
      <c r="C67" s="290">
        <v>3369</v>
      </c>
      <c r="D67" s="177">
        <v>77431</v>
      </c>
      <c r="E67" s="289">
        <v>3411</v>
      </c>
      <c r="F67" s="177">
        <v>78866</v>
      </c>
      <c r="G67" s="289">
        <v>3401</v>
      </c>
      <c r="H67" s="177">
        <v>81214</v>
      </c>
      <c r="I67" s="289">
        <v>3377</v>
      </c>
      <c r="J67" s="177">
        <v>81965</v>
      </c>
      <c r="K67" s="289">
        <v>3363</v>
      </c>
      <c r="L67" s="177">
        <v>86913</v>
      </c>
      <c r="M67" s="289">
        <v>3320</v>
      </c>
      <c r="N67" s="177">
        <f>+'K19'!Z67</f>
        <v>91437</v>
      </c>
    </row>
    <row r="68" spans="1:14" ht="13">
      <c r="A68" s="1">
        <v>1234</v>
      </c>
      <c r="B68" s="2" t="s">
        <v>36</v>
      </c>
      <c r="C68" s="290">
        <v>911</v>
      </c>
      <c r="D68" s="177">
        <v>18684</v>
      </c>
      <c r="E68" s="289">
        <v>921</v>
      </c>
      <c r="F68" s="177">
        <v>20189</v>
      </c>
      <c r="G68" s="289">
        <v>920</v>
      </c>
      <c r="H68" s="177">
        <v>20978</v>
      </c>
      <c r="I68" s="289">
        <v>933</v>
      </c>
      <c r="J68" s="177">
        <v>23163</v>
      </c>
      <c r="K68" s="289">
        <v>931</v>
      </c>
      <c r="L68" s="177">
        <v>22248</v>
      </c>
      <c r="M68" s="289">
        <v>937</v>
      </c>
      <c r="N68" s="177">
        <f>+'K19'!Z68</f>
        <v>23115</v>
      </c>
    </row>
    <row r="69" spans="1:14" ht="13">
      <c r="A69" s="1">
        <v>1235</v>
      </c>
      <c r="B69" s="2" t="s">
        <v>37</v>
      </c>
      <c r="C69" s="290">
        <v>14168</v>
      </c>
      <c r="D69" s="177">
        <v>327718</v>
      </c>
      <c r="E69" s="289">
        <v>14347</v>
      </c>
      <c r="F69" s="177">
        <v>338868</v>
      </c>
      <c r="G69" s="289">
        <v>14425</v>
      </c>
      <c r="H69" s="177">
        <v>363063</v>
      </c>
      <c r="I69" s="289">
        <v>14514</v>
      </c>
      <c r="J69" s="177">
        <v>381225</v>
      </c>
      <c r="K69" s="289">
        <v>14577</v>
      </c>
      <c r="L69" s="177">
        <v>403939</v>
      </c>
      <c r="M69" s="289">
        <v>14606</v>
      </c>
      <c r="N69" s="177">
        <f>+'K19'!Z69</f>
        <v>427963</v>
      </c>
    </row>
    <row r="70" spans="1:14" ht="13">
      <c r="A70" s="1">
        <v>1241</v>
      </c>
      <c r="B70" s="2" t="s">
        <v>39</v>
      </c>
      <c r="C70" s="290">
        <v>3829</v>
      </c>
      <c r="D70" s="177">
        <v>89922</v>
      </c>
      <c r="E70" s="289">
        <v>3838</v>
      </c>
      <c r="F70" s="177">
        <v>95486</v>
      </c>
      <c r="G70" s="289">
        <v>3876</v>
      </c>
      <c r="H70" s="177">
        <v>102650</v>
      </c>
      <c r="I70" s="289">
        <v>3895</v>
      </c>
      <c r="J70" s="177">
        <v>111546</v>
      </c>
      <c r="K70" s="289">
        <v>3920</v>
      </c>
      <c r="L70" s="177">
        <v>112231</v>
      </c>
      <c r="M70" s="289">
        <v>3861</v>
      </c>
      <c r="N70" s="177">
        <f>+'K19'!Z70</f>
        <v>114901</v>
      </c>
    </row>
    <row r="71" spans="1:14" ht="13">
      <c r="A71" s="1">
        <v>1243</v>
      </c>
      <c r="B71" s="2" t="s">
        <v>844</v>
      </c>
      <c r="C71" s="290">
        <v>18678</v>
      </c>
      <c r="D71" s="177">
        <v>444878</v>
      </c>
      <c r="E71" s="289">
        <v>19097</v>
      </c>
      <c r="F71" s="177">
        <v>473653</v>
      </c>
      <c r="G71" s="289">
        <v>19742</v>
      </c>
      <c r="H71" s="177">
        <v>523893</v>
      </c>
      <c r="I71" s="289">
        <v>20152</v>
      </c>
      <c r="J71" s="177">
        <v>545538</v>
      </c>
      <c r="K71" s="289">
        <v>20573</v>
      </c>
      <c r="L71" s="177">
        <v>565744</v>
      </c>
      <c r="M71" s="289">
        <v>20804</v>
      </c>
      <c r="N71" s="177">
        <f>+'K19'!Z71</f>
        <v>591258</v>
      </c>
    </row>
    <row r="72" spans="1:14" ht="13">
      <c r="A72" s="1">
        <v>1245</v>
      </c>
      <c r="B72" s="2" t="s">
        <v>42</v>
      </c>
      <c r="C72" s="290">
        <v>6635</v>
      </c>
      <c r="D72" s="177">
        <v>151086</v>
      </c>
      <c r="E72" s="289">
        <v>6752</v>
      </c>
      <c r="F72" s="177">
        <v>156703</v>
      </c>
      <c r="G72" s="289">
        <v>6975</v>
      </c>
      <c r="H72" s="177">
        <v>168072</v>
      </c>
      <c r="I72" s="289">
        <v>7058</v>
      </c>
      <c r="J72" s="177">
        <v>172226</v>
      </c>
      <c r="K72" s="289">
        <v>7085</v>
      </c>
      <c r="L72" s="177">
        <v>181153</v>
      </c>
      <c r="M72" s="289">
        <v>7062</v>
      </c>
      <c r="N72" s="177">
        <f>+'K19'!Z72</f>
        <v>186915</v>
      </c>
    </row>
    <row r="73" spans="1:14" ht="13">
      <c r="A73" s="1">
        <v>1246</v>
      </c>
      <c r="B73" s="2" t="s">
        <v>43</v>
      </c>
      <c r="C73" s="290">
        <v>23852</v>
      </c>
      <c r="D73" s="177">
        <v>612157</v>
      </c>
      <c r="E73" s="289">
        <v>24427</v>
      </c>
      <c r="F73" s="177">
        <v>637454</v>
      </c>
      <c r="G73" s="289">
        <v>24870</v>
      </c>
      <c r="H73" s="177">
        <v>684024</v>
      </c>
      <c r="I73" s="289">
        <v>25204</v>
      </c>
      <c r="J73" s="177">
        <v>705797</v>
      </c>
      <c r="K73" s="289">
        <v>25725</v>
      </c>
      <c r="L73" s="177">
        <v>743530</v>
      </c>
      <c r="M73" s="289">
        <v>26166</v>
      </c>
      <c r="N73" s="177">
        <f>+'K19'!Z73</f>
        <v>777937</v>
      </c>
    </row>
    <row r="74" spans="1:14" ht="13">
      <c r="A74" s="1">
        <v>1256</v>
      </c>
      <c r="B74" s="2" t="s">
        <v>48</v>
      </c>
      <c r="C74" s="290">
        <v>7544</v>
      </c>
      <c r="D74" s="177">
        <v>160894</v>
      </c>
      <c r="E74" s="289">
        <v>7736</v>
      </c>
      <c r="F74" s="177">
        <v>173698</v>
      </c>
      <c r="G74" s="289">
        <v>7812</v>
      </c>
      <c r="H74" s="177">
        <v>185566</v>
      </c>
      <c r="I74" s="289">
        <v>8021</v>
      </c>
      <c r="J74" s="177">
        <v>193046</v>
      </c>
      <c r="K74" s="289">
        <v>8079</v>
      </c>
      <c r="L74" s="177">
        <v>207938</v>
      </c>
      <c r="M74" s="289">
        <v>8187</v>
      </c>
      <c r="N74" s="177">
        <f>+'K19'!Z74</f>
        <v>213576</v>
      </c>
    </row>
    <row r="75" spans="1:14" ht="13">
      <c r="A75" s="1">
        <v>1259</v>
      </c>
      <c r="B75" s="2" t="s">
        <v>49</v>
      </c>
      <c r="C75" s="290">
        <v>4704</v>
      </c>
      <c r="D75" s="177">
        <v>106106</v>
      </c>
      <c r="E75" s="289">
        <v>4733</v>
      </c>
      <c r="F75" s="177">
        <v>106768</v>
      </c>
      <c r="G75" s="289">
        <v>4852</v>
      </c>
      <c r="H75" s="177">
        <v>116933</v>
      </c>
      <c r="I75" s="289">
        <v>4913</v>
      </c>
      <c r="J75" s="177">
        <v>115041</v>
      </c>
      <c r="K75" s="289">
        <v>4877</v>
      </c>
      <c r="L75" s="177">
        <v>116750</v>
      </c>
      <c r="M75" s="289">
        <v>4889</v>
      </c>
      <c r="N75" s="177">
        <f>+'K19'!Z75</f>
        <v>123517</v>
      </c>
    </row>
    <row r="76" spans="1:14" ht="13">
      <c r="A76" s="1">
        <v>1260</v>
      </c>
      <c r="B76" s="2" t="s">
        <v>53</v>
      </c>
      <c r="C76" s="290">
        <v>5039</v>
      </c>
      <c r="D76" s="177">
        <v>110958</v>
      </c>
      <c r="E76" s="289">
        <v>5014</v>
      </c>
      <c r="F76" s="177">
        <v>111389</v>
      </c>
      <c r="G76" s="289">
        <v>5077</v>
      </c>
      <c r="H76" s="177">
        <v>115873</v>
      </c>
      <c r="I76" s="289">
        <v>5128</v>
      </c>
      <c r="J76" s="177">
        <v>119973</v>
      </c>
      <c r="K76" s="289">
        <v>5129</v>
      </c>
      <c r="L76" s="177">
        <v>116817</v>
      </c>
      <c r="M76" s="289">
        <v>5091</v>
      </c>
      <c r="N76" s="177">
        <f>+'K19'!Z76</f>
        <v>124781</v>
      </c>
    </row>
    <row r="77" spans="1:14" ht="13">
      <c r="A77" s="1">
        <v>1263</v>
      </c>
      <c r="B77" s="2" t="s">
        <v>54</v>
      </c>
      <c r="C77" s="290">
        <v>15069</v>
      </c>
      <c r="D77" s="177">
        <v>370954</v>
      </c>
      <c r="E77" s="289">
        <v>15402</v>
      </c>
      <c r="F77" s="177">
        <v>374667</v>
      </c>
      <c r="G77" s="289">
        <v>15607</v>
      </c>
      <c r="H77" s="177">
        <v>396793</v>
      </c>
      <c r="I77" s="289">
        <v>15731</v>
      </c>
      <c r="J77" s="177">
        <v>396271</v>
      </c>
      <c r="K77" s="289">
        <v>15789</v>
      </c>
      <c r="L77" s="177">
        <v>419158</v>
      </c>
      <c r="M77" s="289">
        <v>15812</v>
      </c>
      <c r="N77" s="177">
        <f>+'K19'!Z77</f>
        <v>455022</v>
      </c>
    </row>
    <row r="78" spans="1:14" ht="13">
      <c r="A78" s="1">
        <v>1401</v>
      </c>
      <c r="B78" s="2" t="s">
        <v>58</v>
      </c>
      <c r="C78" s="290">
        <v>11779</v>
      </c>
      <c r="D78" s="177">
        <v>288423</v>
      </c>
      <c r="E78" s="289">
        <v>11862</v>
      </c>
      <c r="F78" s="177">
        <v>300441</v>
      </c>
      <c r="G78" s="289">
        <v>11923</v>
      </c>
      <c r="H78" s="177">
        <v>325784</v>
      </c>
      <c r="I78" s="289">
        <v>11999</v>
      </c>
      <c r="J78" s="177">
        <v>325879</v>
      </c>
      <c r="K78" s="289">
        <v>11988</v>
      </c>
      <c r="L78" s="177">
        <v>333690</v>
      </c>
      <c r="M78" s="289">
        <v>11852</v>
      </c>
      <c r="N78" s="177">
        <f>+'K19'!Z78</f>
        <v>364786</v>
      </c>
    </row>
    <row r="79" spans="1:14" ht="13">
      <c r="A79" s="1">
        <v>1418</v>
      </c>
      <c r="B79" s="2" t="s">
        <v>64</v>
      </c>
      <c r="C79" s="290">
        <v>1306</v>
      </c>
      <c r="D79" s="177">
        <v>28081</v>
      </c>
      <c r="E79" s="289">
        <v>1304</v>
      </c>
      <c r="F79" s="177">
        <v>29193</v>
      </c>
      <c r="G79" s="289">
        <v>1294</v>
      </c>
      <c r="H79" s="177">
        <v>31062</v>
      </c>
      <c r="I79" s="289">
        <v>1288</v>
      </c>
      <c r="J79" s="177">
        <v>31810</v>
      </c>
      <c r="K79" s="289">
        <v>1262</v>
      </c>
      <c r="L79" s="177">
        <v>33797</v>
      </c>
      <c r="M79" s="289">
        <v>1279</v>
      </c>
      <c r="N79" s="177">
        <f>+'K19'!Z79</f>
        <v>34068</v>
      </c>
    </row>
    <row r="80" spans="1:14" ht="13">
      <c r="A80" s="1">
        <v>1419</v>
      </c>
      <c r="B80" s="2" t="s">
        <v>65</v>
      </c>
      <c r="C80" s="290">
        <v>2268</v>
      </c>
      <c r="D80" s="177">
        <v>54210</v>
      </c>
      <c r="E80" s="289">
        <v>2276</v>
      </c>
      <c r="F80" s="177">
        <v>55791</v>
      </c>
      <c r="G80" s="289">
        <v>2298</v>
      </c>
      <c r="H80" s="177">
        <v>61486</v>
      </c>
      <c r="I80" s="289">
        <v>2332</v>
      </c>
      <c r="J80" s="177">
        <v>65897</v>
      </c>
      <c r="K80" s="289">
        <v>2345</v>
      </c>
      <c r="L80" s="177">
        <v>72179</v>
      </c>
      <c r="M80" s="289">
        <v>2331</v>
      </c>
      <c r="N80" s="177">
        <f>+'K19'!Z80</f>
        <v>66133</v>
      </c>
    </row>
    <row r="81" spans="1:14" ht="13">
      <c r="A81" s="1">
        <v>1420</v>
      </c>
      <c r="B81" s="2" t="s">
        <v>66</v>
      </c>
      <c r="C81" s="290">
        <v>7623</v>
      </c>
      <c r="D81" s="177">
        <v>165511</v>
      </c>
      <c r="E81" s="289">
        <v>7677</v>
      </c>
      <c r="F81" s="177">
        <v>173721</v>
      </c>
      <c r="G81" s="289">
        <v>7839</v>
      </c>
      <c r="H81" s="177">
        <v>198568</v>
      </c>
      <c r="I81" s="289">
        <v>7941</v>
      </c>
      <c r="J81" s="177">
        <v>206275</v>
      </c>
      <c r="K81" s="289">
        <v>8059</v>
      </c>
      <c r="L81" s="177">
        <v>218690</v>
      </c>
      <c r="M81" s="289">
        <v>8191</v>
      </c>
      <c r="N81" s="177">
        <f>+'K19'!Z81</f>
        <v>224983</v>
      </c>
    </row>
    <row r="82" spans="1:14" ht="13">
      <c r="A82" s="1">
        <v>1430</v>
      </c>
      <c r="B82" s="2" t="s">
        <v>73</v>
      </c>
      <c r="C82" s="290">
        <v>2928</v>
      </c>
      <c r="D82" s="177">
        <v>56494</v>
      </c>
      <c r="E82" s="289">
        <v>2960</v>
      </c>
      <c r="F82" s="177">
        <v>61188</v>
      </c>
      <c r="G82" s="289">
        <v>2942</v>
      </c>
      <c r="H82" s="177">
        <v>65337</v>
      </c>
      <c r="I82" s="289">
        <v>2966</v>
      </c>
      <c r="J82" s="177">
        <v>68625</v>
      </c>
      <c r="K82" s="289">
        <v>3006</v>
      </c>
      <c r="L82" s="177">
        <v>74545</v>
      </c>
      <c r="M82" s="289">
        <v>3027</v>
      </c>
      <c r="N82" s="177">
        <f>+'K19'!Z82</f>
        <v>76689</v>
      </c>
    </row>
    <row r="83" spans="1:14" ht="13">
      <c r="A83" s="1">
        <v>1431</v>
      </c>
      <c r="B83" s="2" t="s">
        <v>74</v>
      </c>
      <c r="C83" s="290">
        <v>3070</v>
      </c>
      <c r="D83" s="177">
        <v>68883</v>
      </c>
      <c r="E83" s="289">
        <v>3026</v>
      </c>
      <c r="F83" s="177">
        <v>66273</v>
      </c>
      <c r="G83" s="289">
        <v>3020</v>
      </c>
      <c r="H83" s="177">
        <v>71117</v>
      </c>
      <c r="I83" s="289">
        <v>3049</v>
      </c>
      <c r="J83" s="177">
        <v>78085</v>
      </c>
      <c r="K83" s="289">
        <v>3043</v>
      </c>
      <c r="L83" s="177">
        <v>80458</v>
      </c>
      <c r="M83" s="289">
        <v>3047</v>
      </c>
      <c r="N83" s="177">
        <f>+'K19'!Z83</f>
        <v>84585</v>
      </c>
    </row>
    <row r="84" spans="1:14" ht="13">
      <c r="A84" s="1">
        <v>1432</v>
      </c>
      <c r="B84" s="2" t="s">
        <v>75</v>
      </c>
      <c r="C84" s="290">
        <v>12685</v>
      </c>
      <c r="D84" s="177">
        <v>306432</v>
      </c>
      <c r="E84" s="289">
        <v>12801</v>
      </c>
      <c r="F84" s="177">
        <v>329023</v>
      </c>
      <c r="G84" s="289">
        <v>12900</v>
      </c>
      <c r="H84" s="177">
        <v>368164</v>
      </c>
      <c r="I84" s="289">
        <v>13009</v>
      </c>
      <c r="J84" s="177">
        <v>376559</v>
      </c>
      <c r="K84" s="289">
        <v>13089</v>
      </c>
      <c r="L84" s="177">
        <v>388465</v>
      </c>
      <c r="M84" s="289">
        <v>13092</v>
      </c>
      <c r="N84" s="177">
        <f>+'K19'!Z84</f>
        <v>408872</v>
      </c>
    </row>
    <row r="85" spans="1:14" ht="13">
      <c r="A85" s="1">
        <v>1433</v>
      </c>
      <c r="B85" s="2" t="s">
        <v>76</v>
      </c>
      <c r="C85" s="290">
        <v>2776</v>
      </c>
      <c r="D85" s="177">
        <v>55832</v>
      </c>
      <c r="E85" s="289">
        <v>2777</v>
      </c>
      <c r="F85" s="177">
        <v>59772</v>
      </c>
      <c r="G85" s="289">
        <v>2840</v>
      </c>
      <c r="H85" s="177">
        <v>67819</v>
      </c>
      <c r="I85" s="289">
        <v>2848</v>
      </c>
      <c r="J85" s="177">
        <v>67887</v>
      </c>
      <c r="K85" s="289">
        <v>2825</v>
      </c>
      <c r="L85" s="177">
        <v>65952</v>
      </c>
      <c r="M85" s="289">
        <v>2793</v>
      </c>
      <c r="N85" s="177">
        <f>+'K19'!Z85</f>
        <v>71495</v>
      </c>
    </row>
    <row r="86" spans="1:14" ht="13">
      <c r="A86" s="1">
        <v>1439</v>
      </c>
      <c r="B86" s="2" t="s">
        <v>78</v>
      </c>
      <c r="C86" s="290">
        <v>6091</v>
      </c>
      <c r="D86" s="177">
        <v>139692</v>
      </c>
      <c r="E86" s="289">
        <v>6082</v>
      </c>
      <c r="F86" s="177">
        <v>143596</v>
      </c>
      <c r="G86" s="289">
        <v>6046</v>
      </c>
      <c r="H86" s="177">
        <v>155147</v>
      </c>
      <c r="I86" s="289">
        <v>6031</v>
      </c>
      <c r="J86" s="177">
        <v>161472</v>
      </c>
      <c r="K86" s="289">
        <v>6001</v>
      </c>
      <c r="L86" s="177">
        <v>169038</v>
      </c>
      <c r="M86" s="289">
        <v>5970</v>
      </c>
      <c r="N86" s="177">
        <f>+'K19'!Z86</f>
        <v>182486</v>
      </c>
    </row>
    <row r="87" spans="1:14" ht="13">
      <c r="A87" s="1">
        <v>1441</v>
      </c>
      <c r="B87" s="2" t="s">
        <v>79</v>
      </c>
      <c r="C87" s="290">
        <v>2782</v>
      </c>
      <c r="D87" s="177">
        <v>58242</v>
      </c>
      <c r="E87" s="289">
        <v>2752</v>
      </c>
      <c r="F87" s="177">
        <v>61846</v>
      </c>
      <c r="G87" s="289">
        <v>2774</v>
      </c>
      <c r="H87" s="177">
        <v>63415</v>
      </c>
      <c r="I87" s="289">
        <v>2791</v>
      </c>
      <c r="J87" s="177">
        <v>65535</v>
      </c>
      <c r="K87" s="289">
        <v>2757</v>
      </c>
      <c r="L87" s="177">
        <v>69577</v>
      </c>
      <c r="M87" s="289">
        <v>2747</v>
      </c>
      <c r="N87" s="177">
        <f>+'K19'!Z87</f>
        <v>77604</v>
      </c>
    </row>
    <row r="88" spans="1:14" ht="13">
      <c r="A88" s="1">
        <v>1443</v>
      </c>
      <c r="B88" s="2" t="s">
        <v>80</v>
      </c>
      <c r="C88" s="290">
        <v>5926</v>
      </c>
      <c r="D88" s="177">
        <v>124434</v>
      </c>
      <c r="E88" s="289">
        <v>5987</v>
      </c>
      <c r="F88" s="177">
        <v>130598</v>
      </c>
      <c r="G88" s="289">
        <v>6015</v>
      </c>
      <c r="H88" s="177">
        <v>136144</v>
      </c>
      <c r="I88" s="289">
        <v>6064</v>
      </c>
      <c r="J88" s="177">
        <v>144754</v>
      </c>
      <c r="K88" s="289">
        <v>6157</v>
      </c>
      <c r="L88" s="177">
        <v>154404</v>
      </c>
      <c r="M88" s="289">
        <v>6151</v>
      </c>
      <c r="N88" s="177">
        <f>+'K19'!Z88</f>
        <v>157880</v>
      </c>
    </row>
    <row r="89" spans="1:14" ht="13">
      <c r="A89" s="1">
        <v>1444</v>
      </c>
      <c r="B89" s="2" t="s">
        <v>81</v>
      </c>
      <c r="C89" s="290">
        <f>+C$450-14</f>
        <v>1209</v>
      </c>
      <c r="D89" s="177">
        <f>+D$450*(C$450-14)/C$450</f>
        <v>21486.193785772692</v>
      </c>
      <c r="E89" s="289">
        <f>+E$450-14</f>
        <v>1207</v>
      </c>
      <c r="F89" s="177">
        <f>+F$450*(E$450-14)/E$450</f>
        <v>22448.618345618346</v>
      </c>
      <c r="G89" s="289">
        <f>+G$450-14</f>
        <v>1186</v>
      </c>
      <c r="H89" s="177">
        <f>+H$450*(G$450-14)/G$450</f>
        <v>23856.39</v>
      </c>
      <c r="I89" s="289">
        <f>+I$450-14</f>
        <v>1184</v>
      </c>
      <c r="J89" s="177">
        <f>+J$450*(I$450-14)/I$450</f>
        <v>24500.300500834725</v>
      </c>
      <c r="K89" s="289">
        <f>+K$450-14</f>
        <v>1161</v>
      </c>
      <c r="L89" s="177">
        <f>+L$450*(K$450-14)/K$450</f>
        <v>26416.455319148936</v>
      </c>
      <c r="M89" s="289">
        <v>1152</v>
      </c>
      <c r="N89" s="177">
        <f>+'K19'!Z89</f>
        <v>28142</v>
      </c>
    </row>
    <row r="90" spans="1:14" ht="13">
      <c r="A90" s="1">
        <v>1502</v>
      </c>
      <c r="B90" s="2" t="s">
        <v>84</v>
      </c>
      <c r="C90" s="290">
        <v>26048</v>
      </c>
      <c r="D90" s="177">
        <v>643728</v>
      </c>
      <c r="E90" s="289">
        <v>26392</v>
      </c>
      <c r="F90" s="177">
        <v>684093</v>
      </c>
      <c r="G90" s="289">
        <v>26732</v>
      </c>
      <c r="H90" s="177">
        <v>721890</v>
      </c>
      <c r="I90" s="289">
        <v>26822</v>
      </c>
      <c r="J90" s="177">
        <v>749627</v>
      </c>
      <c r="K90" s="289">
        <v>26900</v>
      </c>
      <c r="L90" s="177">
        <v>776989</v>
      </c>
      <c r="M90" s="289">
        <v>27001</v>
      </c>
      <c r="N90" s="177">
        <f>+'K19'!Z90</f>
        <v>799325</v>
      </c>
    </row>
    <row r="91" spans="1:14" ht="13">
      <c r="A91" s="1">
        <v>1504</v>
      </c>
      <c r="B91" s="2" t="s">
        <v>85</v>
      </c>
      <c r="C91" s="290">
        <v>45747</v>
      </c>
      <c r="D91" s="177">
        <v>1174309</v>
      </c>
      <c r="E91" s="289">
        <v>46316</v>
      </c>
      <c r="F91" s="177">
        <v>1213350</v>
      </c>
      <c r="G91" s="289">
        <v>46747</v>
      </c>
      <c r="H91" s="177">
        <v>1296676</v>
      </c>
      <c r="I91" s="289">
        <v>47199</v>
      </c>
      <c r="J91" s="177">
        <v>1363237</v>
      </c>
      <c r="K91" s="289">
        <v>47510</v>
      </c>
      <c r="L91" s="177">
        <v>1459532</v>
      </c>
      <c r="M91" s="289">
        <v>47998</v>
      </c>
      <c r="N91" s="177">
        <f>+'K19'!Z91</f>
        <v>1559319</v>
      </c>
    </row>
    <row r="92" spans="1:14" ht="13">
      <c r="A92" s="1">
        <v>1505</v>
      </c>
      <c r="B92" s="4" t="s">
        <v>680</v>
      </c>
      <c r="C92" s="290">
        <v>24395</v>
      </c>
      <c r="D92" s="177">
        <v>563921</v>
      </c>
      <c r="E92" s="289">
        <v>24507</v>
      </c>
      <c r="F92" s="177">
        <v>582836</v>
      </c>
      <c r="G92" s="289">
        <v>24526</v>
      </c>
      <c r="H92" s="177">
        <v>605657</v>
      </c>
      <c r="I92" s="289">
        <v>24442</v>
      </c>
      <c r="J92" s="177">
        <v>613661</v>
      </c>
      <c r="K92" s="289">
        <v>24300</v>
      </c>
      <c r="L92" s="177">
        <v>637871</v>
      </c>
      <c r="M92" s="289">
        <v>24274</v>
      </c>
      <c r="N92" s="177">
        <f>+'K19'!Z92</f>
        <v>663317</v>
      </c>
    </row>
    <row r="93" spans="1:14" ht="13">
      <c r="A93" s="1">
        <v>1511</v>
      </c>
      <c r="B93" s="2" t="s">
        <v>86</v>
      </c>
      <c r="C93" s="290">
        <v>3302</v>
      </c>
      <c r="D93" s="177">
        <v>72479</v>
      </c>
      <c r="E93" s="289">
        <v>3258</v>
      </c>
      <c r="F93" s="177">
        <v>74410</v>
      </c>
      <c r="G93" s="289">
        <v>3256</v>
      </c>
      <c r="H93" s="177">
        <v>74821</v>
      </c>
      <c r="I93" s="289">
        <v>3203</v>
      </c>
      <c r="J93" s="177">
        <v>77373</v>
      </c>
      <c r="K93" s="289">
        <v>3187</v>
      </c>
      <c r="L93" s="177">
        <v>83683</v>
      </c>
      <c r="M93" s="289">
        <v>3163</v>
      </c>
      <c r="N93" s="177">
        <f>+'K19'!Z93</f>
        <v>88973</v>
      </c>
    </row>
    <row r="94" spans="1:14" ht="13">
      <c r="A94" s="1">
        <v>1514</v>
      </c>
      <c r="B94" s="2" t="s">
        <v>897</v>
      </c>
      <c r="C94" s="290">
        <v>2636</v>
      </c>
      <c r="D94" s="177">
        <v>55999</v>
      </c>
      <c r="E94" s="289">
        <v>2635</v>
      </c>
      <c r="F94" s="177">
        <v>62048</v>
      </c>
      <c r="G94" s="289">
        <v>2559</v>
      </c>
      <c r="H94" s="177">
        <v>63984</v>
      </c>
      <c r="I94" s="289">
        <v>2540</v>
      </c>
      <c r="J94" s="177">
        <v>61235</v>
      </c>
      <c r="K94" s="289">
        <v>2522</v>
      </c>
      <c r="L94" s="177">
        <v>68936</v>
      </c>
      <c r="M94" s="289">
        <v>2493</v>
      </c>
      <c r="N94" s="177">
        <f>+'K19'!Z94</f>
        <v>75383</v>
      </c>
    </row>
    <row r="95" spans="1:14" ht="13">
      <c r="A95" s="1">
        <v>1515</v>
      </c>
      <c r="B95" s="2" t="s">
        <v>87</v>
      </c>
      <c r="C95" s="290">
        <v>8847</v>
      </c>
      <c r="D95" s="177">
        <v>231216</v>
      </c>
      <c r="E95" s="289">
        <v>8934</v>
      </c>
      <c r="F95" s="177">
        <v>248460</v>
      </c>
      <c r="G95" s="289">
        <v>8972</v>
      </c>
      <c r="H95" s="177">
        <v>260046</v>
      </c>
      <c r="I95" s="289">
        <v>8957</v>
      </c>
      <c r="J95" s="177">
        <v>261503</v>
      </c>
      <c r="K95" s="289">
        <v>8965</v>
      </c>
      <c r="L95" s="177">
        <v>270116</v>
      </c>
      <c r="M95" s="289">
        <v>8927</v>
      </c>
      <c r="N95" s="177">
        <f>+'K19'!Z95</f>
        <v>303238</v>
      </c>
    </row>
    <row r="96" spans="1:14" ht="13">
      <c r="A96" s="1">
        <v>1516</v>
      </c>
      <c r="B96" s="2" t="s">
        <v>88</v>
      </c>
      <c r="C96" s="290">
        <v>8092</v>
      </c>
      <c r="D96" s="177">
        <v>242269</v>
      </c>
      <c r="E96" s="289">
        <v>8292</v>
      </c>
      <c r="F96" s="177">
        <v>257483</v>
      </c>
      <c r="G96" s="289">
        <v>8430</v>
      </c>
      <c r="H96" s="177">
        <v>245408</v>
      </c>
      <c r="I96" s="289">
        <v>8457</v>
      </c>
      <c r="J96" s="177">
        <v>249381</v>
      </c>
      <c r="K96" s="289">
        <v>8555</v>
      </c>
      <c r="L96" s="177">
        <v>262420</v>
      </c>
      <c r="M96" s="289">
        <v>8609</v>
      </c>
      <c r="N96" s="177">
        <f>+'K19'!Z96</f>
        <v>275729</v>
      </c>
    </row>
    <row r="97" spans="1:14" ht="13">
      <c r="A97" s="1">
        <v>1517</v>
      </c>
      <c r="B97" s="2" t="s">
        <v>89</v>
      </c>
      <c r="C97" s="290">
        <v>5021</v>
      </c>
      <c r="D97" s="177">
        <v>112102</v>
      </c>
      <c r="E97" s="289">
        <v>5065</v>
      </c>
      <c r="F97" s="177">
        <v>114254</v>
      </c>
      <c r="G97" s="289">
        <v>5189</v>
      </c>
      <c r="H97" s="177">
        <v>119524</v>
      </c>
      <c r="I97" s="289">
        <v>5185</v>
      </c>
      <c r="J97" s="177">
        <v>120422</v>
      </c>
      <c r="K97" s="289">
        <v>5150</v>
      </c>
      <c r="L97" s="177">
        <v>124236</v>
      </c>
      <c r="M97" s="289">
        <v>5155</v>
      </c>
      <c r="N97" s="177">
        <f>+'K19'!Z97</f>
        <v>130558</v>
      </c>
    </row>
    <row r="98" spans="1:14" ht="13">
      <c r="A98" s="1">
        <v>1519</v>
      </c>
      <c r="B98" s="2" t="s">
        <v>90</v>
      </c>
      <c r="C98" s="290">
        <v>8909</v>
      </c>
      <c r="D98" s="177">
        <v>184301</v>
      </c>
      <c r="E98" s="289">
        <v>8977</v>
      </c>
      <c r="F98" s="177">
        <v>193969</v>
      </c>
      <c r="G98" s="289">
        <v>9037</v>
      </c>
      <c r="H98" s="177">
        <v>206755</v>
      </c>
      <c r="I98" s="289">
        <v>9102</v>
      </c>
      <c r="J98" s="177">
        <v>209347</v>
      </c>
      <c r="K98" s="289">
        <v>9188</v>
      </c>
      <c r="L98" s="177">
        <v>222531</v>
      </c>
      <c r="M98" s="289">
        <v>9197</v>
      </c>
      <c r="N98" s="177">
        <f>+'K19'!Z98</f>
        <v>227273</v>
      </c>
    </row>
    <row r="99" spans="1:14" ht="13">
      <c r="A99" s="1">
        <v>1520</v>
      </c>
      <c r="B99" s="2" t="s">
        <v>91</v>
      </c>
      <c r="C99" s="290">
        <v>10536</v>
      </c>
      <c r="D99" s="177">
        <v>230939</v>
      </c>
      <c r="E99" s="289">
        <v>10589</v>
      </c>
      <c r="F99" s="177">
        <v>248077</v>
      </c>
      <c r="G99" s="289">
        <v>10677</v>
      </c>
      <c r="H99" s="177">
        <v>257414</v>
      </c>
      <c r="I99" s="289">
        <v>10744</v>
      </c>
      <c r="J99" s="177">
        <v>268472</v>
      </c>
      <c r="K99" s="289">
        <v>10812</v>
      </c>
      <c r="L99" s="177">
        <v>277117</v>
      </c>
      <c r="M99" s="289">
        <v>10857</v>
      </c>
      <c r="N99" s="177">
        <f>+'K19'!Z99</f>
        <v>286052</v>
      </c>
    </row>
    <row r="100" spans="1:14" ht="13">
      <c r="A100" s="1">
        <v>1523</v>
      </c>
      <c r="B100" s="2" t="s">
        <v>92</v>
      </c>
      <c r="C100" s="290">
        <v>2301</v>
      </c>
      <c r="D100" s="177">
        <v>49948</v>
      </c>
      <c r="E100" s="289">
        <v>2294</v>
      </c>
      <c r="F100" s="177">
        <v>57694</v>
      </c>
      <c r="G100" s="289">
        <v>2310</v>
      </c>
      <c r="H100" s="177">
        <v>57007</v>
      </c>
      <c r="I100" s="289">
        <v>2296</v>
      </c>
      <c r="J100" s="177">
        <v>52710</v>
      </c>
      <c r="K100" s="289">
        <v>2267</v>
      </c>
      <c r="L100" s="177">
        <v>60208</v>
      </c>
      <c r="M100" s="289">
        <v>2250</v>
      </c>
      <c r="N100" s="177">
        <f>+'K19'!Z100</f>
        <v>62662</v>
      </c>
    </row>
    <row r="101" spans="1:14" ht="13">
      <c r="A101" s="1">
        <v>1524</v>
      </c>
      <c r="B101" s="2" t="s">
        <v>93</v>
      </c>
      <c r="C101" s="290">
        <v>1685</v>
      </c>
      <c r="D101" s="177">
        <v>43261</v>
      </c>
      <c r="E101" s="289">
        <v>1676</v>
      </c>
      <c r="F101" s="177">
        <v>43658</v>
      </c>
      <c r="G101" s="289">
        <v>1652</v>
      </c>
      <c r="H101" s="177">
        <v>45958</v>
      </c>
      <c r="I101" s="289">
        <v>1663</v>
      </c>
      <c r="J101" s="177">
        <v>50740</v>
      </c>
      <c r="K101" s="289">
        <v>1670</v>
      </c>
      <c r="L101" s="177">
        <v>48307</v>
      </c>
      <c r="M101" s="289">
        <v>1645</v>
      </c>
      <c r="N101" s="177">
        <f>+'K19'!Z101</f>
        <v>46265</v>
      </c>
    </row>
    <row r="102" spans="1:14" ht="13">
      <c r="A102" s="1">
        <v>1525</v>
      </c>
      <c r="B102" s="2" t="s">
        <v>94</v>
      </c>
      <c r="C102" s="290">
        <v>4616</v>
      </c>
      <c r="D102" s="177">
        <v>102920</v>
      </c>
      <c r="E102" s="289">
        <v>4605</v>
      </c>
      <c r="F102" s="177">
        <v>104690</v>
      </c>
      <c r="G102" s="289">
        <v>4598</v>
      </c>
      <c r="H102" s="177">
        <v>117534</v>
      </c>
      <c r="I102" s="289">
        <v>4623</v>
      </c>
      <c r="J102" s="177">
        <v>121163</v>
      </c>
      <c r="K102" s="289">
        <v>4587</v>
      </c>
      <c r="L102" s="177">
        <v>127019</v>
      </c>
      <c r="M102" s="289">
        <v>4565</v>
      </c>
      <c r="N102" s="177">
        <f>+'K19'!Z102</f>
        <v>128492</v>
      </c>
    </row>
    <row r="103" spans="1:14" ht="13">
      <c r="A103" s="1">
        <v>1526</v>
      </c>
      <c r="B103" s="2" t="s">
        <v>95</v>
      </c>
      <c r="C103" s="290">
        <v>1035</v>
      </c>
      <c r="D103" s="177">
        <v>18576</v>
      </c>
      <c r="E103" s="289">
        <v>1043</v>
      </c>
      <c r="F103" s="177">
        <v>18571</v>
      </c>
      <c r="G103" s="289">
        <v>1020</v>
      </c>
      <c r="H103" s="177">
        <v>20380</v>
      </c>
      <c r="I103" s="289">
        <v>1005</v>
      </c>
      <c r="J103" s="177">
        <v>21129</v>
      </c>
      <c r="K103" s="289">
        <v>972</v>
      </c>
      <c r="L103" s="177">
        <v>22562</v>
      </c>
      <c r="M103" s="289">
        <v>947</v>
      </c>
      <c r="N103" s="177">
        <f>+'K19'!Z103</f>
        <v>22435</v>
      </c>
    </row>
    <row r="104" spans="1:14" ht="13">
      <c r="A104" s="1">
        <v>1528</v>
      </c>
      <c r="B104" s="2" t="s">
        <v>96</v>
      </c>
      <c r="C104" s="290">
        <v>7730</v>
      </c>
      <c r="D104" s="177">
        <v>157880</v>
      </c>
      <c r="E104" s="289">
        <v>7707</v>
      </c>
      <c r="F104" s="177">
        <v>165427</v>
      </c>
      <c r="G104" s="289">
        <v>7675</v>
      </c>
      <c r="H104" s="177">
        <v>176372</v>
      </c>
      <c r="I104" s="289">
        <v>7695</v>
      </c>
      <c r="J104" s="177">
        <v>182002</v>
      </c>
      <c r="K104" s="289">
        <v>7695</v>
      </c>
      <c r="L104" s="177">
        <v>194273</v>
      </c>
      <c r="M104" s="289">
        <v>7657</v>
      </c>
      <c r="N104" s="177">
        <f>+'K19'!Z104</f>
        <v>203942</v>
      </c>
    </row>
    <row r="105" spans="1:14" ht="13">
      <c r="A105" s="1">
        <v>1529</v>
      </c>
      <c r="B105" s="2" t="s">
        <v>97</v>
      </c>
      <c r="C105" s="290">
        <v>4387</v>
      </c>
      <c r="D105" s="177">
        <v>93598</v>
      </c>
      <c r="E105" s="289">
        <v>4465</v>
      </c>
      <c r="F105" s="177">
        <v>99262</v>
      </c>
      <c r="G105" s="289">
        <v>4620</v>
      </c>
      <c r="H105" s="177">
        <v>111556</v>
      </c>
      <c r="I105" s="289">
        <v>4667</v>
      </c>
      <c r="J105" s="177">
        <v>114146</v>
      </c>
      <c r="K105" s="289">
        <v>4680</v>
      </c>
      <c r="L105" s="177">
        <v>116891</v>
      </c>
      <c r="M105" s="289">
        <v>4764</v>
      </c>
      <c r="N105" s="177">
        <f>+'K19'!Z105</f>
        <v>129233</v>
      </c>
    </row>
    <row r="106" spans="1:14" ht="13">
      <c r="A106" s="1">
        <v>1531</v>
      </c>
      <c r="B106" s="2" t="s">
        <v>98</v>
      </c>
      <c r="C106" s="290">
        <v>8651</v>
      </c>
      <c r="D106" s="177">
        <v>178416</v>
      </c>
      <c r="E106" s="289">
        <v>8855</v>
      </c>
      <c r="F106" s="177">
        <v>190618</v>
      </c>
      <c r="G106" s="289">
        <v>8952</v>
      </c>
      <c r="H106" s="177">
        <v>205516</v>
      </c>
      <c r="I106" s="289">
        <v>9007</v>
      </c>
      <c r="J106" s="177">
        <v>218659</v>
      </c>
      <c r="K106" s="289">
        <v>9131</v>
      </c>
      <c r="L106" s="177">
        <v>225657</v>
      </c>
      <c r="M106" s="289">
        <v>9271</v>
      </c>
      <c r="N106" s="177">
        <f>+'K19'!Z106</f>
        <v>242024</v>
      </c>
    </row>
    <row r="107" spans="1:14" ht="13">
      <c r="A107" s="1">
        <v>1532</v>
      </c>
      <c r="B107" s="2" t="s">
        <v>99</v>
      </c>
      <c r="C107" s="290">
        <v>7739</v>
      </c>
      <c r="D107" s="177">
        <v>176985</v>
      </c>
      <c r="E107" s="289">
        <v>7924</v>
      </c>
      <c r="F107" s="177">
        <v>191013</v>
      </c>
      <c r="G107" s="289">
        <v>8094</v>
      </c>
      <c r="H107" s="177">
        <v>202891</v>
      </c>
      <c r="I107" s="289">
        <v>8176</v>
      </c>
      <c r="J107" s="177">
        <v>211132</v>
      </c>
      <c r="K107" s="289">
        <v>8292</v>
      </c>
      <c r="L107" s="177">
        <v>225895</v>
      </c>
      <c r="M107" s="289">
        <v>8398</v>
      </c>
      <c r="N107" s="177">
        <f>+'K19'!Z107</f>
        <v>241624</v>
      </c>
    </row>
    <row r="108" spans="1:14" ht="13">
      <c r="A108" s="1">
        <v>1534</v>
      </c>
      <c r="B108" s="2" t="s">
        <v>100</v>
      </c>
      <c r="C108" s="290">
        <v>9084</v>
      </c>
      <c r="D108" s="177">
        <v>215808</v>
      </c>
      <c r="E108" s="289">
        <v>9120</v>
      </c>
      <c r="F108" s="177">
        <v>219138</v>
      </c>
      <c r="G108" s="289">
        <v>9200</v>
      </c>
      <c r="H108" s="177">
        <v>231827</v>
      </c>
      <c r="I108" s="289">
        <v>9312</v>
      </c>
      <c r="J108" s="177">
        <v>237154</v>
      </c>
      <c r="K108" s="289">
        <v>9345</v>
      </c>
      <c r="L108" s="177">
        <v>248949</v>
      </c>
      <c r="M108" s="289">
        <v>9383</v>
      </c>
      <c r="N108" s="177">
        <f>+'K19'!Z108</f>
        <v>265960</v>
      </c>
    </row>
    <row r="109" spans="1:14" ht="13">
      <c r="A109" s="1">
        <v>1535</v>
      </c>
      <c r="B109" s="2" t="s">
        <v>101</v>
      </c>
      <c r="C109" s="290">
        <v>6615</v>
      </c>
      <c r="D109" s="177">
        <v>148221</v>
      </c>
      <c r="E109" s="289">
        <v>6708</v>
      </c>
      <c r="F109" s="177">
        <v>156759</v>
      </c>
      <c r="G109" s="289">
        <v>6611</v>
      </c>
      <c r="H109" s="177">
        <v>156952</v>
      </c>
      <c r="I109" s="289">
        <v>6577</v>
      </c>
      <c r="J109" s="177">
        <v>160490</v>
      </c>
      <c r="K109" s="289">
        <v>6559</v>
      </c>
      <c r="L109" s="177">
        <v>176646</v>
      </c>
      <c r="M109" s="289">
        <v>6536</v>
      </c>
      <c r="N109" s="177">
        <f>+'K19'!Z109</f>
        <v>194195</v>
      </c>
    </row>
    <row r="110" spans="1:14" ht="13">
      <c r="A110" s="1">
        <v>1539</v>
      </c>
      <c r="B110" s="2" t="s">
        <v>102</v>
      </c>
      <c r="C110" s="290">
        <v>7453</v>
      </c>
      <c r="D110" s="177">
        <v>173016</v>
      </c>
      <c r="E110" s="289">
        <v>7445</v>
      </c>
      <c r="F110" s="177">
        <v>177886</v>
      </c>
      <c r="G110" s="289">
        <v>7492</v>
      </c>
      <c r="H110" s="177">
        <v>183416</v>
      </c>
      <c r="I110" s="289">
        <v>7503</v>
      </c>
      <c r="J110" s="177">
        <v>192778</v>
      </c>
      <c r="K110" s="289">
        <v>7507</v>
      </c>
      <c r="L110" s="177">
        <v>207857</v>
      </c>
      <c r="M110" s="289">
        <v>7487</v>
      </c>
      <c r="N110" s="177">
        <f>+'K19'!Z110</f>
        <v>214556</v>
      </c>
    </row>
    <row r="111" spans="1:14" ht="13">
      <c r="A111" s="1">
        <v>1543</v>
      </c>
      <c r="B111" s="2" t="s">
        <v>103</v>
      </c>
      <c r="C111" s="290">
        <v>3001</v>
      </c>
      <c r="D111" s="177">
        <v>70816</v>
      </c>
      <c r="E111" s="289">
        <v>2975</v>
      </c>
      <c r="F111" s="177">
        <v>75819</v>
      </c>
      <c r="G111" s="289">
        <v>2970</v>
      </c>
      <c r="H111" s="177">
        <v>75915</v>
      </c>
      <c r="I111" s="289">
        <v>2963</v>
      </c>
      <c r="J111" s="177">
        <v>76676</v>
      </c>
      <c r="K111" s="289">
        <v>2946</v>
      </c>
      <c r="L111" s="177">
        <v>81794</v>
      </c>
      <c r="M111" s="289">
        <v>2956</v>
      </c>
      <c r="N111" s="177">
        <f>+'K19'!Z111</f>
        <v>85030</v>
      </c>
    </row>
    <row r="112" spans="1:14" ht="13">
      <c r="A112" s="1">
        <v>1545</v>
      </c>
      <c r="B112" s="2" t="s">
        <v>104</v>
      </c>
      <c r="C112" s="290">
        <v>2036</v>
      </c>
      <c r="D112" s="177">
        <v>43816</v>
      </c>
      <c r="E112" s="289">
        <v>2068</v>
      </c>
      <c r="F112" s="177">
        <v>47190</v>
      </c>
      <c r="G112" s="289">
        <v>2088</v>
      </c>
      <c r="H112" s="177">
        <v>50242</v>
      </c>
      <c r="I112" s="289">
        <v>2085</v>
      </c>
      <c r="J112" s="177">
        <v>51819</v>
      </c>
      <c r="K112" s="289">
        <v>2049</v>
      </c>
      <c r="L112" s="177">
        <v>54739</v>
      </c>
      <c r="M112" s="289">
        <v>2019</v>
      </c>
      <c r="N112" s="177">
        <f>+'K19'!Z112</f>
        <v>62064</v>
      </c>
    </row>
    <row r="113" spans="1:14" ht="13">
      <c r="A113" s="1">
        <v>1546</v>
      </c>
      <c r="B113" s="2" t="s">
        <v>105</v>
      </c>
      <c r="C113" s="290">
        <v>1285</v>
      </c>
      <c r="D113" s="177">
        <v>35372</v>
      </c>
      <c r="E113" s="289">
        <v>1262</v>
      </c>
      <c r="F113" s="177">
        <v>36460</v>
      </c>
      <c r="G113" s="289">
        <v>1270</v>
      </c>
      <c r="H113" s="177">
        <v>39495</v>
      </c>
      <c r="I113" s="289">
        <v>1246</v>
      </c>
      <c r="J113" s="177">
        <v>37801</v>
      </c>
      <c r="K113" s="289">
        <v>1263</v>
      </c>
      <c r="L113" s="177">
        <v>39378</v>
      </c>
      <c r="M113" s="289">
        <v>1238</v>
      </c>
      <c r="N113" s="177">
        <f>+'K19'!Z113</f>
        <v>43169</v>
      </c>
    </row>
    <row r="114" spans="1:14" ht="13">
      <c r="A114" s="1">
        <v>1547</v>
      </c>
      <c r="B114" s="2" t="s">
        <v>106</v>
      </c>
      <c r="C114" s="290">
        <v>3377</v>
      </c>
      <c r="D114" s="177">
        <v>84225</v>
      </c>
      <c r="E114" s="289">
        <v>3466</v>
      </c>
      <c r="F114" s="177">
        <v>91555</v>
      </c>
      <c r="G114" s="289">
        <v>3518</v>
      </c>
      <c r="H114" s="177">
        <v>97276</v>
      </c>
      <c r="I114" s="289">
        <v>3547</v>
      </c>
      <c r="J114" s="177">
        <v>102416</v>
      </c>
      <c r="K114" s="289">
        <v>3557</v>
      </c>
      <c r="L114" s="177">
        <v>97066</v>
      </c>
      <c r="M114" s="289">
        <v>3539</v>
      </c>
      <c r="N114" s="177">
        <f>+'K19'!Z114</f>
        <v>106389</v>
      </c>
    </row>
    <row r="115" spans="1:14" ht="13">
      <c r="A115" s="1">
        <v>1548</v>
      </c>
      <c r="B115" s="2" t="s">
        <v>107</v>
      </c>
      <c r="C115" s="290">
        <v>9720</v>
      </c>
      <c r="D115" s="177">
        <v>202953</v>
      </c>
      <c r="E115" s="289">
        <v>9787</v>
      </c>
      <c r="F115" s="177">
        <v>211898</v>
      </c>
      <c r="G115" s="289">
        <v>9717</v>
      </c>
      <c r="H115" s="177">
        <v>222394</v>
      </c>
      <c r="I115" s="289">
        <v>9741</v>
      </c>
      <c r="J115" s="177">
        <v>238648</v>
      </c>
      <c r="K115" s="289">
        <v>9775</v>
      </c>
      <c r="L115" s="177">
        <v>253366</v>
      </c>
      <c r="M115" s="289">
        <v>9800</v>
      </c>
      <c r="N115" s="177">
        <f>+'K19'!Z115</f>
        <v>257648</v>
      </c>
    </row>
    <row r="116" spans="1:14" ht="13">
      <c r="A116" s="1">
        <v>1551</v>
      </c>
      <c r="B116" s="2" t="s">
        <v>108</v>
      </c>
      <c r="C116" s="290">
        <v>3471</v>
      </c>
      <c r="D116" s="177">
        <v>70518</v>
      </c>
      <c r="E116" s="289">
        <v>3463</v>
      </c>
      <c r="F116" s="177">
        <v>76467</v>
      </c>
      <c r="G116" s="289">
        <v>3467</v>
      </c>
      <c r="H116" s="177">
        <v>82666</v>
      </c>
      <c r="I116" s="289">
        <v>3454</v>
      </c>
      <c r="J116" s="177">
        <v>83031</v>
      </c>
      <c r="K116" s="289">
        <v>3440</v>
      </c>
      <c r="L116" s="177">
        <v>86542</v>
      </c>
      <c r="M116" s="289">
        <v>3433</v>
      </c>
      <c r="N116" s="177">
        <f>+'K19'!Z116</f>
        <v>88737</v>
      </c>
    </row>
    <row r="117" spans="1:14" ht="13">
      <c r="A117" s="1">
        <v>1554</v>
      </c>
      <c r="B117" s="2" t="s">
        <v>109</v>
      </c>
      <c r="C117" s="290">
        <v>5687</v>
      </c>
      <c r="D117" s="177">
        <v>125329</v>
      </c>
      <c r="E117" s="289">
        <v>5794</v>
      </c>
      <c r="F117" s="177">
        <v>136191</v>
      </c>
      <c r="G117" s="289">
        <v>5826</v>
      </c>
      <c r="H117" s="177">
        <v>146606</v>
      </c>
      <c r="I117" s="289">
        <v>5856</v>
      </c>
      <c r="J117" s="177">
        <v>150786</v>
      </c>
      <c r="K117" s="289">
        <v>5859</v>
      </c>
      <c r="L117" s="177">
        <v>153466</v>
      </c>
      <c r="M117" s="289">
        <v>5849</v>
      </c>
      <c r="N117" s="177">
        <f>+'K19'!Z117</f>
        <v>163113</v>
      </c>
    </row>
    <row r="118" spans="1:14" ht="13">
      <c r="A118" s="1">
        <v>1557</v>
      </c>
      <c r="B118" s="2" t="s">
        <v>110</v>
      </c>
      <c r="C118" s="290">
        <v>2565</v>
      </c>
      <c r="D118" s="177">
        <v>54164</v>
      </c>
      <c r="E118" s="289">
        <v>2580</v>
      </c>
      <c r="F118" s="177">
        <v>59425</v>
      </c>
      <c r="G118" s="289">
        <v>2593</v>
      </c>
      <c r="H118" s="177">
        <v>59460</v>
      </c>
      <c r="I118" s="289">
        <v>2611</v>
      </c>
      <c r="J118" s="177">
        <v>60402</v>
      </c>
      <c r="K118" s="289">
        <v>2623</v>
      </c>
      <c r="L118" s="177">
        <v>63780</v>
      </c>
      <c r="M118" s="289">
        <v>2641</v>
      </c>
      <c r="N118" s="177">
        <f>+'K19'!Z118</f>
        <v>65161</v>
      </c>
    </row>
    <row r="119" spans="1:14" ht="13">
      <c r="A119" s="1">
        <v>1560</v>
      </c>
      <c r="B119" s="2" t="s">
        <v>111</v>
      </c>
      <c r="C119" s="290">
        <v>3064</v>
      </c>
      <c r="D119" s="177">
        <v>56739</v>
      </c>
      <c r="E119" s="289">
        <v>3090</v>
      </c>
      <c r="F119" s="177">
        <v>60801</v>
      </c>
      <c r="G119" s="289">
        <v>3103</v>
      </c>
      <c r="H119" s="177">
        <v>68044</v>
      </c>
      <c r="I119" s="289">
        <v>3109</v>
      </c>
      <c r="J119" s="177">
        <v>68507</v>
      </c>
      <c r="K119" s="289">
        <v>3078</v>
      </c>
      <c r="L119" s="177">
        <v>70887</v>
      </c>
      <c r="M119" s="289">
        <v>3045</v>
      </c>
      <c r="N119" s="177">
        <f>+'K19'!Z119</f>
        <v>75985</v>
      </c>
    </row>
    <row r="120" spans="1:14" ht="13">
      <c r="A120" s="1">
        <v>1563</v>
      </c>
      <c r="B120" s="2" t="s">
        <v>112</v>
      </c>
      <c r="C120" s="290">
        <v>7171</v>
      </c>
      <c r="D120" s="177">
        <v>169264</v>
      </c>
      <c r="E120" s="289">
        <v>7155</v>
      </c>
      <c r="F120" s="177">
        <v>178481</v>
      </c>
      <c r="G120" s="289">
        <v>7160</v>
      </c>
      <c r="H120" s="177">
        <v>189734</v>
      </c>
      <c r="I120" s="289">
        <v>7126</v>
      </c>
      <c r="J120" s="177">
        <v>195106</v>
      </c>
      <c r="K120" s="289">
        <v>7119</v>
      </c>
      <c r="L120" s="177">
        <v>203672</v>
      </c>
      <c r="M120" s="289">
        <v>7106</v>
      </c>
      <c r="N120" s="177">
        <f>+'K19'!Z120</f>
        <v>207823</v>
      </c>
    </row>
    <row r="121" spans="1:14" ht="13">
      <c r="A121" s="1">
        <v>1566</v>
      </c>
      <c r="B121" s="2" t="s">
        <v>113</v>
      </c>
      <c r="C121" s="290">
        <v>5954</v>
      </c>
      <c r="D121" s="177">
        <v>120188</v>
      </c>
      <c r="E121" s="289">
        <v>5976</v>
      </c>
      <c r="F121" s="177">
        <v>122573</v>
      </c>
      <c r="G121" s="289">
        <v>5969</v>
      </c>
      <c r="H121" s="177">
        <v>132821</v>
      </c>
      <c r="I121" s="289">
        <v>5986</v>
      </c>
      <c r="J121" s="177">
        <v>140387</v>
      </c>
      <c r="K121" s="289">
        <v>5978</v>
      </c>
      <c r="L121" s="177">
        <v>157123</v>
      </c>
      <c r="M121" s="289">
        <v>5928</v>
      </c>
      <c r="N121" s="177">
        <f>+'K19'!Z121</f>
        <v>151417</v>
      </c>
    </row>
    <row r="122" spans="1:14" ht="13">
      <c r="A122" s="1">
        <v>1571</v>
      </c>
      <c r="B122" s="2" t="s">
        <v>115</v>
      </c>
      <c r="C122" s="290">
        <v>1581</v>
      </c>
      <c r="D122" s="177">
        <v>33613</v>
      </c>
      <c r="E122" s="289">
        <v>1563</v>
      </c>
      <c r="F122" s="177">
        <v>32045</v>
      </c>
      <c r="G122" s="289">
        <v>1547</v>
      </c>
      <c r="H122" s="177">
        <v>34151</v>
      </c>
      <c r="I122" s="289">
        <v>1599</v>
      </c>
      <c r="J122" s="177">
        <v>35422</v>
      </c>
      <c r="K122" s="289">
        <v>1571</v>
      </c>
      <c r="L122" s="177">
        <v>36197</v>
      </c>
      <c r="M122" s="289">
        <v>1574</v>
      </c>
      <c r="N122" s="177">
        <f>+'K19'!Z122</f>
        <v>39984</v>
      </c>
    </row>
    <row r="123" spans="1:14" ht="13">
      <c r="A123" s="1">
        <v>1573</v>
      </c>
      <c r="B123" s="2" t="s">
        <v>116</v>
      </c>
      <c r="C123" s="290">
        <v>2166</v>
      </c>
      <c r="D123" s="177">
        <v>42888</v>
      </c>
      <c r="E123" s="289">
        <v>2146</v>
      </c>
      <c r="F123" s="177">
        <v>44088</v>
      </c>
      <c r="G123" s="289">
        <v>2141</v>
      </c>
      <c r="H123" s="177">
        <v>49763</v>
      </c>
      <c r="I123" s="289">
        <v>2160</v>
      </c>
      <c r="J123" s="177">
        <v>54812</v>
      </c>
      <c r="K123" s="289">
        <v>2172</v>
      </c>
      <c r="L123" s="177">
        <v>54874</v>
      </c>
      <c r="M123" s="289">
        <v>2134</v>
      </c>
      <c r="N123" s="177">
        <f>+'K19'!Z123</f>
        <v>56072</v>
      </c>
    </row>
    <row r="124" spans="1:14" ht="13">
      <c r="A124" s="1">
        <v>1576</v>
      </c>
      <c r="B124" s="4" t="s">
        <v>710</v>
      </c>
      <c r="C124" s="290">
        <v>3577</v>
      </c>
      <c r="D124" s="177">
        <v>72755</v>
      </c>
      <c r="E124" s="289">
        <v>3549</v>
      </c>
      <c r="F124" s="177">
        <v>76165</v>
      </c>
      <c r="G124" s="289">
        <v>3536</v>
      </c>
      <c r="H124" s="177">
        <v>85813</v>
      </c>
      <c r="I124" s="289">
        <v>3590</v>
      </c>
      <c r="J124" s="177">
        <v>89415</v>
      </c>
      <c r="K124" s="289">
        <v>3593</v>
      </c>
      <c r="L124" s="177">
        <v>90980</v>
      </c>
      <c r="M124" s="289">
        <v>3553</v>
      </c>
      <c r="N124" s="177">
        <f>+'K19'!Z124</f>
        <v>94244</v>
      </c>
    </row>
    <row r="125" spans="1:14" ht="13">
      <c r="A125" s="1">
        <v>1804</v>
      </c>
      <c r="B125" s="2" t="s">
        <v>174</v>
      </c>
      <c r="C125" s="290">
        <v>49731</v>
      </c>
      <c r="D125" s="177">
        <v>1162903</v>
      </c>
      <c r="E125" s="289">
        <v>50185</v>
      </c>
      <c r="F125" s="177">
        <v>1244567</v>
      </c>
      <c r="G125" s="289">
        <v>50488</v>
      </c>
      <c r="H125" s="177">
        <v>1345148</v>
      </c>
      <c r="I125" s="289">
        <v>51022</v>
      </c>
      <c r="J125" s="177">
        <v>1417947</v>
      </c>
      <c r="K125" s="289">
        <v>51558</v>
      </c>
      <c r="L125" s="177">
        <v>1519251</v>
      </c>
      <c r="M125" s="289">
        <v>52024</v>
      </c>
      <c r="N125" s="177">
        <f>+'K19'!Z125</f>
        <v>1602846</v>
      </c>
    </row>
    <row r="126" spans="1:14" ht="13">
      <c r="A126" s="1">
        <v>1805</v>
      </c>
      <c r="B126" s="2" t="s">
        <v>175</v>
      </c>
      <c r="C126" s="290">
        <v>18705</v>
      </c>
      <c r="D126" s="177">
        <v>414485</v>
      </c>
      <c r="E126" s="289">
        <v>18853</v>
      </c>
      <c r="F126" s="177">
        <v>450486</v>
      </c>
      <c r="G126" s="289">
        <v>18787</v>
      </c>
      <c r="H126" s="177">
        <v>482286</v>
      </c>
      <c r="I126" s="289">
        <v>18756</v>
      </c>
      <c r="J126" s="177">
        <v>503411</v>
      </c>
      <c r="K126" s="289">
        <v>18638</v>
      </c>
      <c r="L126" s="177">
        <v>525327</v>
      </c>
      <c r="M126" s="289">
        <v>18630</v>
      </c>
      <c r="N126" s="177">
        <f>+'K19'!Z126</f>
        <v>524405</v>
      </c>
    </row>
    <row r="127" spans="1:14" ht="13">
      <c r="A127" s="1">
        <v>1811</v>
      </c>
      <c r="B127" s="2" t="s">
        <v>176</v>
      </c>
      <c r="C127" s="290">
        <v>1503</v>
      </c>
      <c r="D127" s="177">
        <v>30493</v>
      </c>
      <c r="E127" s="289">
        <v>1482</v>
      </c>
      <c r="F127" s="177">
        <v>32052</v>
      </c>
      <c r="G127" s="289">
        <v>1465</v>
      </c>
      <c r="H127" s="177">
        <v>35427</v>
      </c>
      <c r="I127" s="289">
        <v>1473</v>
      </c>
      <c r="J127" s="177">
        <v>37248</v>
      </c>
      <c r="K127" s="289">
        <v>1486</v>
      </c>
      <c r="L127" s="177">
        <v>40198</v>
      </c>
      <c r="M127" s="289">
        <v>1450</v>
      </c>
      <c r="N127" s="177">
        <f>+'K19'!Z127</f>
        <v>38970</v>
      </c>
    </row>
    <row r="128" spans="1:14" ht="13">
      <c r="A128" s="1">
        <v>1812</v>
      </c>
      <c r="B128" s="2" t="s">
        <v>177</v>
      </c>
      <c r="C128" s="290">
        <v>2047</v>
      </c>
      <c r="D128" s="177">
        <v>38816</v>
      </c>
      <c r="E128" s="289">
        <v>2063</v>
      </c>
      <c r="F128" s="177">
        <v>39185</v>
      </c>
      <c r="G128" s="289">
        <v>2031</v>
      </c>
      <c r="H128" s="177">
        <v>39654</v>
      </c>
      <c r="I128" s="289">
        <v>2047</v>
      </c>
      <c r="J128" s="177">
        <v>41811</v>
      </c>
      <c r="K128" s="289">
        <v>2020</v>
      </c>
      <c r="L128" s="177">
        <v>44273</v>
      </c>
      <c r="M128" s="289">
        <v>2014</v>
      </c>
      <c r="N128" s="177">
        <f>+'K19'!Z128</f>
        <v>46881</v>
      </c>
    </row>
    <row r="129" spans="1:14" ht="13">
      <c r="A129" s="1">
        <v>1813</v>
      </c>
      <c r="B129" s="2" t="s">
        <v>178</v>
      </c>
      <c r="C129" s="290">
        <v>7897</v>
      </c>
      <c r="D129" s="177">
        <v>156213</v>
      </c>
      <c r="E129" s="289">
        <v>7934</v>
      </c>
      <c r="F129" s="177">
        <v>167225</v>
      </c>
      <c r="G129" s="289">
        <v>7962</v>
      </c>
      <c r="H129" s="177">
        <v>181445</v>
      </c>
      <c r="I129" s="289">
        <v>7956</v>
      </c>
      <c r="J129" s="177">
        <v>190059</v>
      </c>
      <c r="K129" s="289">
        <v>7948</v>
      </c>
      <c r="L129" s="177">
        <v>197077</v>
      </c>
      <c r="M129" s="289">
        <v>7916</v>
      </c>
      <c r="N129" s="177">
        <f>+'K19'!Z129</f>
        <v>198525</v>
      </c>
    </row>
    <row r="130" spans="1:14" ht="13">
      <c r="A130" s="1">
        <v>1815</v>
      </c>
      <c r="B130" s="2" t="s">
        <v>179</v>
      </c>
      <c r="C130" s="290">
        <v>1223</v>
      </c>
      <c r="D130" s="177">
        <v>21722</v>
      </c>
      <c r="E130" s="289">
        <v>1225</v>
      </c>
      <c r="F130" s="177">
        <v>22840</v>
      </c>
      <c r="G130" s="289">
        <v>1244</v>
      </c>
      <c r="H130" s="177">
        <v>24000</v>
      </c>
      <c r="I130" s="289">
        <v>1234</v>
      </c>
      <c r="J130" s="177">
        <v>24851</v>
      </c>
      <c r="K130" s="289">
        <v>1221</v>
      </c>
      <c r="L130" s="177">
        <v>26288</v>
      </c>
      <c r="M130" s="289">
        <v>1232</v>
      </c>
      <c r="N130" s="177">
        <f>+'K19'!Z130</f>
        <v>27921</v>
      </c>
    </row>
    <row r="131" spans="1:14" ht="13">
      <c r="A131" s="1">
        <v>1816</v>
      </c>
      <c r="B131" s="2" t="s">
        <v>180</v>
      </c>
      <c r="C131" s="290">
        <v>495</v>
      </c>
      <c r="D131" s="177">
        <v>8703</v>
      </c>
      <c r="E131" s="289">
        <v>510</v>
      </c>
      <c r="F131" s="177">
        <v>9279</v>
      </c>
      <c r="G131" s="289">
        <v>507</v>
      </c>
      <c r="H131" s="177">
        <v>10195</v>
      </c>
      <c r="I131" s="289">
        <v>528</v>
      </c>
      <c r="J131" s="177">
        <v>10057</v>
      </c>
      <c r="K131" s="289">
        <v>506</v>
      </c>
      <c r="L131" s="177">
        <v>10264</v>
      </c>
      <c r="M131" s="289">
        <v>497</v>
      </c>
      <c r="N131" s="177">
        <f>+'K19'!Z131</f>
        <v>13562</v>
      </c>
    </row>
    <row r="132" spans="1:14" ht="13">
      <c r="A132" s="1">
        <v>1818</v>
      </c>
      <c r="B132" s="2" t="s">
        <v>87</v>
      </c>
      <c r="C132" s="290">
        <v>1733</v>
      </c>
      <c r="D132" s="177">
        <v>33864</v>
      </c>
      <c r="E132" s="289">
        <v>1737</v>
      </c>
      <c r="F132" s="177">
        <v>38421</v>
      </c>
      <c r="G132" s="289">
        <v>1743</v>
      </c>
      <c r="H132" s="177">
        <v>41230</v>
      </c>
      <c r="I132" s="289">
        <v>1788</v>
      </c>
      <c r="J132" s="177">
        <v>46836</v>
      </c>
      <c r="K132" s="289">
        <v>1790</v>
      </c>
      <c r="L132" s="177">
        <v>51964</v>
      </c>
      <c r="M132" s="289">
        <v>1780</v>
      </c>
      <c r="N132" s="177">
        <f>+'K19'!Z132</f>
        <v>51439</v>
      </c>
    </row>
    <row r="133" spans="1:14" ht="13">
      <c r="A133" s="1">
        <v>1820</v>
      </c>
      <c r="B133" s="2" t="s">
        <v>181</v>
      </c>
      <c r="C133" s="290">
        <v>7394</v>
      </c>
      <c r="D133" s="177">
        <v>151380</v>
      </c>
      <c r="E133" s="289">
        <v>7454</v>
      </c>
      <c r="F133" s="177">
        <v>158275</v>
      </c>
      <c r="G133" s="289">
        <v>7437</v>
      </c>
      <c r="H133" s="177">
        <v>172927</v>
      </c>
      <c r="I133" s="289">
        <v>7428</v>
      </c>
      <c r="J133" s="177">
        <v>176287</v>
      </c>
      <c r="K133" s="289">
        <v>7450</v>
      </c>
      <c r="L133" s="177">
        <v>184472</v>
      </c>
      <c r="M133" s="289">
        <v>7415</v>
      </c>
      <c r="N133" s="177">
        <f>+'K19'!Z133</f>
        <v>193762</v>
      </c>
    </row>
    <row r="134" spans="1:14" ht="13">
      <c r="A134" s="1">
        <v>1822</v>
      </c>
      <c r="B134" s="2" t="s">
        <v>182</v>
      </c>
      <c r="C134" s="290">
        <v>2188</v>
      </c>
      <c r="D134" s="177">
        <v>37305</v>
      </c>
      <c r="E134" s="289">
        <v>2188</v>
      </c>
      <c r="F134" s="177">
        <v>38473</v>
      </c>
      <c r="G134" s="289">
        <v>2216</v>
      </c>
      <c r="H134" s="177">
        <v>42435</v>
      </c>
      <c r="I134" s="289">
        <v>2278</v>
      </c>
      <c r="J134" s="177">
        <v>43914</v>
      </c>
      <c r="K134" s="289">
        <v>2307</v>
      </c>
      <c r="L134" s="177">
        <v>47531</v>
      </c>
      <c r="M134" s="289">
        <v>2320</v>
      </c>
      <c r="N134" s="177">
        <f>+'K19'!Z134</f>
        <v>50052</v>
      </c>
    </row>
    <row r="135" spans="1:14" ht="13">
      <c r="A135" s="1">
        <v>1824</v>
      </c>
      <c r="B135" s="2" t="s">
        <v>183</v>
      </c>
      <c r="C135" s="290">
        <v>13286</v>
      </c>
      <c r="D135" s="177">
        <v>273516</v>
      </c>
      <c r="E135" s="289">
        <v>13352</v>
      </c>
      <c r="F135" s="177">
        <v>288336</v>
      </c>
      <c r="G135" s="289">
        <v>13427</v>
      </c>
      <c r="H135" s="177">
        <v>316667</v>
      </c>
      <c r="I135" s="289">
        <v>13465</v>
      </c>
      <c r="J135" s="177">
        <v>321672</v>
      </c>
      <c r="K135" s="289">
        <v>13448</v>
      </c>
      <c r="L135" s="177">
        <v>338074</v>
      </c>
      <c r="M135" s="289">
        <v>13403</v>
      </c>
      <c r="N135" s="177">
        <f>+'K19'!Z135</f>
        <v>353905</v>
      </c>
    </row>
    <row r="136" spans="1:14" ht="13">
      <c r="A136" s="1">
        <v>1825</v>
      </c>
      <c r="B136" s="2" t="s">
        <v>184</v>
      </c>
      <c r="C136" s="290">
        <v>1465</v>
      </c>
      <c r="D136" s="177">
        <v>28175</v>
      </c>
      <c r="E136" s="289">
        <v>1458</v>
      </c>
      <c r="F136" s="177">
        <v>30028</v>
      </c>
      <c r="G136" s="289">
        <v>1462</v>
      </c>
      <c r="H136" s="177">
        <v>31257</v>
      </c>
      <c r="I136" s="289">
        <v>1469</v>
      </c>
      <c r="J136" s="177">
        <v>32445</v>
      </c>
      <c r="K136" s="289">
        <v>1463</v>
      </c>
      <c r="L136" s="177">
        <v>35736</v>
      </c>
      <c r="M136" s="289">
        <v>1493</v>
      </c>
      <c r="N136" s="177">
        <f>+'K19'!Z136</f>
        <v>35715</v>
      </c>
    </row>
    <row r="137" spans="1:14" ht="13">
      <c r="A137" s="1">
        <v>1826</v>
      </c>
      <c r="B137" s="2" t="s">
        <v>185</v>
      </c>
      <c r="C137" s="290">
        <v>1500</v>
      </c>
      <c r="D137" s="177">
        <v>25086</v>
      </c>
      <c r="E137" s="289">
        <v>1533</v>
      </c>
      <c r="F137" s="177">
        <v>27288</v>
      </c>
      <c r="G137" s="289">
        <v>1465</v>
      </c>
      <c r="H137" s="177">
        <v>29443</v>
      </c>
      <c r="I137" s="289">
        <v>1414</v>
      </c>
      <c r="J137" s="177">
        <v>28941</v>
      </c>
      <c r="K137" s="289">
        <v>1411</v>
      </c>
      <c r="L137" s="177">
        <v>28471</v>
      </c>
      <c r="M137" s="289">
        <v>1359</v>
      </c>
      <c r="N137" s="177">
        <f>+'K19'!Z137</f>
        <v>29557</v>
      </c>
    </row>
    <row r="138" spans="1:14" ht="13">
      <c r="A138" s="1">
        <v>1827</v>
      </c>
      <c r="B138" s="2" t="s">
        <v>186</v>
      </c>
      <c r="C138" s="290">
        <v>1420</v>
      </c>
      <c r="D138" s="177">
        <v>26092</v>
      </c>
      <c r="E138" s="289">
        <v>1407</v>
      </c>
      <c r="F138" s="177">
        <v>27767</v>
      </c>
      <c r="G138" s="289">
        <v>1402</v>
      </c>
      <c r="H138" s="177">
        <v>29285</v>
      </c>
      <c r="I138" s="289">
        <v>1410</v>
      </c>
      <c r="J138" s="177">
        <v>31550</v>
      </c>
      <c r="K138" s="289">
        <v>1403</v>
      </c>
      <c r="L138" s="177">
        <v>34700</v>
      </c>
      <c r="M138" s="289">
        <v>1391</v>
      </c>
      <c r="N138" s="177">
        <f>+'K19'!Z138</f>
        <v>43441</v>
      </c>
    </row>
    <row r="139" spans="1:14" ht="13">
      <c r="A139" s="1">
        <v>1828</v>
      </c>
      <c r="B139" s="2" t="s">
        <v>187</v>
      </c>
      <c r="C139" s="290">
        <v>1902</v>
      </c>
      <c r="D139" s="177">
        <v>29300</v>
      </c>
      <c r="E139" s="289">
        <v>1871</v>
      </c>
      <c r="F139" s="177">
        <v>33036</v>
      </c>
      <c r="G139" s="289">
        <v>1838</v>
      </c>
      <c r="H139" s="177">
        <v>35368</v>
      </c>
      <c r="I139" s="289">
        <v>1837</v>
      </c>
      <c r="J139" s="177">
        <v>37688</v>
      </c>
      <c r="K139" s="289">
        <v>1805</v>
      </c>
      <c r="L139" s="177">
        <v>44961</v>
      </c>
      <c r="M139" s="289">
        <v>1792</v>
      </c>
      <c r="N139" s="177">
        <f>+'K19'!Z139</f>
        <v>43755</v>
      </c>
    </row>
    <row r="140" spans="1:14" ht="13">
      <c r="A140" s="1">
        <v>1832</v>
      </c>
      <c r="B140" s="2" t="s">
        <v>188</v>
      </c>
      <c r="C140" s="290">
        <v>4553</v>
      </c>
      <c r="D140" s="177">
        <v>106976</v>
      </c>
      <c r="E140" s="289">
        <v>4528</v>
      </c>
      <c r="F140" s="177">
        <v>115881</v>
      </c>
      <c r="G140" s="289">
        <v>4486</v>
      </c>
      <c r="H140" s="177">
        <v>121742</v>
      </c>
      <c r="I140" s="289">
        <v>4524</v>
      </c>
      <c r="J140" s="177">
        <v>124876</v>
      </c>
      <c r="K140" s="289">
        <v>4503</v>
      </c>
      <c r="L140" s="177">
        <v>131134</v>
      </c>
      <c r="M140" s="289">
        <v>4501</v>
      </c>
      <c r="N140" s="177">
        <f>+'K19'!Z140</f>
        <v>131414</v>
      </c>
    </row>
    <row r="141" spans="1:14" ht="13">
      <c r="A141" s="1">
        <v>1833</v>
      </c>
      <c r="B141" s="2" t="s">
        <v>189</v>
      </c>
      <c r="C141" s="290">
        <v>25943</v>
      </c>
      <c r="D141" s="177">
        <v>551613</v>
      </c>
      <c r="E141" s="289">
        <v>26078</v>
      </c>
      <c r="F141" s="177">
        <v>589326</v>
      </c>
      <c r="G141" s="289">
        <v>26039</v>
      </c>
      <c r="H141" s="177">
        <v>638012</v>
      </c>
      <c r="I141" s="289">
        <v>26101</v>
      </c>
      <c r="J141" s="177">
        <v>666769</v>
      </c>
      <c r="K141" s="289">
        <v>26230</v>
      </c>
      <c r="L141" s="177">
        <v>691020</v>
      </c>
      <c r="M141" s="289">
        <v>26315</v>
      </c>
      <c r="N141" s="177">
        <f>+'K19'!Z141</f>
        <v>712344</v>
      </c>
    </row>
    <row r="142" spans="1:14" ht="13">
      <c r="A142" s="1">
        <v>1834</v>
      </c>
      <c r="B142" s="2" t="s">
        <v>190</v>
      </c>
      <c r="C142" s="290">
        <v>1901</v>
      </c>
      <c r="D142" s="177">
        <v>42293</v>
      </c>
      <c r="E142" s="289">
        <v>1917</v>
      </c>
      <c r="F142" s="177">
        <v>46055</v>
      </c>
      <c r="G142" s="289">
        <v>1923</v>
      </c>
      <c r="H142" s="177">
        <v>58139</v>
      </c>
      <c r="I142" s="289">
        <v>1920</v>
      </c>
      <c r="J142" s="177">
        <v>61482</v>
      </c>
      <c r="K142" s="289">
        <v>1920</v>
      </c>
      <c r="L142" s="177">
        <v>71323</v>
      </c>
      <c r="M142" s="289">
        <v>1904</v>
      </c>
      <c r="N142" s="177">
        <f>+'K19'!Z142</f>
        <v>78651</v>
      </c>
    </row>
    <row r="143" spans="1:14" ht="13">
      <c r="A143" s="1">
        <v>1835</v>
      </c>
      <c r="B143" s="2" t="s">
        <v>191</v>
      </c>
      <c r="C143" s="290">
        <v>489</v>
      </c>
      <c r="D143" s="177">
        <v>9796</v>
      </c>
      <c r="E143" s="289">
        <v>486</v>
      </c>
      <c r="F143" s="177">
        <v>10370</v>
      </c>
      <c r="G143" s="289">
        <v>478</v>
      </c>
      <c r="H143" s="177">
        <v>11735</v>
      </c>
      <c r="I143" s="289">
        <v>465</v>
      </c>
      <c r="J143" s="177">
        <v>11809</v>
      </c>
      <c r="K143" s="289">
        <v>454</v>
      </c>
      <c r="L143" s="177">
        <v>12509</v>
      </c>
      <c r="M143" s="289">
        <v>456</v>
      </c>
      <c r="N143" s="177">
        <f>+'K19'!Z143</f>
        <v>12554</v>
      </c>
    </row>
    <row r="144" spans="1:14" ht="13">
      <c r="A144" s="1">
        <v>1836</v>
      </c>
      <c r="B144" s="2" t="s">
        <v>192</v>
      </c>
      <c r="C144" s="290">
        <v>1305</v>
      </c>
      <c r="D144" s="177">
        <v>22194</v>
      </c>
      <c r="E144" s="289">
        <v>1269</v>
      </c>
      <c r="F144" s="177">
        <v>23597</v>
      </c>
      <c r="G144" s="289">
        <v>1268</v>
      </c>
      <c r="H144" s="177">
        <v>26674</v>
      </c>
      <c r="I144" s="289">
        <v>1267</v>
      </c>
      <c r="J144" s="177">
        <v>27439</v>
      </c>
      <c r="K144" s="289">
        <v>1249</v>
      </c>
      <c r="L144" s="177">
        <v>28017</v>
      </c>
      <c r="M144" s="289">
        <v>1238</v>
      </c>
      <c r="N144" s="177">
        <f>+'K19'!Z144</f>
        <v>30314</v>
      </c>
    </row>
    <row r="145" spans="1:15" ht="13">
      <c r="A145" s="1">
        <v>1837</v>
      </c>
      <c r="B145" s="2" t="s">
        <v>193</v>
      </c>
      <c r="C145" s="290">
        <v>6491</v>
      </c>
      <c r="D145" s="177">
        <v>153531</v>
      </c>
      <c r="E145" s="289">
        <v>6454</v>
      </c>
      <c r="F145" s="177">
        <v>158459</v>
      </c>
      <c r="G145" s="289">
        <v>6471</v>
      </c>
      <c r="H145" s="177">
        <v>170747</v>
      </c>
      <c r="I145" s="289">
        <v>6435</v>
      </c>
      <c r="J145" s="177">
        <v>177983</v>
      </c>
      <c r="K145" s="289">
        <v>6346</v>
      </c>
      <c r="L145" s="177">
        <v>179660</v>
      </c>
      <c r="M145" s="289">
        <v>6331</v>
      </c>
      <c r="N145" s="177">
        <f>+'K19'!Z145</f>
        <v>186474</v>
      </c>
    </row>
    <row r="146" spans="1:15" ht="13">
      <c r="A146" s="1">
        <v>1838</v>
      </c>
      <c r="B146" s="2" t="s">
        <v>194</v>
      </c>
      <c r="C146" s="290">
        <v>2023</v>
      </c>
      <c r="D146" s="177">
        <v>46197</v>
      </c>
      <c r="E146" s="289">
        <v>2014</v>
      </c>
      <c r="F146" s="177">
        <v>42627</v>
      </c>
      <c r="G146" s="289">
        <v>2043</v>
      </c>
      <c r="H146" s="177">
        <v>50208</v>
      </c>
      <c r="I146" s="289">
        <v>2024</v>
      </c>
      <c r="J146" s="177">
        <v>49108</v>
      </c>
      <c r="K146" s="289">
        <v>1998</v>
      </c>
      <c r="L146" s="177">
        <v>50262</v>
      </c>
      <c r="M146" s="289">
        <v>1978</v>
      </c>
      <c r="N146" s="177">
        <f>+'K19'!Z146</f>
        <v>52828</v>
      </c>
    </row>
    <row r="147" spans="1:15" ht="13">
      <c r="A147" s="1">
        <v>1839</v>
      </c>
      <c r="B147" s="2" t="s">
        <v>195</v>
      </c>
      <c r="C147" s="290">
        <v>1088</v>
      </c>
      <c r="D147" s="177">
        <v>27234</v>
      </c>
      <c r="E147" s="289">
        <v>1058</v>
      </c>
      <c r="F147" s="177">
        <v>25978</v>
      </c>
      <c r="G147" s="289">
        <v>1034</v>
      </c>
      <c r="H147" s="177">
        <v>25014</v>
      </c>
      <c r="I147" s="289">
        <v>1043</v>
      </c>
      <c r="J147" s="177">
        <v>26048</v>
      </c>
      <c r="K147" s="289">
        <v>1029</v>
      </c>
      <c r="L147" s="177">
        <v>26982</v>
      </c>
      <c r="M147" s="289">
        <v>1022</v>
      </c>
      <c r="N147" s="177">
        <f>+'K19'!Z147</f>
        <v>27743</v>
      </c>
    </row>
    <row r="148" spans="1:15" ht="13">
      <c r="A148" s="1">
        <v>1840</v>
      </c>
      <c r="B148" s="2" t="s">
        <v>196</v>
      </c>
      <c r="C148" s="290">
        <v>4690</v>
      </c>
      <c r="D148" s="177">
        <v>89200</v>
      </c>
      <c r="E148" s="289">
        <v>4734</v>
      </c>
      <c r="F148" s="177">
        <v>97414</v>
      </c>
      <c r="G148" s="289">
        <v>4700</v>
      </c>
      <c r="H148" s="177">
        <v>108553</v>
      </c>
      <c r="I148" s="289">
        <v>4702</v>
      </c>
      <c r="J148" s="177">
        <v>111140</v>
      </c>
      <c r="K148" s="289">
        <v>4691</v>
      </c>
      <c r="L148" s="177">
        <v>110720</v>
      </c>
      <c r="M148" s="289">
        <v>4657</v>
      </c>
      <c r="N148" s="177">
        <f>+'K19'!Z148</f>
        <v>111043</v>
      </c>
    </row>
    <row r="149" spans="1:15" ht="13">
      <c r="A149" s="1">
        <v>1841</v>
      </c>
      <c r="B149" s="2" t="s">
        <v>197</v>
      </c>
      <c r="C149" s="290">
        <v>9556</v>
      </c>
      <c r="D149" s="177">
        <v>205253</v>
      </c>
      <c r="E149" s="289">
        <v>9622</v>
      </c>
      <c r="F149" s="177">
        <v>238903</v>
      </c>
      <c r="G149" s="289">
        <v>9604</v>
      </c>
      <c r="H149" s="177">
        <v>209670</v>
      </c>
      <c r="I149" s="289">
        <v>9729</v>
      </c>
      <c r="J149" s="177">
        <v>242289</v>
      </c>
      <c r="K149" s="289">
        <v>9775</v>
      </c>
      <c r="L149" s="177">
        <v>257308</v>
      </c>
      <c r="M149" s="289">
        <v>9760</v>
      </c>
      <c r="N149" s="177">
        <f>+'K19'!Z149</f>
        <v>266024</v>
      </c>
      <c r="O149" s="5"/>
    </row>
    <row r="150" spans="1:15" ht="13">
      <c r="A150" s="1">
        <v>1845</v>
      </c>
      <c r="B150" s="2" t="s">
        <v>198</v>
      </c>
      <c r="C150" s="290">
        <v>1987</v>
      </c>
      <c r="D150" s="177">
        <v>52924</v>
      </c>
      <c r="E150" s="289">
        <v>1953</v>
      </c>
      <c r="F150" s="177">
        <v>53864</v>
      </c>
      <c r="G150" s="289">
        <v>1963</v>
      </c>
      <c r="H150" s="177">
        <v>55801</v>
      </c>
      <c r="I150" s="289">
        <v>1958</v>
      </c>
      <c r="J150" s="177">
        <v>57707</v>
      </c>
      <c r="K150" s="289">
        <v>1979</v>
      </c>
      <c r="L150" s="177">
        <v>58654</v>
      </c>
      <c r="M150" s="289">
        <v>1975</v>
      </c>
      <c r="N150" s="177">
        <f>+'K19'!Z150</f>
        <v>60172</v>
      </c>
    </row>
    <row r="151" spans="1:15" ht="13">
      <c r="A151" s="1">
        <v>1848</v>
      </c>
      <c r="B151" s="2" t="s">
        <v>199</v>
      </c>
      <c r="C151" s="290">
        <v>2579</v>
      </c>
      <c r="D151" s="177">
        <v>46019</v>
      </c>
      <c r="E151" s="289">
        <v>2507</v>
      </c>
      <c r="F151" s="177">
        <v>49325</v>
      </c>
      <c r="G151" s="289">
        <v>2543</v>
      </c>
      <c r="H151" s="177">
        <v>55924</v>
      </c>
      <c r="I151" s="289">
        <v>2543</v>
      </c>
      <c r="J151" s="177">
        <v>60787</v>
      </c>
      <c r="K151" s="289">
        <v>2534</v>
      </c>
      <c r="L151" s="177">
        <v>63418</v>
      </c>
      <c r="M151" s="289">
        <v>2576</v>
      </c>
      <c r="N151" s="177">
        <f>+'K19'!Z151</f>
        <v>66236</v>
      </c>
    </row>
    <row r="152" spans="1:15" ht="13">
      <c r="A152" s="1">
        <v>1849</v>
      </c>
      <c r="B152" s="2" t="s">
        <v>200</v>
      </c>
      <c r="C152" s="290">
        <v>1820</v>
      </c>
      <c r="D152" s="177">
        <v>39940</v>
      </c>
      <c r="E152" s="289">
        <v>1811</v>
      </c>
      <c r="F152" s="177">
        <v>42101</v>
      </c>
      <c r="G152" s="289">
        <v>1824</v>
      </c>
      <c r="H152" s="177">
        <v>46151</v>
      </c>
      <c r="I152" s="289">
        <v>1810</v>
      </c>
      <c r="J152" s="177">
        <v>46172</v>
      </c>
      <c r="K152" s="289">
        <v>1801</v>
      </c>
      <c r="L152" s="177">
        <v>49651</v>
      </c>
      <c r="M152" s="289">
        <v>1747</v>
      </c>
      <c r="N152" s="177">
        <f>+'K19'!Z152</f>
        <v>50853</v>
      </c>
    </row>
    <row r="153" spans="1:15" ht="13">
      <c r="A153" s="1">
        <v>1850</v>
      </c>
      <c r="B153" s="2" t="s">
        <v>201</v>
      </c>
      <c r="C153" s="290">
        <v>2000</v>
      </c>
      <c r="D153" s="177">
        <v>39412</v>
      </c>
      <c r="E153" s="289">
        <v>1996</v>
      </c>
      <c r="F153" s="177">
        <v>42142</v>
      </c>
      <c r="G153" s="289">
        <v>1974</v>
      </c>
      <c r="H153" s="177">
        <v>43277</v>
      </c>
      <c r="I153" s="289">
        <v>1960</v>
      </c>
      <c r="J153" s="177">
        <v>44808</v>
      </c>
      <c r="K153" s="289">
        <v>1953</v>
      </c>
      <c r="L153" s="177">
        <v>46432</v>
      </c>
      <c r="M153" s="289">
        <v>1925</v>
      </c>
      <c r="N153" s="177">
        <f>+'K19'!Z153</f>
        <v>47833</v>
      </c>
    </row>
    <row r="154" spans="1:15" ht="13">
      <c r="A154" s="1">
        <v>1851</v>
      </c>
      <c r="B154" s="2" t="s">
        <v>202</v>
      </c>
      <c r="C154" s="290">
        <v>2248</v>
      </c>
      <c r="D154" s="177">
        <v>43646</v>
      </c>
      <c r="E154" s="289">
        <v>2160</v>
      </c>
      <c r="F154" s="177">
        <v>46553</v>
      </c>
      <c r="G154" s="289">
        <v>2144</v>
      </c>
      <c r="H154" s="177">
        <v>49484</v>
      </c>
      <c r="I154" s="289">
        <v>2134</v>
      </c>
      <c r="J154" s="177">
        <v>50467</v>
      </c>
      <c r="K154" s="289">
        <v>2102</v>
      </c>
      <c r="L154" s="177">
        <v>52437</v>
      </c>
      <c r="M154" s="289">
        <v>2077</v>
      </c>
      <c r="N154" s="177">
        <f>+'K19'!Z154</f>
        <v>52472</v>
      </c>
    </row>
    <row r="155" spans="1:15" ht="13">
      <c r="A155" s="1">
        <v>1852</v>
      </c>
      <c r="B155" s="2" t="s">
        <v>203</v>
      </c>
      <c r="C155" s="290">
        <v>1256</v>
      </c>
      <c r="D155" s="177">
        <v>22423</v>
      </c>
      <c r="E155" s="289">
        <v>1280</v>
      </c>
      <c r="F155" s="177">
        <v>24602</v>
      </c>
      <c r="G155" s="289">
        <v>1283</v>
      </c>
      <c r="H155" s="177">
        <v>26174</v>
      </c>
      <c r="I155" s="289">
        <v>1252</v>
      </c>
      <c r="J155" s="177">
        <v>26001</v>
      </c>
      <c r="K155" s="289">
        <v>1259</v>
      </c>
      <c r="L155" s="177">
        <v>26955</v>
      </c>
      <c r="M155" s="289">
        <v>1259</v>
      </c>
      <c r="N155" s="177">
        <f>+'K19'!Z155</f>
        <v>27623</v>
      </c>
    </row>
    <row r="156" spans="1:15" ht="13">
      <c r="A156" s="1">
        <v>1853</v>
      </c>
      <c r="B156" s="2" t="s">
        <v>204</v>
      </c>
      <c r="C156" s="290">
        <v>1391</v>
      </c>
      <c r="D156" s="177">
        <v>24670</v>
      </c>
      <c r="E156" s="289">
        <v>1385</v>
      </c>
      <c r="F156" s="177">
        <v>26418</v>
      </c>
      <c r="G156" s="289">
        <v>1400</v>
      </c>
      <c r="H156" s="177">
        <v>27912</v>
      </c>
      <c r="I156" s="289">
        <v>1402</v>
      </c>
      <c r="J156" s="177">
        <v>28976</v>
      </c>
      <c r="K156" s="289">
        <v>1387</v>
      </c>
      <c r="L156" s="177">
        <v>29781</v>
      </c>
      <c r="M156" s="289">
        <v>1387</v>
      </c>
      <c r="N156" s="177">
        <f>+'K19'!Z156</f>
        <v>30761</v>
      </c>
    </row>
    <row r="157" spans="1:15" ht="13">
      <c r="A157" s="1">
        <v>1854</v>
      </c>
      <c r="B157" s="2" t="s">
        <v>205</v>
      </c>
      <c r="C157" s="290">
        <v>2591</v>
      </c>
      <c r="D157" s="177">
        <v>43185</v>
      </c>
      <c r="E157" s="289">
        <v>2581</v>
      </c>
      <c r="F157" s="177">
        <v>46719</v>
      </c>
      <c r="G157" s="289">
        <v>2556</v>
      </c>
      <c r="H157" s="177">
        <v>49901</v>
      </c>
      <c r="I157" s="289">
        <v>2554</v>
      </c>
      <c r="J157" s="177">
        <v>51010</v>
      </c>
      <c r="K157" s="289">
        <v>2522</v>
      </c>
      <c r="L157" s="177">
        <v>53063</v>
      </c>
      <c r="M157" s="289">
        <v>2470</v>
      </c>
      <c r="N157" s="177">
        <f>+'K19'!Z157</f>
        <v>52910</v>
      </c>
    </row>
    <row r="158" spans="1:15" ht="13">
      <c r="A158" s="1">
        <v>1856</v>
      </c>
      <c r="B158" s="2" t="s">
        <v>206</v>
      </c>
      <c r="C158" s="290">
        <v>566</v>
      </c>
      <c r="D158" s="177">
        <v>11661</v>
      </c>
      <c r="E158" s="289">
        <v>545</v>
      </c>
      <c r="F158" s="177">
        <v>13949</v>
      </c>
      <c r="G158" s="289">
        <v>551</v>
      </c>
      <c r="H158" s="177">
        <v>16165</v>
      </c>
      <c r="I158" s="289">
        <v>535</v>
      </c>
      <c r="J158" s="177">
        <v>17382</v>
      </c>
      <c r="K158" s="289">
        <v>517</v>
      </c>
      <c r="L158" s="177">
        <v>16310</v>
      </c>
      <c r="M158" s="289">
        <v>508</v>
      </c>
      <c r="N158" s="177">
        <f>+'K19'!Z158</f>
        <v>18474</v>
      </c>
    </row>
    <row r="159" spans="1:15" ht="13">
      <c r="A159" s="1">
        <v>1857</v>
      </c>
      <c r="B159" s="2" t="s">
        <v>207</v>
      </c>
      <c r="C159" s="290">
        <v>777</v>
      </c>
      <c r="D159" s="177">
        <v>16048</v>
      </c>
      <c r="E159" s="289">
        <v>780</v>
      </c>
      <c r="F159" s="177">
        <v>18594</v>
      </c>
      <c r="G159" s="289">
        <v>765</v>
      </c>
      <c r="H159" s="177">
        <v>20793</v>
      </c>
      <c r="I159" s="289">
        <v>744</v>
      </c>
      <c r="J159" s="177">
        <v>22080</v>
      </c>
      <c r="K159" s="289">
        <v>746</v>
      </c>
      <c r="L159" s="177">
        <v>21713</v>
      </c>
      <c r="M159" s="289">
        <v>732</v>
      </c>
      <c r="N159" s="177">
        <f>+'K19'!Z159</f>
        <v>22943</v>
      </c>
    </row>
    <row r="160" spans="1:15" ht="13">
      <c r="A160" s="1">
        <v>1859</v>
      </c>
      <c r="B160" s="2" t="s">
        <v>208</v>
      </c>
      <c r="C160" s="290">
        <v>1368</v>
      </c>
      <c r="D160" s="177">
        <v>26259</v>
      </c>
      <c r="E160" s="289">
        <v>1358</v>
      </c>
      <c r="F160" s="177">
        <v>28292</v>
      </c>
      <c r="G160" s="289">
        <v>1336</v>
      </c>
      <c r="H160" s="177">
        <v>32331</v>
      </c>
      <c r="I160" s="289">
        <v>1349</v>
      </c>
      <c r="J160" s="177">
        <v>35412</v>
      </c>
      <c r="K160" s="289">
        <v>1301</v>
      </c>
      <c r="L160" s="177">
        <v>37505</v>
      </c>
      <c r="M160" s="289">
        <v>1292</v>
      </c>
      <c r="N160" s="177">
        <f>+'K19'!Z160</f>
        <v>40548</v>
      </c>
    </row>
    <row r="161" spans="1:14" ht="13">
      <c r="A161" s="1">
        <v>1860</v>
      </c>
      <c r="B161" s="2" t="s">
        <v>209</v>
      </c>
      <c r="C161" s="290">
        <v>10997</v>
      </c>
      <c r="D161" s="177">
        <v>209102</v>
      </c>
      <c r="E161" s="289">
        <v>11140</v>
      </c>
      <c r="F161" s="177">
        <v>227662</v>
      </c>
      <c r="G161" s="289">
        <v>11198</v>
      </c>
      <c r="H161" s="177">
        <v>253493</v>
      </c>
      <c r="I161" s="289">
        <v>11294</v>
      </c>
      <c r="J161" s="177">
        <v>265381</v>
      </c>
      <c r="K161" s="289">
        <v>11397</v>
      </c>
      <c r="L161" s="177">
        <v>282252</v>
      </c>
      <c r="M161" s="289">
        <v>11480</v>
      </c>
      <c r="N161" s="177">
        <f>+'K19'!Z161</f>
        <v>290256</v>
      </c>
    </row>
    <row r="162" spans="1:14" ht="13">
      <c r="A162" s="1">
        <v>1865</v>
      </c>
      <c r="B162" s="2" t="s">
        <v>210</v>
      </c>
      <c r="C162" s="290">
        <v>9223</v>
      </c>
      <c r="D162" s="177">
        <v>176605</v>
      </c>
      <c r="E162" s="289">
        <v>9285</v>
      </c>
      <c r="F162" s="177">
        <v>202235</v>
      </c>
      <c r="G162" s="289">
        <v>9350</v>
      </c>
      <c r="H162" s="177">
        <v>224413</v>
      </c>
      <c r="I162" s="289">
        <v>9444</v>
      </c>
      <c r="J162" s="177">
        <v>240817</v>
      </c>
      <c r="K162" s="289">
        <v>9611</v>
      </c>
      <c r="L162" s="177">
        <v>268281</v>
      </c>
      <c r="M162" s="289">
        <v>9595</v>
      </c>
      <c r="N162" s="177">
        <f>+'K19'!Z162</f>
        <v>278063</v>
      </c>
    </row>
    <row r="163" spans="1:14" ht="13">
      <c r="A163" s="1">
        <v>1866</v>
      </c>
      <c r="B163" s="2" t="s">
        <v>211</v>
      </c>
      <c r="C163" s="290">
        <v>8112</v>
      </c>
      <c r="D163" s="177">
        <v>156987</v>
      </c>
      <c r="E163" s="289">
        <v>8057</v>
      </c>
      <c r="F163" s="177">
        <v>161270</v>
      </c>
      <c r="G163" s="289">
        <v>8082</v>
      </c>
      <c r="H163" s="177">
        <v>190925</v>
      </c>
      <c r="I163" s="289">
        <v>8009</v>
      </c>
      <c r="J163" s="177">
        <v>197825</v>
      </c>
      <c r="K163" s="289">
        <v>8042</v>
      </c>
      <c r="L163" s="177">
        <v>188411</v>
      </c>
      <c r="M163" s="289">
        <v>8091</v>
      </c>
      <c r="N163" s="177">
        <f>+'K19'!Z163</f>
        <v>199930</v>
      </c>
    </row>
    <row r="164" spans="1:14" ht="13">
      <c r="A164" s="1">
        <v>1867</v>
      </c>
      <c r="B164" s="2" t="s">
        <v>913</v>
      </c>
      <c r="C164" s="290">
        <v>2642</v>
      </c>
      <c r="D164" s="177">
        <v>42197</v>
      </c>
      <c r="E164" s="289">
        <v>2642</v>
      </c>
      <c r="F164" s="177">
        <v>45774</v>
      </c>
      <c r="G164" s="289">
        <v>2632</v>
      </c>
      <c r="H164" s="177">
        <v>52082</v>
      </c>
      <c r="I164" s="289">
        <v>2624</v>
      </c>
      <c r="J164" s="177">
        <v>54754</v>
      </c>
      <c r="K164" s="289">
        <v>2623</v>
      </c>
      <c r="L164" s="177">
        <v>61567</v>
      </c>
      <c r="M164" s="289">
        <v>2616</v>
      </c>
      <c r="N164" s="177">
        <f>+'K19'!Z164</f>
        <v>64569</v>
      </c>
    </row>
    <row r="165" spans="1:14" ht="13">
      <c r="A165" s="1">
        <v>1868</v>
      </c>
      <c r="B165" s="2" t="s">
        <v>212</v>
      </c>
      <c r="C165" s="290">
        <v>4562</v>
      </c>
      <c r="D165" s="177">
        <v>88777</v>
      </c>
      <c r="E165" s="289">
        <v>4563</v>
      </c>
      <c r="F165" s="177">
        <v>96911</v>
      </c>
      <c r="G165" s="289">
        <v>4529</v>
      </c>
      <c r="H165" s="177">
        <v>105787</v>
      </c>
      <c r="I165" s="289">
        <v>4580</v>
      </c>
      <c r="J165" s="177">
        <v>109552</v>
      </c>
      <c r="K165" s="289">
        <v>4541</v>
      </c>
      <c r="L165" s="177">
        <v>122118</v>
      </c>
      <c r="M165" s="289">
        <v>4449</v>
      </c>
      <c r="N165" s="177">
        <f>+'K19'!Z165</f>
        <v>126035</v>
      </c>
    </row>
    <row r="166" spans="1:14" ht="13">
      <c r="A166" s="1">
        <v>1870</v>
      </c>
      <c r="B166" s="2" t="s">
        <v>213</v>
      </c>
      <c r="C166" s="290">
        <v>10129</v>
      </c>
      <c r="D166" s="177">
        <v>197249</v>
      </c>
      <c r="E166" s="289">
        <v>10166</v>
      </c>
      <c r="F166" s="177">
        <v>213192</v>
      </c>
      <c r="G166" s="289">
        <v>10214</v>
      </c>
      <c r="H166" s="177">
        <v>236542</v>
      </c>
      <c r="I166" s="289">
        <v>10378</v>
      </c>
      <c r="J166" s="177">
        <v>247240</v>
      </c>
      <c r="K166" s="289">
        <v>10401</v>
      </c>
      <c r="L166" s="177">
        <v>270129</v>
      </c>
      <c r="M166" s="289">
        <v>10518</v>
      </c>
      <c r="N166" s="177">
        <f>+'K19'!Z166</f>
        <v>279319</v>
      </c>
    </row>
    <row r="167" spans="1:14" ht="13">
      <c r="A167" s="1">
        <v>1871</v>
      </c>
      <c r="B167" s="2" t="s">
        <v>214</v>
      </c>
      <c r="C167" s="290">
        <v>4993</v>
      </c>
      <c r="D167" s="177">
        <v>97841</v>
      </c>
      <c r="E167" s="289">
        <v>4991</v>
      </c>
      <c r="F167" s="177">
        <v>105566</v>
      </c>
      <c r="G167" s="289">
        <v>4980</v>
      </c>
      <c r="H167" s="177">
        <v>110513</v>
      </c>
      <c r="I167" s="289">
        <v>4908</v>
      </c>
      <c r="J167" s="177">
        <v>114562</v>
      </c>
      <c r="K167" s="289">
        <v>4902</v>
      </c>
      <c r="L167" s="177">
        <v>134742</v>
      </c>
      <c r="M167" s="289">
        <v>4771</v>
      </c>
      <c r="N167" s="177">
        <f>+'K19'!Z167</f>
        <v>127446</v>
      </c>
    </row>
    <row r="168" spans="1:14" ht="13">
      <c r="A168" s="1">
        <v>1874</v>
      </c>
      <c r="B168" s="2" t="s">
        <v>215</v>
      </c>
      <c r="C168" s="290">
        <v>1108</v>
      </c>
      <c r="D168" s="177">
        <v>23459</v>
      </c>
      <c r="E168" s="289">
        <v>1070</v>
      </c>
      <c r="F168" s="177">
        <v>25475</v>
      </c>
      <c r="G168" s="289">
        <v>1062</v>
      </c>
      <c r="H168" s="177">
        <v>25619</v>
      </c>
      <c r="I168" s="289">
        <v>1073</v>
      </c>
      <c r="J168" s="177">
        <v>28995</v>
      </c>
      <c r="K168" s="289">
        <v>1068</v>
      </c>
      <c r="L168" s="177">
        <v>30852</v>
      </c>
      <c r="M168" s="289">
        <v>1039</v>
      </c>
      <c r="N168" s="177">
        <f>+'K19'!Z168</f>
        <v>34001</v>
      </c>
    </row>
    <row r="169" spans="1:14" ht="13">
      <c r="A169" s="1">
        <v>1913</v>
      </c>
      <c r="B169" s="2" t="s">
        <v>219</v>
      </c>
      <c r="C169" s="290">
        <v>2951</v>
      </c>
      <c r="D169" s="177">
        <v>55617</v>
      </c>
      <c r="E169" s="289">
        <v>2988</v>
      </c>
      <c r="F169" s="177">
        <v>61208</v>
      </c>
      <c r="G169" s="289">
        <v>3041</v>
      </c>
      <c r="H169" s="177">
        <v>66151</v>
      </c>
      <c r="I169" s="289">
        <v>3048</v>
      </c>
      <c r="J169" s="177">
        <v>70391</v>
      </c>
      <c r="K169" s="289">
        <v>2994</v>
      </c>
      <c r="L169" s="177">
        <v>69865</v>
      </c>
      <c r="M169" s="289">
        <v>3009</v>
      </c>
      <c r="N169" s="177">
        <f>+'K19'!Z169</f>
        <v>73309</v>
      </c>
    </row>
    <row r="170" spans="1:14" ht="13">
      <c r="A170" s="1">
        <v>1927</v>
      </c>
      <c r="B170" s="2" t="s">
        <v>229</v>
      </c>
      <c r="C170" s="290">
        <v>1510</v>
      </c>
      <c r="D170" s="177">
        <v>26039</v>
      </c>
      <c r="E170" s="289">
        <v>1544</v>
      </c>
      <c r="F170" s="177">
        <v>27648</v>
      </c>
      <c r="G170" s="289">
        <v>1543</v>
      </c>
      <c r="H170" s="177">
        <v>30589</v>
      </c>
      <c r="I170" s="289">
        <v>1540</v>
      </c>
      <c r="J170" s="177">
        <v>31694</v>
      </c>
      <c r="K170" s="289">
        <v>1536</v>
      </c>
      <c r="L170" s="177">
        <v>32458</v>
      </c>
      <c r="M170" s="289">
        <v>1513</v>
      </c>
      <c r="N170" s="177">
        <f>+'K19'!Z170</f>
        <v>34453</v>
      </c>
    </row>
    <row r="171" spans="1:14" ht="13">
      <c r="A171" s="1">
        <v>1928</v>
      </c>
      <c r="B171" s="2" t="s">
        <v>230</v>
      </c>
      <c r="C171" s="290">
        <v>878</v>
      </c>
      <c r="D171" s="177">
        <v>16199</v>
      </c>
      <c r="E171" s="289">
        <v>884</v>
      </c>
      <c r="F171" s="177">
        <v>17440</v>
      </c>
      <c r="G171" s="289">
        <v>913</v>
      </c>
      <c r="H171" s="177">
        <v>18571</v>
      </c>
      <c r="I171" s="289">
        <v>921</v>
      </c>
      <c r="J171" s="177">
        <v>19159</v>
      </c>
      <c r="K171" s="289">
        <v>943</v>
      </c>
      <c r="L171" s="177">
        <v>21406</v>
      </c>
      <c r="M171" s="289">
        <v>931</v>
      </c>
      <c r="N171" s="177">
        <f>+'K19'!Z171</f>
        <v>21142</v>
      </c>
    </row>
    <row r="172" spans="1:14" ht="13">
      <c r="A172" s="1">
        <v>1929</v>
      </c>
      <c r="B172" s="2" t="s">
        <v>231</v>
      </c>
      <c r="C172" s="290">
        <v>918</v>
      </c>
      <c r="D172" s="177">
        <v>18134</v>
      </c>
      <c r="E172" s="289">
        <v>905</v>
      </c>
      <c r="F172" s="177">
        <v>20611</v>
      </c>
      <c r="G172" s="289">
        <v>915</v>
      </c>
      <c r="H172" s="177">
        <v>21381</v>
      </c>
      <c r="I172" s="289">
        <v>914</v>
      </c>
      <c r="J172" s="177">
        <v>22587</v>
      </c>
      <c r="K172" s="289">
        <v>902</v>
      </c>
      <c r="L172" s="177">
        <v>23708</v>
      </c>
      <c r="M172" s="289">
        <v>888</v>
      </c>
      <c r="N172" s="177">
        <f>+'K19'!Z172</f>
        <v>25764</v>
      </c>
    </row>
    <row r="173" spans="1:14" ht="13">
      <c r="A173" s="1">
        <v>1931</v>
      </c>
      <c r="B173" s="2" t="s">
        <v>232</v>
      </c>
      <c r="C173" s="290">
        <v>11557</v>
      </c>
      <c r="D173" s="177">
        <v>224957</v>
      </c>
      <c r="E173" s="289">
        <v>11535</v>
      </c>
      <c r="F173" s="177">
        <v>242479</v>
      </c>
      <c r="G173" s="289">
        <v>11618</v>
      </c>
      <c r="H173" s="177">
        <v>274230</v>
      </c>
      <c r="I173" s="289">
        <v>11697</v>
      </c>
      <c r="J173" s="177">
        <v>291981</v>
      </c>
      <c r="K173" s="289">
        <v>11644</v>
      </c>
      <c r="L173" s="177">
        <v>294637</v>
      </c>
      <c r="M173" s="289">
        <v>11679</v>
      </c>
      <c r="N173" s="177">
        <f>+'K19'!Z173</f>
        <v>311153</v>
      </c>
    </row>
    <row r="174" spans="1:14" ht="13">
      <c r="A174" s="1">
        <v>2004</v>
      </c>
      <c r="B174" s="2" t="s">
        <v>243</v>
      </c>
      <c r="C174" s="290">
        <v>10287</v>
      </c>
      <c r="D174" s="177">
        <v>251640</v>
      </c>
      <c r="E174" s="289">
        <v>10417</v>
      </c>
      <c r="F174" s="177">
        <v>271230</v>
      </c>
      <c r="G174" s="289">
        <v>10455</v>
      </c>
      <c r="H174" s="177">
        <v>280198</v>
      </c>
      <c r="I174" s="289">
        <v>10527</v>
      </c>
      <c r="J174" s="177">
        <v>292967</v>
      </c>
      <c r="K174" s="289">
        <v>10533</v>
      </c>
      <c r="L174" s="177">
        <v>303061</v>
      </c>
      <c r="M174" s="289">
        <v>10536</v>
      </c>
      <c r="N174" s="177">
        <f>+'K19'!Z174</f>
        <v>316078</v>
      </c>
    </row>
    <row r="175" spans="1:14" ht="13">
      <c r="A175" s="1">
        <v>2017</v>
      </c>
      <c r="B175" s="2" t="s">
        <v>248</v>
      </c>
      <c r="C175" s="290">
        <v>1051</v>
      </c>
      <c r="D175" s="177">
        <v>20929</v>
      </c>
      <c r="E175" s="289">
        <v>1049</v>
      </c>
      <c r="F175" s="177">
        <v>22878</v>
      </c>
      <c r="G175" s="289">
        <v>1035</v>
      </c>
      <c r="H175" s="177">
        <v>22431</v>
      </c>
      <c r="I175" s="289">
        <v>1027</v>
      </c>
      <c r="J175" s="177">
        <v>24854</v>
      </c>
      <c r="K175" s="289">
        <v>1027</v>
      </c>
      <c r="L175" s="177">
        <v>24465</v>
      </c>
      <c r="M175" s="289">
        <v>988</v>
      </c>
      <c r="N175" s="177">
        <f>+'K19'!Z175</f>
        <v>24502</v>
      </c>
    </row>
    <row r="176" spans="1:14" ht="13">
      <c r="A176" s="1">
        <v>3001</v>
      </c>
      <c r="B176" s="2" t="s">
        <v>783</v>
      </c>
      <c r="C176" s="290">
        <v>30132</v>
      </c>
      <c r="D176" s="177">
        <v>578670</v>
      </c>
      <c r="E176" s="289">
        <v>30328</v>
      </c>
      <c r="F176" s="177">
        <v>622874</v>
      </c>
      <c r="G176" s="289">
        <v>30544</v>
      </c>
      <c r="H176" s="177">
        <v>694774</v>
      </c>
      <c r="I176" s="289">
        <v>30790</v>
      </c>
      <c r="J176" s="177">
        <v>718818</v>
      </c>
      <c r="K176" s="289">
        <v>31037</v>
      </c>
      <c r="L176" s="177">
        <v>758714</v>
      </c>
      <c r="M176" s="289">
        <v>31177</v>
      </c>
      <c r="N176" s="177">
        <f>+'K19'!Z176</f>
        <v>767877</v>
      </c>
    </row>
    <row r="177" spans="1:14" ht="13">
      <c r="A177" s="1">
        <v>3003</v>
      </c>
      <c r="B177" s="2" t="s">
        <v>785</v>
      </c>
      <c r="C177" s="290">
        <v>54059</v>
      </c>
      <c r="D177" s="177">
        <v>1032285</v>
      </c>
      <c r="E177" s="289">
        <v>54192</v>
      </c>
      <c r="F177" s="177">
        <v>1110209</v>
      </c>
      <c r="G177" s="289">
        <v>54678</v>
      </c>
      <c r="H177" s="177">
        <v>1254916</v>
      </c>
      <c r="I177" s="289">
        <v>55127</v>
      </c>
      <c r="J177" s="177">
        <v>1290591</v>
      </c>
      <c r="K177" s="289">
        <v>55543</v>
      </c>
      <c r="L177" s="177">
        <v>1352585</v>
      </c>
      <c r="M177" s="289">
        <v>55997</v>
      </c>
      <c r="N177" s="177">
        <f>+'K19'!Z177</f>
        <v>1416352</v>
      </c>
    </row>
    <row r="178" spans="1:14" ht="13">
      <c r="A178" s="1">
        <v>3004</v>
      </c>
      <c r="B178" s="2" t="s">
        <v>786</v>
      </c>
      <c r="C178" s="290">
        <v>77591</v>
      </c>
      <c r="D178" s="177">
        <v>1625623</v>
      </c>
      <c r="E178" s="289">
        <v>78159</v>
      </c>
      <c r="F178" s="177">
        <v>1719479</v>
      </c>
      <c r="G178" s="289">
        <v>78967</v>
      </c>
      <c r="H178" s="177">
        <v>1889857</v>
      </c>
      <c r="I178" s="289">
        <v>80121</v>
      </c>
      <c r="J178" s="177">
        <v>1991852</v>
      </c>
      <c r="K178" s="289">
        <v>80977</v>
      </c>
      <c r="L178" s="177">
        <v>2095333</v>
      </c>
      <c r="M178" s="289">
        <v>81772</v>
      </c>
      <c r="N178" s="177">
        <f>+'K19'!Z178</f>
        <v>2241352</v>
      </c>
    </row>
    <row r="179" spans="1:14" ht="13">
      <c r="A179" s="1">
        <v>3006</v>
      </c>
      <c r="B179" s="2" t="s">
        <v>872</v>
      </c>
      <c r="C179" s="290">
        <v>26406</v>
      </c>
      <c r="D179" s="177">
        <v>752839</v>
      </c>
      <c r="E179" s="289">
        <v>26711</v>
      </c>
      <c r="F179" s="177">
        <v>781052</v>
      </c>
      <c r="G179" s="289">
        <v>27013</v>
      </c>
      <c r="H179" s="177">
        <v>820578</v>
      </c>
      <c r="I179" s="289">
        <v>27216</v>
      </c>
      <c r="J179" s="177">
        <v>824287</v>
      </c>
      <c r="K179" s="289">
        <v>27410</v>
      </c>
      <c r="L179" s="177">
        <v>875371</v>
      </c>
      <c r="M179" s="289">
        <v>27481</v>
      </c>
      <c r="N179" s="177">
        <f>+'K19'!Z179</f>
        <v>895667</v>
      </c>
    </row>
    <row r="180" spans="1:14" ht="13">
      <c r="A180" s="1">
        <v>3007</v>
      </c>
      <c r="B180" s="2" t="s">
        <v>873</v>
      </c>
      <c r="C180" s="290">
        <v>29624</v>
      </c>
      <c r="D180" s="177">
        <v>636695</v>
      </c>
      <c r="E180" s="289">
        <v>29712</v>
      </c>
      <c r="F180" s="177">
        <v>674660</v>
      </c>
      <c r="G180" s="289">
        <v>29801</v>
      </c>
      <c r="H180" s="177">
        <v>741381</v>
      </c>
      <c r="I180" s="289">
        <v>30034</v>
      </c>
      <c r="J180" s="177">
        <v>781819</v>
      </c>
      <c r="K180" s="289">
        <v>30283</v>
      </c>
      <c r="L180" s="177">
        <v>803489</v>
      </c>
      <c r="M180" s="289">
        <v>30442</v>
      </c>
      <c r="N180" s="177">
        <f>+'K19'!Z180</f>
        <v>840146</v>
      </c>
    </row>
    <row r="181" spans="1:14" ht="13">
      <c r="A181" s="1">
        <v>3011</v>
      </c>
      <c r="B181" s="2" t="s">
        <v>787</v>
      </c>
      <c r="C181" s="290">
        <v>4386</v>
      </c>
      <c r="D181" s="177">
        <v>118250</v>
      </c>
      <c r="E181" s="289">
        <v>4480</v>
      </c>
      <c r="F181" s="177">
        <v>120496</v>
      </c>
      <c r="G181" s="289">
        <v>4511</v>
      </c>
      <c r="H181" s="177">
        <v>127169</v>
      </c>
      <c r="I181" s="289">
        <v>4517</v>
      </c>
      <c r="J181" s="177">
        <v>140962</v>
      </c>
      <c r="K181" s="289">
        <v>4540</v>
      </c>
      <c r="L181" s="177">
        <v>152833</v>
      </c>
      <c r="M181" s="289">
        <v>4599</v>
      </c>
      <c r="N181" s="177">
        <f>+'K19'!Z181</f>
        <v>157813</v>
      </c>
    </row>
    <row r="182" spans="1:14" ht="13">
      <c r="A182" s="1">
        <v>3012</v>
      </c>
      <c r="B182" s="2" t="s">
        <v>788</v>
      </c>
      <c r="C182" s="290">
        <v>1408</v>
      </c>
      <c r="D182" s="177">
        <v>27552</v>
      </c>
      <c r="E182" s="289">
        <v>1406</v>
      </c>
      <c r="F182" s="177">
        <v>29788</v>
      </c>
      <c r="G182" s="289">
        <v>1404</v>
      </c>
      <c r="H182" s="177">
        <v>32642</v>
      </c>
      <c r="I182" s="289">
        <v>1398</v>
      </c>
      <c r="J182" s="177">
        <v>34123</v>
      </c>
      <c r="K182" s="289">
        <v>1399</v>
      </c>
      <c r="L182" s="177">
        <v>33281</v>
      </c>
      <c r="M182" s="289">
        <v>1357</v>
      </c>
      <c r="N182" s="177">
        <f>+'K19'!Z182</f>
        <v>36601</v>
      </c>
    </row>
    <row r="183" spans="1:14" ht="13">
      <c r="A183" s="1">
        <v>3013</v>
      </c>
      <c r="B183" s="2" t="s">
        <v>789</v>
      </c>
      <c r="C183" s="290">
        <v>3596</v>
      </c>
      <c r="D183" s="177">
        <v>65789</v>
      </c>
      <c r="E183" s="289">
        <v>3613</v>
      </c>
      <c r="F183" s="177">
        <v>75060</v>
      </c>
      <c r="G183" s="289">
        <v>3610</v>
      </c>
      <c r="H183" s="177">
        <v>85887</v>
      </c>
      <c r="I183" s="289">
        <v>3597</v>
      </c>
      <c r="J183" s="177">
        <v>82436</v>
      </c>
      <c r="K183" s="289">
        <v>3567</v>
      </c>
      <c r="L183" s="177">
        <v>87199</v>
      </c>
      <c r="M183" s="289">
        <v>3592</v>
      </c>
      <c r="N183" s="177">
        <f>+'K19'!Z183</f>
        <v>92254</v>
      </c>
    </row>
    <row r="184" spans="1:14" ht="13">
      <c r="A184" s="1">
        <v>3015</v>
      </c>
      <c r="B184" s="2" t="s">
        <v>2369</v>
      </c>
      <c r="C184" s="290">
        <v>3727</v>
      </c>
      <c r="D184" s="177">
        <v>74341</v>
      </c>
      <c r="E184" s="289">
        <v>3731</v>
      </c>
      <c r="F184" s="177">
        <v>80910</v>
      </c>
      <c r="G184" s="289">
        <v>3742</v>
      </c>
      <c r="H184" s="177">
        <v>88702</v>
      </c>
      <c r="I184" s="289">
        <v>3783</v>
      </c>
      <c r="J184" s="177">
        <v>87806</v>
      </c>
      <c r="K184" s="289">
        <v>3831</v>
      </c>
      <c r="L184" s="177">
        <v>93552</v>
      </c>
      <c r="M184" s="289">
        <v>3797</v>
      </c>
      <c r="N184" s="177">
        <f>+'K19'!Z184</f>
        <v>97504</v>
      </c>
    </row>
    <row r="185" spans="1:14" ht="13">
      <c r="A185" s="1">
        <v>3016</v>
      </c>
      <c r="B185" s="2" t="s">
        <v>796</v>
      </c>
      <c r="C185" s="290">
        <v>7974</v>
      </c>
      <c r="D185" s="177">
        <v>157886</v>
      </c>
      <c r="E185" s="289">
        <v>8020</v>
      </c>
      <c r="F185" s="177">
        <v>167095</v>
      </c>
      <c r="G185" s="289">
        <v>8084</v>
      </c>
      <c r="H185" s="177">
        <v>193284</v>
      </c>
      <c r="I185" s="289">
        <v>8173</v>
      </c>
      <c r="J185" s="177">
        <v>194656</v>
      </c>
      <c r="K185" s="289">
        <v>8202</v>
      </c>
      <c r="L185" s="177">
        <v>210300</v>
      </c>
      <c r="M185" s="289">
        <v>8230</v>
      </c>
      <c r="N185" s="177">
        <f>+'K19'!Z185</f>
        <v>215542</v>
      </c>
    </row>
    <row r="186" spans="1:14" ht="13">
      <c r="A186" s="1">
        <v>3017</v>
      </c>
      <c r="B186" s="2" t="s">
        <v>797</v>
      </c>
      <c r="C186" s="290">
        <v>7104</v>
      </c>
      <c r="D186" s="177">
        <v>158348</v>
      </c>
      <c r="E186" s="289">
        <v>7206</v>
      </c>
      <c r="F186" s="177">
        <v>167440</v>
      </c>
      <c r="G186" s="289">
        <v>7357</v>
      </c>
      <c r="H186" s="177">
        <v>189397</v>
      </c>
      <c r="I186" s="289">
        <v>7398</v>
      </c>
      <c r="J186" s="177">
        <v>193812</v>
      </c>
      <c r="K186" s="289">
        <v>7465</v>
      </c>
      <c r="L186" s="177">
        <v>198782</v>
      </c>
      <c r="M186" s="289">
        <v>7542</v>
      </c>
      <c r="N186" s="177">
        <f>+'K19'!Z186</f>
        <v>209112</v>
      </c>
    </row>
    <row r="187" spans="1:14" ht="13">
      <c r="A187" s="1">
        <v>3018</v>
      </c>
      <c r="B187" s="2" t="s">
        <v>799</v>
      </c>
      <c r="C187" s="290">
        <v>4978</v>
      </c>
      <c r="D187" s="177">
        <v>104906</v>
      </c>
      <c r="E187" s="289">
        <v>5100</v>
      </c>
      <c r="F187" s="177">
        <v>113132</v>
      </c>
      <c r="G187" s="289">
        <v>5186</v>
      </c>
      <c r="H187" s="177">
        <v>126383</v>
      </c>
      <c r="I187" s="289">
        <v>5335</v>
      </c>
      <c r="J187" s="177">
        <v>136309</v>
      </c>
      <c r="K187" s="289">
        <v>5471</v>
      </c>
      <c r="L187" s="177">
        <v>144788</v>
      </c>
      <c r="M187" s="289">
        <v>5593</v>
      </c>
      <c r="N187" s="177">
        <f>+'K19'!Z187</f>
        <v>145443</v>
      </c>
    </row>
    <row r="188" spans="1:14" ht="13">
      <c r="A188" s="1">
        <v>3019</v>
      </c>
      <c r="B188" s="2" t="s">
        <v>801</v>
      </c>
      <c r="C188" s="290">
        <v>15944</v>
      </c>
      <c r="D188" s="177">
        <v>382877</v>
      </c>
      <c r="E188" s="289">
        <v>16310</v>
      </c>
      <c r="F188" s="177">
        <v>425131</v>
      </c>
      <c r="G188" s="289">
        <v>16732</v>
      </c>
      <c r="H188" s="177">
        <v>481457</v>
      </c>
      <c r="I188" s="289">
        <v>17188</v>
      </c>
      <c r="J188" s="177">
        <v>511136</v>
      </c>
      <c r="K188" s="289">
        <v>17486</v>
      </c>
      <c r="L188" s="177">
        <v>544775</v>
      </c>
      <c r="M188" s="289">
        <v>17824</v>
      </c>
      <c r="N188" s="177">
        <f>+'K19'!Z188</f>
        <v>560651</v>
      </c>
    </row>
    <row r="189" spans="1:14" ht="13">
      <c r="A189" s="1">
        <v>3021</v>
      </c>
      <c r="B189" s="2" t="s">
        <v>803</v>
      </c>
      <c r="C189" s="290">
        <v>17969</v>
      </c>
      <c r="D189" s="177">
        <v>433083</v>
      </c>
      <c r="E189" s="289">
        <v>18503</v>
      </c>
      <c r="F189" s="177">
        <v>473176</v>
      </c>
      <c r="G189" s="289">
        <v>18992</v>
      </c>
      <c r="H189" s="177">
        <v>504569</v>
      </c>
      <c r="I189" s="289">
        <v>19288</v>
      </c>
      <c r="J189" s="177">
        <v>542959</v>
      </c>
      <c r="K189" s="289">
        <v>20084</v>
      </c>
      <c r="L189" s="177">
        <v>610935</v>
      </c>
      <c r="M189" s="289">
        <v>20335</v>
      </c>
      <c r="N189" s="177">
        <f>+'K19'!Z189</f>
        <v>611725</v>
      </c>
    </row>
    <row r="190" spans="1:14" ht="13">
      <c r="A190" s="1">
        <v>3022</v>
      </c>
      <c r="B190" s="2" t="s">
        <v>804</v>
      </c>
      <c r="C190" s="290">
        <v>15671</v>
      </c>
      <c r="D190" s="177">
        <v>458700</v>
      </c>
      <c r="E190" s="289">
        <v>15656</v>
      </c>
      <c r="F190" s="177">
        <v>488635</v>
      </c>
      <c r="G190" s="289">
        <v>15695</v>
      </c>
      <c r="H190" s="177">
        <v>552401</v>
      </c>
      <c r="I190" s="289">
        <v>15743</v>
      </c>
      <c r="J190" s="177">
        <v>572415</v>
      </c>
      <c r="K190" s="289">
        <v>15735</v>
      </c>
      <c r="L190" s="177">
        <v>586294</v>
      </c>
      <c r="M190" s="289">
        <v>15761</v>
      </c>
      <c r="N190" s="177">
        <f>+'K19'!Z190</f>
        <v>611625</v>
      </c>
    </row>
    <row r="191" spans="1:14" ht="13">
      <c r="A191" s="1">
        <v>3023</v>
      </c>
      <c r="B191" s="2" t="s">
        <v>805</v>
      </c>
      <c r="C191" s="290">
        <v>18297</v>
      </c>
      <c r="D191" s="177">
        <v>484633</v>
      </c>
      <c r="E191" s="289">
        <v>18372</v>
      </c>
      <c r="F191" s="177">
        <v>506316</v>
      </c>
      <c r="G191" s="289">
        <v>18623</v>
      </c>
      <c r="H191" s="177">
        <v>556056</v>
      </c>
      <c r="I191" s="289">
        <v>18869</v>
      </c>
      <c r="J191" s="177">
        <v>583891</v>
      </c>
      <c r="K191" s="289">
        <v>19287</v>
      </c>
      <c r="L191" s="177">
        <v>619346</v>
      </c>
      <c r="M191" s="289">
        <v>19488</v>
      </c>
      <c r="N191" s="177">
        <f>+'K19'!Z191</f>
        <v>642751</v>
      </c>
    </row>
    <row r="192" spans="1:14" ht="13">
      <c r="A192" s="1">
        <v>3024</v>
      </c>
      <c r="B192" s="2" t="s">
        <v>807</v>
      </c>
      <c r="C192" s="290">
        <v>118588</v>
      </c>
      <c r="D192" s="177">
        <v>4694842</v>
      </c>
      <c r="E192" s="289">
        <v>120685</v>
      </c>
      <c r="F192" s="177">
        <v>5002876</v>
      </c>
      <c r="G192" s="289">
        <v>122348</v>
      </c>
      <c r="H192" s="177">
        <v>5817013</v>
      </c>
      <c r="I192" s="289">
        <v>124008</v>
      </c>
      <c r="J192" s="177">
        <v>6180068</v>
      </c>
      <c r="K192" s="289">
        <v>125454</v>
      </c>
      <c r="L192" s="177">
        <v>6345361</v>
      </c>
      <c r="M192" s="289">
        <v>126841</v>
      </c>
      <c r="N192" s="177">
        <f>+'K19'!Z192</f>
        <v>6827068</v>
      </c>
    </row>
    <row r="193" spans="1:14" ht="13">
      <c r="A193" s="1">
        <v>3027</v>
      </c>
      <c r="B193" s="2" t="s">
        <v>812</v>
      </c>
      <c r="C193" s="290">
        <v>16806</v>
      </c>
      <c r="D193" s="177">
        <v>418672</v>
      </c>
      <c r="E193" s="289">
        <v>17185</v>
      </c>
      <c r="F193" s="177">
        <v>443705</v>
      </c>
      <c r="G193" s="289">
        <v>17426</v>
      </c>
      <c r="H193" s="177">
        <v>489036</v>
      </c>
      <c r="I193" s="289">
        <v>17730</v>
      </c>
      <c r="J193" s="177">
        <v>519409</v>
      </c>
      <c r="K193" s="289">
        <v>17874</v>
      </c>
      <c r="L193" s="177">
        <v>553595</v>
      </c>
      <c r="M193" s="289">
        <v>18161</v>
      </c>
      <c r="N193" s="177">
        <f>+'K19'!Z193</f>
        <v>579991</v>
      </c>
    </row>
    <row r="194" spans="1:14" ht="13">
      <c r="A194" s="1">
        <v>3028</v>
      </c>
      <c r="B194" s="2" t="s">
        <v>813</v>
      </c>
      <c r="C194" s="290">
        <v>10626</v>
      </c>
      <c r="D194" s="177">
        <v>235399</v>
      </c>
      <c r="E194" s="289">
        <v>10760</v>
      </c>
      <c r="F194" s="177">
        <v>253577</v>
      </c>
      <c r="G194" s="289">
        <v>10870</v>
      </c>
      <c r="H194" s="177">
        <v>279337</v>
      </c>
      <c r="I194" s="289">
        <v>10927</v>
      </c>
      <c r="J194" s="177">
        <v>287943</v>
      </c>
      <c r="K194" s="289">
        <v>10945</v>
      </c>
      <c r="L194" s="177">
        <v>292839</v>
      </c>
      <c r="M194" s="289">
        <v>11026</v>
      </c>
      <c r="N194" s="177">
        <f>+'K19'!Z194</f>
        <v>299078</v>
      </c>
    </row>
    <row r="195" spans="1:14" ht="13">
      <c r="A195" s="1">
        <v>3029</v>
      </c>
      <c r="B195" s="2" t="s">
        <v>814</v>
      </c>
      <c r="C195" s="290">
        <v>34697</v>
      </c>
      <c r="D195" s="177">
        <v>955054</v>
      </c>
      <c r="E195" s="289">
        <v>35139</v>
      </c>
      <c r="F195" s="177">
        <v>1000847</v>
      </c>
      <c r="G195" s="289">
        <v>36368</v>
      </c>
      <c r="H195" s="177">
        <v>1106763</v>
      </c>
      <c r="I195" s="289">
        <v>37406</v>
      </c>
      <c r="J195" s="177">
        <v>1186669</v>
      </c>
      <c r="K195" s="289">
        <v>38670</v>
      </c>
      <c r="L195" s="177">
        <v>1265826</v>
      </c>
      <c r="M195" s="289">
        <v>40106</v>
      </c>
      <c r="N195" s="177">
        <f>+'K19'!Z195</f>
        <v>1334160</v>
      </c>
    </row>
    <row r="196" spans="1:14" ht="13">
      <c r="A196" s="1">
        <v>3031</v>
      </c>
      <c r="B196" s="2" t="s">
        <v>816</v>
      </c>
      <c r="C196" s="290">
        <v>22385</v>
      </c>
      <c r="D196" s="177">
        <v>602308</v>
      </c>
      <c r="E196" s="289">
        <v>22706</v>
      </c>
      <c r="F196" s="177">
        <v>644021</v>
      </c>
      <c r="G196" s="289">
        <v>22857</v>
      </c>
      <c r="H196" s="177">
        <v>703515</v>
      </c>
      <c r="I196" s="289">
        <v>23213</v>
      </c>
      <c r="J196" s="177">
        <v>740249</v>
      </c>
      <c r="K196" s="289">
        <v>23545</v>
      </c>
      <c r="L196" s="177">
        <v>775033</v>
      </c>
      <c r="M196" s="289">
        <v>24089</v>
      </c>
      <c r="N196" s="177">
        <f>+'K19'!Z196</f>
        <v>808965</v>
      </c>
    </row>
    <row r="197" spans="1:14" ht="13">
      <c r="A197" s="1">
        <v>3032</v>
      </c>
      <c r="B197" s="2" t="s">
        <v>817</v>
      </c>
      <c r="C197" s="290">
        <v>6292</v>
      </c>
      <c r="D197" s="177">
        <v>172164</v>
      </c>
      <c r="E197" s="289">
        <v>6326</v>
      </c>
      <c r="F197" s="177">
        <v>183102</v>
      </c>
      <c r="G197" s="289">
        <v>6323</v>
      </c>
      <c r="H197" s="177">
        <v>203326</v>
      </c>
      <c r="I197" s="289">
        <v>6546</v>
      </c>
      <c r="J197" s="177">
        <v>234709</v>
      </c>
      <c r="K197" s="289">
        <v>6704</v>
      </c>
      <c r="L197" s="177">
        <v>242251</v>
      </c>
      <c r="M197" s="289">
        <v>6823</v>
      </c>
      <c r="N197" s="177">
        <f>+'K19'!Z197</f>
        <v>249562</v>
      </c>
    </row>
    <row r="198" spans="1:14" ht="13">
      <c r="A198" s="1">
        <v>3033</v>
      </c>
      <c r="B198" s="2" t="s">
        <v>818</v>
      </c>
      <c r="C198" s="290">
        <v>32438</v>
      </c>
      <c r="D198" s="177">
        <v>785830</v>
      </c>
      <c r="E198" s="289">
        <v>33310</v>
      </c>
      <c r="F198" s="177">
        <v>825439</v>
      </c>
      <c r="G198" s="289">
        <v>34189</v>
      </c>
      <c r="H198" s="177">
        <v>917838</v>
      </c>
      <c r="I198" s="289">
        <v>35102</v>
      </c>
      <c r="J198" s="177">
        <v>996135</v>
      </c>
      <c r="K198" s="289">
        <v>36576</v>
      </c>
      <c r="L198" s="177">
        <v>1072566</v>
      </c>
      <c r="M198" s="289">
        <v>38234</v>
      </c>
      <c r="N198" s="177">
        <f>+'K19'!Z198</f>
        <v>1141275</v>
      </c>
    </row>
    <row r="199" spans="1:14" ht="13">
      <c r="A199" s="1">
        <v>3034</v>
      </c>
      <c r="B199" s="2" t="s">
        <v>819</v>
      </c>
      <c r="C199" s="290">
        <v>20164</v>
      </c>
      <c r="D199" s="177">
        <v>415395</v>
      </c>
      <c r="E199" s="289">
        <v>20410</v>
      </c>
      <c r="F199" s="177">
        <v>447461</v>
      </c>
      <c r="G199" s="289">
        <v>20783</v>
      </c>
      <c r="H199" s="177">
        <v>498018</v>
      </c>
      <c r="I199" s="289">
        <v>21241</v>
      </c>
      <c r="J199" s="177">
        <v>529616</v>
      </c>
      <c r="K199" s="289">
        <v>21681</v>
      </c>
      <c r="L199" s="177">
        <v>563996</v>
      </c>
      <c r="M199" s="289">
        <v>21885</v>
      </c>
      <c r="N199" s="177">
        <f>+'K19'!Z199</f>
        <v>589743</v>
      </c>
    </row>
    <row r="200" spans="1:14" ht="13">
      <c r="A200" s="1">
        <v>3035</v>
      </c>
      <c r="B200" s="2" t="s">
        <v>820</v>
      </c>
      <c r="C200" s="290">
        <v>22689</v>
      </c>
      <c r="D200" s="177">
        <v>488216</v>
      </c>
      <c r="E200" s="289">
        <v>23238</v>
      </c>
      <c r="F200" s="177">
        <v>518464</v>
      </c>
      <c r="G200" s="289">
        <v>23811</v>
      </c>
      <c r="H200" s="177">
        <v>547726</v>
      </c>
      <c r="I200" s="289">
        <v>24415</v>
      </c>
      <c r="J200" s="177">
        <v>588642</v>
      </c>
      <c r="K200" s="289">
        <v>24647</v>
      </c>
      <c r="L200" s="177">
        <v>626457</v>
      </c>
      <c r="M200" s="289">
        <v>24919</v>
      </c>
      <c r="N200" s="177">
        <f>+'K19'!Z200</f>
        <v>645346</v>
      </c>
    </row>
    <row r="201" spans="1:14" ht="13">
      <c r="A201" s="1">
        <v>3036</v>
      </c>
      <c r="B201" s="2" t="s">
        <v>821</v>
      </c>
      <c r="C201" s="290">
        <v>11707</v>
      </c>
      <c r="D201" s="177">
        <v>256510</v>
      </c>
      <c r="E201" s="289">
        <v>11882</v>
      </c>
      <c r="F201" s="177">
        <v>273585</v>
      </c>
      <c r="G201" s="289">
        <v>12267</v>
      </c>
      <c r="H201" s="177">
        <v>306685</v>
      </c>
      <c r="I201" s="289">
        <v>12657</v>
      </c>
      <c r="J201" s="177">
        <v>327371</v>
      </c>
      <c r="K201" s="289">
        <v>13240</v>
      </c>
      <c r="L201" s="177">
        <v>355948</v>
      </c>
      <c r="M201" s="289">
        <v>13682</v>
      </c>
      <c r="N201" s="177">
        <f>+'K19'!Z201</f>
        <v>376725</v>
      </c>
    </row>
    <row r="202" spans="1:14" ht="13">
      <c r="A202" s="1">
        <v>3037</v>
      </c>
      <c r="B202" s="2" t="s">
        <v>822</v>
      </c>
      <c r="C202" s="290">
        <v>2695</v>
      </c>
      <c r="D202" s="177">
        <v>49896</v>
      </c>
      <c r="E202" s="289">
        <v>2752</v>
      </c>
      <c r="F202" s="177">
        <v>53872</v>
      </c>
      <c r="G202" s="289">
        <v>2837</v>
      </c>
      <c r="H202" s="177">
        <v>60073</v>
      </c>
      <c r="I202" s="289">
        <v>2910</v>
      </c>
      <c r="J202" s="177">
        <v>62531</v>
      </c>
      <c r="K202" s="289">
        <v>2903</v>
      </c>
      <c r="L202" s="177">
        <v>65315</v>
      </c>
      <c r="M202" s="289">
        <v>2864</v>
      </c>
      <c r="N202" s="177">
        <f>+'K19'!Z202</f>
        <v>69523</v>
      </c>
    </row>
    <row r="203" spans="1:14" ht="13">
      <c r="A203" s="1">
        <v>3038</v>
      </c>
      <c r="B203" s="2" t="s">
        <v>874</v>
      </c>
      <c r="C203" s="290">
        <v>6595</v>
      </c>
      <c r="D203" s="177">
        <v>155090</v>
      </c>
      <c r="E203" s="289">
        <v>6698</v>
      </c>
      <c r="F203" s="177">
        <v>149683</v>
      </c>
      <c r="G203" s="289">
        <v>6767</v>
      </c>
      <c r="H203" s="177">
        <v>217126</v>
      </c>
      <c r="I203" s="289">
        <v>6772</v>
      </c>
      <c r="J203" s="177">
        <v>234181</v>
      </c>
      <c r="K203" s="289">
        <v>6833</v>
      </c>
      <c r="L203" s="177">
        <v>231734</v>
      </c>
      <c r="M203" s="289">
        <v>6845</v>
      </c>
      <c r="N203" s="177">
        <f>+'K19'!Z203</f>
        <v>257243</v>
      </c>
    </row>
    <row r="204" spans="1:14" ht="13">
      <c r="A204" s="1">
        <v>3039</v>
      </c>
      <c r="B204" s="2" t="s">
        <v>875</v>
      </c>
      <c r="C204" s="290">
        <v>1033</v>
      </c>
      <c r="D204" s="177">
        <v>24901</v>
      </c>
      <c r="E204" s="289">
        <v>1033</v>
      </c>
      <c r="F204" s="177">
        <v>25335</v>
      </c>
      <c r="G204" s="289">
        <v>1074</v>
      </c>
      <c r="H204" s="177">
        <v>27039</v>
      </c>
      <c r="I204" s="289">
        <v>1081</v>
      </c>
      <c r="J204" s="177">
        <v>30416</v>
      </c>
      <c r="K204" s="289">
        <v>1069</v>
      </c>
      <c r="L204" s="177">
        <v>31909</v>
      </c>
      <c r="M204" s="289">
        <v>1052</v>
      </c>
      <c r="N204" s="177">
        <f>+'K19'!Z204</f>
        <v>33020</v>
      </c>
    </row>
    <row r="205" spans="1:14" ht="13">
      <c r="A205" s="1">
        <v>3040</v>
      </c>
      <c r="B205" s="2" t="s">
        <v>1966</v>
      </c>
      <c r="C205" s="290">
        <v>3445</v>
      </c>
      <c r="D205" s="177">
        <v>77187</v>
      </c>
      <c r="E205" s="289">
        <v>3414</v>
      </c>
      <c r="F205" s="177">
        <v>79354</v>
      </c>
      <c r="G205" s="289">
        <v>3422</v>
      </c>
      <c r="H205" s="177">
        <v>89949</v>
      </c>
      <c r="I205" s="289">
        <v>3357</v>
      </c>
      <c r="J205" s="177">
        <v>96441</v>
      </c>
      <c r="K205" s="289">
        <v>3341</v>
      </c>
      <c r="L205" s="177">
        <v>98315</v>
      </c>
      <c r="M205" s="289">
        <v>3315</v>
      </c>
      <c r="N205" s="177">
        <f>+'K19'!Z205</f>
        <v>101815</v>
      </c>
    </row>
    <row r="206" spans="1:14" ht="13">
      <c r="A206" s="1">
        <v>3041</v>
      </c>
      <c r="B206" s="2" t="s">
        <v>876</v>
      </c>
      <c r="C206" s="290">
        <v>4631</v>
      </c>
      <c r="D206" s="177">
        <v>112440</v>
      </c>
      <c r="E206" s="289">
        <v>4588</v>
      </c>
      <c r="F206" s="177">
        <v>114168</v>
      </c>
      <c r="G206" s="289">
        <v>4578</v>
      </c>
      <c r="H206" s="177">
        <v>123586</v>
      </c>
      <c r="I206" s="289">
        <v>4612</v>
      </c>
      <c r="J206" s="177">
        <v>132260</v>
      </c>
      <c r="K206" s="289">
        <v>4566</v>
      </c>
      <c r="L206" s="177">
        <v>141637</v>
      </c>
      <c r="M206" s="289">
        <v>4576</v>
      </c>
      <c r="N206" s="177">
        <f>+'K19'!Z206</f>
        <v>143094</v>
      </c>
    </row>
    <row r="207" spans="1:14" ht="13">
      <c r="A207" s="1">
        <v>3042</v>
      </c>
      <c r="B207" s="2" t="s">
        <v>877</v>
      </c>
      <c r="C207" s="290">
        <v>2295</v>
      </c>
      <c r="D207" s="177">
        <v>60492</v>
      </c>
      <c r="E207" s="289">
        <v>2344</v>
      </c>
      <c r="F207" s="177">
        <v>64349</v>
      </c>
      <c r="G207" s="289">
        <v>2422</v>
      </c>
      <c r="H207" s="177">
        <v>69719</v>
      </c>
      <c r="I207" s="289">
        <v>2442</v>
      </c>
      <c r="J207" s="177">
        <v>76758</v>
      </c>
      <c r="K207" s="289">
        <v>2457</v>
      </c>
      <c r="L207" s="177">
        <v>84916</v>
      </c>
      <c r="M207" s="289">
        <v>2481</v>
      </c>
      <c r="N207" s="177">
        <f>+'K19'!Z207</f>
        <v>89794</v>
      </c>
    </row>
    <row r="208" spans="1:14" ht="13">
      <c r="A208" s="1">
        <v>3043</v>
      </c>
      <c r="B208" s="2" t="s">
        <v>878</v>
      </c>
      <c r="C208" s="290">
        <v>4713</v>
      </c>
      <c r="D208" s="177">
        <v>112935</v>
      </c>
      <c r="E208" s="289">
        <v>4716</v>
      </c>
      <c r="F208" s="177">
        <v>119963</v>
      </c>
      <c r="G208" s="289">
        <v>4711</v>
      </c>
      <c r="H208" s="177">
        <v>129347</v>
      </c>
      <c r="I208" s="289">
        <v>4719</v>
      </c>
      <c r="J208" s="177">
        <v>138427</v>
      </c>
      <c r="K208" s="289">
        <v>4626</v>
      </c>
      <c r="L208" s="177">
        <v>141581</v>
      </c>
      <c r="M208" s="289">
        <v>4671</v>
      </c>
      <c r="N208" s="177">
        <f>+'K19'!Z208</f>
        <v>146024</v>
      </c>
    </row>
    <row r="209" spans="1:14" ht="13">
      <c r="A209" s="1">
        <v>3044</v>
      </c>
      <c r="B209" s="2" t="s">
        <v>880</v>
      </c>
      <c r="C209" s="290">
        <v>4452</v>
      </c>
      <c r="D209" s="177">
        <v>141469</v>
      </c>
      <c r="E209" s="289">
        <v>4471</v>
      </c>
      <c r="F209" s="177">
        <v>150303</v>
      </c>
      <c r="G209" s="289">
        <v>4497</v>
      </c>
      <c r="H209" s="177">
        <v>163835</v>
      </c>
      <c r="I209" s="289">
        <v>4535</v>
      </c>
      <c r="J209" s="177">
        <v>174624</v>
      </c>
      <c r="K209" s="289">
        <v>4520</v>
      </c>
      <c r="L209" s="177">
        <v>178343</v>
      </c>
      <c r="M209" s="289">
        <v>4473</v>
      </c>
      <c r="N209" s="177">
        <f>+'K19'!Z209</f>
        <v>199023</v>
      </c>
    </row>
    <row r="210" spans="1:14" ht="13">
      <c r="A210" s="1">
        <v>3045</v>
      </c>
      <c r="B210" s="2" t="s">
        <v>881</v>
      </c>
      <c r="C210" s="290">
        <v>3509</v>
      </c>
      <c r="D210" s="177">
        <v>84796</v>
      </c>
      <c r="E210" s="289">
        <v>3520</v>
      </c>
      <c r="F210" s="177">
        <v>87162</v>
      </c>
      <c r="G210" s="289">
        <v>3512</v>
      </c>
      <c r="H210" s="177">
        <v>106580</v>
      </c>
      <c r="I210" s="289">
        <v>3502</v>
      </c>
      <c r="J210" s="177">
        <v>102587</v>
      </c>
      <c r="K210" s="289">
        <v>3488</v>
      </c>
      <c r="L210" s="177">
        <v>98498</v>
      </c>
      <c r="M210" s="289">
        <v>3490</v>
      </c>
      <c r="N210" s="177">
        <f>+'K19'!Z210</f>
        <v>106548</v>
      </c>
    </row>
    <row r="211" spans="1:14" ht="13">
      <c r="A211" s="1">
        <v>3046</v>
      </c>
      <c r="B211" s="2" t="s">
        <v>882</v>
      </c>
      <c r="C211" s="290">
        <v>2265</v>
      </c>
      <c r="D211" s="177">
        <v>56801</v>
      </c>
      <c r="E211" s="289">
        <v>2268</v>
      </c>
      <c r="F211" s="177">
        <v>62344</v>
      </c>
      <c r="G211" s="289">
        <v>2275</v>
      </c>
      <c r="H211" s="177">
        <v>67497</v>
      </c>
      <c r="I211" s="289">
        <v>2257</v>
      </c>
      <c r="J211" s="177">
        <v>71317</v>
      </c>
      <c r="K211" s="289">
        <v>2277</v>
      </c>
      <c r="L211" s="177">
        <v>72970</v>
      </c>
      <c r="M211" s="289">
        <v>2239</v>
      </c>
      <c r="N211" s="177">
        <f>+'K19'!Z211</f>
        <v>75843</v>
      </c>
    </row>
    <row r="212" spans="1:14" ht="13">
      <c r="A212" s="1">
        <v>3047</v>
      </c>
      <c r="B212" s="2" t="s">
        <v>883</v>
      </c>
      <c r="C212" s="290">
        <v>13581</v>
      </c>
      <c r="D212" s="177">
        <v>292072</v>
      </c>
      <c r="E212" s="289">
        <v>13685</v>
      </c>
      <c r="F212" s="177">
        <v>305637</v>
      </c>
      <c r="G212" s="289">
        <v>13794</v>
      </c>
      <c r="H212" s="177">
        <v>341123</v>
      </c>
      <c r="I212" s="289">
        <v>13786</v>
      </c>
      <c r="J212" s="177">
        <v>349911</v>
      </c>
      <c r="K212" s="289">
        <v>13880</v>
      </c>
      <c r="L212" s="177">
        <v>373875</v>
      </c>
      <c r="M212" s="289">
        <v>13980</v>
      </c>
      <c r="N212" s="177">
        <f>+'K19'!Z212</f>
        <v>389481</v>
      </c>
    </row>
    <row r="213" spans="1:14" ht="13">
      <c r="A213" s="1">
        <v>3048</v>
      </c>
      <c r="B213" s="2" t="s">
        <v>884</v>
      </c>
      <c r="C213" s="290">
        <v>17919</v>
      </c>
      <c r="D213" s="177">
        <v>404166</v>
      </c>
      <c r="E213" s="289">
        <v>18039</v>
      </c>
      <c r="F213" s="177">
        <v>436278</v>
      </c>
      <c r="G213" s="289">
        <v>18205</v>
      </c>
      <c r="H213" s="177">
        <v>475477</v>
      </c>
      <c r="I213" s="289">
        <v>18562</v>
      </c>
      <c r="J213" s="177">
        <v>512095</v>
      </c>
      <c r="K213" s="289">
        <v>18926</v>
      </c>
      <c r="L213" s="177">
        <v>525047</v>
      </c>
      <c r="M213" s="289">
        <v>19117</v>
      </c>
      <c r="N213" s="177">
        <f>+'K19'!Z213</f>
        <v>555986</v>
      </c>
    </row>
    <row r="214" spans="1:14" ht="13">
      <c r="A214" s="1">
        <v>3049</v>
      </c>
      <c r="B214" s="2" t="s">
        <v>886</v>
      </c>
      <c r="C214" s="290">
        <v>25175</v>
      </c>
      <c r="D214" s="177">
        <v>692154</v>
      </c>
      <c r="E214" s="289">
        <v>25378</v>
      </c>
      <c r="F214" s="177">
        <v>737381</v>
      </c>
      <c r="G214" s="289">
        <v>25731</v>
      </c>
      <c r="H214" s="177">
        <v>817486</v>
      </c>
      <c r="I214" s="289">
        <v>25740</v>
      </c>
      <c r="J214" s="177">
        <v>854427</v>
      </c>
      <c r="K214" s="289">
        <v>25980</v>
      </c>
      <c r="L214" s="177">
        <v>880691</v>
      </c>
      <c r="M214" s="289">
        <v>26373</v>
      </c>
      <c r="N214" s="177">
        <f>+'K19'!Z214</f>
        <v>925263</v>
      </c>
    </row>
    <row r="215" spans="1:14" ht="13">
      <c r="A215" s="1">
        <v>3050</v>
      </c>
      <c r="B215" s="2" t="s">
        <v>889</v>
      </c>
      <c r="C215" s="290">
        <v>2683</v>
      </c>
      <c r="D215" s="177">
        <v>61223</v>
      </c>
      <c r="E215" s="289">
        <v>2671</v>
      </c>
      <c r="F215" s="177">
        <v>64103</v>
      </c>
      <c r="G215" s="289">
        <v>2699</v>
      </c>
      <c r="H215" s="177">
        <v>70327</v>
      </c>
      <c r="I215" s="289">
        <v>2696</v>
      </c>
      <c r="J215" s="177">
        <v>71305</v>
      </c>
      <c r="K215" s="289">
        <v>2688</v>
      </c>
      <c r="L215" s="177">
        <v>75809</v>
      </c>
      <c r="M215" s="289">
        <v>2694</v>
      </c>
      <c r="N215" s="177">
        <f>+'K19'!Z215</f>
        <v>84542</v>
      </c>
    </row>
    <row r="216" spans="1:14" ht="13">
      <c r="A216" s="1">
        <v>3051</v>
      </c>
      <c r="B216" s="2" t="s">
        <v>890</v>
      </c>
      <c r="C216" s="290">
        <v>1369</v>
      </c>
      <c r="D216" s="177">
        <v>33041</v>
      </c>
      <c r="E216" s="289">
        <v>1375</v>
      </c>
      <c r="F216" s="177">
        <v>33997</v>
      </c>
      <c r="G216" s="289">
        <v>1404</v>
      </c>
      <c r="H216" s="177">
        <v>35626</v>
      </c>
      <c r="I216" s="289">
        <v>1399</v>
      </c>
      <c r="J216" s="177">
        <v>38046</v>
      </c>
      <c r="K216" s="289">
        <v>1411</v>
      </c>
      <c r="L216" s="177">
        <v>41136</v>
      </c>
      <c r="M216" s="289">
        <v>1419</v>
      </c>
      <c r="N216" s="177">
        <f>+'K19'!Z216</f>
        <v>41486</v>
      </c>
    </row>
    <row r="217" spans="1:14" ht="13">
      <c r="A217" s="1">
        <v>3052</v>
      </c>
      <c r="B217" s="2" t="s">
        <v>891</v>
      </c>
      <c r="C217" s="290">
        <v>2557</v>
      </c>
      <c r="D217" s="177">
        <v>75781</v>
      </c>
      <c r="E217" s="289">
        <v>2541</v>
      </c>
      <c r="F217" s="177">
        <v>79807</v>
      </c>
      <c r="G217" s="289">
        <v>2548</v>
      </c>
      <c r="H217" s="177">
        <v>82403</v>
      </c>
      <c r="I217" s="289">
        <v>2530</v>
      </c>
      <c r="J217" s="177">
        <v>86626</v>
      </c>
      <c r="K217" s="289">
        <v>2482</v>
      </c>
      <c r="L217" s="177">
        <v>90032</v>
      </c>
      <c r="M217" s="289">
        <v>2448</v>
      </c>
      <c r="N217" s="177">
        <f>+'K19'!Z217</f>
        <v>93992</v>
      </c>
    </row>
    <row r="218" spans="1:14" ht="13">
      <c r="A218" s="1">
        <v>3053</v>
      </c>
      <c r="B218" s="2" t="s">
        <v>860</v>
      </c>
      <c r="C218" s="290">
        <v>6516</v>
      </c>
      <c r="D218" s="177">
        <v>126182</v>
      </c>
      <c r="E218" s="289">
        <v>6599</v>
      </c>
      <c r="F218" s="177">
        <v>133870</v>
      </c>
      <c r="G218" s="289">
        <v>6629</v>
      </c>
      <c r="H218" s="177">
        <v>147737</v>
      </c>
      <c r="I218" s="289">
        <v>6696</v>
      </c>
      <c r="J218" s="177">
        <v>157513</v>
      </c>
      <c r="K218" s="289">
        <v>6777</v>
      </c>
      <c r="L218" s="177">
        <v>167525</v>
      </c>
      <c r="M218" s="289">
        <v>6846</v>
      </c>
      <c r="N218" s="177">
        <f>+'K19'!Z218</f>
        <v>172526</v>
      </c>
    </row>
    <row r="219" spans="1:14" ht="13">
      <c r="A219" s="1">
        <v>3054</v>
      </c>
      <c r="B219" s="2" t="s">
        <v>861</v>
      </c>
      <c r="C219" s="290">
        <v>8952</v>
      </c>
      <c r="D219" s="177">
        <v>195426</v>
      </c>
      <c r="E219" s="289">
        <v>9003</v>
      </c>
      <c r="F219" s="177">
        <v>209542</v>
      </c>
      <c r="G219" s="289">
        <v>9044</v>
      </c>
      <c r="H219" s="177">
        <v>229314</v>
      </c>
      <c r="I219" s="289">
        <v>9080</v>
      </c>
      <c r="J219" s="177">
        <v>238287</v>
      </c>
      <c r="K219" s="289">
        <v>9065</v>
      </c>
      <c r="L219" s="177">
        <v>250417</v>
      </c>
      <c r="M219" s="289">
        <v>9051</v>
      </c>
      <c r="N219" s="177">
        <f>+'K19'!Z219</f>
        <v>253205</v>
      </c>
    </row>
    <row r="220" spans="1:14" ht="13">
      <c r="A220" s="1">
        <v>3401</v>
      </c>
      <c r="B220" s="2" t="s">
        <v>824</v>
      </c>
      <c r="C220" s="290">
        <v>17825</v>
      </c>
      <c r="D220" s="177">
        <v>346051</v>
      </c>
      <c r="E220" s="289">
        <v>17881</v>
      </c>
      <c r="F220" s="177">
        <v>377420</v>
      </c>
      <c r="G220" s="289">
        <v>17835</v>
      </c>
      <c r="H220" s="177">
        <v>418583</v>
      </c>
      <c r="I220" s="289">
        <v>17857</v>
      </c>
      <c r="J220" s="177">
        <v>438186</v>
      </c>
      <c r="K220" s="289">
        <v>17934</v>
      </c>
      <c r="L220" s="177">
        <v>464345</v>
      </c>
      <c r="M220" s="289">
        <v>17823</v>
      </c>
      <c r="N220" s="177">
        <f>+'K19'!Z220</f>
        <v>472995</v>
      </c>
    </row>
    <row r="221" spans="1:14" ht="13">
      <c r="A221" s="1">
        <v>3403</v>
      </c>
      <c r="B221" s="2" t="s">
        <v>825</v>
      </c>
      <c r="C221" s="290">
        <v>29520</v>
      </c>
      <c r="D221" s="177">
        <v>664070</v>
      </c>
      <c r="E221" s="289">
        <v>29847</v>
      </c>
      <c r="F221" s="177">
        <v>723558</v>
      </c>
      <c r="G221" s="289">
        <v>30120</v>
      </c>
      <c r="H221" s="177">
        <v>799127</v>
      </c>
      <c r="I221" s="289">
        <v>30598</v>
      </c>
      <c r="J221" s="177">
        <v>838185</v>
      </c>
      <c r="K221" s="289">
        <v>30930</v>
      </c>
      <c r="L221" s="177">
        <v>879991</v>
      </c>
      <c r="M221" s="289">
        <v>31144</v>
      </c>
      <c r="N221" s="177">
        <f>+'K19'!Z221</f>
        <v>907828</v>
      </c>
    </row>
    <row r="222" spans="1:14" ht="13">
      <c r="A222" s="1">
        <v>3405</v>
      </c>
      <c r="B222" s="2" t="s">
        <v>845</v>
      </c>
      <c r="C222" s="290">
        <v>27028</v>
      </c>
      <c r="D222" s="177">
        <v>624848</v>
      </c>
      <c r="E222" s="289">
        <v>27300</v>
      </c>
      <c r="F222" s="177">
        <v>657280</v>
      </c>
      <c r="G222" s="289">
        <v>27476</v>
      </c>
      <c r="H222" s="177">
        <v>729709</v>
      </c>
      <c r="I222" s="289">
        <v>27781</v>
      </c>
      <c r="J222" s="177">
        <v>769643</v>
      </c>
      <c r="K222" s="289">
        <v>27938</v>
      </c>
      <c r="L222" s="177">
        <v>805350</v>
      </c>
      <c r="M222" s="289">
        <v>28023</v>
      </c>
      <c r="N222" s="177">
        <f>+'K19'!Z222</f>
        <v>836532</v>
      </c>
    </row>
    <row r="223" spans="1:14" ht="13">
      <c r="A223" s="1">
        <v>3407</v>
      </c>
      <c r="B223" s="2" t="s">
        <v>846</v>
      </c>
      <c r="C223" s="290">
        <v>29668</v>
      </c>
      <c r="D223" s="177">
        <v>594011</v>
      </c>
      <c r="E223" s="289">
        <v>30063</v>
      </c>
      <c r="F223" s="177">
        <v>645070</v>
      </c>
      <c r="G223" s="289">
        <v>30137</v>
      </c>
      <c r="H223" s="177">
        <v>711172</v>
      </c>
      <c r="I223" s="289">
        <v>30319</v>
      </c>
      <c r="J223" s="177">
        <v>758212</v>
      </c>
      <c r="K223" s="289">
        <v>30642</v>
      </c>
      <c r="L223" s="177">
        <v>797745</v>
      </c>
      <c r="M223" s="289">
        <v>30676</v>
      </c>
      <c r="N223" s="177">
        <f>+'K19'!Z223</f>
        <v>835680</v>
      </c>
    </row>
    <row r="224" spans="1:14" ht="13">
      <c r="A224" s="1">
        <v>3411</v>
      </c>
      <c r="B224" s="2" t="s">
        <v>826</v>
      </c>
      <c r="C224" s="290">
        <v>33463</v>
      </c>
      <c r="D224" s="177">
        <v>639220</v>
      </c>
      <c r="E224" s="289">
        <v>33603</v>
      </c>
      <c r="F224" s="177">
        <v>679590</v>
      </c>
      <c r="G224" s="289">
        <v>33597</v>
      </c>
      <c r="H224" s="177">
        <v>752571</v>
      </c>
      <c r="I224" s="289">
        <v>33842</v>
      </c>
      <c r="J224" s="177">
        <v>789183</v>
      </c>
      <c r="K224" s="289">
        <v>34151</v>
      </c>
      <c r="L224" s="177">
        <v>837000</v>
      </c>
      <c r="M224" s="289">
        <v>34488</v>
      </c>
      <c r="N224" s="177">
        <f>+'K19'!Z224</f>
        <v>888971</v>
      </c>
    </row>
    <row r="225" spans="1:14" ht="13">
      <c r="A225" s="1">
        <v>3412</v>
      </c>
      <c r="B225" s="2" t="s">
        <v>827</v>
      </c>
      <c r="C225" s="290">
        <v>7546</v>
      </c>
      <c r="D225" s="177">
        <v>135203</v>
      </c>
      <c r="E225" s="289">
        <v>7552</v>
      </c>
      <c r="F225" s="177">
        <v>143397</v>
      </c>
      <c r="G225" s="289">
        <v>7588</v>
      </c>
      <c r="H225" s="177">
        <v>154879</v>
      </c>
      <c r="I225" s="289">
        <v>7633</v>
      </c>
      <c r="J225" s="177">
        <v>162788</v>
      </c>
      <c r="K225" s="289">
        <v>7615</v>
      </c>
      <c r="L225" s="177">
        <v>169501</v>
      </c>
      <c r="M225" s="289">
        <v>7663</v>
      </c>
      <c r="N225" s="177">
        <f>+'K19'!Z225</f>
        <v>172571</v>
      </c>
    </row>
    <row r="226" spans="1:14" ht="13">
      <c r="A226" s="1">
        <v>3413</v>
      </c>
      <c r="B226" s="2" t="s">
        <v>828</v>
      </c>
      <c r="C226" s="290">
        <v>19737</v>
      </c>
      <c r="D226" s="177">
        <v>376955</v>
      </c>
      <c r="E226" s="289">
        <v>20013</v>
      </c>
      <c r="F226" s="177">
        <v>407797</v>
      </c>
      <c r="G226" s="289">
        <v>20119</v>
      </c>
      <c r="H226" s="177">
        <v>451307</v>
      </c>
      <c r="I226" s="289">
        <v>20317</v>
      </c>
      <c r="J226" s="177">
        <v>472002</v>
      </c>
      <c r="K226" s="289">
        <v>20646</v>
      </c>
      <c r="L226" s="177">
        <v>497212</v>
      </c>
      <c r="M226" s="289">
        <v>20916</v>
      </c>
      <c r="N226" s="177">
        <f>+'K19'!Z226</f>
        <v>519985</v>
      </c>
    </row>
    <row r="227" spans="1:14" ht="13">
      <c r="A227" s="1">
        <v>3414</v>
      </c>
      <c r="B227" s="2" t="s">
        <v>829</v>
      </c>
      <c r="C227" s="290">
        <v>5118</v>
      </c>
      <c r="D227" s="177">
        <v>89305</v>
      </c>
      <c r="E227" s="289">
        <v>5128</v>
      </c>
      <c r="F227" s="177">
        <v>94709</v>
      </c>
      <c r="G227" s="289">
        <v>5131</v>
      </c>
      <c r="H227" s="177">
        <v>100053</v>
      </c>
      <c r="I227" s="289">
        <v>5100</v>
      </c>
      <c r="J227" s="177">
        <v>103182</v>
      </c>
      <c r="K227" s="289">
        <v>5097</v>
      </c>
      <c r="L227" s="177">
        <v>109633</v>
      </c>
      <c r="M227" s="289">
        <v>5024</v>
      </c>
      <c r="N227" s="177">
        <f>+'K19'!Z227</f>
        <v>112330</v>
      </c>
    </row>
    <row r="228" spans="1:14" ht="13">
      <c r="A228" s="1">
        <v>3415</v>
      </c>
      <c r="B228" s="2" t="s">
        <v>830</v>
      </c>
      <c r="C228" s="290">
        <v>7847</v>
      </c>
      <c r="D228" s="177">
        <v>154803</v>
      </c>
      <c r="E228" s="289">
        <v>7800</v>
      </c>
      <c r="F228" s="177">
        <v>164788</v>
      </c>
      <c r="G228" s="289">
        <v>7901</v>
      </c>
      <c r="H228" s="177">
        <v>181493</v>
      </c>
      <c r="I228" s="289">
        <v>7866</v>
      </c>
      <c r="J228" s="177">
        <v>184298</v>
      </c>
      <c r="K228" s="289">
        <v>7884</v>
      </c>
      <c r="L228" s="177">
        <v>192327</v>
      </c>
      <c r="M228" s="289">
        <v>7879</v>
      </c>
      <c r="N228" s="177">
        <f>+'K19'!Z228</f>
        <v>200711</v>
      </c>
    </row>
    <row r="229" spans="1:14" ht="13">
      <c r="A229" s="1">
        <v>3416</v>
      </c>
      <c r="B229" s="2" t="s">
        <v>831</v>
      </c>
      <c r="C229" s="290">
        <v>6253</v>
      </c>
      <c r="D229" s="177">
        <v>99815</v>
      </c>
      <c r="E229" s="289">
        <v>6219</v>
      </c>
      <c r="F229" s="177">
        <v>110856</v>
      </c>
      <c r="G229" s="289">
        <v>6142</v>
      </c>
      <c r="H229" s="177">
        <v>122325</v>
      </c>
      <c r="I229" s="289">
        <v>6127</v>
      </c>
      <c r="J229" s="177">
        <v>125225</v>
      </c>
      <c r="K229" s="289">
        <v>6142</v>
      </c>
      <c r="L229" s="177">
        <v>129210</v>
      </c>
      <c r="M229" s="289">
        <v>6114</v>
      </c>
      <c r="N229" s="177">
        <f>+'K19'!Z229</f>
        <v>133453</v>
      </c>
    </row>
    <row r="230" spans="1:14" ht="13">
      <c r="A230" s="1">
        <v>3417</v>
      </c>
      <c r="B230" s="2" t="s">
        <v>832</v>
      </c>
      <c r="C230" s="290">
        <v>4948</v>
      </c>
      <c r="D230" s="177">
        <v>88799</v>
      </c>
      <c r="E230" s="289">
        <v>4853</v>
      </c>
      <c r="F230" s="177">
        <v>94131</v>
      </c>
      <c r="G230" s="289">
        <v>4763</v>
      </c>
      <c r="H230" s="177">
        <v>100637</v>
      </c>
      <c r="I230" s="289">
        <v>4777</v>
      </c>
      <c r="J230" s="177">
        <v>100470</v>
      </c>
      <c r="K230" s="289">
        <v>4740</v>
      </c>
      <c r="L230" s="177">
        <v>105990</v>
      </c>
      <c r="M230" s="289">
        <v>4646</v>
      </c>
      <c r="N230" s="177">
        <f>+'K19'!Z230</f>
        <v>108099</v>
      </c>
    </row>
    <row r="231" spans="1:14" ht="13">
      <c r="A231" s="1">
        <v>3418</v>
      </c>
      <c r="B231" s="2" t="s">
        <v>833</v>
      </c>
      <c r="C231" s="290">
        <v>7544</v>
      </c>
      <c r="D231" s="177">
        <v>131663</v>
      </c>
      <c r="E231" s="289">
        <v>7561</v>
      </c>
      <c r="F231" s="177">
        <v>141663</v>
      </c>
      <c r="G231" s="289">
        <v>7456</v>
      </c>
      <c r="H231" s="177">
        <v>150457</v>
      </c>
      <c r="I231" s="289">
        <v>7329</v>
      </c>
      <c r="J231" s="177">
        <v>157341</v>
      </c>
      <c r="K231" s="289">
        <v>7279</v>
      </c>
      <c r="L231" s="177">
        <v>162251</v>
      </c>
      <c r="M231" s="289">
        <v>7214</v>
      </c>
      <c r="N231" s="177">
        <f>+'K19'!Z231</f>
        <v>163873</v>
      </c>
    </row>
    <row r="232" spans="1:14" ht="13">
      <c r="A232" s="1">
        <v>3419</v>
      </c>
      <c r="B232" s="2" t="s">
        <v>799</v>
      </c>
      <c r="C232" s="290">
        <v>3783</v>
      </c>
      <c r="D232" s="177">
        <v>67464</v>
      </c>
      <c r="E232" s="289">
        <v>3790</v>
      </c>
      <c r="F232" s="177">
        <v>72785</v>
      </c>
      <c r="G232" s="289">
        <v>3760</v>
      </c>
      <c r="H232" s="177">
        <v>79771</v>
      </c>
      <c r="I232" s="289">
        <v>3743</v>
      </c>
      <c r="J232" s="177">
        <v>80622</v>
      </c>
      <c r="K232" s="289">
        <v>3680</v>
      </c>
      <c r="L232" s="177">
        <v>81489</v>
      </c>
      <c r="M232" s="289">
        <v>3705</v>
      </c>
      <c r="N232" s="177">
        <f>+'K19'!Z232</f>
        <v>84330</v>
      </c>
    </row>
    <row r="233" spans="1:14" ht="13">
      <c r="A233" s="1">
        <v>3420</v>
      </c>
      <c r="B233" s="2" t="s">
        <v>834</v>
      </c>
      <c r="C233" s="290">
        <v>20563</v>
      </c>
      <c r="D233" s="177">
        <v>413285</v>
      </c>
      <c r="E233" s="289">
        <v>20794</v>
      </c>
      <c r="F233" s="177">
        <v>442451</v>
      </c>
      <c r="G233" s="289">
        <v>21030</v>
      </c>
      <c r="H233" s="177">
        <v>469925</v>
      </c>
      <c r="I233" s="289">
        <v>21086</v>
      </c>
      <c r="J233" s="177">
        <v>490237</v>
      </c>
      <c r="K233" s="289">
        <v>21123</v>
      </c>
      <c r="L233" s="177">
        <v>510655</v>
      </c>
      <c r="M233" s="289">
        <v>21191</v>
      </c>
      <c r="N233" s="177">
        <f>+'K19'!Z233</f>
        <v>535565</v>
      </c>
    </row>
    <row r="234" spans="1:14" ht="13">
      <c r="A234" s="1">
        <v>3421</v>
      </c>
      <c r="B234" s="2" t="s">
        <v>835</v>
      </c>
      <c r="C234" s="290">
        <v>6621</v>
      </c>
      <c r="D234" s="177">
        <v>123473</v>
      </c>
      <c r="E234" s="289">
        <v>6569</v>
      </c>
      <c r="F234" s="177">
        <v>128694</v>
      </c>
      <c r="G234" s="289">
        <v>6525</v>
      </c>
      <c r="H234" s="177">
        <v>143523</v>
      </c>
      <c r="I234" s="289">
        <v>6550</v>
      </c>
      <c r="J234" s="177">
        <v>155053</v>
      </c>
      <c r="K234" s="289">
        <v>6567</v>
      </c>
      <c r="L234" s="177">
        <v>169452</v>
      </c>
      <c r="M234" s="289">
        <v>6607</v>
      </c>
      <c r="N234" s="177">
        <f>+'K19'!Z234</f>
        <v>174031</v>
      </c>
    </row>
    <row r="235" spans="1:14" ht="13">
      <c r="A235" s="1">
        <v>3422</v>
      </c>
      <c r="B235" s="2" t="s">
        <v>836</v>
      </c>
      <c r="C235" s="290">
        <v>4455</v>
      </c>
      <c r="D235" s="177">
        <v>86844</v>
      </c>
      <c r="E235" s="289">
        <v>4456</v>
      </c>
      <c r="F235" s="177">
        <v>91773</v>
      </c>
      <c r="G235" s="289">
        <v>4429</v>
      </c>
      <c r="H235" s="177">
        <v>97563</v>
      </c>
      <c r="I235" s="289">
        <v>4518</v>
      </c>
      <c r="J235" s="177">
        <v>101766</v>
      </c>
      <c r="K235" s="289">
        <v>4480</v>
      </c>
      <c r="L235" s="177">
        <v>103252</v>
      </c>
      <c r="M235" s="289">
        <v>4407</v>
      </c>
      <c r="N235" s="177">
        <f>+'K19'!Z235</f>
        <v>107897</v>
      </c>
    </row>
    <row r="236" spans="1:14" ht="13">
      <c r="A236" s="1">
        <v>3423</v>
      </c>
      <c r="B236" s="2" t="s">
        <v>837</v>
      </c>
      <c r="C236" s="290">
        <v>2699</v>
      </c>
      <c r="D236" s="177">
        <v>45450</v>
      </c>
      <c r="E236" s="289">
        <v>2619</v>
      </c>
      <c r="F236" s="177">
        <v>46804</v>
      </c>
      <c r="G236" s="289">
        <v>2600</v>
      </c>
      <c r="H236" s="177">
        <v>51442</v>
      </c>
      <c r="I236" s="289">
        <v>2530</v>
      </c>
      <c r="J236" s="177">
        <v>55098</v>
      </c>
      <c r="K236" s="289">
        <v>2490</v>
      </c>
      <c r="L236" s="177">
        <v>52624</v>
      </c>
      <c r="M236" s="289">
        <v>2459</v>
      </c>
      <c r="N236" s="177">
        <f>+'K19'!Z236</f>
        <v>53442</v>
      </c>
    </row>
    <row r="237" spans="1:14" ht="13">
      <c r="A237" s="1">
        <v>3424</v>
      </c>
      <c r="B237" s="2" t="s">
        <v>838</v>
      </c>
      <c r="C237" s="290">
        <v>1883</v>
      </c>
      <c r="D237" s="177">
        <v>37165</v>
      </c>
      <c r="E237" s="289">
        <v>1885</v>
      </c>
      <c r="F237" s="177">
        <v>39705</v>
      </c>
      <c r="G237" s="289">
        <v>1881</v>
      </c>
      <c r="H237" s="177">
        <v>41109</v>
      </c>
      <c r="I237" s="289">
        <v>1858</v>
      </c>
      <c r="J237" s="177">
        <v>41486</v>
      </c>
      <c r="K237" s="289">
        <v>1827</v>
      </c>
      <c r="L237" s="177">
        <v>42432</v>
      </c>
      <c r="M237" s="289">
        <v>1791</v>
      </c>
      <c r="N237" s="177">
        <f>+'K19'!Z237</f>
        <v>42521</v>
      </c>
    </row>
    <row r="238" spans="1:14" ht="13">
      <c r="A238" s="1">
        <v>3425</v>
      </c>
      <c r="B238" s="2" t="s">
        <v>839</v>
      </c>
      <c r="C238" s="290">
        <v>1345</v>
      </c>
      <c r="D238" s="177">
        <v>21656</v>
      </c>
      <c r="E238" s="289">
        <v>1359</v>
      </c>
      <c r="F238" s="177">
        <v>23795</v>
      </c>
      <c r="G238" s="289">
        <v>1305</v>
      </c>
      <c r="H238" s="177">
        <v>24758</v>
      </c>
      <c r="I238" s="289">
        <v>1274</v>
      </c>
      <c r="J238" s="177">
        <v>26109</v>
      </c>
      <c r="K238" s="289">
        <v>1294</v>
      </c>
      <c r="L238" s="177">
        <v>27184</v>
      </c>
      <c r="M238" s="289">
        <v>1286</v>
      </c>
      <c r="N238" s="177">
        <f>+'K19'!Z238</f>
        <v>29586</v>
      </c>
    </row>
    <row r="239" spans="1:14" ht="13">
      <c r="A239" s="1">
        <v>3426</v>
      </c>
      <c r="B239" s="2" t="s">
        <v>840</v>
      </c>
      <c r="C239" s="290">
        <v>1658</v>
      </c>
      <c r="D239" s="177">
        <v>27453</v>
      </c>
      <c r="E239" s="289">
        <v>1656</v>
      </c>
      <c r="F239" s="177">
        <v>27218</v>
      </c>
      <c r="G239" s="289">
        <v>1620</v>
      </c>
      <c r="H239" s="177">
        <v>30445</v>
      </c>
      <c r="I239" s="289">
        <v>1620</v>
      </c>
      <c r="J239" s="177">
        <v>29844</v>
      </c>
      <c r="K239" s="289">
        <v>1553</v>
      </c>
      <c r="L239" s="177">
        <v>29834</v>
      </c>
      <c r="M239" s="289">
        <v>1551</v>
      </c>
      <c r="N239" s="177">
        <f>+'K19'!Z239</f>
        <v>31981</v>
      </c>
    </row>
    <row r="240" spans="1:14" ht="13">
      <c r="A240" s="1">
        <v>3427</v>
      </c>
      <c r="B240" s="2" t="s">
        <v>841</v>
      </c>
      <c r="C240" s="290">
        <v>5549</v>
      </c>
      <c r="D240" s="177">
        <v>107680</v>
      </c>
      <c r="E240" s="289">
        <v>5562</v>
      </c>
      <c r="F240" s="177">
        <v>113932</v>
      </c>
      <c r="G240" s="289">
        <v>5580</v>
      </c>
      <c r="H240" s="177">
        <v>122027</v>
      </c>
      <c r="I240" s="289">
        <v>5584</v>
      </c>
      <c r="J240" s="177">
        <v>130470</v>
      </c>
      <c r="K240" s="289">
        <v>5605</v>
      </c>
      <c r="L240" s="177">
        <v>136219</v>
      </c>
      <c r="M240" s="289">
        <v>5591</v>
      </c>
      <c r="N240" s="177">
        <f>+'K19'!Z240</f>
        <v>138237</v>
      </c>
    </row>
    <row r="241" spans="1:15" ht="13">
      <c r="A241" s="1">
        <v>3428</v>
      </c>
      <c r="B241" s="2" t="s">
        <v>842</v>
      </c>
      <c r="C241" s="290">
        <v>2432</v>
      </c>
      <c r="D241" s="177">
        <v>48352</v>
      </c>
      <c r="E241" s="289">
        <v>2418</v>
      </c>
      <c r="F241" s="177">
        <v>49066</v>
      </c>
      <c r="G241" s="289">
        <v>2426</v>
      </c>
      <c r="H241" s="177">
        <v>52913</v>
      </c>
      <c r="I241" s="289">
        <v>2441</v>
      </c>
      <c r="J241" s="177">
        <v>59525</v>
      </c>
      <c r="K241" s="289">
        <v>2424</v>
      </c>
      <c r="L241" s="177">
        <v>59910</v>
      </c>
      <c r="M241" s="289">
        <v>2418</v>
      </c>
      <c r="N241" s="177">
        <f>+'K19'!Z241</f>
        <v>59219</v>
      </c>
    </row>
    <row r="242" spans="1:15" ht="13">
      <c r="A242" s="1">
        <v>3429</v>
      </c>
      <c r="B242" s="2" t="s">
        <v>843</v>
      </c>
      <c r="C242" s="290">
        <v>1631</v>
      </c>
      <c r="D242" s="177">
        <v>28026</v>
      </c>
      <c r="E242" s="289">
        <v>1597</v>
      </c>
      <c r="F242" s="177">
        <v>29300</v>
      </c>
      <c r="G242" s="289">
        <v>1592</v>
      </c>
      <c r="H242" s="177">
        <v>31621</v>
      </c>
      <c r="I242" s="289">
        <v>1577</v>
      </c>
      <c r="J242" s="177">
        <v>31809</v>
      </c>
      <c r="K242" s="289">
        <v>1569</v>
      </c>
      <c r="L242" s="177">
        <v>32557</v>
      </c>
      <c r="M242" s="289">
        <v>1577</v>
      </c>
      <c r="N242" s="177">
        <f>+'K19'!Z242</f>
        <v>35614</v>
      </c>
    </row>
    <row r="243" spans="1:15" ht="13">
      <c r="A243" s="1">
        <v>3430</v>
      </c>
      <c r="B243" s="2" t="s">
        <v>844</v>
      </c>
      <c r="C243" s="290">
        <v>2013</v>
      </c>
      <c r="D243" s="177">
        <v>35911</v>
      </c>
      <c r="E243" s="289">
        <v>1991</v>
      </c>
      <c r="F243" s="177">
        <v>38018</v>
      </c>
      <c r="G243" s="289">
        <v>1956</v>
      </c>
      <c r="H243" s="177">
        <v>40273</v>
      </c>
      <c r="I243" s="289">
        <v>1963</v>
      </c>
      <c r="J243" s="177">
        <v>40847</v>
      </c>
      <c r="K243" s="289">
        <v>1936</v>
      </c>
      <c r="L243" s="177">
        <v>42580</v>
      </c>
      <c r="M243" s="289">
        <v>1912</v>
      </c>
      <c r="N243" s="177">
        <f>+'K19'!Z243</f>
        <v>46734</v>
      </c>
    </row>
    <row r="244" spans="1:15" ht="13">
      <c r="A244" s="1">
        <v>3431</v>
      </c>
      <c r="B244" s="2" t="s">
        <v>847</v>
      </c>
      <c r="C244" s="290">
        <v>2704</v>
      </c>
      <c r="D244" s="177">
        <v>50086</v>
      </c>
      <c r="E244" s="289">
        <v>2745</v>
      </c>
      <c r="F244" s="177">
        <v>54394</v>
      </c>
      <c r="G244" s="289">
        <v>2701</v>
      </c>
      <c r="H244" s="177">
        <v>59477</v>
      </c>
      <c r="I244" s="289">
        <v>2675</v>
      </c>
      <c r="J244" s="177">
        <v>58760</v>
      </c>
      <c r="K244" s="289">
        <v>2642</v>
      </c>
      <c r="L244" s="177">
        <v>61104</v>
      </c>
      <c r="M244" s="289">
        <v>2615</v>
      </c>
      <c r="N244" s="177">
        <f>+'K19'!Z244</f>
        <v>62336</v>
      </c>
    </row>
    <row r="245" spans="1:15" ht="13">
      <c r="A245" s="1">
        <v>3432</v>
      </c>
      <c r="B245" s="2" t="s">
        <v>848</v>
      </c>
      <c r="C245" s="290">
        <v>2076</v>
      </c>
      <c r="D245" s="177">
        <v>38506</v>
      </c>
      <c r="E245" s="289">
        <v>2059</v>
      </c>
      <c r="F245" s="177">
        <v>41423</v>
      </c>
      <c r="G245" s="289">
        <v>2055</v>
      </c>
      <c r="H245" s="177">
        <v>46978</v>
      </c>
      <c r="I245" s="289">
        <v>2048</v>
      </c>
      <c r="J245" s="177">
        <v>48600</v>
      </c>
      <c r="K245" s="289">
        <v>2038</v>
      </c>
      <c r="L245" s="177">
        <v>49147</v>
      </c>
      <c r="M245" s="289">
        <v>2009</v>
      </c>
      <c r="N245" s="177">
        <f>+'K19'!Z245</f>
        <v>49891</v>
      </c>
    </row>
    <row r="246" spans="1:15" ht="13">
      <c r="A246" s="1">
        <v>3433</v>
      </c>
      <c r="B246" s="2" t="s">
        <v>849</v>
      </c>
      <c r="C246" s="290">
        <v>2264</v>
      </c>
      <c r="D246" s="177">
        <v>54288</v>
      </c>
      <c r="E246" s="289">
        <v>2245</v>
      </c>
      <c r="F246" s="177">
        <v>57843</v>
      </c>
      <c r="G246" s="289">
        <v>2204</v>
      </c>
      <c r="H246" s="177">
        <v>56347</v>
      </c>
      <c r="I246" s="289">
        <v>2202</v>
      </c>
      <c r="J246" s="177">
        <v>57765</v>
      </c>
      <c r="K246" s="289">
        <v>2179</v>
      </c>
      <c r="L246" s="177">
        <v>59712</v>
      </c>
      <c r="M246" s="289">
        <v>2204</v>
      </c>
      <c r="N246" s="177">
        <f>+'K19'!Z246</f>
        <v>61022</v>
      </c>
    </row>
    <row r="247" spans="1:15" ht="13">
      <c r="A247" s="1">
        <v>3434</v>
      </c>
      <c r="B247" s="2" t="s">
        <v>850</v>
      </c>
      <c r="C247" s="290">
        <v>2361</v>
      </c>
      <c r="D247" s="177">
        <v>45505</v>
      </c>
      <c r="E247" s="289">
        <v>2356</v>
      </c>
      <c r="F247" s="177">
        <v>48209</v>
      </c>
      <c r="G247" s="289">
        <v>2347</v>
      </c>
      <c r="H247" s="177">
        <v>50742</v>
      </c>
      <c r="I247" s="289">
        <v>2360</v>
      </c>
      <c r="J247" s="177">
        <v>52717</v>
      </c>
      <c r="K247" s="289">
        <v>2331</v>
      </c>
      <c r="L247" s="177">
        <v>53712</v>
      </c>
      <c r="M247" s="289">
        <v>2293</v>
      </c>
      <c r="N247" s="177">
        <f>+'K19'!Z247</f>
        <v>55282</v>
      </c>
    </row>
    <row r="248" spans="1:15" ht="13">
      <c r="A248" s="1">
        <v>3435</v>
      </c>
      <c r="B248" s="2" t="s">
        <v>851</v>
      </c>
      <c r="C248" s="290">
        <v>3686</v>
      </c>
      <c r="D248" s="177">
        <v>67094</v>
      </c>
      <c r="E248" s="289">
        <v>3675</v>
      </c>
      <c r="F248" s="177">
        <v>69739</v>
      </c>
      <c r="G248" s="289">
        <v>3664</v>
      </c>
      <c r="H248" s="177">
        <v>75013</v>
      </c>
      <c r="I248" s="289">
        <v>3640</v>
      </c>
      <c r="J248" s="177">
        <v>75847</v>
      </c>
      <c r="K248" s="289">
        <v>3638</v>
      </c>
      <c r="L248" s="177">
        <v>88200</v>
      </c>
      <c r="M248" s="289">
        <v>3589</v>
      </c>
      <c r="N248" s="177">
        <f>+'K19'!Z248</f>
        <v>89927</v>
      </c>
    </row>
    <row r="249" spans="1:15" ht="13">
      <c r="A249" s="1">
        <v>3436</v>
      </c>
      <c r="B249" s="2" t="s">
        <v>852</v>
      </c>
      <c r="C249" s="290">
        <v>5765</v>
      </c>
      <c r="D249" s="177">
        <v>135027</v>
      </c>
      <c r="E249" s="289">
        <v>5754</v>
      </c>
      <c r="F249" s="177">
        <v>147197</v>
      </c>
      <c r="G249" s="289">
        <v>5741</v>
      </c>
      <c r="H249" s="177">
        <v>156680</v>
      </c>
      <c r="I249" s="289">
        <v>5723</v>
      </c>
      <c r="J249" s="177">
        <v>157240</v>
      </c>
      <c r="K249" s="289">
        <v>5728</v>
      </c>
      <c r="L249" s="177">
        <v>163384</v>
      </c>
      <c r="M249" s="289">
        <v>5742</v>
      </c>
      <c r="N249" s="177">
        <f>+'K19'!Z249</f>
        <v>163393</v>
      </c>
    </row>
    <row r="250" spans="1:15" ht="13">
      <c r="A250" s="1">
        <v>3437</v>
      </c>
      <c r="B250" s="2" t="s">
        <v>853</v>
      </c>
      <c r="C250" s="290">
        <v>5974</v>
      </c>
      <c r="D250" s="177">
        <v>99876</v>
      </c>
      <c r="E250" s="289">
        <v>5965</v>
      </c>
      <c r="F250" s="177">
        <v>106162</v>
      </c>
      <c r="G250" s="289">
        <v>5935</v>
      </c>
      <c r="H250" s="177">
        <v>113135</v>
      </c>
      <c r="I250" s="289">
        <v>5916</v>
      </c>
      <c r="J250" s="177">
        <v>115631</v>
      </c>
      <c r="K250" s="289">
        <v>5872</v>
      </c>
      <c r="L250" s="177">
        <v>120218</v>
      </c>
      <c r="M250" s="289">
        <v>5789</v>
      </c>
      <c r="N250" s="177">
        <f>+'K19'!Z250</f>
        <v>121998</v>
      </c>
    </row>
    <row r="251" spans="1:15" ht="13">
      <c r="A251" s="1">
        <v>3438</v>
      </c>
      <c r="B251" s="2" t="s">
        <v>854</v>
      </c>
      <c r="C251" s="290">
        <v>3191</v>
      </c>
      <c r="D251" s="177">
        <v>71560</v>
      </c>
      <c r="E251" s="289">
        <v>3204</v>
      </c>
      <c r="F251" s="177">
        <v>72836</v>
      </c>
      <c r="G251" s="289">
        <v>3154</v>
      </c>
      <c r="H251" s="177">
        <v>80249</v>
      </c>
      <c r="I251" s="289">
        <v>3163</v>
      </c>
      <c r="J251" s="177">
        <v>81548</v>
      </c>
      <c r="K251" s="289">
        <v>3146</v>
      </c>
      <c r="L251" s="177">
        <v>85416</v>
      </c>
      <c r="M251" s="289">
        <v>3127</v>
      </c>
      <c r="N251" s="177">
        <f>+'K19'!Z251</f>
        <v>86652</v>
      </c>
    </row>
    <row r="252" spans="1:15" ht="13">
      <c r="A252" s="1">
        <v>3439</v>
      </c>
      <c r="B252" s="2" t="s">
        <v>855</v>
      </c>
      <c r="C252" s="290">
        <v>4495</v>
      </c>
      <c r="D252" s="177">
        <v>88613</v>
      </c>
      <c r="E252" s="289">
        <v>4459</v>
      </c>
      <c r="F252" s="177">
        <v>96151</v>
      </c>
      <c r="G252" s="289">
        <v>4462</v>
      </c>
      <c r="H252" s="177">
        <v>103553</v>
      </c>
      <c r="I252" s="289">
        <v>4502</v>
      </c>
      <c r="J252" s="177">
        <v>106336</v>
      </c>
      <c r="K252" s="289">
        <v>4454</v>
      </c>
      <c r="L252" s="177">
        <v>110978</v>
      </c>
      <c r="M252" s="289">
        <v>4425</v>
      </c>
      <c r="N252" s="177">
        <f>+'K19'!Z252</f>
        <v>118676</v>
      </c>
    </row>
    <row r="253" spans="1:15" ht="13">
      <c r="A253" s="1">
        <v>3440</v>
      </c>
      <c r="B253" s="2" t="s">
        <v>856</v>
      </c>
      <c r="C253" s="290">
        <v>5090</v>
      </c>
      <c r="D253" s="177">
        <v>116095</v>
      </c>
      <c r="E253" s="289">
        <v>5065</v>
      </c>
      <c r="F253" s="177">
        <v>116092</v>
      </c>
      <c r="G253" s="289">
        <v>5072</v>
      </c>
      <c r="H253" s="177">
        <v>131318</v>
      </c>
      <c r="I253" s="289">
        <v>5082</v>
      </c>
      <c r="J253" s="177">
        <v>140354</v>
      </c>
      <c r="K253" s="289">
        <v>5130</v>
      </c>
      <c r="L253" s="177">
        <v>149306</v>
      </c>
      <c r="M253" s="289">
        <v>5119</v>
      </c>
      <c r="N253" s="177">
        <f>+'K19'!Z253</f>
        <v>155837</v>
      </c>
      <c r="O253" s="5">
        <f>+D253+D255-D450-D451</f>
        <v>224563</v>
      </c>
    </row>
    <row r="254" spans="1:15" ht="13">
      <c r="A254" s="1">
        <v>3441</v>
      </c>
      <c r="B254" s="2" t="s">
        <v>857</v>
      </c>
      <c r="C254" s="290">
        <v>6237</v>
      </c>
      <c r="D254" s="177">
        <v>121697</v>
      </c>
      <c r="E254" s="289">
        <v>6210</v>
      </c>
      <c r="F254" s="177">
        <v>129805</v>
      </c>
      <c r="G254" s="289">
        <v>6227</v>
      </c>
      <c r="H254" s="177">
        <v>141000</v>
      </c>
      <c r="I254" s="289">
        <v>6204</v>
      </c>
      <c r="J254" s="177">
        <v>148052</v>
      </c>
      <c r="K254" s="289">
        <v>6148</v>
      </c>
      <c r="L254" s="177">
        <v>156210</v>
      </c>
      <c r="M254" s="289">
        <v>6112</v>
      </c>
      <c r="N254" s="177">
        <f>+'K19'!Z254</f>
        <v>158541</v>
      </c>
    </row>
    <row r="255" spans="1:15" ht="13">
      <c r="A255" s="1">
        <v>3442</v>
      </c>
      <c r="B255" s="2" t="s">
        <v>858</v>
      </c>
      <c r="C255" s="290">
        <v>14777</v>
      </c>
      <c r="D255" s="177">
        <v>281403</v>
      </c>
      <c r="E255" s="289">
        <v>14796</v>
      </c>
      <c r="F255" s="177">
        <v>298093</v>
      </c>
      <c r="G255" s="289">
        <v>14906</v>
      </c>
      <c r="H255" s="177">
        <v>331237</v>
      </c>
      <c r="I255" s="289">
        <v>14887</v>
      </c>
      <c r="J255" s="177">
        <v>349805</v>
      </c>
      <c r="K255" s="289">
        <v>14888</v>
      </c>
      <c r="L255" s="177">
        <v>375056</v>
      </c>
      <c r="M255" s="289">
        <v>14948</v>
      </c>
      <c r="N255" s="177">
        <f>+'K19'!Z255</f>
        <v>387332</v>
      </c>
    </row>
    <row r="256" spans="1:15" ht="13">
      <c r="A256" s="1">
        <v>3443</v>
      </c>
      <c r="B256" s="2" t="s">
        <v>859</v>
      </c>
      <c r="C256" s="290">
        <v>13075</v>
      </c>
      <c r="D256" s="177">
        <v>248655</v>
      </c>
      <c r="E256" s="289">
        <v>13152</v>
      </c>
      <c r="F256" s="177">
        <v>268292</v>
      </c>
      <c r="G256" s="289">
        <v>13180</v>
      </c>
      <c r="H256" s="177">
        <v>289291</v>
      </c>
      <c r="I256" s="289">
        <v>13179</v>
      </c>
      <c r="J256" s="177">
        <v>298912</v>
      </c>
      <c r="K256" s="289">
        <v>13314</v>
      </c>
      <c r="L256" s="177">
        <v>319630</v>
      </c>
      <c r="M256" s="289">
        <v>13384</v>
      </c>
      <c r="N256" s="177">
        <f>+'K19'!Z256</f>
        <v>330293</v>
      </c>
    </row>
    <row r="257" spans="1:14" ht="13">
      <c r="A257" s="1">
        <v>3446</v>
      </c>
      <c r="B257" s="2" t="s">
        <v>862</v>
      </c>
      <c r="C257" s="290">
        <v>13607</v>
      </c>
      <c r="D257" s="177">
        <v>275643</v>
      </c>
      <c r="E257" s="289">
        <v>13685</v>
      </c>
      <c r="F257" s="177">
        <v>299360</v>
      </c>
      <c r="G257" s="289">
        <v>13695</v>
      </c>
      <c r="H257" s="177">
        <v>330694</v>
      </c>
      <c r="I257" s="289">
        <v>13707</v>
      </c>
      <c r="J257" s="177">
        <v>341304</v>
      </c>
      <c r="K257" s="289">
        <v>13770</v>
      </c>
      <c r="L257" s="177">
        <v>356430</v>
      </c>
      <c r="M257" s="289">
        <v>13642</v>
      </c>
      <c r="N257" s="177">
        <f>+'K19'!Z257</f>
        <v>362027</v>
      </c>
    </row>
    <row r="258" spans="1:14" ht="13">
      <c r="A258" s="1">
        <v>3447</v>
      </c>
      <c r="B258" s="2" t="s">
        <v>863</v>
      </c>
      <c r="C258" s="290">
        <v>5701</v>
      </c>
      <c r="D258" s="177">
        <v>93534</v>
      </c>
      <c r="E258" s="289">
        <v>5772</v>
      </c>
      <c r="F258" s="177">
        <v>99452</v>
      </c>
      <c r="G258" s="289">
        <v>5758</v>
      </c>
      <c r="H258" s="177">
        <v>111262</v>
      </c>
      <c r="I258" s="289">
        <v>5717</v>
      </c>
      <c r="J258" s="177">
        <v>114902</v>
      </c>
      <c r="K258" s="289">
        <v>5650</v>
      </c>
      <c r="L258" s="177">
        <v>118346</v>
      </c>
      <c r="M258" s="289">
        <v>5623</v>
      </c>
      <c r="N258" s="177">
        <f>+'K19'!Z258</f>
        <v>123933</v>
      </c>
    </row>
    <row r="259" spans="1:14" ht="13">
      <c r="A259" s="1">
        <v>3448</v>
      </c>
      <c r="B259" s="2" t="s">
        <v>864</v>
      </c>
      <c r="C259" s="290">
        <v>6700</v>
      </c>
      <c r="D259" s="177">
        <v>119053</v>
      </c>
      <c r="E259" s="289">
        <v>6740</v>
      </c>
      <c r="F259" s="177">
        <v>130066</v>
      </c>
      <c r="G259" s="289">
        <v>6751</v>
      </c>
      <c r="H259" s="177">
        <v>140247</v>
      </c>
      <c r="I259" s="289">
        <v>6773</v>
      </c>
      <c r="J259" s="177">
        <v>144949</v>
      </c>
      <c r="K259" s="289">
        <v>6750</v>
      </c>
      <c r="L259" s="177">
        <v>148417</v>
      </c>
      <c r="M259" s="289">
        <v>6671</v>
      </c>
      <c r="N259" s="177">
        <f>+'K19'!Z259</f>
        <v>155140</v>
      </c>
    </row>
    <row r="260" spans="1:14" ht="13">
      <c r="A260" s="1">
        <v>3449</v>
      </c>
      <c r="B260" s="2" t="s">
        <v>865</v>
      </c>
      <c r="C260" s="290">
        <v>3133</v>
      </c>
      <c r="D260" s="177">
        <v>62100</v>
      </c>
      <c r="E260" s="289">
        <v>3094</v>
      </c>
      <c r="F260" s="177">
        <v>64195</v>
      </c>
      <c r="G260" s="289">
        <v>3058</v>
      </c>
      <c r="H260" s="177">
        <v>66787</v>
      </c>
      <c r="I260" s="289">
        <v>3026</v>
      </c>
      <c r="J260" s="177">
        <v>67880</v>
      </c>
      <c r="K260" s="289">
        <v>3014</v>
      </c>
      <c r="L260" s="177">
        <v>73595</v>
      </c>
      <c r="M260" s="289">
        <v>2981</v>
      </c>
      <c r="N260" s="177">
        <f>+'K19'!Z260</f>
        <v>74443</v>
      </c>
    </row>
    <row r="261" spans="1:14" ht="13">
      <c r="A261" s="1">
        <v>3450</v>
      </c>
      <c r="B261" s="2" t="s">
        <v>866</v>
      </c>
      <c r="C261" s="290">
        <v>1408</v>
      </c>
      <c r="D261" s="177">
        <v>23718</v>
      </c>
      <c r="E261" s="289">
        <v>1402</v>
      </c>
      <c r="F261" s="177">
        <v>24754</v>
      </c>
      <c r="G261" s="289">
        <v>1321</v>
      </c>
      <c r="H261" s="177">
        <v>28197</v>
      </c>
      <c r="I261" s="289">
        <v>1351</v>
      </c>
      <c r="J261" s="177">
        <v>32167</v>
      </c>
      <c r="K261" s="289">
        <v>1352</v>
      </c>
      <c r="L261" s="177">
        <v>32388</v>
      </c>
      <c r="M261" s="289">
        <v>1305</v>
      </c>
      <c r="N261" s="177">
        <f>+'K19'!Z261</f>
        <v>30753</v>
      </c>
    </row>
    <row r="262" spans="1:14" ht="13">
      <c r="A262" s="1">
        <v>3451</v>
      </c>
      <c r="B262" s="2" t="s">
        <v>867</v>
      </c>
      <c r="C262" s="290">
        <v>6417</v>
      </c>
      <c r="D262" s="177">
        <v>138198</v>
      </c>
      <c r="E262" s="289">
        <v>6466</v>
      </c>
      <c r="F262" s="177">
        <v>144388</v>
      </c>
      <c r="G262" s="289">
        <v>6458</v>
      </c>
      <c r="H262" s="177">
        <v>160812</v>
      </c>
      <c r="I262" s="289">
        <v>6490</v>
      </c>
      <c r="J262" s="177">
        <v>168668</v>
      </c>
      <c r="K262" s="289">
        <v>6443</v>
      </c>
      <c r="L262" s="177">
        <v>174124</v>
      </c>
      <c r="M262" s="289">
        <v>6418</v>
      </c>
      <c r="N262" s="177">
        <f>+'K19'!Z262</f>
        <v>177318</v>
      </c>
    </row>
    <row r="263" spans="1:14" ht="13">
      <c r="A263" s="1">
        <v>3452</v>
      </c>
      <c r="B263" s="2" t="s">
        <v>868</v>
      </c>
      <c r="C263" s="290">
        <v>2187</v>
      </c>
      <c r="D263" s="177">
        <v>48337</v>
      </c>
      <c r="E263" s="289">
        <v>2180</v>
      </c>
      <c r="F263" s="177">
        <v>50874</v>
      </c>
      <c r="G263" s="289">
        <v>2168</v>
      </c>
      <c r="H263" s="177">
        <v>54249</v>
      </c>
      <c r="I263" s="289">
        <v>2114</v>
      </c>
      <c r="J263" s="177">
        <v>56445</v>
      </c>
      <c r="K263" s="289">
        <v>2139</v>
      </c>
      <c r="L263" s="177">
        <v>61276</v>
      </c>
      <c r="M263" s="289">
        <v>2135</v>
      </c>
      <c r="N263" s="177">
        <f>+'K19'!Z263</f>
        <v>67700</v>
      </c>
    </row>
    <row r="264" spans="1:14" ht="13">
      <c r="A264" s="1">
        <v>3453</v>
      </c>
      <c r="B264" s="2" t="s">
        <v>869</v>
      </c>
      <c r="C264" s="290">
        <v>3206</v>
      </c>
      <c r="D264" s="177">
        <v>73934</v>
      </c>
      <c r="E264" s="289">
        <v>3199</v>
      </c>
      <c r="F264" s="177">
        <v>80327</v>
      </c>
      <c r="G264" s="289">
        <v>3220</v>
      </c>
      <c r="H264" s="177">
        <v>81838</v>
      </c>
      <c r="I264" s="289">
        <v>3248</v>
      </c>
      <c r="J264" s="177">
        <v>90424</v>
      </c>
      <c r="K264" s="289">
        <v>3221</v>
      </c>
      <c r="L264" s="177">
        <v>96866</v>
      </c>
      <c r="M264" s="289">
        <v>3208</v>
      </c>
      <c r="N264" s="177">
        <f>+'K19'!Z264</f>
        <v>101589</v>
      </c>
    </row>
    <row r="265" spans="1:14" ht="13">
      <c r="A265" s="1">
        <v>3454</v>
      </c>
      <c r="B265" s="2" t="s">
        <v>870</v>
      </c>
      <c r="C265" s="290">
        <v>1602</v>
      </c>
      <c r="D265" s="177">
        <v>38293</v>
      </c>
      <c r="E265" s="289">
        <v>1619</v>
      </c>
      <c r="F265" s="177">
        <v>37972</v>
      </c>
      <c r="G265" s="289">
        <v>1590</v>
      </c>
      <c r="H265" s="177">
        <v>44551</v>
      </c>
      <c r="I265" s="289">
        <v>1596</v>
      </c>
      <c r="J265" s="177">
        <v>45896</v>
      </c>
      <c r="K265" s="289">
        <v>1601</v>
      </c>
      <c r="L265" s="177">
        <v>47228</v>
      </c>
      <c r="M265" s="289">
        <v>1610</v>
      </c>
      <c r="N265" s="177">
        <f>+'K19'!Z265</f>
        <v>49799</v>
      </c>
    </row>
    <row r="266" spans="1:14" ht="13">
      <c r="A266" s="1">
        <v>3801</v>
      </c>
      <c r="B266" s="4" t="s">
        <v>346</v>
      </c>
      <c r="C266" s="290">
        <v>26751</v>
      </c>
      <c r="D266" s="177">
        <v>552532</v>
      </c>
      <c r="E266" s="289">
        <v>26903</v>
      </c>
      <c r="F266" s="177">
        <v>579819</v>
      </c>
      <c r="G266" s="289">
        <v>27178</v>
      </c>
      <c r="H266" s="177">
        <v>637325</v>
      </c>
      <c r="I266" s="289">
        <v>27202</v>
      </c>
      <c r="J266" s="177">
        <v>663495</v>
      </c>
      <c r="K266" s="289">
        <v>27317</v>
      </c>
      <c r="L266" s="177">
        <v>672391</v>
      </c>
      <c r="M266" s="289">
        <v>27334</v>
      </c>
      <c r="N266" s="177">
        <f>+'K19'!Z266</f>
        <v>692275</v>
      </c>
    </row>
    <row r="267" spans="1:14" ht="13">
      <c r="A267" s="755">
        <v>3804</v>
      </c>
      <c r="B267" s="756" t="s">
        <v>1153</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c r="M267" s="289">
        <v>63271</v>
      </c>
      <c r="N267" s="177">
        <f>+'K19'!Z267</f>
        <v>1778055</v>
      </c>
    </row>
    <row r="268" spans="1:14" ht="13">
      <c r="A268" s="1">
        <v>3805</v>
      </c>
      <c r="B268" s="2" t="s">
        <v>1235</v>
      </c>
      <c r="C268" s="290">
        <f>+C$441+C$442</f>
        <v>45718</v>
      </c>
      <c r="D268" s="177">
        <f t="shared" ref="D268:J268" si="1">+D$441+D$442</f>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c r="M268" s="289">
        <v>47107</v>
      </c>
      <c r="N268" s="177">
        <f>+'K19'!Z268</f>
        <v>1285032</v>
      </c>
    </row>
    <row r="269" spans="1:14" ht="13">
      <c r="A269" s="1">
        <v>3806</v>
      </c>
      <c r="B269" s="2" t="s">
        <v>904</v>
      </c>
      <c r="C269" s="290">
        <v>35516</v>
      </c>
      <c r="D269" s="177">
        <v>786648</v>
      </c>
      <c r="E269" s="289">
        <v>35755</v>
      </c>
      <c r="F269" s="177">
        <v>832456</v>
      </c>
      <c r="G269" s="289">
        <v>35955</v>
      </c>
      <c r="H269" s="177">
        <v>899390</v>
      </c>
      <c r="I269" s="289">
        <v>36198</v>
      </c>
      <c r="J269" s="177">
        <v>954527</v>
      </c>
      <c r="K269" s="289">
        <v>36091</v>
      </c>
      <c r="L269" s="177">
        <v>994677</v>
      </c>
      <c r="M269" s="289">
        <v>36224</v>
      </c>
      <c r="N269" s="177">
        <f>+'K19'!Z269</f>
        <v>1030160</v>
      </c>
    </row>
    <row r="270" spans="1:14" ht="13">
      <c r="A270" s="1">
        <v>3807</v>
      </c>
      <c r="B270" s="2" t="s">
        <v>905</v>
      </c>
      <c r="C270" s="290">
        <v>53439</v>
      </c>
      <c r="D270" s="177">
        <v>1111721</v>
      </c>
      <c r="E270" s="289">
        <v>53745</v>
      </c>
      <c r="F270" s="177">
        <v>1204597</v>
      </c>
      <c r="G270" s="289">
        <v>53952</v>
      </c>
      <c r="H270" s="177">
        <v>1297835</v>
      </c>
      <c r="I270" s="289">
        <v>54316</v>
      </c>
      <c r="J270" s="177">
        <v>1350527</v>
      </c>
      <c r="K270" s="289">
        <v>54510</v>
      </c>
      <c r="L270" s="177">
        <v>1395616</v>
      </c>
      <c r="M270" s="289">
        <v>54645</v>
      </c>
      <c r="N270" s="177">
        <f>+'K19'!Z270</f>
        <v>1431339</v>
      </c>
    </row>
    <row r="271" spans="1:14" ht="13">
      <c r="A271" s="1">
        <v>3808</v>
      </c>
      <c r="B271" s="2" t="s">
        <v>906</v>
      </c>
      <c r="C271" s="290">
        <v>12609</v>
      </c>
      <c r="D271" s="177">
        <v>260907</v>
      </c>
      <c r="E271" s="289">
        <v>12599</v>
      </c>
      <c r="F271" s="177">
        <v>277956</v>
      </c>
      <c r="G271" s="289">
        <v>12717</v>
      </c>
      <c r="H271" s="177">
        <v>301197</v>
      </c>
      <c r="I271" s="289">
        <v>12757</v>
      </c>
      <c r="J271" s="177">
        <v>303583</v>
      </c>
      <c r="K271" s="289">
        <v>12664</v>
      </c>
      <c r="L271" s="177">
        <v>311118</v>
      </c>
      <c r="M271" s="289">
        <v>12682</v>
      </c>
      <c r="N271" s="177">
        <f>+'K19'!Z271</f>
        <v>330479</v>
      </c>
    </row>
    <row r="272" spans="1:14" ht="13">
      <c r="A272" s="1">
        <v>3811</v>
      </c>
      <c r="B272" s="2" t="s">
        <v>1241</v>
      </c>
      <c r="C272" s="290">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c r="M272" s="289">
        <v>26700</v>
      </c>
      <c r="N272" s="177">
        <f>+'K19'!Z272</f>
        <v>861791</v>
      </c>
    </row>
    <row r="273" spans="1:14" ht="13">
      <c r="A273" s="1">
        <v>3812</v>
      </c>
      <c r="B273" s="2" t="s">
        <v>907</v>
      </c>
      <c r="C273" s="290">
        <v>2404</v>
      </c>
      <c r="D273" s="177">
        <v>48534</v>
      </c>
      <c r="E273" s="289">
        <v>2361</v>
      </c>
      <c r="F273" s="177">
        <v>49972</v>
      </c>
      <c r="G273" s="289">
        <v>2335</v>
      </c>
      <c r="H273" s="177">
        <v>54288</v>
      </c>
      <c r="I273" s="289">
        <v>2357</v>
      </c>
      <c r="J273" s="177">
        <v>58101</v>
      </c>
      <c r="K273" s="289">
        <v>2351</v>
      </c>
      <c r="L273" s="177">
        <v>59881</v>
      </c>
      <c r="M273" s="289">
        <v>2329</v>
      </c>
      <c r="N273" s="177">
        <f>+'K19'!Z273</f>
        <v>61369</v>
      </c>
    </row>
    <row r="274" spans="1:14" ht="13">
      <c r="A274" s="1">
        <v>3813</v>
      </c>
      <c r="B274" s="2" t="s">
        <v>908</v>
      </c>
      <c r="C274" s="290">
        <v>14193</v>
      </c>
      <c r="D274" s="177">
        <v>315740</v>
      </c>
      <c r="E274" s="289">
        <v>14140</v>
      </c>
      <c r="F274" s="177">
        <v>322952</v>
      </c>
      <c r="G274" s="289">
        <v>14088</v>
      </c>
      <c r="H274" s="177">
        <v>355108</v>
      </c>
      <c r="I274" s="289">
        <v>14138</v>
      </c>
      <c r="J274" s="177">
        <v>367084</v>
      </c>
      <c r="K274" s="289">
        <v>14183</v>
      </c>
      <c r="L274" s="177">
        <v>382036</v>
      </c>
      <c r="M274" s="289">
        <v>14089</v>
      </c>
      <c r="N274" s="177">
        <f>+'K19'!Z274</f>
        <v>395478</v>
      </c>
    </row>
    <row r="275" spans="1:14" ht="13">
      <c r="A275" s="1">
        <v>3814</v>
      </c>
      <c r="B275" s="2" t="s">
        <v>910</v>
      </c>
      <c r="C275" s="290">
        <v>10621</v>
      </c>
      <c r="D275" s="177">
        <v>208570</v>
      </c>
      <c r="E275" s="289">
        <v>10636</v>
      </c>
      <c r="F275" s="177">
        <v>222964</v>
      </c>
      <c r="G275" s="289">
        <v>10607</v>
      </c>
      <c r="H275" s="177">
        <v>238907</v>
      </c>
      <c r="I275" s="289">
        <v>10586</v>
      </c>
      <c r="J275" s="177">
        <v>246804</v>
      </c>
      <c r="K275" s="289">
        <v>10506</v>
      </c>
      <c r="L275" s="177">
        <v>262062</v>
      </c>
      <c r="M275" s="289">
        <v>10406</v>
      </c>
      <c r="N275" s="177">
        <f>+'K19'!Z275</f>
        <v>268676</v>
      </c>
    </row>
    <row r="276" spans="1:14" ht="13">
      <c r="A276" s="1">
        <v>3815</v>
      </c>
      <c r="B276" s="2" t="s">
        <v>911</v>
      </c>
      <c r="C276" s="290">
        <v>4135</v>
      </c>
      <c r="D276" s="177">
        <v>74397</v>
      </c>
      <c r="E276" s="289">
        <v>4111</v>
      </c>
      <c r="F276" s="177">
        <v>77737</v>
      </c>
      <c r="G276" s="289">
        <v>4136</v>
      </c>
      <c r="H276" s="177">
        <v>83380</v>
      </c>
      <c r="I276" s="289">
        <v>4148</v>
      </c>
      <c r="J276" s="177">
        <v>85856</v>
      </c>
      <c r="K276" s="289">
        <v>4105</v>
      </c>
      <c r="L276" s="177">
        <v>89506</v>
      </c>
      <c r="M276" s="289">
        <v>4080</v>
      </c>
      <c r="N276" s="177">
        <f>+'K19'!Z276</f>
        <v>91475</v>
      </c>
    </row>
    <row r="277" spans="1:14" ht="13">
      <c r="A277" s="1">
        <v>3816</v>
      </c>
      <c r="B277" s="2" t="s">
        <v>912</v>
      </c>
      <c r="C277" s="290">
        <v>6643</v>
      </c>
      <c r="D277" s="177">
        <v>133614</v>
      </c>
      <c r="E277" s="289">
        <v>6630</v>
      </c>
      <c r="F277" s="177">
        <v>140747</v>
      </c>
      <c r="G277" s="289">
        <v>6534</v>
      </c>
      <c r="H277" s="177">
        <v>142744</v>
      </c>
      <c r="I277" s="289">
        <v>6585</v>
      </c>
      <c r="J277" s="177">
        <v>146101</v>
      </c>
      <c r="K277" s="289">
        <v>6609</v>
      </c>
      <c r="L277" s="177">
        <v>155467</v>
      </c>
      <c r="M277" s="289">
        <v>6538</v>
      </c>
      <c r="N277" s="177">
        <f>+'K19'!Z277</f>
        <v>161297</v>
      </c>
    </row>
    <row r="278" spans="1:14" ht="13">
      <c r="A278" s="1">
        <v>3818</v>
      </c>
      <c r="B278" s="2" t="s">
        <v>920</v>
      </c>
      <c r="C278" s="290">
        <v>5957</v>
      </c>
      <c r="D278" s="177">
        <v>171332</v>
      </c>
      <c r="E278" s="289">
        <v>5913</v>
      </c>
      <c r="F278" s="177">
        <v>175352</v>
      </c>
      <c r="G278" s="289">
        <v>5940</v>
      </c>
      <c r="H278" s="177">
        <v>186961</v>
      </c>
      <c r="I278" s="289">
        <v>5894</v>
      </c>
      <c r="J278" s="177">
        <v>193683</v>
      </c>
      <c r="K278" s="289">
        <v>5856</v>
      </c>
      <c r="L278" s="177">
        <v>199842</v>
      </c>
      <c r="M278" s="289">
        <v>5780</v>
      </c>
      <c r="N278" s="177">
        <f>+'K19'!Z278</f>
        <v>205109</v>
      </c>
    </row>
    <row r="279" spans="1:14" ht="13">
      <c r="A279" s="1">
        <v>3819</v>
      </c>
      <c r="B279" s="2" t="s">
        <v>921</v>
      </c>
      <c r="C279" s="290">
        <v>1602</v>
      </c>
      <c r="D279" s="177">
        <v>39542</v>
      </c>
      <c r="E279" s="289">
        <v>1594</v>
      </c>
      <c r="F279" s="177">
        <v>42830</v>
      </c>
      <c r="G279" s="289">
        <v>1613</v>
      </c>
      <c r="H279" s="177">
        <v>40643</v>
      </c>
      <c r="I279" s="289">
        <v>1593</v>
      </c>
      <c r="J279" s="177">
        <v>43632</v>
      </c>
      <c r="K279" s="289">
        <v>1587</v>
      </c>
      <c r="L279" s="177">
        <v>47373</v>
      </c>
      <c r="M279" s="289">
        <v>1572</v>
      </c>
      <c r="N279" s="177">
        <f>+'K19'!Z279</f>
        <v>48046</v>
      </c>
    </row>
    <row r="280" spans="1:14" ht="13">
      <c r="A280" s="1">
        <v>3820</v>
      </c>
      <c r="B280" s="2" t="s">
        <v>922</v>
      </c>
      <c r="C280" s="290">
        <v>2989</v>
      </c>
      <c r="D280" s="177">
        <v>65047</v>
      </c>
      <c r="E280" s="289">
        <v>3002</v>
      </c>
      <c r="F280" s="177">
        <v>68192</v>
      </c>
      <c r="G280" s="289">
        <v>2991</v>
      </c>
      <c r="H280" s="177">
        <v>77709</v>
      </c>
      <c r="I280" s="289">
        <v>2979</v>
      </c>
      <c r="J280" s="177">
        <v>76975</v>
      </c>
      <c r="K280" s="289">
        <v>2959</v>
      </c>
      <c r="L280" s="177">
        <v>79022</v>
      </c>
      <c r="M280" s="289">
        <v>2934</v>
      </c>
      <c r="N280" s="177">
        <f>+'K19'!Z280</f>
        <v>79899</v>
      </c>
    </row>
    <row r="281" spans="1:14" ht="13">
      <c r="A281" s="1">
        <v>3821</v>
      </c>
      <c r="B281" s="2" t="s">
        <v>923</v>
      </c>
      <c r="C281" s="290">
        <v>2468</v>
      </c>
      <c r="D281" s="177">
        <v>50957</v>
      </c>
      <c r="E281" s="289">
        <v>2466</v>
      </c>
      <c r="F281" s="177">
        <v>53676</v>
      </c>
      <c r="G281" s="289">
        <v>2448</v>
      </c>
      <c r="H281" s="177">
        <v>59167</v>
      </c>
      <c r="I281" s="289">
        <v>2442</v>
      </c>
      <c r="J281" s="177">
        <v>59446</v>
      </c>
      <c r="K281" s="289">
        <v>2397</v>
      </c>
      <c r="L281" s="177">
        <v>63971</v>
      </c>
      <c r="M281" s="289">
        <v>2403</v>
      </c>
      <c r="N281" s="177">
        <f>+'K19'!Z281</f>
        <v>65310</v>
      </c>
    </row>
    <row r="282" spans="1:14" ht="13">
      <c r="A282" s="1">
        <v>3822</v>
      </c>
      <c r="B282" s="2" t="s">
        <v>924</v>
      </c>
      <c r="C282" s="290">
        <v>1451</v>
      </c>
      <c r="D282" s="177">
        <v>36611</v>
      </c>
      <c r="E282" s="289">
        <v>1439</v>
      </c>
      <c r="F282" s="177">
        <v>37410</v>
      </c>
      <c r="G282" s="289">
        <v>1443</v>
      </c>
      <c r="H282" s="177">
        <v>39677</v>
      </c>
      <c r="I282" s="289">
        <v>1476</v>
      </c>
      <c r="J282" s="177">
        <v>41801</v>
      </c>
      <c r="K282" s="289">
        <v>1489</v>
      </c>
      <c r="L282" s="177">
        <v>43371</v>
      </c>
      <c r="M282" s="289">
        <v>1476</v>
      </c>
      <c r="N282" s="177">
        <f>+'K19'!Z282</f>
        <v>43819</v>
      </c>
    </row>
    <row r="283" spans="1:14" ht="13">
      <c r="A283" s="1">
        <v>3823</v>
      </c>
      <c r="B283" s="2" t="s">
        <v>925</v>
      </c>
      <c r="C283" s="290">
        <v>1303</v>
      </c>
      <c r="D283" s="177">
        <v>28797</v>
      </c>
      <c r="E283" s="289">
        <v>1298</v>
      </c>
      <c r="F283" s="177">
        <v>30134</v>
      </c>
      <c r="G283" s="289">
        <v>1323</v>
      </c>
      <c r="H283" s="177">
        <v>31376</v>
      </c>
      <c r="I283" s="289">
        <v>1319</v>
      </c>
      <c r="J283" s="177">
        <v>31788</v>
      </c>
      <c r="K283" s="289">
        <v>1320</v>
      </c>
      <c r="L283" s="177">
        <v>35116</v>
      </c>
      <c r="M283" s="289">
        <v>1286</v>
      </c>
      <c r="N283" s="177">
        <f>+'K19'!Z283</f>
        <v>35476</v>
      </c>
    </row>
    <row r="284" spans="1:14" ht="13">
      <c r="A284" s="1">
        <v>3824</v>
      </c>
      <c r="B284" s="2" t="s">
        <v>926</v>
      </c>
      <c r="C284" s="290">
        <v>2257</v>
      </c>
      <c r="D284" s="177">
        <v>71072</v>
      </c>
      <c r="E284" s="289">
        <v>2252</v>
      </c>
      <c r="F284" s="177">
        <v>73784</v>
      </c>
      <c r="G284" s="289">
        <v>2246</v>
      </c>
      <c r="H284" s="177">
        <v>75679</v>
      </c>
      <c r="I284" s="289">
        <v>2228</v>
      </c>
      <c r="J284" s="177">
        <v>75885</v>
      </c>
      <c r="K284" s="289">
        <v>2236</v>
      </c>
      <c r="L284" s="177">
        <v>78415</v>
      </c>
      <c r="M284" s="289">
        <v>2228</v>
      </c>
      <c r="N284" s="177">
        <f>+'K19'!Z284</f>
        <v>83047</v>
      </c>
    </row>
    <row r="285" spans="1:14" ht="13">
      <c r="A285" s="1">
        <v>3825</v>
      </c>
      <c r="B285" s="2" t="s">
        <v>927</v>
      </c>
      <c r="C285" s="290">
        <v>3723</v>
      </c>
      <c r="D285" s="177">
        <v>126108</v>
      </c>
      <c r="E285" s="289">
        <v>3689</v>
      </c>
      <c r="F285" s="177">
        <v>128208</v>
      </c>
      <c r="G285" s="289">
        <v>3727</v>
      </c>
      <c r="H285" s="177">
        <v>139735</v>
      </c>
      <c r="I285" s="289">
        <v>3726</v>
      </c>
      <c r="J285" s="177">
        <v>147661</v>
      </c>
      <c r="K285" s="289">
        <v>3709</v>
      </c>
      <c r="L285" s="177">
        <v>151716</v>
      </c>
      <c r="M285" s="289">
        <v>3723</v>
      </c>
      <c r="N285" s="177">
        <f>+'K19'!Z285</f>
        <v>154659</v>
      </c>
    </row>
    <row r="286" spans="1:14" ht="13">
      <c r="A286" s="1">
        <v>4201</v>
      </c>
      <c r="B286" s="2" t="s">
        <v>928</v>
      </c>
      <c r="C286" s="290">
        <v>6899</v>
      </c>
      <c r="D286" s="177">
        <v>134355</v>
      </c>
      <c r="E286" s="289">
        <v>6909</v>
      </c>
      <c r="F286" s="177">
        <v>147885</v>
      </c>
      <c r="G286" s="289">
        <v>6920</v>
      </c>
      <c r="H286" s="177">
        <v>167375</v>
      </c>
      <c r="I286" s="289">
        <v>6936</v>
      </c>
      <c r="J286" s="177">
        <v>169353</v>
      </c>
      <c r="K286" s="289">
        <v>6882</v>
      </c>
      <c r="L286" s="177">
        <v>167642</v>
      </c>
      <c r="M286" s="289">
        <v>6848</v>
      </c>
      <c r="N286" s="177">
        <f>+'K19'!Z286</f>
        <v>177519</v>
      </c>
    </row>
    <row r="287" spans="1:14" ht="13">
      <c r="A287" s="1">
        <v>4202</v>
      </c>
      <c r="B287" s="2" t="s">
        <v>929</v>
      </c>
      <c r="C287" s="290">
        <v>21783</v>
      </c>
      <c r="D287" s="177">
        <v>553534</v>
      </c>
      <c r="E287" s="289">
        <v>22098</v>
      </c>
      <c r="F287" s="177">
        <v>543922</v>
      </c>
      <c r="G287" s="289">
        <v>22550</v>
      </c>
      <c r="H287" s="177">
        <v>604347</v>
      </c>
      <c r="I287" s="289">
        <v>22692</v>
      </c>
      <c r="J287" s="177">
        <v>697878</v>
      </c>
      <c r="K287" s="289">
        <v>23017</v>
      </c>
      <c r="L287" s="177">
        <v>637254</v>
      </c>
      <c r="M287" s="289">
        <v>23246</v>
      </c>
      <c r="N287" s="177">
        <f>+'K19'!Z287</f>
        <v>551458</v>
      </c>
    </row>
    <row r="288" spans="1:14" ht="13">
      <c r="A288" s="1">
        <v>4203</v>
      </c>
      <c r="B288" s="2" t="s">
        <v>930</v>
      </c>
      <c r="C288" s="290">
        <v>43841</v>
      </c>
      <c r="D288" s="177">
        <v>938268</v>
      </c>
      <c r="E288" s="289">
        <v>44219</v>
      </c>
      <c r="F288" s="177">
        <v>1003175</v>
      </c>
      <c r="G288" s="289">
        <v>44313</v>
      </c>
      <c r="H288" s="177">
        <v>1080289</v>
      </c>
      <c r="I288" s="289">
        <v>44576</v>
      </c>
      <c r="J288" s="177">
        <v>1108406</v>
      </c>
      <c r="K288" s="289">
        <v>44645</v>
      </c>
      <c r="L288" s="177">
        <v>1138206</v>
      </c>
      <c r="M288" s="289">
        <v>44785</v>
      </c>
      <c r="N288" s="177">
        <f>+'K19'!Z288</f>
        <v>1184748</v>
      </c>
    </row>
    <row r="289" spans="1:14" ht="13">
      <c r="A289" s="1">
        <v>4206</v>
      </c>
      <c r="B289" s="2" t="s">
        <v>944</v>
      </c>
      <c r="C289" s="290">
        <v>9516</v>
      </c>
      <c r="D289" s="177">
        <v>213055</v>
      </c>
      <c r="E289" s="289">
        <v>9596</v>
      </c>
      <c r="F289" s="177">
        <v>220937</v>
      </c>
      <c r="G289" s="289">
        <v>9705</v>
      </c>
      <c r="H289" s="177">
        <v>232824</v>
      </c>
      <c r="I289" s="289">
        <v>9769</v>
      </c>
      <c r="J289" s="177">
        <v>236747</v>
      </c>
      <c r="K289" s="289">
        <v>9726</v>
      </c>
      <c r="L289" s="177">
        <v>246461</v>
      </c>
      <c r="M289" s="289">
        <v>9695</v>
      </c>
      <c r="N289" s="177">
        <f>+'K19'!Z289</f>
        <v>255900</v>
      </c>
    </row>
    <row r="290" spans="1:14" ht="13">
      <c r="A290" s="1">
        <v>4207</v>
      </c>
      <c r="B290" s="2" t="s">
        <v>946</v>
      </c>
      <c r="C290" s="290">
        <v>9013</v>
      </c>
      <c r="D290" s="177">
        <v>207629</v>
      </c>
      <c r="E290" s="289">
        <v>9069</v>
      </c>
      <c r="F290" s="177">
        <v>221234</v>
      </c>
      <c r="G290" s="289">
        <v>9096</v>
      </c>
      <c r="H290" s="177">
        <v>234968</v>
      </c>
      <c r="I290" s="289">
        <v>9090</v>
      </c>
      <c r="J290" s="177">
        <v>235474</v>
      </c>
      <c r="K290" s="289">
        <v>9066</v>
      </c>
      <c r="L290" s="177">
        <v>241314</v>
      </c>
      <c r="M290" s="289">
        <v>9066</v>
      </c>
      <c r="N290" s="177">
        <f>+'K19'!Z290</f>
        <v>248272</v>
      </c>
    </row>
    <row r="291" spans="1:14" ht="13">
      <c r="A291" s="1">
        <v>4211</v>
      </c>
      <c r="B291" s="2" t="s">
        <v>931</v>
      </c>
      <c r="C291" s="290">
        <v>2489</v>
      </c>
      <c r="D291" s="177">
        <v>42217</v>
      </c>
      <c r="E291" s="289">
        <v>2481</v>
      </c>
      <c r="F291" s="177">
        <v>45870</v>
      </c>
      <c r="G291" s="289">
        <v>2473</v>
      </c>
      <c r="H291" s="177">
        <v>50912</v>
      </c>
      <c r="I291" s="289">
        <v>2511</v>
      </c>
      <c r="J291" s="177">
        <v>47795</v>
      </c>
      <c r="K291" s="289">
        <v>2467</v>
      </c>
      <c r="L291" s="177">
        <v>49187</v>
      </c>
      <c r="M291" s="289">
        <v>2454</v>
      </c>
      <c r="N291" s="177">
        <f>+'K19'!Z291</f>
        <v>53222</v>
      </c>
    </row>
    <row r="292" spans="1:14" ht="13">
      <c r="A292" s="1">
        <v>4212</v>
      </c>
      <c r="B292" s="4" t="s">
        <v>706</v>
      </c>
      <c r="C292" s="290">
        <v>2000</v>
      </c>
      <c r="D292" s="177">
        <v>33620</v>
      </c>
      <c r="E292" s="289">
        <v>2018</v>
      </c>
      <c r="F292" s="177">
        <v>35967</v>
      </c>
      <c r="G292" s="289">
        <v>2036</v>
      </c>
      <c r="H292" s="177">
        <v>38688</v>
      </c>
      <c r="I292" s="289">
        <v>2104</v>
      </c>
      <c r="J292" s="177">
        <v>43056</v>
      </c>
      <c r="K292" s="289">
        <v>2087</v>
      </c>
      <c r="L292" s="177">
        <v>44994</v>
      </c>
      <c r="M292" s="289">
        <v>2093</v>
      </c>
      <c r="N292" s="177">
        <f>+'K19'!Z292</f>
        <v>46962</v>
      </c>
    </row>
    <row r="293" spans="1:14" ht="13">
      <c r="A293" s="1">
        <v>4213</v>
      </c>
      <c r="B293" s="2" t="s">
        <v>932</v>
      </c>
      <c r="C293" s="290">
        <v>6059</v>
      </c>
      <c r="D293" s="177">
        <v>123581</v>
      </c>
      <c r="E293" s="289">
        <v>6048</v>
      </c>
      <c r="F293" s="177">
        <v>126293</v>
      </c>
      <c r="G293" s="289">
        <v>6014</v>
      </c>
      <c r="H293" s="177">
        <v>139825</v>
      </c>
      <c r="I293" s="289">
        <v>6051</v>
      </c>
      <c r="J293" s="177">
        <v>140112</v>
      </c>
      <c r="K293" s="289">
        <v>6086</v>
      </c>
      <c r="L293" s="177">
        <v>145870</v>
      </c>
      <c r="M293" s="289">
        <v>6069</v>
      </c>
      <c r="N293" s="177">
        <f>+'K19'!Z293</f>
        <v>160923</v>
      </c>
    </row>
    <row r="294" spans="1:14" ht="13">
      <c r="A294" s="1">
        <v>4214</v>
      </c>
      <c r="B294" s="2" t="s">
        <v>933</v>
      </c>
      <c r="C294" s="290">
        <v>5486</v>
      </c>
      <c r="D294" s="177">
        <v>106068</v>
      </c>
      <c r="E294" s="289">
        <v>5532</v>
      </c>
      <c r="F294" s="177">
        <v>112002</v>
      </c>
      <c r="G294" s="289">
        <v>5618</v>
      </c>
      <c r="H294" s="177">
        <v>118832</v>
      </c>
      <c r="I294" s="289">
        <v>5713</v>
      </c>
      <c r="J294" s="177">
        <v>126994</v>
      </c>
      <c r="K294" s="289">
        <v>5790</v>
      </c>
      <c r="L294" s="177">
        <v>133413</v>
      </c>
      <c r="M294" s="289">
        <v>5845</v>
      </c>
      <c r="N294" s="177">
        <f>+'K19'!Z294</f>
        <v>137039</v>
      </c>
    </row>
    <row r="295" spans="1:14" ht="13">
      <c r="A295" s="1">
        <v>4215</v>
      </c>
      <c r="B295" s="2" t="s">
        <v>934</v>
      </c>
      <c r="C295" s="290">
        <v>10106</v>
      </c>
      <c r="D295" s="177">
        <v>235481</v>
      </c>
      <c r="E295" s="289">
        <v>10340</v>
      </c>
      <c r="F295" s="177">
        <v>247000</v>
      </c>
      <c r="G295" s="289">
        <v>10577</v>
      </c>
      <c r="H295" s="177">
        <v>278121</v>
      </c>
      <c r="I295" s="289">
        <v>10702</v>
      </c>
      <c r="J295" s="177">
        <v>288478</v>
      </c>
      <c r="K295" s="289">
        <v>10871</v>
      </c>
      <c r="L295" s="177">
        <v>300378</v>
      </c>
      <c r="M295" s="289">
        <v>10990</v>
      </c>
      <c r="N295" s="177">
        <f>+'K19'!Z295</f>
        <v>311373</v>
      </c>
    </row>
    <row r="296" spans="1:14" ht="13">
      <c r="A296" s="1">
        <v>4216</v>
      </c>
      <c r="B296" s="2" t="s">
        <v>935</v>
      </c>
      <c r="C296" s="290">
        <f>+C$447-27</f>
        <v>4966</v>
      </c>
      <c r="D296" s="177">
        <f>+D$447*(C$447-27)/C$447</f>
        <v>88635.093530943326</v>
      </c>
      <c r="E296" s="289">
        <f>+E$447-27</f>
        <v>5008</v>
      </c>
      <c r="F296" s="177">
        <f>+F$447*(E$447-27)/E$447</f>
        <v>91885.610327706061</v>
      </c>
      <c r="G296" s="289">
        <f>+G$447-27</f>
        <v>5120</v>
      </c>
      <c r="H296" s="177">
        <f>+H$447*(G$447-27)/G$447</f>
        <v>99778.822615115598</v>
      </c>
      <c r="I296" s="289">
        <f>+I$447-27</f>
        <v>5151</v>
      </c>
      <c r="J296" s="177">
        <f>+J$447*(I$447-27)/I$447</f>
        <v>105949.64368482039</v>
      </c>
      <c r="K296" s="289">
        <f>+K$447-27</f>
        <v>5160</v>
      </c>
      <c r="L296" s="177">
        <f>+L$447*(K$447-27)/K$447</f>
        <v>115738.3921341816</v>
      </c>
      <c r="M296" s="289">
        <v>5212</v>
      </c>
      <c r="N296" s="177">
        <f>+'K19'!Z296</f>
        <v>121884</v>
      </c>
    </row>
    <row r="297" spans="1:14" ht="13">
      <c r="A297" s="1">
        <v>4217</v>
      </c>
      <c r="B297" s="2" t="s">
        <v>936</v>
      </c>
      <c r="C297" s="290">
        <v>1810</v>
      </c>
      <c r="D297" s="177">
        <v>36347</v>
      </c>
      <c r="E297" s="289">
        <v>1832</v>
      </c>
      <c r="F297" s="177">
        <v>40277</v>
      </c>
      <c r="G297" s="289">
        <v>1847</v>
      </c>
      <c r="H297" s="177">
        <v>44122</v>
      </c>
      <c r="I297" s="289">
        <v>1856</v>
      </c>
      <c r="J297" s="177">
        <v>47046</v>
      </c>
      <c r="K297" s="289">
        <v>1845</v>
      </c>
      <c r="L297" s="177">
        <v>42219</v>
      </c>
      <c r="M297" s="289">
        <v>1848</v>
      </c>
      <c r="N297" s="177">
        <f>+'K19'!Z297</f>
        <v>44108</v>
      </c>
    </row>
    <row r="298" spans="1:14" ht="13">
      <c r="A298" s="1">
        <v>4218</v>
      </c>
      <c r="B298" s="2" t="s">
        <v>937</v>
      </c>
      <c r="C298" s="290">
        <v>1314</v>
      </c>
      <c r="D298" s="177">
        <v>24646</v>
      </c>
      <c r="E298" s="289">
        <v>1315</v>
      </c>
      <c r="F298" s="177">
        <v>26726</v>
      </c>
      <c r="G298" s="289">
        <v>1317</v>
      </c>
      <c r="H298" s="177">
        <v>27581</v>
      </c>
      <c r="I298" s="289">
        <v>1342</v>
      </c>
      <c r="J298" s="177">
        <v>29311</v>
      </c>
      <c r="K298" s="289">
        <v>1330</v>
      </c>
      <c r="L298" s="177">
        <v>31104</v>
      </c>
      <c r="M298" s="289">
        <v>1326</v>
      </c>
      <c r="N298" s="177">
        <f>+'K19'!Z298</f>
        <v>32415</v>
      </c>
    </row>
    <row r="299" spans="1:14" ht="13">
      <c r="A299" s="1">
        <v>4219</v>
      </c>
      <c r="B299" s="4" t="s">
        <v>938</v>
      </c>
      <c r="C299" s="290">
        <f>+C$448+27</f>
        <v>3576</v>
      </c>
      <c r="D299" s="177">
        <f>+D$448+D$447*27/C$447</f>
        <v>68667.906469056674</v>
      </c>
      <c r="E299" s="289">
        <f>+E$448+27</f>
        <v>3594</v>
      </c>
      <c r="F299" s="177">
        <f>+F$448+F$447*27/E$447</f>
        <v>72075.389672293939</v>
      </c>
      <c r="G299" s="289">
        <f>+G$448+27</f>
        <v>3609</v>
      </c>
      <c r="H299" s="177">
        <f>+H$448+H$447*27/G$447</f>
        <v>75346.177384884402</v>
      </c>
      <c r="I299" s="289">
        <f>+I$448+27</f>
        <v>3641</v>
      </c>
      <c r="J299" s="177">
        <f>+J$448+J$447*27/I$447</f>
        <v>79497.356315179612</v>
      </c>
      <c r="K299" s="289">
        <f>+K$448+27</f>
        <v>3652</v>
      </c>
      <c r="L299" s="177">
        <f>+L$448+L$447*27/K$447</f>
        <v>82069.607865818398</v>
      </c>
      <c r="M299" s="289">
        <v>3638</v>
      </c>
      <c r="N299" s="177">
        <f>+'K19'!Z299</f>
        <v>83690</v>
      </c>
    </row>
    <row r="300" spans="1:14" ht="13">
      <c r="A300" s="1">
        <v>4220</v>
      </c>
      <c r="B300" s="2" t="s">
        <v>939</v>
      </c>
      <c r="C300" s="290">
        <v>1200</v>
      </c>
      <c r="D300" s="177">
        <v>26132</v>
      </c>
      <c r="E300" s="289">
        <v>1189</v>
      </c>
      <c r="F300" s="177">
        <v>27176</v>
      </c>
      <c r="G300" s="289">
        <v>1204</v>
      </c>
      <c r="H300" s="177">
        <v>28977</v>
      </c>
      <c r="I300" s="289">
        <v>1200</v>
      </c>
      <c r="J300" s="177">
        <v>28833</v>
      </c>
      <c r="K300" s="289">
        <v>1207</v>
      </c>
      <c r="L300" s="177">
        <v>30970</v>
      </c>
      <c r="M300" s="289">
        <v>1192</v>
      </c>
      <c r="N300" s="177">
        <f>+'K19'!Z300</f>
        <v>31274</v>
      </c>
    </row>
    <row r="301" spans="1:14" ht="13">
      <c r="A301" s="1">
        <v>4221</v>
      </c>
      <c r="B301" s="2" t="s">
        <v>940</v>
      </c>
      <c r="C301" s="290">
        <v>1270</v>
      </c>
      <c r="D301" s="177">
        <v>41121</v>
      </c>
      <c r="E301" s="289">
        <v>1251</v>
      </c>
      <c r="F301" s="177">
        <v>43384</v>
      </c>
      <c r="G301" s="289">
        <v>1242</v>
      </c>
      <c r="H301" s="177">
        <v>44213</v>
      </c>
      <c r="I301" s="289">
        <v>1246</v>
      </c>
      <c r="J301" s="177">
        <v>45044</v>
      </c>
      <c r="K301" s="289">
        <v>1225</v>
      </c>
      <c r="L301" s="177">
        <v>45304</v>
      </c>
      <c r="M301" s="289">
        <v>1156</v>
      </c>
      <c r="N301" s="177">
        <f>+'K19'!Z301</f>
        <v>47669</v>
      </c>
    </row>
    <row r="302" spans="1:14" ht="13">
      <c r="A302" s="1">
        <v>4222</v>
      </c>
      <c r="B302" s="2" t="s">
        <v>941</v>
      </c>
      <c r="C302" s="290">
        <v>948</v>
      </c>
      <c r="D302" s="177">
        <v>67140</v>
      </c>
      <c r="E302" s="289">
        <v>933</v>
      </c>
      <c r="F302" s="177">
        <v>67630</v>
      </c>
      <c r="G302" s="289">
        <v>945</v>
      </c>
      <c r="H302" s="177">
        <v>69604</v>
      </c>
      <c r="I302" s="289">
        <v>952</v>
      </c>
      <c r="J302" s="177">
        <v>71358</v>
      </c>
      <c r="K302" s="289">
        <v>958</v>
      </c>
      <c r="L302" s="177">
        <v>79195</v>
      </c>
      <c r="M302" s="289">
        <v>953</v>
      </c>
      <c r="N302" s="177">
        <f>+'K19'!Z302</f>
        <v>84301</v>
      </c>
    </row>
    <row r="303" spans="1:14" ht="13">
      <c r="A303" s="1">
        <v>4223</v>
      </c>
      <c r="B303" s="2" t="s">
        <v>947</v>
      </c>
      <c r="C303" s="290">
        <v>13986</v>
      </c>
      <c r="D303" s="177">
        <v>254819</v>
      </c>
      <c r="E303" s="289">
        <v>14095</v>
      </c>
      <c r="F303" s="177">
        <v>267675</v>
      </c>
      <c r="G303" s="289">
        <v>14308</v>
      </c>
      <c r="H303" s="177">
        <v>289237</v>
      </c>
      <c r="I303" s="289">
        <v>14425</v>
      </c>
      <c r="J303" s="177">
        <v>303650</v>
      </c>
      <c r="K303" s="289">
        <v>14532</v>
      </c>
      <c r="L303" s="177">
        <v>327486</v>
      </c>
      <c r="M303" s="289">
        <v>14630</v>
      </c>
      <c r="N303" s="177">
        <f>+'K19'!Z303</f>
        <v>335821</v>
      </c>
    </row>
    <row r="304" spans="1:14" ht="13">
      <c r="A304" s="1">
        <v>4224</v>
      </c>
      <c r="B304" s="2" t="s">
        <v>951</v>
      </c>
      <c r="C304" s="290">
        <v>923</v>
      </c>
      <c r="D304" s="177">
        <v>31841</v>
      </c>
      <c r="E304" s="289">
        <v>925</v>
      </c>
      <c r="F304" s="177">
        <v>31791</v>
      </c>
      <c r="G304" s="289">
        <v>942</v>
      </c>
      <c r="H304" s="177">
        <v>34080</v>
      </c>
      <c r="I304" s="289">
        <v>937</v>
      </c>
      <c r="J304" s="177">
        <v>36584</v>
      </c>
      <c r="K304" s="289">
        <v>943</v>
      </c>
      <c r="L304" s="177">
        <v>39045</v>
      </c>
      <c r="M304" s="289">
        <v>939</v>
      </c>
      <c r="N304" s="177">
        <f>+'K19'!Z304</f>
        <v>41061</v>
      </c>
    </row>
    <row r="305" spans="1:14" ht="13">
      <c r="A305" s="1">
        <v>4226</v>
      </c>
      <c r="B305" s="2" t="s">
        <v>955</v>
      </c>
      <c r="C305" s="290">
        <v>1690</v>
      </c>
      <c r="D305" s="177">
        <v>35232</v>
      </c>
      <c r="E305" s="289">
        <v>1693</v>
      </c>
      <c r="F305" s="177">
        <v>34679</v>
      </c>
      <c r="G305" s="289">
        <v>1702</v>
      </c>
      <c r="H305" s="177">
        <v>38210</v>
      </c>
      <c r="I305" s="289">
        <v>1702</v>
      </c>
      <c r="J305" s="177">
        <v>39047</v>
      </c>
      <c r="K305" s="289">
        <v>1699</v>
      </c>
      <c r="L305" s="177">
        <v>40812</v>
      </c>
      <c r="M305" s="289">
        <v>1683</v>
      </c>
      <c r="N305" s="177">
        <f>+'K19'!Z305</f>
        <v>42575</v>
      </c>
    </row>
    <row r="306" spans="1:14" ht="13">
      <c r="A306" s="1">
        <v>4227</v>
      </c>
      <c r="B306" s="2" t="s">
        <v>956</v>
      </c>
      <c r="C306" s="290">
        <v>5891</v>
      </c>
      <c r="D306" s="177">
        <v>142597</v>
      </c>
      <c r="E306" s="289">
        <v>5948</v>
      </c>
      <c r="F306" s="177">
        <v>147426</v>
      </c>
      <c r="G306" s="289">
        <v>5981</v>
      </c>
      <c r="H306" s="177">
        <v>155451</v>
      </c>
      <c r="I306" s="289">
        <v>5988</v>
      </c>
      <c r="J306" s="177">
        <v>159751</v>
      </c>
      <c r="K306" s="289">
        <v>6024</v>
      </c>
      <c r="L306" s="177">
        <v>166149</v>
      </c>
      <c r="M306" s="289">
        <v>6048</v>
      </c>
      <c r="N306" s="177">
        <f>+'K19'!Z306</f>
        <v>177102</v>
      </c>
    </row>
    <row r="307" spans="1:14" ht="13">
      <c r="A307" s="1">
        <v>4228</v>
      </c>
      <c r="B307" s="2" t="s">
        <v>957</v>
      </c>
      <c r="C307" s="290">
        <v>1831</v>
      </c>
      <c r="D307" s="177">
        <v>85268</v>
      </c>
      <c r="E307" s="289">
        <v>1838</v>
      </c>
      <c r="F307" s="177">
        <v>91757</v>
      </c>
      <c r="G307" s="289">
        <v>1832</v>
      </c>
      <c r="H307" s="177">
        <v>91636</v>
      </c>
      <c r="I307" s="289">
        <v>1836</v>
      </c>
      <c r="J307" s="177">
        <v>97913</v>
      </c>
      <c r="K307" s="289">
        <v>1842</v>
      </c>
      <c r="L307" s="177">
        <v>105701</v>
      </c>
      <c r="M307" s="289">
        <v>1839</v>
      </c>
      <c r="N307" s="177">
        <f>+'K19'!Z307</f>
        <v>112920</v>
      </c>
    </row>
    <row r="308" spans="1:14" ht="13">
      <c r="A308" s="1">
        <v>4601</v>
      </c>
      <c r="B308" s="2" t="s">
        <v>23</v>
      </c>
      <c r="C308" s="290">
        <v>271949</v>
      </c>
      <c r="D308" s="177">
        <v>7561489</v>
      </c>
      <c r="E308" s="289">
        <v>275112</v>
      </c>
      <c r="F308" s="177">
        <v>7970433</v>
      </c>
      <c r="G308" s="289">
        <v>277391</v>
      </c>
      <c r="H308" s="177">
        <v>8707661</v>
      </c>
      <c r="I308" s="289">
        <v>278556</v>
      </c>
      <c r="J308" s="177">
        <v>8795464</v>
      </c>
      <c r="K308" s="289">
        <v>279792</v>
      </c>
      <c r="L308" s="177">
        <v>9126725</v>
      </c>
      <c r="M308" s="289">
        <v>281190</v>
      </c>
      <c r="N308" s="177">
        <f>+'K19'!Z308</f>
        <v>9648534</v>
      </c>
    </row>
    <row r="309" spans="1:14" ht="13">
      <c r="A309" s="1">
        <v>4611</v>
      </c>
      <c r="B309" s="2" t="s">
        <v>24</v>
      </c>
      <c r="C309" s="290">
        <v>4057</v>
      </c>
      <c r="D309" s="177">
        <v>90137</v>
      </c>
      <c r="E309" s="289">
        <v>4103</v>
      </c>
      <c r="F309" s="177">
        <v>90573</v>
      </c>
      <c r="G309" s="289">
        <v>4106</v>
      </c>
      <c r="H309" s="177">
        <v>100476</v>
      </c>
      <c r="I309" s="289">
        <v>4135</v>
      </c>
      <c r="J309" s="177">
        <v>101892</v>
      </c>
      <c r="K309" s="289">
        <v>4083</v>
      </c>
      <c r="L309" s="177">
        <v>106064</v>
      </c>
      <c r="M309" s="289">
        <v>4077</v>
      </c>
      <c r="N309" s="177">
        <f>+'K19'!Z309</f>
        <v>114533</v>
      </c>
    </row>
    <row r="310" spans="1:14" ht="13">
      <c r="A310" s="1">
        <v>4612</v>
      </c>
      <c r="B310" s="2" t="s">
        <v>25</v>
      </c>
      <c r="C310" s="290">
        <v>5463</v>
      </c>
      <c r="D310" s="177">
        <v>117446</v>
      </c>
      <c r="E310" s="289">
        <v>5509</v>
      </c>
      <c r="F310" s="177">
        <v>121337</v>
      </c>
      <c r="G310" s="289">
        <v>5593</v>
      </c>
      <c r="H310" s="177">
        <v>130903</v>
      </c>
      <c r="I310" s="289">
        <v>5656</v>
      </c>
      <c r="J310" s="177">
        <v>160876</v>
      </c>
      <c r="K310" s="289">
        <v>5721</v>
      </c>
      <c r="L310" s="177">
        <v>140486</v>
      </c>
      <c r="M310" s="289">
        <v>5721</v>
      </c>
      <c r="N310" s="177">
        <f>+'K19'!Z310</f>
        <v>141649</v>
      </c>
    </row>
    <row r="311" spans="1:14" ht="13">
      <c r="A311" s="1">
        <v>4613</v>
      </c>
      <c r="B311" s="2" t="s">
        <v>26</v>
      </c>
      <c r="C311" s="290">
        <v>11749</v>
      </c>
      <c r="D311" s="177">
        <v>283646</v>
      </c>
      <c r="E311" s="289">
        <v>11761</v>
      </c>
      <c r="F311" s="177">
        <v>291741</v>
      </c>
      <c r="G311" s="289">
        <v>11778</v>
      </c>
      <c r="H311" s="177">
        <v>340199</v>
      </c>
      <c r="I311" s="289">
        <v>11806</v>
      </c>
      <c r="J311" s="177">
        <v>315438</v>
      </c>
      <c r="K311" s="289">
        <v>11902</v>
      </c>
      <c r="L311" s="177">
        <v>295857</v>
      </c>
      <c r="M311" s="289">
        <v>11960</v>
      </c>
      <c r="N311" s="177">
        <f>+'K19'!Z311</f>
        <v>332334</v>
      </c>
    </row>
    <row r="312" spans="1:14" ht="13">
      <c r="A312" s="1">
        <v>4614</v>
      </c>
      <c r="B312" s="2" t="s">
        <v>27</v>
      </c>
      <c r="C312" s="290">
        <v>18425</v>
      </c>
      <c r="D312" s="177">
        <v>450121</v>
      </c>
      <c r="E312" s="289">
        <v>18685</v>
      </c>
      <c r="F312" s="177">
        <v>484243</v>
      </c>
      <c r="G312" s="289">
        <v>18775</v>
      </c>
      <c r="H312" s="177">
        <v>488716</v>
      </c>
      <c r="I312" s="289">
        <v>18821</v>
      </c>
      <c r="J312" s="177">
        <v>497783</v>
      </c>
      <c r="K312" s="289">
        <v>18780</v>
      </c>
      <c r="L312" s="177">
        <v>517096</v>
      </c>
      <c r="M312" s="289">
        <v>18699</v>
      </c>
      <c r="N312" s="177">
        <f>+'K19'!Z312</f>
        <v>540530</v>
      </c>
    </row>
    <row r="313" spans="1:14" ht="13">
      <c r="A313" s="1">
        <v>4615</v>
      </c>
      <c r="B313" s="2" t="s">
        <v>28</v>
      </c>
      <c r="C313" s="290">
        <v>3009</v>
      </c>
      <c r="D313" s="177">
        <v>74296</v>
      </c>
      <c r="E313" s="289">
        <v>3093</v>
      </c>
      <c r="F313" s="177">
        <v>78879</v>
      </c>
      <c r="G313" s="289">
        <v>3140</v>
      </c>
      <c r="H313" s="177">
        <v>84396</v>
      </c>
      <c r="I313" s="289">
        <v>3189</v>
      </c>
      <c r="J313" s="177">
        <v>80561</v>
      </c>
      <c r="K313" s="289">
        <v>3194</v>
      </c>
      <c r="L313" s="177">
        <v>81638</v>
      </c>
      <c r="M313" s="289">
        <v>3201</v>
      </c>
      <c r="N313" s="177">
        <f>+'K19'!Z313</f>
        <v>90564</v>
      </c>
    </row>
    <row r="314" spans="1:14" ht="13">
      <c r="A314" s="1">
        <v>4616</v>
      </c>
      <c r="B314" s="2" t="s">
        <v>29</v>
      </c>
      <c r="C314" s="290">
        <v>2745</v>
      </c>
      <c r="D314" s="177">
        <v>65397</v>
      </c>
      <c r="E314" s="289">
        <v>2782</v>
      </c>
      <c r="F314" s="177">
        <v>71019</v>
      </c>
      <c r="G314" s="289">
        <v>2797</v>
      </c>
      <c r="H314" s="177">
        <v>76308</v>
      </c>
      <c r="I314" s="289">
        <v>2847</v>
      </c>
      <c r="J314" s="177">
        <v>83729</v>
      </c>
      <c r="K314" s="289">
        <v>2857</v>
      </c>
      <c r="L314" s="177">
        <v>90837</v>
      </c>
      <c r="M314" s="289">
        <v>2846</v>
      </c>
      <c r="N314" s="177">
        <f>+'K19'!Z314</f>
        <v>105762</v>
      </c>
    </row>
    <row r="315" spans="1:14" ht="13">
      <c r="A315" s="1">
        <v>4617</v>
      </c>
      <c r="B315" s="2" t="s">
        <v>30</v>
      </c>
      <c r="C315" s="290">
        <v>13232</v>
      </c>
      <c r="D315" s="177">
        <v>317340</v>
      </c>
      <c r="E315" s="289">
        <v>13234</v>
      </c>
      <c r="F315" s="177">
        <v>323502</v>
      </c>
      <c r="G315" s="289">
        <v>13271</v>
      </c>
      <c r="H315" s="177">
        <v>335516</v>
      </c>
      <c r="I315" s="289">
        <v>13241</v>
      </c>
      <c r="J315" s="177">
        <v>343907</v>
      </c>
      <c r="K315" s="289">
        <v>13180</v>
      </c>
      <c r="L315" s="177">
        <v>358088</v>
      </c>
      <c r="M315" s="289">
        <v>13137</v>
      </c>
      <c r="N315" s="177">
        <f>+'K19'!Z315</f>
        <v>374901</v>
      </c>
    </row>
    <row r="316" spans="1:14" ht="13">
      <c r="A316" s="1">
        <v>4619</v>
      </c>
      <c r="B316" s="2" t="s">
        <v>34</v>
      </c>
      <c r="C316" s="290">
        <v>950</v>
      </c>
      <c r="D316" s="177">
        <v>49498</v>
      </c>
      <c r="E316" s="289">
        <v>950</v>
      </c>
      <c r="F316" s="177">
        <v>49839</v>
      </c>
      <c r="G316" s="289">
        <v>925</v>
      </c>
      <c r="H316" s="177">
        <v>52787</v>
      </c>
      <c r="I316" s="289">
        <v>921</v>
      </c>
      <c r="J316" s="177">
        <v>55245</v>
      </c>
      <c r="K316" s="289">
        <v>931</v>
      </c>
      <c r="L316" s="177">
        <v>56711</v>
      </c>
      <c r="M316" s="289">
        <v>906</v>
      </c>
      <c r="N316" s="177">
        <f>+'K19'!Z316</f>
        <v>56140</v>
      </c>
    </row>
    <row r="317" spans="1:14" ht="13">
      <c r="A317" s="1">
        <v>4620</v>
      </c>
      <c r="B317" s="2" t="s">
        <v>35</v>
      </c>
      <c r="C317" s="290">
        <v>1094</v>
      </c>
      <c r="D317" s="177">
        <v>32828</v>
      </c>
      <c r="E317" s="289">
        <v>1107</v>
      </c>
      <c r="F317" s="177">
        <v>32883</v>
      </c>
      <c r="G317" s="289">
        <v>1116</v>
      </c>
      <c r="H317" s="177">
        <v>34173</v>
      </c>
      <c r="I317" s="289">
        <v>1131</v>
      </c>
      <c r="J317" s="177">
        <v>34103</v>
      </c>
      <c r="K317" s="289">
        <v>1117</v>
      </c>
      <c r="L317" s="177">
        <v>35225</v>
      </c>
      <c r="M317" s="289">
        <v>1093</v>
      </c>
      <c r="N317" s="177">
        <f>+'K19'!Z317</f>
        <v>35916</v>
      </c>
    </row>
    <row r="318" spans="1:14" ht="13">
      <c r="A318" s="1">
        <v>4622</v>
      </c>
      <c r="B318" s="2" t="s">
        <v>38</v>
      </c>
      <c r="C318" s="290">
        <v>8584</v>
      </c>
      <c r="D318" s="177">
        <v>191886</v>
      </c>
      <c r="E318" s="289">
        <v>8539</v>
      </c>
      <c r="F318" s="177">
        <v>198344</v>
      </c>
      <c r="G318" s="289">
        <v>8475</v>
      </c>
      <c r="H318" s="177">
        <v>212701</v>
      </c>
      <c r="I318" s="289">
        <v>8423</v>
      </c>
      <c r="J318" s="177">
        <v>216753</v>
      </c>
      <c r="K318" s="289">
        <v>8455</v>
      </c>
      <c r="L318" s="177">
        <v>232403</v>
      </c>
      <c r="M318" s="289">
        <v>8441</v>
      </c>
      <c r="N318" s="177">
        <f>+'K19'!Z318</f>
        <v>234746</v>
      </c>
    </row>
    <row r="319" spans="1:14" ht="13">
      <c r="A319" s="1">
        <v>4623</v>
      </c>
      <c r="B319" s="2" t="s">
        <v>40</v>
      </c>
      <c r="C319" s="290">
        <v>2436</v>
      </c>
      <c r="D319" s="177">
        <v>57433</v>
      </c>
      <c r="E319" s="289">
        <v>2443</v>
      </c>
      <c r="F319" s="177">
        <v>62067</v>
      </c>
      <c r="G319" s="289">
        <v>2443</v>
      </c>
      <c r="H319" s="177">
        <v>65531</v>
      </c>
      <c r="I319" s="289">
        <v>2488</v>
      </c>
      <c r="J319" s="177">
        <v>66651</v>
      </c>
      <c r="K319" s="289">
        <v>2463</v>
      </c>
      <c r="L319" s="177">
        <v>65455</v>
      </c>
      <c r="M319" s="289">
        <v>2465</v>
      </c>
      <c r="N319" s="177">
        <f>+'K19'!Z319</f>
        <v>67380</v>
      </c>
    </row>
    <row r="320" spans="1:14" ht="13">
      <c r="A320" s="1">
        <v>4625</v>
      </c>
      <c r="B320" s="2" t="s">
        <v>41</v>
      </c>
      <c r="C320" s="290">
        <v>4924</v>
      </c>
      <c r="D320" s="177">
        <v>167181</v>
      </c>
      <c r="E320" s="289">
        <v>5012</v>
      </c>
      <c r="F320" s="177">
        <v>185918</v>
      </c>
      <c r="G320" s="289">
        <v>5118</v>
      </c>
      <c r="H320" s="177">
        <v>200516</v>
      </c>
      <c r="I320" s="289">
        <v>5156</v>
      </c>
      <c r="J320" s="177">
        <v>219330</v>
      </c>
      <c r="K320" s="289">
        <v>5189</v>
      </c>
      <c r="L320" s="177">
        <v>202389</v>
      </c>
      <c r="M320" s="289">
        <v>5212</v>
      </c>
      <c r="N320" s="177">
        <f>+'K19'!Z320</f>
        <v>259138</v>
      </c>
    </row>
    <row r="321" spans="1:14" ht="13">
      <c r="A321" s="1">
        <v>4627</v>
      </c>
      <c r="B321" s="2" t="s">
        <v>44</v>
      </c>
      <c r="C321" s="290">
        <v>27346</v>
      </c>
      <c r="D321" s="177">
        <v>612963</v>
      </c>
      <c r="E321" s="289">
        <v>27858</v>
      </c>
      <c r="F321" s="177">
        <v>641304</v>
      </c>
      <c r="G321" s="289">
        <v>28380</v>
      </c>
      <c r="H321" s="177">
        <v>684373</v>
      </c>
      <c r="I321" s="289">
        <v>28821</v>
      </c>
      <c r="J321" s="177">
        <v>715328</v>
      </c>
      <c r="K321" s="289">
        <v>29071</v>
      </c>
      <c r="L321" s="177">
        <v>745203</v>
      </c>
      <c r="M321" s="289">
        <v>29275</v>
      </c>
      <c r="N321" s="177">
        <f>+'K19'!Z321</f>
        <v>770143</v>
      </c>
    </row>
    <row r="322" spans="1:14" ht="13">
      <c r="A322" s="1">
        <v>4628</v>
      </c>
      <c r="B322" s="2" t="s">
        <v>45</v>
      </c>
      <c r="C322" s="290">
        <v>4140</v>
      </c>
      <c r="D322" s="177">
        <v>91771</v>
      </c>
      <c r="E322" s="289">
        <v>4096</v>
      </c>
      <c r="F322" s="177">
        <v>95145</v>
      </c>
      <c r="G322" s="289">
        <v>4125</v>
      </c>
      <c r="H322" s="177">
        <v>100840</v>
      </c>
      <c r="I322" s="289">
        <v>4123</v>
      </c>
      <c r="J322" s="177">
        <v>103284</v>
      </c>
      <c r="K322" s="289">
        <v>4127</v>
      </c>
      <c r="L322" s="177">
        <v>107402</v>
      </c>
      <c r="M322" s="289">
        <v>4045</v>
      </c>
      <c r="N322" s="177">
        <f>+'K19'!Z322</f>
        <v>109454</v>
      </c>
    </row>
    <row r="323" spans="1:14" ht="13">
      <c r="A323" s="1">
        <v>4629</v>
      </c>
      <c r="B323" s="2" t="s">
        <v>46</v>
      </c>
      <c r="C323" s="290">
        <v>372</v>
      </c>
      <c r="D323" s="177">
        <v>23282</v>
      </c>
      <c r="E323" s="289">
        <v>378</v>
      </c>
      <c r="F323" s="177">
        <v>22663</v>
      </c>
      <c r="G323" s="289">
        <v>381</v>
      </c>
      <c r="H323" s="177">
        <v>24758</v>
      </c>
      <c r="I323" s="289">
        <v>383</v>
      </c>
      <c r="J323" s="177">
        <v>23712</v>
      </c>
      <c r="K323" s="289">
        <v>380</v>
      </c>
      <c r="L323" s="177">
        <v>24427</v>
      </c>
      <c r="M323" s="289">
        <v>380</v>
      </c>
      <c r="N323" s="177">
        <f>+'K19'!Z323</f>
        <v>27481</v>
      </c>
    </row>
    <row r="324" spans="1:14" ht="13">
      <c r="A324" s="1">
        <v>4630</v>
      </c>
      <c r="B324" s="2" t="s">
        <v>47</v>
      </c>
      <c r="C324" s="290">
        <v>7786</v>
      </c>
      <c r="D324" s="177">
        <v>159398</v>
      </c>
      <c r="E324" s="289">
        <v>7842</v>
      </c>
      <c r="F324" s="177">
        <v>166774</v>
      </c>
      <c r="G324" s="289">
        <v>7957</v>
      </c>
      <c r="H324" s="177">
        <v>179015</v>
      </c>
      <c r="I324" s="289">
        <v>8026</v>
      </c>
      <c r="J324" s="177">
        <v>190980</v>
      </c>
      <c r="K324" s="289">
        <v>8125</v>
      </c>
      <c r="L324" s="177">
        <v>194818</v>
      </c>
      <c r="M324" s="289">
        <v>8120</v>
      </c>
      <c r="N324" s="177">
        <f>+'K19'!Z324</f>
        <v>204329</v>
      </c>
    </row>
    <row r="325" spans="1:14" ht="13">
      <c r="A325" s="1">
        <v>4632</v>
      </c>
      <c r="B325" s="2" t="s">
        <v>55</v>
      </c>
      <c r="C325" s="290">
        <v>2833</v>
      </c>
      <c r="D325" s="177">
        <v>84590</v>
      </c>
      <c r="E325" s="289">
        <v>2856</v>
      </c>
      <c r="F325" s="177">
        <v>82871</v>
      </c>
      <c r="G325" s="289">
        <v>2858</v>
      </c>
      <c r="H325" s="177">
        <v>88559</v>
      </c>
      <c r="I325" s="289">
        <v>2884</v>
      </c>
      <c r="J325" s="177">
        <v>85690</v>
      </c>
      <c r="K325" s="289">
        <v>2902</v>
      </c>
      <c r="L325" s="177">
        <v>87553</v>
      </c>
      <c r="M325" s="289">
        <v>2887</v>
      </c>
      <c r="N325" s="177">
        <f>+'K19'!Z325</f>
        <v>95029</v>
      </c>
    </row>
    <row r="326" spans="1:14" ht="13">
      <c r="A326" s="1">
        <v>4633</v>
      </c>
      <c r="B326" s="2" t="s">
        <v>56</v>
      </c>
      <c r="C326" s="290">
        <v>561</v>
      </c>
      <c r="D326" s="177">
        <v>12698</v>
      </c>
      <c r="E326" s="289">
        <v>563</v>
      </c>
      <c r="F326" s="177">
        <v>12935</v>
      </c>
      <c r="G326" s="289">
        <v>576</v>
      </c>
      <c r="H326" s="177">
        <v>13743</v>
      </c>
      <c r="I326" s="289">
        <v>587</v>
      </c>
      <c r="J326" s="177">
        <v>13627</v>
      </c>
      <c r="K326" s="289">
        <v>561</v>
      </c>
      <c r="L326" s="177">
        <v>14691</v>
      </c>
      <c r="M326" s="289">
        <v>562</v>
      </c>
      <c r="N326" s="177">
        <f>+'K19'!Z326</f>
        <v>14851</v>
      </c>
    </row>
    <row r="327" spans="1:14" ht="13">
      <c r="A327" s="1">
        <v>4634</v>
      </c>
      <c r="B327" s="2" t="s">
        <v>57</v>
      </c>
      <c r="C327" s="290">
        <v>1693</v>
      </c>
      <c r="D327" s="177">
        <v>50840</v>
      </c>
      <c r="E327" s="289">
        <v>1704</v>
      </c>
      <c r="F327" s="177">
        <v>51991</v>
      </c>
      <c r="G327" s="289">
        <v>1701</v>
      </c>
      <c r="H327" s="177">
        <v>54093</v>
      </c>
      <c r="I327" s="289">
        <v>1710</v>
      </c>
      <c r="J327" s="177">
        <v>54844</v>
      </c>
      <c r="K327" s="289">
        <v>1730</v>
      </c>
      <c r="L327" s="177">
        <v>55228</v>
      </c>
      <c r="M327" s="289">
        <v>1711</v>
      </c>
      <c r="N327" s="177">
        <f>+'K19'!Z327</f>
        <v>58980</v>
      </c>
    </row>
    <row r="328" spans="1:14" ht="13">
      <c r="A328" s="1">
        <v>4635</v>
      </c>
      <c r="B328" s="2" t="s">
        <v>59</v>
      </c>
      <c r="C328" s="290">
        <v>2315</v>
      </c>
      <c r="D328" s="177">
        <v>61093</v>
      </c>
      <c r="E328" s="289">
        <v>2335</v>
      </c>
      <c r="F328" s="177">
        <v>62353</v>
      </c>
      <c r="G328" s="289">
        <v>2370</v>
      </c>
      <c r="H328" s="177">
        <v>71148</v>
      </c>
      <c r="I328" s="289">
        <v>2371</v>
      </c>
      <c r="J328" s="177">
        <v>70894</v>
      </c>
      <c r="K328" s="289">
        <v>2345</v>
      </c>
      <c r="L328" s="177">
        <v>66356</v>
      </c>
      <c r="M328" s="289">
        <v>2322</v>
      </c>
      <c r="N328" s="177">
        <f>+'K19'!Z328</f>
        <v>75568</v>
      </c>
    </row>
    <row r="329" spans="1:14" ht="13">
      <c r="A329" s="1">
        <v>4636</v>
      </c>
      <c r="B329" s="2" t="s">
        <v>60</v>
      </c>
      <c r="C329" s="290">
        <v>815</v>
      </c>
      <c r="D329" s="177">
        <v>18381</v>
      </c>
      <c r="E329" s="289">
        <v>800</v>
      </c>
      <c r="F329" s="177">
        <v>19212</v>
      </c>
      <c r="G329" s="289">
        <v>785</v>
      </c>
      <c r="H329" s="177">
        <v>20256</v>
      </c>
      <c r="I329" s="289">
        <v>794</v>
      </c>
      <c r="J329" s="177">
        <v>21810</v>
      </c>
      <c r="K329" s="289">
        <v>807</v>
      </c>
      <c r="L329" s="177">
        <v>22900</v>
      </c>
      <c r="M329" s="289">
        <v>820</v>
      </c>
      <c r="N329" s="177">
        <f>+'K19'!Z329</f>
        <v>24412</v>
      </c>
    </row>
    <row r="330" spans="1:14" ht="13">
      <c r="A330" s="1">
        <v>4637</v>
      </c>
      <c r="B330" s="2" t="s">
        <v>61</v>
      </c>
      <c r="C330" s="290">
        <v>1391</v>
      </c>
      <c r="D330" s="177">
        <v>34485</v>
      </c>
      <c r="E330" s="289">
        <v>1405</v>
      </c>
      <c r="F330" s="177">
        <v>36501</v>
      </c>
      <c r="G330" s="289">
        <v>1395</v>
      </c>
      <c r="H330" s="177">
        <v>35334</v>
      </c>
      <c r="I330" s="289">
        <v>1438</v>
      </c>
      <c r="J330" s="177">
        <v>34994</v>
      </c>
      <c r="K330" s="289">
        <v>1378</v>
      </c>
      <c r="L330" s="177">
        <v>35150</v>
      </c>
      <c r="M330" s="289">
        <v>1366</v>
      </c>
      <c r="N330" s="177">
        <f>+'K19'!Z330</f>
        <v>38793</v>
      </c>
    </row>
    <row r="331" spans="1:14" ht="13">
      <c r="A331" s="1">
        <v>4638</v>
      </c>
      <c r="B331" s="2" t="s">
        <v>62</v>
      </c>
      <c r="C331" s="290">
        <v>4183</v>
      </c>
      <c r="D331" s="177">
        <v>102203</v>
      </c>
      <c r="E331" s="289">
        <v>4169</v>
      </c>
      <c r="F331" s="177">
        <v>106367</v>
      </c>
      <c r="G331" s="289">
        <v>4161</v>
      </c>
      <c r="H331" s="177">
        <v>110066</v>
      </c>
      <c r="I331" s="289">
        <v>4190</v>
      </c>
      <c r="J331" s="177">
        <v>113409</v>
      </c>
      <c r="K331" s="289">
        <v>4154</v>
      </c>
      <c r="L331" s="177">
        <v>123136</v>
      </c>
      <c r="M331" s="289">
        <v>4091</v>
      </c>
      <c r="N331" s="177">
        <f>+'K19'!Z331</f>
        <v>127918</v>
      </c>
    </row>
    <row r="332" spans="1:14" ht="13">
      <c r="A332" s="1">
        <v>4639</v>
      </c>
      <c r="B332" s="2" t="s">
        <v>63</v>
      </c>
      <c r="C332" s="290">
        <v>2688</v>
      </c>
      <c r="D332" s="177">
        <v>68380</v>
      </c>
      <c r="E332" s="289">
        <v>2678</v>
      </c>
      <c r="F332" s="177">
        <v>70685</v>
      </c>
      <c r="G332" s="289">
        <v>2689</v>
      </c>
      <c r="H332" s="177">
        <v>77092</v>
      </c>
      <c r="I332" s="289">
        <v>2722</v>
      </c>
      <c r="J332" s="177">
        <v>79098</v>
      </c>
      <c r="K332" s="289">
        <v>2674</v>
      </c>
      <c r="L332" s="177">
        <v>82426</v>
      </c>
      <c r="M332" s="289">
        <v>2672</v>
      </c>
      <c r="N332" s="177">
        <f>+'K19'!Z332</f>
        <v>83347</v>
      </c>
    </row>
    <row r="333" spans="1:14" ht="13">
      <c r="A333" s="1">
        <v>4641</v>
      </c>
      <c r="B333" s="2" t="s">
        <v>67</v>
      </c>
      <c r="C333" s="290">
        <v>1715</v>
      </c>
      <c r="D333" s="177">
        <v>71151</v>
      </c>
      <c r="E333" s="289">
        <v>1738</v>
      </c>
      <c r="F333" s="177">
        <v>72994</v>
      </c>
      <c r="G333" s="289">
        <v>1764</v>
      </c>
      <c r="H333" s="177">
        <v>77215</v>
      </c>
      <c r="I333" s="289">
        <v>1787</v>
      </c>
      <c r="J333" s="177">
        <v>81924</v>
      </c>
      <c r="K333" s="289">
        <v>1778</v>
      </c>
      <c r="L333" s="177">
        <v>85477</v>
      </c>
      <c r="M333" s="289">
        <v>1764</v>
      </c>
      <c r="N333" s="177">
        <f>+'K19'!Z333</f>
        <v>85938</v>
      </c>
    </row>
    <row r="334" spans="1:14" ht="13">
      <c r="A334" s="1">
        <v>4642</v>
      </c>
      <c r="B334" s="2" t="s">
        <v>68</v>
      </c>
      <c r="C334" s="290">
        <v>2174</v>
      </c>
      <c r="D334" s="177">
        <v>64615</v>
      </c>
      <c r="E334" s="289">
        <v>2146</v>
      </c>
      <c r="F334" s="177">
        <v>65981</v>
      </c>
      <c r="G334" s="289">
        <v>2172</v>
      </c>
      <c r="H334" s="177">
        <v>68720</v>
      </c>
      <c r="I334" s="289">
        <v>2159</v>
      </c>
      <c r="J334" s="177">
        <v>68552</v>
      </c>
      <c r="K334" s="289">
        <v>2153</v>
      </c>
      <c r="L334" s="177">
        <v>75278</v>
      </c>
      <c r="M334" s="289">
        <v>2151</v>
      </c>
      <c r="N334" s="177">
        <f>+'K19'!Z334</f>
        <v>75203</v>
      </c>
    </row>
    <row r="335" spans="1:14" ht="13">
      <c r="A335" s="1">
        <v>4643</v>
      </c>
      <c r="B335" s="2" t="s">
        <v>69</v>
      </c>
      <c r="C335" s="290">
        <v>5496</v>
      </c>
      <c r="D335" s="177">
        <v>145736</v>
      </c>
      <c r="E335" s="289">
        <v>5429</v>
      </c>
      <c r="F335" s="177">
        <v>151282</v>
      </c>
      <c r="G335" s="289">
        <v>5359</v>
      </c>
      <c r="H335" s="177">
        <v>163473</v>
      </c>
      <c r="I335" s="289">
        <v>5363</v>
      </c>
      <c r="J335" s="177">
        <v>168987</v>
      </c>
      <c r="K335" s="289">
        <v>5277</v>
      </c>
      <c r="L335" s="177">
        <v>176906</v>
      </c>
      <c r="M335" s="289">
        <v>5245</v>
      </c>
      <c r="N335" s="177">
        <f>+'K19'!Z335</f>
        <v>182474</v>
      </c>
    </row>
    <row r="336" spans="1:14" ht="13">
      <c r="A336" s="1">
        <v>4644</v>
      </c>
      <c r="B336" s="2" t="s">
        <v>70</v>
      </c>
      <c r="C336" s="290">
        <v>5089</v>
      </c>
      <c r="D336" s="177">
        <v>136267</v>
      </c>
      <c r="E336" s="289">
        <v>5118</v>
      </c>
      <c r="F336" s="177">
        <v>137680</v>
      </c>
      <c r="G336" s="289">
        <v>5093</v>
      </c>
      <c r="H336" s="177">
        <v>149089</v>
      </c>
      <c r="I336" s="289">
        <v>5151</v>
      </c>
      <c r="J336" s="177">
        <v>154636</v>
      </c>
      <c r="K336" s="289">
        <v>5223</v>
      </c>
      <c r="L336" s="177">
        <v>159408</v>
      </c>
      <c r="M336" s="289">
        <v>5195</v>
      </c>
      <c r="N336" s="177">
        <f>+'K19'!Z336</f>
        <v>160085</v>
      </c>
    </row>
    <row r="337" spans="1:14" ht="13">
      <c r="A337" s="1">
        <v>4645</v>
      </c>
      <c r="B337" s="2" t="s">
        <v>71</v>
      </c>
      <c r="C337" s="290">
        <v>3011</v>
      </c>
      <c r="D337" s="177">
        <v>59345</v>
      </c>
      <c r="E337" s="289">
        <v>3008</v>
      </c>
      <c r="F337" s="177">
        <v>64014</v>
      </c>
      <c r="G337" s="289">
        <v>3023</v>
      </c>
      <c r="H337" s="177">
        <v>71027</v>
      </c>
      <c r="I337" s="289">
        <v>3065</v>
      </c>
      <c r="J337" s="177">
        <v>72106</v>
      </c>
      <c r="K337" s="289">
        <v>3052</v>
      </c>
      <c r="L337" s="177">
        <v>73539</v>
      </c>
      <c r="M337" s="289">
        <v>3038</v>
      </c>
      <c r="N337" s="177">
        <f>+'K19'!Z337</f>
        <v>79054</v>
      </c>
    </row>
    <row r="338" spans="1:14" ht="13">
      <c r="A338" s="1">
        <v>4646</v>
      </c>
      <c r="B338" s="2" t="s">
        <v>72</v>
      </c>
      <c r="C338" s="290">
        <v>2853</v>
      </c>
      <c r="D338" s="177">
        <v>54444</v>
      </c>
      <c r="E338" s="289">
        <v>2823</v>
      </c>
      <c r="F338" s="177">
        <v>56681</v>
      </c>
      <c r="G338" s="289">
        <v>2830</v>
      </c>
      <c r="H338" s="177">
        <v>64838</v>
      </c>
      <c r="I338" s="289">
        <v>2862</v>
      </c>
      <c r="J338" s="177">
        <v>65267</v>
      </c>
      <c r="K338" s="289">
        <v>2846</v>
      </c>
      <c r="L338" s="177">
        <v>63972</v>
      </c>
      <c r="M338" s="289">
        <v>2770</v>
      </c>
      <c r="N338" s="177">
        <f>+'K19'!Z338</f>
        <v>67254</v>
      </c>
    </row>
    <row r="339" spans="1:14" ht="13">
      <c r="A339" s="1">
        <v>4648</v>
      </c>
      <c r="B339" s="2" t="s">
        <v>77</v>
      </c>
      <c r="C339" s="290">
        <v>3950</v>
      </c>
      <c r="D339" s="177">
        <v>93322</v>
      </c>
      <c r="E339" s="289">
        <v>3890</v>
      </c>
      <c r="F339" s="177">
        <v>95883</v>
      </c>
      <c r="G339" s="289">
        <v>3846</v>
      </c>
      <c r="H339" s="177">
        <v>102127</v>
      </c>
      <c r="I339" s="289">
        <v>3847</v>
      </c>
      <c r="J339" s="177">
        <v>103184</v>
      </c>
      <c r="K339" s="289">
        <v>3767</v>
      </c>
      <c r="L339" s="177">
        <v>105303</v>
      </c>
      <c r="M339" s="289">
        <v>3705</v>
      </c>
      <c r="N339" s="177">
        <f>+'K19'!Z339</f>
        <v>108267</v>
      </c>
    </row>
    <row r="340" spans="1:14" ht="13">
      <c r="A340" s="1">
        <v>4650</v>
      </c>
      <c r="B340" s="2" t="s">
        <v>82</v>
      </c>
      <c r="C340" s="290">
        <v>5694</v>
      </c>
      <c r="D340" s="177">
        <v>123868</v>
      </c>
      <c r="E340" s="289">
        <v>5751</v>
      </c>
      <c r="F340" s="177">
        <v>128806</v>
      </c>
      <c r="G340" s="289">
        <v>5784</v>
      </c>
      <c r="H340" s="177">
        <v>136750</v>
      </c>
      <c r="I340" s="289">
        <v>5783</v>
      </c>
      <c r="J340" s="177">
        <v>147153</v>
      </c>
      <c r="K340" s="289">
        <v>5874</v>
      </c>
      <c r="L340" s="177">
        <v>169864</v>
      </c>
      <c r="M340" s="289">
        <v>5836</v>
      </c>
      <c r="N340" s="177">
        <f>+'K19'!Z340</f>
        <v>156649</v>
      </c>
    </row>
    <row r="341" spans="1:14" ht="13">
      <c r="A341" s="1">
        <v>4651</v>
      </c>
      <c r="B341" s="2" t="s">
        <v>83</v>
      </c>
      <c r="C341" s="290">
        <f>+C$451+14</f>
        <v>7148</v>
      </c>
      <c r="D341" s="177">
        <f>+D$451+D$450*14/C$450</f>
        <v>151448.80621422731</v>
      </c>
      <c r="E341" s="289">
        <f>+E$451+14</f>
        <v>7169</v>
      </c>
      <c r="F341" s="177">
        <f>+F$451+F$450*14/E$450</f>
        <v>163269.38165438166</v>
      </c>
      <c r="G341" s="289">
        <f>+G$451+14</f>
        <v>7182</v>
      </c>
      <c r="H341" s="177">
        <f>+H$451+H$450*14/G$450</f>
        <v>179114.61</v>
      </c>
      <c r="I341" s="289">
        <f>+I$451+14</f>
        <v>7232</v>
      </c>
      <c r="J341" s="177">
        <f>+J$451+J$450*14/I$450</f>
        <v>186520.69949916529</v>
      </c>
      <c r="K341" s="289">
        <f>+K$451+14</f>
        <v>7209</v>
      </c>
      <c r="L341" s="177">
        <f>+L$451+L$450*14/K$450</f>
        <v>181846.54468085108</v>
      </c>
      <c r="M341" s="289">
        <v>7167</v>
      </c>
      <c r="N341" s="177">
        <f>+'K19'!Z341</f>
        <v>190496</v>
      </c>
    </row>
    <row r="342" spans="1:14" ht="13">
      <c r="A342" s="1">
        <v>5001</v>
      </c>
      <c r="B342" s="2" t="s">
        <v>118</v>
      </c>
      <c r="C342" s="290">
        <v>182035</v>
      </c>
      <c r="D342" s="177">
        <v>4562406</v>
      </c>
      <c r="E342" s="289">
        <v>184960</v>
      </c>
      <c r="F342" s="177">
        <v>4834604</v>
      </c>
      <c r="G342" s="289">
        <v>187353</v>
      </c>
      <c r="H342" s="177">
        <v>5378471</v>
      </c>
      <c r="I342" s="289">
        <v>190464</v>
      </c>
      <c r="J342" s="177">
        <v>5733673</v>
      </c>
      <c r="K342" s="289">
        <v>193501</v>
      </c>
      <c r="L342" s="177">
        <v>6030359</v>
      </c>
      <c r="M342" s="289">
        <v>196159</v>
      </c>
      <c r="N342" s="177">
        <f>+'K19'!Z342</f>
        <v>6305500</v>
      </c>
    </row>
    <row r="343" spans="1:14" ht="13">
      <c r="A343" s="1">
        <v>5004</v>
      </c>
      <c r="B343" s="2" t="s">
        <v>144</v>
      </c>
      <c r="C343" s="290">
        <v>21555</v>
      </c>
      <c r="D343" s="177">
        <v>403289</v>
      </c>
      <c r="E343" s="289">
        <v>21650</v>
      </c>
      <c r="F343" s="177">
        <v>426827</v>
      </c>
      <c r="G343" s="289">
        <v>21781</v>
      </c>
      <c r="H343" s="177">
        <v>467882</v>
      </c>
      <c r="I343" s="289">
        <v>21972</v>
      </c>
      <c r="J343" s="177">
        <v>488540</v>
      </c>
      <c r="K343" s="289">
        <v>22096</v>
      </c>
      <c r="L343" s="177">
        <v>507896</v>
      </c>
      <c r="M343" s="289">
        <v>22090</v>
      </c>
      <c r="N343" s="177">
        <f>+'K19'!Z343</f>
        <v>521680</v>
      </c>
    </row>
    <row r="344" spans="1:14" ht="13">
      <c r="A344" s="1">
        <v>5005</v>
      </c>
      <c r="B344" s="2" t="s">
        <v>145</v>
      </c>
      <c r="C344" s="290">
        <v>13083</v>
      </c>
      <c r="D344" s="177">
        <v>253179</v>
      </c>
      <c r="E344" s="289">
        <v>13026</v>
      </c>
      <c r="F344" s="177">
        <v>267385</v>
      </c>
      <c r="G344" s="289">
        <v>13010</v>
      </c>
      <c r="H344" s="177">
        <v>296053</v>
      </c>
      <c r="I344" s="289">
        <v>13051</v>
      </c>
      <c r="J344" s="177">
        <v>308334</v>
      </c>
      <c r="K344" s="289">
        <v>13078</v>
      </c>
      <c r="L344" s="177">
        <v>318589</v>
      </c>
      <c r="M344" s="289">
        <v>13113</v>
      </c>
      <c r="N344" s="177">
        <f>+'K19'!Z344</f>
        <v>338235</v>
      </c>
    </row>
    <row r="345" spans="1:14" ht="13">
      <c r="A345" s="1">
        <v>5011</v>
      </c>
      <c r="B345" s="2" t="s">
        <v>119</v>
      </c>
      <c r="C345" s="290">
        <v>4224</v>
      </c>
      <c r="D345" s="177">
        <v>88756</v>
      </c>
      <c r="E345" s="289">
        <v>4254</v>
      </c>
      <c r="F345" s="177">
        <v>90880</v>
      </c>
      <c r="G345" s="289">
        <v>4260</v>
      </c>
      <c r="H345" s="177">
        <v>98194</v>
      </c>
      <c r="I345" s="289">
        <v>4259</v>
      </c>
      <c r="J345" s="177">
        <v>104407</v>
      </c>
      <c r="K345" s="289">
        <v>4225</v>
      </c>
      <c r="L345" s="177">
        <v>111639</v>
      </c>
      <c r="M345" s="289">
        <v>4228</v>
      </c>
      <c r="N345" s="177">
        <f>+'K19'!Z345</f>
        <v>118012</v>
      </c>
    </row>
    <row r="346" spans="1:14" ht="13">
      <c r="A346" s="1">
        <v>5012</v>
      </c>
      <c r="B346" s="2" t="s">
        <v>120</v>
      </c>
      <c r="C346" s="290">
        <v>980</v>
      </c>
      <c r="D346" s="177">
        <v>18790</v>
      </c>
      <c r="E346" s="289">
        <v>982</v>
      </c>
      <c r="F346" s="177">
        <v>20716</v>
      </c>
      <c r="G346" s="289">
        <v>978</v>
      </c>
      <c r="H346" s="177">
        <v>22777</v>
      </c>
      <c r="I346" s="289">
        <v>982</v>
      </c>
      <c r="J346" s="177">
        <v>24150</v>
      </c>
      <c r="K346" s="289">
        <v>987</v>
      </c>
      <c r="L346" s="177">
        <v>25630</v>
      </c>
      <c r="M346" s="289">
        <v>999</v>
      </c>
      <c r="N346" s="177">
        <f>+'K19'!Z346</f>
        <v>28822</v>
      </c>
    </row>
    <row r="347" spans="1:14" ht="13">
      <c r="A347" s="1">
        <v>5013</v>
      </c>
      <c r="B347" s="2" t="s">
        <v>121</v>
      </c>
      <c r="C347" s="290">
        <v>4522</v>
      </c>
      <c r="D347" s="177">
        <v>90135</v>
      </c>
      <c r="E347" s="289">
        <v>4569</v>
      </c>
      <c r="F347" s="177">
        <v>97955</v>
      </c>
      <c r="G347" s="289">
        <v>4622</v>
      </c>
      <c r="H347" s="177">
        <v>106217</v>
      </c>
      <c r="I347" s="289">
        <v>4659</v>
      </c>
      <c r="J347" s="177">
        <v>112469</v>
      </c>
      <c r="K347" s="289">
        <v>4648</v>
      </c>
      <c r="L347" s="177">
        <v>114744</v>
      </c>
      <c r="M347" s="289">
        <v>4694</v>
      </c>
      <c r="N347" s="177">
        <f>+'K19'!Z347</f>
        <v>122556</v>
      </c>
    </row>
    <row r="348" spans="1:14" ht="13">
      <c r="A348" s="1">
        <v>5014</v>
      </c>
      <c r="B348" s="2" t="s">
        <v>122</v>
      </c>
      <c r="C348" s="290">
        <v>4547</v>
      </c>
      <c r="D348" s="177">
        <v>128168</v>
      </c>
      <c r="E348" s="289">
        <v>4634</v>
      </c>
      <c r="F348" s="177">
        <v>126174</v>
      </c>
      <c r="G348" s="289">
        <v>4799</v>
      </c>
      <c r="H348" s="177">
        <v>215057</v>
      </c>
      <c r="I348" s="289">
        <v>4937</v>
      </c>
      <c r="J348" s="177">
        <v>283115</v>
      </c>
      <c r="K348" s="289">
        <v>4962</v>
      </c>
      <c r="L348" s="177">
        <v>199096</v>
      </c>
      <c r="M348" s="289">
        <v>5068</v>
      </c>
      <c r="N348" s="177">
        <f>+'K19'!Z348</f>
        <v>198503</v>
      </c>
    </row>
    <row r="349" spans="1:14" ht="13">
      <c r="A349" s="1">
        <v>5015</v>
      </c>
      <c r="B349" s="2" t="s">
        <v>123</v>
      </c>
      <c r="C349" s="290">
        <v>5164</v>
      </c>
      <c r="D349" s="177">
        <v>102720</v>
      </c>
      <c r="E349" s="289">
        <v>5183</v>
      </c>
      <c r="F349" s="177">
        <v>115049</v>
      </c>
      <c r="G349" s="289">
        <v>5209</v>
      </c>
      <c r="H349" s="177">
        <v>119246</v>
      </c>
      <c r="I349" s="289">
        <v>5291</v>
      </c>
      <c r="J349" s="177">
        <v>131001</v>
      </c>
      <c r="K349" s="289">
        <v>5351</v>
      </c>
      <c r="L349" s="177">
        <v>140446</v>
      </c>
      <c r="M349" s="289">
        <v>5334</v>
      </c>
      <c r="N349" s="177">
        <f>+'K19'!Z349</f>
        <v>144343</v>
      </c>
    </row>
    <row r="350" spans="1:14" ht="13">
      <c r="A350" s="1">
        <v>5016</v>
      </c>
      <c r="B350" s="2" t="s">
        <v>124</v>
      </c>
      <c r="C350" s="290">
        <v>1744</v>
      </c>
      <c r="D350" s="177">
        <v>32042</v>
      </c>
      <c r="E350" s="289">
        <v>1770</v>
      </c>
      <c r="F350" s="177">
        <v>32908</v>
      </c>
      <c r="G350" s="289">
        <v>1733</v>
      </c>
      <c r="H350" s="177">
        <v>34554</v>
      </c>
      <c r="I350" s="289">
        <v>1711</v>
      </c>
      <c r="J350" s="177">
        <v>37227</v>
      </c>
      <c r="K350" s="289">
        <v>1684</v>
      </c>
      <c r="L350" s="177">
        <v>36630</v>
      </c>
      <c r="M350" s="289">
        <v>1693</v>
      </c>
      <c r="N350" s="177">
        <f>+'K19'!Z350</f>
        <v>39471</v>
      </c>
    </row>
    <row r="351" spans="1:14" ht="13">
      <c r="A351" s="1">
        <v>5017</v>
      </c>
      <c r="B351" s="2" t="s">
        <v>126</v>
      </c>
      <c r="C351" s="290">
        <v>4711</v>
      </c>
      <c r="D351" s="177">
        <v>84184</v>
      </c>
      <c r="E351" s="289">
        <v>4715</v>
      </c>
      <c r="F351" s="177">
        <v>89681</v>
      </c>
      <c r="G351" s="289">
        <v>4779</v>
      </c>
      <c r="H351" s="177">
        <v>98894</v>
      </c>
      <c r="I351" s="289">
        <v>4822</v>
      </c>
      <c r="J351" s="177">
        <v>102348</v>
      </c>
      <c r="K351" s="289">
        <v>4864</v>
      </c>
      <c r="L351" s="177">
        <v>111956</v>
      </c>
      <c r="M351" s="289">
        <v>4904</v>
      </c>
      <c r="N351" s="177">
        <f>+'K19'!Z351</f>
        <v>117097</v>
      </c>
    </row>
    <row r="352" spans="1:14" ht="13">
      <c r="A352" s="1">
        <v>5018</v>
      </c>
      <c r="B352" s="2" t="s">
        <v>127</v>
      </c>
      <c r="C352" s="290">
        <v>3242</v>
      </c>
      <c r="D352" s="177">
        <v>62502</v>
      </c>
      <c r="E352" s="289">
        <v>3248</v>
      </c>
      <c r="F352" s="177">
        <v>69024</v>
      </c>
      <c r="G352" s="289">
        <v>3272</v>
      </c>
      <c r="H352" s="177">
        <v>71526</v>
      </c>
      <c r="I352" s="289">
        <v>3263</v>
      </c>
      <c r="J352" s="177">
        <v>77982</v>
      </c>
      <c r="K352" s="289">
        <v>3277</v>
      </c>
      <c r="L352" s="177">
        <v>84883</v>
      </c>
      <c r="M352" s="289">
        <v>3340</v>
      </c>
      <c r="N352" s="177">
        <f>+'K19'!Z352</f>
        <v>88086</v>
      </c>
    </row>
    <row r="353" spans="1:14" ht="13">
      <c r="A353" s="1">
        <v>5019</v>
      </c>
      <c r="B353" s="2" t="s">
        <v>128</v>
      </c>
      <c r="C353" s="290">
        <v>986</v>
      </c>
      <c r="D353" s="177">
        <v>16409</v>
      </c>
      <c r="E353" s="289">
        <v>977</v>
      </c>
      <c r="F353" s="177">
        <v>17958</v>
      </c>
      <c r="G353" s="289">
        <v>961</v>
      </c>
      <c r="H353" s="177">
        <v>20232</v>
      </c>
      <c r="I353" s="289">
        <v>959</v>
      </c>
      <c r="J353" s="177">
        <v>20395</v>
      </c>
      <c r="K353" s="289">
        <v>953</v>
      </c>
      <c r="L353" s="177">
        <v>20843</v>
      </c>
      <c r="M353" s="289">
        <v>957</v>
      </c>
      <c r="N353" s="177">
        <f>+'K19'!Z353</f>
        <v>23926</v>
      </c>
    </row>
    <row r="354" spans="1:14" ht="13">
      <c r="A354" s="1">
        <v>5020</v>
      </c>
      <c r="B354" s="2" t="s">
        <v>129</v>
      </c>
      <c r="C354" s="290">
        <v>997</v>
      </c>
      <c r="D354" s="177">
        <v>16756</v>
      </c>
      <c r="E354" s="289">
        <v>1010</v>
      </c>
      <c r="F354" s="177">
        <v>18345</v>
      </c>
      <c r="G354" s="289">
        <v>976</v>
      </c>
      <c r="H354" s="177">
        <v>19657</v>
      </c>
      <c r="I354" s="289">
        <v>978</v>
      </c>
      <c r="J354" s="177">
        <v>21713</v>
      </c>
      <c r="K354" s="289">
        <v>967</v>
      </c>
      <c r="L354" s="177">
        <v>20690</v>
      </c>
      <c r="M354" s="289">
        <v>947</v>
      </c>
      <c r="N354" s="177">
        <f>+'K19'!Z354</f>
        <v>22381</v>
      </c>
    </row>
    <row r="355" spans="1:14" ht="13">
      <c r="A355" s="1">
        <v>5021</v>
      </c>
      <c r="B355" s="2" t="s">
        <v>130</v>
      </c>
      <c r="C355" s="290">
        <v>6814</v>
      </c>
      <c r="D355" s="177">
        <v>137555</v>
      </c>
      <c r="E355" s="289">
        <v>6852</v>
      </c>
      <c r="F355" s="177">
        <v>143069</v>
      </c>
      <c r="G355" s="289">
        <v>6886</v>
      </c>
      <c r="H355" s="177">
        <v>157388</v>
      </c>
      <c r="I355" s="289">
        <v>6973</v>
      </c>
      <c r="J355" s="177">
        <v>168825</v>
      </c>
      <c r="K355" s="289">
        <v>6970</v>
      </c>
      <c r="L355" s="177">
        <v>174333</v>
      </c>
      <c r="M355" s="289">
        <v>6975</v>
      </c>
      <c r="N355" s="177">
        <f>+'K19'!Z355</f>
        <v>183551</v>
      </c>
    </row>
    <row r="356" spans="1:14" ht="13">
      <c r="A356" s="1">
        <v>5022</v>
      </c>
      <c r="B356" s="2" t="s">
        <v>131</v>
      </c>
      <c r="C356" s="290">
        <v>2556</v>
      </c>
      <c r="D356" s="177">
        <v>51530</v>
      </c>
      <c r="E356" s="289">
        <v>2567</v>
      </c>
      <c r="F356" s="177">
        <v>52413</v>
      </c>
      <c r="G356" s="289">
        <v>2562</v>
      </c>
      <c r="H356" s="177">
        <v>57456</v>
      </c>
      <c r="I356" s="289">
        <v>2556</v>
      </c>
      <c r="J356" s="177">
        <v>58411</v>
      </c>
      <c r="K356" s="289">
        <v>2541</v>
      </c>
      <c r="L356" s="177">
        <v>60864</v>
      </c>
      <c r="M356" s="289">
        <v>2501</v>
      </c>
      <c r="N356" s="177">
        <f>+'K19'!Z356</f>
        <v>60102</v>
      </c>
    </row>
    <row r="357" spans="1:14" ht="13">
      <c r="A357" s="1">
        <v>5023</v>
      </c>
      <c r="B357" s="2" t="s">
        <v>132</v>
      </c>
      <c r="C357" s="290">
        <v>3962</v>
      </c>
      <c r="D357" s="177">
        <v>73276</v>
      </c>
      <c r="E357" s="289">
        <v>3967</v>
      </c>
      <c r="F357" s="177">
        <v>76287</v>
      </c>
      <c r="G357" s="289">
        <v>3954</v>
      </c>
      <c r="H357" s="177">
        <v>89225</v>
      </c>
      <c r="I357" s="289">
        <v>3960</v>
      </c>
      <c r="J357" s="177">
        <v>89846</v>
      </c>
      <c r="K357" s="289">
        <v>3930</v>
      </c>
      <c r="L357" s="177">
        <v>88373</v>
      </c>
      <c r="M357" s="289">
        <v>3905</v>
      </c>
      <c r="N357" s="177">
        <f>+'K19'!Z357</f>
        <v>94349</v>
      </c>
    </row>
    <row r="358" spans="1:14" ht="13">
      <c r="A358" s="1">
        <v>5024</v>
      </c>
      <c r="B358" s="2" t="s">
        <v>133</v>
      </c>
      <c r="C358" s="290">
        <v>11628</v>
      </c>
      <c r="D358" s="177">
        <v>234704</v>
      </c>
      <c r="E358" s="289">
        <v>11722</v>
      </c>
      <c r="F358" s="177">
        <v>250084</v>
      </c>
      <c r="G358" s="289">
        <v>11779</v>
      </c>
      <c r="H358" s="177">
        <v>269668</v>
      </c>
      <c r="I358" s="289">
        <v>11891</v>
      </c>
      <c r="J358" s="177">
        <v>279573</v>
      </c>
      <c r="K358" s="289">
        <v>11933</v>
      </c>
      <c r="L358" s="177">
        <v>289138</v>
      </c>
      <c r="M358" s="289">
        <v>12086</v>
      </c>
      <c r="N358" s="177">
        <f>+'K19'!Z358</f>
        <v>309448</v>
      </c>
    </row>
    <row r="359" spans="1:14" ht="13">
      <c r="A359" s="1">
        <v>5025</v>
      </c>
      <c r="B359" s="2" t="s">
        <v>134</v>
      </c>
      <c r="C359" s="290">
        <v>5583</v>
      </c>
      <c r="D359" s="177">
        <v>122917</v>
      </c>
      <c r="E359" s="289">
        <v>5593</v>
      </c>
      <c r="F359" s="177">
        <v>126206</v>
      </c>
      <c r="G359" s="289">
        <v>5635</v>
      </c>
      <c r="H359" s="177">
        <v>135849</v>
      </c>
      <c r="I359" s="289">
        <v>5623</v>
      </c>
      <c r="J359" s="177">
        <v>140005</v>
      </c>
      <c r="K359" s="289">
        <v>5663</v>
      </c>
      <c r="L359" s="177">
        <v>150634</v>
      </c>
      <c r="M359" s="289">
        <v>5610</v>
      </c>
      <c r="N359" s="177">
        <f>+'K19'!Z359</f>
        <v>152303</v>
      </c>
    </row>
    <row r="360" spans="1:14" ht="13">
      <c r="A360" s="1">
        <v>5026</v>
      </c>
      <c r="B360" s="2" t="s">
        <v>135</v>
      </c>
      <c r="C360" s="290">
        <v>2024</v>
      </c>
      <c r="D360" s="177">
        <v>36840</v>
      </c>
      <c r="E360" s="289">
        <v>2014</v>
      </c>
      <c r="F360" s="177">
        <v>38051</v>
      </c>
      <c r="G360" s="289">
        <v>2031</v>
      </c>
      <c r="H360" s="177">
        <v>40877</v>
      </c>
      <c r="I360" s="289">
        <v>2046</v>
      </c>
      <c r="J360" s="177">
        <v>41668</v>
      </c>
      <c r="K360" s="289">
        <v>2028</v>
      </c>
      <c r="L360" s="177">
        <v>42917</v>
      </c>
      <c r="M360" s="289">
        <v>2025</v>
      </c>
      <c r="N360" s="177">
        <f>+'K19'!Z360</f>
        <v>44918</v>
      </c>
    </row>
    <row r="361" spans="1:14" ht="13">
      <c r="A361" s="1">
        <v>5027</v>
      </c>
      <c r="B361" s="2" t="s">
        <v>136</v>
      </c>
      <c r="C361" s="290">
        <v>6361</v>
      </c>
      <c r="D361" s="177">
        <v>117036</v>
      </c>
      <c r="E361" s="289">
        <v>6336</v>
      </c>
      <c r="F361" s="177">
        <v>122762</v>
      </c>
      <c r="G361" s="289">
        <v>6298</v>
      </c>
      <c r="H361" s="177">
        <v>134262</v>
      </c>
      <c r="I361" s="289">
        <v>6319</v>
      </c>
      <c r="J361" s="177">
        <v>136088</v>
      </c>
      <c r="K361" s="289">
        <v>6225</v>
      </c>
      <c r="L361" s="177">
        <v>138350</v>
      </c>
      <c r="M361" s="289">
        <v>6246</v>
      </c>
      <c r="N361" s="177">
        <f>+'K19'!Z361</f>
        <v>142650</v>
      </c>
    </row>
    <row r="362" spans="1:14" ht="13">
      <c r="A362" s="1">
        <v>5028</v>
      </c>
      <c r="B362" s="2" t="s">
        <v>137</v>
      </c>
      <c r="C362" s="290">
        <v>15844</v>
      </c>
      <c r="D362" s="177">
        <v>325097</v>
      </c>
      <c r="E362" s="289">
        <v>15916</v>
      </c>
      <c r="F362" s="177">
        <v>336584</v>
      </c>
      <c r="G362" s="289">
        <v>16096</v>
      </c>
      <c r="H362" s="177">
        <v>363387</v>
      </c>
      <c r="I362" s="289">
        <v>16213</v>
      </c>
      <c r="J362" s="177">
        <v>384271</v>
      </c>
      <c r="K362" s="289">
        <v>16424</v>
      </c>
      <c r="L362" s="177">
        <v>405508</v>
      </c>
      <c r="M362" s="289">
        <v>16562</v>
      </c>
      <c r="N362" s="177">
        <f>+'K19'!Z362</f>
        <v>424578</v>
      </c>
    </row>
    <row r="363" spans="1:14" ht="13">
      <c r="A363" s="1">
        <v>5029</v>
      </c>
      <c r="B363" s="2" t="s">
        <v>138</v>
      </c>
      <c r="C363" s="290">
        <v>7392</v>
      </c>
      <c r="D363" s="177">
        <v>141880</v>
      </c>
      <c r="E363" s="289">
        <v>7668</v>
      </c>
      <c r="F363" s="177">
        <v>154041</v>
      </c>
      <c r="G363" s="289">
        <v>7755</v>
      </c>
      <c r="H363" s="177">
        <v>170390</v>
      </c>
      <c r="I363" s="289">
        <v>8000</v>
      </c>
      <c r="J363" s="177">
        <v>185257</v>
      </c>
      <c r="K363" s="289">
        <v>8142</v>
      </c>
      <c r="L363" s="177">
        <v>194457</v>
      </c>
      <c r="M363" s="289">
        <v>8231</v>
      </c>
      <c r="N363" s="177">
        <f>+'K19'!Z363</f>
        <v>202229</v>
      </c>
    </row>
    <row r="364" spans="1:14" ht="13">
      <c r="A364" s="1">
        <v>5030</v>
      </c>
      <c r="B364" s="2" t="s">
        <v>139</v>
      </c>
      <c r="C364" s="290">
        <v>5970</v>
      </c>
      <c r="D364" s="177">
        <v>128833</v>
      </c>
      <c r="E364" s="289">
        <v>5995</v>
      </c>
      <c r="F364" s="177">
        <v>131530</v>
      </c>
      <c r="G364" s="289">
        <v>6067</v>
      </c>
      <c r="H364" s="177">
        <v>145327</v>
      </c>
      <c r="I364" s="289">
        <v>6050</v>
      </c>
      <c r="J364" s="177">
        <v>149554</v>
      </c>
      <c r="K364" s="289">
        <v>6094</v>
      </c>
      <c r="L364" s="177">
        <v>151440</v>
      </c>
      <c r="M364" s="289">
        <v>6076</v>
      </c>
      <c r="N364" s="177">
        <f>+'K19'!Z364</f>
        <v>160472</v>
      </c>
    </row>
    <row r="365" spans="1:14" ht="13">
      <c r="A365" s="1">
        <v>5031</v>
      </c>
      <c r="B365" s="2" t="s">
        <v>141</v>
      </c>
      <c r="C365" s="290">
        <v>13371</v>
      </c>
      <c r="D365" s="177">
        <v>308238</v>
      </c>
      <c r="E365" s="289">
        <v>13498</v>
      </c>
      <c r="F365" s="177">
        <v>318663</v>
      </c>
      <c r="G365" s="289">
        <v>13738</v>
      </c>
      <c r="H365" s="177">
        <v>359450</v>
      </c>
      <c r="I365" s="289">
        <v>13820</v>
      </c>
      <c r="J365" s="177">
        <v>368227</v>
      </c>
      <c r="K365" s="289">
        <v>13958</v>
      </c>
      <c r="L365" s="177">
        <v>397644</v>
      </c>
      <c r="M365" s="289">
        <v>14040</v>
      </c>
      <c r="N365" s="177">
        <f>+'K19'!Z365</f>
        <v>412157</v>
      </c>
    </row>
    <row r="366" spans="1:14" ht="13">
      <c r="A366" s="1">
        <v>5032</v>
      </c>
      <c r="B366" s="2" t="s">
        <v>142</v>
      </c>
      <c r="C366" s="290">
        <v>4030</v>
      </c>
      <c r="D366" s="177">
        <v>79555</v>
      </c>
      <c r="E366" s="289">
        <v>4078</v>
      </c>
      <c r="F366" s="177">
        <v>84730</v>
      </c>
      <c r="G366" s="289">
        <v>4132</v>
      </c>
      <c r="H366" s="177">
        <v>91266</v>
      </c>
      <c r="I366" s="289">
        <v>4098</v>
      </c>
      <c r="J366" s="177">
        <v>94622</v>
      </c>
      <c r="K366" s="289">
        <v>4093</v>
      </c>
      <c r="L366" s="177">
        <v>97338</v>
      </c>
      <c r="M366" s="289">
        <v>4088</v>
      </c>
      <c r="N366" s="177">
        <f>+'K19'!Z366</f>
        <v>100209</v>
      </c>
    </row>
    <row r="367" spans="1:14" ht="13">
      <c r="A367" s="1">
        <v>5033</v>
      </c>
      <c r="B367" s="2" t="s">
        <v>143</v>
      </c>
      <c r="C367" s="290">
        <v>864</v>
      </c>
      <c r="D367" s="177">
        <v>30854</v>
      </c>
      <c r="E367" s="289">
        <v>863</v>
      </c>
      <c r="F367" s="177">
        <v>32527</v>
      </c>
      <c r="G367" s="289">
        <v>851</v>
      </c>
      <c r="H367" s="177">
        <v>33235</v>
      </c>
      <c r="I367" s="289">
        <v>861</v>
      </c>
      <c r="J367" s="177">
        <v>33121</v>
      </c>
      <c r="K367" s="289">
        <v>834</v>
      </c>
      <c r="L367" s="177">
        <v>34850</v>
      </c>
      <c r="M367" s="289">
        <v>794</v>
      </c>
      <c r="N367" s="177">
        <f>+'K19'!Z367</f>
        <v>35054</v>
      </c>
    </row>
    <row r="368" spans="1:14" ht="13">
      <c r="A368" s="1">
        <v>5034</v>
      </c>
      <c r="B368" s="2" t="s">
        <v>146</v>
      </c>
      <c r="C368" s="290">
        <v>2553</v>
      </c>
      <c r="D368" s="177">
        <v>48534</v>
      </c>
      <c r="E368" s="289">
        <v>2558</v>
      </c>
      <c r="F368" s="177">
        <v>51352</v>
      </c>
      <c r="G368" s="289">
        <v>2523</v>
      </c>
      <c r="H368" s="177">
        <v>53590</v>
      </c>
      <c r="I368" s="289">
        <v>2508</v>
      </c>
      <c r="J368" s="177">
        <v>54417</v>
      </c>
      <c r="K368" s="289">
        <v>2469</v>
      </c>
      <c r="L368" s="177">
        <v>57823</v>
      </c>
      <c r="M368" s="289">
        <v>2432</v>
      </c>
      <c r="N368" s="177">
        <f>+'K19'!Z368</f>
        <v>57334</v>
      </c>
    </row>
    <row r="369" spans="1:14" ht="13">
      <c r="A369" s="1">
        <v>5035</v>
      </c>
      <c r="B369" s="2" t="s">
        <v>147</v>
      </c>
      <c r="C369" s="290">
        <v>22683</v>
      </c>
      <c r="D369" s="177">
        <v>461772</v>
      </c>
      <c r="E369" s="289">
        <v>22957</v>
      </c>
      <c r="F369" s="177">
        <v>500584</v>
      </c>
      <c r="G369" s="289">
        <v>23308</v>
      </c>
      <c r="H369" s="177">
        <v>539672</v>
      </c>
      <c r="I369" s="289">
        <v>23625</v>
      </c>
      <c r="J369" s="177">
        <v>564472</v>
      </c>
      <c r="K369" s="289">
        <v>23964</v>
      </c>
      <c r="L369" s="177">
        <v>597732</v>
      </c>
      <c r="M369" s="289">
        <v>24028</v>
      </c>
      <c r="N369" s="177">
        <f>+'K19'!Z369</f>
        <v>615174</v>
      </c>
    </row>
    <row r="370" spans="1:14" ht="13">
      <c r="A370" s="1">
        <v>5036</v>
      </c>
      <c r="B370" s="2" t="s">
        <v>148</v>
      </c>
      <c r="C370" s="290">
        <v>2653</v>
      </c>
      <c r="D370" s="177">
        <v>43779</v>
      </c>
      <c r="E370" s="289">
        <v>2624</v>
      </c>
      <c r="F370" s="177">
        <v>45334</v>
      </c>
      <c r="G370" s="289">
        <v>2631</v>
      </c>
      <c r="H370" s="177">
        <v>48858</v>
      </c>
      <c r="I370" s="289">
        <v>2630</v>
      </c>
      <c r="J370" s="177">
        <v>55464</v>
      </c>
      <c r="K370" s="289">
        <v>2616</v>
      </c>
      <c r="L370" s="177">
        <v>57821</v>
      </c>
      <c r="M370" s="289">
        <v>2632</v>
      </c>
      <c r="N370" s="177">
        <f>+'K19'!Z370</f>
        <v>57477</v>
      </c>
    </row>
    <row r="371" spans="1:14" ht="13">
      <c r="A371" s="1">
        <v>5037</v>
      </c>
      <c r="B371" s="2" t="s">
        <v>150</v>
      </c>
      <c r="C371" s="290">
        <v>19212</v>
      </c>
      <c r="D371" s="177">
        <v>379690</v>
      </c>
      <c r="E371" s="289">
        <v>19474</v>
      </c>
      <c r="F371" s="177">
        <v>399602</v>
      </c>
      <c r="G371" s="289">
        <v>19610</v>
      </c>
      <c r="H371" s="177">
        <v>452141</v>
      </c>
      <c r="I371" s="289">
        <v>19892</v>
      </c>
      <c r="J371" s="177">
        <v>467325</v>
      </c>
      <c r="K371" s="289">
        <v>20115</v>
      </c>
      <c r="L371" s="177">
        <v>490350</v>
      </c>
      <c r="M371" s="289">
        <v>20254</v>
      </c>
      <c r="N371" s="177">
        <f>+'K19'!Z371</f>
        <v>515645</v>
      </c>
    </row>
    <row r="372" spans="1:14" ht="13">
      <c r="A372" s="1">
        <v>5038</v>
      </c>
      <c r="B372" s="2" t="s">
        <v>151</v>
      </c>
      <c r="C372" s="290">
        <v>14788</v>
      </c>
      <c r="D372" s="177">
        <v>279742</v>
      </c>
      <c r="E372" s="289">
        <v>14809</v>
      </c>
      <c r="F372" s="177">
        <v>280360</v>
      </c>
      <c r="G372" s="289">
        <v>14885</v>
      </c>
      <c r="H372" s="177">
        <v>303298</v>
      </c>
      <c r="I372" s="289">
        <v>14849</v>
      </c>
      <c r="J372" s="177">
        <v>319010</v>
      </c>
      <c r="K372" s="289">
        <v>14943</v>
      </c>
      <c r="L372" s="177">
        <v>334369</v>
      </c>
      <c r="M372" s="289">
        <v>14933</v>
      </c>
      <c r="N372" s="177">
        <f>+'K19'!Z372</f>
        <v>344409</v>
      </c>
    </row>
    <row r="373" spans="1:14" ht="13">
      <c r="A373" s="1">
        <v>5039</v>
      </c>
      <c r="B373" s="2" t="s">
        <v>153</v>
      </c>
      <c r="C373" s="290">
        <v>2562</v>
      </c>
      <c r="D373" s="177">
        <v>34092</v>
      </c>
      <c r="E373" s="289">
        <v>2547</v>
      </c>
      <c r="F373" s="177">
        <v>43785</v>
      </c>
      <c r="G373" s="289">
        <v>2527</v>
      </c>
      <c r="H373" s="177">
        <v>44616</v>
      </c>
      <c r="I373" s="289">
        <v>2515</v>
      </c>
      <c r="J373" s="177">
        <v>47869</v>
      </c>
      <c r="K373" s="289">
        <v>2473</v>
      </c>
      <c r="L373" s="177">
        <v>50171</v>
      </c>
      <c r="M373" s="289">
        <v>2449</v>
      </c>
      <c r="N373" s="177">
        <f>+'K19'!Z373</f>
        <v>52911</v>
      </c>
    </row>
    <row r="374" spans="1:14" ht="13">
      <c r="A374" s="1">
        <v>5040</v>
      </c>
      <c r="B374" s="2" t="s">
        <v>154</v>
      </c>
      <c r="C374" s="290">
        <v>1676</v>
      </c>
      <c r="D374" s="177">
        <v>28132</v>
      </c>
      <c r="E374" s="289">
        <v>1644</v>
      </c>
      <c r="F374" s="177">
        <v>27277</v>
      </c>
      <c r="G374" s="289">
        <v>1622</v>
      </c>
      <c r="H374" s="177">
        <v>30725</v>
      </c>
      <c r="I374" s="289">
        <v>1593</v>
      </c>
      <c r="J374" s="177">
        <v>31111</v>
      </c>
      <c r="K374" s="289">
        <v>1585</v>
      </c>
      <c r="L374" s="177">
        <v>32121</v>
      </c>
      <c r="M374" s="289">
        <v>1576</v>
      </c>
      <c r="N374" s="177">
        <f>+'K19'!Z374</f>
        <v>35949</v>
      </c>
    </row>
    <row r="375" spans="1:14" ht="13">
      <c r="A375" s="1">
        <v>5041</v>
      </c>
      <c r="B375" s="2" t="s">
        <v>156</v>
      </c>
      <c r="C375" s="290">
        <v>2156</v>
      </c>
      <c r="D375" s="177">
        <v>37914</v>
      </c>
      <c r="E375" s="289">
        <v>2153</v>
      </c>
      <c r="F375" s="177">
        <v>39394</v>
      </c>
      <c r="G375" s="289">
        <v>2139</v>
      </c>
      <c r="H375" s="177">
        <v>41094</v>
      </c>
      <c r="I375" s="289">
        <v>2159</v>
      </c>
      <c r="J375" s="177">
        <v>43422</v>
      </c>
      <c r="K375" s="289">
        <v>2094</v>
      </c>
      <c r="L375" s="177">
        <v>43014</v>
      </c>
      <c r="M375" s="289">
        <v>2100</v>
      </c>
      <c r="N375" s="177">
        <f>+'K19'!Z375</f>
        <v>45037</v>
      </c>
    </row>
    <row r="376" spans="1:14" ht="13">
      <c r="A376" s="1">
        <v>5042</v>
      </c>
      <c r="B376" s="2" t="s">
        <v>157</v>
      </c>
      <c r="C376" s="290">
        <v>1385</v>
      </c>
      <c r="D376" s="177">
        <v>30495</v>
      </c>
      <c r="E376" s="289">
        <v>1394</v>
      </c>
      <c r="F376" s="177">
        <v>30846</v>
      </c>
      <c r="G376" s="289">
        <v>1375</v>
      </c>
      <c r="H376" s="177">
        <v>30134</v>
      </c>
      <c r="I376" s="289">
        <v>1389</v>
      </c>
      <c r="J376" s="177">
        <v>30547</v>
      </c>
      <c r="K376" s="289">
        <v>1379</v>
      </c>
      <c r="L376" s="177">
        <v>31031</v>
      </c>
      <c r="M376" s="289">
        <v>1386</v>
      </c>
      <c r="N376" s="177">
        <f>+'K19'!Z376</f>
        <v>33722</v>
      </c>
    </row>
    <row r="377" spans="1:14" ht="13">
      <c r="A377" s="1">
        <v>5043</v>
      </c>
      <c r="B377" s="2" t="s">
        <v>164</v>
      </c>
      <c r="C377" s="290">
        <v>498</v>
      </c>
      <c r="D377" s="177">
        <v>12548</v>
      </c>
      <c r="E377" s="289">
        <v>475</v>
      </c>
      <c r="F377" s="177">
        <v>12235</v>
      </c>
      <c r="G377" s="289">
        <v>469</v>
      </c>
      <c r="H377" s="177">
        <v>12455</v>
      </c>
      <c r="I377" s="289">
        <v>469</v>
      </c>
      <c r="J377" s="177">
        <v>12378</v>
      </c>
      <c r="K377" s="289">
        <v>474</v>
      </c>
      <c r="L377" s="177">
        <v>13341</v>
      </c>
      <c r="M377" s="289">
        <v>482</v>
      </c>
      <c r="N377" s="177">
        <f>+'K19'!Z377</f>
        <v>11848</v>
      </c>
    </row>
    <row r="378" spans="1:14" ht="13">
      <c r="A378" s="1">
        <v>5044</v>
      </c>
      <c r="B378" s="2" t="s">
        <v>165</v>
      </c>
      <c r="C378" s="290">
        <v>922</v>
      </c>
      <c r="D378" s="177">
        <v>25379</v>
      </c>
      <c r="E378" s="289">
        <v>892</v>
      </c>
      <c r="F378" s="177">
        <v>25338</v>
      </c>
      <c r="G378" s="289">
        <v>867</v>
      </c>
      <c r="H378" s="177">
        <v>27663</v>
      </c>
      <c r="I378" s="289">
        <v>872</v>
      </c>
      <c r="J378" s="177">
        <v>27937</v>
      </c>
      <c r="K378" s="289">
        <v>902</v>
      </c>
      <c r="L378" s="177">
        <v>29002</v>
      </c>
      <c r="M378" s="289">
        <v>871</v>
      </c>
      <c r="N378" s="177">
        <f>+'K19'!Z378</f>
        <v>29273</v>
      </c>
    </row>
    <row r="379" spans="1:14" ht="13">
      <c r="A379" s="1">
        <v>5045</v>
      </c>
      <c r="B379" s="2" t="s">
        <v>166</v>
      </c>
      <c r="C379" s="290">
        <v>2449</v>
      </c>
      <c r="D379" s="177">
        <v>50196</v>
      </c>
      <c r="E379" s="289">
        <v>2489</v>
      </c>
      <c r="F379" s="177">
        <v>52821</v>
      </c>
      <c r="G379" s="289">
        <v>2466</v>
      </c>
      <c r="H379" s="177">
        <v>57612</v>
      </c>
      <c r="I379" s="289">
        <v>2467</v>
      </c>
      <c r="J379" s="177">
        <v>60456</v>
      </c>
      <c r="K379" s="289">
        <v>2400</v>
      </c>
      <c r="L379" s="177">
        <v>62432</v>
      </c>
      <c r="M379" s="289">
        <v>2374</v>
      </c>
      <c r="N379" s="177">
        <f>+'K19'!Z379</f>
        <v>64293</v>
      </c>
    </row>
    <row r="380" spans="1:14" ht="13">
      <c r="A380" s="1">
        <v>5046</v>
      </c>
      <c r="B380" s="2" t="s">
        <v>167</v>
      </c>
      <c r="C380" s="290">
        <v>1257</v>
      </c>
      <c r="D380" s="177">
        <v>22187</v>
      </c>
      <c r="E380" s="289">
        <v>1252</v>
      </c>
      <c r="F380" s="177">
        <v>23151</v>
      </c>
      <c r="G380" s="289">
        <v>1250</v>
      </c>
      <c r="H380" s="177">
        <v>26653</v>
      </c>
      <c r="I380" s="289">
        <v>1264</v>
      </c>
      <c r="J380" s="177">
        <v>27648</v>
      </c>
      <c r="K380" s="289">
        <v>1268</v>
      </c>
      <c r="L380" s="177">
        <v>26225</v>
      </c>
      <c r="M380" s="289">
        <v>1254</v>
      </c>
      <c r="N380" s="177">
        <f>+'K19'!Z380</f>
        <v>27502</v>
      </c>
    </row>
    <row r="381" spans="1:14" ht="13">
      <c r="A381" s="1">
        <v>5047</v>
      </c>
      <c r="B381" s="2" t="s">
        <v>168</v>
      </c>
      <c r="C381" s="290">
        <v>3732</v>
      </c>
      <c r="D381" s="177">
        <v>72891</v>
      </c>
      <c r="E381" s="289">
        <v>3751</v>
      </c>
      <c r="F381" s="177">
        <v>75389</v>
      </c>
      <c r="G381" s="289">
        <v>3825</v>
      </c>
      <c r="H381" s="177">
        <v>82123</v>
      </c>
      <c r="I381" s="289">
        <v>3840</v>
      </c>
      <c r="J381" s="177">
        <v>89306</v>
      </c>
      <c r="K381" s="289">
        <v>3845</v>
      </c>
      <c r="L381" s="177">
        <v>93345</v>
      </c>
      <c r="M381" s="289">
        <v>3879</v>
      </c>
      <c r="N381" s="177">
        <f>+'K19'!Z381</f>
        <v>93413</v>
      </c>
    </row>
    <row r="382" spans="1:14" ht="13">
      <c r="A382" s="1">
        <v>5048</v>
      </c>
      <c r="B382" s="2" t="s">
        <v>169</v>
      </c>
      <c r="C382" s="290">
        <v>642</v>
      </c>
      <c r="D382" s="177">
        <v>10338</v>
      </c>
      <c r="E382" s="289">
        <v>630</v>
      </c>
      <c r="F382" s="177">
        <v>10651</v>
      </c>
      <c r="G382" s="289">
        <v>633</v>
      </c>
      <c r="H382" s="177">
        <v>11315</v>
      </c>
      <c r="I382" s="289">
        <v>628</v>
      </c>
      <c r="J382" s="177">
        <v>11682</v>
      </c>
      <c r="K382" s="289">
        <v>618</v>
      </c>
      <c r="L382" s="177">
        <v>12474</v>
      </c>
      <c r="M382" s="289">
        <v>605</v>
      </c>
      <c r="N382" s="177">
        <f>+'K19'!Z382</f>
        <v>12311</v>
      </c>
    </row>
    <row r="383" spans="1:14" ht="13">
      <c r="A383" s="1">
        <v>5049</v>
      </c>
      <c r="B383" s="2" t="s">
        <v>170</v>
      </c>
      <c r="C383" s="290">
        <v>1120</v>
      </c>
      <c r="D383" s="177">
        <v>20942</v>
      </c>
      <c r="E383" s="289">
        <v>1119</v>
      </c>
      <c r="F383" s="177">
        <v>23043</v>
      </c>
      <c r="G383" s="289">
        <v>1103</v>
      </c>
      <c r="H383" s="177">
        <v>26366</v>
      </c>
      <c r="I383" s="289">
        <v>1090</v>
      </c>
      <c r="J383" s="177">
        <v>26376</v>
      </c>
      <c r="K383" s="289">
        <v>1105</v>
      </c>
      <c r="L383" s="177">
        <v>29062</v>
      </c>
      <c r="M383" s="289">
        <v>1103</v>
      </c>
      <c r="N383" s="177">
        <f>+'K19'!Z383</f>
        <v>32722</v>
      </c>
    </row>
    <row r="384" spans="1:14" ht="13">
      <c r="A384" s="1">
        <v>5050</v>
      </c>
      <c r="B384" s="2" t="s">
        <v>171</v>
      </c>
      <c r="C384" s="290">
        <v>4321</v>
      </c>
      <c r="D384" s="177">
        <v>88579</v>
      </c>
      <c r="E384" s="289">
        <v>4363</v>
      </c>
      <c r="F384" s="177">
        <v>94283</v>
      </c>
      <c r="G384" s="289">
        <v>4387</v>
      </c>
      <c r="H384" s="177">
        <v>107429</v>
      </c>
      <c r="I384" s="289">
        <v>4418</v>
      </c>
      <c r="J384" s="177">
        <v>116736</v>
      </c>
      <c r="K384" s="289">
        <v>4492</v>
      </c>
      <c r="L384" s="177">
        <v>127124</v>
      </c>
      <c r="M384" s="289">
        <v>4578</v>
      </c>
      <c r="N384" s="177">
        <f>+'K19'!Z384</f>
        <v>143383</v>
      </c>
    </row>
    <row r="385" spans="1:14" ht="13">
      <c r="A385" s="1">
        <v>5051</v>
      </c>
      <c r="B385" s="2" t="s">
        <v>172</v>
      </c>
      <c r="C385" s="290">
        <v>5064</v>
      </c>
      <c r="D385" s="177">
        <v>95834</v>
      </c>
      <c r="E385" s="289">
        <v>5081</v>
      </c>
      <c r="F385" s="177">
        <v>100302</v>
      </c>
      <c r="G385" s="289">
        <v>5126</v>
      </c>
      <c r="H385" s="177">
        <v>110312</v>
      </c>
      <c r="I385" s="289">
        <v>5138</v>
      </c>
      <c r="J385" s="177">
        <v>115006</v>
      </c>
      <c r="K385" s="289">
        <v>5117</v>
      </c>
      <c r="L385" s="177">
        <v>125626</v>
      </c>
      <c r="M385" s="289">
        <v>5072</v>
      </c>
      <c r="N385" s="177">
        <f>+'K19'!Z385</f>
        <v>131937</v>
      </c>
    </row>
    <row r="386" spans="1:14" ht="13">
      <c r="A386" s="1">
        <v>5052</v>
      </c>
      <c r="B386" s="2" t="s">
        <v>173</v>
      </c>
      <c r="C386" s="290">
        <v>556</v>
      </c>
      <c r="D386" s="177">
        <v>9934</v>
      </c>
      <c r="E386" s="289">
        <v>574</v>
      </c>
      <c r="F386" s="177">
        <v>10708</v>
      </c>
      <c r="G386" s="289">
        <v>562</v>
      </c>
      <c r="H386" s="177">
        <v>11579</v>
      </c>
      <c r="I386" s="289">
        <v>584</v>
      </c>
      <c r="J386" s="177">
        <v>12951</v>
      </c>
      <c r="K386" s="289">
        <v>582</v>
      </c>
      <c r="L386" s="177">
        <v>13678</v>
      </c>
      <c r="M386" s="289">
        <v>567</v>
      </c>
      <c r="N386" s="177">
        <f>+'K19'!Z386</f>
        <v>13553</v>
      </c>
    </row>
    <row r="387" spans="1:14" ht="13">
      <c r="A387" s="1">
        <v>5053</v>
      </c>
      <c r="B387" s="2" t="s">
        <v>155</v>
      </c>
      <c r="C387" s="290">
        <v>6720</v>
      </c>
      <c r="D387" s="177">
        <v>126853</v>
      </c>
      <c r="E387" s="289">
        <v>6770</v>
      </c>
      <c r="F387" s="177">
        <v>138028</v>
      </c>
      <c r="G387" s="289">
        <v>6769</v>
      </c>
      <c r="H387" s="177">
        <v>148799</v>
      </c>
      <c r="I387" s="289">
        <v>6800</v>
      </c>
      <c r="J387" s="177">
        <v>153528</v>
      </c>
      <c r="K387" s="289">
        <v>6785</v>
      </c>
      <c r="L387" s="177">
        <v>157899</v>
      </c>
      <c r="M387" s="289">
        <v>6804</v>
      </c>
      <c r="N387" s="177">
        <f>+'K19'!Z387</f>
        <v>163239</v>
      </c>
    </row>
    <row r="388" spans="1:14" ht="13">
      <c r="A388" s="1">
        <v>5054</v>
      </c>
      <c r="B388" s="2" t="s">
        <v>1245</v>
      </c>
      <c r="C388" s="290">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c r="M388" s="289">
        <v>9988</v>
      </c>
      <c r="N388" s="177">
        <f>+'K19'!Z388</f>
        <v>231891</v>
      </c>
    </row>
    <row r="389" spans="1:14" ht="13">
      <c r="A389" s="1">
        <v>5061</v>
      </c>
      <c r="B389" s="2" t="s">
        <v>114</v>
      </c>
      <c r="C389" s="290">
        <v>2046</v>
      </c>
      <c r="D389" s="177">
        <v>42351</v>
      </c>
      <c r="E389" s="289">
        <v>2038</v>
      </c>
      <c r="F389" s="177">
        <v>43842</v>
      </c>
      <c r="G389" s="289">
        <v>2036</v>
      </c>
      <c r="H389" s="177">
        <v>45245</v>
      </c>
      <c r="I389" s="289">
        <v>2026</v>
      </c>
      <c r="J389" s="177">
        <v>47427</v>
      </c>
      <c r="K389" s="289">
        <v>2039</v>
      </c>
      <c r="L389" s="177">
        <v>50708</v>
      </c>
      <c r="M389" s="289">
        <v>2028</v>
      </c>
      <c r="N389" s="177">
        <f>+'K19'!Z389</f>
        <v>50159</v>
      </c>
    </row>
    <row r="390" spans="1:14" ht="13">
      <c r="A390" s="1">
        <v>5401</v>
      </c>
      <c r="B390" s="2" t="s">
        <v>217</v>
      </c>
      <c r="C390" s="290">
        <v>71590</v>
      </c>
      <c r="D390" s="177">
        <v>1698963</v>
      </c>
      <c r="E390" s="289">
        <v>72681</v>
      </c>
      <c r="F390" s="177">
        <v>1840079</v>
      </c>
      <c r="G390" s="289">
        <v>73480</v>
      </c>
      <c r="H390" s="177">
        <v>2034480</v>
      </c>
      <c r="I390" s="289">
        <v>74541</v>
      </c>
      <c r="J390" s="177">
        <v>2166065</v>
      </c>
      <c r="K390" s="289">
        <v>75638</v>
      </c>
      <c r="L390" s="177">
        <v>2296830</v>
      </c>
      <c r="M390" s="289">
        <v>76649</v>
      </c>
      <c r="N390" s="177">
        <f>+'K19'!Z390</f>
        <v>2383917</v>
      </c>
    </row>
    <row r="391" spans="1:14" ht="13">
      <c r="A391" s="1">
        <v>5402</v>
      </c>
      <c r="B391" s="2" t="s">
        <v>216</v>
      </c>
      <c r="C391" s="290">
        <v>24441</v>
      </c>
      <c r="D391" s="177">
        <v>531842</v>
      </c>
      <c r="E391" s="289">
        <v>24676</v>
      </c>
      <c r="F391" s="177">
        <v>581441</v>
      </c>
      <c r="G391" s="289">
        <v>24695</v>
      </c>
      <c r="H391" s="177">
        <v>623987</v>
      </c>
      <c r="I391" s="289">
        <v>24845</v>
      </c>
      <c r="J391" s="177">
        <v>647002</v>
      </c>
      <c r="K391" s="289">
        <v>24820</v>
      </c>
      <c r="L391" s="177">
        <v>674405</v>
      </c>
      <c r="M391" s="289">
        <v>24827</v>
      </c>
      <c r="N391" s="177">
        <f>+'K19'!Z391</f>
        <v>691142</v>
      </c>
    </row>
    <row r="392" spans="1:14" ht="13">
      <c r="A392" s="1">
        <v>5403</v>
      </c>
      <c r="B392" s="2" t="s">
        <v>245</v>
      </c>
      <c r="C392" s="290">
        <v>19822</v>
      </c>
      <c r="D392" s="177">
        <v>392331</v>
      </c>
      <c r="E392" s="289">
        <v>19898</v>
      </c>
      <c r="F392" s="177">
        <v>425132</v>
      </c>
      <c r="G392" s="289">
        <v>20097</v>
      </c>
      <c r="H392" s="177">
        <v>470693</v>
      </c>
      <c r="I392" s="289">
        <v>20446</v>
      </c>
      <c r="J392" s="177">
        <v>505393</v>
      </c>
      <c r="K392" s="289">
        <v>20635</v>
      </c>
      <c r="L392" s="177">
        <v>542406</v>
      </c>
      <c r="M392" s="289">
        <v>20665</v>
      </c>
      <c r="N392" s="177">
        <f>+'K19'!Z392</f>
        <v>568373</v>
      </c>
    </row>
    <row r="393" spans="1:14" ht="13">
      <c r="A393" s="1">
        <v>5404</v>
      </c>
      <c r="B393" s="2" t="s">
        <v>241</v>
      </c>
      <c r="C393" s="290">
        <v>2119</v>
      </c>
      <c r="D393" s="177">
        <v>39140</v>
      </c>
      <c r="E393" s="289">
        <v>2128</v>
      </c>
      <c r="F393" s="177">
        <v>41735</v>
      </c>
      <c r="G393" s="289">
        <v>2137</v>
      </c>
      <c r="H393" s="177">
        <v>46439</v>
      </c>
      <c r="I393" s="289">
        <v>2104</v>
      </c>
      <c r="J393" s="177">
        <v>46940</v>
      </c>
      <c r="K393" s="289">
        <v>2110</v>
      </c>
      <c r="L393" s="177">
        <v>46676</v>
      </c>
      <c r="M393" s="289">
        <v>2081</v>
      </c>
      <c r="N393" s="177">
        <f>+'K19'!Z393</f>
        <v>47631</v>
      </c>
    </row>
    <row r="394" spans="1:14" ht="13">
      <c r="A394" s="1">
        <v>5405</v>
      </c>
      <c r="B394" s="2" t="s">
        <v>242</v>
      </c>
      <c r="C394" s="290">
        <v>6223</v>
      </c>
      <c r="D394" s="177">
        <v>128264</v>
      </c>
      <c r="E394" s="289">
        <v>6239</v>
      </c>
      <c r="F394" s="177">
        <v>135985</v>
      </c>
      <c r="G394" s="289">
        <v>6160</v>
      </c>
      <c r="H394" s="177">
        <v>143163</v>
      </c>
      <c r="I394" s="289">
        <v>6154</v>
      </c>
      <c r="J394" s="177">
        <v>148082</v>
      </c>
      <c r="K394" s="289">
        <v>6033</v>
      </c>
      <c r="L394" s="177">
        <v>152909</v>
      </c>
      <c r="M394" s="289">
        <v>5894</v>
      </c>
      <c r="N394" s="177">
        <f>+'K19'!Z394</f>
        <v>153202</v>
      </c>
    </row>
    <row r="395" spans="1:14" ht="13">
      <c r="A395" s="1">
        <v>5411</v>
      </c>
      <c r="B395" s="2" t="s">
        <v>218</v>
      </c>
      <c r="C395" s="290">
        <v>3107</v>
      </c>
      <c r="D395" s="177">
        <v>53243</v>
      </c>
      <c r="E395" s="289">
        <v>3076</v>
      </c>
      <c r="F395" s="177">
        <v>56094</v>
      </c>
      <c r="G395" s="289">
        <v>3029</v>
      </c>
      <c r="H395" s="177">
        <v>60507</v>
      </c>
      <c r="I395" s="289">
        <v>2986</v>
      </c>
      <c r="J395" s="177">
        <v>65886</v>
      </c>
      <c r="K395" s="289">
        <v>2928</v>
      </c>
      <c r="L395" s="177">
        <v>68090</v>
      </c>
      <c r="M395" s="289">
        <v>2858</v>
      </c>
      <c r="N395" s="177">
        <f>+'K19'!Z395</f>
        <v>63611</v>
      </c>
    </row>
    <row r="396" spans="1:14" ht="13">
      <c r="A396" s="1">
        <v>5413</v>
      </c>
      <c r="B396" s="2" t="s">
        <v>221</v>
      </c>
      <c r="C396" s="290">
        <v>1436</v>
      </c>
      <c r="D396" s="177">
        <v>26022</v>
      </c>
      <c r="E396" s="289">
        <v>1410</v>
      </c>
      <c r="F396" s="177">
        <v>26855</v>
      </c>
      <c r="G396" s="289">
        <v>1403</v>
      </c>
      <c r="H396" s="177">
        <v>31656</v>
      </c>
      <c r="I396" s="289">
        <v>1394</v>
      </c>
      <c r="J396" s="177">
        <v>34562</v>
      </c>
      <c r="K396" s="289">
        <v>1380</v>
      </c>
      <c r="L396" s="177">
        <v>38050</v>
      </c>
      <c r="M396" s="289">
        <v>1375</v>
      </c>
      <c r="N396" s="177">
        <f>+'K19'!Z396</f>
        <v>36128</v>
      </c>
    </row>
    <row r="397" spans="1:14" ht="13">
      <c r="A397" s="1">
        <v>5414</v>
      </c>
      <c r="B397" s="2" t="s">
        <v>222</v>
      </c>
      <c r="C397" s="290">
        <v>1135</v>
      </c>
      <c r="D397" s="177">
        <v>19557</v>
      </c>
      <c r="E397" s="289">
        <v>1137</v>
      </c>
      <c r="F397" s="177">
        <v>20678</v>
      </c>
      <c r="G397" s="289">
        <v>1137</v>
      </c>
      <c r="H397" s="177">
        <v>22524</v>
      </c>
      <c r="I397" s="289">
        <v>1121</v>
      </c>
      <c r="J397" s="177">
        <v>24726</v>
      </c>
      <c r="K397" s="289">
        <v>1117</v>
      </c>
      <c r="L397" s="177">
        <v>26493</v>
      </c>
      <c r="M397" s="289">
        <v>1105</v>
      </c>
      <c r="N397" s="177">
        <f>+'K19'!Z397</f>
        <v>28318</v>
      </c>
    </row>
    <row r="398" spans="1:14" ht="13">
      <c r="A398" s="1">
        <v>5415</v>
      </c>
      <c r="B398" s="2" t="s">
        <v>223</v>
      </c>
      <c r="C398" s="290">
        <v>1014</v>
      </c>
      <c r="D398" s="177">
        <v>15717</v>
      </c>
      <c r="E398" s="289">
        <v>1008</v>
      </c>
      <c r="F398" s="177">
        <v>18284</v>
      </c>
      <c r="G398" s="289">
        <v>1051</v>
      </c>
      <c r="H398" s="177">
        <v>19351</v>
      </c>
      <c r="I398" s="289">
        <v>1076</v>
      </c>
      <c r="J398" s="177">
        <v>19972</v>
      </c>
      <c r="K398" s="289">
        <v>1061</v>
      </c>
      <c r="L398" s="177">
        <v>21842</v>
      </c>
      <c r="M398" s="289">
        <v>1042</v>
      </c>
      <c r="N398" s="177">
        <f>+'K19'!Z398</f>
        <v>22320</v>
      </c>
    </row>
    <row r="399" spans="1:14" ht="13">
      <c r="A399" s="1">
        <v>5416</v>
      </c>
      <c r="B399" s="2" t="s">
        <v>224</v>
      </c>
      <c r="C399" s="290">
        <v>3985</v>
      </c>
      <c r="D399" s="177">
        <v>95072</v>
      </c>
      <c r="E399" s="289">
        <v>4078</v>
      </c>
      <c r="F399" s="177">
        <v>103643</v>
      </c>
      <c r="G399" s="289">
        <v>4019</v>
      </c>
      <c r="H399" s="177">
        <v>109015</v>
      </c>
      <c r="I399" s="289">
        <v>3994</v>
      </c>
      <c r="J399" s="177">
        <v>115085</v>
      </c>
      <c r="K399" s="289">
        <v>3979</v>
      </c>
      <c r="L399" s="177">
        <v>120113</v>
      </c>
      <c r="M399" s="289">
        <v>4030</v>
      </c>
      <c r="N399" s="177">
        <f>+'K19'!Z399</f>
        <v>127207</v>
      </c>
    </row>
    <row r="400" spans="1:14" ht="13">
      <c r="A400" s="1">
        <v>5417</v>
      </c>
      <c r="B400" s="2" t="s">
        <v>225</v>
      </c>
      <c r="C400" s="290">
        <v>2223</v>
      </c>
      <c r="D400" s="177">
        <v>38368</v>
      </c>
      <c r="E400" s="289">
        <v>2219</v>
      </c>
      <c r="F400" s="177">
        <v>42072</v>
      </c>
      <c r="G400" s="289">
        <v>2230</v>
      </c>
      <c r="H400" s="177">
        <v>46921</v>
      </c>
      <c r="I400" s="289">
        <v>2220</v>
      </c>
      <c r="J400" s="177">
        <v>51862</v>
      </c>
      <c r="K400" s="289">
        <v>2226</v>
      </c>
      <c r="L400" s="177">
        <v>52604</v>
      </c>
      <c r="M400" s="289">
        <v>2183</v>
      </c>
      <c r="N400" s="177">
        <f>+'K19'!Z400</f>
        <v>56979</v>
      </c>
    </row>
    <row r="401" spans="1:14" ht="13">
      <c r="A401" s="1">
        <v>5418</v>
      </c>
      <c r="B401" s="2" t="s">
        <v>226</v>
      </c>
      <c r="C401" s="290">
        <v>6634</v>
      </c>
      <c r="D401" s="177">
        <v>149063</v>
      </c>
      <c r="E401" s="289">
        <v>6693</v>
      </c>
      <c r="F401" s="177">
        <v>166088</v>
      </c>
      <c r="G401" s="289">
        <v>6741</v>
      </c>
      <c r="H401" s="177">
        <v>179331</v>
      </c>
      <c r="I401" s="289">
        <v>6781</v>
      </c>
      <c r="J401" s="177">
        <v>187236</v>
      </c>
      <c r="K401" s="289">
        <v>6798</v>
      </c>
      <c r="L401" s="177">
        <v>184693</v>
      </c>
      <c r="M401" s="289">
        <v>6805</v>
      </c>
      <c r="N401" s="177">
        <f>+'K19'!Z401</f>
        <v>195569</v>
      </c>
    </row>
    <row r="402" spans="1:14" ht="13">
      <c r="A402" s="1">
        <v>5419</v>
      </c>
      <c r="B402" s="2" t="s">
        <v>227</v>
      </c>
      <c r="C402" s="290">
        <v>3450</v>
      </c>
      <c r="D402" s="177">
        <v>68185</v>
      </c>
      <c r="E402" s="289">
        <v>3451</v>
      </c>
      <c r="F402" s="177">
        <v>73491</v>
      </c>
      <c r="G402" s="289">
        <v>3452</v>
      </c>
      <c r="H402" s="177">
        <v>81156</v>
      </c>
      <c r="I402" s="289">
        <v>3496</v>
      </c>
      <c r="J402" s="177">
        <v>83904</v>
      </c>
      <c r="K402" s="289">
        <v>3494</v>
      </c>
      <c r="L402" s="177">
        <v>86393</v>
      </c>
      <c r="M402" s="289">
        <v>3489</v>
      </c>
      <c r="N402" s="177">
        <f>+'K19'!Z402</f>
        <v>90759</v>
      </c>
    </row>
    <row r="403" spans="1:14" ht="13">
      <c r="A403" s="1">
        <v>5420</v>
      </c>
      <c r="B403" s="2" t="s">
        <v>228</v>
      </c>
      <c r="C403" s="290">
        <v>1171</v>
      </c>
      <c r="D403" s="177">
        <v>20896</v>
      </c>
      <c r="E403" s="289">
        <v>1154</v>
      </c>
      <c r="F403" s="177">
        <v>21773</v>
      </c>
      <c r="G403" s="289">
        <v>1158</v>
      </c>
      <c r="H403" s="177">
        <v>22702</v>
      </c>
      <c r="I403" s="289">
        <v>1138</v>
      </c>
      <c r="J403" s="177">
        <v>23986</v>
      </c>
      <c r="K403" s="289">
        <v>1165</v>
      </c>
      <c r="L403" s="177">
        <v>25457</v>
      </c>
      <c r="M403" s="289">
        <v>1129</v>
      </c>
      <c r="N403" s="177">
        <f>+'K19'!Z403</f>
        <v>25128</v>
      </c>
    </row>
    <row r="404" spans="1:14" ht="13">
      <c r="A404" s="1">
        <v>5422</v>
      </c>
      <c r="B404" s="2" t="s">
        <v>233</v>
      </c>
      <c r="C404" s="290">
        <v>5593</v>
      </c>
      <c r="D404" s="177">
        <v>99418</v>
      </c>
      <c r="E404" s="289">
        <v>5720</v>
      </c>
      <c r="F404" s="177">
        <v>108717</v>
      </c>
      <c r="G404" s="289">
        <v>5701</v>
      </c>
      <c r="H404" s="177">
        <v>117146</v>
      </c>
      <c r="I404" s="289">
        <v>5685</v>
      </c>
      <c r="J404" s="177">
        <v>120376</v>
      </c>
      <c r="K404" s="289">
        <v>5653</v>
      </c>
      <c r="L404" s="177">
        <v>123856</v>
      </c>
      <c r="M404" s="289">
        <v>5625</v>
      </c>
      <c r="N404" s="177">
        <f>+'K19'!Z404</f>
        <v>127282</v>
      </c>
    </row>
    <row r="405" spans="1:14" ht="13">
      <c r="A405" s="1">
        <v>5423</v>
      </c>
      <c r="B405" s="2" t="s">
        <v>234</v>
      </c>
      <c r="C405" s="290">
        <v>2334</v>
      </c>
      <c r="D405" s="177">
        <v>41906</v>
      </c>
      <c r="E405" s="289">
        <v>2289</v>
      </c>
      <c r="F405" s="177">
        <v>46139</v>
      </c>
      <c r="G405" s="289">
        <v>2282</v>
      </c>
      <c r="H405" s="177">
        <v>49979</v>
      </c>
      <c r="I405" s="289">
        <v>2273</v>
      </c>
      <c r="J405" s="177">
        <v>53340</v>
      </c>
      <c r="K405" s="289">
        <v>2263</v>
      </c>
      <c r="L405" s="177">
        <v>57505</v>
      </c>
      <c r="M405" s="289">
        <v>2252</v>
      </c>
      <c r="N405" s="177">
        <f>+'K19'!Z405</f>
        <v>59153</v>
      </c>
    </row>
    <row r="406" spans="1:14" ht="13">
      <c r="A406" s="1">
        <v>5424</v>
      </c>
      <c r="B406" s="2" t="s">
        <v>235</v>
      </c>
      <c r="C406" s="290">
        <v>2992</v>
      </c>
      <c r="D406" s="177">
        <v>53448</v>
      </c>
      <c r="E406" s="289">
        <v>2922</v>
      </c>
      <c r="F406" s="177">
        <v>56189</v>
      </c>
      <c r="G406" s="289">
        <v>2861</v>
      </c>
      <c r="H406" s="177">
        <v>61736</v>
      </c>
      <c r="I406" s="289">
        <v>2876</v>
      </c>
      <c r="J406" s="177">
        <v>63968</v>
      </c>
      <c r="K406" s="289">
        <v>2877</v>
      </c>
      <c r="L406" s="177">
        <v>64289</v>
      </c>
      <c r="M406" s="289">
        <v>2847</v>
      </c>
      <c r="N406" s="177">
        <f>+'K19'!Z406</f>
        <v>65153</v>
      </c>
    </row>
    <row r="407" spans="1:14" ht="13">
      <c r="A407" s="1">
        <v>5425</v>
      </c>
      <c r="B407" s="2" t="s">
        <v>236</v>
      </c>
      <c r="C407" s="290">
        <v>1941</v>
      </c>
      <c r="D407" s="177">
        <v>38933</v>
      </c>
      <c r="E407" s="289">
        <v>1898</v>
      </c>
      <c r="F407" s="177">
        <v>45189</v>
      </c>
      <c r="G407" s="289">
        <v>1865</v>
      </c>
      <c r="H407" s="177">
        <v>43833</v>
      </c>
      <c r="I407" s="289">
        <v>1890</v>
      </c>
      <c r="J407" s="177">
        <v>47106</v>
      </c>
      <c r="K407" s="289">
        <v>1856</v>
      </c>
      <c r="L407" s="177">
        <v>51883</v>
      </c>
      <c r="M407" s="289">
        <v>1841</v>
      </c>
      <c r="N407" s="177">
        <f>+'K19'!Z407</f>
        <v>50896</v>
      </c>
    </row>
    <row r="408" spans="1:14" ht="13">
      <c r="A408" s="1">
        <v>5426</v>
      </c>
      <c r="B408" s="2" t="s">
        <v>237</v>
      </c>
      <c r="C408" s="290">
        <v>2221</v>
      </c>
      <c r="D408" s="177">
        <v>39815</v>
      </c>
      <c r="E408" s="289">
        <v>2182</v>
      </c>
      <c r="F408" s="177">
        <v>43608</v>
      </c>
      <c r="G408" s="289">
        <v>2150</v>
      </c>
      <c r="H408" s="177">
        <v>44224</v>
      </c>
      <c r="I408" s="289">
        <v>2132</v>
      </c>
      <c r="J408" s="177">
        <v>48957</v>
      </c>
      <c r="K408" s="289">
        <v>2132</v>
      </c>
      <c r="L408" s="177">
        <v>51110</v>
      </c>
      <c r="M408" s="289">
        <v>2097</v>
      </c>
      <c r="N408" s="177">
        <f>+'K19'!Z408</f>
        <v>51415</v>
      </c>
    </row>
    <row r="409" spans="1:14" ht="13">
      <c r="A409" s="1">
        <v>5427</v>
      </c>
      <c r="B409" s="2" t="s">
        <v>238</v>
      </c>
      <c r="C409" s="290">
        <v>2881</v>
      </c>
      <c r="D409" s="177">
        <v>49091</v>
      </c>
      <c r="E409" s="289">
        <v>2895</v>
      </c>
      <c r="F409" s="177">
        <v>53859</v>
      </c>
      <c r="G409" s="289">
        <v>2920</v>
      </c>
      <c r="H409" s="177">
        <v>62594</v>
      </c>
      <c r="I409" s="289">
        <v>2912</v>
      </c>
      <c r="J409" s="177">
        <v>64296</v>
      </c>
      <c r="K409" s="289">
        <v>2925</v>
      </c>
      <c r="L409" s="177">
        <v>69371</v>
      </c>
      <c r="M409" s="289">
        <v>2917</v>
      </c>
      <c r="N409" s="177">
        <f>+'K19'!Z409</f>
        <v>71052</v>
      </c>
    </row>
    <row r="410" spans="1:14" ht="13">
      <c r="A410" s="1">
        <v>5428</v>
      </c>
      <c r="B410" s="2" t="s">
        <v>239</v>
      </c>
      <c r="C410" s="290">
        <v>4854</v>
      </c>
      <c r="D410" s="177">
        <v>86034</v>
      </c>
      <c r="E410" s="289">
        <v>4882</v>
      </c>
      <c r="F410" s="177">
        <v>93075</v>
      </c>
      <c r="G410" s="289">
        <v>4895</v>
      </c>
      <c r="H410" s="177">
        <v>104420</v>
      </c>
      <c r="I410" s="289">
        <v>4919</v>
      </c>
      <c r="J410" s="177">
        <v>109786</v>
      </c>
      <c r="K410" s="289">
        <v>4944</v>
      </c>
      <c r="L410" s="177">
        <v>111919</v>
      </c>
      <c r="M410" s="289">
        <v>4909</v>
      </c>
      <c r="N410" s="177">
        <f>+'K19'!Z410</f>
        <v>116546</v>
      </c>
    </row>
    <row r="411" spans="1:14" ht="13">
      <c r="A411" s="1">
        <v>5429</v>
      </c>
      <c r="B411" s="2" t="s">
        <v>240</v>
      </c>
      <c r="C411" s="290">
        <v>1234</v>
      </c>
      <c r="D411" s="177">
        <v>21009</v>
      </c>
      <c r="E411" s="289">
        <v>1226</v>
      </c>
      <c r="F411" s="177">
        <v>27192</v>
      </c>
      <c r="G411" s="289">
        <v>1231</v>
      </c>
      <c r="H411" s="177">
        <v>30668</v>
      </c>
      <c r="I411" s="289">
        <v>1233</v>
      </c>
      <c r="J411" s="177">
        <v>30275</v>
      </c>
      <c r="K411" s="289">
        <v>1224</v>
      </c>
      <c r="L411" s="177">
        <v>32637</v>
      </c>
      <c r="M411" s="289">
        <v>1202</v>
      </c>
      <c r="N411" s="177">
        <f>+'K19'!Z411</f>
        <v>32765</v>
      </c>
    </row>
    <row r="412" spans="1:14" ht="13">
      <c r="A412" s="1">
        <v>5430</v>
      </c>
      <c r="B412" s="2" t="s">
        <v>244</v>
      </c>
      <c r="C412" s="290">
        <v>2931</v>
      </c>
      <c r="D412" s="177">
        <v>43023</v>
      </c>
      <c r="E412" s="289">
        <v>2914</v>
      </c>
      <c r="F412" s="177">
        <v>46407</v>
      </c>
      <c r="G412" s="289">
        <v>2956</v>
      </c>
      <c r="H412" s="177">
        <v>49253</v>
      </c>
      <c r="I412" s="289">
        <v>2938</v>
      </c>
      <c r="J412" s="177">
        <v>51161</v>
      </c>
      <c r="K412" s="289">
        <v>2946</v>
      </c>
      <c r="L412" s="177">
        <v>56500</v>
      </c>
      <c r="M412" s="289">
        <v>2924</v>
      </c>
      <c r="N412" s="177">
        <f>+'K19'!Z412</f>
        <v>57512</v>
      </c>
    </row>
    <row r="413" spans="1:14" ht="13">
      <c r="A413" s="1">
        <v>5432</v>
      </c>
      <c r="B413" s="2" t="s">
        <v>246</v>
      </c>
      <c r="C413" s="290">
        <v>1027</v>
      </c>
      <c r="D413" s="177">
        <v>18345</v>
      </c>
      <c r="E413" s="289">
        <v>989</v>
      </c>
      <c r="F413" s="177">
        <v>19096</v>
      </c>
      <c r="G413" s="289">
        <v>951</v>
      </c>
      <c r="H413" s="177">
        <v>20080</v>
      </c>
      <c r="I413" s="289">
        <v>968</v>
      </c>
      <c r="J413" s="177">
        <v>22235</v>
      </c>
      <c r="K413" s="289">
        <v>941</v>
      </c>
      <c r="L413" s="177">
        <v>21026</v>
      </c>
      <c r="M413" s="289">
        <v>917</v>
      </c>
      <c r="N413" s="177">
        <f>+'K19'!Z413</f>
        <v>20523</v>
      </c>
    </row>
    <row r="414" spans="1:14" ht="13">
      <c r="A414" s="1">
        <v>5433</v>
      </c>
      <c r="B414" s="2" t="s">
        <v>247</v>
      </c>
      <c r="C414" s="290">
        <v>1037</v>
      </c>
      <c r="D414" s="177">
        <v>16494</v>
      </c>
      <c r="E414" s="289">
        <v>1041</v>
      </c>
      <c r="F414" s="177">
        <v>19180</v>
      </c>
      <c r="G414" s="289">
        <v>1054</v>
      </c>
      <c r="H414" s="177">
        <v>20250</v>
      </c>
      <c r="I414" s="289">
        <v>1037</v>
      </c>
      <c r="J414" s="177">
        <v>21765</v>
      </c>
      <c r="K414" s="289">
        <v>1022</v>
      </c>
      <c r="L414" s="177">
        <v>22383</v>
      </c>
      <c r="M414" s="289">
        <v>1045</v>
      </c>
      <c r="N414" s="177">
        <f>+'K19'!Z414</f>
        <v>23442</v>
      </c>
    </row>
    <row r="415" spans="1:14" ht="13">
      <c r="A415" s="1">
        <v>5434</v>
      </c>
      <c r="B415" s="2" t="s">
        <v>249</v>
      </c>
      <c r="C415" s="290">
        <v>1241</v>
      </c>
      <c r="D415" s="177">
        <v>26699</v>
      </c>
      <c r="E415" s="289">
        <v>1241</v>
      </c>
      <c r="F415" s="177">
        <v>27733</v>
      </c>
      <c r="G415" s="289">
        <v>1215</v>
      </c>
      <c r="H415" s="177">
        <v>28417</v>
      </c>
      <c r="I415" s="289">
        <v>1204</v>
      </c>
      <c r="J415" s="177">
        <v>31575</v>
      </c>
      <c r="K415" s="289">
        <v>1231</v>
      </c>
      <c r="L415" s="177">
        <v>34428</v>
      </c>
      <c r="M415" s="289">
        <v>1235</v>
      </c>
      <c r="N415" s="177">
        <f>+'K19'!Z415</f>
        <v>33282</v>
      </c>
    </row>
    <row r="416" spans="1:14" ht="13">
      <c r="A416" s="1">
        <v>5435</v>
      </c>
      <c r="B416" s="2" t="s">
        <v>250</v>
      </c>
      <c r="C416" s="290">
        <v>3213</v>
      </c>
      <c r="D416" s="177">
        <v>65401</v>
      </c>
      <c r="E416" s="289">
        <v>3278</v>
      </c>
      <c r="F416" s="177">
        <v>72134</v>
      </c>
      <c r="G416" s="289">
        <v>3276</v>
      </c>
      <c r="H416" s="177">
        <v>77401</v>
      </c>
      <c r="I416" s="289">
        <v>3291</v>
      </c>
      <c r="J416" s="177">
        <v>83829</v>
      </c>
      <c r="K416" s="289">
        <v>3239</v>
      </c>
      <c r="L416" s="177">
        <v>87685</v>
      </c>
      <c r="M416" s="289">
        <v>3218</v>
      </c>
      <c r="N416" s="177">
        <f>+'K19'!Z416</f>
        <v>88642</v>
      </c>
    </row>
    <row r="417" spans="1:14" ht="13">
      <c r="A417" s="1">
        <v>5436</v>
      </c>
      <c r="B417" s="2" t="s">
        <v>251</v>
      </c>
      <c r="C417" s="290">
        <v>3963</v>
      </c>
      <c r="D417" s="177">
        <v>76473</v>
      </c>
      <c r="E417" s="289">
        <v>3925</v>
      </c>
      <c r="F417" s="177">
        <v>83751</v>
      </c>
      <c r="G417" s="289">
        <v>3978</v>
      </c>
      <c r="H417" s="177">
        <v>90906</v>
      </c>
      <c r="I417" s="289">
        <v>3971</v>
      </c>
      <c r="J417" s="177">
        <v>92125</v>
      </c>
      <c r="K417" s="289">
        <v>3964</v>
      </c>
      <c r="L417" s="177">
        <v>95910</v>
      </c>
      <c r="M417" s="289">
        <v>3944</v>
      </c>
      <c r="N417" s="177">
        <f>+'K19'!Z417</f>
        <v>100811</v>
      </c>
    </row>
    <row r="418" spans="1:14" ht="13">
      <c r="A418" s="1">
        <v>5437</v>
      </c>
      <c r="B418" s="2" t="s">
        <v>252</v>
      </c>
      <c r="C418" s="290">
        <v>2698</v>
      </c>
      <c r="D418" s="177">
        <v>45269</v>
      </c>
      <c r="E418" s="289">
        <v>2708</v>
      </c>
      <c r="F418" s="177">
        <v>49630</v>
      </c>
      <c r="G418" s="289">
        <v>2668</v>
      </c>
      <c r="H418" s="177">
        <v>54018</v>
      </c>
      <c r="I418" s="289">
        <v>2696</v>
      </c>
      <c r="J418" s="177">
        <v>55305</v>
      </c>
      <c r="K418" s="289">
        <v>2701</v>
      </c>
      <c r="L418" s="177">
        <v>56961</v>
      </c>
      <c r="M418" s="289">
        <v>2673</v>
      </c>
      <c r="N418" s="177">
        <f>+'K19'!Z418</f>
        <v>59811</v>
      </c>
    </row>
    <row r="419" spans="1:14" ht="13">
      <c r="A419" s="1">
        <v>5438</v>
      </c>
      <c r="B419" s="2" t="s">
        <v>253</v>
      </c>
      <c r="C419" s="290">
        <v>1341</v>
      </c>
      <c r="D419" s="177">
        <v>24435</v>
      </c>
      <c r="E419" s="289">
        <v>1343</v>
      </c>
      <c r="F419" s="177">
        <v>26851</v>
      </c>
      <c r="G419" s="289">
        <v>1318</v>
      </c>
      <c r="H419" s="177">
        <v>29174</v>
      </c>
      <c r="I419" s="289">
        <v>1330</v>
      </c>
      <c r="J419" s="177">
        <v>31546</v>
      </c>
      <c r="K419" s="289">
        <v>1349</v>
      </c>
      <c r="L419" s="177">
        <v>33468</v>
      </c>
      <c r="M419" s="289">
        <v>1328</v>
      </c>
      <c r="N419" s="177">
        <f>+'K19'!Z419</f>
        <v>35754</v>
      </c>
    </row>
    <row r="420" spans="1:14" ht="13">
      <c r="A420" s="1">
        <v>5439</v>
      </c>
      <c r="B420" s="2" t="s">
        <v>254</v>
      </c>
      <c r="C420" s="290">
        <v>1098</v>
      </c>
      <c r="D420" s="177">
        <v>19365</v>
      </c>
      <c r="E420" s="289">
        <v>1116</v>
      </c>
      <c r="F420" s="177">
        <v>21577</v>
      </c>
      <c r="G420" s="289">
        <v>1139</v>
      </c>
      <c r="H420" s="177">
        <v>24178</v>
      </c>
      <c r="I420" s="289">
        <v>1137</v>
      </c>
      <c r="J420" s="177">
        <v>25362</v>
      </c>
      <c r="K420" s="289">
        <v>1153</v>
      </c>
      <c r="L420" s="177">
        <v>26285</v>
      </c>
      <c r="M420" s="289">
        <v>1169</v>
      </c>
      <c r="N420" s="177">
        <f>+'K19'!Z420</f>
        <v>28086</v>
      </c>
    </row>
    <row r="421" spans="1:14" ht="13">
      <c r="A421" s="1">
        <v>5440</v>
      </c>
      <c r="B421" s="2" t="s">
        <v>255</v>
      </c>
      <c r="C421" s="290">
        <v>1057</v>
      </c>
      <c r="D421" s="177">
        <v>20462</v>
      </c>
      <c r="E421" s="289">
        <v>1020</v>
      </c>
      <c r="F421" s="177">
        <v>20445</v>
      </c>
      <c r="G421" s="289">
        <v>1000</v>
      </c>
      <c r="H421" s="177">
        <v>22785</v>
      </c>
      <c r="I421" s="289">
        <v>991</v>
      </c>
      <c r="J421" s="177">
        <v>25243</v>
      </c>
      <c r="K421" s="289">
        <v>983</v>
      </c>
      <c r="L421" s="177">
        <v>26464</v>
      </c>
      <c r="M421" s="289">
        <v>981</v>
      </c>
      <c r="N421" s="177">
        <f>+'K19'!Z421</f>
        <v>26727</v>
      </c>
    </row>
    <row r="422" spans="1:14" ht="13">
      <c r="A422" s="1">
        <v>5441</v>
      </c>
      <c r="B422" s="2" t="s">
        <v>256</v>
      </c>
      <c r="C422" s="290">
        <v>2883</v>
      </c>
      <c r="D422" s="177">
        <v>55367</v>
      </c>
      <c r="E422" s="289">
        <v>2909</v>
      </c>
      <c r="F422" s="177">
        <v>60979</v>
      </c>
      <c r="G422" s="289">
        <v>2922</v>
      </c>
      <c r="H422" s="177">
        <v>65869</v>
      </c>
      <c r="I422" s="289">
        <v>2911</v>
      </c>
      <c r="J422" s="177">
        <v>67666</v>
      </c>
      <c r="K422" s="289">
        <v>2922</v>
      </c>
      <c r="L422" s="177">
        <v>70134</v>
      </c>
      <c r="M422" s="289">
        <v>2900</v>
      </c>
      <c r="N422" s="177">
        <f>+'K19'!Z422</f>
        <v>74703</v>
      </c>
    </row>
    <row r="423" spans="1:14" ht="13">
      <c r="A423" s="1">
        <v>5442</v>
      </c>
      <c r="B423" s="2" t="s">
        <v>257</v>
      </c>
      <c r="C423" s="290">
        <v>919</v>
      </c>
      <c r="D423" s="177">
        <v>15241</v>
      </c>
      <c r="E423" s="289">
        <v>934</v>
      </c>
      <c r="F423" s="177">
        <v>16586</v>
      </c>
      <c r="G423" s="289">
        <v>959</v>
      </c>
      <c r="H423" s="177">
        <v>17469</v>
      </c>
      <c r="I423" s="289">
        <v>951</v>
      </c>
      <c r="J423" s="177">
        <v>19017</v>
      </c>
      <c r="K423" s="289">
        <v>944</v>
      </c>
      <c r="L423" s="177">
        <v>20492</v>
      </c>
      <c r="M423" s="289">
        <v>941</v>
      </c>
      <c r="N423" s="177">
        <f>+'K19'!Z423</f>
        <v>19666</v>
      </c>
    </row>
    <row r="424" spans="1:14" ht="13">
      <c r="A424" s="1">
        <v>5443</v>
      </c>
      <c r="B424" s="2" t="s">
        <v>258</v>
      </c>
      <c r="C424" s="290">
        <v>2207</v>
      </c>
      <c r="D424" s="177">
        <v>42381</v>
      </c>
      <c r="E424" s="289">
        <v>2235</v>
      </c>
      <c r="F424" s="177">
        <v>46263</v>
      </c>
      <c r="G424" s="289">
        <v>2211</v>
      </c>
      <c r="H424" s="177">
        <v>50872</v>
      </c>
      <c r="I424" s="289">
        <v>2267</v>
      </c>
      <c r="J424" s="177">
        <v>55272</v>
      </c>
      <c r="K424" s="289">
        <v>2263</v>
      </c>
      <c r="L424" s="177">
        <v>61493</v>
      </c>
      <c r="M424" s="289">
        <v>2270</v>
      </c>
      <c r="N424" s="177">
        <f>+'K19'!Z424</f>
        <v>62027</v>
      </c>
    </row>
    <row r="425" spans="1:14" ht="13">
      <c r="A425" s="1">
        <v>5444</v>
      </c>
      <c r="B425" s="4" t="s">
        <v>260</v>
      </c>
      <c r="C425" s="290">
        <v>10090</v>
      </c>
      <c r="D425" s="177">
        <v>236338</v>
      </c>
      <c r="E425" s="289">
        <v>10221</v>
      </c>
      <c r="F425" s="177">
        <v>244837</v>
      </c>
      <c r="G425" s="289">
        <v>10227</v>
      </c>
      <c r="H425" s="177">
        <v>252066</v>
      </c>
      <c r="I425" s="289">
        <v>10199</v>
      </c>
      <c r="J425" s="177">
        <v>260082</v>
      </c>
      <c r="K425" s="289">
        <v>10171</v>
      </c>
      <c r="L425" s="177">
        <v>262229</v>
      </c>
      <c r="M425" s="289">
        <v>10156</v>
      </c>
      <c r="N425" s="177">
        <f>+'K19'!Z425</f>
        <v>271207</v>
      </c>
    </row>
    <row r="426" spans="1:14" ht="13">
      <c r="A426" s="1"/>
      <c r="B426" s="2"/>
      <c r="C426" s="180"/>
      <c r="D426" s="175"/>
      <c r="E426" s="179"/>
      <c r="F426" s="175"/>
      <c r="G426" s="179"/>
      <c r="H426" s="175"/>
      <c r="I426" s="179"/>
      <c r="J426" s="175"/>
      <c r="K426" s="179"/>
      <c r="L426" s="175"/>
      <c r="M426" s="179"/>
    </row>
    <row r="427" spans="1:14" ht="13">
      <c r="A427" s="1"/>
      <c r="B427" s="2" t="s">
        <v>261</v>
      </c>
      <c r="C427" s="757">
        <f t="shared" ref="C427:N427" si="4">SUM(C4:C425)</f>
        <v>5109056</v>
      </c>
      <c r="D427" s="519">
        <f t="shared" si="4"/>
        <v>128883066</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162536856.00000003</v>
      </c>
      <c r="M427" s="519">
        <f t="shared" si="4"/>
        <v>5328212</v>
      </c>
      <c r="N427" s="519">
        <f t="shared" si="4"/>
        <v>170121597</v>
      </c>
    </row>
    <row r="428" spans="1:14">
      <c r="C428" s="5"/>
      <c r="D428" s="5"/>
      <c r="E428" s="5"/>
      <c r="F428" s="5"/>
      <c r="G428" s="5"/>
      <c r="H428" s="5"/>
      <c r="I428" s="5"/>
      <c r="J428" s="5"/>
      <c r="K428" s="5"/>
      <c r="L428" s="5"/>
      <c r="M428" s="5"/>
      <c r="N428" s="5"/>
    </row>
    <row r="429" spans="1:14">
      <c r="C429" s="5"/>
      <c r="D429" s="5"/>
      <c r="E429" s="5"/>
      <c r="F429" s="5"/>
      <c r="G429" s="5"/>
      <c r="H429" s="5"/>
      <c r="I429" s="5"/>
      <c r="J429" s="5"/>
      <c r="K429" s="5"/>
      <c r="L429" s="5"/>
      <c r="M429" s="5"/>
      <c r="N429" s="5"/>
    </row>
    <row r="430" spans="1:14">
      <c r="C430" s="5"/>
      <c r="E430" s="5"/>
      <c r="G430" s="5"/>
      <c r="I430" s="5"/>
      <c r="K430" s="5"/>
      <c r="M430" s="5"/>
    </row>
    <row r="431" spans="1:14" ht="13">
      <c r="A431" s="1"/>
      <c r="B431" s="2" t="s">
        <v>1172</v>
      </c>
      <c r="C431" s="289">
        <v>44976</v>
      </c>
      <c r="D431" s="177">
        <v>1022647</v>
      </c>
      <c r="E431" s="289">
        <v>45281</v>
      </c>
      <c r="F431" s="177">
        <v>1075893</v>
      </c>
      <c r="G431" s="289">
        <v>45820</v>
      </c>
      <c r="H431" s="177">
        <v>1204452</v>
      </c>
      <c r="I431" s="289"/>
      <c r="J431" s="177"/>
      <c r="K431" s="289"/>
      <c r="L431" s="177"/>
      <c r="M431" s="289"/>
    </row>
    <row r="432" spans="1:14" ht="13">
      <c r="A432" s="1"/>
      <c r="B432" s="2" t="s">
        <v>1174</v>
      </c>
      <c r="C432" s="289">
        <v>5719</v>
      </c>
      <c r="D432" s="177">
        <v>111489</v>
      </c>
      <c r="E432" s="289">
        <v>5860</v>
      </c>
      <c r="F432" s="177">
        <v>117824</v>
      </c>
      <c r="G432" s="289">
        <v>5937</v>
      </c>
      <c r="H432" s="177">
        <v>131105</v>
      </c>
      <c r="I432" s="289"/>
      <c r="J432" s="177"/>
      <c r="K432" s="289"/>
      <c r="L432" s="177"/>
      <c r="M432" s="289"/>
    </row>
    <row r="433" spans="1:13" ht="13">
      <c r="A433" s="1"/>
      <c r="B433" s="2" t="s">
        <v>1173</v>
      </c>
      <c r="C433" s="289">
        <v>11509</v>
      </c>
      <c r="D433" s="177">
        <v>240753</v>
      </c>
      <c r="E433" s="289">
        <v>11506</v>
      </c>
      <c r="F433" s="177">
        <v>256597</v>
      </c>
      <c r="G433" s="289">
        <v>11657</v>
      </c>
      <c r="H433" s="177">
        <v>282963</v>
      </c>
      <c r="I433" s="289"/>
      <c r="J433" s="177"/>
      <c r="K433" s="289"/>
      <c r="L433" s="177"/>
      <c r="M433" s="289"/>
    </row>
    <row r="435" spans="1:13" ht="13">
      <c r="A435" s="1"/>
      <c r="B435" s="2" t="s">
        <v>1246</v>
      </c>
      <c r="C435" s="289">
        <v>6646</v>
      </c>
      <c r="D435" s="177">
        <v>119624</v>
      </c>
      <c r="E435" s="289">
        <v>6676</v>
      </c>
      <c r="F435" s="177">
        <v>126661</v>
      </c>
      <c r="G435" s="289">
        <v>6644</v>
      </c>
      <c r="H435" s="177">
        <v>134502</v>
      </c>
      <c r="I435" s="289">
        <v>6628</v>
      </c>
      <c r="J435" s="177">
        <v>138494</v>
      </c>
      <c r="K435" s="289"/>
      <c r="L435" s="177"/>
      <c r="M435" s="289"/>
    </row>
    <row r="436" spans="1:13" ht="13">
      <c r="A436" s="1"/>
      <c r="B436" s="2" t="s">
        <v>1247</v>
      </c>
      <c r="C436" s="289">
        <v>3555</v>
      </c>
      <c r="D436" s="177">
        <v>62373</v>
      </c>
      <c r="E436" s="289">
        <v>3506</v>
      </c>
      <c r="F436" s="177">
        <v>65486</v>
      </c>
      <c r="G436" s="289">
        <v>3531</v>
      </c>
      <c r="H436" s="177">
        <v>71450</v>
      </c>
      <c r="I436" s="289">
        <v>3480</v>
      </c>
      <c r="J436" s="177">
        <v>77883</v>
      </c>
      <c r="K436" s="289"/>
      <c r="L436" s="177"/>
      <c r="M436" s="289"/>
    </row>
    <row r="438" spans="1:13" ht="13">
      <c r="A438" s="1"/>
      <c r="B438" s="2" t="s">
        <v>1248</v>
      </c>
      <c r="C438" s="289">
        <v>10456</v>
      </c>
      <c r="D438" s="177">
        <v>224082</v>
      </c>
      <c r="E438" s="289">
        <v>10661</v>
      </c>
      <c r="F438" s="177">
        <v>243605</v>
      </c>
      <c r="G438" s="289">
        <v>10741</v>
      </c>
      <c r="H438" s="177">
        <v>265507</v>
      </c>
      <c r="I438" s="289">
        <v>10861</v>
      </c>
      <c r="J438" s="177">
        <v>280234</v>
      </c>
      <c r="K438" s="289"/>
      <c r="L438" s="177"/>
      <c r="M438" s="289"/>
    </row>
    <row r="439" spans="1:13" ht="13">
      <c r="A439" s="1"/>
      <c r="B439" s="2" t="s">
        <v>1249</v>
      </c>
      <c r="C439" s="289">
        <v>3091</v>
      </c>
      <c r="D439" s="177">
        <v>66179</v>
      </c>
      <c r="E439" s="289">
        <v>3114</v>
      </c>
      <c r="F439" s="177">
        <v>66832</v>
      </c>
      <c r="G439" s="289">
        <v>3163</v>
      </c>
      <c r="H439" s="177">
        <v>73184</v>
      </c>
      <c r="I439" s="289">
        <v>3176</v>
      </c>
      <c r="J439" s="177">
        <v>79136</v>
      </c>
      <c r="K439" s="289"/>
      <c r="L439" s="177"/>
      <c r="M439" s="289"/>
    </row>
    <row r="441" spans="1:13" ht="13">
      <c r="A441" s="755"/>
      <c r="B441" s="756" t="s">
        <v>1250</v>
      </c>
      <c r="C441" s="290">
        <v>43258</v>
      </c>
      <c r="D441" s="182">
        <v>916081</v>
      </c>
      <c r="E441" s="290">
        <v>43506</v>
      </c>
      <c r="F441" s="182">
        <v>1012148</v>
      </c>
      <c r="G441" s="290">
        <v>43867</v>
      </c>
      <c r="H441" s="182">
        <v>1084798</v>
      </c>
      <c r="I441" s="290">
        <v>44082</v>
      </c>
      <c r="J441" s="182">
        <v>1144766</v>
      </c>
      <c r="K441" s="290"/>
      <c r="L441" s="182"/>
      <c r="M441" s="290"/>
    </row>
    <row r="442" spans="1:13" ht="13">
      <c r="A442" s="1"/>
      <c r="B442" s="2" t="s">
        <v>1251</v>
      </c>
      <c r="C442" s="289">
        <v>2460</v>
      </c>
      <c r="D442" s="177">
        <v>51604</v>
      </c>
      <c r="E442" s="289">
        <v>2463</v>
      </c>
      <c r="F442" s="177">
        <v>54547</v>
      </c>
      <c r="G442" s="289">
        <v>2474</v>
      </c>
      <c r="H442" s="177">
        <v>58777</v>
      </c>
      <c r="I442" s="289">
        <v>2475</v>
      </c>
      <c r="J442" s="177">
        <v>60226</v>
      </c>
      <c r="K442" s="289"/>
      <c r="L442" s="177"/>
      <c r="M442" s="289"/>
    </row>
    <row r="444" spans="1:13" ht="13">
      <c r="A444" s="1"/>
      <c r="B444" s="2" t="s">
        <v>1252</v>
      </c>
      <c r="C444" s="289">
        <v>21403</v>
      </c>
      <c r="D444" s="177">
        <v>546861</v>
      </c>
      <c r="E444" s="289">
        <v>21483</v>
      </c>
      <c r="F444" s="177">
        <v>584105</v>
      </c>
      <c r="G444" s="289">
        <v>21621</v>
      </c>
      <c r="H444" s="177">
        <v>645403</v>
      </c>
      <c r="I444" s="289">
        <v>21748</v>
      </c>
      <c r="J444" s="177">
        <v>663186</v>
      </c>
      <c r="K444" s="289"/>
      <c r="L444" s="177"/>
      <c r="M444" s="289"/>
    </row>
    <row r="445" spans="1:13" ht="13">
      <c r="A445" s="1"/>
      <c r="B445" s="2" t="s">
        <v>1253</v>
      </c>
      <c r="C445" s="289">
        <v>4927</v>
      </c>
      <c r="D445" s="177">
        <v>122568</v>
      </c>
      <c r="E445" s="289">
        <v>4962</v>
      </c>
      <c r="F445" s="177">
        <v>126973</v>
      </c>
      <c r="G445" s="289">
        <v>4971</v>
      </c>
      <c r="H445" s="177">
        <v>142036</v>
      </c>
      <c r="I445" s="289">
        <v>4928</v>
      </c>
      <c r="J445" s="177">
        <v>155443</v>
      </c>
      <c r="K445" s="289"/>
      <c r="L445" s="177"/>
      <c r="M445" s="289"/>
    </row>
    <row r="447" spans="1:13" ht="13">
      <c r="B447" s="2" t="s">
        <v>1397</v>
      </c>
      <c r="C447" s="289">
        <v>4993</v>
      </c>
      <c r="D447" s="289">
        <v>89117</v>
      </c>
      <c r="E447" s="289">
        <v>5035</v>
      </c>
      <c r="F447" s="289">
        <v>92381</v>
      </c>
      <c r="G447" s="289">
        <v>5147</v>
      </c>
      <c r="H447" s="289">
        <v>100305</v>
      </c>
      <c r="I447" s="289">
        <v>5178</v>
      </c>
      <c r="J447" s="289">
        <v>106505</v>
      </c>
      <c r="K447" s="289">
        <v>5187</v>
      </c>
      <c r="L447" s="289">
        <v>116344</v>
      </c>
      <c r="M447" s="289"/>
    </row>
    <row r="448" spans="1:13" ht="13">
      <c r="B448" s="2" t="s">
        <v>1398</v>
      </c>
      <c r="C448" s="289">
        <v>3549</v>
      </c>
      <c r="D448" s="289">
        <v>68186</v>
      </c>
      <c r="E448" s="289">
        <v>3567</v>
      </c>
      <c r="F448" s="289">
        <v>71580</v>
      </c>
      <c r="G448" s="289">
        <v>3582</v>
      </c>
      <c r="H448" s="289">
        <v>74820</v>
      </c>
      <c r="I448" s="289">
        <v>3614</v>
      </c>
      <c r="J448" s="289">
        <v>78942</v>
      </c>
      <c r="K448" s="289">
        <v>3625</v>
      </c>
      <c r="L448" s="289">
        <v>81464</v>
      </c>
      <c r="M448" s="289"/>
    </row>
    <row r="450" spans="2:13" ht="13">
      <c r="B450" s="2" t="s">
        <v>1399</v>
      </c>
      <c r="C450" s="289">
        <v>1223</v>
      </c>
      <c r="D450" s="289">
        <v>21735</v>
      </c>
      <c r="E450" s="289">
        <v>1221</v>
      </c>
      <c r="F450" s="289">
        <v>22709</v>
      </c>
      <c r="G450" s="289">
        <v>1200</v>
      </c>
      <c r="H450" s="289">
        <v>24138</v>
      </c>
      <c r="I450" s="289">
        <v>1198</v>
      </c>
      <c r="J450" s="289">
        <v>24790</v>
      </c>
      <c r="K450" s="289">
        <v>1175</v>
      </c>
      <c r="L450" s="289">
        <v>26735</v>
      </c>
      <c r="M450" s="289"/>
    </row>
    <row r="451" spans="2:13" ht="13">
      <c r="B451" s="2" t="s">
        <v>1400</v>
      </c>
      <c r="C451" s="289">
        <v>7134</v>
      </c>
      <c r="D451" s="289">
        <v>151200</v>
      </c>
      <c r="E451" s="289">
        <v>7155</v>
      </c>
      <c r="F451" s="289">
        <v>163009</v>
      </c>
      <c r="G451" s="289">
        <v>7168</v>
      </c>
      <c r="H451" s="289">
        <v>178833</v>
      </c>
      <c r="I451" s="289">
        <v>7218</v>
      </c>
      <c r="J451" s="289">
        <v>186231</v>
      </c>
      <c r="K451" s="289">
        <v>7195</v>
      </c>
      <c r="L451" s="289">
        <v>181528</v>
      </c>
      <c r="M451" s="289"/>
    </row>
    <row r="452" spans="2:13">
      <c r="D452" s="5">
        <f>SUM(D450:D451)</f>
        <v>172935</v>
      </c>
    </row>
    <row r="456" spans="2:13">
      <c r="E456" s="5"/>
      <c r="K456" s="5"/>
      <c r="M456" s="5"/>
    </row>
    <row r="457" spans="2:13">
      <c r="E457" s="5"/>
      <c r="K457" s="5"/>
      <c r="M457" s="5"/>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93" activePane="bottomLeft" state="frozenSplit"/>
      <selection activeCell="J9" sqref="J9"/>
      <selection pane="bottomLeft" activeCell="H131" sqref="H131"/>
    </sheetView>
  </sheetViews>
  <sheetFormatPr baseColWidth="10" defaultColWidth="9.1796875" defaultRowHeight="13"/>
  <cols>
    <col min="1" max="1" width="58" style="37" customWidth="1"/>
    <col min="2" max="5" width="11.7265625" style="37" customWidth="1"/>
    <col min="6" max="6" width="12" style="37" bestFit="1" customWidth="1"/>
    <col min="7" max="7" width="13.54296875" style="37" customWidth="1"/>
    <col min="8" max="8" width="12" style="37" customWidth="1"/>
    <col min="9" max="9" width="12.54296875" style="37" bestFit="1" customWidth="1"/>
    <col min="10" max="10" width="12.54296875" style="37" customWidth="1"/>
    <col min="11" max="11" width="12.7265625" style="37" customWidth="1"/>
    <col min="12" max="12" width="14.81640625" style="37" bestFit="1" customWidth="1"/>
    <col min="13" max="13" width="11.81640625" style="37" customWidth="1"/>
    <col min="14" max="14" width="13" style="37" customWidth="1"/>
    <col min="15" max="15" width="9.54296875" style="37" bestFit="1" customWidth="1"/>
    <col min="16" max="16384" width="9.1796875" style="37"/>
  </cols>
  <sheetData>
    <row r="1" spans="1:22">
      <c r="A1" s="215" t="str">
        <f>C3</f>
        <v>HEIM (FRA 1.1.2020)</v>
      </c>
      <c r="B1" s="35"/>
      <c r="C1" s="35"/>
      <c r="D1" s="35"/>
      <c r="E1" s="35"/>
      <c r="F1" s="75" t="s">
        <v>719</v>
      </c>
      <c r="G1" s="35"/>
      <c r="H1" s="35"/>
      <c r="I1" s="35"/>
      <c r="J1" s="35"/>
      <c r="K1" s="35"/>
      <c r="L1" s="35"/>
      <c r="M1" s="35"/>
      <c r="N1" s="35"/>
      <c r="O1" s="35"/>
      <c r="P1" s="35"/>
      <c r="Q1" s="35"/>
      <c r="R1" s="35">
        <f>B3/VLOOKUP(B$3,'K1'!$A$4:$U$482,1,TRUE)</f>
        <v>1</v>
      </c>
      <c r="S1" s="35"/>
      <c r="T1" s="35"/>
      <c r="U1" s="35"/>
      <c r="V1" s="35"/>
    </row>
    <row r="2" spans="1:22" ht="105" customHeight="1">
      <c r="A2" s="39"/>
      <c r="B2" s="114"/>
      <c r="C2" s="39"/>
      <c r="D2" s="39"/>
      <c r="E2" s="39"/>
      <c r="F2" s="39"/>
      <c r="G2" s="39"/>
      <c r="H2" s="39"/>
      <c r="I2" s="39"/>
      <c r="J2" s="39"/>
      <c r="K2" s="39"/>
      <c r="L2" s="39"/>
      <c r="M2" s="39"/>
      <c r="N2" s="39"/>
      <c r="O2" s="39"/>
      <c r="P2" s="39"/>
      <c r="Q2" s="39"/>
      <c r="R2" s="39"/>
      <c r="S2" s="39"/>
      <c r="T2" s="39"/>
      <c r="U2" s="39"/>
      <c r="V2" s="39"/>
    </row>
    <row r="3" spans="1:22" ht="20.25" customHeight="1">
      <c r="A3" s="212" t="s">
        <v>720</v>
      </c>
      <c r="B3" s="213">
        <f>Inngang!C8</f>
        <v>5055</v>
      </c>
      <c r="C3" s="214" t="str">
        <f>IF(R1=1,VLOOKUP(B$3,'K1'!$A$4:$U$482,2),"Kommunenr. er ikke i bruk")</f>
        <v>HEIM (FRA 1.1.2020)</v>
      </c>
      <c r="D3" s="39"/>
      <c r="E3" s="39"/>
      <c r="F3" s="39"/>
      <c r="G3" s="39"/>
      <c r="H3" s="854"/>
      <c r="I3" s="39"/>
      <c r="J3" s="39"/>
      <c r="K3" s="39"/>
      <c r="L3" s="991"/>
      <c r="M3" s="39"/>
      <c r="N3" s="39"/>
      <c r="O3" s="39"/>
      <c r="P3" s="39"/>
      <c r="Q3" s="39"/>
      <c r="R3" s="991"/>
      <c r="S3" s="39"/>
      <c r="T3" s="39"/>
      <c r="U3" s="39"/>
      <c r="V3" s="39"/>
    </row>
    <row r="4" spans="1:22" ht="18" customHeight="1">
      <c r="A4" s="56"/>
      <c r="B4" s="56"/>
      <c r="C4" s="39"/>
      <c r="D4" s="39"/>
      <c r="E4" s="39"/>
      <c r="F4" s="39"/>
      <c r="G4" s="39"/>
      <c r="H4" s="39"/>
      <c r="I4" s="39"/>
      <c r="J4" s="39"/>
      <c r="K4" s="39"/>
      <c r="L4" s="855"/>
      <c r="M4" s="39"/>
      <c r="N4" s="39"/>
      <c r="O4" s="39"/>
      <c r="P4" s="39"/>
      <c r="Q4" s="39"/>
      <c r="R4" s="39"/>
      <c r="S4" s="39"/>
      <c r="T4" s="39"/>
      <c r="U4" s="39"/>
      <c r="V4" s="39"/>
    </row>
    <row r="5" spans="1:22" ht="19.899999999999999" customHeight="1">
      <c r="A5" s="1256" t="s">
        <v>1875</v>
      </c>
      <c r="B5" s="1248"/>
      <c r="C5" s="1248"/>
      <c r="D5" s="1248"/>
      <c r="E5" s="1248"/>
      <c r="F5" s="1248"/>
      <c r="G5" s="1248"/>
      <c r="H5" s="1246"/>
      <c r="I5" s="1246"/>
      <c r="J5" s="1246"/>
      <c r="K5" s="39"/>
      <c r="L5" s="855"/>
      <c r="M5" s="39"/>
      <c r="N5" s="39"/>
      <c r="O5" s="39"/>
      <c r="P5" s="39"/>
      <c r="Q5" s="39"/>
      <c r="R5" s="39"/>
      <c r="S5" s="39"/>
      <c r="T5" s="39"/>
      <c r="U5" s="39"/>
      <c r="V5" s="39"/>
    </row>
    <row r="6" spans="1:22" ht="19.899999999999999" customHeight="1">
      <c r="A6" s="1256" t="s">
        <v>700</v>
      </c>
      <c r="B6" s="1248"/>
      <c r="C6" s="1248"/>
      <c r="D6" s="1248"/>
      <c r="E6" s="1248"/>
      <c r="F6" s="1248"/>
      <c r="G6" s="1248"/>
      <c r="H6" s="1246"/>
      <c r="I6" s="1246"/>
      <c r="J6" s="1246"/>
      <c r="K6" s="39"/>
      <c r="L6" s="855"/>
      <c r="M6" s="39"/>
      <c r="N6" s="39"/>
      <c r="O6" s="39"/>
      <c r="P6" s="39"/>
      <c r="Q6" s="39"/>
      <c r="R6" s="39"/>
      <c r="S6" s="39"/>
      <c r="T6" s="39"/>
      <c r="U6" s="39"/>
      <c r="V6" s="39"/>
    </row>
    <row r="7" spans="1:22" ht="19.899999999999999" customHeight="1" thickBot="1">
      <c r="A7" s="1257" t="s">
        <v>52</v>
      </c>
      <c r="B7" s="1258"/>
      <c r="C7" s="1258"/>
      <c r="D7" s="1258"/>
      <c r="E7" s="1258"/>
      <c r="F7" s="1258"/>
      <c r="G7" s="1258"/>
      <c r="H7" s="1245"/>
      <c r="I7" s="1245"/>
      <c r="J7" s="1246"/>
      <c r="K7" s="39"/>
      <c r="L7" s="855"/>
      <c r="M7" s="39"/>
      <c r="N7" s="39"/>
      <c r="O7" s="39"/>
      <c r="P7" s="39"/>
      <c r="Q7" s="39"/>
      <c r="R7" s="39"/>
      <c r="S7" s="39"/>
      <c r="T7" s="39"/>
      <c r="U7" s="39"/>
      <c r="V7" s="39"/>
    </row>
    <row r="8" spans="1:22" ht="19.899999999999999" customHeight="1">
      <c r="A8" s="325" t="s">
        <v>51</v>
      </c>
      <c r="B8" s="326"/>
      <c r="C8" s="326"/>
      <c r="D8" s="326"/>
      <c r="E8" s="326"/>
      <c r="F8" s="326"/>
      <c r="G8" s="326"/>
      <c r="H8" s="327">
        <v>2024</v>
      </c>
      <c r="I8" s="327">
        <v>2025</v>
      </c>
      <c r="J8" s="326">
        <v>2026</v>
      </c>
      <c r="K8" s="39"/>
      <c r="L8" s="855"/>
      <c r="M8" s="39"/>
      <c r="N8" s="39"/>
      <c r="O8" s="39"/>
      <c r="P8" s="39"/>
      <c r="Q8" s="39"/>
      <c r="R8" s="39"/>
      <c r="S8" s="39"/>
      <c r="T8" s="39"/>
      <c r="U8" s="39"/>
      <c r="V8" s="39"/>
    </row>
    <row r="9" spans="1:22" ht="19.899999999999999" customHeight="1">
      <c r="A9" s="256" t="s">
        <v>2558</v>
      </c>
      <c r="B9" s="160"/>
      <c r="C9" s="668"/>
      <c r="D9" s="668"/>
      <c r="E9" s="668"/>
      <c r="F9" s="668"/>
      <c r="G9" s="668"/>
      <c r="H9" s="328">
        <v>0</v>
      </c>
      <c r="I9" s="328">
        <v>0</v>
      </c>
      <c r="J9" s="137">
        <v>0</v>
      </c>
      <c r="K9" s="987"/>
      <c r="L9" s="992"/>
      <c r="M9" s="987"/>
      <c r="N9" s="39"/>
      <c r="O9" s="39"/>
      <c r="P9" s="39"/>
      <c r="Q9" s="39"/>
      <c r="R9" s="39"/>
      <c r="S9" s="39"/>
      <c r="T9" s="39"/>
      <c r="U9" s="39"/>
      <c r="V9" s="39"/>
    </row>
    <row r="10" spans="1:22" ht="19.899999999999999" hidden="1" customHeight="1">
      <c r="A10" s="256" t="s">
        <v>2571</v>
      </c>
      <c r="B10" s="160"/>
      <c r="C10" s="668"/>
      <c r="D10" s="668"/>
      <c r="E10" s="668"/>
      <c r="F10" s="987"/>
      <c r="G10" s="987"/>
      <c r="H10" s="39"/>
      <c r="I10" s="1180"/>
      <c r="J10" s="39"/>
      <c r="K10" s="987"/>
      <c r="L10" s="987"/>
      <c r="M10" s="987"/>
      <c r="N10" s="39"/>
      <c r="O10" s="39"/>
      <c r="P10" s="39"/>
      <c r="Q10" s="39"/>
      <c r="R10" s="39"/>
      <c r="S10" s="39"/>
      <c r="T10" s="39"/>
      <c r="U10" s="39"/>
      <c r="V10" s="39"/>
    </row>
    <row r="11" spans="1:22" ht="19.899999999999999" customHeight="1">
      <c r="A11" s="256" t="s">
        <v>2559</v>
      </c>
      <c r="B11" s="160"/>
      <c r="C11" s="668"/>
      <c r="D11" s="668"/>
      <c r="E11" s="668"/>
      <c r="F11" s="668"/>
      <c r="G11" s="668"/>
      <c r="H11" s="137">
        <v>0</v>
      </c>
      <c r="I11" s="137">
        <v>0</v>
      </c>
      <c r="J11" s="137">
        <v>0</v>
      </c>
      <c r="K11" s="1071"/>
      <c r="L11" s="63"/>
      <c r="M11" s="987"/>
      <c r="N11" s="39"/>
      <c r="O11" s="39"/>
      <c r="P11" s="39"/>
      <c r="Q11" s="39"/>
      <c r="R11" s="39"/>
      <c r="S11" s="39"/>
      <c r="T11" s="39"/>
      <c r="U11" s="39"/>
      <c r="V11" s="39"/>
    </row>
    <row r="12" spans="1:22" ht="19.899999999999999" customHeight="1">
      <c r="A12" s="258" t="s">
        <v>2040</v>
      </c>
      <c r="B12" s="257"/>
      <c r="C12" s="257"/>
      <c r="D12" s="257"/>
      <c r="E12" s="257"/>
      <c r="F12" s="257"/>
      <c r="G12" s="257"/>
      <c r="H12" s="257">
        <f>H9+H11</f>
        <v>0</v>
      </c>
      <c r="I12" s="257">
        <f>I9+I11</f>
        <v>0</v>
      </c>
      <c r="J12" s="257">
        <f>J9+J11</f>
        <v>0</v>
      </c>
      <c r="K12" s="987"/>
      <c r="L12" s="39"/>
      <c r="M12" s="39"/>
      <c r="N12" s="39"/>
      <c r="O12" s="39"/>
      <c r="P12" s="39"/>
      <c r="Q12" s="39"/>
      <c r="R12" s="39"/>
      <c r="S12" s="39"/>
      <c r="T12" s="39"/>
      <c r="U12" s="39"/>
      <c r="V12" s="39"/>
    </row>
    <row r="13" spans="1:22" ht="19.899999999999999" customHeight="1">
      <c r="A13" s="1187" t="s">
        <v>2639</v>
      </c>
      <c r="B13" s="793"/>
      <c r="C13" s="793"/>
      <c r="D13" s="980"/>
      <c r="E13" s="979"/>
      <c r="F13" s="979"/>
      <c r="G13" s="979"/>
      <c r="H13" s="1186">
        <f>184665.998+750000*7/8</f>
        <v>840915.99800000002</v>
      </c>
      <c r="I13" s="39"/>
      <c r="J13" s="39"/>
      <c r="K13" s="991"/>
      <c r="L13" s="39"/>
      <c r="M13" s="39"/>
      <c r="N13" s="39"/>
      <c r="O13" s="39"/>
      <c r="P13" s="39"/>
      <c r="Q13" s="39"/>
      <c r="R13" s="39"/>
      <c r="S13" s="39"/>
      <c r="T13" s="39"/>
      <c r="U13" s="39"/>
      <c r="V13" s="39"/>
    </row>
    <row r="14" spans="1:22" ht="19.899999999999999" customHeight="1">
      <c r="A14" s="1187" t="s">
        <v>2640</v>
      </c>
      <c r="B14" s="793"/>
      <c r="C14" s="793"/>
      <c r="D14" s="980"/>
      <c r="E14" s="979"/>
      <c r="F14" s="979"/>
      <c r="G14" s="979"/>
      <c r="H14" s="1186">
        <f>362500*7/8+700000</f>
        <v>1017187.5</v>
      </c>
      <c r="I14" s="39"/>
      <c r="J14" s="39"/>
      <c r="K14" s="991"/>
      <c r="L14" s="39"/>
      <c r="M14" s="39"/>
      <c r="N14" s="39"/>
      <c r="O14" s="39"/>
      <c r="P14" s="39"/>
      <c r="Q14" s="39"/>
      <c r="R14" s="39"/>
      <c r="S14" s="39"/>
      <c r="T14" s="39"/>
      <c r="U14" s="39"/>
      <c r="V14" s="39"/>
    </row>
    <row r="15" spans="1:22" ht="14.25" customHeight="1">
      <c r="A15" s="1161"/>
      <c r="B15" s="793"/>
      <c r="C15" s="793"/>
      <c r="D15" s="980"/>
      <c r="E15" s="979"/>
      <c r="F15" s="979"/>
      <c r="G15" s="979"/>
      <c r="H15" s="1186"/>
      <c r="I15" s="39"/>
      <c r="J15" s="39"/>
      <c r="K15" s="991"/>
      <c r="L15" s="39"/>
      <c r="M15" s="39"/>
      <c r="N15" s="39"/>
      <c r="O15" s="39"/>
      <c r="P15" s="39"/>
      <c r="Q15" s="39"/>
      <c r="R15" s="39"/>
      <c r="S15" s="39"/>
      <c r="T15" s="39"/>
      <c r="U15" s="39"/>
      <c r="V15" s="39"/>
    </row>
    <row r="16" spans="1:22" ht="19.899999999999999" customHeight="1">
      <c r="A16" s="259" t="s">
        <v>2519</v>
      </c>
      <c r="B16" s="255"/>
      <c r="C16" s="721"/>
      <c r="D16" s="721"/>
      <c r="E16" s="721"/>
      <c r="F16" s="721"/>
      <c r="G16" s="721"/>
      <c r="H16" s="721">
        <f>(H12+H13+H14)/(G96+'R23'!$D$109)</f>
        <v>5.1362835396745006E-3</v>
      </c>
      <c r="I16" s="721">
        <f>(I12+I13+I14)/(H12+H13+H14+H96+'R23'!$D$109)</f>
        <v>0</v>
      </c>
      <c r="J16" s="721">
        <f>(J12+J13+J14)/(H12+H13+H14+I12+I13+I14+I96+'R23'!$D$109)</f>
        <v>0</v>
      </c>
      <c r="K16" s="991"/>
      <c r="L16" s="39"/>
      <c r="M16" s="854"/>
      <c r="N16" s="39"/>
      <c r="O16" s="39"/>
      <c r="P16" s="39"/>
      <c r="Q16" s="39"/>
      <c r="R16" s="39"/>
      <c r="S16" s="39"/>
      <c r="T16" s="39"/>
      <c r="U16" s="39"/>
      <c r="V16" s="39"/>
    </row>
    <row r="17" spans="1:22" ht="19.899999999999999" customHeight="1">
      <c r="A17" s="259" t="s">
        <v>2595</v>
      </c>
      <c r="B17" s="255"/>
      <c r="C17" s="721"/>
      <c r="D17" s="721"/>
      <c r="E17" s="721"/>
      <c r="F17" s="721"/>
      <c r="G17" s="721"/>
      <c r="H17" s="721">
        <f>H9/(G92)</f>
        <v>0</v>
      </c>
      <c r="I17" s="721">
        <f>I9/(H92)</f>
        <v>0</v>
      </c>
      <c r="J17" s="721">
        <f>J9/(I92)</f>
        <v>0</v>
      </c>
      <c r="K17" s="39"/>
      <c r="L17" s="39"/>
      <c r="M17" s="854"/>
      <c r="N17" s="39"/>
      <c r="O17" s="39"/>
      <c r="P17" s="39"/>
      <c r="Q17" s="39"/>
      <c r="R17" s="39"/>
      <c r="S17" s="39"/>
      <c r="T17" s="39"/>
      <c r="U17" s="39"/>
      <c r="V17" s="39"/>
    </row>
    <row r="18" spans="1:22" ht="19.899999999999999" customHeight="1">
      <c r="A18" s="259" t="s">
        <v>2596</v>
      </c>
      <c r="B18" s="255"/>
      <c r="C18" s="721"/>
      <c r="D18" s="721"/>
      <c r="E18" s="721"/>
      <c r="F18" s="721"/>
      <c r="G18" s="721"/>
      <c r="H18" s="721">
        <f>(H9+H13)/G96</f>
        <v>4.1860566891505089E-3</v>
      </c>
      <c r="I18" s="721">
        <f>(I9+I13)/H96</f>
        <v>0</v>
      </c>
      <c r="J18" s="721">
        <f>(J9+J13)/I96</f>
        <v>0</v>
      </c>
      <c r="K18" s="39"/>
      <c r="L18" s="39"/>
      <c r="M18" s="854"/>
      <c r="N18" s="39"/>
      <c r="O18" s="39"/>
      <c r="P18" s="39"/>
      <c r="Q18" s="39"/>
      <c r="R18" s="39"/>
      <c r="S18" s="39"/>
      <c r="T18" s="39"/>
      <c r="U18" s="39"/>
      <c r="V18" s="39"/>
    </row>
    <row r="19" spans="1:22" ht="8.25" customHeight="1" thickBot="1">
      <c r="A19" s="990"/>
      <c r="B19" s="260"/>
      <c r="C19" s="260"/>
      <c r="D19" s="813"/>
      <c r="E19" s="813"/>
      <c r="F19" s="813"/>
      <c r="G19" s="813"/>
      <c r="H19" s="813"/>
      <c r="I19" s="1064"/>
      <c r="J19" s="1064"/>
      <c r="K19" s="991"/>
      <c r="L19" s="39"/>
      <c r="M19" s="854"/>
      <c r="N19" s="39"/>
      <c r="O19" s="39"/>
      <c r="P19" s="39"/>
      <c r="Q19" s="39"/>
      <c r="R19" s="39"/>
      <c r="S19" s="39"/>
      <c r="T19" s="39"/>
      <c r="U19" s="39"/>
      <c r="V19" s="39"/>
    </row>
    <row r="20" spans="1:22" ht="17.25" customHeight="1">
      <c r="A20" s="1244" t="s">
        <v>1396</v>
      </c>
      <c r="B20" s="1245"/>
      <c r="C20" s="1245"/>
      <c r="D20" s="1245"/>
      <c r="E20" s="1245"/>
      <c r="F20" s="1245"/>
      <c r="G20" s="1245"/>
      <c r="H20" s="1245"/>
      <c r="I20" s="1246"/>
      <c r="J20" s="1246"/>
      <c r="K20" s="264"/>
      <c r="L20" s="264"/>
      <c r="M20" s="264"/>
      <c r="N20" s="264"/>
      <c r="O20" s="264"/>
      <c r="P20" s="897"/>
      <c r="Q20" s="897"/>
      <c r="R20" s="898"/>
      <c r="S20" s="898"/>
      <c r="T20" s="898"/>
      <c r="U20" s="898"/>
      <c r="V20" s="898"/>
    </row>
    <row r="21" spans="1:22" s="156" customFormat="1" ht="15" customHeight="1">
      <c r="A21" s="1244"/>
      <c r="B21" s="1245"/>
      <c r="C21" s="1245"/>
      <c r="D21" s="1245"/>
      <c r="E21" s="1245"/>
      <c r="F21" s="1245"/>
      <c r="G21" s="1245"/>
      <c r="H21" s="1245"/>
      <c r="I21" s="1246"/>
      <c r="J21" s="1246"/>
      <c r="K21" s="266"/>
      <c r="L21" s="266"/>
      <c r="M21" s="266"/>
      <c r="N21" s="266"/>
      <c r="O21" s="266"/>
      <c r="P21" s="899"/>
      <c r="Q21" s="899"/>
      <c r="R21" s="900"/>
      <c r="S21" s="900"/>
      <c r="T21" s="900"/>
      <c r="U21" s="900"/>
      <c r="V21" s="900"/>
    </row>
    <row r="22" spans="1:22" s="156" customFormat="1" ht="15.75" customHeight="1">
      <c r="A22" s="1244"/>
      <c r="B22" s="1245"/>
      <c r="C22" s="1245"/>
      <c r="D22" s="1245"/>
      <c r="E22" s="1245"/>
      <c r="F22" s="1245"/>
      <c r="G22" s="1245"/>
      <c r="H22" s="1245"/>
      <c r="I22" s="1246"/>
      <c r="J22" s="1246"/>
      <c r="K22" s="267"/>
      <c r="L22" s="267"/>
      <c r="M22" s="267"/>
      <c r="N22" s="267"/>
      <c r="O22" s="267"/>
      <c r="P22" s="901"/>
      <c r="Q22" s="901"/>
      <c r="R22" s="900"/>
      <c r="S22" s="900"/>
      <c r="T22" s="900"/>
      <c r="U22" s="900"/>
      <c r="V22" s="900"/>
    </row>
    <row r="23" spans="1:22" ht="19.899999999999999" customHeight="1">
      <c r="A23" s="1247" t="s">
        <v>717</v>
      </c>
      <c r="B23" s="1248"/>
      <c r="C23" s="1248"/>
      <c r="D23" s="1248"/>
      <c r="E23" s="1248"/>
      <c r="F23" s="1248"/>
      <c r="G23" s="1248"/>
      <c r="H23" s="1246"/>
      <c r="I23" s="1246"/>
      <c r="J23" s="1246"/>
      <c r="K23" s="39"/>
      <c r="L23" s="39"/>
      <c r="M23" s="39"/>
      <c r="N23" s="39"/>
      <c r="O23" s="39"/>
      <c r="P23" s="902"/>
      <c r="Q23" s="902"/>
      <c r="R23" s="902"/>
      <c r="S23" s="902"/>
      <c r="T23" s="902"/>
      <c r="U23" s="902"/>
      <c r="V23" s="902"/>
    </row>
    <row r="24" spans="1:22" ht="19.899999999999999" customHeight="1">
      <c r="A24" s="183" t="s">
        <v>2515</v>
      </c>
      <c r="B24" s="1234">
        <v>1.0369999999999999</v>
      </c>
      <c r="C24" s="39"/>
      <c r="D24" s="39"/>
      <c r="E24" s="39"/>
      <c r="F24" s="39"/>
      <c r="G24" s="39"/>
      <c r="H24" s="39"/>
      <c r="I24" s="39"/>
      <c r="J24" s="39"/>
      <c r="K24" s="39"/>
      <c r="L24" s="39"/>
      <c r="M24" s="39"/>
      <c r="N24" s="39"/>
      <c r="O24" s="39"/>
      <c r="P24" s="902"/>
      <c r="Q24" s="902"/>
      <c r="R24" s="902"/>
      <c r="S24" s="898"/>
      <c r="T24" s="898"/>
      <c r="U24" s="898"/>
      <c r="V24" s="898"/>
    </row>
    <row r="25" spans="1:22" ht="29.25" customHeight="1">
      <c r="A25" s="63"/>
      <c r="B25" s="39"/>
      <c r="C25" s="39"/>
      <c r="D25" s="39"/>
      <c r="E25" s="39"/>
      <c r="F25" s="39"/>
      <c r="G25" s="39"/>
      <c r="H25" s="39"/>
      <c r="I25" s="39"/>
      <c r="J25" s="39"/>
      <c r="K25" s="39"/>
      <c r="L25" s="39"/>
      <c r="M25" s="39"/>
      <c r="N25" s="39"/>
      <c r="O25" s="39"/>
      <c r="P25" s="902"/>
      <c r="Q25" s="902"/>
      <c r="R25" s="902"/>
      <c r="S25" s="898"/>
      <c r="T25" s="898"/>
      <c r="U25" s="898"/>
      <c r="V25" s="898"/>
    </row>
    <row r="26" spans="1:22" ht="72.650000000000006" customHeight="1">
      <c r="A26" s="996"/>
      <c r="B26" s="39"/>
      <c r="C26" s="39"/>
      <c r="D26" s="39"/>
      <c r="E26" s="39"/>
      <c r="F26" s="39"/>
      <c r="G26" s="39"/>
      <c r="H26" s="39"/>
      <c r="I26" s="39"/>
      <c r="J26" s="39"/>
      <c r="K26" s="39"/>
      <c r="L26" s="39"/>
      <c r="M26" s="39"/>
      <c r="N26" s="39"/>
      <c r="O26" s="39"/>
      <c r="P26" s="902"/>
      <c r="Q26" s="902"/>
      <c r="R26" s="902"/>
      <c r="S26" s="898"/>
      <c r="T26" s="898"/>
      <c r="U26" s="898"/>
      <c r="V26" s="898"/>
    </row>
    <row r="27" spans="1:22" ht="45.75" customHeight="1">
      <c r="A27" s="68" t="s">
        <v>721</v>
      </c>
      <c r="B27" s="217" t="s">
        <v>1027</v>
      </c>
      <c r="C27" s="217" t="s">
        <v>1070</v>
      </c>
      <c r="D27" s="217" t="s">
        <v>1114</v>
      </c>
      <c r="E27" s="217" t="s">
        <v>1202</v>
      </c>
      <c r="F27" s="217" t="s">
        <v>1323</v>
      </c>
      <c r="G27" s="217" t="s">
        <v>1459</v>
      </c>
      <c r="H27" s="217" t="s">
        <v>1971</v>
      </c>
      <c r="I27" s="217" t="s">
        <v>2440</v>
      </c>
      <c r="J27" s="217" t="s">
        <v>2441</v>
      </c>
      <c r="K27" s="265"/>
      <c r="L27" s="265"/>
      <c r="M27" s="265"/>
      <c r="N27" s="265"/>
      <c r="O27" s="265"/>
      <c r="P27" s="903"/>
      <c r="Q27" s="898"/>
      <c r="R27" s="898"/>
      <c r="S27" s="898"/>
      <c r="T27" s="898"/>
      <c r="U27" s="898"/>
      <c r="V27" s="898"/>
    </row>
    <row r="28" spans="1:22">
      <c r="A28" s="184" t="s">
        <v>722</v>
      </c>
      <c r="B28" s="329" t="e">
        <f t="shared" ref="B28:J28" si="0">B29+B30+B31+B32+B33+B34+B35+B36</f>
        <v>#N/A</v>
      </c>
      <c r="C28" s="329" t="e">
        <f t="shared" si="0"/>
        <v>#N/A</v>
      </c>
      <c r="D28" s="329">
        <f t="shared" si="0"/>
        <v>5986</v>
      </c>
      <c r="E28" s="329">
        <f t="shared" si="0"/>
        <v>5930</v>
      </c>
      <c r="F28" s="329">
        <f t="shared" si="0"/>
        <v>5925</v>
      </c>
      <c r="G28" s="329">
        <f t="shared" si="0"/>
        <v>5885</v>
      </c>
      <c r="H28" s="329">
        <f t="shared" si="0"/>
        <v>5885</v>
      </c>
      <c r="I28" s="329">
        <f t="shared" si="0"/>
        <v>5885</v>
      </c>
      <c r="J28" s="329">
        <f t="shared" si="0"/>
        <v>5885</v>
      </c>
      <c r="K28" s="265"/>
      <c r="L28" s="265"/>
      <c r="M28" s="265"/>
      <c r="N28" s="265"/>
      <c r="O28" s="265"/>
      <c r="P28" s="903"/>
      <c r="Q28" s="898"/>
      <c r="R28" s="898"/>
      <c r="S28" s="898"/>
      <c r="T28" s="898"/>
      <c r="U28" s="898"/>
      <c r="V28" s="898"/>
    </row>
    <row r="29" spans="1:22">
      <c r="A29" s="184" t="s">
        <v>1121</v>
      </c>
      <c r="B29" s="365" t="e">
        <f>VLOOKUP($B$3,'K18'!$A$4:$AJ$439,4,FALSE)</f>
        <v>#N/A</v>
      </c>
      <c r="C29" s="365" t="e">
        <f>VLOOKUP($B$3,'K19'!$A$4:$AJ$439,4,FALSE)</f>
        <v>#N/A</v>
      </c>
      <c r="D29" s="365">
        <f>VLOOKUP($B$3,'K20'!$A$4:$AJ$445,4,FALSE)</f>
        <v>100</v>
      </c>
      <c r="E29" s="365">
        <f>VLOOKUP($B$3,'K21'!$A$4:$AJ$441,4,FALSE)</f>
        <v>87</v>
      </c>
      <c r="F29" s="365">
        <f>VLOOKUP($B$3,'K22'!$A$4:$AJ$439,4,FALSE)</f>
        <v>89</v>
      </c>
      <c r="G29" s="365">
        <f>VLOOKUP($B$3,'K23'!$A$4:$AJ$439,4,FALSE)</f>
        <v>100</v>
      </c>
      <c r="H29" s="32">
        <f t="shared" ref="H29:J30" si="1">G29</f>
        <v>100</v>
      </c>
      <c r="I29" s="32">
        <f t="shared" ref="I29:J29" si="2">H29</f>
        <v>100</v>
      </c>
      <c r="J29" s="32">
        <f t="shared" si="2"/>
        <v>100</v>
      </c>
      <c r="K29" s="265"/>
      <c r="L29" s="265"/>
      <c r="M29" s="265"/>
      <c r="N29" s="265"/>
      <c r="O29" s="265"/>
      <c r="P29" s="903"/>
      <c r="Q29" s="898"/>
      <c r="R29" s="898"/>
      <c r="S29" s="898"/>
      <c r="T29" s="898"/>
      <c r="U29" s="898"/>
      <c r="V29" s="898"/>
    </row>
    <row r="30" spans="1:22">
      <c r="A30" s="184" t="s">
        <v>2216</v>
      </c>
      <c r="B30" s="365" t="e">
        <f>VLOOKUP($B$3,'K18'!$A$4:$AJ$439,5,FALSE)</f>
        <v>#N/A</v>
      </c>
      <c r="C30" s="365" t="e">
        <f>VLOOKUP($B$3,'K19'!$A$4:$AJ$439,5,FALSE)</f>
        <v>#N/A</v>
      </c>
      <c r="D30" s="365">
        <f>VLOOKUP($B$3,'K20'!$A$4:$AJ$445,5,FALSE)</f>
        <v>255</v>
      </c>
      <c r="E30" s="365">
        <f>VLOOKUP($B$3,'K21'!$A$4:$AJ$441,5,FALSE)</f>
        <v>254</v>
      </c>
      <c r="F30" s="365">
        <f>VLOOKUP($B$3,'K22'!$A$4:$AJ$439,5,FALSE)</f>
        <v>234</v>
      </c>
      <c r="G30" s="365">
        <f>VLOOKUP($B$3,'K23'!$A$4:$AJ$439,5,FALSE)</f>
        <v>216</v>
      </c>
      <c r="H30" s="32">
        <f t="shared" si="1"/>
        <v>216</v>
      </c>
      <c r="I30" s="32">
        <f t="shared" si="1"/>
        <v>216</v>
      </c>
      <c r="J30" s="32">
        <f t="shared" si="1"/>
        <v>216</v>
      </c>
      <c r="K30" s="265"/>
      <c r="L30" s="265"/>
      <c r="M30" s="265"/>
      <c r="N30" s="265"/>
      <c r="O30" s="265"/>
      <c r="P30" s="903"/>
      <c r="Q30" s="898"/>
      <c r="R30" s="898"/>
      <c r="S30" s="898"/>
      <c r="T30" s="898"/>
      <c r="U30" s="898"/>
      <c r="V30" s="898"/>
    </row>
    <row r="31" spans="1:22">
      <c r="A31" s="184" t="s">
        <v>980</v>
      </c>
      <c r="B31" s="365" t="e">
        <f>VLOOKUP($B$3,'K18'!$A$4:$AJ$439,6,FALSE)</f>
        <v>#N/A</v>
      </c>
      <c r="C31" s="365" t="e">
        <f>VLOOKUP($B$3,'K19'!$A$4:$AJ$439,6,FALSE)</f>
        <v>#N/A</v>
      </c>
      <c r="D31" s="365">
        <f>VLOOKUP($B$3,'K20'!$A$4:$AJ$445,6,FALSE)</f>
        <v>655</v>
      </c>
      <c r="E31" s="365">
        <f>VLOOKUP($B$3,'K21'!$A$4:$AJ$441,6,FALSE)</f>
        <v>656</v>
      </c>
      <c r="F31" s="365">
        <f>VLOOKUP($B$3,'K22'!$A$4:$AJ$439,6,FALSE)</f>
        <v>663</v>
      </c>
      <c r="G31" s="365">
        <f>VLOOKUP($B$3,'K23'!$A$4:$AJ$439,6,FALSE)</f>
        <v>662</v>
      </c>
      <c r="H31" s="32">
        <f t="shared" ref="H31:J33" si="3">G31</f>
        <v>662</v>
      </c>
      <c r="I31" s="32">
        <f t="shared" si="3"/>
        <v>662</v>
      </c>
      <c r="J31" s="32">
        <f t="shared" si="3"/>
        <v>662</v>
      </c>
      <c r="K31" s="265"/>
      <c r="L31" s="265"/>
      <c r="M31" s="265"/>
      <c r="N31" s="265"/>
      <c r="O31" s="265"/>
      <c r="P31" s="903"/>
      <c r="Q31" s="898"/>
      <c r="R31" s="898"/>
      <c r="S31" s="898"/>
      <c r="T31" s="898"/>
      <c r="U31" s="898"/>
      <c r="V31" s="898"/>
    </row>
    <row r="32" spans="1:22">
      <c r="A32" s="184" t="s">
        <v>981</v>
      </c>
      <c r="B32" s="365" t="e">
        <f>VLOOKUP($B$3,'K18'!$A$4:$AJ$439,7,FALSE)</f>
        <v>#N/A</v>
      </c>
      <c r="C32" s="365" t="e">
        <f>VLOOKUP($B$3,'K19'!$A$4:$AJ$439,7,FALSE)</f>
        <v>#N/A</v>
      </c>
      <c r="D32" s="365">
        <f>VLOOKUP($B$3,'K20'!$A$4:$AJ$445,7,FALSE)</f>
        <v>556</v>
      </c>
      <c r="E32" s="365">
        <f>VLOOKUP($B$3,'K21'!$A$4:$AJ$441,7,FALSE)</f>
        <v>515</v>
      </c>
      <c r="F32" s="365">
        <f>VLOOKUP($B$3,'K22'!$A$4:$AJ$439,7,FALSE)</f>
        <v>484</v>
      </c>
      <c r="G32" s="365">
        <f>VLOOKUP($B$3,'K23'!$A$4:$AJ$439,7,FALSE)</f>
        <v>485</v>
      </c>
      <c r="H32" s="32">
        <f t="shared" si="3"/>
        <v>485</v>
      </c>
      <c r="I32" s="32">
        <f t="shared" si="3"/>
        <v>485</v>
      </c>
      <c r="J32" s="32">
        <f t="shared" si="3"/>
        <v>485</v>
      </c>
      <c r="K32" s="265"/>
      <c r="L32" s="265"/>
      <c r="M32" s="265"/>
      <c r="N32" s="265"/>
      <c r="O32" s="265"/>
      <c r="P32" s="903"/>
      <c r="Q32" s="898"/>
      <c r="R32" s="898"/>
      <c r="S32" s="898"/>
      <c r="T32" s="898"/>
      <c r="U32" s="898"/>
      <c r="V32" s="898"/>
    </row>
    <row r="33" spans="1:22">
      <c r="A33" s="184" t="s">
        <v>982</v>
      </c>
      <c r="B33" s="365" t="e">
        <f>VLOOKUP($B$3,'K18'!$A$4:$AJ$439,8,FALSE)</f>
        <v>#N/A</v>
      </c>
      <c r="C33" s="365" t="e">
        <f>VLOOKUP($B$3,'K19'!$A$4:$AJ$439,8,FALSE)</f>
        <v>#N/A</v>
      </c>
      <c r="D33" s="365">
        <f>VLOOKUP($B$3,'K20'!$A$4:$AJ$445,8,FALSE)</f>
        <v>3148</v>
      </c>
      <c r="E33" s="365">
        <f>VLOOKUP($B$3,'K21'!$A$4:$AJ$441,8,FALSE)</f>
        <v>3139</v>
      </c>
      <c r="F33" s="365">
        <f>VLOOKUP($B$3,'K22'!$A$4:$AJ$439,8,FALSE)</f>
        <v>3123</v>
      </c>
      <c r="G33" s="365">
        <f>VLOOKUP($B$3,'K23'!$A$4:$AJ$439,8,FALSE)</f>
        <v>3070</v>
      </c>
      <c r="H33" s="32">
        <f t="shared" si="3"/>
        <v>3070</v>
      </c>
      <c r="I33" s="32">
        <f t="shared" si="3"/>
        <v>3070</v>
      </c>
      <c r="J33" s="32">
        <f t="shared" si="3"/>
        <v>3070</v>
      </c>
      <c r="K33" s="265"/>
      <c r="L33" s="265"/>
      <c r="M33" s="265"/>
      <c r="N33" s="265"/>
      <c r="O33" s="265"/>
      <c r="P33" s="903"/>
      <c r="Q33" s="898"/>
      <c r="R33" s="898"/>
      <c r="S33" s="898"/>
      <c r="T33" s="898"/>
      <c r="U33" s="898"/>
      <c r="V33" s="898"/>
    </row>
    <row r="34" spans="1:22">
      <c r="A34" s="184" t="s">
        <v>983</v>
      </c>
      <c r="B34" s="365" t="e">
        <f>VLOOKUP($B$3,'K18'!$A$4:$AJ$439,9,FALSE)</f>
        <v>#N/A</v>
      </c>
      <c r="C34" s="365" t="e">
        <f>VLOOKUP($B$3,'K19'!$A$4:$AJ$439,9,FALSE)</f>
        <v>#N/A</v>
      </c>
      <c r="D34" s="365">
        <f>VLOOKUP($B$3,'K20'!$A$4:$AJ$445,9,FALSE)</f>
        <v>913</v>
      </c>
      <c r="E34" s="365">
        <f>VLOOKUP($B$3,'K21'!$A$4:$AJ$441,9,FALSE)</f>
        <v>921</v>
      </c>
      <c r="F34" s="365">
        <f>VLOOKUP($B$3,'K22'!$A$4:$AJ$439,9,FALSE)</f>
        <v>943</v>
      </c>
      <c r="G34" s="365">
        <f>VLOOKUP($B$3,'K23'!$A$4:$AJ$439,9,FALSE)</f>
        <v>960</v>
      </c>
      <c r="H34" s="32">
        <f t="shared" ref="H34:J34" si="4">G34</f>
        <v>960</v>
      </c>
      <c r="I34" s="32">
        <f t="shared" si="4"/>
        <v>960</v>
      </c>
      <c r="J34" s="32">
        <f t="shared" si="4"/>
        <v>960</v>
      </c>
      <c r="K34" s="265"/>
      <c r="L34" s="265"/>
      <c r="M34" s="265"/>
      <c r="N34" s="265"/>
      <c r="O34" s="265"/>
      <c r="P34" s="903"/>
      <c r="Q34" s="898"/>
      <c r="R34" s="898"/>
      <c r="S34" s="898"/>
      <c r="T34" s="898"/>
      <c r="U34" s="898"/>
      <c r="V34" s="898"/>
    </row>
    <row r="35" spans="1:22">
      <c r="A35" s="184" t="s">
        <v>984</v>
      </c>
      <c r="B35" s="365" t="e">
        <f>VLOOKUP($B$3,'K18'!$A$4:$AJ$439,10,FALSE)</f>
        <v>#N/A</v>
      </c>
      <c r="C35" s="365" t="e">
        <f>VLOOKUP($B$3,'K19'!$A$4:$AJ$439,10,FALSE)</f>
        <v>#N/A</v>
      </c>
      <c r="D35" s="365">
        <f>VLOOKUP($B$3,'K20'!$A$4:$AJ$445,10,FALSE)</f>
        <v>297</v>
      </c>
      <c r="E35" s="365">
        <f>VLOOKUP($B$3,'K21'!$A$4:$AJ$441,10,FALSE)</f>
        <v>292</v>
      </c>
      <c r="F35" s="365">
        <f>VLOOKUP($B$3,'K22'!$A$4:$AJ$439,10,FALSE)</f>
        <v>315</v>
      </c>
      <c r="G35" s="365">
        <f>VLOOKUP($B$3,'K23'!$A$4:$AJ$439,10,FALSE)</f>
        <v>316</v>
      </c>
      <c r="H35" s="32">
        <f t="shared" ref="H35:J35" si="5">G35</f>
        <v>316</v>
      </c>
      <c r="I35" s="32">
        <f t="shared" si="5"/>
        <v>316</v>
      </c>
      <c r="J35" s="32">
        <f t="shared" si="5"/>
        <v>316</v>
      </c>
      <c r="K35" s="265"/>
      <c r="L35" s="265"/>
      <c r="M35" s="265"/>
      <c r="N35" s="265"/>
      <c r="O35" s="265"/>
      <c r="P35" s="903"/>
      <c r="Q35" s="898"/>
      <c r="R35" s="898"/>
      <c r="S35" s="898"/>
      <c r="T35" s="898"/>
      <c r="U35" s="898"/>
      <c r="V35" s="898"/>
    </row>
    <row r="36" spans="1:22">
      <c r="A36" s="184" t="s">
        <v>985</v>
      </c>
      <c r="B36" s="365" t="e">
        <f>VLOOKUP($B$3,'K18'!$A$4:$AJ$439,11,FALSE)</f>
        <v>#N/A</v>
      </c>
      <c r="C36" s="365" t="e">
        <f>VLOOKUP($B$3,'K19'!$A$4:$AJ$439,11,FALSE)</f>
        <v>#N/A</v>
      </c>
      <c r="D36" s="365">
        <f>VLOOKUP($B$3,'K20'!$A$4:$AJ$445,11,FALSE)</f>
        <v>62</v>
      </c>
      <c r="E36" s="365">
        <f>VLOOKUP($B$3,'K21'!$A$4:$AJ$441,11,FALSE)</f>
        <v>66</v>
      </c>
      <c r="F36" s="365">
        <f>VLOOKUP($B$3,'K22'!$A$4:$AJ$439,11,FALSE)</f>
        <v>74</v>
      </c>
      <c r="G36" s="365">
        <f>VLOOKUP($B$3,'K23'!$A$4:$AJ$439,11,FALSE)</f>
        <v>76</v>
      </c>
      <c r="H36" s="32">
        <f t="shared" ref="H36:J36" si="6">G36</f>
        <v>76</v>
      </c>
      <c r="I36" s="32">
        <f t="shared" si="6"/>
        <v>76</v>
      </c>
      <c r="J36" s="32">
        <f t="shared" si="6"/>
        <v>76</v>
      </c>
      <c r="K36" s="265"/>
      <c r="L36" s="265"/>
      <c r="M36" s="265"/>
      <c r="N36" s="265"/>
      <c r="O36" s="265"/>
      <c r="P36" s="903"/>
      <c r="Q36" s="898"/>
      <c r="R36" s="898"/>
      <c r="S36" s="898"/>
      <c r="T36" s="898"/>
      <c r="U36" s="898"/>
      <c r="V36" s="898"/>
    </row>
    <row r="37" spans="1:22">
      <c r="A37" s="184" t="s">
        <v>729</v>
      </c>
      <c r="B37" s="367" t="e">
        <f>VLOOKUP($B$3,'K18'!$A$4:$AJ$439,23,FALSE)</f>
        <v>#N/A</v>
      </c>
      <c r="C37" s="367" t="e">
        <f>VLOOKUP($B$3,'K19'!$A$4:$AJ$439,23,FALSE)</f>
        <v>#N/A</v>
      </c>
      <c r="D37" s="367">
        <f>VLOOKUP($B$3,'K20'!$A$4:$AJ$445,23,FALSE)</f>
        <v>0.86505310999999996</v>
      </c>
      <c r="E37" s="367">
        <f>VLOOKUP($B$3,'K21'!$A$4:$AJ$441,23,FALSE)</f>
        <v>0.86890540000000005</v>
      </c>
      <c r="F37" s="367">
        <f>VLOOKUP($B$3,'K22'!$A$4:$AJ$439,23,FALSE)</f>
        <v>0.86987820999999999</v>
      </c>
      <c r="G37" s="367">
        <f>VLOOKUP($B$3,'K23'!$A$4:$AJ$439,23,FALSE)</f>
        <v>0.87415852999999999</v>
      </c>
      <c r="H37" s="291">
        <f t="shared" ref="H37:J37" si="7">G37</f>
        <v>0.87415852999999999</v>
      </c>
      <c r="I37" s="291">
        <f t="shared" si="7"/>
        <v>0.87415852999999999</v>
      </c>
      <c r="J37" s="291">
        <f t="shared" si="7"/>
        <v>0.87415852999999999</v>
      </c>
      <c r="K37" s="265"/>
      <c r="L37" s="265"/>
      <c r="M37" s="265"/>
      <c r="N37" s="265"/>
      <c r="O37" s="265"/>
      <c r="P37" s="903"/>
      <c r="Q37" s="898"/>
      <c r="R37" s="898"/>
      <c r="S37" s="898"/>
      <c r="T37" s="898"/>
      <c r="U37" s="898"/>
      <c r="V37" s="898"/>
    </row>
    <row r="38" spans="1:22">
      <c r="A38" s="184" t="s">
        <v>987</v>
      </c>
      <c r="B38" s="365" t="e">
        <f>VLOOKUP($B$3,'K18'!$A$4:$AJ$439,16,FALSE)</f>
        <v>#N/A</v>
      </c>
      <c r="C38" s="365" t="e">
        <f>VLOOKUP($B$3,'K19'!$A$4:$AJ$439,16,FALSE)</f>
        <v>#N/A</v>
      </c>
      <c r="D38" s="365">
        <f>VLOOKUP($B$3,'K20'!$A$4:$AJ$445,16,FALSE)</f>
        <v>69339.25552644</v>
      </c>
      <c r="E38" s="365">
        <f>VLOOKUP($B$3,'K21'!$A$4:$AJ$441,16,FALSE)</f>
        <v>91256.294702500003</v>
      </c>
      <c r="F38" s="365">
        <f>VLOOKUP($B$3,'K22'!$A$4:$AJ$439,16,FALSE)</f>
        <v>109920.15166667</v>
      </c>
      <c r="G38" s="365">
        <f>VLOOKUP($B$3,'K23'!$A$4:$AJ$439,16,FALSE)</f>
        <v>108674.414</v>
      </c>
      <c r="H38" s="32">
        <f t="shared" ref="H38:H52" si="8">G38*$H$28/$G$28</f>
        <v>108674.414</v>
      </c>
      <c r="I38" s="32">
        <f t="shared" ref="I38:I52" si="9">H38*$I$28/$H$28</f>
        <v>108674.414</v>
      </c>
      <c r="J38" s="32">
        <f t="shared" ref="J38:J52" si="10">I38*$J$28/$I$28</f>
        <v>108674.414</v>
      </c>
      <c r="K38" s="265"/>
      <c r="L38" s="265"/>
      <c r="M38" s="265"/>
      <c r="N38" s="265"/>
      <c r="O38" s="265"/>
      <c r="P38" s="903"/>
      <c r="Q38" s="898"/>
      <c r="R38" s="898"/>
      <c r="S38" s="898"/>
      <c r="T38" s="898"/>
      <c r="U38" s="898"/>
      <c r="V38" s="898"/>
    </row>
    <row r="39" spans="1:22">
      <c r="A39" s="184" t="s">
        <v>988</v>
      </c>
      <c r="B39" s="365" t="e">
        <f>VLOOKUP($B$3,'K18'!$A$4:$AJ$439,17,FALSE)</f>
        <v>#N/A</v>
      </c>
      <c r="C39" s="365" t="e">
        <f>VLOOKUP($B$3,'K19'!$A$4:$AJ$439,17,FALSE)</f>
        <v>#N/A</v>
      </c>
      <c r="D39" s="365">
        <f>VLOOKUP($B$3,'K20'!$A$4:$AJ$445,17,FALSE)</f>
        <v>20773.865044179998</v>
      </c>
      <c r="E39" s="365">
        <f>VLOOKUP($B$3,'K21'!$A$4:$AJ$441,17,FALSE)</f>
        <v>20626.427788699999</v>
      </c>
      <c r="F39" s="365">
        <f>VLOOKUP($B$3,'K22'!$A$4:$AJ$439,17,FALSE)</f>
        <v>20371.421666670001</v>
      </c>
      <c r="G39" s="365">
        <f>VLOOKUP($B$3,'K23'!$A$4:$AJ$439,17,FALSE)</f>
        <v>20309.210666669998</v>
      </c>
      <c r="H39" s="32">
        <f t="shared" si="8"/>
        <v>20309.210666669998</v>
      </c>
      <c r="I39" s="32">
        <f t="shared" si="9"/>
        <v>20309.210666669998</v>
      </c>
      <c r="J39" s="32">
        <f t="shared" si="10"/>
        <v>20309.210666669998</v>
      </c>
      <c r="K39" s="265"/>
      <c r="L39" s="265"/>
      <c r="M39" s="265"/>
      <c r="N39" s="265"/>
      <c r="O39" s="265"/>
      <c r="P39" s="903"/>
      <c r="Q39" s="898"/>
      <c r="R39" s="898"/>
      <c r="S39" s="898"/>
      <c r="T39" s="898"/>
      <c r="U39" s="898"/>
      <c r="V39" s="898"/>
    </row>
    <row r="40" spans="1:22">
      <c r="A40" s="184" t="s">
        <v>986</v>
      </c>
      <c r="B40" s="366" t="e">
        <f>VLOOKUP($B$3,'K18'!$A$4:$BD$439,21,FALSE)</f>
        <v>#N/A</v>
      </c>
      <c r="C40" s="366" t="e">
        <f>VLOOKUP($B$3,'K19'!$A$4:$BD$439,21,FALSE)</f>
        <v>#N/A</v>
      </c>
      <c r="D40" s="366">
        <f>VLOOKUP($B$3,'K20'!$A$4:$BD$445,21,FALSE)</f>
        <v>4.1325511945300795E-3</v>
      </c>
      <c r="E40" s="366">
        <f>VLOOKUP($B$3,'K21'!$A$4:$BD$441,21,FALSE)</f>
        <v>4.0455992286418298E-3</v>
      </c>
      <c r="F40" s="366">
        <f>VLOOKUP($B$3,'K22'!$A$4:$BD$439,21,FALSE)</f>
        <v>4.0600125655226409E-3</v>
      </c>
      <c r="G40" s="366">
        <f>VLOOKUP($B$3,'K23'!$A$4:$BD$439,21,FALSE)</f>
        <v>3.9778098558009307E-3</v>
      </c>
      <c r="H40" s="292">
        <f t="shared" si="8"/>
        <v>3.9778098558009307E-3</v>
      </c>
      <c r="I40" s="292">
        <f t="shared" si="9"/>
        <v>3.9778098558009307E-3</v>
      </c>
      <c r="J40" s="292">
        <f t="shared" si="10"/>
        <v>3.9778098558009307E-3</v>
      </c>
      <c r="K40" s="265"/>
      <c r="L40" s="265"/>
      <c r="M40" s="265"/>
      <c r="N40" s="265"/>
      <c r="O40" s="265"/>
      <c r="P40" s="903"/>
      <c r="Q40" s="898"/>
      <c r="R40" s="898"/>
      <c r="S40" s="898"/>
      <c r="T40" s="898"/>
      <c r="U40" s="898"/>
      <c r="V40" s="898"/>
    </row>
    <row r="41" spans="1:22">
      <c r="A41" s="184" t="s">
        <v>1008</v>
      </c>
      <c r="B41" s="365" t="e">
        <f>VLOOKUP($B$3,'K18'!$A$4:$AJ$439,15,FALSE)</f>
        <v>#N/A</v>
      </c>
      <c r="C41" s="365" t="e">
        <f>VLOOKUP($B$3,'K19'!$A$4:$AJ$439,15,FALSE)</f>
        <v>#N/A</v>
      </c>
      <c r="D41" s="365">
        <f>VLOOKUP($B$3,'K20'!$A$4:$AJ$445,15,FALSE)</f>
        <v>44</v>
      </c>
      <c r="E41" s="365">
        <f>VLOOKUP($B$3,'K21'!$A$4:$AJ$441,15,FALSE)</f>
        <v>44</v>
      </c>
      <c r="F41" s="365">
        <f>VLOOKUP($B$3,'K22'!$A$4:$AJ$439,15,FALSE)</f>
        <v>40</v>
      </c>
      <c r="G41" s="365">
        <f>VLOOKUP($B$3,'K23'!$A$4:$AJ$439,15,FALSE)</f>
        <v>43</v>
      </c>
      <c r="H41" s="32">
        <f t="shared" si="8"/>
        <v>43</v>
      </c>
      <c r="I41" s="32">
        <f t="shared" si="9"/>
        <v>43</v>
      </c>
      <c r="J41" s="32">
        <f t="shared" si="10"/>
        <v>43</v>
      </c>
      <c r="K41" s="265"/>
      <c r="L41" s="265"/>
      <c r="M41" s="265"/>
      <c r="N41" s="265"/>
      <c r="O41" s="265"/>
      <c r="P41" s="903"/>
      <c r="Q41" s="898"/>
      <c r="R41" s="898"/>
      <c r="S41" s="898"/>
      <c r="T41" s="898"/>
      <c r="U41" s="898"/>
      <c r="V41" s="898"/>
    </row>
    <row r="42" spans="1:22">
      <c r="A42" s="184" t="s">
        <v>991</v>
      </c>
      <c r="B42" s="365" t="e">
        <f>VLOOKUP($B$3,'K18'!$A$4:$AJ$439,14,FALSE)</f>
        <v>#N/A</v>
      </c>
      <c r="C42" s="365" t="e">
        <f>VLOOKUP($B$3,'K19'!$A$4:$AJ$439,14,FALSE)</f>
        <v>#N/A</v>
      </c>
      <c r="D42" s="365">
        <f>VLOOKUP($B$3,'K20'!$A$4:$AJ$445,14,FALSE)</f>
        <v>38</v>
      </c>
      <c r="E42" s="365">
        <f>VLOOKUP($B$3,'K21'!$A$4:$AJ$441,14,FALSE)</f>
        <v>43</v>
      </c>
      <c r="F42" s="365">
        <f>VLOOKUP($B$3,'K22'!$A$4:$AJ$439,14,FALSE)</f>
        <v>56</v>
      </c>
      <c r="G42" s="365">
        <f>VLOOKUP($B$3,'K23'!$A$4:$AJ$439,14,FALSE)</f>
        <v>70</v>
      </c>
      <c r="H42" s="32">
        <f t="shared" si="8"/>
        <v>70</v>
      </c>
      <c r="I42" s="32">
        <f t="shared" si="9"/>
        <v>70</v>
      </c>
      <c r="J42" s="32">
        <f t="shared" si="10"/>
        <v>70</v>
      </c>
      <c r="K42" s="265"/>
      <c r="L42" s="265"/>
      <c r="M42" s="265"/>
      <c r="N42" s="265"/>
      <c r="O42" s="265"/>
      <c r="P42" s="903"/>
      <c r="Q42" s="898"/>
      <c r="R42" s="898"/>
      <c r="S42" s="898"/>
      <c r="T42" s="898"/>
      <c r="U42" s="898"/>
      <c r="V42" s="898"/>
    </row>
    <row r="43" spans="1:22">
      <c r="A43" s="184" t="s">
        <v>989</v>
      </c>
      <c r="B43" s="365" t="e">
        <f>VLOOKUP($B$3,'K18'!$A$4:$AJ$439,12,FALSE)</f>
        <v>#N/A</v>
      </c>
      <c r="C43" s="365" t="e">
        <f>VLOOKUP($B$3,'K19'!$A$4:$AJ$439,12,FALSE)</f>
        <v>#N/A</v>
      </c>
      <c r="D43" s="365">
        <f>VLOOKUP($B$3,'K20'!$A$4:$AJ$445,12,FALSE)</f>
        <v>44</v>
      </c>
      <c r="E43" s="365">
        <f>VLOOKUP($B$3,'K21'!$A$4:$AJ$441,12,FALSE)</f>
        <v>47</v>
      </c>
      <c r="F43" s="365">
        <f>VLOOKUP($B$3,'K22'!$A$4:$AJ$439,12,FALSE)</f>
        <v>44</v>
      </c>
      <c r="G43" s="365">
        <f>VLOOKUP($B$3,'K23'!$A$4:$AJ$439,12,FALSE)</f>
        <v>42</v>
      </c>
      <c r="H43" s="32">
        <f t="shared" si="8"/>
        <v>42</v>
      </c>
      <c r="I43" s="32">
        <f t="shared" si="9"/>
        <v>42</v>
      </c>
      <c r="J43" s="32">
        <f t="shared" si="10"/>
        <v>42</v>
      </c>
      <c r="K43" s="265"/>
      <c r="L43" s="265"/>
      <c r="M43" s="265"/>
      <c r="N43" s="265"/>
      <c r="O43" s="265"/>
      <c r="P43" s="903"/>
      <c r="Q43" s="898"/>
      <c r="R43" s="898"/>
      <c r="S43" s="898"/>
      <c r="T43" s="898"/>
      <c r="U43" s="898"/>
      <c r="V43" s="898"/>
    </row>
    <row r="44" spans="1:22">
      <c r="A44" s="184" t="s">
        <v>159</v>
      </c>
      <c r="B44" s="365" t="e">
        <f>VLOOKUP($B$3,'K18'!$A$4:$BD$439,53,FALSE)</f>
        <v>#N/A</v>
      </c>
      <c r="C44" s="365" t="e">
        <f>VLOOKUP($B$3,'K19'!$A$4:$BD$439,53,FALSE)</f>
        <v>#N/A</v>
      </c>
      <c r="D44" s="365">
        <f>VLOOKUP($B$3,'K20'!$A$4:$BD$445,53,FALSE)</f>
        <v>118</v>
      </c>
      <c r="E44" s="365">
        <f>VLOOKUP($B$3,'K21'!$A$4:$BD$441,53,FALSE)</f>
        <v>123</v>
      </c>
      <c r="F44" s="365">
        <f>VLOOKUP($B$3,'K22'!$A$4:$BD$439,53,FALSE)</f>
        <v>142</v>
      </c>
      <c r="G44" s="365">
        <f>VLOOKUP($B$3,'K23'!$A$4:$BD$439,53,FALSE)</f>
        <v>126</v>
      </c>
      <c r="H44" s="32">
        <f t="shared" si="8"/>
        <v>126</v>
      </c>
      <c r="I44" s="32">
        <f t="shared" si="9"/>
        <v>126</v>
      </c>
      <c r="J44" s="32">
        <f t="shared" si="10"/>
        <v>126</v>
      </c>
      <c r="K44" s="265"/>
      <c r="L44" s="265"/>
      <c r="M44" s="265"/>
      <c r="N44" s="265"/>
      <c r="O44" s="265"/>
      <c r="P44" s="903"/>
      <c r="Q44" s="898"/>
      <c r="R44" s="898"/>
      <c r="S44" s="898"/>
      <c r="T44" s="898"/>
      <c r="U44" s="898"/>
      <c r="V44" s="898"/>
    </row>
    <row r="45" spans="1:22">
      <c r="A45" s="184" t="s">
        <v>990</v>
      </c>
      <c r="B45" s="365" t="e">
        <f>VLOOKUP($B$3,'K18'!$A$4:$BD$439,52,FALSE)</f>
        <v>#N/A</v>
      </c>
      <c r="C45" s="365" t="e">
        <f>VLOOKUP($B$3,'K19'!$A$4:$BD$439,52,FALSE)</f>
        <v>#N/A</v>
      </c>
      <c r="D45" s="365">
        <f>VLOOKUP($B$3,'K20'!$A$4:$BD$445,52,FALSE)</f>
        <v>240</v>
      </c>
      <c r="E45" s="365">
        <f>VLOOKUP($B$3,'K21'!$A$4:$BD$441,52,FALSE)</f>
        <v>164</v>
      </c>
      <c r="F45" s="365">
        <f>VLOOKUP($B$3,'K22'!$A$4:$BD$439,52,FALSE)</f>
        <v>199</v>
      </c>
      <c r="G45" s="365">
        <f>VLOOKUP($B$3,'K23'!$A$4:$BD$439,52,FALSE)</f>
        <v>205</v>
      </c>
      <c r="H45" s="32">
        <f t="shared" si="8"/>
        <v>205</v>
      </c>
      <c r="I45" s="32">
        <f t="shared" si="9"/>
        <v>205</v>
      </c>
      <c r="J45" s="32">
        <f t="shared" si="10"/>
        <v>205</v>
      </c>
      <c r="K45" s="265"/>
      <c r="L45" s="265"/>
      <c r="M45" s="265"/>
      <c r="N45" s="265"/>
      <c r="O45" s="265"/>
      <c r="P45" s="903"/>
      <c r="Q45" s="898"/>
      <c r="R45" s="898"/>
      <c r="S45" s="898"/>
      <c r="T45" s="898"/>
      <c r="U45" s="898"/>
      <c r="V45" s="898"/>
    </row>
    <row r="46" spans="1:22">
      <c r="A46" s="184" t="s">
        <v>759</v>
      </c>
      <c r="B46" s="365" t="e">
        <f>VLOOKUP($B$3,'K18'!$A$4:$BD$439,28,FALSE)</f>
        <v>#N/A</v>
      </c>
      <c r="C46" s="365" t="e">
        <f>VLOOKUP($B$3,'K19'!$A$4:$BD$439,28,FALSE)</f>
        <v>#N/A</v>
      </c>
      <c r="D46" s="365">
        <f>VLOOKUP($B$3,'K20'!$A$4:$BD$445,28,FALSE)</f>
        <v>160</v>
      </c>
      <c r="E46" s="365">
        <f>VLOOKUP($B$3,'K21'!$A$4:$BD$441,28,FALSE)</f>
        <v>162</v>
      </c>
      <c r="F46" s="365">
        <f>VLOOKUP($B$3,'K22'!$A$4:$BD$439,28,FALSE)</f>
        <v>160</v>
      </c>
      <c r="G46" s="365">
        <f>VLOOKUP($B$3,'K23'!$A$4:$BD$439,28,FALSE)</f>
        <v>161</v>
      </c>
      <c r="H46" s="32">
        <f t="shared" si="8"/>
        <v>161</v>
      </c>
      <c r="I46" s="32">
        <f t="shared" si="9"/>
        <v>161</v>
      </c>
      <c r="J46" s="32">
        <f t="shared" si="10"/>
        <v>161</v>
      </c>
      <c r="K46" s="265"/>
      <c r="L46" s="265"/>
      <c r="M46" s="265"/>
      <c r="N46" s="265"/>
      <c r="O46" s="265"/>
      <c r="P46" s="903"/>
      <c r="Q46" s="898"/>
      <c r="R46" s="898"/>
      <c r="S46" s="898"/>
      <c r="T46" s="898"/>
      <c r="U46" s="898"/>
      <c r="V46" s="898"/>
    </row>
    <row r="47" spans="1:22">
      <c r="A47" s="184" t="s">
        <v>160</v>
      </c>
      <c r="B47" s="367" t="e">
        <f>VLOOKUP($B$3,'K18'!$A$4:$BD$439,39,FALSE)</f>
        <v>#N/A</v>
      </c>
      <c r="C47" s="367" t="e">
        <f>VLOOKUP($B$3,'K19'!$A$4:$BD$439,39,FALSE)</f>
        <v>#N/A</v>
      </c>
      <c r="D47" s="367">
        <f>VLOOKUP($B$3,'K20'!$A$4:$BD$445,39,FALSE)</f>
        <v>5.3156000000000002E-2</v>
      </c>
      <c r="E47" s="367">
        <f>VLOOKUP($B$3,'K21'!$A$4:$BD$441,39,FALSE)</f>
        <v>3.9268820000000003E-2</v>
      </c>
      <c r="F47" s="367">
        <f>VLOOKUP($B$3,'K22'!$A$4:$BD$439,39,FALSE)</f>
        <v>4.7444739999999999E-2</v>
      </c>
      <c r="G47" s="367">
        <f>VLOOKUP($B$3,'K23'!$A$4:$BD$439,39,FALSE)</f>
        <v>4.7872770000000002E-2</v>
      </c>
      <c r="H47" s="291">
        <f t="shared" si="8"/>
        <v>4.7872770000000002E-2</v>
      </c>
      <c r="I47" s="291">
        <f t="shared" si="9"/>
        <v>4.7872770000000002E-2</v>
      </c>
      <c r="J47" s="291">
        <f t="shared" si="10"/>
        <v>4.7872770000000002E-2</v>
      </c>
      <c r="K47" s="265"/>
      <c r="L47" s="265"/>
      <c r="M47" s="265"/>
      <c r="N47" s="265"/>
      <c r="O47" s="265"/>
      <c r="P47" s="903"/>
      <c r="Q47" s="898"/>
      <c r="R47" s="898"/>
      <c r="S47" s="898"/>
      <c r="T47" s="898"/>
      <c r="U47" s="898"/>
      <c r="V47" s="898"/>
    </row>
    <row r="48" spans="1:22">
      <c r="A48" s="184" t="s">
        <v>1120</v>
      </c>
      <c r="B48" s="365" t="e">
        <f>VLOOKUP($B$3,'K18'!$A$4:$BD$439,20,FALSE)</f>
        <v>#N/A</v>
      </c>
      <c r="C48" s="365" t="e">
        <f>VLOOKUP($B$3,'K19'!$A$4:$BD$439,20,FALSE)</f>
        <v>#N/A</v>
      </c>
      <c r="D48" s="365">
        <f>VLOOKUP($B$3,'K20'!$A$4:$BD$445,20,FALSE)</f>
        <v>441</v>
      </c>
      <c r="E48" s="365">
        <f>VLOOKUP($B$3,'K21'!$A$4:$BD$441,20,FALSE)</f>
        <v>455</v>
      </c>
      <c r="F48" s="365">
        <f>VLOOKUP($B$3,'K22'!$A$4:$BD$439,20,FALSE)</f>
        <v>473</v>
      </c>
      <c r="G48" s="365">
        <f>VLOOKUP($B$3,'K23'!$A$4:$BD$439,20,FALSE)</f>
        <v>488</v>
      </c>
      <c r="H48" s="32">
        <f t="shared" si="8"/>
        <v>488</v>
      </c>
      <c r="I48" s="32">
        <f t="shared" si="9"/>
        <v>488</v>
      </c>
      <c r="J48" s="32">
        <f t="shared" si="10"/>
        <v>488</v>
      </c>
      <c r="K48" s="265"/>
      <c r="L48" s="265"/>
      <c r="M48" s="265"/>
      <c r="N48" s="265"/>
      <c r="O48" s="265"/>
      <c r="P48" s="903"/>
      <c r="Q48" s="898"/>
      <c r="R48" s="898"/>
      <c r="S48" s="898"/>
      <c r="T48" s="898"/>
      <c r="U48" s="898"/>
      <c r="V48" s="898"/>
    </row>
    <row r="49" spans="1:22">
      <c r="A49" s="184" t="s">
        <v>992</v>
      </c>
      <c r="B49" s="365" t="e">
        <f>VLOOKUP($B$3,'K18'!$A$4:$BD$439,18,FALSE)</f>
        <v>#N/A</v>
      </c>
      <c r="C49" s="365" t="e">
        <f>VLOOKUP($B$3,'K19'!$A$4:$BD$439,18,FALSE)</f>
        <v>#N/A</v>
      </c>
      <c r="D49" s="365">
        <f>VLOOKUP($B$3,'K20'!$A$4:$BD$445,18,FALSE)</f>
        <v>23</v>
      </c>
      <c r="E49" s="365">
        <f>VLOOKUP($B$3,'K21'!$A$4:$BD$441,18,FALSE)</f>
        <v>23</v>
      </c>
      <c r="F49" s="365">
        <f>VLOOKUP($B$3,'K22'!$A$4:$BD$439,18,FALSE)</f>
        <v>23</v>
      </c>
      <c r="G49" s="365">
        <f>VLOOKUP($B$3,'K23'!$A$4:$BD$439,18,FALSE)</f>
        <v>24</v>
      </c>
      <c r="H49" s="32">
        <f t="shared" si="8"/>
        <v>24</v>
      </c>
      <c r="I49" s="32">
        <f t="shared" si="9"/>
        <v>24</v>
      </c>
      <c r="J49" s="32">
        <f t="shared" si="10"/>
        <v>24</v>
      </c>
      <c r="K49" s="265"/>
      <c r="L49" s="265"/>
      <c r="M49" s="265"/>
      <c r="N49" s="265"/>
      <c r="O49" s="265"/>
      <c r="P49" s="903"/>
      <c r="Q49" s="898"/>
      <c r="R49" s="898"/>
      <c r="S49" s="898"/>
      <c r="T49" s="898"/>
      <c r="U49" s="898"/>
      <c r="V49" s="898"/>
    </row>
    <row r="50" spans="1:22">
      <c r="A50" s="184" t="s">
        <v>727</v>
      </c>
      <c r="B50" s="365" t="e">
        <f>VLOOKUP($B$3,'K18'!$A$4:$BD$439,13,FALSE)</f>
        <v>#N/A</v>
      </c>
      <c r="C50" s="365" t="e">
        <f>VLOOKUP($B$3,'K19'!$A$4:$BD$439,13,FALSE)</f>
        <v>#N/A</v>
      </c>
      <c r="D50" s="365">
        <f>VLOOKUP($B$3,'K20'!$A$4:$BD$445,13,FALSE)</f>
        <v>551</v>
      </c>
      <c r="E50" s="365">
        <f>VLOOKUP($B$3,'K21'!$A$4:$BD$441,13,FALSE)</f>
        <v>544</v>
      </c>
      <c r="F50" s="365">
        <f>VLOOKUP($B$3,'K22'!$A$4:$BD$439,13,FALSE)</f>
        <v>547</v>
      </c>
      <c r="G50" s="365">
        <f>VLOOKUP($B$3,'K23'!$A$4:$BD$439,13,FALSE)</f>
        <v>572</v>
      </c>
      <c r="H50" s="32">
        <f t="shared" si="8"/>
        <v>572</v>
      </c>
      <c r="I50" s="32">
        <f t="shared" si="9"/>
        <v>572</v>
      </c>
      <c r="J50" s="32">
        <f t="shared" si="10"/>
        <v>572</v>
      </c>
      <c r="K50" s="265"/>
      <c r="L50" s="265"/>
      <c r="M50" s="265"/>
      <c r="N50" s="265"/>
      <c r="O50" s="265"/>
      <c r="P50" s="903"/>
      <c r="Q50" s="898"/>
      <c r="R50" s="898"/>
      <c r="S50" s="898"/>
      <c r="T50" s="898"/>
      <c r="U50" s="898"/>
      <c r="V50" s="898"/>
    </row>
    <row r="51" spans="1:22">
      <c r="A51" s="184" t="s">
        <v>2217</v>
      </c>
      <c r="B51" s="365" t="e">
        <f>VLOOKUP($B$3,'K18'!$A$4:$BD$439,50,FALSE)</f>
        <v>#N/A</v>
      </c>
      <c r="C51" s="365" t="e">
        <f>VLOOKUP($B$3,'K19'!$A$4:$BD$439,50,FALSE)</f>
        <v>#N/A</v>
      </c>
      <c r="D51" s="365">
        <f>VLOOKUP($B$3,'K20'!$A$4:$BD$445,50,FALSE)</f>
        <v>45.433349999999997</v>
      </c>
      <c r="E51" s="365">
        <f>VLOOKUP($B$3,'K21'!$A$4:$BD$441,50,FALSE)</f>
        <v>25.250050000000002</v>
      </c>
      <c r="F51" s="365">
        <f>VLOOKUP($B$3,'K22'!$A$4:$BD$439,50,FALSE)</f>
        <v>33.583300000000001</v>
      </c>
      <c r="G51" s="365">
        <f>VLOOKUP($B$3,'K23'!$A$4:$BD$439,50,FALSE)</f>
        <v>27.875</v>
      </c>
      <c r="H51" s="32">
        <f t="shared" si="8"/>
        <v>27.875</v>
      </c>
      <c r="I51" s="32">
        <f t="shared" si="9"/>
        <v>27.875</v>
      </c>
      <c r="J51" s="32">
        <f t="shared" si="10"/>
        <v>27.875</v>
      </c>
      <c r="K51" s="265"/>
      <c r="L51" s="265"/>
      <c r="M51" s="265"/>
      <c r="N51" s="265"/>
      <c r="O51" s="265"/>
      <c r="P51" s="903"/>
      <c r="Q51" s="898"/>
      <c r="R51" s="898"/>
      <c r="S51" s="898"/>
      <c r="T51" s="898"/>
      <c r="U51" s="898"/>
      <c r="V51" s="898"/>
    </row>
    <row r="52" spans="1:22">
      <c r="A52" s="184" t="s">
        <v>161</v>
      </c>
      <c r="B52" s="365" t="e">
        <f>VLOOKUP($B$3,'K18'!$A$4:$BD$439,51,FALSE)</f>
        <v>#N/A</v>
      </c>
      <c r="C52" s="365" t="e">
        <f>VLOOKUP($B$3,'K19'!$A$4:$BD$439,51,FALSE)</f>
        <v>#N/A</v>
      </c>
      <c r="D52" s="365">
        <f>VLOOKUP($B$3,'K20'!$A$4:$BD$445,51,FALSE)</f>
        <v>909</v>
      </c>
      <c r="E52" s="365">
        <f>VLOOKUP($B$3,'K21'!$A$4:$BD$441,51,FALSE)</f>
        <v>926</v>
      </c>
      <c r="F52" s="365">
        <f>VLOOKUP($B$3,'K22'!$A$4:$BD$439,51,FALSE)</f>
        <v>951</v>
      </c>
      <c r="G52" s="365">
        <f>VLOOKUP($B$3,'K23'!$A$4:$BD$439,51,FALSE)</f>
        <v>938</v>
      </c>
      <c r="H52" s="32">
        <f t="shared" si="8"/>
        <v>938</v>
      </c>
      <c r="I52" s="32">
        <f t="shared" si="9"/>
        <v>938</v>
      </c>
      <c r="J52" s="32">
        <f t="shared" si="10"/>
        <v>938</v>
      </c>
      <c r="K52" s="265"/>
      <c r="L52" s="265"/>
      <c r="M52" s="265"/>
      <c r="N52" s="265"/>
      <c r="O52" s="265"/>
      <c r="P52" s="903"/>
      <c r="Q52" s="898"/>
      <c r="R52" s="898"/>
      <c r="S52" s="898"/>
      <c r="T52" s="898"/>
      <c r="U52" s="898"/>
      <c r="V52" s="898"/>
    </row>
    <row r="53" spans="1:22">
      <c r="A53" s="48"/>
      <c r="B53" s="216" t="s">
        <v>1026</v>
      </c>
      <c r="C53" s="216" t="s">
        <v>1069</v>
      </c>
      <c r="D53" s="216" t="s">
        <v>1134</v>
      </c>
      <c r="E53" s="216" t="s">
        <v>1201</v>
      </c>
      <c r="F53" s="216" t="s">
        <v>1322</v>
      </c>
      <c r="G53" s="216" t="s">
        <v>2438</v>
      </c>
      <c r="H53" s="216" t="s">
        <v>1972</v>
      </c>
      <c r="I53" s="216" t="s">
        <v>2151</v>
      </c>
      <c r="J53" s="216" t="s">
        <v>2442</v>
      </c>
      <c r="K53" s="265"/>
      <c r="L53" s="265"/>
      <c r="M53" s="265"/>
      <c r="N53" s="265"/>
      <c r="O53" s="265"/>
      <c r="P53" s="903"/>
      <c r="Q53" s="898"/>
      <c r="R53" s="898"/>
      <c r="S53" s="898"/>
      <c r="T53" s="898"/>
      <c r="U53" s="898"/>
      <c r="V53" s="898"/>
    </row>
    <row r="54" spans="1:22">
      <c r="A54" s="48" t="s">
        <v>769</v>
      </c>
      <c r="B54" s="696" t="e">
        <f>VLOOKUP($B$3,'K18'!$A$4:$AJ$439,3,FALSE)</f>
        <v>#N/A</v>
      </c>
      <c r="C54" s="696" t="e">
        <f>VLOOKUP($B$3,'K19'!$A$4:$AJ$439,3,FALSE)</f>
        <v>#N/A</v>
      </c>
      <c r="D54" s="696">
        <f>VLOOKUP($B$3,'K20'!$A$4:$AJ$445,3,FALSE)</f>
        <v>5963</v>
      </c>
      <c r="E54" s="696">
        <f>VLOOKUP($B$3,'K21'!$A$4:$AJ$447,3,FALSE)</f>
        <v>5941</v>
      </c>
      <c r="F54" s="696">
        <f>VLOOKUP($B$3,'K22'!$A$4:$AJ$447,3,FALSE)</f>
        <v>5884</v>
      </c>
      <c r="G54" s="602">
        <f>VLOOKUP(Gdata!B3,'Bef.fremskr. kommunenivå MMMM'!A5:AJ360,8)</f>
        <v>5839</v>
      </c>
      <c r="H54" s="602">
        <f>+G54</f>
        <v>5839</v>
      </c>
      <c r="I54" s="602">
        <f t="shared" ref="I54:J54" si="11">+H54</f>
        <v>5839</v>
      </c>
      <c r="J54" s="602">
        <f t="shared" si="11"/>
        <v>5839</v>
      </c>
      <c r="K54" s="265"/>
      <c r="L54" s="265"/>
      <c r="M54" s="265"/>
      <c r="N54" s="265"/>
      <c r="O54" s="265"/>
      <c r="P54" s="903"/>
      <c r="Q54" s="898"/>
      <c r="R54" s="898"/>
      <c r="S54" s="898"/>
      <c r="T54" s="898"/>
      <c r="U54" s="898"/>
      <c r="V54" s="898"/>
    </row>
    <row r="55" spans="1:22" ht="12.75" customHeight="1">
      <c r="A55" s="392"/>
      <c r="B55" s="745"/>
      <c r="C55" s="745"/>
      <c r="D55" s="745"/>
      <c r="E55" s="745"/>
      <c r="F55" s="745"/>
      <c r="G55" s="1249" t="s">
        <v>2439</v>
      </c>
      <c r="H55" s="1250"/>
      <c r="I55" s="1250"/>
      <c r="J55" s="1250"/>
      <c r="K55" s="265"/>
      <c r="L55" s="265"/>
      <c r="M55" s="265"/>
      <c r="N55" s="265"/>
      <c r="O55" s="265"/>
      <c r="P55" s="903"/>
      <c r="Q55" s="898"/>
      <c r="R55" s="898"/>
      <c r="S55" s="898"/>
      <c r="T55" s="898"/>
      <c r="U55" s="898"/>
      <c r="V55" s="898"/>
    </row>
    <row r="56" spans="1:22">
      <c r="A56" s="48" t="s">
        <v>1113</v>
      </c>
      <c r="B56" s="692"/>
      <c r="C56" s="692" t="e">
        <f>+C54/B54-1</f>
        <v>#N/A</v>
      </c>
      <c r="D56" s="692" t="e">
        <f t="shared" ref="D56:I56" si="12">+D54/C54-1</f>
        <v>#N/A</v>
      </c>
      <c r="E56" s="692">
        <f t="shared" si="12"/>
        <v>-3.6894180781485986E-3</v>
      </c>
      <c r="F56" s="692">
        <f t="shared" si="12"/>
        <v>-9.5943443864668909E-3</v>
      </c>
      <c r="G56" s="692">
        <f t="shared" si="12"/>
        <v>-7.6478585995921611E-3</v>
      </c>
      <c r="H56" s="692">
        <f t="shared" si="12"/>
        <v>0</v>
      </c>
      <c r="I56" s="692">
        <f t="shared" si="12"/>
        <v>0</v>
      </c>
      <c r="J56" s="692">
        <f>+J54/I54-1</f>
        <v>0</v>
      </c>
      <c r="K56" s="265"/>
      <c r="L56" s="265"/>
      <c r="M56" s="265"/>
      <c r="N56" s="265"/>
      <c r="O56" s="265"/>
      <c r="P56" s="903"/>
      <c r="Q56" s="898"/>
      <c r="R56" s="898"/>
      <c r="S56" s="898"/>
      <c r="T56" s="898"/>
      <c r="U56" s="898"/>
      <c r="V56" s="898"/>
    </row>
    <row r="57" spans="1:22">
      <c r="A57" s="65"/>
      <c r="B57" s="618"/>
      <c r="C57" s="618"/>
      <c r="D57" s="618"/>
      <c r="E57" s="618"/>
      <c r="F57" s="618"/>
      <c r="G57" s="618"/>
      <c r="H57" s="618"/>
      <c r="I57" s="618"/>
      <c r="J57" s="618"/>
      <c r="K57" s="265"/>
      <c r="L57" s="265"/>
      <c r="M57" s="265"/>
      <c r="N57" s="265"/>
      <c r="O57" s="265"/>
      <c r="P57" s="903"/>
      <c r="Q57" s="898"/>
      <c r="R57" s="898"/>
      <c r="S57" s="898"/>
      <c r="T57" s="898"/>
      <c r="U57" s="898"/>
      <c r="V57" s="898"/>
    </row>
    <row r="58" spans="1:22" ht="19">
      <c r="A58" s="261"/>
      <c r="B58" s="261"/>
      <c r="C58" s="261"/>
      <c r="D58" s="261"/>
      <c r="E58" s="261"/>
      <c r="F58" s="261"/>
      <c r="G58" s="261"/>
      <c r="H58" s="261"/>
      <c r="I58" s="261"/>
      <c r="J58" s="1147"/>
      <c r="K58" s="265"/>
      <c r="L58" s="265"/>
      <c r="M58" s="265"/>
      <c r="N58" s="265"/>
      <c r="O58" s="265"/>
      <c r="P58" s="903"/>
      <c r="Q58" s="898"/>
      <c r="R58" s="898"/>
      <c r="S58" s="898"/>
      <c r="T58" s="898"/>
      <c r="U58" s="898"/>
      <c r="V58" s="898"/>
    </row>
    <row r="59" spans="1:22" ht="44.25" customHeight="1">
      <c r="A59" s="64" t="str">
        <f>A27</f>
        <v>Kriteriedata</v>
      </c>
      <c r="B59" s="218" t="str">
        <f>B27</f>
        <v>IS 2018 med folketall per 1.7.2017</v>
      </c>
      <c r="C59" s="218" t="str">
        <f>C27</f>
        <v>IS 2019 med folketall per 1.7.2018</v>
      </c>
      <c r="D59" s="218" t="str">
        <f>D27</f>
        <v>IS 2020 med folketall per 1.7.2019</v>
      </c>
      <c r="E59" s="218" t="s">
        <v>1202</v>
      </c>
      <c r="F59" s="218" t="s">
        <v>1323</v>
      </c>
      <c r="G59" s="218" t="s">
        <v>1459</v>
      </c>
      <c r="H59" s="218" t="s">
        <v>1971</v>
      </c>
      <c r="I59" s="218" t="s">
        <v>2440</v>
      </c>
      <c r="J59" s="218" t="s">
        <v>2441</v>
      </c>
      <c r="K59" s="265"/>
      <c r="L59" s="265"/>
      <c r="M59" s="265"/>
      <c r="N59" s="265"/>
      <c r="O59" s="265"/>
      <c r="P59" s="903"/>
      <c r="Q59" s="898"/>
      <c r="R59" s="898"/>
      <c r="S59" s="898"/>
      <c r="T59" s="898"/>
      <c r="U59" s="898"/>
      <c r="V59" s="898"/>
    </row>
    <row r="60" spans="1:22">
      <c r="A60" s="184" t="s">
        <v>722</v>
      </c>
      <c r="B60" s="679">
        <f t="shared" ref="B60:G60" si="13">B61+B62+B63+B64+B65+B66+B67+B68</f>
        <v>5277818</v>
      </c>
      <c r="C60" s="679">
        <f t="shared" si="13"/>
        <v>5312508</v>
      </c>
      <c r="D60" s="679">
        <f t="shared" si="13"/>
        <v>5345735</v>
      </c>
      <c r="E60" s="679">
        <f t="shared" si="13"/>
        <v>5374995</v>
      </c>
      <c r="F60" s="679">
        <f t="shared" si="13"/>
        <v>5401825</v>
      </c>
      <c r="G60" s="679">
        <f t="shared" si="13"/>
        <v>5455792</v>
      </c>
      <c r="H60" s="679">
        <f t="shared" ref="H60:J60" si="14">H61+H62+H63+H64+H65+H66+H67+H68</f>
        <v>5455792</v>
      </c>
      <c r="I60" s="679">
        <f t="shared" si="14"/>
        <v>5455792</v>
      </c>
      <c r="J60" s="679">
        <f t="shared" si="14"/>
        <v>5455792</v>
      </c>
      <c r="K60" s="695"/>
      <c r="L60" s="265"/>
      <c r="M60" s="265"/>
      <c r="N60" s="265"/>
      <c r="O60" s="265"/>
      <c r="P60" s="903"/>
      <c r="Q60" s="898"/>
      <c r="R60" s="898"/>
      <c r="S60" s="898"/>
      <c r="T60" s="898"/>
      <c r="U60" s="898"/>
      <c r="V60" s="898"/>
    </row>
    <row r="61" spans="1:22">
      <c r="A61" s="184" t="s">
        <v>2319</v>
      </c>
      <c r="B61" s="368">
        <f>'K18'!$D427</f>
        <v>118267</v>
      </c>
      <c r="C61" s="368">
        <f>'K19'!$D427</f>
        <v>114436</v>
      </c>
      <c r="D61" s="368">
        <f>'K20'!$D361</f>
        <v>111725</v>
      </c>
      <c r="E61" s="368">
        <f>'K21'!$D361</f>
        <v>109851</v>
      </c>
      <c r="F61" s="368">
        <f>'K22'!$D361</f>
        <v>108843</v>
      </c>
      <c r="G61" s="368">
        <f>'K23'!$D361</f>
        <v>109740</v>
      </c>
      <c r="H61" s="33">
        <f t="shared" ref="H61:I61" si="15">G61</f>
        <v>109740</v>
      </c>
      <c r="I61" s="33">
        <f t="shared" si="15"/>
        <v>109740</v>
      </c>
      <c r="J61" s="33">
        <f>I61</f>
        <v>109740</v>
      </c>
      <c r="K61" s="265"/>
      <c r="L61" s="265"/>
      <c r="M61" s="265"/>
      <c r="N61" s="265"/>
      <c r="O61" s="265"/>
      <c r="P61" s="903"/>
      <c r="Q61" s="898"/>
      <c r="R61" s="898"/>
      <c r="S61" s="898"/>
      <c r="T61" s="898"/>
      <c r="U61" s="898"/>
      <c r="V61" s="898"/>
    </row>
    <row r="62" spans="1:22">
      <c r="A62" s="184" t="s">
        <v>1122</v>
      </c>
      <c r="B62" s="368">
        <f>'K18'!$E427</f>
        <v>246598</v>
      </c>
      <c r="C62" s="368">
        <f>'K19'!$E427</f>
        <v>245126</v>
      </c>
      <c r="D62" s="368">
        <f>'K20'!$E361</f>
        <v>241699</v>
      </c>
      <c r="E62" s="368">
        <f>'K21'!$E361</f>
        <v>237316</v>
      </c>
      <c r="F62" s="368">
        <f>'K22'!$E361</f>
        <v>232622</v>
      </c>
      <c r="G62" s="368">
        <f>'K23'!$E361</f>
        <v>228507</v>
      </c>
      <c r="H62" s="33">
        <f t="shared" ref="H62:J62" si="16">G62</f>
        <v>228507</v>
      </c>
      <c r="I62" s="33">
        <f t="shared" si="16"/>
        <v>228507</v>
      </c>
      <c r="J62" s="33">
        <f t="shared" si="16"/>
        <v>228507</v>
      </c>
      <c r="K62" s="265"/>
      <c r="L62" s="265"/>
      <c r="M62" s="265"/>
      <c r="N62" s="265"/>
      <c r="O62" s="265"/>
      <c r="P62" s="903"/>
      <c r="Q62" s="898"/>
      <c r="R62" s="898"/>
      <c r="S62" s="898"/>
      <c r="T62" s="898"/>
      <c r="U62" s="898"/>
      <c r="V62" s="898"/>
    </row>
    <row r="63" spans="1:22">
      <c r="A63" s="184" t="s">
        <v>980</v>
      </c>
      <c r="B63" s="368">
        <f>'K18'!$F427</f>
        <v>634798</v>
      </c>
      <c r="C63" s="368">
        <f>'K19'!$F427</f>
        <v>639819</v>
      </c>
      <c r="D63" s="368">
        <f>'K20'!$F361</f>
        <v>642002</v>
      </c>
      <c r="E63" s="368">
        <f>'K21'!$F361</f>
        <v>641420</v>
      </c>
      <c r="F63" s="368">
        <f>'K22'!$F361</f>
        <v>639962</v>
      </c>
      <c r="G63" s="368">
        <f>'K23'!$F361</f>
        <v>643155</v>
      </c>
      <c r="H63" s="33">
        <f t="shared" ref="H63:J63" si="17">G63</f>
        <v>643155</v>
      </c>
      <c r="I63" s="33">
        <f t="shared" si="17"/>
        <v>643155</v>
      </c>
      <c r="J63" s="33">
        <f t="shared" si="17"/>
        <v>643155</v>
      </c>
      <c r="K63" s="265"/>
      <c r="L63" s="265"/>
      <c r="M63" s="265"/>
      <c r="N63" s="265"/>
      <c r="O63" s="265"/>
      <c r="P63" s="903"/>
      <c r="Q63" s="898"/>
      <c r="R63" s="898"/>
      <c r="S63" s="898"/>
      <c r="T63" s="898"/>
      <c r="U63" s="898"/>
      <c r="V63" s="898"/>
    </row>
    <row r="64" spans="1:22">
      <c r="A64" s="184" t="s">
        <v>981</v>
      </c>
      <c r="B64" s="368">
        <f>'K18'!$G427</f>
        <v>465492</v>
      </c>
      <c r="C64" s="368">
        <f>'K19'!$G427</f>
        <v>461318</v>
      </c>
      <c r="D64" s="368">
        <f>'K20'!$G361</f>
        <v>456651</v>
      </c>
      <c r="E64" s="368">
        <f>'K21'!$G361</f>
        <v>453148</v>
      </c>
      <c r="F64" s="368">
        <f>'K22'!$G361</f>
        <v>451409</v>
      </c>
      <c r="G64" s="368">
        <f>'K23'!$G361</f>
        <v>453296</v>
      </c>
      <c r="H64" s="33">
        <f t="shared" ref="H64:J64" si="18">G64</f>
        <v>453296</v>
      </c>
      <c r="I64" s="33">
        <f t="shared" si="18"/>
        <v>453296</v>
      </c>
      <c r="J64" s="33">
        <f t="shared" si="18"/>
        <v>453296</v>
      </c>
      <c r="K64" s="265"/>
      <c r="L64" s="265"/>
      <c r="M64" s="265"/>
      <c r="N64" s="265"/>
      <c r="O64" s="265"/>
      <c r="P64" s="903"/>
      <c r="Q64" s="898"/>
      <c r="R64" s="898"/>
      <c r="S64" s="898"/>
      <c r="T64" s="898"/>
      <c r="U64" s="898"/>
      <c r="V64" s="898"/>
    </row>
    <row r="65" spans="1:22">
      <c r="A65" s="184" t="s">
        <v>982</v>
      </c>
      <c r="B65" s="368">
        <f>'K18'!$H427</f>
        <v>3035065</v>
      </c>
      <c r="C65" s="368">
        <f>'K19'!$H427</f>
        <v>3054570</v>
      </c>
      <c r="D65" s="368">
        <f>'K20'!$H361</f>
        <v>3076256</v>
      </c>
      <c r="E65" s="368">
        <f>'K21'!$H361</f>
        <v>3093029</v>
      </c>
      <c r="F65" s="368">
        <f>'K22'!$H361</f>
        <v>3106418</v>
      </c>
      <c r="G65" s="368">
        <f>'K23'!$H361</f>
        <v>3138464</v>
      </c>
      <c r="H65" s="33">
        <f t="shared" ref="H65:J65" si="19">G65</f>
        <v>3138464</v>
      </c>
      <c r="I65" s="33">
        <f t="shared" si="19"/>
        <v>3138464</v>
      </c>
      <c r="J65" s="33">
        <f t="shared" si="19"/>
        <v>3138464</v>
      </c>
      <c r="K65" s="265"/>
      <c r="L65" s="265"/>
      <c r="M65" s="265"/>
      <c r="N65" s="265"/>
      <c r="O65" s="265"/>
      <c r="P65" s="903"/>
      <c r="Q65" s="898"/>
      <c r="R65" s="898"/>
      <c r="S65" s="898"/>
      <c r="T65" s="898"/>
      <c r="U65" s="898"/>
      <c r="V65" s="898"/>
    </row>
    <row r="66" spans="1:22">
      <c r="A66" s="184" t="s">
        <v>983</v>
      </c>
      <c r="B66" s="368">
        <f>'K18'!$I427</f>
        <v>555836</v>
      </c>
      <c r="C66" s="368">
        <f>'K19'!$I427</f>
        <v>572790</v>
      </c>
      <c r="D66" s="368">
        <f>'K20'!$I361</f>
        <v>588564</v>
      </c>
      <c r="E66" s="368">
        <f>'K21'!$I361</f>
        <v>605814</v>
      </c>
      <c r="F66" s="368">
        <f>'K22'!$I361</f>
        <v>623431</v>
      </c>
      <c r="G66" s="368">
        <f>'K23'!$I361</f>
        <v>639203</v>
      </c>
      <c r="H66" s="33">
        <f t="shared" ref="H66:J66" si="20">G66</f>
        <v>639203</v>
      </c>
      <c r="I66" s="33">
        <f t="shared" si="20"/>
        <v>639203</v>
      </c>
      <c r="J66" s="33">
        <f t="shared" si="20"/>
        <v>639203</v>
      </c>
      <c r="K66" s="265"/>
      <c r="L66" s="265"/>
      <c r="M66" s="265"/>
      <c r="N66" s="265"/>
      <c r="O66" s="265"/>
      <c r="P66" s="903"/>
      <c r="Q66" s="898"/>
      <c r="R66" s="898"/>
      <c r="S66" s="898"/>
      <c r="T66" s="898"/>
      <c r="U66" s="898"/>
      <c r="V66" s="898"/>
    </row>
    <row r="67" spans="1:22">
      <c r="A67" s="184" t="s">
        <v>984</v>
      </c>
      <c r="B67" s="368">
        <f>'K18'!$J427</f>
        <v>177201</v>
      </c>
      <c r="C67" s="368">
        <f>'K19'!$J427</f>
        <v>179646</v>
      </c>
      <c r="D67" s="368">
        <f>'K20'!$J361</f>
        <v>183672</v>
      </c>
      <c r="E67" s="368">
        <f>'K21'!$J361</f>
        <v>188542</v>
      </c>
      <c r="F67" s="368">
        <f>'K22'!$J361</f>
        <v>192104</v>
      </c>
      <c r="G67" s="368">
        <f>'K23'!$J361</f>
        <v>196967</v>
      </c>
      <c r="H67" s="33">
        <f t="shared" ref="H67:J67" si="21">G67</f>
        <v>196967</v>
      </c>
      <c r="I67" s="33">
        <f t="shared" si="21"/>
        <v>196967</v>
      </c>
      <c r="J67" s="33">
        <f t="shared" si="21"/>
        <v>196967</v>
      </c>
      <c r="K67" s="265"/>
      <c r="L67" s="265"/>
      <c r="M67" s="265"/>
      <c r="N67" s="265"/>
      <c r="O67" s="265"/>
      <c r="P67" s="903"/>
      <c r="Q67" s="898"/>
      <c r="R67" s="898"/>
      <c r="S67" s="898"/>
      <c r="T67" s="898"/>
      <c r="U67" s="898"/>
      <c r="V67" s="898"/>
    </row>
    <row r="68" spans="1:22">
      <c r="A68" s="184" t="s">
        <v>985</v>
      </c>
      <c r="B68" s="368">
        <f>'K18'!$K427</f>
        <v>44561</v>
      </c>
      <c r="C68" s="368">
        <f>'K19'!$K427</f>
        <v>44803</v>
      </c>
      <c r="D68" s="368">
        <f>'K20'!$K361</f>
        <v>45166</v>
      </c>
      <c r="E68" s="368">
        <f>'K21'!$K361</f>
        <v>45875</v>
      </c>
      <c r="F68" s="368">
        <f>'K22'!$K361</f>
        <v>47036</v>
      </c>
      <c r="G68" s="368">
        <f>'K23'!$K361</f>
        <v>46460</v>
      </c>
      <c r="H68" s="33">
        <f t="shared" ref="H68:J68" si="22">G68</f>
        <v>46460</v>
      </c>
      <c r="I68" s="33">
        <f t="shared" si="22"/>
        <v>46460</v>
      </c>
      <c r="J68" s="33">
        <f t="shared" si="22"/>
        <v>46460</v>
      </c>
      <c r="K68" s="265"/>
      <c r="L68" s="265"/>
      <c r="M68" s="265"/>
      <c r="N68" s="265"/>
      <c r="O68" s="265"/>
      <c r="P68" s="903"/>
      <c r="Q68" s="898"/>
      <c r="R68" s="898"/>
      <c r="S68" s="898"/>
      <c r="T68" s="898"/>
      <c r="U68" s="898"/>
      <c r="V68" s="898"/>
    </row>
    <row r="69" spans="1:22">
      <c r="A69" s="184" t="s">
        <v>729</v>
      </c>
      <c r="B69" s="368">
        <f>+'K18'!$W427</f>
        <v>325.06474423000014</v>
      </c>
      <c r="C69" s="368">
        <f>+'K19'!$W427</f>
        <v>324.93630098000017</v>
      </c>
      <c r="D69" s="368">
        <f>+'K20'!$W361</f>
        <v>274.58317453000001</v>
      </c>
      <c r="E69" s="368">
        <f>+'K21'!$W361</f>
        <v>274.58229885999981</v>
      </c>
      <c r="F69" s="368">
        <f>+'K22'!$W361</f>
        <v>274.62708669999978</v>
      </c>
      <c r="G69" s="368">
        <f>+'K23'!$W361</f>
        <v>274.56015800000011</v>
      </c>
      <c r="H69" s="33">
        <f t="shared" ref="H69:J69" si="23">G69</f>
        <v>274.56015800000011</v>
      </c>
      <c r="I69" s="33">
        <f t="shared" si="23"/>
        <v>274.56015800000011</v>
      </c>
      <c r="J69" s="33">
        <f t="shared" si="23"/>
        <v>274.56015800000011</v>
      </c>
      <c r="K69" s="265"/>
      <c r="L69" s="265"/>
      <c r="M69" s="265"/>
      <c r="N69" s="265"/>
      <c r="O69" s="265"/>
      <c r="P69" s="903"/>
      <c r="Q69" s="898"/>
      <c r="R69" s="898"/>
      <c r="S69" s="898"/>
      <c r="T69" s="898"/>
      <c r="U69" s="898"/>
      <c r="V69" s="898"/>
    </row>
    <row r="70" spans="1:22">
      <c r="A70" s="184" t="s">
        <v>987</v>
      </c>
      <c r="B70" s="368">
        <f>'K18'!$P427</f>
        <v>20473408.768499982</v>
      </c>
      <c r="C70" s="368">
        <f>'K19'!$P427</f>
        <v>20463927.099499971</v>
      </c>
      <c r="D70" s="368">
        <f>'K20'!$P361</f>
        <v>20594754.128651891</v>
      </c>
      <c r="E70" s="368">
        <f>'K21'!$P361</f>
        <v>20827541.169325836</v>
      </c>
      <c r="F70" s="368">
        <f>'K22'!$P361</f>
        <v>21146080.194666672</v>
      </c>
      <c r="G70" s="368">
        <f>'K23'!$P361</f>
        <v>21404993.032999922</v>
      </c>
      <c r="H70" s="33">
        <f t="shared" ref="H70:H84" si="24">G70*$H$60/$G$60</f>
        <v>21404993.032999922</v>
      </c>
      <c r="I70" s="33">
        <f t="shared" ref="I70:I84" si="25">H70*$I$60/$H$60</f>
        <v>21404993.032999922</v>
      </c>
      <c r="J70" s="33">
        <f t="shared" ref="J70:J84" si="26">I70*$J$60/$I$60</f>
        <v>21404993.032999922</v>
      </c>
      <c r="K70" s="265"/>
      <c r="L70" s="265"/>
      <c r="M70" s="265"/>
      <c r="N70" s="265"/>
      <c r="O70" s="265"/>
      <c r="P70" s="903"/>
      <c r="Q70" s="898"/>
      <c r="R70" s="898"/>
      <c r="S70" s="898"/>
      <c r="T70" s="898"/>
      <c r="U70" s="898"/>
      <c r="V70" s="898"/>
    </row>
    <row r="71" spans="1:22">
      <c r="A71" s="184" t="s">
        <v>988</v>
      </c>
      <c r="B71" s="368">
        <f>'K18'!$Q427</f>
        <v>9385626.614166623</v>
      </c>
      <c r="C71" s="368">
        <f>'K19'!$Q427</f>
        <v>9424649.3361667134</v>
      </c>
      <c r="D71" s="368">
        <f>'K20'!$Q361</f>
        <v>9462950.3373260424</v>
      </c>
      <c r="E71" s="368">
        <f>'K21'!$Q361</f>
        <v>9518719.3936629929</v>
      </c>
      <c r="F71" s="368">
        <f>'K22'!$Q361</f>
        <v>9629998.8709999528</v>
      </c>
      <c r="G71" s="368">
        <f>'K23'!$Q361</f>
        <v>9740388.0300000217</v>
      </c>
      <c r="H71" s="33">
        <f t="shared" si="24"/>
        <v>9740388.0300000217</v>
      </c>
      <c r="I71" s="33">
        <f t="shared" si="25"/>
        <v>9740388.0300000217</v>
      </c>
      <c r="J71" s="33">
        <f t="shared" si="26"/>
        <v>9740388.0300000217</v>
      </c>
      <c r="K71" s="265"/>
      <c r="L71" s="265"/>
      <c r="M71" s="265"/>
      <c r="N71" s="265"/>
      <c r="O71" s="265"/>
      <c r="P71" s="903"/>
      <c r="Q71" s="898"/>
      <c r="R71" s="898"/>
      <c r="S71" s="898"/>
      <c r="T71" s="898"/>
      <c r="U71" s="898"/>
      <c r="V71" s="898"/>
    </row>
    <row r="72" spans="1:22">
      <c r="A72" s="184" t="s">
        <v>986</v>
      </c>
      <c r="B72" s="369">
        <f>+'K18'!$U427</f>
        <v>1</v>
      </c>
      <c r="C72" s="369">
        <f>+'K19'!$U427</f>
        <v>1.0000000000000002</v>
      </c>
      <c r="D72" s="369">
        <f>+'K20'!$U361</f>
        <v>0.99999999999999944</v>
      </c>
      <c r="E72" s="369">
        <f>+'K21'!$U361</f>
        <v>1.0000000000000007</v>
      </c>
      <c r="F72" s="369">
        <f>+'K22'!$U361</f>
        <v>0.99999999999999956</v>
      </c>
      <c r="G72" s="369">
        <f>+'K23'!$U361</f>
        <v>1.0000000000000004</v>
      </c>
      <c r="H72" s="294">
        <f t="shared" si="24"/>
        <v>1.0000000000000004</v>
      </c>
      <c r="I72" s="294">
        <f t="shared" si="25"/>
        <v>1.0000000000000004</v>
      </c>
      <c r="J72" s="294">
        <f t="shared" si="26"/>
        <v>1.0000000000000004</v>
      </c>
      <c r="K72" s="265"/>
      <c r="L72" s="265"/>
      <c r="M72" s="265"/>
      <c r="N72" s="265"/>
      <c r="O72" s="265"/>
      <c r="P72" s="903"/>
      <c r="Q72" s="898"/>
      <c r="R72" s="898"/>
      <c r="S72" s="898"/>
      <c r="T72" s="898"/>
      <c r="U72" s="898"/>
      <c r="V72" s="898"/>
    </row>
    <row r="73" spans="1:22">
      <c r="A73" s="184" t="s">
        <v>1008</v>
      </c>
      <c r="B73" s="368">
        <f>'K18'!$O427</f>
        <v>49464</v>
      </c>
      <c r="C73" s="368">
        <f>'K19'!$O427</f>
        <v>51039</v>
      </c>
      <c r="D73" s="368">
        <f>'K20'!$O361</f>
        <v>51420</v>
      </c>
      <c r="E73" s="368">
        <f>'K21'!$O361</f>
        <v>51419</v>
      </c>
      <c r="F73" s="368">
        <f>'K22'!$O361</f>
        <v>49484</v>
      </c>
      <c r="G73" s="368">
        <f>'K23'!$O361</f>
        <v>48588</v>
      </c>
      <c r="H73" s="33">
        <f t="shared" si="24"/>
        <v>48588</v>
      </c>
      <c r="I73" s="33">
        <f t="shared" si="25"/>
        <v>48588</v>
      </c>
      <c r="J73" s="33">
        <f t="shared" si="26"/>
        <v>48588</v>
      </c>
      <c r="K73" s="265"/>
      <c r="L73" s="265"/>
      <c r="M73" s="265"/>
      <c r="N73" s="265"/>
      <c r="O73" s="265"/>
      <c r="P73" s="903"/>
      <c r="Q73" s="898"/>
      <c r="R73" s="898"/>
      <c r="S73" s="898"/>
      <c r="T73" s="898"/>
      <c r="U73" s="898"/>
      <c r="V73" s="898"/>
    </row>
    <row r="74" spans="1:22">
      <c r="A74" s="184" t="s">
        <v>991</v>
      </c>
      <c r="B74" s="368">
        <f>'K18'!$N427</f>
        <v>147902</v>
      </c>
      <c r="C74" s="368">
        <f>'K19'!$N427</f>
        <v>150287</v>
      </c>
      <c r="D74" s="368">
        <f>'K20'!$N361</f>
        <v>152560.5</v>
      </c>
      <c r="E74" s="368">
        <f>'K21'!$N361</f>
        <v>155864.5</v>
      </c>
      <c r="F74" s="368">
        <f>'K22'!$N361</f>
        <v>163697.5</v>
      </c>
      <c r="G74" s="368">
        <f>'K23'!$N361</f>
        <v>177205.5</v>
      </c>
      <c r="H74" s="33">
        <f t="shared" si="24"/>
        <v>177205.5</v>
      </c>
      <c r="I74" s="33">
        <f t="shared" si="25"/>
        <v>177205.5</v>
      </c>
      <c r="J74" s="33">
        <f t="shared" si="26"/>
        <v>177205.5</v>
      </c>
      <c r="K74" s="265"/>
      <c r="L74" s="265"/>
      <c r="M74" s="265"/>
      <c r="N74" s="265"/>
      <c r="O74" s="265"/>
      <c r="P74" s="903"/>
      <c r="Q74" s="898"/>
      <c r="R74" s="898"/>
      <c r="S74" s="898"/>
      <c r="T74" s="898"/>
      <c r="U74" s="898"/>
      <c r="V74" s="898"/>
    </row>
    <row r="75" spans="1:22">
      <c r="A75" s="184" t="s">
        <v>989</v>
      </c>
      <c r="B75" s="368">
        <f>'K18'!$L427</f>
        <v>41160</v>
      </c>
      <c r="C75" s="368">
        <f>'K19'!$L427</f>
        <v>40765</v>
      </c>
      <c r="D75" s="368">
        <f>'K20'!$L361</f>
        <v>40228</v>
      </c>
      <c r="E75" s="368">
        <f>'K21'!$L361</f>
        <v>40489</v>
      </c>
      <c r="F75" s="368">
        <f>'K22'!$L361</f>
        <v>40469</v>
      </c>
      <c r="G75" s="368">
        <f>'K23'!$L361</f>
        <v>40709</v>
      </c>
      <c r="H75" s="33">
        <f t="shared" si="24"/>
        <v>40709</v>
      </c>
      <c r="I75" s="33">
        <f t="shared" si="25"/>
        <v>40709</v>
      </c>
      <c r="J75" s="33">
        <f t="shared" si="26"/>
        <v>40709</v>
      </c>
      <c r="K75" s="265"/>
      <c r="L75" s="265"/>
      <c r="M75" s="265"/>
      <c r="N75" s="265"/>
      <c r="O75" s="265"/>
      <c r="P75" s="903"/>
      <c r="Q75" s="898"/>
      <c r="R75" s="898"/>
      <c r="S75" s="898"/>
      <c r="T75" s="898"/>
      <c r="U75" s="898"/>
      <c r="V75" s="898"/>
    </row>
    <row r="76" spans="1:22">
      <c r="A76" s="184" t="s">
        <v>159</v>
      </c>
      <c r="B76" s="368">
        <f>'K18'!$BA427</f>
        <v>122673</v>
      </c>
      <c r="C76" s="368">
        <f>'K19'!$BA427</f>
        <v>119602</v>
      </c>
      <c r="D76" s="368">
        <f>'K20'!$BA361</f>
        <v>116670</v>
      </c>
      <c r="E76" s="368">
        <f>'K21'!$BA361</f>
        <v>113292</v>
      </c>
      <c r="F76" s="368">
        <f>'K22'!$BA361</f>
        <v>110975</v>
      </c>
      <c r="G76" s="368">
        <f>'K23'!$BA361</f>
        <v>107249</v>
      </c>
      <c r="H76" s="33">
        <f t="shared" si="24"/>
        <v>107249</v>
      </c>
      <c r="I76" s="33">
        <f t="shared" si="25"/>
        <v>107249</v>
      </c>
      <c r="J76" s="33">
        <f t="shared" si="26"/>
        <v>107249</v>
      </c>
      <c r="K76" s="265"/>
      <c r="L76" s="265"/>
      <c r="M76" s="265"/>
      <c r="N76" s="265"/>
      <c r="O76" s="265"/>
      <c r="P76" s="903"/>
      <c r="Q76" s="898"/>
      <c r="R76" s="898"/>
      <c r="S76" s="898"/>
      <c r="T76" s="898"/>
      <c r="U76" s="898"/>
      <c r="V76" s="898"/>
    </row>
    <row r="77" spans="1:22">
      <c r="A77" s="184" t="s">
        <v>990</v>
      </c>
      <c r="B77" s="368">
        <f>'K18'!$AZ427</f>
        <v>260937</v>
      </c>
      <c r="C77" s="368">
        <f>'K19'!$AZ427</f>
        <v>263451</v>
      </c>
      <c r="D77" s="368">
        <f>'K20'!$AZ361</f>
        <v>276501</v>
      </c>
      <c r="E77" s="368">
        <f>'K21'!$AZ361</f>
        <v>285344</v>
      </c>
      <c r="F77" s="368">
        <f>'K22'!$AZ361</f>
        <v>286977</v>
      </c>
      <c r="G77" s="368">
        <f>'K23'!$AZ361</f>
        <v>285349</v>
      </c>
      <c r="H77" s="33">
        <f t="shared" si="24"/>
        <v>285349</v>
      </c>
      <c r="I77" s="33">
        <f t="shared" si="25"/>
        <v>285349</v>
      </c>
      <c r="J77" s="33">
        <f t="shared" si="26"/>
        <v>285349</v>
      </c>
      <c r="K77" s="265"/>
      <c r="L77" s="265"/>
      <c r="M77" s="265"/>
      <c r="N77" s="265"/>
      <c r="O77" s="265"/>
      <c r="P77" s="903"/>
      <c r="Q77" s="898"/>
      <c r="R77" s="898"/>
      <c r="S77" s="898"/>
      <c r="T77" s="898"/>
      <c r="U77" s="898"/>
      <c r="V77" s="898"/>
    </row>
    <row r="78" spans="1:22">
      <c r="A78" s="184" t="s">
        <v>759</v>
      </c>
      <c r="B78" s="368">
        <f>'K18'!$AB427</f>
        <v>94623</v>
      </c>
      <c r="C78" s="368">
        <f>'K19'!$AB427</f>
        <v>99701</v>
      </c>
      <c r="D78" s="368">
        <f>'K20'!$AB361</f>
        <v>107852</v>
      </c>
      <c r="E78" s="368">
        <f>'K21'!$AB361</f>
        <v>115718</v>
      </c>
      <c r="F78" s="368">
        <f>'K22'!$AB361</f>
        <v>119344</v>
      </c>
      <c r="G78" s="368">
        <f>'K23'!$AB361</f>
        <v>121768</v>
      </c>
      <c r="H78" s="33">
        <f t="shared" si="24"/>
        <v>121768</v>
      </c>
      <c r="I78" s="33">
        <f t="shared" si="25"/>
        <v>121768</v>
      </c>
      <c r="J78" s="33">
        <f t="shared" si="26"/>
        <v>121768</v>
      </c>
      <c r="K78" s="265"/>
      <c r="L78" s="265"/>
      <c r="M78" s="265"/>
      <c r="N78" s="265"/>
      <c r="O78" s="265"/>
      <c r="P78" s="903"/>
      <c r="Q78" s="898"/>
      <c r="R78" s="898"/>
      <c r="S78" s="898"/>
      <c r="T78" s="898"/>
      <c r="U78" s="898"/>
      <c r="V78" s="898"/>
    </row>
    <row r="79" spans="1:22">
      <c r="A79" s="184" t="s">
        <v>160</v>
      </c>
      <c r="B79" s="370">
        <f>'K18'!$AM427</f>
        <v>223.69054585000003</v>
      </c>
      <c r="C79" s="370">
        <f>'K19'!$AM427</f>
        <v>190.44625632</v>
      </c>
      <c r="D79" s="370">
        <f>'K20'!$AM361</f>
        <v>173.51029916999997</v>
      </c>
      <c r="E79" s="370">
        <f>'K21'!$AM361</f>
        <v>171.39600564999989</v>
      </c>
      <c r="F79" s="370">
        <f>'K22'!$AM361</f>
        <v>168.87335640000001</v>
      </c>
      <c r="G79" s="370">
        <f>'K23'!$AM361</f>
        <v>233.69029071</v>
      </c>
      <c r="H79" s="293">
        <f t="shared" si="24"/>
        <v>233.69029071</v>
      </c>
      <c r="I79" s="293">
        <f t="shared" si="25"/>
        <v>233.69029071</v>
      </c>
      <c r="J79" s="293">
        <f t="shared" si="26"/>
        <v>233.69029071</v>
      </c>
      <c r="K79" s="265"/>
      <c r="L79" s="265"/>
      <c r="M79" s="265"/>
      <c r="N79" s="265"/>
      <c r="O79" s="265"/>
      <c r="P79" s="903"/>
      <c r="Q79" s="898"/>
      <c r="R79" s="898"/>
      <c r="S79" s="898"/>
      <c r="T79" s="898"/>
      <c r="U79" s="898"/>
      <c r="V79" s="898"/>
    </row>
    <row r="80" spans="1:22">
      <c r="A80" s="184" t="s">
        <v>1120</v>
      </c>
      <c r="B80" s="368">
        <f>+'K18'!$T427</f>
        <v>449127</v>
      </c>
      <c r="C80" s="368">
        <f>+'K19'!$T427</f>
        <v>455399</v>
      </c>
      <c r="D80" s="368">
        <f>+'K20'!$T361</f>
        <v>475871</v>
      </c>
      <c r="E80" s="368">
        <f>+'K21'!$T361</f>
        <v>488624</v>
      </c>
      <c r="F80" s="368">
        <f>+'K22'!$T361</f>
        <v>502421</v>
      </c>
      <c r="G80" s="368">
        <f>+'K23'!$T361</f>
        <v>515435</v>
      </c>
      <c r="H80" s="33">
        <f t="shared" si="24"/>
        <v>515435</v>
      </c>
      <c r="I80" s="33">
        <f t="shared" si="25"/>
        <v>515435</v>
      </c>
      <c r="J80" s="33">
        <f t="shared" si="26"/>
        <v>515435</v>
      </c>
      <c r="K80" s="265"/>
      <c r="L80" s="265"/>
      <c r="M80" s="265"/>
      <c r="N80" s="265"/>
      <c r="O80" s="265"/>
      <c r="P80" s="903"/>
      <c r="Q80" s="898"/>
      <c r="R80" s="898"/>
      <c r="S80" s="898"/>
      <c r="T80" s="898"/>
      <c r="U80" s="898"/>
      <c r="V80" s="898"/>
    </row>
    <row r="81" spans="1:22">
      <c r="A81" s="184" t="s">
        <v>992</v>
      </c>
      <c r="B81" s="368">
        <f>'K18'!$R427</f>
        <v>19487</v>
      </c>
      <c r="C81" s="368">
        <f>'K19'!$R427</f>
        <v>19858</v>
      </c>
      <c r="D81" s="368">
        <f>'K20'!$R361</f>
        <v>19431</v>
      </c>
      <c r="E81" s="368">
        <f>'K21'!$R361</f>
        <v>19681</v>
      </c>
      <c r="F81" s="368">
        <f>'K22'!$R361</f>
        <v>19939</v>
      </c>
      <c r="G81" s="368">
        <f>'K23'!$R361</f>
        <v>20146</v>
      </c>
      <c r="H81" s="33">
        <f t="shared" si="24"/>
        <v>20146</v>
      </c>
      <c r="I81" s="33">
        <f t="shared" si="25"/>
        <v>20146</v>
      </c>
      <c r="J81" s="33">
        <f t="shared" si="26"/>
        <v>20146</v>
      </c>
      <c r="K81" s="265"/>
      <c r="L81" s="265"/>
      <c r="M81" s="265"/>
      <c r="N81" s="265"/>
      <c r="O81" s="265"/>
      <c r="P81" s="903"/>
      <c r="Q81" s="898"/>
      <c r="R81" s="898"/>
      <c r="S81" s="898"/>
      <c r="T81" s="898"/>
      <c r="U81" s="898"/>
      <c r="V81" s="898"/>
    </row>
    <row r="82" spans="1:22">
      <c r="A82" s="184" t="s">
        <v>727</v>
      </c>
      <c r="B82" s="368">
        <f>'K18'!$M427</f>
        <v>342622</v>
      </c>
      <c r="C82" s="368">
        <f>'K19'!$M427</f>
        <v>350364</v>
      </c>
      <c r="D82" s="368">
        <f>'K20'!$M361</f>
        <v>358209</v>
      </c>
      <c r="E82" s="368">
        <f>'K21'!$M361</f>
        <v>367626</v>
      </c>
      <c r="F82" s="368">
        <f>'K22'!$M361</f>
        <v>377824</v>
      </c>
      <c r="G82" s="368">
        <f>'K23'!$M361</f>
        <v>388016</v>
      </c>
      <c r="H82" s="33">
        <f t="shared" si="24"/>
        <v>388016</v>
      </c>
      <c r="I82" s="33">
        <f t="shared" si="25"/>
        <v>388016</v>
      </c>
      <c r="J82" s="33">
        <f t="shared" si="26"/>
        <v>388016</v>
      </c>
      <c r="K82" s="265"/>
      <c r="L82" s="265"/>
      <c r="M82" s="265"/>
      <c r="N82" s="265"/>
      <c r="O82" s="265"/>
      <c r="P82" s="903"/>
      <c r="Q82" s="898"/>
      <c r="R82" s="898"/>
      <c r="S82" s="898"/>
      <c r="T82" s="898"/>
      <c r="U82" s="898"/>
      <c r="V82" s="898"/>
    </row>
    <row r="83" spans="1:22">
      <c r="A83" s="184" t="s">
        <v>1006</v>
      </c>
      <c r="B83" s="368">
        <f>'K18'!$AX427</f>
        <v>40654.208333949959</v>
      </c>
      <c r="C83" s="368">
        <f>'K19'!$AX427</f>
        <v>39069.171666949944</v>
      </c>
      <c r="D83" s="368">
        <f>'K20'!$AX361</f>
        <v>39544.291750000004</v>
      </c>
      <c r="E83" s="368">
        <f>'K21'!$AX361</f>
        <v>39438.333050000001</v>
      </c>
      <c r="F83" s="368">
        <f>'K22'!$AX361</f>
        <v>38895.041199999985</v>
      </c>
      <c r="G83" s="368">
        <f>'K23'!$AX361</f>
        <v>41007.707449999973</v>
      </c>
      <c r="H83" s="33">
        <f t="shared" si="24"/>
        <v>41007.707449999973</v>
      </c>
      <c r="I83" s="33">
        <f t="shared" si="25"/>
        <v>41007.707449999973</v>
      </c>
      <c r="J83" s="33">
        <f t="shared" si="26"/>
        <v>41007.707449999973</v>
      </c>
      <c r="K83" s="265"/>
      <c r="L83" s="265"/>
      <c r="M83" s="265"/>
      <c r="N83" s="265"/>
      <c r="O83" s="265"/>
      <c r="P83" s="903"/>
      <c r="Q83" s="898"/>
      <c r="R83" s="898"/>
      <c r="S83" s="898"/>
      <c r="T83" s="898"/>
      <c r="U83" s="898"/>
      <c r="V83" s="898"/>
    </row>
    <row r="84" spans="1:22">
      <c r="A84" s="184" t="s">
        <v>161</v>
      </c>
      <c r="B84" s="368">
        <f>'K18'!$AY427</f>
        <v>1321033</v>
      </c>
      <c r="C84" s="368">
        <f>'K19'!$AY427</f>
        <v>1355932</v>
      </c>
      <c r="D84" s="368">
        <f>'K20'!$AY361</f>
        <v>1392556</v>
      </c>
      <c r="E84" s="368">
        <f>'K21'!$AY361</f>
        <v>1452561</v>
      </c>
      <c r="F84" s="368">
        <f>'K22'!$AY361</f>
        <v>1496396</v>
      </c>
      <c r="G84" s="368">
        <f>'K23'!$AY361</f>
        <v>1533254</v>
      </c>
      <c r="H84" s="33">
        <f t="shared" si="24"/>
        <v>1533254</v>
      </c>
      <c r="I84" s="33">
        <f t="shared" si="25"/>
        <v>1533254</v>
      </c>
      <c r="J84" s="33">
        <f t="shared" si="26"/>
        <v>1533254</v>
      </c>
      <c r="K84" s="265"/>
      <c r="L84" s="265"/>
      <c r="M84" s="265"/>
      <c r="N84" s="265"/>
      <c r="O84" s="265"/>
      <c r="P84" s="903"/>
      <c r="Q84" s="898"/>
      <c r="R84" s="898"/>
      <c r="S84" s="898"/>
      <c r="T84" s="898"/>
      <c r="U84" s="898"/>
      <c r="V84" s="898"/>
    </row>
    <row r="85" spans="1:22">
      <c r="A85" s="41"/>
      <c r="B85" s="216" t="str">
        <f t="shared" ref="B85:J85" si="27">B53</f>
        <v>per 1.1.2018</v>
      </c>
      <c r="C85" s="216" t="str">
        <f t="shared" si="27"/>
        <v>per 1.1.2019</v>
      </c>
      <c r="D85" s="216" t="str">
        <f t="shared" si="27"/>
        <v>per 1.1.2020</v>
      </c>
      <c r="E85" s="216" t="str">
        <f t="shared" si="27"/>
        <v>per 1.1.2021</v>
      </c>
      <c r="F85" s="216" t="str">
        <f t="shared" si="27"/>
        <v>per 1.1.2022</v>
      </c>
      <c r="G85" s="216" t="s">
        <v>2438</v>
      </c>
      <c r="H85" s="216" t="str">
        <f t="shared" si="27"/>
        <v>per 1.1.2024</v>
      </c>
      <c r="I85" s="216" t="str">
        <f t="shared" si="27"/>
        <v>per 1.1.2025</v>
      </c>
      <c r="J85" s="216" t="str">
        <f t="shared" si="27"/>
        <v>per 1.1.2026</v>
      </c>
      <c r="K85" s="265"/>
      <c r="L85" s="265"/>
      <c r="M85" s="265"/>
      <c r="N85" s="265"/>
      <c r="O85" s="265"/>
      <c r="P85" s="903"/>
      <c r="Q85" s="898"/>
      <c r="R85" s="898"/>
      <c r="S85" s="898"/>
      <c r="T85" s="898"/>
      <c r="U85" s="898"/>
      <c r="V85" s="898"/>
    </row>
    <row r="86" spans="1:22">
      <c r="A86" s="48" t="s">
        <v>769</v>
      </c>
      <c r="B86" s="633">
        <f>'K18'!C427</f>
        <v>5295619</v>
      </c>
      <c r="C86" s="633">
        <f>'K19'!C427</f>
        <v>5328212</v>
      </c>
      <c r="D86" s="633">
        <f>+'K20'!C361</f>
        <v>5367580</v>
      </c>
      <c r="E86" s="633">
        <f>+'K21'!C361</f>
        <v>5391369</v>
      </c>
      <c r="F86" s="633">
        <f>+'K22'!C361</f>
        <v>5425270</v>
      </c>
      <c r="G86" s="1210">
        <f>'Bef.fremskr. kommunenivå MMMM'!H362</f>
        <v>5474886</v>
      </c>
      <c r="H86" s="181">
        <f>G86</f>
        <v>5474886</v>
      </c>
      <c r="I86" s="181">
        <f>H86</f>
        <v>5474886</v>
      </c>
      <c r="J86" s="181">
        <f>I86</f>
        <v>5474886</v>
      </c>
      <c r="K86" s="265"/>
      <c r="L86" s="265"/>
      <c r="M86" s="265"/>
      <c r="N86" s="265"/>
      <c r="O86" s="265"/>
      <c r="P86" s="903"/>
      <c r="Q86" s="898"/>
      <c r="R86" s="898"/>
      <c r="S86" s="898"/>
      <c r="T86" s="898"/>
      <c r="U86" s="898"/>
      <c r="V86" s="898"/>
    </row>
    <row r="87" spans="1:22">
      <c r="A87" s="392"/>
      <c r="B87" s="782"/>
      <c r="C87" s="782"/>
      <c r="D87" s="782"/>
      <c r="E87" s="782"/>
      <c r="F87" s="782"/>
      <c r="G87" s="1249" t="str">
        <f>+G55</f>
        <v>(*) Foreløpig anslag SSB MMMM alternativ</v>
      </c>
      <c r="H87" s="1250"/>
      <c r="I87" s="1250"/>
      <c r="J87" s="1250"/>
      <c r="K87" s="265"/>
      <c r="L87" s="265"/>
      <c r="M87" s="265"/>
      <c r="N87" s="265"/>
      <c r="O87" s="265"/>
      <c r="P87" s="903"/>
      <c r="Q87" s="898"/>
      <c r="R87" s="898"/>
      <c r="S87" s="898"/>
      <c r="T87" s="898"/>
      <c r="U87" s="898"/>
      <c r="V87" s="898"/>
    </row>
    <row r="88" spans="1:22">
      <c r="A88" s="48" t="s">
        <v>1113</v>
      </c>
      <c r="B88" s="692"/>
      <c r="C88" s="692">
        <f>+C86/B86-1</f>
        <v>6.1547101481431721E-3</v>
      </c>
      <c r="D88" s="692">
        <f t="shared" ref="D88:J88" si="28">+D86/C86-1</f>
        <v>7.3885948982510552E-3</v>
      </c>
      <c r="E88" s="692">
        <f t="shared" si="28"/>
        <v>4.4319786570483632E-3</v>
      </c>
      <c r="F88" s="692">
        <f t="shared" si="28"/>
        <v>6.2880133042275688E-3</v>
      </c>
      <c r="G88" s="692">
        <f t="shared" si="28"/>
        <v>9.1453512912720303E-3</v>
      </c>
      <c r="H88" s="692">
        <f t="shared" si="28"/>
        <v>0</v>
      </c>
      <c r="I88" s="692">
        <f t="shared" si="28"/>
        <v>0</v>
      </c>
      <c r="J88" s="692">
        <f t="shared" si="28"/>
        <v>0</v>
      </c>
      <c r="K88" s="265"/>
      <c r="L88" s="265"/>
      <c r="M88" s="265"/>
      <c r="N88" s="265"/>
      <c r="O88" s="265"/>
      <c r="P88" s="903"/>
      <c r="Q88" s="898"/>
      <c r="R88" s="898"/>
      <c r="S88" s="898"/>
      <c r="T88" s="898"/>
      <c r="U88" s="898"/>
      <c r="V88" s="898"/>
    </row>
    <row r="89" spans="1:22" ht="11.25" customHeight="1">
      <c r="A89" s="36"/>
      <c r="B89" s="618"/>
      <c r="C89" s="385"/>
      <c r="D89" s="385"/>
      <c r="E89" s="385"/>
      <c r="F89" s="385"/>
      <c r="G89" s="385"/>
      <c r="H89" s="385"/>
      <c r="I89" s="385"/>
      <c r="J89" s="385"/>
      <c r="K89" s="265"/>
      <c r="L89" s="265"/>
      <c r="M89" s="265"/>
      <c r="N89" s="265"/>
      <c r="O89" s="265"/>
      <c r="P89" s="903"/>
      <c r="Q89" s="898"/>
      <c r="R89" s="898"/>
      <c r="S89" s="898"/>
      <c r="T89" s="898"/>
      <c r="U89" s="898"/>
      <c r="V89" s="898"/>
    </row>
    <row r="90" spans="1:22" ht="20.5">
      <c r="A90" s="135" t="s">
        <v>730</v>
      </c>
      <c r="B90" s="219">
        <v>2018</v>
      </c>
      <c r="C90" s="219">
        <f>B90+1</f>
        <v>2019</v>
      </c>
      <c r="D90" s="219">
        <f t="shared" ref="D90:J90" si="29">C90+1</f>
        <v>2020</v>
      </c>
      <c r="E90" s="219">
        <f t="shared" si="29"/>
        <v>2021</v>
      </c>
      <c r="F90" s="219">
        <f t="shared" si="29"/>
        <v>2022</v>
      </c>
      <c r="G90" s="219">
        <f t="shared" si="29"/>
        <v>2023</v>
      </c>
      <c r="H90" s="219">
        <f t="shared" si="29"/>
        <v>2024</v>
      </c>
      <c r="I90" s="219">
        <f t="shared" si="29"/>
        <v>2025</v>
      </c>
      <c r="J90" s="219">
        <f t="shared" si="29"/>
        <v>2026</v>
      </c>
      <c r="K90" s="265"/>
      <c r="L90" s="265"/>
      <c r="M90" s="265"/>
      <c r="N90" s="265"/>
      <c r="O90" s="265"/>
      <c r="P90" s="903"/>
      <c r="Q90" s="898"/>
      <c r="R90" s="898"/>
      <c r="S90" s="898"/>
      <c r="T90" s="898"/>
      <c r="U90" s="898"/>
      <c r="V90" s="898"/>
    </row>
    <row r="91" spans="1:22" ht="18" customHeight="1">
      <c r="A91" s="920" t="s">
        <v>2568</v>
      </c>
      <c r="B91" s="921"/>
      <c r="C91" s="921"/>
      <c r="D91" s="921"/>
      <c r="E91" s="921"/>
      <c r="F91" s="921"/>
      <c r="G91" s="921"/>
      <c r="H91" s="921"/>
      <c r="I91" s="921"/>
      <c r="J91" s="921"/>
      <c r="K91" s="265"/>
      <c r="L91" s="265"/>
      <c r="M91" s="265"/>
      <c r="N91" s="265"/>
      <c r="O91" s="265"/>
      <c r="P91" s="903"/>
      <c r="Q91" s="898"/>
      <c r="R91" s="898"/>
      <c r="S91" s="898"/>
      <c r="T91" s="898"/>
      <c r="U91" s="898"/>
      <c r="V91" s="898"/>
    </row>
    <row r="92" spans="1:22">
      <c r="A92" s="220" t="s">
        <v>2569</v>
      </c>
      <c r="B92" s="1177">
        <v>161147698</v>
      </c>
      <c r="C92" s="1177">
        <v>168703865.00000003</v>
      </c>
      <c r="D92" s="1177">
        <v>167502526.58000001</v>
      </c>
      <c r="E92" s="1177">
        <v>194551955.90200016</v>
      </c>
      <c r="F92" s="337">
        <f>E92*(1+F93)</f>
        <v>218596291.70766664</v>
      </c>
      <c r="G92" s="337">
        <f>F92*(1+G93)</f>
        <v>199481291.70766667</v>
      </c>
      <c r="H92" s="337">
        <f>G92*(1+H93)</f>
        <v>199481291.70766667</v>
      </c>
      <c r="I92" s="337">
        <f>H92*(1+I93)</f>
        <v>199481291.70766667</v>
      </c>
      <c r="J92" s="337">
        <f>I92*(1+J93)</f>
        <v>199481291.70766667</v>
      </c>
      <c r="K92" s="695"/>
      <c r="L92" s="695"/>
      <c r="M92" s="695"/>
      <c r="N92" s="695"/>
      <c r="O92" s="265"/>
      <c r="P92" s="903"/>
      <c r="Q92" s="898"/>
      <c r="R92" s="898"/>
      <c r="S92" s="898"/>
      <c r="T92" s="898"/>
      <c r="U92" s="898"/>
      <c r="V92" s="898"/>
    </row>
    <row r="93" spans="1:22" s="1196" customFormat="1" ht="10.5">
      <c r="A93" s="1188" t="s">
        <v>2597</v>
      </c>
      <c r="B93" s="1189"/>
      <c r="C93" s="1189">
        <f>(C92-B92)/B92</f>
        <v>4.6889698666375178E-2</v>
      </c>
      <c r="D93" s="1189">
        <f>(D92-C92)/C92</f>
        <v>-7.1209893146195347E-3</v>
      </c>
      <c r="E93" s="1189">
        <f>(E92-D92)/D92</f>
        <v>0.16148669440565847</v>
      </c>
      <c r="F93" s="1190">
        <v>0.12358825021413877</v>
      </c>
      <c r="G93" s="1190">
        <v>-8.7444301322196494E-2</v>
      </c>
      <c r="H93" s="1191">
        <f>Gdata!H17</f>
        <v>0</v>
      </c>
      <c r="I93" s="1191">
        <f>Gdata!I17</f>
        <v>0</v>
      </c>
      <c r="J93" s="1191">
        <f>Gdata!J17</f>
        <v>0</v>
      </c>
      <c r="K93" s="1192"/>
      <c r="L93" s="1192"/>
      <c r="M93" s="1193"/>
      <c r="N93" s="1193"/>
      <c r="O93" s="1193"/>
      <c r="P93" s="1194"/>
      <c r="Q93" s="1195"/>
      <c r="R93" s="1195"/>
      <c r="S93" s="1195"/>
      <c r="T93" s="1195"/>
      <c r="U93" s="1195"/>
      <c r="V93" s="1195"/>
    </row>
    <row r="94" spans="1:22" ht="7.5" customHeight="1">
      <c r="A94" s="220"/>
      <c r="B94" s="1177"/>
      <c r="C94" s="1177"/>
      <c r="D94" s="1177"/>
      <c r="E94" s="1177"/>
      <c r="F94" s="337"/>
      <c r="G94" s="337"/>
      <c r="H94" s="337"/>
      <c r="I94" s="337"/>
      <c r="J94" s="337"/>
      <c r="K94" s="695"/>
      <c r="L94" s="695"/>
      <c r="M94" s="695"/>
      <c r="N94" s="695"/>
      <c r="O94" s="265"/>
      <c r="P94" s="903"/>
      <c r="Q94" s="898"/>
      <c r="R94" s="898"/>
      <c r="S94" s="898"/>
      <c r="T94" s="898"/>
      <c r="U94" s="898"/>
      <c r="V94" s="898"/>
    </row>
    <row r="95" spans="1:22">
      <c r="A95" s="1222" t="s">
        <v>2600</v>
      </c>
      <c r="B95" s="1178">
        <v>1389158</v>
      </c>
      <c r="C95" s="1178">
        <v>1417732</v>
      </c>
      <c r="D95" s="1178">
        <v>1389896.4200000009</v>
      </c>
      <c r="E95" s="1178">
        <v>1403496.4570000002</v>
      </c>
      <c r="F95" s="1179">
        <v>1403708.2923333335</v>
      </c>
      <c r="G95" s="1179">
        <v>1403708.29233333</v>
      </c>
      <c r="H95" s="1179">
        <f>1403708.29233333+H13</f>
        <v>2244624.2903333302</v>
      </c>
      <c r="I95" s="1179">
        <f>+H95</f>
        <v>2244624.2903333302</v>
      </c>
      <c r="J95" s="1179">
        <f>+I95</f>
        <v>2244624.2903333302</v>
      </c>
      <c r="K95" s="695"/>
      <c r="L95" s="695"/>
      <c r="M95" s="695"/>
      <c r="N95" s="695"/>
      <c r="O95" s="265"/>
      <c r="P95" s="903"/>
      <c r="Q95" s="898"/>
      <c r="R95" s="898"/>
      <c r="S95" s="898"/>
      <c r="T95" s="898"/>
      <c r="U95" s="898"/>
      <c r="V95" s="898"/>
    </row>
    <row r="96" spans="1:22">
      <c r="A96" s="1219" t="s">
        <v>2570</v>
      </c>
      <c r="B96" s="1220">
        <f>SUM(B92:B95)</f>
        <v>162536856</v>
      </c>
      <c r="C96" s="1220">
        <f>SUM(C92:C95)</f>
        <v>170121597.04688972</v>
      </c>
      <c r="D96" s="1220">
        <f>SUM(D92:D95)</f>
        <v>168892422.992879</v>
      </c>
      <c r="E96" s="1220">
        <f>SUM(E92:E95)</f>
        <v>195955452.52048683</v>
      </c>
      <c r="F96" s="1221">
        <f>F92+F95</f>
        <v>219999999.99999997</v>
      </c>
      <c r="G96" s="1221">
        <f>G92+G95</f>
        <v>200885000</v>
      </c>
      <c r="H96" s="1221">
        <f>H92+H95</f>
        <v>201725915.998</v>
      </c>
      <c r="I96" s="1221">
        <f>I92+I95</f>
        <v>201725915.998</v>
      </c>
      <c r="J96" s="1221">
        <f>J92+J95</f>
        <v>201725915.998</v>
      </c>
      <c r="K96" s="695"/>
      <c r="L96" s="695"/>
      <c r="M96" s="695"/>
      <c r="N96" s="695"/>
      <c r="O96" s="265"/>
      <c r="P96" s="903"/>
      <c r="Q96" s="898"/>
      <c r="R96" s="898"/>
      <c r="S96" s="898"/>
      <c r="T96" s="898"/>
      <c r="U96" s="898"/>
      <c r="V96" s="898"/>
    </row>
    <row r="97" spans="1:22" s="1203" customFormat="1" ht="10.5">
      <c r="A97" s="1197" t="s">
        <v>2572</v>
      </c>
      <c r="B97" s="1198"/>
      <c r="C97" s="1198">
        <f t="shared" ref="C97:J97" si="30">(C96-B96)/B96</f>
        <v>4.6664745667836238E-2</v>
      </c>
      <c r="D97" s="1198">
        <f t="shared" si="30"/>
        <v>-7.225267545965538E-3</v>
      </c>
      <c r="E97" s="1198">
        <f t="shared" si="30"/>
        <v>0.16023826911849612</v>
      </c>
      <c r="F97" s="1198">
        <f t="shared" si="30"/>
        <v>0.12270415122538791</v>
      </c>
      <c r="G97" s="1198">
        <f t="shared" si="30"/>
        <v>-8.6886363636363512E-2</v>
      </c>
      <c r="H97" s="1198">
        <f t="shared" si="30"/>
        <v>4.1860566891504889E-3</v>
      </c>
      <c r="I97" s="1198">
        <f t="shared" si="30"/>
        <v>0</v>
      </c>
      <c r="J97" s="1198">
        <f t="shared" si="30"/>
        <v>0</v>
      </c>
      <c r="K97" s="1199"/>
      <c r="L97" s="1199"/>
      <c r="M97" s="1200"/>
      <c r="N97" s="1200"/>
      <c r="O97" s="1200"/>
      <c r="P97" s="1201"/>
      <c r="Q97" s="1202"/>
      <c r="R97" s="1202"/>
      <c r="S97" s="1202"/>
      <c r="T97" s="1202"/>
      <c r="U97" s="1202"/>
      <c r="V97" s="1202"/>
    </row>
    <row r="98" spans="1:22">
      <c r="A98" s="222"/>
      <c r="B98" s="373"/>
      <c r="C98" s="373"/>
      <c r="D98" s="373"/>
      <c r="E98" s="373"/>
      <c r="F98" s="373"/>
      <c r="G98" s="373"/>
      <c r="H98" s="373"/>
      <c r="I98" s="373"/>
      <c r="J98" s="373"/>
      <c r="K98" s="695"/>
      <c r="L98" s="265"/>
      <c r="M98" s="265"/>
      <c r="N98" s="265"/>
      <c r="O98" s="265"/>
      <c r="P98" s="903"/>
      <c r="Q98" s="898"/>
      <c r="R98" s="898"/>
      <c r="S98" s="898"/>
      <c r="T98" s="898"/>
      <c r="U98" s="898"/>
      <c r="V98" s="898"/>
    </row>
    <row r="99" spans="1:22">
      <c r="A99" s="1175" t="s">
        <v>2588</v>
      </c>
      <c r="B99" s="823">
        <f t="shared" ref="B99:J99" si="31">+B92*1000/B86</f>
        <v>30430.379904596612</v>
      </c>
      <c r="C99" s="823">
        <f t="shared" si="31"/>
        <v>31662.378486441612</v>
      </c>
      <c r="D99" s="823">
        <f t="shared" si="31"/>
        <v>31206.340022878096</v>
      </c>
      <c r="E99" s="823">
        <f t="shared" si="31"/>
        <v>36085.817146257315</v>
      </c>
      <c r="F99" s="373">
        <f t="shared" si="31"/>
        <v>40292.241991212715</v>
      </c>
      <c r="G99" s="373">
        <f t="shared" si="31"/>
        <v>36435.697785792552</v>
      </c>
      <c r="H99" s="373">
        <f t="shared" si="31"/>
        <v>36435.697785792552</v>
      </c>
      <c r="I99" s="373">
        <f t="shared" si="31"/>
        <v>36435.697785792552</v>
      </c>
      <c r="J99" s="373">
        <f t="shared" si="31"/>
        <v>36435.697785792552</v>
      </c>
      <c r="K99" s="265"/>
      <c r="L99" s="265"/>
      <c r="M99" s="265"/>
      <c r="N99" s="265"/>
      <c r="O99" s="265"/>
      <c r="P99" s="903"/>
      <c r="Q99" s="898"/>
      <c r="R99" s="898"/>
      <c r="S99" s="898"/>
      <c r="T99" s="898"/>
      <c r="U99" s="898"/>
      <c r="V99" s="898"/>
    </row>
    <row r="100" spans="1:22" s="1203" customFormat="1" ht="10.5">
      <c r="A100" s="1204" t="s">
        <v>2589</v>
      </c>
      <c r="B100" s="1205"/>
      <c r="C100" s="1189">
        <f>(C99-B99)/B99</f>
        <v>4.0485810092002923E-2</v>
      </c>
      <c r="D100" s="1189">
        <f t="shared" ref="D100" si="32">(D99-C99)/C99</f>
        <v>-1.4403165060982394E-2</v>
      </c>
      <c r="E100" s="1189">
        <f t="shared" ref="E100" si="33">(E99-D99)/D99</f>
        <v>0.15636172392539341</v>
      </c>
      <c r="F100" s="1206">
        <f t="shared" ref="F100" si="34">(F99-E99)/E99</f>
        <v>0.11656726042551802</v>
      </c>
      <c r="G100" s="1206">
        <f t="shared" ref="G100" si="35">(G99-F99)/F99</f>
        <v>-9.5714311610191158E-2</v>
      </c>
      <c r="H100" s="1206">
        <f t="shared" ref="H100" si="36">(H99-G99)/G99</f>
        <v>0</v>
      </c>
      <c r="I100" s="1206">
        <f t="shared" ref="I100" si="37">(I99-H99)/H99</f>
        <v>0</v>
      </c>
      <c r="J100" s="1206">
        <f t="shared" ref="J100" si="38">(J99-I99)/I99</f>
        <v>0</v>
      </c>
      <c r="K100" s="1199"/>
      <c r="L100" s="1200"/>
      <c r="M100" s="1200"/>
      <c r="N100" s="1200"/>
      <c r="O100" s="1200"/>
      <c r="P100" s="1201"/>
      <c r="Q100" s="1202"/>
      <c r="R100" s="1202"/>
      <c r="S100" s="1202"/>
      <c r="T100" s="1202"/>
      <c r="U100" s="1202"/>
      <c r="V100" s="1202"/>
    </row>
    <row r="101" spans="1:22">
      <c r="A101" s="222"/>
      <c r="B101" s="373"/>
      <c r="C101" s="373"/>
      <c r="D101" s="373"/>
      <c r="E101" s="373"/>
      <c r="F101" s="373"/>
      <c r="G101" s="373"/>
      <c r="H101" s="373"/>
      <c r="I101" s="373"/>
      <c r="J101" s="373"/>
      <c r="K101" s="265"/>
      <c r="L101" s="265"/>
      <c r="M101" s="265"/>
      <c r="N101" s="265"/>
      <c r="O101" s="265"/>
      <c r="P101" s="903"/>
      <c r="Q101" s="898"/>
      <c r="R101" s="898"/>
      <c r="S101" s="898"/>
      <c r="T101" s="898"/>
      <c r="U101" s="898"/>
      <c r="V101" s="898"/>
    </row>
    <row r="102" spans="1:22">
      <c r="A102" s="1175" t="s">
        <v>2602</v>
      </c>
      <c r="B102" s="823">
        <f t="shared" ref="B102:J102" si="39">B96*1000/B86</f>
        <v>30692.702024069331</v>
      </c>
      <c r="C102" s="823">
        <f t="shared" si="39"/>
        <v>31928.458748805362</v>
      </c>
      <c r="D102" s="823">
        <f t="shared" si="39"/>
        <v>31465.282863577067</v>
      </c>
      <c r="E102" s="823">
        <f t="shared" si="39"/>
        <v>36346.140010169365</v>
      </c>
      <c r="F102" s="373">
        <f t="shared" si="39"/>
        <v>40550.977186388875</v>
      </c>
      <c r="G102" s="373">
        <f t="shared" si="39"/>
        <v>36692.088200557962</v>
      </c>
      <c r="H102" s="373">
        <f t="shared" si="39"/>
        <v>36845.683361808813</v>
      </c>
      <c r="I102" s="373">
        <f t="shared" si="39"/>
        <v>36845.683361808813</v>
      </c>
      <c r="J102" s="373">
        <f t="shared" si="39"/>
        <v>36845.683361808813</v>
      </c>
      <c r="K102" s="265"/>
      <c r="L102" s="265"/>
      <c r="M102" s="265"/>
      <c r="N102" s="265"/>
      <c r="O102" s="265"/>
      <c r="P102" s="903"/>
      <c r="Q102" s="898"/>
      <c r="R102" s="898"/>
      <c r="S102" s="898"/>
      <c r="T102" s="898"/>
      <c r="U102" s="898"/>
      <c r="V102" s="898"/>
    </row>
    <row r="103" spans="1:22" s="1203" customFormat="1" ht="10.5">
      <c r="A103" s="1204" t="s">
        <v>779</v>
      </c>
      <c r="B103" s="1189"/>
      <c r="C103" s="1189">
        <f>(C102-B102)/B102</f>
        <v>4.0262233144769927E-2</v>
      </c>
      <c r="D103" s="1189">
        <f t="shared" ref="D103" si="40">(D102-C102)/C102</f>
        <v>-1.4506678473655572E-2</v>
      </c>
      <c r="E103" s="1189">
        <f t="shared" ref="E103:J103" si="41">(E102-D102)/D102</f>
        <v>0.15511880721854815</v>
      </c>
      <c r="F103" s="1206">
        <f t="shared" si="41"/>
        <v>0.11568868592491606</v>
      </c>
      <c r="G103" s="1206">
        <f t="shared" si="41"/>
        <v>-9.5161430218903983E-2</v>
      </c>
      <c r="H103" s="1206">
        <f t="shared" si="41"/>
        <v>4.186056689150632E-3</v>
      </c>
      <c r="I103" s="1206">
        <f t="shared" si="41"/>
        <v>0</v>
      </c>
      <c r="J103" s="1206">
        <f t="shared" si="41"/>
        <v>0</v>
      </c>
      <c r="K103" s="1200"/>
      <c r="L103" s="1200"/>
      <c r="M103" s="1200"/>
      <c r="N103" s="1200"/>
      <c r="O103" s="1200"/>
      <c r="P103" s="1201"/>
      <c r="Q103" s="1202"/>
      <c r="R103" s="1202"/>
      <c r="S103" s="1202"/>
      <c r="T103" s="1202"/>
      <c r="U103" s="1202"/>
      <c r="V103" s="1202"/>
    </row>
    <row r="104" spans="1:22">
      <c r="A104" s="221"/>
      <c r="B104" s="379"/>
      <c r="C104" s="379"/>
      <c r="D104" s="379"/>
      <c r="E104" s="379"/>
      <c r="F104" s="1054"/>
      <c r="G104" s="1054"/>
      <c r="H104" s="1054"/>
      <c r="I104" s="1054"/>
      <c r="J104" s="1054"/>
      <c r="K104" s="265"/>
      <c r="L104" s="265"/>
      <c r="M104" s="265"/>
      <c r="N104" s="265"/>
      <c r="O104" s="265"/>
      <c r="P104" s="903"/>
      <c r="Q104" s="898"/>
      <c r="R104" s="898"/>
      <c r="S104" s="898"/>
      <c r="T104" s="898"/>
      <c r="U104" s="898"/>
      <c r="V104" s="898"/>
    </row>
    <row r="105" spans="1:22">
      <c r="A105" s="221" t="s">
        <v>2372</v>
      </c>
      <c r="B105" s="379"/>
      <c r="C105" s="379"/>
      <c r="D105" s="379"/>
      <c r="E105" s="823">
        <f>+'K21'!CE361</f>
        <v>195970451.51500013</v>
      </c>
      <c r="F105" s="823">
        <f>'K22'!CK361</f>
        <v>220017000.00000003</v>
      </c>
      <c r="G105" s="823">
        <f>'K23'!CK361</f>
        <v>200901999.99999997</v>
      </c>
      <c r="H105" s="823">
        <f>+H96+G105-G96</f>
        <v>201742915.99799997</v>
      </c>
      <c r="I105" s="823">
        <f>+I96+H105-H96</f>
        <v>201742915.99799994</v>
      </c>
      <c r="J105" s="823">
        <f>+J96+I105-I96</f>
        <v>201742915.99799994</v>
      </c>
      <c r="K105" s="265"/>
      <c r="L105" s="265"/>
      <c r="M105" s="265"/>
      <c r="N105" s="265"/>
      <c r="O105" s="265"/>
      <c r="P105" s="903"/>
      <c r="Q105" s="898"/>
      <c r="R105" s="898"/>
      <c r="S105" s="898"/>
      <c r="T105" s="898"/>
      <c r="U105" s="898"/>
      <c r="V105" s="898"/>
    </row>
    <row r="106" spans="1:22">
      <c r="A106" s="221" t="s">
        <v>2373</v>
      </c>
      <c r="B106" s="379"/>
      <c r="C106" s="379"/>
      <c r="D106" s="379"/>
      <c r="E106" s="823">
        <f>E105*1000/E86</f>
        <v>36348.922048370296</v>
      </c>
      <c r="F106" s="823">
        <f>+F105*1000/F86</f>
        <v>40554.110670989656</v>
      </c>
      <c r="G106" s="823">
        <f>+G105*1000/G86</f>
        <v>36695.193288042887</v>
      </c>
      <c r="H106" s="823">
        <f>+H105*1000/H86</f>
        <v>36848.78844929373</v>
      </c>
      <c r="I106" s="823">
        <f>+I105*1000/I86</f>
        <v>36848.78844929373</v>
      </c>
      <c r="J106" s="823">
        <f>+J105*1000/J86</f>
        <v>36848.78844929373</v>
      </c>
      <c r="K106" s="265"/>
      <c r="L106" s="265"/>
      <c r="M106" s="265"/>
      <c r="N106" s="265"/>
      <c r="O106" s="265"/>
      <c r="P106" s="903"/>
      <c r="Q106" s="898"/>
      <c r="R106" s="898"/>
      <c r="S106" s="898"/>
      <c r="T106" s="898"/>
      <c r="U106" s="898"/>
      <c r="V106" s="898"/>
    </row>
    <row r="107" spans="1:22">
      <c r="A107" s="777"/>
      <c r="B107" s="373"/>
      <c r="C107" s="837"/>
      <c r="D107" s="373"/>
      <c r="E107" s="373"/>
      <c r="F107" s="373"/>
      <c r="G107" s="373"/>
      <c r="H107" s="373"/>
      <c r="I107" s="373"/>
      <c r="J107" s="373"/>
      <c r="K107" s="265"/>
      <c r="L107" s="265"/>
      <c r="M107" s="265"/>
      <c r="N107" s="265"/>
      <c r="O107" s="265"/>
      <c r="P107" s="903"/>
      <c r="Q107" s="898"/>
      <c r="R107" s="898"/>
      <c r="S107" s="898"/>
      <c r="T107" s="898"/>
      <c r="U107" s="898"/>
      <c r="V107" s="898"/>
    </row>
    <row r="108" spans="1:22" ht="16.5">
      <c r="A108" s="920" t="s">
        <v>2599</v>
      </c>
      <c r="B108" s="921"/>
      <c r="C108" s="921"/>
      <c r="D108" s="921"/>
      <c r="E108" s="921"/>
      <c r="F108" s="921"/>
      <c r="G108" s="921"/>
      <c r="H108" s="921"/>
      <c r="I108" s="921"/>
      <c r="J108" s="921"/>
      <c r="K108" s="265"/>
      <c r="L108" s="265"/>
      <c r="M108" s="265"/>
      <c r="N108" s="265"/>
      <c r="O108" s="265"/>
      <c r="P108" s="903"/>
      <c r="Q108" s="898"/>
      <c r="R108" s="898"/>
      <c r="S108" s="898"/>
      <c r="T108" s="898"/>
      <c r="U108" s="898"/>
      <c r="V108" s="898"/>
    </row>
    <row r="109" spans="1:22">
      <c r="A109" s="105" t="s">
        <v>2569</v>
      </c>
      <c r="B109" s="381"/>
      <c r="C109" s="381"/>
      <c r="D109" s="386"/>
      <c r="E109" s="386">
        <f>VLOOKUP($B$3,'K21'!$A$4:$CJ$359,26,FALSE)-VLOOKUP($B$3,Naturressursskatt!$A$4:$CJ$359,6,FALSE)</f>
        <v>174949.995</v>
      </c>
      <c r="F109" s="337">
        <f>VLOOKUP($B$3,'K22'!$A$4:$BN$359,26,FALSE)-VLOOKUP($B$3,Naturressursskatt!$A$4:$DA$359,7,FALSE)+(F54-'Bef.fremskr. kommunenivå MMMM'!G1)*VLOOKUP($B$3,innut22!$A$10:$AA$365,23)/1000</f>
        <v>194835.90850514281</v>
      </c>
      <c r="G109" s="337">
        <f>(VLOOKUP($B$3,'K23'!$A$4:$DJ$359,26,FALSE)-VLOOKUP($B$3,Naturressursskatt!$A$4:$DJ$359,8,FALSE))*'Folke landet MMMM'!$I$14/Gdata!$G$86+(G54-'Bef.fremskr. kommunenivå MMMM'!H1)*VLOOKUP($B$3,innut23!$A$10:$AA$365,23)/1000</f>
        <v>177651.49758791932</v>
      </c>
      <c r="H109" s="337">
        <f>+G124*(1+H100)*H54/1000</f>
        <v>177651.49758791932</v>
      </c>
      <c r="I109" s="337">
        <f>+H124*(1+I100)*I54/1000</f>
        <v>177651.49758791932</v>
      </c>
      <c r="J109" s="337">
        <f>+I124*(1+J100)*J54/1000</f>
        <v>177651.49758791932</v>
      </c>
      <c r="K109" s="978"/>
      <c r="L109" s="913"/>
      <c r="M109" s="265"/>
      <c r="N109" s="265"/>
      <c r="O109" s="265"/>
      <c r="P109" s="903"/>
      <c r="Q109" s="898"/>
      <c r="R109" s="898"/>
      <c r="S109" s="898"/>
      <c r="T109" s="898"/>
      <c r="U109" s="898"/>
      <c r="V109" s="898"/>
    </row>
    <row r="110" spans="1:22">
      <c r="A110" s="1182" t="s">
        <v>2600</v>
      </c>
      <c r="B110" s="1176"/>
      <c r="C110" s="1176"/>
      <c r="D110" s="1183"/>
      <c r="E110" s="1183">
        <f>VLOOKUP($B$3,Naturressursskatt!$A$4:$CJ$359,6,FALSE)</f>
        <v>1860.0340000000001</v>
      </c>
      <c r="F110" s="1179">
        <f>VLOOKUP($B$3,Naturressursskatt!$A$4:$DA$359,7,FALSE)</f>
        <v>1831.182</v>
      </c>
      <c r="G110" s="1179">
        <f>VLOOKUP($B$3,Naturressursskatt!$A$4:$DJ$359,8,FALSE)</f>
        <v>1831.182</v>
      </c>
      <c r="H110" s="1179">
        <f>+G110*(1+G122)+VLOOKUP($B$3,Naturressursskatt!$A$4:$DA$359,9,FALSE)+VLOOKUP($B$3,Naturressursskatt!$A$4:$DA$359,10,FALSE)</f>
        <v>10671.340210219167</v>
      </c>
      <c r="I110" s="1179">
        <f>+H110*(1+H122)</f>
        <v>10671.340210219167</v>
      </c>
      <c r="J110" s="1179">
        <f>+I110*(1+I122)</f>
        <v>10671.340210219167</v>
      </c>
      <c r="K110" s="978"/>
      <c r="L110" s="913"/>
      <c r="M110" s="265"/>
      <c r="N110" s="265"/>
      <c r="O110" s="265"/>
      <c r="P110" s="903"/>
      <c r="Q110" s="898"/>
      <c r="R110" s="898"/>
      <c r="S110" s="898"/>
      <c r="T110" s="898"/>
      <c r="U110" s="898"/>
      <c r="V110" s="898"/>
    </row>
    <row r="111" spans="1:22">
      <c r="A111" s="105" t="s">
        <v>2603</v>
      </c>
      <c r="B111" s="381"/>
      <c r="C111" s="381"/>
      <c r="D111" s="347"/>
      <c r="E111" s="347">
        <f>E109+E110</f>
        <v>176810.02900000001</v>
      </c>
      <c r="F111" s="1184">
        <f t="shared" ref="F111:J111" si="42">F109+F110</f>
        <v>196667.09050514281</v>
      </c>
      <c r="G111" s="1184">
        <f t="shared" si="42"/>
        <v>179482.67958791932</v>
      </c>
      <c r="H111" s="1184">
        <f t="shared" si="42"/>
        <v>188322.8377981385</v>
      </c>
      <c r="I111" s="1184">
        <f t="shared" si="42"/>
        <v>188322.8377981385</v>
      </c>
      <c r="J111" s="1184">
        <f t="shared" si="42"/>
        <v>188322.8377981385</v>
      </c>
      <c r="K111" s="978"/>
      <c r="L111" s="913"/>
      <c r="M111" s="265"/>
      <c r="N111" s="265"/>
      <c r="O111" s="265"/>
      <c r="P111" s="903"/>
      <c r="Q111" s="898"/>
      <c r="R111" s="898"/>
      <c r="S111" s="898"/>
      <c r="T111" s="898"/>
      <c r="U111" s="898"/>
      <c r="V111" s="898"/>
    </row>
    <row r="112" spans="1:22" s="1203" customFormat="1" ht="10.5">
      <c r="A112" s="1211" t="s">
        <v>2598</v>
      </c>
      <c r="B112" s="1212"/>
      <c r="C112" s="1212"/>
      <c r="D112" s="1212"/>
      <c r="E112" s="1212">
        <f t="shared" ref="E112:J112" si="43">(E111-D119)/D119</f>
        <v>0.11821569334294647</v>
      </c>
      <c r="F112" s="1213">
        <f t="shared" si="43"/>
        <v>0.11230732565030462</v>
      </c>
      <c r="G112" s="1213">
        <f t="shared" si="43"/>
        <v>-8.7378172286400504E-2</v>
      </c>
      <c r="H112" s="1213">
        <f t="shared" si="43"/>
        <v>4.9253544857451481E-2</v>
      </c>
      <c r="I112" s="1213">
        <f t="shared" si="43"/>
        <v>0</v>
      </c>
      <c r="J112" s="1213">
        <f t="shared" si="43"/>
        <v>0</v>
      </c>
      <c r="K112" s="1214"/>
      <c r="L112" s="1200"/>
      <c r="M112" s="1200"/>
      <c r="N112" s="1200"/>
      <c r="O112" s="1200"/>
      <c r="P112" s="1201"/>
      <c r="Q112" s="1202"/>
      <c r="R112" s="1202"/>
      <c r="S112" s="1202"/>
      <c r="T112" s="1202"/>
      <c r="U112" s="1202"/>
      <c r="V112" s="1202"/>
    </row>
    <row r="113" spans="1:22">
      <c r="A113" s="105"/>
      <c r="B113" s="374"/>
      <c r="C113" s="374"/>
      <c r="D113" s="374"/>
      <c r="E113" s="374"/>
      <c r="F113" s="1055"/>
      <c r="G113" s="1055"/>
      <c r="H113" s="1055"/>
      <c r="I113" s="1055"/>
      <c r="J113" s="1055"/>
      <c r="K113" s="913"/>
      <c r="L113" s="265"/>
      <c r="M113" s="265"/>
      <c r="N113" s="265"/>
      <c r="O113" s="265"/>
      <c r="P113" s="903"/>
      <c r="Q113" s="898"/>
      <c r="R113" s="898"/>
      <c r="S113" s="898"/>
      <c r="T113" s="898"/>
      <c r="U113" s="898"/>
      <c r="V113" s="898"/>
    </row>
    <row r="114" spans="1:22">
      <c r="A114" s="105" t="s">
        <v>2374</v>
      </c>
      <c r="B114" s="374"/>
      <c r="C114" s="374"/>
      <c r="D114" s="374"/>
      <c r="E114" s="823">
        <f>VLOOKUP($B$3,'K21'!$A$4:$CL$359,83,FALSE)</f>
        <v>176810.02900000001</v>
      </c>
      <c r="F114" s="823">
        <f>F119+VLOOKUP(Gdata!$B$3,innut22!$A$10:$S$365,19)</f>
        <v>196667.09050514281</v>
      </c>
      <c r="G114" s="823">
        <f>G119+VLOOKUP(Gdata!$B$3,innut23!$A$10:$S$365,19)</f>
        <v>179482.67958791932</v>
      </c>
      <c r="H114" s="823">
        <f>H119+VLOOKUP(Gdata!$B$3,innut23!$A$10:$S$365,19)</f>
        <v>188322.8377981385</v>
      </c>
      <c r="I114" s="823">
        <f>I119+VLOOKUP(Gdata!$B$3,innut23!$A$10:$S$365,19)</f>
        <v>188322.8377981385</v>
      </c>
      <c r="J114" s="823">
        <f>J119+VLOOKUP(Gdata!$B$3,innut23!$A$10:$S$365,19)</f>
        <v>188322.8377981385</v>
      </c>
      <c r="K114" s="913"/>
      <c r="L114" s="265"/>
      <c r="M114" s="265"/>
      <c r="N114" s="265"/>
      <c r="O114" s="265"/>
      <c r="P114" s="903"/>
      <c r="Q114" s="898"/>
      <c r="R114" s="898"/>
      <c r="S114" s="898"/>
      <c r="T114" s="898"/>
      <c r="U114" s="898"/>
      <c r="V114" s="898"/>
    </row>
    <row r="115" spans="1:22">
      <c r="A115" s="105" t="s">
        <v>2375</v>
      </c>
      <c r="B115" s="374"/>
      <c r="C115" s="374"/>
      <c r="D115" s="374"/>
      <c r="E115" s="823">
        <f t="shared" ref="E115:J115" si="44">E114*1000/E54</f>
        <v>29760.987880828143</v>
      </c>
      <c r="F115" s="823">
        <f t="shared" si="44"/>
        <v>33424.046652811492</v>
      </c>
      <c r="G115" s="823">
        <f t="shared" si="44"/>
        <v>30738.599004610263</v>
      </c>
      <c r="H115" s="823">
        <f t="shared" si="44"/>
        <v>32252.583969539046</v>
      </c>
      <c r="I115" s="823">
        <f t="shared" si="44"/>
        <v>32252.583969539046</v>
      </c>
      <c r="J115" s="823">
        <f t="shared" si="44"/>
        <v>32252.583969539046</v>
      </c>
      <c r="K115" s="913"/>
      <c r="L115" s="265"/>
      <c r="M115" s="265"/>
      <c r="N115" s="265"/>
      <c r="O115" s="265"/>
      <c r="P115" s="903"/>
      <c r="Q115" s="898"/>
      <c r="R115" s="898"/>
      <c r="S115" s="898"/>
      <c r="T115" s="898"/>
      <c r="U115" s="898"/>
      <c r="V115" s="898"/>
    </row>
    <row r="116" spans="1:22">
      <c r="A116" s="105"/>
      <c r="B116" s="374"/>
      <c r="C116" s="374"/>
      <c r="D116" s="374"/>
      <c r="E116" s="374"/>
      <c r="F116" s="374"/>
      <c r="G116" s="374"/>
      <c r="H116" s="374"/>
      <c r="I116" s="374"/>
      <c r="J116" s="374"/>
      <c r="K116" s="265"/>
      <c r="L116" s="265"/>
      <c r="M116" s="265"/>
      <c r="N116" s="265"/>
      <c r="O116" s="265"/>
      <c r="P116" s="903"/>
      <c r="Q116" s="898"/>
      <c r="R116" s="898"/>
      <c r="S116" s="898"/>
      <c r="T116" s="898"/>
      <c r="U116" s="898"/>
      <c r="V116" s="898"/>
    </row>
    <row r="117" spans="1:22">
      <c r="A117" s="219"/>
      <c r="B117" s="219">
        <v>2018</v>
      </c>
      <c r="C117" s="219">
        <f>B117+1</f>
        <v>2019</v>
      </c>
      <c r="D117" s="219">
        <f t="shared" ref="D117" si="45">C117+1</f>
        <v>2020</v>
      </c>
      <c r="E117" s="219">
        <f t="shared" ref="E117" si="46">D117+1</f>
        <v>2021</v>
      </c>
      <c r="F117" s="219">
        <f t="shared" ref="F117" si="47">E117+1</f>
        <v>2022</v>
      </c>
      <c r="G117" s="219">
        <f t="shared" ref="G117" si="48">F117+1</f>
        <v>2023</v>
      </c>
      <c r="H117" s="219">
        <f t="shared" ref="H117" si="49">G117+1</f>
        <v>2024</v>
      </c>
      <c r="I117" s="219">
        <f t="shared" ref="I117" si="50">H117+1</f>
        <v>2025</v>
      </c>
      <c r="J117" s="219">
        <f t="shared" ref="J117" si="51">I117+1</f>
        <v>2026</v>
      </c>
      <c r="K117" s="265"/>
      <c r="L117" s="265"/>
      <c r="M117" s="265"/>
      <c r="N117" s="265"/>
      <c r="O117" s="265"/>
      <c r="P117" s="903"/>
      <c r="Q117" s="898"/>
      <c r="R117" s="898"/>
      <c r="S117" s="898"/>
      <c r="T117" s="898"/>
      <c r="U117" s="898"/>
      <c r="V117" s="898"/>
    </row>
    <row r="118" spans="1:22" ht="18" customHeight="1">
      <c r="A118" s="920" t="s">
        <v>1968</v>
      </c>
      <c r="B118" s="921"/>
      <c r="C118" s="921"/>
      <c r="D118" s="921"/>
      <c r="E118" s="921"/>
      <c r="F118" s="921"/>
      <c r="G118" s="921"/>
      <c r="H118" s="921"/>
      <c r="I118" s="921"/>
      <c r="J118" s="921"/>
      <c r="K118" s="695">
        <f>+I119-I111</f>
        <v>0</v>
      </c>
      <c r="L118" s="265"/>
      <c r="M118" s="265"/>
      <c r="N118" s="265"/>
      <c r="O118" s="265"/>
      <c r="P118" s="903"/>
      <c r="Q118" s="898"/>
      <c r="R118" s="898"/>
      <c r="S118" s="898"/>
      <c r="T118" s="898"/>
      <c r="U118" s="898"/>
      <c r="V118" s="898"/>
    </row>
    <row r="119" spans="1:22">
      <c r="A119" s="113" t="s">
        <v>2592</v>
      </c>
      <c r="B119" s="347">
        <f>VLOOKUP($B$3,'K19 ny kommune skatt'!$A$4:$J$466,4,FALSE)</f>
        <v>153172.37637637637</v>
      </c>
      <c r="C119" s="347">
        <f>VLOOKUP($B$3,'K19 ny kommune skatt'!$A$4:$J$466,5,FALSE)</f>
        <v>163996.97697697696</v>
      </c>
      <c r="D119" s="347">
        <f>VLOOKUP($B$3,'K20'!$A$4:$BN$359,26,FALSE)</f>
        <v>158118</v>
      </c>
      <c r="E119" s="347">
        <f>VLOOKUP($B$3,'K21'!$A$4:$BN$359,26,FALSE)</f>
        <v>176810.02900000001</v>
      </c>
      <c r="F119" s="382">
        <f>F109*(1+F121)+F110*(1+F122)</f>
        <v>196667.09050514281</v>
      </c>
      <c r="G119" s="382">
        <f>G109*(1+G121)+G110*(1+G122)</f>
        <v>179482.67958791932</v>
      </c>
      <c r="H119" s="382">
        <f t="shared" ref="H119:J119" si="52">H109*(1+H121)+H110*(1+H122)</f>
        <v>188322.8377981385</v>
      </c>
      <c r="I119" s="382">
        <f t="shared" si="52"/>
        <v>188322.8377981385</v>
      </c>
      <c r="J119" s="382">
        <f t="shared" si="52"/>
        <v>188322.8377981385</v>
      </c>
      <c r="K119" s="265"/>
      <c r="L119" s="913"/>
      <c r="M119" s="265"/>
      <c r="N119" s="265"/>
      <c r="O119" s="265"/>
      <c r="P119" s="903"/>
      <c r="Q119" s="898"/>
      <c r="R119" s="898"/>
      <c r="S119" s="898"/>
      <c r="T119" s="898"/>
      <c r="U119" s="898"/>
      <c r="V119" s="898"/>
    </row>
    <row r="120" spans="1:22">
      <c r="A120" s="113" t="s">
        <v>2014</v>
      </c>
      <c r="B120" s="371"/>
      <c r="C120" s="1053">
        <f>+(C119-B119)/B119</f>
        <v>7.0669404344829767E-2</v>
      </c>
      <c r="D120" s="1053">
        <f>+(D119-C119)/C119</f>
        <v>-3.5848081381416527E-2</v>
      </c>
      <c r="E120" s="1053">
        <f>+(E119-D119)/D119</f>
        <v>0.11821569334294647</v>
      </c>
      <c r="F120" s="383">
        <f>+F119/E119-1</f>
        <v>0.11230732565030466</v>
      </c>
      <c r="G120" s="383">
        <f t="shared" ref="G120:J120" si="53">+G119/F119-1</f>
        <v>-8.7378172286400546E-2</v>
      </c>
      <c r="H120" s="383">
        <f t="shared" si="53"/>
        <v>4.925354485745137E-2</v>
      </c>
      <c r="I120" s="383">
        <f t="shared" si="53"/>
        <v>0</v>
      </c>
      <c r="J120" s="383">
        <f t="shared" si="53"/>
        <v>0</v>
      </c>
      <c r="K120" s="265"/>
      <c r="L120" s="265"/>
      <c r="M120" s="265"/>
      <c r="N120" s="265"/>
      <c r="O120" s="265"/>
      <c r="P120" s="903"/>
      <c r="Q120" s="898"/>
      <c r="R120" s="898"/>
      <c r="S120" s="898"/>
      <c r="T120" s="898"/>
      <c r="U120" s="898"/>
      <c r="V120" s="898"/>
    </row>
    <row r="121" spans="1:22" ht="27" customHeight="1">
      <c r="A121" s="1207" t="s">
        <v>2601</v>
      </c>
      <c r="B121" s="372"/>
      <c r="C121" s="372"/>
      <c r="D121" s="372"/>
      <c r="E121" s="372"/>
      <c r="F121" s="59">
        <v>0</v>
      </c>
      <c r="G121" s="59">
        <v>0</v>
      </c>
      <c r="H121" s="59">
        <v>0</v>
      </c>
      <c r="I121" s="59">
        <v>0</v>
      </c>
      <c r="J121" s="59">
        <v>0</v>
      </c>
      <c r="K121" s="1059"/>
      <c r="L121" s="265"/>
      <c r="M121" s="265"/>
      <c r="N121" s="265"/>
      <c r="O121" s="265"/>
      <c r="P121" s="903"/>
      <c r="Q121" s="898"/>
      <c r="R121" s="898"/>
      <c r="S121" s="898"/>
      <c r="T121" s="898"/>
      <c r="U121" s="898"/>
      <c r="V121" s="898"/>
    </row>
    <row r="122" spans="1:22" s="819" customFormat="1" ht="26">
      <c r="A122" s="1208" t="s">
        <v>2604</v>
      </c>
      <c r="B122" s="1209"/>
      <c r="C122" s="1209"/>
      <c r="D122" s="1209"/>
      <c r="E122" s="1209"/>
      <c r="F122" s="59">
        <v>0</v>
      </c>
      <c r="G122" s="59">
        <v>0</v>
      </c>
      <c r="H122" s="59">
        <v>0</v>
      </c>
      <c r="I122" s="59">
        <v>0</v>
      </c>
      <c r="J122" s="59">
        <v>0</v>
      </c>
      <c r="K122" s="822"/>
      <c r="L122" s="822"/>
      <c r="M122" s="822"/>
      <c r="N122" s="822"/>
      <c r="O122" s="822"/>
      <c r="P122" s="904"/>
      <c r="Q122" s="905"/>
      <c r="R122" s="905"/>
      <c r="S122" s="905"/>
      <c r="T122" s="905"/>
      <c r="U122" s="905"/>
      <c r="V122" s="905"/>
    </row>
    <row r="123" spans="1:22">
      <c r="A123" s="768"/>
      <c r="B123" s="375"/>
      <c r="C123" s="375"/>
      <c r="D123" s="375"/>
      <c r="E123" s="375"/>
      <c r="F123" s="375"/>
      <c r="G123" s="375"/>
      <c r="H123" s="375"/>
      <c r="I123" s="375"/>
      <c r="J123" s="375"/>
      <c r="K123" s="265"/>
      <c r="L123" s="265"/>
      <c r="M123" s="265"/>
      <c r="N123" s="265"/>
      <c r="O123" s="265"/>
      <c r="P123" s="903"/>
      <c r="Q123" s="898"/>
      <c r="R123" s="898"/>
      <c r="S123" s="898"/>
      <c r="T123" s="898"/>
      <c r="U123" s="898"/>
      <c r="V123" s="898"/>
    </row>
    <row r="124" spans="1:22">
      <c r="A124" s="268" t="s">
        <v>2590</v>
      </c>
      <c r="B124" s="375"/>
      <c r="C124" s="375"/>
      <c r="D124" s="375"/>
      <c r="E124" s="824">
        <f>E109*1000/E54</f>
        <v>29447.90355159064</v>
      </c>
      <c r="F124" s="1185">
        <f>F109*1000/F54</f>
        <v>33112.832852675529</v>
      </c>
      <c r="G124" s="1185">
        <f>G109*(1+G121)*1000/G54</f>
        <v>30424.986742236568</v>
      </c>
      <c r="H124" s="1185">
        <f t="shared" ref="H124:J124" si="54">H109*(1+H121)*1000/H54</f>
        <v>30424.986742236568</v>
      </c>
      <c r="I124" s="1185">
        <f t="shared" si="54"/>
        <v>30424.986742236568</v>
      </c>
      <c r="J124" s="1185">
        <f t="shared" si="54"/>
        <v>30424.986742236568</v>
      </c>
      <c r="K124" s="265"/>
      <c r="L124" s="265"/>
      <c r="M124" s="265"/>
      <c r="N124" s="265"/>
      <c r="O124" s="265"/>
      <c r="P124" s="903"/>
      <c r="Q124" s="898"/>
      <c r="R124" s="898"/>
      <c r="S124" s="898"/>
      <c r="T124" s="898"/>
      <c r="U124" s="898"/>
      <c r="V124" s="898"/>
    </row>
    <row r="125" spans="1:22" s="1203" customFormat="1" ht="10.5">
      <c r="A125" s="1215" t="s">
        <v>2591</v>
      </c>
      <c r="B125" s="1216"/>
      <c r="C125" s="1216"/>
      <c r="D125" s="1216"/>
      <c r="E125" s="1216"/>
      <c r="F125" s="1217">
        <f>+F124/E124-1</f>
        <v>0.12445467619330497</v>
      </c>
      <c r="G125" s="1217">
        <f t="shared" ref="G125:J125" si="55">+G124/F124-1</f>
        <v>-8.1172339509507752E-2</v>
      </c>
      <c r="H125" s="1217">
        <f t="shared" si="55"/>
        <v>0</v>
      </c>
      <c r="I125" s="1217">
        <f t="shared" si="55"/>
        <v>0</v>
      </c>
      <c r="J125" s="1217">
        <f t="shared" si="55"/>
        <v>0</v>
      </c>
      <c r="K125" s="1200"/>
      <c r="L125" s="1200"/>
      <c r="M125" s="1200"/>
      <c r="N125" s="1200"/>
      <c r="O125" s="1200"/>
      <c r="P125" s="1201"/>
      <c r="Q125" s="1202"/>
      <c r="R125" s="1202"/>
      <c r="S125" s="1202"/>
      <c r="T125" s="1202"/>
      <c r="U125" s="1202"/>
      <c r="V125" s="1202"/>
    </row>
    <row r="126" spans="1:22">
      <c r="A126" s="768"/>
      <c r="B126" s="375"/>
      <c r="C126" s="375"/>
      <c r="D126" s="375"/>
      <c r="E126" s="375"/>
      <c r="F126" s="379"/>
      <c r="G126" s="375"/>
      <c r="H126" s="375"/>
      <c r="I126" s="375"/>
      <c r="J126" s="375"/>
      <c r="K126" s="265"/>
      <c r="L126" s="265"/>
      <c r="M126" s="265"/>
      <c r="N126" s="265"/>
      <c r="O126" s="265"/>
      <c r="P126" s="903"/>
      <c r="Q126" s="898"/>
      <c r="R126" s="898"/>
      <c r="S126" s="898"/>
      <c r="T126" s="898"/>
      <c r="U126" s="898"/>
      <c r="V126" s="898"/>
    </row>
    <row r="127" spans="1:22">
      <c r="A127" s="268" t="s">
        <v>909</v>
      </c>
      <c r="B127" s="824" t="e">
        <f t="shared" ref="B127:J127" si="56">B119*1000/B54</f>
        <v>#N/A</v>
      </c>
      <c r="C127" s="824" t="e">
        <f t="shared" si="56"/>
        <v>#N/A</v>
      </c>
      <c r="D127" s="824">
        <f t="shared" si="56"/>
        <v>26516.518530940801</v>
      </c>
      <c r="E127" s="824">
        <f t="shared" si="56"/>
        <v>29760.987880828143</v>
      </c>
      <c r="F127" s="375">
        <f t="shared" si="56"/>
        <v>33424.046652811492</v>
      </c>
      <c r="G127" s="375">
        <f t="shared" si="56"/>
        <v>30738.599004610263</v>
      </c>
      <c r="H127" s="375">
        <f t="shared" si="56"/>
        <v>32252.583969539046</v>
      </c>
      <c r="I127" s="375">
        <f t="shared" si="56"/>
        <v>32252.583969539046</v>
      </c>
      <c r="J127" s="375">
        <f t="shared" si="56"/>
        <v>32252.583969539046</v>
      </c>
      <c r="K127" s="265"/>
      <c r="L127" s="265"/>
      <c r="M127" s="265"/>
      <c r="N127" s="265"/>
      <c r="O127" s="265"/>
      <c r="P127" s="903"/>
      <c r="Q127" s="898"/>
      <c r="R127" s="898"/>
      <c r="S127" s="898"/>
      <c r="T127" s="898"/>
      <c r="U127" s="898"/>
      <c r="V127" s="898"/>
    </row>
    <row r="128" spans="1:22" s="1203" customFormat="1" ht="10.5">
      <c r="A128" s="1218" t="s">
        <v>738</v>
      </c>
      <c r="B128" s="1189"/>
      <c r="C128" s="1189" t="e">
        <f>(C127-B127)/B127</f>
        <v>#N/A</v>
      </c>
      <c r="D128" s="1189" t="e">
        <f t="shared" ref="D128" si="57">(D127-C127)/C127</f>
        <v>#N/A</v>
      </c>
      <c r="E128" s="1189">
        <f t="shared" ref="E128:J128" si="58">(E127-D127)/D127</f>
        <v>0.12235653583638942</v>
      </c>
      <c r="F128" s="1206">
        <f t="shared" si="58"/>
        <v>0.12308256656839912</v>
      </c>
      <c r="G128" s="1206">
        <f t="shared" si="58"/>
        <v>-8.0344779197324995E-2</v>
      </c>
      <c r="H128" s="1206">
        <f t="shared" si="58"/>
        <v>4.9253544857451398E-2</v>
      </c>
      <c r="I128" s="1206">
        <f t="shared" si="58"/>
        <v>0</v>
      </c>
      <c r="J128" s="1206">
        <f t="shared" si="58"/>
        <v>0</v>
      </c>
      <c r="K128" s="1200"/>
      <c r="L128" s="1200"/>
      <c r="M128" s="1200"/>
      <c r="N128" s="1200"/>
      <c r="O128" s="1200"/>
      <c r="P128" s="1201"/>
      <c r="Q128" s="1202"/>
      <c r="R128" s="1202"/>
      <c r="S128" s="1202"/>
      <c r="T128" s="1202"/>
      <c r="U128" s="1202"/>
      <c r="V128" s="1202"/>
    </row>
    <row r="129" spans="1:22">
      <c r="A129" s="268"/>
      <c r="B129" s="375"/>
      <c r="C129" s="375"/>
      <c r="D129" s="375"/>
      <c r="E129" s="375"/>
      <c r="F129" s="375"/>
      <c r="G129" s="375"/>
      <c r="H129" s="375"/>
      <c r="I129" s="375"/>
      <c r="J129" s="375"/>
      <c r="K129" s="265"/>
      <c r="L129" s="265"/>
      <c r="M129" s="265"/>
      <c r="N129" s="265"/>
      <c r="O129" s="265"/>
      <c r="P129" s="903"/>
      <c r="Q129" s="898"/>
      <c r="R129" s="898"/>
      <c r="S129" s="898"/>
      <c r="T129" s="898"/>
      <c r="U129" s="898"/>
      <c r="V129" s="898"/>
    </row>
    <row r="130" spans="1:22">
      <c r="A130" s="269" t="s">
        <v>780</v>
      </c>
      <c r="B130" s="372"/>
      <c r="C130" s="372"/>
      <c r="D130" s="372"/>
      <c r="E130" s="372"/>
      <c r="F130" s="372"/>
      <c r="G130" s="372"/>
      <c r="H130" s="372"/>
      <c r="I130" s="372"/>
      <c r="J130" s="372"/>
      <c r="K130" s="265"/>
      <c r="L130" s="265"/>
      <c r="M130" s="265"/>
      <c r="N130" s="265"/>
      <c r="O130" s="265"/>
      <c r="P130" s="903"/>
      <c r="Q130" s="898"/>
      <c r="R130" s="898"/>
      <c r="S130" s="898"/>
      <c r="T130" s="898"/>
      <c r="U130" s="898"/>
      <c r="V130" s="898"/>
    </row>
    <row r="131" spans="1:22">
      <c r="A131" s="268" t="s">
        <v>945</v>
      </c>
      <c r="B131" s="376" t="e">
        <f t="shared" ref="B131:J131" si="59">B127/B102</f>
        <v>#N/A</v>
      </c>
      <c r="C131" s="376" t="e">
        <f t="shared" si="59"/>
        <v>#N/A</v>
      </c>
      <c r="D131" s="376">
        <f t="shared" si="59"/>
        <v>0.84272303051930431</v>
      </c>
      <c r="E131" s="376">
        <f t="shared" si="59"/>
        <v>0.81882114228639546</v>
      </c>
      <c r="F131" s="383">
        <f t="shared" si="59"/>
        <v>0.82424762538226648</v>
      </c>
      <c r="G131" s="383">
        <f t="shared" si="59"/>
        <v>0.83774460686439844</v>
      </c>
      <c r="H131" s="383">
        <f t="shared" si="59"/>
        <v>0.87534226608942223</v>
      </c>
      <c r="I131" s="383">
        <f t="shared" si="59"/>
        <v>0.87534226608942223</v>
      </c>
      <c r="J131" s="383">
        <f t="shared" si="59"/>
        <v>0.87534226608942223</v>
      </c>
      <c r="K131" s="1059"/>
      <c r="L131" s="695"/>
      <c r="M131" s="265"/>
      <c r="N131" s="265"/>
      <c r="O131" s="265"/>
      <c r="P131" s="903"/>
      <c r="Q131" s="898"/>
      <c r="R131" s="898"/>
      <c r="S131" s="898"/>
      <c r="T131" s="898"/>
      <c r="U131" s="898"/>
      <c r="V131" s="898"/>
    </row>
    <row r="132" spans="1:22">
      <c r="A132" s="223"/>
      <c r="B132" s="377"/>
      <c r="C132" s="377"/>
      <c r="D132" s="377"/>
      <c r="E132" s="377"/>
      <c r="F132" s="377"/>
      <c r="G132" s="377"/>
      <c r="H132" s="377"/>
      <c r="I132" s="377"/>
      <c r="J132" s="377"/>
      <c r="K132" s="265"/>
      <c r="L132" s="265"/>
      <c r="M132" s="265"/>
      <c r="N132" s="265"/>
      <c r="O132" s="265"/>
      <c r="P132" s="903"/>
      <c r="Q132" s="898"/>
      <c r="R132" s="898"/>
      <c r="S132" s="898"/>
      <c r="T132" s="898"/>
      <c r="U132" s="898"/>
      <c r="V132" s="898"/>
    </row>
    <row r="133" spans="1:22">
      <c r="A133" s="223" t="s">
        <v>879</v>
      </c>
      <c r="B133" s="386" t="e">
        <f>Inntektsutj!C33</f>
        <v>#N/A</v>
      </c>
      <c r="C133" s="386" t="e">
        <f>Inntektsutj!D33</f>
        <v>#N/A</v>
      </c>
      <c r="D133" s="386">
        <f>Inntektsutj!E33</f>
        <v>19346.22038173816</v>
      </c>
      <c r="E133" s="386">
        <f>Inntektsutj!F33</f>
        <v>27052.414021442597</v>
      </c>
      <c r="F133" s="337">
        <f>Inntektsutj!G33</f>
        <v>28188.06190158899</v>
      </c>
      <c r="G133" s="337">
        <f>Inntektsutj!H33</f>
        <v>23056.735776999925</v>
      </c>
      <c r="H133" s="337">
        <f>Inntektsutj!I33</f>
        <v>15512.186481401899</v>
      </c>
      <c r="I133" s="337">
        <f>Inntektsutj!J33</f>
        <v>15512.186481401899</v>
      </c>
      <c r="J133" s="337">
        <f>Inntektsutj!K33</f>
        <v>15512.186481401899</v>
      </c>
      <c r="K133" s="695"/>
      <c r="L133" s="265"/>
      <c r="M133" s="265"/>
      <c r="N133" s="265"/>
      <c r="O133" s="265"/>
      <c r="P133" s="903"/>
      <c r="Q133" s="898"/>
      <c r="R133" s="898"/>
      <c r="S133" s="898"/>
      <c r="T133" s="898"/>
      <c r="U133" s="898"/>
      <c r="V133" s="898"/>
    </row>
    <row r="134" spans="1:22">
      <c r="A134" s="223" t="s">
        <v>2232</v>
      </c>
      <c r="B134" s="386" t="e">
        <f t="shared" ref="B134:G134" si="60">B133+B119</f>
        <v>#N/A</v>
      </c>
      <c r="C134" s="386" t="e">
        <f t="shared" si="60"/>
        <v>#N/A</v>
      </c>
      <c r="D134" s="386">
        <f t="shared" si="60"/>
        <v>177464.22038173815</v>
      </c>
      <c r="E134" s="386">
        <f t="shared" si="60"/>
        <v>203862.4430214426</v>
      </c>
      <c r="F134" s="337">
        <f t="shared" si="60"/>
        <v>224855.1524067318</v>
      </c>
      <c r="G134" s="337">
        <f t="shared" si="60"/>
        <v>202539.41536491926</v>
      </c>
      <c r="H134" s="337">
        <f t="shared" ref="H134:J134" si="61">H133+H119</f>
        <v>203835.0242795404</v>
      </c>
      <c r="I134" s="337">
        <f t="shared" si="61"/>
        <v>203835.0242795404</v>
      </c>
      <c r="J134" s="337">
        <f t="shared" si="61"/>
        <v>203835.0242795404</v>
      </c>
      <c r="K134" s="265"/>
      <c r="L134" s="265"/>
      <c r="M134" s="265"/>
      <c r="N134" s="265"/>
      <c r="O134" s="265"/>
      <c r="P134" s="903"/>
      <c r="Q134" s="898"/>
      <c r="R134" s="898"/>
      <c r="S134" s="898"/>
      <c r="T134" s="898"/>
      <c r="U134" s="898"/>
      <c r="V134" s="898"/>
    </row>
    <row r="135" spans="1:22">
      <c r="A135" s="223" t="s">
        <v>781</v>
      </c>
      <c r="B135" s="378" t="e">
        <f>Inntektsutj!C46</f>
        <v>#N/A</v>
      </c>
      <c r="C135" s="378" t="e">
        <f>Inntektsutj!D46</f>
        <v>#N/A</v>
      </c>
      <c r="D135" s="378">
        <f>Inntektsutj!E46</f>
        <v>0.94583276798874305</v>
      </c>
      <c r="E135" s="378">
        <f>Inntektsutj!F46</f>
        <v>0.94410299804946496</v>
      </c>
      <c r="F135" s="380">
        <f>Inntektsutj!G46</f>
        <v>0.9423860644410651</v>
      </c>
      <c r="G135" s="380">
        <f>Inntektsutj!H46</f>
        <v>0.94536310294115977</v>
      </c>
      <c r="H135" s="380">
        <f>Inntektsutj!I46</f>
        <v>0.94744436812543065</v>
      </c>
      <c r="I135" s="380">
        <f>Inntektsutj!J46</f>
        <v>0.94744436812543065</v>
      </c>
      <c r="J135" s="380">
        <f>Inntektsutj!K46</f>
        <v>0.94744436812543065</v>
      </c>
      <c r="K135" s="265"/>
      <c r="L135" s="265"/>
      <c r="M135" s="265"/>
      <c r="N135" s="265"/>
      <c r="O135" s="265"/>
      <c r="P135" s="903"/>
      <c r="Q135" s="898"/>
      <c r="R135" s="898"/>
      <c r="S135" s="898"/>
      <c r="T135" s="898"/>
      <c r="U135" s="898"/>
      <c r="V135" s="898"/>
    </row>
    <row r="136" spans="1:22" ht="13.5" customHeight="1">
      <c r="A136" s="57"/>
      <c r="B136" s="380"/>
      <c r="C136" s="380"/>
      <c r="D136" s="380"/>
      <c r="E136" s="380"/>
      <c r="F136" s="380"/>
      <c r="G136" s="380"/>
      <c r="H136" s="380"/>
      <c r="I136" s="380"/>
      <c r="J136" s="380"/>
      <c r="K136" s="265"/>
      <c r="L136" s="265"/>
      <c r="M136" s="265"/>
      <c r="N136" s="265"/>
      <c r="O136" s="265"/>
      <c r="P136" s="903"/>
      <c r="Q136" s="898"/>
      <c r="R136" s="898"/>
      <c r="S136" s="898"/>
      <c r="T136" s="898"/>
      <c r="U136" s="898"/>
      <c r="V136" s="898"/>
    </row>
    <row r="137" spans="1:22">
      <c r="A137" s="224" t="s">
        <v>782</v>
      </c>
      <c r="B137" s="700">
        <v>0</v>
      </c>
      <c r="C137" s="700">
        <v>0</v>
      </c>
      <c r="D137" s="700">
        <v>0</v>
      </c>
      <c r="E137" s="700">
        <v>0</v>
      </c>
      <c r="F137" s="700">
        <v>0</v>
      </c>
      <c r="G137" s="700">
        <v>0</v>
      </c>
      <c r="H137" s="700">
        <v>0</v>
      </c>
      <c r="I137" s="700">
        <v>0</v>
      </c>
      <c r="J137" s="700">
        <v>0</v>
      </c>
      <c r="K137" s="265"/>
      <c r="L137" s="265"/>
      <c r="M137" s="265"/>
      <c r="N137" s="265"/>
      <c r="O137" s="265"/>
      <c r="P137" s="903"/>
      <c r="Q137" s="898"/>
      <c r="R137" s="898"/>
      <c r="S137" s="898"/>
      <c r="T137" s="898"/>
      <c r="U137" s="898"/>
      <c r="V137" s="898"/>
    </row>
    <row r="138" spans="1:22">
      <c r="A138" s="96"/>
      <c r="B138" s="43"/>
      <c r="C138" s="43"/>
      <c r="D138" s="43"/>
      <c r="E138" s="43"/>
      <c r="F138" s="43"/>
      <c r="G138" s="43"/>
      <c r="H138" s="43"/>
      <c r="I138" s="43"/>
      <c r="J138" s="43"/>
      <c r="K138" s="265"/>
      <c r="L138" s="265"/>
      <c r="M138" s="265"/>
      <c r="N138" s="265"/>
      <c r="O138" s="265"/>
      <c r="P138" s="903"/>
      <c r="Q138" s="898"/>
      <c r="R138" s="898"/>
      <c r="S138" s="898"/>
      <c r="T138" s="898"/>
      <c r="U138" s="898"/>
      <c r="V138" s="898"/>
    </row>
    <row r="139" spans="1:22">
      <c r="A139" s="285"/>
      <c r="B139" s="43"/>
      <c r="C139" s="43"/>
      <c r="D139" s="43"/>
      <c r="E139" s="43"/>
      <c r="F139" s="43"/>
      <c r="G139" s="43"/>
      <c r="H139" s="43"/>
      <c r="I139" s="43"/>
      <c r="J139" s="43"/>
      <c r="K139" s="265"/>
      <c r="L139" s="265"/>
      <c r="M139" s="265"/>
      <c r="N139" s="265"/>
      <c r="O139" s="265"/>
      <c r="P139" s="903"/>
      <c r="Q139" s="898"/>
      <c r="R139" s="898"/>
      <c r="S139" s="898"/>
      <c r="T139" s="898"/>
      <c r="U139" s="898"/>
      <c r="V139" s="898"/>
    </row>
    <row r="140" spans="1:22" ht="20.5">
      <c r="A140" s="135" t="s">
        <v>744</v>
      </c>
      <c r="B140" s="58">
        <f t="shared" ref="B140:J140" si="62">B90</f>
        <v>2018</v>
      </c>
      <c r="C140" s="58">
        <f t="shared" si="62"/>
        <v>2019</v>
      </c>
      <c r="D140" s="58">
        <f t="shared" si="62"/>
        <v>2020</v>
      </c>
      <c r="E140" s="58">
        <f t="shared" si="62"/>
        <v>2021</v>
      </c>
      <c r="F140" s="58">
        <f t="shared" si="62"/>
        <v>2022</v>
      </c>
      <c r="G140" s="58">
        <f t="shared" si="62"/>
        <v>2023</v>
      </c>
      <c r="H140" s="58">
        <f t="shared" si="62"/>
        <v>2024</v>
      </c>
      <c r="I140" s="58">
        <f t="shared" si="62"/>
        <v>2025</v>
      </c>
      <c r="J140" s="58">
        <f t="shared" si="62"/>
        <v>2026</v>
      </c>
      <c r="K140" s="265"/>
      <c r="L140" s="265"/>
      <c r="M140" s="265"/>
      <c r="N140" s="265"/>
      <c r="O140" s="265"/>
      <c r="P140" s="903"/>
      <c r="Q140" s="898"/>
      <c r="R140" s="898"/>
      <c r="S140" s="898"/>
      <c r="T140" s="898"/>
      <c r="U140" s="898"/>
      <c r="V140" s="898"/>
    </row>
    <row r="141" spans="1:22">
      <c r="A141" s="225" t="s">
        <v>502</v>
      </c>
      <c r="B141" s="384" t="e">
        <f>VLOOKUP($B$3,'K18'!$A$4:$BX$433,24,FALSE)</f>
        <v>#N/A</v>
      </c>
      <c r="C141" s="384" t="e">
        <f>VLOOKUP($B$3,'K19'!$A$4:$BX$433,24,FALSE)</f>
        <v>#N/A</v>
      </c>
      <c r="D141" s="384">
        <f>VLOOKUP($B$3,'K20'!$A$4:$BX$439,24,FALSE)</f>
        <v>30</v>
      </c>
      <c r="E141" s="384">
        <f>VLOOKUP($B$3,'K21'!$A$4:$CF$435,24,FALSE)</f>
        <v>0</v>
      </c>
      <c r="F141" s="384">
        <f>VLOOKUP($B$3,'K22'!$A$4:$CK$433,24,FALSE)</f>
        <v>0</v>
      </c>
      <c r="G141" s="384">
        <f>VLOOKUP($B$3,'K23'!$A$4:$CK$433,24,FALSE)</f>
        <v>0</v>
      </c>
      <c r="H141" s="66">
        <v>0</v>
      </c>
      <c r="I141" s="66">
        <v>0</v>
      </c>
      <c r="J141" s="66">
        <v>0</v>
      </c>
      <c r="K141" s="265"/>
      <c r="L141" s="265"/>
      <c r="M141" s="265"/>
      <c r="N141" s="265"/>
      <c r="O141" s="265"/>
      <c r="P141" s="903"/>
      <c r="Q141" s="898"/>
      <c r="R141" s="898"/>
      <c r="S141" s="898"/>
      <c r="T141" s="898"/>
      <c r="U141" s="898"/>
      <c r="V141" s="898"/>
    </row>
    <row r="142" spans="1:22">
      <c r="A142" s="334" t="s">
        <v>999</v>
      </c>
      <c r="B142" s="385"/>
      <c r="C142" s="385"/>
      <c r="D142" s="385"/>
      <c r="E142" s="385"/>
      <c r="F142" s="385"/>
      <c r="G142" s="385"/>
      <c r="H142" s="385"/>
      <c r="I142" s="385"/>
      <c r="J142" s="385"/>
      <c r="K142" s="265"/>
      <c r="L142" s="265"/>
      <c r="M142" s="265"/>
      <c r="N142" s="265"/>
      <c r="O142" s="265"/>
      <c r="P142" s="903"/>
      <c r="Q142" s="898"/>
      <c r="R142" s="898"/>
      <c r="S142" s="898"/>
      <c r="T142" s="898"/>
      <c r="U142" s="898"/>
      <c r="V142" s="898"/>
    </row>
    <row r="143" spans="1:22">
      <c r="A143" s="42"/>
      <c r="B143" s="385"/>
      <c r="C143" s="385"/>
      <c r="D143" s="385"/>
      <c r="E143" s="385"/>
      <c r="F143" s="385"/>
      <c r="G143" s="385"/>
      <c r="H143" s="385"/>
      <c r="I143" s="385"/>
      <c r="J143" s="385"/>
      <c r="K143" s="265"/>
      <c r="L143" s="265"/>
      <c r="M143" s="265"/>
      <c r="N143" s="265"/>
      <c r="O143" s="265"/>
      <c r="P143" s="903"/>
      <c r="Q143" s="898"/>
      <c r="R143" s="898"/>
      <c r="S143" s="898"/>
      <c r="T143" s="898"/>
      <c r="U143" s="898"/>
      <c r="V143" s="898"/>
    </row>
    <row r="144" spans="1:22" s="819" customFormat="1">
      <c r="A144" s="268" t="s">
        <v>2637</v>
      </c>
      <c r="B144" s="820" t="e">
        <f>(VLOOKUP($B$3,'K18'!$A$4:$BZ$429,36,FALSE))</f>
        <v>#N/A</v>
      </c>
      <c r="C144" s="820" t="e">
        <f>(VLOOKUP($B$3,'K19'!$A$4:$BZ$429,36,FALSE))</f>
        <v>#N/A</v>
      </c>
      <c r="D144" s="820">
        <f>(VLOOKUP($B$3,'K20'!$A$4:$BZ$359,36,FALSE))</f>
        <v>0</v>
      </c>
      <c r="E144" s="820">
        <f>(VLOOKUP($B$3,'K21'!$A$4:$CH$359,36,FALSE))</f>
        <v>0</v>
      </c>
      <c r="F144" s="820">
        <f>(VLOOKUP($B$3,'K22'!$A$4:$CM$359,36,FALSE))</f>
        <v>0</v>
      </c>
      <c r="G144" s="820">
        <f>(VLOOKUP($B$3,'K23'!$A$4:$CM$359,36,FALSE))</f>
        <v>0</v>
      </c>
      <c r="H144" s="821"/>
      <c r="I144" s="821"/>
      <c r="J144" s="821"/>
      <c r="K144" s="822"/>
      <c r="L144" s="822"/>
      <c r="M144" s="822"/>
      <c r="N144" s="822"/>
      <c r="O144" s="822"/>
      <c r="P144" s="904"/>
      <c r="Q144" s="905"/>
      <c r="R144" s="905"/>
      <c r="S144" s="905"/>
      <c r="T144" s="905"/>
      <c r="U144" s="905"/>
      <c r="V144" s="905"/>
    </row>
    <row r="145" spans="1:22">
      <c r="A145" s="268" t="s">
        <v>1882</v>
      </c>
      <c r="B145" s="386" t="e">
        <f>(VLOOKUP($B$3,'K18'!$A$4:$BZ$429,29,FALSE))</f>
        <v>#N/A</v>
      </c>
      <c r="C145" s="386" t="e">
        <f>(VLOOKUP($B$3,'K19'!$A$4:$BZ$429,29,FALSE))</f>
        <v>#N/A</v>
      </c>
      <c r="D145" s="955"/>
      <c r="E145" s="385"/>
      <c r="F145" s="385"/>
      <c r="G145" s="385"/>
      <c r="H145" s="385"/>
      <c r="I145" s="385"/>
      <c r="J145" s="385"/>
      <c r="K145" s="265"/>
      <c r="L145" s="265"/>
      <c r="M145" s="265"/>
      <c r="N145" s="265"/>
      <c r="O145" s="265"/>
      <c r="P145" s="903"/>
      <c r="Q145" s="898"/>
      <c r="R145" s="898"/>
      <c r="S145" s="898"/>
      <c r="T145" s="898"/>
      <c r="U145" s="898"/>
      <c r="V145" s="898"/>
    </row>
    <row r="146" spans="1:22">
      <c r="A146" s="268" t="s">
        <v>1883</v>
      </c>
      <c r="B146" s="386" t="e">
        <f>(VLOOKUP($B$3,'K18'!$A$4:$BZ$429,19,FALSE))</f>
        <v>#N/A</v>
      </c>
      <c r="C146" s="386"/>
      <c r="D146" s="955"/>
      <c r="E146" s="385"/>
      <c r="F146" s="385"/>
      <c r="G146" s="385"/>
      <c r="H146" s="385"/>
      <c r="I146" s="385"/>
      <c r="J146" s="385"/>
      <c r="K146" s="265"/>
      <c r="L146" s="265"/>
      <c r="M146" s="265"/>
      <c r="N146" s="265"/>
      <c r="O146" s="265"/>
      <c r="P146" s="903"/>
      <c r="Q146" s="898"/>
      <c r="R146" s="898"/>
      <c r="S146" s="898"/>
      <c r="T146" s="898"/>
      <c r="U146" s="898"/>
      <c r="V146" s="898"/>
    </row>
    <row r="147" spans="1:22">
      <c r="A147" s="268" t="s">
        <v>1446</v>
      </c>
      <c r="B147" s="386" t="e">
        <f>(VLOOKUP($B$3,'K18'!$A$4:$BZ$429,75,FALSE))</f>
        <v>#N/A</v>
      </c>
      <c r="C147" s="385"/>
      <c r="D147" s="955"/>
      <c r="E147" s="385"/>
      <c r="F147" s="385"/>
      <c r="G147" s="385"/>
      <c r="H147" s="385"/>
      <c r="I147" s="385"/>
      <c r="J147" s="385"/>
      <c r="K147" s="265"/>
      <c r="L147" s="265"/>
      <c r="M147" s="265"/>
      <c r="N147" s="265"/>
      <c r="O147" s="265"/>
      <c r="P147" s="903"/>
      <c r="Q147" s="898"/>
      <c r="R147" s="898"/>
      <c r="S147" s="898"/>
      <c r="T147" s="898"/>
      <c r="U147" s="898"/>
      <c r="V147" s="898"/>
    </row>
    <row r="148" spans="1:22">
      <c r="A148" s="268" t="s">
        <v>1885</v>
      </c>
      <c r="B148" s="386"/>
      <c r="C148" s="820" t="e">
        <f>(VLOOKUP($B$3,'K19'!$A$4:$BZ$429,37,FALSE))</f>
        <v>#N/A</v>
      </c>
      <c r="D148" s="955"/>
      <c r="E148" s="385"/>
      <c r="F148" s="385"/>
      <c r="G148" s="385"/>
      <c r="H148" s="385"/>
      <c r="I148" s="385"/>
      <c r="J148" s="385"/>
      <c r="K148" s="265"/>
      <c r="L148" s="265"/>
      <c r="M148" s="265"/>
      <c r="N148" s="265"/>
      <c r="O148" s="265"/>
      <c r="P148" s="903"/>
      <c r="Q148" s="898"/>
      <c r="R148" s="898"/>
      <c r="S148" s="898"/>
      <c r="T148" s="898"/>
      <c r="U148" s="898"/>
      <c r="V148" s="898"/>
    </row>
    <row r="149" spans="1:22">
      <c r="A149" s="268" t="s">
        <v>1447</v>
      </c>
      <c r="B149" s="386" t="e">
        <f>(VLOOKUP($B$3,'K18'!$A$4:$BZ$429,76,FALSE))</f>
        <v>#N/A</v>
      </c>
      <c r="C149" s="385"/>
      <c r="D149" s="955"/>
      <c r="E149" s="385"/>
      <c r="F149" s="385"/>
      <c r="G149" s="385"/>
      <c r="H149" s="385"/>
      <c r="I149" s="385"/>
      <c r="J149" s="385"/>
      <c r="K149" s="265"/>
      <c r="L149" s="265"/>
      <c r="M149" s="265"/>
      <c r="N149" s="265"/>
      <c r="O149" s="265"/>
      <c r="P149" s="903"/>
      <c r="Q149" s="898"/>
      <c r="R149" s="898"/>
      <c r="S149" s="898"/>
      <c r="T149" s="898"/>
      <c r="U149" s="898"/>
      <c r="V149" s="898"/>
    </row>
    <row r="150" spans="1:22">
      <c r="A150" s="268"/>
      <c r="B150" s="385"/>
      <c r="C150" s="385"/>
      <c r="D150" s="955"/>
      <c r="E150" s="385"/>
      <c r="F150" s="385"/>
      <c r="G150" s="385"/>
      <c r="H150" s="385"/>
      <c r="I150" s="385"/>
      <c r="J150" s="385"/>
      <c r="K150" s="265"/>
      <c r="L150" s="265"/>
      <c r="M150" s="265"/>
      <c r="N150" s="265"/>
      <c r="O150" s="265"/>
      <c r="P150" s="903"/>
      <c r="Q150" s="898"/>
      <c r="R150" s="898"/>
      <c r="S150" s="898"/>
      <c r="T150" s="898"/>
      <c r="U150" s="898"/>
      <c r="V150" s="898"/>
    </row>
    <row r="151" spans="1:22">
      <c r="A151" s="268" t="s">
        <v>1886</v>
      </c>
      <c r="B151" s="385"/>
      <c r="C151" s="385"/>
      <c r="D151" s="820">
        <f>(VLOOKUP($B$3,'K20'!$A$4:$BZ$435,19,FALSE))</f>
        <v>0</v>
      </c>
      <c r="E151" s="954">
        <f>(VLOOKUP($B$3,'K21'!$A$4:$CH$431,19,FALSE))</f>
        <v>0</v>
      </c>
      <c r="F151" s="385"/>
      <c r="G151" s="385"/>
      <c r="H151" s="385"/>
      <c r="I151" s="385"/>
      <c r="J151" s="385"/>
      <c r="K151" s="265"/>
      <c r="L151" s="265"/>
      <c r="M151" s="265"/>
      <c r="N151" s="265"/>
      <c r="O151" s="265"/>
      <c r="P151" s="903"/>
      <c r="Q151" s="898"/>
      <c r="R151" s="898"/>
      <c r="S151" s="898"/>
      <c r="T151" s="898"/>
      <c r="U151" s="898"/>
      <c r="V151" s="898"/>
    </row>
    <row r="152" spans="1:22">
      <c r="A152" s="268"/>
      <c r="B152" s="385"/>
      <c r="C152" s="385"/>
      <c r="D152" s="955"/>
      <c r="E152" s="385"/>
      <c r="F152" s="385"/>
      <c r="G152" s="385"/>
      <c r="H152" s="385"/>
      <c r="I152" s="385"/>
      <c r="J152" s="385"/>
      <c r="K152" s="265"/>
      <c r="L152" s="265"/>
      <c r="M152" s="265"/>
      <c r="N152" s="265"/>
      <c r="O152" s="265"/>
      <c r="P152" s="903"/>
      <c r="Q152" s="898"/>
      <c r="R152" s="898"/>
      <c r="S152" s="898"/>
      <c r="T152" s="898"/>
      <c r="U152" s="898"/>
      <c r="V152" s="898"/>
    </row>
    <row r="153" spans="1:22">
      <c r="A153" s="268" t="s">
        <v>2247</v>
      </c>
      <c r="B153" s="385"/>
      <c r="C153" s="385"/>
      <c r="D153" s="955"/>
      <c r="E153" s="954">
        <f>(VLOOKUP($B$3,'K21'!$A$4:$CH$431,27,FALSE))</f>
        <v>0</v>
      </c>
      <c r="F153" s="385"/>
      <c r="G153" s="385"/>
      <c r="H153" s="385"/>
      <c r="I153" s="385"/>
      <c r="J153" s="385"/>
      <c r="K153" s="265"/>
      <c r="L153" s="265"/>
      <c r="M153" s="265"/>
      <c r="N153" s="265"/>
      <c r="O153" s="265"/>
      <c r="P153" s="903"/>
      <c r="Q153" s="898"/>
      <c r="R153" s="898"/>
      <c r="S153" s="898"/>
      <c r="T153" s="898"/>
      <c r="U153" s="898"/>
      <c r="V153" s="898"/>
    </row>
    <row r="154" spans="1:22">
      <c r="A154" s="268"/>
      <c r="B154" s="385"/>
      <c r="C154" s="385"/>
      <c r="D154" s="955"/>
      <c r="E154" s="385"/>
      <c r="F154" s="385"/>
      <c r="G154" s="385"/>
      <c r="H154" s="385"/>
      <c r="I154" s="385"/>
      <c r="J154" s="385"/>
      <c r="K154" s="265"/>
      <c r="L154" s="265"/>
      <c r="M154" s="265"/>
      <c r="N154" s="265"/>
      <c r="O154" s="265"/>
      <c r="P154" s="903"/>
      <c r="Q154" s="898"/>
      <c r="R154" s="898"/>
      <c r="S154" s="898"/>
      <c r="T154" s="898"/>
      <c r="U154" s="898"/>
      <c r="V154" s="898"/>
    </row>
    <row r="155" spans="1:22">
      <c r="A155" s="268" t="s">
        <v>2347</v>
      </c>
      <c r="B155" s="387" t="e">
        <f>VLOOKUP($B$3,'K18'!$A$4:$BY$439,35,FALSE)</f>
        <v>#N/A</v>
      </c>
      <c r="C155" s="387" t="e">
        <f>VLOOKUP($B$3,'K19'!$A$4:$BY$439,35,FALSE)</f>
        <v>#N/A</v>
      </c>
      <c r="D155" s="387">
        <f>VLOOKUP($B$3,'K20'!$A$4:$BY$359,35,FALSE)</f>
        <v>0</v>
      </c>
      <c r="E155" s="387">
        <f>VLOOKUP($B$3,'K21'!$A$4:$CG$359,35,FALSE)</f>
        <v>250</v>
      </c>
      <c r="F155" s="387">
        <f>VLOOKUP($B$3,'K22'!$A$4:$CL$359,35,FALSE)</f>
        <v>550</v>
      </c>
      <c r="G155" s="387">
        <f>VLOOKUP($B$3,'K23'!$A$4:$CL$359,35,FALSE)</f>
        <v>0</v>
      </c>
      <c r="H155" s="385"/>
      <c r="I155" s="385"/>
      <c r="J155" s="385"/>
      <c r="K155" s="265"/>
      <c r="L155" s="265"/>
      <c r="M155" s="265"/>
      <c r="N155" s="265"/>
      <c r="O155" s="265"/>
      <c r="P155" s="903"/>
      <c r="Q155" s="898"/>
      <c r="R155" s="898"/>
      <c r="S155" s="898"/>
      <c r="T155" s="898"/>
      <c r="U155" s="898"/>
      <c r="V155" s="898"/>
    </row>
    <row r="156" spans="1:22">
      <c r="A156" s="268" t="s">
        <v>2351</v>
      </c>
      <c r="B156" s="385"/>
      <c r="C156" s="385"/>
      <c r="D156" s="387">
        <f>VLOOKUP($B$3,'K20'!$A$4:$BY$359,49,FALSE)</f>
        <v>1041</v>
      </c>
      <c r="E156" s="387">
        <f>VLOOKUP($B$3,'K21'!$A$4:$BY$359,49,FALSE)+VLOOKUP(Inngang!$C$8,'K21'!$A$4:$CT$359,78,FALSE)</f>
        <v>1100</v>
      </c>
      <c r="F156" s="387">
        <f>VLOOKUP($B$3,'K22'!$A$4:$BY$359,62,FALSE)</f>
        <v>0</v>
      </c>
      <c r="G156" s="385"/>
      <c r="H156" s="385"/>
      <c r="I156" s="385"/>
      <c r="J156" s="385"/>
      <c r="K156" s="265"/>
      <c r="L156" s="265"/>
      <c r="M156" s="265"/>
      <c r="N156" s="265"/>
      <c r="O156" s="265"/>
      <c r="P156" s="903"/>
      <c r="Q156" s="898"/>
      <c r="R156" s="898"/>
      <c r="S156" s="898"/>
      <c r="T156" s="898"/>
      <c r="U156" s="898"/>
      <c r="V156" s="898"/>
    </row>
    <row r="157" spans="1:22">
      <c r="A157" s="268" t="s">
        <v>2054</v>
      </c>
      <c r="B157" s="385"/>
      <c r="C157" s="385"/>
      <c r="D157" s="387">
        <f>VLOOKUP($B$3,'K20'!$A$4:$BY$359,27,FALSE)</f>
        <v>0</v>
      </c>
      <c r="E157" s="385"/>
      <c r="F157" s="385"/>
      <c r="G157" s="385"/>
      <c r="H157" s="385"/>
      <c r="I157" s="385"/>
      <c r="J157" s="385"/>
      <c r="K157" s="265"/>
      <c r="L157" s="265"/>
      <c r="M157" s="265"/>
      <c r="N157" s="265"/>
      <c r="O157" s="265"/>
      <c r="P157" s="903"/>
      <c r="Q157" s="898"/>
      <c r="R157" s="898"/>
      <c r="S157" s="898"/>
      <c r="T157" s="898"/>
      <c r="U157" s="898"/>
      <c r="V157" s="898"/>
    </row>
    <row r="158" spans="1:22" ht="24.65" customHeight="1">
      <c r="A158" s="268"/>
      <c r="B158" s="1003"/>
      <c r="C158" s="1003"/>
      <c r="D158" s="1003"/>
      <c r="E158" s="1003"/>
      <c r="F158" s="1003"/>
      <c r="G158" s="1003"/>
      <c r="H158" s="1003"/>
      <c r="I158" s="1003"/>
      <c r="J158" s="1003"/>
      <c r="K158" s="265"/>
      <c r="L158" s="265"/>
      <c r="M158" s="265"/>
      <c r="N158" s="265"/>
      <c r="O158" s="265"/>
      <c r="P158" s="903"/>
      <c r="Q158" s="898"/>
      <c r="R158" s="898"/>
      <c r="S158" s="898"/>
      <c r="T158" s="898"/>
      <c r="U158" s="898"/>
      <c r="V158" s="898"/>
    </row>
    <row r="159" spans="1:22" ht="24" customHeight="1">
      <c r="A159" s="1255" t="s">
        <v>1873</v>
      </c>
      <c r="B159" s="1245"/>
      <c r="C159" s="1245"/>
      <c r="D159" s="1245"/>
      <c r="E159" s="1245"/>
      <c r="F159" s="1246"/>
      <c r="G159" s="1246"/>
      <c r="H159" s="1254" t="s">
        <v>699</v>
      </c>
      <c r="I159" s="1246"/>
      <c r="J159" s="1246"/>
      <c r="K159" s="265"/>
      <c r="L159" s="265"/>
      <c r="M159" s="265"/>
      <c r="N159" s="265"/>
      <c r="O159" s="265"/>
      <c r="P159" s="903"/>
      <c r="Q159" s="898"/>
      <c r="R159" s="898"/>
      <c r="S159" s="898"/>
      <c r="T159" s="898"/>
      <c r="U159" s="898"/>
      <c r="V159" s="898"/>
    </row>
    <row r="160" spans="1:22" ht="15.5">
      <c r="A160" s="254"/>
      <c r="B160" s="923">
        <f t="shared" ref="B160:J160" si="63">B90</f>
        <v>2018</v>
      </c>
      <c r="C160" s="923">
        <f t="shared" si="63"/>
        <v>2019</v>
      </c>
      <c r="D160" s="923">
        <f t="shared" si="63"/>
        <v>2020</v>
      </c>
      <c r="E160" s="923">
        <f t="shared" si="63"/>
        <v>2021</v>
      </c>
      <c r="F160" s="923">
        <f t="shared" si="63"/>
        <v>2022</v>
      </c>
      <c r="G160" s="923">
        <f t="shared" si="63"/>
        <v>2023</v>
      </c>
      <c r="H160" s="923">
        <f t="shared" si="63"/>
        <v>2024</v>
      </c>
      <c r="I160" s="923">
        <f t="shared" si="63"/>
        <v>2025</v>
      </c>
      <c r="J160" s="923">
        <f t="shared" si="63"/>
        <v>2026</v>
      </c>
      <c r="K160" s="265"/>
      <c r="L160" s="265"/>
      <c r="M160" s="265"/>
      <c r="N160" s="265"/>
      <c r="O160" s="265"/>
      <c r="P160" s="903"/>
      <c r="Q160" s="898"/>
      <c r="R160" s="898"/>
      <c r="S160" s="898"/>
      <c r="T160" s="898"/>
      <c r="U160" s="898"/>
      <c r="V160" s="898"/>
    </row>
    <row r="161" spans="1:22">
      <c r="A161" s="966" t="s">
        <v>1872</v>
      </c>
      <c r="B161" s="922">
        <v>-71.47419635</v>
      </c>
      <c r="C161" s="922">
        <v>-53.227700419999998</v>
      </c>
      <c r="D161" s="922">
        <v>-53.865463800000001</v>
      </c>
      <c r="E161" s="922">
        <v>-37.766491209999998</v>
      </c>
      <c r="F161" s="922">
        <v>-48.240642209999997</v>
      </c>
      <c r="G161" s="922">
        <v>-41.038605740000001</v>
      </c>
      <c r="H161" s="332">
        <v>-35</v>
      </c>
      <c r="I161" s="332">
        <v>-30</v>
      </c>
      <c r="J161" s="332">
        <v>-30</v>
      </c>
      <c r="K161" s="265"/>
      <c r="L161" s="265"/>
      <c r="M161" s="265"/>
      <c r="N161" s="265"/>
      <c r="O161" s="265"/>
      <c r="P161" s="903"/>
      <c r="Q161" s="898"/>
      <c r="R161" s="898"/>
      <c r="S161" s="898"/>
      <c r="T161" s="898"/>
      <c r="U161" s="898"/>
      <c r="V161" s="898"/>
    </row>
    <row r="162" spans="1:22" ht="7.5" customHeight="1">
      <c r="A162" s="42"/>
      <c r="B162" s="388"/>
      <c r="C162" s="388"/>
      <c r="D162" s="388"/>
      <c r="E162" s="388"/>
      <c r="F162" s="388"/>
      <c r="G162" s="388"/>
      <c r="H162" s="388"/>
      <c r="I162" s="388"/>
      <c r="J162" s="388"/>
      <c r="K162" s="265"/>
      <c r="L162" s="265"/>
      <c r="M162" s="265"/>
      <c r="N162" s="265"/>
      <c r="O162" s="265"/>
      <c r="P162" s="903"/>
      <c r="Q162" s="898"/>
      <c r="R162" s="898"/>
      <c r="S162" s="898"/>
      <c r="T162" s="898"/>
      <c r="U162" s="898"/>
      <c r="V162" s="898"/>
    </row>
    <row r="163" spans="1:22" ht="20.5">
      <c r="A163" s="1251" t="s">
        <v>1874</v>
      </c>
      <c r="B163" s="1252"/>
      <c r="C163" s="1252"/>
      <c r="D163" s="1252"/>
      <c r="E163" s="1252"/>
      <c r="F163" s="1252"/>
      <c r="G163" s="1252"/>
      <c r="H163" s="1253" t="s">
        <v>998</v>
      </c>
      <c r="I163" s="1252"/>
      <c r="J163" s="1252"/>
      <c r="K163" s="265"/>
      <c r="L163" s="265"/>
      <c r="M163" s="265"/>
      <c r="N163" s="265"/>
      <c r="O163" s="265"/>
      <c r="P163" s="903"/>
      <c r="Q163" s="898"/>
      <c r="R163" s="898"/>
      <c r="S163" s="898"/>
      <c r="T163" s="898"/>
      <c r="U163" s="898"/>
      <c r="V163" s="898"/>
    </row>
    <row r="164" spans="1:22" ht="15">
      <c r="A164" s="596" t="s">
        <v>1046</v>
      </c>
      <c r="B164" s="186"/>
      <c r="C164" s="186"/>
      <c r="D164" s="186"/>
      <c r="E164" s="186"/>
      <c r="F164" s="186"/>
      <c r="G164" s="186"/>
      <c r="H164" s="333">
        <v>0</v>
      </c>
      <c r="I164" s="333">
        <v>0</v>
      </c>
      <c r="J164" s="333">
        <v>0</v>
      </c>
      <c r="K164" s="265"/>
      <c r="L164" s="265"/>
      <c r="M164" s="265"/>
      <c r="N164" s="265"/>
      <c r="O164" s="265"/>
      <c r="P164" s="903"/>
      <c r="Q164" s="898"/>
      <c r="R164" s="898"/>
      <c r="S164" s="898"/>
      <c r="T164" s="898"/>
      <c r="U164" s="898"/>
      <c r="V164" s="898"/>
    </row>
    <row r="165" spans="1:22">
      <c r="A165" s="385" t="s">
        <v>1010</v>
      </c>
      <c r="B165" s="388"/>
      <c r="C165" s="388"/>
      <c r="D165" s="388"/>
      <c r="E165" s="388"/>
      <c r="F165" s="388"/>
      <c r="G165" s="388"/>
      <c r="H165" s="388"/>
      <c r="I165" s="388"/>
      <c r="J165" s="388"/>
      <c r="K165" s="265"/>
      <c r="L165" s="265"/>
      <c r="M165" s="265"/>
      <c r="N165" s="265"/>
      <c r="O165" s="265"/>
      <c r="P165" s="903"/>
      <c r="Q165" s="898"/>
      <c r="R165" s="898"/>
      <c r="S165" s="898"/>
      <c r="T165" s="898"/>
      <c r="U165" s="898"/>
      <c r="V165" s="898"/>
    </row>
    <row r="166" spans="1:22">
      <c r="A166" s="265"/>
      <c r="B166" s="573"/>
      <c r="C166" s="573"/>
      <c r="D166" s="573"/>
      <c r="E166" s="573"/>
      <c r="F166" s="573"/>
      <c r="G166" s="573"/>
      <c r="H166" s="573"/>
      <c r="I166" s="573"/>
      <c r="J166" s="573"/>
      <c r="K166" s="265"/>
      <c r="L166" s="265"/>
      <c r="M166" s="265"/>
      <c r="N166" s="265"/>
      <c r="O166" s="265"/>
      <c r="P166" s="903"/>
      <c r="Q166" s="898"/>
      <c r="R166" s="898"/>
      <c r="S166" s="898"/>
      <c r="T166" s="898"/>
      <c r="U166" s="898"/>
      <c r="V166" s="898"/>
    </row>
    <row r="167" spans="1:22">
      <c r="A167" s="42" t="s">
        <v>8</v>
      </c>
      <c r="B167" s="42"/>
      <c r="C167" s="42"/>
      <c r="D167" s="42"/>
      <c r="E167" s="42"/>
      <c r="F167" s="42"/>
      <c r="G167" s="42"/>
      <c r="H167" s="42"/>
      <c r="I167" s="42"/>
      <c r="J167" s="42"/>
      <c r="K167" s="265"/>
      <c r="L167" s="265"/>
      <c r="M167" s="265"/>
      <c r="N167" s="265"/>
      <c r="O167" s="265"/>
      <c r="P167" s="903"/>
      <c r="Q167" s="898"/>
      <c r="R167" s="898"/>
      <c r="S167" s="898"/>
      <c r="T167" s="898"/>
      <c r="U167" s="898"/>
      <c r="V167" s="898"/>
    </row>
    <row r="168" spans="1:22">
      <c r="A168" s="389" t="s">
        <v>770</v>
      </c>
      <c r="B168" s="1056" t="e">
        <f>+B127</f>
        <v>#N/A</v>
      </c>
      <c r="C168" s="1056" t="e">
        <f>B127+B127*C169</f>
        <v>#N/A</v>
      </c>
      <c r="D168" s="1056" t="e">
        <f t="shared" ref="D168:J168" si="64">C127+C127*D169</f>
        <v>#N/A</v>
      </c>
      <c r="E168" s="1056">
        <f>D127+D127*E169</f>
        <v>29760.987880828143</v>
      </c>
      <c r="F168" s="106">
        <f>E127+E127*F169</f>
        <v>33103.364838435082</v>
      </c>
      <c r="G168" s="106">
        <f t="shared" si="64"/>
        <v>30503.514545873441</v>
      </c>
      <c r="H168" s="106">
        <f t="shared" si="64"/>
        <v>32252.58396953905</v>
      </c>
      <c r="I168" s="106">
        <f t="shared" si="64"/>
        <v>32252.583969539046</v>
      </c>
      <c r="J168" s="106">
        <f t="shared" si="64"/>
        <v>32252.583969539046</v>
      </c>
      <c r="K168" s="265"/>
      <c r="L168" s="265"/>
      <c r="M168" s="265"/>
      <c r="N168" s="265"/>
      <c r="O168" s="265"/>
      <c r="P168" s="903"/>
      <c r="Q168" s="898"/>
      <c r="R168" s="898"/>
      <c r="S168" s="898"/>
      <c r="T168" s="898"/>
      <c r="U168" s="898"/>
      <c r="V168" s="898"/>
    </row>
    <row r="169" spans="1:22">
      <c r="A169" s="385"/>
      <c r="B169" s="1057"/>
      <c r="C169" s="1057" t="e">
        <f>C128</f>
        <v>#N/A</v>
      </c>
      <c r="D169" s="1057" t="e">
        <f t="shared" ref="D169:E169" si="65">D128</f>
        <v>#N/A</v>
      </c>
      <c r="E169" s="1057">
        <f t="shared" si="65"/>
        <v>0.12235653583638942</v>
      </c>
      <c r="F169" s="390">
        <f>F112</f>
        <v>0.11230732565030462</v>
      </c>
      <c r="G169" s="390">
        <f t="shared" ref="G169:J169" si="66">G112</f>
        <v>-8.7378172286400504E-2</v>
      </c>
      <c r="H169" s="390">
        <f t="shared" si="66"/>
        <v>4.9253544857451481E-2</v>
      </c>
      <c r="I169" s="390">
        <f t="shared" si="66"/>
        <v>0</v>
      </c>
      <c r="J169" s="390">
        <f t="shared" si="66"/>
        <v>0</v>
      </c>
      <c r="K169" s="265"/>
      <c r="L169" s="265"/>
      <c r="M169" s="265"/>
      <c r="N169" s="265"/>
      <c r="O169" s="265"/>
      <c r="P169" s="903"/>
      <c r="Q169" s="898"/>
      <c r="R169" s="898"/>
      <c r="S169" s="898"/>
      <c r="T169" s="898"/>
      <c r="U169" s="898"/>
      <c r="V169" s="898"/>
    </row>
    <row r="170" spans="1:22">
      <c r="A170" s="385" t="s">
        <v>1962</v>
      </c>
      <c r="B170" s="265"/>
      <c r="C170" s="265"/>
      <c r="D170" s="265"/>
      <c r="E170" s="265"/>
      <c r="F170" s="1225">
        <f>209200000+1980000</f>
        <v>211180000</v>
      </c>
      <c r="G170" s="265"/>
      <c r="H170" s="265"/>
      <c r="I170" s="265"/>
      <c r="J170" s="265"/>
      <c r="K170" s="265"/>
      <c r="L170" s="265"/>
      <c r="M170" s="265"/>
      <c r="N170" s="265"/>
      <c r="O170" s="265"/>
      <c r="P170" s="903"/>
      <c r="Q170" s="903"/>
      <c r="R170" s="903"/>
      <c r="S170" s="903"/>
      <c r="T170" s="903"/>
      <c r="U170" s="903"/>
      <c r="V170" s="903"/>
    </row>
    <row r="171" spans="1:22">
      <c r="A171" s="1048">
        <v>1</v>
      </c>
      <c r="B171" s="265"/>
      <c r="C171" s="695"/>
      <c r="D171" s="265"/>
      <c r="E171" s="265"/>
      <c r="F171" s="265"/>
      <c r="G171" s="265"/>
      <c r="H171" s="265"/>
      <c r="I171" s="265"/>
      <c r="J171" s="265"/>
      <c r="K171" s="265"/>
      <c r="L171" s="265"/>
      <c r="M171" s="265"/>
      <c r="N171" s="265"/>
      <c r="O171" s="265"/>
      <c r="P171" s="903"/>
      <c r="Q171" s="903"/>
      <c r="R171" s="903"/>
      <c r="S171" s="903"/>
      <c r="T171" s="903"/>
      <c r="U171" s="903"/>
      <c r="V171" s="903"/>
    </row>
    <row r="172" spans="1:22">
      <c r="A172" s="265"/>
      <c r="B172" s="265"/>
      <c r="C172" s="265"/>
      <c r="D172" s="265"/>
      <c r="E172" s="265"/>
      <c r="F172" s="265"/>
      <c r="G172" s="265"/>
      <c r="H172" s="265"/>
      <c r="I172" s="265"/>
      <c r="J172" s="265"/>
      <c r="K172" s="265"/>
      <c r="L172" s="265"/>
      <c r="M172" s="265"/>
      <c r="N172" s="265"/>
      <c r="O172" s="265"/>
      <c r="P172" s="903"/>
      <c r="Q172" s="903"/>
      <c r="R172" s="903"/>
      <c r="S172" s="903"/>
      <c r="T172" s="903"/>
      <c r="U172" s="903"/>
      <c r="V172" s="903"/>
    </row>
    <row r="173" spans="1:22">
      <c r="A173" s="265"/>
      <c r="B173" s="265"/>
      <c r="C173" s="265"/>
      <c r="D173" s="265"/>
      <c r="E173" s="265"/>
      <c r="F173" s="265"/>
      <c r="G173" s="265"/>
      <c r="H173" s="265"/>
      <c r="I173" s="265"/>
      <c r="J173" s="265"/>
      <c r="K173" s="265"/>
      <c r="L173" s="265"/>
      <c r="M173" s="265"/>
      <c r="N173" s="265"/>
      <c r="O173" s="265"/>
      <c r="P173" s="903"/>
      <c r="Q173" s="903"/>
      <c r="R173" s="903"/>
      <c r="S173" s="903"/>
      <c r="T173" s="903"/>
      <c r="U173" s="903"/>
      <c r="V173" s="903"/>
    </row>
    <row r="174" spans="1:22">
      <c r="A174" s="265"/>
      <c r="B174" s="265"/>
      <c r="C174" s="265"/>
      <c r="D174" s="265"/>
      <c r="E174" s="265"/>
      <c r="F174" s="265"/>
      <c r="G174" s="265"/>
      <c r="H174" s="265"/>
      <c r="I174" s="265"/>
      <c r="J174" s="265"/>
      <c r="K174" s="265"/>
      <c r="L174" s="265"/>
      <c r="M174" s="265"/>
      <c r="N174" s="265"/>
      <c r="O174" s="265"/>
      <c r="P174" s="903"/>
      <c r="Q174" s="903"/>
      <c r="R174" s="903"/>
      <c r="S174" s="903"/>
      <c r="T174" s="903"/>
      <c r="U174" s="903"/>
      <c r="V174" s="903"/>
    </row>
    <row r="175" spans="1:22">
      <c r="A175" s="265"/>
      <c r="B175" s="995"/>
      <c r="C175" s="265"/>
      <c r="D175" s="265"/>
      <c r="E175" s="265"/>
      <c r="F175" s="265"/>
      <c r="G175" s="265"/>
      <c r="H175" s="265"/>
      <c r="I175" s="265"/>
      <c r="J175" s="265"/>
      <c r="K175" s="265"/>
      <c r="L175" s="265"/>
      <c r="M175" s="265"/>
      <c r="N175" s="265"/>
      <c r="O175" s="265"/>
      <c r="P175" s="903"/>
      <c r="Q175" s="903"/>
      <c r="R175" s="903"/>
      <c r="S175" s="903"/>
      <c r="T175" s="903"/>
      <c r="U175" s="903"/>
      <c r="V175" s="903"/>
    </row>
    <row r="176" spans="1:22">
      <c r="A176" s="265"/>
      <c r="B176" s="265"/>
      <c r="C176" s="265"/>
      <c r="D176" s="265"/>
      <c r="E176" s="265"/>
      <c r="F176" s="265"/>
      <c r="G176" s="265"/>
      <c r="H176" s="265"/>
      <c r="I176" s="265"/>
      <c r="J176" s="265"/>
      <c r="K176" s="265"/>
      <c r="L176" s="265"/>
      <c r="M176" s="265"/>
      <c r="N176" s="265"/>
      <c r="O176" s="265"/>
      <c r="P176" s="903"/>
      <c r="Q176" s="903"/>
      <c r="R176" s="903"/>
      <c r="S176" s="903"/>
      <c r="T176" s="903"/>
      <c r="U176" s="903"/>
      <c r="V176" s="903"/>
    </row>
    <row r="177" spans="1:22">
      <c r="A177" s="265"/>
      <c r="B177" s="265"/>
      <c r="C177" s="265"/>
      <c r="D177" s="265"/>
      <c r="E177" s="265"/>
      <c r="F177" s="265"/>
      <c r="G177" s="265"/>
      <c r="H177" s="265"/>
      <c r="I177" s="265"/>
      <c r="J177" s="265"/>
      <c r="K177" s="265"/>
      <c r="L177" s="265"/>
      <c r="M177" s="265"/>
      <c r="N177" s="265"/>
      <c r="O177" s="265"/>
      <c r="P177" s="903"/>
      <c r="Q177" s="903"/>
      <c r="R177" s="903"/>
      <c r="S177" s="903"/>
      <c r="T177" s="903"/>
      <c r="U177" s="903"/>
      <c r="V177" s="903"/>
    </row>
    <row r="178" spans="1:22">
      <c r="A178" s="265"/>
      <c r="B178" s="265"/>
      <c r="C178" s="265"/>
      <c r="D178" s="265"/>
      <c r="E178" s="265"/>
      <c r="F178" s="265"/>
      <c r="G178" s="265"/>
      <c r="H178" s="265"/>
      <c r="I178" s="265"/>
      <c r="J178" s="265"/>
      <c r="K178" s="265"/>
      <c r="L178" s="265"/>
      <c r="M178" s="265"/>
      <c r="N178" s="265"/>
      <c r="O178" s="265"/>
      <c r="P178" s="903"/>
      <c r="Q178" s="903"/>
      <c r="R178" s="903"/>
      <c r="S178" s="903"/>
      <c r="T178" s="903"/>
      <c r="U178" s="903"/>
      <c r="V178" s="903"/>
    </row>
  </sheetData>
  <sheetProtection sheet="1" objects="1" scenarios="1"/>
  <mergeCells count="13">
    <mergeCell ref="A5:J5"/>
    <mergeCell ref="A6:J6"/>
    <mergeCell ref="A7:J7"/>
    <mergeCell ref="A20:J20"/>
    <mergeCell ref="A21:J21"/>
    <mergeCell ref="A22:J22"/>
    <mergeCell ref="A23:J23"/>
    <mergeCell ref="G55:J55"/>
    <mergeCell ref="G87:J87"/>
    <mergeCell ref="A163:G163"/>
    <mergeCell ref="H163:J163"/>
    <mergeCell ref="H159:J159"/>
    <mergeCell ref="A159:G159"/>
  </mergeCells>
  <phoneticPr fontId="32" type="noConversion"/>
  <hyperlinks>
    <hyperlink ref="F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s>
  <sheetData>
    <row r="1" spans="1:20" s="85" customFormat="1">
      <c r="A1"/>
      <c r="B1" s="74" t="s">
        <v>719</v>
      </c>
      <c r="N1" s="177"/>
    </row>
    <row r="2" spans="1:20"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20" s="85" customFormat="1" ht="13">
      <c r="A4" s="865">
        <v>301</v>
      </c>
      <c r="B4" s="866" t="s">
        <v>823</v>
      </c>
      <c r="C4" s="289">
        <f>VLOOKUP($A4,K0kommunestruktur2019!$A$4:$N$425,K0kommunestruktur2020!C$3,FALSE)</f>
        <v>634463</v>
      </c>
      <c r="D4" s="177">
        <f>VLOOKUP($A4,K0kommunestruktur2019!$A$4:$N$425,K0kommunestruktur2020!D$3,FALSE)</f>
        <v>20917085</v>
      </c>
      <c r="E4" s="289">
        <f>VLOOKUP($A4,K0kommunestruktur2019!$A$4:$N$425,K0kommunestruktur2020!E$3,FALSE)</f>
        <v>647676</v>
      </c>
      <c r="F4" s="177">
        <f>VLOOKUP($A4,K0kommunestruktur2019!$A$4:$N$425,K0kommunestruktur2020!F$3,FALSE)</f>
        <v>22488171</v>
      </c>
      <c r="G4" s="289">
        <f>VLOOKUP($A4,K0kommunestruktur2019!$A$4:$N$425,K0kommunestruktur2020!G$3,FALSE)</f>
        <v>658390</v>
      </c>
      <c r="H4" s="177">
        <f>VLOOKUP($A4,K0kommunestruktur2019!$A$4:$N$425,K0kommunestruktur2020!H$3,FALSE)</f>
        <v>25522086</v>
      </c>
      <c r="I4" s="289">
        <f>VLOOKUP($A4,K0kommunestruktur2019!$A$4:$N$425,K0kommunestruktur2020!I$3,FALSE)</f>
        <v>666759</v>
      </c>
      <c r="J4" s="177">
        <f>VLOOKUP($A4,K0kommunestruktur2019!$A$4:$N$425,K0kommunestruktur2020!J$3,FALSE)</f>
        <v>27402999</v>
      </c>
      <c r="K4" s="289">
        <f>VLOOKUP($A4,K0kommunestruktur2019!$A$4:$N$425,K0kommunestruktur2020!K$3,FALSE)</f>
        <v>673469</v>
      </c>
      <c r="L4" s="177">
        <f>VLOOKUP($A4,K0kommunestruktur2019!$A$4:$N$425,K0kommunestruktur2020!L$3,FALSE)</f>
        <v>28170461</v>
      </c>
      <c r="M4" s="289">
        <f>VLOOKUP($A4,K0kommunestruktur2019!$A$4:$N$425,K0kommunestruktur2020!M$3,FALSE)</f>
        <v>681071</v>
      </c>
      <c r="N4" s="177">
        <f>VLOOKUP($A4,K0kommunestruktur2019!$A$4:$N$425,K0kommunestruktur2020!N$3,FALSE)</f>
        <v>29417306</v>
      </c>
      <c r="O4" s="289">
        <f>VLOOKUP(A4,'K20'!$A$4:$BV$359,3)</f>
        <v>693494</v>
      </c>
      <c r="P4" s="289">
        <f>VLOOKUP(A4,'K20'!$A$4:$BV$359,26)</f>
        <v>29485704</v>
      </c>
      <c r="R4" s="517"/>
      <c r="S4" s="517"/>
      <c r="T4" s="517"/>
    </row>
    <row r="5" spans="1:20" s="85" customFormat="1" ht="13">
      <c r="A5" s="865">
        <v>1101</v>
      </c>
      <c r="B5" s="866" t="s">
        <v>958</v>
      </c>
      <c r="C5" s="289">
        <f>VLOOKUP($A5,K0kommunestruktur2019!$A$4:$N$425,K0kommunestruktur2020!C$3,FALSE)</f>
        <v>14811</v>
      </c>
      <c r="D5" s="177">
        <f>VLOOKUP($A5,K0kommunestruktur2019!$A$4:$N$425,K0kommunestruktur2020!D$3,FALSE)</f>
        <v>406927</v>
      </c>
      <c r="E5" s="289">
        <f>VLOOKUP($A5,K0kommunestruktur2019!$A$4:$N$425,K0kommunestruktur2020!E$3,FALSE)</f>
        <v>14916</v>
      </c>
      <c r="F5" s="177">
        <f>VLOOKUP($A5,K0kommunestruktur2019!$A$4:$N$425,K0kommunestruktur2020!F$3,FALSE)</f>
        <v>402775</v>
      </c>
      <c r="G5" s="289">
        <f>VLOOKUP($A5,K0kommunestruktur2019!$A$4:$N$425,K0kommunestruktur2020!G$3,FALSE)</f>
        <v>14942</v>
      </c>
      <c r="H5" s="177">
        <f>VLOOKUP($A5,K0kommunestruktur2019!$A$4:$N$425,K0kommunestruktur2020!H$3,FALSE)</f>
        <v>418367</v>
      </c>
      <c r="I5" s="289">
        <f>VLOOKUP($A5,K0kommunestruktur2019!$A$4:$N$425,K0kommunestruktur2020!I$3,FALSE)</f>
        <v>14899</v>
      </c>
      <c r="J5" s="177">
        <f>VLOOKUP($A5,K0kommunestruktur2019!$A$4:$N$425,K0kommunestruktur2020!J$3,FALSE)</f>
        <v>420764</v>
      </c>
      <c r="K5" s="289">
        <f>VLOOKUP($A5,K0kommunestruktur2019!$A$4:$N$425,K0kommunestruktur2020!K$3,FALSE)</f>
        <v>14898</v>
      </c>
      <c r="L5" s="177">
        <f>VLOOKUP($A5,K0kommunestruktur2019!$A$4:$N$425,K0kommunestruktur2020!L$3,FALSE)</f>
        <v>421333</v>
      </c>
      <c r="M5" s="289">
        <f>VLOOKUP($A5,K0kommunestruktur2019!$A$4:$N$425,K0kommunestruktur2020!M$3,FALSE)</f>
        <v>14830</v>
      </c>
      <c r="N5" s="177">
        <f>VLOOKUP($A5,K0kommunestruktur2019!$A$4:$N$425,K0kommunestruktur2020!N$3,FALSE)</f>
        <v>455451</v>
      </c>
      <c r="O5" s="289">
        <f>VLOOKUP(A5,'K20'!$A$4:$BV$359,3)</f>
        <v>14811</v>
      </c>
      <c r="P5" s="289">
        <f>VLOOKUP(A5,'K20'!$A$4:$BV$359,26)</f>
        <v>500874</v>
      </c>
      <c r="R5" s="517"/>
      <c r="S5" s="517"/>
      <c r="T5" s="517"/>
    </row>
    <row r="6" spans="1:20" s="85" customFormat="1" ht="13">
      <c r="A6" s="884">
        <v>1103</v>
      </c>
      <c r="B6" s="885" t="s">
        <v>960</v>
      </c>
      <c r="C6" s="289">
        <f t="shared" ref="C6:M6" si="0">+C$366+C$367+C$368+C$369</f>
        <v>138640.16927637</v>
      </c>
      <c r="D6" s="177">
        <f t="shared" si="0"/>
        <v>4992049.6235760292</v>
      </c>
      <c r="E6" s="289">
        <f t="shared" si="0"/>
        <v>140116.94866721999</v>
      </c>
      <c r="F6" s="177">
        <f t="shared" si="0"/>
        <v>5154826.5313516287</v>
      </c>
      <c r="G6" s="289">
        <f t="shared" si="0"/>
        <v>140795.30668009</v>
      </c>
      <c r="H6" s="177">
        <f t="shared" si="0"/>
        <v>5300627.4798287479</v>
      </c>
      <c r="I6" s="289">
        <f t="shared" si="0"/>
        <v>140930.37796583999</v>
      </c>
      <c r="J6" s="177">
        <f t="shared" si="0"/>
        <v>5130880.8937085792</v>
      </c>
      <c r="K6" s="289">
        <f t="shared" si="0"/>
        <v>141260.55221989</v>
      </c>
      <c r="L6" s="177">
        <f t="shared" si="0"/>
        <v>5192171.2405409599</v>
      </c>
      <c r="M6" s="289">
        <f t="shared" si="0"/>
        <v>142109</v>
      </c>
      <c r="N6" s="177">
        <f>+N$366+N$367+N$368+N$369</f>
        <v>5569503.3828238305</v>
      </c>
      <c r="O6" s="289">
        <f>VLOOKUP(A6,'K20'!$A$4:$BV$359,3)</f>
        <v>143574</v>
      </c>
      <c r="P6" s="289">
        <f>VLOOKUP(A6,'K20'!$A$4:$BV$359,26)</f>
        <v>5548455</v>
      </c>
      <c r="R6" s="517"/>
      <c r="S6" s="517"/>
      <c r="T6" s="517"/>
    </row>
    <row r="7" spans="1:20" s="85" customFormat="1" ht="13">
      <c r="A7" s="865">
        <v>1106</v>
      </c>
      <c r="B7" s="866" t="s">
        <v>961</v>
      </c>
      <c r="C7" s="289">
        <f>VLOOKUP($A7,K0kommunestruktur2019!$A$4:$N$425,K0kommunestruktur2020!C$3,FALSE)</f>
        <v>36099</v>
      </c>
      <c r="D7" s="177">
        <f>VLOOKUP($A7,K0kommunestruktur2019!$A$4:$N$425,K0kommunestruktur2020!D$3,FALSE)</f>
        <v>907569</v>
      </c>
      <c r="E7" s="289">
        <f>VLOOKUP($A7,K0kommunestruktur2019!$A$4:$N$425,K0kommunestruktur2020!E$3,FALSE)</f>
        <v>36538</v>
      </c>
      <c r="F7" s="177">
        <f>VLOOKUP($A7,K0kommunestruktur2019!$A$4:$N$425,K0kommunestruktur2020!F$3,FALSE)</f>
        <v>944562</v>
      </c>
      <c r="G7" s="289">
        <f>VLOOKUP($A7,K0kommunestruktur2019!$A$4:$N$425,K0kommunestruktur2020!G$3,FALSE)</f>
        <v>36951</v>
      </c>
      <c r="H7" s="177">
        <f>VLOOKUP($A7,K0kommunestruktur2019!$A$4:$N$425,K0kommunestruktur2020!H$3,FALSE)</f>
        <v>980578</v>
      </c>
      <c r="I7" s="289">
        <f>VLOOKUP($A7,K0kommunestruktur2019!$A$4:$N$425,K0kommunestruktur2020!I$3,FALSE)</f>
        <v>37166</v>
      </c>
      <c r="J7" s="177">
        <f>VLOOKUP($A7,K0kommunestruktur2019!$A$4:$N$425,K0kommunestruktur2020!J$3,FALSE)</f>
        <v>1015625</v>
      </c>
      <c r="K7" s="289">
        <f>VLOOKUP($A7,K0kommunestruktur2019!$A$4:$N$425,K0kommunestruktur2020!K$3,FALSE)</f>
        <v>37167</v>
      </c>
      <c r="L7" s="177">
        <f>VLOOKUP($A7,K0kommunestruktur2019!$A$4:$N$425,K0kommunestruktur2020!L$3,FALSE)</f>
        <v>1084225</v>
      </c>
      <c r="M7" s="289">
        <f>VLOOKUP($A7,K0kommunestruktur2019!$A$4:$N$425,K0kommunestruktur2020!M$3,FALSE)</f>
        <v>37250</v>
      </c>
      <c r="N7" s="177">
        <f>VLOOKUP($A7,K0kommunestruktur2019!$A$4:$N$425,K0kommunestruktur2020!N$3,FALSE)</f>
        <v>1152023</v>
      </c>
      <c r="O7" s="289">
        <f>VLOOKUP(A7,'K20'!$A$4:$BV$359,3)</f>
        <v>37357</v>
      </c>
      <c r="P7" s="289">
        <f>VLOOKUP(A7,'K20'!$A$4:$BV$359,26)</f>
        <v>1111347</v>
      </c>
      <c r="R7" s="517"/>
      <c r="S7" s="517"/>
      <c r="T7" s="517"/>
    </row>
    <row r="8" spans="1:20" s="85" customFormat="1" ht="13">
      <c r="A8" s="878">
        <v>1108</v>
      </c>
      <c r="B8" s="883" t="s">
        <v>1610</v>
      </c>
      <c r="C8" s="289">
        <f t="shared" ref="C8:N8" si="1">+C$371+C$372+C$373</f>
        <v>72990.007419779999</v>
      </c>
      <c r="D8" s="177">
        <f t="shared" si="1"/>
        <v>2154108.3382501518</v>
      </c>
      <c r="E8" s="289">
        <f t="shared" si="1"/>
        <v>74676.495518809999</v>
      </c>
      <c r="F8" s="177">
        <f t="shared" si="1"/>
        <v>2216653.0965973325</v>
      </c>
      <c r="G8" s="289">
        <f t="shared" si="1"/>
        <v>75899.94783207</v>
      </c>
      <c r="H8" s="177">
        <f t="shared" si="1"/>
        <v>2316575.021660042</v>
      </c>
      <c r="I8" s="289">
        <f t="shared" si="1"/>
        <v>76582.526447299999</v>
      </c>
      <c r="J8" s="177">
        <f t="shared" si="1"/>
        <v>2316286.6222158987</v>
      </c>
      <c r="K8" s="289">
        <f t="shared" si="1"/>
        <v>77412.797511440003</v>
      </c>
      <c r="L8" s="177">
        <f t="shared" si="1"/>
        <v>2380215.4983107275</v>
      </c>
      <c r="M8" s="289">
        <f t="shared" si="1"/>
        <v>78276</v>
      </c>
      <c r="N8" s="177">
        <f t="shared" si="1"/>
        <v>2477705.4875763333</v>
      </c>
      <c r="O8" s="289">
        <f>VLOOKUP(A8,'K20'!$A$4:$BV$359,3)</f>
        <v>79537</v>
      </c>
      <c r="P8" s="289">
        <f>VLOOKUP(A8,'K20'!$A$4:$BV$359,26)</f>
        <v>2454234</v>
      </c>
      <c r="R8" s="517"/>
      <c r="S8" s="517"/>
      <c r="T8" s="517"/>
    </row>
    <row r="9" spans="1:20" s="85" customFormat="1" ht="13">
      <c r="A9" s="865">
        <v>1111</v>
      </c>
      <c r="B9" s="866" t="s">
        <v>962</v>
      </c>
      <c r="C9" s="289">
        <f>VLOOKUP($A9,K0kommunestruktur2019!$A$4:$N$425,K0kommunestruktur2020!C$3,FALSE)</f>
        <v>3303</v>
      </c>
      <c r="D9" s="177">
        <f>VLOOKUP($A9,K0kommunestruktur2019!$A$4:$N$425,K0kommunestruktur2020!D$3,FALSE)</f>
        <v>74638</v>
      </c>
      <c r="E9" s="289">
        <f>VLOOKUP($A9,K0kommunestruktur2019!$A$4:$N$425,K0kommunestruktur2020!E$3,FALSE)</f>
        <v>3309</v>
      </c>
      <c r="F9" s="177">
        <f>VLOOKUP($A9,K0kommunestruktur2019!$A$4:$N$425,K0kommunestruktur2020!F$3,FALSE)</f>
        <v>77414</v>
      </c>
      <c r="G9" s="289">
        <f>VLOOKUP($A9,K0kommunestruktur2019!$A$4:$N$425,K0kommunestruktur2020!G$3,FALSE)</f>
        <v>3313</v>
      </c>
      <c r="H9" s="177">
        <f>VLOOKUP($A9,K0kommunestruktur2019!$A$4:$N$425,K0kommunestruktur2020!H$3,FALSE)</f>
        <v>81397</v>
      </c>
      <c r="I9" s="289">
        <f>VLOOKUP($A9,K0kommunestruktur2019!$A$4:$N$425,K0kommunestruktur2020!I$3,FALSE)</f>
        <v>3316</v>
      </c>
      <c r="J9" s="177">
        <f>VLOOKUP($A9,K0kommunestruktur2019!$A$4:$N$425,K0kommunestruktur2020!J$3,FALSE)</f>
        <v>81393</v>
      </c>
      <c r="K9" s="289">
        <f>VLOOKUP($A9,K0kommunestruktur2019!$A$4:$N$425,K0kommunestruktur2020!K$3,FALSE)</f>
        <v>3331</v>
      </c>
      <c r="L9" s="177">
        <f>VLOOKUP($A9,K0kommunestruktur2019!$A$4:$N$425,K0kommunestruktur2020!L$3,FALSE)</f>
        <v>84326</v>
      </c>
      <c r="M9" s="289">
        <f>VLOOKUP($A9,K0kommunestruktur2019!$A$4:$N$425,K0kommunestruktur2020!M$3,FALSE)</f>
        <v>3305</v>
      </c>
      <c r="N9" s="177">
        <f>VLOOKUP($A9,K0kommunestruktur2019!$A$4:$N$425,K0kommunestruktur2020!N$3,FALSE)</f>
        <v>85248</v>
      </c>
      <c r="O9" s="289">
        <f>VLOOKUP(A9,'K20'!$A$4:$BV$359,3)</f>
        <v>3280</v>
      </c>
      <c r="P9" s="289">
        <f>VLOOKUP(A9,'K20'!$A$4:$BV$359,26)</f>
        <v>84973</v>
      </c>
      <c r="R9" s="517"/>
      <c r="S9" s="517"/>
      <c r="T9" s="517"/>
    </row>
    <row r="10" spans="1:20" s="85" customFormat="1" ht="13">
      <c r="A10" s="865">
        <v>1112</v>
      </c>
      <c r="B10" s="866" t="s">
        <v>963</v>
      </c>
      <c r="C10" s="289">
        <f>VLOOKUP($A10,K0kommunestruktur2019!$A$4:$N$425,K0kommunestruktur2020!C$3,FALSE)</f>
        <v>3225</v>
      </c>
      <c r="D10" s="177">
        <f>VLOOKUP($A10,K0kommunestruktur2019!$A$4:$N$425,K0kommunestruktur2020!D$3,FALSE)</f>
        <v>66675</v>
      </c>
      <c r="E10" s="289">
        <f>VLOOKUP($A10,K0kommunestruktur2019!$A$4:$N$425,K0kommunestruktur2020!E$3,FALSE)</f>
        <v>3247</v>
      </c>
      <c r="F10" s="177">
        <f>VLOOKUP($A10,K0kommunestruktur2019!$A$4:$N$425,K0kommunestruktur2020!F$3,FALSE)</f>
        <v>68275</v>
      </c>
      <c r="G10" s="289">
        <f>VLOOKUP($A10,K0kommunestruktur2019!$A$4:$N$425,K0kommunestruktur2020!G$3,FALSE)</f>
        <v>3243</v>
      </c>
      <c r="H10" s="177">
        <f>VLOOKUP($A10,K0kommunestruktur2019!$A$4:$N$425,K0kommunestruktur2020!H$3,FALSE)</f>
        <v>71529</v>
      </c>
      <c r="I10" s="289">
        <f>VLOOKUP($A10,K0kommunestruktur2019!$A$4:$N$425,K0kommunestruktur2020!I$3,FALSE)</f>
        <v>3259</v>
      </c>
      <c r="J10" s="177">
        <f>VLOOKUP($A10,K0kommunestruktur2019!$A$4:$N$425,K0kommunestruktur2020!J$3,FALSE)</f>
        <v>79675</v>
      </c>
      <c r="K10" s="289">
        <f>VLOOKUP($A10,K0kommunestruktur2019!$A$4:$N$425,K0kommunestruktur2020!K$3,FALSE)</f>
        <v>3237</v>
      </c>
      <c r="L10" s="177">
        <f>VLOOKUP($A10,K0kommunestruktur2019!$A$4:$N$425,K0kommunestruktur2020!L$3,FALSE)</f>
        <v>78836</v>
      </c>
      <c r="M10" s="289">
        <f>VLOOKUP($A10,K0kommunestruktur2019!$A$4:$N$425,K0kommunestruktur2020!M$3,FALSE)</f>
        <v>3213</v>
      </c>
      <c r="N10" s="177">
        <f>VLOOKUP($A10,K0kommunestruktur2019!$A$4:$N$425,K0kommunestruktur2020!N$3,FALSE)</f>
        <v>82728</v>
      </c>
      <c r="O10" s="289">
        <f>VLOOKUP(A10,'K20'!$A$4:$BV$359,3)</f>
        <v>3202</v>
      </c>
      <c r="P10" s="289">
        <f>VLOOKUP(A10,'K20'!$A$4:$BV$359,26)</f>
        <v>80162</v>
      </c>
      <c r="R10" s="517"/>
      <c r="S10" s="517"/>
      <c r="T10" s="517"/>
    </row>
    <row r="11" spans="1:20" ht="13">
      <c r="A11" s="865">
        <v>1114</v>
      </c>
      <c r="B11" s="866" t="s">
        <v>0</v>
      </c>
      <c r="C11" s="289">
        <f>VLOOKUP($A11,K0kommunestruktur2019!$A$4:$N$425,K0kommunestruktur2020!C$3,FALSE)</f>
        <v>2820</v>
      </c>
      <c r="D11" s="177">
        <f>VLOOKUP($A11,K0kommunestruktur2019!$A$4:$N$425,K0kommunestruktur2020!D$3,FALSE)</f>
        <v>64270</v>
      </c>
      <c r="E11" s="289">
        <f>VLOOKUP($A11,K0kommunestruktur2019!$A$4:$N$425,K0kommunestruktur2020!E$3,FALSE)</f>
        <v>2861</v>
      </c>
      <c r="F11" s="177">
        <f>VLOOKUP($A11,K0kommunestruktur2019!$A$4:$N$425,K0kommunestruktur2020!F$3,FALSE)</f>
        <v>66516</v>
      </c>
      <c r="G11" s="289">
        <f>VLOOKUP($A11,K0kommunestruktur2019!$A$4:$N$425,K0kommunestruktur2020!G$3,FALSE)</f>
        <v>2825</v>
      </c>
      <c r="H11" s="177">
        <f>VLOOKUP($A11,K0kommunestruktur2019!$A$4:$N$425,K0kommunestruktur2020!H$3,FALSE)</f>
        <v>73550</v>
      </c>
      <c r="I11" s="289">
        <f>VLOOKUP($A11,K0kommunestruktur2019!$A$4:$N$425,K0kommunestruktur2020!I$3,FALSE)</f>
        <v>2826</v>
      </c>
      <c r="J11" s="177">
        <f>VLOOKUP($A11,K0kommunestruktur2019!$A$4:$N$425,K0kommunestruktur2020!J$3,FALSE)</f>
        <v>76011</v>
      </c>
      <c r="K11" s="289">
        <f>VLOOKUP($A11,K0kommunestruktur2019!$A$4:$N$425,K0kommunestruktur2020!K$3,FALSE)</f>
        <v>2826</v>
      </c>
      <c r="L11" s="177">
        <f>VLOOKUP($A11,K0kommunestruktur2019!$A$4:$N$425,K0kommunestruktur2020!L$3,FALSE)</f>
        <v>71889</v>
      </c>
      <c r="M11" s="289">
        <f>VLOOKUP($A11,K0kommunestruktur2019!$A$4:$N$425,K0kommunestruktur2020!M$3,FALSE)</f>
        <v>2807</v>
      </c>
      <c r="N11" s="177">
        <f>VLOOKUP($A11,K0kommunestruktur2019!$A$4:$N$425,K0kommunestruktur2020!N$3,FALSE)</f>
        <v>73711</v>
      </c>
      <c r="O11" s="289">
        <f>VLOOKUP(A11,'K20'!$A$4:$BV$359,3)</f>
        <v>2787</v>
      </c>
      <c r="P11" s="289">
        <f>VLOOKUP(A11,'K20'!$A$4:$BV$359,26)</f>
        <v>72723</v>
      </c>
      <c r="R11" s="517"/>
      <c r="S11" s="517"/>
      <c r="T11" s="517"/>
    </row>
    <row r="12" spans="1:20" ht="13">
      <c r="A12" s="865">
        <v>1119</v>
      </c>
      <c r="B12" s="866" t="s">
        <v>1</v>
      </c>
      <c r="C12" s="289">
        <f>VLOOKUP($A12,K0kommunestruktur2019!$A$4:$N$425,K0kommunestruktur2020!C$3,FALSE)</f>
        <v>18115</v>
      </c>
      <c r="D12" s="177">
        <f>VLOOKUP($A12,K0kommunestruktur2019!$A$4:$N$425,K0kommunestruktur2020!D$3,FALSE)</f>
        <v>424970</v>
      </c>
      <c r="E12" s="289">
        <f>VLOOKUP($A12,K0kommunestruktur2019!$A$4:$N$425,K0kommunestruktur2020!E$3,FALSE)</f>
        <v>18528</v>
      </c>
      <c r="F12" s="177">
        <f>VLOOKUP($A12,K0kommunestruktur2019!$A$4:$N$425,K0kommunestruktur2020!F$3,FALSE)</f>
        <v>436779</v>
      </c>
      <c r="G12" s="289">
        <f>VLOOKUP($A12,K0kommunestruktur2019!$A$4:$N$425,K0kommunestruktur2020!G$3,FALSE)</f>
        <v>18591</v>
      </c>
      <c r="H12" s="177">
        <f>VLOOKUP($A12,K0kommunestruktur2019!$A$4:$N$425,K0kommunestruktur2020!H$3,FALSE)</f>
        <v>467975</v>
      </c>
      <c r="I12" s="289">
        <f>VLOOKUP($A12,K0kommunestruktur2019!$A$4:$N$425,K0kommunestruktur2020!I$3,FALSE)</f>
        <v>18800</v>
      </c>
      <c r="J12" s="177">
        <f>VLOOKUP($A12,K0kommunestruktur2019!$A$4:$N$425,K0kommunestruktur2020!J$3,FALSE)</f>
        <v>470013</v>
      </c>
      <c r="K12" s="289">
        <f>VLOOKUP($A12,K0kommunestruktur2019!$A$4:$N$425,K0kommunestruktur2020!K$3,FALSE)</f>
        <v>18762</v>
      </c>
      <c r="L12" s="177">
        <f>VLOOKUP($A12,K0kommunestruktur2019!$A$4:$N$425,K0kommunestruktur2020!L$3,FALSE)</f>
        <v>474998</v>
      </c>
      <c r="M12" s="289">
        <f>VLOOKUP($A12,K0kommunestruktur2019!$A$4:$N$425,K0kommunestruktur2020!M$3,FALSE)</f>
        <v>18814</v>
      </c>
      <c r="N12" s="177">
        <f>VLOOKUP($A12,K0kommunestruktur2019!$A$4:$N$425,K0kommunestruktur2020!N$3,FALSE)</f>
        <v>500305</v>
      </c>
      <c r="O12" s="289">
        <f>VLOOKUP(A12,'K20'!$A$4:$BV$359,3)</f>
        <v>18991</v>
      </c>
      <c r="P12" s="289">
        <f>VLOOKUP(A12,'K20'!$A$4:$BV$359,26)</f>
        <v>495345</v>
      </c>
      <c r="R12" s="517"/>
      <c r="S12" s="517"/>
      <c r="T12" s="517"/>
    </row>
    <row r="13" spans="1:20" ht="13">
      <c r="A13" s="865">
        <v>1120</v>
      </c>
      <c r="B13" s="866" t="s">
        <v>2</v>
      </c>
      <c r="C13" s="289">
        <f>VLOOKUP($A13,K0kommunestruktur2019!$A$4:$N$425,K0kommunestruktur2020!C$3,FALSE)</f>
        <v>18485</v>
      </c>
      <c r="D13" s="177">
        <f>VLOOKUP($A13,K0kommunestruktur2019!$A$4:$N$425,K0kommunestruktur2020!D$3,FALSE)</f>
        <v>490669</v>
      </c>
      <c r="E13" s="289">
        <f>VLOOKUP($A13,K0kommunestruktur2019!$A$4:$N$425,K0kommunestruktur2020!E$3,FALSE)</f>
        <v>18741</v>
      </c>
      <c r="F13" s="177">
        <f>VLOOKUP($A13,K0kommunestruktur2019!$A$4:$N$425,K0kommunestruktur2020!F$3,FALSE)</f>
        <v>496786</v>
      </c>
      <c r="G13" s="289">
        <f>VLOOKUP($A13,K0kommunestruktur2019!$A$4:$N$425,K0kommunestruktur2020!G$3,FALSE)</f>
        <v>18970</v>
      </c>
      <c r="H13" s="177">
        <f>VLOOKUP($A13,K0kommunestruktur2019!$A$4:$N$425,K0kommunestruktur2020!H$3,FALSE)</f>
        <v>534018</v>
      </c>
      <c r="I13" s="289">
        <f>VLOOKUP($A13,K0kommunestruktur2019!$A$4:$N$425,K0kommunestruktur2020!I$3,FALSE)</f>
        <v>19042</v>
      </c>
      <c r="J13" s="177">
        <f>VLOOKUP($A13,K0kommunestruktur2019!$A$4:$N$425,K0kommunestruktur2020!J$3,FALSE)</f>
        <v>526351</v>
      </c>
      <c r="K13" s="289">
        <f>VLOOKUP($A13,K0kommunestruktur2019!$A$4:$N$425,K0kommunestruktur2020!K$3,FALSE)</f>
        <v>19217</v>
      </c>
      <c r="L13" s="177">
        <f>VLOOKUP($A13,K0kommunestruktur2019!$A$4:$N$425,K0kommunestruktur2020!L$3,FALSE)</f>
        <v>545564</v>
      </c>
      <c r="M13" s="289">
        <f>VLOOKUP($A13,K0kommunestruktur2019!$A$4:$N$425,K0kommunestruktur2020!M$3,FALSE)</f>
        <v>19354</v>
      </c>
      <c r="N13" s="177">
        <f>VLOOKUP($A13,K0kommunestruktur2019!$A$4:$N$425,K0kommunestruktur2020!N$3,FALSE)</f>
        <v>568602</v>
      </c>
      <c r="O13" s="289">
        <f>VLOOKUP(A13,'K20'!$A$4:$BV$359,3)</f>
        <v>19588</v>
      </c>
      <c r="P13" s="289">
        <f>VLOOKUP(A13,'K20'!$A$4:$BV$359,26)</f>
        <v>571777</v>
      </c>
      <c r="R13" s="517"/>
      <c r="S13" s="517"/>
      <c r="T13" s="517"/>
    </row>
    <row r="14" spans="1:20" ht="13">
      <c r="A14" s="865">
        <v>1121</v>
      </c>
      <c r="B14" s="866" t="s">
        <v>3</v>
      </c>
      <c r="C14" s="289">
        <f>VLOOKUP($A14,K0kommunestruktur2019!$A$4:$N$425,K0kommunestruktur2020!C$3,FALSE)</f>
        <v>17897</v>
      </c>
      <c r="D14" s="177">
        <f>VLOOKUP($A14,K0kommunestruktur2019!$A$4:$N$425,K0kommunestruktur2020!D$3,FALSE)</f>
        <v>477840</v>
      </c>
      <c r="E14" s="289">
        <f>VLOOKUP($A14,K0kommunestruktur2019!$A$4:$N$425,K0kommunestruktur2020!E$3,FALSE)</f>
        <v>18306</v>
      </c>
      <c r="F14" s="177">
        <f>VLOOKUP($A14,K0kommunestruktur2019!$A$4:$N$425,K0kommunestruktur2020!F$3,FALSE)</f>
        <v>493393</v>
      </c>
      <c r="G14" s="289">
        <f>VLOOKUP($A14,K0kommunestruktur2019!$A$4:$N$425,K0kommunestruktur2020!G$3,FALSE)</f>
        <v>18572</v>
      </c>
      <c r="H14" s="177">
        <f>VLOOKUP($A14,K0kommunestruktur2019!$A$4:$N$425,K0kommunestruktur2020!H$3,FALSE)</f>
        <v>534004</v>
      </c>
      <c r="I14" s="289">
        <f>VLOOKUP($A14,K0kommunestruktur2019!$A$4:$N$425,K0kommunestruktur2020!I$3,FALSE)</f>
        <v>18656</v>
      </c>
      <c r="J14" s="177">
        <f>VLOOKUP($A14,K0kommunestruktur2019!$A$4:$N$425,K0kommunestruktur2020!J$3,FALSE)</f>
        <v>529636</v>
      </c>
      <c r="K14" s="289">
        <f>VLOOKUP($A14,K0kommunestruktur2019!$A$4:$N$425,K0kommunestruktur2020!K$3,FALSE)</f>
        <v>18699</v>
      </c>
      <c r="L14" s="177">
        <f>VLOOKUP($A14,K0kommunestruktur2019!$A$4:$N$425,K0kommunestruktur2020!L$3,FALSE)</f>
        <v>540548</v>
      </c>
      <c r="M14" s="289">
        <f>VLOOKUP($A14,K0kommunestruktur2019!$A$4:$N$425,K0kommunestruktur2020!M$3,FALSE)</f>
        <v>18795</v>
      </c>
      <c r="N14" s="177">
        <f>VLOOKUP($A14,K0kommunestruktur2019!$A$4:$N$425,K0kommunestruktur2020!N$3,FALSE)</f>
        <v>561432</v>
      </c>
      <c r="O14" s="289">
        <f>VLOOKUP(A14,'K20'!$A$4:$BV$359,3)</f>
        <v>18916</v>
      </c>
      <c r="P14" s="289">
        <f>VLOOKUP(A14,'K20'!$A$4:$BV$359,26)</f>
        <v>563308</v>
      </c>
      <c r="R14" s="517"/>
      <c r="S14" s="517"/>
      <c r="T14" s="517"/>
    </row>
    <row r="15" spans="1:20" ht="13">
      <c r="A15" s="865">
        <v>1122</v>
      </c>
      <c r="B15" s="866" t="s">
        <v>4</v>
      </c>
      <c r="C15" s="289">
        <f>VLOOKUP($A15,K0kommunestruktur2019!$A$4:$N$425,K0kommunestruktur2020!C$3,FALSE)</f>
        <v>11317</v>
      </c>
      <c r="D15" s="177">
        <f>VLOOKUP($A15,K0kommunestruktur2019!$A$4:$N$425,K0kommunestruktur2020!D$3,FALSE)</f>
        <v>281779</v>
      </c>
      <c r="E15" s="289">
        <f>VLOOKUP($A15,K0kommunestruktur2019!$A$4:$N$425,K0kommunestruktur2020!E$3,FALSE)</f>
        <v>11600</v>
      </c>
      <c r="F15" s="177">
        <f>VLOOKUP($A15,K0kommunestruktur2019!$A$4:$N$425,K0kommunestruktur2020!F$3,FALSE)</f>
        <v>293175</v>
      </c>
      <c r="G15" s="289">
        <f>VLOOKUP($A15,K0kommunestruktur2019!$A$4:$N$425,K0kommunestruktur2020!G$3,FALSE)</f>
        <v>11853</v>
      </c>
      <c r="H15" s="177">
        <f>VLOOKUP($A15,K0kommunestruktur2019!$A$4:$N$425,K0kommunestruktur2020!H$3,FALSE)</f>
        <v>310148</v>
      </c>
      <c r="I15" s="289">
        <f>VLOOKUP($A15,K0kommunestruktur2019!$A$4:$N$425,K0kommunestruktur2020!I$3,FALSE)</f>
        <v>11902</v>
      </c>
      <c r="J15" s="177">
        <f>VLOOKUP($A15,K0kommunestruktur2019!$A$4:$N$425,K0kommunestruktur2020!J$3,FALSE)</f>
        <v>305892</v>
      </c>
      <c r="K15" s="289">
        <f>VLOOKUP($A15,K0kommunestruktur2019!$A$4:$N$425,K0kommunestruktur2020!K$3,FALSE)</f>
        <v>11866</v>
      </c>
      <c r="L15" s="177">
        <f>VLOOKUP($A15,K0kommunestruktur2019!$A$4:$N$425,K0kommunestruktur2020!L$3,FALSE)</f>
        <v>315579</v>
      </c>
      <c r="M15" s="289">
        <f>VLOOKUP($A15,K0kommunestruktur2019!$A$4:$N$425,K0kommunestruktur2020!M$3,FALSE)</f>
        <v>11899</v>
      </c>
      <c r="N15" s="177">
        <f>VLOOKUP($A15,K0kommunestruktur2019!$A$4:$N$425,K0kommunestruktur2020!N$3,FALSE)</f>
        <v>328082</v>
      </c>
      <c r="O15" s="289">
        <f>VLOOKUP(A15,'K20'!$A$4:$BV$359,3)</f>
        <v>12002</v>
      </c>
      <c r="P15" s="289">
        <f>VLOOKUP(A15,'K20'!$A$4:$BV$359,26)</f>
        <v>324379</v>
      </c>
      <c r="R15" s="517"/>
      <c r="S15" s="517"/>
      <c r="T15" s="517"/>
    </row>
    <row r="16" spans="1:20" ht="13">
      <c r="A16" s="865">
        <v>1124</v>
      </c>
      <c r="B16" s="866" t="s">
        <v>5</v>
      </c>
      <c r="C16" s="289">
        <f>VLOOKUP($A16,K0kommunestruktur2019!$A$4:$N$425,K0kommunestruktur2020!C$3,FALSE)</f>
        <v>25083</v>
      </c>
      <c r="D16" s="177">
        <f>VLOOKUP($A16,K0kommunestruktur2019!$A$4:$N$425,K0kommunestruktur2020!D$3,FALSE)</f>
        <v>894740</v>
      </c>
      <c r="E16" s="289">
        <f>VLOOKUP($A16,K0kommunestruktur2019!$A$4:$N$425,K0kommunestruktur2020!E$3,FALSE)</f>
        <v>25708</v>
      </c>
      <c r="F16" s="177">
        <f>VLOOKUP($A16,K0kommunestruktur2019!$A$4:$N$425,K0kommunestruktur2020!F$3,FALSE)</f>
        <v>961647</v>
      </c>
      <c r="G16" s="289">
        <f>VLOOKUP($A16,K0kommunestruktur2019!$A$4:$N$425,K0kommunestruktur2020!G$3,FALSE)</f>
        <v>26096</v>
      </c>
      <c r="H16" s="177">
        <f>VLOOKUP($A16,K0kommunestruktur2019!$A$4:$N$425,K0kommunestruktur2020!H$3,FALSE)</f>
        <v>986777</v>
      </c>
      <c r="I16" s="289">
        <f>VLOOKUP($A16,K0kommunestruktur2019!$A$4:$N$425,K0kommunestruktur2020!I$3,FALSE)</f>
        <v>26016</v>
      </c>
      <c r="J16" s="177">
        <f>VLOOKUP($A16,K0kommunestruktur2019!$A$4:$N$425,K0kommunestruktur2020!J$3,FALSE)</f>
        <v>945204</v>
      </c>
      <c r="K16" s="289">
        <f>VLOOKUP($A16,K0kommunestruktur2019!$A$4:$N$425,K0kommunestruktur2020!K$3,FALSE)</f>
        <v>26265</v>
      </c>
      <c r="L16" s="177">
        <f>VLOOKUP($A16,K0kommunestruktur2019!$A$4:$N$425,K0kommunestruktur2020!L$3,FALSE)</f>
        <v>971476</v>
      </c>
      <c r="M16" s="289">
        <f>VLOOKUP($A16,K0kommunestruktur2019!$A$4:$N$425,K0kommunestruktur2020!M$3,FALSE)</f>
        <v>26582</v>
      </c>
      <c r="N16" s="177">
        <f>VLOOKUP($A16,K0kommunestruktur2019!$A$4:$N$425,K0kommunestruktur2020!N$3,FALSE)</f>
        <v>1049894</v>
      </c>
      <c r="O16" s="289">
        <f>VLOOKUP(A16,'K20'!$A$4:$BV$359,3)</f>
        <v>27153</v>
      </c>
      <c r="P16" s="289">
        <f>VLOOKUP(A16,'K20'!$A$4:$BV$359,26)</f>
        <v>1057879</v>
      </c>
      <c r="R16" s="517"/>
      <c r="S16" s="517"/>
      <c r="T16" s="517"/>
    </row>
    <row r="17" spans="1:20" ht="13">
      <c r="A17" s="865">
        <v>1127</v>
      </c>
      <c r="B17" s="866" t="s">
        <v>6</v>
      </c>
      <c r="C17" s="289">
        <f>VLOOKUP($A17,K0kommunestruktur2019!$A$4:$N$425,K0kommunestruktur2020!C$3,FALSE)</f>
        <v>10416</v>
      </c>
      <c r="D17" s="177">
        <f>VLOOKUP($A17,K0kommunestruktur2019!$A$4:$N$425,K0kommunestruktur2020!D$3,FALSE)</f>
        <v>337979</v>
      </c>
      <c r="E17" s="289">
        <f>VLOOKUP($A17,K0kommunestruktur2019!$A$4:$N$425,K0kommunestruktur2020!E$3,FALSE)</f>
        <v>10556</v>
      </c>
      <c r="F17" s="177">
        <f>VLOOKUP($A17,K0kommunestruktur2019!$A$4:$N$425,K0kommunestruktur2020!F$3,FALSE)</f>
        <v>344173</v>
      </c>
      <c r="G17" s="289">
        <f>VLOOKUP($A17,K0kommunestruktur2019!$A$4:$N$425,K0kommunestruktur2020!G$3,FALSE)</f>
        <v>10737</v>
      </c>
      <c r="H17" s="177">
        <f>VLOOKUP($A17,K0kommunestruktur2019!$A$4:$N$425,K0kommunestruktur2020!H$3,FALSE)</f>
        <v>354504</v>
      </c>
      <c r="I17" s="289">
        <f>VLOOKUP($A17,K0kommunestruktur2019!$A$4:$N$425,K0kommunestruktur2020!I$3,FALSE)</f>
        <v>10873</v>
      </c>
      <c r="J17" s="177">
        <f>VLOOKUP($A17,K0kommunestruktur2019!$A$4:$N$425,K0kommunestruktur2020!J$3,FALSE)</f>
        <v>341416</v>
      </c>
      <c r="K17" s="289">
        <f>VLOOKUP($A17,K0kommunestruktur2019!$A$4:$N$425,K0kommunestruktur2020!K$3,FALSE)</f>
        <v>10972</v>
      </c>
      <c r="L17" s="177">
        <f>VLOOKUP($A17,K0kommunestruktur2019!$A$4:$N$425,K0kommunestruktur2020!L$3,FALSE)</f>
        <v>354189</v>
      </c>
      <c r="M17" s="289">
        <f>VLOOKUP($A17,K0kommunestruktur2019!$A$4:$N$425,K0kommunestruktur2020!M$3,FALSE)</f>
        <v>11053</v>
      </c>
      <c r="N17" s="177">
        <f>VLOOKUP($A17,K0kommunestruktur2019!$A$4:$N$425,K0kommunestruktur2020!N$3,FALSE)</f>
        <v>377149</v>
      </c>
      <c r="O17" s="289">
        <f>VLOOKUP(A17,'K20'!$A$4:$BV$359,3)</f>
        <v>11221</v>
      </c>
      <c r="P17" s="289">
        <f>VLOOKUP(A17,'K20'!$A$4:$BV$359,26)</f>
        <v>389630</v>
      </c>
      <c r="R17" s="517"/>
      <c r="S17" s="517"/>
      <c r="T17" s="517"/>
    </row>
    <row r="18" spans="1:20" ht="13">
      <c r="A18" s="889">
        <v>1130</v>
      </c>
      <c r="B18" s="890" t="s">
        <v>12</v>
      </c>
      <c r="C18" s="289">
        <f t="shared" ref="C18:N18" si="2">+C$376+C$377</f>
        <v>12294.554795599999</v>
      </c>
      <c r="D18" s="177">
        <f t="shared" si="2"/>
        <v>297956.84913528111</v>
      </c>
      <c r="E18" s="289">
        <f t="shared" si="2"/>
        <v>12553.835298739999</v>
      </c>
      <c r="F18" s="177">
        <f t="shared" si="2"/>
        <v>303041.17775152071</v>
      </c>
      <c r="G18" s="289">
        <f t="shared" si="2"/>
        <v>12623.71949686</v>
      </c>
      <c r="H18" s="177">
        <f t="shared" si="2"/>
        <v>331363.5214623863</v>
      </c>
      <c r="I18" s="289">
        <f t="shared" si="2"/>
        <v>12824.25676101</v>
      </c>
      <c r="J18" s="177">
        <f t="shared" si="2"/>
        <v>337276.33231141837</v>
      </c>
      <c r="K18" s="289">
        <f t="shared" si="2"/>
        <v>12799.94921384</v>
      </c>
      <c r="L18" s="177">
        <f t="shared" si="2"/>
        <v>346356.21399380598</v>
      </c>
      <c r="M18" s="289">
        <f t="shared" si="2"/>
        <v>12883</v>
      </c>
      <c r="N18" s="177">
        <f t="shared" si="2"/>
        <v>363835.36603773583</v>
      </c>
      <c r="O18" s="289">
        <f>VLOOKUP(A18,'K20'!$A$4:$BV$359,3)</f>
        <v>12968</v>
      </c>
      <c r="P18" s="289">
        <f>VLOOKUP(A18,'K20'!$A$4:$BV$359,26)</f>
        <v>352943</v>
      </c>
      <c r="R18" s="517"/>
      <c r="S18" s="517"/>
      <c r="T18" s="517"/>
    </row>
    <row r="19" spans="1:20" ht="13">
      <c r="A19" s="889">
        <v>1133</v>
      </c>
      <c r="B19" s="890" t="s">
        <v>13</v>
      </c>
      <c r="C19" s="289">
        <f t="shared" ref="C19:N19" si="3">+C$379+C$380</f>
        <v>2709.1218330800002</v>
      </c>
      <c r="D19" s="177">
        <f t="shared" si="3"/>
        <v>84048.876676448577</v>
      </c>
      <c r="E19" s="289">
        <f t="shared" si="3"/>
        <v>2707.1777198199998</v>
      </c>
      <c r="F19" s="177">
        <f t="shared" si="3"/>
        <v>89016.08606553555</v>
      </c>
      <c r="G19" s="289">
        <f t="shared" si="3"/>
        <v>2660.5190014899999</v>
      </c>
      <c r="H19" s="177">
        <f t="shared" si="3"/>
        <v>91781.587183297699</v>
      </c>
      <c r="I19" s="289">
        <f t="shared" si="3"/>
        <v>2632.3293591699999</v>
      </c>
      <c r="J19" s="177">
        <f t="shared" si="3"/>
        <v>92416.340164095061</v>
      </c>
      <c r="K19" s="289">
        <f t="shared" si="3"/>
        <v>2646.9102086399998</v>
      </c>
      <c r="L19" s="177">
        <f t="shared" si="3"/>
        <v>92102.365871700327</v>
      </c>
      <c r="M19" s="289">
        <f t="shared" si="3"/>
        <v>2609</v>
      </c>
      <c r="N19" s="177">
        <f t="shared" si="3"/>
        <v>93031.652011922502</v>
      </c>
      <c r="O19" s="289">
        <f>VLOOKUP(A19,'K20'!$A$4:$BV$359,3)</f>
        <v>2574</v>
      </c>
      <c r="P19" s="289">
        <f>VLOOKUP(A19,'K20'!$A$4:$BV$359,26)</f>
        <v>94093</v>
      </c>
      <c r="R19" s="517"/>
      <c r="S19" s="517"/>
      <c r="T19" s="517"/>
    </row>
    <row r="20" spans="1:20" ht="13">
      <c r="A20" s="865">
        <v>1134</v>
      </c>
      <c r="B20" s="866" t="s">
        <v>14</v>
      </c>
      <c r="C20" s="289">
        <f>VLOOKUP($A20,K0kommunestruktur2019!$A$4:$N$425,K0kommunestruktur2020!C$3,FALSE)</f>
        <v>3881</v>
      </c>
      <c r="D20" s="177">
        <f>VLOOKUP($A20,K0kommunestruktur2019!$A$4:$N$425,K0kommunestruktur2020!D$3,FALSE)</f>
        <v>128925</v>
      </c>
      <c r="E20" s="289">
        <f>VLOOKUP($A20,K0kommunestruktur2019!$A$4:$N$425,K0kommunestruktur2020!E$3,FALSE)</f>
        <v>3892</v>
      </c>
      <c r="F20" s="177">
        <f>VLOOKUP($A20,K0kommunestruktur2019!$A$4:$N$425,K0kommunestruktur2020!F$3,FALSE)</f>
        <v>135306</v>
      </c>
      <c r="G20" s="289">
        <f>VLOOKUP($A20,K0kommunestruktur2019!$A$4:$N$425,K0kommunestruktur2020!G$3,FALSE)</f>
        <v>3903</v>
      </c>
      <c r="H20" s="177">
        <f>VLOOKUP($A20,K0kommunestruktur2019!$A$4:$N$425,K0kommunestruktur2020!H$3,FALSE)</f>
        <v>141024</v>
      </c>
      <c r="I20" s="289">
        <f>VLOOKUP($A20,K0kommunestruktur2019!$A$4:$N$425,K0kommunestruktur2020!I$3,FALSE)</f>
        <v>3853</v>
      </c>
      <c r="J20" s="177">
        <f>VLOOKUP($A20,K0kommunestruktur2019!$A$4:$N$425,K0kommunestruktur2020!J$3,FALSE)</f>
        <v>145448</v>
      </c>
      <c r="K20" s="289">
        <f>VLOOKUP($A20,K0kommunestruktur2019!$A$4:$N$425,K0kommunestruktur2020!K$3,FALSE)</f>
        <v>3849</v>
      </c>
      <c r="L20" s="177">
        <f>VLOOKUP($A20,K0kommunestruktur2019!$A$4:$N$425,K0kommunestruktur2020!L$3,FALSE)</f>
        <v>153606</v>
      </c>
      <c r="M20" s="289">
        <f>VLOOKUP($A20,K0kommunestruktur2019!$A$4:$N$425,K0kommunestruktur2020!M$3,FALSE)</f>
        <v>3794</v>
      </c>
      <c r="N20" s="177">
        <f>VLOOKUP($A20,K0kommunestruktur2019!$A$4:$N$425,K0kommunestruktur2020!N$3,FALSE)</f>
        <v>156911</v>
      </c>
      <c r="O20" s="289">
        <f>VLOOKUP(A20,'K20'!$A$4:$BV$359,3)</f>
        <v>3804</v>
      </c>
      <c r="P20" s="289">
        <f>VLOOKUP(A20,'K20'!$A$4:$BV$359,26)</f>
        <v>148300</v>
      </c>
      <c r="R20" s="517"/>
      <c r="S20" s="517"/>
      <c r="T20" s="517"/>
    </row>
    <row r="21" spans="1:20" ht="13">
      <c r="A21" s="865">
        <v>1135</v>
      </c>
      <c r="B21" s="866" t="s">
        <v>15</v>
      </c>
      <c r="C21" s="289">
        <f>VLOOKUP($A21,K0kommunestruktur2019!$A$4:$N$425,K0kommunestruktur2020!C$3,FALSE)</f>
        <v>4760</v>
      </c>
      <c r="D21" s="177">
        <f>VLOOKUP($A21,K0kommunestruktur2019!$A$4:$N$425,K0kommunestruktur2020!D$3,FALSE)</f>
        <v>127106</v>
      </c>
      <c r="E21" s="289">
        <f>VLOOKUP($A21,K0kommunestruktur2019!$A$4:$N$425,K0kommunestruktur2020!E$3,FALSE)</f>
        <v>4756</v>
      </c>
      <c r="F21" s="177">
        <f>VLOOKUP($A21,K0kommunestruktur2019!$A$4:$N$425,K0kommunestruktur2020!F$3,FALSE)</f>
        <v>134334</v>
      </c>
      <c r="G21" s="289">
        <f>VLOOKUP($A21,K0kommunestruktur2019!$A$4:$N$425,K0kommunestruktur2020!G$3,FALSE)</f>
        <v>4710</v>
      </c>
      <c r="H21" s="177">
        <f>VLOOKUP($A21,K0kommunestruktur2019!$A$4:$N$425,K0kommunestruktur2020!H$3,FALSE)</f>
        <v>112299</v>
      </c>
      <c r="I21" s="289">
        <f>VLOOKUP($A21,K0kommunestruktur2019!$A$4:$N$425,K0kommunestruktur2020!I$3,FALSE)</f>
        <v>4760</v>
      </c>
      <c r="J21" s="177">
        <f>VLOOKUP($A21,K0kommunestruktur2019!$A$4:$N$425,K0kommunestruktur2020!J$3,FALSE)</f>
        <v>154229</v>
      </c>
      <c r="K21" s="289">
        <f>VLOOKUP($A21,K0kommunestruktur2019!$A$4:$N$425,K0kommunestruktur2020!K$3,FALSE)</f>
        <v>4663</v>
      </c>
      <c r="L21" s="177">
        <f>VLOOKUP($A21,K0kommunestruktur2019!$A$4:$N$425,K0kommunestruktur2020!L$3,FALSE)</f>
        <v>132320</v>
      </c>
      <c r="M21" s="289">
        <f>VLOOKUP($A21,K0kommunestruktur2019!$A$4:$N$425,K0kommunestruktur2020!M$3,FALSE)</f>
        <v>4597</v>
      </c>
      <c r="N21" s="177">
        <f>VLOOKUP($A21,K0kommunestruktur2019!$A$4:$N$425,K0kommunestruktur2020!N$3,FALSE)</f>
        <v>152473</v>
      </c>
      <c r="O21" s="289">
        <f>VLOOKUP(A21,'K20'!$A$4:$BV$359,3)</f>
        <v>4595</v>
      </c>
      <c r="P21" s="289">
        <f>VLOOKUP(A21,'K20'!$A$4:$BV$359,26)</f>
        <v>146125</v>
      </c>
      <c r="R21" s="517"/>
      <c r="S21" s="517"/>
      <c r="T21" s="517"/>
    </row>
    <row r="22" spans="1:20" ht="13">
      <c r="A22" s="865">
        <v>1144</v>
      </c>
      <c r="B22" s="866" t="s">
        <v>18</v>
      </c>
      <c r="C22" s="289">
        <f>VLOOKUP($A22,K0kommunestruktur2019!$A$4:$N$425,K0kommunestruktur2020!C$3,FALSE)</f>
        <v>531</v>
      </c>
      <c r="D22" s="177">
        <f>VLOOKUP($A22,K0kommunestruktur2019!$A$4:$N$425,K0kommunestruktur2020!D$3,FALSE)</f>
        <v>11917</v>
      </c>
      <c r="E22" s="289">
        <f>VLOOKUP($A22,K0kommunestruktur2019!$A$4:$N$425,K0kommunestruktur2020!E$3,FALSE)</f>
        <v>534</v>
      </c>
      <c r="F22" s="177">
        <f>VLOOKUP($A22,K0kommunestruktur2019!$A$4:$N$425,K0kommunestruktur2020!F$3,FALSE)</f>
        <v>12526</v>
      </c>
      <c r="G22" s="289">
        <f>VLOOKUP($A22,K0kommunestruktur2019!$A$4:$N$425,K0kommunestruktur2020!G$3,FALSE)</f>
        <v>524</v>
      </c>
      <c r="H22" s="177">
        <f>VLOOKUP($A22,K0kommunestruktur2019!$A$4:$N$425,K0kommunestruktur2020!H$3,FALSE)</f>
        <v>12573</v>
      </c>
      <c r="I22" s="289">
        <f>VLOOKUP($A22,K0kommunestruktur2019!$A$4:$N$425,K0kommunestruktur2020!I$3,FALSE)</f>
        <v>534</v>
      </c>
      <c r="J22" s="177">
        <f>VLOOKUP($A22,K0kommunestruktur2019!$A$4:$N$425,K0kommunestruktur2020!J$3,FALSE)</f>
        <v>15385</v>
      </c>
      <c r="K22" s="289">
        <f>VLOOKUP($A22,K0kommunestruktur2019!$A$4:$N$425,K0kommunestruktur2020!K$3,FALSE)</f>
        <v>542</v>
      </c>
      <c r="L22" s="177">
        <f>VLOOKUP($A22,K0kommunestruktur2019!$A$4:$N$425,K0kommunestruktur2020!L$3,FALSE)</f>
        <v>14773</v>
      </c>
      <c r="M22" s="289">
        <f>VLOOKUP($A22,K0kommunestruktur2019!$A$4:$N$425,K0kommunestruktur2020!M$3,FALSE)</f>
        <v>516</v>
      </c>
      <c r="N22" s="177">
        <f>VLOOKUP($A22,K0kommunestruktur2019!$A$4:$N$425,K0kommunestruktur2020!N$3,FALSE)</f>
        <v>14046</v>
      </c>
      <c r="O22" s="289">
        <f>VLOOKUP(A22,'K20'!$A$4:$BV$359,3)</f>
        <v>517</v>
      </c>
      <c r="P22" s="289">
        <f>VLOOKUP(A22,'K20'!$A$4:$BV$359,26)</f>
        <v>13557</v>
      </c>
      <c r="R22" s="517"/>
      <c r="S22" s="517"/>
      <c r="T22" s="517"/>
    </row>
    <row r="23" spans="1:20" ht="13">
      <c r="A23" s="865">
        <v>1145</v>
      </c>
      <c r="B23" s="866" t="s">
        <v>19</v>
      </c>
      <c r="C23" s="289">
        <f>VLOOKUP($A23,K0kommunestruktur2019!$A$4:$N$425,K0kommunestruktur2020!C$3,FALSE)</f>
        <v>868</v>
      </c>
      <c r="D23" s="177">
        <f>VLOOKUP($A23,K0kommunestruktur2019!$A$4:$N$425,K0kommunestruktur2020!D$3,FALSE)</f>
        <v>19718</v>
      </c>
      <c r="E23" s="289">
        <f>VLOOKUP($A23,K0kommunestruktur2019!$A$4:$N$425,K0kommunestruktur2020!E$3,FALSE)</f>
        <v>865</v>
      </c>
      <c r="F23" s="177">
        <f>VLOOKUP($A23,K0kommunestruktur2019!$A$4:$N$425,K0kommunestruktur2020!F$3,FALSE)</f>
        <v>19578</v>
      </c>
      <c r="G23" s="289">
        <f>VLOOKUP($A23,K0kommunestruktur2019!$A$4:$N$425,K0kommunestruktur2020!G$3,FALSE)</f>
        <v>865</v>
      </c>
      <c r="H23" s="177">
        <f>VLOOKUP($A23,K0kommunestruktur2019!$A$4:$N$425,K0kommunestruktur2020!H$3,FALSE)</f>
        <v>20265</v>
      </c>
      <c r="I23" s="289">
        <f>VLOOKUP($A23,K0kommunestruktur2019!$A$4:$N$425,K0kommunestruktur2020!I$3,FALSE)</f>
        <v>855</v>
      </c>
      <c r="J23" s="177">
        <f>VLOOKUP($A23,K0kommunestruktur2019!$A$4:$N$425,K0kommunestruktur2020!J$3,FALSE)</f>
        <v>20969</v>
      </c>
      <c r="K23" s="289">
        <f>VLOOKUP($A23,K0kommunestruktur2019!$A$4:$N$425,K0kommunestruktur2020!K$3,FALSE)</f>
        <v>844</v>
      </c>
      <c r="L23" s="177">
        <f>VLOOKUP($A23,K0kommunestruktur2019!$A$4:$N$425,K0kommunestruktur2020!L$3,FALSE)</f>
        <v>21260</v>
      </c>
      <c r="M23" s="289">
        <f>VLOOKUP($A23,K0kommunestruktur2019!$A$4:$N$425,K0kommunestruktur2020!M$3,FALSE)</f>
        <v>840</v>
      </c>
      <c r="N23" s="177">
        <f>VLOOKUP($A23,K0kommunestruktur2019!$A$4:$N$425,K0kommunestruktur2020!N$3,FALSE)</f>
        <v>23216</v>
      </c>
      <c r="O23" s="289">
        <f>VLOOKUP(A23,'K20'!$A$4:$BV$359,3)</f>
        <v>852</v>
      </c>
      <c r="P23" s="289">
        <f>VLOOKUP(A23,'K20'!$A$4:$BV$359,26)</f>
        <v>23677</v>
      </c>
      <c r="R23" s="517"/>
      <c r="S23" s="517"/>
      <c r="T23" s="517"/>
    </row>
    <row r="24" spans="1:20" ht="13">
      <c r="A24" s="865">
        <v>1146</v>
      </c>
      <c r="B24" s="866" t="s">
        <v>20</v>
      </c>
      <c r="C24" s="289">
        <f>VLOOKUP($A24,K0kommunestruktur2019!$A$4:$N$425,K0kommunestruktur2020!C$3,FALSE)</f>
        <v>10668</v>
      </c>
      <c r="D24" s="177">
        <f>VLOOKUP($A24,K0kommunestruktur2019!$A$4:$N$425,K0kommunestruktur2020!D$3,FALSE)</f>
        <v>246736</v>
      </c>
      <c r="E24" s="289">
        <f>VLOOKUP($A24,K0kommunestruktur2019!$A$4:$N$425,K0kommunestruktur2020!E$3,FALSE)</f>
        <v>10857</v>
      </c>
      <c r="F24" s="177">
        <f>VLOOKUP($A24,K0kommunestruktur2019!$A$4:$N$425,K0kommunestruktur2020!F$3,FALSE)</f>
        <v>255555</v>
      </c>
      <c r="G24" s="289">
        <f>VLOOKUP($A24,K0kommunestruktur2019!$A$4:$N$425,K0kommunestruktur2020!G$3,FALSE)</f>
        <v>10925</v>
      </c>
      <c r="H24" s="177">
        <f>VLOOKUP($A24,K0kommunestruktur2019!$A$4:$N$425,K0kommunestruktur2020!H$3,FALSE)</f>
        <v>264000</v>
      </c>
      <c r="I24" s="289">
        <f>VLOOKUP($A24,K0kommunestruktur2019!$A$4:$N$425,K0kommunestruktur2020!I$3,FALSE)</f>
        <v>11041</v>
      </c>
      <c r="J24" s="177">
        <f>VLOOKUP($A24,K0kommunestruktur2019!$A$4:$N$425,K0kommunestruktur2020!J$3,FALSE)</f>
        <v>279974</v>
      </c>
      <c r="K24" s="289">
        <f>VLOOKUP($A24,K0kommunestruktur2019!$A$4:$N$425,K0kommunestruktur2020!K$3,FALSE)</f>
        <v>11023</v>
      </c>
      <c r="L24" s="177">
        <f>VLOOKUP($A24,K0kommunestruktur2019!$A$4:$N$425,K0kommunestruktur2020!L$3,FALSE)</f>
        <v>296653</v>
      </c>
      <c r="M24" s="289">
        <f>VLOOKUP($A24,K0kommunestruktur2019!$A$4:$N$425,K0kommunestruktur2020!M$3,FALSE)</f>
        <v>11028</v>
      </c>
      <c r="N24" s="177">
        <f>VLOOKUP($A24,K0kommunestruktur2019!$A$4:$N$425,K0kommunestruktur2020!N$3,FALSE)</f>
        <v>303352</v>
      </c>
      <c r="O24" s="289">
        <f>VLOOKUP(A24,'K20'!$A$4:$BV$359,3)</f>
        <v>11065</v>
      </c>
      <c r="P24" s="289">
        <f>VLOOKUP(A24,'K20'!$A$4:$BV$359,26)</f>
        <v>296200</v>
      </c>
      <c r="R24" s="517"/>
      <c r="S24" s="517"/>
      <c r="T24" s="517"/>
    </row>
    <row r="25" spans="1:20" ht="13">
      <c r="A25" s="865">
        <v>1149</v>
      </c>
      <c r="B25" s="866" t="s">
        <v>21</v>
      </c>
      <c r="C25" s="289">
        <f>VLOOKUP($A25,K0kommunestruktur2019!$A$4:$N$425,K0kommunestruktur2020!C$3,FALSE)</f>
        <v>41753</v>
      </c>
      <c r="D25" s="177">
        <f>VLOOKUP($A25,K0kommunestruktur2019!$A$4:$N$425,K0kommunestruktur2020!D$3,FALSE)</f>
        <v>951724</v>
      </c>
      <c r="E25" s="289">
        <f>VLOOKUP($A25,K0kommunestruktur2019!$A$4:$N$425,K0kommunestruktur2020!E$3,FALSE)</f>
        <v>42062</v>
      </c>
      <c r="F25" s="177">
        <f>VLOOKUP($A25,K0kommunestruktur2019!$A$4:$N$425,K0kommunestruktur2020!F$3,FALSE)</f>
        <v>983888</v>
      </c>
      <c r="G25" s="289">
        <f>VLOOKUP($A25,K0kommunestruktur2019!$A$4:$N$425,K0kommunestruktur2020!G$3,FALSE)</f>
        <v>42187</v>
      </c>
      <c r="H25" s="177">
        <f>VLOOKUP($A25,K0kommunestruktur2019!$A$4:$N$425,K0kommunestruktur2020!H$3,FALSE)</f>
        <v>1031685</v>
      </c>
      <c r="I25" s="289">
        <f>VLOOKUP($A25,K0kommunestruktur2019!$A$4:$N$425,K0kommunestruktur2020!I$3,FALSE)</f>
        <v>42229</v>
      </c>
      <c r="J25" s="177">
        <f>VLOOKUP($A25,K0kommunestruktur2019!$A$4:$N$425,K0kommunestruktur2020!J$3,FALSE)</f>
        <v>1048090</v>
      </c>
      <c r="K25" s="289">
        <f>VLOOKUP($A25,K0kommunestruktur2019!$A$4:$N$425,K0kommunestruktur2020!K$3,FALSE)</f>
        <v>42243</v>
      </c>
      <c r="L25" s="177">
        <f>VLOOKUP($A25,K0kommunestruktur2019!$A$4:$N$425,K0kommunestruktur2020!L$3,FALSE)</f>
        <v>1089363</v>
      </c>
      <c r="M25" s="289">
        <f>VLOOKUP($A25,K0kommunestruktur2019!$A$4:$N$425,K0kommunestruktur2020!M$3,FALSE)</f>
        <v>42161</v>
      </c>
      <c r="N25" s="177">
        <f>VLOOKUP($A25,K0kommunestruktur2019!$A$4:$N$425,K0kommunestruktur2020!N$3,FALSE)</f>
        <v>1149890</v>
      </c>
      <c r="O25" s="289">
        <f>VLOOKUP(A25,'K20'!$A$4:$BV$359,3)</f>
        <v>42186</v>
      </c>
      <c r="P25" s="289">
        <f>VLOOKUP(A25,'K20'!$A$4:$BV$359,26)</f>
        <v>1125826</v>
      </c>
      <c r="R25" s="517"/>
      <c r="S25" s="517"/>
      <c r="T25" s="517"/>
    </row>
    <row r="26" spans="1:20" ht="13">
      <c r="A26" s="865">
        <v>1151</v>
      </c>
      <c r="B26" s="866" t="s">
        <v>22</v>
      </c>
      <c r="C26" s="289">
        <f>VLOOKUP($A26,K0kommunestruktur2019!$A$4:$N$425,K0kommunestruktur2020!C$3,FALSE)</f>
        <v>211</v>
      </c>
      <c r="D26" s="177">
        <f>VLOOKUP($A26,K0kommunestruktur2019!$A$4:$N$425,K0kommunestruktur2020!D$3,FALSE)</f>
        <v>5164</v>
      </c>
      <c r="E26" s="289">
        <f>VLOOKUP($A26,K0kommunestruktur2019!$A$4:$N$425,K0kommunestruktur2020!E$3,FALSE)</f>
        <v>206</v>
      </c>
      <c r="F26" s="177">
        <f>VLOOKUP($A26,K0kommunestruktur2019!$A$4:$N$425,K0kommunestruktur2020!F$3,FALSE)</f>
        <v>5153</v>
      </c>
      <c r="G26" s="289">
        <f>VLOOKUP($A26,K0kommunestruktur2019!$A$4:$N$425,K0kommunestruktur2020!G$3,FALSE)</f>
        <v>200</v>
      </c>
      <c r="H26" s="177">
        <f>VLOOKUP($A26,K0kommunestruktur2019!$A$4:$N$425,K0kommunestruktur2020!H$3,FALSE)</f>
        <v>4581</v>
      </c>
      <c r="I26" s="289">
        <f>VLOOKUP($A26,K0kommunestruktur2019!$A$4:$N$425,K0kommunestruktur2020!I$3,FALSE)</f>
        <v>201</v>
      </c>
      <c r="J26" s="177">
        <f>VLOOKUP($A26,K0kommunestruktur2019!$A$4:$N$425,K0kommunestruktur2020!J$3,FALSE)</f>
        <v>4747</v>
      </c>
      <c r="K26" s="289">
        <f>VLOOKUP($A26,K0kommunestruktur2019!$A$4:$N$425,K0kommunestruktur2020!K$3,FALSE)</f>
        <v>208</v>
      </c>
      <c r="L26" s="177">
        <f>VLOOKUP($A26,K0kommunestruktur2019!$A$4:$N$425,K0kommunestruktur2020!L$3,FALSE)</f>
        <v>5467</v>
      </c>
      <c r="M26" s="289">
        <f>VLOOKUP($A26,K0kommunestruktur2019!$A$4:$N$425,K0kommunestruktur2020!M$3,FALSE)</f>
        <v>196</v>
      </c>
      <c r="N26" s="177">
        <f>VLOOKUP($A26,K0kommunestruktur2019!$A$4:$N$425,K0kommunestruktur2020!N$3,FALSE)</f>
        <v>5709</v>
      </c>
      <c r="O26" s="289">
        <f>VLOOKUP(A26,'K20'!$A$4:$BV$359,3)</f>
        <v>198</v>
      </c>
      <c r="P26" s="289">
        <f>VLOOKUP(A26,'K20'!$A$4:$BV$359,26)</f>
        <v>6085</v>
      </c>
      <c r="R26" s="517"/>
      <c r="S26" s="517"/>
      <c r="T26" s="517"/>
    </row>
    <row r="27" spans="1:20" ht="13">
      <c r="A27" s="865">
        <v>1160</v>
      </c>
      <c r="B27" s="866" t="s">
        <v>1543</v>
      </c>
      <c r="C27" s="289">
        <f>VLOOKUP($A27,K0kommunestruktur2019!$A$4:$N$425,K0kommunestruktur2020!C$3,FALSE)</f>
        <v>8747</v>
      </c>
      <c r="D27" s="177">
        <f>VLOOKUP($A27,K0kommunestruktur2019!$A$4:$N$425,K0kommunestruktur2020!D$3,FALSE)</f>
        <v>219287</v>
      </c>
      <c r="E27" s="289">
        <f>VLOOKUP($A27,K0kommunestruktur2019!$A$4:$N$425,K0kommunestruktur2020!E$3,FALSE)</f>
        <v>8765</v>
      </c>
      <c r="F27" s="177">
        <f>VLOOKUP($A27,K0kommunestruktur2019!$A$4:$N$425,K0kommunestruktur2020!F$3,FALSE)</f>
        <v>224845</v>
      </c>
      <c r="G27" s="289">
        <f>VLOOKUP($A27,K0kommunestruktur2019!$A$4:$N$425,K0kommunestruktur2020!G$3,FALSE)</f>
        <v>8788</v>
      </c>
      <c r="H27" s="177">
        <f>VLOOKUP($A27,K0kommunestruktur2019!$A$4:$N$425,K0kommunestruktur2020!H$3,FALSE)</f>
        <v>241047</v>
      </c>
      <c r="I27" s="289">
        <f>VLOOKUP($A27,K0kommunestruktur2019!$A$4:$N$425,K0kommunestruktur2020!I$3,FALSE)</f>
        <v>8828</v>
      </c>
      <c r="J27" s="177">
        <f>VLOOKUP($A27,K0kommunestruktur2019!$A$4:$N$425,K0kommunestruktur2020!J$3,FALSE)</f>
        <v>300936</v>
      </c>
      <c r="K27" s="289">
        <f>VLOOKUP($A27,K0kommunestruktur2019!$A$4:$N$425,K0kommunestruktur2020!K$3,FALSE)</f>
        <v>8793</v>
      </c>
      <c r="L27" s="177">
        <f>VLOOKUP($A27,K0kommunestruktur2019!$A$4:$N$425,K0kommunestruktur2020!L$3,FALSE)</f>
        <v>278332</v>
      </c>
      <c r="M27" s="289">
        <f>VLOOKUP($A27,K0kommunestruktur2019!$A$4:$N$425,K0kommunestruktur2020!M$3,FALSE)</f>
        <v>8743</v>
      </c>
      <c r="N27" s="177">
        <f>VLOOKUP($A27,K0kommunestruktur2019!$A$4:$N$425,K0kommunestruktur2020!N$3,FALSE)</f>
        <v>307150</v>
      </c>
      <c r="O27" s="289">
        <f>VLOOKUP(A27,'K20'!$A$4:$BV$359,3)</f>
        <v>8714</v>
      </c>
      <c r="P27" s="289">
        <f>VLOOKUP(A27,'K20'!$A$4:$BV$359,26)</f>
        <v>308048</v>
      </c>
      <c r="R27" s="517"/>
      <c r="S27" s="517"/>
      <c r="T27" s="517"/>
    </row>
    <row r="28" spans="1:20" ht="13">
      <c r="A28" s="865">
        <v>1505</v>
      </c>
      <c r="B28" s="866" t="s">
        <v>1654</v>
      </c>
      <c r="C28" s="289">
        <f>VLOOKUP($A28,K0kommunestruktur2019!$A$4:$N$425,K0kommunestruktur2020!C$3,FALSE)</f>
        <v>24395</v>
      </c>
      <c r="D28" s="177">
        <f>VLOOKUP($A28,K0kommunestruktur2019!$A$4:$N$425,K0kommunestruktur2020!D$3,FALSE)</f>
        <v>563921</v>
      </c>
      <c r="E28" s="289">
        <f>VLOOKUP($A28,K0kommunestruktur2019!$A$4:$N$425,K0kommunestruktur2020!E$3,FALSE)</f>
        <v>24507</v>
      </c>
      <c r="F28" s="177">
        <f>VLOOKUP($A28,K0kommunestruktur2019!$A$4:$N$425,K0kommunestruktur2020!F$3,FALSE)</f>
        <v>582836</v>
      </c>
      <c r="G28" s="289">
        <f>VLOOKUP($A28,K0kommunestruktur2019!$A$4:$N$425,K0kommunestruktur2020!G$3,FALSE)</f>
        <v>24526</v>
      </c>
      <c r="H28" s="177">
        <f>VLOOKUP($A28,K0kommunestruktur2019!$A$4:$N$425,K0kommunestruktur2020!H$3,FALSE)</f>
        <v>605657</v>
      </c>
      <c r="I28" s="289">
        <f>VLOOKUP($A28,K0kommunestruktur2019!$A$4:$N$425,K0kommunestruktur2020!I$3,FALSE)</f>
        <v>24442</v>
      </c>
      <c r="J28" s="177">
        <f>VLOOKUP($A28,K0kommunestruktur2019!$A$4:$N$425,K0kommunestruktur2020!J$3,FALSE)</f>
        <v>613661</v>
      </c>
      <c r="K28" s="289">
        <f>VLOOKUP($A28,K0kommunestruktur2019!$A$4:$N$425,K0kommunestruktur2020!K$3,FALSE)</f>
        <v>24300</v>
      </c>
      <c r="L28" s="177">
        <f>VLOOKUP($A28,K0kommunestruktur2019!$A$4:$N$425,K0kommunestruktur2020!L$3,FALSE)</f>
        <v>637871</v>
      </c>
      <c r="M28" s="289">
        <f>VLOOKUP($A28,K0kommunestruktur2019!$A$4:$N$425,K0kommunestruktur2020!M$3,FALSE)</f>
        <v>24274</v>
      </c>
      <c r="N28" s="177">
        <f>VLOOKUP($A28,K0kommunestruktur2019!$A$4:$N$425,K0kommunestruktur2020!N$3,FALSE)</f>
        <v>663317</v>
      </c>
      <c r="O28" s="289">
        <f>VLOOKUP(A28,'K20'!$A$4:$BV$359,3)</f>
        <v>24179</v>
      </c>
      <c r="P28" s="289">
        <f>VLOOKUP(A28,'K20'!$A$4:$BV$359,26)</f>
        <v>646563</v>
      </c>
      <c r="R28" s="517"/>
      <c r="S28" s="517"/>
      <c r="T28" s="517"/>
    </row>
    <row r="29" spans="1:20" ht="13">
      <c r="A29" s="878">
        <v>1506</v>
      </c>
      <c r="B29" s="883" t="s">
        <v>1611</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VLOOKUP(A29,'K20'!$A$4:$BV$359,3)</f>
        <v>31967</v>
      </c>
      <c r="P29" s="289">
        <f>VLOOKUP(A29,'K20'!$A$4:$BV$359,26)</f>
        <v>940943</v>
      </c>
      <c r="R29" s="517"/>
      <c r="S29" s="517"/>
      <c r="T29" s="517"/>
    </row>
    <row r="30" spans="1:20" ht="13">
      <c r="A30" s="878">
        <v>1507</v>
      </c>
      <c r="B30" s="883" t="s">
        <v>1612</v>
      </c>
      <c r="C30" s="289">
        <f t="shared" ref="C30:N30" si="5">+C$387+C$388+C$389+C$390+C$391+C$392</f>
        <v>62792.5172398</v>
      </c>
      <c r="D30" s="177">
        <f t="shared" si="5"/>
        <v>1568748.12571412</v>
      </c>
      <c r="E30" s="289">
        <f t="shared" si="5"/>
        <v>63445.397848640001</v>
      </c>
      <c r="F30" s="177">
        <f t="shared" si="5"/>
        <v>1625606.7280787805</v>
      </c>
      <c r="G30" s="289">
        <f t="shared" si="5"/>
        <v>64135.271692590002</v>
      </c>
      <c r="H30" s="177">
        <f t="shared" si="5"/>
        <v>1736243.4961222783</v>
      </c>
      <c r="I30" s="289">
        <f t="shared" si="5"/>
        <v>64708.166928220002</v>
      </c>
      <c r="J30" s="177">
        <f t="shared" si="5"/>
        <v>1804717.9743116449</v>
      </c>
      <c r="K30" s="289">
        <f t="shared" si="5"/>
        <v>65053.103850200001</v>
      </c>
      <c r="L30" s="177">
        <f t="shared" si="5"/>
        <v>1924606.0505843894</v>
      </c>
      <c r="M30" s="289">
        <f t="shared" si="5"/>
        <v>65621</v>
      </c>
      <c r="N30" s="177">
        <f t="shared" si="5"/>
        <v>2059966.2974875444</v>
      </c>
      <c r="O30" s="289">
        <f>VLOOKUP(A30,'K20'!$A$4:$BV$359,3)</f>
        <v>66258</v>
      </c>
      <c r="P30" s="289">
        <f>VLOOKUP(A30,'K20'!$A$4:$BV$359,26)</f>
        <v>2040372</v>
      </c>
      <c r="R30" s="517"/>
      <c r="S30" s="517"/>
      <c r="T30" s="517"/>
    </row>
    <row r="31" spans="1:20" ht="13">
      <c r="A31" s="865">
        <v>1511</v>
      </c>
      <c r="B31" s="866" t="s">
        <v>86</v>
      </c>
      <c r="C31" s="289">
        <f>VLOOKUP($A31,K0kommunestruktur2019!$A$4:$N$425,K0kommunestruktur2020!C$3,FALSE)</f>
        <v>3302</v>
      </c>
      <c r="D31" s="177">
        <f>VLOOKUP($A31,K0kommunestruktur2019!$A$4:$N$425,K0kommunestruktur2020!D$3,FALSE)</f>
        <v>72479</v>
      </c>
      <c r="E31" s="289">
        <f>VLOOKUP($A31,K0kommunestruktur2019!$A$4:$N$425,K0kommunestruktur2020!E$3,FALSE)</f>
        <v>3258</v>
      </c>
      <c r="F31" s="177">
        <f>VLOOKUP($A31,K0kommunestruktur2019!$A$4:$N$425,K0kommunestruktur2020!F$3,FALSE)</f>
        <v>74410</v>
      </c>
      <c r="G31" s="289">
        <f>VLOOKUP($A31,K0kommunestruktur2019!$A$4:$N$425,K0kommunestruktur2020!G$3,FALSE)</f>
        <v>3256</v>
      </c>
      <c r="H31" s="177">
        <f>VLOOKUP($A31,K0kommunestruktur2019!$A$4:$N$425,K0kommunestruktur2020!H$3,FALSE)</f>
        <v>74821</v>
      </c>
      <c r="I31" s="289">
        <f>VLOOKUP($A31,K0kommunestruktur2019!$A$4:$N$425,K0kommunestruktur2020!I$3,FALSE)</f>
        <v>3203</v>
      </c>
      <c r="J31" s="177">
        <f>VLOOKUP($A31,K0kommunestruktur2019!$A$4:$N$425,K0kommunestruktur2020!J$3,FALSE)</f>
        <v>77373</v>
      </c>
      <c r="K31" s="289">
        <f>VLOOKUP($A31,K0kommunestruktur2019!$A$4:$N$425,K0kommunestruktur2020!K$3,FALSE)</f>
        <v>3187</v>
      </c>
      <c r="L31" s="177">
        <f>VLOOKUP($A31,K0kommunestruktur2019!$A$4:$N$425,K0kommunestruktur2020!L$3,FALSE)</f>
        <v>83683</v>
      </c>
      <c r="M31" s="289">
        <f>VLOOKUP($A31,K0kommunestruktur2019!$A$4:$N$425,K0kommunestruktur2020!M$3,FALSE)</f>
        <v>3163</v>
      </c>
      <c r="N31" s="177">
        <f>VLOOKUP($A31,K0kommunestruktur2019!$A$4:$N$425,K0kommunestruktur2020!N$3,FALSE)</f>
        <v>88973</v>
      </c>
      <c r="O31" s="289">
        <f>VLOOKUP(A31,'K20'!$A$4:$BV$359,3)</f>
        <v>3117</v>
      </c>
      <c r="P31" s="289">
        <f>VLOOKUP(A31,'K20'!$A$4:$BV$359,26)</f>
        <v>83290</v>
      </c>
      <c r="R31" s="517"/>
      <c r="S31" s="517"/>
      <c r="T31" s="517"/>
    </row>
    <row r="32" spans="1:20" ht="13">
      <c r="A32" s="865">
        <v>1514</v>
      </c>
      <c r="B32" s="866" t="s">
        <v>897</v>
      </c>
      <c r="C32" s="289">
        <f>VLOOKUP($A32,K0kommunestruktur2019!$A$4:$N$425,K0kommunestruktur2020!C$3,FALSE)</f>
        <v>2636</v>
      </c>
      <c r="D32" s="177">
        <f>VLOOKUP($A32,K0kommunestruktur2019!$A$4:$N$425,K0kommunestruktur2020!D$3,FALSE)</f>
        <v>55999</v>
      </c>
      <c r="E32" s="289">
        <f>VLOOKUP($A32,K0kommunestruktur2019!$A$4:$N$425,K0kommunestruktur2020!E$3,FALSE)</f>
        <v>2635</v>
      </c>
      <c r="F32" s="177">
        <f>VLOOKUP($A32,K0kommunestruktur2019!$A$4:$N$425,K0kommunestruktur2020!F$3,FALSE)</f>
        <v>62048</v>
      </c>
      <c r="G32" s="289">
        <f>VLOOKUP($A32,K0kommunestruktur2019!$A$4:$N$425,K0kommunestruktur2020!G$3,FALSE)</f>
        <v>2559</v>
      </c>
      <c r="H32" s="177">
        <f>VLOOKUP($A32,K0kommunestruktur2019!$A$4:$N$425,K0kommunestruktur2020!H$3,FALSE)</f>
        <v>63984</v>
      </c>
      <c r="I32" s="289">
        <f>VLOOKUP($A32,K0kommunestruktur2019!$A$4:$N$425,K0kommunestruktur2020!I$3,FALSE)</f>
        <v>2540</v>
      </c>
      <c r="J32" s="177">
        <f>VLOOKUP($A32,K0kommunestruktur2019!$A$4:$N$425,K0kommunestruktur2020!J$3,FALSE)</f>
        <v>61235</v>
      </c>
      <c r="K32" s="289">
        <f>VLOOKUP($A32,K0kommunestruktur2019!$A$4:$N$425,K0kommunestruktur2020!K$3,FALSE)</f>
        <v>2522</v>
      </c>
      <c r="L32" s="177">
        <f>VLOOKUP($A32,K0kommunestruktur2019!$A$4:$N$425,K0kommunestruktur2020!L$3,FALSE)</f>
        <v>68936</v>
      </c>
      <c r="M32" s="289">
        <f>VLOOKUP($A32,K0kommunestruktur2019!$A$4:$N$425,K0kommunestruktur2020!M$3,FALSE)</f>
        <v>2493</v>
      </c>
      <c r="N32" s="177">
        <f>VLOOKUP($A32,K0kommunestruktur2019!$A$4:$N$425,K0kommunestruktur2020!N$3,FALSE)</f>
        <v>75383</v>
      </c>
      <c r="O32" s="289">
        <f>VLOOKUP(A32,'K20'!$A$4:$BV$359,3)</f>
        <v>2461</v>
      </c>
      <c r="P32" s="289">
        <f>VLOOKUP(A32,'K20'!$A$4:$BV$359,26)</f>
        <v>73238</v>
      </c>
      <c r="R32" s="517"/>
      <c r="S32" s="517"/>
      <c r="T32" s="517"/>
    </row>
    <row r="33" spans="1:20" ht="13">
      <c r="A33" s="865">
        <v>1515</v>
      </c>
      <c r="B33" s="866" t="s">
        <v>87</v>
      </c>
      <c r="C33" s="289">
        <f>VLOOKUP($A33,K0kommunestruktur2019!$A$4:$N$425,K0kommunestruktur2020!C$3,FALSE)</f>
        <v>8847</v>
      </c>
      <c r="D33" s="177">
        <f>VLOOKUP($A33,K0kommunestruktur2019!$A$4:$N$425,K0kommunestruktur2020!D$3,FALSE)</f>
        <v>231216</v>
      </c>
      <c r="E33" s="289">
        <f>VLOOKUP($A33,K0kommunestruktur2019!$A$4:$N$425,K0kommunestruktur2020!E$3,FALSE)</f>
        <v>8934</v>
      </c>
      <c r="F33" s="177">
        <f>VLOOKUP($A33,K0kommunestruktur2019!$A$4:$N$425,K0kommunestruktur2020!F$3,FALSE)</f>
        <v>248460</v>
      </c>
      <c r="G33" s="289">
        <f>VLOOKUP($A33,K0kommunestruktur2019!$A$4:$N$425,K0kommunestruktur2020!G$3,FALSE)</f>
        <v>8972</v>
      </c>
      <c r="H33" s="177">
        <f>VLOOKUP($A33,K0kommunestruktur2019!$A$4:$N$425,K0kommunestruktur2020!H$3,FALSE)</f>
        <v>260046</v>
      </c>
      <c r="I33" s="289">
        <f>VLOOKUP($A33,K0kommunestruktur2019!$A$4:$N$425,K0kommunestruktur2020!I$3,FALSE)</f>
        <v>8957</v>
      </c>
      <c r="J33" s="177">
        <f>VLOOKUP($A33,K0kommunestruktur2019!$A$4:$N$425,K0kommunestruktur2020!J$3,FALSE)</f>
        <v>261503</v>
      </c>
      <c r="K33" s="289">
        <f>VLOOKUP($A33,K0kommunestruktur2019!$A$4:$N$425,K0kommunestruktur2020!K$3,FALSE)</f>
        <v>8965</v>
      </c>
      <c r="L33" s="177">
        <f>VLOOKUP($A33,K0kommunestruktur2019!$A$4:$N$425,K0kommunestruktur2020!L$3,FALSE)</f>
        <v>270116</v>
      </c>
      <c r="M33" s="289">
        <f>VLOOKUP($A33,K0kommunestruktur2019!$A$4:$N$425,K0kommunestruktur2020!M$3,FALSE)</f>
        <v>8927</v>
      </c>
      <c r="N33" s="177">
        <f>VLOOKUP($A33,K0kommunestruktur2019!$A$4:$N$425,K0kommunestruktur2020!N$3,FALSE)</f>
        <v>303238</v>
      </c>
      <c r="O33" s="289">
        <f>VLOOKUP(A33,'K20'!$A$4:$BV$359,3)</f>
        <v>8900</v>
      </c>
      <c r="P33" s="289">
        <f>VLOOKUP(A33,'K20'!$A$4:$BV$359,26)</f>
        <v>308399</v>
      </c>
      <c r="R33" s="517"/>
      <c r="S33" s="517"/>
      <c r="T33" s="517"/>
    </row>
    <row r="34" spans="1:20" ht="13">
      <c r="A34" s="865">
        <v>1516</v>
      </c>
      <c r="B34" s="866" t="s">
        <v>88</v>
      </c>
      <c r="C34" s="289">
        <f>VLOOKUP($A34,K0kommunestruktur2019!$A$4:$N$425,K0kommunestruktur2020!C$3,FALSE)</f>
        <v>8092</v>
      </c>
      <c r="D34" s="177">
        <f>VLOOKUP($A34,K0kommunestruktur2019!$A$4:$N$425,K0kommunestruktur2020!D$3,FALSE)</f>
        <v>242269</v>
      </c>
      <c r="E34" s="289">
        <f>VLOOKUP($A34,K0kommunestruktur2019!$A$4:$N$425,K0kommunestruktur2020!E$3,FALSE)</f>
        <v>8292</v>
      </c>
      <c r="F34" s="177">
        <f>VLOOKUP($A34,K0kommunestruktur2019!$A$4:$N$425,K0kommunestruktur2020!F$3,FALSE)</f>
        <v>257483</v>
      </c>
      <c r="G34" s="289">
        <f>VLOOKUP($A34,K0kommunestruktur2019!$A$4:$N$425,K0kommunestruktur2020!G$3,FALSE)</f>
        <v>8430</v>
      </c>
      <c r="H34" s="177">
        <f>VLOOKUP($A34,K0kommunestruktur2019!$A$4:$N$425,K0kommunestruktur2020!H$3,FALSE)</f>
        <v>245408</v>
      </c>
      <c r="I34" s="289">
        <f>VLOOKUP($A34,K0kommunestruktur2019!$A$4:$N$425,K0kommunestruktur2020!I$3,FALSE)</f>
        <v>8457</v>
      </c>
      <c r="J34" s="177">
        <f>VLOOKUP($A34,K0kommunestruktur2019!$A$4:$N$425,K0kommunestruktur2020!J$3,FALSE)</f>
        <v>249381</v>
      </c>
      <c r="K34" s="289">
        <f>VLOOKUP($A34,K0kommunestruktur2019!$A$4:$N$425,K0kommunestruktur2020!K$3,FALSE)</f>
        <v>8555</v>
      </c>
      <c r="L34" s="177">
        <f>VLOOKUP($A34,K0kommunestruktur2019!$A$4:$N$425,K0kommunestruktur2020!L$3,FALSE)</f>
        <v>262420</v>
      </c>
      <c r="M34" s="289">
        <f>VLOOKUP($A34,K0kommunestruktur2019!$A$4:$N$425,K0kommunestruktur2020!M$3,FALSE)</f>
        <v>8609</v>
      </c>
      <c r="N34" s="177">
        <f>VLOOKUP($A34,K0kommunestruktur2019!$A$4:$N$425,K0kommunestruktur2020!N$3,FALSE)</f>
        <v>275729</v>
      </c>
      <c r="O34" s="289">
        <f>VLOOKUP(A34,'K20'!$A$4:$BV$359,3)</f>
        <v>8571</v>
      </c>
      <c r="P34" s="289">
        <f>VLOOKUP(A34,'K20'!$A$4:$BV$359,26)</f>
        <v>276618</v>
      </c>
      <c r="R34" s="517"/>
      <c r="S34" s="517"/>
      <c r="T34" s="517"/>
    </row>
    <row r="35" spans="1:20" ht="13">
      <c r="A35" s="865">
        <v>1517</v>
      </c>
      <c r="B35" s="866" t="s">
        <v>89</v>
      </c>
      <c r="C35" s="289">
        <f>VLOOKUP($A35,K0kommunestruktur2019!$A$4:$N$425,K0kommunestruktur2020!C$3,FALSE)</f>
        <v>5021</v>
      </c>
      <c r="D35" s="177">
        <f>VLOOKUP($A35,K0kommunestruktur2019!$A$4:$N$425,K0kommunestruktur2020!D$3,FALSE)</f>
        <v>112102</v>
      </c>
      <c r="E35" s="289">
        <f>VLOOKUP($A35,K0kommunestruktur2019!$A$4:$N$425,K0kommunestruktur2020!E$3,FALSE)</f>
        <v>5065</v>
      </c>
      <c r="F35" s="177">
        <f>VLOOKUP($A35,K0kommunestruktur2019!$A$4:$N$425,K0kommunestruktur2020!F$3,FALSE)</f>
        <v>114254</v>
      </c>
      <c r="G35" s="289">
        <f>VLOOKUP($A35,K0kommunestruktur2019!$A$4:$N$425,K0kommunestruktur2020!G$3,FALSE)</f>
        <v>5189</v>
      </c>
      <c r="H35" s="177">
        <f>VLOOKUP($A35,K0kommunestruktur2019!$A$4:$N$425,K0kommunestruktur2020!H$3,FALSE)</f>
        <v>119524</v>
      </c>
      <c r="I35" s="289">
        <f>VLOOKUP($A35,K0kommunestruktur2019!$A$4:$N$425,K0kommunestruktur2020!I$3,FALSE)</f>
        <v>5185</v>
      </c>
      <c r="J35" s="177">
        <f>VLOOKUP($A35,K0kommunestruktur2019!$A$4:$N$425,K0kommunestruktur2020!J$3,FALSE)</f>
        <v>120422</v>
      </c>
      <c r="K35" s="289">
        <f>VLOOKUP($A35,K0kommunestruktur2019!$A$4:$N$425,K0kommunestruktur2020!K$3,FALSE)</f>
        <v>5150</v>
      </c>
      <c r="L35" s="177">
        <f>VLOOKUP($A35,K0kommunestruktur2019!$A$4:$N$425,K0kommunestruktur2020!L$3,FALSE)</f>
        <v>124236</v>
      </c>
      <c r="M35" s="289">
        <f>VLOOKUP($A35,K0kommunestruktur2019!$A$4:$N$425,K0kommunestruktur2020!M$3,FALSE)</f>
        <v>5155</v>
      </c>
      <c r="N35" s="177">
        <f>VLOOKUP($A35,K0kommunestruktur2019!$A$4:$N$425,K0kommunestruktur2020!N$3,FALSE)</f>
        <v>130558</v>
      </c>
      <c r="O35" s="289">
        <f>VLOOKUP(A35,'K20'!$A$4:$BV$359,3)</f>
        <v>5175</v>
      </c>
      <c r="P35" s="289">
        <f>VLOOKUP(A35,'K20'!$A$4:$BV$359,26)</f>
        <v>129502</v>
      </c>
      <c r="R35" s="517"/>
      <c r="S35" s="517"/>
      <c r="T35" s="517"/>
    </row>
    <row r="36" spans="1:20" ht="13">
      <c r="A36" s="889">
        <v>1520</v>
      </c>
      <c r="B36" s="890" t="s">
        <v>91</v>
      </c>
      <c r="C36" s="289">
        <f t="shared" ref="C36:N36" si="6">+C$395+C$396</f>
        <v>10434.104448739999</v>
      </c>
      <c r="D36" s="177">
        <f t="shared" si="6"/>
        <v>228705.54738872123</v>
      </c>
      <c r="E36" s="289">
        <f t="shared" si="6"/>
        <v>10486.591876209999</v>
      </c>
      <c r="F36" s="177">
        <f t="shared" si="6"/>
        <v>245677.8027079562</v>
      </c>
      <c r="G36" s="289">
        <f t="shared" si="6"/>
        <v>10573.74081238</v>
      </c>
      <c r="H36" s="177">
        <f t="shared" si="6"/>
        <v>254924.50290137541</v>
      </c>
      <c r="I36" s="289">
        <f t="shared" si="6"/>
        <v>10640.09284333</v>
      </c>
      <c r="J36" s="177">
        <f t="shared" si="6"/>
        <v>265875.55899427511</v>
      </c>
      <c r="K36" s="289">
        <f t="shared" si="6"/>
        <v>10707.435203090001</v>
      </c>
      <c r="L36" s="177">
        <f t="shared" si="6"/>
        <v>274436.95164397813</v>
      </c>
      <c r="M36" s="289">
        <f t="shared" si="6"/>
        <v>10752</v>
      </c>
      <c r="N36" s="177">
        <f t="shared" si="6"/>
        <v>283285.53965183755</v>
      </c>
      <c r="O36" s="289">
        <f>VLOOKUP(A36,'K20'!$A$4:$BV$359,3)</f>
        <v>10825</v>
      </c>
      <c r="P36" s="289">
        <f>VLOOKUP(A36,'K20'!$A$4:$BV$359,26)</f>
        <v>277419</v>
      </c>
      <c r="R36" s="517"/>
      <c r="S36" s="517"/>
      <c r="T36" s="517"/>
    </row>
    <row r="37" spans="1:20" ht="13">
      <c r="A37" s="865">
        <v>1525</v>
      </c>
      <c r="B37" s="866" t="s">
        <v>94</v>
      </c>
      <c r="C37" s="289">
        <f>VLOOKUP($A37,K0kommunestruktur2019!$A$4:$N$425,K0kommunestruktur2020!C$3,FALSE)</f>
        <v>4616</v>
      </c>
      <c r="D37" s="177">
        <f>VLOOKUP($A37,K0kommunestruktur2019!$A$4:$N$425,K0kommunestruktur2020!D$3,FALSE)</f>
        <v>102920</v>
      </c>
      <c r="E37" s="289">
        <f>VLOOKUP($A37,K0kommunestruktur2019!$A$4:$N$425,K0kommunestruktur2020!E$3,FALSE)</f>
        <v>4605</v>
      </c>
      <c r="F37" s="177">
        <f>VLOOKUP($A37,K0kommunestruktur2019!$A$4:$N$425,K0kommunestruktur2020!F$3,FALSE)</f>
        <v>104690</v>
      </c>
      <c r="G37" s="289">
        <f>VLOOKUP($A37,K0kommunestruktur2019!$A$4:$N$425,K0kommunestruktur2020!G$3,FALSE)</f>
        <v>4598</v>
      </c>
      <c r="H37" s="177">
        <f>VLOOKUP($A37,K0kommunestruktur2019!$A$4:$N$425,K0kommunestruktur2020!H$3,FALSE)</f>
        <v>117534</v>
      </c>
      <c r="I37" s="289">
        <f>VLOOKUP($A37,K0kommunestruktur2019!$A$4:$N$425,K0kommunestruktur2020!I$3,FALSE)</f>
        <v>4623</v>
      </c>
      <c r="J37" s="177">
        <f>VLOOKUP($A37,K0kommunestruktur2019!$A$4:$N$425,K0kommunestruktur2020!J$3,FALSE)</f>
        <v>121163</v>
      </c>
      <c r="K37" s="289">
        <f>VLOOKUP($A37,K0kommunestruktur2019!$A$4:$N$425,K0kommunestruktur2020!K$3,FALSE)</f>
        <v>4587</v>
      </c>
      <c r="L37" s="177">
        <f>VLOOKUP($A37,K0kommunestruktur2019!$A$4:$N$425,K0kommunestruktur2020!L$3,FALSE)</f>
        <v>127019</v>
      </c>
      <c r="M37" s="289">
        <f>VLOOKUP($A37,K0kommunestruktur2019!$A$4:$N$425,K0kommunestruktur2020!M$3,FALSE)</f>
        <v>4565</v>
      </c>
      <c r="N37" s="177">
        <f>VLOOKUP($A37,K0kommunestruktur2019!$A$4:$N$425,K0kommunestruktur2020!N$3,FALSE)</f>
        <v>128492</v>
      </c>
      <c r="O37" s="289">
        <f>VLOOKUP(A37,'K20'!$A$4:$BV$359,3)</f>
        <v>4523</v>
      </c>
      <c r="P37" s="289">
        <f>VLOOKUP(A37,'K20'!$A$4:$BV$359,26)</f>
        <v>129631</v>
      </c>
      <c r="R37" s="517"/>
      <c r="S37" s="517"/>
      <c r="T37" s="517"/>
    </row>
    <row r="38" spans="1:20" ht="13">
      <c r="A38" s="865">
        <v>1528</v>
      </c>
      <c r="B38" s="866" t="s">
        <v>96</v>
      </c>
      <c r="C38" s="289">
        <f>VLOOKUP($A38,K0kommunestruktur2019!$A$4:$N$425,K0kommunestruktur2020!C$3,FALSE)</f>
        <v>7730</v>
      </c>
      <c r="D38" s="177">
        <f>VLOOKUP($A38,K0kommunestruktur2019!$A$4:$N$425,K0kommunestruktur2020!D$3,FALSE)</f>
        <v>157880</v>
      </c>
      <c r="E38" s="289">
        <f>VLOOKUP($A38,K0kommunestruktur2019!$A$4:$N$425,K0kommunestruktur2020!E$3,FALSE)</f>
        <v>7707</v>
      </c>
      <c r="F38" s="177">
        <f>VLOOKUP($A38,K0kommunestruktur2019!$A$4:$N$425,K0kommunestruktur2020!F$3,FALSE)</f>
        <v>165427</v>
      </c>
      <c r="G38" s="289">
        <f>VLOOKUP($A38,K0kommunestruktur2019!$A$4:$N$425,K0kommunestruktur2020!G$3,FALSE)</f>
        <v>7675</v>
      </c>
      <c r="H38" s="177">
        <f>VLOOKUP($A38,K0kommunestruktur2019!$A$4:$N$425,K0kommunestruktur2020!H$3,FALSE)</f>
        <v>176372</v>
      </c>
      <c r="I38" s="289">
        <f>VLOOKUP($A38,K0kommunestruktur2019!$A$4:$N$425,K0kommunestruktur2020!I$3,FALSE)</f>
        <v>7695</v>
      </c>
      <c r="J38" s="177">
        <f>VLOOKUP($A38,K0kommunestruktur2019!$A$4:$N$425,K0kommunestruktur2020!J$3,FALSE)</f>
        <v>182002</v>
      </c>
      <c r="K38" s="289">
        <f>VLOOKUP($A38,K0kommunestruktur2019!$A$4:$N$425,K0kommunestruktur2020!K$3,FALSE)</f>
        <v>7695</v>
      </c>
      <c r="L38" s="177">
        <f>VLOOKUP($A38,K0kommunestruktur2019!$A$4:$N$425,K0kommunestruktur2020!L$3,FALSE)</f>
        <v>194273</v>
      </c>
      <c r="M38" s="289">
        <f>VLOOKUP($A38,K0kommunestruktur2019!$A$4:$N$425,K0kommunestruktur2020!M$3,FALSE)</f>
        <v>7657</v>
      </c>
      <c r="N38" s="177">
        <f>VLOOKUP($A38,K0kommunestruktur2019!$A$4:$N$425,K0kommunestruktur2020!N$3,FALSE)</f>
        <v>203942</v>
      </c>
      <c r="O38" s="289">
        <f>VLOOKUP(A38,'K20'!$A$4:$BV$359,3)</f>
        <v>7625</v>
      </c>
      <c r="P38" s="289">
        <f>VLOOKUP(A38,'K20'!$A$4:$BV$359,26)</f>
        <v>197295</v>
      </c>
      <c r="R38" s="517"/>
      <c r="S38" s="517"/>
      <c r="T38" s="517"/>
    </row>
    <row r="39" spans="1:20" ht="13">
      <c r="A39" s="865">
        <v>1531</v>
      </c>
      <c r="B39" s="866" t="s">
        <v>98</v>
      </c>
      <c r="C39" s="289">
        <f>VLOOKUP($A39,K0kommunestruktur2019!$A$4:$N$425,K0kommunestruktur2020!C$3,FALSE)</f>
        <v>8651</v>
      </c>
      <c r="D39" s="177">
        <f>VLOOKUP($A39,K0kommunestruktur2019!$A$4:$N$425,K0kommunestruktur2020!D$3,FALSE)</f>
        <v>178416</v>
      </c>
      <c r="E39" s="289">
        <f>VLOOKUP($A39,K0kommunestruktur2019!$A$4:$N$425,K0kommunestruktur2020!E$3,FALSE)</f>
        <v>8855</v>
      </c>
      <c r="F39" s="177">
        <f>VLOOKUP($A39,K0kommunestruktur2019!$A$4:$N$425,K0kommunestruktur2020!F$3,FALSE)</f>
        <v>190618</v>
      </c>
      <c r="G39" s="289">
        <f>VLOOKUP($A39,K0kommunestruktur2019!$A$4:$N$425,K0kommunestruktur2020!G$3,FALSE)</f>
        <v>8952</v>
      </c>
      <c r="H39" s="177">
        <f>VLOOKUP($A39,K0kommunestruktur2019!$A$4:$N$425,K0kommunestruktur2020!H$3,FALSE)</f>
        <v>205516</v>
      </c>
      <c r="I39" s="289">
        <f>VLOOKUP($A39,K0kommunestruktur2019!$A$4:$N$425,K0kommunestruktur2020!I$3,FALSE)</f>
        <v>9007</v>
      </c>
      <c r="J39" s="177">
        <f>VLOOKUP($A39,K0kommunestruktur2019!$A$4:$N$425,K0kommunestruktur2020!J$3,FALSE)</f>
        <v>218659</v>
      </c>
      <c r="K39" s="289">
        <f>VLOOKUP($A39,K0kommunestruktur2019!$A$4:$N$425,K0kommunestruktur2020!K$3,FALSE)</f>
        <v>9131</v>
      </c>
      <c r="L39" s="177">
        <f>VLOOKUP($A39,K0kommunestruktur2019!$A$4:$N$425,K0kommunestruktur2020!L$3,FALSE)</f>
        <v>225657</v>
      </c>
      <c r="M39" s="289">
        <f>VLOOKUP($A39,K0kommunestruktur2019!$A$4:$N$425,K0kommunestruktur2020!M$3,FALSE)</f>
        <v>9271</v>
      </c>
      <c r="N39" s="177">
        <f>VLOOKUP($A39,K0kommunestruktur2019!$A$4:$N$425,K0kommunestruktur2020!N$3,FALSE)</f>
        <v>242024</v>
      </c>
      <c r="O39" s="289">
        <f>VLOOKUP(A39,'K20'!$A$4:$BV$359,3)</f>
        <v>9310</v>
      </c>
      <c r="P39" s="289">
        <f>VLOOKUP(A39,'K20'!$A$4:$BV$359,26)</f>
        <v>236662</v>
      </c>
      <c r="R39" s="517"/>
      <c r="S39" s="517"/>
      <c r="T39" s="517"/>
    </row>
    <row r="40" spans="1:20" ht="13">
      <c r="A40" s="865">
        <v>1532</v>
      </c>
      <c r="B40" s="866" t="s">
        <v>99</v>
      </c>
      <c r="C40" s="289">
        <f>VLOOKUP($A40,K0kommunestruktur2019!$A$4:$N$425,K0kommunestruktur2020!C$3,FALSE)</f>
        <v>7739</v>
      </c>
      <c r="D40" s="177">
        <f>VLOOKUP($A40,K0kommunestruktur2019!$A$4:$N$425,K0kommunestruktur2020!D$3,FALSE)</f>
        <v>176985</v>
      </c>
      <c r="E40" s="289">
        <f>VLOOKUP($A40,K0kommunestruktur2019!$A$4:$N$425,K0kommunestruktur2020!E$3,FALSE)</f>
        <v>7924</v>
      </c>
      <c r="F40" s="177">
        <f>VLOOKUP($A40,K0kommunestruktur2019!$A$4:$N$425,K0kommunestruktur2020!F$3,FALSE)</f>
        <v>191013</v>
      </c>
      <c r="G40" s="289">
        <f>VLOOKUP($A40,K0kommunestruktur2019!$A$4:$N$425,K0kommunestruktur2020!G$3,FALSE)</f>
        <v>8094</v>
      </c>
      <c r="H40" s="177">
        <f>VLOOKUP($A40,K0kommunestruktur2019!$A$4:$N$425,K0kommunestruktur2020!H$3,FALSE)</f>
        <v>202891</v>
      </c>
      <c r="I40" s="289">
        <f>VLOOKUP($A40,K0kommunestruktur2019!$A$4:$N$425,K0kommunestruktur2020!I$3,FALSE)</f>
        <v>8176</v>
      </c>
      <c r="J40" s="177">
        <f>VLOOKUP($A40,K0kommunestruktur2019!$A$4:$N$425,K0kommunestruktur2020!J$3,FALSE)</f>
        <v>211132</v>
      </c>
      <c r="K40" s="289">
        <f>VLOOKUP($A40,K0kommunestruktur2019!$A$4:$N$425,K0kommunestruktur2020!K$3,FALSE)</f>
        <v>8292</v>
      </c>
      <c r="L40" s="177">
        <f>VLOOKUP($A40,K0kommunestruktur2019!$A$4:$N$425,K0kommunestruktur2020!L$3,FALSE)</f>
        <v>225895</v>
      </c>
      <c r="M40" s="289">
        <f>VLOOKUP($A40,K0kommunestruktur2019!$A$4:$N$425,K0kommunestruktur2020!M$3,FALSE)</f>
        <v>8398</v>
      </c>
      <c r="N40" s="177">
        <f>VLOOKUP($A40,K0kommunestruktur2019!$A$4:$N$425,K0kommunestruktur2020!N$3,FALSE)</f>
        <v>241624</v>
      </c>
      <c r="O40" s="289">
        <f>VLOOKUP(A40,'K20'!$A$4:$BV$359,3)</f>
        <v>8462</v>
      </c>
      <c r="P40" s="289">
        <f>VLOOKUP(A40,'K20'!$A$4:$BV$359,26)</f>
        <v>242967</v>
      </c>
      <c r="R40" s="517"/>
      <c r="S40" s="517"/>
      <c r="T40" s="517"/>
    </row>
    <row r="41" spans="1:20" ht="13">
      <c r="A41" s="865">
        <v>1535</v>
      </c>
      <c r="B41" s="866" t="s">
        <v>101</v>
      </c>
      <c r="C41" s="289">
        <f>VLOOKUP($A41,K0kommunestruktur2019!$A$4:$N$425,K0kommunestruktur2020!C$3,FALSE)</f>
        <v>6615</v>
      </c>
      <c r="D41" s="177">
        <f>VLOOKUP($A41,K0kommunestruktur2019!$A$4:$N$425,K0kommunestruktur2020!D$3,FALSE)</f>
        <v>148221</v>
      </c>
      <c r="E41" s="289">
        <f>VLOOKUP($A41,K0kommunestruktur2019!$A$4:$N$425,K0kommunestruktur2020!E$3,FALSE)</f>
        <v>6708</v>
      </c>
      <c r="F41" s="177">
        <f>VLOOKUP($A41,K0kommunestruktur2019!$A$4:$N$425,K0kommunestruktur2020!F$3,FALSE)</f>
        <v>156759</v>
      </c>
      <c r="G41" s="289">
        <f>VLOOKUP($A41,K0kommunestruktur2019!$A$4:$N$425,K0kommunestruktur2020!G$3,FALSE)</f>
        <v>6611</v>
      </c>
      <c r="H41" s="177">
        <f>VLOOKUP($A41,K0kommunestruktur2019!$A$4:$N$425,K0kommunestruktur2020!H$3,FALSE)</f>
        <v>156952</v>
      </c>
      <c r="I41" s="289">
        <f>VLOOKUP($A41,K0kommunestruktur2019!$A$4:$N$425,K0kommunestruktur2020!I$3,FALSE)</f>
        <v>6577</v>
      </c>
      <c r="J41" s="177">
        <f>VLOOKUP($A41,K0kommunestruktur2019!$A$4:$N$425,K0kommunestruktur2020!J$3,FALSE)</f>
        <v>160490</v>
      </c>
      <c r="K41" s="289">
        <f>VLOOKUP($A41,K0kommunestruktur2019!$A$4:$N$425,K0kommunestruktur2020!K$3,FALSE)</f>
        <v>6559</v>
      </c>
      <c r="L41" s="177">
        <f>VLOOKUP($A41,K0kommunestruktur2019!$A$4:$N$425,K0kommunestruktur2020!L$3,FALSE)</f>
        <v>176646</v>
      </c>
      <c r="M41" s="289">
        <f>VLOOKUP($A41,K0kommunestruktur2019!$A$4:$N$425,K0kommunestruktur2020!M$3,FALSE)</f>
        <v>6536</v>
      </c>
      <c r="N41" s="177">
        <f>VLOOKUP($A41,K0kommunestruktur2019!$A$4:$N$425,K0kommunestruktur2020!N$3,FALSE)</f>
        <v>194195</v>
      </c>
      <c r="O41" s="289">
        <f>VLOOKUP(A41,'K20'!$A$4:$BV$359,3)</f>
        <v>6532</v>
      </c>
      <c r="P41" s="289">
        <f>VLOOKUP(A41,'K20'!$A$4:$BV$359,26)</f>
        <v>188024</v>
      </c>
      <c r="R41" s="517"/>
      <c r="S41" s="517"/>
      <c r="T41" s="517"/>
    </row>
    <row r="42" spans="1:20" ht="13">
      <c r="A42" s="865">
        <v>1539</v>
      </c>
      <c r="B42" s="866" t="s">
        <v>102</v>
      </c>
      <c r="C42" s="289">
        <f>VLOOKUP($A42,K0kommunestruktur2019!$A$4:$N$425,K0kommunestruktur2020!C$3,FALSE)</f>
        <v>7453</v>
      </c>
      <c r="D42" s="177">
        <f>VLOOKUP($A42,K0kommunestruktur2019!$A$4:$N$425,K0kommunestruktur2020!D$3,FALSE)</f>
        <v>173016</v>
      </c>
      <c r="E42" s="289">
        <f>VLOOKUP($A42,K0kommunestruktur2019!$A$4:$N$425,K0kommunestruktur2020!E$3,FALSE)</f>
        <v>7445</v>
      </c>
      <c r="F42" s="177">
        <f>VLOOKUP($A42,K0kommunestruktur2019!$A$4:$N$425,K0kommunestruktur2020!F$3,FALSE)</f>
        <v>177886</v>
      </c>
      <c r="G42" s="289">
        <f>VLOOKUP($A42,K0kommunestruktur2019!$A$4:$N$425,K0kommunestruktur2020!G$3,FALSE)</f>
        <v>7492</v>
      </c>
      <c r="H42" s="177">
        <f>VLOOKUP($A42,K0kommunestruktur2019!$A$4:$N$425,K0kommunestruktur2020!H$3,FALSE)</f>
        <v>183416</v>
      </c>
      <c r="I42" s="289">
        <f>VLOOKUP($A42,K0kommunestruktur2019!$A$4:$N$425,K0kommunestruktur2020!I$3,FALSE)</f>
        <v>7503</v>
      </c>
      <c r="J42" s="177">
        <f>VLOOKUP($A42,K0kommunestruktur2019!$A$4:$N$425,K0kommunestruktur2020!J$3,FALSE)</f>
        <v>192778</v>
      </c>
      <c r="K42" s="289">
        <f>VLOOKUP($A42,K0kommunestruktur2019!$A$4:$N$425,K0kommunestruktur2020!K$3,FALSE)</f>
        <v>7507</v>
      </c>
      <c r="L42" s="177">
        <f>VLOOKUP($A42,K0kommunestruktur2019!$A$4:$N$425,K0kommunestruktur2020!L$3,FALSE)</f>
        <v>207857</v>
      </c>
      <c r="M42" s="289">
        <f>VLOOKUP($A42,K0kommunestruktur2019!$A$4:$N$425,K0kommunestruktur2020!M$3,FALSE)</f>
        <v>7487</v>
      </c>
      <c r="N42" s="177">
        <f>VLOOKUP($A42,K0kommunestruktur2019!$A$4:$N$425,K0kommunestruktur2020!N$3,FALSE)</f>
        <v>214556</v>
      </c>
      <c r="O42" s="289">
        <f>VLOOKUP(A42,'K20'!$A$4:$BV$359,3)</f>
        <v>7468</v>
      </c>
      <c r="P42" s="289">
        <f>VLOOKUP(A42,'K20'!$A$4:$BV$359,26)</f>
        <v>205259</v>
      </c>
      <c r="R42" s="517"/>
      <c r="S42" s="517"/>
      <c r="T42" s="517"/>
    </row>
    <row r="43" spans="1:20" ht="13">
      <c r="A43" s="889">
        <v>1547</v>
      </c>
      <c r="B43" s="890" t="s">
        <v>106</v>
      </c>
      <c r="C43" s="289">
        <f t="shared" ref="C43:N43" si="7">+C$399+C$400</f>
        <v>3388.45069229</v>
      </c>
      <c r="D43" s="177">
        <f t="shared" si="7"/>
        <v>84510.589149578096</v>
      </c>
      <c r="E43" s="289">
        <f t="shared" si="7"/>
        <v>3477.7524724499999</v>
      </c>
      <c r="F43" s="177">
        <f t="shared" si="7"/>
        <v>91865.443628147652</v>
      </c>
      <c r="G43" s="289">
        <f t="shared" si="7"/>
        <v>3529.9287934399999</v>
      </c>
      <c r="H43" s="177">
        <f t="shared" si="7"/>
        <v>97605.842328217579</v>
      </c>
      <c r="I43" s="289">
        <f t="shared" si="7"/>
        <v>3559.0271263099999</v>
      </c>
      <c r="J43" s="177">
        <f t="shared" si="7"/>
        <v>102763.27098059344</v>
      </c>
      <c r="K43" s="289">
        <f t="shared" si="7"/>
        <v>3569.0610341900001</v>
      </c>
      <c r="L43" s="177">
        <f t="shared" si="7"/>
        <v>97395.130262773833</v>
      </c>
      <c r="M43" s="289">
        <f t="shared" si="7"/>
        <v>3551</v>
      </c>
      <c r="N43" s="177">
        <f t="shared" si="7"/>
        <v>106749.74258265046</v>
      </c>
      <c r="O43" s="289">
        <f>VLOOKUP(A43,'K20'!$A$4:$BV$359,3)</f>
        <v>3509</v>
      </c>
      <c r="P43" s="289">
        <f>VLOOKUP(A43,'K20'!$A$4:$BV$359,26)</f>
        <v>99585</v>
      </c>
      <c r="R43" s="517"/>
      <c r="S43" s="517"/>
      <c r="T43" s="517"/>
    </row>
    <row r="44" spans="1:20" ht="13">
      <c r="A44" s="865">
        <v>1554</v>
      </c>
      <c r="B44" s="866" t="s">
        <v>109</v>
      </c>
      <c r="C44" s="289">
        <f>VLOOKUP($A44,K0kommunestruktur2019!$A$4:$N$425,K0kommunestruktur2020!C$3,FALSE)</f>
        <v>5687</v>
      </c>
      <c r="D44" s="177">
        <f>VLOOKUP($A44,K0kommunestruktur2019!$A$4:$N$425,K0kommunestruktur2020!D$3,FALSE)</f>
        <v>125329</v>
      </c>
      <c r="E44" s="289">
        <f>VLOOKUP($A44,K0kommunestruktur2019!$A$4:$N$425,K0kommunestruktur2020!E$3,FALSE)</f>
        <v>5794</v>
      </c>
      <c r="F44" s="177">
        <f>VLOOKUP($A44,K0kommunestruktur2019!$A$4:$N$425,K0kommunestruktur2020!F$3,FALSE)</f>
        <v>136191</v>
      </c>
      <c r="G44" s="289">
        <f>VLOOKUP($A44,K0kommunestruktur2019!$A$4:$N$425,K0kommunestruktur2020!G$3,FALSE)</f>
        <v>5826</v>
      </c>
      <c r="H44" s="177">
        <f>VLOOKUP($A44,K0kommunestruktur2019!$A$4:$N$425,K0kommunestruktur2020!H$3,FALSE)</f>
        <v>146606</v>
      </c>
      <c r="I44" s="289">
        <f>VLOOKUP($A44,K0kommunestruktur2019!$A$4:$N$425,K0kommunestruktur2020!I$3,FALSE)</f>
        <v>5856</v>
      </c>
      <c r="J44" s="177">
        <f>VLOOKUP($A44,K0kommunestruktur2019!$A$4:$N$425,K0kommunestruktur2020!J$3,FALSE)</f>
        <v>150786</v>
      </c>
      <c r="K44" s="289">
        <f>VLOOKUP($A44,K0kommunestruktur2019!$A$4:$N$425,K0kommunestruktur2020!K$3,FALSE)</f>
        <v>5859</v>
      </c>
      <c r="L44" s="177">
        <f>VLOOKUP($A44,K0kommunestruktur2019!$A$4:$N$425,K0kommunestruktur2020!L$3,FALSE)</f>
        <v>153466</v>
      </c>
      <c r="M44" s="289">
        <f>VLOOKUP($A44,K0kommunestruktur2019!$A$4:$N$425,K0kommunestruktur2020!M$3,FALSE)</f>
        <v>5849</v>
      </c>
      <c r="N44" s="177">
        <f>VLOOKUP($A44,K0kommunestruktur2019!$A$4:$N$425,K0kommunestruktur2020!N$3,FALSE)</f>
        <v>163113</v>
      </c>
      <c r="O44" s="289">
        <f>VLOOKUP(A44,'K20'!$A$4:$BV$359,3)</f>
        <v>5788</v>
      </c>
      <c r="P44" s="289">
        <f>VLOOKUP(A44,'K20'!$A$4:$BV$359,26)</f>
        <v>163759</v>
      </c>
      <c r="R44" s="517"/>
      <c r="S44" s="517"/>
      <c r="T44" s="517"/>
    </row>
    <row r="45" spans="1:20" ht="13">
      <c r="A45" s="865">
        <v>1557</v>
      </c>
      <c r="B45" s="866" t="s">
        <v>110</v>
      </c>
      <c r="C45" s="289">
        <f>VLOOKUP($A45,K0kommunestruktur2019!$A$4:$N$425,K0kommunestruktur2020!C$3,FALSE)</f>
        <v>2565</v>
      </c>
      <c r="D45" s="177">
        <f>VLOOKUP($A45,K0kommunestruktur2019!$A$4:$N$425,K0kommunestruktur2020!D$3,FALSE)</f>
        <v>54164</v>
      </c>
      <c r="E45" s="289">
        <f>VLOOKUP($A45,K0kommunestruktur2019!$A$4:$N$425,K0kommunestruktur2020!E$3,FALSE)</f>
        <v>2580</v>
      </c>
      <c r="F45" s="177">
        <f>VLOOKUP($A45,K0kommunestruktur2019!$A$4:$N$425,K0kommunestruktur2020!F$3,FALSE)</f>
        <v>59425</v>
      </c>
      <c r="G45" s="289">
        <f>VLOOKUP($A45,K0kommunestruktur2019!$A$4:$N$425,K0kommunestruktur2020!G$3,FALSE)</f>
        <v>2593</v>
      </c>
      <c r="H45" s="177">
        <f>VLOOKUP($A45,K0kommunestruktur2019!$A$4:$N$425,K0kommunestruktur2020!H$3,FALSE)</f>
        <v>59460</v>
      </c>
      <c r="I45" s="289">
        <f>VLOOKUP($A45,K0kommunestruktur2019!$A$4:$N$425,K0kommunestruktur2020!I$3,FALSE)</f>
        <v>2611</v>
      </c>
      <c r="J45" s="177">
        <f>VLOOKUP($A45,K0kommunestruktur2019!$A$4:$N$425,K0kommunestruktur2020!J$3,FALSE)</f>
        <v>60402</v>
      </c>
      <c r="K45" s="289">
        <f>VLOOKUP($A45,K0kommunestruktur2019!$A$4:$N$425,K0kommunestruktur2020!K$3,FALSE)</f>
        <v>2623</v>
      </c>
      <c r="L45" s="177">
        <f>VLOOKUP($A45,K0kommunestruktur2019!$A$4:$N$425,K0kommunestruktur2020!L$3,FALSE)</f>
        <v>63780</v>
      </c>
      <c r="M45" s="289">
        <f>VLOOKUP($A45,K0kommunestruktur2019!$A$4:$N$425,K0kommunestruktur2020!M$3,FALSE)</f>
        <v>2641</v>
      </c>
      <c r="N45" s="177">
        <f>VLOOKUP($A45,K0kommunestruktur2019!$A$4:$N$425,K0kommunestruktur2020!N$3,FALSE)</f>
        <v>65161</v>
      </c>
      <c r="O45" s="289">
        <f>VLOOKUP(A45,'K20'!$A$4:$BV$359,3)</f>
        <v>2629</v>
      </c>
      <c r="P45" s="289">
        <f>VLOOKUP(A45,'K20'!$A$4:$BV$359,26)</f>
        <v>63050</v>
      </c>
      <c r="R45" s="517"/>
      <c r="S45" s="517"/>
      <c r="T45" s="517"/>
    </row>
    <row r="46" spans="1:20" ht="13">
      <c r="A46" s="865">
        <v>1560</v>
      </c>
      <c r="B46" s="866" t="s">
        <v>111</v>
      </c>
      <c r="C46" s="289">
        <f>VLOOKUP($A46,K0kommunestruktur2019!$A$4:$N$425,K0kommunestruktur2020!C$3,FALSE)</f>
        <v>3064</v>
      </c>
      <c r="D46" s="177">
        <f>VLOOKUP($A46,K0kommunestruktur2019!$A$4:$N$425,K0kommunestruktur2020!D$3,FALSE)</f>
        <v>56739</v>
      </c>
      <c r="E46" s="289">
        <f>VLOOKUP($A46,K0kommunestruktur2019!$A$4:$N$425,K0kommunestruktur2020!E$3,FALSE)</f>
        <v>3090</v>
      </c>
      <c r="F46" s="177">
        <f>VLOOKUP($A46,K0kommunestruktur2019!$A$4:$N$425,K0kommunestruktur2020!F$3,FALSE)</f>
        <v>60801</v>
      </c>
      <c r="G46" s="289">
        <f>VLOOKUP($A46,K0kommunestruktur2019!$A$4:$N$425,K0kommunestruktur2020!G$3,FALSE)</f>
        <v>3103</v>
      </c>
      <c r="H46" s="177">
        <f>VLOOKUP($A46,K0kommunestruktur2019!$A$4:$N$425,K0kommunestruktur2020!H$3,FALSE)</f>
        <v>68044</v>
      </c>
      <c r="I46" s="289">
        <f>VLOOKUP($A46,K0kommunestruktur2019!$A$4:$N$425,K0kommunestruktur2020!I$3,FALSE)</f>
        <v>3109</v>
      </c>
      <c r="J46" s="177">
        <f>VLOOKUP($A46,K0kommunestruktur2019!$A$4:$N$425,K0kommunestruktur2020!J$3,FALSE)</f>
        <v>68507</v>
      </c>
      <c r="K46" s="289">
        <f>VLOOKUP($A46,K0kommunestruktur2019!$A$4:$N$425,K0kommunestruktur2020!K$3,FALSE)</f>
        <v>3078</v>
      </c>
      <c r="L46" s="177">
        <f>VLOOKUP($A46,K0kommunestruktur2019!$A$4:$N$425,K0kommunestruktur2020!L$3,FALSE)</f>
        <v>70887</v>
      </c>
      <c r="M46" s="289">
        <f>VLOOKUP($A46,K0kommunestruktur2019!$A$4:$N$425,K0kommunestruktur2020!M$3,FALSE)</f>
        <v>3045</v>
      </c>
      <c r="N46" s="177">
        <f>VLOOKUP($A46,K0kommunestruktur2019!$A$4:$N$425,K0kommunestruktur2020!N$3,FALSE)</f>
        <v>75985</v>
      </c>
      <c r="O46" s="289">
        <f>VLOOKUP(A46,'K20'!$A$4:$BV$359,3)</f>
        <v>3025</v>
      </c>
      <c r="P46" s="289">
        <f>VLOOKUP(A46,'K20'!$A$4:$BV$359,26)</f>
        <v>75472</v>
      </c>
      <c r="R46" s="517"/>
      <c r="S46" s="517"/>
      <c r="T46" s="517"/>
    </row>
    <row r="47" spans="1:20" ht="13">
      <c r="A47" s="865">
        <v>1563</v>
      </c>
      <c r="B47" s="866" t="s">
        <v>112</v>
      </c>
      <c r="C47" s="289">
        <f>VLOOKUP($A47,K0kommunestruktur2019!$A$4:$N$425,K0kommunestruktur2020!C$3,FALSE)</f>
        <v>7171</v>
      </c>
      <c r="D47" s="177">
        <f>VLOOKUP($A47,K0kommunestruktur2019!$A$4:$N$425,K0kommunestruktur2020!D$3,FALSE)</f>
        <v>169264</v>
      </c>
      <c r="E47" s="289">
        <f>VLOOKUP($A47,K0kommunestruktur2019!$A$4:$N$425,K0kommunestruktur2020!E$3,FALSE)</f>
        <v>7155</v>
      </c>
      <c r="F47" s="177">
        <f>VLOOKUP($A47,K0kommunestruktur2019!$A$4:$N$425,K0kommunestruktur2020!F$3,FALSE)</f>
        <v>178481</v>
      </c>
      <c r="G47" s="289">
        <f>VLOOKUP($A47,K0kommunestruktur2019!$A$4:$N$425,K0kommunestruktur2020!G$3,FALSE)</f>
        <v>7160</v>
      </c>
      <c r="H47" s="177">
        <f>VLOOKUP($A47,K0kommunestruktur2019!$A$4:$N$425,K0kommunestruktur2020!H$3,FALSE)</f>
        <v>189734</v>
      </c>
      <c r="I47" s="289">
        <f>VLOOKUP($A47,K0kommunestruktur2019!$A$4:$N$425,K0kommunestruktur2020!I$3,FALSE)</f>
        <v>7126</v>
      </c>
      <c r="J47" s="177">
        <f>VLOOKUP($A47,K0kommunestruktur2019!$A$4:$N$425,K0kommunestruktur2020!J$3,FALSE)</f>
        <v>195106</v>
      </c>
      <c r="K47" s="289">
        <f>VLOOKUP($A47,K0kommunestruktur2019!$A$4:$N$425,K0kommunestruktur2020!K$3,FALSE)</f>
        <v>7119</v>
      </c>
      <c r="L47" s="177">
        <f>VLOOKUP($A47,K0kommunestruktur2019!$A$4:$N$425,K0kommunestruktur2020!L$3,FALSE)</f>
        <v>203672</v>
      </c>
      <c r="M47" s="289">
        <f>VLOOKUP($A47,K0kommunestruktur2019!$A$4:$N$425,K0kommunestruktur2020!M$3,FALSE)</f>
        <v>7106</v>
      </c>
      <c r="N47" s="177">
        <f>VLOOKUP($A47,K0kommunestruktur2019!$A$4:$N$425,K0kommunestruktur2020!N$3,FALSE)</f>
        <v>207823</v>
      </c>
      <c r="O47" s="289">
        <f>VLOOKUP(A47,'K20'!$A$4:$BV$359,3)</f>
        <v>7036</v>
      </c>
      <c r="P47" s="289">
        <f>VLOOKUP(A47,'K20'!$A$4:$BV$359,26)</f>
        <v>204475</v>
      </c>
      <c r="R47" s="517"/>
      <c r="S47" s="517"/>
      <c r="T47" s="517"/>
    </row>
    <row r="48" spans="1:20" ht="13">
      <c r="A48" s="865">
        <v>1566</v>
      </c>
      <c r="B48" s="866" t="s">
        <v>113</v>
      </c>
      <c r="C48" s="289">
        <f>VLOOKUP($A48,K0kommunestruktur2019!$A$4:$N$425,K0kommunestruktur2020!C$3,FALSE)</f>
        <v>5954</v>
      </c>
      <c r="D48" s="177">
        <f>VLOOKUP($A48,K0kommunestruktur2019!$A$4:$N$425,K0kommunestruktur2020!D$3,FALSE)</f>
        <v>120188</v>
      </c>
      <c r="E48" s="289">
        <f>VLOOKUP($A48,K0kommunestruktur2019!$A$4:$N$425,K0kommunestruktur2020!E$3,FALSE)</f>
        <v>5976</v>
      </c>
      <c r="F48" s="177">
        <f>VLOOKUP($A48,K0kommunestruktur2019!$A$4:$N$425,K0kommunestruktur2020!F$3,FALSE)</f>
        <v>122573</v>
      </c>
      <c r="G48" s="289">
        <f>VLOOKUP($A48,K0kommunestruktur2019!$A$4:$N$425,K0kommunestruktur2020!G$3,FALSE)</f>
        <v>5969</v>
      </c>
      <c r="H48" s="177">
        <f>VLOOKUP($A48,K0kommunestruktur2019!$A$4:$N$425,K0kommunestruktur2020!H$3,FALSE)</f>
        <v>132821</v>
      </c>
      <c r="I48" s="289">
        <f>VLOOKUP($A48,K0kommunestruktur2019!$A$4:$N$425,K0kommunestruktur2020!I$3,FALSE)</f>
        <v>5986</v>
      </c>
      <c r="J48" s="177">
        <f>VLOOKUP($A48,K0kommunestruktur2019!$A$4:$N$425,K0kommunestruktur2020!J$3,FALSE)</f>
        <v>140387</v>
      </c>
      <c r="K48" s="289">
        <f>VLOOKUP($A48,K0kommunestruktur2019!$A$4:$N$425,K0kommunestruktur2020!K$3,FALSE)</f>
        <v>5978</v>
      </c>
      <c r="L48" s="177">
        <f>VLOOKUP($A48,K0kommunestruktur2019!$A$4:$N$425,K0kommunestruktur2020!L$3,FALSE)</f>
        <v>157123</v>
      </c>
      <c r="M48" s="289">
        <f>VLOOKUP($A48,K0kommunestruktur2019!$A$4:$N$425,K0kommunestruktur2020!M$3,FALSE)</f>
        <v>5928</v>
      </c>
      <c r="N48" s="177">
        <f>VLOOKUP($A48,K0kommunestruktur2019!$A$4:$N$425,K0kommunestruktur2020!N$3,FALSE)</f>
        <v>151417</v>
      </c>
      <c r="O48" s="289">
        <f>VLOOKUP(A48,'K20'!$A$4:$BV$359,3)</f>
        <v>5920</v>
      </c>
      <c r="P48" s="289">
        <f>VLOOKUP(A48,'K20'!$A$4:$BV$359,26)</f>
        <v>139829</v>
      </c>
      <c r="R48" s="517"/>
      <c r="S48" s="517"/>
      <c r="T48" s="517"/>
    </row>
    <row r="49" spans="1:20" ht="13">
      <c r="A49" s="865">
        <v>1573</v>
      </c>
      <c r="B49" s="866" t="s">
        <v>116</v>
      </c>
      <c r="C49" s="289">
        <f>VLOOKUP($A49,K0kommunestruktur2019!$A$4:$N$425,K0kommunestruktur2020!C$3,FALSE)</f>
        <v>2166</v>
      </c>
      <c r="D49" s="177">
        <f>VLOOKUP($A49,K0kommunestruktur2019!$A$4:$N$425,K0kommunestruktur2020!D$3,FALSE)</f>
        <v>42888</v>
      </c>
      <c r="E49" s="289">
        <f>VLOOKUP($A49,K0kommunestruktur2019!$A$4:$N$425,K0kommunestruktur2020!E$3,FALSE)</f>
        <v>2146</v>
      </c>
      <c r="F49" s="177">
        <f>VLOOKUP($A49,K0kommunestruktur2019!$A$4:$N$425,K0kommunestruktur2020!F$3,FALSE)</f>
        <v>44088</v>
      </c>
      <c r="G49" s="289">
        <f>VLOOKUP($A49,K0kommunestruktur2019!$A$4:$N$425,K0kommunestruktur2020!G$3,FALSE)</f>
        <v>2141</v>
      </c>
      <c r="H49" s="177">
        <f>VLOOKUP($A49,K0kommunestruktur2019!$A$4:$N$425,K0kommunestruktur2020!H$3,FALSE)</f>
        <v>49763</v>
      </c>
      <c r="I49" s="289">
        <f>VLOOKUP($A49,K0kommunestruktur2019!$A$4:$N$425,K0kommunestruktur2020!I$3,FALSE)</f>
        <v>2160</v>
      </c>
      <c r="J49" s="177">
        <f>VLOOKUP($A49,K0kommunestruktur2019!$A$4:$N$425,K0kommunestruktur2020!J$3,FALSE)</f>
        <v>54812</v>
      </c>
      <c r="K49" s="289">
        <f>VLOOKUP($A49,K0kommunestruktur2019!$A$4:$N$425,K0kommunestruktur2020!K$3,FALSE)</f>
        <v>2172</v>
      </c>
      <c r="L49" s="177">
        <f>VLOOKUP($A49,K0kommunestruktur2019!$A$4:$N$425,K0kommunestruktur2020!L$3,FALSE)</f>
        <v>54874</v>
      </c>
      <c r="M49" s="289">
        <f>VLOOKUP($A49,K0kommunestruktur2019!$A$4:$N$425,K0kommunestruktur2020!M$3,FALSE)</f>
        <v>2134</v>
      </c>
      <c r="N49" s="177">
        <f>VLOOKUP($A49,K0kommunestruktur2019!$A$4:$N$425,K0kommunestruktur2020!N$3,FALSE)</f>
        <v>56072</v>
      </c>
      <c r="O49" s="289">
        <f>VLOOKUP(A49,'K20'!$A$4:$BV$359,3)</f>
        <v>2150</v>
      </c>
      <c r="P49" s="289">
        <f>VLOOKUP(A49,'K20'!$A$4:$BV$359,26)</f>
        <v>57258</v>
      </c>
      <c r="R49" s="517"/>
      <c r="S49" s="517"/>
      <c r="T49" s="517"/>
    </row>
    <row r="50" spans="1:20" ht="13">
      <c r="A50" s="865">
        <v>1576</v>
      </c>
      <c r="B50" s="866" t="s">
        <v>1498</v>
      </c>
      <c r="C50" s="289">
        <f>VLOOKUP($A50,K0kommunestruktur2019!$A$4:$N$425,K0kommunestruktur2020!C$3,FALSE)</f>
        <v>3577</v>
      </c>
      <c r="D50" s="177">
        <f>VLOOKUP($A50,K0kommunestruktur2019!$A$4:$N$425,K0kommunestruktur2020!D$3,FALSE)</f>
        <v>72755</v>
      </c>
      <c r="E50" s="289">
        <f>VLOOKUP($A50,K0kommunestruktur2019!$A$4:$N$425,K0kommunestruktur2020!E$3,FALSE)</f>
        <v>3549</v>
      </c>
      <c r="F50" s="177">
        <f>VLOOKUP($A50,K0kommunestruktur2019!$A$4:$N$425,K0kommunestruktur2020!F$3,FALSE)</f>
        <v>76165</v>
      </c>
      <c r="G50" s="289">
        <f>VLOOKUP($A50,K0kommunestruktur2019!$A$4:$N$425,K0kommunestruktur2020!G$3,FALSE)</f>
        <v>3536</v>
      </c>
      <c r="H50" s="177">
        <f>VLOOKUP($A50,K0kommunestruktur2019!$A$4:$N$425,K0kommunestruktur2020!H$3,FALSE)</f>
        <v>85813</v>
      </c>
      <c r="I50" s="289">
        <f>VLOOKUP($A50,K0kommunestruktur2019!$A$4:$N$425,K0kommunestruktur2020!I$3,FALSE)</f>
        <v>3590</v>
      </c>
      <c r="J50" s="177">
        <f>VLOOKUP($A50,K0kommunestruktur2019!$A$4:$N$425,K0kommunestruktur2020!J$3,FALSE)</f>
        <v>89415</v>
      </c>
      <c r="K50" s="289">
        <f>VLOOKUP($A50,K0kommunestruktur2019!$A$4:$N$425,K0kommunestruktur2020!K$3,FALSE)</f>
        <v>3593</v>
      </c>
      <c r="L50" s="177">
        <f>VLOOKUP($A50,K0kommunestruktur2019!$A$4:$N$425,K0kommunestruktur2020!L$3,FALSE)</f>
        <v>90980</v>
      </c>
      <c r="M50" s="289">
        <f>VLOOKUP($A50,K0kommunestruktur2019!$A$4:$N$425,K0kommunestruktur2020!M$3,FALSE)</f>
        <v>3553</v>
      </c>
      <c r="N50" s="177">
        <f>VLOOKUP($A50,K0kommunestruktur2019!$A$4:$N$425,K0kommunestruktur2020!N$3,FALSE)</f>
        <v>94244</v>
      </c>
      <c r="O50" s="289">
        <f>VLOOKUP(A50,'K20'!$A$4:$BV$359,3)</f>
        <v>3507</v>
      </c>
      <c r="P50" s="289">
        <f>VLOOKUP(A50,'K20'!$A$4:$BV$359,26)</f>
        <v>95166</v>
      </c>
      <c r="R50" s="517"/>
      <c r="S50" s="517"/>
      <c r="T50" s="517"/>
    </row>
    <row r="51" spans="1:20" ht="13">
      <c r="A51" s="878">
        <v>1577</v>
      </c>
      <c r="B51" s="883" t="s">
        <v>1613</v>
      </c>
      <c r="C51" s="289">
        <f t="shared" ref="C51:N51" si="8">+C$402+C$403+C$404</f>
        <v>10234.798338000001</v>
      </c>
      <c r="D51" s="177">
        <f t="shared" si="8"/>
        <v>208126.42226294591</v>
      </c>
      <c r="E51" s="289">
        <f t="shared" si="8"/>
        <v>10301.46796792</v>
      </c>
      <c r="F51" s="177">
        <f t="shared" si="8"/>
        <v>218876.39501401939</v>
      </c>
      <c r="G51" s="289">
        <f t="shared" si="8"/>
        <v>10340.86365832</v>
      </c>
      <c r="H51" s="177">
        <f t="shared" si="8"/>
        <v>233235.61909353128</v>
      </c>
      <c r="I51" s="289">
        <f t="shared" si="8"/>
        <v>10404.502850520001</v>
      </c>
      <c r="J51" s="177">
        <f t="shared" si="8"/>
        <v>236512.53241866032</v>
      </c>
      <c r="K51" s="289">
        <f t="shared" si="8"/>
        <v>10468.14204271</v>
      </c>
      <c r="L51" s="177">
        <f t="shared" si="8"/>
        <v>251795.02985797075</v>
      </c>
      <c r="M51" s="289">
        <f t="shared" si="8"/>
        <v>10454</v>
      </c>
      <c r="N51" s="177">
        <f t="shared" si="8"/>
        <v>258006.41704512513</v>
      </c>
      <c r="O51" s="289">
        <f>VLOOKUP(A51,'K20'!$A$4:$BV$359,3)</f>
        <v>10473</v>
      </c>
      <c r="P51" s="289">
        <f>VLOOKUP(A51,'K20'!$A$4:$BV$359,26)</f>
        <v>252064</v>
      </c>
      <c r="R51" s="517"/>
      <c r="S51" s="517"/>
      <c r="T51" s="517"/>
    </row>
    <row r="52" spans="1:20" ht="13">
      <c r="A52" s="878">
        <v>1578</v>
      </c>
      <c r="B52" s="883" t="s">
        <v>1614</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VLOOKUP(A52,'K20'!$A$4:$BV$359,3)</f>
        <v>2549</v>
      </c>
      <c r="P52" s="289">
        <f>VLOOKUP(A52,'K20'!$A$4:$BV$359,26)</f>
        <v>68641</v>
      </c>
      <c r="R52" s="517"/>
      <c r="S52" s="517"/>
      <c r="T52" s="517"/>
    </row>
    <row r="53" spans="1:20" ht="13">
      <c r="A53" s="878">
        <v>1579</v>
      </c>
      <c r="B53" s="883" t="s">
        <v>1615</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VLOOKUP(A53,'K20'!$A$4:$BV$359,3)</f>
        <v>13279</v>
      </c>
      <c r="P53" s="289">
        <f>VLOOKUP(A53,'K20'!$A$4:$BV$359,26)</f>
        <v>340418</v>
      </c>
      <c r="R53" s="517"/>
      <c r="S53" s="517"/>
      <c r="T53" s="517"/>
    </row>
    <row r="54" spans="1:20" ht="13">
      <c r="A54" s="865">
        <v>1804</v>
      </c>
      <c r="B54" s="866" t="s">
        <v>174</v>
      </c>
      <c r="C54" s="289">
        <f>VLOOKUP($A54,K0kommunestruktur2019!$A$4:$N$425,K0kommunestruktur2020!C$3,FALSE)</f>
        <v>49731</v>
      </c>
      <c r="D54" s="177">
        <f>VLOOKUP($A54,K0kommunestruktur2019!$A$4:$N$425,K0kommunestruktur2020!D$3,FALSE)</f>
        <v>1162903</v>
      </c>
      <c r="E54" s="289">
        <f>VLOOKUP($A54,K0kommunestruktur2019!$A$4:$N$425,K0kommunestruktur2020!E$3,FALSE)</f>
        <v>50185</v>
      </c>
      <c r="F54" s="177">
        <f>VLOOKUP($A54,K0kommunestruktur2019!$A$4:$N$425,K0kommunestruktur2020!F$3,FALSE)</f>
        <v>1244567</v>
      </c>
      <c r="G54" s="289">
        <f>VLOOKUP($A54,K0kommunestruktur2019!$A$4:$N$425,K0kommunestruktur2020!G$3,FALSE)</f>
        <v>50488</v>
      </c>
      <c r="H54" s="177">
        <f>VLOOKUP($A54,K0kommunestruktur2019!$A$4:$N$425,K0kommunestruktur2020!H$3,FALSE)</f>
        <v>1345148</v>
      </c>
      <c r="I54" s="289">
        <f>VLOOKUP($A54,K0kommunestruktur2019!$A$4:$N$425,K0kommunestruktur2020!I$3,FALSE)</f>
        <v>51022</v>
      </c>
      <c r="J54" s="177">
        <f>VLOOKUP($A54,K0kommunestruktur2019!$A$4:$N$425,K0kommunestruktur2020!J$3,FALSE)</f>
        <v>1417947</v>
      </c>
      <c r="K54" s="289">
        <f>VLOOKUP($A54,K0kommunestruktur2019!$A$4:$N$425,K0kommunestruktur2020!K$3,FALSE)</f>
        <v>51558</v>
      </c>
      <c r="L54" s="177">
        <f>VLOOKUP($A54,K0kommunestruktur2019!$A$4:$N$425,K0kommunestruktur2020!L$3,FALSE)</f>
        <v>1519251</v>
      </c>
      <c r="M54" s="289">
        <f>VLOOKUP($A54,K0kommunestruktur2019!$A$4:$N$425,K0kommunestruktur2020!M$3,FALSE)</f>
        <v>52024</v>
      </c>
      <c r="N54" s="177">
        <f>VLOOKUP($A54,K0kommunestruktur2019!$A$4:$N$425,K0kommunestruktur2020!N$3,FALSE)</f>
        <v>1602846</v>
      </c>
      <c r="O54" s="289">
        <f>VLOOKUP(A54,'K20'!$A$4:$BV$359,3)</f>
        <v>52357</v>
      </c>
      <c r="P54" s="289">
        <f>VLOOKUP(A54,'K20'!$A$4:$BV$359,26)</f>
        <v>1589017</v>
      </c>
      <c r="R54" s="517"/>
      <c r="S54" s="517"/>
      <c r="T54" s="517"/>
    </row>
    <row r="55" spans="1:20" ht="13">
      <c r="A55" s="878">
        <v>1806</v>
      </c>
      <c r="B55" s="883" t="s">
        <v>1616</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597858.44018008653</v>
      </c>
      <c r="O55" s="289">
        <f>VLOOKUP(A55,'K20'!$A$4:$BV$359,3)</f>
        <v>21845</v>
      </c>
      <c r="P55" s="289">
        <f>VLOOKUP(A55,'K20'!$A$4:$BV$359,26)</f>
        <v>595353</v>
      </c>
      <c r="R55" s="517"/>
      <c r="S55" s="517"/>
      <c r="T55" s="517"/>
    </row>
    <row r="56" spans="1:20" ht="13">
      <c r="A56" s="865">
        <v>1811</v>
      </c>
      <c r="B56" s="866" t="s">
        <v>176</v>
      </c>
      <c r="C56" s="289">
        <f>VLOOKUP($A56,K0kommunestruktur2019!$A$4:$N$425,K0kommunestruktur2020!C$3,FALSE)</f>
        <v>1503</v>
      </c>
      <c r="D56" s="177">
        <f>VLOOKUP($A56,K0kommunestruktur2019!$A$4:$N$425,K0kommunestruktur2020!D$3,FALSE)</f>
        <v>30493</v>
      </c>
      <c r="E56" s="289">
        <f>VLOOKUP($A56,K0kommunestruktur2019!$A$4:$N$425,K0kommunestruktur2020!E$3,FALSE)</f>
        <v>1482</v>
      </c>
      <c r="F56" s="177">
        <f>VLOOKUP($A56,K0kommunestruktur2019!$A$4:$N$425,K0kommunestruktur2020!F$3,FALSE)</f>
        <v>32052</v>
      </c>
      <c r="G56" s="289">
        <f>VLOOKUP($A56,K0kommunestruktur2019!$A$4:$N$425,K0kommunestruktur2020!G$3,FALSE)</f>
        <v>1465</v>
      </c>
      <c r="H56" s="177">
        <f>VLOOKUP($A56,K0kommunestruktur2019!$A$4:$N$425,K0kommunestruktur2020!H$3,FALSE)</f>
        <v>35427</v>
      </c>
      <c r="I56" s="289">
        <f>VLOOKUP($A56,K0kommunestruktur2019!$A$4:$N$425,K0kommunestruktur2020!I$3,FALSE)</f>
        <v>1473</v>
      </c>
      <c r="J56" s="177">
        <f>VLOOKUP($A56,K0kommunestruktur2019!$A$4:$N$425,K0kommunestruktur2020!J$3,FALSE)</f>
        <v>37248</v>
      </c>
      <c r="K56" s="289">
        <f>VLOOKUP($A56,K0kommunestruktur2019!$A$4:$N$425,K0kommunestruktur2020!K$3,FALSE)</f>
        <v>1486</v>
      </c>
      <c r="L56" s="177">
        <f>VLOOKUP($A56,K0kommunestruktur2019!$A$4:$N$425,K0kommunestruktur2020!L$3,FALSE)</f>
        <v>40198</v>
      </c>
      <c r="M56" s="289">
        <f>VLOOKUP($A56,K0kommunestruktur2019!$A$4:$N$425,K0kommunestruktur2020!M$3,FALSE)</f>
        <v>1450</v>
      </c>
      <c r="N56" s="177">
        <f>VLOOKUP($A56,K0kommunestruktur2019!$A$4:$N$425,K0kommunestruktur2020!N$3,FALSE)</f>
        <v>38970</v>
      </c>
      <c r="O56" s="289">
        <f>VLOOKUP(A56,'K20'!$A$4:$BV$359,3)</f>
        <v>1426</v>
      </c>
      <c r="P56" s="289">
        <f>VLOOKUP(A56,'K20'!$A$4:$BV$359,26)</f>
        <v>38311</v>
      </c>
      <c r="R56" s="517"/>
      <c r="S56" s="517"/>
      <c r="T56" s="517"/>
    </row>
    <row r="57" spans="1:20" ht="13">
      <c r="A57" s="865">
        <v>1812</v>
      </c>
      <c r="B57" s="866" t="s">
        <v>177</v>
      </c>
      <c r="C57" s="289">
        <f>VLOOKUP($A57,K0kommunestruktur2019!$A$4:$N$425,K0kommunestruktur2020!C$3,FALSE)</f>
        <v>2047</v>
      </c>
      <c r="D57" s="177">
        <f>VLOOKUP($A57,K0kommunestruktur2019!$A$4:$N$425,K0kommunestruktur2020!D$3,FALSE)</f>
        <v>38816</v>
      </c>
      <c r="E57" s="289">
        <f>VLOOKUP($A57,K0kommunestruktur2019!$A$4:$N$425,K0kommunestruktur2020!E$3,FALSE)</f>
        <v>2063</v>
      </c>
      <c r="F57" s="177">
        <f>VLOOKUP($A57,K0kommunestruktur2019!$A$4:$N$425,K0kommunestruktur2020!F$3,FALSE)</f>
        <v>39185</v>
      </c>
      <c r="G57" s="289">
        <f>VLOOKUP($A57,K0kommunestruktur2019!$A$4:$N$425,K0kommunestruktur2020!G$3,FALSE)</f>
        <v>2031</v>
      </c>
      <c r="H57" s="177">
        <f>VLOOKUP($A57,K0kommunestruktur2019!$A$4:$N$425,K0kommunestruktur2020!H$3,FALSE)</f>
        <v>39654</v>
      </c>
      <c r="I57" s="289">
        <f>VLOOKUP($A57,K0kommunestruktur2019!$A$4:$N$425,K0kommunestruktur2020!I$3,FALSE)</f>
        <v>2047</v>
      </c>
      <c r="J57" s="177">
        <f>VLOOKUP($A57,K0kommunestruktur2019!$A$4:$N$425,K0kommunestruktur2020!J$3,FALSE)</f>
        <v>41811</v>
      </c>
      <c r="K57" s="289">
        <f>VLOOKUP($A57,K0kommunestruktur2019!$A$4:$N$425,K0kommunestruktur2020!K$3,FALSE)</f>
        <v>2020</v>
      </c>
      <c r="L57" s="177">
        <f>VLOOKUP($A57,K0kommunestruktur2019!$A$4:$N$425,K0kommunestruktur2020!L$3,FALSE)</f>
        <v>44273</v>
      </c>
      <c r="M57" s="289">
        <f>VLOOKUP($A57,K0kommunestruktur2019!$A$4:$N$425,K0kommunestruktur2020!M$3,FALSE)</f>
        <v>2014</v>
      </c>
      <c r="N57" s="177">
        <f>VLOOKUP($A57,K0kommunestruktur2019!$A$4:$N$425,K0kommunestruktur2020!N$3,FALSE)</f>
        <v>46881</v>
      </c>
      <c r="O57" s="289">
        <f>VLOOKUP(A57,'K20'!$A$4:$BV$359,3)</f>
        <v>1975</v>
      </c>
      <c r="P57" s="289">
        <f>VLOOKUP(A57,'K20'!$A$4:$BV$359,26)</f>
        <v>45952</v>
      </c>
      <c r="R57" s="517"/>
      <c r="S57" s="517"/>
      <c r="T57" s="517"/>
    </row>
    <row r="58" spans="1:20" ht="13">
      <c r="A58" s="865">
        <v>1813</v>
      </c>
      <c r="B58" s="866" t="s">
        <v>178</v>
      </c>
      <c r="C58" s="289">
        <f>VLOOKUP($A58,K0kommunestruktur2019!$A$4:$N$425,K0kommunestruktur2020!C$3,FALSE)</f>
        <v>7897</v>
      </c>
      <c r="D58" s="177">
        <f>VLOOKUP($A58,K0kommunestruktur2019!$A$4:$N$425,K0kommunestruktur2020!D$3,FALSE)</f>
        <v>156213</v>
      </c>
      <c r="E58" s="289">
        <f>VLOOKUP($A58,K0kommunestruktur2019!$A$4:$N$425,K0kommunestruktur2020!E$3,FALSE)</f>
        <v>7934</v>
      </c>
      <c r="F58" s="177">
        <f>VLOOKUP($A58,K0kommunestruktur2019!$A$4:$N$425,K0kommunestruktur2020!F$3,FALSE)</f>
        <v>167225</v>
      </c>
      <c r="G58" s="289">
        <f>VLOOKUP($A58,K0kommunestruktur2019!$A$4:$N$425,K0kommunestruktur2020!G$3,FALSE)</f>
        <v>7962</v>
      </c>
      <c r="H58" s="177">
        <f>VLOOKUP($A58,K0kommunestruktur2019!$A$4:$N$425,K0kommunestruktur2020!H$3,FALSE)</f>
        <v>181445</v>
      </c>
      <c r="I58" s="289">
        <f>VLOOKUP($A58,K0kommunestruktur2019!$A$4:$N$425,K0kommunestruktur2020!I$3,FALSE)</f>
        <v>7956</v>
      </c>
      <c r="J58" s="177">
        <f>VLOOKUP($A58,K0kommunestruktur2019!$A$4:$N$425,K0kommunestruktur2020!J$3,FALSE)</f>
        <v>190059</v>
      </c>
      <c r="K58" s="289">
        <f>VLOOKUP($A58,K0kommunestruktur2019!$A$4:$N$425,K0kommunestruktur2020!K$3,FALSE)</f>
        <v>7948</v>
      </c>
      <c r="L58" s="177">
        <f>VLOOKUP($A58,K0kommunestruktur2019!$A$4:$N$425,K0kommunestruktur2020!L$3,FALSE)</f>
        <v>197077</v>
      </c>
      <c r="M58" s="289">
        <f>VLOOKUP($A58,K0kommunestruktur2019!$A$4:$N$425,K0kommunestruktur2020!M$3,FALSE)</f>
        <v>7916</v>
      </c>
      <c r="N58" s="177">
        <f>VLOOKUP($A58,K0kommunestruktur2019!$A$4:$N$425,K0kommunestruktur2020!N$3,FALSE)</f>
        <v>198525</v>
      </c>
      <c r="O58" s="289">
        <f>VLOOKUP(A58,'K20'!$A$4:$BV$359,3)</f>
        <v>7917</v>
      </c>
      <c r="P58" s="289">
        <f>VLOOKUP(A58,'K20'!$A$4:$BV$359,26)</f>
        <v>197511</v>
      </c>
      <c r="R58" s="517"/>
      <c r="S58" s="517"/>
      <c r="T58" s="517"/>
    </row>
    <row r="59" spans="1:20" ht="13">
      <c r="A59" s="865">
        <v>1815</v>
      </c>
      <c r="B59" s="866" t="s">
        <v>179</v>
      </c>
      <c r="C59" s="289">
        <f>VLOOKUP($A59,K0kommunestruktur2019!$A$4:$N$425,K0kommunestruktur2020!C$3,FALSE)</f>
        <v>1223</v>
      </c>
      <c r="D59" s="177">
        <f>VLOOKUP($A59,K0kommunestruktur2019!$A$4:$N$425,K0kommunestruktur2020!D$3,FALSE)</f>
        <v>21722</v>
      </c>
      <c r="E59" s="289">
        <f>VLOOKUP($A59,K0kommunestruktur2019!$A$4:$N$425,K0kommunestruktur2020!E$3,FALSE)</f>
        <v>1225</v>
      </c>
      <c r="F59" s="177">
        <f>VLOOKUP($A59,K0kommunestruktur2019!$A$4:$N$425,K0kommunestruktur2020!F$3,FALSE)</f>
        <v>22840</v>
      </c>
      <c r="G59" s="289">
        <f>VLOOKUP($A59,K0kommunestruktur2019!$A$4:$N$425,K0kommunestruktur2020!G$3,FALSE)</f>
        <v>1244</v>
      </c>
      <c r="H59" s="177">
        <f>VLOOKUP($A59,K0kommunestruktur2019!$A$4:$N$425,K0kommunestruktur2020!H$3,FALSE)</f>
        <v>24000</v>
      </c>
      <c r="I59" s="289">
        <f>VLOOKUP($A59,K0kommunestruktur2019!$A$4:$N$425,K0kommunestruktur2020!I$3,FALSE)</f>
        <v>1234</v>
      </c>
      <c r="J59" s="177">
        <f>VLOOKUP($A59,K0kommunestruktur2019!$A$4:$N$425,K0kommunestruktur2020!J$3,FALSE)</f>
        <v>24851</v>
      </c>
      <c r="K59" s="289">
        <f>VLOOKUP($A59,K0kommunestruktur2019!$A$4:$N$425,K0kommunestruktur2020!K$3,FALSE)</f>
        <v>1221</v>
      </c>
      <c r="L59" s="177">
        <f>VLOOKUP($A59,K0kommunestruktur2019!$A$4:$N$425,K0kommunestruktur2020!L$3,FALSE)</f>
        <v>26288</v>
      </c>
      <c r="M59" s="289">
        <f>VLOOKUP($A59,K0kommunestruktur2019!$A$4:$N$425,K0kommunestruktur2020!M$3,FALSE)</f>
        <v>1232</v>
      </c>
      <c r="N59" s="177">
        <f>VLOOKUP($A59,K0kommunestruktur2019!$A$4:$N$425,K0kommunestruktur2020!N$3,FALSE)</f>
        <v>27921</v>
      </c>
      <c r="O59" s="289">
        <f>VLOOKUP(A59,'K20'!$A$4:$BV$359,3)</f>
        <v>1200</v>
      </c>
      <c r="P59" s="289">
        <f>VLOOKUP(A59,'K20'!$A$4:$BV$359,26)</f>
        <v>27180</v>
      </c>
      <c r="R59" s="517"/>
      <c r="S59" s="517"/>
      <c r="T59" s="517"/>
    </row>
    <row r="60" spans="1:20" ht="13">
      <c r="A60" s="865">
        <v>1816</v>
      </c>
      <c r="B60" s="866" t="s">
        <v>180</v>
      </c>
      <c r="C60" s="289">
        <f>VLOOKUP($A60,K0kommunestruktur2019!$A$4:$N$425,K0kommunestruktur2020!C$3,FALSE)</f>
        <v>495</v>
      </c>
      <c r="D60" s="177">
        <f>VLOOKUP($A60,K0kommunestruktur2019!$A$4:$N$425,K0kommunestruktur2020!D$3,FALSE)</f>
        <v>8703</v>
      </c>
      <c r="E60" s="289">
        <f>VLOOKUP($A60,K0kommunestruktur2019!$A$4:$N$425,K0kommunestruktur2020!E$3,FALSE)</f>
        <v>510</v>
      </c>
      <c r="F60" s="177">
        <f>VLOOKUP($A60,K0kommunestruktur2019!$A$4:$N$425,K0kommunestruktur2020!F$3,FALSE)</f>
        <v>9279</v>
      </c>
      <c r="G60" s="289">
        <f>VLOOKUP($A60,K0kommunestruktur2019!$A$4:$N$425,K0kommunestruktur2020!G$3,FALSE)</f>
        <v>507</v>
      </c>
      <c r="H60" s="177">
        <f>VLOOKUP($A60,K0kommunestruktur2019!$A$4:$N$425,K0kommunestruktur2020!H$3,FALSE)</f>
        <v>10195</v>
      </c>
      <c r="I60" s="289">
        <f>VLOOKUP($A60,K0kommunestruktur2019!$A$4:$N$425,K0kommunestruktur2020!I$3,FALSE)</f>
        <v>528</v>
      </c>
      <c r="J60" s="177">
        <f>VLOOKUP($A60,K0kommunestruktur2019!$A$4:$N$425,K0kommunestruktur2020!J$3,FALSE)</f>
        <v>10057</v>
      </c>
      <c r="K60" s="289">
        <f>VLOOKUP($A60,K0kommunestruktur2019!$A$4:$N$425,K0kommunestruktur2020!K$3,FALSE)</f>
        <v>506</v>
      </c>
      <c r="L60" s="177">
        <f>VLOOKUP($A60,K0kommunestruktur2019!$A$4:$N$425,K0kommunestruktur2020!L$3,FALSE)</f>
        <v>10264</v>
      </c>
      <c r="M60" s="289">
        <f>VLOOKUP($A60,K0kommunestruktur2019!$A$4:$N$425,K0kommunestruktur2020!M$3,FALSE)</f>
        <v>497</v>
      </c>
      <c r="N60" s="177">
        <f>VLOOKUP($A60,K0kommunestruktur2019!$A$4:$N$425,K0kommunestruktur2020!N$3,FALSE)</f>
        <v>13562</v>
      </c>
      <c r="O60" s="289">
        <f>VLOOKUP(A60,'K20'!$A$4:$BV$359,3)</f>
        <v>462</v>
      </c>
      <c r="P60" s="289">
        <f>VLOOKUP(A60,'K20'!$A$4:$BV$359,26)</f>
        <v>12272</v>
      </c>
      <c r="R60" s="517"/>
      <c r="S60" s="517"/>
      <c r="T60" s="517"/>
    </row>
    <row r="61" spans="1:20" ht="13">
      <c r="A61" s="865">
        <v>1818</v>
      </c>
      <c r="B61" s="866" t="s">
        <v>87</v>
      </c>
      <c r="C61" s="289">
        <f>VLOOKUP($A61,K0kommunestruktur2019!$A$4:$N$425,K0kommunestruktur2020!C$3,FALSE)</f>
        <v>1733</v>
      </c>
      <c r="D61" s="177">
        <f>VLOOKUP($A61,K0kommunestruktur2019!$A$4:$N$425,K0kommunestruktur2020!D$3,FALSE)</f>
        <v>33864</v>
      </c>
      <c r="E61" s="289">
        <f>VLOOKUP($A61,K0kommunestruktur2019!$A$4:$N$425,K0kommunestruktur2020!E$3,FALSE)</f>
        <v>1737</v>
      </c>
      <c r="F61" s="177">
        <f>VLOOKUP($A61,K0kommunestruktur2019!$A$4:$N$425,K0kommunestruktur2020!F$3,FALSE)</f>
        <v>38421</v>
      </c>
      <c r="G61" s="289">
        <f>VLOOKUP($A61,K0kommunestruktur2019!$A$4:$N$425,K0kommunestruktur2020!G$3,FALSE)</f>
        <v>1743</v>
      </c>
      <c r="H61" s="177">
        <f>VLOOKUP($A61,K0kommunestruktur2019!$A$4:$N$425,K0kommunestruktur2020!H$3,FALSE)</f>
        <v>41230</v>
      </c>
      <c r="I61" s="289">
        <f>VLOOKUP($A61,K0kommunestruktur2019!$A$4:$N$425,K0kommunestruktur2020!I$3,FALSE)</f>
        <v>1788</v>
      </c>
      <c r="J61" s="177">
        <f>VLOOKUP($A61,K0kommunestruktur2019!$A$4:$N$425,K0kommunestruktur2020!J$3,FALSE)</f>
        <v>46836</v>
      </c>
      <c r="K61" s="289">
        <f>VLOOKUP($A61,K0kommunestruktur2019!$A$4:$N$425,K0kommunestruktur2020!K$3,FALSE)</f>
        <v>1790</v>
      </c>
      <c r="L61" s="177">
        <f>VLOOKUP($A61,K0kommunestruktur2019!$A$4:$N$425,K0kommunestruktur2020!L$3,FALSE)</f>
        <v>51964</v>
      </c>
      <c r="M61" s="289">
        <f>VLOOKUP($A61,K0kommunestruktur2019!$A$4:$N$425,K0kommunestruktur2020!M$3,FALSE)</f>
        <v>1780</v>
      </c>
      <c r="N61" s="177">
        <f>VLOOKUP($A61,K0kommunestruktur2019!$A$4:$N$425,K0kommunestruktur2020!N$3,FALSE)</f>
        <v>51439</v>
      </c>
      <c r="O61" s="289">
        <f>VLOOKUP(A61,'K20'!$A$4:$BV$359,3)</f>
        <v>1777</v>
      </c>
      <c r="P61" s="289">
        <f>VLOOKUP(A61,'K20'!$A$4:$BV$359,26)</f>
        <v>50022</v>
      </c>
      <c r="R61" s="517"/>
      <c r="S61" s="517"/>
      <c r="T61" s="517"/>
    </row>
    <row r="62" spans="1:20" ht="13">
      <c r="A62" s="865">
        <v>1820</v>
      </c>
      <c r="B62" s="866" t="s">
        <v>181</v>
      </c>
      <c r="C62" s="289">
        <f>VLOOKUP($A62,K0kommunestruktur2019!$A$4:$N$425,K0kommunestruktur2020!C$3,FALSE)</f>
        <v>7394</v>
      </c>
      <c r="D62" s="177">
        <f>VLOOKUP($A62,K0kommunestruktur2019!$A$4:$N$425,K0kommunestruktur2020!D$3,FALSE)</f>
        <v>151380</v>
      </c>
      <c r="E62" s="289">
        <f>VLOOKUP($A62,K0kommunestruktur2019!$A$4:$N$425,K0kommunestruktur2020!E$3,FALSE)</f>
        <v>7454</v>
      </c>
      <c r="F62" s="177">
        <f>VLOOKUP($A62,K0kommunestruktur2019!$A$4:$N$425,K0kommunestruktur2020!F$3,FALSE)</f>
        <v>158275</v>
      </c>
      <c r="G62" s="289">
        <f>VLOOKUP($A62,K0kommunestruktur2019!$A$4:$N$425,K0kommunestruktur2020!G$3,FALSE)</f>
        <v>7437</v>
      </c>
      <c r="H62" s="177">
        <f>VLOOKUP($A62,K0kommunestruktur2019!$A$4:$N$425,K0kommunestruktur2020!H$3,FALSE)</f>
        <v>172927</v>
      </c>
      <c r="I62" s="289">
        <f>VLOOKUP($A62,K0kommunestruktur2019!$A$4:$N$425,K0kommunestruktur2020!I$3,FALSE)</f>
        <v>7428</v>
      </c>
      <c r="J62" s="177">
        <f>VLOOKUP($A62,K0kommunestruktur2019!$A$4:$N$425,K0kommunestruktur2020!J$3,FALSE)</f>
        <v>176287</v>
      </c>
      <c r="K62" s="289">
        <f>VLOOKUP($A62,K0kommunestruktur2019!$A$4:$N$425,K0kommunestruktur2020!K$3,FALSE)</f>
        <v>7450</v>
      </c>
      <c r="L62" s="177">
        <f>VLOOKUP($A62,K0kommunestruktur2019!$A$4:$N$425,K0kommunestruktur2020!L$3,FALSE)</f>
        <v>184472</v>
      </c>
      <c r="M62" s="289">
        <f>VLOOKUP($A62,K0kommunestruktur2019!$A$4:$N$425,K0kommunestruktur2020!M$3,FALSE)</f>
        <v>7415</v>
      </c>
      <c r="N62" s="177">
        <f>VLOOKUP($A62,K0kommunestruktur2019!$A$4:$N$425,K0kommunestruktur2020!N$3,FALSE)</f>
        <v>193762</v>
      </c>
      <c r="O62" s="289">
        <f>VLOOKUP(A62,'K20'!$A$4:$BV$359,3)</f>
        <v>7447</v>
      </c>
      <c r="P62" s="289">
        <f>VLOOKUP(A62,'K20'!$A$4:$BV$359,26)</f>
        <v>192056</v>
      </c>
      <c r="R62" s="517"/>
      <c r="S62" s="517"/>
      <c r="T62" s="517"/>
    </row>
    <row r="63" spans="1:20" ht="13">
      <c r="A63" s="865">
        <v>1822</v>
      </c>
      <c r="B63" s="866" t="s">
        <v>182</v>
      </c>
      <c r="C63" s="289">
        <f>VLOOKUP($A63,K0kommunestruktur2019!$A$4:$N$425,K0kommunestruktur2020!C$3,FALSE)</f>
        <v>2188</v>
      </c>
      <c r="D63" s="177">
        <f>VLOOKUP($A63,K0kommunestruktur2019!$A$4:$N$425,K0kommunestruktur2020!D$3,FALSE)</f>
        <v>37305</v>
      </c>
      <c r="E63" s="289">
        <f>VLOOKUP($A63,K0kommunestruktur2019!$A$4:$N$425,K0kommunestruktur2020!E$3,FALSE)</f>
        <v>2188</v>
      </c>
      <c r="F63" s="177">
        <f>VLOOKUP($A63,K0kommunestruktur2019!$A$4:$N$425,K0kommunestruktur2020!F$3,FALSE)</f>
        <v>38473</v>
      </c>
      <c r="G63" s="289">
        <f>VLOOKUP($A63,K0kommunestruktur2019!$A$4:$N$425,K0kommunestruktur2020!G$3,FALSE)</f>
        <v>2216</v>
      </c>
      <c r="H63" s="177">
        <f>VLOOKUP($A63,K0kommunestruktur2019!$A$4:$N$425,K0kommunestruktur2020!H$3,FALSE)</f>
        <v>42435</v>
      </c>
      <c r="I63" s="289">
        <f>VLOOKUP($A63,K0kommunestruktur2019!$A$4:$N$425,K0kommunestruktur2020!I$3,FALSE)</f>
        <v>2278</v>
      </c>
      <c r="J63" s="177">
        <f>VLOOKUP($A63,K0kommunestruktur2019!$A$4:$N$425,K0kommunestruktur2020!J$3,FALSE)</f>
        <v>43914</v>
      </c>
      <c r="K63" s="289">
        <f>VLOOKUP($A63,K0kommunestruktur2019!$A$4:$N$425,K0kommunestruktur2020!K$3,FALSE)</f>
        <v>2307</v>
      </c>
      <c r="L63" s="177">
        <f>VLOOKUP($A63,K0kommunestruktur2019!$A$4:$N$425,K0kommunestruktur2020!L$3,FALSE)</f>
        <v>47531</v>
      </c>
      <c r="M63" s="289">
        <f>VLOOKUP($A63,K0kommunestruktur2019!$A$4:$N$425,K0kommunestruktur2020!M$3,FALSE)</f>
        <v>2320</v>
      </c>
      <c r="N63" s="177">
        <f>VLOOKUP($A63,K0kommunestruktur2019!$A$4:$N$425,K0kommunestruktur2020!N$3,FALSE)</f>
        <v>50052</v>
      </c>
      <c r="O63" s="289">
        <f>VLOOKUP(A63,'K20'!$A$4:$BV$359,3)</f>
        <v>2294</v>
      </c>
      <c r="P63" s="289">
        <f>VLOOKUP(A63,'K20'!$A$4:$BV$359,26)</f>
        <v>50227</v>
      </c>
      <c r="R63" s="517"/>
      <c r="S63" s="517"/>
      <c r="T63" s="517"/>
    </row>
    <row r="64" spans="1:20" ht="13">
      <c r="A64" s="865">
        <v>1824</v>
      </c>
      <c r="B64" s="866" t="s">
        <v>183</v>
      </c>
      <c r="C64" s="289">
        <f>VLOOKUP($A64,K0kommunestruktur2019!$A$4:$N$425,K0kommunestruktur2020!C$3,FALSE)</f>
        <v>13286</v>
      </c>
      <c r="D64" s="177">
        <f>VLOOKUP($A64,K0kommunestruktur2019!$A$4:$N$425,K0kommunestruktur2020!D$3,FALSE)</f>
        <v>273516</v>
      </c>
      <c r="E64" s="289">
        <f>VLOOKUP($A64,K0kommunestruktur2019!$A$4:$N$425,K0kommunestruktur2020!E$3,FALSE)</f>
        <v>13352</v>
      </c>
      <c r="F64" s="177">
        <f>VLOOKUP($A64,K0kommunestruktur2019!$A$4:$N$425,K0kommunestruktur2020!F$3,FALSE)</f>
        <v>288336</v>
      </c>
      <c r="G64" s="289">
        <f>VLOOKUP($A64,K0kommunestruktur2019!$A$4:$N$425,K0kommunestruktur2020!G$3,FALSE)</f>
        <v>13427</v>
      </c>
      <c r="H64" s="177">
        <f>VLOOKUP($A64,K0kommunestruktur2019!$A$4:$N$425,K0kommunestruktur2020!H$3,FALSE)</f>
        <v>316667</v>
      </c>
      <c r="I64" s="289">
        <f>VLOOKUP($A64,K0kommunestruktur2019!$A$4:$N$425,K0kommunestruktur2020!I$3,FALSE)</f>
        <v>13465</v>
      </c>
      <c r="J64" s="177">
        <f>VLOOKUP($A64,K0kommunestruktur2019!$A$4:$N$425,K0kommunestruktur2020!J$3,FALSE)</f>
        <v>321672</v>
      </c>
      <c r="K64" s="289">
        <f>VLOOKUP($A64,K0kommunestruktur2019!$A$4:$N$425,K0kommunestruktur2020!K$3,FALSE)</f>
        <v>13448</v>
      </c>
      <c r="L64" s="177">
        <f>VLOOKUP($A64,K0kommunestruktur2019!$A$4:$N$425,K0kommunestruktur2020!L$3,FALSE)</f>
        <v>338074</v>
      </c>
      <c r="M64" s="289">
        <f>VLOOKUP($A64,K0kommunestruktur2019!$A$4:$N$425,K0kommunestruktur2020!M$3,FALSE)</f>
        <v>13403</v>
      </c>
      <c r="N64" s="177">
        <f>VLOOKUP($A64,K0kommunestruktur2019!$A$4:$N$425,K0kommunestruktur2020!N$3,FALSE)</f>
        <v>353905</v>
      </c>
      <c r="O64" s="289">
        <f>VLOOKUP(A64,'K20'!$A$4:$BV$359,3)</f>
        <v>13278</v>
      </c>
      <c r="P64" s="289">
        <f>VLOOKUP(A64,'K20'!$A$4:$BV$359,26)</f>
        <v>347307</v>
      </c>
      <c r="R64" s="517"/>
      <c r="S64" s="517"/>
      <c r="T64" s="517"/>
    </row>
    <row r="65" spans="1:20" ht="13">
      <c r="A65" s="865">
        <v>1825</v>
      </c>
      <c r="B65" s="866" t="s">
        <v>184</v>
      </c>
      <c r="C65" s="289">
        <f>VLOOKUP($A65,K0kommunestruktur2019!$A$4:$N$425,K0kommunestruktur2020!C$3,FALSE)</f>
        <v>1465</v>
      </c>
      <c r="D65" s="177">
        <f>VLOOKUP($A65,K0kommunestruktur2019!$A$4:$N$425,K0kommunestruktur2020!D$3,FALSE)</f>
        <v>28175</v>
      </c>
      <c r="E65" s="289">
        <f>VLOOKUP($A65,K0kommunestruktur2019!$A$4:$N$425,K0kommunestruktur2020!E$3,FALSE)</f>
        <v>1458</v>
      </c>
      <c r="F65" s="177">
        <f>VLOOKUP($A65,K0kommunestruktur2019!$A$4:$N$425,K0kommunestruktur2020!F$3,FALSE)</f>
        <v>30028</v>
      </c>
      <c r="G65" s="289">
        <f>VLOOKUP($A65,K0kommunestruktur2019!$A$4:$N$425,K0kommunestruktur2020!G$3,FALSE)</f>
        <v>1462</v>
      </c>
      <c r="H65" s="177">
        <f>VLOOKUP($A65,K0kommunestruktur2019!$A$4:$N$425,K0kommunestruktur2020!H$3,FALSE)</f>
        <v>31257</v>
      </c>
      <c r="I65" s="289">
        <f>VLOOKUP($A65,K0kommunestruktur2019!$A$4:$N$425,K0kommunestruktur2020!I$3,FALSE)</f>
        <v>1469</v>
      </c>
      <c r="J65" s="177">
        <f>VLOOKUP($A65,K0kommunestruktur2019!$A$4:$N$425,K0kommunestruktur2020!J$3,FALSE)</f>
        <v>32445</v>
      </c>
      <c r="K65" s="289">
        <f>VLOOKUP($A65,K0kommunestruktur2019!$A$4:$N$425,K0kommunestruktur2020!K$3,FALSE)</f>
        <v>1463</v>
      </c>
      <c r="L65" s="177">
        <f>VLOOKUP($A65,K0kommunestruktur2019!$A$4:$N$425,K0kommunestruktur2020!L$3,FALSE)</f>
        <v>35736</v>
      </c>
      <c r="M65" s="289">
        <f>VLOOKUP($A65,K0kommunestruktur2019!$A$4:$N$425,K0kommunestruktur2020!M$3,FALSE)</f>
        <v>1493</v>
      </c>
      <c r="N65" s="177">
        <f>VLOOKUP($A65,K0kommunestruktur2019!$A$4:$N$425,K0kommunestruktur2020!N$3,FALSE)</f>
        <v>35715</v>
      </c>
      <c r="O65" s="289">
        <f>VLOOKUP(A65,'K20'!$A$4:$BV$359,3)</f>
        <v>1482</v>
      </c>
      <c r="P65" s="289">
        <f>VLOOKUP(A65,'K20'!$A$4:$BV$359,26)</f>
        <v>34842</v>
      </c>
      <c r="R65" s="517"/>
      <c r="S65" s="517"/>
      <c r="T65" s="517"/>
    </row>
    <row r="66" spans="1:20" ht="13">
      <c r="A66" s="865">
        <v>1826</v>
      </c>
      <c r="B66" s="866" t="s">
        <v>185</v>
      </c>
      <c r="C66" s="289">
        <f>VLOOKUP($A66,K0kommunestruktur2019!$A$4:$N$425,K0kommunestruktur2020!C$3,FALSE)</f>
        <v>1500</v>
      </c>
      <c r="D66" s="177">
        <f>VLOOKUP($A66,K0kommunestruktur2019!$A$4:$N$425,K0kommunestruktur2020!D$3,FALSE)</f>
        <v>25086</v>
      </c>
      <c r="E66" s="289">
        <f>VLOOKUP($A66,K0kommunestruktur2019!$A$4:$N$425,K0kommunestruktur2020!E$3,FALSE)</f>
        <v>1533</v>
      </c>
      <c r="F66" s="177">
        <f>VLOOKUP($A66,K0kommunestruktur2019!$A$4:$N$425,K0kommunestruktur2020!F$3,FALSE)</f>
        <v>27288</v>
      </c>
      <c r="G66" s="289">
        <f>VLOOKUP($A66,K0kommunestruktur2019!$A$4:$N$425,K0kommunestruktur2020!G$3,FALSE)</f>
        <v>1465</v>
      </c>
      <c r="H66" s="177">
        <f>VLOOKUP($A66,K0kommunestruktur2019!$A$4:$N$425,K0kommunestruktur2020!H$3,FALSE)</f>
        <v>29443</v>
      </c>
      <c r="I66" s="289">
        <f>VLOOKUP($A66,K0kommunestruktur2019!$A$4:$N$425,K0kommunestruktur2020!I$3,FALSE)</f>
        <v>1414</v>
      </c>
      <c r="J66" s="177">
        <f>VLOOKUP($A66,K0kommunestruktur2019!$A$4:$N$425,K0kommunestruktur2020!J$3,FALSE)</f>
        <v>28941</v>
      </c>
      <c r="K66" s="289">
        <f>VLOOKUP($A66,K0kommunestruktur2019!$A$4:$N$425,K0kommunestruktur2020!K$3,FALSE)</f>
        <v>1411</v>
      </c>
      <c r="L66" s="177">
        <f>VLOOKUP($A66,K0kommunestruktur2019!$A$4:$N$425,K0kommunestruktur2020!L$3,FALSE)</f>
        <v>28471</v>
      </c>
      <c r="M66" s="289">
        <f>VLOOKUP($A66,K0kommunestruktur2019!$A$4:$N$425,K0kommunestruktur2020!M$3,FALSE)</f>
        <v>1359</v>
      </c>
      <c r="N66" s="177">
        <f>VLOOKUP($A66,K0kommunestruktur2019!$A$4:$N$425,K0kommunestruktur2020!N$3,FALSE)</f>
        <v>29557</v>
      </c>
      <c r="O66" s="289">
        <f>VLOOKUP(A66,'K20'!$A$4:$BV$359,3)</f>
        <v>1297</v>
      </c>
      <c r="P66" s="289">
        <f>VLOOKUP(A66,'K20'!$A$4:$BV$359,26)</f>
        <v>29543</v>
      </c>
      <c r="R66" s="517"/>
      <c r="S66" s="517"/>
      <c r="T66" s="517"/>
    </row>
    <row r="67" spans="1:20" ht="13">
      <c r="A67" s="865">
        <v>1827</v>
      </c>
      <c r="B67" s="866" t="s">
        <v>186</v>
      </c>
      <c r="C67" s="289">
        <f>VLOOKUP($A67,K0kommunestruktur2019!$A$4:$N$425,K0kommunestruktur2020!C$3,FALSE)</f>
        <v>1420</v>
      </c>
      <c r="D67" s="177">
        <f>VLOOKUP($A67,K0kommunestruktur2019!$A$4:$N$425,K0kommunestruktur2020!D$3,FALSE)</f>
        <v>26092</v>
      </c>
      <c r="E67" s="289">
        <f>VLOOKUP($A67,K0kommunestruktur2019!$A$4:$N$425,K0kommunestruktur2020!E$3,FALSE)</f>
        <v>1407</v>
      </c>
      <c r="F67" s="177">
        <f>VLOOKUP($A67,K0kommunestruktur2019!$A$4:$N$425,K0kommunestruktur2020!F$3,FALSE)</f>
        <v>27767</v>
      </c>
      <c r="G67" s="289">
        <f>VLOOKUP($A67,K0kommunestruktur2019!$A$4:$N$425,K0kommunestruktur2020!G$3,FALSE)</f>
        <v>1402</v>
      </c>
      <c r="H67" s="177">
        <f>VLOOKUP($A67,K0kommunestruktur2019!$A$4:$N$425,K0kommunestruktur2020!H$3,FALSE)</f>
        <v>29285</v>
      </c>
      <c r="I67" s="289">
        <f>VLOOKUP($A67,K0kommunestruktur2019!$A$4:$N$425,K0kommunestruktur2020!I$3,FALSE)</f>
        <v>1410</v>
      </c>
      <c r="J67" s="177">
        <f>VLOOKUP($A67,K0kommunestruktur2019!$A$4:$N$425,K0kommunestruktur2020!J$3,FALSE)</f>
        <v>31550</v>
      </c>
      <c r="K67" s="289">
        <f>VLOOKUP($A67,K0kommunestruktur2019!$A$4:$N$425,K0kommunestruktur2020!K$3,FALSE)</f>
        <v>1403</v>
      </c>
      <c r="L67" s="177">
        <f>VLOOKUP($A67,K0kommunestruktur2019!$A$4:$N$425,K0kommunestruktur2020!L$3,FALSE)</f>
        <v>34700</v>
      </c>
      <c r="M67" s="289">
        <f>VLOOKUP($A67,K0kommunestruktur2019!$A$4:$N$425,K0kommunestruktur2020!M$3,FALSE)</f>
        <v>1391</v>
      </c>
      <c r="N67" s="177">
        <f>VLOOKUP($A67,K0kommunestruktur2019!$A$4:$N$425,K0kommunestruktur2020!N$3,FALSE)</f>
        <v>43441</v>
      </c>
      <c r="O67" s="289">
        <f>VLOOKUP(A67,'K20'!$A$4:$BV$359,3)</f>
        <v>1371</v>
      </c>
      <c r="P67" s="289">
        <f>VLOOKUP(A67,'K20'!$A$4:$BV$359,26)</f>
        <v>41165</v>
      </c>
      <c r="R67" s="517"/>
      <c r="S67" s="517"/>
      <c r="T67" s="517"/>
    </row>
    <row r="68" spans="1:20" ht="13">
      <c r="A68" s="865">
        <v>1828</v>
      </c>
      <c r="B68" s="866" t="s">
        <v>187</v>
      </c>
      <c r="C68" s="289">
        <f>VLOOKUP($A68,K0kommunestruktur2019!$A$4:$N$425,K0kommunestruktur2020!C$3,FALSE)</f>
        <v>1902</v>
      </c>
      <c r="D68" s="177">
        <f>VLOOKUP($A68,K0kommunestruktur2019!$A$4:$N$425,K0kommunestruktur2020!D$3,FALSE)</f>
        <v>29300</v>
      </c>
      <c r="E68" s="289">
        <f>VLOOKUP($A68,K0kommunestruktur2019!$A$4:$N$425,K0kommunestruktur2020!E$3,FALSE)</f>
        <v>1871</v>
      </c>
      <c r="F68" s="177">
        <f>VLOOKUP($A68,K0kommunestruktur2019!$A$4:$N$425,K0kommunestruktur2020!F$3,FALSE)</f>
        <v>33036</v>
      </c>
      <c r="G68" s="289">
        <f>VLOOKUP($A68,K0kommunestruktur2019!$A$4:$N$425,K0kommunestruktur2020!G$3,FALSE)</f>
        <v>1838</v>
      </c>
      <c r="H68" s="177">
        <f>VLOOKUP($A68,K0kommunestruktur2019!$A$4:$N$425,K0kommunestruktur2020!H$3,FALSE)</f>
        <v>35368</v>
      </c>
      <c r="I68" s="289">
        <f>VLOOKUP($A68,K0kommunestruktur2019!$A$4:$N$425,K0kommunestruktur2020!I$3,FALSE)</f>
        <v>1837</v>
      </c>
      <c r="J68" s="177">
        <f>VLOOKUP($A68,K0kommunestruktur2019!$A$4:$N$425,K0kommunestruktur2020!J$3,FALSE)</f>
        <v>37688</v>
      </c>
      <c r="K68" s="289">
        <f>VLOOKUP($A68,K0kommunestruktur2019!$A$4:$N$425,K0kommunestruktur2020!K$3,FALSE)</f>
        <v>1805</v>
      </c>
      <c r="L68" s="177">
        <f>VLOOKUP($A68,K0kommunestruktur2019!$A$4:$N$425,K0kommunestruktur2020!L$3,FALSE)</f>
        <v>44961</v>
      </c>
      <c r="M68" s="289">
        <f>VLOOKUP($A68,K0kommunestruktur2019!$A$4:$N$425,K0kommunestruktur2020!M$3,FALSE)</f>
        <v>1792</v>
      </c>
      <c r="N68" s="177">
        <f>VLOOKUP($A68,K0kommunestruktur2019!$A$4:$N$425,K0kommunestruktur2020!N$3,FALSE)</f>
        <v>43755</v>
      </c>
      <c r="O68" s="289">
        <f>VLOOKUP(A68,'K20'!$A$4:$BV$359,3)</f>
        <v>1761</v>
      </c>
      <c r="P68" s="289">
        <f>VLOOKUP(A68,'K20'!$A$4:$BV$359,26)</f>
        <v>39477</v>
      </c>
      <c r="R68" s="517"/>
      <c r="S68" s="517"/>
      <c r="T68" s="517"/>
    </row>
    <row r="69" spans="1:20" ht="13">
      <c r="A69" s="865">
        <v>1832</v>
      </c>
      <c r="B69" s="866" t="s">
        <v>188</v>
      </c>
      <c r="C69" s="289">
        <f>VLOOKUP($A69,K0kommunestruktur2019!$A$4:$N$425,K0kommunestruktur2020!C$3,FALSE)</f>
        <v>4553</v>
      </c>
      <c r="D69" s="177">
        <f>VLOOKUP($A69,K0kommunestruktur2019!$A$4:$N$425,K0kommunestruktur2020!D$3,FALSE)</f>
        <v>106976</v>
      </c>
      <c r="E69" s="289">
        <f>VLOOKUP($A69,K0kommunestruktur2019!$A$4:$N$425,K0kommunestruktur2020!E$3,FALSE)</f>
        <v>4528</v>
      </c>
      <c r="F69" s="177">
        <f>VLOOKUP($A69,K0kommunestruktur2019!$A$4:$N$425,K0kommunestruktur2020!F$3,FALSE)</f>
        <v>115881</v>
      </c>
      <c r="G69" s="289">
        <f>VLOOKUP($A69,K0kommunestruktur2019!$A$4:$N$425,K0kommunestruktur2020!G$3,FALSE)</f>
        <v>4486</v>
      </c>
      <c r="H69" s="177">
        <f>VLOOKUP($A69,K0kommunestruktur2019!$A$4:$N$425,K0kommunestruktur2020!H$3,FALSE)</f>
        <v>121742</v>
      </c>
      <c r="I69" s="289">
        <f>VLOOKUP($A69,K0kommunestruktur2019!$A$4:$N$425,K0kommunestruktur2020!I$3,FALSE)</f>
        <v>4524</v>
      </c>
      <c r="J69" s="177">
        <f>VLOOKUP($A69,K0kommunestruktur2019!$A$4:$N$425,K0kommunestruktur2020!J$3,FALSE)</f>
        <v>124876</v>
      </c>
      <c r="K69" s="289">
        <f>VLOOKUP($A69,K0kommunestruktur2019!$A$4:$N$425,K0kommunestruktur2020!K$3,FALSE)</f>
        <v>4503</v>
      </c>
      <c r="L69" s="177">
        <f>VLOOKUP($A69,K0kommunestruktur2019!$A$4:$N$425,K0kommunestruktur2020!L$3,FALSE)</f>
        <v>131134</v>
      </c>
      <c r="M69" s="289">
        <f>VLOOKUP($A69,K0kommunestruktur2019!$A$4:$N$425,K0kommunestruktur2020!M$3,FALSE)</f>
        <v>4501</v>
      </c>
      <c r="N69" s="177">
        <f>VLOOKUP($A69,K0kommunestruktur2019!$A$4:$N$425,K0kommunestruktur2020!N$3,FALSE)</f>
        <v>131414</v>
      </c>
      <c r="O69" s="289">
        <f>VLOOKUP(A69,'K20'!$A$4:$BV$359,3)</f>
        <v>4454</v>
      </c>
      <c r="P69" s="289">
        <f>VLOOKUP(A69,'K20'!$A$4:$BV$359,26)</f>
        <v>130776</v>
      </c>
      <c r="R69" s="517"/>
      <c r="S69" s="517"/>
      <c r="T69" s="517"/>
    </row>
    <row r="70" spans="1:20" ht="13">
      <c r="A70" s="865">
        <v>1833</v>
      </c>
      <c r="B70" s="866" t="s">
        <v>189</v>
      </c>
      <c r="C70" s="289">
        <f>VLOOKUP($A70,K0kommunestruktur2019!$A$4:$N$425,K0kommunestruktur2020!C$3,FALSE)</f>
        <v>25943</v>
      </c>
      <c r="D70" s="177">
        <f>VLOOKUP($A70,K0kommunestruktur2019!$A$4:$N$425,K0kommunestruktur2020!D$3,FALSE)</f>
        <v>551613</v>
      </c>
      <c r="E70" s="289">
        <f>VLOOKUP($A70,K0kommunestruktur2019!$A$4:$N$425,K0kommunestruktur2020!E$3,FALSE)</f>
        <v>26078</v>
      </c>
      <c r="F70" s="177">
        <f>VLOOKUP($A70,K0kommunestruktur2019!$A$4:$N$425,K0kommunestruktur2020!F$3,FALSE)</f>
        <v>589326</v>
      </c>
      <c r="G70" s="289">
        <f>VLOOKUP($A70,K0kommunestruktur2019!$A$4:$N$425,K0kommunestruktur2020!G$3,FALSE)</f>
        <v>26039</v>
      </c>
      <c r="H70" s="177">
        <f>VLOOKUP($A70,K0kommunestruktur2019!$A$4:$N$425,K0kommunestruktur2020!H$3,FALSE)</f>
        <v>638012</v>
      </c>
      <c r="I70" s="289">
        <f>VLOOKUP($A70,K0kommunestruktur2019!$A$4:$N$425,K0kommunestruktur2020!I$3,FALSE)</f>
        <v>26101</v>
      </c>
      <c r="J70" s="177">
        <f>VLOOKUP($A70,K0kommunestruktur2019!$A$4:$N$425,K0kommunestruktur2020!J$3,FALSE)</f>
        <v>666769</v>
      </c>
      <c r="K70" s="289">
        <f>VLOOKUP($A70,K0kommunestruktur2019!$A$4:$N$425,K0kommunestruktur2020!K$3,FALSE)</f>
        <v>26230</v>
      </c>
      <c r="L70" s="177">
        <f>VLOOKUP($A70,K0kommunestruktur2019!$A$4:$N$425,K0kommunestruktur2020!L$3,FALSE)</f>
        <v>691020</v>
      </c>
      <c r="M70" s="289">
        <f>VLOOKUP($A70,K0kommunestruktur2019!$A$4:$N$425,K0kommunestruktur2020!M$3,FALSE)</f>
        <v>26315</v>
      </c>
      <c r="N70" s="177">
        <f>VLOOKUP($A70,K0kommunestruktur2019!$A$4:$N$425,K0kommunestruktur2020!N$3,FALSE)</f>
        <v>712344</v>
      </c>
      <c r="O70" s="289">
        <f>VLOOKUP(A70,'K20'!$A$4:$BV$359,3)</f>
        <v>26184</v>
      </c>
      <c r="P70" s="289">
        <f>VLOOKUP(A70,'K20'!$A$4:$BV$359,26)</f>
        <v>715838</v>
      </c>
      <c r="R70" s="517"/>
      <c r="S70" s="517"/>
      <c r="T70" s="517"/>
    </row>
    <row r="71" spans="1:20" ht="13">
      <c r="A71" s="865">
        <v>1834</v>
      </c>
      <c r="B71" s="866" t="s">
        <v>190</v>
      </c>
      <c r="C71" s="289">
        <f>VLOOKUP($A71,K0kommunestruktur2019!$A$4:$N$425,K0kommunestruktur2020!C$3,FALSE)</f>
        <v>1901</v>
      </c>
      <c r="D71" s="177">
        <f>VLOOKUP($A71,K0kommunestruktur2019!$A$4:$N$425,K0kommunestruktur2020!D$3,FALSE)</f>
        <v>42293</v>
      </c>
      <c r="E71" s="289">
        <f>VLOOKUP($A71,K0kommunestruktur2019!$A$4:$N$425,K0kommunestruktur2020!E$3,FALSE)</f>
        <v>1917</v>
      </c>
      <c r="F71" s="177">
        <f>VLOOKUP($A71,K0kommunestruktur2019!$A$4:$N$425,K0kommunestruktur2020!F$3,FALSE)</f>
        <v>46055</v>
      </c>
      <c r="G71" s="289">
        <f>VLOOKUP($A71,K0kommunestruktur2019!$A$4:$N$425,K0kommunestruktur2020!G$3,FALSE)</f>
        <v>1923</v>
      </c>
      <c r="H71" s="177">
        <f>VLOOKUP($A71,K0kommunestruktur2019!$A$4:$N$425,K0kommunestruktur2020!H$3,FALSE)</f>
        <v>58139</v>
      </c>
      <c r="I71" s="289">
        <f>VLOOKUP($A71,K0kommunestruktur2019!$A$4:$N$425,K0kommunestruktur2020!I$3,FALSE)</f>
        <v>1920</v>
      </c>
      <c r="J71" s="177">
        <f>VLOOKUP($A71,K0kommunestruktur2019!$A$4:$N$425,K0kommunestruktur2020!J$3,FALSE)</f>
        <v>61482</v>
      </c>
      <c r="K71" s="289">
        <f>VLOOKUP($A71,K0kommunestruktur2019!$A$4:$N$425,K0kommunestruktur2020!K$3,FALSE)</f>
        <v>1920</v>
      </c>
      <c r="L71" s="177">
        <f>VLOOKUP($A71,K0kommunestruktur2019!$A$4:$N$425,K0kommunestruktur2020!L$3,FALSE)</f>
        <v>71323</v>
      </c>
      <c r="M71" s="289">
        <f>VLOOKUP($A71,K0kommunestruktur2019!$A$4:$N$425,K0kommunestruktur2020!M$3,FALSE)</f>
        <v>1904</v>
      </c>
      <c r="N71" s="177">
        <f>VLOOKUP($A71,K0kommunestruktur2019!$A$4:$N$425,K0kommunestruktur2020!N$3,FALSE)</f>
        <v>78651</v>
      </c>
      <c r="O71" s="289">
        <f>VLOOKUP(A71,'K20'!$A$4:$BV$359,3)</f>
        <v>1890</v>
      </c>
      <c r="P71" s="289">
        <f>VLOOKUP(A71,'K20'!$A$4:$BV$359,26)</f>
        <v>82254</v>
      </c>
      <c r="R71" s="517"/>
      <c r="S71" s="517"/>
      <c r="T71" s="517"/>
    </row>
    <row r="72" spans="1:20" ht="13">
      <c r="A72" s="865">
        <v>1835</v>
      </c>
      <c r="B72" s="866" t="s">
        <v>191</v>
      </c>
      <c r="C72" s="289">
        <f>VLOOKUP($A72,K0kommunestruktur2019!$A$4:$N$425,K0kommunestruktur2020!C$3,FALSE)</f>
        <v>489</v>
      </c>
      <c r="D72" s="177">
        <f>VLOOKUP($A72,K0kommunestruktur2019!$A$4:$N$425,K0kommunestruktur2020!D$3,FALSE)</f>
        <v>9796</v>
      </c>
      <c r="E72" s="289">
        <f>VLOOKUP($A72,K0kommunestruktur2019!$A$4:$N$425,K0kommunestruktur2020!E$3,FALSE)</f>
        <v>486</v>
      </c>
      <c r="F72" s="177">
        <f>VLOOKUP($A72,K0kommunestruktur2019!$A$4:$N$425,K0kommunestruktur2020!F$3,FALSE)</f>
        <v>10370</v>
      </c>
      <c r="G72" s="289">
        <f>VLOOKUP($A72,K0kommunestruktur2019!$A$4:$N$425,K0kommunestruktur2020!G$3,FALSE)</f>
        <v>478</v>
      </c>
      <c r="H72" s="177">
        <f>VLOOKUP($A72,K0kommunestruktur2019!$A$4:$N$425,K0kommunestruktur2020!H$3,FALSE)</f>
        <v>11735</v>
      </c>
      <c r="I72" s="289">
        <f>VLOOKUP($A72,K0kommunestruktur2019!$A$4:$N$425,K0kommunestruktur2020!I$3,FALSE)</f>
        <v>465</v>
      </c>
      <c r="J72" s="177">
        <f>VLOOKUP($A72,K0kommunestruktur2019!$A$4:$N$425,K0kommunestruktur2020!J$3,FALSE)</f>
        <v>11809</v>
      </c>
      <c r="K72" s="289">
        <f>VLOOKUP($A72,K0kommunestruktur2019!$A$4:$N$425,K0kommunestruktur2020!K$3,FALSE)</f>
        <v>454</v>
      </c>
      <c r="L72" s="177">
        <f>VLOOKUP($A72,K0kommunestruktur2019!$A$4:$N$425,K0kommunestruktur2020!L$3,FALSE)</f>
        <v>12509</v>
      </c>
      <c r="M72" s="289">
        <f>VLOOKUP($A72,K0kommunestruktur2019!$A$4:$N$425,K0kommunestruktur2020!M$3,FALSE)</f>
        <v>456</v>
      </c>
      <c r="N72" s="177">
        <f>VLOOKUP($A72,K0kommunestruktur2019!$A$4:$N$425,K0kommunestruktur2020!N$3,FALSE)</f>
        <v>12554</v>
      </c>
      <c r="O72" s="289">
        <f>VLOOKUP(A72,'K20'!$A$4:$BV$359,3)</f>
        <v>435</v>
      </c>
      <c r="P72" s="289">
        <f>VLOOKUP(A72,'K20'!$A$4:$BV$359,26)</f>
        <v>15251</v>
      </c>
      <c r="R72" s="517"/>
      <c r="S72" s="517"/>
      <c r="T72" s="517"/>
    </row>
    <row r="73" spans="1:20" ht="13">
      <c r="A73" s="865">
        <v>1836</v>
      </c>
      <c r="B73" s="866" t="s">
        <v>192</v>
      </c>
      <c r="C73" s="289">
        <f>VLOOKUP($A73,K0kommunestruktur2019!$A$4:$N$425,K0kommunestruktur2020!C$3,FALSE)</f>
        <v>1305</v>
      </c>
      <c r="D73" s="177">
        <f>VLOOKUP($A73,K0kommunestruktur2019!$A$4:$N$425,K0kommunestruktur2020!D$3,FALSE)</f>
        <v>22194</v>
      </c>
      <c r="E73" s="289">
        <f>VLOOKUP($A73,K0kommunestruktur2019!$A$4:$N$425,K0kommunestruktur2020!E$3,FALSE)</f>
        <v>1269</v>
      </c>
      <c r="F73" s="177">
        <f>VLOOKUP($A73,K0kommunestruktur2019!$A$4:$N$425,K0kommunestruktur2020!F$3,FALSE)</f>
        <v>23597</v>
      </c>
      <c r="G73" s="289">
        <f>VLOOKUP($A73,K0kommunestruktur2019!$A$4:$N$425,K0kommunestruktur2020!G$3,FALSE)</f>
        <v>1268</v>
      </c>
      <c r="H73" s="177">
        <f>VLOOKUP($A73,K0kommunestruktur2019!$A$4:$N$425,K0kommunestruktur2020!H$3,FALSE)</f>
        <v>26674</v>
      </c>
      <c r="I73" s="289">
        <f>VLOOKUP($A73,K0kommunestruktur2019!$A$4:$N$425,K0kommunestruktur2020!I$3,FALSE)</f>
        <v>1267</v>
      </c>
      <c r="J73" s="177">
        <f>VLOOKUP($A73,K0kommunestruktur2019!$A$4:$N$425,K0kommunestruktur2020!J$3,FALSE)</f>
        <v>27439</v>
      </c>
      <c r="K73" s="289">
        <f>VLOOKUP($A73,K0kommunestruktur2019!$A$4:$N$425,K0kommunestruktur2020!K$3,FALSE)</f>
        <v>1249</v>
      </c>
      <c r="L73" s="177">
        <f>VLOOKUP($A73,K0kommunestruktur2019!$A$4:$N$425,K0kommunestruktur2020!L$3,FALSE)</f>
        <v>28017</v>
      </c>
      <c r="M73" s="289">
        <f>VLOOKUP($A73,K0kommunestruktur2019!$A$4:$N$425,K0kommunestruktur2020!M$3,FALSE)</f>
        <v>1238</v>
      </c>
      <c r="N73" s="177">
        <f>VLOOKUP($A73,K0kommunestruktur2019!$A$4:$N$425,K0kommunestruktur2020!N$3,FALSE)</f>
        <v>30314</v>
      </c>
      <c r="O73" s="289">
        <f>VLOOKUP(A73,'K20'!$A$4:$BV$359,3)</f>
        <v>1213</v>
      </c>
      <c r="P73" s="289">
        <f>VLOOKUP(A73,'K20'!$A$4:$BV$359,26)</f>
        <v>31493</v>
      </c>
      <c r="R73" s="517"/>
      <c r="S73" s="517"/>
      <c r="T73" s="517"/>
    </row>
    <row r="74" spans="1:20" ht="13">
      <c r="A74" s="865">
        <v>1837</v>
      </c>
      <c r="B74" s="866" t="s">
        <v>193</v>
      </c>
      <c r="C74" s="289">
        <f>VLOOKUP($A74,K0kommunestruktur2019!$A$4:$N$425,K0kommunestruktur2020!C$3,FALSE)</f>
        <v>6491</v>
      </c>
      <c r="D74" s="177">
        <f>VLOOKUP($A74,K0kommunestruktur2019!$A$4:$N$425,K0kommunestruktur2020!D$3,FALSE)</f>
        <v>153531</v>
      </c>
      <c r="E74" s="289">
        <f>VLOOKUP($A74,K0kommunestruktur2019!$A$4:$N$425,K0kommunestruktur2020!E$3,FALSE)</f>
        <v>6454</v>
      </c>
      <c r="F74" s="177">
        <f>VLOOKUP($A74,K0kommunestruktur2019!$A$4:$N$425,K0kommunestruktur2020!F$3,FALSE)</f>
        <v>158459</v>
      </c>
      <c r="G74" s="289">
        <f>VLOOKUP($A74,K0kommunestruktur2019!$A$4:$N$425,K0kommunestruktur2020!G$3,FALSE)</f>
        <v>6471</v>
      </c>
      <c r="H74" s="177">
        <f>VLOOKUP($A74,K0kommunestruktur2019!$A$4:$N$425,K0kommunestruktur2020!H$3,FALSE)</f>
        <v>170747</v>
      </c>
      <c r="I74" s="289">
        <f>VLOOKUP($A74,K0kommunestruktur2019!$A$4:$N$425,K0kommunestruktur2020!I$3,FALSE)</f>
        <v>6435</v>
      </c>
      <c r="J74" s="177">
        <f>VLOOKUP($A74,K0kommunestruktur2019!$A$4:$N$425,K0kommunestruktur2020!J$3,FALSE)</f>
        <v>177983</v>
      </c>
      <c r="K74" s="289">
        <f>VLOOKUP($A74,K0kommunestruktur2019!$A$4:$N$425,K0kommunestruktur2020!K$3,FALSE)</f>
        <v>6346</v>
      </c>
      <c r="L74" s="177">
        <f>VLOOKUP($A74,K0kommunestruktur2019!$A$4:$N$425,K0kommunestruktur2020!L$3,FALSE)</f>
        <v>179660</v>
      </c>
      <c r="M74" s="289">
        <f>VLOOKUP($A74,K0kommunestruktur2019!$A$4:$N$425,K0kommunestruktur2020!M$3,FALSE)</f>
        <v>6331</v>
      </c>
      <c r="N74" s="177">
        <f>VLOOKUP($A74,K0kommunestruktur2019!$A$4:$N$425,K0kommunestruktur2020!N$3,FALSE)</f>
        <v>186474</v>
      </c>
      <c r="O74" s="289">
        <f>VLOOKUP(A74,'K20'!$A$4:$BV$359,3)</f>
        <v>6288</v>
      </c>
      <c r="P74" s="289">
        <f>VLOOKUP(A74,'K20'!$A$4:$BV$359,26)</f>
        <v>182883</v>
      </c>
      <c r="R74" s="517"/>
      <c r="S74" s="517"/>
      <c r="T74" s="517"/>
    </row>
    <row r="75" spans="1:20" ht="13">
      <c r="A75" s="865">
        <v>1838</v>
      </c>
      <c r="B75" s="866" t="s">
        <v>194</v>
      </c>
      <c r="C75" s="289">
        <f>VLOOKUP($A75,K0kommunestruktur2019!$A$4:$N$425,K0kommunestruktur2020!C$3,FALSE)</f>
        <v>2023</v>
      </c>
      <c r="D75" s="177">
        <f>VLOOKUP($A75,K0kommunestruktur2019!$A$4:$N$425,K0kommunestruktur2020!D$3,FALSE)</f>
        <v>46197</v>
      </c>
      <c r="E75" s="289">
        <f>VLOOKUP($A75,K0kommunestruktur2019!$A$4:$N$425,K0kommunestruktur2020!E$3,FALSE)</f>
        <v>2014</v>
      </c>
      <c r="F75" s="177">
        <f>VLOOKUP($A75,K0kommunestruktur2019!$A$4:$N$425,K0kommunestruktur2020!F$3,FALSE)</f>
        <v>42627</v>
      </c>
      <c r="G75" s="289">
        <f>VLOOKUP($A75,K0kommunestruktur2019!$A$4:$N$425,K0kommunestruktur2020!G$3,FALSE)</f>
        <v>2043</v>
      </c>
      <c r="H75" s="177">
        <f>VLOOKUP($A75,K0kommunestruktur2019!$A$4:$N$425,K0kommunestruktur2020!H$3,FALSE)</f>
        <v>50208</v>
      </c>
      <c r="I75" s="289">
        <f>VLOOKUP($A75,K0kommunestruktur2019!$A$4:$N$425,K0kommunestruktur2020!I$3,FALSE)</f>
        <v>2024</v>
      </c>
      <c r="J75" s="177">
        <f>VLOOKUP($A75,K0kommunestruktur2019!$A$4:$N$425,K0kommunestruktur2020!J$3,FALSE)</f>
        <v>49108</v>
      </c>
      <c r="K75" s="289">
        <f>VLOOKUP($A75,K0kommunestruktur2019!$A$4:$N$425,K0kommunestruktur2020!K$3,FALSE)</f>
        <v>1998</v>
      </c>
      <c r="L75" s="177">
        <f>VLOOKUP($A75,K0kommunestruktur2019!$A$4:$N$425,K0kommunestruktur2020!L$3,FALSE)</f>
        <v>50262</v>
      </c>
      <c r="M75" s="289">
        <f>VLOOKUP($A75,K0kommunestruktur2019!$A$4:$N$425,K0kommunestruktur2020!M$3,FALSE)</f>
        <v>1978</v>
      </c>
      <c r="N75" s="177">
        <f>VLOOKUP($A75,K0kommunestruktur2019!$A$4:$N$425,K0kommunestruktur2020!N$3,FALSE)</f>
        <v>52828</v>
      </c>
      <c r="O75" s="289">
        <f>VLOOKUP(A75,'K20'!$A$4:$BV$359,3)</f>
        <v>1950</v>
      </c>
      <c r="P75" s="289">
        <f>VLOOKUP(A75,'K20'!$A$4:$BV$359,26)</f>
        <v>52335</v>
      </c>
      <c r="R75" s="517"/>
      <c r="S75" s="517"/>
      <c r="T75" s="517"/>
    </row>
    <row r="76" spans="1:20" ht="13">
      <c r="A76" s="865">
        <v>1839</v>
      </c>
      <c r="B76" s="866" t="s">
        <v>195</v>
      </c>
      <c r="C76" s="289">
        <f>VLOOKUP($A76,K0kommunestruktur2019!$A$4:$N$425,K0kommunestruktur2020!C$3,FALSE)</f>
        <v>1088</v>
      </c>
      <c r="D76" s="177">
        <f>VLOOKUP($A76,K0kommunestruktur2019!$A$4:$N$425,K0kommunestruktur2020!D$3,FALSE)</f>
        <v>27234</v>
      </c>
      <c r="E76" s="289">
        <f>VLOOKUP($A76,K0kommunestruktur2019!$A$4:$N$425,K0kommunestruktur2020!E$3,FALSE)</f>
        <v>1058</v>
      </c>
      <c r="F76" s="177">
        <f>VLOOKUP($A76,K0kommunestruktur2019!$A$4:$N$425,K0kommunestruktur2020!F$3,FALSE)</f>
        <v>25978</v>
      </c>
      <c r="G76" s="289">
        <f>VLOOKUP($A76,K0kommunestruktur2019!$A$4:$N$425,K0kommunestruktur2020!G$3,FALSE)</f>
        <v>1034</v>
      </c>
      <c r="H76" s="177">
        <f>VLOOKUP($A76,K0kommunestruktur2019!$A$4:$N$425,K0kommunestruktur2020!H$3,FALSE)</f>
        <v>25014</v>
      </c>
      <c r="I76" s="289">
        <f>VLOOKUP($A76,K0kommunestruktur2019!$A$4:$N$425,K0kommunestruktur2020!I$3,FALSE)</f>
        <v>1043</v>
      </c>
      <c r="J76" s="177">
        <f>VLOOKUP($A76,K0kommunestruktur2019!$A$4:$N$425,K0kommunestruktur2020!J$3,FALSE)</f>
        <v>26048</v>
      </c>
      <c r="K76" s="289">
        <f>VLOOKUP($A76,K0kommunestruktur2019!$A$4:$N$425,K0kommunestruktur2020!K$3,FALSE)</f>
        <v>1029</v>
      </c>
      <c r="L76" s="177">
        <f>VLOOKUP($A76,K0kommunestruktur2019!$A$4:$N$425,K0kommunestruktur2020!L$3,FALSE)</f>
        <v>26982</v>
      </c>
      <c r="M76" s="289">
        <f>VLOOKUP($A76,K0kommunestruktur2019!$A$4:$N$425,K0kommunestruktur2020!M$3,FALSE)</f>
        <v>1022</v>
      </c>
      <c r="N76" s="177">
        <f>VLOOKUP($A76,K0kommunestruktur2019!$A$4:$N$425,K0kommunestruktur2020!N$3,FALSE)</f>
        <v>27743</v>
      </c>
      <c r="O76" s="289">
        <f>VLOOKUP(A76,'K20'!$A$4:$BV$359,3)</f>
        <v>1017</v>
      </c>
      <c r="P76" s="289">
        <f>VLOOKUP(A76,'K20'!$A$4:$BV$359,26)</f>
        <v>28080</v>
      </c>
      <c r="R76" s="517"/>
      <c r="S76" s="517"/>
      <c r="T76" s="517"/>
    </row>
    <row r="77" spans="1:20" ht="13">
      <c r="A77" s="865">
        <v>1840</v>
      </c>
      <c r="B77" s="866" t="s">
        <v>196</v>
      </c>
      <c r="C77" s="289">
        <f>VLOOKUP($A77,K0kommunestruktur2019!$A$4:$N$425,K0kommunestruktur2020!C$3,FALSE)</f>
        <v>4690</v>
      </c>
      <c r="D77" s="177">
        <f>VLOOKUP($A77,K0kommunestruktur2019!$A$4:$N$425,K0kommunestruktur2020!D$3,FALSE)</f>
        <v>89200</v>
      </c>
      <c r="E77" s="289">
        <f>VLOOKUP($A77,K0kommunestruktur2019!$A$4:$N$425,K0kommunestruktur2020!E$3,FALSE)</f>
        <v>4734</v>
      </c>
      <c r="F77" s="177">
        <f>VLOOKUP($A77,K0kommunestruktur2019!$A$4:$N$425,K0kommunestruktur2020!F$3,FALSE)</f>
        <v>97414</v>
      </c>
      <c r="G77" s="289">
        <f>VLOOKUP($A77,K0kommunestruktur2019!$A$4:$N$425,K0kommunestruktur2020!G$3,FALSE)</f>
        <v>4700</v>
      </c>
      <c r="H77" s="177">
        <f>VLOOKUP($A77,K0kommunestruktur2019!$A$4:$N$425,K0kommunestruktur2020!H$3,FALSE)</f>
        <v>108553</v>
      </c>
      <c r="I77" s="289">
        <f>VLOOKUP($A77,K0kommunestruktur2019!$A$4:$N$425,K0kommunestruktur2020!I$3,FALSE)</f>
        <v>4702</v>
      </c>
      <c r="J77" s="177">
        <f>VLOOKUP($A77,K0kommunestruktur2019!$A$4:$N$425,K0kommunestruktur2020!J$3,FALSE)</f>
        <v>111140</v>
      </c>
      <c r="K77" s="289">
        <f>VLOOKUP($A77,K0kommunestruktur2019!$A$4:$N$425,K0kommunestruktur2020!K$3,FALSE)</f>
        <v>4691</v>
      </c>
      <c r="L77" s="177">
        <f>VLOOKUP($A77,K0kommunestruktur2019!$A$4:$N$425,K0kommunestruktur2020!L$3,FALSE)</f>
        <v>110720</v>
      </c>
      <c r="M77" s="289">
        <f>VLOOKUP($A77,K0kommunestruktur2019!$A$4:$N$425,K0kommunestruktur2020!M$3,FALSE)</f>
        <v>4657</v>
      </c>
      <c r="N77" s="177">
        <f>VLOOKUP($A77,K0kommunestruktur2019!$A$4:$N$425,K0kommunestruktur2020!N$3,FALSE)</f>
        <v>111043</v>
      </c>
      <c r="O77" s="289">
        <f>VLOOKUP(A77,'K20'!$A$4:$BV$359,3)</f>
        <v>4671</v>
      </c>
      <c r="P77" s="289">
        <f>VLOOKUP(A77,'K20'!$A$4:$BV$359,26)</f>
        <v>111066</v>
      </c>
      <c r="R77" s="517"/>
      <c r="S77" s="517"/>
      <c r="T77" s="517"/>
    </row>
    <row r="78" spans="1:20" ht="13">
      <c r="A78" s="865">
        <v>1841</v>
      </c>
      <c r="B78" s="866" t="s">
        <v>197</v>
      </c>
      <c r="C78" s="289">
        <f>VLOOKUP($A78,K0kommunestruktur2019!$A$4:$N$425,K0kommunestruktur2020!C$3,FALSE)</f>
        <v>9556</v>
      </c>
      <c r="D78" s="177">
        <f>VLOOKUP($A78,K0kommunestruktur2019!$A$4:$N$425,K0kommunestruktur2020!D$3,FALSE)</f>
        <v>205253</v>
      </c>
      <c r="E78" s="289">
        <f>VLOOKUP($A78,K0kommunestruktur2019!$A$4:$N$425,K0kommunestruktur2020!E$3,FALSE)</f>
        <v>9622</v>
      </c>
      <c r="F78" s="177">
        <f>VLOOKUP($A78,K0kommunestruktur2019!$A$4:$N$425,K0kommunestruktur2020!F$3,FALSE)</f>
        <v>238903</v>
      </c>
      <c r="G78" s="289">
        <f>VLOOKUP($A78,K0kommunestruktur2019!$A$4:$N$425,K0kommunestruktur2020!G$3,FALSE)</f>
        <v>9604</v>
      </c>
      <c r="H78" s="177">
        <f>VLOOKUP($A78,K0kommunestruktur2019!$A$4:$N$425,K0kommunestruktur2020!H$3,FALSE)</f>
        <v>209670</v>
      </c>
      <c r="I78" s="289">
        <f>VLOOKUP($A78,K0kommunestruktur2019!$A$4:$N$425,K0kommunestruktur2020!I$3,FALSE)</f>
        <v>9729</v>
      </c>
      <c r="J78" s="177">
        <f>VLOOKUP($A78,K0kommunestruktur2019!$A$4:$N$425,K0kommunestruktur2020!J$3,FALSE)</f>
        <v>242289</v>
      </c>
      <c r="K78" s="289">
        <f>VLOOKUP($A78,K0kommunestruktur2019!$A$4:$N$425,K0kommunestruktur2020!K$3,FALSE)</f>
        <v>9775</v>
      </c>
      <c r="L78" s="177">
        <f>VLOOKUP($A78,K0kommunestruktur2019!$A$4:$N$425,K0kommunestruktur2020!L$3,FALSE)</f>
        <v>257308</v>
      </c>
      <c r="M78" s="289">
        <f>VLOOKUP($A78,K0kommunestruktur2019!$A$4:$N$425,K0kommunestruktur2020!M$3,FALSE)</f>
        <v>9760</v>
      </c>
      <c r="N78" s="177">
        <f>VLOOKUP($A78,K0kommunestruktur2019!$A$4:$N$425,K0kommunestruktur2020!N$3,FALSE)</f>
        <v>266024</v>
      </c>
      <c r="O78" s="289">
        <f>VLOOKUP(A78,'K20'!$A$4:$BV$359,3)</f>
        <v>9739</v>
      </c>
      <c r="P78" s="289">
        <f>VLOOKUP(A78,'K20'!$A$4:$BV$359,26)</f>
        <v>262631</v>
      </c>
      <c r="R78" s="517"/>
      <c r="S78" s="517"/>
      <c r="T78" s="517"/>
    </row>
    <row r="79" spans="1:20" ht="13">
      <c r="A79" s="865">
        <v>1845</v>
      </c>
      <c r="B79" s="866" t="s">
        <v>198</v>
      </c>
      <c r="C79" s="289">
        <f>VLOOKUP($A79,K0kommunestruktur2019!$A$4:$N$425,K0kommunestruktur2020!C$3,FALSE)</f>
        <v>1987</v>
      </c>
      <c r="D79" s="177">
        <f>VLOOKUP($A79,K0kommunestruktur2019!$A$4:$N$425,K0kommunestruktur2020!D$3,FALSE)</f>
        <v>52924</v>
      </c>
      <c r="E79" s="289">
        <f>VLOOKUP($A79,K0kommunestruktur2019!$A$4:$N$425,K0kommunestruktur2020!E$3,FALSE)</f>
        <v>1953</v>
      </c>
      <c r="F79" s="177">
        <f>VLOOKUP($A79,K0kommunestruktur2019!$A$4:$N$425,K0kommunestruktur2020!F$3,FALSE)</f>
        <v>53864</v>
      </c>
      <c r="G79" s="289">
        <f>VLOOKUP($A79,K0kommunestruktur2019!$A$4:$N$425,K0kommunestruktur2020!G$3,FALSE)</f>
        <v>1963</v>
      </c>
      <c r="H79" s="177">
        <f>VLOOKUP($A79,K0kommunestruktur2019!$A$4:$N$425,K0kommunestruktur2020!H$3,FALSE)</f>
        <v>55801</v>
      </c>
      <c r="I79" s="289">
        <f>VLOOKUP($A79,K0kommunestruktur2019!$A$4:$N$425,K0kommunestruktur2020!I$3,FALSE)</f>
        <v>1958</v>
      </c>
      <c r="J79" s="177">
        <f>VLOOKUP($A79,K0kommunestruktur2019!$A$4:$N$425,K0kommunestruktur2020!J$3,FALSE)</f>
        <v>57707</v>
      </c>
      <c r="K79" s="289">
        <f>VLOOKUP($A79,K0kommunestruktur2019!$A$4:$N$425,K0kommunestruktur2020!K$3,FALSE)</f>
        <v>1979</v>
      </c>
      <c r="L79" s="177">
        <f>VLOOKUP($A79,K0kommunestruktur2019!$A$4:$N$425,K0kommunestruktur2020!L$3,FALSE)</f>
        <v>58654</v>
      </c>
      <c r="M79" s="289">
        <f>VLOOKUP($A79,K0kommunestruktur2019!$A$4:$N$425,K0kommunestruktur2020!M$3,FALSE)</f>
        <v>1975</v>
      </c>
      <c r="N79" s="177">
        <f>VLOOKUP($A79,K0kommunestruktur2019!$A$4:$N$425,K0kommunestruktur2020!N$3,FALSE)</f>
        <v>60172</v>
      </c>
      <c r="O79" s="289">
        <f>VLOOKUP(A79,'K20'!$A$4:$BV$359,3)</f>
        <v>1926</v>
      </c>
      <c r="P79" s="289">
        <f>VLOOKUP(A79,'K20'!$A$4:$BV$359,26)</f>
        <v>59582</v>
      </c>
      <c r="R79" s="517"/>
      <c r="S79" s="517"/>
      <c r="T79" s="517"/>
    </row>
    <row r="80" spans="1:20" ht="13">
      <c r="A80" s="865">
        <v>1848</v>
      </c>
      <c r="B80" s="866" t="s">
        <v>199</v>
      </c>
      <c r="C80" s="289">
        <f>VLOOKUP($A80,K0kommunestruktur2019!$A$4:$N$425,K0kommunestruktur2020!C$3,FALSE)</f>
        <v>2579</v>
      </c>
      <c r="D80" s="177">
        <f>VLOOKUP($A80,K0kommunestruktur2019!$A$4:$N$425,K0kommunestruktur2020!D$3,FALSE)</f>
        <v>46019</v>
      </c>
      <c r="E80" s="289">
        <f>VLOOKUP($A80,K0kommunestruktur2019!$A$4:$N$425,K0kommunestruktur2020!E$3,FALSE)</f>
        <v>2507</v>
      </c>
      <c r="F80" s="177">
        <f>VLOOKUP($A80,K0kommunestruktur2019!$A$4:$N$425,K0kommunestruktur2020!F$3,FALSE)</f>
        <v>49325</v>
      </c>
      <c r="G80" s="289">
        <f>VLOOKUP($A80,K0kommunestruktur2019!$A$4:$N$425,K0kommunestruktur2020!G$3,FALSE)</f>
        <v>2543</v>
      </c>
      <c r="H80" s="177">
        <f>VLOOKUP($A80,K0kommunestruktur2019!$A$4:$N$425,K0kommunestruktur2020!H$3,FALSE)</f>
        <v>55924</v>
      </c>
      <c r="I80" s="289">
        <f>VLOOKUP($A80,K0kommunestruktur2019!$A$4:$N$425,K0kommunestruktur2020!I$3,FALSE)</f>
        <v>2543</v>
      </c>
      <c r="J80" s="177">
        <f>VLOOKUP($A80,K0kommunestruktur2019!$A$4:$N$425,K0kommunestruktur2020!J$3,FALSE)</f>
        <v>60787</v>
      </c>
      <c r="K80" s="289">
        <f>VLOOKUP($A80,K0kommunestruktur2019!$A$4:$N$425,K0kommunestruktur2020!K$3,FALSE)</f>
        <v>2534</v>
      </c>
      <c r="L80" s="177">
        <f>VLOOKUP($A80,K0kommunestruktur2019!$A$4:$N$425,K0kommunestruktur2020!L$3,FALSE)</f>
        <v>63418</v>
      </c>
      <c r="M80" s="289">
        <f>VLOOKUP($A80,K0kommunestruktur2019!$A$4:$N$425,K0kommunestruktur2020!M$3,FALSE)</f>
        <v>2576</v>
      </c>
      <c r="N80" s="177">
        <f>VLOOKUP($A80,K0kommunestruktur2019!$A$4:$N$425,K0kommunestruktur2020!N$3,FALSE)</f>
        <v>66236</v>
      </c>
      <c r="O80" s="289">
        <f>VLOOKUP(A80,'K20'!$A$4:$BV$359,3)</f>
        <v>2608</v>
      </c>
      <c r="P80" s="289">
        <f>VLOOKUP(A80,'K20'!$A$4:$BV$359,26)</f>
        <v>68850</v>
      </c>
      <c r="R80" s="517"/>
      <c r="S80" s="517"/>
      <c r="T80" s="517"/>
    </row>
    <row r="81" spans="1:20" ht="13">
      <c r="A81" s="865">
        <v>1851</v>
      </c>
      <c r="B81" s="866" t="s">
        <v>202</v>
      </c>
      <c r="C81" s="289">
        <f>VLOOKUP($A81,K0kommunestruktur2019!$A$4:$N$425,K0kommunestruktur2020!C$3,FALSE)</f>
        <v>2248</v>
      </c>
      <c r="D81" s="177">
        <f>VLOOKUP($A81,K0kommunestruktur2019!$A$4:$N$425,K0kommunestruktur2020!D$3,FALSE)</f>
        <v>43646</v>
      </c>
      <c r="E81" s="289">
        <f>VLOOKUP($A81,K0kommunestruktur2019!$A$4:$N$425,K0kommunestruktur2020!E$3,FALSE)</f>
        <v>2160</v>
      </c>
      <c r="F81" s="177">
        <f>VLOOKUP($A81,K0kommunestruktur2019!$A$4:$N$425,K0kommunestruktur2020!F$3,FALSE)</f>
        <v>46553</v>
      </c>
      <c r="G81" s="289">
        <f>VLOOKUP($A81,K0kommunestruktur2019!$A$4:$N$425,K0kommunestruktur2020!G$3,FALSE)</f>
        <v>2144</v>
      </c>
      <c r="H81" s="177">
        <f>VLOOKUP($A81,K0kommunestruktur2019!$A$4:$N$425,K0kommunestruktur2020!H$3,FALSE)</f>
        <v>49484</v>
      </c>
      <c r="I81" s="289">
        <f>VLOOKUP($A81,K0kommunestruktur2019!$A$4:$N$425,K0kommunestruktur2020!I$3,FALSE)</f>
        <v>2134</v>
      </c>
      <c r="J81" s="177">
        <f>VLOOKUP($A81,K0kommunestruktur2019!$A$4:$N$425,K0kommunestruktur2020!J$3,FALSE)</f>
        <v>50467</v>
      </c>
      <c r="K81" s="289">
        <f>VLOOKUP($A81,K0kommunestruktur2019!$A$4:$N$425,K0kommunestruktur2020!K$3,FALSE)</f>
        <v>2102</v>
      </c>
      <c r="L81" s="177">
        <f>VLOOKUP($A81,K0kommunestruktur2019!$A$4:$N$425,K0kommunestruktur2020!L$3,FALSE)</f>
        <v>52437</v>
      </c>
      <c r="M81" s="289">
        <f>VLOOKUP($A81,K0kommunestruktur2019!$A$4:$N$425,K0kommunestruktur2020!M$3,FALSE)</f>
        <v>2077</v>
      </c>
      <c r="N81" s="177">
        <f>VLOOKUP($A81,K0kommunestruktur2019!$A$4:$N$425,K0kommunestruktur2020!N$3,FALSE)</f>
        <v>52472</v>
      </c>
      <c r="O81" s="289">
        <f>VLOOKUP(A81,'K20'!$A$4:$BV$359,3)</f>
        <v>2034</v>
      </c>
      <c r="P81" s="289">
        <f>VLOOKUP(A81,'K20'!$A$4:$BV$359,26)</f>
        <v>53127</v>
      </c>
      <c r="R81" s="517"/>
      <c r="S81" s="517"/>
      <c r="T81" s="517"/>
    </row>
    <row r="82" spans="1:20" ht="13">
      <c r="A82" s="865">
        <v>1853</v>
      </c>
      <c r="B82" s="866" t="s">
        <v>204</v>
      </c>
      <c r="C82" s="289">
        <f>VLOOKUP($A82,K0kommunestruktur2019!$A$4:$N$425,K0kommunestruktur2020!C$3,FALSE)</f>
        <v>1391</v>
      </c>
      <c r="D82" s="177">
        <f>VLOOKUP($A82,K0kommunestruktur2019!$A$4:$N$425,K0kommunestruktur2020!D$3,FALSE)</f>
        <v>24670</v>
      </c>
      <c r="E82" s="289">
        <f>VLOOKUP($A82,K0kommunestruktur2019!$A$4:$N$425,K0kommunestruktur2020!E$3,FALSE)</f>
        <v>1385</v>
      </c>
      <c r="F82" s="177">
        <f>VLOOKUP($A82,K0kommunestruktur2019!$A$4:$N$425,K0kommunestruktur2020!F$3,FALSE)</f>
        <v>26418</v>
      </c>
      <c r="G82" s="289">
        <f>VLOOKUP($A82,K0kommunestruktur2019!$A$4:$N$425,K0kommunestruktur2020!G$3,FALSE)</f>
        <v>1400</v>
      </c>
      <c r="H82" s="177">
        <f>VLOOKUP($A82,K0kommunestruktur2019!$A$4:$N$425,K0kommunestruktur2020!H$3,FALSE)</f>
        <v>27912</v>
      </c>
      <c r="I82" s="289">
        <f>VLOOKUP($A82,K0kommunestruktur2019!$A$4:$N$425,K0kommunestruktur2020!I$3,FALSE)</f>
        <v>1402</v>
      </c>
      <c r="J82" s="177">
        <f>VLOOKUP($A82,K0kommunestruktur2019!$A$4:$N$425,K0kommunestruktur2020!J$3,FALSE)</f>
        <v>28976</v>
      </c>
      <c r="K82" s="289">
        <f>VLOOKUP($A82,K0kommunestruktur2019!$A$4:$N$425,K0kommunestruktur2020!K$3,FALSE)</f>
        <v>1387</v>
      </c>
      <c r="L82" s="177">
        <f>VLOOKUP($A82,K0kommunestruktur2019!$A$4:$N$425,K0kommunestruktur2020!L$3,FALSE)</f>
        <v>29781</v>
      </c>
      <c r="M82" s="289">
        <f>VLOOKUP($A82,K0kommunestruktur2019!$A$4:$N$425,K0kommunestruktur2020!M$3,FALSE)</f>
        <v>1387</v>
      </c>
      <c r="N82" s="177">
        <f>VLOOKUP($A82,K0kommunestruktur2019!$A$4:$N$425,K0kommunestruktur2020!N$3,FALSE)</f>
        <v>30761</v>
      </c>
      <c r="O82" s="289">
        <f>VLOOKUP(A82,'K20'!$A$4:$BV$359,3)</f>
        <v>1348</v>
      </c>
      <c r="P82" s="289">
        <f>VLOOKUP(A82,'K20'!$A$4:$BV$359,26)</f>
        <v>31152</v>
      </c>
      <c r="R82" s="517"/>
      <c r="S82" s="517"/>
      <c r="T82" s="517"/>
    </row>
    <row r="83" spans="1:20" ht="13">
      <c r="A83" s="865">
        <v>1856</v>
      </c>
      <c r="B83" s="866" t="s">
        <v>206</v>
      </c>
      <c r="C83" s="289">
        <f>VLOOKUP($A83,K0kommunestruktur2019!$A$4:$N$425,K0kommunestruktur2020!C$3,FALSE)</f>
        <v>566</v>
      </c>
      <c r="D83" s="177">
        <f>VLOOKUP($A83,K0kommunestruktur2019!$A$4:$N$425,K0kommunestruktur2020!D$3,FALSE)</f>
        <v>11661</v>
      </c>
      <c r="E83" s="289">
        <f>VLOOKUP($A83,K0kommunestruktur2019!$A$4:$N$425,K0kommunestruktur2020!E$3,FALSE)</f>
        <v>545</v>
      </c>
      <c r="F83" s="177">
        <f>VLOOKUP($A83,K0kommunestruktur2019!$A$4:$N$425,K0kommunestruktur2020!F$3,FALSE)</f>
        <v>13949</v>
      </c>
      <c r="G83" s="289">
        <f>VLOOKUP($A83,K0kommunestruktur2019!$A$4:$N$425,K0kommunestruktur2020!G$3,FALSE)</f>
        <v>551</v>
      </c>
      <c r="H83" s="177">
        <f>VLOOKUP($A83,K0kommunestruktur2019!$A$4:$N$425,K0kommunestruktur2020!H$3,FALSE)</f>
        <v>16165</v>
      </c>
      <c r="I83" s="289">
        <f>VLOOKUP($A83,K0kommunestruktur2019!$A$4:$N$425,K0kommunestruktur2020!I$3,FALSE)</f>
        <v>535</v>
      </c>
      <c r="J83" s="177">
        <f>VLOOKUP($A83,K0kommunestruktur2019!$A$4:$N$425,K0kommunestruktur2020!J$3,FALSE)</f>
        <v>17382</v>
      </c>
      <c r="K83" s="289">
        <f>VLOOKUP($A83,K0kommunestruktur2019!$A$4:$N$425,K0kommunestruktur2020!K$3,FALSE)</f>
        <v>517</v>
      </c>
      <c r="L83" s="177">
        <f>VLOOKUP($A83,K0kommunestruktur2019!$A$4:$N$425,K0kommunestruktur2020!L$3,FALSE)</f>
        <v>16310</v>
      </c>
      <c r="M83" s="289">
        <f>VLOOKUP($A83,K0kommunestruktur2019!$A$4:$N$425,K0kommunestruktur2020!M$3,FALSE)</f>
        <v>508</v>
      </c>
      <c r="N83" s="177">
        <f>VLOOKUP($A83,K0kommunestruktur2019!$A$4:$N$425,K0kommunestruktur2020!N$3,FALSE)</f>
        <v>18474</v>
      </c>
      <c r="O83" s="289">
        <f>VLOOKUP(A83,'K20'!$A$4:$BV$359,3)</f>
        <v>498</v>
      </c>
      <c r="P83" s="289">
        <f>VLOOKUP(A83,'K20'!$A$4:$BV$359,26)</f>
        <v>18270</v>
      </c>
      <c r="R83" s="517"/>
      <c r="S83" s="517"/>
      <c r="T83" s="517"/>
    </row>
    <row r="84" spans="1:20" ht="13">
      <c r="A84" s="865">
        <v>1857</v>
      </c>
      <c r="B84" s="866" t="s">
        <v>207</v>
      </c>
      <c r="C84" s="289">
        <f>VLOOKUP($A84,K0kommunestruktur2019!$A$4:$N$425,K0kommunestruktur2020!C$3,FALSE)</f>
        <v>777</v>
      </c>
      <c r="D84" s="177">
        <f>VLOOKUP($A84,K0kommunestruktur2019!$A$4:$N$425,K0kommunestruktur2020!D$3,FALSE)</f>
        <v>16048</v>
      </c>
      <c r="E84" s="289">
        <f>VLOOKUP($A84,K0kommunestruktur2019!$A$4:$N$425,K0kommunestruktur2020!E$3,FALSE)</f>
        <v>780</v>
      </c>
      <c r="F84" s="177">
        <f>VLOOKUP($A84,K0kommunestruktur2019!$A$4:$N$425,K0kommunestruktur2020!F$3,FALSE)</f>
        <v>18594</v>
      </c>
      <c r="G84" s="289">
        <f>VLOOKUP($A84,K0kommunestruktur2019!$A$4:$N$425,K0kommunestruktur2020!G$3,FALSE)</f>
        <v>765</v>
      </c>
      <c r="H84" s="177">
        <f>VLOOKUP($A84,K0kommunestruktur2019!$A$4:$N$425,K0kommunestruktur2020!H$3,FALSE)</f>
        <v>20793</v>
      </c>
      <c r="I84" s="289">
        <f>VLOOKUP($A84,K0kommunestruktur2019!$A$4:$N$425,K0kommunestruktur2020!I$3,FALSE)</f>
        <v>744</v>
      </c>
      <c r="J84" s="177">
        <f>VLOOKUP($A84,K0kommunestruktur2019!$A$4:$N$425,K0kommunestruktur2020!J$3,FALSE)</f>
        <v>22080</v>
      </c>
      <c r="K84" s="289">
        <f>VLOOKUP($A84,K0kommunestruktur2019!$A$4:$N$425,K0kommunestruktur2020!K$3,FALSE)</f>
        <v>746</v>
      </c>
      <c r="L84" s="177">
        <f>VLOOKUP($A84,K0kommunestruktur2019!$A$4:$N$425,K0kommunestruktur2020!L$3,FALSE)</f>
        <v>21713</v>
      </c>
      <c r="M84" s="289">
        <f>VLOOKUP($A84,K0kommunestruktur2019!$A$4:$N$425,K0kommunestruktur2020!M$3,FALSE)</f>
        <v>732</v>
      </c>
      <c r="N84" s="177">
        <f>VLOOKUP($A84,K0kommunestruktur2019!$A$4:$N$425,K0kommunestruktur2020!N$3,FALSE)</f>
        <v>22943</v>
      </c>
      <c r="O84" s="289">
        <f>VLOOKUP(A84,'K20'!$A$4:$BV$359,3)</f>
        <v>728</v>
      </c>
      <c r="P84" s="289">
        <f>VLOOKUP(A84,'K20'!$A$4:$BV$359,26)</f>
        <v>24227</v>
      </c>
      <c r="R84" s="517"/>
      <c r="S84" s="517"/>
      <c r="T84" s="517"/>
    </row>
    <row r="85" spans="1:20" ht="13">
      <c r="A85" s="865">
        <v>1859</v>
      </c>
      <c r="B85" s="866" t="s">
        <v>208</v>
      </c>
      <c r="C85" s="289">
        <f>VLOOKUP($A85,K0kommunestruktur2019!$A$4:$N$425,K0kommunestruktur2020!C$3,FALSE)</f>
        <v>1368</v>
      </c>
      <c r="D85" s="177">
        <f>VLOOKUP($A85,K0kommunestruktur2019!$A$4:$N$425,K0kommunestruktur2020!D$3,FALSE)</f>
        <v>26259</v>
      </c>
      <c r="E85" s="289">
        <f>VLOOKUP($A85,K0kommunestruktur2019!$A$4:$N$425,K0kommunestruktur2020!E$3,FALSE)</f>
        <v>1358</v>
      </c>
      <c r="F85" s="177">
        <f>VLOOKUP($A85,K0kommunestruktur2019!$A$4:$N$425,K0kommunestruktur2020!F$3,FALSE)</f>
        <v>28292</v>
      </c>
      <c r="G85" s="289">
        <f>VLOOKUP($A85,K0kommunestruktur2019!$A$4:$N$425,K0kommunestruktur2020!G$3,FALSE)</f>
        <v>1336</v>
      </c>
      <c r="H85" s="177">
        <f>VLOOKUP($A85,K0kommunestruktur2019!$A$4:$N$425,K0kommunestruktur2020!H$3,FALSE)</f>
        <v>32331</v>
      </c>
      <c r="I85" s="289">
        <f>VLOOKUP($A85,K0kommunestruktur2019!$A$4:$N$425,K0kommunestruktur2020!I$3,FALSE)</f>
        <v>1349</v>
      </c>
      <c r="J85" s="177">
        <f>VLOOKUP($A85,K0kommunestruktur2019!$A$4:$N$425,K0kommunestruktur2020!J$3,FALSE)</f>
        <v>35412</v>
      </c>
      <c r="K85" s="289">
        <f>VLOOKUP($A85,K0kommunestruktur2019!$A$4:$N$425,K0kommunestruktur2020!K$3,FALSE)</f>
        <v>1301</v>
      </c>
      <c r="L85" s="177">
        <f>VLOOKUP($A85,K0kommunestruktur2019!$A$4:$N$425,K0kommunestruktur2020!L$3,FALSE)</f>
        <v>37505</v>
      </c>
      <c r="M85" s="289">
        <f>VLOOKUP($A85,K0kommunestruktur2019!$A$4:$N$425,K0kommunestruktur2020!M$3,FALSE)</f>
        <v>1292</v>
      </c>
      <c r="N85" s="177">
        <f>VLOOKUP($A85,K0kommunestruktur2019!$A$4:$N$425,K0kommunestruktur2020!N$3,FALSE)</f>
        <v>40548</v>
      </c>
      <c r="O85" s="289">
        <f>VLOOKUP(A85,'K20'!$A$4:$BV$359,3)</f>
        <v>1272</v>
      </c>
      <c r="P85" s="289">
        <f>VLOOKUP(A85,'K20'!$A$4:$BV$359,26)</f>
        <v>40310</v>
      </c>
      <c r="R85" s="517"/>
      <c r="S85" s="517"/>
      <c r="T85" s="517"/>
    </row>
    <row r="86" spans="1:20" ht="13">
      <c r="A86" s="865">
        <v>1860</v>
      </c>
      <c r="B86" s="866" t="s">
        <v>209</v>
      </c>
      <c r="C86" s="289">
        <f>VLOOKUP($A86,K0kommunestruktur2019!$A$4:$N$425,K0kommunestruktur2020!C$3,FALSE)</f>
        <v>10997</v>
      </c>
      <c r="D86" s="177">
        <f>VLOOKUP($A86,K0kommunestruktur2019!$A$4:$N$425,K0kommunestruktur2020!D$3,FALSE)</f>
        <v>209102</v>
      </c>
      <c r="E86" s="289">
        <f>VLOOKUP($A86,K0kommunestruktur2019!$A$4:$N$425,K0kommunestruktur2020!E$3,FALSE)</f>
        <v>11140</v>
      </c>
      <c r="F86" s="177">
        <f>VLOOKUP($A86,K0kommunestruktur2019!$A$4:$N$425,K0kommunestruktur2020!F$3,FALSE)</f>
        <v>227662</v>
      </c>
      <c r="G86" s="289">
        <f>VLOOKUP($A86,K0kommunestruktur2019!$A$4:$N$425,K0kommunestruktur2020!G$3,FALSE)</f>
        <v>11198</v>
      </c>
      <c r="H86" s="177">
        <f>VLOOKUP($A86,K0kommunestruktur2019!$A$4:$N$425,K0kommunestruktur2020!H$3,FALSE)</f>
        <v>253493</v>
      </c>
      <c r="I86" s="289">
        <f>VLOOKUP($A86,K0kommunestruktur2019!$A$4:$N$425,K0kommunestruktur2020!I$3,FALSE)</f>
        <v>11294</v>
      </c>
      <c r="J86" s="177">
        <f>VLOOKUP($A86,K0kommunestruktur2019!$A$4:$N$425,K0kommunestruktur2020!J$3,FALSE)</f>
        <v>265381</v>
      </c>
      <c r="K86" s="289">
        <f>VLOOKUP($A86,K0kommunestruktur2019!$A$4:$N$425,K0kommunestruktur2020!K$3,FALSE)</f>
        <v>11397</v>
      </c>
      <c r="L86" s="177">
        <f>VLOOKUP($A86,K0kommunestruktur2019!$A$4:$N$425,K0kommunestruktur2020!L$3,FALSE)</f>
        <v>282252</v>
      </c>
      <c r="M86" s="289">
        <f>VLOOKUP($A86,K0kommunestruktur2019!$A$4:$N$425,K0kommunestruktur2020!M$3,FALSE)</f>
        <v>11480</v>
      </c>
      <c r="N86" s="177">
        <f>VLOOKUP($A86,K0kommunestruktur2019!$A$4:$N$425,K0kommunestruktur2020!N$3,FALSE)</f>
        <v>290256</v>
      </c>
      <c r="O86" s="289">
        <f>VLOOKUP(A86,'K20'!$A$4:$BV$359,3)</f>
        <v>11433</v>
      </c>
      <c r="P86" s="289">
        <f>VLOOKUP(A86,'K20'!$A$4:$BV$359,26)</f>
        <v>297869</v>
      </c>
      <c r="R86" s="517"/>
      <c r="S86" s="517"/>
      <c r="T86" s="517"/>
    </row>
    <row r="87" spans="1:20" ht="13">
      <c r="A87" s="865">
        <v>1865</v>
      </c>
      <c r="B87" s="866" t="s">
        <v>210</v>
      </c>
      <c r="C87" s="289">
        <f>VLOOKUP($A87,K0kommunestruktur2019!$A$4:$N$425,K0kommunestruktur2020!C$3,FALSE)</f>
        <v>9223</v>
      </c>
      <c r="D87" s="177">
        <f>VLOOKUP($A87,K0kommunestruktur2019!$A$4:$N$425,K0kommunestruktur2020!D$3,FALSE)</f>
        <v>176605</v>
      </c>
      <c r="E87" s="289">
        <f>VLOOKUP($A87,K0kommunestruktur2019!$A$4:$N$425,K0kommunestruktur2020!E$3,FALSE)</f>
        <v>9285</v>
      </c>
      <c r="F87" s="177">
        <f>VLOOKUP($A87,K0kommunestruktur2019!$A$4:$N$425,K0kommunestruktur2020!F$3,FALSE)</f>
        <v>202235</v>
      </c>
      <c r="G87" s="289">
        <f>VLOOKUP($A87,K0kommunestruktur2019!$A$4:$N$425,K0kommunestruktur2020!G$3,FALSE)</f>
        <v>9350</v>
      </c>
      <c r="H87" s="177">
        <f>VLOOKUP($A87,K0kommunestruktur2019!$A$4:$N$425,K0kommunestruktur2020!H$3,FALSE)</f>
        <v>224413</v>
      </c>
      <c r="I87" s="289">
        <f>VLOOKUP($A87,K0kommunestruktur2019!$A$4:$N$425,K0kommunestruktur2020!I$3,FALSE)</f>
        <v>9444</v>
      </c>
      <c r="J87" s="177">
        <f>VLOOKUP($A87,K0kommunestruktur2019!$A$4:$N$425,K0kommunestruktur2020!J$3,FALSE)</f>
        <v>240817</v>
      </c>
      <c r="K87" s="289">
        <f>VLOOKUP($A87,K0kommunestruktur2019!$A$4:$N$425,K0kommunestruktur2020!K$3,FALSE)</f>
        <v>9611</v>
      </c>
      <c r="L87" s="177">
        <f>VLOOKUP($A87,K0kommunestruktur2019!$A$4:$N$425,K0kommunestruktur2020!L$3,FALSE)</f>
        <v>268281</v>
      </c>
      <c r="M87" s="289">
        <f>VLOOKUP($A87,K0kommunestruktur2019!$A$4:$N$425,K0kommunestruktur2020!M$3,FALSE)</f>
        <v>9595</v>
      </c>
      <c r="N87" s="177">
        <f>VLOOKUP($A87,K0kommunestruktur2019!$A$4:$N$425,K0kommunestruktur2020!N$3,FALSE)</f>
        <v>278063</v>
      </c>
      <c r="O87" s="289">
        <f>VLOOKUP(A87,'K20'!$A$4:$BV$359,3)</f>
        <v>9608</v>
      </c>
      <c r="P87" s="289">
        <f>VLOOKUP(A87,'K20'!$A$4:$BV$359,26)</f>
        <v>274393</v>
      </c>
      <c r="R87" s="517"/>
      <c r="S87" s="517"/>
      <c r="T87" s="517"/>
    </row>
    <row r="88" spans="1:20" ht="13">
      <c r="A88" s="865">
        <v>1866</v>
      </c>
      <c r="B88" s="866" t="s">
        <v>211</v>
      </c>
      <c r="C88" s="289">
        <f>VLOOKUP($A88,K0kommunestruktur2019!$A$4:$N$425,K0kommunestruktur2020!C$3,FALSE)</f>
        <v>8112</v>
      </c>
      <c r="D88" s="177">
        <f>VLOOKUP($A88,K0kommunestruktur2019!$A$4:$N$425,K0kommunestruktur2020!D$3,FALSE)</f>
        <v>156987</v>
      </c>
      <c r="E88" s="289">
        <f>VLOOKUP($A88,K0kommunestruktur2019!$A$4:$N$425,K0kommunestruktur2020!E$3,FALSE)</f>
        <v>8057</v>
      </c>
      <c r="F88" s="177">
        <f>VLOOKUP($A88,K0kommunestruktur2019!$A$4:$N$425,K0kommunestruktur2020!F$3,FALSE)</f>
        <v>161270</v>
      </c>
      <c r="G88" s="289">
        <f>VLOOKUP($A88,K0kommunestruktur2019!$A$4:$N$425,K0kommunestruktur2020!G$3,FALSE)</f>
        <v>8082</v>
      </c>
      <c r="H88" s="177">
        <f>VLOOKUP($A88,K0kommunestruktur2019!$A$4:$N$425,K0kommunestruktur2020!H$3,FALSE)</f>
        <v>190925</v>
      </c>
      <c r="I88" s="289">
        <f>VLOOKUP($A88,K0kommunestruktur2019!$A$4:$N$425,K0kommunestruktur2020!I$3,FALSE)</f>
        <v>8009</v>
      </c>
      <c r="J88" s="177">
        <f>VLOOKUP($A88,K0kommunestruktur2019!$A$4:$N$425,K0kommunestruktur2020!J$3,FALSE)</f>
        <v>197825</v>
      </c>
      <c r="K88" s="289">
        <f>VLOOKUP($A88,K0kommunestruktur2019!$A$4:$N$425,K0kommunestruktur2020!K$3,FALSE)</f>
        <v>8042</v>
      </c>
      <c r="L88" s="177">
        <f>VLOOKUP($A88,K0kommunestruktur2019!$A$4:$N$425,K0kommunestruktur2020!L$3,FALSE)</f>
        <v>188411</v>
      </c>
      <c r="M88" s="289">
        <f>VLOOKUP($A88,K0kommunestruktur2019!$A$4:$N$425,K0kommunestruktur2020!M$3,FALSE)</f>
        <v>8091</v>
      </c>
      <c r="N88" s="177">
        <f>VLOOKUP($A88,K0kommunestruktur2019!$A$4:$N$425,K0kommunestruktur2020!N$3,FALSE)</f>
        <v>199930</v>
      </c>
      <c r="O88" s="289">
        <f>VLOOKUP(A88,'K20'!$A$4:$BV$359,3)</f>
        <v>8061</v>
      </c>
      <c r="P88" s="289">
        <f>VLOOKUP(A88,'K20'!$A$4:$BV$359,26)</f>
        <v>229795</v>
      </c>
      <c r="R88" s="517"/>
      <c r="S88" s="517"/>
      <c r="T88" s="517"/>
    </row>
    <row r="89" spans="1:20" ht="13">
      <c r="A89" s="865">
        <v>1867</v>
      </c>
      <c r="B89" s="866" t="s">
        <v>913</v>
      </c>
      <c r="C89" s="289">
        <f>VLOOKUP($A89,K0kommunestruktur2019!$A$4:$N$425,K0kommunestruktur2020!C$3,FALSE)</f>
        <v>2642</v>
      </c>
      <c r="D89" s="177">
        <f>VLOOKUP($A89,K0kommunestruktur2019!$A$4:$N$425,K0kommunestruktur2020!D$3,FALSE)</f>
        <v>42197</v>
      </c>
      <c r="E89" s="289">
        <f>VLOOKUP($A89,K0kommunestruktur2019!$A$4:$N$425,K0kommunestruktur2020!E$3,FALSE)</f>
        <v>2642</v>
      </c>
      <c r="F89" s="177">
        <f>VLOOKUP($A89,K0kommunestruktur2019!$A$4:$N$425,K0kommunestruktur2020!F$3,FALSE)</f>
        <v>45774</v>
      </c>
      <c r="G89" s="289">
        <f>VLOOKUP($A89,K0kommunestruktur2019!$A$4:$N$425,K0kommunestruktur2020!G$3,FALSE)</f>
        <v>2632</v>
      </c>
      <c r="H89" s="177">
        <f>VLOOKUP($A89,K0kommunestruktur2019!$A$4:$N$425,K0kommunestruktur2020!H$3,FALSE)</f>
        <v>52082</v>
      </c>
      <c r="I89" s="289">
        <f>VLOOKUP($A89,K0kommunestruktur2019!$A$4:$N$425,K0kommunestruktur2020!I$3,FALSE)</f>
        <v>2624</v>
      </c>
      <c r="J89" s="177">
        <f>VLOOKUP($A89,K0kommunestruktur2019!$A$4:$N$425,K0kommunestruktur2020!J$3,FALSE)</f>
        <v>54754</v>
      </c>
      <c r="K89" s="289">
        <f>VLOOKUP($A89,K0kommunestruktur2019!$A$4:$N$425,K0kommunestruktur2020!K$3,FALSE)</f>
        <v>2623</v>
      </c>
      <c r="L89" s="177">
        <f>VLOOKUP($A89,K0kommunestruktur2019!$A$4:$N$425,K0kommunestruktur2020!L$3,FALSE)</f>
        <v>61567</v>
      </c>
      <c r="M89" s="289">
        <f>VLOOKUP($A89,K0kommunestruktur2019!$A$4:$N$425,K0kommunestruktur2020!M$3,FALSE)</f>
        <v>2616</v>
      </c>
      <c r="N89" s="177">
        <f>VLOOKUP($A89,K0kommunestruktur2019!$A$4:$N$425,K0kommunestruktur2020!N$3,FALSE)</f>
        <v>64569</v>
      </c>
      <c r="O89" s="289">
        <f>VLOOKUP(A89,'K20'!$A$4:$BV$359,3)</f>
        <v>2569</v>
      </c>
      <c r="P89" s="289">
        <f>VLOOKUP(A89,'K20'!$A$4:$BV$359,26)</f>
        <v>63494</v>
      </c>
      <c r="R89" s="517"/>
      <c r="S89" s="517"/>
      <c r="T89" s="517"/>
    </row>
    <row r="90" spans="1:20" ht="13">
      <c r="A90" s="865">
        <v>1868</v>
      </c>
      <c r="B90" s="866" t="s">
        <v>212</v>
      </c>
      <c r="C90" s="289">
        <f>VLOOKUP($A90,K0kommunestruktur2019!$A$4:$N$425,K0kommunestruktur2020!C$3,FALSE)</f>
        <v>4562</v>
      </c>
      <c r="D90" s="177">
        <f>VLOOKUP($A90,K0kommunestruktur2019!$A$4:$N$425,K0kommunestruktur2020!D$3,FALSE)</f>
        <v>88777</v>
      </c>
      <c r="E90" s="289">
        <f>VLOOKUP($A90,K0kommunestruktur2019!$A$4:$N$425,K0kommunestruktur2020!E$3,FALSE)</f>
        <v>4563</v>
      </c>
      <c r="F90" s="177">
        <f>VLOOKUP($A90,K0kommunestruktur2019!$A$4:$N$425,K0kommunestruktur2020!F$3,FALSE)</f>
        <v>96911</v>
      </c>
      <c r="G90" s="289">
        <f>VLOOKUP($A90,K0kommunestruktur2019!$A$4:$N$425,K0kommunestruktur2020!G$3,FALSE)</f>
        <v>4529</v>
      </c>
      <c r="H90" s="177">
        <f>VLOOKUP($A90,K0kommunestruktur2019!$A$4:$N$425,K0kommunestruktur2020!H$3,FALSE)</f>
        <v>105787</v>
      </c>
      <c r="I90" s="289">
        <f>VLOOKUP($A90,K0kommunestruktur2019!$A$4:$N$425,K0kommunestruktur2020!I$3,FALSE)</f>
        <v>4580</v>
      </c>
      <c r="J90" s="177">
        <f>VLOOKUP($A90,K0kommunestruktur2019!$A$4:$N$425,K0kommunestruktur2020!J$3,FALSE)</f>
        <v>109552</v>
      </c>
      <c r="K90" s="289">
        <f>VLOOKUP($A90,K0kommunestruktur2019!$A$4:$N$425,K0kommunestruktur2020!K$3,FALSE)</f>
        <v>4541</v>
      </c>
      <c r="L90" s="177">
        <f>VLOOKUP($A90,K0kommunestruktur2019!$A$4:$N$425,K0kommunestruktur2020!L$3,FALSE)</f>
        <v>122118</v>
      </c>
      <c r="M90" s="289">
        <f>VLOOKUP($A90,K0kommunestruktur2019!$A$4:$N$425,K0kommunestruktur2020!M$3,FALSE)</f>
        <v>4449</v>
      </c>
      <c r="N90" s="177">
        <f>VLOOKUP($A90,K0kommunestruktur2019!$A$4:$N$425,K0kommunestruktur2020!N$3,FALSE)</f>
        <v>126035</v>
      </c>
      <c r="O90" s="289">
        <f>VLOOKUP(A90,'K20'!$A$4:$BV$359,3)</f>
        <v>4410</v>
      </c>
      <c r="P90" s="289">
        <f>VLOOKUP(A90,'K20'!$A$4:$BV$359,26)</f>
        <v>120986</v>
      </c>
      <c r="R90" s="517"/>
      <c r="S90" s="517"/>
      <c r="T90" s="517"/>
    </row>
    <row r="91" spans="1:20" ht="13">
      <c r="A91" s="865">
        <v>1870</v>
      </c>
      <c r="B91" s="866" t="s">
        <v>213</v>
      </c>
      <c r="C91" s="289">
        <f>VLOOKUP($A91,K0kommunestruktur2019!$A$4:$N$425,K0kommunestruktur2020!C$3,FALSE)</f>
        <v>10129</v>
      </c>
      <c r="D91" s="177">
        <f>VLOOKUP($A91,K0kommunestruktur2019!$A$4:$N$425,K0kommunestruktur2020!D$3,FALSE)</f>
        <v>197249</v>
      </c>
      <c r="E91" s="289">
        <f>VLOOKUP($A91,K0kommunestruktur2019!$A$4:$N$425,K0kommunestruktur2020!E$3,FALSE)</f>
        <v>10166</v>
      </c>
      <c r="F91" s="177">
        <f>VLOOKUP($A91,K0kommunestruktur2019!$A$4:$N$425,K0kommunestruktur2020!F$3,FALSE)</f>
        <v>213192</v>
      </c>
      <c r="G91" s="289">
        <f>VLOOKUP($A91,K0kommunestruktur2019!$A$4:$N$425,K0kommunestruktur2020!G$3,FALSE)</f>
        <v>10214</v>
      </c>
      <c r="H91" s="177">
        <f>VLOOKUP($A91,K0kommunestruktur2019!$A$4:$N$425,K0kommunestruktur2020!H$3,FALSE)</f>
        <v>236542</v>
      </c>
      <c r="I91" s="289">
        <f>VLOOKUP($A91,K0kommunestruktur2019!$A$4:$N$425,K0kommunestruktur2020!I$3,FALSE)</f>
        <v>10378</v>
      </c>
      <c r="J91" s="177">
        <f>VLOOKUP($A91,K0kommunestruktur2019!$A$4:$N$425,K0kommunestruktur2020!J$3,FALSE)</f>
        <v>247240</v>
      </c>
      <c r="K91" s="289">
        <f>VLOOKUP($A91,K0kommunestruktur2019!$A$4:$N$425,K0kommunestruktur2020!K$3,FALSE)</f>
        <v>10401</v>
      </c>
      <c r="L91" s="177">
        <f>VLOOKUP($A91,K0kommunestruktur2019!$A$4:$N$425,K0kommunestruktur2020!L$3,FALSE)</f>
        <v>270129</v>
      </c>
      <c r="M91" s="289">
        <f>VLOOKUP($A91,K0kommunestruktur2019!$A$4:$N$425,K0kommunestruktur2020!M$3,FALSE)</f>
        <v>10518</v>
      </c>
      <c r="N91" s="177">
        <f>VLOOKUP($A91,K0kommunestruktur2019!$A$4:$N$425,K0kommunestruktur2020!N$3,FALSE)</f>
        <v>279319</v>
      </c>
      <c r="O91" s="289">
        <f>VLOOKUP(A91,'K20'!$A$4:$BV$359,3)</f>
        <v>10566</v>
      </c>
      <c r="P91" s="289">
        <f>VLOOKUP(A91,'K20'!$A$4:$BV$359,26)</f>
        <v>286545</v>
      </c>
      <c r="R91" s="517"/>
      <c r="S91" s="517"/>
      <c r="T91" s="517"/>
    </row>
    <row r="92" spans="1:20" ht="13">
      <c r="A92" s="865">
        <v>1871</v>
      </c>
      <c r="B92" s="866" t="s">
        <v>214</v>
      </c>
      <c r="C92" s="289">
        <f>VLOOKUP($A92,K0kommunestruktur2019!$A$4:$N$425,K0kommunestruktur2020!C$3,FALSE)</f>
        <v>4993</v>
      </c>
      <c r="D92" s="177">
        <f>VLOOKUP($A92,K0kommunestruktur2019!$A$4:$N$425,K0kommunestruktur2020!D$3,FALSE)</f>
        <v>97841</v>
      </c>
      <c r="E92" s="289">
        <f>VLOOKUP($A92,K0kommunestruktur2019!$A$4:$N$425,K0kommunestruktur2020!E$3,FALSE)</f>
        <v>4991</v>
      </c>
      <c r="F92" s="177">
        <f>VLOOKUP($A92,K0kommunestruktur2019!$A$4:$N$425,K0kommunestruktur2020!F$3,FALSE)</f>
        <v>105566</v>
      </c>
      <c r="G92" s="289">
        <f>VLOOKUP($A92,K0kommunestruktur2019!$A$4:$N$425,K0kommunestruktur2020!G$3,FALSE)</f>
        <v>4980</v>
      </c>
      <c r="H92" s="177">
        <f>VLOOKUP($A92,K0kommunestruktur2019!$A$4:$N$425,K0kommunestruktur2020!H$3,FALSE)</f>
        <v>110513</v>
      </c>
      <c r="I92" s="289">
        <f>VLOOKUP($A92,K0kommunestruktur2019!$A$4:$N$425,K0kommunestruktur2020!I$3,FALSE)</f>
        <v>4908</v>
      </c>
      <c r="J92" s="177">
        <f>VLOOKUP($A92,K0kommunestruktur2019!$A$4:$N$425,K0kommunestruktur2020!J$3,FALSE)</f>
        <v>114562</v>
      </c>
      <c r="K92" s="289">
        <f>VLOOKUP($A92,K0kommunestruktur2019!$A$4:$N$425,K0kommunestruktur2020!K$3,FALSE)</f>
        <v>4902</v>
      </c>
      <c r="L92" s="177">
        <f>VLOOKUP($A92,K0kommunestruktur2019!$A$4:$N$425,K0kommunestruktur2020!L$3,FALSE)</f>
        <v>134742</v>
      </c>
      <c r="M92" s="289">
        <f>VLOOKUP($A92,K0kommunestruktur2019!$A$4:$N$425,K0kommunestruktur2020!M$3,FALSE)</f>
        <v>4771</v>
      </c>
      <c r="N92" s="177">
        <f>VLOOKUP($A92,K0kommunestruktur2019!$A$4:$N$425,K0kommunestruktur2020!N$3,FALSE)</f>
        <v>127446</v>
      </c>
      <c r="O92" s="289">
        <f>VLOOKUP(A92,'K20'!$A$4:$BV$359,3)</f>
        <v>4663</v>
      </c>
      <c r="P92" s="289">
        <f>VLOOKUP(A92,'K20'!$A$4:$BV$359,26)</f>
        <v>118622</v>
      </c>
      <c r="R92" s="517"/>
      <c r="S92" s="517"/>
      <c r="T92" s="517"/>
    </row>
    <row r="93" spans="1:20" ht="13">
      <c r="A93" s="865">
        <v>1874</v>
      </c>
      <c r="B93" s="866" t="s">
        <v>215</v>
      </c>
      <c r="C93" s="289">
        <f>VLOOKUP($A93,K0kommunestruktur2019!$A$4:$N$425,K0kommunestruktur2020!C$3,FALSE)</f>
        <v>1108</v>
      </c>
      <c r="D93" s="177">
        <f>VLOOKUP($A93,K0kommunestruktur2019!$A$4:$N$425,K0kommunestruktur2020!D$3,FALSE)</f>
        <v>23459</v>
      </c>
      <c r="E93" s="289">
        <f>VLOOKUP($A93,K0kommunestruktur2019!$A$4:$N$425,K0kommunestruktur2020!E$3,FALSE)</f>
        <v>1070</v>
      </c>
      <c r="F93" s="177">
        <f>VLOOKUP($A93,K0kommunestruktur2019!$A$4:$N$425,K0kommunestruktur2020!F$3,FALSE)</f>
        <v>25475</v>
      </c>
      <c r="G93" s="289">
        <f>VLOOKUP($A93,K0kommunestruktur2019!$A$4:$N$425,K0kommunestruktur2020!G$3,FALSE)</f>
        <v>1062</v>
      </c>
      <c r="H93" s="177">
        <f>VLOOKUP($A93,K0kommunestruktur2019!$A$4:$N$425,K0kommunestruktur2020!H$3,FALSE)</f>
        <v>25619</v>
      </c>
      <c r="I93" s="289">
        <f>VLOOKUP($A93,K0kommunestruktur2019!$A$4:$N$425,K0kommunestruktur2020!I$3,FALSE)</f>
        <v>1073</v>
      </c>
      <c r="J93" s="177">
        <f>VLOOKUP($A93,K0kommunestruktur2019!$A$4:$N$425,K0kommunestruktur2020!J$3,FALSE)</f>
        <v>28995</v>
      </c>
      <c r="K93" s="289">
        <f>VLOOKUP($A93,K0kommunestruktur2019!$A$4:$N$425,K0kommunestruktur2020!K$3,FALSE)</f>
        <v>1068</v>
      </c>
      <c r="L93" s="177">
        <f>VLOOKUP($A93,K0kommunestruktur2019!$A$4:$N$425,K0kommunestruktur2020!L$3,FALSE)</f>
        <v>30852</v>
      </c>
      <c r="M93" s="289">
        <f>VLOOKUP($A93,K0kommunestruktur2019!$A$4:$N$425,K0kommunestruktur2020!M$3,FALSE)</f>
        <v>1039</v>
      </c>
      <c r="N93" s="177">
        <f>VLOOKUP($A93,K0kommunestruktur2019!$A$4:$N$425,K0kommunestruktur2020!N$3,FALSE)</f>
        <v>34001</v>
      </c>
      <c r="O93" s="289">
        <f>VLOOKUP(A93,'K20'!$A$4:$BV$359,3)</f>
        <v>1015</v>
      </c>
      <c r="P93" s="289">
        <f>VLOOKUP(A93,'K20'!$A$4:$BV$359,26)</f>
        <v>31448</v>
      </c>
      <c r="R93" s="517"/>
      <c r="S93" s="517"/>
      <c r="T93" s="517"/>
    </row>
    <row r="94" spans="1:20" ht="13">
      <c r="A94" s="878">
        <v>1875</v>
      </c>
      <c r="B94" s="883" t="s">
        <v>1617</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78142.559819913411</v>
      </c>
      <c r="O94" s="289">
        <f>VLOOKUP(A94,'K20'!$A$4:$BV$359,3)</f>
        <v>2766</v>
      </c>
      <c r="P94" s="289">
        <f>VLOOKUP(A94,'K20'!$A$4:$BV$359,26)</f>
        <v>78376</v>
      </c>
      <c r="R94" s="517"/>
      <c r="S94" s="517"/>
      <c r="T94" s="517"/>
    </row>
    <row r="95" spans="1:20" ht="13">
      <c r="A95" s="865">
        <v>3001</v>
      </c>
      <c r="B95" s="866" t="s">
        <v>783</v>
      </c>
      <c r="C95" s="289">
        <f>VLOOKUP($A95,K0kommunestruktur2019!$A$4:$N$425,K0kommunestruktur2020!C$3,FALSE)</f>
        <v>30132</v>
      </c>
      <c r="D95" s="177">
        <f>VLOOKUP($A95,K0kommunestruktur2019!$A$4:$N$425,K0kommunestruktur2020!D$3,FALSE)</f>
        <v>578670</v>
      </c>
      <c r="E95" s="289">
        <f>VLOOKUP($A95,K0kommunestruktur2019!$A$4:$N$425,K0kommunestruktur2020!E$3,FALSE)</f>
        <v>30328</v>
      </c>
      <c r="F95" s="177">
        <f>VLOOKUP($A95,K0kommunestruktur2019!$A$4:$N$425,K0kommunestruktur2020!F$3,FALSE)</f>
        <v>622874</v>
      </c>
      <c r="G95" s="289">
        <f>VLOOKUP($A95,K0kommunestruktur2019!$A$4:$N$425,K0kommunestruktur2020!G$3,FALSE)</f>
        <v>30544</v>
      </c>
      <c r="H95" s="177">
        <f>VLOOKUP($A95,K0kommunestruktur2019!$A$4:$N$425,K0kommunestruktur2020!H$3,FALSE)</f>
        <v>694774</v>
      </c>
      <c r="I95" s="289">
        <f>VLOOKUP($A95,K0kommunestruktur2019!$A$4:$N$425,K0kommunestruktur2020!I$3,FALSE)</f>
        <v>30790</v>
      </c>
      <c r="J95" s="177">
        <f>VLOOKUP($A95,K0kommunestruktur2019!$A$4:$N$425,K0kommunestruktur2020!J$3,FALSE)</f>
        <v>718818</v>
      </c>
      <c r="K95" s="289">
        <f>VLOOKUP($A95,K0kommunestruktur2019!$A$4:$N$425,K0kommunestruktur2020!K$3,FALSE)</f>
        <v>31037</v>
      </c>
      <c r="L95" s="177">
        <f>VLOOKUP($A95,K0kommunestruktur2019!$A$4:$N$425,K0kommunestruktur2020!L$3,FALSE)</f>
        <v>758714</v>
      </c>
      <c r="M95" s="289">
        <f>VLOOKUP($A95,K0kommunestruktur2019!$A$4:$N$425,K0kommunestruktur2020!M$3,FALSE)</f>
        <v>31177</v>
      </c>
      <c r="N95" s="177">
        <f>VLOOKUP($A95,K0kommunestruktur2019!$A$4:$N$425,K0kommunestruktur2020!N$3,FALSE)</f>
        <v>767877</v>
      </c>
      <c r="O95" s="289">
        <f>VLOOKUP(A95,'K20'!$A$4:$BV$359,3)</f>
        <v>31373</v>
      </c>
      <c r="P95" s="289">
        <f>VLOOKUP(A95,'K20'!$A$4:$BV$359,26)</f>
        <v>771295</v>
      </c>
      <c r="R95" s="517"/>
      <c r="S95" s="517"/>
      <c r="T95" s="517"/>
    </row>
    <row r="96" spans="1:20" ht="13">
      <c r="A96" s="878">
        <v>3002</v>
      </c>
      <c r="B96" s="883" t="s">
        <v>1618</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VLOOKUP(A96,'K20'!$A$4:$BV$359,3)</f>
        <v>49273</v>
      </c>
      <c r="P96" s="289">
        <f>VLOOKUP(A96,'K20'!$A$4:$BV$359,26)</f>
        <v>1373136</v>
      </c>
      <c r="R96" s="517"/>
      <c r="S96" s="517"/>
      <c r="T96" s="517"/>
    </row>
    <row r="97" spans="1:20" ht="13">
      <c r="A97" s="865">
        <v>3003</v>
      </c>
      <c r="B97" s="866" t="s">
        <v>785</v>
      </c>
      <c r="C97" s="289">
        <f>VLOOKUP($A97,K0kommunestruktur2019!$A$4:$N$425,K0kommunestruktur2020!C$3,FALSE)</f>
        <v>54059</v>
      </c>
      <c r="D97" s="177">
        <f>VLOOKUP($A97,K0kommunestruktur2019!$A$4:$N$425,K0kommunestruktur2020!D$3,FALSE)</f>
        <v>1032285</v>
      </c>
      <c r="E97" s="289">
        <f>VLOOKUP($A97,K0kommunestruktur2019!$A$4:$N$425,K0kommunestruktur2020!E$3,FALSE)</f>
        <v>54192</v>
      </c>
      <c r="F97" s="177">
        <f>VLOOKUP($A97,K0kommunestruktur2019!$A$4:$N$425,K0kommunestruktur2020!F$3,FALSE)</f>
        <v>1110209</v>
      </c>
      <c r="G97" s="289">
        <f>VLOOKUP($A97,K0kommunestruktur2019!$A$4:$N$425,K0kommunestruktur2020!G$3,FALSE)</f>
        <v>54678</v>
      </c>
      <c r="H97" s="177">
        <f>VLOOKUP($A97,K0kommunestruktur2019!$A$4:$N$425,K0kommunestruktur2020!H$3,FALSE)</f>
        <v>1254916</v>
      </c>
      <c r="I97" s="289">
        <f>VLOOKUP($A97,K0kommunestruktur2019!$A$4:$N$425,K0kommunestruktur2020!I$3,FALSE)</f>
        <v>55127</v>
      </c>
      <c r="J97" s="177">
        <f>VLOOKUP($A97,K0kommunestruktur2019!$A$4:$N$425,K0kommunestruktur2020!J$3,FALSE)</f>
        <v>1290591</v>
      </c>
      <c r="K97" s="289">
        <f>VLOOKUP($A97,K0kommunestruktur2019!$A$4:$N$425,K0kommunestruktur2020!K$3,FALSE)</f>
        <v>55543</v>
      </c>
      <c r="L97" s="177">
        <f>VLOOKUP($A97,K0kommunestruktur2019!$A$4:$N$425,K0kommunestruktur2020!L$3,FALSE)</f>
        <v>1352585</v>
      </c>
      <c r="M97" s="289">
        <f>VLOOKUP($A97,K0kommunestruktur2019!$A$4:$N$425,K0kommunestruktur2020!M$3,FALSE)</f>
        <v>55997</v>
      </c>
      <c r="N97" s="177">
        <f>VLOOKUP($A97,K0kommunestruktur2019!$A$4:$N$425,K0kommunestruktur2020!N$3,FALSE)</f>
        <v>1416352</v>
      </c>
      <c r="O97" s="289">
        <f>VLOOKUP(A97,'K20'!$A$4:$BV$359,3)</f>
        <v>56732</v>
      </c>
      <c r="P97" s="289">
        <f>VLOOKUP(A97,'K20'!$A$4:$BV$359,26)</f>
        <v>1427126</v>
      </c>
      <c r="R97" s="517"/>
      <c r="S97" s="517"/>
      <c r="T97" s="517"/>
    </row>
    <row r="98" spans="1:20" ht="13">
      <c r="A98" s="865">
        <v>3004</v>
      </c>
      <c r="B98" s="866" t="s">
        <v>786</v>
      </c>
      <c r="C98" s="289">
        <f>VLOOKUP($A98,K0kommunestruktur2019!$A$4:$N$425,K0kommunestruktur2020!C$3,FALSE)</f>
        <v>77591</v>
      </c>
      <c r="D98" s="177">
        <f>VLOOKUP($A98,K0kommunestruktur2019!$A$4:$N$425,K0kommunestruktur2020!D$3,FALSE)</f>
        <v>1625623</v>
      </c>
      <c r="E98" s="289">
        <f>VLOOKUP($A98,K0kommunestruktur2019!$A$4:$N$425,K0kommunestruktur2020!E$3,FALSE)</f>
        <v>78159</v>
      </c>
      <c r="F98" s="177">
        <f>VLOOKUP($A98,K0kommunestruktur2019!$A$4:$N$425,K0kommunestruktur2020!F$3,FALSE)</f>
        <v>1719479</v>
      </c>
      <c r="G98" s="289">
        <f>VLOOKUP($A98,K0kommunestruktur2019!$A$4:$N$425,K0kommunestruktur2020!G$3,FALSE)</f>
        <v>78967</v>
      </c>
      <c r="H98" s="177">
        <f>VLOOKUP($A98,K0kommunestruktur2019!$A$4:$N$425,K0kommunestruktur2020!H$3,FALSE)</f>
        <v>1889857</v>
      </c>
      <c r="I98" s="289">
        <f>VLOOKUP($A98,K0kommunestruktur2019!$A$4:$N$425,K0kommunestruktur2020!I$3,FALSE)</f>
        <v>80121</v>
      </c>
      <c r="J98" s="177">
        <f>VLOOKUP($A98,K0kommunestruktur2019!$A$4:$N$425,K0kommunestruktur2020!J$3,FALSE)</f>
        <v>1991852</v>
      </c>
      <c r="K98" s="289">
        <f>VLOOKUP($A98,K0kommunestruktur2019!$A$4:$N$425,K0kommunestruktur2020!K$3,FALSE)</f>
        <v>80977</v>
      </c>
      <c r="L98" s="177">
        <f>VLOOKUP($A98,K0kommunestruktur2019!$A$4:$N$425,K0kommunestruktur2020!L$3,FALSE)</f>
        <v>2095333</v>
      </c>
      <c r="M98" s="289">
        <f>VLOOKUP($A98,K0kommunestruktur2019!$A$4:$N$425,K0kommunestruktur2020!M$3,FALSE)</f>
        <v>81772</v>
      </c>
      <c r="N98" s="177">
        <f>VLOOKUP($A98,K0kommunestruktur2019!$A$4:$N$425,K0kommunestruktur2020!N$3,FALSE)</f>
        <v>2241352</v>
      </c>
      <c r="O98" s="289">
        <f>VLOOKUP(A98,'K20'!$A$4:$BV$359,3)</f>
        <v>82385</v>
      </c>
      <c r="P98" s="289">
        <f>VLOOKUP(A98,'K20'!$A$4:$BV$359,26)</f>
        <v>2171553</v>
      </c>
      <c r="R98" s="517"/>
      <c r="S98" s="517"/>
      <c r="T98" s="517"/>
    </row>
    <row r="99" spans="1:20" ht="13">
      <c r="A99" s="878">
        <v>3005</v>
      </c>
      <c r="B99" s="883" t="s">
        <v>1619</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VLOOKUP(A99,'K20'!$A$4:$BV$359,3)</f>
        <v>101386</v>
      </c>
      <c r="P99" s="289">
        <f>VLOOKUP(A99,'K20'!$A$4:$BV$359,26)</f>
        <v>2988879</v>
      </c>
      <c r="R99" s="517"/>
      <c r="S99" s="517"/>
      <c r="T99" s="517"/>
    </row>
    <row r="100" spans="1:20" ht="13">
      <c r="A100" s="865">
        <v>3006</v>
      </c>
      <c r="B100" s="866" t="s">
        <v>872</v>
      </c>
      <c r="C100" s="289">
        <f>VLOOKUP($A100,K0kommunestruktur2019!$A$4:$N$425,K0kommunestruktur2020!C$3,FALSE)</f>
        <v>26406</v>
      </c>
      <c r="D100" s="177">
        <f>VLOOKUP($A100,K0kommunestruktur2019!$A$4:$N$425,K0kommunestruktur2020!D$3,FALSE)</f>
        <v>752839</v>
      </c>
      <c r="E100" s="289">
        <f>VLOOKUP($A100,K0kommunestruktur2019!$A$4:$N$425,K0kommunestruktur2020!E$3,FALSE)</f>
        <v>26711</v>
      </c>
      <c r="F100" s="177">
        <f>VLOOKUP($A100,K0kommunestruktur2019!$A$4:$N$425,K0kommunestruktur2020!F$3,FALSE)</f>
        <v>781052</v>
      </c>
      <c r="G100" s="289">
        <f>VLOOKUP($A100,K0kommunestruktur2019!$A$4:$N$425,K0kommunestruktur2020!G$3,FALSE)</f>
        <v>27013</v>
      </c>
      <c r="H100" s="177">
        <f>VLOOKUP($A100,K0kommunestruktur2019!$A$4:$N$425,K0kommunestruktur2020!H$3,FALSE)</f>
        <v>820578</v>
      </c>
      <c r="I100" s="289">
        <f>VLOOKUP($A100,K0kommunestruktur2019!$A$4:$N$425,K0kommunestruktur2020!I$3,FALSE)</f>
        <v>27216</v>
      </c>
      <c r="J100" s="177">
        <f>VLOOKUP($A100,K0kommunestruktur2019!$A$4:$N$425,K0kommunestruktur2020!J$3,FALSE)</f>
        <v>824287</v>
      </c>
      <c r="K100" s="289">
        <f>VLOOKUP($A100,K0kommunestruktur2019!$A$4:$N$425,K0kommunestruktur2020!K$3,FALSE)</f>
        <v>27410</v>
      </c>
      <c r="L100" s="177">
        <f>VLOOKUP($A100,K0kommunestruktur2019!$A$4:$N$425,K0kommunestruktur2020!L$3,FALSE)</f>
        <v>875371</v>
      </c>
      <c r="M100" s="289">
        <f>VLOOKUP($A100,K0kommunestruktur2019!$A$4:$N$425,K0kommunestruktur2020!M$3,FALSE)</f>
        <v>27481</v>
      </c>
      <c r="N100" s="177">
        <f>VLOOKUP($A100,K0kommunestruktur2019!$A$4:$N$425,K0kommunestruktur2020!N$3,FALSE)</f>
        <v>895667</v>
      </c>
      <c r="O100" s="289">
        <f>VLOOKUP(A100,'K20'!$A$4:$BV$359,3)</f>
        <v>27723</v>
      </c>
      <c r="P100" s="289">
        <f>VLOOKUP(A100,'K20'!$A$4:$BV$359,26)</f>
        <v>897703</v>
      </c>
      <c r="R100" s="517"/>
      <c r="S100" s="517"/>
      <c r="T100" s="517"/>
    </row>
    <row r="101" spans="1:20" ht="13">
      <c r="A101" s="865">
        <v>3007</v>
      </c>
      <c r="B101" s="866" t="s">
        <v>873</v>
      </c>
      <c r="C101" s="289">
        <f>VLOOKUP($A101,K0kommunestruktur2019!$A$4:$N$425,K0kommunestruktur2020!C$3,FALSE)</f>
        <v>29624</v>
      </c>
      <c r="D101" s="177">
        <f>VLOOKUP($A101,K0kommunestruktur2019!$A$4:$N$425,K0kommunestruktur2020!D$3,FALSE)</f>
        <v>636695</v>
      </c>
      <c r="E101" s="289">
        <f>VLOOKUP($A101,K0kommunestruktur2019!$A$4:$N$425,K0kommunestruktur2020!E$3,FALSE)</f>
        <v>29712</v>
      </c>
      <c r="F101" s="177">
        <f>VLOOKUP($A101,K0kommunestruktur2019!$A$4:$N$425,K0kommunestruktur2020!F$3,FALSE)</f>
        <v>674660</v>
      </c>
      <c r="G101" s="289">
        <f>VLOOKUP($A101,K0kommunestruktur2019!$A$4:$N$425,K0kommunestruktur2020!G$3,FALSE)</f>
        <v>29801</v>
      </c>
      <c r="H101" s="177">
        <f>VLOOKUP($A101,K0kommunestruktur2019!$A$4:$N$425,K0kommunestruktur2020!H$3,FALSE)</f>
        <v>741381</v>
      </c>
      <c r="I101" s="289">
        <f>VLOOKUP($A101,K0kommunestruktur2019!$A$4:$N$425,K0kommunestruktur2020!I$3,FALSE)</f>
        <v>30034</v>
      </c>
      <c r="J101" s="177">
        <f>VLOOKUP($A101,K0kommunestruktur2019!$A$4:$N$425,K0kommunestruktur2020!J$3,FALSE)</f>
        <v>781819</v>
      </c>
      <c r="K101" s="289">
        <f>VLOOKUP($A101,K0kommunestruktur2019!$A$4:$N$425,K0kommunestruktur2020!K$3,FALSE)</f>
        <v>30283</v>
      </c>
      <c r="L101" s="177">
        <f>VLOOKUP($A101,K0kommunestruktur2019!$A$4:$N$425,K0kommunestruktur2020!L$3,FALSE)</f>
        <v>803489</v>
      </c>
      <c r="M101" s="289">
        <f>VLOOKUP($A101,K0kommunestruktur2019!$A$4:$N$425,K0kommunestruktur2020!M$3,FALSE)</f>
        <v>30442</v>
      </c>
      <c r="N101" s="177">
        <f>VLOOKUP($A101,K0kommunestruktur2019!$A$4:$N$425,K0kommunestruktur2020!N$3,FALSE)</f>
        <v>840146</v>
      </c>
      <c r="O101" s="289">
        <f>VLOOKUP(A101,'K20'!$A$4:$BV$359,3)</f>
        <v>30641</v>
      </c>
      <c r="P101" s="289">
        <f>VLOOKUP(A101,'K20'!$A$4:$BV$359,26)</f>
        <v>853860</v>
      </c>
      <c r="R101" s="517"/>
      <c r="S101" s="517"/>
      <c r="T101" s="517"/>
    </row>
    <row r="102" spans="1:20" ht="13">
      <c r="A102" s="865">
        <v>3011</v>
      </c>
      <c r="B102" s="866" t="s">
        <v>787</v>
      </c>
      <c r="C102" s="289">
        <f>VLOOKUP($A102,K0kommunestruktur2019!$A$4:$N$425,K0kommunestruktur2020!C$3,FALSE)</f>
        <v>4386</v>
      </c>
      <c r="D102" s="177">
        <f>VLOOKUP($A102,K0kommunestruktur2019!$A$4:$N$425,K0kommunestruktur2020!D$3,FALSE)</f>
        <v>118250</v>
      </c>
      <c r="E102" s="289">
        <f>VLOOKUP($A102,K0kommunestruktur2019!$A$4:$N$425,K0kommunestruktur2020!E$3,FALSE)</f>
        <v>4480</v>
      </c>
      <c r="F102" s="177">
        <f>VLOOKUP($A102,K0kommunestruktur2019!$A$4:$N$425,K0kommunestruktur2020!F$3,FALSE)</f>
        <v>120496</v>
      </c>
      <c r="G102" s="289">
        <f>VLOOKUP($A102,K0kommunestruktur2019!$A$4:$N$425,K0kommunestruktur2020!G$3,FALSE)</f>
        <v>4511</v>
      </c>
      <c r="H102" s="177">
        <f>VLOOKUP($A102,K0kommunestruktur2019!$A$4:$N$425,K0kommunestruktur2020!H$3,FALSE)</f>
        <v>127169</v>
      </c>
      <c r="I102" s="289">
        <f>VLOOKUP($A102,K0kommunestruktur2019!$A$4:$N$425,K0kommunestruktur2020!I$3,FALSE)</f>
        <v>4517</v>
      </c>
      <c r="J102" s="177">
        <f>VLOOKUP($A102,K0kommunestruktur2019!$A$4:$N$425,K0kommunestruktur2020!J$3,FALSE)</f>
        <v>140962</v>
      </c>
      <c r="K102" s="289">
        <f>VLOOKUP($A102,K0kommunestruktur2019!$A$4:$N$425,K0kommunestruktur2020!K$3,FALSE)</f>
        <v>4540</v>
      </c>
      <c r="L102" s="177">
        <f>VLOOKUP($A102,K0kommunestruktur2019!$A$4:$N$425,K0kommunestruktur2020!L$3,FALSE)</f>
        <v>152833</v>
      </c>
      <c r="M102" s="289">
        <f>VLOOKUP($A102,K0kommunestruktur2019!$A$4:$N$425,K0kommunestruktur2020!M$3,FALSE)</f>
        <v>4599</v>
      </c>
      <c r="N102" s="177">
        <f>VLOOKUP($A102,K0kommunestruktur2019!$A$4:$N$425,K0kommunestruktur2020!N$3,FALSE)</f>
        <v>157813</v>
      </c>
      <c r="O102" s="289">
        <f>VLOOKUP(A102,'K20'!$A$4:$BV$359,3)</f>
        <v>4668</v>
      </c>
      <c r="P102" s="289">
        <f>VLOOKUP(A102,'K20'!$A$4:$BV$359,26)</f>
        <v>156132</v>
      </c>
      <c r="R102" s="517"/>
      <c r="S102" s="517"/>
      <c r="T102" s="517"/>
    </row>
    <row r="103" spans="1:20" ht="13">
      <c r="A103" s="865">
        <v>3012</v>
      </c>
      <c r="B103" s="866" t="s">
        <v>788</v>
      </c>
      <c r="C103" s="289">
        <f>VLOOKUP($A103,K0kommunestruktur2019!$A$4:$N$425,K0kommunestruktur2020!C$3,FALSE)</f>
        <v>1408</v>
      </c>
      <c r="D103" s="177">
        <f>VLOOKUP($A103,K0kommunestruktur2019!$A$4:$N$425,K0kommunestruktur2020!D$3,FALSE)</f>
        <v>27552</v>
      </c>
      <c r="E103" s="289">
        <f>VLOOKUP($A103,K0kommunestruktur2019!$A$4:$N$425,K0kommunestruktur2020!E$3,FALSE)</f>
        <v>1406</v>
      </c>
      <c r="F103" s="177">
        <f>VLOOKUP($A103,K0kommunestruktur2019!$A$4:$N$425,K0kommunestruktur2020!F$3,FALSE)</f>
        <v>29788</v>
      </c>
      <c r="G103" s="289">
        <f>VLOOKUP($A103,K0kommunestruktur2019!$A$4:$N$425,K0kommunestruktur2020!G$3,FALSE)</f>
        <v>1404</v>
      </c>
      <c r="H103" s="177">
        <f>VLOOKUP($A103,K0kommunestruktur2019!$A$4:$N$425,K0kommunestruktur2020!H$3,FALSE)</f>
        <v>32642</v>
      </c>
      <c r="I103" s="289">
        <f>VLOOKUP($A103,K0kommunestruktur2019!$A$4:$N$425,K0kommunestruktur2020!I$3,FALSE)</f>
        <v>1398</v>
      </c>
      <c r="J103" s="177">
        <f>VLOOKUP($A103,K0kommunestruktur2019!$A$4:$N$425,K0kommunestruktur2020!J$3,FALSE)</f>
        <v>34123</v>
      </c>
      <c r="K103" s="289">
        <f>VLOOKUP($A103,K0kommunestruktur2019!$A$4:$N$425,K0kommunestruktur2020!K$3,FALSE)</f>
        <v>1399</v>
      </c>
      <c r="L103" s="177">
        <f>VLOOKUP($A103,K0kommunestruktur2019!$A$4:$N$425,K0kommunestruktur2020!L$3,FALSE)</f>
        <v>33281</v>
      </c>
      <c r="M103" s="289">
        <f>VLOOKUP($A103,K0kommunestruktur2019!$A$4:$N$425,K0kommunestruktur2020!M$3,FALSE)</f>
        <v>1357</v>
      </c>
      <c r="N103" s="177">
        <f>VLOOKUP($A103,K0kommunestruktur2019!$A$4:$N$425,K0kommunestruktur2020!N$3,FALSE)</f>
        <v>36601</v>
      </c>
      <c r="O103" s="289">
        <f>VLOOKUP(A103,'K20'!$A$4:$BV$359,3)</f>
        <v>1325</v>
      </c>
      <c r="P103" s="289">
        <f>VLOOKUP(A103,'K20'!$A$4:$BV$359,26)</f>
        <v>34854</v>
      </c>
      <c r="R103" s="517"/>
      <c r="S103" s="517"/>
      <c r="T103" s="517"/>
    </row>
    <row r="104" spans="1:20" ht="13">
      <c r="A104" s="865">
        <v>3013</v>
      </c>
      <c r="B104" s="866" t="s">
        <v>789</v>
      </c>
      <c r="C104" s="289">
        <f>VLOOKUP($A104,K0kommunestruktur2019!$A$4:$N$425,K0kommunestruktur2020!C$3,FALSE)</f>
        <v>3596</v>
      </c>
      <c r="D104" s="177">
        <f>VLOOKUP($A104,K0kommunestruktur2019!$A$4:$N$425,K0kommunestruktur2020!D$3,FALSE)</f>
        <v>65789</v>
      </c>
      <c r="E104" s="289">
        <f>VLOOKUP($A104,K0kommunestruktur2019!$A$4:$N$425,K0kommunestruktur2020!E$3,FALSE)</f>
        <v>3613</v>
      </c>
      <c r="F104" s="177">
        <f>VLOOKUP($A104,K0kommunestruktur2019!$A$4:$N$425,K0kommunestruktur2020!F$3,FALSE)</f>
        <v>75060</v>
      </c>
      <c r="G104" s="289">
        <f>VLOOKUP($A104,K0kommunestruktur2019!$A$4:$N$425,K0kommunestruktur2020!G$3,FALSE)</f>
        <v>3610</v>
      </c>
      <c r="H104" s="177">
        <f>VLOOKUP($A104,K0kommunestruktur2019!$A$4:$N$425,K0kommunestruktur2020!H$3,FALSE)</f>
        <v>85887</v>
      </c>
      <c r="I104" s="289">
        <f>VLOOKUP($A104,K0kommunestruktur2019!$A$4:$N$425,K0kommunestruktur2020!I$3,FALSE)</f>
        <v>3597</v>
      </c>
      <c r="J104" s="177">
        <f>VLOOKUP($A104,K0kommunestruktur2019!$A$4:$N$425,K0kommunestruktur2020!J$3,FALSE)</f>
        <v>82436</v>
      </c>
      <c r="K104" s="289">
        <f>VLOOKUP($A104,K0kommunestruktur2019!$A$4:$N$425,K0kommunestruktur2020!K$3,FALSE)</f>
        <v>3567</v>
      </c>
      <c r="L104" s="177">
        <f>VLOOKUP($A104,K0kommunestruktur2019!$A$4:$N$425,K0kommunestruktur2020!L$3,FALSE)</f>
        <v>87199</v>
      </c>
      <c r="M104" s="289">
        <f>VLOOKUP($A104,K0kommunestruktur2019!$A$4:$N$425,K0kommunestruktur2020!M$3,FALSE)</f>
        <v>3592</v>
      </c>
      <c r="N104" s="177">
        <f>VLOOKUP($A104,K0kommunestruktur2019!$A$4:$N$425,K0kommunestruktur2020!N$3,FALSE)</f>
        <v>92254</v>
      </c>
      <c r="O104" s="289">
        <f>VLOOKUP(A104,'K20'!$A$4:$BV$359,3)</f>
        <v>3595</v>
      </c>
      <c r="P104" s="289">
        <f>VLOOKUP(A104,'K20'!$A$4:$BV$359,26)</f>
        <v>91448</v>
      </c>
      <c r="R104" s="517"/>
      <c r="S104" s="517"/>
      <c r="T104" s="517"/>
    </row>
    <row r="105" spans="1:20" ht="13">
      <c r="A105" s="878">
        <v>3014</v>
      </c>
      <c r="B105" s="883" t="s">
        <v>1620</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VLOOKUP(A105,'K20'!$A$4:$BV$359,3)</f>
        <v>44792</v>
      </c>
      <c r="P105" s="289">
        <f>VLOOKUP(A105,'K20'!$A$4:$BV$359,26)</f>
        <v>1185800</v>
      </c>
      <c r="R105" s="517"/>
      <c r="S105" s="517"/>
      <c r="T105" s="517"/>
    </row>
    <row r="106" spans="1:20" ht="13">
      <c r="A106" s="865">
        <v>3015</v>
      </c>
      <c r="B106" s="866" t="s">
        <v>2369</v>
      </c>
      <c r="C106" s="289">
        <f>VLOOKUP($A106,K0kommunestruktur2019!$A$4:$N$425,K0kommunestruktur2020!C$3,FALSE)</f>
        <v>3727</v>
      </c>
      <c r="D106" s="177">
        <f>VLOOKUP($A106,K0kommunestruktur2019!$A$4:$N$425,K0kommunestruktur2020!D$3,FALSE)</f>
        <v>74341</v>
      </c>
      <c r="E106" s="289">
        <f>VLOOKUP($A106,K0kommunestruktur2019!$A$4:$N$425,K0kommunestruktur2020!E$3,FALSE)</f>
        <v>3731</v>
      </c>
      <c r="F106" s="177">
        <f>VLOOKUP($A106,K0kommunestruktur2019!$A$4:$N$425,K0kommunestruktur2020!F$3,FALSE)</f>
        <v>80910</v>
      </c>
      <c r="G106" s="289">
        <f>VLOOKUP($A106,K0kommunestruktur2019!$A$4:$N$425,K0kommunestruktur2020!G$3,FALSE)</f>
        <v>3742</v>
      </c>
      <c r="H106" s="177">
        <f>VLOOKUP($A106,K0kommunestruktur2019!$A$4:$N$425,K0kommunestruktur2020!H$3,FALSE)</f>
        <v>88702</v>
      </c>
      <c r="I106" s="289">
        <f>VLOOKUP($A106,K0kommunestruktur2019!$A$4:$N$425,K0kommunestruktur2020!I$3,FALSE)</f>
        <v>3783</v>
      </c>
      <c r="J106" s="177">
        <f>VLOOKUP($A106,K0kommunestruktur2019!$A$4:$N$425,K0kommunestruktur2020!J$3,FALSE)</f>
        <v>87806</v>
      </c>
      <c r="K106" s="289">
        <f>VLOOKUP($A106,K0kommunestruktur2019!$A$4:$N$425,K0kommunestruktur2020!K$3,FALSE)</f>
        <v>3831</v>
      </c>
      <c r="L106" s="177">
        <f>VLOOKUP($A106,K0kommunestruktur2019!$A$4:$N$425,K0kommunestruktur2020!L$3,FALSE)</f>
        <v>93552</v>
      </c>
      <c r="M106" s="289">
        <f>VLOOKUP($A106,K0kommunestruktur2019!$A$4:$N$425,K0kommunestruktur2020!M$3,FALSE)</f>
        <v>3797</v>
      </c>
      <c r="N106" s="177">
        <f>VLOOKUP($A106,K0kommunestruktur2019!$A$4:$N$425,K0kommunestruktur2020!N$3,FALSE)</f>
        <v>97504</v>
      </c>
      <c r="O106" s="289">
        <f>VLOOKUP(A106,'K20'!$A$4:$BV$359,3)</f>
        <v>3805</v>
      </c>
      <c r="P106" s="289">
        <f>VLOOKUP(A106,'K20'!$A$4:$BV$359,26)</f>
        <v>96557</v>
      </c>
      <c r="R106" s="517"/>
      <c r="S106" s="517"/>
      <c r="T106" s="517"/>
    </row>
    <row r="107" spans="1:20" ht="13">
      <c r="A107" s="865">
        <v>3016</v>
      </c>
      <c r="B107" s="866" t="s">
        <v>796</v>
      </c>
      <c r="C107" s="289">
        <f>VLOOKUP($A107,K0kommunestruktur2019!$A$4:$N$425,K0kommunestruktur2020!C$3,FALSE)</f>
        <v>7974</v>
      </c>
      <c r="D107" s="177">
        <f>VLOOKUP($A107,K0kommunestruktur2019!$A$4:$N$425,K0kommunestruktur2020!D$3,FALSE)</f>
        <v>157886</v>
      </c>
      <c r="E107" s="289">
        <f>VLOOKUP($A107,K0kommunestruktur2019!$A$4:$N$425,K0kommunestruktur2020!E$3,FALSE)</f>
        <v>8020</v>
      </c>
      <c r="F107" s="177">
        <f>VLOOKUP($A107,K0kommunestruktur2019!$A$4:$N$425,K0kommunestruktur2020!F$3,FALSE)</f>
        <v>167095</v>
      </c>
      <c r="G107" s="289">
        <f>VLOOKUP($A107,K0kommunestruktur2019!$A$4:$N$425,K0kommunestruktur2020!G$3,FALSE)</f>
        <v>8084</v>
      </c>
      <c r="H107" s="177">
        <f>VLOOKUP($A107,K0kommunestruktur2019!$A$4:$N$425,K0kommunestruktur2020!H$3,FALSE)</f>
        <v>193284</v>
      </c>
      <c r="I107" s="289">
        <f>VLOOKUP($A107,K0kommunestruktur2019!$A$4:$N$425,K0kommunestruktur2020!I$3,FALSE)</f>
        <v>8173</v>
      </c>
      <c r="J107" s="177">
        <f>VLOOKUP($A107,K0kommunestruktur2019!$A$4:$N$425,K0kommunestruktur2020!J$3,FALSE)</f>
        <v>194656</v>
      </c>
      <c r="K107" s="289">
        <f>VLOOKUP($A107,K0kommunestruktur2019!$A$4:$N$425,K0kommunestruktur2020!K$3,FALSE)</f>
        <v>8202</v>
      </c>
      <c r="L107" s="177">
        <f>VLOOKUP($A107,K0kommunestruktur2019!$A$4:$N$425,K0kommunestruktur2020!L$3,FALSE)</f>
        <v>210300</v>
      </c>
      <c r="M107" s="289">
        <f>VLOOKUP($A107,K0kommunestruktur2019!$A$4:$N$425,K0kommunestruktur2020!M$3,FALSE)</f>
        <v>8230</v>
      </c>
      <c r="N107" s="177">
        <f>VLOOKUP($A107,K0kommunestruktur2019!$A$4:$N$425,K0kommunestruktur2020!N$3,FALSE)</f>
        <v>215542</v>
      </c>
      <c r="O107" s="289">
        <f>VLOOKUP(A107,'K20'!$A$4:$BV$359,3)</f>
        <v>8255</v>
      </c>
      <c r="P107" s="289">
        <f>VLOOKUP(A107,'K20'!$A$4:$BV$359,26)</f>
        <v>218725</v>
      </c>
      <c r="R107" s="517"/>
      <c r="S107" s="517"/>
      <c r="T107" s="517"/>
    </row>
    <row r="108" spans="1:20" ht="13">
      <c r="A108" s="865">
        <v>3017</v>
      </c>
      <c r="B108" s="866" t="s">
        <v>797</v>
      </c>
      <c r="C108" s="289">
        <f>VLOOKUP($A108,K0kommunestruktur2019!$A$4:$N$425,K0kommunestruktur2020!C$3,FALSE)</f>
        <v>7104</v>
      </c>
      <c r="D108" s="177">
        <f>VLOOKUP($A108,K0kommunestruktur2019!$A$4:$N$425,K0kommunestruktur2020!D$3,FALSE)</f>
        <v>158348</v>
      </c>
      <c r="E108" s="289">
        <f>VLOOKUP($A108,K0kommunestruktur2019!$A$4:$N$425,K0kommunestruktur2020!E$3,FALSE)</f>
        <v>7206</v>
      </c>
      <c r="F108" s="177">
        <f>VLOOKUP($A108,K0kommunestruktur2019!$A$4:$N$425,K0kommunestruktur2020!F$3,FALSE)</f>
        <v>167440</v>
      </c>
      <c r="G108" s="289">
        <f>VLOOKUP($A108,K0kommunestruktur2019!$A$4:$N$425,K0kommunestruktur2020!G$3,FALSE)</f>
        <v>7357</v>
      </c>
      <c r="H108" s="177">
        <f>VLOOKUP($A108,K0kommunestruktur2019!$A$4:$N$425,K0kommunestruktur2020!H$3,FALSE)</f>
        <v>189397</v>
      </c>
      <c r="I108" s="289">
        <f>VLOOKUP($A108,K0kommunestruktur2019!$A$4:$N$425,K0kommunestruktur2020!I$3,FALSE)</f>
        <v>7398</v>
      </c>
      <c r="J108" s="177">
        <f>VLOOKUP($A108,K0kommunestruktur2019!$A$4:$N$425,K0kommunestruktur2020!J$3,FALSE)</f>
        <v>193812</v>
      </c>
      <c r="K108" s="289">
        <f>VLOOKUP($A108,K0kommunestruktur2019!$A$4:$N$425,K0kommunestruktur2020!K$3,FALSE)</f>
        <v>7465</v>
      </c>
      <c r="L108" s="177">
        <f>VLOOKUP($A108,K0kommunestruktur2019!$A$4:$N$425,K0kommunestruktur2020!L$3,FALSE)</f>
        <v>198782</v>
      </c>
      <c r="M108" s="289">
        <f>VLOOKUP($A108,K0kommunestruktur2019!$A$4:$N$425,K0kommunestruktur2020!M$3,FALSE)</f>
        <v>7542</v>
      </c>
      <c r="N108" s="177">
        <f>VLOOKUP($A108,K0kommunestruktur2019!$A$4:$N$425,K0kommunestruktur2020!N$3,FALSE)</f>
        <v>209112</v>
      </c>
      <c r="O108" s="289">
        <f>VLOOKUP(A108,'K20'!$A$4:$BV$359,3)</f>
        <v>7508</v>
      </c>
      <c r="P108" s="289">
        <f>VLOOKUP(A108,'K20'!$A$4:$BV$359,26)</f>
        <v>208011</v>
      </c>
      <c r="R108" s="517"/>
      <c r="S108" s="517"/>
      <c r="T108" s="517"/>
    </row>
    <row r="109" spans="1:20" ht="13">
      <c r="A109" s="865">
        <v>3018</v>
      </c>
      <c r="B109" s="866" t="s">
        <v>799</v>
      </c>
      <c r="C109" s="289">
        <f>VLOOKUP($A109,K0kommunestruktur2019!$A$4:$N$425,K0kommunestruktur2020!C$3,FALSE)</f>
        <v>4978</v>
      </c>
      <c r="D109" s="177">
        <f>VLOOKUP($A109,K0kommunestruktur2019!$A$4:$N$425,K0kommunestruktur2020!D$3,FALSE)</f>
        <v>104906</v>
      </c>
      <c r="E109" s="289">
        <f>VLOOKUP($A109,K0kommunestruktur2019!$A$4:$N$425,K0kommunestruktur2020!E$3,FALSE)</f>
        <v>5100</v>
      </c>
      <c r="F109" s="177">
        <f>VLOOKUP($A109,K0kommunestruktur2019!$A$4:$N$425,K0kommunestruktur2020!F$3,FALSE)</f>
        <v>113132</v>
      </c>
      <c r="G109" s="289">
        <f>VLOOKUP($A109,K0kommunestruktur2019!$A$4:$N$425,K0kommunestruktur2020!G$3,FALSE)</f>
        <v>5186</v>
      </c>
      <c r="H109" s="177">
        <f>VLOOKUP($A109,K0kommunestruktur2019!$A$4:$N$425,K0kommunestruktur2020!H$3,FALSE)</f>
        <v>126383</v>
      </c>
      <c r="I109" s="289">
        <f>VLOOKUP($A109,K0kommunestruktur2019!$A$4:$N$425,K0kommunestruktur2020!I$3,FALSE)</f>
        <v>5335</v>
      </c>
      <c r="J109" s="177">
        <f>VLOOKUP($A109,K0kommunestruktur2019!$A$4:$N$425,K0kommunestruktur2020!J$3,FALSE)</f>
        <v>136309</v>
      </c>
      <c r="K109" s="289">
        <f>VLOOKUP($A109,K0kommunestruktur2019!$A$4:$N$425,K0kommunestruktur2020!K$3,FALSE)</f>
        <v>5471</v>
      </c>
      <c r="L109" s="177">
        <f>VLOOKUP($A109,K0kommunestruktur2019!$A$4:$N$425,K0kommunestruktur2020!L$3,FALSE)</f>
        <v>144788</v>
      </c>
      <c r="M109" s="289">
        <f>VLOOKUP($A109,K0kommunestruktur2019!$A$4:$N$425,K0kommunestruktur2020!M$3,FALSE)</f>
        <v>5593</v>
      </c>
      <c r="N109" s="177">
        <f>VLOOKUP($A109,K0kommunestruktur2019!$A$4:$N$425,K0kommunestruktur2020!N$3,FALSE)</f>
        <v>145443</v>
      </c>
      <c r="O109" s="289">
        <f>VLOOKUP(A109,'K20'!$A$4:$BV$359,3)</f>
        <v>5736</v>
      </c>
      <c r="P109" s="289">
        <f>VLOOKUP(A109,'K20'!$A$4:$BV$359,26)</f>
        <v>153904</v>
      </c>
      <c r="R109" s="517"/>
      <c r="S109" s="517"/>
      <c r="T109" s="517"/>
    </row>
    <row r="110" spans="1:20" ht="13">
      <c r="A110" s="865">
        <v>3019</v>
      </c>
      <c r="B110" s="866" t="s">
        <v>801</v>
      </c>
      <c r="C110" s="289">
        <f>VLOOKUP($A110,K0kommunestruktur2019!$A$4:$N$425,K0kommunestruktur2020!C$3,FALSE)</f>
        <v>15944</v>
      </c>
      <c r="D110" s="177">
        <f>VLOOKUP($A110,K0kommunestruktur2019!$A$4:$N$425,K0kommunestruktur2020!D$3,FALSE)</f>
        <v>382877</v>
      </c>
      <c r="E110" s="289">
        <f>VLOOKUP($A110,K0kommunestruktur2019!$A$4:$N$425,K0kommunestruktur2020!E$3,FALSE)</f>
        <v>16310</v>
      </c>
      <c r="F110" s="177">
        <f>VLOOKUP($A110,K0kommunestruktur2019!$A$4:$N$425,K0kommunestruktur2020!F$3,FALSE)</f>
        <v>425131</v>
      </c>
      <c r="G110" s="289">
        <f>VLOOKUP($A110,K0kommunestruktur2019!$A$4:$N$425,K0kommunestruktur2020!G$3,FALSE)</f>
        <v>16732</v>
      </c>
      <c r="H110" s="177">
        <f>VLOOKUP($A110,K0kommunestruktur2019!$A$4:$N$425,K0kommunestruktur2020!H$3,FALSE)</f>
        <v>481457</v>
      </c>
      <c r="I110" s="289">
        <f>VLOOKUP($A110,K0kommunestruktur2019!$A$4:$N$425,K0kommunestruktur2020!I$3,FALSE)</f>
        <v>17188</v>
      </c>
      <c r="J110" s="177">
        <f>VLOOKUP($A110,K0kommunestruktur2019!$A$4:$N$425,K0kommunestruktur2020!J$3,FALSE)</f>
        <v>511136</v>
      </c>
      <c r="K110" s="289">
        <f>VLOOKUP($A110,K0kommunestruktur2019!$A$4:$N$425,K0kommunestruktur2020!K$3,FALSE)</f>
        <v>17486</v>
      </c>
      <c r="L110" s="177">
        <f>VLOOKUP($A110,K0kommunestruktur2019!$A$4:$N$425,K0kommunestruktur2020!L$3,FALSE)</f>
        <v>544775</v>
      </c>
      <c r="M110" s="289">
        <f>VLOOKUP($A110,K0kommunestruktur2019!$A$4:$N$425,K0kommunestruktur2020!M$3,FALSE)</f>
        <v>17824</v>
      </c>
      <c r="N110" s="177">
        <f>VLOOKUP($A110,K0kommunestruktur2019!$A$4:$N$425,K0kommunestruktur2020!N$3,FALSE)</f>
        <v>560651</v>
      </c>
      <c r="O110" s="289">
        <f>VLOOKUP(A110,'K20'!$A$4:$BV$359,3)</f>
        <v>18042</v>
      </c>
      <c r="P110" s="289">
        <f>VLOOKUP(A110,'K20'!$A$4:$BV$359,26)</f>
        <v>542945</v>
      </c>
      <c r="R110" s="517"/>
      <c r="S110" s="517"/>
      <c r="T110" s="517"/>
    </row>
    <row r="111" spans="1:20" ht="13">
      <c r="A111" s="878">
        <v>3020</v>
      </c>
      <c r="B111" s="883" t="s">
        <v>1621</v>
      </c>
      <c r="C111" s="289">
        <f t="shared" ref="C111:N111" si="16">+C$435+C$436+C$437</f>
        <v>55985.746140770003</v>
      </c>
      <c r="D111" s="177">
        <f t="shared" si="16"/>
        <v>1608307.1258821823</v>
      </c>
      <c r="E111" s="289">
        <f t="shared" si="16"/>
        <v>56545.633703660002</v>
      </c>
      <c r="F111" s="177">
        <f t="shared" si="16"/>
        <v>1687959.6604564353</v>
      </c>
      <c r="G111" s="289">
        <f t="shared" si="16"/>
        <v>57245.994848640003</v>
      </c>
      <c r="H111" s="177">
        <f t="shared" si="16"/>
        <v>1863638.9323627257</v>
      </c>
      <c r="I111" s="289">
        <f t="shared" si="16"/>
        <v>57881.13611621</v>
      </c>
      <c r="J111" s="177">
        <f t="shared" si="16"/>
        <v>1975549.2182974827</v>
      </c>
      <c r="K111" s="289">
        <f t="shared" si="16"/>
        <v>58254.394491469997</v>
      </c>
      <c r="L111" s="177">
        <f t="shared" si="16"/>
        <v>2027218.4119372717</v>
      </c>
      <c r="M111" s="289">
        <f t="shared" si="16"/>
        <v>58434</v>
      </c>
      <c r="N111" s="177">
        <f t="shared" si="16"/>
        <v>2105528.4204200078</v>
      </c>
      <c r="O111" s="289">
        <f>VLOOKUP(A111,'K20'!$A$4:$BV$359,3)</f>
        <v>59288</v>
      </c>
      <c r="P111" s="289">
        <f>VLOOKUP(A111,'K20'!$A$4:$BV$359,26)</f>
        <v>2090579</v>
      </c>
      <c r="R111" s="517"/>
      <c r="S111" s="517"/>
      <c r="T111" s="517"/>
    </row>
    <row r="112" spans="1:20" ht="13">
      <c r="A112" s="889">
        <v>3021</v>
      </c>
      <c r="B112" s="890" t="s">
        <v>803</v>
      </c>
      <c r="C112" s="289">
        <f t="shared" ref="C112:N112" si="17">+C$439+C$440</f>
        <v>17794.921170400001</v>
      </c>
      <c r="D112" s="177">
        <f t="shared" si="17"/>
        <v>428887.40860595152</v>
      </c>
      <c r="E112" s="289">
        <f t="shared" si="17"/>
        <v>18323.747922300001</v>
      </c>
      <c r="F112" s="177">
        <f t="shared" si="17"/>
        <v>468591.99842632137</v>
      </c>
      <c r="G112" s="289">
        <f t="shared" si="17"/>
        <v>18808.010622080001</v>
      </c>
      <c r="H112" s="177">
        <f t="shared" si="17"/>
        <v>499680.87150233169</v>
      </c>
      <c r="I112" s="289">
        <f t="shared" si="17"/>
        <v>19101.143053849999</v>
      </c>
      <c r="J112" s="177">
        <f t="shared" si="17"/>
        <v>537698.95952796261</v>
      </c>
      <c r="K112" s="289">
        <f t="shared" si="17"/>
        <v>19889.431620359999</v>
      </c>
      <c r="L112" s="177">
        <f t="shared" si="17"/>
        <v>605016.42635852599</v>
      </c>
      <c r="M112" s="289">
        <f t="shared" si="17"/>
        <v>20138</v>
      </c>
      <c r="N112" s="177">
        <f t="shared" si="17"/>
        <v>605798.77305138926</v>
      </c>
      <c r="O112" s="289">
        <f>VLOOKUP(A112,'K20'!$A$4:$BV$359,3)</f>
        <v>20439</v>
      </c>
      <c r="P112" s="289">
        <f>VLOOKUP(A112,'K20'!$A$4:$BV$359,26)</f>
        <v>595384</v>
      </c>
      <c r="R112" s="517"/>
      <c r="S112" s="517"/>
      <c r="T112" s="517"/>
    </row>
    <row r="113" spans="1:20" ht="13">
      <c r="A113" s="865">
        <v>3022</v>
      </c>
      <c r="B113" s="866" t="s">
        <v>804</v>
      </c>
      <c r="C113" s="289">
        <f>VLOOKUP($A113,K0kommunestruktur2019!$A$4:$N$425,K0kommunestruktur2020!C$3,FALSE)</f>
        <v>15671</v>
      </c>
      <c r="D113" s="177">
        <f>VLOOKUP($A113,K0kommunestruktur2019!$A$4:$N$425,K0kommunestruktur2020!D$3,FALSE)</f>
        <v>458700</v>
      </c>
      <c r="E113" s="289">
        <f>VLOOKUP($A113,K0kommunestruktur2019!$A$4:$N$425,K0kommunestruktur2020!E$3,FALSE)</f>
        <v>15656</v>
      </c>
      <c r="F113" s="177">
        <f>VLOOKUP($A113,K0kommunestruktur2019!$A$4:$N$425,K0kommunestruktur2020!F$3,FALSE)</f>
        <v>488635</v>
      </c>
      <c r="G113" s="289">
        <f>VLOOKUP($A113,K0kommunestruktur2019!$A$4:$N$425,K0kommunestruktur2020!G$3,FALSE)</f>
        <v>15695</v>
      </c>
      <c r="H113" s="177">
        <f>VLOOKUP($A113,K0kommunestruktur2019!$A$4:$N$425,K0kommunestruktur2020!H$3,FALSE)</f>
        <v>552401</v>
      </c>
      <c r="I113" s="289">
        <f>VLOOKUP($A113,K0kommunestruktur2019!$A$4:$N$425,K0kommunestruktur2020!I$3,FALSE)</f>
        <v>15743</v>
      </c>
      <c r="J113" s="177">
        <f>VLOOKUP($A113,K0kommunestruktur2019!$A$4:$N$425,K0kommunestruktur2020!J$3,FALSE)</f>
        <v>572415</v>
      </c>
      <c r="K113" s="289">
        <f>VLOOKUP($A113,K0kommunestruktur2019!$A$4:$N$425,K0kommunestruktur2020!K$3,FALSE)</f>
        <v>15735</v>
      </c>
      <c r="L113" s="177">
        <f>VLOOKUP($A113,K0kommunestruktur2019!$A$4:$N$425,K0kommunestruktur2020!L$3,FALSE)</f>
        <v>586294</v>
      </c>
      <c r="M113" s="289">
        <f>VLOOKUP($A113,K0kommunestruktur2019!$A$4:$N$425,K0kommunestruktur2020!M$3,FALSE)</f>
        <v>15761</v>
      </c>
      <c r="N113" s="177">
        <f>VLOOKUP($A113,K0kommunestruktur2019!$A$4:$N$425,K0kommunestruktur2020!N$3,FALSE)</f>
        <v>611625</v>
      </c>
      <c r="O113" s="289">
        <f>VLOOKUP(A113,'K20'!$A$4:$BV$359,3)</f>
        <v>15877</v>
      </c>
      <c r="P113" s="289">
        <f>VLOOKUP(A113,'K20'!$A$4:$BV$359,26)</f>
        <v>595648</v>
      </c>
      <c r="R113" s="517"/>
      <c r="S113" s="517"/>
      <c r="T113" s="517"/>
    </row>
    <row r="114" spans="1:20" ht="13">
      <c r="A114" s="865">
        <v>3023</v>
      </c>
      <c r="B114" s="876" t="s">
        <v>805</v>
      </c>
      <c r="C114" s="289">
        <f>VLOOKUP($A114,K0kommunestruktur2019!$A$4:$N$425,K0kommunestruktur2020!C$3,FALSE)</f>
        <v>18297</v>
      </c>
      <c r="D114" s="177">
        <f>VLOOKUP($A114,K0kommunestruktur2019!$A$4:$N$425,K0kommunestruktur2020!D$3,FALSE)</f>
        <v>484633</v>
      </c>
      <c r="E114" s="289">
        <f>VLOOKUP($A114,K0kommunestruktur2019!$A$4:$N$425,K0kommunestruktur2020!E$3,FALSE)</f>
        <v>18372</v>
      </c>
      <c r="F114" s="177">
        <f>VLOOKUP($A114,K0kommunestruktur2019!$A$4:$N$425,K0kommunestruktur2020!F$3,FALSE)</f>
        <v>506316</v>
      </c>
      <c r="G114" s="289">
        <f>VLOOKUP($A114,K0kommunestruktur2019!$A$4:$N$425,K0kommunestruktur2020!G$3,FALSE)</f>
        <v>18623</v>
      </c>
      <c r="H114" s="177">
        <f>VLOOKUP($A114,K0kommunestruktur2019!$A$4:$N$425,K0kommunestruktur2020!H$3,FALSE)</f>
        <v>556056</v>
      </c>
      <c r="I114" s="289">
        <f>VLOOKUP($A114,K0kommunestruktur2019!$A$4:$N$425,K0kommunestruktur2020!I$3,FALSE)</f>
        <v>18869</v>
      </c>
      <c r="J114" s="177">
        <f>VLOOKUP($A114,K0kommunestruktur2019!$A$4:$N$425,K0kommunestruktur2020!J$3,FALSE)</f>
        <v>583891</v>
      </c>
      <c r="K114" s="289">
        <f>VLOOKUP($A114,K0kommunestruktur2019!$A$4:$N$425,K0kommunestruktur2020!K$3,FALSE)</f>
        <v>19287</v>
      </c>
      <c r="L114" s="177">
        <f>VLOOKUP($A114,K0kommunestruktur2019!$A$4:$N$425,K0kommunestruktur2020!L$3,FALSE)</f>
        <v>619346</v>
      </c>
      <c r="M114" s="289">
        <f>VLOOKUP($A114,K0kommunestruktur2019!$A$4:$N$425,K0kommunestruktur2020!M$3,FALSE)</f>
        <v>19488</v>
      </c>
      <c r="N114" s="177">
        <f>VLOOKUP($A114,K0kommunestruktur2019!$A$4:$N$425,K0kommunestruktur2020!N$3,FALSE)</f>
        <v>642751</v>
      </c>
      <c r="O114" s="289">
        <f>VLOOKUP(A114,'K20'!$A$4:$BV$359,3)</f>
        <v>19616</v>
      </c>
      <c r="P114" s="289">
        <f>VLOOKUP(A114,'K20'!$A$4:$BV$359,26)</f>
        <v>634158</v>
      </c>
      <c r="R114" s="517"/>
      <c r="S114" s="517"/>
      <c r="T114" s="517"/>
    </row>
    <row r="115" spans="1:20" ht="13">
      <c r="A115" s="865">
        <v>3024</v>
      </c>
      <c r="B115" s="866" t="s">
        <v>807</v>
      </c>
      <c r="C115" s="290">
        <f>VLOOKUP($A115,K0kommunestruktur2019!$A$4:$N$425,K0kommunestruktur2020!C$3,FALSE)</f>
        <v>118588</v>
      </c>
      <c r="D115" s="182">
        <f>VLOOKUP($A115,K0kommunestruktur2019!$A$4:$N$425,K0kommunestruktur2020!D$3,FALSE)</f>
        <v>4694842</v>
      </c>
      <c r="E115" s="290">
        <f>VLOOKUP($A115,K0kommunestruktur2019!$A$4:$N$425,K0kommunestruktur2020!E$3,FALSE)</f>
        <v>120685</v>
      </c>
      <c r="F115" s="182">
        <f>VLOOKUP($A115,K0kommunestruktur2019!$A$4:$N$425,K0kommunestruktur2020!F$3,FALSE)</f>
        <v>5002876</v>
      </c>
      <c r="G115" s="290">
        <f>VLOOKUP($A115,K0kommunestruktur2019!$A$4:$N$425,K0kommunestruktur2020!G$3,FALSE)</f>
        <v>122348</v>
      </c>
      <c r="H115" s="182">
        <f>VLOOKUP($A115,K0kommunestruktur2019!$A$4:$N$425,K0kommunestruktur2020!H$3,FALSE)</f>
        <v>5817013</v>
      </c>
      <c r="I115" s="290">
        <f>VLOOKUP($A115,K0kommunestruktur2019!$A$4:$N$425,K0kommunestruktur2020!I$3,FALSE)</f>
        <v>124008</v>
      </c>
      <c r="J115" s="182">
        <f>VLOOKUP($A115,K0kommunestruktur2019!$A$4:$N$425,K0kommunestruktur2020!J$3,FALSE)</f>
        <v>6180068</v>
      </c>
      <c r="K115" s="289">
        <f>VLOOKUP($A115,K0kommunestruktur2019!$A$4:$N$425,K0kommunestruktur2020!K$3,FALSE)</f>
        <v>125454</v>
      </c>
      <c r="L115" s="177">
        <f>VLOOKUP($A115,K0kommunestruktur2019!$A$4:$N$425,K0kommunestruktur2020!L$3,FALSE)</f>
        <v>6345361</v>
      </c>
      <c r="M115" s="289">
        <f>VLOOKUP($A115,K0kommunestruktur2019!$A$4:$N$425,K0kommunestruktur2020!M$3,FALSE)</f>
        <v>126841</v>
      </c>
      <c r="N115" s="177">
        <f>VLOOKUP($A115,K0kommunestruktur2019!$A$4:$N$425,K0kommunestruktur2020!N$3,FALSE)</f>
        <v>6827068</v>
      </c>
      <c r="O115" s="289">
        <f>VLOOKUP(A115,'K20'!$A$4:$BV$359,3)</f>
        <v>127731</v>
      </c>
      <c r="P115" s="289">
        <f>VLOOKUP(A115,'K20'!$A$4:$BV$359,26)</f>
        <v>6525517</v>
      </c>
      <c r="R115" s="517"/>
      <c r="S115" s="517"/>
      <c r="T115" s="517"/>
    </row>
    <row r="116" spans="1:20" ht="13">
      <c r="A116" s="878">
        <v>3025</v>
      </c>
      <c r="B116" s="883" t="s">
        <v>1622</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VLOOKUP(A116,'K20'!$A$4:$BV$359,3)</f>
        <v>94441</v>
      </c>
      <c r="P116" s="289">
        <f>VLOOKUP(A116,'K20'!$A$4:$BV$359,26)</f>
        <v>3964821</v>
      </c>
      <c r="R116" s="517"/>
      <c r="S116" s="517"/>
      <c r="T116" s="517"/>
    </row>
    <row r="117" spans="1:20" ht="13">
      <c r="A117" s="878">
        <v>3026</v>
      </c>
      <c r="B117" s="883" t="s">
        <v>1623</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VLOOKUP(A117,'K20'!$A$4:$BV$359,3)</f>
        <v>17390</v>
      </c>
      <c r="P117" s="289">
        <f>VLOOKUP(A117,'K20'!$A$4:$BV$359,26)</f>
        <v>432758</v>
      </c>
      <c r="R117" s="517"/>
      <c r="S117" s="517"/>
      <c r="T117" s="517"/>
    </row>
    <row r="118" spans="1:20" ht="13">
      <c r="A118" s="865">
        <v>3027</v>
      </c>
      <c r="B118" s="866" t="s">
        <v>812</v>
      </c>
      <c r="C118" s="289">
        <f>VLOOKUP($A118,K0kommunestruktur2019!$A$4:$N$425,K0kommunestruktur2020!C$3,FALSE)</f>
        <v>16806</v>
      </c>
      <c r="D118" s="177">
        <f>VLOOKUP($A118,K0kommunestruktur2019!$A$4:$N$425,K0kommunestruktur2020!D$3,FALSE)</f>
        <v>418672</v>
      </c>
      <c r="E118" s="289">
        <f>VLOOKUP($A118,K0kommunestruktur2019!$A$4:$N$425,K0kommunestruktur2020!E$3,FALSE)</f>
        <v>17185</v>
      </c>
      <c r="F118" s="177">
        <f>VLOOKUP($A118,K0kommunestruktur2019!$A$4:$N$425,K0kommunestruktur2020!F$3,FALSE)</f>
        <v>443705</v>
      </c>
      <c r="G118" s="289">
        <f>VLOOKUP($A118,K0kommunestruktur2019!$A$4:$N$425,K0kommunestruktur2020!G$3,FALSE)</f>
        <v>17426</v>
      </c>
      <c r="H118" s="177">
        <f>VLOOKUP($A118,K0kommunestruktur2019!$A$4:$N$425,K0kommunestruktur2020!H$3,FALSE)</f>
        <v>489036</v>
      </c>
      <c r="I118" s="289">
        <f>VLOOKUP($A118,K0kommunestruktur2019!$A$4:$N$425,K0kommunestruktur2020!I$3,FALSE)</f>
        <v>17730</v>
      </c>
      <c r="J118" s="177">
        <f>VLOOKUP($A118,K0kommunestruktur2019!$A$4:$N$425,K0kommunestruktur2020!J$3,FALSE)</f>
        <v>519409</v>
      </c>
      <c r="K118" s="289">
        <f>VLOOKUP($A118,K0kommunestruktur2019!$A$4:$N$425,K0kommunestruktur2020!K$3,FALSE)</f>
        <v>17874</v>
      </c>
      <c r="L118" s="177">
        <f>VLOOKUP($A118,K0kommunestruktur2019!$A$4:$N$425,K0kommunestruktur2020!L$3,FALSE)</f>
        <v>553595</v>
      </c>
      <c r="M118" s="289">
        <f>VLOOKUP($A118,K0kommunestruktur2019!$A$4:$N$425,K0kommunestruktur2020!M$3,FALSE)</f>
        <v>18161</v>
      </c>
      <c r="N118" s="177">
        <f>VLOOKUP($A118,K0kommunestruktur2019!$A$4:$N$425,K0kommunestruktur2020!N$3,FALSE)</f>
        <v>579991</v>
      </c>
      <c r="O118" s="289">
        <f>VLOOKUP(A118,'K20'!$A$4:$BV$359,3)</f>
        <v>18530</v>
      </c>
      <c r="P118" s="289">
        <f>VLOOKUP(A118,'K20'!$A$4:$BV$359,26)</f>
        <v>586828</v>
      </c>
      <c r="R118" s="517"/>
      <c r="S118" s="517"/>
      <c r="T118" s="517"/>
    </row>
    <row r="119" spans="1:20" ht="13">
      <c r="A119" s="865">
        <v>3028</v>
      </c>
      <c r="B119" s="866" t="s">
        <v>813</v>
      </c>
      <c r="C119" s="289">
        <f>VLOOKUP($A119,K0kommunestruktur2019!$A$4:$N$425,K0kommunestruktur2020!C$3,FALSE)</f>
        <v>10626</v>
      </c>
      <c r="D119" s="177">
        <f>VLOOKUP($A119,K0kommunestruktur2019!$A$4:$N$425,K0kommunestruktur2020!D$3,FALSE)</f>
        <v>235399</v>
      </c>
      <c r="E119" s="289">
        <f>VLOOKUP($A119,K0kommunestruktur2019!$A$4:$N$425,K0kommunestruktur2020!E$3,FALSE)</f>
        <v>10760</v>
      </c>
      <c r="F119" s="177">
        <f>VLOOKUP($A119,K0kommunestruktur2019!$A$4:$N$425,K0kommunestruktur2020!F$3,FALSE)</f>
        <v>253577</v>
      </c>
      <c r="G119" s="289">
        <f>VLOOKUP($A119,K0kommunestruktur2019!$A$4:$N$425,K0kommunestruktur2020!G$3,FALSE)</f>
        <v>10870</v>
      </c>
      <c r="H119" s="177">
        <f>VLOOKUP($A119,K0kommunestruktur2019!$A$4:$N$425,K0kommunestruktur2020!H$3,FALSE)</f>
        <v>279337</v>
      </c>
      <c r="I119" s="289">
        <f>VLOOKUP($A119,K0kommunestruktur2019!$A$4:$N$425,K0kommunestruktur2020!I$3,FALSE)</f>
        <v>10927</v>
      </c>
      <c r="J119" s="177">
        <f>VLOOKUP($A119,K0kommunestruktur2019!$A$4:$N$425,K0kommunestruktur2020!J$3,FALSE)</f>
        <v>287943</v>
      </c>
      <c r="K119" s="289">
        <f>VLOOKUP($A119,K0kommunestruktur2019!$A$4:$N$425,K0kommunestruktur2020!K$3,FALSE)</f>
        <v>10945</v>
      </c>
      <c r="L119" s="177">
        <f>VLOOKUP($A119,K0kommunestruktur2019!$A$4:$N$425,K0kommunestruktur2020!L$3,FALSE)</f>
        <v>292839</v>
      </c>
      <c r="M119" s="289">
        <f>VLOOKUP($A119,K0kommunestruktur2019!$A$4:$N$425,K0kommunestruktur2020!M$3,FALSE)</f>
        <v>11026</v>
      </c>
      <c r="N119" s="177">
        <f>VLOOKUP($A119,K0kommunestruktur2019!$A$4:$N$425,K0kommunestruktur2020!N$3,FALSE)</f>
        <v>299078</v>
      </c>
      <c r="O119" s="289">
        <f>VLOOKUP(A119,'K20'!$A$4:$BV$359,3)</f>
        <v>11110</v>
      </c>
      <c r="P119" s="289">
        <f>VLOOKUP(A119,'K20'!$A$4:$BV$359,26)</f>
        <v>291255</v>
      </c>
      <c r="R119" s="517"/>
      <c r="S119" s="517"/>
      <c r="T119" s="517"/>
    </row>
    <row r="120" spans="1:20" ht="13">
      <c r="A120" s="865">
        <v>3029</v>
      </c>
      <c r="B120" s="866" t="s">
        <v>814</v>
      </c>
      <c r="C120" s="289">
        <f>VLOOKUP($A120,K0kommunestruktur2019!$A$4:$N$425,K0kommunestruktur2020!C$3,FALSE)</f>
        <v>34697</v>
      </c>
      <c r="D120" s="177">
        <f>VLOOKUP($A120,K0kommunestruktur2019!$A$4:$N$425,K0kommunestruktur2020!D$3,FALSE)</f>
        <v>955054</v>
      </c>
      <c r="E120" s="289">
        <f>VLOOKUP($A120,K0kommunestruktur2019!$A$4:$N$425,K0kommunestruktur2020!E$3,FALSE)</f>
        <v>35139</v>
      </c>
      <c r="F120" s="177">
        <f>VLOOKUP($A120,K0kommunestruktur2019!$A$4:$N$425,K0kommunestruktur2020!F$3,FALSE)</f>
        <v>1000847</v>
      </c>
      <c r="G120" s="289">
        <f>VLOOKUP($A120,K0kommunestruktur2019!$A$4:$N$425,K0kommunestruktur2020!G$3,FALSE)</f>
        <v>36368</v>
      </c>
      <c r="H120" s="177">
        <f>VLOOKUP($A120,K0kommunestruktur2019!$A$4:$N$425,K0kommunestruktur2020!H$3,FALSE)</f>
        <v>1106763</v>
      </c>
      <c r="I120" s="289">
        <f>VLOOKUP($A120,K0kommunestruktur2019!$A$4:$N$425,K0kommunestruktur2020!I$3,FALSE)</f>
        <v>37406</v>
      </c>
      <c r="J120" s="177">
        <f>VLOOKUP($A120,K0kommunestruktur2019!$A$4:$N$425,K0kommunestruktur2020!J$3,FALSE)</f>
        <v>1186669</v>
      </c>
      <c r="K120" s="289">
        <f>VLOOKUP($A120,K0kommunestruktur2019!$A$4:$N$425,K0kommunestruktur2020!K$3,FALSE)</f>
        <v>38670</v>
      </c>
      <c r="L120" s="177">
        <f>VLOOKUP($A120,K0kommunestruktur2019!$A$4:$N$425,K0kommunestruktur2020!L$3,FALSE)</f>
        <v>1265826</v>
      </c>
      <c r="M120" s="289">
        <f>VLOOKUP($A120,K0kommunestruktur2019!$A$4:$N$425,K0kommunestruktur2020!M$3,FALSE)</f>
        <v>40106</v>
      </c>
      <c r="N120" s="177">
        <f>VLOOKUP($A120,K0kommunestruktur2019!$A$4:$N$425,K0kommunestruktur2020!N$3,FALSE)</f>
        <v>1334160</v>
      </c>
      <c r="O120" s="289">
        <f>VLOOKUP(A120,'K20'!$A$4:$BV$359,3)</f>
        <v>41460</v>
      </c>
      <c r="P120" s="289">
        <f>VLOOKUP(A120,'K20'!$A$4:$BV$359,26)</f>
        <v>1334722</v>
      </c>
      <c r="R120" s="517"/>
      <c r="S120" s="517"/>
      <c r="T120" s="517"/>
    </row>
    <row r="121" spans="1:20" ht="13">
      <c r="A121" s="878">
        <v>3030</v>
      </c>
      <c r="B121" s="883" t="s">
        <v>1624</v>
      </c>
      <c r="C121" s="289">
        <f t="shared" ref="C121:N121" si="20">+C$450+C$451+C$452+C$453</f>
        <v>78534.664738740001</v>
      </c>
      <c r="D121" s="177">
        <f t="shared" si="20"/>
        <v>2013637.1778630693</v>
      </c>
      <c r="E121" s="289">
        <f t="shared" si="20"/>
        <v>79386.943549799995</v>
      </c>
      <c r="F121" s="177">
        <f t="shared" si="20"/>
        <v>2094073.8431615522</v>
      </c>
      <c r="G121" s="289">
        <f t="shared" si="20"/>
        <v>80702.568350109999</v>
      </c>
      <c r="H121" s="177">
        <f t="shared" si="20"/>
        <v>2329784.000163381</v>
      </c>
      <c r="I121" s="289">
        <f t="shared" si="20"/>
        <v>81850.515479790003</v>
      </c>
      <c r="J121" s="177">
        <f t="shared" si="20"/>
        <v>2471215.6505476008</v>
      </c>
      <c r="K121" s="289">
        <f t="shared" si="20"/>
        <v>83165.148104530002</v>
      </c>
      <c r="L121" s="177">
        <f t="shared" si="20"/>
        <v>2580671.4667957784</v>
      </c>
      <c r="M121" s="289">
        <f t="shared" si="20"/>
        <v>85086</v>
      </c>
      <c r="N121" s="177">
        <f t="shared" si="20"/>
        <v>2728516.5400375482</v>
      </c>
      <c r="O121" s="289">
        <f>VLOOKUP(A121,'K20'!$A$4:$BV$359,3)</f>
        <v>85983</v>
      </c>
      <c r="P121" s="289">
        <f>VLOOKUP(A121,'K20'!$A$4:$BV$359,26)</f>
        <v>2710030</v>
      </c>
      <c r="R121" s="517"/>
      <c r="S121" s="517"/>
      <c r="T121" s="517"/>
    </row>
    <row r="122" spans="1:20" ht="13">
      <c r="A122" s="865">
        <v>3031</v>
      </c>
      <c r="B122" s="866" t="s">
        <v>816</v>
      </c>
      <c r="C122" s="289">
        <f>VLOOKUP($A122,K0kommunestruktur2019!$A$4:$N$425,K0kommunestruktur2020!C$3,FALSE)</f>
        <v>22385</v>
      </c>
      <c r="D122" s="177">
        <f>VLOOKUP($A122,K0kommunestruktur2019!$A$4:$N$425,K0kommunestruktur2020!D$3,FALSE)</f>
        <v>602308</v>
      </c>
      <c r="E122" s="289">
        <f>VLOOKUP($A122,K0kommunestruktur2019!$A$4:$N$425,K0kommunestruktur2020!E$3,FALSE)</f>
        <v>22706</v>
      </c>
      <c r="F122" s="177">
        <f>VLOOKUP($A122,K0kommunestruktur2019!$A$4:$N$425,K0kommunestruktur2020!F$3,FALSE)</f>
        <v>644021</v>
      </c>
      <c r="G122" s="289">
        <f>VLOOKUP($A122,K0kommunestruktur2019!$A$4:$N$425,K0kommunestruktur2020!G$3,FALSE)</f>
        <v>22857</v>
      </c>
      <c r="H122" s="177">
        <f>VLOOKUP($A122,K0kommunestruktur2019!$A$4:$N$425,K0kommunestruktur2020!H$3,FALSE)</f>
        <v>703515</v>
      </c>
      <c r="I122" s="289">
        <f>VLOOKUP($A122,K0kommunestruktur2019!$A$4:$N$425,K0kommunestruktur2020!I$3,FALSE)</f>
        <v>23213</v>
      </c>
      <c r="J122" s="177">
        <f>VLOOKUP($A122,K0kommunestruktur2019!$A$4:$N$425,K0kommunestruktur2020!J$3,FALSE)</f>
        <v>740249</v>
      </c>
      <c r="K122" s="289">
        <f>VLOOKUP($A122,K0kommunestruktur2019!$A$4:$N$425,K0kommunestruktur2020!K$3,FALSE)</f>
        <v>23545</v>
      </c>
      <c r="L122" s="177">
        <f>VLOOKUP($A122,K0kommunestruktur2019!$A$4:$N$425,K0kommunestruktur2020!L$3,FALSE)</f>
        <v>775033</v>
      </c>
      <c r="M122" s="289">
        <f>VLOOKUP($A122,K0kommunestruktur2019!$A$4:$N$425,K0kommunestruktur2020!M$3,FALSE)</f>
        <v>24089</v>
      </c>
      <c r="N122" s="177">
        <f>VLOOKUP($A122,K0kommunestruktur2019!$A$4:$N$425,K0kommunestruktur2020!N$3,FALSE)</f>
        <v>808965</v>
      </c>
      <c r="O122" s="289">
        <f>VLOOKUP(A122,'K20'!$A$4:$BV$359,3)</f>
        <v>24249</v>
      </c>
      <c r="P122" s="289">
        <f>VLOOKUP(A122,'K20'!$A$4:$BV$359,26)</f>
        <v>791727</v>
      </c>
      <c r="R122" s="517"/>
      <c r="S122" s="517"/>
      <c r="T122" s="517"/>
    </row>
    <row r="123" spans="1:20" ht="13">
      <c r="A123" s="865">
        <v>3032</v>
      </c>
      <c r="B123" s="866" t="s">
        <v>817</v>
      </c>
      <c r="C123" s="289">
        <f>VLOOKUP($A123,K0kommunestruktur2019!$A$4:$N$425,K0kommunestruktur2020!C$3,FALSE)</f>
        <v>6292</v>
      </c>
      <c r="D123" s="177">
        <f>VLOOKUP($A123,K0kommunestruktur2019!$A$4:$N$425,K0kommunestruktur2020!D$3,FALSE)</f>
        <v>172164</v>
      </c>
      <c r="E123" s="289">
        <f>VLOOKUP($A123,K0kommunestruktur2019!$A$4:$N$425,K0kommunestruktur2020!E$3,FALSE)</f>
        <v>6326</v>
      </c>
      <c r="F123" s="177">
        <f>VLOOKUP($A123,K0kommunestruktur2019!$A$4:$N$425,K0kommunestruktur2020!F$3,FALSE)</f>
        <v>183102</v>
      </c>
      <c r="G123" s="289">
        <f>VLOOKUP($A123,K0kommunestruktur2019!$A$4:$N$425,K0kommunestruktur2020!G$3,FALSE)</f>
        <v>6323</v>
      </c>
      <c r="H123" s="177">
        <f>VLOOKUP($A123,K0kommunestruktur2019!$A$4:$N$425,K0kommunestruktur2020!H$3,FALSE)</f>
        <v>203326</v>
      </c>
      <c r="I123" s="289">
        <f>VLOOKUP($A123,K0kommunestruktur2019!$A$4:$N$425,K0kommunestruktur2020!I$3,FALSE)</f>
        <v>6546</v>
      </c>
      <c r="J123" s="177">
        <f>VLOOKUP($A123,K0kommunestruktur2019!$A$4:$N$425,K0kommunestruktur2020!J$3,FALSE)</f>
        <v>234709</v>
      </c>
      <c r="K123" s="289">
        <f>VLOOKUP($A123,K0kommunestruktur2019!$A$4:$N$425,K0kommunestruktur2020!K$3,FALSE)</f>
        <v>6704</v>
      </c>
      <c r="L123" s="177">
        <f>VLOOKUP($A123,K0kommunestruktur2019!$A$4:$N$425,K0kommunestruktur2020!L$3,FALSE)</f>
        <v>242251</v>
      </c>
      <c r="M123" s="289">
        <f>VLOOKUP($A123,K0kommunestruktur2019!$A$4:$N$425,K0kommunestruktur2020!M$3,FALSE)</f>
        <v>6823</v>
      </c>
      <c r="N123" s="177">
        <f>VLOOKUP($A123,K0kommunestruktur2019!$A$4:$N$425,K0kommunestruktur2020!N$3,FALSE)</f>
        <v>249562</v>
      </c>
      <c r="O123" s="289">
        <f>VLOOKUP(A123,'K20'!$A$4:$BV$359,3)</f>
        <v>6890</v>
      </c>
      <c r="P123" s="289">
        <f>VLOOKUP(A123,'K20'!$A$4:$BV$359,26)</f>
        <v>233230</v>
      </c>
      <c r="R123" s="517"/>
      <c r="S123" s="517"/>
      <c r="T123" s="517"/>
    </row>
    <row r="124" spans="1:20" ht="13">
      <c r="A124" s="865">
        <v>3033</v>
      </c>
      <c r="B124" s="866" t="s">
        <v>818</v>
      </c>
      <c r="C124" s="289">
        <f>VLOOKUP($A124,K0kommunestruktur2019!$A$4:$N$425,K0kommunestruktur2020!C$3,FALSE)</f>
        <v>32438</v>
      </c>
      <c r="D124" s="177">
        <f>VLOOKUP($A124,K0kommunestruktur2019!$A$4:$N$425,K0kommunestruktur2020!D$3,FALSE)</f>
        <v>785830</v>
      </c>
      <c r="E124" s="289">
        <f>VLOOKUP($A124,K0kommunestruktur2019!$A$4:$N$425,K0kommunestruktur2020!E$3,FALSE)</f>
        <v>33310</v>
      </c>
      <c r="F124" s="177">
        <f>VLOOKUP($A124,K0kommunestruktur2019!$A$4:$N$425,K0kommunestruktur2020!F$3,FALSE)</f>
        <v>825439</v>
      </c>
      <c r="G124" s="289">
        <f>VLOOKUP($A124,K0kommunestruktur2019!$A$4:$N$425,K0kommunestruktur2020!G$3,FALSE)</f>
        <v>34189</v>
      </c>
      <c r="H124" s="177">
        <f>VLOOKUP($A124,K0kommunestruktur2019!$A$4:$N$425,K0kommunestruktur2020!H$3,FALSE)</f>
        <v>917838</v>
      </c>
      <c r="I124" s="289">
        <f>VLOOKUP($A124,K0kommunestruktur2019!$A$4:$N$425,K0kommunestruktur2020!I$3,FALSE)</f>
        <v>35102</v>
      </c>
      <c r="J124" s="177">
        <f>VLOOKUP($A124,K0kommunestruktur2019!$A$4:$N$425,K0kommunestruktur2020!J$3,FALSE)</f>
        <v>996135</v>
      </c>
      <c r="K124" s="289">
        <f>VLOOKUP($A124,K0kommunestruktur2019!$A$4:$N$425,K0kommunestruktur2020!K$3,FALSE)</f>
        <v>36576</v>
      </c>
      <c r="L124" s="177">
        <f>VLOOKUP($A124,K0kommunestruktur2019!$A$4:$N$425,K0kommunestruktur2020!L$3,FALSE)</f>
        <v>1072566</v>
      </c>
      <c r="M124" s="289">
        <f>VLOOKUP($A124,K0kommunestruktur2019!$A$4:$N$425,K0kommunestruktur2020!M$3,FALSE)</f>
        <v>38234</v>
      </c>
      <c r="N124" s="177">
        <f>VLOOKUP($A124,K0kommunestruktur2019!$A$4:$N$425,K0kommunestruktur2020!N$3,FALSE)</f>
        <v>1141275</v>
      </c>
      <c r="O124" s="289">
        <f>VLOOKUP(A124,'K20'!$A$4:$BV$359,3)</f>
        <v>39625</v>
      </c>
      <c r="P124" s="289">
        <f>VLOOKUP(A124,'K20'!$A$4:$BV$359,26)</f>
        <v>1137725</v>
      </c>
      <c r="R124" s="517"/>
      <c r="S124" s="517"/>
      <c r="T124" s="517"/>
    </row>
    <row r="125" spans="1:20" ht="13">
      <c r="A125" s="889">
        <v>3034</v>
      </c>
      <c r="B125" s="890" t="s">
        <v>819</v>
      </c>
      <c r="C125" s="289">
        <f t="shared" ref="C125:N125" si="21">+C$457+C$458</f>
        <v>20782.233676029999</v>
      </c>
      <c r="D125" s="177">
        <f t="shared" si="21"/>
        <v>428131.12268669321</v>
      </c>
      <c r="E125" s="289">
        <f t="shared" si="21"/>
        <v>21035.776102349999</v>
      </c>
      <c r="F125" s="177">
        <f t="shared" si="21"/>
        <v>461180.27489140781</v>
      </c>
      <c r="G125" s="289">
        <f t="shared" si="21"/>
        <v>21420.212382909998</v>
      </c>
      <c r="H125" s="177">
        <f t="shared" si="21"/>
        <v>513287.36614117655</v>
      </c>
      <c r="I125" s="289">
        <f t="shared" si="21"/>
        <v>21892.254786379999</v>
      </c>
      <c r="J125" s="177">
        <f t="shared" si="21"/>
        <v>545854.16933964647</v>
      </c>
      <c r="K125" s="289">
        <f t="shared" si="21"/>
        <v>22345.745305</v>
      </c>
      <c r="L125" s="177">
        <f t="shared" si="21"/>
        <v>581288.26940818131</v>
      </c>
      <c r="M125" s="289">
        <f t="shared" si="21"/>
        <v>22556</v>
      </c>
      <c r="N125" s="177">
        <f t="shared" si="21"/>
        <v>607824.67936943111</v>
      </c>
      <c r="O125" s="289">
        <f>VLOOKUP(A125,'K20'!$A$4:$BV$359,3)</f>
        <v>23092</v>
      </c>
      <c r="P125" s="289">
        <f>VLOOKUP(A125,'K20'!$A$4:$BV$359,26)</f>
        <v>600621</v>
      </c>
      <c r="R125" s="517"/>
      <c r="S125" s="517"/>
      <c r="T125" s="517"/>
    </row>
    <row r="126" spans="1:20" ht="13">
      <c r="A126" s="865">
        <v>3035</v>
      </c>
      <c r="B126" s="866" t="s">
        <v>820</v>
      </c>
      <c r="C126" s="289">
        <f>VLOOKUP($A126,K0kommunestruktur2019!$A$4:$N$425,K0kommunestruktur2020!C$3,FALSE)</f>
        <v>22689</v>
      </c>
      <c r="D126" s="177">
        <f>VLOOKUP($A126,K0kommunestruktur2019!$A$4:$N$425,K0kommunestruktur2020!D$3,FALSE)</f>
        <v>488216</v>
      </c>
      <c r="E126" s="289">
        <f>VLOOKUP($A126,K0kommunestruktur2019!$A$4:$N$425,K0kommunestruktur2020!E$3,FALSE)</f>
        <v>23238</v>
      </c>
      <c r="F126" s="177">
        <f>VLOOKUP($A126,K0kommunestruktur2019!$A$4:$N$425,K0kommunestruktur2020!F$3,FALSE)</f>
        <v>518464</v>
      </c>
      <c r="G126" s="289">
        <f>VLOOKUP($A126,K0kommunestruktur2019!$A$4:$N$425,K0kommunestruktur2020!G$3,FALSE)</f>
        <v>23811</v>
      </c>
      <c r="H126" s="177">
        <f>VLOOKUP($A126,K0kommunestruktur2019!$A$4:$N$425,K0kommunestruktur2020!H$3,FALSE)</f>
        <v>547726</v>
      </c>
      <c r="I126" s="289">
        <f>VLOOKUP($A126,K0kommunestruktur2019!$A$4:$N$425,K0kommunestruktur2020!I$3,FALSE)</f>
        <v>24415</v>
      </c>
      <c r="J126" s="177">
        <f>VLOOKUP($A126,K0kommunestruktur2019!$A$4:$N$425,K0kommunestruktur2020!J$3,FALSE)</f>
        <v>588642</v>
      </c>
      <c r="K126" s="289">
        <f>VLOOKUP($A126,K0kommunestruktur2019!$A$4:$N$425,K0kommunestruktur2020!K$3,FALSE)</f>
        <v>24647</v>
      </c>
      <c r="L126" s="177">
        <f>VLOOKUP($A126,K0kommunestruktur2019!$A$4:$N$425,K0kommunestruktur2020!L$3,FALSE)</f>
        <v>626457</v>
      </c>
      <c r="M126" s="289">
        <f>VLOOKUP($A126,K0kommunestruktur2019!$A$4:$N$425,K0kommunestruktur2020!M$3,FALSE)</f>
        <v>24919</v>
      </c>
      <c r="N126" s="177">
        <f>VLOOKUP($A126,K0kommunestruktur2019!$A$4:$N$425,K0kommunestruktur2020!N$3,FALSE)</f>
        <v>645346</v>
      </c>
      <c r="O126" s="289">
        <f>VLOOKUP(A126,'K20'!$A$4:$BV$359,3)</f>
        <v>25436</v>
      </c>
      <c r="P126" s="289">
        <f>VLOOKUP(A126,'K20'!$A$4:$BV$359,26)</f>
        <v>638025</v>
      </c>
      <c r="R126" s="517"/>
      <c r="S126" s="517"/>
      <c r="T126" s="517"/>
    </row>
    <row r="127" spans="1:20" ht="13">
      <c r="A127" s="865">
        <v>3036</v>
      </c>
      <c r="B127" s="866" t="s">
        <v>821</v>
      </c>
      <c r="C127" s="289">
        <f>VLOOKUP($A127,K0kommunestruktur2019!$A$4:$N$425,K0kommunestruktur2020!C$3,FALSE)</f>
        <v>11707</v>
      </c>
      <c r="D127" s="177">
        <f>VLOOKUP($A127,K0kommunestruktur2019!$A$4:$N$425,K0kommunestruktur2020!D$3,FALSE)</f>
        <v>256510</v>
      </c>
      <c r="E127" s="289">
        <f>VLOOKUP($A127,K0kommunestruktur2019!$A$4:$N$425,K0kommunestruktur2020!E$3,FALSE)</f>
        <v>11882</v>
      </c>
      <c r="F127" s="177">
        <f>VLOOKUP($A127,K0kommunestruktur2019!$A$4:$N$425,K0kommunestruktur2020!F$3,FALSE)</f>
        <v>273585</v>
      </c>
      <c r="G127" s="289">
        <f>VLOOKUP($A127,K0kommunestruktur2019!$A$4:$N$425,K0kommunestruktur2020!G$3,FALSE)</f>
        <v>12267</v>
      </c>
      <c r="H127" s="177">
        <f>VLOOKUP($A127,K0kommunestruktur2019!$A$4:$N$425,K0kommunestruktur2020!H$3,FALSE)</f>
        <v>306685</v>
      </c>
      <c r="I127" s="289">
        <f>VLOOKUP($A127,K0kommunestruktur2019!$A$4:$N$425,K0kommunestruktur2020!I$3,FALSE)</f>
        <v>12657</v>
      </c>
      <c r="J127" s="177">
        <f>VLOOKUP($A127,K0kommunestruktur2019!$A$4:$N$425,K0kommunestruktur2020!J$3,FALSE)</f>
        <v>327371</v>
      </c>
      <c r="K127" s="289">
        <f>VLOOKUP($A127,K0kommunestruktur2019!$A$4:$N$425,K0kommunestruktur2020!K$3,FALSE)</f>
        <v>13240</v>
      </c>
      <c r="L127" s="177">
        <f>VLOOKUP($A127,K0kommunestruktur2019!$A$4:$N$425,K0kommunestruktur2020!L$3,FALSE)</f>
        <v>355948</v>
      </c>
      <c r="M127" s="289">
        <f>VLOOKUP($A127,K0kommunestruktur2019!$A$4:$N$425,K0kommunestruktur2020!M$3,FALSE)</f>
        <v>13682</v>
      </c>
      <c r="N127" s="177">
        <f>VLOOKUP($A127,K0kommunestruktur2019!$A$4:$N$425,K0kommunestruktur2020!N$3,FALSE)</f>
        <v>376725</v>
      </c>
      <c r="O127" s="289">
        <f>VLOOKUP(A127,'K20'!$A$4:$BV$359,3)</f>
        <v>14139</v>
      </c>
      <c r="P127" s="289">
        <f>VLOOKUP(A127,'K20'!$A$4:$BV$359,26)</f>
        <v>367069</v>
      </c>
      <c r="R127" s="517"/>
      <c r="S127" s="517"/>
      <c r="T127" s="517"/>
    </row>
    <row r="128" spans="1:20" ht="13">
      <c r="A128" s="865">
        <v>3037</v>
      </c>
      <c r="B128" s="866" t="s">
        <v>822</v>
      </c>
      <c r="C128" s="289">
        <f>VLOOKUP($A128,K0kommunestruktur2019!$A$4:$N$425,K0kommunestruktur2020!C$3,FALSE)</f>
        <v>2695</v>
      </c>
      <c r="D128" s="177">
        <f>VLOOKUP($A128,K0kommunestruktur2019!$A$4:$N$425,K0kommunestruktur2020!D$3,FALSE)</f>
        <v>49896</v>
      </c>
      <c r="E128" s="289">
        <f>VLOOKUP($A128,K0kommunestruktur2019!$A$4:$N$425,K0kommunestruktur2020!E$3,FALSE)</f>
        <v>2752</v>
      </c>
      <c r="F128" s="177">
        <f>VLOOKUP($A128,K0kommunestruktur2019!$A$4:$N$425,K0kommunestruktur2020!F$3,FALSE)</f>
        <v>53872</v>
      </c>
      <c r="G128" s="289">
        <f>VLOOKUP($A128,K0kommunestruktur2019!$A$4:$N$425,K0kommunestruktur2020!G$3,FALSE)</f>
        <v>2837</v>
      </c>
      <c r="H128" s="177">
        <f>VLOOKUP($A128,K0kommunestruktur2019!$A$4:$N$425,K0kommunestruktur2020!H$3,FALSE)</f>
        <v>60073</v>
      </c>
      <c r="I128" s="289">
        <f>VLOOKUP($A128,K0kommunestruktur2019!$A$4:$N$425,K0kommunestruktur2020!I$3,FALSE)</f>
        <v>2910</v>
      </c>
      <c r="J128" s="177">
        <f>VLOOKUP($A128,K0kommunestruktur2019!$A$4:$N$425,K0kommunestruktur2020!J$3,FALSE)</f>
        <v>62531</v>
      </c>
      <c r="K128" s="289">
        <f>VLOOKUP($A128,K0kommunestruktur2019!$A$4:$N$425,K0kommunestruktur2020!K$3,FALSE)</f>
        <v>2903</v>
      </c>
      <c r="L128" s="177">
        <f>VLOOKUP($A128,K0kommunestruktur2019!$A$4:$N$425,K0kommunestruktur2020!L$3,FALSE)</f>
        <v>65315</v>
      </c>
      <c r="M128" s="289">
        <f>VLOOKUP($A128,K0kommunestruktur2019!$A$4:$N$425,K0kommunestruktur2020!M$3,FALSE)</f>
        <v>2864</v>
      </c>
      <c r="N128" s="177">
        <f>VLOOKUP($A128,K0kommunestruktur2019!$A$4:$N$425,K0kommunestruktur2020!N$3,FALSE)</f>
        <v>69523</v>
      </c>
      <c r="O128" s="289">
        <f>VLOOKUP(A128,'K20'!$A$4:$BV$359,3)</f>
        <v>2854</v>
      </c>
      <c r="P128" s="289">
        <f>VLOOKUP(A128,'K20'!$A$4:$BV$359,26)</f>
        <v>67644</v>
      </c>
      <c r="R128" s="517"/>
      <c r="S128" s="517"/>
      <c r="T128" s="517"/>
    </row>
    <row r="129" spans="1:20" ht="13">
      <c r="A129" s="865">
        <v>3038</v>
      </c>
      <c r="B129" s="866" t="s">
        <v>874</v>
      </c>
      <c r="C129" s="289">
        <f>VLOOKUP($A129,K0kommunestruktur2019!$A$4:$N$425,K0kommunestruktur2020!C$3,FALSE)</f>
        <v>6595</v>
      </c>
      <c r="D129" s="177">
        <f>VLOOKUP($A129,K0kommunestruktur2019!$A$4:$N$425,K0kommunestruktur2020!D$3,FALSE)</f>
        <v>155090</v>
      </c>
      <c r="E129" s="289">
        <f>VLOOKUP($A129,K0kommunestruktur2019!$A$4:$N$425,K0kommunestruktur2020!E$3,FALSE)</f>
        <v>6698</v>
      </c>
      <c r="F129" s="177">
        <f>VLOOKUP($A129,K0kommunestruktur2019!$A$4:$N$425,K0kommunestruktur2020!F$3,FALSE)</f>
        <v>149683</v>
      </c>
      <c r="G129" s="289">
        <f>VLOOKUP($A129,K0kommunestruktur2019!$A$4:$N$425,K0kommunestruktur2020!G$3,FALSE)</f>
        <v>6767</v>
      </c>
      <c r="H129" s="177">
        <f>VLOOKUP($A129,K0kommunestruktur2019!$A$4:$N$425,K0kommunestruktur2020!H$3,FALSE)</f>
        <v>217126</v>
      </c>
      <c r="I129" s="289">
        <f>VLOOKUP($A129,K0kommunestruktur2019!$A$4:$N$425,K0kommunestruktur2020!I$3,FALSE)</f>
        <v>6772</v>
      </c>
      <c r="J129" s="177">
        <f>VLOOKUP($A129,K0kommunestruktur2019!$A$4:$N$425,K0kommunestruktur2020!J$3,FALSE)</f>
        <v>234181</v>
      </c>
      <c r="K129" s="289">
        <f>VLOOKUP($A129,K0kommunestruktur2019!$A$4:$N$425,K0kommunestruktur2020!K$3,FALSE)</f>
        <v>6833</v>
      </c>
      <c r="L129" s="177">
        <f>VLOOKUP($A129,K0kommunestruktur2019!$A$4:$N$425,K0kommunestruktur2020!L$3,FALSE)</f>
        <v>231734</v>
      </c>
      <c r="M129" s="289">
        <f>VLOOKUP($A129,K0kommunestruktur2019!$A$4:$N$425,K0kommunestruktur2020!M$3,FALSE)</f>
        <v>6845</v>
      </c>
      <c r="N129" s="177">
        <f>VLOOKUP($A129,K0kommunestruktur2019!$A$4:$N$425,K0kommunestruktur2020!N$3,FALSE)</f>
        <v>257243</v>
      </c>
      <c r="O129" s="289">
        <f>VLOOKUP(A129,'K20'!$A$4:$BV$359,3)</f>
        <v>6799</v>
      </c>
      <c r="P129" s="289">
        <f>VLOOKUP(A129,'K20'!$A$4:$BV$359,26)</f>
        <v>245135</v>
      </c>
      <c r="R129" s="517"/>
      <c r="S129" s="517"/>
      <c r="T129" s="517"/>
    </row>
    <row r="130" spans="1:20" ht="13">
      <c r="A130" s="865">
        <v>3039</v>
      </c>
      <c r="B130" s="866" t="s">
        <v>875</v>
      </c>
      <c r="C130" s="289">
        <f>VLOOKUP($A130,K0kommunestruktur2019!$A$4:$N$425,K0kommunestruktur2020!C$3,FALSE)</f>
        <v>1033</v>
      </c>
      <c r="D130" s="177">
        <f>VLOOKUP($A130,K0kommunestruktur2019!$A$4:$N$425,K0kommunestruktur2020!D$3,FALSE)</f>
        <v>24901</v>
      </c>
      <c r="E130" s="289">
        <f>VLOOKUP($A130,K0kommunestruktur2019!$A$4:$N$425,K0kommunestruktur2020!E$3,FALSE)</f>
        <v>1033</v>
      </c>
      <c r="F130" s="177">
        <f>VLOOKUP($A130,K0kommunestruktur2019!$A$4:$N$425,K0kommunestruktur2020!F$3,FALSE)</f>
        <v>25335</v>
      </c>
      <c r="G130" s="289">
        <f>VLOOKUP($A130,K0kommunestruktur2019!$A$4:$N$425,K0kommunestruktur2020!G$3,FALSE)</f>
        <v>1074</v>
      </c>
      <c r="H130" s="177">
        <f>VLOOKUP($A130,K0kommunestruktur2019!$A$4:$N$425,K0kommunestruktur2020!H$3,FALSE)</f>
        <v>27039</v>
      </c>
      <c r="I130" s="289">
        <f>VLOOKUP($A130,K0kommunestruktur2019!$A$4:$N$425,K0kommunestruktur2020!I$3,FALSE)</f>
        <v>1081</v>
      </c>
      <c r="J130" s="177">
        <f>VLOOKUP($A130,K0kommunestruktur2019!$A$4:$N$425,K0kommunestruktur2020!J$3,FALSE)</f>
        <v>30416</v>
      </c>
      <c r="K130" s="289">
        <f>VLOOKUP($A130,K0kommunestruktur2019!$A$4:$N$425,K0kommunestruktur2020!K$3,FALSE)</f>
        <v>1069</v>
      </c>
      <c r="L130" s="177">
        <f>VLOOKUP($A130,K0kommunestruktur2019!$A$4:$N$425,K0kommunestruktur2020!L$3,FALSE)</f>
        <v>31909</v>
      </c>
      <c r="M130" s="289">
        <f>VLOOKUP($A130,K0kommunestruktur2019!$A$4:$N$425,K0kommunestruktur2020!M$3,FALSE)</f>
        <v>1052</v>
      </c>
      <c r="N130" s="177">
        <f>VLOOKUP($A130,K0kommunestruktur2019!$A$4:$N$425,K0kommunestruktur2020!N$3,FALSE)</f>
        <v>33020</v>
      </c>
      <c r="O130" s="289">
        <f>VLOOKUP(A130,'K20'!$A$4:$BV$359,3)</f>
        <v>1050</v>
      </c>
      <c r="P130" s="289">
        <f>VLOOKUP(A130,'K20'!$A$4:$BV$359,26)</f>
        <v>33281</v>
      </c>
      <c r="R130" s="517"/>
      <c r="S130" s="517"/>
      <c r="T130" s="517"/>
    </row>
    <row r="131" spans="1:20" ht="13">
      <c r="A131" s="865">
        <v>3040</v>
      </c>
      <c r="B131" s="866" t="s">
        <v>1966</v>
      </c>
      <c r="C131" s="289">
        <f>VLOOKUP($A131,K0kommunestruktur2019!$A$4:$N$425,K0kommunestruktur2020!C$3,FALSE)</f>
        <v>3445</v>
      </c>
      <c r="D131" s="177">
        <f>VLOOKUP($A131,K0kommunestruktur2019!$A$4:$N$425,K0kommunestruktur2020!D$3,FALSE)</f>
        <v>77187</v>
      </c>
      <c r="E131" s="289">
        <f>VLOOKUP($A131,K0kommunestruktur2019!$A$4:$N$425,K0kommunestruktur2020!E$3,FALSE)</f>
        <v>3414</v>
      </c>
      <c r="F131" s="177">
        <f>VLOOKUP($A131,K0kommunestruktur2019!$A$4:$N$425,K0kommunestruktur2020!F$3,FALSE)</f>
        <v>79354</v>
      </c>
      <c r="G131" s="289">
        <f>VLOOKUP($A131,K0kommunestruktur2019!$A$4:$N$425,K0kommunestruktur2020!G$3,FALSE)</f>
        <v>3422</v>
      </c>
      <c r="H131" s="177">
        <f>VLOOKUP($A131,K0kommunestruktur2019!$A$4:$N$425,K0kommunestruktur2020!H$3,FALSE)</f>
        <v>89949</v>
      </c>
      <c r="I131" s="289">
        <f>VLOOKUP($A131,K0kommunestruktur2019!$A$4:$N$425,K0kommunestruktur2020!I$3,FALSE)</f>
        <v>3357</v>
      </c>
      <c r="J131" s="177">
        <f>VLOOKUP($A131,K0kommunestruktur2019!$A$4:$N$425,K0kommunestruktur2020!J$3,FALSE)</f>
        <v>96441</v>
      </c>
      <c r="K131" s="289">
        <f>VLOOKUP($A131,K0kommunestruktur2019!$A$4:$N$425,K0kommunestruktur2020!K$3,FALSE)</f>
        <v>3341</v>
      </c>
      <c r="L131" s="177">
        <f>VLOOKUP($A131,K0kommunestruktur2019!$A$4:$N$425,K0kommunestruktur2020!L$3,FALSE)</f>
        <v>98315</v>
      </c>
      <c r="M131" s="289">
        <f>VLOOKUP($A131,K0kommunestruktur2019!$A$4:$N$425,K0kommunestruktur2020!M$3,FALSE)</f>
        <v>3315</v>
      </c>
      <c r="N131" s="177">
        <f>VLOOKUP($A131,K0kommunestruktur2019!$A$4:$N$425,K0kommunestruktur2020!N$3,FALSE)</f>
        <v>101815</v>
      </c>
      <c r="O131" s="289">
        <f>VLOOKUP(A131,'K20'!$A$4:$BV$359,3)</f>
        <v>3273</v>
      </c>
      <c r="P131" s="289">
        <f>VLOOKUP(A131,'K20'!$A$4:$BV$359,26)</f>
        <v>98036</v>
      </c>
      <c r="R131" s="517"/>
      <c r="S131" s="517"/>
      <c r="T131" s="517"/>
    </row>
    <row r="132" spans="1:20" ht="13">
      <c r="A132" s="865">
        <v>3041</v>
      </c>
      <c r="B132" s="866" t="s">
        <v>876</v>
      </c>
      <c r="C132" s="289">
        <f>VLOOKUP($A132,K0kommunestruktur2019!$A$4:$N$425,K0kommunestruktur2020!C$3,FALSE)</f>
        <v>4631</v>
      </c>
      <c r="D132" s="177">
        <f>VLOOKUP($A132,K0kommunestruktur2019!$A$4:$N$425,K0kommunestruktur2020!D$3,FALSE)</f>
        <v>112440</v>
      </c>
      <c r="E132" s="289">
        <f>VLOOKUP($A132,K0kommunestruktur2019!$A$4:$N$425,K0kommunestruktur2020!E$3,FALSE)</f>
        <v>4588</v>
      </c>
      <c r="F132" s="177">
        <f>VLOOKUP($A132,K0kommunestruktur2019!$A$4:$N$425,K0kommunestruktur2020!F$3,FALSE)</f>
        <v>114168</v>
      </c>
      <c r="G132" s="289">
        <f>VLOOKUP($A132,K0kommunestruktur2019!$A$4:$N$425,K0kommunestruktur2020!G$3,FALSE)</f>
        <v>4578</v>
      </c>
      <c r="H132" s="177">
        <f>VLOOKUP($A132,K0kommunestruktur2019!$A$4:$N$425,K0kommunestruktur2020!H$3,FALSE)</f>
        <v>123586</v>
      </c>
      <c r="I132" s="289">
        <f>VLOOKUP($A132,K0kommunestruktur2019!$A$4:$N$425,K0kommunestruktur2020!I$3,FALSE)</f>
        <v>4612</v>
      </c>
      <c r="J132" s="177">
        <f>VLOOKUP($A132,K0kommunestruktur2019!$A$4:$N$425,K0kommunestruktur2020!J$3,FALSE)</f>
        <v>132260</v>
      </c>
      <c r="K132" s="289">
        <f>VLOOKUP($A132,K0kommunestruktur2019!$A$4:$N$425,K0kommunestruktur2020!K$3,FALSE)</f>
        <v>4566</v>
      </c>
      <c r="L132" s="177">
        <f>VLOOKUP($A132,K0kommunestruktur2019!$A$4:$N$425,K0kommunestruktur2020!L$3,FALSE)</f>
        <v>141637</v>
      </c>
      <c r="M132" s="289">
        <f>VLOOKUP($A132,K0kommunestruktur2019!$A$4:$N$425,K0kommunestruktur2020!M$3,FALSE)</f>
        <v>4576</v>
      </c>
      <c r="N132" s="177">
        <f>VLOOKUP($A132,K0kommunestruktur2019!$A$4:$N$425,K0kommunestruktur2020!N$3,FALSE)</f>
        <v>143094</v>
      </c>
      <c r="O132" s="289">
        <f>VLOOKUP(A132,'K20'!$A$4:$BV$359,3)</f>
        <v>4608</v>
      </c>
      <c r="P132" s="289">
        <f>VLOOKUP(A132,'K20'!$A$4:$BV$359,26)</f>
        <v>143937</v>
      </c>
      <c r="R132" s="517"/>
      <c r="S132" s="517"/>
      <c r="T132" s="517"/>
    </row>
    <row r="133" spans="1:20" ht="13">
      <c r="A133" s="865">
        <v>3042</v>
      </c>
      <c r="B133" s="866" t="s">
        <v>877</v>
      </c>
      <c r="C133" s="289">
        <f>VLOOKUP($A133,K0kommunestruktur2019!$A$4:$N$425,K0kommunestruktur2020!C$3,FALSE)</f>
        <v>2295</v>
      </c>
      <c r="D133" s="177">
        <f>VLOOKUP($A133,K0kommunestruktur2019!$A$4:$N$425,K0kommunestruktur2020!D$3,FALSE)</f>
        <v>60492</v>
      </c>
      <c r="E133" s="289">
        <f>VLOOKUP($A133,K0kommunestruktur2019!$A$4:$N$425,K0kommunestruktur2020!E$3,FALSE)</f>
        <v>2344</v>
      </c>
      <c r="F133" s="177">
        <f>VLOOKUP($A133,K0kommunestruktur2019!$A$4:$N$425,K0kommunestruktur2020!F$3,FALSE)</f>
        <v>64349</v>
      </c>
      <c r="G133" s="289">
        <f>VLOOKUP($A133,K0kommunestruktur2019!$A$4:$N$425,K0kommunestruktur2020!G$3,FALSE)</f>
        <v>2422</v>
      </c>
      <c r="H133" s="177">
        <f>VLOOKUP($A133,K0kommunestruktur2019!$A$4:$N$425,K0kommunestruktur2020!H$3,FALSE)</f>
        <v>69719</v>
      </c>
      <c r="I133" s="289">
        <f>VLOOKUP($A133,K0kommunestruktur2019!$A$4:$N$425,K0kommunestruktur2020!I$3,FALSE)</f>
        <v>2442</v>
      </c>
      <c r="J133" s="177">
        <f>VLOOKUP($A133,K0kommunestruktur2019!$A$4:$N$425,K0kommunestruktur2020!J$3,FALSE)</f>
        <v>76758</v>
      </c>
      <c r="K133" s="289">
        <f>VLOOKUP($A133,K0kommunestruktur2019!$A$4:$N$425,K0kommunestruktur2020!K$3,FALSE)</f>
        <v>2457</v>
      </c>
      <c r="L133" s="177">
        <f>VLOOKUP($A133,K0kommunestruktur2019!$A$4:$N$425,K0kommunestruktur2020!L$3,FALSE)</f>
        <v>84916</v>
      </c>
      <c r="M133" s="289">
        <f>VLOOKUP($A133,K0kommunestruktur2019!$A$4:$N$425,K0kommunestruktur2020!M$3,FALSE)</f>
        <v>2481</v>
      </c>
      <c r="N133" s="177">
        <f>VLOOKUP($A133,K0kommunestruktur2019!$A$4:$N$425,K0kommunestruktur2020!N$3,FALSE)</f>
        <v>89794</v>
      </c>
      <c r="O133" s="289">
        <f>VLOOKUP(A133,'K20'!$A$4:$BV$359,3)</f>
        <v>2486</v>
      </c>
      <c r="P133" s="289">
        <f>VLOOKUP(A133,'K20'!$A$4:$BV$359,26)</f>
        <v>97800</v>
      </c>
      <c r="R133" s="517"/>
      <c r="S133" s="517"/>
      <c r="T133" s="517"/>
    </row>
    <row r="134" spans="1:20" ht="13">
      <c r="A134" s="865">
        <v>3043</v>
      </c>
      <c r="B134" s="866" t="s">
        <v>878</v>
      </c>
      <c r="C134" s="289">
        <f>VLOOKUP($A134,K0kommunestruktur2019!$A$4:$N$425,K0kommunestruktur2020!C$3,FALSE)</f>
        <v>4713</v>
      </c>
      <c r="D134" s="177">
        <f>VLOOKUP($A134,K0kommunestruktur2019!$A$4:$N$425,K0kommunestruktur2020!D$3,FALSE)</f>
        <v>112935</v>
      </c>
      <c r="E134" s="289">
        <f>VLOOKUP($A134,K0kommunestruktur2019!$A$4:$N$425,K0kommunestruktur2020!E$3,FALSE)</f>
        <v>4716</v>
      </c>
      <c r="F134" s="177">
        <f>VLOOKUP($A134,K0kommunestruktur2019!$A$4:$N$425,K0kommunestruktur2020!F$3,FALSE)</f>
        <v>119963</v>
      </c>
      <c r="G134" s="289">
        <f>VLOOKUP($A134,K0kommunestruktur2019!$A$4:$N$425,K0kommunestruktur2020!G$3,FALSE)</f>
        <v>4711</v>
      </c>
      <c r="H134" s="177">
        <f>VLOOKUP($A134,K0kommunestruktur2019!$A$4:$N$425,K0kommunestruktur2020!H$3,FALSE)</f>
        <v>129347</v>
      </c>
      <c r="I134" s="289">
        <f>VLOOKUP($A134,K0kommunestruktur2019!$A$4:$N$425,K0kommunestruktur2020!I$3,FALSE)</f>
        <v>4719</v>
      </c>
      <c r="J134" s="177">
        <f>VLOOKUP($A134,K0kommunestruktur2019!$A$4:$N$425,K0kommunestruktur2020!J$3,FALSE)</f>
        <v>138427</v>
      </c>
      <c r="K134" s="289">
        <f>VLOOKUP($A134,K0kommunestruktur2019!$A$4:$N$425,K0kommunestruktur2020!K$3,FALSE)</f>
        <v>4626</v>
      </c>
      <c r="L134" s="177">
        <f>VLOOKUP($A134,K0kommunestruktur2019!$A$4:$N$425,K0kommunestruktur2020!L$3,FALSE)</f>
        <v>141581</v>
      </c>
      <c r="M134" s="289">
        <f>VLOOKUP($A134,K0kommunestruktur2019!$A$4:$N$425,K0kommunestruktur2020!M$3,FALSE)</f>
        <v>4671</v>
      </c>
      <c r="N134" s="177">
        <f>VLOOKUP($A134,K0kommunestruktur2019!$A$4:$N$425,K0kommunestruktur2020!N$3,FALSE)</f>
        <v>146024</v>
      </c>
      <c r="O134" s="289">
        <f>VLOOKUP(A134,'K20'!$A$4:$BV$359,3)</f>
        <v>4674</v>
      </c>
      <c r="P134" s="289">
        <f>VLOOKUP(A134,'K20'!$A$4:$BV$359,26)</f>
        <v>145042</v>
      </c>
      <c r="R134" s="517"/>
      <c r="S134" s="517"/>
      <c r="T134" s="517"/>
    </row>
    <row r="135" spans="1:20" ht="13">
      <c r="A135" s="865">
        <v>3044</v>
      </c>
      <c r="B135" s="866" t="s">
        <v>880</v>
      </c>
      <c r="C135" s="289">
        <f>VLOOKUP($A135,K0kommunestruktur2019!$A$4:$N$425,K0kommunestruktur2020!C$3,FALSE)</f>
        <v>4452</v>
      </c>
      <c r="D135" s="177">
        <f>VLOOKUP($A135,K0kommunestruktur2019!$A$4:$N$425,K0kommunestruktur2020!D$3,FALSE)</f>
        <v>141469</v>
      </c>
      <c r="E135" s="289">
        <f>VLOOKUP($A135,K0kommunestruktur2019!$A$4:$N$425,K0kommunestruktur2020!E$3,FALSE)</f>
        <v>4471</v>
      </c>
      <c r="F135" s="177">
        <f>VLOOKUP($A135,K0kommunestruktur2019!$A$4:$N$425,K0kommunestruktur2020!F$3,FALSE)</f>
        <v>150303</v>
      </c>
      <c r="G135" s="289">
        <f>VLOOKUP($A135,K0kommunestruktur2019!$A$4:$N$425,K0kommunestruktur2020!G$3,FALSE)</f>
        <v>4497</v>
      </c>
      <c r="H135" s="177">
        <f>VLOOKUP($A135,K0kommunestruktur2019!$A$4:$N$425,K0kommunestruktur2020!H$3,FALSE)</f>
        <v>163835</v>
      </c>
      <c r="I135" s="289">
        <f>VLOOKUP($A135,K0kommunestruktur2019!$A$4:$N$425,K0kommunestruktur2020!I$3,FALSE)</f>
        <v>4535</v>
      </c>
      <c r="J135" s="177">
        <f>VLOOKUP($A135,K0kommunestruktur2019!$A$4:$N$425,K0kommunestruktur2020!J$3,FALSE)</f>
        <v>174624</v>
      </c>
      <c r="K135" s="289">
        <f>VLOOKUP($A135,K0kommunestruktur2019!$A$4:$N$425,K0kommunestruktur2020!K$3,FALSE)</f>
        <v>4520</v>
      </c>
      <c r="L135" s="177">
        <f>VLOOKUP($A135,K0kommunestruktur2019!$A$4:$N$425,K0kommunestruktur2020!L$3,FALSE)</f>
        <v>178343</v>
      </c>
      <c r="M135" s="289">
        <f>VLOOKUP($A135,K0kommunestruktur2019!$A$4:$N$425,K0kommunestruktur2020!M$3,FALSE)</f>
        <v>4473</v>
      </c>
      <c r="N135" s="177">
        <f>VLOOKUP($A135,K0kommunestruktur2019!$A$4:$N$425,K0kommunestruktur2020!N$3,FALSE)</f>
        <v>199023</v>
      </c>
      <c r="O135" s="289">
        <f>VLOOKUP(A135,'K20'!$A$4:$BV$359,3)</f>
        <v>4441</v>
      </c>
      <c r="P135" s="289">
        <f>VLOOKUP(A135,'K20'!$A$4:$BV$359,26)</f>
        <v>194493</v>
      </c>
      <c r="R135" s="517"/>
      <c r="S135" s="517"/>
      <c r="T135" s="517"/>
    </row>
    <row r="136" spans="1:20" ht="13">
      <c r="A136" s="865">
        <v>3045</v>
      </c>
      <c r="B136" s="866" t="s">
        <v>881</v>
      </c>
      <c r="C136" s="289">
        <f>VLOOKUP($A136,K0kommunestruktur2019!$A$4:$N$425,K0kommunestruktur2020!C$3,FALSE)</f>
        <v>3509</v>
      </c>
      <c r="D136" s="177">
        <f>VLOOKUP($A136,K0kommunestruktur2019!$A$4:$N$425,K0kommunestruktur2020!D$3,FALSE)</f>
        <v>84796</v>
      </c>
      <c r="E136" s="289">
        <f>VLOOKUP($A136,K0kommunestruktur2019!$A$4:$N$425,K0kommunestruktur2020!E$3,FALSE)</f>
        <v>3520</v>
      </c>
      <c r="F136" s="177">
        <f>VLOOKUP($A136,K0kommunestruktur2019!$A$4:$N$425,K0kommunestruktur2020!F$3,FALSE)</f>
        <v>87162</v>
      </c>
      <c r="G136" s="289">
        <f>VLOOKUP($A136,K0kommunestruktur2019!$A$4:$N$425,K0kommunestruktur2020!G$3,FALSE)</f>
        <v>3512</v>
      </c>
      <c r="H136" s="177">
        <f>VLOOKUP($A136,K0kommunestruktur2019!$A$4:$N$425,K0kommunestruktur2020!H$3,FALSE)</f>
        <v>106580</v>
      </c>
      <c r="I136" s="289">
        <f>VLOOKUP($A136,K0kommunestruktur2019!$A$4:$N$425,K0kommunestruktur2020!I$3,FALSE)</f>
        <v>3502</v>
      </c>
      <c r="J136" s="177">
        <f>VLOOKUP($A136,K0kommunestruktur2019!$A$4:$N$425,K0kommunestruktur2020!J$3,FALSE)</f>
        <v>102587</v>
      </c>
      <c r="K136" s="289">
        <f>VLOOKUP($A136,K0kommunestruktur2019!$A$4:$N$425,K0kommunestruktur2020!K$3,FALSE)</f>
        <v>3488</v>
      </c>
      <c r="L136" s="177">
        <f>VLOOKUP($A136,K0kommunestruktur2019!$A$4:$N$425,K0kommunestruktur2020!L$3,FALSE)</f>
        <v>98498</v>
      </c>
      <c r="M136" s="289">
        <f>VLOOKUP($A136,K0kommunestruktur2019!$A$4:$N$425,K0kommunestruktur2020!M$3,FALSE)</f>
        <v>3490</v>
      </c>
      <c r="N136" s="177">
        <f>VLOOKUP($A136,K0kommunestruktur2019!$A$4:$N$425,K0kommunestruktur2020!N$3,FALSE)</f>
        <v>106548</v>
      </c>
      <c r="O136" s="289">
        <f>VLOOKUP(A136,'K20'!$A$4:$BV$359,3)</f>
        <v>3467</v>
      </c>
      <c r="P136" s="289">
        <f>VLOOKUP(A136,'K20'!$A$4:$BV$359,26)</f>
        <v>105568</v>
      </c>
      <c r="R136" s="517"/>
      <c r="S136" s="517"/>
      <c r="T136" s="517"/>
    </row>
    <row r="137" spans="1:20" ht="13">
      <c r="A137" s="865">
        <v>3046</v>
      </c>
      <c r="B137" s="866" t="s">
        <v>882</v>
      </c>
      <c r="C137" s="289">
        <f>VLOOKUP($A137,K0kommunestruktur2019!$A$4:$N$425,K0kommunestruktur2020!C$3,FALSE)</f>
        <v>2265</v>
      </c>
      <c r="D137" s="177">
        <f>VLOOKUP($A137,K0kommunestruktur2019!$A$4:$N$425,K0kommunestruktur2020!D$3,FALSE)</f>
        <v>56801</v>
      </c>
      <c r="E137" s="289">
        <f>VLOOKUP($A137,K0kommunestruktur2019!$A$4:$N$425,K0kommunestruktur2020!E$3,FALSE)</f>
        <v>2268</v>
      </c>
      <c r="F137" s="177">
        <f>VLOOKUP($A137,K0kommunestruktur2019!$A$4:$N$425,K0kommunestruktur2020!F$3,FALSE)</f>
        <v>62344</v>
      </c>
      <c r="G137" s="289">
        <f>VLOOKUP($A137,K0kommunestruktur2019!$A$4:$N$425,K0kommunestruktur2020!G$3,FALSE)</f>
        <v>2275</v>
      </c>
      <c r="H137" s="177">
        <f>VLOOKUP($A137,K0kommunestruktur2019!$A$4:$N$425,K0kommunestruktur2020!H$3,FALSE)</f>
        <v>67497</v>
      </c>
      <c r="I137" s="289">
        <f>VLOOKUP($A137,K0kommunestruktur2019!$A$4:$N$425,K0kommunestruktur2020!I$3,FALSE)</f>
        <v>2257</v>
      </c>
      <c r="J137" s="177">
        <f>VLOOKUP($A137,K0kommunestruktur2019!$A$4:$N$425,K0kommunestruktur2020!J$3,FALSE)</f>
        <v>71317</v>
      </c>
      <c r="K137" s="289">
        <f>VLOOKUP($A137,K0kommunestruktur2019!$A$4:$N$425,K0kommunestruktur2020!K$3,FALSE)</f>
        <v>2277</v>
      </c>
      <c r="L137" s="177">
        <f>VLOOKUP($A137,K0kommunestruktur2019!$A$4:$N$425,K0kommunestruktur2020!L$3,FALSE)</f>
        <v>72970</v>
      </c>
      <c r="M137" s="289">
        <f>VLOOKUP($A137,K0kommunestruktur2019!$A$4:$N$425,K0kommunestruktur2020!M$3,FALSE)</f>
        <v>2239</v>
      </c>
      <c r="N137" s="177">
        <f>VLOOKUP($A137,K0kommunestruktur2019!$A$4:$N$425,K0kommunestruktur2020!N$3,FALSE)</f>
        <v>75843</v>
      </c>
      <c r="O137" s="289">
        <f>VLOOKUP(A137,'K20'!$A$4:$BV$359,3)</f>
        <v>2212</v>
      </c>
      <c r="P137" s="289">
        <f>VLOOKUP(A137,'K20'!$A$4:$BV$359,26)</f>
        <v>74912</v>
      </c>
      <c r="R137" s="517"/>
      <c r="S137" s="517"/>
      <c r="T137" s="517"/>
    </row>
    <row r="138" spans="1:20" ht="13">
      <c r="A138" s="865">
        <v>3047</v>
      </c>
      <c r="B138" s="866" t="s">
        <v>883</v>
      </c>
      <c r="C138" s="289">
        <f>VLOOKUP($A138,K0kommunestruktur2019!$A$4:$N$425,K0kommunestruktur2020!C$3,FALSE)</f>
        <v>13581</v>
      </c>
      <c r="D138" s="177">
        <f>VLOOKUP($A138,K0kommunestruktur2019!$A$4:$N$425,K0kommunestruktur2020!D$3,FALSE)</f>
        <v>292072</v>
      </c>
      <c r="E138" s="289">
        <f>VLOOKUP($A138,K0kommunestruktur2019!$A$4:$N$425,K0kommunestruktur2020!E$3,FALSE)</f>
        <v>13685</v>
      </c>
      <c r="F138" s="177">
        <f>VLOOKUP($A138,K0kommunestruktur2019!$A$4:$N$425,K0kommunestruktur2020!F$3,FALSE)</f>
        <v>305637</v>
      </c>
      <c r="G138" s="289">
        <f>VLOOKUP($A138,K0kommunestruktur2019!$A$4:$N$425,K0kommunestruktur2020!G$3,FALSE)</f>
        <v>13794</v>
      </c>
      <c r="H138" s="177">
        <f>VLOOKUP($A138,K0kommunestruktur2019!$A$4:$N$425,K0kommunestruktur2020!H$3,FALSE)</f>
        <v>341123</v>
      </c>
      <c r="I138" s="289">
        <f>VLOOKUP($A138,K0kommunestruktur2019!$A$4:$N$425,K0kommunestruktur2020!I$3,FALSE)</f>
        <v>13786</v>
      </c>
      <c r="J138" s="177">
        <f>VLOOKUP($A138,K0kommunestruktur2019!$A$4:$N$425,K0kommunestruktur2020!J$3,FALSE)</f>
        <v>349911</v>
      </c>
      <c r="K138" s="289">
        <f>VLOOKUP($A138,K0kommunestruktur2019!$A$4:$N$425,K0kommunestruktur2020!K$3,FALSE)</f>
        <v>13880</v>
      </c>
      <c r="L138" s="177">
        <f>VLOOKUP($A138,K0kommunestruktur2019!$A$4:$N$425,K0kommunestruktur2020!L$3,FALSE)</f>
        <v>373875</v>
      </c>
      <c r="M138" s="289">
        <f>VLOOKUP($A138,K0kommunestruktur2019!$A$4:$N$425,K0kommunestruktur2020!M$3,FALSE)</f>
        <v>13980</v>
      </c>
      <c r="N138" s="177">
        <f>VLOOKUP($A138,K0kommunestruktur2019!$A$4:$N$425,K0kommunestruktur2020!N$3,FALSE)</f>
        <v>389481</v>
      </c>
      <c r="O138" s="289">
        <f>VLOOKUP(A138,'K20'!$A$4:$BV$359,3)</f>
        <v>14115</v>
      </c>
      <c r="P138" s="289">
        <f>VLOOKUP(A138,'K20'!$A$4:$BV$359,26)</f>
        <v>366401</v>
      </c>
      <c r="R138" s="517"/>
      <c r="S138" s="517"/>
      <c r="T138" s="517"/>
    </row>
    <row r="139" spans="1:20" ht="13">
      <c r="A139" s="865">
        <v>3048</v>
      </c>
      <c r="B139" s="866" t="s">
        <v>884</v>
      </c>
      <c r="C139" s="289">
        <f>VLOOKUP($A139,K0kommunestruktur2019!$A$4:$N$425,K0kommunestruktur2020!C$3,FALSE)</f>
        <v>17919</v>
      </c>
      <c r="D139" s="177">
        <f>VLOOKUP($A139,K0kommunestruktur2019!$A$4:$N$425,K0kommunestruktur2020!D$3,FALSE)</f>
        <v>404166</v>
      </c>
      <c r="E139" s="289">
        <f>VLOOKUP($A139,K0kommunestruktur2019!$A$4:$N$425,K0kommunestruktur2020!E$3,FALSE)</f>
        <v>18039</v>
      </c>
      <c r="F139" s="177">
        <f>VLOOKUP($A139,K0kommunestruktur2019!$A$4:$N$425,K0kommunestruktur2020!F$3,FALSE)</f>
        <v>436278</v>
      </c>
      <c r="G139" s="289">
        <f>VLOOKUP($A139,K0kommunestruktur2019!$A$4:$N$425,K0kommunestruktur2020!G$3,FALSE)</f>
        <v>18205</v>
      </c>
      <c r="H139" s="177">
        <f>VLOOKUP($A139,K0kommunestruktur2019!$A$4:$N$425,K0kommunestruktur2020!H$3,FALSE)</f>
        <v>475477</v>
      </c>
      <c r="I139" s="289">
        <f>VLOOKUP($A139,K0kommunestruktur2019!$A$4:$N$425,K0kommunestruktur2020!I$3,FALSE)</f>
        <v>18562</v>
      </c>
      <c r="J139" s="177">
        <f>VLOOKUP($A139,K0kommunestruktur2019!$A$4:$N$425,K0kommunestruktur2020!J$3,FALSE)</f>
        <v>512095</v>
      </c>
      <c r="K139" s="289">
        <f>VLOOKUP($A139,K0kommunestruktur2019!$A$4:$N$425,K0kommunestruktur2020!K$3,FALSE)</f>
        <v>18926</v>
      </c>
      <c r="L139" s="177">
        <f>VLOOKUP($A139,K0kommunestruktur2019!$A$4:$N$425,K0kommunestruktur2020!L$3,FALSE)</f>
        <v>525047</v>
      </c>
      <c r="M139" s="289">
        <f>VLOOKUP($A139,K0kommunestruktur2019!$A$4:$N$425,K0kommunestruktur2020!M$3,FALSE)</f>
        <v>19117</v>
      </c>
      <c r="N139" s="177">
        <f>VLOOKUP($A139,K0kommunestruktur2019!$A$4:$N$425,K0kommunestruktur2020!N$3,FALSE)</f>
        <v>555986</v>
      </c>
      <c r="O139" s="289">
        <f>VLOOKUP(A139,'K20'!$A$4:$BV$359,3)</f>
        <v>19423</v>
      </c>
      <c r="P139" s="289">
        <f>VLOOKUP(A139,'K20'!$A$4:$BV$359,26)</f>
        <v>573811</v>
      </c>
      <c r="R139" s="517"/>
      <c r="S139" s="517"/>
      <c r="T139" s="517"/>
    </row>
    <row r="140" spans="1:20" ht="13">
      <c r="A140" s="865">
        <v>3049</v>
      </c>
      <c r="B140" s="866" t="s">
        <v>886</v>
      </c>
      <c r="C140" s="289">
        <f>VLOOKUP($A140,K0kommunestruktur2019!$A$4:$N$425,K0kommunestruktur2020!C$3,FALSE)</f>
        <v>25175</v>
      </c>
      <c r="D140" s="177">
        <f>VLOOKUP($A140,K0kommunestruktur2019!$A$4:$N$425,K0kommunestruktur2020!D$3,FALSE)</f>
        <v>692154</v>
      </c>
      <c r="E140" s="289">
        <f>VLOOKUP($A140,K0kommunestruktur2019!$A$4:$N$425,K0kommunestruktur2020!E$3,FALSE)</f>
        <v>25378</v>
      </c>
      <c r="F140" s="177">
        <f>VLOOKUP($A140,K0kommunestruktur2019!$A$4:$N$425,K0kommunestruktur2020!F$3,FALSE)</f>
        <v>737381</v>
      </c>
      <c r="G140" s="289">
        <f>VLOOKUP($A140,K0kommunestruktur2019!$A$4:$N$425,K0kommunestruktur2020!G$3,FALSE)</f>
        <v>25731</v>
      </c>
      <c r="H140" s="177">
        <f>VLOOKUP($A140,K0kommunestruktur2019!$A$4:$N$425,K0kommunestruktur2020!H$3,FALSE)</f>
        <v>817486</v>
      </c>
      <c r="I140" s="289">
        <f>VLOOKUP($A140,K0kommunestruktur2019!$A$4:$N$425,K0kommunestruktur2020!I$3,FALSE)</f>
        <v>25740</v>
      </c>
      <c r="J140" s="177">
        <f>VLOOKUP($A140,K0kommunestruktur2019!$A$4:$N$425,K0kommunestruktur2020!J$3,FALSE)</f>
        <v>854427</v>
      </c>
      <c r="K140" s="289">
        <f>VLOOKUP($A140,K0kommunestruktur2019!$A$4:$N$425,K0kommunestruktur2020!K$3,FALSE)</f>
        <v>25980</v>
      </c>
      <c r="L140" s="177">
        <f>VLOOKUP($A140,K0kommunestruktur2019!$A$4:$N$425,K0kommunestruktur2020!L$3,FALSE)</f>
        <v>880691</v>
      </c>
      <c r="M140" s="289">
        <f>VLOOKUP($A140,K0kommunestruktur2019!$A$4:$N$425,K0kommunestruktur2020!M$3,FALSE)</f>
        <v>26373</v>
      </c>
      <c r="N140" s="177">
        <f>VLOOKUP($A140,K0kommunestruktur2019!$A$4:$N$425,K0kommunestruktur2020!N$3,FALSE)</f>
        <v>925263</v>
      </c>
      <c r="O140" s="289">
        <f>VLOOKUP(A140,'K20'!$A$4:$BV$359,3)</f>
        <v>26811</v>
      </c>
      <c r="P140" s="289">
        <f>VLOOKUP(A140,'K20'!$A$4:$BV$359,26)</f>
        <v>941550</v>
      </c>
      <c r="R140" s="517"/>
      <c r="S140" s="517"/>
      <c r="T140" s="517"/>
    </row>
    <row r="141" spans="1:20" ht="13">
      <c r="A141" s="865">
        <v>3050</v>
      </c>
      <c r="B141" s="866" t="s">
        <v>889</v>
      </c>
      <c r="C141" s="289">
        <f>VLOOKUP($A141,K0kommunestruktur2019!$A$4:$N$425,K0kommunestruktur2020!C$3,FALSE)</f>
        <v>2683</v>
      </c>
      <c r="D141" s="177">
        <f>VLOOKUP($A141,K0kommunestruktur2019!$A$4:$N$425,K0kommunestruktur2020!D$3,FALSE)</f>
        <v>61223</v>
      </c>
      <c r="E141" s="289">
        <f>VLOOKUP($A141,K0kommunestruktur2019!$A$4:$N$425,K0kommunestruktur2020!E$3,FALSE)</f>
        <v>2671</v>
      </c>
      <c r="F141" s="177">
        <f>VLOOKUP($A141,K0kommunestruktur2019!$A$4:$N$425,K0kommunestruktur2020!F$3,FALSE)</f>
        <v>64103</v>
      </c>
      <c r="G141" s="289">
        <f>VLOOKUP($A141,K0kommunestruktur2019!$A$4:$N$425,K0kommunestruktur2020!G$3,FALSE)</f>
        <v>2699</v>
      </c>
      <c r="H141" s="177">
        <f>VLOOKUP($A141,K0kommunestruktur2019!$A$4:$N$425,K0kommunestruktur2020!H$3,FALSE)</f>
        <v>70327</v>
      </c>
      <c r="I141" s="289">
        <f>VLOOKUP($A141,K0kommunestruktur2019!$A$4:$N$425,K0kommunestruktur2020!I$3,FALSE)</f>
        <v>2696</v>
      </c>
      <c r="J141" s="177">
        <f>VLOOKUP($A141,K0kommunestruktur2019!$A$4:$N$425,K0kommunestruktur2020!J$3,FALSE)</f>
        <v>71305</v>
      </c>
      <c r="K141" s="289">
        <f>VLOOKUP($A141,K0kommunestruktur2019!$A$4:$N$425,K0kommunestruktur2020!K$3,FALSE)</f>
        <v>2688</v>
      </c>
      <c r="L141" s="177">
        <f>VLOOKUP($A141,K0kommunestruktur2019!$A$4:$N$425,K0kommunestruktur2020!L$3,FALSE)</f>
        <v>75809</v>
      </c>
      <c r="M141" s="289">
        <f>VLOOKUP($A141,K0kommunestruktur2019!$A$4:$N$425,K0kommunestruktur2020!M$3,FALSE)</f>
        <v>2694</v>
      </c>
      <c r="N141" s="177">
        <f>VLOOKUP($A141,K0kommunestruktur2019!$A$4:$N$425,K0kommunestruktur2020!N$3,FALSE)</f>
        <v>84542</v>
      </c>
      <c r="O141" s="289">
        <f>VLOOKUP(A141,'K20'!$A$4:$BV$359,3)</f>
        <v>2688</v>
      </c>
      <c r="P141" s="289">
        <f>VLOOKUP(A141,'K20'!$A$4:$BV$359,26)</f>
        <v>83208</v>
      </c>
      <c r="R141" s="517"/>
      <c r="S141" s="517"/>
      <c r="T141" s="517"/>
    </row>
    <row r="142" spans="1:20" ht="13">
      <c r="A142" s="865">
        <v>3051</v>
      </c>
      <c r="B142" s="866" t="s">
        <v>890</v>
      </c>
      <c r="C142" s="289">
        <f>VLOOKUP($A142,K0kommunestruktur2019!$A$4:$N$425,K0kommunestruktur2020!C$3,FALSE)</f>
        <v>1369</v>
      </c>
      <c r="D142" s="177">
        <f>VLOOKUP($A142,K0kommunestruktur2019!$A$4:$N$425,K0kommunestruktur2020!D$3,FALSE)</f>
        <v>33041</v>
      </c>
      <c r="E142" s="289">
        <f>VLOOKUP($A142,K0kommunestruktur2019!$A$4:$N$425,K0kommunestruktur2020!E$3,FALSE)</f>
        <v>1375</v>
      </c>
      <c r="F142" s="177">
        <f>VLOOKUP($A142,K0kommunestruktur2019!$A$4:$N$425,K0kommunestruktur2020!F$3,FALSE)</f>
        <v>33997</v>
      </c>
      <c r="G142" s="289">
        <f>VLOOKUP($A142,K0kommunestruktur2019!$A$4:$N$425,K0kommunestruktur2020!G$3,FALSE)</f>
        <v>1404</v>
      </c>
      <c r="H142" s="177">
        <f>VLOOKUP($A142,K0kommunestruktur2019!$A$4:$N$425,K0kommunestruktur2020!H$3,FALSE)</f>
        <v>35626</v>
      </c>
      <c r="I142" s="289">
        <f>VLOOKUP($A142,K0kommunestruktur2019!$A$4:$N$425,K0kommunestruktur2020!I$3,FALSE)</f>
        <v>1399</v>
      </c>
      <c r="J142" s="177">
        <f>VLOOKUP($A142,K0kommunestruktur2019!$A$4:$N$425,K0kommunestruktur2020!J$3,FALSE)</f>
        <v>38046</v>
      </c>
      <c r="K142" s="289">
        <f>VLOOKUP($A142,K0kommunestruktur2019!$A$4:$N$425,K0kommunestruktur2020!K$3,FALSE)</f>
        <v>1411</v>
      </c>
      <c r="L142" s="177">
        <f>VLOOKUP($A142,K0kommunestruktur2019!$A$4:$N$425,K0kommunestruktur2020!L$3,FALSE)</f>
        <v>41136</v>
      </c>
      <c r="M142" s="289">
        <f>VLOOKUP($A142,K0kommunestruktur2019!$A$4:$N$425,K0kommunestruktur2020!M$3,FALSE)</f>
        <v>1419</v>
      </c>
      <c r="N142" s="177">
        <f>VLOOKUP($A142,K0kommunestruktur2019!$A$4:$N$425,K0kommunestruktur2020!N$3,FALSE)</f>
        <v>41486</v>
      </c>
      <c r="O142" s="289">
        <f>VLOOKUP(A142,'K20'!$A$4:$BV$359,3)</f>
        <v>1390</v>
      </c>
      <c r="P142" s="289">
        <f>VLOOKUP(A142,'K20'!$A$4:$BV$359,26)</f>
        <v>39387</v>
      </c>
      <c r="R142" s="517"/>
      <c r="S142" s="517"/>
      <c r="T142" s="517"/>
    </row>
    <row r="143" spans="1:20" ht="13">
      <c r="A143" s="865">
        <v>3052</v>
      </c>
      <c r="B143" s="866" t="s">
        <v>891</v>
      </c>
      <c r="C143" s="289">
        <f>VLOOKUP($A143,K0kommunestruktur2019!$A$4:$N$425,K0kommunestruktur2020!C$3,FALSE)</f>
        <v>2557</v>
      </c>
      <c r="D143" s="177">
        <f>VLOOKUP($A143,K0kommunestruktur2019!$A$4:$N$425,K0kommunestruktur2020!D$3,FALSE)</f>
        <v>75781</v>
      </c>
      <c r="E143" s="289">
        <f>VLOOKUP($A143,K0kommunestruktur2019!$A$4:$N$425,K0kommunestruktur2020!E$3,FALSE)</f>
        <v>2541</v>
      </c>
      <c r="F143" s="177">
        <f>VLOOKUP($A143,K0kommunestruktur2019!$A$4:$N$425,K0kommunestruktur2020!F$3,FALSE)</f>
        <v>79807</v>
      </c>
      <c r="G143" s="289">
        <f>VLOOKUP($A143,K0kommunestruktur2019!$A$4:$N$425,K0kommunestruktur2020!G$3,FALSE)</f>
        <v>2548</v>
      </c>
      <c r="H143" s="177">
        <f>VLOOKUP($A143,K0kommunestruktur2019!$A$4:$N$425,K0kommunestruktur2020!H$3,FALSE)</f>
        <v>82403</v>
      </c>
      <c r="I143" s="289">
        <f>VLOOKUP($A143,K0kommunestruktur2019!$A$4:$N$425,K0kommunestruktur2020!I$3,FALSE)</f>
        <v>2530</v>
      </c>
      <c r="J143" s="177">
        <f>VLOOKUP($A143,K0kommunestruktur2019!$A$4:$N$425,K0kommunestruktur2020!J$3,FALSE)</f>
        <v>86626</v>
      </c>
      <c r="K143" s="289">
        <f>VLOOKUP($A143,K0kommunestruktur2019!$A$4:$N$425,K0kommunestruktur2020!K$3,FALSE)</f>
        <v>2482</v>
      </c>
      <c r="L143" s="177">
        <f>VLOOKUP($A143,K0kommunestruktur2019!$A$4:$N$425,K0kommunestruktur2020!L$3,FALSE)</f>
        <v>90032</v>
      </c>
      <c r="M143" s="289">
        <f>VLOOKUP($A143,K0kommunestruktur2019!$A$4:$N$425,K0kommunestruktur2020!M$3,FALSE)</f>
        <v>2448</v>
      </c>
      <c r="N143" s="177">
        <f>VLOOKUP($A143,K0kommunestruktur2019!$A$4:$N$425,K0kommunestruktur2020!N$3,FALSE)</f>
        <v>93992</v>
      </c>
      <c r="O143" s="289">
        <f>VLOOKUP(A143,'K20'!$A$4:$BV$359,3)</f>
        <v>2439</v>
      </c>
      <c r="P143" s="289">
        <f>VLOOKUP(A143,'K20'!$A$4:$BV$359,26)</f>
        <v>89296</v>
      </c>
      <c r="R143" s="517"/>
      <c r="S143" s="517"/>
      <c r="T143" s="517"/>
    </row>
    <row r="144" spans="1:20" ht="13">
      <c r="A144" s="865">
        <v>3053</v>
      </c>
      <c r="B144" s="866" t="s">
        <v>860</v>
      </c>
      <c r="C144" s="289">
        <f>VLOOKUP($A144,K0kommunestruktur2019!$A$4:$N$425,K0kommunestruktur2020!C$3,FALSE)</f>
        <v>6516</v>
      </c>
      <c r="D144" s="177">
        <f>VLOOKUP($A144,K0kommunestruktur2019!$A$4:$N$425,K0kommunestruktur2020!D$3,FALSE)</f>
        <v>126182</v>
      </c>
      <c r="E144" s="289">
        <f>VLOOKUP($A144,K0kommunestruktur2019!$A$4:$N$425,K0kommunestruktur2020!E$3,FALSE)</f>
        <v>6599</v>
      </c>
      <c r="F144" s="177">
        <f>VLOOKUP($A144,K0kommunestruktur2019!$A$4:$N$425,K0kommunestruktur2020!F$3,FALSE)</f>
        <v>133870</v>
      </c>
      <c r="G144" s="289">
        <f>VLOOKUP($A144,K0kommunestruktur2019!$A$4:$N$425,K0kommunestruktur2020!G$3,FALSE)</f>
        <v>6629</v>
      </c>
      <c r="H144" s="177">
        <f>VLOOKUP($A144,K0kommunestruktur2019!$A$4:$N$425,K0kommunestruktur2020!H$3,FALSE)</f>
        <v>147737</v>
      </c>
      <c r="I144" s="289">
        <f>VLOOKUP($A144,K0kommunestruktur2019!$A$4:$N$425,K0kommunestruktur2020!I$3,FALSE)</f>
        <v>6696</v>
      </c>
      <c r="J144" s="177">
        <f>VLOOKUP($A144,K0kommunestruktur2019!$A$4:$N$425,K0kommunestruktur2020!J$3,FALSE)</f>
        <v>157513</v>
      </c>
      <c r="K144" s="289">
        <f>VLOOKUP($A144,K0kommunestruktur2019!$A$4:$N$425,K0kommunestruktur2020!K$3,FALSE)</f>
        <v>6777</v>
      </c>
      <c r="L144" s="177">
        <f>VLOOKUP($A144,K0kommunestruktur2019!$A$4:$N$425,K0kommunestruktur2020!L$3,FALSE)</f>
        <v>167525</v>
      </c>
      <c r="M144" s="289">
        <f>VLOOKUP($A144,K0kommunestruktur2019!$A$4:$N$425,K0kommunestruktur2020!M$3,FALSE)</f>
        <v>6846</v>
      </c>
      <c r="N144" s="177">
        <f>VLOOKUP($A144,K0kommunestruktur2019!$A$4:$N$425,K0kommunestruktur2020!N$3,FALSE)</f>
        <v>172526</v>
      </c>
      <c r="O144" s="289">
        <f>VLOOKUP(A144,'K20'!$A$4:$BV$359,3)</f>
        <v>6852</v>
      </c>
      <c r="P144" s="289">
        <f>VLOOKUP(A144,'K20'!$A$4:$BV$359,26)</f>
        <v>178269</v>
      </c>
      <c r="R144" s="517"/>
      <c r="S144" s="517"/>
      <c r="T144" s="517"/>
    </row>
    <row r="145" spans="1:20" ht="13">
      <c r="A145" s="865">
        <v>3054</v>
      </c>
      <c r="B145" s="876" t="s">
        <v>861</v>
      </c>
      <c r="C145" s="289">
        <f>VLOOKUP($A145,K0kommunestruktur2019!$A$4:$N$425,K0kommunestruktur2020!C$3,FALSE)</f>
        <v>8952</v>
      </c>
      <c r="D145" s="177">
        <f>VLOOKUP($A145,K0kommunestruktur2019!$A$4:$N$425,K0kommunestruktur2020!D$3,FALSE)</f>
        <v>195426</v>
      </c>
      <c r="E145" s="289">
        <f>VLOOKUP($A145,K0kommunestruktur2019!$A$4:$N$425,K0kommunestruktur2020!E$3,FALSE)</f>
        <v>9003</v>
      </c>
      <c r="F145" s="177">
        <f>VLOOKUP($A145,K0kommunestruktur2019!$A$4:$N$425,K0kommunestruktur2020!F$3,FALSE)</f>
        <v>209542</v>
      </c>
      <c r="G145" s="289">
        <f>VLOOKUP($A145,K0kommunestruktur2019!$A$4:$N$425,K0kommunestruktur2020!G$3,FALSE)</f>
        <v>9044</v>
      </c>
      <c r="H145" s="177">
        <f>VLOOKUP($A145,K0kommunestruktur2019!$A$4:$N$425,K0kommunestruktur2020!H$3,FALSE)</f>
        <v>229314</v>
      </c>
      <c r="I145" s="289">
        <f>VLOOKUP($A145,K0kommunestruktur2019!$A$4:$N$425,K0kommunestruktur2020!I$3,FALSE)</f>
        <v>9080</v>
      </c>
      <c r="J145" s="177">
        <f>VLOOKUP($A145,K0kommunestruktur2019!$A$4:$N$425,K0kommunestruktur2020!J$3,FALSE)</f>
        <v>238287</v>
      </c>
      <c r="K145" s="289">
        <f>VLOOKUP($A145,K0kommunestruktur2019!$A$4:$N$425,K0kommunestruktur2020!K$3,FALSE)</f>
        <v>9065</v>
      </c>
      <c r="L145" s="177">
        <f>VLOOKUP($A145,K0kommunestruktur2019!$A$4:$N$425,K0kommunestruktur2020!L$3,FALSE)</f>
        <v>250417</v>
      </c>
      <c r="M145" s="289">
        <f>VLOOKUP($A145,K0kommunestruktur2019!$A$4:$N$425,K0kommunestruktur2020!M$3,FALSE)</f>
        <v>9051</v>
      </c>
      <c r="N145" s="177">
        <f>VLOOKUP($A145,K0kommunestruktur2019!$A$4:$N$425,K0kommunestruktur2020!N$3,FALSE)</f>
        <v>253205</v>
      </c>
      <c r="O145" s="289">
        <f>VLOOKUP(A145,'K20'!$A$4:$BV$359,3)</f>
        <v>9048</v>
      </c>
      <c r="P145" s="289">
        <f>VLOOKUP(A145,'K20'!$A$4:$BV$359,26)</f>
        <v>244716</v>
      </c>
      <c r="R145" s="517"/>
      <c r="S145" s="517"/>
      <c r="T145" s="517"/>
    </row>
    <row r="146" spans="1:20" ht="13">
      <c r="A146" s="865">
        <v>3401</v>
      </c>
      <c r="B146" s="866" t="s">
        <v>824</v>
      </c>
      <c r="C146" s="289">
        <f>VLOOKUP($A146,K0kommunestruktur2019!$A$4:$N$425,K0kommunestruktur2020!C$3,FALSE)</f>
        <v>17825</v>
      </c>
      <c r="D146" s="177">
        <f>VLOOKUP($A146,K0kommunestruktur2019!$A$4:$N$425,K0kommunestruktur2020!D$3,FALSE)</f>
        <v>346051</v>
      </c>
      <c r="E146" s="289">
        <f>VLOOKUP($A146,K0kommunestruktur2019!$A$4:$N$425,K0kommunestruktur2020!E$3,FALSE)</f>
        <v>17881</v>
      </c>
      <c r="F146" s="177">
        <f>VLOOKUP($A146,K0kommunestruktur2019!$A$4:$N$425,K0kommunestruktur2020!F$3,FALSE)</f>
        <v>377420</v>
      </c>
      <c r="G146" s="289">
        <f>VLOOKUP($A146,K0kommunestruktur2019!$A$4:$N$425,K0kommunestruktur2020!G$3,FALSE)</f>
        <v>17835</v>
      </c>
      <c r="H146" s="177">
        <f>VLOOKUP($A146,K0kommunestruktur2019!$A$4:$N$425,K0kommunestruktur2020!H$3,FALSE)</f>
        <v>418583</v>
      </c>
      <c r="I146" s="289">
        <f>VLOOKUP($A146,K0kommunestruktur2019!$A$4:$N$425,K0kommunestruktur2020!I$3,FALSE)</f>
        <v>17857</v>
      </c>
      <c r="J146" s="177">
        <f>VLOOKUP($A146,K0kommunestruktur2019!$A$4:$N$425,K0kommunestruktur2020!J$3,FALSE)</f>
        <v>438186</v>
      </c>
      <c r="K146" s="289">
        <f>VLOOKUP($A146,K0kommunestruktur2019!$A$4:$N$425,K0kommunestruktur2020!K$3,FALSE)</f>
        <v>17934</v>
      </c>
      <c r="L146" s="177">
        <f>VLOOKUP($A146,K0kommunestruktur2019!$A$4:$N$425,K0kommunestruktur2020!L$3,FALSE)</f>
        <v>464345</v>
      </c>
      <c r="M146" s="289">
        <f>VLOOKUP($A146,K0kommunestruktur2019!$A$4:$N$425,K0kommunestruktur2020!M$3,FALSE)</f>
        <v>17823</v>
      </c>
      <c r="N146" s="177">
        <f>VLOOKUP($A146,K0kommunestruktur2019!$A$4:$N$425,K0kommunestruktur2020!N$3,FALSE)</f>
        <v>472995</v>
      </c>
      <c r="O146" s="289">
        <f>VLOOKUP(A146,'K20'!$A$4:$BV$359,3)</f>
        <v>17829</v>
      </c>
      <c r="P146" s="289">
        <f>VLOOKUP(A146,'K20'!$A$4:$BV$359,26)</f>
        <v>488404</v>
      </c>
      <c r="R146" s="517"/>
      <c r="S146" s="517"/>
      <c r="T146" s="517"/>
    </row>
    <row r="147" spans="1:20" ht="13">
      <c r="A147" s="865">
        <v>3403</v>
      </c>
      <c r="B147" s="866" t="s">
        <v>825</v>
      </c>
      <c r="C147" s="289">
        <f>VLOOKUP($A147,K0kommunestruktur2019!$A$4:$N$425,K0kommunestruktur2020!C$3,FALSE)</f>
        <v>29520</v>
      </c>
      <c r="D147" s="177">
        <f>VLOOKUP($A147,K0kommunestruktur2019!$A$4:$N$425,K0kommunestruktur2020!D$3,FALSE)</f>
        <v>664070</v>
      </c>
      <c r="E147" s="289">
        <f>VLOOKUP($A147,K0kommunestruktur2019!$A$4:$N$425,K0kommunestruktur2020!E$3,FALSE)</f>
        <v>29847</v>
      </c>
      <c r="F147" s="177">
        <f>VLOOKUP($A147,K0kommunestruktur2019!$A$4:$N$425,K0kommunestruktur2020!F$3,FALSE)</f>
        <v>723558</v>
      </c>
      <c r="G147" s="289">
        <f>VLOOKUP($A147,K0kommunestruktur2019!$A$4:$N$425,K0kommunestruktur2020!G$3,FALSE)</f>
        <v>30120</v>
      </c>
      <c r="H147" s="177">
        <f>VLOOKUP($A147,K0kommunestruktur2019!$A$4:$N$425,K0kommunestruktur2020!H$3,FALSE)</f>
        <v>799127</v>
      </c>
      <c r="I147" s="289">
        <f>VLOOKUP($A147,K0kommunestruktur2019!$A$4:$N$425,K0kommunestruktur2020!I$3,FALSE)</f>
        <v>30598</v>
      </c>
      <c r="J147" s="177">
        <f>VLOOKUP($A147,K0kommunestruktur2019!$A$4:$N$425,K0kommunestruktur2020!J$3,FALSE)</f>
        <v>838185</v>
      </c>
      <c r="K147" s="289">
        <f>VLOOKUP($A147,K0kommunestruktur2019!$A$4:$N$425,K0kommunestruktur2020!K$3,FALSE)</f>
        <v>30930</v>
      </c>
      <c r="L147" s="177">
        <f>VLOOKUP($A147,K0kommunestruktur2019!$A$4:$N$425,K0kommunestruktur2020!L$3,FALSE)</f>
        <v>879991</v>
      </c>
      <c r="M147" s="289">
        <f>VLOOKUP($A147,K0kommunestruktur2019!$A$4:$N$425,K0kommunestruktur2020!M$3,FALSE)</f>
        <v>31144</v>
      </c>
      <c r="N147" s="177">
        <f>VLOOKUP($A147,K0kommunestruktur2019!$A$4:$N$425,K0kommunestruktur2020!N$3,FALSE)</f>
        <v>907828</v>
      </c>
      <c r="O147" s="289">
        <f>VLOOKUP(A147,'K20'!$A$4:$BV$359,3)</f>
        <v>31369</v>
      </c>
      <c r="P147" s="289">
        <f>VLOOKUP(A147,'K20'!$A$4:$BV$359,26)</f>
        <v>922933</v>
      </c>
      <c r="R147" s="517"/>
      <c r="S147" s="517"/>
      <c r="T147" s="517"/>
    </row>
    <row r="148" spans="1:20" ht="13">
      <c r="A148" s="865">
        <v>3405</v>
      </c>
      <c r="B148" s="866" t="s">
        <v>845</v>
      </c>
      <c r="C148" s="289">
        <f>VLOOKUP($A148,K0kommunestruktur2019!$A$4:$N$425,K0kommunestruktur2020!C$3,FALSE)</f>
        <v>27028</v>
      </c>
      <c r="D148" s="177">
        <f>VLOOKUP($A148,K0kommunestruktur2019!$A$4:$N$425,K0kommunestruktur2020!D$3,FALSE)</f>
        <v>624848</v>
      </c>
      <c r="E148" s="289">
        <f>VLOOKUP($A148,K0kommunestruktur2019!$A$4:$N$425,K0kommunestruktur2020!E$3,FALSE)</f>
        <v>27300</v>
      </c>
      <c r="F148" s="177">
        <f>VLOOKUP($A148,K0kommunestruktur2019!$A$4:$N$425,K0kommunestruktur2020!F$3,FALSE)</f>
        <v>657280</v>
      </c>
      <c r="G148" s="289">
        <f>VLOOKUP($A148,K0kommunestruktur2019!$A$4:$N$425,K0kommunestruktur2020!G$3,FALSE)</f>
        <v>27476</v>
      </c>
      <c r="H148" s="177">
        <f>VLOOKUP($A148,K0kommunestruktur2019!$A$4:$N$425,K0kommunestruktur2020!H$3,FALSE)</f>
        <v>729709</v>
      </c>
      <c r="I148" s="289">
        <f>VLOOKUP($A148,K0kommunestruktur2019!$A$4:$N$425,K0kommunestruktur2020!I$3,FALSE)</f>
        <v>27781</v>
      </c>
      <c r="J148" s="177">
        <f>VLOOKUP($A148,K0kommunestruktur2019!$A$4:$N$425,K0kommunestruktur2020!J$3,FALSE)</f>
        <v>769643</v>
      </c>
      <c r="K148" s="289">
        <f>VLOOKUP($A148,K0kommunestruktur2019!$A$4:$N$425,K0kommunestruktur2020!K$3,FALSE)</f>
        <v>27938</v>
      </c>
      <c r="L148" s="177">
        <f>VLOOKUP($A148,K0kommunestruktur2019!$A$4:$N$425,K0kommunestruktur2020!L$3,FALSE)</f>
        <v>805350</v>
      </c>
      <c r="M148" s="289">
        <f>VLOOKUP($A148,K0kommunestruktur2019!$A$4:$N$425,K0kommunestruktur2020!M$3,FALSE)</f>
        <v>28023</v>
      </c>
      <c r="N148" s="177">
        <f>VLOOKUP($A148,K0kommunestruktur2019!$A$4:$N$425,K0kommunestruktur2020!N$3,FALSE)</f>
        <v>836532</v>
      </c>
      <c r="O148" s="289">
        <f>VLOOKUP(A148,'K20'!$A$4:$BV$359,3)</f>
        <v>28345</v>
      </c>
      <c r="P148" s="289">
        <f>VLOOKUP(A148,'K20'!$A$4:$BV$359,26)</f>
        <v>825131</v>
      </c>
      <c r="R148" s="517"/>
      <c r="S148" s="517"/>
      <c r="T148" s="517"/>
    </row>
    <row r="149" spans="1:20" ht="13">
      <c r="A149" s="865">
        <v>3407</v>
      </c>
      <c r="B149" s="866" t="s">
        <v>846</v>
      </c>
      <c r="C149" s="289">
        <f>VLOOKUP($A149,K0kommunestruktur2019!$A$4:$N$425,K0kommunestruktur2020!C$3,FALSE)</f>
        <v>29668</v>
      </c>
      <c r="D149" s="177">
        <f>VLOOKUP($A149,K0kommunestruktur2019!$A$4:$N$425,K0kommunestruktur2020!D$3,FALSE)</f>
        <v>594011</v>
      </c>
      <c r="E149" s="289">
        <f>VLOOKUP($A149,K0kommunestruktur2019!$A$4:$N$425,K0kommunestruktur2020!E$3,FALSE)</f>
        <v>30063</v>
      </c>
      <c r="F149" s="177">
        <f>VLOOKUP($A149,K0kommunestruktur2019!$A$4:$N$425,K0kommunestruktur2020!F$3,FALSE)</f>
        <v>645070</v>
      </c>
      <c r="G149" s="289">
        <f>VLOOKUP($A149,K0kommunestruktur2019!$A$4:$N$425,K0kommunestruktur2020!G$3,FALSE)</f>
        <v>30137</v>
      </c>
      <c r="H149" s="177">
        <f>VLOOKUP($A149,K0kommunestruktur2019!$A$4:$N$425,K0kommunestruktur2020!H$3,FALSE)</f>
        <v>711172</v>
      </c>
      <c r="I149" s="289">
        <f>VLOOKUP($A149,K0kommunestruktur2019!$A$4:$N$425,K0kommunestruktur2020!I$3,FALSE)</f>
        <v>30319</v>
      </c>
      <c r="J149" s="177">
        <f>VLOOKUP($A149,K0kommunestruktur2019!$A$4:$N$425,K0kommunestruktur2020!J$3,FALSE)</f>
        <v>758212</v>
      </c>
      <c r="K149" s="289">
        <f>VLOOKUP($A149,K0kommunestruktur2019!$A$4:$N$425,K0kommunestruktur2020!K$3,FALSE)</f>
        <v>30642</v>
      </c>
      <c r="L149" s="177">
        <f>VLOOKUP($A149,K0kommunestruktur2019!$A$4:$N$425,K0kommunestruktur2020!L$3,FALSE)</f>
        <v>797745</v>
      </c>
      <c r="M149" s="289">
        <f>VLOOKUP($A149,K0kommunestruktur2019!$A$4:$N$425,K0kommunestruktur2020!M$3,FALSE)</f>
        <v>30676</v>
      </c>
      <c r="N149" s="177">
        <f>VLOOKUP($A149,K0kommunestruktur2019!$A$4:$N$425,K0kommunestruktur2020!N$3,FALSE)</f>
        <v>835680</v>
      </c>
      <c r="O149" s="289">
        <f>VLOOKUP(A149,'K20'!$A$4:$BV$359,3)</f>
        <v>30560</v>
      </c>
      <c r="P149" s="289">
        <f>VLOOKUP(A149,'K20'!$A$4:$BV$359,26)</f>
        <v>811206</v>
      </c>
      <c r="R149" s="517"/>
      <c r="S149" s="517"/>
      <c r="T149" s="517"/>
    </row>
    <row r="150" spans="1:20" ht="13">
      <c r="A150" s="865">
        <v>3411</v>
      </c>
      <c r="B150" s="866" t="s">
        <v>826</v>
      </c>
      <c r="C150" s="289">
        <f>VLOOKUP($A150,K0kommunestruktur2019!$A$4:$N$425,K0kommunestruktur2020!C$3,FALSE)</f>
        <v>33463</v>
      </c>
      <c r="D150" s="177">
        <f>VLOOKUP($A150,K0kommunestruktur2019!$A$4:$N$425,K0kommunestruktur2020!D$3,FALSE)</f>
        <v>639220</v>
      </c>
      <c r="E150" s="289">
        <f>VLOOKUP($A150,K0kommunestruktur2019!$A$4:$N$425,K0kommunestruktur2020!E$3,FALSE)</f>
        <v>33603</v>
      </c>
      <c r="F150" s="177">
        <f>VLOOKUP($A150,K0kommunestruktur2019!$A$4:$N$425,K0kommunestruktur2020!F$3,FALSE)</f>
        <v>679590</v>
      </c>
      <c r="G150" s="289">
        <f>VLOOKUP($A150,K0kommunestruktur2019!$A$4:$N$425,K0kommunestruktur2020!G$3,FALSE)</f>
        <v>33597</v>
      </c>
      <c r="H150" s="177">
        <f>VLOOKUP($A150,K0kommunestruktur2019!$A$4:$N$425,K0kommunestruktur2020!H$3,FALSE)</f>
        <v>752571</v>
      </c>
      <c r="I150" s="289">
        <f>VLOOKUP($A150,K0kommunestruktur2019!$A$4:$N$425,K0kommunestruktur2020!I$3,FALSE)</f>
        <v>33842</v>
      </c>
      <c r="J150" s="177">
        <f>VLOOKUP($A150,K0kommunestruktur2019!$A$4:$N$425,K0kommunestruktur2020!J$3,FALSE)</f>
        <v>789183</v>
      </c>
      <c r="K150" s="289">
        <f>VLOOKUP($A150,K0kommunestruktur2019!$A$4:$N$425,K0kommunestruktur2020!K$3,FALSE)</f>
        <v>34151</v>
      </c>
      <c r="L150" s="177">
        <f>VLOOKUP($A150,K0kommunestruktur2019!$A$4:$N$425,K0kommunestruktur2020!L$3,FALSE)</f>
        <v>837000</v>
      </c>
      <c r="M150" s="289">
        <f>VLOOKUP($A150,K0kommunestruktur2019!$A$4:$N$425,K0kommunestruktur2020!M$3,FALSE)</f>
        <v>34488</v>
      </c>
      <c r="N150" s="177">
        <f>VLOOKUP($A150,K0kommunestruktur2019!$A$4:$N$425,K0kommunestruktur2020!N$3,FALSE)</f>
        <v>888971</v>
      </c>
      <c r="O150" s="289">
        <f>VLOOKUP(A150,'K20'!$A$4:$BV$359,3)</f>
        <v>34768</v>
      </c>
      <c r="P150" s="289">
        <f>VLOOKUP(A150,'K20'!$A$4:$BV$359,26)</f>
        <v>885530</v>
      </c>
      <c r="R150" s="517"/>
      <c r="S150" s="517"/>
      <c r="T150" s="517"/>
    </row>
    <row r="151" spans="1:20" ht="13">
      <c r="A151" s="865">
        <v>3412</v>
      </c>
      <c r="B151" s="866" t="s">
        <v>827</v>
      </c>
      <c r="C151" s="289">
        <f>VLOOKUP($A151,K0kommunestruktur2019!$A$4:$N$425,K0kommunestruktur2020!C$3,FALSE)</f>
        <v>7546</v>
      </c>
      <c r="D151" s="177">
        <f>VLOOKUP($A151,K0kommunestruktur2019!$A$4:$N$425,K0kommunestruktur2020!D$3,FALSE)</f>
        <v>135203</v>
      </c>
      <c r="E151" s="289">
        <f>VLOOKUP($A151,K0kommunestruktur2019!$A$4:$N$425,K0kommunestruktur2020!E$3,FALSE)</f>
        <v>7552</v>
      </c>
      <c r="F151" s="177">
        <f>VLOOKUP($A151,K0kommunestruktur2019!$A$4:$N$425,K0kommunestruktur2020!F$3,FALSE)</f>
        <v>143397</v>
      </c>
      <c r="G151" s="289">
        <f>VLOOKUP($A151,K0kommunestruktur2019!$A$4:$N$425,K0kommunestruktur2020!G$3,FALSE)</f>
        <v>7588</v>
      </c>
      <c r="H151" s="177">
        <f>VLOOKUP($A151,K0kommunestruktur2019!$A$4:$N$425,K0kommunestruktur2020!H$3,FALSE)</f>
        <v>154879</v>
      </c>
      <c r="I151" s="289">
        <f>VLOOKUP($A151,K0kommunestruktur2019!$A$4:$N$425,K0kommunestruktur2020!I$3,FALSE)</f>
        <v>7633</v>
      </c>
      <c r="J151" s="177">
        <f>VLOOKUP($A151,K0kommunestruktur2019!$A$4:$N$425,K0kommunestruktur2020!J$3,FALSE)</f>
        <v>162788</v>
      </c>
      <c r="K151" s="289">
        <f>VLOOKUP($A151,K0kommunestruktur2019!$A$4:$N$425,K0kommunestruktur2020!K$3,FALSE)</f>
        <v>7615</v>
      </c>
      <c r="L151" s="177">
        <f>VLOOKUP($A151,K0kommunestruktur2019!$A$4:$N$425,K0kommunestruktur2020!L$3,FALSE)</f>
        <v>169501</v>
      </c>
      <c r="M151" s="289">
        <f>VLOOKUP($A151,K0kommunestruktur2019!$A$4:$N$425,K0kommunestruktur2020!M$3,FALSE)</f>
        <v>7663</v>
      </c>
      <c r="N151" s="177">
        <f>VLOOKUP($A151,K0kommunestruktur2019!$A$4:$N$425,K0kommunestruktur2020!N$3,FALSE)</f>
        <v>172571</v>
      </c>
      <c r="O151" s="289">
        <f>VLOOKUP(A151,'K20'!$A$4:$BV$359,3)</f>
        <v>7674</v>
      </c>
      <c r="P151" s="289">
        <f>VLOOKUP(A151,'K20'!$A$4:$BV$359,26)</f>
        <v>173016</v>
      </c>
      <c r="R151" s="517"/>
      <c r="S151" s="517"/>
      <c r="T151" s="517"/>
    </row>
    <row r="152" spans="1:20" ht="13">
      <c r="A152" s="865">
        <v>3413</v>
      </c>
      <c r="B152" s="876" t="s">
        <v>828</v>
      </c>
      <c r="C152" s="289">
        <f>VLOOKUP($A152,K0kommunestruktur2019!$A$4:$N$425,K0kommunestruktur2020!C$3,FALSE)</f>
        <v>19737</v>
      </c>
      <c r="D152" s="177">
        <f>VLOOKUP($A152,K0kommunestruktur2019!$A$4:$N$425,K0kommunestruktur2020!D$3,FALSE)</f>
        <v>376955</v>
      </c>
      <c r="E152" s="289">
        <f>VLOOKUP($A152,K0kommunestruktur2019!$A$4:$N$425,K0kommunestruktur2020!E$3,FALSE)</f>
        <v>20013</v>
      </c>
      <c r="F152" s="177">
        <f>VLOOKUP($A152,K0kommunestruktur2019!$A$4:$N$425,K0kommunestruktur2020!F$3,FALSE)</f>
        <v>407797</v>
      </c>
      <c r="G152" s="289">
        <f>VLOOKUP($A152,K0kommunestruktur2019!$A$4:$N$425,K0kommunestruktur2020!G$3,FALSE)</f>
        <v>20119</v>
      </c>
      <c r="H152" s="177">
        <f>VLOOKUP($A152,K0kommunestruktur2019!$A$4:$N$425,K0kommunestruktur2020!H$3,FALSE)</f>
        <v>451307</v>
      </c>
      <c r="I152" s="289">
        <f>VLOOKUP($A152,K0kommunestruktur2019!$A$4:$N$425,K0kommunestruktur2020!I$3,FALSE)</f>
        <v>20317</v>
      </c>
      <c r="J152" s="177">
        <f>VLOOKUP($A152,K0kommunestruktur2019!$A$4:$N$425,K0kommunestruktur2020!J$3,FALSE)</f>
        <v>472002</v>
      </c>
      <c r="K152" s="289">
        <f>VLOOKUP($A152,K0kommunestruktur2019!$A$4:$N$425,K0kommunestruktur2020!K$3,FALSE)</f>
        <v>20646</v>
      </c>
      <c r="L152" s="177">
        <f>VLOOKUP($A152,K0kommunestruktur2019!$A$4:$N$425,K0kommunestruktur2020!L$3,FALSE)</f>
        <v>497212</v>
      </c>
      <c r="M152" s="289">
        <f>VLOOKUP($A152,K0kommunestruktur2019!$A$4:$N$425,K0kommunestruktur2020!M$3,FALSE)</f>
        <v>20916</v>
      </c>
      <c r="N152" s="177">
        <f>VLOOKUP($A152,K0kommunestruktur2019!$A$4:$N$425,K0kommunestruktur2020!N$3,FALSE)</f>
        <v>519985</v>
      </c>
      <c r="O152" s="289">
        <f>VLOOKUP(A152,'K20'!$A$4:$BV$359,3)</f>
        <v>21064</v>
      </c>
      <c r="P152" s="289">
        <f>VLOOKUP(A152,'K20'!$A$4:$BV$359,26)</f>
        <v>521960</v>
      </c>
      <c r="R152" s="517"/>
      <c r="S152" s="517"/>
      <c r="T152" s="517"/>
    </row>
    <row r="153" spans="1:20" ht="13">
      <c r="A153" s="865">
        <v>3414</v>
      </c>
      <c r="B153" s="866" t="s">
        <v>829</v>
      </c>
      <c r="C153" s="289">
        <f>VLOOKUP($A153,K0kommunestruktur2019!$A$4:$N$425,K0kommunestruktur2020!C$3,FALSE)</f>
        <v>5118</v>
      </c>
      <c r="D153" s="177">
        <f>VLOOKUP($A153,K0kommunestruktur2019!$A$4:$N$425,K0kommunestruktur2020!D$3,FALSE)</f>
        <v>89305</v>
      </c>
      <c r="E153" s="289">
        <f>VLOOKUP($A153,K0kommunestruktur2019!$A$4:$N$425,K0kommunestruktur2020!E$3,FALSE)</f>
        <v>5128</v>
      </c>
      <c r="F153" s="177">
        <f>VLOOKUP($A153,K0kommunestruktur2019!$A$4:$N$425,K0kommunestruktur2020!F$3,FALSE)</f>
        <v>94709</v>
      </c>
      <c r="G153" s="289">
        <f>VLOOKUP($A153,K0kommunestruktur2019!$A$4:$N$425,K0kommunestruktur2020!G$3,FALSE)</f>
        <v>5131</v>
      </c>
      <c r="H153" s="177">
        <f>VLOOKUP($A153,K0kommunestruktur2019!$A$4:$N$425,K0kommunestruktur2020!H$3,FALSE)</f>
        <v>100053</v>
      </c>
      <c r="I153" s="289">
        <f>VLOOKUP($A153,K0kommunestruktur2019!$A$4:$N$425,K0kommunestruktur2020!I$3,FALSE)</f>
        <v>5100</v>
      </c>
      <c r="J153" s="177">
        <f>VLOOKUP($A153,K0kommunestruktur2019!$A$4:$N$425,K0kommunestruktur2020!J$3,FALSE)</f>
        <v>103182</v>
      </c>
      <c r="K153" s="289">
        <f>VLOOKUP($A153,K0kommunestruktur2019!$A$4:$N$425,K0kommunestruktur2020!K$3,FALSE)</f>
        <v>5097</v>
      </c>
      <c r="L153" s="177">
        <f>VLOOKUP($A153,K0kommunestruktur2019!$A$4:$N$425,K0kommunestruktur2020!L$3,FALSE)</f>
        <v>109633</v>
      </c>
      <c r="M153" s="289">
        <f>VLOOKUP($A153,K0kommunestruktur2019!$A$4:$N$425,K0kommunestruktur2020!M$3,FALSE)</f>
        <v>5024</v>
      </c>
      <c r="N153" s="177">
        <f>VLOOKUP($A153,K0kommunestruktur2019!$A$4:$N$425,K0kommunestruktur2020!N$3,FALSE)</f>
        <v>112330</v>
      </c>
      <c r="O153" s="289">
        <f>VLOOKUP(A153,'K20'!$A$4:$BV$359,3)</f>
        <v>5016</v>
      </c>
      <c r="P153" s="289">
        <f>VLOOKUP(A153,'K20'!$A$4:$BV$359,26)</f>
        <v>111733</v>
      </c>
      <c r="R153" s="517"/>
      <c r="S153" s="517"/>
      <c r="T153" s="517"/>
    </row>
    <row r="154" spans="1:20" ht="13">
      <c r="A154" s="865">
        <v>3415</v>
      </c>
      <c r="B154" s="866" t="s">
        <v>830</v>
      </c>
      <c r="C154" s="289">
        <f>VLOOKUP($A154,K0kommunestruktur2019!$A$4:$N$425,K0kommunestruktur2020!C$3,FALSE)</f>
        <v>7847</v>
      </c>
      <c r="D154" s="177">
        <f>VLOOKUP($A154,K0kommunestruktur2019!$A$4:$N$425,K0kommunestruktur2020!D$3,FALSE)</f>
        <v>154803</v>
      </c>
      <c r="E154" s="289">
        <f>VLOOKUP($A154,K0kommunestruktur2019!$A$4:$N$425,K0kommunestruktur2020!E$3,FALSE)</f>
        <v>7800</v>
      </c>
      <c r="F154" s="177">
        <f>VLOOKUP($A154,K0kommunestruktur2019!$A$4:$N$425,K0kommunestruktur2020!F$3,FALSE)</f>
        <v>164788</v>
      </c>
      <c r="G154" s="289">
        <f>VLOOKUP($A154,K0kommunestruktur2019!$A$4:$N$425,K0kommunestruktur2020!G$3,FALSE)</f>
        <v>7901</v>
      </c>
      <c r="H154" s="177">
        <f>VLOOKUP($A154,K0kommunestruktur2019!$A$4:$N$425,K0kommunestruktur2020!H$3,FALSE)</f>
        <v>181493</v>
      </c>
      <c r="I154" s="289">
        <f>VLOOKUP($A154,K0kommunestruktur2019!$A$4:$N$425,K0kommunestruktur2020!I$3,FALSE)</f>
        <v>7866</v>
      </c>
      <c r="J154" s="177">
        <f>VLOOKUP($A154,K0kommunestruktur2019!$A$4:$N$425,K0kommunestruktur2020!J$3,FALSE)</f>
        <v>184298</v>
      </c>
      <c r="K154" s="289">
        <f>VLOOKUP($A154,K0kommunestruktur2019!$A$4:$N$425,K0kommunestruktur2020!K$3,FALSE)</f>
        <v>7884</v>
      </c>
      <c r="L154" s="177">
        <f>VLOOKUP($A154,K0kommunestruktur2019!$A$4:$N$425,K0kommunestruktur2020!L$3,FALSE)</f>
        <v>192327</v>
      </c>
      <c r="M154" s="289">
        <f>VLOOKUP($A154,K0kommunestruktur2019!$A$4:$N$425,K0kommunestruktur2020!M$3,FALSE)</f>
        <v>7879</v>
      </c>
      <c r="N154" s="177">
        <f>VLOOKUP($A154,K0kommunestruktur2019!$A$4:$N$425,K0kommunestruktur2020!N$3,FALSE)</f>
        <v>200711</v>
      </c>
      <c r="O154" s="289">
        <f>VLOOKUP(A154,'K20'!$A$4:$BV$359,3)</f>
        <v>7905</v>
      </c>
      <c r="P154" s="289">
        <f>VLOOKUP(A154,'K20'!$A$4:$BV$359,26)</f>
        <v>194910</v>
      </c>
      <c r="R154" s="517"/>
      <c r="S154" s="517"/>
      <c r="T154" s="517"/>
    </row>
    <row r="155" spans="1:20" ht="13">
      <c r="A155" s="865">
        <v>3416</v>
      </c>
      <c r="B155" s="866" t="s">
        <v>831</v>
      </c>
      <c r="C155" s="289">
        <f>VLOOKUP($A155,K0kommunestruktur2019!$A$4:$N$425,K0kommunestruktur2020!C$3,FALSE)</f>
        <v>6253</v>
      </c>
      <c r="D155" s="177">
        <f>VLOOKUP($A155,K0kommunestruktur2019!$A$4:$N$425,K0kommunestruktur2020!D$3,FALSE)</f>
        <v>99815</v>
      </c>
      <c r="E155" s="289">
        <f>VLOOKUP($A155,K0kommunestruktur2019!$A$4:$N$425,K0kommunestruktur2020!E$3,FALSE)</f>
        <v>6219</v>
      </c>
      <c r="F155" s="177">
        <f>VLOOKUP($A155,K0kommunestruktur2019!$A$4:$N$425,K0kommunestruktur2020!F$3,FALSE)</f>
        <v>110856</v>
      </c>
      <c r="G155" s="289">
        <f>VLOOKUP($A155,K0kommunestruktur2019!$A$4:$N$425,K0kommunestruktur2020!G$3,FALSE)</f>
        <v>6142</v>
      </c>
      <c r="H155" s="177">
        <f>VLOOKUP($A155,K0kommunestruktur2019!$A$4:$N$425,K0kommunestruktur2020!H$3,FALSE)</f>
        <v>122325</v>
      </c>
      <c r="I155" s="289">
        <f>VLOOKUP($A155,K0kommunestruktur2019!$A$4:$N$425,K0kommunestruktur2020!I$3,FALSE)</f>
        <v>6127</v>
      </c>
      <c r="J155" s="177">
        <f>VLOOKUP($A155,K0kommunestruktur2019!$A$4:$N$425,K0kommunestruktur2020!J$3,FALSE)</f>
        <v>125225</v>
      </c>
      <c r="K155" s="289">
        <f>VLOOKUP($A155,K0kommunestruktur2019!$A$4:$N$425,K0kommunestruktur2020!K$3,FALSE)</f>
        <v>6142</v>
      </c>
      <c r="L155" s="177">
        <f>VLOOKUP($A155,K0kommunestruktur2019!$A$4:$N$425,K0kommunestruktur2020!L$3,FALSE)</f>
        <v>129210</v>
      </c>
      <c r="M155" s="289">
        <f>VLOOKUP($A155,K0kommunestruktur2019!$A$4:$N$425,K0kommunestruktur2020!M$3,FALSE)</f>
        <v>6114</v>
      </c>
      <c r="N155" s="177">
        <f>VLOOKUP($A155,K0kommunestruktur2019!$A$4:$N$425,K0kommunestruktur2020!N$3,FALSE)</f>
        <v>133453</v>
      </c>
      <c r="O155" s="289">
        <f>VLOOKUP(A155,'K20'!$A$4:$BV$359,3)</f>
        <v>6106</v>
      </c>
      <c r="P155" s="289">
        <f>VLOOKUP(A155,'K20'!$A$4:$BV$359,26)</f>
        <v>135252</v>
      </c>
      <c r="R155" s="517"/>
      <c r="S155" s="517"/>
      <c r="T155" s="517"/>
    </row>
    <row r="156" spans="1:20" ht="13">
      <c r="A156" s="865">
        <v>3417</v>
      </c>
      <c r="B156" s="866" t="s">
        <v>832</v>
      </c>
      <c r="C156" s="289">
        <f>VLOOKUP($A156,K0kommunestruktur2019!$A$4:$N$425,K0kommunestruktur2020!C$3,FALSE)</f>
        <v>4948</v>
      </c>
      <c r="D156" s="177">
        <f>VLOOKUP($A156,K0kommunestruktur2019!$A$4:$N$425,K0kommunestruktur2020!D$3,FALSE)</f>
        <v>88799</v>
      </c>
      <c r="E156" s="289">
        <f>VLOOKUP($A156,K0kommunestruktur2019!$A$4:$N$425,K0kommunestruktur2020!E$3,FALSE)</f>
        <v>4853</v>
      </c>
      <c r="F156" s="177">
        <f>VLOOKUP($A156,K0kommunestruktur2019!$A$4:$N$425,K0kommunestruktur2020!F$3,FALSE)</f>
        <v>94131</v>
      </c>
      <c r="G156" s="289">
        <f>VLOOKUP($A156,K0kommunestruktur2019!$A$4:$N$425,K0kommunestruktur2020!G$3,FALSE)</f>
        <v>4763</v>
      </c>
      <c r="H156" s="177">
        <f>VLOOKUP($A156,K0kommunestruktur2019!$A$4:$N$425,K0kommunestruktur2020!H$3,FALSE)</f>
        <v>100637</v>
      </c>
      <c r="I156" s="289">
        <f>VLOOKUP($A156,K0kommunestruktur2019!$A$4:$N$425,K0kommunestruktur2020!I$3,FALSE)</f>
        <v>4777</v>
      </c>
      <c r="J156" s="177">
        <f>VLOOKUP($A156,K0kommunestruktur2019!$A$4:$N$425,K0kommunestruktur2020!J$3,FALSE)</f>
        <v>100470</v>
      </c>
      <c r="K156" s="289">
        <f>VLOOKUP($A156,K0kommunestruktur2019!$A$4:$N$425,K0kommunestruktur2020!K$3,FALSE)</f>
        <v>4740</v>
      </c>
      <c r="L156" s="177">
        <f>VLOOKUP($A156,K0kommunestruktur2019!$A$4:$N$425,K0kommunestruktur2020!L$3,FALSE)</f>
        <v>105990</v>
      </c>
      <c r="M156" s="289">
        <f>VLOOKUP($A156,K0kommunestruktur2019!$A$4:$N$425,K0kommunestruktur2020!M$3,FALSE)</f>
        <v>4646</v>
      </c>
      <c r="N156" s="177">
        <f>VLOOKUP($A156,K0kommunestruktur2019!$A$4:$N$425,K0kommunestruktur2020!N$3,FALSE)</f>
        <v>108099</v>
      </c>
      <c r="O156" s="289">
        <f>VLOOKUP(A156,'K20'!$A$4:$BV$359,3)</f>
        <v>4612</v>
      </c>
      <c r="P156" s="289">
        <f>VLOOKUP(A156,'K20'!$A$4:$BV$359,26)</f>
        <v>113051</v>
      </c>
      <c r="R156" s="517"/>
      <c r="S156" s="517"/>
      <c r="T156" s="517"/>
    </row>
    <row r="157" spans="1:20" ht="13">
      <c r="A157" s="865">
        <v>3418</v>
      </c>
      <c r="B157" s="866" t="s">
        <v>833</v>
      </c>
      <c r="C157" s="289">
        <f>VLOOKUP($A157,K0kommunestruktur2019!$A$4:$N$425,K0kommunestruktur2020!C$3,FALSE)</f>
        <v>7544</v>
      </c>
      <c r="D157" s="177">
        <f>VLOOKUP($A157,K0kommunestruktur2019!$A$4:$N$425,K0kommunestruktur2020!D$3,FALSE)</f>
        <v>131663</v>
      </c>
      <c r="E157" s="289">
        <f>VLOOKUP($A157,K0kommunestruktur2019!$A$4:$N$425,K0kommunestruktur2020!E$3,FALSE)</f>
        <v>7561</v>
      </c>
      <c r="F157" s="177">
        <f>VLOOKUP($A157,K0kommunestruktur2019!$A$4:$N$425,K0kommunestruktur2020!F$3,FALSE)</f>
        <v>141663</v>
      </c>
      <c r="G157" s="289">
        <f>VLOOKUP($A157,K0kommunestruktur2019!$A$4:$N$425,K0kommunestruktur2020!G$3,FALSE)</f>
        <v>7456</v>
      </c>
      <c r="H157" s="177">
        <f>VLOOKUP($A157,K0kommunestruktur2019!$A$4:$N$425,K0kommunestruktur2020!H$3,FALSE)</f>
        <v>150457</v>
      </c>
      <c r="I157" s="289">
        <f>VLOOKUP($A157,K0kommunestruktur2019!$A$4:$N$425,K0kommunestruktur2020!I$3,FALSE)</f>
        <v>7329</v>
      </c>
      <c r="J157" s="177">
        <f>VLOOKUP($A157,K0kommunestruktur2019!$A$4:$N$425,K0kommunestruktur2020!J$3,FALSE)</f>
        <v>157341</v>
      </c>
      <c r="K157" s="289">
        <f>VLOOKUP($A157,K0kommunestruktur2019!$A$4:$N$425,K0kommunestruktur2020!K$3,FALSE)</f>
        <v>7279</v>
      </c>
      <c r="L157" s="177">
        <f>VLOOKUP($A157,K0kommunestruktur2019!$A$4:$N$425,K0kommunestruktur2020!L$3,FALSE)</f>
        <v>162251</v>
      </c>
      <c r="M157" s="289">
        <f>VLOOKUP($A157,K0kommunestruktur2019!$A$4:$N$425,K0kommunestruktur2020!M$3,FALSE)</f>
        <v>7214</v>
      </c>
      <c r="N157" s="177">
        <f>VLOOKUP($A157,K0kommunestruktur2019!$A$4:$N$425,K0kommunestruktur2020!N$3,FALSE)</f>
        <v>163873</v>
      </c>
      <c r="O157" s="289">
        <f>VLOOKUP(A157,'K20'!$A$4:$BV$359,3)</f>
        <v>7203</v>
      </c>
      <c r="P157" s="289">
        <f>VLOOKUP(A157,'K20'!$A$4:$BV$359,26)</f>
        <v>162820</v>
      </c>
      <c r="R157" s="517"/>
      <c r="S157" s="517"/>
      <c r="T157" s="517"/>
    </row>
    <row r="158" spans="1:20" ht="13">
      <c r="A158" s="865">
        <v>3419</v>
      </c>
      <c r="B158" s="866" t="s">
        <v>799</v>
      </c>
      <c r="C158" s="289">
        <f>VLOOKUP($A158,K0kommunestruktur2019!$A$4:$N$425,K0kommunestruktur2020!C$3,FALSE)</f>
        <v>3783</v>
      </c>
      <c r="D158" s="177">
        <f>VLOOKUP($A158,K0kommunestruktur2019!$A$4:$N$425,K0kommunestruktur2020!D$3,FALSE)</f>
        <v>67464</v>
      </c>
      <c r="E158" s="289">
        <f>VLOOKUP($A158,K0kommunestruktur2019!$A$4:$N$425,K0kommunestruktur2020!E$3,FALSE)</f>
        <v>3790</v>
      </c>
      <c r="F158" s="177">
        <f>VLOOKUP($A158,K0kommunestruktur2019!$A$4:$N$425,K0kommunestruktur2020!F$3,FALSE)</f>
        <v>72785</v>
      </c>
      <c r="G158" s="289">
        <f>VLOOKUP($A158,K0kommunestruktur2019!$A$4:$N$425,K0kommunestruktur2020!G$3,FALSE)</f>
        <v>3760</v>
      </c>
      <c r="H158" s="177">
        <f>VLOOKUP($A158,K0kommunestruktur2019!$A$4:$N$425,K0kommunestruktur2020!H$3,FALSE)</f>
        <v>79771</v>
      </c>
      <c r="I158" s="289">
        <f>VLOOKUP($A158,K0kommunestruktur2019!$A$4:$N$425,K0kommunestruktur2020!I$3,FALSE)</f>
        <v>3743</v>
      </c>
      <c r="J158" s="177">
        <f>VLOOKUP($A158,K0kommunestruktur2019!$A$4:$N$425,K0kommunestruktur2020!J$3,FALSE)</f>
        <v>80622</v>
      </c>
      <c r="K158" s="289">
        <f>VLOOKUP($A158,K0kommunestruktur2019!$A$4:$N$425,K0kommunestruktur2020!K$3,FALSE)</f>
        <v>3680</v>
      </c>
      <c r="L158" s="177">
        <f>VLOOKUP($A158,K0kommunestruktur2019!$A$4:$N$425,K0kommunestruktur2020!L$3,FALSE)</f>
        <v>81489</v>
      </c>
      <c r="M158" s="289">
        <f>VLOOKUP($A158,K0kommunestruktur2019!$A$4:$N$425,K0kommunestruktur2020!M$3,FALSE)</f>
        <v>3705</v>
      </c>
      <c r="N158" s="177">
        <f>VLOOKUP($A158,K0kommunestruktur2019!$A$4:$N$425,K0kommunestruktur2020!N$3,FALSE)</f>
        <v>84330</v>
      </c>
      <c r="O158" s="289">
        <f>VLOOKUP(A158,'K20'!$A$4:$BV$359,3)</f>
        <v>3662</v>
      </c>
      <c r="P158" s="289">
        <f>VLOOKUP(A158,'K20'!$A$4:$BV$359,26)</f>
        <v>83140</v>
      </c>
      <c r="R158" s="517"/>
      <c r="S158" s="517"/>
      <c r="T158" s="517"/>
    </row>
    <row r="159" spans="1:20" ht="13">
      <c r="A159" s="865">
        <v>3420</v>
      </c>
      <c r="B159" s="866" t="s">
        <v>834</v>
      </c>
      <c r="C159" s="289">
        <f>VLOOKUP($A159,K0kommunestruktur2019!$A$4:$N$425,K0kommunestruktur2020!C$3,FALSE)</f>
        <v>20563</v>
      </c>
      <c r="D159" s="177">
        <f>VLOOKUP($A159,K0kommunestruktur2019!$A$4:$N$425,K0kommunestruktur2020!D$3,FALSE)</f>
        <v>413285</v>
      </c>
      <c r="E159" s="289">
        <f>VLOOKUP($A159,K0kommunestruktur2019!$A$4:$N$425,K0kommunestruktur2020!E$3,FALSE)</f>
        <v>20794</v>
      </c>
      <c r="F159" s="177">
        <f>VLOOKUP($A159,K0kommunestruktur2019!$A$4:$N$425,K0kommunestruktur2020!F$3,FALSE)</f>
        <v>442451</v>
      </c>
      <c r="G159" s="289">
        <f>VLOOKUP($A159,K0kommunestruktur2019!$A$4:$N$425,K0kommunestruktur2020!G$3,FALSE)</f>
        <v>21030</v>
      </c>
      <c r="H159" s="177">
        <f>VLOOKUP($A159,K0kommunestruktur2019!$A$4:$N$425,K0kommunestruktur2020!H$3,FALSE)</f>
        <v>469925</v>
      </c>
      <c r="I159" s="289">
        <f>VLOOKUP($A159,K0kommunestruktur2019!$A$4:$N$425,K0kommunestruktur2020!I$3,FALSE)</f>
        <v>21086</v>
      </c>
      <c r="J159" s="177">
        <f>VLOOKUP($A159,K0kommunestruktur2019!$A$4:$N$425,K0kommunestruktur2020!J$3,FALSE)</f>
        <v>490237</v>
      </c>
      <c r="K159" s="289">
        <f>VLOOKUP($A159,K0kommunestruktur2019!$A$4:$N$425,K0kommunestruktur2020!K$3,FALSE)</f>
        <v>21123</v>
      </c>
      <c r="L159" s="177">
        <f>VLOOKUP($A159,K0kommunestruktur2019!$A$4:$N$425,K0kommunestruktur2020!L$3,FALSE)</f>
        <v>510655</v>
      </c>
      <c r="M159" s="289">
        <f>VLOOKUP($A159,K0kommunestruktur2019!$A$4:$N$425,K0kommunestruktur2020!M$3,FALSE)</f>
        <v>21191</v>
      </c>
      <c r="N159" s="177">
        <f>VLOOKUP($A159,K0kommunestruktur2019!$A$4:$N$425,K0kommunestruktur2020!N$3,FALSE)</f>
        <v>535565</v>
      </c>
      <c r="O159" s="289">
        <f>VLOOKUP(A159,'K20'!$A$4:$BV$359,3)</f>
        <v>21254</v>
      </c>
      <c r="P159" s="289">
        <f>VLOOKUP(A159,'K20'!$A$4:$BV$359,26)</f>
        <v>533065</v>
      </c>
      <c r="R159" s="517"/>
      <c r="S159" s="517"/>
      <c r="T159" s="517"/>
    </row>
    <row r="160" spans="1:20" ht="13">
      <c r="A160" s="865">
        <v>3421</v>
      </c>
      <c r="B160" s="866" t="s">
        <v>835</v>
      </c>
      <c r="C160" s="289">
        <f>VLOOKUP($A160,K0kommunestruktur2019!$A$4:$N$425,K0kommunestruktur2020!C$3,FALSE)</f>
        <v>6621</v>
      </c>
      <c r="D160" s="177">
        <f>VLOOKUP($A160,K0kommunestruktur2019!$A$4:$N$425,K0kommunestruktur2020!D$3,FALSE)</f>
        <v>123473</v>
      </c>
      <c r="E160" s="289">
        <f>VLOOKUP($A160,K0kommunestruktur2019!$A$4:$N$425,K0kommunestruktur2020!E$3,FALSE)</f>
        <v>6569</v>
      </c>
      <c r="F160" s="177">
        <f>VLOOKUP($A160,K0kommunestruktur2019!$A$4:$N$425,K0kommunestruktur2020!F$3,FALSE)</f>
        <v>128694</v>
      </c>
      <c r="G160" s="289">
        <f>VLOOKUP($A160,K0kommunestruktur2019!$A$4:$N$425,K0kommunestruktur2020!G$3,FALSE)</f>
        <v>6525</v>
      </c>
      <c r="H160" s="177">
        <f>VLOOKUP($A160,K0kommunestruktur2019!$A$4:$N$425,K0kommunestruktur2020!H$3,FALSE)</f>
        <v>143523</v>
      </c>
      <c r="I160" s="289">
        <f>VLOOKUP($A160,K0kommunestruktur2019!$A$4:$N$425,K0kommunestruktur2020!I$3,FALSE)</f>
        <v>6550</v>
      </c>
      <c r="J160" s="177">
        <f>VLOOKUP($A160,K0kommunestruktur2019!$A$4:$N$425,K0kommunestruktur2020!J$3,FALSE)</f>
        <v>155053</v>
      </c>
      <c r="K160" s="289">
        <f>VLOOKUP($A160,K0kommunestruktur2019!$A$4:$N$425,K0kommunestruktur2020!K$3,FALSE)</f>
        <v>6567</v>
      </c>
      <c r="L160" s="177">
        <f>VLOOKUP($A160,K0kommunestruktur2019!$A$4:$N$425,K0kommunestruktur2020!L$3,FALSE)</f>
        <v>169452</v>
      </c>
      <c r="M160" s="289">
        <f>VLOOKUP($A160,K0kommunestruktur2019!$A$4:$N$425,K0kommunestruktur2020!M$3,FALSE)</f>
        <v>6607</v>
      </c>
      <c r="N160" s="177">
        <f>VLOOKUP($A160,K0kommunestruktur2019!$A$4:$N$425,K0kommunestruktur2020!N$3,FALSE)</f>
        <v>174031</v>
      </c>
      <c r="O160" s="289">
        <f>VLOOKUP(A160,'K20'!$A$4:$BV$359,3)</f>
        <v>6627</v>
      </c>
      <c r="P160" s="289">
        <f>VLOOKUP(A160,'K20'!$A$4:$BV$359,26)</f>
        <v>172622</v>
      </c>
      <c r="R160" s="517"/>
      <c r="S160" s="517"/>
      <c r="T160" s="517"/>
    </row>
    <row r="161" spans="1:20" ht="13">
      <c r="A161" s="865">
        <v>3422</v>
      </c>
      <c r="B161" s="866" t="s">
        <v>836</v>
      </c>
      <c r="C161" s="289">
        <f>VLOOKUP($A161,K0kommunestruktur2019!$A$4:$N$425,K0kommunestruktur2020!C$3,FALSE)</f>
        <v>4455</v>
      </c>
      <c r="D161" s="177">
        <f>VLOOKUP($A161,K0kommunestruktur2019!$A$4:$N$425,K0kommunestruktur2020!D$3,FALSE)</f>
        <v>86844</v>
      </c>
      <c r="E161" s="289">
        <f>VLOOKUP($A161,K0kommunestruktur2019!$A$4:$N$425,K0kommunestruktur2020!E$3,FALSE)</f>
        <v>4456</v>
      </c>
      <c r="F161" s="177">
        <f>VLOOKUP($A161,K0kommunestruktur2019!$A$4:$N$425,K0kommunestruktur2020!F$3,FALSE)</f>
        <v>91773</v>
      </c>
      <c r="G161" s="289">
        <f>VLOOKUP($A161,K0kommunestruktur2019!$A$4:$N$425,K0kommunestruktur2020!G$3,FALSE)</f>
        <v>4429</v>
      </c>
      <c r="H161" s="177">
        <f>VLOOKUP($A161,K0kommunestruktur2019!$A$4:$N$425,K0kommunestruktur2020!H$3,FALSE)</f>
        <v>97563</v>
      </c>
      <c r="I161" s="289">
        <f>VLOOKUP($A161,K0kommunestruktur2019!$A$4:$N$425,K0kommunestruktur2020!I$3,FALSE)</f>
        <v>4518</v>
      </c>
      <c r="J161" s="177">
        <f>VLOOKUP($A161,K0kommunestruktur2019!$A$4:$N$425,K0kommunestruktur2020!J$3,FALSE)</f>
        <v>101766</v>
      </c>
      <c r="K161" s="289">
        <f>VLOOKUP($A161,K0kommunestruktur2019!$A$4:$N$425,K0kommunestruktur2020!K$3,FALSE)</f>
        <v>4480</v>
      </c>
      <c r="L161" s="177">
        <f>VLOOKUP($A161,K0kommunestruktur2019!$A$4:$N$425,K0kommunestruktur2020!L$3,FALSE)</f>
        <v>103252</v>
      </c>
      <c r="M161" s="289">
        <f>VLOOKUP($A161,K0kommunestruktur2019!$A$4:$N$425,K0kommunestruktur2020!M$3,FALSE)</f>
        <v>4407</v>
      </c>
      <c r="N161" s="177">
        <f>VLOOKUP($A161,K0kommunestruktur2019!$A$4:$N$425,K0kommunestruktur2020!N$3,FALSE)</f>
        <v>107897</v>
      </c>
      <c r="O161" s="289">
        <f>VLOOKUP(A161,'K20'!$A$4:$BV$359,3)</f>
        <v>4356</v>
      </c>
      <c r="P161" s="289">
        <f>VLOOKUP(A161,'K20'!$A$4:$BV$359,26)</f>
        <v>106391</v>
      </c>
      <c r="R161" s="517"/>
      <c r="S161" s="517"/>
      <c r="T161" s="517"/>
    </row>
    <row r="162" spans="1:20" ht="13">
      <c r="A162" s="865">
        <v>3423</v>
      </c>
      <c r="B162" s="866" t="s">
        <v>837</v>
      </c>
      <c r="C162" s="289">
        <f>VLOOKUP($A162,K0kommunestruktur2019!$A$4:$N$425,K0kommunestruktur2020!C$3,FALSE)</f>
        <v>2699</v>
      </c>
      <c r="D162" s="177">
        <f>VLOOKUP($A162,K0kommunestruktur2019!$A$4:$N$425,K0kommunestruktur2020!D$3,FALSE)</f>
        <v>45450</v>
      </c>
      <c r="E162" s="289">
        <f>VLOOKUP($A162,K0kommunestruktur2019!$A$4:$N$425,K0kommunestruktur2020!E$3,FALSE)</f>
        <v>2619</v>
      </c>
      <c r="F162" s="177">
        <f>VLOOKUP($A162,K0kommunestruktur2019!$A$4:$N$425,K0kommunestruktur2020!F$3,FALSE)</f>
        <v>46804</v>
      </c>
      <c r="G162" s="289">
        <f>VLOOKUP($A162,K0kommunestruktur2019!$A$4:$N$425,K0kommunestruktur2020!G$3,FALSE)</f>
        <v>2600</v>
      </c>
      <c r="H162" s="177">
        <f>VLOOKUP($A162,K0kommunestruktur2019!$A$4:$N$425,K0kommunestruktur2020!H$3,FALSE)</f>
        <v>51442</v>
      </c>
      <c r="I162" s="289">
        <f>VLOOKUP($A162,K0kommunestruktur2019!$A$4:$N$425,K0kommunestruktur2020!I$3,FALSE)</f>
        <v>2530</v>
      </c>
      <c r="J162" s="177">
        <f>VLOOKUP($A162,K0kommunestruktur2019!$A$4:$N$425,K0kommunestruktur2020!J$3,FALSE)</f>
        <v>55098</v>
      </c>
      <c r="K162" s="289">
        <f>VLOOKUP($A162,K0kommunestruktur2019!$A$4:$N$425,K0kommunestruktur2020!K$3,FALSE)</f>
        <v>2490</v>
      </c>
      <c r="L162" s="177">
        <f>VLOOKUP($A162,K0kommunestruktur2019!$A$4:$N$425,K0kommunestruktur2020!L$3,FALSE)</f>
        <v>52624</v>
      </c>
      <c r="M162" s="289">
        <f>VLOOKUP($A162,K0kommunestruktur2019!$A$4:$N$425,K0kommunestruktur2020!M$3,FALSE)</f>
        <v>2459</v>
      </c>
      <c r="N162" s="177">
        <f>VLOOKUP($A162,K0kommunestruktur2019!$A$4:$N$425,K0kommunestruktur2020!N$3,FALSE)</f>
        <v>53442</v>
      </c>
      <c r="O162" s="289">
        <f>VLOOKUP(A162,'K20'!$A$4:$BV$359,3)</f>
        <v>2419</v>
      </c>
      <c r="P162" s="289">
        <f>VLOOKUP(A162,'K20'!$A$4:$BV$359,26)</f>
        <v>53832</v>
      </c>
      <c r="R162" s="517"/>
      <c r="S162" s="517"/>
      <c r="T162" s="517"/>
    </row>
    <row r="163" spans="1:20" ht="13">
      <c r="A163" s="865">
        <v>3424</v>
      </c>
      <c r="B163" s="866" t="s">
        <v>838</v>
      </c>
      <c r="C163" s="289">
        <f>VLOOKUP($A163,K0kommunestruktur2019!$A$4:$N$425,K0kommunestruktur2020!C$3,FALSE)</f>
        <v>1883</v>
      </c>
      <c r="D163" s="177">
        <f>VLOOKUP($A163,K0kommunestruktur2019!$A$4:$N$425,K0kommunestruktur2020!D$3,FALSE)</f>
        <v>37165</v>
      </c>
      <c r="E163" s="289">
        <f>VLOOKUP($A163,K0kommunestruktur2019!$A$4:$N$425,K0kommunestruktur2020!E$3,FALSE)</f>
        <v>1885</v>
      </c>
      <c r="F163" s="177">
        <f>VLOOKUP($A163,K0kommunestruktur2019!$A$4:$N$425,K0kommunestruktur2020!F$3,FALSE)</f>
        <v>39705</v>
      </c>
      <c r="G163" s="289">
        <f>VLOOKUP($A163,K0kommunestruktur2019!$A$4:$N$425,K0kommunestruktur2020!G$3,FALSE)</f>
        <v>1881</v>
      </c>
      <c r="H163" s="177">
        <f>VLOOKUP($A163,K0kommunestruktur2019!$A$4:$N$425,K0kommunestruktur2020!H$3,FALSE)</f>
        <v>41109</v>
      </c>
      <c r="I163" s="289">
        <f>VLOOKUP($A163,K0kommunestruktur2019!$A$4:$N$425,K0kommunestruktur2020!I$3,FALSE)</f>
        <v>1858</v>
      </c>
      <c r="J163" s="177">
        <f>VLOOKUP($A163,K0kommunestruktur2019!$A$4:$N$425,K0kommunestruktur2020!J$3,FALSE)</f>
        <v>41486</v>
      </c>
      <c r="K163" s="289">
        <f>VLOOKUP($A163,K0kommunestruktur2019!$A$4:$N$425,K0kommunestruktur2020!K$3,FALSE)</f>
        <v>1827</v>
      </c>
      <c r="L163" s="177">
        <f>VLOOKUP($A163,K0kommunestruktur2019!$A$4:$N$425,K0kommunestruktur2020!L$3,FALSE)</f>
        <v>42432</v>
      </c>
      <c r="M163" s="289">
        <f>VLOOKUP($A163,K0kommunestruktur2019!$A$4:$N$425,K0kommunestruktur2020!M$3,FALSE)</f>
        <v>1791</v>
      </c>
      <c r="N163" s="177">
        <f>VLOOKUP($A163,K0kommunestruktur2019!$A$4:$N$425,K0kommunestruktur2020!N$3,FALSE)</f>
        <v>42521</v>
      </c>
      <c r="O163" s="289">
        <f>VLOOKUP(A163,'K20'!$A$4:$BV$359,3)</f>
        <v>1780</v>
      </c>
      <c r="P163" s="289">
        <f>VLOOKUP(A163,'K20'!$A$4:$BV$359,26)</f>
        <v>41561</v>
      </c>
      <c r="R163" s="517"/>
      <c r="S163" s="517"/>
      <c r="T163" s="517"/>
    </row>
    <row r="164" spans="1:20" ht="13">
      <c r="A164" s="865">
        <v>3425</v>
      </c>
      <c r="B164" s="866" t="s">
        <v>839</v>
      </c>
      <c r="C164" s="289">
        <f>VLOOKUP($A164,K0kommunestruktur2019!$A$4:$N$425,K0kommunestruktur2020!C$3,FALSE)</f>
        <v>1345</v>
      </c>
      <c r="D164" s="177">
        <f>VLOOKUP($A164,K0kommunestruktur2019!$A$4:$N$425,K0kommunestruktur2020!D$3,FALSE)</f>
        <v>21656</v>
      </c>
      <c r="E164" s="289">
        <f>VLOOKUP($A164,K0kommunestruktur2019!$A$4:$N$425,K0kommunestruktur2020!E$3,FALSE)</f>
        <v>1359</v>
      </c>
      <c r="F164" s="177">
        <f>VLOOKUP($A164,K0kommunestruktur2019!$A$4:$N$425,K0kommunestruktur2020!F$3,FALSE)</f>
        <v>23795</v>
      </c>
      <c r="G164" s="289">
        <f>VLOOKUP($A164,K0kommunestruktur2019!$A$4:$N$425,K0kommunestruktur2020!G$3,FALSE)</f>
        <v>1305</v>
      </c>
      <c r="H164" s="177">
        <f>VLOOKUP($A164,K0kommunestruktur2019!$A$4:$N$425,K0kommunestruktur2020!H$3,FALSE)</f>
        <v>24758</v>
      </c>
      <c r="I164" s="289">
        <f>VLOOKUP($A164,K0kommunestruktur2019!$A$4:$N$425,K0kommunestruktur2020!I$3,FALSE)</f>
        <v>1274</v>
      </c>
      <c r="J164" s="177">
        <f>VLOOKUP($A164,K0kommunestruktur2019!$A$4:$N$425,K0kommunestruktur2020!J$3,FALSE)</f>
        <v>26109</v>
      </c>
      <c r="K164" s="289">
        <f>VLOOKUP($A164,K0kommunestruktur2019!$A$4:$N$425,K0kommunestruktur2020!K$3,FALSE)</f>
        <v>1294</v>
      </c>
      <c r="L164" s="177">
        <f>VLOOKUP($A164,K0kommunestruktur2019!$A$4:$N$425,K0kommunestruktur2020!L$3,FALSE)</f>
        <v>27184</v>
      </c>
      <c r="M164" s="289">
        <f>VLOOKUP($A164,K0kommunestruktur2019!$A$4:$N$425,K0kommunestruktur2020!M$3,FALSE)</f>
        <v>1286</v>
      </c>
      <c r="N164" s="177">
        <f>VLOOKUP($A164,K0kommunestruktur2019!$A$4:$N$425,K0kommunestruktur2020!N$3,FALSE)</f>
        <v>29586</v>
      </c>
      <c r="O164" s="289">
        <f>VLOOKUP(A164,'K20'!$A$4:$BV$359,3)</f>
        <v>1268</v>
      </c>
      <c r="P164" s="289">
        <f>VLOOKUP(A164,'K20'!$A$4:$BV$359,26)</f>
        <v>28030</v>
      </c>
      <c r="R164" s="517"/>
      <c r="S164" s="517"/>
      <c r="T164" s="517"/>
    </row>
    <row r="165" spans="1:20" ht="13">
      <c r="A165" s="865">
        <v>3426</v>
      </c>
      <c r="B165" s="866" t="s">
        <v>840</v>
      </c>
      <c r="C165" s="289">
        <f>VLOOKUP($A165,K0kommunestruktur2019!$A$4:$N$425,K0kommunestruktur2020!C$3,FALSE)</f>
        <v>1658</v>
      </c>
      <c r="D165" s="177">
        <f>VLOOKUP($A165,K0kommunestruktur2019!$A$4:$N$425,K0kommunestruktur2020!D$3,FALSE)</f>
        <v>27453</v>
      </c>
      <c r="E165" s="289">
        <f>VLOOKUP($A165,K0kommunestruktur2019!$A$4:$N$425,K0kommunestruktur2020!E$3,FALSE)</f>
        <v>1656</v>
      </c>
      <c r="F165" s="177">
        <f>VLOOKUP($A165,K0kommunestruktur2019!$A$4:$N$425,K0kommunestruktur2020!F$3,FALSE)</f>
        <v>27218</v>
      </c>
      <c r="G165" s="289">
        <f>VLOOKUP($A165,K0kommunestruktur2019!$A$4:$N$425,K0kommunestruktur2020!G$3,FALSE)</f>
        <v>1620</v>
      </c>
      <c r="H165" s="177">
        <f>VLOOKUP($A165,K0kommunestruktur2019!$A$4:$N$425,K0kommunestruktur2020!H$3,FALSE)</f>
        <v>30445</v>
      </c>
      <c r="I165" s="289">
        <f>VLOOKUP($A165,K0kommunestruktur2019!$A$4:$N$425,K0kommunestruktur2020!I$3,FALSE)</f>
        <v>1620</v>
      </c>
      <c r="J165" s="177">
        <f>VLOOKUP($A165,K0kommunestruktur2019!$A$4:$N$425,K0kommunestruktur2020!J$3,FALSE)</f>
        <v>29844</v>
      </c>
      <c r="K165" s="289">
        <f>VLOOKUP($A165,K0kommunestruktur2019!$A$4:$N$425,K0kommunestruktur2020!K$3,FALSE)</f>
        <v>1553</v>
      </c>
      <c r="L165" s="177">
        <f>VLOOKUP($A165,K0kommunestruktur2019!$A$4:$N$425,K0kommunestruktur2020!L$3,FALSE)</f>
        <v>29834</v>
      </c>
      <c r="M165" s="289">
        <f>VLOOKUP($A165,K0kommunestruktur2019!$A$4:$N$425,K0kommunestruktur2020!M$3,FALSE)</f>
        <v>1551</v>
      </c>
      <c r="N165" s="177">
        <f>VLOOKUP($A165,K0kommunestruktur2019!$A$4:$N$425,K0kommunestruktur2020!N$3,FALSE)</f>
        <v>31981</v>
      </c>
      <c r="O165" s="289">
        <f>VLOOKUP(A165,'K20'!$A$4:$BV$359,3)</f>
        <v>1562</v>
      </c>
      <c r="P165" s="289">
        <f>VLOOKUP(A165,'K20'!$A$4:$BV$359,26)</f>
        <v>32457</v>
      </c>
      <c r="R165" s="517"/>
      <c r="S165" s="517"/>
      <c r="T165" s="517"/>
    </row>
    <row r="166" spans="1:20" ht="13">
      <c r="A166" s="865">
        <v>3427</v>
      </c>
      <c r="B166" s="866" t="s">
        <v>841</v>
      </c>
      <c r="C166" s="289">
        <f>VLOOKUP($A166,K0kommunestruktur2019!$A$4:$N$425,K0kommunestruktur2020!C$3,FALSE)</f>
        <v>5549</v>
      </c>
      <c r="D166" s="177">
        <f>VLOOKUP($A166,K0kommunestruktur2019!$A$4:$N$425,K0kommunestruktur2020!D$3,FALSE)</f>
        <v>107680</v>
      </c>
      <c r="E166" s="289">
        <f>VLOOKUP($A166,K0kommunestruktur2019!$A$4:$N$425,K0kommunestruktur2020!E$3,FALSE)</f>
        <v>5562</v>
      </c>
      <c r="F166" s="177">
        <f>VLOOKUP($A166,K0kommunestruktur2019!$A$4:$N$425,K0kommunestruktur2020!F$3,FALSE)</f>
        <v>113932</v>
      </c>
      <c r="G166" s="289">
        <f>VLOOKUP($A166,K0kommunestruktur2019!$A$4:$N$425,K0kommunestruktur2020!G$3,FALSE)</f>
        <v>5580</v>
      </c>
      <c r="H166" s="177">
        <f>VLOOKUP($A166,K0kommunestruktur2019!$A$4:$N$425,K0kommunestruktur2020!H$3,FALSE)</f>
        <v>122027</v>
      </c>
      <c r="I166" s="289">
        <f>VLOOKUP($A166,K0kommunestruktur2019!$A$4:$N$425,K0kommunestruktur2020!I$3,FALSE)</f>
        <v>5584</v>
      </c>
      <c r="J166" s="177">
        <f>VLOOKUP($A166,K0kommunestruktur2019!$A$4:$N$425,K0kommunestruktur2020!J$3,FALSE)</f>
        <v>130470</v>
      </c>
      <c r="K166" s="289">
        <f>VLOOKUP($A166,K0kommunestruktur2019!$A$4:$N$425,K0kommunestruktur2020!K$3,FALSE)</f>
        <v>5605</v>
      </c>
      <c r="L166" s="177">
        <f>VLOOKUP($A166,K0kommunestruktur2019!$A$4:$N$425,K0kommunestruktur2020!L$3,FALSE)</f>
        <v>136219</v>
      </c>
      <c r="M166" s="289">
        <f>VLOOKUP($A166,K0kommunestruktur2019!$A$4:$N$425,K0kommunestruktur2020!M$3,FALSE)</f>
        <v>5591</v>
      </c>
      <c r="N166" s="177">
        <f>VLOOKUP($A166,K0kommunestruktur2019!$A$4:$N$425,K0kommunestruktur2020!N$3,FALSE)</f>
        <v>138237</v>
      </c>
      <c r="O166" s="289">
        <f>VLOOKUP(A166,'K20'!$A$4:$BV$359,3)</f>
        <v>5578</v>
      </c>
      <c r="P166" s="289">
        <f>VLOOKUP(A166,'K20'!$A$4:$BV$359,26)</f>
        <v>140883</v>
      </c>
      <c r="R166" s="517"/>
      <c r="S166" s="517"/>
      <c r="T166" s="517"/>
    </row>
    <row r="167" spans="1:20" ht="13">
      <c r="A167" s="865">
        <v>3428</v>
      </c>
      <c r="B167" s="866" t="s">
        <v>842</v>
      </c>
      <c r="C167" s="289">
        <f>VLOOKUP($A167,K0kommunestruktur2019!$A$4:$N$425,K0kommunestruktur2020!C$3,FALSE)</f>
        <v>2432</v>
      </c>
      <c r="D167" s="177">
        <f>VLOOKUP($A167,K0kommunestruktur2019!$A$4:$N$425,K0kommunestruktur2020!D$3,FALSE)</f>
        <v>48352</v>
      </c>
      <c r="E167" s="289">
        <f>VLOOKUP($A167,K0kommunestruktur2019!$A$4:$N$425,K0kommunestruktur2020!E$3,FALSE)</f>
        <v>2418</v>
      </c>
      <c r="F167" s="177">
        <f>VLOOKUP($A167,K0kommunestruktur2019!$A$4:$N$425,K0kommunestruktur2020!F$3,FALSE)</f>
        <v>49066</v>
      </c>
      <c r="G167" s="289">
        <f>VLOOKUP($A167,K0kommunestruktur2019!$A$4:$N$425,K0kommunestruktur2020!G$3,FALSE)</f>
        <v>2426</v>
      </c>
      <c r="H167" s="177">
        <f>VLOOKUP($A167,K0kommunestruktur2019!$A$4:$N$425,K0kommunestruktur2020!H$3,FALSE)</f>
        <v>52913</v>
      </c>
      <c r="I167" s="289">
        <f>VLOOKUP($A167,K0kommunestruktur2019!$A$4:$N$425,K0kommunestruktur2020!I$3,FALSE)</f>
        <v>2441</v>
      </c>
      <c r="J167" s="177">
        <f>VLOOKUP($A167,K0kommunestruktur2019!$A$4:$N$425,K0kommunestruktur2020!J$3,FALSE)</f>
        <v>59525</v>
      </c>
      <c r="K167" s="289">
        <f>VLOOKUP($A167,K0kommunestruktur2019!$A$4:$N$425,K0kommunestruktur2020!K$3,FALSE)</f>
        <v>2424</v>
      </c>
      <c r="L167" s="177">
        <f>VLOOKUP($A167,K0kommunestruktur2019!$A$4:$N$425,K0kommunestruktur2020!L$3,FALSE)</f>
        <v>59910</v>
      </c>
      <c r="M167" s="289">
        <f>VLOOKUP($A167,K0kommunestruktur2019!$A$4:$N$425,K0kommunestruktur2020!M$3,FALSE)</f>
        <v>2418</v>
      </c>
      <c r="N167" s="177">
        <f>VLOOKUP($A167,K0kommunestruktur2019!$A$4:$N$425,K0kommunestruktur2020!N$3,FALSE)</f>
        <v>59219</v>
      </c>
      <c r="O167" s="289">
        <f>VLOOKUP(A167,'K20'!$A$4:$BV$359,3)</f>
        <v>2432</v>
      </c>
      <c r="P167" s="289">
        <f>VLOOKUP(A167,'K20'!$A$4:$BV$359,26)</f>
        <v>59798</v>
      </c>
      <c r="R167" s="517"/>
      <c r="S167" s="517"/>
      <c r="T167" s="517"/>
    </row>
    <row r="168" spans="1:20" ht="13">
      <c r="A168" s="865">
        <v>3429</v>
      </c>
      <c r="B168" s="866" t="s">
        <v>843</v>
      </c>
      <c r="C168" s="289">
        <f>VLOOKUP($A168,K0kommunestruktur2019!$A$4:$N$425,K0kommunestruktur2020!C$3,FALSE)</f>
        <v>1631</v>
      </c>
      <c r="D168" s="177">
        <f>VLOOKUP($A168,K0kommunestruktur2019!$A$4:$N$425,K0kommunestruktur2020!D$3,FALSE)</f>
        <v>28026</v>
      </c>
      <c r="E168" s="289">
        <f>VLOOKUP($A168,K0kommunestruktur2019!$A$4:$N$425,K0kommunestruktur2020!E$3,FALSE)</f>
        <v>1597</v>
      </c>
      <c r="F168" s="177">
        <f>VLOOKUP($A168,K0kommunestruktur2019!$A$4:$N$425,K0kommunestruktur2020!F$3,FALSE)</f>
        <v>29300</v>
      </c>
      <c r="G168" s="289">
        <f>VLOOKUP($A168,K0kommunestruktur2019!$A$4:$N$425,K0kommunestruktur2020!G$3,FALSE)</f>
        <v>1592</v>
      </c>
      <c r="H168" s="177">
        <f>VLOOKUP($A168,K0kommunestruktur2019!$A$4:$N$425,K0kommunestruktur2020!H$3,FALSE)</f>
        <v>31621</v>
      </c>
      <c r="I168" s="289">
        <f>VLOOKUP($A168,K0kommunestruktur2019!$A$4:$N$425,K0kommunestruktur2020!I$3,FALSE)</f>
        <v>1577</v>
      </c>
      <c r="J168" s="177">
        <f>VLOOKUP($A168,K0kommunestruktur2019!$A$4:$N$425,K0kommunestruktur2020!J$3,FALSE)</f>
        <v>31809</v>
      </c>
      <c r="K168" s="289">
        <f>VLOOKUP($A168,K0kommunestruktur2019!$A$4:$N$425,K0kommunestruktur2020!K$3,FALSE)</f>
        <v>1569</v>
      </c>
      <c r="L168" s="177">
        <f>VLOOKUP($A168,K0kommunestruktur2019!$A$4:$N$425,K0kommunestruktur2020!L$3,FALSE)</f>
        <v>32557</v>
      </c>
      <c r="M168" s="289">
        <f>VLOOKUP($A168,K0kommunestruktur2019!$A$4:$N$425,K0kommunestruktur2020!M$3,FALSE)</f>
        <v>1577</v>
      </c>
      <c r="N168" s="177">
        <f>VLOOKUP($A168,K0kommunestruktur2019!$A$4:$N$425,K0kommunestruktur2020!N$3,FALSE)</f>
        <v>35614</v>
      </c>
      <c r="O168" s="289">
        <f>VLOOKUP(A168,'K20'!$A$4:$BV$359,3)</f>
        <v>1545</v>
      </c>
      <c r="P168" s="289">
        <f>VLOOKUP(A168,'K20'!$A$4:$BV$359,26)</f>
        <v>35491</v>
      </c>
      <c r="R168" s="517"/>
      <c r="S168" s="517"/>
      <c r="T168" s="517"/>
    </row>
    <row r="169" spans="1:20" ht="13">
      <c r="A169" s="865">
        <v>3430</v>
      </c>
      <c r="B169" s="866" t="s">
        <v>844</v>
      </c>
      <c r="C169" s="289">
        <f>VLOOKUP($A169,K0kommunestruktur2019!$A$4:$N$425,K0kommunestruktur2020!C$3,FALSE)</f>
        <v>2013</v>
      </c>
      <c r="D169" s="177">
        <f>VLOOKUP($A169,K0kommunestruktur2019!$A$4:$N$425,K0kommunestruktur2020!D$3,FALSE)</f>
        <v>35911</v>
      </c>
      <c r="E169" s="289">
        <f>VLOOKUP($A169,K0kommunestruktur2019!$A$4:$N$425,K0kommunestruktur2020!E$3,FALSE)</f>
        <v>1991</v>
      </c>
      <c r="F169" s="177">
        <f>VLOOKUP($A169,K0kommunestruktur2019!$A$4:$N$425,K0kommunestruktur2020!F$3,FALSE)</f>
        <v>38018</v>
      </c>
      <c r="G169" s="289">
        <f>VLOOKUP($A169,K0kommunestruktur2019!$A$4:$N$425,K0kommunestruktur2020!G$3,FALSE)</f>
        <v>1956</v>
      </c>
      <c r="H169" s="177">
        <f>VLOOKUP($A169,K0kommunestruktur2019!$A$4:$N$425,K0kommunestruktur2020!H$3,FALSE)</f>
        <v>40273</v>
      </c>
      <c r="I169" s="289">
        <f>VLOOKUP($A169,K0kommunestruktur2019!$A$4:$N$425,K0kommunestruktur2020!I$3,FALSE)</f>
        <v>1963</v>
      </c>
      <c r="J169" s="177">
        <f>VLOOKUP($A169,K0kommunestruktur2019!$A$4:$N$425,K0kommunestruktur2020!J$3,FALSE)</f>
        <v>40847</v>
      </c>
      <c r="K169" s="289">
        <f>VLOOKUP($A169,K0kommunestruktur2019!$A$4:$N$425,K0kommunestruktur2020!K$3,FALSE)</f>
        <v>1936</v>
      </c>
      <c r="L169" s="177">
        <f>VLOOKUP($A169,K0kommunestruktur2019!$A$4:$N$425,K0kommunestruktur2020!L$3,FALSE)</f>
        <v>42580</v>
      </c>
      <c r="M169" s="289">
        <f>VLOOKUP($A169,K0kommunestruktur2019!$A$4:$N$425,K0kommunestruktur2020!M$3,FALSE)</f>
        <v>1912</v>
      </c>
      <c r="N169" s="177">
        <f>VLOOKUP($A169,K0kommunestruktur2019!$A$4:$N$425,K0kommunestruktur2020!N$3,FALSE)</f>
        <v>46734</v>
      </c>
      <c r="O169" s="289">
        <f>VLOOKUP(A169,'K20'!$A$4:$BV$359,3)</f>
        <v>1891</v>
      </c>
      <c r="P169" s="289">
        <f>VLOOKUP(A169,'K20'!$A$4:$BV$359,26)</f>
        <v>68420</v>
      </c>
      <c r="R169" s="517"/>
      <c r="S169" s="517"/>
      <c r="T169" s="517"/>
    </row>
    <row r="170" spans="1:20" ht="13">
      <c r="A170" s="865">
        <v>3431</v>
      </c>
      <c r="B170" s="866" t="s">
        <v>847</v>
      </c>
      <c r="C170" s="289">
        <f>VLOOKUP($A170,K0kommunestruktur2019!$A$4:$N$425,K0kommunestruktur2020!C$3,FALSE)</f>
        <v>2704</v>
      </c>
      <c r="D170" s="177">
        <f>VLOOKUP($A170,K0kommunestruktur2019!$A$4:$N$425,K0kommunestruktur2020!D$3,FALSE)</f>
        <v>50086</v>
      </c>
      <c r="E170" s="289">
        <f>VLOOKUP($A170,K0kommunestruktur2019!$A$4:$N$425,K0kommunestruktur2020!E$3,FALSE)</f>
        <v>2745</v>
      </c>
      <c r="F170" s="177">
        <f>VLOOKUP($A170,K0kommunestruktur2019!$A$4:$N$425,K0kommunestruktur2020!F$3,FALSE)</f>
        <v>54394</v>
      </c>
      <c r="G170" s="289">
        <f>VLOOKUP($A170,K0kommunestruktur2019!$A$4:$N$425,K0kommunestruktur2020!G$3,FALSE)</f>
        <v>2701</v>
      </c>
      <c r="H170" s="177">
        <f>VLOOKUP($A170,K0kommunestruktur2019!$A$4:$N$425,K0kommunestruktur2020!H$3,FALSE)</f>
        <v>59477</v>
      </c>
      <c r="I170" s="289">
        <f>VLOOKUP($A170,K0kommunestruktur2019!$A$4:$N$425,K0kommunestruktur2020!I$3,FALSE)</f>
        <v>2675</v>
      </c>
      <c r="J170" s="177">
        <f>VLOOKUP($A170,K0kommunestruktur2019!$A$4:$N$425,K0kommunestruktur2020!J$3,FALSE)</f>
        <v>58760</v>
      </c>
      <c r="K170" s="289">
        <f>VLOOKUP($A170,K0kommunestruktur2019!$A$4:$N$425,K0kommunestruktur2020!K$3,FALSE)</f>
        <v>2642</v>
      </c>
      <c r="L170" s="177">
        <f>VLOOKUP($A170,K0kommunestruktur2019!$A$4:$N$425,K0kommunestruktur2020!L$3,FALSE)</f>
        <v>61104</v>
      </c>
      <c r="M170" s="289">
        <f>VLOOKUP($A170,K0kommunestruktur2019!$A$4:$N$425,K0kommunestruktur2020!M$3,FALSE)</f>
        <v>2615</v>
      </c>
      <c r="N170" s="177">
        <f>VLOOKUP($A170,K0kommunestruktur2019!$A$4:$N$425,K0kommunestruktur2020!N$3,FALSE)</f>
        <v>62336</v>
      </c>
      <c r="O170" s="289">
        <f>VLOOKUP(A170,'K20'!$A$4:$BV$359,3)</f>
        <v>2553</v>
      </c>
      <c r="P170" s="289">
        <f>VLOOKUP(A170,'K20'!$A$4:$BV$359,26)</f>
        <v>58865</v>
      </c>
      <c r="R170" s="517"/>
      <c r="S170" s="517"/>
      <c r="T170" s="517"/>
    </row>
    <row r="171" spans="1:20" ht="13">
      <c r="A171" s="865">
        <v>3432</v>
      </c>
      <c r="B171" s="866" t="s">
        <v>848</v>
      </c>
      <c r="C171" s="289">
        <f>VLOOKUP($A171,K0kommunestruktur2019!$A$4:$N$425,K0kommunestruktur2020!C$3,FALSE)</f>
        <v>2076</v>
      </c>
      <c r="D171" s="177">
        <f>VLOOKUP($A171,K0kommunestruktur2019!$A$4:$N$425,K0kommunestruktur2020!D$3,FALSE)</f>
        <v>38506</v>
      </c>
      <c r="E171" s="289">
        <f>VLOOKUP($A171,K0kommunestruktur2019!$A$4:$N$425,K0kommunestruktur2020!E$3,FALSE)</f>
        <v>2059</v>
      </c>
      <c r="F171" s="177">
        <f>VLOOKUP($A171,K0kommunestruktur2019!$A$4:$N$425,K0kommunestruktur2020!F$3,FALSE)</f>
        <v>41423</v>
      </c>
      <c r="G171" s="289">
        <f>VLOOKUP($A171,K0kommunestruktur2019!$A$4:$N$425,K0kommunestruktur2020!G$3,FALSE)</f>
        <v>2055</v>
      </c>
      <c r="H171" s="177">
        <f>VLOOKUP($A171,K0kommunestruktur2019!$A$4:$N$425,K0kommunestruktur2020!H$3,FALSE)</f>
        <v>46978</v>
      </c>
      <c r="I171" s="289">
        <f>VLOOKUP($A171,K0kommunestruktur2019!$A$4:$N$425,K0kommunestruktur2020!I$3,FALSE)</f>
        <v>2048</v>
      </c>
      <c r="J171" s="177">
        <f>VLOOKUP($A171,K0kommunestruktur2019!$A$4:$N$425,K0kommunestruktur2020!J$3,FALSE)</f>
        <v>48600</v>
      </c>
      <c r="K171" s="289">
        <f>VLOOKUP($A171,K0kommunestruktur2019!$A$4:$N$425,K0kommunestruktur2020!K$3,FALSE)</f>
        <v>2038</v>
      </c>
      <c r="L171" s="177">
        <f>VLOOKUP($A171,K0kommunestruktur2019!$A$4:$N$425,K0kommunestruktur2020!L$3,FALSE)</f>
        <v>49147</v>
      </c>
      <c r="M171" s="289">
        <f>VLOOKUP($A171,K0kommunestruktur2019!$A$4:$N$425,K0kommunestruktur2020!M$3,FALSE)</f>
        <v>2009</v>
      </c>
      <c r="N171" s="177">
        <f>VLOOKUP($A171,K0kommunestruktur2019!$A$4:$N$425,K0kommunestruktur2020!N$3,FALSE)</f>
        <v>49891</v>
      </c>
      <c r="O171" s="289">
        <f>VLOOKUP(A171,'K20'!$A$4:$BV$359,3)</f>
        <v>1975</v>
      </c>
      <c r="P171" s="289">
        <f>VLOOKUP(A171,'K20'!$A$4:$BV$359,26)</f>
        <v>48613</v>
      </c>
      <c r="R171" s="517"/>
      <c r="S171" s="517"/>
      <c r="T171" s="517"/>
    </row>
    <row r="172" spans="1:20" ht="13">
      <c r="A172" s="865">
        <v>3433</v>
      </c>
      <c r="B172" s="866" t="s">
        <v>849</v>
      </c>
      <c r="C172" s="289">
        <f>VLOOKUP($A172,K0kommunestruktur2019!$A$4:$N$425,K0kommunestruktur2020!C$3,FALSE)</f>
        <v>2264</v>
      </c>
      <c r="D172" s="177">
        <f>VLOOKUP($A172,K0kommunestruktur2019!$A$4:$N$425,K0kommunestruktur2020!D$3,FALSE)</f>
        <v>54288</v>
      </c>
      <c r="E172" s="289">
        <f>VLOOKUP($A172,K0kommunestruktur2019!$A$4:$N$425,K0kommunestruktur2020!E$3,FALSE)</f>
        <v>2245</v>
      </c>
      <c r="F172" s="177">
        <f>VLOOKUP($A172,K0kommunestruktur2019!$A$4:$N$425,K0kommunestruktur2020!F$3,FALSE)</f>
        <v>57843</v>
      </c>
      <c r="G172" s="289">
        <f>VLOOKUP($A172,K0kommunestruktur2019!$A$4:$N$425,K0kommunestruktur2020!G$3,FALSE)</f>
        <v>2204</v>
      </c>
      <c r="H172" s="177">
        <f>VLOOKUP($A172,K0kommunestruktur2019!$A$4:$N$425,K0kommunestruktur2020!H$3,FALSE)</f>
        <v>56347</v>
      </c>
      <c r="I172" s="289">
        <f>VLOOKUP($A172,K0kommunestruktur2019!$A$4:$N$425,K0kommunestruktur2020!I$3,FALSE)</f>
        <v>2202</v>
      </c>
      <c r="J172" s="177">
        <f>VLOOKUP($A172,K0kommunestruktur2019!$A$4:$N$425,K0kommunestruktur2020!J$3,FALSE)</f>
        <v>57765</v>
      </c>
      <c r="K172" s="289">
        <f>VLOOKUP($A172,K0kommunestruktur2019!$A$4:$N$425,K0kommunestruktur2020!K$3,FALSE)</f>
        <v>2179</v>
      </c>
      <c r="L172" s="177">
        <f>VLOOKUP($A172,K0kommunestruktur2019!$A$4:$N$425,K0kommunestruktur2020!L$3,FALSE)</f>
        <v>59712</v>
      </c>
      <c r="M172" s="289">
        <f>VLOOKUP($A172,K0kommunestruktur2019!$A$4:$N$425,K0kommunestruktur2020!M$3,FALSE)</f>
        <v>2204</v>
      </c>
      <c r="N172" s="177">
        <f>VLOOKUP($A172,K0kommunestruktur2019!$A$4:$N$425,K0kommunestruktur2020!N$3,FALSE)</f>
        <v>61022</v>
      </c>
      <c r="O172" s="289">
        <f>VLOOKUP(A172,'K20'!$A$4:$BV$359,3)</f>
        <v>2197</v>
      </c>
      <c r="P172" s="289">
        <f>VLOOKUP(A172,'K20'!$A$4:$BV$359,26)</f>
        <v>62348</v>
      </c>
      <c r="R172" s="517"/>
      <c r="S172" s="517"/>
      <c r="T172" s="517"/>
    </row>
    <row r="173" spans="1:20" ht="13">
      <c r="A173" s="865">
        <v>3434</v>
      </c>
      <c r="B173" s="866" t="s">
        <v>850</v>
      </c>
      <c r="C173" s="289">
        <f>VLOOKUP($A173,K0kommunestruktur2019!$A$4:$N$425,K0kommunestruktur2020!C$3,FALSE)</f>
        <v>2361</v>
      </c>
      <c r="D173" s="177">
        <f>VLOOKUP($A173,K0kommunestruktur2019!$A$4:$N$425,K0kommunestruktur2020!D$3,FALSE)</f>
        <v>45505</v>
      </c>
      <c r="E173" s="289">
        <f>VLOOKUP($A173,K0kommunestruktur2019!$A$4:$N$425,K0kommunestruktur2020!E$3,FALSE)</f>
        <v>2356</v>
      </c>
      <c r="F173" s="177">
        <f>VLOOKUP($A173,K0kommunestruktur2019!$A$4:$N$425,K0kommunestruktur2020!F$3,FALSE)</f>
        <v>48209</v>
      </c>
      <c r="G173" s="289">
        <f>VLOOKUP($A173,K0kommunestruktur2019!$A$4:$N$425,K0kommunestruktur2020!G$3,FALSE)</f>
        <v>2347</v>
      </c>
      <c r="H173" s="177">
        <f>VLOOKUP($A173,K0kommunestruktur2019!$A$4:$N$425,K0kommunestruktur2020!H$3,FALSE)</f>
        <v>50742</v>
      </c>
      <c r="I173" s="289">
        <f>VLOOKUP($A173,K0kommunestruktur2019!$A$4:$N$425,K0kommunestruktur2020!I$3,FALSE)</f>
        <v>2360</v>
      </c>
      <c r="J173" s="177">
        <f>VLOOKUP($A173,K0kommunestruktur2019!$A$4:$N$425,K0kommunestruktur2020!J$3,FALSE)</f>
        <v>52717</v>
      </c>
      <c r="K173" s="289">
        <f>VLOOKUP($A173,K0kommunestruktur2019!$A$4:$N$425,K0kommunestruktur2020!K$3,FALSE)</f>
        <v>2331</v>
      </c>
      <c r="L173" s="177">
        <f>VLOOKUP($A173,K0kommunestruktur2019!$A$4:$N$425,K0kommunestruktur2020!L$3,FALSE)</f>
        <v>53712</v>
      </c>
      <c r="M173" s="289">
        <f>VLOOKUP($A173,K0kommunestruktur2019!$A$4:$N$425,K0kommunestruktur2020!M$3,FALSE)</f>
        <v>2293</v>
      </c>
      <c r="N173" s="177">
        <f>VLOOKUP($A173,K0kommunestruktur2019!$A$4:$N$425,K0kommunestruktur2020!N$3,FALSE)</f>
        <v>55282</v>
      </c>
      <c r="O173" s="289">
        <f>VLOOKUP(A173,'K20'!$A$4:$BV$359,3)</f>
        <v>2228</v>
      </c>
      <c r="P173" s="289">
        <f>VLOOKUP(A173,'K20'!$A$4:$BV$359,26)</f>
        <v>53756</v>
      </c>
      <c r="R173" s="517"/>
      <c r="S173" s="517"/>
      <c r="T173" s="517"/>
    </row>
    <row r="174" spans="1:20" ht="13">
      <c r="A174" s="865">
        <v>3435</v>
      </c>
      <c r="B174" s="866" t="s">
        <v>851</v>
      </c>
      <c r="C174" s="289">
        <f>VLOOKUP($A174,K0kommunestruktur2019!$A$4:$N$425,K0kommunestruktur2020!C$3,FALSE)</f>
        <v>3686</v>
      </c>
      <c r="D174" s="177">
        <f>VLOOKUP($A174,K0kommunestruktur2019!$A$4:$N$425,K0kommunestruktur2020!D$3,FALSE)</f>
        <v>67094</v>
      </c>
      <c r="E174" s="289">
        <f>VLOOKUP($A174,K0kommunestruktur2019!$A$4:$N$425,K0kommunestruktur2020!E$3,FALSE)</f>
        <v>3675</v>
      </c>
      <c r="F174" s="177">
        <f>VLOOKUP($A174,K0kommunestruktur2019!$A$4:$N$425,K0kommunestruktur2020!F$3,FALSE)</f>
        <v>69739</v>
      </c>
      <c r="G174" s="289">
        <f>VLOOKUP($A174,K0kommunestruktur2019!$A$4:$N$425,K0kommunestruktur2020!G$3,FALSE)</f>
        <v>3664</v>
      </c>
      <c r="H174" s="177">
        <f>VLOOKUP($A174,K0kommunestruktur2019!$A$4:$N$425,K0kommunestruktur2020!H$3,FALSE)</f>
        <v>75013</v>
      </c>
      <c r="I174" s="289">
        <f>VLOOKUP($A174,K0kommunestruktur2019!$A$4:$N$425,K0kommunestruktur2020!I$3,FALSE)</f>
        <v>3640</v>
      </c>
      <c r="J174" s="177">
        <f>VLOOKUP($A174,K0kommunestruktur2019!$A$4:$N$425,K0kommunestruktur2020!J$3,FALSE)</f>
        <v>75847</v>
      </c>
      <c r="K174" s="289">
        <f>VLOOKUP($A174,K0kommunestruktur2019!$A$4:$N$425,K0kommunestruktur2020!K$3,FALSE)</f>
        <v>3638</v>
      </c>
      <c r="L174" s="177">
        <f>VLOOKUP($A174,K0kommunestruktur2019!$A$4:$N$425,K0kommunestruktur2020!L$3,FALSE)</f>
        <v>88200</v>
      </c>
      <c r="M174" s="289">
        <f>VLOOKUP($A174,K0kommunestruktur2019!$A$4:$N$425,K0kommunestruktur2020!M$3,FALSE)</f>
        <v>3589</v>
      </c>
      <c r="N174" s="177">
        <f>VLOOKUP($A174,K0kommunestruktur2019!$A$4:$N$425,K0kommunestruktur2020!N$3,FALSE)</f>
        <v>89927</v>
      </c>
      <c r="O174" s="289">
        <f>VLOOKUP(A174,'K20'!$A$4:$BV$359,3)</f>
        <v>3570</v>
      </c>
      <c r="P174" s="289">
        <f>VLOOKUP(A174,'K20'!$A$4:$BV$359,26)</f>
        <v>85608</v>
      </c>
      <c r="R174" s="517"/>
      <c r="S174" s="517"/>
      <c r="T174" s="517"/>
    </row>
    <row r="175" spans="1:20" ht="13">
      <c r="A175" s="865">
        <v>3436</v>
      </c>
      <c r="B175" s="866" t="s">
        <v>852</v>
      </c>
      <c r="C175" s="289">
        <f>VLOOKUP($A175,K0kommunestruktur2019!$A$4:$N$425,K0kommunestruktur2020!C$3,FALSE)</f>
        <v>5765</v>
      </c>
      <c r="D175" s="177">
        <f>VLOOKUP($A175,K0kommunestruktur2019!$A$4:$N$425,K0kommunestruktur2020!D$3,FALSE)</f>
        <v>135027</v>
      </c>
      <c r="E175" s="289">
        <f>VLOOKUP($A175,K0kommunestruktur2019!$A$4:$N$425,K0kommunestruktur2020!E$3,FALSE)</f>
        <v>5754</v>
      </c>
      <c r="F175" s="177">
        <f>VLOOKUP($A175,K0kommunestruktur2019!$A$4:$N$425,K0kommunestruktur2020!F$3,FALSE)</f>
        <v>147197</v>
      </c>
      <c r="G175" s="289">
        <f>VLOOKUP($A175,K0kommunestruktur2019!$A$4:$N$425,K0kommunestruktur2020!G$3,FALSE)</f>
        <v>5741</v>
      </c>
      <c r="H175" s="177">
        <f>VLOOKUP($A175,K0kommunestruktur2019!$A$4:$N$425,K0kommunestruktur2020!H$3,FALSE)</f>
        <v>156680</v>
      </c>
      <c r="I175" s="289">
        <f>VLOOKUP($A175,K0kommunestruktur2019!$A$4:$N$425,K0kommunestruktur2020!I$3,FALSE)</f>
        <v>5723</v>
      </c>
      <c r="J175" s="177">
        <f>VLOOKUP($A175,K0kommunestruktur2019!$A$4:$N$425,K0kommunestruktur2020!J$3,FALSE)</f>
        <v>157240</v>
      </c>
      <c r="K175" s="289">
        <f>VLOOKUP($A175,K0kommunestruktur2019!$A$4:$N$425,K0kommunestruktur2020!K$3,FALSE)</f>
        <v>5728</v>
      </c>
      <c r="L175" s="177">
        <f>VLOOKUP($A175,K0kommunestruktur2019!$A$4:$N$425,K0kommunestruktur2020!L$3,FALSE)</f>
        <v>163384</v>
      </c>
      <c r="M175" s="289">
        <f>VLOOKUP($A175,K0kommunestruktur2019!$A$4:$N$425,K0kommunestruktur2020!M$3,FALSE)</f>
        <v>5742</v>
      </c>
      <c r="N175" s="177">
        <f>VLOOKUP($A175,K0kommunestruktur2019!$A$4:$N$425,K0kommunestruktur2020!N$3,FALSE)</f>
        <v>163393</v>
      </c>
      <c r="O175" s="289">
        <f>VLOOKUP(A175,'K20'!$A$4:$BV$359,3)</f>
        <v>5723</v>
      </c>
      <c r="P175" s="289">
        <f>VLOOKUP(A175,'K20'!$A$4:$BV$359,26)</f>
        <v>161716</v>
      </c>
      <c r="R175" s="517"/>
      <c r="S175" s="517"/>
      <c r="T175" s="517"/>
    </row>
    <row r="176" spans="1:20" ht="13">
      <c r="A176" s="865">
        <v>3437</v>
      </c>
      <c r="B176" s="866" t="s">
        <v>853</v>
      </c>
      <c r="C176" s="289">
        <f>VLOOKUP($A176,K0kommunestruktur2019!$A$4:$N$425,K0kommunestruktur2020!C$3,FALSE)</f>
        <v>5974</v>
      </c>
      <c r="D176" s="177">
        <f>VLOOKUP($A176,K0kommunestruktur2019!$A$4:$N$425,K0kommunestruktur2020!D$3,FALSE)</f>
        <v>99876</v>
      </c>
      <c r="E176" s="289">
        <f>VLOOKUP($A176,K0kommunestruktur2019!$A$4:$N$425,K0kommunestruktur2020!E$3,FALSE)</f>
        <v>5965</v>
      </c>
      <c r="F176" s="177">
        <f>VLOOKUP($A176,K0kommunestruktur2019!$A$4:$N$425,K0kommunestruktur2020!F$3,FALSE)</f>
        <v>106162</v>
      </c>
      <c r="G176" s="289">
        <f>VLOOKUP($A176,K0kommunestruktur2019!$A$4:$N$425,K0kommunestruktur2020!G$3,FALSE)</f>
        <v>5935</v>
      </c>
      <c r="H176" s="177">
        <f>VLOOKUP($A176,K0kommunestruktur2019!$A$4:$N$425,K0kommunestruktur2020!H$3,FALSE)</f>
        <v>113135</v>
      </c>
      <c r="I176" s="289">
        <f>VLOOKUP($A176,K0kommunestruktur2019!$A$4:$N$425,K0kommunestruktur2020!I$3,FALSE)</f>
        <v>5916</v>
      </c>
      <c r="J176" s="177">
        <f>VLOOKUP($A176,K0kommunestruktur2019!$A$4:$N$425,K0kommunestruktur2020!J$3,FALSE)</f>
        <v>115631</v>
      </c>
      <c r="K176" s="289">
        <f>VLOOKUP($A176,K0kommunestruktur2019!$A$4:$N$425,K0kommunestruktur2020!K$3,FALSE)</f>
        <v>5872</v>
      </c>
      <c r="L176" s="177">
        <f>VLOOKUP($A176,K0kommunestruktur2019!$A$4:$N$425,K0kommunestruktur2020!L$3,FALSE)</f>
        <v>120218</v>
      </c>
      <c r="M176" s="289">
        <f>VLOOKUP($A176,K0kommunestruktur2019!$A$4:$N$425,K0kommunestruktur2020!M$3,FALSE)</f>
        <v>5789</v>
      </c>
      <c r="N176" s="177">
        <f>VLOOKUP($A176,K0kommunestruktur2019!$A$4:$N$425,K0kommunestruktur2020!N$3,FALSE)</f>
        <v>121998</v>
      </c>
      <c r="O176" s="289">
        <f>VLOOKUP(A176,'K20'!$A$4:$BV$359,3)</f>
        <v>5739</v>
      </c>
      <c r="P176" s="289">
        <f>VLOOKUP(A176,'K20'!$A$4:$BV$359,26)</f>
        <v>121296</v>
      </c>
      <c r="R176" s="517"/>
      <c r="S176" s="517"/>
      <c r="T176" s="517"/>
    </row>
    <row r="177" spans="1:20" ht="13">
      <c r="A177" s="865">
        <v>3438</v>
      </c>
      <c r="B177" s="866" t="s">
        <v>854</v>
      </c>
      <c r="C177" s="289">
        <f>VLOOKUP($A177,K0kommunestruktur2019!$A$4:$N$425,K0kommunestruktur2020!C$3,FALSE)</f>
        <v>3191</v>
      </c>
      <c r="D177" s="177">
        <f>VLOOKUP($A177,K0kommunestruktur2019!$A$4:$N$425,K0kommunestruktur2020!D$3,FALSE)</f>
        <v>71560</v>
      </c>
      <c r="E177" s="289">
        <f>VLOOKUP($A177,K0kommunestruktur2019!$A$4:$N$425,K0kommunestruktur2020!E$3,FALSE)</f>
        <v>3204</v>
      </c>
      <c r="F177" s="177">
        <f>VLOOKUP($A177,K0kommunestruktur2019!$A$4:$N$425,K0kommunestruktur2020!F$3,FALSE)</f>
        <v>72836</v>
      </c>
      <c r="G177" s="289">
        <f>VLOOKUP($A177,K0kommunestruktur2019!$A$4:$N$425,K0kommunestruktur2020!G$3,FALSE)</f>
        <v>3154</v>
      </c>
      <c r="H177" s="177">
        <f>VLOOKUP($A177,K0kommunestruktur2019!$A$4:$N$425,K0kommunestruktur2020!H$3,FALSE)</f>
        <v>80249</v>
      </c>
      <c r="I177" s="289">
        <f>VLOOKUP($A177,K0kommunestruktur2019!$A$4:$N$425,K0kommunestruktur2020!I$3,FALSE)</f>
        <v>3163</v>
      </c>
      <c r="J177" s="177">
        <f>VLOOKUP($A177,K0kommunestruktur2019!$A$4:$N$425,K0kommunestruktur2020!J$3,FALSE)</f>
        <v>81548</v>
      </c>
      <c r="K177" s="289">
        <f>VLOOKUP($A177,K0kommunestruktur2019!$A$4:$N$425,K0kommunestruktur2020!K$3,FALSE)</f>
        <v>3146</v>
      </c>
      <c r="L177" s="177">
        <f>VLOOKUP($A177,K0kommunestruktur2019!$A$4:$N$425,K0kommunestruktur2020!L$3,FALSE)</f>
        <v>85416</v>
      </c>
      <c r="M177" s="289">
        <f>VLOOKUP($A177,K0kommunestruktur2019!$A$4:$N$425,K0kommunestruktur2020!M$3,FALSE)</f>
        <v>3127</v>
      </c>
      <c r="N177" s="177">
        <f>VLOOKUP($A177,K0kommunestruktur2019!$A$4:$N$425,K0kommunestruktur2020!N$3,FALSE)</f>
        <v>86652</v>
      </c>
      <c r="O177" s="289">
        <f>VLOOKUP(A177,'K20'!$A$4:$BV$359,3)</f>
        <v>3119</v>
      </c>
      <c r="P177" s="289">
        <f>VLOOKUP(A177,'K20'!$A$4:$BV$359,26)</f>
        <v>83331</v>
      </c>
      <c r="R177" s="517"/>
      <c r="S177" s="517"/>
      <c r="T177" s="517"/>
    </row>
    <row r="178" spans="1:20" ht="13">
      <c r="A178" s="865">
        <v>3439</v>
      </c>
      <c r="B178" s="866" t="s">
        <v>855</v>
      </c>
      <c r="C178" s="289">
        <f>VLOOKUP($A178,K0kommunestruktur2019!$A$4:$N$425,K0kommunestruktur2020!C$3,FALSE)</f>
        <v>4495</v>
      </c>
      <c r="D178" s="177">
        <f>VLOOKUP($A178,K0kommunestruktur2019!$A$4:$N$425,K0kommunestruktur2020!D$3,FALSE)</f>
        <v>88613</v>
      </c>
      <c r="E178" s="289">
        <f>VLOOKUP($A178,K0kommunestruktur2019!$A$4:$N$425,K0kommunestruktur2020!E$3,FALSE)</f>
        <v>4459</v>
      </c>
      <c r="F178" s="177">
        <f>VLOOKUP($A178,K0kommunestruktur2019!$A$4:$N$425,K0kommunestruktur2020!F$3,FALSE)</f>
        <v>96151</v>
      </c>
      <c r="G178" s="289">
        <f>VLOOKUP($A178,K0kommunestruktur2019!$A$4:$N$425,K0kommunestruktur2020!G$3,FALSE)</f>
        <v>4462</v>
      </c>
      <c r="H178" s="177">
        <f>VLOOKUP($A178,K0kommunestruktur2019!$A$4:$N$425,K0kommunestruktur2020!H$3,FALSE)</f>
        <v>103553</v>
      </c>
      <c r="I178" s="289">
        <f>VLOOKUP($A178,K0kommunestruktur2019!$A$4:$N$425,K0kommunestruktur2020!I$3,FALSE)</f>
        <v>4502</v>
      </c>
      <c r="J178" s="177">
        <f>VLOOKUP($A178,K0kommunestruktur2019!$A$4:$N$425,K0kommunestruktur2020!J$3,FALSE)</f>
        <v>106336</v>
      </c>
      <c r="K178" s="289">
        <f>VLOOKUP($A178,K0kommunestruktur2019!$A$4:$N$425,K0kommunestruktur2020!K$3,FALSE)</f>
        <v>4454</v>
      </c>
      <c r="L178" s="177">
        <f>VLOOKUP($A178,K0kommunestruktur2019!$A$4:$N$425,K0kommunestruktur2020!L$3,FALSE)</f>
        <v>110978</v>
      </c>
      <c r="M178" s="289">
        <f>VLOOKUP($A178,K0kommunestruktur2019!$A$4:$N$425,K0kommunestruktur2020!M$3,FALSE)</f>
        <v>4425</v>
      </c>
      <c r="N178" s="177">
        <f>VLOOKUP($A178,K0kommunestruktur2019!$A$4:$N$425,K0kommunestruktur2020!N$3,FALSE)</f>
        <v>118676</v>
      </c>
      <c r="O178" s="289">
        <f>VLOOKUP(A178,'K20'!$A$4:$BV$359,3)</f>
        <v>4392</v>
      </c>
      <c r="P178" s="289">
        <f>VLOOKUP(A178,'K20'!$A$4:$BV$359,26)</f>
        <v>121117</v>
      </c>
      <c r="R178" s="517"/>
      <c r="S178" s="517"/>
      <c r="T178" s="517"/>
    </row>
    <row r="179" spans="1:20" ht="13">
      <c r="A179" s="865">
        <v>3440</v>
      </c>
      <c r="B179" s="866" t="s">
        <v>856</v>
      </c>
      <c r="C179" s="289">
        <f>VLOOKUP($A179,K0kommunestruktur2019!$A$4:$N$425,K0kommunestruktur2020!C$3,FALSE)</f>
        <v>5090</v>
      </c>
      <c r="D179" s="177">
        <f>VLOOKUP($A179,K0kommunestruktur2019!$A$4:$N$425,K0kommunestruktur2020!D$3,FALSE)</f>
        <v>116095</v>
      </c>
      <c r="E179" s="289">
        <f>VLOOKUP($A179,K0kommunestruktur2019!$A$4:$N$425,K0kommunestruktur2020!E$3,FALSE)</f>
        <v>5065</v>
      </c>
      <c r="F179" s="177">
        <f>VLOOKUP($A179,K0kommunestruktur2019!$A$4:$N$425,K0kommunestruktur2020!F$3,FALSE)</f>
        <v>116092</v>
      </c>
      <c r="G179" s="289">
        <f>VLOOKUP($A179,K0kommunestruktur2019!$A$4:$N$425,K0kommunestruktur2020!G$3,FALSE)</f>
        <v>5072</v>
      </c>
      <c r="H179" s="177">
        <f>VLOOKUP($A179,K0kommunestruktur2019!$A$4:$N$425,K0kommunestruktur2020!H$3,FALSE)</f>
        <v>131318</v>
      </c>
      <c r="I179" s="289">
        <f>VLOOKUP($A179,K0kommunestruktur2019!$A$4:$N$425,K0kommunestruktur2020!I$3,FALSE)</f>
        <v>5082</v>
      </c>
      <c r="J179" s="177">
        <f>VLOOKUP($A179,K0kommunestruktur2019!$A$4:$N$425,K0kommunestruktur2020!J$3,FALSE)</f>
        <v>140354</v>
      </c>
      <c r="K179" s="289">
        <f>VLOOKUP($A179,K0kommunestruktur2019!$A$4:$N$425,K0kommunestruktur2020!K$3,FALSE)</f>
        <v>5130</v>
      </c>
      <c r="L179" s="177">
        <f>VLOOKUP($A179,K0kommunestruktur2019!$A$4:$N$425,K0kommunestruktur2020!L$3,FALSE)</f>
        <v>149306</v>
      </c>
      <c r="M179" s="289">
        <f>VLOOKUP($A179,K0kommunestruktur2019!$A$4:$N$425,K0kommunestruktur2020!M$3,FALSE)</f>
        <v>5119</v>
      </c>
      <c r="N179" s="177">
        <f>VLOOKUP($A179,K0kommunestruktur2019!$A$4:$N$425,K0kommunestruktur2020!N$3,FALSE)</f>
        <v>155837</v>
      </c>
      <c r="O179" s="289">
        <f>VLOOKUP(A179,'K20'!$A$4:$BV$359,3)</f>
        <v>5100</v>
      </c>
      <c r="P179" s="289">
        <f>VLOOKUP(A179,'K20'!$A$4:$BV$359,26)</f>
        <v>154086</v>
      </c>
      <c r="R179" s="517"/>
      <c r="S179" s="517"/>
      <c r="T179" s="517"/>
    </row>
    <row r="180" spans="1:20" ht="13">
      <c r="A180" s="865">
        <v>3441</v>
      </c>
      <c r="B180" s="866" t="s">
        <v>857</v>
      </c>
      <c r="C180" s="289">
        <f>VLOOKUP($A180,K0kommunestruktur2019!$A$4:$N$425,K0kommunestruktur2020!C$3,FALSE)</f>
        <v>6237</v>
      </c>
      <c r="D180" s="177">
        <f>VLOOKUP($A180,K0kommunestruktur2019!$A$4:$N$425,K0kommunestruktur2020!D$3,FALSE)</f>
        <v>121697</v>
      </c>
      <c r="E180" s="289">
        <f>VLOOKUP($A180,K0kommunestruktur2019!$A$4:$N$425,K0kommunestruktur2020!E$3,FALSE)</f>
        <v>6210</v>
      </c>
      <c r="F180" s="177">
        <f>VLOOKUP($A180,K0kommunestruktur2019!$A$4:$N$425,K0kommunestruktur2020!F$3,FALSE)</f>
        <v>129805</v>
      </c>
      <c r="G180" s="289">
        <f>VLOOKUP($A180,K0kommunestruktur2019!$A$4:$N$425,K0kommunestruktur2020!G$3,FALSE)</f>
        <v>6227</v>
      </c>
      <c r="H180" s="177">
        <f>VLOOKUP($A180,K0kommunestruktur2019!$A$4:$N$425,K0kommunestruktur2020!H$3,FALSE)</f>
        <v>141000</v>
      </c>
      <c r="I180" s="289">
        <f>VLOOKUP($A180,K0kommunestruktur2019!$A$4:$N$425,K0kommunestruktur2020!I$3,FALSE)</f>
        <v>6204</v>
      </c>
      <c r="J180" s="177">
        <f>VLOOKUP($A180,K0kommunestruktur2019!$A$4:$N$425,K0kommunestruktur2020!J$3,FALSE)</f>
        <v>148052</v>
      </c>
      <c r="K180" s="289">
        <f>VLOOKUP($A180,K0kommunestruktur2019!$A$4:$N$425,K0kommunestruktur2020!K$3,FALSE)</f>
        <v>6148</v>
      </c>
      <c r="L180" s="177">
        <f>VLOOKUP($A180,K0kommunestruktur2019!$A$4:$N$425,K0kommunestruktur2020!L$3,FALSE)</f>
        <v>156210</v>
      </c>
      <c r="M180" s="289">
        <f>VLOOKUP($A180,K0kommunestruktur2019!$A$4:$N$425,K0kommunestruktur2020!M$3,FALSE)</f>
        <v>6112</v>
      </c>
      <c r="N180" s="177">
        <f>VLOOKUP($A180,K0kommunestruktur2019!$A$4:$N$425,K0kommunestruktur2020!N$3,FALSE)</f>
        <v>158541</v>
      </c>
      <c r="O180" s="289">
        <f>VLOOKUP(A180,'K20'!$A$4:$BV$359,3)</f>
        <v>6106</v>
      </c>
      <c r="P180" s="289">
        <f>VLOOKUP(A180,'K20'!$A$4:$BV$359,26)</f>
        <v>158330</v>
      </c>
      <c r="R180" s="517"/>
      <c r="S180" s="517"/>
      <c r="T180" s="517"/>
    </row>
    <row r="181" spans="1:20" ht="13">
      <c r="A181" s="865">
        <v>3442</v>
      </c>
      <c r="B181" s="866" t="s">
        <v>858</v>
      </c>
      <c r="C181" s="289">
        <f>VLOOKUP($A181,K0kommunestruktur2019!$A$4:$N$425,K0kommunestruktur2020!C$3,FALSE)</f>
        <v>14777</v>
      </c>
      <c r="D181" s="177">
        <f>VLOOKUP($A181,K0kommunestruktur2019!$A$4:$N$425,K0kommunestruktur2020!D$3,FALSE)</f>
        <v>281403</v>
      </c>
      <c r="E181" s="289">
        <f>VLOOKUP($A181,K0kommunestruktur2019!$A$4:$N$425,K0kommunestruktur2020!E$3,FALSE)</f>
        <v>14796</v>
      </c>
      <c r="F181" s="177">
        <f>VLOOKUP($A181,K0kommunestruktur2019!$A$4:$N$425,K0kommunestruktur2020!F$3,FALSE)</f>
        <v>298093</v>
      </c>
      <c r="G181" s="289">
        <f>VLOOKUP($A181,K0kommunestruktur2019!$A$4:$N$425,K0kommunestruktur2020!G$3,FALSE)</f>
        <v>14906</v>
      </c>
      <c r="H181" s="177">
        <f>VLOOKUP($A181,K0kommunestruktur2019!$A$4:$N$425,K0kommunestruktur2020!H$3,FALSE)</f>
        <v>331237</v>
      </c>
      <c r="I181" s="289">
        <f>VLOOKUP($A181,K0kommunestruktur2019!$A$4:$N$425,K0kommunestruktur2020!I$3,FALSE)</f>
        <v>14887</v>
      </c>
      <c r="J181" s="177">
        <f>VLOOKUP($A181,K0kommunestruktur2019!$A$4:$N$425,K0kommunestruktur2020!J$3,FALSE)</f>
        <v>349805</v>
      </c>
      <c r="K181" s="289">
        <f>VLOOKUP($A181,K0kommunestruktur2019!$A$4:$N$425,K0kommunestruktur2020!K$3,FALSE)</f>
        <v>14888</v>
      </c>
      <c r="L181" s="177">
        <f>VLOOKUP($A181,K0kommunestruktur2019!$A$4:$N$425,K0kommunestruktur2020!L$3,FALSE)</f>
        <v>375056</v>
      </c>
      <c r="M181" s="289">
        <f>VLOOKUP($A181,K0kommunestruktur2019!$A$4:$N$425,K0kommunestruktur2020!M$3,FALSE)</f>
        <v>14948</v>
      </c>
      <c r="N181" s="177">
        <f>VLOOKUP($A181,K0kommunestruktur2019!$A$4:$N$425,K0kommunestruktur2020!N$3,FALSE)</f>
        <v>387332</v>
      </c>
      <c r="O181" s="289">
        <f>VLOOKUP(A181,'K20'!$A$4:$BV$359,3)</f>
        <v>14973</v>
      </c>
      <c r="P181" s="289">
        <f>VLOOKUP(A181,'K20'!$A$4:$BV$359,26)</f>
        <v>373661</v>
      </c>
      <c r="R181" s="517"/>
      <c r="S181" s="517"/>
      <c r="T181" s="517"/>
    </row>
    <row r="182" spans="1:20" ht="13">
      <c r="A182" s="865">
        <v>3443</v>
      </c>
      <c r="B182" s="866" t="s">
        <v>859</v>
      </c>
      <c r="C182" s="289">
        <f>VLOOKUP($A182,K0kommunestruktur2019!$A$4:$N$425,K0kommunestruktur2020!C$3,FALSE)</f>
        <v>13075</v>
      </c>
      <c r="D182" s="177">
        <f>VLOOKUP($A182,K0kommunestruktur2019!$A$4:$N$425,K0kommunestruktur2020!D$3,FALSE)</f>
        <v>248655</v>
      </c>
      <c r="E182" s="289">
        <f>VLOOKUP($A182,K0kommunestruktur2019!$A$4:$N$425,K0kommunestruktur2020!E$3,FALSE)</f>
        <v>13152</v>
      </c>
      <c r="F182" s="177">
        <f>VLOOKUP($A182,K0kommunestruktur2019!$A$4:$N$425,K0kommunestruktur2020!F$3,FALSE)</f>
        <v>268292</v>
      </c>
      <c r="G182" s="289">
        <f>VLOOKUP($A182,K0kommunestruktur2019!$A$4:$N$425,K0kommunestruktur2020!G$3,FALSE)</f>
        <v>13180</v>
      </c>
      <c r="H182" s="177">
        <f>VLOOKUP($A182,K0kommunestruktur2019!$A$4:$N$425,K0kommunestruktur2020!H$3,FALSE)</f>
        <v>289291</v>
      </c>
      <c r="I182" s="289">
        <f>VLOOKUP($A182,K0kommunestruktur2019!$A$4:$N$425,K0kommunestruktur2020!I$3,FALSE)</f>
        <v>13179</v>
      </c>
      <c r="J182" s="177">
        <f>VLOOKUP($A182,K0kommunestruktur2019!$A$4:$N$425,K0kommunestruktur2020!J$3,FALSE)</f>
        <v>298912</v>
      </c>
      <c r="K182" s="289">
        <f>VLOOKUP($A182,K0kommunestruktur2019!$A$4:$N$425,K0kommunestruktur2020!K$3,FALSE)</f>
        <v>13314</v>
      </c>
      <c r="L182" s="177">
        <f>VLOOKUP($A182,K0kommunestruktur2019!$A$4:$N$425,K0kommunestruktur2020!L$3,FALSE)</f>
        <v>319630</v>
      </c>
      <c r="M182" s="289">
        <f>VLOOKUP($A182,K0kommunestruktur2019!$A$4:$N$425,K0kommunestruktur2020!M$3,FALSE)</f>
        <v>13384</v>
      </c>
      <c r="N182" s="177">
        <f>VLOOKUP($A182,K0kommunestruktur2019!$A$4:$N$425,K0kommunestruktur2020!N$3,FALSE)</f>
        <v>330293</v>
      </c>
      <c r="O182" s="289">
        <f>VLOOKUP(A182,'K20'!$A$4:$BV$359,3)</f>
        <v>13427</v>
      </c>
      <c r="P182" s="289">
        <f>VLOOKUP(A182,'K20'!$A$4:$BV$359,26)</f>
        <v>322511</v>
      </c>
      <c r="R182" s="517"/>
      <c r="S182" s="517"/>
      <c r="T182" s="517"/>
    </row>
    <row r="183" spans="1:20" ht="13">
      <c r="A183" s="865">
        <v>3446</v>
      </c>
      <c r="B183" s="866" t="s">
        <v>862</v>
      </c>
      <c r="C183" s="289">
        <f>VLOOKUP($A183,K0kommunestruktur2019!$A$4:$N$425,K0kommunestruktur2020!C$3,FALSE)</f>
        <v>13607</v>
      </c>
      <c r="D183" s="177">
        <f>VLOOKUP($A183,K0kommunestruktur2019!$A$4:$N$425,K0kommunestruktur2020!D$3,FALSE)</f>
        <v>275643</v>
      </c>
      <c r="E183" s="289">
        <f>VLOOKUP($A183,K0kommunestruktur2019!$A$4:$N$425,K0kommunestruktur2020!E$3,FALSE)</f>
        <v>13685</v>
      </c>
      <c r="F183" s="177">
        <f>VLOOKUP($A183,K0kommunestruktur2019!$A$4:$N$425,K0kommunestruktur2020!F$3,FALSE)</f>
        <v>299360</v>
      </c>
      <c r="G183" s="289">
        <f>VLOOKUP($A183,K0kommunestruktur2019!$A$4:$N$425,K0kommunestruktur2020!G$3,FALSE)</f>
        <v>13695</v>
      </c>
      <c r="H183" s="177">
        <f>VLOOKUP($A183,K0kommunestruktur2019!$A$4:$N$425,K0kommunestruktur2020!H$3,FALSE)</f>
        <v>330694</v>
      </c>
      <c r="I183" s="289">
        <f>VLOOKUP($A183,K0kommunestruktur2019!$A$4:$N$425,K0kommunestruktur2020!I$3,FALSE)</f>
        <v>13707</v>
      </c>
      <c r="J183" s="177">
        <f>VLOOKUP($A183,K0kommunestruktur2019!$A$4:$N$425,K0kommunestruktur2020!J$3,FALSE)</f>
        <v>341304</v>
      </c>
      <c r="K183" s="289">
        <f>VLOOKUP($A183,K0kommunestruktur2019!$A$4:$N$425,K0kommunestruktur2020!K$3,FALSE)</f>
        <v>13770</v>
      </c>
      <c r="L183" s="177">
        <f>VLOOKUP($A183,K0kommunestruktur2019!$A$4:$N$425,K0kommunestruktur2020!L$3,FALSE)</f>
        <v>356430</v>
      </c>
      <c r="M183" s="289">
        <f>VLOOKUP($A183,K0kommunestruktur2019!$A$4:$N$425,K0kommunestruktur2020!M$3,FALSE)</f>
        <v>13642</v>
      </c>
      <c r="N183" s="177">
        <f>VLOOKUP($A183,K0kommunestruktur2019!$A$4:$N$425,K0kommunestruktur2020!N$3,FALSE)</f>
        <v>362027</v>
      </c>
      <c r="O183" s="289">
        <f>VLOOKUP(A183,'K20'!$A$4:$BV$359,3)</f>
        <v>13630</v>
      </c>
      <c r="P183" s="289">
        <f>VLOOKUP(A183,'K20'!$A$4:$BV$359,26)</f>
        <v>358274</v>
      </c>
      <c r="R183" s="517"/>
      <c r="S183" s="517"/>
      <c r="T183" s="517"/>
    </row>
    <row r="184" spans="1:20" ht="13">
      <c r="A184" s="865">
        <v>3447</v>
      </c>
      <c r="B184" s="866" t="s">
        <v>863</v>
      </c>
      <c r="C184" s="289">
        <f>VLOOKUP($A184,K0kommunestruktur2019!$A$4:$N$425,K0kommunestruktur2020!C$3,FALSE)</f>
        <v>5701</v>
      </c>
      <c r="D184" s="177">
        <f>VLOOKUP($A184,K0kommunestruktur2019!$A$4:$N$425,K0kommunestruktur2020!D$3,FALSE)</f>
        <v>93534</v>
      </c>
      <c r="E184" s="289">
        <f>VLOOKUP($A184,K0kommunestruktur2019!$A$4:$N$425,K0kommunestruktur2020!E$3,FALSE)</f>
        <v>5772</v>
      </c>
      <c r="F184" s="177">
        <f>VLOOKUP($A184,K0kommunestruktur2019!$A$4:$N$425,K0kommunestruktur2020!F$3,FALSE)</f>
        <v>99452</v>
      </c>
      <c r="G184" s="289">
        <f>VLOOKUP($A184,K0kommunestruktur2019!$A$4:$N$425,K0kommunestruktur2020!G$3,FALSE)</f>
        <v>5758</v>
      </c>
      <c r="H184" s="177">
        <f>VLOOKUP($A184,K0kommunestruktur2019!$A$4:$N$425,K0kommunestruktur2020!H$3,FALSE)</f>
        <v>111262</v>
      </c>
      <c r="I184" s="289">
        <f>VLOOKUP($A184,K0kommunestruktur2019!$A$4:$N$425,K0kommunestruktur2020!I$3,FALSE)</f>
        <v>5717</v>
      </c>
      <c r="J184" s="177">
        <f>VLOOKUP($A184,K0kommunestruktur2019!$A$4:$N$425,K0kommunestruktur2020!J$3,FALSE)</f>
        <v>114902</v>
      </c>
      <c r="K184" s="289">
        <f>VLOOKUP($A184,K0kommunestruktur2019!$A$4:$N$425,K0kommunestruktur2020!K$3,FALSE)</f>
        <v>5650</v>
      </c>
      <c r="L184" s="177">
        <f>VLOOKUP($A184,K0kommunestruktur2019!$A$4:$N$425,K0kommunestruktur2020!L$3,FALSE)</f>
        <v>118346</v>
      </c>
      <c r="M184" s="289">
        <f>VLOOKUP($A184,K0kommunestruktur2019!$A$4:$N$425,K0kommunestruktur2020!M$3,FALSE)</f>
        <v>5623</v>
      </c>
      <c r="N184" s="177">
        <f>VLOOKUP($A184,K0kommunestruktur2019!$A$4:$N$425,K0kommunestruktur2020!N$3,FALSE)</f>
        <v>123933</v>
      </c>
      <c r="O184" s="289">
        <f>VLOOKUP(A184,'K20'!$A$4:$BV$359,3)</f>
        <v>5617</v>
      </c>
      <c r="P184" s="289">
        <f>VLOOKUP(A184,'K20'!$A$4:$BV$359,26)</f>
        <v>121468</v>
      </c>
      <c r="R184" s="517"/>
      <c r="S184" s="517"/>
      <c r="T184" s="517"/>
    </row>
    <row r="185" spans="1:20" ht="13">
      <c r="A185" s="865">
        <v>3448</v>
      </c>
      <c r="B185" s="866" t="s">
        <v>864</v>
      </c>
      <c r="C185" s="289">
        <f>VLOOKUP($A185,K0kommunestruktur2019!$A$4:$N$425,K0kommunestruktur2020!C$3,FALSE)</f>
        <v>6700</v>
      </c>
      <c r="D185" s="177">
        <f>VLOOKUP($A185,K0kommunestruktur2019!$A$4:$N$425,K0kommunestruktur2020!D$3,FALSE)</f>
        <v>119053</v>
      </c>
      <c r="E185" s="289">
        <f>VLOOKUP($A185,K0kommunestruktur2019!$A$4:$N$425,K0kommunestruktur2020!E$3,FALSE)</f>
        <v>6740</v>
      </c>
      <c r="F185" s="177">
        <f>VLOOKUP($A185,K0kommunestruktur2019!$A$4:$N$425,K0kommunestruktur2020!F$3,FALSE)</f>
        <v>130066</v>
      </c>
      <c r="G185" s="289">
        <f>VLOOKUP($A185,K0kommunestruktur2019!$A$4:$N$425,K0kommunestruktur2020!G$3,FALSE)</f>
        <v>6751</v>
      </c>
      <c r="H185" s="177">
        <f>VLOOKUP($A185,K0kommunestruktur2019!$A$4:$N$425,K0kommunestruktur2020!H$3,FALSE)</f>
        <v>140247</v>
      </c>
      <c r="I185" s="289">
        <f>VLOOKUP($A185,K0kommunestruktur2019!$A$4:$N$425,K0kommunestruktur2020!I$3,FALSE)</f>
        <v>6773</v>
      </c>
      <c r="J185" s="177">
        <f>VLOOKUP($A185,K0kommunestruktur2019!$A$4:$N$425,K0kommunestruktur2020!J$3,FALSE)</f>
        <v>144949</v>
      </c>
      <c r="K185" s="289">
        <f>VLOOKUP($A185,K0kommunestruktur2019!$A$4:$N$425,K0kommunestruktur2020!K$3,FALSE)</f>
        <v>6750</v>
      </c>
      <c r="L185" s="177">
        <f>VLOOKUP($A185,K0kommunestruktur2019!$A$4:$N$425,K0kommunestruktur2020!L$3,FALSE)</f>
        <v>148417</v>
      </c>
      <c r="M185" s="289">
        <f>VLOOKUP($A185,K0kommunestruktur2019!$A$4:$N$425,K0kommunestruktur2020!M$3,FALSE)</f>
        <v>6671</v>
      </c>
      <c r="N185" s="177">
        <f>VLOOKUP($A185,K0kommunestruktur2019!$A$4:$N$425,K0kommunestruktur2020!N$3,FALSE)</f>
        <v>155140</v>
      </c>
      <c r="O185" s="289">
        <f>VLOOKUP(A185,'K20'!$A$4:$BV$359,3)</f>
        <v>6633</v>
      </c>
      <c r="P185" s="289">
        <f>VLOOKUP(A185,'K20'!$A$4:$BV$359,26)</f>
        <v>152361</v>
      </c>
      <c r="R185" s="517"/>
      <c r="S185" s="517"/>
      <c r="T185" s="517"/>
    </row>
    <row r="186" spans="1:20" ht="13">
      <c r="A186" s="865">
        <v>3449</v>
      </c>
      <c r="B186" s="866" t="s">
        <v>865</v>
      </c>
      <c r="C186" s="289">
        <f>VLOOKUP($A186,K0kommunestruktur2019!$A$4:$N$425,K0kommunestruktur2020!C$3,FALSE)</f>
        <v>3133</v>
      </c>
      <c r="D186" s="177">
        <f>VLOOKUP($A186,K0kommunestruktur2019!$A$4:$N$425,K0kommunestruktur2020!D$3,FALSE)</f>
        <v>62100</v>
      </c>
      <c r="E186" s="289">
        <f>VLOOKUP($A186,K0kommunestruktur2019!$A$4:$N$425,K0kommunestruktur2020!E$3,FALSE)</f>
        <v>3094</v>
      </c>
      <c r="F186" s="177">
        <f>VLOOKUP($A186,K0kommunestruktur2019!$A$4:$N$425,K0kommunestruktur2020!F$3,FALSE)</f>
        <v>64195</v>
      </c>
      <c r="G186" s="289">
        <f>VLOOKUP($A186,K0kommunestruktur2019!$A$4:$N$425,K0kommunestruktur2020!G$3,FALSE)</f>
        <v>3058</v>
      </c>
      <c r="H186" s="177">
        <f>VLOOKUP($A186,K0kommunestruktur2019!$A$4:$N$425,K0kommunestruktur2020!H$3,FALSE)</f>
        <v>66787</v>
      </c>
      <c r="I186" s="289">
        <f>VLOOKUP($A186,K0kommunestruktur2019!$A$4:$N$425,K0kommunestruktur2020!I$3,FALSE)</f>
        <v>3026</v>
      </c>
      <c r="J186" s="177">
        <f>VLOOKUP($A186,K0kommunestruktur2019!$A$4:$N$425,K0kommunestruktur2020!J$3,FALSE)</f>
        <v>67880</v>
      </c>
      <c r="K186" s="289">
        <f>VLOOKUP($A186,K0kommunestruktur2019!$A$4:$N$425,K0kommunestruktur2020!K$3,FALSE)</f>
        <v>3014</v>
      </c>
      <c r="L186" s="177">
        <f>VLOOKUP($A186,K0kommunestruktur2019!$A$4:$N$425,K0kommunestruktur2020!L$3,FALSE)</f>
        <v>73595</v>
      </c>
      <c r="M186" s="289">
        <f>VLOOKUP($A186,K0kommunestruktur2019!$A$4:$N$425,K0kommunestruktur2020!M$3,FALSE)</f>
        <v>2981</v>
      </c>
      <c r="N186" s="177">
        <f>VLOOKUP($A186,K0kommunestruktur2019!$A$4:$N$425,K0kommunestruktur2020!N$3,FALSE)</f>
        <v>74443</v>
      </c>
      <c r="O186" s="289">
        <f>VLOOKUP(A186,'K20'!$A$4:$BV$359,3)</f>
        <v>2954</v>
      </c>
      <c r="P186" s="289">
        <f>VLOOKUP(A186,'K20'!$A$4:$BV$359,26)</f>
        <v>72905</v>
      </c>
      <c r="R186" s="517"/>
      <c r="S186" s="517"/>
      <c r="T186" s="517"/>
    </row>
    <row r="187" spans="1:20" ht="13">
      <c r="A187" s="865">
        <v>3450</v>
      </c>
      <c r="B187" s="866" t="s">
        <v>866</v>
      </c>
      <c r="C187" s="289">
        <f>VLOOKUP($A187,K0kommunestruktur2019!$A$4:$N$425,K0kommunestruktur2020!C$3,FALSE)</f>
        <v>1408</v>
      </c>
      <c r="D187" s="177">
        <f>VLOOKUP($A187,K0kommunestruktur2019!$A$4:$N$425,K0kommunestruktur2020!D$3,FALSE)</f>
        <v>23718</v>
      </c>
      <c r="E187" s="289">
        <f>VLOOKUP($A187,K0kommunestruktur2019!$A$4:$N$425,K0kommunestruktur2020!E$3,FALSE)</f>
        <v>1402</v>
      </c>
      <c r="F187" s="177">
        <f>VLOOKUP($A187,K0kommunestruktur2019!$A$4:$N$425,K0kommunestruktur2020!F$3,FALSE)</f>
        <v>24754</v>
      </c>
      <c r="G187" s="289">
        <f>VLOOKUP($A187,K0kommunestruktur2019!$A$4:$N$425,K0kommunestruktur2020!G$3,FALSE)</f>
        <v>1321</v>
      </c>
      <c r="H187" s="177">
        <f>VLOOKUP($A187,K0kommunestruktur2019!$A$4:$N$425,K0kommunestruktur2020!H$3,FALSE)</f>
        <v>28197</v>
      </c>
      <c r="I187" s="289">
        <f>VLOOKUP($A187,K0kommunestruktur2019!$A$4:$N$425,K0kommunestruktur2020!I$3,FALSE)</f>
        <v>1351</v>
      </c>
      <c r="J187" s="177">
        <f>VLOOKUP($A187,K0kommunestruktur2019!$A$4:$N$425,K0kommunestruktur2020!J$3,FALSE)</f>
        <v>32167</v>
      </c>
      <c r="K187" s="289">
        <f>VLOOKUP($A187,K0kommunestruktur2019!$A$4:$N$425,K0kommunestruktur2020!K$3,FALSE)</f>
        <v>1352</v>
      </c>
      <c r="L187" s="177">
        <f>VLOOKUP($A187,K0kommunestruktur2019!$A$4:$N$425,K0kommunestruktur2020!L$3,FALSE)</f>
        <v>32388</v>
      </c>
      <c r="M187" s="289">
        <f>VLOOKUP($A187,K0kommunestruktur2019!$A$4:$N$425,K0kommunestruktur2020!M$3,FALSE)</f>
        <v>1305</v>
      </c>
      <c r="N187" s="177">
        <f>VLOOKUP($A187,K0kommunestruktur2019!$A$4:$N$425,K0kommunestruktur2020!N$3,FALSE)</f>
        <v>30753</v>
      </c>
      <c r="O187" s="289">
        <f>VLOOKUP(A187,'K20'!$A$4:$BV$359,3)</f>
        <v>1279</v>
      </c>
      <c r="P187" s="289">
        <f>VLOOKUP(A187,'K20'!$A$4:$BV$359,26)</f>
        <v>30806</v>
      </c>
      <c r="R187" s="517"/>
      <c r="S187" s="517"/>
      <c r="T187" s="517"/>
    </row>
    <row r="188" spans="1:20" ht="13">
      <c r="A188" s="865">
        <v>3451</v>
      </c>
      <c r="B188" s="866" t="s">
        <v>867</v>
      </c>
      <c r="C188" s="289">
        <f>VLOOKUP($A188,K0kommunestruktur2019!$A$4:$N$425,K0kommunestruktur2020!C$3,FALSE)</f>
        <v>6417</v>
      </c>
      <c r="D188" s="177">
        <f>VLOOKUP($A188,K0kommunestruktur2019!$A$4:$N$425,K0kommunestruktur2020!D$3,FALSE)</f>
        <v>138198</v>
      </c>
      <c r="E188" s="289">
        <f>VLOOKUP($A188,K0kommunestruktur2019!$A$4:$N$425,K0kommunestruktur2020!E$3,FALSE)</f>
        <v>6466</v>
      </c>
      <c r="F188" s="177">
        <f>VLOOKUP($A188,K0kommunestruktur2019!$A$4:$N$425,K0kommunestruktur2020!F$3,FALSE)</f>
        <v>144388</v>
      </c>
      <c r="G188" s="289">
        <f>VLOOKUP($A188,K0kommunestruktur2019!$A$4:$N$425,K0kommunestruktur2020!G$3,FALSE)</f>
        <v>6458</v>
      </c>
      <c r="H188" s="177">
        <f>VLOOKUP($A188,K0kommunestruktur2019!$A$4:$N$425,K0kommunestruktur2020!H$3,FALSE)</f>
        <v>160812</v>
      </c>
      <c r="I188" s="289">
        <f>VLOOKUP($A188,K0kommunestruktur2019!$A$4:$N$425,K0kommunestruktur2020!I$3,FALSE)</f>
        <v>6490</v>
      </c>
      <c r="J188" s="177">
        <f>VLOOKUP($A188,K0kommunestruktur2019!$A$4:$N$425,K0kommunestruktur2020!J$3,FALSE)</f>
        <v>168668</v>
      </c>
      <c r="K188" s="289">
        <f>VLOOKUP($A188,K0kommunestruktur2019!$A$4:$N$425,K0kommunestruktur2020!K$3,FALSE)</f>
        <v>6443</v>
      </c>
      <c r="L188" s="177">
        <f>VLOOKUP($A188,K0kommunestruktur2019!$A$4:$N$425,K0kommunestruktur2020!L$3,FALSE)</f>
        <v>174124</v>
      </c>
      <c r="M188" s="289">
        <f>VLOOKUP($A188,K0kommunestruktur2019!$A$4:$N$425,K0kommunestruktur2020!M$3,FALSE)</f>
        <v>6418</v>
      </c>
      <c r="N188" s="177">
        <f>VLOOKUP($A188,K0kommunestruktur2019!$A$4:$N$425,K0kommunestruktur2020!N$3,FALSE)</f>
        <v>177318</v>
      </c>
      <c r="O188" s="289">
        <f>VLOOKUP(A188,'K20'!$A$4:$BV$359,3)</f>
        <v>6413</v>
      </c>
      <c r="P188" s="289">
        <f>VLOOKUP(A188,'K20'!$A$4:$BV$359,26)</f>
        <v>172307</v>
      </c>
      <c r="R188" s="517"/>
      <c r="S188" s="517"/>
      <c r="T188" s="517"/>
    </row>
    <row r="189" spans="1:20" ht="13">
      <c r="A189" s="865">
        <v>3452</v>
      </c>
      <c r="B189" s="866" t="s">
        <v>868</v>
      </c>
      <c r="C189" s="289">
        <f>VLOOKUP($A189,K0kommunestruktur2019!$A$4:$N$425,K0kommunestruktur2020!C$3,FALSE)</f>
        <v>2187</v>
      </c>
      <c r="D189" s="177">
        <f>VLOOKUP($A189,K0kommunestruktur2019!$A$4:$N$425,K0kommunestruktur2020!D$3,FALSE)</f>
        <v>48337</v>
      </c>
      <c r="E189" s="289">
        <f>VLOOKUP($A189,K0kommunestruktur2019!$A$4:$N$425,K0kommunestruktur2020!E$3,FALSE)</f>
        <v>2180</v>
      </c>
      <c r="F189" s="177">
        <f>VLOOKUP($A189,K0kommunestruktur2019!$A$4:$N$425,K0kommunestruktur2020!F$3,FALSE)</f>
        <v>50874</v>
      </c>
      <c r="G189" s="289">
        <f>VLOOKUP($A189,K0kommunestruktur2019!$A$4:$N$425,K0kommunestruktur2020!G$3,FALSE)</f>
        <v>2168</v>
      </c>
      <c r="H189" s="177">
        <f>VLOOKUP($A189,K0kommunestruktur2019!$A$4:$N$425,K0kommunestruktur2020!H$3,FALSE)</f>
        <v>54249</v>
      </c>
      <c r="I189" s="289">
        <f>VLOOKUP($A189,K0kommunestruktur2019!$A$4:$N$425,K0kommunestruktur2020!I$3,FALSE)</f>
        <v>2114</v>
      </c>
      <c r="J189" s="177">
        <f>VLOOKUP($A189,K0kommunestruktur2019!$A$4:$N$425,K0kommunestruktur2020!J$3,FALSE)</f>
        <v>56445</v>
      </c>
      <c r="K189" s="289">
        <f>VLOOKUP($A189,K0kommunestruktur2019!$A$4:$N$425,K0kommunestruktur2020!K$3,FALSE)</f>
        <v>2139</v>
      </c>
      <c r="L189" s="177">
        <f>VLOOKUP($A189,K0kommunestruktur2019!$A$4:$N$425,K0kommunestruktur2020!L$3,FALSE)</f>
        <v>61276</v>
      </c>
      <c r="M189" s="289">
        <f>VLOOKUP($A189,K0kommunestruktur2019!$A$4:$N$425,K0kommunestruktur2020!M$3,FALSE)</f>
        <v>2135</v>
      </c>
      <c r="N189" s="177">
        <f>VLOOKUP($A189,K0kommunestruktur2019!$A$4:$N$425,K0kommunestruktur2020!N$3,FALSE)</f>
        <v>67700</v>
      </c>
      <c r="O189" s="289">
        <f>VLOOKUP(A189,'K20'!$A$4:$BV$359,3)</f>
        <v>2125</v>
      </c>
      <c r="P189" s="289">
        <f>VLOOKUP(A189,'K20'!$A$4:$BV$359,26)</f>
        <v>64621</v>
      </c>
      <c r="R189" s="517"/>
      <c r="S189" s="517"/>
      <c r="T189" s="517"/>
    </row>
    <row r="190" spans="1:20" ht="13">
      <c r="A190" s="865">
        <v>3453</v>
      </c>
      <c r="B190" s="866" t="s">
        <v>869</v>
      </c>
      <c r="C190" s="289">
        <f>VLOOKUP($A190,K0kommunestruktur2019!$A$4:$N$425,K0kommunestruktur2020!C$3,FALSE)</f>
        <v>3206</v>
      </c>
      <c r="D190" s="177">
        <f>VLOOKUP($A190,K0kommunestruktur2019!$A$4:$N$425,K0kommunestruktur2020!D$3,FALSE)</f>
        <v>73934</v>
      </c>
      <c r="E190" s="289">
        <f>VLOOKUP($A190,K0kommunestruktur2019!$A$4:$N$425,K0kommunestruktur2020!E$3,FALSE)</f>
        <v>3199</v>
      </c>
      <c r="F190" s="177">
        <f>VLOOKUP($A190,K0kommunestruktur2019!$A$4:$N$425,K0kommunestruktur2020!F$3,FALSE)</f>
        <v>80327</v>
      </c>
      <c r="G190" s="289">
        <f>VLOOKUP($A190,K0kommunestruktur2019!$A$4:$N$425,K0kommunestruktur2020!G$3,FALSE)</f>
        <v>3220</v>
      </c>
      <c r="H190" s="177">
        <f>VLOOKUP($A190,K0kommunestruktur2019!$A$4:$N$425,K0kommunestruktur2020!H$3,FALSE)</f>
        <v>81838</v>
      </c>
      <c r="I190" s="289">
        <f>VLOOKUP($A190,K0kommunestruktur2019!$A$4:$N$425,K0kommunestruktur2020!I$3,FALSE)</f>
        <v>3248</v>
      </c>
      <c r="J190" s="177">
        <f>VLOOKUP($A190,K0kommunestruktur2019!$A$4:$N$425,K0kommunestruktur2020!J$3,FALSE)</f>
        <v>90424</v>
      </c>
      <c r="K190" s="289">
        <f>VLOOKUP($A190,K0kommunestruktur2019!$A$4:$N$425,K0kommunestruktur2020!K$3,FALSE)</f>
        <v>3221</v>
      </c>
      <c r="L190" s="177">
        <f>VLOOKUP($A190,K0kommunestruktur2019!$A$4:$N$425,K0kommunestruktur2020!L$3,FALSE)</f>
        <v>96866</v>
      </c>
      <c r="M190" s="289">
        <f>VLOOKUP($A190,K0kommunestruktur2019!$A$4:$N$425,K0kommunestruktur2020!M$3,FALSE)</f>
        <v>3208</v>
      </c>
      <c r="N190" s="177">
        <f>VLOOKUP($A190,K0kommunestruktur2019!$A$4:$N$425,K0kommunestruktur2020!N$3,FALSE)</f>
        <v>101589</v>
      </c>
      <c r="O190" s="289">
        <f>VLOOKUP(A190,'K20'!$A$4:$BV$359,3)</f>
        <v>3229</v>
      </c>
      <c r="P190" s="289">
        <f>VLOOKUP(A190,'K20'!$A$4:$BV$359,26)</f>
        <v>101483</v>
      </c>
      <c r="R190" s="517"/>
      <c r="S190" s="517"/>
      <c r="T190" s="517"/>
    </row>
    <row r="191" spans="1:20" ht="13">
      <c r="A191" s="865">
        <v>3454</v>
      </c>
      <c r="B191" s="866" t="s">
        <v>870</v>
      </c>
      <c r="C191" s="289">
        <f>VLOOKUP($A191,K0kommunestruktur2019!$A$4:$N$425,K0kommunestruktur2020!C$3,FALSE)</f>
        <v>1602</v>
      </c>
      <c r="D191" s="177">
        <f>VLOOKUP($A191,K0kommunestruktur2019!$A$4:$N$425,K0kommunestruktur2020!D$3,FALSE)</f>
        <v>38293</v>
      </c>
      <c r="E191" s="289">
        <f>VLOOKUP($A191,K0kommunestruktur2019!$A$4:$N$425,K0kommunestruktur2020!E$3,FALSE)</f>
        <v>1619</v>
      </c>
      <c r="F191" s="177">
        <f>VLOOKUP($A191,K0kommunestruktur2019!$A$4:$N$425,K0kommunestruktur2020!F$3,FALSE)</f>
        <v>37972</v>
      </c>
      <c r="G191" s="289">
        <f>VLOOKUP($A191,K0kommunestruktur2019!$A$4:$N$425,K0kommunestruktur2020!G$3,FALSE)</f>
        <v>1590</v>
      </c>
      <c r="H191" s="177">
        <f>VLOOKUP($A191,K0kommunestruktur2019!$A$4:$N$425,K0kommunestruktur2020!H$3,FALSE)</f>
        <v>44551</v>
      </c>
      <c r="I191" s="289">
        <f>VLOOKUP($A191,K0kommunestruktur2019!$A$4:$N$425,K0kommunestruktur2020!I$3,FALSE)</f>
        <v>1596</v>
      </c>
      <c r="J191" s="177">
        <f>VLOOKUP($A191,K0kommunestruktur2019!$A$4:$N$425,K0kommunestruktur2020!J$3,FALSE)</f>
        <v>45896</v>
      </c>
      <c r="K191" s="289">
        <f>VLOOKUP($A191,K0kommunestruktur2019!$A$4:$N$425,K0kommunestruktur2020!K$3,FALSE)</f>
        <v>1601</v>
      </c>
      <c r="L191" s="177">
        <f>VLOOKUP($A191,K0kommunestruktur2019!$A$4:$N$425,K0kommunestruktur2020!L$3,FALSE)</f>
        <v>47228</v>
      </c>
      <c r="M191" s="289">
        <f>VLOOKUP($A191,K0kommunestruktur2019!$A$4:$N$425,K0kommunestruktur2020!M$3,FALSE)</f>
        <v>1610</v>
      </c>
      <c r="N191" s="177">
        <f>VLOOKUP($A191,K0kommunestruktur2019!$A$4:$N$425,K0kommunestruktur2020!N$3,FALSE)</f>
        <v>49799</v>
      </c>
      <c r="O191" s="289">
        <f>VLOOKUP(A191,'K20'!$A$4:$BV$359,3)</f>
        <v>1578</v>
      </c>
      <c r="P191" s="289">
        <f>VLOOKUP(A191,'K20'!$A$4:$BV$359,26)</f>
        <v>45794</v>
      </c>
      <c r="R191" s="517"/>
      <c r="S191" s="517"/>
      <c r="T191" s="517"/>
    </row>
    <row r="192" spans="1:20" ht="13">
      <c r="A192" s="889">
        <v>3801</v>
      </c>
      <c r="B192" s="890" t="s">
        <v>346</v>
      </c>
      <c r="C192" s="289">
        <f t="shared" ref="C192:N192" si="22">+C$460+C$461</f>
        <v>26763.72272627</v>
      </c>
      <c r="D192" s="177">
        <f t="shared" si="22"/>
        <v>552794.78320030717</v>
      </c>
      <c r="E192" s="289">
        <f t="shared" si="22"/>
        <v>26915.795017190001</v>
      </c>
      <c r="F192" s="177">
        <f t="shared" si="22"/>
        <v>580094.76084719505</v>
      </c>
      <c r="G192" s="289">
        <f t="shared" si="22"/>
        <v>27190.92580669</v>
      </c>
      <c r="H192" s="177">
        <f t="shared" si="22"/>
        <v>637628.11059491883</v>
      </c>
      <c r="I192" s="289">
        <f t="shared" si="22"/>
        <v>27214.93722104</v>
      </c>
      <c r="J192" s="177">
        <f t="shared" si="22"/>
        <v>663810.55699852714</v>
      </c>
      <c r="K192" s="289">
        <f t="shared" si="22"/>
        <v>27329.99191483</v>
      </c>
      <c r="L192" s="177">
        <f t="shared" si="22"/>
        <v>672710.78791977372</v>
      </c>
      <c r="M192" s="289">
        <f t="shared" si="22"/>
        <v>27347</v>
      </c>
      <c r="N192" s="177">
        <f t="shared" si="22"/>
        <v>692604.24471354357</v>
      </c>
      <c r="O192" s="289">
        <f>VLOOKUP(A192,'K20'!$A$4:$BV$359,3)</f>
        <v>27351</v>
      </c>
      <c r="P192" s="289">
        <f>VLOOKUP(A192,'K20'!$A$4:$BV$359,26)</f>
        <v>688211</v>
      </c>
      <c r="R192" s="517"/>
      <c r="S192" s="517"/>
      <c r="T192" s="517"/>
    </row>
    <row r="193" spans="1:20" ht="13">
      <c r="A193" s="878">
        <v>3802</v>
      </c>
      <c r="B193" s="883" t="s">
        <v>1625</v>
      </c>
      <c r="C193" s="289">
        <f t="shared" ref="C193:N193" si="23">+C$463+C$464+C$465</f>
        <v>22698.35703399</v>
      </c>
      <c r="D193" s="177">
        <f t="shared" si="23"/>
        <v>493595.53915560583</v>
      </c>
      <c r="E193" s="289">
        <f t="shared" si="23"/>
        <v>23041.098908340002</v>
      </c>
      <c r="F193" s="177">
        <f t="shared" si="23"/>
        <v>529476.89450047095</v>
      </c>
      <c r="G193" s="289">
        <f t="shared" si="23"/>
        <v>23319.513862</v>
      </c>
      <c r="H193" s="177">
        <f t="shared" si="23"/>
        <v>589331.0839959326</v>
      </c>
      <c r="I193" s="289">
        <f t="shared" si="23"/>
        <v>23653.209763129998</v>
      </c>
      <c r="J193" s="177">
        <f t="shared" si="23"/>
        <v>624060.58541707485</v>
      </c>
      <c r="K193" s="289">
        <f t="shared" si="23"/>
        <v>24060.278558189999</v>
      </c>
      <c r="L193" s="177">
        <f t="shared" si="23"/>
        <v>652653.90166845266</v>
      </c>
      <c r="M193" s="289">
        <f t="shared" si="23"/>
        <v>24399</v>
      </c>
      <c r="N193" s="177">
        <f t="shared" si="23"/>
        <v>675516.09132852731</v>
      </c>
      <c r="O193" s="289">
        <f>VLOOKUP(A193,'K20'!$A$4:$BV$359,3)</f>
        <v>24699</v>
      </c>
      <c r="P193" s="289">
        <f>VLOOKUP(A193,'K20'!$A$4:$BV$359,26)</f>
        <v>685619</v>
      </c>
      <c r="R193" s="517"/>
      <c r="S193" s="517"/>
      <c r="T193" s="517"/>
    </row>
    <row r="194" spans="1:20" ht="13">
      <c r="A194" s="878">
        <v>3803</v>
      </c>
      <c r="B194" s="883" t="s">
        <v>1626</v>
      </c>
      <c r="C194" s="289">
        <f t="shared" ref="C194:N194" si="24">+C$467+C$468+C$469</f>
        <v>52765.910745699999</v>
      </c>
      <c r="D194" s="177">
        <f t="shared" si="24"/>
        <v>1236834.6202562542</v>
      </c>
      <c r="E194" s="289">
        <f t="shared" si="24"/>
        <v>53243.732721790002</v>
      </c>
      <c r="F194" s="177">
        <f t="shared" si="24"/>
        <v>1324585.4886642802</v>
      </c>
      <c r="G194" s="289">
        <f t="shared" si="24"/>
        <v>53706.591587980001</v>
      </c>
      <c r="H194" s="177">
        <f t="shared" si="24"/>
        <v>1448068.4606329047</v>
      </c>
      <c r="I194" s="289">
        <f t="shared" si="24"/>
        <v>54274.192223459999</v>
      </c>
      <c r="J194" s="177">
        <f t="shared" si="24"/>
        <v>1536479.9571321183</v>
      </c>
      <c r="K194" s="289">
        <f t="shared" si="24"/>
        <v>54845.783021579999</v>
      </c>
      <c r="L194" s="177">
        <f t="shared" si="24"/>
        <v>1605669.3773023367</v>
      </c>
      <c r="M194" s="289">
        <f t="shared" si="24"/>
        <v>55569</v>
      </c>
      <c r="N194" s="177">
        <f t="shared" si="24"/>
        <v>1680635.555433885</v>
      </c>
      <c r="O194" s="289">
        <f>VLOOKUP(A194,'K20'!$A$4:$BV$359,3)</f>
        <v>56293</v>
      </c>
      <c r="P194" s="289">
        <f>VLOOKUP(A194,'K20'!$A$4:$BV$359,26)</f>
        <v>1690855</v>
      </c>
      <c r="R194" s="517"/>
      <c r="S194" s="517"/>
      <c r="T194" s="517"/>
    </row>
    <row r="195" spans="1:20" ht="13">
      <c r="A195" s="865">
        <v>3804</v>
      </c>
      <c r="B195" s="866" t="s">
        <v>1153</v>
      </c>
      <c r="C195" s="289">
        <f>VLOOKUP($A195,K0kommunestruktur2019!$A$4:$N$425,K0kommunestruktur2020!C$3,FALSE)</f>
        <v>60002</v>
      </c>
      <c r="D195" s="177">
        <f>VLOOKUP($A195,K0kommunestruktur2019!$A$4:$N$425,K0kommunestruktur2020!D$3,FALSE)</f>
        <v>1328826.0834998698</v>
      </c>
      <c r="E195" s="289">
        <f>VLOOKUP($A195,K0kommunestruktur2019!$A$4:$N$425,K0kommunestruktur2020!E$3,FALSE)</f>
        <v>60445</v>
      </c>
      <c r="F195" s="177">
        <f>VLOOKUP($A195,K0kommunestruktur2019!$A$4:$N$425,K0kommunestruktur2020!F$3,FALSE)</f>
        <v>1401206.8738049713</v>
      </c>
      <c r="G195" s="289">
        <f>VLOOKUP($A195,K0kommunestruktur2019!$A$4:$N$425,K0kommunestruktur2020!G$3,FALSE)</f>
        <v>61212</v>
      </c>
      <c r="H195" s="177">
        <f>VLOOKUP($A195,K0kommunestruktur2019!$A$4:$N$425,K0kommunestruktur2020!H$3,FALSE)</f>
        <v>1565068.466500815</v>
      </c>
      <c r="I195" s="289">
        <f>VLOOKUP($A195,K0kommunestruktur2019!$A$4:$N$425,K0kommunestruktur2020!I$3,FALSE)</f>
        <v>62019</v>
      </c>
      <c r="J195" s="177">
        <f>VLOOKUP($A195,K0kommunestruktur2019!$A$4:$N$425,K0kommunestruktur2020!J$3,FALSE)</f>
        <v>1617614</v>
      </c>
      <c r="K195" s="289">
        <f>VLOOKUP($A195,K0kommunestruktur2019!$A$4:$N$425,K0kommunestruktur2020!K$3,FALSE)</f>
        <v>62615</v>
      </c>
      <c r="L195" s="177">
        <f>VLOOKUP($A195,K0kommunestruktur2019!$A$4:$N$425,K0kommunestruktur2020!L$3,FALSE)</f>
        <v>1650021</v>
      </c>
      <c r="M195" s="289">
        <f>VLOOKUP($A195,K0kommunestruktur2019!$A$4:$N$425,K0kommunestruktur2020!M$3,FALSE)</f>
        <v>63271</v>
      </c>
      <c r="N195" s="177">
        <f>VLOOKUP($A195,K0kommunestruktur2019!$A$4:$N$425,K0kommunestruktur2020!N$3,FALSE)</f>
        <v>1778055</v>
      </c>
      <c r="O195" s="289">
        <f>VLOOKUP(A195,'K20'!$A$4:$BV$359,3)</f>
        <v>63764</v>
      </c>
      <c r="P195" s="289">
        <f>VLOOKUP(A195,'K20'!$A$4:$BV$359,26)</f>
        <v>1781351</v>
      </c>
      <c r="R195" s="517"/>
      <c r="S195" s="517"/>
      <c r="T195" s="517"/>
    </row>
    <row r="196" spans="1:20" ht="13">
      <c r="A196" s="865">
        <v>3805</v>
      </c>
      <c r="B196" s="876" t="s">
        <v>1235</v>
      </c>
      <c r="C196" s="289">
        <f>VLOOKUP($A196,K0kommunestruktur2019!$A$4:$N$425,K0kommunestruktur2020!C$3,FALSE)</f>
        <v>45718</v>
      </c>
      <c r="D196" s="177">
        <f>VLOOKUP($A196,K0kommunestruktur2019!$A$4:$N$425,K0kommunestruktur2020!D$3,FALSE)</f>
        <v>967685</v>
      </c>
      <c r="E196" s="289">
        <f>VLOOKUP($A196,K0kommunestruktur2019!$A$4:$N$425,K0kommunestruktur2020!E$3,FALSE)</f>
        <v>45969</v>
      </c>
      <c r="F196" s="177">
        <f>VLOOKUP($A196,K0kommunestruktur2019!$A$4:$N$425,K0kommunestruktur2020!F$3,FALSE)</f>
        <v>1066695</v>
      </c>
      <c r="G196" s="289">
        <f>VLOOKUP($A196,K0kommunestruktur2019!$A$4:$N$425,K0kommunestruktur2020!G$3,FALSE)</f>
        <v>46341</v>
      </c>
      <c r="H196" s="177">
        <f>VLOOKUP($A196,K0kommunestruktur2019!$A$4:$N$425,K0kommunestruktur2020!H$3,FALSE)</f>
        <v>1143575</v>
      </c>
      <c r="I196" s="289">
        <f>VLOOKUP($A196,K0kommunestruktur2019!$A$4:$N$425,K0kommunestruktur2020!I$3,FALSE)</f>
        <v>46557</v>
      </c>
      <c r="J196" s="177">
        <f>VLOOKUP($A196,K0kommunestruktur2019!$A$4:$N$425,K0kommunestruktur2020!J$3,FALSE)</f>
        <v>1204992</v>
      </c>
      <c r="K196" s="289">
        <f>VLOOKUP($A196,K0kommunestruktur2019!$A$4:$N$425,K0kommunestruktur2020!K$3,FALSE)</f>
        <v>46801</v>
      </c>
      <c r="L196" s="177">
        <f>VLOOKUP($A196,K0kommunestruktur2019!$A$4:$N$425,K0kommunestruktur2020!L$3,FALSE)</f>
        <v>1250980</v>
      </c>
      <c r="M196" s="289">
        <f>VLOOKUP($A196,K0kommunestruktur2019!$A$4:$N$425,K0kommunestruktur2020!M$3,FALSE)</f>
        <v>47107</v>
      </c>
      <c r="N196" s="177">
        <f>VLOOKUP($A196,K0kommunestruktur2019!$A$4:$N$425,K0kommunestruktur2020!N$3,FALSE)</f>
        <v>1285032</v>
      </c>
      <c r="O196" s="289">
        <f>VLOOKUP(A196,'K20'!$A$4:$BV$359,3)</f>
        <v>47204</v>
      </c>
      <c r="P196" s="289">
        <f>VLOOKUP(A196,'K20'!$A$4:$BV$359,26)</f>
        <v>1280124</v>
      </c>
      <c r="R196" s="517"/>
      <c r="S196" s="517"/>
      <c r="T196" s="517"/>
    </row>
    <row r="197" spans="1:20" ht="13">
      <c r="A197" s="865">
        <v>3806</v>
      </c>
      <c r="B197" s="866" t="s">
        <v>904</v>
      </c>
      <c r="C197" s="289">
        <f>VLOOKUP($A197,K0kommunestruktur2019!$A$4:$N$425,K0kommunestruktur2020!C$3,FALSE)</f>
        <v>35516</v>
      </c>
      <c r="D197" s="177">
        <f>VLOOKUP($A197,K0kommunestruktur2019!$A$4:$N$425,K0kommunestruktur2020!D$3,FALSE)</f>
        <v>786648</v>
      </c>
      <c r="E197" s="289">
        <f>VLOOKUP($A197,K0kommunestruktur2019!$A$4:$N$425,K0kommunestruktur2020!E$3,FALSE)</f>
        <v>35755</v>
      </c>
      <c r="F197" s="177">
        <f>VLOOKUP($A197,K0kommunestruktur2019!$A$4:$N$425,K0kommunestruktur2020!F$3,FALSE)</f>
        <v>832456</v>
      </c>
      <c r="G197" s="289">
        <f>VLOOKUP($A197,K0kommunestruktur2019!$A$4:$N$425,K0kommunestruktur2020!G$3,FALSE)</f>
        <v>35955</v>
      </c>
      <c r="H197" s="177">
        <f>VLOOKUP($A197,K0kommunestruktur2019!$A$4:$N$425,K0kommunestruktur2020!H$3,FALSE)</f>
        <v>899390</v>
      </c>
      <c r="I197" s="289">
        <f>VLOOKUP($A197,K0kommunestruktur2019!$A$4:$N$425,K0kommunestruktur2020!I$3,FALSE)</f>
        <v>36198</v>
      </c>
      <c r="J197" s="177">
        <f>VLOOKUP($A197,K0kommunestruktur2019!$A$4:$N$425,K0kommunestruktur2020!J$3,FALSE)</f>
        <v>954527</v>
      </c>
      <c r="K197" s="289">
        <f>VLOOKUP($A197,K0kommunestruktur2019!$A$4:$N$425,K0kommunestruktur2020!K$3,FALSE)</f>
        <v>36091</v>
      </c>
      <c r="L197" s="177">
        <f>VLOOKUP($A197,K0kommunestruktur2019!$A$4:$N$425,K0kommunestruktur2020!L$3,FALSE)</f>
        <v>994677</v>
      </c>
      <c r="M197" s="289">
        <f>VLOOKUP($A197,K0kommunestruktur2019!$A$4:$N$425,K0kommunestruktur2020!M$3,FALSE)</f>
        <v>36224</v>
      </c>
      <c r="N197" s="177">
        <f>VLOOKUP($A197,K0kommunestruktur2019!$A$4:$N$425,K0kommunestruktur2020!N$3,FALSE)</f>
        <v>1030160</v>
      </c>
      <c r="O197" s="289">
        <f>VLOOKUP(A197,'K20'!$A$4:$BV$359,3)</f>
        <v>36397</v>
      </c>
      <c r="P197" s="289">
        <f>VLOOKUP(A197,'K20'!$A$4:$BV$359,26)</f>
        <v>997575</v>
      </c>
      <c r="R197" s="517"/>
      <c r="S197" s="517"/>
      <c r="T197" s="517"/>
    </row>
    <row r="198" spans="1:20" ht="13">
      <c r="A198" s="865">
        <v>3807</v>
      </c>
      <c r="B198" s="866" t="s">
        <v>905</v>
      </c>
      <c r="C198" s="289">
        <f>VLOOKUP($A198,K0kommunestruktur2019!$A$4:$N$425,K0kommunestruktur2020!C$3,FALSE)</f>
        <v>53439</v>
      </c>
      <c r="D198" s="177">
        <f>VLOOKUP($A198,K0kommunestruktur2019!$A$4:$N$425,K0kommunestruktur2020!D$3,FALSE)</f>
        <v>1111721</v>
      </c>
      <c r="E198" s="289">
        <f>VLOOKUP($A198,K0kommunestruktur2019!$A$4:$N$425,K0kommunestruktur2020!E$3,FALSE)</f>
        <v>53745</v>
      </c>
      <c r="F198" s="177">
        <f>VLOOKUP($A198,K0kommunestruktur2019!$A$4:$N$425,K0kommunestruktur2020!F$3,FALSE)</f>
        <v>1204597</v>
      </c>
      <c r="G198" s="289">
        <f>VLOOKUP($A198,K0kommunestruktur2019!$A$4:$N$425,K0kommunestruktur2020!G$3,FALSE)</f>
        <v>53952</v>
      </c>
      <c r="H198" s="177">
        <f>VLOOKUP($A198,K0kommunestruktur2019!$A$4:$N$425,K0kommunestruktur2020!H$3,FALSE)</f>
        <v>1297835</v>
      </c>
      <c r="I198" s="289">
        <f>VLOOKUP($A198,K0kommunestruktur2019!$A$4:$N$425,K0kommunestruktur2020!I$3,FALSE)</f>
        <v>54316</v>
      </c>
      <c r="J198" s="177">
        <f>VLOOKUP($A198,K0kommunestruktur2019!$A$4:$N$425,K0kommunestruktur2020!J$3,FALSE)</f>
        <v>1350527</v>
      </c>
      <c r="K198" s="289">
        <f>VLOOKUP($A198,K0kommunestruktur2019!$A$4:$N$425,K0kommunestruktur2020!K$3,FALSE)</f>
        <v>54510</v>
      </c>
      <c r="L198" s="177">
        <f>VLOOKUP($A198,K0kommunestruktur2019!$A$4:$N$425,K0kommunestruktur2020!L$3,FALSE)</f>
        <v>1395616</v>
      </c>
      <c r="M198" s="289">
        <f>VLOOKUP($A198,K0kommunestruktur2019!$A$4:$N$425,K0kommunestruktur2020!M$3,FALSE)</f>
        <v>54645</v>
      </c>
      <c r="N198" s="177">
        <f>VLOOKUP($A198,K0kommunestruktur2019!$A$4:$N$425,K0kommunestruktur2020!N$3,FALSE)</f>
        <v>1431339</v>
      </c>
      <c r="O198" s="289">
        <f>VLOOKUP(A198,'K20'!$A$4:$BV$359,3)</f>
        <v>54942</v>
      </c>
      <c r="P198" s="289">
        <f>VLOOKUP(A198,'K20'!$A$4:$BV$359,26)</f>
        <v>1416501</v>
      </c>
      <c r="R198" s="517"/>
      <c r="S198" s="517"/>
      <c r="T198" s="517"/>
    </row>
    <row r="199" spans="1:20" ht="13">
      <c r="A199" s="889">
        <v>3808</v>
      </c>
      <c r="B199" s="890" t="s">
        <v>906</v>
      </c>
      <c r="C199" s="289">
        <f t="shared" ref="C199:N199" si="25">+C$472+C$473</f>
        <v>13054.42122694</v>
      </c>
      <c r="D199" s="177">
        <f t="shared" si="25"/>
        <v>270123.7115597775</v>
      </c>
      <c r="E199" s="289">
        <f t="shared" si="25"/>
        <v>13044.067970349999</v>
      </c>
      <c r="F199" s="177">
        <f t="shared" si="25"/>
        <v>287774.97870994557</v>
      </c>
      <c r="G199" s="289">
        <f t="shared" si="25"/>
        <v>13166.23639804</v>
      </c>
      <c r="H199" s="177">
        <f t="shared" si="25"/>
        <v>311836.98233706487</v>
      </c>
      <c r="I199" s="289">
        <f t="shared" si="25"/>
        <v>13207.649424380001</v>
      </c>
      <c r="J199" s="177">
        <f t="shared" si="25"/>
        <v>314307.26935812132</v>
      </c>
      <c r="K199" s="289">
        <f t="shared" si="25"/>
        <v>13111.36413815</v>
      </c>
      <c r="L199" s="177">
        <f t="shared" si="25"/>
        <v>322108.4481943266</v>
      </c>
      <c r="M199" s="289">
        <f t="shared" si="25"/>
        <v>13130</v>
      </c>
      <c r="N199" s="177">
        <f t="shared" si="25"/>
        <v>342153.3882668349</v>
      </c>
      <c r="O199" s="289">
        <f>VLOOKUP(A199,'K20'!$A$4:$BV$359,3)</f>
        <v>13049</v>
      </c>
      <c r="P199" s="289">
        <f>VLOOKUP(A199,'K20'!$A$4:$BV$359,26)</f>
        <v>340724</v>
      </c>
      <c r="R199" s="517"/>
      <c r="S199" s="517"/>
      <c r="T199" s="517"/>
    </row>
    <row r="200" spans="1:20" ht="13">
      <c r="A200" s="865">
        <v>3811</v>
      </c>
      <c r="B200" s="866" t="s">
        <v>1241</v>
      </c>
      <c r="C200" s="289">
        <f>VLOOKUP($A200,K0kommunestruktur2019!$A$4:$N$425,K0kommunestruktur2020!C$3,FALSE)</f>
        <v>26330</v>
      </c>
      <c r="D200" s="177">
        <f>VLOOKUP($A200,K0kommunestruktur2019!$A$4:$N$425,K0kommunestruktur2020!D$3,FALSE)</f>
        <v>669429</v>
      </c>
      <c r="E200" s="289">
        <f>VLOOKUP($A200,K0kommunestruktur2019!$A$4:$N$425,K0kommunestruktur2020!E$3,FALSE)</f>
        <v>26445</v>
      </c>
      <c r="F200" s="177">
        <f>VLOOKUP($A200,K0kommunestruktur2019!$A$4:$N$425,K0kommunestruktur2020!F$3,FALSE)</f>
        <v>711078</v>
      </c>
      <c r="G200" s="289">
        <f>VLOOKUP($A200,K0kommunestruktur2019!$A$4:$N$425,K0kommunestruktur2020!G$3,FALSE)</f>
        <v>26592</v>
      </c>
      <c r="H200" s="177">
        <f>VLOOKUP($A200,K0kommunestruktur2019!$A$4:$N$425,K0kommunestruktur2020!H$3,FALSE)</f>
        <v>787439</v>
      </c>
      <c r="I200" s="289">
        <f>VLOOKUP($A200,K0kommunestruktur2019!$A$4:$N$425,K0kommunestruktur2020!I$3,FALSE)</f>
        <v>26676</v>
      </c>
      <c r="J200" s="177">
        <f>VLOOKUP($A200,K0kommunestruktur2019!$A$4:$N$425,K0kommunestruktur2020!J$3,FALSE)</f>
        <v>818629</v>
      </c>
      <c r="K200" s="289">
        <f>VLOOKUP($A200,K0kommunestruktur2019!$A$4:$N$425,K0kommunestruktur2020!K$3,FALSE)</f>
        <v>26734</v>
      </c>
      <c r="L200" s="177">
        <f>VLOOKUP($A200,K0kommunestruktur2019!$A$4:$N$425,K0kommunestruktur2020!L$3,FALSE)</f>
        <v>826128</v>
      </c>
      <c r="M200" s="289">
        <f>VLOOKUP($A200,K0kommunestruktur2019!$A$4:$N$425,K0kommunestruktur2020!M$3,FALSE)</f>
        <v>26700</v>
      </c>
      <c r="N200" s="177">
        <f>VLOOKUP($A200,K0kommunestruktur2019!$A$4:$N$425,K0kommunestruktur2020!N$3,FALSE)</f>
        <v>861791</v>
      </c>
      <c r="O200" s="289">
        <f>VLOOKUP(A200,'K20'!$A$4:$BV$359,3)</f>
        <v>26730</v>
      </c>
      <c r="P200" s="289">
        <f>VLOOKUP(A200,'K20'!$A$4:$BV$359,26)</f>
        <v>859253</v>
      </c>
      <c r="R200" s="517"/>
      <c r="S200" s="517"/>
      <c r="T200" s="517"/>
    </row>
    <row r="201" spans="1:20" ht="13">
      <c r="A201" s="865">
        <v>3812</v>
      </c>
      <c r="B201" s="866" t="s">
        <v>907</v>
      </c>
      <c r="C201" s="289">
        <f>VLOOKUP($A201,K0kommunestruktur2019!$A$4:$N$425,K0kommunestruktur2020!C$3,FALSE)</f>
        <v>2404</v>
      </c>
      <c r="D201" s="177">
        <f>VLOOKUP($A201,K0kommunestruktur2019!$A$4:$N$425,K0kommunestruktur2020!D$3,FALSE)</f>
        <v>48534</v>
      </c>
      <c r="E201" s="289">
        <f>VLOOKUP($A201,K0kommunestruktur2019!$A$4:$N$425,K0kommunestruktur2020!E$3,FALSE)</f>
        <v>2361</v>
      </c>
      <c r="F201" s="177">
        <f>VLOOKUP($A201,K0kommunestruktur2019!$A$4:$N$425,K0kommunestruktur2020!F$3,FALSE)</f>
        <v>49972</v>
      </c>
      <c r="G201" s="289">
        <f>VLOOKUP($A201,K0kommunestruktur2019!$A$4:$N$425,K0kommunestruktur2020!G$3,FALSE)</f>
        <v>2335</v>
      </c>
      <c r="H201" s="177">
        <f>VLOOKUP($A201,K0kommunestruktur2019!$A$4:$N$425,K0kommunestruktur2020!H$3,FALSE)</f>
        <v>54288</v>
      </c>
      <c r="I201" s="289">
        <f>VLOOKUP($A201,K0kommunestruktur2019!$A$4:$N$425,K0kommunestruktur2020!I$3,FALSE)</f>
        <v>2357</v>
      </c>
      <c r="J201" s="177">
        <f>VLOOKUP($A201,K0kommunestruktur2019!$A$4:$N$425,K0kommunestruktur2020!J$3,FALSE)</f>
        <v>58101</v>
      </c>
      <c r="K201" s="289">
        <f>VLOOKUP($A201,K0kommunestruktur2019!$A$4:$N$425,K0kommunestruktur2020!K$3,FALSE)</f>
        <v>2351</v>
      </c>
      <c r="L201" s="177">
        <f>VLOOKUP($A201,K0kommunestruktur2019!$A$4:$N$425,K0kommunestruktur2020!L$3,FALSE)</f>
        <v>59881</v>
      </c>
      <c r="M201" s="289">
        <f>VLOOKUP($A201,K0kommunestruktur2019!$A$4:$N$425,K0kommunestruktur2020!M$3,FALSE)</f>
        <v>2329</v>
      </c>
      <c r="N201" s="177">
        <f>VLOOKUP($A201,K0kommunestruktur2019!$A$4:$N$425,K0kommunestruktur2020!N$3,FALSE)</f>
        <v>61369</v>
      </c>
      <c r="O201" s="289">
        <f>VLOOKUP(A201,'K20'!$A$4:$BV$359,3)</f>
        <v>2340</v>
      </c>
      <c r="P201" s="289">
        <f>VLOOKUP(A201,'K20'!$A$4:$BV$359,26)</f>
        <v>60081</v>
      </c>
      <c r="R201" s="517"/>
      <c r="S201" s="517"/>
      <c r="T201" s="517"/>
    </row>
    <row r="202" spans="1:20" ht="13">
      <c r="A202" s="865">
        <v>3813</v>
      </c>
      <c r="B202" s="866" t="s">
        <v>908</v>
      </c>
      <c r="C202" s="289">
        <f>VLOOKUP($A202,K0kommunestruktur2019!$A$4:$N$425,K0kommunestruktur2020!C$3,FALSE)</f>
        <v>14193</v>
      </c>
      <c r="D202" s="177">
        <f>VLOOKUP($A202,K0kommunestruktur2019!$A$4:$N$425,K0kommunestruktur2020!D$3,FALSE)</f>
        <v>315740</v>
      </c>
      <c r="E202" s="289">
        <f>VLOOKUP($A202,K0kommunestruktur2019!$A$4:$N$425,K0kommunestruktur2020!E$3,FALSE)</f>
        <v>14140</v>
      </c>
      <c r="F202" s="177">
        <f>VLOOKUP($A202,K0kommunestruktur2019!$A$4:$N$425,K0kommunestruktur2020!F$3,FALSE)</f>
        <v>322952</v>
      </c>
      <c r="G202" s="289">
        <f>VLOOKUP($A202,K0kommunestruktur2019!$A$4:$N$425,K0kommunestruktur2020!G$3,FALSE)</f>
        <v>14088</v>
      </c>
      <c r="H202" s="177">
        <f>VLOOKUP($A202,K0kommunestruktur2019!$A$4:$N$425,K0kommunestruktur2020!H$3,FALSE)</f>
        <v>355108</v>
      </c>
      <c r="I202" s="289">
        <f>VLOOKUP($A202,K0kommunestruktur2019!$A$4:$N$425,K0kommunestruktur2020!I$3,FALSE)</f>
        <v>14138</v>
      </c>
      <c r="J202" s="177">
        <f>VLOOKUP($A202,K0kommunestruktur2019!$A$4:$N$425,K0kommunestruktur2020!J$3,FALSE)</f>
        <v>367084</v>
      </c>
      <c r="K202" s="289">
        <f>VLOOKUP($A202,K0kommunestruktur2019!$A$4:$N$425,K0kommunestruktur2020!K$3,FALSE)</f>
        <v>14183</v>
      </c>
      <c r="L202" s="177">
        <f>VLOOKUP($A202,K0kommunestruktur2019!$A$4:$N$425,K0kommunestruktur2020!L$3,FALSE)</f>
        <v>382036</v>
      </c>
      <c r="M202" s="289">
        <f>VLOOKUP($A202,K0kommunestruktur2019!$A$4:$N$425,K0kommunestruktur2020!M$3,FALSE)</f>
        <v>14089</v>
      </c>
      <c r="N202" s="177">
        <f>VLOOKUP($A202,K0kommunestruktur2019!$A$4:$N$425,K0kommunestruktur2020!N$3,FALSE)</f>
        <v>395478</v>
      </c>
      <c r="O202" s="289">
        <f>VLOOKUP(A202,'K20'!$A$4:$BV$359,3)</f>
        <v>14061</v>
      </c>
      <c r="P202" s="289">
        <f>VLOOKUP(A202,'K20'!$A$4:$BV$359,26)</f>
        <v>392430</v>
      </c>
      <c r="R202" s="517"/>
      <c r="S202" s="517"/>
      <c r="T202" s="517"/>
    </row>
    <row r="203" spans="1:20" ht="13">
      <c r="A203" s="865">
        <v>3814</v>
      </c>
      <c r="B203" s="866" t="s">
        <v>910</v>
      </c>
      <c r="C203" s="289">
        <f>VLOOKUP($A203,K0kommunestruktur2019!$A$4:$N$425,K0kommunestruktur2020!C$3,FALSE)</f>
        <v>10621</v>
      </c>
      <c r="D203" s="177">
        <f>VLOOKUP($A203,K0kommunestruktur2019!$A$4:$N$425,K0kommunestruktur2020!D$3,FALSE)</f>
        <v>208570</v>
      </c>
      <c r="E203" s="289">
        <f>VLOOKUP($A203,K0kommunestruktur2019!$A$4:$N$425,K0kommunestruktur2020!E$3,FALSE)</f>
        <v>10636</v>
      </c>
      <c r="F203" s="177">
        <f>VLOOKUP($A203,K0kommunestruktur2019!$A$4:$N$425,K0kommunestruktur2020!F$3,FALSE)</f>
        <v>222964</v>
      </c>
      <c r="G203" s="289">
        <f>VLOOKUP($A203,K0kommunestruktur2019!$A$4:$N$425,K0kommunestruktur2020!G$3,FALSE)</f>
        <v>10607</v>
      </c>
      <c r="H203" s="177">
        <f>VLOOKUP($A203,K0kommunestruktur2019!$A$4:$N$425,K0kommunestruktur2020!H$3,FALSE)</f>
        <v>238907</v>
      </c>
      <c r="I203" s="289">
        <f>VLOOKUP($A203,K0kommunestruktur2019!$A$4:$N$425,K0kommunestruktur2020!I$3,FALSE)</f>
        <v>10586</v>
      </c>
      <c r="J203" s="177">
        <f>VLOOKUP($A203,K0kommunestruktur2019!$A$4:$N$425,K0kommunestruktur2020!J$3,FALSE)</f>
        <v>246804</v>
      </c>
      <c r="K203" s="289">
        <f>VLOOKUP($A203,K0kommunestruktur2019!$A$4:$N$425,K0kommunestruktur2020!K$3,FALSE)</f>
        <v>10506</v>
      </c>
      <c r="L203" s="177">
        <f>VLOOKUP($A203,K0kommunestruktur2019!$A$4:$N$425,K0kommunestruktur2020!L$3,FALSE)</f>
        <v>262062</v>
      </c>
      <c r="M203" s="289">
        <f>VLOOKUP($A203,K0kommunestruktur2019!$A$4:$N$425,K0kommunestruktur2020!M$3,FALSE)</f>
        <v>10406</v>
      </c>
      <c r="N203" s="177">
        <f>VLOOKUP($A203,K0kommunestruktur2019!$A$4:$N$425,K0kommunestruktur2020!N$3,FALSE)</f>
        <v>268676</v>
      </c>
      <c r="O203" s="289">
        <f>VLOOKUP(A203,'K20'!$A$4:$BV$359,3)</f>
        <v>10380</v>
      </c>
      <c r="P203" s="289">
        <f>VLOOKUP(A203,'K20'!$A$4:$BV$359,26)</f>
        <v>269045</v>
      </c>
      <c r="R203" s="517"/>
      <c r="S203" s="517"/>
      <c r="T203" s="517"/>
    </row>
    <row r="204" spans="1:20" ht="13">
      <c r="A204" s="865">
        <v>3815</v>
      </c>
      <c r="B204" s="866" t="s">
        <v>911</v>
      </c>
      <c r="C204" s="289">
        <f>VLOOKUP($A204,K0kommunestruktur2019!$A$4:$N$425,K0kommunestruktur2020!C$3,FALSE)</f>
        <v>4135</v>
      </c>
      <c r="D204" s="177">
        <f>VLOOKUP($A204,K0kommunestruktur2019!$A$4:$N$425,K0kommunestruktur2020!D$3,FALSE)</f>
        <v>74397</v>
      </c>
      <c r="E204" s="289">
        <f>VLOOKUP($A204,K0kommunestruktur2019!$A$4:$N$425,K0kommunestruktur2020!E$3,FALSE)</f>
        <v>4111</v>
      </c>
      <c r="F204" s="177">
        <f>VLOOKUP($A204,K0kommunestruktur2019!$A$4:$N$425,K0kommunestruktur2020!F$3,FALSE)</f>
        <v>77737</v>
      </c>
      <c r="G204" s="289">
        <f>VLOOKUP($A204,K0kommunestruktur2019!$A$4:$N$425,K0kommunestruktur2020!G$3,FALSE)</f>
        <v>4136</v>
      </c>
      <c r="H204" s="177">
        <f>VLOOKUP($A204,K0kommunestruktur2019!$A$4:$N$425,K0kommunestruktur2020!H$3,FALSE)</f>
        <v>83380</v>
      </c>
      <c r="I204" s="289">
        <f>VLOOKUP($A204,K0kommunestruktur2019!$A$4:$N$425,K0kommunestruktur2020!I$3,FALSE)</f>
        <v>4148</v>
      </c>
      <c r="J204" s="177">
        <f>VLOOKUP($A204,K0kommunestruktur2019!$A$4:$N$425,K0kommunestruktur2020!J$3,FALSE)</f>
        <v>85856</v>
      </c>
      <c r="K204" s="289">
        <f>VLOOKUP($A204,K0kommunestruktur2019!$A$4:$N$425,K0kommunestruktur2020!K$3,FALSE)</f>
        <v>4105</v>
      </c>
      <c r="L204" s="177">
        <f>VLOOKUP($A204,K0kommunestruktur2019!$A$4:$N$425,K0kommunestruktur2020!L$3,FALSE)</f>
        <v>89506</v>
      </c>
      <c r="M204" s="289">
        <f>VLOOKUP($A204,K0kommunestruktur2019!$A$4:$N$425,K0kommunestruktur2020!M$3,FALSE)</f>
        <v>4080</v>
      </c>
      <c r="N204" s="177">
        <f>VLOOKUP($A204,K0kommunestruktur2019!$A$4:$N$425,K0kommunestruktur2020!N$3,FALSE)</f>
        <v>91475</v>
      </c>
      <c r="O204" s="289">
        <f>VLOOKUP(A204,'K20'!$A$4:$BV$359,3)</f>
        <v>4060</v>
      </c>
      <c r="P204" s="289">
        <f>VLOOKUP(A204,'K20'!$A$4:$BV$359,26)</f>
        <v>94071</v>
      </c>
      <c r="R204" s="517"/>
      <c r="S204" s="517"/>
      <c r="T204" s="517"/>
    </row>
    <row r="205" spans="1:20" ht="13">
      <c r="A205" s="865">
        <v>3816</v>
      </c>
      <c r="B205" s="866" t="s">
        <v>912</v>
      </c>
      <c r="C205" s="289">
        <f>VLOOKUP($A205,K0kommunestruktur2019!$A$4:$N$425,K0kommunestruktur2020!C$3,FALSE)</f>
        <v>6643</v>
      </c>
      <c r="D205" s="177">
        <f>VLOOKUP($A205,K0kommunestruktur2019!$A$4:$N$425,K0kommunestruktur2020!D$3,FALSE)</f>
        <v>133614</v>
      </c>
      <c r="E205" s="289">
        <f>VLOOKUP($A205,K0kommunestruktur2019!$A$4:$N$425,K0kommunestruktur2020!E$3,FALSE)</f>
        <v>6630</v>
      </c>
      <c r="F205" s="177">
        <f>VLOOKUP($A205,K0kommunestruktur2019!$A$4:$N$425,K0kommunestruktur2020!F$3,FALSE)</f>
        <v>140747</v>
      </c>
      <c r="G205" s="289">
        <f>VLOOKUP($A205,K0kommunestruktur2019!$A$4:$N$425,K0kommunestruktur2020!G$3,FALSE)</f>
        <v>6534</v>
      </c>
      <c r="H205" s="177">
        <f>VLOOKUP($A205,K0kommunestruktur2019!$A$4:$N$425,K0kommunestruktur2020!H$3,FALSE)</f>
        <v>142744</v>
      </c>
      <c r="I205" s="289">
        <f>VLOOKUP($A205,K0kommunestruktur2019!$A$4:$N$425,K0kommunestruktur2020!I$3,FALSE)</f>
        <v>6585</v>
      </c>
      <c r="J205" s="177">
        <f>VLOOKUP($A205,K0kommunestruktur2019!$A$4:$N$425,K0kommunestruktur2020!J$3,FALSE)</f>
        <v>146101</v>
      </c>
      <c r="K205" s="289">
        <f>VLOOKUP($A205,K0kommunestruktur2019!$A$4:$N$425,K0kommunestruktur2020!K$3,FALSE)</f>
        <v>6609</v>
      </c>
      <c r="L205" s="177">
        <f>VLOOKUP($A205,K0kommunestruktur2019!$A$4:$N$425,K0kommunestruktur2020!L$3,FALSE)</f>
        <v>155467</v>
      </c>
      <c r="M205" s="289">
        <f>VLOOKUP($A205,K0kommunestruktur2019!$A$4:$N$425,K0kommunestruktur2020!M$3,FALSE)</f>
        <v>6538</v>
      </c>
      <c r="N205" s="177">
        <f>VLOOKUP($A205,K0kommunestruktur2019!$A$4:$N$425,K0kommunestruktur2020!N$3,FALSE)</f>
        <v>161297</v>
      </c>
      <c r="O205" s="289">
        <f>VLOOKUP(A205,'K20'!$A$4:$BV$359,3)</f>
        <v>6515</v>
      </c>
      <c r="P205" s="289">
        <f>VLOOKUP(A205,'K20'!$A$4:$BV$359,26)</f>
        <v>158065</v>
      </c>
      <c r="R205" s="517"/>
      <c r="S205" s="517"/>
      <c r="T205" s="517"/>
    </row>
    <row r="206" spans="1:20" ht="13">
      <c r="A206" s="878">
        <v>3817</v>
      </c>
      <c r="B206" s="883" t="s">
        <v>1627</v>
      </c>
      <c r="C206" s="289">
        <f t="shared" ref="C206:N206" si="26">+C$475+C$476+C$477</f>
        <v>9742.3349812300003</v>
      </c>
      <c r="D206" s="177">
        <f t="shared" si="26"/>
        <v>190758.54389815216</v>
      </c>
      <c r="E206" s="289">
        <f t="shared" si="26"/>
        <v>9899.6086240000004</v>
      </c>
      <c r="F206" s="177">
        <f t="shared" si="26"/>
        <v>202879.16323345384</v>
      </c>
      <c r="G206" s="289">
        <f t="shared" si="26"/>
        <v>10010.8509567</v>
      </c>
      <c r="H206" s="177">
        <f t="shared" si="26"/>
        <v>219597.1596631647</v>
      </c>
      <c r="I206" s="289">
        <f t="shared" si="26"/>
        <v>10131.683145659999</v>
      </c>
      <c r="J206" s="177">
        <f t="shared" si="26"/>
        <v>234448.01107763639</v>
      </c>
      <c r="K206" s="289">
        <f t="shared" si="26"/>
        <v>10375.265494830001</v>
      </c>
      <c r="L206" s="177">
        <f t="shared" si="26"/>
        <v>247525.6980683576</v>
      </c>
      <c r="M206" s="289">
        <f t="shared" si="26"/>
        <v>10475</v>
      </c>
      <c r="N206" s="177">
        <f t="shared" si="26"/>
        <v>254771.79346333424</v>
      </c>
      <c r="O206" s="289">
        <f>VLOOKUP(A206,'K20'!$A$4:$BV$359,3)</f>
        <v>10444</v>
      </c>
      <c r="P206" s="289">
        <f>VLOOKUP(A206,'K20'!$A$4:$BV$359,26)</f>
        <v>250588</v>
      </c>
      <c r="R206" s="517"/>
      <c r="S206" s="517"/>
      <c r="T206" s="517"/>
    </row>
    <row r="207" spans="1:20" ht="13">
      <c r="A207" s="865">
        <v>3818</v>
      </c>
      <c r="B207" s="866" t="s">
        <v>920</v>
      </c>
      <c r="C207" s="289">
        <f>VLOOKUP($A207,K0kommunestruktur2019!$A$4:$N$425,K0kommunestruktur2020!C$3,FALSE)</f>
        <v>5957</v>
      </c>
      <c r="D207" s="177">
        <f>VLOOKUP($A207,K0kommunestruktur2019!$A$4:$N$425,K0kommunestruktur2020!D$3,FALSE)</f>
        <v>171332</v>
      </c>
      <c r="E207" s="289">
        <f>VLOOKUP($A207,K0kommunestruktur2019!$A$4:$N$425,K0kommunestruktur2020!E$3,FALSE)</f>
        <v>5913</v>
      </c>
      <c r="F207" s="177">
        <f>VLOOKUP($A207,K0kommunestruktur2019!$A$4:$N$425,K0kommunestruktur2020!F$3,FALSE)</f>
        <v>175352</v>
      </c>
      <c r="G207" s="289">
        <f>VLOOKUP($A207,K0kommunestruktur2019!$A$4:$N$425,K0kommunestruktur2020!G$3,FALSE)</f>
        <v>5940</v>
      </c>
      <c r="H207" s="177">
        <f>VLOOKUP($A207,K0kommunestruktur2019!$A$4:$N$425,K0kommunestruktur2020!H$3,FALSE)</f>
        <v>186961</v>
      </c>
      <c r="I207" s="289">
        <f>VLOOKUP($A207,K0kommunestruktur2019!$A$4:$N$425,K0kommunestruktur2020!I$3,FALSE)</f>
        <v>5894</v>
      </c>
      <c r="J207" s="177">
        <f>VLOOKUP($A207,K0kommunestruktur2019!$A$4:$N$425,K0kommunestruktur2020!J$3,FALSE)</f>
        <v>193683</v>
      </c>
      <c r="K207" s="289">
        <f>VLOOKUP($A207,K0kommunestruktur2019!$A$4:$N$425,K0kommunestruktur2020!K$3,FALSE)</f>
        <v>5856</v>
      </c>
      <c r="L207" s="177">
        <f>VLOOKUP($A207,K0kommunestruktur2019!$A$4:$N$425,K0kommunestruktur2020!L$3,FALSE)</f>
        <v>199842</v>
      </c>
      <c r="M207" s="289">
        <f>VLOOKUP($A207,K0kommunestruktur2019!$A$4:$N$425,K0kommunestruktur2020!M$3,FALSE)</f>
        <v>5780</v>
      </c>
      <c r="N207" s="177">
        <f>VLOOKUP($A207,K0kommunestruktur2019!$A$4:$N$425,K0kommunestruktur2020!N$3,FALSE)</f>
        <v>205109</v>
      </c>
      <c r="O207" s="289">
        <f>VLOOKUP(A207,'K20'!$A$4:$BV$359,3)</f>
        <v>5691</v>
      </c>
      <c r="P207" s="289">
        <f>VLOOKUP(A207,'K20'!$A$4:$BV$359,26)</f>
        <v>204259</v>
      </c>
      <c r="R207" s="517"/>
      <c r="S207" s="517"/>
      <c r="T207" s="517"/>
    </row>
    <row r="208" spans="1:20" ht="13">
      <c r="A208" s="865">
        <v>3819</v>
      </c>
      <c r="B208" s="866" t="s">
        <v>921</v>
      </c>
      <c r="C208" s="289">
        <f>VLOOKUP($A208,K0kommunestruktur2019!$A$4:$N$425,K0kommunestruktur2020!C$3,FALSE)</f>
        <v>1602</v>
      </c>
      <c r="D208" s="177">
        <f>VLOOKUP($A208,K0kommunestruktur2019!$A$4:$N$425,K0kommunestruktur2020!D$3,FALSE)</f>
        <v>39542</v>
      </c>
      <c r="E208" s="289">
        <f>VLOOKUP($A208,K0kommunestruktur2019!$A$4:$N$425,K0kommunestruktur2020!E$3,FALSE)</f>
        <v>1594</v>
      </c>
      <c r="F208" s="177">
        <f>VLOOKUP($A208,K0kommunestruktur2019!$A$4:$N$425,K0kommunestruktur2020!F$3,FALSE)</f>
        <v>42830</v>
      </c>
      <c r="G208" s="289">
        <f>VLOOKUP($A208,K0kommunestruktur2019!$A$4:$N$425,K0kommunestruktur2020!G$3,FALSE)</f>
        <v>1613</v>
      </c>
      <c r="H208" s="177">
        <f>VLOOKUP($A208,K0kommunestruktur2019!$A$4:$N$425,K0kommunestruktur2020!H$3,FALSE)</f>
        <v>40643</v>
      </c>
      <c r="I208" s="289">
        <f>VLOOKUP($A208,K0kommunestruktur2019!$A$4:$N$425,K0kommunestruktur2020!I$3,FALSE)</f>
        <v>1593</v>
      </c>
      <c r="J208" s="177">
        <f>VLOOKUP($A208,K0kommunestruktur2019!$A$4:$N$425,K0kommunestruktur2020!J$3,FALSE)</f>
        <v>43632</v>
      </c>
      <c r="K208" s="289">
        <f>VLOOKUP($A208,K0kommunestruktur2019!$A$4:$N$425,K0kommunestruktur2020!K$3,FALSE)</f>
        <v>1587</v>
      </c>
      <c r="L208" s="177">
        <f>VLOOKUP($A208,K0kommunestruktur2019!$A$4:$N$425,K0kommunestruktur2020!L$3,FALSE)</f>
        <v>47373</v>
      </c>
      <c r="M208" s="289">
        <f>VLOOKUP($A208,K0kommunestruktur2019!$A$4:$N$425,K0kommunestruktur2020!M$3,FALSE)</f>
        <v>1572</v>
      </c>
      <c r="N208" s="177">
        <f>VLOOKUP($A208,K0kommunestruktur2019!$A$4:$N$425,K0kommunestruktur2020!N$3,FALSE)</f>
        <v>48046</v>
      </c>
      <c r="O208" s="289">
        <f>VLOOKUP(A208,'K20'!$A$4:$BV$359,3)</f>
        <v>1573</v>
      </c>
      <c r="P208" s="289">
        <f>VLOOKUP(A208,'K20'!$A$4:$BV$359,26)</f>
        <v>47993</v>
      </c>
      <c r="R208" s="517"/>
      <c r="S208" s="517"/>
      <c r="T208" s="517"/>
    </row>
    <row r="209" spans="1:20" ht="13">
      <c r="A209" s="865">
        <v>3820</v>
      </c>
      <c r="B209" s="866" t="s">
        <v>922</v>
      </c>
      <c r="C209" s="289">
        <f>VLOOKUP($A209,K0kommunestruktur2019!$A$4:$N$425,K0kommunestruktur2020!C$3,FALSE)</f>
        <v>2989</v>
      </c>
      <c r="D209" s="177">
        <f>VLOOKUP($A209,K0kommunestruktur2019!$A$4:$N$425,K0kommunestruktur2020!D$3,FALSE)</f>
        <v>65047</v>
      </c>
      <c r="E209" s="289">
        <f>VLOOKUP($A209,K0kommunestruktur2019!$A$4:$N$425,K0kommunestruktur2020!E$3,FALSE)</f>
        <v>3002</v>
      </c>
      <c r="F209" s="177">
        <f>VLOOKUP($A209,K0kommunestruktur2019!$A$4:$N$425,K0kommunestruktur2020!F$3,FALSE)</f>
        <v>68192</v>
      </c>
      <c r="G209" s="289">
        <f>VLOOKUP($A209,K0kommunestruktur2019!$A$4:$N$425,K0kommunestruktur2020!G$3,FALSE)</f>
        <v>2991</v>
      </c>
      <c r="H209" s="177">
        <f>VLOOKUP($A209,K0kommunestruktur2019!$A$4:$N$425,K0kommunestruktur2020!H$3,FALSE)</f>
        <v>77709</v>
      </c>
      <c r="I209" s="289">
        <f>VLOOKUP($A209,K0kommunestruktur2019!$A$4:$N$425,K0kommunestruktur2020!I$3,FALSE)</f>
        <v>2979</v>
      </c>
      <c r="J209" s="177">
        <f>VLOOKUP($A209,K0kommunestruktur2019!$A$4:$N$425,K0kommunestruktur2020!J$3,FALSE)</f>
        <v>76975</v>
      </c>
      <c r="K209" s="289">
        <f>VLOOKUP($A209,K0kommunestruktur2019!$A$4:$N$425,K0kommunestruktur2020!K$3,FALSE)</f>
        <v>2959</v>
      </c>
      <c r="L209" s="177">
        <f>VLOOKUP($A209,K0kommunestruktur2019!$A$4:$N$425,K0kommunestruktur2020!L$3,FALSE)</f>
        <v>79022</v>
      </c>
      <c r="M209" s="289">
        <f>VLOOKUP($A209,K0kommunestruktur2019!$A$4:$N$425,K0kommunestruktur2020!M$3,FALSE)</f>
        <v>2934</v>
      </c>
      <c r="N209" s="177">
        <f>VLOOKUP($A209,K0kommunestruktur2019!$A$4:$N$425,K0kommunestruktur2020!N$3,FALSE)</f>
        <v>79899</v>
      </c>
      <c r="O209" s="289">
        <f>VLOOKUP(A209,'K20'!$A$4:$BV$359,3)</f>
        <v>2888</v>
      </c>
      <c r="P209" s="289">
        <f>VLOOKUP(A209,'K20'!$A$4:$BV$359,26)</f>
        <v>81485</v>
      </c>
      <c r="R209" s="517"/>
      <c r="S209" s="517"/>
      <c r="T209" s="517"/>
    </row>
    <row r="210" spans="1:20" ht="13">
      <c r="A210" s="865">
        <v>3821</v>
      </c>
      <c r="B210" s="866" t="s">
        <v>923</v>
      </c>
      <c r="C210" s="289">
        <f>VLOOKUP($A210,K0kommunestruktur2019!$A$4:$N$425,K0kommunestruktur2020!C$3,FALSE)</f>
        <v>2468</v>
      </c>
      <c r="D210" s="177">
        <f>VLOOKUP($A210,K0kommunestruktur2019!$A$4:$N$425,K0kommunestruktur2020!D$3,FALSE)</f>
        <v>50957</v>
      </c>
      <c r="E210" s="289">
        <f>VLOOKUP($A210,K0kommunestruktur2019!$A$4:$N$425,K0kommunestruktur2020!E$3,FALSE)</f>
        <v>2466</v>
      </c>
      <c r="F210" s="177">
        <f>VLOOKUP($A210,K0kommunestruktur2019!$A$4:$N$425,K0kommunestruktur2020!F$3,FALSE)</f>
        <v>53676</v>
      </c>
      <c r="G210" s="289">
        <f>VLOOKUP($A210,K0kommunestruktur2019!$A$4:$N$425,K0kommunestruktur2020!G$3,FALSE)</f>
        <v>2448</v>
      </c>
      <c r="H210" s="177">
        <f>VLOOKUP($A210,K0kommunestruktur2019!$A$4:$N$425,K0kommunestruktur2020!H$3,FALSE)</f>
        <v>59167</v>
      </c>
      <c r="I210" s="289">
        <f>VLOOKUP($A210,K0kommunestruktur2019!$A$4:$N$425,K0kommunestruktur2020!I$3,FALSE)</f>
        <v>2442</v>
      </c>
      <c r="J210" s="177">
        <f>VLOOKUP($A210,K0kommunestruktur2019!$A$4:$N$425,K0kommunestruktur2020!J$3,FALSE)</f>
        <v>59446</v>
      </c>
      <c r="K210" s="289">
        <f>VLOOKUP($A210,K0kommunestruktur2019!$A$4:$N$425,K0kommunestruktur2020!K$3,FALSE)</f>
        <v>2397</v>
      </c>
      <c r="L210" s="177">
        <f>VLOOKUP($A210,K0kommunestruktur2019!$A$4:$N$425,K0kommunestruktur2020!L$3,FALSE)</f>
        <v>63971</v>
      </c>
      <c r="M210" s="289">
        <f>VLOOKUP($A210,K0kommunestruktur2019!$A$4:$N$425,K0kommunestruktur2020!M$3,FALSE)</f>
        <v>2403</v>
      </c>
      <c r="N210" s="177">
        <f>VLOOKUP($A210,K0kommunestruktur2019!$A$4:$N$425,K0kommunestruktur2020!N$3,FALSE)</f>
        <v>65310</v>
      </c>
      <c r="O210" s="289">
        <f>VLOOKUP(A210,'K20'!$A$4:$BV$359,3)</f>
        <v>2403</v>
      </c>
      <c r="P210" s="289">
        <f>VLOOKUP(A210,'K20'!$A$4:$BV$359,26)</f>
        <v>67377</v>
      </c>
      <c r="R210" s="517"/>
      <c r="S210" s="517"/>
      <c r="T210" s="517"/>
    </row>
    <row r="211" spans="1:20" ht="13">
      <c r="A211" s="865">
        <v>3822</v>
      </c>
      <c r="B211" s="866" t="s">
        <v>924</v>
      </c>
      <c r="C211" s="289">
        <f>VLOOKUP($A211,K0kommunestruktur2019!$A$4:$N$425,K0kommunestruktur2020!C$3,FALSE)</f>
        <v>1451</v>
      </c>
      <c r="D211" s="177">
        <f>VLOOKUP($A211,K0kommunestruktur2019!$A$4:$N$425,K0kommunestruktur2020!D$3,FALSE)</f>
        <v>36611</v>
      </c>
      <c r="E211" s="289">
        <f>VLOOKUP($A211,K0kommunestruktur2019!$A$4:$N$425,K0kommunestruktur2020!E$3,FALSE)</f>
        <v>1439</v>
      </c>
      <c r="F211" s="177">
        <f>VLOOKUP($A211,K0kommunestruktur2019!$A$4:$N$425,K0kommunestruktur2020!F$3,FALSE)</f>
        <v>37410</v>
      </c>
      <c r="G211" s="289">
        <f>VLOOKUP($A211,K0kommunestruktur2019!$A$4:$N$425,K0kommunestruktur2020!G$3,FALSE)</f>
        <v>1443</v>
      </c>
      <c r="H211" s="177">
        <f>VLOOKUP($A211,K0kommunestruktur2019!$A$4:$N$425,K0kommunestruktur2020!H$3,FALSE)</f>
        <v>39677</v>
      </c>
      <c r="I211" s="289">
        <f>VLOOKUP($A211,K0kommunestruktur2019!$A$4:$N$425,K0kommunestruktur2020!I$3,FALSE)</f>
        <v>1476</v>
      </c>
      <c r="J211" s="177">
        <f>VLOOKUP($A211,K0kommunestruktur2019!$A$4:$N$425,K0kommunestruktur2020!J$3,FALSE)</f>
        <v>41801</v>
      </c>
      <c r="K211" s="289">
        <f>VLOOKUP($A211,K0kommunestruktur2019!$A$4:$N$425,K0kommunestruktur2020!K$3,FALSE)</f>
        <v>1489</v>
      </c>
      <c r="L211" s="177">
        <f>VLOOKUP($A211,K0kommunestruktur2019!$A$4:$N$425,K0kommunestruktur2020!L$3,FALSE)</f>
        <v>43371</v>
      </c>
      <c r="M211" s="289">
        <f>VLOOKUP($A211,K0kommunestruktur2019!$A$4:$N$425,K0kommunestruktur2020!M$3,FALSE)</f>
        <v>1476</v>
      </c>
      <c r="N211" s="177">
        <f>VLOOKUP($A211,K0kommunestruktur2019!$A$4:$N$425,K0kommunestruktur2020!N$3,FALSE)</f>
        <v>43819</v>
      </c>
      <c r="O211" s="289">
        <f>VLOOKUP(A211,'K20'!$A$4:$BV$359,3)</f>
        <v>1448</v>
      </c>
      <c r="P211" s="289">
        <f>VLOOKUP(A211,'K20'!$A$4:$BV$359,26)</f>
        <v>42926</v>
      </c>
      <c r="R211" s="517"/>
      <c r="S211" s="517"/>
      <c r="T211" s="517"/>
    </row>
    <row r="212" spans="1:20" ht="13">
      <c r="A212" s="865">
        <v>3823</v>
      </c>
      <c r="B212" s="866" t="s">
        <v>925</v>
      </c>
      <c r="C212" s="289">
        <f>VLOOKUP($A212,K0kommunestruktur2019!$A$4:$N$425,K0kommunestruktur2020!C$3,FALSE)</f>
        <v>1303</v>
      </c>
      <c r="D212" s="177">
        <f>VLOOKUP($A212,K0kommunestruktur2019!$A$4:$N$425,K0kommunestruktur2020!D$3,FALSE)</f>
        <v>28797</v>
      </c>
      <c r="E212" s="289">
        <f>VLOOKUP($A212,K0kommunestruktur2019!$A$4:$N$425,K0kommunestruktur2020!E$3,FALSE)</f>
        <v>1298</v>
      </c>
      <c r="F212" s="177">
        <f>VLOOKUP($A212,K0kommunestruktur2019!$A$4:$N$425,K0kommunestruktur2020!F$3,FALSE)</f>
        <v>30134</v>
      </c>
      <c r="G212" s="289">
        <f>VLOOKUP($A212,K0kommunestruktur2019!$A$4:$N$425,K0kommunestruktur2020!G$3,FALSE)</f>
        <v>1323</v>
      </c>
      <c r="H212" s="177">
        <f>VLOOKUP($A212,K0kommunestruktur2019!$A$4:$N$425,K0kommunestruktur2020!H$3,FALSE)</f>
        <v>31376</v>
      </c>
      <c r="I212" s="289">
        <f>VLOOKUP($A212,K0kommunestruktur2019!$A$4:$N$425,K0kommunestruktur2020!I$3,FALSE)</f>
        <v>1319</v>
      </c>
      <c r="J212" s="177">
        <f>VLOOKUP($A212,K0kommunestruktur2019!$A$4:$N$425,K0kommunestruktur2020!J$3,FALSE)</f>
        <v>31788</v>
      </c>
      <c r="K212" s="289">
        <f>VLOOKUP($A212,K0kommunestruktur2019!$A$4:$N$425,K0kommunestruktur2020!K$3,FALSE)</f>
        <v>1320</v>
      </c>
      <c r="L212" s="177">
        <f>VLOOKUP($A212,K0kommunestruktur2019!$A$4:$N$425,K0kommunestruktur2020!L$3,FALSE)</f>
        <v>35116</v>
      </c>
      <c r="M212" s="289">
        <f>VLOOKUP($A212,K0kommunestruktur2019!$A$4:$N$425,K0kommunestruktur2020!M$3,FALSE)</f>
        <v>1286</v>
      </c>
      <c r="N212" s="177">
        <f>VLOOKUP($A212,K0kommunestruktur2019!$A$4:$N$425,K0kommunestruktur2020!N$3,FALSE)</f>
        <v>35476</v>
      </c>
      <c r="O212" s="289">
        <f>VLOOKUP(A212,'K20'!$A$4:$BV$359,3)</f>
        <v>1287</v>
      </c>
      <c r="P212" s="289">
        <f>VLOOKUP(A212,'K20'!$A$4:$BV$359,26)</f>
        <v>35369</v>
      </c>
      <c r="R212" s="517"/>
      <c r="S212" s="517"/>
      <c r="T212" s="517"/>
    </row>
    <row r="213" spans="1:20" ht="13">
      <c r="A213" s="865">
        <v>3824</v>
      </c>
      <c r="B213" s="866" t="s">
        <v>926</v>
      </c>
      <c r="C213" s="289">
        <f>VLOOKUP($A213,K0kommunestruktur2019!$A$4:$N$425,K0kommunestruktur2020!C$3,FALSE)</f>
        <v>2257</v>
      </c>
      <c r="D213" s="177">
        <f>VLOOKUP($A213,K0kommunestruktur2019!$A$4:$N$425,K0kommunestruktur2020!D$3,FALSE)</f>
        <v>71072</v>
      </c>
      <c r="E213" s="289">
        <f>VLOOKUP($A213,K0kommunestruktur2019!$A$4:$N$425,K0kommunestruktur2020!E$3,FALSE)</f>
        <v>2252</v>
      </c>
      <c r="F213" s="177">
        <f>VLOOKUP($A213,K0kommunestruktur2019!$A$4:$N$425,K0kommunestruktur2020!F$3,FALSE)</f>
        <v>73784</v>
      </c>
      <c r="G213" s="289">
        <f>VLOOKUP($A213,K0kommunestruktur2019!$A$4:$N$425,K0kommunestruktur2020!G$3,FALSE)</f>
        <v>2246</v>
      </c>
      <c r="H213" s="177">
        <f>VLOOKUP($A213,K0kommunestruktur2019!$A$4:$N$425,K0kommunestruktur2020!H$3,FALSE)</f>
        <v>75679</v>
      </c>
      <c r="I213" s="289">
        <f>VLOOKUP($A213,K0kommunestruktur2019!$A$4:$N$425,K0kommunestruktur2020!I$3,FALSE)</f>
        <v>2228</v>
      </c>
      <c r="J213" s="177">
        <f>VLOOKUP($A213,K0kommunestruktur2019!$A$4:$N$425,K0kommunestruktur2020!J$3,FALSE)</f>
        <v>75885</v>
      </c>
      <c r="K213" s="289">
        <f>VLOOKUP($A213,K0kommunestruktur2019!$A$4:$N$425,K0kommunestruktur2020!K$3,FALSE)</f>
        <v>2236</v>
      </c>
      <c r="L213" s="177">
        <f>VLOOKUP($A213,K0kommunestruktur2019!$A$4:$N$425,K0kommunestruktur2020!L$3,FALSE)</f>
        <v>78415</v>
      </c>
      <c r="M213" s="289">
        <f>VLOOKUP($A213,K0kommunestruktur2019!$A$4:$N$425,K0kommunestruktur2020!M$3,FALSE)</f>
        <v>2228</v>
      </c>
      <c r="N213" s="177">
        <f>VLOOKUP($A213,K0kommunestruktur2019!$A$4:$N$425,K0kommunestruktur2020!N$3,FALSE)</f>
        <v>83047</v>
      </c>
      <c r="O213" s="289">
        <f>VLOOKUP(A213,'K20'!$A$4:$BV$359,3)</f>
        <v>2201</v>
      </c>
      <c r="P213" s="289">
        <f>VLOOKUP(A213,'K20'!$A$4:$BV$359,26)</f>
        <v>84882</v>
      </c>
      <c r="R213" s="517"/>
      <c r="S213" s="517"/>
      <c r="T213" s="517"/>
    </row>
    <row r="214" spans="1:20" ht="13">
      <c r="A214" s="865">
        <v>3825</v>
      </c>
      <c r="B214" s="866" t="s">
        <v>927</v>
      </c>
      <c r="C214" s="289">
        <f>VLOOKUP($A214,K0kommunestruktur2019!$A$4:$N$425,K0kommunestruktur2020!C$3,FALSE)</f>
        <v>3723</v>
      </c>
      <c r="D214" s="177">
        <f>VLOOKUP($A214,K0kommunestruktur2019!$A$4:$N$425,K0kommunestruktur2020!D$3,FALSE)</f>
        <v>126108</v>
      </c>
      <c r="E214" s="289">
        <f>VLOOKUP($A214,K0kommunestruktur2019!$A$4:$N$425,K0kommunestruktur2020!E$3,FALSE)</f>
        <v>3689</v>
      </c>
      <c r="F214" s="177">
        <f>VLOOKUP($A214,K0kommunestruktur2019!$A$4:$N$425,K0kommunestruktur2020!F$3,FALSE)</f>
        <v>128208</v>
      </c>
      <c r="G214" s="289">
        <f>VLOOKUP($A214,K0kommunestruktur2019!$A$4:$N$425,K0kommunestruktur2020!G$3,FALSE)</f>
        <v>3727</v>
      </c>
      <c r="H214" s="177">
        <f>VLOOKUP($A214,K0kommunestruktur2019!$A$4:$N$425,K0kommunestruktur2020!H$3,FALSE)</f>
        <v>139735</v>
      </c>
      <c r="I214" s="289">
        <f>VLOOKUP($A214,K0kommunestruktur2019!$A$4:$N$425,K0kommunestruktur2020!I$3,FALSE)</f>
        <v>3726</v>
      </c>
      <c r="J214" s="177">
        <f>VLOOKUP($A214,K0kommunestruktur2019!$A$4:$N$425,K0kommunestruktur2020!J$3,FALSE)</f>
        <v>147661</v>
      </c>
      <c r="K214" s="289">
        <f>VLOOKUP($A214,K0kommunestruktur2019!$A$4:$N$425,K0kommunestruktur2020!K$3,FALSE)</f>
        <v>3709</v>
      </c>
      <c r="L214" s="177">
        <f>VLOOKUP($A214,K0kommunestruktur2019!$A$4:$N$425,K0kommunestruktur2020!L$3,FALSE)</f>
        <v>151716</v>
      </c>
      <c r="M214" s="289">
        <f>VLOOKUP($A214,K0kommunestruktur2019!$A$4:$N$425,K0kommunestruktur2020!M$3,FALSE)</f>
        <v>3723</v>
      </c>
      <c r="N214" s="177">
        <f>VLOOKUP($A214,K0kommunestruktur2019!$A$4:$N$425,K0kommunestruktur2020!N$3,FALSE)</f>
        <v>154659</v>
      </c>
      <c r="O214" s="289">
        <f>VLOOKUP(A214,'K20'!$A$4:$BV$359,3)</f>
        <v>3676</v>
      </c>
      <c r="P214" s="289">
        <f>VLOOKUP(A214,'K20'!$A$4:$BV$359,26)</f>
        <v>150015</v>
      </c>
      <c r="R214" s="517"/>
      <c r="S214" s="517"/>
      <c r="T214" s="517"/>
    </row>
    <row r="215" spans="1:20" ht="13">
      <c r="A215" s="865">
        <v>4201</v>
      </c>
      <c r="B215" s="866" t="s">
        <v>928</v>
      </c>
      <c r="C215" s="289">
        <f>VLOOKUP($A215,K0kommunestruktur2019!$A$4:$N$425,K0kommunestruktur2020!C$3,FALSE)</f>
        <v>6899</v>
      </c>
      <c r="D215" s="177">
        <f>VLOOKUP($A215,K0kommunestruktur2019!$A$4:$N$425,K0kommunestruktur2020!D$3,FALSE)</f>
        <v>134355</v>
      </c>
      <c r="E215" s="289">
        <f>VLOOKUP($A215,K0kommunestruktur2019!$A$4:$N$425,K0kommunestruktur2020!E$3,FALSE)</f>
        <v>6909</v>
      </c>
      <c r="F215" s="177">
        <f>VLOOKUP($A215,K0kommunestruktur2019!$A$4:$N$425,K0kommunestruktur2020!F$3,FALSE)</f>
        <v>147885</v>
      </c>
      <c r="G215" s="289">
        <f>VLOOKUP($A215,K0kommunestruktur2019!$A$4:$N$425,K0kommunestruktur2020!G$3,FALSE)</f>
        <v>6920</v>
      </c>
      <c r="H215" s="177">
        <f>VLOOKUP($A215,K0kommunestruktur2019!$A$4:$N$425,K0kommunestruktur2020!H$3,FALSE)</f>
        <v>167375</v>
      </c>
      <c r="I215" s="289">
        <f>VLOOKUP($A215,K0kommunestruktur2019!$A$4:$N$425,K0kommunestruktur2020!I$3,FALSE)</f>
        <v>6936</v>
      </c>
      <c r="J215" s="177">
        <f>VLOOKUP($A215,K0kommunestruktur2019!$A$4:$N$425,K0kommunestruktur2020!J$3,FALSE)</f>
        <v>169353</v>
      </c>
      <c r="K215" s="289">
        <f>VLOOKUP($A215,K0kommunestruktur2019!$A$4:$N$425,K0kommunestruktur2020!K$3,FALSE)</f>
        <v>6882</v>
      </c>
      <c r="L215" s="177">
        <f>VLOOKUP($A215,K0kommunestruktur2019!$A$4:$N$425,K0kommunestruktur2020!L$3,FALSE)</f>
        <v>167642</v>
      </c>
      <c r="M215" s="289">
        <f>VLOOKUP($A215,K0kommunestruktur2019!$A$4:$N$425,K0kommunestruktur2020!M$3,FALSE)</f>
        <v>6848</v>
      </c>
      <c r="N215" s="177">
        <f>VLOOKUP($A215,K0kommunestruktur2019!$A$4:$N$425,K0kommunestruktur2020!N$3,FALSE)</f>
        <v>177519</v>
      </c>
      <c r="O215" s="289">
        <f>VLOOKUP(A215,'K20'!$A$4:$BV$359,3)</f>
        <v>6809</v>
      </c>
      <c r="P215" s="289">
        <f>VLOOKUP(A215,'K20'!$A$4:$BV$359,26)</f>
        <v>180186</v>
      </c>
      <c r="R215" s="517"/>
      <c r="S215" s="517"/>
      <c r="T215" s="517"/>
    </row>
    <row r="216" spans="1:20" ht="13">
      <c r="A216" s="865">
        <v>4202</v>
      </c>
      <c r="B216" s="866" t="s">
        <v>929</v>
      </c>
      <c r="C216" s="289">
        <f>VLOOKUP($A216,K0kommunestruktur2019!$A$4:$N$425,K0kommunestruktur2020!C$3,FALSE)</f>
        <v>21783</v>
      </c>
      <c r="D216" s="177">
        <f>VLOOKUP($A216,K0kommunestruktur2019!$A$4:$N$425,K0kommunestruktur2020!D$3,FALSE)</f>
        <v>553534</v>
      </c>
      <c r="E216" s="289">
        <f>VLOOKUP($A216,K0kommunestruktur2019!$A$4:$N$425,K0kommunestruktur2020!E$3,FALSE)</f>
        <v>22098</v>
      </c>
      <c r="F216" s="177">
        <f>VLOOKUP($A216,K0kommunestruktur2019!$A$4:$N$425,K0kommunestruktur2020!F$3,FALSE)</f>
        <v>543922</v>
      </c>
      <c r="G216" s="289">
        <f>VLOOKUP($A216,K0kommunestruktur2019!$A$4:$N$425,K0kommunestruktur2020!G$3,FALSE)</f>
        <v>22550</v>
      </c>
      <c r="H216" s="177">
        <f>VLOOKUP($A216,K0kommunestruktur2019!$A$4:$N$425,K0kommunestruktur2020!H$3,FALSE)</f>
        <v>604347</v>
      </c>
      <c r="I216" s="289">
        <f>VLOOKUP($A216,K0kommunestruktur2019!$A$4:$N$425,K0kommunestruktur2020!I$3,FALSE)</f>
        <v>22692</v>
      </c>
      <c r="J216" s="177">
        <f>VLOOKUP($A216,K0kommunestruktur2019!$A$4:$N$425,K0kommunestruktur2020!J$3,FALSE)</f>
        <v>697878</v>
      </c>
      <c r="K216" s="289">
        <f>VLOOKUP($A216,K0kommunestruktur2019!$A$4:$N$425,K0kommunestruktur2020!K$3,FALSE)</f>
        <v>23017</v>
      </c>
      <c r="L216" s="177">
        <f>VLOOKUP($A216,K0kommunestruktur2019!$A$4:$N$425,K0kommunestruktur2020!L$3,FALSE)</f>
        <v>637254</v>
      </c>
      <c r="M216" s="289">
        <f>VLOOKUP($A216,K0kommunestruktur2019!$A$4:$N$425,K0kommunestruktur2020!M$3,FALSE)</f>
        <v>23246</v>
      </c>
      <c r="N216" s="177">
        <f>VLOOKUP($A216,K0kommunestruktur2019!$A$4:$N$425,K0kommunestruktur2020!N$3,FALSE)</f>
        <v>551458</v>
      </c>
      <c r="O216" s="289">
        <f>VLOOKUP(A216,'K20'!$A$4:$BV$359,3)</f>
        <v>23544</v>
      </c>
      <c r="P216" s="289">
        <f>VLOOKUP(A216,'K20'!$A$4:$BV$359,26)</f>
        <v>635058</v>
      </c>
      <c r="R216" s="517"/>
      <c r="S216" s="517"/>
      <c r="T216" s="517"/>
    </row>
    <row r="217" spans="1:20" ht="13">
      <c r="A217" s="865">
        <v>4203</v>
      </c>
      <c r="B217" s="866" t="s">
        <v>930</v>
      </c>
      <c r="C217" s="289">
        <f>VLOOKUP($A217,K0kommunestruktur2019!$A$4:$N$425,K0kommunestruktur2020!C$3,FALSE)</f>
        <v>43841</v>
      </c>
      <c r="D217" s="177">
        <f>VLOOKUP($A217,K0kommunestruktur2019!$A$4:$N$425,K0kommunestruktur2020!D$3,FALSE)</f>
        <v>938268</v>
      </c>
      <c r="E217" s="289">
        <f>VLOOKUP($A217,K0kommunestruktur2019!$A$4:$N$425,K0kommunestruktur2020!E$3,FALSE)</f>
        <v>44219</v>
      </c>
      <c r="F217" s="177">
        <f>VLOOKUP($A217,K0kommunestruktur2019!$A$4:$N$425,K0kommunestruktur2020!F$3,FALSE)</f>
        <v>1003175</v>
      </c>
      <c r="G217" s="289">
        <f>VLOOKUP($A217,K0kommunestruktur2019!$A$4:$N$425,K0kommunestruktur2020!G$3,FALSE)</f>
        <v>44313</v>
      </c>
      <c r="H217" s="177">
        <f>VLOOKUP($A217,K0kommunestruktur2019!$A$4:$N$425,K0kommunestruktur2020!H$3,FALSE)</f>
        <v>1080289</v>
      </c>
      <c r="I217" s="289">
        <f>VLOOKUP($A217,K0kommunestruktur2019!$A$4:$N$425,K0kommunestruktur2020!I$3,FALSE)</f>
        <v>44576</v>
      </c>
      <c r="J217" s="177">
        <f>VLOOKUP($A217,K0kommunestruktur2019!$A$4:$N$425,K0kommunestruktur2020!J$3,FALSE)</f>
        <v>1108406</v>
      </c>
      <c r="K217" s="289">
        <f>VLOOKUP($A217,K0kommunestruktur2019!$A$4:$N$425,K0kommunestruktur2020!K$3,FALSE)</f>
        <v>44645</v>
      </c>
      <c r="L217" s="177">
        <f>VLOOKUP($A217,K0kommunestruktur2019!$A$4:$N$425,K0kommunestruktur2020!L$3,FALSE)</f>
        <v>1138206</v>
      </c>
      <c r="M217" s="289">
        <f>VLOOKUP($A217,K0kommunestruktur2019!$A$4:$N$425,K0kommunestruktur2020!M$3,FALSE)</f>
        <v>44785</v>
      </c>
      <c r="N217" s="177">
        <f>VLOOKUP($A217,K0kommunestruktur2019!$A$4:$N$425,K0kommunestruktur2020!N$3,FALSE)</f>
        <v>1184748</v>
      </c>
      <c r="O217" s="289">
        <f>VLOOKUP(A217,'K20'!$A$4:$BV$359,3)</f>
        <v>44999</v>
      </c>
      <c r="P217" s="289">
        <f>VLOOKUP(A217,'K20'!$A$4:$BV$359,26)</f>
        <v>1167063</v>
      </c>
      <c r="R217" s="517"/>
      <c r="S217" s="517"/>
      <c r="T217" s="517"/>
    </row>
    <row r="218" spans="1:20" ht="13">
      <c r="A218" s="878">
        <v>4204</v>
      </c>
      <c r="B218" s="883" t="s">
        <v>1628</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VLOOKUP(A218,'K20'!$A$4:$BV$359,3)</f>
        <v>111633</v>
      </c>
      <c r="P218" s="289">
        <f>VLOOKUP(A218,'K20'!$A$4:$BV$359,26)</f>
        <v>3039670</v>
      </c>
      <c r="R218" s="517"/>
      <c r="S218" s="517"/>
      <c r="T218" s="517"/>
    </row>
    <row r="219" spans="1:20" ht="13">
      <c r="A219" s="878">
        <v>4205</v>
      </c>
      <c r="B219" s="883" t="s">
        <v>1629</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VLOOKUP(A219,'K20'!$A$4:$BV$359,3)</f>
        <v>23046</v>
      </c>
      <c r="P219" s="289">
        <f>VLOOKUP(A219,'K20'!$A$4:$BV$359,26)</f>
        <v>591163</v>
      </c>
      <c r="R219" s="517"/>
      <c r="S219" s="517"/>
      <c r="T219" s="517"/>
    </row>
    <row r="220" spans="1:20" ht="13">
      <c r="A220" s="865">
        <v>4206</v>
      </c>
      <c r="B220" s="866" t="s">
        <v>944</v>
      </c>
      <c r="C220" s="289">
        <f>VLOOKUP($A220,K0kommunestruktur2019!$A$4:$N$425,K0kommunestruktur2020!C$3,FALSE)</f>
        <v>9516</v>
      </c>
      <c r="D220" s="177">
        <f>VLOOKUP($A220,K0kommunestruktur2019!$A$4:$N$425,K0kommunestruktur2020!D$3,FALSE)</f>
        <v>213055</v>
      </c>
      <c r="E220" s="289">
        <f>VLOOKUP($A220,K0kommunestruktur2019!$A$4:$N$425,K0kommunestruktur2020!E$3,FALSE)</f>
        <v>9596</v>
      </c>
      <c r="F220" s="177">
        <f>VLOOKUP($A220,K0kommunestruktur2019!$A$4:$N$425,K0kommunestruktur2020!F$3,FALSE)</f>
        <v>220937</v>
      </c>
      <c r="G220" s="289">
        <f>VLOOKUP($A220,K0kommunestruktur2019!$A$4:$N$425,K0kommunestruktur2020!G$3,FALSE)</f>
        <v>9705</v>
      </c>
      <c r="H220" s="177">
        <f>VLOOKUP($A220,K0kommunestruktur2019!$A$4:$N$425,K0kommunestruktur2020!H$3,FALSE)</f>
        <v>232824</v>
      </c>
      <c r="I220" s="289">
        <f>VLOOKUP($A220,K0kommunestruktur2019!$A$4:$N$425,K0kommunestruktur2020!I$3,FALSE)</f>
        <v>9769</v>
      </c>
      <c r="J220" s="177">
        <f>VLOOKUP($A220,K0kommunestruktur2019!$A$4:$N$425,K0kommunestruktur2020!J$3,FALSE)</f>
        <v>236747</v>
      </c>
      <c r="K220" s="289">
        <f>VLOOKUP($A220,K0kommunestruktur2019!$A$4:$N$425,K0kommunestruktur2020!K$3,FALSE)</f>
        <v>9726</v>
      </c>
      <c r="L220" s="177">
        <f>VLOOKUP($A220,K0kommunestruktur2019!$A$4:$N$425,K0kommunestruktur2020!L$3,FALSE)</f>
        <v>246461</v>
      </c>
      <c r="M220" s="289">
        <f>VLOOKUP($A220,K0kommunestruktur2019!$A$4:$N$425,K0kommunestruktur2020!M$3,FALSE)</f>
        <v>9695</v>
      </c>
      <c r="N220" s="177">
        <f>VLOOKUP($A220,K0kommunestruktur2019!$A$4:$N$425,K0kommunestruktur2020!N$3,FALSE)</f>
        <v>255900</v>
      </c>
      <c r="O220" s="289">
        <f>VLOOKUP(A220,'K20'!$A$4:$BV$359,3)</f>
        <v>9691</v>
      </c>
      <c r="P220" s="289">
        <f>VLOOKUP(A220,'K20'!$A$4:$BV$359,26)</f>
        <v>247224</v>
      </c>
      <c r="R220" s="517"/>
      <c r="S220" s="517"/>
      <c r="T220" s="517"/>
    </row>
    <row r="221" spans="1:20" ht="13">
      <c r="A221" s="865">
        <v>4207</v>
      </c>
      <c r="B221" s="866" t="s">
        <v>946</v>
      </c>
      <c r="C221" s="289">
        <f>VLOOKUP($A221,K0kommunestruktur2019!$A$4:$N$425,K0kommunestruktur2020!C$3,FALSE)</f>
        <v>9013</v>
      </c>
      <c r="D221" s="177">
        <f>VLOOKUP($A221,K0kommunestruktur2019!$A$4:$N$425,K0kommunestruktur2020!D$3,FALSE)</f>
        <v>207629</v>
      </c>
      <c r="E221" s="289">
        <f>VLOOKUP($A221,K0kommunestruktur2019!$A$4:$N$425,K0kommunestruktur2020!E$3,FALSE)</f>
        <v>9069</v>
      </c>
      <c r="F221" s="177">
        <f>VLOOKUP($A221,K0kommunestruktur2019!$A$4:$N$425,K0kommunestruktur2020!F$3,FALSE)</f>
        <v>221234</v>
      </c>
      <c r="G221" s="289">
        <f>VLOOKUP($A221,K0kommunestruktur2019!$A$4:$N$425,K0kommunestruktur2020!G$3,FALSE)</f>
        <v>9096</v>
      </c>
      <c r="H221" s="177">
        <f>VLOOKUP($A221,K0kommunestruktur2019!$A$4:$N$425,K0kommunestruktur2020!H$3,FALSE)</f>
        <v>234968</v>
      </c>
      <c r="I221" s="289">
        <f>VLOOKUP($A221,K0kommunestruktur2019!$A$4:$N$425,K0kommunestruktur2020!I$3,FALSE)</f>
        <v>9090</v>
      </c>
      <c r="J221" s="177">
        <f>VLOOKUP($A221,K0kommunestruktur2019!$A$4:$N$425,K0kommunestruktur2020!J$3,FALSE)</f>
        <v>235474</v>
      </c>
      <c r="K221" s="289">
        <f>VLOOKUP($A221,K0kommunestruktur2019!$A$4:$N$425,K0kommunestruktur2020!K$3,FALSE)</f>
        <v>9066</v>
      </c>
      <c r="L221" s="177">
        <f>VLOOKUP($A221,K0kommunestruktur2019!$A$4:$N$425,K0kommunestruktur2020!L$3,FALSE)</f>
        <v>241314</v>
      </c>
      <c r="M221" s="289">
        <f>VLOOKUP($A221,K0kommunestruktur2019!$A$4:$N$425,K0kommunestruktur2020!M$3,FALSE)</f>
        <v>9066</v>
      </c>
      <c r="N221" s="177">
        <f>VLOOKUP($A221,K0kommunestruktur2019!$A$4:$N$425,K0kommunestruktur2020!N$3,FALSE)</f>
        <v>248272</v>
      </c>
      <c r="O221" s="289">
        <f>VLOOKUP(A221,'K20'!$A$4:$BV$359,3)</f>
        <v>9028</v>
      </c>
      <c r="P221" s="289">
        <f>VLOOKUP(A221,'K20'!$A$4:$BV$359,26)</f>
        <v>244980</v>
      </c>
      <c r="R221" s="517"/>
      <c r="S221" s="517"/>
      <c r="T221" s="517"/>
    </row>
    <row r="222" spans="1:20" ht="13">
      <c r="A222" s="865">
        <v>4211</v>
      </c>
      <c r="B222" s="866" t="s">
        <v>931</v>
      </c>
      <c r="C222" s="289">
        <f>VLOOKUP($A222,K0kommunestruktur2019!$A$4:$N$425,K0kommunestruktur2020!C$3,FALSE)</f>
        <v>2489</v>
      </c>
      <c r="D222" s="177">
        <f>VLOOKUP($A222,K0kommunestruktur2019!$A$4:$N$425,K0kommunestruktur2020!D$3,FALSE)</f>
        <v>42217</v>
      </c>
      <c r="E222" s="289">
        <f>VLOOKUP($A222,K0kommunestruktur2019!$A$4:$N$425,K0kommunestruktur2020!E$3,FALSE)</f>
        <v>2481</v>
      </c>
      <c r="F222" s="177">
        <f>VLOOKUP($A222,K0kommunestruktur2019!$A$4:$N$425,K0kommunestruktur2020!F$3,FALSE)</f>
        <v>45870</v>
      </c>
      <c r="G222" s="289">
        <f>VLOOKUP($A222,K0kommunestruktur2019!$A$4:$N$425,K0kommunestruktur2020!G$3,FALSE)</f>
        <v>2473</v>
      </c>
      <c r="H222" s="177">
        <f>VLOOKUP($A222,K0kommunestruktur2019!$A$4:$N$425,K0kommunestruktur2020!H$3,FALSE)</f>
        <v>50912</v>
      </c>
      <c r="I222" s="289">
        <f>VLOOKUP($A222,K0kommunestruktur2019!$A$4:$N$425,K0kommunestruktur2020!I$3,FALSE)</f>
        <v>2511</v>
      </c>
      <c r="J222" s="177">
        <f>VLOOKUP($A222,K0kommunestruktur2019!$A$4:$N$425,K0kommunestruktur2020!J$3,FALSE)</f>
        <v>47795</v>
      </c>
      <c r="K222" s="289">
        <f>VLOOKUP($A222,K0kommunestruktur2019!$A$4:$N$425,K0kommunestruktur2020!K$3,FALSE)</f>
        <v>2467</v>
      </c>
      <c r="L222" s="177">
        <f>VLOOKUP($A222,K0kommunestruktur2019!$A$4:$N$425,K0kommunestruktur2020!L$3,FALSE)</f>
        <v>49187</v>
      </c>
      <c r="M222" s="289">
        <f>VLOOKUP($A222,K0kommunestruktur2019!$A$4:$N$425,K0kommunestruktur2020!M$3,FALSE)</f>
        <v>2454</v>
      </c>
      <c r="N222" s="177">
        <f>VLOOKUP($A222,K0kommunestruktur2019!$A$4:$N$425,K0kommunestruktur2020!N$3,FALSE)</f>
        <v>53222</v>
      </c>
      <c r="O222" s="289">
        <f>VLOOKUP(A222,'K20'!$A$4:$BV$359,3)</f>
        <v>2428</v>
      </c>
      <c r="P222" s="289">
        <f>VLOOKUP(A222,'K20'!$A$4:$BV$359,26)</f>
        <v>52631</v>
      </c>
      <c r="R222" s="517"/>
      <c r="S222" s="517"/>
      <c r="T222" s="517"/>
    </row>
    <row r="223" spans="1:20" ht="13">
      <c r="A223" s="865">
        <v>4212</v>
      </c>
      <c r="B223" s="866" t="s">
        <v>706</v>
      </c>
      <c r="C223" s="289">
        <f>VLOOKUP($A223,K0kommunestruktur2019!$A$4:$N$425,K0kommunestruktur2020!C$3,FALSE)</f>
        <v>2000</v>
      </c>
      <c r="D223" s="177">
        <f>VLOOKUP($A223,K0kommunestruktur2019!$A$4:$N$425,K0kommunestruktur2020!D$3,FALSE)</f>
        <v>33620</v>
      </c>
      <c r="E223" s="289">
        <f>VLOOKUP($A223,K0kommunestruktur2019!$A$4:$N$425,K0kommunestruktur2020!E$3,FALSE)</f>
        <v>2018</v>
      </c>
      <c r="F223" s="177">
        <f>VLOOKUP($A223,K0kommunestruktur2019!$A$4:$N$425,K0kommunestruktur2020!F$3,FALSE)</f>
        <v>35967</v>
      </c>
      <c r="G223" s="289">
        <f>VLOOKUP($A223,K0kommunestruktur2019!$A$4:$N$425,K0kommunestruktur2020!G$3,FALSE)</f>
        <v>2036</v>
      </c>
      <c r="H223" s="177">
        <f>VLOOKUP($A223,K0kommunestruktur2019!$A$4:$N$425,K0kommunestruktur2020!H$3,FALSE)</f>
        <v>38688</v>
      </c>
      <c r="I223" s="289">
        <f>VLOOKUP($A223,K0kommunestruktur2019!$A$4:$N$425,K0kommunestruktur2020!I$3,FALSE)</f>
        <v>2104</v>
      </c>
      <c r="J223" s="177">
        <f>VLOOKUP($A223,K0kommunestruktur2019!$A$4:$N$425,K0kommunestruktur2020!J$3,FALSE)</f>
        <v>43056</v>
      </c>
      <c r="K223" s="289">
        <f>VLOOKUP($A223,K0kommunestruktur2019!$A$4:$N$425,K0kommunestruktur2020!K$3,FALSE)</f>
        <v>2087</v>
      </c>
      <c r="L223" s="177">
        <f>VLOOKUP($A223,K0kommunestruktur2019!$A$4:$N$425,K0kommunestruktur2020!L$3,FALSE)</f>
        <v>44994</v>
      </c>
      <c r="M223" s="289">
        <f>VLOOKUP($A223,K0kommunestruktur2019!$A$4:$N$425,K0kommunestruktur2020!M$3,FALSE)</f>
        <v>2093</v>
      </c>
      <c r="N223" s="177">
        <f>VLOOKUP($A223,K0kommunestruktur2019!$A$4:$N$425,K0kommunestruktur2020!N$3,FALSE)</f>
        <v>46962</v>
      </c>
      <c r="O223" s="289">
        <f>VLOOKUP(A223,'K20'!$A$4:$BV$359,3)</f>
        <v>2097</v>
      </c>
      <c r="P223" s="289">
        <f>VLOOKUP(A223,'K20'!$A$4:$BV$359,26)</f>
        <v>47456</v>
      </c>
      <c r="R223" s="517"/>
      <c r="S223" s="517"/>
      <c r="T223" s="517"/>
    </row>
    <row r="224" spans="1:20" ht="13">
      <c r="A224" s="865">
        <v>4213</v>
      </c>
      <c r="B224" s="866" t="s">
        <v>932</v>
      </c>
      <c r="C224" s="289">
        <f>VLOOKUP($A224,K0kommunestruktur2019!$A$4:$N$425,K0kommunestruktur2020!C$3,FALSE)</f>
        <v>6059</v>
      </c>
      <c r="D224" s="177">
        <f>VLOOKUP($A224,K0kommunestruktur2019!$A$4:$N$425,K0kommunestruktur2020!D$3,FALSE)</f>
        <v>123581</v>
      </c>
      <c r="E224" s="289">
        <f>VLOOKUP($A224,K0kommunestruktur2019!$A$4:$N$425,K0kommunestruktur2020!E$3,FALSE)</f>
        <v>6048</v>
      </c>
      <c r="F224" s="177">
        <f>VLOOKUP($A224,K0kommunestruktur2019!$A$4:$N$425,K0kommunestruktur2020!F$3,FALSE)</f>
        <v>126293</v>
      </c>
      <c r="G224" s="289">
        <f>VLOOKUP($A224,K0kommunestruktur2019!$A$4:$N$425,K0kommunestruktur2020!G$3,FALSE)</f>
        <v>6014</v>
      </c>
      <c r="H224" s="177">
        <f>VLOOKUP($A224,K0kommunestruktur2019!$A$4:$N$425,K0kommunestruktur2020!H$3,FALSE)</f>
        <v>139825</v>
      </c>
      <c r="I224" s="289">
        <f>VLOOKUP($A224,K0kommunestruktur2019!$A$4:$N$425,K0kommunestruktur2020!I$3,FALSE)</f>
        <v>6051</v>
      </c>
      <c r="J224" s="177">
        <f>VLOOKUP($A224,K0kommunestruktur2019!$A$4:$N$425,K0kommunestruktur2020!J$3,FALSE)</f>
        <v>140112</v>
      </c>
      <c r="K224" s="289">
        <f>VLOOKUP($A224,K0kommunestruktur2019!$A$4:$N$425,K0kommunestruktur2020!K$3,FALSE)</f>
        <v>6086</v>
      </c>
      <c r="L224" s="177">
        <f>VLOOKUP($A224,K0kommunestruktur2019!$A$4:$N$425,K0kommunestruktur2020!L$3,FALSE)</f>
        <v>145870</v>
      </c>
      <c r="M224" s="289">
        <f>VLOOKUP($A224,K0kommunestruktur2019!$A$4:$N$425,K0kommunestruktur2020!M$3,FALSE)</f>
        <v>6069</v>
      </c>
      <c r="N224" s="177">
        <f>VLOOKUP($A224,K0kommunestruktur2019!$A$4:$N$425,K0kommunestruktur2020!N$3,FALSE)</f>
        <v>160923</v>
      </c>
      <c r="O224" s="289">
        <f>VLOOKUP(A224,'K20'!$A$4:$BV$359,3)</f>
        <v>6053</v>
      </c>
      <c r="P224" s="289">
        <f>VLOOKUP(A224,'K20'!$A$4:$BV$359,26)</f>
        <v>157539</v>
      </c>
      <c r="R224" s="517"/>
      <c r="S224" s="517"/>
      <c r="T224" s="517"/>
    </row>
    <row r="225" spans="1:20" ht="13">
      <c r="A225" s="865">
        <v>4214</v>
      </c>
      <c r="B225" s="866" t="s">
        <v>933</v>
      </c>
      <c r="C225" s="289">
        <f>VLOOKUP($A225,K0kommunestruktur2019!$A$4:$N$425,K0kommunestruktur2020!C$3,FALSE)</f>
        <v>5486</v>
      </c>
      <c r="D225" s="177">
        <f>VLOOKUP($A225,K0kommunestruktur2019!$A$4:$N$425,K0kommunestruktur2020!D$3,FALSE)</f>
        <v>106068</v>
      </c>
      <c r="E225" s="289">
        <f>VLOOKUP($A225,K0kommunestruktur2019!$A$4:$N$425,K0kommunestruktur2020!E$3,FALSE)</f>
        <v>5532</v>
      </c>
      <c r="F225" s="177">
        <f>VLOOKUP($A225,K0kommunestruktur2019!$A$4:$N$425,K0kommunestruktur2020!F$3,FALSE)</f>
        <v>112002</v>
      </c>
      <c r="G225" s="289">
        <f>VLOOKUP($A225,K0kommunestruktur2019!$A$4:$N$425,K0kommunestruktur2020!G$3,FALSE)</f>
        <v>5618</v>
      </c>
      <c r="H225" s="177">
        <f>VLOOKUP($A225,K0kommunestruktur2019!$A$4:$N$425,K0kommunestruktur2020!H$3,FALSE)</f>
        <v>118832</v>
      </c>
      <c r="I225" s="289">
        <f>VLOOKUP($A225,K0kommunestruktur2019!$A$4:$N$425,K0kommunestruktur2020!I$3,FALSE)</f>
        <v>5713</v>
      </c>
      <c r="J225" s="177">
        <f>VLOOKUP($A225,K0kommunestruktur2019!$A$4:$N$425,K0kommunestruktur2020!J$3,FALSE)</f>
        <v>126994</v>
      </c>
      <c r="K225" s="289">
        <f>VLOOKUP($A225,K0kommunestruktur2019!$A$4:$N$425,K0kommunestruktur2020!K$3,FALSE)</f>
        <v>5790</v>
      </c>
      <c r="L225" s="177">
        <f>VLOOKUP($A225,K0kommunestruktur2019!$A$4:$N$425,K0kommunestruktur2020!L$3,FALSE)</f>
        <v>133413</v>
      </c>
      <c r="M225" s="289">
        <f>VLOOKUP($A225,K0kommunestruktur2019!$A$4:$N$425,K0kommunestruktur2020!M$3,FALSE)</f>
        <v>5845</v>
      </c>
      <c r="N225" s="177">
        <f>VLOOKUP($A225,K0kommunestruktur2019!$A$4:$N$425,K0kommunestruktur2020!N$3,FALSE)</f>
        <v>137039</v>
      </c>
      <c r="O225" s="289">
        <f>VLOOKUP(A225,'K20'!$A$4:$BV$359,3)</f>
        <v>5951</v>
      </c>
      <c r="P225" s="289">
        <f>VLOOKUP(A225,'K20'!$A$4:$BV$359,26)</f>
        <v>137823</v>
      </c>
      <c r="R225" s="517"/>
      <c r="S225" s="517"/>
      <c r="T225" s="517"/>
    </row>
    <row r="226" spans="1:20" ht="13">
      <c r="A226" s="865">
        <v>4215</v>
      </c>
      <c r="B226" s="866" t="s">
        <v>934</v>
      </c>
      <c r="C226" s="289">
        <f>VLOOKUP($A226,K0kommunestruktur2019!$A$4:$N$425,K0kommunestruktur2020!C$3,FALSE)</f>
        <v>10106</v>
      </c>
      <c r="D226" s="177">
        <f>VLOOKUP($A226,K0kommunestruktur2019!$A$4:$N$425,K0kommunestruktur2020!D$3,FALSE)</f>
        <v>235481</v>
      </c>
      <c r="E226" s="289">
        <f>VLOOKUP($A226,K0kommunestruktur2019!$A$4:$N$425,K0kommunestruktur2020!E$3,FALSE)</f>
        <v>10340</v>
      </c>
      <c r="F226" s="177">
        <f>VLOOKUP($A226,K0kommunestruktur2019!$A$4:$N$425,K0kommunestruktur2020!F$3,FALSE)</f>
        <v>247000</v>
      </c>
      <c r="G226" s="289">
        <f>VLOOKUP($A226,K0kommunestruktur2019!$A$4:$N$425,K0kommunestruktur2020!G$3,FALSE)</f>
        <v>10577</v>
      </c>
      <c r="H226" s="177">
        <f>VLOOKUP($A226,K0kommunestruktur2019!$A$4:$N$425,K0kommunestruktur2020!H$3,FALSE)</f>
        <v>278121</v>
      </c>
      <c r="I226" s="289">
        <f>VLOOKUP($A226,K0kommunestruktur2019!$A$4:$N$425,K0kommunestruktur2020!I$3,FALSE)</f>
        <v>10702</v>
      </c>
      <c r="J226" s="177">
        <f>VLOOKUP($A226,K0kommunestruktur2019!$A$4:$N$425,K0kommunestruktur2020!J$3,FALSE)</f>
        <v>288478</v>
      </c>
      <c r="K226" s="289">
        <f>VLOOKUP($A226,K0kommunestruktur2019!$A$4:$N$425,K0kommunestruktur2020!K$3,FALSE)</f>
        <v>10871</v>
      </c>
      <c r="L226" s="177">
        <f>VLOOKUP($A226,K0kommunestruktur2019!$A$4:$N$425,K0kommunestruktur2020!L$3,FALSE)</f>
        <v>300378</v>
      </c>
      <c r="M226" s="289">
        <f>VLOOKUP($A226,K0kommunestruktur2019!$A$4:$N$425,K0kommunestruktur2020!M$3,FALSE)</f>
        <v>10990</v>
      </c>
      <c r="N226" s="177">
        <f>VLOOKUP($A226,K0kommunestruktur2019!$A$4:$N$425,K0kommunestruktur2020!N$3,FALSE)</f>
        <v>311373</v>
      </c>
      <c r="O226" s="289">
        <f>VLOOKUP(A226,'K20'!$A$4:$BV$359,3)</f>
        <v>11074</v>
      </c>
      <c r="P226" s="289">
        <f>VLOOKUP(A226,'K20'!$A$4:$BV$359,26)</f>
        <v>306882</v>
      </c>
      <c r="R226" s="517"/>
      <c r="S226" s="517"/>
      <c r="T226" s="517"/>
    </row>
    <row r="227" spans="1:20" ht="13">
      <c r="A227" s="865">
        <v>4216</v>
      </c>
      <c r="B227" s="866" t="s">
        <v>935</v>
      </c>
      <c r="C227" s="289">
        <f>VLOOKUP($A227,K0kommunestruktur2019!$A$4:$N$425,K0kommunestruktur2020!C$3,FALSE)+27</f>
        <v>4993</v>
      </c>
      <c r="D227" s="177">
        <f>+K0kommunestruktur2019!D447</f>
        <v>89117</v>
      </c>
      <c r="E227" s="289">
        <f>VLOOKUP($A227,K0kommunestruktur2019!$A$4:$N$425,K0kommunestruktur2020!E$3,FALSE)+27</f>
        <v>5035</v>
      </c>
      <c r="F227" s="177">
        <f>+K0kommunestruktur2019!F447</f>
        <v>92381</v>
      </c>
      <c r="G227" s="289">
        <f>VLOOKUP($A227,K0kommunestruktur2019!$A$4:$N$425,K0kommunestruktur2020!G$3,FALSE)+27</f>
        <v>5147</v>
      </c>
      <c r="H227" s="177">
        <f>+K0kommunestruktur2019!H447</f>
        <v>100305</v>
      </c>
      <c r="I227" s="289">
        <f>VLOOKUP($A227,K0kommunestruktur2019!$A$4:$N$425,K0kommunestruktur2020!I$3,FALSE)+27</f>
        <v>5178</v>
      </c>
      <c r="J227" s="177">
        <f>+K0kommunestruktur2019!J447</f>
        <v>106505</v>
      </c>
      <c r="K227" s="289">
        <f>VLOOKUP($A227,K0kommunestruktur2019!$A$4:$N$425,K0kommunestruktur2020!K$3,FALSE)+27</f>
        <v>5187</v>
      </c>
      <c r="L227" s="177">
        <f>+K0kommunestruktur2019!L447</f>
        <v>116344</v>
      </c>
      <c r="M227" s="289">
        <f>VLOOKUP($A227,K0kommunestruktur2019!$A$4:$N$425,K0kommunestruktur2020!M$3,FALSE)+27</f>
        <v>5239</v>
      </c>
      <c r="N227" s="177">
        <f>VLOOKUP($A227,K0kommunestruktur2019!$A$4:$N$425,K0kommunestruktur2020!N$3,FALSE)</f>
        <v>121884</v>
      </c>
      <c r="O227" s="289">
        <f>VLOOKUP(A227,'K20'!$A$4:$BV$359,3)</f>
        <v>5226</v>
      </c>
      <c r="P227" s="289">
        <f>VLOOKUP(A227,'K20'!$A$4:$BV$359,26)</f>
        <v>118038</v>
      </c>
      <c r="R227" s="517"/>
      <c r="S227" s="517"/>
      <c r="T227" s="517"/>
    </row>
    <row r="228" spans="1:20" ht="13">
      <c r="A228" s="865">
        <v>4217</v>
      </c>
      <c r="B228" s="866" t="s">
        <v>936</v>
      </c>
      <c r="C228" s="289">
        <f>VLOOKUP($A228,K0kommunestruktur2019!$A$4:$N$425,K0kommunestruktur2020!C$3,FALSE)</f>
        <v>1810</v>
      </c>
      <c r="D228" s="177">
        <f>VLOOKUP($A228,K0kommunestruktur2019!$A$4:$N$425,K0kommunestruktur2020!D$3,FALSE)</f>
        <v>36347</v>
      </c>
      <c r="E228" s="289">
        <f>VLOOKUP($A228,K0kommunestruktur2019!$A$4:$N$425,K0kommunestruktur2020!E$3,FALSE)</f>
        <v>1832</v>
      </c>
      <c r="F228" s="177">
        <f>VLOOKUP($A228,K0kommunestruktur2019!$A$4:$N$425,K0kommunestruktur2020!F$3,FALSE)</f>
        <v>40277</v>
      </c>
      <c r="G228" s="289">
        <f>VLOOKUP($A228,K0kommunestruktur2019!$A$4:$N$425,K0kommunestruktur2020!G$3,FALSE)</f>
        <v>1847</v>
      </c>
      <c r="H228" s="177">
        <f>VLOOKUP($A228,K0kommunestruktur2019!$A$4:$N$425,K0kommunestruktur2020!H$3,FALSE)</f>
        <v>44122</v>
      </c>
      <c r="I228" s="289">
        <f>VLOOKUP($A228,K0kommunestruktur2019!$A$4:$N$425,K0kommunestruktur2020!I$3,FALSE)</f>
        <v>1856</v>
      </c>
      <c r="J228" s="177">
        <f>VLOOKUP($A228,K0kommunestruktur2019!$A$4:$N$425,K0kommunestruktur2020!J$3,FALSE)</f>
        <v>47046</v>
      </c>
      <c r="K228" s="289">
        <f>VLOOKUP($A228,K0kommunestruktur2019!$A$4:$N$425,K0kommunestruktur2020!K$3,FALSE)</f>
        <v>1845</v>
      </c>
      <c r="L228" s="177">
        <f>VLOOKUP($A228,K0kommunestruktur2019!$A$4:$N$425,K0kommunestruktur2020!L$3,FALSE)</f>
        <v>42219</v>
      </c>
      <c r="M228" s="289">
        <f>VLOOKUP($A228,K0kommunestruktur2019!$A$4:$N$425,K0kommunestruktur2020!M$3,FALSE)</f>
        <v>1848</v>
      </c>
      <c r="N228" s="177">
        <f>VLOOKUP($A228,K0kommunestruktur2019!$A$4:$N$425,K0kommunestruktur2020!N$3,FALSE)</f>
        <v>44108</v>
      </c>
      <c r="O228" s="289">
        <f>VLOOKUP(A228,'K20'!$A$4:$BV$359,3)</f>
        <v>1836</v>
      </c>
      <c r="P228" s="289">
        <f>VLOOKUP(A228,'K20'!$A$4:$BV$359,26)</f>
        <v>44751</v>
      </c>
      <c r="R228" s="517"/>
      <c r="S228" s="517"/>
      <c r="T228" s="517"/>
    </row>
    <row r="229" spans="1:20" ht="13">
      <c r="A229" s="865">
        <v>4218</v>
      </c>
      <c r="B229" s="866" t="s">
        <v>937</v>
      </c>
      <c r="C229" s="289">
        <f>VLOOKUP($A229,K0kommunestruktur2019!$A$4:$N$425,K0kommunestruktur2020!C$3,FALSE)</f>
        <v>1314</v>
      </c>
      <c r="D229" s="177">
        <f>VLOOKUP($A229,K0kommunestruktur2019!$A$4:$N$425,K0kommunestruktur2020!D$3,FALSE)</f>
        <v>24646</v>
      </c>
      <c r="E229" s="289">
        <f>VLOOKUP($A229,K0kommunestruktur2019!$A$4:$N$425,K0kommunestruktur2020!E$3,FALSE)</f>
        <v>1315</v>
      </c>
      <c r="F229" s="177">
        <f>VLOOKUP($A229,K0kommunestruktur2019!$A$4:$N$425,K0kommunestruktur2020!F$3,FALSE)</f>
        <v>26726</v>
      </c>
      <c r="G229" s="289">
        <f>VLOOKUP($A229,K0kommunestruktur2019!$A$4:$N$425,K0kommunestruktur2020!G$3,FALSE)</f>
        <v>1317</v>
      </c>
      <c r="H229" s="177">
        <f>VLOOKUP($A229,K0kommunestruktur2019!$A$4:$N$425,K0kommunestruktur2020!H$3,FALSE)</f>
        <v>27581</v>
      </c>
      <c r="I229" s="289">
        <f>VLOOKUP($A229,K0kommunestruktur2019!$A$4:$N$425,K0kommunestruktur2020!I$3,FALSE)</f>
        <v>1342</v>
      </c>
      <c r="J229" s="177">
        <f>VLOOKUP($A229,K0kommunestruktur2019!$A$4:$N$425,K0kommunestruktur2020!J$3,FALSE)</f>
        <v>29311</v>
      </c>
      <c r="K229" s="289">
        <f>VLOOKUP($A229,K0kommunestruktur2019!$A$4:$N$425,K0kommunestruktur2020!K$3,FALSE)</f>
        <v>1330</v>
      </c>
      <c r="L229" s="177">
        <f>VLOOKUP($A229,K0kommunestruktur2019!$A$4:$N$425,K0kommunestruktur2020!L$3,FALSE)</f>
        <v>31104</v>
      </c>
      <c r="M229" s="289">
        <f>VLOOKUP($A229,K0kommunestruktur2019!$A$4:$N$425,K0kommunestruktur2020!M$3,FALSE)</f>
        <v>1326</v>
      </c>
      <c r="N229" s="177">
        <f>VLOOKUP($A229,K0kommunestruktur2019!$A$4:$N$425,K0kommunestruktur2020!N$3,FALSE)</f>
        <v>32415</v>
      </c>
      <c r="O229" s="289">
        <f>VLOOKUP(A229,'K20'!$A$4:$BV$359,3)</f>
        <v>1331</v>
      </c>
      <c r="P229" s="289">
        <f>VLOOKUP(A229,'K20'!$A$4:$BV$359,26)</f>
        <v>31898</v>
      </c>
      <c r="R229" s="517"/>
      <c r="S229" s="517"/>
      <c r="T229" s="517"/>
    </row>
    <row r="230" spans="1:20" ht="13">
      <c r="A230" s="865">
        <v>4219</v>
      </c>
      <c r="B230" s="866" t="s">
        <v>938</v>
      </c>
      <c r="C230" s="289">
        <f>VLOOKUP($A230,K0kommunestruktur2019!$A$4:$N$425,K0kommunestruktur2020!C$3,FALSE)</f>
        <v>3576</v>
      </c>
      <c r="D230" s="177">
        <f>+K0kommunestruktur2019!D448</f>
        <v>68186</v>
      </c>
      <c r="E230" s="289">
        <f>VLOOKUP($A230,K0kommunestruktur2019!$A$4:$N$425,K0kommunestruktur2020!E$3,FALSE)</f>
        <v>3594</v>
      </c>
      <c r="F230" s="177">
        <f>+K0kommunestruktur2019!F448</f>
        <v>71580</v>
      </c>
      <c r="G230" s="289">
        <f>VLOOKUP($A230,K0kommunestruktur2019!$A$4:$N$425,K0kommunestruktur2020!G$3,FALSE)-27</f>
        <v>3582</v>
      </c>
      <c r="H230" s="177">
        <f>+K0kommunestruktur2019!H448</f>
        <v>74820</v>
      </c>
      <c r="I230" s="289">
        <f>VLOOKUP($A230,K0kommunestruktur2019!$A$4:$N$425,K0kommunestruktur2020!I$3,FALSE)-27</f>
        <v>3614</v>
      </c>
      <c r="J230" s="177">
        <f>+K0kommunestruktur2019!J448</f>
        <v>78942</v>
      </c>
      <c r="K230" s="289">
        <f>VLOOKUP($A230,K0kommunestruktur2019!$A$4:$N$425,K0kommunestruktur2020!K$3,FALSE)-27</f>
        <v>3625</v>
      </c>
      <c r="L230" s="177">
        <f>+K0kommunestruktur2019!L448</f>
        <v>81464</v>
      </c>
      <c r="M230" s="289">
        <f>VLOOKUP($A230,K0kommunestruktur2019!$A$4:$N$425,K0kommunestruktur2020!M$3,FALSE)</f>
        <v>3638</v>
      </c>
      <c r="N230" s="177">
        <f>VLOOKUP($A230,K0kommunestruktur2019!$A$4:$N$425,K0kommunestruktur2020!N$3,FALSE)</f>
        <v>83690</v>
      </c>
      <c r="O230" s="289">
        <f>VLOOKUP(A230,'K20'!$A$4:$BV$359,3)</f>
        <v>3634</v>
      </c>
      <c r="P230" s="289">
        <f>VLOOKUP(A230,'K20'!$A$4:$BV$359,26)</f>
        <v>87736</v>
      </c>
      <c r="R230" s="517"/>
      <c r="S230" s="517"/>
      <c r="T230" s="517"/>
    </row>
    <row r="231" spans="1:20" ht="13">
      <c r="A231" s="865">
        <v>4220</v>
      </c>
      <c r="B231" s="866" t="s">
        <v>939</v>
      </c>
      <c r="C231" s="289">
        <f>VLOOKUP($A231,K0kommunestruktur2019!$A$4:$N$425,K0kommunestruktur2020!C$3,FALSE)</f>
        <v>1200</v>
      </c>
      <c r="D231" s="177">
        <f>VLOOKUP($A231,K0kommunestruktur2019!$A$4:$N$425,K0kommunestruktur2020!D$3,FALSE)</f>
        <v>26132</v>
      </c>
      <c r="E231" s="289">
        <f>VLOOKUP($A231,K0kommunestruktur2019!$A$4:$N$425,K0kommunestruktur2020!E$3,FALSE)</f>
        <v>1189</v>
      </c>
      <c r="F231" s="177">
        <f>VLOOKUP($A231,K0kommunestruktur2019!$A$4:$N$425,K0kommunestruktur2020!F$3,FALSE)</f>
        <v>27176</v>
      </c>
      <c r="G231" s="289">
        <f>VLOOKUP($A231,K0kommunestruktur2019!$A$4:$N$425,K0kommunestruktur2020!G$3,FALSE)</f>
        <v>1204</v>
      </c>
      <c r="H231" s="177">
        <f>VLOOKUP($A231,K0kommunestruktur2019!$A$4:$N$425,K0kommunestruktur2020!H$3,FALSE)</f>
        <v>28977</v>
      </c>
      <c r="I231" s="289">
        <f>VLOOKUP($A231,K0kommunestruktur2019!$A$4:$N$425,K0kommunestruktur2020!I$3,FALSE)</f>
        <v>1200</v>
      </c>
      <c r="J231" s="177">
        <f>VLOOKUP($A231,K0kommunestruktur2019!$A$4:$N$425,K0kommunestruktur2020!J$3,FALSE)</f>
        <v>28833</v>
      </c>
      <c r="K231" s="289">
        <f>VLOOKUP($A231,K0kommunestruktur2019!$A$4:$N$425,K0kommunestruktur2020!K$3,FALSE)</f>
        <v>1207</v>
      </c>
      <c r="L231" s="177">
        <f>VLOOKUP($A231,K0kommunestruktur2019!$A$4:$N$425,K0kommunestruktur2020!L$3,FALSE)</f>
        <v>30970</v>
      </c>
      <c r="M231" s="289">
        <f>VLOOKUP($A231,K0kommunestruktur2019!$A$4:$N$425,K0kommunestruktur2020!M$3,FALSE)</f>
        <v>1192</v>
      </c>
      <c r="N231" s="177">
        <f>VLOOKUP($A231,K0kommunestruktur2019!$A$4:$N$425,K0kommunestruktur2020!N$3,FALSE)</f>
        <v>31274</v>
      </c>
      <c r="O231" s="289">
        <f>VLOOKUP(A231,'K20'!$A$4:$BV$359,3)</f>
        <v>1162</v>
      </c>
      <c r="P231" s="289">
        <f>VLOOKUP(A231,'K20'!$A$4:$BV$359,26)</f>
        <v>31184</v>
      </c>
      <c r="R231" s="517"/>
      <c r="S231" s="517"/>
      <c r="T231" s="517"/>
    </row>
    <row r="232" spans="1:20" ht="13">
      <c r="A232" s="865">
        <v>4221</v>
      </c>
      <c r="B232" s="866" t="s">
        <v>940</v>
      </c>
      <c r="C232" s="289">
        <f>VLOOKUP($A232,K0kommunestruktur2019!$A$4:$N$425,K0kommunestruktur2020!C$3,FALSE)</f>
        <v>1270</v>
      </c>
      <c r="D232" s="177">
        <f>VLOOKUP($A232,K0kommunestruktur2019!$A$4:$N$425,K0kommunestruktur2020!D$3,FALSE)</f>
        <v>41121</v>
      </c>
      <c r="E232" s="289">
        <f>VLOOKUP($A232,K0kommunestruktur2019!$A$4:$N$425,K0kommunestruktur2020!E$3,FALSE)</f>
        <v>1251</v>
      </c>
      <c r="F232" s="177">
        <f>VLOOKUP($A232,K0kommunestruktur2019!$A$4:$N$425,K0kommunestruktur2020!F$3,FALSE)</f>
        <v>43384</v>
      </c>
      <c r="G232" s="289">
        <f>VLOOKUP($A232,K0kommunestruktur2019!$A$4:$N$425,K0kommunestruktur2020!G$3,FALSE)</f>
        <v>1242</v>
      </c>
      <c r="H232" s="177">
        <f>VLOOKUP($A232,K0kommunestruktur2019!$A$4:$N$425,K0kommunestruktur2020!H$3,FALSE)</f>
        <v>44213</v>
      </c>
      <c r="I232" s="289">
        <f>VLOOKUP($A232,K0kommunestruktur2019!$A$4:$N$425,K0kommunestruktur2020!I$3,FALSE)</f>
        <v>1246</v>
      </c>
      <c r="J232" s="177">
        <f>VLOOKUP($A232,K0kommunestruktur2019!$A$4:$N$425,K0kommunestruktur2020!J$3,FALSE)</f>
        <v>45044</v>
      </c>
      <c r="K232" s="289">
        <f>VLOOKUP($A232,K0kommunestruktur2019!$A$4:$N$425,K0kommunestruktur2020!K$3,FALSE)</f>
        <v>1225</v>
      </c>
      <c r="L232" s="177">
        <f>VLOOKUP($A232,K0kommunestruktur2019!$A$4:$N$425,K0kommunestruktur2020!L$3,FALSE)</f>
        <v>45304</v>
      </c>
      <c r="M232" s="289">
        <f>VLOOKUP($A232,K0kommunestruktur2019!$A$4:$N$425,K0kommunestruktur2020!M$3,FALSE)</f>
        <v>1156</v>
      </c>
      <c r="N232" s="177">
        <f>VLOOKUP($A232,K0kommunestruktur2019!$A$4:$N$425,K0kommunestruktur2020!N$3,FALSE)</f>
        <v>47669</v>
      </c>
      <c r="O232" s="289">
        <f>VLOOKUP(A232,'K20'!$A$4:$BV$359,3)</f>
        <v>1164</v>
      </c>
      <c r="P232" s="289">
        <f>VLOOKUP(A232,'K20'!$A$4:$BV$359,26)</f>
        <v>48861</v>
      </c>
      <c r="R232" s="517"/>
      <c r="S232" s="517"/>
      <c r="T232" s="517"/>
    </row>
    <row r="233" spans="1:20" ht="13">
      <c r="A233" s="865">
        <v>4222</v>
      </c>
      <c r="B233" s="866" t="s">
        <v>941</v>
      </c>
      <c r="C233" s="289">
        <f>VLOOKUP($A233,K0kommunestruktur2019!$A$4:$N$425,K0kommunestruktur2020!C$3,FALSE)</f>
        <v>948</v>
      </c>
      <c r="D233" s="177">
        <f>VLOOKUP($A233,K0kommunestruktur2019!$A$4:$N$425,K0kommunestruktur2020!D$3,FALSE)</f>
        <v>67140</v>
      </c>
      <c r="E233" s="289">
        <f>VLOOKUP($A233,K0kommunestruktur2019!$A$4:$N$425,K0kommunestruktur2020!E$3,FALSE)</f>
        <v>933</v>
      </c>
      <c r="F233" s="177">
        <f>VLOOKUP($A233,K0kommunestruktur2019!$A$4:$N$425,K0kommunestruktur2020!F$3,FALSE)</f>
        <v>67630</v>
      </c>
      <c r="G233" s="289">
        <f>VLOOKUP($A233,K0kommunestruktur2019!$A$4:$N$425,K0kommunestruktur2020!G$3,FALSE)</f>
        <v>945</v>
      </c>
      <c r="H233" s="177">
        <f>VLOOKUP($A233,K0kommunestruktur2019!$A$4:$N$425,K0kommunestruktur2020!H$3,FALSE)</f>
        <v>69604</v>
      </c>
      <c r="I233" s="289">
        <f>VLOOKUP($A233,K0kommunestruktur2019!$A$4:$N$425,K0kommunestruktur2020!I$3,FALSE)</f>
        <v>952</v>
      </c>
      <c r="J233" s="177">
        <f>VLOOKUP($A233,K0kommunestruktur2019!$A$4:$N$425,K0kommunestruktur2020!J$3,FALSE)</f>
        <v>71358</v>
      </c>
      <c r="K233" s="289">
        <f>VLOOKUP($A233,K0kommunestruktur2019!$A$4:$N$425,K0kommunestruktur2020!K$3,FALSE)</f>
        <v>958</v>
      </c>
      <c r="L233" s="177">
        <f>VLOOKUP($A233,K0kommunestruktur2019!$A$4:$N$425,K0kommunestruktur2020!L$3,FALSE)</f>
        <v>79195</v>
      </c>
      <c r="M233" s="289">
        <f>VLOOKUP($A233,K0kommunestruktur2019!$A$4:$N$425,K0kommunestruktur2020!M$3,FALSE)</f>
        <v>953</v>
      </c>
      <c r="N233" s="177">
        <f>VLOOKUP($A233,K0kommunestruktur2019!$A$4:$N$425,K0kommunestruktur2020!N$3,FALSE)</f>
        <v>84301</v>
      </c>
      <c r="O233" s="289">
        <f>VLOOKUP(A233,'K20'!$A$4:$BV$359,3)</f>
        <v>965</v>
      </c>
      <c r="P233" s="289">
        <f>VLOOKUP(A233,'K20'!$A$4:$BV$359,26)</f>
        <v>76582</v>
      </c>
      <c r="R233" s="517"/>
      <c r="S233" s="517"/>
      <c r="T233" s="517"/>
    </row>
    <row r="234" spans="1:20" ht="13">
      <c r="A234" s="865">
        <v>4223</v>
      </c>
      <c r="B234" s="866" t="s">
        <v>947</v>
      </c>
      <c r="C234" s="289">
        <f>VLOOKUP($A234,K0kommunestruktur2019!$A$4:$N$425,K0kommunestruktur2020!C$3,FALSE)</f>
        <v>13986</v>
      </c>
      <c r="D234" s="177">
        <f>VLOOKUP($A234,K0kommunestruktur2019!$A$4:$N$425,K0kommunestruktur2020!D$3,FALSE)</f>
        <v>254819</v>
      </c>
      <c r="E234" s="289">
        <f>VLOOKUP($A234,K0kommunestruktur2019!$A$4:$N$425,K0kommunestruktur2020!E$3,FALSE)</f>
        <v>14095</v>
      </c>
      <c r="F234" s="177">
        <f>VLOOKUP($A234,K0kommunestruktur2019!$A$4:$N$425,K0kommunestruktur2020!F$3,FALSE)</f>
        <v>267675</v>
      </c>
      <c r="G234" s="289">
        <f>VLOOKUP($A234,K0kommunestruktur2019!$A$4:$N$425,K0kommunestruktur2020!G$3,FALSE)</f>
        <v>14308</v>
      </c>
      <c r="H234" s="177">
        <f>VLOOKUP($A234,K0kommunestruktur2019!$A$4:$N$425,K0kommunestruktur2020!H$3,FALSE)</f>
        <v>289237</v>
      </c>
      <c r="I234" s="289">
        <f>VLOOKUP($A234,K0kommunestruktur2019!$A$4:$N$425,K0kommunestruktur2020!I$3,FALSE)</f>
        <v>14425</v>
      </c>
      <c r="J234" s="177">
        <f>VLOOKUP($A234,K0kommunestruktur2019!$A$4:$N$425,K0kommunestruktur2020!J$3,FALSE)</f>
        <v>303650</v>
      </c>
      <c r="K234" s="289">
        <f>VLOOKUP($A234,K0kommunestruktur2019!$A$4:$N$425,K0kommunestruktur2020!K$3,FALSE)</f>
        <v>14532</v>
      </c>
      <c r="L234" s="177">
        <f>VLOOKUP($A234,K0kommunestruktur2019!$A$4:$N$425,K0kommunestruktur2020!L$3,FALSE)</f>
        <v>327486</v>
      </c>
      <c r="M234" s="289">
        <f>VLOOKUP($A234,K0kommunestruktur2019!$A$4:$N$425,K0kommunestruktur2020!M$3,FALSE)</f>
        <v>14630</v>
      </c>
      <c r="N234" s="177">
        <f>VLOOKUP($A234,K0kommunestruktur2019!$A$4:$N$425,K0kommunestruktur2020!N$3,FALSE)</f>
        <v>335821</v>
      </c>
      <c r="O234" s="289">
        <f>VLOOKUP(A234,'K20'!$A$4:$BV$359,3)</f>
        <v>14774</v>
      </c>
      <c r="P234" s="289">
        <f>VLOOKUP(A234,'K20'!$A$4:$BV$359,26)</f>
        <v>335283</v>
      </c>
      <c r="R234" s="517"/>
      <c r="S234" s="517"/>
      <c r="T234" s="517"/>
    </row>
    <row r="235" spans="1:20" ht="13">
      <c r="A235" s="865">
        <v>4224</v>
      </c>
      <c r="B235" s="866" t="s">
        <v>951</v>
      </c>
      <c r="C235" s="289">
        <f>VLOOKUP($A235,K0kommunestruktur2019!$A$4:$N$425,K0kommunestruktur2020!C$3,FALSE)</f>
        <v>923</v>
      </c>
      <c r="D235" s="177">
        <f>VLOOKUP($A235,K0kommunestruktur2019!$A$4:$N$425,K0kommunestruktur2020!D$3,FALSE)</f>
        <v>31841</v>
      </c>
      <c r="E235" s="289">
        <f>VLOOKUP($A235,K0kommunestruktur2019!$A$4:$N$425,K0kommunestruktur2020!E$3,FALSE)</f>
        <v>925</v>
      </c>
      <c r="F235" s="177">
        <f>VLOOKUP($A235,K0kommunestruktur2019!$A$4:$N$425,K0kommunestruktur2020!F$3,FALSE)</f>
        <v>31791</v>
      </c>
      <c r="G235" s="289">
        <f>VLOOKUP($A235,K0kommunestruktur2019!$A$4:$N$425,K0kommunestruktur2020!G$3,FALSE)</f>
        <v>942</v>
      </c>
      <c r="H235" s="177">
        <f>VLOOKUP($A235,K0kommunestruktur2019!$A$4:$N$425,K0kommunestruktur2020!H$3,FALSE)</f>
        <v>34080</v>
      </c>
      <c r="I235" s="289">
        <f>VLOOKUP($A235,K0kommunestruktur2019!$A$4:$N$425,K0kommunestruktur2020!I$3,FALSE)</f>
        <v>937</v>
      </c>
      <c r="J235" s="177">
        <f>VLOOKUP($A235,K0kommunestruktur2019!$A$4:$N$425,K0kommunestruktur2020!J$3,FALSE)</f>
        <v>36584</v>
      </c>
      <c r="K235" s="289">
        <f>VLOOKUP($A235,K0kommunestruktur2019!$A$4:$N$425,K0kommunestruktur2020!K$3,FALSE)</f>
        <v>943</v>
      </c>
      <c r="L235" s="177">
        <f>VLOOKUP($A235,K0kommunestruktur2019!$A$4:$N$425,K0kommunestruktur2020!L$3,FALSE)</f>
        <v>39045</v>
      </c>
      <c r="M235" s="289">
        <f>VLOOKUP($A235,K0kommunestruktur2019!$A$4:$N$425,K0kommunestruktur2020!M$3,FALSE)</f>
        <v>939</v>
      </c>
      <c r="N235" s="177">
        <f>VLOOKUP($A235,K0kommunestruktur2019!$A$4:$N$425,K0kommunestruktur2020!N$3,FALSE)</f>
        <v>41061</v>
      </c>
      <c r="O235" s="289">
        <f>VLOOKUP(A235,'K20'!$A$4:$BV$359,3)</f>
        <v>932</v>
      </c>
      <c r="P235" s="289">
        <f>VLOOKUP(A235,'K20'!$A$4:$BV$359,26)</f>
        <v>40365</v>
      </c>
      <c r="R235" s="517"/>
      <c r="S235" s="517"/>
      <c r="T235" s="517"/>
    </row>
    <row r="236" spans="1:20" ht="13">
      <c r="A236" s="878">
        <v>4225</v>
      </c>
      <c r="B236" s="883" t="s">
        <v>1630</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VLOOKUP(A236,'K20'!$A$4:$BV$359,3)</f>
        <v>10365</v>
      </c>
      <c r="P236" s="289">
        <f>VLOOKUP(A236,'K20'!$A$4:$BV$359,26)</f>
        <v>243390</v>
      </c>
      <c r="R236" s="517"/>
      <c r="S236" s="517"/>
      <c r="T236" s="517"/>
    </row>
    <row r="237" spans="1:20" ht="13">
      <c r="A237" s="865">
        <v>4226</v>
      </c>
      <c r="B237" s="866" t="s">
        <v>955</v>
      </c>
      <c r="C237" s="289">
        <f>VLOOKUP($A237,K0kommunestruktur2019!$A$4:$N$425,K0kommunestruktur2020!C$3,FALSE)</f>
        <v>1690</v>
      </c>
      <c r="D237" s="177">
        <f>VLOOKUP($A237,K0kommunestruktur2019!$A$4:$N$425,K0kommunestruktur2020!D$3,FALSE)</f>
        <v>35232</v>
      </c>
      <c r="E237" s="289">
        <f>VLOOKUP($A237,K0kommunestruktur2019!$A$4:$N$425,K0kommunestruktur2020!E$3,FALSE)</f>
        <v>1693</v>
      </c>
      <c r="F237" s="177">
        <f>VLOOKUP($A237,K0kommunestruktur2019!$A$4:$N$425,K0kommunestruktur2020!F$3,FALSE)</f>
        <v>34679</v>
      </c>
      <c r="G237" s="289">
        <f>VLOOKUP($A237,K0kommunestruktur2019!$A$4:$N$425,K0kommunestruktur2020!G$3,FALSE)</f>
        <v>1702</v>
      </c>
      <c r="H237" s="177">
        <f>VLOOKUP($A237,K0kommunestruktur2019!$A$4:$N$425,K0kommunestruktur2020!H$3,FALSE)</f>
        <v>38210</v>
      </c>
      <c r="I237" s="289">
        <f>VLOOKUP($A237,K0kommunestruktur2019!$A$4:$N$425,K0kommunestruktur2020!I$3,FALSE)</f>
        <v>1702</v>
      </c>
      <c r="J237" s="177">
        <f>VLOOKUP($A237,K0kommunestruktur2019!$A$4:$N$425,K0kommunestruktur2020!J$3,FALSE)</f>
        <v>39047</v>
      </c>
      <c r="K237" s="289">
        <f>VLOOKUP($A237,K0kommunestruktur2019!$A$4:$N$425,K0kommunestruktur2020!K$3,FALSE)</f>
        <v>1699</v>
      </c>
      <c r="L237" s="177">
        <f>VLOOKUP($A237,K0kommunestruktur2019!$A$4:$N$425,K0kommunestruktur2020!L$3,FALSE)</f>
        <v>40812</v>
      </c>
      <c r="M237" s="289">
        <f>VLOOKUP($A237,K0kommunestruktur2019!$A$4:$N$425,K0kommunestruktur2020!M$3,FALSE)</f>
        <v>1683</v>
      </c>
      <c r="N237" s="177">
        <f>VLOOKUP($A237,K0kommunestruktur2019!$A$4:$N$425,K0kommunestruktur2020!N$3,FALSE)</f>
        <v>42575</v>
      </c>
      <c r="O237" s="289">
        <f>VLOOKUP(A237,'K20'!$A$4:$BV$359,3)</f>
        <v>1680</v>
      </c>
      <c r="P237" s="289">
        <f>VLOOKUP(A237,'K20'!$A$4:$BV$359,26)</f>
        <v>40509</v>
      </c>
      <c r="R237" s="517"/>
      <c r="S237" s="517"/>
      <c r="T237" s="517"/>
    </row>
    <row r="238" spans="1:20" ht="13">
      <c r="A238" s="865">
        <v>4227</v>
      </c>
      <c r="B238" s="866" t="s">
        <v>956</v>
      </c>
      <c r="C238" s="289">
        <f>VLOOKUP($A238,K0kommunestruktur2019!$A$4:$N$425,K0kommunestruktur2020!C$3,FALSE)</f>
        <v>5891</v>
      </c>
      <c r="D238" s="177">
        <f>VLOOKUP($A238,K0kommunestruktur2019!$A$4:$N$425,K0kommunestruktur2020!D$3,FALSE)</f>
        <v>142597</v>
      </c>
      <c r="E238" s="289">
        <f>VLOOKUP($A238,K0kommunestruktur2019!$A$4:$N$425,K0kommunestruktur2020!E$3,FALSE)</f>
        <v>5948</v>
      </c>
      <c r="F238" s="177">
        <f>VLOOKUP($A238,K0kommunestruktur2019!$A$4:$N$425,K0kommunestruktur2020!F$3,FALSE)</f>
        <v>147426</v>
      </c>
      <c r="G238" s="289">
        <f>VLOOKUP($A238,K0kommunestruktur2019!$A$4:$N$425,K0kommunestruktur2020!G$3,FALSE)</f>
        <v>5981</v>
      </c>
      <c r="H238" s="177">
        <f>VLOOKUP($A238,K0kommunestruktur2019!$A$4:$N$425,K0kommunestruktur2020!H$3,FALSE)</f>
        <v>155451</v>
      </c>
      <c r="I238" s="289">
        <f>VLOOKUP($A238,K0kommunestruktur2019!$A$4:$N$425,K0kommunestruktur2020!I$3,FALSE)</f>
        <v>5988</v>
      </c>
      <c r="J238" s="177">
        <f>VLOOKUP($A238,K0kommunestruktur2019!$A$4:$N$425,K0kommunestruktur2020!J$3,FALSE)</f>
        <v>159751</v>
      </c>
      <c r="K238" s="289">
        <f>VLOOKUP($A238,K0kommunestruktur2019!$A$4:$N$425,K0kommunestruktur2020!K$3,FALSE)</f>
        <v>6024</v>
      </c>
      <c r="L238" s="177">
        <f>VLOOKUP($A238,K0kommunestruktur2019!$A$4:$N$425,K0kommunestruktur2020!L$3,FALSE)</f>
        <v>166149</v>
      </c>
      <c r="M238" s="289">
        <f>VLOOKUP($A238,K0kommunestruktur2019!$A$4:$N$425,K0kommunestruktur2020!M$3,FALSE)</f>
        <v>6048</v>
      </c>
      <c r="N238" s="177">
        <f>VLOOKUP($A238,K0kommunestruktur2019!$A$4:$N$425,K0kommunestruktur2020!N$3,FALSE)</f>
        <v>177102</v>
      </c>
      <c r="O238" s="289">
        <f>VLOOKUP(A238,'K20'!$A$4:$BV$359,3)</f>
        <v>5987</v>
      </c>
      <c r="P238" s="289">
        <f>VLOOKUP(A238,'K20'!$A$4:$BV$359,26)</f>
        <v>170527</v>
      </c>
      <c r="R238" s="517"/>
      <c r="S238" s="517"/>
      <c r="T238" s="517"/>
    </row>
    <row r="239" spans="1:20" ht="13">
      <c r="A239" s="865">
        <v>4228</v>
      </c>
      <c r="B239" s="866" t="s">
        <v>957</v>
      </c>
      <c r="C239" s="289">
        <f>VLOOKUP($A239,K0kommunestruktur2019!$A$4:$N$425,K0kommunestruktur2020!C$3,FALSE)</f>
        <v>1831</v>
      </c>
      <c r="D239" s="177">
        <f>VLOOKUP($A239,K0kommunestruktur2019!$A$4:$N$425,K0kommunestruktur2020!D$3,FALSE)</f>
        <v>85268</v>
      </c>
      <c r="E239" s="289">
        <f>VLOOKUP($A239,K0kommunestruktur2019!$A$4:$N$425,K0kommunestruktur2020!E$3,FALSE)</f>
        <v>1838</v>
      </c>
      <c r="F239" s="177">
        <f>VLOOKUP($A239,K0kommunestruktur2019!$A$4:$N$425,K0kommunestruktur2020!F$3,FALSE)</f>
        <v>91757</v>
      </c>
      <c r="G239" s="289">
        <f>VLOOKUP($A239,K0kommunestruktur2019!$A$4:$N$425,K0kommunestruktur2020!G$3,FALSE)</f>
        <v>1832</v>
      </c>
      <c r="H239" s="177">
        <f>VLOOKUP($A239,K0kommunestruktur2019!$A$4:$N$425,K0kommunestruktur2020!H$3,FALSE)</f>
        <v>91636</v>
      </c>
      <c r="I239" s="289">
        <f>VLOOKUP($A239,K0kommunestruktur2019!$A$4:$N$425,K0kommunestruktur2020!I$3,FALSE)</f>
        <v>1836</v>
      </c>
      <c r="J239" s="177">
        <f>VLOOKUP($A239,K0kommunestruktur2019!$A$4:$N$425,K0kommunestruktur2020!J$3,FALSE)</f>
        <v>97913</v>
      </c>
      <c r="K239" s="289">
        <f>VLOOKUP($A239,K0kommunestruktur2019!$A$4:$N$425,K0kommunestruktur2020!K$3,FALSE)</f>
        <v>1842</v>
      </c>
      <c r="L239" s="177">
        <f>VLOOKUP($A239,K0kommunestruktur2019!$A$4:$N$425,K0kommunestruktur2020!L$3,FALSE)</f>
        <v>105701</v>
      </c>
      <c r="M239" s="289">
        <f>VLOOKUP($A239,K0kommunestruktur2019!$A$4:$N$425,K0kommunestruktur2020!M$3,FALSE)</f>
        <v>1839</v>
      </c>
      <c r="N239" s="177">
        <f>VLOOKUP($A239,K0kommunestruktur2019!$A$4:$N$425,K0kommunestruktur2020!N$3,FALSE)</f>
        <v>112920</v>
      </c>
      <c r="O239" s="289">
        <f>VLOOKUP(A239,'K20'!$A$4:$BV$359,3)</f>
        <v>1822</v>
      </c>
      <c r="P239" s="289">
        <f>VLOOKUP(A239,'K20'!$A$4:$BV$359,26)</f>
        <v>106256</v>
      </c>
      <c r="R239" s="517"/>
      <c r="S239" s="517"/>
      <c r="T239" s="517"/>
    </row>
    <row r="240" spans="1:20" ht="13">
      <c r="A240" s="865">
        <v>4601</v>
      </c>
      <c r="B240" s="866" t="s">
        <v>23</v>
      </c>
      <c r="C240" s="289">
        <f>VLOOKUP($A240,K0kommunestruktur2019!$A$4:$N$425,K0kommunestruktur2020!C$3,FALSE)</f>
        <v>271949</v>
      </c>
      <c r="D240" s="177">
        <f>VLOOKUP($A240,K0kommunestruktur2019!$A$4:$N$425,K0kommunestruktur2020!D$3,FALSE)</f>
        <v>7561489</v>
      </c>
      <c r="E240" s="289">
        <f>VLOOKUP($A240,K0kommunestruktur2019!$A$4:$N$425,K0kommunestruktur2020!E$3,FALSE)</f>
        <v>275112</v>
      </c>
      <c r="F240" s="177">
        <f>VLOOKUP($A240,K0kommunestruktur2019!$A$4:$N$425,K0kommunestruktur2020!F$3,FALSE)</f>
        <v>7970433</v>
      </c>
      <c r="G240" s="289">
        <f>VLOOKUP($A240,K0kommunestruktur2019!$A$4:$N$425,K0kommunestruktur2020!G$3,FALSE)</f>
        <v>277391</v>
      </c>
      <c r="H240" s="177">
        <f>VLOOKUP($A240,K0kommunestruktur2019!$A$4:$N$425,K0kommunestruktur2020!H$3,FALSE)</f>
        <v>8707661</v>
      </c>
      <c r="I240" s="289">
        <f>VLOOKUP($A240,K0kommunestruktur2019!$A$4:$N$425,K0kommunestruktur2020!I$3,FALSE)</f>
        <v>278556</v>
      </c>
      <c r="J240" s="177">
        <f>VLOOKUP($A240,K0kommunestruktur2019!$A$4:$N$425,K0kommunestruktur2020!J$3,FALSE)</f>
        <v>8795464</v>
      </c>
      <c r="K240" s="289">
        <f>VLOOKUP($A240,K0kommunestruktur2019!$A$4:$N$425,K0kommunestruktur2020!K$3,FALSE)</f>
        <v>279792</v>
      </c>
      <c r="L240" s="177">
        <f>VLOOKUP($A240,K0kommunestruktur2019!$A$4:$N$425,K0kommunestruktur2020!L$3,FALSE)</f>
        <v>9126725</v>
      </c>
      <c r="M240" s="289">
        <f>VLOOKUP($A240,K0kommunestruktur2019!$A$4:$N$425,K0kommunestruktur2020!M$3,FALSE)</f>
        <v>281190</v>
      </c>
      <c r="N240" s="177">
        <f>VLOOKUP($A240,K0kommunestruktur2019!$A$4:$N$425,K0kommunestruktur2020!N$3,FALSE)</f>
        <v>9648534</v>
      </c>
      <c r="O240" s="289">
        <f>VLOOKUP(A240,'K20'!$A$4:$BV$359,3)</f>
        <v>283929</v>
      </c>
      <c r="P240" s="289">
        <f>VLOOKUP(A240,'K20'!$A$4:$BV$359,26)</f>
        <v>9404048</v>
      </c>
      <c r="R240" s="517"/>
      <c r="S240" s="517"/>
      <c r="T240" s="517"/>
    </row>
    <row r="241" spans="1:20" ht="13">
      <c r="A241" s="878">
        <v>4602</v>
      </c>
      <c r="B241" s="883" t="s">
        <v>1631</v>
      </c>
      <c r="C241" s="289">
        <f t="shared" ref="C241:N241" si="30">+C$491+C$492+C$493</f>
        <v>17353.61295029</v>
      </c>
      <c r="D241" s="177">
        <f t="shared" si="30"/>
        <v>415743.81691177411</v>
      </c>
      <c r="E241" s="289">
        <f t="shared" si="30"/>
        <v>17425.474581980001</v>
      </c>
      <c r="F241" s="177">
        <f t="shared" si="30"/>
        <v>431205.72096292092</v>
      </c>
      <c r="G241" s="289">
        <f t="shared" si="30"/>
        <v>17449.752160249998</v>
      </c>
      <c r="H241" s="177">
        <f t="shared" si="30"/>
        <v>467033.59987652028</v>
      </c>
      <c r="I241" s="289">
        <f t="shared" si="30"/>
        <v>17508.989451239999</v>
      </c>
      <c r="J241" s="177">
        <f t="shared" si="30"/>
        <v>473268.08197733032</v>
      </c>
      <c r="K241" s="289">
        <f t="shared" si="30"/>
        <v>17469.174222869999</v>
      </c>
      <c r="L241" s="177">
        <f t="shared" si="30"/>
        <v>488200.73482211295</v>
      </c>
      <c r="M241" s="289">
        <f t="shared" si="30"/>
        <v>17307</v>
      </c>
      <c r="N241" s="177">
        <f t="shared" si="30"/>
        <v>531457.55268768943</v>
      </c>
      <c r="O241" s="289">
        <f>VLOOKUP(A241,'K20'!$A$4:$BV$359,3)</f>
        <v>17207</v>
      </c>
      <c r="P241" s="289">
        <f>VLOOKUP(A241,'K20'!$A$4:$BV$359,26)</f>
        <v>549252</v>
      </c>
      <c r="R241" s="517"/>
      <c r="S241" s="517"/>
      <c r="T241" s="517"/>
    </row>
    <row r="242" spans="1:20" ht="13">
      <c r="A242" s="865">
        <v>4611</v>
      </c>
      <c r="B242" s="866" t="s">
        <v>24</v>
      </c>
      <c r="C242" s="289">
        <f>VLOOKUP($A242,K0kommunestruktur2019!$A$4:$N$425,K0kommunestruktur2020!C$3,FALSE)</f>
        <v>4057</v>
      </c>
      <c r="D242" s="177">
        <f>VLOOKUP($A242,K0kommunestruktur2019!$A$4:$N$425,K0kommunestruktur2020!D$3,FALSE)</f>
        <v>90137</v>
      </c>
      <c r="E242" s="289">
        <f>VLOOKUP($A242,K0kommunestruktur2019!$A$4:$N$425,K0kommunestruktur2020!E$3,FALSE)</f>
        <v>4103</v>
      </c>
      <c r="F242" s="177">
        <f>VLOOKUP($A242,K0kommunestruktur2019!$A$4:$N$425,K0kommunestruktur2020!F$3,FALSE)</f>
        <v>90573</v>
      </c>
      <c r="G242" s="289">
        <f>VLOOKUP($A242,K0kommunestruktur2019!$A$4:$N$425,K0kommunestruktur2020!G$3,FALSE)</f>
        <v>4106</v>
      </c>
      <c r="H242" s="177">
        <f>VLOOKUP($A242,K0kommunestruktur2019!$A$4:$N$425,K0kommunestruktur2020!H$3,FALSE)</f>
        <v>100476</v>
      </c>
      <c r="I242" s="289">
        <f>VLOOKUP($A242,K0kommunestruktur2019!$A$4:$N$425,K0kommunestruktur2020!I$3,FALSE)</f>
        <v>4135</v>
      </c>
      <c r="J242" s="177">
        <f>VLOOKUP($A242,K0kommunestruktur2019!$A$4:$N$425,K0kommunestruktur2020!J$3,FALSE)</f>
        <v>101892</v>
      </c>
      <c r="K242" s="289">
        <f>VLOOKUP($A242,K0kommunestruktur2019!$A$4:$N$425,K0kommunestruktur2020!K$3,FALSE)</f>
        <v>4083</v>
      </c>
      <c r="L242" s="177">
        <f>VLOOKUP($A242,K0kommunestruktur2019!$A$4:$N$425,K0kommunestruktur2020!L$3,FALSE)</f>
        <v>106064</v>
      </c>
      <c r="M242" s="289">
        <f>VLOOKUP($A242,K0kommunestruktur2019!$A$4:$N$425,K0kommunestruktur2020!M$3,FALSE)</f>
        <v>4077</v>
      </c>
      <c r="N242" s="177">
        <f>VLOOKUP($A242,K0kommunestruktur2019!$A$4:$N$425,K0kommunestruktur2020!N$3,FALSE)</f>
        <v>114533</v>
      </c>
      <c r="O242" s="289">
        <f>VLOOKUP(A242,'K20'!$A$4:$BV$359,3)</f>
        <v>4062</v>
      </c>
      <c r="P242" s="289">
        <f>VLOOKUP(A242,'K20'!$A$4:$BV$359,26)</f>
        <v>110596</v>
      </c>
      <c r="R242" s="517"/>
      <c r="S242" s="517"/>
      <c r="T242" s="517"/>
    </row>
    <row r="243" spans="1:20" ht="13">
      <c r="A243" s="865">
        <v>4612</v>
      </c>
      <c r="B243" s="866" t="s">
        <v>25</v>
      </c>
      <c r="C243" s="289">
        <f>VLOOKUP($A243,K0kommunestruktur2019!$A$4:$N$425,K0kommunestruktur2020!C$3,FALSE)</f>
        <v>5463</v>
      </c>
      <c r="D243" s="177">
        <f>VLOOKUP($A243,K0kommunestruktur2019!$A$4:$N$425,K0kommunestruktur2020!D$3,FALSE)</f>
        <v>117446</v>
      </c>
      <c r="E243" s="289">
        <f>VLOOKUP($A243,K0kommunestruktur2019!$A$4:$N$425,K0kommunestruktur2020!E$3,FALSE)</f>
        <v>5509</v>
      </c>
      <c r="F243" s="177">
        <f>VLOOKUP($A243,K0kommunestruktur2019!$A$4:$N$425,K0kommunestruktur2020!F$3,FALSE)</f>
        <v>121337</v>
      </c>
      <c r="G243" s="289">
        <f>VLOOKUP($A243,K0kommunestruktur2019!$A$4:$N$425,K0kommunestruktur2020!G$3,FALSE)</f>
        <v>5593</v>
      </c>
      <c r="H243" s="177">
        <f>VLOOKUP($A243,K0kommunestruktur2019!$A$4:$N$425,K0kommunestruktur2020!H$3,FALSE)</f>
        <v>130903</v>
      </c>
      <c r="I243" s="289">
        <f>VLOOKUP($A243,K0kommunestruktur2019!$A$4:$N$425,K0kommunestruktur2020!I$3,FALSE)</f>
        <v>5656</v>
      </c>
      <c r="J243" s="177">
        <f>VLOOKUP($A243,K0kommunestruktur2019!$A$4:$N$425,K0kommunestruktur2020!J$3,FALSE)</f>
        <v>160876</v>
      </c>
      <c r="K243" s="289">
        <f>VLOOKUP($A243,K0kommunestruktur2019!$A$4:$N$425,K0kommunestruktur2020!K$3,FALSE)</f>
        <v>5721</v>
      </c>
      <c r="L243" s="177">
        <f>VLOOKUP($A243,K0kommunestruktur2019!$A$4:$N$425,K0kommunestruktur2020!L$3,FALSE)</f>
        <v>140486</v>
      </c>
      <c r="M243" s="289">
        <f>VLOOKUP($A243,K0kommunestruktur2019!$A$4:$N$425,K0kommunestruktur2020!M$3,FALSE)</f>
        <v>5721</v>
      </c>
      <c r="N243" s="177">
        <f>VLOOKUP($A243,K0kommunestruktur2019!$A$4:$N$425,K0kommunestruktur2020!N$3,FALSE)</f>
        <v>141649</v>
      </c>
      <c r="O243" s="289">
        <f>VLOOKUP(A243,'K20'!$A$4:$BV$359,3)</f>
        <v>5766</v>
      </c>
      <c r="P243" s="289">
        <f>VLOOKUP(A243,'K20'!$A$4:$BV$359,26)</f>
        <v>146291</v>
      </c>
      <c r="R243" s="517"/>
      <c r="S243" s="517"/>
      <c r="T243" s="517"/>
    </row>
    <row r="244" spans="1:20" ht="13">
      <c r="A244" s="865">
        <v>4613</v>
      </c>
      <c r="B244" s="866" t="s">
        <v>26</v>
      </c>
      <c r="C244" s="289">
        <f>VLOOKUP($A244,K0kommunestruktur2019!$A$4:$N$425,K0kommunestruktur2020!C$3,FALSE)</f>
        <v>11749</v>
      </c>
      <c r="D244" s="177">
        <f>VLOOKUP($A244,K0kommunestruktur2019!$A$4:$N$425,K0kommunestruktur2020!D$3,FALSE)</f>
        <v>283646</v>
      </c>
      <c r="E244" s="289">
        <f>VLOOKUP($A244,K0kommunestruktur2019!$A$4:$N$425,K0kommunestruktur2020!E$3,FALSE)</f>
        <v>11761</v>
      </c>
      <c r="F244" s="177">
        <f>VLOOKUP($A244,K0kommunestruktur2019!$A$4:$N$425,K0kommunestruktur2020!F$3,FALSE)</f>
        <v>291741</v>
      </c>
      <c r="G244" s="289">
        <f>VLOOKUP($A244,K0kommunestruktur2019!$A$4:$N$425,K0kommunestruktur2020!G$3,FALSE)</f>
        <v>11778</v>
      </c>
      <c r="H244" s="177">
        <f>VLOOKUP($A244,K0kommunestruktur2019!$A$4:$N$425,K0kommunestruktur2020!H$3,FALSE)</f>
        <v>340199</v>
      </c>
      <c r="I244" s="289">
        <f>VLOOKUP($A244,K0kommunestruktur2019!$A$4:$N$425,K0kommunestruktur2020!I$3,FALSE)</f>
        <v>11806</v>
      </c>
      <c r="J244" s="177">
        <f>VLOOKUP($A244,K0kommunestruktur2019!$A$4:$N$425,K0kommunestruktur2020!J$3,FALSE)</f>
        <v>315438</v>
      </c>
      <c r="K244" s="289">
        <f>VLOOKUP($A244,K0kommunestruktur2019!$A$4:$N$425,K0kommunestruktur2020!K$3,FALSE)</f>
        <v>11902</v>
      </c>
      <c r="L244" s="177">
        <f>VLOOKUP($A244,K0kommunestruktur2019!$A$4:$N$425,K0kommunestruktur2020!L$3,FALSE)</f>
        <v>295857</v>
      </c>
      <c r="M244" s="289">
        <f>VLOOKUP($A244,K0kommunestruktur2019!$A$4:$N$425,K0kommunestruktur2020!M$3,FALSE)</f>
        <v>11960</v>
      </c>
      <c r="N244" s="177">
        <f>VLOOKUP($A244,K0kommunestruktur2019!$A$4:$N$425,K0kommunestruktur2020!N$3,FALSE)</f>
        <v>332334</v>
      </c>
      <c r="O244" s="289">
        <f>VLOOKUP(A244,'K20'!$A$4:$BV$359,3)</f>
        <v>11957</v>
      </c>
      <c r="P244" s="289">
        <f>VLOOKUP(A244,'K20'!$A$4:$BV$359,26)</f>
        <v>334069</v>
      </c>
      <c r="R244" s="517"/>
      <c r="S244" s="517"/>
      <c r="T244" s="517"/>
    </row>
    <row r="245" spans="1:20" ht="13">
      <c r="A245" s="865">
        <v>4614</v>
      </c>
      <c r="B245" s="866" t="s">
        <v>27</v>
      </c>
      <c r="C245" s="289">
        <f>VLOOKUP($A245,K0kommunestruktur2019!$A$4:$N$425,K0kommunestruktur2020!C$3,FALSE)</f>
        <v>18425</v>
      </c>
      <c r="D245" s="177">
        <f>VLOOKUP($A245,K0kommunestruktur2019!$A$4:$N$425,K0kommunestruktur2020!D$3,FALSE)</f>
        <v>450121</v>
      </c>
      <c r="E245" s="289">
        <f>VLOOKUP($A245,K0kommunestruktur2019!$A$4:$N$425,K0kommunestruktur2020!E$3,FALSE)</f>
        <v>18685</v>
      </c>
      <c r="F245" s="177">
        <f>VLOOKUP($A245,K0kommunestruktur2019!$A$4:$N$425,K0kommunestruktur2020!F$3,FALSE)</f>
        <v>484243</v>
      </c>
      <c r="G245" s="289">
        <f>VLOOKUP($A245,K0kommunestruktur2019!$A$4:$N$425,K0kommunestruktur2020!G$3,FALSE)</f>
        <v>18775</v>
      </c>
      <c r="H245" s="177">
        <f>VLOOKUP($A245,K0kommunestruktur2019!$A$4:$N$425,K0kommunestruktur2020!H$3,FALSE)</f>
        <v>488716</v>
      </c>
      <c r="I245" s="289">
        <f>VLOOKUP($A245,K0kommunestruktur2019!$A$4:$N$425,K0kommunestruktur2020!I$3,FALSE)</f>
        <v>18821</v>
      </c>
      <c r="J245" s="177">
        <f>VLOOKUP($A245,K0kommunestruktur2019!$A$4:$N$425,K0kommunestruktur2020!J$3,FALSE)</f>
        <v>497783</v>
      </c>
      <c r="K245" s="289">
        <f>VLOOKUP($A245,K0kommunestruktur2019!$A$4:$N$425,K0kommunestruktur2020!K$3,FALSE)</f>
        <v>18780</v>
      </c>
      <c r="L245" s="177">
        <f>VLOOKUP($A245,K0kommunestruktur2019!$A$4:$N$425,K0kommunestruktur2020!L$3,FALSE)</f>
        <v>517096</v>
      </c>
      <c r="M245" s="289">
        <f>VLOOKUP($A245,K0kommunestruktur2019!$A$4:$N$425,K0kommunestruktur2020!M$3,FALSE)</f>
        <v>18699</v>
      </c>
      <c r="N245" s="177">
        <f>VLOOKUP($A245,K0kommunestruktur2019!$A$4:$N$425,K0kommunestruktur2020!N$3,FALSE)</f>
        <v>540530</v>
      </c>
      <c r="O245" s="289">
        <f>VLOOKUP(A245,'K20'!$A$4:$BV$359,3)</f>
        <v>18759</v>
      </c>
      <c r="P245" s="289">
        <f>VLOOKUP(A245,'K20'!$A$4:$BV$359,26)</f>
        <v>543385</v>
      </c>
      <c r="R245" s="517"/>
      <c r="S245" s="517"/>
      <c r="T245" s="517"/>
    </row>
    <row r="246" spans="1:20" ht="13">
      <c r="A246" s="865">
        <v>4615</v>
      </c>
      <c r="B246" s="866" t="s">
        <v>28</v>
      </c>
      <c r="C246" s="289">
        <f>VLOOKUP($A246,K0kommunestruktur2019!$A$4:$N$425,K0kommunestruktur2020!C$3,FALSE)</f>
        <v>3009</v>
      </c>
      <c r="D246" s="177">
        <f>VLOOKUP($A246,K0kommunestruktur2019!$A$4:$N$425,K0kommunestruktur2020!D$3,FALSE)</f>
        <v>74296</v>
      </c>
      <c r="E246" s="289">
        <f>VLOOKUP($A246,K0kommunestruktur2019!$A$4:$N$425,K0kommunestruktur2020!E$3,FALSE)</f>
        <v>3093</v>
      </c>
      <c r="F246" s="177">
        <f>VLOOKUP($A246,K0kommunestruktur2019!$A$4:$N$425,K0kommunestruktur2020!F$3,FALSE)</f>
        <v>78879</v>
      </c>
      <c r="G246" s="289">
        <f>VLOOKUP($A246,K0kommunestruktur2019!$A$4:$N$425,K0kommunestruktur2020!G$3,FALSE)</f>
        <v>3140</v>
      </c>
      <c r="H246" s="177">
        <f>VLOOKUP($A246,K0kommunestruktur2019!$A$4:$N$425,K0kommunestruktur2020!H$3,FALSE)</f>
        <v>84396</v>
      </c>
      <c r="I246" s="289">
        <f>VLOOKUP($A246,K0kommunestruktur2019!$A$4:$N$425,K0kommunestruktur2020!I$3,FALSE)</f>
        <v>3189</v>
      </c>
      <c r="J246" s="177">
        <f>VLOOKUP($A246,K0kommunestruktur2019!$A$4:$N$425,K0kommunestruktur2020!J$3,FALSE)</f>
        <v>80561</v>
      </c>
      <c r="K246" s="289">
        <f>VLOOKUP($A246,K0kommunestruktur2019!$A$4:$N$425,K0kommunestruktur2020!K$3,FALSE)</f>
        <v>3194</v>
      </c>
      <c r="L246" s="177">
        <f>VLOOKUP($A246,K0kommunestruktur2019!$A$4:$N$425,K0kommunestruktur2020!L$3,FALSE)</f>
        <v>81638</v>
      </c>
      <c r="M246" s="289">
        <f>VLOOKUP($A246,K0kommunestruktur2019!$A$4:$N$425,K0kommunestruktur2020!M$3,FALSE)</f>
        <v>3201</v>
      </c>
      <c r="N246" s="177">
        <f>VLOOKUP($A246,K0kommunestruktur2019!$A$4:$N$425,K0kommunestruktur2020!N$3,FALSE)</f>
        <v>90564</v>
      </c>
      <c r="O246" s="289">
        <f>VLOOKUP(A246,'K20'!$A$4:$BV$359,3)</f>
        <v>3189</v>
      </c>
      <c r="P246" s="289">
        <f>VLOOKUP(A246,'K20'!$A$4:$BV$359,26)</f>
        <v>87982</v>
      </c>
      <c r="R246" s="517"/>
      <c r="S246" s="517"/>
      <c r="T246" s="517"/>
    </row>
    <row r="247" spans="1:20" ht="13">
      <c r="A247" s="865">
        <v>4616</v>
      </c>
      <c r="B247" s="866" t="s">
        <v>29</v>
      </c>
      <c r="C247" s="289">
        <f>VLOOKUP($A247,K0kommunestruktur2019!$A$4:$N$425,K0kommunestruktur2020!C$3,FALSE)</f>
        <v>2745</v>
      </c>
      <c r="D247" s="177">
        <f>VLOOKUP($A247,K0kommunestruktur2019!$A$4:$N$425,K0kommunestruktur2020!D$3,FALSE)</f>
        <v>65397</v>
      </c>
      <c r="E247" s="289">
        <f>VLOOKUP($A247,K0kommunestruktur2019!$A$4:$N$425,K0kommunestruktur2020!E$3,FALSE)</f>
        <v>2782</v>
      </c>
      <c r="F247" s="177">
        <f>VLOOKUP($A247,K0kommunestruktur2019!$A$4:$N$425,K0kommunestruktur2020!F$3,FALSE)</f>
        <v>71019</v>
      </c>
      <c r="G247" s="289">
        <f>VLOOKUP($A247,K0kommunestruktur2019!$A$4:$N$425,K0kommunestruktur2020!G$3,FALSE)</f>
        <v>2797</v>
      </c>
      <c r="H247" s="177">
        <f>VLOOKUP($A247,K0kommunestruktur2019!$A$4:$N$425,K0kommunestruktur2020!H$3,FALSE)</f>
        <v>76308</v>
      </c>
      <c r="I247" s="289">
        <f>VLOOKUP($A247,K0kommunestruktur2019!$A$4:$N$425,K0kommunestruktur2020!I$3,FALSE)</f>
        <v>2847</v>
      </c>
      <c r="J247" s="177">
        <f>VLOOKUP($A247,K0kommunestruktur2019!$A$4:$N$425,K0kommunestruktur2020!J$3,FALSE)</f>
        <v>83729</v>
      </c>
      <c r="K247" s="289">
        <f>VLOOKUP($A247,K0kommunestruktur2019!$A$4:$N$425,K0kommunestruktur2020!K$3,FALSE)</f>
        <v>2857</v>
      </c>
      <c r="L247" s="177">
        <f>VLOOKUP($A247,K0kommunestruktur2019!$A$4:$N$425,K0kommunestruktur2020!L$3,FALSE)</f>
        <v>90837</v>
      </c>
      <c r="M247" s="289">
        <f>VLOOKUP($A247,K0kommunestruktur2019!$A$4:$N$425,K0kommunestruktur2020!M$3,FALSE)</f>
        <v>2846</v>
      </c>
      <c r="N247" s="177">
        <f>VLOOKUP($A247,K0kommunestruktur2019!$A$4:$N$425,K0kommunestruktur2020!N$3,FALSE)</f>
        <v>105762</v>
      </c>
      <c r="O247" s="289">
        <f>VLOOKUP(A247,'K20'!$A$4:$BV$359,3)</f>
        <v>2869</v>
      </c>
      <c r="P247" s="289">
        <f>VLOOKUP(A247,'K20'!$A$4:$BV$359,26)</f>
        <v>94659</v>
      </c>
      <c r="R247" s="517"/>
      <c r="S247" s="517"/>
      <c r="T247" s="517"/>
    </row>
    <row r="248" spans="1:20" ht="13">
      <c r="A248" s="865">
        <v>4617</v>
      </c>
      <c r="B248" s="866" t="s">
        <v>30</v>
      </c>
      <c r="C248" s="289">
        <f>VLOOKUP($A248,K0kommunestruktur2019!$A$4:$N$425,K0kommunestruktur2020!C$3,FALSE)</f>
        <v>13232</v>
      </c>
      <c r="D248" s="177">
        <f>VLOOKUP($A248,K0kommunestruktur2019!$A$4:$N$425,K0kommunestruktur2020!D$3,FALSE)</f>
        <v>317340</v>
      </c>
      <c r="E248" s="289">
        <f>VLOOKUP($A248,K0kommunestruktur2019!$A$4:$N$425,K0kommunestruktur2020!E$3,FALSE)</f>
        <v>13234</v>
      </c>
      <c r="F248" s="177">
        <f>VLOOKUP($A248,K0kommunestruktur2019!$A$4:$N$425,K0kommunestruktur2020!F$3,FALSE)</f>
        <v>323502</v>
      </c>
      <c r="G248" s="289">
        <f>VLOOKUP($A248,K0kommunestruktur2019!$A$4:$N$425,K0kommunestruktur2020!G$3,FALSE)</f>
        <v>13271</v>
      </c>
      <c r="H248" s="177">
        <f>VLOOKUP($A248,K0kommunestruktur2019!$A$4:$N$425,K0kommunestruktur2020!H$3,FALSE)</f>
        <v>335516</v>
      </c>
      <c r="I248" s="289">
        <f>VLOOKUP($A248,K0kommunestruktur2019!$A$4:$N$425,K0kommunestruktur2020!I$3,FALSE)</f>
        <v>13241</v>
      </c>
      <c r="J248" s="177">
        <f>VLOOKUP($A248,K0kommunestruktur2019!$A$4:$N$425,K0kommunestruktur2020!J$3,FALSE)</f>
        <v>343907</v>
      </c>
      <c r="K248" s="289">
        <f>VLOOKUP($A248,K0kommunestruktur2019!$A$4:$N$425,K0kommunestruktur2020!K$3,FALSE)</f>
        <v>13180</v>
      </c>
      <c r="L248" s="177">
        <f>VLOOKUP($A248,K0kommunestruktur2019!$A$4:$N$425,K0kommunestruktur2020!L$3,FALSE)</f>
        <v>358088</v>
      </c>
      <c r="M248" s="289">
        <f>VLOOKUP($A248,K0kommunestruktur2019!$A$4:$N$425,K0kommunestruktur2020!M$3,FALSE)</f>
        <v>13137</v>
      </c>
      <c r="N248" s="177">
        <f>VLOOKUP($A248,K0kommunestruktur2019!$A$4:$N$425,K0kommunestruktur2020!N$3,FALSE)</f>
        <v>374901</v>
      </c>
      <c r="O248" s="289">
        <f>VLOOKUP(A248,'K20'!$A$4:$BV$359,3)</f>
        <v>13071</v>
      </c>
      <c r="P248" s="289">
        <f>VLOOKUP(A248,'K20'!$A$4:$BV$359,26)</f>
        <v>371702</v>
      </c>
      <c r="R248" s="517"/>
      <c r="S248" s="517"/>
      <c r="T248" s="517"/>
    </row>
    <row r="249" spans="1:20" ht="13">
      <c r="A249" s="878">
        <v>4618</v>
      </c>
      <c r="B249" s="883" t="s">
        <v>1632</v>
      </c>
      <c r="C249" s="289">
        <f t="shared" ref="C249:N249" si="31">+C$496+C$497+C$498+C$499</f>
        <v>11399.067073169999</v>
      </c>
      <c r="D249" s="177">
        <f t="shared" si="31"/>
        <v>290651.85975607892</v>
      </c>
      <c r="E249" s="289">
        <f t="shared" si="31"/>
        <v>11393.10365854</v>
      </c>
      <c r="F249" s="177">
        <f t="shared" si="31"/>
        <v>306581.13414643332</v>
      </c>
      <c r="G249" s="289">
        <f t="shared" si="31"/>
        <v>11365.27439024</v>
      </c>
      <c r="H249" s="177">
        <f t="shared" si="31"/>
        <v>313911.16463403858</v>
      </c>
      <c r="I249" s="289">
        <f t="shared" si="31"/>
        <v>11439.817073169999</v>
      </c>
      <c r="J249" s="177">
        <f t="shared" si="31"/>
        <v>326123.24390241818</v>
      </c>
      <c r="K249" s="289">
        <f t="shared" si="31"/>
        <v>11225.13414634</v>
      </c>
      <c r="L249" s="177">
        <f t="shared" si="31"/>
        <v>333806.10975605407</v>
      </c>
      <c r="M249" s="289">
        <f t="shared" si="31"/>
        <v>11084</v>
      </c>
      <c r="N249" s="177">
        <f t="shared" si="31"/>
        <v>346985.25609756098</v>
      </c>
      <c r="O249" s="289">
        <f>VLOOKUP(A249,'K20'!$A$4:$BV$359,3)</f>
        <v>11048</v>
      </c>
      <c r="P249" s="289">
        <f>VLOOKUP(A249,'K20'!$A$4:$BV$359,26)</f>
        <v>348649</v>
      </c>
      <c r="R249" s="517"/>
      <c r="S249" s="517"/>
      <c r="T249" s="517"/>
    </row>
    <row r="250" spans="1:20" ht="13">
      <c r="A250" s="865">
        <v>4619</v>
      </c>
      <c r="B250" s="866" t="s">
        <v>34</v>
      </c>
      <c r="C250" s="289">
        <f>VLOOKUP($A250,K0kommunestruktur2019!$A$4:$N$425,K0kommunestruktur2020!C$3,FALSE)</f>
        <v>950</v>
      </c>
      <c r="D250" s="177">
        <f>VLOOKUP($A250,K0kommunestruktur2019!$A$4:$N$425,K0kommunestruktur2020!D$3,FALSE)</f>
        <v>49498</v>
      </c>
      <c r="E250" s="289">
        <f>VLOOKUP($A250,K0kommunestruktur2019!$A$4:$N$425,K0kommunestruktur2020!E$3,FALSE)</f>
        <v>950</v>
      </c>
      <c r="F250" s="177">
        <f>VLOOKUP($A250,K0kommunestruktur2019!$A$4:$N$425,K0kommunestruktur2020!F$3,FALSE)</f>
        <v>49839</v>
      </c>
      <c r="G250" s="289">
        <f>VLOOKUP($A250,K0kommunestruktur2019!$A$4:$N$425,K0kommunestruktur2020!G$3,FALSE)</f>
        <v>925</v>
      </c>
      <c r="H250" s="177">
        <f>VLOOKUP($A250,K0kommunestruktur2019!$A$4:$N$425,K0kommunestruktur2020!H$3,FALSE)</f>
        <v>52787</v>
      </c>
      <c r="I250" s="289">
        <f>VLOOKUP($A250,K0kommunestruktur2019!$A$4:$N$425,K0kommunestruktur2020!I$3,FALSE)</f>
        <v>921</v>
      </c>
      <c r="J250" s="177">
        <f>VLOOKUP($A250,K0kommunestruktur2019!$A$4:$N$425,K0kommunestruktur2020!J$3,FALSE)</f>
        <v>55245</v>
      </c>
      <c r="K250" s="289">
        <f>VLOOKUP($A250,K0kommunestruktur2019!$A$4:$N$425,K0kommunestruktur2020!K$3,FALSE)</f>
        <v>931</v>
      </c>
      <c r="L250" s="177">
        <f>VLOOKUP($A250,K0kommunestruktur2019!$A$4:$N$425,K0kommunestruktur2020!L$3,FALSE)</f>
        <v>56711</v>
      </c>
      <c r="M250" s="289">
        <f>VLOOKUP($A250,K0kommunestruktur2019!$A$4:$N$425,K0kommunestruktur2020!M$3,FALSE)</f>
        <v>906</v>
      </c>
      <c r="N250" s="177">
        <f>VLOOKUP($A250,K0kommunestruktur2019!$A$4:$N$425,K0kommunestruktur2020!N$3,FALSE)</f>
        <v>56140</v>
      </c>
      <c r="O250" s="289">
        <f>VLOOKUP(A250,'K20'!$A$4:$BV$359,3)</f>
        <v>906</v>
      </c>
      <c r="P250" s="289">
        <f>VLOOKUP(A250,'K20'!$A$4:$BV$359,26)</f>
        <v>53139</v>
      </c>
      <c r="R250" s="517"/>
      <c r="S250" s="517"/>
      <c r="T250" s="517"/>
    </row>
    <row r="251" spans="1:20" ht="13">
      <c r="A251" s="865">
        <v>4620</v>
      </c>
      <c r="B251" s="866" t="s">
        <v>35</v>
      </c>
      <c r="C251" s="289">
        <f>VLOOKUP($A251,K0kommunestruktur2019!$A$4:$N$425,K0kommunestruktur2020!C$3,FALSE)</f>
        <v>1094</v>
      </c>
      <c r="D251" s="177">
        <f>VLOOKUP($A251,K0kommunestruktur2019!$A$4:$N$425,K0kommunestruktur2020!D$3,FALSE)</f>
        <v>32828</v>
      </c>
      <c r="E251" s="289">
        <f>VLOOKUP($A251,K0kommunestruktur2019!$A$4:$N$425,K0kommunestruktur2020!E$3,FALSE)</f>
        <v>1107</v>
      </c>
      <c r="F251" s="177">
        <f>VLOOKUP($A251,K0kommunestruktur2019!$A$4:$N$425,K0kommunestruktur2020!F$3,FALSE)</f>
        <v>32883</v>
      </c>
      <c r="G251" s="289">
        <f>VLOOKUP($A251,K0kommunestruktur2019!$A$4:$N$425,K0kommunestruktur2020!G$3,FALSE)</f>
        <v>1116</v>
      </c>
      <c r="H251" s="177">
        <f>VLOOKUP($A251,K0kommunestruktur2019!$A$4:$N$425,K0kommunestruktur2020!H$3,FALSE)</f>
        <v>34173</v>
      </c>
      <c r="I251" s="289">
        <f>VLOOKUP($A251,K0kommunestruktur2019!$A$4:$N$425,K0kommunestruktur2020!I$3,FALSE)</f>
        <v>1131</v>
      </c>
      <c r="J251" s="177">
        <f>VLOOKUP($A251,K0kommunestruktur2019!$A$4:$N$425,K0kommunestruktur2020!J$3,FALSE)</f>
        <v>34103</v>
      </c>
      <c r="K251" s="289">
        <f>VLOOKUP($A251,K0kommunestruktur2019!$A$4:$N$425,K0kommunestruktur2020!K$3,FALSE)</f>
        <v>1117</v>
      </c>
      <c r="L251" s="177">
        <f>VLOOKUP($A251,K0kommunestruktur2019!$A$4:$N$425,K0kommunestruktur2020!L$3,FALSE)</f>
        <v>35225</v>
      </c>
      <c r="M251" s="289">
        <f>VLOOKUP($A251,K0kommunestruktur2019!$A$4:$N$425,K0kommunestruktur2020!M$3,FALSE)</f>
        <v>1093</v>
      </c>
      <c r="N251" s="177">
        <f>VLOOKUP($A251,K0kommunestruktur2019!$A$4:$N$425,K0kommunestruktur2020!N$3,FALSE)</f>
        <v>35916</v>
      </c>
      <c r="O251" s="289">
        <f>VLOOKUP(A251,'K20'!$A$4:$BV$359,3)</f>
        <v>1080</v>
      </c>
      <c r="P251" s="289">
        <f>VLOOKUP(A251,'K20'!$A$4:$BV$359,26)</f>
        <v>34950</v>
      </c>
      <c r="R251" s="517"/>
      <c r="S251" s="517"/>
      <c r="T251" s="517"/>
    </row>
    <row r="252" spans="1:20" ht="13">
      <c r="A252" s="878">
        <v>4621</v>
      </c>
      <c r="B252" s="883" t="s">
        <v>1633</v>
      </c>
      <c r="C252" s="289">
        <f t="shared" ref="C252:N252" si="32">+C$502+C$503+C$504</f>
        <v>15144.97001866</v>
      </c>
      <c r="D252" s="177">
        <f t="shared" si="32"/>
        <v>347917.49482086749</v>
      </c>
      <c r="E252" s="289">
        <f t="shared" si="32"/>
        <v>15334.796886059999</v>
      </c>
      <c r="F252" s="177">
        <f t="shared" si="32"/>
        <v>360627.85993699537</v>
      </c>
      <c r="G252" s="289">
        <f t="shared" si="32"/>
        <v>15412.13375796</v>
      </c>
      <c r="H252" s="177">
        <f t="shared" si="32"/>
        <v>385721.16393227217</v>
      </c>
      <c r="I252" s="289">
        <f t="shared" si="32"/>
        <v>15514.580003859999</v>
      </c>
      <c r="J252" s="177">
        <f t="shared" si="32"/>
        <v>406157.18123913626</v>
      </c>
      <c r="K252" s="289">
        <f t="shared" si="32"/>
        <v>15575.84687641</v>
      </c>
      <c r="L252" s="177">
        <f t="shared" si="32"/>
        <v>428051.55098765466</v>
      </c>
      <c r="M252" s="289">
        <f t="shared" si="32"/>
        <v>15611</v>
      </c>
      <c r="N252" s="177">
        <f t="shared" si="32"/>
        <v>453051.44811169017</v>
      </c>
      <c r="O252" s="289">
        <f>VLOOKUP(A252,'K20'!$A$4:$BV$359,3)</f>
        <v>15740</v>
      </c>
      <c r="P252" s="289">
        <f>VLOOKUP(A252,'K20'!$A$4:$BV$359,26)</f>
        <v>443958</v>
      </c>
      <c r="R252" s="517"/>
      <c r="S252" s="517"/>
      <c r="T252" s="517"/>
    </row>
    <row r="253" spans="1:20" ht="13">
      <c r="A253" s="865">
        <v>4622</v>
      </c>
      <c r="B253" s="866" t="s">
        <v>38</v>
      </c>
      <c r="C253" s="289">
        <f>VLOOKUP($A253,K0kommunestruktur2019!$A$4:$N$425,K0kommunestruktur2020!C$3,FALSE)</f>
        <v>8584</v>
      </c>
      <c r="D253" s="177">
        <f>VLOOKUP($A253,K0kommunestruktur2019!$A$4:$N$425,K0kommunestruktur2020!D$3,FALSE)</f>
        <v>191886</v>
      </c>
      <c r="E253" s="289">
        <f>VLOOKUP($A253,K0kommunestruktur2019!$A$4:$N$425,K0kommunestruktur2020!E$3,FALSE)</f>
        <v>8539</v>
      </c>
      <c r="F253" s="177">
        <f>VLOOKUP($A253,K0kommunestruktur2019!$A$4:$N$425,K0kommunestruktur2020!F$3,FALSE)</f>
        <v>198344</v>
      </c>
      <c r="G253" s="289">
        <f>VLOOKUP($A253,K0kommunestruktur2019!$A$4:$N$425,K0kommunestruktur2020!G$3,FALSE)</f>
        <v>8475</v>
      </c>
      <c r="H253" s="177">
        <f>VLOOKUP($A253,K0kommunestruktur2019!$A$4:$N$425,K0kommunestruktur2020!H$3,FALSE)</f>
        <v>212701</v>
      </c>
      <c r="I253" s="289">
        <f>VLOOKUP($A253,K0kommunestruktur2019!$A$4:$N$425,K0kommunestruktur2020!I$3,FALSE)</f>
        <v>8423</v>
      </c>
      <c r="J253" s="177">
        <f>VLOOKUP($A253,K0kommunestruktur2019!$A$4:$N$425,K0kommunestruktur2020!J$3,FALSE)</f>
        <v>216753</v>
      </c>
      <c r="K253" s="289">
        <f>VLOOKUP($A253,K0kommunestruktur2019!$A$4:$N$425,K0kommunestruktur2020!K$3,FALSE)</f>
        <v>8455</v>
      </c>
      <c r="L253" s="177">
        <f>VLOOKUP($A253,K0kommunestruktur2019!$A$4:$N$425,K0kommunestruktur2020!L$3,FALSE)</f>
        <v>232403</v>
      </c>
      <c r="M253" s="289">
        <f>VLOOKUP($A253,K0kommunestruktur2019!$A$4:$N$425,K0kommunestruktur2020!M$3,FALSE)</f>
        <v>8441</v>
      </c>
      <c r="N253" s="177">
        <f>VLOOKUP($A253,K0kommunestruktur2019!$A$4:$N$425,K0kommunestruktur2020!N$3,FALSE)</f>
        <v>234746</v>
      </c>
      <c r="O253" s="289">
        <f>VLOOKUP(A253,'K20'!$A$4:$BV$359,3)</f>
        <v>8457</v>
      </c>
      <c r="P253" s="289">
        <f>VLOOKUP(A253,'K20'!$A$4:$BV$359,26)</f>
        <v>233626</v>
      </c>
      <c r="R253" s="517"/>
      <c r="S253" s="517"/>
      <c r="T253" s="517"/>
    </row>
    <row r="254" spans="1:20" ht="13">
      <c r="A254" s="865">
        <v>4623</v>
      </c>
      <c r="B254" s="866" t="s">
        <v>40</v>
      </c>
      <c r="C254" s="289">
        <f>VLOOKUP($A254,K0kommunestruktur2019!$A$4:$N$425,K0kommunestruktur2020!C$3,FALSE)</f>
        <v>2436</v>
      </c>
      <c r="D254" s="177">
        <f>VLOOKUP($A254,K0kommunestruktur2019!$A$4:$N$425,K0kommunestruktur2020!D$3,FALSE)</f>
        <v>57433</v>
      </c>
      <c r="E254" s="289">
        <f>VLOOKUP($A254,K0kommunestruktur2019!$A$4:$N$425,K0kommunestruktur2020!E$3,FALSE)</f>
        <v>2443</v>
      </c>
      <c r="F254" s="177">
        <f>VLOOKUP($A254,K0kommunestruktur2019!$A$4:$N$425,K0kommunestruktur2020!F$3,FALSE)</f>
        <v>62067</v>
      </c>
      <c r="G254" s="289">
        <f>VLOOKUP($A254,K0kommunestruktur2019!$A$4:$N$425,K0kommunestruktur2020!G$3,FALSE)</f>
        <v>2443</v>
      </c>
      <c r="H254" s="177">
        <f>VLOOKUP($A254,K0kommunestruktur2019!$A$4:$N$425,K0kommunestruktur2020!H$3,FALSE)</f>
        <v>65531</v>
      </c>
      <c r="I254" s="289">
        <f>VLOOKUP($A254,K0kommunestruktur2019!$A$4:$N$425,K0kommunestruktur2020!I$3,FALSE)</f>
        <v>2488</v>
      </c>
      <c r="J254" s="177">
        <f>VLOOKUP($A254,K0kommunestruktur2019!$A$4:$N$425,K0kommunestruktur2020!J$3,FALSE)</f>
        <v>66651</v>
      </c>
      <c r="K254" s="289">
        <f>VLOOKUP($A254,K0kommunestruktur2019!$A$4:$N$425,K0kommunestruktur2020!K$3,FALSE)</f>
        <v>2463</v>
      </c>
      <c r="L254" s="177">
        <f>VLOOKUP($A254,K0kommunestruktur2019!$A$4:$N$425,K0kommunestruktur2020!L$3,FALSE)</f>
        <v>65455</v>
      </c>
      <c r="M254" s="289">
        <f>VLOOKUP($A254,K0kommunestruktur2019!$A$4:$N$425,K0kommunestruktur2020!M$3,FALSE)</f>
        <v>2465</v>
      </c>
      <c r="N254" s="177">
        <f>VLOOKUP($A254,K0kommunestruktur2019!$A$4:$N$425,K0kommunestruktur2020!N$3,FALSE)</f>
        <v>67380</v>
      </c>
      <c r="O254" s="289">
        <f>VLOOKUP(A254,'K20'!$A$4:$BV$359,3)</f>
        <v>2485</v>
      </c>
      <c r="P254" s="289">
        <f>VLOOKUP(A254,'K20'!$A$4:$BV$359,26)</f>
        <v>67747</v>
      </c>
      <c r="R254" s="517"/>
      <c r="S254" s="517"/>
      <c r="T254" s="517"/>
    </row>
    <row r="255" spans="1:20" ht="13">
      <c r="A255" s="878">
        <v>4624</v>
      </c>
      <c r="B255" s="883" t="s">
        <v>1634</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VLOOKUP(A255,'K20'!$A$4:$BV$359,3)</f>
        <v>24908</v>
      </c>
      <c r="P255" s="289">
        <f>VLOOKUP(A255,'K20'!$A$4:$BV$359,26)</f>
        <v>702109</v>
      </c>
      <c r="R255" s="517"/>
      <c r="S255" s="517"/>
      <c r="T255" s="517"/>
    </row>
    <row r="256" spans="1:20" ht="13">
      <c r="A256" s="865">
        <v>4625</v>
      </c>
      <c r="B256" s="866" t="s">
        <v>41</v>
      </c>
      <c r="C256" s="289">
        <f>VLOOKUP($A256,K0kommunestruktur2019!$A$4:$N$425,K0kommunestruktur2020!C$3,FALSE)</f>
        <v>4924</v>
      </c>
      <c r="D256" s="177">
        <f>VLOOKUP($A256,K0kommunestruktur2019!$A$4:$N$425,K0kommunestruktur2020!D$3,FALSE)</f>
        <v>167181</v>
      </c>
      <c r="E256" s="289">
        <f>VLOOKUP($A256,K0kommunestruktur2019!$A$4:$N$425,K0kommunestruktur2020!E$3,FALSE)</f>
        <v>5012</v>
      </c>
      <c r="F256" s="177">
        <f>VLOOKUP($A256,K0kommunestruktur2019!$A$4:$N$425,K0kommunestruktur2020!F$3,FALSE)</f>
        <v>185918</v>
      </c>
      <c r="G256" s="289">
        <f>VLOOKUP($A256,K0kommunestruktur2019!$A$4:$N$425,K0kommunestruktur2020!G$3,FALSE)</f>
        <v>5118</v>
      </c>
      <c r="H256" s="177">
        <f>VLOOKUP($A256,K0kommunestruktur2019!$A$4:$N$425,K0kommunestruktur2020!H$3,FALSE)</f>
        <v>200516</v>
      </c>
      <c r="I256" s="289">
        <f>VLOOKUP($A256,K0kommunestruktur2019!$A$4:$N$425,K0kommunestruktur2020!I$3,FALSE)</f>
        <v>5156</v>
      </c>
      <c r="J256" s="177">
        <f>VLOOKUP($A256,K0kommunestruktur2019!$A$4:$N$425,K0kommunestruktur2020!J$3,FALSE)</f>
        <v>219330</v>
      </c>
      <c r="K256" s="289">
        <f>VLOOKUP($A256,K0kommunestruktur2019!$A$4:$N$425,K0kommunestruktur2020!K$3,FALSE)</f>
        <v>5189</v>
      </c>
      <c r="L256" s="177">
        <f>VLOOKUP($A256,K0kommunestruktur2019!$A$4:$N$425,K0kommunestruktur2020!L$3,FALSE)</f>
        <v>202389</v>
      </c>
      <c r="M256" s="289">
        <f>VLOOKUP($A256,K0kommunestruktur2019!$A$4:$N$425,K0kommunestruktur2020!M$3,FALSE)</f>
        <v>5212</v>
      </c>
      <c r="N256" s="177">
        <f>VLOOKUP($A256,K0kommunestruktur2019!$A$4:$N$425,K0kommunestruktur2020!N$3,FALSE)</f>
        <v>259138</v>
      </c>
      <c r="O256" s="289">
        <f>VLOOKUP(A256,'K20'!$A$4:$BV$359,3)</f>
        <v>5236</v>
      </c>
      <c r="P256" s="289">
        <f>VLOOKUP(A256,'K20'!$A$4:$BV$359,26)</f>
        <v>264097</v>
      </c>
      <c r="R256" s="517"/>
      <c r="S256" s="517"/>
      <c r="T256" s="517"/>
    </row>
    <row r="257" spans="1:20" ht="13">
      <c r="A257" s="878">
        <v>4626</v>
      </c>
      <c r="B257" s="883" t="s">
        <v>1635</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VLOOKUP(A257,'K20'!$A$4:$BV$359,3)</f>
        <v>38316</v>
      </c>
      <c r="P257" s="289">
        <f>VLOOKUP(A257,'K20'!$A$4:$BV$359,26)</f>
        <v>1073322</v>
      </c>
      <c r="R257" s="517"/>
      <c r="S257" s="517"/>
      <c r="T257" s="517"/>
    </row>
    <row r="258" spans="1:20" ht="13">
      <c r="A258" s="865">
        <v>4627</v>
      </c>
      <c r="B258" s="876" t="s">
        <v>44</v>
      </c>
      <c r="C258" s="289">
        <f>VLOOKUP($A258,K0kommunestruktur2019!$A$4:$N$425,K0kommunestruktur2020!C$3,FALSE)</f>
        <v>27346</v>
      </c>
      <c r="D258" s="177">
        <f>VLOOKUP($A258,K0kommunestruktur2019!$A$4:$N$425,K0kommunestruktur2020!D$3,FALSE)</f>
        <v>612963</v>
      </c>
      <c r="E258" s="289">
        <f>VLOOKUP($A258,K0kommunestruktur2019!$A$4:$N$425,K0kommunestruktur2020!E$3,FALSE)</f>
        <v>27858</v>
      </c>
      <c r="F258" s="177">
        <f>VLOOKUP($A258,K0kommunestruktur2019!$A$4:$N$425,K0kommunestruktur2020!F$3,FALSE)</f>
        <v>641304</v>
      </c>
      <c r="G258" s="289">
        <f>VLOOKUP($A258,K0kommunestruktur2019!$A$4:$N$425,K0kommunestruktur2020!G$3,FALSE)</f>
        <v>28380</v>
      </c>
      <c r="H258" s="177">
        <f>VLOOKUP($A258,K0kommunestruktur2019!$A$4:$N$425,K0kommunestruktur2020!H$3,FALSE)</f>
        <v>684373</v>
      </c>
      <c r="I258" s="289">
        <f>VLOOKUP($A258,K0kommunestruktur2019!$A$4:$N$425,K0kommunestruktur2020!I$3,FALSE)</f>
        <v>28821</v>
      </c>
      <c r="J258" s="177">
        <f>VLOOKUP($A258,K0kommunestruktur2019!$A$4:$N$425,K0kommunestruktur2020!J$3,FALSE)</f>
        <v>715328</v>
      </c>
      <c r="K258" s="289">
        <f>VLOOKUP($A258,K0kommunestruktur2019!$A$4:$N$425,K0kommunestruktur2020!K$3,FALSE)</f>
        <v>29071</v>
      </c>
      <c r="L258" s="177">
        <f>VLOOKUP($A258,K0kommunestruktur2019!$A$4:$N$425,K0kommunestruktur2020!L$3,FALSE)</f>
        <v>745203</v>
      </c>
      <c r="M258" s="289">
        <f>VLOOKUP($A258,K0kommunestruktur2019!$A$4:$N$425,K0kommunestruktur2020!M$3,FALSE)</f>
        <v>29275</v>
      </c>
      <c r="N258" s="177">
        <f>VLOOKUP($A258,K0kommunestruktur2019!$A$4:$N$425,K0kommunestruktur2020!N$3,FALSE)</f>
        <v>770143</v>
      </c>
      <c r="O258" s="289">
        <f>VLOOKUP(A258,'K20'!$A$4:$BV$359,3)</f>
        <v>29553</v>
      </c>
      <c r="P258" s="289">
        <f>VLOOKUP(A258,'K20'!$A$4:$BV$359,26)</f>
        <v>758102</v>
      </c>
      <c r="R258" s="517"/>
      <c r="S258" s="517"/>
      <c r="T258" s="517"/>
    </row>
    <row r="259" spans="1:20" ht="13">
      <c r="A259" s="865">
        <v>4628</v>
      </c>
      <c r="B259" s="866" t="s">
        <v>45</v>
      </c>
      <c r="C259" s="289">
        <f>VLOOKUP($A259,K0kommunestruktur2019!$A$4:$N$425,K0kommunestruktur2020!C$3,FALSE)</f>
        <v>4140</v>
      </c>
      <c r="D259" s="177">
        <f>VLOOKUP($A259,K0kommunestruktur2019!$A$4:$N$425,K0kommunestruktur2020!D$3,FALSE)</f>
        <v>91771</v>
      </c>
      <c r="E259" s="289">
        <f>VLOOKUP($A259,K0kommunestruktur2019!$A$4:$N$425,K0kommunestruktur2020!E$3,FALSE)</f>
        <v>4096</v>
      </c>
      <c r="F259" s="177">
        <f>VLOOKUP($A259,K0kommunestruktur2019!$A$4:$N$425,K0kommunestruktur2020!F$3,FALSE)</f>
        <v>95145</v>
      </c>
      <c r="G259" s="289">
        <f>VLOOKUP($A259,K0kommunestruktur2019!$A$4:$N$425,K0kommunestruktur2020!G$3,FALSE)</f>
        <v>4125</v>
      </c>
      <c r="H259" s="177">
        <f>VLOOKUP($A259,K0kommunestruktur2019!$A$4:$N$425,K0kommunestruktur2020!H$3,FALSE)</f>
        <v>100840</v>
      </c>
      <c r="I259" s="289">
        <f>VLOOKUP($A259,K0kommunestruktur2019!$A$4:$N$425,K0kommunestruktur2020!I$3,FALSE)</f>
        <v>4123</v>
      </c>
      <c r="J259" s="177">
        <f>VLOOKUP($A259,K0kommunestruktur2019!$A$4:$N$425,K0kommunestruktur2020!J$3,FALSE)</f>
        <v>103284</v>
      </c>
      <c r="K259" s="289">
        <f>VLOOKUP($A259,K0kommunestruktur2019!$A$4:$N$425,K0kommunestruktur2020!K$3,FALSE)</f>
        <v>4127</v>
      </c>
      <c r="L259" s="177">
        <f>VLOOKUP($A259,K0kommunestruktur2019!$A$4:$N$425,K0kommunestruktur2020!L$3,FALSE)</f>
        <v>107402</v>
      </c>
      <c r="M259" s="289">
        <f>VLOOKUP($A259,K0kommunestruktur2019!$A$4:$N$425,K0kommunestruktur2020!M$3,FALSE)</f>
        <v>4045</v>
      </c>
      <c r="N259" s="177">
        <f>VLOOKUP($A259,K0kommunestruktur2019!$A$4:$N$425,K0kommunestruktur2020!N$3,FALSE)</f>
        <v>109454</v>
      </c>
      <c r="O259" s="289">
        <f>VLOOKUP(A259,'K20'!$A$4:$BV$359,3)</f>
        <v>3977</v>
      </c>
      <c r="P259" s="289">
        <f>VLOOKUP(A259,'K20'!$A$4:$BV$359,26)</f>
        <v>107407</v>
      </c>
      <c r="R259" s="517"/>
      <c r="S259" s="517"/>
      <c r="T259" s="517"/>
    </row>
    <row r="260" spans="1:20" ht="13">
      <c r="A260" s="865">
        <v>4629</v>
      </c>
      <c r="B260" s="866" t="s">
        <v>46</v>
      </c>
      <c r="C260" s="289">
        <f>VLOOKUP($A260,K0kommunestruktur2019!$A$4:$N$425,K0kommunestruktur2020!C$3,FALSE)</f>
        <v>372</v>
      </c>
      <c r="D260" s="177">
        <f>VLOOKUP($A260,K0kommunestruktur2019!$A$4:$N$425,K0kommunestruktur2020!D$3,FALSE)</f>
        <v>23282</v>
      </c>
      <c r="E260" s="289">
        <f>VLOOKUP($A260,K0kommunestruktur2019!$A$4:$N$425,K0kommunestruktur2020!E$3,FALSE)</f>
        <v>378</v>
      </c>
      <c r="F260" s="177">
        <f>VLOOKUP($A260,K0kommunestruktur2019!$A$4:$N$425,K0kommunestruktur2020!F$3,FALSE)</f>
        <v>22663</v>
      </c>
      <c r="G260" s="289">
        <f>VLOOKUP($A260,K0kommunestruktur2019!$A$4:$N$425,K0kommunestruktur2020!G$3,FALSE)</f>
        <v>381</v>
      </c>
      <c r="H260" s="177">
        <f>VLOOKUP($A260,K0kommunestruktur2019!$A$4:$N$425,K0kommunestruktur2020!H$3,FALSE)</f>
        <v>24758</v>
      </c>
      <c r="I260" s="289">
        <f>VLOOKUP($A260,K0kommunestruktur2019!$A$4:$N$425,K0kommunestruktur2020!I$3,FALSE)</f>
        <v>383</v>
      </c>
      <c r="J260" s="177">
        <f>VLOOKUP($A260,K0kommunestruktur2019!$A$4:$N$425,K0kommunestruktur2020!J$3,FALSE)</f>
        <v>23712</v>
      </c>
      <c r="K260" s="289">
        <f>VLOOKUP($A260,K0kommunestruktur2019!$A$4:$N$425,K0kommunestruktur2020!K$3,FALSE)</f>
        <v>380</v>
      </c>
      <c r="L260" s="177">
        <f>VLOOKUP($A260,K0kommunestruktur2019!$A$4:$N$425,K0kommunestruktur2020!L$3,FALSE)</f>
        <v>24427</v>
      </c>
      <c r="M260" s="289">
        <f>VLOOKUP($A260,K0kommunestruktur2019!$A$4:$N$425,K0kommunestruktur2020!M$3,FALSE)</f>
        <v>380</v>
      </c>
      <c r="N260" s="177">
        <f>VLOOKUP($A260,K0kommunestruktur2019!$A$4:$N$425,K0kommunestruktur2020!N$3,FALSE)</f>
        <v>27481</v>
      </c>
      <c r="O260" s="289">
        <f>VLOOKUP(A260,'K20'!$A$4:$BV$359,3)</f>
        <v>388</v>
      </c>
      <c r="P260" s="289">
        <f>VLOOKUP(A260,'K20'!$A$4:$BV$359,26)</f>
        <v>27348</v>
      </c>
      <c r="R260" s="517"/>
      <c r="S260" s="517"/>
      <c r="T260" s="517"/>
    </row>
    <row r="261" spans="1:20" ht="13">
      <c r="A261" s="865">
        <v>4630</v>
      </c>
      <c r="B261" s="866" t="s">
        <v>47</v>
      </c>
      <c r="C261" s="289">
        <f>VLOOKUP($A261,K0kommunestruktur2019!$A$4:$N$425,K0kommunestruktur2020!C$3,FALSE)</f>
        <v>7786</v>
      </c>
      <c r="D261" s="177">
        <f>VLOOKUP($A261,K0kommunestruktur2019!$A$4:$N$425,K0kommunestruktur2020!D$3,FALSE)</f>
        <v>159398</v>
      </c>
      <c r="E261" s="289">
        <f>VLOOKUP($A261,K0kommunestruktur2019!$A$4:$N$425,K0kommunestruktur2020!E$3,FALSE)</f>
        <v>7842</v>
      </c>
      <c r="F261" s="177">
        <f>VLOOKUP($A261,K0kommunestruktur2019!$A$4:$N$425,K0kommunestruktur2020!F$3,FALSE)</f>
        <v>166774</v>
      </c>
      <c r="G261" s="289">
        <f>VLOOKUP($A261,K0kommunestruktur2019!$A$4:$N$425,K0kommunestruktur2020!G$3,FALSE)</f>
        <v>7957</v>
      </c>
      <c r="H261" s="177">
        <f>VLOOKUP($A261,K0kommunestruktur2019!$A$4:$N$425,K0kommunestruktur2020!H$3,FALSE)</f>
        <v>179015</v>
      </c>
      <c r="I261" s="289">
        <f>VLOOKUP($A261,K0kommunestruktur2019!$A$4:$N$425,K0kommunestruktur2020!I$3,FALSE)</f>
        <v>8026</v>
      </c>
      <c r="J261" s="177">
        <f>VLOOKUP($A261,K0kommunestruktur2019!$A$4:$N$425,K0kommunestruktur2020!J$3,FALSE)</f>
        <v>190980</v>
      </c>
      <c r="K261" s="289">
        <f>VLOOKUP($A261,K0kommunestruktur2019!$A$4:$N$425,K0kommunestruktur2020!K$3,FALSE)</f>
        <v>8125</v>
      </c>
      <c r="L261" s="177">
        <f>VLOOKUP($A261,K0kommunestruktur2019!$A$4:$N$425,K0kommunestruktur2020!L$3,FALSE)</f>
        <v>194818</v>
      </c>
      <c r="M261" s="289">
        <f>VLOOKUP($A261,K0kommunestruktur2019!$A$4:$N$425,K0kommunestruktur2020!M$3,FALSE)</f>
        <v>8120</v>
      </c>
      <c r="N261" s="177">
        <f>VLOOKUP($A261,K0kommunestruktur2019!$A$4:$N$425,K0kommunestruktur2020!N$3,FALSE)</f>
        <v>204329</v>
      </c>
      <c r="O261" s="289">
        <f>VLOOKUP(A261,'K20'!$A$4:$BV$359,3)</f>
        <v>8098</v>
      </c>
      <c r="P261" s="289">
        <f>VLOOKUP(A261,'K20'!$A$4:$BV$359,26)</f>
        <v>202713</v>
      </c>
      <c r="R261" s="517"/>
      <c r="S261" s="517"/>
      <c r="T261" s="517"/>
    </row>
    <row r="262" spans="1:20" ht="13">
      <c r="A262" s="878">
        <v>4631</v>
      </c>
      <c r="B262" s="883" t="s">
        <v>1636</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VLOOKUP(A262,'K20'!$A$4:$BV$359,3)</f>
        <v>29224</v>
      </c>
      <c r="P262" s="289">
        <f>VLOOKUP(A262,'K20'!$A$4:$BV$359,26)</f>
        <v>779977</v>
      </c>
      <c r="R262" s="517"/>
      <c r="S262" s="517"/>
      <c r="T262" s="517"/>
    </row>
    <row r="263" spans="1:20" ht="13">
      <c r="A263" s="865">
        <v>4632</v>
      </c>
      <c r="B263" s="866" t="s">
        <v>55</v>
      </c>
      <c r="C263" s="289">
        <f>VLOOKUP($A263,K0kommunestruktur2019!$A$4:$N$425,K0kommunestruktur2020!C$3,FALSE)</f>
        <v>2833</v>
      </c>
      <c r="D263" s="177">
        <f>VLOOKUP($A263,K0kommunestruktur2019!$A$4:$N$425,K0kommunestruktur2020!D$3,FALSE)</f>
        <v>84590</v>
      </c>
      <c r="E263" s="289">
        <f>VLOOKUP($A263,K0kommunestruktur2019!$A$4:$N$425,K0kommunestruktur2020!E$3,FALSE)</f>
        <v>2856</v>
      </c>
      <c r="F263" s="177">
        <f>VLOOKUP($A263,K0kommunestruktur2019!$A$4:$N$425,K0kommunestruktur2020!F$3,FALSE)</f>
        <v>82871</v>
      </c>
      <c r="G263" s="289">
        <f>VLOOKUP($A263,K0kommunestruktur2019!$A$4:$N$425,K0kommunestruktur2020!G$3,FALSE)</f>
        <v>2858</v>
      </c>
      <c r="H263" s="177">
        <f>VLOOKUP($A263,K0kommunestruktur2019!$A$4:$N$425,K0kommunestruktur2020!H$3,FALSE)</f>
        <v>88559</v>
      </c>
      <c r="I263" s="289">
        <f>VLOOKUP($A263,K0kommunestruktur2019!$A$4:$N$425,K0kommunestruktur2020!I$3,FALSE)</f>
        <v>2884</v>
      </c>
      <c r="J263" s="177">
        <f>VLOOKUP($A263,K0kommunestruktur2019!$A$4:$N$425,K0kommunestruktur2020!J$3,FALSE)</f>
        <v>85690</v>
      </c>
      <c r="K263" s="289">
        <f>VLOOKUP($A263,K0kommunestruktur2019!$A$4:$N$425,K0kommunestruktur2020!K$3,FALSE)</f>
        <v>2902</v>
      </c>
      <c r="L263" s="177">
        <f>VLOOKUP($A263,K0kommunestruktur2019!$A$4:$N$425,K0kommunestruktur2020!L$3,FALSE)</f>
        <v>87553</v>
      </c>
      <c r="M263" s="289">
        <f>VLOOKUP($A263,K0kommunestruktur2019!$A$4:$N$425,K0kommunestruktur2020!M$3,FALSE)</f>
        <v>2887</v>
      </c>
      <c r="N263" s="177">
        <f>VLOOKUP($A263,K0kommunestruktur2019!$A$4:$N$425,K0kommunestruktur2020!N$3,FALSE)</f>
        <v>95029</v>
      </c>
      <c r="O263" s="289">
        <f>VLOOKUP(A263,'K20'!$A$4:$BV$359,3)</f>
        <v>2870</v>
      </c>
      <c r="P263" s="289">
        <f>VLOOKUP(A263,'K20'!$A$4:$BV$359,26)</f>
        <v>96979</v>
      </c>
      <c r="R263" s="517"/>
      <c r="S263" s="517"/>
      <c r="T263" s="517"/>
    </row>
    <row r="264" spans="1:20" ht="13">
      <c r="A264" s="865">
        <v>4633</v>
      </c>
      <c r="B264" s="866" t="s">
        <v>56</v>
      </c>
      <c r="C264" s="289">
        <f>VLOOKUP($A264,K0kommunestruktur2019!$A$4:$N$425,K0kommunestruktur2020!C$3,FALSE)</f>
        <v>561</v>
      </c>
      <c r="D264" s="177">
        <f>VLOOKUP($A264,K0kommunestruktur2019!$A$4:$N$425,K0kommunestruktur2020!D$3,FALSE)</f>
        <v>12698</v>
      </c>
      <c r="E264" s="289">
        <f>VLOOKUP($A264,K0kommunestruktur2019!$A$4:$N$425,K0kommunestruktur2020!E$3,FALSE)</f>
        <v>563</v>
      </c>
      <c r="F264" s="177">
        <f>VLOOKUP($A264,K0kommunestruktur2019!$A$4:$N$425,K0kommunestruktur2020!F$3,FALSE)</f>
        <v>12935</v>
      </c>
      <c r="G264" s="289">
        <f>VLOOKUP($A264,K0kommunestruktur2019!$A$4:$N$425,K0kommunestruktur2020!G$3,FALSE)</f>
        <v>576</v>
      </c>
      <c r="H264" s="177">
        <f>VLOOKUP($A264,K0kommunestruktur2019!$A$4:$N$425,K0kommunestruktur2020!H$3,FALSE)</f>
        <v>13743</v>
      </c>
      <c r="I264" s="289">
        <f>VLOOKUP($A264,K0kommunestruktur2019!$A$4:$N$425,K0kommunestruktur2020!I$3,FALSE)</f>
        <v>587</v>
      </c>
      <c r="J264" s="177">
        <f>VLOOKUP($A264,K0kommunestruktur2019!$A$4:$N$425,K0kommunestruktur2020!J$3,FALSE)</f>
        <v>13627</v>
      </c>
      <c r="K264" s="289">
        <f>VLOOKUP($A264,K0kommunestruktur2019!$A$4:$N$425,K0kommunestruktur2020!K$3,FALSE)</f>
        <v>561</v>
      </c>
      <c r="L264" s="177">
        <f>VLOOKUP($A264,K0kommunestruktur2019!$A$4:$N$425,K0kommunestruktur2020!L$3,FALSE)</f>
        <v>14691</v>
      </c>
      <c r="M264" s="289">
        <f>VLOOKUP($A264,K0kommunestruktur2019!$A$4:$N$425,K0kommunestruktur2020!M$3,FALSE)</f>
        <v>562</v>
      </c>
      <c r="N264" s="177">
        <f>VLOOKUP($A264,K0kommunestruktur2019!$A$4:$N$425,K0kommunestruktur2020!N$3,FALSE)</f>
        <v>14851</v>
      </c>
      <c r="O264" s="289">
        <f>VLOOKUP(A264,'K20'!$A$4:$BV$359,3)</f>
        <v>548</v>
      </c>
      <c r="P264" s="289">
        <f>VLOOKUP(A264,'K20'!$A$4:$BV$359,26)</f>
        <v>15842</v>
      </c>
      <c r="R264" s="517"/>
      <c r="S264" s="517"/>
      <c r="T264" s="517"/>
    </row>
    <row r="265" spans="1:20" ht="13">
      <c r="A265" s="865">
        <v>4634</v>
      </c>
      <c r="B265" s="866" t="s">
        <v>57</v>
      </c>
      <c r="C265" s="289">
        <f>VLOOKUP($A265,K0kommunestruktur2019!$A$4:$N$425,K0kommunestruktur2020!C$3,FALSE)</f>
        <v>1693</v>
      </c>
      <c r="D265" s="177">
        <f>VLOOKUP($A265,K0kommunestruktur2019!$A$4:$N$425,K0kommunestruktur2020!D$3,FALSE)</f>
        <v>50840</v>
      </c>
      <c r="E265" s="289">
        <f>VLOOKUP($A265,K0kommunestruktur2019!$A$4:$N$425,K0kommunestruktur2020!E$3,FALSE)</f>
        <v>1704</v>
      </c>
      <c r="F265" s="177">
        <f>VLOOKUP($A265,K0kommunestruktur2019!$A$4:$N$425,K0kommunestruktur2020!F$3,FALSE)</f>
        <v>51991</v>
      </c>
      <c r="G265" s="289">
        <f>VLOOKUP($A265,K0kommunestruktur2019!$A$4:$N$425,K0kommunestruktur2020!G$3,FALSE)</f>
        <v>1701</v>
      </c>
      <c r="H265" s="177">
        <f>VLOOKUP($A265,K0kommunestruktur2019!$A$4:$N$425,K0kommunestruktur2020!H$3,FALSE)</f>
        <v>54093</v>
      </c>
      <c r="I265" s="289">
        <f>VLOOKUP($A265,K0kommunestruktur2019!$A$4:$N$425,K0kommunestruktur2020!I$3,FALSE)</f>
        <v>1710</v>
      </c>
      <c r="J265" s="177">
        <f>VLOOKUP($A265,K0kommunestruktur2019!$A$4:$N$425,K0kommunestruktur2020!J$3,FALSE)</f>
        <v>54844</v>
      </c>
      <c r="K265" s="289">
        <f>VLOOKUP($A265,K0kommunestruktur2019!$A$4:$N$425,K0kommunestruktur2020!K$3,FALSE)</f>
        <v>1730</v>
      </c>
      <c r="L265" s="177">
        <f>VLOOKUP($A265,K0kommunestruktur2019!$A$4:$N$425,K0kommunestruktur2020!L$3,FALSE)</f>
        <v>55228</v>
      </c>
      <c r="M265" s="289">
        <f>VLOOKUP($A265,K0kommunestruktur2019!$A$4:$N$425,K0kommunestruktur2020!M$3,FALSE)</f>
        <v>1711</v>
      </c>
      <c r="N265" s="177">
        <f>VLOOKUP($A265,K0kommunestruktur2019!$A$4:$N$425,K0kommunestruktur2020!N$3,FALSE)</f>
        <v>58980</v>
      </c>
      <c r="O265" s="289">
        <f>VLOOKUP(A265,'K20'!$A$4:$BV$359,3)</f>
        <v>1691</v>
      </c>
      <c r="P265" s="289">
        <f>VLOOKUP(A265,'K20'!$A$4:$BV$359,26)</f>
        <v>57444</v>
      </c>
      <c r="R265" s="517"/>
      <c r="S265" s="517"/>
      <c r="T265" s="517"/>
    </row>
    <row r="266" spans="1:20" ht="13">
      <c r="A266" s="865">
        <v>4635</v>
      </c>
      <c r="B266" s="866" t="s">
        <v>59</v>
      </c>
      <c r="C266" s="289">
        <f>VLOOKUP($A266,K0kommunestruktur2019!$A$4:$N$425,K0kommunestruktur2020!C$3,FALSE)</f>
        <v>2315</v>
      </c>
      <c r="D266" s="177">
        <f>VLOOKUP($A266,K0kommunestruktur2019!$A$4:$N$425,K0kommunestruktur2020!D$3,FALSE)</f>
        <v>61093</v>
      </c>
      <c r="E266" s="289">
        <f>VLOOKUP($A266,K0kommunestruktur2019!$A$4:$N$425,K0kommunestruktur2020!E$3,FALSE)</f>
        <v>2335</v>
      </c>
      <c r="F266" s="177">
        <f>VLOOKUP($A266,K0kommunestruktur2019!$A$4:$N$425,K0kommunestruktur2020!F$3,FALSE)</f>
        <v>62353</v>
      </c>
      <c r="G266" s="289">
        <f>VLOOKUP($A266,K0kommunestruktur2019!$A$4:$N$425,K0kommunestruktur2020!G$3,FALSE)</f>
        <v>2370</v>
      </c>
      <c r="H266" s="177">
        <f>VLOOKUP($A266,K0kommunestruktur2019!$A$4:$N$425,K0kommunestruktur2020!H$3,FALSE)</f>
        <v>71148</v>
      </c>
      <c r="I266" s="289">
        <f>VLOOKUP($A266,K0kommunestruktur2019!$A$4:$N$425,K0kommunestruktur2020!I$3,FALSE)</f>
        <v>2371</v>
      </c>
      <c r="J266" s="177">
        <f>VLOOKUP($A266,K0kommunestruktur2019!$A$4:$N$425,K0kommunestruktur2020!J$3,FALSE)</f>
        <v>70894</v>
      </c>
      <c r="K266" s="289">
        <f>VLOOKUP($A266,K0kommunestruktur2019!$A$4:$N$425,K0kommunestruktur2020!K$3,FALSE)</f>
        <v>2345</v>
      </c>
      <c r="L266" s="177">
        <f>VLOOKUP($A266,K0kommunestruktur2019!$A$4:$N$425,K0kommunestruktur2020!L$3,FALSE)</f>
        <v>66356</v>
      </c>
      <c r="M266" s="289">
        <f>VLOOKUP($A266,K0kommunestruktur2019!$A$4:$N$425,K0kommunestruktur2020!M$3,FALSE)</f>
        <v>2322</v>
      </c>
      <c r="N266" s="177">
        <f>VLOOKUP($A266,K0kommunestruktur2019!$A$4:$N$425,K0kommunestruktur2020!N$3,FALSE)</f>
        <v>75568</v>
      </c>
      <c r="O266" s="289">
        <f>VLOOKUP(A266,'K20'!$A$4:$BV$359,3)</f>
        <v>2297</v>
      </c>
      <c r="P266" s="289">
        <f>VLOOKUP(A266,'K20'!$A$4:$BV$359,26)</f>
        <v>81292</v>
      </c>
      <c r="R266" s="517"/>
      <c r="S266" s="517"/>
      <c r="T266" s="517"/>
    </row>
    <row r="267" spans="1:20" ht="13">
      <c r="A267" s="865">
        <v>4636</v>
      </c>
      <c r="B267" s="866" t="s">
        <v>60</v>
      </c>
      <c r="C267" s="289">
        <f>VLOOKUP($A267,K0kommunestruktur2019!$A$4:$N$425,K0kommunestruktur2020!C$3,FALSE)</f>
        <v>815</v>
      </c>
      <c r="D267" s="177">
        <f>VLOOKUP($A267,K0kommunestruktur2019!$A$4:$N$425,K0kommunestruktur2020!D$3,FALSE)</f>
        <v>18381</v>
      </c>
      <c r="E267" s="289">
        <f>VLOOKUP($A267,K0kommunestruktur2019!$A$4:$N$425,K0kommunestruktur2020!E$3,FALSE)</f>
        <v>800</v>
      </c>
      <c r="F267" s="177">
        <f>VLOOKUP($A267,K0kommunestruktur2019!$A$4:$N$425,K0kommunestruktur2020!F$3,FALSE)</f>
        <v>19212</v>
      </c>
      <c r="G267" s="289">
        <f>VLOOKUP($A267,K0kommunestruktur2019!$A$4:$N$425,K0kommunestruktur2020!G$3,FALSE)</f>
        <v>785</v>
      </c>
      <c r="H267" s="177">
        <f>VLOOKUP($A267,K0kommunestruktur2019!$A$4:$N$425,K0kommunestruktur2020!H$3,FALSE)</f>
        <v>20256</v>
      </c>
      <c r="I267" s="289">
        <f>VLOOKUP($A267,K0kommunestruktur2019!$A$4:$N$425,K0kommunestruktur2020!I$3,FALSE)</f>
        <v>794</v>
      </c>
      <c r="J267" s="177">
        <f>VLOOKUP($A267,K0kommunestruktur2019!$A$4:$N$425,K0kommunestruktur2020!J$3,FALSE)</f>
        <v>21810</v>
      </c>
      <c r="K267" s="289">
        <f>VLOOKUP($A267,K0kommunestruktur2019!$A$4:$N$425,K0kommunestruktur2020!K$3,FALSE)</f>
        <v>807</v>
      </c>
      <c r="L267" s="177">
        <f>VLOOKUP($A267,K0kommunestruktur2019!$A$4:$N$425,K0kommunestruktur2020!L$3,FALSE)</f>
        <v>22900</v>
      </c>
      <c r="M267" s="289">
        <f>VLOOKUP($A267,K0kommunestruktur2019!$A$4:$N$425,K0kommunestruktur2020!M$3,FALSE)</f>
        <v>820</v>
      </c>
      <c r="N267" s="177">
        <f>VLOOKUP($A267,K0kommunestruktur2019!$A$4:$N$425,K0kommunestruktur2020!N$3,FALSE)</f>
        <v>24412</v>
      </c>
      <c r="O267" s="289">
        <f>VLOOKUP(A267,'K20'!$A$4:$BV$359,3)</f>
        <v>802</v>
      </c>
      <c r="P267" s="289">
        <f>VLOOKUP(A267,'K20'!$A$4:$BV$359,26)</f>
        <v>24421</v>
      </c>
      <c r="R267" s="517"/>
      <c r="S267" s="517"/>
      <c r="T267" s="517"/>
    </row>
    <row r="268" spans="1:20" ht="13">
      <c r="A268" s="865">
        <v>4637</v>
      </c>
      <c r="B268" s="866" t="s">
        <v>61</v>
      </c>
      <c r="C268" s="289">
        <f>VLOOKUP($A268,K0kommunestruktur2019!$A$4:$N$425,K0kommunestruktur2020!C$3,FALSE)</f>
        <v>1391</v>
      </c>
      <c r="D268" s="177">
        <f>VLOOKUP($A268,K0kommunestruktur2019!$A$4:$N$425,K0kommunestruktur2020!D$3,FALSE)</f>
        <v>34485</v>
      </c>
      <c r="E268" s="289">
        <f>VLOOKUP($A268,K0kommunestruktur2019!$A$4:$N$425,K0kommunestruktur2020!E$3,FALSE)</f>
        <v>1405</v>
      </c>
      <c r="F268" s="177">
        <f>VLOOKUP($A268,K0kommunestruktur2019!$A$4:$N$425,K0kommunestruktur2020!F$3,FALSE)</f>
        <v>36501</v>
      </c>
      <c r="G268" s="289">
        <f>VLOOKUP($A268,K0kommunestruktur2019!$A$4:$N$425,K0kommunestruktur2020!G$3,FALSE)</f>
        <v>1395</v>
      </c>
      <c r="H268" s="177">
        <f>VLOOKUP($A268,K0kommunestruktur2019!$A$4:$N$425,K0kommunestruktur2020!H$3,FALSE)</f>
        <v>35334</v>
      </c>
      <c r="I268" s="289">
        <f>VLOOKUP($A268,K0kommunestruktur2019!$A$4:$N$425,K0kommunestruktur2020!I$3,FALSE)</f>
        <v>1438</v>
      </c>
      <c r="J268" s="177">
        <f>VLOOKUP($A268,K0kommunestruktur2019!$A$4:$N$425,K0kommunestruktur2020!J$3,FALSE)</f>
        <v>34994</v>
      </c>
      <c r="K268" s="289">
        <f>VLOOKUP($A268,K0kommunestruktur2019!$A$4:$N$425,K0kommunestruktur2020!K$3,FALSE)</f>
        <v>1378</v>
      </c>
      <c r="L268" s="177">
        <f>VLOOKUP($A268,K0kommunestruktur2019!$A$4:$N$425,K0kommunestruktur2020!L$3,FALSE)</f>
        <v>35150</v>
      </c>
      <c r="M268" s="289">
        <f>VLOOKUP($A268,K0kommunestruktur2019!$A$4:$N$425,K0kommunestruktur2020!M$3,FALSE)</f>
        <v>1366</v>
      </c>
      <c r="N268" s="177">
        <f>VLOOKUP($A268,K0kommunestruktur2019!$A$4:$N$425,K0kommunestruktur2020!N$3,FALSE)</f>
        <v>38793</v>
      </c>
      <c r="O268" s="289">
        <f>VLOOKUP(A268,'K20'!$A$4:$BV$359,3)</f>
        <v>1328</v>
      </c>
      <c r="P268" s="289">
        <f>VLOOKUP(A268,'K20'!$A$4:$BV$359,26)</f>
        <v>42033</v>
      </c>
      <c r="R268" s="517"/>
      <c r="S268" s="517"/>
      <c r="T268" s="517"/>
    </row>
    <row r="269" spans="1:20" ht="13">
      <c r="A269" s="889">
        <v>4638</v>
      </c>
      <c r="B269" s="890" t="s">
        <v>62</v>
      </c>
      <c r="C269" s="289">
        <f t="shared" ref="C269:N269" si="36">+C$517+C$518</f>
        <v>4281.1588853599997</v>
      </c>
      <c r="D269" s="177">
        <f t="shared" si="36"/>
        <v>104601.31043759218</v>
      </c>
      <c r="E269" s="289">
        <f t="shared" si="36"/>
        <v>4266.8303593299997</v>
      </c>
      <c r="F269" s="177">
        <f t="shared" si="36"/>
        <v>108863.02346626388</v>
      </c>
      <c r="G269" s="289">
        <f t="shared" si="36"/>
        <v>4258.6426301600004</v>
      </c>
      <c r="H269" s="177">
        <f t="shared" si="36"/>
        <v>112648.82473712823</v>
      </c>
      <c r="I269" s="289">
        <f t="shared" si="36"/>
        <v>4288.3231483700001</v>
      </c>
      <c r="J269" s="177">
        <f t="shared" si="36"/>
        <v>116070.2720604996</v>
      </c>
      <c r="K269" s="289">
        <f t="shared" si="36"/>
        <v>4251.4783671499999</v>
      </c>
      <c r="L269" s="177">
        <f t="shared" si="36"/>
        <v>126025.52725502706</v>
      </c>
      <c r="M269" s="289">
        <f t="shared" si="36"/>
        <v>4187</v>
      </c>
      <c r="N269" s="177">
        <f t="shared" si="36"/>
        <v>130919.74236128086</v>
      </c>
      <c r="O269" s="289">
        <f>VLOOKUP(A269,'K20'!$A$4:$BV$359,3)</f>
        <v>4101</v>
      </c>
      <c r="P269" s="289">
        <f>VLOOKUP(A269,'K20'!$A$4:$BV$359,26)</f>
        <v>122174</v>
      </c>
      <c r="R269" s="517"/>
      <c r="S269" s="517"/>
      <c r="T269" s="517"/>
    </row>
    <row r="270" spans="1:20" ht="13">
      <c r="A270" s="865">
        <v>4639</v>
      </c>
      <c r="B270" s="866" t="s">
        <v>63</v>
      </c>
      <c r="C270" s="289">
        <f>VLOOKUP($A270,K0kommunestruktur2019!$A$4:$N$425,K0kommunestruktur2020!C$3,FALSE)</f>
        <v>2688</v>
      </c>
      <c r="D270" s="177">
        <f>VLOOKUP($A270,K0kommunestruktur2019!$A$4:$N$425,K0kommunestruktur2020!D$3,FALSE)</f>
        <v>68380</v>
      </c>
      <c r="E270" s="289">
        <f>VLOOKUP($A270,K0kommunestruktur2019!$A$4:$N$425,K0kommunestruktur2020!E$3,FALSE)</f>
        <v>2678</v>
      </c>
      <c r="F270" s="177">
        <f>VLOOKUP($A270,K0kommunestruktur2019!$A$4:$N$425,K0kommunestruktur2020!F$3,FALSE)</f>
        <v>70685</v>
      </c>
      <c r="G270" s="289">
        <f>VLOOKUP($A270,K0kommunestruktur2019!$A$4:$N$425,K0kommunestruktur2020!G$3,FALSE)</f>
        <v>2689</v>
      </c>
      <c r="H270" s="177">
        <f>VLOOKUP($A270,K0kommunestruktur2019!$A$4:$N$425,K0kommunestruktur2020!H$3,FALSE)</f>
        <v>77092</v>
      </c>
      <c r="I270" s="289">
        <f>VLOOKUP($A270,K0kommunestruktur2019!$A$4:$N$425,K0kommunestruktur2020!I$3,FALSE)</f>
        <v>2722</v>
      </c>
      <c r="J270" s="177">
        <f>VLOOKUP($A270,K0kommunestruktur2019!$A$4:$N$425,K0kommunestruktur2020!J$3,FALSE)</f>
        <v>79098</v>
      </c>
      <c r="K270" s="289">
        <f>VLOOKUP($A270,K0kommunestruktur2019!$A$4:$N$425,K0kommunestruktur2020!K$3,FALSE)</f>
        <v>2674</v>
      </c>
      <c r="L270" s="177">
        <f>VLOOKUP($A270,K0kommunestruktur2019!$A$4:$N$425,K0kommunestruktur2020!L$3,FALSE)</f>
        <v>82426</v>
      </c>
      <c r="M270" s="289">
        <f>VLOOKUP($A270,K0kommunestruktur2019!$A$4:$N$425,K0kommunestruktur2020!M$3,FALSE)</f>
        <v>2672</v>
      </c>
      <c r="N270" s="177">
        <f>VLOOKUP($A270,K0kommunestruktur2019!$A$4:$N$425,K0kommunestruktur2020!N$3,FALSE)</f>
        <v>83347</v>
      </c>
      <c r="O270" s="289">
        <f>VLOOKUP(A270,'K20'!$A$4:$BV$359,3)</f>
        <v>2635</v>
      </c>
      <c r="P270" s="289">
        <f>VLOOKUP(A270,'K20'!$A$4:$BV$359,26)</f>
        <v>81521</v>
      </c>
      <c r="R270" s="517"/>
      <c r="S270" s="517"/>
      <c r="T270" s="517"/>
    </row>
    <row r="271" spans="1:20" ht="13">
      <c r="A271" s="878">
        <v>4640</v>
      </c>
      <c r="B271" s="883" t="s">
        <v>1637</v>
      </c>
      <c r="C271" s="289">
        <f t="shared" ref="C271:N271" si="37">+C$520+C$521+C$522+C$523</f>
        <v>11105.91348191</v>
      </c>
      <c r="D271" s="177">
        <f t="shared" si="37"/>
        <v>245786.15456320994</v>
      </c>
      <c r="E271" s="289">
        <f t="shared" si="37"/>
        <v>11165.425387679999</v>
      </c>
      <c r="F271" s="177">
        <f t="shared" si="37"/>
        <v>256600.45970682724</v>
      </c>
      <c r="G271" s="289">
        <f t="shared" si="37"/>
        <v>11338.00991441</v>
      </c>
      <c r="H271" s="177">
        <f t="shared" si="37"/>
        <v>288747.79933893634</v>
      </c>
      <c r="I271" s="289">
        <f t="shared" si="37"/>
        <v>11466.95237692</v>
      </c>
      <c r="J271" s="177">
        <f t="shared" si="37"/>
        <v>301509.13566654228</v>
      </c>
      <c r="K271" s="289">
        <f t="shared" si="37"/>
        <v>11571.098212020001</v>
      </c>
      <c r="L271" s="177">
        <f t="shared" si="37"/>
        <v>322024.87331593392</v>
      </c>
      <c r="M271" s="289">
        <f t="shared" si="37"/>
        <v>11705</v>
      </c>
      <c r="N271" s="177">
        <f t="shared" si="37"/>
        <v>322538.65943564102</v>
      </c>
      <c r="O271" s="289">
        <f>VLOOKUP(A271,'K20'!$A$4:$BV$359,3)</f>
        <v>11847</v>
      </c>
      <c r="P271" s="289">
        <f>VLOOKUP(A271,'K20'!$A$4:$BV$359,26)</f>
        <v>324061</v>
      </c>
      <c r="R271" s="517"/>
      <c r="S271" s="517"/>
      <c r="T271" s="517"/>
    </row>
    <row r="272" spans="1:20" ht="13">
      <c r="A272" s="865">
        <v>4641</v>
      </c>
      <c r="B272" s="866" t="s">
        <v>67</v>
      </c>
      <c r="C272" s="289">
        <f>VLOOKUP($A272,K0kommunestruktur2019!$A$4:$N$425,K0kommunestruktur2020!C$3,FALSE)</f>
        <v>1715</v>
      </c>
      <c r="D272" s="177">
        <f>VLOOKUP($A272,K0kommunestruktur2019!$A$4:$N$425,K0kommunestruktur2020!D$3,FALSE)</f>
        <v>71151</v>
      </c>
      <c r="E272" s="289">
        <f>VLOOKUP($A272,K0kommunestruktur2019!$A$4:$N$425,K0kommunestruktur2020!E$3,FALSE)</f>
        <v>1738</v>
      </c>
      <c r="F272" s="177">
        <f>VLOOKUP($A272,K0kommunestruktur2019!$A$4:$N$425,K0kommunestruktur2020!F$3,FALSE)</f>
        <v>72994</v>
      </c>
      <c r="G272" s="289">
        <f>VLOOKUP($A272,K0kommunestruktur2019!$A$4:$N$425,K0kommunestruktur2020!G$3,FALSE)</f>
        <v>1764</v>
      </c>
      <c r="H272" s="177">
        <f>VLOOKUP($A272,K0kommunestruktur2019!$A$4:$N$425,K0kommunestruktur2020!H$3,FALSE)</f>
        <v>77215</v>
      </c>
      <c r="I272" s="289">
        <f>VLOOKUP($A272,K0kommunestruktur2019!$A$4:$N$425,K0kommunestruktur2020!I$3,FALSE)</f>
        <v>1787</v>
      </c>
      <c r="J272" s="177">
        <f>VLOOKUP($A272,K0kommunestruktur2019!$A$4:$N$425,K0kommunestruktur2020!J$3,FALSE)</f>
        <v>81924</v>
      </c>
      <c r="K272" s="289">
        <f>VLOOKUP($A272,K0kommunestruktur2019!$A$4:$N$425,K0kommunestruktur2020!K$3,FALSE)</f>
        <v>1778</v>
      </c>
      <c r="L272" s="177">
        <f>VLOOKUP($A272,K0kommunestruktur2019!$A$4:$N$425,K0kommunestruktur2020!L$3,FALSE)</f>
        <v>85477</v>
      </c>
      <c r="M272" s="289">
        <f>VLOOKUP($A272,K0kommunestruktur2019!$A$4:$N$425,K0kommunestruktur2020!M$3,FALSE)</f>
        <v>1764</v>
      </c>
      <c r="N272" s="177">
        <f>VLOOKUP($A272,K0kommunestruktur2019!$A$4:$N$425,K0kommunestruktur2020!N$3,FALSE)</f>
        <v>85938</v>
      </c>
      <c r="O272" s="289">
        <f>VLOOKUP(A272,'K20'!$A$4:$BV$359,3)</f>
        <v>1781</v>
      </c>
      <c r="P272" s="289">
        <f>VLOOKUP(A272,'K20'!$A$4:$BV$359,26)</f>
        <v>82877</v>
      </c>
      <c r="R272" s="517"/>
      <c r="S272" s="517"/>
      <c r="T272" s="517"/>
    </row>
    <row r="273" spans="1:20" ht="13">
      <c r="A273" s="865">
        <v>4642</v>
      </c>
      <c r="B273" s="866" t="s">
        <v>68</v>
      </c>
      <c r="C273" s="289">
        <f>VLOOKUP($A273,K0kommunestruktur2019!$A$4:$N$425,K0kommunestruktur2020!C$3,FALSE)</f>
        <v>2174</v>
      </c>
      <c r="D273" s="177">
        <f>VLOOKUP($A273,K0kommunestruktur2019!$A$4:$N$425,K0kommunestruktur2020!D$3,FALSE)</f>
        <v>64615</v>
      </c>
      <c r="E273" s="289">
        <f>VLOOKUP($A273,K0kommunestruktur2019!$A$4:$N$425,K0kommunestruktur2020!E$3,FALSE)</f>
        <v>2146</v>
      </c>
      <c r="F273" s="177">
        <f>VLOOKUP($A273,K0kommunestruktur2019!$A$4:$N$425,K0kommunestruktur2020!F$3,FALSE)</f>
        <v>65981</v>
      </c>
      <c r="G273" s="289">
        <f>VLOOKUP($A273,K0kommunestruktur2019!$A$4:$N$425,K0kommunestruktur2020!G$3,FALSE)</f>
        <v>2172</v>
      </c>
      <c r="H273" s="177">
        <f>VLOOKUP($A273,K0kommunestruktur2019!$A$4:$N$425,K0kommunestruktur2020!H$3,FALSE)</f>
        <v>68720</v>
      </c>
      <c r="I273" s="289">
        <f>VLOOKUP($A273,K0kommunestruktur2019!$A$4:$N$425,K0kommunestruktur2020!I$3,FALSE)</f>
        <v>2159</v>
      </c>
      <c r="J273" s="177">
        <f>VLOOKUP($A273,K0kommunestruktur2019!$A$4:$N$425,K0kommunestruktur2020!J$3,FALSE)</f>
        <v>68552</v>
      </c>
      <c r="K273" s="289">
        <f>VLOOKUP($A273,K0kommunestruktur2019!$A$4:$N$425,K0kommunestruktur2020!K$3,FALSE)</f>
        <v>2153</v>
      </c>
      <c r="L273" s="177">
        <f>VLOOKUP($A273,K0kommunestruktur2019!$A$4:$N$425,K0kommunestruktur2020!L$3,FALSE)</f>
        <v>75278</v>
      </c>
      <c r="M273" s="289">
        <f>VLOOKUP($A273,K0kommunestruktur2019!$A$4:$N$425,K0kommunestruktur2020!M$3,FALSE)</f>
        <v>2151</v>
      </c>
      <c r="N273" s="177">
        <f>VLOOKUP($A273,K0kommunestruktur2019!$A$4:$N$425,K0kommunestruktur2020!N$3,FALSE)</f>
        <v>75203</v>
      </c>
      <c r="O273" s="289">
        <f>VLOOKUP(A273,'K20'!$A$4:$BV$359,3)</f>
        <v>2126</v>
      </c>
      <c r="P273" s="289">
        <f>VLOOKUP(A273,'K20'!$A$4:$BV$359,26)</f>
        <v>71408</v>
      </c>
      <c r="R273" s="517"/>
      <c r="S273" s="517"/>
      <c r="T273" s="517"/>
    </row>
    <row r="274" spans="1:20" ht="13">
      <c r="A274" s="865">
        <v>4643</v>
      </c>
      <c r="B274" s="866" t="s">
        <v>69</v>
      </c>
      <c r="C274" s="289">
        <f>VLOOKUP($A274,K0kommunestruktur2019!$A$4:$N$425,K0kommunestruktur2020!C$3,FALSE)</f>
        <v>5496</v>
      </c>
      <c r="D274" s="177">
        <f>VLOOKUP($A274,K0kommunestruktur2019!$A$4:$N$425,K0kommunestruktur2020!D$3,FALSE)</f>
        <v>145736</v>
      </c>
      <c r="E274" s="289">
        <f>VLOOKUP($A274,K0kommunestruktur2019!$A$4:$N$425,K0kommunestruktur2020!E$3,FALSE)</f>
        <v>5429</v>
      </c>
      <c r="F274" s="177">
        <f>VLOOKUP($A274,K0kommunestruktur2019!$A$4:$N$425,K0kommunestruktur2020!F$3,FALSE)</f>
        <v>151282</v>
      </c>
      <c r="G274" s="289">
        <f>VLOOKUP($A274,K0kommunestruktur2019!$A$4:$N$425,K0kommunestruktur2020!G$3,FALSE)</f>
        <v>5359</v>
      </c>
      <c r="H274" s="177">
        <f>VLOOKUP($A274,K0kommunestruktur2019!$A$4:$N$425,K0kommunestruktur2020!H$3,FALSE)</f>
        <v>163473</v>
      </c>
      <c r="I274" s="289">
        <f>VLOOKUP($A274,K0kommunestruktur2019!$A$4:$N$425,K0kommunestruktur2020!I$3,FALSE)</f>
        <v>5363</v>
      </c>
      <c r="J274" s="177">
        <f>VLOOKUP($A274,K0kommunestruktur2019!$A$4:$N$425,K0kommunestruktur2020!J$3,FALSE)</f>
        <v>168987</v>
      </c>
      <c r="K274" s="289">
        <f>VLOOKUP($A274,K0kommunestruktur2019!$A$4:$N$425,K0kommunestruktur2020!K$3,FALSE)</f>
        <v>5277</v>
      </c>
      <c r="L274" s="177">
        <f>VLOOKUP($A274,K0kommunestruktur2019!$A$4:$N$425,K0kommunestruktur2020!L$3,FALSE)</f>
        <v>176906</v>
      </c>
      <c r="M274" s="289">
        <f>VLOOKUP($A274,K0kommunestruktur2019!$A$4:$N$425,K0kommunestruktur2020!M$3,FALSE)</f>
        <v>5245</v>
      </c>
      <c r="N274" s="177">
        <f>VLOOKUP($A274,K0kommunestruktur2019!$A$4:$N$425,K0kommunestruktur2020!N$3,FALSE)</f>
        <v>182474</v>
      </c>
      <c r="O274" s="289">
        <f>VLOOKUP(A274,'K20'!$A$4:$BV$359,3)</f>
        <v>5193</v>
      </c>
      <c r="P274" s="289">
        <f>VLOOKUP(A274,'K20'!$A$4:$BV$359,26)</f>
        <v>176766</v>
      </c>
      <c r="R274" s="517"/>
      <c r="S274" s="517"/>
      <c r="T274" s="517"/>
    </row>
    <row r="275" spans="1:20" ht="13">
      <c r="A275" s="865">
        <v>4644</v>
      </c>
      <c r="B275" s="866" t="s">
        <v>70</v>
      </c>
      <c r="C275" s="289">
        <f>VLOOKUP($A275,K0kommunestruktur2019!$A$4:$N$425,K0kommunestruktur2020!C$3,FALSE)</f>
        <v>5089</v>
      </c>
      <c r="D275" s="177">
        <f>VLOOKUP($A275,K0kommunestruktur2019!$A$4:$N$425,K0kommunestruktur2020!D$3,FALSE)</f>
        <v>136267</v>
      </c>
      <c r="E275" s="289">
        <f>VLOOKUP($A275,K0kommunestruktur2019!$A$4:$N$425,K0kommunestruktur2020!E$3,FALSE)</f>
        <v>5118</v>
      </c>
      <c r="F275" s="177">
        <f>VLOOKUP($A275,K0kommunestruktur2019!$A$4:$N$425,K0kommunestruktur2020!F$3,FALSE)</f>
        <v>137680</v>
      </c>
      <c r="G275" s="289">
        <f>VLOOKUP($A275,K0kommunestruktur2019!$A$4:$N$425,K0kommunestruktur2020!G$3,FALSE)</f>
        <v>5093</v>
      </c>
      <c r="H275" s="177">
        <f>VLOOKUP($A275,K0kommunestruktur2019!$A$4:$N$425,K0kommunestruktur2020!H$3,FALSE)</f>
        <v>149089</v>
      </c>
      <c r="I275" s="289">
        <f>VLOOKUP($A275,K0kommunestruktur2019!$A$4:$N$425,K0kommunestruktur2020!I$3,FALSE)</f>
        <v>5151</v>
      </c>
      <c r="J275" s="177">
        <f>VLOOKUP($A275,K0kommunestruktur2019!$A$4:$N$425,K0kommunestruktur2020!J$3,FALSE)</f>
        <v>154636</v>
      </c>
      <c r="K275" s="289">
        <f>VLOOKUP($A275,K0kommunestruktur2019!$A$4:$N$425,K0kommunestruktur2020!K$3,FALSE)</f>
        <v>5223</v>
      </c>
      <c r="L275" s="177">
        <f>VLOOKUP($A275,K0kommunestruktur2019!$A$4:$N$425,K0kommunestruktur2020!L$3,FALSE)</f>
        <v>159408</v>
      </c>
      <c r="M275" s="289">
        <f>VLOOKUP($A275,K0kommunestruktur2019!$A$4:$N$425,K0kommunestruktur2020!M$3,FALSE)</f>
        <v>5195</v>
      </c>
      <c r="N275" s="177">
        <f>VLOOKUP($A275,K0kommunestruktur2019!$A$4:$N$425,K0kommunestruktur2020!N$3,FALSE)</f>
        <v>160085</v>
      </c>
      <c r="O275" s="289">
        <f>VLOOKUP(A275,'K20'!$A$4:$BV$359,3)</f>
        <v>5174</v>
      </c>
      <c r="P275" s="289">
        <f>VLOOKUP(A275,'K20'!$A$4:$BV$359,26)</f>
        <v>160782</v>
      </c>
      <c r="R275" s="517"/>
      <c r="S275" s="517"/>
      <c r="T275" s="517"/>
    </row>
    <row r="276" spans="1:20" ht="13">
      <c r="A276" s="865">
        <v>4645</v>
      </c>
      <c r="B276" s="866" t="s">
        <v>71</v>
      </c>
      <c r="C276" s="289">
        <f>VLOOKUP($A276,K0kommunestruktur2019!$A$4:$N$425,K0kommunestruktur2020!C$3,FALSE)</f>
        <v>3011</v>
      </c>
      <c r="D276" s="177">
        <f>VLOOKUP($A276,K0kommunestruktur2019!$A$4:$N$425,K0kommunestruktur2020!D$3,FALSE)</f>
        <v>59345</v>
      </c>
      <c r="E276" s="289">
        <f>VLOOKUP($A276,K0kommunestruktur2019!$A$4:$N$425,K0kommunestruktur2020!E$3,FALSE)</f>
        <v>3008</v>
      </c>
      <c r="F276" s="177">
        <f>VLOOKUP($A276,K0kommunestruktur2019!$A$4:$N$425,K0kommunestruktur2020!F$3,FALSE)</f>
        <v>64014</v>
      </c>
      <c r="G276" s="289">
        <f>VLOOKUP($A276,K0kommunestruktur2019!$A$4:$N$425,K0kommunestruktur2020!G$3,FALSE)</f>
        <v>3023</v>
      </c>
      <c r="H276" s="177">
        <f>VLOOKUP($A276,K0kommunestruktur2019!$A$4:$N$425,K0kommunestruktur2020!H$3,FALSE)</f>
        <v>71027</v>
      </c>
      <c r="I276" s="289">
        <f>VLOOKUP($A276,K0kommunestruktur2019!$A$4:$N$425,K0kommunestruktur2020!I$3,FALSE)</f>
        <v>3065</v>
      </c>
      <c r="J276" s="177">
        <f>VLOOKUP($A276,K0kommunestruktur2019!$A$4:$N$425,K0kommunestruktur2020!J$3,FALSE)</f>
        <v>72106</v>
      </c>
      <c r="K276" s="289">
        <f>VLOOKUP($A276,K0kommunestruktur2019!$A$4:$N$425,K0kommunestruktur2020!K$3,FALSE)</f>
        <v>3052</v>
      </c>
      <c r="L276" s="177">
        <f>VLOOKUP($A276,K0kommunestruktur2019!$A$4:$N$425,K0kommunestruktur2020!L$3,FALSE)</f>
        <v>73539</v>
      </c>
      <c r="M276" s="289">
        <f>VLOOKUP($A276,K0kommunestruktur2019!$A$4:$N$425,K0kommunestruktur2020!M$3,FALSE)</f>
        <v>3038</v>
      </c>
      <c r="N276" s="177">
        <f>VLOOKUP($A276,K0kommunestruktur2019!$A$4:$N$425,K0kommunestruktur2020!N$3,FALSE)</f>
        <v>79054</v>
      </c>
      <c r="O276" s="289">
        <f>VLOOKUP(A276,'K20'!$A$4:$BV$359,3)</f>
        <v>3011</v>
      </c>
      <c r="P276" s="289">
        <f>VLOOKUP(A276,'K20'!$A$4:$BV$359,26)</f>
        <v>80393</v>
      </c>
      <c r="R276" s="517"/>
      <c r="S276" s="517"/>
      <c r="T276" s="517"/>
    </row>
    <row r="277" spans="1:20" ht="13">
      <c r="A277" s="865">
        <v>4646</v>
      </c>
      <c r="B277" s="866" t="s">
        <v>72</v>
      </c>
      <c r="C277" s="289">
        <f>VLOOKUP($A277,K0kommunestruktur2019!$A$4:$N$425,K0kommunestruktur2020!C$3,FALSE)</f>
        <v>2853</v>
      </c>
      <c r="D277" s="177">
        <f>VLOOKUP($A277,K0kommunestruktur2019!$A$4:$N$425,K0kommunestruktur2020!D$3,FALSE)</f>
        <v>54444</v>
      </c>
      <c r="E277" s="289">
        <f>VLOOKUP($A277,K0kommunestruktur2019!$A$4:$N$425,K0kommunestruktur2020!E$3,FALSE)</f>
        <v>2823</v>
      </c>
      <c r="F277" s="177">
        <f>VLOOKUP($A277,K0kommunestruktur2019!$A$4:$N$425,K0kommunestruktur2020!F$3,FALSE)</f>
        <v>56681</v>
      </c>
      <c r="G277" s="289">
        <f>VLOOKUP($A277,K0kommunestruktur2019!$A$4:$N$425,K0kommunestruktur2020!G$3,FALSE)</f>
        <v>2830</v>
      </c>
      <c r="H277" s="177">
        <f>VLOOKUP($A277,K0kommunestruktur2019!$A$4:$N$425,K0kommunestruktur2020!H$3,FALSE)</f>
        <v>64838</v>
      </c>
      <c r="I277" s="289">
        <f>VLOOKUP($A277,K0kommunestruktur2019!$A$4:$N$425,K0kommunestruktur2020!I$3,FALSE)</f>
        <v>2862</v>
      </c>
      <c r="J277" s="177">
        <f>VLOOKUP($A277,K0kommunestruktur2019!$A$4:$N$425,K0kommunestruktur2020!J$3,FALSE)</f>
        <v>65267</v>
      </c>
      <c r="K277" s="289">
        <f>VLOOKUP($A277,K0kommunestruktur2019!$A$4:$N$425,K0kommunestruktur2020!K$3,FALSE)</f>
        <v>2846</v>
      </c>
      <c r="L277" s="177">
        <f>VLOOKUP($A277,K0kommunestruktur2019!$A$4:$N$425,K0kommunestruktur2020!L$3,FALSE)</f>
        <v>63972</v>
      </c>
      <c r="M277" s="289">
        <f>VLOOKUP($A277,K0kommunestruktur2019!$A$4:$N$425,K0kommunestruktur2020!M$3,FALSE)</f>
        <v>2770</v>
      </c>
      <c r="N277" s="177">
        <f>VLOOKUP($A277,K0kommunestruktur2019!$A$4:$N$425,K0kommunestruktur2020!N$3,FALSE)</f>
        <v>67254</v>
      </c>
      <c r="O277" s="289">
        <f>VLOOKUP(A277,'K20'!$A$4:$BV$359,3)</f>
        <v>2802</v>
      </c>
      <c r="P277" s="289">
        <f>VLOOKUP(A277,'K20'!$A$4:$BV$359,26)</f>
        <v>66853</v>
      </c>
      <c r="R277" s="517"/>
      <c r="S277" s="517"/>
      <c r="T277" s="517"/>
    </row>
    <row r="278" spans="1:20" ht="13">
      <c r="A278" s="878">
        <v>4647</v>
      </c>
      <c r="B278" s="883" t="s">
        <v>1638</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VLOOKUP(A278,'K20'!$A$4:$BV$359,3)</f>
        <v>22030</v>
      </c>
      <c r="P278" s="289">
        <f>VLOOKUP(A278,'K20'!$A$4:$BV$359,26)</f>
        <v>635077</v>
      </c>
      <c r="R278" s="517"/>
      <c r="S278" s="517"/>
      <c r="T278" s="517"/>
    </row>
    <row r="279" spans="1:20" ht="13">
      <c r="A279" s="865">
        <v>4648</v>
      </c>
      <c r="B279" s="866" t="s">
        <v>77</v>
      </c>
      <c r="C279" s="289">
        <f>VLOOKUP($A279,K0kommunestruktur2019!$A$4:$N$425,K0kommunestruktur2020!C$3,FALSE)</f>
        <v>3950</v>
      </c>
      <c r="D279" s="177">
        <f>VLOOKUP($A279,K0kommunestruktur2019!$A$4:$N$425,K0kommunestruktur2020!D$3,FALSE)</f>
        <v>93322</v>
      </c>
      <c r="E279" s="289">
        <f>VLOOKUP($A279,K0kommunestruktur2019!$A$4:$N$425,K0kommunestruktur2020!E$3,FALSE)</f>
        <v>3890</v>
      </c>
      <c r="F279" s="177">
        <f>VLOOKUP($A279,K0kommunestruktur2019!$A$4:$N$425,K0kommunestruktur2020!F$3,FALSE)</f>
        <v>95883</v>
      </c>
      <c r="G279" s="289">
        <f>VLOOKUP($A279,K0kommunestruktur2019!$A$4:$N$425,K0kommunestruktur2020!G$3,FALSE)</f>
        <v>3846</v>
      </c>
      <c r="H279" s="177">
        <f>VLOOKUP($A279,K0kommunestruktur2019!$A$4:$N$425,K0kommunestruktur2020!H$3,FALSE)</f>
        <v>102127</v>
      </c>
      <c r="I279" s="289">
        <f>VLOOKUP($A279,K0kommunestruktur2019!$A$4:$N$425,K0kommunestruktur2020!I$3,FALSE)</f>
        <v>3847</v>
      </c>
      <c r="J279" s="177">
        <f>VLOOKUP($A279,K0kommunestruktur2019!$A$4:$N$425,K0kommunestruktur2020!J$3,FALSE)</f>
        <v>103184</v>
      </c>
      <c r="K279" s="289">
        <f>VLOOKUP($A279,K0kommunestruktur2019!$A$4:$N$425,K0kommunestruktur2020!K$3,FALSE)</f>
        <v>3767</v>
      </c>
      <c r="L279" s="177">
        <f>VLOOKUP($A279,K0kommunestruktur2019!$A$4:$N$425,K0kommunestruktur2020!L$3,FALSE)</f>
        <v>105303</v>
      </c>
      <c r="M279" s="289">
        <f>VLOOKUP($A279,K0kommunestruktur2019!$A$4:$N$425,K0kommunestruktur2020!M$3,FALSE)</f>
        <v>3705</v>
      </c>
      <c r="N279" s="177">
        <f>VLOOKUP($A279,K0kommunestruktur2019!$A$4:$N$425,K0kommunestruktur2020!N$3,FALSE)</f>
        <v>108267</v>
      </c>
      <c r="O279" s="289">
        <f>VLOOKUP(A279,'K20'!$A$4:$BV$359,3)</f>
        <v>3629</v>
      </c>
      <c r="P279" s="289">
        <f>VLOOKUP(A279,'K20'!$A$4:$BV$359,26)</f>
        <v>112230</v>
      </c>
      <c r="R279" s="517"/>
      <c r="S279" s="517"/>
      <c r="T279" s="517"/>
    </row>
    <row r="280" spans="1:20" ht="13">
      <c r="A280" s="878">
        <v>4649</v>
      </c>
      <c r="B280" s="883" t="s">
        <v>1639</v>
      </c>
      <c r="C280" s="289">
        <f t="shared" ref="C280:N280" si="39">+C$531+C$532+C$533</f>
        <v>9212.0031467699991</v>
      </c>
      <c r="D280" s="177">
        <f t="shared" si="39"/>
        <v>193248.95347259491</v>
      </c>
      <c r="E280" s="289">
        <f t="shared" si="39"/>
        <v>9244.7973701999999</v>
      </c>
      <c r="F280" s="177">
        <f t="shared" si="39"/>
        <v>203582.30748492604</v>
      </c>
      <c r="G280" s="289">
        <f t="shared" si="39"/>
        <v>9297.6912789399994</v>
      </c>
      <c r="H280" s="177">
        <f t="shared" si="39"/>
        <v>211109.1106990542</v>
      </c>
      <c r="I280" s="289">
        <f t="shared" si="39"/>
        <v>9367.5112384799995</v>
      </c>
      <c r="J280" s="177">
        <f t="shared" si="39"/>
        <v>222460.14351538348</v>
      </c>
      <c r="K280" s="289">
        <f t="shared" si="39"/>
        <v>9429.9260508000007</v>
      </c>
      <c r="L280" s="177">
        <f t="shared" si="39"/>
        <v>236944.61148577908</v>
      </c>
      <c r="M280" s="289">
        <f t="shared" si="39"/>
        <v>9413</v>
      </c>
      <c r="N280" s="177">
        <f t="shared" si="39"/>
        <v>249113.38413126545</v>
      </c>
      <c r="O280" s="289">
        <f>VLOOKUP(A280,'K20'!$A$4:$BV$359,3)</f>
        <v>9457</v>
      </c>
      <c r="P280" s="289">
        <f>VLOOKUP(A280,'K20'!$A$4:$BV$359,26)</f>
        <v>239118</v>
      </c>
      <c r="R280" s="517"/>
      <c r="S280" s="517"/>
      <c r="T280" s="517"/>
    </row>
    <row r="281" spans="1:20" ht="13">
      <c r="A281" s="865">
        <v>4650</v>
      </c>
      <c r="B281" s="866" t="s">
        <v>82</v>
      </c>
      <c r="C281" s="289">
        <f>VLOOKUP($A281,K0kommunestruktur2019!$A$4:$N$425,K0kommunestruktur2020!C$3,FALSE)</f>
        <v>5694</v>
      </c>
      <c r="D281" s="177">
        <f>VLOOKUP($A281,K0kommunestruktur2019!$A$4:$N$425,K0kommunestruktur2020!D$3,FALSE)</f>
        <v>123868</v>
      </c>
      <c r="E281" s="289">
        <f>VLOOKUP($A281,K0kommunestruktur2019!$A$4:$N$425,K0kommunestruktur2020!E$3,FALSE)</f>
        <v>5751</v>
      </c>
      <c r="F281" s="177">
        <f>VLOOKUP($A281,K0kommunestruktur2019!$A$4:$N$425,K0kommunestruktur2020!F$3,FALSE)</f>
        <v>128806</v>
      </c>
      <c r="G281" s="289">
        <f>VLOOKUP($A281,K0kommunestruktur2019!$A$4:$N$425,K0kommunestruktur2020!G$3,FALSE)</f>
        <v>5784</v>
      </c>
      <c r="H281" s="177">
        <f>VLOOKUP($A281,K0kommunestruktur2019!$A$4:$N$425,K0kommunestruktur2020!H$3,FALSE)</f>
        <v>136750</v>
      </c>
      <c r="I281" s="289">
        <f>VLOOKUP($A281,K0kommunestruktur2019!$A$4:$N$425,K0kommunestruktur2020!I$3,FALSE)</f>
        <v>5783</v>
      </c>
      <c r="J281" s="177">
        <f>VLOOKUP($A281,K0kommunestruktur2019!$A$4:$N$425,K0kommunestruktur2020!J$3,FALSE)</f>
        <v>147153</v>
      </c>
      <c r="K281" s="289">
        <f>VLOOKUP($A281,K0kommunestruktur2019!$A$4:$N$425,K0kommunestruktur2020!K$3,FALSE)</f>
        <v>5874</v>
      </c>
      <c r="L281" s="177">
        <f>VLOOKUP($A281,K0kommunestruktur2019!$A$4:$N$425,K0kommunestruktur2020!L$3,FALSE)</f>
        <v>169864</v>
      </c>
      <c r="M281" s="289">
        <f>VLOOKUP($A281,K0kommunestruktur2019!$A$4:$N$425,K0kommunestruktur2020!M$3,FALSE)</f>
        <v>5836</v>
      </c>
      <c r="N281" s="177">
        <f>VLOOKUP($A281,K0kommunestruktur2019!$A$4:$N$425,K0kommunestruktur2020!N$3,FALSE)</f>
        <v>156649</v>
      </c>
      <c r="O281" s="289">
        <f>VLOOKUP(A281,'K20'!$A$4:$BV$359,3)</f>
        <v>5854</v>
      </c>
      <c r="P281" s="289">
        <f>VLOOKUP(A281,'K20'!$A$4:$BV$359,26)</f>
        <v>145775</v>
      </c>
      <c r="R281" s="517"/>
      <c r="S281" s="517"/>
      <c r="T281" s="517"/>
    </row>
    <row r="282" spans="1:20" ht="13">
      <c r="A282" s="865">
        <v>4651</v>
      </c>
      <c r="B282" s="866" t="s">
        <v>83</v>
      </c>
      <c r="C282" s="289">
        <f>VLOOKUP($A282,K0kommunestruktur2019!$A$4:$N$425,K0kommunestruktur2020!C$3,FALSE)-14</f>
        <v>7134</v>
      </c>
      <c r="D282" s="177">
        <f>+K0kommunestruktur2019!D451</f>
        <v>151200</v>
      </c>
      <c r="E282" s="289">
        <f>VLOOKUP($A282,K0kommunestruktur2019!$A$4:$N$425,K0kommunestruktur2020!E$3,FALSE)-14</f>
        <v>7155</v>
      </c>
      <c r="F282" s="177">
        <f>+K0kommunestruktur2019!F451</f>
        <v>163009</v>
      </c>
      <c r="G282" s="289">
        <f>VLOOKUP($A282,K0kommunestruktur2019!$A$4:$N$425,K0kommunestruktur2020!G$3,FALSE)-14</f>
        <v>7168</v>
      </c>
      <c r="H282" s="177">
        <f>+K0kommunestruktur2019!H451</f>
        <v>178833</v>
      </c>
      <c r="I282" s="289">
        <f>VLOOKUP($A282,K0kommunestruktur2019!$A$4:$N$425,K0kommunestruktur2020!I$3,FALSE)-14</f>
        <v>7218</v>
      </c>
      <c r="J282" s="177">
        <f>+K0kommunestruktur2019!J451</f>
        <v>186231</v>
      </c>
      <c r="K282" s="289">
        <f>VLOOKUP($A282,K0kommunestruktur2019!$A$4:$N$425,K0kommunestruktur2020!K$3,FALSE)-14</f>
        <v>7195</v>
      </c>
      <c r="L282" s="177">
        <f>+K0kommunestruktur2019!L451</f>
        <v>181528</v>
      </c>
      <c r="M282" s="289">
        <f>VLOOKUP($A282,K0kommunestruktur2019!$A$4:$N$425,K0kommunestruktur2020!M$3,FALSE)</f>
        <v>7167</v>
      </c>
      <c r="N282" s="177">
        <f>VLOOKUP($A282,K0kommunestruktur2019!$A$4:$N$425,K0kommunestruktur2020!N$3,FALSE)</f>
        <v>190496</v>
      </c>
      <c r="O282" s="289">
        <f>VLOOKUP(A282,'K20'!$A$4:$BV$359,3)</f>
        <v>7130</v>
      </c>
      <c r="P282" s="289">
        <f>VLOOKUP(A282,'K20'!$A$4:$BV$359,26)</f>
        <v>188692</v>
      </c>
      <c r="R282" s="517"/>
      <c r="S282" s="517"/>
      <c r="T282" s="517"/>
    </row>
    <row r="283" spans="1:20"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VLOOKUP(A283,'K20'!$A$4:$BV$359,3)</f>
        <v>205163</v>
      </c>
      <c r="P283" s="289">
        <f>VLOOKUP(A283,'K20'!$A$4:$BV$359,26)</f>
        <v>6382243</v>
      </c>
      <c r="R283" s="517"/>
      <c r="S283" s="517"/>
      <c r="T283" s="517"/>
    </row>
    <row r="284" spans="1:20" ht="13">
      <c r="A284" s="878">
        <v>5006</v>
      </c>
      <c r="B284" s="883" t="s">
        <v>1640</v>
      </c>
      <c r="C284" s="289">
        <f t="shared" ref="C284:N284" si="41">+C$538+C$539+C$540</f>
        <v>24051.15220669</v>
      </c>
      <c r="D284" s="177">
        <f t="shared" si="41"/>
        <v>436186.79783199728</v>
      </c>
      <c r="E284" s="289">
        <f t="shared" si="41"/>
        <v>24130.93377888</v>
      </c>
      <c r="F284" s="177">
        <f t="shared" si="41"/>
        <v>469327.06565054652</v>
      </c>
      <c r="G284" s="289">
        <f t="shared" si="41"/>
        <v>24241.6307103</v>
      </c>
      <c r="H284" s="177">
        <f t="shared" si="41"/>
        <v>511098.70231065201</v>
      </c>
      <c r="I284" s="289">
        <f t="shared" si="41"/>
        <v>24420.141978079999</v>
      </c>
      <c r="J284" s="177">
        <f t="shared" si="41"/>
        <v>534944.41696900048</v>
      </c>
      <c r="K284" s="289">
        <f t="shared" si="41"/>
        <v>24501.918089570001</v>
      </c>
      <c r="L284" s="177">
        <f t="shared" si="41"/>
        <v>556543.28310033213</v>
      </c>
      <c r="M284" s="289">
        <f t="shared" si="41"/>
        <v>24472</v>
      </c>
      <c r="N284" s="177">
        <f t="shared" si="41"/>
        <v>573022.16683646443</v>
      </c>
      <c r="O284" s="289">
        <f>VLOOKUP(A284,'K20'!$A$4:$BV$359,3)</f>
        <v>24357</v>
      </c>
      <c r="P284" s="289">
        <f>VLOOKUP(A284,'K20'!$A$4:$BV$359,26)</f>
        <v>573972</v>
      </c>
      <c r="R284" s="517"/>
      <c r="S284" s="517"/>
      <c r="T284" s="517"/>
    </row>
    <row r="285" spans="1:20" ht="13">
      <c r="A285" s="878">
        <v>5007</v>
      </c>
      <c r="B285" s="883" t="s">
        <v>1641</v>
      </c>
      <c r="C285" s="289">
        <f t="shared" ref="C285:N285" si="42">+C$543+C$544+C$545+C$546</f>
        <v>15452.35680659</v>
      </c>
      <c r="D285" s="177">
        <f t="shared" si="42"/>
        <v>292621.54472340544</v>
      </c>
      <c r="E285" s="289">
        <f t="shared" si="42"/>
        <v>15351.02000785</v>
      </c>
      <c r="F285" s="177">
        <f t="shared" si="42"/>
        <v>306331.10925860831</v>
      </c>
      <c r="G285" s="289">
        <f t="shared" si="42"/>
        <v>15315.90329541</v>
      </c>
      <c r="H285" s="177">
        <f t="shared" si="42"/>
        <v>339220.4187916838</v>
      </c>
      <c r="I285" s="289">
        <f t="shared" si="42"/>
        <v>15322.9266379</v>
      </c>
      <c r="J285" s="177">
        <f t="shared" si="42"/>
        <v>352297.88250300637</v>
      </c>
      <c r="K285" s="289">
        <f t="shared" si="42"/>
        <v>15331.956649670001</v>
      </c>
      <c r="L285" s="177">
        <f t="shared" si="42"/>
        <v>364395.08826999209</v>
      </c>
      <c r="M285" s="289">
        <f t="shared" si="42"/>
        <v>15345</v>
      </c>
      <c r="N285" s="177">
        <f t="shared" si="42"/>
        <v>387783.82208709297</v>
      </c>
      <c r="O285" s="289">
        <f>VLOOKUP(A285,'K20'!$A$4:$BV$359,3)</f>
        <v>15230</v>
      </c>
      <c r="P285" s="289">
        <f>VLOOKUP(A285,'K20'!$A$4:$BV$359,26)</f>
        <v>379162</v>
      </c>
      <c r="R285" s="517"/>
      <c r="S285" s="517"/>
      <c r="T285" s="517"/>
    </row>
    <row r="286" spans="1:20" ht="13">
      <c r="A286" s="865">
        <v>5014</v>
      </c>
      <c r="B286" s="866" t="s">
        <v>122</v>
      </c>
      <c r="C286" s="289">
        <f>VLOOKUP($A286,K0kommunestruktur2019!$A$4:$N$425,K0kommunestruktur2020!C$3,FALSE)</f>
        <v>4547</v>
      </c>
      <c r="D286" s="177">
        <f>VLOOKUP($A286,K0kommunestruktur2019!$A$4:$N$425,K0kommunestruktur2020!D$3,FALSE)</f>
        <v>128168</v>
      </c>
      <c r="E286" s="289">
        <f>VLOOKUP($A286,K0kommunestruktur2019!$A$4:$N$425,K0kommunestruktur2020!E$3,FALSE)</f>
        <v>4634</v>
      </c>
      <c r="F286" s="177">
        <f>VLOOKUP($A286,K0kommunestruktur2019!$A$4:$N$425,K0kommunestruktur2020!F$3,FALSE)</f>
        <v>126174</v>
      </c>
      <c r="G286" s="289">
        <f>VLOOKUP($A286,K0kommunestruktur2019!$A$4:$N$425,K0kommunestruktur2020!G$3,FALSE)</f>
        <v>4799</v>
      </c>
      <c r="H286" s="177">
        <f>VLOOKUP($A286,K0kommunestruktur2019!$A$4:$N$425,K0kommunestruktur2020!H$3,FALSE)</f>
        <v>215057</v>
      </c>
      <c r="I286" s="289">
        <f>VLOOKUP($A286,K0kommunestruktur2019!$A$4:$N$425,K0kommunestruktur2020!I$3,FALSE)</f>
        <v>4937</v>
      </c>
      <c r="J286" s="177">
        <f>VLOOKUP($A286,K0kommunestruktur2019!$A$4:$N$425,K0kommunestruktur2020!J$3,FALSE)</f>
        <v>283115</v>
      </c>
      <c r="K286" s="289">
        <f>VLOOKUP($A286,K0kommunestruktur2019!$A$4:$N$425,K0kommunestruktur2020!K$3,FALSE)</f>
        <v>4962</v>
      </c>
      <c r="L286" s="177">
        <f>VLOOKUP($A286,K0kommunestruktur2019!$A$4:$N$425,K0kommunestruktur2020!L$3,FALSE)</f>
        <v>199096</v>
      </c>
      <c r="M286" s="289">
        <f>VLOOKUP($A286,K0kommunestruktur2019!$A$4:$N$425,K0kommunestruktur2020!M$3,FALSE)</f>
        <v>5068</v>
      </c>
      <c r="N286" s="177">
        <f>VLOOKUP($A286,K0kommunestruktur2019!$A$4:$N$425,K0kommunestruktur2020!N$3,FALSE)</f>
        <v>198503</v>
      </c>
      <c r="O286" s="289">
        <f>VLOOKUP(A286,'K20'!$A$4:$BV$359,3)</f>
        <v>5151</v>
      </c>
      <c r="P286" s="289">
        <f>VLOOKUP(A286,'K20'!$A$4:$BV$359,26)</f>
        <v>389526</v>
      </c>
      <c r="R286" s="517"/>
      <c r="S286" s="517"/>
      <c r="T286" s="517"/>
    </row>
    <row r="287" spans="1:20" ht="13">
      <c r="A287" s="865">
        <v>5020</v>
      </c>
      <c r="B287" s="866" t="s">
        <v>129</v>
      </c>
      <c r="C287" s="289">
        <f>VLOOKUP($A287,K0kommunestruktur2019!$A$4:$N$425,K0kommunestruktur2020!C$3,FALSE)</f>
        <v>997</v>
      </c>
      <c r="D287" s="177">
        <f>VLOOKUP($A287,K0kommunestruktur2019!$A$4:$N$425,K0kommunestruktur2020!D$3,FALSE)</f>
        <v>16756</v>
      </c>
      <c r="E287" s="289">
        <f>VLOOKUP($A287,K0kommunestruktur2019!$A$4:$N$425,K0kommunestruktur2020!E$3,FALSE)</f>
        <v>1010</v>
      </c>
      <c r="F287" s="177">
        <f>VLOOKUP($A287,K0kommunestruktur2019!$A$4:$N$425,K0kommunestruktur2020!F$3,FALSE)</f>
        <v>18345</v>
      </c>
      <c r="G287" s="289">
        <f>VLOOKUP($A287,K0kommunestruktur2019!$A$4:$N$425,K0kommunestruktur2020!G$3,FALSE)</f>
        <v>976</v>
      </c>
      <c r="H287" s="177">
        <f>VLOOKUP($A287,K0kommunestruktur2019!$A$4:$N$425,K0kommunestruktur2020!H$3,FALSE)</f>
        <v>19657</v>
      </c>
      <c r="I287" s="289">
        <f>VLOOKUP($A287,K0kommunestruktur2019!$A$4:$N$425,K0kommunestruktur2020!I$3,FALSE)</f>
        <v>978</v>
      </c>
      <c r="J287" s="177">
        <f>VLOOKUP($A287,K0kommunestruktur2019!$A$4:$N$425,K0kommunestruktur2020!J$3,FALSE)</f>
        <v>21713</v>
      </c>
      <c r="K287" s="289">
        <f>VLOOKUP($A287,K0kommunestruktur2019!$A$4:$N$425,K0kommunestruktur2020!K$3,FALSE)</f>
        <v>967</v>
      </c>
      <c r="L287" s="177">
        <f>VLOOKUP($A287,K0kommunestruktur2019!$A$4:$N$425,K0kommunestruktur2020!L$3,FALSE)</f>
        <v>20690</v>
      </c>
      <c r="M287" s="289">
        <f>VLOOKUP($A287,K0kommunestruktur2019!$A$4:$N$425,K0kommunestruktur2020!M$3,FALSE)</f>
        <v>947</v>
      </c>
      <c r="N287" s="177">
        <f>VLOOKUP($A287,K0kommunestruktur2019!$A$4:$N$425,K0kommunestruktur2020!N$3,FALSE)</f>
        <v>22381</v>
      </c>
      <c r="O287" s="289">
        <f>VLOOKUP(A287,'K20'!$A$4:$BV$359,3)</f>
        <v>948</v>
      </c>
      <c r="P287" s="289">
        <f>VLOOKUP(A287,'K20'!$A$4:$BV$359,26)</f>
        <v>21980</v>
      </c>
      <c r="R287" s="517"/>
      <c r="S287" s="517"/>
      <c r="T287" s="517"/>
    </row>
    <row r="288" spans="1:20" ht="13">
      <c r="A288" s="865">
        <v>5021</v>
      </c>
      <c r="B288" s="866" t="s">
        <v>130</v>
      </c>
      <c r="C288" s="289">
        <f>VLOOKUP($A288,K0kommunestruktur2019!$A$4:$N$425,K0kommunestruktur2020!C$3,FALSE)</f>
        <v>6814</v>
      </c>
      <c r="D288" s="177">
        <f>VLOOKUP($A288,K0kommunestruktur2019!$A$4:$N$425,K0kommunestruktur2020!D$3,FALSE)</f>
        <v>137555</v>
      </c>
      <c r="E288" s="289">
        <f>VLOOKUP($A288,K0kommunestruktur2019!$A$4:$N$425,K0kommunestruktur2020!E$3,FALSE)</f>
        <v>6852</v>
      </c>
      <c r="F288" s="177">
        <f>VLOOKUP($A288,K0kommunestruktur2019!$A$4:$N$425,K0kommunestruktur2020!F$3,FALSE)</f>
        <v>143069</v>
      </c>
      <c r="G288" s="289">
        <f>VLOOKUP($A288,K0kommunestruktur2019!$A$4:$N$425,K0kommunestruktur2020!G$3,FALSE)</f>
        <v>6886</v>
      </c>
      <c r="H288" s="177">
        <f>VLOOKUP($A288,K0kommunestruktur2019!$A$4:$N$425,K0kommunestruktur2020!H$3,FALSE)</f>
        <v>157388</v>
      </c>
      <c r="I288" s="289">
        <f>VLOOKUP($A288,K0kommunestruktur2019!$A$4:$N$425,K0kommunestruktur2020!I$3,FALSE)</f>
        <v>6973</v>
      </c>
      <c r="J288" s="177">
        <f>VLOOKUP($A288,K0kommunestruktur2019!$A$4:$N$425,K0kommunestruktur2020!J$3,FALSE)</f>
        <v>168825</v>
      </c>
      <c r="K288" s="289">
        <f>VLOOKUP($A288,K0kommunestruktur2019!$A$4:$N$425,K0kommunestruktur2020!K$3,FALSE)</f>
        <v>6970</v>
      </c>
      <c r="L288" s="177">
        <f>VLOOKUP($A288,K0kommunestruktur2019!$A$4:$N$425,K0kommunestruktur2020!L$3,FALSE)</f>
        <v>174333</v>
      </c>
      <c r="M288" s="289">
        <f>VLOOKUP($A288,K0kommunestruktur2019!$A$4:$N$425,K0kommunestruktur2020!M$3,FALSE)</f>
        <v>6975</v>
      </c>
      <c r="N288" s="177">
        <f>VLOOKUP($A288,K0kommunestruktur2019!$A$4:$N$425,K0kommunestruktur2020!N$3,FALSE)</f>
        <v>183551</v>
      </c>
      <c r="O288" s="289">
        <f>VLOOKUP(A288,'K20'!$A$4:$BV$359,3)</f>
        <v>7001</v>
      </c>
      <c r="P288" s="289">
        <f>VLOOKUP(A288,'K20'!$A$4:$BV$359,26)</f>
        <v>191241</v>
      </c>
      <c r="R288" s="517"/>
      <c r="S288" s="517"/>
      <c r="T288" s="517"/>
    </row>
    <row r="289" spans="1:20" ht="13">
      <c r="A289" s="865">
        <v>5022</v>
      </c>
      <c r="B289" s="866" t="s">
        <v>131</v>
      </c>
      <c r="C289" s="289">
        <f>VLOOKUP($A289,K0kommunestruktur2019!$A$4:$N$425,K0kommunestruktur2020!C$3,FALSE)</f>
        <v>2556</v>
      </c>
      <c r="D289" s="177">
        <f>VLOOKUP($A289,K0kommunestruktur2019!$A$4:$N$425,K0kommunestruktur2020!D$3,FALSE)</f>
        <v>51530</v>
      </c>
      <c r="E289" s="289">
        <f>VLOOKUP($A289,K0kommunestruktur2019!$A$4:$N$425,K0kommunestruktur2020!E$3,FALSE)</f>
        <v>2567</v>
      </c>
      <c r="F289" s="177">
        <f>VLOOKUP($A289,K0kommunestruktur2019!$A$4:$N$425,K0kommunestruktur2020!F$3,FALSE)</f>
        <v>52413</v>
      </c>
      <c r="G289" s="289">
        <f>VLOOKUP($A289,K0kommunestruktur2019!$A$4:$N$425,K0kommunestruktur2020!G$3,FALSE)</f>
        <v>2562</v>
      </c>
      <c r="H289" s="177">
        <f>VLOOKUP($A289,K0kommunestruktur2019!$A$4:$N$425,K0kommunestruktur2020!H$3,FALSE)</f>
        <v>57456</v>
      </c>
      <c r="I289" s="289">
        <f>VLOOKUP($A289,K0kommunestruktur2019!$A$4:$N$425,K0kommunestruktur2020!I$3,FALSE)</f>
        <v>2556</v>
      </c>
      <c r="J289" s="177">
        <f>VLOOKUP($A289,K0kommunestruktur2019!$A$4:$N$425,K0kommunestruktur2020!J$3,FALSE)</f>
        <v>58411</v>
      </c>
      <c r="K289" s="289">
        <f>VLOOKUP($A289,K0kommunestruktur2019!$A$4:$N$425,K0kommunestruktur2020!K$3,FALSE)</f>
        <v>2541</v>
      </c>
      <c r="L289" s="177">
        <f>VLOOKUP($A289,K0kommunestruktur2019!$A$4:$N$425,K0kommunestruktur2020!L$3,FALSE)</f>
        <v>60864</v>
      </c>
      <c r="M289" s="289">
        <f>VLOOKUP($A289,K0kommunestruktur2019!$A$4:$N$425,K0kommunestruktur2020!M$3,FALSE)</f>
        <v>2501</v>
      </c>
      <c r="N289" s="177">
        <f>VLOOKUP($A289,K0kommunestruktur2019!$A$4:$N$425,K0kommunestruktur2020!N$3,FALSE)</f>
        <v>60102</v>
      </c>
      <c r="O289" s="289">
        <f>VLOOKUP(A289,'K20'!$A$4:$BV$359,3)</f>
        <v>2486</v>
      </c>
      <c r="P289" s="289">
        <f>VLOOKUP(A289,'K20'!$A$4:$BV$359,26)</f>
        <v>58297</v>
      </c>
      <c r="R289" s="517"/>
      <c r="S289" s="517"/>
      <c r="T289" s="517"/>
    </row>
    <row r="290" spans="1:20" ht="13">
      <c r="A290" s="865">
        <v>5025</v>
      </c>
      <c r="B290" s="876" t="s">
        <v>134</v>
      </c>
      <c r="C290" s="289">
        <f>VLOOKUP($A290,K0kommunestruktur2019!$A$4:$N$425,K0kommunestruktur2020!C$3,FALSE)</f>
        <v>5583</v>
      </c>
      <c r="D290" s="177">
        <f>VLOOKUP($A290,K0kommunestruktur2019!$A$4:$N$425,K0kommunestruktur2020!D$3,FALSE)</f>
        <v>122917</v>
      </c>
      <c r="E290" s="289">
        <f>VLOOKUP($A290,K0kommunestruktur2019!$A$4:$N$425,K0kommunestruktur2020!E$3,FALSE)</f>
        <v>5593</v>
      </c>
      <c r="F290" s="177">
        <f>VLOOKUP($A290,K0kommunestruktur2019!$A$4:$N$425,K0kommunestruktur2020!F$3,FALSE)</f>
        <v>126206</v>
      </c>
      <c r="G290" s="289">
        <f>VLOOKUP($A290,K0kommunestruktur2019!$A$4:$N$425,K0kommunestruktur2020!G$3,FALSE)</f>
        <v>5635</v>
      </c>
      <c r="H290" s="177">
        <f>VLOOKUP($A290,K0kommunestruktur2019!$A$4:$N$425,K0kommunestruktur2020!H$3,FALSE)</f>
        <v>135849</v>
      </c>
      <c r="I290" s="289">
        <f>VLOOKUP($A290,K0kommunestruktur2019!$A$4:$N$425,K0kommunestruktur2020!I$3,FALSE)</f>
        <v>5623</v>
      </c>
      <c r="J290" s="177">
        <f>VLOOKUP($A290,K0kommunestruktur2019!$A$4:$N$425,K0kommunestruktur2020!J$3,FALSE)</f>
        <v>140005</v>
      </c>
      <c r="K290" s="289">
        <f>VLOOKUP($A290,K0kommunestruktur2019!$A$4:$N$425,K0kommunestruktur2020!K$3,FALSE)</f>
        <v>5663</v>
      </c>
      <c r="L290" s="177">
        <f>VLOOKUP($A290,K0kommunestruktur2019!$A$4:$N$425,K0kommunestruktur2020!L$3,FALSE)</f>
        <v>150634</v>
      </c>
      <c r="M290" s="289">
        <f>VLOOKUP($A290,K0kommunestruktur2019!$A$4:$N$425,K0kommunestruktur2020!M$3,FALSE)</f>
        <v>5610</v>
      </c>
      <c r="N290" s="177">
        <f>VLOOKUP($A290,K0kommunestruktur2019!$A$4:$N$425,K0kommunestruktur2020!N$3,FALSE)</f>
        <v>152303</v>
      </c>
      <c r="O290" s="289">
        <f>VLOOKUP(A290,'K20'!$A$4:$BV$359,3)</f>
        <v>5581</v>
      </c>
      <c r="P290" s="289">
        <f>VLOOKUP(A290,'K20'!$A$4:$BV$359,26)</f>
        <v>149195</v>
      </c>
      <c r="R290" s="517"/>
      <c r="S290" s="517"/>
      <c r="T290" s="517"/>
    </row>
    <row r="291" spans="1:20" ht="13">
      <c r="A291" s="865">
        <v>5026</v>
      </c>
      <c r="B291" s="866" t="s">
        <v>135</v>
      </c>
      <c r="C291" s="289">
        <f>VLOOKUP($A291,K0kommunestruktur2019!$A$4:$N$425,K0kommunestruktur2020!C$3,FALSE)</f>
        <v>2024</v>
      </c>
      <c r="D291" s="177">
        <f>VLOOKUP($A291,K0kommunestruktur2019!$A$4:$N$425,K0kommunestruktur2020!D$3,FALSE)</f>
        <v>36840</v>
      </c>
      <c r="E291" s="289">
        <f>VLOOKUP($A291,K0kommunestruktur2019!$A$4:$N$425,K0kommunestruktur2020!E$3,FALSE)</f>
        <v>2014</v>
      </c>
      <c r="F291" s="177">
        <f>VLOOKUP($A291,K0kommunestruktur2019!$A$4:$N$425,K0kommunestruktur2020!F$3,FALSE)</f>
        <v>38051</v>
      </c>
      <c r="G291" s="289">
        <f>VLOOKUP($A291,K0kommunestruktur2019!$A$4:$N$425,K0kommunestruktur2020!G$3,FALSE)</f>
        <v>2031</v>
      </c>
      <c r="H291" s="177">
        <f>VLOOKUP($A291,K0kommunestruktur2019!$A$4:$N$425,K0kommunestruktur2020!H$3,FALSE)</f>
        <v>40877</v>
      </c>
      <c r="I291" s="289">
        <f>VLOOKUP($A291,K0kommunestruktur2019!$A$4:$N$425,K0kommunestruktur2020!I$3,FALSE)</f>
        <v>2046</v>
      </c>
      <c r="J291" s="177">
        <f>VLOOKUP($A291,K0kommunestruktur2019!$A$4:$N$425,K0kommunestruktur2020!J$3,FALSE)</f>
        <v>41668</v>
      </c>
      <c r="K291" s="289">
        <f>VLOOKUP($A291,K0kommunestruktur2019!$A$4:$N$425,K0kommunestruktur2020!K$3,FALSE)</f>
        <v>2028</v>
      </c>
      <c r="L291" s="177">
        <f>VLOOKUP($A291,K0kommunestruktur2019!$A$4:$N$425,K0kommunestruktur2020!L$3,FALSE)</f>
        <v>42917</v>
      </c>
      <c r="M291" s="289">
        <f>VLOOKUP($A291,K0kommunestruktur2019!$A$4:$N$425,K0kommunestruktur2020!M$3,FALSE)</f>
        <v>2025</v>
      </c>
      <c r="N291" s="177">
        <f>VLOOKUP($A291,K0kommunestruktur2019!$A$4:$N$425,K0kommunestruktur2020!N$3,FALSE)</f>
        <v>44918</v>
      </c>
      <c r="O291" s="289">
        <f>VLOOKUP(A291,'K20'!$A$4:$BV$359,3)</f>
        <v>1981</v>
      </c>
      <c r="P291" s="289">
        <f>VLOOKUP(A291,'K20'!$A$4:$BV$359,26)</f>
        <v>45380</v>
      </c>
      <c r="R291" s="517"/>
      <c r="S291" s="517"/>
      <c r="T291" s="517"/>
    </row>
    <row r="292" spans="1:20" ht="13">
      <c r="A292" s="865">
        <v>5027</v>
      </c>
      <c r="B292" s="866" t="s">
        <v>136</v>
      </c>
      <c r="C292" s="289">
        <f>VLOOKUP($A292,K0kommunestruktur2019!$A$4:$N$425,K0kommunestruktur2020!C$3,FALSE)</f>
        <v>6361</v>
      </c>
      <c r="D292" s="177">
        <f>VLOOKUP($A292,K0kommunestruktur2019!$A$4:$N$425,K0kommunestruktur2020!D$3,FALSE)</f>
        <v>117036</v>
      </c>
      <c r="E292" s="289">
        <f>VLOOKUP($A292,K0kommunestruktur2019!$A$4:$N$425,K0kommunestruktur2020!E$3,FALSE)</f>
        <v>6336</v>
      </c>
      <c r="F292" s="177">
        <f>VLOOKUP($A292,K0kommunestruktur2019!$A$4:$N$425,K0kommunestruktur2020!F$3,FALSE)</f>
        <v>122762</v>
      </c>
      <c r="G292" s="289">
        <f>VLOOKUP($A292,K0kommunestruktur2019!$A$4:$N$425,K0kommunestruktur2020!G$3,FALSE)</f>
        <v>6298</v>
      </c>
      <c r="H292" s="177">
        <f>VLOOKUP($A292,K0kommunestruktur2019!$A$4:$N$425,K0kommunestruktur2020!H$3,FALSE)</f>
        <v>134262</v>
      </c>
      <c r="I292" s="289">
        <f>VLOOKUP($A292,K0kommunestruktur2019!$A$4:$N$425,K0kommunestruktur2020!I$3,FALSE)</f>
        <v>6319</v>
      </c>
      <c r="J292" s="177">
        <f>VLOOKUP($A292,K0kommunestruktur2019!$A$4:$N$425,K0kommunestruktur2020!J$3,FALSE)</f>
        <v>136088</v>
      </c>
      <c r="K292" s="289">
        <f>VLOOKUP($A292,K0kommunestruktur2019!$A$4:$N$425,K0kommunestruktur2020!K$3,FALSE)</f>
        <v>6225</v>
      </c>
      <c r="L292" s="177">
        <f>VLOOKUP($A292,K0kommunestruktur2019!$A$4:$N$425,K0kommunestruktur2020!L$3,FALSE)</f>
        <v>138350</v>
      </c>
      <c r="M292" s="289">
        <f>VLOOKUP($A292,K0kommunestruktur2019!$A$4:$N$425,K0kommunestruktur2020!M$3,FALSE)</f>
        <v>6246</v>
      </c>
      <c r="N292" s="177">
        <f>VLOOKUP($A292,K0kommunestruktur2019!$A$4:$N$425,K0kommunestruktur2020!N$3,FALSE)</f>
        <v>142650</v>
      </c>
      <c r="O292" s="289">
        <f>VLOOKUP(A292,'K20'!$A$4:$BV$359,3)</f>
        <v>6238</v>
      </c>
      <c r="P292" s="289">
        <f>VLOOKUP(A292,'K20'!$A$4:$BV$359,26)</f>
        <v>143443</v>
      </c>
      <c r="R292" s="517"/>
      <c r="S292" s="517"/>
      <c r="T292" s="517"/>
    </row>
    <row r="293" spans="1:20" ht="13">
      <c r="A293" s="865">
        <v>5028</v>
      </c>
      <c r="B293" s="866" t="s">
        <v>137</v>
      </c>
      <c r="C293" s="289">
        <f>VLOOKUP($A293,K0kommunestruktur2019!$A$4:$N$425,K0kommunestruktur2020!C$3,FALSE)</f>
        <v>15844</v>
      </c>
      <c r="D293" s="177">
        <f>VLOOKUP($A293,K0kommunestruktur2019!$A$4:$N$425,K0kommunestruktur2020!D$3,FALSE)</f>
        <v>325097</v>
      </c>
      <c r="E293" s="289">
        <f>VLOOKUP($A293,K0kommunestruktur2019!$A$4:$N$425,K0kommunestruktur2020!E$3,FALSE)</f>
        <v>15916</v>
      </c>
      <c r="F293" s="177">
        <f>VLOOKUP($A293,K0kommunestruktur2019!$A$4:$N$425,K0kommunestruktur2020!F$3,FALSE)</f>
        <v>336584</v>
      </c>
      <c r="G293" s="289">
        <f>VLOOKUP($A293,K0kommunestruktur2019!$A$4:$N$425,K0kommunestruktur2020!G$3,FALSE)</f>
        <v>16096</v>
      </c>
      <c r="H293" s="177">
        <f>VLOOKUP($A293,K0kommunestruktur2019!$A$4:$N$425,K0kommunestruktur2020!H$3,FALSE)</f>
        <v>363387</v>
      </c>
      <c r="I293" s="289">
        <f>VLOOKUP($A293,K0kommunestruktur2019!$A$4:$N$425,K0kommunestruktur2020!I$3,FALSE)</f>
        <v>16213</v>
      </c>
      <c r="J293" s="177">
        <f>VLOOKUP($A293,K0kommunestruktur2019!$A$4:$N$425,K0kommunestruktur2020!J$3,FALSE)</f>
        <v>384271</v>
      </c>
      <c r="K293" s="289">
        <f>VLOOKUP($A293,K0kommunestruktur2019!$A$4:$N$425,K0kommunestruktur2020!K$3,FALSE)</f>
        <v>16424</v>
      </c>
      <c r="L293" s="177">
        <f>VLOOKUP($A293,K0kommunestruktur2019!$A$4:$N$425,K0kommunestruktur2020!L$3,FALSE)</f>
        <v>405508</v>
      </c>
      <c r="M293" s="289">
        <f>VLOOKUP($A293,K0kommunestruktur2019!$A$4:$N$425,K0kommunestruktur2020!M$3,FALSE)</f>
        <v>16562</v>
      </c>
      <c r="N293" s="177">
        <f>VLOOKUP($A293,K0kommunestruktur2019!$A$4:$N$425,K0kommunestruktur2020!N$3,FALSE)</f>
        <v>424578</v>
      </c>
      <c r="O293" s="289">
        <f>VLOOKUP(A293,'K20'!$A$4:$BV$359,3)</f>
        <v>16733</v>
      </c>
      <c r="P293" s="289">
        <f>VLOOKUP(A293,'K20'!$A$4:$BV$359,26)</f>
        <v>413343</v>
      </c>
      <c r="R293" s="517"/>
      <c r="S293" s="517"/>
      <c r="T293" s="517"/>
    </row>
    <row r="294" spans="1:20" ht="13">
      <c r="A294" s="865">
        <v>5029</v>
      </c>
      <c r="B294" s="866" t="s">
        <v>138</v>
      </c>
      <c r="C294" s="289">
        <f>VLOOKUP($A294,K0kommunestruktur2019!$A$4:$N$425,K0kommunestruktur2020!C$3,FALSE)</f>
        <v>7392</v>
      </c>
      <c r="D294" s="177">
        <f>VLOOKUP($A294,K0kommunestruktur2019!$A$4:$N$425,K0kommunestruktur2020!D$3,FALSE)</f>
        <v>141880</v>
      </c>
      <c r="E294" s="289">
        <f>VLOOKUP($A294,K0kommunestruktur2019!$A$4:$N$425,K0kommunestruktur2020!E$3,FALSE)</f>
        <v>7668</v>
      </c>
      <c r="F294" s="177">
        <f>VLOOKUP($A294,K0kommunestruktur2019!$A$4:$N$425,K0kommunestruktur2020!F$3,FALSE)</f>
        <v>154041</v>
      </c>
      <c r="G294" s="289">
        <f>VLOOKUP($A294,K0kommunestruktur2019!$A$4:$N$425,K0kommunestruktur2020!G$3,FALSE)</f>
        <v>7755</v>
      </c>
      <c r="H294" s="177">
        <f>VLOOKUP($A294,K0kommunestruktur2019!$A$4:$N$425,K0kommunestruktur2020!H$3,FALSE)</f>
        <v>170390</v>
      </c>
      <c r="I294" s="289">
        <f>VLOOKUP($A294,K0kommunestruktur2019!$A$4:$N$425,K0kommunestruktur2020!I$3,FALSE)</f>
        <v>8000</v>
      </c>
      <c r="J294" s="177">
        <f>VLOOKUP($A294,K0kommunestruktur2019!$A$4:$N$425,K0kommunestruktur2020!J$3,FALSE)</f>
        <v>185257</v>
      </c>
      <c r="K294" s="289">
        <f>VLOOKUP($A294,K0kommunestruktur2019!$A$4:$N$425,K0kommunestruktur2020!K$3,FALSE)</f>
        <v>8142</v>
      </c>
      <c r="L294" s="177">
        <f>VLOOKUP($A294,K0kommunestruktur2019!$A$4:$N$425,K0kommunestruktur2020!L$3,FALSE)</f>
        <v>194457</v>
      </c>
      <c r="M294" s="289">
        <f>VLOOKUP($A294,K0kommunestruktur2019!$A$4:$N$425,K0kommunestruktur2020!M$3,FALSE)</f>
        <v>8231</v>
      </c>
      <c r="N294" s="177">
        <f>VLOOKUP($A294,K0kommunestruktur2019!$A$4:$N$425,K0kommunestruktur2020!N$3,FALSE)</f>
        <v>202229</v>
      </c>
      <c r="O294" s="289">
        <f>VLOOKUP(A294,'K20'!$A$4:$BV$359,3)</f>
        <v>8325</v>
      </c>
      <c r="P294" s="289">
        <f>VLOOKUP(A294,'K20'!$A$4:$BV$359,26)</f>
        <v>203063</v>
      </c>
      <c r="R294" s="517"/>
      <c r="S294" s="517"/>
      <c r="T294" s="517"/>
    </row>
    <row r="295" spans="1:20" ht="13">
      <c r="A295" s="865">
        <v>5031</v>
      </c>
      <c r="B295" s="866" t="s">
        <v>141</v>
      </c>
      <c r="C295" s="289">
        <f>VLOOKUP($A295,K0kommunestruktur2019!$A$4:$N$425,K0kommunestruktur2020!C$3,FALSE)</f>
        <v>13371</v>
      </c>
      <c r="D295" s="177">
        <f>VLOOKUP($A295,K0kommunestruktur2019!$A$4:$N$425,K0kommunestruktur2020!D$3,FALSE)</f>
        <v>308238</v>
      </c>
      <c r="E295" s="289">
        <f>VLOOKUP($A295,K0kommunestruktur2019!$A$4:$N$425,K0kommunestruktur2020!E$3,FALSE)</f>
        <v>13498</v>
      </c>
      <c r="F295" s="177">
        <f>VLOOKUP($A295,K0kommunestruktur2019!$A$4:$N$425,K0kommunestruktur2020!F$3,FALSE)</f>
        <v>318663</v>
      </c>
      <c r="G295" s="289">
        <f>VLOOKUP($A295,K0kommunestruktur2019!$A$4:$N$425,K0kommunestruktur2020!G$3,FALSE)</f>
        <v>13738</v>
      </c>
      <c r="H295" s="177">
        <f>VLOOKUP($A295,K0kommunestruktur2019!$A$4:$N$425,K0kommunestruktur2020!H$3,FALSE)</f>
        <v>359450</v>
      </c>
      <c r="I295" s="289">
        <f>VLOOKUP($A295,K0kommunestruktur2019!$A$4:$N$425,K0kommunestruktur2020!I$3,FALSE)</f>
        <v>13820</v>
      </c>
      <c r="J295" s="177">
        <f>VLOOKUP($A295,K0kommunestruktur2019!$A$4:$N$425,K0kommunestruktur2020!J$3,FALSE)</f>
        <v>368227</v>
      </c>
      <c r="K295" s="289">
        <f>VLOOKUP($A295,K0kommunestruktur2019!$A$4:$N$425,K0kommunestruktur2020!K$3,FALSE)</f>
        <v>13958</v>
      </c>
      <c r="L295" s="177">
        <f>VLOOKUP($A295,K0kommunestruktur2019!$A$4:$N$425,K0kommunestruktur2020!L$3,FALSE)</f>
        <v>397644</v>
      </c>
      <c r="M295" s="289">
        <f>VLOOKUP($A295,K0kommunestruktur2019!$A$4:$N$425,K0kommunestruktur2020!M$3,FALSE)</f>
        <v>14040</v>
      </c>
      <c r="N295" s="177">
        <f>VLOOKUP($A295,K0kommunestruktur2019!$A$4:$N$425,K0kommunestruktur2020!N$3,FALSE)</f>
        <v>412157</v>
      </c>
      <c r="O295" s="289">
        <f>VLOOKUP(A295,'K20'!$A$4:$BV$359,3)</f>
        <v>14148</v>
      </c>
      <c r="P295" s="289">
        <f>VLOOKUP(A295,'K20'!$A$4:$BV$359,26)</f>
        <v>408135</v>
      </c>
      <c r="R295" s="517"/>
      <c r="S295" s="517"/>
      <c r="T295" s="517"/>
    </row>
    <row r="296" spans="1:20" ht="13">
      <c r="A296" s="865">
        <v>5032</v>
      </c>
      <c r="B296" s="866" t="s">
        <v>142</v>
      </c>
      <c r="C296" s="289">
        <f>VLOOKUP($A296,K0kommunestruktur2019!$A$4:$N$425,K0kommunestruktur2020!C$3,FALSE)</f>
        <v>4030</v>
      </c>
      <c r="D296" s="177">
        <f>VLOOKUP($A296,K0kommunestruktur2019!$A$4:$N$425,K0kommunestruktur2020!D$3,FALSE)</f>
        <v>79555</v>
      </c>
      <c r="E296" s="289">
        <f>VLOOKUP($A296,K0kommunestruktur2019!$A$4:$N$425,K0kommunestruktur2020!E$3,FALSE)</f>
        <v>4078</v>
      </c>
      <c r="F296" s="177">
        <f>VLOOKUP($A296,K0kommunestruktur2019!$A$4:$N$425,K0kommunestruktur2020!F$3,FALSE)</f>
        <v>84730</v>
      </c>
      <c r="G296" s="289">
        <f>VLOOKUP($A296,K0kommunestruktur2019!$A$4:$N$425,K0kommunestruktur2020!G$3,FALSE)</f>
        <v>4132</v>
      </c>
      <c r="H296" s="177">
        <f>VLOOKUP($A296,K0kommunestruktur2019!$A$4:$N$425,K0kommunestruktur2020!H$3,FALSE)</f>
        <v>91266</v>
      </c>
      <c r="I296" s="289">
        <f>VLOOKUP($A296,K0kommunestruktur2019!$A$4:$N$425,K0kommunestruktur2020!I$3,FALSE)</f>
        <v>4098</v>
      </c>
      <c r="J296" s="177">
        <f>VLOOKUP($A296,K0kommunestruktur2019!$A$4:$N$425,K0kommunestruktur2020!J$3,FALSE)</f>
        <v>94622</v>
      </c>
      <c r="K296" s="289">
        <f>VLOOKUP($A296,K0kommunestruktur2019!$A$4:$N$425,K0kommunestruktur2020!K$3,FALSE)</f>
        <v>4093</v>
      </c>
      <c r="L296" s="177">
        <f>VLOOKUP($A296,K0kommunestruktur2019!$A$4:$N$425,K0kommunestruktur2020!L$3,FALSE)</f>
        <v>97338</v>
      </c>
      <c r="M296" s="289">
        <f>VLOOKUP($A296,K0kommunestruktur2019!$A$4:$N$425,K0kommunestruktur2020!M$3,FALSE)</f>
        <v>4088</v>
      </c>
      <c r="N296" s="177">
        <f>VLOOKUP($A296,K0kommunestruktur2019!$A$4:$N$425,K0kommunestruktur2020!N$3,FALSE)</f>
        <v>100209</v>
      </c>
      <c r="O296" s="289">
        <f>VLOOKUP(A296,'K20'!$A$4:$BV$359,3)</f>
        <v>4062</v>
      </c>
      <c r="P296" s="289">
        <f>VLOOKUP(A296,'K20'!$A$4:$BV$359,26)</f>
        <v>102099</v>
      </c>
      <c r="R296" s="517"/>
      <c r="S296" s="517"/>
      <c r="T296" s="517"/>
    </row>
    <row r="297" spans="1:20" ht="13">
      <c r="A297" s="865">
        <v>5033</v>
      </c>
      <c r="B297" s="866" t="s">
        <v>143</v>
      </c>
      <c r="C297" s="289">
        <f>VLOOKUP($A297,K0kommunestruktur2019!$A$4:$N$425,K0kommunestruktur2020!C$3,FALSE)</f>
        <v>864</v>
      </c>
      <c r="D297" s="177">
        <f>VLOOKUP($A297,K0kommunestruktur2019!$A$4:$N$425,K0kommunestruktur2020!D$3,FALSE)</f>
        <v>30854</v>
      </c>
      <c r="E297" s="289">
        <f>VLOOKUP($A297,K0kommunestruktur2019!$A$4:$N$425,K0kommunestruktur2020!E$3,FALSE)</f>
        <v>863</v>
      </c>
      <c r="F297" s="177">
        <f>VLOOKUP($A297,K0kommunestruktur2019!$A$4:$N$425,K0kommunestruktur2020!F$3,FALSE)</f>
        <v>32527</v>
      </c>
      <c r="G297" s="289">
        <f>VLOOKUP($A297,K0kommunestruktur2019!$A$4:$N$425,K0kommunestruktur2020!G$3,FALSE)</f>
        <v>851</v>
      </c>
      <c r="H297" s="177">
        <f>VLOOKUP($A297,K0kommunestruktur2019!$A$4:$N$425,K0kommunestruktur2020!H$3,FALSE)</f>
        <v>33235</v>
      </c>
      <c r="I297" s="289">
        <f>VLOOKUP($A297,K0kommunestruktur2019!$A$4:$N$425,K0kommunestruktur2020!I$3,FALSE)</f>
        <v>861</v>
      </c>
      <c r="J297" s="177">
        <f>VLOOKUP($A297,K0kommunestruktur2019!$A$4:$N$425,K0kommunestruktur2020!J$3,FALSE)</f>
        <v>33121</v>
      </c>
      <c r="K297" s="289">
        <f>VLOOKUP($A297,K0kommunestruktur2019!$A$4:$N$425,K0kommunestruktur2020!K$3,FALSE)</f>
        <v>834</v>
      </c>
      <c r="L297" s="177">
        <f>VLOOKUP($A297,K0kommunestruktur2019!$A$4:$N$425,K0kommunestruktur2020!L$3,FALSE)</f>
        <v>34850</v>
      </c>
      <c r="M297" s="289">
        <f>VLOOKUP($A297,K0kommunestruktur2019!$A$4:$N$425,K0kommunestruktur2020!M$3,FALSE)</f>
        <v>794</v>
      </c>
      <c r="N297" s="177">
        <f>VLOOKUP($A297,K0kommunestruktur2019!$A$4:$N$425,K0kommunestruktur2020!N$3,FALSE)</f>
        <v>35054</v>
      </c>
      <c r="O297" s="289">
        <f>VLOOKUP(A297,'K20'!$A$4:$BV$359,3)</f>
        <v>769</v>
      </c>
      <c r="P297" s="289">
        <f>VLOOKUP(A297,'K20'!$A$4:$BV$359,26)</f>
        <v>32995</v>
      </c>
      <c r="R297" s="517"/>
      <c r="S297" s="517"/>
      <c r="T297" s="517"/>
    </row>
    <row r="298" spans="1:20" ht="13">
      <c r="A298" s="865">
        <v>5034</v>
      </c>
      <c r="B298" s="866" t="s">
        <v>146</v>
      </c>
      <c r="C298" s="289">
        <f>VLOOKUP($A298,K0kommunestruktur2019!$A$4:$N$425,K0kommunestruktur2020!C$3,FALSE)</f>
        <v>2553</v>
      </c>
      <c r="D298" s="177">
        <f>VLOOKUP($A298,K0kommunestruktur2019!$A$4:$N$425,K0kommunestruktur2020!D$3,FALSE)</f>
        <v>48534</v>
      </c>
      <c r="E298" s="289">
        <f>VLOOKUP($A298,K0kommunestruktur2019!$A$4:$N$425,K0kommunestruktur2020!E$3,FALSE)</f>
        <v>2558</v>
      </c>
      <c r="F298" s="177">
        <f>VLOOKUP($A298,K0kommunestruktur2019!$A$4:$N$425,K0kommunestruktur2020!F$3,FALSE)</f>
        <v>51352</v>
      </c>
      <c r="G298" s="289">
        <f>VLOOKUP($A298,K0kommunestruktur2019!$A$4:$N$425,K0kommunestruktur2020!G$3,FALSE)</f>
        <v>2523</v>
      </c>
      <c r="H298" s="177">
        <f>VLOOKUP($A298,K0kommunestruktur2019!$A$4:$N$425,K0kommunestruktur2020!H$3,FALSE)</f>
        <v>53590</v>
      </c>
      <c r="I298" s="289">
        <f>VLOOKUP($A298,K0kommunestruktur2019!$A$4:$N$425,K0kommunestruktur2020!I$3,FALSE)</f>
        <v>2508</v>
      </c>
      <c r="J298" s="177">
        <f>VLOOKUP($A298,K0kommunestruktur2019!$A$4:$N$425,K0kommunestruktur2020!J$3,FALSE)</f>
        <v>54417</v>
      </c>
      <c r="K298" s="289">
        <f>VLOOKUP($A298,K0kommunestruktur2019!$A$4:$N$425,K0kommunestruktur2020!K$3,FALSE)</f>
        <v>2469</v>
      </c>
      <c r="L298" s="177">
        <f>VLOOKUP($A298,K0kommunestruktur2019!$A$4:$N$425,K0kommunestruktur2020!L$3,FALSE)</f>
        <v>57823</v>
      </c>
      <c r="M298" s="289">
        <f>VLOOKUP($A298,K0kommunestruktur2019!$A$4:$N$425,K0kommunestruktur2020!M$3,FALSE)</f>
        <v>2432</v>
      </c>
      <c r="N298" s="177">
        <f>VLOOKUP($A298,K0kommunestruktur2019!$A$4:$N$425,K0kommunestruktur2020!N$3,FALSE)</f>
        <v>57334</v>
      </c>
      <c r="O298" s="289">
        <f>VLOOKUP(A298,'K20'!$A$4:$BV$359,3)</f>
        <v>2422</v>
      </c>
      <c r="P298" s="289">
        <f>VLOOKUP(A298,'K20'!$A$4:$BV$359,26)</f>
        <v>55743</v>
      </c>
      <c r="R298" s="517"/>
      <c r="S298" s="517"/>
      <c r="T298" s="517"/>
    </row>
    <row r="299" spans="1:20" ht="13">
      <c r="A299" s="865">
        <v>5035</v>
      </c>
      <c r="B299" s="866" t="s">
        <v>147</v>
      </c>
      <c r="C299" s="289">
        <f>VLOOKUP($A299,K0kommunestruktur2019!$A$4:$N$425,K0kommunestruktur2020!C$3,FALSE)</f>
        <v>22683</v>
      </c>
      <c r="D299" s="177">
        <f>VLOOKUP($A299,K0kommunestruktur2019!$A$4:$N$425,K0kommunestruktur2020!D$3,FALSE)</f>
        <v>461772</v>
      </c>
      <c r="E299" s="289">
        <f>VLOOKUP($A299,K0kommunestruktur2019!$A$4:$N$425,K0kommunestruktur2020!E$3,FALSE)</f>
        <v>22957</v>
      </c>
      <c r="F299" s="177">
        <f>VLOOKUP($A299,K0kommunestruktur2019!$A$4:$N$425,K0kommunestruktur2020!F$3,FALSE)</f>
        <v>500584</v>
      </c>
      <c r="G299" s="289">
        <f>VLOOKUP($A299,K0kommunestruktur2019!$A$4:$N$425,K0kommunestruktur2020!G$3,FALSE)</f>
        <v>23308</v>
      </c>
      <c r="H299" s="177">
        <f>VLOOKUP($A299,K0kommunestruktur2019!$A$4:$N$425,K0kommunestruktur2020!H$3,FALSE)</f>
        <v>539672</v>
      </c>
      <c r="I299" s="289">
        <f>VLOOKUP($A299,K0kommunestruktur2019!$A$4:$N$425,K0kommunestruktur2020!I$3,FALSE)</f>
        <v>23625</v>
      </c>
      <c r="J299" s="177">
        <f>VLOOKUP($A299,K0kommunestruktur2019!$A$4:$N$425,K0kommunestruktur2020!J$3,FALSE)</f>
        <v>564472</v>
      </c>
      <c r="K299" s="289">
        <f>VLOOKUP($A299,K0kommunestruktur2019!$A$4:$N$425,K0kommunestruktur2020!K$3,FALSE)</f>
        <v>23964</v>
      </c>
      <c r="L299" s="177">
        <f>VLOOKUP($A299,K0kommunestruktur2019!$A$4:$N$425,K0kommunestruktur2020!L$3,FALSE)</f>
        <v>597732</v>
      </c>
      <c r="M299" s="289">
        <f>VLOOKUP($A299,K0kommunestruktur2019!$A$4:$N$425,K0kommunestruktur2020!M$3,FALSE)</f>
        <v>24028</v>
      </c>
      <c r="N299" s="177">
        <f>VLOOKUP($A299,K0kommunestruktur2019!$A$4:$N$425,K0kommunestruktur2020!N$3,FALSE)</f>
        <v>615174</v>
      </c>
      <c r="O299" s="289">
        <f>VLOOKUP(A299,'K20'!$A$4:$BV$359,3)</f>
        <v>24145</v>
      </c>
      <c r="P299" s="289">
        <f>VLOOKUP(A299,'K20'!$A$4:$BV$359,26)</f>
        <v>598173</v>
      </c>
      <c r="R299" s="517"/>
      <c r="S299" s="517"/>
      <c r="T299" s="517"/>
    </row>
    <row r="300" spans="1:20" ht="13">
      <c r="A300" s="865">
        <v>5036</v>
      </c>
      <c r="B300" s="866" t="s">
        <v>148</v>
      </c>
      <c r="C300" s="289">
        <f>VLOOKUP($A300,K0kommunestruktur2019!$A$4:$N$425,K0kommunestruktur2020!C$3,FALSE)</f>
        <v>2653</v>
      </c>
      <c r="D300" s="177">
        <f>VLOOKUP($A300,K0kommunestruktur2019!$A$4:$N$425,K0kommunestruktur2020!D$3,FALSE)</f>
        <v>43779</v>
      </c>
      <c r="E300" s="289">
        <f>VLOOKUP($A300,K0kommunestruktur2019!$A$4:$N$425,K0kommunestruktur2020!E$3,FALSE)</f>
        <v>2624</v>
      </c>
      <c r="F300" s="177">
        <f>VLOOKUP($A300,K0kommunestruktur2019!$A$4:$N$425,K0kommunestruktur2020!F$3,FALSE)</f>
        <v>45334</v>
      </c>
      <c r="G300" s="289">
        <f>VLOOKUP($A300,K0kommunestruktur2019!$A$4:$N$425,K0kommunestruktur2020!G$3,FALSE)</f>
        <v>2631</v>
      </c>
      <c r="H300" s="177">
        <f>VLOOKUP($A300,K0kommunestruktur2019!$A$4:$N$425,K0kommunestruktur2020!H$3,FALSE)</f>
        <v>48858</v>
      </c>
      <c r="I300" s="289">
        <f>VLOOKUP($A300,K0kommunestruktur2019!$A$4:$N$425,K0kommunestruktur2020!I$3,FALSE)</f>
        <v>2630</v>
      </c>
      <c r="J300" s="177">
        <f>VLOOKUP($A300,K0kommunestruktur2019!$A$4:$N$425,K0kommunestruktur2020!J$3,FALSE)</f>
        <v>55464</v>
      </c>
      <c r="K300" s="289">
        <f>VLOOKUP($A300,K0kommunestruktur2019!$A$4:$N$425,K0kommunestruktur2020!K$3,FALSE)</f>
        <v>2616</v>
      </c>
      <c r="L300" s="177">
        <f>VLOOKUP($A300,K0kommunestruktur2019!$A$4:$N$425,K0kommunestruktur2020!L$3,FALSE)</f>
        <v>57821</v>
      </c>
      <c r="M300" s="289">
        <f>VLOOKUP($A300,K0kommunestruktur2019!$A$4:$N$425,K0kommunestruktur2020!M$3,FALSE)</f>
        <v>2632</v>
      </c>
      <c r="N300" s="177">
        <f>VLOOKUP($A300,K0kommunestruktur2019!$A$4:$N$425,K0kommunestruktur2020!N$3,FALSE)</f>
        <v>57477</v>
      </c>
      <c r="O300" s="289">
        <f>VLOOKUP(A300,'K20'!$A$4:$BV$359,3)</f>
        <v>2627</v>
      </c>
      <c r="P300" s="289">
        <f>VLOOKUP(A300,'K20'!$A$4:$BV$359,26)</f>
        <v>60319</v>
      </c>
      <c r="R300" s="517"/>
      <c r="S300" s="517"/>
      <c r="T300" s="517"/>
    </row>
    <row r="301" spans="1:20" ht="13">
      <c r="A301" s="865">
        <v>5037</v>
      </c>
      <c r="B301" s="866" t="s">
        <v>150</v>
      </c>
      <c r="C301" s="289">
        <f>VLOOKUP($A301,K0kommunestruktur2019!$A$4:$N$425,K0kommunestruktur2020!C$3,FALSE)</f>
        <v>19212</v>
      </c>
      <c r="D301" s="177">
        <f>VLOOKUP($A301,K0kommunestruktur2019!$A$4:$N$425,K0kommunestruktur2020!D$3,FALSE)</f>
        <v>379690</v>
      </c>
      <c r="E301" s="289">
        <f>VLOOKUP($A301,K0kommunestruktur2019!$A$4:$N$425,K0kommunestruktur2020!E$3,FALSE)</f>
        <v>19474</v>
      </c>
      <c r="F301" s="177">
        <f>VLOOKUP($A301,K0kommunestruktur2019!$A$4:$N$425,K0kommunestruktur2020!F$3,FALSE)</f>
        <v>399602</v>
      </c>
      <c r="G301" s="289">
        <f>VLOOKUP($A301,K0kommunestruktur2019!$A$4:$N$425,K0kommunestruktur2020!G$3,FALSE)</f>
        <v>19610</v>
      </c>
      <c r="H301" s="177">
        <f>VLOOKUP($A301,K0kommunestruktur2019!$A$4:$N$425,K0kommunestruktur2020!H$3,FALSE)</f>
        <v>452141</v>
      </c>
      <c r="I301" s="289">
        <f>VLOOKUP($A301,K0kommunestruktur2019!$A$4:$N$425,K0kommunestruktur2020!I$3,FALSE)</f>
        <v>19892</v>
      </c>
      <c r="J301" s="177">
        <f>VLOOKUP($A301,K0kommunestruktur2019!$A$4:$N$425,K0kommunestruktur2020!J$3,FALSE)</f>
        <v>467325</v>
      </c>
      <c r="K301" s="289">
        <f>VLOOKUP($A301,K0kommunestruktur2019!$A$4:$N$425,K0kommunestruktur2020!K$3,FALSE)</f>
        <v>20115</v>
      </c>
      <c r="L301" s="177">
        <f>VLOOKUP($A301,K0kommunestruktur2019!$A$4:$N$425,K0kommunestruktur2020!L$3,FALSE)</f>
        <v>490350</v>
      </c>
      <c r="M301" s="289">
        <f>VLOOKUP($A301,K0kommunestruktur2019!$A$4:$N$425,K0kommunestruktur2020!M$3,FALSE)</f>
        <v>20254</v>
      </c>
      <c r="N301" s="177">
        <f>VLOOKUP($A301,K0kommunestruktur2019!$A$4:$N$425,K0kommunestruktur2020!N$3,FALSE)</f>
        <v>515645</v>
      </c>
      <c r="O301" s="289">
        <f>VLOOKUP(A301,'K20'!$A$4:$BV$359,3)</f>
        <v>20164</v>
      </c>
      <c r="P301" s="289">
        <f>VLOOKUP(A301,'K20'!$A$4:$BV$359,26)</f>
        <v>509280</v>
      </c>
      <c r="R301" s="517"/>
      <c r="S301" s="517"/>
      <c r="T301" s="517"/>
    </row>
    <row r="302" spans="1:20" ht="13">
      <c r="A302" s="865">
        <v>5038</v>
      </c>
      <c r="B302" s="866" t="s">
        <v>151</v>
      </c>
      <c r="C302" s="289">
        <f>VLOOKUP($A302,K0kommunestruktur2019!$A$4:$N$425,K0kommunestruktur2020!C$3,FALSE)</f>
        <v>14788</v>
      </c>
      <c r="D302" s="177">
        <f>VLOOKUP($A302,K0kommunestruktur2019!$A$4:$N$425,K0kommunestruktur2020!D$3,FALSE)</f>
        <v>279742</v>
      </c>
      <c r="E302" s="289">
        <f>VLOOKUP($A302,K0kommunestruktur2019!$A$4:$N$425,K0kommunestruktur2020!E$3,FALSE)</f>
        <v>14809</v>
      </c>
      <c r="F302" s="177">
        <f>VLOOKUP($A302,K0kommunestruktur2019!$A$4:$N$425,K0kommunestruktur2020!F$3,FALSE)</f>
        <v>280360</v>
      </c>
      <c r="G302" s="289">
        <f>VLOOKUP($A302,K0kommunestruktur2019!$A$4:$N$425,K0kommunestruktur2020!G$3,FALSE)</f>
        <v>14885</v>
      </c>
      <c r="H302" s="177">
        <f>VLOOKUP($A302,K0kommunestruktur2019!$A$4:$N$425,K0kommunestruktur2020!H$3,FALSE)</f>
        <v>303298</v>
      </c>
      <c r="I302" s="289">
        <f>VLOOKUP($A302,K0kommunestruktur2019!$A$4:$N$425,K0kommunestruktur2020!I$3,FALSE)</f>
        <v>14849</v>
      </c>
      <c r="J302" s="177">
        <f>VLOOKUP($A302,K0kommunestruktur2019!$A$4:$N$425,K0kommunestruktur2020!J$3,FALSE)</f>
        <v>319010</v>
      </c>
      <c r="K302" s="289">
        <f>VLOOKUP($A302,K0kommunestruktur2019!$A$4:$N$425,K0kommunestruktur2020!K$3,FALSE)</f>
        <v>14943</v>
      </c>
      <c r="L302" s="177">
        <f>VLOOKUP($A302,K0kommunestruktur2019!$A$4:$N$425,K0kommunestruktur2020!L$3,FALSE)</f>
        <v>334369</v>
      </c>
      <c r="M302" s="289">
        <f>VLOOKUP($A302,K0kommunestruktur2019!$A$4:$N$425,K0kommunestruktur2020!M$3,FALSE)</f>
        <v>14933</v>
      </c>
      <c r="N302" s="177">
        <f>VLOOKUP($A302,K0kommunestruktur2019!$A$4:$N$425,K0kommunestruktur2020!N$3,FALSE)</f>
        <v>344409</v>
      </c>
      <c r="O302" s="289">
        <f>VLOOKUP(A302,'K20'!$A$4:$BV$359,3)</f>
        <v>14948</v>
      </c>
      <c r="P302" s="289">
        <f>VLOOKUP(A302,'K20'!$A$4:$BV$359,26)</f>
        <v>346720</v>
      </c>
      <c r="R302" s="517"/>
      <c r="S302" s="517"/>
      <c r="T302" s="517"/>
    </row>
    <row r="303" spans="1:20" ht="13">
      <c r="A303" s="865">
        <v>5041</v>
      </c>
      <c r="B303" s="866" t="s">
        <v>156</v>
      </c>
      <c r="C303" s="289">
        <f>VLOOKUP($A303,K0kommunestruktur2019!$A$4:$N$425,K0kommunestruktur2020!C$3,FALSE)</f>
        <v>2156</v>
      </c>
      <c r="D303" s="177">
        <f>VLOOKUP($A303,K0kommunestruktur2019!$A$4:$N$425,K0kommunestruktur2020!D$3,FALSE)</f>
        <v>37914</v>
      </c>
      <c r="E303" s="289">
        <f>VLOOKUP($A303,K0kommunestruktur2019!$A$4:$N$425,K0kommunestruktur2020!E$3,FALSE)</f>
        <v>2153</v>
      </c>
      <c r="F303" s="177">
        <f>VLOOKUP($A303,K0kommunestruktur2019!$A$4:$N$425,K0kommunestruktur2020!F$3,FALSE)</f>
        <v>39394</v>
      </c>
      <c r="G303" s="289">
        <f>VLOOKUP($A303,K0kommunestruktur2019!$A$4:$N$425,K0kommunestruktur2020!G$3,FALSE)</f>
        <v>2139</v>
      </c>
      <c r="H303" s="177">
        <f>VLOOKUP($A303,K0kommunestruktur2019!$A$4:$N$425,K0kommunestruktur2020!H$3,FALSE)</f>
        <v>41094</v>
      </c>
      <c r="I303" s="289">
        <f>VLOOKUP($A303,K0kommunestruktur2019!$A$4:$N$425,K0kommunestruktur2020!I$3,FALSE)</f>
        <v>2159</v>
      </c>
      <c r="J303" s="177">
        <f>VLOOKUP($A303,K0kommunestruktur2019!$A$4:$N$425,K0kommunestruktur2020!J$3,FALSE)</f>
        <v>43422</v>
      </c>
      <c r="K303" s="289">
        <f>VLOOKUP($A303,K0kommunestruktur2019!$A$4:$N$425,K0kommunestruktur2020!K$3,FALSE)</f>
        <v>2094</v>
      </c>
      <c r="L303" s="177">
        <f>VLOOKUP($A303,K0kommunestruktur2019!$A$4:$N$425,K0kommunestruktur2020!L$3,FALSE)</f>
        <v>43014</v>
      </c>
      <c r="M303" s="289">
        <f>VLOOKUP($A303,K0kommunestruktur2019!$A$4:$N$425,K0kommunestruktur2020!M$3,FALSE)</f>
        <v>2100</v>
      </c>
      <c r="N303" s="177">
        <f>VLOOKUP($A303,K0kommunestruktur2019!$A$4:$N$425,K0kommunestruktur2020!N$3,FALSE)</f>
        <v>45037</v>
      </c>
      <c r="O303" s="289">
        <f>VLOOKUP(A303,'K20'!$A$4:$BV$359,3)</f>
        <v>2063</v>
      </c>
      <c r="P303" s="289">
        <f>VLOOKUP(A303,'K20'!$A$4:$BV$359,26)</f>
        <v>45906</v>
      </c>
      <c r="R303" s="517"/>
      <c r="S303" s="517"/>
      <c r="T303" s="517"/>
    </row>
    <row r="304" spans="1:20" ht="13">
      <c r="A304" s="865">
        <v>5042</v>
      </c>
      <c r="B304" s="866" t="s">
        <v>157</v>
      </c>
      <c r="C304" s="289">
        <f>VLOOKUP($A304,K0kommunestruktur2019!$A$4:$N$425,K0kommunestruktur2020!C$3,FALSE)</f>
        <v>1385</v>
      </c>
      <c r="D304" s="177">
        <f>VLOOKUP($A304,K0kommunestruktur2019!$A$4:$N$425,K0kommunestruktur2020!D$3,FALSE)</f>
        <v>30495</v>
      </c>
      <c r="E304" s="289">
        <f>VLOOKUP($A304,K0kommunestruktur2019!$A$4:$N$425,K0kommunestruktur2020!E$3,FALSE)</f>
        <v>1394</v>
      </c>
      <c r="F304" s="177">
        <f>VLOOKUP($A304,K0kommunestruktur2019!$A$4:$N$425,K0kommunestruktur2020!F$3,FALSE)</f>
        <v>30846</v>
      </c>
      <c r="G304" s="289">
        <f>VLOOKUP($A304,K0kommunestruktur2019!$A$4:$N$425,K0kommunestruktur2020!G$3,FALSE)</f>
        <v>1375</v>
      </c>
      <c r="H304" s="177">
        <f>VLOOKUP($A304,K0kommunestruktur2019!$A$4:$N$425,K0kommunestruktur2020!H$3,FALSE)</f>
        <v>30134</v>
      </c>
      <c r="I304" s="289">
        <f>VLOOKUP($A304,K0kommunestruktur2019!$A$4:$N$425,K0kommunestruktur2020!I$3,FALSE)</f>
        <v>1389</v>
      </c>
      <c r="J304" s="177">
        <f>VLOOKUP($A304,K0kommunestruktur2019!$A$4:$N$425,K0kommunestruktur2020!J$3,FALSE)</f>
        <v>30547</v>
      </c>
      <c r="K304" s="289">
        <f>VLOOKUP($A304,K0kommunestruktur2019!$A$4:$N$425,K0kommunestruktur2020!K$3,FALSE)</f>
        <v>1379</v>
      </c>
      <c r="L304" s="177">
        <f>VLOOKUP($A304,K0kommunestruktur2019!$A$4:$N$425,K0kommunestruktur2020!L$3,FALSE)</f>
        <v>31031</v>
      </c>
      <c r="M304" s="289">
        <f>VLOOKUP($A304,K0kommunestruktur2019!$A$4:$N$425,K0kommunestruktur2020!M$3,FALSE)</f>
        <v>1386</v>
      </c>
      <c r="N304" s="177">
        <f>VLOOKUP($A304,K0kommunestruktur2019!$A$4:$N$425,K0kommunestruktur2020!N$3,FALSE)</f>
        <v>33722</v>
      </c>
      <c r="O304" s="289">
        <f>VLOOKUP(A304,'K20'!$A$4:$BV$359,3)</f>
        <v>1355</v>
      </c>
      <c r="P304" s="289">
        <f>VLOOKUP(A304,'K20'!$A$4:$BV$359,26)</f>
        <v>33626</v>
      </c>
      <c r="R304" s="517"/>
      <c r="S304" s="517"/>
      <c r="T304" s="517"/>
    </row>
    <row r="305" spans="1:20" ht="13">
      <c r="A305" s="865">
        <v>5043</v>
      </c>
      <c r="B305" s="866" t="s">
        <v>164</v>
      </c>
      <c r="C305" s="289">
        <f>VLOOKUP($A305,K0kommunestruktur2019!$A$4:$N$425,K0kommunestruktur2020!C$3,FALSE)</f>
        <v>498</v>
      </c>
      <c r="D305" s="177">
        <f>VLOOKUP($A305,K0kommunestruktur2019!$A$4:$N$425,K0kommunestruktur2020!D$3,FALSE)</f>
        <v>12548</v>
      </c>
      <c r="E305" s="289">
        <f>VLOOKUP($A305,K0kommunestruktur2019!$A$4:$N$425,K0kommunestruktur2020!E$3,FALSE)</f>
        <v>475</v>
      </c>
      <c r="F305" s="177">
        <f>VLOOKUP($A305,K0kommunestruktur2019!$A$4:$N$425,K0kommunestruktur2020!F$3,FALSE)</f>
        <v>12235</v>
      </c>
      <c r="G305" s="289">
        <f>VLOOKUP($A305,K0kommunestruktur2019!$A$4:$N$425,K0kommunestruktur2020!G$3,FALSE)</f>
        <v>469</v>
      </c>
      <c r="H305" s="177">
        <f>VLOOKUP($A305,K0kommunestruktur2019!$A$4:$N$425,K0kommunestruktur2020!H$3,FALSE)</f>
        <v>12455</v>
      </c>
      <c r="I305" s="289">
        <f>VLOOKUP($A305,K0kommunestruktur2019!$A$4:$N$425,K0kommunestruktur2020!I$3,FALSE)</f>
        <v>469</v>
      </c>
      <c r="J305" s="177">
        <f>VLOOKUP($A305,K0kommunestruktur2019!$A$4:$N$425,K0kommunestruktur2020!J$3,FALSE)</f>
        <v>12378</v>
      </c>
      <c r="K305" s="289">
        <f>VLOOKUP($A305,K0kommunestruktur2019!$A$4:$N$425,K0kommunestruktur2020!K$3,FALSE)</f>
        <v>474</v>
      </c>
      <c r="L305" s="177">
        <f>VLOOKUP($A305,K0kommunestruktur2019!$A$4:$N$425,K0kommunestruktur2020!L$3,FALSE)</f>
        <v>13341</v>
      </c>
      <c r="M305" s="289">
        <f>VLOOKUP($A305,K0kommunestruktur2019!$A$4:$N$425,K0kommunestruktur2020!M$3,FALSE)</f>
        <v>482</v>
      </c>
      <c r="N305" s="177">
        <f>VLOOKUP($A305,K0kommunestruktur2019!$A$4:$N$425,K0kommunestruktur2020!N$3,FALSE)</f>
        <v>11848</v>
      </c>
      <c r="O305" s="289">
        <f>VLOOKUP(A305,'K20'!$A$4:$BV$359,3)</f>
        <v>461</v>
      </c>
      <c r="P305" s="289">
        <f>VLOOKUP(A305,'K20'!$A$4:$BV$359,26)</f>
        <v>12059</v>
      </c>
      <c r="R305" s="517"/>
      <c r="S305" s="517"/>
      <c r="T305" s="517"/>
    </row>
    <row r="306" spans="1:20" ht="13">
      <c r="A306" s="865">
        <v>5044</v>
      </c>
      <c r="B306" s="866" t="s">
        <v>165</v>
      </c>
      <c r="C306" s="289">
        <f>VLOOKUP($A306,K0kommunestruktur2019!$A$4:$N$425,K0kommunestruktur2020!C$3,FALSE)</f>
        <v>922</v>
      </c>
      <c r="D306" s="177">
        <f>VLOOKUP($A306,K0kommunestruktur2019!$A$4:$N$425,K0kommunestruktur2020!D$3,FALSE)</f>
        <v>25379</v>
      </c>
      <c r="E306" s="289">
        <f>VLOOKUP($A306,K0kommunestruktur2019!$A$4:$N$425,K0kommunestruktur2020!E$3,FALSE)</f>
        <v>892</v>
      </c>
      <c r="F306" s="177">
        <f>VLOOKUP($A306,K0kommunestruktur2019!$A$4:$N$425,K0kommunestruktur2020!F$3,FALSE)</f>
        <v>25338</v>
      </c>
      <c r="G306" s="289">
        <f>VLOOKUP($A306,K0kommunestruktur2019!$A$4:$N$425,K0kommunestruktur2020!G$3,FALSE)</f>
        <v>867</v>
      </c>
      <c r="H306" s="177">
        <f>VLOOKUP($A306,K0kommunestruktur2019!$A$4:$N$425,K0kommunestruktur2020!H$3,FALSE)</f>
        <v>27663</v>
      </c>
      <c r="I306" s="289">
        <f>VLOOKUP($A306,K0kommunestruktur2019!$A$4:$N$425,K0kommunestruktur2020!I$3,FALSE)</f>
        <v>872</v>
      </c>
      <c r="J306" s="177">
        <f>VLOOKUP($A306,K0kommunestruktur2019!$A$4:$N$425,K0kommunestruktur2020!J$3,FALSE)</f>
        <v>27937</v>
      </c>
      <c r="K306" s="289">
        <f>VLOOKUP($A306,K0kommunestruktur2019!$A$4:$N$425,K0kommunestruktur2020!K$3,FALSE)</f>
        <v>902</v>
      </c>
      <c r="L306" s="177">
        <f>VLOOKUP($A306,K0kommunestruktur2019!$A$4:$N$425,K0kommunestruktur2020!L$3,FALSE)</f>
        <v>29002</v>
      </c>
      <c r="M306" s="289">
        <f>VLOOKUP($A306,K0kommunestruktur2019!$A$4:$N$425,K0kommunestruktur2020!M$3,FALSE)</f>
        <v>871</v>
      </c>
      <c r="N306" s="177">
        <f>VLOOKUP($A306,K0kommunestruktur2019!$A$4:$N$425,K0kommunestruktur2020!N$3,FALSE)</f>
        <v>29273</v>
      </c>
      <c r="O306" s="289">
        <f>VLOOKUP(A306,'K20'!$A$4:$BV$359,3)</f>
        <v>843</v>
      </c>
      <c r="P306" s="289">
        <f>VLOOKUP(A306,'K20'!$A$4:$BV$359,26)</f>
        <v>28469</v>
      </c>
      <c r="R306" s="517"/>
      <c r="S306" s="517"/>
      <c r="T306" s="517"/>
    </row>
    <row r="307" spans="1:20" ht="13">
      <c r="A307" s="865">
        <v>5045</v>
      </c>
      <c r="B307" s="866" t="s">
        <v>166</v>
      </c>
      <c r="C307" s="289">
        <f>VLOOKUP($A307,K0kommunestruktur2019!$A$4:$N$425,K0kommunestruktur2020!C$3,FALSE)</f>
        <v>2449</v>
      </c>
      <c r="D307" s="177">
        <f>VLOOKUP($A307,K0kommunestruktur2019!$A$4:$N$425,K0kommunestruktur2020!D$3,FALSE)</f>
        <v>50196</v>
      </c>
      <c r="E307" s="289">
        <f>VLOOKUP($A307,K0kommunestruktur2019!$A$4:$N$425,K0kommunestruktur2020!E$3,FALSE)</f>
        <v>2489</v>
      </c>
      <c r="F307" s="177">
        <f>VLOOKUP($A307,K0kommunestruktur2019!$A$4:$N$425,K0kommunestruktur2020!F$3,FALSE)</f>
        <v>52821</v>
      </c>
      <c r="G307" s="289">
        <f>VLOOKUP($A307,K0kommunestruktur2019!$A$4:$N$425,K0kommunestruktur2020!G$3,FALSE)</f>
        <v>2466</v>
      </c>
      <c r="H307" s="177">
        <f>VLOOKUP($A307,K0kommunestruktur2019!$A$4:$N$425,K0kommunestruktur2020!H$3,FALSE)</f>
        <v>57612</v>
      </c>
      <c r="I307" s="289">
        <f>VLOOKUP($A307,K0kommunestruktur2019!$A$4:$N$425,K0kommunestruktur2020!I$3,FALSE)</f>
        <v>2467</v>
      </c>
      <c r="J307" s="177">
        <f>VLOOKUP($A307,K0kommunestruktur2019!$A$4:$N$425,K0kommunestruktur2020!J$3,FALSE)</f>
        <v>60456</v>
      </c>
      <c r="K307" s="289">
        <f>VLOOKUP($A307,K0kommunestruktur2019!$A$4:$N$425,K0kommunestruktur2020!K$3,FALSE)</f>
        <v>2400</v>
      </c>
      <c r="L307" s="177">
        <f>VLOOKUP($A307,K0kommunestruktur2019!$A$4:$N$425,K0kommunestruktur2020!L$3,FALSE)</f>
        <v>62432</v>
      </c>
      <c r="M307" s="289">
        <f>VLOOKUP($A307,K0kommunestruktur2019!$A$4:$N$425,K0kommunestruktur2020!M$3,FALSE)</f>
        <v>2374</v>
      </c>
      <c r="N307" s="177">
        <f>VLOOKUP($A307,K0kommunestruktur2019!$A$4:$N$425,K0kommunestruktur2020!N$3,FALSE)</f>
        <v>64293</v>
      </c>
      <c r="O307" s="289">
        <f>VLOOKUP(A307,'K20'!$A$4:$BV$359,3)</f>
        <v>2359</v>
      </c>
      <c r="P307" s="289">
        <f>VLOOKUP(A307,'K20'!$A$4:$BV$359,26)</f>
        <v>60632</v>
      </c>
      <c r="R307" s="517"/>
      <c r="S307" s="517"/>
      <c r="T307" s="517"/>
    </row>
    <row r="308" spans="1:20" ht="13">
      <c r="A308" s="865">
        <v>5046</v>
      </c>
      <c r="B308" s="866" t="s">
        <v>167</v>
      </c>
      <c r="C308" s="289">
        <f>VLOOKUP($A308,K0kommunestruktur2019!$A$4:$N$425,K0kommunestruktur2020!C$3,FALSE)</f>
        <v>1257</v>
      </c>
      <c r="D308" s="177">
        <f>VLOOKUP($A308,K0kommunestruktur2019!$A$4:$N$425,K0kommunestruktur2020!D$3,FALSE)</f>
        <v>22187</v>
      </c>
      <c r="E308" s="289">
        <f>VLOOKUP($A308,K0kommunestruktur2019!$A$4:$N$425,K0kommunestruktur2020!E$3,FALSE)</f>
        <v>1252</v>
      </c>
      <c r="F308" s="177">
        <f>VLOOKUP($A308,K0kommunestruktur2019!$A$4:$N$425,K0kommunestruktur2020!F$3,FALSE)</f>
        <v>23151</v>
      </c>
      <c r="G308" s="289">
        <f>VLOOKUP($A308,K0kommunestruktur2019!$A$4:$N$425,K0kommunestruktur2020!G$3,FALSE)</f>
        <v>1250</v>
      </c>
      <c r="H308" s="177">
        <f>VLOOKUP($A308,K0kommunestruktur2019!$A$4:$N$425,K0kommunestruktur2020!H$3,FALSE)</f>
        <v>26653</v>
      </c>
      <c r="I308" s="289">
        <f>VLOOKUP($A308,K0kommunestruktur2019!$A$4:$N$425,K0kommunestruktur2020!I$3,FALSE)</f>
        <v>1264</v>
      </c>
      <c r="J308" s="177">
        <f>VLOOKUP($A308,K0kommunestruktur2019!$A$4:$N$425,K0kommunestruktur2020!J$3,FALSE)</f>
        <v>27648</v>
      </c>
      <c r="K308" s="289">
        <f>VLOOKUP($A308,K0kommunestruktur2019!$A$4:$N$425,K0kommunestruktur2020!K$3,FALSE)</f>
        <v>1268</v>
      </c>
      <c r="L308" s="177">
        <f>VLOOKUP($A308,K0kommunestruktur2019!$A$4:$N$425,K0kommunestruktur2020!L$3,FALSE)</f>
        <v>26225</v>
      </c>
      <c r="M308" s="289">
        <f>VLOOKUP($A308,K0kommunestruktur2019!$A$4:$N$425,K0kommunestruktur2020!M$3,FALSE)</f>
        <v>1254</v>
      </c>
      <c r="N308" s="177">
        <f>VLOOKUP($A308,K0kommunestruktur2019!$A$4:$N$425,K0kommunestruktur2020!N$3,FALSE)</f>
        <v>27502</v>
      </c>
      <c r="O308" s="289">
        <f>VLOOKUP(A308,'K20'!$A$4:$BV$359,3)</f>
        <v>1231</v>
      </c>
      <c r="P308" s="289">
        <f>VLOOKUP(A308,'K20'!$A$4:$BV$359,26)</f>
        <v>27461</v>
      </c>
      <c r="R308" s="517"/>
      <c r="S308" s="517"/>
      <c r="T308" s="517"/>
    </row>
    <row r="309" spans="1:20" ht="13">
      <c r="A309" s="865">
        <v>5047</v>
      </c>
      <c r="B309" s="866" t="s">
        <v>168</v>
      </c>
      <c r="C309" s="289">
        <f>VLOOKUP($A309,K0kommunestruktur2019!$A$4:$N$425,K0kommunestruktur2020!C$3,FALSE)</f>
        <v>3732</v>
      </c>
      <c r="D309" s="177">
        <f>VLOOKUP($A309,K0kommunestruktur2019!$A$4:$N$425,K0kommunestruktur2020!D$3,FALSE)</f>
        <v>72891</v>
      </c>
      <c r="E309" s="289">
        <f>VLOOKUP($A309,K0kommunestruktur2019!$A$4:$N$425,K0kommunestruktur2020!E$3,FALSE)</f>
        <v>3751</v>
      </c>
      <c r="F309" s="177">
        <f>VLOOKUP($A309,K0kommunestruktur2019!$A$4:$N$425,K0kommunestruktur2020!F$3,FALSE)</f>
        <v>75389</v>
      </c>
      <c r="G309" s="289">
        <f>VLOOKUP($A309,K0kommunestruktur2019!$A$4:$N$425,K0kommunestruktur2020!G$3,FALSE)</f>
        <v>3825</v>
      </c>
      <c r="H309" s="177">
        <f>VLOOKUP($A309,K0kommunestruktur2019!$A$4:$N$425,K0kommunestruktur2020!H$3,FALSE)</f>
        <v>82123</v>
      </c>
      <c r="I309" s="289">
        <f>VLOOKUP($A309,K0kommunestruktur2019!$A$4:$N$425,K0kommunestruktur2020!I$3,FALSE)</f>
        <v>3840</v>
      </c>
      <c r="J309" s="177">
        <f>VLOOKUP($A309,K0kommunestruktur2019!$A$4:$N$425,K0kommunestruktur2020!J$3,FALSE)</f>
        <v>89306</v>
      </c>
      <c r="K309" s="289">
        <f>VLOOKUP($A309,K0kommunestruktur2019!$A$4:$N$425,K0kommunestruktur2020!K$3,FALSE)</f>
        <v>3845</v>
      </c>
      <c r="L309" s="177">
        <f>VLOOKUP($A309,K0kommunestruktur2019!$A$4:$N$425,K0kommunestruktur2020!L$3,FALSE)</f>
        <v>93345</v>
      </c>
      <c r="M309" s="289">
        <f>VLOOKUP($A309,K0kommunestruktur2019!$A$4:$N$425,K0kommunestruktur2020!M$3,FALSE)</f>
        <v>3879</v>
      </c>
      <c r="N309" s="177">
        <f>VLOOKUP($A309,K0kommunestruktur2019!$A$4:$N$425,K0kommunestruktur2020!N$3,FALSE)</f>
        <v>93413</v>
      </c>
      <c r="O309" s="289">
        <f>VLOOKUP(A309,'K20'!$A$4:$BV$359,3)</f>
        <v>3884</v>
      </c>
      <c r="P309" s="289">
        <f>VLOOKUP(A309,'K20'!$A$4:$BV$359,26)</f>
        <v>92418</v>
      </c>
      <c r="R309" s="517"/>
      <c r="S309" s="517"/>
      <c r="T309" s="517"/>
    </row>
    <row r="310" spans="1:20" ht="13">
      <c r="A310" s="865">
        <v>5049</v>
      </c>
      <c r="B310" s="866" t="s">
        <v>170</v>
      </c>
      <c r="C310" s="289">
        <f>VLOOKUP($A310,K0kommunestruktur2019!$A$4:$N$425,K0kommunestruktur2020!C$3,FALSE)</f>
        <v>1120</v>
      </c>
      <c r="D310" s="177">
        <f>VLOOKUP($A310,K0kommunestruktur2019!$A$4:$N$425,K0kommunestruktur2020!D$3,FALSE)</f>
        <v>20942</v>
      </c>
      <c r="E310" s="289">
        <f>VLOOKUP($A310,K0kommunestruktur2019!$A$4:$N$425,K0kommunestruktur2020!E$3,FALSE)</f>
        <v>1119</v>
      </c>
      <c r="F310" s="177">
        <f>VLOOKUP($A310,K0kommunestruktur2019!$A$4:$N$425,K0kommunestruktur2020!F$3,FALSE)</f>
        <v>23043</v>
      </c>
      <c r="G310" s="289">
        <f>VLOOKUP($A310,K0kommunestruktur2019!$A$4:$N$425,K0kommunestruktur2020!G$3,FALSE)</f>
        <v>1103</v>
      </c>
      <c r="H310" s="177">
        <f>VLOOKUP($A310,K0kommunestruktur2019!$A$4:$N$425,K0kommunestruktur2020!H$3,FALSE)</f>
        <v>26366</v>
      </c>
      <c r="I310" s="289">
        <f>VLOOKUP($A310,K0kommunestruktur2019!$A$4:$N$425,K0kommunestruktur2020!I$3,FALSE)</f>
        <v>1090</v>
      </c>
      <c r="J310" s="177">
        <f>VLOOKUP($A310,K0kommunestruktur2019!$A$4:$N$425,K0kommunestruktur2020!J$3,FALSE)</f>
        <v>26376</v>
      </c>
      <c r="K310" s="289">
        <f>VLOOKUP($A310,K0kommunestruktur2019!$A$4:$N$425,K0kommunestruktur2020!K$3,FALSE)</f>
        <v>1105</v>
      </c>
      <c r="L310" s="177">
        <f>VLOOKUP($A310,K0kommunestruktur2019!$A$4:$N$425,K0kommunestruktur2020!L$3,FALSE)</f>
        <v>29062</v>
      </c>
      <c r="M310" s="289">
        <f>VLOOKUP($A310,K0kommunestruktur2019!$A$4:$N$425,K0kommunestruktur2020!M$3,FALSE)</f>
        <v>1103</v>
      </c>
      <c r="N310" s="177">
        <f>VLOOKUP($A310,K0kommunestruktur2019!$A$4:$N$425,K0kommunestruktur2020!N$3,FALSE)</f>
        <v>32722</v>
      </c>
      <c r="O310" s="289">
        <f>VLOOKUP(A310,'K20'!$A$4:$BV$359,3)</f>
        <v>1103</v>
      </c>
      <c r="P310" s="289">
        <f>VLOOKUP(A310,'K20'!$A$4:$BV$359,26)</f>
        <v>41284</v>
      </c>
      <c r="R310" s="517"/>
      <c r="S310" s="517"/>
      <c r="T310" s="517"/>
    </row>
    <row r="311" spans="1:20" ht="13">
      <c r="A311" s="865">
        <v>5052</v>
      </c>
      <c r="B311" s="866" t="s">
        <v>173</v>
      </c>
      <c r="C311" s="289">
        <f>VLOOKUP($A311,K0kommunestruktur2019!$A$4:$N$425,K0kommunestruktur2020!C$3,FALSE)</f>
        <v>556</v>
      </c>
      <c r="D311" s="177">
        <f>VLOOKUP($A311,K0kommunestruktur2019!$A$4:$N$425,K0kommunestruktur2020!D$3,FALSE)</f>
        <v>9934</v>
      </c>
      <c r="E311" s="289">
        <f>VLOOKUP($A311,K0kommunestruktur2019!$A$4:$N$425,K0kommunestruktur2020!E$3,FALSE)</f>
        <v>574</v>
      </c>
      <c r="F311" s="177">
        <f>VLOOKUP($A311,K0kommunestruktur2019!$A$4:$N$425,K0kommunestruktur2020!F$3,FALSE)</f>
        <v>10708</v>
      </c>
      <c r="G311" s="289">
        <f>VLOOKUP($A311,K0kommunestruktur2019!$A$4:$N$425,K0kommunestruktur2020!G$3,FALSE)</f>
        <v>562</v>
      </c>
      <c r="H311" s="177">
        <f>VLOOKUP($A311,K0kommunestruktur2019!$A$4:$N$425,K0kommunestruktur2020!H$3,FALSE)</f>
        <v>11579</v>
      </c>
      <c r="I311" s="289">
        <f>VLOOKUP($A311,K0kommunestruktur2019!$A$4:$N$425,K0kommunestruktur2020!I$3,FALSE)</f>
        <v>584</v>
      </c>
      <c r="J311" s="177">
        <f>VLOOKUP($A311,K0kommunestruktur2019!$A$4:$N$425,K0kommunestruktur2020!J$3,FALSE)</f>
        <v>12951</v>
      </c>
      <c r="K311" s="289">
        <f>VLOOKUP($A311,K0kommunestruktur2019!$A$4:$N$425,K0kommunestruktur2020!K$3,FALSE)</f>
        <v>582</v>
      </c>
      <c r="L311" s="177">
        <f>VLOOKUP($A311,K0kommunestruktur2019!$A$4:$N$425,K0kommunestruktur2020!L$3,FALSE)</f>
        <v>13678</v>
      </c>
      <c r="M311" s="289">
        <f>VLOOKUP($A311,K0kommunestruktur2019!$A$4:$N$425,K0kommunestruktur2020!M$3,FALSE)</f>
        <v>567</v>
      </c>
      <c r="N311" s="177">
        <f>VLOOKUP($A311,K0kommunestruktur2019!$A$4:$N$425,K0kommunestruktur2020!N$3,FALSE)</f>
        <v>13553</v>
      </c>
      <c r="O311" s="289">
        <f>VLOOKUP(A311,'K20'!$A$4:$BV$359,3)</f>
        <v>557</v>
      </c>
      <c r="P311" s="289">
        <f>VLOOKUP(A311,'K20'!$A$4:$BV$359,26)</f>
        <v>13835</v>
      </c>
      <c r="R311" s="517"/>
      <c r="S311" s="517"/>
      <c r="T311" s="517"/>
    </row>
    <row r="312" spans="1:20" ht="13">
      <c r="A312" s="865">
        <v>5053</v>
      </c>
      <c r="B312" s="866" t="s">
        <v>155</v>
      </c>
      <c r="C312" s="289">
        <f>VLOOKUP($A312,K0kommunestruktur2019!$A$4:$N$425,K0kommunestruktur2020!C$3,FALSE)</f>
        <v>6720</v>
      </c>
      <c r="D312" s="177">
        <f>VLOOKUP($A312,K0kommunestruktur2019!$A$4:$N$425,K0kommunestruktur2020!D$3,FALSE)</f>
        <v>126853</v>
      </c>
      <c r="E312" s="289">
        <f>VLOOKUP($A312,K0kommunestruktur2019!$A$4:$N$425,K0kommunestruktur2020!E$3,FALSE)</f>
        <v>6770</v>
      </c>
      <c r="F312" s="177">
        <f>VLOOKUP($A312,K0kommunestruktur2019!$A$4:$N$425,K0kommunestruktur2020!F$3,FALSE)</f>
        <v>138028</v>
      </c>
      <c r="G312" s="289">
        <f>VLOOKUP($A312,K0kommunestruktur2019!$A$4:$N$425,K0kommunestruktur2020!G$3,FALSE)</f>
        <v>6769</v>
      </c>
      <c r="H312" s="177">
        <f>VLOOKUP($A312,K0kommunestruktur2019!$A$4:$N$425,K0kommunestruktur2020!H$3,FALSE)</f>
        <v>148799</v>
      </c>
      <c r="I312" s="289">
        <f>VLOOKUP($A312,K0kommunestruktur2019!$A$4:$N$425,K0kommunestruktur2020!I$3,FALSE)</f>
        <v>6800</v>
      </c>
      <c r="J312" s="177">
        <f>VLOOKUP($A312,K0kommunestruktur2019!$A$4:$N$425,K0kommunestruktur2020!J$3,FALSE)</f>
        <v>153528</v>
      </c>
      <c r="K312" s="289">
        <f>VLOOKUP($A312,K0kommunestruktur2019!$A$4:$N$425,K0kommunestruktur2020!K$3,FALSE)</f>
        <v>6785</v>
      </c>
      <c r="L312" s="177">
        <f>VLOOKUP($A312,K0kommunestruktur2019!$A$4:$N$425,K0kommunestruktur2020!L$3,FALSE)</f>
        <v>157899</v>
      </c>
      <c r="M312" s="289">
        <f>VLOOKUP($A312,K0kommunestruktur2019!$A$4:$N$425,K0kommunestruktur2020!M$3,FALSE)</f>
        <v>6804</v>
      </c>
      <c r="N312" s="177">
        <f>VLOOKUP($A312,K0kommunestruktur2019!$A$4:$N$425,K0kommunestruktur2020!N$3,FALSE)</f>
        <v>163239</v>
      </c>
      <c r="O312" s="289">
        <f>VLOOKUP(A312,'K20'!$A$4:$BV$359,3)</f>
        <v>6816</v>
      </c>
      <c r="P312" s="289">
        <f>VLOOKUP(A312,'K20'!$A$4:$BV$359,26)</f>
        <v>166507</v>
      </c>
      <c r="R312" s="517"/>
      <c r="S312" s="517"/>
      <c r="T312" s="517"/>
    </row>
    <row r="313" spans="1:20" ht="13">
      <c r="A313" s="889">
        <v>5054</v>
      </c>
      <c r="B313" s="890" t="s">
        <v>1234</v>
      </c>
      <c r="C313" s="289">
        <f t="shared" ref="C313:N313" si="43">+C$574+C$575</f>
        <v>10269.42881458</v>
      </c>
      <c r="D313" s="177">
        <f t="shared" si="43"/>
        <v>183217.8449139414</v>
      </c>
      <c r="E313" s="289">
        <f t="shared" si="43"/>
        <v>10250.30136163</v>
      </c>
      <c r="F313" s="177">
        <f t="shared" si="43"/>
        <v>193435.93161786679</v>
      </c>
      <c r="G313" s="289">
        <f t="shared" si="43"/>
        <v>10243.254405289999</v>
      </c>
      <c r="H313" s="177">
        <f t="shared" si="43"/>
        <v>207333.5362435662</v>
      </c>
      <c r="I313" s="289">
        <f t="shared" si="43"/>
        <v>10175.80496596</v>
      </c>
      <c r="J313" s="177">
        <f t="shared" si="43"/>
        <v>217828.46766121162</v>
      </c>
      <c r="K313" s="289">
        <f t="shared" si="43"/>
        <v>10157.68422107</v>
      </c>
      <c r="L313" s="177">
        <f t="shared" si="43"/>
        <v>229522.38836614593</v>
      </c>
      <c r="M313" s="289">
        <f t="shared" si="43"/>
        <v>10055</v>
      </c>
      <c r="N313" s="177">
        <f t="shared" si="43"/>
        <v>233446.53634361233</v>
      </c>
      <c r="O313" s="289">
        <f>VLOOKUP(A313,'K20'!$A$4:$BV$359,3)</f>
        <v>10084</v>
      </c>
      <c r="P313" s="289">
        <f>VLOOKUP(A313,'K20'!$A$4:$BV$359,26)</f>
        <v>228796</v>
      </c>
      <c r="R313" s="517"/>
      <c r="S313" s="517"/>
      <c r="T313" s="517"/>
    </row>
    <row r="314" spans="1:20" ht="13">
      <c r="A314" s="878">
        <v>5055</v>
      </c>
      <c r="B314" s="883" t="s">
        <v>1642</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VLOOKUP(A314,'K20'!$A$4:$BV$359,3)</f>
        <v>5963</v>
      </c>
      <c r="P314" s="289">
        <f>VLOOKUP(A314,'K20'!$A$4:$BV$359,26)</f>
        <v>158118</v>
      </c>
      <c r="R314" s="517"/>
      <c r="S314" s="517"/>
      <c r="T314" s="517"/>
    </row>
    <row r="315" spans="1:20" ht="13">
      <c r="A315" s="878">
        <v>5056</v>
      </c>
      <c r="B315" s="883" t="s">
        <v>1643</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VLOOKUP(A315,'K20'!$A$4:$BV$359,3)</f>
        <v>5050</v>
      </c>
      <c r="P315" s="289">
        <f>VLOOKUP(A315,'K20'!$A$4:$BV$359,26)</f>
        <v>145800</v>
      </c>
      <c r="R315" s="517"/>
      <c r="S315" s="517"/>
      <c r="T315" s="517"/>
    </row>
    <row r="316" spans="1:20" ht="13">
      <c r="A316" s="878">
        <v>5057</v>
      </c>
      <c r="B316" s="883" t="s">
        <v>1644</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VLOOKUP(A316,'K20'!$A$4:$BV$359,3)</f>
        <v>10323</v>
      </c>
      <c r="P316" s="289">
        <f>VLOOKUP(A316,'K20'!$A$4:$BV$359,26)</f>
        <v>254501</v>
      </c>
      <c r="R316" s="517"/>
      <c r="S316" s="517"/>
      <c r="T316" s="517"/>
    </row>
    <row r="317" spans="1:20" ht="13">
      <c r="A317" s="878">
        <v>5058</v>
      </c>
      <c r="B317" s="883" t="s">
        <v>1645</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VLOOKUP(A317,'K20'!$A$4:$BV$359,3)</f>
        <v>4288</v>
      </c>
      <c r="P317" s="289">
        <f>VLOOKUP(A317,'K20'!$A$4:$BV$359,26)</f>
        <v>115391</v>
      </c>
      <c r="R317" s="517"/>
      <c r="S317" s="517"/>
      <c r="T317" s="517"/>
    </row>
    <row r="318" spans="1:20" ht="13">
      <c r="A318" s="878">
        <v>5059</v>
      </c>
      <c r="B318" s="883" t="s">
        <v>1646</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VLOOKUP(A318,'K20'!$A$4:$BV$359,3)</f>
        <v>18217</v>
      </c>
      <c r="P318" s="289">
        <f>VLOOKUP(A318,'K20'!$A$4:$BV$359,26)</f>
        <v>444283</v>
      </c>
      <c r="R318" s="517"/>
      <c r="S318" s="517"/>
      <c r="T318" s="517"/>
    </row>
    <row r="319" spans="1:20" ht="13">
      <c r="A319" s="878">
        <v>5060</v>
      </c>
      <c r="B319" s="883" t="s">
        <v>1647</v>
      </c>
      <c r="C319" s="289">
        <f t="shared" ref="C319:N319" si="49">+C$569+C$570+C$571</f>
        <v>9335.4005181299999</v>
      </c>
      <c r="D319" s="177">
        <f t="shared" si="49"/>
        <v>183438.3820724462</v>
      </c>
      <c r="E319" s="289">
        <f t="shared" si="49"/>
        <v>9394.0887046600001</v>
      </c>
      <c r="F319" s="177">
        <f t="shared" si="49"/>
        <v>193556.623315996</v>
      </c>
      <c r="G319" s="289">
        <f t="shared" si="49"/>
        <v>9462.7240414499993</v>
      </c>
      <c r="H319" s="177">
        <f t="shared" si="49"/>
        <v>216590.24445594076</v>
      </c>
      <c r="I319" s="289">
        <f t="shared" si="49"/>
        <v>9505.4967875599996</v>
      </c>
      <c r="J319" s="177">
        <f t="shared" si="49"/>
        <v>230517.24953356315</v>
      </c>
      <c r="K319" s="289">
        <f t="shared" si="49"/>
        <v>9558.2166839399997</v>
      </c>
      <c r="L319" s="177">
        <f t="shared" si="49"/>
        <v>251414.22279798469</v>
      </c>
      <c r="M319" s="289">
        <f t="shared" si="49"/>
        <v>9599</v>
      </c>
      <c r="N319" s="177">
        <f t="shared" si="49"/>
        <v>273864.94093264249</v>
      </c>
      <c r="O319" s="289">
        <f>VLOOKUP(A319,'K20'!$A$4:$BV$359,3)</f>
        <v>9623</v>
      </c>
      <c r="P319" s="289">
        <f>VLOOKUP(A319,'K20'!$A$4:$BV$359,26)</f>
        <v>278061</v>
      </c>
      <c r="R319" s="517"/>
      <c r="S319" s="517"/>
      <c r="T319" s="517"/>
    </row>
    <row r="320" spans="1:20" ht="13">
      <c r="A320" s="865">
        <v>5061</v>
      </c>
      <c r="B320" s="866" t="s">
        <v>114</v>
      </c>
      <c r="C320" s="289">
        <f>VLOOKUP($A320,K0kommunestruktur2019!$A$4:$N$425,K0kommunestruktur2020!C$3,FALSE)</f>
        <v>2046</v>
      </c>
      <c r="D320" s="177">
        <f>VLOOKUP($A320,K0kommunestruktur2019!$A$4:$N$425,K0kommunestruktur2020!D$3,FALSE)</f>
        <v>42351</v>
      </c>
      <c r="E320" s="289">
        <f>VLOOKUP($A320,K0kommunestruktur2019!$A$4:$N$425,K0kommunestruktur2020!E$3,FALSE)</f>
        <v>2038</v>
      </c>
      <c r="F320" s="177">
        <f>VLOOKUP($A320,K0kommunestruktur2019!$A$4:$N$425,K0kommunestruktur2020!F$3,FALSE)</f>
        <v>43842</v>
      </c>
      <c r="G320" s="289">
        <f>VLOOKUP($A320,K0kommunestruktur2019!$A$4:$N$425,K0kommunestruktur2020!G$3,FALSE)</f>
        <v>2036</v>
      </c>
      <c r="H320" s="177">
        <f>VLOOKUP($A320,K0kommunestruktur2019!$A$4:$N$425,K0kommunestruktur2020!H$3,FALSE)</f>
        <v>45245</v>
      </c>
      <c r="I320" s="289">
        <f>VLOOKUP($A320,K0kommunestruktur2019!$A$4:$N$425,K0kommunestruktur2020!I$3,FALSE)</f>
        <v>2026</v>
      </c>
      <c r="J320" s="177">
        <f>VLOOKUP($A320,K0kommunestruktur2019!$A$4:$N$425,K0kommunestruktur2020!J$3,FALSE)</f>
        <v>47427</v>
      </c>
      <c r="K320" s="289">
        <f>VLOOKUP($A320,K0kommunestruktur2019!$A$4:$N$425,K0kommunestruktur2020!K$3,FALSE)</f>
        <v>2039</v>
      </c>
      <c r="L320" s="177">
        <f>VLOOKUP($A320,K0kommunestruktur2019!$A$4:$N$425,K0kommunestruktur2020!L$3,FALSE)</f>
        <v>50708</v>
      </c>
      <c r="M320" s="289">
        <f>VLOOKUP($A320,K0kommunestruktur2019!$A$4:$N$425,K0kommunestruktur2020!M$3,FALSE)</f>
        <v>2028</v>
      </c>
      <c r="N320" s="177">
        <f>VLOOKUP($A320,K0kommunestruktur2019!$A$4:$N$425,K0kommunestruktur2020!N$3,FALSE)</f>
        <v>50159</v>
      </c>
      <c r="O320" s="289">
        <f>VLOOKUP(A320,'K20'!$A$4:$BV$359,3)</f>
        <v>2003</v>
      </c>
      <c r="P320" s="289">
        <f>VLOOKUP(A320,'K20'!$A$4:$BV$359,26)</f>
        <v>48517</v>
      </c>
      <c r="R320" s="517"/>
      <c r="S320" s="517"/>
      <c r="T320" s="517"/>
    </row>
    <row r="321" spans="1:20" ht="13">
      <c r="A321" s="865">
        <v>5401</v>
      </c>
      <c r="B321" s="866" t="s">
        <v>217</v>
      </c>
      <c r="C321" s="289">
        <f>VLOOKUP($A321,K0kommunestruktur2019!$A$4:$N$425,K0kommunestruktur2020!C$3,FALSE)</f>
        <v>71590</v>
      </c>
      <c r="D321" s="177">
        <f>VLOOKUP($A321,K0kommunestruktur2019!$A$4:$N$425,K0kommunestruktur2020!D$3,FALSE)</f>
        <v>1698963</v>
      </c>
      <c r="E321" s="289">
        <f>VLOOKUP($A321,K0kommunestruktur2019!$A$4:$N$425,K0kommunestruktur2020!E$3,FALSE)</f>
        <v>72681</v>
      </c>
      <c r="F321" s="177">
        <f>VLOOKUP($A321,K0kommunestruktur2019!$A$4:$N$425,K0kommunestruktur2020!F$3,FALSE)</f>
        <v>1840079</v>
      </c>
      <c r="G321" s="289">
        <f>VLOOKUP($A321,K0kommunestruktur2019!$A$4:$N$425,K0kommunestruktur2020!G$3,FALSE)</f>
        <v>73480</v>
      </c>
      <c r="H321" s="177">
        <f>VLOOKUP($A321,K0kommunestruktur2019!$A$4:$N$425,K0kommunestruktur2020!H$3,FALSE)</f>
        <v>2034480</v>
      </c>
      <c r="I321" s="289">
        <f>VLOOKUP($A321,K0kommunestruktur2019!$A$4:$N$425,K0kommunestruktur2020!I$3,FALSE)</f>
        <v>74541</v>
      </c>
      <c r="J321" s="177">
        <f>VLOOKUP($A321,K0kommunestruktur2019!$A$4:$N$425,K0kommunestruktur2020!J$3,FALSE)</f>
        <v>2166065</v>
      </c>
      <c r="K321" s="289">
        <f>VLOOKUP($A321,K0kommunestruktur2019!$A$4:$N$425,K0kommunestruktur2020!K$3,FALSE)</f>
        <v>75638</v>
      </c>
      <c r="L321" s="177">
        <f>VLOOKUP($A321,K0kommunestruktur2019!$A$4:$N$425,K0kommunestruktur2020!L$3,FALSE)</f>
        <v>2296830</v>
      </c>
      <c r="M321" s="289">
        <f>VLOOKUP($A321,K0kommunestruktur2019!$A$4:$N$425,K0kommunestruktur2020!M$3,FALSE)</f>
        <v>76649</v>
      </c>
      <c r="N321" s="177">
        <f>VLOOKUP($A321,K0kommunestruktur2019!$A$4:$N$425,K0kommunestruktur2020!N$3,FALSE)</f>
        <v>2383917</v>
      </c>
      <c r="O321" s="289">
        <f>VLOOKUP(A321,'K20'!$A$4:$BV$359,3)</f>
        <v>76974</v>
      </c>
      <c r="P321" s="289">
        <f>VLOOKUP(A321,'K20'!$A$4:$BV$359,26)</f>
        <v>2351318</v>
      </c>
      <c r="R321" s="517"/>
      <c r="S321" s="517"/>
      <c r="T321" s="517"/>
    </row>
    <row r="322" spans="1:20" ht="13">
      <c r="A322" s="865">
        <v>5402</v>
      </c>
      <c r="B322" s="866" t="s">
        <v>216</v>
      </c>
      <c r="C322" s="289">
        <f>VLOOKUP($A322,K0kommunestruktur2019!$A$4:$N$425,K0kommunestruktur2020!C$3,FALSE)</f>
        <v>24441</v>
      </c>
      <c r="D322" s="177">
        <f>VLOOKUP($A322,K0kommunestruktur2019!$A$4:$N$425,K0kommunestruktur2020!D$3,FALSE)</f>
        <v>531842</v>
      </c>
      <c r="E322" s="289">
        <f>VLOOKUP($A322,K0kommunestruktur2019!$A$4:$N$425,K0kommunestruktur2020!E$3,FALSE)</f>
        <v>24676</v>
      </c>
      <c r="F322" s="177">
        <f>VLOOKUP($A322,K0kommunestruktur2019!$A$4:$N$425,K0kommunestruktur2020!F$3,FALSE)</f>
        <v>581441</v>
      </c>
      <c r="G322" s="289">
        <f>VLOOKUP($A322,K0kommunestruktur2019!$A$4:$N$425,K0kommunestruktur2020!G$3,FALSE)</f>
        <v>24695</v>
      </c>
      <c r="H322" s="177">
        <f>VLOOKUP($A322,K0kommunestruktur2019!$A$4:$N$425,K0kommunestruktur2020!H$3,FALSE)</f>
        <v>623987</v>
      </c>
      <c r="I322" s="289">
        <f>VLOOKUP($A322,K0kommunestruktur2019!$A$4:$N$425,K0kommunestruktur2020!I$3,FALSE)</f>
        <v>24845</v>
      </c>
      <c r="J322" s="177">
        <f>VLOOKUP($A322,K0kommunestruktur2019!$A$4:$N$425,K0kommunestruktur2020!J$3,FALSE)</f>
        <v>647002</v>
      </c>
      <c r="K322" s="289">
        <f>VLOOKUP($A322,K0kommunestruktur2019!$A$4:$N$425,K0kommunestruktur2020!K$3,FALSE)</f>
        <v>24820</v>
      </c>
      <c r="L322" s="177">
        <f>VLOOKUP($A322,K0kommunestruktur2019!$A$4:$N$425,K0kommunestruktur2020!L$3,FALSE)</f>
        <v>674405</v>
      </c>
      <c r="M322" s="289">
        <f>VLOOKUP($A322,K0kommunestruktur2019!$A$4:$N$425,K0kommunestruktur2020!M$3,FALSE)</f>
        <v>24827</v>
      </c>
      <c r="N322" s="177">
        <f>VLOOKUP($A322,K0kommunestruktur2019!$A$4:$N$425,K0kommunestruktur2020!N$3,FALSE)</f>
        <v>691142</v>
      </c>
      <c r="O322" s="289">
        <f>VLOOKUP(A322,'K20'!$A$4:$BV$359,3)</f>
        <v>24703</v>
      </c>
      <c r="P322" s="289">
        <f>VLOOKUP(A322,'K20'!$A$4:$BV$359,26)</f>
        <v>665390</v>
      </c>
      <c r="R322" s="517"/>
      <c r="S322" s="517"/>
      <c r="T322" s="517"/>
    </row>
    <row r="323" spans="1:20" ht="13">
      <c r="A323" s="865">
        <v>5403</v>
      </c>
      <c r="B323" s="866" t="s">
        <v>245</v>
      </c>
      <c r="C323" s="289">
        <f>VLOOKUP($A323,K0kommunestruktur2019!$A$4:$N$425,K0kommunestruktur2020!C$3,FALSE)</f>
        <v>19822</v>
      </c>
      <c r="D323" s="177">
        <f>VLOOKUP($A323,K0kommunestruktur2019!$A$4:$N$425,K0kommunestruktur2020!D$3,FALSE)</f>
        <v>392331</v>
      </c>
      <c r="E323" s="289">
        <f>VLOOKUP($A323,K0kommunestruktur2019!$A$4:$N$425,K0kommunestruktur2020!E$3,FALSE)</f>
        <v>19898</v>
      </c>
      <c r="F323" s="177">
        <f>VLOOKUP($A323,K0kommunestruktur2019!$A$4:$N$425,K0kommunestruktur2020!F$3,FALSE)</f>
        <v>425132</v>
      </c>
      <c r="G323" s="289">
        <f>VLOOKUP($A323,K0kommunestruktur2019!$A$4:$N$425,K0kommunestruktur2020!G$3,FALSE)</f>
        <v>20097</v>
      </c>
      <c r="H323" s="177">
        <f>VLOOKUP($A323,K0kommunestruktur2019!$A$4:$N$425,K0kommunestruktur2020!H$3,FALSE)</f>
        <v>470693</v>
      </c>
      <c r="I323" s="289">
        <f>VLOOKUP($A323,K0kommunestruktur2019!$A$4:$N$425,K0kommunestruktur2020!I$3,FALSE)</f>
        <v>20446</v>
      </c>
      <c r="J323" s="177">
        <f>VLOOKUP($A323,K0kommunestruktur2019!$A$4:$N$425,K0kommunestruktur2020!J$3,FALSE)</f>
        <v>505393</v>
      </c>
      <c r="K323" s="289">
        <f>VLOOKUP($A323,K0kommunestruktur2019!$A$4:$N$425,K0kommunestruktur2020!K$3,FALSE)</f>
        <v>20635</v>
      </c>
      <c r="L323" s="177">
        <f>VLOOKUP($A323,K0kommunestruktur2019!$A$4:$N$425,K0kommunestruktur2020!L$3,FALSE)</f>
        <v>542406</v>
      </c>
      <c r="M323" s="289">
        <f>VLOOKUP($A323,K0kommunestruktur2019!$A$4:$N$425,K0kommunestruktur2020!M$3,FALSE)</f>
        <v>20665</v>
      </c>
      <c r="N323" s="177">
        <f>VLOOKUP($A323,K0kommunestruktur2019!$A$4:$N$425,K0kommunestruktur2020!N$3,FALSE)</f>
        <v>568373</v>
      </c>
      <c r="O323" s="289">
        <f>VLOOKUP(A323,'K20'!$A$4:$BV$359,3)</f>
        <v>20789</v>
      </c>
      <c r="P323" s="289">
        <f>VLOOKUP(A323,'K20'!$A$4:$BV$359,26)</f>
        <v>564534</v>
      </c>
      <c r="R323" s="517"/>
      <c r="S323" s="517"/>
      <c r="T323" s="517"/>
    </row>
    <row r="324" spans="1:20" ht="13">
      <c r="A324" s="865">
        <v>5404</v>
      </c>
      <c r="B324" s="866" t="s">
        <v>241</v>
      </c>
      <c r="C324" s="289">
        <f>VLOOKUP($A324,K0kommunestruktur2019!$A$4:$N$425,K0kommunestruktur2020!C$3,FALSE)</f>
        <v>2119</v>
      </c>
      <c r="D324" s="177">
        <f>VLOOKUP($A324,K0kommunestruktur2019!$A$4:$N$425,K0kommunestruktur2020!D$3,FALSE)</f>
        <v>39140</v>
      </c>
      <c r="E324" s="289">
        <f>VLOOKUP($A324,K0kommunestruktur2019!$A$4:$N$425,K0kommunestruktur2020!E$3,FALSE)</f>
        <v>2128</v>
      </c>
      <c r="F324" s="177">
        <f>VLOOKUP($A324,K0kommunestruktur2019!$A$4:$N$425,K0kommunestruktur2020!F$3,FALSE)</f>
        <v>41735</v>
      </c>
      <c r="G324" s="289">
        <f>VLOOKUP($A324,K0kommunestruktur2019!$A$4:$N$425,K0kommunestruktur2020!G$3,FALSE)</f>
        <v>2137</v>
      </c>
      <c r="H324" s="177">
        <f>VLOOKUP($A324,K0kommunestruktur2019!$A$4:$N$425,K0kommunestruktur2020!H$3,FALSE)</f>
        <v>46439</v>
      </c>
      <c r="I324" s="289">
        <f>VLOOKUP($A324,K0kommunestruktur2019!$A$4:$N$425,K0kommunestruktur2020!I$3,FALSE)</f>
        <v>2104</v>
      </c>
      <c r="J324" s="177">
        <f>VLOOKUP($A324,K0kommunestruktur2019!$A$4:$N$425,K0kommunestruktur2020!J$3,FALSE)</f>
        <v>46940</v>
      </c>
      <c r="K324" s="289">
        <f>VLOOKUP($A324,K0kommunestruktur2019!$A$4:$N$425,K0kommunestruktur2020!K$3,FALSE)</f>
        <v>2110</v>
      </c>
      <c r="L324" s="177">
        <f>VLOOKUP($A324,K0kommunestruktur2019!$A$4:$N$425,K0kommunestruktur2020!L$3,FALSE)</f>
        <v>46676</v>
      </c>
      <c r="M324" s="289">
        <f>VLOOKUP($A324,K0kommunestruktur2019!$A$4:$N$425,K0kommunestruktur2020!M$3,FALSE)</f>
        <v>2081</v>
      </c>
      <c r="N324" s="177">
        <f>VLOOKUP($A324,K0kommunestruktur2019!$A$4:$N$425,K0kommunestruktur2020!N$3,FALSE)</f>
        <v>47631</v>
      </c>
      <c r="O324" s="289">
        <f>VLOOKUP(A324,'K20'!$A$4:$BV$359,3)</f>
        <v>2029</v>
      </c>
      <c r="P324" s="289">
        <f>VLOOKUP(A324,'K20'!$A$4:$BV$359,26)</f>
        <v>45266</v>
      </c>
      <c r="R324" s="517"/>
      <c r="S324" s="517"/>
      <c r="T324" s="517"/>
    </row>
    <row r="325" spans="1:20" ht="13">
      <c r="A325" s="865">
        <v>5405</v>
      </c>
      <c r="B325" s="866" t="s">
        <v>242</v>
      </c>
      <c r="C325" s="289">
        <f>VLOOKUP($A325,K0kommunestruktur2019!$A$4:$N$425,K0kommunestruktur2020!C$3,FALSE)</f>
        <v>6223</v>
      </c>
      <c r="D325" s="177">
        <f>VLOOKUP($A325,K0kommunestruktur2019!$A$4:$N$425,K0kommunestruktur2020!D$3,FALSE)</f>
        <v>128264</v>
      </c>
      <c r="E325" s="289">
        <f>VLOOKUP($A325,K0kommunestruktur2019!$A$4:$N$425,K0kommunestruktur2020!E$3,FALSE)</f>
        <v>6239</v>
      </c>
      <c r="F325" s="177">
        <f>VLOOKUP($A325,K0kommunestruktur2019!$A$4:$N$425,K0kommunestruktur2020!F$3,FALSE)</f>
        <v>135985</v>
      </c>
      <c r="G325" s="289">
        <f>VLOOKUP($A325,K0kommunestruktur2019!$A$4:$N$425,K0kommunestruktur2020!G$3,FALSE)</f>
        <v>6160</v>
      </c>
      <c r="H325" s="177">
        <f>VLOOKUP($A325,K0kommunestruktur2019!$A$4:$N$425,K0kommunestruktur2020!H$3,FALSE)</f>
        <v>143163</v>
      </c>
      <c r="I325" s="289">
        <f>VLOOKUP($A325,K0kommunestruktur2019!$A$4:$N$425,K0kommunestruktur2020!I$3,FALSE)</f>
        <v>6154</v>
      </c>
      <c r="J325" s="177">
        <f>VLOOKUP($A325,K0kommunestruktur2019!$A$4:$N$425,K0kommunestruktur2020!J$3,FALSE)</f>
        <v>148082</v>
      </c>
      <c r="K325" s="289">
        <f>VLOOKUP($A325,K0kommunestruktur2019!$A$4:$N$425,K0kommunestruktur2020!K$3,FALSE)</f>
        <v>6033</v>
      </c>
      <c r="L325" s="177">
        <f>VLOOKUP($A325,K0kommunestruktur2019!$A$4:$N$425,K0kommunestruktur2020!L$3,FALSE)</f>
        <v>152909</v>
      </c>
      <c r="M325" s="289">
        <f>VLOOKUP($A325,K0kommunestruktur2019!$A$4:$N$425,K0kommunestruktur2020!M$3,FALSE)</f>
        <v>5894</v>
      </c>
      <c r="N325" s="177">
        <f>VLOOKUP($A325,K0kommunestruktur2019!$A$4:$N$425,K0kommunestruktur2020!N$3,FALSE)</f>
        <v>153202</v>
      </c>
      <c r="O325" s="289">
        <f>VLOOKUP(A325,'K20'!$A$4:$BV$359,3)</f>
        <v>5788</v>
      </c>
      <c r="P325" s="289">
        <f>VLOOKUP(A325,'K20'!$A$4:$BV$359,26)</f>
        <v>150625</v>
      </c>
      <c r="R325" s="517"/>
      <c r="S325" s="517"/>
      <c r="T325" s="517"/>
    </row>
    <row r="326" spans="1:20" ht="13">
      <c r="A326" s="878">
        <v>5406</v>
      </c>
      <c r="B326" s="883" t="s">
        <v>1648</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VLOOKUP(A326,'K20'!$A$4:$BV$359,3)</f>
        <v>11448</v>
      </c>
      <c r="P326" s="289">
        <f>VLOOKUP(A326,'K20'!$A$4:$BV$359,26)</f>
        <v>331008</v>
      </c>
      <c r="R326" s="517"/>
      <c r="S326" s="517"/>
      <c r="T326" s="517"/>
    </row>
    <row r="327" spans="1:20" ht="13">
      <c r="A327" s="865">
        <v>5411</v>
      </c>
      <c r="B327" s="866" t="s">
        <v>218</v>
      </c>
      <c r="C327" s="289">
        <f>VLOOKUP($A327,K0kommunestruktur2019!$A$4:$N$425,K0kommunestruktur2020!C$3,FALSE)</f>
        <v>3107</v>
      </c>
      <c r="D327" s="177">
        <f>VLOOKUP($A327,K0kommunestruktur2019!$A$4:$N$425,K0kommunestruktur2020!D$3,FALSE)</f>
        <v>53243</v>
      </c>
      <c r="E327" s="289">
        <f>VLOOKUP($A327,K0kommunestruktur2019!$A$4:$N$425,K0kommunestruktur2020!E$3,FALSE)</f>
        <v>3076</v>
      </c>
      <c r="F327" s="177">
        <f>VLOOKUP($A327,K0kommunestruktur2019!$A$4:$N$425,K0kommunestruktur2020!F$3,FALSE)</f>
        <v>56094</v>
      </c>
      <c r="G327" s="289">
        <f>VLOOKUP($A327,K0kommunestruktur2019!$A$4:$N$425,K0kommunestruktur2020!G$3,FALSE)</f>
        <v>3029</v>
      </c>
      <c r="H327" s="177">
        <f>VLOOKUP($A327,K0kommunestruktur2019!$A$4:$N$425,K0kommunestruktur2020!H$3,FALSE)</f>
        <v>60507</v>
      </c>
      <c r="I327" s="289">
        <f>VLOOKUP($A327,K0kommunestruktur2019!$A$4:$N$425,K0kommunestruktur2020!I$3,FALSE)</f>
        <v>2986</v>
      </c>
      <c r="J327" s="177">
        <f>VLOOKUP($A327,K0kommunestruktur2019!$A$4:$N$425,K0kommunestruktur2020!J$3,FALSE)</f>
        <v>65886</v>
      </c>
      <c r="K327" s="289">
        <f>VLOOKUP($A327,K0kommunestruktur2019!$A$4:$N$425,K0kommunestruktur2020!K$3,FALSE)</f>
        <v>2928</v>
      </c>
      <c r="L327" s="177">
        <f>VLOOKUP($A327,K0kommunestruktur2019!$A$4:$N$425,K0kommunestruktur2020!L$3,FALSE)</f>
        <v>68090</v>
      </c>
      <c r="M327" s="289">
        <f>VLOOKUP($A327,K0kommunestruktur2019!$A$4:$N$425,K0kommunestruktur2020!M$3,FALSE)</f>
        <v>2858</v>
      </c>
      <c r="N327" s="177">
        <f>VLOOKUP($A327,K0kommunestruktur2019!$A$4:$N$425,K0kommunestruktur2020!N$3,FALSE)</f>
        <v>63611</v>
      </c>
      <c r="O327" s="289">
        <f>VLOOKUP(A327,'K20'!$A$4:$BV$359,3)</f>
        <v>2839</v>
      </c>
      <c r="P327" s="289">
        <f>VLOOKUP(A327,'K20'!$A$4:$BV$359,26)</f>
        <v>61754</v>
      </c>
      <c r="R327" s="517"/>
      <c r="S327" s="517"/>
      <c r="T327" s="517"/>
    </row>
    <row r="328" spans="1:20" ht="13">
      <c r="A328" s="878">
        <v>5412</v>
      </c>
      <c r="B328" s="883" t="s">
        <v>1649</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VLOOKUP(A328,'K20'!$A$4:$BV$359,3)</f>
        <v>4216</v>
      </c>
      <c r="P328" s="289">
        <f>VLOOKUP(A328,'K20'!$A$4:$BV$359,26)</f>
        <v>101538</v>
      </c>
      <c r="R328" s="517"/>
      <c r="S328" s="517"/>
      <c r="T328" s="517"/>
    </row>
    <row r="329" spans="1:20" ht="13">
      <c r="A329" s="865">
        <v>5413</v>
      </c>
      <c r="B329" s="866" t="s">
        <v>221</v>
      </c>
      <c r="C329" s="289">
        <f>VLOOKUP($A329,K0kommunestruktur2019!$A$4:$N$425,K0kommunestruktur2020!C$3,FALSE)</f>
        <v>1436</v>
      </c>
      <c r="D329" s="177">
        <f>VLOOKUP($A329,K0kommunestruktur2019!$A$4:$N$425,K0kommunestruktur2020!D$3,FALSE)</f>
        <v>26022</v>
      </c>
      <c r="E329" s="289">
        <f>VLOOKUP($A329,K0kommunestruktur2019!$A$4:$N$425,K0kommunestruktur2020!E$3,FALSE)</f>
        <v>1410</v>
      </c>
      <c r="F329" s="177">
        <f>VLOOKUP($A329,K0kommunestruktur2019!$A$4:$N$425,K0kommunestruktur2020!F$3,FALSE)</f>
        <v>26855</v>
      </c>
      <c r="G329" s="289">
        <f>VLOOKUP($A329,K0kommunestruktur2019!$A$4:$N$425,K0kommunestruktur2020!G$3,FALSE)</f>
        <v>1403</v>
      </c>
      <c r="H329" s="177">
        <f>VLOOKUP($A329,K0kommunestruktur2019!$A$4:$N$425,K0kommunestruktur2020!H$3,FALSE)</f>
        <v>31656</v>
      </c>
      <c r="I329" s="289">
        <f>VLOOKUP($A329,K0kommunestruktur2019!$A$4:$N$425,K0kommunestruktur2020!I$3,FALSE)</f>
        <v>1394</v>
      </c>
      <c r="J329" s="177">
        <f>VLOOKUP($A329,K0kommunestruktur2019!$A$4:$N$425,K0kommunestruktur2020!J$3,FALSE)</f>
        <v>34562</v>
      </c>
      <c r="K329" s="289">
        <f>VLOOKUP($A329,K0kommunestruktur2019!$A$4:$N$425,K0kommunestruktur2020!K$3,FALSE)</f>
        <v>1380</v>
      </c>
      <c r="L329" s="177">
        <f>VLOOKUP($A329,K0kommunestruktur2019!$A$4:$N$425,K0kommunestruktur2020!L$3,FALSE)</f>
        <v>38050</v>
      </c>
      <c r="M329" s="289">
        <f>VLOOKUP($A329,K0kommunestruktur2019!$A$4:$N$425,K0kommunestruktur2020!M$3,FALSE)</f>
        <v>1375</v>
      </c>
      <c r="N329" s="177">
        <f>VLOOKUP($A329,K0kommunestruktur2019!$A$4:$N$425,K0kommunestruktur2020!N$3,FALSE)</f>
        <v>36128</v>
      </c>
      <c r="O329" s="289">
        <f>VLOOKUP(A329,'K20'!$A$4:$BV$359,3)</f>
        <v>1361</v>
      </c>
      <c r="P329" s="289">
        <f>VLOOKUP(A329,'K20'!$A$4:$BV$359,26)</f>
        <v>34850</v>
      </c>
      <c r="R329" s="517"/>
      <c r="S329" s="517"/>
      <c r="T329" s="517"/>
    </row>
    <row r="330" spans="1:20" ht="13">
      <c r="A330" s="865">
        <v>5414</v>
      </c>
      <c r="B330" s="866" t="s">
        <v>222</v>
      </c>
      <c r="C330" s="289">
        <f>VLOOKUP($A330,K0kommunestruktur2019!$A$4:$N$425,K0kommunestruktur2020!C$3,FALSE)</f>
        <v>1135</v>
      </c>
      <c r="D330" s="177">
        <f>VLOOKUP($A330,K0kommunestruktur2019!$A$4:$N$425,K0kommunestruktur2020!D$3,FALSE)</f>
        <v>19557</v>
      </c>
      <c r="E330" s="289">
        <f>VLOOKUP($A330,K0kommunestruktur2019!$A$4:$N$425,K0kommunestruktur2020!E$3,FALSE)</f>
        <v>1137</v>
      </c>
      <c r="F330" s="177">
        <f>VLOOKUP($A330,K0kommunestruktur2019!$A$4:$N$425,K0kommunestruktur2020!F$3,FALSE)</f>
        <v>20678</v>
      </c>
      <c r="G330" s="289">
        <f>VLOOKUP($A330,K0kommunestruktur2019!$A$4:$N$425,K0kommunestruktur2020!G$3,FALSE)</f>
        <v>1137</v>
      </c>
      <c r="H330" s="177">
        <f>VLOOKUP($A330,K0kommunestruktur2019!$A$4:$N$425,K0kommunestruktur2020!H$3,FALSE)</f>
        <v>22524</v>
      </c>
      <c r="I330" s="289">
        <f>VLOOKUP($A330,K0kommunestruktur2019!$A$4:$N$425,K0kommunestruktur2020!I$3,FALSE)</f>
        <v>1121</v>
      </c>
      <c r="J330" s="177">
        <f>VLOOKUP($A330,K0kommunestruktur2019!$A$4:$N$425,K0kommunestruktur2020!J$3,FALSE)</f>
        <v>24726</v>
      </c>
      <c r="K330" s="289">
        <f>VLOOKUP($A330,K0kommunestruktur2019!$A$4:$N$425,K0kommunestruktur2020!K$3,FALSE)</f>
        <v>1117</v>
      </c>
      <c r="L330" s="177">
        <f>VLOOKUP($A330,K0kommunestruktur2019!$A$4:$N$425,K0kommunestruktur2020!L$3,FALSE)</f>
        <v>26493</v>
      </c>
      <c r="M330" s="289">
        <f>VLOOKUP($A330,K0kommunestruktur2019!$A$4:$N$425,K0kommunestruktur2020!M$3,FALSE)</f>
        <v>1105</v>
      </c>
      <c r="N330" s="177">
        <f>VLOOKUP($A330,K0kommunestruktur2019!$A$4:$N$425,K0kommunestruktur2020!N$3,FALSE)</f>
        <v>28318</v>
      </c>
      <c r="O330" s="289">
        <f>VLOOKUP(A330,'K20'!$A$4:$BV$359,3)</f>
        <v>1091</v>
      </c>
      <c r="P330" s="289">
        <f>VLOOKUP(A330,'K20'!$A$4:$BV$359,26)</f>
        <v>28544</v>
      </c>
      <c r="R330" s="517"/>
      <c r="S330" s="517"/>
      <c r="T330" s="517"/>
    </row>
    <row r="331" spans="1:20" ht="13">
      <c r="A331" s="865">
        <v>5415</v>
      </c>
      <c r="B331" s="866" t="s">
        <v>223</v>
      </c>
      <c r="C331" s="289">
        <f>VLOOKUP($A331,K0kommunestruktur2019!$A$4:$N$425,K0kommunestruktur2020!C$3,FALSE)</f>
        <v>1014</v>
      </c>
      <c r="D331" s="177">
        <f>VLOOKUP($A331,K0kommunestruktur2019!$A$4:$N$425,K0kommunestruktur2020!D$3,FALSE)</f>
        <v>15717</v>
      </c>
      <c r="E331" s="289">
        <f>VLOOKUP($A331,K0kommunestruktur2019!$A$4:$N$425,K0kommunestruktur2020!E$3,FALSE)</f>
        <v>1008</v>
      </c>
      <c r="F331" s="177">
        <f>VLOOKUP($A331,K0kommunestruktur2019!$A$4:$N$425,K0kommunestruktur2020!F$3,FALSE)</f>
        <v>18284</v>
      </c>
      <c r="G331" s="289">
        <f>VLOOKUP($A331,K0kommunestruktur2019!$A$4:$N$425,K0kommunestruktur2020!G$3,FALSE)</f>
        <v>1051</v>
      </c>
      <c r="H331" s="177">
        <f>VLOOKUP($A331,K0kommunestruktur2019!$A$4:$N$425,K0kommunestruktur2020!H$3,FALSE)</f>
        <v>19351</v>
      </c>
      <c r="I331" s="289">
        <f>VLOOKUP($A331,K0kommunestruktur2019!$A$4:$N$425,K0kommunestruktur2020!I$3,FALSE)</f>
        <v>1076</v>
      </c>
      <c r="J331" s="177">
        <f>VLOOKUP($A331,K0kommunestruktur2019!$A$4:$N$425,K0kommunestruktur2020!J$3,FALSE)</f>
        <v>19972</v>
      </c>
      <c r="K331" s="289">
        <f>VLOOKUP($A331,K0kommunestruktur2019!$A$4:$N$425,K0kommunestruktur2020!K$3,FALSE)</f>
        <v>1061</v>
      </c>
      <c r="L331" s="177">
        <f>VLOOKUP($A331,K0kommunestruktur2019!$A$4:$N$425,K0kommunestruktur2020!L$3,FALSE)</f>
        <v>21842</v>
      </c>
      <c r="M331" s="289">
        <f>VLOOKUP($A331,K0kommunestruktur2019!$A$4:$N$425,K0kommunestruktur2020!M$3,FALSE)</f>
        <v>1042</v>
      </c>
      <c r="N331" s="177">
        <f>VLOOKUP($A331,K0kommunestruktur2019!$A$4:$N$425,K0kommunestruktur2020!N$3,FALSE)</f>
        <v>22320</v>
      </c>
      <c r="O331" s="289">
        <f>VLOOKUP(A331,'K20'!$A$4:$BV$359,3)</f>
        <v>1034</v>
      </c>
      <c r="P331" s="289">
        <f>VLOOKUP(A331,'K20'!$A$4:$BV$359,26)</f>
        <v>22101</v>
      </c>
      <c r="R331" s="517"/>
      <c r="S331" s="517"/>
      <c r="T331" s="517"/>
    </row>
    <row r="332" spans="1:20" ht="13">
      <c r="A332" s="865">
        <v>5416</v>
      </c>
      <c r="B332" s="866" t="s">
        <v>224</v>
      </c>
      <c r="C332" s="289">
        <f>VLOOKUP($A332,K0kommunestruktur2019!$A$4:$N$425,K0kommunestruktur2020!C$3,FALSE)</f>
        <v>3985</v>
      </c>
      <c r="D332" s="177">
        <f>VLOOKUP($A332,K0kommunestruktur2019!$A$4:$N$425,K0kommunestruktur2020!D$3,FALSE)</f>
        <v>95072</v>
      </c>
      <c r="E332" s="289">
        <f>VLOOKUP($A332,K0kommunestruktur2019!$A$4:$N$425,K0kommunestruktur2020!E$3,FALSE)</f>
        <v>4078</v>
      </c>
      <c r="F332" s="177">
        <f>VLOOKUP($A332,K0kommunestruktur2019!$A$4:$N$425,K0kommunestruktur2020!F$3,FALSE)</f>
        <v>103643</v>
      </c>
      <c r="G332" s="289">
        <f>VLOOKUP($A332,K0kommunestruktur2019!$A$4:$N$425,K0kommunestruktur2020!G$3,FALSE)</f>
        <v>4019</v>
      </c>
      <c r="H332" s="177">
        <f>VLOOKUP($A332,K0kommunestruktur2019!$A$4:$N$425,K0kommunestruktur2020!H$3,FALSE)</f>
        <v>109015</v>
      </c>
      <c r="I332" s="289">
        <f>VLOOKUP($A332,K0kommunestruktur2019!$A$4:$N$425,K0kommunestruktur2020!I$3,FALSE)</f>
        <v>3994</v>
      </c>
      <c r="J332" s="177">
        <f>VLOOKUP($A332,K0kommunestruktur2019!$A$4:$N$425,K0kommunestruktur2020!J$3,FALSE)</f>
        <v>115085</v>
      </c>
      <c r="K332" s="289">
        <f>VLOOKUP($A332,K0kommunestruktur2019!$A$4:$N$425,K0kommunestruktur2020!K$3,FALSE)</f>
        <v>3979</v>
      </c>
      <c r="L332" s="177">
        <f>VLOOKUP($A332,K0kommunestruktur2019!$A$4:$N$425,K0kommunestruktur2020!L$3,FALSE)</f>
        <v>120113</v>
      </c>
      <c r="M332" s="289">
        <f>VLOOKUP($A332,K0kommunestruktur2019!$A$4:$N$425,K0kommunestruktur2020!M$3,FALSE)</f>
        <v>4030</v>
      </c>
      <c r="N332" s="177">
        <f>VLOOKUP($A332,K0kommunestruktur2019!$A$4:$N$425,K0kommunestruktur2020!N$3,FALSE)</f>
        <v>127207</v>
      </c>
      <c r="O332" s="289">
        <f>VLOOKUP(A332,'K20'!$A$4:$BV$359,3)</f>
        <v>4005</v>
      </c>
      <c r="P332" s="289">
        <f>VLOOKUP(A332,'K20'!$A$4:$BV$359,26)</f>
        <v>121816</v>
      </c>
      <c r="R332" s="517"/>
      <c r="S332" s="517"/>
      <c r="T332" s="517"/>
    </row>
    <row r="333" spans="1:20" ht="13">
      <c r="A333" s="865">
        <v>5417</v>
      </c>
      <c r="B333" s="866" t="s">
        <v>225</v>
      </c>
      <c r="C333" s="289">
        <f>VLOOKUP($A333,K0kommunestruktur2019!$A$4:$N$425,K0kommunestruktur2020!C$3,FALSE)</f>
        <v>2223</v>
      </c>
      <c r="D333" s="177">
        <f>VLOOKUP($A333,K0kommunestruktur2019!$A$4:$N$425,K0kommunestruktur2020!D$3,FALSE)</f>
        <v>38368</v>
      </c>
      <c r="E333" s="289">
        <f>VLOOKUP($A333,K0kommunestruktur2019!$A$4:$N$425,K0kommunestruktur2020!E$3,FALSE)</f>
        <v>2219</v>
      </c>
      <c r="F333" s="177">
        <f>VLOOKUP($A333,K0kommunestruktur2019!$A$4:$N$425,K0kommunestruktur2020!F$3,FALSE)</f>
        <v>42072</v>
      </c>
      <c r="G333" s="289">
        <f>VLOOKUP($A333,K0kommunestruktur2019!$A$4:$N$425,K0kommunestruktur2020!G$3,FALSE)</f>
        <v>2230</v>
      </c>
      <c r="H333" s="177">
        <f>VLOOKUP($A333,K0kommunestruktur2019!$A$4:$N$425,K0kommunestruktur2020!H$3,FALSE)</f>
        <v>46921</v>
      </c>
      <c r="I333" s="289">
        <f>VLOOKUP($A333,K0kommunestruktur2019!$A$4:$N$425,K0kommunestruktur2020!I$3,FALSE)</f>
        <v>2220</v>
      </c>
      <c r="J333" s="177">
        <f>VLOOKUP($A333,K0kommunestruktur2019!$A$4:$N$425,K0kommunestruktur2020!J$3,FALSE)</f>
        <v>51862</v>
      </c>
      <c r="K333" s="289">
        <f>VLOOKUP($A333,K0kommunestruktur2019!$A$4:$N$425,K0kommunestruktur2020!K$3,FALSE)</f>
        <v>2226</v>
      </c>
      <c r="L333" s="177">
        <f>VLOOKUP($A333,K0kommunestruktur2019!$A$4:$N$425,K0kommunestruktur2020!L$3,FALSE)</f>
        <v>52604</v>
      </c>
      <c r="M333" s="289">
        <f>VLOOKUP($A333,K0kommunestruktur2019!$A$4:$N$425,K0kommunestruktur2020!M$3,FALSE)</f>
        <v>2183</v>
      </c>
      <c r="N333" s="177">
        <f>VLOOKUP($A333,K0kommunestruktur2019!$A$4:$N$425,K0kommunestruktur2020!N$3,FALSE)</f>
        <v>56979</v>
      </c>
      <c r="O333" s="289">
        <f>VLOOKUP(A333,'K20'!$A$4:$BV$359,3)</f>
        <v>2146</v>
      </c>
      <c r="P333" s="289">
        <f>VLOOKUP(A333,'K20'!$A$4:$BV$359,26)</f>
        <v>56569</v>
      </c>
      <c r="R333" s="517"/>
      <c r="S333" s="517"/>
      <c r="T333" s="517"/>
    </row>
    <row r="334" spans="1:20" ht="13">
      <c r="A334" s="865">
        <v>5418</v>
      </c>
      <c r="B334" s="866" t="s">
        <v>226</v>
      </c>
      <c r="C334" s="289">
        <f>VLOOKUP($A334,K0kommunestruktur2019!$A$4:$N$425,K0kommunestruktur2020!C$3,FALSE)</f>
        <v>6634</v>
      </c>
      <c r="D334" s="177">
        <f>VLOOKUP($A334,K0kommunestruktur2019!$A$4:$N$425,K0kommunestruktur2020!D$3,FALSE)</f>
        <v>149063</v>
      </c>
      <c r="E334" s="289">
        <f>VLOOKUP($A334,K0kommunestruktur2019!$A$4:$N$425,K0kommunestruktur2020!E$3,FALSE)</f>
        <v>6693</v>
      </c>
      <c r="F334" s="177">
        <f>VLOOKUP($A334,K0kommunestruktur2019!$A$4:$N$425,K0kommunestruktur2020!F$3,FALSE)</f>
        <v>166088</v>
      </c>
      <c r="G334" s="289">
        <f>VLOOKUP($A334,K0kommunestruktur2019!$A$4:$N$425,K0kommunestruktur2020!G$3,FALSE)</f>
        <v>6741</v>
      </c>
      <c r="H334" s="177">
        <f>VLOOKUP($A334,K0kommunestruktur2019!$A$4:$N$425,K0kommunestruktur2020!H$3,FALSE)</f>
        <v>179331</v>
      </c>
      <c r="I334" s="289">
        <f>VLOOKUP($A334,K0kommunestruktur2019!$A$4:$N$425,K0kommunestruktur2020!I$3,FALSE)</f>
        <v>6781</v>
      </c>
      <c r="J334" s="177">
        <f>VLOOKUP($A334,K0kommunestruktur2019!$A$4:$N$425,K0kommunestruktur2020!J$3,FALSE)</f>
        <v>187236</v>
      </c>
      <c r="K334" s="289">
        <f>VLOOKUP($A334,K0kommunestruktur2019!$A$4:$N$425,K0kommunestruktur2020!K$3,FALSE)</f>
        <v>6798</v>
      </c>
      <c r="L334" s="177">
        <f>VLOOKUP($A334,K0kommunestruktur2019!$A$4:$N$425,K0kommunestruktur2020!L$3,FALSE)</f>
        <v>184693</v>
      </c>
      <c r="M334" s="289">
        <f>VLOOKUP($A334,K0kommunestruktur2019!$A$4:$N$425,K0kommunestruktur2020!M$3,FALSE)</f>
        <v>6805</v>
      </c>
      <c r="N334" s="177">
        <f>VLOOKUP($A334,K0kommunestruktur2019!$A$4:$N$425,K0kommunestruktur2020!N$3,FALSE)</f>
        <v>195569</v>
      </c>
      <c r="O334" s="289">
        <f>VLOOKUP(A334,'K20'!$A$4:$BV$359,3)</f>
        <v>6640</v>
      </c>
      <c r="P334" s="289">
        <f>VLOOKUP(A334,'K20'!$A$4:$BV$359,26)</f>
        <v>189438</v>
      </c>
      <c r="R334" s="517"/>
      <c r="S334" s="517"/>
      <c r="T334" s="517"/>
    </row>
    <row r="335" spans="1:20" ht="13">
      <c r="A335" s="865">
        <v>5419</v>
      </c>
      <c r="B335" s="866" t="s">
        <v>227</v>
      </c>
      <c r="C335" s="289">
        <f>VLOOKUP($A335,K0kommunestruktur2019!$A$4:$N$425,K0kommunestruktur2020!C$3,FALSE)</f>
        <v>3450</v>
      </c>
      <c r="D335" s="177">
        <f>VLOOKUP($A335,K0kommunestruktur2019!$A$4:$N$425,K0kommunestruktur2020!D$3,FALSE)</f>
        <v>68185</v>
      </c>
      <c r="E335" s="289">
        <f>VLOOKUP($A335,K0kommunestruktur2019!$A$4:$N$425,K0kommunestruktur2020!E$3,FALSE)</f>
        <v>3451</v>
      </c>
      <c r="F335" s="177">
        <f>VLOOKUP($A335,K0kommunestruktur2019!$A$4:$N$425,K0kommunestruktur2020!F$3,FALSE)</f>
        <v>73491</v>
      </c>
      <c r="G335" s="289">
        <f>VLOOKUP($A335,K0kommunestruktur2019!$A$4:$N$425,K0kommunestruktur2020!G$3,FALSE)</f>
        <v>3452</v>
      </c>
      <c r="H335" s="177">
        <f>VLOOKUP($A335,K0kommunestruktur2019!$A$4:$N$425,K0kommunestruktur2020!H$3,FALSE)</f>
        <v>81156</v>
      </c>
      <c r="I335" s="289">
        <f>VLOOKUP($A335,K0kommunestruktur2019!$A$4:$N$425,K0kommunestruktur2020!I$3,FALSE)</f>
        <v>3496</v>
      </c>
      <c r="J335" s="177">
        <f>VLOOKUP($A335,K0kommunestruktur2019!$A$4:$N$425,K0kommunestruktur2020!J$3,FALSE)</f>
        <v>83904</v>
      </c>
      <c r="K335" s="289">
        <f>VLOOKUP($A335,K0kommunestruktur2019!$A$4:$N$425,K0kommunestruktur2020!K$3,FALSE)</f>
        <v>3494</v>
      </c>
      <c r="L335" s="177">
        <f>VLOOKUP($A335,K0kommunestruktur2019!$A$4:$N$425,K0kommunestruktur2020!L$3,FALSE)</f>
        <v>86393</v>
      </c>
      <c r="M335" s="289">
        <f>VLOOKUP($A335,K0kommunestruktur2019!$A$4:$N$425,K0kommunestruktur2020!M$3,FALSE)</f>
        <v>3489</v>
      </c>
      <c r="N335" s="177">
        <f>VLOOKUP($A335,K0kommunestruktur2019!$A$4:$N$425,K0kommunestruktur2020!N$3,FALSE)</f>
        <v>90759</v>
      </c>
      <c r="O335" s="289">
        <f>VLOOKUP(A335,'K20'!$A$4:$BV$359,3)</f>
        <v>3464</v>
      </c>
      <c r="P335" s="289">
        <f>VLOOKUP(A335,'K20'!$A$4:$BV$359,26)</f>
        <v>88223</v>
      </c>
      <c r="R335" s="517"/>
      <c r="S335" s="517"/>
      <c r="T335" s="517"/>
    </row>
    <row r="336" spans="1:20" ht="13">
      <c r="A336" s="865">
        <v>5420</v>
      </c>
      <c r="B336" s="866" t="s">
        <v>228</v>
      </c>
      <c r="C336" s="289">
        <f>VLOOKUP($A336,K0kommunestruktur2019!$A$4:$N$425,K0kommunestruktur2020!C$3,FALSE)</f>
        <v>1171</v>
      </c>
      <c r="D336" s="177">
        <f>VLOOKUP($A336,K0kommunestruktur2019!$A$4:$N$425,K0kommunestruktur2020!D$3,FALSE)</f>
        <v>20896</v>
      </c>
      <c r="E336" s="289">
        <f>VLOOKUP($A336,K0kommunestruktur2019!$A$4:$N$425,K0kommunestruktur2020!E$3,FALSE)</f>
        <v>1154</v>
      </c>
      <c r="F336" s="177">
        <f>VLOOKUP($A336,K0kommunestruktur2019!$A$4:$N$425,K0kommunestruktur2020!F$3,FALSE)</f>
        <v>21773</v>
      </c>
      <c r="G336" s="289">
        <f>VLOOKUP($A336,K0kommunestruktur2019!$A$4:$N$425,K0kommunestruktur2020!G$3,FALSE)</f>
        <v>1158</v>
      </c>
      <c r="H336" s="177">
        <f>VLOOKUP($A336,K0kommunestruktur2019!$A$4:$N$425,K0kommunestruktur2020!H$3,FALSE)</f>
        <v>22702</v>
      </c>
      <c r="I336" s="289">
        <f>VLOOKUP($A336,K0kommunestruktur2019!$A$4:$N$425,K0kommunestruktur2020!I$3,FALSE)</f>
        <v>1138</v>
      </c>
      <c r="J336" s="177">
        <f>VLOOKUP($A336,K0kommunestruktur2019!$A$4:$N$425,K0kommunestruktur2020!J$3,FALSE)</f>
        <v>23986</v>
      </c>
      <c r="K336" s="289">
        <f>VLOOKUP($A336,K0kommunestruktur2019!$A$4:$N$425,K0kommunestruktur2020!K$3,FALSE)</f>
        <v>1165</v>
      </c>
      <c r="L336" s="177">
        <f>VLOOKUP($A336,K0kommunestruktur2019!$A$4:$N$425,K0kommunestruktur2020!L$3,FALSE)</f>
        <v>25457</v>
      </c>
      <c r="M336" s="289">
        <f>VLOOKUP($A336,K0kommunestruktur2019!$A$4:$N$425,K0kommunestruktur2020!M$3,FALSE)</f>
        <v>1129</v>
      </c>
      <c r="N336" s="177">
        <f>VLOOKUP($A336,K0kommunestruktur2019!$A$4:$N$425,K0kommunestruktur2020!N$3,FALSE)</f>
        <v>25128</v>
      </c>
      <c r="O336" s="289">
        <f>VLOOKUP(A336,'K20'!$A$4:$BV$359,3)</f>
        <v>1083</v>
      </c>
      <c r="P336" s="289">
        <f>VLOOKUP(A336,'K20'!$A$4:$BV$359,26)</f>
        <v>24841</v>
      </c>
      <c r="R336" s="517"/>
      <c r="S336" s="517"/>
      <c r="T336" s="517"/>
    </row>
    <row r="337" spans="1:20" ht="13">
      <c r="A337" s="878">
        <v>5421</v>
      </c>
      <c r="B337" s="883" t="s">
        <v>1650</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VLOOKUP(A337,'K20'!$A$4:$BV$359,3)</f>
        <v>14851</v>
      </c>
      <c r="P337" s="289">
        <f>VLOOKUP(A337,'K20'!$A$4:$BV$359,26)</f>
        <v>376058</v>
      </c>
      <c r="R337" s="517"/>
      <c r="S337" s="517"/>
      <c r="T337" s="517"/>
    </row>
    <row r="338" spans="1:20" ht="13">
      <c r="A338" s="865">
        <v>5422</v>
      </c>
      <c r="B338" s="866" t="s">
        <v>233</v>
      </c>
      <c r="C338" s="289">
        <f>VLOOKUP($A338,K0kommunestruktur2019!$A$4:$N$425,K0kommunestruktur2020!C$3,FALSE)</f>
        <v>5593</v>
      </c>
      <c r="D338" s="177">
        <f>VLOOKUP($A338,K0kommunestruktur2019!$A$4:$N$425,K0kommunestruktur2020!D$3,FALSE)</f>
        <v>99418</v>
      </c>
      <c r="E338" s="289">
        <f>VLOOKUP($A338,K0kommunestruktur2019!$A$4:$N$425,K0kommunestruktur2020!E$3,FALSE)</f>
        <v>5720</v>
      </c>
      <c r="F338" s="177">
        <f>VLOOKUP($A338,K0kommunestruktur2019!$A$4:$N$425,K0kommunestruktur2020!F$3,FALSE)</f>
        <v>108717</v>
      </c>
      <c r="G338" s="289">
        <f>VLOOKUP($A338,K0kommunestruktur2019!$A$4:$N$425,K0kommunestruktur2020!G$3,FALSE)</f>
        <v>5701</v>
      </c>
      <c r="H338" s="177">
        <f>VLOOKUP($A338,K0kommunestruktur2019!$A$4:$N$425,K0kommunestruktur2020!H$3,FALSE)</f>
        <v>117146</v>
      </c>
      <c r="I338" s="289">
        <f>VLOOKUP($A338,K0kommunestruktur2019!$A$4:$N$425,K0kommunestruktur2020!I$3,FALSE)</f>
        <v>5685</v>
      </c>
      <c r="J338" s="177">
        <f>VLOOKUP($A338,K0kommunestruktur2019!$A$4:$N$425,K0kommunestruktur2020!J$3,FALSE)</f>
        <v>120376</v>
      </c>
      <c r="K338" s="289">
        <f>VLOOKUP($A338,K0kommunestruktur2019!$A$4:$N$425,K0kommunestruktur2020!K$3,FALSE)</f>
        <v>5653</v>
      </c>
      <c r="L338" s="177">
        <f>VLOOKUP($A338,K0kommunestruktur2019!$A$4:$N$425,K0kommunestruktur2020!L$3,FALSE)</f>
        <v>123856</v>
      </c>
      <c r="M338" s="289">
        <f>VLOOKUP($A338,K0kommunestruktur2019!$A$4:$N$425,K0kommunestruktur2020!M$3,FALSE)</f>
        <v>5625</v>
      </c>
      <c r="N338" s="177">
        <f>VLOOKUP($A338,K0kommunestruktur2019!$A$4:$N$425,K0kommunestruktur2020!N$3,FALSE)</f>
        <v>127282</v>
      </c>
      <c r="O338" s="289">
        <f>VLOOKUP(A338,'K20'!$A$4:$BV$359,3)</f>
        <v>5559</v>
      </c>
      <c r="P338" s="289">
        <f>VLOOKUP(A338,'K20'!$A$4:$BV$359,26)</f>
        <v>127465</v>
      </c>
      <c r="R338" s="517"/>
      <c r="S338" s="517"/>
      <c r="T338" s="517"/>
    </row>
    <row r="339" spans="1:20" ht="13">
      <c r="A339" s="865">
        <v>5423</v>
      </c>
      <c r="B339" s="866" t="s">
        <v>234</v>
      </c>
      <c r="C339" s="289">
        <f>VLOOKUP($A339,K0kommunestruktur2019!$A$4:$N$425,K0kommunestruktur2020!C$3,FALSE)</f>
        <v>2334</v>
      </c>
      <c r="D339" s="177">
        <f>VLOOKUP($A339,K0kommunestruktur2019!$A$4:$N$425,K0kommunestruktur2020!D$3,FALSE)</f>
        <v>41906</v>
      </c>
      <c r="E339" s="289">
        <f>VLOOKUP($A339,K0kommunestruktur2019!$A$4:$N$425,K0kommunestruktur2020!E$3,FALSE)</f>
        <v>2289</v>
      </c>
      <c r="F339" s="177">
        <f>VLOOKUP($A339,K0kommunestruktur2019!$A$4:$N$425,K0kommunestruktur2020!F$3,FALSE)</f>
        <v>46139</v>
      </c>
      <c r="G339" s="289">
        <f>VLOOKUP($A339,K0kommunestruktur2019!$A$4:$N$425,K0kommunestruktur2020!G$3,FALSE)</f>
        <v>2282</v>
      </c>
      <c r="H339" s="177">
        <f>VLOOKUP($A339,K0kommunestruktur2019!$A$4:$N$425,K0kommunestruktur2020!H$3,FALSE)</f>
        <v>49979</v>
      </c>
      <c r="I339" s="289">
        <f>VLOOKUP($A339,K0kommunestruktur2019!$A$4:$N$425,K0kommunestruktur2020!I$3,FALSE)</f>
        <v>2273</v>
      </c>
      <c r="J339" s="177">
        <f>VLOOKUP($A339,K0kommunestruktur2019!$A$4:$N$425,K0kommunestruktur2020!J$3,FALSE)</f>
        <v>53340</v>
      </c>
      <c r="K339" s="289">
        <f>VLOOKUP($A339,K0kommunestruktur2019!$A$4:$N$425,K0kommunestruktur2020!K$3,FALSE)</f>
        <v>2263</v>
      </c>
      <c r="L339" s="177">
        <f>VLOOKUP($A339,K0kommunestruktur2019!$A$4:$N$425,K0kommunestruktur2020!L$3,FALSE)</f>
        <v>57505</v>
      </c>
      <c r="M339" s="289">
        <f>VLOOKUP($A339,K0kommunestruktur2019!$A$4:$N$425,K0kommunestruktur2020!M$3,FALSE)</f>
        <v>2252</v>
      </c>
      <c r="N339" s="177">
        <f>VLOOKUP($A339,K0kommunestruktur2019!$A$4:$N$425,K0kommunestruktur2020!N$3,FALSE)</f>
        <v>59153</v>
      </c>
      <c r="O339" s="289">
        <f>VLOOKUP(A339,'K20'!$A$4:$BV$359,3)</f>
        <v>2200</v>
      </c>
      <c r="P339" s="289">
        <f>VLOOKUP(A339,'K20'!$A$4:$BV$359,26)</f>
        <v>56633</v>
      </c>
      <c r="R339" s="517"/>
      <c r="S339" s="517"/>
      <c r="T339" s="517"/>
    </row>
    <row r="340" spans="1:20" ht="13">
      <c r="A340" s="865">
        <v>5424</v>
      </c>
      <c r="B340" s="866" t="s">
        <v>235</v>
      </c>
      <c r="C340" s="289">
        <f>VLOOKUP($A340,K0kommunestruktur2019!$A$4:$N$425,K0kommunestruktur2020!C$3,FALSE)</f>
        <v>2992</v>
      </c>
      <c r="D340" s="177">
        <f>VLOOKUP($A340,K0kommunestruktur2019!$A$4:$N$425,K0kommunestruktur2020!D$3,FALSE)</f>
        <v>53448</v>
      </c>
      <c r="E340" s="289">
        <f>VLOOKUP($A340,K0kommunestruktur2019!$A$4:$N$425,K0kommunestruktur2020!E$3,FALSE)</f>
        <v>2922</v>
      </c>
      <c r="F340" s="177">
        <f>VLOOKUP($A340,K0kommunestruktur2019!$A$4:$N$425,K0kommunestruktur2020!F$3,FALSE)</f>
        <v>56189</v>
      </c>
      <c r="G340" s="289">
        <f>VLOOKUP($A340,K0kommunestruktur2019!$A$4:$N$425,K0kommunestruktur2020!G$3,FALSE)</f>
        <v>2861</v>
      </c>
      <c r="H340" s="177">
        <f>VLOOKUP($A340,K0kommunestruktur2019!$A$4:$N$425,K0kommunestruktur2020!H$3,FALSE)</f>
        <v>61736</v>
      </c>
      <c r="I340" s="289">
        <f>VLOOKUP($A340,K0kommunestruktur2019!$A$4:$N$425,K0kommunestruktur2020!I$3,FALSE)</f>
        <v>2876</v>
      </c>
      <c r="J340" s="177">
        <f>VLOOKUP($A340,K0kommunestruktur2019!$A$4:$N$425,K0kommunestruktur2020!J$3,FALSE)</f>
        <v>63968</v>
      </c>
      <c r="K340" s="289">
        <f>VLOOKUP($A340,K0kommunestruktur2019!$A$4:$N$425,K0kommunestruktur2020!K$3,FALSE)</f>
        <v>2877</v>
      </c>
      <c r="L340" s="177">
        <f>VLOOKUP($A340,K0kommunestruktur2019!$A$4:$N$425,K0kommunestruktur2020!L$3,FALSE)</f>
        <v>64289</v>
      </c>
      <c r="M340" s="289">
        <f>VLOOKUP($A340,K0kommunestruktur2019!$A$4:$N$425,K0kommunestruktur2020!M$3,FALSE)</f>
        <v>2847</v>
      </c>
      <c r="N340" s="177">
        <f>VLOOKUP($A340,K0kommunestruktur2019!$A$4:$N$425,K0kommunestruktur2020!N$3,FALSE)</f>
        <v>65153</v>
      </c>
      <c r="O340" s="289">
        <f>VLOOKUP(A340,'K20'!$A$4:$BV$359,3)</f>
        <v>2794</v>
      </c>
      <c r="P340" s="289">
        <f>VLOOKUP(A340,'K20'!$A$4:$BV$359,26)</f>
        <v>63654</v>
      </c>
      <c r="R340" s="517"/>
      <c r="S340" s="517"/>
      <c r="T340" s="517"/>
    </row>
    <row r="341" spans="1:20" ht="13">
      <c r="A341" s="865">
        <v>5425</v>
      </c>
      <c r="B341" s="866" t="s">
        <v>236</v>
      </c>
      <c r="C341" s="289">
        <f>VLOOKUP($A341,K0kommunestruktur2019!$A$4:$N$425,K0kommunestruktur2020!C$3,FALSE)</f>
        <v>1941</v>
      </c>
      <c r="D341" s="177">
        <f>VLOOKUP($A341,K0kommunestruktur2019!$A$4:$N$425,K0kommunestruktur2020!D$3,FALSE)</f>
        <v>38933</v>
      </c>
      <c r="E341" s="289">
        <f>VLOOKUP($A341,K0kommunestruktur2019!$A$4:$N$425,K0kommunestruktur2020!E$3,FALSE)</f>
        <v>1898</v>
      </c>
      <c r="F341" s="177">
        <f>VLOOKUP($A341,K0kommunestruktur2019!$A$4:$N$425,K0kommunestruktur2020!F$3,FALSE)</f>
        <v>45189</v>
      </c>
      <c r="G341" s="289">
        <f>VLOOKUP($A341,K0kommunestruktur2019!$A$4:$N$425,K0kommunestruktur2020!G$3,FALSE)</f>
        <v>1865</v>
      </c>
      <c r="H341" s="177">
        <f>VLOOKUP($A341,K0kommunestruktur2019!$A$4:$N$425,K0kommunestruktur2020!H$3,FALSE)</f>
        <v>43833</v>
      </c>
      <c r="I341" s="289">
        <f>VLOOKUP($A341,K0kommunestruktur2019!$A$4:$N$425,K0kommunestruktur2020!I$3,FALSE)</f>
        <v>1890</v>
      </c>
      <c r="J341" s="177">
        <f>VLOOKUP($A341,K0kommunestruktur2019!$A$4:$N$425,K0kommunestruktur2020!J$3,FALSE)</f>
        <v>47106</v>
      </c>
      <c r="K341" s="289">
        <f>VLOOKUP($A341,K0kommunestruktur2019!$A$4:$N$425,K0kommunestruktur2020!K$3,FALSE)</f>
        <v>1856</v>
      </c>
      <c r="L341" s="177">
        <f>VLOOKUP($A341,K0kommunestruktur2019!$A$4:$N$425,K0kommunestruktur2020!L$3,FALSE)</f>
        <v>51883</v>
      </c>
      <c r="M341" s="289">
        <f>VLOOKUP($A341,K0kommunestruktur2019!$A$4:$N$425,K0kommunestruktur2020!M$3,FALSE)</f>
        <v>1841</v>
      </c>
      <c r="N341" s="177">
        <f>VLOOKUP($A341,K0kommunestruktur2019!$A$4:$N$425,K0kommunestruktur2020!N$3,FALSE)</f>
        <v>50896</v>
      </c>
      <c r="O341" s="289">
        <f>VLOOKUP(A341,'K20'!$A$4:$BV$359,3)</f>
        <v>1829</v>
      </c>
      <c r="P341" s="289">
        <f>VLOOKUP(A341,'K20'!$A$4:$BV$359,26)</f>
        <v>53772</v>
      </c>
      <c r="R341" s="517"/>
      <c r="S341" s="517"/>
      <c r="T341" s="517"/>
    </row>
    <row r="342" spans="1:20" ht="13">
      <c r="A342" s="865">
        <v>5426</v>
      </c>
      <c r="B342" s="866" t="s">
        <v>237</v>
      </c>
      <c r="C342" s="289">
        <f>VLOOKUP($A342,K0kommunestruktur2019!$A$4:$N$425,K0kommunestruktur2020!C$3,FALSE)</f>
        <v>2221</v>
      </c>
      <c r="D342" s="177">
        <f>VLOOKUP($A342,K0kommunestruktur2019!$A$4:$N$425,K0kommunestruktur2020!D$3,FALSE)</f>
        <v>39815</v>
      </c>
      <c r="E342" s="289">
        <f>VLOOKUP($A342,K0kommunestruktur2019!$A$4:$N$425,K0kommunestruktur2020!E$3,FALSE)</f>
        <v>2182</v>
      </c>
      <c r="F342" s="177">
        <f>VLOOKUP($A342,K0kommunestruktur2019!$A$4:$N$425,K0kommunestruktur2020!F$3,FALSE)</f>
        <v>43608</v>
      </c>
      <c r="G342" s="289">
        <f>VLOOKUP($A342,K0kommunestruktur2019!$A$4:$N$425,K0kommunestruktur2020!G$3,FALSE)</f>
        <v>2150</v>
      </c>
      <c r="H342" s="177">
        <f>VLOOKUP($A342,K0kommunestruktur2019!$A$4:$N$425,K0kommunestruktur2020!H$3,FALSE)</f>
        <v>44224</v>
      </c>
      <c r="I342" s="289">
        <f>VLOOKUP($A342,K0kommunestruktur2019!$A$4:$N$425,K0kommunestruktur2020!I$3,FALSE)</f>
        <v>2132</v>
      </c>
      <c r="J342" s="177">
        <f>VLOOKUP($A342,K0kommunestruktur2019!$A$4:$N$425,K0kommunestruktur2020!J$3,FALSE)</f>
        <v>48957</v>
      </c>
      <c r="K342" s="289">
        <f>VLOOKUP($A342,K0kommunestruktur2019!$A$4:$N$425,K0kommunestruktur2020!K$3,FALSE)</f>
        <v>2132</v>
      </c>
      <c r="L342" s="177">
        <f>VLOOKUP($A342,K0kommunestruktur2019!$A$4:$N$425,K0kommunestruktur2020!L$3,FALSE)</f>
        <v>51110</v>
      </c>
      <c r="M342" s="289">
        <f>VLOOKUP($A342,K0kommunestruktur2019!$A$4:$N$425,K0kommunestruktur2020!M$3,FALSE)</f>
        <v>2097</v>
      </c>
      <c r="N342" s="177">
        <f>VLOOKUP($A342,K0kommunestruktur2019!$A$4:$N$425,K0kommunestruktur2020!N$3,FALSE)</f>
        <v>51415</v>
      </c>
      <c r="O342" s="289">
        <f>VLOOKUP(A342,'K20'!$A$4:$BV$359,3)</f>
        <v>2071</v>
      </c>
      <c r="P342" s="289">
        <f>VLOOKUP(A342,'K20'!$A$4:$BV$359,26)</f>
        <v>46178</v>
      </c>
      <c r="R342" s="517"/>
      <c r="S342" s="517"/>
      <c r="T342" s="517"/>
    </row>
    <row r="343" spans="1:20" ht="13">
      <c r="A343" s="865">
        <v>5427</v>
      </c>
      <c r="B343" s="866" t="s">
        <v>238</v>
      </c>
      <c r="C343" s="289">
        <f>VLOOKUP($A343,K0kommunestruktur2019!$A$4:$N$425,K0kommunestruktur2020!C$3,FALSE)</f>
        <v>2881</v>
      </c>
      <c r="D343" s="177">
        <f>VLOOKUP($A343,K0kommunestruktur2019!$A$4:$N$425,K0kommunestruktur2020!D$3,FALSE)</f>
        <v>49091</v>
      </c>
      <c r="E343" s="289">
        <f>VLOOKUP($A343,K0kommunestruktur2019!$A$4:$N$425,K0kommunestruktur2020!E$3,FALSE)</f>
        <v>2895</v>
      </c>
      <c r="F343" s="177">
        <f>VLOOKUP($A343,K0kommunestruktur2019!$A$4:$N$425,K0kommunestruktur2020!F$3,FALSE)</f>
        <v>53859</v>
      </c>
      <c r="G343" s="289">
        <f>VLOOKUP($A343,K0kommunestruktur2019!$A$4:$N$425,K0kommunestruktur2020!G$3,FALSE)</f>
        <v>2920</v>
      </c>
      <c r="H343" s="177">
        <f>VLOOKUP($A343,K0kommunestruktur2019!$A$4:$N$425,K0kommunestruktur2020!H$3,FALSE)</f>
        <v>62594</v>
      </c>
      <c r="I343" s="289">
        <f>VLOOKUP($A343,K0kommunestruktur2019!$A$4:$N$425,K0kommunestruktur2020!I$3,FALSE)</f>
        <v>2912</v>
      </c>
      <c r="J343" s="177">
        <f>VLOOKUP($A343,K0kommunestruktur2019!$A$4:$N$425,K0kommunestruktur2020!J$3,FALSE)</f>
        <v>64296</v>
      </c>
      <c r="K343" s="289">
        <f>VLOOKUP($A343,K0kommunestruktur2019!$A$4:$N$425,K0kommunestruktur2020!K$3,FALSE)</f>
        <v>2925</v>
      </c>
      <c r="L343" s="177">
        <f>VLOOKUP($A343,K0kommunestruktur2019!$A$4:$N$425,K0kommunestruktur2020!L$3,FALSE)</f>
        <v>69371</v>
      </c>
      <c r="M343" s="289">
        <f>VLOOKUP($A343,K0kommunestruktur2019!$A$4:$N$425,K0kommunestruktur2020!M$3,FALSE)</f>
        <v>2917</v>
      </c>
      <c r="N343" s="177">
        <f>VLOOKUP($A343,K0kommunestruktur2019!$A$4:$N$425,K0kommunestruktur2020!N$3,FALSE)</f>
        <v>71052</v>
      </c>
      <c r="O343" s="289">
        <f>VLOOKUP(A343,'K20'!$A$4:$BV$359,3)</f>
        <v>2927</v>
      </c>
      <c r="P343" s="289">
        <f>VLOOKUP(A343,'K20'!$A$4:$BV$359,26)</f>
        <v>73085</v>
      </c>
      <c r="R343" s="517"/>
      <c r="S343" s="517"/>
      <c r="T343" s="517"/>
    </row>
    <row r="344" spans="1:20" ht="13">
      <c r="A344" s="865">
        <v>5428</v>
      </c>
      <c r="B344" s="866" t="s">
        <v>239</v>
      </c>
      <c r="C344" s="289">
        <f>VLOOKUP($A344,K0kommunestruktur2019!$A$4:$N$425,K0kommunestruktur2020!C$3,FALSE)</f>
        <v>4854</v>
      </c>
      <c r="D344" s="177">
        <f>VLOOKUP($A344,K0kommunestruktur2019!$A$4:$N$425,K0kommunestruktur2020!D$3,FALSE)</f>
        <v>86034</v>
      </c>
      <c r="E344" s="289">
        <f>VLOOKUP($A344,K0kommunestruktur2019!$A$4:$N$425,K0kommunestruktur2020!E$3,FALSE)</f>
        <v>4882</v>
      </c>
      <c r="F344" s="177">
        <f>VLOOKUP($A344,K0kommunestruktur2019!$A$4:$N$425,K0kommunestruktur2020!F$3,FALSE)</f>
        <v>93075</v>
      </c>
      <c r="G344" s="289">
        <f>VLOOKUP($A344,K0kommunestruktur2019!$A$4:$N$425,K0kommunestruktur2020!G$3,FALSE)</f>
        <v>4895</v>
      </c>
      <c r="H344" s="177">
        <f>VLOOKUP($A344,K0kommunestruktur2019!$A$4:$N$425,K0kommunestruktur2020!H$3,FALSE)</f>
        <v>104420</v>
      </c>
      <c r="I344" s="289">
        <f>VLOOKUP($A344,K0kommunestruktur2019!$A$4:$N$425,K0kommunestruktur2020!I$3,FALSE)</f>
        <v>4919</v>
      </c>
      <c r="J344" s="177">
        <f>VLOOKUP($A344,K0kommunestruktur2019!$A$4:$N$425,K0kommunestruktur2020!J$3,FALSE)</f>
        <v>109786</v>
      </c>
      <c r="K344" s="289">
        <f>VLOOKUP($A344,K0kommunestruktur2019!$A$4:$N$425,K0kommunestruktur2020!K$3,FALSE)</f>
        <v>4944</v>
      </c>
      <c r="L344" s="177">
        <f>VLOOKUP($A344,K0kommunestruktur2019!$A$4:$N$425,K0kommunestruktur2020!L$3,FALSE)</f>
        <v>111919</v>
      </c>
      <c r="M344" s="289">
        <f>VLOOKUP($A344,K0kommunestruktur2019!$A$4:$N$425,K0kommunestruktur2020!M$3,FALSE)</f>
        <v>4909</v>
      </c>
      <c r="N344" s="177">
        <f>VLOOKUP($A344,K0kommunestruktur2019!$A$4:$N$425,K0kommunestruktur2020!N$3,FALSE)</f>
        <v>116546</v>
      </c>
      <c r="O344" s="289">
        <f>VLOOKUP(A344,'K20'!$A$4:$BV$359,3)</f>
        <v>4861</v>
      </c>
      <c r="P344" s="289">
        <f>VLOOKUP(A344,'K20'!$A$4:$BV$359,26)</f>
        <v>126293</v>
      </c>
      <c r="R344" s="517"/>
      <c r="S344" s="517"/>
      <c r="T344" s="517"/>
    </row>
    <row r="345" spans="1:20" ht="13">
      <c r="A345" s="865">
        <v>5429</v>
      </c>
      <c r="B345" s="866" t="s">
        <v>240</v>
      </c>
      <c r="C345" s="289">
        <f>VLOOKUP($A345,K0kommunestruktur2019!$A$4:$N$425,K0kommunestruktur2020!C$3,FALSE)</f>
        <v>1234</v>
      </c>
      <c r="D345" s="177">
        <f>VLOOKUP($A345,K0kommunestruktur2019!$A$4:$N$425,K0kommunestruktur2020!D$3,FALSE)</f>
        <v>21009</v>
      </c>
      <c r="E345" s="289">
        <f>VLOOKUP($A345,K0kommunestruktur2019!$A$4:$N$425,K0kommunestruktur2020!E$3,FALSE)</f>
        <v>1226</v>
      </c>
      <c r="F345" s="177">
        <f>VLOOKUP($A345,K0kommunestruktur2019!$A$4:$N$425,K0kommunestruktur2020!F$3,FALSE)</f>
        <v>27192</v>
      </c>
      <c r="G345" s="289">
        <f>VLOOKUP($A345,K0kommunestruktur2019!$A$4:$N$425,K0kommunestruktur2020!G$3,FALSE)</f>
        <v>1231</v>
      </c>
      <c r="H345" s="177">
        <f>VLOOKUP($A345,K0kommunestruktur2019!$A$4:$N$425,K0kommunestruktur2020!H$3,FALSE)</f>
        <v>30668</v>
      </c>
      <c r="I345" s="289">
        <f>VLOOKUP($A345,K0kommunestruktur2019!$A$4:$N$425,K0kommunestruktur2020!I$3,FALSE)</f>
        <v>1233</v>
      </c>
      <c r="J345" s="177">
        <f>VLOOKUP($A345,K0kommunestruktur2019!$A$4:$N$425,K0kommunestruktur2020!J$3,FALSE)</f>
        <v>30275</v>
      </c>
      <c r="K345" s="289">
        <f>VLOOKUP($A345,K0kommunestruktur2019!$A$4:$N$425,K0kommunestruktur2020!K$3,FALSE)</f>
        <v>1224</v>
      </c>
      <c r="L345" s="177">
        <f>VLOOKUP($A345,K0kommunestruktur2019!$A$4:$N$425,K0kommunestruktur2020!L$3,FALSE)</f>
        <v>32637</v>
      </c>
      <c r="M345" s="289">
        <f>VLOOKUP($A345,K0kommunestruktur2019!$A$4:$N$425,K0kommunestruktur2020!M$3,FALSE)</f>
        <v>1202</v>
      </c>
      <c r="N345" s="177">
        <f>VLOOKUP($A345,K0kommunestruktur2019!$A$4:$N$425,K0kommunestruktur2020!N$3,FALSE)</f>
        <v>32765</v>
      </c>
      <c r="O345" s="289">
        <f>VLOOKUP(A345,'K20'!$A$4:$BV$359,3)</f>
        <v>1191</v>
      </c>
      <c r="P345" s="289">
        <f>VLOOKUP(A345,'K20'!$A$4:$BV$359,26)</f>
        <v>30284</v>
      </c>
      <c r="R345" s="517"/>
      <c r="S345" s="517"/>
      <c r="T345" s="517"/>
    </row>
    <row r="346" spans="1:20" ht="13">
      <c r="A346" s="865">
        <v>5430</v>
      </c>
      <c r="B346" s="866" t="s">
        <v>244</v>
      </c>
      <c r="C346" s="289">
        <f>VLOOKUP($A346,K0kommunestruktur2019!$A$4:$N$425,K0kommunestruktur2020!C$3,FALSE)</f>
        <v>2931</v>
      </c>
      <c r="D346" s="177">
        <f>VLOOKUP($A346,K0kommunestruktur2019!$A$4:$N$425,K0kommunestruktur2020!D$3,FALSE)</f>
        <v>43023</v>
      </c>
      <c r="E346" s="289">
        <f>VLOOKUP($A346,K0kommunestruktur2019!$A$4:$N$425,K0kommunestruktur2020!E$3,FALSE)</f>
        <v>2914</v>
      </c>
      <c r="F346" s="177">
        <f>VLOOKUP($A346,K0kommunestruktur2019!$A$4:$N$425,K0kommunestruktur2020!F$3,FALSE)</f>
        <v>46407</v>
      </c>
      <c r="G346" s="289">
        <f>VLOOKUP($A346,K0kommunestruktur2019!$A$4:$N$425,K0kommunestruktur2020!G$3,FALSE)</f>
        <v>2956</v>
      </c>
      <c r="H346" s="177">
        <f>VLOOKUP($A346,K0kommunestruktur2019!$A$4:$N$425,K0kommunestruktur2020!H$3,FALSE)</f>
        <v>49253</v>
      </c>
      <c r="I346" s="289">
        <f>VLOOKUP($A346,K0kommunestruktur2019!$A$4:$N$425,K0kommunestruktur2020!I$3,FALSE)</f>
        <v>2938</v>
      </c>
      <c r="J346" s="177">
        <f>VLOOKUP($A346,K0kommunestruktur2019!$A$4:$N$425,K0kommunestruktur2020!J$3,FALSE)</f>
        <v>51161</v>
      </c>
      <c r="K346" s="289">
        <f>VLOOKUP($A346,K0kommunestruktur2019!$A$4:$N$425,K0kommunestruktur2020!K$3,FALSE)</f>
        <v>2946</v>
      </c>
      <c r="L346" s="177">
        <f>VLOOKUP($A346,K0kommunestruktur2019!$A$4:$N$425,K0kommunestruktur2020!L$3,FALSE)</f>
        <v>56500</v>
      </c>
      <c r="M346" s="289">
        <f>VLOOKUP($A346,K0kommunestruktur2019!$A$4:$N$425,K0kommunestruktur2020!M$3,FALSE)</f>
        <v>2924</v>
      </c>
      <c r="N346" s="177">
        <f>VLOOKUP($A346,K0kommunestruktur2019!$A$4:$N$425,K0kommunestruktur2020!N$3,FALSE)</f>
        <v>57512</v>
      </c>
      <c r="O346" s="289">
        <f>VLOOKUP(A346,'K20'!$A$4:$BV$359,3)</f>
        <v>2910</v>
      </c>
      <c r="P346" s="289">
        <f>VLOOKUP(A346,'K20'!$A$4:$BV$359,26)</f>
        <v>55560</v>
      </c>
      <c r="R346" s="517"/>
      <c r="S346" s="517"/>
      <c r="T346" s="517"/>
    </row>
    <row r="347" spans="1:20" ht="13">
      <c r="A347" s="865">
        <v>5432</v>
      </c>
      <c r="B347" s="866" t="s">
        <v>246</v>
      </c>
      <c r="C347" s="289">
        <f>VLOOKUP($A347,K0kommunestruktur2019!$A$4:$N$425,K0kommunestruktur2020!C$3,FALSE)</f>
        <v>1027</v>
      </c>
      <c r="D347" s="177">
        <f>VLOOKUP($A347,K0kommunestruktur2019!$A$4:$N$425,K0kommunestruktur2020!D$3,FALSE)</f>
        <v>18345</v>
      </c>
      <c r="E347" s="289">
        <f>VLOOKUP($A347,K0kommunestruktur2019!$A$4:$N$425,K0kommunestruktur2020!E$3,FALSE)</f>
        <v>989</v>
      </c>
      <c r="F347" s="177">
        <f>VLOOKUP($A347,K0kommunestruktur2019!$A$4:$N$425,K0kommunestruktur2020!F$3,FALSE)</f>
        <v>19096</v>
      </c>
      <c r="G347" s="289">
        <f>VLOOKUP($A347,K0kommunestruktur2019!$A$4:$N$425,K0kommunestruktur2020!G$3,FALSE)</f>
        <v>951</v>
      </c>
      <c r="H347" s="177">
        <f>VLOOKUP($A347,K0kommunestruktur2019!$A$4:$N$425,K0kommunestruktur2020!H$3,FALSE)</f>
        <v>20080</v>
      </c>
      <c r="I347" s="289">
        <f>VLOOKUP($A347,K0kommunestruktur2019!$A$4:$N$425,K0kommunestruktur2020!I$3,FALSE)</f>
        <v>968</v>
      </c>
      <c r="J347" s="177">
        <f>VLOOKUP($A347,K0kommunestruktur2019!$A$4:$N$425,K0kommunestruktur2020!J$3,FALSE)</f>
        <v>22235</v>
      </c>
      <c r="K347" s="289">
        <f>VLOOKUP($A347,K0kommunestruktur2019!$A$4:$N$425,K0kommunestruktur2020!K$3,FALSE)</f>
        <v>941</v>
      </c>
      <c r="L347" s="177">
        <f>VLOOKUP($A347,K0kommunestruktur2019!$A$4:$N$425,K0kommunestruktur2020!L$3,FALSE)</f>
        <v>21026</v>
      </c>
      <c r="M347" s="289">
        <f>VLOOKUP($A347,K0kommunestruktur2019!$A$4:$N$425,K0kommunestruktur2020!M$3,FALSE)</f>
        <v>917</v>
      </c>
      <c r="N347" s="177">
        <f>VLOOKUP($A347,K0kommunestruktur2019!$A$4:$N$425,K0kommunestruktur2020!N$3,FALSE)</f>
        <v>20523</v>
      </c>
      <c r="O347" s="289">
        <f>VLOOKUP(A347,'K20'!$A$4:$BV$359,3)</f>
        <v>888</v>
      </c>
      <c r="P347" s="289">
        <f>VLOOKUP(A347,'K20'!$A$4:$BV$359,26)</f>
        <v>21128</v>
      </c>
      <c r="R347" s="517"/>
      <c r="S347" s="517"/>
      <c r="T347" s="517"/>
    </row>
    <row r="348" spans="1:20" ht="13">
      <c r="A348" s="865">
        <v>5433</v>
      </c>
      <c r="B348" s="866" t="s">
        <v>247</v>
      </c>
      <c r="C348" s="289">
        <f>VLOOKUP($A348,K0kommunestruktur2019!$A$4:$N$425,K0kommunestruktur2020!C$3,FALSE)</f>
        <v>1037</v>
      </c>
      <c r="D348" s="177">
        <f>VLOOKUP($A348,K0kommunestruktur2019!$A$4:$N$425,K0kommunestruktur2020!D$3,FALSE)</f>
        <v>16494</v>
      </c>
      <c r="E348" s="289">
        <f>VLOOKUP($A348,K0kommunestruktur2019!$A$4:$N$425,K0kommunestruktur2020!E$3,FALSE)</f>
        <v>1041</v>
      </c>
      <c r="F348" s="177">
        <f>VLOOKUP($A348,K0kommunestruktur2019!$A$4:$N$425,K0kommunestruktur2020!F$3,FALSE)</f>
        <v>19180</v>
      </c>
      <c r="G348" s="289">
        <f>VLOOKUP($A348,K0kommunestruktur2019!$A$4:$N$425,K0kommunestruktur2020!G$3,FALSE)</f>
        <v>1054</v>
      </c>
      <c r="H348" s="177">
        <f>VLOOKUP($A348,K0kommunestruktur2019!$A$4:$N$425,K0kommunestruktur2020!H$3,FALSE)</f>
        <v>20250</v>
      </c>
      <c r="I348" s="289">
        <f>VLOOKUP($A348,K0kommunestruktur2019!$A$4:$N$425,K0kommunestruktur2020!I$3,FALSE)</f>
        <v>1037</v>
      </c>
      <c r="J348" s="177">
        <f>VLOOKUP($A348,K0kommunestruktur2019!$A$4:$N$425,K0kommunestruktur2020!J$3,FALSE)</f>
        <v>21765</v>
      </c>
      <c r="K348" s="289">
        <f>VLOOKUP($A348,K0kommunestruktur2019!$A$4:$N$425,K0kommunestruktur2020!K$3,FALSE)</f>
        <v>1022</v>
      </c>
      <c r="L348" s="177">
        <f>VLOOKUP($A348,K0kommunestruktur2019!$A$4:$N$425,K0kommunestruktur2020!L$3,FALSE)</f>
        <v>22383</v>
      </c>
      <c r="M348" s="289">
        <f>VLOOKUP($A348,K0kommunestruktur2019!$A$4:$N$425,K0kommunestruktur2020!M$3,FALSE)</f>
        <v>1045</v>
      </c>
      <c r="N348" s="177">
        <f>VLOOKUP($A348,K0kommunestruktur2019!$A$4:$N$425,K0kommunestruktur2020!N$3,FALSE)</f>
        <v>23442</v>
      </c>
      <c r="O348" s="289">
        <f>VLOOKUP(A348,'K20'!$A$4:$BV$359,3)</f>
        <v>1005</v>
      </c>
      <c r="P348" s="289">
        <f>VLOOKUP(A348,'K20'!$A$4:$BV$359,26)</f>
        <v>22343</v>
      </c>
      <c r="R348" s="517"/>
      <c r="S348" s="517"/>
      <c r="T348" s="517"/>
    </row>
    <row r="349" spans="1:20" ht="13">
      <c r="A349" s="865">
        <v>5434</v>
      </c>
      <c r="B349" s="866" t="s">
        <v>249</v>
      </c>
      <c r="C349" s="289">
        <f>VLOOKUP($A349,K0kommunestruktur2019!$A$4:$N$425,K0kommunestruktur2020!C$3,FALSE)</f>
        <v>1241</v>
      </c>
      <c r="D349" s="177">
        <f>VLOOKUP($A349,K0kommunestruktur2019!$A$4:$N$425,K0kommunestruktur2020!D$3,FALSE)</f>
        <v>26699</v>
      </c>
      <c r="E349" s="289">
        <f>VLOOKUP($A349,K0kommunestruktur2019!$A$4:$N$425,K0kommunestruktur2020!E$3,FALSE)</f>
        <v>1241</v>
      </c>
      <c r="F349" s="177">
        <f>VLOOKUP($A349,K0kommunestruktur2019!$A$4:$N$425,K0kommunestruktur2020!F$3,FALSE)</f>
        <v>27733</v>
      </c>
      <c r="G349" s="289">
        <f>VLOOKUP($A349,K0kommunestruktur2019!$A$4:$N$425,K0kommunestruktur2020!G$3,FALSE)</f>
        <v>1215</v>
      </c>
      <c r="H349" s="177">
        <f>VLOOKUP($A349,K0kommunestruktur2019!$A$4:$N$425,K0kommunestruktur2020!H$3,FALSE)</f>
        <v>28417</v>
      </c>
      <c r="I349" s="289">
        <f>VLOOKUP($A349,K0kommunestruktur2019!$A$4:$N$425,K0kommunestruktur2020!I$3,FALSE)</f>
        <v>1204</v>
      </c>
      <c r="J349" s="177">
        <f>VLOOKUP($A349,K0kommunestruktur2019!$A$4:$N$425,K0kommunestruktur2020!J$3,FALSE)</f>
        <v>31575</v>
      </c>
      <c r="K349" s="289">
        <f>VLOOKUP($A349,K0kommunestruktur2019!$A$4:$N$425,K0kommunestruktur2020!K$3,FALSE)</f>
        <v>1231</v>
      </c>
      <c r="L349" s="177">
        <f>VLOOKUP($A349,K0kommunestruktur2019!$A$4:$N$425,K0kommunestruktur2020!L$3,FALSE)</f>
        <v>34428</v>
      </c>
      <c r="M349" s="289">
        <f>VLOOKUP($A349,K0kommunestruktur2019!$A$4:$N$425,K0kommunestruktur2020!M$3,FALSE)</f>
        <v>1235</v>
      </c>
      <c r="N349" s="177">
        <f>VLOOKUP($A349,K0kommunestruktur2019!$A$4:$N$425,K0kommunestruktur2020!N$3,FALSE)</f>
        <v>33282</v>
      </c>
      <c r="O349" s="289">
        <f>VLOOKUP(A349,'K20'!$A$4:$BV$359,3)</f>
        <v>1225</v>
      </c>
      <c r="P349" s="289">
        <f>VLOOKUP(A349,'K20'!$A$4:$BV$359,26)</f>
        <v>36764</v>
      </c>
      <c r="R349" s="517"/>
      <c r="S349" s="517"/>
      <c r="T349" s="517"/>
    </row>
    <row r="350" spans="1:20" ht="13">
      <c r="A350" s="865">
        <v>5435</v>
      </c>
      <c r="B350" s="866" t="s">
        <v>250</v>
      </c>
      <c r="C350" s="289">
        <f>VLOOKUP($A350,K0kommunestruktur2019!$A$4:$N$425,K0kommunestruktur2020!C$3,FALSE)</f>
        <v>3213</v>
      </c>
      <c r="D350" s="177">
        <f>VLOOKUP($A350,K0kommunestruktur2019!$A$4:$N$425,K0kommunestruktur2020!D$3,FALSE)</f>
        <v>65401</v>
      </c>
      <c r="E350" s="289">
        <f>VLOOKUP($A350,K0kommunestruktur2019!$A$4:$N$425,K0kommunestruktur2020!E$3,FALSE)</f>
        <v>3278</v>
      </c>
      <c r="F350" s="177">
        <f>VLOOKUP($A350,K0kommunestruktur2019!$A$4:$N$425,K0kommunestruktur2020!F$3,FALSE)</f>
        <v>72134</v>
      </c>
      <c r="G350" s="289">
        <f>VLOOKUP($A350,K0kommunestruktur2019!$A$4:$N$425,K0kommunestruktur2020!G$3,FALSE)</f>
        <v>3276</v>
      </c>
      <c r="H350" s="177">
        <f>VLOOKUP($A350,K0kommunestruktur2019!$A$4:$N$425,K0kommunestruktur2020!H$3,FALSE)</f>
        <v>77401</v>
      </c>
      <c r="I350" s="289">
        <f>VLOOKUP($A350,K0kommunestruktur2019!$A$4:$N$425,K0kommunestruktur2020!I$3,FALSE)</f>
        <v>3291</v>
      </c>
      <c r="J350" s="177">
        <f>VLOOKUP($A350,K0kommunestruktur2019!$A$4:$N$425,K0kommunestruktur2020!J$3,FALSE)</f>
        <v>83829</v>
      </c>
      <c r="K350" s="289">
        <f>VLOOKUP($A350,K0kommunestruktur2019!$A$4:$N$425,K0kommunestruktur2020!K$3,FALSE)</f>
        <v>3239</v>
      </c>
      <c r="L350" s="177">
        <f>VLOOKUP($A350,K0kommunestruktur2019!$A$4:$N$425,K0kommunestruktur2020!L$3,FALSE)</f>
        <v>87685</v>
      </c>
      <c r="M350" s="289">
        <f>VLOOKUP($A350,K0kommunestruktur2019!$A$4:$N$425,K0kommunestruktur2020!M$3,FALSE)</f>
        <v>3218</v>
      </c>
      <c r="N350" s="177">
        <f>VLOOKUP($A350,K0kommunestruktur2019!$A$4:$N$425,K0kommunestruktur2020!N$3,FALSE)</f>
        <v>88642</v>
      </c>
      <c r="O350" s="289">
        <f>VLOOKUP(A350,'K20'!$A$4:$BV$359,3)</f>
        <v>3162</v>
      </c>
      <c r="P350" s="289">
        <f>VLOOKUP(A350,'K20'!$A$4:$BV$359,26)</f>
        <v>84073</v>
      </c>
      <c r="R350" s="517"/>
      <c r="S350" s="517"/>
      <c r="T350" s="517"/>
    </row>
    <row r="351" spans="1:20" ht="13">
      <c r="A351" s="865">
        <v>5436</v>
      </c>
      <c r="B351" s="866" t="s">
        <v>251</v>
      </c>
      <c r="C351" s="289">
        <f>VLOOKUP($A351,K0kommunestruktur2019!$A$4:$N$425,K0kommunestruktur2020!C$3,FALSE)</f>
        <v>3963</v>
      </c>
      <c r="D351" s="177">
        <f>VLOOKUP($A351,K0kommunestruktur2019!$A$4:$N$425,K0kommunestruktur2020!D$3,FALSE)</f>
        <v>76473</v>
      </c>
      <c r="E351" s="289">
        <f>VLOOKUP($A351,K0kommunestruktur2019!$A$4:$N$425,K0kommunestruktur2020!E$3,FALSE)</f>
        <v>3925</v>
      </c>
      <c r="F351" s="177">
        <f>VLOOKUP($A351,K0kommunestruktur2019!$A$4:$N$425,K0kommunestruktur2020!F$3,FALSE)</f>
        <v>83751</v>
      </c>
      <c r="G351" s="289">
        <f>VLOOKUP($A351,K0kommunestruktur2019!$A$4:$N$425,K0kommunestruktur2020!G$3,FALSE)</f>
        <v>3978</v>
      </c>
      <c r="H351" s="177">
        <f>VLOOKUP($A351,K0kommunestruktur2019!$A$4:$N$425,K0kommunestruktur2020!H$3,FALSE)</f>
        <v>90906</v>
      </c>
      <c r="I351" s="289">
        <f>VLOOKUP($A351,K0kommunestruktur2019!$A$4:$N$425,K0kommunestruktur2020!I$3,FALSE)</f>
        <v>3971</v>
      </c>
      <c r="J351" s="177">
        <f>VLOOKUP($A351,K0kommunestruktur2019!$A$4:$N$425,K0kommunestruktur2020!J$3,FALSE)</f>
        <v>92125</v>
      </c>
      <c r="K351" s="289">
        <f>VLOOKUP($A351,K0kommunestruktur2019!$A$4:$N$425,K0kommunestruktur2020!K$3,FALSE)</f>
        <v>3964</v>
      </c>
      <c r="L351" s="177">
        <f>VLOOKUP($A351,K0kommunestruktur2019!$A$4:$N$425,K0kommunestruktur2020!L$3,FALSE)</f>
        <v>95910</v>
      </c>
      <c r="M351" s="289">
        <f>VLOOKUP($A351,K0kommunestruktur2019!$A$4:$N$425,K0kommunestruktur2020!M$3,FALSE)</f>
        <v>3944</v>
      </c>
      <c r="N351" s="177">
        <f>VLOOKUP($A351,K0kommunestruktur2019!$A$4:$N$425,K0kommunestruktur2020!N$3,FALSE)</f>
        <v>100811</v>
      </c>
      <c r="O351" s="289">
        <f>VLOOKUP(A351,'K20'!$A$4:$BV$359,3)</f>
        <v>3998</v>
      </c>
      <c r="P351" s="289">
        <f>VLOOKUP(A351,'K20'!$A$4:$BV$359,26)</f>
        <v>99679</v>
      </c>
      <c r="R351" s="517"/>
      <c r="S351" s="517"/>
      <c r="T351" s="517"/>
    </row>
    <row r="352" spans="1:20" ht="13">
      <c r="A352" s="865">
        <v>5437</v>
      </c>
      <c r="B352" s="866" t="s">
        <v>252</v>
      </c>
      <c r="C352" s="289">
        <f>VLOOKUP($A352,K0kommunestruktur2019!$A$4:$N$425,K0kommunestruktur2020!C$3,FALSE)</f>
        <v>2698</v>
      </c>
      <c r="D352" s="177">
        <f>VLOOKUP($A352,K0kommunestruktur2019!$A$4:$N$425,K0kommunestruktur2020!D$3,FALSE)</f>
        <v>45269</v>
      </c>
      <c r="E352" s="289">
        <f>VLOOKUP($A352,K0kommunestruktur2019!$A$4:$N$425,K0kommunestruktur2020!E$3,FALSE)</f>
        <v>2708</v>
      </c>
      <c r="F352" s="177">
        <f>VLOOKUP($A352,K0kommunestruktur2019!$A$4:$N$425,K0kommunestruktur2020!F$3,FALSE)</f>
        <v>49630</v>
      </c>
      <c r="G352" s="289">
        <f>VLOOKUP($A352,K0kommunestruktur2019!$A$4:$N$425,K0kommunestruktur2020!G$3,FALSE)</f>
        <v>2668</v>
      </c>
      <c r="H352" s="177">
        <f>VLOOKUP($A352,K0kommunestruktur2019!$A$4:$N$425,K0kommunestruktur2020!H$3,FALSE)</f>
        <v>54018</v>
      </c>
      <c r="I352" s="289">
        <f>VLOOKUP($A352,K0kommunestruktur2019!$A$4:$N$425,K0kommunestruktur2020!I$3,FALSE)</f>
        <v>2696</v>
      </c>
      <c r="J352" s="177">
        <f>VLOOKUP($A352,K0kommunestruktur2019!$A$4:$N$425,K0kommunestruktur2020!J$3,FALSE)</f>
        <v>55305</v>
      </c>
      <c r="K352" s="289">
        <f>VLOOKUP($A352,K0kommunestruktur2019!$A$4:$N$425,K0kommunestruktur2020!K$3,FALSE)</f>
        <v>2701</v>
      </c>
      <c r="L352" s="177">
        <f>VLOOKUP($A352,K0kommunestruktur2019!$A$4:$N$425,K0kommunestruktur2020!L$3,FALSE)</f>
        <v>56961</v>
      </c>
      <c r="M352" s="289">
        <f>VLOOKUP($A352,K0kommunestruktur2019!$A$4:$N$425,K0kommunestruktur2020!M$3,FALSE)</f>
        <v>2673</v>
      </c>
      <c r="N352" s="177">
        <f>VLOOKUP($A352,K0kommunestruktur2019!$A$4:$N$425,K0kommunestruktur2020!N$3,FALSE)</f>
        <v>59811</v>
      </c>
      <c r="O352" s="289">
        <f>VLOOKUP(A352,'K20'!$A$4:$BV$359,3)</f>
        <v>2628</v>
      </c>
      <c r="P352" s="289">
        <f>VLOOKUP(A352,'K20'!$A$4:$BV$359,26)</f>
        <v>60130</v>
      </c>
      <c r="R352" s="517"/>
      <c r="S352" s="517"/>
      <c r="T352" s="517"/>
    </row>
    <row r="353" spans="1:20" ht="13">
      <c r="A353" s="865">
        <v>5438</v>
      </c>
      <c r="B353" s="866" t="s">
        <v>253</v>
      </c>
      <c r="C353" s="289">
        <f>VLOOKUP($A353,K0kommunestruktur2019!$A$4:$N$425,K0kommunestruktur2020!C$3,FALSE)</f>
        <v>1341</v>
      </c>
      <c r="D353" s="177">
        <f>VLOOKUP($A353,K0kommunestruktur2019!$A$4:$N$425,K0kommunestruktur2020!D$3,FALSE)</f>
        <v>24435</v>
      </c>
      <c r="E353" s="289">
        <f>VLOOKUP($A353,K0kommunestruktur2019!$A$4:$N$425,K0kommunestruktur2020!E$3,FALSE)</f>
        <v>1343</v>
      </c>
      <c r="F353" s="177">
        <f>VLOOKUP($A353,K0kommunestruktur2019!$A$4:$N$425,K0kommunestruktur2020!F$3,FALSE)</f>
        <v>26851</v>
      </c>
      <c r="G353" s="289">
        <f>VLOOKUP($A353,K0kommunestruktur2019!$A$4:$N$425,K0kommunestruktur2020!G$3,FALSE)</f>
        <v>1318</v>
      </c>
      <c r="H353" s="177">
        <f>VLOOKUP($A353,K0kommunestruktur2019!$A$4:$N$425,K0kommunestruktur2020!H$3,FALSE)</f>
        <v>29174</v>
      </c>
      <c r="I353" s="289">
        <f>VLOOKUP($A353,K0kommunestruktur2019!$A$4:$N$425,K0kommunestruktur2020!I$3,FALSE)</f>
        <v>1330</v>
      </c>
      <c r="J353" s="177">
        <f>VLOOKUP($A353,K0kommunestruktur2019!$A$4:$N$425,K0kommunestruktur2020!J$3,FALSE)</f>
        <v>31546</v>
      </c>
      <c r="K353" s="289">
        <f>VLOOKUP($A353,K0kommunestruktur2019!$A$4:$N$425,K0kommunestruktur2020!K$3,FALSE)</f>
        <v>1349</v>
      </c>
      <c r="L353" s="177">
        <f>VLOOKUP($A353,K0kommunestruktur2019!$A$4:$N$425,K0kommunestruktur2020!L$3,FALSE)</f>
        <v>33468</v>
      </c>
      <c r="M353" s="289">
        <f>VLOOKUP($A353,K0kommunestruktur2019!$A$4:$N$425,K0kommunestruktur2020!M$3,FALSE)</f>
        <v>1328</v>
      </c>
      <c r="N353" s="177">
        <f>VLOOKUP($A353,K0kommunestruktur2019!$A$4:$N$425,K0kommunestruktur2020!N$3,FALSE)</f>
        <v>35754</v>
      </c>
      <c r="O353" s="289">
        <f>VLOOKUP(A353,'K20'!$A$4:$BV$359,3)</f>
        <v>1290</v>
      </c>
      <c r="P353" s="289">
        <f>VLOOKUP(A353,'K20'!$A$4:$BV$359,26)</f>
        <v>37982</v>
      </c>
      <c r="R353" s="517"/>
      <c r="S353" s="517"/>
      <c r="T353" s="517"/>
    </row>
    <row r="354" spans="1:20" ht="13">
      <c r="A354" s="865">
        <v>5439</v>
      </c>
      <c r="B354" s="866" t="s">
        <v>254</v>
      </c>
      <c r="C354" s="289">
        <f>VLOOKUP($A354,K0kommunestruktur2019!$A$4:$N$425,K0kommunestruktur2020!C$3,FALSE)</f>
        <v>1098</v>
      </c>
      <c r="D354" s="177">
        <f>VLOOKUP($A354,K0kommunestruktur2019!$A$4:$N$425,K0kommunestruktur2020!D$3,FALSE)</f>
        <v>19365</v>
      </c>
      <c r="E354" s="289">
        <f>VLOOKUP($A354,K0kommunestruktur2019!$A$4:$N$425,K0kommunestruktur2020!E$3,FALSE)</f>
        <v>1116</v>
      </c>
      <c r="F354" s="177">
        <f>VLOOKUP($A354,K0kommunestruktur2019!$A$4:$N$425,K0kommunestruktur2020!F$3,FALSE)</f>
        <v>21577</v>
      </c>
      <c r="G354" s="289">
        <f>VLOOKUP($A354,K0kommunestruktur2019!$A$4:$N$425,K0kommunestruktur2020!G$3,FALSE)</f>
        <v>1139</v>
      </c>
      <c r="H354" s="177">
        <f>VLOOKUP($A354,K0kommunestruktur2019!$A$4:$N$425,K0kommunestruktur2020!H$3,FALSE)</f>
        <v>24178</v>
      </c>
      <c r="I354" s="289">
        <f>VLOOKUP($A354,K0kommunestruktur2019!$A$4:$N$425,K0kommunestruktur2020!I$3,FALSE)</f>
        <v>1137</v>
      </c>
      <c r="J354" s="177">
        <f>VLOOKUP($A354,K0kommunestruktur2019!$A$4:$N$425,K0kommunestruktur2020!J$3,FALSE)</f>
        <v>25362</v>
      </c>
      <c r="K354" s="289">
        <f>VLOOKUP($A354,K0kommunestruktur2019!$A$4:$N$425,K0kommunestruktur2020!K$3,FALSE)</f>
        <v>1153</v>
      </c>
      <c r="L354" s="177">
        <f>VLOOKUP($A354,K0kommunestruktur2019!$A$4:$N$425,K0kommunestruktur2020!L$3,FALSE)</f>
        <v>26285</v>
      </c>
      <c r="M354" s="289">
        <f>VLOOKUP($A354,K0kommunestruktur2019!$A$4:$N$425,K0kommunestruktur2020!M$3,FALSE)</f>
        <v>1169</v>
      </c>
      <c r="N354" s="177">
        <f>VLOOKUP($A354,K0kommunestruktur2019!$A$4:$N$425,K0kommunestruktur2020!N$3,FALSE)</f>
        <v>28086</v>
      </c>
      <c r="O354" s="289">
        <f>VLOOKUP(A354,'K20'!$A$4:$BV$359,3)</f>
        <v>1132</v>
      </c>
      <c r="P354" s="289">
        <f>VLOOKUP(A354,'K20'!$A$4:$BV$359,26)</f>
        <v>28849</v>
      </c>
      <c r="R354" s="517"/>
      <c r="S354" s="517"/>
      <c r="T354" s="517"/>
    </row>
    <row r="355" spans="1:20" ht="13">
      <c r="A355" s="865">
        <v>5440</v>
      </c>
      <c r="B355" s="866" t="s">
        <v>255</v>
      </c>
      <c r="C355" s="289">
        <f>VLOOKUP($A355,K0kommunestruktur2019!$A$4:$N$425,K0kommunestruktur2020!C$3,FALSE)</f>
        <v>1057</v>
      </c>
      <c r="D355" s="177">
        <f>VLOOKUP($A355,K0kommunestruktur2019!$A$4:$N$425,K0kommunestruktur2020!D$3,FALSE)</f>
        <v>20462</v>
      </c>
      <c r="E355" s="289">
        <f>VLOOKUP($A355,K0kommunestruktur2019!$A$4:$N$425,K0kommunestruktur2020!E$3,FALSE)</f>
        <v>1020</v>
      </c>
      <c r="F355" s="177">
        <f>VLOOKUP($A355,K0kommunestruktur2019!$A$4:$N$425,K0kommunestruktur2020!F$3,FALSE)</f>
        <v>20445</v>
      </c>
      <c r="G355" s="289">
        <f>VLOOKUP($A355,K0kommunestruktur2019!$A$4:$N$425,K0kommunestruktur2020!G$3,FALSE)</f>
        <v>1000</v>
      </c>
      <c r="H355" s="177">
        <f>VLOOKUP($A355,K0kommunestruktur2019!$A$4:$N$425,K0kommunestruktur2020!H$3,FALSE)</f>
        <v>22785</v>
      </c>
      <c r="I355" s="289">
        <f>VLOOKUP($A355,K0kommunestruktur2019!$A$4:$N$425,K0kommunestruktur2020!I$3,FALSE)</f>
        <v>991</v>
      </c>
      <c r="J355" s="177">
        <f>VLOOKUP($A355,K0kommunestruktur2019!$A$4:$N$425,K0kommunestruktur2020!J$3,FALSE)</f>
        <v>25243</v>
      </c>
      <c r="K355" s="289">
        <f>VLOOKUP($A355,K0kommunestruktur2019!$A$4:$N$425,K0kommunestruktur2020!K$3,FALSE)</f>
        <v>983</v>
      </c>
      <c r="L355" s="177">
        <f>VLOOKUP($A355,K0kommunestruktur2019!$A$4:$N$425,K0kommunestruktur2020!L$3,FALSE)</f>
        <v>26464</v>
      </c>
      <c r="M355" s="289">
        <f>VLOOKUP($A355,K0kommunestruktur2019!$A$4:$N$425,K0kommunestruktur2020!M$3,FALSE)</f>
        <v>981</v>
      </c>
      <c r="N355" s="177">
        <f>VLOOKUP($A355,K0kommunestruktur2019!$A$4:$N$425,K0kommunestruktur2020!N$3,FALSE)</f>
        <v>26727</v>
      </c>
      <c r="O355" s="289">
        <f>VLOOKUP(A355,'K20'!$A$4:$BV$359,3)</f>
        <v>957</v>
      </c>
      <c r="P355" s="289">
        <f>VLOOKUP(A355,'K20'!$A$4:$BV$359,26)</f>
        <v>25531</v>
      </c>
      <c r="R355" s="517"/>
      <c r="S355" s="517"/>
      <c r="T355" s="517"/>
    </row>
    <row r="356" spans="1:20" ht="13">
      <c r="A356" s="865">
        <v>5441</v>
      </c>
      <c r="B356" s="866" t="s">
        <v>256</v>
      </c>
      <c r="C356" s="289">
        <f>VLOOKUP($A356,K0kommunestruktur2019!$A$4:$N$425,K0kommunestruktur2020!C$3,FALSE)</f>
        <v>2883</v>
      </c>
      <c r="D356" s="177">
        <f>VLOOKUP($A356,K0kommunestruktur2019!$A$4:$N$425,K0kommunestruktur2020!D$3,FALSE)</f>
        <v>55367</v>
      </c>
      <c r="E356" s="289">
        <f>VLOOKUP($A356,K0kommunestruktur2019!$A$4:$N$425,K0kommunestruktur2020!E$3,FALSE)</f>
        <v>2909</v>
      </c>
      <c r="F356" s="177">
        <f>VLOOKUP($A356,K0kommunestruktur2019!$A$4:$N$425,K0kommunestruktur2020!F$3,FALSE)</f>
        <v>60979</v>
      </c>
      <c r="G356" s="289">
        <f>VLOOKUP($A356,K0kommunestruktur2019!$A$4:$N$425,K0kommunestruktur2020!G$3,FALSE)</f>
        <v>2922</v>
      </c>
      <c r="H356" s="177">
        <f>VLOOKUP($A356,K0kommunestruktur2019!$A$4:$N$425,K0kommunestruktur2020!H$3,FALSE)</f>
        <v>65869</v>
      </c>
      <c r="I356" s="289">
        <f>VLOOKUP($A356,K0kommunestruktur2019!$A$4:$N$425,K0kommunestruktur2020!I$3,FALSE)</f>
        <v>2911</v>
      </c>
      <c r="J356" s="177">
        <f>VLOOKUP($A356,K0kommunestruktur2019!$A$4:$N$425,K0kommunestruktur2020!J$3,FALSE)</f>
        <v>67666</v>
      </c>
      <c r="K356" s="289">
        <f>VLOOKUP($A356,K0kommunestruktur2019!$A$4:$N$425,K0kommunestruktur2020!K$3,FALSE)</f>
        <v>2922</v>
      </c>
      <c r="L356" s="177">
        <f>VLOOKUP($A356,K0kommunestruktur2019!$A$4:$N$425,K0kommunestruktur2020!L$3,FALSE)</f>
        <v>70134</v>
      </c>
      <c r="M356" s="289">
        <f>VLOOKUP($A356,K0kommunestruktur2019!$A$4:$N$425,K0kommunestruktur2020!M$3,FALSE)</f>
        <v>2900</v>
      </c>
      <c r="N356" s="177">
        <f>VLOOKUP($A356,K0kommunestruktur2019!$A$4:$N$425,K0kommunestruktur2020!N$3,FALSE)</f>
        <v>74703</v>
      </c>
      <c r="O356" s="289">
        <f>VLOOKUP(A356,'K20'!$A$4:$BV$359,3)</f>
        <v>2918</v>
      </c>
      <c r="P356" s="289">
        <f>VLOOKUP(A356,'K20'!$A$4:$BV$359,26)</f>
        <v>74459</v>
      </c>
      <c r="R356" s="517"/>
      <c r="S356" s="517"/>
      <c r="T356" s="517"/>
    </row>
    <row r="357" spans="1:20" ht="13">
      <c r="A357" s="865">
        <v>5442</v>
      </c>
      <c r="B357" s="866" t="s">
        <v>257</v>
      </c>
      <c r="C357" s="289">
        <f>VLOOKUP($A357,K0kommunestruktur2019!$A$4:$N$425,K0kommunestruktur2020!C$3,FALSE)</f>
        <v>919</v>
      </c>
      <c r="D357" s="177">
        <f>VLOOKUP($A357,K0kommunestruktur2019!$A$4:$N$425,K0kommunestruktur2020!D$3,FALSE)</f>
        <v>15241</v>
      </c>
      <c r="E357" s="289">
        <f>VLOOKUP($A357,K0kommunestruktur2019!$A$4:$N$425,K0kommunestruktur2020!E$3,FALSE)</f>
        <v>934</v>
      </c>
      <c r="F357" s="177">
        <f>VLOOKUP($A357,K0kommunestruktur2019!$A$4:$N$425,K0kommunestruktur2020!F$3,FALSE)</f>
        <v>16586</v>
      </c>
      <c r="G357" s="289">
        <f>VLOOKUP($A357,K0kommunestruktur2019!$A$4:$N$425,K0kommunestruktur2020!G$3,FALSE)</f>
        <v>959</v>
      </c>
      <c r="H357" s="177">
        <f>VLOOKUP($A357,K0kommunestruktur2019!$A$4:$N$425,K0kommunestruktur2020!H$3,FALSE)</f>
        <v>17469</v>
      </c>
      <c r="I357" s="289">
        <f>VLOOKUP($A357,K0kommunestruktur2019!$A$4:$N$425,K0kommunestruktur2020!I$3,FALSE)</f>
        <v>951</v>
      </c>
      <c r="J357" s="177">
        <f>VLOOKUP($A357,K0kommunestruktur2019!$A$4:$N$425,K0kommunestruktur2020!J$3,FALSE)</f>
        <v>19017</v>
      </c>
      <c r="K357" s="289">
        <f>VLOOKUP($A357,K0kommunestruktur2019!$A$4:$N$425,K0kommunestruktur2020!K$3,FALSE)</f>
        <v>944</v>
      </c>
      <c r="L357" s="177">
        <f>VLOOKUP($A357,K0kommunestruktur2019!$A$4:$N$425,K0kommunestruktur2020!L$3,FALSE)</f>
        <v>20492</v>
      </c>
      <c r="M357" s="289">
        <f>VLOOKUP($A357,K0kommunestruktur2019!$A$4:$N$425,K0kommunestruktur2020!M$3,FALSE)</f>
        <v>941</v>
      </c>
      <c r="N357" s="177">
        <f>VLOOKUP($A357,K0kommunestruktur2019!$A$4:$N$425,K0kommunestruktur2020!N$3,FALSE)</f>
        <v>19666</v>
      </c>
      <c r="O357" s="289">
        <f>VLOOKUP(A357,'K20'!$A$4:$BV$359,3)</f>
        <v>926</v>
      </c>
      <c r="P357" s="289">
        <f>VLOOKUP(A357,'K20'!$A$4:$BV$359,26)</f>
        <v>20196</v>
      </c>
      <c r="R357" s="517"/>
      <c r="S357" s="517"/>
      <c r="T357" s="517"/>
    </row>
    <row r="358" spans="1:20" ht="13">
      <c r="A358" s="865">
        <v>5443</v>
      </c>
      <c r="B358" s="866" t="s">
        <v>258</v>
      </c>
      <c r="C358" s="289">
        <f>VLOOKUP($A358,K0kommunestruktur2019!$A$4:$N$425,K0kommunestruktur2020!C$3,FALSE)</f>
        <v>2207</v>
      </c>
      <c r="D358" s="177">
        <f>VLOOKUP($A358,K0kommunestruktur2019!$A$4:$N$425,K0kommunestruktur2020!D$3,FALSE)</f>
        <v>42381</v>
      </c>
      <c r="E358" s="289">
        <f>VLOOKUP($A358,K0kommunestruktur2019!$A$4:$N$425,K0kommunestruktur2020!E$3,FALSE)</f>
        <v>2235</v>
      </c>
      <c r="F358" s="177">
        <f>VLOOKUP($A358,K0kommunestruktur2019!$A$4:$N$425,K0kommunestruktur2020!F$3,FALSE)</f>
        <v>46263</v>
      </c>
      <c r="G358" s="289">
        <f>VLOOKUP($A358,K0kommunestruktur2019!$A$4:$N$425,K0kommunestruktur2020!G$3,FALSE)</f>
        <v>2211</v>
      </c>
      <c r="H358" s="177">
        <f>VLOOKUP($A358,K0kommunestruktur2019!$A$4:$N$425,K0kommunestruktur2020!H$3,FALSE)</f>
        <v>50872</v>
      </c>
      <c r="I358" s="289">
        <f>VLOOKUP($A358,K0kommunestruktur2019!$A$4:$N$425,K0kommunestruktur2020!I$3,FALSE)</f>
        <v>2267</v>
      </c>
      <c r="J358" s="177">
        <f>VLOOKUP($A358,K0kommunestruktur2019!$A$4:$N$425,K0kommunestruktur2020!J$3,FALSE)</f>
        <v>55272</v>
      </c>
      <c r="K358" s="289">
        <f>VLOOKUP($A358,K0kommunestruktur2019!$A$4:$N$425,K0kommunestruktur2020!K$3,FALSE)</f>
        <v>2263</v>
      </c>
      <c r="L358" s="177">
        <f>VLOOKUP($A358,K0kommunestruktur2019!$A$4:$N$425,K0kommunestruktur2020!L$3,FALSE)</f>
        <v>61493</v>
      </c>
      <c r="M358" s="289">
        <f>VLOOKUP($A358,K0kommunestruktur2019!$A$4:$N$425,K0kommunestruktur2020!M$3,FALSE)</f>
        <v>2270</v>
      </c>
      <c r="N358" s="177">
        <f>VLOOKUP($A358,K0kommunestruktur2019!$A$4:$N$425,K0kommunestruktur2020!N$3,FALSE)</f>
        <v>62027</v>
      </c>
      <c r="O358" s="289">
        <f>VLOOKUP(A358,'K20'!$A$4:$BV$359,3)</f>
        <v>2221</v>
      </c>
      <c r="P358" s="289">
        <f>VLOOKUP(A358,'K20'!$A$4:$BV$359,26)</f>
        <v>58016</v>
      </c>
      <c r="R358" s="517"/>
      <c r="S358" s="517"/>
      <c r="T358" s="517"/>
    </row>
    <row r="359" spans="1:20" ht="13">
      <c r="A359" s="865">
        <v>5444</v>
      </c>
      <c r="B359" s="866" t="s">
        <v>260</v>
      </c>
      <c r="C359" s="289">
        <f>VLOOKUP($A359,K0kommunestruktur2019!$A$4:$N$425,K0kommunestruktur2020!C$3,FALSE)</f>
        <v>10090</v>
      </c>
      <c r="D359" s="177">
        <f>VLOOKUP($A359,K0kommunestruktur2019!$A$4:$N$425,K0kommunestruktur2020!D$3,FALSE)</f>
        <v>236338</v>
      </c>
      <c r="E359" s="289">
        <f>VLOOKUP($A359,K0kommunestruktur2019!$A$4:$N$425,K0kommunestruktur2020!E$3,FALSE)</f>
        <v>10221</v>
      </c>
      <c r="F359" s="177">
        <f>VLOOKUP($A359,K0kommunestruktur2019!$A$4:$N$425,K0kommunestruktur2020!F$3,FALSE)</f>
        <v>244837</v>
      </c>
      <c r="G359" s="289">
        <f>VLOOKUP($A359,K0kommunestruktur2019!$A$4:$N$425,K0kommunestruktur2020!G$3,FALSE)</f>
        <v>10227</v>
      </c>
      <c r="H359" s="177">
        <f>VLOOKUP($A359,K0kommunestruktur2019!$A$4:$N$425,K0kommunestruktur2020!H$3,FALSE)</f>
        <v>252066</v>
      </c>
      <c r="I359" s="289">
        <f>VLOOKUP($A359,K0kommunestruktur2019!$A$4:$N$425,K0kommunestruktur2020!I$3,FALSE)</f>
        <v>10199</v>
      </c>
      <c r="J359" s="177">
        <f>VLOOKUP($A359,K0kommunestruktur2019!$A$4:$N$425,K0kommunestruktur2020!J$3,FALSE)</f>
        <v>260082</v>
      </c>
      <c r="K359" s="289">
        <f>VLOOKUP($A359,K0kommunestruktur2019!$A$4:$N$425,K0kommunestruktur2020!K$3,FALSE)</f>
        <v>10171</v>
      </c>
      <c r="L359" s="177">
        <f>VLOOKUP($A359,K0kommunestruktur2019!$A$4:$N$425,K0kommunestruktur2020!L$3,FALSE)</f>
        <v>262229</v>
      </c>
      <c r="M359" s="289">
        <f>VLOOKUP($A359,K0kommunestruktur2019!$A$4:$N$425,K0kommunestruktur2020!M$3,FALSE)</f>
        <v>10156</v>
      </c>
      <c r="N359" s="177">
        <f>VLOOKUP($A359,K0kommunestruktur2019!$A$4:$N$425,K0kommunestruktur2020!N$3,FALSE)</f>
        <v>271207</v>
      </c>
      <c r="O359" s="289">
        <f>VLOOKUP(A359,'K20'!$A$4:$BV$359,3)</f>
        <v>10158</v>
      </c>
      <c r="P359" s="289">
        <f>VLOOKUP(A359,'K20'!$A$4:$BV$359,26)</f>
        <v>266948</v>
      </c>
      <c r="R359" s="517"/>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P361" si="53">SUM(C4:C359)</f>
        <v>5109118.1003858792</v>
      </c>
      <c r="D361" s="519">
        <f t="shared" si="53"/>
        <v>128879628.64826505</v>
      </c>
      <c r="E361" s="519">
        <f t="shared" si="53"/>
        <v>5165854.8439864004</v>
      </c>
      <c r="F361" s="519">
        <f t="shared" si="53"/>
        <v>136594403.43343836</v>
      </c>
      <c r="G361" s="519">
        <f t="shared" si="53"/>
        <v>5214009.2193668</v>
      </c>
      <c r="H361" s="519">
        <f t="shared" si="53"/>
        <v>149810223.06949407</v>
      </c>
      <c r="I361" s="519">
        <f t="shared" si="53"/>
        <v>5258344.5451571411</v>
      </c>
      <c r="J361" s="519">
        <f t="shared" si="53"/>
        <v>156581029.97782949</v>
      </c>
      <c r="K361" s="519">
        <f t="shared" si="53"/>
        <v>5295631.7874527788</v>
      </c>
      <c r="L361" s="519">
        <f t="shared" si="53"/>
        <v>162532521.65887633</v>
      </c>
      <c r="M361" s="519">
        <f t="shared" si="53"/>
        <v>5328239</v>
      </c>
      <c r="N361" s="177">
        <f t="shared" si="53"/>
        <v>170117084.88032636</v>
      </c>
      <c r="O361" s="177">
        <f t="shared" si="53"/>
        <v>5367580</v>
      </c>
      <c r="P361" s="177">
        <f t="shared" si="53"/>
        <v>168892423</v>
      </c>
      <c r="R361" s="517"/>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6" spans="1:20" ht="13">
      <c r="A366" s="1">
        <v>1103</v>
      </c>
      <c r="B366" s="2" t="s">
        <v>960</v>
      </c>
      <c r="C366" s="289">
        <f>VLOOKUP($A366,K0kommunestruktur2019!$A$4:$N$425,K0kommunestruktur2020!C$3,FALSE)</f>
        <v>130754</v>
      </c>
      <c r="D366" s="177">
        <f>VLOOKUP($A366,K0kommunestruktur2019!$A$4:$N$425,K0kommunestruktur2020!D$3,FALSE)</f>
        <v>4775553</v>
      </c>
      <c r="E366" s="289">
        <f>VLOOKUP($A366,K0kommunestruktur2019!$A$4:$N$425,K0kommunestruktur2020!E$3,FALSE)</f>
        <v>132102</v>
      </c>
      <c r="F366" s="177">
        <f>VLOOKUP($A366,K0kommunestruktur2019!$A$4:$N$425,K0kommunestruktur2020!F$3,FALSE)</f>
        <v>4930488</v>
      </c>
      <c r="G366" s="289">
        <f>VLOOKUP($A366,K0kommunestruktur2019!$A$4:$N$425,K0kommunestruktur2020!G$3,FALSE)</f>
        <v>132644</v>
      </c>
      <c r="H366" s="177">
        <f>VLOOKUP($A366,K0kommunestruktur2019!$A$4:$N$425,K0kommunestruktur2020!H$3,FALSE)</f>
        <v>5058581</v>
      </c>
      <c r="I366" s="289">
        <f>VLOOKUP($A366,K0kommunestruktur2019!$A$4:$N$425,K0kommunestruktur2020!I$3,FALSE)</f>
        <v>132729</v>
      </c>
      <c r="J366" s="177">
        <f>VLOOKUP($A366,K0kommunestruktur2019!$A$4:$N$425,K0kommunestruktur2020!J$3,FALSE)</f>
        <v>4887726</v>
      </c>
      <c r="K366" s="289">
        <f>VLOOKUP($A366,K0kommunestruktur2019!$A$4:$N$425,K0kommunestruktur2020!K$3,FALSE)</f>
        <v>133140</v>
      </c>
      <c r="L366" s="177">
        <f>VLOOKUP($A366,K0kommunestruktur2019!$A$4:$N$425,K0kommunestruktur2020!L$3,FALSE)</f>
        <v>4944822</v>
      </c>
      <c r="M366" s="289">
        <f>VLOOKUP($A366,K0kommunestruktur2019!$A$4:$N$425,K0kommunestruktur2020!M$3,FALSE)</f>
        <v>134037</v>
      </c>
      <c r="N366" s="177">
        <f>VLOOKUP($A366,K0kommunestruktur2019!$A$4:$N$425,K0kommunestruktur2020!N$3,FALSE)</f>
        <v>5317364</v>
      </c>
    </row>
    <row r="367" spans="1:20" ht="13">
      <c r="A367">
        <v>1141</v>
      </c>
      <c r="B367" s="2" t="s">
        <v>16</v>
      </c>
      <c r="C367" s="289">
        <f>VLOOKUP($A367,K0kommunestruktur2019!$A$4:$N$425,K0kommunestruktur2020!C$3,FALSE)</f>
        <v>3058</v>
      </c>
      <c r="D367" s="289">
        <f>VLOOKUP($A367,K0kommunestruktur2019!$A$4:$N$425,K0kommunestruktur2020!D$3,FALSE)</f>
        <v>79397</v>
      </c>
      <c r="E367" s="289">
        <f>VLOOKUP($A367,K0kommunestruktur2019!$A$4:$N$425,K0kommunestruktur2020!E$3,FALSE)</f>
        <v>3147</v>
      </c>
      <c r="F367" s="289">
        <f>VLOOKUP($A367,K0kommunestruktur2019!$A$4:$N$425,K0kommunestruktur2020!F$3,FALSE)</f>
        <v>79791</v>
      </c>
      <c r="G367" s="289">
        <f>VLOOKUP($A367,K0kommunestruktur2019!$A$4:$N$425,K0kommunestruktur2020!G$3,FALSE)</f>
        <v>3221</v>
      </c>
      <c r="H367" s="289">
        <f>VLOOKUP($A367,K0kommunestruktur2019!$A$4:$N$425,K0kommunestruktur2020!H$3,FALSE)</f>
        <v>86133</v>
      </c>
      <c r="I367" s="289">
        <f>VLOOKUP($A367,K0kommunestruktur2019!$A$4:$N$425,K0kommunestruktur2020!I$3,FALSE)</f>
        <v>3235</v>
      </c>
      <c r="J367" s="289">
        <f>VLOOKUP($A367,K0kommunestruktur2019!$A$4:$N$425,K0kommunestruktur2020!J$3,FALSE)</f>
        <v>93755</v>
      </c>
      <c r="K367" s="289">
        <f>VLOOKUP($A367,K0kommunestruktur2019!$A$4:$N$425,K0kommunestruktur2020!K$3,FALSE)</f>
        <v>3197</v>
      </c>
      <c r="L367" s="289">
        <f>VLOOKUP($A367,K0kommunestruktur2019!$A$4:$N$425,K0kommunestruktur2020!L$3,FALSE)</f>
        <v>90278</v>
      </c>
      <c r="M367" s="289">
        <f>VLOOKUP($A367,K0kommunestruktur2019!$A$4:$N$425,K0kommunestruktur2020!M$3,FALSE)</f>
        <v>3150</v>
      </c>
      <c r="N367" s="177">
        <f>VLOOKUP($A367,K0kommunestruktur2019!$A$4:$N$425,K0kommunestruktur2020!N$3,FALSE)</f>
        <v>90709</v>
      </c>
    </row>
    <row r="368" spans="1:20" ht="13">
      <c r="A368">
        <v>1142</v>
      </c>
      <c r="B368" s="2" t="s">
        <v>17</v>
      </c>
      <c r="C368" s="289">
        <f>VLOOKUP($A368,K0kommunestruktur2019!$A$4:$N$425,K0kommunestruktur2020!C$3,FALSE)</f>
        <v>4755</v>
      </c>
      <c r="D368" s="289">
        <f>VLOOKUP($A368,K0kommunestruktur2019!$A$4:$N$425,K0kommunestruktur2020!D$3,FALSE)</f>
        <v>134465</v>
      </c>
      <c r="E368" s="289">
        <f>VLOOKUP($A368,K0kommunestruktur2019!$A$4:$N$425,K0kommunestruktur2020!E$3,FALSE)</f>
        <v>4794</v>
      </c>
      <c r="F368" s="289">
        <f>VLOOKUP($A368,K0kommunestruktur2019!$A$4:$N$425,K0kommunestruktur2020!F$3,FALSE)</f>
        <v>141827</v>
      </c>
      <c r="G368" s="289">
        <f>VLOOKUP($A368,K0kommunestruktur2019!$A$4:$N$425,K0kommunestruktur2020!G$3,FALSE)</f>
        <v>4856</v>
      </c>
      <c r="H368" s="289">
        <f>VLOOKUP($A368,K0kommunestruktur2019!$A$4:$N$425,K0kommunestruktur2020!H$3,FALSE)</f>
        <v>153116</v>
      </c>
      <c r="I368" s="289">
        <f>VLOOKUP($A368,K0kommunestruktur2019!$A$4:$N$425,K0kommunestruktur2020!I$3,FALSE)</f>
        <v>4892</v>
      </c>
      <c r="J368" s="289">
        <f>VLOOKUP($A368,K0kommunestruktur2019!$A$4:$N$425,K0kommunestruktur2020!J$3,FALSE)</f>
        <v>146692</v>
      </c>
      <c r="K368" s="289">
        <f>VLOOKUP($A368,K0kommunestruktur2019!$A$4:$N$425,K0kommunestruktur2020!K$3,FALSE)</f>
        <v>4849</v>
      </c>
      <c r="L368" s="289">
        <f>VLOOKUP($A368,K0kommunestruktur2019!$A$4:$N$425,K0kommunestruktur2020!L$3,FALSE)</f>
        <v>154331</v>
      </c>
      <c r="M368" s="289">
        <f>VLOOKUP($A368,K0kommunestruktur2019!$A$4:$N$425,K0kommunestruktur2020!M$3,FALSE)</f>
        <v>4847</v>
      </c>
      <c r="N368" s="177">
        <f>VLOOKUP($A368,K0kommunestruktur2019!$A$4:$N$425,K0kommunestruktur2020!N$3,FALSE)</f>
        <v>158491</v>
      </c>
    </row>
    <row r="369" spans="1:15" ht="13">
      <c r="B369" s="894" t="s">
        <v>1662</v>
      </c>
      <c r="C369" s="290">
        <f>ROUND(SUM(C366:C368)*$M369/SUM($M366:$M368),8)</f>
        <v>73.169276370000006</v>
      </c>
      <c r="D369" s="289">
        <f>C369*(D366+D367+D368)/(C366+C367+C368)</f>
        <v>2634.6235760290951</v>
      </c>
      <c r="E369" s="289">
        <f>ROUND(SUM(E366:E368)*$M369/SUM($M366:$M368),8)</f>
        <v>73.948667220000004</v>
      </c>
      <c r="F369" s="893">
        <f>E369*(F366+F367+F368)/(E366+E367+E368)</f>
        <v>2720.5313516288948</v>
      </c>
      <c r="G369" s="289">
        <f>ROUND(SUM(G366:G368)*$M369/SUM($M366:$M368),8)</f>
        <v>74.30668009</v>
      </c>
      <c r="H369" s="289">
        <f>G369*(H366+H367+H368)/(G366+G367+G368)</f>
        <v>2797.479828747697</v>
      </c>
      <c r="I369" s="289">
        <f>ROUND(SUM(I366:I368)*$M369/SUM($M366:$M368),8)</f>
        <v>74.377965840000002</v>
      </c>
      <c r="J369" s="289">
        <f>I369*(J366+J367+J368)/(I366+I367+I368)</f>
        <v>2707.8937085790476</v>
      </c>
      <c r="K369" s="289">
        <f>ROUND(SUM(K366:K368)*$M369/SUM($M366:$M368),8)</f>
        <v>74.552219890000003</v>
      </c>
      <c r="L369" s="289">
        <f>K369*(L366+L367+L368)/(K366+K367+K368)</f>
        <v>2740.2405409600287</v>
      </c>
      <c r="M369" s="289">
        <f t="shared" ref="M369" si="54">-M380</f>
        <v>75</v>
      </c>
      <c r="N369" s="177">
        <f>M369*(N366+N367+N368)/(M366+M367+M368)</f>
        <v>2939.3828238309138</v>
      </c>
      <c r="O369" s="5"/>
    </row>
    <row r="370" spans="1:15">
      <c r="C370" s="657"/>
      <c r="E370" s="5"/>
      <c r="K370" s="5"/>
      <c r="M370" s="5"/>
    </row>
    <row r="371" spans="1:15" ht="13">
      <c r="A371" s="1">
        <v>1102</v>
      </c>
      <c r="B371" s="2" t="s">
        <v>959</v>
      </c>
      <c r="C371" s="290">
        <f>VLOOKUP($A371,K0kommunestruktur2019!$A$4:$N$425,K0kommunestruktur2020!C$3,FALSE)</f>
        <v>71900</v>
      </c>
      <c r="D371" s="177">
        <f>VLOOKUP($A371,K0kommunestruktur2019!$A$4:$N$425,K0kommunestruktur2020!D$3,FALSE)</f>
        <v>2112127</v>
      </c>
      <c r="E371" s="289">
        <f>VLOOKUP($A371,K0kommunestruktur2019!$A$4:$N$425,K0kommunestruktur2020!E$3,FALSE)</f>
        <v>73624</v>
      </c>
      <c r="F371" s="177">
        <f>VLOOKUP($A371,K0kommunestruktur2019!$A$4:$N$425,K0kommunestruktur2020!F$3,FALSE)</f>
        <v>2173483</v>
      </c>
      <c r="G371" s="289">
        <f>VLOOKUP($A371,K0kommunestruktur2019!$A$4:$N$425,K0kommunestruktur2020!G$3,FALSE)</f>
        <v>74820</v>
      </c>
      <c r="H371" s="177">
        <f>VLOOKUP($A371,K0kommunestruktur2019!$A$4:$N$425,K0kommunestruktur2020!H$3,FALSE)</f>
        <v>2268290</v>
      </c>
      <c r="I371" s="289">
        <f>VLOOKUP($A371,K0kommunestruktur2019!$A$4:$N$425,K0kommunestruktur2020!I$3,FALSE)</f>
        <v>75497</v>
      </c>
      <c r="J371" s="177">
        <f>VLOOKUP($A371,K0kommunestruktur2019!$A$4:$N$425,K0kommunestruktur2020!J$3,FALSE)</f>
        <v>2267326</v>
      </c>
      <c r="K371" s="289">
        <f>VLOOKUP($A371,K0kommunestruktur2019!$A$4:$N$425,K0kommunestruktur2020!K$3,FALSE)</f>
        <v>76328</v>
      </c>
      <c r="L371" s="177">
        <f>VLOOKUP($A371,K0kommunestruktur2019!$A$4:$N$425,K0kommunestruktur2020!L$3,FALSE)</f>
        <v>2335661</v>
      </c>
      <c r="M371" s="289">
        <f>VLOOKUP($A371,K0kommunestruktur2019!$A$4:$N$425,K0kommunestruktur2020!M$3,FALSE)</f>
        <v>77246</v>
      </c>
      <c r="N371" s="177">
        <f>VLOOKUP($A371,K0kommunestruktur2019!$A$4:$N$425,K0kommunestruktur2020!N$3,FALSE)</f>
        <v>2431286</v>
      </c>
    </row>
    <row r="372" spans="1:15" ht="13">
      <c r="A372" s="1">
        <v>1129</v>
      </c>
      <c r="B372" s="2" t="s">
        <v>7</v>
      </c>
      <c r="C372" s="290">
        <f>VLOOKUP($A372,K0kommunestruktur2019!$A$4:$N$425,K0kommunestruktur2020!C$3,FALSE)</f>
        <v>1242</v>
      </c>
      <c r="D372" s="177">
        <f>VLOOKUP($A372,K0kommunestruktur2019!$A$4:$N$425,K0kommunestruktur2020!D$3,FALSE)</f>
        <v>46467</v>
      </c>
      <c r="E372" s="289">
        <f>VLOOKUP($A372,K0kommunestruktur2019!$A$4:$N$425,K0kommunestruktur2020!E$3,FALSE)</f>
        <v>1208</v>
      </c>
      <c r="F372" s="177">
        <f>VLOOKUP($A372,K0kommunestruktur2019!$A$4:$N$425,K0kommunestruktur2020!F$3,FALSE)</f>
        <v>47786</v>
      </c>
      <c r="G372" s="289">
        <f>VLOOKUP($A372,K0kommunestruktur2019!$A$4:$N$425,K0kommunestruktur2020!G$3,FALSE)</f>
        <v>1238</v>
      </c>
      <c r="H372" s="177">
        <f>VLOOKUP($A372,K0kommunestruktur2019!$A$4:$N$425,K0kommunestruktur2020!H$3,FALSE)</f>
        <v>53109</v>
      </c>
      <c r="I372" s="289">
        <f>VLOOKUP($A372,K0kommunestruktur2019!$A$4:$N$425,K0kommunestruktur2020!I$3,FALSE)</f>
        <v>1245</v>
      </c>
      <c r="J372" s="177">
        <f>VLOOKUP($A372,K0kommunestruktur2019!$A$4:$N$425,K0kommunestruktur2020!J$3,FALSE)</f>
        <v>53784</v>
      </c>
      <c r="K372" s="289">
        <f>VLOOKUP($A372,K0kommunestruktur2019!$A$4:$N$425,K0kommunestruktur2020!K$3,FALSE)</f>
        <v>1246</v>
      </c>
      <c r="L372" s="177">
        <f>VLOOKUP($A372,K0kommunestruktur2019!$A$4:$N$425,K0kommunestruktur2020!L$3,FALSE)</f>
        <v>49511</v>
      </c>
      <c r="M372" s="289">
        <f>VLOOKUP($A372,K0kommunestruktur2019!$A$4:$N$425,K0kommunestruktur2020!M$3,FALSE)</f>
        <v>1193</v>
      </c>
      <c r="N372" s="177">
        <f>VLOOKUP($A372,K0kommunestruktur2019!$A$4:$N$425,K0kommunestruktur2020!N$3,FALSE)</f>
        <v>51579</v>
      </c>
    </row>
    <row r="373" spans="1:15" ht="13">
      <c r="A373" s="1"/>
      <c r="B373" s="894" t="s">
        <v>1660</v>
      </c>
      <c r="C373" s="289">
        <f>ROUND(SUM(C371:C372)*$M373/SUM($M371:$M372),8)</f>
        <v>-151.99258022000001</v>
      </c>
      <c r="D373" s="177">
        <f>C373*(D372+D371)/(C371+C372)</f>
        <v>-4485.6617498483865</v>
      </c>
      <c r="E373" s="289">
        <f>ROUND(SUM(E371:E372)*$M373/SUM($M371:$M372),8)</f>
        <v>-155.50448119000001</v>
      </c>
      <c r="F373" s="912">
        <f>E373*(F372+F371)/(E371+E372)</f>
        <v>-4615.9034026677109</v>
      </c>
      <c r="G373" s="289">
        <f>ROUND(SUM(G371:G372)*$M373/SUM($M371:$M372),8)</f>
        <v>-158.05216793</v>
      </c>
      <c r="H373" s="177">
        <f>G373*(H372+H371)/(G371+G372)</f>
        <v>-4823.9783399581111</v>
      </c>
      <c r="I373" s="289">
        <f>ROUND(SUM(I371:I372)*$M373/SUM($M371:$M372),8)</f>
        <v>-159.4735527</v>
      </c>
      <c r="J373" s="177">
        <f>I373*(J372+J371)/(I371+I372)</f>
        <v>-4823.3777841012352</v>
      </c>
      <c r="K373" s="289">
        <f>ROUND(SUM(K371:K372)*$M373/SUM($M371:$M372),8)</f>
        <v>-161.20248856000001</v>
      </c>
      <c r="L373" s="177">
        <f>K373*(L372+L371)/(K371+K372)</f>
        <v>-4956.5016892725953</v>
      </c>
      <c r="M373" s="289">
        <v>-163</v>
      </c>
      <c r="N373" s="177">
        <f>M373*(N372+N371)/(M371+M372)</f>
        <v>-5159.512423666798</v>
      </c>
    </row>
    <row r="374" spans="1:15" ht="13">
      <c r="A374" s="1"/>
      <c r="B374" s="885" t="s">
        <v>1838</v>
      </c>
      <c r="C374" s="290"/>
      <c r="D374" s="177">
        <v>27858.091</v>
      </c>
      <c r="E374" s="289"/>
      <c r="F374" s="177">
        <v>28991.631000000001</v>
      </c>
      <c r="G374" s="289"/>
      <c r="H374" s="177">
        <v>34641.440999999999</v>
      </c>
      <c r="I374" s="289"/>
      <c r="J374" s="177">
        <v>34748.510999999999</v>
      </c>
      <c r="K374" s="289"/>
      <c r="L374" s="177">
        <v>30088</v>
      </c>
      <c r="M374" s="289"/>
      <c r="N374" s="177">
        <v>33099.15065530713</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VLOOKUP($A376,K0kommunestruktur2019!$A$4:$N$425,K0kommunestruktur2020!C$3,FALSE)</f>
        <v>12139</v>
      </c>
      <c r="D376" s="177">
        <f>VLOOKUP($A376,K0kommunestruktur2019!$A$4:$N$425,K0kommunestruktur2020!D$3,FALSE)</f>
        <v>294187</v>
      </c>
      <c r="E376" s="289">
        <f>VLOOKUP($A376,K0kommunestruktur2019!$A$4:$N$425,K0kommunestruktur2020!E$3,FALSE)</f>
        <v>12395</v>
      </c>
      <c r="F376" s="177">
        <f>VLOOKUP($A376,K0kommunestruktur2019!$A$4:$N$425,K0kommunestruktur2020!F$3,FALSE)</f>
        <v>299207</v>
      </c>
      <c r="G376" s="289">
        <f>VLOOKUP($A376,K0kommunestruktur2019!$A$4:$N$425,K0kommunestruktur2020!G$3,FALSE)</f>
        <v>12464</v>
      </c>
      <c r="H376" s="177">
        <f>VLOOKUP($A376,K0kommunestruktur2019!$A$4:$N$425,K0kommunestruktur2020!H$3,FALSE)</f>
        <v>327171</v>
      </c>
      <c r="I376" s="289">
        <f>VLOOKUP($A376,K0kommunestruktur2019!$A$4:$N$425,K0kommunestruktur2020!I$3,FALSE)</f>
        <v>12662</v>
      </c>
      <c r="J376" s="177">
        <f>VLOOKUP($A376,K0kommunestruktur2019!$A$4:$N$425,K0kommunestruktur2020!J$3,FALSE)</f>
        <v>333009</v>
      </c>
      <c r="K376" s="289">
        <f>VLOOKUP($A376,K0kommunestruktur2019!$A$4:$N$425,K0kommunestruktur2020!K$3,FALSE)</f>
        <v>12638</v>
      </c>
      <c r="L376" s="177">
        <f>VLOOKUP($A376,K0kommunestruktur2019!$A$4:$N$425,K0kommunestruktur2020!L$3,FALSE)</f>
        <v>341974</v>
      </c>
      <c r="M376" s="289">
        <f>VLOOKUP($A376,K0kommunestruktur2019!$A$4:$N$425,K0kommunestruktur2020!M$3,FALSE)</f>
        <v>12720</v>
      </c>
      <c r="N376" s="177">
        <f>VLOOKUP($A376,K0kommunestruktur2019!$A$4:$N$425,K0kommunestruktur2020!N$3,FALSE)</f>
        <v>359232</v>
      </c>
      <c r="O376" s="177"/>
    </row>
    <row r="377" spans="1:15" ht="13">
      <c r="A377" s="1"/>
      <c r="B377" s="894" t="s">
        <v>1660</v>
      </c>
      <c r="C377" s="290">
        <f>ROUND(C376*$M377/$M376,8)</f>
        <v>155.55479560000001</v>
      </c>
      <c r="D377" s="177">
        <f>C377*D376/C376</f>
        <v>3769.8491352810943</v>
      </c>
      <c r="E377" s="289">
        <f>ROUND(E376*$M377/$M376,8)</f>
        <v>158.83529874000001</v>
      </c>
      <c r="F377" s="912">
        <f>E377*F376/E376</f>
        <v>3834.1777515207091</v>
      </c>
      <c r="G377" s="289">
        <f>ROUND(G376*$M377/$M376,8)</f>
        <v>159.71949685999999</v>
      </c>
      <c r="H377" s="177">
        <f>G377*H376/G376</f>
        <v>4192.5214623863176</v>
      </c>
      <c r="I377" s="289">
        <f>ROUND(I376*$M377/$M376,8)</f>
        <v>162.25676100999999</v>
      </c>
      <c r="J377" s="177">
        <f>I377*J376/I376</f>
        <v>4267.3323114183449</v>
      </c>
      <c r="K377" s="289">
        <f>ROUND(K376*$M377/$M376,8)</f>
        <v>161.94921384</v>
      </c>
      <c r="L377" s="177">
        <f>K377*L376/K376</f>
        <v>4382.2139938059945</v>
      </c>
      <c r="M377" s="289">
        <f t="shared" ref="M377" si="55">-M373</f>
        <v>163</v>
      </c>
      <c r="N377" s="177">
        <f>M377*N376/M376</f>
        <v>4603.3660377358492</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VLOOKUP($A379,K0kommunestruktur2019!$A$4:$N$425,K0kommunestruktur2020!C$3,FALSE)</f>
        <v>2787</v>
      </c>
      <c r="D379" s="177">
        <f>VLOOKUP($A379,K0kommunestruktur2019!$A$4:$N$425,K0kommunestruktur2020!D$3,FALSE)</f>
        <v>86465</v>
      </c>
      <c r="E379" s="289">
        <f>VLOOKUP($A379,K0kommunestruktur2019!$A$4:$N$425,K0kommunestruktur2020!E$3,FALSE)</f>
        <v>2785</v>
      </c>
      <c r="F379" s="177">
        <f>VLOOKUP($A379,K0kommunestruktur2019!$A$4:$N$425,K0kommunestruktur2020!F$3,FALSE)</f>
        <v>91575</v>
      </c>
      <c r="G379" s="289">
        <f>VLOOKUP($A379,K0kommunestruktur2019!$A$4:$N$425,K0kommunestruktur2020!G$3,FALSE)</f>
        <v>2737</v>
      </c>
      <c r="H379" s="177">
        <f>VLOOKUP($A379,K0kommunestruktur2019!$A$4:$N$425,K0kommunestruktur2020!H$3,FALSE)</f>
        <v>94420</v>
      </c>
      <c r="I379" s="289">
        <f>VLOOKUP($A379,K0kommunestruktur2019!$A$4:$N$425,K0kommunestruktur2020!I$3,FALSE)</f>
        <v>2708</v>
      </c>
      <c r="J379" s="177">
        <f>VLOOKUP($A379,K0kommunestruktur2019!$A$4:$N$425,K0kommunestruktur2020!J$3,FALSE)</f>
        <v>95073</v>
      </c>
      <c r="K379" s="289">
        <f>VLOOKUP($A379,K0kommunestruktur2019!$A$4:$N$425,K0kommunestruktur2020!K$3,FALSE)</f>
        <v>2723</v>
      </c>
      <c r="L379" s="177">
        <f>VLOOKUP($A379,K0kommunestruktur2019!$A$4:$N$425,K0kommunestruktur2020!L$3,FALSE)</f>
        <v>94750</v>
      </c>
      <c r="M379" s="289">
        <f>VLOOKUP($A379,K0kommunestruktur2019!$A$4:$N$425,K0kommunestruktur2020!M$3,FALSE)</f>
        <v>2684</v>
      </c>
      <c r="N379" s="177">
        <f>VLOOKUP($A379,K0kommunestruktur2019!$A$4:$N$425,K0kommunestruktur2020!N$3,FALSE)</f>
        <v>95706</v>
      </c>
      <c r="O379" s="177"/>
    </row>
    <row r="380" spans="1:15" ht="13">
      <c r="A380" s="1"/>
      <c r="B380" s="894" t="s">
        <v>1664</v>
      </c>
      <c r="C380" s="289">
        <f>ROUND(C379*$M380/$M379,8)</f>
        <v>-77.878166919999998</v>
      </c>
      <c r="D380" s="177">
        <f>D379*C380/C379</f>
        <v>-2416.1233235514173</v>
      </c>
      <c r="E380" s="289">
        <f>ROUND(E379*$M380/$M379,8)</f>
        <v>-77.822280180000007</v>
      </c>
      <c r="F380" s="912">
        <f>F379*E380/E379</f>
        <v>-2558.9139344644527</v>
      </c>
      <c r="G380" s="289">
        <f>ROUND(G379*$M380/$M379,8)</f>
        <v>-76.480998510000006</v>
      </c>
      <c r="H380" s="177">
        <f>H379*G380/G379</f>
        <v>-2638.4128167023023</v>
      </c>
      <c r="I380" s="289">
        <f>ROUND(I379*$M380/$M379,8)</f>
        <v>-75.670640829999996</v>
      </c>
      <c r="J380" s="177">
        <f>J379*I380/I379</f>
        <v>-2656.6598359049444</v>
      </c>
      <c r="K380" s="289">
        <f>ROUND(K379*$M380/$M379,8)</f>
        <v>-76.089791360000007</v>
      </c>
      <c r="L380" s="177">
        <f>L379*K380/K379</f>
        <v>-2647.6341282996696</v>
      </c>
      <c r="M380" s="289">
        <v>-75</v>
      </c>
      <c r="N380" s="177">
        <f>N379*M380/M379</f>
        <v>-2674.3479880774962</v>
      </c>
      <c r="O380" s="177"/>
    </row>
    <row r="381" spans="1:15" ht="13">
      <c r="A381" s="1"/>
      <c r="B381" s="885" t="s">
        <v>1838</v>
      </c>
      <c r="C381" s="290"/>
      <c r="D381" s="177">
        <v>66280.923999999999</v>
      </c>
      <c r="E381" s="289"/>
      <c r="F381" s="177">
        <v>71111.567999999999</v>
      </c>
      <c r="G381" s="289"/>
      <c r="H381" s="177">
        <v>74239.938999999998</v>
      </c>
      <c r="I381" s="289"/>
      <c r="J381" s="177">
        <v>74047.786999999997</v>
      </c>
      <c r="K381" s="289"/>
      <c r="L381" s="177">
        <v>73737</v>
      </c>
      <c r="M381" s="289"/>
      <c r="N381" s="177">
        <v>75753.595635440826</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VLOOKUP($A383,K0kommunestruktur2019!$A$4:$N$425,K0kommunestruktur2020!C$3,FALSE)</f>
        <v>26048</v>
      </c>
      <c r="D383" s="177">
        <f>VLOOKUP($A383,K0kommunestruktur2019!$A$4:$N$425,K0kommunestruktur2020!D$3,FALSE)</f>
        <v>643728</v>
      </c>
      <c r="E383" s="289">
        <f>VLOOKUP($A383,K0kommunestruktur2019!$A$4:$N$425,K0kommunestruktur2020!E$3,FALSE)</f>
        <v>26392</v>
      </c>
      <c r="F383" s="177">
        <f>VLOOKUP($A383,K0kommunestruktur2019!$A$4:$N$425,K0kommunestruktur2020!F$3,FALSE)</f>
        <v>684093</v>
      </c>
      <c r="G383" s="289">
        <f>VLOOKUP($A383,K0kommunestruktur2019!$A$4:$N$425,K0kommunestruktur2020!G$3,FALSE)</f>
        <v>26732</v>
      </c>
      <c r="H383" s="177">
        <f>VLOOKUP($A383,K0kommunestruktur2019!$A$4:$N$425,K0kommunestruktur2020!H$3,FALSE)</f>
        <v>721890</v>
      </c>
      <c r="I383" s="289">
        <f>VLOOKUP($A383,K0kommunestruktur2019!$A$4:$N$425,K0kommunestruktur2020!I$3,FALSE)</f>
        <v>26822</v>
      </c>
      <c r="J383" s="177">
        <f>VLOOKUP($A383,K0kommunestruktur2019!$A$4:$N$425,K0kommunestruktur2020!J$3,FALSE)</f>
        <v>749627</v>
      </c>
      <c r="K383" s="289">
        <f>VLOOKUP($A383,K0kommunestruktur2019!$A$4:$N$425,K0kommunestruktur2020!K$3,FALSE)</f>
        <v>26900</v>
      </c>
      <c r="L383" s="177">
        <f>VLOOKUP($A383,K0kommunestruktur2019!$A$4:$N$425,K0kommunestruktur2020!L$3,FALSE)</f>
        <v>776989</v>
      </c>
      <c r="M383" s="289">
        <f>VLOOKUP($A383,K0kommunestruktur2019!$A$4:$N$425,K0kommunestruktur2020!M$3,FALSE)</f>
        <v>27001</v>
      </c>
      <c r="N383" s="177">
        <f>VLOOKUP($A383,K0kommunestruktur2019!$A$4:$N$425,K0kommunestruktur2020!N$3,FALSE)</f>
        <v>799325</v>
      </c>
    </row>
    <row r="384" spans="1:15" ht="13">
      <c r="A384" s="1">
        <v>1543</v>
      </c>
      <c r="B384" s="2" t="s">
        <v>103</v>
      </c>
      <c r="C384" s="290">
        <f>VLOOKUP($A384,K0kommunestruktur2019!$A$4:$N$425,K0kommunestruktur2020!C$3,FALSE)</f>
        <v>3001</v>
      </c>
      <c r="D384" s="177">
        <f>VLOOKUP($A384,K0kommunestruktur2019!$A$4:$N$425,K0kommunestruktur2020!D$3,FALSE)</f>
        <v>70816</v>
      </c>
      <c r="E384" s="289">
        <f>VLOOKUP($A384,K0kommunestruktur2019!$A$4:$N$425,K0kommunestruktur2020!E$3,FALSE)</f>
        <v>2975</v>
      </c>
      <c r="F384" s="177">
        <f>VLOOKUP($A384,K0kommunestruktur2019!$A$4:$N$425,K0kommunestruktur2020!F$3,FALSE)</f>
        <v>75819</v>
      </c>
      <c r="G384" s="289">
        <f>VLOOKUP($A384,K0kommunestruktur2019!$A$4:$N$425,K0kommunestruktur2020!G$3,FALSE)</f>
        <v>2970</v>
      </c>
      <c r="H384" s="177">
        <f>VLOOKUP($A384,K0kommunestruktur2019!$A$4:$N$425,K0kommunestruktur2020!H$3,FALSE)</f>
        <v>75915</v>
      </c>
      <c r="I384" s="289">
        <f>VLOOKUP($A384,K0kommunestruktur2019!$A$4:$N$425,K0kommunestruktur2020!I$3,FALSE)</f>
        <v>2963</v>
      </c>
      <c r="J384" s="177">
        <f>VLOOKUP($A384,K0kommunestruktur2019!$A$4:$N$425,K0kommunestruktur2020!J$3,FALSE)</f>
        <v>76676</v>
      </c>
      <c r="K384" s="289">
        <f>VLOOKUP($A384,K0kommunestruktur2019!$A$4:$N$425,K0kommunestruktur2020!K$3,FALSE)</f>
        <v>2946</v>
      </c>
      <c r="L384" s="177">
        <f>VLOOKUP($A384,K0kommunestruktur2019!$A$4:$N$425,K0kommunestruktur2020!L$3,FALSE)</f>
        <v>81794</v>
      </c>
      <c r="M384" s="289">
        <f>VLOOKUP($A384,K0kommunestruktur2019!$A$4:$N$425,K0kommunestruktur2020!M$3,FALSE)</f>
        <v>2956</v>
      </c>
      <c r="N384" s="177">
        <f>VLOOKUP($A384,K0kommunestruktur2019!$A$4:$N$425,K0kommunestruktur2020!N$3,FALSE)</f>
        <v>85030</v>
      </c>
    </row>
    <row r="385" spans="1:16" ht="13">
      <c r="A385" s="1">
        <v>1545</v>
      </c>
      <c r="B385" s="2" t="s">
        <v>104</v>
      </c>
      <c r="C385" s="290">
        <f>VLOOKUP($A385,K0kommunestruktur2019!$A$4:$N$425,K0kommunestruktur2020!C$3,FALSE)</f>
        <v>2036</v>
      </c>
      <c r="D385" s="177">
        <f>VLOOKUP($A385,K0kommunestruktur2019!$A$4:$N$425,K0kommunestruktur2020!D$3,FALSE)</f>
        <v>43816</v>
      </c>
      <c r="E385" s="289">
        <f>VLOOKUP($A385,K0kommunestruktur2019!$A$4:$N$425,K0kommunestruktur2020!E$3,FALSE)</f>
        <v>2068</v>
      </c>
      <c r="F385" s="177">
        <f>VLOOKUP($A385,K0kommunestruktur2019!$A$4:$N$425,K0kommunestruktur2020!F$3,FALSE)</f>
        <v>47190</v>
      </c>
      <c r="G385" s="289">
        <f>VLOOKUP($A385,K0kommunestruktur2019!$A$4:$N$425,K0kommunestruktur2020!G$3,FALSE)</f>
        <v>2088</v>
      </c>
      <c r="H385" s="177">
        <f>VLOOKUP($A385,K0kommunestruktur2019!$A$4:$N$425,K0kommunestruktur2020!H$3,FALSE)</f>
        <v>50242</v>
      </c>
      <c r="I385" s="289">
        <f>VLOOKUP($A385,K0kommunestruktur2019!$A$4:$N$425,K0kommunestruktur2020!I$3,FALSE)</f>
        <v>2085</v>
      </c>
      <c r="J385" s="177">
        <f>VLOOKUP($A385,K0kommunestruktur2019!$A$4:$N$425,K0kommunestruktur2020!J$3,FALSE)</f>
        <v>51819</v>
      </c>
      <c r="K385" s="289">
        <f>VLOOKUP($A385,K0kommunestruktur2019!$A$4:$N$425,K0kommunestruktur2020!K$3,FALSE)</f>
        <v>2049</v>
      </c>
      <c r="L385" s="177">
        <f>VLOOKUP($A385,K0kommunestruktur2019!$A$4:$N$425,K0kommunestruktur2020!L$3,FALSE)</f>
        <v>54739</v>
      </c>
      <c r="M385" s="289">
        <f>VLOOKUP($A385,K0kommunestruktur2019!$A$4:$N$425,K0kommunestruktur2020!M$3,FALSE)</f>
        <v>2019</v>
      </c>
      <c r="N385" s="177">
        <f>VLOOKUP($A385,K0kommunestruktur2019!$A$4:$N$425,K0kommunestruktur2020!N$3,FALSE)</f>
        <v>62064</v>
      </c>
    </row>
    <row r="386" spans="1:16" ht="13">
      <c r="A386" s="1"/>
      <c r="B386" s="2"/>
      <c r="C386" s="290"/>
      <c r="D386" s="177"/>
      <c r="E386" s="289"/>
      <c r="F386" s="177"/>
      <c r="G386" s="289"/>
      <c r="H386" s="177"/>
      <c r="I386" s="289"/>
      <c r="J386" s="177"/>
      <c r="K386" s="289"/>
      <c r="L386" s="177"/>
      <c r="M386" s="289"/>
    </row>
    <row r="387" spans="1:16" ht="13">
      <c r="A387" s="1">
        <v>1504</v>
      </c>
      <c r="B387" s="2" t="s">
        <v>85</v>
      </c>
      <c r="C387" s="290">
        <f>VLOOKUP($A387,K0kommunestruktur2019!$A$4:$N$425,K0kommunestruktur2020!C$3,FALSE)</f>
        <v>45747</v>
      </c>
      <c r="D387" s="177">
        <f>VLOOKUP($A387,K0kommunestruktur2019!$A$4:$N$425,K0kommunestruktur2020!D$3,FALSE)</f>
        <v>1174309</v>
      </c>
      <c r="E387" s="289">
        <f>VLOOKUP($A387,K0kommunestruktur2019!$A$4:$N$425,K0kommunestruktur2020!E$3,FALSE)</f>
        <v>46316</v>
      </c>
      <c r="F387" s="177">
        <f>VLOOKUP($A387,K0kommunestruktur2019!$A$4:$N$425,K0kommunestruktur2020!F$3,FALSE)</f>
        <v>1213350</v>
      </c>
      <c r="G387" s="289">
        <f>VLOOKUP($A387,K0kommunestruktur2019!$A$4:$N$425,K0kommunestruktur2020!G$3,FALSE)</f>
        <v>46747</v>
      </c>
      <c r="H387" s="177">
        <f>VLOOKUP($A387,K0kommunestruktur2019!$A$4:$N$425,K0kommunestruktur2020!H$3,FALSE)</f>
        <v>1296676</v>
      </c>
      <c r="I387" s="289">
        <f>VLOOKUP($A387,K0kommunestruktur2019!$A$4:$N$425,K0kommunestruktur2020!I$3,FALSE)</f>
        <v>47199</v>
      </c>
      <c r="J387" s="177">
        <f>VLOOKUP($A387,K0kommunestruktur2019!$A$4:$N$425,K0kommunestruktur2020!J$3,FALSE)</f>
        <v>1363237</v>
      </c>
      <c r="K387" s="289">
        <f>VLOOKUP($A387,K0kommunestruktur2019!$A$4:$N$425,K0kommunestruktur2020!K$3,FALSE)</f>
        <v>47510</v>
      </c>
      <c r="L387" s="177">
        <f>VLOOKUP($A387,K0kommunestruktur2019!$A$4:$N$425,K0kommunestruktur2020!L$3,FALSE)</f>
        <v>1459532</v>
      </c>
      <c r="M387" s="289">
        <f>VLOOKUP($A387,K0kommunestruktur2019!$A$4:$N$425,K0kommunestruktur2020!M$3,FALSE)</f>
        <v>47998</v>
      </c>
      <c r="N387" s="177">
        <f>VLOOKUP($A387,K0kommunestruktur2019!$A$4:$N$425,K0kommunestruktur2020!N$3,FALSE)</f>
        <v>1559319</v>
      </c>
    </row>
    <row r="388" spans="1:16" ht="13">
      <c r="A388" s="1">
        <v>1523</v>
      </c>
      <c r="B388" s="2" t="s">
        <v>92</v>
      </c>
      <c r="C388" s="290">
        <f>VLOOKUP($A388,K0kommunestruktur2019!$A$4:$N$425,K0kommunestruktur2020!C$3,FALSE)</f>
        <v>2301</v>
      </c>
      <c r="D388" s="177">
        <f>VLOOKUP($A388,K0kommunestruktur2019!$A$4:$N$425,K0kommunestruktur2020!D$3,FALSE)</f>
        <v>49948</v>
      </c>
      <c r="E388" s="289">
        <f>VLOOKUP($A388,K0kommunestruktur2019!$A$4:$N$425,K0kommunestruktur2020!E$3,FALSE)</f>
        <v>2294</v>
      </c>
      <c r="F388" s="177">
        <f>VLOOKUP($A388,K0kommunestruktur2019!$A$4:$N$425,K0kommunestruktur2020!F$3,FALSE)</f>
        <v>57694</v>
      </c>
      <c r="G388" s="289">
        <f>VLOOKUP($A388,K0kommunestruktur2019!$A$4:$N$425,K0kommunestruktur2020!G$3,FALSE)</f>
        <v>2310</v>
      </c>
      <c r="H388" s="177">
        <f>VLOOKUP($A388,K0kommunestruktur2019!$A$4:$N$425,K0kommunestruktur2020!H$3,FALSE)</f>
        <v>57007</v>
      </c>
      <c r="I388" s="289">
        <f>VLOOKUP($A388,K0kommunestruktur2019!$A$4:$N$425,K0kommunestruktur2020!I$3,FALSE)</f>
        <v>2296</v>
      </c>
      <c r="J388" s="177">
        <f>VLOOKUP($A388,K0kommunestruktur2019!$A$4:$N$425,K0kommunestruktur2020!J$3,FALSE)</f>
        <v>52710</v>
      </c>
      <c r="K388" s="289">
        <f>VLOOKUP($A388,K0kommunestruktur2019!$A$4:$N$425,K0kommunestruktur2020!K$3,FALSE)</f>
        <v>2267</v>
      </c>
      <c r="L388" s="177">
        <f>VLOOKUP($A388,K0kommunestruktur2019!$A$4:$N$425,K0kommunestruktur2020!L$3,FALSE)</f>
        <v>60208</v>
      </c>
      <c r="M388" s="289">
        <f>VLOOKUP($A388,K0kommunestruktur2019!$A$4:$N$425,K0kommunestruktur2020!M$3,FALSE)</f>
        <v>2250</v>
      </c>
      <c r="N388" s="177">
        <f>VLOOKUP($A388,K0kommunestruktur2019!$A$4:$N$425,K0kommunestruktur2020!N$3,FALSE)</f>
        <v>62662</v>
      </c>
    </row>
    <row r="389" spans="1:16" ht="13">
      <c r="A389" s="1">
        <v>1529</v>
      </c>
      <c r="B389" s="2" t="s">
        <v>97</v>
      </c>
      <c r="C389" s="290">
        <f>VLOOKUP($A389,K0kommunestruktur2019!$A$4:$N$425,K0kommunestruktur2020!C$3,FALSE)</f>
        <v>4387</v>
      </c>
      <c r="D389" s="177">
        <f>VLOOKUP($A389,K0kommunestruktur2019!$A$4:$N$425,K0kommunestruktur2020!D$3,FALSE)</f>
        <v>93598</v>
      </c>
      <c r="E389" s="289">
        <f>VLOOKUP($A389,K0kommunestruktur2019!$A$4:$N$425,K0kommunestruktur2020!E$3,FALSE)</f>
        <v>4465</v>
      </c>
      <c r="F389" s="177">
        <f>VLOOKUP($A389,K0kommunestruktur2019!$A$4:$N$425,K0kommunestruktur2020!F$3,FALSE)</f>
        <v>99262</v>
      </c>
      <c r="G389" s="289">
        <f>VLOOKUP($A389,K0kommunestruktur2019!$A$4:$N$425,K0kommunestruktur2020!G$3,FALSE)</f>
        <v>4620</v>
      </c>
      <c r="H389" s="177">
        <f>VLOOKUP($A389,K0kommunestruktur2019!$A$4:$N$425,K0kommunestruktur2020!H$3,FALSE)</f>
        <v>111556</v>
      </c>
      <c r="I389" s="289">
        <f>VLOOKUP($A389,K0kommunestruktur2019!$A$4:$N$425,K0kommunestruktur2020!I$3,FALSE)</f>
        <v>4667</v>
      </c>
      <c r="J389" s="177">
        <f>VLOOKUP($A389,K0kommunestruktur2019!$A$4:$N$425,K0kommunestruktur2020!J$3,FALSE)</f>
        <v>114146</v>
      </c>
      <c r="K389" s="289">
        <f>VLOOKUP($A389,K0kommunestruktur2019!$A$4:$N$425,K0kommunestruktur2020!K$3,FALSE)</f>
        <v>4680</v>
      </c>
      <c r="L389" s="177">
        <f>VLOOKUP($A389,K0kommunestruktur2019!$A$4:$N$425,K0kommunestruktur2020!L$3,FALSE)</f>
        <v>116891</v>
      </c>
      <c r="M389" s="289">
        <f>VLOOKUP($A389,K0kommunestruktur2019!$A$4:$N$425,K0kommunestruktur2020!M$3,FALSE)</f>
        <v>4764</v>
      </c>
      <c r="N389" s="177">
        <f>VLOOKUP($A389,K0kommunestruktur2019!$A$4:$N$425,K0kommunestruktur2020!N$3,FALSE)</f>
        <v>129233</v>
      </c>
    </row>
    <row r="390" spans="1:16" ht="13">
      <c r="A390" s="1">
        <v>1534</v>
      </c>
      <c r="B390" s="2" t="s">
        <v>100</v>
      </c>
      <c r="C390" s="290">
        <f>VLOOKUP($A390,K0kommunestruktur2019!$A$4:$N$425,K0kommunestruktur2020!C$3,FALSE)</f>
        <v>9084</v>
      </c>
      <c r="D390" s="177">
        <f>VLOOKUP($A390,K0kommunestruktur2019!$A$4:$N$425,K0kommunestruktur2020!D$3,FALSE)</f>
        <v>215808</v>
      </c>
      <c r="E390" s="289">
        <f>VLOOKUP($A390,K0kommunestruktur2019!$A$4:$N$425,K0kommunestruktur2020!E$3,FALSE)</f>
        <v>9120</v>
      </c>
      <c r="F390" s="177">
        <f>VLOOKUP($A390,K0kommunestruktur2019!$A$4:$N$425,K0kommunestruktur2020!F$3,FALSE)</f>
        <v>219138</v>
      </c>
      <c r="G390" s="289">
        <f>VLOOKUP($A390,K0kommunestruktur2019!$A$4:$N$425,K0kommunestruktur2020!G$3,FALSE)</f>
        <v>9200</v>
      </c>
      <c r="H390" s="177">
        <f>VLOOKUP($A390,K0kommunestruktur2019!$A$4:$N$425,K0kommunestruktur2020!H$3,FALSE)</f>
        <v>231827</v>
      </c>
      <c r="I390" s="289">
        <f>VLOOKUP($A390,K0kommunestruktur2019!$A$4:$N$425,K0kommunestruktur2020!I$3,FALSE)</f>
        <v>9312</v>
      </c>
      <c r="J390" s="177">
        <f>VLOOKUP($A390,K0kommunestruktur2019!$A$4:$N$425,K0kommunestruktur2020!J$3,FALSE)</f>
        <v>237154</v>
      </c>
      <c r="K390" s="289">
        <f>VLOOKUP($A390,K0kommunestruktur2019!$A$4:$N$425,K0kommunestruktur2020!K$3,FALSE)</f>
        <v>9345</v>
      </c>
      <c r="L390" s="177">
        <f>VLOOKUP($A390,K0kommunestruktur2019!$A$4:$N$425,K0kommunestruktur2020!L$3,FALSE)</f>
        <v>248949</v>
      </c>
      <c r="M390" s="289">
        <f>VLOOKUP($A390,K0kommunestruktur2019!$A$4:$N$425,K0kommunestruktur2020!M$3,FALSE)</f>
        <v>9383</v>
      </c>
      <c r="N390" s="177">
        <f>VLOOKUP($A390,K0kommunestruktur2019!$A$4:$N$425,K0kommunestruktur2020!N$3,FALSE)</f>
        <v>265960</v>
      </c>
    </row>
    <row r="391" spans="1:16" ht="13">
      <c r="A391" s="1">
        <v>1546</v>
      </c>
      <c r="B391" s="2" t="s">
        <v>105</v>
      </c>
      <c r="C391" s="290">
        <f>VLOOKUP($A391,K0kommunestruktur2019!$A$4:$N$425,K0kommunestruktur2020!C$3,FALSE)</f>
        <v>1285</v>
      </c>
      <c r="D391" s="177">
        <f>VLOOKUP($A391,K0kommunestruktur2019!$A$4:$N$425,K0kommunestruktur2020!D$3,FALSE)</f>
        <v>35372</v>
      </c>
      <c r="E391" s="289">
        <f>VLOOKUP($A391,K0kommunestruktur2019!$A$4:$N$425,K0kommunestruktur2020!E$3,FALSE)</f>
        <v>1262</v>
      </c>
      <c r="F391" s="177">
        <f>VLOOKUP($A391,K0kommunestruktur2019!$A$4:$N$425,K0kommunestruktur2020!F$3,FALSE)</f>
        <v>36460</v>
      </c>
      <c r="G391" s="289">
        <f>VLOOKUP($A391,K0kommunestruktur2019!$A$4:$N$425,K0kommunestruktur2020!G$3,FALSE)</f>
        <v>1270</v>
      </c>
      <c r="H391" s="177">
        <f>VLOOKUP($A391,K0kommunestruktur2019!$A$4:$N$425,K0kommunestruktur2020!H$3,FALSE)</f>
        <v>39495</v>
      </c>
      <c r="I391" s="289">
        <f>VLOOKUP($A391,K0kommunestruktur2019!$A$4:$N$425,K0kommunestruktur2020!I$3,FALSE)</f>
        <v>1246</v>
      </c>
      <c r="J391" s="177">
        <f>VLOOKUP($A391,K0kommunestruktur2019!$A$4:$N$425,K0kommunestruktur2020!J$3,FALSE)</f>
        <v>37801</v>
      </c>
      <c r="K391" s="289">
        <f>VLOOKUP($A391,K0kommunestruktur2019!$A$4:$N$425,K0kommunestruktur2020!K$3,FALSE)</f>
        <v>1263</v>
      </c>
      <c r="L391" s="177">
        <f>VLOOKUP($A391,K0kommunestruktur2019!$A$4:$N$425,K0kommunestruktur2020!L$3,FALSE)</f>
        <v>39378</v>
      </c>
      <c r="M391" s="289">
        <f>VLOOKUP($A391,K0kommunestruktur2019!$A$4:$N$425,K0kommunestruktur2020!M$3,FALSE)</f>
        <v>1238</v>
      </c>
      <c r="N391" s="177">
        <f>VLOOKUP($A391,K0kommunestruktur2019!$A$4:$N$425,K0kommunestruktur2020!N$3,FALSE)</f>
        <v>43169</v>
      </c>
    </row>
    <row r="392" spans="1:16" ht="13">
      <c r="A392" s="1"/>
      <c r="B392" s="894" t="s">
        <v>1673</v>
      </c>
      <c r="C392" s="290">
        <f>ROUND(SUM(C387:C391)*$M392/SUM($M387:$M391),8)</f>
        <v>-11.4827602</v>
      </c>
      <c r="D392" s="177">
        <f>+C392*SUM(D387:D391)/SUM(C387:C391)</f>
        <v>-286.8742858799917</v>
      </c>
      <c r="E392" s="289">
        <f>ROUND(SUM(E387:E391)*$M392/SUM($M387:$M391),8)</f>
        <v>-11.602151360000001</v>
      </c>
      <c r="F392" s="912">
        <f>+E392*SUM(F387:F391)/SUM(E387:E391)</f>
        <v>-297.27192121955721</v>
      </c>
      <c r="G392" s="289">
        <f>ROUND(SUM(G387:G391)*$M392/SUM($M387:$M391),8)</f>
        <v>-11.728307409999999</v>
      </c>
      <c r="H392" s="177">
        <f>+G392*SUM(H387:H391)/SUM(G387:G391)</f>
        <v>-317.50387772174861</v>
      </c>
      <c r="I392" s="289">
        <f>ROUND(SUM(I387:I391)*$M392/SUM($M387:$M391),8)</f>
        <v>-11.833071779999999</v>
      </c>
      <c r="J392" s="177">
        <f>+I392*SUM(J387:J391)/SUM(I387:I391)</f>
        <v>-330.02568835515206</v>
      </c>
      <c r="K392" s="289">
        <f>ROUND(SUM(K387:K391)*$M392/SUM($M387:$M391),8)</f>
        <v>-11.8961498</v>
      </c>
      <c r="L392" s="177">
        <f>+K392*SUM(L387:L391)/SUM(K387:K391)</f>
        <v>-351.94941561067242</v>
      </c>
      <c r="M392" s="289">
        <v>-12</v>
      </c>
      <c r="N392" s="177">
        <f>+M392*SUM(N387:N391)/SUM(M387:M391)</f>
        <v>-376.70251245562446</v>
      </c>
      <c r="O392" s="5"/>
    </row>
    <row r="393" spans="1:16" ht="13">
      <c r="A393" s="1"/>
      <c r="B393" s="885" t="s">
        <v>1839</v>
      </c>
      <c r="C393" s="290"/>
      <c r="D393" s="177"/>
      <c r="E393" s="289"/>
      <c r="F393" s="177"/>
      <c r="G393" s="289"/>
      <c r="H393" s="177"/>
      <c r="I393" s="289"/>
      <c r="J393" s="177"/>
      <c r="K393" s="289"/>
      <c r="L393" s="177"/>
      <c r="M393" s="289"/>
      <c r="O393" s="5"/>
    </row>
    <row r="394" spans="1:16" ht="13">
      <c r="A394" s="1"/>
      <c r="B394" s="2"/>
      <c r="C394" s="290"/>
      <c r="D394" s="177"/>
      <c r="E394" s="289"/>
      <c r="F394" s="177"/>
      <c r="G394" s="289"/>
      <c r="H394" s="177"/>
      <c r="I394" s="289"/>
      <c r="J394" s="177"/>
      <c r="K394" s="289"/>
      <c r="L394" s="177"/>
      <c r="M394" s="289"/>
    </row>
    <row r="395" spans="1:16" ht="13">
      <c r="A395" s="1">
        <v>1520</v>
      </c>
      <c r="B395" s="2" t="s">
        <v>91</v>
      </c>
      <c r="C395" s="290">
        <f>VLOOKUP($A395,K0kommunestruktur2019!$A$4:$N$425,K0kommunestruktur2020!C$3,FALSE)</f>
        <v>10536</v>
      </c>
      <c r="D395" s="177">
        <f>VLOOKUP($A395,K0kommunestruktur2019!$A$4:$N$425,K0kommunestruktur2020!D$3,FALSE)</f>
        <v>230939</v>
      </c>
      <c r="E395" s="289">
        <f>VLOOKUP($A395,K0kommunestruktur2019!$A$4:$N$425,K0kommunestruktur2020!E$3,FALSE)</f>
        <v>10589</v>
      </c>
      <c r="F395" s="177">
        <f>VLOOKUP($A395,K0kommunestruktur2019!$A$4:$N$425,K0kommunestruktur2020!F$3,FALSE)</f>
        <v>248077</v>
      </c>
      <c r="G395" s="289">
        <f>VLOOKUP($A395,K0kommunestruktur2019!$A$4:$N$425,K0kommunestruktur2020!G$3,FALSE)</f>
        <v>10677</v>
      </c>
      <c r="H395" s="177">
        <f>VLOOKUP($A395,K0kommunestruktur2019!$A$4:$N$425,K0kommunestruktur2020!H$3,FALSE)</f>
        <v>257414</v>
      </c>
      <c r="I395" s="289">
        <f>VLOOKUP($A395,K0kommunestruktur2019!$A$4:$N$425,K0kommunestruktur2020!I$3,FALSE)</f>
        <v>10744</v>
      </c>
      <c r="J395" s="177">
        <f>VLOOKUP($A395,K0kommunestruktur2019!$A$4:$N$425,K0kommunestruktur2020!J$3,FALSE)</f>
        <v>268472</v>
      </c>
      <c r="K395" s="289">
        <f>VLOOKUP($A395,K0kommunestruktur2019!$A$4:$N$425,K0kommunestruktur2020!K$3,FALSE)</f>
        <v>10812</v>
      </c>
      <c r="L395" s="177">
        <f>VLOOKUP($A395,K0kommunestruktur2019!$A$4:$N$425,K0kommunestruktur2020!L$3,FALSE)</f>
        <v>277117</v>
      </c>
      <c r="M395" s="289">
        <f>VLOOKUP($A395,K0kommunestruktur2019!$A$4:$N$425,K0kommunestruktur2020!M$3,FALSE)</f>
        <v>10857</v>
      </c>
      <c r="N395" s="177">
        <f>VLOOKUP($A395,K0kommunestruktur2019!$A$4:$N$425,K0kommunestruktur2020!N$3,FALSE)</f>
        <v>286052</v>
      </c>
      <c r="O395" s="177"/>
    </row>
    <row r="396" spans="1:16" ht="13">
      <c r="A396" s="1"/>
      <c r="B396" s="894" t="s">
        <v>1678</v>
      </c>
      <c r="C396" s="290">
        <f>ROUND(C395*$M396/$M395,8)</f>
        <v>-101.89555126</v>
      </c>
      <c r="D396" s="177">
        <f>D395*C396/C395</f>
        <v>-2233.4526112787721</v>
      </c>
      <c r="E396" s="289">
        <f>ROUND(E395*$M396/$M395,8)</f>
        <v>-102.40812379</v>
      </c>
      <c r="F396" s="912">
        <f>F395*E396/E395</f>
        <v>-2399.1972920438034</v>
      </c>
      <c r="G396" s="289">
        <f>ROUND(G395*$M396/$M395,8)</f>
        <v>-103.25918762000001</v>
      </c>
      <c r="H396" s="177">
        <f>H395*G396/G395</f>
        <v>-2489.4970986245839</v>
      </c>
      <c r="I396" s="289">
        <f>ROUND(I395*$M396/$M395,8)</f>
        <v>-103.90715667000001</v>
      </c>
      <c r="J396" s="177">
        <f>J395*I396/I395</f>
        <v>-2596.441005724892</v>
      </c>
      <c r="K396" s="289">
        <f>ROUND(K395*$M396/$M395,8)</f>
        <v>-104.56479691</v>
      </c>
      <c r="L396" s="177">
        <f>L395*K396/K395</f>
        <v>-2680.0483560218709</v>
      </c>
      <c r="M396" s="289">
        <v>-105</v>
      </c>
      <c r="N396" s="177">
        <f>N395*M396/M395</f>
        <v>-2766.4603481624758</v>
      </c>
      <c r="O396" s="177"/>
      <c r="P396" s="5">
        <f>+C396/C395</f>
        <v>-9.6711798842065311E-3</v>
      </c>
    </row>
    <row r="397" spans="1:16" ht="13">
      <c r="A397" s="1"/>
      <c r="B397" s="885" t="s">
        <v>1838</v>
      </c>
      <c r="C397" s="290"/>
      <c r="D397" s="177">
        <v>228267.617</v>
      </c>
      <c r="E397" s="289"/>
      <c r="F397" s="177">
        <v>245508.929</v>
      </c>
      <c r="G397" s="289"/>
      <c r="H397" s="177">
        <v>255048.40599999999</v>
      </c>
      <c r="I397" s="289"/>
      <c r="J397" s="177">
        <v>266090.43400000001</v>
      </c>
      <c r="K397" s="289"/>
      <c r="L397" s="177">
        <v>274798</v>
      </c>
      <c r="M397" s="289"/>
      <c r="N397" s="177">
        <v>278135.3138836092</v>
      </c>
    </row>
    <row r="398" spans="1:16" ht="13">
      <c r="A398" s="1"/>
      <c r="B398" s="2"/>
      <c r="C398" s="290"/>
      <c r="D398" s="177"/>
      <c r="E398" s="289"/>
      <c r="F398" s="177"/>
      <c r="G398" s="289"/>
      <c r="H398" s="177"/>
      <c r="I398" s="289"/>
      <c r="J398" s="177"/>
      <c r="K398" s="289"/>
      <c r="L398" s="177"/>
      <c r="M398" s="289"/>
    </row>
    <row r="399" spans="1:16" ht="13">
      <c r="A399" s="1">
        <v>1547</v>
      </c>
      <c r="B399" s="2" t="s">
        <v>106</v>
      </c>
      <c r="C399" s="290">
        <f>VLOOKUP($A399,K0kommunestruktur2019!$A$4:$N$425,K0kommunestruktur2020!C$3,FALSE)</f>
        <v>3377</v>
      </c>
      <c r="D399" s="177">
        <f>VLOOKUP($A399,K0kommunestruktur2019!$A$4:$N$425,K0kommunestruktur2020!D$3,FALSE)</f>
        <v>84225</v>
      </c>
      <c r="E399" s="289">
        <f>VLOOKUP($A399,K0kommunestruktur2019!$A$4:$N$425,K0kommunestruktur2020!E$3,FALSE)</f>
        <v>3466</v>
      </c>
      <c r="F399" s="177">
        <f>VLOOKUP($A399,K0kommunestruktur2019!$A$4:$N$425,K0kommunestruktur2020!F$3,FALSE)</f>
        <v>91555</v>
      </c>
      <c r="G399" s="289">
        <f>VLOOKUP($A399,K0kommunestruktur2019!$A$4:$N$425,K0kommunestruktur2020!G$3,FALSE)</f>
        <v>3518</v>
      </c>
      <c r="H399" s="177">
        <f>VLOOKUP($A399,K0kommunestruktur2019!$A$4:$N$425,K0kommunestruktur2020!H$3,FALSE)</f>
        <v>97276</v>
      </c>
      <c r="I399" s="289">
        <f>VLOOKUP($A399,K0kommunestruktur2019!$A$4:$N$425,K0kommunestruktur2020!I$3,FALSE)</f>
        <v>3547</v>
      </c>
      <c r="J399" s="177">
        <f>VLOOKUP($A399,K0kommunestruktur2019!$A$4:$N$425,K0kommunestruktur2020!J$3,FALSE)</f>
        <v>102416</v>
      </c>
      <c r="K399" s="289">
        <f>VLOOKUP($A399,K0kommunestruktur2019!$A$4:$N$425,K0kommunestruktur2020!K$3,FALSE)</f>
        <v>3557</v>
      </c>
      <c r="L399" s="177">
        <f>VLOOKUP($A399,K0kommunestruktur2019!$A$4:$N$425,K0kommunestruktur2020!L$3,FALSE)</f>
        <v>97066</v>
      </c>
      <c r="M399" s="289">
        <f>VLOOKUP($A399,K0kommunestruktur2019!$A$4:$N$425,K0kommunestruktur2020!M$3,FALSE)</f>
        <v>3539</v>
      </c>
      <c r="N399" s="177">
        <f>VLOOKUP($A399,K0kommunestruktur2019!$A$4:$N$425,K0kommunestruktur2020!N$3,FALSE)</f>
        <v>106389</v>
      </c>
      <c r="O399" s="177"/>
    </row>
    <row r="400" spans="1:16" ht="13">
      <c r="A400" s="1"/>
      <c r="B400" s="894" t="s">
        <v>1673</v>
      </c>
      <c r="C400" s="290">
        <f>ROUND(C399*$M400/$M399,8)</f>
        <v>11.450692289999999</v>
      </c>
      <c r="D400" s="177">
        <f>+C400*D399/C399</f>
        <v>285.58914957810185</v>
      </c>
      <c r="E400" s="289">
        <f>ROUND(E399*$M400/$M399,8)</f>
        <v>11.752472450000001</v>
      </c>
      <c r="F400" s="912">
        <f>+E400*F399/E399</f>
        <v>310.44362814764861</v>
      </c>
      <c r="G400" s="289">
        <f>ROUND(G399*$M400/$M399,8)</f>
        <v>11.92879344</v>
      </c>
      <c r="H400" s="177">
        <f>+G400*H399/G399</f>
        <v>329.8423282175782</v>
      </c>
      <c r="I400" s="289">
        <f>ROUND(I399*$M400/$M399,8)</f>
        <v>12.02712631</v>
      </c>
      <c r="J400" s="177">
        <f>+I400*J399/I399</f>
        <v>347.27098059344797</v>
      </c>
      <c r="K400" s="289">
        <f>ROUND(K399*$M400/$M399,8)</f>
        <v>12.061034190000001</v>
      </c>
      <c r="L400" s="177">
        <f>+K400*L399/K399</f>
        <v>329.1302627738375</v>
      </c>
      <c r="M400" s="289">
        <f t="shared" ref="M400" si="56">-M392</f>
        <v>12</v>
      </c>
      <c r="N400" s="177">
        <f>+M400*N399/M399</f>
        <v>360.74258265046626</v>
      </c>
      <c r="O400" s="177"/>
    </row>
    <row r="401" spans="1:16" ht="13">
      <c r="A401" s="1"/>
      <c r="B401" s="2"/>
      <c r="C401" s="290"/>
      <c r="D401" s="177"/>
      <c r="E401" s="289"/>
      <c r="F401" s="177"/>
      <c r="G401" s="289"/>
      <c r="H401" s="177"/>
      <c r="I401" s="289"/>
      <c r="J401" s="177"/>
      <c r="K401" s="289"/>
      <c r="L401" s="177"/>
      <c r="M401" s="289"/>
    </row>
    <row r="402" spans="1:16" ht="13">
      <c r="A402" s="1">
        <v>1444</v>
      </c>
      <c r="B402" s="2" t="s">
        <v>81</v>
      </c>
      <c r="C402" s="290">
        <f>VLOOKUP($A402,K0kommunestruktur2019!$A$4:$N$425,K0kommunestruktur2020!C$3,FALSE)+14</f>
        <v>1223</v>
      </c>
      <c r="D402" s="177">
        <f>+K0kommunestruktur2019!D450</f>
        <v>21735</v>
      </c>
      <c r="E402" s="289">
        <f>VLOOKUP($A402,K0kommunestruktur2019!$A$4:$N$425,K0kommunestruktur2020!E$3,FALSE)+14</f>
        <v>1221</v>
      </c>
      <c r="F402" s="177">
        <f>+K0kommunestruktur2019!F450</f>
        <v>22709</v>
      </c>
      <c r="G402" s="289">
        <f>VLOOKUP($A402,K0kommunestruktur2019!$A$4:$N$425,K0kommunestruktur2020!G$3,FALSE)+14</f>
        <v>1200</v>
      </c>
      <c r="H402" s="177">
        <f>+K0kommunestruktur2019!H450</f>
        <v>24138</v>
      </c>
      <c r="I402" s="289">
        <f>VLOOKUP($A402,K0kommunestruktur2019!$A$4:$N$425,K0kommunestruktur2020!I$3,FALSE)+14</f>
        <v>1198</v>
      </c>
      <c r="J402" s="177">
        <f>+K0kommunestruktur2019!J450</f>
        <v>24790</v>
      </c>
      <c r="K402" s="289">
        <f>VLOOKUP($A402,K0kommunestruktur2019!$A$4:$N$425,K0kommunestruktur2020!K$3,FALSE)+14</f>
        <v>1175</v>
      </c>
      <c r="L402" s="177">
        <f>+K0kommunestruktur2019!L450</f>
        <v>26735</v>
      </c>
      <c r="M402" s="289">
        <f>VLOOKUP($A402,K0kommunestruktur2019!$A$4:$N$425,K0kommunestruktur2020!M$3,FALSE)</f>
        <v>1152</v>
      </c>
      <c r="N402" s="177">
        <f>VLOOKUP($A402,K0kommunestruktur2019!$A$4:$N$425,K0kommunestruktur2020!N$3,FALSE)</f>
        <v>28142</v>
      </c>
    </row>
    <row r="403" spans="1:16" ht="13">
      <c r="A403" s="1">
        <v>1519</v>
      </c>
      <c r="B403" s="2" t="s">
        <v>90</v>
      </c>
      <c r="C403" s="290">
        <f>VLOOKUP($A403,K0kommunestruktur2019!$A$4:$N$425,K0kommunestruktur2020!C$3,FALSE)</f>
        <v>8909</v>
      </c>
      <c r="D403" s="177">
        <f>VLOOKUP($A403,K0kommunestruktur2019!$A$4:$N$425,K0kommunestruktur2020!D$3,FALSE)</f>
        <v>184301</v>
      </c>
      <c r="E403" s="289">
        <f>VLOOKUP($A403,K0kommunestruktur2019!$A$4:$N$425,K0kommunestruktur2020!E$3,FALSE)</f>
        <v>8977</v>
      </c>
      <c r="F403" s="177">
        <f>VLOOKUP($A403,K0kommunestruktur2019!$A$4:$N$425,K0kommunestruktur2020!F$3,FALSE)</f>
        <v>193969</v>
      </c>
      <c r="G403" s="289">
        <f>VLOOKUP($A403,K0kommunestruktur2019!$A$4:$N$425,K0kommunestruktur2020!G$3,FALSE)</f>
        <v>9037</v>
      </c>
      <c r="H403" s="177">
        <f>VLOOKUP($A403,K0kommunestruktur2019!$A$4:$N$425,K0kommunestruktur2020!H$3,FALSE)</f>
        <v>206755</v>
      </c>
      <c r="I403" s="289">
        <f>VLOOKUP($A403,K0kommunestruktur2019!$A$4:$N$425,K0kommunestruktur2020!I$3,FALSE)</f>
        <v>9102</v>
      </c>
      <c r="J403" s="177">
        <f>VLOOKUP($A403,K0kommunestruktur2019!$A$4:$N$425,K0kommunestruktur2020!J$3,FALSE)</f>
        <v>209347</v>
      </c>
      <c r="K403" s="289">
        <f>VLOOKUP($A403,K0kommunestruktur2019!$A$4:$N$425,K0kommunestruktur2020!K$3,FALSE)</f>
        <v>9188</v>
      </c>
      <c r="L403" s="177">
        <f>VLOOKUP($A403,K0kommunestruktur2019!$A$4:$N$425,K0kommunestruktur2020!L$3,FALSE)</f>
        <v>222531</v>
      </c>
      <c r="M403" s="289">
        <f>VLOOKUP($A403,K0kommunestruktur2019!$A$4:$N$425,K0kommunestruktur2020!M$3,FALSE)</f>
        <v>9197</v>
      </c>
      <c r="N403" s="177">
        <f>VLOOKUP($A403,K0kommunestruktur2019!$A$4:$N$425,K0kommunestruktur2020!N$3,FALSE)</f>
        <v>227273</v>
      </c>
    </row>
    <row r="404" spans="1:16" ht="13">
      <c r="A404" s="1"/>
      <c r="B404" s="894" t="s">
        <v>1678</v>
      </c>
      <c r="C404" s="290">
        <f>ROUND(SUM(C402:C403)*$M404/SUM($M402:$M403),8)</f>
        <v>102.798338</v>
      </c>
      <c r="D404" s="177">
        <f>C404*(D402+D403)/(C402+C403)</f>
        <v>2090.4222629459141</v>
      </c>
      <c r="E404" s="289">
        <f>ROUND(SUM(E402:E403)*$M404/SUM($M402:$M403),8)</f>
        <v>103.46796792000001</v>
      </c>
      <c r="F404" s="912">
        <f>E404*(F402+F403)/(E402+E403)</f>
        <v>2198.3950140193924</v>
      </c>
      <c r="G404" s="289">
        <f>ROUND(SUM(G402:G403)*$M404/SUM($M402:$M403),8)</f>
        <v>103.86365832</v>
      </c>
      <c r="H404" s="177">
        <f>G404*(H402+H403)/(G402+G403)</f>
        <v>2342.6190935312843</v>
      </c>
      <c r="I404" s="289">
        <f>ROUND(SUM(I402:I403)*$M404/SUM($M402:$M403),8)</f>
        <v>104.50285052</v>
      </c>
      <c r="J404" s="177">
        <f>I404*(J402+J403)/(I402+I403)</f>
        <v>2375.5324186603148</v>
      </c>
      <c r="K404" s="289">
        <f>ROUND(SUM(K402:K403)*$M404/SUM($M402:$M403),8)</f>
        <v>105.14204271</v>
      </c>
      <c r="L404" s="177">
        <f>K404*(L402+L403)/(K402+K403)</f>
        <v>2529.0298579707478</v>
      </c>
      <c r="M404" s="289">
        <f t="shared" ref="M404" si="57">-M396</f>
        <v>105</v>
      </c>
      <c r="N404" s="177">
        <f>M404*(N402+N403)/(M402+M403)</f>
        <v>2591.417045125133</v>
      </c>
      <c r="O404" s="5"/>
      <c r="P404" s="989"/>
    </row>
    <row r="405" spans="1:16" ht="13">
      <c r="A405" s="1"/>
      <c r="B405" s="2"/>
      <c r="C405" s="290"/>
      <c r="D405" s="177"/>
      <c r="E405" s="289"/>
      <c r="F405" s="177"/>
      <c r="G405" s="289"/>
      <c r="H405" s="177"/>
      <c r="I405" s="289"/>
      <c r="J405" s="177"/>
      <c r="K405" s="289"/>
      <c r="L405" s="177"/>
      <c r="M405" s="289"/>
    </row>
    <row r="406" spans="1:16" ht="13">
      <c r="A406" s="1">
        <v>1524</v>
      </c>
      <c r="B406" s="2" t="s">
        <v>93</v>
      </c>
      <c r="C406" s="290">
        <f>VLOOKUP($A406,K0kommunestruktur2019!$A$4:$N$425,K0kommunestruktur2020!C$3,FALSE)</f>
        <v>1685</v>
      </c>
      <c r="D406" s="177">
        <f>VLOOKUP($A406,K0kommunestruktur2019!$A$4:$N$425,K0kommunestruktur2020!D$3,FALSE)</f>
        <v>43261</v>
      </c>
      <c r="E406" s="289">
        <f>VLOOKUP($A406,K0kommunestruktur2019!$A$4:$N$425,K0kommunestruktur2020!E$3,FALSE)</f>
        <v>1676</v>
      </c>
      <c r="F406" s="177">
        <f>VLOOKUP($A406,K0kommunestruktur2019!$A$4:$N$425,K0kommunestruktur2020!F$3,FALSE)</f>
        <v>43658</v>
      </c>
      <c r="G406" s="289">
        <f>VLOOKUP($A406,K0kommunestruktur2019!$A$4:$N$425,K0kommunestruktur2020!G$3,FALSE)</f>
        <v>1652</v>
      </c>
      <c r="H406" s="177">
        <f>VLOOKUP($A406,K0kommunestruktur2019!$A$4:$N$425,K0kommunestruktur2020!H$3,FALSE)</f>
        <v>45958</v>
      </c>
      <c r="I406" s="289">
        <f>VLOOKUP($A406,K0kommunestruktur2019!$A$4:$N$425,K0kommunestruktur2020!I$3,FALSE)</f>
        <v>1663</v>
      </c>
      <c r="J406" s="177">
        <f>VLOOKUP($A406,K0kommunestruktur2019!$A$4:$N$425,K0kommunestruktur2020!J$3,FALSE)</f>
        <v>50740</v>
      </c>
      <c r="K406" s="289">
        <f>VLOOKUP($A406,K0kommunestruktur2019!$A$4:$N$425,K0kommunestruktur2020!K$3,FALSE)</f>
        <v>1670</v>
      </c>
      <c r="L406" s="177">
        <f>VLOOKUP($A406,K0kommunestruktur2019!$A$4:$N$425,K0kommunestruktur2020!L$3,FALSE)</f>
        <v>48307</v>
      </c>
      <c r="M406" s="289">
        <f>VLOOKUP($A406,K0kommunestruktur2019!$A$4:$N$425,K0kommunestruktur2020!M$3,FALSE)</f>
        <v>1645</v>
      </c>
      <c r="N406" s="177">
        <f>VLOOKUP($A406,K0kommunestruktur2019!$A$4:$N$425,K0kommunestruktur2020!N$3,FALSE)</f>
        <v>46265</v>
      </c>
    </row>
    <row r="407" spans="1:16" ht="13">
      <c r="A407" s="1">
        <v>1526</v>
      </c>
      <c r="B407" s="2" t="s">
        <v>95</v>
      </c>
      <c r="C407" s="290">
        <f>VLOOKUP($A407,K0kommunestruktur2019!$A$4:$N$425,K0kommunestruktur2020!C$3,FALSE)</f>
        <v>1035</v>
      </c>
      <c r="D407" s="177">
        <f>VLOOKUP($A407,K0kommunestruktur2019!$A$4:$N$425,K0kommunestruktur2020!D$3,FALSE)</f>
        <v>18576</v>
      </c>
      <c r="E407" s="289">
        <f>VLOOKUP($A407,K0kommunestruktur2019!$A$4:$N$425,K0kommunestruktur2020!E$3,FALSE)</f>
        <v>1043</v>
      </c>
      <c r="F407" s="177">
        <f>VLOOKUP($A407,K0kommunestruktur2019!$A$4:$N$425,K0kommunestruktur2020!F$3,FALSE)</f>
        <v>18571</v>
      </c>
      <c r="G407" s="289">
        <f>VLOOKUP($A407,K0kommunestruktur2019!$A$4:$N$425,K0kommunestruktur2020!G$3,FALSE)</f>
        <v>1020</v>
      </c>
      <c r="H407" s="177">
        <f>VLOOKUP($A407,K0kommunestruktur2019!$A$4:$N$425,K0kommunestruktur2020!H$3,FALSE)</f>
        <v>20380</v>
      </c>
      <c r="I407" s="289">
        <f>VLOOKUP($A407,K0kommunestruktur2019!$A$4:$N$425,K0kommunestruktur2020!I$3,FALSE)</f>
        <v>1005</v>
      </c>
      <c r="J407" s="177">
        <f>VLOOKUP($A407,K0kommunestruktur2019!$A$4:$N$425,K0kommunestruktur2020!J$3,FALSE)</f>
        <v>21129</v>
      </c>
      <c r="K407" s="289">
        <f>VLOOKUP($A407,K0kommunestruktur2019!$A$4:$N$425,K0kommunestruktur2020!K$3,FALSE)</f>
        <v>972</v>
      </c>
      <c r="L407" s="177">
        <f>VLOOKUP($A407,K0kommunestruktur2019!$A$4:$N$425,K0kommunestruktur2020!L$3,FALSE)</f>
        <v>22562</v>
      </c>
      <c r="M407" s="289">
        <f>VLOOKUP($A407,K0kommunestruktur2019!$A$4:$N$425,K0kommunestruktur2020!M$3,FALSE)</f>
        <v>947</v>
      </c>
      <c r="N407" s="177">
        <f>VLOOKUP($A407,K0kommunestruktur2019!$A$4:$N$425,K0kommunestruktur2020!N$3,FALSE)</f>
        <v>22435</v>
      </c>
    </row>
    <row r="408" spans="1:16" ht="13">
      <c r="A408" s="1"/>
      <c r="B408" s="2"/>
      <c r="C408" s="290"/>
      <c r="D408" s="177"/>
      <c r="E408" s="289"/>
      <c r="F408" s="177"/>
      <c r="G408" s="289"/>
      <c r="H408" s="177"/>
      <c r="I408" s="289"/>
      <c r="J408" s="177"/>
      <c r="K408" s="289"/>
      <c r="L408" s="177"/>
      <c r="M408" s="289"/>
    </row>
    <row r="409" spans="1:16" ht="13">
      <c r="A409" s="1">
        <v>1548</v>
      </c>
      <c r="B409" s="2" t="s">
        <v>107</v>
      </c>
      <c r="C409" s="290">
        <f>VLOOKUP($A409,K0kommunestruktur2019!$A$4:$N$425,K0kommunestruktur2020!C$3,FALSE)</f>
        <v>9720</v>
      </c>
      <c r="D409" s="177">
        <f>VLOOKUP($A409,K0kommunestruktur2019!$A$4:$N$425,K0kommunestruktur2020!D$3,FALSE)</f>
        <v>202953</v>
      </c>
      <c r="E409" s="289">
        <f>VLOOKUP($A409,K0kommunestruktur2019!$A$4:$N$425,K0kommunestruktur2020!E$3,FALSE)</f>
        <v>9787</v>
      </c>
      <c r="F409" s="177">
        <f>VLOOKUP($A409,K0kommunestruktur2019!$A$4:$N$425,K0kommunestruktur2020!F$3,FALSE)</f>
        <v>211898</v>
      </c>
      <c r="G409" s="289">
        <f>VLOOKUP($A409,K0kommunestruktur2019!$A$4:$N$425,K0kommunestruktur2020!G$3,FALSE)</f>
        <v>9717</v>
      </c>
      <c r="H409" s="177">
        <f>VLOOKUP($A409,K0kommunestruktur2019!$A$4:$N$425,K0kommunestruktur2020!H$3,FALSE)</f>
        <v>222394</v>
      </c>
      <c r="I409" s="289">
        <f>VLOOKUP($A409,K0kommunestruktur2019!$A$4:$N$425,K0kommunestruktur2020!I$3,FALSE)</f>
        <v>9741</v>
      </c>
      <c r="J409" s="177">
        <f>VLOOKUP($A409,K0kommunestruktur2019!$A$4:$N$425,K0kommunestruktur2020!J$3,FALSE)</f>
        <v>238648</v>
      </c>
      <c r="K409" s="289">
        <f>VLOOKUP($A409,K0kommunestruktur2019!$A$4:$N$425,K0kommunestruktur2020!K$3,FALSE)</f>
        <v>9775</v>
      </c>
      <c r="L409" s="177">
        <f>VLOOKUP($A409,K0kommunestruktur2019!$A$4:$N$425,K0kommunestruktur2020!L$3,FALSE)</f>
        <v>253366</v>
      </c>
      <c r="M409" s="289">
        <f>VLOOKUP($A409,K0kommunestruktur2019!$A$4:$N$425,K0kommunestruktur2020!M$3,FALSE)</f>
        <v>9800</v>
      </c>
      <c r="N409" s="177">
        <f>VLOOKUP($A409,K0kommunestruktur2019!$A$4:$N$425,K0kommunestruktur2020!N$3,FALSE)</f>
        <v>257648</v>
      </c>
    </row>
    <row r="410" spans="1:16" ht="13">
      <c r="A410" s="1">
        <v>1551</v>
      </c>
      <c r="B410" s="2" t="s">
        <v>108</v>
      </c>
      <c r="C410" s="290">
        <f>VLOOKUP($A410,K0kommunestruktur2019!$A$4:$N$425,K0kommunestruktur2020!C$3,FALSE)</f>
        <v>3471</v>
      </c>
      <c r="D410" s="177">
        <f>VLOOKUP($A410,K0kommunestruktur2019!$A$4:$N$425,K0kommunestruktur2020!D$3,FALSE)</f>
        <v>70518</v>
      </c>
      <c r="E410" s="289">
        <f>VLOOKUP($A410,K0kommunestruktur2019!$A$4:$N$425,K0kommunestruktur2020!E$3,FALSE)</f>
        <v>3463</v>
      </c>
      <c r="F410" s="177">
        <f>VLOOKUP($A410,K0kommunestruktur2019!$A$4:$N$425,K0kommunestruktur2020!F$3,FALSE)</f>
        <v>76467</v>
      </c>
      <c r="G410" s="289">
        <f>VLOOKUP($A410,K0kommunestruktur2019!$A$4:$N$425,K0kommunestruktur2020!G$3,FALSE)</f>
        <v>3467</v>
      </c>
      <c r="H410" s="177">
        <f>VLOOKUP($A410,K0kommunestruktur2019!$A$4:$N$425,K0kommunestruktur2020!H$3,FALSE)</f>
        <v>82666</v>
      </c>
      <c r="I410" s="289">
        <f>VLOOKUP($A410,K0kommunestruktur2019!$A$4:$N$425,K0kommunestruktur2020!I$3,FALSE)</f>
        <v>3454</v>
      </c>
      <c r="J410" s="177">
        <f>VLOOKUP($A410,K0kommunestruktur2019!$A$4:$N$425,K0kommunestruktur2020!J$3,FALSE)</f>
        <v>83031</v>
      </c>
      <c r="K410" s="289">
        <f>VLOOKUP($A410,K0kommunestruktur2019!$A$4:$N$425,K0kommunestruktur2020!K$3,FALSE)</f>
        <v>3440</v>
      </c>
      <c r="L410" s="177">
        <f>VLOOKUP($A410,K0kommunestruktur2019!$A$4:$N$425,K0kommunestruktur2020!L$3,FALSE)</f>
        <v>86542</v>
      </c>
      <c r="M410" s="289">
        <f>VLOOKUP($A410,K0kommunestruktur2019!$A$4:$N$425,K0kommunestruktur2020!M$3,FALSE)</f>
        <v>3433</v>
      </c>
      <c r="N410" s="177">
        <f>VLOOKUP($A410,K0kommunestruktur2019!$A$4:$N$425,K0kommunestruktur2020!N$3,FALSE)</f>
        <v>88737</v>
      </c>
    </row>
    <row r="411" spans="1:16" ht="13">
      <c r="A411" s="1"/>
      <c r="B411" s="2"/>
      <c r="C411" s="290"/>
      <c r="D411" s="177"/>
      <c r="E411" s="289"/>
      <c r="F411" s="177"/>
      <c r="G411" s="289"/>
      <c r="H411" s="177"/>
      <c r="I411" s="289"/>
      <c r="J411" s="177"/>
      <c r="K411" s="289"/>
      <c r="L411" s="177"/>
      <c r="M411" s="289"/>
    </row>
    <row r="412" spans="1:16" ht="13">
      <c r="A412" s="1">
        <v>1805</v>
      </c>
      <c r="B412" s="2" t="s">
        <v>175</v>
      </c>
      <c r="C412" s="290">
        <f>VLOOKUP($A412,K0kommunestruktur2019!$A$4:$N$425,K0kommunestruktur2020!C$3,FALSE)</f>
        <v>18705</v>
      </c>
      <c r="D412" s="289">
        <f>VLOOKUP($A412,K0kommunestruktur2019!$A$4:$N$425,K0kommunestruktur2020!D$3,FALSE)</f>
        <v>414485</v>
      </c>
      <c r="E412" s="289">
        <f>VLOOKUP($A412,K0kommunestruktur2019!$A$4:$N$425,K0kommunestruktur2020!E$3,FALSE)</f>
        <v>18853</v>
      </c>
      <c r="F412" s="289">
        <f>VLOOKUP($A412,K0kommunestruktur2019!$A$4:$N$425,K0kommunestruktur2020!F$3,FALSE)</f>
        <v>450486</v>
      </c>
      <c r="G412" s="289">
        <f>VLOOKUP($A412,K0kommunestruktur2019!$A$4:$N$425,K0kommunestruktur2020!G$3,FALSE)</f>
        <v>18787</v>
      </c>
      <c r="H412" s="289">
        <f>VLOOKUP($A412,K0kommunestruktur2019!$A$4:$N$425,K0kommunestruktur2020!H$3,FALSE)</f>
        <v>482286</v>
      </c>
      <c r="I412" s="289">
        <f>VLOOKUP($A412,K0kommunestruktur2019!$A$4:$N$425,K0kommunestruktur2020!I$3,FALSE)</f>
        <v>18756</v>
      </c>
      <c r="J412" s="289">
        <f>VLOOKUP($A412,K0kommunestruktur2019!$A$4:$N$425,K0kommunestruktur2020!J$3,FALSE)</f>
        <v>503411</v>
      </c>
      <c r="K412" s="289">
        <f>VLOOKUP($A412,K0kommunestruktur2019!$A$4:$N$425,K0kommunestruktur2020!K$3,FALSE)</f>
        <v>18638</v>
      </c>
      <c r="L412" s="289">
        <f>VLOOKUP($A412,K0kommunestruktur2019!$A$4:$N$425,K0kommunestruktur2020!L$3,FALSE)</f>
        <v>525327</v>
      </c>
      <c r="M412" s="289">
        <f>VLOOKUP($A412,K0kommunestruktur2019!$A$4:$N$425,K0kommunestruktur2020!M$3,FALSE)</f>
        <v>18630</v>
      </c>
      <c r="N412" s="289">
        <f>VLOOKUP($A412,K0kommunestruktur2019!$A$4:$N$425,K0kommunestruktur2020!N$3,FALSE)</f>
        <v>524405</v>
      </c>
    </row>
    <row r="413" spans="1:16" ht="13">
      <c r="A413" s="1">
        <v>1854</v>
      </c>
      <c r="B413" s="2" t="s">
        <v>205</v>
      </c>
      <c r="C413" s="290">
        <f>VLOOKUP($A413,K0kommunestruktur2019!$A$4:$N$425,K0kommunestruktur2020!C$3,FALSE)</f>
        <v>2591</v>
      </c>
      <c r="D413" s="289">
        <f>VLOOKUP($A413,K0kommunestruktur2019!$A$4:$N$425,K0kommunestruktur2020!D$3,FALSE)</f>
        <v>43185</v>
      </c>
      <c r="E413" s="289">
        <f>VLOOKUP($A413,K0kommunestruktur2019!$A$4:$N$425,K0kommunestruktur2020!E$3,FALSE)</f>
        <v>2581</v>
      </c>
      <c r="F413" s="289">
        <f>VLOOKUP($A413,K0kommunestruktur2019!$A$4:$N$425,K0kommunestruktur2020!F$3,FALSE)</f>
        <v>46719</v>
      </c>
      <c r="G413" s="289">
        <f>VLOOKUP($A413,K0kommunestruktur2019!$A$4:$N$425,K0kommunestruktur2020!G$3,FALSE)</f>
        <v>2556</v>
      </c>
      <c r="H413" s="289">
        <f>VLOOKUP($A413,K0kommunestruktur2019!$A$4:$N$425,K0kommunestruktur2020!H$3,FALSE)</f>
        <v>49901</v>
      </c>
      <c r="I413" s="289">
        <f>VLOOKUP($A413,K0kommunestruktur2019!$A$4:$N$425,K0kommunestruktur2020!I$3,FALSE)</f>
        <v>2554</v>
      </c>
      <c r="J413" s="289">
        <f>VLOOKUP($A413,K0kommunestruktur2019!$A$4:$N$425,K0kommunestruktur2020!J$3,FALSE)</f>
        <v>51010</v>
      </c>
      <c r="K413" s="289">
        <f>VLOOKUP($A413,K0kommunestruktur2019!$A$4:$N$425,K0kommunestruktur2020!K$3,FALSE)</f>
        <v>2522</v>
      </c>
      <c r="L413" s="289">
        <f>VLOOKUP($A413,K0kommunestruktur2019!$A$4:$N$425,K0kommunestruktur2020!L$3,FALSE)</f>
        <v>53063</v>
      </c>
      <c r="M413" s="289">
        <f>VLOOKUP($A413,K0kommunestruktur2019!$A$4:$N$425,K0kommunestruktur2020!M$3,FALSE)</f>
        <v>2470</v>
      </c>
      <c r="N413" s="289">
        <f>VLOOKUP($A413,K0kommunestruktur2019!$A$4:$N$425,K0kommunestruktur2020!N$3,FALSE)</f>
        <v>52910</v>
      </c>
    </row>
    <row r="414" spans="1:16" ht="13">
      <c r="A414" s="1">
        <v>1850</v>
      </c>
      <c r="B414" s="894" t="s">
        <v>1685</v>
      </c>
      <c r="C414" s="289">
        <f>ROUND(K0kommunestruktur2019!C153*$M414/($M414+$M418),8)</f>
        <v>924.67532468000002</v>
      </c>
      <c r="D414" s="177">
        <f>($M414/($M418+$M414))*D419</f>
        <v>16640.884805194804</v>
      </c>
      <c r="E414" s="289">
        <f>ROUND(K0kommunestruktur2019!E153*$M414/($M414+$M418),8)</f>
        <v>922.82597403</v>
      </c>
      <c r="F414" s="177">
        <f>($M414/($M418+$M414))*F419</f>
        <v>17938.915823376621</v>
      </c>
      <c r="G414" s="289">
        <f>ROUND(K0kommunestruktur2019!G153*$M414/($M414+$M418),8)</f>
        <v>912.65454545</v>
      </c>
      <c r="H414" s="177">
        <f>($M414/($M418+$M414))*H419</f>
        <v>18432.437698701298</v>
      </c>
      <c r="I414" s="289">
        <f>ROUND(K0kommunestruktur2019!I153*$M414/($M414+$M418),8)</f>
        <v>906.18181818000005</v>
      </c>
      <c r="J414" s="177">
        <f>($M414/($M418+$M414))*J419</f>
        <v>19163.721802597403</v>
      </c>
      <c r="K414" s="289">
        <f>ROUND(K0kommunestruktur2019!K153*$M414/($M414+$M418),8)</f>
        <v>902.94545455000002</v>
      </c>
      <c r="L414" s="177">
        <f>($M414/($M418+$M414))*L419</f>
        <v>19881.444155844154</v>
      </c>
      <c r="M414" s="289">
        <f>(890/VLOOKUP($A414,K0kommunestruktur2019!$A$4:$N$425,13,FALSE))*VLOOKUP($A414,K0kommunestruktur2019!$A$4:$N$425,K0kommunestruktur2020!M$3,FALSE)</f>
        <v>890</v>
      </c>
      <c r="N414" s="177">
        <f>($M414/($M418+$M414))*N419</f>
        <v>20543.440180086578</v>
      </c>
    </row>
    <row r="415" spans="1:16" ht="13">
      <c r="A415" s="1"/>
      <c r="B415" s="885" t="s">
        <v>1840</v>
      </c>
      <c r="C415" s="289"/>
      <c r="D415" s="177">
        <v>35992.925000000003</v>
      </c>
      <c r="E415" s="289"/>
      <c r="F415" s="177">
        <v>38800.464</v>
      </c>
      <c r="G415" s="289"/>
      <c r="H415" s="177">
        <v>39867.913</v>
      </c>
      <c r="I415" s="289"/>
      <c r="J415" s="177">
        <v>41449.623</v>
      </c>
      <c r="K415" s="289"/>
      <c r="L415" s="177">
        <v>43002</v>
      </c>
      <c r="M415" s="289"/>
      <c r="N415" s="177">
        <f>+N419</f>
        <v>44433.845333333331</v>
      </c>
    </row>
    <row r="416" spans="1:16" ht="13">
      <c r="A416" s="1"/>
      <c r="B416" s="2"/>
      <c r="C416" s="290"/>
      <c r="D416" s="177"/>
      <c r="E416" s="289"/>
      <c r="F416" s="177"/>
      <c r="G416" s="289"/>
      <c r="H416" s="177"/>
      <c r="I416" s="289"/>
      <c r="J416" s="177"/>
      <c r="K416" s="289"/>
      <c r="L416" s="177"/>
      <c r="M416" s="289"/>
    </row>
    <row r="417" spans="1:14" ht="13">
      <c r="A417" s="1">
        <v>1849</v>
      </c>
      <c r="B417" s="2" t="s">
        <v>200</v>
      </c>
      <c r="C417" s="290">
        <f>VLOOKUP($A417,K0kommunestruktur2019!$A$4:$N$425,K0kommunestruktur2020!C$3,FALSE)</f>
        <v>1820</v>
      </c>
      <c r="D417" s="177">
        <f>VLOOKUP($A417,K0kommunestruktur2019!$A$4:$N$425,K0kommunestruktur2020!D$3,FALSE)</f>
        <v>39940</v>
      </c>
      <c r="E417" s="289">
        <f>VLOOKUP($A417,K0kommunestruktur2019!$A$4:$N$425,K0kommunestruktur2020!E$3,FALSE)</f>
        <v>1811</v>
      </c>
      <c r="F417" s="177">
        <f>VLOOKUP($A417,K0kommunestruktur2019!$A$4:$N$425,K0kommunestruktur2020!F$3,FALSE)</f>
        <v>42101</v>
      </c>
      <c r="G417" s="289">
        <f>VLOOKUP($A417,K0kommunestruktur2019!$A$4:$N$425,K0kommunestruktur2020!G$3,FALSE)</f>
        <v>1824</v>
      </c>
      <c r="H417" s="177">
        <f>VLOOKUP($A417,K0kommunestruktur2019!$A$4:$N$425,K0kommunestruktur2020!H$3,FALSE)</f>
        <v>46151</v>
      </c>
      <c r="I417" s="289">
        <f>VLOOKUP($A417,K0kommunestruktur2019!$A$4:$N$425,K0kommunestruktur2020!I$3,FALSE)</f>
        <v>1810</v>
      </c>
      <c r="J417" s="177">
        <f>VLOOKUP($A417,K0kommunestruktur2019!$A$4:$N$425,K0kommunestruktur2020!J$3,FALSE)</f>
        <v>46172</v>
      </c>
      <c r="K417" s="289">
        <f>VLOOKUP($A417,K0kommunestruktur2019!$A$4:$N$425,K0kommunestruktur2020!K$3,FALSE)</f>
        <v>1801</v>
      </c>
      <c r="L417" s="177">
        <f>VLOOKUP($A417,K0kommunestruktur2019!$A$4:$N$425,K0kommunestruktur2020!L$3,FALSE)</f>
        <v>49651</v>
      </c>
      <c r="M417" s="289">
        <f>VLOOKUP($A417,K0kommunestruktur2019!$A$4:$N$425,K0kommunestruktur2020!M$3,FALSE)</f>
        <v>1747</v>
      </c>
      <c r="N417" s="177">
        <f>VLOOKUP($A417,K0kommunestruktur2019!$A$4:$N$425,K0kommunestruktur2020!N$3,FALSE)</f>
        <v>50853</v>
      </c>
    </row>
    <row r="418" spans="1:14" ht="13">
      <c r="A418" s="1">
        <v>1850</v>
      </c>
      <c r="B418" s="894" t="s">
        <v>1685</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(1035/VLOOKUP($A418,K0kommunestruktur2019!$A$4:$N$425,13,FALSE))*VLOOKUP($A418,K0kommunestruktur2019!$A$4:$N$425,K0kommunestruktur2020!M$3,FALSE)</f>
        <v>1035</v>
      </c>
      <c r="N418" s="177">
        <f>($M418/($M418+$M414))*N419+N420</f>
        <v>27289.559819913415</v>
      </c>
    </row>
    <row r="419" spans="1:14" ht="13">
      <c r="A419" s="1"/>
      <c r="B419" s="885" t="s">
        <v>1840</v>
      </c>
      <c r="C419" s="290"/>
      <c r="D419" s="177">
        <v>35992.925000000003</v>
      </c>
      <c r="E419" s="289"/>
      <c r="F419" s="177">
        <v>38800.464</v>
      </c>
      <c r="G419" s="289"/>
      <c r="H419" s="177">
        <v>39867.913</v>
      </c>
      <c r="I419" s="289"/>
      <c r="J419" s="177">
        <v>41449.623</v>
      </c>
      <c r="K419" s="289"/>
      <c r="L419" s="177">
        <v>43002</v>
      </c>
      <c r="M419" s="289"/>
      <c r="N419" s="177">
        <f>+K0kommunestruktur2019!N153-N420</f>
        <v>44433.845333333331</v>
      </c>
    </row>
    <row r="420" spans="1:14" ht="13">
      <c r="A420" s="1"/>
      <c r="B420" s="885" t="s">
        <v>1841</v>
      </c>
      <c r="C420" s="290"/>
      <c r="D420" s="177">
        <v>3419.0749999999998</v>
      </c>
      <c r="E420" s="289"/>
      <c r="F420" s="177">
        <v>3341.5360000000001</v>
      </c>
      <c r="G420" s="289"/>
      <c r="H420" s="177">
        <v>3409.087</v>
      </c>
      <c r="I420" s="289"/>
      <c r="J420" s="177">
        <v>3358.377</v>
      </c>
      <c r="K420" s="289"/>
      <c r="L420" s="177">
        <v>3430</v>
      </c>
      <c r="M420" s="289"/>
      <c r="N420" s="177">
        <v>3399.1546666666668</v>
      </c>
    </row>
    <row r="421" spans="1:14" ht="13">
      <c r="A421" s="1"/>
      <c r="B421" s="2"/>
      <c r="C421" s="290"/>
      <c r="D421" s="177"/>
      <c r="E421" s="289"/>
      <c r="F421" s="177"/>
      <c r="G421" s="289"/>
      <c r="H421" s="177"/>
      <c r="I421" s="289"/>
      <c r="J421" s="177"/>
      <c r="K421" s="289"/>
      <c r="L421" s="177"/>
      <c r="M421" s="289"/>
    </row>
    <row r="422" spans="1:14" ht="13">
      <c r="A422" s="1">
        <v>104</v>
      </c>
      <c r="B422" s="2" t="s">
        <v>784</v>
      </c>
      <c r="C422" s="290">
        <f>VLOOKUP($A422,K0kommunestruktur2019!$A$4:$N$425,K0kommunestruktur2020!C$3,FALSE)</f>
        <v>31308</v>
      </c>
      <c r="D422" s="177">
        <f>VLOOKUP($A422,K0kommunestruktur2019!$A$4:$N$425,K0kommunestruktur2020!D$3,FALSE)</f>
        <v>654723</v>
      </c>
      <c r="E422" s="289">
        <f>VLOOKUP($A422,K0kommunestruktur2019!$A$4:$N$425,K0kommunestruktur2020!E$3,FALSE)</f>
        <v>31802</v>
      </c>
      <c r="F422" s="177">
        <f>VLOOKUP($A422,K0kommunestruktur2019!$A$4:$N$425,K0kommunestruktur2020!F$3,FALSE)</f>
        <v>706367</v>
      </c>
      <c r="G422" s="289">
        <f>VLOOKUP($A422,K0kommunestruktur2019!$A$4:$N$425,K0kommunestruktur2020!G$3,FALSE)</f>
        <v>32182</v>
      </c>
      <c r="H422" s="177">
        <f>VLOOKUP($A422,K0kommunestruktur2019!$A$4:$N$425,K0kommunestruktur2020!H$3,FALSE)</f>
        <v>780688</v>
      </c>
      <c r="I422" s="289">
        <f>VLOOKUP($A422,K0kommunestruktur2019!$A$4:$N$425,K0kommunestruktur2020!I$3,FALSE)</f>
        <v>32407</v>
      </c>
      <c r="J422" s="177">
        <f>VLOOKUP($A422,K0kommunestruktur2019!$A$4:$N$425,K0kommunestruktur2020!J$3,FALSE)</f>
        <v>804643</v>
      </c>
      <c r="K422" s="289">
        <f>VLOOKUP($A422,K0kommunestruktur2019!$A$4:$N$425,K0kommunestruktur2020!K$3,FALSE)</f>
        <v>32588</v>
      </c>
      <c r="L422" s="177">
        <f>VLOOKUP($A422,K0kommunestruktur2019!$A$4:$N$425,K0kommunestruktur2020!L$3,FALSE)</f>
        <v>850407</v>
      </c>
      <c r="M422" s="289">
        <f>VLOOKUP($A422,K0kommunestruktur2019!$A$4:$N$425,K0kommunestruktur2020!M$3,FALSE)</f>
        <v>32726</v>
      </c>
      <c r="N422" s="177">
        <f>VLOOKUP($A422,K0kommunestruktur2019!$A$4:$N$425,K0kommunestruktur2020!N$3,FALSE)</f>
        <v>900954</v>
      </c>
    </row>
    <row r="423" spans="1:14" ht="13">
      <c r="A423" s="1">
        <v>136</v>
      </c>
      <c r="B423" s="2" t="s">
        <v>798</v>
      </c>
      <c r="C423" s="290">
        <f>VLOOKUP($A423,K0kommunestruktur2019!$A$4:$N$425,K0kommunestruktur2020!C$3,FALSE)</f>
        <v>15101</v>
      </c>
      <c r="D423" s="177">
        <f>VLOOKUP($A423,K0kommunestruktur2019!$A$4:$N$425,K0kommunestruktur2020!D$3,FALSE)</f>
        <v>333585</v>
      </c>
      <c r="E423" s="289">
        <f>VLOOKUP($A423,K0kommunestruktur2019!$A$4:$N$425,K0kommunestruktur2020!E$3,FALSE)</f>
        <v>15242</v>
      </c>
      <c r="F423" s="177">
        <f>VLOOKUP($A423,K0kommunestruktur2019!$A$4:$N$425,K0kommunestruktur2020!F$3,FALSE)</f>
        <v>364572</v>
      </c>
      <c r="G423" s="289">
        <f>VLOOKUP($A423,K0kommunestruktur2019!$A$4:$N$425,K0kommunestruktur2020!G$3,FALSE)</f>
        <v>15458</v>
      </c>
      <c r="H423" s="177">
        <f>VLOOKUP($A423,K0kommunestruktur2019!$A$4:$N$425,K0kommunestruktur2020!H$3,FALSE)</f>
        <v>407583</v>
      </c>
      <c r="I423" s="289">
        <f>VLOOKUP($A423,K0kommunestruktur2019!$A$4:$N$425,K0kommunestruktur2020!I$3,FALSE)</f>
        <v>15747</v>
      </c>
      <c r="J423" s="177">
        <f>VLOOKUP($A423,K0kommunestruktur2019!$A$4:$N$425,K0kommunestruktur2020!J$3,FALSE)</f>
        <v>432231</v>
      </c>
      <c r="K423" s="289">
        <f>VLOOKUP($A423,K0kommunestruktur2019!$A$4:$N$425,K0kommunestruktur2020!K$3,FALSE)</f>
        <v>16083</v>
      </c>
      <c r="L423" s="177">
        <f>VLOOKUP($A423,K0kommunestruktur2019!$A$4:$N$425,K0kommunestruktur2020!L$3,FALSE)</f>
        <v>467477</v>
      </c>
      <c r="M423" s="289">
        <f>VLOOKUP($A423,K0kommunestruktur2019!$A$4:$N$425,K0kommunestruktur2020!M$3,FALSE)</f>
        <v>16145</v>
      </c>
      <c r="N423" s="177">
        <f>VLOOKUP($A423,K0kommunestruktur2019!$A$4:$N$425,K0kommunestruktur2020!N$3,FALSE)</f>
        <v>476607</v>
      </c>
    </row>
    <row r="424" spans="1:14" ht="13">
      <c r="A424" s="1"/>
      <c r="B424" s="2"/>
      <c r="C424" s="290"/>
      <c r="D424" s="177"/>
      <c r="E424" s="289"/>
      <c r="F424" s="177"/>
      <c r="G424" s="289"/>
      <c r="H424" s="177"/>
      <c r="I424" s="289"/>
      <c r="J424" s="177"/>
      <c r="K424" s="289"/>
      <c r="L424" s="177"/>
      <c r="M424" s="289"/>
    </row>
    <row r="425" spans="1:14" ht="13">
      <c r="A425" s="1">
        <v>602</v>
      </c>
      <c r="B425" s="2" t="s">
        <v>871</v>
      </c>
      <c r="C425" s="290">
        <f>VLOOKUP($A425,K0kommunestruktur2019!$A$4:$N$425,K0kommunestruktur2020!C$3,FALSE)</f>
        <v>66214</v>
      </c>
      <c r="D425" s="177">
        <f>VLOOKUP($A425,K0kommunestruktur2019!$A$4:$N$425,K0kommunestruktur2020!D$3,FALSE)</f>
        <v>1613484</v>
      </c>
      <c r="E425" s="289">
        <f>VLOOKUP($A425,K0kommunestruktur2019!$A$4:$N$425,K0kommunestruktur2020!E$3,FALSE)</f>
        <v>67016</v>
      </c>
      <c r="F425" s="177">
        <f>VLOOKUP($A425,K0kommunestruktur2019!$A$4:$N$425,K0kommunestruktur2020!F$3,FALSE)</f>
        <v>1706967</v>
      </c>
      <c r="G425" s="289">
        <f>VLOOKUP($A425,K0kommunestruktur2019!$A$4:$N$425,K0kommunestruktur2020!G$3,FALSE)</f>
        <v>67895</v>
      </c>
      <c r="H425" s="177">
        <f>VLOOKUP($A425,K0kommunestruktur2019!$A$4:$N$425,K0kommunestruktur2020!H$3,FALSE)</f>
        <v>1893427</v>
      </c>
      <c r="I425" s="289">
        <f>VLOOKUP($A425,K0kommunestruktur2019!$A$4:$N$425,K0kommunestruktur2020!I$3,FALSE)</f>
        <v>68363</v>
      </c>
      <c r="J425" s="177">
        <f>VLOOKUP($A425,K0kommunestruktur2019!$A$4:$N$425,K0kommunestruktur2020!J$3,FALSE)</f>
        <v>2001966</v>
      </c>
      <c r="K425" s="289">
        <f>VLOOKUP($A425,K0kommunestruktur2019!$A$4:$N$425,K0kommunestruktur2020!K$3,FALSE)</f>
        <v>68713</v>
      </c>
      <c r="L425" s="177">
        <f>VLOOKUP($A425,K0kommunestruktur2019!$A$4:$N$425,K0kommunestruktur2020!L$3,FALSE)</f>
        <v>2041109</v>
      </c>
      <c r="M425" s="289">
        <f>VLOOKUP($A425,K0kommunestruktur2019!$A$4:$N$425,K0kommunestruktur2020!M$3,FALSE)</f>
        <v>68933</v>
      </c>
      <c r="N425" s="177">
        <f>VLOOKUP($A425,K0kommunestruktur2019!$A$4:$N$425,K0kommunestruktur2020!N$3,FALSE)</f>
        <v>2125721</v>
      </c>
    </row>
    <row r="426" spans="1:14" ht="13">
      <c r="A426" s="1">
        <v>625</v>
      </c>
      <c r="B426" s="2" t="s">
        <v>885</v>
      </c>
      <c r="C426" s="290">
        <f>VLOOKUP($A426,K0kommunestruktur2019!$A$4:$N$425,K0kommunestruktur2020!C$3,FALSE)</f>
        <v>23811</v>
      </c>
      <c r="D426" s="177">
        <f>VLOOKUP($A426,K0kommunestruktur2019!$A$4:$N$425,K0kommunestruktur2020!D$3,FALSE)</f>
        <v>493252</v>
      </c>
      <c r="E426" s="289">
        <f>VLOOKUP($A426,K0kommunestruktur2019!$A$4:$N$425,K0kommunestruktur2020!E$3,FALSE)</f>
        <v>24154</v>
      </c>
      <c r="F426" s="177">
        <f>VLOOKUP($A426,K0kommunestruktur2019!$A$4:$N$425,K0kommunestruktur2020!F$3,FALSE)</f>
        <v>541773</v>
      </c>
      <c r="G426" s="289">
        <f>VLOOKUP($A426,K0kommunestruktur2019!$A$4:$N$425,K0kommunestruktur2020!G$3,FALSE)</f>
        <v>24431</v>
      </c>
      <c r="H426" s="177">
        <f>VLOOKUP($A426,K0kommunestruktur2019!$A$4:$N$425,K0kommunestruktur2020!H$3,FALSE)</f>
        <v>584271</v>
      </c>
      <c r="I426" s="289">
        <f>VLOOKUP($A426,K0kommunestruktur2019!$A$4:$N$425,K0kommunestruktur2020!I$3,FALSE)</f>
        <v>24718</v>
      </c>
      <c r="J426" s="177">
        <f>VLOOKUP($A426,K0kommunestruktur2019!$A$4:$N$425,K0kommunestruktur2020!J$3,FALSE)</f>
        <v>609858</v>
      </c>
      <c r="K426" s="289">
        <f>VLOOKUP($A426,K0kommunestruktur2019!$A$4:$N$425,K0kommunestruktur2020!K$3,FALSE)</f>
        <v>24917</v>
      </c>
      <c r="L426" s="177">
        <f>VLOOKUP($A426,K0kommunestruktur2019!$A$4:$N$425,K0kommunestruktur2020!L$3,FALSE)</f>
        <v>633764</v>
      </c>
      <c r="M426" s="289">
        <f>VLOOKUP($A426,K0kommunestruktur2019!$A$4:$N$425,K0kommunestruktur2020!M$3,FALSE)</f>
        <v>24963</v>
      </c>
      <c r="N426" s="177">
        <f>VLOOKUP($A426,K0kommunestruktur2019!$A$4:$N$425,K0kommunestruktur2020!N$3,FALSE)</f>
        <v>664991</v>
      </c>
    </row>
    <row r="427" spans="1:14" ht="13">
      <c r="A427" s="1">
        <v>711</v>
      </c>
      <c r="B427" s="2" t="s">
        <v>896</v>
      </c>
      <c r="C427" s="290">
        <f>VLOOKUP($A427,K0kommunestruktur2019!$A$4:$N$425,K0kommunestruktur2020!C$3,FALSE)</f>
        <v>6580</v>
      </c>
      <c r="D427" s="177">
        <f>VLOOKUP($A427,K0kommunestruktur2019!$A$4:$N$425,K0kommunestruktur2020!D$3,FALSE)</f>
        <v>138705</v>
      </c>
      <c r="E427" s="289">
        <f>VLOOKUP($A427,K0kommunestruktur2019!$A$4:$N$425,K0kommunestruktur2020!E$3,FALSE)</f>
        <v>6601</v>
      </c>
      <c r="F427" s="177">
        <f>VLOOKUP($A427,K0kommunestruktur2019!$A$4:$N$425,K0kommunestruktur2020!F$3,FALSE)</f>
        <v>146397</v>
      </c>
      <c r="G427" s="289">
        <f>VLOOKUP($A427,K0kommunestruktur2019!$A$4:$N$425,K0kommunestruktur2020!G$3,FALSE)</f>
        <v>6604</v>
      </c>
      <c r="H427" s="177">
        <f>VLOOKUP($A427,K0kommunestruktur2019!$A$4:$N$425,K0kommunestruktur2020!H$3,FALSE)</f>
        <v>160212</v>
      </c>
      <c r="I427" s="289">
        <f>VLOOKUP($A427,K0kommunestruktur2019!$A$4:$N$425,K0kommunestruktur2020!I$3,FALSE)</f>
        <v>6653</v>
      </c>
      <c r="J427" s="177">
        <f>VLOOKUP($A427,K0kommunestruktur2019!$A$4:$N$425,K0kommunestruktur2020!J$3,FALSE)</f>
        <v>164536</v>
      </c>
      <c r="K427" s="289">
        <f>VLOOKUP($A427,K0kommunestruktur2019!$A$4:$N$425,K0kommunestruktur2020!K$3,FALSE)</f>
        <v>6672</v>
      </c>
      <c r="L427" s="177">
        <f>VLOOKUP($A427,K0kommunestruktur2019!$A$4:$N$425,K0kommunestruktur2020!L$3,FALSE)</f>
        <v>172141</v>
      </c>
      <c r="M427" s="289">
        <f>VLOOKUP($A427,K0kommunestruktur2019!$A$4:$N$425,K0kommunestruktur2020!M$3,FALSE)</f>
        <v>6685</v>
      </c>
      <c r="N427" s="177">
        <f>VLOOKUP($A427,K0kommunestruktur2019!$A$4:$N$425,K0kommunestruktur2020!N$3,FALSE)</f>
        <v>178213</v>
      </c>
    </row>
    <row r="428" spans="1:14" ht="13">
      <c r="A428" s="1"/>
      <c r="B428" s="2"/>
      <c r="C428" s="290"/>
      <c r="D428" s="177"/>
      <c r="E428" s="289"/>
      <c r="F428" s="177"/>
      <c r="G428" s="289"/>
      <c r="H428" s="177"/>
      <c r="I428" s="289"/>
      <c r="J428" s="177"/>
      <c r="K428" s="289"/>
      <c r="L428" s="177"/>
      <c r="M428" s="289"/>
    </row>
    <row r="429" spans="1:14" ht="13">
      <c r="A429" s="1">
        <v>122</v>
      </c>
      <c r="B429" s="2" t="s">
        <v>791</v>
      </c>
      <c r="C429" s="290">
        <f>VLOOKUP($A429,K0kommunestruktur2019!$A$4:$N$425,K0kommunestruktur2020!C$3,FALSE)</f>
        <v>5366</v>
      </c>
      <c r="D429" s="177">
        <f>VLOOKUP($A429,K0kommunestruktur2019!$A$4:$N$425,K0kommunestruktur2020!D$3,FALSE)</f>
        <v>106758</v>
      </c>
      <c r="E429" s="289">
        <f>VLOOKUP($A429,K0kommunestruktur2019!$A$4:$N$425,K0kommunestruktur2020!E$3,FALSE)</f>
        <v>5346</v>
      </c>
      <c r="F429" s="177">
        <f>VLOOKUP($A429,K0kommunestruktur2019!$A$4:$N$425,K0kommunestruktur2020!F$3,FALSE)</f>
        <v>114965</v>
      </c>
      <c r="G429" s="289">
        <f>VLOOKUP($A429,K0kommunestruktur2019!$A$4:$N$425,K0kommunestruktur2020!G$3,FALSE)</f>
        <v>5343</v>
      </c>
      <c r="H429" s="177">
        <f>VLOOKUP($A429,K0kommunestruktur2019!$A$4:$N$425,K0kommunestruktur2020!H$3,FALSE)</f>
        <v>125619</v>
      </c>
      <c r="I429" s="289">
        <f>VLOOKUP($A429,K0kommunestruktur2019!$A$4:$N$425,K0kommunestruktur2020!I$3,FALSE)</f>
        <v>5367</v>
      </c>
      <c r="J429" s="177">
        <f>VLOOKUP($A429,K0kommunestruktur2019!$A$4:$N$425,K0kommunestruktur2020!J$3,FALSE)</f>
        <v>132106</v>
      </c>
      <c r="K429" s="289">
        <f>VLOOKUP($A429,K0kommunestruktur2019!$A$4:$N$425,K0kommunestruktur2020!K$3,FALSE)</f>
        <v>5337</v>
      </c>
      <c r="L429" s="177">
        <f>VLOOKUP($A429,K0kommunestruktur2019!$A$4:$N$425,K0kommunestruktur2020!L$3,FALSE)</f>
        <v>136209</v>
      </c>
      <c r="M429" s="289">
        <f>VLOOKUP($A429,K0kommunestruktur2019!$A$4:$N$425,K0kommunestruktur2020!M$3,FALSE)</f>
        <v>5347</v>
      </c>
      <c r="N429" s="177">
        <f>VLOOKUP($A429,K0kommunestruktur2019!$A$4:$N$425,K0kommunestruktur2020!N$3,FALSE)</f>
        <v>136422</v>
      </c>
    </row>
    <row r="430" spans="1:14" ht="13">
      <c r="A430" s="1">
        <v>123</v>
      </c>
      <c r="B430" s="2" t="s">
        <v>792</v>
      </c>
      <c r="C430" s="290">
        <f>VLOOKUP($A430,K0kommunestruktur2019!$A$4:$N$425,K0kommunestruktur2020!C$3,FALSE)</f>
        <v>5620</v>
      </c>
      <c r="D430" s="177">
        <f>VLOOKUP($A430,K0kommunestruktur2019!$A$4:$N$425,K0kommunestruktur2020!D$3,FALSE)</f>
        <v>124611</v>
      </c>
      <c r="E430" s="289">
        <f>VLOOKUP($A430,K0kommunestruktur2019!$A$4:$N$425,K0kommunestruktur2020!E$3,FALSE)</f>
        <v>5692</v>
      </c>
      <c r="F430" s="177">
        <f>VLOOKUP($A430,K0kommunestruktur2019!$A$4:$N$425,K0kommunestruktur2020!F$3,FALSE)</f>
        <v>131932</v>
      </c>
      <c r="G430" s="289">
        <f>VLOOKUP($A430,K0kommunestruktur2019!$A$4:$N$425,K0kommunestruktur2020!G$3,FALSE)</f>
        <v>5736</v>
      </c>
      <c r="H430" s="177">
        <f>VLOOKUP($A430,K0kommunestruktur2019!$A$4:$N$425,K0kommunestruktur2020!H$3,FALSE)</f>
        <v>148475</v>
      </c>
      <c r="I430" s="289">
        <f>VLOOKUP($A430,K0kommunestruktur2019!$A$4:$N$425,K0kommunestruktur2020!I$3,FALSE)</f>
        <v>5765</v>
      </c>
      <c r="J430" s="177">
        <f>VLOOKUP($A430,K0kommunestruktur2019!$A$4:$N$425,K0kommunestruktur2020!J$3,FALSE)</f>
        <v>152464</v>
      </c>
      <c r="K430" s="289">
        <f>VLOOKUP($A430,K0kommunestruktur2019!$A$4:$N$425,K0kommunestruktur2020!K$3,FALSE)</f>
        <v>5853</v>
      </c>
      <c r="L430" s="177">
        <f>VLOOKUP($A430,K0kommunestruktur2019!$A$4:$N$425,K0kommunestruktur2020!L$3,FALSE)</f>
        <v>162032</v>
      </c>
      <c r="M430" s="289">
        <f>VLOOKUP($A430,K0kommunestruktur2019!$A$4:$N$425,K0kommunestruktur2020!M$3,FALSE)</f>
        <v>6042</v>
      </c>
      <c r="N430" s="177">
        <f>VLOOKUP($A430,K0kommunestruktur2019!$A$4:$N$425,K0kommunestruktur2020!N$3,FALSE)</f>
        <v>175085</v>
      </c>
    </row>
    <row r="431" spans="1:14" ht="13">
      <c r="A431" s="1">
        <v>124</v>
      </c>
      <c r="B431" s="2" t="s">
        <v>793</v>
      </c>
      <c r="C431" s="290">
        <f>VLOOKUP($A431,K0kommunestruktur2019!$A$4:$N$425,K0kommunestruktur2020!C$3,FALSE)</f>
        <v>15430</v>
      </c>
      <c r="D431" s="177">
        <f>VLOOKUP($A431,K0kommunestruktur2019!$A$4:$N$425,K0kommunestruktur2020!D$3,FALSE)</f>
        <v>329976</v>
      </c>
      <c r="E431" s="289">
        <f>VLOOKUP($A431,K0kommunestruktur2019!$A$4:$N$425,K0kommunestruktur2020!E$3,FALSE)</f>
        <v>15513</v>
      </c>
      <c r="F431" s="177">
        <f>VLOOKUP($A431,K0kommunestruktur2019!$A$4:$N$425,K0kommunestruktur2020!F$3,FALSE)</f>
        <v>348072</v>
      </c>
      <c r="G431" s="289">
        <f>VLOOKUP($A431,K0kommunestruktur2019!$A$4:$N$425,K0kommunestruktur2020!G$3,FALSE)</f>
        <v>15615</v>
      </c>
      <c r="H431" s="177">
        <f>VLOOKUP($A431,K0kommunestruktur2019!$A$4:$N$425,K0kommunestruktur2020!H$3,FALSE)</f>
        <v>381956</v>
      </c>
      <c r="I431" s="289">
        <f>VLOOKUP($A431,K0kommunestruktur2019!$A$4:$N$425,K0kommunestruktur2020!I$3,FALSE)</f>
        <v>15720</v>
      </c>
      <c r="J431" s="177">
        <f>VLOOKUP($A431,K0kommunestruktur2019!$A$4:$N$425,K0kommunestruktur2020!J$3,FALSE)</f>
        <v>406616</v>
      </c>
      <c r="K431" s="289">
        <f>VLOOKUP($A431,K0kommunestruktur2019!$A$4:$N$425,K0kommunestruktur2020!K$3,FALSE)</f>
        <v>15810</v>
      </c>
      <c r="L431" s="177">
        <f>VLOOKUP($A431,K0kommunestruktur2019!$A$4:$N$425,K0kommunestruktur2020!L$3,FALSE)</f>
        <v>423469</v>
      </c>
      <c r="M431" s="289">
        <f>VLOOKUP($A431,K0kommunestruktur2019!$A$4:$N$425,K0kommunestruktur2020!M$3,FALSE)</f>
        <v>15865</v>
      </c>
      <c r="N431" s="177">
        <f>VLOOKUP($A431,K0kommunestruktur2019!$A$4:$N$425,K0kommunestruktur2020!N$3,FALSE)</f>
        <v>439426</v>
      </c>
    </row>
    <row r="432" spans="1:14" ht="13">
      <c r="A432" s="1">
        <v>125</v>
      </c>
      <c r="B432" s="2" t="s">
        <v>794</v>
      </c>
      <c r="C432" s="290">
        <f>VLOOKUP($A432,K0kommunestruktur2019!$A$4:$N$425,K0kommunestruktur2020!C$3,FALSE)</f>
        <v>11323</v>
      </c>
      <c r="D432" s="177">
        <f>VLOOKUP($A432,K0kommunestruktur2019!$A$4:$N$425,K0kommunestruktur2020!D$3,FALSE)</f>
        <v>224909</v>
      </c>
      <c r="E432" s="289">
        <f>VLOOKUP($A432,K0kommunestruktur2019!$A$4:$N$425,K0kommunestruktur2020!E$3,FALSE)</f>
        <v>11353</v>
      </c>
      <c r="F432" s="177">
        <f>VLOOKUP($A432,K0kommunestruktur2019!$A$4:$N$425,K0kommunestruktur2020!F$3,FALSE)</f>
        <v>237494</v>
      </c>
      <c r="G432" s="289">
        <f>VLOOKUP($A432,K0kommunestruktur2019!$A$4:$N$425,K0kommunestruktur2020!G$3,FALSE)</f>
        <v>11396</v>
      </c>
      <c r="H432" s="177">
        <f>VLOOKUP($A432,K0kommunestruktur2019!$A$4:$N$425,K0kommunestruktur2020!H$3,FALSE)</f>
        <v>263678</v>
      </c>
      <c r="I432" s="289">
        <f>VLOOKUP($A432,K0kommunestruktur2019!$A$4:$N$425,K0kommunestruktur2020!I$3,FALSE)</f>
        <v>11406</v>
      </c>
      <c r="J432" s="177">
        <f>VLOOKUP($A432,K0kommunestruktur2019!$A$4:$N$425,K0kommunestruktur2020!J$3,FALSE)</f>
        <v>272231</v>
      </c>
      <c r="K432" s="289">
        <f>VLOOKUP($A432,K0kommunestruktur2019!$A$4:$N$425,K0kommunestruktur2020!K$3,FALSE)</f>
        <v>11414</v>
      </c>
      <c r="L432" s="177">
        <f>VLOOKUP($A432,K0kommunestruktur2019!$A$4:$N$425,K0kommunestruktur2020!L$3,FALSE)</f>
        <v>287718</v>
      </c>
      <c r="M432" s="289">
        <f>VLOOKUP($A432,K0kommunestruktur2019!$A$4:$N$425,K0kommunestruktur2020!M$3,FALSE)</f>
        <v>11424</v>
      </c>
      <c r="N432" s="177">
        <f>VLOOKUP($A432,K0kommunestruktur2019!$A$4:$N$425,K0kommunestruktur2020!N$3,FALSE)</f>
        <v>296904</v>
      </c>
    </row>
    <row r="433" spans="1:15" ht="13">
      <c r="A433" s="1">
        <v>138</v>
      </c>
      <c r="B433" s="2" t="s">
        <v>800</v>
      </c>
      <c r="C433" s="290">
        <f>VLOOKUP($A433,K0kommunestruktur2019!$A$4:$N$425,K0kommunestruktur2020!C$3,FALSE)</f>
        <v>5187</v>
      </c>
      <c r="D433" s="177">
        <f>VLOOKUP($A433,K0kommunestruktur2019!$A$4:$N$425,K0kommunestruktur2020!D$3,FALSE)</f>
        <v>107464</v>
      </c>
      <c r="E433" s="289">
        <f>VLOOKUP($A433,K0kommunestruktur2019!$A$4:$N$425,K0kommunestruktur2020!E$3,FALSE)</f>
        <v>5343</v>
      </c>
      <c r="F433" s="177">
        <f>VLOOKUP($A433,K0kommunestruktur2019!$A$4:$N$425,K0kommunestruktur2020!F$3,FALSE)</f>
        <v>119637</v>
      </c>
      <c r="G433" s="289">
        <f>VLOOKUP($A433,K0kommunestruktur2019!$A$4:$N$425,K0kommunestruktur2020!G$3,FALSE)</f>
        <v>5382</v>
      </c>
      <c r="H433" s="177">
        <f>VLOOKUP($A433,K0kommunestruktur2019!$A$4:$N$425,K0kommunestruktur2020!H$3,FALSE)</f>
        <v>134439</v>
      </c>
      <c r="I433" s="289">
        <f>VLOOKUP($A433,K0kommunestruktur2019!$A$4:$N$425,K0kommunestruktur2020!I$3,FALSE)</f>
        <v>5557</v>
      </c>
      <c r="J433" s="177">
        <f>VLOOKUP($A433,K0kommunestruktur2019!$A$4:$N$425,K0kommunestruktur2020!J$3,FALSE)</f>
        <v>138030</v>
      </c>
      <c r="K433" s="289">
        <f>VLOOKUP($A433,K0kommunestruktur2019!$A$4:$N$425,K0kommunestruktur2020!K$3,FALSE)</f>
        <v>5621</v>
      </c>
      <c r="L433" s="177">
        <f>VLOOKUP($A433,K0kommunestruktur2019!$A$4:$N$425,K0kommunestruktur2020!L$3,FALSE)</f>
        <v>146576</v>
      </c>
      <c r="M433" s="289">
        <f>VLOOKUP($A433,K0kommunestruktur2019!$A$4:$N$425,K0kommunestruktur2020!M$3,FALSE)</f>
        <v>5642</v>
      </c>
      <c r="N433" s="177">
        <f>VLOOKUP($A433,K0kommunestruktur2019!$A$4:$N$425,K0kommunestruktur2020!N$3,FALSE)</f>
        <v>156525</v>
      </c>
    </row>
    <row r="434" spans="1:15" ht="13">
      <c r="A434" s="1"/>
      <c r="B434" s="2"/>
      <c r="C434" s="290"/>
      <c r="D434" s="177"/>
      <c r="E434" s="289"/>
      <c r="F434" s="177"/>
      <c r="G434" s="289"/>
      <c r="H434" s="177"/>
      <c r="I434" s="289"/>
      <c r="J434" s="177"/>
      <c r="K434" s="289"/>
      <c r="L434" s="177"/>
      <c r="M434" s="289"/>
    </row>
    <row r="435" spans="1:15" ht="13">
      <c r="A435" s="1">
        <v>213</v>
      </c>
      <c r="B435" s="2" t="s">
        <v>802</v>
      </c>
      <c r="C435" s="290">
        <f>VLOOKUP($A435,K0kommunestruktur2019!$A$4:$N$425,K0kommunestruktur2020!C$3,FALSE)</f>
        <v>29542</v>
      </c>
      <c r="D435" s="177">
        <f>VLOOKUP($A435,K0kommunestruktur2019!$A$4:$N$425,K0kommunestruktur2020!D$3,FALSE)</f>
        <v>770043</v>
      </c>
      <c r="E435" s="289">
        <f>VLOOKUP($A435,K0kommunestruktur2019!$A$4:$N$425,K0kommunestruktur2020!E$3,FALSE)</f>
        <v>29775</v>
      </c>
      <c r="F435" s="177">
        <f>VLOOKUP($A435,K0kommunestruktur2019!$A$4:$N$425,K0kommunestruktur2020!F$3,FALSE)</f>
        <v>808395</v>
      </c>
      <c r="G435" s="289">
        <f>VLOOKUP($A435,K0kommunestruktur2019!$A$4:$N$425,K0kommunestruktur2020!G$3,FALSE)</f>
        <v>30261</v>
      </c>
      <c r="H435" s="177">
        <f>VLOOKUP($A435,K0kommunestruktur2019!$A$4:$N$425,K0kommunestruktur2020!H$3,FALSE)</f>
        <v>898881</v>
      </c>
      <c r="I435" s="289">
        <f>VLOOKUP($A435,K0kommunestruktur2019!$A$4:$N$425,K0kommunestruktur2020!I$3,FALSE)</f>
        <v>30698</v>
      </c>
      <c r="J435" s="177">
        <f>VLOOKUP($A435,K0kommunestruktur2019!$A$4:$N$425,K0kommunestruktur2020!J$3,FALSE)</f>
        <v>958294</v>
      </c>
      <c r="K435" s="289">
        <f>VLOOKUP($A435,K0kommunestruktur2019!$A$4:$N$425,K0kommunestruktur2020!K$3,FALSE)</f>
        <v>30880</v>
      </c>
      <c r="L435" s="177">
        <f>VLOOKUP($A435,K0kommunestruktur2019!$A$4:$N$425,K0kommunestruktur2020!L$3,FALSE)</f>
        <v>999458</v>
      </c>
      <c r="M435" s="289">
        <f>VLOOKUP($A435,K0kommunestruktur2019!$A$4:$N$425,K0kommunestruktur2020!M$3,FALSE)</f>
        <v>30843</v>
      </c>
      <c r="N435" s="177">
        <f>VLOOKUP($A435,K0kommunestruktur2019!$A$4:$N$425,K0kommunestruktur2020!N$3,FALSE)</f>
        <v>1039585</v>
      </c>
    </row>
    <row r="436" spans="1:15" ht="13">
      <c r="A436" s="1">
        <v>217</v>
      </c>
      <c r="B436" s="2" t="s">
        <v>806</v>
      </c>
      <c r="C436" s="290">
        <f>VLOOKUP($A436,K0kommunestruktur2019!$A$4:$N$425,K0kommunestruktur2020!C$3,FALSE)</f>
        <v>26255</v>
      </c>
      <c r="D436" s="177">
        <f>VLOOKUP($A436,K0kommunestruktur2019!$A$4:$N$425,K0kommunestruktur2020!D$3,FALSE)</f>
        <v>832842</v>
      </c>
      <c r="E436" s="289">
        <f>VLOOKUP($A436,K0kommunestruktur2019!$A$4:$N$425,K0kommunestruktur2020!E$3,FALSE)</f>
        <v>26580</v>
      </c>
      <c r="F436" s="177">
        <f>VLOOKUP($A436,K0kommunestruktur2019!$A$4:$N$425,K0kommunestruktur2020!F$3,FALSE)</f>
        <v>873874</v>
      </c>
      <c r="G436" s="289">
        <f>VLOOKUP($A436,K0kommunestruktur2019!$A$4:$N$425,K0kommunestruktur2020!G$3,FALSE)</f>
        <v>26792</v>
      </c>
      <c r="H436" s="177">
        <f>VLOOKUP($A436,K0kommunestruktur2019!$A$4:$N$425,K0kommunestruktur2020!H$3,FALSE)</f>
        <v>958475</v>
      </c>
      <c r="I436" s="289">
        <f>VLOOKUP($A436,K0kommunestruktur2019!$A$4:$N$425,K0kommunestruktur2020!I$3,FALSE)</f>
        <v>26988</v>
      </c>
      <c r="J436" s="177">
        <f>VLOOKUP($A436,K0kommunestruktur2019!$A$4:$N$425,K0kommunestruktur2020!J$3,FALSE)</f>
        <v>1010595</v>
      </c>
      <c r="K436" s="289">
        <f>VLOOKUP($A436,K0kommunestruktur2019!$A$4:$N$425,K0kommunestruktur2020!K$3,FALSE)</f>
        <v>27178</v>
      </c>
      <c r="L436" s="177">
        <f>VLOOKUP($A436,K0kommunestruktur2019!$A$4:$N$425,K0kommunestruktur2020!L$3,FALSE)</f>
        <v>1020926</v>
      </c>
      <c r="M436" s="289">
        <f>VLOOKUP($A436,K0kommunestruktur2019!$A$4:$N$425,K0kommunestruktur2020!M$3,FALSE)</f>
        <v>27394</v>
      </c>
      <c r="N436" s="177">
        <f>VLOOKUP($A436,K0kommunestruktur2019!$A$4:$N$425,K0kommunestruktur2020!N$3,FALSE)</f>
        <v>1058845</v>
      </c>
    </row>
    <row r="437" spans="1:15" ht="13">
      <c r="A437" s="1"/>
      <c r="B437" s="894" t="s">
        <v>1699</v>
      </c>
      <c r="C437" s="290">
        <f>ROUND(SUM(C435:C436)*$M437/SUM($M435:$M436),8)</f>
        <v>188.74614077000001</v>
      </c>
      <c r="D437" s="177">
        <f>C437*(D435+D436)/(C435+C436)</f>
        <v>5422.1258821822221</v>
      </c>
      <c r="E437" s="289">
        <f>ROUND(SUM(E435:E436)*$M437/SUM($M435:$M436),8)</f>
        <v>190.63370366000001</v>
      </c>
      <c r="F437" s="912">
        <f>E437*(F435+F436)/(E435+E436)</f>
        <v>5690.6604564351801</v>
      </c>
      <c r="G437" s="289">
        <f>ROUND(SUM(G435:G436)*$M437/SUM($M435:$M436),8)</f>
        <v>192.99484863999999</v>
      </c>
      <c r="H437" s="177">
        <f>G437*(H435+H436)/(G435+G436)</f>
        <v>6282.9323627258136</v>
      </c>
      <c r="I437" s="289">
        <f>ROUND(SUM(I435:I436)*$M437/SUM($M435:$M436),8)</f>
        <v>195.13611621000001</v>
      </c>
      <c r="J437" s="177">
        <f>I437*(J435+J436)/(I435+I436)</f>
        <v>6660.2182974827638</v>
      </c>
      <c r="K437" s="289">
        <f>ROUND(SUM(K435:K436)*$M437/SUM($M435:$M436),8)</f>
        <v>196.39449146999999</v>
      </c>
      <c r="L437" s="177">
        <f>K437*(L435+L436)/(K435+K436)</f>
        <v>6834.4119372717705</v>
      </c>
      <c r="M437" s="289">
        <f t="shared" ref="M437" si="58">-M440</f>
        <v>197</v>
      </c>
      <c r="N437" s="177">
        <f>M437*(N435+N436)/(M435+M436)</f>
        <v>7098.4204200078984</v>
      </c>
      <c r="O437" s="5"/>
    </row>
    <row r="438" spans="1:15" ht="13">
      <c r="A438" s="1"/>
      <c r="B438" s="2"/>
      <c r="C438" s="290"/>
      <c r="D438" s="177"/>
      <c r="E438" s="289"/>
      <c r="F438" s="177"/>
      <c r="G438" s="289"/>
      <c r="H438" s="177"/>
      <c r="I438" s="289"/>
      <c r="J438" s="177"/>
      <c r="K438" s="289"/>
      <c r="L438" s="177"/>
      <c r="M438" s="289"/>
    </row>
    <row r="439" spans="1:15" ht="13">
      <c r="A439" s="1">
        <v>3021</v>
      </c>
      <c r="B439" s="2" t="s">
        <v>803</v>
      </c>
      <c r="C439" s="290">
        <f>VLOOKUP($A439,K0kommunestruktur2019!$A$4:$N$425,K0kommunestruktur2020!C$3,FALSE)</f>
        <v>17969</v>
      </c>
      <c r="D439" s="177">
        <f>VLOOKUP($A439,K0kommunestruktur2019!$A$4:$N$425,K0kommunestruktur2020!D$3,FALSE)</f>
        <v>433083</v>
      </c>
      <c r="E439" s="289">
        <f>VLOOKUP($A439,K0kommunestruktur2019!$A$4:$N$425,K0kommunestruktur2020!E$3,FALSE)</f>
        <v>18503</v>
      </c>
      <c r="F439" s="177">
        <f>VLOOKUP($A439,K0kommunestruktur2019!$A$4:$N$425,K0kommunestruktur2020!F$3,FALSE)</f>
        <v>473176</v>
      </c>
      <c r="G439" s="289">
        <f>VLOOKUP($A439,K0kommunestruktur2019!$A$4:$N$425,K0kommunestruktur2020!G$3,FALSE)</f>
        <v>18992</v>
      </c>
      <c r="H439" s="177">
        <f>VLOOKUP($A439,K0kommunestruktur2019!$A$4:$N$425,K0kommunestruktur2020!H$3,FALSE)</f>
        <v>504569</v>
      </c>
      <c r="I439" s="289">
        <f>VLOOKUP($A439,K0kommunestruktur2019!$A$4:$N$425,K0kommunestruktur2020!I$3,FALSE)</f>
        <v>19288</v>
      </c>
      <c r="J439" s="177">
        <f>VLOOKUP($A439,K0kommunestruktur2019!$A$4:$N$425,K0kommunestruktur2020!J$3,FALSE)</f>
        <v>542959</v>
      </c>
      <c r="K439" s="289">
        <f>VLOOKUP($A439,K0kommunestruktur2019!$A$4:$N$425,K0kommunestruktur2020!K$3,FALSE)</f>
        <v>20084</v>
      </c>
      <c r="L439" s="177">
        <f>VLOOKUP($A439,K0kommunestruktur2019!$A$4:$N$425,K0kommunestruktur2020!L$3,FALSE)</f>
        <v>610935</v>
      </c>
      <c r="M439" s="289">
        <f>VLOOKUP($A439,K0kommunestruktur2019!$A$4:$N$425,K0kommunestruktur2020!M$3,FALSE)</f>
        <v>20335</v>
      </c>
      <c r="N439" s="177">
        <f>VLOOKUP($A439,K0kommunestruktur2019!$A$4:$N$425,K0kommunestruktur2020!N$3,FALSE)</f>
        <v>611725</v>
      </c>
      <c r="O439" s="177"/>
    </row>
    <row r="440" spans="1:15" ht="13">
      <c r="A440" s="1"/>
      <c r="B440" s="894" t="s">
        <v>1699</v>
      </c>
      <c r="C440" s="290">
        <f>ROUND(C439*$M440/$M439,8)</f>
        <v>-174.07882960000001</v>
      </c>
      <c r="D440" s="177">
        <f>+D439*C440/C439</f>
        <v>-4195.5913940484616</v>
      </c>
      <c r="E440" s="289">
        <f>ROUND(E439*$M440/$M439,8)</f>
        <v>-179.2520777</v>
      </c>
      <c r="F440" s="912">
        <f>+F439*E440/E439</f>
        <v>-4584.0015736786036</v>
      </c>
      <c r="G440" s="289">
        <f>ROUND(G439*$M440/$M439,8)</f>
        <v>-183.98937792000001</v>
      </c>
      <c r="H440" s="177">
        <f>+H439*G440/G439</f>
        <v>-4888.1284976683064</v>
      </c>
      <c r="I440" s="289">
        <f>ROUND(I439*$M440/$M439,8)</f>
        <v>-186.85694615</v>
      </c>
      <c r="J440" s="177">
        <f>+J439*I440/I439</f>
        <v>-5260.0404720374254</v>
      </c>
      <c r="K440" s="289">
        <f>ROUND(K439*$M440/$M439,8)</f>
        <v>-194.56837963999999</v>
      </c>
      <c r="L440" s="177">
        <f>+L439*K440/K439</f>
        <v>-5918.5736414739795</v>
      </c>
      <c r="M440" s="289">
        <v>-197</v>
      </c>
      <c r="N440" s="177">
        <f>+N439*M440/M439</f>
        <v>-5926.2269486107698</v>
      </c>
      <c r="O440" s="177"/>
    </row>
    <row r="441" spans="1:15" ht="13">
      <c r="A441" s="1"/>
      <c r="B441" s="885" t="s">
        <v>1839</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808</v>
      </c>
      <c r="C443" s="290">
        <f>VLOOKUP($A443,K0kommunestruktur2019!$A$4:$N$425,K0kommunestruktur2020!C$3,FALSE)</f>
        <v>58338</v>
      </c>
      <c r="D443" s="177">
        <f>VLOOKUP($A443,K0kommunestruktur2019!$A$4:$N$425,K0kommunestruktur2020!D$3,FALSE)</f>
        <v>2199038</v>
      </c>
      <c r="E443" s="289">
        <f>VLOOKUP($A443,K0kommunestruktur2019!$A$4:$N$425,K0kommunestruktur2020!E$3,FALSE)</f>
        <v>59571</v>
      </c>
      <c r="F443" s="177">
        <f>VLOOKUP($A443,K0kommunestruktur2019!$A$4:$N$425,K0kommunestruktur2020!F$3,FALSE)</f>
        <v>2358793</v>
      </c>
      <c r="G443" s="289">
        <f>VLOOKUP($A443,K0kommunestruktur2019!$A$4:$N$425,K0kommunestruktur2020!G$3,FALSE)</f>
        <v>60106</v>
      </c>
      <c r="H443" s="177">
        <f>VLOOKUP($A443,K0kommunestruktur2019!$A$4:$N$425,K0kommunestruktur2020!H$3,FALSE)</f>
        <v>2702018</v>
      </c>
      <c r="I443" s="289">
        <f>VLOOKUP($A443,K0kommunestruktur2019!$A$4:$N$425,K0kommunestruktur2020!I$3,FALSE)</f>
        <v>60781</v>
      </c>
      <c r="J443" s="177">
        <f>VLOOKUP($A443,K0kommunestruktur2019!$A$4:$N$425,K0kommunestruktur2020!J$3,FALSE)</f>
        <v>2777270</v>
      </c>
      <c r="K443" s="289">
        <f>VLOOKUP($A443,K0kommunestruktur2019!$A$4:$N$425,K0kommunestruktur2020!K$3,FALSE)</f>
        <v>60926</v>
      </c>
      <c r="L443" s="177">
        <f>VLOOKUP($A443,K0kommunestruktur2019!$A$4:$N$425,K0kommunestruktur2020!L$3,FALSE)</f>
        <v>2889909</v>
      </c>
      <c r="M443" s="289">
        <f>VLOOKUP($A443,K0kommunestruktur2019!$A$4:$N$425,K0kommunestruktur2020!M$3,FALSE)</f>
        <v>61523</v>
      </c>
      <c r="N443" s="177">
        <f>VLOOKUP($A443,K0kommunestruktur2019!$A$4:$N$425,K0kommunestruktur2020!N$3,FALSE)</f>
        <v>3113350</v>
      </c>
    </row>
    <row r="444" spans="1:15" ht="13">
      <c r="A444" s="1">
        <v>627</v>
      </c>
      <c r="B444" s="2" t="s">
        <v>887</v>
      </c>
      <c r="C444" s="290">
        <f>VLOOKUP($A444,K0kommunestruktur2019!$A$4:$N$425,K0kommunestruktur2020!C$3,FALSE)</f>
        <v>20621</v>
      </c>
      <c r="D444" s="177">
        <f>VLOOKUP($A444,K0kommunestruktur2019!$A$4:$N$425,K0kommunestruktur2020!D$3,FALSE)</f>
        <v>528310</v>
      </c>
      <c r="E444" s="289">
        <f>VLOOKUP($A444,K0kommunestruktur2019!$A$4:$N$425,K0kommunestruktur2020!E$3,FALSE)</f>
        <v>21038</v>
      </c>
      <c r="F444" s="177">
        <f>VLOOKUP($A444,K0kommunestruktur2019!$A$4:$N$425,K0kommunestruktur2020!F$3,FALSE)</f>
        <v>562478</v>
      </c>
      <c r="G444" s="289">
        <f>VLOOKUP($A444,K0kommunestruktur2019!$A$4:$N$425,K0kommunestruktur2020!G$3,FALSE)</f>
        <v>21492</v>
      </c>
      <c r="H444" s="177">
        <f>VLOOKUP($A444,K0kommunestruktur2019!$A$4:$N$425,K0kommunestruktur2020!H$3,FALSE)</f>
        <v>620312</v>
      </c>
      <c r="I444" s="289">
        <f>VLOOKUP($A444,K0kommunestruktur2019!$A$4:$N$425,K0kommunestruktur2020!I$3,FALSE)</f>
        <v>21931</v>
      </c>
      <c r="J444" s="177">
        <f>VLOOKUP($A444,K0kommunestruktur2019!$A$4:$N$425,K0kommunestruktur2020!J$3,FALSE)</f>
        <v>663245</v>
      </c>
      <c r="K444" s="289">
        <f>VLOOKUP($A444,K0kommunestruktur2019!$A$4:$N$425,K0kommunestruktur2020!K$3,FALSE)</f>
        <v>22452</v>
      </c>
      <c r="L444" s="177">
        <f>VLOOKUP($A444,K0kommunestruktur2019!$A$4:$N$425,K0kommunestruktur2020!L$3,FALSE)</f>
        <v>699523</v>
      </c>
      <c r="M444" s="289">
        <f>VLOOKUP($A444,K0kommunestruktur2019!$A$4:$N$425,K0kommunestruktur2020!M$3,FALSE)</f>
        <v>22635</v>
      </c>
      <c r="N444" s="177">
        <f>VLOOKUP($A444,K0kommunestruktur2019!$A$4:$N$425,K0kommunestruktur2020!N$3,FALSE)</f>
        <v>711117</v>
      </c>
    </row>
    <row r="445" spans="1:15" ht="13">
      <c r="A445" s="1">
        <v>628</v>
      </c>
      <c r="B445" s="2" t="s">
        <v>888</v>
      </c>
      <c r="C445" s="290">
        <f>VLOOKUP($A445,K0kommunestruktur2019!$A$4:$N$425,K0kommunestruktur2020!C$3,FALSE)</f>
        <v>9330</v>
      </c>
      <c r="D445" s="177">
        <f>VLOOKUP($A445,K0kommunestruktur2019!$A$4:$N$425,K0kommunestruktur2020!D$3,FALSE)</f>
        <v>220706</v>
      </c>
      <c r="E445" s="289">
        <f>VLOOKUP($A445,K0kommunestruktur2019!$A$4:$N$425,K0kommunestruktur2020!E$3,FALSE)</f>
        <v>9365</v>
      </c>
      <c r="F445" s="177">
        <f>VLOOKUP($A445,K0kommunestruktur2019!$A$4:$N$425,K0kommunestruktur2020!F$3,FALSE)</f>
        <v>225635</v>
      </c>
      <c r="G445" s="289">
        <f>VLOOKUP($A445,K0kommunestruktur2019!$A$4:$N$425,K0kommunestruktur2020!G$3,FALSE)</f>
        <v>9413</v>
      </c>
      <c r="H445" s="177">
        <f>VLOOKUP($A445,K0kommunestruktur2019!$A$4:$N$425,K0kommunestruktur2020!H$3,FALSE)</f>
        <v>242693</v>
      </c>
      <c r="I445" s="289">
        <f>VLOOKUP($A445,K0kommunestruktur2019!$A$4:$N$425,K0kommunestruktur2020!I$3,FALSE)</f>
        <v>9462</v>
      </c>
      <c r="J445" s="177">
        <f>VLOOKUP($A445,K0kommunestruktur2019!$A$4:$N$425,K0kommunestruktur2020!J$3,FALSE)</f>
        <v>254706</v>
      </c>
      <c r="K445" s="289">
        <f>VLOOKUP($A445,K0kommunestruktur2019!$A$4:$N$425,K0kommunestruktur2020!K$3,FALSE)</f>
        <v>9450</v>
      </c>
      <c r="L445" s="177">
        <f>VLOOKUP($A445,K0kommunestruktur2019!$A$4:$N$425,K0kommunestruktur2020!L$3,FALSE)</f>
        <v>260549</v>
      </c>
      <c r="M445" s="289">
        <f>VLOOKUP($A445,K0kommunestruktur2019!$A$4:$N$425,K0kommunestruktur2020!M$3,FALSE)</f>
        <v>9521</v>
      </c>
      <c r="N445" s="177">
        <f>VLOOKUP($A445,K0kommunestruktur2019!$A$4:$N$425,K0kommunestruktur2020!N$3,FALSE)</f>
        <v>269702</v>
      </c>
    </row>
    <row r="446" spans="1:15" ht="13">
      <c r="A446" s="1"/>
      <c r="B446" s="2"/>
      <c r="C446" s="290"/>
      <c r="D446" s="177"/>
      <c r="E446" s="289"/>
      <c r="F446" s="177"/>
      <c r="G446" s="289"/>
      <c r="H446" s="177"/>
      <c r="I446" s="289"/>
      <c r="J446" s="177"/>
      <c r="K446" s="289"/>
      <c r="L446" s="177"/>
      <c r="M446" s="289"/>
    </row>
    <row r="447" spans="1:15" ht="13">
      <c r="A447" s="1">
        <v>121</v>
      </c>
      <c r="B447" s="2" t="s">
        <v>790</v>
      </c>
      <c r="C447" s="290">
        <f>VLOOKUP($A447,K0kommunestruktur2019!$A$4:$N$425,K0kommunestruktur2020!C$3,FALSE)</f>
        <v>672</v>
      </c>
      <c r="D447" s="177">
        <f>VLOOKUP($A447,K0kommunestruktur2019!$A$4:$N$425,K0kommunestruktur2020!D$3,FALSE)</f>
        <v>13656</v>
      </c>
      <c r="E447" s="289">
        <f>VLOOKUP($A447,K0kommunestruktur2019!$A$4:$N$425,K0kommunestruktur2020!E$3,FALSE)</f>
        <v>672</v>
      </c>
      <c r="F447" s="177">
        <f>VLOOKUP($A447,K0kommunestruktur2019!$A$4:$N$425,K0kommunestruktur2020!F$3,FALSE)</f>
        <v>14750</v>
      </c>
      <c r="G447" s="289">
        <f>VLOOKUP($A447,K0kommunestruktur2019!$A$4:$N$425,K0kommunestruktur2020!G$3,FALSE)</f>
        <v>672</v>
      </c>
      <c r="H447" s="177">
        <f>VLOOKUP($A447,K0kommunestruktur2019!$A$4:$N$425,K0kommunestruktur2020!H$3,FALSE)</f>
        <v>20035</v>
      </c>
      <c r="I447" s="289">
        <f>VLOOKUP($A447,K0kommunestruktur2019!$A$4:$N$425,K0kommunestruktur2020!I$3,FALSE)</f>
        <v>685</v>
      </c>
      <c r="J447" s="177">
        <f>VLOOKUP($A447,K0kommunestruktur2019!$A$4:$N$425,K0kommunestruktur2020!J$3,FALSE)</f>
        <v>18554</v>
      </c>
      <c r="K447" s="289">
        <f>VLOOKUP($A447,K0kommunestruktur2019!$A$4:$N$425,K0kommunestruktur2020!K$3,FALSE)</f>
        <v>682</v>
      </c>
      <c r="L447" s="177">
        <f>VLOOKUP($A447,K0kommunestruktur2019!$A$4:$N$425,K0kommunestruktur2020!L$3,FALSE)</f>
        <v>17031</v>
      </c>
      <c r="M447" s="289">
        <f>VLOOKUP($A447,K0kommunestruktur2019!$A$4:$N$425,K0kommunestruktur2020!M$3,FALSE)</f>
        <v>673</v>
      </c>
      <c r="N447" s="177">
        <f>VLOOKUP($A447,K0kommunestruktur2019!$A$4:$N$425,K0kommunestruktur2020!N$3,FALSE)</f>
        <v>20151</v>
      </c>
    </row>
    <row r="448" spans="1:15" ht="13">
      <c r="A448" s="1">
        <v>221</v>
      </c>
      <c r="B448" s="2" t="s">
        <v>1788</v>
      </c>
      <c r="C448" s="290">
        <f>VLOOKUP($A448,K0kommunestruktur2019!$A$4:$N$425,K0kommunestruktur2020!C$3,FALSE)</f>
        <v>15500</v>
      </c>
      <c r="D448" s="177">
        <f>VLOOKUP($A448,K0kommunestruktur2019!$A$4:$N$425,K0kommunestruktur2020!D$3,FALSE)</f>
        <v>302125</v>
      </c>
      <c r="E448" s="289">
        <f>VLOOKUP($A448,K0kommunestruktur2019!$A$4:$N$425,K0kommunestruktur2020!E$3,FALSE)</f>
        <v>15726</v>
      </c>
      <c r="F448" s="177">
        <f>VLOOKUP($A448,K0kommunestruktur2019!$A$4:$N$425,K0kommunestruktur2020!F$3,FALSE)</f>
        <v>329143</v>
      </c>
      <c r="G448" s="289">
        <f>VLOOKUP($A448,K0kommunestruktur2019!$A$4:$N$425,K0kommunestruktur2020!G$3,FALSE)</f>
        <v>15914</v>
      </c>
      <c r="H448" s="177">
        <f>VLOOKUP($A448,K0kommunestruktur2019!$A$4:$N$425,K0kommunestruktur2020!H$3,FALSE)</f>
        <v>350928</v>
      </c>
      <c r="I448" s="289">
        <f>VLOOKUP($A448,K0kommunestruktur2019!$A$4:$N$425,K0kommunestruktur2020!I$3,FALSE)</f>
        <v>16162</v>
      </c>
      <c r="J448" s="177">
        <f>VLOOKUP($A448,K0kommunestruktur2019!$A$4:$N$425,K0kommunestruktur2020!J$3,FALSE)</f>
        <v>374281</v>
      </c>
      <c r="K448" s="289">
        <f>VLOOKUP($A448,K0kommunestruktur2019!$A$4:$N$425,K0kommunestruktur2020!K$3,FALSE)</f>
        <v>16390</v>
      </c>
      <c r="L448" s="177">
        <f>VLOOKUP($A448,K0kommunestruktur2019!$A$4:$N$425,K0kommunestruktur2020!L$3,FALSE)</f>
        <v>400409</v>
      </c>
      <c r="M448" s="289">
        <f>VLOOKUP($A448,K0kommunestruktur2019!$A$4:$N$425,K0kommunestruktur2020!M$3,FALSE)</f>
        <v>16500</v>
      </c>
      <c r="N448" s="177">
        <f>VLOOKUP($A448,K0kommunestruktur2019!$A$4:$N$425,K0kommunestruktur2020!N$3,FALSE)</f>
        <v>410305</v>
      </c>
    </row>
    <row r="449" spans="1:15" ht="13">
      <c r="A449" s="1"/>
      <c r="B449" s="2"/>
      <c r="C449" s="290"/>
      <c r="D449" s="177"/>
      <c r="E449" s="289"/>
      <c r="F449" s="177"/>
      <c r="G449" s="289"/>
      <c r="H449" s="177"/>
      <c r="I449" s="289"/>
      <c r="J449" s="177"/>
      <c r="K449" s="289"/>
      <c r="L449" s="177"/>
      <c r="M449" s="289"/>
    </row>
    <row r="450" spans="1:15" ht="13">
      <c r="A450" s="1">
        <v>226</v>
      </c>
      <c r="B450" s="2" t="s">
        <v>810</v>
      </c>
      <c r="C450" s="290">
        <f>VLOOKUP($A450,K0kommunestruktur2019!$A$4:$N$425,K0kommunestruktur2020!C$3,FALSE)</f>
        <v>16918</v>
      </c>
      <c r="D450" s="177">
        <f>VLOOKUP($A450,K0kommunestruktur2019!$A$4:$N$425,K0kommunestruktur2020!D$3,FALSE)</f>
        <v>421597</v>
      </c>
      <c r="E450" s="289">
        <f>VLOOKUP($A450,K0kommunestruktur2019!$A$4:$N$425,K0kommunestruktur2020!E$3,FALSE)</f>
        <v>17089</v>
      </c>
      <c r="F450" s="177">
        <f>VLOOKUP($A450,K0kommunestruktur2019!$A$4:$N$425,K0kommunestruktur2020!F$3,FALSE)</f>
        <v>436963</v>
      </c>
      <c r="G450" s="289">
        <f>VLOOKUP($A450,K0kommunestruktur2019!$A$4:$N$425,K0kommunestruktur2020!G$3,FALSE)</f>
        <v>17443</v>
      </c>
      <c r="H450" s="177">
        <f>VLOOKUP($A450,K0kommunestruktur2019!$A$4:$N$425,K0kommunestruktur2020!H$3,FALSE)</f>
        <v>486909</v>
      </c>
      <c r="I450" s="289">
        <f>VLOOKUP($A450,K0kommunestruktur2019!$A$4:$N$425,K0kommunestruktur2020!I$3,FALSE)</f>
        <v>17665</v>
      </c>
      <c r="J450" s="177">
        <f>VLOOKUP($A450,K0kommunestruktur2019!$A$4:$N$425,K0kommunestruktur2020!J$3,FALSE)</f>
        <v>514762</v>
      </c>
      <c r="K450" s="289">
        <f>VLOOKUP($A450,K0kommunestruktur2019!$A$4:$N$425,K0kommunestruktur2020!K$3,FALSE)</f>
        <v>17980</v>
      </c>
      <c r="L450" s="177">
        <f>VLOOKUP($A450,K0kommunestruktur2019!$A$4:$N$425,K0kommunestruktur2020!L$3,FALSE)</f>
        <v>535693</v>
      </c>
      <c r="M450" s="289">
        <f>VLOOKUP($A450,K0kommunestruktur2019!$A$4:$N$425,K0kommunestruktur2020!M$3,FALSE)</f>
        <v>18263</v>
      </c>
      <c r="N450" s="177">
        <f>VLOOKUP($A450,K0kommunestruktur2019!$A$4:$N$425,K0kommunestruktur2020!N$3,FALSE)</f>
        <v>561660</v>
      </c>
    </row>
    <row r="451" spans="1:15" ht="13">
      <c r="A451" s="1">
        <v>227</v>
      </c>
      <c r="B451" s="2" t="s">
        <v>811</v>
      </c>
      <c r="C451" s="290">
        <f>VLOOKUP($A451,K0kommunestruktur2019!$A$4:$N$425,K0kommunestruktur2020!C$3,FALSE)</f>
        <v>11048</v>
      </c>
      <c r="D451" s="177">
        <f>VLOOKUP($A451,K0kommunestruktur2019!$A$4:$N$425,K0kommunestruktur2020!D$3,FALSE)</f>
        <v>273412</v>
      </c>
      <c r="E451" s="289">
        <f>VLOOKUP($A451,K0kommunestruktur2019!$A$4:$N$425,K0kommunestruktur2020!E$3,FALSE)</f>
        <v>11199</v>
      </c>
      <c r="F451" s="177">
        <f>VLOOKUP($A451,K0kommunestruktur2019!$A$4:$N$425,K0kommunestruktur2020!F$3,FALSE)</f>
        <v>281509</v>
      </c>
      <c r="G451" s="289">
        <f>VLOOKUP($A451,K0kommunestruktur2019!$A$4:$N$425,K0kommunestruktur2020!G$3,FALSE)</f>
        <v>11374</v>
      </c>
      <c r="H451" s="177">
        <f>VLOOKUP($A451,K0kommunestruktur2019!$A$4:$N$425,K0kommunestruktur2020!H$3,FALSE)</f>
        <v>325799</v>
      </c>
      <c r="I451" s="289">
        <f>VLOOKUP($A451,K0kommunestruktur2019!$A$4:$N$425,K0kommunestruktur2020!I$3,FALSE)</f>
        <v>11555</v>
      </c>
      <c r="J451" s="177">
        <f>VLOOKUP($A451,K0kommunestruktur2019!$A$4:$N$425,K0kommunestruktur2020!J$3,FALSE)</f>
        <v>336499</v>
      </c>
      <c r="K451" s="289">
        <f>VLOOKUP($A451,K0kommunestruktur2019!$A$4:$N$425,K0kommunestruktur2020!K$3,FALSE)</f>
        <v>11663</v>
      </c>
      <c r="L451" s="177">
        <f>VLOOKUP($A451,K0kommunestruktur2019!$A$4:$N$425,K0kommunestruktur2020!L$3,FALSE)</f>
        <v>358041</v>
      </c>
      <c r="M451" s="289">
        <f>VLOOKUP($A451,K0kommunestruktur2019!$A$4:$N$425,K0kommunestruktur2020!M$3,FALSE)</f>
        <v>11842</v>
      </c>
      <c r="N451" s="177">
        <f>VLOOKUP($A451,K0kommunestruktur2019!$A$4:$N$425,K0kommunestruktur2020!N$3,FALSE)</f>
        <v>388463</v>
      </c>
    </row>
    <row r="452" spans="1:15" ht="13">
      <c r="A452" s="1">
        <v>231</v>
      </c>
      <c r="B452" s="2" t="s">
        <v>815</v>
      </c>
      <c r="C452" s="290">
        <f>VLOOKUP($A452,K0kommunestruktur2019!$A$4:$N$425,K0kommunestruktur2020!C$3,FALSE)</f>
        <v>51188</v>
      </c>
      <c r="D452" s="177">
        <f>VLOOKUP($A452,K0kommunestruktur2019!$A$4:$N$425,K0kommunestruktur2020!D$3,FALSE)</f>
        <v>1334508</v>
      </c>
      <c r="E452" s="289">
        <f>VLOOKUP($A452,K0kommunestruktur2019!$A$4:$N$425,K0kommunestruktur2020!E$3,FALSE)</f>
        <v>51725</v>
      </c>
      <c r="F452" s="177">
        <f>VLOOKUP($A452,K0kommunestruktur2019!$A$4:$N$425,K0kommunestruktur2020!F$3,FALSE)</f>
        <v>1392116</v>
      </c>
      <c r="G452" s="289">
        <f>VLOOKUP($A452,K0kommunestruktur2019!$A$4:$N$425,K0kommunestruktur2020!G$3,FALSE)</f>
        <v>52522</v>
      </c>
      <c r="H452" s="177">
        <f>VLOOKUP($A452,K0kommunestruktur2019!$A$4:$N$425,K0kommunestruktur2020!H$3,FALSE)</f>
        <v>1535449</v>
      </c>
      <c r="I452" s="289">
        <f>VLOOKUP($A452,K0kommunestruktur2019!$A$4:$N$425,K0kommunestruktur2020!I$3,FALSE)</f>
        <v>53276</v>
      </c>
      <c r="J452" s="177">
        <f>VLOOKUP($A452,K0kommunestruktur2019!$A$4:$N$425,K0kommunestruktur2020!J$3,FALSE)</f>
        <v>1639443</v>
      </c>
      <c r="K452" s="289">
        <f>VLOOKUP($A452,K0kommunestruktur2019!$A$4:$N$425,K0kommunestruktur2020!K$3,FALSE)</f>
        <v>54178</v>
      </c>
      <c r="L452" s="177">
        <f>VLOOKUP($A452,K0kommunestruktur2019!$A$4:$N$425,K0kommunestruktur2020!L$3,FALSE)</f>
        <v>1707289</v>
      </c>
      <c r="M452" s="289">
        <f>VLOOKUP($A452,K0kommunestruktur2019!$A$4:$N$425,K0kommunestruktur2020!M$3,FALSE)</f>
        <v>55652</v>
      </c>
      <c r="N452" s="177">
        <f>VLOOKUP($A452,K0kommunestruktur2019!$A$4:$N$425,K0kommunestruktur2020!N$3,FALSE)</f>
        <v>1799911</v>
      </c>
    </row>
    <row r="453" spans="1:15" ht="13">
      <c r="A453" s="1"/>
      <c r="B453" s="894" t="s">
        <v>1709</v>
      </c>
      <c r="C453" s="290">
        <f>ROUND(SUM(C450:C452)*$M453/SUM($M450:$M452),8)</f>
        <v>-619.33526126000004</v>
      </c>
      <c r="D453" s="177">
        <f>C453*(D450+D451+D452)/(C450+C451+C452)</f>
        <v>-15879.822136930685</v>
      </c>
      <c r="E453" s="289">
        <f>ROUND(SUM(E450:E452)*$M453/SUM($M450:$M452),8)</f>
        <v>-626.05645019999997</v>
      </c>
      <c r="F453" s="912">
        <f>E453*(F450+F451+F452)/(E450+E451+E452)</f>
        <v>-16514.156838447721</v>
      </c>
      <c r="G453" s="289">
        <f>ROUND(SUM(G450:G452)*$M453/SUM($M450:$M452),8)</f>
        <v>-636.43164989000002</v>
      </c>
      <c r="H453" s="177">
        <f>G453*(H450+H451+H452)/(G450+G451+G452)</f>
        <v>-18372.999836618998</v>
      </c>
      <c r="I453" s="289">
        <f>ROUND(SUM(I450:I452)*$M453/SUM($M450:$M452),8)</f>
        <v>-645.48452021000003</v>
      </c>
      <c r="J453" s="177">
        <f>I453*(J450+J451+J452)/(I450+I451+I452)</f>
        <v>-19488.349452399245</v>
      </c>
      <c r="K453" s="289">
        <f>ROUND(SUM(K450:K452)*$M453/SUM($M450:$M452),8)</f>
        <v>-655.85189547000004</v>
      </c>
      <c r="L453" s="177">
        <f>K453*(L450+L451+L452)/(K450+K451+K452)</f>
        <v>-20351.533204221687</v>
      </c>
      <c r="M453" s="289">
        <v>-671</v>
      </c>
      <c r="N453" s="177">
        <f>M453*(N450+N451+N452)/(M450+M451+M452)</f>
        <v>-21517.459962452045</v>
      </c>
    </row>
    <row r="454" spans="1:15" ht="13">
      <c r="A454" s="1"/>
      <c r="B454" s="885" t="s">
        <v>1842</v>
      </c>
      <c r="C454" s="290"/>
      <c r="D454" s="177">
        <v>414419.19199999998</v>
      </c>
      <c r="E454" s="289"/>
      <c r="F454" s="177">
        <v>429762.54300000001</v>
      </c>
      <c r="G454" s="289"/>
      <c r="H454" s="177">
        <v>479639.87</v>
      </c>
      <c r="I454" s="289"/>
      <c r="J454" s="177">
        <v>507525.94699999999</v>
      </c>
      <c r="K454" s="289"/>
      <c r="L454" s="177">
        <v>528361</v>
      </c>
      <c r="M454" s="289"/>
      <c r="N454" s="177">
        <v>540753.06599749113</v>
      </c>
    </row>
    <row r="455" spans="1:15" ht="13">
      <c r="A455" s="1"/>
      <c r="B455" s="885" t="s">
        <v>1843</v>
      </c>
      <c r="C455" s="290"/>
      <c r="D455" s="177">
        <v>-5383.3559999999998</v>
      </c>
      <c r="E455" s="289"/>
      <c r="F455" s="177">
        <v>-5400.3427499999998</v>
      </c>
      <c r="G455" s="289"/>
      <c r="H455" s="177">
        <v>-5451.8474999999999</v>
      </c>
      <c r="I455" s="289"/>
      <c r="J455" s="177">
        <v>-5427.0397499999999</v>
      </c>
      <c r="K455" s="289"/>
      <c r="L455" s="177">
        <v>-5499</v>
      </c>
      <c r="M455" s="289"/>
      <c r="N455" s="177">
        <v>-5459.2957500000002</v>
      </c>
    </row>
    <row r="456" spans="1:15" ht="13">
      <c r="A456" s="1"/>
      <c r="B456" s="2"/>
      <c r="C456" s="290"/>
      <c r="D456" s="177"/>
      <c r="E456" s="289"/>
      <c r="F456" s="177"/>
      <c r="G456" s="289"/>
      <c r="H456" s="177"/>
      <c r="I456" s="289"/>
      <c r="J456" s="177"/>
      <c r="K456" s="289"/>
      <c r="L456" s="177"/>
      <c r="M456" s="289"/>
    </row>
    <row r="457" spans="1:15" ht="13">
      <c r="A457" s="1">
        <v>3034</v>
      </c>
      <c r="B457" s="2" t="s">
        <v>819</v>
      </c>
      <c r="C457" s="290">
        <f>VLOOKUP($A457,K0kommunestruktur2019!$A$4:$N$425,K0kommunestruktur2020!C$3,FALSE)</f>
        <v>20164</v>
      </c>
      <c r="D457" s="177">
        <f>VLOOKUP($A457,K0kommunestruktur2019!$A$4:$N$425,K0kommunestruktur2020!D$3,FALSE)</f>
        <v>415395</v>
      </c>
      <c r="E457" s="289">
        <f>VLOOKUP($A457,K0kommunestruktur2019!$A$4:$N$425,K0kommunestruktur2020!E$3,FALSE)</f>
        <v>20410</v>
      </c>
      <c r="F457" s="177">
        <f>VLOOKUP($A457,K0kommunestruktur2019!$A$4:$N$425,K0kommunestruktur2020!F$3,FALSE)</f>
        <v>447461</v>
      </c>
      <c r="G457" s="289">
        <f>VLOOKUP($A457,K0kommunestruktur2019!$A$4:$N$425,K0kommunestruktur2020!G$3,FALSE)</f>
        <v>20783</v>
      </c>
      <c r="H457" s="177">
        <f>VLOOKUP($A457,K0kommunestruktur2019!$A$4:$N$425,K0kommunestruktur2020!H$3,FALSE)</f>
        <v>498018</v>
      </c>
      <c r="I457" s="289">
        <f>VLOOKUP($A457,K0kommunestruktur2019!$A$4:$N$425,K0kommunestruktur2020!I$3,FALSE)</f>
        <v>21241</v>
      </c>
      <c r="J457" s="177">
        <f>VLOOKUP($A457,K0kommunestruktur2019!$A$4:$N$425,K0kommunestruktur2020!J$3,FALSE)</f>
        <v>529616</v>
      </c>
      <c r="K457" s="289">
        <f>VLOOKUP($A457,K0kommunestruktur2019!$A$4:$N$425,K0kommunestruktur2020!K$3,FALSE)</f>
        <v>21681</v>
      </c>
      <c r="L457" s="177">
        <f>VLOOKUP($A457,K0kommunestruktur2019!$A$4:$N$425,K0kommunestruktur2020!L$3,FALSE)</f>
        <v>563996</v>
      </c>
      <c r="M457" s="289">
        <f>VLOOKUP($A457,K0kommunestruktur2019!$A$4:$N$425,K0kommunestruktur2020!M$3,FALSE)</f>
        <v>21885</v>
      </c>
      <c r="N457" s="177">
        <f>VLOOKUP($A457,K0kommunestruktur2019!$A$4:$N$425,K0kommunestruktur2020!N$3,FALSE)</f>
        <v>589743</v>
      </c>
      <c r="O457" s="177"/>
    </row>
    <row r="458" spans="1:15" ht="13">
      <c r="A458" s="1"/>
      <c r="B458" s="894" t="s">
        <v>1709</v>
      </c>
      <c r="C458" s="290">
        <f>ROUND(C457*$M458/$M457,8)</f>
        <v>618.23367602999997</v>
      </c>
      <c r="D458" s="177">
        <f>D457*C458/C457</f>
        <v>12736.122686693208</v>
      </c>
      <c r="E458" s="289">
        <f>ROUND(E457*$M458/$M457,8)</f>
        <v>625.77610234999997</v>
      </c>
      <c r="F458" s="912">
        <f>F457*E458/E457</f>
        <v>13719.274891407807</v>
      </c>
      <c r="G458" s="289">
        <f>ROUND(G457*$M458/$M457,8)</f>
        <v>637.21238290999997</v>
      </c>
      <c r="H458" s="177">
        <f>H457*G458/G457</f>
        <v>15269.366141176557</v>
      </c>
      <c r="I458" s="289">
        <f>ROUND(I457*$M458/$M457,8)</f>
        <v>651.25478638000004</v>
      </c>
      <c r="J458" s="177">
        <f>J457*I458/I457</f>
        <v>16238.169339646445</v>
      </c>
      <c r="K458" s="289">
        <f>ROUND(K457*$M458/$M457,8)</f>
        <v>664.74530500000003</v>
      </c>
      <c r="L458" s="177">
        <f>L457*K458/K457</f>
        <v>17292.269408181357</v>
      </c>
      <c r="M458" s="289">
        <f t="shared" ref="M458" si="59">-M453</f>
        <v>671</v>
      </c>
      <c r="N458" s="177">
        <f>N457*M458/M457</f>
        <v>18081.679369431116</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VLOOKUP($A460,K0kommunestruktur2019!$A$4:$N$425,K0kommunestruktur2020!C$3,FALSE)</f>
        <v>26751</v>
      </c>
      <c r="D460" s="177">
        <f>VLOOKUP($A460,K0kommunestruktur2019!$A$4:$N$425,K0kommunestruktur2020!D$3,FALSE)</f>
        <v>552532</v>
      </c>
      <c r="E460" s="289">
        <f>VLOOKUP($A460,K0kommunestruktur2019!$A$4:$N$425,K0kommunestruktur2020!E$3,FALSE)</f>
        <v>26903</v>
      </c>
      <c r="F460" s="177">
        <f>VLOOKUP($A460,K0kommunestruktur2019!$A$4:$N$425,K0kommunestruktur2020!F$3,FALSE)</f>
        <v>579819</v>
      </c>
      <c r="G460" s="289">
        <f>VLOOKUP($A460,K0kommunestruktur2019!$A$4:$N$425,K0kommunestruktur2020!G$3,FALSE)</f>
        <v>27178</v>
      </c>
      <c r="H460" s="177">
        <f>VLOOKUP($A460,K0kommunestruktur2019!$A$4:$N$425,K0kommunestruktur2020!H$3,FALSE)</f>
        <v>637325</v>
      </c>
      <c r="I460" s="289">
        <f>VLOOKUP($A460,K0kommunestruktur2019!$A$4:$N$425,K0kommunestruktur2020!I$3,FALSE)</f>
        <v>27202</v>
      </c>
      <c r="J460" s="177">
        <f>VLOOKUP($A460,K0kommunestruktur2019!$A$4:$N$425,K0kommunestruktur2020!J$3,FALSE)</f>
        <v>663495</v>
      </c>
      <c r="K460" s="289">
        <f>VLOOKUP($A460,K0kommunestruktur2019!$A$4:$N$425,K0kommunestruktur2020!K$3,FALSE)</f>
        <v>27317</v>
      </c>
      <c r="L460" s="177">
        <f>VLOOKUP($A460,K0kommunestruktur2019!$A$4:$N$425,K0kommunestruktur2020!L$3,FALSE)</f>
        <v>672391</v>
      </c>
      <c r="M460" s="289">
        <f>VLOOKUP($A460,K0kommunestruktur2019!$A$4:$N$425,K0kommunestruktur2020!M$3,FALSE)</f>
        <v>27334</v>
      </c>
      <c r="N460" s="177">
        <f>VLOOKUP($A460,K0kommunestruktur2019!$A$4:$N$425,K0kommunestruktur2020!N$3,FALSE)</f>
        <v>692275</v>
      </c>
      <c r="O460" s="177"/>
    </row>
    <row r="461" spans="1:15" ht="13">
      <c r="A461" s="1"/>
      <c r="B461" s="894" t="s">
        <v>1714</v>
      </c>
      <c r="C461" s="290">
        <f>ROUND(C460*$M461/$M460,8)</f>
        <v>12.722726270000001</v>
      </c>
      <c r="D461" s="177">
        <f>C461*D460/C460</f>
        <v>262.78320030711529</v>
      </c>
      <c r="E461" s="289">
        <f>ROUND(E460*$M461/$M460,8)</f>
        <v>12.795017189999999</v>
      </c>
      <c r="F461" s="912">
        <f>E461*F460/E460</f>
        <v>275.76084719505667</v>
      </c>
      <c r="G461" s="289">
        <f>ROUND(G460*$M461/$M460,8)</f>
        <v>12.92580669</v>
      </c>
      <c r="H461" s="177">
        <f>G461*H460/G460</f>
        <v>303.1105949188406</v>
      </c>
      <c r="I461" s="289">
        <f>ROUND(I460*$M461/$M460,8)</f>
        <v>12.937221040000001</v>
      </c>
      <c r="J461" s="177">
        <f>I461*J460/I460</f>
        <v>315.55699852712303</v>
      </c>
      <c r="K461" s="289">
        <f>ROUND(K460*$M461/$M460,8)</f>
        <v>12.991914830000001</v>
      </c>
      <c r="L461" s="177">
        <f>K461*L460/K460</f>
        <v>319.7879197737135</v>
      </c>
      <c r="M461" s="289">
        <v>13</v>
      </c>
      <c r="N461" s="177">
        <f>M461*N460/M460</f>
        <v>329.24471354357212</v>
      </c>
      <c r="O461" s="177"/>
    </row>
    <row r="462" spans="1:15" ht="13">
      <c r="A462" s="1"/>
      <c r="B462" s="2"/>
      <c r="C462" s="290"/>
      <c r="D462" s="177"/>
      <c r="E462" s="289"/>
      <c r="F462" s="177"/>
      <c r="G462" s="289"/>
      <c r="H462" s="177"/>
      <c r="I462" s="289"/>
      <c r="J462" s="177"/>
      <c r="K462" s="289"/>
      <c r="L462" s="177"/>
      <c r="M462" s="289"/>
    </row>
    <row r="463" spans="1:15" ht="13">
      <c r="A463" s="1">
        <v>713</v>
      </c>
      <c r="B463" s="2" t="s">
        <v>897</v>
      </c>
      <c r="C463" s="290">
        <f>VLOOKUP($A463,K0kommunestruktur2019!$A$4:$N$425,K0kommunestruktur2020!C$3,FALSE)</f>
        <v>9036</v>
      </c>
      <c r="D463" s="177">
        <f>VLOOKUP($A463,K0kommunestruktur2019!$A$4:$N$425,K0kommunestruktur2020!D$3,FALSE)</f>
        <v>200826</v>
      </c>
      <c r="E463" s="289">
        <f>VLOOKUP($A463,K0kommunestruktur2019!$A$4:$N$425,K0kommunestruktur2020!E$3,FALSE)</f>
        <v>9149</v>
      </c>
      <c r="F463" s="177">
        <f>VLOOKUP($A463,K0kommunestruktur2019!$A$4:$N$425,K0kommunestruktur2020!F$3,FALSE)</f>
        <v>216349</v>
      </c>
      <c r="G463" s="289">
        <f>VLOOKUP($A463,K0kommunestruktur2019!$A$4:$N$425,K0kommunestruktur2020!G$3,FALSE)</f>
        <v>9297</v>
      </c>
      <c r="H463" s="177">
        <f>VLOOKUP($A463,K0kommunestruktur2019!$A$4:$N$425,K0kommunestruktur2020!H$3,FALSE)</f>
        <v>247645</v>
      </c>
      <c r="I463" s="289">
        <f>VLOOKUP($A463,K0kommunestruktur2019!$A$4:$N$425,K0kommunestruktur2020!I$3,FALSE)</f>
        <v>9496</v>
      </c>
      <c r="J463" s="177">
        <f>VLOOKUP($A463,K0kommunestruktur2019!$A$4:$N$425,K0kommunestruktur2020!J$3,FALSE)</f>
        <v>261519</v>
      </c>
      <c r="K463" s="289">
        <f>VLOOKUP($A463,K0kommunestruktur2019!$A$4:$N$425,K0kommunestruktur2020!K$3,FALSE)</f>
        <v>9726</v>
      </c>
      <c r="L463" s="177">
        <f>VLOOKUP($A463,K0kommunestruktur2019!$A$4:$N$425,K0kommunestruktur2020!L$3,FALSE)</f>
        <v>270984</v>
      </c>
      <c r="M463" s="289">
        <f>VLOOKUP($A463,K0kommunestruktur2019!$A$4:$N$425,K0kommunestruktur2020!M$3,FALSE)</f>
        <v>9904</v>
      </c>
      <c r="N463" s="177">
        <f>VLOOKUP($A463,K0kommunestruktur2019!$A$4:$N$425,K0kommunestruktur2020!N$3,FALSE)</f>
        <v>287853</v>
      </c>
    </row>
    <row r="464" spans="1:15" ht="13">
      <c r="A464" s="1">
        <v>715</v>
      </c>
      <c r="B464" s="2" t="s">
        <v>892</v>
      </c>
      <c r="C464" s="290">
        <f>VLOOKUP($A464,K0kommunestruktur2019!$A$4:$N$425,K0kommunestruktur2020!C$3,FALSE)</f>
        <v>13547</v>
      </c>
      <c r="D464" s="177">
        <f>VLOOKUP($A464,K0kommunestruktur2019!$A$4:$N$425,K0kommunestruktur2020!D$3,FALSE)</f>
        <v>290261</v>
      </c>
      <c r="E464" s="289">
        <f>VLOOKUP($A464,K0kommunestruktur2019!$A$4:$N$425,K0kommunestruktur2020!E$3,FALSE)</f>
        <v>13775</v>
      </c>
      <c r="F464" s="177">
        <f>VLOOKUP($A464,K0kommunestruktur2019!$A$4:$N$425,K0kommunestruktur2020!F$3,FALSE)</f>
        <v>310437</v>
      </c>
      <c r="G464" s="289">
        <f>VLOOKUP($A464,K0kommunestruktur2019!$A$4:$N$425,K0kommunestruktur2020!G$3,FALSE)</f>
        <v>13904</v>
      </c>
      <c r="H464" s="177">
        <f>VLOOKUP($A464,K0kommunestruktur2019!$A$4:$N$425,K0kommunestruktur2020!H$3,FALSE)</f>
        <v>338691</v>
      </c>
      <c r="I464" s="289">
        <f>VLOOKUP($A464,K0kommunestruktur2019!$A$4:$N$425,K0kommunestruktur2020!I$3,FALSE)</f>
        <v>14037</v>
      </c>
      <c r="J464" s="177">
        <f>VLOOKUP($A464,K0kommunestruktur2019!$A$4:$N$425,K0kommunestruktur2020!J$3,FALSE)</f>
        <v>359370</v>
      </c>
      <c r="K464" s="289">
        <f>VLOOKUP($A464,K0kommunestruktur2019!$A$4:$N$425,K0kommunestruktur2020!K$3,FALSE)</f>
        <v>14212</v>
      </c>
      <c r="L464" s="177">
        <f>VLOOKUP($A464,K0kommunestruktur2019!$A$4:$N$425,K0kommunestruktur2020!L$3,FALSE)</f>
        <v>378353</v>
      </c>
      <c r="M464" s="289">
        <f>VLOOKUP($A464,K0kommunestruktur2019!$A$4:$N$425,K0kommunestruktur2020!M$3,FALSE)</f>
        <v>14371</v>
      </c>
      <c r="N464" s="177">
        <f>VLOOKUP($A464,K0kommunestruktur2019!$A$4:$N$425,K0kommunestruktur2020!N$3,FALSE)</f>
        <v>384230</v>
      </c>
    </row>
    <row r="465" spans="1:16" ht="13">
      <c r="A465" s="1"/>
      <c r="B465" s="894" t="s">
        <v>1715</v>
      </c>
      <c r="C465" s="290">
        <f>ROUND(SUM(C463:C464)*$M465/SUM($M463:$M464),8)</f>
        <v>115.35703399000001</v>
      </c>
      <c r="D465" s="177">
        <f>C465*(D463+D464)/(C463+C464)</f>
        <v>2508.5391556058598</v>
      </c>
      <c r="E465" s="289">
        <f>ROUND(SUM(E463:E464)*$M465/SUM($M463:$M464),8)</f>
        <v>117.09890833999999</v>
      </c>
      <c r="F465" s="912">
        <f>E465*(F463+F464)/(E463+E464)</f>
        <v>2690.894500470914</v>
      </c>
      <c r="G465" s="289">
        <f>ROUND(SUM(G463:G464)*$M465/SUM($M463:$M464),8)</f>
        <v>118.513862</v>
      </c>
      <c r="H465" s="177">
        <f>G465*(H463+H464)/(G463+G464)</f>
        <v>2995.0839959325895</v>
      </c>
      <c r="I465" s="289">
        <f>ROUND(SUM(I463:I464)*$M465/SUM($M463:$M464),8)</f>
        <v>120.20976313</v>
      </c>
      <c r="J465" s="177">
        <f>I465*(J463+J464)/(I463+I464)</f>
        <v>3171.5854170748553</v>
      </c>
      <c r="K465" s="289">
        <f>ROUND(SUM(K463:K464)*$M465/SUM($M463:$M464),8)</f>
        <v>122.27855819</v>
      </c>
      <c r="L465" s="177">
        <f>K465*(L463+L464)/(K463+K464)</f>
        <v>3316.9016684526709</v>
      </c>
      <c r="M465" s="289">
        <v>124</v>
      </c>
      <c r="N465" s="177">
        <f>M465*(N463+N464)/(M463+M464)</f>
        <v>3433.0913285272914</v>
      </c>
    </row>
    <row r="466" spans="1:16" ht="13">
      <c r="A466" s="1"/>
      <c r="B466" s="2"/>
      <c r="C466" s="290"/>
      <c r="D466" s="177"/>
      <c r="E466" s="289"/>
      <c r="F466" s="177"/>
      <c r="G466" s="289"/>
      <c r="H466" s="177"/>
      <c r="I466" s="289"/>
      <c r="J466" s="177"/>
      <c r="K466" s="289"/>
      <c r="L466" s="177"/>
      <c r="M466" s="289"/>
    </row>
    <row r="467" spans="1:16" ht="13">
      <c r="A467" s="1">
        <v>704</v>
      </c>
      <c r="B467" s="2" t="s">
        <v>893</v>
      </c>
      <c r="C467" s="290">
        <f>VLOOKUP($A467,K0kommunestruktur2019!$A$4:$N$425,K0kommunestruktur2020!C$3,FALSE)</f>
        <v>43752</v>
      </c>
      <c r="D467" s="177">
        <f>VLOOKUP($A467,K0kommunestruktur2019!$A$4:$N$425,K0kommunestruktur2020!D$3,FALSE)</f>
        <v>1047148.9165001303</v>
      </c>
      <c r="E467" s="289">
        <f>VLOOKUP($A467,K0kommunestruktur2019!$A$4:$N$425,K0kommunestruktur2020!E$3,FALSE)</f>
        <v>44122</v>
      </c>
      <c r="F467" s="177">
        <f>VLOOKUP($A467,K0kommunestruktur2019!$A$4:$N$425,K0kommunestruktur2020!F$3,FALSE)</f>
        <v>1118454.1261950287</v>
      </c>
      <c r="G467" s="289">
        <f>VLOOKUP($A467,K0kommunestruktur2019!$A$4:$N$425,K0kommunestruktur2020!G$3,FALSE)</f>
        <v>44478</v>
      </c>
      <c r="H467" s="177">
        <f>VLOOKUP($A467,K0kommunestruktur2019!$A$4:$N$425,K0kommunestruktur2020!H$3,FALSE)</f>
        <v>1223169.533499185</v>
      </c>
      <c r="I467" s="289">
        <f>VLOOKUP($A467,K0kommunestruktur2019!$A$4:$N$425,K0kommunestruktur2020!I$3,FALSE)</f>
        <v>44922</v>
      </c>
      <c r="J467" s="177">
        <f>VLOOKUP($A467,K0kommunestruktur2019!$A$4:$N$425,K0kommunestruktur2020!J$3,FALSE)</f>
        <v>1293624</v>
      </c>
      <c r="K467" s="289">
        <f>VLOOKUP($A467,K0kommunestruktur2019!$A$4:$N$425,K0kommunestruktur2020!K$3,FALSE)</f>
        <v>45360</v>
      </c>
      <c r="L467" s="177">
        <f>VLOOKUP($A467,K0kommunestruktur2019!$A$4:$N$425,K0kommunestruktur2020!L$3,FALSE)</f>
        <v>1359854</v>
      </c>
      <c r="M467" s="289">
        <f>VLOOKUP($A467,K0kommunestruktur2019!$A$4:$N$425,K0kommunestruktur2020!M$3,FALSE)</f>
        <v>45976</v>
      </c>
      <c r="N467" s="177">
        <f>VLOOKUP($A467,K0kommunestruktur2019!$A$4:$N$425,K0kommunestruktur2020!N$3,FALSE)</f>
        <v>1430688</v>
      </c>
    </row>
    <row r="468" spans="1:16" ht="13">
      <c r="A468" s="1">
        <v>716</v>
      </c>
      <c r="B468" s="2" t="s">
        <v>350</v>
      </c>
      <c r="C468" s="290">
        <f>VLOOKUP($A468,K0kommunestruktur2019!$A$4:$N$425,K0kommunestruktur2020!C$3,FALSE)</f>
        <v>9144</v>
      </c>
      <c r="D468" s="177">
        <f>VLOOKUP($A468,K0kommunestruktur2019!$A$4:$N$425,K0kommunestruktur2020!D$3,FALSE)</f>
        <v>192735</v>
      </c>
      <c r="E468" s="289">
        <f>VLOOKUP($A468,K0kommunestruktur2019!$A$4:$N$425,K0kommunestruktur2020!E$3,FALSE)</f>
        <v>9253</v>
      </c>
      <c r="F468" s="177">
        <f>VLOOKUP($A468,K0kommunestruktur2019!$A$4:$N$425,K0kommunestruktur2020!F$3,FALSE)</f>
        <v>209397</v>
      </c>
      <c r="G468" s="289">
        <f>VLOOKUP($A468,K0kommunestruktur2019!$A$4:$N$425,K0kommunestruktur2020!G$3,FALSE)</f>
        <v>9361</v>
      </c>
      <c r="H468" s="177">
        <f>VLOOKUP($A468,K0kommunestruktur2019!$A$4:$N$425,K0kommunestruktur2020!H$3,FALSE)</f>
        <v>228469</v>
      </c>
      <c r="I468" s="289">
        <f>VLOOKUP($A468,K0kommunestruktur2019!$A$4:$N$425,K0kommunestruktur2020!I$3,FALSE)</f>
        <v>9486</v>
      </c>
      <c r="J468" s="177">
        <f>VLOOKUP($A468,K0kommunestruktur2019!$A$4:$N$425,K0kommunestruktur2020!J$3,FALSE)</f>
        <v>246644</v>
      </c>
      <c r="K468" s="289">
        <f>VLOOKUP($A468,K0kommunestruktur2019!$A$4:$N$425,K0kommunestruktur2020!K$3,FALSE)</f>
        <v>9621</v>
      </c>
      <c r="L468" s="177">
        <f>VLOOKUP($A468,K0kommunestruktur2019!$A$4:$N$425,K0kommunestruktur2020!L$3,FALSE)</f>
        <v>249774</v>
      </c>
      <c r="M468" s="289">
        <f>VLOOKUP($A468,K0kommunestruktur2019!$A$4:$N$425,K0kommunestruktur2020!M$3,FALSE)</f>
        <v>9730</v>
      </c>
      <c r="N468" s="177">
        <f>VLOOKUP($A468,K0kommunestruktur2019!$A$4:$N$425,K0kommunestruktur2020!N$3,FALSE)</f>
        <v>254091</v>
      </c>
    </row>
    <row r="469" spans="1:16" ht="13">
      <c r="A469" s="1"/>
      <c r="B469" s="894" t="s">
        <v>1718</v>
      </c>
      <c r="C469" s="290">
        <f>ROUND(SUM(C467:C468)*$M469/SUM($M467:$M468),8)</f>
        <v>-130.08925429999999</v>
      </c>
      <c r="D469" s="177">
        <f>C469*(D467+D468)/(C467+C468)</f>
        <v>-3049.2962438760092</v>
      </c>
      <c r="E469" s="289">
        <f>ROUND(SUM(E467:E468)*$M469/SUM($M467:$M468),8)</f>
        <v>-131.26727821</v>
      </c>
      <c r="F469" s="912">
        <f>E469*(F467+F468)/(E467+E468)</f>
        <v>-3265.637530748565</v>
      </c>
      <c r="G469" s="289">
        <f>ROUND(SUM(G467:G468)*$M469/SUM($M467:$M468),8)</f>
        <v>-132.40841201999999</v>
      </c>
      <c r="H469" s="177">
        <f>G469*(H467+H468)/(G467+G468)</f>
        <v>-3570.0728662803663</v>
      </c>
      <c r="I469" s="289">
        <f>ROUND(SUM(I467:I468)*$M469/SUM($M467:$M468),8)</f>
        <v>-133.80777653999999</v>
      </c>
      <c r="J469" s="177">
        <f>I469*(J467+J468)/(I467+I468)</f>
        <v>-3788.0428678817952</v>
      </c>
      <c r="K469" s="289">
        <f>ROUND(SUM(K467:K468)*$M469/SUM($M467:$M468),8)</f>
        <v>-135.21697842</v>
      </c>
      <c r="L469" s="177">
        <f>K469*(L467+L468)/(K467+K468)</f>
        <v>-3958.6226976633343</v>
      </c>
      <c r="M469" s="289">
        <v>-137</v>
      </c>
      <c r="N469" s="177">
        <f>M469*(N467+N468)/(M467+M468)</f>
        <v>-4143.4445661149603</v>
      </c>
    </row>
    <row r="470" spans="1:16" ht="13">
      <c r="A470" s="1"/>
      <c r="B470" s="885" t="s">
        <v>1839</v>
      </c>
      <c r="C470" s="290"/>
      <c r="D470" s="177"/>
      <c r="E470" s="289"/>
      <c r="F470" s="177"/>
      <c r="G470" s="289"/>
      <c r="H470" s="177"/>
      <c r="I470" s="289"/>
      <c r="J470" s="177"/>
      <c r="K470" s="289"/>
      <c r="L470" s="177"/>
      <c r="M470" s="289"/>
    </row>
    <row r="471" spans="1:16" ht="13">
      <c r="A471" s="1"/>
      <c r="B471" s="2"/>
      <c r="C471" s="290"/>
      <c r="D471" s="177"/>
      <c r="E471" s="289"/>
      <c r="F471" s="177"/>
      <c r="G471" s="289"/>
      <c r="H471" s="177"/>
      <c r="I471" s="289"/>
      <c r="J471" s="177"/>
      <c r="K471" s="289"/>
      <c r="L471" s="177"/>
      <c r="M471" s="289"/>
    </row>
    <row r="472" spans="1:16" ht="13">
      <c r="A472" s="1">
        <v>3808</v>
      </c>
      <c r="B472" s="2" t="s">
        <v>906</v>
      </c>
      <c r="C472" s="290">
        <f>VLOOKUP($A472,K0kommunestruktur2019!$A$4:$N$425,K0kommunestruktur2020!C$3,FALSE)</f>
        <v>12609</v>
      </c>
      <c r="D472" s="177">
        <f>VLOOKUP($A472,K0kommunestruktur2019!$A$4:$N$425,K0kommunestruktur2020!D$3,FALSE)</f>
        <v>260907</v>
      </c>
      <c r="E472" s="289">
        <f>VLOOKUP($A472,K0kommunestruktur2019!$A$4:$N$425,K0kommunestruktur2020!E$3,FALSE)</f>
        <v>12599</v>
      </c>
      <c r="F472" s="177">
        <f>VLOOKUP($A472,K0kommunestruktur2019!$A$4:$N$425,K0kommunestruktur2020!F$3,FALSE)</f>
        <v>277956</v>
      </c>
      <c r="G472" s="289">
        <f>VLOOKUP($A472,K0kommunestruktur2019!$A$4:$N$425,K0kommunestruktur2020!G$3,FALSE)</f>
        <v>12717</v>
      </c>
      <c r="H472" s="177">
        <f>VLOOKUP($A472,K0kommunestruktur2019!$A$4:$N$425,K0kommunestruktur2020!H$3,FALSE)</f>
        <v>301197</v>
      </c>
      <c r="I472" s="289">
        <f>VLOOKUP($A472,K0kommunestruktur2019!$A$4:$N$425,K0kommunestruktur2020!I$3,FALSE)</f>
        <v>12757</v>
      </c>
      <c r="J472" s="177">
        <f>VLOOKUP($A472,K0kommunestruktur2019!$A$4:$N$425,K0kommunestruktur2020!J$3,FALSE)</f>
        <v>303583</v>
      </c>
      <c r="K472" s="289">
        <f>VLOOKUP($A472,K0kommunestruktur2019!$A$4:$N$425,K0kommunestruktur2020!K$3,FALSE)</f>
        <v>12664</v>
      </c>
      <c r="L472" s="177">
        <f>VLOOKUP($A472,K0kommunestruktur2019!$A$4:$N$425,K0kommunestruktur2020!L$3,FALSE)</f>
        <v>311118</v>
      </c>
      <c r="M472" s="289">
        <f>VLOOKUP($A472,K0kommunestruktur2019!$A$4:$N$425,K0kommunestruktur2020!M$3,FALSE)</f>
        <v>12682</v>
      </c>
      <c r="N472" s="177">
        <f>VLOOKUP($A472,K0kommunestruktur2019!$A$4:$N$425,K0kommunestruktur2020!N$3,FALSE)</f>
        <v>330479</v>
      </c>
      <c r="O472" s="177"/>
    </row>
    <row r="473" spans="1:16" ht="13">
      <c r="A473" s="1"/>
      <c r="B473" s="894" t="s">
        <v>1720</v>
      </c>
      <c r="C473" s="290">
        <f>ROUND(C472*$M473/$M472,8)</f>
        <v>445.42122694</v>
      </c>
      <c r="D473" s="177">
        <f>C473*D472/C472</f>
        <v>9216.7115597775064</v>
      </c>
      <c r="E473" s="289">
        <f>ROUND(E472*$M473/$M472,8)</f>
        <v>445.06797035</v>
      </c>
      <c r="F473" s="912">
        <f>E473*F472/E472</f>
        <v>9818.9787099455989</v>
      </c>
      <c r="G473" s="289">
        <f>ROUND(G472*$M473/$M472,8)</f>
        <v>449.23639803999998</v>
      </c>
      <c r="H473" s="177">
        <f>G473*H472/G472</f>
        <v>10639.982337064865</v>
      </c>
      <c r="I473" s="289">
        <f>ROUND(I472*$M473/$M472,8)</f>
        <v>450.64942438000003</v>
      </c>
      <c r="J473" s="177">
        <f>I473*J472/I472</f>
        <v>10724.26935812131</v>
      </c>
      <c r="K473" s="289">
        <f>ROUND(K472*$M473/$M472,8)</f>
        <v>447.36413814999997</v>
      </c>
      <c r="L473" s="177">
        <f>K473*L472/K472</f>
        <v>10990.448194326571</v>
      </c>
      <c r="M473" s="289">
        <f t="shared" ref="M473" si="60">-M477</f>
        <v>448</v>
      </c>
      <c r="N473" s="177">
        <f>M473*N472/M472</f>
        <v>11674.388266834883</v>
      </c>
      <c r="O473" s="177"/>
    </row>
    <row r="474" spans="1:16" ht="13">
      <c r="A474" s="1"/>
      <c r="B474" s="2"/>
      <c r="C474" s="290"/>
      <c r="D474" s="177"/>
      <c r="E474" s="289"/>
      <c r="F474" s="177"/>
      <c r="G474" s="289"/>
      <c r="H474" s="177"/>
      <c r="I474" s="289"/>
      <c r="J474" s="177"/>
      <c r="K474" s="289"/>
      <c r="L474" s="177"/>
      <c r="M474" s="289"/>
    </row>
    <row r="475" spans="1:16" ht="13">
      <c r="A475" s="1">
        <v>821</v>
      </c>
      <c r="B475" s="2" t="s">
        <v>913</v>
      </c>
      <c r="C475" s="290">
        <f>VLOOKUP($A475,K0kommunestruktur2019!$A$4:$N$425,K0kommunestruktur2020!C$3,FALSE)</f>
        <v>5834</v>
      </c>
      <c r="D475" s="177">
        <f>VLOOKUP($A475,K0kommunestruktur2019!$A$4:$N$425,K0kommunestruktur2020!D$3,FALSE)</f>
        <v>112609</v>
      </c>
      <c r="E475" s="289">
        <f>VLOOKUP($A475,K0kommunestruktur2019!$A$4:$N$425,K0kommunestruktur2020!E$3,FALSE)</f>
        <v>5977</v>
      </c>
      <c r="F475" s="177">
        <f>VLOOKUP($A475,K0kommunestruktur2019!$A$4:$N$425,K0kommunestruktur2020!F$3,FALSE)</f>
        <v>120811</v>
      </c>
      <c r="G475" s="289">
        <f>VLOOKUP($A475,K0kommunestruktur2019!$A$4:$N$425,K0kommunestruktur2020!G$3,FALSE)</f>
        <v>6101</v>
      </c>
      <c r="H475" s="177">
        <f>VLOOKUP($A475,K0kommunestruktur2019!$A$4:$N$425,K0kommunestruktur2020!H$3,FALSE)</f>
        <v>132504</v>
      </c>
      <c r="I475" s="289">
        <f>VLOOKUP($A475,K0kommunestruktur2019!$A$4:$N$425,K0kommunestruktur2020!I$3,FALSE)</f>
        <v>6262</v>
      </c>
      <c r="J475" s="177">
        <f>VLOOKUP($A475,K0kommunestruktur2019!$A$4:$N$425,K0kommunestruktur2020!J$3,FALSE)</f>
        <v>141296</v>
      </c>
      <c r="K475" s="289">
        <f>VLOOKUP($A475,K0kommunestruktur2019!$A$4:$N$425,K0kommunestruktur2020!K$3,FALSE)</f>
        <v>6460</v>
      </c>
      <c r="L475" s="177">
        <f>VLOOKUP($A475,K0kommunestruktur2019!$A$4:$N$425,K0kommunestruktur2020!L$3,FALSE)</f>
        <v>151699</v>
      </c>
      <c r="M475" s="289">
        <f>VLOOKUP($A475,K0kommunestruktur2019!$A$4:$N$425,K0kommunestruktur2020!M$3,FALSE)</f>
        <v>6630</v>
      </c>
      <c r="N475" s="177">
        <f>VLOOKUP($A475,K0kommunestruktur2019!$A$4:$N$425,K0kommunestruktur2020!N$3,FALSE)</f>
        <v>157438</v>
      </c>
      <c r="P475" s="5"/>
    </row>
    <row r="476" spans="1:16" ht="13">
      <c r="A476" s="1">
        <v>822</v>
      </c>
      <c r="B476" s="2" t="s">
        <v>914</v>
      </c>
      <c r="C476" s="290">
        <f>VLOOKUP($A476,K0kommunestruktur2019!$A$4:$N$425,K0kommunestruktur2020!C$3,FALSE)</f>
        <v>4325</v>
      </c>
      <c r="D476" s="177">
        <f>VLOOKUP($A476,K0kommunestruktur2019!$A$4:$N$425,K0kommunestruktur2020!D$3,FALSE)</f>
        <v>86308</v>
      </c>
      <c r="E476" s="289">
        <f>VLOOKUP($A476,K0kommunestruktur2019!$A$4:$N$425,K0kommunestruktur2020!E$3,FALSE)</f>
        <v>4346</v>
      </c>
      <c r="F476" s="177">
        <f>VLOOKUP($A476,K0kommunestruktur2019!$A$4:$N$425,K0kommunestruktur2020!F$3,FALSE)</f>
        <v>90745</v>
      </c>
      <c r="G476" s="289">
        <f>VLOOKUP($A476,K0kommunestruktur2019!$A$4:$N$425,K0kommunestruktur2020!G$3,FALSE)</f>
        <v>4338</v>
      </c>
      <c r="H476" s="177">
        <f>VLOOKUP($A476,K0kommunestruktur2019!$A$4:$N$425,K0kommunestruktur2020!H$3,FALSE)</f>
        <v>96485</v>
      </c>
      <c r="I476" s="289">
        <f>VLOOKUP($A476,K0kommunestruktur2019!$A$4:$N$425,K0kommunestruktur2020!I$3,FALSE)</f>
        <v>4303</v>
      </c>
      <c r="J476" s="177">
        <f>VLOOKUP($A476,K0kommunestruktur2019!$A$4:$N$425,K0kommunestruktur2020!J$3,FALSE)</f>
        <v>103179</v>
      </c>
      <c r="K476" s="289">
        <f>VLOOKUP($A476,K0kommunestruktur2019!$A$4:$N$425,K0kommunestruktur2020!K$3,FALSE)</f>
        <v>4359</v>
      </c>
      <c r="L476" s="177">
        <f>VLOOKUP($A476,K0kommunestruktur2019!$A$4:$N$425,K0kommunestruktur2020!L$3,FALSE)</f>
        <v>106413</v>
      </c>
      <c r="M476" s="289">
        <f>VLOOKUP($A476,K0kommunestruktur2019!$A$4:$N$425,K0kommunestruktur2020!M$3,FALSE)</f>
        <v>4293</v>
      </c>
      <c r="N476" s="177">
        <f>VLOOKUP($A476,K0kommunestruktur2019!$A$4:$N$425,K0kommunestruktur2020!N$3,FALSE)</f>
        <v>108230</v>
      </c>
    </row>
    <row r="477" spans="1:16" ht="13">
      <c r="A477" s="1"/>
      <c r="B477" s="894" t="s">
        <v>1720</v>
      </c>
      <c r="C477" s="290">
        <f>ROUND(SUM(C475:C476)*$M477/SUM($M475:$M476),8)</f>
        <v>-416.66501877000002</v>
      </c>
      <c r="D477" s="177">
        <f>C477*(D475+D476)/(C475+C476)</f>
        <v>-8158.4561018478289</v>
      </c>
      <c r="E477" s="289">
        <f>ROUND(SUM(E475:E476)*$M477/SUM($M475:$M476),8)</f>
        <v>-423.39137599999998</v>
      </c>
      <c r="F477" s="912">
        <f>E477*(F475+F476)/(E475+E476)</f>
        <v>-8676.8367665461592</v>
      </c>
      <c r="G477" s="289">
        <f>ROUND(SUM(G475:G476)*$M477/SUM($M475:$M476),8)</f>
        <v>-428.14904330000002</v>
      </c>
      <c r="H477" s="177">
        <f>G477*(H475+H476)/(G475+G476)</f>
        <v>-9391.8403368353011</v>
      </c>
      <c r="I477" s="289">
        <f>ROUND(SUM(I475:I476)*$M477/SUM($M475:$M476),8)</f>
        <v>-433.31685434000002</v>
      </c>
      <c r="J477" s="177">
        <f>I477*(J475+J476)/(I475+I476)</f>
        <v>-10026.988922363607</v>
      </c>
      <c r="K477" s="289">
        <f>ROUND(SUM(K475:K476)*$M477/SUM($M475:$M476),8)</f>
        <v>-443.73450516999998</v>
      </c>
      <c r="L477" s="177">
        <f>K477*(L475+L476)/(K475+K476)</f>
        <v>-10586.301931642392</v>
      </c>
      <c r="M477" s="289">
        <v>-448</v>
      </c>
      <c r="N477" s="177">
        <f>M477*(N475+N476)/(M475+M476)</f>
        <v>-10896.206536665752</v>
      </c>
    </row>
    <row r="478" spans="1:16" ht="13">
      <c r="A478" s="1"/>
      <c r="B478" s="885" t="s">
        <v>1839</v>
      </c>
      <c r="C478" s="290"/>
      <c r="D478" s="177"/>
      <c r="E478" s="289"/>
      <c r="F478" s="177"/>
      <c r="G478" s="289"/>
      <c r="H478" s="177"/>
      <c r="I478" s="289"/>
      <c r="J478" s="177"/>
      <c r="K478" s="289"/>
      <c r="L478" s="177"/>
      <c r="M478" s="289"/>
    </row>
    <row r="479" spans="1:16" ht="13">
      <c r="A479" s="1"/>
      <c r="B479" s="2"/>
      <c r="C479" s="290"/>
      <c r="D479" s="177"/>
      <c r="E479" s="289"/>
      <c r="F479" s="177"/>
      <c r="G479" s="289"/>
      <c r="H479" s="177"/>
      <c r="I479" s="289"/>
      <c r="J479" s="177"/>
      <c r="K479" s="289"/>
      <c r="L479" s="177"/>
      <c r="M479" s="289"/>
    </row>
    <row r="480" spans="1:16" ht="13">
      <c r="A480" s="1">
        <v>1001</v>
      </c>
      <c r="B480" s="2" t="s">
        <v>942</v>
      </c>
      <c r="C480" s="290">
        <f>VLOOKUP($A480,K0kommunestruktur2019!$A$4:$N$425,K0kommunestruktur2020!C$3,FALSE)</f>
        <v>85983</v>
      </c>
      <c r="D480" s="177">
        <f>VLOOKUP($A480,K0kommunestruktur2019!$A$4:$N$425,K0kommunestruktur2020!D$3,FALSE)</f>
        <v>2050436</v>
      </c>
      <c r="E480" s="289">
        <f>VLOOKUP($A480,K0kommunestruktur2019!$A$4:$N$425,K0kommunestruktur2020!E$3,FALSE)</f>
        <v>87446</v>
      </c>
      <c r="F480" s="177">
        <f>VLOOKUP($A480,K0kommunestruktur2019!$A$4:$N$425,K0kommunestruktur2020!F$3,FALSE)</f>
        <v>2163880</v>
      </c>
      <c r="G480" s="289">
        <f>VLOOKUP($A480,K0kommunestruktur2019!$A$4:$N$425,K0kommunestruktur2020!G$3,FALSE)</f>
        <v>88447</v>
      </c>
      <c r="H480" s="177">
        <f>VLOOKUP($A480,K0kommunestruktur2019!$A$4:$N$425,K0kommunestruktur2020!H$3,FALSE)</f>
        <v>2332419</v>
      </c>
      <c r="I480" s="289">
        <f>VLOOKUP($A480,K0kommunestruktur2019!$A$4:$N$425,K0kommunestruktur2020!I$3,FALSE)</f>
        <v>89268</v>
      </c>
      <c r="J480" s="177">
        <f>VLOOKUP($A480,K0kommunestruktur2019!$A$4:$N$425,K0kommunestruktur2020!J$3,FALSE)</f>
        <v>2385821</v>
      </c>
      <c r="K480" s="289">
        <f>VLOOKUP($A480,K0kommunestruktur2019!$A$4:$N$425,K0kommunestruktur2020!K$3,FALSE)</f>
        <v>91440</v>
      </c>
      <c r="L480" s="177">
        <f>VLOOKUP($A480,K0kommunestruktur2019!$A$4:$N$425,K0kommunestruktur2020!L$3,FALSE)</f>
        <v>2526244</v>
      </c>
      <c r="M480" s="289">
        <f>VLOOKUP($A480,K0kommunestruktur2019!$A$4:$N$425,K0kommunestruktur2020!M$3,FALSE)</f>
        <v>92282</v>
      </c>
      <c r="N480" s="177">
        <f>VLOOKUP($A480,K0kommunestruktur2019!$A$4:$N$425,K0kommunestruktur2020!N$3,FALSE)</f>
        <v>2593992</v>
      </c>
    </row>
    <row r="481" spans="1:14" ht="13">
      <c r="A481" s="1">
        <v>1017</v>
      </c>
      <c r="B481" s="2" t="s">
        <v>948</v>
      </c>
      <c r="C481" s="290">
        <f>VLOOKUP($A481,K0kommunestruktur2019!$A$4:$N$425,K0kommunestruktur2020!C$3,FALSE)</f>
        <v>6303</v>
      </c>
      <c r="D481" s="177">
        <f>VLOOKUP($A481,K0kommunestruktur2019!$A$4:$N$425,K0kommunestruktur2020!D$3,FALSE)</f>
        <v>112742</v>
      </c>
      <c r="E481" s="289">
        <f>VLOOKUP($A481,K0kommunestruktur2019!$A$4:$N$425,K0kommunestruktur2020!E$3,FALSE)</f>
        <v>6354</v>
      </c>
      <c r="F481" s="177">
        <f>VLOOKUP($A481,K0kommunestruktur2019!$A$4:$N$425,K0kommunestruktur2020!F$3,FALSE)</f>
        <v>118509</v>
      </c>
      <c r="G481" s="289">
        <f>VLOOKUP($A481,K0kommunestruktur2019!$A$4:$N$425,K0kommunestruktur2020!G$3,FALSE)</f>
        <v>6419</v>
      </c>
      <c r="H481" s="177">
        <f>VLOOKUP($A481,K0kommunestruktur2019!$A$4:$N$425,K0kommunestruktur2020!H$3,FALSE)</f>
        <v>131403</v>
      </c>
      <c r="I481" s="289">
        <f>VLOOKUP($A481,K0kommunestruktur2019!$A$4:$N$425,K0kommunestruktur2020!I$3,FALSE)</f>
        <v>6568</v>
      </c>
      <c r="J481" s="177">
        <f>VLOOKUP($A481,K0kommunestruktur2019!$A$4:$N$425,K0kommunestruktur2020!J$3,FALSE)</f>
        <v>133870</v>
      </c>
      <c r="K481" s="289">
        <f>VLOOKUP($A481,K0kommunestruktur2019!$A$4:$N$425,K0kommunestruktur2020!K$3,FALSE)</f>
        <v>6656</v>
      </c>
      <c r="L481" s="177">
        <f>VLOOKUP($A481,K0kommunestruktur2019!$A$4:$N$425,K0kommunestruktur2020!L$3,FALSE)</f>
        <v>137623</v>
      </c>
      <c r="M481" s="289">
        <f>VLOOKUP($A481,K0kommunestruktur2019!$A$4:$N$425,K0kommunestruktur2020!M$3,FALSE)</f>
        <v>6706</v>
      </c>
      <c r="N481" s="177">
        <f>VLOOKUP($A481,K0kommunestruktur2019!$A$4:$N$425,K0kommunestruktur2020!N$3,FALSE)</f>
        <v>146015</v>
      </c>
    </row>
    <row r="482" spans="1:14" ht="13">
      <c r="A482" s="1">
        <v>1018</v>
      </c>
      <c r="B482" s="2" t="s">
        <v>949</v>
      </c>
      <c r="C482" s="290">
        <f>VLOOKUP($A482,K0kommunestruktur2019!$A$4:$N$425,K0kommunestruktur2020!C$3,FALSE)</f>
        <v>11005</v>
      </c>
      <c r="D482" s="177">
        <f>VLOOKUP($A482,K0kommunestruktur2019!$A$4:$N$425,K0kommunestruktur2020!D$3,FALSE)</f>
        <v>241993</v>
      </c>
      <c r="E482" s="289">
        <f>VLOOKUP($A482,K0kommunestruktur2019!$A$4:$N$425,K0kommunestruktur2020!E$3,FALSE)</f>
        <v>11217</v>
      </c>
      <c r="F482" s="177">
        <f>VLOOKUP($A482,K0kommunestruktur2019!$A$4:$N$425,K0kommunestruktur2020!F$3,FALSE)</f>
        <v>258365</v>
      </c>
      <c r="G482" s="289">
        <f>VLOOKUP($A482,K0kommunestruktur2019!$A$4:$N$425,K0kommunestruktur2020!G$3,FALSE)</f>
        <v>11260</v>
      </c>
      <c r="H482" s="177">
        <f>VLOOKUP($A482,K0kommunestruktur2019!$A$4:$N$425,K0kommunestruktur2020!H$3,FALSE)</f>
        <v>281709</v>
      </c>
      <c r="I482" s="289">
        <f>VLOOKUP($A482,K0kommunestruktur2019!$A$4:$N$425,K0kommunestruktur2020!I$3,FALSE)</f>
        <v>11321</v>
      </c>
      <c r="J482" s="177">
        <f>VLOOKUP($A482,K0kommunestruktur2019!$A$4:$N$425,K0kommunestruktur2020!J$3,FALSE)</f>
        <v>282473</v>
      </c>
      <c r="K482" s="289">
        <f>VLOOKUP($A482,K0kommunestruktur2019!$A$4:$N$425,K0kommunestruktur2020!K$3,FALSE)</f>
        <v>11342</v>
      </c>
      <c r="L482" s="177">
        <f>VLOOKUP($A482,K0kommunestruktur2019!$A$4:$N$425,K0kommunestruktur2020!L$3,FALSE)</f>
        <v>304309</v>
      </c>
      <c r="M482" s="289">
        <f>VLOOKUP($A482,K0kommunestruktur2019!$A$4:$N$425,K0kommunestruktur2020!M$3,FALSE)</f>
        <v>11403</v>
      </c>
      <c r="N482" s="177">
        <f>VLOOKUP($A482,K0kommunestruktur2019!$A$4:$N$425,K0kommunestruktur2020!N$3,FALSE)</f>
        <v>311780</v>
      </c>
    </row>
    <row r="483" spans="1:14" ht="13">
      <c r="A483" s="1"/>
      <c r="B483" s="2"/>
      <c r="C483" s="290"/>
      <c r="D483" s="177"/>
      <c r="E483" s="289"/>
      <c r="F483" s="177"/>
      <c r="G483" s="289"/>
      <c r="H483" s="177"/>
      <c r="I483" s="289"/>
      <c r="J483" s="177"/>
      <c r="K483" s="289"/>
      <c r="L483" s="177"/>
      <c r="M483" s="289"/>
    </row>
    <row r="484" spans="1:14" ht="13">
      <c r="A484" s="1">
        <v>1002</v>
      </c>
      <c r="B484" s="2" t="s">
        <v>943</v>
      </c>
      <c r="C484" s="290">
        <f>VLOOKUP($A484,K0kommunestruktur2019!$A$4:$N$425,K0kommunestruktur2020!C$3,FALSE)</f>
        <v>15349</v>
      </c>
      <c r="D484" s="177">
        <f>VLOOKUP($A484,K0kommunestruktur2019!$A$4:$N$425,K0kommunestruktur2020!D$3,FALSE)</f>
        <v>313328</v>
      </c>
      <c r="E484" s="289">
        <f>VLOOKUP($A484,K0kommunestruktur2019!$A$4:$N$425,K0kommunestruktur2020!E$3,FALSE)</f>
        <v>15437</v>
      </c>
      <c r="F484" s="177">
        <f>VLOOKUP($A484,K0kommunestruktur2019!$A$4:$N$425,K0kommunestruktur2020!F$3,FALSE)</f>
        <v>334306</v>
      </c>
      <c r="G484" s="289">
        <f>VLOOKUP($A484,K0kommunestruktur2019!$A$4:$N$425,K0kommunestruktur2020!G$3,FALSE)</f>
        <v>15529</v>
      </c>
      <c r="H484" s="177">
        <f>VLOOKUP($A484,K0kommunestruktur2019!$A$4:$N$425,K0kommunestruktur2020!H$3,FALSE)</f>
        <v>365513</v>
      </c>
      <c r="I484" s="289">
        <f>VLOOKUP($A484,K0kommunestruktur2019!$A$4:$N$425,K0kommunestruktur2020!I$3,FALSE)</f>
        <v>15600</v>
      </c>
      <c r="J484" s="177">
        <f>VLOOKUP($A484,K0kommunestruktur2019!$A$4:$N$425,K0kommunestruktur2020!J$3,FALSE)</f>
        <v>384424</v>
      </c>
      <c r="K484" s="289">
        <f>VLOOKUP($A484,K0kommunestruktur2019!$A$4:$N$425,K0kommunestruktur2020!K$3,FALSE)</f>
        <v>15659</v>
      </c>
      <c r="L484" s="177">
        <f>VLOOKUP($A484,K0kommunestruktur2019!$A$4:$N$425,K0kommunestruktur2020!L$3,FALSE)</f>
        <v>398288</v>
      </c>
      <c r="M484" s="289">
        <f>VLOOKUP($A484,K0kommunestruktur2019!$A$4:$N$425,K0kommunestruktur2020!M$3,FALSE)</f>
        <v>15659</v>
      </c>
      <c r="N484" s="177">
        <f>VLOOKUP($A484,K0kommunestruktur2019!$A$4:$N$425,K0kommunestruktur2020!N$3,FALSE)</f>
        <v>413427</v>
      </c>
    </row>
    <row r="485" spans="1:14" ht="13">
      <c r="A485" s="1">
        <v>1021</v>
      </c>
      <c r="B485" s="2" t="s">
        <v>1789</v>
      </c>
      <c r="C485" s="290">
        <f>VLOOKUP($A485,K0kommunestruktur2019!$A$4:$N$425,K0kommunestruktur2020!C$3,FALSE)</f>
        <v>2290</v>
      </c>
      <c r="D485" s="177">
        <f>VLOOKUP($A485,K0kommunestruktur2019!$A$4:$N$425,K0kommunestruktur2020!D$3,FALSE)</f>
        <v>43815</v>
      </c>
      <c r="E485" s="289">
        <f>VLOOKUP($A485,K0kommunestruktur2019!$A$4:$N$425,K0kommunestruktur2020!E$3,FALSE)</f>
        <v>2294</v>
      </c>
      <c r="F485" s="177">
        <f>VLOOKUP($A485,K0kommunestruktur2019!$A$4:$N$425,K0kommunestruktur2020!F$3,FALSE)</f>
        <v>45348</v>
      </c>
      <c r="G485" s="289">
        <f>VLOOKUP($A485,K0kommunestruktur2019!$A$4:$N$425,K0kommunestruktur2020!G$3,FALSE)</f>
        <v>2290</v>
      </c>
      <c r="H485" s="177">
        <f>VLOOKUP($A485,K0kommunestruktur2019!$A$4:$N$425,K0kommunestruktur2020!H$3,FALSE)</f>
        <v>49083</v>
      </c>
      <c r="I485" s="289">
        <f>VLOOKUP($A485,K0kommunestruktur2019!$A$4:$N$425,K0kommunestruktur2020!I$3,FALSE)</f>
        <v>2309</v>
      </c>
      <c r="J485" s="177">
        <f>VLOOKUP($A485,K0kommunestruktur2019!$A$4:$N$425,K0kommunestruktur2020!J$3,FALSE)</f>
        <v>51262</v>
      </c>
      <c r="K485" s="289">
        <f>VLOOKUP($A485,K0kommunestruktur2019!$A$4:$N$425,K0kommunestruktur2020!K$3,FALSE)</f>
        <v>2308</v>
      </c>
      <c r="L485" s="177">
        <f>VLOOKUP($A485,K0kommunestruktur2019!$A$4:$N$425,K0kommunestruktur2020!L$3,FALSE)</f>
        <v>54166</v>
      </c>
      <c r="M485" s="289">
        <f>VLOOKUP($A485,K0kommunestruktur2019!$A$4:$N$425,K0kommunestruktur2020!M$3,FALSE)</f>
        <v>2297</v>
      </c>
      <c r="N485" s="177">
        <f>VLOOKUP($A485,K0kommunestruktur2019!$A$4:$N$425,K0kommunestruktur2020!N$3,FALSE)</f>
        <v>60047</v>
      </c>
    </row>
    <row r="486" spans="1:14" ht="13">
      <c r="A486" s="1">
        <v>1029</v>
      </c>
      <c r="B486" s="2" t="s">
        <v>953</v>
      </c>
      <c r="C486" s="290">
        <f>VLOOKUP($A486,K0kommunestruktur2019!$A$4:$N$425,K0kommunestruktur2020!C$3,FALSE)</f>
        <v>4853</v>
      </c>
      <c r="D486" s="177">
        <f>VLOOKUP($A486,K0kommunestruktur2019!$A$4:$N$425,K0kommunestruktur2020!D$3,FALSE)</f>
        <v>89908</v>
      </c>
      <c r="E486" s="289">
        <f>VLOOKUP($A486,K0kommunestruktur2019!$A$4:$N$425,K0kommunestruktur2020!E$3,FALSE)</f>
        <v>4880</v>
      </c>
      <c r="F486" s="177">
        <f>VLOOKUP($A486,K0kommunestruktur2019!$A$4:$N$425,K0kommunestruktur2020!F$3,FALSE)</f>
        <v>101144</v>
      </c>
      <c r="G486" s="289">
        <f>VLOOKUP($A486,K0kommunestruktur2019!$A$4:$N$425,K0kommunestruktur2020!G$3,FALSE)</f>
        <v>4943</v>
      </c>
      <c r="H486" s="177">
        <f>VLOOKUP($A486,K0kommunestruktur2019!$A$4:$N$425,K0kommunestruktur2020!H$3,FALSE)</f>
        <v>111945</v>
      </c>
      <c r="I486" s="289">
        <f>VLOOKUP($A486,K0kommunestruktur2019!$A$4:$N$425,K0kommunestruktur2020!I$3,FALSE)</f>
        <v>4950</v>
      </c>
      <c r="J486" s="177">
        <f>VLOOKUP($A486,K0kommunestruktur2019!$A$4:$N$425,K0kommunestruktur2020!J$3,FALSE)</f>
        <v>116255</v>
      </c>
      <c r="K486" s="289">
        <f>VLOOKUP($A486,K0kommunestruktur2019!$A$4:$N$425,K0kommunestruktur2020!K$3,FALSE)</f>
        <v>4938</v>
      </c>
      <c r="L486" s="177">
        <f>VLOOKUP($A486,K0kommunestruktur2019!$A$4:$N$425,K0kommunestruktur2020!L$3,FALSE)</f>
        <v>113860</v>
      </c>
      <c r="M486" s="289">
        <f>VLOOKUP($A486,K0kommunestruktur2019!$A$4:$N$425,K0kommunestruktur2020!M$3,FALSE)</f>
        <v>4953</v>
      </c>
      <c r="N486" s="177">
        <f>VLOOKUP($A486,K0kommunestruktur2019!$A$4:$N$425,K0kommunestruktur2020!N$3,FALSE)</f>
        <v>122123</v>
      </c>
    </row>
    <row r="487" spans="1:14" ht="13">
      <c r="A487" s="1"/>
      <c r="B487" s="2"/>
      <c r="C487" s="290"/>
      <c r="D487" s="177"/>
      <c r="E487" s="289"/>
      <c r="F487" s="177"/>
      <c r="G487" s="289"/>
      <c r="H487" s="177"/>
      <c r="I487" s="289"/>
      <c r="J487" s="177"/>
      <c r="K487" s="289"/>
      <c r="L487" s="177"/>
      <c r="M487" s="289"/>
    </row>
    <row r="488" spans="1:14" ht="13">
      <c r="A488" s="1">
        <v>1027</v>
      </c>
      <c r="B488" s="2" t="s">
        <v>952</v>
      </c>
      <c r="C488" s="290">
        <f>VLOOKUP($A488,K0kommunestruktur2019!$A$4:$N$425,K0kommunestruktur2020!C$3,FALSE)</f>
        <v>1743</v>
      </c>
      <c r="D488" s="177">
        <f>VLOOKUP($A488,K0kommunestruktur2019!$A$4:$N$425,K0kommunestruktur2020!D$3,FALSE)</f>
        <v>33183</v>
      </c>
      <c r="E488" s="289">
        <f>VLOOKUP($A488,K0kommunestruktur2019!$A$4:$N$425,K0kommunestruktur2020!E$3,FALSE)</f>
        <v>1750</v>
      </c>
      <c r="F488" s="177">
        <f>VLOOKUP($A488,K0kommunestruktur2019!$A$4:$N$425,K0kommunestruktur2020!F$3,FALSE)</f>
        <v>34621</v>
      </c>
      <c r="G488" s="289">
        <f>VLOOKUP($A488,K0kommunestruktur2019!$A$4:$N$425,K0kommunestruktur2020!G$3,FALSE)</f>
        <v>1750</v>
      </c>
      <c r="H488" s="177">
        <f>VLOOKUP($A488,K0kommunestruktur2019!$A$4:$N$425,K0kommunestruktur2020!H$3,FALSE)</f>
        <v>36874</v>
      </c>
      <c r="I488" s="289">
        <f>VLOOKUP($A488,K0kommunestruktur2019!$A$4:$N$425,K0kommunestruktur2020!I$3,FALSE)</f>
        <v>1765</v>
      </c>
      <c r="J488" s="177">
        <f>VLOOKUP($A488,K0kommunestruktur2019!$A$4:$N$425,K0kommunestruktur2020!J$3,FALSE)</f>
        <v>38548</v>
      </c>
      <c r="K488" s="289">
        <f>VLOOKUP($A488,K0kommunestruktur2019!$A$4:$N$425,K0kommunestruktur2020!K$3,FALSE)</f>
        <v>1786</v>
      </c>
      <c r="L488" s="177">
        <f>VLOOKUP($A488,K0kommunestruktur2019!$A$4:$N$425,K0kommunestruktur2020!L$3,FALSE)</f>
        <v>40485</v>
      </c>
      <c r="M488" s="289">
        <f>VLOOKUP($A488,K0kommunestruktur2019!$A$4:$N$425,K0kommunestruktur2020!M$3,FALSE)</f>
        <v>1780</v>
      </c>
      <c r="N488" s="177">
        <f>VLOOKUP($A488,K0kommunestruktur2019!$A$4:$N$425,K0kommunestruktur2020!N$3,FALSE)</f>
        <v>42130</v>
      </c>
    </row>
    <row r="489" spans="1:14" ht="13">
      <c r="A489" s="1">
        <v>1032</v>
      </c>
      <c r="B489" s="2" t="s">
        <v>954</v>
      </c>
      <c r="C489" s="290">
        <f>VLOOKUP($A489,K0kommunestruktur2019!$A$4:$N$425,K0kommunestruktur2020!C$3,FALSE)</f>
        <v>8102</v>
      </c>
      <c r="D489" s="177">
        <f>VLOOKUP($A489,K0kommunestruktur2019!$A$4:$N$425,K0kommunestruktur2020!D$3,FALSE)</f>
        <v>157009</v>
      </c>
      <c r="E489" s="289">
        <f>VLOOKUP($A489,K0kommunestruktur2019!$A$4:$N$425,K0kommunestruktur2020!E$3,FALSE)</f>
        <v>8335</v>
      </c>
      <c r="F489" s="177">
        <f>VLOOKUP($A489,K0kommunestruktur2019!$A$4:$N$425,K0kommunestruktur2020!F$3,FALSE)</f>
        <v>164864</v>
      </c>
      <c r="G489" s="289">
        <f>VLOOKUP($A489,K0kommunestruktur2019!$A$4:$N$425,K0kommunestruktur2020!G$3,FALSE)</f>
        <v>8497</v>
      </c>
      <c r="H489" s="177">
        <f>VLOOKUP($A489,K0kommunestruktur2019!$A$4:$N$425,K0kommunestruktur2020!H$3,FALSE)</f>
        <v>180492</v>
      </c>
      <c r="I489" s="289">
        <f>VLOOKUP($A489,K0kommunestruktur2019!$A$4:$N$425,K0kommunestruktur2020!I$3,FALSE)</f>
        <v>8588</v>
      </c>
      <c r="J489" s="177">
        <f>VLOOKUP($A489,K0kommunestruktur2019!$A$4:$N$425,K0kommunestruktur2020!J$3,FALSE)</f>
        <v>190773</v>
      </c>
      <c r="K489" s="289">
        <f>VLOOKUP($A489,K0kommunestruktur2019!$A$4:$N$425,K0kommunestruktur2020!K$3,FALSE)</f>
        <v>8571</v>
      </c>
      <c r="L489" s="177">
        <f>VLOOKUP($A489,K0kommunestruktur2019!$A$4:$N$425,K0kommunestruktur2020!L$3,FALSE)</f>
        <v>195683</v>
      </c>
      <c r="M489" s="289">
        <f>VLOOKUP($A489,K0kommunestruktur2019!$A$4:$N$425,K0kommunestruktur2020!M$3,FALSE)</f>
        <v>8609</v>
      </c>
      <c r="N489" s="177">
        <f>VLOOKUP($A489,K0kommunestruktur2019!$A$4:$N$425,K0kommunestruktur2020!N$3,FALSE)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VLOOKUP($A491,K0kommunestruktur2019!$A$4:$N$425,K0kommunestruktur2020!C$3,FALSE)</f>
        <v>11779</v>
      </c>
      <c r="D491" s="177">
        <f>VLOOKUP($A491,K0kommunestruktur2019!$A$4:$N$425,K0kommunestruktur2020!D$3,FALSE)</f>
        <v>288423</v>
      </c>
      <c r="E491" s="289">
        <f>VLOOKUP($A491,K0kommunestruktur2019!$A$4:$N$425,K0kommunestruktur2020!E$3,FALSE)</f>
        <v>11862</v>
      </c>
      <c r="F491" s="177">
        <f>VLOOKUP($A491,K0kommunestruktur2019!$A$4:$N$425,K0kommunestruktur2020!F$3,FALSE)</f>
        <v>300441</v>
      </c>
      <c r="G491" s="289">
        <f>VLOOKUP($A491,K0kommunestruktur2019!$A$4:$N$425,K0kommunestruktur2020!G$3,FALSE)</f>
        <v>11923</v>
      </c>
      <c r="H491" s="177">
        <f>VLOOKUP($A491,K0kommunestruktur2019!$A$4:$N$425,K0kommunestruktur2020!H$3,FALSE)</f>
        <v>325784</v>
      </c>
      <c r="I491" s="289">
        <f>VLOOKUP($A491,K0kommunestruktur2019!$A$4:$N$425,K0kommunestruktur2020!I$3,FALSE)</f>
        <v>11999</v>
      </c>
      <c r="J491" s="177">
        <f>VLOOKUP($A491,K0kommunestruktur2019!$A$4:$N$425,K0kommunestruktur2020!J$3,FALSE)</f>
        <v>325879</v>
      </c>
      <c r="K491" s="289">
        <f>VLOOKUP($A491,K0kommunestruktur2019!$A$4:$N$425,K0kommunestruktur2020!K$3,FALSE)</f>
        <v>11988</v>
      </c>
      <c r="L491" s="177">
        <f>VLOOKUP($A491,K0kommunestruktur2019!$A$4:$N$425,K0kommunestruktur2020!L$3,FALSE)</f>
        <v>333690</v>
      </c>
      <c r="M491" s="289">
        <f>VLOOKUP($A491,K0kommunestruktur2019!$A$4:$N$425,K0kommunestruktur2020!M$3,FALSE)</f>
        <v>11852</v>
      </c>
      <c r="N491" s="177">
        <f>VLOOKUP($A491,K0kommunestruktur2019!$A$4:$N$425,K0kommunestruktur2020!N$3,FALSE)</f>
        <v>364786</v>
      </c>
    </row>
    <row r="492" spans="1:14" ht="13">
      <c r="A492" s="1">
        <v>1439</v>
      </c>
      <c r="B492" s="2" t="s">
        <v>78</v>
      </c>
      <c r="C492" s="290">
        <f>VLOOKUP($A492,K0kommunestruktur2019!$A$4:$N$425,K0kommunestruktur2020!C$3,FALSE)</f>
        <v>6091</v>
      </c>
      <c r="D492" s="177">
        <f>VLOOKUP($A492,K0kommunestruktur2019!$A$4:$N$425,K0kommunestruktur2020!D$3,FALSE)</f>
        <v>139692</v>
      </c>
      <c r="E492" s="289">
        <f>VLOOKUP($A492,K0kommunestruktur2019!$A$4:$N$425,K0kommunestruktur2020!E$3,FALSE)</f>
        <v>6082</v>
      </c>
      <c r="F492" s="177">
        <f>VLOOKUP($A492,K0kommunestruktur2019!$A$4:$N$425,K0kommunestruktur2020!F$3,FALSE)</f>
        <v>143596</v>
      </c>
      <c r="G492" s="289">
        <f>VLOOKUP($A492,K0kommunestruktur2019!$A$4:$N$425,K0kommunestruktur2020!G$3,FALSE)</f>
        <v>6046</v>
      </c>
      <c r="H492" s="177">
        <f>VLOOKUP($A492,K0kommunestruktur2019!$A$4:$N$425,K0kommunestruktur2020!H$3,FALSE)</f>
        <v>155147</v>
      </c>
      <c r="I492" s="289">
        <f>VLOOKUP($A492,K0kommunestruktur2019!$A$4:$N$425,K0kommunestruktur2020!I$3,FALSE)</f>
        <v>6031</v>
      </c>
      <c r="J492" s="177">
        <f>VLOOKUP($A492,K0kommunestruktur2019!$A$4:$N$425,K0kommunestruktur2020!J$3,FALSE)</f>
        <v>161472</v>
      </c>
      <c r="K492" s="289">
        <f>VLOOKUP($A492,K0kommunestruktur2019!$A$4:$N$425,K0kommunestruktur2020!K$3,FALSE)</f>
        <v>6001</v>
      </c>
      <c r="L492" s="177">
        <f>VLOOKUP($A492,K0kommunestruktur2019!$A$4:$N$425,K0kommunestruktur2020!L$3,FALSE)</f>
        <v>169038</v>
      </c>
      <c r="M492" s="289">
        <f>VLOOKUP($A492,K0kommunestruktur2019!$A$4:$N$425,K0kommunestruktur2020!M$3,FALSE)</f>
        <v>5970</v>
      </c>
      <c r="N492" s="177">
        <f>VLOOKUP($A492,K0kommunestruktur2019!$A$4:$N$425,K0kommunestruktur2020!N$3,FALSE)</f>
        <v>182486</v>
      </c>
    </row>
    <row r="493" spans="1:14" ht="13">
      <c r="A493" s="1"/>
      <c r="B493" s="894" t="s">
        <v>1733</v>
      </c>
      <c r="C493" s="290">
        <f>ROUND(SUM(C491:C492)*$M493/SUM($M491:$M492),8)</f>
        <v>-516.38704971000004</v>
      </c>
      <c r="D493" s="177">
        <f>C493*(D491+D492)/(C491+C492)</f>
        <v>-12371.183088225891</v>
      </c>
      <c r="E493" s="289">
        <f>ROUND(SUM(E491:E492)*$M493/SUM($M491:$M492),8)</f>
        <v>-518.52541801999996</v>
      </c>
      <c r="F493" s="912">
        <f>E493*(F491+F492)/(E491+E492)</f>
        <v>-12831.279037079064</v>
      </c>
      <c r="G493" s="289">
        <f>ROUND(SUM(G491:G492)*$M493/SUM($M491:$M492),8)</f>
        <v>-519.24783975000003</v>
      </c>
      <c r="H493" s="177">
        <f>G493*(H491+H492)/(G491+G492)</f>
        <v>-13897.400123479731</v>
      </c>
      <c r="I493" s="289">
        <f>ROUND(SUM(I491:I492)*$M493/SUM($M491:$M492),8)</f>
        <v>-521.01054876000001</v>
      </c>
      <c r="J493" s="177">
        <f>I493*(J491+J492)/(I491+I492)</f>
        <v>-14082.918022669704</v>
      </c>
      <c r="K493" s="289">
        <f>ROUND(SUM(K491:K492)*$M493/SUM($M491:$M492),8)</f>
        <v>-519.82577713000001</v>
      </c>
      <c r="L493" s="177">
        <f>K493*(L491+L492)/(K491+K492)</f>
        <v>-14527.265177887077</v>
      </c>
      <c r="M493" s="289">
        <v>-515</v>
      </c>
      <c r="N493" s="177">
        <f>M493*(N491+N492)/(M491+M492)</f>
        <v>-15814.447312310627</v>
      </c>
    </row>
    <row r="494" spans="1:14" ht="13">
      <c r="A494" s="1"/>
      <c r="B494" s="885" t="s">
        <v>1839</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VLOOKUP($A496,K0kommunestruktur2019!$A$4:$N$425,K0kommunestruktur2020!C$3,FALSE)</f>
        <v>1094</v>
      </c>
      <c r="D496" s="177">
        <f>VLOOKUP($A496,K0kommunestruktur2019!$A$4:$N$425,K0kommunestruktur2020!D$3,FALSE)</f>
        <v>24740</v>
      </c>
      <c r="E496" s="289">
        <f>VLOOKUP($A496,K0kommunestruktur2019!$A$4:$N$425,K0kommunestruktur2020!E$3,FALSE)</f>
        <v>1100</v>
      </c>
      <c r="F496" s="177">
        <f>VLOOKUP($A496,K0kommunestruktur2019!$A$4:$N$425,K0kommunestruktur2020!F$3,FALSE)</f>
        <v>26495</v>
      </c>
      <c r="G496" s="289">
        <f>VLOOKUP($A496,K0kommunestruktur2019!$A$4:$N$425,K0kommunestruktur2020!G$3,FALSE)</f>
        <v>1104</v>
      </c>
      <c r="H496" s="177">
        <f>VLOOKUP($A496,K0kommunestruktur2019!$A$4:$N$425,K0kommunestruktur2020!H$3,FALSE)</f>
        <v>25475</v>
      </c>
      <c r="I496" s="289">
        <f>VLOOKUP($A496,K0kommunestruktur2019!$A$4:$N$425,K0kommunestruktur2020!I$3,FALSE)</f>
        <v>1108</v>
      </c>
      <c r="J496" s="177">
        <f>VLOOKUP($A496,K0kommunestruktur2019!$A$4:$N$425,K0kommunestruktur2020!J$3,FALSE)</f>
        <v>28232</v>
      </c>
      <c r="K496" s="289">
        <f>VLOOKUP($A496,K0kommunestruktur2019!$A$4:$N$425,K0kommunestruktur2020!K$3,FALSE)</f>
        <v>1096</v>
      </c>
      <c r="L496" s="177">
        <f>VLOOKUP($A496,K0kommunestruktur2019!$A$4:$N$425,K0kommunestruktur2020!L$3,FALSE)</f>
        <v>29975</v>
      </c>
      <c r="M496" s="289">
        <f>VLOOKUP($A496,K0kommunestruktur2019!$A$4:$N$425,K0kommunestruktur2020!M$3,FALSE)</f>
        <v>1087</v>
      </c>
      <c r="N496" s="177">
        <f>VLOOKUP($A496,K0kommunestruktur2019!$A$4:$N$425,K0kommunestruktur2020!N$3,FALSE)</f>
        <v>30456</v>
      </c>
    </row>
    <row r="497" spans="1:14" ht="13">
      <c r="A497" s="1">
        <v>1228</v>
      </c>
      <c r="B497" s="2" t="s">
        <v>32</v>
      </c>
      <c r="C497" s="290">
        <f>VLOOKUP($A497,K0kommunestruktur2019!$A$4:$N$425,K0kommunestruktur2020!C$3,FALSE)</f>
        <v>7006</v>
      </c>
      <c r="D497" s="177">
        <f>VLOOKUP($A497,K0kommunestruktur2019!$A$4:$N$425,K0kommunestruktur2020!D$3,FALSE)</f>
        <v>190264</v>
      </c>
      <c r="E497" s="289">
        <f>VLOOKUP($A497,K0kommunestruktur2019!$A$4:$N$425,K0kommunestruktur2020!E$3,FALSE)</f>
        <v>6952</v>
      </c>
      <c r="F497" s="177">
        <f>VLOOKUP($A497,K0kommunestruktur2019!$A$4:$N$425,K0kommunestruktur2020!F$3,FALSE)</f>
        <v>203101</v>
      </c>
      <c r="G497" s="289">
        <f>VLOOKUP($A497,K0kommunestruktur2019!$A$4:$N$425,K0kommunestruktur2020!G$3,FALSE)</f>
        <v>6930</v>
      </c>
      <c r="H497" s="177">
        <f>VLOOKUP($A497,K0kommunestruktur2019!$A$4:$N$425,K0kommunestruktur2020!H$3,FALSE)</f>
        <v>209148</v>
      </c>
      <c r="I497" s="289">
        <f>VLOOKUP($A497,K0kommunestruktur2019!$A$4:$N$425,K0kommunestruktur2020!I$3,FALSE)</f>
        <v>7025</v>
      </c>
      <c r="J497" s="177">
        <f>VLOOKUP($A497,K0kommunestruktur2019!$A$4:$N$425,K0kommunestruktur2020!J$3,FALSE)</f>
        <v>217927</v>
      </c>
      <c r="K497" s="289">
        <f>VLOOKUP($A497,K0kommunestruktur2019!$A$4:$N$425,K0kommunestruktur2020!K$3,FALSE)</f>
        <v>6835</v>
      </c>
      <c r="L497" s="177">
        <f>VLOOKUP($A497,K0kommunestruktur2019!$A$4:$N$425,K0kommunestruktur2020!L$3,FALSE)</f>
        <v>218966</v>
      </c>
      <c r="M497" s="289">
        <f>VLOOKUP($A497,K0kommunestruktur2019!$A$4:$N$425,K0kommunestruktur2020!M$3,FALSE)</f>
        <v>6745</v>
      </c>
      <c r="N497" s="177">
        <f>VLOOKUP($A497,K0kommunestruktur2019!$A$4:$N$425,K0kommunestruktur2020!N$3,FALSE)</f>
        <v>227221</v>
      </c>
    </row>
    <row r="498" spans="1:14" ht="13">
      <c r="A498" s="1">
        <v>1231</v>
      </c>
      <c r="B498" s="2" t="s">
        <v>33</v>
      </c>
      <c r="C498" s="290">
        <f>VLOOKUP($A498,K0kommunestruktur2019!$A$4:$N$425,K0kommunestruktur2020!C$3,FALSE)</f>
        <v>3369</v>
      </c>
      <c r="D498" s="177">
        <f>VLOOKUP($A498,K0kommunestruktur2019!$A$4:$N$425,K0kommunestruktur2020!D$3,FALSE)</f>
        <v>77431</v>
      </c>
      <c r="E498" s="289">
        <f>VLOOKUP($A498,K0kommunestruktur2019!$A$4:$N$425,K0kommunestruktur2020!E$3,FALSE)</f>
        <v>3411</v>
      </c>
      <c r="F498" s="177">
        <f>VLOOKUP($A498,K0kommunestruktur2019!$A$4:$N$425,K0kommunestruktur2020!F$3,FALSE)</f>
        <v>78866</v>
      </c>
      <c r="G498" s="289">
        <f>VLOOKUP($A498,K0kommunestruktur2019!$A$4:$N$425,K0kommunestruktur2020!G$3,FALSE)</f>
        <v>3401</v>
      </c>
      <c r="H498" s="177">
        <f>VLOOKUP($A498,K0kommunestruktur2019!$A$4:$N$425,K0kommunestruktur2020!H$3,FALSE)</f>
        <v>81214</v>
      </c>
      <c r="I498" s="289">
        <f>VLOOKUP($A498,K0kommunestruktur2019!$A$4:$N$425,K0kommunestruktur2020!I$3,FALSE)</f>
        <v>3377</v>
      </c>
      <c r="J498" s="177">
        <f>VLOOKUP($A498,K0kommunestruktur2019!$A$4:$N$425,K0kommunestruktur2020!J$3,FALSE)</f>
        <v>81965</v>
      </c>
      <c r="K498" s="289">
        <f>VLOOKUP($A498,K0kommunestruktur2019!$A$4:$N$425,K0kommunestruktur2020!K$3,FALSE)</f>
        <v>3363</v>
      </c>
      <c r="L498" s="177">
        <f>VLOOKUP($A498,K0kommunestruktur2019!$A$4:$N$425,K0kommunestruktur2020!L$3,FALSE)</f>
        <v>86913</v>
      </c>
      <c r="M498" s="289">
        <f>VLOOKUP($A498,K0kommunestruktur2019!$A$4:$N$425,K0kommunestruktur2020!M$3,FALSE)</f>
        <v>3320</v>
      </c>
      <c r="N498" s="177">
        <f>VLOOKUP($A498,K0kommunestruktur2019!$A$4:$N$425,K0kommunestruktur2020!N$3,FALSE)</f>
        <v>91437</v>
      </c>
    </row>
    <row r="499" spans="1:14" ht="13">
      <c r="A499" s="1"/>
      <c r="B499" s="894" t="s">
        <v>1737</v>
      </c>
      <c r="C499" s="290">
        <f>ROUND(SUM(C496:C498)*$M499/SUM($M496:$M498),8)</f>
        <v>-69.93292683</v>
      </c>
      <c r="D499" s="177">
        <f>C499*(D496+D497+D498)/(C496+C497+C498)</f>
        <v>-1783.140243921096</v>
      </c>
      <c r="E499" s="289">
        <f>ROUND(SUM(E496:E498)*$M499/SUM($M496:$M498),8)</f>
        <v>-69.896341460000002</v>
      </c>
      <c r="F499" s="912">
        <f>E499*(F496+F497+F498)/(E496+E497+E498)</f>
        <v>-1880.8658535666511</v>
      </c>
      <c r="G499" s="289">
        <f>ROUND(SUM(G496:G498)*$M499/SUM($M496:$M498),8)</f>
        <v>-69.725609759999998</v>
      </c>
      <c r="H499" s="177">
        <f>G499*(H496+H497+H498)/(G496+G497+G498)</f>
        <v>-1925.8353659614445</v>
      </c>
      <c r="I499" s="289">
        <f>ROUND(SUM(I496:I498)*$M499/SUM($M496:$M498),8)</f>
        <v>-70.18292683</v>
      </c>
      <c r="J499" s="177">
        <f>I499*(J496+J497+J498)/(I496+I497+I498)</f>
        <v>-2000.7560975818351</v>
      </c>
      <c r="K499" s="289">
        <f>ROUND(SUM(K496:K498)*$M499/SUM($M496:$M498),8)</f>
        <v>-68.865853659999999</v>
      </c>
      <c r="L499" s="177">
        <f>K499*(L496+L497+L498)/(K496+K497+K498)</f>
        <v>-2047.8902439459571</v>
      </c>
      <c r="M499" s="289">
        <v>-68</v>
      </c>
      <c r="N499" s="177">
        <f>M499*(N496+N497+N498)/(M496+M497+M498)</f>
        <v>-2128.7439024390242</v>
      </c>
    </row>
    <row r="500" spans="1:14" ht="13">
      <c r="A500" s="1"/>
      <c r="B500" s="885" t="s">
        <v>1844</v>
      </c>
      <c r="C500" s="290"/>
      <c r="D500" s="177">
        <v>72670.816000000006</v>
      </c>
      <c r="E500" s="289"/>
      <c r="F500" s="177">
        <v>74062.19</v>
      </c>
      <c r="G500" s="289"/>
      <c r="H500" s="177">
        <v>76606.375</v>
      </c>
      <c r="I500" s="289"/>
      <c r="J500" s="177">
        <v>77232.877000000008</v>
      </c>
      <c r="K500" s="289"/>
      <c r="L500" s="177">
        <v>82105</v>
      </c>
      <c r="M500" s="289"/>
      <c r="N500" s="177">
        <v>80143.975426996592</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VLOOKUP($A502,K0kommunestruktur2019!$A$4:$N$425,K0kommunestruktur2020!C$3,FALSE)</f>
        <v>911</v>
      </c>
      <c r="D502" s="177">
        <f>VLOOKUP($A502,K0kommunestruktur2019!$A$4:$N$425,K0kommunestruktur2020!D$3,FALSE)</f>
        <v>18684</v>
      </c>
      <c r="E502" s="289">
        <f>VLOOKUP($A502,K0kommunestruktur2019!$A$4:$N$425,K0kommunestruktur2020!E$3,FALSE)</f>
        <v>921</v>
      </c>
      <c r="F502" s="177">
        <f>VLOOKUP($A502,K0kommunestruktur2019!$A$4:$N$425,K0kommunestruktur2020!F$3,FALSE)</f>
        <v>20189</v>
      </c>
      <c r="G502" s="289">
        <f>VLOOKUP($A502,K0kommunestruktur2019!$A$4:$N$425,K0kommunestruktur2020!G$3,FALSE)</f>
        <v>920</v>
      </c>
      <c r="H502" s="177">
        <f>VLOOKUP($A502,K0kommunestruktur2019!$A$4:$N$425,K0kommunestruktur2020!H$3,FALSE)</f>
        <v>20978</v>
      </c>
      <c r="I502" s="289">
        <f>VLOOKUP($A502,K0kommunestruktur2019!$A$4:$N$425,K0kommunestruktur2020!I$3,FALSE)</f>
        <v>933</v>
      </c>
      <c r="J502" s="177">
        <f>VLOOKUP($A502,K0kommunestruktur2019!$A$4:$N$425,K0kommunestruktur2020!J$3,FALSE)</f>
        <v>23163</v>
      </c>
      <c r="K502" s="289">
        <f>VLOOKUP($A502,K0kommunestruktur2019!$A$4:$N$425,K0kommunestruktur2020!K$3,FALSE)</f>
        <v>931</v>
      </c>
      <c r="L502" s="177">
        <f>VLOOKUP($A502,K0kommunestruktur2019!$A$4:$N$425,K0kommunestruktur2020!L$3,FALSE)</f>
        <v>22248</v>
      </c>
      <c r="M502" s="289">
        <f>VLOOKUP($A502,K0kommunestruktur2019!$A$4:$N$425,K0kommunestruktur2020!M$3,FALSE)</f>
        <v>937</v>
      </c>
      <c r="N502" s="177">
        <f>VLOOKUP($A502,K0kommunestruktur2019!$A$4:$N$425,K0kommunestruktur2020!N$3,FALSE)</f>
        <v>23115</v>
      </c>
    </row>
    <row r="503" spans="1:14" ht="13">
      <c r="A503" s="1">
        <v>1235</v>
      </c>
      <c r="B503" s="2" t="s">
        <v>37</v>
      </c>
      <c r="C503" s="290">
        <f>VLOOKUP($A503,K0kommunestruktur2019!$A$4:$N$425,K0kommunestruktur2020!C$3,FALSE)</f>
        <v>14168</v>
      </c>
      <c r="D503" s="177">
        <f>VLOOKUP($A503,K0kommunestruktur2019!$A$4:$N$425,K0kommunestruktur2020!D$3,FALSE)</f>
        <v>327718</v>
      </c>
      <c r="E503" s="289">
        <f>VLOOKUP($A503,K0kommunestruktur2019!$A$4:$N$425,K0kommunestruktur2020!E$3,FALSE)</f>
        <v>14347</v>
      </c>
      <c r="F503" s="177">
        <f>VLOOKUP($A503,K0kommunestruktur2019!$A$4:$N$425,K0kommunestruktur2020!F$3,FALSE)</f>
        <v>338868</v>
      </c>
      <c r="G503" s="289">
        <f>VLOOKUP($A503,K0kommunestruktur2019!$A$4:$N$425,K0kommunestruktur2020!G$3,FALSE)</f>
        <v>14425</v>
      </c>
      <c r="H503" s="177">
        <f>VLOOKUP($A503,K0kommunestruktur2019!$A$4:$N$425,K0kommunestruktur2020!H$3,FALSE)</f>
        <v>363063</v>
      </c>
      <c r="I503" s="289">
        <f>VLOOKUP($A503,K0kommunestruktur2019!$A$4:$N$425,K0kommunestruktur2020!I$3,FALSE)</f>
        <v>14514</v>
      </c>
      <c r="J503" s="177">
        <f>VLOOKUP($A503,K0kommunestruktur2019!$A$4:$N$425,K0kommunestruktur2020!J$3,FALSE)</f>
        <v>381225</v>
      </c>
      <c r="K503" s="289">
        <f>VLOOKUP($A503,K0kommunestruktur2019!$A$4:$N$425,K0kommunestruktur2020!K$3,FALSE)</f>
        <v>14577</v>
      </c>
      <c r="L503" s="177">
        <f>VLOOKUP($A503,K0kommunestruktur2019!$A$4:$N$425,K0kommunestruktur2020!L$3,FALSE)</f>
        <v>403939</v>
      </c>
      <c r="M503" s="289">
        <f>VLOOKUP($A503,K0kommunestruktur2019!$A$4:$N$425,K0kommunestruktur2020!M$3,FALSE)</f>
        <v>14606</v>
      </c>
      <c r="N503" s="177">
        <f>VLOOKUP($A503,K0kommunestruktur2019!$A$4:$N$425,K0kommunestruktur2020!N$3,FALSE)</f>
        <v>427963</v>
      </c>
    </row>
    <row r="504" spans="1:14" ht="13">
      <c r="A504" s="1"/>
      <c r="B504" s="894" t="s">
        <v>1737</v>
      </c>
      <c r="C504" s="290">
        <f>ROUND(SUM(C502:C503)*$M504/SUM($M502:$M503),8)</f>
        <v>65.970018659999994</v>
      </c>
      <c r="D504" s="177">
        <f>C504*(D502+D503)/(C502+C503)</f>
        <v>1515.4948208675189</v>
      </c>
      <c r="E504" s="289">
        <f>ROUND(SUM(E502:E503)*$M504/SUM($M502:$M503),8)</f>
        <v>66.796886060000006</v>
      </c>
      <c r="F504" s="912">
        <f>E504*(F502+F503)/(E502+E503)</f>
        <v>1570.8599369953774</v>
      </c>
      <c r="G504" s="289">
        <f>ROUND(SUM(G502:G503)*$M504/SUM($M502:$M503),8)</f>
        <v>67.133757959999997</v>
      </c>
      <c r="H504" s="177">
        <f>G504*(H502+H503)/(G502+G503)</f>
        <v>1680.1639322721642</v>
      </c>
      <c r="I504" s="289">
        <f>ROUND(SUM(I502:I503)*$M504/SUM($M502:$M503),8)</f>
        <v>67.580003860000005</v>
      </c>
      <c r="J504" s="177">
        <f>I504*(J502+J503)/(I502+I503)</f>
        <v>1769.1812391362519</v>
      </c>
      <c r="K504" s="289">
        <f>ROUND(SUM(K502:K503)*$M504/SUM($M502:$M503),8)</f>
        <v>67.846876409999993</v>
      </c>
      <c r="L504" s="177">
        <f>K504*(L502+L503)/(K502+K503)</f>
        <v>1864.5509876546728</v>
      </c>
      <c r="M504" s="289">
        <f t="shared" ref="M504" si="61">-M499</f>
        <v>68</v>
      </c>
      <c r="N504" s="177">
        <f>M504*(N502+N503)/(M502+M503)</f>
        <v>1973.44811169015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VLOOKUP($A506,K0kommunestruktur2019!$A$4:$N$425,K0kommunestruktur2020!C$3,FALSE)</f>
        <v>3829</v>
      </c>
      <c r="D506" s="177">
        <f>VLOOKUP($A506,K0kommunestruktur2019!$A$4:$N$425,K0kommunestruktur2020!D$3,FALSE)</f>
        <v>89922</v>
      </c>
      <c r="E506" s="289">
        <f>VLOOKUP($A506,K0kommunestruktur2019!$A$4:$N$425,K0kommunestruktur2020!E$3,FALSE)</f>
        <v>3838</v>
      </c>
      <c r="F506" s="177">
        <f>VLOOKUP($A506,K0kommunestruktur2019!$A$4:$N$425,K0kommunestruktur2020!F$3,FALSE)</f>
        <v>95486</v>
      </c>
      <c r="G506" s="289">
        <f>VLOOKUP($A506,K0kommunestruktur2019!$A$4:$N$425,K0kommunestruktur2020!G$3,FALSE)</f>
        <v>3876</v>
      </c>
      <c r="H506" s="177">
        <f>VLOOKUP($A506,K0kommunestruktur2019!$A$4:$N$425,K0kommunestruktur2020!H$3,FALSE)</f>
        <v>102650</v>
      </c>
      <c r="I506" s="289">
        <f>VLOOKUP($A506,K0kommunestruktur2019!$A$4:$N$425,K0kommunestruktur2020!I$3,FALSE)</f>
        <v>3895</v>
      </c>
      <c r="J506" s="177">
        <f>VLOOKUP($A506,K0kommunestruktur2019!$A$4:$N$425,K0kommunestruktur2020!J$3,FALSE)</f>
        <v>111546</v>
      </c>
      <c r="K506" s="289">
        <f>VLOOKUP($A506,K0kommunestruktur2019!$A$4:$N$425,K0kommunestruktur2020!K$3,FALSE)</f>
        <v>3920</v>
      </c>
      <c r="L506" s="177">
        <f>VLOOKUP($A506,K0kommunestruktur2019!$A$4:$N$425,K0kommunestruktur2020!L$3,FALSE)</f>
        <v>112231</v>
      </c>
      <c r="M506" s="289">
        <f>VLOOKUP($A506,K0kommunestruktur2019!$A$4:$N$425,K0kommunestruktur2020!M$3,FALSE)</f>
        <v>3861</v>
      </c>
      <c r="N506" s="177">
        <f>VLOOKUP($A506,K0kommunestruktur2019!$A$4:$N$425,K0kommunestruktur2020!N$3,FALSE)</f>
        <v>114901</v>
      </c>
    </row>
    <row r="507" spans="1:14" ht="13">
      <c r="A507" s="1">
        <v>1243</v>
      </c>
      <c r="B507" s="2" t="s">
        <v>844</v>
      </c>
      <c r="C507" s="290">
        <f>VLOOKUP($A507,K0kommunestruktur2019!$A$4:$N$425,K0kommunestruktur2020!C$3,FALSE)</f>
        <v>18678</v>
      </c>
      <c r="D507" s="177">
        <f>VLOOKUP($A507,K0kommunestruktur2019!$A$4:$N$425,K0kommunestruktur2020!D$3,FALSE)</f>
        <v>444878</v>
      </c>
      <c r="E507" s="289">
        <f>VLOOKUP($A507,K0kommunestruktur2019!$A$4:$N$425,K0kommunestruktur2020!E$3,FALSE)</f>
        <v>19097</v>
      </c>
      <c r="F507" s="177">
        <f>VLOOKUP($A507,K0kommunestruktur2019!$A$4:$N$425,K0kommunestruktur2020!F$3,FALSE)</f>
        <v>473653</v>
      </c>
      <c r="G507" s="289">
        <f>VLOOKUP($A507,K0kommunestruktur2019!$A$4:$N$425,K0kommunestruktur2020!G$3,FALSE)</f>
        <v>19742</v>
      </c>
      <c r="H507" s="177">
        <f>VLOOKUP($A507,K0kommunestruktur2019!$A$4:$N$425,K0kommunestruktur2020!H$3,FALSE)</f>
        <v>523893</v>
      </c>
      <c r="I507" s="289">
        <f>VLOOKUP($A507,K0kommunestruktur2019!$A$4:$N$425,K0kommunestruktur2020!I$3,FALSE)</f>
        <v>20152</v>
      </c>
      <c r="J507" s="177">
        <f>VLOOKUP($A507,K0kommunestruktur2019!$A$4:$N$425,K0kommunestruktur2020!J$3,FALSE)</f>
        <v>545538</v>
      </c>
      <c r="K507" s="289">
        <f>VLOOKUP($A507,K0kommunestruktur2019!$A$4:$N$425,K0kommunestruktur2020!K$3,FALSE)</f>
        <v>20573</v>
      </c>
      <c r="L507" s="177">
        <f>VLOOKUP($A507,K0kommunestruktur2019!$A$4:$N$425,K0kommunestruktur2020!L$3,FALSE)</f>
        <v>565744</v>
      </c>
      <c r="M507" s="289">
        <f>VLOOKUP($A507,K0kommunestruktur2019!$A$4:$N$425,K0kommunestruktur2020!M$3,FALSE)</f>
        <v>20804</v>
      </c>
      <c r="N507" s="177">
        <f>VLOOKUP($A507,K0kommunestruktur2019!$A$4:$N$425,K0kommunestruktur2020!N$3,FALSE)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VLOOKUP($A509,K0kommunestruktur2019!$A$4:$N$425,K0kommunestruktur2020!C$3,FALSE)</f>
        <v>6635</v>
      </c>
      <c r="D509" s="177">
        <f>VLOOKUP($A509,K0kommunestruktur2019!$A$4:$N$425,K0kommunestruktur2020!D$3,FALSE)</f>
        <v>151086</v>
      </c>
      <c r="E509" s="289">
        <f>VLOOKUP($A509,K0kommunestruktur2019!$A$4:$N$425,K0kommunestruktur2020!E$3,FALSE)</f>
        <v>6752</v>
      </c>
      <c r="F509" s="177">
        <f>VLOOKUP($A509,K0kommunestruktur2019!$A$4:$N$425,K0kommunestruktur2020!F$3,FALSE)</f>
        <v>156703</v>
      </c>
      <c r="G509" s="289">
        <f>VLOOKUP($A509,K0kommunestruktur2019!$A$4:$N$425,K0kommunestruktur2020!G$3,FALSE)</f>
        <v>6975</v>
      </c>
      <c r="H509" s="177">
        <f>VLOOKUP($A509,K0kommunestruktur2019!$A$4:$N$425,K0kommunestruktur2020!H$3,FALSE)</f>
        <v>168072</v>
      </c>
      <c r="I509" s="289">
        <f>VLOOKUP($A509,K0kommunestruktur2019!$A$4:$N$425,K0kommunestruktur2020!I$3,FALSE)</f>
        <v>7058</v>
      </c>
      <c r="J509" s="177">
        <f>VLOOKUP($A509,K0kommunestruktur2019!$A$4:$N$425,K0kommunestruktur2020!J$3,FALSE)</f>
        <v>172226</v>
      </c>
      <c r="K509" s="289">
        <f>VLOOKUP($A509,K0kommunestruktur2019!$A$4:$N$425,K0kommunestruktur2020!K$3,FALSE)</f>
        <v>7085</v>
      </c>
      <c r="L509" s="177">
        <f>VLOOKUP($A509,K0kommunestruktur2019!$A$4:$N$425,K0kommunestruktur2020!L$3,FALSE)</f>
        <v>181153</v>
      </c>
      <c r="M509" s="289">
        <f>VLOOKUP($A509,K0kommunestruktur2019!$A$4:$N$425,K0kommunestruktur2020!M$3,FALSE)</f>
        <v>7062</v>
      </c>
      <c r="N509" s="177">
        <f>VLOOKUP($A509,K0kommunestruktur2019!$A$4:$N$425,K0kommunestruktur2020!N$3,FALSE)</f>
        <v>186915</v>
      </c>
    </row>
    <row r="510" spans="1:14" ht="13">
      <c r="A510" s="1">
        <v>1246</v>
      </c>
      <c r="B510" s="2" t="s">
        <v>43</v>
      </c>
      <c r="C510" s="290">
        <f>VLOOKUP($A510,K0kommunestruktur2019!$A$4:$N$425,K0kommunestruktur2020!C$3,FALSE)</f>
        <v>23852</v>
      </c>
      <c r="D510" s="177">
        <f>VLOOKUP($A510,K0kommunestruktur2019!$A$4:$N$425,K0kommunestruktur2020!D$3,FALSE)</f>
        <v>612157</v>
      </c>
      <c r="E510" s="289">
        <f>VLOOKUP($A510,K0kommunestruktur2019!$A$4:$N$425,K0kommunestruktur2020!E$3,FALSE)</f>
        <v>24427</v>
      </c>
      <c r="F510" s="177">
        <f>VLOOKUP($A510,K0kommunestruktur2019!$A$4:$N$425,K0kommunestruktur2020!F$3,FALSE)</f>
        <v>637454</v>
      </c>
      <c r="G510" s="289">
        <f>VLOOKUP($A510,K0kommunestruktur2019!$A$4:$N$425,K0kommunestruktur2020!G$3,FALSE)</f>
        <v>24870</v>
      </c>
      <c r="H510" s="177">
        <f>VLOOKUP($A510,K0kommunestruktur2019!$A$4:$N$425,K0kommunestruktur2020!H$3,FALSE)</f>
        <v>684024</v>
      </c>
      <c r="I510" s="289">
        <f>VLOOKUP($A510,K0kommunestruktur2019!$A$4:$N$425,K0kommunestruktur2020!I$3,FALSE)</f>
        <v>25204</v>
      </c>
      <c r="J510" s="177">
        <f>VLOOKUP($A510,K0kommunestruktur2019!$A$4:$N$425,K0kommunestruktur2020!J$3,FALSE)</f>
        <v>705797</v>
      </c>
      <c r="K510" s="289">
        <f>VLOOKUP($A510,K0kommunestruktur2019!$A$4:$N$425,K0kommunestruktur2020!K$3,FALSE)</f>
        <v>25725</v>
      </c>
      <c r="L510" s="177">
        <f>VLOOKUP($A510,K0kommunestruktur2019!$A$4:$N$425,K0kommunestruktur2020!L$3,FALSE)</f>
        <v>743530</v>
      </c>
      <c r="M510" s="289">
        <f>VLOOKUP($A510,K0kommunestruktur2019!$A$4:$N$425,K0kommunestruktur2020!M$3,FALSE)</f>
        <v>26166</v>
      </c>
      <c r="N510" s="177">
        <f>VLOOKUP($A510,K0kommunestruktur2019!$A$4:$N$425,K0kommunestruktur2020!N$3,FALSE)</f>
        <v>777937</v>
      </c>
    </row>
    <row r="511" spans="1:14" ht="13">
      <c r="A511" s="1">
        <v>1259</v>
      </c>
      <c r="B511" s="2" t="s">
        <v>49</v>
      </c>
      <c r="C511" s="290">
        <f>VLOOKUP($A511,K0kommunestruktur2019!$A$4:$N$425,K0kommunestruktur2020!C$3,FALSE)</f>
        <v>4704</v>
      </c>
      <c r="D511" s="177">
        <f>VLOOKUP($A511,K0kommunestruktur2019!$A$4:$N$425,K0kommunestruktur2020!D$3,FALSE)</f>
        <v>106106</v>
      </c>
      <c r="E511" s="289">
        <f>VLOOKUP($A511,K0kommunestruktur2019!$A$4:$N$425,K0kommunestruktur2020!E$3,FALSE)</f>
        <v>4733</v>
      </c>
      <c r="F511" s="177">
        <f>VLOOKUP($A511,K0kommunestruktur2019!$A$4:$N$425,K0kommunestruktur2020!F$3,FALSE)</f>
        <v>106768</v>
      </c>
      <c r="G511" s="289">
        <f>VLOOKUP($A511,K0kommunestruktur2019!$A$4:$N$425,K0kommunestruktur2020!G$3,FALSE)</f>
        <v>4852</v>
      </c>
      <c r="H511" s="177">
        <f>VLOOKUP($A511,K0kommunestruktur2019!$A$4:$N$425,K0kommunestruktur2020!H$3,FALSE)</f>
        <v>116933</v>
      </c>
      <c r="I511" s="289">
        <f>VLOOKUP($A511,K0kommunestruktur2019!$A$4:$N$425,K0kommunestruktur2020!I$3,FALSE)</f>
        <v>4913</v>
      </c>
      <c r="J511" s="177">
        <f>VLOOKUP($A511,K0kommunestruktur2019!$A$4:$N$425,K0kommunestruktur2020!J$3,FALSE)</f>
        <v>115041</v>
      </c>
      <c r="K511" s="289">
        <f>VLOOKUP($A511,K0kommunestruktur2019!$A$4:$N$425,K0kommunestruktur2020!K$3,FALSE)</f>
        <v>4877</v>
      </c>
      <c r="L511" s="177">
        <f>VLOOKUP($A511,K0kommunestruktur2019!$A$4:$N$425,K0kommunestruktur2020!L$3,FALSE)</f>
        <v>116750</v>
      </c>
      <c r="M511" s="289">
        <f>VLOOKUP($A511,K0kommunestruktur2019!$A$4:$N$425,K0kommunestruktur2020!M$3,FALSE)</f>
        <v>4889</v>
      </c>
      <c r="N511" s="177">
        <f>VLOOKUP($A511,K0kommunestruktur2019!$A$4:$N$425,K0kommunestruktur2020!N$3,FALSE)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VLOOKUP($A513,K0kommunestruktur2019!$A$4:$N$425,K0kommunestruktur2020!C$3,FALSE)</f>
        <v>7544</v>
      </c>
      <c r="D513" s="177">
        <f>VLOOKUP($A513,K0kommunestruktur2019!$A$4:$N$425,K0kommunestruktur2020!D$3,FALSE)</f>
        <v>160894</v>
      </c>
      <c r="E513" s="289">
        <f>VLOOKUP($A513,K0kommunestruktur2019!$A$4:$N$425,K0kommunestruktur2020!E$3,FALSE)</f>
        <v>7736</v>
      </c>
      <c r="F513" s="177">
        <f>VLOOKUP($A513,K0kommunestruktur2019!$A$4:$N$425,K0kommunestruktur2020!F$3,FALSE)</f>
        <v>173698</v>
      </c>
      <c r="G513" s="289">
        <f>VLOOKUP($A513,K0kommunestruktur2019!$A$4:$N$425,K0kommunestruktur2020!G$3,FALSE)</f>
        <v>7812</v>
      </c>
      <c r="H513" s="177">
        <f>VLOOKUP($A513,K0kommunestruktur2019!$A$4:$N$425,K0kommunestruktur2020!H$3,FALSE)</f>
        <v>185566</v>
      </c>
      <c r="I513" s="289">
        <f>VLOOKUP($A513,K0kommunestruktur2019!$A$4:$N$425,K0kommunestruktur2020!I$3,FALSE)</f>
        <v>8021</v>
      </c>
      <c r="J513" s="177">
        <f>VLOOKUP($A513,K0kommunestruktur2019!$A$4:$N$425,K0kommunestruktur2020!J$3,FALSE)</f>
        <v>193046</v>
      </c>
      <c r="K513" s="289">
        <f>VLOOKUP($A513,K0kommunestruktur2019!$A$4:$N$425,K0kommunestruktur2020!K$3,FALSE)</f>
        <v>8079</v>
      </c>
      <c r="L513" s="177">
        <f>VLOOKUP($A513,K0kommunestruktur2019!$A$4:$N$425,K0kommunestruktur2020!L$3,FALSE)</f>
        <v>207938</v>
      </c>
      <c r="M513" s="289">
        <f>VLOOKUP($A513,K0kommunestruktur2019!$A$4:$N$425,K0kommunestruktur2020!M$3,FALSE)</f>
        <v>8187</v>
      </c>
      <c r="N513" s="177">
        <f>VLOOKUP($A513,K0kommunestruktur2019!$A$4:$N$425,K0kommunestruktur2020!N$3,FALSE)</f>
        <v>213576</v>
      </c>
    </row>
    <row r="514" spans="1:15" ht="13">
      <c r="A514" s="1">
        <v>1260</v>
      </c>
      <c r="B514" s="2" t="s">
        <v>53</v>
      </c>
      <c r="C514" s="290">
        <f>VLOOKUP($A514,K0kommunestruktur2019!$A$4:$N$425,K0kommunestruktur2020!C$3,FALSE)</f>
        <v>5039</v>
      </c>
      <c r="D514" s="177">
        <f>VLOOKUP($A514,K0kommunestruktur2019!$A$4:$N$425,K0kommunestruktur2020!D$3,FALSE)</f>
        <v>110958</v>
      </c>
      <c r="E514" s="289">
        <f>VLOOKUP($A514,K0kommunestruktur2019!$A$4:$N$425,K0kommunestruktur2020!E$3,FALSE)</f>
        <v>5014</v>
      </c>
      <c r="F514" s="177">
        <f>VLOOKUP($A514,K0kommunestruktur2019!$A$4:$N$425,K0kommunestruktur2020!F$3,FALSE)</f>
        <v>111389</v>
      </c>
      <c r="G514" s="289">
        <f>VLOOKUP($A514,K0kommunestruktur2019!$A$4:$N$425,K0kommunestruktur2020!G$3,FALSE)</f>
        <v>5077</v>
      </c>
      <c r="H514" s="177">
        <f>VLOOKUP($A514,K0kommunestruktur2019!$A$4:$N$425,K0kommunestruktur2020!H$3,FALSE)</f>
        <v>115873</v>
      </c>
      <c r="I514" s="289">
        <f>VLOOKUP($A514,K0kommunestruktur2019!$A$4:$N$425,K0kommunestruktur2020!I$3,FALSE)</f>
        <v>5128</v>
      </c>
      <c r="J514" s="177">
        <f>VLOOKUP($A514,K0kommunestruktur2019!$A$4:$N$425,K0kommunestruktur2020!J$3,FALSE)</f>
        <v>119973</v>
      </c>
      <c r="K514" s="289">
        <f>VLOOKUP($A514,K0kommunestruktur2019!$A$4:$N$425,K0kommunestruktur2020!K$3,FALSE)</f>
        <v>5129</v>
      </c>
      <c r="L514" s="177">
        <f>VLOOKUP($A514,K0kommunestruktur2019!$A$4:$N$425,K0kommunestruktur2020!L$3,FALSE)</f>
        <v>116817</v>
      </c>
      <c r="M514" s="289">
        <f>VLOOKUP($A514,K0kommunestruktur2019!$A$4:$N$425,K0kommunestruktur2020!M$3,FALSE)</f>
        <v>5091</v>
      </c>
      <c r="N514" s="177">
        <f>VLOOKUP($A514,K0kommunestruktur2019!$A$4:$N$425,K0kommunestruktur2020!N$3,FALSE)</f>
        <v>124781</v>
      </c>
    </row>
    <row r="515" spans="1:15" ht="13">
      <c r="A515" s="1">
        <v>1263</v>
      </c>
      <c r="B515" s="2" t="s">
        <v>54</v>
      </c>
      <c r="C515" s="290">
        <f>VLOOKUP($A515,K0kommunestruktur2019!$A$4:$N$425,K0kommunestruktur2020!C$3,FALSE)</f>
        <v>15069</v>
      </c>
      <c r="D515" s="177">
        <f>VLOOKUP($A515,K0kommunestruktur2019!$A$4:$N$425,K0kommunestruktur2020!D$3,FALSE)</f>
        <v>370954</v>
      </c>
      <c r="E515" s="289">
        <f>VLOOKUP($A515,K0kommunestruktur2019!$A$4:$N$425,K0kommunestruktur2020!E$3,FALSE)</f>
        <v>15402</v>
      </c>
      <c r="F515" s="177">
        <f>VLOOKUP($A515,K0kommunestruktur2019!$A$4:$N$425,K0kommunestruktur2020!F$3,FALSE)</f>
        <v>374667</v>
      </c>
      <c r="G515" s="289">
        <f>VLOOKUP($A515,K0kommunestruktur2019!$A$4:$N$425,K0kommunestruktur2020!G$3,FALSE)</f>
        <v>15607</v>
      </c>
      <c r="H515" s="177">
        <f>VLOOKUP($A515,K0kommunestruktur2019!$A$4:$N$425,K0kommunestruktur2020!H$3,FALSE)</f>
        <v>396793</v>
      </c>
      <c r="I515" s="289">
        <f>VLOOKUP($A515,K0kommunestruktur2019!$A$4:$N$425,K0kommunestruktur2020!I$3,FALSE)</f>
        <v>15731</v>
      </c>
      <c r="J515" s="177">
        <f>VLOOKUP($A515,K0kommunestruktur2019!$A$4:$N$425,K0kommunestruktur2020!J$3,FALSE)</f>
        <v>396271</v>
      </c>
      <c r="K515" s="289">
        <f>VLOOKUP($A515,K0kommunestruktur2019!$A$4:$N$425,K0kommunestruktur2020!K$3,FALSE)</f>
        <v>15789</v>
      </c>
      <c r="L515" s="177">
        <f>VLOOKUP($A515,K0kommunestruktur2019!$A$4:$N$425,K0kommunestruktur2020!L$3,FALSE)</f>
        <v>419158</v>
      </c>
      <c r="M515" s="289">
        <f>VLOOKUP($A515,K0kommunestruktur2019!$A$4:$N$425,K0kommunestruktur2020!M$3,FALSE)</f>
        <v>15812</v>
      </c>
      <c r="N515" s="177">
        <f>VLOOKUP($A515,K0kommunestruktur2019!$A$4:$N$425,K0kommunestruktur2020!N$3,FALSE)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VLOOKUP($A517,K0kommunestruktur2019!$A$4:$N$425,K0kommunestruktur2020!C$3,FALSE)</f>
        <v>4183</v>
      </c>
      <c r="D517" s="177">
        <f>VLOOKUP($A517,K0kommunestruktur2019!$A$4:$N$425,K0kommunestruktur2020!D$3,FALSE)</f>
        <v>102203</v>
      </c>
      <c r="E517" s="289">
        <f>VLOOKUP($A517,K0kommunestruktur2019!$A$4:$N$425,K0kommunestruktur2020!E$3,FALSE)</f>
        <v>4169</v>
      </c>
      <c r="F517" s="177">
        <f>VLOOKUP($A517,K0kommunestruktur2019!$A$4:$N$425,K0kommunestruktur2020!F$3,FALSE)</f>
        <v>106367</v>
      </c>
      <c r="G517" s="289">
        <f>VLOOKUP($A517,K0kommunestruktur2019!$A$4:$N$425,K0kommunestruktur2020!G$3,FALSE)</f>
        <v>4161</v>
      </c>
      <c r="H517" s="177">
        <f>VLOOKUP($A517,K0kommunestruktur2019!$A$4:$N$425,K0kommunestruktur2020!H$3,FALSE)</f>
        <v>110066</v>
      </c>
      <c r="I517" s="289">
        <f>VLOOKUP($A517,K0kommunestruktur2019!$A$4:$N$425,K0kommunestruktur2020!I$3,FALSE)</f>
        <v>4190</v>
      </c>
      <c r="J517" s="177">
        <f>VLOOKUP($A517,K0kommunestruktur2019!$A$4:$N$425,K0kommunestruktur2020!J$3,FALSE)</f>
        <v>113409</v>
      </c>
      <c r="K517" s="289">
        <f>VLOOKUP($A517,K0kommunestruktur2019!$A$4:$N$425,K0kommunestruktur2020!K$3,FALSE)</f>
        <v>4154</v>
      </c>
      <c r="L517" s="177">
        <f>VLOOKUP($A517,K0kommunestruktur2019!$A$4:$N$425,K0kommunestruktur2020!L$3,FALSE)</f>
        <v>123136</v>
      </c>
      <c r="M517" s="289">
        <f>VLOOKUP($A517,K0kommunestruktur2019!$A$4:$N$425,K0kommunestruktur2020!M$3,FALSE)</f>
        <v>4091</v>
      </c>
      <c r="N517" s="177">
        <f>VLOOKUP($A517,K0kommunestruktur2019!$A$4:$N$425,K0kommunestruktur2020!N$3,FALSE)</f>
        <v>127918</v>
      </c>
      <c r="O517" s="177"/>
    </row>
    <row r="518" spans="1:15" ht="13">
      <c r="A518" s="1"/>
      <c r="B518" s="894" t="s">
        <v>1747</v>
      </c>
      <c r="C518" s="290">
        <f>ROUND(C517*$M518/$M517,8)</f>
        <v>98.158885359999999</v>
      </c>
      <c r="D518" s="177">
        <f>C518*D517/C517</f>
        <v>2398.310437592178</v>
      </c>
      <c r="E518" s="289">
        <f>ROUND(E517*$M518/$M517,8)</f>
        <v>97.830359329999993</v>
      </c>
      <c r="F518" s="912">
        <f>E518*F517/E517</f>
        <v>2496.0234662638782</v>
      </c>
      <c r="G518" s="289">
        <f>ROUND(G517*$M518/$M517,8)</f>
        <v>97.642630159999996</v>
      </c>
      <c r="H518" s="177">
        <f>G518*H517/G517</f>
        <v>2582.8247371282287</v>
      </c>
      <c r="I518" s="289">
        <f>ROUND(I517*$M518/$M517,8)</f>
        <v>98.323148369999998</v>
      </c>
      <c r="J518" s="177">
        <f>I518*J517/I517</f>
        <v>2661.2720604996011</v>
      </c>
      <c r="K518" s="289">
        <f>ROUND(K517*$M518/$M517,8)</f>
        <v>97.478367149999997</v>
      </c>
      <c r="L518" s="177">
        <f>K518*L517/K517</f>
        <v>2889.5272550270579</v>
      </c>
      <c r="M518" s="289">
        <f t="shared" ref="M518" si="62">-M523</f>
        <v>96</v>
      </c>
      <c r="N518" s="177">
        <f>M518*N517/M517</f>
        <v>3001.7423612808602</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VLOOKUP($A520,K0kommunestruktur2019!$A$4:$N$425,K0kommunestruktur2020!C$3,FALSE)</f>
        <v>1306</v>
      </c>
      <c r="D520" s="177">
        <f>VLOOKUP($A520,K0kommunestruktur2019!$A$4:$N$425,K0kommunestruktur2020!D$3,FALSE)</f>
        <v>28081</v>
      </c>
      <c r="E520" s="289">
        <f>VLOOKUP($A520,K0kommunestruktur2019!$A$4:$N$425,K0kommunestruktur2020!E$3,FALSE)</f>
        <v>1304</v>
      </c>
      <c r="F520" s="177">
        <f>VLOOKUP($A520,K0kommunestruktur2019!$A$4:$N$425,K0kommunestruktur2020!F$3,FALSE)</f>
        <v>29193</v>
      </c>
      <c r="G520" s="289">
        <f>VLOOKUP($A520,K0kommunestruktur2019!$A$4:$N$425,K0kommunestruktur2020!G$3,FALSE)</f>
        <v>1294</v>
      </c>
      <c r="H520" s="177">
        <f>VLOOKUP($A520,K0kommunestruktur2019!$A$4:$N$425,K0kommunestruktur2020!H$3,FALSE)</f>
        <v>31062</v>
      </c>
      <c r="I520" s="289">
        <f>VLOOKUP($A520,K0kommunestruktur2019!$A$4:$N$425,K0kommunestruktur2020!I$3,FALSE)</f>
        <v>1288</v>
      </c>
      <c r="J520" s="177">
        <f>VLOOKUP($A520,K0kommunestruktur2019!$A$4:$N$425,K0kommunestruktur2020!J$3,FALSE)</f>
        <v>31810</v>
      </c>
      <c r="K520" s="289">
        <f>VLOOKUP($A520,K0kommunestruktur2019!$A$4:$N$425,K0kommunestruktur2020!K$3,FALSE)</f>
        <v>1262</v>
      </c>
      <c r="L520" s="177">
        <f>VLOOKUP($A520,K0kommunestruktur2019!$A$4:$N$425,K0kommunestruktur2020!L$3,FALSE)</f>
        <v>33797</v>
      </c>
      <c r="M520" s="289">
        <f>VLOOKUP($A520,K0kommunestruktur2019!$A$4:$N$425,K0kommunestruktur2020!M$3,FALSE)</f>
        <v>1279</v>
      </c>
      <c r="N520" s="177">
        <f>VLOOKUP($A520,K0kommunestruktur2019!$A$4:$N$425,K0kommunestruktur2020!N$3,FALSE)</f>
        <v>34068</v>
      </c>
    </row>
    <row r="521" spans="1:15" ht="13">
      <c r="A521" s="1">
        <v>1419</v>
      </c>
      <c r="B521" s="2" t="s">
        <v>65</v>
      </c>
      <c r="C521" s="290">
        <f>VLOOKUP($A521,K0kommunestruktur2019!$A$4:$N$425,K0kommunestruktur2020!C$3,FALSE)</f>
        <v>2268</v>
      </c>
      <c r="D521" s="177">
        <f>VLOOKUP($A521,K0kommunestruktur2019!$A$4:$N$425,K0kommunestruktur2020!D$3,FALSE)</f>
        <v>54210</v>
      </c>
      <c r="E521" s="289">
        <f>VLOOKUP($A521,K0kommunestruktur2019!$A$4:$N$425,K0kommunestruktur2020!E$3,FALSE)</f>
        <v>2276</v>
      </c>
      <c r="F521" s="177">
        <f>VLOOKUP($A521,K0kommunestruktur2019!$A$4:$N$425,K0kommunestruktur2020!F$3,FALSE)</f>
        <v>55791</v>
      </c>
      <c r="G521" s="289">
        <f>VLOOKUP($A521,K0kommunestruktur2019!$A$4:$N$425,K0kommunestruktur2020!G$3,FALSE)</f>
        <v>2298</v>
      </c>
      <c r="H521" s="177">
        <f>VLOOKUP($A521,K0kommunestruktur2019!$A$4:$N$425,K0kommunestruktur2020!H$3,FALSE)</f>
        <v>61486</v>
      </c>
      <c r="I521" s="289">
        <f>VLOOKUP($A521,K0kommunestruktur2019!$A$4:$N$425,K0kommunestruktur2020!I$3,FALSE)</f>
        <v>2332</v>
      </c>
      <c r="J521" s="177">
        <f>VLOOKUP($A521,K0kommunestruktur2019!$A$4:$N$425,K0kommunestruktur2020!J$3,FALSE)</f>
        <v>65897</v>
      </c>
      <c r="K521" s="289">
        <f>VLOOKUP($A521,K0kommunestruktur2019!$A$4:$N$425,K0kommunestruktur2020!K$3,FALSE)</f>
        <v>2345</v>
      </c>
      <c r="L521" s="177">
        <f>VLOOKUP($A521,K0kommunestruktur2019!$A$4:$N$425,K0kommunestruktur2020!L$3,FALSE)</f>
        <v>72179</v>
      </c>
      <c r="M521" s="289">
        <f>VLOOKUP($A521,K0kommunestruktur2019!$A$4:$N$425,K0kommunestruktur2020!M$3,FALSE)</f>
        <v>2331</v>
      </c>
      <c r="N521" s="177">
        <f>VLOOKUP($A521,K0kommunestruktur2019!$A$4:$N$425,K0kommunestruktur2020!N$3,FALSE)</f>
        <v>66133</v>
      </c>
    </row>
    <row r="522" spans="1:15" ht="13">
      <c r="A522" s="1">
        <v>1420</v>
      </c>
      <c r="B522" s="2" t="s">
        <v>66</v>
      </c>
      <c r="C522" s="290">
        <f>VLOOKUP($A522,K0kommunestruktur2019!$A$4:$N$425,K0kommunestruktur2020!C$3,FALSE)</f>
        <v>7623</v>
      </c>
      <c r="D522" s="177">
        <f>VLOOKUP($A522,K0kommunestruktur2019!$A$4:$N$425,K0kommunestruktur2020!D$3,FALSE)</f>
        <v>165511</v>
      </c>
      <c r="E522" s="289">
        <f>VLOOKUP($A522,K0kommunestruktur2019!$A$4:$N$425,K0kommunestruktur2020!E$3,FALSE)</f>
        <v>7677</v>
      </c>
      <c r="F522" s="177">
        <f>VLOOKUP($A522,K0kommunestruktur2019!$A$4:$N$425,K0kommunestruktur2020!F$3,FALSE)</f>
        <v>173721</v>
      </c>
      <c r="G522" s="289">
        <f>VLOOKUP($A522,K0kommunestruktur2019!$A$4:$N$425,K0kommunestruktur2020!G$3,FALSE)</f>
        <v>7839</v>
      </c>
      <c r="H522" s="177">
        <f>VLOOKUP($A522,K0kommunestruktur2019!$A$4:$N$425,K0kommunestruktur2020!H$3,FALSE)</f>
        <v>198568</v>
      </c>
      <c r="I522" s="289">
        <f>VLOOKUP($A522,K0kommunestruktur2019!$A$4:$N$425,K0kommunestruktur2020!I$3,FALSE)</f>
        <v>7941</v>
      </c>
      <c r="J522" s="177">
        <f>VLOOKUP($A522,K0kommunestruktur2019!$A$4:$N$425,K0kommunestruktur2020!J$3,FALSE)</f>
        <v>206275</v>
      </c>
      <c r="K522" s="289">
        <f>VLOOKUP($A522,K0kommunestruktur2019!$A$4:$N$425,K0kommunestruktur2020!K$3,FALSE)</f>
        <v>8059</v>
      </c>
      <c r="L522" s="177">
        <f>VLOOKUP($A522,K0kommunestruktur2019!$A$4:$N$425,K0kommunestruktur2020!L$3,FALSE)</f>
        <v>218690</v>
      </c>
      <c r="M522" s="289">
        <f>VLOOKUP($A522,K0kommunestruktur2019!$A$4:$N$425,K0kommunestruktur2020!M$3,FALSE)</f>
        <v>8191</v>
      </c>
      <c r="N522" s="177">
        <f>VLOOKUP($A522,K0kommunestruktur2019!$A$4:$N$425,K0kommunestruktur2020!N$3,FALSE)</f>
        <v>224983</v>
      </c>
    </row>
    <row r="523" spans="1:15" ht="13">
      <c r="A523" s="1"/>
      <c r="B523" s="894" t="s">
        <v>1747</v>
      </c>
      <c r="C523" s="290">
        <f>ROUND(SUM(C520:C522)*$M523/SUM($M520:$M522),8)</f>
        <v>-91.086518089999998</v>
      </c>
      <c r="D523" s="177">
        <f>C523*(D520+D521+D522)/(C520+C521+C522)</f>
        <v>-2015.845436790049</v>
      </c>
      <c r="E523" s="289">
        <f>ROUND(SUM(E520:E522)*$M523/SUM($M520:$M522),8)</f>
        <v>-91.57461232</v>
      </c>
      <c r="F523" s="912">
        <f>E523*(F520+F521+F522)/(E520+E521+E522)</f>
        <v>-2104.5402931727458</v>
      </c>
      <c r="G523" s="289">
        <f>ROUND(SUM(G520:G522)*$M523/SUM($M520:$M522),8)</f>
        <v>-92.990085590000007</v>
      </c>
      <c r="H523" s="177">
        <f>G523*(H520+H521+H522)/(G520+G521+G522)</f>
        <v>-2368.2006610636377</v>
      </c>
      <c r="I523" s="289">
        <f>ROUND(SUM(I520:I522)*$M523/SUM($M520:$M522),8)</f>
        <v>-94.047623079999994</v>
      </c>
      <c r="J523" s="177">
        <f>I523*(J520+J521+J522)/(I520+I521+I522)</f>
        <v>-2472.8643334577077</v>
      </c>
      <c r="K523" s="289">
        <f>ROUND(SUM(K520:K522)*$M523/SUM($M520:$M522),8)</f>
        <v>-94.901787979999995</v>
      </c>
      <c r="L523" s="177">
        <f>K523*(L520+L521+L522)/(K520+K521+K522)</f>
        <v>-2641.1266840660619</v>
      </c>
      <c r="M523" s="289">
        <v>-96</v>
      </c>
      <c r="N523" s="177">
        <f>M523*(N520+N521+N522)/(M520+M521+M522)</f>
        <v>-2645.3405643589526</v>
      </c>
    </row>
    <row r="524" spans="1:15" ht="13">
      <c r="A524" s="1"/>
      <c r="B524" s="885" t="s">
        <v>1845</v>
      </c>
      <c r="C524" s="290"/>
      <c r="D524" s="177">
        <v>25570.294000000002</v>
      </c>
      <c r="E524" s="289"/>
      <c r="F524" s="177">
        <v>28639.832999999999</v>
      </c>
      <c r="G524" s="289"/>
      <c r="H524" s="177">
        <v>28639.832999999999</v>
      </c>
      <c r="I524" s="289"/>
      <c r="J524" s="177">
        <v>29358.011999999999</v>
      </c>
      <c r="K524" s="289"/>
      <c r="L524" s="177">
        <v>31217</v>
      </c>
      <c r="M524" s="289"/>
      <c r="N524" s="177">
        <v>30799.348161356185</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VLOOKUP($A526,K0kommunestruktur2019!$A$4:$N$425,K0kommunestruktur2020!C$3,FALSE)</f>
        <v>2928</v>
      </c>
      <c r="D526" s="177">
        <f>VLOOKUP($A526,K0kommunestruktur2019!$A$4:$N$425,K0kommunestruktur2020!D$3,FALSE)</f>
        <v>56494</v>
      </c>
      <c r="E526" s="289">
        <f>VLOOKUP($A526,K0kommunestruktur2019!$A$4:$N$425,K0kommunestruktur2020!E$3,FALSE)</f>
        <v>2960</v>
      </c>
      <c r="F526" s="177">
        <f>VLOOKUP($A526,K0kommunestruktur2019!$A$4:$N$425,K0kommunestruktur2020!F$3,FALSE)</f>
        <v>61188</v>
      </c>
      <c r="G526" s="289">
        <f>VLOOKUP($A526,K0kommunestruktur2019!$A$4:$N$425,K0kommunestruktur2020!G$3,FALSE)</f>
        <v>2942</v>
      </c>
      <c r="H526" s="177">
        <f>VLOOKUP($A526,K0kommunestruktur2019!$A$4:$N$425,K0kommunestruktur2020!H$3,FALSE)</f>
        <v>65337</v>
      </c>
      <c r="I526" s="289">
        <f>VLOOKUP($A526,K0kommunestruktur2019!$A$4:$N$425,K0kommunestruktur2020!I$3,FALSE)</f>
        <v>2966</v>
      </c>
      <c r="J526" s="177">
        <f>VLOOKUP($A526,K0kommunestruktur2019!$A$4:$N$425,K0kommunestruktur2020!J$3,FALSE)</f>
        <v>68625</v>
      </c>
      <c r="K526" s="289">
        <f>VLOOKUP($A526,K0kommunestruktur2019!$A$4:$N$425,K0kommunestruktur2020!K$3,FALSE)</f>
        <v>3006</v>
      </c>
      <c r="L526" s="177">
        <f>VLOOKUP($A526,K0kommunestruktur2019!$A$4:$N$425,K0kommunestruktur2020!L$3,FALSE)</f>
        <v>74545</v>
      </c>
      <c r="M526" s="289">
        <f>VLOOKUP($A526,K0kommunestruktur2019!$A$4:$N$425,K0kommunestruktur2020!M$3,FALSE)</f>
        <v>3027</v>
      </c>
      <c r="N526" s="177">
        <f>VLOOKUP($A526,K0kommunestruktur2019!$A$4:$N$425,K0kommunestruktur2020!N$3,FALSE)</f>
        <v>76689</v>
      </c>
    </row>
    <row r="527" spans="1:15" ht="13">
      <c r="A527" s="1">
        <v>1431</v>
      </c>
      <c r="B527" s="2" t="s">
        <v>74</v>
      </c>
      <c r="C527" s="290">
        <f>VLOOKUP($A527,K0kommunestruktur2019!$A$4:$N$425,K0kommunestruktur2020!C$3,FALSE)</f>
        <v>3070</v>
      </c>
      <c r="D527" s="177">
        <f>VLOOKUP($A527,K0kommunestruktur2019!$A$4:$N$425,K0kommunestruktur2020!D$3,FALSE)</f>
        <v>68883</v>
      </c>
      <c r="E527" s="289">
        <f>VLOOKUP($A527,K0kommunestruktur2019!$A$4:$N$425,K0kommunestruktur2020!E$3,FALSE)</f>
        <v>3026</v>
      </c>
      <c r="F527" s="177">
        <f>VLOOKUP($A527,K0kommunestruktur2019!$A$4:$N$425,K0kommunestruktur2020!F$3,FALSE)</f>
        <v>66273</v>
      </c>
      <c r="G527" s="289">
        <f>VLOOKUP($A527,K0kommunestruktur2019!$A$4:$N$425,K0kommunestruktur2020!G$3,FALSE)</f>
        <v>3020</v>
      </c>
      <c r="H527" s="177">
        <f>VLOOKUP($A527,K0kommunestruktur2019!$A$4:$N$425,K0kommunestruktur2020!H$3,FALSE)</f>
        <v>71117</v>
      </c>
      <c r="I527" s="289">
        <f>VLOOKUP($A527,K0kommunestruktur2019!$A$4:$N$425,K0kommunestruktur2020!I$3,FALSE)</f>
        <v>3049</v>
      </c>
      <c r="J527" s="177">
        <f>VLOOKUP($A527,K0kommunestruktur2019!$A$4:$N$425,K0kommunestruktur2020!J$3,FALSE)</f>
        <v>78085</v>
      </c>
      <c r="K527" s="289">
        <f>VLOOKUP($A527,K0kommunestruktur2019!$A$4:$N$425,K0kommunestruktur2020!K$3,FALSE)</f>
        <v>3043</v>
      </c>
      <c r="L527" s="177">
        <f>VLOOKUP($A527,K0kommunestruktur2019!$A$4:$N$425,K0kommunestruktur2020!L$3,FALSE)</f>
        <v>80458</v>
      </c>
      <c r="M527" s="289">
        <f>VLOOKUP($A527,K0kommunestruktur2019!$A$4:$N$425,K0kommunestruktur2020!M$3,FALSE)</f>
        <v>3047</v>
      </c>
      <c r="N527" s="177">
        <f>VLOOKUP($A527,K0kommunestruktur2019!$A$4:$N$425,K0kommunestruktur2020!N$3,FALSE)</f>
        <v>84585</v>
      </c>
    </row>
    <row r="528" spans="1:15" ht="13">
      <c r="A528" s="1">
        <v>1432</v>
      </c>
      <c r="B528" s="2" t="s">
        <v>75</v>
      </c>
      <c r="C528" s="290">
        <f>VLOOKUP($A528,K0kommunestruktur2019!$A$4:$N$425,K0kommunestruktur2020!C$3,FALSE)</f>
        <v>12685</v>
      </c>
      <c r="D528" s="177">
        <f>VLOOKUP($A528,K0kommunestruktur2019!$A$4:$N$425,K0kommunestruktur2020!D$3,FALSE)</f>
        <v>306432</v>
      </c>
      <c r="E528" s="289">
        <f>VLOOKUP($A528,K0kommunestruktur2019!$A$4:$N$425,K0kommunestruktur2020!E$3,FALSE)</f>
        <v>12801</v>
      </c>
      <c r="F528" s="177">
        <f>VLOOKUP($A528,K0kommunestruktur2019!$A$4:$N$425,K0kommunestruktur2020!F$3,FALSE)</f>
        <v>329023</v>
      </c>
      <c r="G528" s="289">
        <f>VLOOKUP($A528,K0kommunestruktur2019!$A$4:$N$425,K0kommunestruktur2020!G$3,FALSE)</f>
        <v>12900</v>
      </c>
      <c r="H528" s="177">
        <f>VLOOKUP($A528,K0kommunestruktur2019!$A$4:$N$425,K0kommunestruktur2020!H$3,FALSE)</f>
        <v>368164</v>
      </c>
      <c r="I528" s="289">
        <f>VLOOKUP($A528,K0kommunestruktur2019!$A$4:$N$425,K0kommunestruktur2020!I$3,FALSE)</f>
        <v>13009</v>
      </c>
      <c r="J528" s="177">
        <f>VLOOKUP($A528,K0kommunestruktur2019!$A$4:$N$425,K0kommunestruktur2020!J$3,FALSE)</f>
        <v>376559</v>
      </c>
      <c r="K528" s="289">
        <f>VLOOKUP($A528,K0kommunestruktur2019!$A$4:$N$425,K0kommunestruktur2020!K$3,FALSE)</f>
        <v>13089</v>
      </c>
      <c r="L528" s="177">
        <f>VLOOKUP($A528,K0kommunestruktur2019!$A$4:$N$425,K0kommunestruktur2020!L$3,FALSE)</f>
        <v>388465</v>
      </c>
      <c r="M528" s="289">
        <f>VLOOKUP($A528,K0kommunestruktur2019!$A$4:$N$425,K0kommunestruktur2020!M$3,FALSE)</f>
        <v>13092</v>
      </c>
      <c r="N528" s="177">
        <f>VLOOKUP($A528,K0kommunestruktur2019!$A$4:$N$425,K0kommunestruktur2020!N$3,FALSE)</f>
        <v>408872</v>
      </c>
    </row>
    <row r="529" spans="1:14" ht="13">
      <c r="A529" s="1">
        <v>1433</v>
      </c>
      <c r="B529" s="2" t="s">
        <v>76</v>
      </c>
      <c r="C529" s="290">
        <f>VLOOKUP($A529,K0kommunestruktur2019!$A$4:$N$425,K0kommunestruktur2020!C$3,FALSE)</f>
        <v>2776</v>
      </c>
      <c r="D529" s="177">
        <f>VLOOKUP($A529,K0kommunestruktur2019!$A$4:$N$425,K0kommunestruktur2020!D$3,FALSE)</f>
        <v>55832</v>
      </c>
      <c r="E529" s="289">
        <f>VLOOKUP($A529,K0kommunestruktur2019!$A$4:$N$425,K0kommunestruktur2020!E$3,FALSE)</f>
        <v>2777</v>
      </c>
      <c r="F529" s="177">
        <f>VLOOKUP($A529,K0kommunestruktur2019!$A$4:$N$425,K0kommunestruktur2020!F$3,FALSE)</f>
        <v>59772</v>
      </c>
      <c r="G529" s="289">
        <f>VLOOKUP($A529,K0kommunestruktur2019!$A$4:$N$425,K0kommunestruktur2020!G$3,FALSE)</f>
        <v>2840</v>
      </c>
      <c r="H529" s="177">
        <f>VLOOKUP($A529,K0kommunestruktur2019!$A$4:$N$425,K0kommunestruktur2020!H$3,FALSE)</f>
        <v>67819</v>
      </c>
      <c r="I529" s="289">
        <f>VLOOKUP($A529,K0kommunestruktur2019!$A$4:$N$425,K0kommunestruktur2020!I$3,FALSE)</f>
        <v>2848</v>
      </c>
      <c r="J529" s="177">
        <f>VLOOKUP($A529,K0kommunestruktur2019!$A$4:$N$425,K0kommunestruktur2020!J$3,FALSE)</f>
        <v>67887</v>
      </c>
      <c r="K529" s="289">
        <f>VLOOKUP($A529,K0kommunestruktur2019!$A$4:$N$425,K0kommunestruktur2020!K$3,FALSE)</f>
        <v>2825</v>
      </c>
      <c r="L529" s="177">
        <f>VLOOKUP($A529,K0kommunestruktur2019!$A$4:$N$425,K0kommunestruktur2020!L$3,FALSE)</f>
        <v>65952</v>
      </c>
      <c r="M529" s="289">
        <f>VLOOKUP($A529,K0kommunestruktur2019!$A$4:$N$425,K0kommunestruktur2020!M$3,FALSE)</f>
        <v>2793</v>
      </c>
      <c r="N529" s="177">
        <f>VLOOKUP($A529,K0kommunestruktur2019!$A$4:$N$425,K0kommunestruktur2020!N$3,FALSE)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VLOOKUP($A531,K0kommunestruktur2019!$A$4:$N$425,K0kommunestruktur2020!C$3,FALSE)</f>
        <v>2782</v>
      </c>
      <c r="D531" s="177">
        <f>VLOOKUP($A531,K0kommunestruktur2019!$A$4:$N$425,K0kommunestruktur2020!D$3,FALSE)</f>
        <v>58242</v>
      </c>
      <c r="E531" s="289">
        <f>VLOOKUP($A531,K0kommunestruktur2019!$A$4:$N$425,K0kommunestruktur2020!E$3,FALSE)</f>
        <v>2752</v>
      </c>
      <c r="F531" s="177">
        <f>VLOOKUP($A531,K0kommunestruktur2019!$A$4:$N$425,K0kommunestruktur2020!F$3,FALSE)</f>
        <v>61846</v>
      </c>
      <c r="G531" s="289">
        <f>VLOOKUP($A531,K0kommunestruktur2019!$A$4:$N$425,K0kommunestruktur2020!G$3,FALSE)</f>
        <v>2774</v>
      </c>
      <c r="H531" s="177">
        <f>VLOOKUP($A531,K0kommunestruktur2019!$A$4:$N$425,K0kommunestruktur2020!H$3,FALSE)</f>
        <v>63415</v>
      </c>
      <c r="I531" s="289">
        <f>VLOOKUP($A531,K0kommunestruktur2019!$A$4:$N$425,K0kommunestruktur2020!I$3,FALSE)</f>
        <v>2791</v>
      </c>
      <c r="J531" s="177">
        <f>VLOOKUP($A531,K0kommunestruktur2019!$A$4:$N$425,K0kommunestruktur2020!J$3,FALSE)</f>
        <v>65535</v>
      </c>
      <c r="K531" s="289">
        <f>VLOOKUP($A531,K0kommunestruktur2019!$A$4:$N$425,K0kommunestruktur2020!K$3,FALSE)</f>
        <v>2757</v>
      </c>
      <c r="L531" s="177">
        <f>VLOOKUP($A531,K0kommunestruktur2019!$A$4:$N$425,K0kommunestruktur2020!L$3,FALSE)</f>
        <v>69577</v>
      </c>
      <c r="M531" s="289">
        <f>VLOOKUP($A531,K0kommunestruktur2019!$A$4:$N$425,K0kommunestruktur2020!M$3,FALSE)</f>
        <v>2747</v>
      </c>
      <c r="N531" s="177">
        <f>VLOOKUP($A531,K0kommunestruktur2019!$A$4:$N$425,K0kommunestruktur2020!N$3,FALSE)</f>
        <v>77604</v>
      </c>
    </row>
    <row r="532" spans="1:14" ht="13">
      <c r="A532" s="1">
        <v>1443</v>
      </c>
      <c r="B532" s="2" t="s">
        <v>80</v>
      </c>
      <c r="C532" s="290">
        <f>VLOOKUP($A532,K0kommunestruktur2019!$A$4:$N$425,K0kommunestruktur2020!C$3,FALSE)</f>
        <v>5926</v>
      </c>
      <c r="D532" s="177">
        <f>VLOOKUP($A532,K0kommunestruktur2019!$A$4:$N$425,K0kommunestruktur2020!D$3,FALSE)</f>
        <v>124434</v>
      </c>
      <c r="E532" s="289">
        <f>VLOOKUP($A532,K0kommunestruktur2019!$A$4:$N$425,K0kommunestruktur2020!E$3,FALSE)</f>
        <v>5987</v>
      </c>
      <c r="F532" s="177">
        <f>VLOOKUP($A532,K0kommunestruktur2019!$A$4:$N$425,K0kommunestruktur2020!F$3,FALSE)</f>
        <v>130598</v>
      </c>
      <c r="G532" s="289">
        <f>VLOOKUP($A532,K0kommunestruktur2019!$A$4:$N$425,K0kommunestruktur2020!G$3,FALSE)</f>
        <v>6015</v>
      </c>
      <c r="H532" s="177">
        <f>VLOOKUP($A532,K0kommunestruktur2019!$A$4:$N$425,K0kommunestruktur2020!H$3,FALSE)</f>
        <v>136144</v>
      </c>
      <c r="I532" s="289">
        <f>VLOOKUP($A532,K0kommunestruktur2019!$A$4:$N$425,K0kommunestruktur2020!I$3,FALSE)</f>
        <v>6064</v>
      </c>
      <c r="J532" s="177">
        <f>VLOOKUP($A532,K0kommunestruktur2019!$A$4:$N$425,K0kommunestruktur2020!J$3,FALSE)</f>
        <v>144754</v>
      </c>
      <c r="K532" s="289">
        <f>VLOOKUP($A532,K0kommunestruktur2019!$A$4:$N$425,K0kommunestruktur2020!K$3,FALSE)</f>
        <v>6157</v>
      </c>
      <c r="L532" s="177">
        <f>VLOOKUP($A532,K0kommunestruktur2019!$A$4:$N$425,K0kommunestruktur2020!L$3,FALSE)</f>
        <v>154404</v>
      </c>
      <c r="M532" s="289">
        <f>VLOOKUP($A532,K0kommunestruktur2019!$A$4:$N$425,K0kommunestruktur2020!M$3,FALSE)</f>
        <v>6151</v>
      </c>
      <c r="N532" s="177">
        <f>VLOOKUP($A532,K0kommunestruktur2019!$A$4:$N$425,K0kommunestruktur2020!N$3,FALSE)</f>
        <v>157880</v>
      </c>
    </row>
    <row r="533" spans="1:14" ht="13">
      <c r="A533" s="1"/>
      <c r="B533" s="894" t="s">
        <v>1733</v>
      </c>
      <c r="C533" s="290">
        <f>ROUND(SUM(C531:C532)*$M533/SUM($M531:$M532),8)</f>
        <v>504.00314677</v>
      </c>
      <c r="D533" s="177">
        <f>C533*(D531+D532)/(C531+C532)</f>
        <v>10572.953472594916</v>
      </c>
      <c r="E533" s="289">
        <f>ROUND(SUM(E531:E532)*$M533/SUM($M531:$M532),8)</f>
        <v>505.79737019999999</v>
      </c>
      <c r="F533" s="912">
        <f>E533*(F531+F532)/(E531+E532)</f>
        <v>11138.307484926056</v>
      </c>
      <c r="G533" s="289">
        <f>ROUND(SUM(G531:G532)*$M533/SUM($M531:$M532),8)</f>
        <v>508.69127894000002</v>
      </c>
      <c r="H533" s="177">
        <f>G533*(H531+H532)/(G531+G532)</f>
        <v>11550.110699054212</v>
      </c>
      <c r="I533" s="289">
        <f>ROUND(SUM(I531:I532)*$M533/SUM($M531:$M532),8)</f>
        <v>512.51123847999997</v>
      </c>
      <c r="J533" s="177">
        <f>I533*(J531+J532)/(I531+I532)</f>
        <v>12171.143515383481</v>
      </c>
      <c r="K533" s="289">
        <f>ROUND(SUM(K531:K532)*$M533/SUM($M531:$M532),8)</f>
        <v>515.92605079999998</v>
      </c>
      <c r="L533" s="177">
        <f>K533*(L531+L532)/(K531+K532)</f>
        <v>12963.611485779089</v>
      </c>
      <c r="M533" s="289">
        <f t="shared" ref="M533" si="63">-M493</f>
        <v>515</v>
      </c>
      <c r="N533" s="177">
        <f>M533*(N531+N532)/(M531+M532)</f>
        <v>13629.384131265453</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VLOOKUP($A535,K0kommunestruktur2019!$A$4:$N$425,K0kommunestruktur2020!C$3,FALSE)</f>
        <v>182035</v>
      </c>
      <c r="D535" s="177">
        <f>VLOOKUP($A535,K0kommunestruktur2019!$A$4:$N$425,K0kommunestruktur2020!D$3,FALSE)</f>
        <v>4562406</v>
      </c>
      <c r="E535" s="289">
        <f>VLOOKUP($A535,K0kommunestruktur2019!$A$4:$N$425,K0kommunestruktur2020!E$3,FALSE)</f>
        <v>184960</v>
      </c>
      <c r="F535" s="177">
        <f>VLOOKUP($A535,K0kommunestruktur2019!$A$4:$N$425,K0kommunestruktur2020!F$3,FALSE)</f>
        <v>4834604</v>
      </c>
      <c r="G535" s="289">
        <f>VLOOKUP($A535,K0kommunestruktur2019!$A$4:$N$425,K0kommunestruktur2020!G$3,FALSE)</f>
        <v>187353</v>
      </c>
      <c r="H535" s="177">
        <f>VLOOKUP($A535,K0kommunestruktur2019!$A$4:$N$425,K0kommunestruktur2020!H$3,FALSE)</f>
        <v>5378471</v>
      </c>
      <c r="I535" s="289">
        <f>VLOOKUP($A535,K0kommunestruktur2019!$A$4:$N$425,K0kommunestruktur2020!I$3,FALSE)</f>
        <v>190464</v>
      </c>
      <c r="J535" s="177">
        <f>VLOOKUP($A535,K0kommunestruktur2019!$A$4:$N$425,K0kommunestruktur2020!J$3,FALSE)</f>
        <v>5733673</v>
      </c>
      <c r="K535" s="289">
        <f>VLOOKUP($A535,K0kommunestruktur2019!$A$4:$N$425,K0kommunestruktur2020!K$3,FALSE)</f>
        <v>193501</v>
      </c>
      <c r="L535" s="177">
        <f>VLOOKUP($A535,K0kommunestruktur2019!$A$4:$N$425,K0kommunestruktur2020!L$3,FALSE)</f>
        <v>6030359</v>
      </c>
      <c r="M535" s="289">
        <f>VLOOKUP($A535,K0kommunestruktur2019!$A$4:$N$425,K0kommunestruktur2020!M$3,FALSE)</f>
        <v>196159</v>
      </c>
      <c r="N535" s="177">
        <f>VLOOKUP($A535,K0kommunestruktur2019!$A$4:$N$425,K0kommunestruktur2020!N$3,FALSE)</f>
        <v>6305500</v>
      </c>
    </row>
    <row r="536" spans="1:14" ht="13">
      <c r="A536" s="1">
        <v>5030</v>
      </c>
      <c r="B536" s="2" t="s">
        <v>139</v>
      </c>
      <c r="C536" s="290">
        <f>VLOOKUP($A536,K0kommunestruktur2019!$A$4:$N$425,K0kommunestruktur2020!C$3,FALSE)</f>
        <v>5970</v>
      </c>
      <c r="D536" s="177">
        <f>VLOOKUP($A536,K0kommunestruktur2019!$A$4:$N$425,K0kommunestruktur2020!D$3,FALSE)</f>
        <v>128833</v>
      </c>
      <c r="E536" s="289">
        <f>VLOOKUP($A536,K0kommunestruktur2019!$A$4:$N$425,K0kommunestruktur2020!E$3,FALSE)</f>
        <v>5995</v>
      </c>
      <c r="F536" s="177">
        <f>VLOOKUP($A536,K0kommunestruktur2019!$A$4:$N$425,K0kommunestruktur2020!F$3,FALSE)</f>
        <v>131530</v>
      </c>
      <c r="G536" s="289">
        <f>VLOOKUP($A536,K0kommunestruktur2019!$A$4:$N$425,K0kommunestruktur2020!G$3,FALSE)</f>
        <v>6067</v>
      </c>
      <c r="H536" s="177">
        <f>VLOOKUP($A536,K0kommunestruktur2019!$A$4:$N$425,K0kommunestruktur2020!H$3,FALSE)</f>
        <v>145327</v>
      </c>
      <c r="I536" s="289">
        <f>VLOOKUP($A536,K0kommunestruktur2019!$A$4:$N$425,K0kommunestruktur2020!I$3,FALSE)</f>
        <v>6050</v>
      </c>
      <c r="J536" s="177">
        <f>VLOOKUP($A536,K0kommunestruktur2019!$A$4:$N$425,K0kommunestruktur2020!J$3,FALSE)</f>
        <v>149554</v>
      </c>
      <c r="K536" s="289">
        <f>VLOOKUP($A536,K0kommunestruktur2019!$A$4:$N$425,K0kommunestruktur2020!K$3,FALSE)</f>
        <v>6094</v>
      </c>
      <c r="L536" s="177">
        <f>VLOOKUP($A536,K0kommunestruktur2019!$A$4:$N$425,K0kommunestruktur2020!L$3,FALSE)</f>
        <v>151440</v>
      </c>
      <c r="M536" s="289">
        <f>VLOOKUP($A536,K0kommunestruktur2019!$A$4:$N$425,K0kommunestruktur2020!M$3,FALSE)</f>
        <v>6076</v>
      </c>
      <c r="N536" s="177">
        <f>VLOOKUP($A536,K0kommunestruktur2019!$A$4:$N$425,K0kommunestruktur2020!N$3,FALSE)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VLOOKUP($A538,K0kommunestruktur2019!$A$4:$N$425,K0kommunestruktur2020!C$3,FALSE)</f>
        <v>21555</v>
      </c>
      <c r="D538" s="177">
        <f>VLOOKUP($A538,K0kommunestruktur2019!$A$4:$N$425,K0kommunestruktur2020!D$3,FALSE)</f>
        <v>403289</v>
      </c>
      <c r="E538" s="289">
        <f>VLOOKUP($A538,K0kommunestruktur2019!$A$4:$N$425,K0kommunestruktur2020!E$3,FALSE)</f>
        <v>21650</v>
      </c>
      <c r="F538" s="177">
        <f>VLOOKUP($A538,K0kommunestruktur2019!$A$4:$N$425,K0kommunestruktur2020!F$3,FALSE)</f>
        <v>426827</v>
      </c>
      <c r="G538" s="289">
        <f>VLOOKUP($A538,K0kommunestruktur2019!$A$4:$N$425,K0kommunestruktur2020!G$3,FALSE)</f>
        <v>21781</v>
      </c>
      <c r="H538" s="177">
        <f>VLOOKUP($A538,K0kommunestruktur2019!$A$4:$N$425,K0kommunestruktur2020!H$3,FALSE)</f>
        <v>467882</v>
      </c>
      <c r="I538" s="289">
        <f>VLOOKUP($A538,K0kommunestruktur2019!$A$4:$N$425,K0kommunestruktur2020!I$3,FALSE)</f>
        <v>21972</v>
      </c>
      <c r="J538" s="177">
        <f>VLOOKUP($A538,K0kommunestruktur2019!$A$4:$N$425,K0kommunestruktur2020!J$3,FALSE)</f>
        <v>488540</v>
      </c>
      <c r="K538" s="289">
        <f>VLOOKUP($A538,K0kommunestruktur2019!$A$4:$N$425,K0kommunestruktur2020!K$3,FALSE)</f>
        <v>22096</v>
      </c>
      <c r="L538" s="177">
        <f>VLOOKUP($A538,K0kommunestruktur2019!$A$4:$N$425,K0kommunestruktur2020!L$3,FALSE)</f>
        <v>507896</v>
      </c>
      <c r="M538" s="289">
        <f>VLOOKUP($A538,K0kommunestruktur2019!$A$4:$N$425,K0kommunestruktur2020!M$3,FALSE)</f>
        <v>22090</v>
      </c>
      <c r="N538" s="177">
        <f>VLOOKUP($A538,K0kommunestruktur2019!$A$4:$N$425,K0kommunestruktur2020!N$3,FALSE)</f>
        <v>521680</v>
      </c>
    </row>
    <row r="539" spans="1:14" ht="13">
      <c r="A539" s="1">
        <v>5039</v>
      </c>
      <c r="B539" s="2" t="s">
        <v>153</v>
      </c>
      <c r="C539" s="290">
        <f>VLOOKUP($A539,K0kommunestruktur2019!$A$4:$N$425,K0kommunestruktur2020!C$3,FALSE)</f>
        <v>2562</v>
      </c>
      <c r="D539" s="177">
        <f>VLOOKUP($A539,K0kommunestruktur2019!$A$4:$N$425,K0kommunestruktur2020!D$3,FALSE)</f>
        <v>34092</v>
      </c>
      <c r="E539" s="289">
        <f>VLOOKUP($A539,K0kommunestruktur2019!$A$4:$N$425,K0kommunestruktur2020!E$3,FALSE)</f>
        <v>2547</v>
      </c>
      <c r="F539" s="177">
        <f>VLOOKUP($A539,K0kommunestruktur2019!$A$4:$N$425,K0kommunestruktur2020!F$3,FALSE)</f>
        <v>43785</v>
      </c>
      <c r="G539" s="289">
        <f>VLOOKUP($A539,K0kommunestruktur2019!$A$4:$N$425,K0kommunestruktur2020!G$3,FALSE)</f>
        <v>2527</v>
      </c>
      <c r="H539" s="177">
        <f>VLOOKUP($A539,K0kommunestruktur2019!$A$4:$N$425,K0kommunestruktur2020!H$3,FALSE)</f>
        <v>44616</v>
      </c>
      <c r="I539" s="289">
        <f>VLOOKUP($A539,K0kommunestruktur2019!$A$4:$N$425,K0kommunestruktur2020!I$3,FALSE)</f>
        <v>2515</v>
      </c>
      <c r="J539" s="177">
        <f>VLOOKUP($A539,K0kommunestruktur2019!$A$4:$N$425,K0kommunestruktur2020!J$3,FALSE)</f>
        <v>47869</v>
      </c>
      <c r="K539" s="289">
        <f>VLOOKUP($A539,K0kommunestruktur2019!$A$4:$N$425,K0kommunestruktur2020!K$3,FALSE)</f>
        <v>2473</v>
      </c>
      <c r="L539" s="177">
        <f>VLOOKUP($A539,K0kommunestruktur2019!$A$4:$N$425,K0kommunestruktur2020!L$3,FALSE)</f>
        <v>50171</v>
      </c>
      <c r="M539" s="289">
        <f>VLOOKUP($A539,K0kommunestruktur2019!$A$4:$N$425,K0kommunestruktur2020!M$3,FALSE)</f>
        <v>2449</v>
      </c>
      <c r="N539" s="177">
        <f>VLOOKUP($A539,K0kommunestruktur2019!$A$4:$N$425,K0kommunestruktur2020!N$3,FALSE)</f>
        <v>52911</v>
      </c>
    </row>
    <row r="540" spans="1:14" ht="13">
      <c r="A540" s="1"/>
      <c r="B540" s="894" t="s">
        <v>1761</v>
      </c>
      <c r="C540" s="290">
        <f>ROUND(SUM(C538:C539)*$M540/SUM($M538:$M539),8)</f>
        <v>-65.84779331</v>
      </c>
      <c r="D540" s="177">
        <f>C540*(D538+D539)/(C538+C539)</f>
        <v>-1194.2021680026999</v>
      </c>
      <c r="E540" s="289">
        <f>ROUND(SUM(E538:E539)*$M540/SUM($M538:$M539),8)</f>
        <v>-66.066221119999994</v>
      </c>
      <c r="F540" s="912">
        <f>E540*(F538+F539)/(E538+E539)</f>
        <v>-1284.9343494534628</v>
      </c>
      <c r="G540" s="289">
        <f>ROUND(SUM(G538:G539)*$M540/SUM($M538:$M539),8)</f>
        <v>-66.369289699999996</v>
      </c>
      <c r="H540" s="177">
        <f>G540*(H538+H539)/(G538+G539)</f>
        <v>-1399.2976893479758</v>
      </c>
      <c r="I540" s="289">
        <f>ROUND(SUM(I538:I539)*$M540/SUM($M538:$M539),8)</f>
        <v>-66.858021919999999</v>
      </c>
      <c r="J540" s="177">
        <f>I540*(J538+J539)/(I538+I539)</f>
        <v>-1464.5830309995213</v>
      </c>
      <c r="K540" s="289">
        <f>ROUND(SUM(K538:K539)*$M540/SUM($M538:$M539),8)</f>
        <v>-67.081910429999994</v>
      </c>
      <c r="L540" s="177">
        <f>K540*(L538+L539)/(K538+K539)</f>
        <v>-1523.7168996678256</v>
      </c>
      <c r="M540" s="289">
        <v>-67</v>
      </c>
      <c r="N540" s="177">
        <f>M540*(N538+N539)/(M538+M539)</f>
        <v>-1568.8331635355964</v>
      </c>
    </row>
    <row r="541" spans="1:14" ht="13">
      <c r="A541" s="1"/>
      <c r="B541" s="885" t="s">
        <v>1846</v>
      </c>
      <c r="C541" s="290"/>
      <c r="D541" s="177">
        <v>30954.656999999999</v>
      </c>
      <c r="E541" s="289"/>
      <c r="F541" s="177">
        <v>40832.248</v>
      </c>
      <c r="G541" s="289"/>
      <c r="H541" s="177">
        <v>41503.22</v>
      </c>
      <c r="I541" s="289"/>
      <c r="J541" s="177">
        <v>44759.146000000001</v>
      </c>
      <c r="K541" s="289"/>
      <c r="L541" s="177">
        <v>46873</v>
      </c>
      <c r="M541" s="289"/>
      <c r="N541" s="177">
        <v>44999.523842873918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VLOOKUP($A543,K0kommunestruktur2019!$A$4:$N$425,K0kommunestruktur2020!C$3,FALSE)</f>
        <v>13083</v>
      </c>
      <c r="D543" s="177">
        <f>VLOOKUP($A543,K0kommunestruktur2019!$A$4:$N$425,K0kommunestruktur2020!D$3,FALSE)</f>
        <v>253179</v>
      </c>
      <c r="E543" s="289">
        <f>VLOOKUP($A543,K0kommunestruktur2019!$A$4:$N$425,K0kommunestruktur2020!E$3,FALSE)</f>
        <v>13026</v>
      </c>
      <c r="F543" s="177">
        <f>VLOOKUP($A543,K0kommunestruktur2019!$A$4:$N$425,K0kommunestruktur2020!F$3,FALSE)</f>
        <v>267385</v>
      </c>
      <c r="G543" s="289">
        <f>VLOOKUP($A543,K0kommunestruktur2019!$A$4:$N$425,K0kommunestruktur2020!G$3,FALSE)</f>
        <v>13010</v>
      </c>
      <c r="H543" s="177">
        <f>VLOOKUP($A543,K0kommunestruktur2019!$A$4:$N$425,K0kommunestruktur2020!H$3,FALSE)</f>
        <v>296053</v>
      </c>
      <c r="I543" s="289">
        <f>VLOOKUP($A543,K0kommunestruktur2019!$A$4:$N$425,K0kommunestruktur2020!I$3,FALSE)</f>
        <v>13051</v>
      </c>
      <c r="J543" s="177">
        <f>VLOOKUP($A543,K0kommunestruktur2019!$A$4:$N$425,K0kommunestruktur2020!J$3,FALSE)</f>
        <v>308334</v>
      </c>
      <c r="K543" s="289">
        <f>VLOOKUP($A543,K0kommunestruktur2019!$A$4:$N$425,K0kommunestruktur2020!K$3,FALSE)</f>
        <v>13078</v>
      </c>
      <c r="L543" s="177">
        <f>VLOOKUP($A543,K0kommunestruktur2019!$A$4:$N$425,K0kommunestruktur2020!L$3,FALSE)</f>
        <v>318589</v>
      </c>
      <c r="M543" s="289">
        <f>VLOOKUP($A543,K0kommunestruktur2019!$A$4:$N$425,K0kommunestruktur2020!M$3,FALSE)</f>
        <v>13113</v>
      </c>
      <c r="N543" s="177">
        <f>VLOOKUP($A543,K0kommunestruktur2019!$A$4:$N$425,K0kommunestruktur2020!N$3,FALSE)</f>
        <v>338235</v>
      </c>
    </row>
    <row r="544" spans="1:14" ht="13">
      <c r="A544" s="1">
        <v>5040</v>
      </c>
      <c r="B544" s="2" t="s">
        <v>154</v>
      </c>
      <c r="C544" s="290">
        <f>VLOOKUP($A544,K0kommunestruktur2019!$A$4:$N$425,K0kommunestruktur2020!C$3,FALSE)</f>
        <v>1676</v>
      </c>
      <c r="D544" s="177">
        <f>VLOOKUP($A544,K0kommunestruktur2019!$A$4:$N$425,K0kommunestruktur2020!D$3,FALSE)</f>
        <v>28132</v>
      </c>
      <c r="E544" s="289">
        <f>VLOOKUP($A544,K0kommunestruktur2019!$A$4:$N$425,K0kommunestruktur2020!E$3,FALSE)</f>
        <v>1644</v>
      </c>
      <c r="F544" s="177">
        <f>VLOOKUP($A544,K0kommunestruktur2019!$A$4:$N$425,K0kommunestruktur2020!F$3,FALSE)</f>
        <v>27277</v>
      </c>
      <c r="G544" s="289">
        <f>VLOOKUP($A544,K0kommunestruktur2019!$A$4:$N$425,K0kommunestruktur2020!G$3,FALSE)</f>
        <v>1622</v>
      </c>
      <c r="H544" s="177">
        <f>VLOOKUP($A544,K0kommunestruktur2019!$A$4:$N$425,K0kommunestruktur2020!H$3,FALSE)</f>
        <v>30725</v>
      </c>
      <c r="I544" s="289">
        <f>VLOOKUP($A544,K0kommunestruktur2019!$A$4:$N$425,K0kommunestruktur2020!I$3,FALSE)</f>
        <v>1593</v>
      </c>
      <c r="J544" s="177">
        <f>VLOOKUP($A544,K0kommunestruktur2019!$A$4:$N$425,K0kommunestruktur2020!J$3,FALSE)</f>
        <v>31111</v>
      </c>
      <c r="K544" s="289">
        <f>VLOOKUP($A544,K0kommunestruktur2019!$A$4:$N$425,K0kommunestruktur2020!K$3,FALSE)</f>
        <v>1585</v>
      </c>
      <c r="L544" s="177">
        <f>VLOOKUP($A544,K0kommunestruktur2019!$A$4:$N$425,K0kommunestruktur2020!L$3,FALSE)</f>
        <v>32121</v>
      </c>
      <c r="M544" s="289">
        <f>VLOOKUP($A544,K0kommunestruktur2019!$A$4:$N$425,K0kommunestruktur2020!M$3,FALSE)</f>
        <v>1576</v>
      </c>
      <c r="N544" s="177">
        <f>VLOOKUP($A544,K0kommunestruktur2019!$A$4:$N$425,K0kommunestruktur2020!N$3,FALSE)</f>
        <v>35949</v>
      </c>
    </row>
    <row r="545" spans="1:14" ht="13">
      <c r="A545" s="1">
        <v>5048</v>
      </c>
      <c r="B545" s="2" t="s">
        <v>169</v>
      </c>
      <c r="C545" s="290">
        <f>VLOOKUP($A545,K0kommunestruktur2019!$A$4:$N$425,K0kommunestruktur2020!C$3,FALSE)</f>
        <v>642</v>
      </c>
      <c r="D545" s="177">
        <f>VLOOKUP($A545,K0kommunestruktur2019!$A$4:$N$425,K0kommunestruktur2020!D$3,FALSE)</f>
        <v>10338</v>
      </c>
      <c r="E545" s="289">
        <f>VLOOKUP($A545,K0kommunestruktur2019!$A$4:$N$425,K0kommunestruktur2020!E$3,FALSE)</f>
        <v>630</v>
      </c>
      <c r="F545" s="177">
        <f>VLOOKUP($A545,K0kommunestruktur2019!$A$4:$N$425,K0kommunestruktur2020!F$3,FALSE)</f>
        <v>10651</v>
      </c>
      <c r="G545" s="289">
        <f>VLOOKUP($A545,K0kommunestruktur2019!$A$4:$N$425,K0kommunestruktur2020!G$3,FALSE)</f>
        <v>633</v>
      </c>
      <c r="H545" s="177">
        <f>VLOOKUP($A545,K0kommunestruktur2019!$A$4:$N$425,K0kommunestruktur2020!H$3,FALSE)</f>
        <v>11315</v>
      </c>
      <c r="I545" s="289">
        <f>VLOOKUP($A545,K0kommunestruktur2019!$A$4:$N$425,K0kommunestruktur2020!I$3,FALSE)</f>
        <v>628</v>
      </c>
      <c r="J545" s="177">
        <f>VLOOKUP($A545,K0kommunestruktur2019!$A$4:$N$425,K0kommunestruktur2020!J$3,FALSE)</f>
        <v>11682</v>
      </c>
      <c r="K545" s="289">
        <f>VLOOKUP($A545,K0kommunestruktur2019!$A$4:$N$425,K0kommunestruktur2020!K$3,FALSE)</f>
        <v>618</v>
      </c>
      <c r="L545" s="177">
        <f>VLOOKUP($A545,K0kommunestruktur2019!$A$4:$N$425,K0kommunestruktur2020!L$3,FALSE)</f>
        <v>12474</v>
      </c>
      <c r="M545" s="289">
        <f>VLOOKUP($A545,K0kommunestruktur2019!$A$4:$N$425,K0kommunestruktur2020!M$3,FALSE)</f>
        <v>605</v>
      </c>
      <c r="N545" s="177">
        <f>VLOOKUP($A545,K0kommunestruktur2019!$A$4:$N$425,K0kommunestruktur2020!N$3,FALSE)</f>
        <v>12311</v>
      </c>
    </row>
    <row r="546" spans="1:14" ht="13">
      <c r="A546" s="1"/>
      <c r="B546" s="894" t="s">
        <v>1765</v>
      </c>
      <c r="C546" s="290">
        <f>ROUND(SUM(C543:C545)*$M546/SUM($M543:$M545),8)</f>
        <v>51.356806589999998</v>
      </c>
      <c r="D546" s="177">
        <f>C546*(D543+D544+D545)/(C543+C544+C545)</f>
        <v>972.54472340542236</v>
      </c>
      <c r="E546" s="289">
        <f>ROUND(SUM(E543:E545)*$M546/SUM($M543:$M545),8)</f>
        <v>51.020007849999999</v>
      </c>
      <c r="F546" s="912">
        <f>E546*(F543+F544+F545)/(E543+E544+E545)</f>
        <v>1018.1092586083039</v>
      </c>
      <c r="G546" s="289">
        <f>ROUND(SUM(G543:G545)*$M546/SUM($M543:$M545),8)</f>
        <v>50.903295409999998</v>
      </c>
      <c r="H546" s="177">
        <f>G546*(H543+H544+H545)/(G543+G544+G545)</f>
        <v>1127.418791683795</v>
      </c>
      <c r="I546" s="289">
        <f>ROUND(SUM(I543:I545)*$M546/SUM($M543:$M545),8)</f>
        <v>50.926637900000003</v>
      </c>
      <c r="J546" s="177">
        <f>I546*(J543+J544+J545)/(I543+I544+I545)</f>
        <v>1170.8825030063713</v>
      </c>
      <c r="K546" s="289">
        <f>ROUND(SUM(K543:K545)*$M546/SUM($M543:$M545),8)</f>
        <v>50.956649669999997</v>
      </c>
      <c r="L546" s="177">
        <f>K546*(L543+L544+L545)/(K543+K544+K545)</f>
        <v>1211.0882699920999</v>
      </c>
      <c r="M546" s="289">
        <f t="shared" ref="M546" si="64">-M571</f>
        <v>51</v>
      </c>
      <c r="N546" s="177">
        <f>M546*(N543+N544+N545)/(M543+M544+M545)</f>
        <v>1288.8220870929777</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VLOOKUP($A548,K0kommunestruktur2019!$A$4:$N$425,K0kommunestruktur2020!C$3,FALSE)</f>
        <v>1581</v>
      </c>
      <c r="D548" s="177">
        <f>VLOOKUP($A548,K0kommunestruktur2019!$A$4:$N$425,K0kommunestruktur2020!D$3,FALSE)</f>
        <v>33613</v>
      </c>
      <c r="E548" s="289">
        <f>VLOOKUP($A548,K0kommunestruktur2019!$A$4:$N$425,K0kommunestruktur2020!E$3,FALSE)</f>
        <v>1563</v>
      </c>
      <c r="F548" s="177">
        <f>VLOOKUP($A548,K0kommunestruktur2019!$A$4:$N$425,K0kommunestruktur2020!F$3,FALSE)</f>
        <v>32045</v>
      </c>
      <c r="G548" s="289">
        <f>VLOOKUP($A548,K0kommunestruktur2019!$A$4:$N$425,K0kommunestruktur2020!G$3,FALSE)</f>
        <v>1547</v>
      </c>
      <c r="H548" s="177">
        <f>VLOOKUP($A548,K0kommunestruktur2019!$A$4:$N$425,K0kommunestruktur2020!H$3,FALSE)</f>
        <v>34151</v>
      </c>
      <c r="I548" s="289">
        <f>VLOOKUP($A548,K0kommunestruktur2019!$A$4:$N$425,K0kommunestruktur2020!I$3,FALSE)</f>
        <v>1599</v>
      </c>
      <c r="J548" s="177">
        <f>VLOOKUP($A548,K0kommunestruktur2019!$A$4:$N$425,K0kommunestruktur2020!J$3,FALSE)</f>
        <v>35422</v>
      </c>
      <c r="K548" s="289">
        <f>VLOOKUP($A548,K0kommunestruktur2019!$A$4:$N$425,K0kommunestruktur2020!K$3,FALSE)</f>
        <v>1571</v>
      </c>
      <c r="L548" s="177">
        <f>VLOOKUP($A548,K0kommunestruktur2019!$A$4:$N$425,K0kommunestruktur2020!L$3,FALSE)</f>
        <v>36197</v>
      </c>
      <c r="M548" s="289">
        <f>VLOOKUP($A548,K0kommunestruktur2019!$A$4:$N$425,K0kommunestruktur2020!M$3,FALSE)</f>
        <v>1574</v>
      </c>
      <c r="N548" s="177">
        <f>VLOOKUP($A548,K0kommunestruktur2019!$A$4:$N$425,K0kommunestruktur2020!N$3,FALSE)</f>
        <v>39984</v>
      </c>
    </row>
    <row r="549" spans="1:14" ht="13">
      <c r="A549" s="1">
        <v>5011</v>
      </c>
      <c r="B549" s="2" t="s">
        <v>119</v>
      </c>
      <c r="C549" s="290">
        <f>VLOOKUP($A549,K0kommunestruktur2019!$A$4:$N$425,K0kommunestruktur2020!C$3,FALSE)</f>
        <v>4224</v>
      </c>
      <c r="D549" s="177">
        <f>VLOOKUP($A549,K0kommunestruktur2019!$A$4:$N$425,K0kommunestruktur2020!D$3,FALSE)</f>
        <v>88756</v>
      </c>
      <c r="E549" s="289">
        <f>VLOOKUP($A549,K0kommunestruktur2019!$A$4:$N$425,K0kommunestruktur2020!E$3,FALSE)</f>
        <v>4254</v>
      </c>
      <c r="F549" s="177">
        <f>VLOOKUP($A549,K0kommunestruktur2019!$A$4:$N$425,K0kommunestruktur2020!F$3,FALSE)</f>
        <v>90880</v>
      </c>
      <c r="G549" s="289">
        <f>VLOOKUP($A549,K0kommunestruktur2019!$A$4:$N$425,K0kommunestruktur2020!G$3,FALSE)</f>
        <v>4260</v>
      </c>
      <c r="H549" s="177">
        <f>VLOOKUP($A549,K0kommunestruktur2019!$A$4:$N$425,K0kommunestruktur2020!H$3,FALSE)</f>
        <v>98194</v>
      </c>
      <c r="I549" s="289">
        <f>VLOOKUP($A549,K0kommunestruktur2019!$A$4:$N$425,K0kommunestruktur2020!I$3,FALSE)</f>
        <v>4259</v>
      </c>
      <c r="J549" s="177">
        <f>VLOOKUP($A549,K0kommunestruktur2019!$A$4:$N$425,K0kommunestruktur2020!J$3,FALSE)</f>
        <v>104407</v>
      </c>
      <c r="K549" s="289">
        <f>VLOOKUP($A549,K0kommunestruktur2019!$A$4:$N$425,K0kommunestruktur2020!K$3,FALSE)</f>
        <v>4225</v>
      </c>
      <c r="L549" s="177">
        <f>VLOOKUP($A549,K0kommunestruktur2019!$A$4:$N$425,K0kommunestruktur2020!L$3,FALSE)</f>
        <v>111639</v>
      </c>
      <c r="M549" s="289">
        <f>VLOOKUP($A549,K0kommunestruktur2019!$A$4:$N$425,K0kommunestruktur2020!M$3,FALSE)</f>
        <v>4228</v>
      </c>
      <c r="N549" s="177">
        <f>VLOOKUP($A549,K0kommunestruktur2019!$A$4:$N$425,K0kommunestruktur2020!N$3,FALSE)</f>
        <v>118012</v>
      </c>
    </row>
    <row r="550" spans="1:14" ht="13">
      <c r="A550" s="1">
        <v>5012</v>
      </c>
      <c r="B550" s="894" t="s">
        <v>1768</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(208/VLOOKUP($A550,K0kommunestruktur2019!$A$4:$N$425,13,FALSE))*VLOOKUP($A550,K0kommunestruktur2019!$A$4:$N$425,K0kommunestruktur2020!M$3,FALSE)</f>
        <v>208</v>
      </c>
      <c r="N550" s="177">
        <f>K0kommunestruktur2019!N346*$M550/($M550+$M554+$M566)</f>
        <v>6000.9769769769773</v>
      </c>
    </row>
    <row r="551" spans="1:14" ht="13">
      <c r="A551" s="1"/>
      <c r="B551" s="885" t="s">
        <v>1839</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VLOOKUP($A553,K0kommunestruktur2019!$A$4:$N$425,K0kommunestruktur2020!C$3,FALSE)</f>
        <v>4522</v>
      </c>
      <c r="D553" s="177">
        <f>VLOOKUP($A553,K0kommunestruktur2019!$A$4:$N$425,K0kommunestruktur2020!D$3,FALSE)</f>
        <v>90135</v>
      </c>
      <c r="E553" s="289">
        <f>VLOOKUP($A553,K0kommunestruktur2019!$A$4:$N$425,K0kommunestruktur2020!E$3,FALSE)</f>
        <v>4569</v>
      </c>
      <c r="F553" s="177">
        <f>VLOOKUP($A553,K0kommunestruktur2019!$A$4:$N$425,K0kommunestruktur2020!F$3,FALSE)</f>
        <v>97955</v>
      </c>
      <c r="G553" s="289">
        <f>VLOOKUP($A553,K0kommunestruktur2019!$A$4:$N$425,K0kommunestruktur2020!G$3,FALSE)</f>
        <v>4622</v>
      </c>
      <c r="H553" s="177">
        <f>VLOOKUP($A553,K0kommunestruktur2019!$A$4:$N$425,K0kommunestruktur2020!H$3,FALSE)</f>
        <v>106217</v>
      </c>
      <c r="I553" s="289">
        <f>VLOOKUP($A553,K0kommunestruktur2019!$A$4:$N$425,K0kommunestruktur2020!I$3,FALSE)</f>
        <v>4659</v>
      </c>
      <c r="J553" s="177">
        <f>VLOOKUP($A553,K0kommunestruktur2019!$A$4:$N$425,K0kommunestruktur2020!J$3,FALSE)</f>
        <v>112469</v>
      </c>
      <c r="K553" s="289">
        <f>VLOOKUP($A553,K0kommunestruktur2019!$A$4:$N$425,K0kommunestruktur2020!K$3,FALSE)</f>
        <v>4648</v>
      </c>
      <c r="L553" s="177">
        <f>VLOOKUP($A553,K0kommunestruktur2019!$A$4:$N$425,K0kommunestruktur2020!L$3,FALSE)</f>
        <v>114744</v>
      </c>
      <c r="M553" s="289">
        <f>VLOOKUP($A553,K0kommunestruktur2019!$A$4:$N$425,K0kommunestruktur2020!M$3,FALSE)</f>
        <v>4694</v>
      </c>
      <c r="N553" s="177">
        <f>VLOOKUP($A553,K0kommunestruktur2019!$A$4:$N$425,K0kommunestruktur2020!N$3,FALSE)</f>
        <v>122556</v>
      </c>
    </row>
    <row r="554" spans="1:14" ht="13">
      <c r="A554" s="1">
        <v>5012</v>
      </c>
      <c r="B554" s="894" t="s">
        <v>1768</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(324/VLOOKUP($A554,K0kommunestruktur2019!$A$4:$N$425,13,FALSE))*VLOOKUP($A554,K0kommunestruktur2019!$A$4:$N$425,K0kommunestruktur2020!M$3,FALSE)</f>
        <v>324</v>
      </c>
      <c r="N554" s="177">
        <f>K0kommunestruktur2019!N346*$M554/($M550+$M554+$M566)</f>
        <v>9347.6756756756749</v>
      </c>
    </row>
    <row r="555" spans="1:14" ht="13">
      <c r="A555" s="1"/>
      <c r="B555" s="885" t="s">
        <v>1839</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VLOOKUP($A557,K0kommunestruktur2019!$A$4:$N$425,K0kommunestruktur2020!C$3,FALSE)</f>
        <v>5164</v>
      </c>
      <c r="D557" s="177">
        <f>VLOOKUP($A557,K0kommunestruktur2019!$A$4:$N$425,K0kommunestruktur2020!D$3,FALSE)</f>
        <v>102720</v>
      </c>
      <c r="E557" s="289">
        <f>VLOOKUP($A557,K0kommunestruktur2019!$A$4:$N$425,K0kommunestruktur2020!E$3,FALSE)</f>
        <v>5183</v>
      </c>
      <c r="F557" s="177">
        <f>VLOOKUP($A557,K0kommunestruktur2019!$A$4:$N$425,K0kommunestruktur2020!F$3,FALSE)</f>
        <v>115049</v>
      </c>
      <c r="G557" s="289">
        <f>VLOOKUP($A557,K0kommunestruktur2019!$A$4:$N$425,K0kommunestruktur2020!G$3,FALSE)</f>
        <v>5209</v>
      </c>
      <c r="H557" s="177">
        <f>VLOOKUP($A557,K0kommunestruktur2019!$A$4:$N$425,K0kommunestruktur2020!H$3,FALSE)</f>
        <v>119246</v>
      </c>
      <c r="I557" s="289">
        <f>VLOOKUP($A557,K0kommunestruktur2019!$A$4:$N$425,K0kommunestruktur2020!I$3,FALSE)</f>
        <v>5291</v>
      </c>
      <c r="J557" s="177">
        <f>VLOOKUP($A557,K0kommunestruktur2019!$A$4:$N$425,K0kommunestruktur2020!J$3,FALSE)</f>
        <v>131001</v>
      </c>
      <c r="K557" s="289">
        <f>VLOOKUP($A557,K0kommunestruktur2019!$A$4:$N$425,K0kommunestruktur2020!K$3,FALSE)</f>
        <v>5351</v>
      </c>
      <c r="L557" s="177">
        <f>VLOOKUP($A557,K0kommunestruktur2019!$A$4:$N$425,K0kommunestruktur2020!L$3,FALSE)</f>
        <v>140446</v>
      </c>
      <c r="M557" s="289">
        <f>VLOOKUP($A557,K0kommunestruktur2019!$A$4:$N$425,K0kommunestruktur2020!M$3,FALSE)</f>
        <v>5334</v>
      </c>
      <c r="N557" s="177">
        <f>VLOOKUP($A557,K0kommunestruktur2019!$A$4:$N$425,K0kommunestruktur2020!N$3,FALSE)</f>
        <v>144343</v>
      </c>
    </row>
    <row r="558" spans="1:14" ht="13">
      <c r="A558" s="1">
        <v>5017</v>
      </c>
      <c r="B558" s="2" t="s">
        <v>126</v>
      </c>
      <c r="C558" s="290">
        <f>VLOOKUP($A558,K0kommunestruktur2019!$A$4:$N$425,K0kommunestruktur2020!C$3,FALSE)</f>
        <v>4711</v>
      </c>
      <c r="D558" s="177">
        <f>VLOOKUP($A558,K0kommunestruktur2019!$A$4:$N$425,K0kommunestruktur2020!D$3,FALSE)</f>
        <v>84184</v>
      </c>
      <c r="E558" s="289">
        <f>VLOOKUP($A558,K0kommunestruktur2019!$A$4:$N$425,K0kommunestruktur2020!E$3,FALSE)</f>
        <v>4715</v>
      </c>
      <c r="F558" s="177">
        <f>VLOOKUP($A558,K0kommunestruktur2019!$A$4:$N$425,K0kommunestruktur2020!F$3,FALSE)</f>
        <v>89681</v>
      </c>
      <c r="G558" s="289">
        <f>VLOOKUP($A558,K0kommunestruktur2019!$A$4:$N$425,K0kommunestruktur2020!G$3,FALSE)</f>
        <v>4779</v>
      </c>
      <c r="H558" s="177">
        <f>VLOOKUP($A558,K0kommunestruktur2019!$A$4:$N$425,K0kommunestruktur2020!H$3,FALSE)</f>
        <v>98894</v>
      </c>
      <c r="I558" s="289">
        <f>VLOOKUP($A558,K0kommunestruktur2019!$A$4:$N$425,K0kommunestruktur2020!I$3,FALSE)</f>
        <v>4822</v>
      </c>
      <c r="J558" s="177">
        <f>VLOOKUP($A558,K0kommunestruktur2019!$A$4:$N$425,K0kommunestruktur2020!J$3,FALSE)</f>
        <v>102348</v>
      </c>
      <c r="K558" s="289">
        <f>VLOOKUP($A558,K0kommunestruktur2019!$A$4:$N$425,K0kommunestruktur2020!K$3,FALSE)</f>
        <v>4864</v>
      </c>
      <c r="L558" s="177">
        <f>VLOOKUP($A558,K0kommunestruktur2019!$A$4:$N$425,K0kommunestruktur2020!L$3,FALSE)</f>
        <v>111956</v>
      </c>
      <c r="M558" s="289">
        <f>VLOOKUP($A558,K0kommunestruktur2019!$A$4:$N$425,K0kommunestruktur2020!M$3,FALSE)</f>
        <v>4904</v>
      </c>
      <c r="N558" s="177">
        <f>VLOOKUP($A558,K0kommunestruktur2019!$A$4:$N$425,K0kommunestruktur2020!N$3,FALSE)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VLOOKUP($A560,K0kommunestruktur2019!$A$4:$N$425,K0kommunestruktur2020!C$3,FALSE)</f>
        <v>3242</v>
      </c>
      <c r="D560" s="177">
        <f>VLOOKUP($A560,K0kommunestruktur2019!$A$4:$N$425,K0kommunestruktur2020!D$3,FALSE)</f>
        <v>62502</v>
      </c>
      <c r="E560" s="289">
        <f>VLOOKUP($A560,K0kommunestruktur2019!$A$4:$N$425,K0kommunestruktur2020!E$3,FALSE)</f>
        <v>3248</v>
      </c>
      <c r="F560" s="177">
        <f>VLOOKUP($A560,K0kommunestruktur2019!$A$4:$N$425,K0kommunestruktur2020!F$3,FALSE)</f>
        <v>69024</v>
      </c>
      <c r="G560" s="289">
        <f>VLOOKUP($A560,K0kommunestruktur2019!$A$4:$N$425,K0kommunestruktur2020!G$3,FALSE)</f>
        <v>3272</v>
      </c>
      <c r="H560" s="177">
        <f>VLOOKUP($A560,K0kommunestruktur2019!$A$4:$N$425,K0kommunestruktur2020!H$3,FALSE)</f>
        <v>71526</v>
      </c>
      <c r="I560" s="289">
        <f>VLOOKUP($A560,K0kommunestruktur2019!$A$4:$N$425,K0kommunestruktur2020!I$3,FALSE)</f>
        <v>3263</v>
      </c>
      <c r="J560" s="177">
        <f>VLOOKUP($A560,K0kommunestruktur2019!$A$4:$N$425,K0kommunestruktur2020!J$3,FALSE)</f>
        <v>77982</v>
      </c>
      <c r="K560" s="289">
        <f>VLOOKUP($A560,K0kommunestruktur2019!$A$4:$N$425,K0kommunestruktur2020!K$3,FALSE)</f>
        <v>3277</v>
      </c>
      <c r="L560" s="177">
        <f>VLOOKUP($A560,K0kommunestruktur2019!$A$4:$N$425,K0kommunestruktur2020!L$3,FALSE)</f>
        <v>84883</v>
      </c>
      <c r="M560" s="289">
        <f>VLOOKUP($A560,K0kommunestruktur2019!$A$4:$N$425,K0kommunestruktur2020!M$3,FALSE)</f>
        <v>3340</v>
      </c>
      <c r="N560" s="177">
        <f>VLOOKUP($A560,K0kommunestruktur2019!$A$4:$N$425,K0kommunestruktur2020!N$3,FALSE)</f>
        <v>88086</v>
      </c>
    </row>
    <row r="561" spans="1:15" ht="13">
      <c r="A561" s="1">
        <v>5019</v>
      </c>
      <c r="B561" s="2" t="s">
        <v>128</v>
      </c>
      <c r="C561" s="290">
        <f>VLOOKUP($A561,K0kommunestruktur2019!$A$4:$N$425,K0kommunestruktur2020!C$3,FALSE)</f>
        <v>986</v>
      </c>
      <c r="D561" s="177">
        <f>VLOOKUP($A561,K0kommunestruktur2019!$A$4:$N$425,K0kommunestruktur2020!D$3,FALSE)</f>
        <v>16409</v>
      </c>
      <c r="E561" s="289">
        <f>VLOOKUP($A561,K0kommunestruktur2019!$A$4:$N$425,K0kommunestruktur2020!E$3,FALSE)</f>
        <v>977</v>
      </c>
      <c r="F561" s="177">
        <f>VLOOKUP($A561,K0kommunestruktur2019!$A$4:$N$425,K0kommunestruktur2020!F$3,FALSE)</f>
        <v>17958</v>
      </c>
      <c r="G561" s="289">
        <f>VLOOKUP($A561,K0kommunestruktur2019!$A$4:$N$425,K0kommunestruktur2020!G$3,FALSE)</f>
        <v>961</v>
      </c>
      <c r="H561" s="177">
        <f>VLOOKUP($A561,K0kommunestruktur2019!$A$4:$N$425,K0kommunestruktur2020!H$3,FALSE)</f>
        <v>20232</v>
      </c>
      <c r="I561" s="289">
        <f>VLOOKUP($A561,K0kommunestruktur2019!$A$4:$N$425,K0kommunestruktur2020!I$3,FALSE)</f>
        <v>959</v>
      </c>
      <c r="J561" s="177">
        <f>VLOOKUP($A561,K0kommunestruktur2019!$A$4:$N$425,K0kommunestruktur2020!J$3,FALSE)</f>
        <v>20395</v>
      </c>
      <c r="K561" s="289">
        <f>VLOOKUP($A561,K0kommunestruktur2019!$A$4:$N$425,K0kommunestruktur2020!K$3,FALSE)</f>
        <v>953</v>
      </c>
      <c r="L561" s="177">
        <f>VLOOKUP($A561,K0kommunestruktur2019!$A$4:$N$425,K0kommunestruktur2020!L$3,FALSE)</f>
        <v>20843</v>
      </c>
      <c r="M561" s="289">
        <f>VLOOKUP($A561,K0kommunestruktur2019!$A$4:$N$425,K0kommunestruktur2020!M$3,FALSE)</f>
        <v>957</v>
      </c>
      <c r="N561" s="177">
        <f>VLOOKUP($A561,K0kommunestruktur2019!$A$4:$N$425,K0kommunestruktur2020!N$3,FALSE)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VLOOKUP($A563,K0kommunestruktur2019!$A$4:$N$425,K0kommunestruktur2020!C$3,FALSE)</f>
        <v>1744</v>
      </c>
      <c r="D563" s="177">
        <f>VLOOKUP($A563,K0kommunestruktur2019!$A$4:$N$425,K0kommunestruktur2020!D$3,FALSE)</f>
        <v>32042</v>
      </c>
      <c r="E563" s="289">
        <f>VLOOKUP($A563,K0kommunestruktur2019!$A$4:$N$425,K0kommunestruktur2020!E$3,FALSE)</f>
        <v>1770</v>
      </c>
      <c r="F563" s="177">
        <f>VLOOKUP($A563,K0kommunestruktur2019!$A$4:$N$425,K0kommunestruktur2020!F$3,FALSE)</f>
        <v>32908</v>
      </c>
      <c r="G563" s="289">
        <f>VLOOKUP($A563,K0kommunestruktur2019!$A$4:$N$425,K0kommunestruktur2020!G$3,FALSE)</f>
        <v>1733</v>
      </c>
      <c r="H563" s="177">
        <f>VLOOKUP($A563,K0kommunestruktur2019!$A$4:$N$425,K0kommunestruktur2020!H$3,FALSE)</f>
        <v>34554</v>
      </c>
      <c r="I563" s="289">
        <f>VLOOKUP($A563,K0kommunestruktur2019!$A$4:$N$425,K0kommunestruktur2020!I$3,FALSE)</f>
        <v>1711</v>
      </c>
      <c r="J563" s="177">
        <f>VLOOKUP($A563,K0kommunestruktur2019!$A$4:$N$425,K0kommunestruktur2020!J$3,FALSE)</f>
        <v>37227</v>
      </c>
      <c r="K563" s="289">
        <f>VLOOKUP($A563,K0kommunestruktur2019!$A$4:$N$425,K0kommunestruktur2020!K$3,FALSE)</f>
        <v>1684</v>
      </c>
      <c r="L563" s="177">
        <f>VLOOKUP($A563,K0kommunestruktur2019!$A$4:$N$425,K0kommunestruktur2020!L$3,FALSE)</f>
        <v>36630</v>
      </c>
      <c r="M563" s="289">
        <f>VLOOKUP($A563,K0kommunestruktur2019!$A$4:$N$425,K0kommunestruktur2020!M$3,FALSE)</f>
        <v>1693</v>
      </c>
      <c r="N563" s="177">
        <f>VLOOKUP($A563,K0kommunestruktur2019!$A$4:$N$425,K0kommunestruktur2020!N$3,FALSE)</f>
        <v>39471</v>
      </c>
    </row>
    <row r="564" spans="1:15" ht="13">
      <c r="A564" s="1">
        <v>5023</v>
      </c>
      <c r="B564" s="2" t="s">
        <v>132</v>
      </c>
      <c r="C564" s="290">
        <f>VLOOKUP($A564,K0kommunestruktur2019!$A$4:$N$425,K0kommunestruktur2020!C$3,FALSE)</f>
        <v>3962</v>
      </c>
      <c r="D564" s="177">
        <f>VLOOKUP($A564,K0kommunestruktur2019!$A$4:$N$425,K0kommunestruktur2020!D$3,FALSE)</f>
        <v>73276</v>
      </c>
      <c r="E564" s="289">
        <f>VLOOKUP($A564,K0kommunestruktur2019!$A$4:$N$425,K0kommunestruktur2020!E$3,FALSE)</f>
        <v>3967</v>
      </c>
      <c r="F564" s="177">
        <f>VLOOKUP($A564,K0kommunestruktur2019!$A$4:$N$425,K0kommunestruktur2020!F$3,FALSE)</f>
        <v>76287</v>
      </c>
      <c r="G564" s="289">
        <f>VLOOKUP($A564,K0kommunestruktur2019!$A$4:$N$425,K0kommunestruktur2020!G$3,FALSE)</f>
        <v>3954</v>
      </c>
      <c r="H564" s="177">
        <f>VLOOKUP($A564,K0kommunestruktur2019!$A$4:$N$425,K0kommunestruktur2020!H$3,FALSE)</f>
        <v>89225</v>
      </c>
      <c r="I564" s="289">
        <f>VLOOKUP($A564,K0kommunestruktur2019!$A$4:$N$425,K0kommunestruktur2020!I$3,FALSE)</f>
        <v>3960</v>
      </c>
      <c r="J564" s="177">
        <f>VLOOKUP($A564,K0kommunestruktur2019!$A$4:$N$425,K0kommunestruktur2020!J$3,FALSE)</f>
        <v>89846</v>
      </c>
      <c r="K564" s="289">
        <f>VLOOKUP($A564,K0kommunestruktur2019!$A$4:$N$425,K0kommunestruktur2020!K$3,FALSE)</f>
        <v>3930</v>
      </c>
      <c r="L564" s="177">
        <f>VLOOKUP($A564,K0kommunestruktur2019!$A$4:$N$425,K0kommunestruktur2020!L$3,FALSE)</f>
        <v>88373</v>
      </c>
      <c r="M564" s="289">
        <f>VLOOKUP($A564,K0kommunestruktur2019!$A$4:$N$425,K0kommunestruktur2020!M$3,FALSE)</f>
        <v>3905</v>
      </c>
      <c r="N564" s="177">
        <f>VLOOKUP($A564,K0kommunestruktur2019!$A$4:$N$425,K0kommunestruktur2020!N$3,FALSE)</f>
        <v>94349</v>
      </c>
    </row>
    <row r="565" spans="1:15" ht="13">
      <c r="A565" s="1">
        <v>5024</v>
      </c>
      <c r="B565" s="2" t="s">
        <v>133</v>
      </c>
      <c r="C565" s="290">
        <f>VLOOKUP($A565,K0kommunestruktur2019!$A$4:$N$425,K0kommunestruktur2020!C$3,FALSE)</f>
        <v>11628</v>
      </c>
      <c r="D565" s="177">
        <f>VLOOKUP($A565,K0kommunestruktur2019!$A$4:$N$425,K0kommunestruktur2020!D$3,FALSE)</f>
        <v>234704</v>
      </c>
      <c r="E565" s="289">
        <f>VLOOKUP($A565,K0kommunestruktur2019!$A$4:$N$425,K0kommunestruktur2020!E$3,FALSE)</f>
        <v>11722</v>
      </c>
      <c r="F565" s="177">
        <f>VLOOKUP($A565,K0kommunestruktur2019!$A$4:$N$425,K0kommunestruktur2020!F$3,FALSE)</f>
        <v>250084</v>
      </c>
      <c r="G565" s="289">
        <f>VLOOKUP($A565,K0kommunestruktur2019!$A$4:$N$425,K0kommunestruktur2020!G$3,FALSE)</f>
        <v>11779</v>
      </c>
      <c r="H565" s="177">
        <f>VLOOKUP($A565,K0kommunestruktur2019!$A$4:$N$425,K0kommunestruktur2020!H$3,FALSE)</f>
        <v>269668</v>
      </c>
      <c r="I565" s="289">
        <f>VLOOKUP($A565,K0kommunestruktur2019!$A$4:$N$425,K0kommunestruktur2020!I$3,FALSE)</f>
        <v>11891</v>
      </c>
      <c r="J565" s="177">
        <f>VLOOKUP($A565,K0kommunestruktur2019!$A$4:$N$425,K0kommunestruktur2020!J$3,FALSE)</f>
        <v>279573</v>
      </c>
      <c r="K565" s="289">
        <f>VLOOKUP($A565,K0kommunestruktur2019!$A$4:$N$425,K0kommunestruktur2020!K$3,FALSE)</f>
        <v>11933</v>
      </c>
      <c r="L565" s="177">
        <f>VLOOKUP($A565,K0kommunestruktur2019!$A$4:$N$425,K0kommunestruktur2020!L$3,FALSE)</f>
        <v>289138</v>
      </c>
      <c r="M565" s="289">
        <f>VLOOKUP($A565,K0kommunestruktur2019!$A$4:$N$425,K0kommunestruktur2020!M$3,FALSE)</f>
        <v>12086</v>
      </c>
      <c r="N565" s="177">
        <f>VLOOKUP($A565,K0kommunestruktur2019!$A$4:$N$425,K0kommunestruktur2020!N$3,FALSE)</f>
        <v>309448</v>
      </c>
    </row>
    <row r="566" spans="1:15" ht="13">
      <c r="A566" s="1">
        <v>5012</v>
      </c>
      <c r="B566" s="894" t="s">
        <v>1768</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(467/VLOOKUP($A566,K0kommunestruktur2019!$A$4:$N$425,13,FALSE))*VLOOKUP($A566,K0kommunestruktur2019!$A$4:$N$425,K0kommunestruktur2020!M$3,FALSE)</f>
        <v>467</v>
      </c>
      <c r="N566" s="177">
        <f>K0kommunestruktur2019!N346*$M566/($M550+$M554+$M566)</f>
        <v>13473.347347347348</v>
      </c>
    </row>
    <row r="567" spans="1:15" ht="13">
      <c r="A567" s="1"/>
      <c r="B567" s="885" t="s">
        <v>1839</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VLOOKUP($A569,K0kommunestruktur2019!$A$4:$N$425,K0kommunestruktur2020!C$3,FALSE)</f>
        <v>4321</v>
      </c>
      <c r="D569" s="177">
        <f>VLOOKUP($A569,K0kommunestruktur2019!$A$4:$N$425,K0kommunestruktur2020!D$3,FALSE)</f>
        <v>88579</v>
      </c>
      <c r="E569" s="289">
        <f>VLOOKUP($A569,K0kommunestruktur2019!$A$4:$N$425,K0kommunestruktur2020!E$3,FALSE)</f>
        <v>4363</v>
      </c>
      <c r="F569" s="177">
        <f>VLOOKUP($A569,K0kommunestruktur2019!$A$4:$N$425,K0kommunestruktur2020!F$3,FALSE)</f>
        <v>94283</v>
      </c>
      <c r="G569" s="289">
        <f>VLOOKUP($A569,K0kommunestruktur2019!$A$4:$N$425,K0kommunestruktur2020!G$3,FALSE)</f>
        <v>4387</v>
      </c>
      <c r="H569" s="177">
        <f>VLOOKUP($A569,K0kommunestruktur2019!$A$4:$N$425,K0kommunestruktur2020!H$3,FALSE)</f>
        <v>107429</v>
      </c>
      <c r="I569" s="289">
        <f>VLOOKUP($A569,K0kommunestruktur2019!$A$4:$N$425,K0kommunestruktur2020!I$3,FALSE)</f>
        <v>4418</v>
      </c>
      <c r="J569" s="177">
        <f>VLOOKUP($A569,K0kommunestruktur2019!$A$4:$N$425,K0kommunestruktur2020!J$3,FALSE)</f>
        <v>116736</v>
      </c>
      <c r="K569" s="289">
        <f>VLOOKUP($A569,K0kommunestruktur2019!$A$4:$N$425,K0kommunestruktur2020!K$3,FALSE)</f>
        <v>4492</v>
      </c>
      <c r="L569" s="177">
        <f>VLOOKUP($A569,K0kommunestruktur2019!$A$4:$N$425,K0kommunestruktur2020!L$3,FALSE)</f>
        <v>127124</v>
      </c>
      <c r="M569" s="289">
        <f>VLOOKUP($A569,K0kommunestruktur2019!$A$4:$N$425,K0kommunestruktur2020!M$3,FALSE)</f>
        <v>4578</v>
      </c>
      <c r="N569" s="177">
        <f>VLOOKUP($A569,K0kommunestruktur2019!$A$4:$N$425,K0kommunestruktur2020!N$3,FALSE)</f>
        <v>143383</v>
      </c>
    </row>
    <row r="570" spans="1:15" ht="13">
      <c r="A570" s="1">
        <v>5051</v>
      </c>
      <c r="B570" s="2" t="s">
        <v>172</v>
      </c>
      <c r="C570" s="290">
        <f>VLOOKUP($A570,K0kommunestruktur2019!$A$4:$N$425,K0kommunestruktur2020!C$3,FALSE)</f>
        <v>5064</v>
      </c>
      <c r="D570" s="177">
        <f>VLOOKUP($A570,K0kommunestruktur2019!$A$4:$N$425,K0kommunestruktur2020!D$3,FALSE)</f>
        <v>95834</v>
      </c>
      <c r="E570" s="289">
        <f>VLOOKUP($A570,K0kommunestruktur2019!$A$4:$N$425,K0kommunestruktur2020!E$3,FALSE)</f>
        <v>5081</v>
      </c>
      <c r="F570" s="177">
        <f>VLOOKUP($A570,K0kommunestruktur2019!$A$4:$N$425,K0kommunestruktur2020!F$3,FALSE)</f>
        <v>100302</v>
      </c>
      <c r="G570" s="289">
        <f>VLOOKUP($A570,K0kommunestruktur2019!$A$4:$N$425,K0kommunestruktur2020!G$3,FALSE)</f>
        <v>5126</v>
      </c>
      <c r="H570" s="177">
        <f>VLOOKUP($A570,K0kommunestruktur2019!$A$4:$N$425,K0kommunestruktur2020!H$3,FALSE)</f>
        <v>110312</v>
      </c>
      <c r="I570" s="289">
        <f>VLOOKUP($A570,K0kommunestruktur2019!$A$4:$N$425,K0kommunestruktur2020!I$3,FALSE)</f>
        <v>5138</v>
      </c>
      <c r="J570" s="177">
        <f>VLOOKUP($A570,K0kommunestruktur2019!$A$4:$N$425,K0kommunestruktur2020!J$3,FALSE)</f>
        <v>115006</v>
      </c>
      <c r="K570" s="289">
        <f>VLOOKUP($A570,K0kommunestruktur2019!$A$4:$N$425,K0kommunestruktur2020!K$3,FALSE)</f>
        <v>5117</v>
      </c>
      <c r="L570" s="177">
        <f>VLOOKUP($A570,K0kommunestruktur2019!$A$4:$N$425,K0kommunestruktur2020!L$3,FALSE)</f>
        <v>125626</v>
      </c>
      <c r="M570" s="289">
        <f>VLOOKUP($A570,K0kommunestruktur2019!$A$4:$N$425,K0kommunestruktur2020!M$3,FALSE)</f>
        <v>5072</v>
      </c>
      <c r="N570" s="177">
        <f>VLOOKUP($A570,K0kommunestruktur2019!$A$4:$N$425,K0kommunestruktur2020!N$3,FALSE)</f>
        <v>131937</v>
      </c>
    </row>
    <row r="571" spans="1:15" ht="13">
      <c r="A571" s="1"/>
      <c r="B571" s="894" t="s">
        <v>1765</v>
      </c>
      <c r="C571" s="290">
        <f>ROUND(SUM(C569:C570)*$M571/SUM($M569:$M570),8)</f>
        <v>-49.599481869999998</v>
      </c>
      <c r="D571" s="177">
        <f>C571*(D569+D570)/(C569+C570)</f>
        <v>-974.61792755378895</v>
      </c>
      <c r="E571" s="289">
        <f>ROUND(SUM(E569:E570)*$M571/SUM($M569:$M570),8)</f>
        <v>-49.911295340000002</v>
      </c>
      <c r="F571" s="912">
        <f>E571*(F569+F570)/(E569+E570)</f>
        <v>-1028.3766840040132</v>
      </c>
      <c r="G571" s="289">
        <f>ROUND(SUM(G569:G570)*$M571/SUM($M569:$M570),8)</f>
        <v>-50.275958549999999</v>
      </c>
      <c r="H571" s="177">
        <f>G571*(H569+H570)/(G569+G570)</f>
        <v>-1150.75554405924</v>
      </c>
      <c r="I571" s="289">
        <f>ROUND(SUM(I569:I570)*$M571/SUM($M569:$M570),8)</f>
        <v>-50.503212439999999</v>
      </c>
      <c r="J571" s="177">
        <f>I571*(J569+J570)/(I569+I570)</f>
        <v>-1224.7504664368437</v>
      </c>
      <c r="K571" s="289">
        <f>ROUND(SUM(K569:K570)*$M571/SUM($M569:$M570),8)</f>
        <v>-50.783316059999997</v>
      </c>
      <c r="L571" s="177">
        <f>K571*(L569+L570)/(K569+K570)</f>
        <v>-1335.7772020152981</v>
      </c>
      <c r="M571" s="289">
        <v>-51</v>
      </c>
      <c r="N571" s="177">
        <f>M571*(N569+N570)/(M569+M570)</f>
        <v>-1455.059067357513</v>
      </c>
    </row>
    <row r="572" spans="1:15" ht="13">
      <c r="A572" s="1"/>
      <c r="B572" s="885" t="s">
        <v>1839</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1234</v>
      </c>
      <c r="C574" s="290">
        <f>VLOOKUP($A574,K0kommunestruktur2019!$A$4:$N$425,K0kommunestruktur2020!C$3,FALSE)</f>
        <v>10201</v>
      </c>
      <c r="D574" s="177">
        <f>VLOOKUP($A574,K0kommunestruktur2019!$A$4:$N$425,K0kommunestruktur2020!D$3,FALSE)</f>
        <v>181997</v>
      </c>
      <c r="E574" s="289">
        <f>VLOOKUP($A574,K0kommunestruktur2019!$A$4:$N$425,K0kommunestruktur2020!E$3,FALSE)</f>
        <v>10182</v>
      </c>
      <c r="F574" s="177">
        <f>VLOOKUP($A574,K0kommunestruktur2019!$A$4:$N$425,K0kommunestruktur2020!F$3,FALSE)</f>
        <v>192147</v>
      </c>
      <c r="G574" s="289">
        <f>VLOOKUP($A574,K0kommunestruktur2019!$A$4:$N$425,K0kommunestruktur2020!G$3,FALSE)</f>
        <v>10175</v>
      </c>
      <c r="H574" s="177">
        <f>VLOOKUP($A574,K0kommunestruktur2019!$A$4:$N$425,K0kommunestruktur2020!H$3,FALSE)</f>
        <v>205952</v>
      </c>
      <c r="I574" s="289">
        <f>VLOOKUP($A574,K0kommunestruktur2019!$A$4:$N$425,K0kommunestruktur2020!I$3,FALSE)</f>
        <v>10108</v>
      </c>
      <c r="J574" s="177">
        <f>VLOOKUP($A574,K0kommunestruktur2019!$A$4:$N$425,K0kommunestruktur2020!J$3,FALSE)</f>
        <v>216377</v>
      </c>
      <c r="K574" s="289">
        <f>VLOOKUP($A574,K0kommunestruktur2019!$A$4:$N$425,K0kommunestruktur2020!K$3,FALSE)</f>
        <v>10090</v>
      </c>
      <c r="L574" s="177">
        <f>VLOOKUP($A574,K0kommunestruktur2019!$A$4:$N$425,K0kommunestruktur2020!L$3,FALSE)</f>
        <v>227993</v>
      </c>
      <c r="M574" s="289">
        <f>VLOOKUP($A574,K0kommunestruktur2019!$A$4:$N$425,K0kommunestruktur2020!M$3,FALSE)</f>
        <v>9988</v>
      </c>
      <c r="N574" s="177">
        <f>VLOOKUP($A574,K0kommunestruktur2019!$A$4:$N$425,K0kommunestruktur2020!N$3,FALSE)</f>
        <v>231891</v>
      </c>
      <c r="O574" s="177"/>
    </row>
    <row r="575" spans="1:15" ht="13">
      <c r="A575" s="1"/>
      <c r="B575" s="894" t="s">
        <v>1761</v>
      </c>
      <c r="C575" s="290">
        <f>ROUND(C574*$M575/$M574,8)</f>
        <v>68.428814579999994</v>
      </c>
      <c r="D575" s="177">
        <f>+C575*D574/C574</f>
        <v>1220.8449139414038</v>
      </c>
      <c r="E575" s="289">
        <f>ROUND(E574*$M575/$M574,8)</f>
        <v>68.301361630000002</v>
      </c>
      <c r="F575" s="912">
        <f>+E575*F574/E574</f>
        <v>1288.9316178667855</v>
      </c>
      <c r="G575" s="289">
        <f>ROUND(G574*$M575/$M574,8)</f>
        <v>68.254405289999994</v>
      </c>
      <c r="H575" s="177">
        <f>+G575*H574/G574</f>
        <v>1381.5362435661993</v>
      </c>
      <c r="I575" s="289">
        <f>ROUND(I574*$M575/$M574,8)</f>
        <v>67.804965960000004</v>
      </c>
      <c r="J575" s="177">
        <f>+I575*J574/I574</f>
        <v>1451.4676612116068</v>
      </c>
      <c r="K575" s="289">
        <f>ROUND(K574*$M575/$M574,8)</f>
        <v>67.684221070000007</v>
      </c>
      <c r="L575" s="177">
        <f>+K575*L574/K574</f>
        <v>1529.3883661459377</v>
      </c>
      <c r="M575" s="289">
        <f t="shared" ref="M575" si="65">-M540</f>
        <v>67</v>
      </c>
      <c r="N575" s="177">
        <f>+M575*N574/M574</f>
        <v>1555.5363436123348</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VLOOKUP($A577,K0kommunestruktur2019!$A$4:$N$425,K0kommunestruktur2020!C$3,FALSE)</f>
        <v>10287</v>
      </c>
      <c r="D577" s="177">
        <f>VLOOKUP($A577,K0kommunestruktur2019!$A$4:$N$425,K0kommunestruktur2020!D$3,FALSE)</f>
        <v>251640</v>
      </c>
      <c r="E577" s="289">
        <f>VLOOKUP($A577,K0kommunestruktur2019!$A$4:$N$425,K0kommunestruktur2020!E$3,FALSE)</f>
        <v>10417</v>
      </c>
      <c r="F577" s="177">
        <f>VLOOKUP($A577,K0kommunestruktur2019!$A$4:$N$425,K0kommunestruktur2020!F$3,FALSE)</f>
        <v>271230</v>
      </c>
      <c r="G577" s="289">
        <f>VLOOKUP($A577,K0kommunestruktur2019!$A$4:$N$425,K0kommunestruktur2020!G$3,FALSE)</f>
        <v>10455</v>
      </c>
      <c r="H577" s="177">
        <f>VLOOKUP($A577,K0kommunestruktur2019!$A$4:$N$425,K0kommunestruktur2020!H$3,FALSE)</f>
        <v>280198</v>
      </c>
      <c r="I577" s="289">
        <f>VLOOKUP($A577,K0kommunestruktur2019!$A$4:$N$425,K0kommunestruktur2020!I$3,FALSE)</f>
        <v>10527</v>
      </c>
      <c r="J577" s="177">
        <f>VLOOKUP($A577,K0kommunestruktur2019!$A$4:$N$425,K0kommunestruktur2020!J$3,FALSE)</f>
        <v>292967</v>
      </c>
      <c r="K577" s="289">
        <f>VLOOKUP($A577,K0kommunestruktur2019!$A$4:$N$425,K0kommunestruktur2020!K$3,FALSE)</f>
        <v>10533</v>
      </c>
      <c r="L577" s="177">
        <f>VLOOKUP($A577,K0kommunestruktur2019!$A$4:$N$425,K0kommunestruktur2020!L$3,FALSE)</f>
        <v>303061</v>
      </c>
      <c r="M577" s="289">
        <f>VLOOKUP($A577,K0kommunestruktur2019!$A$4:$N$425,K0kommunestruktur2020!M$3,FALSE)</f>
        <v>10536</v>
      </c>
      <c r="N577" s="177">
        <f>VLOOKUP($A577,K0kommunestruktur2019!$A$4:$N$425,K0kommunestruktur2020!N$3,FALSE)</f>
        <v>316078</v>
      </c>
    </row>
    <row r="578" spans="1:14" ht="13">
      <c r="A578" s="1">
        <v>2017</v>
      </c>
      <c r="B578" s="2" t="s">
        <v>248</v>
      </c>
      <c r="C578" s="290">
        <f>VLOOKUP($A578,K0kommunestruktur2019!$A$4:$N$425,K0kommunestruktur2020!C$3,FALSE)</f>
        <v>1051</v>
      </c>
      <c r="D578" s="177">
        <f>VLOOKUP($A578,K0kommunestruktur2019!$A$4:$N$425,K0kommunestruktur2020!D$3,FALSE)</f>
        <v>20929</v>
      </c>
      <c r="E578" s="289">
        <f>VLOOKUP($A578,K0kommunestruktur2019!$A$4:$N$425,K0kommunestruktur2020!E$3,FALSE)</f>
        <v>1049</v>
      </c>
      <c r="F578" s="177">
        <f>VLOOKUP($A578,K0kommunestruktur2019!$A$4:$N$425,K0kommunestruktur2020!F$3,FALSE)</f>
        <v>22878</v>
      </c>
      <c r="G578" s="289">
        <f>VLOOKUP($A578,K0kommunestruktur2019!$A$4:$N$425,K0kommunestruktur2020!G$3,FALSE)</f>
        <v>1035</v>
      </c>
      <c r="H578" s="177">
        <f>VLOOKUP($A578,K0kommunestruktur2019!$A$4:$N$425,K0kommunestruktur2020!H$3,FALSE)</f>
        <v>22431</v>
      </c>
      <c r="I578" s="289">
        <f>VLOOKUP($A578,K0kommunestruktur2019!$A$4:$N$425,K0kommunestruktur2020!I$3,FALSE)</f>
        <v>1027</v>
      </c>
      <c r="J578" s="177">
        <f>VLOOKUP($A578,K0kommunestruktur2019!$A$4:$N$425,K0kommunestruktur2020!J$3,FALSE)</f>
        <v>24854</v>
      </c>
      <c r="K578" s="289">
        <f>VLOOKUP($A578,K0kommunestruktur2019!$A$4:$N$425,K0kommunestruktur2020!K$3,FALSE)</f>
        <v>1027</v>
      </c>
      <c r="L578" s="177">
        <f>VLOOKUP($A578,K0kommunestruktur2019!$A$4:$N$425,K0kommunestruktur2020!L$3,FALSE)</f>
        <v>24465</v>
      </c>
      <c r="M578" s="289">
        <f>VLOOKUP($A578,K0kommunestruktur2019!$A$4:$N$425,K0kommunestruktur2020!M$3,FALSE)</f>
        <v>988</v>
      </c>
      <c r="N578" s="177">
        <f>VLOOKUP($A578,K0kommunestruktur2019!$A$4:$N$425,K0kommunestruktur2020!N$3,FALSE)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VLOOKUP($A580,K0kommunestruktur2019!$A$4:$N$425,K0kommunestruktur2020!C$3,FALSE)</f>
        <v>1256</v>
      </c>
      <c r="D580" s="177">
        <f>VLOOKUP($A580,K0kommunestruktur2019!$A$4:$N$425,K0kommunestruktur2020!D$3,FALSE)</f>
        <v>22423</v>
      </c>
      <c r="E580" s="289">
        <f>VLOOKUP($A580,K0kommunestruktur2019!$A$4:$N$425,K0kommunestruktur2020!E$3,FALSE)</f>
        <v>1280</v>
      </c>
      <c r="F580" s="177">
        <f>VLOOKUP($A580,K0kommunestruktur2019!$A$4:$N$425,K0kommunestruktur2020!F$3,FALSE)</f>
        <v>24602</v>
      </c>
      <c r="G580" s="289">
        <f>VLOOKUP($A580,K0kommunestruktur2019!$A$4:$N$425,K0kommunestruktur2020!G$3,FALSE)</f>
        <v>1283</v>
      </c>
      <c r="H580" s="177">
        <f>VLOOKUP($A580,K0kommunestruktur2019!$A$4:$N$425,K0kommunestruktur2020!H$3,FALSE)</f>
        <v>26174</v>
      </c>
      <c r="I580" s="289">
        <f>VLOOKUP($A580,K0kommunestruktur2019!$A$4:$N$425,K0kommunestruktur2020!I$3,FALSE)</f>
        <v>1252</v>
      </c>
      <c r="J580" s="177">
        <f>VLOOKUP($A580,K0kommunestruktur2019!$A$4:$N$425,K0kommunestruktur2020!J$3,FALSE)</f>
        <v>26001</v>
      </c>
      <c r="K580" s="289">
        <f>VLOOKUP($A580,K0kommunestruktur2019!$A$4:$N$425,K0kommunestruktur2020!K$3,FALSE)</f>
        <v>1259</v>
      </c>
      <c r="L580" s="177">
        <f>VLOOKUP($A580,K0kommunestruktur2019!$A$4:$N$425,K0kommunestruktur2020!L$3,FALSE)</f>
        <v>26955</v>
      </c>
      <c r="M580" s="289">
        <f>VLOOKUP($A580,K0kommunestruktur2019!$A$4:$N$425,K0kommunestruktur2020!M$3,FALSE)</f>
        <v>1259</v>
      </c>
      <c r="N580" s="177">
        <f>VLOOKUP($A580,K0kommunestruktur2019!$A$4:$N$425,K0kommunestruktur2020!N$3,FALSE)</f>
        <v>27623</v>
      </c>
    </row>
    <row r="581" spans="1:14" ht="13">
      <c r="A581" s="1">
        <v>1913</v>
      </c>
      <c r="B581" s="2" t="s">
        <v>219</v>
      </c>
      <c r="C581" s="290">
        <f>VLOOKUP($A581,K0kommunestruktur2019!$A$4:$N$425,K0kommunestruktur2020!C$3,FALSE)</f>
        <v>2951</v>
      </c>
      <c r="D581" s="177">
        <f>VLOOKUP($A581,K0kommunestruktur2019!$A$4:$N$425,K0kommunestruktur2020!D$3,FALSE)</f>
        <v>55617</v>
      </c>
      <c r="E581" s="289">
        <f>VLOOKUP($A581,K0kommunestruktur2019!$A$4:$N$425,K0kommunestruktur2020!E$3,FALSE)</f>
        <v>2988</v>
      </c>
      <c r="F581" s="177">
        <f>VLOOKUP($A581,K0kommunestruktur2019!$A$4:$N$425,K0kommunestruktur2020!F$3,FALSE)</f>
        <v>61208</v>
      </c>
      <c r="G581" s="289">
        <f>VLOOKUP($A581,K0kommunestruktur2019!$A$4:$N$425,K0kommunestruktur2020!G$3,FALSE)</f>
        <v>3041</v>
      </c>
      <c r="H581" s="177">
        <f>VLOOKUP($A581,K0kommunestruktur2019!$A$4:$N$425,K0kommunestruktur2020!H$3,FALSE)</f>
        <v>66151</v>
      </c>
      <c r="I581" s="289">
        <f>VLOOKUP($A581,K0kommunestruktur2019!$A$4:$N$425,K0kommunestruktur2020!I$3,FALSE)</f>
        <v>3048</v>
      </c>
      <c r="J581" s="177">
        <f>VLOOKUP($A581,K0kommunestruktur2019!$A$4:$N$425,K0kommunestruktur2020!J$3,FALSE)</f>
        <v>70391</v>
      </c>
      <c r="K581" s="289">
        <f>VLOOKUP($A581,K0kommunestruktur2019!$A$4:$N$425,K0kommunestruktur2020!K$3,FALSE)</f>
        <v>2994</v>
      </c>
      <c r="L581" s="177">
        <f>VLOOKUP($A581,K0kommunestruktur2019!$A$4:$N$425,K0kommunestruktur2020!L$3,FALSE)</f>
        <v>69865</v>
      </c>
      <c r="M581" s="289">
        <f>VLOOKUP($A581,K0kommunestruktur2019!$A$4:$N$425,K0kommunestruktur2020!M$3,FALSE)</f>
        <v>3009</v>
      </c>
      <c r="N581" s="177">
        <f>VLOOKUP($A581,K0kommunestruktur2019!$A$4:$N$425,K0kommunestruktur2020!N$3,FALSE)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VLOOKUP($A583,K0kommunestruktur2019!$A$4:$N$425,K0kommunestruktur2020!C$3,FALSE)</f>
        <v>1510</v>
      </c>
      <c r="D583" s="177">
        <f>VLOOKUP($A583,K0kommunestruktur2019!$A$4:$N$425,K0kommunestruktur2020!D$3,FALSE)</f>
        <v>26039</v>
      </c>
      <c r="E583" s="289">
        <f>VLOOKUP($A583,K0kommunestruktur2019!$A$4:$N$425,K0kommunestruktur2020!E$3,FALSE)</f>
        <v>1544</v>
      </c>
      <c r="F583" s="177">
        <f>VLOOKUP($A583,K0kommunestruktur2019!$A$4:$N$425,K0kommunestruktur2020!F$3,FALSE)</f>
        <v>27648</v>
      </c>
      <c r="G583" s="289">
        <f>VLOOKUP($A583,K0kommunestruktur2019!$A$4:$N$425,K0kommunestruktur2020!G$3,FALSE)</f>
        <v>1543</v>
      </c>
      <c r="H583" s="177">
        <f>VLOOKUP($A583,K0kommunestruktur2019!$A$4:$N$425,K0kommunestruktur2020!H$3,FALSE)</f>
        <v>30589</v>
      </c>
      <c r="I583" s="289">
        <f>VLOOKUP($A583,K0kommunestruktur2019!$A$4:$N$425,K0kommunestruktur2020!I$3,FALSE)</f>
        <v>1540</v>
      </c>
      <c r="J583" s="177">
        <f>VLOOKUP($A583,K0kommunestruktur2019!$A$4:$N$425,K0kommunestruktur2020!J$3,FALSE)</f>
        <v>31694</v>
      </c>
      <c r="K583" s="289">
        <f>VLOOKUP($A583,K0kommunestruktur2019!$A$4:$N$425,K0kommunestruktur2020!K$3,FALSE)</f>
        <v>1536</v>
      </c>
      <c r="L583" s="177">
        <f>VLOOKUP($A583,K0kommunestruktur2019!$A$4:$N$425,K0kommunestruktur2020!L$3,FALSE)</f>
        <v>32458</v>
      </c>
      <c r="M583" s="289">
        <f>VLOOKUP($A583,K0kommunestruktur2019!$A$4:$N$425,K0kommunestruktur2020!M$3,FALSE)</f>
        <v>1513</v>
      </c>
      <c r="N583" s="177">
        <f>VLOOKUP($A583,K0kommunestruktur2019!$A$4:$N$425,K0kommunestruktur2020!N$3,FALSE)</f>
        <v>34453</v>
      </c>
    </row>
    <row r="584" spans="1:14" ht="13">
      <c r="A584" s="1">
        <v>1928</v>
      </c>
      <c r="B584" s="2" t="s">
        <v>230</v>
      </c>
      <c r="C584" s="290">
        <f>VLOOKUP($A584,K0kommunestruktur2019!$A$4:$N$425,K0kommunestruktur2020!C$3,FALSE)</f>
        <v>878</v>
      </c>
      <c r="D584" s="177">
        <f>VLOOKUP($A584,K0kommunestruktur2019!$A$4:$N$425,K0kommunestruktur2020!D$3,FALSE)</f>
        <v>16199</v>
      </c>
      <c r="E584" s="289">
        <f>VLOOKUP($A584,K0kommunestruktur2019!$A$4:$N$425,K0kommunestruktur2020!E$3,FALSE)</f>
        <v>884</v>
      </c>
      <c r="F584" s="177">
        <f>VLOOKUP($A584,K0kommunestruktur2019!$A$4:$N$425,K0kommunestruktur2020!F$3,FALSE)</f>
        <v>17440</v>
      </c>
      <c r="G584" s="289">
        <f>VLOOKUP($A584,K0kommunestruktur2019!$A$4:$N$425,K0kommunestruktur2020!G$3,FALSE)</f>
        <v>913</v>
      </c>
      <c r="H584" s="177">
        <f>VLOOKUP($A584,K0kommunestruktur2019!$A$4:$N$425,K0kommunestruktur2020!H$3,FALSE)</f>
        <v>18571</v>
      </c>
      <c r="I584" s="289">
        <f>VLOOKUP($A584,K0kommunestruktur2019!$A$4:$N$425,K0kommunestruktur2020!I$3,FALSE)</f>
        <v>921</v>
      </c>
      <c r="J584" s="177">
        <f>VLOOKUP($A584,K0kommunestruktur2019!$A$4:$N$425,K0kommunestruktur2020!J$3,FALSE)</f>
        <v>19159</v>
      </c>
      <c r="K584" s="289">
        <f>VLOOKUP($A584,K0kommunestruktur2019!$A$4:$N$425,K0kommunestruktur2020!K$3,FALSE)</f>
        <v>943</v>
      </c>
      <c r="L584" s="177">
        <f>VLOOKUP($A584,K0kommunestruktur2019!$A$4:$N$425,K0kommunestruktur2020!L$3,FALSE)</f>
        <v>21406</v>
      </c>
      <c r="M584" s="289">
        <f>VLOOKUP($A584,K0kommunestruktur2019!$A$4:$N$425,K0kommunestruktur2020!M$3,FALSE)</f>
        <v>931</v>
      </c>
      <c r="N584" s="177">
        <f>VLOOKUP($A584,K0kommunestruktur2019!$A$4:$N$425,K0kommunestruktur2020!N$3,FALSE)</f>
        <v>21142</v>
      </c>
    </row>
    <row r="585" spans="1:14" ht="13">
      <c r="A585" s="1">
        <v>1929</v>
      </c>
      <c r="B585" s="2" t="s">
        <v>231</v>
      </c>
      <c r="C585" s="290">
        <f>VLOOKUP($A585,K0kommunestruktur2019!$A$4:$N$425,K0kommunestruktur2020!C$3,FALSE)</f>
        <v>918</v>
      </c>
      <c r="D585" s="177">
        <f>VLOOKUP($A585,K0kommunestruktur2019!$A$4:$N$425,K0kommunestruktur2020!D$3,FALSE)</f>
        <v>18134</v>
      </c>
      <c r="E585" s="289">
        <f>VLOOKUP($A585,K0kommunestruktur2019!$A$4:$N$425,K0kommunestruktur2020!E$3,FALSE)</f>
        <v>905</v>
      </c>
      <c r="F585" s="177">
        <f>VLOOKUP($A585,K0kommunestruktur2019!$A$4:$N$425,K0kommunestruktur2020!F$3,FALSE)</f>
        <v>20611</v>
      </c>
      <c r="G585" s="289">
        <f>VLOOKUP($A585,K0kommunestruktur2019!$A$4:$N$425,K0kommunestruktur2020!G$3,FALSE)</f>
        <v>915</v>
      </c>
      <c r="H585" s="177">
        <f>VLOOKUP($A585,K0kommunestruktur2019!$A$4:$N$425,K0kommunestruktur2020!H$3,FALSE)</f>
        <v>21381</v>
      </c>
      <c r="I585" s="289">
        <f>VLOOKUP($A585,K0kommunestruktur2019!$A$4:$N$425,K0kommunestruktur2020!I$3,FALSE)</f>
        <v>914</v>
      </c>
      <c r="J585" s="177">
        <f>VLOOKUP($A585,K0kommunestruktur2019!$A$4:$N$425,K0kommunestruktur2020!J$3,FALSE)</f>
        <v>22587</v>
      </c>
      <c r="K585" s="289">
        <f>VLOOKUP($A585,K0kommunestruktur2019!$A$4:$N$425,K0kommunestruktur2020!K$3,FALSE)</f>
        <v>902</v>
      </c>
      <c r="L585" s="177">
        <f>VLOOKUP($A585,K0kommunestruktur2019!$A$4:$N$425,K0kommunestruktur2020!L$3,FALSE)</f>
        <v>23708</v>
      </c>
      <c r="M585" s="289">
        <f>VLOOKUP($A585,K0kommunestruktur2019!$A$4:$N$425,K0kommunestruktur2020!M$3,FALSE)</f>
        <v>888</v>
      </c>
      <c r="N585" s="177">
        <f>VLOOKUP($A585,K0kommunestruktur2019!$A$4:$N$425,K0kommunestruktur2020!N$3,FALSE)</f>
        <v>25764</v>
      </c>
    </row>
    <row r="586" spans="1:14" ht="13">
      <c r="A586" s="1">
        <v>1931</v>
      </c>
      <c r="B586" s="2" t="s">
        <v>232</v>
      </c>
      <c r="C586" s="290">
        <f>VLOOKUP($A586,K0kommunestruktur2019!$A$4:$N$425,K0kommunestruktur2020!C$3,FALSE)</f>
        <v>11557</v>
      </c>
      <c r="D586" s="177">
        <f>VLOOKUP($A586,K0kommunestruktur2019!$A$4:$N$425,K0kommunestruktur2020!D$3,FALSE)</f>
        <v>224957</v>
      </c>
      <c r="E586" s="289">
        <f>VLOOKUP($A586,K0kommunestruktur2019!$A$4:$N$425,K0kommunestruktur2020!E$3,FALSE)</f>
        <v>11535</v>
      </c>
      <c r="F586" s="177">
        <f>VLOOKUP($A586,K0kommunestruktur2019!$A$4:$N$425,K0kommunestruktur2020!F$3,FALSE)</f>
        <v>242479</v>
      </c>
      <c r="G586" s="289">
        <f>VLOOKUP($A586,K0kommunestruktur2019!$A$4:$N$425,K0kommunestruktur2020!G$3,FALSE)</f>
        <v>11618</v>
      </c>
      <c r="H586" s="177">
        <f>VLOOKUP($A586,K0kommunestruktur2019!$A$4:$N$425,K0kommunestruktur2020!H$3,FALSE)</f>
        <v>274230</v>
      </c>
      <c r="I586" s="289">
        <f>VLOOKUP($A586,K0kommunestruktur2019!$A$4:$N$425,K0kommunestruktur2020!I$3,FALSE)</f>
        <v>11697</v>
      </c>
      <c r="J586" s="177">
        <f>VLOOKUP($A586,K0kommunestruktur2019!$A$4:$N$425,K0kommunestruktur2020!J$3,FALSE)</f>
        <v>291981</v>
      </c>
      <c r="K586" s="289">
        <f>VLOOKUP($A586,K0kommunestruktur2019!$A$4:$N$425,K0kommunestruktur2020!K$3,FALSE)</f>
        <v>11644</v>
      </c>
      <c r="L586" s="177">
        <f>VLOOKUP($A586,K0kommunestruktur2019!$A$4:$N$425,K0kommunestruktur2020!L$3,FALSE)</f>
        <v>294637</v>
      </c>
      <c r="M586" s="289">
        <f>VLOOKUP($A586,K0kommunestruktur2019!$A$4:$N$425,K0kommunestruktur2020!M$3,FALSE)</f>
        <v>11679</v>
      </c>
      <c r="N586" s="177">
        <f>VLOOKUP($A586,K0kommunestruktur2019!$A$4:$N$425,K0kommunestruktur2020!N$3,FALSE)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1847</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1848</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1850</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1849</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1851</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1852</v>
      </c>
      <c r="C595" s="290"/>
      <c r="D595" s="177"/>
      <c r="E595" s="289"/>
      <c r="F595" s="177"/>
      <c r="G595" s="289"/>
      <c r="H595" s="177">
        <f t="shared" ref="H595"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1853</v>
      </c>
      <c r="C596" s="290"/>
      <c r="D596" s="177"/>
      <c r="E596" s="289"/>
      <c r="F596" s="177"/>
      <c r="G596" s="289"/>
      <c r="H596" s="177">
        <f t="shared" ref="H596" si="68">+H368*1000/G368</f>
        <v>31531.301482701812</v>
      </c>
      <c r="I596" s="289"/>
      <c r="J596" s="177">
        <f t="shared" si="67"/>
        <v>29986.099754701554</v>
      </c>
      <c r="K596" s="289"/>
      <c r="L596" s="177">
        <f t="shared" si="67"/>
        <v>31827.387090121676</v>
      </c>
      <c r="M596" s="289"/>
      <c r="N596" s="177">
        <f t="shared" si="67"/>
        <v>32698.782752217867</v>
      </c>
    </row>
    <row r="597" spans="1:14" ht="13">
      <c r="A597" s="1"/>
      <c r="B597" s="2" t="s">
        <v>1854</v>
      </c>
      <c r="C597" s="290"/>
      <c r="D597" s="177"/>
      <c r="E597" s="289"/>
      <c r="F597" s="177"/>
      <c r="G597" s="289"/>
      <c r="H597" s="177">
        <f t="shared" ref="H597" si="69">+H369*1000/G369</f>
        <v>37647.756909061194</v>
      </c>
      <c r="I597" s="289"/>
      <c r="J597" s="177">
        <f t="shared" si="67"/>
        <v>36407.203101039362</v>
      </c>
      <c r="K597" s="289"/>
      <c r="L597" s="177">
        <f t="shared" si="67"/>
        <v>36755.988554105934</v>
      </c>
      <c r="M597" s="289"/>
      <c r="N597" s="177">
        <f t="shared" si="67"/>
        <v>39191.770984412185</v>
      </c>
    </row>
    <row r="598" spans="1:14" ht="13">
      <c r="A598" s="1"/>
      <c r="B598" s="2" t="s">
        <v>1855</v>
      </c>
      <c r="C598" s="290"/>
      <c r="D598" s="177"/>
      <c r="E598" s="289"/>
      <c r="F598" s="177"/>
      <c r="G598" s="289"/>
      <c r="H598" s="177">
        <f>H594*G366/(G366+G367+G368+G369)+H595*G367/(G366+G367+G368+G369)+H596*G368/(G366+G367+G368+G369)+H597*G369/(G366+G367+G368+G369)</f>
        <v>37647.756909061194</v>
      </c>
      <c r="I598" s="289"/>
      <c r="J598" s="177">
        <f>J594*I366/(I366+I367+I368+I369)+J595*I367/(I366+I367+I368+I369)+J596*I368/(I366+I367+I368+I369)+J597*I369/(I366+I367+I368+I369)</f>
        <v>36407.203101039362</v>
      </c>
      <c r="K598" s="289"/>
      <c r="L598" s="177">
        <f>L594*K366/(K366+K367+K368+K369)+L595*K367/(K366+K367+K368+K369)+L596*K368/(K366+K367+K368+K369)+L597*K369/(K366+K367+K368+K369)</f>
        <v>36755.988554105934</v>
      </c>
      <c r="M598" s="289"/>
      <c r="N598" s="177">
        <f>N594*M366/(M366+M367+M368+M369)+N595*M367/(M366+M367+M368+M369)+N596*M368/(M366+M367+M368+M369)+N597*M369/(M366+M367+M368+M369)</f>
        <v>39191.770984412178</v>
      </c>
    </row>
    <row r="599" spans="1:14" ht="13">
      <c r="A599" s="1"/>
      <c r="B599" s="2" t="s">
        <v>1856</v>
      </c>
      <c r="C599" s="290"/>
      <c r="D599" s="177"/>
      <c r="E599" s="289"/>
      <c r="F599" s="177"/>
      <c r="G599" s="289"/>
      <c r="H599" s="914">
        <f>+H598/H594</f>
        <v>0.98718377099141297</v>
      </c>
      <c r="I599" s="289"/>
      <c r="J599" s="914">
        <f>+J598/J594</f>
        <v>0.98865846006872182</v>
      </c>
      <c r="K599" s="289"/>
      <c r="L599" s="914">
        <f>+L598/L594</f>
        <v>0.98965995461386969</v>
      </c>
      <c r="M599" s="914"/>
      <c r="N599" s="914">
        <f>+N598/N594</f>
        <v>0.98792322802005939</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1860</v>
      </c>
      <c r="C602" s="290"/>
      <c r="D602" s="177"/>
      <c r="E602" s="289"/>
      <c r="F602" s="177"/>
      <c r="G602" s="289"/>
      <c r="H602" s="177"/>
      <c r="I602" s="289"/>
      <c r="J602" s="177"/>
      <c r="K602" s="289"/>
      <c r="L602" s="177"/>
      <c r="M602" s="289"/>
      <c r="N602" s="177">
        <f>+N457*1000/M457</f>
        <v>26947.36120630569</v>
      </c>
    </row>
    <row r="603" spans="1:14" ht="13">
      <c r="A603" s="1"/>
      <c r="B603" s="2" t="s">
        <v>1916</v>
      </c>
      <c r="C603" s="290"/>
      <c r="D603" s="177"/>
      <c r="E603" s="289"/>
      <c r="F603" s="177"/>
      <c r="G603" s="289"/>
      <c r="H603" s="177"/>
      <c r="I603" s="289"/>
      <c r="J603" s="177"/>
      <c r="K603" s="289"/>
      <c r="L603" s="177"/>
      <c r="M603" s="289"/>
      <c r="N603" s="177">
        <f>+N458*1000/M458</f>
        <v>26947.361206305686</v>
      </c>
    </row>
    <row r="604" spans="1:14" ht="13">
      <c r="A604" s="1"/>
      <c r="B604" s="2" t="s">
        <v>1861</v>
      </c>
      <c r="C604" s="290"/>
      <c r="D604" s="177"/>
      <c r="E604" s="289"/>
      <c r="F604" s="177"/>
      <c r="G604" s="289"/>
      <c r="H604" s="177"/>
      <c r="I604" s="289"/>
      <c r="J604" s="177"/>
      <c r="K604" s="289"/>
      <c r="L604" s="177"/>
      <c r="M604" s="289"/>
      <c r="N604" s="177">
        <f>+N602*M457/(M457+M458)+N603*M458/(M457+M458)</f>
        <v>26947.36120630569</v>
      </c>
    </row>
    <row r="605" spans="1:14" ht="13">
      <c r="A605" s="1"/>
      <c r="B605" s="2" t="s">
        <v>1856</v>
      </c>
      <c r="C605" s="290"/>
      <c r="D605" s="177"/>
      <c r="E605" s="289"/>
      <c r="F605" s="177"/>
      <c r="G605" s="289"/>
      <c r="H605" s="177"/>
      <c r="I605" s="289"/>
      <c r="J605" s="177"/>
      <c r="K605" s="289"/>
      <c r="L605" s="177"/>
      <c r="M605" s="289"/>
      <c r="N605" s="914">
        <f>+N604/N602</f>
        <v>1</v>
      </c>
    </row>
    <row r="606" spans="1:14" ht="13">
      <c r="A606" s="1"/>
      <c r="B606" s="2"/>
      <c r="C606" s="290"/>
      <c r="D606" s="177"/>
      <c r="E606" s="289"/>
      <c r="F606" s="177"/>
      <c r="G606" s="289"/>
      <c r="H606" s="177"/>
      <c r="I606" s="289"/>
      <c r="J606" s="177"/>
      <c r="K606" s="289"/>
      <c r="L606" s="177"/>
      <c r="M606" s="289"/>
      <c r="N606"/>
    </row>
    <row r="607" spans="1:14" ht="13">
      <c r="A607" s="1"/>
      <c r="B607" s="2" t="s">
        <v>1862</v>
      </c>
      <c r="C607" s="290"/>
      <c r="D607" s="177"/>
      <c r="E607" s="289"/>
      <c r="F607" s="177"/>
      <c r="G607" s="289"/>
      <c r="H607" s="177"/>
      <c r="I607" s="289"/>
      <c r="J607" s="177"/>
      <c r="K607" s="289"/>
      <c r="L607" s="177"/>
      <c r="M607" s="289"/>
      <c r="N607" s="177">
        <f>+N472*1000/M472</f>
        <v>26058.902381327865</v>
      </c>
    </row>
    <row r="608" spans="1:14" ht="13">
      <c r="A608" s="1"/>
      <c r="B608" s="2" t="s">
        <v>1863</v>
      </c>
      <c r="C608" s="290"/>
      <c r="D608" s="177"/>
      <c r="E608" s="289"/>
      <c r="F608" s="177"/>
      <c r="G608" s="289"/>
      <c r="H608" s="177"/>
      <c r="I608" s="289"/>
      <c r="J608" s="177"/>
      <c r="K608" s="289"/>
      <c r="L608" s="177"/>
      <c r="M608" s="289"/>
      <c r="N608" s="177">
        <f>+N473*1000/M473</f>
        <v>26058.902381327865</v>
      </c>
    </row>
    <row r="609" spans="1:14" ht="13">
      <c r="A609" s="1"/>
      <c r="B609" s="2" t="s">
        <v>1866</v>
      </c>
      <c r="C609" s="290"/>
      <c r="D609" s="177"/>
      <c r="E609" s="289"/>
      <c r="F609" s="177"/>
      <c r="G609" s="289"/>
      <c r="H609" s="177"/>
      <c r="I609" s="289"/>
      <c r="J609" s="177"/>
      <c r="K609" s="289"/>
      <c r="L609" s="177"/>
      <c r="M609" s="289"/>
      <c r="N609" s="177">
        <f>+N607*M472/(M472+M473)+N608*M473/(M472+M473)</f>
        <v>26058.902381327865</v>
      </c>
    </row>
    <row r="610" spans="1:14" ht="13">
      <c r="A610" s="1"/>
      <c r="B610" s="2" t="s">
        <v>1856</v>
      </c>
      <c r="C610" s="290"/>
      <c r="D610" s="177"/>
      <c r="E610" s="289"/>
      <c r="F610" s="177"/>
      <c r="G610" s="289"/>
      <c r="H610" s="177"/>
      <c r="I610" s="289"/>
      <c r="J610" s="177"/>
      <c r="K610" s="289"/>
      <c r="L610" s="177"/>
      <c r="M610" s="289"/>
      <c r="N610" s="914">
        <f>+N609/N607</f>
        <v>1</v>
      </c>
    </row>
    <row r="611" spans="1:14" ht="13">
      <c r="A611" s="1"/>
      <c r="B611" s="2"/>
      <c r="C611" s="290"/>
      <c r="D611" s="177"/>
      <c r="E611" s="289"/>
      <c r="F611" s="177"/>
      <c r="G611" s="289"/>
      <c r="H611" s="177"/>
      <c r="I611" s="289"/>
      <c r="J611" s="177"/>
      <c r="K611" s="289"/>
      <c r="L611" s="177"/>
      <c r="M611" s="289"/>
      <c r="N611"/>
    </row>
    <row r="612" spans="1:14" ht="13">
      <c r="A612" s="1"/>
      <c r="B612" s="2" t="s">
        <v>1864</v>
      </c>
      <c r="C612" s="290"/>
      <c r="D612" s="177"/>
      <c r="E612" s="289"/>
      <c r="F612" s="177"/>
      <c r="G612" s="289"/>
      <c r="H612" s="177"/>
      <c r="I612" s="289"/>
      <c r="J612" s="177"/>
      <c r="K612" s="289"/>
      <c r="L612" s="177"/>
      <c r="M612" s="289"/>
      <c r="N612" s="177">
        <f>+N379*1000/M379</f>
        <v>35657.97317436662</v>
      </c>
    </row>
    <row r="613" spans="1:14" ht="13">
      <c r="A613" s="1"/>
      <c r="B613" s="2" t="s">
        <v>1865</v>
      </c>
      <c r="C613" s="290"/>
      <c r="D613" s="177"/>
      <c r="E613" s="289"/>
      <c r="F613" s="177"/>
      <c r="G613" s="289"/>
      <c r="H613" s="177"/>
      <c r="I613" s="289"/>
      <c r="J613" s="177"/>
      <c r="K613" s="289"/>
      <c r="L613" s="177"/>
      <c r="M613" s="289"/>
      <c r="N613" s="177">
        <f>+N380*1000/M380</f>
        <v>35657.973174366613</v>
      </c>
    </row>
    <row r="614" spans="1:14" ht="13">
      <c r="A614" s="1"/>
      <c r="B614" s="2" t="s">
        <v>1917</v>
      </c>
      <c r="C614" s="290"/>
      <c r="D614" s="177"/>
      <c r="E614" s="289"/>
      <c r="F614" s="177"/>
      <c r="G614" s="289"/>
      <c r="H614" s="177"/>
      <c r="I614" s="289"/>
      <c r="J614" s="177"/>
      <c r="K614" s="289"/>
      <c r="L614" s="177"/>
      <c r="M614" s="289"/>
      <c r="N614" s="177">
        <f>+(N379+N380)*1000/(M379+M380)</f>
        <v>35657.97317436662</v>
      </c>
    </row>
    <row r="615" spans="1:14" ht="13">
      <c r="A615" s="1"/>
      <c r="B615" s="2" t="s">
        <v>1856</v>
      </c>
      <c r="C615" s="290"/>
      <c r="D615" s="177"/>
      <c r="E615" s="289"/>
      <c r="F615" s="177"/>
      <c r="G615" s="289"/>
      <c r="H615" s="177"/>
      <c r="I615" s="289"/>
      <c r="J615" s="177"/>
      <c r="K615" s="289"/>
      <c r="L615" s="177"/>
      <c r="M615" s="289"/>
      <c r="N615" s="914">
        <f>+N614/N612</f>
        <v>1</v>
      </c>
    </row>
    <row r="616" spans="1:14" ht="13">
      <c r="A616" s="1"/>
      <c r="B616" s="2"/>
      <c r="C616" s="290"/>
      <c r="D616" s="177"/>
      <c r="E616" s="289"/>
      <c r="F616" s="177"/>
      <c r="G616" s="289"/>
      <c r="H616" s="177"/>
      <c r="I616" s="289"/>
      <c r="J616" s="177"/>
      <c r="K616" s="289"/>
      <c r="L616" s="177"/>
      <c r="M616" s="289"/>
      <c r="N616"/>
    </row>
    <row r="617" spans="1:14" ht="13">
      <c r="A617" s="1"/>
      <c r="B617" s="2" t="s">
        <v>1867</v>
      </c>
      <c r="C617" s="290"/>
      <c r="D617" s="177"/>
      <c r="E617" s="289"/>
      <c r="F617" s="177"/>
      <c r="G617" s="289"/>
      <c r="H617" s="177"/>
      <c r="I617" s="289"/>
      <c r="J617" s="177"/>
      <c r="K617" s="289"/>
      <c r="L617" s="177"/>
      <c r="M617" s="289"/>
      <c r="N617" s="177">
        <f>+N517*1000/M517</f>
        <v>31268.14959667563</v>
      </c>
    </row>
    <row r="618" spans="1:14" ht="13">
      <c r="A618" s="1"/>
      <c r="B618" s="2" t="s">
        <v>1868</v>
      </c>
      <c r="C618" s="290"/>
      <c r="D618" s="177"/>
      <c r="E618" s="289"/>
      <c r="F618" s="177"/>
      <c r="G618" s="289"/>
      <c r="H618" s="177"/>
      <c r="I618" s="289"/>
      <c r="J618" s="177"/>
      <c r="K618" s="289"/>
      <c r="L618" s="177"/>
      <c r="M618" s="289"/>
      <c r="N618" s="177">
        <f>+N518*1000/M518</f>
        <v>31268.14959667563</v>
      </c>
    </row>
    <row r="619" spans="1:14" ht="13">
      <c r="A619" s="1"/>
      <c r="B619" s="2" t="s">
        <v>1869</v>
      </c>
      <c r="C619" s="290"/>
      <c r="D619" s="177"/>
      <c r="E619" s="289"/>
      <c r="F619" s="177"/>
      <c r="G619" s="289"/>
      <c r="H619" s="177"/>
      <c r="I619" s="289"/>
      <c r="J619" s="177"/>
      <c r="K619" s="289"/>
      <c r="L619" s="177"/>
      <c r="M619" s="289"/>
      <c r="N619" s="177">
        <f>+(N517+N518)*1000/(M517+M518)</f>
        <v>31268.14959667563</v>
      </c>
    </row>
    <row r="620" spans="1:14" ht="13">
      <c r="A620" s="1"/>
      <c r="B620" s="2" t="s">
        <v>1856</v>
      </c>
      <c r="C620" s="290"/>
      <c r="D620" s="177"/>
      <c r="E620" s="289"/>
      <c r="F620" s="177"/>
      <c r="G620" s="289"/>
      <c r="H620" s="177"/>
      <c r="I620" s="289"/>
      <c r="J620" s="177"/>
      <c r="K620" s="289"/>
      <c r="L620" s="177"/>
      <c r="M620" s="289"/>
      <c r="N620" s="914">
        <f>+N619/N617</f>
        <v>1</v>
      </c>
    </row>
    <row r="621" spans="1:14" ht="13">
      <c r="A621" s="1"/>
      <c r="B621" s="2"/>
      <c r="C621" s="290"/>
      <c r="D621" s="177"/>
      <c r="E621" s="289"/>
      <c r="F621" s="177"/>
      <c r="G621" s="289"/>
      <c r="H621" s="177"/>
      <c r="I621" s="289"/>
      <c r="J621" s="177"/>
      <c r="K621" s="289"/>
      <c r="L621" s="177"/>
      <c r="M621" s="289"/>
      <c r="N621"/>
    </row>
    <row r="622" spans="1:14" ht="13">
      <c r="A622" s="1"/>
      <c r="B622" s="2" t="s">
        <v>1870</v>
      </c>
      <c r="C622" s="290"/>
      <c r="D622" s="177"/>
      <c r="E622" s="289"/>
      <c r="F622" s="177"/>
      <c r="G622" s="289"/>
      <c r="H622" s="177"/>
      <c r="I622" s="289"/>
      <c r="J622" s="177"/>
      <c r="K622" s="289"/>
      <c r="L622" s="177"/>
      <c r="M622" s="289"/>
      <c r="N622" s="177">
        <f>+N574*1000/M574</f>
        <v>23216.960352422906</v>
      </c>
    </row>
    <row r="623" spans="1:14" ht="13">
      <c r="A623" s="1"/>
      <c r="B623" s="2" t="s">
        <v>1871</v>
      </c>
      <c r="C623" s="290"/>
      <c r="D623" s="177"/>
      <c r="E623" s="289"/>
      <c r="F623" s="177"/>
      <c r="G623" s="289"/>
      <c r="H623" s="177"/>
      <c r="I623" s="289"/>
      <c r="J623" s="177"/>
      <c r="K623" s="289"/>
      <c r="L623" s="177"/>
      <c r="M623" s="289"/>
      <c r="N623" s="177">
        <f>+N575*1000/M575</f>
        <v>23216.960352422906</v>
      </c>
    </row>
    <row r="624" spans="1:14" ht="13">
      <c r="A624" s="1"/>
      <c r="B624" s="2" t="s">
        <v>1918</v>
      </c>
      <c r="C624" s="290"/>
      <c r="D624" s="177"/>
      <c r="E624" s="289"/>
      <c r="F624" s="177"/>
      <c r="G624" s="289"/>
      <c r="H624" s="177"/>
      <c r="I624" s="289"/>
      <c r="J624" s="177"/>
      <c r="K624" s="289"/>
      <c r="L624" s="177"/>
      <c r="M624" s="289"/>
      <c r="N624" s="177">
        <f>+(N574+N575)*1000/(M574+M575)</f>
        <v>23216.96035242291</v>
      </c>
    </row>
    <row r="625" spans="1:14" ht="13">
      <c r="A625" s="1"/>
      <c r="B625" s="2" t="s">
        <v>1856</v>
      </c>
      <c r="C625" s="290"/>
      <c r="D625" s="177"/>
      <c r="E625" s="289"/>
      <c r="F625" s="177"/>
      <c r="G625" s="289"/>
      <c r="H625" s="177"/>
      <c r="I625" s="289"/>
      <c r="J625" s="177"/>
      <c r="K625" s="289"/>
      <c r="L625" s="177"/>
      <c r="M625" s="289"/>
      <c r="N625" s="914">
        <f>+N624/N622</f>
        <v>1.0000000000000002</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2" s="85" customFormat="1">
      <c r="A1"/>
      <c r="B1" s="74" t="s">
        <v>719</v>
      </c>
      <c r="N1" s="177"/>
    </row>
    <row r="2" spans="1:22"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2366</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2" s="85" customFormat="1" ht="13">
      <c r="A4" s="755">
        <v>301</v>
      </c>
      <c r="B4" s="756" t="s">
        <v>823</v>
      </c>
      <c r="C4" s="289">
        <f>K0kommunestruktur2020!C4</f>
        <v>634463</v>
      </c>
      <c r="D4" s="289">
        <f>K0kommunestruktur2020!D4</f>
        <v>20917085</v>
      </c>
      <c r="E4" s="289">
        <f>K0kommunestruktur2020!E4</f>
        <v>647676</v>
      </c>
      <c r="F4" s="289">
        <f>K0kommunestruktur2020!F4</f>
        <v>22488171</v>
      </c>
      <c r="G4" s="289">
        <f>K0kommunestruktur2020!G4</f>
        <v>658390</v>
      </c>
      <c r="H4" s="289">
        <f>K0kommunestruktur2020!H4</f>
        <v>25522086</v>
      </c>
      <c r="I4" s="289">
        <f>K0kommunestruktur2020!I4</f>
        <v>666759</v>
      </c>
      <c r="J4" s="289">
        <f>K0kommunestruktur2020!J4</f>
        <v>27402999</v>
      </c>
      <c r="K4" s="289">
        <f>K0kommunestruktur2020!K4</f>
        <v>673469</v>
      </c>
      <c r="L4" s="289">
        <f>K0kommunestruktur2020!L4</f>
        <v>28170461</v>
      </c>
      <c r="M4" s="289">
        <f>K0kommunestruktur2020!M4</f>
        <v>681071</v>
      </c>
      <c r="N4" s="289">
        <f>K0kommunestruktur2020!N4</f>
        <v>29417306</v>
      </c>
      <c r="O4" s="289">
        <f>K0kommunestruktur2020!O4</f>
        <v>693494</v>
      </c>
      <c r="P4" s="289">
        <f>K0kommunestruktur2020!P4</f>
        <v>29485704</v>
      </c>
      <c r="Q4" s="289">
        <f>VLOOKUP(A4,'K21'!$A$4:$CI$359,3)</f>
        <v>697010</v>
      </c>
      <c r="R4" s="289">
        <f>VLOOKUP(A4,'K21'!$A$4:$BV$359,26)</f>
        <v>34894706.472000003</v>
      </c>
      <c r="S4" s="517"/>
      <c r="T4" s="517"/>
      <c r="U4" s="517"/>
      <c r="V4" s="517"/>
    </row>
    <row r="5" spans="1:22" s="85" customFormat="1" ht="13">
      <c r="A5" s="755">
        <v>1101</v>
      </c>
      <c r="B5" s="756" t="s">
        <v>958</v>
      </c>
      <c r="C5" s="289">
        <f>K0kommunestruktur2020!C5</f>
        <v>14811</v>
      </c>
      <c r="D5" s="289">
        <f>K0kommunestruktur2020!D5</f>
        <v>406927</v>
      </c>
      <c r="E5" s="289">
        <f>K0kommunestruktur2020!E5</f>
        <v>14916</v>
      </c>
      <c r="F5" s="289">
        <f>K0kommunestruktur2020!F5</f>
        <v>402775</v>
      </c>
      <c r="G5" s="289">
        <f>K0kommunestruktur2020!G5</f>
        <v>14942</v>
      </c>
      <c r="H5" s="289">
        <f>K0kommunestruktur2020!H5</f>
        <v>418367</v>
      </c>
      <c r="I5" s="289">
        <f>K0kommunestruktur2020!I5</f>
        <v>14899</v>
      </c>
      <c r="J5" s="289">
        <f>K0kommunestruktur2020!J5</f>
        <v>420764</v>
      </c>
      <c r="K5" s="289">
        <f>K0kommunestruktur2020!K5</f>
        <v>14898</v>
      </c>
      <c r="L5" s="289">
        <f>K0kommunestruktur2020!L5</f>
        <v>421333</v>
      </c>
      <c r="M5" s="289">
        <f>K0kommunestruktur2020!M5</f>
        <v>14830</v>
      </c>
      <c r="N5" s="289">
        <f>K0kommunestruktur2020!N5</f>
        <v>455451</v>
      </c>
      <c r="O5" s="289">
        <f>K0kommunestruktur2020!O5</f>
        <v>14811</v>
      </c>
      <c r="P5" s="289">
        <f>K0kommunestruktur2020!P5</f>
        <v>500874</v>
      </c>
      <c r="Q5" s="289">
        <f>VLOOKUP(A5,'K21'!$A$4:$CI$359,3)</f>
        <v>14787</v>
      </c>
      <c r="R5" s="289">
        <f>VLOOKUP(A5,'K21'!$A$4:$BV$359,26)</f>
        <v>536136.80000000005</v>
      </c>
      <c r="S5" s="517"/>
      <c r="T5" s="517"/>
      <c r="U5" s="517"/>
      <c r="V5" s="517"/>
    </row>
    <row r="6" spans="1:22" s="85" customFormat="1" ht="13">
      <c r="A6" s="755">
        <v>1103</v>
      </c>
      <c r="B6" s="756" t="s">
        <v>960</v>
      </c>
      <c r="C6" s="289">
        <f>K0kommunestruktur2020!C6</f>
        <v>138640.16927637</v>
      </c>
      <c r="D6" s="289">
        <f>K0kommunestruktur2020!D6</f>
        <v>4992049.6235760292</v>
      </c>
      <c r="E6" s="289">
        <f>K0kommunestruktur2020!E6</f>
        <v>140116.94866721999</v>
      </c>
      <c r="F6" s="289">
        <f>K0kommunestruktur2020!F6</f>
        <v>5154826.5313516287</v>
      </c>
      <c r="G6" s="289">
        <f>K0kommunestruktur2020!G6</f>
        <v>140795.30668009</v>
      </c>
      <c r="H6" s="289">
        <f>K0kommunestruktur2020!H6</f>
        <v>5300627.4798287479</v>
      </c>
      <c r="I6" s="289">
        <f>K0kommunestruktur2020!I6</f>
        <v>140930.37796583999</v>
      </c>
      <c r="J6" s="289">
        <f>K0kommunestruktur2020!J6</f>
        <v>5130880.8937085792</v>
      </c>
      <c r="K6" s="289">
        <f>K0kommunestruktur2020!K6</f>
        <v>141260.55221989</v>
      </c>
      <c r="L6" s="289">
        <f>K0kommunestruktur2020!L6</f>
        <v>5192171.2405409599</v>
      </c>
      <c r="M6" s="289">
        <f>K0kommunestruktur2020!M6</f>
        <v>142109</v>
      </c>
      <c r="N6" s="289">
        <f>K0kommunestruktur2020!N6</f>
        <v>5569503.3828238305</v>
      </c>
      <c r="O6" s="289">
        <f>K0kommunestruktur2020!O6</f>
        <v>143574</v>
      </c>
      <c r="P6" s="289">
        <f>K0kommunestruktur2020!P6</f>
        <v>5548455</v>
      </c>
      <c r="Q6" s="289">
        <f>VLOOKUP(A6,'K21'!$A$4:$CI$359,3)</f>
        <v>144147</v>
      </c>
      <c r="R6" s="289">
        <f>VLOOKUP(A6,'K21'!$A$4:$BV$359,26)</f>
        <v>6300497.6940000001</v>
      </c>
      <c r="S6" s="517"/>
      <c r="T6" s="517"/>
      <c r="U6" s="517"/>
      <c r="V6" s="517"/>
    </row>
    <row r="7" spans="1:22" s="85" customFormat="1" ht="13">
      <c r="A7" s="755">
        <v>1106</v>
      </c>
      <c r="B7" s="756" t="s">
        <v>961</v>
      </c>
      <c r="C7" s="289">
        <f>K0kommunestruktur2020!C7</f>
        <v>36099</v>
      </c>
      <c r="D7" s="289">
        <f>K0kommunestruktur2020!D7</f>
        <v>907569</v>
      </c>
      <c r="E7" s="289">
        <f>K0kommunestruktur2020!E7</f>
        <v>36538</v>
      </c>
      <c r="F7" s="289">
        <f>K0kommunestruktur2020!F7</f>
        <v>944562</v>
      </c>
      <c r="G7" s="289">
        <f>K0kommunestruktur2020!G7</f>
        <v>36951</v>
      </c>
      <c r="H7" s="289">
        <f>K0kommunestruktur2020!H7</f>
        <v>980578</v>
      </c>
      <c r="I7" s="289">
        <f>K0kommunestruktur2020!I7</f>
        <v>37166</v>
      </c>
      <c r="J7" s="289">
        <f>K0kommunestruktur2020!J7</f>
        <v>1015625</v>
      </c>
      <c r="K7" s="289">
        <f>K0kommunestruktur2020!K7</f>
        <v>37167</v>
      </c>
      <c r="L7" s="289">
        <f>K0kommunestruktur2020!L7</f>
        <v>1084225</v>
      </c>
      <c r="M7" s="289">
        <f>K0kommunestruktur2020!M7</f>
        <v>37250</v>
      </c>
      <c r="N7" s="289">
        <f>K0kommunestruktur2020!N7</f>
        <v>1152023</v>
      </c>
      <c r="O7" s="289">
        <f>K0kommunestruktur2020!O7</f>
        <v>37357</v>
      </c>
      <c r="P7" s="289">
        <f>K0kommunestruktur2020!P7</f>
        <v>1111347</v>
      </c>
      <c r="Q7" s="289">
        <f>VLOOKUP(A7,'K21'!$A$4:$CI$359,3)</f>
        <v>37323</v>
      </c>
      <c r="R7" s="289">
        <f>VLOOKUP(A7,'K21'!$A$4:$BV$359,26)</f>
        <v>1275892.7209999999</v>
      </c>
      <c r="S7" s="517"/>
      <c r="T7" s="517"/>
      <c r="U7" s="517"/>
      <c r="V7" s="517"/>
    </row>
    <row r="8" spans="1:22" s="85" customFormat="1" ht="13">
      <c r="A8" s="755">
        <v>1108</v>
      </c>
      <c r="B8" s="756" t="s">
        <v>1610</v>
      </c>
      <c r="C8" s="289">
        <f>K0kommunestruktur2020!C8</f>
        <v>72990.007419779999</v>
      </c>
      <c r="D8" s="289">
        <f>K0kommunestruktur2020!D8</f>
        <v>2154108.3382501518</v>
      </c>
      <c r="E8" s="289">
        <f>K0kommunestruktur2020!E8</f>
        <v>74676.495518809999</v>
      </c>
      <c r="F8" s="289">
        <f>K0kommunestruktur2020!F8</f>
        <v>2216653.0965973325</v>
      </c>
      <c r="G8" s="289">
        <f>K0kommunestruktur2020!G8</f>
        <v>75899.94783207</v>
      </c>
      <c r="H8" s="289">
        <f>K0kommunestruktur2020!H8</f>
        <v>2316575.021660042</v>
      </c>
      <c r="I8" s="289">
        <f>K0kommunestruktur2020!I8</f>
        <v>76582.526447299999</v>
      </c>
      <c r="J8" s="289">
        <f>K0kommunestruktur2020!J8</f>
        <v>2316286.6222158987</v>
      </c>
      <c r="K8" s="289">
        <f>K0kommunestruktur2020!K8</f>
        <v>77412.797511440003</v>
      </c>
      <c r="L8" s="289">
        <f>K0kommunestruktur2020!L8</f>
        <v>2380215.4983107275</v>
      </c>
      <c r="M8" s="289">
        <f>K0kommunestruktur2020!M8</f>
        <v>78276</v>
      </c>
      <c r="N8" s="289">
        <f>K0kommunestruktur2020!N8</f>
        <v>2477705.4875763333</v>
      </c>
      <c r="O8" s="289">
        <f>K0kommunestruktur2020!O8</f>
        <v>79537</v>
      </c>
      <c r="P8" s="289">
        <f>K0kommunestruktur2020!P8</f>
        <v>2454234</v>
      </c>
      <c r="Q8" s="289">
        <f>VLOOKUP(A8,'K21'!$A$4:$CI$359,3)</f>
        <v>80450</v>
      </c>
      <c r="R8" s="289">
        <f>VLOOKUP(A8,'K21'!$A$4:$BV$359,26)</f>
        <v>2853855.0589999999</v>
      </c>
      <c r="S8" s="517"/>
      <c r="T8" s="517"/>
      <c r="U8" s="517"/>
      <c r="V8" s="517"/>
    </row>
    <row r="9" spans="1:22" s="85" customFormat="1" ht="13">
      <c r="A9" s="755">
        <v>1111</v>
      </c>
      <c r="B9" s="756" t="s">
        <v>962</v>
      </c>
      <c r="C9" s="289">
        <f>K0kommunestruktur2020!C9</f>
        <v>3303</v>
      </c>
      <c r="D9" s="289">
        <f>K0kommunestruktur2020!D9</f>
        <v>74638</v>
      </c>
      <c r="E9" s="289">
        <f>K0kommunestruktur2020!E9</f>
        <v>3309</v>
      </c>
      <c r="F9" s="289">
        <f>K0kommunestruktur2020!F9</f>
        <v>77414</v>
      </c>
      <c r="G9" s="289">
        <f>K0kommunestruktur2020!G9</f>
        <v>3313</v>
      </c>
      <c r="H9" s="289">
        <f>K0kommunestruktur2020!H9</f>
        <v>81397</v>
      </c>
      <c r="I9" s="289">
        <f>K0kommunestruktur2020!I9</f>
        <v>3316</v>
      </c>
      <c r="J9" s="289">
        <f>K0kommunestruktur2020!J9</f>
        <v>81393</v>
      </c>
      <c r="K9" s="289">
        <f>K0kommunestruktur2020!K9</f>
        <v>3331</v>
      </c>
      <c r="L9" s="289">
        <f>K0kommunestruktur2020!L9</f>
        <v>84326</v>
      </c>
      <c r="M9" s="289">
        <f>K0kommunestruktur2020!M9</f>
        <v>3305</v>
      </c>
      <c r="N9" s="289">
        <f>K0kommunestruktur2020!N9</f>
        <v>85248</v>
      </c>
      <c r="O9" s="289">
        <f>K0kommunestruktur2020!O9</f>
        <v>3280</v>
      </c>
      <c r="P9" s="289">
        <f>K0kommunestruktur2020!P9</f>
        <v>84973</v>
      </c>
      <c r="Q9" s="289">
        <f>VLOOKUP(A9,'K21'!$A$4:$CI$359,3)</f>
        <v>3257</v>
      </c>
      <c r="R9" s="289">
        <f>VLOOKUP(A9,'K21'!$A$4:$BV$359,26)</f>
        <v>97746.770999999993</v>
      </c>
      <c r="S9" s="517"/>
      <c r="T9" s="517"/>
      <c r="U9" s="517"/>
      <c r="V9" s="517"/>
    </row>
    <row r="10" spans="1:22" s="85" customFormat="1" ht="13">
      <c r="A10" s="755">
        <v>1112</v>
      </c>
      <c r="B10" s="756" t="s">
        <v>963</v>
      </c>
      <c r="C10" s="289">
        <f>K0kommunestruktur2020!C10</f>
        <v>3225</v>
      </c>
      <c r="D10" s="289">
        <f>K0kommunestruktur2020!D10</f>
        <v>66675</v>
      </c>
      <c r="E10" s="289">
        <f>K0kommunestruktur2020!E10</f>
        <v>3247</v>
      </c>
      <c r="F10" s="289">
        <f>K0kommunestruktur2020!F10</f>
        <v>68275</v>
      </c>
      <c r="G10" s="289">
        <f>K0kommunestruktur2020!G10</f>
        <v>3243</v>
      </c>
      <c r="H10" s="289">
        <f>K0kommunestruktur2020!H10</f>
        <v>71529</v>
      </c>
      <c r="I10" s="289">
        <f>K0kommunestruktur2020!I10</f>
        <v>3259</v>
      </c>
      <c r="J10" s="289">
        <f>K0kommunestruktur2020!J10</f>
        <v>79675</v>
      </c>
      <c r="K10" s="289">
        <f>K0kommunestruktur2020!K10</f>
        <v>3237</v>
      </c>
      <c r="L10" s="289">
        <f>K0kommunestruktur2020!L10</f>
        <v>78836</v>
      </c>
      <c r="M10" s="289">
        <f>K0kommunestruktur2020!M10</f>
        <v>3213</v>
      </c>
      <c r="N10" s="289">
        <f>K0kommunestruktur2020!N10</f>
        <v>82728</v>
      </c>
      <c r="O10" s="289">
        <f>K0kommunestruktur2020!O10</f>
        <v>3202</v>
      </c>
      <c r="P10" s="289">
        <f>K0kommunestruktur2020!P10</f>
        <v>80162</v>
      </c>
      <c r="Q10" s="289">
        <f>VLOOKUP(A10,'K21'!$A$4:$CI$359,3)</f>
        <v>3174</v>
      </c>
      <c r="R10" s="289">
        <f>VLOOKUP(A10,'K21'!$A$4:$BV$359,26)</f>
        <v>90645.703999999998</v>
      </c>
      <c r="S10" s="517"/>
      <c r="T10" s="517"/>
      <c r="U10" s="517"/>
      <c r="V10" s="517"/>
    </row>
    <row r="11" spans="1:22" ht="13">
      <c r="A11" s="755">
        <v>1114</v>
      </c>
      <c r="B11" s="756" t="s">
        <v>0</v>
      </c>
      <c r="C11" s="289">
        <f>K0kommunestruktur2020!C11</f>
        <v>2820</v>
      </c>
      <c r="D11" s="289">
        <f>K0kommunestruktur2020!D11</f>
        <v>64270</v>
      </c>
      <c r="E11" s="289">
        <f>K0kommunestruktur2020!E11</f>
        <v>2861</v>
      </c>
      <c r="F11" s="289">
        <f>K0kommunestruktur2020!F11</f>
        <v>66516</v>
      </c>
      <c r="G11" s="289">
        <f>K0kommunestruktur2020!G11</f>
        <v>2825</v>
      </c>
      <c r="H11" s="289">
        <f>K0kommunestruktur2020!H11</f>
        <v>73550</v>
      </c>
      <c r="I11" s="289">
        <f>K0kommunestruktur2020!I11</f>
        <v>2826</v>
      </c>
      <c r="J11" s="289">
        <f>K0kommunestruktur2020!J11</f>
        <v>76011</v>
      </c>
      <c r="K11" s="289">
        <f>K0kommunestruktur2020!K11</f>
        <v>2826</v>
      </c>
      <c r="L11" s="289">
        <f>K0kommunestruktur2020!L11</f>
        <v>71889</v>
      </c>
      <c r="M11" s="289">
        <f>K0kommunestruktur2020!M11</f>
        <v>2807</v>
      </c>
      <c r="N11" s="289">
        <f>K0kommunestruktur2020!N11</f>
        <v>73711</v>
      </c>
      <c r="O11" s="289">
        <f>K0kommunestruktur2020!O11</f>
        <v>2787</v>
      </c>
      <c r="P11" s="289">
        <f>K0kommunestruktur2020!P11</f>
        <v>72723</v>
      </c>
      <c r="Q11" s="289">
        <f>VLOOKUP(A11,'K21'!$A$4:$CI$359,3)</f>
        <v>2791</v>
      </c>
      <c r="R11" s="289">
        <f>VLOOKUP(A11,'K21'!$A$4:$BV$359,26)</f>
        <v>90706.262000000002</v>
      </c>
      <c r="S11" s="517"/>
      <c r="T11" s="517"/>
      <c r="U11" s="517"/>
      <c r="V11" s="517"/>
    </row>
    <row r="12" spans="1:22" ht="13">
      <c r="A12" s="755">
        <v>1119</v>
      </c>
      <c r="B12" s="756" t="s">
        <v>1</v>
      </c>
      <c r="C12" s="289">
        <f>K0kommunestruktur2020!C12</f>
        <v>18115</v>
      </c>
      <c r="D12" s="289">
        <f>K0kommunestruktur2020!D12</f>
        <v>424970</v>
      </c>
      <c r="E12" s="289">
        <f>K0kommunestruktur2020!E12</f>
        <v>18528</v>
      </c>
      <c r="F12" s="289">
        <f>K0kommunestruktur2020!F12</f>
        <v>436779</v>
      </c>
      <c r="G12" s="289">
        <f>K0kommunestruktur2020!G12</f>
        <v>18591</v>
      </c>
      <c r="H12" s="289">
        <f>K0kommunestruktur2020!H12</f>
        <v>467975</v>
      </c>
      <c r="I12" s="289">
        <f>K0kommunestruktur2020!I12</f>
        <v>18800</v>
      </c>
      <c r="J12" s="289">
        <f>K0kommunestruktur2020!J12</f>
        <v>470013</v>
      </c>
      <c r="K12" s="289">
        <f>K0kommunestruktur2020!K12</f>
        <v>18762</v>
      </c>
      <c r="L12" s="289">
        <f>K0kommunestruktur2020!L12</f>
        <v>474998</v>
      </c>
      <c r="M12" s="289">
        <f>K0kommunestruktur2020!M12</f>
        <v>18814</v>
      </c>
      <c r="N12" s="289">
        <f>K0kommunestruktur2020!N12</f>
        <v>500305</v>
      </c>
      <c r="O12" s="289">
        <f>K0kommunestruktur2020!O12</f>
        <v>18991</v>
      </c>
      <c r="P12" s="289">
        <f>K0kommunestruktur2020!P12</f>
        <v>495345</v>
      </c>
      <c r="Q12" s="289">
        <f>VLOOKUP(A12,'K21'!$A$4:$CI$359,3)</f>
        <v>19120</v>
      </c>
      <c r="R12" s="289">
        <f>VLOOKUP(A12,'K21'!$A$4:$BV$359,26)</f>
        <v>567615.44099999999</v>
      </c>
      <c r="S12" s="517"/>
      <c r="T12" s="517"/>
      <c r="U12" s="517"/>
      <c r="V12" s="517"/>
    </row>
    <row r="13" spans="1:22" ht="13">
      <c r="A13" s="755">
        <v>1120</v>
      </c>
      <c r="B13" s="756" t="s">
        <v>2</v>
      </c>
      <c r="C13" s="289">
        <f>K0kommunestruktur2020!C13</f>
        <v>18485</v>
      </c>
      <c r="D13" s="289">
        <f>K0kommunestruktur2020!D13</f>
        <v>490669</v>
      </c>
      <c r="E13" s="289">
        <f>K0kommunestruktur2020!E13</f>
        <v>18741</v>
      </c>
      <c r="F13" s="289">
        <f>K0kommunestruktur2020!F13</f>
        <v>496786</v>
      </c>
      <c r="G13" s="289">
        <f>K0kommunestruktur2020!G13</f>
        <v>18970</v>
      </c>
      <c r="H13" s="289">
        <f>K0kommunestruktur2020!H13</f>
        <v>534018</v>
      </c>
      <c r="I13" s="289">
        <f>K0kommunestruktur2020!I13</f>
        <v>19042</v>
      </c>
      <c r="J13" s="289">
        <f>K0kommunestruktur2020!J13</f>
        <v>526351</v>
      </c>
      <c r="K13" s="289">
        <f>K0kommunestruktur2020!K13</f>
        <v>19217</v>
      </c>
      <c r="L13" s="289">
        <f>K0kommunestruktur2020!L13</f>
        <v>545564</v>
      </c>
      <c r="M13" s="289">
        <f>K0kommunestruktur2020!M13</f>
        <v>19354</v>
      </c>
      <c r="N13" s="289">
        <f>K0kommunestruktur2020!N13</f>
        <v>568602</v>
      </c>
      <c r="O13" s="289">
        <f>K0kommunestruktur2020!O13</f>
        <v>19588</v>
      </c>
      <c r="P13" s="289">
        <f>K0kommunestruktur2020!P13</f>
        <v>571777</v>
      </c>
      <c r="Q13" s="289">
        <f>VLOOKUP(A13,'K21'!$A$4:$CI$359,3)</f>
        <v>19848</v>
      </c>
      <c r="R13" s="289">
        <f>VLOOKUP(A13,'K21'!$A$4:$BV$359,26)</f>
        <v>659797.24600000004</v>
      </c>
      <c r="S13" s="517"/>
      <c r="T13" s="517"/>
      <c r="U13" s="517"/>
      <c r="V13" s="517"/>
    </row>
    <row r="14" spans="1:22" ht="13">
      <c r="A14" s="755">
        <v>1121</v>
      </c>
      <c r="B14" s="756" t="s">
        <v>3</v>
      </c>
      <c r="C14" s="289">
        <f>K0kommunestruktur2020!C14</f>
        <v>17897</v>
      </c>
      <c r="D14" s="289">
        <f>K0kommunestruktur2020!D14</f>
        <v>477840</v>
      </c>
      <c r="E14" s="289">
        <f>K0kommunestruktur2020!E14</f>
        <v>18306</v>
      </c>
      <c r="F14" s="289">
        <f>K0kommunestruktur2020!F14</f>
        <v>493393</v>
      </c>
      <c r="G14" s="289">
        <f>K0kommunestruktur2020!G14</f>
        <v>18572</v>
      </c>
      <c r="H14" s="289">
        <f>K0kommunestruktur2020!H14</f>
        <v>534004</v>
      </c>
      <c r="I14" s="289">
        <f>K0kommunestruktur2020!I14</f>
        <v>18656</v>
      </c>
      <c r="J14" s="289">
        <f>K0kommunestruktur2020!J14</f>
        <v>529636</v>
      </c>
      <c r="K14" s="289">
        <f>K0kommunestruktur2020!K14</f>
        <v>18699</v>
      </c>
      <c r="L14" s="289">
        <f>K0kommunestruktur2020!L14</f>
        <v>540548</v>
      </c>
      <c r="M14" s="289">
        <f>K0kommunestruktur2020!M14</f>
        <v>18795</v>
      </c>
      <c r="N14" s="289">
        <f>K0kommunestruktur2020!N14</f>
        <v>561432</v>
      </c>
      <c r="O14" s="289">
        <f>K0kommunestruktur2020!O14</f>
        <v>18916</v>
      </c>
      <c r="P14" s="289">
        <f>K0kommunestruktur2020!P14</f>
        <v>563308</v>
      </c>
      <c r="Q14" s="289">
        <f>VLOOKUP(A14,'K21'!$A$4:$CI$359,3)</f>
        <v>19106</v>
      </c>
      <c r="R14" s="289">
        <f>VLOOKUP(A14,'K21'!$A$4:$BV$359,26)</f>
        <v>690436.44499999995</v>
      </c>
      <c r="S14" s="517"/>
      <c r="T14" s="517"/>
      <c r="U14" s="517"/>
      <c r="V14" s="517"/>
    </row>
    <row r="15" spans="1:22" ht="13">
      <c r="A15" s="755">
        <v>1122</v>
      </c>
      <c r="B15" s="756" t="s">
        <v>4</v>
      </c>
      <c r="C15" s="289">
        <f>K0kommunestruktur2020!C15</f>
        <v>11317</v>
      </c>
      <c r="D15" s="289">
        <f>K0kommunestruktur2020!D15</f>
        <v>281779</v>
      </c>
      <c r="E15" s="289">
        <f>K0kommunestruktur2020!E15</f>
        <v>11600</v>
      </c>
      <c r="F15" s="289">
        <f>K0kommunestruktur2020!F15</f>
        <v>293175</v>
      </c>
      <c r="G15" s="289">
        <f>K0kommunestruktur2020!G15</f>
        <v>11853</v>
      </c>
      <c r="H15" s="289">
        <f>K0kommunestruktur2020!H15</f>
        <v>310148</v>
      </c>
      <c r="I15" s="289">
        <f>K0kommunestruktur2020!I15</f>
        <v>11902</v>
      </c>
      <c r="J15" s="289">
        <f>K0kommunestruktur2020!J15</f>
        <v>305892</v>
      </c>
      <c r="K15" s="289">
        <f>K0kommunestruktur2020!K15</f>
        <v>11866</v>
      </c>
      <c r="L15" s="289">
        <f>K0kommunestruktur2020!L15</f>
        <v>315579</v>
      </c>
      <c r="M15" s="289">
        <f>K0kommunestruktur2020!M15</f>
        <v>11899</v>
      </c>
      <c r="N15" s="289">
        <f>K0kommunestruktur2020!N15</f>
        <v>328082</v>
      </c>
      <c r="O15" s="289">
        <f>K0kommunestruktur2020!O15</f>
        <v>12002</v>
      </c>
      <c r="P15" s="289">
        <f>K0kommunestruktur2020!P15</f>
        <v>324379</v>
      </c>
      <c r="Q15" s="289">
        <f>VLOOKUP(A15,'K21'!$A$4:$CI$359,3)</f>
        <v>12064</v>
      </c>
      <c r="R15" s="289">
        <f>VLOOKUP(A15,'K21'!$A$4:$BV$359,26)</f>
        <v>371633.98</v>
      </c>
      <c r="S15" s="517"/>
      <c r="T15" s="517"/>
      <c r="U15" s="517"/>
      <c r="V15" s="517"/>
    </row>
    <row r="16" spans="1:22" ht="13">
      <c r="A16" s="755">
        <v>1124</v>
      </c>
      <c r="B16" s="756" t="s">
        <v>5</v>
      </c>
      <c r="C16" s="289">
        <f>K0kommunestruktur2020!C16</f>
        <v>25083</v>
      </c>
      <c r="D16" s="289">
        <f>K0kommunestruktur2020!D16</f>
        <v>894740</v>
      </c>
      <c r="E16" s="289">
        <f>K0kommunestruktur2020!E16</f>
        <v>25708</v>
      </c>
      <c r="F16" s="289">
        <f>K0kommunestruktur2020!F16</f>
        <v>961647</v>
      </c>
      <c r="G16" s="289">
        <f>K0kommunestruktur2020!G16</f>
        <v>26096</v>
      </c>
      <c r="H16" s="289">
        <f>K0kommunestruktur2020!H16</f>
        <v>986777</v>
      </c>
      <c r="I16" s="289">
        <f>K0kommunestruktur2020!I16</f>
        <v>26016</v>
      </c>
      <c r="J16" s="289">
        <f>K0kommunestruktur2020!J16</f>
        <v>945204</v>
      </c>
      <c r="K16" s="289">
        <f>K0kommunestruktur2020!K16</f>
        <v>26265</v>
      </c>
      <c r="L16" s="289">
        <f>K0kommunestruktur2020!L16</f>
        <v>971476</v>
      </c>
      <c r="M16" s="289">
        <f>K0kommunestruktur2020!M16</f>
        <v>26582</v>
      </c>
      <c r="N16" s="289">
        <f>K0kommunestruktur2020!N16</f>
        <v>1049894</v>
      </c>
      <c r="O16" s="289">
        <f>K0kommunestruktur2020!O16</f>
        <v>27153</v>
      </c>
      <c r="P16" s="289">
        <f>K0kommunestruktur2020!P16</f>
        <v>1057879</v>
      </c>
      <c r="Q16" s="289">
        <f>VLOOKUP(A16,'K21'!$A$4:$CI$359,3)</f>
        <v>27457</v>
      </c>
      <c r="R16" s="289">
        <f>VLOOKUP(A16,'K21'!$A$4:$BV$359,26)</f>
        <v>1204713.132</v>
      </c>
      <c r="S16" s="517"/>
      <c r="T16" s="517"/>
      <c r="U16" s="517"/>
      <c r="V16" s="517"/>
    </row>
    <row r="17" spans="1:22" ht="13">
      <c r="A17" s="755">
        <v>1127</v>
      </c>
      <c r="B17" s="756" t="s">
        <v>6</v>
      </c>
      <c r="C17" s="289">
        <f>K0kommunestruktur2020!C17</f>
        <v>10416</v>
      </c>
      <c r="D17" s="289">
        <f>K0kommunestruktur2020!D17</f>
        <v>337979</v>
      </c>
      <c r="E17" s="289">
        <f>K0kommunestruktur2020!E17</f>
        <v>10556</v>
      </c>
      <c r="F17" s="289">
        <f>K0kommunestruktur2020!F17</f>
        <v>344173</v>
      </c>
      <c r="G17" s="289">
        <f>K0kommunestruktur2020!G17</f>
        <v>10737</v>
      </c>
      <c r="H17" s="289">
        <f>K0kommunestruktur2020!H17</f>
        <v>354504</v>
      </c>
      <c r="I17" s="289">
        <f>K0kommunestruktur2020!I17</f>
        <v>10873</v>
      </c>
      <c r="J17" s="289">
        <f>K0kommunestruktur2020!J17</f>
        <v>341416</v>
      </c>
      <c r="K17" s="289">
        <f>K0kommunestruktur2020!K17</f>
        <v>10972</v>
      </c>
      <c r="L17" s="289">
        <f>K0kommunestruktur2020!L17</f>
        <v>354189</v>
      </c>
      <c r="M17" s="289">
        <f>K0kommunestruktur2020!M17</f>
        <v>11053</v>
      </c>
      <c r="N17" s="289">
        <f>K0kommunestruktur2020!N17</f>
        <v>377149</v>
      </c>
      <c r="O17" s="289">
        <f>K0kommunestruktur2020!O17</f>
        <v>11221</v>
      </c>
      <c r="P17" s="289">
        <f>K0kommunestruktur2020!P17</f>
        <v>389630</v>
      </c>
      <c r="Q17" s="289">
        <f>VLOOKUP(A17,'K21'!$A$4:$CI$359,3)</f>
        <v>11315</v>
      </c>
      <c r="R17" s="289">
        <f>VLOOKUP(A17,'K21'!$A$4:$BV$359,26)</f>
        <v>441758.745</v>
      </c>
      <c r="S17" s="517"/>
      <c r="T17" s="517"/>
      <c r="U17" s="517"/>
      <c r="V17" s="517"/>
    </row>
    <row r="18" spans="1:22" ht="13">
      <c r="A18" s="755">
        <v>1130</v>
      </c>
      <c r="B18" s="756" t="s">
        <v>12</v>
      </c>
      <c r="C18" s="289">
        <f>K0kommunestruktur2020!C18</f>
        <v>12294.554795599999</v>
      </c>
      <c r="D18" s="289">
        <f>K0kommunestruktur2020!D18</f>
        <v>297956.84913528111</v>
      </c>
      <c r="E18" s="289">
        <f>K0kommunestruktur2020!E18</f>
        <v>12553.835298739999</v>
      </c>
      <c r="F18" s="289">
        <f>K0kommunestruktur2020!F18</f>
        <v>303041.17775152071</v>
      </c>
      <c r="G18" s="289">
        <f>K0kommunestruktur2020!G18</f>
        <v>12623.71949686</v>
      </c>
      <c r="H18" s="289">
        <f>K0kommunestruktur2020!H18</f>
        <v>331363.5214623863</v>
      </c>
      <c r="I18" s="289">
        <f>K0kommunestruktur2020!I18</f>
        <v>12824.25676101</v>
      </c>
      <c r="J18" s="289">
        <f>K0kommunestruktur2020!J18</f>
        <v>337276.33231141837</v>
      </c>
      <c r="K18" s="289">
        <f>K0kommunestruktur2020!K18</f>
        <v>12799.94921384</v>
      </c>
      <c r="L18" s="289">
        <f>K0kommunestruktur2020!L18</f>
        <v>346356.21399380598</v>
      </c>
      <c r="M18" s="289">
        <f>K0kommunestruktur2020!M18</f>
        <v>12883</v>
      </c>
      <c r="N18" s="289">
        <f>K0kommunestruktur2020!N18</f>
        <v>363835.36603773583</v>
      </c>
      <c r="O18" s="289">
        <f>K0kommunestruktur2020!O18</f>
        <v>12968</v>
      </c>
      <c r="P18" s="289">
        <f>K0kommunestruktur2020!P18</f>
        <v>352943</v>
      </c>
      <c r="Q18" s="289">
        <f>VLOOKUP(A18,'K21'!$A$4:$CI$359,3)</f>
        <v>13070</v>
      </c>
      <c r="R18" s="289">
        <f>VLOOKUP(A18,'K21'!$A$4:$BV$359,26)</f>
        <v>415521.48</v>
      </c>
      <c r="S18" s="517"/>
      <c r="T18" s="517"/>
      <c r="U18" s="517"/>
      <c r="V18" s="517"/>
    </row>
    <row r="19" spans="1:22" ht="13">
      <c r="A19" s="755">
        <v>1133</v>
      </c>
      <c r="B19" s="756" t="s">
        <v>13</v>
      </c>
      <c r="C19" s="289">
        <f>K0kommunestruktur2020!C19</f>
        <v>2709.1218330800002</v>
      </c>
      <c r="D19" s="289">
        <f>K0kommunestruktur2020!D19</f>
        <v>84048.876676448577</v>
      </c>
      <c r="E19" s="289">
        <f>K0kommunestruktur2020!E19</f>
        <v>2707.1777198199998</v>
      </c>
      <c r="F19" s="289">
        <f>K0kommunestruktur2020!F19</f>
        <v>89016.08606553555</v>
      </c>
      <c r="G19" s="289">
        <f>K0kommunestruktur2020!G19</f>
        <v>2660.5190014899999</v>
      </c>
      <c r="H19" s="289">
        <f>K0kommunestruktur2020!H19</f>
        <v>91781.587183297699</v>
      </c>
      <c r="I19" s="289">
        <f>K0kommunestruktur2020!I19</f>
        <v>2632.3293591699999</v>
      </c>
      <c r="J19" s="289">
        <f>K0kommunestruktur2020!J19</f>
        <v>92416.340164095061</v>
      </c>
      <c r="K19" s="289">
        <f>K0kommunestruktur2020!K19</f>
        <v>2646.9102086399998</v>
      </c>
      <c r="L19" s="289">
        <f>K0kommunestruktur2020!L19</f>
        <v>92102.365871700327</v>
      </c>
      <c r="M19" s="289">
        <f>K0kommunestruktur2020!M19</f>
        <v>2609</v>
      </c>
      <c r="N19" s="289">
        <f>K0kommunestruktur2020!N19</f>
        <v>93031.652011922502</v>
      </c>
      <c r="O19" s="289">
        <f>K0kommunestruktur2020!O19</f>
        <v>2574</v>
      </c>
      <c r="P19" s="289">
        <f>K0kommunestruktur2020!P19</f>
        <v>94093</v>
      </c>
      <c r="Q19" s="289">
        <f>VLOOKUP(A19,'K21'!$A$4:$CI$359,3)</f>
        <v>2580</v>
      </c>
      <c r="R19" s="289">
        <f>VLOOKUP(A19,'K21'!$A$4:$BV$359,26)</f>
        <v>106916.879</v>
      </c>
      <c r="S19" s="517"/>
      <c r="T19" s="517"/>
      <c r="U19" s="517"/>
      <c r="V19" s="517"/>
    </row>
    <row r="20" spans="1:22" ht="13">
      <c r="A20" s="755">
        <v>1134</v>
      </c>
      <c r="B20" s="756" t="s">
        <v>14</v>
      </c>
      <c r="C20" s="289">
        <f>K0kommunestruktur2020!C20</f>
        <v>3881</v>
      </c>
      <c r="D20" s="289">
        <f>K0kommunestruktur2020!D20</f>
        <v>128925</v>
      </c>
      <c r="E20" s="289">
        <f>K0kommunestruktur2020!E20</f>
        <v>3892</v>
      </c>
      <c r="F20" s="289">
        <f>K0kommunestruktur2020!F20</f>
        <v>135306</v>
      </c>
      <c r="G20" s="289">
        <f>K0kommunestruktur2020!G20</f>
        <v>3903</v>
      </c>
      <c r="H20" s="289">
        <f>K0kommunestruktur2020!H20</f>
        <v>141024</v>
      </c>
      <c r="I20" s="289">
        <f>K0kommunestruktur2020!I20</f>
        <v>3853</v>
      </c>
      <c r="J20" s="289">
        <f>K0kommunestruktur2020!J20</f>
        <v>145448</v>
      </c>
      <c r="K20" s="289">
        <f>K0kommunestruktur2020!K20</f>
        <v>3849</v>
      </c>
      <c r="L20" s="289">
        <f>K0kommunestruktur2020!L20</f>
        <v>153606</v>
      </c>
      <c r="M20" s="289">
        <f>K0kommunestruktur2020!M20</f>
        <v>3794</v>
      </c>
      <c r="N20" s="289">
        <f>K0kommunestruktur2020!N20</f>
        <v>156911</v>
      </c>
      <c r="O20" s="289">
        <f>K0kommunestruktur2020!O20</f>
        <v>3804</v>
      </c>
      <c r="P20" s="289">
        <f>K0kommunestruktur2020!P20</f>
        <v>148300</v>
      </c>
      <c r="Q20" s="289">
        <f>VLOOKUP(A20,'K21'!$A$4:$CI$359,3)</f>
        <v>3809</v>
      </c>
      <c r="R20" s="289">
        <f>VLOOKUP(A20,'K21'!$A$4:$BV$359,26)</f>
        <v>161349.04399999999</v>
      </c>
      <c r="S20" s="517"/>
      <c r="T20" s="517"/>
      <c r="U20" s="517"/>
      <c r="V20" s="517"/>
    </row>
    <row r="21" spans="1:22" ht="13">
      <c r="A21" s="755">
        <v>1135</v>
      </c>
      <c r="B21" s="756" t="s">
        <v>15</v>
      </c>
      <c r="C21" s="289">
        <f>K0kommunestruktur2020!C21</f>
        <v>4760</v>
      </c>
      <c r="D21" s="289">
        <f>K0kommunestruktur2020!D21</f>
        <v>127106</v>
      </c>
      <c r="E21" s="289">
        <f>K0kommunestruktur2020!E21</f>
        <v>4756</v>
      </c>
      <c r="F21" s="289">
        <f>K0kommunestruktur2020!F21</f>
        <v>134334</v>
      </c>
      <c r="G21" s="289">
        <f>K0kommunestruktur2020!G21</f>
        <v>4710</v>
      </c>
      <c r="H21" s="289">
        <f>K0kommunestruktur2020!H21</f>
        <v>112299</v>
      </c>
      <c r="I21" s="289">
        <f>K0kommunestruktur2020!I21</f>
        <v>4760</v>
      </c>
      <c r="J21" s="289">
        <f>K0kommunestruktur2020!J21</f>
        <v>154229</v>
      </c>
      <c r="K21" s="289">
        <f>K0kommunestruktur2020!K21</f>
        <v>4663</v>
      </c>
      <c r="L21" s="289">
        <f>K0kommunestruktur2020!L21</f>
        <v>132320</v>
      </c>
      <c r="M21" s="289">
        <f>K0kommunestruktur2020!M21</f>
        <v>4597</v>
      </c>
      <c r="N21" s="289">
        <f>K0kommunestruktur2020!N21</f>
        <v>152473</v>
      </c>
      <c r="O21" s="289">
        <f>K0kommunestruktur2020!O21</f>
        <v>4595</v>
      </c>
      <c r="P21" s="289">
        <f>K0kommunestruktur2020!P21</f>
        <v>146125</v>
      </c>
      <c r="Q21" s="289">
        <f>VLOOKUP(A21,'K21'!$A$4:$CI$359,3)</f>
        <v>4561</v>
      </c>
      <c r="R21" s="289">
        <f>VLOOKUP(A21,'K21'!$A$4:$BV$359,26)</f>
        <v>157986.484</v>
      </c>
      <c r="S21" s="517"/>
      <c r="T21" s="517"/>
      <c r="U21" s="517"/>
      <c r="V21" s="517"/>
    </row>
    <row r="22" spans="1:22" ht="13">
      <c r="A22" s="755">
        <v>1144</v>
      </c>
      <c r="B22" s="756" t="s">
        <v>18</v>
      </c>
      <c r="C22" s="289">
        <f>K0kommunestruktur2020!C22</f>
        <v>531</v>
      </c>
      <c r="D22" s="289">
        <f>K0kommunestruktur2020!D22</f>
        <v>11917</v>
      </c>
      <c r="E22" s="289">
        <f>K0kommunestruktur2020!E22</f>
        <v>534</v>
      </c>
      <c r="F22" s="289">
        <f>K0kommunestruktur2020!F22</f>
        <v>12526</v>
      </c>
      <c r="G22" s="289">
        <f>K0kommunestruktur2020!G22</f>
        <v>524</v>
      </c>
      <c r="H22" s="289">
        <f>K0kommunestruktur2020!H22</f>
        <v>12573</v>
      </c>
      <c r="I22" s="289">
        <f>K0kommunestruktur2020!I22</f>
        <v>534</v>
      </c>
      <c r="J22" s="289">
        <f>K0kommunestruktur2020!J22</f>
        <v>15385</v>
      </c>
      <c r="K22" s="289">
        <f>K0kommunestruktur2020!K22</f>
        <v>542</v>
      </c>
      <c r="L22" s="289">
        <f>K0kommunestruktur2020!L22</f>
        <v>14773</v>
      </c>
      <c r="M22" s="289">
        <f>K0kommunestruktur2020!M22</f>
        <v>516</v>
      </c>
      <c r="N22" s="289">
        <f>K0kommunestruktur2020!N22</f>
        <v>14046</v>
      </c>
      <c r="O22" s="289">
        <f>K0kommunestruktur2020!O22</f>
        <v>517</v>
      </c>
      <c r="P22" s="289">
        <f>K0kommunestruktur2020!P22</f>
        <v>13557</v>
      </c>
      <c r="Q22" s="289">
        <f>VLOOKUP(A22,'K21'!$A$4:$CI$359,3)</f>
        <v>507</v>
      </c>
      <c r="R22" s="289">
        <f>VLOOKUP(A22,'K21'!$A$4:$BV$359,26)</f>
        <v>15499.978999999999</v>
      </c>
      <c r="S22" s="517"/>
      <c r="T22" s="517"/>
      <c r="U22" s="517"/>
      <c r="V22" s="517"/>
    </row>
    <row r="23" spans="1:22" ht="13">
      <c r="A23" s="755">
        <v>1145</v>
      </c>
      <c r="B23" s="756" t="s">
        <v>19</v>
      </c>
      <c r="C23" s="289">
        <f>K0kommunestruktur2020!C23</f>
        <v>868</v>
      </c>
      <c r="D23" s="289">
        <f>K0kommunestruktur2020!D23</f>
        <v>19718</v>
      </c>
      <c r="E23" s="289">
        <f>K0kommunestruktur2020!E23</f>
        <v>865</v>
      </c>
      <c r="F23" s="289">
        <f>K0kommunestruktur2020!F23</f>
        <v>19578</v>
      </c>
      <c r="G23" s="289">
        <f>K0kommunestruktur2020!G23</f>
        <v>865</v>
      </c>
      <c r="H23" s="289">
        <f>K0kommunestruktur2020!H23</f>
        <v>20265</v>
      </c>
      <c r="I23" s="289">
        <f>K0kommunestruktur2020!I23</f>
        <v>855</v>
      </c>
      <c r="J23" s="289">
        <f>K0kommunestruktur2020!J23</f>
        <v>20969</v>
      </c>
      <c r="K23" s="289">
        <f>K0kommunestruktur2020!K23</f>
        <v>844</v>
      </c>
      <c r="L23" s="289">
        <f>K0kommunestruktur2020!L23</f>
        <v>21260</v>
      </c>
      <c r="M23" s="289">
        <f>K0kommunestruktur2020!M23</f>
        <v>840</v>
      </c>
      <c r="N23" s="289">
        <f>K0kommunestruktur2020!N23</f>
        <v>23216</v>
      </c>
      <c r="O23" s="289">
        <f>K0kommunestruktur2020!O23</f>
        <v>852</v>
      </c>
      <c r="P23" s="289">
        <f>K0kommunestruktur2020!P23</f>
        <v>23677</v>
      </c>
      <c r="Q23" s="289">
        <f>VLOOKUP(A23,'K21'!$A$4:$CI$359,3)</f>
        <v>859</v>
      </c>
      <c r="R23" s="289">
        <f>VLOOKUP(A23,'K21'!$A$4:$BV$359,26)</f>
        <v>27882.303</v>
      </c>
      <c r="S23" s="517"/>
      <c r="T23" s="517"/>
      <c r="U23" s="517"/>
      <c r="V23" s="517"/>
    </row>
    <row r="24" spans="1:22" ht="13">
      <c r="A24" s="755">
        <v>1146</v>
      </c>
      <c r="B24" s="756" t="s">
        <v>20</v>
      </c>
      <c r="C24" s="289">
        <f>K0kommunestruktur2020!C24</f>
        <v>10668</v>
      </c>
      <c r="D24" s="289">
        <f>K0kommunestruktur2020!D24</f>
        <v>246736</v>
      </c>
      <c r="E24" s="289">
        <f>K0kommunestruktur2020!E24</f>
        <v>10857</v>
      </c>
      <c r="F24" s="289">
        <f>K0kommunestruktur2020!F24</f>
        <v>255555</v>
      </c>
      <c r="G24" s="289">
        <f>K0kommunestruktur2020!G24</f>
        <v>10925</v>
      </c>
      <c r="H24" s="289">
        <f>K0kommunestruktur2020!H24</f>
        <v>264000</v>
      </c>
      <c r="I24" s="289">
        <f>K0kommunestruktur2020!I24</f>
        <v>11041</v>
      </c>
      <c r="J24" s="289">
        <f>K0kommunestruktur2020!J24</f>
        <v>279974</v>
      </c>
      <c r="K24" s="289">
        <f>K0kommunestruktur2020!K24</f>
        <v>11023</v>
      </c>
      <c r="L24" s="289">
        <f>K0kommunestruktur2020!L24</f>
        <v>296653</v>
      </c>
      <c r="M24" s="289">
        <f>K0kommunestruktur2020!M24</f>
        <v>11028</v>
      </c>
      <c r="N24" s="289">
        <f>K0kommunestruktur2020!N24</f>
        <v>303352</v>
      </c>
      <c r="O24" s="289">
        <f>K0kommunestruktur2020!O24</f>
        <v>11065</v>
      </c>
      <c r="P24" s="289">
        <f>K0kommunestruktur2020!P24</f>
        <v>296200</v>
      </c>
      <c r="Q24" s="289">
        <f>VLOOKUP(A24,'K21'!$A$4:$CI$359,3)</f>
        <v>11178</v>
      </c>
      <c r="R24" s="289">
        <f>VLOOKUP(A24,'K21'!$A$4:$BV$359,26)</f>
        <v>356276.337</v>
      </c>
      <c r="S24" s="517"/>
      <c r="T24" s="517"/>
      <c r="U24" s="517"/>
      <c r="V24" s="517"/>
    </row>
    <row r="25" spans="1:22" ht="13">
      <c r="A25" s="755">
        <v>1149</v>
      </c>
      <c r="B25" s="756" t="s">
        <v>21</v>
      </c>
      <c r="C25" s="289">
        <f>K0kommunestruktur2020!C25</f>
        <v>41753</v>
      </c>
      <c r="D25" s="289">
        <f>K0kommunestruktur2020!D25</f>
        <v>951724</v>
      </c>
      <c r="E25" s="289">
        <f>K0kommunestruktur2020!E25</f>
        <v>42062</v>
      </c>
      <c r="F25" s="289">
        <f>K0kommunestruktur2020!F25</f>
        <v>983888</v>
      </c>
      <c r="G25" s="289">
        <f>K0kommunestruktur2020!G25</f>
        <v>42187</v>
      </c>
      <c r="H25" s="289">
        <f>K0kommunestruktur2020!H25</f>
        <v>1031685</v>
      </c>
      <c r="I25" s="289">
        <f>K0kommunestruktur2020!I25</f>
        <v>42229</v>
      </c>
      <c r="J25" s="289">
        <f>K0kommunestruktur2020!J25</f>
        <v>1048090</v>
      </c>
      <c r="K25" s="289">
        <f>K0kommunestruktur2020!K25</f>
        <v>42243</v>
      </c>
      <c r="L25" s="289">
        <f>K0kommunestruktur2020!L25</f>
        <v>1089363</v>
      </c>
      <c r="M25" s="289">
        <f>K0kommunestruktur2020!M25</f>
        <v>42161</v>
      </c>
      <c r="N25" s="289">
        <f>K0kommunestruktur2020!N25</f>
        <v>1149890</v>
      </c>
      <c r="O25" s="289">
        <f>K0kommunestruktur2020!O25</f>
        <v>42186</v>
      </c>
      <c r="P25" s="289">
        <f>K0kommunestruktur2020!P25</f>
        <v>1125826</v>
      </c>
      <c r="Q25" s="289">
        <f>VLOOKUP(A25,'K21'!$A$4:$CI$359,3)</f>
        <v>42345</v>
      </c>
      <c r="R25" s="289">
        <f>VLOOKUP(A25,'K21'!$A$4:$BV$359,26)</f>
        <v>1289099.81</v>
      </c>
      <c r="S25" s="517"/>
      <c r="T25" s="517"/>
      <c r="U25" s="517"/>
      <c r="V25" s="517"/>
    </row>
    <row r="26" spans="1:22" ht="13">
      <c r="A26" s="755">
        <v>1151</v>
      </c>
      <c r="B26" s="756" t="s">
        <v>22</v>
      </c>
      <c r="C26" s="289">
        <f>K0kommunestruktur2020!C26</f>
        <v>211</v>
      </c>
      <c r="D26" s="289">
        <f>K0kommunestruktur2020!D26</f>
        <v>5164</v>
      </c>
      <c r="E26" s="289">
        <f>K0kommunestruktur2020!E26</f>
        <v>206</v>
      </c>
      <c r="F26" s="289">
        <f>K0kommunestruktur2020!F26</f>
        <v>5153</v>
      </c>
      <c r="G26" s="289">
        <f>K0kommunestruktur2020!G26</f>
        <v>200</v>
      </c>
      <c r="H26" s="289">
        <f>K0kommunestruktur2020!H26</f>
        <v>4581</v>
      </c>
      <c r="I26" s="289">
        <f>K0kommunestruktur2020!I26</f>
        <v>201</v>
      </c>
      <c r="J26" s="289">
        <f>K0kommunestruktur2020!J26</f>
        <v>4747</v>
      </c>
      <c r="K26" s="289">
        <f>K0kommunestruktur2020!K26</f>
        <v>208</v>
      </c>
      <c r="L26" s="289">
        <f>K0kommunestruktur2020!L26</f>
        <v>5467</v>
      </c>
      <c r="M26" s="289">
        <f>K0kommunestruktur2020!M26</f>
        <v>196</v>
      </c>
      <c r="N26" s="289">
        <f>K0kommunestruktur2020!N26</f>
        <v>5709</v>
      </c>
      <c r="O26" s="289">
        <f>K0kommunestruktur2020!O26</f>
        <v>198</v>
      </c>
      <c r="P26" s="289">
        <f>K0kommunestruktur2020!P26</f>
        <v>6085</v>
      </c>
      <c r="Q26" s="289">
        <f>VLOOKUP(A26,'K21'!$A$4:$CI$359,3)</f>
        <v>192</v>
      </c>
      <c r="R26" s="289">
        <f>VLOOKUP(A26,'K21'!$A$4:$BV$359,26)</f>
        <v>6575.7209999999995</v>
      </c>
      <c r="S26" s="517"/>
      <c r="T26" s="517"/>
      <c r="U26" s="517"/>
      <c r="V26" s="517"/>
    </row>
    <row r="27" spans="1:22" ht="13">
      <c r="A27" s="755">
        <v>1160</v>
      </c>
      <c r="B27" s="756" t="s">
        <v>1543</v>
      </c>
      <c r="C27" s="289">
        <f>K0kommunestruktur2020!C27</f>
        <v>8747</v>
      </c>
      <c r="D27" s="289">
        <f>K0kommunestruktur2020!D27</f>
        <v>219287</v>
      </c>
      <c r="E27" s="289">
        <f>K0kommunestruktur2020!E27</f>
        <v>8765</v>
      </c>
      <c r="F27" s="289">
        <f>K0kommunestruktur2020!F27</f>
        <v>224845</v>
      </c>
      <c r="G27" s="289">
        <f>K0kommunestruktur2020!G27</f>
        <v>8788</v>
      </c>
      <c r="H27" s="289">
        <f>K0kommunestruktur2020!H27</f>
        <v>241047</v>
      </c>
      <c r="I27" s="289">
        <f>K0kommunestruktur2020!I27</f>
        <v>8828</v>
      </c>
      <c r="J27" s="289">
        <f>K0kommunestruktur2020!J27</f>
        <v>300936</v>
      </c>
      <c r="K27" s="289">
        <f>K0kommunestruktur2020!K27</f>
        <v>8793</v>
      </c>
      <c r="L27" s="289">
        <f>K0kommunestruktur2020!L27</f>
        <v>278332</v>
      </c>
      <c r="M27" s="289">
        <f>K0kommunestruktur2020!M27</f>
        <v>8743</v>
      </c>
      <c r="N27" s="289">
        <f>K0kommunestruktur2020!N27</f>
        <v>307150</v>
      </c>
      <c r="O27" s="289">
        <f>K0kommunestruktur2020!O27</f>
        <v>8714</v>
      </c>
      <c r="P27" s="289">
        <f>K0kommunestruktur2020!P27</f>
        <v>308048</v>
      </c>
      <c r="Q27" s="289">
        <f>VLOOKUP(A27,'K21'!$A$4:$CI$359,3)</f>
        <v>8705</v>
      </c>
      <c r="R27" s="289">
        <f>VLOOKUP(A27,'K21'!$A$4:$BV$359,26)</f>
        <v>338882.98200000002</v>
      </c>
      <c r="S27" s="517"/>
      <c r="T27" s="517"/>
      <c r="U27" s="517"/>
      <c r="V27" s="517"/>
    </row>
    <row r="28" spans="1:22" ht="13">
      <c r="A28" s="755">
        <v>1505</v>
      </c>
      <c r="B28" s="756" t="s">
        <v>1654</v>
      </c>
      <c r="C28" s="289">
        <f>K0kommunestruktur2020!C28</f>
        <v>24395</v>
      </c>
      <c r="D28" s="289">
        <f>K0kommunestruktur2020!D28</f>
        <v>563921</v>
      </c>
      <c r="E28" s="289">
        <f>K0kommunestruktur2020!E28</f>
        <v>24507</v>
      </c>
      <c r="F28" s="289">
        <f>K0kommunestruktur2020!F28</f>
        <v>582836</v>
      </c>
      <c r="G28" s="289">
        <f>K0kommunestruktur2020!G28</f>
        <v>24526</v>
      </c>
      <c r="H28" s="289">
        <f>K0kommunestruktur2020!H28</f>
        <v>605657</v>
      </c>
      <c r="I28" s="289">
        <f>K0kommunestruktur2020!I28</f>
        <v>24442</v>
      </c>
      <c r="J28" s="289">
        <f>K0kommunestruktur2020!J28</f>
        <v>613661</v>
      </c>
      <c r="K28" s="289">
        <f>K0kommunestruktur2020!K28</f>
        <v>24300</v>
      </c>
      <c r="L28" s="289">
        <f>K0kommunestruktur2020!L28</f>
        <v>637871</v>
      </c>
      <c r="M28" s="289">
        <f>K0kommunestruktur2020!M28</f>
        <v>24274</v>
      </c>
      <c r="N28" s="289">
        <f>K0kommunestruktur2020!N28</f>
        <v>663317</v>
      </c>
      <c r="O28" s="289">
        <f>K0kommunestruktur2020!O28</f>
        <v>24179</v>
      </c>
      <c r="P28" s="289">
        <f>K0kommunestruktur2020!P28</f>
        <v>646563</v>
      </c>
      <c r="Q28" s="289">
        <f>VLOOKUP(A28,'K21'!$A$4:$CI$359,3)</f>
        <v>24099</v>
      </c>
      <c r="R28" s="289">
        <f>VLOOKUP(A28,'K21'!$A$4:$BV$359,26)</f>
        <v>748812.223</v>
      </c>
      <c r="S28" s="517"/>
      <c r="T28" s="517"/>
      <c r="U28" s="517"/>
      <c r="V28" s="517"/>
    </row>
    <row r="29" spans="1:22" ht="13">
      <c r="A29" s="755">
        <v>1506</v>
      </c>
      <c r="B29" s="756" t="s">
        <v>1611</v>
      </c>
      <c r="C29" s="289">
        <f>K0kommunestruktur2020!C29</f>
        <v>31085</v>
      </c>
      <c r="D29" s="289">
        <f>K0kommunestruktur2020!D29</f>
        <v>758360</v>
      </c>
      <c r="E29" s="289">
        <f>K0kommunestruktur2020!E29</f>
        <v>31435</v>
      </c>
      <c r="F29" s="289">
        <f>K0kommunestruktur2020!F29</f>
        <v>807102</v>
      </c>
      <c r="G29" s="289">
        <f>K0kommunestruktur2020!G29</f>
        <v>31790</v>
      </c>
      <c r="H29" s="289">
        <f>K0kommunestruktur2020!H29</f>
        <v>848047</v>
      </c>
      <c r="I29" s="289">
        <f>K0kommunestruktur2020!I29</f>
        <v>31870</v>
      </c>
      <c r="J29" s="289">
        <f>K0kommunestruktur2020!J29</f>
        <v>878122</v>
      </c>
      <c r="K29" s="289">
        <f>K0kommunestruktur2020!K29</f>
        <v>31895</v>
      </c>
      <c r="L29" s="289">
        <f>K0kommunestruktur2020!L29</f>
        <v>913522</v>
      </c>
      <c r="M29" s="289">
        <f>K0kommunestruktur2020!M29</f>
        <v>31976</v>
      </c>
      <c r="N29" s="289">
        <f>K0kommunestruktur2020!N29</f>
        <v>946419</v>
      </c>
      <c r="O29" s="289">
        <f>K0kommunestruktur2020!O29</f>
        <v>31967</v>
      </c>
      <c r="P29" s="289">
        <f>K0kommunestruktur2020!P29</f>
        <v>940943</v>
      </c>
      <c r="Q29" s="289">
        <f>VLOOKUP(A29,'K21'!$A$4:$CI$359,3)</f>
        <v>31870</v>
      </c>
      <c r="R29" s="289">
        <f>VLOOKUP(A29,'K21'!$A$4:$BV$359,26)</f>
        <v>1064962.554</v>
      </c>
      <c r="S29" s="517"/>
      <c r="T29" s="517"/>
      <c r="U29" s="517"/>
      <c r="V29" s="517"/>
    </row>
    <row r="30" spans="1:22" ht="13">
      <c r="A30" s="755">
        <v>1507</v>
      </c>
      <c r="B30" s="756" t="s">
        <v>1612</v>
      </c>
      <c r="C30" s="289">
        <f>K0kommunestruktur2020!C30</f>
        <v>62792.5172398</v>
      </c>
      <c r="D30" s="289">
        <f>K0kommunestruktur2020!D30</f>
        <v>1568748.12571412</v>
      </c>
      <c r="E30" s="289">
        <f>K0kommunestruktur2020!E30</f>
        <v>63445.397848640001</v>
      </c>
      <c r="F30" s="289">
        <f>K0kommunestruktur2020!F30</f>
        <v>1625606.7280787805</v>
      </c>
      <c r="G30" s="289">
        <f>K0kommunestruktur2020!G30</f>
        <v>64135.271692590002</v>
      </c>
      <c r="H30" s="289">
        <f>K0kommunestruktur2020!H30</f>
        <v>1736243.4961222783</v>
      </c>
      <c r="I30" s="289">
        <f>K0kommunestruktur2020!I30</f>
        <v>64708.166928220002</v>
      </c>
      <c r="J30" s="289">
        <f>K0kommunestruktur2020!J30</f>
        <v>1804717.9743116449</v>
      </c>
      <c r="K30" s="289">
        <f>K0kommunestruktur2020!K30</f>
        <v>65053.103850200001</v>
      </c>
      <c r="L30" s="289">
        <f>K0kommunestruktur2020!L30</f>
        <v>1924606.0505843894</v>
      </c>
      <c r="M30" s="289">
        <f>K0kommunestruktur2020!M30</f>
        <v>65621</v>
      </c>
      <c r="N30" s="289">
        <f>K0kommunestruktur2020!N30</f>
        <v>2059966.2974875444</v>
      </c>
      <c r="O30" s="289">
        <f>K0kommunestruktur2020!O30</f>
        <v>66258</v>
      </c>
      <c r="P30" s="289">
        <f>K0kommunestruktur2020!P30</f>
        <v>2040372</v>
      </c>
      <c r="Q30" s="289">
        <f>VLOOKUP(A30,'K21'!$A$4:$CI$359,3)</f>
        <v>66670</v>
      </c>
      <c r="R30" s="289">
        <f>VLOOKUP(A30,'K21'!$A$4:$BV$359,26)</f>
        <v>2306453.946</v>
      </c>
      <c r="S30" s="517"/>
      <c r="T30" s="517"/>
      <c r="U30" s="517"/>
      <c r="V30" s="517"/>
    </row>
    <row r="31" spans="1:22" ht="13">
      <c r="A31" s="755">
        <v>1511</v>
      </c>
      <c r="B31" s="756" t="s">
        <v>86</v>
      </c>
      <c r="C31" s="289">
        <f>K0kommunestruktur2020!C31</f>
        <v>3302</v>
      </c>
      <c r="D31" s="289">
        <f>K0kommunestruktur2020!D31</f>
        <v>72479</v>
      </c>
      <c r="E31" s="289">
        <f>K0kommunestruktur2020!E31</f>
        <v>3258</v>
      </c>
      <c r="F31" s="289">
        <f>K0kommunestruktur2020!F31</f>
        <v>74410</v>
      </c>
      <c r="G31" s="289">
        <f>K0kommunestruktur2020!G31</f>
        <v>3256</v>
      </c>
      <c r="H31" s="289">
        <f>K0kommunestruktur2020!H31</f>
        <v>74821</v>
      </c>
      <c r="I31" s="289">
        <f>K0kommunestruktur2020!I31</f>
        <v>3203</v>
      </c>
      <c r="J31" s="289">
        <f>K0kommunestruktur2020!J31</f>
        <v>77373</v>
      </c>
      <c r="K31" s="289">
        <f>K0kommunestruktur2020!K31</f>
        <v>3187</v>
      </c>
      <c r="L31" s="289">
        <f>K0kommunestruktur2020!L31</f>
        <v>83683</v>
      </c>
      <c r="M31" s="289">
        <f>K0kommunestruktur2020!M31</f>
        <v>3163</v>
      </c>
      <c r="N31" s="289">
        <f>K0kommunestruktur2020!N31</f>
        <v>88973</v>
      </c>
      <c r="O31" s="289">
        <f>K0kommunestruktur2020!O31</f>
        <v>3117</v>
      </c>
      <c r="P31" s="289">
        <f>K0kommunestruktur2020!P31</f>
        <v>83290</v>
      </c>
      <c r="Q31" s="289">
        <f>VLOOKUP(A31,'K21'!$A$4:$CI$359,3)</f>
        <v>3083</v>
      </c>
      <c r="R31" s="289">
        <f>VLOOKUP(A31,'K21'!$A$4:$BV$359,26)</f>
        <v>91773.392999999996</v>
      </c>
      <c r="S31" s="517"/>
      <c r="T31" s="517"/>
      <c r="U31" s="517"/>
      <c r="V31" s="517"/>
    </row>
    <row r="32" spans="1:22" ht="13">
      <c r="A32" s="755">
        <v>1514</v>
      </c>
      <c r="B32" s="756" t="s">
        <v>897</v>
      </c>
      <c r="C32" s="289">
        <f>K0kommunestruktur2020!C32</f>
        <v>2636</v>
      </c>
      <c r="D32" s="289">
        <f>K0kommunestruktur2020!D32</f>
        <v>55999</v>
      </c>
      <c r="E32" s="289">
        <f>K0kommunestruktur2020!E32</f>
        <v>2635</v>
      </c>
      <c r="F32" s="289">
        <f>K0kommunestruktur2020!F32</f>
        <v>62048</v>
      </c>
      <c r="G32" s="289">
        <f>K0kommunestruktur2020!G32</f>
        <v>2559</v>
      </c>
      <c r="H32" s="289">
        <f>K0kommunestruktur2020!H32</f>
        <v>63984</v>
      </c>
      <c r="I32" s="289">
        <f>K0kommunestruktur2020!I32</f>
        <v>2540</v>
      </c>
      <c r="J32" s="289">
        <f>K0kommunestruktur2020!J32</f>
        <v>61235</v>
      </c>
      <c r="K32" s="289">
        <f>K0kommunestruktur2020!K32</f>
        <v>2522</v>
      </c>
      <c r="L32" s="289">
        <f>K0kommunestruktur2020!L32</f>
        <v>68936</v>
      </c>
      <c r="M32" s="289">
        <f>K0kommunestruktur2020!M32</f>
        <v>2493</v>
      </c>
      <c r="N32" s="289">
        <f>K0kommunestruktur2020!N32</f>
        <v>75383</v>
      </c>
      <c r="O32" s="289">
        <f>K0kommunestruktur2020!O32</f>
        <v>2461</v>
      </c>
      <c r="P32" s="289">
        <f>K0kommunestruktur2020!P32</f>
        <v>73238</v>
      </c>
      <c r="Q32" s="289">
        <f>VLOOKUP(A32,'K21'!$A$4:$CI$359,3)</f>
        <v>2445</v>
      </c>
      <c r="R32" s="289">
        <f>VLOOKUP(A32,'K21'!$A$4:$BV$359,26)</f>
        <v>83274.95</v>
      </c>
      <c r="S32" s="517"/>
      <c r="T32" s="517"/>
      <c r="U32" s="517"/>
      <c r="V32" s="517"/>
    </row>
    <row r="33" spans="1:22" ht="13">
      <c r="A33" s="755">
        <v>1515</v>
      </c>
      <c r="B33" s="756" t="s">
        <v>87</v>
      </c>
      <c r="C33" s="289">
        <f>K0kommunestruktur2020!C33</f>
        <v>8847</v>
      </c>
      <c r="D33" s="289">
        <f>K0kommunestruktur2020!D33</f>
        <v>231216</v>
      </c>
      <c r="E33" s="289">
        <f>K0kommunestruktur2020!E33</f>
        <v>8934</v>
      </c>
      <c r="F33" s="289">
        <f>K0kommunestruktur2020!F33</f>
        <v>248460</v>
      </c>
      <c r="G33" s="289">
        <f>K0kommunestruktur2020!G33</f>
        <v>8972</v>
      </c>
      <c r="H33" s="289">
        <f>K0kommunestruktur2020!H33</f>
        <v>260046</v>
      </c>
      <c r="I33" s="289">
        <f>K0kommunestruktur2020!I33</f>
        <v>8957</v>
      </c>
      <c r="J33" s="289">
        <f>K0kommunestruktur2020!J33</f>
        <v>261503</v>
      </c>
      <c r="K33" s="289">
        <f>K0kommunestruktur2020!K33</f>
        <v>8965</v>
      </c>
      <c r="L33" s="289">
        <f>K0kommunestruktur2020!L33</f>
        <v>270116</v>
      </c>
      <c r="M33" s="289">
        <f>K0kommunestruktur2020!M33</f>
        <v>8927</v>
      </c>
      <c r="N33" s="289">
        <f>K0kommunestruktur2020!N33</f>
        <v>303238</v>
      </c>
      <c r="O33" s="289">
        <f>K0kommunestruktur2020!O33</f>
        <v>8900</v>
      </c>
      <c r="P33" s="289">
        <f>K0kommunestruktur2020!P33</f>
        <v>308399</v>
      </c>
      <c r="Q33" s="289">
        <f>VLOOKUP(A33,'K21'!$A$4:$CI$359,3)</f>
        <v>8858</v>
      </c>
      <c r="R33" s="289">
        <f>VLOOKUP(A33,'K21'!$A$4:$BV$359,26)</f>
        <v>311160.25699999998</v>
      </c>
      <c r="S33" s="517"/>
      <c r="T33" s="517"/>
      <c r="U33" s="517"/>
      <c r="V33" s="517"/>
    </row>
    <row r="34" spans="1:22" ht="13">
      <c r="A34" s="755">
        <v>1516</v>
      </c>
      <c r="B34" s="756" t="s">
        <v>88</v>
      </c>
      <c r="C34" s="289">
        <f>K0kommunestruktur2020!C34</f>
        <v>8092</v>
      </c>
      <c r="D34" s="289">
        <f>K0kommunestruktur2020!D34</f>
        <v>242269</v>
      </c>
      <c r="E34" s="289">
        <f>K0kommunestruktur2020!E34</f>
        <v>8292</v>
      </c>
      <c r="F34" s="289">
        <f>K0kommunestruktur2020!F34</f>
        <v>257483</v>
      </c>
      <c r="G34" s="289">
        <f>K0kommunestruktur2020!G34</f>
        <v>8430</v>
      </c>
      <c r="H34" s="289">
        <f>K0kommunestruktur2020!H34</f>
        <v>245408</v>
      </c>
      <c r="I34" s="289">
        <f>K0kommunestruktur2020!I34</f>
        <v>8457</v>
      </c>
      <c r="J34" s="289">
        <f>K0kommunestruktur2020!J34</f>
        <v>249381</v>
      </c>
      <c r="K34" s="289">
        <f>K0kommunestruktur2020!K34</f>
        <v>8555</v>
      </c>
      <c r="L34" s="289">
        <f>K0kommunestruktur2020!L34</f>
        <v>262420</v>
      </c>
      <c r="M34" s="289">
        <f>K0kommunestruktur2020!M34</f>
        <v>8609</v>
      </c>
      <c r="N34" s="289">
        <f>K0kommunestruktur2020!N34</f>
        <v>275729</v>
      </c>
      <c r="O34" s="289">
        <f>K0kommunestruktur2020!O34</f>
        <v>8571</v>
      </c>
      <c r="P34" s="289">
        <f>K0kommunestruktur2020!P34</f>
        <v>276618</v>
      </c>
      <c r="Q34" s="289">
        <f>VLOOKUP(A34,'K21'!$A$4:$CI$359,3)</f>
        <v>8575</v>
      </c>
      <c r="R34" s="289">
        <f>VLOOKUP(A34,'K21'!$A$4:$BV$359,26)</f>
        <v>314138.39</v>
      </c>
      <c r="S34" s="517"/>
      <c r="T34" s="517"/>
      <c r="U34" s="517"/>
      <c r="V34" s="517"/>
    </row>
    <row r="35" spans="1:22" ht="13">
      <c r="A35" s="755">
        <v>1517</v>
      </c>
      <c r="B35" s="756" t="s">
        <v>89</v>
      </c>
      <c r="C35" s="289">
        <f>K0kommunestruktur2020!C35</f>
        <v>5021</v>
      </c>
      <c r="D35" s="289">
        <f>K0kommunestruktur2020!D35</f>
        <v>112102</v>
      </c>
      <c r="E35" s="289">
        <f>K0kommunestruktur2020!E35</f>
        <v>5065</v>
      </c>
      <c r="F35" s="289">
        <f>K0kommunestruktur2020!F35</f>
        <v>114254</v>
      </c>
      <c r="G35" s="289">
        <f>K0kommunestruktur2020!G35</f>
        <v>5189</v>
      </c>
      <c r="H35" s="289">
        <f>K0kommunestruktur2020!H35</f>
        <v>119524</v>
      </c>
      <c r="I35" s="289">
        <f>K0kommunestruktur2020!I35</f>
        <v>5185</v>
      </c>
      <c r="J35" s="289">
        <f>K0kommunestruktur2020!J35</f>
        <v>120422</v>
      </c>
      <c r="K35" s="289">
        <f>K0kommunestruktur2020!K35</f>
        <v>5150</v>
      </c>
      <c r="L35" s="289">
        <f>K0kommunestruktur2020!L35</f>
        <v>124236</v>
      </c>
      <c r="M35" s="289">
        <f>K0kommunestruktur2020!M35</f>
        <v>5155</v>
      </c>
      <c r="N35" s="289">
        <f>K0kommunestruktur2020!N35</f>
        <v>130558</v>
      </c>
      <c r="O35" s="289">
        <f>K0kommunestruktur2020!O35</f>
        <v>5175</v>
      </c>
      <c r="P35" s="289">
        <f>K0kommunestruktur2020!P35</f>
        <v>129502</v>
      </c>
      <c r="Q35" s="289">
        <f>VLOOKUP(A35,'K21'!$A$4:$CI$359,3)</f>
        <v>5140</v>
      </c>
      <c r="R35" s="289">
        <f>VLOOKUP(A35,'K21'!$A$4:$BV$359,26)</f>
        <v>147452.75700000001</v>
      </c>
      <c r="S35" s="517"/>
      <c r="T35" s="517"/>
      <c r="U35" s="517"/>
      <c r="V35" s="517"/>
    </row>
    <row r="36" spans="1:22" ht="13">
      <c r="A36" s="755">
        <v>1520</v>
      </c>
      <c r="B36" s="756" t="s">
        <v>91</v>
      </c>
      <c r="C36" s="289">
        <f>K0kommunestruktur2020!C36</f>
        <v>10434.104448739999</v>
      </c>
      <c r="D36" s="289">
        <f>K0kommunestruktur2020!D36</f>
        <v>228705.54738872123</v>
      </c>
      <c r="E36" s="289">
        <f>K0kommunestruktur2020!E36</f>
        <v>10486.591876209999</v>
      </c>
      <c r="F36" s="289">
        <f>K0kommunestruktur2020!F36</f>
        <v>245677.8027079562</v>
      </c>
      <c r="G36" s="289">
        <f>K0kommunestruktur2020!G36</f>
        <v>10573.74081238</v>
      </c>
      <c r="H36" s="289">
        <f>K0kommunestruktur2020!H36</f>
        <v>254924.50290137541</v>
      </c>
      <c r="I36" s="289">
        <f>K0kommunestruktur2020!I36</f>
        <v>10640.09284333</v>
      </c>
      <c r="J36" s="289">
        <f>K0kommunestruktur2020!J36</f>
        <v>265875.55899427511</v>
      </c>
      <c r="K36" s="289">
        <f>K0kommunestruktur2020!K36</f>
        <v>10707.435203090001</v>
      </c>
      <c r="L36" s="289">
        <f>K0kommunestruktur2020!L36</f>
        <v>274436.95164397813</v>
      </c>
      <c r="M36" s="289">
        <f>K0kommunestruktur2020!M36</f>
        <v>10752</v>
      </c>
      <c r="N36" s="289">
        <f>K0kommunestruktur2020!N36</f>
        <v>283285.53965183755</v>
      </c>
      <c r="O36" s="289">
        <f>K0kommunestruktur2020!O36</f>
        <v>10825</v>
      </c>
      <c r="P36" s="289">
        <f>K0kommunestruktur2020!P36</f>
        <v>277419</v>
      </c>
      <c r="Q36" s="289">
        <f>VLOOKUP(A36,'K21'!$A$4:$CI$359,3)</f>
        <v>10830</v>
      </c>
      <c r="R36" s="289">
        <f>VLOOKUP(A36,'K21'!$A$4:$BV$359,26)</f>
        <v>310709.30699999997</v>
      </c>
      <c r="S36" s="517"/>
      <c r="T36" s="517"/>
      <c r="U36" s="517"/>
      <c r="V36" s="517"/>
    </row>
    <row r="37" spans="1:22" ht="13">
      <c r="A37" s="755">
        <v>1525</v>
      </c>
      <c r="B37" s="756" t="s">
        <v>94</v>
      </c>
      <c r="C37" s="289">
        <f>K0kommunestruktur2020!C37</f>
        <v>4616</v>
      </c>
      <c r="D37" s="289">
        <f>K0kommunestruktur2020!D37</f>
        <v>102920</v>
      </c>
      <c r="E37" s="289">
        <f>K0kommunestruktur2020!E37</f>
        <v>4605</v>
      </c>
      <c r="F37" s="289">
        <f>K0kommunestruktur2020!F37</f>
        <v>104690</v>
      </c>
      <c r="G37" s="289">
        <f>K0kommunestruktur2020!G37</f>
        <v>4598</v>
      </c>
      <c r="H37" s="289">
        <f>K0kommunestruktur2020!H37</f>
        <v>117534</v>
      </c>
      <c r="I37" s="289">
        <f>K0kommunestruktur2020!I37</f>
        <v>4623</v>
      </c>
      <c r="J37" s="289">
        <f>K0kommunestruktur2020!J37</f>
        <v>121163</v>
      </c>
      <c r="K37" s="289">
        <f>K0kommunestruktur2020!K37</f>
        <v>4587</v>
      </c>
      <c r="L37" s="289">
        <f>K0kommunestruktur2020!L37</f>
        <v>127019</v>
      </c>
      <c r="M37" s="289">
        <f>K0kommunestruktur2020!M37</f>
        <v>4565</v>
      </c>
      <c r="N37" s="289">
        <f>K0kommunestruktur2020!N37</f>
        <v>128492</v>
      </c>
      <c r="O37" s="289">
        <f>K0kommunestruktur2020!O37</f>
        <v>4523</v>
      </c>
      <c r="P37" s="289">
        <f>K0kommunestruktur2020!P37</f>
        <v>129631</v>
      </c>
      <c r="Q37" s="289">
        <f>VLOOKUP(A37,'K21'!$A$4:$CI$359,3)</f>
        <v>4482</v>
      </c>
      <c r="R37" s="289">
        <f>VLOOKUP(A37,'K21'!$A$4:$BV$359,26)</f>
        <v>148696.72700000001</v>
      </c>
      <c r="S37" s="517"/>
      <c r="T37" s="517"/>
      <c r="U37" s="517"/>
      <c r="V37" s="517"/>
    </row>
    <row r="38" spans="1:22" ht="13">
      <c r="A38" s="755">
        <v>1528</v>
      </c>
      <c r="B38" s="756" t="s">
        <v>96</v>
      </c>
      <c r="C38" s="289">
        <f>K0kommunestruktur2020!C38</f>
        <v>7730</v>
      </c>
      <c r="D38" s="289">
        <f>K0kommunestruktur2020!D38</f>
        <v>157880</v>
      </c>
      <c r="E38" s="289">
        <f>K0kommunestruktur2020!E38</f>
        <v>7707</v>
      </c>
      <c r="F38" s="289">
        <f>K0kommunestruktur2020!F38</f>
        <v>165427</v>
      </c>
      <c r="G38" s="289">
        <f>K0kommunestruktur2020!G38</f>
        <v>7675</v>
      </c>
      <c r="H38" s="289">
        <f>K0kommunestruktur2020!H38</f>
        <v>176372</v>
      </c>
      <c r="I38" s="289">
        <f>K0kommunestruktur2020!I38</f>
        <v>7695</v>
      </c>
      <c r="J38" s="289">
        <f>K0kommunestruktur2020!J38</f>
        <v>182002</v>
      </c>
      <c r="K38" s="289">
        <f>K0kommunestruktur2020!K38</f>
        <v>7695</v>
      </c>
      <c r="L38" s="289">
        <f>K0kommunestruktur2020!L38</f>
        <v>194273</v>
      </c>
      <c r="M38" s="289">
        <f>K0kommunestruktur2020!M38</f>
        <v>7657</v>
      </c>
      <c r="N38" s="289">
        <f>K0kommunestruktur2020!N38</f>
        <v>203942</v>
      </c>
      <c r="O38" s="289">
        <f>K0kommunestruktur2020!O38</f>
        <v>7625</v>
      </c>
      <c r="P38" s="289">
        <f>K0kommunestruktur2020!P38</f>
        <v>197295</v>
      </c>
      <c r="Q38" s="289">
        <f>VLOOKUP(A38,'K21'!$A$4:$CI$359,3)</f>
        <v>7596</v>
      </c>
      <c r="R38" s="289">
        <f>VLOOKUP(A38,'K21'!$A$4:$BV$359,26)</f>
        <v>222362.87299999999</v>
      </c>
      <c r="S38" s="517"/>
      <c r="T38" s="517"/>
      <c r="U38" s="517"/>
      <c r="V38" s="517"/>
    </row>
    <row r="39" spans="1:22" ht="13">
      <c r="A39" s="755">
        <v>1531</v>
      </c>
      <c r="B39" s="756" t="s">
        <v>98</v>
      </c>
      <c r="C39" s="289">
        <f>K0kommunestruktur2020!C39</f>
        <v>8651</v>
      </c>
      <c r="D39" s="289">
        <f>K0kommunestruktur2020!D39</f>
        <v>178416</v>
      </c>
      <c r="E39" s="289">
        <f>K0kommunestruktur2020!E39</f>
        <v>8855</v>
      </c>
      <c r="F39" s="289">
        <f>K0kommunestruktur2020!F39</f>
        <v>190618</v>
      </c>
      <c r="G39" s="289">
        <f>K0kommunestruktur2020!G39</f>
        <v>8952</v>
      </c>
      <c r="H39" s="289">
        <f>K0kommunestruktur2020!H39</f>
        <v>205516</v>
      </c>
      <c r="I39" s="289">
        <f>K0kommunestruktur2020!I39</f>
        <v>9007</v>
      </c>
      <c r="J39" s="289">
        <f>K0kommunestruktur2020!J39</f>
        <v>218659</v>
      </c>
      <c r="K39" s="289">
        <f>K0kommunestruktur2020!K39</f>
        <v>9131</v>
      </c>
      <c r="L39" s="289">
        <f>K0kommunestruktur2020!L39</f>
        <v>225657</v>
      </c>
      <c r="M39" s="289">
        <f>K0kommunestruktur2020!M39</f>
        <v>9271</v>
      </c>
      <c r="N39" s="289">
        <f>K0kommunestruktur2020!N39</f>
        <v>242024</v>
      </c>
      <c r="O39" s="289">
        <f>K0kommunestruktur2020!O39</f>
        <v>9310</v>
      </c>
      <c r="P39" s="289">
        <f>K0kommunestruktur2020!P39</f>
        <v>236662</v>
      </c>
      <c r="Q39" s="289">
        <f>VLOOKUP(A39,'K21'!$A$4:$CI$359,3)</f>
        <v>9409</v>
      </c>
      <c r="R39" s="289">
        <f>VLOOKUP(A39,'K21'!$A$4:$BV$359,26)</f>
        <v>273616.18300000002</v>
      </c>
      <c r="S39" s="517"/>
      <c r="T39" s="517"/>
      <c r="U39" s="517"/>
      <c r="V39" s="517"/>
    </row>
    <row r="40" spans="1:22" ht="13">
      <c r="A40" s="755">
        <v>1532</v>
      </c>
      <c r="B40" s="756" t="s">
        <v>99</v>
      </c>
      <c r="C40" s="289">
        <f>K0kommunestruktur2020!C40</f>
        <v>7739</v>
      </c>
      <c r="D40" s="289">
        <f>K0kommunestruktur2020!D40</f>
        <v>176985</v>
      </c>
      <c r="E40" s="289">
        <f>K0kommunestruktur2020!E40</f>
        <v>7924</v>
      </c>
      <c r="F40" s="289">
        <f>K0kommunestruktur2020!F40</f>
        <v>191013</v>
      </c>
      <c r="G40" s="289">
        <f>K0kommunestruktur2020!G40</f>
        <v>8094</v>
      </c>
      <c r="H40" s="289">
        <f>K0kommunestruktur2020!H40</f>
        <v>202891</v>
      </c>
      <c r="I40" s="289">
        <f>K0kommunestruktur2020!I40</f>
        <v>8176</v>
      </c>
      <c r="J40" s="289">
        <f>K0kommunestruktur2020!J40</f>
        <v>211132</v>
      </c>
      <c r="K40" s="289">
        <f>K0kommunestruktur2020!K40</f>
        <v>8292</v>
      </c>
      <c r="L40" s="289">
        <f>K0kommunestruktur2020!L40</f>
        <v>225895</v>
      </c>
      <c r="M40" s="289">
        <f>K0kommunestruktur2020!M40</f>
        <v>8398</v>
      </c>
      <c r="N40" s="289">
        <f>K0kommunestruktur2020!N40</f>
        <v>241624</v>
      </c>
      <c r="O40" s="289">
        <f>K0kommunestruktur2020!O40</f>
        <v>8462</v>
      </c>
      <c r="P40" s="289">
        <f>K0kommunestruktur2020!P40</f>
        <v>242967</v>
      </c>
      <c r="Q40" s="289">
        <f>VLOOKUP(A40,'K21'!$A$4:$CI$359,3)</f>
        <v>8506</v>
      </c>
      <c r="R40" s="289">
        <f>VLOOKUP(A40,'K21'!$A$4:$BV$359,26)</f>
        <v>285156.16399999999</v>
      </c>
      <c r="S40" s="517"/>
      <c r="T40" s="517"/>
      <c r="U40" s="517"/>
      <c r="V40" s="517"/>
    </row>
    <row r="41" spans="1:22" ht="13">
      <c r="A41" s="889">
        <v>1535</v>
      </c>
      <c r="B41" s="890" t="s">
        <v>101</v>
      </c>
      <c r="C41" s="289">
        <f>C365+C366</f>
        <v>7033.2478567099997</v>
      </c>
      <c r="D41" s="289">
        <f t="shared" ref="D41:P41" si="0">D365+D366</f>
        <v>157592.59721381904</v>
      </c>
      <c r="E41" s="289">
        <f t="shared" si="0"/>
        <v>7132.1279852999996</v>
      </c>
      <c r="F41" s="289">
        <f t="shared" si="0"/>
        <v>166670.43095522403</v>
      </c>
      <c r="G41" s="289">
        <f t="shared" si="0"/>
        <v>7028.9949479500001</v>
      </c>
      <c r="H41" s="289">
        <f t="shared" si="0"/>
        <v>166875.63380285108</v>
      </c>
      <c r="I41" s="289">
        <f t="shared" si="0"/>
        <v>6992.8452235200002</v>
      </c>
      <c r="J41" s="289">
        <f t="shared" si="0"/>
        <v>170637.3315984073</v>
      </c>
      <c r="K41" s="289">
        <f t="shared" si="0"/>
        <v>6973.70713411</v>
      </c>
      <c r="L41" s="289">
        <f t="shared" si="0"/>
        <v>187814.83006738758</v>
      </c>
      <c r="M41" s="289">
        <f t="shared" si="0"/>
        <v>6949.2529087599996</v>
      </c>
      <c r="N41" s="289">
        <f t="shared" si="0"/>
        <v>206473.40401111508</v>
      </c>
      <c r="O41" s="289">
        <f t="shared" si="0"/>
        <v>6945</v>
      </c>
      <c r="P41" s="289">
        <f t="shared" si="0"/>
        <v>199912.22902633192</v>
      </c>
      <c r="Q41" s="289">
        <f>VLOOKUP(A41,'K21'!$A$4:$CI$359,3)</f>
        <v>6958</v>
      </c>
      <c r="R41" s="289">
        <f>VLOOKUP(A41,'K21'!$A$4:$BV$359,26)</f>
        <v>211902.95300000001</v>
      </c>
      <c r="S41" s="517"/>
      <c r="T41" s="517"/>
      <c r="U41" s="517"/>
      <c r="V41" s="517"/>
    </row>
    <row r="42" spans="1:22" ht="13">
      <c r="A42" s="889">
        <v>1539</v>
      </c>
      <c r="B42" s="890" t="s">
        <v>102</v>
      </c>
      <c r="C42" s="289">
        <f>C368+C369</f>
        <v>7040.82953937</v>
      </c>
      <c r="D42" s="289">
        <f t="shared" ref="D42:P42" si="1">D368+D369</f>
        <v>163447.7611141339</v>
      </c>
      <c r="E42" s="289">
        <f t="shared" si="1"/>
        <v>7033.2719603599999</v>
      </c>
      <c r="F42" s="289">
        <f t="shared" si="1"/>
        <v>168048.43733251834</v>
      </c>
      <c r="G42" s="289">
        <f t="shared" si="1"/>
        <v>7077.6727370099998</v>
      </c>
      <c r="H42" s="289">
        <f t="shared" si="1"/>
        <v>173272.61381893035</v>
      </c>
      <c r="I42" s="289">
        <f t="shared" si="1"/>
        <v>7088.0644081399996</v>
      </c>
      <c r="J42" s="289">
        <f t="shared" si="1"/>
        <v>182116.8706480625</v>
      </c>
      <c r="K42" s="289">
        <f t="shared" si="1"/>
        <v>7091.8431976399997</v>
      </c>
      <c r="L42" s="289">
        <f t="shared" si="1"/>
        <v>196361.96237269981</v>
      </c>
      <c r="M42" s="289">
        <f t="shared" si="1"/>
        <v>7072.9492501300001</v>
      </c>
      <c r="N42" s="289">
        <f t="shared" si="1"/>
        <v>202690.49009094326</v>
      </c>
      <c r="O42" s="289">
        <f t="shared" si="1"/>
        <v>7055</v>
      </c>
      <c r="P42" s="289">
        <f t="shared" si="1"/>
        <v>193907.63859132299</v>
      </c>
      <c r="Q42" s="289">
        <f>VLOOKUP(A42,'K21'!$A$4:$CI$359,3)</f>
        <v>7026</v>
      </c>
      <c r="R42" s="289">
        <f>VLOOKUP(A42,'K21'!$A$4:$BV$359,26)</f>
        <v>226776.769</v>
      </c>
      <c r="S42" s="517"/>
      <c r="T42" s="517"/>
      <c r="U42" s="517"/>
      <c r="V42" s="517"/>
    </row>
    <row r="43" spans="1:22" ht="13">
      <c r="A43" s="755">
        <v>1547</v>
      </c>
      <c r="B43" s="756" t="s">
        <v>106</v>
      </c>
      <c r="C43" s="289">
        <f>K0kommunestruktur2020!C43</f>
        <v>3388.45069229</v>
      </c>
      <c r="D43" s="289">
        <f>K0kommunestruktur2020!D43</f>
        <v>84510.589149578096</v>
      </c>
      <c r="E43" s="289">
        <f>K0kommunestruktur2020!E43</f>
        <v>3477.7524724499999</v>
      </c>
      <c r="F43" s="289">
        <f>K0kommunestruktur2020!F43</f>
        <v>91865.443628147652</v>
      </c>
      <c r="G43" s="289">
        <f>K0kommunestruktur2020!G43</f>
        <v>3529.9287934399999</v>
      </c>
      <c r="H43" s="289">
        <f>K0kommunestruktur2020!H43</f>
        <v>97605.842328217579</v>
      </c>
      <c r="I43" s="289">
        <f>K0kommunestruktur2020!I43</f>
        <v>3559.0271263099999</v>
      </c>
      <c r="J43" s="289">
        <f>K0kommunestruktur2020!J43</f>
        <v>102763.27098059344</v>
      </c>
      <c r="K43" s="289">
        <f>K0kommunestruktur2020!K43</f>
        <v>3569.0610341900001</v>
      </c>
      <c r="L43" s="289">
        <f>K0kommunestruktur2020!L43</f>
        <v>97395.130262773833</v>
      </c>
      <c r="M43" s="289">
        <f>K0kommunestruktur2020!M43</f>
        <v>3551</v>
      </c>
      <c r="N43" s="289">
        <f>K0kommunestruktur2020!N43</f>
        <v>106749.74258265046</v>
      </c>
      <c r="O43" s="289">
        <f>K0kommunestruktur2020!O43</f>
        <v>3509</v>
      </c>
      <c r="P43" s="289">
        <f>K0kommunestruktur2020!P43</f>
        <v>99585</v>
      </c>
      <c r="Q43" s="289">
        <f>VLOOKUP(A43,'K21'!$A$4:$CI$359,3)</f>
        <v>3522</v>
      </c>
      <c r="R43" s="289">
        <f>VLOOKUP(A43,'K21'!$A$4:$BV$359,26)</f>
        <v>107765.298</v>
      </c>
      <c r="S43" s="517"/>
      <c r="T43" s="517"/>
      <c r="U43" s="517"/>
      <c r="V43" s="517"/>
    </row>
    <row r="44" spans="1:22" ht="13">
      <c r="A44" s="755">
        <v>1554</v>
      </c>
      <c r="B44" s="756" t="s">
        <v>109</v>
      </c>
      <c r="C44" s="289">
        <f>K0kommunestruktur2020!C44</f>
        <v>5687</v>
      </c>
      <c r="D44" s="289">
        <f>K0kommunestruktur2020!D44</f>
        <v>125329</v>
      </c>
      <c r="E44" s="289">
        <f>K0kommunestruktur2020!E44</f>
        <v>5794</v>
      </c>
      <c r="F44" s="289">
        <f>K0kommunestruktur2020!F44</f>
        <v>136191</v>
      </c>
      <c r="G44" s="289">
        <f>K0kommunestruktur2020!G44</f>
        <v>5826</v>
      </c>
      <c r="H44" s="289">
        <f>K0kommunestruktur2020!H44</f>
        <v>146606</v>
      </c>
      <c r="I44" s="289">
        <f>K0kommunestruktur2020!I44</f>
        <v>5856</v>
      </c>
      <c r="J44" s="289">
        <f>K0kommunestruktur2020!J44</f>
        <v>150786</v>
      </c>
      <c r="K44" s="289">
        <f>K0kommunestruktur2020!K44</f>
        <v>5859</v>
      </c>
      <c r="L44" s="289">
        <f>K0kommunestruktur2020!L44</f>
        <v>153466</v>
      </c>
      <c r="M44" s="289">
        <f>K0kommunestruktur2020!M44</f>
        <v>5849</v>
      </c>
      <c r="N44" s="289">
        <f>K0kommunestruktur2020!N44</f>
        <v>163113</v>
      </c>
      <c r="O44" s="289">
        <f>K0kommunestruktur2020!O44</f>
        <v>5788</v>
      </c>
      <c r="P44" s="289">
        <f>K0kommunestruktur2020!P44</f>
        <v>163759</v>
      </c>
      <c r="Q44" s="289">
        <f>VLOOKUP(A44,'K21'!$A$4:$CI$359,3)</f>
        <v>5808</v>
      </c>
      <c r="R44" s="289">
        <f>VLOOKUP(A44,'K21'!$A$4:$BV$359,26)</f>
        <v>185263.12599999999</v>
      </c>
      <c r="S44" s="517"/>
      <c r="T44" s="517"/>
      <c r="U44" s="517"/>
      <c r="V44" s="517"/>
    </row>
    <row r="45" spans="1:22" ht="13">
      <c r="A45" s="755">
        <v>1557</v>
      </c>
      <c r="B45" s="756" t="s">
        <v>110</v>
      </c>
      <c r="C45" s="289">
        <f>K0kommunestruktur2020!C45</f>
        <v>2565</v>
      </c>
      <c r="D45" s="289">
        <f>K0kommunestruktur2020!D45</f>
        <v>54164</v>
      </c>
      <c r="E45" s="289">
        <f>K0kommunestruktur2020!E45</f>
        <v>2580</v>
      </c>
      <c r="F45" s="289">
        <f>K0kommunestruktur2020!F45</f>
        <v>59425</v>
      </c>
      <c r="G45" s="289">
        <f>K0kommunestruktur2020!G45</f>
        <v>2593</v>
      </c>
      <c r="H45" s="289">
        <f>K0kommunestruktur2020!H45</f>
        <v>59460</v>
      </c>
      <c r="I45" s="289">
        <f>K0kommunestruktur2020!I45</f>
        <v>2611</v>
      </c>
      <c r="J45" s="289">
        <f>K0kommunestruktur2020!J45</f>
        <v>60402</v>
      </c>
      <c r="K45" s="289">
        <f>K0kommunestruktur2020!K45</f>
        <v>2623</v>
      </c>
      <c r="L45" s="289">
        <f>K0kommunestruktur2020!L45</f>
        <v>63780</v>
      </c>
      <c r="M45" s="289">
        <f>K0kommunestruktur2020!M45</f>
        <v>2641</v>
      </c>
      <c r="N45" s="289">
        <f>K0kommunestruktur2020!N45</f>
        <v>65161</v>
      </c>
      <c r="O45" s="289">
        <f>K0kommunestruktur2020!O45</f>
        <v>2629</v>
      </c>
      <c r="P45" s="289">
        <f>K0kommunestruktur2020!P45</f>
        <v>63050</v>
      </c>
      <c r="Q45" s="289">
        <f>VLOOKUP(A45,'K21'!$A$4:$CI$359,3)</f>
        <v>2658</v>
      </c>
      <c r="R45" s="289">
        <f>VLOOKUP(A45,'K21'!$A$4:$BV$359,26)</f>
        <v>71939.519</v>
      </c>
      <c r="S45" s="517"/>
      <c r="T45" s="517"/>
      <c r="U45" s="517"/>
      <c r="V45" s="517"/>
    </row>
    <row r="46" spans="1:22" ht="13">
      <c r="A46" s="755">
        <v>1560</v>
      </c>
      <c r="B46" s="756" t="s">
        <v>111</v>
      </c>
      <c r="C46" s="289">
        <f>K0kommunestruktur2020!C46</f>
        <v>3064</v>
      </c>
      <c r="D46" s="289">
        <f>K0kommunestruktur2020!D46</f>
        <v>56739</v>
      </c>
      <c r="E46" s="289">
        <f>K0kommunestruktur2020!E46</f>
        <v>3090</v>
      </c>
      <c r="F46" s="289">
        <f>K0kommunestruktur2020!F46</f>
        <v>60801</v>
      </c>
      <c r="G46" s="289">
        <f>K0kommunestruktur2020!G46</f>
        <v>3103</v>
      </c>
      <c r="H46" s="289">
        <f>K0kommunestruktur2020!H46</f>
        <v>68044</v>
      </c>
      <c r="I46" s="289">
        <f>K0kommunestruktur2020!I46</f>
        <v>3109</v>
      </c>
      <c r="J46" s="289">
        <f>K0kommunestruktur2020!J46</f>
        <v>68507</v>
      </c>
      <c r="K46" s="289">
        <f>K0kommunestruktur2020!K46</f>
        <v>3078</v>
      </c>
      <c r="L46" s="289">
        <f>K0kommunestruktur2020!L46</f>
        <v>70887</v>
      </c>
      <c r="M46" s="289">
        <f>K0kommunestruktur2020!M46</f>
        <v>3045</v>
      </c>
      <c r="N46" s="289">
        <f>K0kommunestruktur2020!N46</f>
        <v>75985</v>
      </c>
      <c r="O46" s="289">
        <f>K0kommunestruktur2020!O46</f>
        <v>3025</v>
      </c>
      <c r="P46" s="289">
        <f>K0kommunestruktur2020!P46</f>
        <v>75472</v>
      </c>
      <c r="Q46" s="289">
        <f>VLOOKUP(A46,'K21'!$A$4:$CI$359,3)</f>
        <v>2985</v>
      </c>
      <c r="R46" s="289">
        <f>VLOOKUP(A46,'K21'!$A$4:$BV$359,26)</f>
        <v>81411.259000000005</v>
      </c>
      <c r="S46" s="517"/>
      <c r="T46" s="517"/>
      <c r="U46" s="517"/>
      <c r="V46" s="517"/>
    </row>
    <row r="47" spans="1:22" ht="13">
      <c r="A47" s="755">
        <v>1563</v>
      </c>
      <c r="B47" s="756" t="s">
        <v>112</v>
      </c>
      <c r="C47" s="289">
        <f>K0kommunestruktur2020!C47</f>
        <v>7171</v>
      </c>
      <c r="D47" s="289">
        <f>K0kommunestruktur2020!D47</f>
        <v>169264</v>
      </c>
      <c r="E47" s="289">
        <f>K0kommunestruktur2020!E47</f>
        <v>7155</v>
      </c>
      <c r="F47" s="289">
        <f>K0kommunestruktur2020!F47</f>
        <v>178481</v>
      </c>
      <c r="G47" s="289">
        <f>K0kommunestruktur2020!G47</f>
        <v>7160</v>
      </c>
      <c r="H47" s="289">
        <f>K0kommunestruktur2020!H47</f>
        <v>189734</v>
      </c>
      <c r="I47" s="289">
        <f>K0kommunestruktur2020!I47</f>
        <v>7126</v>
      </c>
      <c r="J47" s="289">
        <f>K0kommunestruktur2020!J47</f>
        <v>195106</v>
      </c>
      <c r="K47" s="289">
        <f>K0kommunestruktur2020!K47</f>
        <v>7119</v>
      </c>
      <c r="L47" s="289">
        <f>K0kommunestruktur2020!L47</f>
        <v>203672</v>
      </c>
      <c r="M47" s="289">
        <f>K0kommunestruktur2020!M47</f>
        <v>7106</v>
      </c>
      <c r="N47" s="289">
        <f>K0kommunestruktur2020!N47</f>
        <v>207823</v>
      </c>
      <c r="O47" s="289">
        <f>K0kommunestruktur2020!O47</f>
        <v>7036</v>
      </c>
      <c r="P47" s="289">
        <f>K0kommunestruktur2020!P47</f>
        <v>204475</v>
      </c>
      <c r="Q47" s="289">
        <f>VLOOKUP(A47,'K21'!$A$4:$CI$359,3)</f>
        <v>6956</v>
      </c>
      <c r="R47" s="289">
        <f>VLOOKUP(A47,'K21'!$A$4:$BV$359,26)</f>
        <v>233349.353</v>
      </c>
      <c r="S47" s="517"/>
      <c r="T47" s="517"/>
      <c r="U47" s="517"/>
      <c r="V47" s="517"/>
    </row>
    <row r="48" spans="1:22" ht="13">
      <c r="A48" s="755">
        <v>1566</v>
      </c>
      <c r="B48" s="756" t="s">
        <v>113</v>
      </c>
      <c r="C48" s="289">
        <f>K0kommunestruktur2020!C48</f>
        <v>5954</v>
      </c>
      <c r="D48" s="289">
        <f>K0kommunestruktur2020!D48</f>
        <v>120188</v>
      </c>
      <c r="E48" s="289">
        <f>K0kommunestruktur2020!E48</f>
        <v>5976</v>
      </c>
      <c r="F48" s="289">
        <f>K0kommunestruktur2020!F48</f>
        <v>122573</v>
      </c>
      <c r="G48" s="289">
        <f>K0kommunestruktur2020!G48</f>
        <v>5969</v>
      </c>
      <c r="H48" s="289">
        <f>K0kommunestruktur2020!H48</f>
        <v>132821</v>
      </c>
      <c r="I48" s="289">
        <f>K0kommunestruktur2020!I48</f>
        <v>5986</v>
      </c>
      <c r="J48" s="289">
        <f>K0kommunestruktur2020!J48</f>
        <v>140387</v>
      </c>
      <c r="K48" s="289">
        <f>K0kommunestruktur2020!K48</f>
        <v>5978</v>
      </c>
      <c r="L48" s="289">
        <f>K0kommunestruktur2020!L48</f>
        <v>157123</v>
      </c>
      <c r="M48" s="289">
        <f>K0kommunestruktur2020!M48</f>
        <v>5928</v>
      </c>
      <c r="N48" s="289">
        <f>K0kommunestruktur2020!N48</f>
        <v>151417</v>
      </c>
      <c r="O48" s="289">
        <f>K0kommunestruktur2020!O48</f>
        <v>5920</v>
      </c>
      <c r="P48" s="289">
        <f>K0kommunestruktur2020!P48</f>
        <v>139829</v>
      </c>
      <c r="Q48" s="289">
        <f>VLOOKUP(A48,'K21'!$A$4:$CI$359,3)</f>
        <v>5872</v>
      </c>
      <c r="R48" s="289">
        <f>VLOOKUP(A48,'K21'!$A$4:$BV$359,26)</f>
        <v>170499.11</v>
      </c>
      <c r="S48" s="517"/>
      <c r="T48" s="517"/>
      <c r="U48" s="517"/>
      <c r="V48" s="517"/>
    </row>
    <row r="49" spans="1:22" ht="13">
      <c r="A49" s="755">
        <v>1573</v>
      </c>
      <c r="B49" s="756" t="s">
        <v>116</v>
      </c>
      <c r="C49" s="289">
        <f>K0kommunestruktur2020!C49</f>
        <v>2166</v>
      </c>
      <c r="D49" s="289">
        <f>K0kommunestruktur2020!D49</f>
        <v>42888</v>
      </c>
      <c r="E49" s="289">
        <f>K0kommunestruktur2020!E49</f>
        <v>2146</v>
      </c>
      <c r="F49" s="289">
        <f>K0kommunestruktur2020!F49</f>
        <v>44088</v>
      </c>
      <c r="G49" s="289">
        <f>K0kommunestruktur2020!G49</f>
        <v>2141</v>
      </c>
      <c r="H49" s="289">
        <f>K0kommunestruktur2020!H49</f>
        <v>49763</v>
      </c>
      <c r="I49" s="289">
        <f>K0kommunestruktur2020!I49</f>
        <v>2160</v>
      </c>
      <c r="J49" s="289">
        <f>K0kommunestruktur2020!J49</f>
        <v>54812</v>
      </c>
      <c r="K49" s="289">
        <f>K0kommunestruktur2020!K49</f>
        <v>2172</v>
      </c>
      <c r="L49" s="289">
        <f>K0kommunestruktur2020!L49</f>
        <v>54874</v>
      </c>
      <c r="M49" s="289">
        <f>K0kommunestruktur2020!M49</f>
        <v>2134</v>
      </c>
      <c r="N49" s="289">
        <f>K0kommunestruktur2020!N49</f>
        <v>56072</v>
      </c>
      <c r="O49" s="289">
        <f>K0kommunestruktur2020!O49</f>
        <v>2150</v>
      </c>
      <c r="P49" s="289">
        <f>K0kommunestruktur2020!P49</f>
        <v>57258</v>
      </c>
      <c r="Q49" s="289">
        <f>VLOOKUP(A49,'K21'!$A$4:$CI$359,3)</f>
        <v>2128</v>
      </c>
      <c r="R49" s="289">
        <f>VLOOKUP(A49,'K21'!$A$4:$BV$359,26)</f>
        <v>68450.55</v>
      </c>
      <c r="S49" s="517"/>
      <c r="T49" s="517"/>
      <c r="U49" s="517"/>
      <c r="V49" s="517"/>
    </row>
    <row r="50" spans="1:22" ht="13">
      <c r="A50" s="755">
        <v>1576</v>
      </c>
      <c r="B50" s="756" t="s">
        <v>1498</v>
      </c>
      <c r="C50" s="289">
        <f>K0kommunestruktur2020!C50</f>
        <v>3577</v>
      </c>
      <c r="D50" s="289">
        <f>K0kommunestruktur2020!D50</f>
        <v>72755</v>
      </c>
      <c r="E50" s="289">
        <f>K0kommunestruktur2020!E50</f>
        <v>3549</v>
      </c>
      <c r="F50" s="289">
        <f>K0kommunestruktur2020!F50</f>
        <v>76165</v>
      </c>
      <c r="G50" s="289">
        <f>K0kommunestruktur2020!G50</f>
        <v>3536</v>
      </c>
      <c r="H50" s="289">
        <f>K0kommunestruktur2020!H50</f>
        <v>85813</v>
      </c>
      <c r="I50" s="289">
        <f>K0kommunestruktur2020!I50</f>
        <v>3590</v>
      </c>
      <c r="J50" s="289">
        <f>K0kommunestruktur2020!J50</f>
        <v>89415</v>
      </c>
      <c r="K50" s="289">
        <f>K0kommunestruktur2020!K50</f>
        <v>3593</v>
      </c>
      <c r="L50" s="289">
        <f>K0kommunestruktur2020!L50</f>
        <v>90980</v>
      </c>
      <c r="M50" s="289">
        <f>K0kommunestruktur2020!M50</f>
        <v>3553</v>
      </c>
      <c r="N50" s="289">
        <f>K0kommunestruktur2020!N50</f>
        <v>94244</v>
      </c>
      <c r="O50" s="289">
        <f>K0kommunestruktur2020!O50</f>
        <v>3507</v>
      </c>
      <c r="P50" s="289">
        <f>K0kommunestruktur2020!P50</f>
        <v>95166</v>
      </c>
      <c r="Q50" s="289">
        <f>VLOOKUP(A50,'K21'!$A$4:$CI$359,3)</f>
        <v>3468</v>
      </c>
      <c r="R50" s="289">
        <f>VLOOKUP(A50,'K21'!$A$4:$BV$359,26)</f>
        <v>108448.931</v>
      </c>
      <c r="S50" s="517"/>
      <c r="T50" s="517"/>
      <c r="U50" s="517"/>
      <c r="V50" s="517"/>
    </row>
    <row r="51" spans="1:22" ht="13">
      <c r="A51" s="755">
        <v>1577</v>
      </c>
      <c r="B51" s="756" t="s">
        <v>1613</v>
      </c>
      <c r="C51" s="289">
        <f>K0kommunestruktur2020!C51</f>
        <v>10234.798338000001</v>
      </c>
      <c r="D51" s="289">
        <f>K0kommunestruktur2020!D51</f>
        <v>208126.42226294591</v>
      </c>
      <c r="E51" s="289">
        <f>K0kommunestruktur2020!E51</f>
        <v>10301.46796792</v>
      </c>
      <c r="F51" s="289">
        <f>K0kommunestruktur2020!F51</f>
        <v>218876.39501401939</v>
      </c>
      <c r="G51" s="289">
        <f>K0kommunestruktur2020!G51</f>
        <v>10340.86365832</v>
      </c>
      <c r="H51" s="289">
        <f>K0kommunestruktur2020!H51</f>
        <v>233235.61909353128</v>
      </c>
      <c r="I51" s="289">
        <f>K0kommunestruktur2020!I51</f>
        <v>10404.502850520001</v>
      </c>
      <c r="J51" s="289">
        <f>K0kommunestruktur2020!J51</f>
        <v>236512.53241866032</v>
      </c>
      <c r="K51" s="289">
        <f>K0kommunestruktur2020!K51</f>
        <v>10468.14204271</v>
      </c>
      <c r="L51" s="289">
        <f>K0kommunestruktur2020!L51</f>
        <v>251795.02985797075</v>
      </c>
      <c r="M51" s="289">
        <f>K0kommunestruktur2020!M51</f>
        <v>10454</v>
      </c>
      <c r="N51" s="289">
        <f>K0kommunestruktur2020!N51</f>
        <v>258006.41704512513</v>
      </c>
      <c r="O51" s="289">
        <f>K0kommunestruktur2020!O51</f>
        <v>10473</v>
      </c>
      <c r="P51" s="289">
        <f>K0kommunestruktur2020!P51</f>
        <v>252064</v>
      </c>
      <c r="Q51" s="289">
        <f>VLOOKUP(A51,'K21'!$A$4:$CI$359,3)</f>
        <v>10781</v>
      </c>
      <c r="R51" s="289">
        <f>VLOOKUP(A51,'K21'!$A$4:$BV$359,26)</f>
        <v>294567.46100000001</v>
      </c>
      <c r="S51" s="517"/>
      <c r="T51" s="517"/>
      <c r="U51" s="517"/>
      <c r="V51" s="517"/>
    </row>
    <row r="52" spans="1:22" ht="13">
      <c r="A52" s="755">
        <v>1578</v>
      </c>
      <c r="B52" s="756" t="s">
        <v>1614</v>
      </c>
      <c r="C52" s="289">
        <f>K0kommunestruktur2020!C52</f>
        <v>2720</v>
      </c>
      <c r="D52" s="289">
        <f>K0kommunestruktur2020!D52</f>
        <v>61837</v>
      </c>
      <c r="E52" s="289">
        <f>K0kommunestruktur2020!E52</f>
        <v>2719</v>
      </c>
      <c r="F52" s="289">
        <f>K0kommunestruktur2020!F52</f>
        <v>62229</v>
      </c>
      <c r="G52" s="289">
        <f>K0kommunestruktur2020!G52</f>
        <v>2672</v>
      </c>
      <c r="H52" s="289">
        <f>K0kommunestruktur2020!H52</f>
        <v>66338</v>
      </c>
      <c r="I52" s="289">
        <f>K0kommunestruktur2020!I52</f>
        <v>2668</v>
      </c>
      <c r="J52" s="289">
        <f>K0kommunestruktur2020!J52</f>
        <v>71869</v>
      </c>
      <c r="K52" s="289">
        <f>K0kommunestruktur2020!K52</f>
        <v>2642</v>
      </c>
      <c r="L52" s="289">
        <f>K0kommunestruktur2020!L52</f>
        <v>70869</v>
      </c>
      <c r="M52" s="289">
        <f>K0kommunestruktur2020!M52</f>
        <v>2592</v>
      </c>
      <c r="N52" s="289">
        <f>K0kommunestruktur2020!N52</f>
        <v>68700</v>
      </c>
      <c r="O52" s="289">
        <f>K0kommunestruktur2020!O52</f>
        <v>2549</v>
      </c>
      <c r="P52" s="289">
        <f>K0kommunestruktur2020!P52</f>
        <v>68641</v>
      </c>
      <c r="Q52" s="289">
        <f>VLOOKUP(A52,'K21'!$A$4:$CI$359,3)</f>
        <v>2502</v>
      </c>
      <c r="R52" s="289">
        <f>VLOOKUP(A52,'K21'!$A$4:$BV$359,26)</f>
        <v>77333.64</v>
      </c>
      <c r="S52" s="517"/>
      <c r="T52" s="517"/>
      <c r="U52" s="517"/>
      <c r="V52" s="517"/>
    </row>
    <row r="53" spans="1:22" ht="13">
      <c r="A53" s="755">
        <v>1579</v>
      </c>
      <c r="B53" s="756" t="s">
        <v>1615</v>
      </c>
      <c r="C53" s="289">
        <f>K0kommunestruktur2020!C53</f>
        <v>13191</v>
      </c>
      <c r="D53" s="289">
        <f>K0kommunestruktur2020!D53</f>
        <v>273471</v>
      </c>
      <c r="E53" s="289">
        <f>K0kommunestruktur2020!E53</f>
        <v>13250</v>
      </c>
      <c r="F53" s="289">
        <f>K0kommunestruktur2020!F53</f>
        <v>288365</v>
      </c>
      <c r="G53" s="289">
        <f>K0kommunestruktur2020!G53</f>
        <v>13184</v>
      </c>
      <c r="H53" s="289">
        <f>K0kommunestruktur2020!H53</f>
        <v>305060</v>
      </c>
      <c r="I53" s="289">
        <f>K0kommunestruktur2020!I53</f>
        <v>13195</v>
      </c>
      <c r="J53" s="289">
        <f>K0kommunestruktur2020!J53</f>
        <v>321679</v>
      </c>
      <c r="K53" s="289">
        <f>K0kommunestruktur2020!K53</f>
        <v>13215</v>
      </c>
      <c r="L53" s="289">
        <f>K0kommunestruktur2020!L53</f>
        <v>339908</v>
      </c>
      <c r="M53" s="289">
        <f>K0kommunestruktur2020!M53</f>
        <v>13233</v>
      </c>
      <c r="N53" s="289">
        <f>K0kommunestruktur2020!N53</f>
        <v>346385</v>
      </c>
      <c r="O53" s="289">
        <f>K0kommunestruktur2020!O53</f>
        <v>13279</v>
      </c>
      <c r="P53" s="289">
        <f>K0kommunestruktur2020!P53</f>
        <v>340418</v>
      </c>
      <c r="Q53" s="289">
        <f>VLOOKUP(A53,'K21'!$A$4:$CI$359,3)</f>
        <v>13317</v>
      </c>
      <c r="R53" s="289">
        <f>VLOOKUP(A53,'K21'!$A$4:$BV$359,26)</f>
        <v>389167.47600000002</v>
      </c>
      <c r="S53" s="517"/>
      <c r="T53" s="517"/>
      <c r="U53" s="517"/>
      <c r="V53" s="517"/>
    </row>
    <row r="54" spans="1:22" ht="13">
      <c r="A54" s="755">
        <v>1804</v>
      </c>
      <c r="B54" s="756" t="s">
        <v>174</v>
      </c>
      <c r="C54" s="289">
        <f>K0kommunestruktur2020!C54</f>
        <v>49731</v>
      </c>
      <c r="D54" s="289">
        <f>K0kommunestruktur2020!D54</f>
        <v>1162903</v>
      </c>
      <c r="E54" s="289">
        <f>K0kommunestruktur2020!E54</f>
        <v>50185</v>
      </c>
      <c r="F54" s="289">
        <f>K0kommunestruktur2020!F54</f>
        <v>1244567</v>
      </c>
      <c r="G54" s="289">
        <f>K0kommunestruktur2020!G54</f>
        <v>50488</v>
      </c>
      <c r="H54" s="289">
        <f>K0kommunestruktur2020!H54</f>
        <v>1345148</v>
      </c>
      <c r="I54" s="289">
        <f>K0kommunestruktur2020!I54</f>
        <v>51022</v>
      </c>
      <c r="J54" s="289">
        <f>K0kommunestruktur2020!J54</f>
        <v>1417947</v>
      </c>
      <c r="K54" s="289">
        <f>K0kommunestruktur2020!K54</f>
        <v>51558</v>
      </c>
      <c r="L54" s="289">
        <f>K0kommunestruktur2020!L54</f>
        <v>1519251</v>
      </c>
      <c r="M54" s="289">
        <f>K0kommunestruktur2020!M54</f>
        <v>52024</v>
      </c>
      <c r="N54" s="289">
        <f>K0kommunestruktur2020!N54</f>
        <v>1602846</v>
      </c>
      <c r="O54" s="289">
        <f>K0kommunestruktur2020!O54</f>
        <v>52357</v>
      </c>
      <c r="P54" s="289">
        <f>K0kommunestruktur2020!P54</f>
        <v>1589017</v>
      </c>
      <c r="Q54" s="289">
        <f>VLOOKUP(A54,'K21'!$A$4:$CI$359,3)</f>
        <v>52560</v>
      </c>
      <c r="R54" s="289">
        <f>VLOOKUP(A54,'K21'!$A$4:$BV$359,26)</f>
        <v>1841083.26</v>
      </c>
      <c r="S54" s="517"/>
      <c r="T54" s="517"/>
      <c r="U54" s="517"/>
      <c r="V54" s="517"/>
    </row>
    <row r="55" spans="1:22" ht="13">
      <c r="A55" s="755">
        <v>1806</v>
      </c>
      <c r="B55" s="756" t="s">
        <v>1616</v>
      </c>
      <c r="C55" s="289">
        <f>K0kommunestruktur2020!C55</f>
        <v>22220.67532468</v>
      </c>
      <c r="D55" s="289">
        <f>K0kommunestruktur2020!D55</f>
        <v>474310.8848051948</v>
      </c>
      <c r="E55" s="289">
        <f>K0kommunestruktur2020!E55</f>
        <v>22356.825974029998</v>
      </c>
      <c r="F55" s="289">
        <f>K0kommunestruktur2020!F55</f>
        <v>515143.91582337662</v>
      </c>
      <c r="G55" s="289">
        <f>K0kommunestruktur2020!G55</f>
        <v>22255.654545450001</v>
      </c>
      <c r="H55" s="289">
        <f>K0kommunestruktur2020!H55</f>
        <v>550619.43769870128</v>
      </c>
      <c r="I55" s="289">
        <f>K0kommunestruktur2020!I55</f>
        <v>22216.181818180001</v>
      </c>
      <c r="J55" s="289">
        <f>K0kommunestruktur2020!J55</f>
        <v>573584.7218025974</v>
      </c>
      <c r="K55" s="289">
        <f>K0kommunestruktur2020!K55</f>
        <v>22062.945454550001</v>
      </c>
      <c r="L55" s="289">
        <f>K0kommunestruktur2020!L55</f>
        <v>598271.44415584416</v>
      </c>
      <c r="M55" s="289">
        <f>K0kommunestruktur2020!M55</f>
        <v>21990</v>
      </c>
      <c r="N55" s="289">
        <f>K0kommunestruktur2020!N55</f>
        <v>597858.44018008653</v>
      </c>
      <c r="O55" s="289">
        <f>K0kommunestruktur2020!O55</f>
        <v>21845</v>
      </c>
      <c r="P55" s="289">
        <f>K0kommunestruktur2020!P55</f>
        <v>595353</v>
      </c>
      <c r="Q55" s="289">
        <f>VLOOKUP(A55,'K21'!$A$4:$CI$359,3)</f>
        <v>21661</v>
      </c>
      <c r="R55" s="289">
        <f>VLOOKUP(A55,'K21'!$A$4:$BV$359,26)</f>
        <v>679205.41</v>
      </c>
      <c r="S55" s="517"/>
      <c r="T55" s="517"/>
      <c r="U55" s="517"/>
      <c r="V55" s="517"/>
    </row>
    <row r="56" spans="1:22" ht="13">
      <c r="A56" s="755">
        <v>1811</v>
      </c>
      <c r="B56" s="756" t="s">
        <v>176</v>
      </c>
      <c r="C56" s="289">
        <f>K0kommunestruktur2020!C56</f>
        <v>1503</v>
      </c>
      <c r="D56" s="289">
        <f>K0kommunestruktur2020!D56</f>
        <v>30493</v>
      </c>
      <c r="E56" s="289">
        <f>K0kommunestruktur2020!E56</f>
        <v>1482</v>
      </c>
      <c r="F56" s="289">
        <f>K0kommunestruktur2020!F56</f>
        <v>32052</v>
      </c>
      <c r="G56" s="289">
        <f>K0kommunestruktur2020!G56</f>
        <v>1465</v>
      </c>
      <c r="H56" s="289">
        <f>K0kommunestruktur2020!H56</f>
        <v>35427</v>
      </c>
      <c r="I56" s="289">
        <f>K0kommunestruktur2020!I56</f>
        <v>1473</v>
      </c>
      <c r="J56" s="289">
        <f>K0kommunestruktur2020!J56</f>
        <v>37248</v>
      </c>
      <c r="K56" s="289">
        <f>K0kommunestruktur2020!K56</f>
        <v>1486</v>
      </c>
      <c r="L56" s="289">
        <f>K0kommunestruktur2020!L56</f>
        <v>40198</v>
      </c>
      <c r="M56" s="289">
        <f>K0kommunestruktur2020!M56</f>
        <v>1450</v>
      </c>
      <c r="N56" s="289">
        <f>K0kommunestruktur2020!N56</f>
        <v>38970</v>
      </c>
      <c r="O56" s="289">
        <f>K0kommunestruktur2020!O56</f>
        <v>1426</v>
      </c>
      <c r="P56" s="289">
        <f>K0kommunestruktur2020!P56</f>
        <v>38311</v>
      </c>
      <c r="Q56" s="289">
        <f>VLOOKUP(A56,'K21'!$A$4:$CI$359,3)</f>
        <v>1397</v>
      </c>
      <c r="R56" s="289">
        <f>VLOOKUP(A56,'K21'!$A$4:$BV$359,26)</f>
        <v>45529.815999999999</v>
      </c>
      <c r="S56" s="517"/>
      <c r="T56" s="517"/>
      <c r="U56" s="517"/>
      <c r="V56" s="517"/>
    </row>
    <row r="57" spans="1:22" ht="13">
      <c r="A57" s="755">
        <v>1812</v>
      </c>
      <c r="B57" s="756" t="s">
        <v>177</v>
      </c>
      <c r="C57" s="289">
        <f>K0kommunestruktur2020!C57</f>
        <v>2047</v>
      </c>
      <c r="D57" s="289">
        <f>K0kommunestruktur2020!D57</f>
        <v>38816</v>
      </c>
      <c r="E57" s="289">
        <f>K0kommunestruktur2020!E57</f>
        <v>2063</v>
      </c>
      <c r="F57" s="289">
        <f>K0kommunestruktur2020!F57</f>
        <v>39185</v>
      </c>
      <c r="G57" s="289">
        <f>K0kommunestruktur2020!G57</f>
        <v>2031</v>
      </c>
      <c r="H57" s="289">
        <f>K0kommunestruktur2020!H57</f>
        <v>39654</v>
      </c>
      <c r="I57" s="289">
        <f>K0kommunestruktur2020!I57</f>
        <v>2047</v>
      </c>
      <c r="J57" s="289">
        <f>K0kommunestruktur2020!J57</f>
        <v>41811</v>
      </c>
      <c r="K57" s="289">
        <f>K0kommunestruktur2020!K57</f>
        <v>2020</v>
      </c>
      <c r="L57" s="289">
        <f>K0kommunestruktur2020!L57</f>
        <v>44273</v>
      </c>
      <c r="M57" s="289">
        <f>K0kommunestruktur2020!M57</f>
        <v>2014</v>
      </c>
      <c r="N57" s="289">
        <f>K0kommunestruktur2020!N57</f>
        <v>46881</v>
      </c>
      <c r="O57" s="289">
        <f>K0kommunestruktur2020!O57</f>
        <v>1975</v>
      </c>
      <c r="P57" s="289">
        <f>K0kommunestruktur2020!P57</f>
        <v>45952</v>
      </c>
      <c r="Q57" s="289">
        <f>VLOOKUP(A57,'K21'!$A$4:$CI$359,3)</f>
        <v>1990</v>
      </c>
      <c r="R57" s="289">
        <f>VLOOKUP(A57,'K21'!$A$4:$BV$359,26)</f>
        <v>53418.559999999998</v>
      </c>
      <c r="S57" s="517"/>
      <c r="T57" s="517"/>
      <c r="U57" s="517"/>
      <c r="V57" s="517"/>
    </row>
    <row r="58" spans="1:22" ht="13">
      <c r="A58" s="755">
        <v>1813</v>
      </c>
      <c r="B58" s="756" t="s">
        <v>178</v>
      </c>
      <c r="C58" s="289">
        <f>K0kommunestruktur2020!C58</f>
        <v>7897</v>
      </c>
      <c r="D58" s="289">
        <f>K0kommunestruktur2020!D58</f>
        <v>156213</v>
      </c>
      <c r="E58" s="289">
        <f>K0kommunestruktur2020!E58</f>
        <v>7934</v>
      </c>
      <c r="F58" s="289">
        <f>K0kommunestruktur2020!F58</f>
        <v>167225</v>
      </c>
      <c r="G58" s="289">
        <f>K0kommunestruktur2020!G58</f>
        <v>7962</v>
      </c>
      <c r="H58" s="289">
        <f>K0kommunestruktur2020!H58</f>
        <v>181445</v>
      </c>
      <c r="I58" s="289">
        <f>K0kommunestruktur2020!I58</f>
        <v>7956</v>
      </c>
      <c r="J58" s="289">
        <f>K0kommunestruktur2020!J58</f>
        <v>190059</v>
      </c>
      <c r="K58" s="289">
        <f>K0kommunestruktur2020!K58</f>
        <v>7948</v>
      </c>
      <c r="L58" s="289">
        <f>K0kommunestruktur2020!L58</f>
        <v>197077</v>
      </c>
      <c r="M58" s="289">
        <f>K0kommunestruktur2020!M58</f>
        <v>7916</v>
      </c>
      <c r="N58" s="289">
        <f>K0kommunestruktur2020!N58</f>
        <v>198525</v>
      </c>
      <c r="O58" s="289">
        <f>K0kommunestruktur2020!O58</f>
        <v>7917</v>
      </c>
      <c r="P58" s="289">
        <f>K0kommunestruktur2020!P58</f>
        <v>197511</v>
      </c>
      <c r="Q58" s="289">
        <f>VLOOKUP(A58,'K21'!$A$4:$CI$359,3)</f>
        <v>7803</v>
      </c>
      <c r="R58" s="289">
        <f>VLOOKUP(A58,'K21'!$A$4:$BV$359,26)</f>
        <v>240172.03700000001</v>
      </c>
      <c r="S58" s="517"/>
      <c r="T58" s="517"/>
      <c r="U58" s="517"/>
      <c r="V58" s="517"/>
    </row>
    <row r="59" spans="1:22" ht="13">
      <c r="A59" s="755">
        <v>1815</v>
      </c>
      <c r="B59" s="756" t="s">
        <v>179</v>
      </c>
      <c r="C59" s="289">
        <f>K0kommunestruktur2020!C59</f>
        <v>1223</v>
      </c>
      <c r="D59" s="289">
        <f>K0kommunestruktur2020!D59</f>
        <v>21722</v>
      </c>
      <c r="E59" s="289">
        <f>K0kommunestruktur2020!E59</f>
        <v>1225</v>
      </c>
      <c r="F59" s="289">
        <f>K0kommunestruktur2020!F59</f>
        <v>22840</v>
      </c>
      <c r="G59" s="289">
        <f>K0kommunestruktur2020!G59</f>
        <v>1244</v>
      </c>
      <c r="H59" s="289">
        <f>K0kommunestruktur2020!H59</f>
        <v>24000</v>
      </c>
      <c r="I59" s="289">
        <f>K0kommunestruktur2020!I59</f>
        <v>1234</v>
      </c>
      <c r="J59" s="289">
        <f>K0kommunestruktur2020!J59</f>
        <v>24851</v>
      </c>
      <c r="K59" s="289">
        <f>K0kommunestruktur2020!K59</f>
        <v>1221</v>
      </c>
      <c r="L59" s="289">
        <f>K0kommunestruktur2020!L59</f>
        <v>26288</v>
      </c>
      <c r="M59" s="289">
        <f>K0kommunestruktur2020!M59</f>
        <v>1232</v>
      </c>
      <c r="N59" s="289">
        <f>K0kommunestruktur2020!N59</f>
        <v>27921</v>
      </c>
      <c r="O59" s="289">
        <f>K0kommunestruktur2020!O59</f>
        <v>1200</v>
      </c>
      <c r="P59" s="289">
        <f>K0kommunestruktur2020!P59</f>
        <v>27180</v>
      </c>
      <c r="Q59" s="289">
        <f>VLOOKUP(A59,'K21'!$A$4:$CI$359,3)</f>
        <v>1182</v>
      </c>
      <c r="R59" s="289">
        <f>VLOOKUP(A59,'K21'!$A$4:$BV$359,26)</f>
        <v>32609.32</v>
      </c>
      <c r="S59" s="517"/>
      <c r="T59" s="517"/>
      <c r="U59" s="517"/>
      <c r="V59" s="517"/>
    </row>
    <row r="60" spans="1:22" ht="13">
      <c r="A60" s="755">
        <v>1816</v>
      </c>
      <c r="B60" s="756" t="s">
        <v>180</v>
      </c>
      <c r="C60" s="289">
        <f>K0kommunestruktur2020!C60</f>
        <v>495</v>
      </c>
      <c r="D60" s="289">
        <f>K0kommunestruktur2020!D60</f>
        <v>8703</v>
      </c>
      <c r="E60" s="289">
        <f>K0kommunestruktur2020!E60</f>
        <v>510</v>
      </c>
      <c r="F60" s="289">
        <f>K0kommunestruktur2020!F60</f>
        <v>9279</v>
      </c>
      <c r="G60" s="289">
        <f>K0kommunestruktur2020!G60</f>
        <v>507</v>
      </c>
      <c r="H60" s="289">
        <f>K0kommunestruktur2020!H60</f>
        <v>10195</v>
      </c>
      <c r="I60" s="289">
        <f>K0kommunestruktur2020!I60</f>
        <v>528</v>
      </c>
      <c r="J60" s="289">
        <f>K0kommunestruktur2020!J60</f>
        <v>10057</v>
      </c>
      <c r="K60" s="289">
        <f>K0kommunestruktur2020!K60</f>
        <v>506</v>
      </c>
      <c r="L60" s="289">
        <f>K0kommunestruktur2020!L60</f>
        <v>10264</v>
      </c>
      <c r="M60" s="289">
        <f>K0kommunestruktur2020!M60</f>
        <v>497</v>
      </c>
      <c r="N60" s="289">
        <f>K0kommunestruktur2020!N60</f>
        <v>13562</v>
      </c>
      <c r="O60" s="289">
        <f>K0kommunestruktur2020!O60</f>
        <v>462</v>
      </c>
      <c r="P60" s="289">
        <f>K0kommunestruktur2020!P60</f>
        <v>12272</v>
      </c>
      <c r="Q60" s="289">
        <f>VLOOKUP(A60,'K21'!$A$4:$CI$359,3)</f>
        <v>465</v>
      </c>
      <c r="R60" s="289">
        <f>VLOOKUP(A60,'K21'!$A$4:$BV$359,26)</f>
        <v>11123.403</v>
      </c>
      <c r="S60" s="517"/>
      <c r="T60" s="517"/>
      <c r="U60" s="517"/>
      <c r="V60" s="517"/>
    </row>
    <row r="61" spans="1:22" ht="13">
      <c r="A61" s="755">
        <v>1818</v>
      </c>
      <c r="B61" s="756" t="s">
        <v>87</v>
      </c>
      <c r="C61" s="289">
        <f>K0kommunestruktur2020!C61</f>
        <v>1733</v>
      </c>
      <c r="D61" s="289">
        <f>K0kommunestruktur2020!D61</f>
        <v>33864</v>
      </c>
      <c r="E61" s="289">
        <f>K0kommunestruktur2020!E61</f>
        <v>1737</v>
      </c>
      <c r="F61" s="289">
        <f>K0kommunestruktur2020!F61</f>
        <v>38421</v>
      </c>
      <c r="G61" s="289">
        <f>K0kommunestruktur2020!G61</f>
        <v>1743</v>
      </c>
      <c r="H61" s="289">
        <f>K0kommunestruktur2020!H61</f>
        <v>41230</v>
      </c>
      <c r="I61" s="289">
        <f>K0kommunestruktur2020!I61</f>
        <v>1788</v>
      </c>
      <c r="J61" s="289">
        <f>K0kommunestruktur2020!J61</f>
        <v>46836</v>
      </c>
      <c r="K61" s="289">
        <f>K0kommunestruktur2020!K61</f>
        <v>1790</v>
      </c>
      <c r="L61" s="289">
        <f>K0kommunestruktur2020!L61</f>
        <v>51964</v>
      </c>
      <c r="M61" s="289">
        <f>K0kommunestruktur2020!M61</f>
        <v>1780</v>
      </c>
      <c r="N61" s="289">
        <f>K0kommunestruktur2020!N61</f>
        <v>51439</v>
      </c>
      <c r="O61" s="289">
        <f>K0kommunestruktur2020!O61</f>
        <v>1777</v>
      </c>
      <c r="P61" s="289">
        <f>K0kommunestruktur2020!P61</f>
        <v>50022</v>
      </c>
      <c r="Q61" s="289">
        <f>VLOOKUP(A61,'K21'!$A$4:$CI$359,3)</f>
        <v>1793</v>
      </c>
      <c r="R61" s="289">
        <f>VLOOKUP(A61,'K21'!$A$4:$BV$359,26)</f>
        <v>58994.758999999998</v>
      </c>
      <c r="S61" s="517"/>
      <c r="T61" s="517"/>
      <c r="U61" s="517"/>
      <c r="V61" s="517"/>
    </row>
    <row r="62" spans="1:22" ht="13">
      <c r="A62" s="755">
        <v>1820</v>
      </c>
      <c r="B62" s="756" t="s">
        <v>181</v>
      </c>
      <c r="C62" s="289">
        <f>K0kommunestruktur2020!C62</f>
        <v>7394</v>
      </c>
      <c r="D62" s="289">
        <f>K0kommunestruktur2020!D62</f>
        <v>151380</v>
      </c>
      <c r="E62" s="289">
        <f>K0kommunestruktur2020!E62</f>
        <v>7454</v>
      </c>
      <c r="F62" s="289">
        <f>K0kommunestruktur2020!F62</f>
        <v>158275</v>
      </c>
      <c r="G62" s="289">
        <f>K0kommunestruktur2020!G62</f>
        <v>7437</v>
      </c>
      <c r="H62" s="289">
        <f>K0kommunestruktur2020!H62</f>
        <v>172927</v>
      </c>
      <c r="I62" s="289">
        <f>K0kommunestruktur2020!I62</f>
        <v>7428</v>
      </c>
      <c r="J62" s="289">
        <f>K0kommunestruktur2020!J62</f>
        <v>176287</v>
      </c>
      <c r="K62" s="289">
        <f>K0kommunestruktur2020!K62</f>
        <v>7450</v>
      </c>
      <c r="L62" s="289">
        <f>K0kommunestruktur2020!L62</f>
        <v>184472</v>
      </c>
      <c r="M62" s="289">
        <f>K0kommunestruktur2020!M62</f>
        <v>7415</v>
      </c>
      <c r="N62" s="289">
        <f>K0kommunestruktur2020!N62</f>
        <v>193762</v>
      </c>
      <c r="O62" s="289">
        <f>K0kommunestruktur2020!O62</f>
        <v>7447</v>
      </c>
      <c r="P62" s="289">
        <f>K0kommunestruktur2020!P62</f>
        <v>192056</v>
      </c>
      <c r="Q62" s="289">
        <f>VLOOKUP(A62,'K21'!$A$4:$CI$359,3)</f>
        <v>7394</v>
      </c>
      <c r="R62" s="289">
        <f>VLOOKUP(A62,'K21'!$A$4:$BV$359,26)</f>
        <v>218618.37599999999</v>
      </c>
      <c r="S62" s="517"/>
      <c r="T62" s="517"/>
      <c r="U62" s="517"/>
      <c r="V62" s="517"/>
    </row>
    <row r="63" spans="1:22" ht="13">
      <c r="A63" s="755">
        <v>1822</v>
      </c>
      <c r="B63" s="756" t="s">
        <v>182</v>
      </c>
      <c r="C63" s="289">
        <f>K0kommunestruktur2020!C63</f>
        <v>2188</v>
      </c>
      <c r="D63" s="289">
        <f>K0kommunestruktur2020!D63</f>
        <v>37305</v>
      </c>
      <c r="E63" s="289">
        <f>K0kommunestruktur2020!E63</f>
        <v>2188</v>
      </c>
      <c r="F63" s="289">
        <f>K0kommunestruktur2020!F63</f>
        <v>38473</v>
      </c>
      <c r="G63" s="289">
        <f>K0kommunestruktur2020!G63</f>
        <v>2216</v>
      </c>
      <c r="H63" s="289">
        <f>K0kommunestruktur2020!H63</f>
        <v>42435</v>
      </c>
      <c r="I63" s="289">
        <f>K0kommunestruktur2020!I63</f>
        <v>2278</v>
      </c>
      <c r="J63" s="289">
        <f>K0kommunestruktur2020!J63</f>
        <v>43914</v>
      </c>
      <c r="K63" s="289">
        <f>K0kommunestruktur2020!K63</f>
        <v>2307</v>
      </c>
      <c r="L63" s="289">
        <f>K0kommunestruktur2020!L63</f>
        <v>47531</v>
      </c>
      <c r="M63" s="289">
        <f>K0kommunestruktur2020!M63</f>
        <v>2320</v>
      </c>
      <c r="N63" s="289">
        <f>K0kommunestruktur2020!N63</f>
        <v>50052</v>
      </c>
      <c r="O63" s="289">
        <f>K0kommunestruktur2020!O63</f>
        <v>2294</v>
      </c>
      <c r="P63" s="289">
        <f>K0kommunestruktur2020!P63</f>
        <v>50227</v>
      </c>
      <c r="Q63" s="289">
        <f>VLOOKUP(A63,'K21'!$A$4:$CI$359,3)</f>
        <v>2278</v>
      </c>
      <c r="R63" s="289">
        <f>VLOOKUP(A63,'K21'!$A$4:$BV$359,26)</f>
        <v>56398.642999999996</v>
      </c>
      <c r="S63" s="517"/>
      <c r="T63" s="517"/>
      <c r="U63" s="517"/>
      <c r="V63" s="517"/>
    </row>
    <row r="64" spans="1:22" ht="13">
      <c r="A64" s="755">
        <v>1824</v>
      </c>
      <c r="B64" s="756" t="s">
        <v>183</v>
      </c>
      <c r="C64" s="289">
        <f>K0kommunestruktur2020!C64</f>
        <v>13286</v>
      </c>
      <c r="D64" s="289">
        <f>K0kommunestruktur2020!D64</f>
        <v>273516</v>
      </c>
      <c r="E64" s="289">
        <f>K0kommunestruktur2020!E64</f>
        <v>13352</v>
      </c>
      <c r="F64" s="289">
        <f>K0kommunestruktur2020!F64</f>
        <v>288336</v>
      </c>
      <c r="G64" s="289">
        <f>K0kommunestruktur2020!G64</f>
        <v>13427</v>
      </c>
      <c r="H64" s="289">
        <f>K0kommunestruktur2020!H64</f>
        <v>316667</v>
      </c>
      <c r="I64" s="289">
        <f>K0kommunestruktur2020!I64</f>
        <v>13465</v>
      </c>
      <c r="J64" s="289">
        <f>K0kommunestruktur2020!J64</f>
        <v>321672</v>
      </c>
      <c r="K64" s="289">
        <f>K0kommunestruktur2020!K64</f>
        <v>13448</v>
      </c>
      <c r="L64" s="289">
        <f>K0kommunestruktur2020!L64</f>
        <v>338074</v>
      </c>
      <c r="M64" s="289">
        <f>K0kommunestruktur2020!M64</f>
        <v>13403</v>
      </c>
      <c r="N64" s="289">
        <f>K0kommunestruktur2020!N64</f>
        <v>353905</v>
      </c>
      <c r="O64" s="289">
        <f>K0kommunestruktur2020!O64</f>
        <v>13278</v>
      </c>
      <c r="P64" s="289">
        <f>K0kommunestruktur2020!P64</f>
        <v>347307</v>
      </c>
      <c r="Q64" s="289">
        <f>VLOOKUP(A64,'K21'!$A$4:$CI$359,3)</f>
        <v>13268</v>
      </c>
      <c r="R64" s="289">
        <f>VLOOKUP(A64,'K21'!$A$4:$BV$359,26)</f>
        <v>396161.47399999999</v>
      </c>
      <c r="S64" s="517"/>
      <c r="T64" s="517"/>
      <c r="U64" s="517"/>
      <c r="V64" s="517"/>
    </row>
    <row r="65" spans="1:22" ht="13">
      <c r="A65" s="755">
        <v>1825</v>
      </c>
      <c r="B65" s="756" t="s">
        <v>184</v>
      </c>
      <c r="C65" s="289">
        <f>K0kommunestruktur2020!C65</f>
        <v>1465</v>
      </c>
      <c r="D65" s="289">
        <f>K0kommunestruktur2020!D65</f>
        <v>28175</v>
      </c>
      <c r="E65" s="289">
        <f>K0kommunestruktur2020!E65</f>
        <v>1458</v>
      </c>
      <c r="F65" s="289">
        <f>K0kommunestruktur2020!F65</f>
        <v>30028</v>
      </c>
      <c r="G65" s="289">
        <f>K0kommunestruktur2020!G65</f>
        <v>1462</v>
      </c>
      <c r="H65" s="289">
        <f>K0kommunestruktur2020!H65</f>
        <v>31257</v>
      </c>
      <c r="I65" s="289">
        <f>K0kommunestruktur2020!I65</f>
        <v>1469</v>
      </c>
      <c r="J65" s="289">
        <f>K0kommunestruktur2020!J65</f>
        <v>32445</v>
      </c>
      <c r="K65" s="289">
        <f>K0kommunestruktur2020!K65</f>
        <v>1463</v>
      </c>
      <c r="L65" s="289">
        <f>K0kommunestruktur2020!L65</f>
        <v>35736</v>
      </c>
      <c r="M65" s="289">
        <f>K0kommunestruktur2020!M65</f>
        <v>1493</v>
      </c>
      <c r="N65" s="289">
        <f>K0kommunestruktur2020!N65</f>
        <v>35715</v>
      </c>
      <c r="O65" s="289">
        <f>K0kommunestruktur2020!O65</f>
        <v>1482</v>
      </c>
      <c r="P65" s="289">
        <f>K0kommunestruktur2020!P65</f>
        <v>34842</v>
      </c>
      <c r="Q65" s="289">
        <f>VLOOKUP(A65,'K21'!$A$4:$CI$359,3)</f>
        <v>1453</v>
      </c>
      <c r="R65" s="289">
        <f>VLOOKUP(A65,'K21'!$A$4:$BV$359,26)</f>
        <v>38988.620999999999</v>
      </c>
      <c r="S65" s="517"/>
      <c r="T65" s="517"/>
      <c r="U65" s="517"/>
      <c r="V65" s="517"/>
    </row>
    <row r="66" spans="1:22" ht="13">
      <c r="A66" s="755">
        <v>1826</v>
      </c>
      <c r="B66" s="756" t="s">
        <v>185</v>
      </c>
      <c r="C66" s="289">
        <f>K0kommunestruktur2020!C66</f>
        <v>1500</v>
      </c>
      <c r="D66" s="289">
        <f>K0kommunestruktur2020!D66</f>
        <v>25086</v>
      </c>
      <c r="E66" s="289">
        <f>K0kommunestruktur2020!E66</f>
        <v>1533</v>
      </c>
      <c r="F66" s="289">
        <f>K0kommunestruktur2020!F66</f>
        <v>27288</v>
      </c>
      <c r="G66" s="289">
        <f>K0kommunestruktur2020!G66</f>
        <v>1465</v>
      </c>
      <c r="H66" s="289">
        <f>K0kommunestruktur2020!H66</f>
        <v>29443</v>
      </c>
      <c r="I66" s="289">
        <f>K0kommunestruktur2020!I66</f>
        <v>1414</v>
      </c>
      <c r="J66" s="289">
        <f>K0kommunestruktur2020!J66</f>
        <v>28941</v>
      </c>
      <c r="K66" s="289">
        <f>K0kommunestruktur2020!K66</f>
        <v>1411</v>
      </c>
      <c r="L66" s="289">
        <f>K0kommunestruktur2020!L66</f>
        <v>28471</v>
      </c>
      <c r="M66" s="289">
        <f>K0kommunestruktur2020!M66</f>
        <v>1359</v>
      </c>
      <c r="N66" s="289">
        <f>K0kommunestruktur2020!N66</f>
        <v>29557</v>
      </c>
      <c r="O66" s="289">
        <f>K0kommunestruktur2020!O66</f>
        <v>1297</v>
      </c>
      <c r="P66" s="289">
        <f>K0kommunestruktur2020!P66</f>
        <v>29543</v>
      </c>
      <c r="Q66" s="289">
        <f>VLOOKUP(A66,'K21'!$A$4:$CI$359,3)</f>
        <v>1267</v>
      </c>
      <c r="R66" s="289">
        <f>VLOOKUP(A66,'K21'!$A$4:$BV$359,26)</f>
        <v>31786.625</v>
      </c>
      <c r="S66" s="517"/>
      <c r="T66" s="517"/>
      <c r="U66" s="517"/>
      <c r="V66" s="517"/>
    </row>
    <row r="67" spans="1:22" ht="13">
      <c r="A67" s="755">
        <v>1827</v>
      </c>
      <c r="B67" s="756" t="s">
        <v>186</v>
      </c>
      <c r="C67" s="289">
        <f>K0kommunestruktur2020!C67</f>
        <v>1420</v>
      </c>
      <c r="D67" s="289">
        <f>K0kommunestruktur2020!D67</f>
        <v>26092</v>
      </c>
      <c r="E67" s="289">
        <f>K0kommunestruktur2020!E67</f>
        <v>1407</v>
      </c>
      <c r="F67" s="289">
        <f>K0kommunestruktur2020!F67</f>
        <v>27767</v>
      </c>
      <c r="G67" s="289">
        <f>K0kommunestruktur2020!G67</f>
        <v>1402</v>
      </c>
      <c r="H67" s="289">
        <f>K0kommunestruktur2020!H67</f>
        <v>29285</v>
      </c>
      <c r="I67" s="289">
        <f>K0kommunestruktur2020!I67</f>
        <v>1410</v>
      </c>
      <c r="J67" s="289">
        <f>K0kommunestruktur2020!J67</f>
        <v>31550</v>
      </c>
      <c r="K67" s="289">
        <f>K0kommunestruktur2020!K67</f>
        <v>1403</v>
      </c>
      <c r="L67" s="289">
        <f>K0kommunestruktur2020!L67</f>
        <v>34700</v>
      </c>
      <c r="M67" s="289">
        <f>K0kommunestruktur2020!M67</f>
        <v>1391</v>
      </c>
      <c r="N67" s="289">
        <f>K0kommunestruktur2020!N67</f>
        <v>43441</v>
      </c>
      <c r="O67" s="289">
        <f>K0kommunestruktur2020!O67</f>
        <v>1371</v>
      </c>
      <c r="P67" s="289">
        <f>K0kommunestruktur2020!P67</f>
        <v>41165</v>
      </c>
      <c r="Q67" s="289">
        <f>VLOOKUP(A67,'K21'!$A$4:$CI$359,3)</f>
        <v>1371</v>
      </c>
      <c r="R67" s="289">
        <f>VLOOKUP(A67,'K21'!$A$4:$BV$359,26)</f>
        <v>40253.826000000001</v>
      </c>
      <c r="S67" s="517"/>
      <c r="T67" s="517"/>
      <c r="U67" s="517"/>
      <c r="V67" s="517"/>
    </row>
    <row r="68" spans="1:22" ht="13">
      <c r="A68" s="755">
        <v>1828</v>
      </c>
      <c r="B68" s="756" t="s">
        <v>187</v>
      </c>
      <c r="C68" s="289">
        <f>K0kommunestruktur2020!C68</f>
        <v>1902</v>
      </c>
      <c r="D68" s="289">
        <f>K0kommunestruktur2020!D68</f>
        <v>29300</v>
      </c>
      <c r="E68" s="289">
        <f>K0kommunestruktur2020!E68</f>
        <v>1871</v>
      </c>
      <c r="F68" s="289">
        <f>K0kommunestruktur2020!F68</f>
        <v>33036</v>
      </c>
      <c r="G68" s="289">
        <f>K0kommunestruktur2020!G68</f>
        <v>1838</v>
      </c>
      <c r="H68" s="289">
        <f>K0kommunestruktur2020!H68</f>
        <v>35368</v>
      </c>
      <c r="I68" s="289">
        <f>K0kommunestruktur2020!I68</f>
        <v>1837</v>
      </c>
      <c r="J68" s="289">
        <f>K0kommunestruktur2020!J68</f>
        <v>37688</v>
      </c>
      <c r="K68" s="289">
        <f>K0kommunestruktur2020!K68</f>
        <v>1805</v>
      </c>
      <c r="L68" s="289">
        <f>K0kommunestruktur2020!L68</f>
        <v>44961</v>
      </c>
      <c r="M68" s="289">
        <f>K0kommunestruktur2020!M68</f>
        <v>1792</v>
      </c>
      <c r="N68" s="289">
        <f>K0kommunestruktur2020!N68</f>
        <v>43755</v>
      </c>
      <c r="O68" s="289">
        <f>K0kommunestruktur2020!O68</f>
        <v>1761</v>
      </c>
      <c r="P68" s="289">
        <f>K0kommunestruktur2020!P68</f>
        <v>39477</v>
      </c>
      <c r="Q68" s="289">
        <f>VLOOKUP(A68,'K21'!$A$4:$CI$359,3)</f>
        <v>1701</v>
      </c>
      <c r="R68" s="289">
        <f>VLOOKUP(A68,'K21'!$A$4:$BV$359,26)</f>
        <v>49782.275000000001</v>
      </c>
      <c r="S68" s="517"/>
      <c r="T68" s="517"/>
      <c r="U68" s="517"/>
      <c r="V68" s="517"/>
    </row>
    <row r="69" spans="1:22" ht="13">
      <c r="A69" s="755">
        <v>1832</v>
      </c>
      <c r="B69" s="756" t="s">
        <v>188</v>
      </c>
      <c r="C69" s="289">
        <f>K0kommunestruktur2020!C69</f>
        <v>4553</v>
      </c>
      <c r="D69" s="289">
        <f>K0kommunestruktur2020!D69</f>
        <v>106976</v>
      </c>
      <c r="E69" s="289">
        <f>K0kommunestruktur2020!E69</f>
        <v>4528</v>
      </c>
      <c r="F69" s="289">
        <f>K0kommunestruktur2020!F69</f>
        <v>115881</v>
      </c>
      <c r="G69" s="289">
        <f>K0kommunestruktur2020!G69</f>
        <v>4486</v>
      </c>
      <c r="H69" s="289">
        <f>K0kommunestruktur2020!H69</f>
        <v>121742</v>
      </c>
      <c r="I69" s="289">
        <f>K0kommunestruktur2020!I69</f>
        <v>4524</v>
      </c>
      <c r="J69" s="289">
        <f>K0kommunestruktur2020!J69</f>
        <v>124876</v>
      </c>
      <c r="K69" s="289">
        <f>K0kommunestruktur2020!K69</f>
        <v>4503</v>
      </c>
      <c r="L69" s="289">
        <f>K0kommunestruktur2020!L69</f>
        <v>131134</v>
      </c>
      <c r="M69" s="289">
        <f>K0kommunestruktur2020!M69</f>
        <v>4501</v>
      </c>
      <c r="N69" s="289">
        <f>K0kommunestruktur2020!N69</f>
        <v>131414</v>
      </c>
      <c r="O69" s="289">
        <f>K0kommunestruktur2020!O69</f>
        <v>4454</v>
      </c>
      <c r="P69" s="289">
        <f>K0kommunestruktur2020!P69</f>
        <v>130776</v>
      </c>
      <c r="Q69" s="289">
        <f>VLOOKUP(A69,'K21'!$A$4:$CI$359,3)</f>
        <v>4428</v>
      </c>
      <c r="R69" s="289">
        <f>VLOOKUP(A69,'K21'!$A$4:$BV$359,26)</f>
        <v>144714.84899999999</v>
      </c>
      <c r="S69" s="517"/>
      <c r="T69" s="517"/>
      <c r="U69" s="517"/>
      <c r="V69" s="517"/>
    </row>
    <row r="70" spans="1:22" ht="13">
      <c r="A70" s="755">
        <v>1833</v>
      </c>
      <c r="B70" s="756" t="s">
        <v>189</v>
      </c>
      <c r="C70" s="289">
        <f>K0kommunestruktur2020!C70</f>
        <v>25943</v>
      </c>
      <c r="D70" s="289">
        <f>K0kommunestruktur2020!D70</f>
        <v>551613</v>
      </c>
      <c r="E70" s="289">
        <f>K0kommunestruktur2020!E70</f>
        <v>26078</v>
      </c>
      <c r="F70" s="289">
        <f>K0kommunestruktur2020!F70</f>
        <v>589326</v>
      </c>
      <c r="G70" s="289">
        <f>K0kommunestruktur2020!G70</f>
        <v>26039</v>
      </c>
      <c r="H70" s="289">
        <f>K0kommunestruktur2020!H70</f>
        <v>638012</v>
      </c>
      <c r="I70" s="289">
        <f>K0kommunestruktur2020!I70</f>
        <v>26101</v>
      </c>
      <c r="J70" s="289">
        <f>K0kommunestruktur2020!J70</f>
        <v>666769</v>
      </c>
      <c r="K70" s="289">
        <f>K0kommunestruktur2020!K70</f>
        <v>26230</v>
      </c>
      <c r="L70" s="289">
        <f>K0kommunestruktur2020!L70</f>
        <v>691020</v>
      </c>
      <c r="M70" s="289">
        <f>K0kommunestruktur2020!M70</f>
        <v>26315</v>
      </c>
      <c r="N70" s="289">
        <f>K0kommunestruktur2020!N70</f>
        <v>712344</v>
      </c>
      <c r="O70" s="289">
        <f>K0kommunestruktur2020!O70</f>
        <v>26184</v>
      </c>
      <c r="P70" s="289">
        <f>K0kommunestruktur2020!P70</f>
        <v>715838</v>
      </c>
      <c r="Q70" s="289">
        <f>VLOOKUP(A70,'K21'!$A$4:$CI$359,3)</f>
        <v>26083</v>
      </c>
      <c r="R70" s="289">
        <f>VLOOKUP(A70,'K21'!$A$4:$BV$359,26)</f>
        <v>813864.70799999998</v>
      </c>
      <c r="S70" s="517"/>
      <c r="T70" s="517"/>
      <c r="U70" s="517"/>
      <c r="V70" s="517"/>
    </row>
    <row r="71" spans="1:22" ht="13">
      <c r="A71" s="755">
        <v>1834</v>
      </c>
      <c r="B71" s="756" t="s">
        <v>190</v>
      </c>
      <c r="C71" s="289">
        <f>K0kommunestruktur2020!C71</f>
        <v>1901</v>
      </c>
      <c r="D71" s="289">
        <f>K0kommunestruktur2020!D71</f>
        <v>42293</v>
      </c>
      <c r="E71" s="289">
        <f>K0kommunestruktur2020!E71</f>
        <v>1917</v>
      </c>
      <c r="F71" s="289">
        <f>K0kommunestruktur2020!F71</f>
        <v>46055</v>
      </c>
      <c r="G71" s="289">
        <f>K0kommunestruktur2020!G71</f>
        <v>1923</v>
      </c>
      <c r="H71" s="289">
        <f>K0kommunestruktur2020!H71</f>
        <v>58139</v>
      </c>
      <c r="I71" s="289">
        <f>K0kommunestruktur2020!I71</f>
        <v>1920</v>
      </c>
      <c r="J71" s="289">
        <f>K0kommunestruktur2020!J71</f>
        <v>61482</v>
      </c>
      <c r="K71" s="289">
        <f>K0kommunestruktur2020!K71</f>
        <v>1920</v>
      </c>
      <c r="L71" s="289">
        <f>K0kommunestruktur2020!L71</f>
        <v>71323</v>
      </c>
      <c r="M71" s="289">
        <f>K0kommunestruktur2020!M71</f>
        <v>1904</v>
      </c>
      <c r="N71" s="289">
        <f>K0kommunestruktur2020!N71</f>
        <v>78651</v>
      </c>
      <c r="O71" s="289">
        <f>K0kommunestruktur2020!O71</f>
        <v>1890</v>
      </c>
      <c r="P71" s="289">
        <f>K0kommunestruktur2020!P71</f>
        <v>82254</v>
      </c>
      <c r="Q71" s="289">
        <f>VLOOKUP(A71,'K21'!$A$4:$CI$359,3)</f>
        <v>1876</v>
      </c>
      <c r="R71" s="289">
        <f>VLOOKUP(A71,'K21'!$A$4:$BV$359,26)</f>
        <v>91881.135999999999</v>
      </c>
      <c r="S71" s="517"/>
      <c r="T71" s="517"/>
      <c r="U71" s="517"/>
      <c r="V71" s="517"/>
    </row>
    <row r="72" spans="1:22" ht="13">
      <c r="A72" s="755">
        <v>1835</v>
      </c>
      <c r="B72" s="756" t="s">
        <v>191</v>
      </c>
      <c r="C72" s="289">
        <f>K0kommunestruktur2020!C72</f>
        <v>489</v>
      </c>
      <c r="D72" s="289">
        <f>K0kommunestruktur2020!D72</f>
        <v>9796</v>
      </c>
      <c r="E72" s="289">
        <f>K0kommunestruktur2020!E72</f>
        <v>486</v>
      </c>
      <c r="F72" s="289">
        <f>K0kommunestruktur2020!F72</f>
        <v>10370</v>
      </c>
      <c r="G72" s="289">
        <f>K0kommunestruktur2020!G72</f>
        <v>478</v>
      </c>
      <c r="H72" s="289">
        <f>K0kommunestruktur2020!H72</f>
        <v>11735</v>
      </c>
      <c r="I72" s="289">
        <f>K0kommunestruktur2020!I72</f>
        <v>465</v>
      </c>
      <c r="J72" s="289">
        <f>K0kommunestruktur2020!J72</f>
        <v>11809</v>
      </c>
      <c r="K72" s="289">
        <f>K0kommunestruktur2020!K72</f>
        <v>454</v>
      </c>
      <c r="L72" s="289">
        <f>K0kommunestruktur2020!L72</f>
        <v>12509</v>
      </c>
      <c r="M72" s="289">
        <f>K0kommunestruktur2020!M72</f>
        <v>456</v>
      </c>
      <c r="N72" s="289">
        <f>K0kommunestruktur2020!N72</f>
        <v>12554</v>
      </c>
      <c r="O72" s="289">
        <f>K0kommunestruktur2020!O72</f>
        <v>435</v>
      </c>
      <c r="P72" s="289">
        <f>K0kommunestruktur2020!P72</f>
        <v>15251</v>
      </c>
      <c r="Q72" s="289">
        <f>VLOOKUP(A72,'K21'!$A$4:$CI$359,3)</f>
        <v>442</v>
      </c>
      <c r="R72" s="289">
        <f>VLOOKUP(A72,'K21'!$A$4:$BV$359,26)</f>
        <v>15146.028</v>
      </c>
      <c r="S72" s="517"/>
      <c r="T72" s="517"/>
      <c r="U72" s="517"/>
      <c r="V72" s="517"/>
    </row>
    <row r="73" spans="1:22" ht="13">
      <c r="A73" s="755">
        <v>1836</v>
      </c>
      <c r="B73" s="756" t="s">
        <v>192</v>
      </c>
      <c r="C73" s="289">
        <f>K0kommunestruktur2020!C73</f>
        <v>1305</v>
      </c>
      <c r="D73" s="289">
        <f>K0kommunestruktur2020!D73</f>
        <v>22194</v>
      </c>
      <c r="E73" s="289">
        <f>K0kommunestruktur2020!E73</f>
        <v>1269</v>
      </c>
      <c r="F73" s="289">
        <f>K0kommunestruktur2020!F73</f>
        <v>23597</v>
      </c>
      <c r="G73" s="289">
        <f>K0kommunestruktur2020!G73</f>
        <v>1268</v>
      </c>
      <c r="H73" s="289">
        <f>K0kommunestruktur2020!H73</f>
        <v>26674</v>
      </c>
      <c r="I73" s="289">
        <f>K0kommunestruktur2020!I73</f>
        <v>1267</v>
      </c>
      <c r="J73" s="289">
        <f>K0kommunestruktur2020!J73</f>
        <v>27439</v>
      </c>
      <c r="K73" s="289">
        <f>K0kommunestruktur2020!K73</f>
        <v>1249</v>
      </c>
      <c r="L73" s="289">
        <f>K0kommunestruktur2020!L73</f>
        <v>28017</v>
      </c>
      <c r="M73" s="289">
        <f>K0kommunestruktur2020!M73</f>
        <v>1238</v>
      </c>
      <c r="N73" s="289">
        <f>K0kommunestruktur2020!N73</f>
        <v>30314</v>
      </c>
      <c r="O73" s="289">
        <f>K0kommunestruktur2020!O73</f>
        <v>1213</v>
      </c>
      <c r="P73" s="289">
        <f>K0kommunestruktur2020!P73</f>
        <v>31493</v>
      </c>
      <c r="Q73" s="289">
        <f>VLOOKUP(A73,'K21'!$A$4:$CI$359,3)</f>
        <v>1206</v>
      </c>
      <c r="R73" s="289">
        <f>VLOOKUP(A73,'K21'!$A$4:$BV$359,26)</f>
        <v>35181.616999999998</v>
      </c>
      <c r="S73" s="517"/>
      <c r="T73" s="517"/>
      <c r="U73" s="517"/>
      <c r="V73" s="517"/>
    </row>
    <row r="74" spans="1:22" ht="13">
      <c r="A74" s="755">
        <v>1837</v>
      </c>
      <c r="B74" s="756" t="s">
        <v>193</v>
      </c>
      <c r="C74" s="289">
        <f>K0kommunestruktur2020!C74</f>
        <v>6491</v>
      </c>
      <c r="D74" s="289">
        <f>K0kommunestruktur2020!D74</f>
        <v>153531</v>
      </c>
      <c r="E74" s="289">
        <f>K0kommunestruktur2020!E74</f>
        <v>6454</v>
      </c>
      <c r="F74" s="289">
        <f>K0kommunestruktur2020!F74</f>
        <v>158459</v>
      </c>
      <c r="G74" s="289">
        <f>K0kommunestruktur2020!G74</f>
        <v>6471</v>
      </c>
      <c r="H74" s="289">
        <f>K0kommunestruktur2020!H74</f>
        <v>170747</v>
      </c>
      <c r="I74" s="289">
        <f>K0kommunestruktur2020!I74</f>
        <v>6435</v>
      </c>
      <c r="J74" s="289">
        <f>K0kommunestruktur2020!J74</f>
        <v>177983</v>
      </c>
      <c r="K74" s="289">
        <f>K0kommunestruktur2020!K74</f>
        <v>6346</v>
      </c>
      <c r="L74" s="289">
        <f>K0kommunestruktur2020!L74</f>
        <v>179660</v>
      </c>
      <c r="M74" s="289">
        <f>K0kommunestruktur2020!M74</f>
        <v>6331</v>
      </c>
      <c r="N74" s="289">
        <f>K0kommunestruktur2020!N74</f>
        <v>186474</v>
      </c>
      <c r="O74" s="289">
        <f>K0kommunestruktur2020!O74</f>
        <v>6288</v>
      </c>
      <c r="P74" s="289">
        <f>K0kommunestruktur2020!P74</f>
        <v>182883</v>
      </c>
      <c r="Q74" s="289">
        <f>VLOOKUP(A74,'K21'!$A$4:$CI$359,3)</f>
        <v>6247</v>
      </c>
      <c r="R74" s="289">
        <f>VLOOKUP(A74,'K21'!$A$4:$BV$359,26)</f>
        <v>201930.747</v>
      </c>
      <c r="S74" s="517"/>
      <c r="T74" s="517"/>
      <c r="U74" s="517"/>
      <c r="V74" s="517"/>
    </row>
    <row r="75" spans="1:22" ht="13">
      <c r="A75" s="755">
        <v>1838</v>
      </c>
      <c r="B75" s="756" t="s">
        <v>194</v>
      </c>
      <c r="C75" s="289">
        <f>K0kommunestruktur2020!C75</f>
        <v>2023</v>
      </c>
      <c r="D75" s="289">
        <f>K0kommunestruktur2020!D75</f>
        <v>46197</v>
      </c>
      <c r="E75" s="289">
        <f>K0kommunestruktur2020!E75</f>
        <v>2014</v>
      </c>
      <c r="F75" s="289">
        <f>K0kommunestruktur2020!F75</f>
        <v>42627</v>
      </c>
      <c r="G75" s="289">
        <f>K0kommunestruktur2020!G75</f>
        <v>2043</v>
      </c>
      <c r="H75" s="289">
        <f>K0kommunestruktur2020!H75</f>
        <v>50208</v>
      </c>
      <c r="I75" s="289">
        <f>K0kommunestruktur2020!I75</f>
        <v>2024</v>
      </c>
      <c r="J75" s="289">
        <f>K0kommunestruktur2020!J75</f>
        <v>49108</v>
      </c>
      <c r="K75" s="289">
        <f>K0kommunestruktur2020!K75</f>
        <v>1998</v>
      </c>
      <c r="L75" s="289">
        <f>K0kommunestruktur2020!L75</f>
        <v>50262</v>
      </c>
      <c r="M75" s="289">
        <f>K0kommunestruktur2020!M75</f>
        <v>1978</v>
      </c>
      <c r="N75" s="289">
        <f>K0kommunestruktur2020!N75</f>
        <v>52828</v>
      </c>
      <c r="O75" s="289">
        <f>K0kommunestruktur2020!O75</f>
        <v>1950</v>
      </c>
      <c r="P75" s="289">
        <f>K0kommunestruktur2020!P75</f>
        <v>52335</v>
      </c>
      <c r="Q75" s="289">
        <f>VLOOKUP(A75,'K21'!$A$4:$CI$359,3)</f>
        <v>1920</v>
      </c>
      <c r="R75" s="289">
        <f>VLOOKUP(A75,'K21'!$A$4:$BV$359,26)</f>
        <v>62965.311999999998</v>
      </c>
      <c r="S75" s="517"/>
      <c r="T75" s="517"/>
      <c r="U75" s="517"/>
      <c r="V75" s="517"/>
    </row>
    <row r="76" spans="1:22" ht="13">
      <c r="A76" s="755">
        <v>1839</v>
      </c>
      <c r="B76" s="756" t="s">
        <v>195</v>
      </c>
      <c r="C76" s="289">
        <f>K0kommunestruktur2020!C76</f>
        <v>1088</v>
      </c>
      <c r="D76" s="289">
        <f>K0kommunestruktur2020!D76</f>
        <v>27234</v>
      </c>
      <c r="E76" s="289">
        <f>K0kommunestruktur2020!E76</f>
        <v>1058</v>
      </c>
      <c r="F76" s="289">
        <f>K0kommunestruktur2020!F76</f>
        <v>25978</v>
      </c>
      <c r="G76" s="289">
        <f>K0kommunestruktur2020!G76</f>
        <v>1034</v>
      </c>
      <c r="H76" s="289">
        <f>K0kommunestruktur2020!H76</f>
        <v>25014</v>
      </c>
      <c r="I76" s="289">
        <f>K0kommunestruktur2020!I76</f>
        <v>1043</v>
      </c>
      <c r="J76" s="289">
        <f>K0kommunestruktur2020!J76</f>
        <v>26048</v>
      </c>
      <c r="K76" s="289">
        <f>K0kommunestruktur2020!K76</f>
        <v>1029</v>
      </c>
      <c r="L76" s="289">
        <f>K0kommunestruktur2020!L76</f>
        <v>26982</v>
      </c>
      <c r="M76" s="289">
        <f>K0kommunestruktur2020!M76</f>
        <v>1022</v>
      </c>
      <c r="N76" s="289">
        <f>K0kommunestruktur2020!N76</f>
        <v>27743</v>
      </c>
      <c r="O76" s="289">
        <f>K0kommunestruktur2020!O76</f>
        <v>1017</v>
      </c>
      <c r="P76" s="289">
        <f>K0kommunestruktur2020!P76</f>
        <v>28080</v>
      </c>
      <c r="Q76" s="289">
        <f>VLOOKUP(A76,'K21'!$A$4:$CI$359,3)</f>
        <v>999</v>
      </c>
      <c r="R76" s="289">
        <f>VLOOKUP(A76,'K21'!$A$4:$BV$359,26)</f>
        <v>29700.504000000001</v>
      </c>
      <c r="S76" s="517"/>
      <c r="T76" s="517"/>
      <c r="U76" s="517"/>
      <c r="V76" s="517"/>
    </row>
    <row r="77" spans="1:22" ht="13">
      <c r="A77" s="755">
        <v>1840</v>
      </c>
      <c r="B77" s="756" t="s">
        <v>196</v>
      </c>
      <c r="C77" s="289">
        <f>K0kommunestruktur2020!C77</f>
        <v>4690</v>
      </c>
      <c r="D77" s="289">
        <f>K0kommunestruktur2020!D77</f>
        <v>89200</v>
      </c>
      <c r="E77" s="289">
        <f>K0kommunestruktur2020!E77</f>
        <v>4734</v>
      </c>
      <c r="F77" s="289">
        <f>K0kommunestruktur2020!F77</f>
        <v>97414</v>
      </c>
      <c r="G77" s="289">
        <f>K0kommunestruktur2020!G77</f>
        <v>4700</v>
      </c>
      <c r="H77" s="289">
        <f>K0kommunestruktur2020!H77</f>
        <v>108553</v>
      </c>
      <c r="I77" s="289">
        <f>K0kommunestruktur2020!I77</f>
        <v>4702</v>
      </c>
      <c r="J77" s="289">
        <f>K0kommunestruktur2020!J77</f>
        <v>111140</v>
      </c>
      <c r="K77" s="289">
        <f>K0kommunestruktur2020!K77</f>
        <v>4691</v>
      </c>
      <c r="L77" s="289">
        <f>K0kommunestruktur2020!L77</f>
        <v>110720</v>
      </c>
      <c r="M77" s="289">
        <f>K0kommunestruktur2020!M77</f>
        <v>4657</v>
      </c>
      <c r="N77" s="289">
        <f>K0kommunestruktur2020!N77</f>
        <v>111043</v>
      </c>
      <c r="O77" s="289">
        <f>K0kommunestruktur2020!O77</f>
        <v>4671</v>
      </c>
      <c r="P77" s="289">
        <f>K0kommunestruktur2020!P77</f>
        <v>111066</v>
      </c>
      <c r="Q77" s="289">
        <f>VLOOKUP(A77,'K21'!$A$4:$CI$359,3)</f>
        <v>4632</v>
      </c>
      <c r="R77" s="289">
        <f>VLOOKUP(A77,'K21'!$A$4:$BV$359,26)</f>
        <v>127708.02800000001</v>
      </c>
      <c r="S77" s="517"/>
      <c r="T77" s="517"/>
      <c r="U77" s="517"/>
      <c r="V77" s="517"/>
    </row>
    <row r="78" spans="1:22" ht="13">
      <c r="A78" s="755">
        <v>1841</v>
      </c>
      <c r="B78" s="756" t="s">
        <v>197</v>
      </c>
      <c r="C78" s="289">
        <f>K0kommunestruktur2020!C78</f>
        <v>9556</v>
      </c>
      <c r="D78" s="289">
        <f>K0kommunestruktur2020!D78</f>
        <v>205253</v>
      </c>
      <c r="E78" s="289">
        <f>K0kommunestruktur2020!E78</f>
        <v>9622</v>
      </c>
      <c r="F78" s="289">
        <f>K0kommunestruktur2020!F78</f>
        <v>238903</v>
      </c>
      <c r="G78" s="289">
        <f>K0kommunestruktur2020!G78</f>
        <v>9604</v>
      </c>
      <c r="H78" s="289">
        <f>K0kommunestruktur2020!H78</f>
        <v>209670</v>
      </c>
      <c r="I78" s="289">
        <f>K0kommunestruktur2020!I78</f>
        <v>9729</v>
      </c>
      <c r="J78" s="289">
        <f>K0kommunestruktur2020!J78</f>
        <v>242289</v>
      </c>
      <c r="K78" s="289">
        <f>K0kommunestruktur2020!K78</f>
        <v>9775</v>
      </c>
      <c r="L78" s="289">
        <f>K0kommunestruktur2020!L78</f>
        <v>257308</v>
      </c>
      <c r="M78" s="289">
        <f>K0kommunestruktur2020!M78</f>
        <v>9760</v>
      </c>
      <c r="N78" s="289">
        <f>K0kommunestruktur2020!N78</f>
        <v>266024</v>
      </c>
      <c r="O78" s="289">
        <f>K0kommunestruktur2020!O78</f>
        <v>9739</v>
      </c>
      <c r="P78" s="289">
        <f>K0kommunestruktur2020!P78</f>
        <v>262631</v>
      </c>
      <c r="Q78" s="289">
        <f>VLOOKUP(A78,'K21'!$A$4:$CI$359,3)</f>
        <v>9640</v>
      </c>
      <c r="R78" s="289">
        <f>VLOOKUP(A78,'K21'!$A$4:$BV$359,26)</f>
        <v>297010.72700000001</v>
      </c>
      <c r="S78" s="517"/>
      <c r="T78" s="517"/>
      <c r="U78" s="517"/>
      <c r="V78" s="517"/>
    </row>
    <row r="79" spans="1:22" ht="13">
      <c r="A79" s="755">
        <v>1845</v>
      </c>
      <c r="B79" s="756" t="s">
        <v>198</v>
      </c>
      <c r="C79" s="289">
        <f>K0kommunestruktur2020!C79</f>
        <v>1987</v>
      </c>
      <c r="D79" s="289">
        <f>K0kommunestruktur2020!D79</f>
        <v>52924</v>
      </c>
      <c r="E79" s="289">
        <f>K0kommunestruktur2020!E79</f>
        <v>1953</v>
      </c>
      <c r="F79" s="289">
        <f>K0kommunestruktur2020!F79</f>
        <v>53864</v>
      </c>
      <c r="G79" s="289">
        <f>K0kommunestruktur2020!G79</f>
        <v>1963</v>
      </c>
      <c r="H79" s="289">
        <f>K0kommunestruktur2020!H79</f>
        <v>55801</v>
      </c>
      <c r="I79" s="289">
        <f>K0kommunestruktur2020!I79</f>
        <v>1958</v>
      </c>
      <c r="J79" s="289">
        <f>K0kommunestruktur2020!J79</f>
        <v>57707</v>
      </c>
      <c r="K79" s="289">
        <f>K0kommunestruktur2020!K79</f>
        <v>1979</v>
      </c>
      <c r="L79" s="289">
        <f>K0kommunestruktur2020!L79</f>
        <v>58654</v>
      </c>
      <c r="M79" s="289">
        <f>K0kommunestruktur2020!M79</f>
        <v>1975</v>
      </c>
      <c r="N79" s="289">
        <f>K0kommunestruktur2020!N79</f>
        <v>60172</v>
      </c>
      <c r="O79" s="289">
        <f>K0kommunestruktur2020!O79</f>
        <v>1926</v>
      </c>
      <c r="P79" s="289">
        <f>K0kommunestruktur2020!P79</f>
        <v>59582</v>
      </c>
      <c r="Q79" s="289">
        <f>VLOOKUP(A79,'K21'!$A$4:$CI$359,3)</f>
        <v>1912</v>
      </c>
      <c r="R79" s="289">
        <f>VLOOKUP(A79,'K21'!$A$4:$BV$359,26)</f>
        <v>65788.322</v>
      </c>
      <c r="S79" s="517"/>
      <c r="T79" s="517"/>
      <c r="U79" s="517"/>
      <c r="V79" s="517"/>
    </row>
    <row r="80" spans="1:22" ht="13">
      <c r="A80" s="755">
        <v>1848</v>
      </c>
      <c r="B80" s="756" t="s">
        <v>199</v>
      </c>
      <c r="C80" s="289">
        <f>K0kommunestruktur2020!C80</f>
        <v>2579</v>
      </c>
      <c r="D80" s="289">
        <f>K0kommunestruktur2020!D80</f>
        <v>46019</v>
      </c>
      <c r="E80" s="289">
        <f>K0kommunestruktur2020!E80</f>
        <v>2507</v>
      </c>
      <c r="F80" s="289">
        <f>K0kommunestruktur2020!F80</f>
        <v>49325</v>
      </c>
      <c r="G80" s="289">
        <f>K0kommunestruktur2020!G80</f>
        <v>2543</v>
      </c>
      <c r="H80" s="289">
        <f>K0kommunestruktur2020!H80</f>
        <v>55924</v>
      </c>
      <c r="I80" s="289">
        <f>K0kommunestruktur2020!I80</f>
        <v>2543</v>
      </c>
      <c r="J80" s="289">
        <f>K0kommunestruktur2020!J80</f>
        <v>60787</v>
      </c>
      <c r="K80" s="289">
        <f>K0kommunestruktur2020!K80</f>
        <v>2534</v>
      </c>
      <c r="L80" s="289">
        <f>K0kommunestruktur2020!L80</f>
        <v>63418</v>
      </c>
      <c r="M80" s="289">
        <f>K0kommunestruktur2020!M80</f>
        <v>2576</v>
      </c>
      <c r="N80" s="289">
        <f>K0kommunestruktur2020!N80</f>
        <v>66236</v>
      </c>
      <c r="O80" s="289">
        <f>K0kommunestruktur2020!O80</f>
        <v>2608</v>
      </c>
      <c r="P80" s="289">
        <f>K0kommunestruktur2020!P80</f>
        <v>68850</v>
      </c>
      <c r="Q80" s="289">
        <f>VLOOKUP(A80,'K21'!$A$4:$CI$359,3)</f>
        <v>2586</v>
      </c>
      <c r="R80" s="289">
        <f>VLOOKUP(A80,'K21'!$A$4:$BV$359,26)</f>
        <v>77671.702999999994</v>
      </c>
      <c r="S80" s="517"/>
      <c r="T80" s="517"/>
      <c r="U80" s="517"/>
      <c r="V80" s="517"/>
    </row>
    <row r="81" spans="1:22" ht="13">
      <c r="A81" s="755">
        <v>1851</v>
      </c>
      <c r="B81" s="756" t="s">
        <v>202</v>
      </c>
      <c r="C81" s="289">
        <f>K0kommunestruktur2020!C81</f>
        <v>2248</v>
      </c>
      <c r="D81" s="289">
        <f>K0kommunestruktur2020!D81</f>
        <v>43646</v>
      </c>
      <c r="E81" s="289">
        <f>K0kommunestruktur2020!E81</f>
        <v>2160</v>
      </c>
      <c r="F81" s="289">
        <f>K0kommunestruktur2020!F81</f>
        <v>46553</v>
      </c>
      <c r="G81" s="289">
        <f>K0kommunestruktur2020!G81</f>
        <v>2144</v>
      </c>
      <c r="H81" s="289">
        <f>K0kommunestruktur2020!H81</f>
        <v>49484</v>
      </c>
      <c r="I81" s="289">
        <f>K0kommunestruktur2020!I81</f>
        <v>2134</v>
      </c>
      <c r="J81" s="289">
        <f>K0kommunestruktur2020!J81</f>
        <v>50467</v>
      </c>
      <c r="K81" s="289">
        <f>K0kommunestruktur2020!K81</f>
        <v>2102</v>
      </c>
      <c r="L81" s="289">
        <f>K0kommunestruktur2020!L81</f>
        <v>52437</v>
      </c>
      <c r="M81" s="289">
        <f>K0kommunestruktur2020!M81</f>
        <v>2077</v>
      </c>
      <c r="N81" s="289">
        <f>K0kommunestruktur2020!N81</f>
        <v>52472</v>
      </c>
      <c r="O81" s="289">
        <f>K0kommunestruktur2020!O81</f>
        <v>2034</v>
      </c>
      <c r="P81" s="289">
        <f>K0kommunestruktur2020!P81</f>
        <v>53127</v>
      </c>
      <c r="Q81" s="289">
        <f>VLOOKUP(A81,'K21'!$A$4:$CI$359,3)</f>
        <v>2003</v>
      </c>
      <c r="R81" s="289">
        <f>VLOOKUP(A81,'K21'!$A$4:$BV$359,26)</f>
        <v>60382.305</v>
      </c>
      <c r="S81" s="517"/>
      <c r="T81" s="517"/>
      <c r="U81" s="517"/>
      <c r="V81" s="517"/>
    </row>
    <row r="82" spans="1:22" ht="13">
      <c r="A82" s="755">
        <v>1853</v>
      </c>
      <c r="B82" s="756" t="s">
        <v>204</v>
      </c>
      <c r="C82" s="289">
        <f>K0kommunestruktur2020!C82</f>
        <v>1391</v>
      </c>
      <c r="D82" s="289">
        <f>K0kommunestruktur2020!D82</f>
        <v>24670</v>
      </c>
      <c r="E82" s="289">
        <f>K0kommunestruktur2020!E82</f>
        <v>1385</v>
      </c>
      <c r="F82" s="289">
        <f>K0kommunestruktur2020!F82</f>
        <v>26418</v>
      </c>
      <c r="G82" s="289">
        <f>K0kommunestruktur2020!G82</f>
        <v>1400</v>
      </c>
      <c r="H82" s="289">
        <f>K0kommunestruktur2020!H82</f>
        <v>27912</v>
      </c>
      <c r="I82" s="289">
        <f>K0kommunestruktur2020!I82</f>
        <v>1402</v>
      </c>
      <c r="J82" s="289">
        <f>K0kommunestruktur2020!J82</f>
        <v>28976</v>
      </c>
      <c r="K82" s="289">
        <f>K0kommunestruktur2020!K82</f>
        <v>1387</v>
      </c>
      <c r="L82" s="289">
        <f>K0kommunestruktur2020!L82</f>
        <v>29781</v>
      </c>
      <c r="M82" s="289">
        <f>K0kommunestruktur2020!M82</f>
        <v>1387</v>
      </c>
      <c r="N82" s="289">
        <f>K0kommunestruktur2020!N82</f>
        <v>30761</v>
      </c>
      <c r="O82" s="289">
        <f>K0kommunestruktur2020!O82</f>
        <v>1348</v>
      </c>
      <c r="P82" s="289">
        <f>K0kommunestruktur2020!P82</f>
        <v>31152</v>
      </c>
      <c r="Q82" s="289">
        <f>VLOOKUP(A82,'K21'!$A$4:$CI$359,3)</f>
        <v>1324</v>
      </c>
      <c r="R82" s="289">
        <f>VLOOKUP(A82,'K21'!$A$4:$BV$359,26)</f>
        <v>33557.152999999998</v>
      </c>
      <c r="S82" s="517"/>
      <c r="T82" s="517"/>
      <c r="U82" s="517"/>
      <c r="V82" s="517"/>
    </row>
    <row r="83" spans="1:22" ht="13">
      <c r="A83" s="755">
        <v>1856</v>
      </c>
      <c r="B83" s="756" t="s">
        <v>206</v>
      </c>
      <c r="C83" s="289">
        <f>K0kommunestruktur2020!C83</f>
        <v>566</v>
      </c>
      <c r="D83" s="289">
        <f>K0kommunestruktur2020!D83</f>
        <v>11661</v>
      </c>
      <c r="E83" s="289">
        <f>K0kommunestruktur2020!E83</f>
        <v>545</v>
      </c>
      <c r="F83" s="289">
        <f>K0kommunestruktur2020!F83</f>
        <v>13949</v>
      </c>
      <c r="G83" s="289">
        <f>K0kommunestruktur2020!G83</f>
        <v>551</v>
      </c>
      <c r="H83" s="289">
        <f>K0kommunestruktur2020!H83</f>
        <v>16165</v>
      </c>
      <c r="I83" s="289">
        <f>K0kommunestruktur2020!I83</f>
        <v>535</v>
      </c>
      <c r="J83" s="289">
        <f>K0kommunestruktur2020!J83</f>
        <v>17382</v>
      </c>
      <c r="K83" s="289">
        <f>K0kommunestruktur2020!K83</f>
        <v>517</v>
      </c>
      <c r="L83" s="289">
        <f>K0kommunestruktur2020!L83</f>
        <v>16310</v>
      </c>
      <c r="M83" s="289">
        <f>K0kommunestruktur2020!M83</f>
        <v>508</v>
      </c>
      <c r="N83" s="289">
        <f>K0kommunestruktur2020!N83</f>
        <v>18474</v>
      </c>
      <c r="O83" s="289">
        <f>K0kommunestruktur2020!O83</f>
        <v>498</v>
      </c>
      <c r="P83" s="289">
        <f>K0kommunestruktur2020!P83</f>
        <v>18270</v>
      </c>
      <c r="Q83" s="289">
        <f>VLOOKUP(A83,'K21'!$A$4:$CI$359,3)</f>
        <v>488</v>
      </c>
      <c r="R83" s="289">
        <f>VLOOKUP(A83,'K21'!$A$4:$BV$359,26)</f>
        <v>19717.026999999998</v>
      </c>
      <c r="S83" s="517"/>
      <c r="T83" s="517"/>
      <c r="U83" s="517"/>
      <c r="V83" s="517"/>
    </row>
    <row r="84" spans="1:22" ht="13">
      <c r="A84" s="755">
        <v>1857</v>
      </c>
      <c r="B84" s="756" t="s">
        <v>207</v>
      </c>
      <c r="C84" s="289">
        <f>K0kommunestruktur2020!C84</f>
        <v>777</v>
      </c>
      <c r="D84" s="289">
        <f>K0kommunestruktur2020!D84</f>
        <v>16048</v>
      </c>
      <c r="E84" s="289">
        <f>K0kommunestruktur2020!E84</f>
        <v>780</v>
      </c>
      <c r="F84" s="289">
        <f>K0kommunestruktur2020!F84</f>
        <v>18594</v>
      </c>
      <c r="G84" s="289">
        <f>K0kommunestruktur2020!G84</f>
        <v>765</v>
      </c>
      <c r="H84" s="289">
        <f>K0kommunestruktur2020!H84</f>
        <v>20793</v>
      </c>
      <c r="I84" s="289">
        <f>K0kommunestruktur2020!I84</f>
        <v>744</v>
      </c>
      <c r="J84" s="289">
        <f>K0kommunestruktur2020!J84</f>
        <v>22080</v>
      </c>
      <c r="K84" s="289">
        <f>K0kommunestruktur2020!K84</f>
        <v>746</v>
      </c>
      <c r="L84" s="289">
        <f>K0kommunestruktur2020!L84</f>
        <v>21713</v>
      </c>
      <c r="M84" s="289">
        <f>K0kommunestruktur2020!M84</f>
        <v>732</v>
      </c>
      <c r="N84" s="289">
        <f>K0kommunestruktur2020!N84</f>
        <v>22943</v>
      </c>
      <c r="O84" s="289">
        <f>K0kommunestruktur2020!O84</f>
        <v>728</v>
      </c>
      <c r="P84" s="289">
        <f>K0kommunestruktur2020!P84</f>
        <v>24227</v>
      </c>
      <c r="Q84" s="289">
        <f>VLOOKUP(A84,'K21'!$A$4:$CI$359,3)</f>
        <v>698</v>
      </c>
      <c r="R84" s="289">
        <f>VLOOKUP(A84,'K21'!$A$4:$BV$359,26)</f>
        <v>26622.635999999999</v>
      </c>
      <c r="S84" s="517"/>
      <c r="T84" s="517"/>
      <c r="U84" s="517"/>
      <c r="V84" s="517"/>
    </row>
    <row r="85" spans="1:22" ht="13">
      <c r="A85" s="755">
        <v>1859</v>
      </c>
      <c r="B85" s="756" t="s">
        <v>208</v>
      </c>
      <c r="C85" s="289">
        <f>K0kommunestruktur2020!C85</f>
        <v>1368</v>
      </c>
      <c r="D85" s="289">
        <f>K0kommunestruktur2020!D85</f>
        <v>26259</v>
      </c>
      <c r="E85" s="289">
        <f>K0kommunestruktur2020!E85</f>
        <v>1358</v>
      </c>
      <c r="F85" s="289">
        <f>K0kommunestruktur2020!F85</f>
        <v>28292</v>
      </c>
      <c r="G85" s="289">
        <f>K0kommunestruktur2020!G85</f>
        <v>1336</v>
      </c>
      <c r="H85" s="289">
        <f>K0kommunestruktur2020!H85</f>
        <v>32331</v>
      </c>
      <c r="I85" s="289">
        <f>K0kommunestruktur2020!I85</f>
        <v>1349</v>
      </c>
      <c r="J85" s="289">
        <f>K0kommunestruktur2020!J85</f>
        <v>35412</v>
      </c>
      <c r="K85" s="289">
        <f>K0kommunestruktur2020!K85</f>
        <v>1301</v>
      </c>
      <c r="L85" s="289">
        <f>K0kommunestruktur2020!L85</f>
        <v>37505</v>
      </c>
      <c r="M85" s="289">
        <f>K0kommunestruktur2020!M85</f>
        <v>1292</v>
      </c>
      <c r="N85" s="289">
        <f>K0kommunestruktur2020!N85</f>
        <v>40548</v>
      </c>
      <c r="O85" s="289">
        <f>K0kommunestruktur2020!O85</f>
        <v>1272</v>
      </c>
      <c r="P85" s="289">
        <f>K0kommunestruktur2020!P85</f>
        <v>40310</v>
      </c>
      <c r="Q85" s="289">
        <f>VLOOKUP(A85,'K21'!$A$4:$CI$359,3)</f>
        <v>1238</v>
      </c>
      <c r="R85" s="289">
        <f>VLOOKUP(A85,'K21'!$A$4:$BV$359,26)</f>
        <v>39684.923000000003</v>
      </c>
      <c r="S85" s="517"/>
      <c r="T85" s="517"/>
      <c r="U85" s="517"/>
      <c r="V85" s="517"/>
    </row>
    <row r="86" spans="1:22" ht="13">
      <c r="A86" s="755">
        <v>1860</v>
      </c>
      <c r="B86" s="756" t="s">
        <v>209</v>
      </c>
      <c r="C86" s="289">
        <f>K0kommunestruktur2020!C86</f>
        <v>10997</v>
      </c>
      <c r="D86" s="289">
        <f>K0kommunestruktur2020!D86</f>
        <v>209102</v>
      </c>
      <c r="E86" s="289">
        <f>K0kommunestruktur2020!E86</f>
        <v>11140</v>
      </c>
      <c r="F86" s="289">
        <f>K0kommunestruktur2020!F86</f>
        <v>227662</v>
      </c>
      <c r="G86" s="289">
        <f>K0kommunestruktur2020!G86</f>
        <v>11198</v>
      </c>
      <c r="H86" s="289">
        <f>K0kommunestruktur2020!H86</f>
        <v>253493</v>
      </c>
      <c r="I86" s="289">
        <f>K0kommunestruktur2020!I86</f>
        <v>11294</v>
      </c>
      <c r="J86" s="289">
        <f>K0kommunestruktur2020!J86</f>
        <v>265381</v>
      </c>
      <c r="K86" s="289">
        <f>K0kommunestruktur2020!K86</f>
        <v>11397</v>
      </c>
      <c r="L86" s="289">
        <f>K0kommunestruktur2020!L86</f>
        <v>282252</v>
      </c>
      <c r="M86" s="289">
        <f>K0kommunestruktur2020!M86</f>
        <v>11480</v>
      </c>
      <c r="N86" s="289">
        <f>K0kommunestruktur2020!N86</f>
        <v>290256</v>
      </c>
      <c r="O86" s="289">
        <f>K0kommunestruktur2020!O86</f>
        <v>11433</v>
      </c>
      <c r="P86" s="289">
        <f>K0kommunestruktur2020!P86</f>
        <v>297869</v>
      </c>
      <c r="Q86" s="289">
        <f>VLOOKUP(A86,'K21'!$A$4:$CI$359,3)</f>
        <v>11521</v>
      </c>
      <c r="R86" s="289">
        <f>VLOOKUP(A86,'K21'!$A$4:$BV$359,26)</f>
        <v>333941.76899999997</v>
      </c>
      <c r="S86" s="517"/>
      <c r="T86" s="517"/>
      <c r="U86" s="517"/>
      <c r="V86" s="517"/>
    </row>
    <row r="87" spans="1:22" ht="13">
      <c r="A87" s="755">
        <v>1865</v>
      </c>
      <c r="B87" s="756" t="s">
        <v>210</v>
      </c>
      <c r="C87" s="289">
        <f>K0kommunestruktur2020!C87</f>
        <v>9223</v>
      </c>
      <c r="D87" s="289">
        <f>K0kommunestruktur2020!D87</f>
        <v>176605</v>
      </c>
      <c r="E87" s="289">
        <f>K0kommunestruktur2020!E87</f>
        <v>9285</v>
      </c>
      <c r="F87" s="289">
        <f>K0kommunestruktur2020!F87</f>
        <v>202235</v>
      </c>
      <c r="G87" s="289">
        <f>K0kommunestruktur2020!G87</f>
        <v>9350</v>
      </c>
      <c r="H87" s="289">
        <f>K0kommunestruktur2020!H87</f>
        <v>224413</v>
      </c>
      <c r="I87" s="289">
        <f>K0kommunestruktur2020!I87</f>
        <v>9444</v>
      </c>
      <c r="J87" s="289">
        <f>K0kommunestruktur2020!J87</f>
        <v>240817</v>
      </c>
      <c r="K87" s="289">
        <f>K0kommunestruktur2020!K87</f>
        <v>9611</v>
      </c>
      <c r="L87" s="289">
        <f>K0kommunestruktur2020!L87</f>
        <v>268281</v>
      </c>
      <c r="M87" s="289">
        <f>K0kommunestruktur2020!M87</f>
        <v>9595</v>
      </c>
      <c r="N87" s="289">
        <f>K0kommunestruktur2020!N87</f>
        <v>278063</v>
      </c>
      <c r="O87" s="289">
        <f>K0kommunestruktur2020!O87</f>
        <v>9608</v>
      </c>
      <c r="P87" s="289">
        <f>K0kommunestruktur2020!P87</f>
        <v>274393</v>
      </c>
      <c r="Q87" s="289">
        <f>VLOOKUP(A87,'K21'!$A$4:$CI$359,3)</f>
        <v>9670</v>
      </c>
      <c r="R87" s="289">
        <f>VLOOKUP(A87,'K21'!$A$4:$BV$359,26)</f>
        <v>306877.32699999999</v>
      </c>
      <c r="S87" s="517"/>
      <c r="T87" s="517"/>
      <c r="U87" s="517"/>
      <c r="V87" s="517"/>
    </row>
    <row r="88" spans="1:22" ht="13">
      <c r="A88" s="755">
        <v>1866</v>
      </c>
      <c r="B88" s="756" t="s">
        <v>211</v>
      </c>
      <c r="C88" s="289">
        <f>K0kommunestruktur2020!C88</f>
        <v>8112</v>
      </c>
      <c r="D88" s="289">
        <f>K0kommunestruktur2020!D88</f>
        <v>156987</v>
      </c>
      <c r="E88" s="289">
        <f>K0kommunestruktur2020!E88</f>
        <v>8057</v>
      </c>
      <c r="F88" s="289">
        <f>K0kommunestruktur2020!F88</f>
        <v>161270</v>
      </c>
      <c r="G88" s="289">
        <f>K0kommunestruktur2020!G88</f>
        <v>8082</v>
      </c>
      <c r="H88" s="289">
        <f>K0kommunestruktur2020!H88</f>
        <v>190925</v>
      </c>
      <c r="I88" s="289">
        <f>K0kommunestruktur2020!I88</f>
        <v>8009</v>
      </c>
      <c r="J88" s="289">
        <f>K0kommunestruktur2020!J88</f>
        <v>197825</v>
      </c>
      <c r="K88" s="289">
        <f>K0kommunestruktur2020!K88</f>
        <v>8042</v>
      </c>
      <c r="L88" s="289">
        <f>K0kommunestruktur2020!L88</f>
        <v>188411</v>
      </c>
      <c r="M88" s="289">
        <f>K0kommunestruktur2020!M88</f>
        <v>8091</v>
      </c>
      <c r="N88" s="289">
        <f>K0kommunestruktur2020!N88</f>
        <v>199930</v>
      </c>
      <c r="O88" s="289">
        <f>K0kommunestruktur2020!O88</f>
        <v>8061</v>
      </c>
      <c r="P88" s="289">
        <f>K0kommunestruktur2020!P88</f>
        <v>229795</v>
      </c>
      <c r="Q88" s="289">
        <f>VLOOKUP(A88,'K21'!$A$4:$CI$359,3)</f>
        <v>8065</v>
      </c>
      <c r="R88" s="289">
        <f>VLOOKUP(A88,'K21'!$A$4:$BV$359,26)</f>
        <v>263924.96500000003</v>
      </c>
      <c r="S88" s="517"/>
      <c r="T88" s="517"/>
      <c r="U88" s="517"/>
      <c r="V88" s="517"/>
    </row>
    <row r="89" spans="1:22" ht="13">
      <c r="A89" s="755">
        <v>1867</v>
      </c>
      <c r="B89" s="756" t="s">
        <v>913</v>
      </c>
      <c r="C89" s="289">
        <f>K0kommunestruktur2020!C89</f>
        <v>2642</v>
      </c>
      <c r="D89" s="289">
        <f>K0kommunestruktur2020!D89</f>
        <v>42197</v>
      </c>
      <c r="E89" s="289">
        <f>K0kommunestruktur2020!E89</f>
        <v>2642</v>
      </c>
      <c r="F89" s="289">
        <f>K0kommunestruktur2020!F89</f>
        <v>45774</v>
      </c>
      <c r="G89" s="289">
        <f>K0kommunestruktur2020!G89</f>
        <v>2632</v>
      </c>
      <c r="H89" s="289">
        <f>K0kommunestruktur2020!H89</f>
        <v>52082</v>
      </c>
      <c r="I89" s="289">
        <f>K0kommunestruktur2020!I89</f>
        <v>2624</v>
      </c>
      <c r="J89" s="289">
        <f>K0kommunestruktur2020!J89</f>
        <v>54754</v>
      </c>
      <c r="K89" s="289">
        <f>K0kommunestruktur2020!K89</f>
        <v>2623</v>
      </c>
      <c r="L89" s="289">
        <f>K0kommunestruktur2020!L89</f>
        <v>61567</v>
      </c>
      <c r="M89" s="289">
        <f>K0kommunestruktur2020!M89</f>
        <v>2616</v>
      </c>
      <c r="N89" s="289">
        <f>K0kommunestruktur2020!N89</f>
        <v>64569</v>
      </c>
      <c r="O89" s="289">
        <f>K0kommunestruktur2020!O89</f>
        <v>2569</v>
      </c>
      <c r="P89" s="289">
        <f>K0kommunestruktur2020!P89</f>
        <v>63494</v>
      </c>
      <c r="Q89" s="289">
        <f>VLOOKUP(A89,'K21'!$A$4:$CI$359,3)</f>
        <v>2576</v>
      </c>
      <c r="R89" s="289">
        <f>VLOOKUP(A89,'K21'!$A$4:$BV$359,26)</f>
        <v>96312</v>
      </c>
      <c r="S89" s="517"/>
      <c r="T89" s="517"/>
      <c r="U89" s="517"/>
      <c r="V89" s="517"/>
    </row>
    <row r="90" spans="1:22" ht="13">
      <c r="A90" s="755">
        <v>1868</v>
      </c>
      <c r="B90" s="756" t="s">
        <v>212</v>
      </c>
      <c r="C90" s="289">
        <f>K0kommunestruktur2020!C90</f>
        <v>4562</v>
      </c>
      <c r="D90" s="289">
        <f>K0kommunestruktur2020!D90</f>
        <v>88777</v>
      </c>
      <c r="E90" s="289">
        <f>K0kommunestruktur2020!E90</f>
        <v>4563</v>
      </c>
      <c r="F90" s="289">
        <f>K0kommunestruktur2020!F90</f>
        <v>96911</v>
      </c>
      <c r="G90" s="289">
        <f>K0kommunestruktur2020!G90</f>
        <v>4529</v>
      </c>
      <c r="H90" s="289">
        <f>K0kommunestruktur2020!H90</f>
        <v>105787</v>
      </c>
      <c r="I90" s="289">
        <f>K0kommunestruktur2020!I90</f>
        <v>4580</v>
      </c>
      <c r="J90" s="289">
        <f>K0kommunestruktur2020!J90</f>
        <v>109552</v>
      </c>
      <c r="K90" s="289">
        <f>K0kommunestruktur2020!K90</f>
        <v>4541</v>
      </c>
      <c r="L90" s="289">
        <f>K0kommunestruktur2020!L90</f>
        <v>122118</v>
      </c>
      <c r="M90" s="289">
        <f>K0kommunestruktur2020!M90</f>
        <v>4449</v>
      </c>
      <c r="N90" s="289">
        <f>K0kommunestruktur2020!N90</f>
        <v>126035</v>
      </c>
      <c r="O90" s="289">
        <f>K0kommunestruktur2020!O90</f>
        <v>4410</v>
      </c>
      <c r="P90" s="289">
        <f>K0kommunestruktur2020!P90</f>
        <v>120986</v>
      </c>
      <c r="Q90" s="289">
        <f>VLOOKUP(A90,'K21'!$A$4:$CI$359,3)</f>
        <v>4416</v>
      </c>
      <c r="R90" s="289">
        <f>VLOOKUP(A90,'K21'!$A$4:$BV$359,26)</f>
        <v>135720.68900000001</v>
      </c>
      <c r="S90" s="517"/>
      <c r="T90" s="517"/>
      <c r="U90" s="517"/>
      <c r="V90" s="517"/>
    </row>
    <row r="91" spans="1:22" ht="13">
      <c r="A91" s="755">
        <v>1870</v>
      </c>
      <c r="B91" s="756" t="s">
        <v>213</v>
      </c>
      <c r="C91" s="289">
        <f>K0kommunestruktur2020!C91</f>
        <v>10129</v>
      </c>
      <c r="D91" s="289">
        <f>K0kommunestruktur2020!D91</f>
        <v>197249</v>
      </c>
      <c r="E91" s="289">
        <f>K0kommunestruktur2020!E91</f>
        <v>10166</v>
      </c>
      <c r="F91" s="289">
        <f>K0kommunestruktur2020!F91</f>
        <v>213192</v>
      </c>
      <c r="G91" s="289">
        <f>K0kommunestruktur2020!G91</f>
        <v>10214</v>
      </c>
      <c r="H91" s="289">
        <f>K0kommunestruktur2020!H91</f>
        <v>236542</v>
      </c>
      <c r="I91" s="289">
        <f>K0kommunestruktur2020!I91</f>
        <v>10378</v>
      </c>
      <c r="J91" s="289">
        <f>K0kommunestruktur2020!J91</f>
        <v>247240</v>
      </c>
      <c r="K91" s="289">
        <f>K0kommunestruktur2020!K91</f>
        <v>10401</v>
      </c>
      <c r="L91" s="289">
        <f>K0kommunestruktur2020!L91</f>
        <v>270129</v>
      </c>
      <c r="M91" s="289">
        <f>K0kommunestruktur2020!M91</f>
        <v>10518</v>
      </c>
      <c r="N91" s="289">
        <f>K0kommunestruktur2020!N91</f>
        <v>279319</v>
      </c>
      <c r="O91" s="289">
        <f>K0kommunestruktur2020!O91</f>
        <v>10566</v>
      </c>
      <c r="P91" s="289">
        <f>K0kommunestruktur2020!P91</f>
        <v>286545</v>
      </c>
      <c r="Q91" s="289">
        <f>VLOOKUP(A91,'K21'!$A$4:$CI$359,3)</f>
        <v>10514</v>
      </c>
      <c r="R91" s="289">
        <f>VLOOKUP(A91,'K21'!$A$4:$BV$359,26)</f>
        <v>329937.85700000002</v>
      </c>
      <c r="S91" s="517"/>
      <c r="T91" s="517"/>
      <c r="U91" s="517"/>
      <c r="V91" s="517"/>
    </row>
    <row r="92" spans="1:22" ht="13">
      <c r="A92" s="755">
        <v>1871</v>
      </c>
      <c r="B92" s="756" t="s">
        <v>214</v>
      </c>
      <c r="C92" s="289">
        <f>K0kommunestruktur2020!C92</f>
        <v>4993</v>
      </c>
      <c r="D92" s="289">
        <f>K0kommunestruktur2020!D92</f>
        <v>97841</v>
      </c>
      <c r="E92" s="289">
        <f>K0kommunestruktur2020!E92</f>
        <v>4991</v>
      </c>
      <c r="F92" s="289">
        <f>K0kommunestruktur2020!F92</f>
        <v>105566</v>
      </c>
      <c r="G92" s="289">
        <f>K0kommunestruktur2020!G92</f>
        <v>4980</v>
      </c>
      <c r="H92" s="289">
        <f>K0kommunestruktur2020!H92</f>
        <v>110513</v>
      </c>
      <c r="I92" s="289">
        <f>K0kommunestruktur2020!I92</f>
        <v>4908</v>
      </c>
      <c r="J92" s="289">
        <f>K0kommunestruktur2020!J92</f>
        <v>114562</v>
      </c>
      <c r="K92" s="289">
        <f>K0kommunestruktur2020!K92</f>
        <v>4902</v>
      </c>
      <c r="L92" s="289">
        <f>K0kommunestruktur2020!L92</f>
        <v>134742</v>
      </c>
      <c r="M92" s="289">
        <f>K0kommunestruktur2020!M92</f>
        <v>4771</v>
      </c>
      <c r="N92" s="289">
        <f>K0kommunestruktur2020!N92</f>
        <v>127446</v>
      </c>
      <c r="O92" s="289">
        <f>K0kommunestruktur2020!O92</f>
        <v>4663</v>
      </c>
      <c r="P92" s="289">
        <f>K0kommunestruktur2020!P92</f>
        <v>118622</v>
      </c>
      <c r="Q92" s="289">
        <f>VLOOKUP(A92,'K21'!$A$4:$CI$359,3)</f>
        <v>4588</v>
      </c>
      <c r="R92" s="289">
        <f>VLOOKUP(A92,'K21'!$A$4:$BV$359,26)</f>
        <v>143392.48000000001</v>
      </c>
      <c r="S92" s="517"/>
      <c r="T92" s="517"/>
      <c r="U92" s="517"/>
      <c r="V92" s="517"/>
    </row>
    <row r="93" spans="1:22" ht="13">
      <c r="A93" s="755">
        <v>1874</v>
      </c>
      <c r="B93" s="756" t="s">
        <v>215</v>
      </c>
      <c r="C93" s="289">
        <f>K0kommunestruktur2020!C93</f>
        <v>1108</v>
      </c>
      <c r="D93" s="289">
        <f>K0kommunestruktur2020!D93</f>
        <v>23459</v>
      </c>
      <c r="E93" s="289">
        <f>K0kommunestruktur2020!E93</f>
        <v>1070</v>
      </c>
      <c r="F93" s="289">
        <f>K0kommunestruktur2020!F93</f>
        <v>25475</v>
      </c>
      <c r="G93" s="289">
        <f>K0kommunestruktur2020!G93</f>
        <v>1062</v>
      </c>
      <c r="H93" s="289">
        <f>K0kommunestruktur2020!H93</f>
        <v>25619</v>
      </c>
      <c r="I93" s="289">
        <f>K0kommunestruktur2020!I93</f>
        <v>1073</v>
      </c>
      <c r="J93" s="289">
        <f>K0kommunestruktur2020!J93</f>
        <v>28995</v>
      </c>
      <c r="K93" s="289">
        <f>K0kommunestruktur2020!K93</f>
        <v>1068</v>
      </c>
      <c r="L93" s="289">
        <f>K0kommunestruktur2020!L93</f>
        <v>30852</v>
      </c>
      <c r="M93" s="289">
        <f>K0kommunestruktur2020!M93</f>
        <v>1039</v>
      </c>
      <c r="N93" s="289">
        <f>K0kommunestruktur2020!N93</f>
        <v>34001</v>
      </c>
      <c r="O93" s="289">
        <f>K0kommunestruktur2020!O93</f>
        <v>1015</v>
      </c>
      <c r="P93" s="289">
        <f>K0kommunestruktur2020!P93</f>
        <v>31448</v>
      </c>
      <c r="Q93" s="289">
        <f>VLOOKUP(A93,'K21'!$A$4:$CI$359,3)</f>
        <v>989</v>
      </c>
      <c r="R93" s="289">
        <f>VLOOKUP(A93,'K21'!$A$4:$BV$359,26)</f>
        <v>34390.430999999997</v>
      </c>
      <c r="S93" s="517"/>
      <c r="T93" s="517"/>
      <c r="U93" s="517"/>
      <c r="V93" s="517"/>
    </row>
    <row r="94" spans="1:22" ht="13">
      <c r="A94" s="755">
        <v>1875</v>
      </c>
      <c r="B94" s="756" t="s">
        <v>1617</v>
      </c>
      <c r="C94" s="289">
        <f>K0kommunestruktur2020!C94</f>
        <v>2895.3246753200001</v>
      </c>
      <c r="D94" s="289">
        <f>K0kommunestruktur2020!D94</f>
        <v>62711.115194805199</v>
      </c>
      <c r="E94" s="289">
        <f>K0kommunestruktur2020!E94</f>
        <v>2884.17402597</v>
      </c>
      <c r="F94" s="289">
        <f>K0kommunestruktur2020!F94</f>
        <v>66304.084176623379</v>
      </c>
      <c r="G94" s="289">
        <f>K0kommunestruktur2020!G94</f>
        <v>2885.3454545499999</v>
      </c>
      <c r="H94" s="289">
        <f>K0kommunestruktur2020!H94</f>
        <v>70995.562301298691</v>
      </c>
      <c r="I94" s="289">
        <f>K0kommunestruktur2020!I94</f>
        <v>2863.8181818200001</v>
      </c>
      <c r="J94" s="289">
        <f>K0kommunestruktur2020!J94</f>
        <v>71816.2781974026</v>
      </c>
      <c r="K94" s="289">
        <f>K0kommunestruktur2020!K94</f>
        <v>2851.0545454499998</v>
      </c>
      <c r="L94" s="289">
        <f>K0kommunestruktur2020!L94</f>
        <v>76201.555844155839</v>
      </c>
      <c r="M94" s="289">
        <f>K0kommunestruktur2020!M94</f>
        <v>2782</v>
      </c>
      <c r="N94" s="289">
        <f>K0kommunestruktur2020!N94</f>
        <v>78142.559819913411</v>
      </c>
      <c r="O94" s="289">
        <f>K0kommunestruktur2020!O94</f>
        <v>2766</v>
      </c>
      <c r="P94" s="289">
        <f>K0kommunestruktur2020!P94</f>
        <v>78376</v>
      </c>
      <c r="Q94" s="289">
        <f>VLOOKUP(A94,'K21'!$A$4:$CI$359,3)</f>
        <v>2701</v>
      </c>
      <c r="R94" s="289">
        <f>VLOOKUP(A94,'K21'!$A$4:$BV$359,26)</f>
        <v>78912.789000000004</v>
      </c>
      <c r="S94" s="517"/>
      <c r="T94" s="517"/>
      <c r="U94" s="517"/>
      <c r="V94" s="517"/>
    </row>
    <row r="95" spans="1:22" ht="13">
      <c r="A95" s="755">
        <v>3001</v>
      </c>
      <c r="B95" s="756" t="s">
        <v>783</v>
      </c>
      <c r="C95" s="289">
        <f>K0kommunestruktur2020!C95</f>
        <v>30132</v>
      </c>
      <c r="D95" s="289">
        <f>K0kommunestruktur2020!D95</f>
        <v>578670</v>
      </c>
      <c r="E95" s="289">
        <f>K0kommunestruktur2020!E95</f>
        <v>30328</v>
      </c>
      <c r="F95" s="289">
        <f>K0kommunestruktur2020!F95</f>
        <v>622874</v>
      </c>
      <c r="G95" s="289">
        <f>K0kommunestruktur2020!G95</f>
        <v>30544</v>
      </c>
      <c r="H95" s="289">
        <f>K0kommunestruktur2020!H95</f>
        <v>694774</v>
      </c>
      <c r="I95" s="289">
        <f>K0kommunestruktur2020!I95</f>
        <v>30790</v>
      </c>
      <c r="J95" s="289">
        <f>K0kommunestruktur2020!J95</f>
        <v>718818</v>
      </c>
      <c r="K95" s="289">
        <f>K0kommunestruktur2020!K95</f>
        <v>31037</v>
      </c>
      <c r="L95" s="289">
        <f>K0kommunestruktur2020!L95</f>
        <v>758714</v>
      </c>
      <c r="M95" s="289">
        <f>K0kommunestruktur2020!M95</f>
        <v>31177</v>
      </c>
      <c r="N95" s="289">
        <f>K0kommunestruktur2020!N95</f>
        <v>767877</v>
      </c>
      <c r="O95" s="289">
        <f>K0kommunestruktur2020!O95</f>
        <v>31373</v>
      </c>
      <c r="P95" s="289">
        <f>K0kommunestruktur2020!P95</f>
        <v>771295</v>
      </c>
      <c r="Q95" s="289">
        <f>VLOOKUP(A95,'K21'!$A$4:$CI$359,3)</f>
        <v>31387</v>
      </c>
      <c r="R95" s="289">
        <f>VLOOKUP(A95,'K21'!$A$4:$BV$359,26)</f>
        <v>876397.34100000001</v>
      </c>
      <c r="S95" s="517"/>
      <c r="T95" s="517"/>
      <c r="U95" s="517"/>
      <c r="V95" s="517"/>
    </row>
    <row r="96" spans="1:22" ht="13">
      <c r="A96" s="755">
        <v>3002</v>
      </c>
      <c r="B96" s="756" t="s">
        <v>1618</v>
      </c>
      <c r="C96" s="289">
        <f>K0kommunestruktur2020!C96</f>
        <v>46409</v>
      </c>
      <c r="D96" s="289">
        <f>K0kommunestruktur2020!D96</f>
        <v>988308</v>
      </c>
      <c r="E96" s="289">
        <f>K0kommunestruktur2020!E96</f>
        <v>47044</v>
      </c>
      <c r="F96" s="289">
        <f>K0kommunestruktur2020!F96</f>
        <v>1070939</v>
      </c>
      <c r="G96" s="289">
        <f>K0kommunestruktur2020!G96</f>
        <v>47640</v>
      </c>
      <c r="H96" s="289">
        <f>K0kommunestruktur2020!H96</f>
        <v>1188271</v>
      </c>
      <c r="I96" s="289">
        <f>K0kommunestruktur2020!I96</f>
        <v>48154</v>
      </c>
      <c r="J96" s="289">
        <f>K0kommunestruktur2020!J96</f>
        <v>1236874</v>
      </c>
      <c r="K96" s="289">
        <f>K0kommunestruktur2020!K96</f>
        <v>48671</v>
      </c>
      <c r="L96" s="289">
        <f>K0kommunestruktur2020!L96</f>
        <v>1317884</v>
      </c>
      <c r="M96" s="289">
        <f>K0kommunestruktur2020!M96</f>
        <v>48871</v>
      </c>
      <c r="N96" s="289">
        <f>K0kommunestruktur2020!N96</f>
        <v>1377561</v>
      </c>
      <c r="O96" s="289">
        <f>K0kommunestruktur2020!O96</f>
        <v>49273</v>
      </c>
      <c r="P96" s="289">
        <f>K0kommunestruktur2020!P96</f>
        <v>1373136</v>
      </c>
      <c r="Q96" s="289">
        <f>VLOOKUP(A96,'K21'!$A$4:$CI$359,3)</f>
        <v>49668</v>
      </c>
      <c r="R96" s="289">
        <f>VLOOKUP(A96,'K21'!$A$4:$BV$359,26)</f>
        <v>1627223.1170000001</v>
      </c>
      <c r="S96" s="517"/>
      <c r="T96" s="517"/>
      <c r="U96" s="517"/>
      <c r="V96" s="517"/>
    </row>
    <row r="97" spans="1:22" ht="13">
      <c r="A97" s="755">
        <v>3003</v>
      </c>
      <c r="B97" s="756" t="s">
        <v>785</v>
      </c>
      <c r="C97" s="289">
        <f>K0kommunestruktur2020!C97</f>
        <v>54059</v>
      </c>
      <c r="D97" s="289">
        <f>K0kommunestruktur2020!D97</f>
        <v>1032285</v>
      </c>
      <c r="E97" s="289">
        <f>K0kommunestruktur2020!E97</f>
        <v>54192</v>
      </c>
      <c r="F97" s="289">
        <f>K0kommunestruktur2020!F97</f>
        <v>1110209</v>
      </c>
      <c r="G97" s="289">
        <f>K0kommunestruktur2020!G97</f>
        <v>54678</v>
      </c>
      <c r="H97" s="289">
        <f>K0kommunestruktur2020!H97</f>
        <v>1254916</v>
      </c>
      <c r="I97" s="289">
        <f>K0kommunestruktur2020!I97</f>
        <v>55127</v>
      </c>
      <c r="J97" s="289">
        <f>K0kommunestruktur2020!J97</f>
        <v>1290591</v>
      </c>
      <c r="K97" s="289">
        <f>K0kommunestruktur2020!K97</f>
        <v>55543</v>
      </c>
      <c r="L97" s="289">
        <f>K0kommunestruktur2020!L97</f>
        <v>1352585</v>
      </c>
      <c r="M97" s="289">
        <f>K0kommunestruktur2020!M97</f>
        <v>55997</v>
      </c>
      <c r="N97" s="289">
        <f>K0kommunestruktur2020!N97</f>
        <v>1416352</v>
      </c>
      <c r="O97" s="289">
        <f>K0kommunestruktur2020!O97</f>
        <v>56732</v>
      </c>
      <c r="P97" s="289">
        <f>K0kommunestruktur2020!P97</f>
        <v>1427126</v>
      </c>
      <c r="Q97" s="289">
        <f>VLOOKUP(A97,'K21'!$A$4:$CI$359,3)</f>
        <v>57372</v>
      </c>
      <c r="R97" s="289">
        <f>VLOOKUP(A97,'K21'!$A$4:$BV$359,26)</f>
        <v>1652426.263</v>
      </c>
      <c r="S97" s="517"/>
      <c r="T97" s="517"/>
      <c r="U97" s="517"/>
      <c r="V97" s="517"/>
    </row>
    <row r="98" spans="1:22" ht="13">
      <c r="A98" s="755">
        <v>3004</v>
      </c>
      <c r="B98" s="756" t="s">
        <v>786</v>
      </c>
      <c r="C98" s="289">
        <f>K0kommunestruktur2020!C98</f>
        <v>77591</v>
      </c>
      <c r="D98" s="289">
        <f>K0kommunestruktur2020!D98</f>
        <v>1625623</v>
      </c>
      <c r="E98" s="289">
        <f>K0kommunestruktur2020!E98</f>
        <v>78159</v>
      </c>
      <c r="F98" s="289">
        <f>K0kommunestruktur2020!F98</f>
        <v>1719479</v>
      </c>
      <c r="G98" s="289">
        <f>K0kommunestruktur2020!G98</f>
        <v>78967</v>
      </c>
      <c r="H98" s="289">
        <f>K0kommunestruktur2020!H98</f>
        <v>1889857</v>
      </c>
      <c r="I98" s="289">
        <f>K0kommunestruktur2020!I98</f>
        <v>80121</v>
      </c>
      <c r="J98" s="289">
        <f>K0kommunestruktur2020!J98</f>
        <v>1991852</v>
      </c>
      <c r="K98" s="289">
        <f>K0kommunestruktur2020!K98</f>
        <v>80977</v>
      </c>
      <c r="L98" s="289">
        <f>K0kommunestruktur2020!L98</f>
        <v>2095333</v>
      </c>
      <c r="M98" s="289">
        <f>K0kommunestruktur2020!M98</f>
        <v>81772</v>
      </c>
      <c r="N98" s="289">
        <f>K0kommunestruktur2020!N98</f>
        <v>2241352</v>
      </c>
      <c r="O98" s="289">
        <f>K0kommunestruktur2020!O98</f>
        <v>82385</v>
      </c>
      <c r="P98" s="289">
        <f>K0kommunestruktur2020!P98</f>
        <v>2171553</v>
      </c>
      <c r="Q98" s="289">
        <f>VLOOKUP(A98,'K21'!$A$4:$CI$359,3)</f>
        <v>83193</v>
      </c>
      <c r="R98" s="289">
        <f>VLOOKUP(A98,'K21'!$A$4:$BV$359,26)</f>
        <v>2531703.1839999999</v>
      </c>
      <c r="S98" s="517"/>
      <c r="T98" s="517"/>
      <c r="U98" s="517"/>
      <c r="V98" s="517"/>
    </row>
    <row r="99" spans="1:22" ht="13">
      <c r="A99" s="755">
        <v>3005</v>
      </c>
      <c r="B99" s="756" t="s">
        <v>1619</v>
      </c>
      <c r="C99" s="289">
        <f>K0kommunestruktur2020!C99</f>
        <v>96605</v>
      </c>
      <c r="D99" s="289">
        <f>K0kommunestruktur2020!D99</f>
        <v>2245441</v>
      </c>
      <c r="E99" s="289">
        <f>K0kommunestruktur2020!E99</f>
        <v>97771</v>
      </c>
      <c r="F99" s="289">
        <f>K0kommunestruktur2020!F99</f>
        <v>2395137</v>
      </c>
      <c r="G99" s="289">
        <f>K0kommunestruktur2020!G99</f>
        <v>98930</v>
      </c>
      <c r="H99" s="289">
        <f>K0kommunestruktur2020!H99</f>
        <v>2637910</v>
      </c>
      <c r="I99" s="289">
        <f>K0kommunestruktur2020!I99</f>
        <v>99734</v>
      </c>
      <c r="J99" s="289">
        <f>K0kommunestruktur2020!J99</f>
        <v>2776360</v>
      </c>
      <c r="K99" s="289">
        <f>K0kommunestruktur2020!K99</f>
        <v>100302</v>
      </c>
      <c r="L99" s="289">
        <f>K0kommunestruktur2020!L99</f>
        <v>2847014</v>
      </c>
      <c r="M99" s="289">
        <f>K0kommunestruktur2020!M99</f>
        <v>100581</v>
      </c>
      <c r="N99" s="289">
        <f>K0kommunestruktur2020!N99</f>
        <v>2968925</v>
      </c>
      <c r="O99" s="289">
        <f>K0kommunestruktur2020!O99</f>
        <v>101386</v>
      </c>
      <c r="P99" s="289">
        <f>K0kommunestruktur2020!P99</f>
        <v>2988879</v>
      </c>
      <c r="Q99" s="289">
        <f>VLOOKUP(A99,'K21'!$A$4:$CI$359,3)</f>
        <v>101859</v>
      </c>
      <c r="R99" s="289">
        <f>VLOOKUP(A99,'K21'!$A$4:$BV$359,26)</f>
        <v>3432396.2370000002</v>
      </c>
      <c r="S99" s="517"/>
      <c r="T99" s="517"/>
      <c r="U99" s="517"/>
      <c r="V99" s="517"/>
    </row>
    <row r="100" spans="1:22" ht="13">
      <c r="A100" s="755">
        <v>3006</v>
      </c>
      <c r="B100" s="756" t="s">
        <v>872</v>
      </c>
      <c r="C100" s="289">
        <f>K0kommunestruktur2020!C100</f>
        <v>26406</v>
      </c>
      <c r="D100" s="289">
        <f>K0kommunestruktur2020!D100</f>
        <v>752839</v>
      </c>
      <c r="E100" s="289">
        <f>K0kommunestruktur2020!E100</f>
        <v>26711</v>
      </c>
      <c r="F100" s="289">
        <f>K0kommunestruktur2020!F100</f>
        <v>781052</v>
      </c>
      <c r="G100" s="289">
        <f>K0kommunestruktur2020!G100</f>
        <v>27013</v>
      </c>
      <c r="H100" s="289">
        <f>K0kommunestruktur2020!H100</f>
        <v>820578</v>
      </c>
      <c r="I100" s="289">
        <f>K0kommunestruktur2020!I100</f>
        <v>27216</v>
      </c>
      <c r="J100" s="289">
        <f>K0kommunestruktur2020!J100</f>
        <v>824287</v>
      </c>
      <c r="K100" s="289">
        <f>K0kommunestruktur2020!K100</f>
        <v>27410</v>
      </c>
      <c r="L100" s="289">
        <f>K0kommunestruktur2020!L100</f>
        <v>875371</v>
      </c>
      <c r="M100" s="289">
        <f>K0kommunestruktur2020!M100</f>
        <v>27481</v>
      </c>
      <c r="N100" s="289">
        <f>K0kommunestruktur2020!N100</f>
        <v>895667</v>
      </c>
      <c r="O100" s="289">
        <f>K0kommunestruktur2020!O100</f>
        <v>27723</v>
      </c>
      <c r="P100" s="289">
        <f>K0kommunestruktur2020!P100</f>
        <v>897703</v>
      </c>
      <c r="Q100" s="289">
        <f>VLOOKUP(A100,'K21'!$A$4:$CI$359,3)</f>
        <v>27694</v>
      </c>
      <c r="R100" s="289">
        <f>VLOOKUP(A100,'K21'!$A$4:$BV$359,26)</f>
        <v>1012188.798</v>
      </c>
      <c r="S100" s="517"/>
      <c r="T100" s="517"/>
      <c r="U100" s="517"/>
      <c r="V100" s="517"/>
    </row>
    <row r="101" spans="1:22" ht="13">
      <c r="A101" s="755">
        <v>3007</v>
      </c>
      <c r="B101" s="756" t="s">
        <v>873</v>
      </c>
      <c r="C101" s="289">
        <f>K0kommunestruktur2020!C101</f>
        <v>29624</v>
      </c>
      <c r="D101" s="289">
        <f>K0kommunestruktur2020!D101</f>
        <v>636695</v>
      </c>
      <c r="E101" s="289">
        <f>K0kommunestruktur2020!E101</f>
        <v>29712</v>
      </c>
      <c r="F101" s="289">
        <f>K0kommunestruktur2020!F101</f>
        <v>674660</v>
      </c>
      <c r="G101" s="289">
        <f>K0kommunestruktur2020!G101</f>
        <v>29801</v>
      </c>
      <c r="H101" s="289">
        <f>K0kommunestruktur2020!H101</f>
        <v>741381</v>
      </c>
      <c r="I101" s="289">
        <f>K0kommunestruktur2020!I101</f>
        <v>30034</v>
      </c>
      <c r="J101" s="289">
        <f>K0kommunestruktur2020!J101</f>
        <v>781819</v>
      </c>
      <c r="K101" s="289">
        <f>K0kommunestruktur2020!K101</f>
        <v>30283</v>
      </c>
      <c r="L101" s="289">
        <f>K0kommunestruktur2020!L101</f>
        <v>803489</v>
      </c>
      <c r="M101" s="289">
        <f>K0kommunestruktur2020!M101</f>
        <v>30442</v>
      </c>
      <c r="N101" s="289">
        <f>K0kommunestruktur2020!N101</f>
        <v>840146</v>
      </c>
      <c r="O101" s="289">
        <f>K0kommunestruktur2020!O101</f>
        <v>30641</v>
      </c>
      <c r="P101" s="289">
        <f>K0kommunestruktur2020!P101</f>
        <v>853860</v>
      </c>
      <c r="Q101" s="289">
        <f>VLOOKUP(A101,'K21'!$A$4:$CI$359,3)</f>
        <v>30835</v>
      </c>
      <c r="R101" s="289">
        <f>VLOOKUP(A101,'K21'!$A$4:$BV$359,26)</f>
        <v>992976.7</v>
      </c>
      <c r="S101" s="517"/>
      <c r="T101" s="517"/>
      <c r="U101" s="517"/>
      <c r="V101" s="517"/>
    </row>
    <row r="102" spans="1:22" ht="13">
      <c r="A102" s="755">
        <v>3011</v>
      </c>
      <c r="B102" s="756" t="s">
        <v>787</v>
      </c>
      <c r="C102" s="289">
        <f>K0kommunestruktur2020!C102</f>
        <v>4386</v>
      </c>
      <c r="D102" s="289">
        <f>K0kommunestruktur2020!D102</f>
        <v>118250</v>
      </c>
      <c r="E102" s="289">
        <f>K0kommunestruktur2020!E102</f>
        <v>4480</v>
      </c>
      <c r="F102" s="289">
        <f>K0kommunestruktur2020!F102</f>
        <v>120496</v>
      </c>
      <c r="G102" s="289">
        <f>K0kommunestruktur2020!G102</f>
        <v>4511</v>
      </c>
      <c r="H102" s="289">
        <f>K0kommunestruktur2020!H102</f>
        <v>127169</v>
      </c>
      <c r="I102" s="289">
        <f>K0kommunestruktur2020!I102</f>
        <v>4517</v>
      </c>
      <c r="J102" s="289">
        <f>K0kommunestruktur2020!J102</f>
        <v>140962</v>
      </c>
      <c r="K102" s="289">
        <f>K0kommunestruktur2020!K102</f>
        <v>4540</v>
      </c>
      <c r="L102" s="289">
        <f>K0kommunestruktur2020!L102</f>
        <v>152833</v>
      </c>
      <c r="M102" s="289">
        <f>K0kommunestruktur2020!M102</f>
        <v>4599</v>
      </c>
      <c r="N102" s="289">
        <f>K0kommunestruktur2020!N102</f>
        <v>157813</v>
      </c>
      <c r="O102" s="289">
        <f>K0kommunestruktur2020!O102</f>
        <v>4668</v>
      </c>
      <c r="P102" s="289">
        <f>K0kommunestruktur2020!P102</f>
        <v>156132</v>
      </c>
      <c r="Q102" s="289">
        <f>VLOOKUP(A102,'K21'!$A$4:$CI$359,3)</f>
        <v>4694</v>
      </c>
      <c r="R102" s="289">
        <f>VLOOKUP(A102,'K21'!$A$4:$BV$359,26)</f>
        <v>191214.36799999999</v>
      </c>
      <c r="S102" s="517"/>
      <c r="T102" s="517"/>
      <c r="U102" s="517"/>
      <c r="V102" s="517"/>
    </row>
    <row r="103" spans="1:22" ht="13">
      <c r="A103" s="755">
        <v>3012</v>
      </c>
      <c r="B103" s="756" t="s">
        <v>788</v>
      </c>
      <c r="C103" s="289">
        <f>K0kommunestruktur2020!C103</f>
        <v>1408</v>
      </c>
      <c r="D103" s="289">
        <f>K0kommunestruktur2020!D103</f>
        <v>27552</v>
      </c>
      <c r="E103" s="289">
        <f>K0kommunestruktur2020!E103</f>
        <v>1406</v>
      </c>
      <c r="F103" s="289">
        <f>K0kommunestruktur2020!F103</f>
        <v>29788</v>
      </c>
      <c r="G103" s="289">
        <f>K0kommunestruktur2020!G103</f>
        <v>1404</v>
      </c>
      <c r="H103" s="289">
        <f>K0kommunestruktur2020!H103</f>
        <v>32642</v>
      </c>
      <c r="I103" s="289">
        <f>K0kommunestruktur2020!I103</f>
        <v>1398</v>
      </c>
      <c r="J103" s="289">
        <f>K0kommunestruktur2020!J103</f>
        <v>34123</v>
      </c>
      <c r="K103" s="289">
        <f>K0kommunestruktur2020!K103</f>
        <v>1399</v>
      </c>
      <c r="L103" s="289">
        <f>K0kommunestruktur2020!L103</f>
        <v>33281</v>
      </c>
      <c r="M103" s="289">
        <f>K0kommunestruktur2020!M103</f>
        <v>1357</v>
      </c>
      <c r="N103" s="289">
        <f>K0kommunestruktur2020!N103</f>
        <v>36601</v>
      </c>
      <c r="O103" s="289">
        <f>K0kommunestruktur2020!O103</f>
        <v>1325</v>
      </c>
      <c r="P103" s="289">
        <f>K0kommunestruktur2020!P103</f>
        <v>34854</v>
      </c>
      <c r="Q103" s="289">
        <f>VLOOKUP(A103,'K21'!$A$4:$CI$359,3)</f>
        <v>1325</v>
      </c>
      <c r="R103" s="289">
        <f>VLOOKUP(A103,'K21'!$A$4:$BV$359,26)</f>
        <v>39254.383000000002</v>
      </c>
      <c r="S103" s="517"/>
      <c r="T103" s="517"/>
      <c r="U103" s="517"/>
      <c r="V103" s="517"/>
    </row>
    <row r="104" spans="1:22" ht="13">
      <c r="A104" s="755">
        <v>3013</v>
      </c>
      <c r="B104" s="756" t="s">
        <v>789</v>
      </c>
      <c r="C104" s="289">
        <f>K0kommunestruktur2020!C104</f>
        <v>3596</v>
      </c>
      <c r="D104" s="289">
        <f>K0kommunestruktur2020!D104</f>
        <v>65789</v>
      </c>
      <c r="E104" s="289">
        <f>K0kommunestruktur2020!E104</f>
        <v>3613</v>
      </c>
      <c r="F104" s="289">
        <f>K0kommunestruktur2020!F104</f>
        <v>75060</v>
      </c>
      <c r="G104" s="289">
        <f>K0kommunestruktur2020!G104</f>
        <v>3610</v>
      </c>
      <c r="H104" s="289">
        <f>K0kommunestruktur2020!H104</f>
        <v>85887</v>
      </c>
      <c r="I104" s="289">
        <f>K0kommunestruktur2020!I104</f>
        <v>3597</v>
      </c>
      <c r="J104" s="289">
        <f>K0kommunestruktur2020!J104</f>
        <v>82436</v>
      </c>
      <c r="K104" s="289">
        <f>K0kommunestruktur2020!K104</f>
        <v>3567</v>
      </c>
      <c r="L104" s="289">
        <f>K0kommunestruktur2020!L104</f>
        <v>87199</v>
      </c>
      <c r="M104" s="289">
        <f>K0kommunestruktur2020!M104</f>
        <v>3592</v>
      </c>
      <c r="N104" s="289">
        <f>K0kommunestruktur2020!N104</f>
        <v>92254</v>
      </c>
      <c r="O104" s="289">
        <f>K0kommunestruktur2020!O104</f>
        <v>3595</v>
      </c>
      <c r="P104" s="289">
        <f>K0kommunestruktur2020!P104</f>
        <v>91448</v>
      </c>
      <c r="Q104" s="289">
        <f>VLOOKUP(A104,'K21'!$A$4:$CI$359,3)</f>
        <v>3601</v>
      </c>
      <c r="R104" s="289">
        <f>VLOOKUP(A104,'K21'!$A$4:$BV$359,26)</f>
        <v>107407.899</v>
      </c>
      <c r="S104" s="517"/>
      <c r="T104" s="517"/>
      <c r="U104" s="517"/>
      <c r="V104" s="517"/>
    </row>
    <row r="105" spans="1:22" ht="13">
      <c r="A105" s="889">
        <v>3014</v>
      </c>
      <c r="B105" s="890" t="s">
        <v>1620</v>
      </c>
      <c r="C105" s="289">
        <f>+C372+C373</f>
        <v>42921.208296119999</v>
      </c>
      <c r="D105" s="289">
        <f t="shared" ref="D105:P105" si="2">+D372+D373</f>
        <v>893618.23687256617</v>
      </c>
      <c r="E105" s="289">
        <f t="shared" si="2"/>
        <v>43242.17246383</v>
      </c>
      <c r="F105" s="289">
        <f t="shared" si="2"/>
        <v>951993.7198606272</v>
      </c>
      <c r="G105" s="289">
        <f t="shared" si="2"/>
        <v>43467.14734774</v>
      </c>
      <c r="H105" s="289">
        <f t="shared" si="2"/>
        <v>1054049.3264198801</v>
      </c>
      <c r="I105" s="289">
        <f t="shared" si="2"/>
        <v>43810.10905965</v>
      </c>
      <c r="J105" s="289">
        <f t="shared" si="2"/>
        <v>1101324.0486916425</v>
      </c>
      <c r="K105" s="289">
        <f t="shared" si="2"/>
        <v>44030.084501700003</v>
      </c>
      <c r="L105" s="289">
        <f t="shared" si="2"/>
        <v>1155874.9586534167</v>
      </c>
      <c r="M105" s="289">
        <f t="shared" si="2"/>
        <v>44315.052687980002</v>
      </c>
      <c r="N105" s="289">
        <f>+N372+N373</f>
        <v>1204227.5605911771</v>
      </c>
      <c r="O105" s="289">
        <f t="shared" si="2"/>
        <v>44787</v>
      </c>
      <c r="P105" s="289">
        <f t="shared" si="2"/>
        <v>1185667.6326129667</v>
      </c>
      <c r="Q105" s="289">
        <f>VLOOKUP(A105,'K21'!$A$4:$CI$359,3)</f>
        <v>45201</v>
      </c>
      <c r="R105" s="289">
        <f>VLOOKUP(A105,'K21'!$A$4:$BV$359,26)</f>
        <v>1359926.6740000001</v>
      </c>
      <c r="S105" s="517"/>
      <c r="T105" s="517"/>
      <c r="U105" s="517"/>
      <c r="V105" s="517"/>
    </row>
    <row r="106" spans="1:22" ht="13">
      <c r="A106" s="755">
        <v>3015</v>
      </c>
      <c r="B106" s="756" t="s">
        <v>2369</v>
      </c>
      <c r="C106" s="289">
        <f>K0kommunestruktur2020!C106</f>
        <v>3727</v>
      </c>
      <c r="D106" s="289">
        <f>K0kommunestruktur2020!D106</f>
        <v>74341</v>
      </c>
      <c r="E106" s="289">
        <f>K0kommunestruktur2020!E106</f>
        <v>3731</v>
      </c>
      <c r="F106" s="289">
        <f>K0kommunestruktur2020!F106</f>
        <v>80910</v>
      </c>
      <c r="G106" s="289">
        <f>K0kommunestruktur2020!G106</f>
        <v>3742</v>
      </c>
      <c r="H106" s="289">
        <f>K0kommunestruktur2020!H106</f>
        <v>88702</v>
      </c>
      <c r="I106" s="289">
        <f>K0kommunestruktur2020!I106</f>
        <v>3783</v>
      </c>
      <c r="J106" s="289">
        <f>K0kommunestruktur2020!J106</f>
        <v>87806</v>
      </c>
      <c r="K106" s="289">
        <f>K0kommunestruktur2020!K106</f>
        <v>3831</v>
      </c>
      <c r="L106" s="289">
        <f>K0kommunestruktur2020!L106</f>
        <v>93552</v>
      </c>
      <c r="M106" s="289">
        <f>K0kommunestruktur2020!M106</f>
        <v>3797</v>
      </c>
      <c r="N106" s="289">
        <f>K0kommunestruktur2020!N106</f>
        <v>97504</v>
      </c>
      <c r="O106" s="289">
        <f>K0kommunestruktur2020!O106</f>
        <v>3805</v>
      </c>
      <c r="P106" s="289">
        <f>K0kommunestruktur2020!P106</f>
        <v>96557</v>
      </c>
      <c r="Q106" s="289">
        <f>VLOOKUP(A106,'K21'!$A$4:$CI$359,3)</f>
        <v>3825</v>
      </c>
      <c r="R106" s="289">
        <f>VLOOKUP(A106,'K21'!$A$4:$BV$359,26)</f>
        <v>114468.924</v>
      </c>
      <c r="S106" s="517"/>
      <c r="T106" s="517"/>
      <c r="U106" s="517"/>
      <c r="V106" s="517"/>
    </row>
    <row r="107" spans="1:22" ht="13">
      <c r="A107" s="889">
        <v>3016</v>
      </c>
      <c r="B107" s="890" t="s">
        <v>796</v>
      </c>
      <c r="C107" s="289">
        <f>+C376+C377</f>
        <v>7978.8298001200001</v>
      </c>
      <c r="D107" s="289">
        <f t="shared" ref="D107:P107" si="3">+D376+D377</f>
        <v>157981.63052693082</v>
      </c>
      <c r="E107" s="289">
        <f t="shared" si="3"/>
        <v>8024.8576620200001</v>
      </c>
      <c r="F107" s="289">
        <f t="shared" si="3"/>
        <v>167196.20835850772</v>
      </c>
      <c r="G107" s="289">
        <f t="shared" si="3"/>
        <v>8088.8964264099995</v>
      </c>
      <c r="H107" s="289">
        <f t="shared" si="3"/>
        <v>193401.07086618387</v>
      </c>
      <c r="I107" s="289">
        <f t="shared" si="3"/>
        <v>8177.9503331300002</v>
      </c>
      <c r="J107" s="289">
        <f t="shared" si="3"/>
        <v>194773.90187761572</v>
      </c>
      <c r="K107" s="289">
        <f t="shared" si="3"/>
        <v>8206.9678982400001</v>
      </c>
      <c r="L107" s="289">
        <f t="shared" si="3"/>
        <v>210427.37734697293</v>
      </c>
      <c r="M107" s="289">
        <f t="shared" si="3"/>
        <v>8234.9848576599998</v>
      </c>
      <c r="N107" s="289">
        <f t="shared" si="3"/>
        <v>215672.55239243642</v>
      </c>
      <c r="O107" s="289">
        <f t="shared" si="3"/>
        <v>8260</v>
      </c>
      <c r="P107" s="289">
        <f t="shared" si="3"/>
        <v>218857.48031496062</v>
      </c>
      <c r="Q107" s="289">
        <f>VLOOKUP(A107,'K21'!$A$4:$CI$359,3)</f>
        <v>8222</v>
      </c>
      <c r="R107" s="289">
        <f>VLOOKUP(A107,'K21'!$A$4:$BV$359,26)</f>
        <v>234728.41800000001</v>
      </c>
      <c r="S107" s="517"/>
      <c r="T107" s="517"/>
      <c r="U107" s="517"/>
      <c r="V107" s="517"/>
    </row>
    <row r="108" spans="1:22" ht="13">
      <c r="A108" s="755">
        <v>3017</v>
      </c>
      <c r="B108" s="756" t="s">
        <v>797</v>
      </c>
      <c r="C108" s="289">
        <f>K0kommunestruktur2020!C108</f>
        <v>7104</v>
      </c>
      <c r="D108" s="289">
        <f>K0kommunestruktur2020!D108</f>
        <v>158348</v>
      </c>
      <c r="E108" s="289">
        <f>K0kommunestruktur2020!E108</f>
        <v>7206</v>
      </c>
      <c r="F108" s="289">
        <f>K0kommunestruktur2020!F108</f>
        <v>167440</v>
      </c>
      <c r="G108" s="289">
        <f>K0kommunestruktur2020!G108</f>
        <v>7357</v>
      </c>
      <c r="H108" s="289">
        <f>K0kommunestruktur2020!H108</f>
        <v>189397</v>
      </c>
      <c r="I108" s="289">
        <f>K0kommunestruktur2020!I108</f>
        <v>7398</v>
      </c>
      <c r="J108" s="289">
        <f>K0kommunestruktur2020!J108</f>
        <v>193812</v>
      </c>
      <c r="K108" s="289">
        <f>K0kommunestruktur2020!K108</f>
        <v>7465</v>
      </c>
      <c r="L108" s="289">
        <f>K0kommunestruktur2020!L108</f>
        <v>198782</v>
      </c>
      <c r="M108" s="289">
        <f>K0kommunestruktur2020!M108</f>
        <v>7542</v>
      </c>
      <c r="N108" s="289">
        <f>K0kommunestruktur2020!N108</f>
        <v>209112</v>
      </c>
      <c r="O108" s="289">
        <f>K0kommunestruktur2020!O108</f>
        <v>7508</v>
      </c>
      <c r="P108" s="289">
        <f>K0kommunestruktur2020!P108</f>
        <v>208011</v>
      </c>
      <c r="Q108" s="289">
        <f>VLOOKUP(A108,'K21'!$A$4:$CI$359,3)</f>
        <v>7568</v>
      </c>
      <c r="R108" s="289">
        <f>VLOOKUP(A108,'K21'!$A$4:$BV$359,26)</f>
        <v>240957.899</v>
      </c>
      <c r="S108" s="517"/>
      <c r="T108" s="517"/>
      <c r="U108" s="517"/>
      <c r="V108" s="517"/>
    </row>
    <row r="109" spans="1:22" ht="13">
      <c r="A109" s="755">
        <v>3018</v>
      </c>
      <c r="B109" s="756" t="s">
        <v>799</v>
      </c>
      <c r="C109" s="289">
        <f>K0kommunestruktur2020!C109</f>
        <v>4978</v>
      </c>
      <c r="D109" s="289">
        <f>K0kommunestruktur2020!D109</f>
        <v>104906</v>
      </c>
      <c r="E109" s="289">
        <f>K0kommunestruktur2020!E109</f>
        <v>5100</v>
      </c>
      <c r="F109" s="289">
        <f>K0kommunestruktur2020!F109</f>
        <v>113132</v>
      </c>
      <c r="G109" s="289">
        <f>K0kommunestruktur2020!G109</f>
        <v>5186</v>
      </c>
      <c r="H109" s="289">
        <f>K0kommunestruktur2020!H109</f>
        <v>126383</v>
      </c>
      <c r="I109" s="289">
        <f>K0kommunestruktur2020!I109</f>
        <v>5335</v>
      </c>
      <c r="J109" s="289">
        <f>K0kommunestruktur2020!J109</f>
        <v>136309</v>
      </c>
      <c r="K109" s="289">
        <f>K0kommunestruktur2020!K109</f>
        <v>5471</v>
      </c>
      <c r="L109" s="289">
        <f>K0kommunestruktur2020!L109</f>
        <v>144788</v>
      </c>
      <c r="M109" s="289">
        <f>K0kommunestruktur2020!M109</f>
        <v>5593</v>
      </c>
      <c r="N109" s="289">
        <f>K0kommunestruktur2020!N109</f>
        <v>145443</v>
      </c>
      <c r="O109" s="289">
        <f>K0kommunestruktur2020!O109</f>
        <v>5736</v>
      </c>
      <c r="P109" s="289">
        <f>K0kommunestruktur2020!P109</f>
        <v>153904</v>
      </c>
      <c r="Q109" s="289">
        <f>VLOOKUP(A109,'K21'!$A$4:$CI$359,3)</f>
        <v>5805</v>
      </c>
      <c r="R109" s="289">
        <f>VLOOKUP(A109,'K21'!$A$4:$BV$359,26)</f>
        <v>179852.071</v>
      </c>
      <c r="S109" s="517"/>
      <c r="T109" s="517"/>
      <c r="U109" s="517"/>
      <c r="V109" s="517"/>
    </row>
    <row r="110" spans="1:22" ht="13">
      <c r="A110" s="755">
        <v>3019</v>
      </c>
      <c r="B110" s="756" t="s">
        <v>801</v>
      </c>
      <c r="C110" s="289">
        <f>K0kommunestruktur2020!C110</f>
        <v>15944</v>
      </c>
      <c r="D110" s="289">
        <f>K0kommunestruktur2020!D110</f>
        <v>382877</v>
      </c>
      <c r="E110" s="289">
        <f>K0kommunestruktur2020!E110</f>
        <v>16310</v>
      </c>
      <c r="F110" s="289">
        <f>K0kommunestruktur2020!F110</f>
        <v>425131</v>
      </c>
      <c r="G110" s="289">
        <f>K0kommunestruktur2020!G110</f>
        <v>16732</v>
      </c>
      <c r="H110" s="289">
        <f>K0kommunestruktur2020!H110</f>
        <v>481457</v>
      </c>
      <c r="I110" s="289">
        <f>K0kommunestruktur2020!I110</f>
        <v>17188</v>
      </c>
      <c r="J110" s="289">
        <f>K0kommunestruktur2020!J110</f>
        <v>511136</v>
      </c>
      <c r="K110" s="289">
        <f>K0kommunestruktur2020!K110</f>
        <v>17486</v>
      </c>
      <c r="L110" s="289">
        <f>K0kommunestruktur2020!L110</f>
        <v>544775</v>
      </c>
      <c r="M110" s="289">
        <f>K0kommunestruktur2020!M110</f>
        <v>17824</v>
      </c>
      <c r="N110" s="289">
        <f>K0kommunestruktur2020!N110</f>
        <v>560651</v>
      </c>
      <c r="O110" s="289">
        <f>K0kommunestruktur2020!O110</f>
        <v>18042</v>
      </c>
      <c r="P110" s="289">
        <f>K0kommunestruktur2020!P110</f>
        <v>542945</v>
      </c>
      <c r="Q110" s="289">
        <f>VLOOKUP(A110,'K21'!$A$4:$CI$359,3)</f>
        <v>18290</v>
      </c>
      <c r="R110" s="289">
        <f>VLOOKUP(A110,'K21'!$A$4:$BV$359,26)</f>
        <v>648063.12</v>
      </c>
      <c r="S110" s="517"/>
      <c r="T110" s="517"/>
      <c r="U110" s="517"/>
      <c r="V110" s="517"/>
    </row>
    <row r="111" spans="1:22" ht="13">
      <c r="A111" s="755">
        <v>3020</v>
      </c>
      <c r="B111" s="756" t="s">
        <v>1621</v>
      </c>
      <c r="C111" s="289">
        <f>K0kommunestruktur2020!C111</f>
        <v>55985.746140770003</v>
      </c>
      <c r="D111" s="289">
        <f>K0kommunestruktur2020!D111</f>
        <v>1608307.1258821823</v>
      </c>
      <c r="E111" s="289">
        <f>K0kommunestruktur2020!E111</f>
        <v>56545.633703660002</v>
      </c>
      <c r="F111" s="289">
        <f>K0kommunestruktur2020!F111</f>
        <v>1687959.6604564353</v>
      </c>
      <c r="G111" s="289">
        <f>K0kommunestruktur2020!G111</f>
        <v>57245.994848640003</v>
      </c>
      <c r="H111" s="289">
        <f>K0kommunestruktur2020!H111</f>
        <v>1863638.9323627257</v>
      </c>
      <c r="I111" s="289">
        <f>K0kommunestruktur2020!I111</f>
        <v>57881.13611621</v>
      </c>
      <c r="J111" s="289">
        <f>K0kommunestruktur2020!J111</f>
        <v>1975549.2182974827</v>
      </c>
      <c r="K111" s="289">
        <f>K0kommunestruktur2020!K111</f>
        <v>58254.394491469997</v>
      </c>
      <c r="L111" s="289">
        <f>K0kommunestruktur2020!L111</f>
        <v>2027218.4119372717</v>
      </c>
      <c r="M111" s="289">
        <f>K0kommunestruktur2020!M111</f>
        <v>58434</v>
      </c>
      <c r="N111" s="289">
        <f>K0kommunestruktur2020!N111</f>
        <v>2105528.4204200078</v>
      </c>
      <c r="O111" s="289">
        <f>K0kommunestruktur2020!O111</f>
        <v>59288</v>
      </c>
      <c r="P111" s="289">
        <f>K0kommunestruktur2020!P111</f>
        <v>2090579</v>
      </c>
      <c r="Q111" s="289">
        <f>VLOOKUP(A111,'K21'!$A$4:$CI$359,3)</f>
        <v>60034</v>
      </c>
      <c r="R111" s="289">
        <f>VLOOKUP(A111,'K21'!$A$4:$BV$359,26)</f>
        <v>2446438.3840000001</v>
      </c>
      <c r="S111" s="517"/>
      <c r="T111" s="517"/>
      <c r="U111" s="517"/>
      <c r="V111" s="517"/>
    </row>
    <row r="112" spans="1:22" ht="13">
      <c r="A112" s="755">
        <v>3021</v>
      </c>
      <c r="B112" s="756" t="s">
        <v>803</v>
      </c>
      <c r="C112" s="289">
        <f>K0kommunestruktur2020!C112</f>
        <v>17794.921170400001</v>
      </c>
      <c r="D112" s="289">
        <f>K0kommunestruktur2020!D112</f>
        <v>428887.40860595152</v>
      </c>
      <c r="E112" s="289">
        <f>K0kommunestruktur2020!E112</f>
        <v>18323.747922300001</v>
      </c>
      <c r="F112" s="289">
        <f>K0kommunestruktur2020!F112</f>
        <v>468591.99842632137</v>
      </c>
      <c r="G112" s="289">
        <f>K0kommunestruktur2020!G112</f>
        <v>18808.010622080001</v>
      </c>
      <c r="H112" s="289">
        <f>K0kommunestruktur2020!H112</f>
        <v>499680.87150233169</v>
      </c>
      <c r="I112" s="289">
        <f>K0kommunestruktur2020!I112</f>
        <v>19101.143053849999</v>
      </c>
      <c r="J112" s="289">
        <f>K0kommunestruktur2020!J112</f>
        <v>537698.95952796261</v>
      </c>
      <c r="K112" s="289">
        <f>K0kommunestruktur2020!K112</f>
        <v>19889.431620359999</v>
      </c>
      <c r="L112" s="289">
        <f>K0kommunestruktur2020!L112</f>
        <v>605016.42635852599</v>
      </c>
      <c r="M112" s="289">
        <f>K0kommunestruktur2020!M112</f>
        <v>20138</v>
      </c>
      <c r="N112" s="289">
        <f>K0kommunestruktur2020!N112</f>
        <v>605798.77305138926</v>
      </c>
      <c r="O112" s="289">
        <f>K0kommunestruktur2020!O112</f>
        <v>20439</v>
      </c>
      <c r="P112" s="289">
        <f>K0kommunestruktur2020!P112</f>
        <v>595384</v>
      </c>
      <c r="Q112" s="289">
        <f>VLOOKUP(A112,'K21'!$A$4:$CI$359,3)</f>
        <v>20439</v>
      </c>
      <c r="R112" s="289">
        <f>VLOOKUP(A112,'K21'!$A$4:$BV$359,26)</f>
        <v>689005.86199999996</v>
      </c>
      <c r="S112" s="517"/>
      <c r="T112" s="517"/>
      <c r="U112" s="517"/>
      <c r="V112" s="517"/>
    </row>
    <row r="113" spans="1:22" ht="13">
      <c r="A113" s="755">
        <v>3022</v>
      </c>
      <c r="B113" s="756" t="s">
        <v>804</v>
      </c>
      <c r="C113" s="289">
        <f>K0kommunestruktur2020!C113</f>
        <v>15671</v>
      </c>
      <c r="D113" s="289">
        <f>K0kommunestruktur2020!D113</f>
        <v>458700</v>
      </c>
      <c r="E113" s="289">
        <f>K0kommunestruktur2020!E113</f>
        <v>15656</v>
      </c>
      <c r="F113" s="289">
        <f>K0kommunestruktur2020!F113</f>
        <v>488635</v>
      </c>
      <c r="G113" s="289">
        <f>K0kommunestruktur2020!G113</f>
        <v>15695</v>
      </c>
      <c r="H113" s="289">
        <f>K0kommunestruktur2020!H113</f>
        <v>552401</v>
      </c>
      <c r="I113" s="289">
        <f>K0kommunestruktur2020!I113</f>
        <v>15743</v>
      </c>
      <c r="J113" s="289">
        <f>K0kommunestruktur2020!J113</f>
        <v>572415</v>
      </c>
      <c r="K113" s="289">
        <f>K0kommunestruktur2020!K113</f>
        <v>15735</v>
      </c>
      <c r="L113" s="289">
        <f>K0kommunestruktur2020!L113</f>
        <v>586294</v>
      </c>
      <c r="M113" s="289">
        <f>K0kommunestruktur2020!M113</f>
        <v>15761</v>
      </c>
      <c r="N113" s="289">
        <f>K0kommunestruktur2020!N113</f>
        <v>611625</v>
      </c>
      <c r="O113" s="289">
        <f>K0kommunestruktur2020!O113</f>
        <v>15877</v>
      </c>
      <c r="P113" s="289">
        <f>K0kommunestruktur2020!P113</f>
        <v>595648</v>
      </c>
      <c r="Q113" s="289">
        <f>VLOOKUP(A113,'K21'!$A$4:$CI$359,3)</f>
        <v>15953</v>
      </c>
      <c r="R113" s="289">
        <f>VLOOKUP(A113,'K21'!$A$4:$BV$359,26)</f>
        <v>696165.14800000004</v>
      </c>
      <c r="S113" s="517"/>
      <c r="T113" s="517"/>
      <c r="U113" s="517"/>
      <c r="V113" s="517"/>
    </row>
    <row r="114" spans="1:22" ht="13">
      <c r="A114" s="755">
        <v>3023</v>
      </c>
      <c r="B114" s="965" t="s">
        <v>805</v>
      </c>
      <c r="C114" s="289">
        <f>K0kommunestruktur2020!C114</f>
        <v>18297</v>
      </c>
      <c r="D114" s="289">
        <f>K0kommunestruktur2020!D114</f>
        <v>484633</v>
      </c>
      <c r="E114" s="289">
        <f>K0kommunestruktur2020!E114</f>
        <v>18372</v>
      </c>
      <c r="F114" s="289">
        <f>K0kommunestruktur2020!F114</f>
        <v>506316</v>
      </c>
      <c r="G114" s="289">
        <f>K0kommunestruktur2020!G114</f>
        <v>18623</v>
      </c>
      <c r="H114" s="289">
        <f>K0kommunestruktur2020!H114</f>
        <v>556056</v>
      </c>
      <c r="I114" s="289">
        <f>K0kommunestruktur2020!I114</f>
        <v>18869</v>
      </c>
      <c r="J114" s="289">
        <f>K0kommunestruktur2020!J114</f>
        <v>583891</v>
      </c>
      <c r="K114" s="289">
        <f>K0kommunestruktur2020!K114</f>
        <v>19287</v>
      </c>
      <c r="L114" s="289">
        <f>K0kommunestruktur2020!L114</f>
        <v>619346</v>
      </c>
      <c r="M114" s="289">
        <f>K0kommunestruktur2020!M114</f>
        <v>19488</v>
      </c>
      <c r="N114" s="289">
        <f>K0kommunestruktur2020!N114</f>
        <v>642751</v>
      </c>
      <c r="O114" s="289">
        <f>K0kommunestruktur2020!O114</f>
        <v>19616</v>
      </c>
      <c r="P114" s="289">
        <f>K0kommunestruktur2020!P114</f>
        <v>634158</v>
      </c>
      <c r="Q114" s="289">
        <f>VLOOKUP(A114,'K21'!$A$4:$CI$359,3)</f>
        <v>19805</v>
      </c>
      <c r="R114" s="289">
        <f>VLOOKUP(A114,'K21'!$A$4:$BV$359,26)</f>
        <v>779999.44</v>
      </c>
      <c r="S114" s="517"/>
      <c r="T114" s="517"/>
      <c r="U114" s="517"/>
      <c r="V114" s="517"/>
    </row>
    <row r="115" spans="1:22" ht="13">
      <c r="A115" s="755">
        <v>3024</v>
      </c>
      <c r="B115" s="756" t="s">
        <v>807</v>
      </c>
      <c r="C115" s="289">
        <f>K0kommunestruktur2020!C115</f>
        <v>118588</v>
      </c>
      <c r="D115" s="289">
        <f>K0kommunestruktur2020!D115</f>
        <v>4694842</v>
      </c>
      <c r="E115" s="289">
        <f>K0kommunestruktur2020!E115</f>
        <v>120685</v>
      </c>
      <c r="F115" s="289">
        <f>K0kommunestruktur2020!F115</f>
        <v>5002876</v>
      </c>
      <c r="G115" s="289">
        <f>K0kommunestruktur2020!G115</f>
        <v>122348</v>
      </c>
      <c r="H115" s="289">
        <f>K0kommunestruktur2020!H115</f>
        <v>5817013</v>
      </c>
      <c r="I115" s="289">
        <f>K0kommunestruktur2020!I115</f>
        <v>124008</v>
      </c>
      <c r="J115" s="289">
        <f>K0kommunestruktur2020!J115</f>
        <v>6180068</v>
      </c>
      <c r="K115" s="289">
        <f>K0kommunestruktur2020!K115</f>
        <v>125454</v>
      </c>
      <c r="L115" s="289">
        <f>K0kommunestruktur2020!L115</f>
        <v>6345361</v>
      </c>
      <c r="M115" s="289">
        <f>K0kommunestruktur2020!M115</f>
        <v>126841</v>
      </c>
      <c r="N115" s="289">
        <f>K0kommunestruktur2020!N115</f>
        <v>6827068</v>
      </c>
      <c r="O115" s="289">
        <f>K0kommunestruktur2020!O115</f>
        <v>127731</v>
      </c>
      <c r="P115" s="289">
        <f>K0kommunestruktur2020!P115</f>
        <v>6525517</v>
      </c>
      <c r="Q115" s="289">
        <f>VLOOKUP(A115,'K21'!$A$4:$CI$359,3)</f>
        <v>128233</v>
      </c>
      <c r="R115" s="289">
        <f>VLOOKUP(A115,'K21'!$A$4:$BV$359,26)</f>
        <v>7785767.4550000001</v>
      </c>
      <c r="S115" s="517"/>
      <c r="T115" s="517"/>
      <c r="U115" s="517"/>
      <c r="V115" s="517"/>
    </row>
    <row r="116" spans="1:22" ht="13">
      <c r="A116" s="755">
        <v>3025</v>
      </c>
      <c r="B116" s="756" t="s">
        <v>1622</v>
      </c>
      <c r="C116" s="289">
        <f>K0kommunestruktur2020!C116</f>
        <v>88289</v>
      </c>
      <c r="D116" s="289">
        <f>K0kommunestruktur2020!D116</f>
        <v>2948054</v>
      </c>
      <c r="E116" s="289">
        <f>K0kommunestruktur2020!E116</f>
        <v>89974</v>
      </c>
      <c r="F116" s="289">
        <f>K0kommunestruktur2020!F116</f>
        <v>3146906</v>
      </c>
      <c r="G116" s="289">
        <f>K0kommunestruktur2020!G116</f>
        <v>91011</v>
      </c>
      <c r="H116" s="289">
        <f>K0kommunestruktur2020!H116</f>
        <v>3565023</v>
      </c>
      <c r="I116" s="289">
        <f>K0kommunestruktur2020!I116</f>
        <v>92174</v>
      </c>
      <c r="J116" s="289">
        <f>K0kommunestruktur2020!J116</f>
        <v>3695221</v>
      </c>
      <c r="K116" s="289">
        <f>K0kommunestruktur2020!K116</f>
        <v>92828</v>
      </c>
      <c r="L116" s="289">
        <f>K0kommunestruktur2020!L116</f>
        <v>3849981</v>
      </c>
      <c r="M116" s="289">
        <f>K0kommunestruktur2020!M116</f>
        <v>93679</v>
      </c>
      <c r="N116" s="289">
        <f>K0kommunestruktur2020!N116</f>
        <v>4094169</v>
      </c>
      <c r="O116" s="289">
        <f>K0kommunestruktur2020!O116</f>
        <v>94441</v>
      </c>
      <c r="P116" s="289">
        <f>K0kommunestruktur2020!P116</f>
        <v>3964821</v>
      </c>
      <c r="Q116" s="289">
        <f>VLOOKUP(A116,'K21'!$A$4:$CI$359,3)</f>
        <v>94915</v>
      </c>
      <c r="R116" s="289">
        <f>VLOOKUP(A116,'K21'!$A$4:$BV$359,26)</f>
        <v>4749022.1660000002</v>
      </c>
      <c r="S116" s="517"/>
      <c r="T116" s="517"/>
      <c r="U116" s="517"/>
      <c r="V116" s="517"/>
    </row>
    <row r="117" spans="1:22" ht="13">
      <c r="A117" s="755">
        <v>3026</v>
      </c>
      <c r="B117" s="756" t="s">
        <v>1623</v>
      </c>
      <c r="C117" s="289">
        <f>K0kommunestruktur2020!C117</f>
        <v>16172</v>
      </c>
      <c r="D117" s="289">
        <f>K0kommunestruktur2020!D117</f>
        <v>315781</v>
      </c>
      <c r="E117" s="289">
        <f>K0kommunestruktur2020!E117</f>
        <v>16398</v>
      </c>
      <c r="F117" s="289">
        <f>K0kommunestruktur2020!F117</f>
        <v>343893</v>
      </c>
      <c r="G117" s="289">
        <f>K0kommunestruktur2020!G117</f>
        <v>16586</v>
      </c>
      <c r="H117" s="289">
        <f>K0kommunestruktur2020!H117</f>
        <v>370963</v>
      </c>
      <c r="I117" s="289">
        <f>K0kommunestruktur2020!I117</f>
        <v>16847</v>
      </c>
      <c r="J117" s="289">
        <f>K0kommunestruktur2020!J117</f>
        <v>392835</v>
      </c>
      <c r="K117" s="289">
        <f>K0kommunestruktur2020!K117</f>
        <v>17072</v>
      </c>
      <c r="L117" s="289">
        <f>K0kommunestruktur2020!L117</f>
        <v>417440</v>
      </c>
      <c r="M117" s="289">
        <f>K0kommunestruktur2020!M117</f>
        <v>17173</v>
      </c>
      <c r="N117" s="289">
        <f>K0kommunestruktur2020!N117</f>
        <v>430456</v>
      </c>
      <c r="O117" s="289">
        <f>K0kommunestruktur2020!O117</f>
        <v>17390</v>
      </c>
      <c r="P117" s="289">
        <f>K0kommunestruktur2020!P117</f>
        <v>432758</v>
      </c>
      <c r="Q117" s="289">
        <f>VLOOKUP(A117,'K21'!$A$4:$CI$359,3)</f>
        <v>17591</v>
      </c>
      <c r="R117" s="289">
        <f>VLOOKUP(A117,'K21'!$A$4:$BV$359,26)</f>
        <v>510864.28399999999</v>
      </c>
      <c r="S117" s="517"/>
      <c r="T117" s="517"/>
      <c r="U117" s="517"/>
      <c r="V117" s="517"/>
    </row>
    <row r="118" spans="1:22" ht="13">
      <c r="A118" s="755">
        <v>3027</v>
      </c>
      <c r="B118" s="756" t="s">
        <v>812</v>
      </c>
      <c r="C118" s="289">
        <f>K0kommunestruktur2020!C118</f>
        <v>16806</v>
      </c>
      <c r="D118" s="289">
        <f>K0kommunestruktur2020!D118</f>
        <v>418672</v>
      </c>
      <c r="E118" s="289">
        <f>K0kommunestruktur2020!E118</f>
        <v>17185</v>
      </c>
      <c r="F118" s="289">
        <f>K0kommunestruktur2020!F118</f>
        <v>443705</v>
      </c>
      <c r="G118" s="289">
        <f>K0kommunestruktur2020!G118</f>
        <v>17426</v>
      </c>
      <c r="H118" s="289">
        <f>K0kommunestruktur2020!H118</f>
        <v>489036</v>
      </c>
      <c r="I118" s="289">
        <f>K0kommunestruktur2020!I118</f>
        <v>17730</v>
      </c>
      <c r="J118" s="289">
        <f>K0kommunestruktur2020!J118</f>
        <v>519409</v>
      </c>
      <c r="K118" s="289">
        <f>K0kommunestruktur2020!K118</f>
        <v>17874</v>
      </c>
      <c r="L118" s="289">
        <f>K0kommunestruktur2020!L118</f>
        <v>553595</v>
      </c>
      <c r="M118" s="289">
        <f>K0kommunestruktur2020!M118</f>
        <v>18161</v>
      </c>
      <c r="N118" s="289">
        <f>K0kommunestruktur2020!N118</f>
        <v>579991</v>
      </c>
      <c r="O118" s="289">
        <f>K0kommunestruktur2020!O118</f>
        <v>18530</v>
      </c>
      <c r="P118" s="289">
        <f>K0kommunestruktur2020!P118</f>
        <v>586828</v>
      </c>
      <c r="Q118" s="289">
        <f>VLOOKUP(A118,'K21'!$A$4:$CI$359,3)</f>
        <v>18730</v>
      </c>
      <c r="R118" s="289">
        <f>VLOOKUP(A118,'K21'!$A$4:$BV$359,26)</f>
        <v>680701.95400000003</v>
      </c>
      <c r="S118" s="517"/>
      <c r="T118" s="517"/>
      <c r="U118" s="517"/>
      <c r="V118" s="517"/>
    </row>
    <row r="119" spans="1:22" ht="13">
      <c r="A119" s="755">
        <v>3028</v>
      </c>
      <c r="B119" s="756" t="s">
        <v>813</v>
      </c>
      <c r="C119" s="289">
        <f>K0kommunestruktur2020!C119</f>
        <v>10626</v>
      </c>
      <c r="D119" s="289">
        <f>K0kommunestruktur2020!D119</f>
        <v>235399</v>
      </c>
      <c r="E119" s="289">
        <f>K0kommunestruktur2020!E119</f>
        <v>10760</v>
      </c>
      <c r="F119" s="289">
        <f>K0kommunestruktur2020!F119</f>
        <v>253577</v>
      </c>
      <c r="G119" s="289">
        <f>K0kommunestruktur2020!G119</f>
        <v>10870</v>
      </c>
      <c r="H119" s="289">
        <f>K0kommunestruktur2020!H119</f>
        <v>279337</v>
      </c>
      <c r="I119" s="289">
        <f>K0kommunestruktur2020!I119</f>
        <v>10927</v>
      </c>
      <c r="J119" s="289">
        <f>K0kommunestruktur2020!J119</f>
        <v>287943</v>
      </c>
      <c r="K119" s="289">
        <f>K0kommunestruktur2020!K119</f>
        <v>10945</v>
      </c>
      <c r="L119" s="289">
        <f>K0kommunestruktur2020!L119</f>
        <v>292839</v>
      </c>
      <c r="M119" s="289">
        <f>K0kommunestruktur2020!M119</f>
        <v>11026</v>
      </c>
      <c r="N119" s="289">
        <f>K0kommunestruktur2020!N119</f>
        <v>299078</v>
      </c>
      <c r="O119" s="289">
        <f>K0kommunestruktur2020!O119</f>
        <v>11110</v>
      </c>
      <c r="P119" s="289">
        <f>K0kommunestruktur2020!P119</f>
        <v>291255</v>
      </c>
      <c r="Q119" s="289">
        <f>VLOOKUP(A119,'K21'!$A$4:$CI$359,3)</f>
        <v>11065</v>
      </c>
      <c r="R119" s="289">
        <f>VLOOKUP(A119,'K21'!$A$4:$BV$359,26)</f>
        <v>340035.891</v>
      </c>
      <c r="S119" s="517"/>
      <c r="T119" s="517"/>
      <c r="U119" s="517"/>
      <c r="V119" s="517"/>
    </row>
    <row r="120" spans="1:22" ht="13">
      <c r="A120" s="755">
        <v>3029</v>
      </c>
      <c r="B120" s="756" t="s">
        <v>814</v>
      </c>
      <c r="C120" s="289">
        <f>K0kommunestruktur2020!C120</f>
        <v>34697</v>
      </c>
      <c r="D120" s="289">
        <f>K0kommunestruktur2020!D120</f>
        <v>955054</v>
      </c>
      <c r="E120" s="289">
        <f>K0kommunestruktur2020!E120</f>
        <v>35139</v>
      </c>
      <c r="F120" s="289">
        <f>K0kommunestruktur2020!F120</f>
        <v>1000847</v>
      </c>
      <c r="G120" s="289">
        <f>K0kommunestruktur2020!G120</f>
        <v>36368</v>
      </c>
      <c r="H120" s="289">
        <f>K0kommunestruktur2020!H120</f>
        <v>1106763</v>
      </c>
      <c r="I120" s="289">
        <f>K0kommunestruktur2020!I120</f>
        <v>37406</v>
      </c>
      <c r="J120" s="289">
        <f>K0kommunestruktur2020!J120</f>
        <v>1186669</v>
      </c>
      <c r="K120" s="289">
        <f>K0kommunestruktur2020!K120</f>
        <v>38670</v>
      </c>
      <c r="L120" s="289">
        <f>K0kommunestruktur2020!L120</f>
        <v>1265826</v>
      </c>
      <c r="M120" s="289">
        <f>K0kommunestruktur2020!M120</f>
        <v>40106</v>
      </c>
      <c r="N120" s="289">
        <f>K0kommunestruktur2020!N120</f>
        <v>1334160</v>
      </c>
      <c r="O120" s="289">
        <f>K0kommunestruktur2020!O120</f>
        <v>41460</v>
      </c>
      <c r="P120" s="289">
        <f>K0kommunestruktur2020!P120</f>
        <v>1334722</v>
      </c>
      <c r="Q120" s="289">
        <f>VLOOKUP(A120,'K21'!$A$4:$CI$359,3)</f>
        <v>42740</v>
      </c>
      <c r="R120" s="289">
        <f>VLOOKUP(A120,'K21'!$A$4:$BV$359,26)</f>
        <v>1577847.763</v>
      </c>
      <c r="S120" s="517"/>
      <c r="T120" s="517"/>
      <c r="U120" s="517"/>
      <c r="V120" s="517"/>
    </row>
    <row r="121" spans="1:22" ht="13">
      <c r="A121" s="755">
        <v>3030</v>
      </c>
      <c r="B121" s="756" t="s">
        <v>1624</v>
      </c>
      <c r="C121" s="289">
        <f>K0kommunestruktur2020!C121</f>
        <v>78534.664738740001</v>
      </c>
      <c r="D121" s="289">
        <f>K0kommunestruktur2020!D121</f>
        <v>2013637.1778630693</v>
      </c>
      <c r="E121" s="289">
        <f>K0kommunestruktur2020!E121</f>
        <v>79386.943549799995</v>
      </c>
      <c r="F121" s="289">
        <f>K0kommunestruktur2020!F121</f>
        <v>2094073.8431615522</v>
      </c>
      <c r="G121" s="289">
        <f>K0kommunestruktur2020!G121</f>
        <v>80702.568350109999</v>
      </c>
      <c r="H121" s="289">
        <f>K0kommunestruktur2020!H121</f>
        <v>2329784.000163381</v>
      </c>
      <c r="I121" s="289">
        <f>K0kommunestruktur2020!I121</f>
        <v>81850.515479790003</v>
      </c>
      <c r="J121" s="289">
        <f>K0kommunestruktur2020!J121</f>
        <v>2471215.6505476008</v>
      </c>
      <c r="K121" s="289">
        <f>K0kommunestruktur2020!K121</f>
        <v>83165.148104530002</v>
      </c>
      <c r="L121" s="289">
        <f>K0kommunestruktur2020!L121</f>
        <v>2580671.4667957784</v>
      </c>
      <c r="M121" s="289">
        <f>K0kommunestruktur2020!M121</f>
        <v>85086</v>
      </c>
      <c r="N121" s="289">
        <f>K0kommunestruktur2020!N121</f>
        <v>2728516.5400375482</v>
      </c>
      <c r="O121" s="289">
        <f>K0kommunestruktur2020!O121</f>
        <v>85983</v>
      </c>
      <c r="P121" s="289">
        <f>K0kommunestruktur2020!P121</f>
        <v>2710030</v>
      </c>
      <c r="Q121" s="289">
        <f>VLOOKUP(A121,'K21'!$A$4:$CI$359,3)</f>
        <v>86953</v>
      </c>
      <c r="R121" s="289">
        <f>VLOOKUP(A121,'K21'!$A$4:$BV$359,26)</f>
        <v>3190910.1150000002</v>
      </c>
      <c r="S121" s="517"/>
      <c r="T121" s="517"/>
      <c r="U121" s="517"/>
      <c r="V121" s="517"/>
    </row>
    <row r="122" spans="1:22" ht="13">
      <c r="A122" s="755">
        <v>3031</v>
      </c>
      <c r="B122" s="756" t="s">
        <v>816</v>
      </c>
      <c r="C122" s="289">
        <f>K0kommunestruktur2020!C122</f>
        <v>22385</v>
      </c>
      <c r="D122" s="289">
        <f>K0kommunestruktur2020!D122</f>
        <v>602308</v>
      </c>
      <c r="E122" s="289">
        <f>K0kommunestruktur2020!E122</f>
        <v>22706</v>
      </c>
      <c r="F122" s="289">
        <f>K0kommunestruktur2020!F122</f>
        <v>644021</v>
      </c>
      <c r="G122" s="289">
        <f>K0kommunestruktur2020!G122</f>
        <v>22857</v>
      </c>
      <c r="H122" s="289">
        <f>K0kommunestruktur2020!H122</f>
        <v>703515</v>
      </c>
      <c r="I122" s="289">
        <f>K0kommunestruktur2020!I122</f>
        <v>23213</v>
      </c>
      <c r="J122" s="289">
        <f>K0kommunestruktur2020!J122</f>
        <v>740249</v>
      </c>
      <c r="K122" s="289">
        <f>K0kommunestruktur2020!K122</f>
        <v>23545</v>
      </c>
      <c r="L122" s="289">
        <f>K0kommunestruktur2020!L122</f>
        <v>775033</v>
      </c>
      <c r="M122" s="289">
        <f>K0kommunestruktur2020!M122</f>
        <v>24089</v>
      </c>
      <c r="N122" s="289">
        <f>K0kommunestruktur2020!N122</f>
        <v>808965</v>
      </c>
      <c r="O122" s="289">
        <f>K0kommunestruktur2020!O122</f>
        <v>24249</v>
      </c>
      <c r="P122" s="289">
        <f>K0kommunestruktur2020!P122</f>
        <v>791727</v>
      </c>
      <c r="Q122" s="289">
        <f>VLOOKUP(A122,'K21'!$A$4:$CI$359,3)</f>
        <v>24454</v>
      </c>
      <c r="R122" s="289">
        <f>VLOOKUP(A122,'K21'!$A$4:$BV$359,26)</f>
        <v>946496.26399999997</v>
      </c>
      <c r="S122" s="517"/>
      <c r="T122" s="517"/>
      <c r="U122" s="517"/>
      <c r="V122" s="517"/>
    </row>
    <row r="123" spans="1:22" ht="13">
      <c r="A123" s="755">
        <v>3032</v>
      </c>
      <c r="B123" s="756" t="s">
        <v>817</v>
      </c>
      <c r="C123" s="289">
        <f>K0kommunestruktur2020!C123</f>
        <v>6292</v>
      </c>
      <c r="D123" s="289">
        <f>K0kommunestruktur2020!D123</f>
        <v>172164</v>
      </c>
      <c r="E123" s="289">
        <f>K0kommunestruktur2020!E123</f>
        <v>6326</v>
      </c>
      <c r="F123" s="289">
        <f>K0kommunestruktur2020!F123</f>
        <v>183102</v>
      </c>
      <c r="G123" s="289">
        <f>K0kommunestruktur2020!G123</f>
        <v>6323</v>
      </c>
      <c r="H123" s="289">
        <f>K0kommunestruktur2020!H123</f>
        <v>203326</v>
      </c>
      <c r="I123" s="289">
        <f>K0kommunestruktur2020!I123</f>
        <v>6546</v>
      </c>
      <c r="J123" s="289">
        <f>K0kommunestruktur2020!J123</f>
        <v>234709</v>
      </c>
      <c r="K123" s="289">
        <f>K0kommunestruktur2020!K123</f>
        <v>6704</v>
      </c>
      <c r="L123" s="289">
        <f>K0kommunestruktur2020!L123</f>
        <v>242251</v>
      </c>
      <c r="M123" s="289">
        <f>K0kommunestruktur2020!M123</f>
        <v>6823</v>
      </c>
      <c r="N123" s="289">
        <f>K0kommunestruktur2020!N123</f>
        <v>249562</v>
      </c>
      <c r="O123" s="289">
        <f>K0kommunestruktur2020!O123</f>
        <v>6890</v>
      </c>
      <c r="P123" s="289">
        <f>K0kommunestruktur2020!P123</f>
        <v>233230</v>
      </c>
      <c r="Q123" s="289">
        <f>VLOOKUP(A123,'K21'!$A$4:$CI$359,3)</f>
        <v>7043</v>
      </c>
      <c r="R123" s="289">
        <f>VLOOKUP(A123,'K21'!$A$4:$BV$359,26)</f>
        <v>275007.37</v>
      </c>
      <c r="S123" s="517"/>
      <c r="T123" s="517"/>
      <c r="U123" s="517"/>
      <c r="V123" s="517"/>
    </row>
    <row r="124" spans="1:22" ht="13">
      <c r="A124" s="755">
        <v>3033</v>
      </c>
      <c r="B124" s="756" t="s">
        <v>818</v>
      </c>
      <c r="C124" s="289">
        <f>K0kommunestruktur2020!C124</f>
        <v>32438</v>
      </c>
      <c r="D124" s="289">
        <f>K0kommunestruktur2020!D124</f>
        <v>785830</v>
      </c>
      <c r="E124" s="289">
        <f>K0kommunestruktur2020!E124</f>
        <v>33310</v>
      </c>
      <c r="F124" s="289">
        <f>K0kommunestruktur2020!F124</f>
        <v>825439</v>
      </c>
      <c r="G124" s="289">
        <f>K0kommunestruktur2020!G124</f>
        <v>34189</v>
      </c>
      <c r="H124" s="289">
        <f>K0kommunestruktur2020!H124</f>
        <v>917838</v>
      </c>
      <c r="I124" s="289">
        <f>K0kommunestruktur2020!I124</f>
        <v>35102</v>
      </c>
      <c r="J124" s="289">
        <f>K0kommunestruktur2020!J124</f>
        <v>996135</v>
      </c>
      <c r="K124" s="289">
        <f>K0kommunestruktur2020!K124</f>
        <v>36576</v>
      </c>
      <c r="L124" s="289">
        <f>K0kommunestruktur2020!L124</f>
        <v>1072566</v>
      </c>
      <c r="M124" s="289">
        <f>K0kommunestruktur2020!M124</f>
        <v>38234</v>
      </c>
      <c r="N124" s="289">
        <f>K0kommunestruktur2020!N124</f>
        <v>1141275</v>
      </c>
      <c r="O124" s="289">
        <f>K0kommunestruktur2020!O124</f>
        <v>39625</v>
      </c>
      <c r="P124" s="289">
        <f>K0kommunestruktur2020!P124</f>
        <v>1137725</v>
      </c>
      <c r="Q124" s="289">
        <f>VLOOKUP(A124,'K21'!$A$4:$CI$359,3)</f>
        <v>40459</v>
      </c>
      <c r="R124" s="289">
        <f>VLOOKUP(A124,'K21'!$A$4:$BV$359,26)</f>
        <v>1340071.24</v>
      </c>
      <c r="S124" s="517"/>
      <c r="T124" s="517"/>
      <c r="U124" s="517"/>
      <c r="V124" s="517"/>
    </row>
    <row r="125" spans="1:22" ht="13">
      <c r="A125" s="755">
        <v>3034</v>
      </c>
      <c r="B125" s="756" t="s">
        <v>819</v>
      </c>
      <c r="C125" s="289">
        <f>K0kommunestruktur2020!C125</f>
        <v>20782.233676029999</v>
      </c>
      <c r="D125" s="289">
        <f>K0kommunestruktur2020!D125</f>
        <v>428131.12268669321</v>
      </c>
      <c r="E125" s="289">
        <f>K0kommunestruktur2020!E125</f>
        <v>21035.776102349999</v>
      </c>
      <c r="F125" s="289">
        <f>K0kommunestruktur2020!F125</f>
        <v>461180.27489140781</v>
      </c>
      <c r="G125" s="289">
        <f>K0kommunestruktur2020!G125</f>
        <v>21420.212382909998</v>
      </c>
      <c r="H125" s="289">
        <f>K0kommunestruktur2020!H125</f>
        <v>513287.36614117655</v>
      </c>
      <c r="I125" s="289">
        <f>K0kommunestruktur2020!I125</f>
        <v>21892.254786379999</v>
      </c>
      <c r="J125" s="289">
        <f>K0kommunestruktur2020!J125</f>
        <v>545854.16933964647</v>
      </c>
      <c r="K125" s="289">
        <f>K0kommunestruktur2020!K125</f>
        <v>22345.745305</v>
      </c>
      <c r="L125" s="289">
        <f>K0kommunestruktur2020!L125</f>
        <v>581288.26940818131</v>
      </c>
      <c r="M125" s="289">
        <f>K0kommunestruktur2020!M125</f>
        <v>22556</v>
      </c>
      <c r="N125" s="289">
        <f>K0kommunestruktur2020!N125</f>
        <v>607824.67936943111</v>
      </c>
      <c r="O125" s="289">
        <f>K0kommunestruktur2020!O125</f>
        <v>23092</v>
      </c>
      <c r="P125" s="289">
        <f>K0kommunestruktur2020!P125</f>
        <v>600621</v>
      </c>
      <c r="Q125" s="289">
        <f>VLOOKUP(A125,'K21'!$A$4:$CI$359,3)</f>
        <v>23422</v>
      </c>
      <c r="R125" s="289">
        <f>VLOOKUP(A125,'K21'!$A$4:$BV$359,26)</f>
        <v>720878.89</v>
      </c>
      <c r="S125" s="517"/>
      <c r="T125" s="517"/>
      <c r="U125" s="517"/>
      <c r="V125" s="517"/>
    </row>
    <row r="126" spans="1:22" ht="13">
      <c r="A126" s="755">
        <v>3035</v>
      </c>
      <c r="B126" s="756" t="s">
        <v>820</v>
      </c>
      <c r="C126" s="289">
        <f>K0kommunestruktur2020!C126</f>
        <v>22689</v>
      </c>
      <c r="D126" s="289">
        <f>K0kommunestruktur2020!D126</f>
        <v>488216</v>
      </c>
      <c r="E126" s="289">
        <f>K0kommunestruktur2020!E126</f>
        <v>23238</v>
      </c>
      <c r="F126" s="289">
        <f>K0kommunestruktur2020!F126</f>
        <v>518464</v>
      </c>
      <c r="G126" s="289">
        <f>K0kommunestruktur2020!G126</f>
        <v>23811</v>
      </c>
      <c r="H126" s="289">
        <f>K0kommunestruktur2020!H126</f>
        <v>547726</v>
      </c>
      <c r="I126" s="289">
        <f>K0kommunestruktur2020!I126</f>
        <v>24415</v>
      </c>
      <c r="J126" s="289">
        <f>K0kommunestruktur2020!J126</f>
        <v>588642</v>
      </c>
      <c r="K126" s="289">
        <f>K0kommunestruktur2020!K126</f>
        <v>24647</v>
      </c>
      <c r="L126" s="289">
        <f>K0kommunestruktur2020!L126</f>
        <v>626457</v>
      </c>
      <c r="M126" s="289">
        <f>K0kommunestruktur2020!M126</f>
        <v>24919</v>
      </c>
      <c r="N126" s="289">
        <f>K0kommunestruktur2020!N126</f>
        <v>645346</v>
      </c>
      <c r="O126" s="289">
        <f>K0kommunestruktur2020!O126</f>
        <v>25436</v>
      </c>
      <c r="P126" s="289">
        <f>K0kommunestruktur2020!P126</f>
        <v>638025</v>
      </c>
      <c r="Q126" s="289">
        <f>VLOOKUP(A126,'K21'!$A$4:$CI$359,3)</f>
        <v>26031</v>
      </c>
      <c r="R126" s="289">
        <f>VLOOKUP(A126,'K21'!$A$4:$BV$359,26)</f>
        <v>762822.91700000002</v>
      </c>
      <c r="S126" s="517"/>
      <c r="T126" s="517"/>
      <c r="U126" s="517"/>
      <c r="V126" s="517"/>
    </row>
    <row r="127" spans="1:22" ht="13">
      <c r="A127" s="755">
        <v>3036</v>
      </c>
      <c r="B127" s="756" t="s">
        <v>821</v>
      </c>
      <c r="C127" s="289">
        <f>K0kommunestruktur2020!C127</f>
        <v>11707</v>
      </c>
      <c r="D127" s="289">
        <f>K0kommunestruktur2020!D127</f>
        <v>256510</v>
      </c>
      <c r="E127" s="289">
        <f>K0kommunestruktur2020!E127</f>
        <v>11882</v>
      </c>
      <c r="F127" s="289">
        <f>K0kommunestruktur2020!F127</f>
        <v>273585</v>
      </c>
      <c r="G127" s="289">
        <f>K0kommunestruktur2020!G127</f>
        <v>12267</v>
      </c>
      <c r="H127" s="289">
        <f>K0kommunestruktur2020!H127</f>
        <v>306685</v>
      </c>
      <c r="I127" s="289">
        <f>K0kommunestruktur2020!I127</f>
        <v>12657</v>
      </c>
      <c r="J127" s="289">
        <f>K0kommunestruktur2020!J127</f>
        <v>327371</v>
      </c>
      <c r="K127" s="289">
        <f>K0kommunestruktur2020!K127</f>
        <v>13240</v>
      </c>
      <c r="L127" s="289">
        <f>K0kommunestruktur2020!L127</f>
        <v>355948</v>
      </c>
      <c r="M127" s="289">
        <f>K0kommunestruktur2020!M127</f>
        <v>13682</v>
      </c>
      <c r="N127" s="289">
        <f>K0kommunestruktur2020!N127</f>
        <v>376725</v>
      </c>
      <c r="O127" s="289">
        <f>K0kommunestruktur2020!O127</f>
        <v>14139</v>
      </c>
      <c r="P127" s="289">
        <f>K0kommunestruktur2020!P127</f>
        <v>367069</v>
      </c>
      <c r="Q127" s="289">
        <f>VLOOKUP(A127,'K21'!$A$4:$CI$359,3)</f>
        <v>14637</v>
      </c>
      <c r="R127" s="289">
        <f>VLOOKUP(A127,'K21'!$A$4:$BV$359,26)</f>
        <v>432983.81699999998</v>
      </c>
      <c r="S127" s="517"/>
      <c r="T127" s="517"/>
      <c r="U127" s="517"/>
      <c r="V127" s="517"/>
    </row>
    <row r="128" spans="1:22" ht="13">
      <c r="A128" s="755">
        <v>3037</v>
      </c>
      <c r="B128" s="756" t="s">
        <v>822</v>
      </c>
      <c r="C128" s="289">
        <f>K0kommunestruktur2020!C128</f>
        <v>2695</v>
      </c>
      <c r="D128" s="289">
        <f>K0kommunestruktur2020!D128</f>
        <v>49896</v>
      </c>
      <c r="E128" s="289">
        <f>K0kommunestruktur2020!E128</f>
        <v>2752</v>
      </c>
      <c r="F128" s="289">
        <f>K0kommunestruktur2020!F128</f>
        <v>53872</v>
      </c>
      <c r="G128" s="289">
        <f>K0kommunestruktur2020!G128</f>
        <v>2837</v>
      </c>
      <c r="H128" s="289">
        <f>K0kommunestruktur2020!H128</f>
        <v>60073</v>
      </c>
      <c r="I128" s="289">
        <f>K0kommunestruktur2020!I128</f>
        <v>2910</v>
      </c>
      <c r="J128" s="289">
        <f>K0kommunestruktur2020!J128</f>
        <v>62531</v>
      </c>
      <c r="K128" s="289">
        <f>K0kommunestruktur2020!K128</f>
        <v>2903</v>
      </c>
      <c r="L128" s="289">
        <f>K0kommunestruktur2020!L128</f>
        <v>65315</v>
      </c>
      <c r="M128" s="289">
        <f>K0kommunestruktur2020!M128</f>
        <v>2864</v>
      </c>
      <c r="N128" s="289">
        <f>K0kommunestruktur2020!N128</f>
        <v>69523</v>
      </c>
      <c r="O128" s="289">
        <f>K0kommunestruktur2020!O128</f>
        <v>2854</v>
      </c>
      <c r="P128" s="289">
        <f>K0kommunestruktur2020!P128</f>
        <v>67644</v>
      </c>
      <c r="Q128" s="289">
        <f>VLOOKUP(A128,'K21'!$A$4:$CI$359,3)</f>
        <v>2838</v>
      </c>
      <c r="R128" s="289">
        <f>VLOOKUP(A128,'K21'!$A$4:$BV$359,26)</f>
        <v>76393.837</v>
      </c>
      <c r="S128" s="517"/>
      <c r="T128" s="517"/>
      <c r="U128" s="517"/>
      <c r="V128" s="517"/>
    </row>
    <row r="129" spans="1:22" ht="13">
      <c r="A129" s="755">
        <v>3038</v>
      </c>
      <c r="B129" s="756" t="s">
        <v>874</v>
      </c>
      <c r="C129" s="289">
        <f>K0kommunestruktur2020!C129</f>
        <v>6595</v>
      </c>
      <c r="D129" s="289">
        <f>K0kommunestruktur2020!D129</f>
        <v>155090</v>
      </c>
      <c r="E129" s="289">
        <f>K0kommunestruktur2020!E129</f>
        <v>6698</v>
      </c>
      <c r="F129" s="289">
        <f>K0kommunestruktur2020!F129</f>
        <v>149683</v>
      </c>
      <c r="G129" s="289">
        <f>K0kommunestruktur2020!G129</f>
        <v>6767</v>
      </c>
      <c r="H129" s="289">
        <f>K0kommunestruktur2020!H129</f>
        <v>217126</v>
      </c>
      <c r="I129" s="289">
        <f>K0kommunestruktur2020!I129</f>
        <v>6772</v>
      </c>
      <c r="J129" s="289">
        <f>K0kommunestruktur2020!J129</f>
        <v>234181</v>
      </c>
      <c r="K129" s="289">
        <f>K0kommunestruktur2020!K129</f>
        <v>6833</v>
      </c>
      <c r="L129" s="289">
        <f>K0kommunestruktur2020!L129</f>
        <v>231734</v>
      </c>
      <c r="M129" s="289">
        <f>K0kommunestruktur2020!M129</f>
        <v>6845</v>
      </c>
      <c r="N129" s="289">
        <f>K0kommunestruktur2020!N129</f>
        <v>257243</v>
      </c>
      <c r="O129" s="289">
        <f>K0kommunestruktur2020!O129</f>
        <v>6799</v>
      </c>
      <c r="P129" s="289">
        <f>K0kommunestruktur2020!P129</f>
        <v>245135</v>
      </c>
      <c r="Q129" s="289">
        <f>VLOOKUP(A129,'K21'!$A$4:$CI$359,3)</f>
        <v>6811</v>
      </c>
      <c r="R129" s="289">
        <f>VLOOKUP(A129,'K21'!$A$4:$BV$359,26)</f>
        <v>269566.239</v>
      </c>
      <c r="S129" s="517"/>
      <c r="T129" s="517"/>
      <c r="U129" s="517"/>
      <c r="V129" s="517"/>
    </row>
    <row r="130" spans="1:22" ht="13">
      <c r="A130" s="755">
        <v>3039</v>
      </c>
      <c r="B130" s="756" t="s">
        <v>875</v>
      </c>
      <c r="C130" s="289">
        <f>K0kommunestruktur2020!C130</f>
        <v>1033</v>
      </c>
      <c r="D130" s="289">
        <f>K0kommunestruktur2020!D130</f>
        <v>24901</v>
      </c>
      <c r="E130" s="289">
        <f>K0kommunestruktur2020!E130</f>
        <v>1033</v>
      </c>
      <c r="F130" s="289">
        <f>K0kommunestruktur2020!F130</f>
        <v>25335</v>
      </c>
      <c r="G130" s="289">
        <f>K0kommunestruktur2020!G130</f>
        <v>1074</v>
      </c>
      <c r="H130" s="289">
        <f>K0kommunestruktur2020!H130</f>
        <v>27039</v>
      </c>
      <c r="I130" s="289">
        <f>K0kommunestruktur2020!I130</f>
        <v>1081</v>
      </c>
      <c r="J130" s="289">
        <f>K0kommunestruktur2020!J130</f>
        <v>30416</v>
      </c>
      <c r="K130" s="289">
        <f>K0kommunestruktur2020!K130</f>
        <v>1069</v>
      </c>
      <c r="L130" s="289">
        <f>K0kommunestruktur2020!L130</f>
        <v>31909</v>
      </c>
      <c r="M130" s="289">
        <f>K0kommunestruktur2020!M130</f>
        <v>1052</v>
      </c>
      <c r="N130" s="289">
        <f>K0kommunestruktur2020!N130</f>
        <v>33020</v>
      </c>
      <c r="O130" s="289">
        <f>K0kommunestruktur2020!O130</f>
        <v>1050</v>
      </c>
      <c r="P130" s="289">
        <f>K0kommunestruktur2020!P130</f>
        <v>33281</v>
      </c>
      <c r="Q130" s="289">
        <f>VLOOKUP(A130,'K21'!$A$4:$CI$359,3)</f>
        <v>1049</v>
      </c>
      <c r="R130" s="289">
        <f>VLOOKUP(A130,'K21'!$A$4:$BV$359,26)</f>
        <v>42241.775000000001</v>
      </c>
      <c r="S130" s="517"/>
      <c r="T130" s="517"/>
      <c r="U130" s="517"/>
      <c r="V130" s="517"/>
    </row>
    <row r="131" spans="1:22" ht="13">
      <c r="A131" s="755">
        <v>3040</v>
      </c>
      <c r="B131" s="756" t="s">
        <v>1966</v>
      </c>
      <c r="C131" s="289">
        <f>K0kommunestruktur2020!C131</f>
        <v>3445</v>
      </c>
      <c r="D131" s="289">
        <f>K0kommunestruktur2020!D131</f>
        <v>77187</v>
      </c>
      <c r="E131" s="289">
        <f>K0kommunestruktur2020!E131</f>
        <v>3414</v>
      </c>
      <c r="F131" s="289">
        <f>K0kommunestruktur2020!F131</f>
        <v>79354</v>
      </c>
      <c r="G131" s="289">
        <f>K0kommunestruktur2020!G131</f>
        <v>3422</v>
      </c>
      <c r="H131" s="289">
        <f>K0kommunestruktur2020!H131</f>
        <v>89949</v>
      </c>
      <c r="I131" s="289">
        <f>K0kommunestruktur2020!I131</f>
        <v>3357</v>
      </c>
      <c r="J131" s="289">
        <f>K0kommunestruktur2020!J131</f>
        <v>96441</v>
      </c>
      <c r="K131" s="289">
        <f>K0kommunestruktur2020!K131</f>
        <v>3341</v>
      </c>
      <c r="L131" s="289">
        <f>K0kommunestruktur2020!L131</f>
        <v>98315</v>
      </c>
      <c r="M131" s="289">
        <f>K0kommunestruktur2020!M131</f>
        <v>3315</v>
      </c>
      <c r="N131" s="289">
        <f>K0kommunestruktur2020!N131</f>
        <v>101815</v>
      </c>
      <c r="O131" s="289">
        <f>K0kommunestruktur2020!O131</f>
        <v>3273</v>
      </c>
      <c r="P131" s="289">
        <f>K0kommunestruktur2020!P131</f>
        <v>98036</v>
      </c>
      <c r="Q131" s="289">
        <f>VLOOKUP(A131,'K21'!$A$4:$CI$359,3)</f>
        <v>3262</v>
      </c>
      <c r="R131" s="289">
        <f>VLOOKUP(A131,'K21'!$A$4:$BV$359,26)</f>
        <v>121501.198</v>
      </c>
      <c r="S131" s="517"/>
      <c r="T131" s="517"/>
      <c r="U131" s="517"/>
      <c r="V131" s="517"/>
    </row>
    <row r="132" spans="1:22" ht="13">
      <c r="A132" s="755">
        <v>3041</v>
      </c>
      <c r="B132" s="756" t="s">
        <v>876</v>
      </c>
      <c r="C132" s="289">
        <f>K0kommunestruktur2020!C132</f>
        <v>4631</v>
      </c>
      <c r="D132" s="289">
        <f>K0kommunestruktur2020!D132</f>
        <v>112440</v>
      </c>
      <c r="E132" s="289">
        <f>K0kommunestruktur2020!E132</f>
        <v>4588</v>
      </c>
      <c r="F132" s="289">
        <f>K0kommunestruktur2020!F132</f>
        <v>114168</v>
      </c>
      <c r="G132" s="289">
        <f>K0kommunestruktur2020!G132</f>
        <v>4578</v>
      </c>
      <c r="H132" s="289">
        <f>K0kommunestruktur2020!H132</f>
        <v>123586</v>
      </c>
      <c r="I132" s="289">
        <f>K0kommunestruktur2020!I132</f>
        <v>4612</v>
      </c>
      <c r="J132" s="289">
        <f>K0kommunestruktur2020!J132</f>
        <v>132260</v>
      </c>
      <c r="K132" s="289">
        <f>K0kommunestruktur2020!K132</f>
        <v>4566</v>
      </c>
      <c r="L132" s="289">
        <f>K0kommunestruktur2020!L132</f>
        <v>141637</v>
      </c>
      <c r="M132" s="289">
        <f>K0kommunestruktur2020!M132</f>
        <v>4576</v>
      </c>
      <c r="N132" s="289">
        <f>K0kommunestruktur2020!N132</f>
        <v>143094</v>
      </c>
      <c r="O132" s="289">
        <f>K0kommunestruktur2020!O132</f>
        <v>4608</v>
      </c>
      <c r="P132" s="289">
        <f>K0kommunestruktur2020!P132</f>
        <v>143937</v>
      </c>
      <c r="Q132" s="289">
        <f>VLOOKUP(A132,'K21'!$A$4:$CI$359,3)</f>
        <v>4636</v>
      </c>
      <c r="R132" s="289">
        <f>VLOOKUP(A132,'K21'!$A$4:$BV$359,26)</f>
        <v>165340.489</v>
      </c>
      <c r="S132" s="517"/>
      <c r="T132" s="517"/>
      <c r="U132" s="517"/>
      <c r="V132" s="517"/>
    </row>
    <row r="133" spans="1:22" ht="13">
      <c r="A133" s="755">
        <v>3042</v>
      </c>
      <c r="B133" s="756" t="s">
        <v>877</v>
      </c>
      <c r="C133" s="289">
        <f>K0kommunestruktur2020!C133</f>
        <v>2295</v>
      </c>
      <c r="D133" s="289">
        <f>K0kommunestruktur2020!D133</f>
        <v>60492</v>
      </c>
      <c r="E133" s="289">
        <f>K0kommunestruktur2020!E133</f>
        <v>2344</v>
      </c>
      <c r="F133" s="289">
        <f>K0kommunestruktur2020!F133</f>
        <v>64349</v>
      </c>
      <c r="G133" s="289">
        <f>K0kommunestruktur2020!G133</f>
        <v>2422</v>
      </c>
      <c r="H133" s="289">
        <f>K0kommunestruktur2020!H133</f>
        <v>69719</v>
      </c>
      <c r="I133" s="289">
        <f>K0kommunestruktur2020!I133</f>
        <v>2442</v>
      </c>
      <c r="J133" s="289">
        <f>K0kommunestruktur2020!J133</f>
        <v>76758</v>
      </c>
      <c r="K133" s="289">
        <f>K0kommunestruktur2020!K133</f>
        <v>2457</v>
      </c>
      <c r="L133" s="289">
        <f>K0kommunestruktur2020!L133</f>
        <v>84916</v>
      </c>
      <c r="M133" s="289">
        <f>K0kommunestruktur2020!M133</f>
        <v>2481</v>
      </c>
      <c r="N133" s="289">
        <f>K0kommunestruktur2020!N133</f>
        <v>89794</v>
      </c>
      <c r="O133" s="289">
        <f>K0kommunestruktur2020!O133</f>
        <v>2486</v>
      </c>
      <c r="P133" s="289">
        <f>K0kommunestruktur2020!P133</f>
        <v>97800</v>
      </c>
      <c r="Q133" s="289">
        <f>VLOOKUP(A133,'K21'!$A$4:$CI$359,3)</f>
        <v>2546</v>
      </c>
      <c r="R133" s="289">
        <f>VLOOKUP(A133,'K21'!$A$4:$BV$359,26)</f>
        <v>109594.95699999999</v>
      </c>
      <c r="S133" s="517"/>
      <c r="T133" s="517"/>
      <c r="U133" s="517"/>
      <c r="V133" s="517"/>
    </row>
    <row r="134" spans="1:22" ht="13">
      <c r="A134" s="755">
        <v>3043</v>
      </c>
      <c r="B134" s="756" t="s">
        <v>878</v>
      </c>
      <c r="C134" s="289">
        <f>K0kommunestruktur2020!C134</f>
        <v>4713</v>
      </c>
      <c r="D134" s="289">
        <f>K0kommunestruktur2020!D134</f>
        <v>112935</v>
      </c>
      <c r="E134" s="289">
        <f>K0kommunestruktur2020!E134</f>
        <v>4716</v>
      </c>
      <c r="F134" s="289">
        <f>K0kommunestruktur2020!F134</f>
        <v>119963</v>
      </c>
      <c r="G134" s="289">
        <f>K0kommunestruktur2020!G134</f>
        <v>4711</v>
      </c>
      <c r="H134" s="289">
        <f>K0kommunestruktur2020!H134</f>
        <v>129347</v>
      </c>
      <c r="I134" s="289">
        <f>K0kommunestruktur2020!I134</f>
        <v>4719</v>
      </c>
      <c r="J134" s="289">
        <f>K0kommunestruktur2020!J134</f>
        <v>138427</v>
      </c>
      <c r="K134" s="289">
        <f>K0kommunestruktur2020!K134</f>
        <v>4626</v>
      </c>
      <c r="L134" s="289">
        <f>K0kommunestruktur2020!L134</f>
        <v>141581</v>
      </c>
      <c r="M134" s="289">
        <f>K0kommunestruktur2020!M134</f>
        <v>4671</v>
      </c>
      <c r="N134" s="289">
        <f>K0kommunestruktur2020!N134</f>
        <v>146024</v>
      </c>
      <c r="O134" s="289">
        <f>K0kommunestruktur2020!O134</f>
        <v>4674</v>
      </c>
      <c r="P134" s="289">
        <f>K0kommunestruktur2020!P134</f>
        <v>145042</v>
      </c>
      <c r="Q134" s="289">
        <f>VLOOKUP(A134,'K21'!$A$4:$CI$359,3)</f>
        <v>4648</v>
      </c>
      <c r="R134" s="289">
        <f>VLOOKUP(A134,'K21'!$A$4:$BV$359,26)</f>
        <v>161228.834</v>
      </c>
      <c r="S134" s="517"/>
      <c r="T134" s="517"/>
      <c r="U134" s="517"/>
      <c r="V134" s="517"/>
    </row>
    <row r="135" spans="1:22" ht="13">
      <c r="A135" s="755">
        <v>3044</v>
      </c>
      <c r="B135" s="756" t="s">
        <v>880</v>
      </c>
      <c r="C135" s="289">
        <f>K0kommunestruktur2020!C135</f>
        <v>4452</v>
      </c>
      <c r="D135" s="289">
        <f>K0kommunestruktur2020!D135</f>
        <v>141469</v>
      </c>
      <c r="E135" s="289">
        <f>K0kommunestruktur2020!E135</f>
        <v>4471</v>
      </c>
      <c r="F135" s="289">
        <f>K0kommunestruktur2020!F135</f>
        <v>150303</v>
      </c>
      <c r="G135" s="289">
        <f>K0kommunestruktur2020!G135</f>
        <v>4497</v>
      </c>
      <c r="H135" s="289">
        <f>K0kommunestruktur2020!H135</f>
        <v>163835</v>
      </c>
      <c r="I135" s="289">
        <f>K0kommunestruktur2020!I135</f>
        <v>4535</v>
      </c>
      <c r="J135" s="289">
        <f>K0kommunestruktur2020!J135</f>
        <v>174624</v>
      </c>
      <c r="K135" s="289">
        <f>K0kommunestruktur2020!K135</f>
        <v>4520</v>
      </c>
      <c r="L135" s="289">
        <f>K0kommunestruktur2020!L135</f>
        <v>178343</v>
      </c>
      <c r="M135" s="289">
        <f>K0kommunestruktur2020!M135</f>
        <v>4473</v>
      </c>
      <c r="N135" s="289">
        <f>K0kommunestruktur2020!N135</f>
        <v>199023</v>
      </c>
      <c r="O135" s="289">
        <f>K0kommunestruktur2020!O135</f>
        <v>4441</v>
      </c>
      <c r="P135" s="289">
        <f>K0kommunestruktur2020!P135</f>
        <v>194493</v>
      </c>
      <c r="Q135" s="289">
        <f>VLOOKUP(A135,'K21'!$A$4:$CI$359,3)</f>
        <v>4434</v>
      </c>
      <c r="R135" s="289">
        <f>VLOOKUP(A135,'K21'!$A$4:$BV$359,26)</f>
        <v>218809.16</v>
      </c>
      <c r="S135" s="517"/>
      <c r="T135" s="517"/>
      <c r="U135" s="517"/>
      <c r="V135" s="517"/>
    </row>
    <row r="136" spans="1:22" ht="13">
      <c r="A136" s="755">
        <v>3045</v>
      </c>
      <c r="B136" s="756" t="s">
        <v>881</v>
      </c>
      <c r="C136" s="289">
        <f>K0kommunestruktur2020!C136</f>
        <v>3509</v>
      </c>
      <c r="D136" s="289">
        <f>K0kommunestruktur2020!D136</f>
        <v>84796</v>
      </c>
      <c r="E136" s="289">
        <f>K0kommunestruktur2020!E136</f>
        <v>3520</v>
      </c>
      <c r="F136" s="289">
        <f>K0kommunestruktur2020!F136</f>
        <v>87162</v>
      </c>
      <c r="G136" s="289">
        <f>K0kommunestruktur2020!G136</f>
        <v>3512</v>
      </c>
      <c r="H136" s="289">
        <f>K0kommunestruktur2020!H136</f>
        <v>106580</v>
      </c>
      <c r="I136" s="289">
        <f>K0kommunestruktur2020!I136</f>
        <v>3502</v>
      </c>
      <c r="J136" s="289">
        <f>K0kommunestruktur2020!J136</f>
        <v>102587</v>
      </c>
      <c r="K136" s="289">
        <f>K0kommunestruktur2020!K136</f>
        <v>3488</v>
      </c>
      <c r="L136" s="289">
        <f>K0kommunestruktur2020!L136</f>
        <v>98498</v>
      </c>
      <c r="M136" s="289">
        <f>K0kommunestruktur2020!M136</f>
        <v>3490</v>
      </c>
      <c r="N136" s="289">
        <f>K0kommunestruktur2020!N136</f>
        <v>106548</v>
      </c>
      <c r="O136" s="289">
        <f>K0kommunestruktur2020!O136</f>
        <v>3467</v>
      </c>
      <c r="P136" s="289">
        <f>K0kommunestruktur2020!P136</f>
        <v>105568</v>
      </c>
      <c r="Q136" s="289">
        <f>VLOOKUP(A136,'K21'!$A$4:$CI$359,3)</f>
        <v>3465</v>
      </c>
      <c r="R136" s="289">
        <f>VLOOKUP(A136,'K21'!$A$4:$BV$359,26)</f>
        <v>116506.826</v>
      </c>
      <c r="S136" s="517"/>
      <c r="T136" s="517"/>
      <c r="U136" s="517"/>
      <c r="V136" s="517"/>
    </row>
    <row r="137" spans="1:22" ht="13">
      <c r="A137" s="755">
        <v>3046</v>
      </c>
      <c r="B137" s="756" t="s">
        <v>882</v>
      </c>
      <c r="C137" s="289">
        <f>K0kommunestruktur2020!C137</f>
        <v>2265</v>
      </c>
      <c r="D137" s="289">
        <f>K0kommunestruktur2020!D137</f>
        <v>56801</v>
      </c>
      <c r="E137" s="289">
        <f>K0kommunestruktur2020!E137</f>
        <v>2268</v>
      </c>
      <c r="F137" s="289">
        <f>K0kommunestruktur2020!F137</f>
        <v>62344</v>
      </c>
      <c r="G137" s="289">
        <f>K0kommunestruktur2020!G137</f>
        <v>2275</v>
      </c>
      <c r="H137" s="289">
        <f>K0kommunestruktur2020!H137</f>
        <v>67497</v>
      </c>
      <c r="I137" s="289">
        <f>K0kommunestruktur2020!I137</f>
        <v>2257</v>
      </c>
      <c r="J137" s="289">
        <f>K0kommunestruktur2020!J137</f>
        <v>71317</v>
      </c>
      <c r="K137" s="289">
        <f>K0kommunestruktur2020!K137</f>
        <v>2277</v>
      </c>
      <c r="L137" s="289">
        <f>K0kommunestruktur2020!L137</f>
        <v>72970</v>
      </c>
      <c r="M137" s="289">
        <f>K0kommunestruktur2020!M137</f>
        <v>2239</v>
      </c>
      <c r="N137" s="289">
        <f>K0kommunestruktur2020!N137</f>
        <v>75843</v>
      </c>
      <c r="O137" s="289">
        <f>K0kommunestruktur2020!O137</f>
        <v>2212</v>
      </c>
      <c r="P137" s="289">
        <f>K0kommunestruktur2020!P137</f>
        <v>74912</v>
      </c>
      <c r="Q137" s="289">
        <f>VLOOKUP(A137,'K21'!$A$4:$CI$359,3)</f>
        <v>2219</v>
      </c>
      <c r="R137" s="289">
        <f>VLOOKUP(A137,'K21'!$A$4:$BV$359,26)</f>
        <v>88252.178</v>
      </c>
      <c r="S137" s="517"/>
      <c r="T137" s="517"/>
      <c r="U137" s="517"/>
      <c r="V137" s="517"/>
    </row>
    <row r="138" spans="1:22" ht="13">
      <c r="A138" s="755">
        <v>3047</v>
      </c>
      <c r="B138" s="756" t="s">
        <v>883</v>
      </c>
      <c r="C138" s="289">
        <f>K0kommunestruktur2020!C138</f>
        <v>13581</v>
      </c>
      <c r="D138" s="289">
        <f>K0kommunestruktur2020!D138</f>
        <v>292072</v>
      </c>
      <c r="E138" s="289">
        <f>K0kommunestruktur2020!E138</f>
        <v>13685</v>
      </c>
      <c r="F138" s="289">
        <f>K0kommunestruktur2020!F138</f>
        <v>305637</v>
      </c>
      <c r="G138" s="289">
        <f>K0kommunestruktur2020!G138</f>
        <v>13794</v>
      </c>
      <c r="H138" s="289">
        <f>K0kommunestruktur2020!H138</f>
        <v>341123</v>
      </c>
      <c r="I138" s="289">
        <f>K0kommunestruktur2020!I138</f>
        <v>13786</v>
      </c>
      <c r="J138" s="289">
        <f>K0kommunestruktur2020!J138</f>
        <v>349911</v>
      </c>
      <c r="K138" s="289">
        <f>K0kommunestruktur2020!K138</f>
        <v>13880</v>
      </c>
      <c r="L138" s="289">
        <f>K0kommunestruktur2020!L138</f>
        <v>373875</v>
      </c>
      <c r="M138" s="289">
        <f>K0kommunestruktur2020!M138</f>
        <v>13980</v>
      </c>
      <c r="N138" s="289">
        <f>K0kommunestruktur2020!N138</f>
        <v>389481</v>
      </c>
      <c r="O138" s="289">
        <f>K0kommunestruktur2020!O138</f>
        <v>14115</v>
      </c>
      <c r="P138" s="289">
        <f>K0kommunestruktur2020!P138</f>
        <v>366401</v>
      </c>
      <c r="Q138" s="289">
        <f>VLOOKUP(A138,'K21'!$A$4:$CI$359,3)</f>
        <v>14166</v>
      </c>
      <c r="R138" s="289">
        <f>VLOOKUP(A138,'K21'!$A$4:$BV$359,26)</f>
        <v>415657.6</v>
      </c>
      <c r="S138" s="517"/>
      <c r="T138" s="517"/>
      <c r="U138" s="517"/>
      <c r="V138" s="517"/>
    </row>
    <row r="139" spans="1:22" ht="13">
      <c r="A139" s="755">
        <v>3048</v>
      </c>
      <c r="B139" s="756" t="s">
        <v>884</v>
      </c>
      <c r="C139" s="289">
        <f>K0kommunestruktur2020!C139</f>
        <v>17919</v>
      </c>
      <c r="D139" s="289">
        <f>K0kommunestruktur2020!D139</f>
        <v>404166</v>
      </c>
      <c r="E139" s="289">
        <f>K0kommunestruktur2020!E139</f>
        <v>18039</v>
      </c>
      <c r="F139" s="289">
        <f>K0kommunestruktur2020!F139</f>
        <v>436278</v>
      </c>
      <c r="G139" s="289">
        <f>K0kommunestruktur2020!G139</f>
        <v>18205</v>
      </c>
      <c r="H139" s="289">
        <f>K0kommunestruktur2020!H139</f>
        <v>475477</v>
      </c>
      <c r="I139" s="289">
        <f>K0kommunestruktur2020!I139</f>
        <v>18562</v>
      </c>
      <c r="J139" s="289">
        <f>K0kommunestruktur2020!J139</f>
        <v>512095</v>
      </c>
      <c r="K139" s="289">
        <f>K0kommunestruktur2020!K139</f>
        <v>18926</v>
      </c>
      <c r="L139" s="289">
        <f>K0kommunestruktur2020!L139</f>
        <v>525047</v>
      </c>
      <c r="M139" s="289">
        <f>K0kommunestruktur2020!M139</f>
        <v>19117</v>
      </c>
      <c r="N139" s="289">
        <f>K0kommunestruktur2020!N139</f>
        <v>555986</v>
      </c>
      <c r="O139" s="289">
        <f>K0kommunestruktur2020!O139</f>
        <v>19423</v>
      </c>
      <c r="P139" s="289">
        <f>K0kommunestruktur2020!P139</f>
        <v>573811</v>
      </c>
      <c r="Q139" s="289">
        <f>VLOOKUP(A139,'K21'!$A$4:$CI$359,3)</f>
        <v>19709</v>
      </c>
      <c r="R139" s="289">
        <f>VLOOKUP(A139,'K21'!$A$4:$BV$359,26)</f>
        <v>655419.36100000003</v>
      </c>
      <c r="S139" s="517"/>
      <c r="T139" s="517"/>
      <c r="U139" s="517"/>
      <c r="V139" s="517"/>
    </row>
    <row r="140" spans="1:22" ht="13">
      <c r="A140" s="755">
        <v>3049</v>
      </c>
      <c r="B140" s="756" t="s">
        <v>886</v>
      </c>
      <c r="C140" s="289">
        <f>K0kommunestruktur2020!C140</f>
        <v>25175</v>
      </c>
      <c r="D140" s="289">
        <f>K0kommunestruktur2020!D140</f>
        <v>692154</v>
      </c>
      <c r="E140" s="289">
        <f>K0kommunestruktur2020!E140</f>
        <v>25378</v>
      </c>
      <c r="F140" s="289">
        <f>K0kommunestruktur2020!F140</f>
        <v>737381</v>
      </c>
      <c r="G140" s="289">
        <f>K0kommunestruktur2020!G140</f>
        <v>25731</v>
      </c>
      <c r="H140" s="289">
        <f>K0kommunestruktur2020!H140</f>
        <v>817486</v>
      </c>
      <c r="I140" s="289">
        <f>K0kommunestruktur2020!I140</f>
        <v>25740</v>
      </c>
      <c r="J140" s="289">
        <f>K0kommunestruktur2020!J140</f>
        <v>854427</v>
      </c>
      <c r="K140" s="289">
        <f>K0kommunestruktur2020!K140</f>
        <v>25980</v>
      </c>
      <c r="L140" s="289">
        <f>K0kommunestruktur2020!L140</f>
        <v>880691</v>
      </c>
      <c r="M140" s="289">
        <f>K0kommunestruktur2020!M140</f>
        <v>26373</v>
      </c>
      <c r="N140" s="289">
        <f>K0kommunestruktur2020!N140</f>
        <v>925263</v>
      </c>
      <c r="O140" s="289">
        <f>K0kommunestruktur2020!O140</f>
        <v>26811</v>
      </c>
      <c r="P140" s="289">
        <f>K0kommunestruktur2020!P140</f>
        <v>941550</v>
      </c>
      <c r="Q140" s="289">
        <f>VLOOKUP(A140,'K21'!$A$4:$CI$359,3)</f>
        <v>27118</v>
      </c>
      <c r="R140" s="289">
        <f>VLOOKUP(A140,'K21'!$A$4:$BV$359,26)</f>
        <v>1090866.5589999999</v>
      </c>
      <c r="S140" s="517"/>
      <c r="T140" s="517"/>
      <c r="U140" s="517"/>
      <c r="V140" s="517"/>
    </row>
    <row r="141" spans="1:22" ht="13">
      <c r="A141" s="755">
        <v>3050</v>
      </c>
      <c r="B141" s="756" t="s">
        <v>889</v>
      </c>
      <c r="C141" s="289">
        <f>K0kommunestruktur2020!C141</f>
        <v>2683</v>
      </c>
      <c r="D141" s="289">
        <f>K0kommunestruktur2020!D141</f>
        <v>61223</v>
      </c>
      <c r="E141" s="289">
        <f>K0kommunestruktur2020!E141</f>
        <v>2671</v>
      </c>
      <c r="F141" s="289">
        <f>K0kommunestruktur2020!F141</f>
        <v>64103</v>
      </c>
      <c r="G141" s="289">
        <f>K0kommunestruktur2020!G141</f>
        <v>2699</v>
      </c>
      <c r="H141" s="289">
        <f>K0kommunestruktur2020!H141</f>
        <v>70327</v>
      </c>
      <c r="I141" s="289">
        <f>K0kommunestruktur2020!I141</f>
        <v>2696</v>
      </c>
      <c r="J141" s="289">
        <f>K0kommunestruktur2020!J141</f>
        <v>71305</v>
      </c>
      <c r="K141" s="289">
        <f>K0kommunestruktur2020!K141</f>
        <v>2688</v>
      </c>
      <c r="L141" s="289">
        <f>K0kommunestruktur2020!L141</f>
        <v>75809</v>
      </c>
      <c r="M141" s="289">
        <f>K0kommunestruktur2020!M141</f>
        <v>2694</v>
      </c>
      <c r="N141" s="289">
        <f>K0kommunestruktur2020!N141</f>
        <v>84542</v>
      </c>
      <c r="O141" s="289">
        <f>K0kommunestruktur2020!O141</f>
        <v>2688</v>
      </c>
      <c r="P141" s="289">
        <f>K0kommunestruktur2020!P141</f>
        <v>83208</v>
      </c>
      <c r="Q141" s="289">
        <f>VLOOKUP(A141,'K21'!$A$4:$CI$359,3)</f>
        <v>2713</v>
      </c>
      <c r="R141" s="289">
        <f>VLOOKUP(A141,'K21'!$A$4:$BV$359,26)</f>
        <v>93630.758000000002</v>
      </c>
      <c r="S141" s="517"/>
      <c r="T141" s="517"/>
      <c r="U141" s="517"/>
      <c r="V141" s="517"/>
    </row>
    <row r="142" spans="1:22" ht="13">
      <c r="A142" s="755">
        <v>3051</v>
      </c>
      <c r="B142" s="756" t="s">
        <v>890</v>
      </c>
      <c r="C142" s="289">
        <f>K0kommunestruktur2020!C142</f>
        <v>1369</v>
      </c>
      <c r="D142" s="289">
        <f>K0kommunestruktur2020!D142</f>
        <v>33041</v>
      </c>
      <c r="E142" s="289">
        <f>K0kommunestruktur2020!E142</f>
        <v>1375</v>
      </c>
      <c r="F142" s="289">
        <f>K0kommunestruktur2020!F142</f>
        <v>33997</v>
      </c>
      <c r="G142" s="289">
        <f>K0kommunestruktur2020!G142</f>
        <v>1404</v>
      </c>
      <c r="H142" s="289">
        <f>K0kommunestruktur2020!H142</f>
        <v>35626</v>
      </c>
      <c r="I142" s="289">
        <f>K0kommunestruktur2020!I142</f>
        <v>1399</v>
      </c>
      <c r="J142" s="289">
        <f>K0kommunestruktur2020!J142</f>
        <v>38046</v>
      </c>
      <c r="K142" s="289">
        <f>K0kommunestruktur2020!K142</f>
        <v>1411</v>
      </c>
      <c r="L142" s="289">
        <f>K0kommunestruktur2020!L142</f>
        <v>41136</v>
      </c>
      <c r="M142" s="289">
        <f>K0kommunestruktur2020!M142</f>
        <v>1419</v>
      </c>
      <c r="N142" s="289">
        <f>K0kommunestruktur2020!N142</f>
        <v>41486</v>
      </c>
      <c r="O142" s="289">
        <f>K0kommunestruktur2020!O142</f>
        <v>1390</v>
      </c>
      <c r="P142" s="289">
        <f>K0kommunestruktur2020!P142</f>
        <v>39387</v>
      </c>
      <c r="Q142" s="289">
        <f>VLOOKUP(A142,'K21'!$A$4:$CI$359,3)</f>
        <v>1386</v>
      </c>
      <c r="R142" s="289">
        <f>VLOOKUP(A142,'K21'!$A$4:$BV$359,26)</f>
        <v>47778.777999999998</v>
      </c>
      <c r="S142" s="517"/>
      <c r="T142" s="517"/>
      <c r="U142" s="517"/>
      <c r="V142" s="517"/>
    </row>
    <row r="143" spans="1:22" ht="13">
      <c r="A143" s="755">
        <v>3052</v>
      </c>
      <c r="B143" s="756" t="s">
        <v>891</v>
      </c>
      <c r="C143" s="289">
        <f>K0kommunestruktur2020!C143</f>
        <v>2557</v>
      </c>
      <c r="D143" s="289">
        <f>K0kommunestruktur2020!D143</f>
        <v>75781</v>
      </c>
      <c r="E143" s="289">
        <f>K0kommunestruktur2020!E143</f>
        <v>2541</v>
      </c>
      <c r="F143" s="289">
        <f>K0kommunestruktur2020!F143</f>
        <v>79807</v>
      </c>
      <c r="G143" s="289">
        <f>K0kommunestruktur2020!G143</f>
        <v>2548</v>
      </c>
      <c r="H143" s="289">
        <f>K0kommunestruktur2020!H143</f>
        <v>82403</v>
      </c>
      <c r="I143" s="289">
        <f>K0kommunestruktur2020!I143</f>
        <v>2530</v>
      </c>
      <c r="J143" s="289">
        <f>K0kommunestruktur2020!J143</f>
        <v>86626</v>
      </c>
      <c r="K143" s="289">
        <f>K0kommunestruktur2020!K143</f>
        <v>2482</v>
      </c>
      <c r="L143" s="289">
        <f>K0kommunestruktur2020!L143</f>
        <v>90032</v>
      </c>
      <c r="M143" s="289">
        <f>K0kommunestruktur2020!M143</f>
        <v>2448</v>
      </c>
      <c r="N143" s="289">
        <f>K0kommunestruktur2020!N143</f>
        <v>93992</v>
      </c>
      <c r="O143" s="289">
        <f>K0kommunestruktur2020!O143</f>
        <v>2439</v>
      </c>
      <c r="P143" s="289">
        <f>K0kommunestruktur2020!P143</f>
        <v>89296</v>
      </c>
      <c r="Q143" s="289">
        <f>VLOOKUP(A143,'K21'!$A$4:$CI$359,3)</f>
        <v>2412</v>
      </c>
      <c r="R143" s="289">
        <f>VLOOKUP(A143,'K21'!$A$4:$BV$359,26)</f>
        <v>101777.68700000001</v>
      </c>
      <c r="S143" s="517"/>
      <c r="T143" s="517"/>
      <c r="U143" s="517"/>
      <c r="V143" s="517"/>
    </row>
    <row r="144" spans="1:22" ht="13">
      <c r="A144" s="755">
        <v>3053</v>
      </c>
      <c r="B144" s="756" t="s">
        <v>860</v>
      </c>
      <c r="C144" s="289">
        <f>K0kommunestruktur2020!C144</f>
        <v>6516</v>
      </c>
      <c r="D144" s="289">
        <f>K0kommunestruktur2020!D144</f>
        <v>126182</v>
      </c>
      <c r="E144" s="289">
        <f>K0kommunestruktur2020!E144</f>
        <v>6599</v>
      </c>
      <c r="F144" s="289">
        <f>K0kommunestruktur2020!F144</f>
        <v>133870</v>
      </c>
      <c r="G144" s="289">
        <f>K0kommunestruktur2020!G144</f>
        <v>6629</v>
      </c>
      <c r="H144" s="289">
        <f>K0kommunestruktur2020!H144</f>
        <v>147737</v>
      </c>
      <c r="I144" s="289">
        <f>K0kommunestruktur2020!I144</f>
        <v>6696</v>
      </c>
      <c r="J144" s="289">
        <f>K0kommunestruktur2020!J144</f>
        <v>157513</v>
      </c>
      <c r="K144" s="289">
        <f>K0kommunestruktur2020!K144</f>
        <v>6777</v>
      </c>
      <c r="L144" s="289">
        <f>K0kommunestruktur2020!L144</f>
        <v>167525</v>
      </c>
      <c r="M144" s="289">
        <f>K0kommunestruktur2020!M144</f>
        <v>6846</v>
      </c>
      <c r="N144" s="289">
        <f>K0kommunestruktur2020!N144</f>
        <v>172526</v>
      </c>
      <c r="O144" s="289">
        <f>K0kommunestruktur2020!O144</f>
        <v>6852</v>
      </c>
      <c r="P144" s="289">
        <f>K0kommunestruktur2020!P144</f>
        <v>178269</v>
      </c>
      <c r="Q144" s="289">
        <f>VLOOKUP(A144,'K21'!$A$4:$CI$359,3)</f>
        <v>6867</v>
      </c>
      <c r="R144" s="289">
        <f>VLOOKUP(A144,'K21'!$A$4:$BV$359,26)</f>
        <v>209679.27900000001</v>
      </c>
      <c r="S144" s="517"/>
      <c r="T144" s="517"/>
      <c r="U144" s="517"/>
      <c r="V144" s="517"/>
    </row>
    <row r="145" spans="1:22" ht="13">
      <c r="A145" s="755">
        <v>3054</v>
      </c>
      <c r="B145" s="965" t="s">
        <v>861</v>
      </c>
      <c r="C145" s="289">
        <f>K0kommunestruktur2020!C145</f>
        <v>8952</v>
      </c>
      <c r="D145" s="289">
        <f>K0kommunestruktur2020!D145</f>
        <v>195426</v>
      </c>
      <c r="E145" s="289">
        <f>K0kommunestruktur2020!E145</f>
        <v>9003</v>
      </c>
      <c r="F145" s="289">
        <f>K0kommunestruktur2020!F145</f>
        <v>209542</v>
      </c>
      <c r="G145" s="289">
        <f>K0kommunestruktur2020!G145</f>
        <v>9044</v>
      </c>
      <c r="H145" s="289">
        <f>K0kommunestruktur2020!H145</f>
        <v>229314</v>
      </c>
      <c r="I145" s="289">
        <f>K0kommunestruktur2020!I145</f>
        <v>9080</v>
      </c>
      <c r="J145" s="289">
        <f>K0kommunestruktur2020!J145</f>
        <v>238287</v>
      </c>
      <c r="K145" s="289">
        <f>K0kommunestruktur2020!K145</f>
        <v>9065</v>
      </c>
      <c r="L145" s="289">
        <f>K0kommunestruktur2020!L145</f>
        <v>250417</v>
      </c>
      <c r="M145" s="289">
        <f>K0kommunestruktur2020!M145</f>
        <v>9051</v>
      </c>
      <c r="N145" s="289">
        <f>K0kommunestruktur2020!N145</f>
        <v>253205</v>
      </c>
      <c r="O145" s="289">
        <f>K0kommunestruktur2020!O145</f>
        <v>9048</v>
      </c>
      <c r="P145" s="289">
        <f>K0kommunestruktur2020!P145</f>
        <v>244716</v>
      </c>
      <c r="Q145" s="289">
        <f>VLOOKUP(A145,'K21'!$A$4:$CI$359,3)</f>
        <v>9062</v>
      </c>
      <c r="R145" s="289">
        <f>VLOOKUP(A145,'K21'!$A$4:$BV$359,26)</f>
        <v>286568.37800000003</v>
      </c>
      <c r="S145" s="517"/>
      <c r="T145" s="517"/>
      <c r="U145" s="517"/>
      <c r="V145" s="517"/>
    </row>
    <row r="146" spans="1:22" ht="13">
      <c r="A146" s="755">
        <v>3401</v>
      </c>
      <c r="B146" s="756" t="s">
        <v>824</v>
      </c>
      <c r="C146" s="289">
        <f>K0kommunestruktur2020!C146</f>
        <v>17825</v>
      </c>
      <c r="D146" s="289">
        <f>K0kommunestruktur2020!D146</f>
        <v>346051</v>
      </c>
      <c r="E146" s="289">
        <f>K0kommunestruktur2020!E146</f>
        <v>17881</v>
      </c>
      <c r="F146" s="289">
        <f>K0kommunestruktur2020!F146</f>
        <v>377420</v>
      </c>
      <c r="G146" s="289">
        <f>K0kommunestruktur2020!G146</f>
        <v>17835</v>
      </c>
      <c r="H146" s="289">
        <f>K0kommunestruktur2020!H146</f>
        <v>418583</v>
      </c>
      <c r="I146" s="289">
        <f>K0kommunestruktur2020!I146</f>
        <v>17857</v>
      </c>
      <c r="J146" s="289">
        <f>K0kommunestruktur2020!J146</f>
        <v>438186</v>
      </c>
      <c r="K146" s="289">
        <f>K0kommunestruktur2020!K146</f>
        <v>17934</v>
      </c>
      <c r="L146" s="289">
        <f>K0kommunestruktur2020!L146</f>
        <v>464345</v>
      </c>
      <c r="M146" s="289">
        <f>K0kommunestruktur2020!M146</f>
        <v>17823</v>
      </c>
      <c r="N146" s="289">
        <f>K0kommunestruktur2020!N146</f>
        <v>472995</v>
      </c>
      <c r="O146" s="289">
        <f>K0kommunestruktur2020!O146</f>
        <v>17829</v>
      </c>
      <c r="P146" s="289">
        <f>K0kommunestruktur2020!P146</f>
        <v>488404</v>
      </c>
      <c r="Q146" s="289">
        <f>VLOOKUP(A146,'K21'!$A$4:$CI$359,3)</f>
        <v>17851</v>
      </c>
      <c r="R146" s="289">
        <f>VLOOKUP(A146,'K21'!$A$4:$BV$359,26)</f>
        <v>548005.07400000002</v>
      </c>
      <c r="S146" s="517"/>
      <c r="T146" s="517"/>
      <c r="U146" s="517"/>
      <c r="V146" s="517"/>
    </row>
    <row r="147" spans="1:22" ht="13">
      <c r="A147" s="755">
        <v>3403</v>
      </c>
      <c r="B147" s="756" t="s">
        <v>825</v>
      </c>
      <c r="C147" s="289">
        <f>K0kommunestruktur2020!C147</f>
        <v>29520</v>
      </c>
      <c r="D147" s="289">
        <f>K0kommunestruktur2020!D147</f>
        <v>664070</v>
      </c>
      <c r="E147" s="289">
        <f>K0kommunestruktur2020!E147</f>
        <v>29847</v>
      </c>
      <c r="F147" s="289">
        <f>K0kommunestruktur2020!F147</f>
        <v>723558</v>
      </c>
      <c r="G147" s="289">
        <f>K0kommunestruktur2020!G147</f>
        <v>30120</v>
      </c>
      <c r="H147" s="289">
        <f>K0kommunestruktur2020!H147</f>
        <v>799127</v>
      </c>
      <c r="I147" s="289">
        <f>K0kommunestruktur2020!I147</f>
        <v>30598</v>
      </c>
      <c r="J147" s="289">
        <f>K0kommunestruktur2020!J147</f>
        <v>838185</v>
      </c>
      <c r="K147" s="289">
        <f>K0kommunestruktur2020!K147</f>
        <v>30930</v>
      </c>
      <c r="L147" s="289">
        <f>K0kommunestruktur2020!L147</f>
        <v>879991</v>
      </c>
      <c r="M147" s="289">
        <f>K0kommunestruktur2020!M147</f>
        <v>31144</v>
      </c>
      <c r="N147" s="289">
        <f>K0kommunestruktur2020!N147</f>
        <v>907828</v>
      </c>
      <c r="O147" s="289">
        <f>K0kommunestruktur2020!O147</f>
        <v>31369</v>
      </c>
      <c r="P147" s="289">
        <f>K0kommunestruktur2020!P147</f>
        <v>922933</v>
      </c>
      <c r="Q147" s="289">
        <f>VLOOKUP(A147,'K21'!$A$4:$CI$359,3)</f>
        <v>31509</v>
      </c>
      <c r="R147" s="289">
        <f>VLOOKUP(A147,'K21'!$A$4:$BV$359,26)</f>
        <v>1065440.294</v>
      </c>
      <c r="S147" s="517"/>
      <c r="T147" s="517"/>
      <c r="U147" s="517"/>
      <c r="V147" s="517"/>
    </row>
    <row r="148" spans="1:22" ht="13">
      <c r="A148" s="755">
        <v>3405</v>
      </c>
      <c r="B148" s="756" t="s">
        <v>845</v>
      </c>
      <c r="C148" s="289">
        <f>K0kommunestruktur2020!C148</f>
        <v>27028</v>
      </c>
      <c r="D148" s="289">
        <f>K0kommunestruktur2020!D148</f>
        <v>624848</v>
      </c>
      <c r="E148" s="289">
        <f>K0kommunestruktur2020!E148</f>
        <v>27300</v>
      </c>
      <c r="F148" s="289">
        <f>K0kommunestruktur2020!F148</f>
        <v>657280</v>
      </c>
      <c r="G148" s="289">
        <f>K0kommunestruktur2020!G148</f>
        <v>27476</v>
      </c>
      <c r="H148" s="289">
        <f>K0kommunestruktur2020!H148</f>
        <v>729709</v>
      </c>
      <c r="I148" s="289">
        <f>K0kommunestruktur2020!I148</f>
        <v>27781</v>
      </c>
      <c r="J148" s="289">
        <f>K0kommunestruktur2020!J148</f>
        <v>769643</v>
      </c>
      <c r="K148" s="289">
        <f>K0kommunestruktur2020!K148</f>
        <v>27938</v>
      </c>
      <c r="L148" s="289">
        <f>K0kommunestruktur2020!L148</f>
        <v>805350</v>
      </c>
      <c r="M148" s="289">
        <f>K0kommunestruktur2020!M148</f>
        <v>28023</v>
      </c>
      <c r="N148" s="289">
        <f>K0kommunestruktur2020!N148</f>
        <v>836532</v>
      </c>
      <c r="O148" s="289">
        <f>K0kommunestruktur2020!O148</f>
        <v>28345</v>
      </c>
      <c r="P148" s="289">
        <f>K0kommunestruktur2020!P148</f>
        <v>825131</v>
      </c>
      <c r="Q148" s="289">
        <f>VLOOKUP(A148,'K21'!$A$4:$CI$359,3)</f>
        <v>28493</v>
      </c>
      <c r="R148" s="289">
        <f>VLOOKUP(A148,'K21'!$A$4:$BV$359,26)</f>
        <v>948325.75899999996</v>
      </c>
      <c r="S148" s="517"/>
      <c r="T148" s="517"/>
      <c r="U148" s="517"/>
      <c r="V148" s="517"/>
    </row>
    <row r="149" spans="1:22" ht="13">
      <c r="A149" s="755">
        <v>3407</v>
      </c>
      <c r="B149" s="756" t="s">
        <v>846</v>
      </c>
      <c r="C149" s="289">
        <f>K0kommunestruktur2020!C149</f>
        <v>29668</v>
      </c>
      <c r="D149" s="289">
        <f>K0kommunestruktur2020!D149</f>
        <v>594011</v>
      </c>
      <c r="E149" s="289">
        <f>K0kommunestruktur2020!E149</f>
        <v>30063</v>
      </c>
      <c r="F149" s="289">
        <f>K0kommunestruktur2020!F149</f>
        <v>645070</v>
      </c>
      <c r="G149" s="289">
        <f>K0kommunestruktur2020!G149</f>
        <v>30137</v>
      </c>
      <c r="H149" s="289">
        <f>K0kommunestruktur2020!H149</f>
        <v>711172</v>
      </c>
      <c r="I149" s="289">
        <f>K0kommunestruktur2020!I149</f>
        <v>30319</v>
      </c>
      <c r="J149" s="289">
        <f>K0kommunestruktur2020!J149</f>
        <v>758212</v>
      </c>
      <c r="K149" s="289">
        <f>K0kommunestruktur2020!K149</f>
        <v>30642</v>
      </c>
      <c r="L149" s="289">
        <f>K0kommunestruktur2020!L149</f>
        <v>797745</v>
      </c>
      <c r="M149" s="289">
        <f>K0kommunestruktur2020!M149</f>
        <v>30676</v>
      </c>
      <c r="N149" s="289">
        <f>K0kommunestruktur2020!N149</f>
        <v>835680</v>
      </c>
      <c r="O149" s="289">
        <f>K0kommunestruktur2020!O149</f>
        <v>30560</v>
      </c>
      <c r="P149" s="289">
        <f>K0kommunestruktur2020!P149</f>
        <v>811206</v>
      </c>
      <c r="Q149" s="289">
        <f>VLOOKUP(A149,'K21'!$A$4:$CI$359,3)</f>
        <v>30395</v>
      </c>
      <c r="R149" s="289">
        <f>VLOOKUP(A149,'K21'!$A$4:$BV$359,26)</f>
        <v>909888.27899999998</v>
      </c>
      <c r="S149" s="517"/>
      <c r="T149" s="517"/>
      <c r="U149" s="517"/>
      <c r="V149" s="517"/>
    </row>
    <row r="150" spans="1:22" ht="13">
      <c r="A150" s="755">
        <v>3411</v>
      </c>
      <c r="B150" s="756" t="s">
        <v>826</v>
      </c>
      <c r="C150" s="289">
        <f>K0kommunestruktur2020!C150</f>
        <v>33463</v>
      </c>
      <c r="D150" s="289">
        <f>K0kommunestruktur2020!D150</f>
        <v>639220</v>
      </c>
      <c r="E150" s="289">
        <f>K0kommunestruktur2020!E150</f>
        <v>33603</v>
      </c>
      <c r="F150" s="289">
        <f>K0kommunestruktur2020!F150</f>
        <v>679590</v>
      </c>
      <c r="G150" s="289">
        <f>K0kommunestruktur2020!G150</f>
        <v>33597</v>
      </c>
      <c r="H150" s="289">
        <f>K0kommunestruktur2020!H150</f>
        <v>752571</v>
      </c>
      <c r="I150" s="289">
        <f>K0kommunestruktur2020!I150</f>
        <v>33842</v>
      </c>
      <c r="J150" s="289">
        <f>K0kommunestruktur2020!J150</f>
        <v>789183</v>
      </c>
      <c r="K150" s="289">
        <f>K0kommunestruktur2020!K150</f>
        <v>34151</v>
      </c>
      <c r="L150" s="289">
        <f>K0kommunestruktur2020!L150</f>
        <v>837000</v>
      </c>
      <c r="M150" s="289">
        <f>K0kommunestruktur2020!M150</f>
        <v>34488</v>
      </c>
      <c r="N150" s="289">
        <f>K0kommunestruktur2020!N150</f>
        <v>888971</v>
      </c>
      <c r="O150" s="289">
        <f>K0kommunestruktur2020!O150</f>
        <v>34768</v>
      </c>
      <c r="P150" s="289">
        <f>K0kommunestruktur2020!P150</f>
        <v>885530</v>
      </c>
      <c r="Q150" s="289">
        <f>VLOOKUP(A150,'K21'!$A$4:$CI$359,3)</f>
        <v>34897</v>
      </c>
      <c r="R150" s="289">
        <f>VLOOKUP(A150,'K21'!$A$4:$BV$359,26)</f>
        <v>1013294.552</v>
      </c>
      <c r="S150" s="517"/>
      <c r="T150" s="517"/>
      <c r="U150" s="517"/>
      <c r="V150" s="517"/>
    </row>
    <row r="151" spans="1:22" ht="13">
      <c r="A151" s="755">
        <v>3412</v>
      </c>
      <c r="B151" s="756" t="s">
        <v>827</v>
      </c>
      <c r="C151" s="289">
        <f>K0kommunestruktur2020!C151</f>
        <v>7546</v>
      </c>
      <c r="D151" s="289">
        <f>K0kommunestruktur2020!D151</f>
        <v>135203</v>
      </c>
      <c r="E151" s="289">
        <f>K0kommunestruktur2020!E151</f>
        <v>7552</v>
      </c>
      <c r="F151" s="289">
        <f>K0kommunestruktur2020!F151</f>
        <v>143397</v>
      </c>
      <c r="G151" s="289">
        <f>K0kommunestruktur2020!G151</f>
        <v>7588</v>
      </c>
      <c r="H151" s="289">
        <f>K0kommunestruktur2020!H151</f>
        <v>154879</v>
      </c>
      <c r="I151" s="289">
        <f>K0kommunestruktur2020!I151</f>
        <v>7633</v>
      </c>
      <c r="J151" s="289">
        <f>K0kommunestruktur2020!J151</f>
        <v>162788</v>
      </c>
      <c r="K151" s="289">
        <f>K0kommunestruktur2020!K151</f>
        <v>7615</v>
      </c>
      <c r="L151" s="289">
        <f>K0kommunestruktur2020!L151</f>
        <v>169501</v>
      </c>
      <c r="M151" s="289">
        <f>K0kommunestruktur2020!M151</f>
        <v>7663</v>
      </c>
      <c r="N151" s="289">
        <f>K0kommunestruktur2020!N151</f>
        <v>172571</v>
      </c>
      <c r="O151" s="289">
        <f>K0kommunestruktur2020!O151</f>
        <v>7674</v>
      </c>
      <c r="P151" s="289">
        <f>K0kommunestruktur2020!P151</f>
        <v>173016</v>
      </c>
      <c r="Q151" s="289">
        <f>VLOOKUP(A151,'K21'!$A$4:$CI$359,3)</f>
        <v>7625</v>
      </c>
      <c r="R151" s="289">
        <f>VLOOKUP(A151,'K21'!$A$4:$BV$359,26)</f>
        <v>204503.18400000001</v>
      </c>
      <c r="S151" s="517"/>
      <c r="T151" s="517"/>
      <c r="U151" s="517"/>
      <c r="V151" s="517"/>
    </row>
    <row r="152" spans="1:22" ht="13">
      <c r="A152" s="755">
        <v>3413</v>
      </c>
      <c r="B152" s="965" t="s">
        <v>828</v>
      </c>
      <c r="C152" s="289">
        <f>K0kommunestruktur2020!C152</f>
        <v>19737</v>
      </c>
      <c r="D152" s="289">
        <f>K0kommunestruktur2020!D152</f>
        <v>376955</v>
      </c>
      <c r="E152" s="289">
        <f>K0kommunestruktur2020!E152</f>
        <v>20013</v>
      </c>
      <c r="F152" s="289">
        <f>K0kommunestruktur2020!F152</f>
        <v>407797</v>
      </c>
      <c r="G152" s="289">
        <f>K0kommunestruktur2020!G152</f>
        <v>20119</v>
      </c>
      <c r="H152" s="289">
        <f>K0kommunestruktur2020!H152</f>
        <v>451307</v>
      </c>
      <c r="I152" s="289">
        <f>K0kommunestruktur2020!I152</f>
        <v>20317</v>
      </c>
      <c r="J152" s="289">
        <f>K0kommunestruktur2020!J152</f>
        <v>472002</v>
      </c>
      <c r="K152" s="289">
        <f>K0kommunestruktur2020!K152</f>
        <v>20646</v>
      </c>
      <c r="L152" s="289">
        <f>K0kommunestruktur2020!L152</f>
        <v>497212</v>
      </c>
      <c r="M152" s="289">
        <f>K0kommunestruktur2020!M152</f>
        <v>20916</v>
      </c>
      <c r="N152" s="289">
        <f>K0kommunestruktur2020!N152</f>
        <v>519985</v>
      </c>
      <c r="O152" s="289">
        <f>K0kommunestruktur2020!O152</f>
        <v>21064</v>
      </c>
      <c r="P152" s="289">
        <f>K0kommunestruktur2020!P152</f>
        <v>521960</v>
      </c>
      <c r="Q152" s="289">
        <f>VLOOKUP(A152,'K21'!$A$4:$CI$359,3)</f>
        <v>21072</v>
      </c>
      <c r="R152" s="289">
        <f>VLOOKUP(A152,'K21'!$A$4:$BV$359,26)</f>
        <v>603684.37</v>
      </c>
      <c r="S152" s="517"/>
      <c r="T152" s="517"/>
      <c r="U152" s="517"/>
      <c r="V152" s="517"/>
    </row>
    <row r="153" spans="1:22" ht="13">
      <c r="A153" s="755">
        <v>3414</v>
      </c>
      <c r="B153" s="756" t="s">
        <v>829</v>
      </c>
      <c r="C153" s="289">
        <f>K0kommunestruktur2020!C153</f>
        <v>5118</v>
      </c>
      <c r="D153" s="289">
        <f>K0kommunestruktur2020!D153</f>
        <v>89305</v>
      </c>
      <c r="E153" s="289">
        <f>K0kommunestruktur2020!E153</f>
        <v>5128</v>
      </c>
      <c r="F153" s="289">
        <f>K0kommunestruktur2020!F153</f>
        <v>94709</v>
      </c>
      <c r="G153" s="289">
        <f>K0kommunestruktur2020!G153</f>
        <v>5131</v>
      </c>
      <c r="H153" s="289">
        <f>K0kommunestruktur2020!H153</f>
        <v>100053</v>
      </c>
      <c r="I153" s="289">
        <f>K0kommunestruktur2020!I153</f>
        <v>5100</v>
      </c>
      <c r="J153" s="289">
        <f>K0kommunestruktur2020!J153</f>
        <v>103182</v>
      </c>
      <c r="K153" s="289">
        <f>K0kommunestruktur2020!K153</f>
        <v>5097</v>
      </c>
      <c r="L153" s="289">
        <f>K0kommunestruktur2020!L153</f>
        <v>109633</v>
      </c>
      <c r="M153" s="289">
        <f>K0kommunestruktur2020!M153</f>
        <v>5024</v>
      </c>
      <c r="N153" s="289">
        <f>K0kommunestruktur2020!N153</f>
        <v>112330</v>
      </c>
      <c r="O153" s="289">
        <f>K0kommunestruktur2020!O153</f>
        <v>5016</v>
      </c>
      <c r="P153" s="289">
        <f>K0kommunestruktur2020!P153</f>
        <v>111733</v>
      </c>
      <c r="Q153" s="289">
        <f>VLOOKUP(A153,'K21'!$A$4:$CI$359,3)</f>
        <v>5038</v>
      </c>
      <c r="R153" s="289">
        <f>VLOOKUP(A153,'K21'!$A$4:$BV$359,26)</f>
        <v>127141.67600000001</v>
      </c>
      <c r="S153" s="517"/>
      <c r="T153" s="517"/>
      <c r="U153" s="517"/>
      <c r="V153" s="517"/>
    </row>
    <row r="154" spans="1:22" ht="13">
      <c r="A154" s="755">
        <v>3415</v>
      </c>
      <c r="B154" s="756" t="s">
        <v>830</v>
      </c>
      <c r="C154" s="289">
        <f>K0kommunestruktur2020!C154</f>
        <v>7847</v>
      </c>
      <c r="D154" s="289">
        <f>K0kommunestruktur2020!D154</f>
        <v>154803</v>
      </c>
      <c r="E154" s="289">
        <f>K0kommunestruktur2020!E154</f>
        <v>7800</v>
      </c>
      <c r="F154" s="289">
        <f>K0kommunestruktur2020!F154</f>
        <v>164788</v>
      </c>
      <c r="G154" s="289">
        <f>K0kommunestruktur2020!G154</f>
        <v>7901</v>
      </c>
      <c r="H154" s="289">
        <f>K0kommunestruktur2020!H154</f>
        <v>181493</v>
      </c>
      <c r="I154" s="289">
        <f>K0kommunestruktur2020!I154</f>
        <v>7866</v>
      </c>
      <c r="J154" s="289">
        <f>K0kommunestruktur2020!J154</f>
        <v>184298</v>
      </c>
      <c r="K154" s="289">
        <f>K0kommunestruktur2020!K154</f>
        <v>7884</v>
      </c>
      <c r="L154" s="289">
        <f>K0kommunestruktur2020!L154</f>
        <v>192327</v>
      </c>
      <c r="M154" s="289">
        <f>K0kommunestruktur2020!M154</f>
        <v>7879</v>
      </c>
      <c r="N154" s="289">
        <f>K0kommunestruktur2020!N154</f>
        <v>200711</v>
      </c>
      <c r="O154" s="289">
        <f>K0kommunestruktur2020!O154</f>
        <v>7905</v>
      </c>
      <c r="P154" s="289">
        <f>K0kommunestruktur2020!P154</f>
        <v>194910</v>
      </c>
      <c r="Q154" s="289">
        <f>VLOOKUP(A154,'K21'!$A$4:$CI$359,3)</f>
        <v>7914</v>
      </c>
      <c r="R154" s="289">
        <f>VLOOKUP(A154,'K21'!$A$4:$BV$359,26)</f>
        <v>229244.834</v>
      </c>
      <c r="S154" s="517"/>
      <c r="T154" s="517"/>
      <c r="U154" s="517"/>
      <c r="V154" s="517"/>
    </row>
    <row r="155" spans="1:22" ht="13">
      <c r="A155" s="755">
        <v>3416</v>
      </c>
      <c r="B155" s="756" t="s">
        <v>831</v>
      </c>
      <c r="C155" s="289">
        <f>K0kommunestruktur2020!C155</f>
        <v>6253</v>
      </c>
      <c r="D155" s="289">
        <f>K0kommunestruktur2020!D155</f>
        <v>99815</v>
      </c>
      <c r="E155" s="289">
        <f>K0kommunestruktur2020!E155</f>
        <v>6219</v>
      </c>
      <c r="F155" s="289">
        <f>K0kommunestruktur2020!F155</f>
        <v>110856</v>
      </c>
      <c r="G155" s="289">
        <f>K0kommunestruktur2020!G155</f>
        <v>6142</v>
      </c>
      <c r="H155" s="289">
        <f>K0kommunestruktur2020!H155</f>
        <v>122325</v>
      </c>
      <c r="I155" s="289">
        <f>K0kommunestruktur2020!I155</f>
        <v>6127</v>
      </c>
      <c r="J155" s="289">
        <f>K0kommunestruktur2020!J155</f>
        <v>125225</v>
      </c>
      <c r="K155" s="289">
        <f>K0kommunestruktur2020!K155</f>
        <v>6142</v>
      </c>
      <c r="L155" s="289">
        <f>K0kommunestruktur2020!L155</f>
        <v>129210</v>
      </c>
      <c r="M155" s="289">
        <f>K0kommunestruktur2020!M155</f>
        <v>6114</v>
      </c>
      <c r="N155" s="289">
        <f>K0kommunestruktur2020!N155</f>
        <v>133453</v>
      </c>
      <c r="O155" s="289">
        <f>K0kommunestruktur2020!O155</f>
        <v>6106</v>
      </c>
      <c r="P155" s="289">
        <f>K0kommunestruktur2020!P155</f>
        <v>135252</v>
      </c>
      <c r="Q155" s="289">
        <f>VLOOKUP(A155,'K21'!$A$4:$CI$359,3)</f>
        <v>6099</v>
      </c>
      <c r="R155" s="289">
        <f>VLOOKUP(A155,'K21'!$A$4:$BV$359,26)</f>
        <v>154505.867</v>
      </c>
      <c r="S155" s="517"/>
      <c r="T155" s="517"/>
      <c r="U155" s="517"/>
      <c r="V155" s="517"/>
    </row>
    <row r="156" spans="1:22" ht="13">
      <c r="A156" s="755">
        <v>3417</v>
      </c>
      <c r="B156" s="756" t="s">
        <v>832</v>
      </c>
      <c r="C156" s="289">
        <f>K0kommunestruktur2020!C156</f>
        <v>4948</v>
      </c>
      <c r="D156" s="289">
        <f>K0kommunestruktur2020!D156</f>
        <v>88799</v>
      </c>
      <c r="E156" s="289">
        <f>K0kommunestruktur2020!E156</f>
        <v>4853</v>
      </c>
      <c r="F156" s="289">
        <f>K0kommunestruktur2020!F156</f>
        <v>94131</v>
      </c>
      <c r="G156" s="289">
        <f>K0kommunestruktur2020!G156</f>
        <v>4763</v>
      </c>
      <c r="H156" s="289">
        <f>K0kommunestruktur2020!H156</f>
        <v>100637</v>
      </c>
      <c r="I156" s="289">
        <f>K0kommunestruktur2020!I156</f>
        <v>4777</v>
      </c>
      <c r="J156" s="289">
        <f>K0kommunestruktur2020!J156</f>
        <v>100470</v>
      </c>
      <c r="K156" s="289">
        <f>K0kommunestruktur2020!K156</f>
        <v>4740</v>
      </c>
      <c r="L156" s="289">
        <f>K0kommunestruktur2020!L156</f>
        <v>105990</v>
      </c>
      <c r="M156" s="289">
        <f>K0kommunestruktur2020!M156</f>
        <v>4646</v>
      </c>
      <c r="N156" s="289">
        <f>K0kommunestruktur2020!N156</f>
        <v>108099</v>
      </c>
      <c r="O156" s="289">
        <f>K0kommunestruktur2020!O156</f>
        <v>4612</v>
      </c>
      <c r="P156" s="289">
        <f>K0kommunestruktur2020!P156</f>
        <v>113051</v>
      </c>
      <c r="Q156" s="289">
        <f>VLOOKUP(A156,'K21'!$A$4:$CI$359,3)</f>
        <v>4545</v>
      </c>
      <c r="R156" s="289">
        <f>VLOOKUP(A156,'K21'!$A$4:$BV$359,26)</f>
        <v>151255.75399999999</v>
      </c>
      <c r="S156" s="517"/>
      <c r="T156" s="517"/>
      <c r="U156" s="517"/>
      <c r="V156" s="517"/>
    </row>
    <row r="157" spans="1:22" ht="13">
      <c r="A157" s="755">
        <v>3418</v>
      </c>
      <c r="B157" s="756" t="s">
        <v>833</v>
      </c>
      <c r="C157" s="289">
        <f>K0kommunestruktur2020!C157</f>
        <v>7544</v>
      </c>
      <c r="D157" s="289">
        <f>K0kommunestruktur2020!D157</f>
        <v>131663</v>
      </c>
      <c r="E157" s="289">
        <f>K0kommunestruktur2020!E157</f>
        <v>7561</v>
      </c>
      <c r="F157" s="289">
        <f>K0kommunestruktur2020!F157</f>
        <v>141663</v>
      </c>
      <c r="G157" s="289">
        <f>K0kommunestruktur2020!G157</f>
        <v>7456</v>
      </c>
      <c r="H157" s="289">
        <f>K0kommunestruktur2020!H157</f>
        <v>150457</v>
      </c>
      <c r="I157" s="289">
        <f>K0kommunestruktur2020!I157</f>
        <v>7329</v>
      </c>
      <c r="J157" s="289">
        <f>K0kommunestruktur2020!J157</f>
        <v>157341</v>
      </c>
      <c r="K157" s="289">
        <f>K0kommunestruktur2020!K157</f>
        <v>7279</v>
      </c>
      <c r="L157" s="289">
        <f>K0kommunestruktur2020!L157</f>
        <v>162251</v>
      </c>
      <c r="M157" s="289">
        <f>K0kommunestruktur2020!M157</f>
        <v>7214</v>
      </c>
      <c r="N157" s="289">
        <f>K0kommunestruktur2020!N157</f>
        <v>163873</v>
      </c>
      <c r="O157" s="289">
        <f>K0kommunestruktur2020!O157</f>
        <v>7203</v>
      </c>
      <c r="P157" s="289">
        <f>K0kommunestruktur2020!P157</f>
        <v>162820</v>
      </c>
      <c r="Q157" s="289">
        <f>VLOOKUP(A157,'K21'!$A$4:$CI$359,3)</f>
        <v>7227</v>
      </c>
      <c r="R157" s="289">
        <f>VLOOKUP(A157,'K21'!$A$4:$BV$359,26)</f>
        <v>187185.606</v>
      </c>
      <c r="S157" s="517"/>
      <c r="T157" s="517"/>
      <c r="U157" s="517"/>
      <c r="V157" s="517"/>
    </row>
    <row r="158" spans="1:22" ht="13">
      <c r="A158" s="755">
        <v>3419</v>
      </c>
      <c r="B158" s="756" t="s">
        <v>799</v>
      </c>
      <c r="C158" s="289">
        <f>K0kommunestruktur2020!C158</f>
        <v>3783</v>
      </c>
      <c r="D158" s="289">
        <f>K0kommunestruktur2020!D158</f>
        <v>67464</v>
      </c>
      <c r="E158" s="289">
        <f>K0kommunestruktur2020!E158</f>
        <v>3790</v>
      </c>
      <c r="F158" s="289">
        <f>K0kommunestruktur2020!F158</f>
        <v>72785</v>
      </c>
      <c r="G158" s="289">
        <f>K0kommunestruktur2020!G158</f>
        <v>3760</v>
      </c>
      <c r="H158" s="289">
        <f>K0kommunestruktur2020!H158</f>
        <v>79771</v>
      </c>
      <c r="I158" s="289">
        <f>K0kommunestruktur2020!I158</f>
        <v>3743</v>
      </c>
      <c r="J158" s="289">
        <f>K0kommunestruktur2020!J158</f>
        <v>80622</v>
      </c>
      <c r="K158" s="289">
        <f>K0kommunestruktur2020!K158</f>
        <v>3680</v>
      </c>
      <c r="L158" s="289">
        <f>K0kommunestruktur2020!L158</f>
        <v>81489</v>
      </c>
      <c r="M158" s="289">
        <f>K0kommunestruktur2020!M158</f>
        <v>3705</v>
      </c>
      <c r="N158" s="289">
        <f>K0kommunestruktur2020!N158</f>
        <v>84330</v>
      </c>
      <c r="O158" s="289">
        <f>K0kommunestruktur2020!O158</f>
        <v>3662</v>
      </c>
      <c r="P158" s="289">
        <f>K0kommunestruktur2020!P158</f>
        <v>83140</v>
      </c>
      <c r="Q158" s="289">
        <f>VLOOKUP(A158,'K21'!$A$4:$CI$359,3)</f>
        <v>3587</v>
      </c>
      <c r="R158" s="289">
        <f>VLOOKUP(A158,'K21'!$A$4:$BV$359,26)</f>
        <v>94110.138000000006</v>
      </c>
      <c r="S158" s="517"/>
      <c r="T158" s="517"/>
      <c r="U158" s="517"/>
      <c r="V158" s="517"/>
    </row>
    <row r="159" spans="1:22" ht="13">
      <c r="A159" s="755">
        <v>3420</v>
      </c>
      <c r="B159" s="756" t="s">
        <v>834</v>
      </c>
      <c r="C159" s="289">
        <f>K0kommunestruktur2020!C159</f>
        <v>20563</v>
      </c>
      <c r="D159" s="289">
        <f>K0kommunestruktur2020!D159</f>
        <v>413285</v>
      </c>
      <c r="E159" s="289">
        <f>K0kommunestruktur2020!E159</f>
        <v>20794</v>
      </c>
      <c r="F159" s="289">
        <f>K0kommunestruktur2020!F159</f>
        <v>442451</v>
      </c>
      <c r="G159" s="289">
        <f>K0kommunestruktur2020!G159</f>
        <v>21030</v>
      </c>
      <c r="H159" s="289">
        <f>K0kommunestruktur2020!H159</f>
        <v>469925</v>
      </c>
      <c r="I159" s="289">
        <f>K0kommunestruktur2020!I159</f>
        <v>21086</v>
      </c>
      <c r="J159" s="289">
        <f>K0kommunestruktur2020!J159</f>
        <v>490237</v>
      </c>
      <c r="K159" s="289">
        <f>K0kommunestruktur2020!K159</f>
        <v>21123</v>
      </c>
      <c r="L159" s="289">
        <f>K0kommunestruktur2020!L159</f>
        <v>510655</v>
      </c>
      <c r="M159" s="289">
        <f>K0kommunestruktur2020!M159</f>
        <v>21191</v>
      </c>
      <c r="N159" s="289">
        <f>K0kommunestruktur2020!N159</f>
        <v>535565</v>
      </c>
      <c r="O159" s="289">
        <f>K0kommunestruktur2020!O159</f>
        <v>21254</v>
      </c>
      <c r="P159" s="289">
        <f>K0kommunestruktur2020!P159</f>
        <v>533065</v>
      </c>
      <c r="Q159" s="289">
        <f>VLOOKUP(A159,'K21'!$A$4:$CI$359,3)</f>
        <v>21292</v>
      </c>
      <c r="R159" s="289">
        <f>VLOOKUP(A159,'K21'!$A$4:$BV$359,26)</f>
        <v>618243.85</v>
      </c>
      <c r="S159" s="517"/>
      <c r="T159" s="517"/>
      <c r="U159" s="517"/>
      <c r="V159" s="517"/>
    </row>
    <row r="160" spans="1:22" ht="13">
      <c r="A160" s="755">
        <v>3421</v>
      </c>
      <c r="B160" s="756" t="s">
        <v>835</v>
      </c>
      <c r="C160" s="289">
        <f>K0kommunestruktur2020!C160</f>
        <v>6621</v>
      </c>
      <c r="D160" s="289">
        <f>K0kommunestruktur2020!D160</f>
        <v>123473</v>
      </c>
      <c r="E160" s="289">
        <f>K0kommunestruktur2020!E160</f>
        <v>6569</v>
      </c>
      <c r="F160" s="289">
        <f>K0kommunestruktur2020!F160</f>
        <v>128694</v>
      </c>
      <c r="G160" s="289">
        <f>K0kommunestruktur2020!G160</f>
        <v>6525</v>
      </c>
      <c r="H160" s="289">
        <f>K0kommunestruktur2020!H160</f>
        <v>143523</v>
      </c>
      <c r="I160" s="289">
        <f>K0kommunestruktur2020!I160</f>
        <v>6550</v>
      </c>
      <c r="J160" s="289">
        <f>K0kommunestruktur2020!J160</f>
        <v>155053</v>
      </c>
      <c r="K160" s="289">
        <f>K0kommunestruktur2020!K160</f>
        <v>6567</v>
      </c>
      <c r="L160" s="289">
        <f>K0kommunestruktur2020!L160</f>
        <v>169452</v>
      </c>
      <c r="M160" s="289">
        <f>K0kommunestruktur2020!M160</f>
        <v>6607</v>
      </c>
      <c r="N160" s="289">
        <f>K0kommunestruktur2020!N160</f>
        <v>174031</v>
      </c>
      <c r="O160" s="289">
        <f>K0kommunestruktur2020!O160</f>
        <v>6627</v>
      </c>
      <c r="P160" s="289">
        <f>K0kommunestruktur2020!P160</f>
        <v>172622</v>
      </c>
      <c r="Q160" s="289">
        <f>VLOOKUP(A160,'K21'!$A$4:$CI$359,3)</f>
        <v>6580</v>
      </c>
      <c r="R160" s="289">
        <f>VLOOKUP(A160,'K21'!$A$4:$BV$359,26)</f>
        <v>195306.61600000001</v>
      </c>
      <c r="S160" s="517"/>
      <c r="T160" s="517"/>
      <c r="U160" s="517"/>
      <c r="V160" s="517"/>
    </row>
    <row r="161" spans="1:22" ht="13">
      <c r="A161" s="755">
        <v>3422</v>
      </c>
      <c r="B161" s="756" t="s">
        <v>836</v>
      </c>
      <c r="C161" s="289">
        <f>K0kommunestruktur2020!C161</f>
        <v>4455</v>
      </c>
      <c r="D161" s="289">
        <f>K0kommunestruktur2020!D161</f>
        <v>86844</v>
      </c>
      <c r="E161" s="289">
        <f>K0kommunestruktur2020!E161</f>
        <v>4456</v>
      </c>
      <c r="F161" s="289">
        <f>K0kommunestruktur2020!F161</f>
        <v>91773</v>
      </c>
      <c r="G161" s="289">
        <f>K0kommunestruktur2020!G161</f>
        <v>4429</v>
      </c>
      <c r="H161" s="289">
        <f>K0kommunestruktur2020!H161</f>
        <v>97563</v>
      </c>
      <c r="I161" s="289">
        <f>K0kommunestruktur2020!I161</f>
        <v>4518</v>
      </c>
      <c r="J161" s="289">
        <f>K0kommunestruktur2020!J161</f>
        <v>101766</v>
      </c>
      <c r="K161" s="289">
        <f>K0kommunestruktur2020!K161</f>
        <v>4480</v>
      </c>
      <c r="L161" s="289">
        <f>K0kommunestruktur2020!L161</f>
        <v>103252</v>
      </c>
      <c r="M161" s="289">
        <f>K0kommunestruktur2020!M161</f>
        <v>4407</v>
      </c>
      <c r="N161" s="289">
        <f>K0kommunestruktur2020!N161</f>
        <v>107897</v>
      </c>
      <c r="O161" s="289">
        <f>K0kommunestruktur2020!O161</f>
        <v>4356</v>
      </c>
      <c r="P161" s="289">
        <f>K0kommunestruktur2020!P161</f>
        <v>106391</v>
      </c>
      <c r="Q161" s="289">
        <f>VLOOKUP(A161,'K21'!$A$4:$CI$359,3)</f>
        <v>4338</v>
      </c>
      <c r="R161" s="289">
        <f>VLOOKUP(A161,'K21'!$A$4:$BV$359,26)</f>
        <v>121169.05899999999</v>
      </c>
      <c r="S161" s="517"/>
      <c r="T161" s="517"/>
      <c r="U161" s="517"/>
      <c r="V161" s="517"/>
    </row>
    <row r="162" spans="1:22" ht="13">
      <c r="A162" s="755">
        <v>3423</v>
      </c>
      <c r="B162" s="756" t="s">
        <v>837</v>
      </c>
      <c r="C162" s="289">
        <f>K0kommunestruktur2020!C162</f>
        <v>2699</v>
      </c>
      <c r="D162" s="289">
        <f>K0kommunestruktur2020!D162</f>
        <v>45450</v>
      </c>
      <c r="E162" s="289">
        <f>K0kommunestruktur2020!E162</f>
        <v>2619</v>
      </c>
      <c r="F162" s="289">
        <f>K0kommunestruktur2020!F162</f>
        <v>46804</v>
      </c>
      <c r="G162" s="289">
        <f>K0kommunestruktur2020!G162</f>
        <v>2600</v>
      </c>
      <c r="H162" s="289">
        <f>K0kommunestruktur2020!H162</f>
        <v>51442</v>
      </c>
      <c r="I162" s="289">
        <f>K0kommunestruktur2020!I162</f>
        <v>2530</v>
      </c>
      <c r="J162" s="289">
        <f>K0kommunestruktur2020!J162</f>
        <v>55098</v>
      </c>
      <c r="K162" s="289">
        <f>K0kommunestruktur2020!K162</f>
        <v>2490</v>
      </c>
      <c r="L162" s="289">
        <f>K0kommunestruktur2020!L162</f>
        <v>52624</v>
      </c>
      <c r="M162" s="289">
        <f>K0kommunestruktur2020!M162</f>
        <v>2459</v>
      </c>
      <c r="N162" s="289">
        <f>K0kommunestruktur2020!N162</f>
        <v>53442</v>
      </c>
      <c r="O162" s="289">
        <f>K0kommunestruktur2020!O162</f>
        <v>2419</v>
      </c>
      <c r="P162" s="289">
        <f>K0kommunestruktur2020!P162</f>
        <v>53832</v>
      </c>
      <c r="Q162" s="289">
        <f>VLOOKUP(A162,'K21'!$A$4:$CI$359,3)</f>
        <v>2378</v>
      </c>
      <c r="R162" s="289">
        <f>VLOOKUP(A162,'K21'!$A$4:$BV$359,26)</f>
        <v>59878.43</v>
      </c>
      <c r="S162" s="517"/>
      <c r="T162" s="517"/>
      <c r="U162" s="517"/>
      <c r="V162" s="517"/>
    </row>
    <row r="163" spans="1:22" ht="13">
      <c r="A163" s="755">
        <v>3424</v>
      </c>
      <c r="B163" s="756" t="s">
        <v>838</v>
      </c>
      <c r="C163" s="289">
        <f>K0kommunestruktur2020!C163</f>
        <v>1883</v>
      </c>
      <c r="D163" s="289">
        <f>K0kommunestruktur2020!D163</f>
        <v>37165</v>
      </c>
      <c r="E163" s="289">
        <f>K0kommunestruktur2020!E163</f>
        <v>1885</v>
      </c>
      <c r="F163" s="289">
        <f>K0kommunestruktur2020!F163</f>
        <v>39705</v>
      </c>
      <c r="G163" s="289">
        <f>K0kommunestruktur2020!G163</f>
        <v>1881</v>
      </c>
      <c r="H163" s="289">
        <f>K0kommunestruktur2020!H163</f>
        <v>41109</v>
      </c>
      <c r="I163" s="289">
        <f>K0kommunestruktur2020!I163</f>
        <v>1858</v>
      </c>
      <c r="J163" s="289">
        <f>K0kommunestruktur2020!J163</f>
        <v>41486</v>
      </c>
      <c r="K163" s="289">
        <f>K0kommunestruktur2020!K163</f>
        <v>1827</v>
      </c>
      <c r="L163" s="289">
        <f>K0kommunestruktur2020!L163</f>
        <v>42432</v>
      </c>
      <c r="M163" s="289">
        <f>K0kommunestruktur2020!M163</f>
        <v>1791</v>
      </c>
      <c r="N163" s="289">
        <f>K0kommunestruktur2020!N163</f>
        <v>42521</v>
      </c>
      <c r="O163" s="289">
        <f>K0kommunestruktur2020!O163</f>
        <v>1780</v>
      </c>
      <c r="P163" s="289">
        <f>K0kommunestruktur2020!P163</f>
        <v>41561</v>
      </c>
      <c r="Q163" s="289">
        <f>VLOOKUP(A163,'K21'!$A$4:$CI$359,3)</f>
        <v>1741</v>
      </c>
      <c r="R163" s="289">
        <f>VLOOKUP(A163,'K21'!$A$4:$BV$359,26)</f>
        <v>47201.71</v>
      </c>
      <c r="S163" s="517"/>
      <c r="T163" s="517"/>
      <c r="U163" s="517"/>
      <c r="V163" s="517"/>
    </row>
    <row r="164" spans="1:22" ht="13">
      <c r="A164" s="755">
        <v>3425</v>
      </c>
      <c r="B164" s="756" t="s">
        <v>839</v>
      </c>
      <c r="C164" s="289">
        <f>K0kommunestruktur2020!C164</f>
        <v>1345</v>
      </c>
      <c r="D164" s="289">
        <f>K0kommunestruktur2020!D164</f>
        <v>21656</v>
      </c>
      <c r="E164" s="289">
        <f>K0kommunestruktur2020!E164</f>
        <v>1359</v>
      </c>
      <c r="F164" s="289">
        <f>K0kommunestruktur2020!F164</f>
        <v>23795</v>
      </c>
      <c r="G164" s="289">
        <f>K0kommunestruktur2020!G164</f>
        <v>1305</v>
      </c>
      <c r="H164" s="289">
        <f>K0kommunestruktur2020!H164</f>
        <v>24758</v>
      </c>
      <c r="I164" s="289">
        <f>K0kommunestruktur2020!I164</f>
        <v>1274</v>
      </c>
      <c r="J164" s="289">
        <f>K0kommunestruktur2020!J164</f>
        <v>26109</v>
      </c>
      <c r="K164" s="289">
        <f>K0kommunestruktur2020!K164</f>
        <v>1294</v>
      </c>
      <c r="L164" s="289">
        <f>K0kommunestruktur2020!L164</f>
        <v>27184</v>
      </c>
      <c r="M164" s="289">
        <f>K0kommunestruktur2020!M164</f>
        <v>1286</v>
      </c>
      <c r="N164" s="289">
        <f>K0kommunestruktur2020!N164</f>
        <v>29586</v>
      </c>
      <c r="O164" s="289">
        <f>K0kommunestruktur2020!O164</f>
        <v>1268</v>
      </c>
      <c r="P164" s="289">
        <f>K0kommunestruktur2020!P164</f>
        <v>28030</v>
      </c>
      <c r="Q164" s="289">
        <f>VLOOKUP(A164,'K21'!$A$4:$CI$359,3)</f>
        <v>1250</v>
      </c>
      <c r="R164" s="289">
        <f>VLOOKUP(A164,'K21'!$A$4:$BV$359,26)</f>
        <v>31035.309000000001</v>
      </c>
      <c r="S164" s="517"/>
      <c r="T164" s="517"/>
      <c r="U164" s="517"/>
      <c r="V164" s="517"/>
    </row>
    <row r="165" spans="1:22" ht="13">
      <c r="A165" s="755">
        <v>3426</v>
      </c>
      <c r="B165" s="756" t="s">
        <v>840</v>
      </c>
      <c r="C165" s="289">
        <f>K0kommunestruktur2020!C165</f>
        <v>1658</v>
      </c>
      <c r="D165" s="289">
        <f>K0kommunestruktur2020!D165</f>
        <v>27453</v>
      </c>
      <c r="E165" s="289">
        <f>K0kommunestruktur2020!E165</f>
        <v>1656</v>
      </c>
      <c r="F165" s="289">
        <f>K0kommunestruktur2020!F165</f>
        <v>27218</v>
      </c>
      <c r="G165" s="289">
        <f>K0kommunestruktur2020!G165</f>
        <v>1620</v>
      </c>
      <c r="H165" s="289">
        <f>K0kommunestruktur2020!H165</f>
        <v>30445</v>
      </c>
      <c r="I165" s="289">
        <f>K0kommunestruktur2020!I165</f>
        <v>1620</v>
      </c>
      <c r="J165" s="289">
        <f>K0kommunestruktur2020!J165</f>
        <v>29844</v>
      </c>
      <c r="K165" s="289">
        <f>K0kommunestruktur2020!K165</f>
        <v>1553</v>
      </c>
      <c r="L165" s="289">
        <f>K0kommunestruktur2020!L165</f>
        <v>29834</v>
      </c>
      <c r="M165" s="289">
        <f>K0kommunestruktur2020!M165</f>
        <v>1551</v>
      </c>
      <c r="N165" s="289">
        <f>K0kommunestruktur2020!N165</f>
        <v>31981</v>
      </c>
      <c r="O165" s="289">
        <f>K0kommunestruktur2020!O165</f>
        <v>1562</v>
      </c>
      <c r="P165" s="289">
        <f>K0kommunestruktur2020!P165</f>
        <v>32457</v>
      </c>
      <c r="Q165" s="289">
        <f>VLOOKUP(A165,'K21'!$A$4:$CI$359,3)</f>
        <v>1563</v>
      </c>
      <c r="R165" s="289">
        <f>VLOOKUP(A165,'K21'!$A$4:$BV$359,26)</f>
        <v>36633.373</v>
      </c>
      <c r="S165" s="517"/>
      <c r="T165" s="517"/>
      <c r="U165" s="517"/>
      <c r="V165" s="517"/>
    </row>
    <row r="166" spans="1:22" ht="13">
      <c r="A166" s="755">
        <v>3427</v>
      </c>
      <c r="B166" s="756" t="s">
        <v>841</v>
      </c>
      <c r="C166" s="289">
        <f>K0kommunestruktur2020!C166</f>
        <v>5549</v>
      </c>
      <c r="D166" s="289">
        <f>K0kommunestruktur2020!D166</f>
        <v>107680</v>
      </c>
      <c r="E166" s="289">
        <f>K0kommunestruktur2020!E166</f>
        <v>5562</v>
      </c>
      <c r="F166" s="289">
        <f>K0kommunestruktur2020!F166</f>
        <v>113932</v>
      </c>
      <c r="G166" s="289">
        <f>K0kommunestruktur2020!G166</f>
        <v>5580</v>
      </c>
      <c r="H166" s="289">
        <f>K0kommunestruktur2020!H166</f>
        <v>122027</v>
      </c>
      <c r="I166" s="289">
        <f>K0kommunestruktur2020!I166</f>
        <v>5584</v>
      </c>
      <c r="J166" s="289">
        <f>K0kommunestruktur2020!J166</f>
        <v>130470</v>
      </c>
      <c r="K166" s="289">
        <f>K0kommunestruktur2020!K166</f>
        <v>5605</v>
      </c>
      <c r="L166" s="289">
        <f>K0kommunestruktur2020!L166</f>
        <v>136219</v>
      </c>
      <c r="M166" s="289">
        <f>K0kommunestruktur2020!M166</f>
        <v>5591</v>
      </c>
      <c r="N166" s="289">
        <f>K0kommunestruktur2020!N166</f>
        <v>138237</v>
      </c>
      <c r="O166" s="289">
        <f>K0kommunestruktur2020!O166</f>
        <v>5578</v>
      </c>
      <c r="P166" s="289">
        <f>K0kommunestruktur2020!P166</f>
        <v>140883</v>
      </c>
      <c r="Q166" s="289">
        <f>VLOOKUP(A166,'K21'!$A$4:$CI$359,3)</f>
        <v>5537</v>
      </c>
      <c r="R166" s="289">
        <f>VLOOKUP(A166,'K21'!$A$4:$BV$359,26)</f>
        <v>157024.72899999999</v>
      </c>
      <c r="S166" s="517"/>
      <c r="T166" s="517"/>
      <c r="U166" s="517"/>
      <c r="V166" s="517"/>
    </row>
    <row r="167" spans="1:22" ht="13">
      <c r="A167" s="755">
        <v>3428</v>
      </c>
      <c r="B167" s="756" t="s">
        <v>842</v>
      </c>
      <c r="C167" s="289">
        <f>K0kommunestruktur2020!C167</f>
        <v>2432</v>
      </c>
      <c r="D167" s="289">
        <f>K0kommunestruktur2020!D167</f>
        <v>48352</v>
      </c>
      <c r="E167" s="289">
        <f>K0kommunestruktur2020!E167</f>
        <v>2418</v>
      </c>
      <c r="F167" s="289">
        <f>K0kommunestruktur2020!F167</f>
        <v>49066</v>
      </c>
      <c r="G167" s="289">
        <f>K0kommunestruktur2020!G167</f>
        <v>2426</v>
      </c>
      <c r="H167" s="289">
        <f>K0kommunestruktur2020!H167</f>
        <v>52913</v>
      </c>
      <c r="I167" s="289">
        <f>K0kommunestruktur2020!I167</f>
        <v>2441</v>
      </c>
      <c r="J167" s="289">
        <f>K0kommunestruktur2020!J167</f>
        <v>59525</v>
      </c>
      <c r="K167" s="289">
        <f>K0kommunestruktur2020!K167</f>
        <v>2424</v>
      </c>
      <c r="L167" s="289">
        <f>K0kommunestruktur2020!L167</f>
        <v>59910</v>
      </c>
      <c r="M167" s="289">
        <f>K0kommunestruktur2020!M167</f>
        <v>2418</v>
      </c>
      <c r="N167" s="289">
        <f>K0kommunestruktur2020!N167</f>
        <v>59219</v>
      </c>
      <c r="O167" s="289">
        <f>K0kommunestruktur2020!O167</f>
        <v>2432</v>
      </c>
      <c r="P167" s="289">
        <f>K0kommunestruktur2020!P167</f>
        <v>59798</v>
      </c>
      <c r="Q167" s="289">
        <f>VLOOKUP(A167,'K21'!$A$4:$CI$359,3)</f>
        <v>2405</v>
      </c>
      <c r="R167" s="289">
        <f>VLOOKUP(A167,'K21'!$A$4:$BV$359,26)</f>
        <v>69419.739000000001</v>
      </c>
      <c r="S167" s="517"/>
      <c r="T167" s="517"/>
      <c r="U167" s="517"/>
      <c r="V167" s="517"/>
    </row>
    <row r="168" spans="1:22" ht="13">
      <c r="A168" s="755">
        <v>3429</v>
      </c>
      <c r="B168" s="756" t="s">
        <v>843</v>
      </c>
      <c r="C168" s="289">
        <f>K0kommunestruktur2020!C168</f>
        <v>1631</v>
      </c>
      <c r="D168" s="289">
        <f>K0kommunestruktur2020!D168</f>
        <v>28026</v>
      </c>
      <c r="E168" s="289">
        <f>K0kommunestruktur2020!E168</f>
        <v>1597</v>
      </c>
      <c r="F168" s="289">
        <f>K0kommunestruktur2020!F168</f>
        <v>29300</v>
      </c>
      <c r="G168" s="289">
        <f>K0kommunestruktur2020!G168</f>
        <v>1592</v>
      </c>
      <c r="H168" s="289">
        <f>K0kommunestruktur2020!H168</f>
        <v>31621</v>
      </c>
      <c r="I168" s="289">
        <f>K0kommunestruktur2020!I168</f>
        <v>1577</v>
      </c>
      <c r="J168" s="289">
        <f>K0kommunestruktur2020!J168</f>
        <v>31809</v>
      </c>
      <c r="K168" s="289">
        <f>K0kommunestruktur2020!K168</f>
        <v>1569</v>
      </c>
      <c r="L168" s="289">
        <f>K0kommunestruktur2020!L168</f>
        <v>32557</v>
      </c>
      <c r="M168" s="289">
        <f>K0kommunestruktur2020!M168</f>
        <v>1577</v>
      </c>
      <c r="N168" s="289">
        <f>K0kommunestruktur2020!N168</f>
        <v>35614</v>
      </c>
      <c r="O168" s="289">
        <f>K0kommunestruktur2020!O168</f>
        <v>1545</v>
      </c>
      <c r="P168" s="289">
        <f>K0kommunestruktur2020!P168</f>
        <v>35491</v>
      </c>
      <c r="Q168" s="289">
        <f>VLOOKUP(A168,'K21'!$A$4:$CI$359,3)</f>
        <v>1518</v>
      </c>
      <c r="R168" s="289">
        <f>VLOOKUP(A168,'K21'!$A$4:$BV$359,26)</f>
        <v>38539.900999999998</v>
      </c>
      <c r="S168" s="517"/>
      <c r="T168" s="517"/>
      <c r="U168" s="517"/>
      <c r="V168" s="517"/>
    </row>
    <row r="169" spans="1:22" ht="13">
      <c r="A169" s="755">
        <v>3430</v>
      </c>
      <c r="B169" s="756" t="s">
        <v>844</v>
      </c>
      <c r="C169" s="289">
        <f>K0kommunestruktur2020!C169</f>
        <v>2013</v>
      </c>
      <c r="D169" s="289">
        <f>K0kommunestruktur2020!D169</f>
        <v>35911</v>
      </c>
      <c r="E169" s="289">
        <f>K0kommunestruktur2020!E169</f>
        <v>1991</v>
      </c>
      <c r="F169" s="289">
        <f>K0kommunestruktur2020!F169</f>
        <v>38018</v>
      </c>
      <c r="G169" s="289">
        <f>K0kommunestruktur2020!G169</f>
        <v>1956</v>
      </c>
      <c r="H169" s="289">
        <f>K0kommunestruktur2020!H169</f>
        <v>40273</v>
      </c>
      <c r="I169" s="289">
        <f>K0kommunestruktur2020!I169</f>
        <v>1963</v>
      </c>
      <c r="J169" s="289">
        <f>K0kommunestruktur2020!J169</f>
        <v>40847</v>
      </c>
      <c r="K169" s="289">
        <f>K0kommunestruktur2020!K169</f>
        <v>1936</v>
      </c>
      <c r="L169" s="289">
        <f>K0kommunestruktur2020!L169</f>
        <v>42580</v>
      </c>
      <c r="M169" s="289">
        <f>K0kommunestruktur2020!M169</f>
        <v>1912</v>
      </c>
      <c r="N169" s="289">
        <f>K0kommunestruktur2020!N169</f>
        <v>46734</v>
      </c>
      <c r="O169" s="289">
        <f>K0kommunestruktur2020!O169</f>
        <v>1891</v>
      </c>
      <c r="P169" s="289">
        <f>K0kommunestruktur2020!P169</f>
        <v>68420</v>
      </c>
      <c r="Q169" s="289">
        <f>VLOOKUP(A169,'K21'!$A$4:$CI$359,3)</f>
        <v>1870</v>
      </c>
      <c r="R169" s="289">
        <f>VLOOKUP(A169,'K21'!$A$4:$BV$359,26)</f>
        <v>58126.245999999999</v>
      </c>
      <c r="S169" s="517"/>
      <c r="T169" s="517"/>
      <c r="U169" s="517"/>
      <c r="V169" s="517"/>
    </row>
    <row r="170" spans="1:22" ht="13">
      <c r="A170" s="755">
        <v>3431</v>
      </c>
      <c r="B170" s="756" t="s">
        <v>847</v>
      </c>
      <c r="C170" s="289">
        <f>K0kommunestruktur2020!C170</f>
        <v>2704</v>
      </c>
      <c r="D170" s="289">
        <f>K0kommunestruktur2020!D170</f>
        <v>50086</v>
      </c>
      <c r="E170" s="289">
        <f>K0kommunestruktur2020!E170</f>
        <v>2745</v>
      </c>
      <c r="F170" s="289">
        <f>K0kommunestruktur2020!F170</f>
        <v>54394</v>
      </c>
      <c r="G170" s="289">
        <f>K0kommunestruktur2020!G170</f>
        <v>2701</v>
      </c>
      <c r="H170" s="289">
        <f>K0kommunestruktur2020!H170</f>
        <v>59477</v>
      </c>
      <c r="I170" s="289">
        <f>K0kommunestruktur2020!I170</f>
        <v>2675</v>
      </c>
      <c r="J170" s="289">
        <f>K0kommunestruktur2020!J170</f>
        <v>58760</v>
      </c>
      <c r="K170" s="289">
        <f>K0kommunestruktur2020!K170</f>
        <v>2642</v>
      </c>
      <c r="L170" s="289">
        <f>K0kommunestruktur2020!L170</f>
        <v>61104</v>
      </c>
      <c r="M170" s="289">
        <f>K0kommunestruktur2020!M170</f>
        <v>2615</v>
      </c>
      <c r="N170" s="289">
        <f>K0kommunestruktur2020!N170</f>
        <v>62336</v>
      </c>
      <c r="O170" s="289">
        <f>K0kommunestruktur2020!O170</f>
        <v>2553</v>
      </c>
      <c r="P170" s="289">
        <f>K0kommunestruktur2020!P170</f>
        <v>58865</v>
      </c>
      <c r="Q170" s="289">
        <f>VLOOKUP(A170,'K21'!$A$4:$CI$359,3)</f>
        <v>2512</v>
      </c>
      <c r="R170" s="289">
        <f>VLOOKUP(A170,'K21'!$A$4:$BV$359,26)</f>
        <v>65512.31</v>
      </c>
      <c r="S170" s="517"/>
      <c r="T170" s="517"/>
      <c r="U170" s="517"/>
      <c r="V170" s="517"/>
    </row>
    <row r="171" spans="1:22" ht="13">
      <c r="A171" s="755">
        <v>3432</v>
      </c>
      <c r="B171" s="756" t="s">
        <v>848</v>
      </c>
      <c r="C171" s="289">
        <f>K0kommunestruktur2020!C171</f>
        <v>2076</v>
      </c>
      <c r="D171" s="289">
        <f>K0kommunestruktur2020!D171</f>
        <v>38506</v>
      </c>
      <c r="E171" s="289">
        <f>K0kommunestruktur2020!E171</f>
        <v>2059</v>
      </c>
      <c r="F171" s="289">
        <f>K0kommunestruktur2020!F171</f>
        <v>41423</v>
      </c>
      <c r="G171" s="289">
        <f>K0kommunestruktur2020!G171</f>
        <v>2055</v>
      </c>
      <c r="H171" s="289">
        <f>K0kommunestruktur2020!H171</f>
        <v>46978</v>
      </c>
      <c r="I171" s="289">
        <f>K0kommunestruktur2020!I171</f>
        <v>2048</v>
      </c>
      <c r="J171" s="289">
        <f>K0kommunestruktur2020!J171</f>
        <v>48600</v>
      </c>
      <c r="K171" s="289">
        <f>K0kommunestruktur2020!K171</f>
        <v>2038</v>
      </c>
      <c r="L171" s="289">
        <f>K0kommunestruktur2020!L171</f>
        <v>49147</v>
      </c>
      <c r="M171" s="289">
        <f>K0kommunestruktur2020!M171</f>
        <v>2009</v>
      </c>
      <c r="N171" s="289">
        <f>K0kommunestruktur2020!N171</f>
        <v>49891</v>
      </c>
      <c r="O171" s="289">
        <f>K0kommunestruktur2020!O171</f>
        <v>1975</v>
      </c>
      <c r="P171" s="289">
        <f>K0kommunestruktur2020!P171</f>
        <v>48613</v>
      </c>
      <c r="Q171" s="289">
        <f>VLOOKUP(A171,'K21'!$A$4:$CI$359,3)</f>
        <v>1980</v>
      </c>
      <c r="R171" s="289">
        <f>VLOOKUP(A171,'K21'!$A$4:$BV$359,26)</f>
        <v>52668.099000000002</v>
      </c>
      <c r="S171" s="517"/>
      <c r="T171" s="517"/>
      <c r="U171" s="517"/>
      <c r="V171" s="517"/>
    </row>
    <row r="172" spans="1:22" ht="13">
      <c r="A172" s="755">
        <v>3433</v>
      </c>
      <c r="B172" s="756" t="s">
        <v>849</v>
      </c>
      <c r="C172" s="289">
        <f>K0kommunestruktur2020!C172</f>
        <v>2264</v>
      </c>
      <c r="D172" s="289">
        <f>K0kommunestruktur2020!D172</f>
        <v>54288</v>
      </c>
      <c r="E172" s="289">
        <f>K0kommunestruktur2020!E172</f>
        <v>2245</v>
      </c>
      <c r="F172" s="289">
        <f>K0kommunestruktur2020!F172</f>
        <v>57843</v>
      </c>
      <c r="G172" s="289">
        <f>K0kommunestruktur2020!G172</f>
        <v>2204</v>
      </c>
      <c r="H172" s="289">
        <f>K0kommunestruktur2020!H172</f>
        <v>56347</v>
      </c>
      <c r="I172" s="289">
        <f>K0kommunestruktur2020!I172</f>
        <v>2202</v>
      </c>
      <c r="J172" s="289">
        <f>K0kommunestruktur2020!J172</f>
        <v>57765</v>
      </c>
      <c r="K172" s="289">
        <f>K0kommunestruktur2020!K172</f>
        <v>2179</v>
      </c>
      <c r="L172" s="289">
        <f>K0kommunestruktur2020!L172</f>
        <v>59712</v>
      </c>
      <c r="M172" s="289">
        <f>K0kommunestruktur2020!M172</f>
        <v>2204</v>
      </c>
      <c r="N172" s="289">
        <f>K0kommunestruktur2020!N172</f>
        <v>61022</v>
      </c>
      <c r="O172" s="289">
        <f>K0kommunestruktur2020!O172</f>
        <v>2197</v>
      </c>
      <c r="P172" s="289">
        <f>K0kommunestruktur2020!P172</f>
        <v>62348</v>
      </c>
      <c r="Q172" s="289">
        <f>VLOOKUP(A172,'K21'!$A$4:$CI$359,3)</f>
        <v>2183</v>
      </c>
      <c r="R172" s="289">
        <f>VLOOKUP(A172,'K21'!$A$4:$BV$359,26)</f>
        <v>67408.353000000003</v>
      </c>
      <c r="S172" s="517"/>
      <c r="T172" s="517"/>
      <c r="U172" s="517"/>
      <c r="V172" s="517"/>
    </row>
    <row r="173" spans="1:22" ht="13">
      <c r="A173" s="755">
        <v>3434</v>
      </c>
      <c r="B173" s="756" t="s">
        <v>850</v>
      </c>
      <c r="C173" s="289">
        <f>K0kommunestruktur2020!C173</f>
        <v>2361</v>
      </c>
      <c r="D173" s="289">
        <f>K0kommunestruktur2020!D173</f>
        <v>45505</v>
      </c>
      <c r="E173" s="289">
        <f>K0kommunestruktur2020!E173</f>
        <v>2356</v>
      </c>
      <c r="F173" s="289">
        <f>K0kommunestruktur2020!F173</f>
        <v>48209</v>
      </c>
      <c r="G173" s="289">
        <f>K0kommunestruktur2020!G173</f>
        <v>2347</v>
      </c>
      <c r="H173" s="289">
        <f>K0kommunestruktur2020!H173</f>
        <v>50742</v>
      </c>
      <c r="I173" s="289">
        <f>K0kommunestruktur2020!I173</f>
        <v>2360</v>
      </c>
      <c r="J173" s="289">
        <f>K0kommunestruktur2020!J173</f>
        <v>52717</v>
      </c>
      <c r="K173" s="289">
        <f>K0kommunestruktur2020!K173</f>
        <v>2331</v>
      </c>
      <c r="L173" s="289">
        <f>K0kommunestruktur2020!L173</f>
        <v>53712</v>
      </c>
      <c r="M173" s="289">
        <f>K0kommunestruktur2020!M173</f>
        <v>2293</v>
      </c>
      <c r="N173" s="289">
        <f>K0kommunestruktur2020!N173</f>
        <v>55282</v>
      </c>
      <c r="O173" s="289">
        <f>K0kommunestruktur2020!O173</f>
        <v>2228</v>
      </c>
      <c r="P173" s="289">
        <f>K0kommunestruktur2020!P173</f>
        <v>53756</v>
      </c>
      <c r="Q173" s="289">
        <f>VLOOKUP(A173,'K21'!$A$4:$CI$359,3)</f>
        <v>2204</v>
      </c>
      <c r="R173" s="289">
        <f>VLOOKUP(A173,'K21'!$A$4:$BV$359,26)</f>
        <v>59656.925999999999</v>
      </c>
      <c r="S173" s="517"/>
      <c r="T173" s="517"/>
      <c r="U173" s="517"/>
      <c r="V173" s="517"/>
    </row>
    <row r="174" spans="1:22" ht="13">
      <c r="A174" s="755">
        <v>3435</v>
      </c>
      <c r="B174" s="756" t="s">
        <v>851</v>
      </c>
      <c r="C174" s="289">
        <f>K0kommunestruktur2020!C174</f>
        <v>3686</v>
      </c>
      <c r="D174" s="289">
        <f>K0kommunestruktur2020!D174</f>
        <v>67094</v>
      </c>
      <c r="E174" s="289">
        <f>K0kommunestruktur2020!E174</f>
        <v>3675</v>
      </c>
      <c r="F174" s="289">
        <f>K0kommunestruktur2020!F174</f>
        <v>69739</v>
      </c>
      <c r="G174" s="289">
        <f>K0kommunestruktur2020!G174</f>
        <v>3664</v>
      </c>
      <c r="H174" s="289">
        <f>K0kommunestruktur2020!H174</f>
        <v>75013</v>
      </c>
      <c r="I174" s="289">
        <f>K0kommunestruktur2020!I174</f>
        <v>3640</v>
      </c>
      <c r="J174" s="289">
        <f>K0kommunestruktur2020!J174</f>
        <v>75847</v>
      </c>
      <c r="K174" s="289">
        <f>K0kommunestruktur2020!K174</f>
        <v>3638</v>
      </c>
      <c r="L174" s="289">
        <f>K0kommunestruktur2020!L174</f>
        <v>88200</v>
      </c>
      <c r="M174" s="289">
        <f>K0kommunestruktur2020!M174</f>
        <v>3589</v>
      </c>
      <c r="N174" s="289">
        <f>K0kommunestruktur2020!N174</f>
        <v>89927</v>
      </c>
      <c r="O174" s="289">
        <f>K0kommunestruktur2020!O174</f>
        <v>3570</v>
      </c>
      <c r="P174" s="289">
        <f>K0kommunestruktur2020!P174</f>
        <v>85608</v>
      </c>
      <c r="Q174" s="289">
        <f>VLOOKUP(A174,'K21'!$A$4:$CI$359,3)</f>
        <v>3564</v>
      </c>
      <c r="R174" s="289">
        <f>VLOOKUP(A174,'K21'!$A$4:$BV$359,26)</f>
        <v>94632.794999999998</v>
      </c>
      <c r="S174" s="517"/>
      <c r="T174" s="517"/>
      <c r="U174" s="517"/>
      <c r="V174" s="517"/>
    </row>
    <row r="175" spans="1:22" ht="13">
      <c r="A175" s="755">
        <v>3436</v>
      </c>
      <c r="B175" s="756" t="s">
        <v>852</v>
      </c>
      <c r="C175" s="289">
        <f>K0kommunestruktur2020!C175</f>
        <v>5765</v>
      </c>
      <c r="D175" s="289">
        <f>K0kommunestruktur2020!D175</f>
        <v>135027</v>
      </c>
      <c r="E175" s="289">
        <f>K0kommunestruktur2020!E175</f>
        <v>5754</v>
      </c>
      <c r="F175" s="289">
        <f>K0kommunestruktur2020!F175</f>
        <v>147197</v>
      </c>
      <c r="G175" s="289">
        <f>K0kommunestruktur2020!G175</f>
        <v>5741</v>
      </c>
      <c r="H175" s="289">
        <f>K0kommunestruktur2020!H175</f>
        <v>156680</v>
      </c>
      <c r="I175" s="289">
        <f>K0kommunestruktur2020!I175</f>
        <v>5723</v>
      </c>
      <c r="J175" s="289">
        <f>K0kommunestruktur2020!J175</f>
        <v>157240</v>
      </c>
      <c r="K175" s="289">
        <f>K0kommunestruktur2020!K175</f>
        <v>5728</v>
      </c>
      <c r="L175" s="289">
        <f>K0kommunestruktur2020!L175</f>
        <v>163384</v>
      </c>
      <c r="M175" s="289">
        <f>K0kommunestruktur2020!M175</f>
        <v>5742</v>
      </c>
      <c r="N175" s="289">
        <f>K0kommunestruktur2020!N175</f>
        <v>163393</v>
      </c>
      <c r="O175" s="289">
        <f>K0kommunestruktur2020!O175</f>
        <v>5723</v>
      </c>
      <c r="P175" s="289">
        <f>K0kommunestruktur2020!P175</f>
        <v>161716</v>
      </c>
      <c r="Q175" s="289">
        <f>VLOOKUP(A175,'K21'!$A$4:$CI$359,3)</f>
        <v>5705</v>
      </c>
      <c r="R175" s="289">
        <f>VLOOKUP(A175,'K21'!$A$4:$BV$359,26)</f>
        <v>176175.57399999999</v>
      </c>
      <c r="S175" s="517"/>
      <c r="T175" s="517"/>
      <c r="U175" s="517"/>
      <c r="V175" s="517"/>
    </row>
    <row r="176" spans="1:22" ht="13">
      <c r="A176" s="755">
        <v>3437</v>
      </c>
      <c r="B176" s="756" t="s">
        <v>853</v>
      </c>
      <c r="C176" s="289">
        <f>K0kommunestruktur2020!C176</f>
        <v>5974</v>
      </c>
      <c r="D176" s="289">
        <f>K0kommunestruktur2020!D176</f>
        <v>99876</v>
      </c>
      <c r="E176" s="289">
        <f>K0kommunestruktur2020!E176</f>
        <v>5965</v>
      </c>
      <c r="F176" s="289">
        <f>K0kommunestruktur2020!F176</f>
        <v>106162</v>
      </c>
      <c r="G176" s="289">
        <f>K0kommunestruktur2020!G176</f>
        <v>5935</v>
      </c>
      <c r="H176" s="289">
        <f>K0kommunestruktur2020!H176</f>
        <v>113135</v>
      </c>
      <c r="I176" s="289">
        <f>K0kommunestruktur2020!I176</f>
        <v>5916</v>
      </c>
      <c r="J176" s="289">
        <f>K0kommunestruktur2020!J176</f>
        <v>115631</v>
      </c>
      <c r="K176" s="289">
        <f>K0kommunestruktur2020!K176</f>
        <v>5872</v>
      </c>
      <c r="L176" s="289">
        <f>K0kommunestruktur2020!L176</f>
        <v>120218</v>
      </c>
      <c r="M176" s="289">
        <f>K0kommunestruktur2020!M176</f>
        <v>5789</v>
      </c>
      <c r="N176" s="289">
        <f>K0kommunestruktur2020!N176</f>
        <v>121998</v>
      </c>
      <c r="O176" s="289">
        <f>K0kommunestruktur2020!O176</f>
        <v>5739</v>
      </c>
      <c r="P176" s="289">
        <f>K0kommunestruktur2020!P176</f>
        <v>121296</v>
      </c>
      <c r="Q176" s="289">
        <f>VLOOKUP(A176,'K21'!$A$4:$CI$359,3)</f>
        <v>5592</v>
      </c>
      <c r="R176" s="289">
        <f>VLOOKUP(A176,'K21'!$A$4:$BV$359,26)</f>
        <v>138306.56099999999</v>
      </c>
      <c r="S176" s="517"/>
      <c r="T176" s="517"/>
      <c r="U176" s="517"/>
      <c r="V176" s="517"/>
    </row>
    <row r="177" spans="1:22" ht="13">
      <c r="A177" s="755">
        <v>3438</v>
      </c>
      <c r="B177" s="756" t="s">
        <v>854</v>
      </c>
      <c r="C177" s="289">
        <f>K0kommunestruktur2020!C177</f>
        <v>3191</v>
      </c>
      <c r="D177" s="289">
        <f>K0kommunestruktur2020!D177</f>
        <v>71560</v>
      </c>
      <c r="E177" s="289">
        <f>K0kommunestruktur2020!E177</f>
        <v>3204</v>
      </c>
      <c r="F177" s="289">
        <f>K0kommunestruktur2020!F177</f>
        <v>72836</v>
      </c>
      <c r="G177" s="289">
        <f>K0kommunestruktur2020!G177</f>
        <v>3154</v>
      </c>
      <c r="H177" s="289">
        <f>K0kommunestruktur2020!H177</f>
        <v>80249</v>
      </c>
      <c r="I177" s="289">
        <f>K0kommunestruktur2020!I177</f>
        <v>3163</v>
      </c>
      <c r="J177" s="289">
        <f>K0kommunestruktur2020!J177</f>
        <v>81548</v>
      </c>
      <c r="K177" s="289">
        <f>K0kommunestruktur2020!K177</f>
        <v>3146</v>
      </c>
      <c r="L177" s="289">
        <f>K0kommunestruktur2020!L177</f>
        <v>85416</v>
      </c>
      <c r="M177" s="289">
        <f>K0kommunestruktur2020!M177</f>
        <v>3127</v>
      </c>
      <c r="N177" s="289">
        <f>K0kommunestruktur2020!N177</f>
        <v>86652</v>
      </c>
      <c r="O177" s="289">
        <f>K0kommunestruktur2020!O177</f>
        <v>3119</v>
      </c>
      <c r="P177" s="289">
        <f>K0kommunestruktur2020!P177</f>
        <v>83331</v>
      </c>
      <c r="Q177" s="289">
        <f>VLOOKUP(A177,'K21'!$A$4:$CI$359,3)</f>
        <v>3064</v>
      </c>
      <c r="R177" s="289">
        <f>VLOOKUP(A177,'K21'!$A$4:$BV$359,26)</f>
        <v>91462.100999999995</v>
      </c>
      <c r="S177" s="517"/>
      <c r="T177" s="517"/>
      <c r="U177" s="517"/>
      <c r="V177" s="517"/>
    </row>
    <row r="178" spans="1:22" ht="13">
      <c r="A178" s="755">
        <v>3439</v>
      </c>
      <c r="B178" s="756" t="s">
        <v>855</v>
      </c>
      <c r="C178" s="289">
        <f>K0kommunestruktur2020!C178</f>
        <v>4495</v>
      </c>
      <c r="D178" s="289">
        <f>K0kommunestruktur2020!D178</f>
        <v>88613</v>
      </c>
      <c r="E178" s="289">
        <f>K0kommunestruktur2020!E178</f>
        <v>4459</v>
      </c>
      <c r="F178" s="289">
        <f>K0kommunestruktur2020!F178</f>
        <v>96151</v>
      </c>
      <c r="G178" s="289">
        <f>K0kommunestruktur2020!G178</f>
        <v>4462</v>
      </c>
      <c r="H178" s="289">
        <f>K0kommunestruktur2020!H178</f>
        <v>103553</v>
      </c>
      <c r="I178" s="289">
        <f>K0kommunestruktur2020!I178</f>
        <v>4502</v>
      </c>
      <c r="J178" s="289">
        <f>K0kommunestruktur2020!J178</f>
        <v>106336</v>
      </c>
      <c r="K178" s="289">
        <f>K0kommunestruktur2020!K178</f>
        <v>4454</v>
      </c>
      <c r="L178" s="289">
        <f>K0kommunestruktur2020!L178</f>
        <v>110978</v>
      </c>
      <c r="M178" s="289">
        <f>K0kommunestruktur2020!M178</f>
        <v>4425</v>
      </c>
      <c r="N178" s="289">
        <f>K0kommunestruktur2020!N178</f>
        <v>118676</v>
      </c>
      <c r="O178" s="289">
        <f>K0kommunestruktur2020!O178</f>
        <v>4392</v>
      </c>
      <c r="P178" s="289">
        <f>K0kommunestruktur2020!P178</f>
        <v>121117</v>
      </c>
      <c r="Q178" s="289">
        <f>VLOOKUP(A178,'K21'!$A$4:$CI$359,3)</f>
        <v>4408</v>
      </c>
      <c r="R178" s="289">
        <f>VLOOKUP(A178,'K21'!$A$4:$BV$359,26)</f>
        <v>130433.122</v>
      </c>
      <c r="S178" s="517"/>
      <c r="T178" s="517"/>
      <c r="U178" s="517"/>
      <c r="V178" s="517"/>
    </row>
    <row r="179" spans="1:22" ht="13">
      <c r="A179" s="755">
        <v>3440</v>
      </c>
      <c r="B179" s="756" t="s">
        <v>856</v>
      </c>
      <c r="C179" s="289">
        <f>K0kommunestruktur2020!C179</f>
        <v>5090</v>
      </c>
      <c r="D179" s="289">
        <f>K0kommunestruktur2020!D179</f>
        <v>116095</v>
      </c>
      <c r="E179" s="289">
        <f>K0kommunestruktur2020!E179</f>
        <v>5065</v>
      </c>
      <c r="F179" s="289">
        <f>K0kommunestruktur2020!F179</f>
        <v>116092</v>
      </c>
      <c r="G179" s="289">
        <f>K0kommunestruktur2020!G179</f>
        <v>5072</v>
      </c>
      <c r="H179" s="289">
        <f>K0kommunestruktur2020!H179</f>
        <v>131318</v>
      </c>
      <c r="I179" s="289">
        <f>K0kommunestruktur2020!I179</f>
        <v>5082</v>
      </c>
      <c r="J179" s="289">
        <f>K0kommunestruktur2020!J179</f>
        <v>140354</v>
      </c>
      <c r="K179" s="289">
        <f>K0kommunestruktur2020!K179</f>
        <v>5130</v>
      </c>
      <c r="L179" s="289">
        <f>K0kommunestruktur2020!L179</f>
        <v>149306</v>
      </c>
      <c r="M179" s="289">
        <f>K0kommunestruktur2020!M179</f>
        <v>5119</v>
      </c>
      <c r="N179" s="289">
        <f>K0kommunestruktur2020!N179</f>
        <v>155837</v>
      </c>
      <c r="O179" s="289">
        <f>K0kommunestruktur2020!O179</f>
        <v>5100</v>
      </c>
      <c r="P179" s="289">
        <f>K0kommunestruktur2020!P179</f>
        <v>154086</v>
      </c>
      <c r="Q179" s="289">
        <f>VLOOKUP(A179,'K21'!$A$4:$CI$359,3)</f>
        <v>5093</v>
      </c>
      <c r="R179" s="289">
        <f>VLOOKUP(A179,'K21'!$A$4:$BV$359,26)</f>
        <v>171798.152</v>
      </c>
      <c r="S179" s="517"/>
      <c r="T179" s="517"/>
      <c r="U179" s="517"/>
      <c r="V179" s="517"/>
    </row>
    <row r="180" spans="1:22" ht="13">
      <c r="A180" s="755">
        <v>3441</v>
      </c>
      <c r="B180" s="756" t="s">
        <v>857</v>
      </c>
      <c r="C180" s="289">
        <f>K0kommunestruktur2020!C180</f>
        <v>6237</v>
      </c>
      <c r="D180" s="289">
        <f>K0kommunestruktur2020!D180</f>
        <v>121697</v>
      </c>
      <c r="E180" s="289">
        <f>K0kommunestruktur2020!E180</f>
        <v>6210</v>
      </c>
      <c r="F180" s="289">
        <f>K0kommunestruktur2020!F180</f>
        <v>129805</v>
      </c>
      <c r="G180" s="289">
        <f>K0kommunestruktur2020!G180</f>
        <v>6227</v>
      </c>
      <c r="H180" s="289">
        <f>K0kommunestruktur2020!H180</f>
        <v>141000</v>
      </c>
      <c r="I180" s="289">
        <f>K0kommunestruktur2020!I180</f>
        <v>6204</v>
      </c>
      <c r="J180" s="289">
        <f>K0kommunestruktur2020!J180</f>
        <v>148052</v>
      </c>
      <c r="K180" s="289">
        <f>K0kommunestruktur2020!K180</f>
        <v>6148</v>
      </c>
      <c r="L180" s="289">
        <f>K0kommunestruktur2020!L180</f>
        <v>156210</v>
      </c>
      <c r="M180" s="289">
        <f>K0kommunestruktur2020!M180</f>
        <v>6112</v>
      </c>
      <c r="N180" s="289">
        <f>K0kommunestruktur2020!N180</f>
        <v>158541</v>
      </c>
      <c r="O180" s="289">
        <f>K0kommunestruktur2020!O180</f>
        <v>6106</v>
      </c>
      <c r="P180" s="289">
        <f>K0kommunestruktur2020!P180</f>
        <v>158330</v>
      </c>
      <c r="Q180" s="289">
        <f>VLOOKUP(A180,'K21'!$A$4:$CI$359,3)</f>
        <v>6023</v>
      </c>
      <c r="R180" s="289">
        <f>VLOOKUP(A180,'K21'!$A$4:$BV$359,26)</f>
        <v>183324.886</v>
      </c>
      <c r="S180" s="517"/>
      <c r="T180" s="517"/>
      <c r="U180" s="517"/>
      <c r="V180" s="517"/>
    </row>
    <row r="181" spans="1:22" ht="13">
      <c r="A181" s="755">
        <v>3442</v>
      </c>
      <c r="B181" s="756" t="s">
        <v>858</v>
      </c>
      <c r="C181" s="289">
        <f>K0kommunestruktur2020!C181</f>
        <v>14777</v>
      </c>
      <c r="D181" s="289">
        <f>K0kommunestruktur2020!D181</f>
        <v>281403</v>
      </c>
      <c r="E181" s="289">
        <f>K0kommunestruktur2020!E181</f>
        <v>14796</v>
      </c>
      <c r="F181" s="289">
        <f>K0kommunestruktur2020!F181</f>
        <v>298093</v>
      </c>
      <c r="G181" s="289">
        <f>K0kommunestruktur2020!G181</f>
        <v>14906</v>
      </c>
      <c r="H181" s="289">
        <f>K0kommunestruktur2020!H181</f>
        <v>331237</v>
      </c>
      <c r="I181" s="289">
        <f>K0kommunestruktur2020!I181</f>
        <v>14887</v>
      </c>
      <c r="J181" s="289">
        <f>K0kommunestruktur2020!J181</f>
        <v>349805</v>
      </c>
      <c r="K181" s="289">
        <f>K0kommunestruktur2020!K181</f>
        <v>14888</v>
      </c>
      <c r="L181" s="289">
        <f>K0kommunestruktur2020!L181</f>
        <v>375056</v>
      </c>
      <c r="M181" s="289">
        <f>K0kommunestruktur2020!M181</f>
        <v>14948</v>
      </c>
      <c r="N181" s="289">
        <f>K0kommunestruktur2020!N181</f>
        <v>387332</v>
      </c>
      <c r="O181" s="289">
        <f>K0kommunestruktur2020!O181</f>
        <v>14973</v>
      </c>
      <c r="P181" s="289">
        <f>K0kommunestruktur2020!P181</f>
        <v>373661</v>
      </c>
      <c r="Q181" s="289">
        <f>VLOOKUP(A181,'K21'!$A$4:$CI$359,3)</f>
        <v>14871</v>
      </c>
      <c r="R181" s="289">
        <f>VLOOKUP(A181,'K21'!$A$4:$BV$359,26)</f>
        <v>439690.75199999998</v>
      </c>
      <c r="S181" s="517"/>
      <c r="T181" s="517"/>
      <c r="U181" s="517"/>
      <c r="V181" s="517"/>
    </row>
    <row r="182" spans="1:22" ht="13">
      <c r="A182" s="755">
        <v>3443</v>
      </c>
      <c r="B182" s="756" t="s">
        <v>859</v>
      </c>
      <c r="C182" s="289">
        <f>K0kommunestruktur2020!C182</f>
        <v>13075</v>
      </c>
      <c r="D182" s="289">
        <f>K0kommunestruktur2020!D182</f>
        <v>248655</v>
      </c>
      <c r="E182" s="289">
        <f>K0kommunestruktur2020!E182</f>
        <v>13152</v>
      </c>
      <c r="F182" s="289">
        <f>K0kommunestruktur2020!F182</f>
        <v>268292</v>
      </c>
      <c r="G182" s="289">
        <f>K0kommunestruktur2020!G182</f>
        <v>13180</v>
      </c>
      <c r="H182" s="289">
        <f>K0kommunestruktur2020!H182</f>
        <v>289291</v>
      </c>
      <c r="I182" s="289">
        <f>K0kommunestruktur2020!I182</f>
        <v>13179</v>
      </c>
      <c r="J182" s="289">
        <f>K0kommunestruktur2020!J182</f>
        <v>298912</v>
      </c>
      <c r="K182" s="289">
        <f>K0kommunestruktur2020!K182</f>
        <v>13314</v>
      </c>
      <c r="L182" s="289">
        <f>K0kommunestruktur2020!L182</f>
        <v>319630</v>
      </c>
      <c r="M182" s="289">
        <f>K0kommunestruktur2020!M182</f>
        <v>13384</v>
      </c>
      <c r="N182" s="289">
        <f>K0kommunestruktur2020!N182</f>
        <v>330293</v>
      </c>
      <c r="O182" s="289">
        <f>K0kommunestruktur2020!O182</f>
        <v>13427</v>
      </c>
      <c r="P182" s="289">
        <f>K0kommunestruktur2020!P182</f>
        <v>322511</v>
      </c>
      <c r="Q182" s="289">
        <f>VLOOKUP(A182,'K21'!$A$4:$CI$359,3)</f>
        <v>13459</v>
      </c>
      <c r="R182" s="289">
        <f>VLOOKUP(A182,'K21'!$A$4:$BV$359,26)</f>
        <v>372074.12</v>
      </c>
      <c r="S182" s="517"/>
      <c r="T182" s="517"/>
      <c r="U182" s="517"/>
      <c r="V182" s="517"/>
    </row>
    <row r="183" spans="1:22" ht="13">
      <c r="A183" s="755">
        <v>3446</v>
      </c>
      <c r="B183" s="756" t="s">
        <v>862</v>
      </c>
      <c r="C183" s="289">
        <f>K0kommunestruktur2020!C183</f>
        <v>13607</v>
      </c>
      <c r="D183" s="289">
        <f>K0kommunestruktur2020!D183</f>
        <v>275643</v>
      </c>
      <c r="E183" s="289">
        <f>K0kommunestruktur2020!E183</f>
        <v>13685</v>
      </c>
      <c r="F183" s="289">
        <f>K0kommunestruktur2020!F183</f>
        <v>299360</v>
      </c>
      <c r="G183" s="289">
        <f>K0kommunestruktur2020!G183</f>
        <v>13695</v>
      </c>
      <c r="H183" s="289">
        <f>K0kommunestruktur2020!H183</f>
        <v>330694</v>
      </c>
      <c r="I183" s="289">
        <f>K0kommunestruktur2020!I183</f>
        <v>13707</v>
      </c>
      <c r="J183" s="289">
        <f>K0kommunestruktur2020!J183</f>
        <v>341304</v>
      </c>
      <c r="K183" s="289">
        <f>K0kommunestruktur2020!K183</f>
        <v>13770</v>
      </c>
      <c r="L183" s="289">
        <f>K0kommunestruktur2020!L183</f>
        <v>356430</v>
      </c>
      <c r="M183" s="289">
        <f>K0kommunestruktur2020!M183</f>
        <v>13642</v>
      </c>
      <c r="N183" s="289">
        <f>K0kommunestruktur2020!N183</f>
        <v>362027</v>
      </c>
      <c r="O183" s="289">
        <f>K0kommunestruktur2020!O183</f>
        <v>13630</v>
      </c>
      <c r="P183" s="289">
        <f>K0kommunestruktur2020!P183</f>
        <v>358274</v>
      </c>
      <c r="Q183" s="289">
        <f>VLOOKUP(A183,'K21'!$A$4:$CI$359,3)</f>
        <v>13611</v>
      </c>
      <c r="R183" s="289">
        <f>VLOOKUP(A183,'K21'!$A$4:$BV$359,26)</f>
        <v>427907.10100000002</v>
      </c>
      <c r="S183" s="517"/>
      <c r="T183" s="517"/>
      <c r="U183" s="517"/>
      <c r="V183" s="517"/>
    </row>
    <row r="184" spans="1:22" ht="13">
      <c r="A184" s="755">
        <v>3447</v>
      </c>
      <c r="B184" s="756" t="s">
        <v>863</v>
      </c>
      <c r="C184" s="289">
        <f>K0kommunestruktur2020!C184</f>
        <v>5701</v>
      </c>
      <c r="D184" s="289">
        <f>K0kommunestruktur2020!D184</f>
        <v>93534</v>
      </c>
      <c r="E184" s="289">
        <f>K0kommunestruktur2020!E184</f>
        <v>5772</v>
      </c>
      <c r="F184" s="289">
        <f>K0kommunestruktur2020!F184</f>
        <v>99452</v>
      </c>
      <c r="G184" s="289">
        <f>K0kommunestruktur2020!G184</f>
        <v>5758</v>
      </c>
      <c r="H184" s="289">
        <f>K0kommunestruktur2020!H184</f>
        <v>111262</v>
      </c>
      <c r="I184" s="289">
        <f>K0kommunestruktur2020!I184</f>
        <v>5717</v>
      </c>
      <c r="J184" s="289">
        <f>K0kommunestruktur2020!J184</f>
        <v>114902</v>
      </c>
      <c r="K184" s="289">
        <f>K0kommunestruktur2020!K184</f>
        <v>5650</v>
      </c>
      <c r="L184" s="289">
        <f>K0kommunestruktur2020!L184</f>
        <v>118346</v>
      </c>
      <c r="M184" s="289">
        <f>K0kommunestruktur2020!M184</f>
        <v>5623</v>
      </c>
      <c r="N184" s="289">
        <f>K0kommunestruktur2020!N184</f>
        <v>123933</v>
      </c>
      <c r="O184" s="289">
        <f>K0kommunestruktur2020!O184</f>
        <v>5617</v>
      </c>
      <c r="P184" s="289">
        <f>K0kommunestruktur2020!P184</f>
        <v>121468</v>
      </c>
      <c r="Q184" s="289">
        <f>VLOOKUP(A184,'K21'!$A$4:$CI$359,3)</f>
        <v>5579</v>
      </c>
      <c r="R184" s="289">
        <f>VLOOKUP(A184,'K21'!$A$4:$BV$359,26)</f>
        <v>139649.82</v>
      </c>
      <c r="S184" s="517"/>
      <c r="T184" s="517"/>
      <c r="U184" s="517"/>
      <c r="V184" s="517"/>
    </row>
    <row r="185" spans="1:22" ht="13">
      <c r="A185" s="755">
        <v>3448</v>
      </c>
      <c r="B185" s="756" t="s">
        <v>864</v>
      </c>
      <c r="C185" s="289">
        <f>K0kommunestruktur2020!C185</f>
        <v>6700</v>
      </c>
      <c r="D185" s="289">
        <f>K0kommunestruktur2020!D185</f>
        <v>119053</v>
      </c>
      <c r="E185" s="289">
        <f>K0kommunestruktur2020!E185</f>
        <v>6740</v>
      </c>
      <c r="F185" s="289">
        <f>K0kommunestruktur2020!F185</f>
        <v>130066</v>
      </c>
      <c r="G185" s="289">
        <f>K0kommunestruktur2020!G185</f>
        <v>6751</v>
      </c>
      <c r="H185" s="289">
        <f>K0kommunestruktur2020!H185</f>
        <v>140247</v>
      </c>
      <c r="I185" s="289">
        <f>K0kommunestruktur2020!I185</f>
        <v>6773</v>
      </c>
      <c r="J185" s="289">
        <f>K0kommunestruktur2020!J185</f>
        <v>144949</v>
      </c>
      <c r="K185" s="289">
        <f>K0kommunestruktur2020!K185</f>
        <v>6750</v>
      </c>
      <c r="L185" s="289">
        <f>K0kommunestruktur2020!L185</f>
        <v>148417</v>
      </c>
      <c r="M185" s="289">
        <f>K0kommunestruktur2020!M185</f>
        <v>6671</v>
      </c>
      <c r="N185" s="289">
        <f>K0kommunestruktur2020!N185</f>
        <v>155140</v>
      </c>
      <c r="O185" s="289">
        <f>K0kommunestruktur2020!O185</f>
        <v>6633</v>
      </c>
      <c r="P185" s="289">
        <f>K0kommunestruktur2020!P185</f>
        <v>152361</v>
      </c>
      <c r="Q185" s="289">
        <f>VLOOKUP(A185,'K21'!$A$4:$CI$359,3)</f>
        <v>6581</v>
      </c>
      <c r="R185" s="289">
        <f>VLOOKUP(A185,'K21'!$A$4:$BV$359,26)</f>
        <v>162206.125</v>
      </c>
      <c r="S185" s="517"/>
      <c r="T185" s="517"/>
      <c r="U185" s="517"/>
      <c r="V185" s="517"/>
    </row>
    <row r="186" spans="1:22" ht="13">
      <c r="A186" s="755">
        <v>3449</v>
      </c>
      <c r="B186" s="756" t="s">
        <v>865</v>
      </c>
      <c r="C186" s="289">
        <f>K0kommunestruktur2020!C186</f>
        <v>3133</v>
      </c>
      <c r="D186" s="289">
        <f>K0kommunestruktur2020!D186</f>
        <v>62100</v>
      </c>
      <c r="E186" s="289">
        <f>K0kommunestruktur2020!E186</f>
        <v>3094</v>
      </c>
      <c r="F186" s="289">
        <f>K0kommunestruktur2020!F186</f>
        <v>64195</v>
      </c>
      <c r="G186" s="289">
        <f>K0kommunestruktur2020!G186</f>
        <v>3058</v>
      </c>
      <c r="H186" s="289">
        <f>K0kommunestruktur2020!H186</f>
        <v>66787</v>
      </c>
      <c r="I186" s="289">
        <f>K0kommunestruktur2020!I186</f>
        <v>3026</v>
      </c>
      <c r="J186" s="289">
        <f>K0kommunestruktur2020!J186</f>
        <v>67880</v>
      </c>
      <c r="K186" s="289">
        <f>K0kommunestruktur2020!K186</f>
        <v>3014</v>
      </c>
      <c r="L186" s="289">
        <f>K0kommunestruktur2020!L186</f>
        <v>73595</v>
      </c>
      <c r="M186" s="289">
        <f>K0kommunestruktur2020!M186</f>
        <v>2981</v>
      </c>
      <c r="N186" s="289">
        <f>K0kommunestruktur2020!N186</f>
        <v>74443</v>
      </c>
      <c r="O186" s="289">
        <f>K0kommunestruktur2020!O186</f>
        <v>2954</v>
      </c>
      <c r="P186" s="289">
        <f>K0kommunestruktur2020!P186</f>
        <v>72905</v>
      </c>
      <c r="Q186" s="289">
        <f>VLOOKUP(A186,'K21'!$A$4:$CI$359,3)</f>
        <v>2904</v>
      </c>
      <c r="R186" s="289">
        <f>VLOOKUP(A186,'K21'!$A$4:$BV$359,26)</f>
        <v>92272.346000000005</v>
      </c>
      <c r="S186" s="517"/>
      <c r="T186" s="517"/>
      <c r="U186" s="517"/>
      <c r="V186" s="517"/>
    </row>
    <row r="187" spans="1:22" ht="13">
      <c r="A187" s="755">
        <v>3450</v>
      </c>
      <c r="B187" s="756" t="s">
        <v>866</v>
      </c>
      <c r="C187" s="289">
        <f>K0kommunestruktur2020!C187</f>
        <v>1408</v>
      </c>
      <c r="D187" s="289">
        <f>K0kommunestruktur2020!D187</f>
        <v>23718</v>
      </c>
      <c r="E187" s="289">
        <f>K0kommunestruktur2020!E187</f>
        <v>1402</v>
      </c>
      <c r="F187" s="289">
        <f>K0kommunestruktur2020!F187</f>
        <v>24754</v>
      </c>
      <c r="G187" s="289">
        <f>K0kommunestruktur2020!G187</f>
        <v>1321</v>
      </c>
      <c r="H187" s="289">
        <f>K0kommunestruktur2020!H187</f>
        <v>28197</v>
      </c>
      <c r="I187" s="289">
        <f>K0kommunestruktur2020!I187</f>
        <v>1351</v>
      </c>
      <c r="J187" s="289">
        <f>K0kommunestruktur2020!J187</f>
        <v>32167</v>
      </c>
      <c r="K187" s="289">
        <f>K0kommunestruktur2020!K187</f>
        <v>1352</v>
      </c>
      <c r="L187" s="289">
        <f>K0kommunestruktur2020!L187</f>
        <v>32388</v>
      </c>
      <c r="M187" s="289">
        <f>K0kommunestruktur2020!M187</f>
        <v>1305</v>
      </c>
      <c r="N187" s="289">
        <f>K0kommunestruktur2020!N187</f>
        <v>30753</v>
      </c>
      <c r="O187" s="289">
        <f>K0kommunestruktur2020!O187</f>
        <v>1279</v>
      </c>
      <c r="P187" s="289">
        <f>K0kommunestruktur2020!P187</f>
        <v>30806</v>
      </c>
      <c r="Q187" s="289">
        <f>VLOOKUP(A187,'K21'!$A$4:$CI$359,3)</f>
        <v>1257</v>
      </c>
      <c r="R187" s="289">
        <f>VLOOKUP(A187,'K21'!$A$4:$BV$359,26)</f>
        <v>34234.07</v>
      </c>
      <c r="S187" s="517"/>
      <c r="T187" s="517"/>
      <c r="U187" s="517"/>
      <c r="V187" s="517"/>
    </row>
    <row r="188" spans="1:22" ht="13">
      <c r="A188" s="755">
        <v>3451</v>
      </c>
      <c r="B188" s="756" t="s">
        <v>867</v>
      </c>
      <c r="C188" s="289">
        <f>K0kommunestruktur2020!C188</f>
        <v>6417</v>
      </c>
      <c r="D188" s="289">
        <f>K0kommunestruktur2020!D188</f>
        <v>138198</v>
      </c>
      <c r="E188" s="289">
        <f>K0kommunestruktur2020!E188</f>
        <v>6466</v>
      </c>
      <c r="F188" s="289">
        <f>K0kommunestruktur2020!F188</f>
        <v>144388</v>
      </c>
      <c r="G188" s="289">
        <f>K0kommunestruktur2020!G188</f>
        <v>6458</v>
      </c>
      <c r="H188" s="289">
        <f>K0kommunestruktur2020!H188</f>
        <v>160812</v>
      </c>
      <c r="I188" s="289">
        <f>K0kommunestruktur2020!I188</f>
        <v>6490</v>
      </c>
      <c r="J188" s="289">
        <f>K0kommunestruktur2020!J188</f>
        <v>168668</v>
      </c>
      <c r="K188" s="289">
        <f>K0kommunestruktur2020!K188</f>
        <v>6443</v>
      </c>
      <c r="L188" s="289">
        <f>K0kommunestruktur2020!L188</f>
        <v>174124</v>
      </c>
      <c r="M188" s="289">
        <f>K0kommunestruktur2020!M188</f>
        <v>6418</v>
      </c>
      <c r="N188" s="289">
        <f>K0kommunestruktur2020!N188</f>
        <v>177318</v>
      </c>
      <c r="O188" s="289">
        <f>K0kommunestruktur2020!O188</f>
        <v>6413</v>
      </c>
      <c r="P188" s="289">
        <f>K0kommunestruktur2020!P188</f>
        <v>172307</v>
      </c>
      <c r="Q188" s="289">
        <f>VLOOKUP(A188,'K21'!$A$4:$CI$359,3)</f>
        <v>6360</v>
      </c>
      <c r="R188" s="289">
        <f>VLOOKUP(A188,'K21'!$A$4:$BV$359,26)</f>
        <v>199208.80600000001</v>
      </c>
      <c r="S188" s="517"/>
      <c r="T188" s="517"/>
      <c r="U188" s="517"/>
      <c r="V188" s="517"/>
    </row>
    <row r="189" spans="1:22" ht="13">
      <c r="A189" s="889">
        <v>3452</v>
      </c>
      <c r="B189" s="890" t="s">
        <v>868</v>
      </c>
      <c r="C189" s="289">
        <f>+C379+C380</f>
        <v>2174.6498823500001</v>
      </c>
      <c r="D189" s="289">
        <f t="shared" ref="D189:P189" si="4">+D379+D380</f>
        <v>48064.038117582051</v>
      </c>
      <c r="E189" s="289">
        <f t="shared" si="4"/>
        <v>2167.68941176</v>
      </c>
      <c r="F189" s="289">
        <f t="shared" si="4"/>
        <v>50586.711529301945</v>
      </c>
      <c r="G189" s="289">
        <f t="shared" si="4"/>
        <v>2155.7571764700001</v>
      </c>
      <c r="H189" s="289">
        <f t="shared" si="4"/>
        <v>53942.652705867637</v>
      </c>
      <c r="I189" s="289">
        <f t="shared" si="4"/>
        <v>2102.0621176499999</v>
      </c>
      <c r="J189" s="289">
        <f t="shared" si="4"/>
        <v>56126.251764784414</v>
      </c>
      <c r="K189" s="289">
        <f t="shared" si="4"/>
        <v>2126.9209411800002</v>
      </c>
      <c r="L189" s="289">
        <f t="shared" si="4"/>
        <v>60929.970823630516</v>
      </c>
      <c r="M189" s="289">
        <f t="shared" si="4"/>
        <v>2122.9435294099999</v>
      </c>
      <c r="N189" s="289">
        <f t="shared" si="4"/>
        <v>67317.694117591105</v>
      </c>
      <c r="O189" s="289">
        <f t="shared" si="4"/>
        <v>2113</v>
      </c>
      <c r="P189" s="289">
        <f t="shared" si="4"/>
        <v>64256.081411764702</v>
      </c>
      <c r="Q189" s="289">
        <f>VLOOKUP(A189,'K21'!$A$4:$CI$359,3)</f>
        <v>2120</v>
      </c>
      <c r="R189" s="289">
        <f>VLOOKUP(A189,'K21'!$A$4:$BV$359,26)</f>
        <v>75961.975000000006</v>
      </c>
      <c r="S189" s="517"/>
      <c r="T189" s="517"/>
      <c r="U189" s="517"/>
      <c r="V189" s="517"/>
    </row>
    <row r="190" spans="1:22" ht="13">
      <c r="A190" s="889">
        <v>3453</v>
      </c>
      <c r="B190" s="890" t="s">
        <v>869</v>
      </c>
      <c r="C190" s="289">
        <f>+C383+C384</f>
        <v>3217.9145246200001</v>
      </c>
      <c r="D190" s="289">
        <f t="shared" ref="D190:P190" si="5">+D383+D384</f>
        <v>74208.762465145061</v>
      </c>
      <c r="E190" s="289">
        <f t="shared" si="5"/>
        <v>3210.8885103699999</v>
      </c>
      <c r="F190" s="289">
        <f t="shared" si="5"/>
        <v>80625.520904185993</v>
      </c>
      <c r="G190" s="289">
        <f t="shared" si="5"/>
        <v>3231.9665531099999</v>
      </c>
      <c r="H190" s="289">
        <f t="shared" si="5"/>
        <v>82142.136265036082</v>
      </c>
      <c r="I190" s="289">
        <f t="shared" si="5"/>
        <v>3260.0706101000001</v>
      </c>
      <c r="J190" s="289">
        <f t="shared" si="5"/>
        <v>90760.044595961328</v>
      </c>
      <c r="K190" s="289">
        <f t="shared" si="5"/>
        <v>3232.9702694299999</v>
      </c>
      <c r="L190" s="289">
        <f t="shared" si="5"/>
        <v>97225.985134618561</v>
      </c>
      <c r="M190" s="289">
        <f t="shared" si="5"/>
        <v>3219.92195726</v>
      </c>
      <c r="N190" s="289">
        <f t="shared" si="5"/>
        <v>101966.53731798196</v>
      </c>
      <c r="O190" s="289">
        <f t="shared" si="5"/>
        <v>3241</v>
      </c>
      <c r="P190" s="289">
        <f t="shared" si="5"/>
        <v>101860.14338804584</v>
      </c>
      <c r="Q190" s="289">
        <f>VLOOKUP(A190,'K21'!$A$4:$CI$359,3)</f>
        <v>3236</v>
      </c>
      <c r="R190" s="289">
        <f>VLOOKUP(A190,'K21'!$A$4:$BV$359,26)</f>
        <v>111780.192</v>
      </c>
      <c r="S190" s="517"/>
      <c r="T190" s="517"/>
      <c r="U190" s="517"/>
      <c r="V190" s="517"/>
    </row>
    <row r="191" spans="1:22" ht="13">
      <c r="A191" s="755">
        <v>3454</v>
      </c>
      <c r="B191" s="756" t="s">
        <v>870</v>
      </c>
      <c r="C191" s="289">
        <f>K0kommunestruktur2020!C191</f>
        <v>1602</v>
      </c>
      <c r="D191" s="289">
        <f>K0kommunestruktur2020!D191</f>
        <v>38293</v>
      </c>
      <c r="E191" s="289">
        <f>K0kommunestruktur2020!E191</f>
        <v>1619</v>
      </c>
      <c r="F191" s="289">
        <f>K0kommunestruktur2020!F191</f>
        <v>37972</v>
      </c>
      <c r="G191" s="289">
        <f>K0kommunestruktur2020!G191</f>
        <v>1590</v>
      </c>
      <c r="H191" s="289">
        <f>K0kommunestruktur2020!H191</f>
        <v>44551</v>
      </c>
      <c r="I191" s="289">
        <f>K0kommunestruktur2020!I191</f>
        <v>1596</v>
      </c>
      <c r="J191" s="289">
        <f>K0kommunestruktur2020!J191</f>
        <v>45896</v>
      </c>
      <c r="K191" s="289">
        <f>K0kommunestruktur2020!K191</f>
        <v>1601</v>
      </c>
      <c r="L191" s="289">
        <f>K0kommunestruktur2020!L191</f>
        <v>47228</v>
      </c>
      <c r="M191" s="289">
        <f>K0kommunestruktur2020!M191</f>
        <v>1610</v>
      </c>
      <c r="N191" s="289">
        <f>K0kommunestruktur2020!N191</f>
        <v>49799</v>
      </c>
      <c r="O191" s="289">
        <f>K0kommunestruktur2020!O191</f>
        <v>1578</v>
      </c>
      <c r="P191" s="289">
        <f>K0kommunestruktur2020!P191</f>
        <v>45794</v>
      </c>
      <c r="Q191" s="289">
        <f>VLOOKUP(A191,'K21'!$A$4:$CI$359,3)</f>
        <v>1573</v>
      </c>
      <c r="R191" s="289">
        <f>VLOOKUP(A191,'K21'!$A$4:$BV$359,26)</f>
        <v>49770.035000000003</v>
      </c>
      <c r="S191" s="517"/>
      <c r="T191" s="517"/>
      <c r="U191" s="517"/>
      <c r="V191" s="517"/>
    </row>
    <row r="192" spans="1:22" ht="13">
      <c r="A192" s="755">
        <v>3801</v>
      </c>
      <c r="B192" s="756" t="s">
        <v>346</v>
      </c>
      <c r="C192" s="289">
        <f>K0kommunestruktur2020!C192</f>
        <v>26763.72272627</v>
      </c>
      <c r="D192" s="289">
        <f>K0kommunestruktur2020!D192</f>
        <v>552794.78320030717</v>
      </c>
      <c r="E192" s="289">
        <f>K0kommunestruktur2020!E192</f>
        <v>26915.795017190001</v>
      </c>
      <c r="F192" s="289">
        <f>K0kommunestruktur2020!F192</f>
        <v>580094.76084719505</v>
      </c>
      <c r="G192" s="289">
        <f>K0kommunestruktur2020!G192</f>
        <v>27190.92580669</v>
      </c>
      <c r="H192" s="289">
        <f>K0kommunestruktur2020!H192</f>
        <v>637628.11059491883</v>
      </c>
      <c r="I192" s="289">
        <f>K0kommunestruktur2020!I192</f>
        <v>27214.93722104</v>
      </c>
      <c r="J192" s="289">
        <f>K0kommunestruktur2020!J192</f>
        <v>663810.55699852714</v>
      </c>
      <c r="K192" s="289">
        <f>K0kommunestruktur2020!K192</f>
        <v>27329.99191483</v>
      </c>
      <c r="L192" s="289">
        <f>K0kommunestruktur2020!L192</f>
        <v>672710.78791977372</v>
      </c>
      <c r="M192" s="289">
        <f>K0kommunestruktur2020!M192</f>
        <v>27347</v>
      </c>
      <c r="N192" s="289">
        <f>K0kommunestruktur2020!N192</f>
        <v>692604.24471354357</v>
      </c>
      <c r="O192" s="289">
        <f>K0kommunestruktur2020!O192</f>
        <v>27351</v>
      </c>
      <c r="P192" s="289">
        <f>K0kommunestruktur2020!P192</f>
        <v>688211</v>
      </c>
      <c r="Q192" s="289">
        <f>VLOOKUP(A192,'K21'!$A$4:$CI$359,3)</f>
        <v>27510</v>
      </c>
      <c r="R192" s="289">
        <f>VLOOKUP(A192,'K21'!$A$4:$BV$359,26)</f>
        <v>808471.49399999995</v>
      </c>
      <c r="S192" s="517"/>
      <c r="T192" s="517"/>
      <c r="U192" s="517"/>
      <c r="V192" s="517"/>
    </row>
    <row r="193" spans="1:22" ht="13">
      <c r="A193" s="755">
        <v>3802</v>
      </c>
      <c r="B193" s="756" t="s">
        <v>1625</v>
      </c>
      <c r="C193" s="289">
        <f>K0kommunestruktur2020!C193</f>
        <v>22698.35703399</v>
      </c>
      <c r="D193" s="289">
        <f>K0kommunestruktur2020!D193</f>
        <v>493595.53915560583</v>
      </c>
      <c r="E193" s="289">
        <f>K0kommunestruktur2020!E193</f>
        <v>23041.098908340002</v>
      </c>
      <c r="F193" s="289">
        <f>K0kommunestruktur2020!F193</f>
        <v>529476.89450047095</v>
      </c>
      <c r="G193" s="289">
        <f>K0kommunestruktur2020!G193</f>
        <v>23319.513862</v>
      </c>
      <c r="H193" s="289">
        <f>K0kommunestruktur2020!H193</f>
        <v>589331.0839959326</v>
      </c>
      <c r="I193" s="289">
        <f>K0kommunestruktur2020!I193</f>
        <v>23653.209763129998</v>
      </c>
      <c r="J193" s="289">
        <f>K0kommunestruktur2020!J193</f>
        <v>624060.58541707485</v>
      </c>
      <c r="K193" s="289">
        <f>K0kommunestruktur2020!K193</f>
        <v>24060.278558189999</v>
      </c>
      <c r="L193" s="289">
        <f>K0kommunestruktur2020!L193</f>
        <v>652653.90166845266</v>
      </c>
      <c r="M193" s="289">
        <f>K0kommunestruktur2020!M193</f>
        <v>24399</v>
      </c>
      <c r="N193" s="289">
        <f>K0kommunestruktur2020!N193</f>
        <v>675516.09132852731</v>
      </c>
      <c r="O193" s="289">
        <f>K0kommunestruktur2020!O193</f>
        <v>24699</v>
      </c>
      <c r="P193" s="289">
        <f>K0kommunestruktur2020!P193</f>
        <v>685619</v>
      </c>
      <c r="Q193" s="289">
        <f>VLOOKUP(A193,'K21'!$A$4:$CI$359,3)</f>
        <v>25011</v>
      </c>
      <c r="R193" s="289">
        <f>VLOOKUP(A193,'K21'!$A$4:$BV$359,26)</f>
        <v>814470.78500000003</v>
      </c>
      <c r="S193" s="517"/>
      <c r="T193" s="517"/>
      <c r="U193" s="517"/>
      <c r="V193" s="517"/>
    </row>
    <row r="194" spans="1:22" ht="13">
      <c r="A194" s="755">
        <v>3803</v>
      </c>
      <c r="B194" s="756" t="s">
        <v>1626</v>
      </c>
      <c r="C194" s="289">
        <f>K0kommunestruktur2020!C194</f>
        <v>52765.910745699999</v>
      </c>
      <c r="D194" s="289">
        <f>K0kommunestruktur2020!D194</f>
        <v>1236834.6202562542</v>
      </c>
      <c r="E194" s="289">
        <f>K0kommunestruktur2020!E194</f>
        <v>53243.732721790002</v>
      </c>
      <c r="F194" s="289">
        <f>K0kommunestruktur2020!F194</f>
        <v>1324585.4886642802</v>
      </c>
      <c r="G194" s="289">
        <f>K0kommunestruktur2020!G194</f>
        <v>53706.591587980001</v>
      </c>
      <c r="H194" s="289">
        <f>K0kommunestruktur2020!H194</f>
        <v>1448068.4606329047</v>
      </c>
      <c r="I194" s="289">
        <f>K0kommunestruktur2020!I194</f>
        <v>54274.192223459999</v>
      </c>
      <c r="J194" s="289">
        <f>K0kommunestruktur2020!J194</f>
        <v>1536479.9571321183</v>
      </c>
      <c r="K194" s="289">
        <f>K0kommunestruktur2020!K194</f>
        <v>54845.783021579999</v>
      </c>
      <c r="L194" s="289">
        <f>K0kommunestruktur2020!L194</f>
        <v>1605669.3773023367</v>
      </c>
      <c r="M194" s="289">
        <f>K0kommunestruktur2020!M194</f>
        <v>55569</v>
      </c>
      <c r="N194" s="289">
        <f>K0kommunestruktur2020!N194</f>
        <v>1680635.555433885</v>
      </c>
      <c r="O194" s="289">
        <f>K0kommunestruktur2020!O194</f>
        <v>56293</v>
      </c>
      <c r="P194" s="289">
        <f>K0kommunestruktur2020!P194</f>
        <v>1690855</v>
      </c>
      <c r="Q194" s="289">
        <f>VLOOKUP(A194,'K21'!$A$4:$CI$359,3)</f>
        <v>57026</v>
      </c>
      <c r="R194" s="289">
        <f>VLOOKUP(A194,'K21'!$A$4:$BV$359,26)</f>
        <v>2001609.365</v>
      </c>
      <c r="S194" s="517"/>
      <c r="T194" s="517"/>
      <c r="U194" s="517"/>
      <c r="V194" s="517"/>
    </row>
    <row r="195" spans="1:22" ht="13">
      <c r="A195" s="755">
        <v>3804</v>
      </c>
      <c r="B195" s="756" t="s">
        <v>1153</v>
      </c>
      <c r="C195" s="289">
        <f>K0kommunestruktur2020!C195</f>
        <v>60002</v>
      </c>
      <c r="D195" s="289">
        <f>K0kommunestruktur2020!D195</f>
        <v>1328826.0834998698</v>
      </c>
      <c r="E195" s="289">
        <f>K0kommunestruktur2020!E195</f>
        <v>60445</v>
      </c>
      <c r="F195" s="289">
        <f>K0kommunestruktur2020!F195</f>
        <v>1401206.8738049713</v>
      </c>
      <c r="G195" s="289">
        <f>K0kommunestruktur2020!G195</f>
        <v>61212</v>
      </c>
      <c r="H195" s="289">
        <f>K0kommunestruktur2020!H195</f>
        <v>1565068.466500815</v>
      </c>
      <c r="I195" s="289">
        <f>K0kommunestruktur2020!I195</f>
        <v>62019</v>
      </c>
      <c r="J195" s="289">
        <f>K0kommunestruktur2020!J195</f>
        <v>1617614</v>
      </c>
      <c r="K195" s="289">
        <f>K0kommunestruktur2020!K195</f>
        <v>62615</v>
      </c>
      <c r="L195" s="289">
        <f>K0kommunestruktur2020!L195</f>
        <v>1650021</v>
      </c>
      <c r="M195" s="289">
        <f>K0kommunestruktur2020!M195</f>
        <v>63271</v>
      </c>
      <c r="N195" s="289">
        <f>K0kommunestruktur2020!N195</f>
        <v>1778055</v>
      </c>
      <c r="O195" s="289">
        <f>K0kommunestruktur2020!O195</f>
        <v>63764</v>
      </c>
      <c r="P195" s="289">
        <f>K0kommunestruktur2020!P195</f>
        <v>1781351</v>
      </c>
      <c r="Q195" s="289">
        <f>VLOOKUP(A195,'K21'!$A$4:$CI$359,3)</f>
        <v>64345</v>
      </c>
      <c r="R195" s="289">
        <f>VLOOKUP(A195,'K21'!$A$4:$BV$359,26)</f>
        <v>2082816.142</v>
      </c>
      <c r="S195" s="517"/>
      <c r="T195" s="517"/>
      <c r="U195" s="517"/>
      <c r="V195" s="517"/>
    </row>
    <row r="196" spans="1:22" ht="13">
      <c r="A196" s="755">
        <v>3805</v>
      </c>
      <c r="B196" s="965" t="s">
        <v>1235</v>
      </c>
      <c r="C196" s="289">
        <f>K0kommunestruktur2020!C196</f>
        <v>45718</v>
      </c>
      <c r="D196" s="289">
        <f>K0kommunestruktur2020!D196</f>
        <v>967685</v>
      </c>
      <c r="E196" s="289">
        <f>K0kommunestruktur2020!E196</f>
        <v>45969</v>
      </c>
      <c r="F196" s="289">
        <f>K0kommunestruktur2020!F196</f>
        <v>1066695</v>
      </c>
      <c r="G196" s="289">
        <f>K0kommunestruktur2020!G196</f>
        <v>46341</v>
      </c>
      <c r="H196" s="289">
        <f>K0kommunestruktur2020!H196</f>
        <v>1143575</v>
      </c>
      <c r="I196" s="289">
        <f>K0kommunestruktur2020!I196</f>
        <v>46557</v>
      </c>
      <c r="J196" s="289">
        <f>K0kommunestruktur2020!J196</f>
        <v>1204992</v>
      </c>
      <c r="K196" s="289">
        <f>K0kommunestruktur2020!K196</f>
        <v>46801</v>
      </c>
      <c r="L196" s="289">
        <f>K0kommunestruktur2020!L196</f>
        <v>1250980</v>
      </c>
      <c r="M196" s="289">
        <f>K0kommunestruktur2020!M196</f>
        <v>47107</v>
      </c>
      <c r="N196" s="289">
        <f>K0kommunestruktur2020!N196</f>
        <v>1285032</v>
      </c>
      <c r="O196" s="289">
        <f>K0kommunestruktur2020!O196</f>
        <v>47204</v>
      </c>
      <c r="P196" s="289">
        <f>K0kommunestruktur2020!P196</f>
        <v>1280124</v>
      </c>
      <c r="Q196" s="289">
        <f>VLOOKUP(A196,'K21'!$A$4:$CI$359,3)</f>
        <v>47499</v>
      </c>
      <c r="R196" s="289">
        <f>VLOOKUP(A196,'K21'!$A$4:$BV$359,26)</f>
        <v>1502871.6910000001</v>
      </c>
      <c r="S196" s="517"/>
      <c r="T196" s="517"/>
      <c r="U196" s="517"/>
      <c r="V196" s="517"/>
    </row>
    <row r="197" spans="1:22" ht="13">
      <c r="A197" s="755">
        <v>3806</v>
      </c>
      <c r="B197" s="756" t="s">
        <v>904</v>
      </c>
      <c r="C197" s="289">
        <f>K0kommunestruktur2020!C197</f>
        <v>35516</v>
      </c>
      <c r="D197" s="289">
        <f>K0kommunestruktur2020!D197</f>
        <v>786648</v>
      </c>
      <c r="E197" s="289">
        <f>K0kommunestruktur2020!E197</f>
        <v>35755</v>
      </c>
      <c r="F197" s="289">
        <f>K0kommunestruktur2020!F197</f>
        <v>832456</v>
      </c>
      <c r="G197" s="289">
        <f>K0kommunestruktur2020!G197</f>
        <v>35955</v>
      </c>
      <c r="H197" s="289">
        <f>K0kommunestruktur2020!H197</f>
        <v>899390</v>
      </c>
      <c r="I197" s="289">
        <f>K0kommunestruktur2020!I197</f>
        <v>36198</v>
      </c>
      <c r="J197" s="289">
        <f>K0kommunestruktur2020!J197</f>
        <v>954527</v>
      </c>
      <c r="K197" s="289">
        <f>K0kommunestruktur2020!K197</f>
        <v>36091</v>
      </c>
      <c r="L197" s="289">
        <f>K0kommunestruktur2020!L197</f>
        <v>994677</v>
      </c>
      <c r="M197" s="289">
        <f>K0kommunestruktur2020!M197</f>
        <v>36224</v>
      </c>
      <c r="N197" s="289">
        <f>K0kommunestruktur2020!N197</f>
        <v>1030160</v>
      </c>
      <c r="O197" s="289">
        <f>K0kommunestruktur2020!O197</f>
        <v>36397</v>
      </c>
      <c r="P197" s="289">
        <f>K0kommunestruktur2020!P197</f>
        <v>997575</v>
      </c>
      <c r="Q197" s="289">
        <f>VLOOKUP(A197,'K21'!$A$4:$CI$359,3)</f>
        <v>36526</v>
      </c>
      <c r="R197" s="289">
        <f>VLOOKUP(A197,'K21'!$A$4:$BV$359,26)</f>
        <v>1164383.0649999999</v>
      </c>
      <c r="S197" s="517"/>
      <c r="T197" s="517"/>
      <c r="U197" s="517"/>
      <c r="V197" s="517"/>
    </row>
    <row r="198" spans="1:22" ht="13">
      <c r="A198" s="755">
        <v>3807</v>
      </c>
      <c r="B198" s="756" t="s">
        <v>905</v>
      </c>
      <c r="C198" s="289">
        <f>K0kommunestruktur2020!C198</f>
        <v>53439</v>
      </c>
      <c r="D198" s="289">
        <f>K0kommunestruktur2020!D198</f>
        <v>1111721</v>
      </c>
      <c r="E198" s="289">
        <f>K0kommunestruktur2020!E198</f>
        <v>53745</v>
      </c>
      <c r="F198" s="289">
        <f>K0kommunestruktur2020!F198</f>
        <v>1204597</v>
      </c>
      <c r="G198" s="289">
        <f>K0kommunestruktur2020!G198</f>
        <v>53952</v>
      </c>
      <c r="H198" s="289">
        <f>K0kommunestruktur2020!H198</f>
        <v>1297835</v>
      </c>
      <c r="I198" s="289">
        <f>K0kommunestruktur2020!I198</f>
        <v>54316</v>
      </c>
      <c r="J198" s="289">
        <f>K0kommunestruktur2020!J198</f>
        <v>1350527</v>
      </c>
      <c r="K198" s="289">
        <f>K0kommunestruktur2020!K198</f>
        <v>54510</v>
      </c>
      <c r="L198" s="289">
        <f>K0kommunestruktur2020!L198</f>
        <v>1395616</v>
      </c>
      <c r="M198" s="289">
        <f>K0kommunestruktur2020!M198</f>
        <v>54645</v>
      </c>
      <c r="N198" s="289">
        <f>K0kommunestruktur2020!N198</f>
        <v>1431339</v>
      </c>
      <c r="O198" s="289">
        <f>K0kommunestruktur2020!O198</f>
        <v>54942</v>
      </c>
      <c r="P198" s="289">
        <f>K0kommunestruktur2020!P198</f>
        <v>1416501</v>
      </c>
      <c r="Q198" s="289">
        <f>VLOOKUP(A198,'K21'!$A$4:$CI$359,3)</f>
        <v>55144</v>
      </c>
      <c r="R198" s="289">
        <f>VLOOKUP(A198,'K21'!$A$4:$BV$359,26)</f>
        <v>1648435.71</v>
      </c>
      <c r="S198" s="517"/>
      <c r="T198" s="517"/>
      <c r="U198" s="517"/>
      <c r="V198" s="517"/>
    </row>
    <row r="199" spans="1:22" ht="13">
      <c r="A199" s="755">
        <v>3808</v>
      </c>
      <c r="B199" s="756" t="s">
        <v>906</v>
      </c>
      <c r="C199" s="289">
        <f>K0kommunestruktur2020!C199</f>
        <v>13054.42122694</v>
      </c>
      <c r="D199" s="289">
        <f>K0kommunestruktur2020!D199</f>
        <v>270123.7115597775</v>
      </c>
      <c r="E199" s="289">
        <f>K0kommunestruktur2020!E199</f>
        <v>13044.067970349999</v>
      </c>
      <c r="F199" s="289">
        <f>K0kommunestruktur2020!F199</f>
        <v>287774.97870994557</v>
      </c>
      <c r="G199" s="289">
        <f>K0kommunestruktur2020!G199</f>
        <v>13166.23639804</v>
      </c>
      <c r="H199" s="289">
        <f>K0kommunestruktur2020!H199</f>
        <v>311836.98233706487</v>
      </c>
      <c r="I199" s="289">
        <f>K0kommunestruktur2020!I199</f>
        <v>13207.649424380001</v>
      </c>
      <c r="J199" s="289">
        <f>K0kommunestruktur2020!J199</f>
        <v>314307.26935812132</v>
      </c>
      <c r="K199" s="289">
        <f>K0kommunestruktur2020!K199</f>
        <v>13111.36413815</v>
      </c>
      <c r="L199" s="289">
        <f>K0kommunestruktur2020!L199</f>
        <v>322108.4481943266</v>
      </c>
      <c r="M199" s="289">
        <f>K0kommunestruktur2020!M199</f>
        <v>13130</v>
      </c>
      <c r="N199" s="289">
        <f>K0kommunestruktur2020!N199</f>
        <v>342153.3882668349</v>
      </c>
      <c r="O199" s="289">
        <f>K0kommunestruktur2020!O199</f>
        <v>13049</v>
      </c>
      <c r="P199" s="289">
        <f>K0kommunestruktur2020!P199</f>
        <v>340724</v>
      </c>
      <c r="Q199" s="289">
        <f>VLOOKUP(A199,'K21'!$A$4:$CI$359,3)</f>
        <v>12994</v>
      </c>
      <c r="R199" s="289">
        <f>VLOOKUP(A199,'K21'!$A$4:$BV$359,26)</f>
        <v>386292.53200000001</v>
      </c>
      <c r="S199" s="517"/>
      <c r="T199" s="517"/>
      <c r="U199" s="517"/>
      <c r="V199" s="517"/>
    </row>
    <row r="200" spans="1:22" ht="13">
      <c r="A200" s="755">
        <v>3811</v>
      </c>
      <c r="B200" s="756" t="s">
        <v>1241</v>
      </c>
      <c r="C200" s="289">
        <f>K0kommunestruktur2020!C200</f>
        <v>26330</v>
      </c>
      <c r="D200" s="289">
        <f>K0kommunestruktur2020!D200</f>
        <v>669429</v>
      </c>
      <c r="E200" s="289">
        <f>K0kommunestruktur2020!E200</f>
        <v>26445</v>
      </c>
      <c r="F200" s="289">
        <f>K0kommunestruktur2020!F200</f>
        <v>711078</v>
      </c>
      <c r="G200" s="289">
        <f>K0kommunestruktur2020!G200</f>
        <v>26592</v>
      </c>
      <c r="H200" s="289">
        <f>K0kommunestruktur2020!H200</f>
        <v>787439</v>
      </c>
      <c r="I200" s="289">
        <f>K0kommunestruktur2020!I200</f>
        <v>26676</v>
      </c>
      <c r="J200" s="289">
        <f>K0kommunestruktur2020!J200</f>
        <v>818629</v>
      </c>
      <c r="K200" s="289">
        <f>K0kommunestruktur2020!K200</f>
        <v>26734</v>
      </c>
      <c r="L200" s="289">
        <f>K0kommunestruktur2020!L200</f>
        <v>826128</v>
      </c>
      <c r="M200" s="289">
        <f>K0kommunestruktur2020!M200</f>
        <v>26700</v>
      </c>
      <c r="N200" s="289">
        <f>K0kommunestruktur2020!N200</f>
        <v>861791</v>
      </c>
      <c r="O200" s="289">
        <f>K0kommunestruktur2020!O200</f>
        <v>26730</v>
      </c>
      <c r="P200" s="289">
        <f>K0kommunestruktur2020!P200</f>
        <v>859253</v>
      </c>
      <c r="Q200" s="289">
        <f>VLOOKUP(A200,'K21'!$A$4:$CI$359,3)</f>
        <v>26957</v>
      </c>
      <c r="R200" s="289">
        <f>VLOOKUP(A200,'K21'!$A$4:$BV$359,26)</f>
        <v>999557.24</v>
      </c>
      <c r="S200" s="517"/>
      <c r="T200" s="517"/>
      <c r="U200" s="517"/>
      <c r="V200" s="517"/>
    </row>
    <row r="201" spans="1:22" ht="13">
      <c r="A201" s="755">
        <v>3812</v>
      </c>
      <c r="B201" s="756" t="s">
        <v>907</v>
      </c>
      <c r="C201" s="289">
        <f>K0kommunestruktur2020!C201</f>
        <v>2404</v>
      </c>
      <c r="D201" s="289">
        <f>K0kommunestruktur2020!D201</f>
        <v>48534</v>
      </c>
      <c r="E201" s="289">
        <f>K0kommunestruktur2020!E201</f>
        <v>2361</v>
      </c>
      <c r="F201" s="289">
        <f>K0kommunestruktur2020!F201</f>
        <v>49972</v>
      </c>
      <c r="G201" s="289">
        <f>K0kommunestruktur2020!G201</f>
        <v>2335</v>
      </c>
      <c r="H201" s="289">
        <f>K0kommunestruktur2020!H201</f>
        <v>54288</v>
      </c>
      <c r="I201" s="289">
        <f>K0kommunestruktur2020!I201</f>
        <v>2357</v>
      </c>
      <c r="J201" s="289">
        <f>K0kommunestruktur2020!J201</f>
        <v>58101</v>
      </c>
      <c r="K201" s="289">
        <f>K0kommunestruktur2020!K201</f>
        <v>2351</v>
      </c>
      <c r="L201" s="289">
        <f>K0kommunestruktur2020!L201</f>
        <v>59881</v>
      </c>
      <c r="M201" s="289">
        <f>K0kommunestruktur2020!M201</f>
        <v>2329</v>
      </c>
      <c r="N201" s="289">
        <f>K0kommunestruktur2020!N201</f>
        <v>61369</v>
      </c>
      <c r="O201" s="289">
        <f>K0kommunestruktur2020!O201</f>
        <v>2340</v>
      </c>
      <c r="P201" s="289">
        <f>K0kommunestruktur2020!P201</f>
        <v>60081</v>
      </c>
      <c r="Q201" s="289">
        <f>VLOOKUP(A201,'K21'!$A$4:$CI$359,3)</f>
        <v>2347</v>
      </c>
      <c r="R201" s="289">
        <f>VLOOKUP(A201,'K21'!$A$4:$BV$359,26)</f>
        <v>66355.051999999996</v>
      </c>
      <c r="S201" s="517"/>
      <c r="T201" s="517"/>
      <c r="U201" s="517"/>
      <c r="V201" s="517"/>
    </row>
    <row r="202" spans="1:22" ht="13">
      <c r="A202" s="755">
        <v>3813</v>
      </c>
      <c r="B202" s="756" t="s">
        <v>908</v>
      </c>
      <c r="C202" s="289">
        <f>K0kommunestruktur2020!C202</f>
        <v>14193</v>
      </c>
      <c r="D202" s="289">
        <f>K0kommunestruktur2020!D202</f>
        <v>315740</v>
      </c>
      <c r="E202" s="289">
        <f>K0kommunestruktur2020!E202</f>
        <v>14140</v>
      </c>
      <c r="F202" s="289">
        <f>K0kommunestruktur2020!F202</f>
        <v>322952</v>
      </c>
      <c r="G202" s="289">
        <f>K0kommunestruktur2020!G202</f>
        <v>14088</v>
      </c>
      <c r="H202" s="289">
        <f>K0kommunestruktur2020!H202</f>
        <v>355108</v>
      </c>
      <c r="I202" s="289">
        <f>K0kommunestruktur2020!I202</f>
        <v>14138</v>
      </c>
      <c r="J202" s="289">
        <f>K0kommunestruktur2020!J202</f>
        <v>367084</v>
      </c>
      <c r="K202" s="289">
        <f>K0kommunestruktur2020!K202</f>
        <v>14183</v>
      </c>
      <c r="L202" s="289">
        <f>K0kommunestruktur2020!L202</f>
        <v>382036</v>
      </c>
      <c r="M202" s="289">
        <f>K0kommunestruktur2020!M202</f>
        <v>14089</v>
      </c>
      <c r="N202" s="289">
        <f>K0kommunestruktur2020!N202</f>
        <v>395478</v>
      </c>
      <c r="O202" s="289">
        <f>K0kommunestruktur2020!O202</f>
        <v>14061</v>
      </c>
      <c r="P202" s="289">
        <f>K0kommunestruktur2020!P202</f>
        <v>392430</v>
      </c>
      <c r="Q202" s="289">
        <f>VLOOKUP(A202,'K21'!$A$4:$CI$359,3)</f>
        <v>14014</v>
      </c>
      <c r="R202" s="289">
        <f>VLOOKUP(A202,'K21'!$A$4:$BV$359,26)</f>
        <v>464590.26500000001</v>
      </c>
      <c r="S202" s="517"/>
      <c r="T202" s="517"/>
      <c r="U202" s="517"/>
      <c r="V202" s="517"/>
    </row>
    <row r="203" spans="1:22" ht="13">
      <c r="A203" s="755">
        <v>3814</v>
      </c>
      <c r="B203" s="756" t="s">
        <v>910</v>
      </c>
      <c r="C203" s="289">
        <f>K0kommunestruktur2020!C203</f>
        <v>10621</v>
      </c>
      <c r="D203" s="289">
        <f>K0kommunestruktur2020!D203</f>
        <v>208570</v>
      </c>
      <c r="E203" s="289">
        <f>K0kommunestruktur2020!E203</f>
        <v>10636</v>
      </c>
      <c r="F203" s="289">
        <f>K0kommunestruktur2020!F203</f>
        <v>222964</v>
      </c>
      <c r="G203" s="289">
        <f>K0kommunestruktur2020!G203</f>
        <v>10607</v>
      </c>
      <c r="H203" s="289">
        <f>K0kommunestruktur2020!H203</f>
        <v>238907</v>
      </c>
      <c r="I203" s="289">
        <f>K0kommunestruktur2020!I203</f>
        <v>10586</v>
      </c>
      <c r="J203" s="289">
        <f>K0kommunestruktur2020!J203</f>
        <v>246804</v>
      </c>
      <c r="K203" s="289">
        <f>K0kommunestruktur2020!K203</f>
        <v>10506</v>
      </c>
      <c r="L203" s="289">
        <f>K0kommunestruktur2020!L203</f>
        <v>262062</v>
      </c>
      <c r="M203" s="289">
        <f>K0kommunestruktur2020!M203</f>
        <v>10406</v>
      </c>
      <c r="N203" s="289">
        <f>K0kommunestruktur2020!N203</f>
        <v>268676</v>
      </c>
      <c r="O203" s="289">
        <f>K0kommunestruktur2020!O203</f>
        <v>10380</v>
      </c>
      <c r="P203" s="289">
        <f>K0kommunestruktur2020!P203</f>
        <v>269045</v>
      </c>
      <c r="Q203" s="289">
        <f>VLOOKUP(A203,'K21'!$A$4:$CI$359,3)</f>
        <v>10416</v>
      </c>
      <c r="R203" s="289">
        <f>VLOOKUP(A203,'K21'!$A$4:$BV$359,26)</f>
        <v>309402.73300000001</v>
      </c>
      <c r="S203" s="517"/>
      <c r="T203" s="517"/>
      <c r="U203" s="517"/>
      <c r="V203" s="517"/>
    </row>
    <row r="204" spans="1:22" ht="13">
      <c r="A204" s="755">
        <v>3815</v>
      </c>
      <c r="B204" s="756" t="s">
        <v>911</v>
      </c>
      <c r="C204" s="289">
        <f>K0kommunestruktur2020!C204</f>
        <v>4135</v>
      </c>
      <c r="D204" s="289">
        <f>K0kommunestruktur2020!D204</f>
        <v>74397</v>
      </c>
      <c r="E204" s="289">
        <f>K0kommunestruktur2020!E204</f>
        <v>4111</v>
      </c>
      <c r="F204" s="289">
        <f>K0kommunestruktur2020!F204</f>
        <v>77737</v>
      </c>
      <c r="G204" s="289">
        <f>K0kommunestruktur2020!G204</f>
        <v>4136</v>
      </c>
      <c r="H204" s="289">
        <f>K0kommunestruktur2020!H204</f>
        <v>83380</v>
      </c>
      <c r="I204" s="289">
        <f>K0kommunestruktur2020!I204</f>
        <v>4148</v>
      </c>
      <c r="J204" s="289">
        <f>K0kommunestruktur2020!J204</f>
        <v>85856</v>
      </c>
      <c r="K204" s="289">
        <f>K0kommunestruktur2020!K204</f>
        <v>4105</v>
      </c>
      <c r="L204" s="289">
        <f>K0kommunestruktur2020!L204</f>
        <v>89506</v>
      </c>
      <c r="M204" s="289">
        <f>K0kommunestruktur2020!M204</f>
        <v>4080</v>
      </c>
      <c r="N204" s="289">
        <f>K0kommunestruktur2020!N204</f>
        <v>91475</v>
      </c>
      <c r="O204" s="289">
        <f>K0kommunestruktur2020!O204</f>
        <v>4060</v>
      </c>
      <c r="P204" s="289">
        <f>K0kommunestruktur2020!P204</f>
        <v>94071</v>
      </c>
      <c r="Q204" s="289">
        <f>VLOOKUP(A204,'K21'!$A$4:$CI$359,3)</f>
        <v>4071</v>
      </c>
      <c r="R204" s="289">
        <f>VLOOKUP(A204,'K21'!$A$4:$BV$359,26)</f>
        <v>106553.28200000001</v>
      </c>
      <c r="S204" s="517"/>
      <c r="T204" s="517"/>
      <c r="U204" s="517"/>
      <c r="V204" s="517"/>
    </row>
    <row r="205" spans="1:22" ht="13">
      <c r="A205" s="755">
        <v>3816</v>
      </c>
      <c r="B205" s="756" t="s">
        <v>912</v>
      </c>
      <c r="C205" s="289">
        <f>K0kommunestruktur2020!C205</f>
        <v>6643</v>
      </c>
      <c r="D205" s="289">
        <f>K0kommunestruktur2020!D205</f>
        <v>133614</v>
      </c>
      <c r="E205" s="289">
        <f>K0kommunestruktur2020!E205</f>
        <v>6630</v>
      </c>
      <c r="F205" s="289">
        <f>K0kommunestruktur2020!F205</f>
        <v>140747</v>
      </c>
      <c r="G205" s="289">
        <f>K0kommunestruktur2020!G205</f>
        <v>6534</v>
      </c>
      <c r="H205" s="289">
        <f>K0kommunestruktur2020!H205</f>
        <v>142744</v>
      </c>
      <c r="I205" s="289">
        <f>K0kommunestruktur2020!I205</f>
        <v>6585</v>
      </c>
      <c r="J205" s="289">
        <f>K0kommunestruktur2020!J205</f>
        <v>146101</v>
      </c>
      <c r="K205" s="289">
        <f>K0kommunestruktur2020!K205</f>
        <v>6609</v>
      </c>
      <c r="L205" s="289">
        <f>K0kommunestruktur2020!L205</f>
        <v>155467</v>
      </c>
      <c r="M205" s="289">
        <f>K0kommunestruktur2020!M205</f>
        <v>6538</v>
      </c>
      <c r="N205" s="289">
        <f>K0kommunestruktur2020!N205</f>
        <v>161297</v>
      </c>
      <c r="O205" s="289">
        <f>K0kommunestruktur2020!O205</f>
        <v>6515</v>
      </c>
      <c r="P205" s="289">
        <f>K0kommunestruktur2020!P205</f>
        <v>158065</v>
      </c>
      <c r="Q205" s="289">
        <f>VLOOKUP(A205,'K21'!$A$4:$CI$359,3)</f>
        <v>6488</v>
      </c>
      <c r="R205" s="289">
        <f>VLOOKUP(A205,'K21'!$A$4:$BV$359,26)</f>
        <v>175956.23499999999</v>
      </c>
      <c r="S205" s="517"/>
      <c r="T205" s="517"/>
      <c r="U205" s="517"/>
      <c r="V205" s="517"/>
    </row>
    <row r="206" spans="1:22" ht="13">
      <c r="A206" s="755">
        <v>3817</v>
      </c>
      <c r="B206" s="756" t="s">
        <v>1627</v>
      </c>
      <c r="C206" s="289">
        <f>K0kommunestruktur2020!C206</f>
        <v>9742.3349812300003</v>
      </c>
      <c r="D206" s="289">
        <f>K0kommunestruktur2020!D206</f>
        <v>190758.54389815216</v>
      </c>
      <c r="E206" s="289">
        <f>K0kommunestruktur2020!E206</f>
        <v>9899.6086240000004</v>
      </c>
      <c r="F206" s="289">
        <f>K0kommunestruktur2020!F206</f>
        <v>202879.16323345384</v>
      </c>
      <c r="G206" s="289">
        <f>K0kommunestruktur2020!G206</f>
        <v>10010.8509567</v>
      </c>
      <c r="H206" s="289">
        <f>K0kommunestruktur2020!H206</f>
        <v>219597.1596631647</v>
      </c>
      <c r="I206" s="289">
        <f>K0kommunestruktur2020!I206</f>
        <v>10131.683145659999</v>
      </c>
      <c r="J206" s="289">
        <f>K0kommunestruktur2020!J206</f>
        <v>234448.01107763639</v>
      </c>
      <c r="K206" s="289">
        <f>K0kommunestruktur2020!K206</f>
        <v>10375.265494830001</v>
      </c>
      <c r="L206" s="289">
        <f>K0kommunestruktur2020!L206</f>
        <v>247525.6980683576</v>
      </c>
      <c r="M206" s="289">
        <f>K0kommunestruktur2020!M206</f>
        <v>10475</v>
      </c>
      <c r="N206" s="289">
        <f>K0kommunestruktur2020!N206</f>
        <v>254771.79346333424</v>
      </c>
      <c r="O206" s="289">
        <f>K0kommunestruktur2020!O206</f>
        <v>10444</v>
      </c>
      <c r="P206" s="289">
        <f>K0kommunestruktur2020!P206</f>
        <v>250588</v>
      </c>
      <c r="Q206" s="289">
        <f>VLOOKUP(A206,'K21'!$A$4:$CI$359,3)</f>
        <v>10461</v>
      </c>
      <c r="R206" s="289">
        <f>VLOOKUP(A206,'K21'!$A$4:$BV$359,26)</f>
        <v>281774.505</v>
      </c>
      <c r="S206" s="517"/>
      <c r="T206" s="517"/>
      <c r="U206" s="517"/>
      <c r="V206" s="517"/>
    </row>
    <row r="207" spans="1:22" ht="13">
      <c r="A207" s="755">
        <v>3818</v>
      </c>
      <c r="B207" s="756" t="s">
        <v>920</v>
      </c>
      <c r="C207" s="289">
        <f>K0kommunestruktur2020!C207</f>
        <v>5957</v>
      </c>
      <c r="D207" s="289">
        <f>K0kommunestruktur2020!D207</f>
        <v>171332</v>
      </c>
      <c r="E207" s="289">
        <f>K0kommunestruktur2020!E207</f>
        <v>5913</v>
      </c>
      <c r="F207" s="289">
        <f>K0kommunestruktur2020!F207</f>
        <v>175352</v>
      </c>
      <c r="G207" s="289">
        <f>K0kommunestruktur2020!G207</f>
        <v>5940</v>
      </c>
      <c r="H207" s="289">
        <f>K0kommunestruktur2020!H207</f>
        <v>186961</v>
      </c>
      <c r="I207" s="289">
        <f>K0kommunestruktur2020!I207</f>
        <v>5894</v>
      </c>
      <c r="J207" s="289">
        <f>K0kommunestruktur2020!J207</f>
        <v>193683</v>
      </c>
      <c r="K207" s="289">
        <f>K0kommunestruktur2020!K207</f>
        <v>5856</v>
      </c>
      <c r="L207" s="289">
        <f>K0kommunestruktur2020!L207</f>
        <v>199842</v>
      </c>
      <c r="M207" s="289">
        <f>K0kommunestruktur2020!M207</f>
        <v>5780</v>
      </c>
      <c r="N207" s="289">
        <f>K0kommunestruktur2020!N207</f>
        <v>205109</v>
      </c>
      <c r="O207" s="289">
        <f>K0kommunestruktur2020!O207</f>
        <v>5691</v>
      </c>
      <c r="P207" s="289">
        <f>K0kommunestruktur2020!P207</f>
        <v>204259</v>
      </c>
      <c r="Q207" s="289">
        <f>VLOOKUP(A207,'K21'!$A$4:$CI$359,3)</f>
        <v>5604</v>
      </c>
      <c r="R207" s="289">
        <f>VLOOKUP(A207,'K21'!$A$4:$BV$359,26)</f>
        <v>223349.69099999999</v>
      </c>
      <c r="S207" s="517"/>
      <c r="T207" s="517"/>
      <c r="U207" s="517"/>
      <c r="V207" s="517"/>
    </row>
    <row r="208" spans="1:22" ht="13">
      <c r="A208" s="755">
        <v>3819</v>
      </c>
      <c r="B208" s="756" t="s">
        <v>921</v>
      </c>
      <c r="C208" s="289">
        <f>K0kommunestruktur2020!C208</f>
        <v>1602</v>
      </c>
      <c r="D208" s="289">
        <f>K0kommunestruktur2020!D208</f>
        <v>39542</v>
      </c>
      <c r="E208" s="289">
        <f>K0kommunestruktur2020!E208</f>
        <v>1594</v>
      </c>
      <c r="F208" s="289">
        <f>K0kommunestruktur2020!F208</f>
        <v>42830</v>
      </c>
      <c r="G208" s="289">
        <f>K0kommunestruktur2020!G208</f>
        <v>1613</v>
      </c>
      <c r="H208" s="289">
        <f>K0kommunestruktur2020!H208</f>
        <v>40643</v>
      </c>
      <c r="I208" s="289">
        <f>K0kommunestruktur2020!I208</f>
        <v>1593</v>
      </c>
      <c r="J208" s="289">
        <f>K0kommunestruktur2020!J208</f>
        <v>43632</v>
      </c>
      <c r="K208" s="289">
        <f>K0kommunestruktur2020!K208</f>
        <v>1587</v>
      </c>
      <c r="L208" s="289">
        <f>K0kommunestruktur2020!L208</f>
        <v>47373</v>
      </c>
      <c r="M208" s="289">
        <f>K0kommunestruktur2020!M208</f>
        <v>1572</v>
      </c>
      <c r="N208" s="289">
        <f>K0kommunestruktur2020!N208</f>
        <v>48046</v>
      </c>
      <c r="O208" s="289">
        <f>K0kommunestruktur2020!O208</f>
        <v>1573</v>
      </c>
      <c r="P208" s="289">
        <f>K0kommunestruktur2020!P208</f>
        <v>47993</v>
      </c>
      <c r="Q208" s="289">
        <f>VLOOKUP(A208,'K21'!$A$4:$CI$359,3)</f>
        <v>1561</v>
      </c>
      <c r="R208" s="289">
        <f>VLOOKUP(A208,'K21'!$A$4:$BV$359,26)</f>
        <v>54653.358999999997</v>
      </c>
      <c r="S208" s="517"/>
      <c r="T208" s="517"/>
      <c r="U208" s="517"/>
      <c r="V208" s="517"/>
    </row>
    <row r="209" spans="1:22" ht="13">
      <c r="A209" s="755">
        <v>3820</v>
      </c>
      <c r="B209" s="756" t="s">
        <v>922</v>
      </c>
      <c r="C209" s="289">
        <f>K0kommunestruktur2020!C209</f>
        <v>2989</v>
      </c>
      <c r="D209" s="289">
        <f>K0kommunestruktur2020!D209</f>
        <v>65047</v>
      </c>
      <c r="E209" s="289">
        <f>K0kommunestruktur2020!E209</f>
        <v>3002</v>
      </c>
      <c r="F209" s="289">
        <f>K0kommunestruktur2020!F209</f>
        <v>68192</v>
      </c>
      <c r="G209" s="289">
        <f>K0kommunestruktur2020!G209</f>
        <v>2991</v>
      </c>
      <c r="H209" s="289">
        <f>K0kommunestruktur2020!H209</f>
        <v>77709</v>
      </c>
      <c r="I209" s="289">
        <f>K0kommunestruktur2020!I209</f>
        <v>2979</v>
      </c>
      <c r="J209" s="289">
        <f>K0kommunestruktur2020!J209</f>
        <v>76975</v>
      </c>
      <c r="K209" s="289">
        <f>K0kommunestruktur2020!K209</f>
        <v>2959</v>
      </c>
      <c r="L209" s="289">
        <f>K0kommunestruktur2020!L209</f>
        <v>79022</v>
      </c>
      <c r="M209" s="289">
        <f>K0kommunestruktur2020!M209</f>
        <v>2934</v>
      </c>
      <c r="N209" s="289">
        <f>K0kommunestruktur2020!N209</f>
        <v>79899</v>
      </c>
      <c r="O209" s="289">
        <f>K0kommunestruktur2020!O209</f>
        <v>2888</v>
      </c>
      <c r="P209" s="289">
        <f>K0kommunestruktur2020!P209</f>
        <v>81485</v>
      </c>
      <c r="Q209" s="289">
        <f>VLOOKUP(A209,'K21'!$A$4:$CI$359,3)</f>
        <v>2900</v>
      </c>
      <c r="R209" s="289">
        <f>VLOOKUP(A209,'K21'!$A$4:$BV$359,26)</f>
        <v>91555.714999999997</v>
      </c>
      <c r="S209" s="517"/>
      <c r="T209" s="517"/>
      <c r="U209" s="517"/>
      <c r="V209" s="517"/>
    </row>
    <row r="210" spans="1:22" ht="13">
      <c r="A210" s="755">
        <v>3821</v>
      </c>
      <c r="B210" s="756" t="s">
        <v>923</v>
      </c>
      <c r="C210" s="289">
        <f>K0kommunestruktur2020!C210</f>
        <v>2468</v>
      </c>
      <c r="D210" s="289">
        <f>K0kommunestruktur2020!D210</f>
        <v>50957</v>
      </c>
      <c r="E210" s="289">
        <f>K0kommunestruktur2020!E210</f>
        <v>2466</v>
      </c>
      <c r="F210" s="289">
        <f>K0kommunestruktur2020!F210</f>
        <v>53676</v>
      </c>
      <c r="G210" s="289">
        <f>K0kommunestruktur2020!G210</f>
        <v>2448</v>
      </c>
      <c r="H210" s="289">
        <f>K0kommunestruktur2020!H210</f>
        <v>59167</v>
      </c>
      <c r="I210" s="289">
        <f>K0kommunestruktur2020!I210</f>
        <v>2442</v>
      </c>
      <c r="J210" s="289">
        <f>K0kommunestruktur2020!J210</f>
        <v>59446</v>
      </c>
      <c r="K210" s="289">
        <f>K0kommunestruktur2020!K210</f>
        <v>2397</v>
      </c>
      <c r="L210" s="289">
        <f>K0kommunestruktur2020!L210</f>
        <v>63971</v>
      </c>
      <c r="M210" s="289">
        <f>K0kommunestruktur2020!M210</f>
        <v>2403</v>
      </c>
      <c r="N210" s="289">
        <f>K0kommunestruktur2020!N210</f>
        <v>65310</v>
      </c>
      <c r="O210" s="289">
        <f>K0kommunestruktur2020!O210</f>
        <v>2403</v>
      </c>
      <c r="P210" s="289">
        <f>K0kommunestruktur2020!P210</f>
        <v>67377</v>
      </c>
      <c r="Q210" s="289">
        <f>VLOOKUP(A210,'K21'!$A$4:$CI$359,3)</f>
        <v>2430</v>
      </c>
      <c r="R210" s="289">
        <f>VLOOKUP(A210,'K21'!$A$4:$BV$359,26)</f>
        <v>75949.521999999997</v>
      </c>
      <c r="S210" s="517"/>
      <c r="T210" s="517"/>
      <c r="U210" s="517"/>
      <c r="V210" s="517"/>
    </row>
    <row r="211" spans="1:22" ht="13">
      <c r="A211" s="755">
        <v>3822</v>
      </c>
      <c r="B211" s="756" t="s">
        <v>924</v>
      </c>
      <c r="C211" s="289">
        <f>K0kommunestruktur2020!C211</f>
        <v>1451</v>
      </c>
      <c r="D211" s="289">
        <f>K0kommunestruktur2020!D211</f>
        <v>36611</v>
      </c>
      <c r="E211" s="289">
        <f>K0kommunestruktur2020!E211</f>
        <v>1439</v>
      </c>
      <c r="F211" s="289">
        <f>K0kommunestruktur2020!F211</f>
        <v>37410</v>
      </c>
      <c r="G211" s="289">
        <f>K0kommunestruktur2020!G211</f>
        <v>1443</v>
      </c>
      <c r="H211" s="289">
        <f>K0kommunestruktur2020!H211</f>
        <v>39677</v>
      </c>
      <c r="I211" s="289">
        <f>K0kommunestruktur2020!I211</f>
        <v>1476</v>
      </c>
      <c r="J211" s="289">
        <f>K0kommunestruktur2020!J211</f>
        <v>41801</v>
      </c>
      <c r="K211" s="289">
        <f>K0kommunestruktur2020!K211</f>
        <v>1489</v>
      </c>
      <c r="L211" s="289">
        <f>K0kommunestruktur2020!L211</f>
        <v>43371</v>
      </c>
      <c r="M211" s="289">
        <f>K0kommunestruktur2020!M211</f>
        <v>1476</v>
      </c>
      <c r="N211" s="289">
        <f>K0kommunestruktur2020!N211</f>
        <v>43819</v>
      </c>
      <c r="O211" s="289">
        <f>K0kommunestruktur2020!O211</f>
        <v>1448</v>
      </c>
      <c r="P211" s="289">
        <f>K0kommunestruktur2020!P211</f>
        <v>42926</v>
      </c>
      <c r="Q211" s="289">
        <f>VLOOKUP(A211,'K21'!$A$4:$CI$359,3)</f>
        <v>1430</v>
      </c>
      <c r="R211" s="289">
        <f>VLOOKUP(A211,'K21'!$A$4:$BV$359,26)</f>
        <v>47756.73</v>
      </c>
      <c r="S211" s="517"/>
      <c r="T211" s="517"/>
      <c r="U211" s="517"/>
      <c r="V211" s="517"/>
    </row>
    <row r="212" spans="1:22" ht="13">
      <c r="A212" s="755">
        <v>3823</v>
      </c>
      <c r="B212" s="756" t="s">
        <v>925</v>
      </c>
      <c r="C212" s="289">
        <f>K0kommunestruktur2020!C212</f>
        <v>1303</v>
      </c>
      <c r="D212" s="289">
        <f>K0kommunestruktur2020!D212</f>
        <v>28797</v>
      </c>
      <c r="E212" s="289">
        <f>K0kommunestruktur2020!E212</f>
        <v>1298</v>
      </c>
      <c r="F212" s="289">
        <f>K0kommunestruktur2020!F212</f>
        <v>30134</v>
      </c>
      <c r="G212" s="289">
        <f>K0kommunestruktur2020!G212</f>
        <v>1323</v>
      </c>
      <c r="H212" s="289">
        <f>K0kommunestruktur2020!H212</f>
        <v>31376</v>
      </c>
      <c r="I212" s="289">
        <f>K0kommunestruktur2020!I212</f>
        <v>1319</v>
      </c>
      <c r="J212" s="289">
        <f>K0kommunestruktur2020!J212</f>
        <v>31788</v>
      </c>
      <c r="K212" s="289">
        <f>K0kommunestruktur2020!K212</f>
        <v>1320</v>
      </c>
      <c r="L212" s="289">
        <f>K0kommunestruktur2020!L212</f>
        <v>35116</v>
      </c>
      <c r="M212" s="289">
        <f>K0kommunestruktur2020!M212</f>
        <v>1286</v>
      </c>
      <c r="N212" s="289">
        <f>K0kommunestruktur2020!N212</f>
        <v>35476</v>
      </c>
      <c r="O212" s="289">
        <f>K0kommunestruktur2020!O212</f>
        <v>1287</v>
      </c>
      <c r="P212" s="289">
        <f>K0kommunestruktur2020!P212</f>
        <v>35369</v>
      </c>
      <c r="Q212" s="289">
        <f>VLOOKUP(A212,'K21'!$A$4:$CI$359,3)</f>
        <v>1228</v>
      </c>
      <c r="R212" s="289">
        <f>VLOOKUP(A212,'K21'!$A$4:$BV$359,26)</f>
        <v>39973.891000000003</v>
      </c>
      <c r="S212" s="517"/>
      <c r="T212" s="517"/>
      <c r="U212" s="517"/>
      <c r="V212" s="517"/>
    </row>
    <row r="213" spans="1:22" ht="13">
      <c r="A213" s="755">
        <v>3824</v>
      </c>
      <c r="B213" s="756" t="s">
        <v>926</v>
      </c>
      <c r="C213" s="289">
        <f>K0kommunestruktur2020!C213</f>
        <v>2257</v>
      </c>
      <c r="D213" s="289">
        <f>K0kommunestruktur2020!D213</f>
        <v>71072</v>
      </c>
      <c r="E213" s="289">
        <f>K0kommunestruktur2020!E213</f>
        <v>2252</v>
      </c>
      <c r="F213" s="289">
        <f>K0kommunestruktur2020!F213</f>
        <v>73784</v>
      </c>
      <c r="G213" s="289">
        <f>K0kommunestruktur2020!G213</f>
        <v>2246</v>
      </c>
      <c r="H213" s="289">
        <f>K0kommunestruktur2020!H213</f>
        <v>75679</v>
      </c>
      <c r="I213" s="289">
        <f>K0kommunestruktur2020!I213</f>
        <v>2228</v>
      </c>
      <c r="J213" s="289">
        <f>K0kommunestruktur2020!J213</f>
        <v>75885</v>
      </c>
      <c r="K213" s="289">
        <f>K0kommunestruktur2020!K213</f>
        <v>2236</v>
      </c>
      <c r="L213" s="289">
        <f>K0kommunestruktur2020!L213</f>
        <v>78415</v>
      </c>
      <c r="M213" s="289">
        <f>K0kommunestruktur2020!M213</f>
        <v>2228</v>
      </c>
      <c r="N213" s="289">
        <f>K0kommunestruktur2020!N213</f>
        <v>83047</v>
      </c>
      <c r="O213" s="289">
        <f>K0kommunestruktur2020!O213</f>
        <v>2201</v>
      </c>
      <c r="P213" s="289">
        <f>K0kommunestruktur2020!P213</f>
        <v>84882</v>
      </c>
      <c r="Q213" s="289">
        <f>VLOOKUP(A213,'K21'!$A$4:$CI$359,3)</f>
        <v>2164</v>
      </c>
      <c r="R213" s="289">
        <f>VLOOKUP(A213,'K21'!$A$4:$BV$359,26)</f>
        <v>94526.759000000005</v>
      </c>
      <c r="S213" s="517"/>
      <c r="T213" s="517"/>
      <c r="U213" s="517"/>
      <c r="V213" s="517"/>
    </row>
    <row r="214" spans="1:22" ht="13">
      <c r="A214" s="755">
        <v>3825</v>
      </c>
      <c r="B214" s="756" t="s">
        <v>927</v>
      </c>
      <c r="C214" s="289">
        <f>K0kommunestruktur2020!C214</f>
        <v>3723</v>
      </c>
      <c r="D214" s="289">
        <f>K0kommunestruktur2020!D214</f>
        <v>126108</v>
      </c>
      <c r="E214" s="289">
        <f>K0kommunestruktur2020!E214</f>
        <v>3689</v>
      </c>
      <c r="F214" s="289">
        <f>K0kommunestruktur2020!F214</f>
        <v>128208</v>
      </c>
      <c r="G214" s="289">
        <f>K0kommunestruktur2020!G214</f>
        <v>3727</v>
      </c>
      <c r="H214" s="289">
        <f>K0kommunestruktur2020!H214</f>
        <v>139735</v>
      </c>
      <c r="I214" s="289">
        <f>K0kommunestruktur2020!I214</f>
        <v>3726</v>
      </c>
      <c r="J214" s="289">
        <f>K0kommunestruktur2020!J214</f>
        <v>147661</v>
      </c>
      <c r="K214" s="289">
        <f>K0kommunestruktur2020!K214</f>
        <v>3709</v>
      </c>
      <c r="L214" s="289">
        <f>K0kommunestruktur2020!L214</f>
        <v>151716</v>
      </c>
      <c r="M214" s="289">
        <f>K0kommunestruktur2020!M214</f>
        <v>3723</v>
      </c>
      <c r="N214" s="289">
        <f>K0kommunestruktur2020!N214</f>
        <v>154659</v>
      </c>
      <c r="O214" s="289">
        <f>K0kommunestruktur2020!O214</f>
        <v>3676</v>
      </c>
      <c r="P214" s="289">
        <f>K0kommunestruktur2020!P214</f>
        <v>150015</v>
      </c>
      <c r="Q214" s="289">
        <f>VLOOKUP(A214,'K21'!$A$4:$CI$359,3)</f>
        <v>3756</v>
      </c>
      <c r="R214" s="289">
        <f>VLOOKUP(A214,'K21'!$A$4:$BV$359,26)</f>
        <v>172555.34</v>
      </c>
      <c r="S214" s="517"/>
      <c r="T214" s="517"/>
      <c r="U214" s="517"/>
      <c r="V214" s="517"/>
    </row>
    <row r="215" spans="1:22" ht="13">
      <c r="A215" s="755">
        <v>4201</v>
      </c>
      <c r="B215" s="756" t="s">
        <v>928</v>
      </c>
      <c r="C215" s="289">
        <f>K0kommunestruktur2020!C215</f>
        <v>6899</v>
      </c>
      <c r="D215" s="289">
        <f>K0kommunestruktur2020!D215</f>
        <v>134355</v>
      </c>
      <c r="E215" s="289">
        <f>K0kommunestruktur2020!E215</f>
        <v>6909</v>
      </c>
      <c r="F215" s="289">
        <f>K0kommunestruktur2020!F215</f>
        <v>147885</v>
      </c>
      <c r="G215" s="289">
        <f>K0kommunestruktur2020!G215</f>
        <v>6920</v>
      </c>
      <c r="H215" s="289">
        <f>K0kommunestruktur2020!H215</f>
        <v>167375</v>
      </c>
      <c r="I215" s="289">
        <f>K0kommunestruktur2020!I215</f>
        <v>6936</v>
      </c>
      <c r="J215" s="289">
        <f>K0kommunestruktur2020!J215</f>
        <v>169353</v>
      </c>
      <c r="K215" s="289">
        <f>K0kommunestruktur2020!K215</f>
        <v>6882</v>
      </c>
      <c r="L215" s="289">
        <f>K0kommunestruktur2020!L215</f>
        <v>167642</v>
      </c>
      <c r="M215" s="289">
        <f>K0kommunestruktur2020!M215</f>
        <v>6848</v>
      </c>
      <c r="N215" s="289">
        <f>K0kommunestruktur2020!N215</f>
        <v>177519</v>
      </c>
      <c r="O215" s="289">
        <f>K0kommunestruktur2020!O215</f>
        <v>6809</v>
      </c>
      <c r="P215" s="289">
        <f>K0kommunestruktur2020!P215</f>
        <v>180186</v>
      </c>
      <c r="Q215" s="289">
        <f>VLOOKUP(A215,'K21'!$A$4:$CI$359,3)</f>
        <v>6762</v>
      </c>
      <c r="R215" s="289">
        <f>VLOOKUP(A215,'K21'!$A$4:$BV$359,26)</f>
        <v>199212.78400000001</v>
      </c>
      <c r="S215" s="517"/>
      <c r="T215" s="517"/>
      <c r="U215" s="517"/>
      <c r="V215" s="517"/>
    </row>
    <row r="216" spans="1:22" ht="13">
      <c r="A216" s="755">
        <v>4202</v>
      </c>
      <c r="B216" s="756" t="s">
        <v>929</v>
      </c>
      <c r="C216" s="289">
        <f>K0kommunestruktur2020!C216</f>
        <v>21783</v>
      </c>
      <c r="D216" s="289">
        <f>K0kommunestruktur2020!D216</f>
        <v>553534</v>
      </c>
      <c r="E216" s="289">
        <f>K0kommunestruktur2020!E216</f>
        <v>22098</v>
      </c>
      <c r="F216" s="289">
        <f>K0kommunestruktur2020!F216</f>
        <v>543922</v>
      </c>
      <c r="G216" s="289">
        <f>K0kommunestruktur2020!G216</f>
        <v>22550</v>
      </c>
      <c r="H216" s="289">
        <f>K0kommunestruktur2020!H216</f>
        <v>604347</v>
      </c>
      <c r="I216" s="289">
        <f>K0kommunestruktur2020!I216</f>
        <v>22692</v>
      </c>
      <c r="J216" s="289">
        <f>K0kommunestruktur2020!J216</f>
        <v>697878</v>
      </c>
      <c r="K216" s="289">
        <f>K0kommunestruktur2020!K216</f>
        <v>23017</v>
      </c>
      <c r="L216" s="289">
        <f>K0kommunestruktur2020!L216</f>
        <v>637254</v>
      </c>
      <c r="M216" s="289">
        <f>K0kommunestruktur2020!M216</f>
        <v>23246</v>
      </c>
      <c r="N216" s="289">
        <f>K0kommunestruktur2020!N216</f>
        <v>551458</v>
      </c>
      <c r="O216" s="289">
        <f>K0kommunestruktur2020!O216</f>
        <v>23544</v>
      </c>
      <c r="P216" s="289">
        <f>K0kommunestruktur2020!P216</f>
        <v>635058</v>
      </c>
      <c r="Q216" s="289">
        <f>VLOOKUP(A216,'K21'!$A$4:$CI$359,3)</f>
        <v>23891</v>
      </c>
      <c r="R216" s="289">
        <f>VLOOKUP(A216,'K21'!$A$4:$BV$359,26)</f>
        <v>732951.91099999996</v>
      </c>
      <c r="S216" s="517"/>
      <c r="T216" s="517"/>
      <c r="U216" s="517"/>
      <c r="V216" s="517"/>
    </row>
    <row r="217" spans="1:22" ht="13">
      <c r="A217" s="755">
        <v>4203</v>
      </c>
      <c r="B217" s="756" t="s">
        <v>930</v>
      </c>
      <c r="C217" s="289">
        <f>K0kommunestruktur2020!C217</f>
        <v>43841</v>
      </c>
      <c r="D217" s="289">
        <f>K0kommunestruktur2020!D217</f>
        <v>938268</v>
      </c>
      <c r="E217" s="289">
        <f>K0kommunestruktur2020!E217</f>
        <v>44219</v>
      </c>
      <c r="F217" s="289">
        <f>K0kommunestruktur2020!F217</f>
        <v>1003175</v>
      </c>
      <c r="G217" s="289">
        <f>K0kommunestruktur2020!G217</f>
        <v>44313</v>
      </c>
      <c r="H217" s="289">
        <f>K0kommunestruktur2020!H217</f>
        <v>1080289</v>
      </c>
      <c r="I217" s="289">
        <f>K0kommunestruktur2020!I217</f>
        <v>44576</v>
      </c>
      <c r="J217" s="289">
        <f>K0kommunestruktur2020!J217</f>
        <v>1108406</v>
      </c>
      <c r="K217" s="289">
        <f>K0kommunestruktur2020!K217</f>
        <v>44645</v>
      </c>
      <c r="L217" s="289">
        <f>K0kommunestruktur2020!L217</f>
        <v>1138206</v>
      </c>
      <c r="M217" s="289">
        <f>K0kommunestruktur2020!M217</f>
        <v>44785</v>
      </c>
      <c r="N217" s="289">
        <f>K0kommunestruktur2020!N217</f>
        <v>1184748</v>
      </c>
      <c r="O217" s="289">
        <f>K0kommunestruktur2020!O217</f>
        <v>44999</v>
      </c>
      <c r="P217" s="289">
        <f>K0kommunestruktur2020!P217</f>
        <v>1167063</v>
      </c>
      <c r="Q217" s="289">
        <f>VLOOKUP(A217,'K21'!$A$4:$CI$359,3)</f>
        <v>45065</v>
      </c>
      <c r="R217" s="289">
        <f>VLOOKUP(A217,'K21'!$A$4:$BV$359,26)</f>
        <v>1363662.236</v>
      </c>
      <c r="S217" s="517"/>
      <c r="T217" s="517"/>
      <c r="U217" s="517"/>
      <c r="V217" s="517"/>
    </row>
    <row r="218" spans="1:22" ht="13">
      <c r="A218" s="755">
        <v>4204</v>
      </c>
      <c r="B218" s="756" t="s">
        <v>1628</v>
      </c>
      <c r="C218" s="289">
        <f>K0kommunestruktur2020!C218</f>
        <v>103291</v>
      </c>
      <c r="D218" s="289">
        <f>K0kommunestruktur2020!D218</f>
        <v>2405171</v>
      </c>
      <c r="E218" s="289">
        <f>K0kommunestruktur2020!E218</f>
        <v>105017</v>
      </c>
      <c r="F218" s="289">
        <f>K0kommunestruktur2020!F218</f>
        <v>2540754</v>
      </c>
      <c r="G218" s="289">
        <f>K0kommunestruktur2020!G218</f>
        <v>106126</v>
      </c>
      <c r="H218" s="289">
        <f>K0kommunestruktur2020!H218</f>
        <v>2745531</v>
      </c>
      <c r="I218" s="289">
        <f>K0kommunestruktur2020!I218</f>
        <v>107157</v>
      </c>
      <c r="J218" s="289">
        <f>K0kommunestruktur2020!J218</f>
        <v>2802164</v>
      </c>
      <c r="K218" s="289">
        <f>K0kommunestruktur2020!K218</f>
        <v>109438</v>
      </c>
      <c r="L218" s="289">
        <f>K0kommunestruktur2020!L218</f>
        <v>2968176</v>
      </c>
      <c r="M218" s="289">
        <f>K0kommunestruktur2020!M218</f>
        <v>110391</v>
      </c>
      <c r="N218" s="289">
        <f>K0kommunestruktur2020!N218</f>
        <v>3051787</v>
      </c>
      <c r="O218" s="289">
        <f>K0kommunestruktur2020!O218</f>
        <v>111633</v>
      </c>
      <c r="P218" s="289">
        <f>K0kommunestruktur2020!P218</f>
        <v>3039670</v>
      </c>
      <c r="Q218" s="289">
        <f>VLOOKUP(A218,'K21'!$A$4:$CI$359,3)</f>
        <v>112588</v>
      </c>
      <c r="R218" s="289">
        <f>VLOOKUP(A218,'K21'!$A$4:$BV$359,26)</f>
        <v>3521880.56</v>
      </c>
      <c r="S218" s="517"/>
      <c r="T218" s="517"/>
      <c r="U218" s="517"/>
      <c r="V218" s="517"/>
    </row>
    <row r="219" spans="1:22" ht="13">
      <c r="A219" s="755">
        <v>4205</v>
      </c>
      <c r="B219" s="756" t="s">
        <v>1629</v>
      </c>
      <c r="C219" s="289">
        <f>K0kommunestruktur2020!C219</f>
        <v>22492</v>
      </c>
      <c r="D219" s="289">
        <f>K0kommunestruktur2020!D219</f>
        <v>447051</v>
      </c>
      <c r="E219" s="289">
        <f>K0kommunestruktur2020!E219</f>
        <v>22611</v>
      </c>
      <c r="F219" s="289">
        <f>K0kommunestruktur2020!F219</f>
        <v>480798</v>
      </c>
      <c r="G219" s="289">
        <f>K0kommunestruktur2020!G219</f>
        <v>22762</v>
      </c>
      <c r="H219" s="289">
        <f>K0kommunestruktur2020!H219</f>
        <v>526541</v>
      </c>
      <c r="I219" s="289">
        <f>K0kommunestruktur2020!I219</f>
        <v>22859</v>
      </c>
      <c r="J219" s="289">
        <f>K0kommunestruktur2020!J219</f>
        <v>551941</v>
      </c>
      <c r="K219" s="289">
        <f>K0kommunestruktur2020!K219</f>
        <v>22905</v>
      </c>
      <c r="L219" s="289">
        <f>K0kommunestruktur2020!L219</f>
        <v>566314</v>
      </c>
      <c r="M219" s="289">
        <f>K0kommunestruktur2020!M219</f>
        <v>22909</v>
      </c>
      <c r="N219" s="289">
        <f>K0kommunestruktur2020!N219</f>
        <v>595597</v>
      </c>
      <c r="O219" s="289">
        <f>K0kommunestruktur2020!O219</f>
        <v>23046</v>
      </c>
      <c r="P219" s="289">
        <f>K0kommunestruktur2020!P219</f>
        <v>591163</v>
      </c>
      <c r="Q219" s="289">
        <f>VLOOKUP(A219,'K21'!$A$4:$CI$359,3)</f>
        <v>23055</v>
      </c>
      <c r="R219" s="289">
        <f>VLOOKUP(A219,'K21'!$A$4:$BV$359,26)</f>
        <v>662637.62300000002</v>
      </c>
      <c r="S219" s="517"/>
      <c r="T219" s="517"/>
      <c r="U219" s="517"/>
      <c r="V219" s="517"/>
    </row>
    <row r="220" spans="1:22" ht="13">
      <c r="A220" s="755">
        <v>4206</v>
      </c>
      <c r="B220" s="756" t="s">
        <v>944</v>
      </c>
      <c r="C220" s="289">
        <f>K0kommunestruktur2020!C220</f>
        <v>9516</v>
      </c>
      <c r="D220" s="289">
        <f>K0kommunestruktur2020!D220</f>
        <v>213055</v>
      </c>
      <c r="E220" s="289">
        <f>K0kommunestruktur2020!E220</f>
        <v>9596</v>
      </c>
      <c r="F220" s="289">
        <f>K0kommunestruktur2020!F220</f>
        <v>220937</v>
      </c>
      <c r="G220" s="289">
        <f>K0kommunestruktur2020!G220</f>
        <v>9705</v>
      </c>
      <c r="H220" s="289">
        <f>K0kommunestruktur2020!H220</f>
        <v>232824</v>
      </c>
      <c r="I220" s="289">
        <f>K0kommunestruktur2020!I220</f>
        <v>9769</v>
      </c>
      <c r="J220" s="289">
        <f>K0kommunestruktur2020!J220</f>
        <v>236747</v>
      </c>
      <c r="K220" s="289">
        <f>K0kommunestruktur2020!K220</f>
        <v>9726</v>
      </c>
      <c r="L220" s="289">
        <f>K0kommunestruktur2020!L220</f>
        <v>246461</v>
      </c>
      <c r="M220" s="289">
        <f>K0kommunestruktur2020!M220</f>
        <v>9695</v>
      </c>
      <c r="N220" s="289">
        <f>K0kommunestruktur2020!N220</f>
        <v>255900</v>
      </c>
      <c r="O220" s="289">
        <f>K0kommunestruktur2020!O220</f>
        <v>9691</v>
      </c>
      <c r="P220" s="289">
        <f>K0kommunestruktur2020!P220</f>
        <v>247224</v>
      </c>
      <c r="Q220" s="289">
        <f>VLOOKUP(A220,'K21'!$A$4:$CI$359,3)</f>
        <v>9645</v>
      </c>
      <c r="R220" s="289">
        <f>VLOOKUP(A220,'K21'!$A$4:$BV$359,26)</f>
        <v>282688.32199999999</v>
      </c>
      <c r="S220" s="517"/>
      <c r="T220" s="517"/>
      <c r="U220" s="517"/>
      <c r="V220" s="517"/>
    </row>
    <row r="221" spans="1:22" ht="13">
      <c r="A221" s="755">
        <v>4207</v>
      </c>
      <c r="B221" s="756" t="s">
        <v>946</v>
      </c>
      <c r="C221" s="289">
        <f>K0kommunestruktur2020!C221</f>
        <v>9013</v>
      </c>
      <c r="D221" s="289">
        <f>K0kommunestruktur2020!D221</f>
        <v>207629</v>
      </c>
      <c r="E221" s="289">
        <f>K0kommunestruktur2020!E221</f>
        <v>9069</v>
      </c>
      <c r="F221" s="289">
        <f>K0kommunestruktur2020!F221</f>
        <v>221234</v>
      </c>
      <c r="G221" s="289">
        <f>K0kommunestruktur2020!G221</f>
        <v>9096</v>
      </c>
      <c r="H221" s="289">
        <f>K0kommunestruktur2020!H221</f>
        <v>234968</v>
      </c>
      <c r="I221" s="289">
        <f>K0kommunestruktur2020!I221</f>
        <v>9090</v>
      </c>
      <c r="J221" s="289">
        <f>K0kommunestruktur2020!J221</f>
        <v>235474</v>
      </c>
      <c r="K221" s="289">
        <f>K0kommunestruktur2020!K221</f>
        <v>9066</v>
      </c>
      <c r="L221" s="289">
        <f>K0kommunestruktur2020!L221</f>
        <v>241314</v>
      </c>
      <c r="M221" s="289">
        <f>K0kommunestruktur2020!M221</f>
        <v>9066</v>
      </c>
      <c r="N221" s="289">
        <f>K0kommunestruktur2020!N221</f>
        <v>248272</v>
      </c>
      <c r="O221" s="289">
        <f>K0kommunestruktur2020!O221</f>
        <v>9028</v>
      </c>
      <c r="P221" s="289">
        <f>K0kommunestruktur2020!P221</f>
        <v>244980</v>
      </c>
      <c r="Q221" s="289">
        <f>VLOOKUP(A221,'K21'!$A$4:$CI$359,3)</f>
        <v>9027</v>
      </c>
      <c r="R221" s="289">
        <f>VLOOKUP(A221,'K21'!$A$4:$BV$359,26)</f>
        <v>274161.28899999999</v>
      </c>
      <c r="S221" s="517"/>
      <c r="T221" s="517"/>
      <c r="U221" s="517"/>
      <c r="V221" s="517"/>
    </row>
    <row r="222" spans="1:22" ht="13">
      <c r="A222" s="755">
        <v>4211</v>
      </c>
      <c r="B222" s="756" t="s">
        <v>931</v>
      </c>
      <c r="C222" s="289">
        <f>K0kommunestruktur2020!C222</f>
        <v>2489</v>
      </c>
      <c r="D222" s="289">
        <f>K0kommunestruktur2020!D222</f>
        <v>42217</v>
      </c>
      <c r="E222" s="289">
        <f>K0kommunestruktur2020!E222</f>
        <v>2481</v>
      </c>
      <c r="F222" s="289">
        <f>K0kommunestruktur2020!F222</f>
        <v>45870</v>
      </c>
      <c r="G222" s="289">
        <f>K0kommunestruktur2020!G222</f>
        <v>2473</v>
      </c>
      <c r="H222" s="289">
        <f>K0kommunestruktur2020!H222</f>
        <v>50912</v>
      </c>
      <c r="I222" s="289">
        <f>K0kommunestruktur2020!I222</f>
        <v>2511</v>
      </c>
      <c r="J222" s="289">
        <f>K0kommunestruktur2020!J222</f>
        <v>47795</v>
      </c>
      <c r="K222" s="289">
        <f>K0kommunestruktur2020!K222</f>
        <v>2467</v>
      </c>
      <c r="L222" s="289">
        <f>K0kommunestruktur2020!L222</f>
        <v>49187</v>
      </c>
      <c r="M222" s="289">
        <f>K0kommunestruktur2020!M222</f>
        <v>2454</v>
      </c>
      <c r="N222" s="289">
        <f>K0kommunestruktur2020!N222</f>
        <v>53222</v>
      </c>
      <c r="O222" s="289">
        <f>K0kommunestruktur2020!O222</f>
        <v>2428</v>
      </c>
      <c r="P222" s="289">
        <f>K0kommunestruktur2020!P222</f>
        <v>52631</v>
      </c>
      <c r="Q222" s="289">
        <f>VLOOKUP(A222,'K21'!$A$4:$CI$359,3)</f>
        <v>2430</v>
      </c>
      <c r="R222" s="289">
        <f>VLOOKUP(A222,'K21'!$A$4:$BV$359,26)</f>
        <v>60138.071000000004</v>
      </c>
      <c r="S222" s="517"/>
      <c r="T222" s="517"/>
      <c r="U222" s="517"/>
      <c r="V222" s="517"/>
    </row>
    <row r="223" spans="1:22" ht="13">
      <c r="A223" s="755">
        <v>4212</v>
      </c>
      <c r="B223" s="756" t="s">
        <v>706</v>
      </c>
      <c r="C223" s="289">
        <f>K0kommunestruktur2020!C223</f>
        <v>2000</v>
      </c>
      <c r="D223" s="289">
        <f>K0kommunestruktur2020!D223</f>
        <v>33620</v>
      </c>
      <c r="E223" s="289">
        <f>K0kommunestruktur2020!E223</f>
        <v>2018</v>
      </c>
      <c r="F223" s="289">
        <f>K0kommunestruktur2020!F223</f>
        <v>35967</v>
      </c>
      <c r="G223" s="289">
        <f>K0kommunestruktur2020!G223</f>
        <v>2036</v>
      </c>
      <c r="H223" s="289">
        <f>K0kommunestruktur2020!H223</f>
        <v>38688</v>
      </c>
      <c r="I223" s="289">
        <f>K0kommunestruktur2020!I223</f>
        <v>2104</v>
      </c>
      <c r="J223" s="289">
        <f>K0kommunestruktur2020!J223</f>
        <v>43056</v>
      </c>
      <c r="K223" s="289">
        <f>K0kommunestruktur2020!K223</f>
        <v>2087</v>
      </c>
      <c r="L223" s="289">
        <f>K0kommunestruktur2020!L223</f>
        <v>44994</v>
      </c>
      <c r="M223" s="289">
        <f>K0kommunestruktur2020!M223</f>
        <v>2093</v>
      </c>
      <c r="N223" s="289">
        <f>K0kommunestruktur2020!N223</f>
        <v>46962</v>
      </c>
      <c r="O223" s="289">
        <f>K0kommunestruktur2020!O223</f>
        <v>2097</v>
      </c>
      <c r="P223" s="289">
        <f>K0kommunestruktur2020!P223</f>
        <v>47456</v>
      </c>
      <c r="Q223" s="289">
        <f>VLOOKUP(A223,'K21'!$A$4:$CI$359,3)</f>
        <v>2128</v>
      </c>
      <c r="R223" s="289">
        <f>VLOOKUP(A223,'K21'!$A$4:$BV$359,26)</f>
        <v>53853.637999999999</v>
      </c>
      <c r="S223" s="517"/>
      <c r="T223" s="517"/>
      <c r="U223" s="517"/>
      <c r="V223" s="517"/>
    </row>
    <row r="224" spans="1:22" ht="13">
      <c r="A224" s="755">
        <v>4213</v>
      </c>
      <c r="B224" s="756" t="s">
        <v>932</v>
      </c>
      <c r="C224" s="289">
        <f>K0kommunestruktur2020!C224</f>
        <v>6059</v>
      </c>
      <c r="D224" s="289">
        <f>K0kommunestruktur2020!D224</f>
        <v>123581</v>
      </c>
      <c r="E224" s="289">
        <f>K0kommunestruktur2020!E224</f>
        <v>6048</v>
      </c>
      <c r="F224" s="289">
        <f>K0kommunestruktur2020!F224</f>
        <v>126293</v>
      </c>
      <c r="G224" s="289">
        <f>K0kommunestruktur2020!G224</f>
        <v>6014</v>
      </c>
      <c r="H224" s="289">
        <f>K0kommunestruktur2020!H224</f>
        <v>139825</v>
      </c>
      <c r="I224" s="289">
        <f>K0kommunestruktur2020!I224</f>
        <v>6051</v>
      </c>
      <c r="J224" s="289">
        <f>K0kommunestruktur2020!J224</f>
        <v>140112</v>
      </c>
      <c r="K224" s="289">
        <f>K0kommunestruktur2020!K224</f>
        <v>6086</v>
      </c>
      <c r="L224" s="289">
        <f>K0kommunestruktur2020!L224</f>
        <v>145870</v>
      </c>
      <c r="M224" s="289">
        <f>K0kommunestruktur2020!M224</f>
        <v>6069</v>
      </c>
      <c r="N224" s="289">
        <f>K0kommunestruktur2020!N224</f>
        <v>160923</v>
      </c>
      <c r="O224" s="289">
        <f>K0kommunestruktur2020!O224</f>
        <v>6053</v>
      </c>
      <c r="P224" s="289">
        <f>K0kommunestruktur2020!P224</f>
        <v>157539</v>
      </c>
      <c r="Q224" s="289">
        <f>VLOOKUP(A224,'K21'!$A$4:$CI$359,3)</f>
        <v>6067</v>
      </c>
      <c r="R224" s="289">
        <f>VLOOKUP(A224,'K21'!$A$4:$BV$359,26)</f>
        <v>179389.15</v>
      </c>
      <c r="S224" s="517"/>
      <c r="T224" s="517"/>
      <c r="U224" s="517"/>
      <c r="V224" s="517"/>
    </row>
    <row r="225" spans="1:22" ht="13">
      <c r="A225" s="755">
        <v>4214</v>
      </c>
      <c r="B225" s="756" t="s">
        <v>933</v>
      </c>
      <c r="C225" s="289">
        <f>K0kommunestruktur2020!C225</f>
        <v>5486</v>
      </c>
      <c r="D225" s="289">
        <f>K0kommunestruktur2020!D225</f>
        <v>106068</v>
      </c>
      <c r="E225" s="289">
        <f>K0kommunestruktur2020!E225</f>
        <v>5532</v>
      </c>
      <c r="F225" s="289">
        <f>K0kommunestruktur2020!F225</f>
        <v>112002</v>
      </c>
      <c r="G225" s="289">
        <f>K0kommunestruktur2020!G225</f>
        <v>5618</v>
      </c>
      <c r="H225" s="289">
        <f>K0kommunestruktur2020!H225</f>
        <v>118832</v>
      </c>
      <c r="I225" s="289">
        <f>K0kommunestruktur2020!I225</f>
        <v>5713</v>
      </c>
      <c r="J225" s="289">
        <f>K0kommunestruktur2020!J225</f>
        <v>126994</v>
      </c>
      <c r="K225" s="289">
        <f>K0kommunestruktur2020!K225</f>
        <v>5790</v>
      </c>
      <c r="L225" s="289">
        <f>K0kommunestruktur2020!L225</f>
        <v>133413</v>
      </c>
      <c r="M225" s="289">
        <f>K0kommunestruktur2020!M225</f>
        <v>5845</v>
      </c>
      <c r="N225" s="289">
        <f>K0kommunestruktur2020!N225</f>
        <v>137039</v>
      </c>
      <c r="O225" s="289">
        <f>K0kommunestruktur2020!O225</f>
        <v>5951</v>
      </c>
      <c r="P225" s="289">
        <f>K0kommunestruktur2020!P225</f>
        <v>137823</v>
      </c>
      <c r="Q225" s="289">
        <f>VLOOKUP(A225,'K21'!$A$4:$CI$359,3)</f>
        <v>6004</v>
      </c>
      <c r="R225" s="289">
        <f>VLOOKUP(A225,'K21'!$A$4:$BV$359,26)</f>
        <v>164590.89499999999</v>
      </c>
      <c r="S225" s="517"/>
      <c r="T225" s="517"/>
      <c r="U225" s="517"/>
      <c r="V225" s="517"/>
    </row>
    <row r="226" spans="1:22" ht="13">
      <c r="A226" s="755">
        <v>4215</v>
      </c>
      <c r="B226" s="756" t="s">
        <v>934</v>
      </c>
      <c r="C226" s="289">
        <f>K0kommunestruktur2020!C226</f>
        <v>10106</v>
      </c>
      <c r="D226" s="289">
        <f>K0kommunestruktur2020!D226</f>
        <v>235481</v>
      </c>
      <c r="E226" s="289">
        <f>K0kommunestruktur2020!E226</f>
        <v>10340</v>
      </c>
      <c r="F226" s="289">
        <f>K0kommunestruktur2020!F226</f>
        <v>247000</v>
      </c>
      <c r="G226" s="289">
        <f>K0kommunestruktur2020!G226</f>
        <v>10577</v>
      </c>
      <c r="H226" s="289">
        <f>K0kommunestruktur2020!H226</f>
        <v>278121</v>
      </c>
      <c r="I226" s="289">
        <f>K0kommunestruktur2020!I226</f>
        <v>10702</v>
      </c>
      <c r="J226" s="289">
        <f>K0kommunestruktur2020!J226</f>
        <v>288478</v>
      </c>
      <c r="K226" s="289">
        <f>K0kommunestruktur2020!K226</f>
        <v>10871</v>
      </c>
      <c r="L226" s="289">
        <f>K0kommunestruktur2020!L226</f>
        <v>300378</v>
      </c>
      <c r="M226" s="289">
        <f>K0kommunestruktur2020!M226</f>
        <v>10990</v>
      </c>
      <c r="N226" s="289">
        <f>K0kommunestruktur2020!N226</f>
        <v>311373</v>
      </c>
      <c r="O226" s="289">
        <f>K0kommunestruktur2020!O226</f>
        <v>11074</v>
      </c>
      <c r="P226" s="289">
        <f>K0kommunestruktur2020!P226</f>
        <v>306882</v>
      </c>
      <c r="Q226" s="289">
        <f>VLOOKUP(A226,'K21'!$A$4:$CI$359,3)</f>
        <v>11180</v>
      </c>
      <c r="R226" s="289">
        <f>VLOOKUP(A226,'K21'!$A$4:$BV$359,26)</f>
        <v>363857.75599999999</v>
      </c>
      <c r="S226" s="517"/>
      <c r="T226" s="517"/>
      <c r="U226" s="517"/>
      <c r="V226" s="517"/>
    </row>
    <row r="227" spans="1:22" ht="13">
      <c r="A227" s="755">
        <v>4216</v>
      </c>
      <c r="B227" s="756" t="s">
        <v>935</v>
      </c>
      <c r="C227" s="289">
        <f>K0kommunestruktur2020!C227</f>
        <v>4993</v>
      </c>
      <c r="D227" s="289">
        <f>K0kommunestruktur2020!D227</f>
        <v>89117</v>
      </c>
      <c r="E227" s="289">
        <f>K0kommunestruktur2020!E227</f>
        <v>5035</v>
      </c>
      <c r="F227" s="289">
        <f>K0kommunestruktur2020!F227</f>
        <v>92381</v>
      </c>
      <c r="G227" s="289">
        <f>K0kommunestruktur2020!G227</f>
        <v>5147</v>
      </c>
      <c r="H227" s="289">
        <f>K0kommunestruktur2020!H227</f>
        <v>100305</v>
      </c>
      <c r="I227" s="289">
        <f>K0kommunestruktur2020!I227</f>
        <v>5178</v>
      </c>
      <c r="J227" s="289">
        <f>K0kommunestruktur2020!J227</f>
        <v>106505</v>
      </c>
      <c r="K227" s="289">
        <f>K0kommunestruktur2020!K227</f>
        <v>5187</v>
      </c>
      <c r="L227" s="289">
        <f>K0kommunestruktur2020!L227</f>
        <v>116344</v>
      </c>
      <c r="M227" s="289">
        <f>K0kommunestruktur2020!M227</f>
        <v>5239</v>
      </c>
      <c r="N227" s="289">
        <f>K0kommunestruktur2020!N227</f>
        <v>121884</v>
      </c>
      <c r="O227" s="289">
        <f>K0kommunestruktur2020!O227</f>
        <v>5226</v>
      </c>
      <c r="P227" s="289">
        <f>K0kommunestruktur2020!P227</f>
        <v>118038</v>
      </c>
      <c r="Q227" s="289">
        <f>VLOOKUP(A227,'K21'!$A$4:$CI$359,3)</f>
        <v>5274</v>
      </c>
      <c r="R227" s="289">
        <f>VLOOKUP(A227,'K21'!$A$4:$BV$359,26)</f>
        <v>134213.856</v>
      </c>
      <c r="S227" s="517"/>
      <c r="T227" s="517"/>
      <c r="U227" s="517"/>
      <c r="V227" s="517"/>
    </row>
    <row r="228" spans="1:22" ht="13">
      <c r="A228" s="755">
        <v>4217</v>
      </c>
      <c r="B228" s="756" t="s">
        <v>936</v>
      </c>
      <c r="C228" s="289">
        <f>K0kommunestruktur2020!C228</f>
        <v>1810</v>
      </c>
      <c r="D228" s="289">
        <f>K0kommunestruktur2020!D228</f>
        <v>36347</v>
      </c>
      <c r="E228" s="289">
        <f>K0kommunestruktur2020!E228</f>
        <v>1832</v>
      </c>
      <c r="F228" s="289">
        <f>K0kommunestruktur2020!F228</f>
        <v>40277</v>
      </c>
      <c r="G228" s="289">
        <f>K0kommunestruktur2020!G228</f>
        <v>1847</v>
      </c>
      <c r="H228" s="289">
        <f>K0kommunestruktur2020!H228</f>
        <v>44122</v>
      </c>
      <c r="I228" s="289">
        <f>K0kommunestruktur2020!I228</f>
        <v>1856</v>
      </c>
      <c r="J228" s="289">
        <f>K0kommunestruktur2020!J228</f>
        <v>47046</v>
      </c>
      <c r="K228" s="289">
        <f>K0kommunestruktur2020!K228</f>
        <v>1845</v>
      </c>
      <c r="L228" s="289">
        <f>K0kommunestruktur2020!L228</f>
        <v>42219</v>
      </c>
      <c r="M228" s="289">
        <f>K0kommunestruktur2020!M228</f>
        <v>1848</v>
      </c>
      <c r="N228" s="289">
        <f>K0kommunestruktur2020!N228</f>
        <v>44108</v>
      </c>
      <c r="O228" s="289">
        <f>K0kommunestruktur2020!O228</f>
        <v>1836</v>
      </c>
      <c r="P228" s="289">
        <f>K0kommunestruktur2020!P228</f>
        <v>44751</v>
      </c>
      <c r="Q228" s="289">
        <f>VLOOKUP(A228,'K21'!$A$4:$CI$359,3)</f>
        <v>1822</v>
      </c>
      <c r="R228" s="289">
        <f>VLOOKUP(A228,'K21'!$A$4:$BV$359,26)</f>
        <v>51760.203999999998</v>
      </c>
      <c r="S228" s="517"/>
      <c r="T228" s="517"/>
      <c r="U228" s="517"/>
      <c r="V228" s="517"/>
    </row>
    <row r="229" spans="1:22" ht="13">
      <c r="A229" s="755">
        <v>4218</v>
      </c>
      <c r="B229" s="756" t="s">
        <v>937</v>
      </c>
      <c r="C229" s="289">
        <f>K0kommunestruktur2020!C229</f>
        <v>1314</v>
      </c>
      <c r="D229" s="289">
        <f>K0kommunestruktur2020!D229</f>
        <v>24646</v>
      </c>
      <c r="E229" s="289">
        <f>K0kommunestruktur2020!E229</f>
        <v>1315</v>
      </c>
      <c r="F229" s="289">
        <f>K0kommunestruktur2020!F229</f>
        <v>26726</v>
      </c>
      <c r="G229" s="289">
        <f>K0kommunestruktur2020!G229</f>
        <v>1317</v>
      </c>
      <c r="H229" s="289">
        <f>K0kommunestruktur2020!H229</f>
        <v>27581</v>
      </c>
      <c r="I229" s="289">
        <f>K0kommunestruktur2020!I229</f>
        <v>1342</v>
      </c>
      <c r="J229" s="289">
        <f>K0kommunestruktur2020!J229</f>
        <v>29311</v>
      </c>
      <c r="K229" s="289">
        <f>K0kommunestruktur2020!K229</f>
        <v>1330</v>
      </c>
      <c r="L229" s="289">
        <f>K0kommunestruktur2020!L229</f>
        <v>31104</v>
      </c>
      <c r="M229" s="289">
        <f>K0kommunestruktur2020!M229</f>
        <v>1326</v>
      </c>
      <c r="N229" s="289">
        <f>K0kommunestruktur2020!N229</f>
        <v>32415</v>
      </c>
      <c r="O229" s="289">
        <f>K0kommunestruktur2020!O229</f>
        <v>1331</v>
      </c>
      <c r="P229" s="289">
        <f>K0kommunestruktur2020!P229</f>
        <v>31898</v>
      </c>
      <c r="Q229" s="289">
        <f>VLOOKUP(A229,'K21'!$A$4:$CI$359,3)</f>
        <v>1335</v>
      </c>
      <c r="R229" s="289">
        <f>VLOOKUP(A229,'K21'!$A$4:$BV$359,26)</f>
        <v>35599.732000000004</v>
      </c>
      <c r="S229" s="517"/>
      <c r="T229" s="517"/>
      <c r="U229" s="517"/>
      <c r="V229" s="517"/>
    </row>
    <row r="230" spans="1:22" ht="13">
      <c r="A230" s="755">
        <v>4219</v>
      </c>
      <c r="B230" s="756" t="s">
        <v>938</v>
      </c>
      <c r="C230" s="289">
        <f>K0kommunestruktur2020!C230</f>
        <v>3576</v>
      </c>
      <c r="D230" s="289">
        <f>K0kommunestruktur2020!D230</f>
        <v>68186</v>
      </c>
      <c r="E230" s="289">
        <f>K0kommunestruktur2020!E230</f>
        <v>3594</v>
      </c>
      <c r="F230" s="289">
        <f>K0kommunestruktur2020!F230</f>
        <v>71580</v>
      </c>
      <c r="G230" s="289">
        <f>K0kommunestruktur2020!G230</f>
        <v>3582</v>
      </c>
      <c r="H230" s="289">
        <f>K0kommunestruktur2020!H230</f>
        <v>74820</v>
      </c>
      <c r="I230" s="289">
        <f>K0kommunestruktur2020!I230</f>
        <v>3614</v>
      </c>
      <c r="J230" s="289">
        <f>K0kommunestruktur2020!J230</f>
        <v>78942</v>
      </c>
      <c r="K230" s="289">
        <f>K0kommunestruktur2020!K230</f>
        <v>3625</v>
      </c>
      <c r="L230" s="289">
        <f>K0kommunestruktur2020!L230</f>
        <v>81464</v>
      </c>
      <c r="M230" s="289">
        <f>K0kommunestruktur2020!M230</f>
        <v>3638</v>
      </c>
      <c r="N230" s="289">
        <f>K0kommunestruktur2020!N230</f>
        <v>83690</v>
      </c>
      <c r="O230" s="289">
        <f>K0kommunestruktur2020!O230</f>
        <v>3634</v>
      </c>
      <c r="P230" s="289">
        <f>K0kommunestruktur2020!P230</f>
        <v>87736</v>
      </c>
      <c r="Q230" s="289">
        <f>VLOOKUP(A230,'K21'!$A$4:$CI$359,3)</f>
        <v>3619</v>
      </c>
      <c r="R230" s="289">
        <f>VLOOKUP(A230,'K21'!$A$4:$BV$359,26)</f>
        <v>96303.792000000001</v>
      </c>
      <c r="S230" s="517"/>
      <c r="T230" s="517"/>
      <c r="U230" s="517"/>
      <c r="V230" s="517"/>
    </row>
    <row r="231" spans="1:22" ht="13">
      <c r="A231" s="755">
        <v>4220</v>
      </c>
      <c r="B231" s="756" t="s">
        <v>939</v>
      </c>
      <c r="C231" s="289">
        <f>K0kommunestruktur2020!C231</f>
        <v>1200</v>
      </c>
      <c r="D231" s="289">
        <f>K0kommunestruktur2020!D231</f>
        <v>26132</v>
      </c>
      <c r="E231" s="289">
        <f>K0kommunestruktur2020!E231</f>
        <v>1189</v>
      </c>
      <c r="F231" s="289">
        <f>K0kommunestruktur2020!F231</f>
        <v>27176</v>
      </c>
      <c r="G231" s="289">
        <f>K0kommunestruktur2020!G231</f>
        <v>1204</v>
      </c>
      <c r="H231" s="289">
        <f>K0kommunestruktur2020!H231</f>
        <v>28977</v>
      </c>
      <c r="I231" s="289">
        <f>K0kommunestruktur2020!I231</f>
        <v>1200</v>
      </c>
      <c r="J231" s="289">
        <f>K0kommunestruktur2020!J231</f>
        <v>28833</v>
      </c>
      <c r="K231" s="289">
        <f>K0kommunestruktur2020!K231</f>
        <v>1207</v>
      </c>
      <c r="L231" s="289">
        <f>K0kommunestruktur2020!L231</f>
        <v>30970</v>
      </c>
      <c r="M231" s="289">
        <f>K0kommunestruktur2020!M231</f>
        <v>1192</v>
      </c>
      <c r="N231" s="289">
        <f>K0kommunestruktur2020!N231</f>
        <v>31274</v>
      </c>
      <c r="O231" s="289">
        <f>K0kommunestruktur2020!O231</f>
        <v>1162</v>
      </c>
      <c r="P231" s="289">
        <f>K0kommunestruktur2020!P231</f>
        <v>31184</v>
      </c>
      <c r="Q231" s="289">
        <f>VLOOKUP(A231,'K21'!$A$4:$CI$359,3)</f>
        <v>1142</v>
      </c>
      <c r="R231" s="289">
        <f>VLOOKUP(A231,'K21'!$A$4:$BV$359,26)</f>
        <v>34807.694000000003</v>
      </c>
      <c r="S231" s="517"/>
      <c r="T231" s="517"/>
      <c r="U231" s="517"/>
      <c r="V231" s="517"/>
    </row>
    <row r="232" spans="1:22" ht="13">
      <c r="A232" s="755">
        <v>4221</v>
      </c>
      <c r="B232" s="756" t="s">
        <v>940</v>
      </c>
      <c r="C232" s="289">
        <f>K0kommunestruktur2020!C232</f>
        <v>1270</v>
      </c>
      <c r="D232" s="289">
        <f>K0kommunestruktur2020!D232</f>
        <v>41121</v>
      </c>
      <c r="E232" s="289">
        <f>K0kommunestruktur2020!E232</f>
        <v>1251</v>
      </c>
      <c r="F232" s="289">
        <f>K0kommunestruktur2020!F232</f>
        <v>43384</v>
      </c>
      <c r="G232" s="289">
        <f>K0kommunestruktur2020!G232</f>
        <v>1242</v>
      </c>
      <c r="H232" s="289">
        <f>K0kommunestruktur2020!H232</f>
        <v>44213</v>
      </c>
      <c r="I232" s="289">
        <f>K0kommunestruktur2020!I232</f>
        <v>1246</v>
      </c>
      <c r="J232" s="289">
        <f>K0kommunestruktur2020!J232</f>
        <v>45044</v>
      </c>
      <c r="K232" s="289">
        <f>K0kommunestruktur2020!K232</f>
        <v>1225</v>
      </c>
      <c r="L232" s="289">
        <f>K0kommunestruktur2020!L232</f>
        <v>45304</v>
      </c>
      <c r="M232" s="289">
        <f>K0kommunestruktur2020!M232</f>
        <v>1156</v>
      </c>
      <c r="N232" s="289">
        <f>K0kommunestruktur2020!N232</f>
        <v>47669</v>
      </c>
      <c r="O232" s="289">
        <f>K0kommunestruktur2020!O232</f>
        <v>1164</v>
      </c>
      <c r="P232" s="289">
        <f>K0kommunestruktur2020!P232</f>
        <v>48861</v>
      </c>
      <c r="Q232" s="289">
        <f>VLOOKUP(A232,'K21'!$A$4:$CI$359,3)</f>
        <v>1169</v>
      </c>
      <c r="R232" s="289">
        <f>VLOOKUP(A232,'K21'!$A$4:$BV$359,26)</f>
        <v>52379.277999999998</v>
      </c>
      <c r="S232" s="517"/>
      <c r="T232" s="517"/>
      <c r="U232" s="517"/>
      <c r="V232" s="517"/>
    </row>
    <row r="233" spans="1:22" ht="13">
      <c r="A233" s="755">
        <v>4222</v>
      </c>
      <c r="B233" s="756" t="s">
        <v>941</v>
      </c>
      <c r="C233" s="289">
        <f>K0kommunestruktur2020!C233</f>
        <v>948</v>
      </c>
      <c r="D233" s="289">
        <f>K0kommunestruktur2020!D233</f>
        <v>67140</v>
      </c>
      <c r="E233" s="289">
        <f>K0kommunestruktur2020!E233</f>
        <v>933</v>
      </c>
      <c r="F233" s="289">
        <f>K0kommunestruktur2020!F233</f>
        <v>67630</v>
      </c>
      <c r="G233" s="289">
        <f>K0kommunestruktur2020!G233</f>
        <v>945</v>
      </c>
      <c r="H233" s="289">
        <f>K0kommunestruktur2020!H233</f>
        <v>69604</v>
      </c>
      <c r="I233" s="289">
        <f>K0kommunestruktur2020!I233</f>
        <v>952</v>
      </c>
      <c r="J233" s="289">
        <f>K0kommunestruktur2020!J233</f>
        <v>71358</v>
      </c>
      <c r="K233" s="289">
        <f>K0kommunestruktur2020!K233</f>
        <v>958</v>
      </c>
      <c r="L233" s="289">
        <f>K0kommunestruktur2020!L233</f>
        <v>79195</v>
      </c>
      <c r="M233" s="289">
        <f>K0kommunestruktur2020!M233</f>
        <v>953</v>
      </c>
      <c r="N233" s="289">
        <f>K0kommunestruktur2020!N233</f>
        <v>84301</v>
      </c>
      <c r="O233" s="289">
        <f>K0kommunestruktur2020!O233</f>
        <v>965</v>
      </c>
      <c r="P233" s="289">
        <f>K0kommunestruktur2020!P233</f>
        <v>76582</v>
      </c>
      <c r="Q233" s="289">
        <f>VLOOKUP(A233,'K21'!$A$4:$CI$359,3)</f>
        <v>930</v>
      </c>
      <c r="R233" s="289">
        <f>VLOOKUP(A233,'K21'!$A$4:$BV$359,26)</f>
        <v>84385.437000000005</v>
      </c>
      <c r="S233" s="517"/>
      <c r="T233" s="517"/>
      <c r="U233" s="517"/>
      <c r="V233" s="517"/>
    </row>
    <row r="234" spans="1:22" ht="13">
      <c r="A234" s="755">
        <v>4223</v>
      </c>
      <c r="B234" s="756" t="s">
        <v>947</v>
      </c>
      <c r="C234" s="289">
        <f>K0kommunestruktur2020!C234</f>
        <v>13986</v>
      </c>
      <c r="D234" s="289">
        <f>K0kommunestruktur2020!D234</f>
        <v>254819</v>
      </c>
      <c r="E234" s="289">
        <f>K0kommunestruktur2020!E234</f>
        <v>14095</v>
      </c>
      <c r="F234" s="289">
        <f>K0kommunestruktur2020!F234</f>
        <v>267675</v>
      </c>
      <c r="G234" s="289">
        <f>K0kommunestruktur2020!G234</f>
        <v>14308</v>
      </c>
      <c r="H234" s="289">
        <f>K0kommunestruktur2020!H234</f>
        <v>289237</v>
      </c>
      <c r="I234" s="289">
        <f>K0kommunestruktur2020!I234</f>
        <v>14425</v>
      </c>
      <c r="J234" s="289">
        <f>K0kommunestruktur2020!J234</f>
        <v>303650</v>
      </c>
      <c r="K234" s="289">
        <f>K0kommunestruktur2020!K234</f>
        <v>14532</v>
      </c>
      <c r="L234" s="289">
        <f>K0kommunestruktur2020!L234</f>
        <v>327486</v>
      </c>
      <c r="M234" s="289">
        <f>K0kommunestruktur2020!M234</f>
        <v>14630</v>
      </c>
      <c r="N234" s="289">
        <f>K0kommunestruktur2020!N234</f>
        <v>335821</v>
      </c>
      <c r="O234" s="289">
        <f>K0kommunestruktur2020!O234</f>
        <v>14774</v>
      </c>
      <c r="P234" s="289">
        <f>K0kommunestruktur2020!P234</f>
        <v>335283</v>
      </c>
      <c r="Q234" s="289">
        <f>VLOOKUP(A234,'K21'!$A$4:$CI$359,3)</f>
        <v>14935</v>
      </c>
      <c r="R234" s="289">
        <f>VLOOKUP(A234,'K21'!$A$4:$BV$359,26)</f>
        <v>393674.56699999998</v>
      </c>
      <c r="S234" s="517"/>
      <c r="T234" s="517"/>
      <c r="U234" s="517"/>
      <c r="V234" s="517"/>
    </row>
    <row r="235" spans="1:22" ht="13">
      <c r="A235" s="755">
        <v>4224</v>
      </c>
      <c r="B235" s="756" t="s">
        <v>951</v>
      </c>
      <c r="C235" s="289">
        <f>K0kommunestruktur2020!C235</f>
        <v>923</v>
      </c>
      <c r="D235" s="289">
        <f>K0kommunestruktur2020!D235</f>
        <v>31841</v>
      </c>
      <c r="E235" s="289">
        <f>K0kommunestruktur2020!E235</f>
        <v>925</v>
      </c>
      <c r="F235" s="289">
        <f>K0kommunestruktur2020!F235</f>
        <v>31791</v>
      </c>
      <c r="G235" s="289">
        <f>K0kommunestruktur2020!G235</f>
        <v>942</v>
      </c>
      <c r="H235" s="289">
        <f>K0kommunestruktur2020!H235</f>
        <v>34080</v>
      </c>
      <c r="I235" s="289">
        <f>K0kommunestruktur2020!I235</f>
        <v>937</v>
      </c>
      <c r="J235" s="289">
        <f>K0kommunestruktur2020!J235</f>
        <v>36584</v>
      </c>
      <c r="K235" s="289">
        <f>K0kommunestruktur2020!K235</f>
        <v>943</v>
      </c>
      <c r="L235" s="289">
        <f>K0kommunestruktur2020!L235</f>
        <v>39045</v>
      </c>
      <c r="M235" s="289">
        <f>K0kommunestruktur2020!M235</f>
        <v>939</v>
      </c>
      <c r="N235" s="289">
        <f>K0kommunestruktur2020!N235</f>
        <v>41061</v>
      </c>
      <c r="O235" s="289">
        <f>K0kommunestruktur2020!O235</f>
        <v>932</v>
      </c>
      <c r="P235" s="289">
        <f>K0kommunestruktur2020!P235</f>
        <v>40365</v>
      </c>
      <c r="Q235" s="289">
        <f>VLOOKUP(A235,'K21'!$A$4:$CI$359,3)</f>
        <v>927</v>
      </c>
      <c r="R235" s="289">
        <f>VLOOKUP(A235,'K21'!$A$4:$BV$359,26)</f>
        <v>43509.752</v>
      </c>
      <c r="S235" s="517"/>
      <c r="T235" s="517"/>
      <c r="U235" s="517"/>
      <c r="V235" s="517"/>
    </row>
    <row r="236" spans="1:22" ht="13">
      <c r="A236" s="755">
        <v>4225</v>
      </c>
      <c r="B236" s="756" t="s">
        <v>1630</v>
      </c>
      <c r="C236" s="289">
        <f>K0kommunestruktur2020!C236</f>
        <v>9845</v>
      </c>
      <c r="D236" s="289">
        <f>K0kommunestruktur2020!D236</f>
        <v>190192</v>
      </c>
      <c r="E236" s="289">
        <f>K0kommunestruktur2020!E236</f>
        <v>10085</v>
      </c>
      <c r="F236" s="289">
        <f>K0kommunestruktur2020!F236</f>
        <v>199485</v>
      </c>
      <c r="G236" s="289">
        <f>K0kommunestruktur2020!G236</f>
        <v>10247</v>
      </c>
      <c r="H236" s="289">
        <f>K0kommunestruktur2020!H236</f>
        <v>217366</v>
      </c>
      <c r="I236" s="289">
        <f>K0kommunestruktur2020!I236</f>
        <v>10353</v>
      </c>
      <c r="J236" s="289">
        <f>K0kommunestruktur2020!J236</f>
        <v>229321</v>
      </c>
      <c r="K236" s="289">
        <f>K0kommunestruktur2020!K236</f>
        <v>10357</v>
      </c>
      <c r="L236" s="289">
        <f>K0kommunestruktur2020!L236</f>
        <v>236168</v>
      </c>
      <c r="M236" s="289">
        <f>K0kommunestruktur2020!M236</f>
        <v>10389</v>
      </c>
      <c r="N236" s="289">
        <f>K0kommunestruktur2020!N236</f>
        <v>242283</v>
      </c>
      <c r="O236" s="289">
        <f>K0kommunestruktur2020!O236</f>
        <v>10365</v>
      </c>
      <c r="P236" s="289">
        <f>K0kommunestruktur2020!P236</f>
        <v>243390</v>
      </c>
      <c r="Q236" s="289">
        <f>VLOOKUP(A236,'K21'!$A$4:$CI$359,3)</f>
        <v>10464</v>
      </c>
      <c r="R236" s="289">
        <f>VLOOKUP(A236,'K21'!$A$4:$BV$359,26)</f>
        <v>278743.41700000002</v>
      </c>
      <c r="S236" s="517"/>
      <c r="T236" s="517"/>
      <c r="U236" s="517"/>
      <c r="V236" s="517"/>
    </row>
    <row r="237" spans="1:22" ht="13">
      <c r="A237" s="755">
        <v>4226</v>
      </c>
      <c r="B237" s="756" t="s">
        <v>955</v>
      </c>
      <c r="C237" s="289">
        <f>K0kommunestruktur2020!C237</f>
        <v>1690</v>
      </c>
      <c r="D237" s="289">
        <f>K0kommunestruktur2020!D237</f>
        <v>35232</v>
      </c>
      <c r="E237" s="289">
        <f>K0kommunestruktur2020!E237</f>
        <v>1693</v>
      </c>
      <c r="F237" s="289">
        <f>K0kommunestruktur2020!F237</f>
        <v>34679</v>
      </c>
      <c r="G237" s="289">
        <f>K0kommunestruktur2020!G237</f>
        <v>1702</v>
      </c>
      <c r="H237" s="289">
        <f>K0kommunestruktur2020!H237</f>
        <v>38210</v>
      </c>
      <c r="I237" s="289">
        <f>K0kommunestruktur2020!I237</f>
        <v>1702</v>
      </c>
      <c r="J237" s="289">
        <f>K0kommunestruktur2020!J237</f>
        <v>39047</v>
      </c>
      <c r="K237" s="289">
        <f>K0kommunestruktur2020!K237</f>
        <v>1699</v>
      </c>
      <c r="L237" s="289">
        <f>K0kommunestruktur2020!L237</f>
        <v>40812</v>
      </c>
      <c r="M237" s="289">
        <f>K0kommunestruktur2020!M237</f>
        <v>1683</v>
      </c>
      <c r="N237" s="289">
        <f>K0kommunestruktur2020!N237</f>
        <v>42575</v>
      </c>
      <c r="O237" s="289">
        <f>K0kommunestruktur2020!O237</f>
        <v>1680</v>
      </c>
      <c r="P237" s="289">
        <f>K0kommunestruktur2020!P237</f>
        <v>40509</v>
      </c>
      <c r="Q237" s="289">
        <f>VLOOKUP(A237,'K21'!$A$4:$CI$359,3)</f>
        <v>1690</v>
      </c>
      <c r="R237" s="289">
        <f>VLOOKUP(A237,'K21'!$A$4:$BV$359,26)</f>
        <v>46254.45</v>
      </c>
      <c r="S237" s="517"/>
      <c r="T237" s="517"/>
      <c r="U237" s="517"/>
      <c r="V237" s="517"/>
    </row>
    <row r="238" spans="1:22" ht="13">
      <c r="A238" s="755">
        <v>4227</v>
      </c>
      <c r="B238" s="756" t="s">
        <v>956</v>
      </c>
      <c r="C238" s="289">
        <f>K0kommunestruktur2020!C238</f>
        <v>5891</v>
      </c>
      <c r="D238" s="289">
        <f>K0kommunestruktur2020!D238</f>
        <v>142597</v>
      </c>
      <c r="E238" s="289">
        <f>K0kommunestruktur2020!E238</f>
        <v>5948</v>
      </c>
      <c r="F238" s="289">
        <f>K0kommunestruktur2020!F238</f>
        <v>147426</v>
      </c>
      <c r="G238" s="289">
        <f>K0kommunestruktur2020!G238</f>
        <v>5981</v>
      </c>
      <c r="H238" s="289">
        <f>K0kommunestruktur2020!H238</f>
        <v>155451</v>
      </c>
      <c r="I238" s="289">
        <f>K0kommunestruktur2020!I238</f>
        <v>5988</v>
      </c>
      <c r="J238" s="289">
        <f>K0kommunestruktur2020!J238</f>
        <v>159751</v>
      </c>
      <c r="K238" s="289">
        <f>K0kommunestruktur2020!K238</f>
        <v>6024</v>
      </c>
      <c r="L238" s="289">
        <f>K0kommunestruktur2020!L238</f>
        <v>166149</v>
      </c>
      <c r="M238" s="289">
        <f>K0kommunestruktur2020!M238</f>
        <v>6048</v>
      </c>
      <c r="N238" s="289">
        <f>K0kommunestruktur2020!N238</f>
        <v>177102</v>
      </c>
      <c r="O238" s="289">
        <f>K0kommunestruktur2020!O238</f>
        <v>5987</v>
      </c>
      <c r="P238" s="289">
        <f>K0kommunestruktur2020!P238</f>
        <v>170527</v>
      </c>
      <c r="Q238" s="289">
        <f>VLOOKUP(A238,'K21'!$A$4:$CI$359,3)</f>
        <v>5922</v>
      </c>
      <c r="R238" s="289">
        <f>VLOOKUP(A238,'K21'!$A$4:$BV$359,26)</f>
        <v>187963.50099999999</v>
      </c>
      <c r="S238" s="517"/>
      <c r="T238" s="517"/>
      <c r="U238" s="517"/>
      <c r="V238" s="517"/>
    </row>
    <row r="239" spans="1:22" ht="13">
      <c r="A239" s="755">
        <v>4228</v>
      </c>
      <c r="B239" s="756" t="s">
        <v>957</v>
      </c>
      <c r="C239" s="289">
        <f>K0kommunestruktur2020!C239</f>
        <v>1831</v>
      </c>
      <c r="D239" s="289">
        <f>K0kommunestruktur2020!D239</f>
        <v>85268</v>
      </c>
      <c r="E239" s="289">
        <f>K0kommunestruktur2020!E239</f>
        <v>1838</v>
      </c>
      <c r="F239" s="289">
        <f>K0kommunestruktur2020!F239</f>
        <v>91757</v>
      </c>
      <c r="G239" s="289">
        <f>K0kommunestruktur2020!G239</f>
        <v>1832</v>
      </c>
      <c r="H239" s="289">
        <f>K0kommunestruktur2020!H239</f>
        <v>91636</v>
      </c>
      <c r="I239" s="289">
        <f>K0kommunestruktur2020!I239</f>
        <v>1836</v>
      </c>
      <c r="J239" s="289">
        <f>K0kommunestruktur2020!J239</f>
        <v>97913</v>
      </c>
      <c r="K239" s="289">
        <f>K0kommunestruktur2020!K239</f>
        <v>1842</v>
      </c>
      <c r="L239" s="289">
        <f>K0kommunestruktur2020!L239</f>
        <v>105701</v>
      </c>
      <c r="M239" s="289">
        <f>K0kommunestruktur2020!M239</f>
        <v>1839</v>
      </c>
      <c r="N239" s="289">
        <f>K0kommunestruktur2020!N239</f>
        <v>112920</v>
      </c>
      <c r="O239" s="289">
        <f>K0kommunestruktur2020!O239</f>
        <v>1822</v>
      </c>
      <c r="P239" s="289">
        <f>K0kommunestruktur2020!P239</f>
        <v>106256</v>
      </c>
      <c r="Q239" s="289">
        <f>VLOOKUP(A239,'K21'!$A$4:$CI$359,3)</f>
        <v>1772</v>
      </c>
      <c r="R239" s="289">
        <f>VLOOKUP(A239,'K21'!$A$4:$BV$359,26)</f>
        <v>109126.65399999999</v>
      </c>
      <c r="S239" s="517"/>
      <c r="T239" s="517"/>
      <c r="U239" s="517"/>
      <c r="V239" s="517"/>
    </row>
    <row r="240" spans="1:22" ht="13">
      <c r="A240" s="755">
        <v>4601</v>
      </c>
      <c r="B240" s="756" t="s">
        <v>23</v>
      </c>
      <c r="C240" s="289">
        <f>K0kommunestruktur2020!C240</f>
        <v>271949</v>
      </c>
      <c r="D240" s="289">
        <f>K0kommunestruktur2020!D240</f>
        <v>7561489</v>
      </c>
      <c r="E240" s="289">
        <f>K0kommunestruktur2020!E240</f>
        <v>275112</v>
      </c>
      <c r="F240" s="289">
        <f>K0kommunestruktur2020!F240</f>
        <v>7970433</v>
      </c>
      <c r="G240" s="289">
        <f>K0kommunestruktur2020!G240</f>
        <v>277391</v>
      </c>
      <c r="H240" s="289">
        <f>K0kommunestruktur2020!H240</f>
        <v>8707661</v>
      </c>
      <c r="I240" s="289">
        <f>K0kommunestruktur2020!I240</f>
        <v>278556</v>
      </c>
      <c r="J240" s="289">
        <f>K0kommunestruktur2020!J240</f>
        <v>8795464</v>
      </c>
      <c r="K240" s="289">
        <f>K0kommunestruktur2020!K240</f>
        <v>279792</v>
      </c>
      <c r="L240" s="289">
        <f>K0kommunestruktur2020!L240</f>
        <v>9126725</v>
      </c>
      <c r="M240" s="289">
        <f>K0kommunestruktur2020!M240</f>
        <v>281190</v>
      </c>
      <c r="N240" s="289">
        <f>K0kommunestruktur2020!N240</f>
        <v>9648534</v>
      </c>
      <c r="O240" s="289">
        <f>K0kommunestruktur2020!O240</f>
        <v>283929</v>
      </c>
      <c r="P240" s="289">
        <f>K0kommunestruktur2020!P240</f>
        <v>9404048</v>
      </c>
      <c r="Q240" s="289">
        <f>VLOOKUP(A240,'K21'!$A$4:$CI$359,3)</f>
        <v>285601</v>
      </c>
      <c r="R240" s="289">
        <f>VLOOKUP(A240,'K21'!$A$4:$BV$359,26)</f>
        <v>10807543.196</v>
      </c>
      <c r="S240" s="517"/>
      <c r="T240" s="517"/>
      <c r="U240" s="517"/>
      <c r="V240" s="517"/>
    </row>
    <row r="241" spans="1:22" ht="13">
      <c r="A241" s="755">
        <v>4602</v>
      </c>
      <c r="B241" s="756" t="s">
        <v>1631</v>
      </c>
      <c r="C241" s="289">
        <f>K0kommunestruktur2020!C241</f>
        <v>17353.61295029</v>
      </c>
      <c r="D241" s="289">
        <f>K0kommunestruktur2020!D241</f>
        <v>415743.81691177411</v>
      </c>
      <c r="E241" s="289">
        <f>K0kommunestruktur2020!E241</f>
        <v>17425.474581980001</v>
      </c>
      <c r="F241" s="289">
        <f>K0kommunestruktur2020!F241</f>
        <v>431205.72096292092</v>
      </c>
      <c r="G241" s="289">
        <f>K0kommunestruktur2020!G241</f>
        <v>17449.752160249998</v>
      </c>
      <c r="H241" s="289">
        <f>K0kommunestruktur2020!H241</f>
        <v>467033.59987652028</v>
      </c>
      <c r="I241" s="289">
        <f>K0kommunestruktur2020!I241</f>
        <v>17508.989451239999</v>
      </c>
      <c r="J241" s="289">
        <f>K0kommunestruktur2020!J241</f>
        <v>473268.08197733032</v>
      </c>
      <c r="K241" s="289">
        <f>K0kommunestruktur2020!K241</f>
        <v>17469.174222869999</v>
      </c>
      <c r="L241" s="289">
        <f>K0kommunestruktur2020!L241</f>
        <v>488200.73482211295</v>
      </c>
      <c r="M241" s="289">
        <f>K0kommunestruktur2020!M241</f>
        <v>17307</v>
      </c>
      <c r="N241" s="289">
        <f>K0kommunestruktur2020!N241</f>
        <v>531457.55268768943</v>
      </c>
      <c r="O241" s="289">
        <f>K0kommunestruktur2020!O241</f>
        <v>17207</v>
      </c>
      <c r="P241" s="289">
        <f>K0kommunestruktur2020!P241</f>
        <v>549252</v>
      </c>
      <c r="Q241" s="289">
        <f>VLOOKUP(A241,'K21'!$A$4:$CI$359,3)</f>
        <v>17160</v>
      </c>
      <c r="R241" s="289">
        <f>VLOOKUP(A241,'K21'!$A$4:$BV$359,26)</f>
        <v>592638.42599999998</v>
      </c>
      <c r="S241" s="517"/>
      <c r="T241" s="517"/>
      <c r="U241" s="517"/>
      <c r="V241" s="517"/>
    </row>
    <row r="242" spans="1:22" ht="13">
      <c r="A242" s="755">
        <v>4611</v>
      </c>
      <c r="B242" s="756" t="s">
        <v>24</v>
      </c>
      <c r="C242" s="289">
        <f>K0kommunestruktur2020!C242</f>
        <v>4057</v>
      </c>
      <c r="D242" s="289">
        <f>K0kommunestruktur2020!D242</f>
        <v>90137</v>
      </c>
      <c r="E242" s="289">
        <f>K0kommunestruktur2020!E242</f>
        <v>4103</v>
      </c>
      <c r="F242" s="289">
        <f>K0kommunestruktur2020!F242</f>
        <v>90573</v>
      </c>
      <c r="G242" s="289">
        <f>K0kommunestruktur2020!G242</f>
        <v>4106</v>
      </c>
      <c r="H242" s="289">
        <f>K0kommunestruktur2020!H242</f>
        <v>100476</v>
      </c>
      <c r="I242" s="289">
        <f>K0kommunestruktur2020!I242</f>
        <v>4135</v>
      </c>
      <c r="J242" s="289">
        <f>K0kommunestruktur2020!J242</f>
        <v>101892</v>
      </c>
      <c r="K242" s="289">
        <f>K0kommunestruktur2020!K242</f>
        <v>4083</v>
      </c>
      <c r="L242" s="289">
        <f>K0kommunestruktur2020!L242</f>
        <v>106064</v>
      </c>
      <c r="M242" s="289">
        <f>K0kommunestruktur2020!M242</f>
        <v>4077</v>
      </c>
      <c r="N242" s="289">
        <f>K0kommunestruktur2020!N242</f>
        <v>114533</v>
      </c>
      <c r="O242" s="289">
        <f>K0kommunestruktur2020!O242</f>
        <v>4062</v>
      </c>
      <c r="P242" s="289">
        <f>K0kommunestruktur2020!P242</f>
        <v>110596</v>
      </c>
      <c r="Q242" s="289">
        <f>VLOOKUP(A242,'K21'!$A$4:$CI$359,3)</f>
        <v>4053</v>
      </c>
      <c r="R242" s="289">
        <f>VLOOKUP(A242,'K21'!$A$4:$BV$359,26)</f>
        <v>134847.43700000001</v>
      </c>
      <c r="S242" s="517"/>
      <c r="T242" s="517"/>
      <c r="U242" s="517"/>
      <c r="V242" s="517"/>
    </row>
    <row r="243" spans="1:22" ht="13">
      <c r="A243" s="755">
        <v>4612</v>
      </c>
      <c r="B243" s="756" t="s">
        <v>25</v>
      </c>
      <c r="C243" s="289">
        <f>K0kommunestruktur2020!C243</f>
        <v>5463</v>
      </c>
      <c r="D243" s="289">
        <f>K0kommunestruktur2020!D243</f>
        <v>117446</v>
      </c>
      <c r="E243" s="289">
        <f>K0kommunestruktur2020!E243</f>
        <v>5509</v>
      </c>
      <c r="F243" s="289">
        <f>K0kommunestruktur2020!F243</f>
        <v>121337</v>
      </c>
      <c r="G243" s="289">
        <f>K0kommunestruktur2020!G243</f>
        <v>5593</v>
      </c>
      <c r="H243" s="289">
        <f>K0kommunestruktur2020!H243</f>
        <v>130903</v>
      </c>
      <c r="I243" s="289">
        <f>K0kommunestruktur2020!I243</f>
        <v>5656</v>
      </c>
      <c r="J243" s="289">
        <f>K0kommunestruktur2020!J243</f>
        <v>160876</v>
      </c>
      <c r="K243" s="289">
        <f>K0kommunestruktur2020!K243</f>
        <v>5721</v>
      </c>
      <c r="L243" s="289">
        <f>K0kommunestruktur2020!L243</f>
        <v>140486</v>
      </c>
      <c r="M243" s="289">
        <f>K0kommunestruktur2020!M243</f>
        <v>5721</v>
      </c>
      <c r="N243" s="289">
        <f>K0kommunestruktur2020!N243</f>
        <v>141649</v>
      </c>
      <c r="O243" s="289">
        <f>K0kommunestruktur2020!O243</f>
        <v>5766</v>
      </c>
      <c r="P243" s="289">
        <f>K0kommunestruktur2020!P243</f>
        <v>146291</v>
      </c>
      <c r="Q243" s="289">
        <f>VLOOKUP(A243,'K21'!$A$4:$CI$359,3)</f>
        <v>5798</v>
      </c>
      <c r="R243" s="289">
        <f>VLOOKUP(A243,'K21'!$A$4:$BV$359,26)</f>
        <v>191979.33600000001</v>
      </c>
      <c r="S243" s="517"/>
      <c r="T243" s="517"/>
      <c r="U243" s="517"/>
      <c r="V243" s="517"/>
    </row>
    <row r="244" spans="1:22" ht="13">
      <c r="A244" s="755">
        <v>4613</v>
      </c>
      <c r="B244" s="756" t="s">
        <v>26</v>
      </c>
      <c r="C244" s="289">
        <f>K0kommunestruktur2020!C244</f>
        <v>11749</v>
      </c>
      <c r="D244" s="289">
        <f>K0kommunestruktur2020!D244</f>
        <v>283646</v>
      </c>
      <c r="E244" s="289">
        <f>K0kommunestruktur2020!E244</f>
        <v>11761</v>
      </c>
      <c r="F244" s="289">
        <f>K0kommunestruktur2020!F244</f>
        <v>291741</v>
      </c>
      <c r="G244" s="289">
        <f>K0kommunestruktur2020!G244</f>
        <v>11778</v>
      </c>
      <c r="H244" s="289">
        <f>K0kommunestruktur2020!H244</f>
        <v>340199</v>
      </c>
      <c r="I244" s="289">
        <f>K0kommunestruktur2020!I244</f>
        <v>11806</v>
      </c>
      <c r="J244" s="289">
        <f>K0kommunestruktur2020!J244</f>
        <v>315438</v>
      </c>
      <c r="K244" s="289">
        <f>K0kommunestruktur2020!K244</f>
        <v>11902</v>
      </c>
      <c r="L244" s="289">
        <f>K0kommunestruktur2020!L244</f>
        <v>295857</v>
      </c>
      <c r="M244" s="289">
        <f>K0kommunestruktur2020!M244</f>
        <v>11960</v>
      </c>
      <c r="N244" s="289">
        <f>K0kommunestruktur2020!N244</f>
        <v>332334</v>
      </c>
      <c r="O244" s="289">
        <f>K0kommunestruktur2020!O244</f>
        <v>11957</v>
      </c>
      <c r="P244" s="289">
        <f>K0kommunestruktur2020!P244</f>
        <v>334069</v>
      </c>
      <c r="Q244" s="289">
        <f>VLOOKUP(A244,'K21'!$A$4:$CI$359,3)</f>
        <v>11953</v>
      </c>
      <c r="R244" s="289">
        <f>VLOOKUP(A244,'K21'!$A$4:$BV$359,26)</f>
        <v>395792.70500000002</v>
      </c>
      <c r="S244" s="517"/>
      <c r="T244" s="517"/>
      <c r="U244" s="517"/>
      <c r="V244" s="517"/>
    </row>
    <row r="245" spans="1:22" ht="13">
      <c r="A245" s="755">
        <v>4614</v>
      </c>
      <c r="B245" s="756" t="s">
        <v>27</v>
      </c>
      <c r="C245" s="289">
        <f>K0kommunestruktur2020!C245</f>
        <v>18425</v>
      </c>
      <c r="D245" s="289">
        <f>K0kommunestruktur2020!D245</f>
        <v>450121</v>
      </c>
      <c r="E245" s="289">
        <f>K0kommunestruktur2020!E245</f>
        <v>18685</v>
      </c>
      <c r="F245" s="289">
        <f>K0kommunestruktur2020!F245</f>
        <v>484243</v>
      </c>
      <c r="G245" s="289">
        <f>K0kommunestruktur2020!G245</f>
        <v>18775</v>
      </c>
      <c r="H245" s="289">
        <f>K0kommunestruktur2020!H245</f>
        <v>488716</v>
      </c>
      <c r="I245" s="289">
        <f>K0kommunestruktur2020!I245</f>
        <v>18821</v>
      </c>
      <c r="J245" s="289">
        <f>K0kommunestruktur2020!J245</f>
        <v>497783</v>
      </c>
      <c r="K245" s="289">
        <f>K0kommunestruktur2020!K245</f>
        <v>18780</v>
      </c>
      <c r="L245" s="289">
        <f>K0kommunestruktur2020!L245</f>
        <v>517096</v>
      </c>
      <c r="M245" s="289">
        <f>K0kommunestruktur2020!M245</f>
        <v>18699</v>
      </c>
      <c r="N245" s="289">
        <f>K0kommunestruktur2020!N245</f>
        <v>540530</v>
      </c>
      <c r="O245" s="289">
        <f>K0kommunestruktur2020!O245</f>
        <v>18759</v>
      </c>
      <c r="P245" s="289">
        <f>K0kommunestruktur2020!P245</f>
        <v>543385</v>
      </c>
      <c r="Q245" s="289">
        <f>VLOOKUP(A245,'K21'!$A$4:$CI$359,3)</f>
        <v>18861</v>
      </c>
      <c r="R245" s="289">
        <f>VLOOKUP(A245,'K21'!$A$4:$BV$359,26)</f>
        <v>624235.36199999996</v>
      </c>
      <c r="S245" s="517"/>
      <c r="T245" s="517"/>
      <c r="U245" s="517"/>
      <c r="V245" s="517"/>
    </row>
    <row r="246" spans="1:22" ht="13">
      <c r="A246" s="755">
        <v>4615</v>
      </c>
      <c r="B246" s="756" t="s">
        <v>28</v>
      </c>
      <c r="C246" s="289">
        <f>K0kommunestruktur2020!C246</f>
        <v>3009</v>
      </c>
      <c r="D246" s="289">
        <f>K0kommunestruktur2020!D246</f>
        <v>74296</v>
      </c>
      <c r="E246" s="289">
        <f>K0kommunestruktur2020!E246</f>
        <v>3093</v>
      </c>
      <c r="F246" s="289">
        <f>K0kommunestruktur2020!F246</f>
        <v>78879</v>
      </c>
      <c r="G246" s="289">
        <f>K0kommunestruktur2020!G246</f>
        <v>3140</v>
      </c>
      <c r="H246" s="289">
        <f>K0kommunestruktur2020!H246</f>
        <v>84396</v>
      </c>
      <c r="I246" s="289">
        <f>K0kommunestruktur2020!I246</f>
        <v>3189</v>
      </c>
      <c r="J246" s="289">
        <f>K0kommunestruktur2020!J246</f>
        <v>80561</v>
      </c>
      <c r="K246" s="289">
        <f>K0kommunestruktur2020!K246</f>
        <v>3194</v>
      </c>
      <c r="L246" s="289">
        <f>K0kommunestruktur2020!L246</f>
        <v>81638</v>
      </c>
      <c r="M246" s="289">
        <f>K0kommunestruktur2020!M246</f>
        <v>3201</v>
      </c>
      <c r="N246" s="289">
        <f>K0kommunestruktur2020!N246</f>
        <v>90564</v>
      </c>
      <c r="O246" s="289">
        <f>K0kommunestruktur2020!O246</f>
        <v>3189</v>
      </c>
      <c r="P246" s="289">
        <f>K0kommunestruktur2020!P246</f>
        <v>87982</v>
      </c>
      <c r="Q246" s="289">
        <f>VLOOKUP(A246,'K21'!$A$4:$CI$359,3)</f>
        <v>3147</v>
      </c>
      <c r="R246" s="289">
        <f>VLOOKUP(A246,'K21'!$A$4:$BV$359,26)</f>
        <v>99743.555999999997</v>
      </c>
      <c r="S246" s="517"/>
      <c r="T246" s="517"/>
      <c r="U246" s="517"/>
      <c r="V246" s="517"/>
    </row>
    <row r="247" spans="1:22" ht="13">
      <c r="A247" s="755">
        <v>4616</v>
      </c>
      <c r="B247" s="756" t="s">
        <v>29</v>
      </c>
      <c r="C247" s="289">
        <f>K0kommunestruktur2020!C247</f>
        <v>2745</v>
      </c>
      <c r="D247" s="289">
        <f>K0kommunestruktur2020!D247</f>
        <v>65397</v>
      </c>
      <c r="E247" s="289">
        <f>K0kommunestruktur2020!E247</f>
        <v>2782</v>
      </c>
      <c r="F247" s="289">
        <f>K0kommunestruktur2020!F247</f>
        <v>71019</v>
      </c>
      <c r="G247" s="289">
        <f>K0kommunestruktur2020!G247</f>
        <v>2797</v>
      </c>
      <c r="H247" s="289">
        <f>K0kommunestruktur2020!H247</f>
        <v>76308</v>
      </c>
      <c r="I247" s="289">
        <f>K0kommunestruktur2020!I247</f>
        <v>2847</v>
      </c>
      <c r="J247" s="289">
        <f>K0kommunestruktur2020!J247</f>
        <v>83729</v>
      </c>
      <c r="K247" s="289">
        <f>K0kommunestruktur2020!K247</f>
        <v>2857</v>
      </c>
      <c r="L247" s="289">
        <f>K0kommunestruktur2020!L247</f>
        <v>90837</v>
      </c>
      <c r="M247" s="289">
        <f>K0kommunestruktur2020!M247</f>
        <v>2846</v>
      </c>
      <c r="N247" s="289">
        <f>K0kommunestruktur2020!N247</f>
        <v>105762</v>
      </c>
      <c r="O247" s="289">
        <f>K0kommunestruktur2020!O247</f>
        <v>2869</v>
      </c>
      <c r="P247" s="289">
        <f>K0kommunestruktur2020!P247</f>
        <v>94659</v>
      </c>
      <c r="Q247" s="289">
        <f>VLOOKUP(A247,'K21'!$A$4:$CI$359,3)</f>
        <v>2924</v>
      </c>
      <c r="R247" s="289">
        <f>VLOOKUP(A247,'K21'!$A$4:$BV$359,26)</f>
        <v>125323.236</v>
      </c>
      <c r="S247" s="517"/>
      <c r="T247" s="517"/>
      <c r="U247" s="517"/>
      <c r="V247" s="517"/>
    </row>
    <row r="248" spans="1:22" ht="13">
      <c r="A248" s="755">
        <v>4617</v>
      </c>
      <c r="B248" s="756" t="s">
        <v>30</v>
      </c>
      <c r="C248" s="289">
        <f>K0kommunestruktur2020!C248</f>
        <v>13232</v>
      </c>
      <c r="D248" s="289">
        <f>K0kommunestruktur2020!D248</f>
        <v>317340</v>
      </c>
      <c r="E248" s="289">
        <f>K0kommunestruktur2020!E248</f>
        <v>13234</v>
      </c>
      <c r="F248" s="289">
        <f>K0kommunestruktur2020!F248</f>
        <v>323502</v>
      </c>
      <c r="G248" s="289">
        <f>K0kommunestruktur2020!G248</f>
        <v>13271</v>
      </c>
      <c r="H248" s="289">
        <f>K0kommunestruktur2020!H248</f>
        <v>335516</v>
      </c>
      <c r="I248" s="289">
        <f>K0kommunestruktur2020!I248</f>
        <v>13241</v>
      </c>
      <c r="J248" s="289">
        <f>K0kommunestruktur2020!J248</f>
        <v>343907</v>
      </c>
      <c r="K248" s="289">
        <f>K0kommunestruktur2020!K248</f>
        <v>13180</v>
      </c>
      <c r="L248" s="289">
        <f>K0kommunestruktur2020!L248</f>
        <v>358088</v>
      </c>
      <c r="M248" s="289">
        <f>K0kommunestruktur2020!M248</f>
        <v>13137</v>
      </c>
      <c r="N248" s="289">
        <f>K0kommunestruktur2020!N248</f>
        <v>374901</v>
      </c>
      <c r="O248" s="289">
        <f>K0kommunestruktur2020!O248</f>
        <v>13071</v>
      </c>
      <c r="P248" s="289">
        <f>K0kommunestruktur2020!P248</f>
        <v>371702</v>
      </c>
      <c r="Q248" s="289">
        <f>VLOOKUP(A248,'K21'!$A$4:$CI$359,3)</f>
        <v>13039</v>
      </c>
      <c r="R248" s="289">
        <f>VLOOKUP(A248,'K21'!$A$4:$BV$359,26)</f>
        <v>433092.84700000001</v>
      </c>
      <c r="S248" s="517"/>
      <c r="T248" s="517"/>
      <c r="U248" s="517"/>
      <c r="V248" s="517"/>
    </row>
    <row r="249" spans="1:22" ht="13">
      <c r="A249" s="755">
        <v>4618</v>
      </c>
      <c r="B249" s="756" t="s">
        <v>1632</v>
      </c>
      <c r="C249" s="289">
        <f>K0kommunestruktur2020!C249</f>
        <v>11399.067073169999</v>
      </c>
      <c r="D249" s="289">
        <f>K0kommunestruktur2020!D249</f>
        <v>290651.85975607892</v>
      </c>
      <c r="E249" s="289">
        <f>K0kommunestruktur2020!E249</f>
        <v>11393.10365854</v>
      </c>
      <c r="F249" s="289">
        <f>K0kommunestruktur2020!F249</f>
        <v>306581.13414643332</v>
      </c>
      <c r="G249" s="289">
        <f>K0kommunestruktur2020!G249</f>
        <v>11365.27439024</v>
      </c>
      <c r="H249" s="289">
        <f>K0kommunestruktur2020!H249</f>
        <v>313911.16463403858</v>
      </c>
      <c r="I249" s="289">
        <f>K0kommunestruktur2020!I249</f>
        <v>11439.817073169999</v>
      </c>
      <c r="J249" s="289">
        <f>K0kommunestruktur2020!J249</f>
        <v>326123.24390241818</v>
      </c>
      <c r="K249" s="289">
        <f>K0kommunestruktur2020!K249</f>
        <v>11225.13414634</v>
      </c>
      <c r="L249" s="289">
        <f>K0kommunestruktur2020!L249</f>
        <v>333806.10975605407</v>
      </c>
      <c r="M249" s="289">
        <f>K0kommunestruktur2020!M249</f>
        <v>11084</v>
      </c>
      <c r="N249" s="289">
        <f>K0kommunestruktur2020!N249</f>
        <v>346985.25609756098</v>
      </c>
      <c r="O249" s="289">
        <f>K0kommunestruktur2020!O249</f>
        <v>11048</v>
      </c>
      <c r="P249" s="289">
        <f>K0kommunestruktur2020!P249</f>
        <v>348649</v>
      </c>
      <c r="Q249" s="289">
        <f>VLOOKUP(A249,'K21'!$A$4:$CI$359,3)</f>
        <v>11002</v>
      </c>
      <c r="R249" s="289">
        <f>VLOOKUP(A249,'K21'!$A$4:$BV$359,26)</f>
        <v>393175.99900000001</v>
      </c>
      <c r="S249" s="517"/>
      <c r="T249" s="517"/>
      <c r="U249" s="517"/>
      <c r="V249" s="517"/>
    </row>
    <row r="250" spans="1:22" ht="13">
      <c r="A250" s="755">
        <v>4619</v>
      </c>
      <c r="B250" s="756" t="s">
        <v>34</v>
      </c>
      <c r="C250" s="289">
        <f>K0kommunestruktur2020!C250</f>
        <v>950</v>
      </c>
      <c r="D250" s="289">
        <f>K0kommunestruktur2020!D250</f>
        <v>49498</v>
      </c>
      <c r="E250" s="289">
        <f>K0kommunestruktur2020!E250</f>
        <v>950</v>
      </c>
      <c r="F250" s="289">
        <f>K0kommunestruktur2020!F250</f>
        <v>49839</v>
      </c>
      <c r="G250" s="289">
        <f>K0kommunestruktur2020!G250</f>
        <v>925</v>
      </c>
      <c r="H250" s="289">
        <f>K0kommunestruktur2020!H250</f>
        <v>52787</v>
      </c>
      <c r="I250" s="289">
        <f>K0kommunestruktur2020!I250</f>
        <v>921</v>
      </c>
      <c r="J250" s="289">
        <f>K0kommunestruktur2020!J250</f>
        <v>55245</v>
      </c>
      <c r="K250" s="289">
        <f>K0kommunestruktur2020!K250</f>
        <v>931</v>
      </c>
      <c r="L250" s="289">
        <f>K0kommunestruktur2020!L250</f>
        <v>56711</v>
      </c>
      <c r="M250" s="289">
        <f>K0kommunestruktur2020!M250</f>
        <v>906</v>
      </c>
      <c r="N250" s="289">
        <f>K0kommunestruktur2020!N250</f>
        <v>56140</v>
      </c>
      <c r="O250" s="289">
        <f>K0kommunestruktur2020!O250</f>
        <v>906</v>
      </c>
      <c r="P250" s="289">
        <f>K0kommunestruktur2020!P250</f>
        <v>53139</v>
      </c>
      <c r="Q250" s="289">
        <f>VLOOKUP(A250,'K21'!$A$4:$CI$359,3)</f>
        <v>903</v>
      </c>
      <c r="R250" s="289">
        <f>VLOOKUP(A250,'K21'!$A$4:$BV$359,26)</f>
        <v>58015.205000000002</v>
      </c>
      <c r="S250" s="517"/>
      <c r="T250" s="517"/>
      <c r="U250" s="517"/>
      <c r="V250" s="517"/>
    </row>
    <row r="251" spans="1:22" ht="13">
      <c r="A251" s="755">
        <v>4620</v>
      </c>
      <c r="B251" s="756" t="s">
        <v>35</v>
      </c>
      <c r="C251" s="289">
        <f>K0kommunestruktur2020!C251</f>
        <v>1094</v>
      </c>
      <c r="D251" s="289">
        <f>K0kommunestruktur2020!D251</f>
        <v>32828</v>
      </c>
      <c r="E251" s="289">
        <f>K0kommunestruktur2020!E251</f>
        <v>1107</v>
      </c>
      <c r="F251" s="289">
        <f>K0kommunestruktur2020!F251</f>
        <v>32883</v>
      </c>
      <c r="G251" s="289">
        <f>K0kommunestruktur2020!G251</f>
        <v>1116</v>
      </c>
      <c r="H251" s="289">
        <f>K0kommunestruktur2020!H251</f>
        <v>34173</v>
      </c>
      <c r="I251" s="289">
        <f>K0kommunestruktur2020!I251</f>
        <v>1131</v>
      </c>
      <c r="J251" s="289">
        <f>K0kommunestruktur2020!J251</f>
        <v>34103</v>
      </c>
      <c r="K251" s="289">
        <f>K0kommunestruktur2020!K251</f>
        <v>1117</v>
      </c>
      <c r="L251" s="289">
        <f>K0kommunestruktur2020!L251</f>
        <v>35225</v>
      </c>
      <c r="M251" s="289">
        <f>K0kommunestruktur2020!M251</f>
        <v>1093</v>
      </c>
      <c r="N251" s="289">
        <f>K0kommunestruktur2020!N251</f>
        <v>35916</v>
      </c>
      <c r="O251" s="289">
        <f>K0kommunestruktur2020!O251</f>
        <v>1080</v>
      </c>
      <c r="P251" s="289">
        <f>K0kommunestruktur2020!P251</f>
        <v>34950</v>
      </c>
      <c r="Q251" s="289">
        <f>VLOOKUP(A251,'K21'!$A$4:$CI$359,3)</f>
        <v>1061</v>
      </c>
      <c r="R251" s="289">
        <f>VLOOKUP(A251,'K21'!$A$4:$BV$359,26)</f>
        <v>38123.357000000004</v>
      </c>
      <c r="S251" s="517"/>
      <c r="T251" s="517"/>
      <c r="U251" s="517"/>
      <c r="V251" s="517"/>
    </row>
    <row r="252" spans="1:22" ht="13">
      <c r="A252" s="755">
        <v>4621</v>
      </c>
      <c r="B252" s="756" t="s">
        <v>1633</v>
      </c>
      <c r="C252" s="289">
        <f>K0kommunestruktur2020!C252</f>
        <v>15144.97001866</v>
      </c>
      <c r="D252" s="289">
        <f>K0kommunestruktur2020!D252</f>
        <v>347917.49482086749</v>
      </c>
      <c r="E252" s="289">
        <f>K0kommunestruktur2020!E252</f>
        <v>15334.796886059999</v>
      </c>
      <c r="F252" s="289">
        <f>K0kommunestruktur2020!F252</f>
        <v>360627.85993699537</v>
      </c>
      <c r="G252" s="289">
        <f>K0kommunestruktur2020!G252</f>
        <v>15412.13375796</v>
      </c>
      <c r="H252" s="289">
        <f>K0kommunestruktur2020!H252</f>
        <v>385721.16393227217</v>
      </c>
      <c r="I252" s="289">
        <f>K0kommunestruktur2020!I252</f>
        <v>15514.580003859999</v>
      </c>
      <c r="J252" s="289">
        <f>K0kommunestruktur2020!J252</f>
        <v>406157.18123913626</v>
      </c>
      <c r="K252" s="289">
        <f>K0kommunestruktur2020!K252</f>
        <v>15575.84687641</v>
      </c>
      <c r="L252" s="289">
        <f>K0kommunestruktur2020!L252</f>
        <v>428051.55098765466</v>
      </c>
      <c r="M252" s="289">
        <f>K0kommunestruktur2020!M252</f>
        <v>15611</v>
      </c>
      <c r="N252" s="289">
        <f>K0kommunestruktur2020!N252</f>
        <v>453051.44811169017</v>
      </c>
      <c r="O252" s="289">
        <f>K0kommunestruktur2020!O252</f>
        <v>15740</v>
      </c>
      <c r="P252" s="289">
        <f>K0kommunestruktur2020!P252</f>
        <v>443958</v>
      </c>
      <c r="Q252" s="289">
        <f>VLOOKUP(A252,'K21'!$A$4:$CI$359,3)</f>
        <v>15787</v>
      </c>
      <c r="R252" s="289">
        <f>VLOOKUP(A252,'K21'!$A$4:$BV$359,26)</f>
        <v>489349.63799999998</v>
      </c>
      <c r="S252" s="517"/>
      <c r="T252" s="517"/>
      <c r="U252" s="517"/>
      <c r="V252" s="517"/>
    </row>
    <row r="253" spans="1:22" ht="13">
      <c r="A253" s="755">
        <v>4622</v>
      </c>
      <c r="B253" s="756" t="s">
        <v>38</v>
      </c>
      <c r="C253" s="289">
        <f>K0kommunestruktur2020!C253</f>
        <v>8584</v>
      </c>
      <c r="D253" s="289">
        <f>K0kommunestruktur2020!D253</f>
        <v>191886</v>
      </c>
      <c r="E253" s="289">
        <f>K0kommunestruktur2020!E253</f>
        <v>8539</v>
      </c>
      <c r="F253" s="289">
        <f>K0kommunestruktur2020!F253</f>
        <v>198344</v>
      </c>
      <c r="G253" s="289">
        <f>K0kommunestruktur2020!G253</f>
        <v>8475</v>
      </c>
      <c r="H253" s="289">
        <f>K0kommunestruktur2020!H253</f>
        <v>212701</v>
      </c>
      <c r="I253" s="289">
        <f>K0kommunestruktur2020!I253</f>
        <v>8423</v>
      </c>
      <c r="J253" s="289">
        <f>K0kommunestruktur2020!J253</f>
        <v>216753</v>
      </c>
      <c r="K253" s="289">
        <f>K0kommunestruktur2020!K253</f>
        <v>8455</v>
      </c>
      <c r="L253" s="289">
        <f>K0kommunestruktur2020!L253</f>
        <v>232403</v>
      </c>
      <c r="M253" s="289">
        <f>K0kommunestruktur2020!M253</f>
        <v>8441</v>
      </c>
      <c r="N253" s="289">
        <f>K0kommunestruktur2020!N253</f>
        <v>234746</v>
      </c>
      <c r="O253" s="289">
        <f>K0kommunestruktur2020!O253</f>
        <v>8457</v>
      </c>
      <c r="P253" s="289">
        <f>K0kommunestruktur2020!P253</f>
        <v>233626</v>
      </c>
      <c r="Q253" s="289">
        <f>VLOOKUP(A253,'K21'!$A$4:$CI$359,3)</f>
        <v>8461</v>
      </c>
      <c r="R253" s="289">
        <f>VLOOKUP(A253,'K21'!$A$4:$BV$359,26)</f>
        <v>267315.22600000002</v>
      </c>
      <c r="S253" s="517"/>
      <c r="T253" s="517"/>
      <c r="U253" s="517"/>
      <c r="V253" s="517"/>
    </row>
    <row r="254" spans="1:22" ht="13">
      <c r="A254" s="755">
        <v>4623</v>
      </c>
      <c r="B254" s="756" t="s">
        <v>40</v>
      </c>
      <c r="C254" s="289">
        <f>K0kommunestruktur2020!C254</f>
        <v>2436</v>
      </c>
      <c r="D254" s="289">
        <f>K0kommunestruktur2020!D254</f>
        <v>57433</v>
      </c>
      <c r="E254" s="289">
        <f>K0kommunestruktur2020!E254</f>
        <v>2443</v>
      </c>
      <c r="F254" s="289">
        <f>K0kommunestruktur2020!F254</f>
        <v>62067</v>
      </c>
      <c r="G254" s="289">
        <f>K0kommunestruktur2020!G254</f>
        <v>2443</v>
      </c>
      <c r="H254" s="289">
        <f>K0kommunestruktur2020!H254</f>
        <v>65531</v>
      </c>
      <c r="I254" s="289">
        <f>K0kommunestruktur2020!I254</f>
        <v>2488</v>
      </c>
      <c r="J254" s="289">
        <f>K0kommunestruktur2020!J254</f>
        <v>66651</v>
      </c>
      <c r="K254" s="289">
        <f>K0kommunestruktur2020!K254</f>
        <v>2463</v>
      </c>
      <c r="L254" s="289">
        <f>K0kommunestruktur2020!L254</f>
        <v>65455</v>
      </c>
      <c r="M254" s="289">
        <f>K0kommunestruktur2020!M254</f>
        <v>2465</v>
      </c>
      <c r="N254" s="289">
        <f>K0kommunestruktur2020!N254</f>
        <v>67380</v>
      </c>
      <c r="O254" s="289">
        <f>K0kommunestruktur2020!O254</f>
        <v>2485</v>
      </c>
      <c r="P254" s="289">
        <f>K0kommunestruktur2020!P254</f>
        <v>67747</v>
      </c>
      <c r="Q254" s="289">
        <f>VLOOKUP(A254,'K21'!$A$4:$CI$359,3)</f>
        <v>2504</v>
      </c>
      <c r="R254" s="289">
        <f>VLOOKUP(A254,'K21'!$A$4:$BV$359,26)</f>
        <v>76737.937999999995</v>
      </c>
      <c r="S254" s="517"/>
      <c r="T254" s="517"/>
      <c r="U254" s="517"/>
      <c r="V254" s="517"/>
    </row>
    <row r="255" spans="1:22" ht="13">
      <c r="A255" s="755">
        <v>4624</v>
      </c>
      <c r="B255" s="756" t="s">
        <v>1634</v>
      </c>
      <c r="C255" s="289">
        <f>K0kommunestruktur2020!C255</f>
        <v>22507</v>
      </c>
      <c r="D255" s="289">
        <f>K0kommunestruktur2020!D255</f>
        <v>534800</v>
      </c>
      <c r="E255" s="289">
        <f>K0kommunestruktur2020!E255</f>
        <v>22935</v>
      </c>
      <c r="F255" s="289">
        <f>K0kommunestruktur2020!F255</f>
        <v>569139</v>
      </c>
      <c r="G255" s="289">
        <f>K0kommunestruktur2020!G255</f>
        <v>23618</v>
      </c>
      <c r="H255" s="289">
        <f>K0kommunestruktur2020!H255</f>
        <v>626543</v>
      </c>
      <c r="I255" s="289">
        <f>K0kommunestruktur2020!I255</f>
        <v>24047</v>
      </c>
      <c r="J255" s="289">
        <f>K0kommunestruktur2020!J255</f>
        <v>657084</v>
      </c>
      <c r="K255" s="289">
        <f>K0kommunestruktur2020!K255</f>
        <v>24493</v>
      </c>
      <c r="L255" s="289">
        <f>K0kommunestruktur2020!L255</f>
        <v>677975</v>
      </c>
      <c r="M255" s="289">
        <f>K0kommunestruktur2020!M255</f>
        <v>24665</v>
      </c>
      <c r="N255" s="289">
        <f>K0kommunestruktur2020!N255</f>
        <v>706159</v>
      </c>
      <c r="O255" s="289">
        <f>K0kommunestruktur2020!O255</f>
        <v>24908</v>
      </c>
      <c r="P255" s="289">
        <f>K0kommunestruktur2020!P255</f>
        <v>702109</v>
      </c>
      <c r="Q255" s="289">
        <f>VLOOKUP(A255,'K21'!$A$4:$CI$359,3)</f>
        <v>25049</v>
      </c>
      <c r="R255" s="289">
        <f>VLOOKUP(A255,'K21'!$A$4:$BV$359,26)</f>
        <v>809661.46299999999</v>
      </c>
      <c r="S255" s="517"/>
      <c r="T255" s="517"/>
      <c r="U255" s="517"/>
      <c r="V255" s="517"/>
    </row>
    <row r="256" spans="1:22" ht="13">
      <c r="A256" s="755">
        <v>4625</v>
      </c>
      <c r="B256" s="756" t="s">
        <v>41</v>
      </c>
      <c r="C256" s="289">
        <f>K0kommunestruktur2020!C256</f>
        <v>4924</v>
      </c>
      <c r="D256" s="289">
        <f>K0kommunestruktur2020!D256</f>
        <v>167181</v>
      </c>
      <c r="E256" s="289">
        <f>K0kommunestruktur2020!E256</f>
        <v>5012</v>
      </c>
      <c r="F256" s="289">
        <f>K0kommunestruktur2020!F256</f>
        <v>185918</v>
      </c>
      <c r="G256" s="289">
        <f>K0kommunestruktur2020!G256</f>
        <v>5118</v>
      </c>
      <c r="H256" s="289">
        <f>K0kommunestruktur2020!H256</f>
        <v>200516</v>
      </c>
      <c r="I256" s="289">
        <f>K0kommunestruktur2020!I256</f>
        <v>5156</v>
      </c>
      <c r="J256" s="289">
        <f>K0kommunestruktur2020!J256</f>
        <v>219330</v>
      </c>
      <c r="K256" s="289">
        <f>K0kommunestruktur2020!K256</f>
        <v>5189</v>
      </c>
      <c r="L256" s="289">
        <f>K0kommunestruktur2020!L256</f>
        <v>202389</v>
      </c>
      <c r="M256" s="289">
        <f>K0kommunestruktur2020!M256</f>
        <v>5212</v>
      </c>
      <c r="N256" s="289">
        <f>K0kommunestruktur2020!N256</f>
        <v>259138</v>
      </c>
      <c r="O256" s="289">
        <f>K0kommunestruktur2020!O256</f>
        <v>5236</v>
      </c>
      <c r="P256" s="289">
        <f>K0kommunestruktur2020!P256</f>
        <v>264097</v>
      </c>
      <c r="Q256" s="289">
        <f>VLOOKUP(A256,'K21'!$A$4:$CI$359,3)</f>
        <v>5276</v>
      </c>
      <c r="R256" s="289">
        <f>VLOOKUP(A256,'K21'!$A$4:$BV$359,26)</f>
        <v>286098.10200000001</v>
      </c>
      <c r="S256" s="517"/>
      <c r="T256" s="517"/>
      <c r="U256" s="517"/>
      <c r="V256" s="517"/>
    </row>
    <row r="257" spans="1:22" ht="13">
      <c r="A257" s="755">
        <v>4626</v>
      </c>
      <c r="B257" s="756" t="s">
        <v>1635</v>
      </c>
      <c r="C257" s="289">
        <f>K0kommunestruktur2020!C257</f>
        <v>35191</v>
      </c>
      <c r="D257" s="289">
        <f>K0kommunestruktur2020!D257</f>
        <v>869349</v>
      </c>
      <c r="E257" s="289">
        <f>K0kommunestruktur2020!E257</f>
        <v>35912</v>
      </c>
      <c r="F257" s="289">
        <f>K0kommunestruktur2020!F257</f>
        <v>900925</v>
      </c>
      <c r="G257" s="289">
        <f>K0kommunestruktur2020!G257</f>
        <v>36697</v>
      </c>
      <c r="H257" s="289">
        <f>K0kommunestruktur2020!H257</f>
        <v>969029</v>
      </c>
      <c r="I257" s="289">
        <f>K0kommunestruktur2020!I257</f>
        <v>37175</v>
      </c>
      <c r="J257" s="289">
        <f>K0kommunestruktur2020!J257</f>
        <v>993064</v>
      </c>
      <c r="K257" s="289">
        <f>K0kommunestruktur2020!K257</f>
        <v>37687</v>
      </c>
      <c r="L257" s="289">
        <f>K0kommunestruktur2020!L257</f>
        <v>1041433</v>
      </c>
      <c r="M257" s="289">
        <f>K0kommunestruktur2020!M257</f>
        <v>38117</v>
      </c>
      <c r="N257" s="289">
        <f>K0kommunestruktur2020!N257</f>
        <v>1088369</v>
      </c>
      <c r="O257" s="289">
        <f>K0kommunestruktur2020!O257</f>
        <v>38316</v>
      </c>
      <c r="P257" s="289">
        <f>K0kommunestruktur2020!P257</f>
        <v>1073322</v>
      </c>
      <c r="Q257" s="289">
        <f>VLOOKUP(A257,'K21'!$A$4:$CI$359,3)</f>
        <v>38664</v>
      </c>
      <c r="R257" s="289">
        <f>VLOOKUP(A257,'K21'!$A$4:$BV$359,26)</f>
        <v>1234238.007</v>
      </c>
      <c r="S257" s="517"/>
      <c r="T257" s="517"/>
      <c r="U257" s="517"/>
      <c r="V257" s="517"/>
    </row>
    <row r="258" spans="1:22" ht="13">
      <c r="A258" s="755">
        <v>4627</v>
      </c>
      <c r="B258" s="965" t="s">
        <v>44</v>
      </c>
      <c r="C258" s="289">
        <f>K0kommunestruktur2020!C258</f>
        <v>27346</v>
      </c>
      <c r="D258" s="289">
        <f>K0kommunestruktur2020!D258</f>
        <v>612963</v>
      </c>
      <c r="E258" s="289">
        <f>K0kommunestruktur2020!E258</f>
        <v>27858</v>
      </c>
      <c r="F258" s="289">
        <f>K0kommunestruktur2020!F258</f>
        <v>641304</v>
      </c>
      <c r="G258" s="289">
        <f>K0kommunestruktur2020!G258</f>
        <v>28380</v>
      </c>
      <c r="H258" s="289">
        <f>K0kommunestruktur2020!H258</f>
        <v>684373</v>
      </c>
      <c r="I258" s="289">
        <f>K0kommunestruktur2020!I258</f>
        <v>28821</v>
      </c>
      <c r="J258" s="289">
        <f>K0kommunestruktur2020!J258</f>
        <v>715328</v>
      </c>
      <c r="K258" s="289">
        <f>K0kommunestruktur2020!K258</f>
        <v>29071</v>
      </c>
      <c r="L258" s="289">
        <f>K0kommunestruktur2020!L258</f>
        <v>745203</v>
      </c>
      <c r="M258" s="289">
        <f>K0kommunestruktur2020!M258</f>
        <v>29275</v>
      </c>
      <c r="N258" s="289">
        <f>K0kommunestruktur2020!N258</f>
        <v>770143</v>
      </c>
      <c r="O258" s="289">
        <f>K0kommunestruktur2020!O258</f>
        <v>29553</v>
      </c>
      <c r="P258" s="289">
        <f>K0kommunestruktur2020!P258</f>
        <v>758102</v>
      </c>
      <c r="Q258" s="289">
        <f>VLOOKUP(A258,'K21'!$A$4:$CI$359,3)</f>
        <v>29594</v>
      </c>
      <c r="R258" s="289">
        <f>VLOOKUP(A258,'K21'!$A$4:$BV$359,26)</f>
        <v>891286.87600000005</v>
      </c>
      <c r="S258" s="517"/>
      <c r="T258" s="517"/>
      <c r="U258" s="517"/>
      <c r="V258" s="517"/>
    </row>
    <row r="259" spans="1:22" ht="13">
      <c r="A259" s="755">
        <v>4628</v>
      </c>
      <c r="B259" s="756" t="s">
        <v>45</v>
      </c>
      <c r="C259" s="289">
        <f>K0kommunestruktur2020!C259</f>
        <v>4140</v>
      </c>
      <c r="D259" s="289">
        <f>K0kommunestruktur2020!D259</f>
        <v>91771</v>
      </c>
      <c r="E259" s="289">
        <f>K0kommunestruktur2020!E259</f>
        <v>4096</v>
      </c>
      <c r="F259" s="289">
        <f>K0kommunestruktur2020!F259</f>
        <v>95145</v>
      </c>
      <c r="G259" s="289">
        <f>K0kommunestruktur2020!G259</f>
        <v>4125</v>
      </c>
      <c r="H259" s="289">
        <f>K0kommunestruktur2020!H259</f>
        <v>100840</v>
      </c>
      <c r="I259" s="289">
        <f>K0kommunestruktur2020!I259</f>
        <v>4123</v>
      </c>
      <c r="J259" s="289">
        <f>K0kommunestruktur2020!J259</f>
        <v>103284</v>
      </c>
      <c r="K259" s="289">
        <f>K0kommunestruktur2020!K259</f>
        <v>4127</v>
      </c>
      <c r="L259" s="289">
        <f>K0kommunestruktur2020!L259</f>
        <v>107402</v>
      </c>
      <c r="M259" s="289">
        <f>K0kommunestruktur2020!M259</f>
        <v>4045</v>
      </c>
      <c r="N259" s="289">
        <f>K0kommunestruktur2020!N259</f>
        <v>109454</v>
      </c>
      <c r="O259" s="289">
        <f>K0kommunestruktur2020!O259</f>
        <v>3977</v>
      </c>
      <c r="P259" s="289">
        <f>K0kommunestruktur2020!P259</f>
        <v>107407</v>
      </c>
      <c r="Q259" s="289">
        <f>VLOOKUP(A259,'K21'!$A$4:$CI$359,3)</f>
        <v>3918</v>
      </c>
      <c r="R259" s="289">
        <f>VLOOKUP(A259,'K21'!$A$4:$BV$359,26)</f>
        <v>118388.21799999999</v>
      </c>
      <c r="S259" s="517"/>
      <c r="T259" s="517"/>
      <c r="U259" s="517"/>
      <c r="V259" s="517"/>
    </row>
    <row r="260" spans="1:22" ht="13">
      <c r="A260" s="755">
        <v>4629</v>
      </c>
      <c r="B260" s="756" t="s">
        <v>46</v>
      </c>
      <c r="C260" s="289">
        <f>K0kommunestruktur2020!C260</f>
        <v>372</v>
      </c>
      <c r="D260" s="289">
        <f>K0kommunestruktur2020!D260</f>
        <v>23282</v>
      </c>
      <c r="E260" s="289">
        <f>K0kommunestruktur2020!E260</f>
        <v>378</v>
      </c>
      <c r="F260" s="289">
        <f>K0kommunestruktur2020!F260</f>
        <v>22663</v>
      </c>
      <c r="G260" s="289">
        <f>K0kommunestruktur2020!G260</f>
        <v>381</v>
      </c>
      <c r="H260" s="289">
        <f>K0kommunestruktur2020!H260</f>
        <v>24758</v>
      </c>
      <c r="I260" s="289">
        <f>K0kommunestruktur2020!I260</f>
        <v>383</v>
      </c>
      <c r="J260" s="289">
        <f>K0kommunestruktur2020!J260</f>
        <v>23712</v>
      </c>
      <c r="K260" s="289">
        <f>K0kommunestruktur2020!K260</f>
        <v>380</v>
      </c>
      <c r="L260" s="289">
        <f>K0kommunestruktur2020!L260</f>
        <v>24427</v>
      </c>
      <c r="M260" s="289">
        <f>K0kommunestruktur2020!M260</f>
        <v>380</v>
      </c>
      <c r="N260" s="289">
        <f>K0kommunestruktur2020!N260</f>
        <v>27481</v>
      </c>
      <c r="O260" s="289">
        <f>K0kommunestruktur2020!O260</f>
        <v>388</v>
      </c>
      <c r="P260" s="289">
        <f>K0kommunestruktur2020!P260</f>
        <v>27348</v>
      </c>
      <c r="Q260" s="289">
        <f>VLOOKUP(A260,'K21'!$A$4:$CI$359,3)</f>
        <v>376</v>
      </c>
      <c r="R260" s="289">
        <f>VLOOKUP(A260,'K21'!$A$4:$BV$359,26)</f>
        <v>29904.151000000002</v>
      </c>
      <c r="S260" s="517"/>
      <c r="T260" s="517"/>
      <c r="U260" s="517"/>
      <c r="V260" s="517"/>
    </row>
    <row r="261" spans="1:22" ht="13">
      <c r="A261" s="755">
        <v>4630</v>
      </c>
      <c r="B261" s="756" t="s">
        <v>47</v>
      </c>
      <c r="C261" s="289">
        <f>K0kommunestruktur2020!C261</f>
        <v>7786</v>
      </c>
      <c r="D261" s="289">
        <f>K0kommunestruktur2020!D261</f>
        <v>159398</v>
      </c>
      <c r="E261" s="289">
        <f>K0kommunestruktur2020!E261</f>
        <v>7842</v>
      </c>
      <c r="F261" s="289">
        <f>K0kommunestruktur2020!F261</f>
        <v>166774</v>
      </c>
      <c r="G261" s="289">
        <f>K0kommunestruktur2020!G261</f>
        <v>7957</v>
      </c>
      <c r="H261" s="289">
        <f>K0kommunestruktur2020!H261</f>
        <v>179015</v>
      </c>
      <c r="I261" s="289">
        <f>K0kommunestruktur2020!I261</f>
        <v>8026</v>
      </c>
      <c r="J261" s="289">
        <f>K0kommunestruktur2020!J261</f>
        <v>190980</v>
      </c>
      <c r="K261" s="289">
        <f>K0kommunestruktur2020!K261</f>
        <v>8125</v>
      </c>
      <c r="L261" s="289">
        <f>K0kommunestruktur2020!L261</f>
        <v>194818</v>
      </c>
      <c r="M261" s="289">
        <f>K0kommunestruktur2020!M261</f>
        <v>8120</v>
      </c>
      <c r="N261" s="289">
        <f>K0kommunestruktur2020!N261</f>
        <v>204329</v>
      </c>
      <c r="O261" s="289">
        <f>K0kommunestruktur2020!O261</f>
        <v>8098</v>
      </c>
      <c r="P261" s="289">
        <f>K0kommunestruktur2020!P261</f>
        <v>202713</v>
      </c>
      <c r="Q261" s="289">
        <f>VLOOKUP(A261,'K21'!$A$4:$CI$359,3)</f>
        <v>8080</v>
      </c>
      <c r="R261" s="289">
        <f>VLOOKUP(A261,'K21'!$A$4:$BV$359,26)</f>
        <v>228696.345</v>
      </c>
      <c r="S261" s="517"/>
      <c r="T261" s="517"/>
      <c r="U261" s="517"/>
      <c r="V261" s="517"/>
    </row>
    <row r="262" spans="1:22" ht="13">
      <c r="A262" s="755">
        <v>4631</v>
      </c>
      <c r="B262" s="756" t="s">
        <v>1636</v>
      </c>
      <c r="C262" s="289">
        <f>K0kommunestruktur2020!C262</f>
        <v>27652</v>
      </c>
      <c r="D262" s="289">
        <f>K0kommunestruktur2020!D262</f>
        <v>642806</v>
      </c>
      <c r="E262" s="289">
        <f>K0kommunestruktur2020!E262</f>
        <v>28152</v>
      </c>
      <c r="F262" s="289">
        <f>K0kommunestruktur2020!F262</f>
        <v>659754</v>
      </c>
      <c r="G262" s="289">
        <f>K0kommunestruktur2020!G262</f>
        <v>28496</v>
      </c>
      <c r="H262" s="289">
        <f>K0kommunestruktur2020!H262</f>
        <v>698232</v>
      </c>
      <c r="I262" s="289">
        <f>K0kommunestruktur2020!I262</f>
        <v>28880</v>
      </c>
      <c r="J262" s="289">
        <f>K0kommunestruktur2020!J262</f>
        <v>709290</v>
      </c>
      <c r="K262" s="289">
        <f>K0kommunestruktur2020!K262</f>
        <v>28997</v>
      </c>
      <c r="L262" s="289">
        <f>K0kommunestruktur2020!L262</f>
        <v>743913</v>
      </c>
      <c r="M262" s="289">
        <f>K0kommunestruktur2020!M262</f>
        <v>29090</v>
      </c>
      <c r="N262" s="289">
        <f>K0kommunestruktur2020!N262</f>
        <v>793379</v>
      </c>
      <c r="O262" s="289">
        <f>K0kommunestruktur2020!O262</f>
        <v>29224</v>
      </c>
      <c r="P262" s="289">
        <f>K0kommunestruktur2020!P262</f>
        <v>779977</v>
      </c>
      <c r="Q262" s="289">
        <f>VLOOKUP(A262,'K21'!$A$4:$CI$359,3)</f>
        <v>29337</v>
      </c>
      <c r="R262" s="289">
        <f>VLOOKUP(A262,'K21'!$A$4:$BV$359,26)</f>
        <v>891135.897</v>
      </c>
      <c r="S262" s="517"/>
      <c r="T262" s="517"/>
      <c r="U262" s="517"/>
      <c r="V262" s="517"/>
    </row>
    <row r="263" spans="1:22" ht="13">
      <c r="A263" s="755">
        <v>4632</v>
      </c>
      <c r="B263" s="756" t="s">
        <v>55</v>
      </c>
      <c r="C263" s="289">
        <f>K0kommunestruktur2020!C263</f>
        <v>2833</v>
      </c>
      <c r="D263" s="289">
        <f>K0kommunestruktur2020!D263</f>
        <v>84590</v>
      </c>
      <c r="E263" s="289">
        <f>K0kommunestruktur2020!E263</f>
        <v>2856</v>
      </c>
      <c r="F263" s="289">
        <f>K0kommunestruktur2020!F263</f>
        <v>82871</v>
      </c>
      <c r="G263" s="289">
        <f>K0kommunestruktur2020!G263</f>
        <v>2858</v>
      </c>
      <c r="H263" s="289">
        <f>K0kommunestruktur2020!H263</f>
        <v>88559</v>
      </c>
      <c r="I263" s="289">
        <f>K0kommunestruktur2020!I263</f>
        <v>2884</v>
      </c>
      <c r="J263" s="289">
        <f>K0kommunestruktur2020!J263</f>
        <v>85690</v>
      </c>
      <c r="K263" s="289">
        <f>K0kommunestruktur2020!K263</f>
        <v>2902</v>
      </c>
      <c r="L263" s="289">
        <f>K0kommunestruktur2020!L263</f>
        <v>87553</v>
      </c>
      <c r="M263" s="289">
        <f>K0kommunestruktur2020!M263</f>
        <v>2887</v>
      </c>
      <c r="N263" s="289">
        <f>K0kommunestruktur2020!N263</f>
        <v>95029</v>
      </c>
      <c r="O263" s="289">
        <f>K0kommunestruktur2020!O263</f>
        <v>2870</v>
      </c>
      <c r="P263" s="289">
        <f>K0kommunestruktur2020!P263</f>
        <v>96979</v>
      </c>
      <c r="Q263" s="289">
        <f>VLOOKUP(A263,'K21'!$A$4:$CI$359,3)</f>
        <v>2860</v>
      </c>
      <c r="R263" s="289">
        <f>VLOOKUP(A263,'K21'!$A$4:$BV$359,26)</f>
        <v>108953.39200000001</v>
      </c>
      <c r="S263" s="517"/>
      <c r="T263" s="517"/>
      <c r="U263" s="517"/>
      <c r="V263" s="517"/>
    </row>
    <row r="264" spans="1:22" ht="13">
      <c r="A264" s="755">
        <v>4633</v>
      </c>
      <c r="B264" s="756" t="s">
        <v>56</v>
      </c>
      <c r="C264" s="289">
        <f>K0kommunestruktur2020!C264</f>
        <v>561</v>
      </c>
      <c r="D264" s="289">
        <f>K0kommunestruktur2020!D264</f>
        <v>12698</v>
      </c>
      <c r="E264" s="289">
        <f>K0kommunestruktur2020!E264</f>
        <v>563</v>
      </c>
      <c r="F264" s="289">
        <f>K0kommunestruktur2020!F264</f>
        <v>12935</v>
      </c>
      <c r="G264" s="289">
        <f>K0kommunestruktur2020!G264</f>
        <v>576</v>
      </c>
      <c r="H264" s="289">
        <f>K0kommunestruktur2020!H264</f>
        <v>13743</v>
      </c>
      <c r="I264" s="289">
        <f>K0kommunestruktur2020!I264</f>
        <v>587</v>
      </c>
      <c r="J264" s="289">
        <f>K0kommunestruktur2020!J264</f>
        <v>13627</v>
      </c>
      <c r="K264" s="289">
        <f>K0kommunestruktur2020!K264</f>
        <v>561</v>
      </c>
      <c r="L264" s="289">
        <f>K0kommunestruktur2020!L264</f>
        <v>14691</v>
      </c>
      <c r="M264" s="289">
        <f>K0kommunestruktur2020!M264</f>
        <v>562</v>
      </c>
      <c r="N264" s="289">
        <f>K0kommunestruktur2020!N264</f>
        <v>14851</v>
      </c>
      <c r="O264" s="289">
        <f>K0kommunestruktur2020!O264</f>
        <v>548</v>
      </c>
      <c r="P264" s="289">
        <f>K0kommunestruktur2020!P264</f>
        <v>15842</v>
      </c>
      <c r="Q264" s="289">
        <f>VLOOKUP(A264,'K21'!$A$4:$CI$359,3)</f>
        <v>525</v>
      </c>
      <c r="R264" s="289">
        <f>VLOOKUP(A264,'K21'!$A$4:$BV$359,26)</f>
        <v>16472.117999999999</v>
      </c>
      <c r="S264" s="517"/>
      <c r="T264" s="517"/>
      <c r="U264" s="517"/>
      <c r="V264" s="517"/>
    </row>
    <row r="265" spans="1:22" ht="13">
      <c r="A265" s="755">
        <v>4634</v>
      </c>
      <c r="B265" s="756" t="s">
        <v>57</v>
      </c>
      <c r="C265" s="289">
        <f>K0kommunestruktur2020!C265</f>
        <v>1693</v>
      </c>
      <c r="D265" s="289">
        <f>K0kommunestruktur2020!D265</f>
        <v>50840</v>
      </c>
      <c r="E265" s="289">
        <f>K0kommunestruktur2020!E265</f>
        <v>1704</v>
      </c>
      <c r="F265" s="289">
        <f>K0kommunestruktur2020!F265</f>
        <v>51991</v>
      </c>
      <c r="G265" s="289">
        <f>K0kommunestruktur2020!G265</f>
        <v>1701</v>
      </c>
      <c r="H265" s="289">
        <f>K0kommunestruktur2020!H265</f>
        <v>54093</v>
      </c>
      <c r="I265" s="289">
        <f>K0kommunestruktur2020!I265</f>
        <v>1710</v>
      </c>
      <c r="J265" s="289">
        <f>K0kommunestruktur2020!J265</f>
        <v>54844</v>
      </c>
      <c r="K265" s="289">
        <f>K0kommunestruktur2020!K265</f>
        <v>1730</v>
      </c>
      <c r="L265" s="289">
        <f>K0kommunestruktur2020!L265</f>
        <v>55228</v>
      </c>
      <c r="M265" s="289">
        <f>K0kommunestruktur2020!M265</f>
        <v>1711</v>
      </c>
      <c r="N265" s="289">
        <f>K0kommunestruktur2020!N265</f>
        <v>58980</v>
      </c>
      <c r="O265" s="289">
        <f>K0kommunestruktur2020!O265</f>
        <v>1691</v>
      </c>
      <c r="P265" s="289">
        <f>K0kommunestruktur2020!P265</f>
        <v>57444</v>
      </c>
      <c r="Q265" s="289">
        <f>VLOOKUP(A265,'K21'!$A$4:$CI$359,3)</f>
        <v>1660</v>
      </c>
      <c r="R265" s="289">
        <f>VLOOKUP(A265,'K21'!$A$4:$BV$359,26)</f>
        <v>63301.815999999999</v>
      </c>
      <c r="S265" s="517"/>
      <c r="T265" s="517"/>
      <c r="U265" s="517"/>
      <c r="V265" s="517"/>
    </row>
    <row r="266" spans="1:22" ht="13">
      <c r="A266" s="755">
        <v>4635</v>
      </c>
      <c r="B266" s="756" t="s">
        <v>59</v>
      </c>
      <c r="C266" s="289">
        <f>K0kommunestruktur2020!C266</f>
        <v>2315</v>
      </c>
      <c r="D266" s="289">
        <f>K0kommunestruktur2020!D266</f>
        <v>61093</v>
      </c>
      <c r="E266" s="289">
        <f>K0kommunestruktur2020!E266</f>
        <v>2335</v>
      </c>
      <c r="F266" s="289">
        <f>K0kommunestruktur2020!F266</f>
        <v>62353</v>
      </c>
      <c r="G266" s="289">
        <f>K0kommunestruktur2020!G266</f>
        <v>2370</v>
      </c>
      <c r="H266" s="289">
        <f>K0kommunestruktur2020!H266</f>
        <v>71148</v>
      </c>
      <c r="I266" s="289">
        <f>K0kommunestruktur2020!I266</f>
        <v>2371</v>
      </c>
      <c r="J266" s="289">
        <f>K0kommunestruktur2020!J266</f>
        <v>70894</v>
      </c>
      <c r="K266" s="289">
        <f>K0kommunestruktur2020!K266</f>
        <v>2345</v>
      </c>
      <c r="L266" s="289">
        <f>K0kommunestruktur2020!L266</f>
        <v>66356</v>
      </c>
      <c r="M266" s="289">
        <f>K0kommunestruktur2020!M266</f>
        <v>2322</v>
      </c>
      <c r="N266" s="289">
        <f>K0kommunestruktur2020!N266</f>
        <v>75568</v>
      </c>
      <c r="O266" s="289">
        <f>K0kommunestruktur2020!O266</f>
        <v>2297</v>
      </c>
      <c r="P266" s="289">
        <f>K0kommunestruktur2020!P266</f>
        <v>81292</v>
      </c>
      <c r="Q266" s="289">
        <f>VLOOKUP(A266,'K21'!$A$4:$CI$359,3)</f>
        <v>2272</v>
      </c>
      <c r="R266" s="289">
        <f>VLOOKUP(A266,'K21'!$A$4:$BV$359,26)</f>
        <v>87972.930999999997</v>
      </c>
      <c r="S266" s="517"/>
      <c r="T266" s="517"/>
      <c r="U266" s="517"/>
      <c r="V266" s="517"/>
    </row>
    <row r="267" spans="1:22" ht="13">
      <c r="A267" s="755">
        <v>4636</v>
      </c>
      <c r="B267" s="756" t="s">
        <v>60</v>
      </c>
      <c r="C267" s="289">
        <f>K0kommunestruktur2020!C267</f>
        <v>815</v>
      </c>
      <c r="D267" s="289">
        <f>K0kommunestruktur2020!D267</f>
        <v>18381</v>
      </c>
      <c r="E267" s="289">
        <f>K0kommunestruktur2020!E267</f>
        <v>800</v>
      </c>
      <c r="F267" s="289">
        <f>K0kommunestruktur2020!F267</f>
        <v>19212</v>
      </c>
      <c r="G267" s="289">
        <f>K0kommunestruktur2020!G267</f>
        <v>785</v>
      </c>
      <c r="H267" s="289">
        <f>K0kommunestruktur2020!H267</f>
        <v>20256</v>
      </c>
      <c r="I267" s="289">
        <f>K0kommunestruktur2020!I267</f>
        <v>794</v>
      </c>
      <c r="J267" s="289">
        <f>K0kommunestruktur2020!J267</f>
        <v>21810</v>
      </c>
      <c r="K267" s="289">
        <f>K0kommunestruktur2020!K267</f>
        <v>807</v>
      </c>
      <c r="L267" s="289">
        <f>K0kommunestruktur2020!L267</f>
        <v>22900</v>
      </c>
      <c r="M267" s="289">
        <f>K0kommunestruktur2020!M267</f>
        <v>820</v>
      </c>
      <c r="N267" s="289">
        <f>K0kommunestruktur2020!N267</f>
        <v>24412</v>
      </c>
      <c r="O267" s="289">
        <f>K0kommunestruktur2020!O267</f>
        <v>802</v>
      </c>
      <c r="P267" s="289">
        <f>K0kommunestruktur2020!P267</f>
        <v>24421</v>
      </c>
      <c r="Q267" s="289">
        <f>VLOOKUP(A267,'K21'!$A$4:$CI$359,3)</f>
        <v>786</v>
      </c>
      <c r="R267" s="289">
        <f>VLOOKUP(A267,'K21'!$A$4:$BV$359,26)</f>
        <v>25116.300999999999</v>
      </c>
      <c r="S267" s="517"/>
      <c r="T267" s="517"/>
      <c r="U267" s="517"/>
      <c r="V267" s="517"/>
    </row>
    <row r="268" spans="1:22" ht="13">
      <c r="A268" s="755">
        <v>4637</v>
      </c>
      <c r="B268" s="756" t="s">
        <v>61</v>
      </c>
      <c r="C268" s="289">
        <f>K0kommunestruktur2020!C268</f>
        <v>1391</v>
      </c>
      <c r="D268" s="289">
        <f>K0kommunestruktur2020!D268</f>
        <v>34485</v>
      </c>
      <c r="E268" s="289">
        <f>K0kommunestruktur2020!E268</f>
        <v>1405</v>
      </c>
      <c r="F268" s="289">
        <f>K0kommunestruktur2020!F268</f>
        <v>36501</v>
      </c>
      <c r="G268" s="289">
        <f>K0kommunestruktur2020!G268</f>
        <v>1395</v>
      </c>
      <c r="H268" s="289">
        <f>K0kommunestruktur2020!H268</f>
        <v>35334</v>
      </c>
      <c r="I268" s="289">
        <f>K0kommunestruktur2020!I268</f>
        <v>1438</v>
      </c>
      <c r="J268" s="289">
        <f>K0kommunestruktur2020!J268</f>
        <v>34994</v>
      </c>
      <c r="K268" s="289">
        <f>K0kommunestruktur2020!K268</f>
        <v>1378</v>
      </c>
      <c r="L268" s="289">
        <f>K0kommunestruktur2020!L268</f>
        <v>35150</v>
      </c>
      <c r="M268" s="289">
        <f>K0kommunestruktur2020!M268</f>
        <v>1366</v>
      </c>
      <c r="N268" s="289">
        <f>K0kommunestruktur2020!N268</f>
        <v>38793</v>
      </c>
      <c r="O268" s="289">
        <f>K0kommunestruktur2020!O268</f>
        <v>1328</v>
      </c>
      <c r="P268" s="289">
        <f>K0kommunestruktur2020!P268</f>
        <v>42033</v>
      </c>
      <c r="Q268" s="289">
        <f>VLOOKUP(A268,'K21'!$A$4:$CI$359,3)</f>
        <v>1294</v>
      </c>
      <c r="R268" s="289">
        <f>VLOOKUP(A268,'K21'!$A$4:$BV$359,26)</f>
        <v>47525.957000000002</v>
      </c>
      <c r="S268" s="517"/>
      <c r="T268" s="517"/>
      <c r="U268" s="517"/>
      <c r="V268" s="517"/>
    </row>
    <row r="269" spans="1:22" ht="13">
      <c r="A269" s="755">
        <v>4638</v>
      </c>
      <c r="B269" s="756" t="s">
        <v>62</v>
      </c>
      <c r="C269" s="289">
        <f>K0kommunestruktur2020!C269</f>
        <v>4281.1588853599997</v>
      </c>
      <c r="D269" s="289">
        <f>K0kommunestruktur2020!D269</f>
        <v>104601.31043759218</v>
      </c>
      <c r="E269" s="289">
        <f>K0kommunestruktur2020!E269</f>
        <v>4266.8303593299997</v>
      </c>
      <c r="F269" s="289">
        <f>K0kommunestruktur2020!F269</f>
        <v>108863.02346626388</v>
      </c>
      <c r="G269" s="289">
        <f>K0kommunestruktur2020!G269</f>
        <v>4258.6426301600004</v>
      </c>
      <c r="H269" s="289">
        <f>K0kommunestruktur2020!H269</f>
        <v>112648.82473712823</v>
      </c>
      <c r="I269" s="289">
        <f>K0kommunestruktur2020!I269</f>
        <v>4288.3231483700001</v>
      </c>
      <c r="J269" s="289">
        <f>K0kommunestruktur2020!J269</f>
        <v>116070.2720604996</v>
      </c>
      <c r="K269" s="289">
        <f>K0kommunestruktur2020!K269</f>
        <v>4251.4783671499999</v>
      </c>
      <c r="L269" s="289">
        <f>K0kommunestruktur2020!L269</f>
        <v>126025.52725502706</v>
      </c>
      <c r="M269" s="289">
        <f>K0kommunestruktur2020!M269</f>
        <v>4187</v>
      </c>
      <c r="N269" s="289">
        <f>K0kommunestruktur2020!N269</f>
        <v>130919.74236128086</v>
      </c>
      <c r="O269" s="289">
        <f>K0kommunestruktur2020!O269</f>
        <v>4101</v>
      </c>
      <c r="P269" s="289">
        <f>K0kommunestruktur2020!P269</f>
        <v>122174</v>
      </c>
      <c r="Q269" s="289">
        <f>VLOOKUP(A269,'K21'!$A$4:$CI$359,3)</f>
        <v>4049</v>
      </c>
      <c r="R269" s="289">
        <f>VLOOKUP(A269,'K21'!$A$4:$BV$359,26)</f>
        <v>141038.106</v>
      </c>
      <c r="S269" s="517"/>
      <c r="T269" s="517"/>
      <c r="U269" s="517"/>
      <c r="V269" s="517"/>
    </row>
    <row r="270" spans="1:22" ht="13">
      <c r="A270" s="755">
        <v>4639</v>
      </c>
      <c r="B270" s="756" t="s">
        <v>63</v>
      </c>
      <c r="C270" s="289">
        <f>K0kommunestruktur2020!C270</f>
        <v>2688</v>
      </c>
      <c r="D270" s="289">
        <f>K0kommunestruktur2020!D270</f>
        <v>68380</v>
      </c>
      <c r="E270" s="289">
        <f>K0kommunestruktur2020!E270</f>
        <v>2678</v>
      </c>
      <c r="F270" s="289">
        <f>K0kommunestruktur2020!F270</f>
        <v>70685</v>
      </c>
      <c r="G270" s="289">
        <f>K0kommunestruktur2020!G270</f>
        <v>2689</v>
      </c>
      <c r="H270" s="289">
        <f>K0kommunestruktur2020!H270</f>
        <v>77092</v>
      </c>
      <c r="I270" s="289">
        <f>K0kommunestruktur2020!I270</f>
        <v>2722</v>
      </c>
      <c r="J270" s="289">
        <f>K0kommunestruktur2020!J270</f>
        <v>79098</v>
      </c>
      <c r="K270" s="289">
        <f>K0kommunestruktur2020!K270</f>
        <v>2674</v>
      </c>
      <c r="L270" s="289">
        <f>K0kommunestruktur2020!L270</f>
        <v>82426</v>
      </c>
      <c r="M270" s="289">
        <f>K0kommunestruktur2020!M270</f>
        <v>2672</v>
      </c>
      <c r="N270" s="289">
        <f>K0kommunestruktur2020!N270</f>
        <v>83347</v>
      </c>
      <c r="O270" s="289">
        <f>K0kommunestruktur2020!O270</f>
        <v>2635</v>
      </c>
      <c r="P270" s="289">
        <f>K0kommunestruktur2020!P270</f>
        <v>81521</v>
      </c>
      <c r="Q270" s="289">
        <f>VLOOKUP(A270,'K21'!$A$4:$CI$359,3)</f>
        <v>2611</v>
      </c>
      <c r="R270" s="289">
        <f>VLOOKUP(A270,'K21'!$A$4:$BV$359,26)</f>
        <v>91550.577999999994</v>
      </c>
      <c r="S270" s="517"/>
      <c r="T270" s="517"/>
      <c r="U270" s="517"/>
      <c r="V270" s="517"/>
    </row>
    <row r="271" spans="1:22" ht="13">
      <c r="A271" s="755">
        <v>4640</v>
      </c>
      <c r="B271" s="756" t="s">
        <v>1637</v>
      </c>
      <c r="C271" s="289">
        <f>K0kommunestruktur2020!C271</f>
        <v>11105.91348191</v>
      </c>
      <c r="D271" s="289">
        <f>K0kommunestruktur2020!D271</f>
        <v>245786.15456320994</v>
      </c>
      <c r="E271" s="289">
        <f>K0kommunestruktur2020!E271</f>
        <v>11165.425387679999</v>
      </c>
      <c r="F271" s="289">
        <f>K0kommunestruktur2020!F271</f>
        <v>256600.45970682724</v>
      </c>
      <c r="G271" s="289">
        <f>K0kommunestruktur2020!G271</f>
        <v>11338.00991441</v>
      </c>
      <c r="H271" s="289">
        <f>K0kommunestruktur2020!H271</f>
        <v>288747.79933893634</v>
      </c>
      <c r="I271" s="289">
        <f>K0kommunestruktur2020!I271</f>
        <v>11466.95237692</v>
      </c>
      <c r="J271" s="289">
        <f>K0kommunestruktur2020!J271</f>
        <v>301509.13566654228</v>
      </c>
      <c r="K271" s="289">
        <f>K0kommunestruktur2020!K271</f>
        <v>11571.098212020001</v>
      </c>
      <c r="L271" s="289">
        <f>K0kommunestruktur2020!L271</f>
        <v>322024.87331593392</v>
      </c>
      <c r="M271" s="289">
        <f>K0kommunestruktur2020!M271</f>
        <v>11705</v>
      </c>
      <c r="N271" s="289">
        <f>K0kommunestruktur2020!N271</f>
        <v>322538.65943564102</v>
      </c>
      <c r="O271" s="289">
        <f>K0kommunestruktur2020!O271</f>
        <v>11847</v>
      </c>
      <c r="P271" s="289">
        <f>K0kommunestruktur2020!P271</f>
        <v>324061</v>
      </c>
      <c r="Q271" s="289">
        <f>VLOOKUP(A271,'K21'!$A$4:$CI$359,3)</f>
        <v>11938</v>
      </c>
      <c r="R271" s="289">
        <f>VLOOKUP(A271,'K21'!$A$4:$BV$359,26)</f>
        <v>364326.19099999999</v>
      </c>
      <c r="S271" s="517"/>
      <c r="T271" s="517"/>
      <c r="U271" s="517"/>
      <c r="V271" s="517"/>
    </row>
    <row r="272" spans="1:22" ht="13">
      <c r="A272" s="755">
        <v>4641</v>
      </c>
      <c r="B272" s="756" t="s">
        <v>67</v>
      </c>
      <c r="C272" s="289">
        <f>K0kommunestruktur2020!C272</f>
        <v>1715</v>
      </c>
      <c r="D272" s="289">
        <f>K0kommunestruktur2020!D272</f>
        <v>71151</v>
      </c>
      <c r="E272" s="289">
        <f>K0kommunestruktur2020!E272</f>
        <v>1738</v>
      </c>
      <c r="F272" s="289">
        <f>K0kommunestruktur2020!F272</f>
        <v>72994</v>
      </c>
      <c r="G272" s="289">
        <f>K0kommunestruktur2020!G272</f>
        <v>1764</v>
      </c>
      <c r="H272" s="289">
        <f>K0kommunestruktur2020!H272</f>
        <v>77215</v>
      </c>
      <c r="I272" s="289">
        <f>K0kommunestruktur2020!I272</f>
        <v>1787</v>
      </c>
      <c r="J272" s="289">
        <f>K0kommunestruktur2020!J272</f>
        <v>81924</v>
      </c>
      <c r="K272" s="289">
        <f>K0kommunestruktur2020!K272</f>
        <v>1778</v>
      </c>
      <c r="L272" s="289">
        <f>K0kommunestruktur2020!L272</f>
        <v>85477</v>
      </c>
      <c r="M272" s="289">
        <f>K0kommunestruktur2020!M272</f>
        <v>1764</v>
      </c>
      <c r="N272" s="289">
        <f>K0kommunestruktur2020!N272</f>
        <v>85938</v>
      </c>
      <c r="O272" s="289">
        <f>K0kommunestruktur2020!O272</f>
        <v>1781</v>
      </c>
      <c r="P272" s="289">
        <f>K0kommunestruktur2020!P272</f>
        <v>82877</v>
      </c>
      <c r="Q272" s="289">
        <f>VLOOKUP(A272,'K21'!$A$4:$CI$359,3)</f>
        <v>1777</v>
      </c>
      <c r="R272" s="289">
        <f>VLOOKUP(A272,'K21'!$A$4:$BV$359,26)</f>
        <v>87823.733999999997</v>
      </c>
      <c r="S272" s="517"/>
      <c r="T272" s="517"/>
      <c r="U272" s="517"/>
      <c r="V272" s="517"/>
    </row>
    <row r="273" spans="1:22" ht="13">
      <c r="A273" s="755">
        <v>4642</v>
      </c>
      <c r="B273" s="756" t="s">
        <v>68</v>
      </c>
      <c r="C273" s="289">
        <f>K0kommunestruktur2020!C273</f>
        <v>2174</v>
      </c>
      <c r="D273" s="289">
        <f>K0kommunestruktur2020!D273</f>
        <v>64615</v>
      </c>
      <c r="E273" s="289">
        <f>K0kommunestruktur2020!E273</f>
        <v>2146</v>
      </c>
      <c r="F273" s="289">
        <f>K0kommunestruktur2020!F273</f>
        <v>65981</v>
      </c>
      <c r="G273" s="289">
        <f>K0kommunestruktur2020!G273</f>
        <v>2172</v>
      </c>
      <c r="H273" s="289">
        <f>K0kommunestruktur2020!H273</f>
        <v>68720</v>
      </c>
      <c r="I273" s="289">
        <f>K0kommunestruktur2020!I273</f>
        <v>2159</v>
      </c>
      <c r="J273" s="289">
        <f>K0kommunestruktur2020!J273</f>
        <v>68552</v>
      </c>
      <c r="K273" s="289">
        <f>K0kommunestruktur2020!K273</f>
        <v>2153</v>
      </c>
      <c r="L273" s="289">
        <f>K0kommunestruktur2020!L273</f>
        <v>75278</v>
      </c>
      <c r="M273" s="289">
        <f>K0kommunestruktur2020!M273</f>
        <v>2151</v>
      </c>
      <c r="N273" s="289">
        <f>K0kommunestruktur2020!N273</f>
        <v>75203</v>
      </c>
      <c r="O273" s="289">
        <f>K0kommunestruktur2020!O273</f>
        <v>2126</v>
      </c>
      <c r="P273" s="289">
        <f>K0kommunestruktur2020!P273</f>
        <v>71408</v>
      </c>
      <c r="Q273" s="289">
        <f>VLOOKUP(A273,'K21'!$A$4:$CI$359,3)</f>
        <v>2129</v>
      </c>
      <c r="R273" s="289">
        <f>VLOOKUP(A273,'K21'!$A$4:$BV$359,26)</f>
        <v>81046.403000000006</v>
      </c>
      <c r="S273" s="517"/>
      <c r="T273" s="517"/>
      <c r="U273" s="517"/>
      <c r="V273" s="517"/>
    </row>
    <row r="274" spans="1:22" ht="13">
      <c r="A274" s="755">
        <v>4643</v>
      </c>
      <c r="B274" s="756" t="s">
        <v>69</v>
      </c>
      <c r="C274" s="289">
        <f>K0kommunestruktur2020!C274</f>
        <v>5496</v>
      </c>
      <c r="D274" s="289">
        <f>K0kommunestruktur2020!D274</f>
        <v>145736</v>
      </c>
      <c r="E274" s="289">
        <f>K0kommunestruktur2020!E274</f>
        <v>5429</v>
      </c>
      <c r="F274" s="289">
        <f>K0kommunestruktur2020!F274</f>
        <v>151282</v>
      </c>
      <c r="G274" s="289">
        <f>K0kommunestruktur2020!G274</f>
        <v>5359</v>
      </c>
      <c r="H274" s="289">
        <f>K0kommunestruktur2020!H274</f>
        <v>163473</v>
      </c>
      <c r="I274" s="289">
        <f>K0kommunestruktur2020!I274</f>
        <v>5363</v>
      </c>
      <c r="J274" s="289">
        <f>K0kommunestruktur2020!J274</f>
        <v>168987</v>
      </c>
      <c r="K274" s="289">
        <f>K0kommunestruktur2020!K274</f>
        <v>5277</v>
      </c>
      <c r="L274" s="289">
        <f>K0kommunestruktur2020!L274</f>
        <v>176906</v>
      </c>
      <c r="M274" s="289">
        <f>K0kommunestruktur2020!M274</f>
        <v>5245</v>
      </c>
      <c r="N274" s="289">
        <f>K0kommunestruktur2020!N274</f>
        <v>182474</v>
      </c>
      <c r="O274" s="289">
        <f>K0kommunestruktur2020!O274</f>
        <v>5193</v>
      </c>
      <c r="P274" s="289">
        <f>K0kommunestruktur2020!P274</f>
        <v>176766</v>
      </c>
      <c r="Q274" s="289">
        <f>VLOOKUP(A274,'K21'!$A$4:$CI$359,3)</f>
        <v>5170</v>
      </c>
      <c r="R274" s="289">
        <f>VLOOKUP(A274,'K21'!$A$4:$BV$359,26)</f>
        <v>200074.785</v>
      </c>
      <c r="S274" s="517"/>
      <c r="T274" s="517"/>
      <c r="U274" s="517"/>
      <c r="V274" s="517"/>
    </row>
    <row r="275" spans="1:22" ht="13">
      <c r="A275" s="755">
        <v>4644</v>
      </c>
      <c r="B275" s="756" t="s">
        <v>70</v>
      </c>
      <c r="C275" s="289">
        <f>K0kommunestruktur2020!C275</f>
        <v>5089</v>
      </c>
      <c r="D275" s="289">
        <f>K0kommunestruktur2020!D275</f>
        <v>136267</v>
      </c>
      <c r="E275" s="289">
        <f>K0kommunestruktur2020!E275</f>
        <v>5118</v>
      </c>
      <c r="F275" s="289">
        <f>K0kommunestruktur2020!F275</f>
        <v>137680</v>
      </c>
      <c r="G275" s="289">
        <f>K0kommunestruktur2020!G275</f>
        <v>5093</v>
      </c>
      <c r="H275" s="289">
        <f>K0kommunestruktur2020!H275</f>
        <v>149089</v>
      </c>
      <c r="I275" s="289">
        <f>K0kommunestruktur2020!I275</f>
        <v>5151</v>
      </c>
      <c r="J275" s="289">
        <f>K0kommunestruktur2020!J275</f>
        <v>154636</v>
      </c>
      <c r="K275" s="289">
        <f>K0kommunestruktur2020!K275</f>
        <v>5223</v>
      </c>
      <c r="L275" s="289">
        <f>K0kommunestruktur2020!L275</f>
        <v>159408</v>
      </c>
      <c r="M275" s="289">
        <f>K0kommunestruktur2020!M275</f>
        <v>5195</v>
      </c>
      <c r="N275" s="289">
        <f>K0kommunestruktur2020!N275</f>
        <v>160085</v>
      </c>
      <c r="O275" s="289">
        <f>K0kommunestruktur2020!O275</f>
        <v>5174</v>
      </c>
      <c r="P275" s="289">
        <f>K0kommunestruktur2020!P275</f>
        <v>160782</v>
      </c>
      <c r="Q275" s="289">
        <f>VLOOKUP(A275,'K21'!$A$4:$CI$359,3)</f>
        <v>5189</v>
      </c>
      <c r="R275" s="289">
        <f>VLOOKUP(A275,'K21'!$A$4:$BV$359,26)</f>
        <v>176132.736</v>
      </c>
      <c r="S275" s="517"/>
      <c r="T275" s="517"/>
      <c r="U275" s="517"/>
      <c r="V275" s="517"/>
    </row>
    <row r="276" spans="1:22" ht="13">
      <c r="A276" s="755">
        <v>4645</v>
      </c>
      <c r="B276" s="756" t="s">
        <v>71</v>
      </c>
      <c r="C276" s="289">
        <f>K0kommunestruktur2020!C276</f>
        <v>3011</v>
      </c>
      <c r="D276" s="289">
        <f>K0kommunestruktur2020!D276</f>
        <v>59345</v>
      </c>
      <c r="E276" s="289">
        <f>K0kommunestruktur2020!E276</f>
        <v>3008</v>
      </c>
      <c r="F276" s="289">
        <f>K0kommunestruktur2020!F276</f>
        <v>64014</v>
      </c>
      <c r="G276" s="289">
        <f>K0kommunestruktur2020!G276</f>
        <v>3023</v>
      </c>
      <c r="H276" s="289">
        <f>K0kommunestruktur2020!H276</f>
        <v>71027</v>
      </c>
      <c r="I276" s="289">
        <f>K0kommunestruktur2020!I276</f>
        <v>3065</v>
      </c>
      <c r="J276" s="289">
        <f>K0kommunestruktur2020!J276</f>
        <v>72106</v>
      </c>
      <c r="K276" s="289">
        <f>K0kommunestruktur2020!K276</f>
        <v>3052</v>
      </c>
      <c r="L276" s="289">
        <f>K0kommunestruktur2020!L276</f>
        <v>73539</v>
      </c>
      <c r="M276" s="289">
        <f>K0kommunestruktur2020!M276</f>
        <v>3038</v>
      </c>
      <c r="N276" s="289">
        <f>K0kommunestruktur2020!N276</f>
        <v>79054</v>
      </c>
      <c r="O276" s="289">
        <f>K0kommunestruktur2020!O276</f>
        <v>3011</v>
      </c>
      <c r="P276" s="289">
        <f>K0kommunestruktur2020!P276</f>
        <v>80393</v>
      </c>
      <c r="Q276" s="289">
        <f>VLOOKUP(A276,'K21'!$A$4:$CI$359,3)</f>
        <v>2991</v>
      </c>
      <c r="R276" s="289">
        <f>VLOOKUP(A276,'K21'!$A$4:$BV$359,26)</f>
        <v>93436.106</v>
      </c>
      <c r="S276" s="517"/>
      <c r="T276" s="517"/>
      <c r="U276" s="517"/>
      <c r="V276" s="517"/>
    </row>
    <row r="277" spans="1:22" ht="13">
      <c r="A277" s="755">
        <v>4646</v>
      </c>
      <c r="B277" s="756" t="s">
        <v>72</v>
      </c>
      <c r="C277" s="289">
        <f>K0kommunestruktur2020!C277</f>
        <v>2853</v>
      </c>
      <c r="D277" s="289">
        <f>K0kommunestruktur2020!D277</f>
        <v>54444</v>
      </c>
      <c r="E277" s="289">
        <f>K0kommunestruktur2020!E277</f>
        <v>2823</v>
      </c>
      <c r="F277" s="289">
        <f>K0kommunestruktur2020!F277</f>
        <v>56681</v>
      </c>
      <c r="G277" s="289">
        <f>K0kommunestruktur2020!G277</f>
        <v>2830</v>
      </c>
      <c r="H277" s="289">
        <f>K0kommunestruktur2020!H277</f>
        <v>64838</v>
      </c>
      <c r="I277" s="289">
        <f>K0kommunestruktur2020!I277</f>
        <v>2862</v>
      </c>
      <c r="J277" s="289">
        <f>K0kommunestruktur2020!J277</f>
        <v>65267</v>
      </c>
      <c r="K277" s="289">
        <f>K0kommunestruktur2020!K277</f>
        <v>2846</v>
      </c>
      <c r="L277" s="289">
        <f>K0kommunestruktur2020!L277</f>
        <v>63972</v>
      </c>
      <c r="M277" s="289">
        <f>K0kommunestruktur2020!M277</f>
        <v>2770</v>
      </c>
      <c r="N277" s="289">
        <f>K0kommunestruktur2020!N277</f>
        <v>67254</v>
      </c>
      <c r="O277" s="289">
        <f>K0kommunestruktur2020!O277</f>
        <v>2802</v>
      </c>
      <c r="P277" s="289">
        <f>K0kommunestruktur2020!P277</f>
        <v>66853</v>
      </c>
      <c r="Q277" s="289">
        <f>VLOOKUP(A277,'K21'!$A$4:$CI$359,3)</f>
        <v>2885</v>
      </c>
      <c r="R277" s="289">
        <f>VLOOKUP(A277,'K21'!$A$4:$BV$359,26)</f>
        <v>82368.853000000003</v>
      </c>
      <c r="S277" s="517"/>
      <c r="T277" s="517"/>
      <c r="U277" s="517"/>
      <c r="V277" s="517"/>
    </row>
    <row r="278" spans="1:22" ht="13">
      <c r="A278" s="755">
        <v>4647</v>
      </c>
      <c r="B278" s="756" t="s">
        <v>1638</v>
      </c>
      <c r="C278" s="289">
        <f>K0kommunestruktur2020!C278</f>
        <v>21459</v>
      </c>
      <c r="D278" s="289">
        <f>K0kommunestruktur2020!D278</f>
        <v>487641</v>
      </c>
      <c r="E278" s="289">
        <f>K0kommunestruktur2020!E278</f>
        <v>21564</v>
      </c>
      <c r="F278" s="289">
        <f>K0kommunestruktur2020!F278</f>
        <v>516256</v>
      </c>
      <c r="G278" s="289">
        <f>K0kommunestruktur2020!G278</f>
        <v>21702</v>
      </c>
      <c r="H278" s="289">
        <f>K0kommunestruktur2020!H278</f>
        <v>572437</v>
      </c>
      <c r="I278" s="289">
        <f>K0kommunestruktur2020!I278</f>
        <v>21872</v>
      </c>
      <c r="J278" s="289">
        <f>K0kommunestruktur2020!J278</f>
        <v>591156</v>
      </c>
      <c r="K278" s="289">
        <f>K0kommunestruktur2020!K278</f>
        <v>21963</v>
      </c>
      <c r="L278" s="289">
        <f>K0kommunestruktur2020!L278</f>
        <v>609420</v>
      </c>
      <c r="M278" s="289">
        <f>K0kommunestruktur2020!M278</f>
        <v>21959</v>
      </c>
      <c r="N278" s="289">
        <f>K0kommunestruktur2020!N278</f>
        <v>641641</v>
      </c>
      <c r="O278" s="289">
        <f>K0kommunestruktur2020!O278</f>
        <v>22030</v>
      </c>
      <c r="P278" s="289">
        <f>K0kommunestruktur2020!P278</f>
        <v>635077</v>
      </c>
      <c r="Q278" s="289">
        <f>VLOOKUP(A278,'K21'!$A$4:$CI$359,3)</f>
        <v>22020</v>
      </c>
      <c r="R278" s="289">
        <f>VLOOKUP(A278,'K21'!$A$4:$BV$359,26)</f>
        <v>730307.08600000001</v>
      </c>
      <c r="S278" s="517"/>
      <c r="T278" s="517"/>
      <c r="U278" s="517"/>
      <c r="V278" s="517"/>
    </row>
    <row r="279" spans="1:22" ht="13">
      <c r="A279" s="755">
        <v>4648</v>
      </c>
      <c r="B279" s="756" t="s">
        <v>77</v>
      </c>
      <c r="C279" s="289">
        <f>K0kommunestruktur2020!C279</f>
        <v>3950</v>
      </c>
      <c r="D279" s="289">
        <f>K0kommunestruktur2020!D279</f>
        <v>93322</v>
      </c>
      <c r="E279" s="289">
        <f>K0kommunestruktur2020!E279</f>
        <v>3890</v>
      </c>
      <c r="F279" s="289">
        <f>K0kommunestruktur2020!F279</f>
        <v>95883</v>
      </c>
      <c r="G279" s="289">
        <f>K0kommunestruktur2020!G279</f>
        <v>3846</v>
      </c>
      <c r="H279" s="289">
        <f>K0kommunestruktur2020!H279</f>
        <v>102127</v>
      </c>
      <c r="I279" s="289">
        <f>K0kommunestruktur2020!I279</f>
        <v>3847</v>
      </c>
      <c r="J279" s="289">
        <f>K0kommunestruktur2020!J279</f>
        <v>103184</v>
      </c>
      <c r="K279" s="289">
        <f>K0kommunestruktur2020!K279</f>
        <v>3767</v>
      </c>
      <c r="L279" s="289">
        <f>K0kommunestruktur2020!L279</f>
        <v>105303</v>
      </c>
      <c r="M279" s="289">
        <f>K0kommunestruktur2020!M279</f>
        <v>3705</v>
      </c>
      <c r="N279" s="289">
        <f>K0kommunestruktur2020!N279</f>
        <v>108267</v>
      </c>
      <c r="O279" s="289">
        <f>K0kommunestruktur2020!O279</f>
        <v>3629</v>
      </c>
      <c r="P279" s="289">
        <f>K0kommunestruktur2020!P279</f>
        <v>112230</v>
      </c>
      <c r="Q279" s="289">
        <f>VLOOKUP(A279,'K21'!$A$4:$CI$359,3)</f>
        <v>3597</v>
      </c>
      <c r="R279" s="289">
        <f>VLOOKUP(A279,'K21'!$A$4:$BV$359,26)</f>
        <v>121858.333</v>
      </c>
      <c r="S279" s="517"/>
      <c r="T279" s="517"/>
      <c r="U279" s="517"/>
      <c r="V279" s="517"/>
    </row>
    <row r="280" spans="1:22" ht="13">
      <c r="A280" s="755">
        <v>4649</v>
      </c>
      <c r="B280" s="756" t="s">
        <v>1639</v>
      </c>
      <c r="C280" s="289">
        <f>K0kommunestruktur2020!C280</f>
        <v>9212.0031467699991</v>
      </c>
      <c r="D280" s="289">
        <f>K0kommunestruktur2020!D280</f>
        <v>193248.95347259491</v>
      </c>
      <c r="E280" s="289">
        <f>K0kommunestruktur2020!E280</f>
        <v>9244.7973701999999</v>
      </c>
      <c r="F280" s="289">
        <f>K0kommunestruktur2020!F280</f>
        <v>203582.30748492604</v>
      </c>
      <c r="G280" s="289">
        <f>K0kommunestruktur2020!G280</f>
        <v>9297.6912789399994</v>
      </c>
      <c r="H280" s="289">
        <f>K0kommunestruktur2020!H280</f>
        <v>211109.1106990542</v>
      </c>
      <c r="I280" s="289">
        <f>K0kommunestruktur2020!I280</f>
        <v>9367.5112384799995</v>
      </c>
      <c r="J280" s="289">
        <f>K0kommunestruktur2020!J280</f>
        <v>222460.14351538348</v>
      </c>
      <c r="K280" s="289">
        <f>K0kommunestruktur2020!K280</f>
        <v>9429.9260508000007</v>
      </c>
      <c r="L280" s="289">
        <f>K0kommunestruktur2020!L280</f>
        <v>236944.61148577908</v>
      </c>
      <c r="M280" s="289">
        <f>K0kommunestruktur2020!M280</f>
        <v>9413</v>
      </c>
      <c r="N280" s="289">
        <f>K0kommunestruktur2020!N280</f>
        <v>249113.38413126545</v>
      </c>
      <c r="O280" s="289">
        <f>K0kommunestruktur2020!O280</f>
        <v>9457</v>
      </c>
      <c r="P280" s="289">
        <f>K0kommunestruktur2020!P280</f>
        <v>239118</v>
      </c>
      <c r="Q280" s="289">
        <f>VLOOKUP(A280,'K21'!$A$4:$CI$359,3)</f>
        <v>9517</v>
      </c>
      <c r="R280" s="289">
        <f>VLOOKUP(A280,'K21'!$A$4:$BV$359,26)</f>
        <v>272226.07799999998</v>
      </c>
      <c r="S280" s="517"/>
      <c r="T280" s="517"/>
      <c r="U280" s="517"/>
      <c r="V280" s="517"/>
    </row>
    <row r="281" spans="1:22" ht="13">
      <c r="A281" s="755">
        <v>4650</v>
      </c>
      <c r="B281" s="756" t="s">
        <v>82</v>
      </c>
      <c r="C281" s="289">
        <f>K0kommunestruktur2020!C281</f>
        <v>5694</v>
      </c>
      <c r="D281" s="289">
        <f>K0kommunestruktur2020!D281</f>
        <v>123868</v>
      </c>
      <c r="E281" s="289">
        <f>K0kommunestruktur2020!E281</f>
        <v>5751</v>
      </c>
      <c r="F281" s="289">
        <f>K0kommunestruktur2020!F281</f>
        <v>128806</v>
      </c>
      <c r="G281" s="289">
        <f>K0kommunestruktur2020!G281</f>
        <v>5784</v>
      </c>
      <c r="H281" s="289">
        <f>K0kommunestruktur2020!H281</f>
        <v>136750</v>
      </c>
      <c r="I281" s="289">
        <f>K0kommunestruktur2020!I281</f>
        <v>5783</v>
      </c>
      <c r="J281" s="289">
        <f>K0kommunestruktur2020!J281</f>
        <v>147153</v>
      </c>
      <c r="K281" s="289">
        <f>K0kommunestruktur2020!K281</f>
        <v>5874</v>
      </c>
      <c r="L281" s="289">
        <f>K0kommunestruktur2020!L281</f>
        <v>169864</v>
      </c>
      <c r="M281" s="289">
        <f>K0kommunestruktur2020!M281</f>
        <v>5836</v>
      </c>
      <c r="N281" s="289">
        <f>K0kommunestruktur2020!N281</f>
        <v>156649</v>
      </c>
      <c r="O281" s="289">
        <f>K0kommunestruktur2020!O281</f>
        <v>5854</v>
      </c>
      <c r="P281" s="289">
        <f>K0kommunestruktur2020!P281</f>
        <v>145775</v>
      </c>
      <c r="Q281" s="289">
        <f>VLOOKUP(A281,'K21'!$A$4:$CI$359,3)</f>
        <v>5885</v>
      </c>
      <c r="R281" s="289">
        <f>VLOOKUP(A281,'K21'!$A$4:$BV$359,26)</f>
        <v>169872.66200000001</v>
      </c>
      <c r="S281" s="517"/>
      <c r="T281" s="517"/>
      <c r="U281" s="517"/>
      <c r="V281" s="517"/>
    </row>
    <row r="282" spans="1:22" ht="13">
      <c r="A282" s="755">
        <v>4651</v>
      </c>
      <c r="B282" s="756" t="s">
        <v>83</v>
      </c>
      <c r="C282" s="289">
        <f>K0kommunestruktur2020!C282</f>
        <v>7134</v>
      </c>
      <c r="D282" s="289">
        <f>K0kommunestruktur2020!D282</f>
        <v>151200</v>
      </c>
      <c r="E282" s="289">
        <f>K0kommunestruktur2020!E282</f>
        <v>7155</v>
      </c>
      <c r="F282" s="289">
        <f>K0kommunestruktur2020!F282</f>
        <v>163009</v>
      </c>
      <c r="G282" s="289">
        <f>K0kommunestruktur2020!G282</f>
        <v>7168</v>
      </c>
      <c r="H282" s="289">
        <f>K0kommunestruktur2020!H282</f>
        <v>178833</v>
      </c>
      <c r="I282" s="289">
        <f>K0kommunestruktur2020!I282</f>
        <v>7218</v>
      </c>
      <c r="J282" s="289">
        <f>K0kommunestruktur2020!J282</f>
        <v>186231</v>
      </c>
      <c r="K282" s="289">
        <f>K0kommunestruktur2020!K282</f>
        <v>7195</v>
      </c>
      <c r="L282" s="289">
        <f>K0kommunestruktur2020!L282</f>
        <v>181528</v>
      </c>
      <c r="M282" s="289">
        <f>K0kommunestruktur2020!M282</f>
        <v>7167</v>
      </c>
      <c r="N282" s="289">
        <f>K0kommunestruktur2020!N282</f>
        <v>190496</v>
      </c>
      <c r="O282" s="289">
        <f>K0kommunestruktur2020!O282</f>
        <v>7130</v>
      </c>
      <c r="P282" s="289">
        <f>K0kommunestruktur2020!P282</f>
        <v>188692</v>
      </c>
      <c r="Q282" s="289">
        <f>VLOOKUP(A282,'K21'!$A$4:$CI$359,3)</f>
        <v>7118</v>
      </c>
      <c r="R282" s="289">
        <f>VLOOKUP(A282,'K21'!$A$4:$BV$359,26)</f>
        <v>215489.829</v>
      </c>
      <c r="S282" s="517"/>
      <c r="T282" s="517"/>
      <c r="U282" s="517"/>
      <c r="V282" s="517"/>
    </row>
    <row r="283" spans="1:22" ht="13">
      <c r="A283" s="755">
        <v>5001</v>
      </c>
      <c r="B283" s="756" t="s">
        <v>118</v>
      </c>
      <c r="C283" s="289">
        <f>K0kommunestruktur2020!C283</f>
        <v>188005</v>
      </c>
      <c r="D283" s="289">
        <f>K0kommunestruktur2020!D283</f>
        <v>4691239</v>
      </c>
      <c r="E283" s="289">
        <f>K0kommunestruktur2020!E283</f>
        <v>190955</v>
      </c>
      <c r="F283" s="289">
        <f>K0kommunestruktur2020!F283</f>
        <v>4966134</v>
      </c>
      <c r="G283" s="289">
        <f>K0kommunestruktur2020!G283</f>
        <v>193420</v>
      </c>
      <c r="H283" s="289">
        <f>K0kommunestruktur2020!H283</f>
        <v>5523798</v>
      </c>
      <c r="I283" s="289">
        <f>K0kommunestruktur2020!I283</f>
        <v>196514</v>
      </c>
      <c r="J283" s="289">
        <f>K0kommunestruktur2020!J283</f>
        <v>5883227</v>
      </c>
      <c r="K283" s="289">
        <f>K0kommunestruktur2020!K283</f>
        <v>199595</v>
      </c>
      <c r="L283" s="289">
        <f>K0kommunestruktur2020!L283</f>
        <v>6181799</v>
      </c>
      <c r="M283" s="289">
        <f>K0kommunestruktur2020!M283</f>
        <v>202235</v>
      </c>
      <c r="N283" s="289">
        <f>K0kommunestruktur2020!N283</f>
        <v>6465972</v>
      </c>
      <c r="O283" s="289">
        <f>K0kommunestruktur2020!O283</f>
        <v>205163</v>
      </c>
      <c r="P283" s="289">
        <f>K0kommunestruktur2020!P283</f>
        <v>6382243</v>
      </c>
      <c r="Q283" s="289">
        <f>VLOOKUP(A283,'K21'!$A$4:$CI$359,3)</f>
        <v>207595</v>
      </c>
      <c r="R283" s="289">
        <f>VLOOKUP(A283,'K21'!$A$4:$BV$359,26)</f>
        <v>7439942.034</v>
      </c>
      <c r="S283" s="517"/>
      <c r="T283" s="517"/>
      <c r="U283" s="517"/>
      <c r="V283" s="517"/>
    </row>
    <row r="284" spans="1:22" ht="13">
      <c r="A284" s="755">
        <v>5006</v>
      </c>
      <c r="B284" s="756" t="s">
        <v>1640</v>
      </c>
      <c r="C284" s="289">
        <f>K0kommunestruktur2020!C284</f>
        <v>24051.15220669</v>
      </c>
      <c r="D284" s="289">
        <f>K0kommunestruktur2020!D284</f>
        <v>436186.79783199728</v>
      </c>
      <c r="E284" s="289">
        <f>K0kommunestruktur2020!E284</f>
        <v>24130.93377888</v>
      </c>
      <c r="F284" s="289">
        <f>K0kommunestruktur2020!F284</f>
        <v>469327.06565054652</v>
      </c>
      <c r="G284" s="289">
        <f>K0kommunestruktur2020!G284</f>
        <v>24241.6307103</v>
      </c>
      <c r="H284" s="289">
        <f>K0kommunestruktur2020!H284</f>
        <v>511098.70231065201</v>
      </c>
      <c r="I284" s="289">
        <f>K0kommunestruktur2020!I284</f>
        <v>24420.141978079999</v>
      </c>
      <c r="J284" s="289">
        <f>K0kommunestruktur2020!J284</f>
        <v>534944.41696900048</v>
      </c>
      <c r="K284" s="289">
        <f>K0kommunestruktur2020!K284</f>
        <v>24501.918089570001</v>
      </c>
      <c r="L284" s="289">
        <f>K0kommunestruktur2020!L284</f>
        <v>556543.28310033213</v>
      </c>
      <c r="M284" s="289">
        <f>K0kommunestruktur2020!M284</f>
        <v>24472</v>
      </c>
      <c r="N284" s="289">
        <f>K0kommunestruktur2020!N284</f>
        <v>573022.16683646443</v>
      </c>
      <c r="O284" s="289">
        <f>K0kommunestruktur2020!O284</f>
        <v>24357</v>
      </c>
      <c r="P284" s="289">
        <f>K0kommunestruktur2020!P284</f>
        <v>573972</v>
      </c>
      <c r="Q284" s="289">
        <f>VLOOKUP(A284,'K21'!$A$4:$CI$359,3)</f>
        <v>24152</v>
      </c>
      <c r="R284" s="289">
        <f>VLOOKUP(A284,'K21'!$A$4:$BV$359,26)</f>
        <v>660267.09299999999</v>
      </c>
      <c r="S284" s="517"/>
      <c r="T284" s="517"/>
      <c r="U284" s="517"/>
      <c r="V284" s="517"/>
    </row>
    <row r="285" spans="1:22" ht="13">
      <c r="A285" s="755">
        <v>5007</v>
      </c>
      <c r="B285" s="756" t="s">
        <v>1641</v>
      </c>
      <c r="C285" s="289">
        <f>K0kommunestruktur2020!C285</f>
        <v>15452.35680659</v>
      </c>
      <c r="D285" s="289">
        <f>K0kommunestruktur2020!D285</f>
        <v>292621.54472340544</v>
      </c>
      <c r="E285" s="289">
        <f>K0kommunestruktur2020!E285</f>
        <v>15351.02000785</v>
      </c>
      <c r="F285" s="289">
        <f>K0kommunestruktur2020!F285</f>
        <v>306331.10925860831</v>
      </c>
      <c r="G285" s="289">
        <f>K0kommunestruktur2020!G285</f>
        <v>15315.90329541</v>
      </c>
      <c r="H285" s="289">
        <f>K0kommunestruktur2020!H285</f>
        <v>339220.4187916838</v>
      </c>
      <c r="I285" s="289">
        <f>K0kommunestruktur2020!I285</f>
        <v>15322.9266379</v>
      </c>
      <c r="J285" s="289">
        <f>K0kommunestruktur2020!J285</f>
        <v>352297.88250300637</v>
      </c>
      <c r="K285" s="289">
        <f>K0kommunestruktur2020!K285</f>
        <v>15331.956649670001</v>
      </c>
      <c r="L285" s="289">
        <f>K0kommunestruktur2020!L285</f>
        <v>364395.08826999209</v>
      </c>
      <c r="M285" s="289">
        <f>K0kommunestruktur2020!M285</f>
        <v>15345</v>
      </c>
      <c r="N285" s="289">
        <f>K0kommunestruktur2020!N285</f>
        <v>387783.82208709297</v>
      </c>
      <c r="O285" s="289">
        <f>K0kommunestruktur2020!O285</f>
        <v>15230</v>
      </c>
      <c r="P285" s="289">
        <f>K0kommunestruktur2020!P285</f>
        <v>379162</v>
      </c>
      <c r="Q285" s="289">
        <f>VLOOKUP(A285,'K21'!$A$4:$CI$359,3)</f>
        <v>15096</v>
      </c>
      <c r="R285" s="289">
        <f>VLOOKUP(A285,'K21'!$A$4:$BV$359,26)</f>
        <v>420191.505</v>
      </c>
      <c r="S285" s="517"/>
      <c r="T285" s="517"/>
      <c r="U285" s="517"/>
      <c r="V285" s="517"/>
    </row>
    <row r="286" spans="1:22" ht="13">
      <c r="A286" s="755">
        <v>5014</v>
      </c>
      <c r="B286" s="756" t="s">
        <v>122</v>
      </c>
      <c r="C286" s="289">
        <f>K0kommunestruktur2020!C286</f>
        <v>4547</v>
      </c>
      <c r="D286" s="289">
        <f>K0kommunestruktur2020!D286</f>
        <v>128168</v>
      </c>
      <c r="E286" s="289">
        <f>K0kommunestruktur2020!E286</f>
        <v>4634</v>
      </c>
      <c r="F286" s="289">
        <f>K0kommunestruktur2020!F286</f>
        <v>126174</v>
      </c>
      <c r="G286" s="289">
        <f>K0kommunestruktur2020!G286</f>
        <v>4799</v>
      </c>
      <c r="H286" s="289">
        <f>K0kommunestruktur2020!H286</f>
        <v>215057</v>
      </c>
      <c r="I286" s="289">
        <f>K0kommunestruktur2020!I286</f>
        <v>4937</v>
      </c>
      <c r="J286" s="289">
        <f>K0kommunestruktur2020!J286</f>
        <v>283115</v>
      </c>
      <c r="K286" s="289">
        <f>K0kommunestruktur2020!K286</f>
        <v>4962</v>
      </c>
      <c r="L286" s="289">
        <f>K0kommunestruktur2020!L286</f>
        <v>199096</v>
      </c>
      <c r="M286" s="289">
        <f>K0kommunestruktur2020!M286</f>
        <v>5068</v>
      </c>
      <c r="N286" s="289">
        <f>K0kommunestruktur2020!N286</f>
        <v>198503</v>
      </c>
      <c r="O286" s="289">
        <f>K0kommunestruktur2020!O286</f>
        <v>5151</v>
      </c>
      <c r="P286" s="289">
        <f>K0kommunestruktur2020!P286</f>
        <v>389526</v>
      </c>
      <c r="Q286" s="289">
        <f>VLOOKUP(A286,'K21'!$A$4:$CI$359,3)</f>
        <v>5204</v>
      </c>
      <c r="R286" s="289">
        <f>VLOOKUP(A286,'K21'!$A$4:$BV$359,26)</f>
        <v>469673.61300000001</v>
      </c>
      <c r="S286" s="517"/>
      <c r="T286" s="517"/>
      <c r="U286" s="517"/>
      <c r="V286" s="517"/>
    </row>
    <row r="287" spans="1:22" ht="13">
      <c r="A287" s="755">
        <v>5020</v>
      </c>
      <c r="B287" s="756" t="s">
        <v>129</v>
      </c>
      <c r="C287" s="289">
        <f>K0kommunestruktur2020!C287</f>
        <v>997</v>
      </c>
      <c r="D287" s="289">
        <f>K0kommunestruktur2020!D287</f>
        <v>16756</v>
      </c>
      <c r="E287" s="289">
        <f>K0kommunestruktur2020!E287</f>
        <v>1010</v>
      </c>
      <c r="F287" s="289">
        <f>K0kommunestruktur2020!F287</f>
        <v>18345</v>
      </c>
      <c r="G287" s="289">
        <f>K0kommunestruktur2020!G287</f>
        <v>976</v>
      </c>
      <c r="H287" s="289">
        <f>K0kommunestruktur2020!H287</f>
        <v>19657</v>
      </c>
      <c r="I287" s="289">
        <f>K0kommunestruktur2020!I287</f>
        <v>978</v>
      </c>
      <c r="J287" s="289">
        <f>K0kommunestruktur2020!J287</f>
        <v>21713</v>
      </c>
      <c r="K287" s="289">
        <f>K0kommunestruktur2020!K287</f>
        <v>967</v>
      </c>
      <c r="L287" s="289">
        <f>K0kommunestruktur2020!L287</f>
        <v>20690</v>
      </c>
      <c r="M287" s="289">
        <f>K0kommunestruktur2020!M287</f>
        <v>947</v>
      </c>
      <c r="N287" s="289">
        <f>K0kommunestruktur2020!N287</f>
        <v>22381</v>
      </c>
      <c r="O287" s="289">
        <f>K0kommunestruktur2020!O287</f>
        <v>948</v>
      </c>
      <c r="P287" s="289">
        <f>K0kommunestruktur2020!P287</f>
        <v>21980</v>
      </c>
      <c r="Q287" s="289">
        <f>VLOOKUP(A287,'K21'!$A$4:$CI$359,3)</f>
        <v>925</v>
      </c>
      <c r="R287" s="289">
        <f>VLOOKUP(A287,'K21'!$A$4:$BV$359,26)</f>
        <v>24191.807000000001</v>
      </c>
      <c r="S287" s="517"/>
      <c r="T287" s="517"/>
      <c r="U287" s="517"/>
      <c r="V287" s="517"/>
    </row>
    <row r="288" spans="1:22" ht="13">
      <c r="A288" s="755">
        <v>5021</v>
      </c>
      <c r="B288" s="756" t="s">
        <v>130</v>
      </c>
      <c r="C288" s="289">
        <f>K0kommunestruktur2020!C288</f>
        <v>6814</v>
      </c>
      <c r="D288" s="289">
        <f>K0kommunestruktur2020!D288</f>
        <v>137555</v>
      </c>
      <c r="E288" s="289">
        <f>K0kommunestruktur2020!E288</f>
        <v>6852</v>
      </c>
      <c r="F288" s="289">
        <f>K0kommunestruktur2020!F288</f>
        <v>143069</v>
      </c>
      <c r="G288" s="289">
        <f>K0kommunestruktur2020!G288</f>
        <v>6886</v>
      </c>
      <c r="H288" s="289">
        <f>K0kommunestruktur2020!H288</f>
        <v>157388</v>
      </c>
      <c r="I288" s="289">
        <f>K0kommunestruktur2020!I288</f>
        <v>6973</v>
      </c>
      <c r="J288" s="289">
        <f>K0kommunestruktur2020!J288</f>
        <v>168825</v>
      </c>
      <c r="K288" s="289">
        <f>K0kommunestruktur2020!K288</f>
        <v>6970</v>
      </c>
      <c r="L288" s="289">
        <f>K0kommunestruktur2020!L288</f>
        <v>174333</v>
      </c>
      <c r="M288" s="289">
        <f>K0kommunestruktur2020!M288</f>
        <v>6975</v>
      </c>
      <c r="N288" s="289">
        <f>K0kommunestruktur2020!N288</f>
        <v>183551</v>
      </c>
      <c r="O288" s="289">
        <f>K0kommunestruktur2020!O288</f>
        <v>7001</v>
      </c>
      <c r="P288" s="289">
        <f>K0kommunestruktur2020!P288</f>
        <v>191241</v>
      </c>
      <c r="Q288" s="289">
        <f>VLOOKUP(A288,'K21'!$A$4:$CI$359,3)</f>
        <v>6981</v>
      </c>
      <c r="R288" s="289">
        <f>VLOOKUP(A288,'K21'!$A$4:$BV$359,26)</f>
        <v>210812.68700000001</v>
      </c>
      <c r="S288" s="517"/>
      <c r="T288" s="517"/>
      <c r="U288" s="517"/>
      <c r="V288" s="517"/>
    </row>
    <row r="289" spans="1:22" ht="13">
      <c r="A289" s="755">
        <v>5022</v>
      </c>
      <c r="B289" s="756" t="s">
        <v>131</v>
      </c>
      <c r="C289" s="289">
        <f>K0kommunestruktur2020!C289</f>
        <v>2556</v>
      </c>
      <c r="D289" s="289">
        <f>K0kommunestruktur2020!D289</f>
        <v>51530</v>
      </c>
      <c r="E289" s="289">
        <f>K0kommunestruktur2020!E289</f>
        <v>2567</v>
      </c>
      <c r="F289" s="289">
        <f>K0kommunestruktur2020!F289</f>
        <v>52413</v>
      </c>
      <c r="G289" s="289">
        <f>K0kommunestruktur2020!G289</f>
        <v>2562</v>
      </c>
      <c r="H289" s="289">
        <f>K0kommunestruktur2020!H289</f>
        <v>57456</v>
      </c>
      <c r="I289" s="289">
        <f>K0kommunestruktur2020!I289</f>
        <v>2556</v>
      </c>
      <c r="J289" s="289">
        <f>K0kommunestruktur2020!J289</f>
        <v>58411</v>
      </c>
      <c r="K289" s="289">
        <f>K0kommunestruktur2020!K289</f>
        <v>2541</v>
      </c>
      <c r="L289" s="289">
        <f>K0kommunestruktur2020!L289</f>
        <v>60864</v>
      </c>
      <c r="M289" s="289">
        <f>K0kommunestruktur2020!M289</f>
        <v>2501</v>
      </c>
      <c r="N289" s="289">
        <f>K0kommunestruktur2020!N289</f>
        <v>60102</v>
      </c>
      <c r="O289" s="289">
        <f>K0kommunestruktur2020!O289</f>
        <v>2486</v>
      </c>
      <c r="P289" s="289">
        <f>K0kommunestruktur2020!P289</f>
        <v>58297</v>
      </c>
      <c r="Q289" s="289">
        <f>VLOOKUP(A289,'K21'!$A$4:$CI$359,3)</f>
        <v>2454</v>
      </c>
      <c r="R289" s="289">
        <f>VLOOKUP(A289,'K21'!$A$4:$BV$359,26)</f>
        <v>67810.433000000005</v>
      </c>
      <c r="S289" s="517"/>
      <c r="T289" s="517"/>
      <c r="U289" s="517"/>
      <c r="V289" s="517"/>
    </row>
    <row r="290" spans="1:22" ht="13">
      <c r="A290" s="755">
        <v>5025</v>
      </c>
      <c r="B290" s="965" t="s">
        <v>134</v>
      </c>
      <c r="C290" s="289">
        <f>K0kommunestruktur2020!C290</f>
        <v>5583</v>
      </c>
      <c r="D290" s="289">
        <f>K0kommunestruktur2020!D290</f>
        <v>122917</v>
      </c>
      <c r="E290" s="289">
        <f>K0kommunestruktur2020!E290</f>
        <v>5593</v>
      </c>
      <c r="F290" s="289">
        <f>K0kommunestruktur2020!F290</f>
        <v>126206</v>
      </c>
      <c r="G290" s="289">
        <f>K0kommunestruktur2020!G290</f>
        <v>5635</v>
      </c>
      <c r="H290" s="289">
        <f>K0kommunestruktur2020!H290</f>
        <v>135849</v>
      </c>
      <c r="I290" s="289">
        <f>K0kommunestruktur2020!I290</f>
        <v>5623</v>
      </c>
      <c r="J290" s="289">
        <f>K0kommunestruktur2020!J290</f>
        <v>140005</v>
      </c>
      <c r="K290" s="289">
        <f>K0kommunestruktur2020!K290</f>
        <v>5663</v>
      </c>
      <c r="L290" s="289">
        <f>K0kommunestruktur2020!L290</f>
        <v>150634</v>
      </c>
      <c r="M290" s="289">
        <f>K0kommunestruktur2020!M290</f>
        <v>5610</v>
      </c>
      <c r="N290" s="289">
        <f>K0kommunestruktur2020!N290</f>
        <v>152303</v>
      </c>
      <c r="O290" s="289">
        <f>K0kommunestruktur2020!O290</f>
        <v>5581</v>
      </c>
      <c r="P290" s="289">
        <f>K0kommunestruktur2020!P290</f>
        <v>149195</v>
      </c>
      <c r="Q290" s="289">
        <f>VLOOKUP(A290,'K21'!$A$4:$CI$359,3)</f>
        <v>5550</v>
      </c>
      <c r="R290" s="289">
        <f>VLOOKUP(A290,'K21'!$A$4:$BV$359,26)</f>
        <v>170572.24799999999</v>
      </c>
      <c r="S290" s="517"/>
      <c r="T290" s="517"/>
      <c r="U290" s="517"/>
      <c r="V290" s="517"/>
    </row>
    <row r="291" spans="1:22" ht="13">
      <c r="A291" s="755">
        <v>5026</v>
      </c>
      <c r="B291" s="756" t="s">
        <v>135</v>
      </c>
      <c r="C291" s="289">
        <f>K0kommunestruktur2020!C291</f>
        <v>2024</v>
      </c>
      <c r="D291" s="289">
        <f>K0kommunestruktur2020!D291</f>
        <v>36840</v>
      </c>
      <c r="E291" s="289">
        <f>K0kommunestruktur2020!E291</f>
        <v>2014</v>
      </c>
      <c r="F291" s="289">
        <f>K0kommunestruktur2020!F291</f>
        <v>38051</v>
      </c>
      <c r="G291" s="289">
        <f>K0kommunestruktur2020!G291</f>
        <v>2031</v>
      </c>
      <c r="H291" s="289">
        <f>K0kommunestruktur2020!H291</f>
        <v>40877</v>
      </c>
      <c r="I291" s="289">
        <f>K0kommunestruktur2020!I291</f>
        <v>2046</v>
      </c>
      <c r="J291" s="289">
        <f>K0kommunestruktur2020!J291</f>
        <v>41668</v>
      </c>
      <c r="K291" s="289">
        <f>K0kommunestruktur2020!K291</f>
        <v>2028</v>
      </c>
      <c r="L291" s="289">
        <f>K0kommunestruktur2020!L291</f>
        <v>42917</v>
      </c>
      <c r="M291" s="289">
        <f>K0kommunestruktur2020!M291</f>
        <v>2025</v>
      </c>
      <c r="N291" s="289">
        <f>K0kommunestruktur2020!N291</f>
        <v>44918</v>
      </c>
      <c r="O291" s="289">
        <f>K0kommunestruktur2020!O291</f>
        <v>1981</v>
      </c>
      <c r="P291" s="289">
        <f>K0kommunestruktur2020!P291</f>
        <v>45380</v>
      </c>
      <c r="Q291" s="289">
        <f>VLOOKUP(A291,'K21'!$A$4:$CI$359,3)</f>
        <v>1968</v>
      </c>
      <c r="R291" s="289">
        <f>VLOOKUP(A291,'K21'!$A$4:$BV$359,26)</f>
        <v>50318.663999999997</v>
      </c>
      <c r="S291" s="517"/>
      <c r="T291" s="517"/>
      <c r="U291" s="517"/>
      <c r="V291" s="517"/>
    </row>
    <row r="292" spans="1:22" ht="13">
      <c r="A292" s="755">
        <v>5027</v>
      </c>
      <c r="B292" s="756" t="s">
        <v>136</v>
      </c>
      <c r="C292" s="289">
        <f>K0kommunestruktur2020!C292</f>
        <v>6361</v>
      </c>
      <c r="D292" s="289">
        <f>K0kommunestruktur2020!D292</f>
        <v>117036</v>
      </c>
      <c r="E292" s="289">
        <f>K0kommunestruktur2020!E292</f>
        <v>6336</v>
      </c>
      <c r="F292" s="289">
        <f>K0kommunestruktur2020!F292</f>
        <v>122762</v>
      </c>
      <c r="G292" s="289">
        <f>K0kommunestruktur2020!G292</f>
        <v>6298</v>
      </c>
      <c r="H292" s="289">
        <f>K0kommunestruktur2020!H292</f>
        <v>134262</v>
      </c>
      <c r="I292" s="289">
        <f>K0kommunestruktur2020!I292</f>
        <v>6319</v>
      </c>
      <c r="J292" s="289">
        <f>K0kommunestruktur2020!J292</f>
        <v>136088</v>
      </c>
      <c r="K292" s="289">
        <f>K0kommunestruktur2020!K292</f>
        <v>6225</v>
      </c>
      <c r="L292" s="289">
        <f>K0kommunestruktur2020!L292</f>
        <v>138350</v>
      </c>
      <c r="M292" s="289">
        <f>K0kommunestruktur2020!M292</f>
        <v>6246</v>
      </c>
      <c r="N292" s="289">
        <f>K0kommunestruktur2020!N292</f>
        <v>142650</v>
      </c>
      <c r="O292" s="289">
        <f>K0kommunestruktur2020!O292</f>
        <v>6238</v>
      </c>
      <c r="P292" s="289">
        <f>K0kommunestruktur2020!P292</f>
        <v>143443</v>
      </c>
      <c r="Q292" s="289">
        <f>VLOOKUP(A292,'K21'!$A$4:$CI$359,3)</f>
        <v>6243</v>
      </c>
      <c r="R292" s="289">
        <f>VLOOKUP(A292,'K21'!$A$4:$BV$359,26)</f>
        <v>165635.58900000001</v>
      </c>
      <c r="S292" s="517"/>
      <c r="T292" s="517"/>
      <c r="U292" s="517"/>
      <c r="V292" s="517"/>
    </row>
    <row r="293" spans="1:22" ht="13">
      <c r="A293" s="755">
        <v>5028</v>
      </c>
      <c r="B293" s="756" t="s">
        <v>137</v>
      </c>
      <c r="C293" s="289">
        <f>K0kommunestruktur2020!C293</f>
        <v>15844</v>
      </c>
      <c r="D293" s="289">
        <f>K0kommunestruktur2020!D293</f>
        <v>325097</v>
      </c>
      <c r="E293" s="289">
        <f>K0kommunestruktur2020!E293</f>
        <v>15916</v>
      </c>
      <c r="F293" s="289">
        <f>K0kommunestruktur2020!F293</f>
        <v>336584</v>
      </c>
      <c r="G293" s="289">
        <f>K0kommunestruktur2020!G293</f>
        <v>16096</v>
      </c>
      <c r="H293" s="289">
        <f>K0kommunestruktur2020!H293</f>
        <v>363387</v>
      </c>
      <c r="I293" s="289">
        <f>K0kommunestruktur2020!I293</f>
        <v>16213</v>
      </c>
      <c r="J293" s="289">
        <f>K0kommunestruktur2020!J293</f>
        <v>384271</v>
      </c>
      <c r="K293" s="289">
        <f>K0kommunestruktur2020!K293</f>
        <v>16424</v>
      </c>
      <c r="L293" s="289">
        <f>K0kommunestruktur2020!L293</f>
        <v>405508</v>
      </c>
      <c r="M293" s="289">
        <f>K0kommunestruktur2020!M293</f>
        <v>16562</v>
      </c>
      <c r="N293" s="289">
        <f>K0kommunestruktur2020!N293</f>
        <v>424578</v>
      </c>
      <c r="O293" s="289">
        <f>K0kommunestruktur2020!O293</f>
        <v>16733</v>
      </c>
      <c r="P293" s="289">
        <f>K0kommunestruktur2020!P293</f>
        <v>413343</v>
      </c>
      <c r="Q293" s="289">
        <f>VLOOKUP(A293,'K21'!$A$4:$CI$359,3)</f>
        <v>16949</v>
      </c>
      <c r="R293" s="289">
        <f>VLOOKUP(A293,'K21'!$A$4:$BV$359,26)</f>
        <v>485438.663</v>
      </c>
      <c r="S293" s="517"/>
      <c r="T293" s="517"/>
      <c r="U293" s="517"/>
      <c r="V293" s="517"/>
    </row>
    <row r="294" spans="1:22" ht="13">
      <c r="A294" s="755">
        <v>5029</v>
      </c>
      <c r="B294" s="756" t="s">
        <v>138</v>
      </c>
      <c r="C294" s="289">
        <f>K0kommunestruktur2020!C294</f>
        <v>7392</v>
      </c>
      <c r="D294" s="289">
        <f>K0kommunestruktur2020!D294</f>
        <v>141880</v>
      </c>
      <c r="E294" s="289">
        <f>K0kommunestruktur2020!E294</f>
        <v>7668</v>
      </c>
      <c r="F294" s="289">
        <f>K0kommunestruktur2020!F294</f>
        <v>154041</v>
      </c>
      <c r="G294" s="289">
        <f>K0kommunestruktur2020!G294</f>
        <v>7755</v>
      </c>
      <c r="H294" s="289">
        <f>K0kommunestruktur2020!H294</f>
        <v>170390</v>
      </c>
      <c r="I294" s="289">
        <f>K0kommunestruktur2020!I294</f>
        <v>8000</v>
      </c>
      <c r="J294" s="289">
        <f>K0kommunestruktur2020!J294</f>
        <v>185257</v>
      </c>
      <c r="K294" s="289">
        <f>K0kommunestruktur2020!K294</f>
        <v>8142</v>
      </c>
      <c r="L294" s="289">
        <f>K0kommunestruktur2020!L294</f>
        <v>194457</v>
      </c>
      <c r="M294" s="289">
        <f>K0kommunestruktur2020!M294</f>
        <v>8231</v>
      </c>
      <c r="N294" s="289">
        <f>K0kommunestruktur2020!N294</f>
        <v>202229</v>
      </c>
      <c r="O294" s="289">
        <f>K0kommunestruktur2020!O294</f>
        <v>8325</v>
      </c>
      <c r="P294" s="289">
        <f>K0kommunestruktur2020!P294</f>
        <v>203063</v>
      </c>
      <c r="Q294" s="289">
        <f>VLOOKUP(A294,'K21'!$A$4:$CI$359,3)</f>
        <v>8367</v>
      </c>
      <c r="R294" s="289">
        <f>VLOOKUP(A294,'K21'!$A$4:$BV$359,26)</f>
        <v>235799.02499999999</v>
      </c>
      <c r="S294" s="517"/>
      <c r="T294" s="517"/>
      <c r="U294" s="517"/>
      <c r="V294" s="517"/>
    </row>
    <row r="295" spans="1:22" ht="13">
      <c r="A295" s="755">
        <v>5031</v>
      </c>
      <c r="B295" s="756" t="s">
        <v>141</v>
      </c>
      <c r="C295" s="289">
        <f>K0kommunestruktur2020!C295</f>
        <v>13371</v>
      </c>
      <c r="D295" s="289">
        <f>K0kommunestruktur2020!D295</f>
        <v>308238</v>
      </c>
      <c r="E295" s="289">
        <f>K0kommunestruktur2020!E295</f>
        <v>13498</v>
      </c>
      <c r="F295" s="289">
        <f>K0kommunestruktur2020!F295</f>
        <v>318663</v>
      </c>
      <c r="G295" s="289">
        <f>K0kommunestruktur2020!G295</f>
        <v>13738</v>
      </c>
      <c r="H295" s="289">
        <f>K0kommunestruktur2020!H295</f>
        <v>359450</v>
      </c>
      <c r="I295" s="289">
        <f>K0kommunestruktur2020!I295</f>
        <v>13820</v>
      </c>
      <c r="J295" s="289">
        <f>K0kommunestruktur2020!J295</f>
        <v>368227</v>
      </c>
      <c r="K295" s="289">
        <f>K0kommunestruktur2020!K295</f>
        <v>13958</v>
      </c>
      <c r="L295" s="289">
        <f>K0kommunestruktur2020!L295</f>
        <v>397644</v>
      </c>
      <c r="M295" s="289">
        <f>K0kommunestruktur2020!M295</f>
        <v>14040</v>
      </c>
      <c r="N295" s="289">
        <f>K0kommunestruktur2020!N295</f>
        <v>412157</v>
      </c>
      <c r="O295" s="289">
        <f>K0kommunestruktur2020!O295</f>
        <v>14148</v>
      </c>
      <c r="P295" s="289">
        <f>K0kommunestruktur2020!P295</f>
        <v>408135</v>
      </c>
      <c r="Q295" s="289">
        <f>VLOOKUP(A295,'K21'!$A$4:$CI$359,3)</f>
        <v>14334</v>
      </c>
      <c r="R295" s="289">
        <f>VLOOKUP(A295,'K21'!$A$4:$BV$359,26)</f>
        <v>466120.27500000002</v>
      </c>
      <c r="S295" s="517"/>
      <c r="T295" s="517"/>
      <c r="U295" s="517"/>
      <c r="V295" s="517"/>
    </row>
    <row r="296" spans="1:22" ht="13">
      <c r="A296" s="755">
        <v>5032</v>
      </c>
      <c r="B296" s="756" t="s">
        <v>142</v>
      </c>
      <c r="C296" s="289">
        <f>K0kommunestruktur2020!C296</f>
        <v>4030</v>
      </c>
      <c r="D296" s="289">
        <f>K0kommunestruktur2020!D296</f>
        <v>79555</v>
      </c>
      <c r="E296" s="289">
        <f>K0kommunestruktur2020!E296</f>
        <v>4078</v>
      </c>
      <c r="F296" s="289">
        <f>K0kommunestruktur2020!F296</f>
        <v>84730</v>
      </c>
      <c r="G296" s="289">
        <f>K0kommunestruktur2020!G296</f>
        <v>4132</v>
      </c>
      <c r="H296" s="289">
        <f>K0kommunestruktur2020!H296</f>
        <v>91266</v>
      </c>
      <c r="I296" s="289">
        <f>K0kommunestruktur2020!I296</f>
        <v>4098</v>
      </c>
      <c r="J296" s="289">
        <f>K0kommunestruktur2020!J296</f>
        <v>94622</v>
      </c>
      <c r="K296" s="289">
        <f>K0kommunestruktur2020!K296</f>
        <v>4093</v>
      </c>
      <c r="L296" s="289">
        <f>K0kommunestruktur2020!L296</f>
        <v>97338</v>
      </c>
      <c r="M296" s="289">
        <f>K0kommunestruktur2020!M296</f>
        <v>4088</v>
      </c>
      <c r="N296" s="289">
        <f>K0kommunestruktur2020!N296</f>
        <v>100209</v>
      </c>
      <c r="O296" s="289">
        <f>K0kommunestruktur2020!O296</f>
        <v>4062</v>
      </c>
      <c r="P296" s="289">
        <f>K0kommunestruktur2020!P296</f>
        <v>102099</v>
      </c>
      <c r="Q296" s="289">
        <f>VLOOKUP(A296,'K21'!$A$4:$CI$359,3)</f>
        <v>4069</v>
      </c>
      <c r="R296" s="289">
        <f>VLOOKUP(A296,'K21'!$A$4:$BV$359,26)</f>
        <v>114143.08</v>
      </c>
      <c r="S296" s="517"/>
      <c r="T296" s="517"/>
      <c r="U296" s="517"/>
      <c r="V296" s="517"/>
    </row>
    <row r="297" spans="1:22" ht="13">
      <c r="A297" s="755">
        <v>5033</v>
      </c>
      <c r="B297" s="756" t="s">
        <v>143</v>
      </c>
      <c r="C297" s="289">
        <f>K0kommunestruktur2020!C297</f>
        <v>864</v>
      </c>
      <c r="D297" s="289">
        <f>K0kommunestruktur2020!D297</f>
        <v>30854</v>
      </c>
      <c r="E297" s="289">
        <f>K0kommunestruktur2020!E297</f>
        <v>863</v>
      </c>
      <c r="F297" s="289">
        <f>K0kommunestruktur2020!F297</f>
        <v>32527</v>
      </c>
      <c r="G297" s="289">
        <f>K0kommunestruktur2020!G297</f>
        <v>851</v>
      </c>
      <c r="H297" s="289">
        <f>K0kommunestruktur2020!H297</f>
        <v>33235</v>
      </c>
      <c r="I297" s="289">
        <f>K0kommunestruktur2020!I297</f>
        <v>861</v>
      </c>
      <c r="J297" s="289">
        <f>K0kommunestruktur2020!J297</f>
        <v>33121</v>
      </c>
      <c r="K297" s="289">
        <f>K0kommunestruktur2020!K297</f>
        <v>834</v>
      </c>
      <c r="L297" s="289">
        <f>K0kommunestruktur2020!L297</f>
        <v>34850</v>
      </c>
      <c r="M297" s="289">
        <f>K0kommunestruktur2020!M297</f>
        <v>794</v>
      </c>
      <c r="N297" s="289">
        <f>K0kommunestruktur2020!N297</f>
        <v>35054</v>
      </c>
      <c r="O297" s="289">
        <f>K0kommunestruktur2020!O297</f>
        <v>769</v>
      </c>
      <c r="P297" s="289">
        <f>K0kommunestruktur2020!P297</f>
        <v>32995</v>
      </c>
      <c r="Q297" s="289">
        <f>VLOOKUP(A297,'K21'!$A$4:$CI$359,3)</f>
        <v>759</v>
      </c>
      <c r="R297" s="289">
        <f>VLOOKUP(A297,'K21'!$A$4:$BV$359,26)</f>
        <v>35377.728999999999</v>
      </c>
      <c r="S297" s="517"/>
      <c r="T297" s="517"/>
      <c r="U297" s="517"/>
      <c r="V297" s="517"/>
    </row>
    <row r="298" spans="1:22" ht="13">
      <c r="A298" s="755">
        <v>5034</v>
      </c>
      <c r="B298" s="756" t="s">
        <v>146</v>
      </c>
      <c r="C298" s="289">
        <f>K0kommunestruktur2020!C298</f>
        <v>2553</v>
      </c>
      <c r="D298" s="289">
        <f>K0kommunestruktur2020!D298</f>
        <v>48534</v>
      </c>
      <c r="E298" s="289">
        <f>K0kommunestruktur2020!E298</f>
        <v>2558</v>
      </c>
      <c r="F298" s="289">
        <f>K0kommunestruktur2020!F298</f>
        <v>51352</v>
      </c>
      <c r="G298" s="289">
        <f>K0kommunestruktur2020!G298</f>
        <v>2523</v>
      </c>
      <c r="H298" s="289">
        <f>K0kommunestruktur2020!H298</f>
        <v>53590</v>
      </c>
      <c r="I298" s="289">
        <f>K0kommunestruktur2020!I298</f>
        <v>2508</v>
      </c>
      <c r="J298" s="289">
        <f>K0kommunestruktur2020!J298</f>
        <v>54417</v>
      </c>
      <c r="K298" s="289">
        <f>K0kommunestruktur2020!K298</f>
        <v>2469</v>
      </c>
      <c r="L298" s="289">
        <f>K0kommunestruktur2020!L298</f>
        <v>57823</v>
      </c>
      <c r="M298" s="289">
        <f>K0kommunestruktur2020!M298</f>
        <v>2432</v>
      </c>
      <c r="N298" s="289">
        <f>K0kommunestruktur2020!N298</f>
        <v>57334</v>
      </c>
      <c r="O298" s="289">
        <f>K0kommunestruktur2020!O298</f>
        <v>2422</v>
      </c>
      <c r="P298" s="289">
        <f>K0kommunestruktur2020!P298</f>
        <v>55743</v>
      </c>
      <c r="Q298" s="289">
        <f>VLOOKUP(A298,'K21'!$A$4:$CI$359,3)</f>
        <v>2413</v>
      </c>
      <c r="R298" s="289">
        <f>VLOOKUP(A298,'K21'!$A$4:$BV$359,26)</f>
        <v>63651.06</v>
      </c>
      <c r="S298" s="517"/>
      <c r="T298" s="517"/>
      <c r="U298" s="517"/>
      <c r="V298" s="517"/>
    </row>
    <row r="299" spans="1:22" ht="13">
      <c r="A299" s="755">
        <v>5035</v>
      </c>
      <c r="B299" s="756" t="s">
        <v>147</v>
      </c>
      <c r="C299" s="289">
        <f>K0kommunestruktur2020!C299</f>
        <v>22683</v>
      </c>
      <c r="D299" s="289">
        <f>K0kommunestruktur2020!D299</f>
        <v>461772</v>
      </c>
      <c r="E299" s="289">
        <f>K0kommunestruktur2020!E299</f>
        <v>22957</v>
      </c>
      <c r="F299" s="289">
        <f>K0kommunestruktur2020!F299</f>
        <v>500584</v>
      </c>
      <c r="G299" s="289">
        <f>K0kommunestruktur2020!G299</f>
        <v>23308</v>
      </c>
      <c r="H299" s="289">
        <f>K0kommunestruktur2020!H299</f>
        <v>539672</v>
      </c>
      <c r="I299" s="289">
        <f>K0kommunestruktur2020!I299</f>
        <v>23625</v>
      </c>
      <c r="J299" s="289">
        <f>K0kommunestruktur2020!J299</f>
        <v>564472</v>
      </c>
      <c r="K299" s="289">
        <f>K0kommunestruktur2020!K299</f>
        <v>23964</v>
      </c>
      <c r="L299" s="289">
        <f>K0kommunestruktur2020!L299</f>
        <v>597732</v>
      </c>
      <c r="M299" s="289">
        <f>K0kommunestruktur2020!M299</f>
        <v>24028</v>
      </c>
      <c r="N299" s="289">
        <f>K0kommunestruktur2020!N299</f>
        <v>615174</v>
      </c>
      <c r="O299" s="289">
        <f>K0kommunestruktur2020!O299</f>
        <v>24145</v>
      </c>
      <c r="P299" s="289">
        <f>K0kommunestruktur2020!P299</f>
        <v>598173</v>
      </c>
      <c r="Q299" s="289">
        <f>VLOOKUP(A299,'K21'!$A$4:$CI$359,3)</f>
        <v>24283</v>
      </c>
      <c r="R299" s="289">
        <f>VLOOKUP(A299,'K21'!$A$4:$BV$359,26)</f>
        <v>694242.41700000002</v>
      </c>
      <c r="S299" s="517"/>
      <c r="T299" s="517"/>
      <c r="U299" s="517"/>
      <c r="V299" s="517"/>
    </row>
    <row r="300" spans="1:22" ht="13">
      <c r="A300" s="755">
        <v>5036</v>
      </c>
      <c r="B300" s="756" t="s">
        <v>148</v>
      </c>
      <c r="C300" s="289">
        <f>K0kommunestruktur2020!C300</f>
        <v>2653</v>
      </c>
      <c r="D300" s="289">
        <f>K0kommunestruktur2020!D300</f>
        <v>43779</v>
      </c>
      <c r="E300" s="289">
        <f>K0kommunestruktur2020!E300</f>
        <v>2624</v>
      </c>
      <c r="F300" s="289">
        <f>K0kommunestruktur2020!F300</f>
        <v>45334</v>
      </c>
      <c r="G300" s="289">
        <f>K0kommunestruktur2020!G300</f>
        <v>2631</v>
      </c>
      <c r="H300" s="289">
        <f>K0kommunestruktur2020!H300</f>
        <v>48858</v>
      </c>
      <c r="I300" s="289">
        <f>K0kommunestruktur2020!I300</f>
        <v>2630</v>
      </c>
      <c r="J300" s="289">
        <f>K0kommunestruktur2020!J300</f>
        <v>55464</v>
      </c>
      <c r="K300" s="289">
        <f>K0kommunestruktur2020!K300</f>
        <v>2616</v>
      </c>
      <c r="L300" s="289">
        <f>K0kommunestruktur2020!L300</f>
        <v>57821</v>
      </c>
      <c r="M300" s="289">
        <f>K0kommunestruktur2020!M300</f>
        <v>2632</v>
      </c>
      <c r="N300" s="289">
        <f>K0kommunestruktur2020!N300</f>
        <v>57477</v>
      </c>
      <c r="O300" s="289">
        <f>K0kommunestruktur2020!O300</f>
        <v>2627</v>
      </c>
      <c r="P300" s="289">
        <f>K0kommunestruktur2020!P300</f>
        <v>60319</v>
      </c>
      <c r="Q300" s="289">
        <f>VLOOKUP(A300,'K21'!$A$4:$CI$359,3)</f>
        <v>2609</v>
      </c>
      <c r="R300" s="289">
        <f>VLOOKUP(A300,'K21'!$A$4:$BV$359,26)</f>
        <v>70464.293000000005</v>
      </c>
      <c r="S300" s="517"/>
      <c r="T300" s="517"/>
      <c r="U300" s="517"/>
      <c r="V300" s="517"/>
    </row>
    <row r="301" spans="1:22" ht="13">
      <c r="A301" s="755">
        <v>5037</v>
      </c>
      <c r="B301" s="756" t="s">
        <v>150</v>
      </c>
      <c r="C301" s="289">
        <f>K0kommunestruktur2020!C301</f>
        <v>19212</v>
      </c>
      <c r="D301" s="289">
        <f>K0kommunestruktur2020!D301</f>
        <v>379690</v>
      </c>
      <c r="E301" s="289">
        <f>K0kommunestruktur2020!E301</f>
        <v>19474</v>
      </c>
      <c r="F301" s="289">
        <f>K0kommunestruktur2020!F301</f>
        <v>399602</v>
      </c>
      <c r="G301" s="289">
        <f>K0kommunestruktur2020!G301</f>
        <v>19610</v>
      </c>
      <c r="H301" s="289">
        <f>K0kommunestruktur2020!H301</f>
        <v>452141</v>
      </c>
      <c r="I301" s="289">
        <f>K0kommunestruktur2020!I301</f>
        <v>19892</v>
      </c>
      <c r="J301" s="289">
        <f>K0kommunestruktur2020!J301</f>
        <v>467325</v>
      </c>
      <c r="K301" s="289">
        <f>K0kommunestruktur2020!K301</f>
        <v>20115</v>
      </c>
      <c r="L301" s="289">
        <f>K0kommunestruktur2020!L301</f>
        <v>490350</v>
      </c>
      <c r="M301" s="289">
        <f>K0kommunestruktur2020!M301</f>
        <v>20254</v>
      </c>
      <c r="N301" s="289">
        <f>K0kommunestruktur2020!N301</f>
        <v>515645</v>
      </c>
      <c r="O301" s="289">
        <f>K0kommunestruktur2020!O301</f>
        <v>20164</v>
      </c>
      <c r="P301" s="289">
        <f>K0kommunestruktur2020!P301</f>
        <v>509280</v>
      </c>
      <c r="Q301" s="289">
        <f>VLOOKUP(A301,'K21'!$A$4:$CI$359,3)</f>
        <v>20170</v>
      </c>
      <c r="R301" s="289">
        <f>VLOOKUP(A301,'K21'!$A$4:$BV$359,26)</f>
        <v>582620.89099999995</v>
      </c>
      <c r="S301" s="517"/>
      <c r="T301" s="517"/>
      <c r="U301" s="517"/>
      <c r="V301" s="517"/>
    </row>
    <row r="302" spans="1:22" ht="13">
      <c r="A302" s="755">
        <v>5038</v>
      </c>
      <c r="B302" s="756" t="s">
        <v>151</v>
      </c>
      <c r="C302" s="289">
        <f>K0kommunestruktur2020!C302</f>
        <v>14788</v>
      </c>
      <c r="D302" s="289">
        <f>K0kommunestruktur2020!D302</f>
        <v>279742</v>
      </c>
      <c r="E302" s="289">
        <f>K0kommunestruktur2020!E302</f>
        <v>14809</v>
      </c>
      <c r="F302" s="289">
        <f>K0kommunestruktur2020!F302</f>
        <v>280360</v>
      </c>
      <c r="G302" s="289">
        <f>K0kommunestruktur2020!G302</f>
        <v>14885</v>
      </c>
      <c r="H302" s="289">
        <f>K0kommunestruktur2020!H302</f>
        <v>303298</v>
      </c>
      <c r="I302" s="289">
        <f>K0kommunestruktur2020!I302</f>
        <v>14849</v>
      </c>
      <c r="J302" s="289">
        <f>K0kommunestruktur2020!J302</f>
        <v>319010</v>
      </c>
      <c r="K302" s="289">
        <f>K0kommunestruktur2020!K302</f>
        <v>14943</v>
      </c>
      <c r="L302" s="289">
        <f>K0kommunestruktur2020!L302</f>
        <v>334369</v>
      </c>
      <c r="M302" s="289">
        <f>K0kommunestruktur2020!M302</f>
        <v>14933</v>
      </c>
      <c r="N302" s="289">
        <f>K0kommunestruktur2020!N302</f>
        <v>344409</v>
      </c>
      <c r="O302" s="289">
        <f>K0kommunestruktur2020!O302</f>
        <v>14948</v>
      </c>
      <c r="P302" s="289">
        <f>K0kommunestruktur2020!P302</f>
        <v>346720</v>
      </c>
      <c r="Q302" s="289">
        <f>VLOOKUP(A302,'K21'!$A$4:$CI$359,3)</f>
        <v>14986</v>
      </c>
      <c r="R302" s="289">
        <f>VLOOKUP(A302,'K21'!$A$4:$BV$359,26)</f>
        <v>400352.47899999999</v>
      </c>
      <c r="S302" s="517"/>
      <c r="T302" s="517"/>
      <c r="U302" s="517"/>
      <c r="V302" s="517"/>
    </row>
    <row r="303" spans="1:22" ht="13">
      <c r="A303" s="755">
        <v>5041</v>
      </c>
      <c r="B303" s="756" t="s">
        <v>156</v>
      </c>
      <c r="C303" s="289">
        <f>K0kommunestruktur2020!C303</f>
        <v>2156</v>
      </c>
      <c r="D303" s="289">
        <f>K0kommunestruktur2020!D303</f>
        <v>37914</v>
      </c>
      <c r="E303" s="289">
        <f>K0kommunestruktur2020!E303</f>
        <v>2153</v>
      </c>
      <c r="F303" s="289">
        <f>K0kommunestruktur2020!F303</f>
        <v>39394</v>
      </c>
      <c r="G303" s="289">
        <f>K0kommunestruktur2020!G303</f>
        <v>2139</v>
      </c>
      <c r="H303" s="289">
        <f>K0kommunestruktur2020!H303</f>
        <v>41094</v>
      </c>
      <c r="I303" s="289">
        <f>K0kommunestruktur2020!I303</f>
        <v>2159</v>
      </c>
      <c r="J303" s="289">
        <f>K0kommunestruktur2020!J303</f>
        <v>43422</v>
      </c>
      <c r="K303" s="289">
        <f>K0kommunestruktur2020!K303</f>
        <v>2094</v>
      </c>
      <c r="L303" s="289">
        <f>K0kommunestruktur2020!L303</f>
        <v>43014</v>
      </c>
      <c r="M303" s="289">
        <f>K0kommunestruktur2020!M303</f>
        <v>2100</v>
      </c>
      <c r="N303" s="289">
        <f>K0kommunestruktur2020!N303</f>
        <v>45037</v>
      </c>
      <c r="O303" s="289">
        <f>K0kommunestruktur2020!O303</f>
        <v>2063</v>
      </c>
      <c r="P303" s="289">
        <f>K0kommunestruktur2020!P303</f>
        <v>45906</v>
      </c>
      <c r="Q303" s="289">
        <f>VLOOKUP(A303,'K21'!$A$4:$CI$359,3)</f>
        <v>2054</v>
      </c>
      <c r="R303" s="289">
        <f>VLOOKUP(A303,'K21'!$A$4:$BV$359,26)</f>
        <v>51492.535000000003</v>
      </c>
      <c r="S303" s="517"/>
      <c r="T303" s="517"/>
      <c r="U303" s="517"/>
      <c r="V303" s="517"/>
    </row>
    <row r="304" spans="1:22" ht="13">
      <c r="A304" s="755">
        <v>5042</v>
      </c>
      <c r="B304" s="756" t="s">
        <v>157</v>
      </c>
      <c r="C304" s="289">
        <f>K0kommunestruktur2020!C304</f>
        <v>1385</v>
      </c>
      <c r="D304" s="289">
        <f>K0kommunestruktur2020!D304</f>
        <v>30495</v>
      </c>
      <c r="E304" s="289">
        <f>K0kommunestruktur2020!E304</f>
        <v>1394</v>
      </c>
      <c r="F304" s="289">
        <f>K0kommunestruktur2020!F304</f>
        <v>30846</v>
      </c>
      <c r="G304" s="289">
        <f>K0kommunestruktur2020!G304</f>
        <v>1375</v>
      </c>
      <c r="H304" s="289">
        <f>K0kommunestruktur2020!H304</f>
        <v>30134</v>
      </c>
      <c r="I304" s="289">
        <f>K0kommunestruktur2020!I304</f>
        <v>1389</v>
      </c>
      <c r="J304" s="289">
        <f>K0kommunestruktur2020!J304</f>
        <v>30547</v>
      </c>
      <c r="K304" s="289">
        <f>K0kommunestruktur2020!K304</f>
        <v>1379</v>
      </c>
      <c r="L304" s="289">
        <f>K0kommunestruktur2020!L304</f>
        <v>31031</v>
      </c>
      <c r="M304" s="289">
        <f>K0kommunestruktur2020!M304</f>
        <v>1386</v>
      </c>
      <c r="N304" s="289">
        <f>K0kommunestruktur2020!N304</f>
        <v>33722</v>
      </c>
      <c r="O304" s="289">
        <f>K0kommunestruktur2020!O304</f>
        <v>1355</v>
      </c>
      <c r="P304" s="289">
        <f>K0kommunestruktur2020!P304</f>
        <v>33626</v>
      </c>
      <c r="Q304" s="289">
        <f>VLOOKUP(A304,'K21'!$A$4:$CI$359,3)</f>
        <v>1328</v>
      </c>
      <c r="R304" s="289">
        <f>VLOOKUP(A304,'K21'!$A$4:$BV$359,26)</f>
        <v>35802.779000000002</v>
      </c>
      <c r="S304" s="517"/>
      <c r="T304" s="517"/>
      <c r="U304" s="517"/>
      <c r="V304" s="517"/>
    </row>
    <row r="305" spans="1:22" ht="13">
      <c r="A305" s="755">
        <v>5043</v>
      </c>
      <c r="B305" s="756" t="s">
        <v>164</v>
      </c>
      <c r="C305" s="289">
        <f>K0kommunestruktur2020!C305</f>
        <v>498</v>
      </c>
      <c r="D305" s="289">
        <f>K0kommunestruktur2020!D305</f>
        <v>12548</v>
      </c>
      <c r="E305" s="289">
        <f>K0kommunestruktur2020!E305</f>
        <v>475</v>
      </c>
      <c r="F305" s="289">
        <f>K0kommunestruktur2020!F305</f>
        <v>12235</v>
      </c>
      <c r="G305" s="289">
        <f>K0kommunestruktur2020!G305</f>
        <v>469</v>
      </c>
      <c r="H305" s="289">
        <f>K0kommunestruktur2020!H305</f>
        <v>12455</v>
      </c>
      <c r="I305" s="289">
        <f>K0kommunestruktur2020!I305</f>
        <v>469</v>
      </c>
      <c r="J305" s="289">
        <f>K0kommunestruktur2020!J305</f>
        <v>12378</v>
      </c>
      <c r="K305" s="289">
        <f>K0kommunestruktur2020!K305</f>
        <v>474</v>
      </c>
      <c r="L305" s="289">
        <f>K0kommunestruktur2020!L305</f>
        <v>13341</v>
      </c>
      <c r="M305" s="289">
        <f>K0kommunestruktur2020!M305</f>
        <v>482</v>
      </c>
      <c r="N305" s="289">
        <f>K0kommunestruktur2020!N305</f>
        <v>11848</v>
      </c>
      <c r="O305" s="289">
        <f>K0kommunestruktur2020!O305</f>
        <v>461</v>
      </c>
      <c r="P305" s="289">
        <f>K0kommunestruktur2020!P305</f>
        <v>12059</v>
      </c>
      <c r="Q305" s="289">
        <f>VLOOKUP(A305,'K21'!$A$4:$CI$359,3)</f>
        <v>459</v>
      </c>
      <c r="R305" s="289">
        <f>VLOOKUP(A305,'K21'!$A$4:$BV$359,26)</f>
        <v>13437.659</v>
      </c>
      <c r="S305" s="517"/>
      <c r="T305" s="517"/>
      <c r="U305" s="517"/>
      <c r="V305" s="517"/>
    </row>
    <row r="306" spans="1:22" ht="13">
      <c r="A306" s="755">
        <v>5044</v>
      </c>
      <c r="B306" s="756" t="s">
        <v>165</v>
      </c>
      <c r="C306" s="289">
        <f>K0kommunestruktur2020!C306</f>
        <v>922</v>
      </c>
      <c r="D306" s="289">
        <f>K0kommunestruktur2020!D306</f>
        <v>25379</v>
      </c>
      <c r="E306" s="289">
        <f>K0kommunestruktur2020!E306</f>
        <v>892</v>
      </c>
      <c r="F306" s="289">
        <f>K0kommunestruktur2020!F306</f>
        <v>25338</v>
      </c>
      <c r="G306" s="289">
        <f>K0kommunestruktur2020!G306</f>
        <v>867</v>
      </c>
      <c r="H306" s="289">
        <f>K0kommunestruktur2020!H306</f>
        <v>27663</v>
      </c>
      <c r="I306" s="289">
        <f>K0kommunestruktur2020!I306</f>
        <v>872</v>
      </c>
      <c r="J306" s="289">
        <f>K0kommunestruktur2020!J306</f>
        <v>27937</v>
      </c>
      <c r="K306" s="289">
        <f>K0kommunestruktur2020!K306</f>
        <v>902</v>
      </c>
      <c r="L306" s="289">
        <f>K0kommunestruktur2020!L306</f>
        <v>29002</v>
      </c>
      <c r="M306" s="289">
        <f>K0kommunestruktur2020!M306</f>
        <v>871</v>
      </c>
      <c r="N306" s="289">
        <f>K0kommunestruktur2020!N306</f>
        <v>29273</v>
      </c>
      <c r="O306" s="289">
        <f>K0kommunestruktur2020!O306</f>
        <v>843</v>
      </c>
      <c r="P306" s="289">
        <f>K0kommunestruktur2020!P306</f>
        <v>28469</v>
      </c>
      <c r="Q306" s="289">
        <f>VLOOKUP(A306,'K21'!$A$4:$CI$359,3)</f>
        <v>846</v>
      </c>
      <c r="R306" s="289">
        <f>VLOOKUP(A306,'K21'!$A$4:$BV$359,26)</f>
        <v>32661.99</v>
      </c>
      <c r="S306" s="517"/>
      <c r="T306" s="517"/>
      <c r="U306" s="517"/>
      <c r="V306" s="517"/>
    </row>
    <row r="307" spans="1:22" ht="13">
      <c r="A307" s="755">
        <v>5045</v>
      </c>
      <c r="B307" s="756" t="s">
        <v>166</v>
      </c>
      <c r="C307" s="289">
        <f>K0kommunestruktur2020!C307</f>
        <v>2449</v>
      </c>
      <c r="D307" s="289">
        <f>K0kommunestruktur2020!D307</f>
        <v>50196</v>
      </c>
      <c r="E307" s="289">
        <f>K0kommunestruktur2020!E307</f>
        <v>2489</v>
      </c>
      <c r="F307" s="289">
        <f>K0kommunestruktur2020!F307</f>
        <v>52821</v>
      </c>
      <c r="G307" s="289">
        <f>K0kommunestruktur2020!G307</f>
        <v>2466</v>
      </c>
      <c r="H307" s="289">
        <f>K0kommunestruktur2020!H307</f>
        <v>57612</v>
      </c>
      <c r="I307" s="289">
        <f>K0kommunestruktur2020!I307</f>
        <v>2467</v>
      </c>
      <c r="J307" s="289">
        <f>K0kommunestruktur2020!J307</f>
        <v>60456</v>
      </c>
      <c r="K307" s="289">
        <f>K0kommunestruktur2020!K307</f>
        <v>2400</v>
      </c>
      <c r="L307" s="289">
        <f>K0kommunestruktur2020!L307</f>
        <v>62432</v>
      </c>
      <c r="M307" s="289">
        <f>K0kommunestruktur2020!M307</f>
        <v>2374</v>
      </c>
      <c r="N307" s="289">
        <f>K0kommunestruktur2020!N307</f>
        <v>64293</v>
      </c>
      <c r="O307" s="289">
        <f>K0kommunestruktur2020!O307</f>
        <v>2359</v>
      </c>
      <c r="P307" s="289">
        <f>K0kommunestruktur2020!P307</f>
        <v>60632</v>
      </c>
      <c r="Q307" s="289">
        <f>VLOOKUP(A307,'K21'!$A$4:$CI$359,3)</f>
        <v>2347</v>
      </c>
      <c r="R307" s="289">
        <f>VLOOKUP(A307,'K21'!$A$4:$BV$359,26)</f>
        <v>67677.910999999993</v>
      </c>
      <c r="S307" s="517"/>
      <c r="T307" s="517"/>
      <c r="U307" s="517"/>
      <c r="V307" s="517"/>
    </row>
    <row r="308" spans="1:22" ht="13">
      <c r="A308" s="755">
        <v>5046</v>
      </c>
      <c r="B308" s="756" t="s">
        <v>167</v>
      </c>
      <c r="C308" s="289">
        <f>K0kommunestruktur2020!C308</f>
        <v>1257</v>
      </c>
      <c r="D308" s="289">
        <f>K0kommunestruktur2020!D308</f>
        <v>22187</v>
      </c>
      <c r="E308" s="289">
        <f>K0kommunestruktur2020!E308</f>
        <v>1252</v>
      </c>
      <c r="F308" s="289">
        <f>K0kommunestruktur2020!F308</f>
        <v>23151</v>
      </c>
      <c r="G308" s="289">
        <f>K0kommunestruktur2020!G308</f>
        <v>1250</v>
      </c>
      <c r="H308" s="289">
        <f>K0kommunestruktur2020!H308</f>
        <v>26653</v>
      </c>
      <c r="I308" s="289">
        <f>K0kommunestruktur2020!I308</f>
        <v>1264</v>
      </c>
      <c r="J308" s="289">
        <f>K0kommunestruktur2020!J308</f>
        <v>27648</v>
      </c>
      <c r="K308" s="289">
        <f>K0kommunestruktur2020!K308</f>
        <v>1268</v>
      </c>
      <c r="L308" s="289">
        <f>K0kommunestruktur2020!L308</f>
        <v>26225</v>
      </c>
      <c r="M308" s="289">
        <f>K0kommunestruktur2020!M308</f>
        <v>1254</v>
      </c>
      <c r="N308" s="289">
        <f>K0kommunestruktur2020!N308</f>
        <v>27502</v>
      </c>
      <c r="O308" s="289">
        <f>K0kommunestruktur2020!O308</f>
        <v>1231</v>
      </c>
      <c r="P308" s="289">
        <f>K0kommunestruktur2020!P308</f>
        <v>27461</v>
      </c>
      <c r="Q308" s="289">
        <f>VLOOKUP(A308,'K21'!$A$4:$CI$359,3)</f>
        <v>1215</v>
      </c>
      <c r="R308" s="289">
        <f>VLOOKUP(A308,'K21'!$A$4:$BV$359,26)</f>
        <v>29339.453000000001</v>
      </c>
      <c r="S308" s="517"/>
      <c r="T308" s="517"/>
      <c r="U308" s="517"/>
      <c r="V308" s="517"/>
    </row>
    <row r="309" spans="1:22" ht="13">
      <c r="A309" s="755">
        <v>5047</v>
      </c>
      <c r="B309" s="756" t="s">
        <v>168</v>
      </c>
      <c r="C309" s="289">
        <f>K0kommunestruktur2020!C309</f>
        <v>3732</v>
      </c>
      <c r="D309" s="289">
        <f>K0kommunestruktur2020!D309</f>
        <v>72891</v>
      </c>
      <c r="E309" s="289">
        <f>K0kommunestruktur2020!E309</f>
        <v>3751</v>
      </c>
      <c r="F309" s="289">
        <f>K0kommunestruktur2020!F309</f>
        <v>75389</v>
      </c>
      <c r="G309" s="289">
        <f>K0kommunestruktur2020!G309</f>
        <v>3825</v>
      </c>
      <c r="H309" s="289">
        <f>K0kommunestruktur2020!H309</f>
        <v>82123</v>
      </c>
      <c r="I309" s="289">
        <f>K0kommunestruktur2020!I309</f>
        <v>3840</v>
      </c>
      <c r="J309" s="289">
        <f>K0kommunestruktur2020!J309</f>
        <v>89306</v>
      </c>
      <c r="K309" s="289">
        <f>K0kommunestruktur2020!K309</f>
        <v>3845</v>
      </c>
      <c r="L309" s="289">
        <f>K0kommunestruktur2020!L309</f>
        <v>93345</v>
      </c>
      <c r="M309" s="289">
        <f>K0kommunestruktur2020!M309</f>
        <v>3879</v>
      </c>
      <c r="N309" s="289">
        <f>K0kommunestruktur2020!N309</f>
        <v>93413</v>
      </c>
      <c r="O309" s="289">
        <f>K0kommunestruktur2020!O309</f>
        <v>3884</v>
      </c>
      <c r="P309" s="289">
        <f>K0kommunestruktur2020!P309</f>
        <v>92418</v>
      </c>
      <c r="Q309" s="289">
        <f>VLOOKUP(A309,'K21'!$A$4:$CI$359,3)</f>
        <v>3865</v>
      </c>
      <c r="R309" s="289">
        <f>VLOOKUP(A309,'K21'!$A$4:$BV$359,26)</f>
        <v>104067.85</v>
      </c>
      <c r="S309" s="517"/>
      <c r="T309" s="517"/>
      <c r="U309" s="517"/>
      <c r="V309" s="517"/>
    </row>
    <row r="310" spans="1:22" ht="13">
      <c r="A310" s="755">
        <v>5049</v>
      </c>
      <c r="B310" s="756" t="s">
        <v>170</v>
      </c>
      <c r="C310" s="289">
        <f>K0kommunestruktur2020!C310</f>
        <v>1120</v>
      </c>
      <c r="D310" s="289">
        <f>K0kommunestruktur2020!D310</f>
        <v>20942</v>
      </c>
      <c r="E310" s="289">
        <f>K0kommunestruktur2020!E310</f>
        <v>1119</v>
      </c>
      <c r="F310" s="289">
        <f>K0kommunestruktur2020!F310</f>
        <v>23043</v>
      </c>
      <c r="G310" s="289">
        <f>K0kommunestruktur2020!G310</f>
        <v>1103</v>
      </c>
      <c r="H310" s="289">
        <f>K0kommunestruktur2020!H310</f>
        <v>26366</v>
      </c>
      <c r="I310" s="289">
        <f>K0kommunestruktur2020!I310</f>
        <v>1090</v>
      </c>
      <c r="J310" s="289">
        <f>K0kommunestruktur2020!J310</f>
        <v>26376</v>
      </c>
      <c r="K310" s="289">
        <f>K0kommunestruktur2020!K310</f>
        <v>1105</v>
      </c>
      <c r="L310" s="289">
        <f>K0kommunestruktur2020!L310</f>
        <v>29062</v>
      </c>
      <c r="M310" s="289">
        <f>K0kommunestruktur2020!M310</f>
        <v>1103</v>
      </c>
      <c r="N310" s="289">
        <f>K0kommunestruktur2020!N310</f>
        <v>32722</v>
      </c>
      <c r="O310" s="289">
        <f>K0kommunestruktur2020!O310</f>
        <v>1103</v>
      </c>
      <c r="P310" s="289">
        <f>K0kommunestruktur2020!P310</f>
        <v>41284</v>
      </c>
      <c r="Q310" s="289">
        <f>VLOOKUP(A310,'K21'!$A$4:$CI$359,3)</f>
        <v>1100</v>
      </c>
      <c r="R310" s="289">
        <f>VLOOKUP(A310,'K21'!$A$4:$BV$359,26)</f>
        <v>42474.544000000002</v>
      </c>
      <c r="S310" s="517"/>
      <c r="T310" s="517"/>
      <c r="U310" s="517"/>
      <c r="V310" s="517"/>
    </row>
    <row r="311" spans="1:22" ht="13">
      <c r="A311" s="755">
        <v>5052</v>
      </c>
      <c r="B311" s="756" t="s">
        <v>173</v>
      </c>
      <c r="C311" s="289">
        <f>K0kommunestruktur2020!C311</f>
        <v>556</v>
      </c>
      <c r="D311" s="289">
        <f>K0kommunestruktur2020!D311</f>
        <v>9934</v>
      </c>
      <c r="E311" s="289">
        <f>K0kommunestruktur2020!E311</f>
        <v>574</v>
      </c>
      <c r="F311" s="289">
        <f>K0kommunestruktur2020!F311</f>
        <v>10708</v>
      </c>
      <c r="G311" s="289">
        <f>K0kommunestruktur2020!G311</f>
        <v>562</v>
      </c>
      <c r="H311" s="289">
        <f>K0kommunestruktur2020!H311</f>
        <v>11579</v>
      </c>
      <c r="I311" s="289">
        <f>K0kommunestruktur2020!I311</f>
        <v>584</v>
      </c>
      <c r="J311" s="289">
        <f>K0kommunestruktur2020!J311</f>
        <v>12951</v>
      </c>
      <c r="K311" s="289">
        <f>K0kommunestruktur2020!K311</f>
        <v>582</v>
      </c>
      <c r="L311" s="289">
        <f>K0kommunestruktur2020!L311</f>
        <v>13678</v>
      </c>
      <c r="M311" s="289">
        <f>K0kommunestruktur2020!M311</f>
        <v>567</v>
      </c>
      <c r="N311" s="289">
        <f>K0kommunestruktur2020!N311</f>
        <v>13553</v>
      </c>
      <c r="O311" s="289">
        <f>K0kommunestruktur2020!O311</f>
        <v>557</v>
      </c>
      <c r="P311" s="289">
        <f>K0kommunestruktur2020!P311</f>
        <v>13835</v>
      </c>
      <c r="Q311" s="289">
        <f>VLOOKUP(A311,'K21'!$A$4:$CI$359,3)</f>
        <v>563</v>
      </c>
      <c r="R311" s="289">
        <f>VLOOKUP(A311,'K21'!$A$4:$BV$359,26)</f>
        <v>16669.456999999999</v>
      </c>
      <c r="S311" s="517"/>
      <c r="T311" s="517"/>
      <c r="U311" s="517"/>
      <c r="V311" s="517"/>
    </row>
    <row r="312" spans="1:22" ht="13">
      <c r="A312" s="755">
        <v>5053</v>
      </c>
      <c r="B312" s="756" t="s">
        <v>155</v>
      </c>
      <c r="C312" s="289">
        <f>K0kommunestruktur2020!C312</f>
        <v>6720</v>
      </c>
      <c r="D312" s="289">
        <f>K0kommunestruktur2020!D312</f>
        <v>126853</v>
      </c>
      <c r="E312" s="289">
        <f>K0kommunestruktur2020!E312</f>
        <v>6770</v>
      </c>
      <c r="F312" s="289">
        <f>K0kommunestruktur2020!F312</f>
        <v>138028</v>
      </c>
      <c r="G312" s="289">
        <f>K0kommunestruktur2020!G312</f>
        <v>6769</v>
      </c>
      <c r="H312" s="289">
        <f>K0kommunestruktur2020!H312</f>
        <v>148799</v>
      </c>
      <c r="I312" s="289">
        <f>K0kommunestruktur2020!I312</f>
        <v>6800</v>
      </c>
      <c r="J312" s="289">
        <f>K0kommunestruktur2020!J312</f>
        <v>153528</v>
      </c>
      <c r="K312" s="289">
        <f>K0kommunestruktur2020!K312</f>
        <v>6785</v>
      </c>
      <c r="L312" s="289">
        <f>K0kommunestruktur2020!L312</f>
        <v>157899</v>
      </c>
      <c r="M312" s="289">
        <f>K0kommunestruktur2020!M312</f>
        <v>6804</v>
      </c>
      <c r="N312" s="289">
        <f>K0kommunestruktur2020!N312</f>
        <v>163239</v>
      </c>
      <c r="O312" s="289">
        <f>K0kommunestruktur2020!O312</f>
        <v>6816</v>
      </c>
      <c r="P312" s="289">
        <f>K0kommunestruktur2020!P312</f>
        <v>166507</v>
      </c>
      <c r="Q312" s="289">
        <f>VLOOKUP(A312,'K21'!$A$4:$CI$359,3)</f>
        <v>6764</v>
      </c>
      <c r="R312" s="289">
        <f>VLOOKUP(A312,'K21'!$A$4:$BV$359,26)</f>
        <v>193708.14199999999</v>
      </c>
      <c r="S312" s="517"/>
      <c r="T312" s="517"/>
      <c r="U312" s="517"/>
      <c r="V312" s="517"/>
    </row>
    <row r="313" spans="1:22" ht="13">
      <c r="A313" s="755">
        <v>5054</v>
      </c>
      <c r="B313" s="756" t="s">
        <v>1234</v>
      </c>
      <c r="C313" s="289">
        <f>K0kommunestruktur2020!C313</f>
        <v>10269.42881458</v>
      </c>
      <c r="D313" s="289">
        <f>K0kommunestruktur2020!D313</f>
        <v>183217.8449139414</v>
      </c>
      <c r="E313" s="289">
        <f>K0kommunestruktur2020!E313</f>
        <v>10250.30136163</v>
      </c>
      <c r="F313" s="289">
        <f>K0kommunestruktur2020!F313</f>
        <v>193435.93161786679</v>
      </c>
      <c r="G313" s="289">
        <f>K0kommunestruktur2020!G313</f>
        <v>10243.254405289999</v>
      </c>
      <c r="H313" s="289">
        <f>K0kommunestruktur2020!H313</f>
        <v>207333.5362435662</v>
      </c>
      <c r="I313" s="289">
        <f>K0kommunestruktur2020!I313</f>
        <v>10175.80496596</v>
      </c>
      <c r="J313" s="289">
        <f>K0kommunestruktur2020!J313</f>
        <v>217828.46766121162</v>
      </c>
      <c r="K313" s="289">
        <f>K0kommunestruktur2020!K313</f>
        <v>10157.68422107</v>
      </c>
      <c r="L313" s="289">
        <f>K0kommunestruktur2020!L313</f>
        <v>229522.38836614593</v>
      </c>
      <c r="M313" s="289">
        <f>K0kommunestruktur2020!M313</f>
        <v>10055</v>
      </c>
      <c r="N313" s="289">
        <f>K0kommunestruktur2020!N313</f>
        <v>233446.53634361233</v>
      </c>
      <c r="O313" s="289">
        <f>K0kommunestruktur2020!O313</f>
        <v>10084</v>
      </c>
      <c r="P313" s="289">
        <f>K0kommunestruktur2020!P313</f>
        <v>228796</v>
      </c>
      <c r="Q313" s="289">
        <f>VLOOKUP(A313,'K21'!$A$4:$CI$359,3)</f>
        <v>9948</v>
      </c>
      <c r="R313" s="289">
        <f>VLOOKUP(A313,'K21'!$A$4:$BV$359,26)</f>
        <v>256343.16699999999</v>
      </c>
      <c r="S313" s="517"/>
      <c r="T313" s="517"/>
      <c r="U313" s="517"/>
      <c r="V313" s="517"/>
    </row>
    <row r="314" spans="1:22" ht="13">
      <c r="A314" s="755">
        <v>5055</v>
      </c>
      <c r="B314" s="756" t="s">
        <v>1642</v>
      </c>
      <c r="C314" s="289">
        <f>K0kommunestruktur2020!C314</f>
        <v>6009.0440440440443</v>
      </c>
      <c r="D314" s="289">
        <f>K0kommunestruktur2020!D314</f>
        <v>126281.23223223223</v>
      </c>
      <c r="E314" s="289">
        <f>K0kommunestruktur2020!E314</f>
        <v>6021.4604604604601</v>
      </c>
      <c r="F314" s="289">
        <f>K0kommunestruktur2020!F314</f>
        <v>127238.24124124124</v>
      </c>
      <c r="G314" s="289">
        <f>K0kommunestruktur2020!G314</f>
        <v>6010.6276276276276</v>
      </c>
      <c r="H314" s="289">
        <f>K0kommunestruktur2020!H314</f>
        <v>137087.35835835835</v>
      </c>
      <c r="I314" s="289">
        <f>K0kommunestruktur2020!I314</f>
        <v>6062.4604604604601</v>
      </c>
      <c r="J314" s="289">
        <f>K0kommunestruktur2020!J314</f>
        <v>144857.22822822822</v>
      </c>
      <c r="K314" s="289">
        <f>K0kommunestruktur2020!K314</f>
        <v>6001.5015015015015</v>
      </c>
      <c r="L314" s="289">
        <f>K0kommunestruktur2020!L314</f>
        <v>153172.37637637637</v>
      </c>
      <c r="M314" s="289">
        <f>K0kommunestruktur2020!M314</f>
        <v>6010</v>
      </c>
      <c r="N314" s="289">
        <f>K0kommunestruktur2020!N314</f>
        <v>163996.97697697696</v>
      </c>
      <c r="O314" s="289">
        <f>K0kommunestruktur2020!O314</f>
        <v>5963</v>
      </c>
      <c r="P314" s="289">
        <f>K0kommunestruktur2020!P314</f>
        <v>158118</v>
      </c>
      <c r="Q314" s="289">
        <f>VLOOKUP(A314,'K21'!$A$4:$CI$359,3)</f>
        <v>5941</v>
      </c>
      <c r="R314" s="289">
        <f>VLOOKUP(A314,'K21'!$A$4:$BV$359,26)</f>
        <v>176810.02900000001</v>
      </c>
      <c r="S314" s="517"/>
      <c r="T314" s="517"/>
      <c r="U314" s="517"/>
      <c r="V314" s="517"/>
    </row>
    <row r="315" spans="1:22" ht="13">
      <c r="A315" s="755">
        <v>5056</v>
      </c>
      <c r="B315" s="756" t="s">
        <v>1643</v>
      </c>
      <c r="C315" s="289">
        <f>K0kommunestruktur2020!C315</f>
        <v>4839.8378378378375</v>
      </c>
      <c r="D315" s="289">
        <f>K0kommunestruktur2020!D315</f>
        <v>96229.054054054053</v>
      </c>
      <c r="E315" s="289">
        <f>K0kommunestruktur2020!E315</f>
        <v>4887.4864864864867</v>
      </c>
      <c r="F315" s="289">
        <f>K0kommunestruktur2020!F315</f>
        <v>104673.70270270271</v>
      </c>
      <c r="G315" s="289">
        <f>K0kommunestruktur2020!G315</f>
        <v>4939.1891891891892</v>
      </c>
      <c r="H315" s="289">
        <f>K0kommunestruktur2020!H315</f>
        <v>113604.13513513513</v>
      </c>
      <c r="I315" s="289">
        <f>K0kommunestruktur2020!I315</f>
        <v>4977.4864864864867</v>
      </c>
      <c r="J315" s="289">
        <f>K0kommunestruktur2020!J315</f>
        <v>120301.43243243243</v>
      </c>
      <c r="K315" s="289">
        <f>K0kommunestruktur2020!K315</f>
        <v>4968.1081081081084</v>
      </c>
      <c r="L315" s="289">
        <f>K0kommunestruktur2020!L315</f>
        <v>123056.43243243243</v>
      </c>
      <c r="M315" s="289">
        <f>K0kommunestruktur2020!M315</f>
        <v>5018</v>
      </c>
      <c r="N315" s="289">
        <f>K0kommunestruktur2020!N315</f>
        <v>131903.67567567568</v>
      </c>
      <c r="O315" s="289">
        <f>K0kommunestruktur2020!O315</f>
        <v>5050</v>
      </c>
      <c r="P315" s="289">
        <f>K0kommunestruktur2020!P315</f>
        <v>145800</v>
      </c>
      <c r="Q315" s="289">
        <f>VLOOKUP(A315,'K21'!$A$4:$CI$359,3)</f>
        <v>5140</v>
      </c>
      <c r="R315" s="289">
        <f>VLOOKUP(A315,'K21'!$A$4:$BV$359,26)</f>
        <v>161475.802</v>
      </c>
      <c r="S315" s="517"/>
      <c r="T315" s="517"/>
      <c r="U315" s="517"/>
      <c r="V315" s="517"/>
    </row>
    <row r="316" spans="1:22" ht="13">
      <c r="A316" s="755">
        <v>5057</v>
      </c>
      <c r="B316" s="756" t="s">
        <v>1644</v>
      </c>
      <c r="C316" s="289">
        <f>K0kommunestruktur2020!C316</f>
        <v>9875</v>
      </c>
      <c r="D316" s="289">
        <f>K0kommunestruktur2020!D316</f>
        <v>186904</v>
      </c>
      <c r="E316" s="289">
        <f>K0kommunestruktur2020!E316</f>
        <v>9898</v>
      </c>
      <c r="F316" s="289">
        <f>K0kommunestruktur2020!F316</f>
        <v>204730</v>
      </c>
      <c r="G316" s="289">
        <f>K0kommunestruktur2020!G316</f>
        <v>9988</v>
      </c>
      <c r="H316" s="289">
        <f>K0kommunestruktur2020!H316</f>
        <v>218140</v>
      </c>
      <c r="I316" s="289">
        <f>K0kommunestruktur2020!I316</f>
        <v>10113</v>
      </c>
      <c r="J316" s="289">
        <f>K0kommunestruktur2020!J316</f>
        <v>233349</v>
      </c>
      <c r="K316" s="289">
        <f>K0kommunestruktur2020!K316</f>
        <v>10215</v>
      </c>
      <c r="L316" s="289">
        <f>K0kommunestruktur2020!L316</f>
        <v>252402</v>
      </c>
      <c r="M316" s="289">
        <f>K0kommunestruktur2020!M316</f>
        <v>10238</v>
      </c>
      <c r="N316" s="289">
        <f>K0kommunestruktur2020!N316</f>
        <v>261440</v>
      </c>
      <c r="O316" s="289">
        <f>K0kommunestruktur2020!O316</f>
        <v>10323</v>
      </c>
      <c r="P316" s="289">
        <f>K0kommunestruktur2020!P316</f>
        <v>254501</v>
      </c>
      <c r="Q316" s="289">
        <f>VLOOKUP(A316,'K21'!$A$4:$CI$359,3)</f>
        <v>10306</v>
      </c>
      <c r="R316" s="289">
        <f>VLOOKUP(A316,'K21'!$A$4:$BV$359,26)</f>
        <v>300234.18099999998</v>
      </c>
      <c r="S316" s="517"/>
      <c r="T316" s="517"/>
      <c r="U316" s="517"/>
      <c r="V316" s="517"/>
    </row>
    <row r="317" spans="1:22" ht="13">
      <c r="A317" s="755">
        <v>5058</v>
      </c>
      <c r="B317" s="756" t="s">
        <v>1645</v>
      </c>
      <c r="C317" s="289">
        <f>K0kommunestruktur2020!C317</f>
        <v>4228</v>
      </c>
      <c r="D317" s="289">
        <f>K0kommunestruktur2020!D317</f>
        <v>78911</v>
      </c>
      <c r="E317" s="289">
        <f>K0kommunestruktur2020!E317</f>
        <v>4225</v>
      </c>
      <c r="F317" s="289">
        <f>K0kommunestruktur2020!F317</f>
        <v>86982</v>
      </c>
      <c r="G317" s="289">
        <f>K0kommunestruktur2020!G317</f>
        <v>4233</v>
      </c>
      <c r="H317" s="289">
        <f>K0kommunestruktur2020!H317</f>
        <v>91758</v>
      </c>
      <c r="I317" s="289">
        <f>K0kommunestruktur2020!I317</f>
        <v>4222</v>
      </c>
      <c r="J317" s="289">
        <f>K0kommunestruktur2020!J317</f>
        <v>98377</v>
      </c>
      <c r="K317" s="289">
        <f>K0kommunestruktur2020!K317</f>
        <v>4230</v>
      </c>
      <c r="L317" s="289">
        <f>K0kommunestruktur2020!L317</f>
        <v>105726</v>
      </c>
      <c r="M317" s="289">
        <f>K0kommunestruktur2020!M317</f>
        <v>4297</v>
      </c>
      <c r="N317" s="289">
        <f>K0kommunestruktur2020!N317</f>
        <v>112012</v>
      </c>
      <c r="O317" s="289">
        <f>K0kommunestruktur2020!O317</f>
        <v>4288</v>
      </c>
      <c r="P317" s="289">
        <f>K0kommunestruktur2020!P317</f>
        <v>115391</v>
      </c>
      <c r="Q317" s="289">
        <f>VLOOKUP(A317,'K21'!$A$4:$CI$359,3)</f>
        <v>4271</v>
      </c>
      <c r="R317" s="289">
        <f>VLOOKUP(A317,'K21'!$A$4:$BV$359,26)</f>
        <v>129736.989</v>
      </c>
      <c r="S317" s="517"/>
      <c r="T317" s="517"/>
      <c r="U317" s="517"/>
      <c r="V317" s="517"/>
    </row>
    <row r="318" spans="1:22" ht="13">
      <c r="A318" s="755">
        <v>5059</v>
      </c>
      <c r="B318" s="756" t="s">
        <v>1646</v>
      </c>
      <c r="C318" s="289">
        <f>K0kommunestruktur2020!C318</f>
        <v>17792.118118118116</v>
      </c>
      <c r="D318" s="289">
        <f>K0kommunestruktur2020!D318</f>
        <v>348805.71371371369</v>
      </c>
      <c r="E318" s="289">
        <f>K0kommunestruktur2020!E318</f>
        <v>17918.053053053052</v>
      </c>
      <c r="F318" s="289">
        <f>K0kommunestruktur2020!F318</f>
        <v>368963.05605605606</v>
      </c>
      <c r="G318" s="289">
        <f>K0kommunestruktur2020!G318</f>
        <v>17923.183183183184</v>
      </c>
      <c r="H318" s="289">
        <f>K0kommunestruktur2020!H318</f>
        <v>404094.50650650653</v>
      </c>
      <c r="I318" s="289">
        <f>K0kommunestruktur2020!I318</f>
        <v>18021.053053053052</v>
      </c>
      <c r="J318" s="289">
        <f>K0kommunestruktur2020!J318</f>
        <v>417935.33933933935</v>
      </c>
      <c r="K318" s="289">
        <f>K0kommunestruktur2020!K318</f>
        <v>18008.390390390392</v>
      </c>
      <c r="L318" s="289">
        <f>K0kommunestruktur2020!L318</f>
        <v>426122.1911911912</v>
      </c>
      <c r="M318" s="289">
        <f>K0kommunestruktur2020!M318</f>
        <v>18151</v>
      </c>
      <c r="N318" s="289">
        <f>K0kommunestruktur2020!N318</f>
        <v>456741.34734734736</v>
      </c>
      <c r="O318" s="289">
        <f>K0kommunestruktur2020!O318</f>
        <v>18217</v>
      </c>
      <c r="P318" s="289">
        <f>K0kommunestruktur2020!P318</f>
        <v>444283</v>
      </c>
      <c r="Q318" s="289">
        <f>VLOOKUP(A318,'K21'!$A$4:$CI$359,3)</f>
        <v>18300</v>
      </c>
      <c r="R318" s="289">
        <f>VLOOKUP(A318,'K21'!$A$4:$BV$359,26)</f>
        <v>508653.462</v>
      </c>
      <c r="S318" s="517"/>
      <c r="T318" s="517"/>
      <c r="U318" s="517"/>
      <c r="V318" s="517"/>
    </row>
    <row r="319" spans="1:22" ht="13">
      <c r="A319" s="755">
        <v>5060</v>
      </c>
      <c r="B319" s="756" t="s">
        <v>1647</v>
      </c>
      <c r="C319" s="289">
        <f>K0kommunestruktur2020!C319</f>
        <v>9335.4005181299999</v>
      </c>
      <c r="D319" s="289">
        <f>K0kommunestruktur2020!D319</f>
        <v>183438.3820724462</v>
      </c>
      <c r="E319" s="289">
        <f>K0kommunestruktur2020!E319</f>
        <v>9394.0887046600001</v>
      </c>
      <c r="F319" s="289">
        <f>K0kommunestruktur2020!F319</f>
        <v>193556.623315996</v>
      </c>
      <c r="G319" s="289">
        <f>K0kommunestruktur2020!G319</f>
        <v>9462.7240414499993</v>
      </c>
      <c r="H319" s="289">
        <f>K0kommunestruktur2020!H319</f>
        <v>216590.24445594076</v>
      </c>
      <c r="I319" s="289">
        <f>K0kommunestruktur2020!I319</f>
        <v>9505.4967875599996</v>
      </c>
      <c r="J319" s="289">
        <f>K0kommunestruktur2020!J319</f>
        <v>230517.24953356315</v>
      </c>
      <c r="K319" s="289">
        <f>K0kommunestruktur2020!K319</f>
        <v>9558.2166839399997</v>
      </c>
      <c r="L319" s="289">
        <f>K0kommunestruktur2020!L319</f>
        <v>251414.22279798469</v>
      </c>
      <c r="M319" s="289">
        <f>K0kommunestruktur2020!M319</f>
        <v>9599</v>
      </c>
      <c r="N319" s="289">
        <f>K0kommunestruktur2020!N319</f>
        <v>273864.94093264249</v>
      </c>
      <c r="O319" s="289">
        <f>K0kommunestruktur2020!O319</f>
        <v>9623</v>
      </c>
      <c r="P319" s="289">
        <f>K0kommunestruktur2020!P319</f>
        <v>278061</v>
      </c>
      <c r="Q319" s="289">
        <f>VLOOKUP(A319,'K21'!$A$4:$CI$359,3)</f>
        <v>9581</v>
      </c>
      <c r="R319" s="289">
        <f>VLOOKUP(A319,'K21'!$A$4:$BV$359,26)</f>
        <v>331249.3</v>
      </c>
      <c r="S319" s="517"/>
      <c r="T319" s="517"/>
      <c r="U319" s="517"/>
      <c r="V319" s="517"/>
    </row>
    <row r="320" spans="1:22" ht="13">
      <c r="A320" s="755">
        <v>5061</v>
      </c>
      <c r="B320" s="756" t="s">
        <v>114</v>
      </c>
      <c r="C320" s="289">
        <f>K0kommunestruktur2020!C320</f>
        <v>2046</v>
      </c>
      <c r="D320" s="289">
        <f>K0kommunestruktur2020!D320</f>
        <v>42351</v>
      </c>
      <c r="E320" s="289">
        <f>K0kommunestruktur2020!E320</f>
        <v>2038</v>
      </c>
      <c r="F320" s="289">
        <f>K0kommunestruktur2020!F320</f>
        <v>43842</v>
      </c>
      <c r="G320" s="289">
        <f>K0kommunestruktur2020!G320</f>
        <v>2036</v>
      </c>
      <c r="H320" s="289">
        <f>K0kommunestruktur2020!H320</f>
        <v>45245</v>
      </c>
      <c r="I320" s="289">
        <f>K0kommunestruktur2020!I320</f>
        <v>2026</v>
      </c>
      <c r="J320" s="289">
        <f>K0kommunestruktur2020!J320</f>
        <v>47427</v>
      </c>
      <c r="K320" s="289">
        <f>K0kommunestruktur2020!K320</f>
        <v>2039</v>
      </c>
      <c r="L320" s="289">
        <f>K0kommunestruktur2020!L320</f>
        <v>50708</v>
      </c>
      <c r="M320" s="289">
        <f>K0kommunestruktur2020!M320</f>
        <v>2028</v>
      </c>
      <c r="N320" s="289">
        <f>K0kommunestruktur2020!N320</f>
        <v>50159</v>
      </c>
      <c r="O320" s="289">
        <f>K0kommunestruktur2020!O320</f>
        <v>2003</v>
      </c>
      <c r="P320" s="289">
        <f>K0kommunestruktur2020!P320</f>
        <v>48517</v>
      </c>
      <c r="Q320" s="289">
        <f>VLOOKUP(A320,'K21'!$A$4:$CI$359,3)</f>
        <v>1989</v>
      </c>
      <c r="R320" s="289">
        <f>VLOOKUP(A320,'K21'!$A$4:$BV$359,26)</f>
        <v>53745.877</v>
      </c>
      <c r="S320" s="517"/>
      <c r="T320" s="517"/>
      <c r="U320" s="517"/>
      <c r="V320" s="517"/>
    </row>
    <row r="321" spans="1:22" ht="13">
      <c r="A321" s="755">
        <v>5401</v>
      </c>
      <c r="B321" s="756" t="s">
        <v>217</v>
      </c>
      <c r="C321" s="289">
        <f>K0kommunestruktur2020!C321</f>
        <v>71590</v>
      </c>
      <c r="D321" s="289">
        <f>K0kommunestruktur2020!D321</f>
        <v>1698963</v>
      </c>
      <c r="E321" s="289">
        <f>K0kommunestruktur2020!E321</f>
        <v>72681</v>
      </c>
      <c r="F321" s="289">
        <f>K0kommunestruktur2020!F321</f>
        <v>1840079</v>
      </c>
      <c r="G321" s="289">
        <f>K0kommunestruktur2020!G321</f>
        <v>73480</v>
      </c>
      <c r="H321" s="289">
        <f>K0kommunestruktur2020!H321</f>
        <v>2034480</v>
      </c>
      <c r="I321" s="289">
        <f>K0kommunestruktur2020!I321</f>
        <v>74541</v>
      </c>
      <c r="J321" s="289">
        <f>K0kommunestruktur2020!J321</f>
        <v>2166065</v>
      </c>
      <c r="K321" s="289">
        <f>K0kommunestruktur2020!K321</f>
        <v>75638</v>
      </c>
      <c r="L321" s="289">
        <f>K0kommunestruktur2020!L321</f>
        <v>2296830</v>
      </c>
      <c r="M321" s="289">
        <f>K0kommunestruktur2020!M321</f>
        <v>76649</v>
      </c>
      <c r="N321" s="289">
        <f>K0kommunestruktur2020!N321</f>
        <v>2383917</v>
      </c>
      <c r="O321" s="289">
        <f>K0kommunestruktur2020!O321</f>
        <v>76974</v>
      </c>
      <c r="P321" s="289">
        <f>K0kommunestruktur2020!P321</f>
        <v>2351318</v>
      </c>
      <c r="Q321" s="289">
        <f>VLOOKUP(A321,'K21'!$A$4:$CI$359,3)</f>
        <v>77095</v>
      </c>
      <c r="R321" s="289">
        <f>VLOOKUP(A321,'K21'!$A$4:$BV$359,26)</f>
        <v>2721310.3429999999</v>
      </c>
      <c r="S321" s="517"/>
      <c r="T321" s="517"/>
      <c r="U321" s="517"/>
      <c r="V321" s="517"/>
    </row>
    <row r="322" spans="1:22" ht="13">
      <c r="A322" s="755">
        <v>5402</v>
      </c>
      <c r="B322" s="756" t="s">
        <v>216</v>
      </c>
      <c r="C322" s="289">
        <f>K0kommunestruktur2020!C322</f>
        <v>24441</v>
      </c>
      <c r="D322" s="289">
        <f>K0kommunestruktur2020!D322</f>
        <v>531842</v>
      </c>
      <c r="E322" s="289">
        <f>K0kommunestruktur2020!E322</f>
        <v>24676</v>
      </c>
      <c r="F322" s="289">
        <f>K0kommunestruktur2020!F322</f>
        <v>581441</v>
      </c>
      <c r="G322" s="289">
        <f>K0kommunestruktur2020!G322</f>
        <v>24695</v>
      </c>
      <c r="H322" s="289">
        <f>K0kommunestruktur2020!H322</f>
        <v>623987</v>
      </c>
      <c r="I322" s="289">
        <f>K0kommunestruktur2020!I322</f>
        <v>24845</v>
      </c>
      <c r="J322" s="289">
        <f>K0kommunestruktur2020!J322</f>
        <v>647002</v>
      </c>
      <c r="K322" s="289">
        <f>K0kommunestruktur2020!K322</f>
        <v>24820</v>
      </c>
      <c r="L322" s="289">
        <f>K0kommunestruktur2020!L322</f>
        <v>674405</v>
      </c>
      <c r="M322" s="289">
        <f>K0kommunestruktur2020!M322</f>
        <v>24827</v>
      </c>
      <c r="N322" s="289">
        <f>K0kommunestruktur2020!N322</f>
        <v>691142</v>
      </c>
      <c r="O322" s="289">
        <f>K0kommunestruktur2020!O322</f>
        <v>24703</v>
      </c>
      <c r="P322" s="289">
        <f>K0kommunestruktur2020!P322</f>
        <v>665390</v>
      </c>
      <c r="Q322" s="289">
        <f>VLOOKUP(A322,'K21'!$A$4:$CI$359,3)</f>
        <v>24738</v>
      </c>
      <c r="R322" s="289">
        <f>VLOOKUP(A322,'K21'!$A$4:$BV$359,26)</f>
        <v>765812.473</v>
      </c>
      <c r="S322" s="517"/>
      <c r="T322" s="517"/>
      <c r="U322" s="517"/>
      <c r="V322" s="517"/>
    </row>
    <row r="323" spans="1:22" ht="13">
      <c r="A323" s="755">
        <v>5403</v>
      </c>
      <c r="B323" s="756" t="s">
        <v>245</v>
      </c>
      <c r="C323" s="289">
        <f>K0kommunestruktur2020!C323</f>
        <v>19822</v>
      </c>
      <c r="D323" s="289">
        <f>K0kommunestruktur2020!D323</f>
        <v>392331</v>
      </c>
      <c r="E323" s="289">
        <f>K0kommunestruktur2020!E323</f>
        <v>19898</v>
      </c>
      <c r="F323" s="289">
        <f>K0kommunestruktur2020!F323</f>
        <v>425132</v>
      </c>
      <c r="G323" s="289">
        <f>K0kommunestruktur2020!G323</f>
        <v>20097</v>
      </c>
      <c r="H323" s="289">
        <f>K0kommunestruktur2020!H323</f>
        <v>470693</v>
      </c>
      <c r="I323" s="289">
        <f>K0kommunestruktur2020!I323</f>
        <v>20446</v>
      </c>
      <c r="J323" s="289">
        <f>K0kommunestruktur2020!J323</f>
        <v>505393</v>
      </c>
      <c r="K323" s="289">
        <f>K0kommunestruktur2020!K323</f>
        <v>20635</v>
      </c>
      <c r="L323" s="289">
        <f>K0kommunestruktur2020!L323</f>
        <v>542406</v>
      </c>
      <c r="M323" s="289">
        <f>K0kommunestruktur2020!M323</f>
        <v>20665</v>
      </c>
      <c r="N323" s="289">
        <f>K0kommunestruktur2020!N323</f>
        <v>568373</v>
      </c>
      <c r="O323" s="289">
        <f>K0kommunestruktur2020!O323</f>
        <v>20789</v>
      </c>
      <c r="P323" s="289">
        <f>K0kommunestruktur2020!P323</f>
        <v>564534</v>
      </c>
      <c r="Q323" s="289">
        <f>VLOOKUP(A323,'K21'!$A$4:$CI$359,3)</f>
        <v>20847</v>
      </c>
      <c r="R323" s="289">
        <f>VLOOKUP(A323,'K21'!$A$4:$BV$359,26)</f>
        <v>641505.68799999997</v>
      </c>
      <c r="S323" s="517"/>
      <c r="T323" s="517"/>
      <c r="U323" s="517"/>
      <c r="V323" s="517"/>
    </row>
    <row r="324" spans="1:22" ht="13">
      <c r="A324" s="755">
        <v>5404</v>
      </c>
      <c r="B324" s="756" t="s">
        <v>241</v>
      </c>
      <c r="C324" s="289">
        <f>K0kommunestruktur2020!C324</f>
        <v>2119</v>
      </c>
      <c r="D324" s="289">
        <f>K0kommunestruktur2020!D324</f>
        <v>39140</v>
      </c>
      <c r="E324" s="289">
        <f>K0kommunestruktur2020!E324</f>
        <v>2128</v>
      </c>
      <c r="F324" s="289">
        <f>K0kommunestruktur2020!F324</f>
        <v>41735</v>
      </c>
      <c r="G324" s="289">
        <f>K0kommunestruktur2020!G324</f>
        <v>2137</v>
      </c>
      <c r="H324" s="289">
        <f>K0kommunestruktur2020!H324</f>
        <v>46439</v>
      </c>
      <c r="I324" s="289">
        <f>K0kommunestruktur2020!I324</f>
        <v>2104</v>
      </c>
      <c r="J324" s="289">
        <f>K0kommunestruktur2020!J324</f>
        <v>46940</v>
      </c>
      <c r="K324" s="289">
        <f>K0kommunestruktur2020!K324</f>
        <v>2110</v>
      </c>
      <c r="L324" s="289">
        <f>K0kommunestruktur2020!L324</f>
        <v>46676</v>
      </c>
      <c r="M324" s="289">
        <f>K0kommunestruktur2020!M324</f>
        <v>2081</v>
      </c>
      <c r="N324" s="289">
        <f>K0kommunestruktur2020!N324</f>
        <v>47631</v>
      </c>
      <c r="O324" s="289">
        <f>K0kommunestruktur2020!O324</f>
        <v>2029</v>
      </c>
      <c r="P324" s="289">
        <f>K0kommunestruktur2020!P324</f>
        <v>45266</v>
      </c>
      <c r="Q324" s="289">
        <f>VLOOKUP(A324,'K21'!$A$4:$CI$359,3)</f>
        <v>1959</v>
      </c>
      <c r="R324" s="289">
        <f>VLOOKUP(A324,'K21'!$A$4:$BV$359,26)</f>
        <v>50390.915000000001</v>
      </c>
      <c r="S324" s="517"/>
      <c r="T324" s="517"/>
      <c r="U324" s="517"/>
      <c r="V324" s="517"/>
    </row>
    <row r="325" spans="1:22" ht="13">
      <c r="A325" s="755">
        <v>5405</v>
      </c>
      <c r="B325" s="756" t="s">
        <v>242</v>
      </c>
      <c r="C325" s="289">
        <f>K0kommunestruktur2020!C325</f>
        <v>6223</v>
      </c>
      <c r="D325" s="289">
        <f>K0kommunestruktur2020!D325</f>
        <v>128264</v>
      </c>
      <c r="E325" s="289">
        <f>K0kommunestruktur2020!E325</f>
        <v>6239</v>
      </c>
      <c r="F325" s="289">
        <f>K0kommunestruktur2020!F325</f>
        <v>135985</v>
      </c>
      <c r="G325" s="289">
        <f>K0kommunestruktur2020!G325</f>
        <v>6160</v>
      </c>
      <c r="H325" s="289">
        <f>K0kommunestruktur2020!H325</f>
        <v>143163</v>
      </c>
      <c r="I325" s="289">
        <f>K0kommunestruktur2020!I325</f>
        <v>6154</v>
      </c>
      <c r="J325" s="289">
        <f>K0kommunestruktur2020!J325</f>
        <v>148082</v>
      </c>
      <c r="K325" s="289">
        <f>K0kommunestruktur2020!K325</f>
        <v>6033</v>
      </c>
      <c r="L325" s="289">
        <f>K0kommunestruktur2020!L325</f>
        <v>152909</v>
      </c>
      <c r="M325" s="289">
        <f>K0kommunestruktur2020!M325</f>
        <v>5894</v>
      </c>
      <c r="N325" s="289">
        <f>K0kommunestruktur2020!N325</f>
        <v>153202</v>
      </c>
      <c r="O325" s="289">
        <f>K0kommunestruktur2020!O325</f>
        <v>5788</v>
      </c>
      <c r="P325" s="289">
        <f>K0kommunestruktur2020!P325</f>
        <v>150625</v>
      </c>
      <c r="Q325" s="289">
        <f>VLOOKUP(A325,'K21'!$A$4:$CI$359,3)</f>
        <v>5642</v>
      </c>
      <c r="R325" s="289">
        <f>VLOOKUP(A325,'K21'!$A$4:$BV$359,26)</f>
        <v>171792.18400000001</v>
      </c>
      <c r="S325" s="517"/>
      <c r="T325" s="517"/>
      <c r="U325" s="517"/>
      <c r="V325" s="517"/>
    </row>
    <row r="326" spans="1:22" ht="13">
      <c r="A326" s="755">
        <v>5406</v>
      </c>
      <c r="B326" s="756" t="s">
        <v>1648</v>
      </c>
      <c r="C326" s="289">
        <f>K0kommunestruktur2020!C326</f>
        <v>11338</v>
      </c>
      <c r="D326" s="289">
        <f>K0kommunestruktur2020!D326</f>
        <v>272569</v>
      </c>
      <c r="E326" s="289">
        <f>K0kommunestruktur2020!E326</f>
        <v>11466</v>
      </c>
      <c r="F326" s="289">
        <f>K0kommunestruktur2020!F326</f>
        <v>294108</v>
      </c>
      <c r="G326" s="289">
        <f>K0kommunestruktur2020!G326</f>
        <v>11490</v>
      </c>
      <c r="H326" s="289">
        <f>K0kommunestruktur2020!H326</f>
        <v>302629</v>
      </c>
      <c r="I326" s="289">
        <f>K0kommunestruktur2020!I326</f>
        <v>11554</v>
      </c>
      <c r="J326" s="289">
        <f>K0kommunestruktur2020!J326</f>
        <v>317821</v>
      </c>
      <c r="K326" s="289">
        <f>K0kommunestruktur2020!K326</f>
        <v>11560</v>
      </c>
      <c r="L326" s="289">
        <f>K0kommunestruktur2020!L326</f>
        <v>327526</v>
      </c>
      <c r="M326" s="289">
        <f>K0kommunestruktur2020!M326</f>
        <v>11524</v>
      </c>
      <c r="N326" s="289">
        <f>K0kommunestruktur2020!N326</f>
        <v>340580</v>
      </c>
      <c r="O326" s="289">
        <f>K0kommunestruktur2020!O326</f>
        <v>11448</v>
      </c>
      <c r="P326" s="289">
        <f>K0kommunestruktur2020!P326</f>
        <v>331008</v>
      </c>
      <c r="Q326" s="289">
        <f>VLOOKUP(A326,'K21'!$A$4:$CI$359,3)</f>
        <v>11331</v>
      </c>
      <c r="R326" s="289">
        <f>VLOOKUP(A326,'K21'!$A$4:$BV$359,26)</f>
        <v>373038.78899999999</v>
      </c>
      <c r="S326" s="517"/>
      <c r="T326" s="517"/>
      <c r="U326" s="517"/>
      <c r="V326" s="517"/>
    </row>
    <row r="327" spans="1:22" ht="13">
      <c r="A327" s="755">
        <v>5411</v>
      </c>
      <c r="B327" s="756" t="s">
        <v>218</v>
      </c>
      <c r="C327" s="289">
        <f>K0kommunestruktur2020!C327</f>
        <v>3107</v>
      </c>
      <c r="D327" s="289">
        <f>K0kommunestruktur2020!D327</f>
        <v>53243</v>
      </c>
      <c r="E327" s="289">
        <f>K0kommunestruktur2020!E327</f>
        <v>3076</v>
      </c>
      <c r="F327" s="289">
        <f>K0kommunestruktur2020!F327</f>
        <v>56094</v>
      </c>
      <c r="G327" s="289">
        <f>K0kommunestruktur2020!G327</f>
        <v>3029</v>
      </c>
      <c r="H327" s="289">
        <f>K0kommunestruktur2020!H327</f>
        <v>60507</v>
      </c>
      <c r="I327" s="289">
        <f>K0kommunestruktur2020!I327</f>
        <v>2986</v>
      </c>
      <c r="J327" s="289">
        <f>K0kommunestruktur2020!J327</f>
        <v>65886</v>
      </c>
      <c r="K327" s="289">
        <f>K0kommunestruktur2020!K327</f>
        <v>2928</v>
      </c>
      <c r="L327" s="289">
        <f>K0kommunestruktur2020!L327</f>
        <v>68090</v>
      </c>
      <c r="M327" s="289">
        <f>K0kommunestruktur2020!M327</f>
        <v>2858</v>
      </c>
      <c r="N327" s="289">
        <f>K0kommunestruktur2020!N327</f>
        <v>63611</v>
      </c>
      <c r="O327" s="289">
        <f>K0kommunestruktur2020!O327</f>
        <v>2839</v>
      </c>
      <c r="P327" s="289">
        <f>K0kommunestruktur2020!P327</f>
        <v>61754</v>
      </c>
      <c r="Q327" s="289">
        <f>VLOOKUP(A327,'K21'!$A$4:$CI$359,3)</f>
        <v>2822</v>
      </c>
      <c r="R327" s="289">
        <f>VLOOKUP(A327,'K21'!$A$4:$BV$359,26)</f>
        <v>73553.589000000007</v>
      </c>
      <c r="S327" s="517"/>
      <c r="T327" s="517"/>
      <c r="U327" s="517"/>
      <c r="V327" s="517"/>
    </row>
    <row r="328" spans="1:22" ht="13">
      <c r="A328" s="755">
        <v>5412</v>
      </c>
      <c r="B328" s="756" t="s">
        <v>1649</v>
      </c>
      <c r="C328" s="289">
        <f>K0kommunestruktur2020!C328</f>
        <v>4207</v>
      </c>
      <c r="D328" s="289">
        <f>K0kommunestruktur2020!D328</f>
        <v>78040</v>
      </c>
      <c r="E328" s="289">
        <f>K0kommunestruktur2020!E328</f>
        <v>4268</v>
      </c>
      <c r="F328" s="289">
        <f>K0kommunestruktur2020!F328</f>
        <v>85810</v>
      </c>
      <c r="G328" s="289">
        <f>K0kommunestruktur2020!G328</f>
        <v>4324</v>
      </c>
      <c r="H328" s="289">
        <f>K0kommunestruktur2020!H328</f>
        <v>92325</v>
      </c>
      <c r="I328" s="289">
        <f>K0kommunestruktur2020!I328</f>
        <v>4300</v>
      </c>
      <c r="J328" s="289">
        <f>K0kommunestruktur2020!J328</f>
        <v>96392</v>
      </c>
      <c r="K328" s="289">
        <f>K0kommunestruktur2020!K328</f>
        <v>4253</v>
      </c>
      <c r="L328" s="289">
        <f>K0kommunestruktur2020!L328</f>
        <v>96820</v>
      </c>
      <c r="M328" s="289">
        <f>K0kommunestruktur2020!M328</f>
        <v>4268</v>
      </c>
      <c r="N328" s="289">
        <f>K0kommunestruktur2020!N328</f>
        <v>100932</v>
      </c>
      <c r="O328" s="289">
        <f>K0kommunestruktur2020!O328</f>
        <v>4216</v>
      </c>
      <c r="P328" s="289">
        <f>K0kommunestruktur2020!P328</f>
        <v>101538</v>
      </c>
      <c r="Q328" s="289">
        <f>VLOOKUP(A328,'K21'!$A$4:$CI$359,3)</f>
        <v>4209</v>
      </c>
      <c r="R328" s="289">
        <f>VLOOKUP(A328,'K21'!$A$4:$BV$359,26)</f>
        <v>112336.47500000001</v>
      </c>
      <c r="S328" s="517"/>
      <c r="T328" s="517"/>
      <c r="U328" s="517"/>
      <c r="V328" s="517"/>
    </row>
    <row r="329" spans="1:22" ht="13">
      <c r="A329" s="755">
        <v>5413</v>
      </c>
      <c r="B329" s="756" t="s">
        <v>221</v>
      </c>
      <c r="C329" s="289">
        <f>K0kommunestruktur2020!C329</f>
        <v>1436</v>
      </c>
      <c r="D329" s="289">
        <f>K0kommunestruktur2020!D329</f>
        <v>26022</v>
      </c>
      <c r="E329" s="289">
        <f>K0kommunestruktur2020!E329</f>
        <v>1410</v>
      </c>
      <c r="F329" s="289">
        <f>K0kommunestruktur2020!F329</f>
        <v>26855</v>
      </c>
      <c r="G329" s="289">
        <f>K0kommunestruktur2020!G329</f>
        <v>1403</v>
      </c>
      <c r="H329" s="289">
        <f>K0kommunestruktur2020!H329</f>
        <v>31656</v>
      </c>
      <c r="I329" s="289">
        <f>K0kommunestruktur2020!I329</f>
        <v>1394</v>
      </c>
      <c r="J329" s="289">
        <f>K0kommunestruktur2020!J329</f>
        <v>34562</v>
      </c>
      <c r="K329" s="289">
        <f>K0kommunestruktur2020!K329</f>
        <v>1380</v>
      </c>
      <c r="L329" s="289">
        <f>K0kommunestruktur2020!L329</f>
        <v>38050</v>
      </c>
      <c r="M329" s="289">
        <f>K0kommunestruktur2020!M329</f>
        <v>1375</v>
      </c>
      <c r="N329" s="289">
        <f>K0kommunestruktur2020!N329</f>
        <v>36128</v>
      </c>
      <c r="O329" s="289">
        <f>K0kommunestruktur2020!O329</f>
        <v>1361</v>
      </c>
      <c r="P329" s="289">
        <f>K0kommunestruktur2020!P329</f>
        <v>34850</v>
      </c>
      <c r="Q329" s="289">
        <f>VLOOKUP(A329,'K21'!$A$4:$CI$359,3)</f>
        <v>1320</v>
      </c>
      <c r="R329" s="289">
        <f>VLOOKUP(A329,'K21'!$A$4:$BV$359,26)</f>
        <v>37922.93</v>
      </c>
      <c r="S329" s="517"/>
      <c r="T329" s="517"/>
      <c r="U329" s="517"/>
      <c r="V329" s="517"/>
    </row>
    <row r="330" spans="1:22" ht="13">
      <c r="A330" s="755">
        <v>5414</v>
      </c>
      <c r="B330" s="756" t="s">
        <v>222</v>
      </c>
      <c r="C330" s="289">
        <f>K0kommunestruktur2020!C330</f>
        <v>1135</v>
      </c>
      <c r="D330" s="289">
        <f>K0kommunestruktur2020!D330</f>
        <v>19557</v>
      </c>
      <c r="E330" s="289">
        <f>K0kommunestruktur2020!E330</f>
        <v>1137</v>
      </c>
      <c r="F330" s="289">
        <f>K0kommunestruktur2020!F330</f>
        <v>20678</v>
      </c>
      <c r="G330" s="289">
        <f>K0kommunestruktur2020!G330</f>
        <v>1137</v>
      </c>
      <c r="H330" s="289">
        <f>K0kommunestruktur2020!H330</f>
        <v>22524</v>
      </c>
      <c r="I330" s="289">
        <f>K0kommunestruktur2020!I330</f>
        <v>1121</v>
      </c>
      <c r="J330" s="289">
        <f>K0kommunestruktur2020!J330</f>
        <v>24726</v>
      </c>
      <c r="K330" s="289">
        <f>K0kommunestruktur2020!K330</f>
        <v>1117</v>
      </c>
      <c r="L330" s="289">
        <f>K0kommunestruktur2020!L330</f>
        <v>26493</v>
      </c>
      <c r="M330" s="289">
        <f>K0kommunestruktur2020!M330</f>
        <v>1105</v>
      </c>
      <c r="N330" s="289">
        <f>K0kommunestruktur2020!N330</f>
        <v>28318</v>
      </c>
      <c r="O330" s="289">
        <f>K0kommunestruktur2020!O330</f>
        <v>1091</v>
      </c>
      <c r="P330" s="289">
        <f>K0kommunestruktur2020!P330</f>
        <v>28544</v>
      </c>
      <c r="Q330" s="289">
        <f>VLOOKUP(A330,'K21'!$A$4:$CI$359,3)</f>
        <v>1092</v>
      </c>
      <c r="R330" s="289">
        <f>VLOOKUP(A330,'K21'!$A$4:$BV$359,26)</f>
        <v>31520.68</v>
      </c>
      <c r="S330" s="517"/>
      <c r="T330" s="517"/>
      <c r="U330" s="517"/>
      <c r="V330" s="517"/>
    </row>
    <row r="331" spans="1:22" ht="13">
      <c r="A331" s="755">
        <v>5415</v>
      </c>
      <c r="B331" s="756" t="s">
        <v>223</v>
      </c>
      <c r="C331" s="289">
        <f>K0kommunestruktur2020!C331</f>
        <v>1014</v>
      </c>
      <c r="D331" s="289">
        <f>K0kommunestruktur2020!D331</f>
        <v>15717</v>
      </c>
      <c r="E331" s="289">
        <f>K0kommunestruktur2020!E331</f>
        <v>1008</v>
      </c>
      <c r="F331" s="289">
        <f>K0kommunestruktur2020!F331</f>
        <v>18284</v>
      </c>
      <c r="G331" s="289">
        <f>K0kommunestruktur2020!G331</f>
        <v>1051</v>
      </c>
      <c r="H331" s="289">
        <f>K0kommunestruktur2020!H331</f>
        <v>19351</v>
      </c>
      <c r="I331" s="289">
        <f>K0kommunestruktur2020!I331</f>
        <v>1076</v>
      </c>
      <c r="J331" s="289">
        <f>K0kommunestruktur2020!J331</f>
        <v>19972</v>
      </c>
      <c r="K331" s="289">
        <f>K0kommunestruktur2020!K331</f>
        <v>1061</v>
      </c>
      <c r="L331" s="289">
        <f>K0kommunestruktur2020!L331</f>
        <v>21842</v>
      </c>
      <c r="M331" s="289">
        <f>K0kommunestruktur2020!M331</f>
        <v>1042</v>
      </c>
      <c r="N331" s="289">
        <f>K0kommunestruktur2020!N331</f>
        <v>22320</v>
      </c>
      <c r="O331" s="289">
        <f>K0kommunestruktur2020!O331</f>
        <v>1034</v>
      </c>
      <c r="P331" s="289">
        <f>K0kommunestruktur2020!P331</f>
        <v>22101</v>
      </c>
      <c r="Q331" s="289">
        <f>VLOOKUP(A331,'K21'!$A$4:$CI$359,3)</f>
        <v>1020</v>
      </c>
      <c r="R331" s="289">
        <f>VLOOKUP(A331,'K21'!$A$4:$BV$359,26)</f>
        <v>22751.856</v>
      </c>
      <c r="S331" s="517"/>
      <c r="T331" s="517"/>
      <c r="U331" s="517"/>
      <c r="V331" s="517"/>
    </row>
    <row r="332" spans="1:22" ht="13">
      <c r="A332" s="755">
        <v>5416</v>
      </c>
      <c r="B332" s="756" t="s">
        <v>224</v>
      </c>
      <c r="C332" s="289">
        <f>K0kommunestruktur2020!C332</f>
        <v>3985</v>
      </c>
      <c r="D332" s="289">
        <f>K0kommunestruktur2020!D332</f>
        <v>95072</v>
      </c>
      <c r="E332" s="289">
        <f>K0kommunestruktur2020!E332</f>
        <v>4078</v>
      </c>
      <c r="F332" s="289">
        <f>K0kommunestruktur2020!F332</f>
        <v>103643</v>
      </c>
      <c r="G332" s="289">
        <f>K0kommunestruktur2020!G332</f>
        <v>4019</v>
      </c>
      <c r="H332" s="289">
        <f>K0kommunestruktur2020!H332</f>
        <v>109015</v>
      </c>
      <c r="I332" s="289">
        <f>K0kommunestruktur2020!I332</f>
        <v>3994</v>
      </c>
      <c r="J332" s="289">
        <f>K0kommunestruktur2020!J332</f>
        <v>115085</v>
      </c>
      <c r="K332" s="289">
        <f>K0kommunestruktur2020!K332</f>
        <v>3979</v>
      </c>
      <c r="L332" s="289">
        <f>K0kommunestruktur2020!L332</f>
        <v>120113</v>
      </c>
      <c r="M332" s="289">
        <f>K0kommunestruktur2020!M332</f>
        <v>4030</v>
      </c>
      <c r="N332" s="289">
        <f>K0kommunestruktur2020!N332</f>
        <v>127207</v>
      </c>
      <c r="O332" s="289">
        <f>K0kommunestruktur2020!O332</f>
        <v>4005</v>
      </c>
      <c r="P332" s="289">
        <f>K0kommunestruktur2020!P332</f>
        <v>121816</v>
      </c>
      <c r="Q332" s="289">
        <f>VLOOKUP(A332,'K21'!$A$4:$CI$359,3)</f>
        <v>3959</v>
      </c>
      <c r="R332" s="289">
        <f>VLOOKUP(A332,'K21'!$A$4:$BV$359,26)</f>
        <v>132708.57699999999</v>
      </c>
      <c r="S332" s="517"/>
      <c r="T332" s="517"/>
      <c r="U332" s="517"/>
      <c r="V332" s="517"/>
    </row>
    <row r="333" spans="1:22" ht="13">
      <c r="A333" s="755">
        <v>5417</v>
      </c>
      <c r="B333" s="756" t="s">
        <v>225</v>
      </c>
      <c r="C333" s="289">
        <f>K0kommunestruktur2020!C333</f>
        <v>2223</v>
      </c>
      <c r="D333" s="289">
        <f>K0kommunestruktur2020!D333</f>
        <v>38368</v>
      </c>
      <c r="E333" s="289">
        <f>K0kommunestruktur2020!E333</f>
        <v>2219</v>
      </c>
      <c r="F333" s="289">
        <f>K0kommunestruktur2020!F333</f>
        <v>42072</v>
      </c>
      <c r="G333" s="289">
        <f>K0kommunestruktur2020!G333</f>
        <v>2230</v>
      </c>
      <c r="H333" s="289">
        <f>K0kommunestruktur2020!H333</f>
        <v>46921</v>
      </c>
      <c r="I333" s="289">
        <f>K0kommunestruktur2020!I333</f>
        <v>2220</v>
      </c>
      <c r="J333" s="289">
        <f>K0kommunestruktur2020!J333</f>
        <v>51862</v>
      </c>
      <c r="K333" s="289">
        <f>K0kommunestruktur2020!K333</f>
        <v>2226</v>
      </c>
      <c r="L333" s="289">
        <f>K0kommunestruktur2020!L333</f>
        <v>52604</v>
      </c>
      <c r="M333" s="289">
        <f>K0kommunestruktur2020!M333</f>
        <v>2183</v>
      </c>
      <c r="N333" s="289">
        <f>K0kommunestruktur2020!N333</f>
        <v>56979</v>
      </c>
      <c r="O333" s="289">
        <f>K0kommunestruktur2020!O333</f>
        <v>2146</v>
      </c>
      <c r="P333" s="289">
        <f>K0kommunestruktur2020!P333</f>
        <v>56569</v>
      </c>
      <c r="Q333" s="289">
        <f>VLOOKUP(A333,'K21'!$A$4:$CI$359,3)</f>
        <v>2089</v>
      </c>
      <c r="R333" s="289">
        <f>VLOOKUP(A333,'K21'!$A$4:$BV$359,26)</f>
        <v>55380.934000000001</v>
      </c>
      <c r="S333" s="517"/>
      <c r="T333" s="517"/>
      <c r="U333" s="517"/>
      <c r="V333" s="517"/>
    </row>
    <row r="334" spans="1:22" ht="13">
      <c r="A334" s="755">
        <v>5418</v>
      </c>
      <c r="B334" s="756" t="s">
        <v>226</v>
      </c>
      <c r="C334" s="289">
        <f>K0kommunestruktur2020!C334</f>
        <v>6634</v>
      </c>
      <c r="D334" s="289">
        <f>K0kommunestruktur2020!D334</f>
        <v>149063</v>
      </c>
      <c r="E334" s="289">
        <f>K0kommunestruktur2020!E334</f>
        <v>6693</v>
      </c>
      <c r="F334" s="289">
        <f>K0kommunestruktur2020!F334</f>
        <v>166088</v>
      </c>
      <c r="G334" s="289">
        <f>K0kommunestruktur2020!G334</f>
        <v>6741</v>
      </c>
      <c r="H334" s="289">
        <f>K0kommunestruktur2020!H334</f>
        <v>179331</v>
      </c>
      <c r="I334" s="289">
        <f>K0kommunestruktur2020!I334</f>
        <v>6781</v>
      </c>
      <c r="J334" s="289">
        <f>K0kommunestruktur2020!J334</f>
        <v>187236</v>
      </c>
      <c r="K334" s="289">
        <f>K0kommunestruktur2020!K334</f>
        <v>6798</v>
      </c>
      <c r="L334" s="289">
        <f>K0kommunestruktur2020!L334</f>
        <v>184693</v>
      </c>
      <c r="M334" s="289">
        <f>K0kommunestruktur2020!M334</f>
        <v>6805</v>
      </c>
      <c r="N334" s="289">
        <f>K0kommunestruktur2020!N334</f>
        <v>195569</v>
      </c>
      <c r="O334" s="289">
        <f>K0kommunestruktur2020!O334</f>
        <v>6640</v>
      </c>
      <c r="P334" s="289">
        <f>K0kommunestruktur2020!P334</f>
        <v>189438</v>
      </c>
      <c r="Q334" s="289">
        <f>VLOOKUP(A334,'K21'!$A$4:$CI$359,3)</f>
        <v>6609</v>
      </c>
      <c r="R334" s="289">
        <f>VLOOKUP(A334,'K21'!$A$4:$BV$359,26)</f>
        <v>207409.057</v>
      </c>
      <c r="S334" s="517"/>
      <c r="T334" s="517"/>
      <c r="U334" s="517"/>
      <c r="V334" s="517"/>
    </row>
    <row r="335" spans="1:22" ht="13">
      <c r="A335" s="755">
        <v>5419</v>
      </c>
      <c r="B335" s="756" t="s">
        <v>227</v>
      </c>
      <c r="C335" s="289">
        <f>K0kommunestruktur2020!C335</f>
        <v>3450</v>
      </c>
      <c r="D335" s="289">
        <f>K0kommunestruktur2020!D335</f>
        <v>68185</v>
      </c>
      <c r="E335" s="289">
        <f>K0kommunestruktur2020!E335</f>
        <v>3451</v>
      </c>
      <c r="F335" s="289">
        <f>K0kommunestruktur2020!F335</f>
        <v>73491</v>
      </c>
      <c r="G335" s="289">
        <f>K0kommunestruktur2020!G335</f>
        <v>3452</v>
      </c>
      <c r="H335" s="289">
        <f>K0kommunestruktur2020!H335</f>
        <v>81156</v>
      </c>
      <c r="I335" s="289">
        <f>K0kommunestruktur2020!I335</f>
        <v>3496</v>
      </c>
      <c r="J335" s="289">
        <f>K0kommunestruktur2020!J335</f>
        <v>83904</v>
      </c>
      <c r="K335" s="289">
        <f>K0kommunestruktur2020!K335</f>
        <v>3494</v>
      </c>
      <c r="L335" s="289">
        <f>K0kommunestruktur2020!L335</f>
        <v>86393</v>
      </c>
      <c r="M335" s="289">
        <f>K0kommunestruktur2020!M335</f>
        <v>3489</v>
      </c>
      <c r="N335" s="289">
        <f>K0kommunestruktur2020!N335</f>
        <v>90759</v>
      </c>
      <c r="O335" s="289">
        <f>K0kommunestruktur2020!O335</f>
        <v>3464</v>
      </c>
      <c r="P335" s="289">
        <f>K0kommunestruktur2020!P335</f>
        <v>88223</v>
      </c>
      <c r="Q335" s="289">
        <f>VLOOKUP(A335,'K21'!$A$4:$CI$359,3)</f>
        <v>3465</v>
      </c>
      <c r="R335" s="289">
        <f>VLOOKUP(A335,'K21'!$A$4:$BV$359,26)</f>
        <v>101330.74</v>
      </c>
      <c r="S335" s="517"/>
      <c r="T335" s="517"/>
      <c r="U335" s="517"/>
      <c r="V335" s="517"/>
    </row>
    <row r="336" spans="1:22" ht="13">
      <c r="A336" s="755">
        <v>5420</v>
      </c>
      <c r="B336" s="756" t="s">
        <v>228</v>
      </c>
      <c r="C336" s="289">
        <f>K0kommunestruktur2020!C336</f>
        <v>1171</v>
      </c>
      <c r="D336" s="289">
        <f>K0kommunestruktur2020!D336</f>
        <v>20896</v>
      </c>
      <c r="E336" s="289">
        <f>K0kommunestruktur2020!E336</f>
        <v>1154</v>
      </c>
      <c r="F336" s="289">
        <f>K0kommunestruktur2020!F336</f>
        <v>21773</v>
      </c>
      <c r="G336" s="289">
        <f>K0kommunestruktur2020!G336</f>
        <v>1158</v>
      </c>
      <c r="H336" s="289">
        <f>K0kommunestruktur2020!H336</f>
        <v>22702</v>
      </c>
      <c r="I336" s="289">
        <f>K0kommunestruktur2020!I336</f>
        <v>1138</v>
      </c>
      <c r="J336" s="289">
        <f>K0kommunestruktur2020!J336</f>
        <v>23986</v>
      </c>
      <c r="K336" s="289">
        <f>K0kommunestruktur2020!K336</f>
        <v>1165</v>
      </c>
      <c r="L336" s="289">
        <f>K0kommunestruktur2020!L336</f>
        <v>25457</v>
      </c>
      <c r="M336" s="289">
        <f>K0kommunestruktur2020!M336</f>
        <v>1129</v>
      </c>
      <c r="N336" s="289">
        <f>K0kommunestruktur2020!N336</f>
        <v>25128</v>
      </c>
      <c r="O336" s="289">
        <f>K0kommunestruktur2020!O336</f>
        <v>1083</v>
      </c>
      <c r="P336" s="289">
        <f>K0kommunestruktur2020!P336</f>
        <v>24841</v>
      </c>
      <c r="Q336" s="289">
        <f>VLOOKUP(A336,'K21'!$A$4:$CI$359,3)</f>
        <v>1063</v>
      </c>
      <c r="R336" s="289">
        <f>VLOOKUP(A336,'K21'!$A$4:$BV$359,26)</f>
        <v>28130.851999999999</v>
      </c>
      <c r="S336" s="517"/>
      <c r="T336" s="517"/>
      <c r="U336" s="517"/>
      <c r="V336" s="517"/>
    </row>
    <row r="337" spans="1:22" ht="13">
      <c r="A337" s="755">
        <v>5421</v>
      </c>
      <c r="B337" s="756" t="s">
        <v>1650</v>
      </c>
      <c r="C337" s="289">
        <f>K0kommunestruktur2020!C337</f>
        <v>14863</v>
      </c>
      <c r="D337" s="289">
        <f>K0kommunestruktur2020!D337</f>
        <v>285329</v>
      </c>
      <c r="E337" s="289">
        <f>K0kommunestruktur2020!E337</f>
        <v>14868</v>
      </c>
      <c r="F337" s="289">
        <f>K0kommunestruktur2020!F337</f>
        <v>308178</v>
      </c>
      <c r="G337" s="289">
        <f>K0kommunestruktur2020!G337</f>
        <v>14989</v>
      </c>
      <c r="H337" s="289">
        <f>K0kommunestruktur2020!H337</f>
        <v>344771</v>
      </c>
      <c r="I337" s="289">
        <f>K0kommunestruktur2020!I337</f>
        <v>15072</v>
      </c>
      <c r="J337" s="289">
        <f>K0kommunestruktur2020!J337</f>
        <v>365421</v>
      </c>
      <c r="K337" s="289">
        <f>K0kommunestruktur2020!K337</f>
        <v>15025</v>
      </c>
      <c r="L337" s="289">
        <f>K0kommunestruktur2020!L337</f>
        <v>372209</v>
      </c>
      <c r="M337" s="289">
        <f>K0kommunestruktur2020!M337</f>
        <v>15011</v>
      </c>
      <c r="N337" s="289">
        <f>K0kommunestruktur2020!N337</f>
        <v>392512</v>
      </c>
      <c r="O337" s="289">
        <f>K0kommunestruktur2020!O337</f>
        <v>14851</v>
      </c>
      <c r="P337" s="289">
        <f>K0kommunestruktur2020!P337</f>
        <v>376058</v>
      </c>
      <c r="Q337" s="289">
        <f>VLOOKUP(A337,'K21'!$A$4:$CI$359,3)</f>
        <v>14725</v>
      </c>
      <c r="R337" s="289">
        <f>VLOOKUP(A337,'K21'!$A$4:$BV$359,26)</f>
        <v>449655.02600000001</v>
      </c>
      <c r="S337" s="517"/>
      <c r="T337" s="517"/>
      <c r="U337" s="517"/>
      <c r="V337" s="517"/>
    </row>
    <row r="338" spans="1:22" ht="13">
      <c r="A338" s="755">
        <v>5422</v>
      </c>
      <c r="B338" s="756" t="s">
        <v>233</v>
      </c>
      <c r="C338" s="289">
        <f>K0kommunestruktur2020!C338</f>
        <v>5593</v>
      </c>
      <c r="D338" s="289">
        <f>K0kommunestruktur2020!D338</f>
        <v>99418</v>
      </c>
      <c r="E338" s="289">
        <f>K0kommunestruktur2020!E338</f>
        <v>5720</v>
      </c>
      <c r="F338" s="289">
        <f>K0kommunestruktur2020!F338</f>
        <v>108717</v>
      </c>
      <c r="G338" s="289">
        <f>K0kommunestruktur2020!G338</f>
        <v>5701</v>
      </c>
      <c r="H338" s="289">
        <f>K0kommunestruktur2020!H338</f>
        <v>117146</v>
      </c>
      <c r="I338" s="289">
        <f>K0kommunestruktur2020!I338</f>
        <v>5685</v>
      </c>
      <c r="J338" s="289">
        <f>K0kommunestruktur2020!J338</f>
        <v>120376</v>
      </c>
      <c r="K338" s="289">
        <f>K0kommunestruktur2020!K338</f>
        <v>5653</v>
      </c>
      <c r="L338" s="289">
        <f>K0kommunestruktur2020!L338</f>
        <v>123856</v>
      </c>
      <c r="M338" s="289">
        <f>K0kommunestruktur2020!M338</f>
        <v>5625</v>
      </c>
      <c r="N338" s="289">
        <f>K0kommunestruktur2020!N338</f>
        <v>127282</v>
      </c>
      <c r="O338" s="289">
        <f>K0kommunestruktur2020!O338</f>
        <v>5559</v>
      </c>
      <c r="P338" s="289">
        <f>K0kommunestruktur2020!P338</f>
        <v>127465</v>
      </c>
      <c r="Q338" s="289">
        <f>VLOOKUP(A338,'K21'!$A$4:$CI$359,3)</f>
        <v>5559</v>
      </c>
      <c r="R338" s="289">
        <f>VLOOKUP(A338,'K21'!$A$4:$BV$359,26)</f>
        <v>148285.033</v>
      </c>
      <c r="S338" s="517"/>
      <c r="T338" s="517"/>
      <c r="U338" s="517"/>
      <c r="V338" s="517"/>
    </row>
    <row r="339" spans="1:22" ht="13">
      <c r="A339" s="755">
        <v>5423</v>
      </c>
      <c r="B339" s="756" t="s">
        <v>234</v>
      </c>
      <c r="C339" s="289">
        <f>K0kommunestruktur2020!C339</f>
        <v>2334</v>
      </c>
      <c r="D339" s="289">
        <f>K0kommunestruktur2020!D339</f>
        <v>41906</v>
      </c>
      <c r="E339" s="289">
        <f>K0kommunestruktur2020!E339</f>
        <v>2289</v>
      </c>
      <c r="F339" s="289">
        <f>K0kommunestruktur2020!F339</f>
        <v>46139</v>
      </c>
      <c r="G339" s="289">
        <f>K0kommunestruktur2020!G339</f>
        <v>2282</v>
      </c>
      <c r="H339" s="289">
        <f>K0kommunestruktur2020!H339</f>
        <v>49979</v>
      </c>
      <c r="I339" s="289">
        <f>K0kommunestruktur2020!I339</f>
        <v>2273</v>
      </c>
      <c r="J339" s="289">
        <f>K0kommunestruktur2020!J339</f>
        <v>53340</v>
      </c>
      <c r="K339" s="289">
        <f>K0kommunestruktur2020!K339</f>
        <v>2263</v>
      </c>
      <c r="L339" s="289">
        <f>K0kommunestruktur2020!L339</f>
        <v>57505</v>
      </c>
      <c r="M339" s="289">
        <f>K0kommunestruktur2020!M339</f>
        <v>2252</v>
      </c>
      <c r="N339" s="289">
        <f>K0kommunestruktur2020!N339</f>
        <v>59153</v>
      </c>
      <c r="O339" s="289">
        <f>K0kommunestruktur2020!O339</f>
        <v>2200</v>
      </c>
      <c r="P339" s="289">
        <f>K0kommunestruktur2020!P339</f>
        <v>56633</v>
      </c>
      <c r="Q339" s="289">
        <f>VLOOKUP(A339,'K21'!$A$4:$CI$359,3)</f>
        <v>2172</v>
      </c>
      <c r="R339" s="289">
        <f>VLOOKUP(A339,'K21'!$A$4:$BV$359,26)</f>
        <v>63205.745999999999</v>
      </c>
      <c r="S339" s="517"/>
      <c r="T339" s="517"/>
      <c r="U339" s="517"/>
      <c r="V339" s="517"/>
    </row>
    <row r="340" spans="1:22" ht="13">
      <c r="A340" s="755">
        <v>5424</v>
      </c>
      <c r="B340" s="756" t="s">
        <v>235</v>
      </c>
      <c r="C340" s="289">
        <f>K0kommunestruktur2020!C340</f>
        <v>2992</v>
      </c>
      <c r="D340" s="289">
        <f>K0kommunestruktur2020!D340</f>
        <v>53448</v>
      </c>
      <c r="E340" s="289">
        <f>K0kommunestruktur2020!E340</f>
        <v>2922</v>
      </c>
      <c r="F340" s="289">
        <f>K0kommunestruktur2020!F340</f>
        <v>56189</v>
      </c>
      <c r="G340" s="289">
        <f>K0kommunestruktur2020!G340</f>
        <v>2861</v>
      </c>
      <c r="H340" s="289">
        <f>K0kommunestruktur2020!H340</f>
        <v>61736</v>
      </c>
      <c r="I340" s="289">
        <f>K0kommunestruktur2020!I340</f>
        <v>2876</v>
      </c>
      <c r="J340" s="289">
        <f>K0kommunestruktur2020!J340</f>
        <v>63968</v>
      </c>
      <c r="K340" s="289">
        <f>K0kommunestruktur2020!K340</f>
        <v>2877</v>
      </c>
      <c r="L340" s="289">
        <f>K0kommunestruktur2020!L340</f>
        <v>64289</v>
      </c>
      <c r="M340" s="289">
        <f>K0kommunestruktur2020!M340</f>
        <v>2847</v>
      </c>
      <c r="N340" s="289">
        <f>K0kommunestruktur2020!N340</f>
        <v>65153</v>
      </c>
      <c r="O340" s="289">
        <f>K0kommunestruktur2020!O340</f>
        <v>2794</v>
      </c>
      <c r="P340" s="289">
        <f>K0kommunestruktur2020!P340</f>
        <v>63654</v>
      </c>
      <c r="Q340" s="289">
        <f>VLOOKUP(A340,'K21'!$A$4:$CI$359,3)</f>
        <v>2773</v>
      </c>
      <c r="R340" s="289">
        <f>VLOOKUP(A340,'K21'!$A$4:$BV$359,26)</f>
        <v>73805.577999999994</v>
      </c>
      <c r="S340" s="517"/>
      <c r="T340" s="517"/>
      <c r="U340" s="517"/>
      <c r="V340" s="517"/>
    </row>
    <row r="341" spans="1:22" ht="13">
      <c r="A341" s="755">
        <v>5425</v>
      </c>
      <c r="B341" s="756" t="s">
        <v>236</v>
      </c>
      <c r="C341" s="289">
        <f>K0kommunestruktur2020!C341</f>
        <v>1941</v>
      </c>
      <c r="D341" s="289">
        <f>K0kommunestruktur2020!D341</f>
        <v>38933</v>
      </c>
      <c r="E341" s="289">
        <f>K0kommunestruktur2020!E341</f>
        <v>1898</v>
      </c>
      <c r="F341" s="289">
        <f>K0kommunestruktur2020!F341</f>
        <v>45189</v>
      </c>
      <c r="G341" s="289">
        <f>K0kommunestruktur2020!G341</f>
        <v>1865</v>
      </c>
      <c r="H341" s="289">
        <f>K0kommunestruktur2020!H341</f>
        <v>43833</v>
      </c>
      <c r="I341" s="289">
        <f>K0kommunestruktur2020!I341</f>
        <v>1890</v>
      </c>
      <c r="J341" s="289">
        <f>K0kommunestruktur2020!J341</f>
        <v>47106</v>
      </c>
      <c r="K341" s="289">
        <f>K0kommunestruktur2020!K341</f>
        <v>1856</v>
      </c>
      <c r="L341" s="289">
        <f>K0kommunestruktur2020!L341</f>
        <v>51883</v>
      </c>
      <c r="M341" s="289">
        <f>K0kommunestruktur2020!M341</f>
        <v>1841</v>
      </c>
      <c r="N341" s="289">
        <f>K0kommunestruktur2020!N341</f>
        <v>50896</v>
      </c>
      <c r="O341" s="289">
        <f>K0kommunestruktur2020!O341</f>
        <v>1829</v>
      </c>
      <c r="P341" s="289">
        <f>K0kommunestruktur2020!P341</f>
        <v>53772</v>
      </c>
      <c r="Q341" s="289">
        <f>VLOOKUP(A341,'K21'!$A$4:$CI$359,3)</f>
        <v>1831</v>
      </c>
      <c r="R341" s="289">
        <f>VLOOKUP(A341,'K21'!$A$4:$BV$359,26)</f>
        <v>53784.925999999999</v>
      </c>
      <c r="S341" s="517"/>
      <c r="T341" s="517"/>
      <c r="U341" s="517"/>
      <c r="V341" s="517"/>
    </row>
    <row r="342" spans="1:22" ht="13">
      <c r="A342" s="755">
        <v>5426</v>
      </c>
      <c r="B342" s="756" t="s">
        <v>237</v>
      </c>
      <c r="C342" s="289">
        <f>K0kommunestruktur2020!C342</f>
        <v>2221</v>
      </c>
      <c r="D342" s="289">
        <f>K0kommunestruktur2020!D342</f>
        <v>39815</v>
      </c>
      <c r="E342" s="289">
        <f>K0kommunestruktur2020!E342</f>
        <v>2182</v>
      </c>
      <c r="F342" s="289">
        <f>K0kommunestruktur2020!F342</f>
        <v>43608</v>
      </c>
      <c r="G342" s="289">
        <f>K0kommunestruktur2020!G342</f>
        <v>2150</v>
      </c>
      <c r="H342" s="289">
        <f>K0kommunestruktur2020!H342</f>
        <v>44224</v>
      </c>
      <c r="I342" s="289">
        <f>K0kommunestruktur2020!I342</f>
        <v>2132</v>
      </c>
      <c r="J342" s="289">
        <f>K0kommunestruktur2020!J342</f>
        <v>48957</v>
      </c>
      <c r="K342" s="289">
        <f>K0kommunestruktur2020!K342</f>
        <v>2132</v>
      </c>
      <c r="L342" s="289">
        <f>K0kommunestruktur2020!L342</f>
        <v>51110</v>
      </c>
      <c r="M342" s="289">
        <f>K0kommunestruktur2020!M342</f>
        <v>2097</v>
      </c>
      <c r="N342" s="289">
        <f>K0kommunestruktur2020!N342</f>
        <v>51415</v>
      </c>
      <c r="O342" s="289">
        <f>K0kommunestruktur2020!O342</f>
        <v>2071</v>
      </c>
      <c r="P342" s="289">
        <f>K0kommunestruktur2020!P342</f>
        <v>46178</v>
      </c>
      <c r="Q342" s="289">
        <f>VLOOKUP(A342,'K21'!$A$4:$CI$359,3)</f>
        <v>2072</v>
      </c>
      <c r="R342" s="289">
        <f>VLOOKUP(A342,'K21'!$A$4:$BV$359,26)</f>
        <v>50359.462</v>
      </c>
      <c r="S342" s="517"/>
      <c r="T342" s="517"/>
      <c r="U342" s="517"/>
      <c r="V342" s="517"/>
    </row>
    <row r="343" spans="1:22" ht="13">
      <c r="A343" s="755">
        <v>5427</v>
      </c>
      <c r="B343" s="756" t="s">
        <v>238</v>
      </c>
      <c r="C343" s="289">
        <f>K0kommunestruktur2020!C343</f>
        <v>2881</v>
      </c>
      <c r="D343" s="289">
        <f>K0kommunestruktur2020!D343</f>
        <v>49091</v>
      </c>
      <c r="E343" s="289">
        <f>K0kommunestruktur2020!E343</f>
        <v>2895</v>
      </c>
      <c r="F343" s="289">
        <f>K0kommunestruktur2020!F343</f>
        <v>53859</v>
      </c>
      <c r="G343" s="289">
        <f>K0kommunestruktur2020!G343</f>
        <v>2920</v>
      </c>
      <c r="H343" s="289">
        <f>K0kommunestruktur2020!H343</f>
        <v>62594</v>
      </c>
      <c r="I343" s="289">
        <f>K0kommunestruktur2020!I343</f>
        <v>2912</v>
      </c>
      <c r="J343" s="289">
        <f>K0kommunestruktur2020!J343</f>
        <v>64296</v>
      </c>
      <c r="K343" s="289">
        <f>K0kommunestruktur2020!K343</f>
        <v>2925</v>
      </c>
      <c r="L343" s="289">
        <f>K0kommunestruktur2020!L343</f>
        <v>69371</v>
      </c>
      <c r="M343" s="289">
        <f>K0kommunestruktur2020!M343</f>
        <v>2917</v>
      </c>
      <c r="N343" s="289">
        <f>K0kommunestruktur2020!N343</f>
        <v>71052</v>
      </c>
      <c r="O343" s="289">
        <f>K0kommunestruktur2020!O343</f>
        <v>2927</v>
      </c>
      <c r="P343" s="289">
        <f>K0kommunestruktur2020!P343</f>
        <v>73085</v>
      </c>
      <c r="Q343" s="289">
        <f>VLOOKUP(A343,'K21'!$A$4:$CI$359,3)</f>
        <v>2893</v>
      </c>
      <c r="R343" s="289">
        <f>VLOOKUP(A343,'K21'!$A$4:$BV$359,26)</f>
        <v>80576.759999999995</v>
      </c>
      <c r="S343" s="517"/>
      <c r="T343" s="517"/>
      <c r="U343" s="517"/>
      <c r="V343" s="517"/>
    </row>
    <row r="344" spans="1:22" ht="13">
      <c r="A344" s="755">
        <v>5428</v>
      </c>
      <c r="B344" s="756" t="s">
        <v>239</v>
      </c>
      <c r="C344" s="289">
        <f>K0kommunestruktur2020!C344</f>
        <v>4854</v>
      </c>
      <c r="D344" s="289">
        <f>K0kommunestruktur2020!D344</f>
        <v>86034</v>
      </c>
      <c r="E344" s="289">
        <f>K0kommunestruktur2020!E344</f>
        <v>4882</v>
      </c>
      <c r="F344" s="289">
        <f>K0kommunestruktur2020!F344</f>
        <v>93075</v>
      </c>
      <c r="G344" s="289">
        <f>K0kommunestruktur2020!G344</f>
        <v>4895</v>
      </c>
      <c r="H344" s="289">
        <f>K0kommunestruktur2020!H344</f>
        <v>104420</v>
      </c>
      <c r="I344" s="289">
        <f>K0kommunestruktur2020!I344</f>
        <v>4919</v>
      </c>
      <c r="J344" s="289">
        <f>K0kommunestruktur2020!J344</f>
        <v>109786</v>
      </c>
      <c r="K344" s="289">
        <f>K0kommunestruktur2020!K344</f>
        <v>4944</v>
      </c>
      <c r="L344" s="289">
        <f>K0kommunestruktur2020!L344</f>
        <v>111919</v>
      </c>
      <c r="M344" s="289">
        <f>K0kommunestruktur2020!M344</f>
        <v>4909</v>
      </c>
      <c r="N344" s="289">
        <f>K0kommunestruktur2020!N344</f>
        <v>116546</v>
      </c>
      <c r="O344" s="289">
        <f>K0kommunestruktur2020!O344</f>
        <v>4861</v>
      </c>
      <c r="P344" s="289">
        <f>K0kommunestruktur2020!P344</f>
        <v>126293</v>
      </c>
      <c r="Q344" s="289">
        <f>VLOOKUP(A344,'K21'!$A$4:$CI$359,3)</f>
        <v>4812</v>
      </c>
      <c r="R344" s="289">
        <f>VLOOKUP(A344,'K21'!$A$4:$BV$359,26)</f>
        <v>138136.47899999999</v>
      </c>
      <c r="S344" s="517"/>
      <c r="T344" s="517"/>
      <c r="U344" s="517"/>
      <c r="V344" s="517"/>
    </row>
    <row r="345" spans="1:22" ht="13">
      <c r="A345" s="755">
        <v>5429</v>
      </c>
      <c r="B345" s="756" t="s">
        <v>240</v>
      </c>
      <c r="C345" s="289">
        <f>K0kommunestruktur2020!C345</f>
        <v>1234</v>
      </c>
      <c r="D345" s="289">
        <f>K0kommunestruktur2020!D345</f>
        <v>21009</v>
      </c>
      <c r="E345" s="289">
        <f>K0kommunestruktur2020!E345</f>
        <v>1226</v>
      </c>
      <c r="F345" s="289">
        <f>K0kommunestruktur2020!F345</f>
        <v>27192</v>
      </c>
      <c r="G345" s="289">
        <f>K0kommunestruktur2020!G345</f>
        <v>1231</v>
      </c>
      <c r="H345" s="289">
        <f>K0kommunestruktur2020!H345</f>
        <v>30668</v>
      </c>
      <c r="I345" s="289">
        <f>K0kommunestruktur2020!I345</f>
        <v>1233</v>
      </c>
      <c r="J345" s="289">
        <f>K0kommunestruktur2020!J345</f>
        <v>30275</v>
      </c>
      <c r="K345" s="289">
        <f>K0kommunestruktur2020!K345</f>
        <v>1224</v>
      </c>
      <c r="L345" s="289">
        <f>K0kommunestruktur2020!L345</f>
        <v>32637</v>
      </c>
      <c r="M345" s="289">
        <f>K0kommunestruktur2020!M345</f>
        <v>1202</v>
      </c>
      <c r="N345" s="289">
        <f>K0kommunestruktur2020!N345</f>
        <v>32765</v>
      </c>
      <c r="O345" s="289">
        <f>K0kommunestruktur2020!O345</f>
        <v>1191</v>
      </c>
      <c r="P345" s="289">
        <f>K0kommunestruktur2020!P345</f>
        <v>30284</v>
      </c>
      <c r="Q345" s="289">
        <f>VLOOKUP(A345,'K21'!$A$4:$CI$359,3)</f>
        <v>1166</v>
      </c>
      <c r="R345" s="289">
        <f>VLOOKUP(A345,'K21'!$A$4:$BV$359,26)</f>
        <v>33890.608</v>
      </c>
      <c r="S345" s="517"/>
      <c r="T345" s="517"/>
      <c r="U345" s="517"/>
      <c r="V345" s="517"/>
    </row>
    <row r="346" spans="1:22" ht="13">
      <c r="A346" s="755">
        <v>5430</v>
      </c>
      <c r="B346" s="756" t="s">
        <v>244</v>
      </c>
      <c r="C346" s="289">
        <f>K0kommunestruktur2020!C346</f>
        <v>2931</v>
      </c>
      <c r="D346" s="289">
        <f>K0kommunestruktur2020!D346</f>
        <v>43023</v>
      </c>
      <c r="E346" s="289">
        <f>K0kommunestruktur2020!E346</f>
        <v>2914</v>
      </c>
      <c r="F346" s="289">
        <f>K0kommunestruktur2020!F346</f>
        <v>46407</v>
      </c>
      <c r="G346" s="289">
        <f>K0kommunestruktur2020!G346</f>
        <v>2956</v>
      </c>
      <c r="H346" s="289">
        <f>K0kommunestruktur2020!H346</f>
        <v>49253</v>
      </c>
      <c r="I346" s="289">
        <f>K0kommunestruktur2020!I346</f>
        <v>2938</v>
      </c>
      <c r="J346" s="289">
        <f>K0kommunestruktur2020!J346</f>
        <v>51161</v>
      </c>
      <c r="K346" s="289">
        <f>K0kommunestruktur2020!K346</f>
        <v>2946</v>
      </c>
      <c r="L346" s="289">
        <f>K0kommunestruktur2020!L346</f>
        <v>56500</v>
      </c>
      <c r="M346" s="289">
        <f>K0kommunestruktur2020!M346</f>
        <v>2924</v>
      </c>
      <c r="N346" s="289">
        <f>K0kommunestruktur2020!N346</f>
        <v>57512</v>
      </c>
      <c r="O346" s="289">
        <f>K0kommunestruktur2020!O346</f>
        <v>2910</v>
      </c>
      <c r="P346" s="289">
        <f>K0kommunestruktur2020!P346</f>
        <v>55560</v>
      </c>
      <c r="Q346" s="289">
        <f>VLOOKUP(A346,'K21'!$A$4:$CI$359,3)</f>
        <v>2920</v>
      </c>
      <c r="R346" s="289">
        <f>VLOOKUP(A346,'K21'!$A$4:$BV$359,26)</f>
        <v>64492.858999999997</v>
      </c>
      <c r="S346" s="517"/>
      <c r="T346" s="517"/>
      <c r="U346" s="517"/>
      <c r="V346" s="517"/>
    </row>
    <row r="347" spans="1:22" ht="13">
      <c r="A347" s="755">
        <v>5432</v>
      </c>
      <c r="B347" s="756" t="s">
        <v>246</v>
      </c>
      <c r="C347" s="289">
        <f>K0kommunestruktur2020!C347</f>
        <v>1027</v>
      </c>
      <c r="D347" s="289">
        <f>K0kommunestruktur2020!D347</f>
        <v>18345</v>
      </c>
      <c r="E347" s="289">
        <f>K0kommunestruktur2020!E347</f>
        <v>989</v>
      </c>
      <c r="F347" s="289">
        <f>K0kommunestruktur2020!F347</f>
        <v>19096</v>
      </c>
      <c r="G347" s="289">
        <f>K0kommunestruktur2020!G347</f>
        <v>951</v>
      </c>
      <c r="H347" s="289">
        <f>K0kommunestruktur2020!H347</f>
        <v>20080</v>
      </c>
      <c r="I347" s="289">
        <f>K0kommunestruktur2020!I347</f>
        <v>968</v>
      </c>
      <c r="J347" s="289">
        <f>K0kommunestruktur2020!J347</f>
        <v>22235</v>
      </c>
      <c r="K347" s="289">
        <f>K0kommunestruktur2020!K347</f>
        <v>941</v>
      </c>
      <c r="L347" s="289">
        <f>K0kommunestruktur2020!L347</f>
        <v>21026</v>
      </c>
      <c r="M347" s="289">
        <f>K0kommunestruktur2020!M347</f>
        <v>917</v>
      </c>
      <c r="N347" s="289">
        <f>K0kommunestruktur2020!N347</f>
        <v>20523</v>
      </c>
      <c r="O347" s="289">
        <f>K0kommunestruktur2020!O347</f>
        <v>888</v>
      </c>
      <c r="P347" s="289">
        <f>K0kommunestruktur2020!P347</f>
        <v>21128</v>
      </c>
      <c r="Q347" s="289">
        <f>VLOOKUP(A347,'K21'!$A$4:$CI$359,3)</f>
        <v>860</v>
      </c>
      <c r="R347" s="289">
        <f>VLOOKUP(A347,'K21'!$A$4:$BV$359,26)</f>
        <v>24362.409</v>
      </c>
      <c r="S347" s="517"/>
      <c r="T347" s="517"/>
      <c r="U347" s="517"/>
      <c r="V347" s="517"/>
    </row>
    <row r="348" spans="1:22" ht="13">
      <c r="A348" s="755">
        <v>5433</v>
      </c>
      <c r="B348" s="756" t="s">
        <v>247</v>
      </c>
      <c r="C348" s="289">
        <f>K0kommunestruktur2020!C348</f>
        <v>1037</v>
      </c>
      <c r="D348" s="289">
        <f>K0kommunestruktur2020!D348</f>
        <v>16494</v>
      </c>
      <c r="E348" s="289">
        <f>K0kommunestruktur2020!E348</f>
        <v>1041</v>
      </c>
      <c r="F348" s="289">
        <f>K0kommunestruktur2020!F348</f>
        <v>19180</v>
      </c>
      <c r="G348" s="289">
        <f>K0kommunestruktur2020!G348</f>
        <v>1054</v>
      </c>
      <c r="H348" s="289">
        <f>K0kommunestruktur2020!H348</f>
        <v>20250</v>
      </c>
      <c r="I348" s="289">
        <f>K0kommunestruktur2020!I348</f>
        <v>1037</v>
      </c>
      <c r="J348" s="289">
        <f>K0kommunestruktur2020!J348</f>
        <v>21765</v>
      </c>
      <c r="K348" s="289">
        <f>K0kommunestruktur2020!K348</f>
        <v>1022</v>
      </c>
      <c r="L348" s="289">
        <f>K0kommunestruktur2020!L348</f>
        <v>22383</v>
      </c>
      <c r="M348" s="289">
        <f>K0kommunestruktur2020!M348</f>
        <v>1045</v>
      </c>
      <c r="N348" s="289">
        <f>K0kommunestruktur2020!N348</f>
        <v>23442</v>
      </c>
      <c r="O348" s="289">
        <f>K0kommunestruktur2020!O348</f>
        <v>1005</v>
      </c>
      <c r="P348" s="289">
        <f>K0kommunestruktur2020!P348</f>
        <v>22343</v>
      </c>
      <c r="Q348" s="289">
        <f>VLOOKUP(A348,'K21'!$A$4:$CI$359,3)</f>
        <v>983</v>
      </c>
      <c r="R348" s="289">
        <f>VLOOKUP(A348,'K21'!$A$4:$BV$359,26)</f>
        <v>25210.484</v>
      </c>
      <c r="S348" s="517"/>
      <c r="T348" s="517"/>
      <c r="U348" s="517"/>
      <c r="V348" s="517"/>
    </row>
    <row r="349" spans="1:22" ht="13">
      <c r="A349" s="755">
        <v>5434</v>
      </c>
      <c r="B349" s="756" t="s">
        <v>249</v>
      </c>
      <c r="C349" s="289">
        <f>K0kommunestruktur2020!C349</f>
        <v>1241</v>
      </c>
      <c r="D349" s="289">
        <f>K0kommunestruktur2020!D349</f>
        <v>26699</v>
      </c>
      <c r="E349" s="289">
        <f>K0kommunestruktur2020!E349</f>
        <v>1241</v>
      </c>
      <c r="F349" s="289">
        <f>K0kommunestruktur2020!F349</f>
        <v>27733</v>
      </c>
      <c r="G349" s="289">
        <f>K0kommunestruktur2020!G349</f>
        <v>1215</v>
      </c>
      <c r="H349" s="289">
        <f>K0kommunestruktur2020!H349</f>
        <v>28417</v>
      </c>
      <c r="I349" s="289">
        <f>K0kommunestruktur2020!I349</f>
        <v>1204</v>
      </c>
      <c r="J349" s="289">
        <f>K0kommunestruktur2020!J349</f>
        <v>31575</v>
      </c>
      <c r="K349" s="289">
        <f>K0kommunestruktur2020!K349</f>
        <v>1231</v>
      </c>
      <c r="L349" s="289">
        <f>K0kommunestruktur2020!L349</f>
        <v>34428</v>
      </c>
      <c r="M349" s="289">
        <f>K0kommunestruktur2020!M349</f>
        <v>1235</v>
      </c>
      <c r="N349" s="289">
        <f>K0kommunestruktur2020!N349</f>
        <v>33282</v>
      </c>
      <c r="O349" s="289">
        <f>K0kommunestruktur2020!O349</f>
        <v>1225</v>
      </c>
      <c r="P349" s="289">
        <f>K0kommunestruktur2020!P349</f>
        <v>36764</v>
      </c>
      <c r="Q349" s="289">
        <f>VLOOKUP(A349,'K21'!$A$4:$CI$359,3)</f>
        <v>1197</v>
      </c>
      <c r="R349" s="289">
        <f>VLOOKUP(A349,'K21'!$A$4:$BV$359,26)</f>
        <v>36886.972000000002</v>
      </c>
      <c r="S349" s="517"/>
      <c r="T349" s="517"/>
      <c r="U349" s="517"/>
      <c r="V349" s="517"/>
    </row>
    <row r="350" spans="1:22" ht="13">
      <c r="A350" s="755">
        <v>5435</v>
      </c>
      <c r="B350" s="756" t="s">
        <v>250</v>
      </c>
      <c r="C350" s="289">
        <f>K0kommunestruktur2020!C350</f>
        <v>3213</v>
      </c>
      <c r="D350" s="289">
        <f>K0kommunestruktur2020!D350</f>
        <v>65401</v>
      </c>
      <c r="E350" s="289">
        <f>K0kommunestruktur2020!E350</f>
        <v>3278</v>
      </c>
      <c r="F350" s="289">
        <f>K0kommunestruktur2020!F350</f>
        <v>72134</v>
      </c>
      <c r="G350" s="289">
        <f>K0kommunestruktur2020!G350</f>
        <v>3276</v>
      </c>
      <c r="H350" s="289">
        <f>K0kommunestruktur2020!H350</f>
        <v>77401</v>
      </c>
      <c r="I350" s="289">
        <f>K0kommunestruktur2020!I350</f>
        <v>3291</v>
      </c>
      <c r="J350" s="289">
        <f>K0kommunestruktur2020!J350</f>
        <v>83829</v>
      </c>
      <c r="K350" s="289">
        <f>K0kommunestruktur2020!K350</f>
        <v>3239</v>
      </c>
      <c r="L350" s="289">
        <f>K0kommunestruktur2020!L350</f>
        <v>87685</v>
      </c>
      <c r="M350" s="289">
        <f>K0kommunestruktur2020!M350</f>
        <v>3218</v>
      </c>
      <c r="N350" s="289">
        <f>K0kommunestruktur2020!N350</f>
        <v>88642</v>
      </c>
      <c r="O350" s="289">
        <f>K0kommunestruktur2020!O350</f>
        <v>3162</v>
      </c>
      <c r="P350" s="289">
        <f>K0kommunestruktur2020!P350</f>
        <v>84073</v>
      </c>
      <c r="Q350" s="289">
        <f>VLOOKUP(A350,'K21'!$A$4:$CI$359,3)</f>
        <v>3075</v>
      </c>
      <c r="R350" s="289">
        <f>VLOOKUP(A350,'K21'!$A$4:$BV$359,26)</f>
        <v>93426.260999999999</v>
      </c>
      <c r="S350" s="517"/>
      <c r="T350" s="517"/>
      <c r="U350" s="517"/>
      <c r="V350" s="517"/>
    </row>
    <row r="351" spans="1:22" ht="13">
      <c r="A351" s="755">
        <v>5436</v>
      </c>
      <c r="B351" s="756" t="s">
        <v>251</v>
      </c>
      <c r="C351" s="289">
        <f>K0kommunestruktur2020!C351</f>
        <v>3963</v>
      </c>
      <c r="D351" s="289">
        <f>K0kommunestruktur2020!D351</f>
        <v>76473</v>
      </c>
      <c r="E351" s="289">
        <f>K0kommunestruktur2020!E351</f>
        <v>3925</v>
      </c>
      <c r="F351" s="289">
        <f>K0kommunestruktur2020!F351</f>
        <v>83751</v>
      </c>
      <c r="G351" s="289">
        <f>K0kommunestruktur2020!G351</f>
        <v>3978</v>
      </c>
      <c r="H351" s="289">
        <f>K0kommunestruktur2020!H351</f>
        <v>90906</v>
      </c>
      <c r="I351" s="289">
        <f>K0kommunestruktur2020!I351</f>
        <v>3971</v>
      </c>
      <c r="J351" s="289">
        <f>K0kommunestruktur2020!J351</f>
        <v>92125</v>
      </c>
      <c r="K351" s="289">
        <f>K0kommunestruktur2020!K351</f>
        <v>3964</v>
      </c>
      <c r="L351" s="289">
        <f>K0kommunestruktur2020!L351</f>
        <v>95910</v>
      </c>
      <c r="M351" s="289">
        <f>K0kommunestruktur2020!M351</f>
        <v>3944</v>
      </c>
      <c r="N351" s="289">
        <f>K0kommunestruktur2020!N351</f>
        <v>100811</v>
      </c>
      <c r="O351" s="289">
        <f>K0kommunestruktur2020!O351</f>
        <v>3998</v>
      </c>
      <c r="P351" s="289">
        <f>K0kommunestruktur2020!P351</f>
        <v>99679</v>
      </c>
      <c r="Q351" s="289">
        <f>VLOOKUP(A351,'K21'!$A$4:$CI$359,3)</f>
        <v>3921</v>
      </c>
      <c r="R351" s="289">
        <f>VLOOKUP(A351,'K21'!$A$4:$BV$359,26)</f>
        <v>110655.83199999999</v>
      </c>
      <c r="S351" s="517"/>
      <c r="T351" s="517"/>
      <c r="U351" s="517"/>
      <c r="V351" s="517"/>
    </row>
    <row r="352" spans="1:22" ht="13">
      <c r="A352" s="755">
        <v>5437</v>
      </c>
      <c r="B352" s="756" t="s">
        <v>252</v>
      </c>
      <c r="C352" s="289">
        <f>K0kommunestruktur2020!C352</f>
        <v>2698</v>
      </c>
      <c r="D352" s="289">
        <f>K0kommunestruktur2020!D352</f>
        <v>45269</v>
      </c>
      <c r="E352" s="289">
        <f>K0kommunestruktur2020!E352</f>
        <v>2708</v>
      </c>
      <c r="F352" s="289">
        <f>K0kommunestruktur2020!F352</f>
        <v>49630</v>
      </c>
      <c r="G352" s="289">
        <f>K0kommunestruktur2020!G352</f>
        <v>2668</v>
      </c>
      <c r="H352" s="289">
        <f>K0kommunestruktur2020!H352</f>
        <v>54018</v>
      </c>
      <c r="I352" s="289">
        <f>K0kommunestruktur2020!I352</f>
        <v>2696</v>
      </c>
      <c r="J352" s="289">
        <f>K0kommunestruktur2020!J352</f>
        <v>55305</v>
      </c>
      <c r="K352" s="289">
        <f>K0kommunestruktur2020!K352</f>
        <v>2701</v>
      </c>
      <c r="L352" s="289">
        <f>K0kommunestruktur2020!L352</f>
        <v>56961</v>
      </c>
      <c r="M352" s="289">
        <f>K0kommunestruktur2020!M352</f>
        <v>2673</v>
      </c>
      <c r="N352" s="289">
        <f>K0kommunestruktur2020!N352</f>
        <v>59811</v>
      </c>
      <c r="O352" s="289">
        <f>K0kommunestruktur2020!O352</f>
        <v>2628</v>
      </c>
      <c r="P352" s="289">
        <f>K0kommunestruktur2020!P352</f>
        <v>60130</v>
      </c>
      <c r="Q352" s="289">
        <f>VLOOKUP(A352,'K21'!$A$4:$CI$359,3)</f>
        <v>2641</v>
      </c>
      <c r="R352" s="289">
        <f>VLOOKUP(A352,'K21'!$A$4:$BV$359,26)</f>
        <v>71752.275999999998</v>
      </c>
      <c r="S352" s="517"/>
      <c r="T352" s="517"/>
      <c r="U352" s="517"/>
      <c r="V352" s="517"/>
    </row>
    <row r="353" spans="1:22" ht="13">
      <c r="A353" s="755">
        <v>5438</v>
      </c>
      <c r="B353" s="756" t="s">
        <v>253</v>
      </c>
      <c r="C353" s="289">
        <f>K0kommunestruktur2020!C353</f>
        <v>1341</v>
      </c>
      <c r="D353" s="289">
        <f>K0kommunestruktur2020!D353</f>
        <v>24435</v>
      </c>
      <c r="E353" s="289">
        <f>K0kommunestruktur2020!E353</f>
        <v>1343</v>
      </c>
      <c r="F353" s="289">
        <f>K0kommunestruktur2020!F353</f>
        <v>26851</v>
      </c>
      <c r="G353" s="289">
        <f>K0kommunestruktur2020!G353</f>
        <v>1318</v>
      </c>
      <c r="H353" s="289">
        <f>K0kommunestruktur2020!H353</f>
        <v>29174</v>
      </c>
      <c r="I353" s="289">
        <f>K0kommunestruktur2020!I353</f>
        <v>1330</v>
      </c>
      <c r="J353" s="289">
        <f>K0kommunestruktur2020!J353</f>
        <v>31546</v>
      </c>
      <c r="K353" s="289">
        <f>K0kommunestruktur2020!K353</f>
        <v>1349</v>
      </c>
      <c r="L353" s="289">
        <f>K0kommunestruktur2020!L353</f>
        <v>33468</v>
      </c>
      <c r="M353" s="289">
        <f>K0kommunestruktur2020!M353</f>
        <v>1328</v>
      </c>
      <c r="N353" s="289">
        <f>K0kommunestruktur2020!N353</f>
        <v>35754</v>
      </c>
      <c r="O353" s="289">
        <f>K0kommunestruktur2020!O353</f>
        <v>1290</v>
      </c>
      <c r="P353" s="289">
        <f>K0kommunestruktur2020!P353</f>
        <v>37982</v>
      </c>
      <c r="Q353" s="289">
        <f>VLOOKUP(A353,'K21'!$A$4:$CI$359,3)</f>
        <v>1271</v>
      </c>
      <c r="R353" s="289">
        <f>VLOOKUP(A353,'K21'!$A$4:$BV$359,26)</f>
        <v>39880.777000000002</v>
      </c>
      <c r="S353" s="517"/>
      <c r="T353" s="517"/>
      <c r="U353" s="517"/>
      <c r="V353" s="517"/>
    </row>
    <row r="354" spans="1:22" ht="13">
      <c r="A354" s="755">
        <v>5439</v>
      </c>
      <c r="B354" s="756" t="s">
        <v>254</v>
      </c>
      <c r="C354" s="289">
        <f>K0kommunestruktur2020!C354</f>
        <v>1098</v>
      </c>
      <c r="D354" s="289">
        <f>K0kommunestruktur2020!D354</f>
        <v>19365</v>
      </c>
      <c r="E354" s="289">
        <f>K0kommunestruktur2020!E354</f>
        <v>1116</v>
      </c>
      <c r="F354" s="289">
        <f>K0kommunestruktur2020!F354</f>
        <v>21577</v>
      </c>
      <c r="G354" s="289">
        <f>K0kommunestruktur2020!G354</f>
        <v>1139</v>
      </c>
      <c r="H354" s="289">
        <f>K0kommunestruktur2020!H354</f>
        <v>24178</v>
      </c>
      <c r="I354" s="289">
        <f>K0kommunestruktur2020!I354</f>
        <v>1137</v>
      </c>
      <c r="J354" s="289">
        <f>K0kommunestruktur2020!J354</f>
        <v>25362</v>
      </c>
      <c r="K354" s="289">
        <f>K0kommunestruktur2020!K354</f>
        <v>1153</v>
      </c>
      <c r="L354" s="289">
        <f>K0kommunestruktur2020!L354</f>
        <v>26285</v>
      </c>
      <c r="M354" s="289">
        <f>K0kommunestruktur2020!M354</f>
        <v>1169</v>
      </c>
      <c r="N354" s="289">
        <f>K0kommunestruktur2020!N354</f>
        <v>28086</v>
      </c>
      <c r="O354" s="289">
        <f>K0kommunestruktur2020!O354</f>
        <v>1132</v>
      </c>
      <c r="P354" s="289">
        <f>K0kommunestruktur2020!P354</f>
        <v>28849</v>
      </c>
      <c r="Q354" s="289">
        <f>VLOOKUP(A354,'K21'!$A$4:$CI$359,3)</f>
        <v>1097</v>
      </c>
      <c r="R354" s="289">
        <f>VLOOKUP(A354,'K21'!$A$4:$BV$359,26)</f>
        <v>29754.233</v>
      </c>
      <c r="S354" s="517"/>
      <c r="T354" s="517"/>
      <c r="U354" s="517"/>
      <c r="V354" s="517"/>
    </row>
    <row r="355" spans="1:22" ht="13">
      <c r="A355" s="755">
        <v>5440</v>
      </c>
      <c r="B355" s="756" t="s">
        <v>255</v>
      </c>
      <c r="C355" s="289">
        <f>K0kommunestruktur2020!C355</f>
        <v>1057</v>
      </c>
      <c r="D355" s="289">
        <f>K0kommunestruktur2020!D355</f>
        <v>20462</v>
      </c>
      <c r="E355" s="289">
        <f>K0kommunestruktur2020!E355</f>
        <v>1020</v>
      </c>
      <c r="F355" s="289">
        <f>K0kommunestruktur2020!F355</f>
        <v>20445</v>
      </c>
      <c r="G355" s="289">
        <f>K0kommunestruktur2020!G355</f>
        <v>1000</v>
      </c>
      <c r="H355" s="289">
        <f>K0kommunestruktur2020!H355</f>
        <v>22785</v>
      </c>
      <c r="I355" s="289">
        <f>K0kommunestruktur2020!I355</f>
        <v>991</v>
      </c>
      <c r="J355" s="289">
        <f>K0kommunestruktur2020!J355</f>
        <v>25243</v>
      </c>
      <c r="K355" s="289">
        <f>K0kommunestruktur2020!K355</f>
        <v>983</v>
      </c>
      <c r="L355" s="289">
        <f>K0kommunestruktur2020!L355</f>
        <v>26464</v>
      </c>
      <c r="M355" s="289">
        <f>K0kommunestruktur2020!M355</f>
        <v>981</v>
      </c>
      <c r="N355" s="289">
        <f>K0kommunestruktur2020!N355</f>
        <v>26727</v>
      </c>
      <c r="O355" s="289">
        <f>K0kommunestruktur2020!O355</f>
        <v>957</v>
      </c>
      <c r="P355" s="289">
        <f>K0kommunestruktur2020!P355</f>
        <v>25531</v>
      </c>
      <c r="Q355" s="289">
        <f>VLOOKUP(A355,'K21'!$A$4:$CI$359,3)</f>
        <v>928</v>
      </c>
      <c r="R355" s="289">
        <f>VLOOKUP(A355,'K21'!$A$4:$BV$359,26)</f>
        <v>29748.058000000001</v>
      </c>
      <c r="S355" s="517"/>
      <c r="T355" s="517"/>
      <c r="U355" s="517"/>
      <c r="V355" s="517"/>
    </row>
    <row r="356" spans="1:22" ht="13">
      <c r="A356" s="755">
        <v>5441</v>
      </c>
      <c r="B356" s="756" t="s">
        <v>256</v>
      </c>
      <c r="C356" s="289">
        <f>K0kommunestruktur2020!C356</f>
        <v>2883</v>
      </c>
      <c r="D356" s="289">
        <f>K0kommunestruktur2020!D356</f>
        <v>55367</v>
      </c>
      <c r="E356" s="289">
        <f>K0kommunestruktur2020!E356</f>
        <v>2909</v>
      </c>
      <c r="F356" s="289">
        <f>K0kommunestruktur2020!F356</f>
        <v>60979</v>
      </c>
      <c r="G356" s="289">
        <f>K0kommunestruktur2020!G356</f>
        <v>2922</v>
      </c>
      <c r="H356" s="289">
        <f>K0kommunestruktur2020!H356</f>
        <v>65869</v>
      </c>
      <c r="I356" s="289">
        <f>K0kommunestruktur2020!I356</f>
        <v>2911</v>
      </c>
      <c r="J356" s="289">
        <f>K0kommunestruktur2020!J356</f>
        <v>67666</v>
      </c>
      <c r="K356" s="289">
        <f>K0kommunestruktur2020!K356</f>
        <v>2922</v>
      </c>
      <c r="L356" s="289">
        <f>K0kommunestruktur2020!L356</f>
        <v>70134</v>
      </c>
      <c r="M356" s="289">
        <f>K0kommunestruktur2020!M356</f>
        <v>2900</v>
      </c>
      <c r="N356" s="289">
        <f>K0kommunestruktur2020!N356</f>
        <v>74703</v>
      </c>
      <c r="O356" s="289">
        <f>K0kommunestruktur2020!O356</f>
        <v>2918</v>
      </c>
      <c r="P356" s="289">
        <f>K0kommunestruktur2020!P356</f>
        <v>74459</v>
      </c>
      <c r="Q356" s="289">
        <f>VLOOKUP(A356,'K21'!$A$4:$CI$359,3)</f>
        <v>2829</v>
      </c>
      <c r="R356" s="289">
        <f>VLOOKUP(A356,'K21'!$A$4:$BV$359,26)</f>
        <v>80674.240999999995</v>
      </c>
      <c r="S356" s="517"/>
      <c r="T356" s="517"/>
      <c r="U356" s="517"/>
      <c r="V356" s="517"/>
    </row>
    <row r="357" spans="1:22" ht="13">
      <c r="A357" s="755">
        <v>5442</v>
      </c>
      <c r="B357" s="756" t="s">
        <v>257</v>
      </c>
      <c r="C357" s="289">
        <f>K0kommunestruktur2020!C357</f>
        <v>919</v>
      </c>
      <c r="D357" s="289">
        <f>K0kommunestruktur2020!D357</f>
        <v>15241</v>
      </c>
      <c r="E357" s="289">
        <f>K0kommunestruktur2020!E357</f>
        <v>934</v>
      </c>
      <c r="F357" s="289">
        <f>K0kommunestruktur2020!F357</f>
        <v>16586</v>
      </c>
      <c r="G357" s="289">
        <f>K0kommunestruktur2020!G357</f>
        <v>959</v>
      </c>
      <c r="H357" s="289">
        <f>K0kommunestruktur2020!H357</f>
        <v>17469</v>
      </c>
      <c r="I357" s="289">
        <f>K0kommunestruktur2020!I357</f>
        <v>951</v>
      </c>
      <c r="J357" s="289">
        <f>K0kommunestruktur2020!J357</f>
        <v>19017</v>
      </c>
      <c r="K357" s="289">
        <f>K0kommunestruktur2020!K357</f>
        <v>944</v>
      </c>
      <c r="L357" s="289">
        <f>K0kommunestruktur2020!L357</f>
        <v>20492</v>
      </c>
      <c r="M357" s="289">
        <f>K0kommunestruktur2020!M357</f>
        <v>941</v>
      </c>
      <c r="N357" s="289">
        <f>K0kommunestruktur2020!N357</f>
        <v>19666</v>
      </c>
      <c r="O357" s="289">
        <f>K0kommunestruktur2020!O357</f>
        <v>926</v>
      </c>
      <c r="P357" s="289">
        <f>K0kommunestruktur2020!P357</f>
        <v>20196</v>
      </c>
      <c r="Q357" s="289">
        <f>VLOOKUP(A357,'K21'!$A$4:$CI$359,3)</f>
        <v>880</v>
      </c>
      <c r="R357" s="289">
        <f>VLOOKUP(A357,'K21'!$A$4:$BV$359,26)</f>
        <v>24264.295999999998</v>
      </c>
      <c r="S357" s="517"/>
      <c r="T357" s="517"/>
      <c r="U357" s="517"/>
      <c r="V357" s="517"/>
    </row>
    <row r="358" spans="1:22" ht="13">
      <c r="A358" s="755">
        <v>5443</v>
      </c>
      <c r="B358" s="756" t="s">
        <v>258</v>
      </c>
      <c r="C358" s="289">
        <f>K0kommunestruktur2020!C358</f>
        <v>2207</v>
      </c>
      <c r="D358" s="289">
        <f>K0kommunestruktur2020!D358</f>
        <v>42381</v>
      </c>
      <c r="E358" s="289">
        <f>K0kommunestruktur2020!E358</f>
        <v>2235</v>
      </c>
      <c r="F358" s="289">
        <f>K0kommunestruktur2020!F358</f>
        <v>46263</v>
      </c>
      <c r="G358" s="289">
        <f>K0kommunestruktur2020!G358</f>
        <v>2211</v>
      </c>
      <c r="H358" s="289">
        <f>K0kommunestruktur2020!H358</f>
        <v>50872</v>
      </c>
      <c r="I358" s="289">
        <f>K0kommunestruktur2020!I358</f>
        <v>2267</v>
      </c>
      <c r="J358" s="289">
        <f>K0kommunestruktur2020!J358</f>
        <v>55272</v>
      </c>
      <c r="K358" s="289">
        <f>K0kommunestruktur2020!K358</f>
        <v>2263</v>
      </c>
      <c r="L358" s="289">
        <f>K0kommunestruktur2020!L358</f>
        <v>61493</v>
      </c>
      <c r="M358" s="289">
        <f>K0kommunestruktur2020!M358</f>
        <v>2270</v>
      </c>
      <c r="N358" s="289">
        <f>K0kommunestruktur2020!N358</f>
        <v>62027</v>
      </c>
      <c r="O358" s="289">
        <f>K0kommunestruktur2020!O358</f>
        <v>2221</v>
      </c>
      <c r="P358" s="289">
        <f>K0kommunestruktur2020!P358</f>
        <v>58016</v>
      </c>
      <c r="Q358" s="289">
        <f>VLOOKUP(A358,'K21'!$A$4:$CI$359,3)</f>
        <v>2200</v>
      </c>
      <c r="R358" s="289">
        <f>VLOOKUP(A358,'K21'!$A$4:$BV$359,26)</f>
        <v>60652.347000000002</v>
      </c>
      <c r="S358" s="517"/>
      <c r="T358" s="517"/>
      <c r="U358" s="517"/>
      <c r="V358" s="517"/>
    </row>
    <row r="359" spans="1:22" ht="13">
      <c r="A359" s="755">
        <v>5444</v>
      </c>
      <c r="B359" s="756" t="s">
        <v>260</v>
      </c>
      <c r="C359" s="289">
        <f>K0kommunestruktur2020!C359</f>
        <v>10090</v>
      </c>
      <c r="D359" s="289">
        <f>K0kommunestruktur2020!D359</f>
        <v>236338</v>
      </c>
      <c r="E359" s="289">
        <f>K0kommunestruktur2020!E359</f>
        <v>10221</v>
      </c>
      <c r="F359" s="289">
        <f>K0kommunestruktur2020!F359</f>
        <v>244837</v>
      </c>
      <c r="G359" s="289">
        <f>K0kommunestruktur2020!G359</f>
        <v>10227</v>
      </c>
      <c r="H359" s="289">
        <f>K0kommunestruktur2020!H359</f>
        <v>252066</v>
      </c>
      <c r="I359" s="289">
        <f>K0kommunestruktur2020!I359</f>
        <v>10199</v>
      </c>
      <c r="J359" s="289">
        <f>K0kommunestruktur2020!J359</f>
        <v>260082</v>
      </c>
      <c r="K359" s="289">
        <f>K0kommunestruktur2020!K359</f>
        <v>10171</v>
      </c>
      <c r="L359" s="289">
        <f>K0kommunestruktur2020!L359</f>
        <v>262229</v>
      </c>
      <c r="M359" s="289">
        <f>K0kommunestruktur2020!M359</f>
        <v>10156</v>
      </c>
      <c r="N359" s="289">
        <f>K0kommunestruktur2020!N359</f>
        <v>271207</v>
      </c>
      <c r="O359" s="289">
        <f>K0kommunestruktur2020!O359</f>
        <v>10158</v>
      </c>
      <c r="P359" s="289">
        <f>K0kommunestruktur2020!P359</f>
        <v>266948</v>
      </c>
      <c r="Q359" s="289">
        <f>VLOOKUP(A359,'K21'!$A$4:$CI$359,3)</f>
        <v>10103</v>
      </c>
      <c r="R359" s="289">
        <f>VLOOKUP(A359,'K21'!$A$4:$BV$359,26)</f>
        <v>305104.79599999997</v>
      </c>
      <c r="S359" s="517"/>
      <c r="T359" s="517"/>
      <c r="U359" s="517"/>
      <c r="V359" s="517"/>
    </row>
    <row r="360" spans="1:22" ht="13">
      <c r="A360" s="1"/>
      <c r="B360" s="2"/>
      <c r="C360" s="179"/>
      <c r="D360" s="175"/>
      <c r="E360" s="179"/>
      <c r="F360" s="175"/>
      <c r="G360" s="179"/>
      <c r="H360" s="175"/>
      <c r="I360" s="179"/>
      <c r="J360" s="175"/>
      <c r="K360" s="179"/>
      <c r="L360" s="175"/>
      <c r="M360" s="179"/>
      <c r="R360" s="517"/>
      <c r="S360" s="517"/>
      <c r="T360" s="517"/>
      <c r="U360" s="517"/>
      <c r="V360" s="517"/>
    </row>
    <row r="361" spans="1:22" ht="13">
      <c r="A361" s="1"/>
      <c r="B361" s="2" t="s">
        <v>261</v>
      </c>
      <c r="C361" s="519">
        <f t="shared" ref="C361:R361" si="6">SUM(C4:C359)</f>
        <v>5109123.7802851694</v>
      </c>
      <c r="D361" s="519">
        <f t="shared" si="6"/>
        <v>128879429.67457524</v>
      </c>
      <c r="E361" s="519">
        <f t="shared" si="6"/>
        <v>5165866.8519800398</v>
      </c>
      <c r="F361" s="519">
        <f t="shared" si="6"/>
        <v>136594483.46237874</v>
      </c>
      <c r="G361" s="519">
        <f t="shared" si="6"/>
        <v>5214012.6545554902</v>
      </c>
      <c r="H361" s="519">
        <f t="shared" si="6"/>
        <v>149810000.50337285</v>
      </c>
      <c r="I361" s="519">
        <f t="shared" si="6"/>
        <v>5258345.646909331</v>
      </c>
      <c r="J361" s="519">
        <f t="shared" si="6"/>
        <v>156580528.42700595</v>
      </c>
      <c r="K361" s="519">
        <f t="shared" si="6"/>
        <v>5295631.2813950796</v>
      </c>
      <c r="L361" s="519">
        <f t="shared" si="6"/>
        <v>162532207.74327508</v>
      </c>
      <c r="M361" s="519">
        <f t="shared" si="6"/>
        <v>5328238.1051911991</v>
      </c>
      <c r="N361" s="177">
        <f t="shared" si="6"/>
        <v>170117489.11884764</v>
      </c>
      <c r="O361" s="177">
        <f t="shared" si="6"/>
        <v>5367580</v>
      </c>
      <c r="P361" s="177">
        <f t="shared" si="6"/>
        <v>168892972.20534539</v>
      </c>
      <c r="Q361" s="177">
        <f t="shared" si="6"/>
        <v>5391369</v>
      </c>
      <c r="R361" s="177">
        <f t="shared" si="6"/>
        <v>195955452.35900015</v>
      </c>
      <c r="S361" s="517"/>
      <c r="T361" s="517"/>
      <c r="U361" s="517"/>
      <c r="V361" s="517"/>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2" ht="13">
      <c r="B366" s="894" t="s">
        <v>2061</v>
      </c>
      <c r="C366" s="289">
        <f>ROUND(C365*$O366/$O365,8)</f>
        <v>418.24785671000001</v>
      </c>
      <c r="D366" s="289">
        <f>C366*D365/C365</f>
        <v>9371.5972138190336</v>
      </c>
      <c r="E366" s="289">
        <f>ROUND(E365*$O366/$O365,8)</f>
        <v>424.12798529999998</v>
      </c>
      <c r="F366" s="289">
        <f>E366*F365/E365</f>
        <v>9911.4309552240156</v>
      </c>
      <c r="G366" s="289">
        <f>ROUND(G365*$O366/$O365,8)</f>
        <v>417.99494794999998</v>
      </c>
      <c r="H366" s="289">
        <f>G366*H365/G365</f>
        <v>9923.6338028510654</v>
      </c>
      <c r="I366" s="289">
        <f>ROUND(I365*$O366/$O365,8)</f>
        <v>415.84522351999999</v>
      </c>
      <c r="J366" s="289">
        <f>I366*J365/I365</f>
        <v>10147.331598407298</v>
      </c>
      <c r="K366" s="289">
        <f>ROUND(K365*$O366/$O365,8)</f>
        <v>414.70713411000003</v>
      </c>
      <c r="L366" s="289">
        <f>K366*L365/K365</f>
        <v>11168.830067387569</v>
      </c>
      <c r="M366" s="289">
        <f>ROUND(M365*$O366/$O365,8)</f>
        <v>413.25290876000003</v>
      </c>
      <c r="N366" s="289">
        <f>M366*N365/M365</f>
        <v>12278.404011115088</v>
      </c>
      <c r="O366" s="289">
        <v>413</v>
      </c>
      <c r="P366" s="289">
        <f>O366*P365/O365</f>
        <v>11888.229026331905</v>
      </c>
    </row>
    <row r="367" spans="1:22">
      <c r="C367" s="5"/>
      <c r="E367" s="5"/>
      <c r="F367" s="5"/>
      <c r="G367" s="5"/>
      <c r="I367" s="5"/>
      <c r="K367" s="5"/>
      <c r="M367" s="5"/>
    </row>
    <row r="368" spans="1:22"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2062</v>
      </c>
      <c r="C369" s="289">
        <f>ROUND(C368*$O369/$O368,8)</f>
        <v>-412.17046062999998</v>
      </c>
      <c r="D369" s="289">
        <f>C369*D368/C368</f>
        <v>-9568.2388858661052</v>
      </c>
      <c r="E369" s="289">
        <f>ROUND(E368*$O369/$O368,8)</f>
        <v>-411.72803964000002</v>
      </c>
      <c r="F369" s="289">
        <f>E369*F368/E368</f>
        <v>-9837.5626674816722</v>
      </c>
      <c r="G369" s="289">
        <f>ROUND(G368*$O369/$O368,8)</f>
        <v>-414.32726299000001</v>
      </c>
      <c r="H369" s="289">
        <f>G369*H368/G368</f>
        <v>-10143.386181069653</v>
      </c>
      <c r="I369" s="289">
        <f>ROUND(I368*$O369/$O368,8)</f>
        <v>-414.93559185999999</v>
      </c>
      <c r="J369" s="289">
        <f>I369*J368/I368</f>
        <v>-10661.129351937501</v>
      </c>
      <c r="K369" s="289">
        <f>ROUND(K368*$O369/$O368,8)</f>
        <v>-415.15680235999997</v>
      </c>
      <c r="L369" s="289">
        <f>K369*L368/K368</f>
        <v>-11495.037627300188</v>
      </c>
      <c r="M369" s="289">
        <f>ROUND(M368*$O369/$O368,8)</f>
        <v>-414.05074987</v>
      </c>
      <c r="N369" s="289">
        <f>M369*N368/M368</f>
        <v>-11865.509909056727</v>
      </c>
      <c r="O369" s="289">
        <v>-413</v>
      </c>
      <c r="P369" s="289">
        <f>O369*P368/O368</f>
        <v>-11351.361408677021</v>
      </c>
    </row>
    <row r="370" spans="1:16" ht="13">
      <c r="B370" s="885" t="s">
        <v>1838</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1620</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2063</v>
      </c>
      <c r="C373" s="289">
        <f>ROUND(C372*$O373/$O372,8)</f>
        <v>-4.79170388</v>
      </c>
      <c r="D373" s="289">
        <f>C373*D372/C372</f>
        <v>-99.763127433859196</v>
      </c>
      <c r="E373" s="289">
        <f>ROUND(E372*$O373/$O372,8)</f>
        <v>-4.8275361700000001</v>
      </c>
      <c r="F373" s="289">
        <f>E373*F372/E372</f>
        <v>-106.28013937283511</v>
      </c>
      <c r="G373" s="289">
        <f>ROUND(G372*$O373/$O372,8)</f>
        <v>-4.8526522600000002</v>
      </c>
      <c r="H373" s="289">
        <f>G373*H372/G372</f>
        <v>-117.67358011978791</v>
      </c>
      <c r="I373" s="289">
        <f>ROUND(I372*$O373/$O372,8)</f>
        <v>-4.8909403500000002</v>
      </c>
      <c r="J373" s="289">
        <f>I373*J372/I372</f>
        <v>-122.95130835755906</v>
      </c>
      <c r="K373" s="289">
        <f>ROUND(K372*$O373/$O372,8)</f>
        <v>-4.9154983000000003</v>
      </c>
      <c r="L373" s="289">
        <f>K373*L372/K372</f>
        <v>-129.04134658324514</v>
      </c>
      <c r="M373" s="289">
        <f>ROUND(M372*$O373/$O372,8)</f>
        <v>-4.94731202</v>
      </c>
      <c r="N373" s="289">
        <f>M373*N372/M372</f>
        <v>-134.43940882290704</v>
      </c>
      <c r="O373" s="289">
        <v>-5</v>
      </c>
      <c r="P373" s="289">
        <f>O373*P372/O372</f>
        <v>-132.36738703339881</v>
      </c>
    </row>
    <row r="374" spans="1:16" ht="13">
      <c r="B374" s="885" t="s">
        <v>1838</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796</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2064</v>
      </c>
      <c r="C377" s="289">
        <f>ROUND(C376*$O377/$O376,8)</f>
        <v>4.8298001199999998</v>
      </c>
      <c r="D377" s="289">
        <f>C377*D376/C376</f>
        <v>95.630526930815151</v>
      </c>
      <c r="E377" s="289">
        <f>ROUND(E376*$O377/$O376,8)</f>
        <v>4.8576620200000002</v>
      </c>
      <c r="F377" s="289">
        <f>E377*F376/E376</f>
        <v>101.20835850771822</v>
      </c>
      <c r="G377" s="289">
        <f>ROUND(G376*$O377/$O376,8)</f>
        <v>4.8964264100000001</v>
      </c>
      <c r="H377" s="289">
        <f>G377*H376/G376</f>
        <v>117.07086618387433</v>
      </c>
      <c r="I377" s="289">
        <f>ROUND(I376*$O377/$O376,8)</f>
        <v>4.9503331299999997</v>
      </c>
      <c r="J377" s="289">
        <f>I377*J376/I376</f>
        <v>117.90187761572004</v>
      </c>
      <c r="K377" s="289">
        <f>ROUND(K376*$O377/$O376,8)</f>
        <v>4.9678982400000002</v>
      </c>
      <c r="L377" s="289">
        <f>K377*L376/K376</f>
        <v>127.37734697293344</v>
      </c>
      <c r="M377" s="289">
        <f>ROUND(M376*$O377/$O376,8)</f>
        <v>4.9848576600000003</v>
      </c>
      <c r="N377" s="289">
        <f>M377*N376/M376</f>
        <v>130.55239243641799</v>
      </c>
      <c r="O377" s="289">
        <v>5</v>
      </c>
      <c r="P377" s="289">
        <f>O377*P376/O376</f>
        <v>132.48031496062993</v>
      </c>
    </row>
    <row r="378" spans="1:16">
      <c r="C378" s="5"/>
      <c r="E378" s="5"/>
      <c r="F378" s="5"/>
      <c r="G378" s="5"/>
      <c r="I378" s="5"/>
      <c r="K378" s="5"/>
      <c r="M378" s="5"/>
    </row>
    <row r="379" spans="1:16" ht="13">
      <c r="A379" s="1">
        <v>3452</v>
      </c>
      <c r="B379" s="2" t="s">
        <v>868</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2065</v>
      </c>
      <c r="C380" s="289">
        <f>ROUND(C379*$O380/$O379,8)</f>
        <v>-12.35011765</v>
      </c>
      <c r="D380" s="289">
        <f>C380*D379/C379</f>
        <v>-272.96188241794692</v>
      </c>
      <c r="E380" s="289">
        <f>ROUND(E379*$O380/$O379,8)</f>
        <v>-12.31058824</v>
      </c>
      <c r="F380" s="289">
        <f>E380*F379/E379</f>
        <v>-287.28847069805505</v>
      </c>
      <c r="G380" s="289">
        <f>ROUND(G379*$O380/$O379,8)</f>
        <v>-12.242823530000001</v>
      </c>
      <c r="H380" s="289">
        <f>G380*H379/G379</f>
        <v>-306.3472941323663</v>
      </c>
      <c r="I380" s="289">
        <f>ROUND(I379*$O380/$O379,8)</f>
        <v>-11.937882350000001</v>
      </c>
      <c r="J380" s="289">
        <f>I380*J379/I379</f>
        <v>-318.74823521558659</v>
      </c>
      <c r="K380" s="289">
        <f>ROUND(K379*$O380/$O379,8)</f>
        <v>-12.07905882</v>
      </c>
      <c r="L380" s="289">
        <f>K380*L379/K379</f>
        <v>-346.02917636948109</v>
      </c>
      <c r="M380" s="289">
        <f>ROUND(M379*$O380/$O379,8)</f>
        <v>-12.05647059</v>
      </c>
      <c r="N380" s="289">
        <f>M380*N379/M379</f>
        <v>-382.30588240889932</v>
      </c>
      <c r="O380" s="289">
        <v>-12</v>
      </c>
      <c r="P380" s="289">
        <f>O380*P379/O379</f>
        <v>-364.91858823529412</v>
      </c>
    </row>
    <row r="381" spans="1:16" ht="13">
      <c r="B381" s="885" t="s">
        <v>1838</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869</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2066</v>
      </c>
      <c r="C384" s="289">
        <f>ROUND(C383*$O384/$O383,8)</f>
        <v>11.91452462</v>
      </c>
      <c r="D384" s="289">
        <f>C384*D383/C383</f>
        <v>274.76246514506551</v>
      </c>
      <c r="E384" s="289">
        <f>ROUND(E383*$O384/$O383,8)</f>
        <v>11.888510370000001</v>
      </c>
      <c r="F384" s="289">
        <f>E384*F383/E383</f>
        <v>298.52090418599255</v>
      </c>
      <c r="G384" s="289">
        <f>ROUND(G383*$O384/$O383,8)</f>
        <v>11.96655311</v>
      </c>
      <c r="H384" s="289">
        <f>G384*H383/G383</f>
        <v>304.13626503608072</v>
      </c>
      <c r="I384" s="289">
        <f>ROUND(I383*$O384/$O383,8)</f>
        <v>12.0706101</v>
      </c>
      <c r="J384" s="289">
        <f>I384*J383/I383</f>
        <v>336.04459596133</v>
      </c>
      <c r="K384" s="289">
        <f>ROUND(K383*$O384/$O383,8)</f>
        <v>11.97026943</v>
      </c>
      <c r="L384" s="289">
        <f>K384*L383/K383</f>
        <v>359.98513461855941</v>
      </c>
      <c r="M384" s="289">
        <f>ROUND(M383*$O384/$O383,8)</f>
        <v>11.921957259999999</v>
      </c>
      <c r="N384" s="289">
        <f>M384*N383/M383</f>
        <v>377.53731798196384</v>
      </c>
      <c r="O384" s="289">
        <v>12</v>
      </c>
      <c r="P384" s="289">
        <f>O384*P383/O383</f>
        <v>377.14338804583463</v>
      </c>
    </row>
    <row r="385" spans="1:16">
      <c r="C385" s="5"/>
      <c r="E385" s="5"/>
      <c r="F385" s="5"/>
      <c r="G385" s="5"/>
      <c r="I385" s="5"/>
      <c r="K385" s="5"/>
      <c r="M385" s="5"/>
    </row>
    <row r="386" spans="1:16">
      <c r="C386" s="5"/>
      <c r="E386" s="5"/>
      <c r="F386" s="5"/>
      <c r="G386" s="5"/>
      <c r="I386" s="5"/>
      <c r="K386" s="5"/>
      <c r="M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2067</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2068</v>
      </c>
      <c r="C391" s="290"/>
      <c r="D391" s="177"/>
      <c r="E391" s="289"/>
      <c r="F391" s="177"/>
      <c r="G391" s="289"/>
      <c r="H391" s="177">
        <f>+H366*1000/G366</f>
        <v>23741.037664498563</v>
      </c>
      <c r="I391" s="289"/>
      <c r="J391" s="177">
        <f>+J366*1000/I366</f>
        <v>24401.702904059603</v>
      </c>
      <c r="K391" s="289"/>
      <c r="L391" s="177">
        <f>+L366*1000/K366</f>
        <v>26931.8493672816</v>
      </c>
      <c r="M391" s="289"/>
      <c r="N391" s="177">
        <f>+N366*1000/M366</f>
        <v>29711.597307221546</v>
      </c>
      <c r="P391" s="177">
        <f>+P366*1000/O366</f>
        <v>28785.058175137787</v>
      </c>
    </row>
    <row r="392" spans="1:16" ht="13">
      <c r="A392" s="1"/>
      <c r="B392" s="2" t="s">
        <v>2069</v>
      </c>
      <c r="C392" s="290"/>
      <c r="D392" s="177"/>
      <c r="E392" s="289"/>
      <c r="F392" s="177"/>
      <c r="G392" s="289"/>
      <c r="H392" s="177">
        <f>+H390*G365/(G365+G366)+H391*G366/(G365+G366)</f>
        <v>23741.037664498563</v>
      </c>
      <c r="I392" s="289"/>
      <c r="J392" s="177">
        <f>+J390*I365/(I365+I366)+J391*I366/(I365+I366)</f>
        <v>24401.702904059603</v>
      </c>
      <c r="K392" s="289"/>
      <c r="L392" s="177">
        <f>+L390*K365/(K365+K366)+L391*K366/(K365+K366)</f>
        <v>26931.849367281597</v>
      </c>
      <c r="M392" s="289"/>
      <c r="N392" s="177">
        <f>+N390*M365/(M365+M366)+N391*M366/(M365+M366)</f>
        <v>29711.597307221546</v>
      </c>
      <c r="P392" s="177">
        <f>+P390*O365/(O365+O366)+P391*O366/(O365+O366)</f>
        <v>28785.058175137783</v>
      </c>
    </row>
    <row r="393" spans="1:16" ht="13">
      <c r="A393" s="1"/>
      <c r="B393" s="2" t="s">
        <v>1849</v>
      </c>
      <c r="C393" s="290"/>
      <c r="D393" s="177"/>
      <c r="E393" s="289"/>
      <c r="F393" s="177"/>
      <c r="G393" s="289"/>
      <c r="H393" s="914">
        <f>+H392/H390</f>
        <v>1</v>
      </c>
      <c r="I393" s="289"/>
      <c r="J393" s="914">
        <f>+J392/J390</f>
        <v>1</v>
      </c>
      <c r="K393" s="289"/>
      <c r="L393" s="914">
        <f>+L392/L390</f>
        <v>1</v>
      </c>
      <c r="M393" s="914"/>
      <c r="N393" s="914">
        <f>+N392/N390</f>
        <v>1.0000000000000002</v>
      </c>
    </row>
    <row r="394" spans="1:16" ht="13">
      <c r="A394" s="1"/>
      <c r="B394" s="2"/>
      <c r="C394" s="290"/>
      <c r="D394" s="177"/>
      <c r="E394" s="289"/>
      <c r="F394" s="177"/>
      <c r="G394" s="289"/>
      <c r="H394" s="177"/>
      <c r="I394" s="289"/>
      <c r="J394" s="177"/>
      <c r="K394" s="289"/>
      <c r="L394" s="177"/>
      <c r="M394" s="289"/>
    </row>
    <row r="395" spans="1:16" ht="13">
      <c r="A395" s="1"/>
      <c r="B395" s="2"/>
      <c r="C395" s="290"/>
      <c r="D395" s="177"/>
      <c r="E395" s="289"/>
      <c r="F395" s="177"/>
      <c r="G395" s="289"/>
      <c r="H395" s="177"/>
      <c r="I395" s="289"/>
      <c r="J395" s="177"/>
      <c r="K395" s="289"/>
      <c r="L395" s="177"/>
      <c r="M395" s="289"/>
      <c r="N395"/>
    </row>
    <row r="396" spans="1:16" ht="13">
      <c r="A396" s="1"/>
      <c r="B396" s="2"/>
      <c r="C396" s="290"/>
      <c r="D396" s="177"/>
      <c r="E396" s="289"/>
      <c r="F396" s="177"/>
      <c r="G396" s="289"/>
      <c r="H396" s="177"/>
      <c r="I396" s="289"/>
      <c r="J396" s="177"/>
      <c r="K396" s="289"/>
      <c r="L396" s="177"/>
      <c r="M396" s="289"/>
      <c r="N396"/>
    </row>
    <row r="397" spans="1:16" ht="13">
      <c r="A397" s="1"/>
      <c r="B397" s="2"/>
      <c r="C397" s="290"/>
      <c r="D397" s="177"/>
      <c r="E397" s="289"/>
      <c r="F397" s="177"/>
      <c r="G397" s="289"/>
      <c r="H397" s="177"/>
      <c r="I397" s="289"/>
      <c r="J397" s="177"/>
      <c r="K397" s="289"/>
      <c r="L397" s="177"/>
      <c r="M397" s="289"/>
      <c r="N397"/>
    </row>
    <row r="398" spans="1:16" ht="13">
      <c r="A398" s="1"/>
      <c r="B398" s="2"/>
      <c r="C398" s="290"/>
      <c r="D398" s="177"/>
      <c r="E398" s="289"/>
      <c r="F398" s="177"/>
      <c r="G398" s="289"/>
      <c r="H398" s="177"/>
      <c r="I398" s="289"/>
      <c r="J398" s="177"/>
      <c r="K398" s="289"/>
      <c r="L398" s="177"/>
      <c r="M398" s="289"/>
      <c r="N398"/>
    </row>
    <row r="399" spans="1:16" ht="13">
      <c r="A399" s="1"/>
      <c r="B399" s="2"/>
      <c r="C399" s="290"/>
      <c r="D399" s="177"/>
      <c r="E399" s="289"/>
      <c r="F399" s="177"/>
      <c r="G399" s="289"/>
      <c r="H399" s="177"/>
      <c r="I399" s="289"/>
      <c r="J399" s="177"/>
      <c r="K399" s="289"/>
      <c r="L399" s="177"/>
      <c r="M399" s="289"/>
      <c r="N399"/>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90"/>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row r="631" spans="1:14" ht="13">
      <c r="A631" s="1"/>
      <c r="B631" s="2"/>
      <c r="C631" s="289"/>
      <c r="D631" s="177"/>
      <c r="E631" s="289"/>
      <c r="F631" s="177"/>
      <c r="G631" s="289"/>
      <c r="H631" s="177"/>
      <c r="I631" s="289"/>
      <c r="J631" s="177"/>
      <c r="K631" s="289"/>
      <c r="L631" s="177"/>
      <c r="M631" s="289"/>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343" activePane="bottomRight" state="frozenSplit"/>
      <selection activeCell="B206" sqref="B206"/>
      <selection pane="topRight" activeCell="B206" sqref="B206"/>
      <selection pane="bottomLeft" activeCell="B206" sqref="B206"/>
      <selection pane="bottomRight" activeCell="T344" sqref="T344"/>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719</v>
      </c>
      <c r="N1" s="177"/>
    </row>
    <row r="2" spans="1:22" s="85" customFormat="1" ht="39">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2367</v>
      </c>
      <c r="S2" s="122" t="s">
        <v>2537</v>
      </c>
      <c r="T2" s="122" t="s">
        <v>2237</v>
      </c>
      <c r="U2" s="122" t="s">
        <v>2538</v>
      </c>
      <c r="V2" s="122" t="s">
        <v>2539</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3">
      <c r="A4" s="755">
        <v>301</v>
      </c>
      <c r="B4" s="756" t="s">
        <v>823</v>
      </c>
      <c r="C4" s="289">
        <f>+K0kommunestruktur2021!C4</f>
        <v>634463</v>
      </c>
      <c r="D4" s="289">
        <f>+K0kommunestruktur2021!D4</f>
        <v>20917085</v>
      </c>
      <c r="E4" s="289">
        <f>+K0kommunestruktur2021!E4</f>
        <v>647676</v>
      </c>
      <c r="F4" s="289">
        <f>+K0kommunestruktur2021!F4</f>
        <v>22488171</v>
      </c>
      <c r="G4" s="289">
        <f>+K0kommunestruktur2021!G4</f>
        <v>658390</v>
      </c>
      <c r="H4" s="289">
        <f>+K0kommunestruktur2021!H4</f>
        <v>25522086</v>
      </c>
      <c r="I4" s="289">
        <f>+K0kommunestruktur2021!I4</f>
        <v>666759</v>
      </c>
      <c r="J4" s="289">
        <f>+K0kommunestruktur2021!J4</f>
        <v>27402999</v>
      </c>
      <c r="K4" s="289">
        <f>+K0kommunestruktur2021!K4</f>
        <v>673469</v>
      </c>
      <c r="L4" s="289">
        <f>+K0kommunestruktur2021!L4</f>
        <v>28170461</v>
      </c>
      <c r="M4" s="289">
        <f>+K0kommunestruktur2021!M4</f>
        <v>681071</v>
      </c>
      <c r="N4" s="289">
        <f>+K0kommunestruktur2021!N4</f>
        <v>29417306</v>
      </c>
      <c r="O4" s="289">
        <f>+K0kommunestruktur2021!O4</f>
        <v>693494</v>
      </c>
      <c r="P4" s="289">
        <f>+K0kommunestruktur2021!P4</f>
        <v>29485704</v>
      </c>
      <c r="Q4" s="289">
        <f>+K0kommunestruktur2021!Q4</f>
        <v>697010</v>
      </c>
      <c r="R4" s="289">
        <f>+K0kommunestruktur2021!R4</f>
        <v>34894706.472000003</v>
      </c>
      <c r="S4" s="289">
        <f>VLOOKUP(A4,'K22'!A4:CU359,3)</f>
        <v>699827</v>
      </c>
      <c r="T4" s="289">
        <f>VLOOKUP(A4,'K22'!$A$4:$BV$359,26)</f>
        <v>40372980.685327783</v>
      </c>
      <c r="U4" s="289">
        <f>VLOOKUP(A4,'Bef.fremskr. kommunenivå MMMM'!$A$5:$K$360,8)</f>
        <v>708667</v>
      </c>
      <c r="V4" s="289">
        <f>VLOOKUP(A4,'K23'!$A$4:$BV$359,26)</f>
        <v>35363742.188434847</v>
      </c>
    </row>
    <row r="5" spans="1:22" s="85" customFormat="1" ht="13">
      <c r="A5" s="755">
        <v>1101</v>
      </c>
      <c r="B5" s="756" t="s">
        <v>958</v>
      </c>
      <c r="C5" s="289">
        <f>+K0kommunestruktur2021!C5</f>
        <v>14811</v>
      </c>
      <c r="D5" s="289">
        <f>+K0kommunestruktur2021!D5</f>
        <v>406927</v>
      </c>
      <c r="E5" s="289">
        <f>+K0kommunestruktur2021!E5</f>
        <v>14916</v>
      </c>
      <c r="F5" s="289">
        <f>+K0kommunestruktur2021!F5</f>
        <v>402775</v>
      </c>
      <c r="G5" s="289">
        <f>+K0kommunestruktur2021!G5</f>
        <v>14942</v>
      </c>
      <c r="H5" s="289">
        <f>+K0kommunestruktur2021!H5</f>
        <v>418367</v>
      </c>
      <c r="I5" s="289">
        <f>+K0kommunestruktur2021!I5</f>
        <v>14899</v>
      </c>
      <c r="J5" s="289">
        <f>+K0kommunestruktur2021!J5</f>
        <v>420764</v>
      </c>
      <c r="K5" s="289">
        <f>+K0kommunestruktur2021!K5</f>
        <v>14898</v>
      </c>
      <c r="L5" s="289">
        <f>+K0kommunestruktur2021!L5</f>
        <v>421333</v>
      </c>
      <c r="M5" s="289">
        <f>+K0kommunestruktur2021!M5</f>
        <v>14830</v>
      </c>
      <c r="N5" s="289">
        <f>+K0kommunestruktur2021!N5</f>
        <v>455451</v>
      </c>
      <c r="O5" s="289">
        <f>+K0kommunestruktur2021!O5</f>
        <v>14811</v>
      </c>
      <c r="P5" s="289">
        <f>+K0kommunestruktur2021!P5</f>
        <v>500874</v>
      </c>
      <c r="Q5" s="289">
        <f>+K0kommunestruktur2021!Q5</f>
        <v>14787</v>
      </c>
      <c r="R5" s="289">
        <f>+K0kommunestruktur2021!R5</f>
        <v>536136.80000000005</v>
      </c>
      <c r="S5" s="289">
        <f>VLOOKUP(A5,'K22'!A5:CU360,3)</f>
        <v>14860</v>
      </c>
      <c r="T5" s="289">
        <f>VLOOKUP(A5,'K22'!$A$4:$BV$359,26)</f>
        <v>598831.17437071959</v>
      </c>
      <c r="U5" s="289">
        <f>VLOOKUP(A5,'Bef.fremskr. kommunenivå MMMM'!$A$5:$K$360,8)</f>
        <v>14837</v>
      </c>
      <c r="V5" s="289">
        <f>VLOOKUP(A5,'K23'!$A$4:$BV$359,26)</f>
        <v>550337.21480567323</v>
      </c>
    </row>
    <row r="6" spans="1:22" s="85" customFormat="1" ht="13">
      <c r="A6" s="755">
        <v>1103</v>
      </c>
      <c r="B6" s="756" t="s">
        <v>960</v>
      </c>
      <c r="C6" s="289">
        <f>+K0kommunestruktur2021!C6</f>
        <v>138640.16927637</v>
      </c>
      <c r="D6" s="289">
        <f>+K0kommunestruktur2021!D6</f>
        <v>4992049.6235760292</v>
      </c>
      <c r="E6" s="289">
        <f>+K0kommunestruktur2021!E6</f>
        <v>140116.94866721999</v>
      </c>
      <c r="F6" s="289">
        <f>+K0kommunestruktur2021!F6</f>
        <v>5154826.5313516287</v>
      </c>
      <c r="G6" s="289">
        <f>+K0kommunestruktur2021!G6</f>
        <v>140795.30668009</v>
      </c>
      <c r="H6" s="289">
        <f>+K0kommunestruktur2021!H6</f>
        <v>5300627.4798287479</v>
      </c>
      <c r="I6" s="289">
        <f>+K0kommunestruktur2021!I6</f>
        <v>140930.37796583999</v>
      </c>
      <c r="J6" s="289">
        <f>+K0kommunestruktur2021!J6</f>
        <v>5130880.8937085792</v>
      </c>
      <c r="K6" s="289">
        <f>+K0kommunestruktur2021!K6</f>
        <v>141260.55221989</v>
      </c>
      <c r="L6" s="289">
        <f>+K0kommunestruktur2021!L6</f>
        <v>5192171.2405409599</v>
      </c>
      <c r="M6" s="289">
        <f>+K0kommunestruktur2021!M6</f>
        <v>142109</v>
      </c>
      <c r="N6" s="289">
        <f>+K0kommunestruktur2021!N6</f>
        <v>5569503.3828238305</v>
      </c>
      <c r="O6" s="289">
        <f>+K0kommunestruktur2021!O6</f>
        <v>143574</v>
      </c>
      <c r="P6" s="289">
        <f>+K0kommunestruktur2021!P6</f>
        <v>5548455</v>
      </c>
      <c r="Q6" s="289">
        <f>+K0kommunestruktur2021!Q6</f>
        <v>144147</v>
      </c>
      <c r="R6" s="289">
        <f>+K0kommunestruktur2021!R6</f>
        <v>6300497.6940000001</v>
      </c>
      <c r="S6" s="289">
        <f>VLOOKUP(A6,'K22'!A6:CU361,3)</f>
        <v>144699</v>
      </c>
      <c r="T6" s="289">
        <f>VLOOKUP(A6,'K22'!$A$4:$BV$359,26)</f>
        <v>7122395.532857229</v>
      </c>
      <c r="U6" s="289">
        <f>VLOOKUP(A6,'Bef.fremskr. kommunenivå MMMM'!$A$5:$K$360,8)</f>
        <v>146023</v>
      </c>
      <c r="V6" s="289">
        <f>VLOOKUP(A6,'K23'!$A$4:$BV$359,26)</f>
        <v>6530940.1276575858</v>
      </c>
    </row>
    <row r="7" spans="1:22" s="85" customFormat="1" ht="13">
      <c r="A7" s="755">
        <v>1106</v>
      </c>
      <c r="B7" s="756" t="s">
        <v>961</v>
      </c>
      <c r="C7" s="289">
        <f>+K0kommunestruktur2021!C7</f>
        <v>36099</v>
      </c>
      <c r="D7" s="289">
        <f>+K0kommunestruktur2021!D7</f>
        <v>907569</v>
      </c>
      <c r="E7" s="289">
        <f>+K0kommunestruktur2021!E7</f>
        <v>36538</v>
      </c>
      <c r="F7" s="289">
        <f>+K0kommunestruktur2021!F7</f>
        <v>944562</v>
      </c>
      <c r="G7" s="289">
        <f>+K0kommunestruktur2021!G7</f>
        <v>36951</v>
      </c>
      <c r="H7" s="289">
        <f>+K0kommunestruktur2021!H7</f>
        <v>980578</v>
      </c>
      <c r="I7" s="289">
        <f>+K0kommunestruktur2021!I7</f>
        <v>37166</v>
      </c>
      <c r="J7" s="289">
        <f>+K0kommunestruktur2021!J7</f>
        <v>1015625</v>
      </c>
      <c r="K7" s="289">
        <f>+K0kommunestruktur2021!K7</f>
        <v>37167</v>
      </c>
      <c r="L7" s="289">
        <f>+K0kommunestruktur2021!L7</f>
        <v>1084225</v>
      </c>
      <c r="M7" s="289">
        <f>+K0kommunestruktur2021!M7</f>
        <v>37250</v>
      </c>
      <c r="N7" s="289">
        <f>+K0kommunestruktur2021!N7</f>
        <v>1152023</v>
      </c>
      <c r="O7" s="289">
        <f>+K0kommunestruktur2021!O7</f>
        <v>37357</v>
      </c>
      <c r="P7" s="289">
        <f>+K0kommunestruktur2021!P7</f>
        <v>1111347</v>
      </c>
      <c r="Q7" s="289">
        <f>+K0kommunestruktur2021!Q7</f>
        <v>37323</v>
      </c>
      <c r="R7" s="289">
        <f>+K0kommunestruktur2021!R7</f>
        <v>1275892.7209999999</v>
      </c>
      <c r="S7" s="289">
        <f>VLOOKUP(A7,'K22'!A7:CU362,3)</f>
        <v>37444</v>
      </c>
      <c r="T7" s="289">
        <f>VLOOKUP(A7,'K22'!$A$4:$BV$359,26)</f>
        <v>1422585.6997664364</v>
      </c>
      <c r="U7" s="289">
        <f>VLOOKUP(A7,'Bef.fremskr. kommunenivå MMMM'!$A$5:$K$360,8)</f>
        <v>37774</v>
      </c>
      <c r="V7" s="289">
        <f>VLOOKUP(A7,'K23'!$A$4:$BV$359,26)</f>
        <v>1318405.1262070213</v>
      </c>
    </row>
    <row r="8" spans="1:22" s="85" customFormat="1" ht="13">
      <c r="A8" s="755">
        <v>1108</v>
      </c>
      <c r="B8" s="756" t="s">
        <v>1610</v>
      </c>
      <c r="C8" s="289">
        <f>+K0kommunestruktur2021!C8</f>
        <v>72990.007419779999</v>
      </c>
      <c r="D8" s="289">
        <f>+K0kommunestruktur2021!D8</f>
        <v>2154108.3382501518</v>
      </c>
      <c r="E8" s="289">
        <f>+K0kommunestruktur2021!E8</f>
        <v>74676.495518809999</v>
      </c>
      <c r="F8" s="289">
        <f>+K0kommunestruktur2021!F8</f>
        <v>2216653.0965973325</v>
      </c>
      <c r="G8" s="289">
        <f>+K0kommunestruktur2021!G8</f>
        <v>75899.94783207</v>
      </c>
      <c r="H8" s="289">
        <f>+K0kommunestruktur2021!H8</f>
        <v>2316575.021660042</v>
      </c>
      <c r="I8" s="289">
        <f>+K0kommunestruktur2021!I8</f>
        <v>76582.526447299999</v>
      </c>
      <c r="J8" s="289">
        <f>+K0kommunestruktur2021!J8</f>
        <v>2316286.6222158987</v>
      </c>
      <c r="K8" s="289">
        <f>+K0kommunestruktur2021!K8</f>
        <v>77412.797511440003</v>
      </c>
      <c r="L8" s="289">
        <f>+K0kommunestruktur2021!L8</f>
        <v>2380215.4983107275</v>
      </c>
      <c r="M8" s="289">
        <f>+K0kommunestruktur2021!M8</f>
        <v>78276</v>
      </c>
      <c r="N8" s="289">
        <f>+K0kommunestruktur2021!N8</f>
        <v>2477705.4875763333</v>
      </c>
      <c r="O8" s="289">
        <f>+K0kommunestruktur2021!O8</f>
        <v>79537</v>
      </c>
      <c r="P8" s="289">
        <f>+K0kommunestruktur2021!P8</f>
        <v>2454234</v>
      </c>
      <c r="Q8" s="289">
        <f>+K0kommunestruktur2021!Q8</f>
        <v>80450</v>
      </c>
      <c r="R8" s="289">
        <f>+K0kommunestruktur2021!R8</f>
        <v>2853855.0589999999</v>
      </c>
      <c r="S8" s="289">
        <f>VLOOKUP(A8,'K22'!A8:CU363,3)</f>
        <v>81305</v>
      </c>
      <c r="T8" s="289">
        <f>VLOOKUP(A8,'K22'!$A$4:$BV$359,26)</f>
        <v>3182371.4257908831</v>
      </c>
      <c r="U8" s="289">
        <f>VLOOKUP(A8,'Bef.fremskr. kommunenivå MMMM'!$A$5:$K$360,8)</f>
        <v>82187</v>
      </c>
      <c r="V8" s="289">
        <f>VLOOKUP(A8,'K23'!$A$4:$BV$359,26)</f>
        <v>2959761.6480656667</v>
      </c>
    </row>
    <row r="9" spans="1:22" s="85" customFormat="1" ht="13">
      <c r="A9" s="755">
        <v>1111</v>
      </c>
      <c r="B9" s="756" t="s">
        <v>962</v>
      </c>
      <c r="C9" s="289">
        <f>+K0kommunestruktur2021!C9</f>
        <v>3303</v>
      </c>
      <c r="D9" s="289">
        <f>+K0kommunestruktur2021!D9</f>
        <v>74638</v>
      </c>
      <c r="E9" s="289">
        <f>+K0kommunestruktur2021!E9</f>
        <v>3309</v>
      </c>
      <c r="F9" s="289">
        <f>+K0kommunestruktur2021!F9</f>
        <v>77414</v>
      </c>
      <c r="G9" s="289">
        <f>+K0kommunestruktur2021!G9</f>
        <v>3313</v>
      </c>
      <c r="H9" s="289">
        <f>+K0kommunestruktur2021!H9</f>
        <v>81397</v>
      </c>
      <c r="I9" s="289">
        <f>+K0kommunestruktur2021!I9</f>
        <v>3316</v>
      </c>
      <c r="J9" s="289">
        <f>+K0kommunestruktur2021!J9</f>
        <v>81393</v>
      </c>
      <c r="K9" s="289">
        <f>+K0kommunestruktur2021!K9</f>
        <v>3331</v>
      </c>
      <c r="L9" s="289">
        <f>+K0kommunestruktur2021!L9</f>
        <v>84326</v>
      </c>
      <c r="M9" s="289">
        <f>+K0kommunestruktur2021!M9</f>
        <v>3305</v>
      </c>
      <c r="N9" s="289">
        <f>+K0kommunestruktur2021!N9</f>
        <v>85248</v>
      </c>
      <c r="O9" s="289">
        <f>+K0kommunestruktur2021!O9</f>
        <v>3280</v>
      </c>
      <c r="P9" s="289">
        <f>+K0kommunestruktur2021!P9</f>
        <v>84973</v>
      </c>
      <c r="Q9" s="289">
        <f>+K0kommunestruktur2021!Q9</f>
        <v>3257</v>
      </c>
      <c r="R9" s="289">
        <f>+K0kommunestruktur2021!R9</f>
        <v>97746.770999999993</v>
      </c>
      <c r="S9" s="289">
        <f>VLOOKUP(A9,'K22'!A9:CU364,3)</f>
        <v>3281</v>
      </c>
      <c r="T9" s="289">
        <f>VLOOKUP(A9,'K22'!$A$4:$BV$359,26)</f>
        <v>106057.89258825008</v>
      </c>
      <c r="U9" s="289">
        <f>VLOOKUP(A9,'Bef.fremskr. kommunenivå MMMM'!$A$5:$K$360,8)</f>
        <v>3284</v>
      </c>
      <c r="V9" s="289">
        <f>VLOOKUP(A9,'K23'!$A$4:$BV$359,26)</f>
        <v>98606.354431175292</v>
      </c>
    </row>
    <row r="10" spans="1:22" s="85" customFormat="1" ht="13">
      <c r="A10" s="755">
        <v>1112</v>
      </c>
      <c r="B10" s="756" t="s">
        <v>963</v>
      </c>
      <c r="C10" s="289">
        <f>+K0kommunestruktur2021!C10</f>
        <v>3225</v>
      </c>
      <c r="D10" s="289">
        <f>+K0kommunestruktur2021!D10</f>
        <v>66675</v>
      </c>
      <c r="E10" s="289">
        <f>+K0kommunestruktur2021!E10</f>
        <v>3247</v>
      </c>
      <c r="F10" s="289">
        <f>+K0kommunestruktur2021!F10</f>
        <v>68275</v>
      </c>
      <c r="G10" s="289">
        <f>+K0kommunestruktur2021!G10</f>
        <v>3243</v>
      </c>
      <c r="H10" s="289">
        <f>+K0kommunestruktur2021!H10</f>
        <v>71529</v>
      </c>
      <c r="I10" s="289">
        <f>+K0kommunestruktur2021!I10</f>
        <v>3259</v>
      </c>
      <c r="J10" s="289">
        <f>+K0kommunestruktur2021!J10</f>
        <v>79675</v>
      </c>
      <c r="K10" s="289">
        <f>+K0kommunestruktur2021!K10</f>
        <v>3237</v>
      </c>
      <c r="L10" s="289">
        <f>+K0kommunestruktur2021!L10</f>
        <v>78836</v>
      </c>
      <c r="M10" s="289">
        <f>+K0kommunestruktur2021!M10</f>
        <v>3213</v>
      </c>
      <c r="N10" s="289">
        <f>+K0kommunestruktur2021!N10</f>
        <v>82728</v>
      </c>
      <c r="O10" s="289">
        <f>+K0kommunestruktur2021!O10</f>
        <v>3202</v>
      </c>
      <c r="P10" s="289">
        <f>+K0kommunestruktur2021!P10</f>
        <v>80162</v>
      </c>
      <c r="Q10" s="289">
        <f>+K0kommunestruktur2021!Q10</f>
        <v>3174</v>
      </c>
      <c r="R10" s="289">
        <f>+K0kommunestruktur2021!R10</f>
        <v>90645.703999999998</v>
      </c>
      <c r="S10" s="289">
        <f>VLOOKUP(A10,'K22'!A10:CU365,3)</f>
        <v>3178</v>
      </c>
      <c r="T10" s="289">
        <f>VLOOKUP(A10,'K22'!$A$4:$BV$359,26)</f>
        <v>103577.502253196</v>
      </c>
      <c r="U10" s="289">
        <f>VLOOKUP(A10,'Bef.fremskr. kommunenivå MMMM'!$A$5:$K$360,8)</f>
        <v>3177</v>
      </c>
      <c r="V10" s="289">
        <f>VLOOKUP(A10,'K23'!$A$4:$BV$359,26)</f>
        <v>92620.659064089748</v>
      </c>
    </row>
    <row r="11" spans="1:22" ht="13">
      <c r="A11" s="755">
        <v>1114</v>
      </c>
      <c r="B11" s="756" t="s">
        <v>0</v>
      </c>
      <c r="C11" s="289">
        <f>+K0kommunestruktur2021!C11</f>
        <v>2820</v>
      </c>
      <c r="D11" s="289">
        <f>+K0kommunestruktur2021!D11</f>
        <v>64270</v>
      </c>
      <c r="E11" s="289">
        <f>+K0kommunestruktur2021!E11</f>
        <v>2861</v>
      </c>
      <c r="F11" s="289">
        <f>+K0kommunestruktur2021!F11</f>
        <v>66516</v>
      </c>
      <c r="G11" s="289">
        <f>+K0kommunestruktur2021!G11</f>
        <v>2825</v>
      </c>
      <c r="H11" s="289">
        <f>+K0kommunestruktur2021!H11</f>
        <v>73550</v>
      </c>
      <c r="I11" s="289">
        <f>+K0kommunestruktur2021!I11</f>
        <v>2826</v>
      </c>
      <c r="J11" s="289">
        <f>+K0kommunestruktur2021!J11</f>
        <v>76011</v>
      </c>
      <c r="K11" s="289">
        <f>+K0kommunestruktur2021!K11</f>
        <v>2826</v>
      </c>
      <c r="L11" s="289">
        <f>+K0kommunestruktur2021!L11</f>
        <v>71889</v>
      </c>
      <c r="M11" s="289">
        <f>+K0kommunestruktur2021!M11</f>
        <v>2807</v>
      </c>
      <c r="N11" s="289">
        <f>+K0kommunestruktur2021!N11</f>
        <v>73711</v>
      </c>
      <c r="O11" s="289">
        <f>+K0kommunestruktur2021!O11</f>
        <v>2787</v>
      </c>
      <c r="P11" s="289">
        <f>+K0kommunestruktur2021!P11</f>
        <v>72723</v>
      </c>
      <c r="Q11" s="289">
        <f>+K0kommunestruktur2021!Q11</f>
        <v>2791</v>
      </c>
      <c r="R11" s="289">
        <f>+K0kommunestruktur2021!R11</f>
        <v>90706.262000000002</v>
      </c>
      <c r="S11" s="289">
        <f>VLOOKUP(A11,'K22'!A11:CU366,3)</f>
        <v>2789</v>
      </c>
      <c r="T11" s="289">
        <f>VLOOKUP(A11,'K22'!$A$4:$BV$359,26)</f>
        <v>96051.075772796947</v>
      </c>
      <c r="U11" s="289">
        <f>VLOOKUP(A11,'Bef.fremskr. kommunenivå MMMM'!$A$5:$K$360,8)</f>
        <v>2793</v>
      </c>
      <c r="V11" s="289">
        <f>VLOOKUP(A11,'K23'!$A$4:$BV$359,26)</f>
        <v>86937.402946582632</v>
      </c>
    </row>
    <row r="12" spans="1:22" ht="13">
      <c r="A12" s="755">
        <v>1119</v>
      </c>
      <c r="B12" s="756" t="s">
        <v>1</v>
      </c>
      <c r="C12" s="289">
        <f>+K0kommunestruktur2021!C12</f>
        <v>18115</v>
      </c>
      <c r="D12" s="289">
        <f>+K0kommunestruktur2021!D12</f>
        <v>424970</v>
      </c>
      <c r="E12" s="289">
        <f>+K0kommunestruktur2021!E12</f>
        <v>18528</v>
      </c>
      <c r="F12" s="289">
        <f>+K0kommunestruktur2021!F12</f>
        <v>436779</v>
      </c>
      <c r="G12" s="289">
        <f>+K0kommunestruktur2021!G12</f>
        <v>18591</v>
      </c>
      <c r="H12" s="289">
        <f>+K0kommunestruktur2021!H12</f>
        <v>467975</v>
      </c>
      <c r="I12" s="289">
        <f>+K0kommunestruktur2021!I12</f>
        <v>18800</v>
      </c>
      <c r="J12" s="289">
        <f>+K0kommunestruktur2021!J12</f>
        <v>470013</v>
      </c>
      <c r="K12" s="289">
        <f>+K0kommunestruktur2021!K12</f>
        <v>18762</v>
      </c>
      <c r="L12" s="289">
        <f>+K0kommunestruktur2021!L12</f>
        <v>474998</v>
      </c>
      <c r="M12" s="289">
        <f>+K0kommunestruktur2021!M12</f>
        <v>18814</v>
      </c>
      <c r="N12" s="289">
        <f>+K0kommunestruktur2021!N12</f>
        <v>500305</v>
      </c>
      <c r="O12" s="289">
        <f>+K0kommunestruktur2021!O12</f>
        <v>18991</v>
      </c>
      <c r="P12" s="289">
        <f>+K0kommunestruktur2021!P12</f>
        <v>495345</v>
      </c>
      <c r="Q12" s="289">
        <f>+K0kommunestruktur2021!Q12</f>
        <v>19120</v>
      </c>
      <c r="R12" s="289">
        <f>+K0kommunestruktur2021!R12</f>
        <v>567615.44099999999</v>
      </c>
      <c r="S12" s="289">
        <f>VLOOKUP(A12,'K22'!A12:CU367,3)</f>
        <v>19296</v>
      </c>
      <c r="T12" s="289">
        <f>VLOOKUP(A12,'K22'!$A$4:$BV$359,26)</f>
        <v>640129.98950954678</v>
      </c>
      <c r="U12" s="289">
        <f>VLOOKUP(A12,'Bef.fremskr. kommunenivå MMMM'!$A$5:$K$360,8)</f>
        <v>19450</v>
      </c>
      <c r="V12" s="289">
        <f>VLOOKUP(A12,'K23'!$A$4:$BV$359,26)</f>
        <v>589428.29601852852</v>
      </c>
    </row>
    <row r="13" spans="1:22" ht="13">
      <c r="A13" s="755">
        <v>1120</v>
      </c>
      <c r="B13" s="756" t="s">
        <v>2</v>
      </c>
      <c r="C13" s="289">
        <f>+K0kommunestruktur2021!C13</f>
        <v>18485</v>
      </c>
      <c r="D13" s="289">
        <f>+K0kommunestruktur2021!D13</f>
        <v>490669</v>
      </c>
      <c r="E13" s="289">
        <f>+K0kommunestruktur2021!E13</f>
        <v>18741</v>
      </c>
      <c r="F13" s="289">
        <f>+K0kommunestruktur2021!F13</f>
        <v>496786</v>
      </c>
      <c r="G13" s="289">
        <f>+K0kommunestruktur2021!G13</f>
        <v>18970</v>
      </c>
      <c r="H13" s="289">
        <f>+K0kommunestruktur2021!H13</f>
        <v>534018</v>
      </c>
      <c r="I13" s="289">
        <f>+K0kommunestruktur2021!I13</f>
        <v>19042</v>
      </c>
      <c r="J13" s="289">
        <f>+K0kommunestruktur2021!J13</f>
        <v>526351</v>
      </c>
      <c r="K13" s="289">
        <f>+K0kommunestruktur2021!K13</f>
        <v>19217</v>
      </c>
      <c r="L13" s="289">
        <f>+K0kommunestruktur2021!L13</f>
        <v>545564</v>
      </c>
      <c r="M13" s="289">
        <f>+K0kommunestruktur2021!M13</f>
        <v>19354</v>
      </c>
      <c r="N13" s="289">
        <f>+K0kommunestruktur2021!N13</f>
        <v>568602</v>
      </c>
      <c r="O13" s="289">
        <f>+K0kommunestruktur2021!O13</f>
        <v>19588</v>
      </c>
      <c r="P13" s="289">
        <f>+K0kommunestruktur2021!P13</f>
        <v>571777</v>
      </c>
      <c r="Q13" s="289">
        <f>+K0kommunestruktur2021!Q13</f>
        <v>19848</v>
      </c>
      <c r="R13" s="289">
        <f>+K0kommunestruktur2021!R13</f>
        <v>659797.24600000004</v>
      </c>
      <c r="S13" s="289">
        <f>VLOOKUP(A13,'K22'!A13:CU368,3)</f>
        <v>20163</v>
      </c>
      <c r="T13" s="289">
        <f>VLOOKUP(A13,'K22'!$A$4:$BV$359,26)</f>
        <v>741300.83060371177</v>
      </c>
      <c r="U13" s="289">
        <f>VLOOKUP(A13,'Bef.fremskr. kommunenivå MMMM'!$A$5:$K$360,8)</f>
        <v>20565</v>
      </c>
      <c r="V13" s="289">
        <f>VLOOKUP(A13,'K23'!$A$4:$BV$359,26)</f>
        <v>694588.66912354808</v>
      </c>
    </row>
    <row r="14" spans="1:22" ht="13">
      <c r="A14" s="755">
        <v>1121</v>
      </c>
      <c r="B14" s="756" t="s">
        <v>3</v>
      </c>
      <c r="C14" s="289">
        <f>+K0kommunestruktur2021!C14</f>
        <v>17897</v>
      </c>
      <c r="D14" s="289">
        <f>+K0kommunestruktur2021!D14</f>
        <v>477840</v>
      </c>
      <c r="E14" s="289">
        <f>+K0kommunestruktur2021!E14</f>
        <v>18306</v>
      </c>
      <c r="F14" s="289">
        <f>+K0kommunestruktur2021!F14</f>
        <v>493393</v>
      </c>
      <c r="G14" s="289">
        <f>+K0kommunestruktur2021!G14</f>
        <v>18572</v>
      </c>
      <c r="H14" s="289">
        <f>+K0kommunestruktur2021!H14</f>
        <v>534004</v>
      </c>
      <c r="I14" s="289">
        <f>+K0kommunestruktur2021!I14</f>
        <v>18656</v>
      </c>
      <c r="J14" s="289">
        <f>+K0kommunestruktur2021!J14</f>
        <v>529636</v>
      </c>
      <c r="K14" s="289">
        <f>+K0kommunestruktur2021!K14</f>
        <v>18699</v>
      </c>
      <c r="L14" s="289">
        <f>+K0kommunestruktur2021!L14</f>
        <v>540548</v>
      </c>
      <c r="M14" s="289">
        <f>+K0kommunestruktur2021!M14</f>
        <v>18795</v>
      </c>
      <c r="N14" s="289">
        <f>+K0kommunestruktur2021!N14</f>
        <v>561432</v>
      </c>
      <c r="O14" s="289">
        <f>+K0kommunestruktur2021!O14</f>
        <v>18916</v>
      </c>
      <c r="P14" s="289">
        <f>+K0kommunestruktur2021!P14</f>
        <v>563308</v>
      </c>
      <c r="Q14" s="289">
        <f>+K0kommunestruktur2021!Q14</f>
        <v>19106</v>
      </c>
      <c r="R14" s="289">
        <f>+K0kommunestruktur2021!R14</f>
        <v>690436.44499999995</v>
      </c>
      <c r="S14" s="289">
        <f>VLOOKUP(A14,'K22'!A14:CU369,3)</f>
        <v>19353</v>
      </c>
      <c r="T14" s="289">
        <f>VLOOKUP(A14,'K22'!$A$4:$BV$359,26)</f>
        <v>750725.3701118126</v>
      </c>
      <c r="U14" s="289">
        <f>VLOOKUP(A14,'Bef.fremskr. kommunenivå MMMM'!$A$5:$K$360,8)</f>
        <v>19685</v>
      </c>
      <c r="V14" s="289">
        <f>VLOOKUP(A14,'K23'!$A$4:$BV$359,26)</f>
        <v>692241.37383604236</v>
      </c>
    </row>
    <row r="15" spans="1:22" ht="13">
      <c r="A15" s="755">
        <v>1122</v>
      </c>
      <c r="B15" s="756" t="s">
        <v>4</v>
      </c>
      <c r="C15" s="289">
        <f>+K0kommunestruktur2021!C15</f>
        <v>11317</v>
      </c>
      <c r="D15" s="289">
        <f>+K0kommunestruktur2021!D15</f>
        <v>281779</v>
      </c>
      <c r="E15" s="289">
        <f>+K0kommunestruktur2021!E15</f>
        <v>11600</v>
      </c>
      <c r="F15" s="289">
        <f>+K0kommunestruktur2021!F15</f>
        <v>293175</v>
      </c>
      <c r="G15" s="289">
        <f>+K0kommunestruktur2021!G15</f>
        <v>11853</v>
      </c>
      <c r="H15" s="289">
        <f>+K0kommunestruktur2021!H15</f>
        <v>310148</v>
      </c>
      <c r="I15" s="289">
        <f>+K0kommunestruktur2021!I15</f>
        <v>11902</v>
      </c>
      <c r="J15" s="289">
        <f>+K0kommunestruktur2021!J15</f>
        <v>305892</v>
      </c>
      <c r="K15" s="289">
        <f>+K0kommunestruktur2021!K15</f>
        <v>11866</v>
      </c>
      <c r="L15" s="289">
        <f>+K0kommunestruktur2021!L15</f>
        <v>315579</v>
      </c>
      <c r="M15" s="289">
        <f>+K0kommunestruktur2021!M15</f>
        <v>11899</v>
      </c>
      <c r="N15" s="289">
        <f>+K0kommunestruktur2021!N15</f>
        <v>328082</v>
      </c>
      <c r="O15" s="289">
        <f>+K0kommunestruktur2021!O15</f>
        <v>12002</v>
      </c>
      <c r="P15" s="289">
        <f>+K0kommunestruktur2021!P15</f>
        <v>324379</v>
      </c>
      <c r="Q15" s="289">
        <f>+K0kommunestruktur2021!Q15</f>
        <v>12064</v>
      </c>
      <c r="R15" s="289">
        <f>+K0kommunestruktur2021!R15</f>
        <v>371633.98</v>
      </c>
      <c r="S15" s="289">
        <f>VLOOKUP(A15,'K22'!A15:CU370,3)</f>
        <v>12131</v>
      </c>
      <c r="T15" s="289">
        <f>VLOOKUP(A15,'K22'!$A$4:$BV$359,26)</f>
        <v>412200.85335821175</v>
      </c>
      <c r="U15" s="289">
        <f>VLOOKUP(A15,'Bef.fremskr. kommunenivå MMMM'!$A$5:$K$360,8)</f>
        <v>12280</v>
      </c>
      <c r="V15" s="289">
        <f>VLOOKUP(A15,'K23'!$A$4:$BV$359,26)</f>
        <v>385412.83274138503</v>
      </c>
    </row>
    <row r="16" spans="1:22" ht="13">
      <c r="A16" s="755">
        <v>1124</v>
      </c>
      <c r="B16" s="756" t="s">
        <v>5</v>
      </c>
      <c r="C16" s="289">
        <f>+K0kommunestruktur2021!C16</f>
        <v>25083</v>
      </c>
      <c r="D16" s="289">
        <f>+K0kommunestruktur2021!D16</f>
        <v>894740</v>
      </c>
      <c r="E16" s="289">
        <f>+K0kommunestruktur2021!E16</f>
        <v>25708</v>
      </c>
      <c r="F16" s="289">
        <f>+K0kommunestruktur2021!F16</f>
        <v>961647</v>
      </c>
      <c r="G16" s="289">
        <f>+K0kommunestruktur2021!G16</f>
        <v>26096</v>
      </c>
      <c r="H16" s="289">
        <f>+K0kommunestruktur2021!H16</f>
        <v>986777</v>
      </c>
      <c r="I16" s="289">
        <f>+K0kommunestruktur2021!I16</f>
        <v>26016</v>
      </c>
      <c r="J16" s="289">
        <f>+K0kommunestruktur2021!J16</f>
        <v>945204</v>
      </c>
      <c r="K16" s="289">
        <f>+K0kommunestruktur2021!K16</f>
        <v>26265</v>
      </c>
      <c r="L16" s="289">
        <f>+K0kommunestruktur2021!L16</f>
        <v>971476</v>
      </c>
      <c r="M16" s="289">
        <f>+K0kommunestruktur2021!M16</f>
        <v>26582</v>
      </c>
      <c r="N16" s="289">
        <f>+K0kommunestruktur2021!N16</f>
        <v>1049894</v>
      </c>
      <c r="O16" s="289">
        <f>+K0kommunestruktur2021!O16</f>
        <v>27153</v>
      </c>
      <c r="P16" s="289">
        <f>+K0kommunestruktur2021!P16</f>
        <v>1057879</v>
      </c>
      <c r="Q16" s="289">
        <f>+K0kommunestruktur2021!Q16</f>
        <v>27457</v>
      </c>
      <c r="R16" s="289">
        <f>+K0kommunestruktur2021!R16</f>
        <v>1204713.132</v>
      </c>
      <c r="S16" s="289">
        <f>VLOOKUP(A16,'K22'!A16:CU371,3)</f>
        <v>27568</v>
      </c>
      <c r="T16" s="289">
        <f>VLOOKUP(A16,'K22'!$A$4:$BV$359,26)</f>
        <v>1365282.8819165947</v>
      </c>
      <c r="U16" s="289">
        <f>VLOOKUP(A16,'Bef.fremskr. kommunenivå MMMM'!$A$5:$K$360,8)</f>
        <v>27943</v>
      </c>
      <c r="V16" s="289">
        <f>VLOOKUP(A16,'K23'!$A$4:$BV$359,26)</f>
        <v>1258082.2765584805</v>
      </c>
    </row>
    <row r="17" spans="1:22" ht="13">
      <c r="A17" s="755">
        <v>1127</v>
      </c>
      <c r="B17" s="756" t="s">
        <v>6</v>
      </c>
      <c r="C17" s="289">
        <f>+K0kommunestruktur2021!C17</f>
        <v>10416</v>
      </c>
      <c r="D17" s="289">
        <f>+K0kommunestruktur2021!D17</f>
        <v>337979</v>
      </c>
      <c r="E17" s="289">
        <f>+K0kommunestruktur2021!E17</f>
        <v>10556</v>
      </c>
      <c r="F17" s="289">
        <f>+K0kommunestruktur2021!F17</f>
        <v>344173</v>
      </c>
      <c r="G17" s="289">
        <f>+K0kommunestruktur2021!G17</f>
        <v>10737</v>
      </c>
      <c r="H17" s="289">
        <f>+K0kommunestruktur2021!H17</f>
        <v>354504</v>
      </c>
      <c r="I17" s="289">
        <f>+K0kommunestruktur2021!I17</f>
        <v>10873</v>
      </c>
      <c r="J17" s="289">
        <f>+K0kommunestruktur2021!J17</f>
        <v>341416</v>
      </c>
      <c r="K17" s="289">
        <f>+K0kommunestruktur2021!K17</f>
        <v>10972</v>
      </c>
      <c r="L17" s="289">
        <f>+K0kommunestruktur2021!L17</f>
        <v>354189</v>
      </c>
      <c r="M17" s="289">
        <f>+K0kommunestruktur2021!M17</f>
        <v>11053</v>
      </c>
      <c r="N17" s="289">
        <f>+K0kommunestruktur2021!N17</f>
        <v>377149</v>
      </c>
      <c r="O17" s="289">
        <f>+K0kommunestruktur2021!O17</f>
        <v>11221</v>
      </c>
      <c r="P17" s="289">
        <f>+K0kommunestruktur2021!P17</f>
        <v>389630</v>
      </c>
      <c r="Q17" s="289">
        <f>+K0kommunestruktur2021!Q17</f>
        <v>11315</v>
      </c>
      <c r="R17" s="289">
        <f>+K0kommunestruktur2021!R17</f>
        <v>441758.745</v>
      </c>
      <c r="S17" s="289">
        <f>VLOOKUP(A17,'K22'!A17:CU372,3)</f>
        <v>11454</v>
      </c>
      <c r="T17" s="289">
        <f>VLOOKUP(A17,'K22'!$A$4:$BV$359,26)</f>
        <v>500712.29143816564</v>
      </c>
      <c r="U17" s="289">
        <f>VLOOKUP(A17,'Bef.fremskr. kommunenivå MMMM'!$A$5:$K$360,8)</f>
        <v>11602</v>
      </c>
      <c r="V17" s="289">
        <f>VLOOKUP(A17,'K23'!$A$4:$BV$359,26)</f>
        <v>460510.74804054195</v>
      </c>
    </row>
    <row r="18" spans="1:22" ht="13">
      <c r="A18" s="755">
        <v>1130</v>
      </c>
      <c r="B18" s="756" t="s">
        <v>12</v>
      </c>
      <c r="C18" s="289">
        <f>+K0kommunestruktur2021!C18</f>
        <v>12294.554795599999</v>
      </c>
      <c r="D18" s="289">
        <f>+K0kommunestruktur2021!D18</f>
        <v>297956.84913528111</v>
      </c>
      <c r="E18" s="289">
        <f>+K0kommunestruktur2021!E18</f>
        <v>12553.835298739999</v>
      </c>
      <c r="F18" s="289">
        <f>+K0kommunestruktur2021!F18</f>
        <v>303041.17775152071</v>
      </c>
      <c r="G18" s="289">
        <f>+K0kommunestruktur2021!G18</f>
        <v>12623.71949686</v>
      </c>
      <c r="H18" s="289">
        <f>+K0kommunestruktur2021!H18</f>
        <v>331363.5214623863</v>
      </c>
      <c r="I18" s="289">
        <f>+K0kommunestruktur2021!I18</f>
        <v>12824.25676101</v>
      </c>
      <c r="J18" s="289">
        <f>+K0kommunestruktur2021!J18</f>
        <v>337276.33231141837</v>
      </c>
      <c r="K18" s="289">
        <f>+K0kommunestruktur2021!K18</f>
        <v>12799.94921384</v>
      </c>
      <c r="L18" s="289">
        <f>+K0kommunestruktur2021!L18</f>
        <v>346356.21399380598</v>
      </c>
      <c r="M18" s="289">
        <f>+K0kommunestruktur2021!M18</f>
        <v>12883</v>
      </c>
      <c r="N18" s="289">
        <f>+K0kommunestruktur2021!N18</f>
        <v>363835.36603773583</v>
      </c>
      <c r="O18" s="289">
        <f>+K0kommunestruktur2021!O18</f>
        <v>12968</v>
      </c>
      <c r="P18" s="289">
        <f>+K0kommunestruktur2021!P18</f>
        <v>352943</v>
      </c>
      <c r="Q18" s="289">
        <f>+K0kommunestruktur2021!Q18</f>
        <v>13070</v>
      </c>
      <c r="R18" s="289">
        <f>+K0kommunestruktur2021!R18</f>
        <v>415521.48</v>
      </c>
      <c r="S18" s="289">
        <f>VLOOKUP(A18,'K22'!A18:CU373,3)</f>
        <v>13268</v>
      </c>
      <c r="T18" s="289">
        <f>VLOOKUP(A18,'K22'!$A$4:$BV$359,26)</f>
        <v>464838.83183582057</v>
      </c>
      <c r="U18" s="289">
        <f>VLOOKUP(A18,'Bef.fremskr. kommunenivå MMMM'!$A$5:$K$360,8)</f>
        <v>13386</v>
      </c>
      <c r="V18" s="289">
        <f>VLOOKUP(A18,'K23'!$A$4:$BV$359,26)</f>
        <v>429182.68057767284</v>
      </c>
    </row>
    <row r="19" spans="1:22" ht="13">
      <c r="A19" s="755">
        <v>1133</v>
      </c>
      <c r="B19" s="756" t="s">
        <v>13</v>
      </c>
      <c r="C19" s="289">
        <f>+K0kommunestruktur2021!C19</f>
        <v>2709.1218330800002</v>
      </c>
      <c r="D19" s="289">
        <f>+K0kommunestruktur2021!D19</f>
        <v>84048.876676448577</v>
      </c>
      <c r="E19" s="289">
        <f>+K0kommunestruktur2021!E19</f>
        <v>2707.1777198199998</v>
      </c>
      <c r="F19" s="289">
        <f>+K0kommunestruktur2021!F19</f>
        <v>89016.08606553555</v>
      </c>
      <c r="G19" s="289">
        <f>+K0kommunestruktur2021!G19</f>
        <v>2660.5190014899999</v>
      </c>
      <c r="H19" s="289">
        <f>+K0kommunestruktur2021!H19</f>
        <v>91781.587183297699</v>
      </c>
      <c r="I19" s="289">
        <f>+K0kommunestruktur2021!I19</f>
        <v>2632.3293591699999</v>
      </c>
      <c r="J19" s="289">
        <f>+K0kommunestruktur2021!J19</f>
        <v>92416.340164095061</v>
      </c>
      <c r="K19" s="289">
        <f>+K0kommunestruktur2021!K19</f>
        <v>2646.9102086399998</v>
      </c>
      <c r="L19" s="289">
        <f>+K0kommunestruktur2021!L19</f>
        <v>92102.365871700327</v>
      </c>
      <c r="M19" s="289">
        <f>+K0kommunestruktur2021!M19</f>
        <v>2609</v>
      </c>
      <c r="N19" s="289">
        <f>+K0kommunestruktur2021!N19</f>
        <v>93031.652011922502</v>
      </c>
      <c r="O19" s="289">
        <f>+K0kommunestruktur2021!O19</f>
        <v>2574</v>
      </c>
      <c r="P19" s="289">
        <f>+K0kommunestruktur2021!P19</f>
        <v>94093</v>
      </c>
      <c r="Q19" s="289">
        <f>+K0kommunestruktur2021!Q19</f>
        <v>2580</v>
      </c>
      <c r="R19" s="289">
        <f>+K0kommunestruktur2021!R19</f>
        <v>106916.879</v>
      </c>
      <c r="S19" s="289">
        <f>VLOOKUP(A19,'K22'!A19:CU374,3)</f>
        <v>2534</v>
      </c>
      <c r="T19" s="289">
        <f>VLOOKUP(A19,'K22'!$A$4:$BV$359,26)</f>
        <v>109581.72396093218</v>
      </c>
      <c r="U19" s="289">
        <f>VLOOKUP(A19,'Bef.fremskr. kommunenivå MMMM'!$A$5:$K$360,8)</f>
        <v>2540</v>
      </c>
      <c r="V19" s="289">
        <f>VLOOKUP(A19,'K23'!$A$4:$BV$359,26)</f>
        <v>104479.72657756608</v>
      </c>
    </row>
    <row r="20" spans="1:22" ht="13">
      <c r="A20" s="755">
        <v>1134</v>
      </c>
      <c r="B20" s="756" t="s">
        <v>14</v>
      </c>
      <c r="C20" s="289">
        <f>+K0kommunestruktur2021!C20</f>
        <v>3881</v>
      </c>
      <c r="D20" s="289">
        <f>+K0kommunestruktur2021!D20</f>
        <v>128925</v>
      </c>
      <c r="E20" s="289">
        <f>+K0kommunestruktur2021!E20</f>
        <v>3892</v>
      </c>
      <c r="F20" s="289">
        <f>+K0kommunestruktur2021!F20</f>
        <v>135306</v>
      </c>
      <c r="G20" s="289">
        <f>+K0kommunestruktur2021!G20</f>
        <v>3903</v>
      </c>
      <c r="H20" s="289">
        <f>+K0kommunestruktur2021!H20</f>
        <v>141024</v>
      </c>
      <c r="I20" s="289">
        <f>+K0kommunestruktur2021!I20</f>
        <v>3853</v>
      </c>
      <c r="J20" s="289">
        <f>+K0kommunestruktur2021!J20</f>
        <v>145448</v>
      </c>
      <c r="K20" s="289">
        <f>+K0kommunestruktur2021!K20</f>
        <v>3849</v>
      </c>
      <c r="L20" s="289">
        <f>+K0kommunestruktur2021!L20</f>
        <v>153606</v>
      </c>
      <c r="M20" s="289">
        <f>+K0kommunestruktur2021!M20</f>
        <v>3794</v>
      </c>
      <c r="N20" s="289">
        <f>+K0kommunestruktur2021!N20</f>
        <v>156911</v>
      </c>
      <c r="O20" s="289">
        <f>+K0kommunestruktur2021!O20</f>
        <v>3804</v>
      </c>
      <c r="P20" s="289">
        <f>+K0kommunestruktur2021!P20</f>
        <v>148300</v>
      </c>
      <c r="Q20" s="289">
        <f>+K0kommunestruktur2021!Q20</f>
        <v>3809</v>
      </c>
      <c r="R20" s="289">
        <f>+K0kommunestruktur2021!R20</f>
        <v>161349.04399999999</v>
      </c>
      <c r="S20" s="289">
        <f>VLOOKUP(A20,'K22'!A20:CU375,3)</f>
        <v>3784</v>
      </c>
      <c r="T20" s="289">
        <f>VLOOKUP(A20,'K22'!$A$4:$BV$359,26)</f>
        <v>172365.08798470479</v>
      </c>
      <c r="U20" s="289">
        <f>VLOOKUP(A20,'Bef.fremskr. kommunenivå MMMM'!$A$5:$K$360,8)</f>
        <v>3769</v>
      </c>
      <c r="V20" s="289">
        <f>VLOOKUP(A20,'K23'!$A$4:$BV$359,26)</f>
        <v>165382.86139418001</v>
      </c>
    </row>
    <row r="21" spans="1:22" ht="13">
      <c r="A21" s="755">
        <v>1135</v>
      </c>
      <c r="B21" s="756" t="s">
        <v>15</v>
      </c>
      <c r="C21" s="289">
        <f>+K0kommunestruktur2021!C21</f>
        <v>4760</v>
      </c>
      <c r="D21" s="289">
        <f>+K0kommunestruktur2021!D21</f>
        <v>127106</v>
      </c>
      <c r="E21" s="289">
        <f>+K0kommunestruktur2021!E21</f>
        <v>4756</v>
      </c>
      <c r="F21" s="289">
        <f>+K0kommunestruktur2021!F21</f>
        <v>134334</v>
      </c>
      <c r="G21" s="289">
        <f>+K0kommunestruktur2021!G21</f>
        <v>4710</v>
      </c>
      <c r="H21" s="289">
        <f>+K0kommunestruktur2021!H21</f>
        <v>112299</v>
      </c>
      <c r="I21" s="289">
        <f>+K0kommunestruktur2021!I21</f>
        <v>4760</v>
      </c>
      <c r="J21" s="289">
        <f>+K0kommunestruktur2021!J21</f>
        <v>154229</v>
      </c>
      <c r="K21" s="289">
        <f>+K0kommunestruktur2021!K21</f>
        <v>4663</v>
      </c>
      <c r="L21" s="289">
        <f>+K0kommunestruktur2021!L21</f>
        <v>132320</v>
      </c>
      <c r="M21" s="289">
        <f>+K0kommunestruktur2021!M21</f>
        <v>4597</v>
      </c>
      <c r="N21" s="289">
        <f>+K0kommunestruktur2021!N21</f>
        <v>152473</v>
      </c>
      <c r="O21" s="289">
        <f>+K0kommunestruktur2021!O21</f>
        <v>4595</v>
      </c>
      <c r="P21" s="289">
        <f>+K0kommunestruktur2021!P21</f>
        <v>146125</v>
      </c>
      <c r="Q21" s="289">
        <f>+K0kommunestruktur2021!Q21</f>
        <v>4561</v>
      </c>
      <c r="R21" s="289">
        <f>+K0kommunestruktur2021!R21</f>
        <v>157986.484</v>
      </c>
      <c r="S21" s="289">
        <f>VLOOKUP(A21,'K22'!A21:CU376,3)</f>
        <v>4525</v>
      </c>
      <c r="T21" s="289">
        <f>VLOOKUP(A21,'K22'!$A$4:$BV$359,26)</f>
        <v>172919.98921582819</v>
      </c>
      <c r="U21" s="289">
        <f>VLOOKUP(A21,'Bef.fremskr. kommunenivå MMMM'!$A$5:$K$360,8)</f>
        <v>4485</v>
      </c>
      <c r="V21" s="289">
        <f>VLOOKUP(A21,'K23'!$A$4:$BV$359,26)</f>
        <v>163103.62435919614</v>
      </c>
    </row>
    <row r="22" spans="1:22" ht="13">
      <c r="A22" s="755">
        <v>1144</v>
      </c>
      <c r="B22" s="756" t="s">
        <v>18</v>
      </c>
      <c r="C22" s="289">
        <f>+K0kommunestruktur2021!C22</f>
        <v>531</v>
      </c>
      <c r="D22" s="289">
        <f>+K0kommunestruktur2021!D22</f>
        <v>11917</v>
      </c>
      <c r="E22" s="289">
        <f>+K0kommunestruktur2021!E22</f>
        <v>534</v>
      </c>
      <c r="F22" s="289">
        <f>+K0kommunestruktur2021!F22</f>
        <v>12526</v>
      </c>
      <c r="G22" s="289">
        <f>+K0kommunestruktur2021!G22</f>
        <v>524</v>
      </c>
      <c r="H22" s="289">
        <f>+K0kommunestruktur2021!H22</f>
        <v>12573</v>
      </c>
      <c r="I22" s="289">
        <f>+K0kommunestruktur2021!I22</f>
        <v>534</v>
      </c>
      <c r="J22" s="289">
        <f>+K0kommunestruktur2021!J22</f>
        <v>15385</v>
      </c>
      <c r="K22" s="289">
        <f>+K0kommunestruktur2021!K22</f>
        <v>542</v>
      </c>
      <c r="L22" s="289">
        <f>+K0kommunestruktur2021!L22</f>
        <v>14773</v>
      </c>
      <c r="M22" s="289">
        <f>+K0kommunestruktur2021!M22</f>
        <v>516</v>
      </c>
      <c r="N22" s="289">
        <f>+K0kommunestruktur2021!N22</f>
        <v>14046</v>
      </c>
      <c r="O22" s="289">
        <f>+K0kommunestruktur2021!O22</f>
        <v>517</v>
      </c>
      <c r="P22" s="289">
        <f>+K0kommunestruktur2021!P22</f>
        <v>13557</v>
      </c>
      <c r="Q22" s="289">
        <f>+K0kommunestruktur2021!Q22</f>
        <v>507</v>
      </c>
      <c r="R22" s="289">
        <f>+K0kommunestruktur2021!R22</f>
        <v>15499.978999999999</v>
      </c>
      <c r="S22" s="289">
        <f>VLOOKUP(A22,'K22'!A22:CU377,3)</f>
        <v>523</v>
      </c>
      <c r="T22" s="289">
        <f>VLOOKUP(A22,'K22'!$A$4:$BV$359,26)</f>
        <v>17421.053612376672</v>
      </c>
      <c r="U22" s="289">
        <f>VLOOKUP(A22,'Bef.fremskr. kommunenivå MMMM'!$A$5:$K$360,8)</f>
        <v>531</v>
      </c>
      <c r="V22" s="289">
        <f>VLOOKUP(A22,'K23'!$A$4:$BV$359,26)</f>
        <v>16406.469307238709</v>
      </c>
    </row>
    <row r="23" spans="1:22" ht="13">
      <c r="A23" s="755">
        <v>1145</v>
      </c>
      <c r="B23" s="756" t="s">
        <v>19</v>
      </c>
      <c r="C23" s="289">
        <f>+K0kommunestruktur2021!C23</f>
        <v>868</v>
      </c>
      <c r="D23" s="289">
        <f>+K0kommunestruktur2021!D23</f>
        <v>19718</v>
      </c>
      <c r="E23" s="289">
        <f>+K0kommunestruktur2021!E23</f>
        <v>865</v>
      </c>
      <c r="F23" s="289">
        <f>+K0kommunestruktur2021!F23</f>
        <v>19578</v>
      </c>
      <c r="G23" s="289">
        <f>+K0kommunestruktur2021!G23</f>
        <v>865</v>
      </c>
      <c r="H23" s="289">
        <f>+K0kommunestruktur2021!H23</f>
        <v>20265</v>
      </c>
      <c r="I23" s="289">
        <f>+K0kommunestruktur2021!I23</f>
        <v>855</v>
      </c>
      <c r="J23" s="289">
        <f>+K0kommunestruktur2021!J23</f>
        <v>20969</v>
      </c>
      <c r="K23" s="289">
        <f>+K0kommunestruktur2021!K23</f>
        <v>844</v>
      </c>
      <c r="L23" s="289">
        <f>+K0kommunestruktur2021!L23</f>
        <v>21260</v>
      </c>
      <c r="M23" s="289">
        <f>+K0kommunestruktur2021!M23</f>
        <v>840</v>
      </c>
      <c r="N23" s="289">
        <f>+K0kommunestruktur2021!N23</f>
        <v>23216</v>
      </c>
      <c r="O23" s="289">
        <f>+K0kommunestruktur2021!O23</f>
        <v>852</v>
      </c>
      <c r="P23" s="289">
        <f>+K0kommunestruktur2021!P23</f>
        <v>23677</v>
      </c>
      <c r="Q23" s="289">
        <f>+K0kommunestruktur2021!Q23</f>
        <v>859</v>
      </c>
      <c r="R23" s="289">
        <f>+K0kommunestruktur2021!R23</f>
        <v>27882.303</v>
      </c>
      <c r="S23" s="289">
        <f>VLOOKUP(A23,'K22'!A23:CU378,3)</f>
        <v>855</v>
      </c>
      <c r="T23" s="289">
        <f>VLOOKUP(A23,'K22'!$A$4:$BV$359,26)</f>
        <v>29005.962967901927</v>
      </c>
      <c r="U23" s="289">
        <f>VLOOKUP(A23,'Bef.fremskr. kommunenivå MMMM'!$A$5:$K$360,8)</f>
        <v>846</v>
      </c>
      <c r="V23" s="289">
        <f>VLOOKUP(A23,'K23'!$A$4:$BV$359,26)</f>
        <v>27326.288347378995</v>
      </c>
    </row>
    <row r="24" spans="1:22" ht="13">
      <c r="A24" s="755">
        <v>1146</v>
      </c>
      <c r="B24" s="756" t="s">
        <v>20</v>
      </c>
      <c r="C24" s="289">
        <f>+K0kommunestruktur2021!C24</f>
        <v>10668</v>
      </c>
      <c r="D24" s="289">
        <f>+K0kommunestruktur2021!D24</f>
        <v>246736</v>
      </c>
      <c r="E24" s="289">
        <f>+K0kommunestruktur2021!E24</f>
        <v>10857</v>
      </c>
      <c r="F24" s="289">
        <f>+K0kommunestruktur2021!F24</f>
        <v>255555</v>
      </c>
      <c r="G24" s="289">
        <f>+K0kommunestruktur2021!G24</f>
        <v>10925</v>
      </c>
      <c r="H24" s="289">
        <f>+K0kommunestruktur2021!H24</f>
        <v>264000</v>
      </c>
      <c r="I24" s="289">
        <f>+K0kommunestruktur2021!I24</f>
        <v>11041</v>
      </c>
      <c r="J24" s="289">
        <f>+K0kommunestruktur2021!J24</f>
        <v>279974</v>
      </c>
      <c r="K24" s="289">
        <f>+K0kommunestruktur2021!K24</f>
        <v>11023</v>
      </c>
      <c r="L24" s="289">
        <f>+K0kommunestruktur2021!L24</f>
        <v>296653</v>
      </c>
      <c r="M24" s="289">
        <f>+K0kommunestruktur2021!M24</f>
        <v>11028</v>
      </c>
      <c r="N24" s="289">
        <f>+K0kommunestruktur2021!N24</f>
        <v>303352</v>
      </c>
      <c r="O24" s="289">
        <f>+K0kommunestruktur2021!O24</f>
        <v>11065</v>
      </c>
      <c r="P24" s="289">
        <f>+K0kommunestruktur2021!P24</f>
        <v>296200</v>
      </c>
      <c r="Q24" s="289">
        <f>+K0kommunestruktur2021!Q24</f>
        <v>11178</v>
      </c>
      <c r="R24" s="289">
        <f>+K0kommunestruktur2021!R24</f>
        <v>356276.337</v>
      </c>
      <c r="S24" s="289">
        <f>VLOOKUP(A24,'K22'!A24:CU379,3)</f>
        <v>11283</v>
      </c>
      <c r="T24" s="289">
        <f>VLOOKUP(A24,'K22'!$A$4:$BV$359,26)</f>
        <v>383659.23323855904</v>
      </c>
      <c r="U24" s="289">
        <f>VLOOKUP(A24,'Bef.fremskr. kommunenivå MMMM'!$A$5:$K$360,8)</f>
        <v>11391</v>
      </c>
      <c r="V24" s="289">
        <f>VLOOKUP(A24,'K23'!$A$4:$BV$359,26)</f>
        <v>360603.23699827457</v>
      </c>
    </row>
    <row r="25" spans="1:22" ht="13">
      <c r="A25" s="755">
        <v>1149</v>
      </c>
      <c r="B25" s="756" t="s">
        <v>21</v>
      </c>
      <c r="C25" s="289">
        <f>+K0kommunestruktur2021!C25</f>
        <v>41753</v>
      </c>
      <c r="D25" s="289">
        <f>+K0kommunestruktur2021!D25</f>
        <v>951724</v>
      </c>
      <c r="E25" s="289">
        <f>+K0kommunestruktur2021!E25</f>
        <v>42062</v>
      </c>
      <c r="F25" s="289">
        <f>+K0kommunestruktur2021!F25</f>
        <v>983888</v>
      </c>
      <c r="G25" s="289">
        <f>+K0kommunestruktur2021!G25</f>
        <v>42187</v>
      </c>
      <c r="H25" s="289">
        <f>+K0kommunestruktur2021!H25</f>
        <v>1031685</v>
      </c>
      <c r="I25" s="289">
        <f>+K0kommunestruktur2021!I25</f>
        <v>42229</v>
      </c>
      <c r="J25" s="289">
        <f>+K0kommunestruktur2021!J25</f>
        <v>1048090</v>
      </c>
      <c r="K25" s="289">
        <f>+K0kommunestruktur2021!K25</f>
        <v>42243</v>
      </c>
      <c r="L25" s="289">
        <f>+K0kommunestruktur2021!L25</f>
        <v>1089363</v>
      </c>
      <c r="M25" s="289">
        <f>+K0kommunestruktur2021!M25</f>
        <v>42161</v>
      </c>
      <c r="N25" s="289">
        <f>+K0kommunestruktur2021!N25</f>
        <v>1149890</v>
      </c>
      <c r="O25" s="289">
        <f>+K0kommunestruktur2021!O25</f>
        <v>42186</v>
      </c>
      <c r="P25" s="289">
        <f>+K0kommunestruktur2021!P25</f>
        <v>1125826</v>
      </c>
      <c r="Q25" s="289">
        <f>+K0kommunestruktur2021!Q25</f>
        <v>42345</v>
      </c>
      <c r="R25" s="289">
        <f>+K0kommunestruktur2021!R25</f>
        <v>1289099.81</v>
      </c>
      <c r="S25" s="289">
        <f>VLOOKUP(A25,'K22'!A25:CU380,3)</f>
        <v>42541</v>
      </c>
      <c r="T25" s="289">
        <f>VLOOKUP(A25,'K22'!$A$4:$BV$359,26)</f>
        <v>1434075.305013987</v>
      </c>
      <c r="U25" s="289">
        <f>VLOOKUP(A25,'Bef.fremskr. kommunenivå MMMM'!$A$5:$K$360,8)</f>
        <v>42596</v>
      </c>
      <c r="V25" s="289">
        <f>VLOOKUP(A25,'K23'!$A$4:$BV$359,26)</f>
        <v>1322809.1761158961</v>
      </c>
    </row>
    <row r="26" spans="1:22" ht="13">
      <c r="A26" s="755">
        <v>1151</v>
      </c>
      <c r="B26" s="756" t="s">
        <v>22</v>
      </c>
      <c r="C26" s="289">
        <f>+K0kommunestruktur2021!C26</f>
        <v>211</v>
      </c>
      <c r="D26" s="289">
        <f>+K0kommunestruktur2021!D26</f>
        <v>5164</v>
      </c>
      <c r="E26" s="289">
        <f>+K0kommunestruktur2021!E26</f>
        <v>206</v>
      </c>
      <c r="F26" s="289">
        <f>+K0kommunestruktur2021!F26</f>
        <v>5153</v>
      </c>
      <c r="G26" s="289">
        <f>+K0kommunestruktur2021!G26</f>
        <v>200</v>
      </c>
      <c r="H26" s="289">
        <f>+K0kommunestruktur2021!H26</f>
        <v>4581</v>
      </c>
      <c r="I26" s="289">
        <f>+K0kommunestruktur2021!I26</f>
        <v>201</v>
      </c>
      <c r="J26" s="289">
        <f>+K0kommunestruktur2021!J26</f>
        <v>4747</v>
      </c>
      <c r="K26" s="289">
        <f>+K0kommunestruktur2021!K26</f>
        <v>208</v>
      </c>
      <c r="L26" s="289">
        <f>+K0kommunestruktur2021!L26</f>
        <v>5467</v>
      </c>
      <c r="M26" s="289">
        <f>+K0kommunestruktur2021!M26</f>
        <v>196</v>
      </c>
      <c r="N26" s="289">
        <f>+K0kommunestruktur2021!N26</f>
        <v>5709</v>
      </c>
      <c r="O26" s="289">
        <f>+K0kommunestruktur2021!O26</f>
        <v>198</v>
      </c>
      <c r="P26" s="289">
        <f>+K0kommunestruktur2021!P26</f>
        <v>6085</v>
      </c>
      <c r="Q26" s="289">
        <f>+K0kommunestruktur2021!Q26</f>
        <v>192</v>
      </c>
      <c r="R26" s="289">
        <f>+K0kommunestruktur2021!R26</f>
        <v>6575.7209999999995</v>
      </c>
      <c r="S26" s="289">
        <f>VLOOKUP(A26,'K22'!A26:CU381,3)</f>
        <v>188</v>
      </c>
      <c r="T26" s="289">
        <f>VLOOKUP(A26,'K22'!$A$4:$BV$359,26)</f>
        <v>7107.6439500477181</v>
      </c>
      <c r="U26" s="289">
        <f>VLOOKUP(A26,'Bef.fremskr. kommunenivå MMMM'!$A$5:$K$360,8)</f>
        <v>189</v>
      </c>
      <c r="V26" s="289">
        <f>VLOOKUP(A26,'K23'!$A$4:$BV$359,26)</f>
        <v>6542.6184173718793</v>
      </c>
    </row>
    <row r="27" spans="1:22" ht="13">
      <c r="A27" s="755">
        <v>1160</v>
      </c>
      <c r="B27" s="756" t="s">
        <v>1543</v>
      </c>
      <c r="C27" s="289">
        <f>+K0kommunestruktur2021!C27</f>
        <v>8747</v>
      </c>
      <c r="D27" s="289">
        <f>+K0kommunestruktur2021!D27</f>
        <v>219287</v>
      </c>
      <c r="E27" s="289">
        <f>+K0kommunestruktur2021!E27</f>
        <v>8765</v>
      </c>
      <c r="F27" s="289">
        <f>+K0kommunestruktur2021!F27</f>
        <v>224845</v>
      </c>
      <c r="G27" s="289">
        <f>+K0kommunestruktur2021!G27</f>
        <v>8788</v>
      </c>
      <c r="H27" s="289">
        <f>+K0kommunestruktur2021!H27</f>
        <v>241047</v>
      </c>
      <c r="I27" s="289">
        <f>+K0kommunestruktur2021!I27</f>
        <v>8828</v>
      </c>
      <c r="J27" s="289">
        <f>+K0kommunestruktur2021!J27</f>
        <v>300936</v>
      </c>
      <c r="K27" s="289">
        <f>+K0kommunestruktur2021!K27</f>
        <v>8793</v>
      </c>
      <c r="L27" s="289">
        <f>+K0kommunestruktur2021!L27</f>
        <v>278332</v>
      </c>
      <c r="M27" s="289">
        <f>+K0kommunestruktur2021!M27</f>
        <v>8743</v>
      </c>
      <c r="N27" s="289">
        <f>+K0kommunestruktur2021!N27</f>
        <v>307150</v>
      </c>
      <c r="O27" s="289">
        <f>+K0kommunestruktur2021!O27</f>
        <v>8714</v>
      </c>
      <c r="P27" s="289">
        <f>+K0kommunestruktur2021!P27</f>
        <v>308048</v>
      </c>
      <c r="Q27" s="289">
        <f>+K0kommunestruktur2021!Q27</f>
        <v>8705</v>
      </c>
      <c r="R27" s="289">
        <f>+K0kommunestruktur2021!R27</f>
        <v>338882.98200000002</v>
      </c>
      <c r="S27" s="289">
        <f>VLOOKUP(A27,'K22'!A27:CU382,3)</f>
        <v>8775</v>
      </c>
      <c r="T27" s="289">
        <f>VLOOKUP(A27,'K22'!$A$4:$BV$359,26)</f>
        <v>403504.49020859157</v>
      </c>
      <c r="U27" s="289">
        <f>VLOOKUP(A27,'Bef.fremskr. kommunenivå MMMM'!$A$5:$K$360,8)</f>
        <v>8825</v>
      </c>
      <c r="V27" s="289">
        <f>VLOOKUP(A27,'K23'!$A$4:$BV$359,26)</f>
        <v>355516.81561209843</v>
      </c>
    </row>
    <row r="28" spans="1:22" ht="13">
      <c r="A28" s="755">
        <v>1505</v>
      </c>
      <c r="B28" s="756" t="s">
        <v>1654</v>
      </c>
      <c r="C28" s="289">
        <f>+K0kommunestruktur2021!C28</f>
        <v>24395</v>
      </c>
      <c r="D28" s="289">
        <f>+K0kommunestruktur2021!D28</f>
        <v>563921</v>
      </c>
      <c r="E28" s="289">
        <f>+K0kommunestruktur2021!E28</f>
        <v>24507</v>
      </c>
      <c r="F28" s="289">
        <f>+K0kommunestruktur2021!F28</f>
        <v>582836</v>
      </c>
      <c r="G28" s="289">
        <f>+K0kommunestruktur2021!G28</f>
        <v>24526</v>
      </c>
      <c r="H28" s="289">
        <f>+K0kommunestruktur2021!H28</f>
        <v>605657</v>
      </c>
      <c r="I28" s="289">
        <f>+K0kommunestruktur2021!I28</f>
        <v>24442</v>
      </c>
      <c r="J28" s="289">
        <f>+K0kommunestruktur2021!J28</f>
        <v>613661</v>
      </c>
      <c r="K28" s="289">
        <f>+K0kommunestruktur2021!K28</f>
        <v>24300</v>
      </c>
      <c r="L28" s="289">
        <f>+K0kommunestruktur2021!L28</f>
        <v>637871</v>
      </c>
      <c r="M28" s="289">
        <f>+K0kommunestruktur2021!M28</f>
        <v>24274</v>
      </c>
      <c r="N28" s="289">
        <f>+K0kommunestruktur2021!N28</f>
        <v>663317</v>
      </c>
      <c r="O28" s="289">
        <f>+K0kommunestruktur2021!O28</f>
        <v>24179</v>
      </c>
      <c r="P28" s="289">
        <f>+K0kommunestruktur2021!P28</f>
        <v>646563</v>
      </c>
      <c r="Q28" s="289">
        <f>+K0kommunestruktur2021!Q28</f>
        <v>24099</v>
      </c>
      <c r="R28" s="289">
        <f>+K0kommunestruktur2021!R28</f>
        <v>748812.223</v>
      </c>
      <c r="S28" s="289">
        <f>VLOOKUP(A28,'K22'!A28:CU383,3)</f>
        <v>24013</v>
      </c>
      <c r="T28" s="289">
        <f>VLOOKUP(A28,'K22'!$A$4:$BV$359,26)</f>
        <v>809806.27568547381</v>
      </c>
      <c r="U28" s="289">
        <f>VLOOKUP(A28,'Bef.fremskr. kommunenivå MMMM'!$A$5:$K$360,8)</f>
        <v>24043</v>
      </c>
      <c r="V28" s="289">
        <f>VLOOKUP(A28,'K23'!$A$4:$BV$359,26)</f>
        <v>752720.69268032839</v>
      </c>
    </row>
    <row r="29" spans="1:22" ht="13">
      <c r="A29" s="755">
        <v>1506</v>
      </c>
      <c r="B29" s="756" t="s">
        <v>1611</v>
      </c>
      <c r="C29" s="289">
        <f>+K0kommunestruktur2021!C29</f>
        <v>31085</v>
      </c>
      <c r="D29" s="289">
        <f>+K0kommunestruktur2021!D29</f>
        <v>758360</v>
      </c>
      <c r="E29" s="289">
        <f>+K0kommunestruktur2021!E29</f>
        <v>31435</v>
      </c>
      <c r="F29" s="289">
        <f>+K0kommunestruktur2021!F29</f>
        <v>807102</v>
      </c>
      <c r="G29" s="289">
        <f>+K0kommunestruktur2021!G29</f>
        <v>31790</v>
      </c>
      <c r="H29" s="289">
        <f>+K0kommunestruktur2021!H29</f>
        <v>848047</v>
      </c>
      <c r="I29" s="289">
        <f>+K0kommunestruktur2021!I29</f>
        <v>31870</v>
      </c>
      <c r="J29" s="289">
        <f>+K0kommunestruktur2021!J29</f>
        <v>878122</v>
      </c>
      <c r="K29" s="289">
        <f>+K0kommunestruktur2021!K29</f>
        <v>31895</v>
      </c>
      <c r="L29" s="289">
        <f>+K0kommunestruktur2021!L29</f>
        <v>913522</v>
      </c>
      <c r="M29" s="289">
        <f>+K0kommunestruktur2021!M29</f>
        <v>31976</v>
      </c>
      <c r="N29" s="289">
        <f>+K0kommunestruktur2021!N29</f>
        <v>946419</v>
      </c>
      <c r="O29" s="289">
        <f>+K0kommunestruktur2021!O29</f>
        <v>31967</v>
      </c>
      <c r="P29" s="289">
        <f>+K0kommunestruktur2021!P29</f>
        <v>940943</v>
      </c>
      <c r="Q29" s="289">
        <f>+K0kommunestruktur2021!Q29</f>
        <v>31870</v>
      </c>
      <c r="R29" s="289">
        <f>+K0kommunestruktur2021!R29</f>
        <v>1064962.554</v>
      </c>
      <c r="S29" s="289">
        <f>VLOOKUP(A29,'K22'!A29:CU384,3)</f>
        <v>32002</v>
      </c>
      <c r="T29" s="289">
        <f>VLOOKUP(A29,'K22'!$A$4:$BV$359,26)</f>
        <v>1184174.7462885373</v>
      </c>
      <c r="U29" s="289">
        <f>VLOOKUP(A29,'Bef.fremskr. kommunenivå MMMM'!$A$5:$K$360,8)</f>
        <v>32204</v>
      </c>
      <c r="V29" s="289">
        <f>VLOOKUP(A29,'K23'!$A$4:$BV$359,26)</f>
        <v>1094020.1738882915</v>
      </c>
    </row>
    <row r="30" spans="1:22" ht="13">
      <c r="A30" s="755">
        <v>1507</v>
      </c>
      <c r="B30" s="756" t="s">
        <v>1612</v>
      </c>
      <c r="C30" s="289">
        <f>+K0kommunestruktur2021!C30</f>
        <v>62792.5172398</v>
      </c>
      <c r="D30" s="289">
        <f>+K0kommunestruktur2021!D30</f>
        <v>1568748.12571412</v>
      </c>
      <c r="E30" s="289">
        <f>+K0kommunestruktur2021!E30</f>
        <v>63445.397848640001</v>
      </c>
      <c r="F30" s="289">
        <f>+K0kommunestruktur2021!F30</f>
        <v>1625606.7280787805</v>
      </c>
      <c r="G30" s="289">
        <f>+K0kommunestruktur2021!G30</f>
        <v>64135.271692590002</v>
      </c>
      <c r="H30" s="289">
        <f>+K0kommunestruktur2021!H30</f>
        <v>1736243.4961222783</v>
      </c>
      <c r="I30" s="289">
        <f>+K0kommunestruktur2021!I30</f>
        <v>64708.166928220002</v>
      </c>
      <c r="J30" s="289">
        <f>+K0kommunestruktur2021!J30</f>
        <v>1804717.9743116449</v>
      </c>
      <c r="K30" s="289">
        <f>+K0kommunestruktur2021!K30</f>
        <v>65053.103850200001</v>
      </c>
      <c r="L30" s="289">
        <f>+K0kommunestruktur2021!L30</f>
        <v>1924606.0505843894</v>
      </c>
      <c r="M30" s="289">
        <f>+K0kommunestruktur2021!M30</f>
        <v>65621</v>
      </c>
      <c r="N30" s="289">
        <f>+K0kommunestruktur2021!N30</f>
        <v>2059966.2974875444</v>
      </c>
      <c r="O30" s="289">
        <f>+K0kommunestruktur2021!O30</f>
        <v>66258</v>
      </c>
      <c r="P30" s="289">
        <f>+K0kommunestruktur2021!P30</f>
        <v>2040372</v>
      </c>
      <c r="Q30" s="289">
        <f>+K0kommunestruktur2021!Q30</f>
        <v>66670</v>
      </c>
      <c r="R30" s="289">
        <f>+K0kommunestruktur2021!R30</f>
        <v>2306453.946</v>
      </c>
      <c r="S30" s="289">
        <f>VLOOKUP(A30,'K22'!A30:CU385,3)</f>
        <v>67114</v>
      </c>
      <c r="T30" s="289">
        <f>VLOOKUP(A30,'K22'!$A$4:$BV$359,26)</f>
        <v>2650505.6484100474</v>
      </c>
      <c r="U30" s="289">
        <f>VLOOKUP(A30,'Bef.fremskr. kommunenivå MMMM'!$A$5:$K$360,8)</f>
        <v>67680</v>
      </c>
      <c r="V30" s="289">
        <f>VLOOKUP(A30,'K23'!$A$4:$BV$359,26)</f>
        <v>2411055.9497229662</v>
      </c>
    </row>
    <row r="31" spans="1:22" ht="13">
      <c r="A31" s="755">
        <v>1511</v>
      </c>
      <c r="B31" s="756" t="s">
        <v>86</v>
      </c>
      <c r="C31" s="289">
        <f>+K0kommunestruktur2021!C31</f>
        <v>3302</v>
      </c>
      <c r="D31" s="289">
        <f>+K0kommunestruktur2021!D31</f>
        <v>72479</v>
      </c>
      <c r="E31" s="289">
        <f>+K0kommunestruktur2021!E31</f>
        <v>3258</v>
      </c>
      <c r="F31" s="289">
        <f>+K0kommunestruktur2021!F31</f>
        <v>74410</v>
      </c>
      <c r="G31" s="289">
        <f>+K0kommunestruktur2021!G31</f>
        <v>3256</v>
      </c>
      <c r="H31" s="289">
        <f>+K0kommunestruktur2021!H31</f>
        <v>74821</v>
      </c>
      <c r="I31" s="289">
        <f>+K0kommunestruktur2021!I31</f>
        <v>3203</v>
      </c>
      <c r="J31" s="289">
        <f>+K0kommunestruktur2021!J31</f>
        <v>77373</v>
      </c>
      <c r="K31" s="289">
        <f>+K0kommunestruktur2021!K31</f>
        <v>3187</v>
      </c>
      <c r="L31" s="289">
        <f>+K0kommunestruktur2021!L31</f>
        <v>83683</v>
      </c>
      <c r="M31" s="289">
        <f>+K0kommunestruktur2021!M31</f>
        <v>3163</v>
      </c>
      <c r="N31" s="289">
        <f>+K0kommunestruktur2021!N31</f>
        <v>88973</v>
      </c>
      <c r="O31" s="289">
        <f>+K0kommunestruktur2021!O31</f>
        <v>3117</v>
      </c>
      <c r="P31" s="289">
        <f>+K0kommunestruktur2021!P31</f>
        <v>83290</v>
      </c>
      <c r="Q31" s="289">
        <f>+K0kommunestruktur2021!Q31</f>
        <v>3083</v>
      </c>
      <c r="R31" s="289">
        <f>+K0kommunestruktur2021!R31</f>
        <v>91773.392999999996</v>
      </c>
      <c r="S31" s="289">
        <f>VLOOKUP(A31,'K22'!A31:CU386,3)</f>
        <v>3045</v>
      </c>
      <c r="T31" s="289">
        <f>VLOOKUP(A31,'K22'!$A$4:$BV$359,26)</f>
        <v>102539.26432012422</v>
      </c>
      <c r="U31" s="289">
        <f>VLOOKUP(A31,'Bef.fremskr. kommunenivå MMMM'!$A$5:$K$360,8)</f>
        <v>3005</v>
      </c>
      <c r="V31" s="289">
        <f>VLOOKUP(A31,'K23'!$A$4:$BV$359,26)</f>
        <v>93636.883861548427</v>
      </c>
    </row>
    <row r="32" spans="1:22" ht="13">
      <c r="A32" s="755">
        <v>1514</v>
      </c>
      <c r="B32" s="756" t="s">
        <v>897</v>
      </c>
      <c r="C32" s="289">
        <f>+K0kommunestruktur2021!C32</f>
        <v>2636</v>
      </c>
      <c r="D32" s="289">
        <f>+K0kommunestruktur2021!D32</f>
        <v>55999</v>
      </c>
      <c r="E32" s="289">
        <f>+K0kommunestruktur2021!E32</f>
        <v>2635</v>
      </c>
      <c r="F32" s="289">
        <f>+K0kommunestruktur2021!F32</f>
        <v>62048</v>
      </c>
      <c r="G32" s="289">
        <f>+K0kommunestruktur2021!G32</f>
        <v>2559</v>
      </c>
      <c r="H32" s="289">
        <f>+K0kommunestruktur2021!H32</f>
        <v>63984</v>
      </c>
      <c r="I32" s="289">
        <f>+K0kommunestruktur2021!I32</f>
        <v>2540</v>
      </c>
      <c r="J32" s="289">
        <f>+K0kommunestruktur2021!J32</f>
        <v>61235</v>
      </c>
      <c r="K32" s="289">
        <f>+K0kommunestruktur2021!K32</f>
        <v>2522</v>
      </c>
      <c r="L32" s="289">
        <f>+K0kommunestruktur2021!L32</f>
        <v>68936</v>
      </c>
      <c r="M32" s="289">
        <f>+K0kommunestruktur2021!M32</f>
        <v>2493</v>
      </c>
      <c r="N32" s="289">
        <f>+K0kommunestruktur2021!N32</f>
        <v>75383</v>
      </c>
      <c r="O32" s="289">
        <f>+K0kommunestruktur2021!O32</f>
        <v>2461</v>
      </c>
      <c r="P32" s="289">
        <f>+K0kommunestruktur2021!P32</f>
        <v>73238</v>
      </c>
      <c r="Q32" s="289">
        <f>+K0kommunestruktur2021!Q32</f>
        <v>2445</v>
      </c>
      <c r="R32" s="289">
        <f>+K0kommunestruktur2021!R32</f>
        <v>83274.95</v>
      </c>
      <c r="S32" s="289">
        <f>VLOOKUP(A32,'K22'!A32:CU387,3)</f>
        <v>2422</v>
      </c>
      <c r="T32" s="289">
        <f>VLOOKUP(A32,'K22'!$A$4:$BV$359,26)</f>
        <v>91997.635512042994</v>
      </c>
      <c r="U32" s="289">
        <f>VLOOKUP(A32,'Bef.fremskr. kommunenivå MMMM'!$A$5:$K$360,8)</f>
        <v>2441</v>
      </c>
      <c r="V32" s="289">
        <f>VLOOKUP(A32,'K23'!$A$4:$BV$359,26)</f>
        <v>84458.929190024297</v>
      </c>
    </row>
    <row r="33" spans="1:22" ht="13">
      <c r="A33" s="755">
        <v>1515</v>
      </c>
      <c r="B33" s="756" t="s">
        <v>87</v>
      </c>
      <c r="C33" s="289">
        <f>+K0kommunestruktur2021!C33</f>
        <v>8847</v>
      </c>
      <c r="D33" s="289">
        <f>+K0kommunestruktur2021!D33</f>
        <v>231216</v>
      </c>
      <c r="E33" s="289">
        <f>+K0kommunestruktur2021!E33</f>
        <v>8934</v>
      </c>
      <c r="F33" s="289">
        <f>+K0kommunestruktur2021!F33</f>
        <v>248460</v>
      </c>
      <c r="G33" s="289">
        <f>+K0kommunestruktur2021!G33</f>
        <v>8972</v>
      </c>
      <c r="H33" s="289">
        <f>+K0kommunestruktur2021!H33</f>
        <v>260046</v>
      </c>
      <c r="I33" s="289">
        <f>+K0kommunestruktur2021!I33</f>
        <v>8957</v>
      </c>
      <c r="J33" s="289">
        <f>+K0kommunestruktur2021!J33</f>
        <v>261503</v>
      </c>
      <c r="K33" s="289">
        <f>+K0kommunestruktur2021!K33</f>
        <v>8965</v>
      </c>
      <c r="L33" s="289">
        <f>+K0kommunestruktur2021!L33</f>
        <v>270116</v>
      </c>
      <c r="M33" s="289">
        <f>+K0kommunestruktur2021!M33</f>
        <v>8927</v>
      </c>
      <c r="N33" s="289">
        <f>+K0kommunestruktur2021!N33</f>
        <v>303238</v>
      </c>
      <c r="O33" s="289">
        <f>+K0kommunestruktur2021!O33</f>
        <v>8900</v>
      </c>
      <c r="P33" s="289">
        <f>+K0kommunestruktur2021!P33</f>
        <v>308399</v>
      </c>
      <c r="Q33" s="289">
        <f>+K0kommunestruktur2021!Q33</f>
        <v>8858</v>
      </c>
      <c r="R33" s="289">
        <f>+K0kommunestruktur2021!R33</f>
        <v>311160.25699999998</v>
      </c>
      <c r="S33" s="289">
        <f>VLOOKUP(A33,'K22'!A33:CU388,3)</f>
        <v>8765</v>
      </c>
      <c r="T33" s="289">
        <f>VLOOKUP(A33,'K22'!$A$4:$BV$359,26)</f>
        <v>368916.85468570044</v>
      </c>
      <c r="U33" s="289">
        <f>VLOOKUP(A33,'Bef.fremskr. kommunenivå MMMM'!$A$5:$K$360,8)</f>
        <v>8703</v>
      </c>
      <c r="V33" s="289">
        <f>VLOOKUP(A33,'K23'!$A$4:$BV$359,26)</f>
        <v>333238.10949291574</v>
      </c>
    </row>
    <row r="34" spans="1:22" ht="13">
      <c r="A34" s="755">
        <v>1516</v>
      </c>
      <c r="B34" s="756" t="s">
        <v>88</v>
      </c>
      <c r="C34" s="289">
        <f>+K0kommunestruktur2021!C34</f>
        <v>8092</v>
      </c>
      <c r="D34" s="289">
        <f>+K0kommunestruktur2021!D34</f>
        <v>242269</v>
      </c>
      <c r="E34" s="289">
        <f>+K0kommunestruktur2021!E34</f>
        <v>8292</v>
      </c>
      <c r="F34" s="289">
        <f>+K0kommunestruktur2021!F34</f>
        <v>257483</v>
      </c>
      <c r="G34" s="289">
        <f>+K0kommunestruktur2021!G34</f>
        <v>8430</v>
      </c>
      <c r="H34" s="289">
        <f>+K0kommunestruktur2021!H34</f>
        <v>245408</v>
      </c>
      <c r="I34" s="289">
        <f>+K0kommunestruktur2021!I34</f>
        <v>8457</v>
      </c>
      <c r="J34" s="289">
        <f>+K0kommunestruktur2021!J34</f>
        <v>249381</v>
      </c>
      <c r="K34" s="289">
        <f>+K0kommunestruktur2021!K34</f>
        <v>8555</v>
      </c>
      <c r="L34" s="289">
        <f>+K0kommunestruktur2021!L34</f>
        <v>262420</v>
      </c>
      <c r="M34" s="289">
        <f>+K0kommunestruktur2021!M34</f>
        <v>8609</v>
      </c>
      <c r="N34" s="289">
        <f>+K0kommunestruktur2021!N34</f>
        <v>275729</v>
      </c>
      <c r="O34" s="289">
        <f>+K0kommunestruktur2021!O34</f>
        <v>8571</v>
      </c>
      <c r="P34" s="289">
        <f>+K0kommunestruktur2021!P34</f>
        <v>276618</v>
      </c>
      <c r="Q34" s="289">
        <f>+K0kommunestruktur2021!Q34</f>
        <v>8575</v>
      </c>
      <c r="R34" s="289">
        <f>+K0kommunestruktur2021!R34</f>
        <v>314138.39</v>
      </c>
      <c r="S34" s="289">
        <f>VLOOKUP(A34,'K22'!A34:CU389,3)</f>
        <v>8557</v>
      </c>
      <c r="T34" s="289">
        <f>VLOOKUP(A34,'K22'!$A$4:$BV$359,26)</f>
        <v>340183.71992275771</v>
      </c>
      <c r="U34" s="289">
        <f>VLOOKUP(A34,'Bef.fremskr. kommunenivå MMMM'!$A$5:$K$360,8)</f>
        <v>8591</v>
      </c>
      <c r="V34" s="289">
        <f>VLOOKUP(A34,'K23'!$A$4:$BV$359,26)</f>
        <v>318972.91177455033</v>
      </c>
    </row>
    <row r="35" spans="1:22" ht="13">
      <c r="A35" s="755">
        <v>1517</v>
      </c>
      <c r="B35" s="756" t="s">
        <v>89</v>
      </c>
      <c r="C35" s="289">
        <f>+K0kommunestruktur2021!C35</f>
        <v>5021</v>
      </c>
      <c r="D35" s="289">
        <f>+K0kommunestruktur2021!D35</f>
        <v>112102</v>
      </c>
      <c r="E35" s="289">
        <f>+K0kommunestruktur2021!E35</f>
        <v>5065</v>
      </c>
      <c r="F35" s="289">
        <f>+K0kommunestruktur2021!F35</f>
        <v>114254</v>
      </c>
      <c r="G35" s="289">
        <f>+K0kommunestruktur2021!G35</f>
        <v>5189</v>
      </c>
      <c r="H35" s="289">
        <f>+K0kommunestruktur2021!H35</f>
        <v>119524</v>
      </c>
      <c r="I35" s="289">
        <f>+K0kommunestruktur2021!I35</f>
        <v>5185</v>
      </c>
      <c r="J35" s="289">
        <f>+K0kommunestruktur2021!J35</f>
        <v>120422</v>
      </c>
      <c r="K35" s="289">
        <f>+K0kommunestruktur2021!K35</f>
        <v>5150</v>
      </c>
      <c r="L35" s="289">
        <f>+K0kommunestruktur2021!L35</f>
        <v>124236</v>
      </c>
      <c r="M35" s="289">
        <f>+K0kommunestruktur2021!M35</f>
        <v>5155</v>
      </c>
      <c r="N35" s="289">
        <f>+K0kommunestruktur2021!N35</f>
        <v>130558</v>
      </c>
      <c r="O35" s="289">
        <f>+K0kommunestruktur2021!O35</f>
        <v>5175</v>
      </c>
      <c r="P35" s="289">
        <f>+K0kommunestruktur2021!P35</f>
        <v>129502</v>
      </c>
      <c r="Q35" s="289">
        <f>+K0kommunestruktur2021!Q35</f>
        <v>5140</v>
      </c>
      <c r="R35" s="289">
        <f>+K0kommunestruktur2021!R35</f>
        <v>147452.75700000001</v>
      </c>
      <c r="S35" s="289">
        <f>VLOOKUP(A35,'K22'!A35:CU390,3)</f>
        <v>5126</v>
      </c>
      <c r="T35" s="289">
        <f>VLOOKUP(A35,'K22'!$A$4:$BV$359,26)</f>
        <v>161165.40451870748</v>
      </c>
      <c r="U35" s="289">
        <f>VLOOKUP(A35,'Bef.fremskr. kommunenivå MMMM'!$A$5:$K$360,8)</f>
        <v>5140</v>
      </c>
      <c r="V35" s="289">
        <f>VLOOKUP(A35,'K23'!$A$4:$BV$359,26)</f>
        <v>149432.27071713377</v>
      </c>
    </row>
    <row r="36" spans="1:22" ht="13">
      <c r="A36" s="755">
        <v>1520</v>
      </c>
      <c r="B36" s="756" t="s">
        <v>91</v>
      </c>
      <c r="C36" s="289">
        <f>+K0kommunestruktur2021!C36</f>
        <v>10434.104448739999</v>
      </c>
      <c r="D36" s="289">
        <f>+K0kommunestruktur2021!D36</f>
        <v>228705.54738872123</v>
      </c>
      <c r="E36" s="289">
        <f>+K0kommunestruktur2021!E36</f>
        <v>10486.591876209999</v>
      </c>
      <c r="F36" s="289">
        <f>+K0kommunestruktur2021!F36</f>
        <v>245677.8027079562</v>
      </c>
      <c r="G36" s="289">
        <f>+K0kommunestruktur2021!G36</f>
        <v>10573.74081238</v>
      </c>
      <c r="H36" s="289">
        <f>+K0kommunestruktur2021!H36</f>
        <v>254924.50290137541</v>
      </c>
      <c r="I36" s="289">
        <f>+K0kommunestruktur2021!I36</f>
        <v>10640.09284333</v>
      </c>
      <c r="J36" s="289">
        <f>+K0kommunestruktur2021!J36</f>
        <v>265875.55899427511</v>
      </c>
      <c r="K36" s="289">
        <f>+K0kommunestruktur2021!K36</f>
        <v>10707.435203090001</v>
      </c>
      <c r="L36" s="289">
        <f>+K0kommunestruktur2021!L36</f>
        <v>274436.95164397813</v>
      </c>
      <c r="M36" s="289">
        <f>+K0kommunestruktur2021!M36</f>
        <v>10752</v>
      </c>
      <c r="N36" s="289">
        <f>+K0kommunestruktur2021!N36</f>
        <v>283285.53965183755</v>
      </c>
      <c r="O36" s="289">
        <f>+K0kommunestruktur2021!O36</f>
        <v>10825</v>
      </c>
      <c r="P36" s="289">
        <f>+K0kommunestruktur2021!P36</f>
        <v>277419</v>
      </c>
      <c r="Q36" s="289">
        <f>+K0kommunestruktur2021!Q36</f>
        <v>10830</v>
      </c>
      <c r="R36" s="289">
        <f>+K0kommunestruktur2021!R36</f>
        <v>310709.30699999997</v>
      </c>
      <c r="S36" s="289">
        <f>VLOOKUP(A36,'K22'!A36:CU391,3)</f>
        <v>10833</v>
      </c>
      <c r="T36" s="289">
        <f>VLOOKUP(A36,'K22'!$A$4:$BV$359,26)</f>
        <v>350503.75821612991</v>
      </c>
      <c r="U36" s="289">
        <f>VLOOKUP(A36,'Bef.fremskr. kommunenivå MMMM'!$A$5:$K$360,8)</f>
        <v>10797</v>
      </c>
      <c r="V36" s="289">
        <f>VLOOKUP(A36,'K23'!$A$4:$BV$359,26)</f>
        <v>320429.56172677671</v>
      </c>
    </row>
    <row r="37" spans="1:22" ht="13">
      <c r="A37" s="755">
        <v>1525</v>
      </c>
      <c r="B37" s="756" t="s">
        <v>94</v>
      </c>
      <c r="C37" s="289">
        <f>+K0kommunestruktur2021!C37</f>
        <v>4616</v>
      </c>
      <c r="D37" s="289">
        <f>+K0kommunestruktur2021!D37</f>
        <v>102920</v>
      </c>
      <c r="E37" s="289">
        <f>+K0kommunestruktur2021!E37</f>
        <v>4605</v>
      </c>
      <c r="F37" s="289">
        <f>+K0kommunestruktur2021!F37</f>
        <v>104690</v>
      </c>
      <c r="G37" s="289">
        <f>+K0kommunestruktur2021!G37</f>
        <v>4598</v>
      </c>
      <c r="H37" s="289">
        <f>+K0kommunestruktur2021!H37</f>
        <v>117534</v>
      </c>
      <c r="I37" s="289">
        <f>+K0kommunestruktur2021!I37</f>
        <v>4623</v>
      </c>
      <c r="J37" s="289">
        <f>+K0kommunestruktur2021!J37</f>
        <v>121163</v>
      </c>
      <c r="K37" s="289">
        <f>+K0kommunestruktur2021!K37</f>
        <v>4587</v>
      </c>
      <c r="L37" s="289">
        <f>+K0kommunestruktur2021!L37</f>
        <v>127019</v>
      </c>
      <c r="M37" s="289">
        <f>+K0kommunestruktur2021!M37</f>
        <v>4565</v>
      </c>
      <c r="N37" s="289">
        <f>+K0kommunestruktur2021!N37</f>
        <v>128492</v>
      </c>
      <c r="O37" s="289">
        <f>+K0kommunestruktur2021!O37</f>
        <v>4523</v>
      </c>
      <c r="P37" s="289">
        <f>+K0kommunestruktur2021!P37</f>
        <v>129631</v>
      </c>
      <c r="Q37" s="289">
        <f>+K0kommunestruktur2021!Q37</f>
        <v>4482</v>
      </c>
      <c r="R37" s="289">
        <f>+K0kommunestruktur2021!R37</f>
        <v>148696.72700000001</v>
      </c>
      <c r="S37" s="289">
        <f>VLOOKUP(A37,'K22'!A37:CU392,3)</f>
        <v>4467</v>
      </c>
      <c r="T37" s="289">
        <f>VLOOKUP(A37,'K22'!$A$4:$BV$359,26)</f>
        <v>162559.60457048326</v>
      </c>
      <c r="U37" s="289">
        <f>VLOOKUP(A37,'Bef.fremskr. kommunenivå MMMM'!$A$5:$K$360,8)</f>
        <v>4485</v>
      </c>
      <c r="V37" s="289">
        <f>VLOOKUP(A37,'K23'!$A$4:$BV$359,26)</f>
        <v>148334.57114410633</v>
      </c>
    </row>
    <row r="38" spans="1:22" ht="13">
      <c r="A38" s="755">
        <v>1528</v>
      </c>
      <c r="B38" s="756" t="s">
        <v>96</v>
      </c>
      <c r="C38" s="289">
        <f>+K0kommunestruktur2021!C38</f>
        <v>7730</v>
      </c>
      <c r="D38" s="289">
        <f>+K0kommunestruktur2021!D38</f>
        <v>157880</v>
      </c>
      <c r="E38" s="289">
        <f>+K0kommunestruktur2021!E38</f>
        <v>7707</v>
      </c>
      <c r="F38" s="289">
        <f>+K0kommunestruktur2021!F38</f>
        <v>165427</v>
      </c>
      <c r="G38" s="289">
        <f>+K0kommunestruktur2021!G38</f>
        <v>7675</v>
      </c>
      <c r="H38" s="289">
        <f>+K0kommunestruktur2021!H38</f>
        <v>176372</v>
      </c>
      <c r="I38" s="289">
        <f>+K0kommunestruktur2021!I38</f>
        <v>7695</v>
      </c>
      <c r="J38" s="289">
        <f>+K0kommunestruktur2021!J38</f>
        <v>182002</v>
      </c>
      <c r="K38" s="289">
        <f>+K0kommunestruktur2021!K38</f>
        <v>7695</v>
      </c>
      <c r="L38" s="289">
        <f>+K0kommunestruktur2021!L38</f>
        <v>194273</v>
      </c>
      <c r="M38" s="289">
        <f>+K0kommunestruktur2021!M38</f>
        <v>7657</v>
      </c>
      <c r="N38" s="289">
        <f>+K0kommunestruktur2021!N38</f>
        <v>203942</v>
      </c>
      <c r="O38" s="289">
        <f>+K0kommunestruktur2021!O38</f>
        <v>7625</v>
      </c>
      <c r="P38" s="289">
        <f>+K0kommunestruktur2021!P38</f>
        <v>197295</v>
      </c>
      <c r="Q38" s="289">
        <f>+K0kommunestruktur2021!Q38</f>
        <v>7596</v>
      </c>
      <c r="R38" s="289">
        <f>+K0kommunestruktur2021!R38</f>
        <v>222362.87299999999</v>
      </c>
      <c r="S38" s="289">
        <f>VLOOKUP(A38,'K22'!A38:CU393,3)</f>
        <v>7558</v>
      </c>
      <c r="T38" s="289">
        <f>VLOOKUP(A38,'K22'!$A$4:$BV$359,26)</f>
        <v>243700.8894728951</v>
      </c>
      <c r="U38" s="289">
        <f>VLOOKUP(A38,'Bef.fremskr. kommunenivå MMMM'!$A$5:$K$360,8)</f>
        <v>7545</v>
      </c>
      <c r="V38" s="289">
        <f>VLOOKUP(A38,'K23'!$A$4:$BV$359,26)</f>
        <v>227113.37800523447</v>
      </c>
    </row>
    <row r="39" spans="1:22" ht="13">
      <c r="A39" s="755">
        <v>1531</v>
      </c>
      <c r="B39" s="756" t="s">
        <v>98</v>
      </c>
      <c r="C39" s="289">
        <f>+K0kommunestruktur2021!C39</f>
        <v>8651</v>
      </c>
      <c r="D39" s="289">
        <f>+K0kommunestruktur2021!D39</f>
        <v>178416</v>
      </c>
      <c r="E39" s="289">
        <f>+K0kommunestruktur2021!E39</f>
        <v>8855</v>
      </c>
      <c r="F39" s="289">
        <f>+K0kommunestruktur2021!F39</f>
        <v>190618</v>
      </c>
      <c r="G39" s="289">
        <f>+K0kommunestruktur2021!G39</f>
        <v>8952</v>
      </c>
      <c r="H39" s="289">
        <f>+K0kommunestruktur2021!H39</f>
        <v>205516</v>
      </c>
      <c r="I39" s="289">
        <f>+K0kommunestruktur2021!I39</f>
        <v>9007</v>
      </c>
      <c r="J39" s="289">
        <f>+K0kommunestruktur2021!J39</f>
        <v>218659</v>
      </c>
      <c r="K39" s="289">
        <f>+K0kommunestruktur2021!K39</f>
        <v>9131</v>
      </c>
      <c r="L39" s="289">
        <f>+K0kommunestruktur2021!L39</f>
        <v>225657</v>
      </c>
      <c r="M39" s="289">
        <f>+K0kommunestruktur2021!M39</f>
        <v>9271</v>
      </c>
      <c r="N39" s="289">
        <f>+K0kommunestruktur2021!N39</f>
        <v>242024</v>
      </c>
      <c r="O39" s="289">
        <f>+K0kommunestruktur2021!O39</f>
        <v>9310</v>
      </c>
      <c r="P39" s="289">
        <f>+K0kommunestruktur2021!P39</f>
        <v>236662</v>
      </c>
      <c r="Q39" s="289">
        <f>+K0kommunestruktur2021!Q39</f>
        <v>9409</v>
      </c>
      <c r="R39" s="289">
        <f>+K0kommunestruktur2021!R39</f>
        <v>273616.18300000002</v>
      </c>
      <c r="S39" s="289">
        <f>VLOOKUP(A39,'K22'!A39:CU394,3)</f>
        <v>9547</v>
      </c>
      <c r="T39" s="289">
        <f>VLOOKUP(A39,'K22'!$A$4:$BV$359,26)</f>
        <v>306303.54202516656</v>
      </c>
      <c r="U39" s="289">
        <f>VLOOKUP(A39,'Bef.fremskr. kommunenivå MMMM'!$A$5:$K$360,8)</f>
        <v>9678</v>
      </c>
      <c r="V39" s="289">
        <f>VLOOKUP(A39,'K23'!$A$4:$BV$359,26)</f>
        <v>287017.7173877607</v>
      </c>
    </row>
    <row r="40" spans="1:22" ht="13">
      <c r="A40" s="755">
        <v>1532</v>
      </c>
      <c r="B40" s="756" t="s">
        <v>99</v>
      </c>
      <c r="C40" s="289">
        <f>+K0kommunestruktur2021!C40</f>
        <v>7739</v>
      </c>
      <c r="D40" s="289">
        <f>+K0kommunestruktur2021!D40</f>
        <v>176985</v>
      </c>
      <c r="E40" s="289">
        <f>+K0kommunestruktur2021!E40</f>
        <v>7924</v>
      </c>
      <c r="F40" s="289">
        <f>+K0kommunestruktur2021!F40</f>
        <v>191013</v>
      </c>
      <c r="G40" s="289">
        <f>+K0kommunestruktur2021!G40</f>
        <v>8094</v>
      </c>
      <c r="H40" s="289">
        <f>+K0kommunestruktur2021!H40</f>
        <v>202891</v>
      </c>
      <c r="I40" s="289">
        <f>+K0kommunestruktur2021!I40</f>
        <v>8176</v>
      </c>
      <c r="J40" s="289">
        <f>+K0kommunestruktur2021!J40</f>
        <v>211132</v>
      </c>
      <c r="K40" s="289">
        <f>+K0kommunestruktur2021!K40</f>
        <v>8292</v>
      </c>
      <c r="L40" s="289">
        <f>+K0kommunestruktur2021!L40</f>
        <v>225895</v>
      </c>
      <c r="M40" s="289">
        <f>+K0kommunestruktur2021!M40</f>
        <v>8398</v>
      </c>
      <c r="N40" s="289">
        <f>+K0kommunestruktur2021!N40</f>
        <v>241624</v>
      </c>
      <c r="O40" s="289">
        <f>+K0kommunestruktur2021!O40</f>
        <v>8462</v>
      </c>
      <c r="P40" s="289">
        <f>+K0kommunestruktur2021!P40</f>
        <v>242967</v>
      </c>
      <c r="Q40" s="289">
        <f>+K0kommunestruktur2021!Q40</f>
        <v>8506</v>
      </c>
      <c r="R40" s="289">
        <f>+K0kommunestruktur2021!R40</f>
        <v>285156.16399999999</v>
      </c>
      <c r="S40" s="289">
        <f>VLOOKUP(A40,'K22'!A40:CU395,3)</f>
        <v>8597</v>
      </c>
      <c r="T40" s="289">
        <f>VLOOKUP(A40,'K22'!$A$4:$BV$359,26)</f>
        <v>310231.79723875888</v>
      </c>
      <c r="U40" s="289">
        <f>VLOOKUP(A40,'Bef.fremskr. kommunenivå MMMM'!$A$5:$K$360,8)</f>
        <v>8682</v>
      </c>
      <c r="V40" s="289">
        <f>VLOOKUP(A40,'K23'!$A$4:$BV$359,26)</f>
        <v>290427.23087434017</v>
      </c>
    </row>
    <row r="41" spans="1:22" s="657" customFormat="1" ht="13">
      <c r="A41" s="755">
        <v>1535</v>
      </c>
      <c r="B41" s="756" t="s">
        <v>101</v>
      </c>
      <c r="C41" s="290">
        <f>+K0kommunestruktur2021!C41</f>
        <v>7033.2478567099997</v>
      </c>
      <c r="D41" s="290">
        <f>+K0kommunestruktur2021!D41</f>
        <v>157592.59721381904</v>
      </c>
      <c r="E41" s="290">
        <f>+K0kommunestruktur2021!E41</f>
        <v>7132.1279852999996</v>
      </c>
      <c r="F41" s="290">
        <f>+K0kommunestruktur2021!F41</f>
        <v>166670.43095522403</v>
      </c>
      <c r="G41" s="290">
        <f>+K0kommunestruktur2021!G41</f>
        <v>7028.9949479500001</v>
      </c>
      <c r="H41" s="290">
        <f>+K0kommunestruktur2021!H41</f>
        <v>166875.63380285108</v>
      </c>
      <c r="I41" s="290">
        <f>+K0kommunestruktur2021!I41</f>
        <v>6992.8452235200002</v>
      </c>
      <c r="J41" s="290">
        <f>+K0kommunestruktur2021!J41</f>
        <v>170637.3315984073</v>
      </c>
      <c r="K41" s="290">
        <f>+K0kommunestruktur2021!K41</f>
        <v>6973.70713411</v>
      </c>
      <c r="L41" s="290">
        <f>+K0kommunestruktur2021!L41</f>
        <v>187814.83006738758</v>
      </c>
      <c r="M41" s="290">
        <f>+K0kommunestruktur2021!M41</f>
        <v>6949.2529087599996</v>
      </c>
      <c r="N41" s="290">
        <f>+K0kommunestruktur2021!N41</f>
        <v>206473.40401111508</v>
      </c>
      <c r="O41" s="290">
        <f>+K0kommunestruktur2021!O41</f>
        <v>6945</v>
      </c>
      <c r="P41" s="290">
        <f>+K0kommunestruktur2021!P41</f>
        <v>199912.22902633192</v>
      </c>
      <c r="Q41" s="290">
        <f>+K0kommunestruktur2021!Q41</f>
        <v>6958</v>
      </c>
      <c r="R41" s="290">
        <f>+K0kommunestruktur2021!R41</f>
        <v>211902.95300000001</v>
      </c>
      <c r="S41" s="289">
        <f>VLOOKUP(A41,'K22'!A41:CU396,3)</f>
        <v>6936</v>
      </c>
      <c r="T41" s="290">
        <f>VLOOKUP(A41,'K22'!$A$4:$BV$359,26)</f>
        <v>248807.46981176798</v>
      </c>
      <c r="U41" s="289">
        <f>VLOOKUP(A41,'Bef.fremskr. kommunenivå MMMM'!$A$5:$K$360,8)</f>
        <v>6951</v>
      </c>
      <c r="V41" s="289">
        <f>VLOOKUP(A41,'K23'!$A$4:$BV$359,26)</f>
        <v>228049.07362136539</v>
      </c>
    </row>
    <row r="42" spans="1:22" s="657" customFormat="1" ht="13">
      <c r="A42" s="755">
        <v>1539</v>
      </c>
      <c r="B42" s="756" t="s">
        <v>102</v>
      </c>
      <c r="C42" s="290">
        <f>+K0kommunestruktur2021!C42</f>
        <v>7040.82953937</v>
      </c>
      <c r="D42" s="290">
        <f>+K0kommunestruktur2021!D42</f>
        <v>163447.7611141339</v>
      </c>
      <c r="E42" s="290">
        <f>+K0kommunestruktur2021!E42</f>
        <v>7033.2719603599999</v>
      </c>
      <c r="F42" s="290">
        <f>+K0kommunestruktur2021!F42</f>
        <v>168048.43733251834</v>
      </c>
      <c r="G42" s="290">
        <f>+K0kommunestruktur2021!G42</f>
        <v>7077.6727370099998</v>
      </c>
      <c r="H42" s="290">
        <f>+K0kommunestruktur2021!H42</f>
        <v>173272.61381893035</v>
      </c>
      <c r="I42" s="290">
        <f>+K0kommunestruktur2021!I42</f>
        <v>7088.0644081399996</v>
      </c>
      <c r="J42" s="290">
        <f>+K0kommunestruktur2021!J42</f>
        <v>182116.8706480625</v>
      </c>
      <c r="K42" s="290">
        <f>+K0kommunestruktur2021!K42</f>
        <v>7091.8431976399997</v>
      </c>
      <c r="L42" s="290">
        <f>+K0kommunestruktur2021!L42</f>
        <v>196361.96237269981</v>
      </c>
      <c r="M42" s="290">
        <f>+K0kommunestruktur2021!M42</f>
        <v>7072.9492501300001</v>
      </c>
      <c r="N42" s="290">
        <f>+K0kommunestruktur2021!N42</f>
        <v>202690.49009094326</v>
      </c>
      <c r="O42" s="290">
        <f>+K0kommunestruktur2021!O42</f>
        <v>7055</v>
      </c>
      <c r="P42" s="290">
        <f>+K0kommunestruktur2021!P42</f>
        <v>193907.63859132299</v>
      </c>
      <c r="Q42" s="290">
        <f>+K0kommunestruktur2021!Q42</f>
        <v>7026</v>
      </c>
      <c r="R42" s="290">
        <f>+K0kommunestruktur2021!R42</f>
        <v>226776.769</v>
      </c>
      <c r="S42" s="289">
        <f>VLOOKUP(A42,'K22'!A42:CU397,3)</f>
        <v>7019</v>
      </c>
      <c r="T42" s="290">
        <f>VLOOKUP(A42,'K22'!$A$4:$BV$359,26)</f>
        <v>251054.68167852293</v>
      </c>
      <c r="U42" s="289">
        <f>VLOOKUP(A42,'Bef.fremskr. kommunenivå MMMM'!$A$5:$K$360,8)</f>
        <v>7017</v>
      </c>
      <c r="V42" s="289">
        <f>VLOOKUP(A42,'K23'!$A$4:$BV$359,26)</f>
        <v>227953.42592261473</v>
      </c>
    </row>
    <row r="43" spans="1:22" ht="13">
      <c r="A43" s="755">
        <v>1547</v>
      </c>
      <c r="B43" s="756" t="s">
        <v>106</v>
      </c>
      <c r="C43" s="289">
        <f>+K0kommunestruktur2021!C43</f>
        <v>3388.45069229</v>
      </c>
      <c r="D43" s="289">
        <f>+K0kommunestruktur2021!D43</f>
        <v>84510.589149578096</v>
      </c>
      <c r="E43" s="289">
        <f>+K0kommunestruktur2021!E43</f>
        <v>3477.7524724499999</v>
      </c>
      <c r="F43" s="289">
        <f>+K0kommunestruktur2021!F43</f>
        <v>91865.443628147652</v>
      </c>
      <c r="G43" s="289">
        <f>+K0kommunestruktur2021!G43</f>
        <v>3529.9287934399999</v>
      </c>
      <c r="H43" s="289">
        <f>+K0kommunestruktur2021!H43</f>
        <v>97605.842328217579</v>
      </c>
      <c r="I43" s="289">
        <f>+K0kommunestruktur2021!I43</f>
        <v>3559.0271263099999</v>
      </c>
      <c r="J43" s="289">
        <f>+K0kommunestruktur2021!J43</f>
        <v>102763.27098059344</v>
      </c>
      <c r="K43" s="289">
        <f>+K0kommunestruktur2021!K43</f>
        <v>3569.0610341900001</v>
      </c>
      <c r="L43" s="289">
        <f>+K0kommunestruktur2021!L43</f>
        <v>97395.130262773833</v>
      </c>
      <c r="M43" s="289">
        <f>+K0kommunestruktur2021!M43</f>
        <v>3551</v>
      </c>
      <c r="N43" s="289">
        <f>+K0kommunestruktur2021!N43</f>
        <v>106749.74258265046</v>
      </c>
      <c r="O43" s="289">
        <f>+K0kommunestruktur2021!O43</f>
        <v>3509</v>
      </c>
      <c r="P43" s="289">
        <f>+K0kommunestruktur2021!P43</f>
        <v>99585</v>
      </c>
      <c r="Q43" s="289">
        <f>+K0kommunestruktur2021!Q43</f>
        <v>3522</v>
      </c>
      <c r="R43" s="289">
        <f>+K0kommunestruktur2021!R43</f>
        <v>107765.298</v>
      </c>
      <c r="S43" s="289">
        <f>VLOOKUP(A43,'K22'!A43:CU398,3)</f>
        <v>3518</v>
      </c>
      <c r="T43" s="289">
        <f>VLOOKUP(A43,'K22'!$A$4:$BV$359,26)</f>
        <v>124493.99438440717</v>
      </c>
      <c r="U43" s="289">
        <f>VLOOKUP(A43,'Bef.fremskr. kommunenivå MMMM'!$A$5:$K$360,8)</f>
        <v>3575</v>
      </c>
      <c r="V43" s="289">
        <f>VLOOKUP(A43,'K23'!$A$4:$BV$359,26)</f>
        <v>117399.85213461758</v>
      </c>
    </row>
    <row r="44" spans="1:22" ht="13">
      <c r="A44" s="755">
        <v>1554</v>
      </c>
      <c r="B44" s="756" t="s">
        <v>109</v>
      </c>
      <c r="C44" s="289">
        <f>+K0kommunestruktur2021!C44</f>
        <v>5687</v>
      </c>
      <c r="D44" s="289">
        <f>+K0kommunestruktur2021!D44</f>
        <v>125329</v>
      </c>
      <c r="E44" s="289">
        <f>+K0kommunestruktur2021!E44</f>
        <v>5794</v>
      </c>
      <c r="F44" s="289">
        <f>+K0kommunestruktur2021!F44</f>
        <v>136191</v>
      </c>
      <c r="G44" s="289">
        <f>+K0kommunestruktur2021!G44</f>
        <v>5826</v>
      </c>
      <c r="H44" s="289">
        <f>+K0kommunestruktur2021!H44</f>
        <v>146606</v>
      </c>
      <c r="I44" s="289">
        <f>+K0kommunestruktur2021!I44</f>
        <v>5856</v>
      </c>
      <c r="J44" s="289">
        <f>+K0kommunestruktur2021!J44</f>
        <v>150786</v>
      </c>
      <c r="K44" s="289">
        <f>+K0kommunestruktur2021!K44</f>
        <v>5859</v>
      </c>
      <c r="L44" s="289">
        <f>+K0kommunestruktur2021!L44</f>
        <v>153466</v>
      </c>
      <c r="M44" s="289">
        <f>+K0kommunestruktur2021!M44</f>
        <v>5849</v>
      </c>
      <c r="N44" s="289">
        <f>+K0kommunestruktur2021!N44</f>
        <v>163113</v>
      </c>
      <c r="O44" s="289">
        <f>+K0kommunestruktur2021!O44</f>
        <v>5788</v>
      </c>
      <c r="P44" s="289">
        <f>+K0kommunestruktur2021!P44</f>
        <v>163759</v>
      </c>
      <c r="Q44" s="289">
        <f>+K0kommunestruktur2021!Q44</f>
        <v>5808</v>
      </c>
      <c r="R44" s="289">
        <f>+K0kommunestruktur2021!R44</f>
        <v>185263.12599999999</v>
      </c>
      <c r="S44" s="289">
        <f>VLOOKUP(A44,'K22'!A44:CU399,3)</f>
        <v>5828</v>
      </c>
      <c r="T44" s="289">
        <f>VLOOKUP(A44,'K22'!$A$4:$BV$359,26)</f>
        <v>205846.04528919084</v>
      </c>
      <c r="U44" s="289">
        <f>VLOOKUP(A44,'Bef.fremskr. kommunenivå MMMM'!$A$5:$K$360,8)</f>
        <v>5912</v>
      </c>
      <c r="V44" s="289">
        <f>VLOOKUP(A44,'K23'!$A$4:$BV$359,26)</f>
        <v>191566.85371985816</v>
      </c>
    </row>
    <row r="45" spans="1:22" ht="13">
      <c r="A45" s="755">
        <v>1557</v>
      </c>
      <c r="B45" s="756" t="s">
        <v>110</v>
      </c>
      <c r="C45" s="289">
        <f>+K0kommunestruktur2021!C45</f>
        <v>2565</v>
      </c>
      <c r="D45" s="289">
        <f>+K0kommunestruktur2021!D45</f>
        <v>54164</v>
      </c>
      <c r="E45" s="289">
        <f>+K0kommunestruktur2021!E45</f>
        <v>2580</v>
      </c>
      <c r="F45" s="289">
        <f>+K0kommunestruktur2021!F45</f>
        <v>59425</v>
      </c>
      <c r="G45" s="289">
        <f>+K0kommunestruktur2021!G45</f>
        <v>2593</v>
      </c>
      <c r="H45" s="289">
        <f>+K0kommunestruktur2021!H45</f>
        <v>59460</v>
      </c>
      <c r="I45" s="289">
        <f>+K0kommunestruktur2021!I45</f>
        <v>2611</v>
      </c>
      <c r="J45" s="289">
        <f>+K0kommunestruktur2021!J45</f>
        <v>60402</v>
      </c>
      <c r="K45" s="289">
        <f>+K0kommunestruktur2021!K45</f>
        <v>2623</v>
      </c>
      <c r="L45" s="289">
        <f>+K0kommunestruktur2021!L45</f>
        <v>63780</v>
      </c>
      <c r="M45" s="289">
        <f>+K0kommunestruktur2021!M45</f>
        <v>2641</v>
      </c>
      <c r="N45" s="289">
        <f>+K0kommunestruktur2021!N45</f>
        <v>65161</v>
      </c>
      <c r="O45" s="289">
        <f>+K0kommunestruktur2021!O45</f>
        <v>2629</v>
      </c>
      <c r="P45" s="289">
        <f>+K0kommunestruktur2021!P45</f>
        <v>63050</v>
      </c>
      <c r="Q45" s="289">
        <f>+K0kommunestruktur2021!Q45</f>
        <v>2658</v>
      </c>
      <c r="R45" s="289">
        <f>+K0kommunestruktur2021!R45</f>
        <v>71939.519</v>
      </c>
      <c r="S45" s="289">
        <f>VLOOKUP(A45,'K22'!A45:CU400,3)</f>
        <v>2669</v>
      </c>
      <c r="T45" s="289">
        <f>VLOOKUP(A45,'K22'!$A$4:$BV$359,26)</f>
        <v>79158.076976215089</v>
      </c>
      <c r="U45" s="289">
        <f>VLOOKUP(A45,'Bef.fremskr. kommunenivå MMMM'!$A$5:$K$360,8)</f>
        <v>2708</v>
      </c>
      <c r="V45" s="289">
        <f>VLOOKUP(A45,'K23'!$A$4:$BV$359,26)</f>
        <v>75476.848675578643</v>
      </c>
    </row>
    <row r="46" spans="1:22" ht="13">
      <c r="A46" s="755">
        <v>1560</v>
      </c>
      <c r="B46" s="756" t="s">
        <v>111</v>
      </c>
      <c r="C46" s="289">
        <f>+K0kommunestruktur2021!C46</f>
        <v>3064</v>
      </c>
      <c r="D46" s="289">
        <f>+K0kommunestruktur2021!D46</f>
        <v>56739</v>
      </c>
      <c r="E46" s="289">
        <f>+K0kommunestruktur2021!E46</f>
        <v>3090</v>
      </c>
      <c r="F46" s="289">
        <f>+K0kommunestruktur2021!F46</f>
        <v>60801</v>
      </c>
      <c r="G46" s="289">
        <f>+K0kommunestruktur2021!G46</f>
        <v>3103</v>
      </c>
      <c r="H46" s="289">
        <f>+K0kommunestruktur2021!H46</f>
        <v>68044</v>
      </c>
      <c r="I46" s="289">
        <f>+K0kommunestruktur2021!I46</f>
        <v>3109</v>
      </c>
      <c r="J46" s="289">
        <f>+K0kommunestruktur2021!J46</f>
        <v>68507</v>
      </c>
      <c r="K46" s="289">
        <f>+K0kommunestruktur2021!K46</f>
        <v>3078</v>
      </c>
      <c r="L46" s="289">
        <f>+K0kommunestruktur2021!L46</f>
        <v>70887</v>
      </c>
      <c r="M46" s="289">
        <f>+K0kommunestruktur2021!M46</f>
        <v>3045</v>
      </c>
      <c r="N46" s="289">
        <f>+K0kommunestruktur2021!N46</f>
        <v>75985</v>
      </c>
      <c r="O46" s="289">
        <f>+K0kommunestruktur2021!O46</f>
        <v>3025</v>
      </c>
      <c r="P46" s="289">
        <f>+K0kommunestruktur2021!P46</f>
        <v>75472</v>
      </c>
      <c r="Q46" s="289">
        <f>+K0kommunestruktur2021!Q46</f>
        <v>2985</v>
      </c>
      <c r="R46" s="289">
        <f>+K0kommunestruktur2021!R46</f>
        <v>81411.259000000005</v>
      </c>
      <c r="S46" s="289">
        <f>VLOOKUP(A46,'K22'!A46:CU401,3)</f>
        <v>2960</v>
      </c>
      <c r="T46" s="289">
        <f>VLOOKUP(A46,'K22'!$A$4:$BV$359,26)</f>
        <v>89889.778395161076</v>
      </c>
      <c r="U46" s="289">
        <f>VLOOKUP(A46,'Bef.fremskr. kommunenivå MMMM'!$A$5:$K$360,8)</f>
        <v>2975</v>
      </c>
      <c r="V46" s="289">
        <f>VLOOKUP(A46,'K23'!$A$4:$BV$359,26)</f>
        <v>84565.103671332836</v>
      </c>
    </row>
    <row r="47" spans="1:22" ht="13">
      <c r="A47" s="755">
        <v>1563</v>
      </c>
      <c r="B47" s="756" t="s">
        <v>112</v>
      </c>
      <c r="C47" s="289">
        <f>+K0kommunestruktur2021!C47</f>
        <v>7171</v>
      </c>
      <c r="D47" s="289">
        <f>+K0kommunestruktur2021!D47</f>
        <v>169264</v>
      </c>
      <c r="E47" s="289">
        <f>+K0kommunestruktur2021!E47</f>
        <v>7155</v>
      </c>
      <c r="F47" s="289">
        <f>+K0kommunestruktur2021!F47</f>
        <v>178481</v>
      </c>
      <c r="G47" s="289">
        <f>+K0kommunestruktur2021!G47</f>
        <v>7160</v>
      </c>
      <c r="H47" s="289">
        <f>+K0kommunestruktur2021!H47</f>
        <v>189734</v>
      </c>
      <c r="I47" s="289">
        <f>+K0kommunestruktur2021!I47</f>
        <v>7126</v>
      </c>
      <c r="J47" s="289">
        <f>+K0kommunestruktur2021!J47</f>
        <v>195106</v>
      </c>
      <c r="K47" s="289">
        <f>+K0kommunestruktur2021!K47</f>
        <v>7119</v>
      </c>
      <c r="L47" s="289">
        <f>+K0kommunestruktur2021!L47</f>
        <v>203672</v>
      </c>
      <c r="M47" s="289">
        <f>+K0kommunestruktur2021!M47</f>
        <v>7106</v>
      </c>
      <c r="N47" s="289">
        <f>+K0kommunestruktur2021!N47</f>
        <v>207823</v>
      </c>
      <c r="O47" s="289">
        <f>+K0kommunestruktur2021!O47</f>
        <v>7036</v>
      </c>
      <c r="P47" s="289">
        <f>+K0kommunestruktur2021!P47</f>
        <v>204475</v>
      </c>
      <c r="Q47" s="289">
        <f>+K0kommunestruktur2021!Q47</f>
        <v>6956</v>
      </c>
      <c r="R47" s="289">
        <f>+K0kommunestruktur2021!R47</f>
        <v>233349.353</v>
      </c>
      <c r="S47" s="289">
        <f>VLOOKUP(A47,'K22'!A47:CU402,3)</f>
        <v>6932</v>
      </c>
      <c r="T47" s="289">
        <f>VLOOKUP(A47,'K22'!$A$4:$BV$359,26)</f>
        <v>246099.74084493675</v>
      </c>
      <c r="U47" s="289">
        <f>VLOOKUP(A47,'Bef.fremskr. kommunenivå MMMM'!$A$5:$K$360,8)</f>
        <v>6894</v>
      </c>
      <c r="V47" s="289">
        <f>VLOOKUP(A47,'K23'!$A$4:$BV$359,26)</f>
        <v>231679.00298555216</v>
      </c>
    </row>
    <row r="48" spans="1:22" ht="13">
      <c r="A48" s="755">
        <v>1566</v>
      </c>
      <c r="B48" s="756" t="s">
        <v>113</v>
      </c>
      <c r="C48" s="289">
        <f>+K0kommunestruktur2021!C48</f>
        <v>5954</v>
      </c>
      <c r="D48" s="289">
        <f>+K0kommunestruktur2021!D48</f>
        <v>120188</v>
      </c>
      <c r="E48" s="289">
        <f>+K0kommunestruktur2021!E48</f>
        <v>5976</v>
      </c>
      <c r="F48" s="289">
        <f>+K0kommunestruktur2021!F48</f>
        <v>122573</v>
      </c>
      <c r="G48" s="289">
        <f>+K0kommunestruktur2021!G48</f>
        <v>5969</v>
      </c>
      <c r="H48" s="289">
        <f>+K0kommunestruktur2021!H48</f>
        <v>132821</v>
      </c>
      <c r="I48" s="289">
        <f>+K0kommunestruktur2021!I48</f>
        <v>5986</v>
      </c>
      <c r="J48" s="289">
        <f>+K0kommunestruktur2021!J48</f>
        <v>140387</v>
      </c>
      <c r="K48" s="289">
        <f>+K0kommunestruktur2021!K48</f>
        <v>5978</v>
      </c>
      <c r="L48" s="289">
        <f>+K0kommunestruktur2021!L48</f>
        <v>157123</v>
      </c>
      <c r="M48" s="289">
        <f>+K0kommunestruktur2021!M48</f>
        <v>5928</v>
      </c>
      <c r="N48" s="289">
        <f>+K0kommunestruktur2021!N48</f>
        <v>151417</v>
      </c>
      <c r="O48" s="289">
        <f>+K0kommunestruktur2021!O48</f>
        <v>5920</v>
      </c>
      <c r="P48" s="289">
        <f>+K0kommunestruktur2021!P48</f>
        <v>139829</v>
      </c>
      <c r="Q48" s="289">
        <f>+K0kommunestruktur2021!Q48</f>
        <v>5872</v>
      </c>
      <c r="R48" s="289">
        <f>+K0kommunestruktur2021!R48</f>
        <v>170499.11</v>
      </c>
      <c r="S48" s="289">
        <f>VLOOKUP(A48,'K22'!A48:CU403,3)</f>
        <v>5849</v>
      </c>
      <c r="T48" s="289">
        <f>VLOOKUP(A48,'K22'!$A$4:$BV$359,26)</f>
        <v>178646.46705184993</v>
      </c>
      <c r="U48" s="289">
        <f>VLOOKUP(A48,'Bef.fremskr. kommunenivå MMMM'!$A$5:$K$360,8)</f>
        <v>5790</v>
      </c>
      <c r="V48" s="289">
        <f>VLOOKUP(A48,'K23'!$A$4:$BV$359,26)</f>
        <v>165719.93755231038</v>
      </c>
    </row>
    <row r="49" spans="1:22" ht="13">
      <c r="A49" s="755">
        <v>1573</v>
      </c>
      <c r="B49" s="756" t="s">
        <v>116</v>
      </c>
      <c r="C49" s="289">
        <f>+K0kommunestruktur2021!C49</f>
        <v>2166</v>
      </c>
      <c r="D49" s="289">
        <f>+K0kommunestruktur2021!D49</f>
        <v>42888</v>
      </c>
      <c r="E49" s="289">
        <f>+K0kommunestruktur2021!E49</f>
        <v>2146</v>
      </c>
      <c r="F49" s="289">
        <f>+K0kommunestruktur2021!F49</f>
        <v>44088</v>
      </c>
      <c r="G49" s="289">
        <f>+K0kommunestruktur2021!G49</f>
        <v>2141</v>
      </c>
      <c r="H49" s="289">
        <f>+K0kommunestruktur2021!H49</f>
        <v>49763</v>
      </c>
      <c r="I49" s="289">
        <f>+K0kommunestruktur2021!I49</f>
        <v>2160</v>
      </c>
      <c r="J49" s="289">
        <f>+K0kommunestruktur2021!J49</f>
        <v>54812</v>
      </c>
      <c r="K49" s="289">
        <f>+K0kommunestruktur2021!K49</f>
        <v>2172</v>
      </c>
      <c r="L49" s="289">
        <f>+K0kommunestruktur2021!L49</f>
        <v>54874</v>
      </c>
      <c r="M49" s="289">
        <f>+K0kommunestruktur2021!M49</f>
        <v>2134</v>
      </c>
      <c r="N49" s="289">
        <f>+K0kommunestruktur2021!N49</f>
        <v>56072</v>
      </c>
      <c r="O49" s="289">
        <f>+K0kommunestruktur2021!O49</f>
        <v>2150</v>
      </c>
      <c r="P49" s="289">
        <f>+K0kommunestruktur2021!P49</f>
        <v>57258</v>
      </c>
      <c r="Q49" s="289">
        <f>+K0kommunestruktur2021!Q49</f>
        <v>2128</v>
      </c>
      <c r="R49" s="289">
        <f>+K0kommunestruktur2021!R49</f>
        <v>68450.55</v>
      </c>
      <c r="S49" s="289">
        <f>VLOOKUP(A49,'K22'!A49:CU404,3)</f>
        <v>2120</v>
      </c>
      <c r="T49" s="289">
        <f>VLOOKUP(A49,'K22'!$A$4:$BV$359,26)</f>
        <v>70153.023130177069</v>
      </c>
      <c r="U49" s="289">
        <f>VLOOKUP(A49,'Bef.fremskr. kommunenivå MMMM'!$A$5:$K$360,8)</f>
        <v>2126</v>
      </c>
      <c r="V49" s="289">
        <f>VLOOKUP(A49,'K23'!$A$4:$BV$359,26)</f>
        <v>66395.537610215673</v>
      </c>
    </row>
    <row r="50" spans="1:22" ht="13">
      <c r="A50" s="755">
        <v>1576</v>
      </c>
      <c r="B50" s="756" t="s">
        <v>1498</v>
      </c>
      <c r="C50" s="289">
        <f>+K0kommunestruktur2021!C50</f>
        <v>3577</v>
      </c>
      <c r="D50" s="289">
        <f>+K0kommunestruktur2021!D50</f>
        <v>72755</v>
      </c>
      <c r="E50" s="289">
        <f>+K0kommunestruktur2021!E50</f>
        <v>3549</v>
      </c>
      <c r="F50" s="289">
        <f>+K0kommunestruktur2021!F50</f>
        <v>76165</v>
      </c>
      <c r="G50" s="289">
        <f>+K0kommunestruktur2021!G50</f>
        <v>3536</v>
      </c>
      <c r="H50" s="289">
        <f>+K0kommunestruktur2021!H50</f>
        <v>85813</v>
      </c>
      <c r="I50" s="289">
        <f>+K0kommunestruktur2021!I50</f>
        <v>3590</v>
      </c>
      <c r="J50" s="289">
        <f>+K0kommunestruktur2021!J50</f>
        <v>89415</v>
      </c>
      <c r="K50" s="289">
        <f>+K0kommunestruktur2021!K50</f>
        <v>3593</v>
      </c>
      <c r="L50" s="289">
        <f>+K0kommunestruktur2021!L50</f>
        <v>90980</v>
      </c>
      <c r="M50" s="289">
        <f>+K0kommunestruktur2021!M50</f>
        <v>3553</v>
      </c>
      <c r="N50" s="289">
        <f>+K0kommunestruktur2021!N50</f>
        <v>94244</v>
      </c>
      <c r="O50" s="289">
        <f>+K0kommunestruktur2021!O50</f>
        <v>3507</v>
      </c>
      <c r="P50" s="289">
        <f>+K0kommunestruktur2021!P50</f>
        <v>95166</v>
      </c>
      <c r="Q50" s="289">
        <f>+K0kommunestruktur2021!Q50</f>
        <v>3468</v>
      </c>
      <c r="R50" s="289">
        <f>+K0kommunestruktur2021!R50</f>
        <v>108448.931</v>
      </c>
      <c r="S50" s="289">
        <f>VLOOKUP(A50,'K22'!A50:CU405,3)</f>
        <v>3384</v>
      </c>
      <c r="T50" s="289">
        <f>VLOOKUP(A50,'K22'!$A$4:$BV$359,26)</f>
        <v>112565.82364371736</v>
      </c>
      <c r="U50" s="289">
        <f>VLOOKUP(A50,'Bef.fremskr. kommunenivå MMMM'!$A$5:$K$360,8)</f>
        <v>3352</v>
      </c>
      <c r="V50" s="289">
        <f>VLOOKUP(A50,'K23'!$A$4:$BV$359,26)</f>
        <v>104652.62407836856</v>
      </c>
    </row>
    <row r="51" spans="1:22" ht="13">
      <c r="A51" s="755">
        <v>1577</v>
      </c>
      <c r="B51" s="756" t="s">
        <v>1613</v>
      </c>
      <c r="C51" s="289">
        <f>+K0kommunestruktur2021!C51</f>
        <v>10234.798338000001</v>
      </c>
      <c r="D51" s="289">
        <f>+K0kommunestruktur2021!D51</f>
        <v>208126.42226294591</v>
      </c>
      <c r="E51" s="289">
        <f>+K0kommunestruktur2021!E51</f>
        <v>10301.46796792</v>
      </c>
      <c r="F51" s="289">
        <f>+K0kommunestruktur2021!F51</f>
        <v>218876.39501401939</v>
      </c>
      <c r="G51" s="289">
        <f>+K0kommunestruktur2021!G51</f>
        <v>10340.86365832</v>
      </c>
      <c r="H51" s="289">
        <f>+K0kommunestruktur2021!H51</f>
        <v>233235.61909353128</v>
      </c>
      <c r="I51" s="289">
        <f>+K0kommunestruktur2021!I51</f>
        <v>10404.502850520001</v>
      </c>
      <c r="J51" s="289">
        <f>+K0kommunestruktur2021!J51</f>
        <v>236512.53241866032</v>
      </c>
      <c r="K51" s="289">
        <f>+K0kommunestruktur2021!K51</f>
        <v>10468.14204271</v>
      </c>
      <c r="L51" s="289">
        <f>+K0kommunestruktur2021!L51</f>
        <v>251795.02985797075</v>
      </c>
      <c r="M51" s="289">
        <f>+K0kommunestruktur2021!M51</f>
        <v>10454</v>
      </c>
      <c r="N51" s="289">
        <f>+K0kommunestruktur2021!N51</f>
        <v>258006.41704512513</v>
      </c>
      <c r="O51" s="289">
        <f>+K0kommunestruktur2021!O51</f>
        <v>10473</v>
      </c>
      <c r="P51" s="289">
        <f>+K0kommunestruktur2021!P51</f>
        <v>252064</v>
      </c>
      <c r="Q51" s="289">
        <f>+K0kommunestruktur2021!Q51</f>
        <v>10781</v>
      </c>
      <c r="R51" s="289">
        <f>+K0kommunestruktur2021!R51</f>
        <v>294567.46100000001</v>
      </c>
      <c r="S51" s="289">
        <f>VLOOKUP(A51,'K22'!A51:CU406,3)</f>
        <v>10809</v>
      </c>
      <c r="T51" s="289">
        <f>VLOOKUP(A51,'K22'!$A$4:$BV$359,26)</f>
        <v>323642.49136831838</v>
      </c>
      <c r="U51" s="289">
        <f>VLOOKUP(A51,'Bef.fremskr. kommunenivå MMMM'!$A$5:$K$360,8)</f>
        <v>10999</v>
      </c>
      <c r="V51" s="289">
        <f>VLOOKUP(A51,'K23'!$A$4:$BV$359,26)</f>
        <v>307688.32642814511</v>
      </c>
    </row>
    <row r="52" spans="1:22" ht="13">
      <c r="A52" s="755">
        <v>1578</v>
      </c>
      <c r="B52" s="756" t="s">
        <v>1614</v>
      </c>
      <c r="C52" s="289">
        <f>+K0kommunestruktur2021!C52</f>
        <v>2720</v>
      </c>
      <c r="D52" s="289">
        <f>+K0kommunestruktur2021!D52</f>
        <v>61837</v>
      </c>
      <c r="E52" s="289">
        <f>+K0kommunestruktur2021!E52</f>
        <v>2719</v>
      </c>
      <c r="F52" s="289">
        <f>+K0kommunestruktur2021!F52</f>
        <v>62229</v>
      </c>
      <c r="G52" s="289">
        <f>+K0kommunestruktur2021!G52</f>
        <v>2672</v>
      </c>
      <c r="H52" s="289">
        <f>+K0kommunestruktur2021!H52</f>
        <v>66338</v>
      </c>
      <c r="I52" s="289">
        <f>+K0kommunestruktur2021!I52</f>
        <v>2668</v>
      </c>
      <c r="J52" s="289">
        <f>+K0kommunestruktur2021!J52</f>
        <v>71869</v>
      </c>
      <c r="K52" s="289">
        <f>+K0kommunestruktur2021!K52</f>
        <v>2642</v>
      </c>
      <c r="L52" s="289">
        <f>+K0kommunestruktur2021!L52</f>
        <v>70869</v>
      </c>
      <c r="M52" s="289">
        <f>+K0kommunestruktur2021!M52</f>
        <v>2592</v>
      </c>
      <c r="N52" s="289">
        <f>+K0kommunestruktur2021!N52</f>
        <v>68700</v>
      </c>
      <c r="O52" s="289">
        <f>+K0kommunestruktur2021!O52</f>
        <v>2549</v>
      </c>
      <c r="P52" s="289">
        <f>+K0kommunestruktur2021!P52</f>
        <v>68641</v>
      </c>
      <c r="Q52" s="289">
        <f>+K0kommunestruktur2021!Q52</f>
        <v>2502</v>
      </c>
      <c r="R52" s="289">
        <f>+K0kommunestruktur2021!R52</f>
        <v>77333.64</v>
      </c>
      <c r="S52" s="289">
        <f>VLOOKUP(A52,'K22'!A52:CU407,3)</f>
        <v>2491</v>
      </c>
      <c r="T52" s="289">
        <f>VLOOKUP(A52,'K22'!$A$4:$BV$359,26)</f>
        <v>81179.113141954018</v>
      </c>
      <c r="U52" s="289">
        <f>VLOOKUP(A52,'Bef.fremskr. kommunenivå MMMM'!$A$5:$K$360,8)</f>
        <v>2496</v>
      </c>
      <c r="V52" s="289">
        <f>VLOOKUP(A52,'K23'!$A$4:$BV$359,26)</f>
        <v>76596.065141737417</v>
      </c>
    </row>
    <row r="53" spans="1:22" ht="13">
      <c r="A53" s="755">
        <v>1579</v>
      </c>
      <c r="B53" s="756" t="s">
        <v>1615</v>
      </c>
      <c r="C53" s="289">
        <f>+K0kommunestruktur2021!C53</f>
        <v>13191</v>
      </c>
      <c r="D53" s="289">
        <f>+K0kommunestruktur2021!D53</f>
        <v>273471</v>
      </c>
      <c r="E53" s="289">
        <f>+K0kommunestruktur2021!E53</f>
        <v>13250</v>
      </c>
      <c r="F53" s="289">
        <f>+K0kommunestruktur2021!F53</f>
        <v>288365</v>
      </c>
      <c r="G53" s="289">
        <f>+K0kommunestruktur2021!G53</f>
        <v>13184</v>
      </c>
      <c r="H53" s="289">
        <f>+K0kommunestruktur2021!H53</f>
        <v>305060</v>
      </c>
      <c r="I53" s="289">
        <f>+K0kommunestruktur2021!I53</f>
        <v>13195</v>
      </c>
      <c r="J53" s="289">
        <f>+K0kommunestruktur2021!J53</f>
        <v>321679</v>
      </c>
      <c r="K53" s="289">
        <f>+K0kommunestruktur2021!K53</f>
        <v>13215</v>
      </c>
      <c r="L53" s="289">
        <f>+K0kommunestruktur2021!L53</f>
        <v>339908</v>
      </c>
      <c r="M53" s="289">
        <f>+K0kommunestruktur2021!M53</f>
        <v>13233</v>
      </c>
      <c r="N53" s="289">
        <f>+K0kommunestruktur2021!N53</f>
        <v>346385</v>
      </c>
      <c r="O53" s="289">
        <f>+K0kommunestruktur2021!O53</f>
        <v>13279</v>
      </c>
      <c r="P53" s="289">
        <f>+K0kommunestruktur2021!P53</f>
        <v>340418</v>
      </c>
      <c r="Q53" s="289">
        <f>+K0kommunestruktur2021!Q53</f>
        <v>13317</v>
      </c>
      <c r="R53" s="289">
        <f>+K0kommunestruktur2021!R53</f>
        <v>389167.47600000002</v>
      </c>
      <c r="S53" s="289">
        <f>VLOOKUP(A53,'K22'!A53:CU408,3)</f>
        <v>13287</v>
      </c>
      <c r="T53" s="289">
        <f>VLOOKUP(A53,'K22'!$A$4:$BV$359,26)</f>
        <v>421776.61895532976</v>
      </c>
      <c r="U53" s="289">
        <f>VLOOKUP(A53,'Bef.fremskr. kommunenivå MMMM'!$A$5:$K$360,8)</f>
        <v>13311</v>
      </c>
      <c r="V53" s="289">
        <f>VLOOKUP(A53,'K23'!$A$4:$BV$359,26)</f>
        <v>396875.17348354292</v>
      </c>
    </row>
    <row r="54" spans="1:22" ht="13">
      <c r="A54" s="755">
        <v>1804</v>
      </c>
      <c r="B54" s="756" t="s">
        <v>174</v>
      </c>
      <c r="C54" s="289">
        <f>+K0kommunestruktur2021!C54</f>
        <v>49731</v>
      </c>
      <c r="D54" s="289">
        <f>+K0kommunestruktur2021!D54</f>
        <v>1162903</v>
      </c>
      <c r="E54" s="289">
        <f>+K0kommunestruktur2021!E54</f>
        <v>50185</v>
      </c>
      <c r="F54" s="289">
        <f>+K0kommunestruktur2021!F54</f>
        <v>1244567</v>
      </c>
      <c r="G54" s="289">
        <f>+K0kommunestruktur2021!G54</f>
        <v>50488</v>
      </c>
      <c r="H54" s="289">
        <f>+K0kommunestruktur2021!H54</f>
        <v>1345148</v>
      </c>
      <c r="I54" s="289">
        <f>+K0kommunestruktur2021!I54</f>
        <v>51022</v>
      </c>
      <c r="J54" s="289">
        <f>+K0kommunestruktur2021!J54</f>
        <v>1417947</v>
      </c>
      <c r="K54" s="289">
        <f>+K0kommunestruktur2021!K54</f>
        <v>51558</v>
      </c>
      <c r="L54" s="289">
        <f>+K0kommunestruktur2021!L54</f>
        <v>1519251</v>
      </c>
      <c r="M54" s="289">
        <f>+K0kommunestruktur2021!M54</f>
        <v>52024</v>
      </c>
      <c r="N54" s="289">
        <f>+K0kommunestruktur2021!N54</f>
        <v>1602846</v>
      </c>
      <c r="O54" s="289">
        <f>+K0kommunestruktur2021!O54</f>
        <v>52357</v>
      </c>
      <c r="P54" s="289">
        <f>+K0kommunestruktur2021!P54</f>
        <v>1589017</v>
      </c>
      <c r="Q54" s="289">
        <f>+K0kommunestruktur2021!Q54</f>
        <v>52560</v>
      </c>
      <c r="R54" s="289">
        <f>+K0kommunestruktur2021!R54</f>
        <v>1841083.26</v>
      </c>
      <c r="S54" s="289">
        <f>VLOOKUP(A54,'K22'!A54:CU409,3)</f>
        <v>52803</v>
      </c>
      <c r="T54" s="289">
        <f>VLOOKUP(A54,'K22'!$A$4:$BV$359,26)</f>
        <v>2041003.0969496614</v>
      </c>
      <c r="U54" s="289">
        <f>VLOOKUP(A54,'Bef.fremskr. kommunenivå MMMM'!$A$5:$K$360,8)</f>
        <v>53148</v>
      </c>
      <c r="V54" s="289">
        <f>VLOOKUP(A54,'K23'!$A$4:$BV$359,26)</f>
        <v>1879909.3948167902</v>
      </c>
    </row>
    <row r="55" spans="1:22" ht="13">
      <c r="A55" s="755">
        <v>1806</v>
      </c>
      <c r="B55" s="756" t="s">
        <v>1616</v>
      </c>
      <c r="C55" s="289">
        <f>+K0kommunestruktur2021!C55</f>
        <v>22220.67532468</v>
      </c>
      <c r="D55" s="289">
        <f>+K0kommunestruktur2021!D55</f>
        <v>474310.8848051948</v>
      </c>
      <c r="E55" s="289">
        <f>+K0kommunestruktur2021!E55</f>
        <v>22356.825974029998</v>
      </c>
      <c r="F55" s="289">
        <f>+K0kommunestruktur2021!F55</f>
        <v>515143.91582337662</v>
      </c>
      <c r="G55" s="289">
        <f>+K0kommunestruktur2021!G55</f>
        <v>22255.654545450001</v>
      </c>
      <c r="H55" s="289">
        <f>+K0kommunestruktur2021!H55</f>
        <v>550619.43769870128</v>
      </c>
      <c r="I55" s="289">
        <f>+K0kommunestruktur2021!I55</f>
        <v>22216.181818180001</v>
      </c>
      <c r="J55" s="289">
        <f>+K0kommunestruktur2021!J55</f>
        <v>573584.7218025974</v>
      </c>
      <c r="K55" s="289">
        <f>+K0kommunestruktur2021!K55</f>
        <v>22062.945454550001</v>
      </c>
      <c r="L55" s="289">
        <f>+K0kommunestruktur2021!L55</f>
        <v>598271.44415584416</v>
      </c>
      <c r="M55" s="289">
        <f>+K0kommunestruktur2021!M55</f>
        <v>21990</v>
      </c>
      <c r="N55" s="289">
        <f>+K0kommunestruktur2021!N55</f>
        <v>597858.44018008653</v>
      </c>
      <c r="O55" s="289">
        <f>+K0kommunestruktur2021!O55</f>
        <v>21845</v>
      </c>
      <c r="P55" s="289">
        <f>+K0kommunestruktur2021!P55</f>
        <v>595353</v>
      </c>
      <c r="Q55" s="289">
        <f>+K0kommunestruktur2021!Q55</f>
        <v>21661</v>
      </c>
      <c r="R55" s="289">
        <f>+K0kommunestruktur2021!R55</f>
        <v>679205.41</v>
      </c>
      <c r="S55" s="289">
        <f>VLOOKUP(A55,'K22'!A55:CU410,3)</f>
        <v>21530</v>
      </c>
      <c r="T55" s="289">
        <f>VLOOKUP(A55,'K22'!$A$4:$BV$359,26)</f>
        <v>724694.33049844857</v>
      </c>
      <c r="U55" s="289">
        <f>VLOOKUP(A55,'Bef.fremskr. kommunenivå MMMM'!$A$5:$K$360,8)</f>
        <v>21534</v>
      </c>
      <c r="V55" s="289">
        <f>VLOOKUP(A55,'K23'!$A$4:$BV$359,26)</f>
        <v>677554.99724408111</v>
      </c>
    </row>
    <row r="56" spans="1:22" ht="13">
      <c r="A56" s="755">
        <v>1811</v>
      </c>
      <c r="B56" s="756" t="s">
        <v>176</v>
      </c>
      <c r="C56" s="289">
        <f>+K0kommunestruktur2021!C56</f>
        <v>1503</v>
      </c>
      <c r="D56" s="289">
        <f>+K0kommunestruktur2021!D56</f>
        <v>30493</v>
      </c>
      <c r="E56" s="289">
        <f>+K0kommunestruktur2021!E56</f>
        <v>1482</v>
      </c>
      <c r="F56" s="289">
        <f>+K0kommunestruktur2021!F56</f>
        <v>32052</v>
      </c>
      <c r="G56" s="289">
        <f>+K0kommunestruktur2021!G56</f>
        <v>1465</v>
      </c>
      <c r="H56" s="289">
        <f>+K0kommunestruktur2021!H56</f>
        <v>35427</v>
      </c>
      <c r="I56" s="289">
        <f>+K0kommunestruktur2021!I56</f>
        <v>1473</v>
      </c>
      <c r="J56" s="289">
        <f>+K0kommunestruktur2021!J56</f>
        <v>37248</v>
      </c>
      <c r="K56" s="289">
        <f>+K0kommunestruktur2021!K56</f>
        <v>1486</v>
      </c>
      <c r="L56" s="289">
        <f>+K0kommunestruktur2021!L56</f>
        <v>40198</v>
      </c>
      <c r="M56" s="289">
        <f>+K0kommunestruktur2021!M56</f>
        <v>1450</v>
      </c>
      <c r="N56" s="289">
        <f>+K0kommunestruktur2021!N56</f>
        <v>38970</v>
      </c>
      <c r="O56" s="289">
        <f>+K0kommunestruktur2021!O56</f>
        <v>1426</v>
      </c>
      <c r="P56" s="289">
        <f>+K0kommunestruktur2021!P56</f>
        <v>38311</v>
      </c>
      <c r="Q56" s="289">
        <f>+K0kommunestruktur2021!Q56</f>
        <v>1397</v>
      </c>
      <c r="R56" s="289">
        <f>+K0kommunestruktur2021!R56</f>
        <v>45529.815999999999</v>
      </c>
      <c r="S56" s="289">
        <f>VLOOKUP(A56,'K22'!A56:CU411,3)</f>
        <v>1406</v>
      </c>
      <c r="T56" s="289">
        <f>VLOOKUP(A56,'K22'!$A$4:$BV$359,26)</f>
        <v>49152.246725290657</v>
      </c>
      <c r="U56" s="289">
        <f>VLOOKUP(A56,'Bef.fremskr. kommunenivå MMMM'!$A$5:$K$360,8)</f>
        <v>1401</v>
      </c>
      <c r="V56" s="289">
        <f>VLOOKUP(A56,'K23'!$A$4:$BV$359,26)</f>
        <v>43840.150567998608</v>
      </c>
    </row>
    <row r="57" spans="1:22" ht="13">
      <c r="A57" s="755">
        <v>1812</v>
      </c>
      <c r="B57" s="756" t="s">
        <v>177</v>
      </c>
      <c r="C57" s="289">
        <f>+K0kommunestruktur2021!C57</f>
        <v>2047</v>
      </c>
      <c r="D57" s="289">
        <f>+K0kommunestruktur2021!D57</f>
        <v>38816</v>
      </c>
      <c r="E57" s="289">
        <f>+K0kommunestruktur2021!E57</f>
        <v>2063</v>
      </c>
      <c r="F57" s="289">
        <f>+K0kommunestruktur2021!F57</f>
        <v>39185</v>
      </c>
      <c r="G57" s="289">
        <f>+K0kommunestruktur2021!G57</f>
        <v>2031</v>
      </c>
      <c r="H57" s="289">
        <f>+K0kommunestruktur2021!H57</f>
        <v>39654</v>
      </c>
      <c r="I57" s="289">
        <f>+K0kommunestruktur2021!I57</f>
        <v>2047</v>
      </c>
      <c r="J57" s="289">
        <f>+K0kommunestruktur2021!J57</f>
        <v>41811</v>
      </c>
      <c r="K57" s="289">
        <f>+K0kommunestruktur2021!K57</f>
        <v>2020</v>
      </c>
      <c r="L57" s="289">
        <f>+K0kommunestruktur2021!L57</f>
        <v>44273</v>
      </c>
      <c r="M57" s="289">
        <f>+K0kommunestruktur2021!M57</f>
        <v>2014</v>
      </c>
      <c r="N57" s="289">
        <f>+K0kommunestruktur2021!N57</f>
        <v>46881</v>
      </c>
      <c r="O57" s="289">
        <f>+K0kommunestruktur2021!O57</f>
        <v>1975</v>
      </c>
      <c r="P57" s="289">
        <f>+K0kommunestruktur2021!P57</f>
        <v>45952</v>
      </c>
      <c r="Q57" s="289">
        <f>+K0kommunestruktur2021!Q57</f>
        <v>1990</v>
      </c>
      <c r="R57" s="289">
        <f>+K0kommunestruktur2021!R57</f>
        <v>53418.559999999998</v>
      </c>
      <c r="S57" s="289">
        <f>VLOOKUP(A57,'K22'!A57:CU412,3)</f>
        <v>1981</v>
      </c>
      <c r="T57" s="289">
        <f>VLOOKUP(A57,'K22'!$A$4:$BV$359,26)</f>
        <v>57152.003149044656</v>
      </c>
      <c r="U57" s="289">
        <f>VLOOKUP(A57,'Bef.fremskr. kommunenivå MMMM'!$A$5:$K$360,8)</f>
        <v>1968</v>
      </c>
      <c r="V57" s="289">
        <f>VLOOKUP(A57,'K23'!$A$4:$BV$359,26)</f>
        <v>53105.604652364527</v>
      </c>
    </row>
    <row r="58" spans="1:22" ht="13">
      <c r="A58" s="755">
        <v>1813</v>
      </c>
      <c r="B58" s="756" t="s">
        <v>178</v>
      </c>
      <c r="C58" s="289">
        <f>+K0kommunestruktur2021!C58</f>
        <v>7897</v>
      </c>
      <c r="D58" s="289">
        <f>+K0kommunestruktur2021!D58</f>
        <v>156213</v>
      </c>
      <c r="E58" s="289">
        <f>+K0kommunestruktur2021!E58</f>
        <v>7934</v>
      </c>
      <c r="F58" s="289">
        <f>+K0kommunestruktur2021!F58</f>
        <v>167225</v>
      </c>
      <c r="G58" s="289">
        <f>+K0kommunestruktur2021!G58</f>
        <v>7962</v>
      </c>
      <c r="H58" s="289">
        <f>+K0kommunestruktur2021!H58</f>
        <v>181445</v>
      </c>
      <c r="I58" s="289">
        <f>+K0kommunestruktur2021!I58</f>
        <v>7956</v>
      </c>
      <c r="J58" s="289">
        <f>+K0kommunestruktur2021!J58</f>
        <v>190059</v>
      </c>
      <c r="K58" s="289">
        <f>+K0kommunestruktur2021!K58</f>
        <v>7948</v>
      </c>
      <c r="L58" s="289">
        <f>+K0kommunestruktur2021!L58</f>
        <v>197077</v>
      </c>
      <c r="M58" s="289">
        <f>+K0kommunestruktur2021!M58</f>
        <v>7916</v>
      </c>
      <c r="N58" s="289">
        <f>+K0kommunestruktur2021!N58</f>
        <v>198525</v>
      </c>
      <c r="O58" s="289">
        <f>+K0kommunestruktur2021!O58</f>
        <v>7917</v>
      </c>
      <c r="P58" s="289">
        <f>+K0kommunestruktur2021!P58</f>
        <v>197511</v>
      </c>
      <c r="Q58" s="289">
        <f>+K0kommunestruktur2021!Q58</f>
        <v>7803</v>
      </c>
      <c r="R58" s="289">
        <f>+K0kommunestruktur2021!R58</f>
        <v>240172.03700000001</v>
      </c>
      <c r="S58" s="289">
        <f>VLOOKUP(A58,'K22'!A58:CU413,3)</f>
        <v>7777</v>
      </c>
      <c r="T58" s="289">
        <f>VLOOKUP(A58,'K22'!$A$4:$BV$359,26)</f>
        <v>256556.26409072871</v>
      </c>
      <c r="U58" s="289">
        <f>VLOOKUP(A58,'Bef.fremskr. kommunenivå MMMM'!$A$5:$K$360,8)</f>
        <v>7752</v>
      </c>
      <c r="V58" s="289">
        <f>VLOOKUP(A58,'K23'!$A$4:$BV$359,26)</f>
        <v>229842.8962845428</v>
      </c>
    </row>
    <row r="59" spans="1:22" ht="13">
      <c r="A59" s="755">
        <v>1815</v>
      </c>
      <c r="B59" s="756" t="s">
        <v>179</v>
      </c>
      <c r="C59" s="289">
        <f>+K0kommunestruktur2021!C59</f>
        <v>1223</v>
      </c>
      <c r="D59" s="289">
        <f>+K0kommunestruktur2021!D59</f>
        <v>21722</v>
      </c>
      <c r="E59" s="289">
        <f>+K0kommunestruktur2021!E59</f>
        <v>1225</v>
      </c>
      <c r="F59" s="289">
        <f>+K0kommunestruktur2021!F59</f>
        <v>22840</v>
      </c>
      <c r="G59" s="289">
        <f>+K0kommunestruktur2021!G59</f>
        <v>1244</v>
      </c>
      <c r="H59" s="289">
        <f>+K0kommunestruktur2021!H59</f>
        <v>24000</v>
      </c>
      <c r="I59" s="289">
        <f>+K0kommunestruktur2021!I59</f>
        <v>1234</v>
      </c>
      <c r="J59" s="289">
        <f>+K0kommunestruktur2021!J59</f>
        <v>24851</v>
      </c>
      <c r="K59" s="289">
        <f>+K0kommunestruktur2021!K59</f>
        <v>1221</v>
      </c>
      <c r="L59" s="289">
        <f>+K0kommunestruktur2021!L59</f>
        <v>26288</v>
      </c>
      <c r="M59" s="289">
        <f>+K0kommunestruktur2021!M59</f>
        <v>1232</v>
      </c>
      <c r="N59" s="289">
        <f>+K0kommunestruktur2021!N59</f>
        <v>27921</v>
      </c>
      <c r="O59" s="289">
        <f>+K0kommunestruktur2021!O59</f>
        <v>1200</v>
      </c>
      <c r="P59" s="289">
        <f>+K0kommunestruktur2021!P59</f>
        <v>27180</v>
      </c>
      <c r="Q59" s="289">
        <f>+K0kommunestruktur2021!Q59</f>
        <v>1182</v>
      </c>
      <c r="R59" s="289">
        <f>+K0kommunestruktur2021!R59</f>
        <v>32609.32</v>
      </c>
      <c r="S59" s="289">
        <f>VLOOKUP(A59,'K22'!A59:CU414,3)</f>
        <v>1175</v>
      </c>
      <c r="T59" s="289">
        <f>VLOOKUP(A59,'K22'!$A$4:$BV$359,26)</f>
        <v>35005.561623912785</v>
      </c>
      <c r="U59" s="289">
        <f>VLOOKUP(A59,'Bef.fremskr. kommunenivå MMMM'!$A$5:$K$360,8)</f>
        <v>1173</v>
      </c>
      <c r="V59" s="289">
        <f>VLOOKUP(A59,'K23'!$A$4:$BV$359,26)</f>
        <v>31389.000151124234</v>
      </c>
    </row>
    <row r="60" spans="1:22" ht="13">
      <c r="A60" s="755">
        <v>1816</v>
      </c>
      <c r="B60" s="756" t="s">
        <v>180</v>
      </c>
      <c r="C60" s="289">
        <f>+K0kommunestruktur2021!C60</f>
        <v>495</v>
      </c>
      <c r="D60" s="289">
        <f>+K0kommunestruktur2021!D60</f>
        <v>8703</v>
      </c>
      <c r="E60" s="289">
        <f>+K0kommunestruktur2021!E60</f>
        <v>510</v>
      </c>
      <c r="F60" s="289">
        <f>+K0kommunestruktur2021!F60</f>
        <v>9279</v>
      </c>
      <c r="G60" s="289">
        <f>+K0kommunestruktur2021!G60</f>
        <v>507</v>
      </c>
      <c r="H60" s="289">
        <f>+K0kommunestruktur2021!H60</f>
        <v>10195</v>
      </c>
      <c r="I60" s="289">
        <f>+K0kommunestruktur2021!I60</f>
        <v>528</v>
      </c>
      <c r="J60" s="289">
        <f>+K0kommunestruktur2021!J60</f>
        <v>10057</v>
      </c>
      <c r="K60" s="289">
        <f>+K0kommunestruktur2021!K60</f>
        <v>506</v>
      </c>
      <c r="L60" s="289">
        <f>+K0kommunestruktur2021!L60</f>
        <v>10264</v>
      </c>
      <c r="M60" s="289">
        <f>+K0kommunestruktur2021!M60</f>
        <v>497</v>
      </c>
      <c r="N60" s="289">
        <f>+K0kommunestruktur2021!N60</f>
        <v>13562</v>
      </c>
      <c r="O60" s="289">
        <f>+K0kommunestruktur2021!O60</f>
        <v>462</v>
      </c>
      <c r="P60" s="289">
        <f>+K0kommunestruktur2021!P60</f>
        <v>12272</v>
      </c>
      <c r="Q60" s="289">
        <f>+K0kommunestruktur2021!Q60</f>
        <v>465</v>
      </c>
      <c r="R60" s="289">
        <f>+K0kommunestruktur2021!R60</f>
        <v>11123.403</v>
      </c>
      <c r="S60" s="289">
        <f>VLOOKUP(A60,'K22'!A60:CU415,3)</f>
        <v>462</v>
      </c>
      <c r="T60" s="289">
        <f>VLOOKUP(A60,'K22'!$A$4:$BV$359,26)</f>
        <v>14177.924824839889</v>
      </c>
      <c r="U60" s="289">
        <f>VLOOKUP(A60,'Bef.fremskr. kommunenivå MMMM'!$A$5:$K$360,8)</f>
        <v>463</v>
      </c>
      <c r="V60" s="289">
        <f>VLOOKUP(A60,'K23'!$A$4:$BV$359,26)</f>
        <v>13343.353642725635</v>
      </c>
    </row>
    <row r="61" spans="1:22" ht="13">
      <c r="A61" s="755">
        <v>1818</v>
      </c>
      <c r="B61" s="756" t="s">
        <v>87</v>
      </c>
      <c r="C61" s="289">
        <f>+K0kommunestruktur2021!C61</f>
        <v>1733</v>
      </c>
      <c r="D61" s="289">
        <f>+K0kommunestruktur2021!D61</f>
        <v>33864</v>
      </c>
      <c r="E61" s="289">
        <f>+K0kommunestruktur2021!E61</f>
        <v>1737</v>
      </c>
      <c r="F61" s="289">
        <f>+K0kommunestruktur2021!F61</f>
        <v>38421</v>
      </c>
      <c r="G61" s="289">
        <f>+K0kommunestruktur2021!G61</f>
        <v>1743</v>
      </c>
      <c r="H61" s="289">
        <f>+K0kommunestruktur2021!H61</f>
        <v>41230</v>
      </c>
      <c r="I61" s="289">
        <f>+K0kommunestruktur2021!I61</f>
        <v>1788</v>
      </c>
      <c r="J61" s="289">
        <f>+K0kommunestruktur2021!J61</f>
        <v>46836</v>
      </c>
      <c r="K61" s="289">
        <f>+K0kommunestruktur2021!K61</f>
        <v>1790</v>
      </c>
      <c r="L61" s="289">
        <f>+K0kommunestruktur2021!L61</f>
        <v>51964</v>
      </c>
      <c r="M61" s="289">
        <f>+K0kommunestruktur2021!M61</f>
        <v>1780</v>
      </c>
      <c r="N61" s="289">
        <f>+K0kommunestruktur2021!N61</f>
        <v>51439</v>
      </c>
      <c r="O61" s="289">
        <f>+K0kommunestruktur2021!O61</f>
        <v>1777</v>
      </c>
      <c r="P61" s="289">
        <f>+K0kommunestruktur2021!P61</f>
        <v>50022</v>
      </c>
      <c r="Q61" s="289">
        <f>+K0kommunestruktur2021!Q61</f>
        <v>1793</v>
      </c>
      <c r="R61" s="289">
        <f>+K0kommunestruktur2021!R61</f>
        <v>58994.758999999998</v>
      </c>
      <c r="S61" s="289">
        <f>VLOOKUP(A61,'K22'!A61:CU416,3)</f>
        <v>1825</v>
      </c>
      <c r="T61" s="289">
        <f>VLOOKUP(A61,'K22'!$A$4:$BV$359,26)</f>
        <v>66573.048377637635</v>
      </c>
      <c r="U61" s="289">
        <f>VLOOKUP(A61,'Bef.fremskr. kommunenivå MMMM'!$A$5:$K$360,8)</f>
        <v>1857</v>
      </c>
      <c r="V61" s="289">
        <f>VLOOKUP(A61,'K23'!$A$4:$BV$359,26)</f>
        <v>61415.731669165179</v>
      </c>
    </row>
    <row r="62" spans="1:22" ht="13">
      <c r="A62" s="755">
        <v>1820</v>
      </c>
      <c r="B62" s="756" t="s">
        <v>181</v>
      </c>
      <c r="C62" s="289">
        <f>+K0kommunestruktur2021!C62</f>
        <v>7394</v>
      </c>
      <c r="D62" s="289">
        <f>+K0kommunestruktur2021!D62</f>
        <v>151380</v>
      </c>
      <c r="E62" s="289">
        <f>+K0kommunestruktur2021!E62</f>
        <v>7454</v>
      </c>
      <c r="F62" s="289">
        <f>+K0kommunestruktur2021!F62</f>
        <v>158275</v>
      </c>
      <c r="G62" s="289">
        <f>+K0kommunestruktur2021!G62</f>
        <v>7437</v>
      </c>
      <c r="H62" s="289">
        <f>+K0kommunestruktur2021!H62</f>
        <v>172927</v>
      </c>
      <c r="I62" s="289">
        <f>+K0kommunestruktur2021!I62</f>
        <v>7428</v>
      </c>
      <c r="J62" s="289">
        <f>+K0kommunestruktur2021!J62</f>
        <v>176287</v>
      </c>
      <c r="K62" s="289">
        <f>+K0kommunestruktur2021!K62</f>
        <v>7450</v>
      </c>
      <c r="L62" s="289">
        <f>+K0kommunestruktur2021!L62</f>
        <v>184472</v>
      </c>
      <c r="M62" s="289">
        <f>+K0kommunestruktur2021!M62</f>
        <v>7415</v>
      </c>
      <c r="N62" s="289">
        <f>+K0kommunestruktur2021!N62</f>
        <v>193762</v>
      </c>
      <c r="O62" s="289">
        <f>+K0kommunestruktur2021!O62</f>
        <v>7447</v>
      </c>
      <c r="P62" s="289">
        <f>+K0kommunestruktur2021!P62</f>
        <v>192056</v>
      </c>
      <c r="Q62" s="289">
        <f>+K0kommunestruktur2021!Q62</f>
        <v>7394</v>
      </c>
      <c r="R62" s="289">
        <f>+K0kommunestruktur2021!R62</f>
        <v>218618.37599999999</v>
      </c>
      <c r="S62" s="289">
        <f>VLOOKUP(A62,'K22'!A62:CU417,3)</f>
        <v>7333</v>
      </c>
      <c r="T62" s="289">
        <f>VLOOKUP(A62,'K22'!$A$4:$BV$359,26)</f>
        <v>236373.58978109865</v>
      </c>
      <c r="U62" s="289">
        <f>VLOOKUP(A62,'Bef.fremskr. kommunenivå MMMM'!$A$5:$K$360,8)</f>
        <v>7343</v>
      </c>
      <c r="V62" s="289">
        <f>VLOOKUP(A62,'K23'!$A$4:$BV$359,26)</f>
        <v>220097.28292145001</v>
      </c>
    </row>
    <row r="63" spans="1:22" ht="13">
      <c r="A63" s="755">
        <v>1822</v>
      </c>
      <c r="B63" s="756" t="s">
        <v>182</v>
      </c>
      <c r="C63" s="289">
        <f>+K0kommunestruktur2021!C63</f>
        <v>2188</v>
      </c>
      <c r="D63" s="289">
        <f>+K0kommunestruktur2021!D63</f>
        <v>37305</v>
      </c>
      <c r="E63" s="289">
        <f>+K0kommunestruktur2021!E63</f>
        <v>2188</v>
      </c>
      <c r="F63" s="289">
        <f>+K0kommunestruktur2021!F63</f>
        <v>38473</v>
      </c>
      <c r="G63" s="289">
        <f>+K0kommunestruktur2021!G63</f>
        <v>2216</v>
      </c>
      <c r="H63" s="289">
        <f>+K0kommunestruktur2021!H63</f>
        <v>42435</v>
      </c>
      <c r="I63" s="289">
        <f>+K0kommunestruktur2021!I63</f>
        <v>2278</v>
      </c>
      <c r="J63" s="289">
        <f>+K0kommunestruktur2021!J63</f>
        <v>43914</v>
      </c>
      <c r="K63" s="289">
        <f>+K0kommunestruktur2021!K63</f>
        <v>2307</v>
      </c>
      <c r="L63" s="289">
        <f>+K0kommunestruktur2021!L63</f>
        <v>47531</v>
      </c>
      <c r="M63" s="289">
        <f>+K0kommunestruktur2021!M63</f>
        <v>2320</v>
      </c>
      <c r="N63" s="289">
        <f>+K0kommunestruktur2021!N63</f>
        <v>50052</v>
      </c>
      <c r="O63" s="289">
        <f>+K0kommunestruktur2021!O63</f>
        <v>2294</v>
      </c>
      <c r="P63" s="289">
        <f>+K0kommunestruktur2021!P63</f>
        <v>50227</v>
      </c>
      <c r="Q63" s="289">
        <f>+K0kommunestruktur2021!Q63</f>
        <v>2278</v>
      </c>
      <c r="R63" s="289">
        <f>+K0kommunestruktur2021!R63</f>
        <v>56398.642999999996</v>
      </c>
      <c r="S63" s="289">
        <f>VLOOKUP(A63,'K22'!A63:CU418,3)</f>
        <v>2257</v>
      </c>
      <c r="T63" s="289">
        <f>VLOOKUP(A63,'K22'!$A$4:$BV$359,26)</f>
        <v>60568.840525895794</v>
      </c>
      <c r="U63" s="289">
        <f>VLOOKUP(A63,'Bef.fremskr. kommunenivå MMMM'!$A$5:$K$360,8)</f>
        <v>2266</v>
      </c>
      <c r="V63" s="289">
        <f>VLOOKUP(A63,'K23'!$A$4:$BV$359,26)</f>
        <v>56871.338237154254</v>
      </c>
    </row>
    <row r="64" spans="1:22" ht="13">
      <c r="A64" s="755">
        <v>1824</v>
      </c>
      <c r="B64" s="756" t="s">
        <v>183</v>
      </c>
      <c r="C64" s="289">
        <f>+K0kommunestruktur2021!C64</f>
        <v>13286</v>
      </c>
      <c r="D64" s="289">
        <f>+K0kommunestruktur2021!D64</f>
        <v>273516</v>
      </c>
      <c r="E64" s="289">
        <f>+K0kommunestruktur2021!E64</f>
        <v>13352</v>
      </c>
      <c r="F64" s="289">
        <f>+K0kommunestruktur2021!F64</f>
        <v>288336</v>
      </c>
      <c r="G64" s="289">
        <f>+K0kommunestruktur2021!G64</f>
        <v>13427</v>
      </c>
      <c r="H64" s="289">
        <f>+K0kommunestruktur2021!H64</f>
        <v>316667</v>
      </c>
      <c r="I64" s="289">
        <f>+K0kommunestruktur2021!I64</f>
        <v>13465</v>
      </c>
      <c r="J64" s="289">
        <f>+K0kommunestruktur2021!J64</f>
        <v>321672</v>
      </c>
      <c r="K64" s="289">
        <f>+K0kommunestruktur2021!K64</f>
        <v>13448</v>
      </c>
      <c r="L64" s="289">
        <f>+K0kommunestruktur2021!L64</f>
        <v>338074</v>
      </c>
      <c r="M64" s="289">
        <f>+K0kommunestruktur2021!M64</f>
        <v>13403</v>
      </c>
      <c r="N64" s="289">
        <f>+K0kommunestruktur2021!N64</f>
        <v>353905</v>
      </c>
      <c r="O64" s="289">
        <f>+K0kommunestruktur2021!O64</f>
        <v>13278</v>
      </c>
      <c r="P64" s="289">
        <f>+K0kommunestruktur2021!P64</f>
        <v>347307</v>
      </c>
      <c r="Q64" s="289">
        <f>+K0kommunestruktur2021!Q64</f>
        <v>13268</v>
      </c>
      <c r="R64" s="289">
        <f>+K0kommunestruktur2021!R64</f>
        <v>396161.47399999999</v>
      </c>
      <c r="S64" s="289">
        <f>VLOOKUP(A64,'K22'!A64:CU419,3)</f>
        <v>13233</v>
      </c>
      <c r="T64" s="289">
        <f>VLOOKUP(A64,'K22'!$A$4:$BV$359,26)</f>
        <v>432934.69638858037</v>
      </c>
      <c r="U64" s="289">
        <f>VLOOKUP(A64,'Bef.fremskr. kommunenivå MMMM'!$A$5:$K$360,8)</f>
        <v>13204</v>
      </c>
      <c r="V64" s="289">
        <f>VLOOKUP(A64,'K23'!$A$4:$BV$359,26)</f>
        <v>399986.84567051748</v>
      </c>
    </row>
    <row r="65" spans="1:22" ht="13">
      <c r="A65" s="755">
        <v>1825</v>
      </c>
      <c r="B65" s="756" t="s">
        <v>184</v>
      </c>
      <c r="C65" s="289">
        <f>+K0kommunestruktur2021!C65</f>
        <v>1465</v>
      </c>
      <c r="D65" s="289">
        <f>+K0kommunestruktur2021!D65</f>
        <v>28175</v>
      </c>
      <c r="E65" s="289">
        <f>+K0kommunestruktur2021!E65</f>
        <v>1458</v>
      </c>
      <c r="F65" s="289">
        <f>+K0kommunestruktur2021!F65</f>
        <v>30028</v>
      </c>
      <c r="G65" s="289">
        <f>+K0kommunestruktur2021!G65</f>
        <v>1462</v>
      </c>
      <c r="H65" s="289">
        <f>+K0kommunestruktur2021!H65</f>
        <v>31257</v>
      </c>
      <c r="I65" s="289">
        <f>+K0kommunestruktur2021!I65</f>
        <v>1469</v>
      </c>
      <c r="J65" s="289">
        <f>+K0kommunestruktur2021!J65</f>
        <v>32445</v>
      </c>
      <c r="K65" s="289">
        <f>+K0kommunestruktur2021!K65</f>
        <v>1463</v>
      </c>
      <c r="L65" s="289">
        <f>+K0kommunestruktur2021!L65</f>
        <v>35736</v>
      </c>
      <c r="M65" s="289">
        <f>+K0kommunestruktur2021!M65</f>
        <v>1493</v>
      </c>
      <c r="N65" s="289">
        <f>+K0kommunestruktur2021!N65</f>
        <v>35715</v>
      </c>
      <c r="O65" s="289">
        <f>+K0kommunestruktur2021!O65</f>
        <v>1482</v>
      </c>
      <c r="P65" s="289">
        <f>+K0kommunestruktur2021!P65</f>
        <v>34842</v>
      </c>
      <c r="Q65" s="289">
        <f>+K0kommunestruktur2021!Q65</f>
        <v>1453</v>
      </c>
      <c r="R65" s="289">
        <f>+K0kommunestruktur2021!R65</f>
        <v>38988.620999999999</v>
      </c>
      <c r="S65" s="289">
        <f>VLOOKUP(A65,'K22'!A65:CU420,3)</f>
        <v>1461</v>
      </c>
      <c r="T65" s="289">
        <f>VLOOKUP(A65,'K22'!$A$4:$BV$359,26)</f>
        <v>42382.855163579537</v>
      </c>
      <c r="U65" s="289">
        <f>VLOOKUP(A65,'Bef.fremskr. kommunenivå MMMM'!$A$5:$K$360,8)</f>
        <v>1453</v>
      </c>
      <c r="V65" s="289">
        <f>VLOOKUP(A65,'K23'!$A$4:$BV$359,26)</f>
        <v>39476.725288169502</v>
      </c>
    </row>
    <row r="66" spans="1:22" ht="13">
      <c r="A66" s="755">
        <v>1826</v>
      </c>
      <c r="B66" s="756" t="s">
        <v>185</v>
      </c>
      <c r="C66" s="289">
        <f>+K0kommunestruktur2021!C66</f>
        <v>1500</v>
      </c>
      <c r="D66" s="289">
        <f>+K0kommunestruktur2021!D66</f>
        <v>25086</v>
      </c>
      <c r="E66" s="289">
        <f>+K0kommunestruktur2021!E66</f>
        <v>1533</v>
      </c>
      <c r="F66" s="289">
        <f>+K0kommunestruktur2021!F66</f>
        <v>27288</v>
      </c>
      <c r="G66" s="289">
        <f>+K0kommunestruktur2021!G66</f>
        <v>1465</v>
      </c>
      <c r="H66" s="289">
        <f>+K0kommunestruktur2021!H66</f>
        <v>29443</v>
      </c>
      <c r="I66" s="289">
        <f>+K0kommunestruktur2021!I66</f>
        <v>1414</v>
      </c>
      <c r="J66" s="289">
        <f>+K0kommunestruktur2021!J66</f>
        <v>28941</v>
      </c>
      <c r="K66" s="289">
        <f>+K0kommunestruktur2021!K66</f>
        <v>1411</v>
      </c>
      <c r="L66" s="289">
        <f>+K0kommunestruktur2021!L66</f>
        <v>28471</v>
      </c>
      <c r="M66" s="289">
        <f>+K0kommunestruktur2021!M66</f>
        <v>1359</v>
      </c>
      <c r="N66" s="289">
        <f>+K0kommunestruktur2021!N66</f>
        <v>29557</v>
      </c>
      <c r="O66" s="289">
        <f>+K0kommunestruktur2021!O66</f>
        <v>1297</v>
      </c>
      <c r="P66" s="289">
        <f>+K0kommunestruktur2021!P66</f>
        <v>29543</v>
      </c>
      <c r="Q66" s="289">
        <f>+K0kommunestruktur2021!Q66</f>
        <v>1267</v>
      </c>
      <c r="R66" s="289">
        <f>+K0kommunestruktur2021!R66</f>
        <v>31786.625</v>
      </c>
      <c r="S66" s="289">
        <f>VLOOKUP(A66,'K22'!A66:CU421,3)</f>
        <v>1273</v>
      </c>
      <c r="T66" s="289">
        <f>VLOOKUP(A66,'K22'!$A$4:$BV$359,26)</f>
        <v>34145.295429893391</v>
      </c>
      <c r="U66" s="289">
        <f>VLOOKUP(A66,'Bef.fremskr. kommunenivå MMMM'!$A$5:$K$360,8)</f>
        <v>1272</v>
      </c>
      <c r="V66" s="289">
        <f>VLOOKUP(A66,'K23'!$A$4:$BV$359,26)</f>
        <v>32377.595544578639</v>
      </c>
    </row>
    <row r="67" spans="1:22" ht="13">
      <c r="A67" s="755">
        <v>1827</v>
      </c>
      <c r="B67" s="756" t="s">
        <v>186</v>
      </c>
      <c r="C67" s="289">
        <f>+K0kommunestruktur2021!C67</f>
        <v>1420</v>
      </c>
      <c r="D67" s="289">
        <f>+K0kommunestruktur2021!D67</f>
        <v>26092</v>
      </c>
      <c r="E67" s="289">
        <f>+K0kommunestruktur2021!E67</f>
        <v>1407</v>
      </c>
      <c r="F67" s="289">
        <f>+K0kommunestruktur2021!F67</f>
        <v>27767</v>
      </c>
      <c r="G67" s="289">
        <f>+K0kommunestruktur2021!G67</f>
        <v>1402</v>
      </c>
      <c r="H67" s="289">
        <f>+K0kommunestruktur2021!H67</f>
        <v>29285</v>
      </c>
      <c r="I67" s="289">
        <f>+K0kommunestruktur2021!I67</f>
        <v>1410</v>
      </c>
      <c r="J67" s="289">
        <f>+K0kommunestruktur2021!J67</f>
        <v>31550</v>
      </c>
      <c r="K67" s="289">
        <f>+K0kommunestruktur2021!K67</f>
        <v>1403</v>
      </c>
      <c r="L67" s="289">
        <f>+K0kommunestruktur2021!L67</f>
        <v>34700</v>
      </c>
      <c r="M67" s="289">
        <f>+K0kommunestruktur2021!M67</f>
        <v>1391</v>
      </c>
      <c r="N67" s="289">
        <f>+K0kommunestruktur2021!N67</f>
        <v>43441</v>
      </c>
      <c r="O67" s="289">
        <f>+K0kommunestruktur2021!O67</f>
        <v>1371</v>
      </c>
      <c r="P67" s="289">
        <f>+K0kommunestruktur2021!P67</f>
        <v>41165</v>
      </c>
      <c r="Q67" s="289">
        <f>+K0kommunestruktur2021!Q67</f>
        <v>1371</v>
      </c>
      <c r="R67" s="289">
        <f>+K0kommunestruktur2021!R67</f>
        <v>40253.826000000001</v>
      </c>
      <c r="S67" s="289">
        <f>VLOOKUP(A67,'K22'!A67:CU422,3)</f>
        <v>1369</v>
      </c>
      <c r="T67" s="289">
        <f>VLOOKUP(A67,'K22'!$A$4:$BV$359,26)</f>
        <v>51910.334909703728</v>
      </c>
      <c r="U67" s="289">
        <f>VLOOKUP(A67,'Bef.fremskr. kommunenivå MMMM'!$A$5:$K$360,8)</f>
        <v>1370</v>
      </c>
      <c r="V67" s="289">
        <f>VLOOKUP(A67,'K23'!$A$4:$BV$359,26)</f>
        <v>45901.030997471542</v>
      </c>
    </row>
    <row r="68" spans="1:22" ht="13">
      <c r="A68" s="755">
        <v>1828</v>
      </c>
      <c r="B68" s="756" t="s">
        <v>187</v>
      </c>
      <c r="C68" s="289">
        <f>+K0kommunestruktur2021!C68</f>
        <v>1902</v>
      </c>
      <c r="D68" s="289">
        <f>+K0kommunestruktur2021!D68</f>
        <v>29300</v>
      </c>
      <c r="E68" s="289">
        <f>+K0kommunestruktur2021!E68</f>
        <v>1871</v>
      </c>
      <c r="F68" s="289">
        <f>+K0kommunestruktur2021!F68</f>
        <v>33036</v>
      </c>
      <c r="G68" s="289">
        <f>+K0kommunestruktur2021!G68</f>
        <v>1838</v>
      </c>
      <c r="H68" s="289">
        <f>+K0kommunestruktur2021!H68</f>
        <v>35368</v>
      </c>
      <c r="I68" s="289">
        <f>+K0kommunestruktur2021!I68</f>
        <v>1837</v>
      </c>
      <c r="J68" s="289">
        <f>+K0kommunestruktur2021!J68</f>
        <v>37688</v>
      </c>
      <c r="K68" s="289">
        <f>+K0kommunestruktur2021!K68</f>
        <v>1805</v>
      </c>
      <c r="L68" s="289">
        <f>+K0kommunestruktur2021!L68</f>
        <v>44961</v>
      </c>
      <c r="M68" s="289">
        <f>+K0kommunestruktur2021!M68</f>
        <v>1792</v>
      </c>
      <c r="N68" s="289">
        <f>+K0kommunestruktur2021!N68</f>
        <v>43755</v>
      </c>
      <c r="O68" s="289">
        <f>+K0kommunestruktur2021!O68</f>
        <v>1761</v>
      </c>
      <c r="P68" s="289">
        <f>+K0kommunestruktur2021!P68</f>
        <v>39477</v>
      </c>
      <c r="Q68" s="289">
        <f>+K0kommunestruktur2021!Q68</f>
        <v>1701</v>
      </c>
      <c r="R68" s="289">
        <f>+K0kommunestruktur2021!R68</f>
        <v>49782.275000000001</v>
      </c>
      <c r="S68" s="289">
        <f>VLOOKUP(A68,'K22'!A68:CU423,3)</f>
        <v>1698</v>
      </c>
      <c r="T68" s="289">
        <f>VLOOKUP(A68,'K22'!$A$4:$BV$359,26)</f>
        <v>51700.921887663826</v>
      </c>
      <c r="U68" s="289">
        <f>VLOOKUP(A68,'Bef.fremskr. kommunenivå MMMM'!$A$5:$K$360,8)</f>
        <v>1731</v>
      </c>
      <c r="V68" s="289">
        <f>VLOOKUP(A68,'K23'!$A$4:$BV$359,26)</f>
        <v>48303.835814019534</v>
      </c>
    </row>
    <row r="69" spans="1:22" ht="13">
      <c r="A69" s="755">
        <v>1832</v>
      </c>
      <c r="B69" s="756" t="s">
        <v>188</v>
      </c>
      <c r="C69" s="289">
        <f>+K0kommunestruktur2021!C69</f>
        <v>4553</v>
      </c>
      <c r="D69" s="289">
        <f>+K0kommunestruktur2021!D69</f>
        <v>106976</v>
      </c>
      <c r="E69" s="289">
        <f>+K0kommunestruktur2021!E69</f>
        <v>4528</v>
      </c>
      <c r="F69" s="289">
        <f>+K0kommunestruktur2021!F69</f>
        <v>115881</v>
      </c>
      <c r="G69" s="289">
        <f>+K0kommunestruktur2021!G69</f>
        <v>4486</v>
      </c>
      <c r="H69" s="289">
        <f>+K0kommunestruktur2021!H69</f>
        <v>121742</v>
      </c>
      <c r="I69" s="289">
        <f>+K0kommunestruktur2021!I69</f>
        <v>4524</v>
      </c>
      <c r="J69" s="289">
        <f>+K0kommunestruktur2021!J69</f>
        <v>124876</v>
      </c>
      <c r="K69" s="289">
        <f>+K0kommunestruktur2021!K69</f>
        <v>4503</v>
      </c>
      <c r="L69" s="289">
        <f>+K0kommunestruktur2021!L69</f>
        <v>131134</v>
      </c>
      <c r="M69" s="289">
        <f>+K0kommunestruktur2021!M69</f>
        <v>4501</v>
      </c>
      <c r="N69" s="289">
        <f>+K0kommunestruktur2021!N69</f>
        <v>131414</v>
      </c>
      <c r="O69" s="289">
        <f>+K0kommunestruktur2021!O69</f>
        <v>4454</v>
      </c>
      <c r="P69" s="289">
        <f>+K0kommunestruktur2021!P69</f>
        <v>130776</v>
      </c>
      <c r="Q69" s="289">
        <f>+K0kommunestruktur2021!Q69</f>
        <v>4428</v>
      </c>
      <c r="R69" s="289">
        <f>+K0kommunestruktur2021!R69</f>
        <v>144714.84899999999</v>
      </c>
      <c r="S69" s="289">
        <f>VLOOKUP(A69,'K22'!A69:CU424,3)</f>
        <v>4420</v>
      </c>
      <c r="T69" s="289">
        <f>VLOOKUP(A69,'K22'!$A$4:$BV$359,26)</f>
        <v>152214.04055953759</v>
      </c>
      <c r="U69" s="289">
        <f>VLOOKUP(A69,'Bef.fremskr. kommunenivå MMMM'!$A$5:$K$360,8)</f>
        <v>4418</v>
      </c>
      <c r="V69" s="289">
        <f>VLOOKUP(A69,'K23'!$A$4:$BV$359,26)</f>
        <v>145191.42151723508</v>
      </c>
    </row>
    <row r="70" spans="1:22" ht="13">
      <c r="A70" s="755">
        <v>1833</v>
      </c>
      <c r="B70" s="756" t="s">
        <v>189</v>
      </c>
      <c r="C70" s="289">
        <f>+K0kommunestruktur2021!C70</f>
        <v>25943</v>
      </c>
      <c r="D70" s="289">
        <f>+K0kommunestruktur2021!D70</f>
        <v>551613</v>
      </c>
      <c r="E70" s="289">
        <f>+K0kommunestruktur2021!E70</f>
        <v>26078</v>
      </c>
      <c r="F70" s="289">
        <f>+K0kommunestruktur2021!F70</f>
        <v>589326</v>
      </c>
      <c r="G70" s="289">
        <f>+K0kommunestruktur2021!G70</f>
        <v>26039</v>
      </c>
      <c r="H70" s="289">
        <f>+K0kommunestruktur2021!H70</f>
        <v>638012</v>
      </c>
      <c r="I70" s="289">
        <f>+K0kommunestruktur2021!I70</f>
        <v>26101</v>
      </c>
      <c r="J70" s="289">
        <f>+K0kommunestruktur2021!J70</f>
        <v>666769</v>
      </c>
      <c r="K70" s="289">
        <f>+K0kommunestruktur2021!K70</f>
        <v>26230</v>
      </c>
      <c r="L70" s="289">
        <f>+K0kommunestruktur2021!L70</f>
        <v>691020</v>
      </c>
      <c r="M70" s="289">
        <f>+K0kommunestruktur2021!M70</f>
        <v>26315</v>
      </c>
      <c r="N70" s="289">
        <f>+K0kommunestruktur2021!N70</f>
        <v>712344</v>
      </c>
      <c r="O70" s="289">
        <f>+K0kommunestruktur2021!O70</f>
        <v>26184</v>
      </c>
      <c r="P70" s="289">
        <f>+K0kommunestruktur2021!P70</f>
        <v>715838</v>
      </c>
      <c r="Q70" s="289">
        <f>+K0kommunestruktur2021!Q70</f>
        <v>26083</v>
      </c>
      <c r="R70" s="289">
        <f>+K0kommunestruktur2021!R70</f>
        <v>813864.70799999998</v>
      </c>
      <c r="S70" s="289">
        <f>VLOOKUP(A70,'K22'!A70:CU425,3)</f>
        <v>26092</v>
      </c>
      <c r="T70" s="289">
        <f>VLOOKUP(A70,'K22'!$A$4:$BV$359,26)</f>
        <v>867530.46830040345</v>
      </c>
      <c r="U70" s="289">
        <f>VLOOKUP(A70,'Bef.fremskr. kommunenivå MMMM'!$A$5:$K$360,8)</f>
        <v>26036</v>
      </c>
      <c r="V70" s="289">
        <f>VLOOKUP(A70,'K23'!$A$4:$BV$359,26)</f>
        <v>816758.71950292483</v>
      </c>
    </row>
    <row r="71" spans="1:22" ht="13">
      <c r="A71" s="755">
        <v>1834</v>
      </c>
      <c r="B71" s="756" t="s">
        <v>190</v>
      </c>
      <c r="C71" s="289">
        <f>+K0kommunestruktur2021!C71</f>
        <v>1901</v>
      </c>
      <c r="D71" s="289">
        <f>+K0kommunestruktur2021!D71</f>
        <v>42293</v>
      </c>
      <c r="E71" s="289">
        <f>+K0kommunestruktur2021!E71</f>
        <v>1917</v>
      </c>
      <c r="F71" s="289">
        <f>+K0kommunestruktur2021!F71</f>
        <v>46055</v>
      </c>
      <c r="G71" s="289">
        <f>+K0kommunestruktur2021!G71</f>
        <v>1923</v>
      </c>
      <c r="H71" s="289">
        <f>+K0kommunestruktur2021!H71</f>
        <v>58139</v>
      </c>
      <c r="I71" s="289">
        <f>+K0kommunestruktur2021!I71</f>
        <v>1920</v>
      </c>
      <c r="J71" s="289">
        <f>+K0kommunestruktur2021!J71</f>
        <v>61482</v>
      </c>
      <c r="K71" s="289">
        <f>+K0kommunestruktur2021!K71</f>
        <v>1920</v>
      </c>
      <c r="L71" s="289">
        <f>+K0kommunestruktur2021!L71</f>
        <v>71323</v>
      </c>
      <c r="M71" s="289">
        <f>+K0kommunestruktur2021!M71</f>
        <v>1904</v>
      </c>
      <c r="N71" s="289">
        <f>+K0kommunestruktur2021!N71</f>
        <v>78651</v>
      </c>
      <c r="O71" s="289">
        <f>+K0kommunestruktur2021!O71</f>
        <v>1890</v>
      </c>
      <c r="P71" s="289">
        <f>+K0kommunestruktur2021!P71</f>
        <v>82254</v>
      </c>
      <c r="Q71" s="289">
        <f>+K0kommunestruktur2021!Q71</f>
        <v>1876</v>
      </c>
      <c r="R71" s="289">
        <f>+K0kommunestruktur2021!R71</f>
        <v>91881.135999999999</v>
      </c>
      <c r="S71" s="289">
        <f>VLOOKUP(A71,'K22'!A71:CU426,3)</f>
        <v>1869</v>
      </c>
      <c r="T71" s="289">
        <f>VLOOKUP(A71,'K22'!$A$4:$BV$359,26)</f>
        <v>106730.58451347786</v>
      </c>
      <c r="U71" s="289">
        <f>VLOOKUP(A71,'Bef.fremskr. kommunenivå MMMM'!$A$5:$K$360,8)</f>
        <v>1892</v>
      </c>
      <c r="V71" s="289">
        <f>VLOOKUP(A71,'K23'!$A$4:$BV$359,26)</f>
        <v>93095.050190377195</v>
      </c>
    </row>
    <row r="72" spans="1:22" ht="13">
      <c r="A72" s="755">
        <v>1835</v>
      </c>
      <c r="B72" s="756" t="s">
        <v>191</v>
      </c>
      <c r="C72" s="289">
        <f>+K0kommunestruktur2021!C72</f>
        <v>489</v>
      </c>
      <c r="D72" s="289">
        <f>+K0kommunestruktur2021!D72</f>
        <v>9796</v>
      </c>
      <c r="E72" s="289">
        <f>+K0kommunestruktur2021!E72</f>
        <v>486</v>
      </c>
      <c r="F72" s="289">
        <f>+K0kommunestruktur2021!F72</f>
        <v>10370</v>
      </c>
      <c r="G72" s="289">
        <f>+K0kommunestruktur2021!G72</f>
        <v>478</v>
      </c>
      <c r="H72" s="289">
        <f>+K0kommunestruktur2021!H72</f>
        <v>11735</v>
      </c>
      <c r="I72" s="289">
        <f>+K0kommunestruktur2021!I72</f>
        <v>465</v>
      </c>
      <c r="J72" s="289">
        <f>+K0kommunestruktur2021!J72</f>
        <v>11809</v>
      </c>
      <c r="K72" s="289">
        <f>+K0kommunestruktur2021!K72</f>
        <v>454</v>
      </c>
      <c r="L72" s="289">
        <f>+K0kommunestruktur2021!L72</f>
        <v>12509</v>
      </c>
      <c r="M72" s="289">
        <f>+K0kommunestruktur2021!M72</f>
        <v>456</v>
      </c>
      <c r="N72" s="289">
        <f>+K0kommunestruktur2021!N72</f>
        <v>12554</v>
      </c>
      <c r="O72" s="289">
        <f>+K0kommunestruktur2021!O72</f>
        <v>435</v>
      </c>
      <c r="P72" s="289">
        <f>+K0kommunestruktur2021!P72</f>
        <v>15251</v>
      </c>
      <c r="Q72" s="289">
        <f>+K0kommunestruktur2021!Q72</f>
        <v>442</v>
      </c>
      <c r="R72" s="289">
        <f>+K0kommunestruktur2021!R72</f>
        <v>15146.028</v>
      </c>
      <c r="S72" s="289">
        <f>VLOOKUP(A72,'K22'!A72:CU427,3)</f>
        <v>450</v>
      </c>
      <c r="T72" s="289">
        <f>VLOOKUP(A72,'K22'!$A$4:$BV$359,26)</f>
        <v>17466.935429990408</v>
      </c>
      <c r="U72" s="289">
        <f>VLOOKUP(A72,'Bef.fremskr. kommunenivå MMMM'!$A$5:$K$360,8)</f>
        <v>471</v>
      </c>
      <c r="V72" s="289">
        <f>VLOOKUP(A72,'K23'!$A$4:$BV$359,26)</f>
        <v>16811.425625005355</v>
      </c>
    </row>
    <row r="73" spans="1:22" ht="13">
      <c r="A73" s="755">
        <v>1836</v>
      </c>
      <c r="B73" s="756" t="s">
        <v>192</v>
      </c>
      <c r="C73" s="289">
        <f>+K0kommunestruktur2021!C73</f>
        <v>1305</v>
      </c>
      <c r="D73" s="289">
        <f>+K0kommunestruktur2021!D73</f>
        <v>22194</v>
      </c>
      <c r="E73" s="289">
        <f>+K0kommunestruktur2021!E73</f>
        <v>1269</v>
      </c>
      <c r="F73" s="289">
        <f>+K0kommunestruktur2021!F73</f>
        <v>23597</v>
      </c>
      <c r="G73" s="289">
        <f>+K0kommunestruktur2021!G73</f>
        <v>1268</v>
      </c>
      <c r="H73" s="289">
        <f>+K0kommunestruktur2021!H73</f>
        <v>26674</v>
      </c>
      <c r="I73" s="289">
        <f>+K0kommunestruktur2021!I73</f>
        <v>1267</v>
      </c>
      <c r="J73" s="289">
        <f>+K0kommunestruktur2021!J73</f>
        <v>27439</v>
      </c>
      <c r="K73" s="289">
        <f>+K0kommunestruktur2021!K73</f>
        <v>1249</v>
      </c>
      <c r="L73" s="289">
        <f>+K0kommunestruktur2021!L73</f>
        <v>28017</v>
      </c>
      <c r="M73" s="289">
        <f>+K0kommunestruktur2021!M73</f>
        <v>1238</v>
      </c>
      <c r="N73" s="289">
        <f>+K0kommunestruktur2021!N73</f>
        <v>30314</v>
      </c>
      <c r="O73" s="289">
        <f>+K0kommunestruktur2021!O73</f>
        <v>1213</v>
      </c>
      <c r="P73" s="289">
        <f>+K0kommunestruktur2021!P73</f>
        <v>31493</v>
      </c>
      <c r="Q73" s="289">
        <f>+K0kommunestruktur2021!Q73</f>
        <v>1206</v>
      </c>
      <c r="R73" s="289">
        <f>+K0kommunestruktur2021!R73</f>
        <v>35181.616999999998</v>
      </c>
      <c r="S73" s="289">
        <f>VLOOKUP(A73,'K22'!A73:CU428,3)</f>
        <v>1153</v>
      </c>
      <c r="T73" s="289">
        <f>VLOOKUP(A73,'K22'!$A$4:$BV$359,26)</f>
        <v>35805.248302567212</v>
      </c>
      <c r="U73" s="289">
        <f>VLOOKUP(A73,'Bef.fremskr. kommunenivå MMMM'!$A$5:$K$360,8)</f>
        <v>1134</v>
      </c>
      <c r="V73" s="289">
        <f>VLOOKUP(A73,'K23'!$A$4:$BV$359,26)</f>
        <v>33167.938435068827</v>
      </c>
    </row>
    <row r="74" spans="1:22" ht="13">
      <c r="A74" s="755">
        <v>1837</v>
      </c>
      <c r="B74" s="756" t="s">
        <v>193</v>
      </c>
      <c r="C74" s="289">
        <f>+K0kommunestruktur2021!C74</f>
        <v>6491</v>
      </c>
      <c r="D74" s="289">
        <f>+K0kommunestruktur2021!D74</f>
        <v>153531</v>
      </c>
      <c r="E74" s="289">
        <f>+K0kommunestruktur2021!E74</f>
        <v>6454</v>
      </c>
      <c r="F74" s="289">
        <f>+K0kommunestruktur2021!F74</f>
        <v>158459</v>
      </c>
      <c r="G74" s="289">
        <f>+K0kommunestruktur2021!G74</f>
        <v>6471</v>
      </c>
      <c r="H74" s="289">
        <f>+K0kommunestruktur2021!H74</f>
        <v>170747</v>
      </c>
      <c r="I74" s="289">
        <f>+K0kommunestruktur2021!I74</f>
        <v>6435</v>
      </c>
      <c r="J74" s="289">
        <f>+K0kommunestruktur2021!J74</f>
        <v>177983</v>
      </c>
      <c r="K74" s="289">
        <f>+K0kommunestruktur2021!K74</f>
        <v>6346</v>
      </c>
      <c r="L74" s="289">
        <f>+K0kommunestruktur2021!L74</f>
        <v>179660</v>
      </c>
      <c r="M74" s="289">
        <f>+K0kommunestruktur2021!M74</f>
        <v>6331</v>
      </c>
      <c r="N74" s="289">
        <f>+K0kommunestruktur2021!N74</f>
        <v>186474</v>
      </c>
      <c r="O74" s="289">
        <f>+K0kommunestruktur2021!O74</f>
        <v>6288</v>
      </c>
      <c r="P74" s="289">
        <f>+K0kommunestruktur2021!P74</f>
        <v>182883</v>
      </c>
      <c r="Q74" s="289">
        <f>+K0kommunestruktur2021!Q74</f>
        <v>6247</v>
      </c>
      <c r="R74" s="289">
        <f>+K0kommunestruktur2021!R74</f>
        <v>201930.747</v>
      </c>
      <c r="S74" s="289">
        <f>VLOOKUP(A74,'K22'!A74:CU429,3)</f>
        <v>6214</v>
      </c>
      <c r="T74" s="289">
        <f>VLOOKUP(A74,'K22'!$A$4:$BV$359,26)</f>
        <v>215507.26150461609</v>
      </c>
      <c r="U74" s="289">
        <f>VLOOKUP(A74,'Bef.fremskr. kommunenivå MMMM'!$A$5:$K$360,8)</f>
        <v>6155</v>
      </c>
      <c r="V74" s="289">
        <f>VLOOKUP(A74,'K23'!$A$4:$BV$359,26)</f>
        <v>204031.09211382162</v>
      </c>
    </row>
    <row r="75" spans="1:22" ht="13">
      <c r="A75" s="755">
        <v>1838</v>
      </c>
      <c r="B75" s="756" t="s">
        <v>194</v>
      </c>
      <c r="C75" s="289">
        <f>+K0kommunestruktur2021!C75</f>
        <v>2023</v>
      </c>
      <c r="D75" s="289">
        <f>+K0kommunestruktur2021!D75</f>
        <v>46197</v>
      </c>
      <c r="E75" s="289">
        <f>+K0kommunestruktur2021!E75</f>
        <v>2014</v>
      </c>
      <c r="F75" s="289">
        <f>+K0kommunestruktur2021!F75</f>
        <v>42627</v>
      </c>
      <c r="G75" s="289">
        <f>+K0kommunestruktur2021!G75</f>
        <v>2043</v>
      </c>
      <c r="H75" s="289">
        <f>+K0kommunestruktur2021!H75</f>
        <v>50208</v>
      </c>
      <c r="I75" s="289">
        <f>+K0kommunestruktur2021!I75</f>
        <v>2024</v>
      </c>
      <c r="J75" s="289">
        <f>+K0kommunestruktur2021!J75</f>
        <v>49108</v>
      </c>
      <c r="K75" s="289">
        <f>+K0kommunestruktur2021!K75</f>
        <v>1998</v>
      </c>
      <c r="L75" s="289">
        <f>+K0kommunestruktur2021!L75</f>
        <v>50262</v>
      </c>
      <c r="M75" s="289">
        <f>+K0kommunestruktur2021!M75</f>
        <v>1978</v>
      </c>
      <c r="N75" s="289">
        <f>+K0kommunestruktur2021!N75</f>
        <v>52828</v>
      </c>
      <c r="O75" s="289">
        <f>+K0kommunestruktur2021!O75</f>
        <v>1950</v>
      </c>
      <c r="P75" s="289">
        <f>+K0kommunestruktur2021!P75</f>
        <v>52335</v>
      </c>
      <c r="Q75" s="289">
        <f>+K0kommunestruktur2021!Q75</f>
        <v>1920</v>
      </c>
      <c r="R75" s="289">
        <f>+K0kommunestruktur2021!R75</f>
        <v>62965.311999999998</v>
      </c>
      <c r="S75" s="289">
        <f>VLOOKUP(A75,'K22'!A75:CU430,3)</f>
        <v>1894</v>
      </c>
      <c r="T75" s="289">
        <f>VLOOKUP(A75,'K22'!$A$4:$BV$359,26)</f>
        <v>62457.156957661806</v>
      </c>
      <c r="U75" s="289">
        <f>VLOOKUP(A75,'Bef.fremskr. kommunenivå MMMM'!$A$5:$K$360,8)</f>
        <v>1917</v>
      </c>
      <c r="V75" s="289">
        <f>VLOOKUP(A75,'K23'!$A$4:$BV$359,26)</f>
        <v>60430.718384119144</v>
      </c>
    </row>
    <row r="76" spans="1:22" ht="13">
      <c r="A76" s="755">
        <v>1839</v>
      </c>
      <c r="B76" s="756" t="s">
        <v>195</v>
      </c>
      <c r="C76" s="289">
        <f>+K0kommunestruktur2021!C76</f>
        <v>1088</v>
      </c>
      <c r="D76" s="289">
        <f>+K0kommunestruktur2021!D76</f>
        <v>27234</v>
      </c>
      <c r="E76" s="289">
        <f>+K0kommunestruktur2021!E76</f>
        <v>1058</v>
      </c>
      <c r="F76" s="289">
        <f>+K0kommunestruktur2021!F76</f>
        <v>25978</v>
      </c>
      <c r="G76" s="289">
        <f>+K0kommunestruktur2021!G76</f>
        <v>1034</v>
      </c>
      <c r="H76" s="289">
        <f>+K0kommunestruktur2021!H76</f>
        <v>25014</v>
      </c>
      <c r="I76" s="289">
        <f>+K0kommunestruktur2021!I76</f>
        <v>1043</v>
      </c>
      <c r="J76" s="289">
        <f>+K0kommunestruktur2021!J76</f>
        <v>26048</v>
      </c>
      <c r="K76" s="289">
        <f>+K0kommunestruktur2021!K76</f>
        <v>1029</v>
      </c>
      <c r="L76" s="289">
        <f>+K0kommunestruktur2021!L76</f>
        <v>26982</v>
      </c>
      <c r="M76" s="289">
        <f>+K0kommunestruktur2021!M76</f>
        <v>1022</v>
      </c>
      <c r="N76" s="289">
        <f>+K0kommunestruktur2021!N76</f>
        <v>27743</v>
      </c>
      <c r="O76" s="289">
        <f>+K0kommunestruktur2021!O76</f>
        <v>1017</v>
      </c>
      <c r="P76" s="289">
        <f>+K0kommunestruktur2021!P76</f>
        <v>28080</v>
      </c>
      <c r="Q76" s="289">
        <f>+K0kommunestruktur2021!Q76</f>
        <v>999</v>
      </c>
      <c r="R76" s="289">
        <f>+K0kommunestruktur2021!R76</f>
        <v>29700.504000000001</v>
      </c>
      <c r="S76" s="289">
        <f>VLOOKUP(A76,'K22'!A76:CU431,3)</f>
        <v>1012</v>
      </c>
      <c r="T76" s="289">
        <f>VLOOKUP(A76,'K22'!$A$4:$BV$359,26)</f>
        <v>31976.423392187953</v>
      </c>
      <c r="U76" s="289">
        <f>VLOOKUP(A76,'Bef.fremskr. kommunenivå MMMM'!$A$5:$K$360,8)</f>
        <v>1020</v>
      </c>
      <c r="V76" s="289">
        <f>VLOOKUP(A76,'K23'!$A$4:$BV$359,26)</f>
        <v>30925.755519239214</v>
      </c>
    </row>
    <row r="77" spans="1:22" ht="13">
      <c r="A77" s="755">
        <v>1840</v>
      </c>
      <c r="B77" s="756" t="s">
        <v>196</v>
      </c>
      <c r="C77" s="289">
        <f>+K0kommunestruktur2021!C77</f>
        <v>4690</v>
      </c>
      <c r="D77" s="289">
        <f>+K0kommunestruktur2021!D77</f>
        <v>89200</v>
      </c>
      <c r="E77" s="289">
        <f>+K0kommunestruktur2021!E77</f>
        <v>4734</v>
      </c>
      <c r="F77" s="289">
        <f>+K0kommunestruktur2021!F77</f>
        <v>97414</v>
      </c>
      <c r="G77" s="289">
        <f>+K0kommunestruktur2021!G77</f>
        <v>4700</v>
      </c>
      <c r="H77" s="289">
        <f>+K0kommunestruktur2021!H77</f>
        <v>108553</v>
      </c>
      <c r="I77" s="289">
        <f>+K0kommunestruktur2021!I77</f>
        <v>4702</v>
      </c>
      <c r="J77" s="289">
        <f>+K0kommunestruktur2021!J77</f>
        <v>111140</v>
      </c>
      <c r="K77" s="289">
        <f>+K0kommunestruktur2021!K77</f>
        <v>4691</v>
      </c>
      <c r="L77" s="289">
        <f>+K0kommunestruktur2021!L77</f>
        <v>110720</v>
      </c>
      <c r="M77" s="289">
        <f>+K0kommunestruktur2021!M77</f>
        <v>4657</v>
      </c>
      <c r="N77" s="289">
        <f>+K0kommunestruktur2021!N77</f>
        <v>111043</v>
      </c>
      <c r="O77" s="289">
        <f>+K0kommunestruktur2021!O77</f>
        <v>4671</v>
      </c>
      <c r="P77" s="289">
        <f>+K0kommunestruktur2021!P77</f>
        <v>111066</v>
      </c>
      <c r="Q77" s="289">
        <f>+K0kommunestruktur2021!Q77</f>
        <v>4632</v>
      </c>
      <c r="R77" s="289">
        <f>+K0kommunestruktur2021!R77</f>
        <v>127708.02800000001</v>
      </c>
      <c r="S77" s="289">
        <f>VLOOKUP(A77,'K22'!A77:CU432,3)</f>
        <v>4617</v>
      </c>
      <c r="T77" s="289">
        <f>VLOOKUP(A77,'K22'!$A$4:$BV$359,26)</f>
        <v>134944.05796631353</v>
      </c>
      <c r="U77" s="289">
        <f>VLOOKUP(A77,'Bef.fremskr. kommunenivå MMMM'!$A$5:$K$360,8)</f>
        <v>4602</v>
      </c>
      <c r="V77" s="289">
        <f>VLOOKUP(A77,'K23'!$A$4:$BV$359,26)</f>
        <v>127159.38000368561</v>
      </c>
    </row>
    <row r="78" spans="1:22" ht="13">
      <c r="A78" s="755">
        <v>1841</v>
      </c>
      <c r="B78" s="756" t="s">
        <v>197</v>
      </c>
      <c r="C78" s="289">
        <f>+K0kommunestruktur2021!C78</f>
        <v>9556</v>
      </c>
      <c r="D78" s="289">
        <f>+K0kommunestruktur2021!D78</f>
        <v>205253</v>
      </c>
      <c r="E78" s="289">
        <f>+K0kommunestruktur2021!E78</f>
        <v>9622</v>
      </c>
      <c r="F78" s="289">
        <f>+K0kommunestruktur2021!F78</f>
        <v>238903</v>
      </c>
      <c r="G78" s="289">
        <f>+K0kommunestruktur2021!G78</f>
        <v>9604</v>
      </c>
      <c r="H78" s="289">
        <f>+K0kommunestruktur2021!H78</f>
        <v>209670</v>
      </c>
      <c r="I78" s="289">
        <f>+K0kommunestruktur2021!I78</f>
        <v>9729</v>
      </c>
      <c r="J78" s="289">
        <f>+K0kommunestruktur2021!J78</f>
        <v>242289</v>
      </c>
      <c r="K78" s="289">
        <f>+K0kommunestruktur2021!K78</f>
        <v>9775</v>
      </c>
      <c r="L78" s="289">
        <f>+K0kommunestruktur2021!L78</f>
        <v>257308</v>
      </c>
      <c r="M78" s="289">
        <f>+K0kommunestruktur2021!M78</f>
        <v>9760</v>
      </c>
      <c r="N78" s="289">
        <f>+K0kommunestruktur2021!N78</f>
        <v>266024</v>
      </c>
      <c r="O78" s="289">
        <f>+K0kommunestruktur2021!O78</f>
        <v>9739</v>
      </c>
      <c r="P78" s="289">
        <f>+K0kommunestruktur2021!P78</f>
        <v>262631</v>
      </c>
      <c r="Q78" s="289">
        <f>+K0kommunestruktur2021!Q78</f>
        <v>9640</v>
      </c>
      <c r="R78" s="289">
        <f>+K0kommunestruktur2021!R78</f>
        <v>297010.72700000001</v>
      </c>
      <c r="S78" s="289">
        <f>VLOOKUP(A78,'K22'!A78:CU433,3)</f>
        <v>9603</v>
      </c>
      <c r="T78" s="289">
        <f>VLOOKUP(A78,'K22'!$A$4:$BV$359,26)</f>
        <v>321306.10580439569</v>
      </c>
      <c r="U78" s="289">
        <f>VLOOKUP(A78,'Bef.fremskr. kommunenivå MMMM'!$A$5:$K$360,8)</f>
        <v>9560</v>
      </c>
      <c r="V78" s="289">
        <f>VLOOKUP(A78,'K23'!$A$4:$BV$359,26)</f>
        <v>297891.68096200051</v>
      </c>
    </row>
    <row r="79" spans="1:22" ht="13">
      <c r="A79" s="755">
        <v>1845</v>
      </c>
      <c r="B79" s="756" t="s">
        <v>198</v>
      </c>
      <c r="C79" s="289">
        <f>+K0kommunestruktur2021!C79</f>
        <v>1987</v>
      </c>
      <c r="D79" s="289">
        <f>+K0kommunestruktur2021!D79</f>
        <v>52924</v>
      </c>
      <c r="E79" s="289">
        <f>+K0kommunestruktur2021!E79</f>
        <v>1953</v>
      </c>
      <c r="F79" s="289">
        <f>+K0kommunestruktur2021!F79</f>
        <v>53864</v>
      </c>
      <c r="G79" s="289">
        <f>+K0kommunestruktur2021!G79</f>
        <v>1963</v>
      </c>
      <c r="H79" s="289">
        <f>+K0kommunestruktur2021!H79</f>
        <v>55801</v>
      </c>
      <c r="I79" s="289">
        <f>+K0kommunestruktur2021!I79</f>
        <v>1958</v>
      </c>
      <c r="J79" s="289">
        <f>+K0kommunestruktur2021!J79</f>
        <v>57707</v>
      </c>
      <c r="K79" s="289">
        <f>+K0kommunestruktur2021!K79</f>
        <v>1979</v>
      </c>
      <c r="L79" s="289">
        <f>+K0kommunestruktur2021!L79</f>
        <v>58654</v>
      </c>
      <c r="M79" s="289">
        <f>+K0kommunestruktur2021!M79</f>
        <v>1975</v>
      </c>
      <c r="N79" s="289">
        <f>+K0kommunestruktur2021!N79</f>
        <v>60172</v>
      </c>
      <c r="O79" s="289">
        <f>+K0kommunestruktur2021!O79</f>
        <v>1926</v>
      </c>
      <c r="P79" s="289">
        <f>+K0kommunestruktur2021!P79</f>
        <v>59582</v>
      </c>
      <c r="Q79" s="289">
        <f>+K0kommunestruktur2021!Q79</f>
        <v>1912</v>
      </c>
      <c r="R79" s="289">
        <f>+K0kommunestruktur2021!R79</f>
        <v>65788.322</v>
      </c>
      <c r="S79" s="289">
        <f>VLOOKUP(A79,'K22'!A79:CU434,3)</f>
        <v>1869</v>
      </c>
      <c r="T79" s="289">
        <f>VLOOKUP(A79,'K22'!$A$4:$BV$359,26)</f>
        <v>67416.012500790326</v>
      </c>
      <c r="U79" s="289">
        <f>VLOOKUP(A79,'Bef.fremskr. kommunenivå MMMM'!$A$5:$K$360,8)</f>
        <v>1864</v>
      </c>
      <c r="V79" s="289">
        <f>VLOOKUP(A79,'K23'!$A$4:$BV$359,26)</f>
        <v>64690.86683159251</v>
      </c>
    </row>
    <row r="80" spans="1:22" ht="13">
      <c r="A80" s="755">
        <v>1848</v>
      </c>
      <c r="B80" s="756" t="s">
        <v>199</v>
      </c>
      <c r="C80" s="289">
        <f>+K0kommunestruktur2021!C80</f>
        <v>2579</v>
      </c>
      <c r="D80" s="289">
        <f>+K0kommunestruktur2021!D80</f>
        <v>46019</v>
      </c>
      <c r="E80" s="289">
        <f>+K0kommunestruktur2021!E80</f>
        <v>2507</v>
      </c>
      <c r="F80" s="289">
        <f>+K0kommunestruktur2021!F80</f>
        <v>49325</v>
      </c>
      <c r="G80" s="289">
        <f>+K0kommunestruktur2021!G80</f>
        <v>2543</v>
      </c>
      <c r="H80" s="289">
        <f>+K0kommunestruktur2021!H80</f>
        <v>55924</v>
      </c>
      <c r="I80" s="289">
        <f>+K0kommunestruktur2021!I80</f>
        <v>2543</v>
      </c>
      <c r="J80" s="289">
        <f>+K0kommunestruktur2021!J80</f>
        <v>60787</v>
      </c>
      <c r="K80" s="289">
        <f>+K0kommunestruktur2021!K80</f>
        <v>2534</v>
      </c>
      <c r="L80" s="289">
        <f>+K0kommunestruktur2021!L80</f>
        <v>63418</v>
      </c>
      <c r="M80" s="289">
        <f>+K0kommunestruktur2021!M80</f>
        <v>2576</v>
      </c>
      <c r="N80" s="289">
        <f>+K0kommunestruktur2021!N80</f>
        <v>66236</v>
      </c>
      <c r="O80" s="289">
        <f>+K0kommunestruktur2021!O80</f>
        <v>2608</v>
      </c>
      <c r="P80" s="289">
        <f>+K0kommunestruktur2021!P80</f>
        <v>68850</v>
      </c>
      <c r="Q80" s="289">
        <f>+K0kommunestruktur2021!Q80</f>
        <v>2586</v>
      </c>
      <c r="R80" s="289">
        <f>+K0kommunestruktur2021!R80</f>
        <v>77671.702999999994</v>
      </c>
      <c r="S80" s="289">
        <f>VLOOKUP(A80,'K22'!A80:CU435,3)</f>
        <v>2591</v>
      </c>
      <c r="T80" s="289">
        <f>VLOOKUP(A80,'K22'!$A$4:$BV$359,26)</f>
        <v>85404.629650780815</v>
      </c>
      <c r="U80" s="289">
        <f>VLOOKUP(A80,'Bef.fremskr. kommunenivå MMMM'!$A$5:$K$360,8)</f>
        <v>2632</v>
      </c>
      <c r="V80" s="289">
        <f>VLOOKUP(A80,'K23'!$A$4:$BV$359,26)</f>
        <v>79496.366661815016</v>
      </c>
    </row>
    <row r="81" spans="1:22" ht="13">
      <c r="A81" s="755">
        <v>1851</v>
      </c>
      <c r="B81" s="756" t="s">
        <v>202</v>
      </c>
      <c r="C81" s="289">
        <f>+K0kommunestruktur2021!C81</f>
        <v>2248</v>
      </c>
      <c r="D81" s="289">
        <f>+K0kommunestruktur2021!D81</f>
        <v>43646</v>
      </c>
      <c r="E81" s="289">
        <f>+K0kommunestruktur2021!E81</f>
        <v>2160</v>
      </c>
      <c r="F81" s="289">
        <f>+K0kommunestruktur2021!F81</f>
        <v>46553</v>
      </c>
      <c r="G81" s="289">
        <f>+K0kommunestruktur2021!G81</f>
        <v>2144</v>
      </c>
      <c r="H81" s="289">
        <f>+K0kommunestruktur2021!H81</f>
        <v>49484</v>
      </c>
      <c r="I81" s="289">
        <f>+K0kommunestruktur2021!I81</f>
        <v>2134</v>
      </c>
      <c r="J81" s="289">
        <f>+K0kommunestruktur2021!J81</f>
        <v>50467</v>
      </c>
      <c r="K81" s="289">
        <f>+K0kommunestruktur2021!K81</f>
        <v>2102</v>
      </c>
      <c r="L81" s="289">
        <f>+K0kommunestruktur2021!L81</f>
        <v>52437</v>
      </c>
      <c r="M81" s="289">
        <f>+K0kommunestruktur2021!M81</f>
        <v>2077</v>
      </c>
      <c r="N81" s="289">
        <f>+K0kommunestruktur2021!N81</f>
        <v>52472</v>
      </c>
      <c r="O81" s="289">
        <f>+K0kommunestruktur2021!O81</f>
        <v>2034</v>
      </c>
      <c r="P81" s="289">
        <f>+K0kommunestruktur2021!P81</f>
        <v>53127</v>
      </c>
      <c r="Q81" s="289">
        <f>+K0kommunestruktur2021!Q81</f>
        <v>2003</v>
      </c>
      <c r="R81" s="289">
        <f>+K0kommunestruktur2021!R81</f>
        <v>60382.305</v>
      </c>
      <c r="S81" s="289">
        <f>VLOOKUP(A81,'K22'!A81:CU436,3)</f>
        <v>1976</v>
      </c>
      <c r="T81" s="289">
        <f>VLOOKUP(A81,'K22'!$A$4:$BV$359,26)</f>
        <v>65087.092019869131</v>
      </c>
      <c r="U81" s="289">
        <f>VLOOKUP(A81,'Bef.fremskr. kommunenivå MMMM'!$A$5:$K$360,8)</f>
        <v>1979</v>
      </c>
      <c r="V81" s="289">
        <f>VLOOKUP(A81,'K23'!$A$4:$BV$359,26)</f>
        <v>59298.902528220162</v>
      </c>
    </row>
    <row r="82" spans="1:22" ht="13">
      <c r="A82" s="755">
        <v>1853</v>
      </c>
      <c r="B82" s="756" t="s">
        <v>204</v>
      </c>
      <c r="C82" s="289">
        <f>+K0kommunestruktur2021!C82</f>
        <v>1391</v>
      </c>
      <c r="D82" s="289">
        <f>+K0kommunestruktur2021!D82</f>
        <v>24670</v>
      </c>
      <c r="E82" s="289">
        <f>+K0kommunestruktur2021!E82</f>
        <v>1385</v>
      </c>
      <c r="F82" s="289">
        <f>+K0kommunestruktur2021!F82</f>
        <v>26418</v>
      </c>
      <c r="G82" s="289">
        <f>+K0kommunestruktur2021!G82</f>
        <v>1400</v>
      </c>
      <c r="H82" s="289">
        <f>+K0kommunestruktur2021!H82</f>
        <v>27912</v>
      </c>
      <c r="I82" s="289">
        <f>+K0kommunestruktur2021!I82</f>
        <v>1402</v>
      </c>
      <c r="J82" s="289">
        <f>+K0kommunestruktur2021!J82</f>
        <v>28976</v>
      </c>
      <c r="K82" s="289">
        <f>+K0kommunestruktur2021!K82</f>
        <v>1387</v>
      </c>
      <c r="L82" s="289">
        <f>+K0kommunestruktur2021!L82</f>
        <v>29781</v>
      </c>
      <c r="M82" s="289">
        <f>+K0kommunestruktur2021!M82</f>
        <v>1387</v>
      </c>
      <c r="N82" s="289">
        <f>+K0kommunestruktur2021!N82</f>
        <v>30761</v>
      </c>
      <c r="O82" s="289">
        <f>+K0kommunestruktur2021!O82</f>
        <v>1348</v>
      </c>
      <c r="P82" s="289">
        <f>+K0kommunestruktur2021!P82</f>
        <v>31152</v>
      </c>
      <c r="Q82" s="289">
        <f>+K0kommunestruktur2021!Q82</f>
        <v>1324</v>
      </c>
      <c r="R82" s="289">
        <f>+K0kommunestruktur2021!R82</f>
        <v>33557.152999999998</v>
      </c>
      <c r="S82" s="289">
        <f>VLOOKUP(A82,'K22'!A82:CU437,3)</f>
        <v>1334</v>
      </c>
      <c r="T82" s="289">
        <f>VLOOKUP(A82,'K22'!$A$4:$BV$359,26)</f>
        <v>36487.431623208649</v>
      </c>
      <c r="U82" s="289">
        <f>VLOOKUP(A82,'Bef.fremskr. kommunenivå MMMM'!$A$5:$K$360,8)</f>
        <v>1369</v>
      </c>
      <c r="V82" s="289">
        <f>VLOOKUP(A82,'K23'!$A$4:$BV$359,26)</f>
        <v>35500.095902719171</v>
      </c>
    </row>
    <row r="83" spans="1:22" ht="13">
      <c r="A83" s="755">
        <v>1856</v>
      </c>
      <c r="B83" s="756" t="s">
        <v>206</v>
      </c>
      <c r="C83" s="289">
        <f>+K0kommunestruktur2021!C83</f>
        <v>566</v>
      </c>
      <c r="D83" s="289">
        <f>+K0kommunestruktur2021!D83</f>
        <v>11661</v>
      </c>
      <c r="E83" s="289">
        <f>+K0kommunestruktur2021!E83</f>
        <v>545</v>
      </c>
      <c r="F83" s="289">
        <f>+K0kommunestruktur2021!F83</f>
        <v>13949</v>
      </c>
      <c r="G83" s="289">
        <f>+K0kommunestruktur2021!G83</f>
        <v>551</v>
      </c>
      <c r="H83" s="289">
        <f>+K0kommunestruktur2021!H83</f>
        <v>16165</v>
      </c>
      <c r="I83" s="289">
        <f>+K0kommunestruktur2021!I83</f>
        <v>535</v>
      </c>
      <c r="J83" s="289">
        <f>+K0kommunestruktur2021!J83</f>
        <v>17382</v>
      </c>
      <c r="K83" s="289">
        <f>+K0kommunestruktur2021!K83</f>
        <v>517</v>
      </c>
      <c r="L83" s="289">
        <f>+K0kommunestruktur2021!L83</f>
        <v>16310</v>
      </c>
      <c r="M83" s="289">
        <f>+K0kommunestruktur2021!M83</f>
        <v>508</v>
      </c>
      <c r="N83" s="289">
        <f>+K0kommunestruktur2021!N83</f>
        <v>18474</v>
      </c>
      <c r="O83" s="289">
        <f>+K0kommunestruktur2021!O83</f>
        <v>498</v>
      </c>
      <c r="P83" s="289">
        <f>+K0kommunestruktur2021!P83</f>
        <v>18270</v>
      </c>
      <c r="Q83" s="289">
        <f>+K0kommunestruktur2021!Q83</f>
        <v>488</v>
      </c>
      <c r="R83" s="289">
        <f>+K0kommunestruktur2021!R83</f>
        <v>19717.026999999998</v>
      </c>
      <c r="S83" s="289">
        <f>VLOOKUP(A83,'K22'!A83:CU438,3)</f>
        <v>469</v>
      </c>
      <c r="T83" s="289">
        <f>VLOOKUP(A83,'K22'!$A$4:$BV$359,26)</f>
        <v>21345.354059523732</v>
      </c>
      <c r="U83" s="289">
        <f>VLOOKUP(A83,'Bef.fremskr. kommunenivå MMMM'!$A$5:$K$360,8)</f>
        <v>461</v>
      </c>
      <c r="V83" s="289">
        <f>VLOOKUP(A83,'K23'!$A$4:$BV$359,26)</f>
        <v>19257.390437164104</v>
      </c>
    </row>
    <row r="84" spans="1:22" ht="13">
      <c r="A84" s="755">
        <v>1857</v>
      </c>
      <c r="B84" s="756" t="s">
        <v>207</v>
      </c>
      <c r="C84" s="289">
        <f>+K0kommunestruktur2021!C84</f>
        <v>777</v>
      </c>
      <c r="D84" s="289">
        <f>+K0kommunestruktur2021!D84</f>
        <v>16048</v>
      </c>
      <c r="E84" s="289">
        <f>+K0kommunestruktur2021!E84</f>
        <v>780</v>
      </c>
      <c r="F84" s="289">
        <f>+K0kommunestruktur2021!F84</f>
        <v>18594</v>
      </c>
      <c r="G84" s="289">
        <f>+K0kommunestruktur2021!G84</f>
        <v>765</v>
      </c>
      <c r="H84" s="289">
        <f>+K0kommunestruktur2021!H84</f>
        <v>20793</v>
      </c>
      <c r="I84" s="289">
        <f>+K0kommunestruktur2021!I84</f>
        <v>744</v>
      </c>
      <c r="J84" s="289">
        <f>+K0kommunestruktur2021!J84</f>
        <v>22080</v>
      </c>
      <c r="K84" s="289">
        <f>+K0kommunestruktur2021!K84</f>
        <v>746</v>
      </c>
      <c r="L84" s="289">
        <f>+K0kommunestruktur2021!L84</f>
        <v>21713</v>
      </c>
      <c r="M84" s="289">
        <f>+K0kommunestruktur2021!M84</f>
        <v>732</v>
      </c>
      <c r="N84" s="289">
        <f>+K0kommunestruktur2021!N84</f>
        <v>22943</v>
      </c>
      <c r="O84" s="289">
        <f>+K0kommunestruktur2021!O84</f>
        <v>728</v>
      </c>
      <c r="P84" s="289">
        <f>+K0kommunestruktur2021!P84</f>
        <v>24227</v>
      </c>
      <c r="Q84" s="289">
        <f>+K0kommunestruktur2021!Q84</f>
        <v>698</v>
      </c>
      <c r="R84" s="289">
        <f>+K0kommunestruktur2021!R84</f>
        <v>26622.635999999999</v>
      </c>
      <c r="S84" s="289">
        <f>VLOOKUP(A84,'K22'!A84:CU439,3)</f>
        <v>678</v>
      </c>
      <c r="T84" s="289">
        <f>VLOOKUP(A84,'K22'!$A$4:$BV$359,26)</f>
        <v>27525.720643418157</v>
      </c>
      <c r="U84" s="289">
        <f>VLOOKUP(A84,'Bef.fremskr. kommunenivå MMMM'!$A$5:$K$360,8)</f>
        <v>676</v>
      </c>
      <c r="V84" s="289">
        <f>VLOOKUP(A84,'K23'!$A$4:$BV$359,26)</f>
        <v>25528.29147352853</v>
      </c>
    </row>
    <row r="85" spans="1:22" ht="13">
      <c r="A85" s="755">
        <v>1859</v>
      </c>
      <c r="B85" s="756" t="s">
        <v>208</v>
      </c>
      <c r="C85" s="289">
        <f>+K0kommunestruktur2021!C85</f>
        <v>1368</v>
      </c>
      <c r="D85" s="289">
        <f>+K0kommunestruktur2021!D85</f>
        <v>26259</v>
      </c>
      <c r="E85" s="289">
        <f>+K0kommunestruktur2021!E85</f>
        <v>1358</v>
      </c>
      <c r="F85" s="289">
        <f>+K0kommunestruktur2021!F85</f>
        <v>28292</v>
      </c>
      <c r="G85" s="289">
        <f>+K0kommunestruktur2021!G85</f>
        <v>1336</v>
      </c>
      <c r="H85" s="289">
        <f>+K0kommunestruktur2021!H85</f>
        <v>32331</v>
      </c>
      <c r="I85" s="289">
        <f>+K0kommunestruktur2021!I85</f>
        <v>1349</v>
      </c>
      <c r="J85" s="289">
        <f>+K0kommunestruktur2021!J85</f>
        <v>35412</v>
      </c>
      <c r="K85" s="289">
        <f>+K0kommunestruktur2021!K85</f>
        <v>1301</v>
      </c>
      <c r="L85" s="289">
        <f>+K0kommunestruktur2021!L85</f>
        <v>37505</v>
      </c>
      <c r="M85" s="289">
        <f>+K0kommunestruktur2021!M85</f>
        <v>1292</v>
      </c>
      <c r="N85" s="289">
        <f>+K0kommunestruktur2021!N85</f>
        <v>40548</v>
      </c>
      <c r="O85" s="289">
        <f>+K0kommunestruktur2021!O85</f>
        <v>1272</v>
      </c>
      <c r="P85" s="289">
        <f>+K0kommunestruktur2021!P85</f>
        <v>40310</v>
      </c>
      <c r="Q85" s="289">
        <f>+K0kommunestruktur2021!Q85</f>
        <v>1238</v>
      </c>
      <c r="R85" s="289">
        <f>+K0kommunestruktur2021!R85</f>
        <v>39684.923000000003</v>
      </c>
      <c r="S85" s="289">
        <f>VLOOKUP(A85,'K22'!A85:CU440,3)</f>
        <v>1216</v>
      </c>
      <c r="T85" s="289">
        <f>VLOOKUP(A85,'K22'!$A$4:$BV$359,26)</f>
        <v>45048.027369757889</v>
      </c>
      <c r="U85" s="289">
        <f>VLOOKUP(A85,'Bef.fremskr. kommunenivå MMMM'!$A$5:$K$360,8)</f>
        <v>1226</v>
      </c>
      <c r="V85" s="289">
        <f>VLOOKUP(A85,'K23'!$A$4:$BV$359,26)</f>
        <v>43052.463107878029</v>
      </c>
    </row>
    <row r="86" spans="1:22" ht="13">
      <c r="A86" s="755">
        <v>1860</v>
      </c>
      <c r="B86" s="756" t="s">
        <v>209</v>
      </c>
      <c r="C86" s="289">
        <f>+K0kommunestruktur2021!C86</f>
        <v>10997</v>
      </c>
      <c r="D86" s="289">
        <f>+K0kommunestruktur2021!D86</f>
        <v>209102</v>
      </c>
      <c r="E86" s="289">
        <f>+K0kommunestruktur2021!E86</f>
        <v>11140</v>
      </c>
      <c r="F86" s="289">
        <f>+K0kommunestruktur2021!F86</f>
        <v>227662</v>
      </c>
      <c r="G86" s="289">
        <f>+K0kommunestruktur2021!G86</f>
        <v>11198</v>
      </c>
      <c r="H86" s="289">
        <f>+K0kommunestruktur2021!H86</f>
        <v>253493</v>
      </c>
      <c r="I86" s="289">
        <f>+K0kommunestruktur2021!I86</f>
        <v>11294</v>
      </c>
      <c r="J86" s="289">
        <f>+K0kommunestruktur2021!J86</f>
        <v>265381</v>
      </c>
      <c r="K86" s="289">
        <f>+K0kommunestruktur2021!K86</f>
        <v>11397</v>
      </c>
      <c r="L86" s="289">
        <f>+K0kommunestruktur2021!L86</f>
        <v>282252</v>
      </c>
      <c r="M86" s="289">
        <f>+K0kommunestruktur2021!M86</f>
        <v>11480</v>
      </c>
      <c r="N86" s="289">
        <f>+K0kommunestruktur2021!N86</f>
        <v>290256</v>
      </c>
      <c r="O86" s="289">
        <f>+K0kommunestruktur2021!O86</f>
        <v>11433</v>
      </c>
      <c r="P86" s="289">
        <f>+K0kommunestruktur2021!P86</f>
        <v>297869</v>
      </c>
      <c r="Q86" s="289">
        <f>+K0kommunestruktur2021!Q86</f>
        <v>11521</v>
      </c>
      <c r="R86" s="289">
        <f>+K0kommunestruktur2021!R86</f>
        <v>333941.76899999997</v>
      </c>
      <c r="S86" s="289">
        <f>VLOOKUP(A86,'K22'!A86:CU441,3)</f>
        <v>11566</v>
      </c>
      <c r="T86" s="289">
        <f>VLOOKUP(A86,'K22'!$A$4:$BV$359,26)</f>
        <v>371522.73393257626</v>
      </c>
      <c r="U86" s="289">
        <f>VLOOKUP(A86,'Bef.fremskr. kommunenivå MMMM'!$A$5:$K$360,8)</f>
        <v>11603</v>
      </c>
      <c r="V86" s="289">
        <f>VLOOKUP(A86,'K23'!$A$4:$BV$359,26)</f>
        <v>342940.11296989676</v>
      </c>
    </row>
    <row r="87" spans="1:22" ht="13">
      <c r="A87" s="755">
        <v>1865</v>
      </c>
      <c r="B87" s="756" t="s">
        <v>210</v>
      </c>
      <c r="C87" s="289">
        <f>+K0kommunestruktur2021!C87</f>
        <v>9223</v>
      </c>
      <c r="D87" s="289">
        <f>+K0kommunestruktur2021!D87</f>
        <v>176605</v>
      </c>
      <c r="E87" s="289">
        <f>+K0kommunestruktur2021!E87</f>
        <v>9285</v>
      </c>
      <c r="F87" s="289">
        <f>+K0kommunestruktur2021!F87</f>
        <v>202235</v>
      </c>
      <c r="G87" s="289">
        <f>+K0kommunestruktur2021!G87</f>
        <v>9350</v>
      </c>
      <c r="H87" s="289">
        <f>+K0kommunestruktur2021!H87</f>
        <v>224413</v>
      </c>
      <c r="I87" s="289">
        <f>+K0kommunestruktur2021!I87</f>
        <v>9444</v>
      </c>
      <c r="J87" s="289">
        <f>+K0kommunestruktur2021!J87</f>
        <v>240817</v>
      </c>
      <c r="K87" s="289">
        <f>+K0kommunestruktur2021!K87</f>
        <v>9611</v>
      </c>
      <c r="L87" s="289">
        <f>+K0kommunestruktur2021!L87</f>
        <v>268281</v>
      </c>
      <c r="M87" s="289">
        <f>+K0kommunestruktur2021!M87</f>
        <v>9595</v>
      </c>
      <c r="N87" s="289">
        <f>+K0kommunestruktur2021!N87</f>
        <v>278063</v>
      </c>
      <c r="O87" s="289">
        <f>+K0kommunestruktur2021!O87</f>
        <v>9608</v>
      </c>
      <c r="P87" s="289">
        <f>+K0kommunestruktur2021!P87</f>
        <v>274393</v>
      </c>
      <c r="Q87" s="289">
        <f>+K0kommunestruktur2021!Q87</f>
        <v>9670</v>
      </c>
      <c r="R87" s="289">
        <f>+K0kommunestruktur2021!R87</f>
        <v>306877.32699999999</v>
      </c>
      <c r="S87" s="289">
        <f>VLOOKUP(A87,'K22'!A87:CU442,3)</f>
        <v>9724</v>
      </c>
      <c r="T87" s="289">
        <f>VLOOKUP(A87,'K22'!$A$4:$BV$359,26)</f>
        <v>363475.2369889422</v>
      </c>
      <c r="U87" s="289">
        <f>VLOOKUP(A87,'Bef.fremskr. kommunenivå MMMM'!$A$5:$K$360,8)</f>
        <v>9850</v>
      </c>
      <c r="V87" s="289">
        <f>VLOOKUP(A87,'K23'!$A$4:$BV$359,26)</f>
        <v>323772.00758154341</v>
      </c>
    </row>
    <row r="88" spans="1:22" ht="13">
      <c r="A88" s="755">
        <v>1866</v>
      </c>
      <c r="B88" s="756" t="s">
        <v>211</v>
      </c>
      <c r="C88" s="289">
        <f>+K0kommunestruktur2021!C88</f>
        <v>8112</v>
      </c>
      <c r="D88" s="289">
        <f>+K0kommunestruktur2021!D88</f>
        <v>156987</v>
      </c>
      <c r="E88" s="289">
        <f>+K0kommunestruktur2021!E88</f>
        <v>8057</v>
      </c>
      <c r="F88" s="289">
        <f>+K0kommunestruktur2021!F88</f>
        <v>161270</v>
      </c>
      <c r="G88" s="289">
        <f>+K0kommunestruktur2021!G88</f>
        <v>8082</v>
      </c>
      <c r="H88" s="289">
        <f>+K0kommunestruktur2021!H88</f>
        <v>190925</v>
      </c>
      <c r="I88" s="289">
        <f>+K0kommunestruktur2021!I88</f>
        <v>8009</v>
      </c>
      <c r="J88" s="289">
        <f>+K0kommunestruktur2021!J88</f>
        <v>197825</v>
      </c>
      <c r="K88" s="289">
        <f>+K0kommunestruktur2021!K88</f>
        <v>8042</v>
      </c>
      <c r="L88" s="289">
        <f>+K0kommunestruktur2021!L88</f>
        <v>188411</v>
      </c>
      <c r="M88" s="289">
        <f>+K0kommunestruktur2021!M88</f>
        <v>8091</v>
      </c>
      <c r="N88" s="289">
        <f>+K0kommunestruktur2021!N88</f>
        <v>199930</v>
      </c>
      <c r="O88" s="289">
        <f>+K0kommunestruktur2021!O88</f>
        <v>8061</v>
      </c>
      <c r="P88" s="289">
        <f>+K0kommunestruktur2021!P88</f>
        <v>229795</v>
      </c>
      <c r="Q88" s="289">
        <f>+K0kommunestruktur2021!Q88</f>
        <v>8065</v>
      </c>
      <c r="R88" s="289">
        <f>+K0kommunestruktur2021!R88</f>
        <v>263924.96500000003</v>
      </c>
      <c r="S88" s="289">
        <f>VLOOKUP(A88,'K22'!A88:CU443,3)</f>
        <v>8107</v>
      </c>
      <c r="T88" s="289">
        <f>VLOOKUP(A88,'K22'!$A$4:$BV$359,26)</f>
        <v>301986.33960755821</v>
      </c>
      <c r="U88" s="289">
        <f>VLOOKUP(A88,'Bef.fremskr. kommunenivå MMMM'!$A$5:$K$360,8)</f>
        <v>8161</v>
      </c>
      <c r="V88" s="289">
        <f>VLOOKUP(A88,'K23'!$A$4:$BV$359,26)</f>
        <v>257455.58476063784</v>
      </c>
    </row>
    <row r="89" spans="1:22" ht="13">
      <c r="A89" s="755">
        <v>1867</v>
      </c>
      <c r="B89" s="756" t="s">
        <v>913</v>
      </c>
      <c r="C89" s="289">
        <f>+K0kommunestruktur2021!C89</f>
        <v>2642</v>
      </c>
      <c r="D89" s="289">
        <f>+K0kommunestruktur2021!D89</f>
        <v>42197</v>
      </c>
      <c r="E89" s="289">
        <f>+K0kommunestruktur2021!E89</f>
        <v>2642</v>
      </c>
      <c r="F89" s="289">
        <f>+K0kommunestruktur2021!F89</f>
        <v>45774</v>
      </c>
      <c r="G89" s="289">
        <f>+K0kommunestruktur2021!G89</f>
        <v>2632</v>
      </c>
      <c r="H89" s="289">
        <f>+K0kommunestruktur2021!H89</f>
        <v>52082</v>
      </c>
      <c r="I89" s="289">
        <f>+K0kommunestruktur2021!I89</f>
        <v>2624</v>
      </c>
      <c r="J89" s="289">
        <f>+K0kommunestruktur2021!J89</f>
        <v>54754</v>
      </c>
      <c r="K89" s="289">
        <f>+K0kommunestruktur2021!K89</f>
        <v>2623</v>
      </c>
      <c r="L89" s="289">
        <f>+K0kommunestruktur2021!L89</f>
        <v>61567</v>
      </c>
      <c r="M89" s="289">
        <f>+K0kommunestruktur2021!M89</f>
        <v>2616</v>
      </c>
      <c r="N89" s="289">
        <f>+K0kommunestruktur2021!N89</f>
        <v>64569</v>
      </c>
      <c r="O89" s="289">
        <f>+K0kommunestruktur2021!O89</f>
        <v>2569</v>
      </c>
      <c r="P89" s="289">
        <f>+K0kommunestruktur2021!P89</f>
        <v>63494</v>
      </c>
      <c r="Q89" s="289">
        <f>+K0kommunestruktur2021!Q89</f>
        <v>2576</v>
      </c>
      <c r="R89" s="289">
        <f>+K0kommunestruktur2021!R89</f>
        <v>96312</v>
      </c>
      <c r="S89" s="289">
        <f>VLOOKUP(A89,'K22'!A89:CU444,3)</f>
        <v>2565</v>
      </c>
      <c r="T89" s="289">
        <f>VLOOKUP(A89,'K22'!$A$4:$BV$359,26)</f>
        <v>102370.1132479362</v>
      </c>
      <c r="U89" s="289">
        <f>VLOOKUP(A89,'Bef.fremskr. kommunenivå MMMM'!$A$5:$K$360,8)</f>
        <v>2565</v>
      </c>
      <c r="V89" s="289">
        <f>VLOOKUP(A89,'K23'!$A$4:$BV$359,26)</f>
        <v>81131.465896519119</v>
      </c>
    </row>
    <row r="90" spans="1:22" ht="13">
      <c r="A90" s="755">
        <v>1868</v>
      </c>
      <c r="B90" s="756" t="s">
        <v>212</v>
      </c>
      <c r="C90" s="289">
        <f>+K0kommunestruktur2021!C90</f>
        <v>4562</v>
      </c>
      <c r="D90" s="289">
        <f>+K0kommunestruktur2021!D90</f>
        <v>88777</v>
      </c>
      <c r="E90" s="289">
        <f>+K0kommunestruktur2021!E90</f>
        <v>4563</v>
      </c>
      <c r="F90" s="289">
        <f>+K0kommunestruktur2021!F90</f>
        <v>96911</v>
      </c>
      <c r="G90" s="289">
        <f>+K0kommunestruktur2021!G90</f>
        <v>4529</v>
      </c>
      <c r="H90" s="289">
        <f>+K0kommunestruktur2021!H90</f>
        <v>105787</v>
      </c>
      <c r="I90" s="289">
        <f>+K0kommunestruktur2021!I90</f>
        <v>4580</v>
      </c>
      <c r="J90" s="289">
        <f>+K0kommunestruktur2021!J90</f>
        <v>109552</v>
      </c>
      <c r="K90" s="289">
        <f>+K0kommunestruktur2021!K90</f>
        <v>4541</v>
      </c>
      <c r="L90" s="289">
        <f>+K0kommunestruktur2021!L90</f>
        <v>122118</v>
      </c>
      <c r="M90" s="289">
        <f>+K0kommunestruktur2021!M90</f>
        <v>4449</v>
      </c>
      <c r="N90" s="289">
        <f>+K0kommunestruktur2021!N90</f>
        <v>126035</v>
      </c>
      <c r="O90" s="289">
        <f>+K0kommunestruktur2021!O90</f>
        <v>4410</v>
      </c>
      <c r="P90" s="289">
        <f>+K0kommunestruktur2021!P90</f>
        <v>120986</v>
      </c>
      <c r="Q90" s="289">
        <f>+K0kommunestruktur2021!Q90</f>
        <v>4416</v>
      </c>
      <c r="R90" s="289">
        <f>+K0kommunestruktur2021!R90</f>
        <v>135720.68900000001</v>
      </c>
      <c r="S90" s="289">
        <f>VLOOKUP(A90,'K22'!A90:CU445,3)</f>
        <v>4458</v>
      </c>
      <c r="T90" s="289">
        <f>VLOOKUP(A90,'K22'!$A$4:$BV$359,26)</f>
        <v>154050.10608374342</v>
      </c>
      <c r="U90" s="289">
        <f>VLOOKUP(A90,'Bef.fremskr. kommunenivå MMMM'!$A$5:$K$360,8)</f>
        <v>4509</v>
      </c>
      <c r="V90" s="289">
        <f>VLOOKUP(A90,'K23'!$A$4:$BV$359,26)</f>
        <v>143599.41841448774</v>
      </c>
    </row>
    <row r="91" spans="1:22" ht="13">
      <c r="A91" s="755">
        <v>1870</v>
      </c>
      <c r="B91" s="756" t="s">
        <v>213</v>
      </c>
      <c r="C91" s="289">
        <f>+K0kommunestruktur2021!C91</f>
        <v>10129</v>
      </c>
      <c r="D91" s="289">
        <f>+K0kommunestruktur2021!D91</f>
        <v>197249</v>
      </c>
      <c r="E91" s="289">
        <f>+K0kommunestruktur2021!E91</f>
        <v>10166</v>
      </c>
      <c r="F91" s="289">
        <f>+K0kommunestruktur2021!F91</f>
        <v>213192</v>
      </c>
      <c r="G91" s="289">
        <f>+K0kommunestruktur2021!G91</f>
        <v>10214</v>
      </c>
      <c r="H91" s="289">
        <f>+K0kommunestruktur2021!H91</f>
        <v>236542</v>
      </c>
      <c r="I91" s="289">
        <f>+K0kommunestruktur2021!I91</f>
        <v>10378</v>
      </c>
      <c r="J91" s="289">
        <f>+K0kommunestruktur2021!J91</f>
        <v>247240</v>
      </c>
      <c r="K91" s="289">
        <f>+K0kommunestruktur2021!K91</f>
        <v>10401</v>
      </c>
      <c r="L91" s="289">
        <f>+K0kommunestruktur2021!L91</f>
        <v>270129</v>
      </c>
      <c r="M91" s="289">
        <f>+K0kommunestruktur2021!M91</f>
        <v>10518</v>
      </c>
      <c r="N91" s="289">
        <f>+K0kommunestruktur2021!N91</f>
        <v>279319</v>
      </c>
      <c r="O91" s="289">
        <f>+K0kommunestruktur2021!O91</f>
        <v>10566</v>
      </c>
      <c r="P91" s="289">
        <f>+K0kommunestruktur2021!P91</f>
        <v>286545</v>
      </c>
      <c r="Q91" s="289">
        <f>+K0kommunestruktur2021!Q91</f>
        <v>10514</v>
      </c>
      <c r="R91" s="289">
        <f>+K0kommunestruktur2021!R91</f>
        <v>329937.85700000002</v>
      </c>
      <c r="S91" s="289">
        <f>VLOOKUP(A91,'K22'!A91:CU446,3)</f>
        <v>10468</v>
      </c>
      <c r="T91" s="289">
        <f>VLOOKUP(A91,'K22'!$A$4:$BV$359,26)</f>
        <v>367978.24441099877</v>
      </c>
      <c r="U91" s="289">
        <f>VLOOKUP(A91,'Bef.fremskr. kommunenivå MMMM'!$A$5:$K$360,8)</f>
        <v>10458</v>
      </c>
      <c r="V91" s="289">
        <f>VLOOKUP(A91,'K23'!$A$4:$BV$359,26)</f>
        <v>326951.1694623435</v>
      </c>
    </row>
    <row r="92" spans="1:22" ht="13">
      <c r="A92" s="755">
        <v>1871</v>
      </c>
      <c r="B92" s="756" t="s">
        <v>214</v>
      </c>
      <c r="C92" s="289">
        <f>+K0kommunestruktur2021!C92</f>
        <v>4993</v>
      </c>
      <c r="D92" s="289">
        <f>+K0kommunestruktur2021!D92</f>
        <v>97841</v>
      </c>
      <c r="E92" s="289">
        <f>+K0kommunestruktur2021!E92</f>
        <v>4991</v>
      </c>
      <c r="F92" s="289">
        <f>+K0kommunestruktur2021!F92</f>
        <v>105566</v>
      </c>
      <c r="G92" s="289">
        <f>+K0kommunestruktur2021!G92</f>
        <v>4980</v>
      </c>
      <c r="H92" s="289">
        <f>+K0kommunestruktur2021!H92</f>
        <v>110513</v>
      </c>
      <c r="I92" s="289">
        <f>+K0kommunestruktur2021!I92</f>
        <v>4908</v>
      </c>
      <c r="J92" s="289">
        <f>+K0kommunestruktur2021!J92</f>
        <v>114562</v>
      </c>
      <c r="K92" s="289">
        <f>+K0kommunestruktur2021!K92</f>
        <v>4902</v>
      </c>
      <c r="L92" s="289">
        <f>+K0kommunestruktur2021!L92</f>
        <v>134742</v>
      </c>
      <c r="M92" s="289">
        <f>+K0kommunestruktur2021!M92</f>
        <v>4771</v>
      </c>
      <c r="N92" s="289">
        <f>+K0kommunestruktur2021!N92</f>
        <v>127446</v>
      </c>
      <c r="O92" s="289">
        <f>+K0kommunestruktur2021!O92</f>
        <v>4663</v>
      </c>
      <c r="P92" s="289">
        <f>+K0kommunestruktur2021!P92</f>
        <v>118622</v>
      </c>
      <c r="Q92" s="289">
        <f>+K0kommunestruktur2021!Q92</f>
        <v>4588</v>
      </c>
      <c r="R92" s="289">
        <f>+K0kommunestruktur2021!R92</f>
        <v>143392.48000000001</v>
      </c>
      <c r="S92" s="289">
        <f>VLOOKUP(A92,'K22'!A92:CU447,3)</f>
        <v>4572</v>
      </c>
      <c r="T92" s="289">
        <f>VLOOKUP(A92,'K22'!$A$4:$BV$359,26)</f>
        <v>150063.63205356782</v>
      </c>
      <c r="U92" s="289">
        <f>VLOOKUP(A92,'Bef.fremskr. kommunenivå MMMM'!$A$5:$K$360,8)</f>
        <v>4598</v>
      </c>
      <c r="V92" s="289">
        <f>VLOOKUP(A92,'K23'!$A$4:$BV$359,26)</f>
        <v>140823.88883003523</v>
      </c>
    </row>
    <row r="93" spans="1:22" ht="13">
      <c r="A93" s="755">
        <v>1874</v>
      </c>
      <c r="B93" s="756" t="s">
        <v>215</v>
      </c>
      <c r="C93" s="289">
        <f>+K0kommunestruktur2021!C93</f>
        <v>1108</v>
      </c>
      <c r="D93" s="289">
        <f>+K0kommunestruktur2021!D93</f>
        <v>23459</v>
      </c>
      <c r="E93" s="289">
        <f>+K0kommunestruktur2021!E93</f>
        <v>1070</v>
      </c>
      <c r="F93" s="289">
        <f>+K0kommunestruktur2021!F93</f>
        <v>25475</v>
      </c>
      <c r="G93" s="289">
        <f>+K0kommunestruktur2021!G93</f>
        <v>1062</v>
      </c>
      <c r="H93" s="289">
        <f>+K0kommunestruktur2021!H93</f>
        <v>25619</v>
      </c>
      <c r="I93" s="289">
        <f>+K0kommunestruktur2021!I93</f>
        <v>1073</v>
      </c>
      <c r="J93" s="289">
        <f>+K0kommunestruktur2021!J93</f>
        <v>28995</v>
      </c>
      <c r="K93" s="289">
        <f>+K0kommunestruktur2021!K93</f>
        <v>1068</v>
      </c>
      <c r="L93" s="289">
        <f>+K0kommunestruktur2021!L93</f>
        <v>30852</v>
      </c>
      <c r="M93" s="289">
        <f>+K0kommunestruktur2021!M93</f>
        <v>1039</v>
      </c>
      <c r="N93" s="289">
        <f>+K0kommunestruktur2021!N93</f>
        <v>34001</v>
      </c>
      <c r="O93" s="289">
        <f>+K0kommunestruktur2021!O93</f>
        <v>1015</v>
      </c>
      <c r="P93" s="289">
        <f>+K0kommunestruktur2021!P93</f>
        <v>31448</v>
      </c>
      <c r="Q93" s="289">
        <f>+K0kommunestruktur2021!Q93</f>
        <v>989</v>
      </c>
      <c r="R93" s="289">
        <f>+K0kommunestruktur2021!R93</f>
        <v>34390.430999999997</v>
      </c>
      <c r="S93" s="289">
        <f>VLOOKUP(A93,'K22'!A93:CU448,3)</f>
        <v>982</v>
      </c>
      <c r="T93" s="289">
        <f>VLOOKUP(A93,'K22'!$A$4:$BV$359,26)</f>
        <v>39228.677469960094</v>
      </c>
      <c r="U93" s="289">
        <f>VLOOKUP(A93,'Bef.fremskr. kommunenivå MMMM'!$A$5:$K$360,8)</f>
        <v>1016</v>
      </c>
      <c r="V93" s="289">
        <f>VLOOKUP(A93,'K23'!$A$4:$BV$359,26)</f>
        <v>36848.564231202465</v>
      </c>
    </row>
    <row r="94" spans="1:22" ht="13">
      <c r="A94" s="755">
        <v>1875</v>
      </c>
      <c r="B94" s="756" t="s">
        <v>1617</v>
      </c>
      <c r="C94" s="289">
        <f>+K0kommunestruktur2021!C94</f>
        <v>2895.3246753200001</v>
      </c>
      <c r="D94" s="289">
        <f>+K0kommunestruktur2021!D94</f>
        <v>62711.115194805199</v>
      </c>
      <c r="E94" s="289">
        <f>+K0kommunestruktur2021!E94</f>
        <v>2884.17402597</v>
      </c>
      <c r="F94" s="289">
        <f>+K0kommunestruktur2021!F94</f>
        <v>66304.084176623379</v>
      </c>
      <c r="G94" s="289">
        <f>+K0kommunestruktur2021!G94</f>
        <v>2885.3454545499999</v>
      </c>
      <c r="H94" s="289">
        <f>+K0kommunestruktur2021!H94</f>
        <v>70995.562301298691</v>
      </c>
      <c r="I94" s="289">
        <f>+K0kommunestruktur2021!I94</f>
        <v>2863.8181818200001</v>
      </c>
      <c r="J94" s="289">
        <f>+K0kommunestruktur2021!J94</f>
        <v>71816.2781974026</v>
      </c>
      <c r="K94" s="289">
        <f>+K0kommunestruktur2021!K94</f>
        <v>2851.0545454499998</v>
      </c>
      <c r="L94" s="289">
        <f>+K0kommunestruktur2021!L94</f>
        <v>76201.555844155839</v>
      </c>
      <c r="M94" s="289">
        <f>+K0kommunestruktur2021!M94</f>
        <v>2782</v>
      </c>
      <c r="N94" s="289">
        <f>+K0kommunestruktur2021!N94</f>
        <v>78142.559819913411</v>
      </c>
      <c r="O94" s="289">
        <f>+K0kommunestruktur2021!O94</f>
        <v>2766</v>
      </c>
      <c r="P94" s="289">
        <f>+K0kommunestruktur2021!P94</f>
        <v>78376</v>
      </c>
      <c r="Q94" s="289">
        <f>+K0kommunestruktur2021!Q94</f>
        <v>2701</v>
      </c>
      <c r="R94" s="289">
        <f>+K0kommunestruktur2021!R94</f>
        <v>78912.789000000004</v>
      </c>
      <c r="S94" s="289">
        <f>VLOOKUP(A94,'K22'!A94:CU449,3)</f>
        <v>2708</v>
      </c>
      <c r="T94" s="289">
        <f>VLOOKUP(A94,'K22'!$A$4:$BV$359,26)</f>
        <v>89432.212067874876</v>
      </c>
      <c r="U94" s="289">
        <f>VLOOKUP(A94,'Bef.fremskr. kommunenivå MMMM'!$A$5:$K$360,8)</f>
        <v>2755</v>
      </c>
      <c r="V94" s="289">
        <f>VLOOKUP(A94,'K23'!$A$4:$BV$359,26)</f>
        <v>86131.303831645331</v>
      </c>
    </row>
    <row r="95" spans="1:22" ht="13">
      <c r="A95" s="755">
        <v>3001</v>
      </c>
      <c r="B95" s="756" t="s">
        <v>783</v>
      </c>
      <c r="C95" s="289">
        <f>+K0kommunestruktur2021!C95</f>
        <v>30132</v>
      </c>
      <c r="D95" s="289">
        <f>+K0kommunestruktur2021!D95</f>
        <v>578670</v>
      </c>
      <c r="E95" s="289">
        <f>+K0kommunestruktur2021!E95</f>
        <v>30328</v>
      </c>
      <c r="F95" s="289">
        <f>+K0kommunestruktur2021!F95</f>
        <v>622874</v>
      </c>
      <c r="G95" s="289">
        <f>+K0kommunestruktur2021!G95</f>
        <v>30544</v>
      </c>
      <c r="H95" s="289">
        <f>+K0kommunestruktur2021!H95</f>
        <v>694774</v>
      </c>
      <c r="I95" s="289">
        <f>+K0kommunestruktur2021!I95</f>
        <v>30790</v>
      </c>
      <c r="J95" s="289">
        <f>+K0kommunestruktur2021!J95</f>
        <v>718818</v>
      </c>
      <c r="K95" s="289">
        <f>+K0kommunestruktur2021!K95</f>
        <v>31037</v>
      </c>
      <c r="L95" s="289">
        <f>+K0kommunestruktur2021!L95</f>
        <v>758714</v>
      </c>
      <c r="M95" s="289">
        <f>+K0kommunestruktur2021!M95</f>
        <v>31177</v>
      </c>
      <c r="N95" s="289">
        <f>+K0kommunestruktur2021!N95</f>
        <v>767877</v>
      </c>
      <c r="O95" s="289">
        <f>+K0kommunestruktur2021!O95</f>
        <v>31373</v>
      </c>
      <c r="P95" s="289">
        <f>+K0kommunestruktur2021!P95</f>
        <v>771295</v>
      </c>
      <c r="Q95" s="289">
        <f>+K0kommunestruktur2021!Q95</f>
        <v>31387</v>
      </c>
      <c r="R95" s="289">
        <f>+K0kommunestruktur2021!R95</f>
        <v>876397.34100000001</v>
      </c>
      <c r="S95" s="289">
        <f>VLOOKUP(A95,'K22'!A95:CU450,3)</f>
        <v>31444</v>
      </c>
      <c r="T95" s="289">
        <f>VLOOKUP(A95,'K22'!$A$4:$BV$359,26)</f>
        <v>961053.67727851134</v>
      </c>
      <c r="U95" s="289">
        <f>VLOOKUP(A95,'Bef.fremskr. kommunenivå MMMM'!$A$5:$K$360,8)</f>
        <v>31512</v>
      </c>
      <c r="V95" s="289">
        <f>VLOOKUP(A95,'K23'!$A$4:$BV$359,26)</f>
        <v>894102.12977896642</v>
      </c>
    </row>
    <row r="96" spans="1:22" ht="13">
      <c r="A96" s="755">
        <v>3002</v>
      </c>
      <c r="B96" s="756" t="s">
        <v>1618</v>
      </c>
      <c r="C96" s="289">
        <f>+K0kommunestruktur2021!C96</f>
        <v>46409</v>
      </c>
      <c r="D96" s="289">
        <f>+K0kommunestruktur2021!D96</f>
        <v>988308</v>
      </c>
      <c r="E96" s="289">
        <f>+K0kommunestruktur2021!E96</f>
        <v>47044</v>
      </c>
      <c r="F96" s="289">
        <f>+K0kommunestruktur2021!F96</f>
        <v>1070939</v>
      </c>
      <c r="G96" s="289">
        <f>+K0kommunestruktur2021!G96</f>
        <v>47640</v>
      </c>
      <c r="H96" s="289">
        <f>+K0kommunestruktur2021!H96</f>
        <v>1188271</v>
      </c>
      <c r="I96" s="289">
        <f>+K0kommunestruktur2021!I96</f>
        <v>48154</v>
      </c>
      <c r="J96" s="289">
        <f>+K0kommunestruktur2021!J96</f>
        <v>1236874</v>
      </c>
      <c r="K96" s="289">
        <f>+K0kommunestruktur2021!K96</f>
        <v>48671</v>
      </c>
      <c r="L96" s="289">
        <f>+K0kommunestruktur2021!L96</f>
        <v>1317884</v>
      </c>
      <c r="M96" s="289">
        <f>+K0kommunestruktur2021!M96</f>
        <v>48871</v>
      </c>
      <c r="N96" s="289">
        <f>+K0kommunestruktur2021!N96</f>
        <v>1377561</v>
      </c>
      <c r="O96" s="289">
        <f>+K0kommunestruktur2021!O96</f>
        <v>49273</v>
      </c>
      <c r="P96" s="289">
        <f>+K0kommunestruktur2021!P96</f>
        <v>1373136</v>
      </c>
      <c r="Q96" s="289">
        <f>+K0kommunestruktur2021!Q96</f>
        <v>49668</v>
      </c>
      <c r="R96" s="289">
        <f>+K0kommunestruktur2021!R96</f>
        <v>1627223.1170000001</v>
      </c>
      <c r="S96" s="289">
        <f>VLOOKUP(A96,'K22'!A96:CU451,3)</f>
        <v>50290</v>
      </c>
      <c r="T96" s="289">
        <f>VLOOKUP(A96,'K22'!$A$4:$BV$359,26)</f>
        <v>1820799.0765454916</v>
      </c>
      <c r="U96" s="289">
        <f>VLOOKUP(A96,'Bef.fremskr. kommunenivå MMMM'!$A$5:$K$360,8)</f>
        <v>50862</v>
      </c>
      <c r="V96" s="289">
        <f>VLOOKUP(A96,'K23'!$A$4:$BV$359,26)</f>
        <v>1660309.2609549679</v>
      </c>
    </row>
    <row r="97" spans="1:22" ht="13">
      <c r="A97" s="755">
        <v>3003</v>
      </c>
      <c r="B97" s="756" t="s">
        <v>785</v>
      </c>
      <c r="C97" s="289">
        <f>+K0kommunestruktur2021!C97</f>
        <v>54059</v>
      </c>
      <c r="D97" s="289">
        <f>+K0kommunestruktur2021!D97</f>
        <v>1032285</v>
      </c>
      <c r="E97" s="289">
        <f>+K0kommunestruktur2021!E97</f>
        <v>54192</v>
      </c>
      <c r="F97" s="289">
        <f>+K0kommunestruktur2021!F97</f>
        <v>1110209</v>
      </c>
      <c r="G97" s="289">
        <f>+K0kommunestruktur2021!G97</f>
        <v>54678</v>
      </c>
      <c r="H97" s="289">
        <f>+K0kommunestruktur2021!H97</f>
        <v>1254916</v>
      </c>
      <c r="I97" s="289">
        <f>+K0kommunestruktur2021!I97</f>
        <v>55127</v>
      </c>
      <c r="J97" s="289">
        <f>+K0kommunestruktur2021!J97</f>
        <v>1290591</v>
      </c>
      <c r="K97" s="289">
        <f>+K0kommunestruktur2021!K97</f>
        <v>55543</v>
      </c>
      <c r="L97" s="289">
        <f>+K0kommunestruktur2021!L97</f>
        <v>1352585</v>
      </c>
      <c r="M97" s="289">
        <f>+K0kommunestruktur2021!M97</f>
        <v>55997</v>
      </c>
      <c r="N97" s="289">
        <f>+K0kommunestruktur2021!N97</f>
        <v>1416352</v>
      </c>
      <c r="O97" s="289">
        <f>+K0kommunestruktur2021!O97</f>
        <v>56732</v>
      </c>
      <c r="P97" s="289">
        <f>+K0kommunestruktur2021!P97</f>
        <v>1427126</v>
      </c>
      <c r="Q97" s="289">
        <f>+K0kommunestruktur2021!Q97</f>
        <v>57372</v>
      </c>
      <c r="R97" s="289">
        <f>+K0kommunestruktur2021!R97</f>
        <v>1652426.263</v>
      </c>
      <c r="S97" s="289">
        <f>VLOOKUP(A97,'K22'!A97:CU452,3)</f>
        <v>58182</v>
      </c>
      <c r="T97" s="289">
        <f>VLOOKUP(A97,'K22'!$A$4:$BV$359,26)</f>
        <v>1857711.7380336244</v>
      </c>
      <c r="U97" s="289">
        <f>VLOOKUP(A97,'Bef.fremskr. kommunenivå MMMM'!$A$5:$K$360,8)</f>
        <v>58847</v>
      </c>
      <c r="V97" s="289">
        <f>VLOOKUP(A97,'K23'!$A$4:$BV$359,26)</f>
        <v>1714019.0301113019</v>
      </c>
    </row>
    <row r="98" spans="1:22" ht="13">
      <c r="A98" s="755">
        <v>3004</v>
      </c>
      <c r="B98" s="756" t="s">
        <v>786</v>
      </c>
      <c r="C98" s="289">
        <f>+K0kommunestruktur2021!C98</f>
        <v>77591</v>
      </c>
      <c r="D98" s="289">
        <f>+K0kommunestruktur2021!D98</f>
        <v>1625623</v>
      </c>
      <c r="E98" s="289">
        <f>+K0kommunestruktur2021!E98</f>
        <v>78159</v>
      </c>
      <c r="F98" s="289">
        <f>+K0kommunestruktur2021!F98</f>
        <v>1719479</v>
      </c>
      <c r="G98" s="289">
        <f>+K0kommunestruktur2021!G98</f>
        <v>78967</v>
      </c>
      <c r="H98" s="289">
        <f>+K0kommunestruktur2021!H98</f>
        <v>1889857</v>
      </c>
      <c r="I98" s="289">
        <f>+K0kommunestruktur2021!I98</f>
        <v>80121</v>
      </c>
      <c r="J98" s="289">
        <f>+K0kommunestruktur2021!J98</f>
        <v>1991852</v>
      </c>
      <c r="K98" s="289">
        <f>+K0kommunestruktur2021!K98</f>
        <v>80977</v>
      </c>
      <c r="L98" s="289">
        <f>+K0kommunestruktur2021!L98</f>
        <v>2095333</v>
      </c>
      <c r="M98" s="289">
        <f>+K0kommunestruktur2021!M98</f>
        <v>81772</v>
      </c>
      <c r="N98" s="289">
        <f>+K0kommunestruktur2021!N98</f>
        <v>2241352</v>
      </c>
      <c r="O98" s="289">
        <f>+K0kommunestruktur2021!O98</f>
        <v>82385</v>
      </c>
      <c r="P98" s="289">
        <f>+K0kommunestruktur2021!P98</f>
        <v>2171553</v>
      </c>
      <c r="Q98" s="289">
        <f>+K0kommunestruktur2021!Q98</f>
        <v>83193</v>
      </c>
      <c r="R98" s="289">
        <f>+K0kommunestruktur2021!R98</f>
        <v>2531703.1839999999</v>
      </c>
      <c r="S98" s="289">
        <f>VLOOKUP(A98,'K22'!A98:CU453,3)</f>
        <v>83892</v>
      </c>
      <c r="T98" s="289">
        <f>VLOOKUP(A98,'K22'!$A$4:$BV$359,26)</f>
        <v>2860079.8970169686</v>
      </c>
      <c r="U98" s="289">
        <f>VLOOKUP(A98,'Bef.fremskr. kommunenivå MMMM'!$A$5:$K$360,8)</f>
        <v>84501</v>
      </c>
      <c r="V98" s="289">
        <f>VLOOKUP(A98,'K23'!$A$4:$BV$359,26)</f>
        <v>2617453.3684428693</v>
      </c>
    </row>
    <row r="99" spans="1:22" ht="13">
      <c r="A99" s="889">
        <v>3005</v>
      </c>
      <c r="B99" s="890" t="s">
        <v>1619</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3842161.1703858753</v>
      </c>
      <c r="U99" s="289">
        <f>VLOOKUP(A99,'Bef.fremskr. kommunenivå MMMM'!$A$5:$K$360,8)</f>
        <v>102898</v>
      </c>
      <c r="V99" s="289">
        <f>VLOOKUP(A99,'K23'!$A$4:$BV$359,26)</f>
        <v>3508215.3790989113</v>
      </c>
    </row>
    <row r="100" spans="1:22" ht="13">
      <c r="A100" s="755">
        <v>3006</v>
      </c>
      <c r="B100" s="756" t="s">
        <v>872</v>
      </c>
      <c r="C100" s="289">
        <f>+K0kommunestruktur2021!C100</f>
        <v>26406</v>
      </c>
      <c r="D100" s="289">
        <f>+K0kommunestruktur2021!D100</f>
        <v>752839</v>
      </c>
      <c r="E100" s="289">
        <f>+K0kommunestruktur2021!E100</f>
        <v>26711</v>
      </c>
      <c r="F100" s="289">
        <f>+K0kommunestruktur2021!F100</f>
        <v>781052</v>
      </c>
      <c r="G100" s="289">
        <f>+K0kommunestruktur2021!G100</f>
        <v>27013</v>
      </c>
      <c r="H100" s="289">
        <f>+K0kommunestruktur2021!H100</f>
        <v>820578</v>
      </c>
      <c r="I100" s="289">
        <f>+K0kommunestruktur2021!I100</f>
        <v>27216</v>
      </c>
      <c r="J100" s="289">
        <f>+K0kommunestruktur2021!J100</f>
        <v>824287</v>
      </c>
      <c r="K100" s="289">
        <f>+K0kommunestruktur2021!K100</f>
        <v>27410</v>
      </c>
      <c r="L100" s="289">
        <f>+K0kommunestruktur2021!L100</f>
        <v>875371</v>
      </c>
      <c r="M100" s="289">
        <f>+K0kommunestruktur2021!M100</f>
        <v>27481</v>
      </c>
      <c r="N100" s="289">
        <f>+K0kommunestruktur2021!N100</f>
        <v>895667</v>
      </c>
      <c r="O100" s="289">
        <f>+K0kommunestruktur2021!O100</f>
        <v>27723</v>
      </c>
      <c r="P100" s="289">
        <f>+K0kommunestruktur2021!P100</f>
        <v>897703</v>
      </c>
      <c r="Q100" s="289">
        <f>+K0kommunestruktur2021!Q100</f>
        <v>27694</v>
      </c>
      <c r="R100" s="289">
        <f>+K0kommunestruktur2021!R100</f>
        <v>1012188.798</v>
      </c>
      <c r="S100" s="289">
        <f>VLOOKUP(A100,'K22'!A100:CU455,3)</f>
        <v>27879</v>
      </c>
      <c r="T100" s="289">
        <f>VLOOKUP(A100,'K22'!$A$4:$BV$359,26)</f>
        <v>1122176.9140260424</v>
      </c>
      <c r="U100" s="289">
        <f>VLOOKUP(A100,'Bef.fremskr. kommunenivå MMMM'!$A$5:$K$360,8)</f>
        <v>28097</v>
      </c>
      <c r="V100" s="289">
        <f>VLOOKUP(A100,'K23'!$A$4:$BV$359,26)</f>
        <v>1048807.4278502199</v>
      </c>
    </row>
    <row r="101" spans="1:22" ht="13">
      <c r="A101" s="755">
        <v>3007</v>
      </c>
      <c r="B101" s="756" t="s">
        <v>873</v>
      </c>
      <c r="C101" s="289">
        <f>+K0kommunestruktur2021!C101</f>
        <v>29624</v>
      </c>
      <c r="D101" s="289">
        <f>+K0kommunestruktur2021!D101</f>
        <v>636695</v>
      </c>
      <c r="E101" s="289">
        <f>+K0kommunestruktur2021!E101</f>
        <v>29712</v>
      </c>
      <c r="F101" s="289">
        <f>+K0kommunestruktur2021!F101</f>
        <v>674660</v>
      </c>
      <c r="G101" s="289">
        <f>+K0kommunestruktur2021!G101</f>
        <v>29801</v>
      </c>
      <c r="H101" s="289">
        <f>+K0kommunestruktur2021!H101</f>
        <v>741381</v>
      </c>
      <c r="I101" s="289">
        <f>+K0kommunestruktur2021!I101</f>
        <v>30034</v>
      </c>
      <c r="J101" s="289">
        <f>+K0kommunestruktur2021!J101</f>
        <v>781819</v>
      </c>
      <c r="K101" s="289">
        <f>+K0kommunestruktur2021!K101</f>
        <v>30283</v>
      </c>
      <c r="L101" s="289">
        <f>+K0kommunestruktur2021!L101</f>
        <v>803489</v>
      </c>
      <c r="M101" s="289">
        <f>+K0kommunestruktur2021!M101</f>
        <v>30442</v>
      </c>
      <c r="N101" s="289">
        <f>+K0kommunestruktur2021!N101</f>
        <v>840146</v>
      </c>
      <c r="O101" s="289">
        <f>+K0kommunestruktur2021!O101</f>
        <v>30641</v>
      </c>
      <c r="P101" s="289">
        <f>+K0kommunestruktur2021!P101</f>
        <v>853860</v>
      </c>
      <c r="Q101" s="289">
        <f>+K0kommunestruktur2021!Q101</f>
        <v>30835</v>
      </c>
      <c r="R101" s="289">
        <f>+K0kommunestruktur2021!R101</f>
        <v>992976.7</v>
      </c>
      <c r="S101" s="289">
        <f>VLOOKUP(A101,'K22'!A101:CU456,3)</f>
        <v>31011</v>
      </c>
      <c r="T101" s="289">
        <f>VLOOKUP(A101,'K22'!$A$4:$BV$359,26)</f>
        <v>1106257.7970590417</v>
      </c>
      <c r="U101" s="289">
        <f>VLOOKUP(A101,'Bef.fremskr. kommunenivå MMMM'!$A$5:$K$360,8)</f>
        <v>31277</v>
      </c>
      <c r="V101" s="289">
        <f>VLOOKUP(A101,'K23'!$A$4:$BV$359,26)</f>
        <v>1007306.1294585143</v>
      </c>
    </row>
    <row r="102" spans="1:22" ht="13">
      <c r="A102" s="755">
        <v>3011</v>
      </c>
      <c r="B102" s="756" t="s">
        <v>787</v>
      </c>
      <c r="C102" s="289">
        <f>+K0kommunestruktur2021!C102</f>
        <v>4386</v>
      </c>
      <c r="D102" s="289">
        <f>+K0kommunestruktur2021!D102</f>
        <v>118250</v>
      </c>
      <c r="E102" s="289">
        <f>+K0kommunestruktur2021!E102</f>
        <v>4480</v>
      </c>
      <c r="F102" s="289">
        <f>+K0kommunestruktur2021!F102</f>
        <v>120496</v>
      </c>
      <c r="G102" s="289">
        <f>+K0kommunestruktur2021!G102</f>
        <v>4511</v>
      </c>
      <c r="H102" s="289">
        <f>+K0kommunestruktur2021!H102</f>
        <v>127169</v>
      </c>
      <c r="I102" s="289">
        <f>+K0kommunestruktur2021!I102</f>
        <v>4517</v>
      </c>
      <c r="J102" s="289">
        <f>+K0kommunestruktur2021!J102</f>
        <v>140962</v>
      </c>
      <c r="K102" s="289">
        <f>+K0kommunestruktur2021!K102</f>
        <v>4540</v>
      </c>
      <c r="L102" s="289">
        <f>+K0kommunestruktur2021!L102</f>
        <v>152833</v>
      </c>
      <c r="M102" s="289">
        <f>+K0kommunestruktur2021!M102</f>
        <v>4599</v>
      </c>
      <c r="N102" s="289">
        <f>+K0kommunestruktur2021!N102</f>
        <v>157813</v>
      </c>
      <c r="O102" s="289">
        <f>+K0kommunestruktur2021!O102</f>
        <v>4668</v>
      </c>
      <c r="P102" s="289">
        <f>+K0kommunestruktur2021!P102</f>
        <v>156132</v>
      </c>
      <c r="Q102" s="289">
        <f>+K0kommunestruktur2021!Q102</f>
        <v>4694</v>
      </c>
      <c r="R102" s="289">
        <f>+K0kommunestruktur2021!R102</f>
        <v>191214.36799999999</v>
      </c>
      <c r="S102" s="289">
        <f>VLOOKUP(A102,'K22'!A102:CU457,3)</f>
        <v>4741</v>
      </c>
      <c r="T102" s="289">
        <f>VLOOKUP(A102,'K22'!$A$4:$BV$359,26)</f>
        <v>210214.03972157289</v>
      </c>
      <c r="U102" s="289">
        <f>VLOOKUP(A102,'Bef.fremskr. kommunenivå MMMM'!$A$5:$K$360,8)</f>
        <v>4827</v>
      </c>
      <c r="V102" s="289">
        <f>VLOOKUP(A102,'K23'!$A$4:$BV$359,26)</f>
        <v>192305.91128527906</v>
      </c>
    </row>
    <row r="103" spans="1:22" ht="13">
      <c r="A103" s="755">
        <v>3012</v>
      </c>
      <c r="B103" s="756" t="s">
        <v>788</v>
      </c>
      <c r="C103" s="289">
        <f>+K0kommunestruktur2021!C103</f>
        <v>1408</v>
      </c>
      <c r="D103" s="289">
        <f>+K0kommunestruktur2021!D103</f>
        <v>27552</v>
      </c>
      <c r="E103" s="289">
        <f>+K0kommunestruktur2021!E103</f>
        <v>1406</v>
      </c>
      <c r="F103" s="289">
        <f>+K0kommunestruktur2021!F103</f>
        <v>29788</v>
      </c>
      <c r="G103" s="289">
        <f>+K0kommunestruktur2021!G103</f>
        <v>1404</v>
      </c>
      <c r="H103" s="289">
        <f>+K0kommunestruktur2021!H103</f>
        <v>32642</v>
      </c>
      <c r="I103" s="289">
        <f>+K0kommunestruktur2021!I103</f>
        <v>1398</v>
      </c>
      <c r="J103" s="289">
        <f>+K0kommunestruktur2021!J103</f>
        <v>34123</v>
      </c>
      <c r="K103" s="289">
        <f>+K0kommunestruktur2021!K103</f>
        <v>1399</v>
      </c>
      <c r="L103" s="289">
        <f>+K0kommunestruktur2021!L103</f>
        <v>33281</v>
      </c>
      <c r="M103" s="289">
        <f>+K0kommunestruktur2021!M103</f>
        <v>1357</v>
      </c>
      <c r="N103" s="289">
        <f>+K0kommunestruktur2021!N103</f>
        <v>36601</v>
      </c>
      <c r="O103" s="289">
        <f>+K0kommunestruktur2021!O103</f>
        <v>1325</v>
      </c>
      <c r="P103" s="289">
        <f>+K0kommunestruktur2021!P103</f>
        <v>34854</v>
      </c>
      <c r="Q103" s="289">
        <f>+K0kommunestruktur2021!Q103</f>
        <v>1325</v>
      </c>
      <c r="R103" s="289">
        <f>+K0kommunestruktur2021!R103</f>
        <v>39254.383000000002</v>
      </c>
      <c r="S103" s="289">
        <f>VLOOKUP(A103,'K22'!A103:CU458,3)</f>
        <v>1315</v>
      </c>
      <c r="T103" s="289">
        <f>VLOOKUP(A103,'K22'!$A$4:$BV$359,26)</f>
        <v>43667.839384965853</v>
      </c>
      <c r="U103" s="289">
        <f>VLOOKUP(A103,'Bef.fremskr. kommunenivå MMMM'!$A$5:$K$360,8)</f>
        <v>1319</v>
      </c>
      <c r="V103" s="289">
        <f>VLOOKUP(A103,'K23'!$A$4:$BV$359,26)</f>
        <v>40250.467865798651</v>
      </c>
    </row>
    <row r="104" spans="1:22" ht="13">
      <c r="A104" s="755">
        <v>3013</v>
      </c>
      <c r="B104" s="756" t="s">
        <v>789</v>
      </c>
      <c r="C104" s="289">
        <f>+K0kommunestruktur2021!C104</f>
        <v>3596</v>
      </c>
      <c r="D104" s="289">
        <f>+K0kommunestruktur2021!D104</f>
        <v>65789</v>
      </c>
      <c r="E104" s="289">
        <f>+K0kommunestruktur2021!E104</f>
        <v>3613</v>
      </c>
      <c r="F104" s="289">
        <f>+K0kommunestruktur2021!F104</f>
        <v>75060</v>
      </c>
      <c r="G104" s="289">
        <f>+K0kommunestruktur2021!G104</f>
        <v>3610</v>
      </c>
      <c r="H104" s="289">
        <f>+K0kommunestruktur2021!H104</f>
        <v>85887</v>
      </c>
      <c r="I104" s="289">
        <f>+K0kommunestruktur2021!I104</f>
        <v>3597</v>
      </c>
      <c r="J104" s="289">
        <f>+K0kommunestruktur2021!J104</f>
        <v>82436</v>
      </c>
      <c r="K104" s="289">
        <f>+K0kommunestruktur2021!K104</f>
        <v>3567</v>
      </c>
      <c r="L104" s="289">
        <f>+K0kommunestruktur2021!L104</f>
        <v>87199</v>
      </c>
      <c r="M104" s="289">
        <f>+K0kommunestruktur2021!M104</f>
        <v>3592</v>
      </c>
      <c r="N104" s="289">
        <f>+K0kommunestruktur2021!N104</f>
        <v>92254</v>
      </c>
      <c r="O104" s="289">
        <f>+K0kommunestruktur2021!O104</f>
        <v>3595</v>
      </c>
      <c r="P104" s="289">
        <f>+K0kommunestruktur2021!P104</f>
        <v>91448</v>
      </c>
      <c r="Q104" s="289">
        <f>+K0kommunestruktur2021!Q104</f>
        <v>3601</v>
      </c>
      <c r="R104" s="289">
        <f>+K0kommunestruktur2021!R104</f>
        <v>107407.899</v>
      </c>
      <c r="S104" s="289">
        <f>VLOOKUP(A104,'K22'!A104:CU459,3)</f>
        <v>3578</v>
      </c>
      <c r="T104" s="289">
        <f>VLOOKUP(A104,'K22'!$A$4:$BV$359,26)</f>
        <v>117189.60072072719</v>
      </c>
      <c r="U104" s="289">
        <f>VLOOKUP(A104,'Bef.fremskr. kommunenivå MMMM'!$A$5:$K$360,8)</f>
        <v>3583</v>
      </c>
      <c r="V104" s="289">
        <f>VLOOKUP(A104,'K23'!$A$4:$BV$359,26)</f>
        <v>106604.22957113388</v>
      </c>
    </row>
    <row r="105" spans="1:22" s="657" customFormat="1" ht="13">
      <c r="A105" s="755">
        <v>3014</v>
      </c>
      <c r="B105" s="756" t="s">
        <v>1620</v>
      </c>
      <c r="C105" s="290">
        <f>+K0kommunestruktur2021!C105</f>
        <v>42921.208296119999</v>
      </c>
      <c r="D105" s="290">
        <f>+K0kommunestruktur2021!D105</f>
        <v>893618.23687256617</v>
      </c>
      <c r="E105" s="290">
        <f>+K0kommunestruktur2021!E105</f>
        <v>43242.17246383</v>
      </c>
      <c r="F105" s="290">
        <f>+K0kommunestruktur2021!F105</f>
        <v>951993.7198606272</v>
      </c>
      <c r="G105" s="290">
        <f>+K0kommunestruktur2021!G105</f>
        <v>43467.14734774</v>
      </c>
      <c r="H105" s="290">
        <f>+K0kommunestruktur2021!H105</f>
        <v>1054049.3264198801</v>
      </c>
      <c r="I105" s="290">
        <f>+K0kommunestruktur2021!I105</f>
        <v>43810.10905965</v>
      </c>
      <c r="J105" s="290">
        <f>+K0kommunestruktur2021!J105</f>
        <v>1101324.0486916425</v>
      </c>
      <c r="K105" s="290">
        <f>+K0kommunestruktur2021!K105</f>
        <v>44030.084501700003</v>
      </c>
      <c r="L105" s="290">
        <f>+K0kommunestruktur2021!L105</f>
        <v>1155874.9586534167</v>
      </c>
      <c r="M105" s="290">
        <f>+K0kommunestruktur2021!M105</f>
        <v>44315.052687980002</v>
      </c>
      <c r="N105" s="290">
        <f>+K0kommunestruktur2021!N105</f>
        <v>1204227.5605911771</v>
      </c>
      <c r="O105" s="290">
        <f>+K0kommunestruktur2021!O105</f>
        <v>44787</v>
      </c>
      <c r="P105" s="290">
        <f>+K0kommunestruktur2021!P105</f>
        <v>1185667.6326129667</v>
      </c>
      <c r="Q105" s="290">
        <f>+K0kommunestruktur2021!Q105</f>
        <v>45201</v>
      </c>
      <c r="R105" s="290">
        <f>+K0kommunestruktur2021!R105</f>
        <v>1359926.6740000001</v>
      </c>
      <c r="S105" s="289">
        <f>VLOOKUP(A105,'K22'!A105:CU460,3)</f>
        <v>45608</v>
      </c>
      <c r="T105" s="290">
        <f>VLOOKUP(A105,'K22'!$A$4:$BV$359,26)</f>
        <v>1520153.887904526</v>
      </c>
      <c r="U105" s="289">
        <f>VLOOKUP(A105,'Bef.fremskr. kommunenivå MMMM'!$A$5:$K$360,8)</f>
        <v>46110</v>
      </c>
      <c r="V105" s="289">
        <f>VLOOKUP(A105,'K23'!$A$4:$BV$359,26)</f>
        <v>1415948.7235594317</v>
      </c>
    </row>
    <row r="106" spans="1:22" s="657" customFormat="1" ht="13">
      <c r="A106" s="755">
        <v>3015</v>
      </c>
      <c r="B106" s="756" t="s">
        <v>2369</v>
      </c>
      <c r="C106" s="290">
        <f>+K0kommunestruktur2021!C106</f>
        <v>3727</v>
      </c>
      <c r="D106" s="290">
        <f>+K0kommunestruktur2021!D106</f>
        <v>74341</v>
      </c>
      <c r="E106" s="290">
        <f>+K0kommunestruktur2021!E106</f>
        <v>3731</v>
      </c>
      <c r="F106" s="290">
        <f>+K0kommunestruktur2021!F106</f>
        <v>80910</v>
      </c>
      <c r="G106" s="290">
        <f>+K0kommunestruktur2021!G106</f>
        <v>3742</v>
      </c>
      <c r="H106" s="290">
        <f>+K0kommunestruktur2021!H106</f>
        <v>88702</v>
      </c>
      <c r="I106" s="290">
        <f>+K0kommunestruktur2021!I106</f>
        <v>3783</v>
      </c>
      <c r="J106" s="290">
        <f>+K0kommunestruktur2021!J106</f>
        <v>87806</v>
      </c>
      <c r="K106" s="290">
        <f>+K0kommunestruktur2021!K106</f>
        <v>3831</v>
      </c>
      <c r="L106" s="290">
        <f>+K0kommunestruktur2021!L106</f>
        <v>93552</v>
      </c>
      <c r="M106" s="290">
        <f>+K0kommunestruktur2021!M106</f>
        <v>3797</v>
      </c>
      <c r="N106" s="290">
        <f>+K0kommunestruktur2021!N106</f>
        <v>97504</v>
      </c>
      <c r="O106" s="290">
        <f>+K0kommunestruktur2021!O106</f>
        <v>3805</v>
      </c>
      <c r="P106" s="290">
        <f>+K0kommunestruktur2021!P106</f>
        <v>96557</v>
      </c>
      <c r="Q106" s="290">
        <f>+K0kommunestruktur2021!Q106</f>
        <v>3825</v>
      </c>
      <c r="R106" s="290">
        <f>+K0kommunestruktur2021!R106</f>
        <v>114468.924</v>
      </c>
      <c r="S106" s="289">
        <f>VLOOKUP(A106,'K22'!A106:CU461,3)</f>
        <v>3846</v>
      </c>
      <c r="T106" s="290">
        <f>VLOOKUP(A106,'K22'!$A$4:$BV$359,26)</f>
        <v>123672.45265250701</v>
      </c>
      <c r="U106" s="289">
        <f>VLOOKUP(A106,'Bef.fremskr. kommunenivå MMMM'!$A$5:$K$360,8)</f>
        <v>3906</v>
      </c>
      <c r="V106" s="289">
        <f>VLOOKUP(A106,'K23'!$A$4:$BV$359,26)</f>
        <v>115856.96290127463</v>
      </c>
    </row>
    <row r="107" spans="1:22" s="657" customFormat="1" ht="13">
      <c r="A107" s="755">
        <v>3016</v>
      </c>
      <c r="B107" s="756" t="s">
        <v>796</v>
      </c>
      <c r="C107" s="290">
        <f>+K0kommunestruktur2021!C107</f>
        <v>7978.8298001200001</v>
      </c>
      <c r="D107" s="290">
        <f>+K0kommunestruktur2021!D107</f>
        <v>157981.63052693082</v>
      </c>
      <c r="E107" s="290">
        <f>+K0kommunestruktur2021!E107</f>
        <v>8024.8576620200001</v>
      </c>
      <c r="F107" s="290">
        <f>+K0kommunestruktur2021!F107</f>
        <v>167196.20835850772</v>
      </c>
      <c r="G107" s="290">
        <f>+K0kommunestruktur2021!G107</f>
        <v>8088.8964264099995</v>
      </c>
      <c r="H107" s="290">
        <f>+K0kommunestruktur2021!H107</f>
        <v>193401.07086618387</v>
      </c>
      <c r="I107" s="290">
        <f>+K0kommunestruktur2021!I107</f>
        <v>8177.9503331300002</v>
      </c>
      <c r="J107" s="290">
        <f>+K0kommunestruktur2021!J107</f>
        <v>194773.90187761572</v>
      </c>
      <c r="K107" s="290">
        <f>+K0kommunestruktur2021!K107</f>
        <v>8206.9678982400001</v>
      </c>
      <c r="L107" s="290">
        <f>+K0kommunestruktur2021!L107</f>
        <v>210427.37734697293</v>
      </c>
      <c r="M107" s="290">
        <f>+K0kommunestruktur2021!M107</f>
        <v>8234.9848576599998</v>
      </c>
      <c r="N107" s="290">
        <f>+K0kommunestruktur2021!N107</f>
        <v>215672.55239243642</v>
      </c>
      <c r="O107" s="290">
        <f>+K0kommunestruktur2021!O107</f>
        <v>8260</v>
      </c>
      <c r="P107" s="290">
        <f>+K0kommunestruktur2021!P107</f>
        <v>218857.48031496062</v>
      </c>
      <c r="Q107" s="290">
        <f>+K0kommunestruktur2021!Q107</f>
        <v>8222</v>
      </c>
      <c r="R107" s="290">
        <f>+K0kommunestruktur2021!R107</f>
        <v>234728.41800000001</v>
      </c>
      <c r="S107" s="289">
        <f>VLOOKUP(A107,'K22'!A107:CU462,3)</f>
        <v>8312</v>
      </c>
      <c r="T107" s="290">
        <f>VLOOKUP(A107,'K22'!$A$4:$BV$359,26)</f>
        <v>270166.81185311184</v>
      </c>
      <c r="U107" s="289">
        <f>VLOOKUP(A107,'Bef.fremskr. kommunenivå MMMM'!$A$5:$K$360,8)</f>
        <v>8414</v>
      </c>
      <c r="V107" s="289">
        <f>VLOOKUP(A107,'K23'!$A$4:$BV$359,26)</f>
        <v>251818.85761779308</v>
      </c>
    </row>
    <row r="108" spans="1:22" ht="13">
      <c r="A108" s="755">
        <v>3017</v>
      </c>
      <c r="B108" s="756" t="s">
        <v>797</v>
      </c>
      <c r="C108" s="289">
        <f>+K0kommunestruktur2021!C108</f>
        <v>7104</v>
      </c>
      <c r="D108" s="289">
        <f>+K0kommunestruktur2021!D108</f>
        <v>158348</v>
      </c>
      <c r="E108" s="289">
        <f>+K0kommunestruktur2021!E108</f>
        <v>7206</v>
      </c>
      <c r="F108" s="289">
        <f>+K0kommunestruktur2021!F108</f>
        <v>167440</v>
      </c>
      <c r="G108" s="289">
        <f>+K0kommunestruktur2021!G108</f>
        <v>7357</v>
      </c>
      <c r="H108" s="289">
        <f>+K0kommunestruktur2021!H108</f>
        <v>189397</v>
      </c>
      <c r="I108" s="289">
        <f>+K0kommunestruktur2021!I108</f>
        <v>7398</v>
      </c>
      <c r="J108" s="289">
        <f>+K0kommunestruktur2021!J108</f>
        <v>193812</v>
      </c>
      <c r="K108" s="289">
        <f>+K0kommunestruktur2021!K108</f>
        <v>7465</v>
      </c>
      <c r="L108" s="289">
        <f>+K0kommunestruktur2021!L108</f>
        <v>198782</v>
      </c>
      <c r="M108" s="289">
        <f>+K0kommunestruktur2021!M108</f>
        <v>7542</v>
      </c>
      <c r="N108" s="289">
        <f>+K0kommunestruktur2021!N108</f>
        <v>209112</v>
      </c>
      <c r="O108" s="289">
        <f>+K0kommunestruktur2021!O108</f>
        <v>7508</v>
      </c>
      <c r="P108" s="289">
        <f>+K0kommunestruktur2021!P108</f>
        <v>208011</v>
      </c>
      <c r="Q108" s="289">
        <f>+K0kommunestruktur2021!Q108</f>
        <v>7568</v>
      </c>
      <c r="R108" s="289">
        <f>+K0kommunestruktur2021!R108</f>
        <v>240957.899</v>
      </c>
      <c r="S108" s="289">
        <f>VLOOKUP(A108,'K22'!A108:CU463,3)</f>
        <v>7633</v>
      </c>
      <c r="T108" s="289">
        <f>VLOOKUP(A108,'K22'!$A$4:$BV$359,26)</f>
        <v>266408.42390147911</v>
      </c>
      <c r="U108" s="289">
        <f>VLOOKUP(A108,'Bef.fremskr. kommunenivå MMMM'!$A$5:$K$360,8)</f>
        <v>7779</v>
      </c>
      <c r="V108" s="289">
        <f>VLOOKUP(A108,'K23'!$A$4:$BV$359,26)</f>
        <v>249652.99187329999</v>
      </c>
    </row>
    <row r="109" spans="1:22" ht="13">
      <c r="A109" s="755">
        <v>3018</v>
      </c>
      <c r="B109" s="756" t="s">
        <v>799</v>
      </c>
      <c r="C109" s="289">
        <f>+K0kommunestruktur2021!C109</f>
        <v>4978</v>
      </c>
      <c r="D109" s="289">
        <f>+K0kommunestruktur2021!D109</f>
        <v>104906</v>
      </c>
      <c r="E109" s="289">
        <f>+K0kommunestruktur2021!E109</f>
        <v>5100</v>
      </c>
      <c r="F109" s="289">
        <f>+K0kommunestruktur2021!F109</f>
        <v>113132</v>
      </c>
      <c r="G109" s="289">
        <f>+K0kommunestruktur2021!G109</f>
        <v>5186</v>
      </c>
      <c r="H109" s="289">
        <f>+K0kommunestruktur2021!H109</f>
        <v>126383</v>
      </c>
      <c r="I109" s="289">
        <f>+K0kommunestruktur2021!I109</f>
        <v>5335</v>
      </c>
      <c r="J109" s="289">
        <f>+K0kommunestruktur2021!J109</f>
        <v>136309</v>
      </c>
      <c r="K109" s="289">
        <f>+K0kommunestruktur2021!K109</f>
        <v>5471</v>
      </c>
      <c r="L109" s="289">
        <f>+K0kommunestruktur2021!L109</f>
        <v>144788</v>
      </c>
      <c r="M109" s="289">
        <f>+K0kommunestruktur2021!M109</f>
        <v>5593</v>
      </c>
      <c r="N109" s="289">
        <f>+K0kommunestruktur2021!N109</f>
        <v>145443</v>
      </c>
      <c r="O109" s="289">
        <f>+K0kommunestruktur2021!O109</f>
        <v>5736</v>
      </c>
      <c r="P109" s="289">
        <f>+K0kommunestruktur2021!P109</f>
        <v>153904</v>
      </c>
      <c r="Q109" s="289">
        <f>+K0kommunestruktur2021!Q109</f>
        <v>5805</v>
      </c>
      <c r="R109" s="289">
        <f>+K0kommunestruktur2021!R109</f>
        <v>179852.071</v>
      </c>
      <c r="S109" s="289">
        <f>VLOOKUP(A109,'K22'!A109:CU464,3)</f>
        <v>5913</v>
      </c>
      <c r="T109" s="289">
        <f>VLOOKUP(A109,'K22'!$A$4:$BV$359,26)</f>
        <v>195430.50062069052</v>
      </c>
      <c r="U109" s="289">
        <f>VLOOKUP(A109,'Bef.fremskr. kommunenivå MMMM'!$A$5:$K$360,8)</f>
        <v>6128</v>
      </c>
      <c r="V109" s="289">
        <f>VLOOKUP(A109,'K23'!$A$4:$BV$359,26)</f>
        <v>188766.33267704074</v>
      </c>
    </row>
    <row r="110" spans="1:22" ht="13">
      <c r="A110" s="755">
        <v>3019</v>
      </c>
      <c r="B110" s="756" t="s">
        <v>801</v>
      </c>
      <c r="C110" s="289">
        <f>+K0kommunestruktur2021!C110</f>
        <v>15944</v>
      </c>
      <c r="D110" s="289">
        <f>+K0kommunestruktur2021!D110</f>
        <v>382877</v>
      </c>
      <c r="E110" s="289">
        <f>+K0kommunestruktur2021!E110</f>
        <v>16310</v>
      </c>
      <c r="F110" s="289">
        <f>+K0kommunestruktur2021!F110</f>
        <v>425131</v>
      </c>
      <c r="G110" s="289">
        <f>+K0kommunestruktur2021!G110</f>
        <v>16732</v>
      </c>
      <c r="H110" s="289">
        <f>+K0kommunestruktur2021!H110</f>
        <v>481457</v>
      </c>
      <c r="I110" s="289">
        <f>+K0kommunestruktur2021!I110</f>
        <v>17188</v>
      </c>
      <c r="J110" s="289">
        <f>+K0kommunestruktur2021!J110</f>
        <v>511136</v>
      </c>
      <c r="K110" s="289">
        <f>+K0kommunestruktur2021!K110</f>
        <v>17486</v>
      </c>
      <c r="L110" s="289">
        <f>+K0kommunestruktur2021!L110</f>
        <v>544775</v>
      </c>
      <c r="M110" s="289">
        <f>+K0kommunestruktur2021!M110</f>
        <v>17824</v>
      </c>
      <c r="N110" s="289">
        <f>+K0kommunestruktur2021!N110</f>
        <v>560651</v>
      </c>
      <c r="O110" s="289">
        <f>+K0kommunestruktur2021!O110</f>
        <v>18042</v>
      </c>
      <c r="P110" s="289">
        <f>+K0kommunestruktur2021!P110</f>
        <v>542945</v>
      </c>
      <c r="Q110" s="289">
        <f>+K0kommunestruktur2021!Q110</f>
        <v>18290</v>
      </c>
      <c r="R110" s="289">
        <f>+K0kommunestruktur2021!R110</f>
        <v>648063.12</v>
      </c>
      <c r="S110" s="289">
        <f>VLOOKUP(A110,'K22'!A110:CU465,3)</f>
        <v>18699</v>
      </c>
      <c r="T110" s="289">
        <f>VLOOKUP(A110,'K22'!$A$4:$BV$359,26)</f>
        <v>723589.91785368556</v>
      </c>
      <c r="U110" s="289">
        <f>VLOOKUP(A110,'Bef.fremskr. kommunenivå MMMM'!$A$5:$K$360,8)</f>
        <v>19051</v>
      </c>
      <c r="V110" s="289">
        <f>VLOOKUP(A110,'K23'!$A$4:$BV$359,26)</f>
        <v>679316.539128487</v>
      </c>
    </row>
    <row r="111" spans="1:22" ht="13">
      <c r="A111" s="755">
        <v>3020</v>
      </c>
      <c r="B111" s="756" t="s">
        <v>1621</v>
      </c>
      <c r="C111" s="289">
        <f>+K0kommunestruktur2021!C111</f>
        <v>55985.746140770003</v>
      </c>
      <c r="D111" s="289">
        <f>+K0kommunestruktur2021!D111</f>
        <v>1608307.1258821823</v>
      </c>
      <c r="E111" s="289">
        <f>+K0kommunestruktur2021!E111</f>
        <v>56545.633703660002</v>
      </c>
      <c r="F111" s="289">
        <f>+K0kommunestruktur2021!F111</f>
        <v>1687959.6604564353</v>
      </c>
      <c r="G111" s="289">
        <f>+K0kommunestruktur2021!G111</f>
        <v>57245.994848640003</v>
      </c>
      <c r="H111" s="289">
        <f>+K0kommunestruktur2021!H111</f>
        <v>1863638.9323627257</v>
      </c>
      <c r="I111" s="289">
        <f>+K0kommunestruktur2021!I111</f>
        <v>57881.13611621</v>
      </c>
      <c r="J111" s="289">
        <f>+K0kommunestruktur2021!J111</f>
        <v>1975549.2182974827</v>
      </c>
      <c r="K111" s="289">
        <f>+K0kommunestruktur2021!K111</f>
        <v>58254.394491469997</v>
      </c>
      <c r="L111" s="289">
        <f>+K0kommunestruktur2021!L111</f>
        <v>2027218.4119372717</v>
      </c>
      <c r="M111" s="289">
        <f>+K0kommunestruktur2021!M111</f>
        <v>58434</v>
      </c>
      <c r="N111" s="289">
        <f>+K0kommunestruktur2021!N111</f>
        <v>2105528.4204200078</v>
      </c>
      <c r="O111" s="289">
        <f>+K0kommunestruktur2021!O111</f>
        <v>59288</v>
      </c>
      <c r="P111" s="289">
        <f>+K0kommunestruktur2021!P111</f>
        <v>2090579</v>
      </c>
      <c r="Q111" s="289">
        <f>+K0kommunestruktur2021!Q111</f>
        <v>60034</v>
      </c>
      <c r="R111" s="289">
        <f>+K0kommunestruktur2021!R111</f>
        <v>2446438.3840000001</v>
      </c>
      <c r="S111" s="289">
        <f>VLOOKUP(A111,'K22'!A111:CU466,3)</f>
        <v>61032</v>
      </c>
      <c r="T111" s="289">
        <f>VLOOKUP(A111,'K22'!$A$4:$BV$359,26)</f>
        <v>2751233.3258229089</v>
      </c>
      <c r="U111" s="289">
        <f>VLOOKUP(A111,'Bef.fremskr. kommunenivå MMMM'!$A$5:$K$360,8)</f>
        <v>61852</v>
      </c>
      <c r="V111" s="289">
        <f>VLOOKUP(A111,'K23'!$A$4:$BV$359,26)</f>
        <v>2548320.6235703048</v>
      </c>
    </row>
    <row r="112" spans="1:22" ht="13">
      <c r="A112" s="755">
        <v>3021</v>
      </c>
      <c r="B112" s="756" t="s">
        <v>803</v>
      </c>
      <c r="C112" s="289">
        <f>+K0kommunestruktur2021!C112</f>
        <v>17794.921170400001</v>
      </c>
      <c r="D112" s="289">
        <f>+K0kommunestruktur2021!D112</f>
        <v>428887.40860595152</v>
      </c>
      <c r="E112" s="289">
        <f>+K0kommunestruktur2021!E112</f>
        <v>18323.747922300001</v>
      </c>
      <c r="F112" s="289">
        <f>+K0kommunestruktur2021!F112</f>
        <v>468591.99842632137</v>
      </c>
      <c r="G112" s="289">
        <f>+K0kommunestruktur2021!G112</f>
        <v>18808.010622080001</v>
      </c>
      <c r="H112" s="289">
        <f>+K0kommunestruktur2021!H112</f>
        <v>499680.87150233169</v>
      </c>
      <c r="I112" s="289">
        <f>+K0kommunestruktur2021!I112</f>
        <v>19101.143053849999</v>
      </c>
      <c r="J112" s="289">
        <f>+K0kommunestruktur2021!J112</f>
        <v>537698.95952796261</v>
      </c>
      <c r="K112" s="289">
        <f>+K0kommunestruktur2021!K112</f>
        <v>19889.431620359999</v>
      </c>
      <c r="L112" s="289">
        <f>+K0kommunestruktur2021!L112</f>
        <v>605016.42635852599</v>
      </c>
      <c r="M112" s="289">
        <f>+K0kommunestruktur2021!M112</f>
        <v>20138</v>
      </c>
      <c r="N112" s="289">
        <f>+K0kommunestruktur2021!N112</f>
        <v>605798.77305138926</v>
      </c>
      <c r="O112" s="289">
        <f>+K0kommunestruktur2021!O112</f>
        <v>20439</v>
      </c>
      <c r="P112" s="289">
        <f>+K0kommunestruktur2021!P112</f>
        <v>595384</v>
      </c>
      <c r="Q112" s="289">
        <f>+K0kommunestruktur2021!Q112</f>
        <v>20439</v>
      </c>
      <c r="R112" s="289">
        <f>+K0kommunestruktur2021!R112</f>
        <v>689005.86199999996</v>
      </c>
      <c r="S112" s="289">
        <f>VLOOKUP(A112,'K22'!A112:CU467,3)</f>
        <v>20780</v>
      </c>
      <c r="T112" s="289">
        <f>VLOOKUP(A112,'K22'!$A$4:$BV$359,26)</f>
        <v>767666.95194249391</v>
      </c>
      <c r="U112" s="289">
        <f>VLOOKUP(A112,'Bef.fremskr. kommunenivå MMMM'!$A$5:$K$360,8)</f>
        <v>21428</v>
      </c>
      <c r="V112" s="289">
        <f>VLOOKUP(A112,'K23'!$A$4:$BV$359,26)</f>
        <v>732377.50594284071</v>
      </c>
    </row>
    <row r="113" spans="1:22" ht="13">
      <c r="A113" s="755">
        <v>3022</v>
      </c>
      <c r="B113" s="756" t="s">
        <v>804</v>
      </c>
      <c r="C113" s="289">
        <f>+K0kommunestruktur2021!C113</f>
        <v>15671</v>
      </c>
      <c r="D113" s="289">
        <f>+K0kommunestruktur2021!D113</f>
        <v>458700</v>
      </c>
      <c r="E113" s="289">
        <f>+K0kommunestruktur2021!E113</f>
        <v>15656</v>
      </c>
      <c r="F113" s="289">
        <f>+K0kommunestruktur2021!F113</f>
        <v>488635</v>
      </c>
      <c r="G113" s="289">
        <f>+K0kommunestruktur2021!G113</f>
        <v>15695</v>
      </c>
      <c r="H113" s="289">
        <f>+K0kommunestruktur2021!H113</f>
        <v>552401</v>
      </c>
      <c r="I113" s="289">
        <f>+K0kommunestruktur2021!I113</f>
        <v>15743</v>
      </c>
      <c r="J113" s="289">
        <f>+K0kommunestruktur2021!J113</f>
        <v>572415</v>
      </c>
      <c r="K113" s="289">
        <f>+K0kommunestruktur2021!K113</f>
        <v>15735</v>
      </c>
      <c r="L113" s="289">
        <f>+K0kommunestruktur2021!L113</f>
        <v>586294</v>
      </c>
      <c r="M113" s="289">
        <f>+K0kommunestruktur2021!M113</f>
        <v>15761</v>
      </c>
      <c r="N113" s="289">
        <f>+K0kommunestruktur2021!N113</f>
        <v>611625</v>
      </c>
      <c r="O113" s="289">
        <f>+K0kommunestruktur2021!O113</f>
        <v>15877</v>
      </c>
      <c r="P113" s="289">
        <f>+K0kommunestruktur2021!P113</f>
        <v>595648</v>
      </c>
      <c r="Q113" s="289">
        <f>+K0kommunestruktur2021!Q113</f>
        <v>15953</v>
      </c>
      <c r="R113" s="289">
        <f>+K0kommunestruktur2021!R113</f>
        <v>696165.14800000004</v>
      </c>
      <c r="S113" s="289">
        <f>VLOOKUP(A113,'K22'!A113:CU468,3)</f>
        <v>16084</v>
      </c>
      <c r="T113" s="289">
        <f>VLOOKUP(A113,'K22'!$A$4:$BV$359,26)</f>
        <v>791677.43212994095</v>
      </c>
      <c r="U113" s="289">
        <f>VLOOKUP(A113,'Bef.fremskr. kommunenivå MMMM'!$A$5:$K$360,8)</f>
        <v>16217</v>
      </c>
      <c r="V113" s="289">
        <f>VLOOKUP(A113,'K23'!$A$4:$BV$359,26)</f>
        <v>715456.84761533409</v>
      </c>
    </row>
    <row r="114" spans="1:22" ht="13">
      <c r="A114" s="755">
        <v>3023</v>
      </c>
      <c r="B114" s="965" t="s">
        <v>805</v>
      </c>
      <c r="C114" s="289">
        <f>+K0kommunestruktur2021!C114</f>
        <v>18297</v>
      </c>
      <c r="D114" s="289">
        <f>+K0kommunestruktur2021!D114</f>
        <v>484633</v>
      </c>
      <c r="E114" s="289">
        <f>+K0kommunestruktur2021!E114</f>
        <v>18372</v>
      </c>
      <c r="F114" s="289">
        <f>+K0kommunestruktur2021!F114</f>
        <v>506316</v>
      </c>
      <c r="G114" s="289">
        <f>+K0kommunestruktur2021!G114</f>
        <v>18623</v>
      </c>
      <c r="H114" s="289">
        <f>+K0kommunestruktur2021!H114</f>
        <v>556056</v>
      </c>
      <c r="I114" s="289">
        <f>+K0kommunestruktur2021!I114</f>
        <v>18869</v>
      </c>
      <c r="J114" s="289">
        <f>+K0kommunestruktur2021!J114</f>
        <v>583891</v>
      </c>
      <c r="K114" s="289">
        <f>+K0kommunestruktur2021!K114</f>
        <v>19287</v>
      </c>
      <c r="L114" s="289">
        <f>+K0kommunestruktur2021!L114</f>
        <v>619346</v>
      </c>
      <c r="M114" s="289">
        <f>+K0kommunestruktur2021!M114</f>
        <v>19488</v>
      </c>
      <c r="N114" s="289">
        <f>+K0kommunestruktur2021!N114</f>
        <v>642751</v>
      </c>
      <c r="O114" s="289">
        <f>+K0kommunestruktur2021!O114</f>
        <v>19616</v>
      </c>
      <c r="P114" s="289">
        <f>+K0kommunestruktur2021!P114</f>
        <v>634158</v>
      </c>
      <c r="Q114" s="289">
        <f>+K0kommunestruktur2021!Q114</f>
        <v>19805</v>
      </c>
      <c r="R114" s="289">
        <f>+K0kommunestruktur2021!R114</f>
        <v>779999.44</v>
      </c>
      <c r="S114" s="289">
        <f>VLOOKUP(A114,'K22'!A114:CU469,3)</f>
        <v>19939</v>
      </c>
      <c r="T114" s="289">
        <f>VLOOKUP(A114,'K22'!$A$4:$BV$359,26)</f>
        <v>845917.4357947536</v>
      </c>
      <c r="U114" s="289">
        <f>VLOOKUP(A114,'Bef.fremskr. kommunenivå MMMM'!$A$5:$K$360,8)</f>
        <v>20068</v>
      </c>
      <c r="V114" s="289">
        <f>VLOOKUP(A114,'K23'!$A$4:$BV$359,26)</f>
        <v>771410.02339219418</v>
      </c>
    </row>
    <row r="115" spans="1:22" ht="13">
      <c r="A115" s="755">
        <v>3024</v>
      </c>
      <c r="B115" s="756" t="s">
        <v>807</v>
      </c>
      <c r="C115" s="289">
        <f>+K0kommunestruktur2021!C115</f>
        <v>118588</v>
      </c>
      <c r="D115" s="289">
        <f>+K0kommunestruktur2021!D115</f>
        <v>4694842</v>
      </c>
      <c r="E115" s="289">
        <f>+K0kommunestruktur2021!E115</f>
        <v>120685</v>
      </c>
      <c r="F115" s="289">
        <f>+K0kommunestruktur2021!F115</f>
        <v>5002876</v>
      </c>
      <c r="G115" s="289">
        <f>+K0kommunestruktur2021!G115</f>
        <v>122348</v>
      </c>
      <c r="H115" s="289">
        <f>+K0kommunestruktur2021!H115</f>
        <v>5817013</v>
      </c>
      <c r="I115" s="289">
        <f>+K0kommunestruktur2021!I115</f>
        <v>124008</v>
      </c>
      <c r="J115" s="289">
        <f>+K0kommunestruktur2021!J115</f>
        <v>6180068</v>
      </c>
      <c r="K115" s="289">
        <f>+K0kommunestruktur2021!K115</f>
        <v>125454</v>
      </c>
      <c r="L115" s="289">
        <f>+K0kommunestruktur2021!L115</f>
        <v>6345361</v>
      </c>
      <c r="M115" s="289">
        <f>+K0kommunestruktur2021!M115</f>
        <v>126841</v>
      </c>
      <c r="N115" s="289">
        <f>+K0kommunestruktur2021!N115</f>
        <v>6827068</v>
      </c>
      <c r="O115" s="289">
        <f>+K0kommunestruktur2021!O115</f>
        <v>127731</v>
      </c>
      <c r="P115" s="289">
        <f>+K0kommunestruktur2021!P115</f>
        <v>6525517</v>
      </c>
      <c r="Q115" s="289">
        <f>+K0kommunestruktur2021!Q115</f>
        <v>128233</v>
      </c>
      <c r="R115" s="289">
        <f>+K0kommunestruktur2021!R115</f>
        <v>7785767.4550000001</v>
      </c>
      <c r="S115" s="289">
        <f>VLOOKUP(A115,'K22'!A115:CU470,3)</f>
        <v>128982</v>
      </c>
      <c r="T115" s="289">
        <f>VLOOKUP(A115,'K22'!$A$4:$BV$359,26)</f>
        <v>8917399.4717350807</v>
      </c>
      <c r="U115" s="289">
        <f>VLOOKUP(A115,'Bef.fremskr. kommunenivå MMMM'!$A$5:$K$360,8)</f>
        <v>129923</v>
      </c>
      <c r="V115" s="289">
        <f>VLOOKUP(A115,'K23'!$A$4:$BV$359,26)</f>
        <v>7910554.4180557812</v>
      </c>
    </row>
    <row r="116" spans="1:22" ht="13">
      <c r="A116" s="755">
        <v>3025</v>
      </c>
      <c r="B116" s="756" t="s">
        <v>1622</v>
      </c>
      <c r="C116" s="289">
        <f>+K0kommunestruktur2021!C116</f>
        <v>88289</v>
      </c>
      <c r="D116" s="289">
        <f>+K0kommunestruktur2021!D116</f>
        <v>2948054</v>
      </c>
      <c r="E116" s="289">
        <f>+K0kommunestruktur2021!E116</f>
        <v>89974</v>
      </c>
      <c r="F116" s="289">
        <f>+K0kommunestruktur2021!F116</f>
        <v>3146906</v>
      </c>
      <c r="G116" s="289">
        <f>+K0kommunestruktur2021!G116</f>
        <v>91011</v>
      </c>
      <c r="H116" s="289">
        <f>+K0kommunestruktur2021!H116</f>
        <v>3565023</v>
      </c>
      <c r="I116" s="289">
        <f>+K0kommunestruktur2021!I116</f>
        <v>92174</v>
      </c>
      <c r="J116" s="289">
        <f>+K0kommunestruktur2021!J116</f>
        <v>3695221</v>
      </c>
      <c r="K116" s="289">
        <f>+K0kommunestruktur2021!K116</f>
        <v>92828</v>
      </c>
      <c r="L116" s="289">
        <f>+K0kommunestruktur2021!L116</f>
        <v>3849981</v>
      </c>
      <c r="M116" s="289">
        <f>+K0kommunestruktur2021!M116</f>
        <v>93679</v>
      </c>
      <c r="N116" s="289">
        <f>+K0kommunestruktur2021!N116</f>
        <v>4094169</v>
      </c>
      <c r="O116" s="289">
        <f>+K0kommunestruktur2021!O116</f>
        <v>94441</v>
      </c>
      <c r="P116" s="289">
        <f>+K0kommunestruktur2021!P116</f>
        <v>3964821</v>
      </c>
      <c r="Q116" s="289">
        <f>+K0kommunestruktur2021!Q116</f>
        <v>94915</v>
      </c>
      <c r="R116" s="289">
        <f>+K0kommunestruktur2021!R116</f>
        <v>4749022.1660000002</v>
      </c>
      <c r="S116" s="289">
        <f>VLOOKUP(A116,'K22'!A116:CU471,3)</f>
        <v>96088</v>
      </c>
      <c r="T116" s="289">
        <f>VLOOKUP(A116,'K22'!$A$4:$BV$359,26)</f>
        <v>5410734.9413420726</v>
      </c>
      <c r="U116" s="289">
        <f>VLOOKUP(A116,'Bef.fremskr. kommunenivå MMMM'!$A$5:$K$360,8)</f>
        <v>97083</v>
      </c>
      <c r="V116" s="289">
        <f>VLOOKUP(A116,'K23'!$A$4:$BV$359,26)</f>
        <v>4842482.0971346749</v>
      </c>
    </row>
    <row r="117" spans="1:22" ht="13">
      <c r="A117" s="755">
        <v>3026</v>
      </c>
      <c r="B117" s="756" t="s">
        <v>1623</v>
      </c>
      <c r="C117" s="289">
        <f>+K0kommunestruktur2021!C117</f>
        <v>16172</v>
      </c>
      <c r="D117" s="289">
        <f>+K0kommunestruktur2021!D117</f>
        <v>315781</v>
      </c>
      <c r="E117" s="289">
        <f>+K0kommunestruktur2021!E117</f>
        <v>16398</v>
      </c>
      <c r="F117" s="289">
        <f>+K0kommunestruktur2021!F117</f>
        <v>343893</v>
      </c>
      <c r="G117" s="289">
        <f>+K0kommunestruktur2021!G117</f>
        <v>16586</v>
      </c>
      <c r="H117" s="289">
        <f>+K0kommunestruktur2021!H117</f>
        <v>370963</v>
      </c>
      <c r="I117" s="289">
        <f>+K0kommunestruktur2021!I117</f>
        <v>16847</v>
      </c>
      <c r="J117" s="289">
        <f>+K0kommunestruktur2021!J117</f>
        <v>392835</v>
      </c>
      <c r="K117" s="289">
        <f>+K0kommunestruktur2021!K117</f>
        <v>17072</v>
      </c>
      <c r="L117" s="289">
        <f>+K0kommunestruktur2021!L117</f>
        <v>417440</v>
      </c>
      <c r="M117" s="289">
        <f>+K0kommunestruktur2021!M117</f>
        <v>17173</v>
      </c>
      <c r="N117" s="289">
        <f>+K0kommunestruktur2021!N117</f>
        <v>430456</v>
      </c>
      <c r="O117" s="289">
        <f>+K0kommunestruktur2021!O117</f>
        <v>17390</v>
      </c>
      <c r="P117" s="289">
        <f>+K0kommunestruktur2021!P117</f>
        <v>432758</v>
      </c>
      <c r="Q117" s="289">
        <f>+K0kommunestruktur2021!Q117</f>
        <v>17591</v>
      </c>
      <c r="R117" s="289">
        <f>+K0kommunestruktur2021!R117</f>
        <v>510864.28399999999</v>
      </c>
      <c r="S117" s="289">
        <f>VLOOKUP(A117,'K22'!A117:CU472,3)</f>
        <v>17754</v>
      </c>
      <c r="T117" s="289">
        <f>VLOOKUP(A117,'K22'!$A$4:$BV$359,26)</f>
        <v>557609.58627674251</v>
      </c>
      <c r="U117" s="289">
        <f>VLOOKUP(A117,'Bef.fremskr. kommunenivå MMMM'!$A$5:$K$360,8)</f>
        <v>17869</v>
      </c>
      <c r="V117" s="289">
        <f>VLOOKUP(A117,'K23'!$A$4:$BV$359,26)</f>
        <v>518870.46484503383</v>
      </c>
    </row>
    <row r="118" spans="1:22" ht="13">
      <c r="A118" s="755">
        <v>3027</v>
      </c>
      <c r="B118" s="756" t="s">
        <v>812</v>
      </c>
      <c r="C118" s="289">
        <f>+K0kommunestruktur2021!C118</f>
        <v>16806</v>
      </c>
      <c r="D118" s="289">
        <f>+K0kommunestruktur2021!D118</f>
        <v>418672</v>
      </c>
      <c r="E118" s="289">
        <f>+K0kommunestruktur2021!E118</f>
        <v>17185</v>
      </c>
      <c r="F118" s="289">
        <f>+K0kommunestruktur2021!F118</f>
        <v>443705</v>
      </c>
      <c r="G118" s="289">
        <f>+K0kommunestruktur2021!G118</f>
        <v>17426</v>
      </c>
      <c r="H118" s="289">
        <f>+K0kommunestruktur2021!H118</f>
        <v>489036</v>
      </c>
      <c r="I118" s="289">
        <f>+K0kommunestruktur2021!I118</f>
        <v>17730</v>
      </c>
      <c r="J118" s="289">
        <f>+K0kommunestruktur2021!J118</f>
        <v>519409</v>
      </c>
      <c r="K118" s="289">
        <f>+K0kommunestruktur2021!K118</f>
        <v>17874</v>
      </c>
      <c r="L118" s="289">
        <f>+K0kommunestruktur2021!L118</f>
        <v>553595</v>
      </c>
      <c r="M118" s="289">
        <f>+K0kommunestruktur2021!M118</f>
        <v>18161</v>
      </c>
      <c r="N118" s="289">
        <f>+K0kommunestruktur2021!N118</f>
        <v>579991</v>
      </c>
      <c r="O118" s="289">
        <f>+K0kommunestruktur2021!O118</f>
        <v>18530</v>
      </c>
      <c r="P118" s="289">
        <f>+K0kommunestruktur2021!P118</f>
        <v>586828</v>
      </c>
      <c r="Q118" s="289">
        <f>+K0kommunestruktur2021!Q118</f>
        <v>18730</v>
      </c>
      <c r="R118" s="289">
        <f>+K0kommunestruktur2021!R118</f>
        <v>680701.95400000003</v>
      </c>
      <c r="S118" s="289">
        <f>VLOOKUP(A118,'K22'!A118:CU473,3)</f>
        <v>19024</v>
      </c>
      <c r="T118" s="289">
        <f>VLOOKUP(A118,'K22'!$A$4:$BV$359,26)</f>
        <v>762568.48242971092</v>
      </c>
      <c r="U118" s="289">
        <f>VLOOKUP(A118,'Bef.fremskr. kommunenivå MMMM'!$A$5:$K$360,8)</f>
        <v>19531</v>
      </c>
      <c r="V118" s="289">
        <f>VLOOKUP(A118,'K23'!$A$4:$BV$359,26)</f>
        <v>717968.75286991347</v>
      </c>
    </row>
    <row r="119" spans="1:22" ht="13">
      <c r="A119" s="755">
        <v>3028</v>
      </c>
      <c r="B119" s="756" t="s">
        <v>813</v>
      </c>
      <c r="C119" s="289">
        <f>+K0kommunestruktur2021!C119</f>
        <v>10626</v>
      </c>
      <c r="D119" s="289">
        <f>+K0kommunestruktur2021!D119</f>
        <v>235399</v>
      </c>
      <c r="E119" s="289">
        <f>+K0kommunestruktur2021!E119</f>
        <v>10760</v>
      </c>
      <c r="F119" s="289">
        <f>+K0kommunestruktur2021!F119</f>
        <v>253577</v>
      </c>
      <c r="G119" s="289">
        <f>+K0kommunestruktur2021!G119</f>
        <v>10870</v>
      </c>
      <c r="H119" s="289">
        <f>+K0kommunestruktur2021!H119</f>
        <v>279337</v>
      </c>
      <c r="I119" s="289">
        <f>+K0kommunestruktur2021!I119</f>
        <v>10927</v>
      </c>
      <c r="J119" s="289">
        <f>+K0kommunestruktur2021!J119</f>
        <v>287943</v>
      </c>
      <c r="K119" s="289">
        <f>+K0kommunestruktur2021!K119</f>
        <v>10945</v>
      </c>
      <c r="L119" s="289">
        <f>+K0kommunestruktur2021!L119</f>
        <v>292839</v>
      </c>
      <c r="M119" s="289">
        <f>+K0kommunestruktur2021!M119</f>
        <v>11026</v>
      </c>
      <c r="N119" s="289">
        <f>+K0kommunestruktur2021!N119</f>
        <v>299078</v>
      </c>
      <c r="O119" s="289">
        <f>+K0kommunestruktur2021!O119</f>
        <v>11110</v>
      </c>
      <c r="P119" s="289">
        <f>+K0kommunestruktur2021!P119</f>
        <v>291255</v>
      </c>
      <c r="Q119" s="289">
        <f>+K0kommunestruktur2021!Q119</f>
        <v>11065</v>
      </c>
      <c r="R119" s="289">
        <f>+K0kommunestruktur2021!R119</f>
        <v>340035.891</v>
      </c>
      <c r="S119" s="289">
        <f>VLOOKUP(A119,'K22'!A119:CU474,3)</f>
        <v>11249</v>
      </c>
      <c r="T119" s="289">
        <f>VLOOKUP(A119,'K22'!$A$4:$BV$359,26)</f>
        <v>376376.91456936765</v>
      </c>
      <c r="U119" s="289">
        <f>VLOOKUP(A119,'Bef.fremskr. kommunenivå MMMM'!$A$5:$K$360,8)</f>
        <v>11427</v>
      </c>
      <c r="V119" s="289">
        <f>VLOOKUP(A119,'K23'!$A$4:$BV$359,26)</f>
        <v>353220.74199725076</v>
      </c>
    </row>
    <row r="120" spans="1:22" ht="13">
      <c r="A120" s="755">
        <v>3029</v>
      </c>
      <c r="B120" s="756" t="s">
        <v>814</v>
      </c>
      <c r="C120" s="289">
        <f>+K0kommunestruktur2021!C120</f>
        <v>34697</v>
      </c>
      <c r="D120" s="289">
        <f>+K0kommunestruktur2021!D120</f>
        <v>955054</v>
      </c>
      <c r="E120" s="289">
        <f>+K0kommunestruktur2021!E120</f>
        <v>35139</v>
      </c>
      <c r="F120" s="289">
        <f>+K0kommunestruktur2021!F120</f>
        <v>1000847</v>
      </c>
      <c r="G120" s="289">
        <f>+K0kommunestruktur2021!G120</f>
        <v>36368</v>
      </c>
      <c r="H120" s="289">
        <f>+K0kommunestruktur2021!H120</f>
        <v>1106763</v>
      </c>
      <c r="I120" s="289">
        <f>+K0kommunestruktur2021!I120</f>
        <v>37406</v>
      </c>
      <c r="J120" s="289">
        <f>+K0kommunestruktur2021!J120</f>
        <v>1186669</v>
      </c>
      <c r="K120" s="289">
        <f>+K0kommunestruktur2021!K120</f>
        <v>38670</v>
      </c>
      <c r="L120" s="289">
        <f>+K0kommunestruktur2021!L120</f>
        <v>1265826</v>
      </c>
      <c r="M120" s="289">
        <f>+K0kommunestruktur2021!M120</f>
        <v>40106</v>
      </c>
      <c r="N120" s="289">
        <f>+K0kommunestruktur2021!N120</f>
        <v>1334160</v>
      </c>
      <c r="O120" s="289">
        <f>+K0kommunestruktur2021!O120</f>
        <v>41460</v>
      </c>
      <c r="P120" s="289">
        <f>+K0kommunestruktur2021!P120</f>
        <v>1334722</v>
      </c>
      <c r="Q120" s="289">
        <f>+K0kommunestruktur2021!Q120</f>
        <v>42740</v>
      </c>
      <c r="R120" s="289">
        <f>+K0kommunestruktur2021!R120</f>
        <v>1577847.763</v>
      </c>
      <c r="S120" s="289">
        <f>VLOOKUP(A120,'K22'!A120:CU475,3)</f>
        <v>44693</v>
      </c>
      <c r="T120" s="289">
        <f>VLOOKUP(A120,'K22'!$A$4:$BV$359,26)</f>
        <v>1829188.4320349772</v>
      </c>
      <c r="U120" s="289">
        <f>VLOOKUP(A120,'Bef.fremskr. kommunenivå MMMM'!$A$5:$K$360,8)</f>
        <v>46438</v>
      </c>
      <c r="V120" s="289">
        <f>VLOOKUP(A120,'K23'!$A$4:$BV$359,26)</f>
        <v>1749169.4147155124</v>
      </c>
    </row>
    <row r="121" spans="1:22" ht="13">
      <c r="A121" s="755">
        <v>3030</v>
      </c>
      <c r="B121" s="756" t="s">
        <v>1624</v>
      </c>
      <c r="C121" s="289">
        <f>+K0kommunestruktur2021!C121</f>
        <v>78534.664738740001</v>
      </c>
      <c r="D121" s="289">
        <f>+K0kommunestruktur2021!D121</f>
        <v>2013637.1778630693</v>
      </c>
      <c r="E121" s="289">
        <f>+K0kommunestruktur2021!E121</f>
        <v>79386.943549799995</v>
      </c>
      <c r="F121" s="289">
        <f>+K0kommunestruktur2021!F121</f>
        <v>2094073.8431615522</v>
      </c>
      <c r="G121" s="289">
        <f>+K0kommunestruktur2021!G121</f>
        <v>80702.568350109999</v>
      </c>
      <c r="H121" s="289">
        <f>+K0kommunestruktur2021!H121</f>
        <v>2329784.000163381</v>
      </c>
      <c r="I121" s="289">
        <f>+K0kommunestruktur2021!I121</f>
        <v>81850.515479790003</v>
      </c>
      <c r="J121" s="289">
        <f>+K0kommunestruktur2021!J121</f>
        <v>2471215.6505476008</v>
      </c>
      <c r="K121" s="289">
        <f>+K0kommunestruktur2021!K121</f>
        <v>83165.148104530002</v>
      </c>
      <c r="L121" s="289">
        <f>+K0kommunestruktur2021!L121</f>
        <v>2580671.4667957784</v>
      </c>
      <c r="M121" s="289">
        <f>+K0kommunestruktur2021!M121</f>
        <v>85086</v>
      </c>
      <c r="N121" s="289">
        <f>+K0kommunestruktur2021!N121</f>
        <v>2728516.5400375482</v>
      </c>
      <c r="O121" s="289">
        <f>+K0kommunestruktur2021!O121</f>
        <v>85983</v>
      </c>
      <c r="P121" s="289">
        <f>+K0kommunestruktur2021!P121</f>
        <v>2710030</v>
      </c>
      <c r="Q121" s="289">
        <f>+K0kommunestruktur2021!Q121</f>
        <v>86953</v>
      </c>
      <c r="R121" s="289">
        <f>+K0kommunestruktur2021!R121</f>
        <v>3190910.1150000002</v>
      </c>
      <c r="S121" s="289">
        <f>VLOOKUP(A121,'K22'!A121:CU476,3)</f>
        <v>89095</v>
      </c>
      <c r="T121" s="289">
        <f>VLOOKUP(A121,'K22'!$A$4:$BV$359,26)</f>
        <v>3544416.5795798958</v>
      </c>
      <c r="U121" s="289">
        <f>VLOOKUP(A121,'Bef.fremskr. kommunenivå MMMM'!$A$5:$K$360,8)</f>
        <v>90692</v>
      </c>
      <c r="V121" s="289">
        <f>VLOOKUP(A121,'K23'!$A$4:$BV$359,26)</f>
        <v>3341836.090555633</v>
      </c>
    </row>
    <row r="122" spans="1:22" ht="13">
      <c r="A122" s="755">
        <v>3031</v>
      </c>
      <c r="B122" s="756" t="s">
        <v>816</v>
      </c>
      <c r="C122" s="289">
        <f>+K0kommunestruktur2021!C122</f>
        <v>22385</v>
      </c>
      <c r="D122" s="289">
        <f>+K0kommunestruktur2021!D122</f>
        <v>602308</v>
      </c>
      <c r="E122" s="289">
        <f>+K0kommunestruktur2021!E122</f>
        <v>22706</v>
      </c>
      <c r="F122" s="289">
        <f>+K0kommunestruktur2021!F122</f>
        <v>644021</v>
      </c>
      <c r="G122" s="289">
        <f>+K0kommunestruktur2021!G122</f>
        <v>22857</v>
      </c>
      <c r="H122" s="289">
        <f>+K0kommunestruktur2021!H122</f>
        <v>703515</v>
      </c>
      <c r="I122" s="289">
        <f>+K0kommunestruktur2021!I122</f>
        <v>23213</v>
      </c>
      <c r="J122" s="289">
        <f>+K0kommunestruktur2021!J122</f>
        <v>740249</v>
      </c>
      <c r="K122" s="289">
        <f>+K0kommunestruktur2021!K122</f>
        <v>23545</v>
      </c>
      <c r="L122" s="289">
        <f>+K0kommunestruktur2021!L122</f>
        <v>775033</v>
      </c>
      <c r="M122" s="289">
        <f>+K0kommunestruktur2021!M122</f>
        <v>24089</v>
      </c>
      <c r="N122" s="289">
        <f>+K0kommunestruktur2021!N122</f>
        <v>808965</v>
      </c>
      <c r="O122" s="289">
        <f>+K0kommunestruktur2021!O122</f>
        <v>24249</v>
      </c>
      <c r="P122" s="289">
        <f>+K0kommunestruktur2021!P122</f>
        <v>791727</v>
      </c>
      <c r="Q122" s="289">
        <f>+K0kommunestruktur2021!Q122</f>
        <v>24454</v>
      </c>
      <c r="R122" s="289">
        <f>+K0kommunestruktur2021!R122</f>
        <v>946496.26399999997</v>
      </c>
      <c r="S122" s="289">
        <f>VLOOKUP(A122,'K22'!A122:CU477,3)</f>
        <v>24947</v>
      </c>
      <c r="T122" s="289">
        <f>VLOOKUP(A122,'K22'!$A$4:$BV$359,26)</f>
        <v>1041930.8272970963</v>
      </c>
      <c r="U122" s="289">
        <f>VLOOKUP(A122,'Bef.fremskr. kommunenivå MMMM'!$A$5:$K$360,8)</f>
        <v>25303</v>
      </c>
      <c r="V122" s="289">
        <f>VLOOKUP(A122,'K23'!$A$4:$BV$359,26)</f>
        <v>975849.47382401815</v>
      </c>
    </row>
    <row r="123" spans="1:22" ht="13">
      <c r="A123" s="755">
        <v>3032</v>
      </c>
      <c r="B123" s="756" t="s">
        <v>817</v>
      </c>
      <c r="C123" s="289">
        <f>+K0kommunestruktur2021!C123</f>
        <v>6292</v>
      </c>
      <c r="D123" s="289">
        <f>+K0kommunestruktur2021!D123</f>
        <v>172164</v>
      </c>
      <c r="E123" s="289">
        <f>+K0kommunestruktur2021!E123</f>
        <v>6326</v>
      </c>
      <c r="F123" s="289">
        <f>+K0kommunestruktur2021!F123</f>
        <v>183102</v>
      </c>
      <c r="G123" s="289">
        <f>+K0kommunestruktur2021!G123</f>
        <v>6323</v>
      </c>
      <c r="H123" s="289">
        <f>+K0kommunestruktur2021!H123</f>
        <v>203326</v>
      </c>
      <c r="I123" s="289">
        <f>+K0kommunestruktur2021!I123</f>
        <v>6546</v>
      </c>
      <c r="J123" s="289">
        <f>+K0kommunestruktur2021!J123</f>
        <v>234709</v>
      </c>
      <c r="K123" s="289">
        <f>+K0kommunestruktur2021!K123</f>
        <v>6704</v>
      </c>
      <c r="L123" s="289">
        <f>+K0kommunestruktur2021!L123</f>
        <v>242251</v>
      </c>
      <c r="M123" s="289">
        <f>+K0kommunestruktur2021!M123</f>
        <v>6823</v>
      </c>
      <c r="N123" s="289">
        <f>+K0kommunestruktur2021!N123</f>
        <v>249562</v>
      </c>
      <c r="O123" s="289">
        <f>+K0kommunestruktur2021!O123</f>
        <v>6890</v>
      </c>
      <c r="P123" s="289">
        <f>+K0kommunestruktur2021!P123</f>
        <v>233230</v>
      </c>
      <c r="Q123" s="289">
        <f>+K0kommunestruktur2021!Q123</f>
        <v>7043</v>
      </c>
      <c r="R123" s="289">
        <f>+K0kommunestruktur2021!R123</f>
        <v>275007.37</v>
      </c>
      <c r="S123" s="289">
        <f>VLOOKUP(A123,'K22'!A123:CU478,3)</f>
        <v>6989</v>
      </c>
      <c r="T123" s="289">
        <f>VLOOKUP(A123,'K22'!$A$4:$BV$359,26)</f>
        <v>308173.49425742938</v>
      </c>
      <c r="U123" s="289">
        <f>VLOOKUP(A123,'Bef.fremskr. kommunenivå MMMM'!$A$5:$K$360,8)</f>
        <v>7071</v>
      </c>
      <c r="V123" s="289">
        <f>VLOOKUP(A123,'K23'!$A$4:$BV$359,26)</f>
        <v>284927.20238344761</v>
      </c>
    </row>
    <row r="124" spans="1:22" ht="13">
      <c r="A124" s="755">
        <v>3033</v>
      </c>
      <c r="B124" s="756" t="s">
        <v>818</v>
      </c>
      <c r="C124" s="289">
        <f>+K0kommunestruktur2021!C124</f>
        <v>32438</v>
      </c>
      <c r="D124" s="289">
        <f>+K0kommunestruktur2021!D124</f>
        <v>785830</v>
      </c>
      <c r="E124" s="289">
        <f>+K0kommunestruktur2021!E124</f>
        <v>33310</v>
      </c>
      <c r="F124" s="289">
        <f>+K0kommunestruktur2021!F124</f>
        <v>825439</v>
      </c>
      <c r="G124" s="289">
        <f>+K0kommunestruktur2021!G124</f>
        <v>34189</v>
      </c>
      <c r="H124" s="289">
        <f>+K0kommunestruktur2021!H124</f>
        <v>917838</v>
      </c>
      <c r="I124" s="289">
        <f>+K0kommunestruktur2021!I124</f>
        <v>35102</v>
      </c>
      <c r="J124" s="289">
        <f>+K0kommunestruktur2021!J124</f>
        <v>996135</v>
      </c>
      <c r="K124" s="289">
        <f>+K0kommunestruktur2021!K124</f>
        <v>36576</v>
      </c>
      <c r="L124" s="289">
        <f>+K0kommunestruktur2021!L124</f>
        <v>1072566</v>
      </c>
      <c r="M124" s="289">
        <f>+K0kommunestruktur2021!M124</f>
        <v>38234</v>
      </c>
      <c r="N124" s="289">
        <f>+K0kommunestruktur2021!N124</f>
        <v>1141275</v>
      </c>
      <c r="O124" s="289">
        <f>+K0kommunestruktur2021!O124</f>
        <v>39625</v>
      </c>
      <c r="P124" s="289">
        <f>+K0kommunestruktur2021!P124</f>
        <v>1137725</v>
      </c>
      <c r="Q124" s="289">
        <f>+K0kommunestruktur2021!Q124</f>
        <v>40459</v>
      </c>
      <c r="R124" s="289">
        <f>+K0kommunestruktur2021!R124</f>
        <v>1340071.24</v>
      </c>
      <c r="S124" s="289">
        <f>VLOOKUP(A124,'K22'!A124:CU479,3)</f>
        <v>41565</v>
      </c>
      <c r="T124" s="289">
        <f>VLOOKUP(A124,'K22'!$A$4:$BV$359,26)</f>
        <v>1533999.0839422946</v>
      </c>
      <c r="U124" s="289">
        <f>VLOOKUP(A124,'Bef.fremskr. kommunenivå MMMM'!$A$5:$K$360,8)</f>
        <v>42778</v>
      </c>
      <c r="V124" s="289">
        <f>VLOOKUP(A124,'K23'!$A$4:$BV$359,26)</f>
        <v>1442870.2395534478</v>
      </c>
    </row>
    <row r="125" spans="1:22" ht="13">
      <c r="A125" s="755">
        <v>3034</v>
      </c>
      <c r="B125" s="756" t="s">
        <v>819</v>
      </c>
      <c r="C125" s="289">
        <f>+K0kommunestruktur2021!C125</f>
        <v>20782.233676029999</v>
      </c>
      <c r="D125" s="289">
        <f>+K0kommunestruktur2021!D125</f>
        <v>428131.12268669321</v>
      </c>
      <c r="E125" s="289">
        <f>+K0kommunestruktur2021!E125</f>
        <v>21035.776102349999</v>
      </c>
      <c r="F125" s="289">
        <f>+K0kommunestruktur2021!F125</f>
        <v>461180.27489140781</v>
      </c>
      <c r="G125" s="289">
        <f>+K0kommunestruktur2021!G125</f>
        <v>21420.212382909998</v>
      </c>
      <c r="H125" s="289">
        <f>+K0kommunestruktur2021!H125</f>
        <v>513287.36614117655</v>
      </c>
      <c r="I125" s="289">
        <f>+K0kommunestruktur2021!I125</f>
        <v>21892.254786379999</v>
      </c>
      <c r="J125" s="289">
        <f>+K0kommunestruktur2021!J125</f>
        <v>545854.16933964647</v>
      </c>
      <c r="K125" s="289">
        <f>+K0kommunestruktur2021!K125</f>
        <v>22345.745305</v>
      </c>
      <c r="L125" s="289">
        <f>+K0kommunestruktur2021!L125</f>
        <v>581288.26940818131</v>
      </c>
      <c r="M125" s="289">
        <f>+K0kommunestruktur2021!M125</f>
        <v>22556</v>
      </c>
      <c r="N125" s="289">
        <f>+K0kommunestruktur2021!N125</f>
        <v>607824.67936943111</v>
      </c>
      <c r="O125" s="289">
        <f>+K0kommunestruktur2021!O125</f>
        <v>23092</v>
      </c>
      <c r="P125" s="289">
        <f>+K0kommunestruktur2021!P125</f>
        <v>600621</v>
      </c>
      <c r="Q125" s="289">
        <f>+K0kommunestruktur2021!Q125</f>
        <v>23422</v>
      </c>
      <c r="R125" s="289">
        <f>+K0kommunestruktur2021!R125</f>
        <v>720878.89</v>
      </c>
      <c r="S125" s="289">
        <f>VLOOKUP(A125,'K22'!A125:CU480,3)</f>
        <v>23898</v>
      </c>
      <c r="T125" s="289">
        <f>VLOOKUP(A125,'K22'!$A$4:$BV$359,26)</f>
        <v>791469.08676740143</v>
      </c>
      <c r="U125" s="289">
        <f>VLOOKUP(A125,'Bef.fremskr. kommunenivå MMMM'!$A$5:$K$360,8)</f>
        <v>24337</v>
      </c>
      <c r="V125" s="289">
        <f>VLOOKUP(A125,'K23'!$A$4:$BV$359,26)</f>
        <v>750913.72039773921</v>
      </c>
    </row>
    <row r="126" spans="1:22" ht="13">
      <c r="A126" s="755">
        <v>3035</v>
      </c>
      <c r="B126" s="756" t="s">
        <v>820</v>
      </c>
      <c r="C126" s="289">
        <f>+K0kommunestruktur2021!C126</f>
        <v>22689</v>
      </c>
      <c r="D126" s="289">
        <f>+K0kommunestruktur2021!D126</f>
        <v>488216</v>
      </c>
      <c r="E126" s="289">
        <f>+K0kommunestruktur2021!E126</f>
        <v>23238</v>
      </c>
      <c r="F126" s="289">
        <f>+K0kommunestruktur2021!F126</f>
        <v>518464</v>
      </c>
      <c r="G126" s="289">
        <f>+K0kommunestruktur2021!G126</f>
        <v>23811</v>
      </c>
      <c r="H126" s="289">
        <f>+K0kommunestruktur2021!H126</f>
        <v>547726</v>
      </c>
      <c r="I126" s="289">
        <f>+K0kommunestruktur2021!I126</f>
        <v>24415</v>
      </c>
      <c r="J126" s="289">
        <f>+K0kommunestruktur2021!J126</f>
        <v>588642</v>
      </c>
      <c r="K126" s="289">
        <f>+K0kommunestruktur2021!K126</f>
        <v>24647</v>
      </c>
      <c r="L126" s="289">
        <f>+K0kommunestruktur2021!L126</f>
        <v>626457</v>
      </c>
      <c r="M126" s="289">
        <f>+K0kommunestruktur2021!M126</f>
        <v>24919</v>
      </c>
      <c r="N126" s="289">
        <f>+K0kommunestruktur2021!N126</f>
        <v>645346</v>
      </c>
      <c r="O126" s="289">
        <f>+K0kommunestruktur2021!O126</f>
        <v>25436</v>
      </c>
      <c r="P126" s="289">
        <f>+K0kommunestruktur2021!P126</f>
        <v>638025</v>
      </c>
      <c r="Q126" s="289">
        <f>+K0kommunestruktur2021!Q126</f>
        <v>26031</v>
      </c>
      <c r="R126" s="289">
        <f>+K0kommunestruktur2021!R126</f>
        <v>762822.91700000002</v>
      </c>
      <c r="S126" s="289">
        <f>VLOOKUP(A126,'K22'!A126:CU481,3)</f>
        <v>26716</v>
      </c>
      <c r="T126" s="289">
        <f>VLOOKUP(A126,'K22'!$A$4:$BV$359,26)</f>
        <v>843249.29102528887</v>
      </c>
      <c r="U126" s="289">
        <f>VLOOKUP(A126,'Bef.fremskr. kommunenivå MMMM'!$A$5:$K$360,8)</f>
        <v>27292</v>
      </c>
      <c r="V126" s="289">
        <f>VLOOKUP(A126,'K23'!$A$4:$BV$359,26)</f>
        <v>805562.23742699414</v>
      </c>
    </row>
    <row r="127" spans="1:22" ht="13">
      <c r="A127" s="755">
        <v>3036</v>
      </c>
      <c r="B127" s="756" t="s">
        <v>821</v>
      </c>
      <c r="C127" s="289">
        <f>+K0kommunestruktur2021!C127</f>
        <v>11707</v>
      </c>
      <c r="D127" s="289">
        <f>+K0kommunestruktur2021!D127</f>
        <v>256510</v>
      </c>
      <c r="E127" s="289">
        <f>+K0kommunestruktur2021!E127</f>
        <v>11882</v>
      </c>
      <c r="F127" s="289">
        <f>+K0kommunestruktur2021!F127</f>
        <v>273585</v>
      </c>
      <c r="G127" s="289">
        <f>+K0kommunestruktur2021!G127</f>
        <v>12267</v>
      </c>
      <c r="H127" s="289">
        <f>+K0kommunestruktur2021!H127</f>
        <v>306685</v>
      </c>
      <c r="I127" s="289">
        <f>+K0kommunestruktur2021!I127</f>
        <v>12657</v>
      </c>
      <c r="J127" s="289">
        <f>+K0kommunestruktur2021!J127</f>
        <v>327371</v>
      </c>
      <c r="K127" s="289">
        <f>+K0kommunestruktur2021!K127</f>
        <v>13240</v>
      </c>
      <c r="L127" s="289">
        <f>+K0kommunestruktur2021!L127</f>
        <v>355948</v>
      </c>
      <c r="M127" s="289">
        <f>+K0kommunestruktur2021!M127</f>
        <v>13682</v>
      </c>
      <c r="N127" s="289">
        <f>+K0kommunestruktur2021!N127</f>
        <v>376725</v>
      </c>
      <c r="O127" s="289">
        <f>+K0kommunestruktur2021!O127</f>
        <v>14139</v>
      </c>
      <c r="P127" s="289">
        <f>+K0kommunestruktur2021!P127</f>
        <v>367069</v>
      </c>
      <c r="Q127" s="289">
        <f>+K0kommunestruktur2021!Q127</f>
        <v>14637</v>
      </c>
      <c r="R127" s="289">
        <f>+K0kommunestruktur2021!R127</f>
        <v>432983.81699999998</v>
      </c>
      <c r="S127" s="289">
        <f>VLOOKUP(A127,'K22'!A127:CU482,3)</f>
        <v>15074</v>
      </c>
      <c r="T127" s="289">
        <f>VLOOKUP(A127,'K22'!$A$4:$BV$359,26)</f>
        <v>491156.65128403326</v>
      </c>
      <c r="U127" s="289">
        <f>VLOOKUP(A127,'Bef.fremskr. kommunenivå MMMM'!$A$5:$K$360,8)</f>
        <v>15541</v>
      </c>
      <c r="V127" s="289">
        <f>VLOOKUP(A127,'K23'!$A$4:$BV$359,26)</f>
        <v>475284.40559270204</v>
      </c>
    </row>
    <row r="128" spans="1:22" ht="13">
      <c r="A128" s="755">
        <v>3037</v>
      </c>
      <c r="B128" s="756" t="s">
        <v>822</v>
      </c>
      <c r="C128" s="289">
        <f>+K0kommunestruktur2021!C128</f>
        <v>2695</v>
      </c>
      <c r="D128" s="289">
        <f>+K0kommunestruktur2021!D128</f>
        <v>49896</v>
      </c>
      <c r="E128" s="289">
        <f>+K0kommunestruktur2021!E128</f>
        <v>2752</v>
      </c>
      <c r="F128" s="289">
        <f>+K0kommunestruktur2021!F128</f>
        <v>53872</v>
      </c>
      <c r="G128" s="289">
        <f>+K0kommunestruktur2021!G128</f>
        <v>2837</v>
      </c>
      <c r="H128" s="289">
        <f>+K0kommunestruktur2021!H128</f>
        <v>60073</v>
      </c>
      <c r="I128" s="289">
        <f>+K0kommunestruktur2021!I128</f>
        <v>2910</v>
      </c>
      <c r="J128" s="289">
        <f>+K0kommunestruktur2021!J128</f>
        <v>62531</v>
      </c>
      <c r="K128" s="289">
        <f>+K0kommunestruktur2021!K128</f>
        <v>2903</v>
      </c>
      <c r="L128" s="289">
        <f>+K0kommunestruktur2021!L128</f>
        <v>65315</v>
      </c>
      <c r="M128" s="289">
        <f>+K0kommunestruktur2021!M128</f>
        <v>2864</v>
      </c>
      <c r="N128" s="289">
        <f>+K0kommunestruktur2021!N128</f>
        <v>69523</v>
      </c>
      <c r="O128" s="289">
        <f>+K0kommunestruktur2021!O128</f>
        <v>2854</v>
      </c>
      <c r="P128" s="289">
        <f>+K0kommunestruktur2021!P128</f>
        <v>67644</v>
      </c>
      <c r="Q128" s="289">
        <f>+K0kommunestruktur2021!Q128</f>
        <v>2838</v>
      </c>
      <c r="R128" s="289">
        <f>+K0kommunestruktur2021!R128</f>
        <v>76393.837</v>
      </c>
      <c r="S128" s="289">
        <f>VLOOKUP(A128,'K22'!A128:CU483,3)</f>
        <v>2905</v>
      </c>
      <c r="T128" s="289">
        <f>VLOOKUP(A128,'K22'!$A$4:$BV$359,26)</f>
        <v>86577.752371973009</v>
      </c>
      <c r="U128" s="289">
        <f>VLOOKUP(A128,'Bef.fremskr. kommunenivå MMMM'!$A$5:$K$360,8)</f>
        <v>2988</v>
      </c>
      <c r="V128" s="289">
        <f>VLOOKUP(A128,'K23'!$A$4:$BV$359,26)</f>
        <v>82341.866239911382</v>
      </c>
    </row>
    <row r="129" spans="1:22" ht="13">
      <c r="A129" s="755">
        <v>3038</v>
      </c>
      <c r="B129" s="756" t="s">
        <v>874</v>
      </c>
      <c r="C129" s="289">
        <f>+K0kommunestruktur2021!C129</f>
        <v>6595</v>
      </c>
      <c r="D129" s="289">
        <f>+K0kommunestruktur2021!D129</f>
        <v>155090</v>
      </c>
      <c r="E129" s="289">
        <f>+K0kommunestruktur2021!E129</f>
        <v>6698</v>
      </c>
      <c r="F129" s="289">
        <f>+K0kommunestruktur2021!F129</f>
        <v>149683</v>
      </c>
      <c r="G129" s="289">
        <f>+K0kommunestruktur2021!G129</f>
        <v>6767</v>
      </c>
      <c r="H129" s="289">
        <f>+K0kommunestruktur2021!H129</f>
        <v>217126</v>
      </c>
      <c r="I129" s="289">
        <f>+K0kommunestruktur2021!I129</f>
        <v>6772</v>
      </c>
      <c r="J129" s="289">
        <f>+K0kommunestruktur2021!J129</f>
        <v>234181</v>
      </c>
      <c r="K129" s="289">
        <f>+K0kommunestruktur2021!K129</f>
        <v>6833</v>
      </c>
      <c r="L129" s="289">
        <f>+K0kommunestruktur2021!L129</f>
        <v>231734</v>
      </c>
      <c r="M129" s="289">
        <f>+K0kommunestruktur2021!M129</f>
        <v>6845</v>
      </c>
      <c r="N129" s="289">
        <f>+K0kommunestruktur2021!N129</f>
        <v>257243</v>
      </c>
      <c r="O129" s="289">
        <f>+K0kommunestruktur2021!O129</f>
        <v>6799</v>
      </c>
      <c r="P129" s="289">
        <f>+K0kommunestruktur2021!P129</f>
        <v>245135</v>
      </c>
      <c r="Q129" s="289">
        <f>+K0kommunestruktur2021!Q129</f>
        <v>6811</v>
      </c>
      <c r="R129" s="289">
        <f>+K0kommunestruktur2021!R129</f>
        <v>269566.239</v>
      </c>
      <c r="S129" s="289">
        <f>VLOOKUP(A129,'K22'!A129:CU484,3)</f>
        <v>6859</v>
      </c>
      <c r="T129" s="289">
        <f>VLOOKUP(A129,'K22'!$A$4:$BV$359,26)</f>
        <v>318555.90339370479</v>
      </c>
      <c r="U129" s="289">
        <f>VLOOKUP(A129,'Bef.fremskr. kommunenivå MMMM'!$A$5:$K$360,8)</f>
        <v>6976</v>
      </c>
      <c r="V129" s="289">
        <f>VLOOKUP(A129,'K23'!$A$4:$BV$359,26)</f>
        <v>290984.20273886941</v>
      </c>
    </row>
    <row r="130" spans="1:22" ht="13">
      <c r="A130" s="755">
        <v>3039</v>
      </c>
      <c r="B130" s="756" t="s">
        <v>875</v>
      </c>
      <c r="C130" s="289">
        <f>+K0kommunestruktur2021!C130</f>
        <v>1033</v>
      </c>
      <c r="D130" s="289">
        <f>+K0kommunestruktur2021!D130</f>
        <v>24901</v>
      </c>
      <c r="E130" s="289">
        <f>+K0kommunestruktur2021!E130</f>
        <v>1033</v>
      </c>
      <c r="F130" s="289">
        <f>+K0kommunestruktur2021!F130</f>
        <v>25335</v>
      </c>
      <c r="G130" s="289">
        <f>+K0kommunestruktur2021!G130</f>
        <v>1074</v>
      </c>
      <c r="H130" s="289">
        <f>+K0kommunestruktur2021!H130</f>
        <v>27039</v>
      </c>
      <c r="I130" s="289">
        <f>+K0kommunestruktur2021!I130</f>
        <v>1081</v>
      </c>
      <c r="J130" s="289">
        <f>+K0kommunestruktur2021!J130</f>
        <v>30416</v>
      </c>
      <c r="K130" s="289">
        <f>+K0kommunestruktur2021!K130</f>
        <v>1069</v>
      </c>
      <c r="L130" s="289">
        <f>+K0kommunestruktur2021!L130</f>
        <v>31909</v>
      </c>
      <c r="M130" s="289">
        <f>+K0kommunestruktur2021!M130</f>
        <v>1052</v>
      </c>
      <c r="N130" s="289">
        <f>+K0kommunestruktur2021!N130</f>
        <v>33020</v>
      </c>
      <c r="O130" s="289">
        <f>+K0kommunestruktur2021!O130</f>
        <v>1050</v>
      </c>
      <c r="P130" s="289">
        <f>+K0kommunestruktur2021!P130</f>
        <v>33281</v>
      </c>
      <c r="Q130" s="289">
        <f>+K0kommunestruktur2021!Q130</f>
        <v>1049</v>
      </c>
      <c r="R130" s="289">
        <f>+K0kommunestruktur2021!R130</f>
        <v>42241.775000000001</v>
      </c>
      <c r="S130" s="289">
        <f>VLOOKUP(A130,'K22'!A130:CU485,3)</f>
        <v>1057</v>
      </c>
      <c r="T130" s="289">
        <f>VLOOKUP(A130,'K22'!$A$4:$BV$359,26)</f>
        <v>43735.281434610966</v>
      </c>
      <c r="U130" s="289">
        <f>VLOOKUP(A130,'Bef.fremskr. kommunenivå MMMM'!$A$5:$K$360,8)</f>
        <v>1071</v>
      </c>
      <c r="V130" s="289">
        <f>VLOOKUP(A130,'K23'!$A$4:$BV$359,26)</f>
        <v>40558.741756694348</v>
      </c>
    </row>
    <row r="131" spans="1:22" ht="13">
      <c r="A131" s="755">
        <v>3040</v>
      </c>
      <c r="B131" s="756" t="s">
        <v>1966</v>
      </c>
      <c r="C131" s="289">
        <f>+K0kommunestruktur2021!C131</f>
        <v>3445</v>
      </c>
      <c r="D131" s="289">
        <f>+K0kommunestruktur2021!D131</f>
        <v>77187</v>
      </c>
      <c r="E131" s="289">
        <f>+K0kommunestruktur2021!E131</f>
        <v>3414</v>
      </c>
      <c r="F131" s="289">
        <f>+K0kommunestruktur2021!F131</f>
        <v>79354</v>
      </c>
      <c r="G131" s="289">
        <f>+K0kommunestruktur2021!G131</f>
        <v>3422</v>
      </c>
      <c r="H131" s="289">
        <f>+K0kommunestruktur2021!H131</f>
        <v>89949</v>
      </c>
      <c r="I131" s="289">
        <f>+K0kommunestruktur2021!I131</f>
        <v>3357</v>
      </c>
      <c r="J131" s="289">
        <f>+K0kommunestruktur2021!J131</f>
        <v>96441</v>
      </c>
      <c r="K131" s="289">
        <f>+K0kommunestruktur2021!K131</f>
        <v>3341</v>
      </c>
      <c r="L131" s="289">
        <f>+K0kommunestruktur2021!L131</f>
        <v>98315</v>
      </c>
      <c r="M131" s="289">
        <f>+K0kommunestruktur2021!M131</f>
        <v>3315</v>
      </c>
      <c r="N131" s="289">
        <f>+K0kommunestruktur2021!N131</f>
        <v>101815</v>
      </c>
      <c r="O131" s="289">
        <f>+K0kommunestruktur2021!O131</f>
        <v>3273</v>
      </c>
      <c r="P131" s="289">
        <f>+K0kommunestruktur2021!P131</f>
        <v>98036</v>
      </c>
      <c r="Q131" s="289">
        <f>+K0kommunestruktur2021!Q131</f>
        <v>3262</v>
      </c>
      <c r="R131" s="289">
        <f>+K0kommunestruktur2021!R131</f>
        <v>121501.198</v>
      </c>
      <c r="S131" s="289">
        <f>VLOOKUP(A131,'K22'!A131:CU486,3)</f>
        <v>3273</v>
      </c>
      <c r="T131" s="289">
        <f>VLOOKUP(A131,'K22'!$A$4:$BV$359,26)</f>
        <v>133323.47719757177</v>
      </c>
      <c r="U131" s="289">
        <f>VLOOKUP(A131,'Bef.fremskr. kommunenivå MMMM'!$A$5:$K$360,8)</f>
        <v>3282</v>
      </c>
      <c r="V131" s="289">
        <f>VLOOKUP(A131,'K23'!$A$4:$BV$359,26)</f>
        <v>117493.02787615545</v>
      </c>
    </row>
    <row r="132" spans="1:22" ht="13">
      <c r="A132" s="755">
        <v>3041</v>
      </c>
      <c r="B132" s="756" t="s">
        <v>876</v>
      </c>
      <c r="C132" s="289">
        <f>+K0kommunestruktur2021!C132</f>
        <v>4631</v>
      </c>
      <c r="D132" s="289">
        <f>+K0kommunestruktur2021!D132</f>
        <v>112440</v>
      </c>
      <c r="E132" s="289">
        <f>+K0kommunestruktur2021!E132</f>
        <v>4588</v>
      </c>
      <c r="F132" s="289">
        <f>+K0kommunestruktur2021!F132</f>
        <v>114168</v>
      </c>
      <c r="G132" s="289">
        <f>+K0kommunestruktur2021!G132</f>
        <v>4578</v>
      </c>
      <c r="H132" s="289">
        <f>+K0kommunestruktur2021!H132</f>
        <v>123586</v>
      </c>
      <c r="I132" s="289">
        <f>+K0kommunestruktur2021!I132</f>
        <v>4612</v>
      </c>
      <c r="J132" s="289">
        <f>+K0kommunestruktur2021!J132</f>
        <v>132260</v>
      </c>
      <c r="K132" s="289">
        <f>+K0kommunestruktur2021!K132</f>
        <v>4566</v>
      </c>
      <c r="L132" s="289">
        <f>+K0kommunestruktur2021!L132</f>
        <v>141637</v>
      </c>
      <c r="M132" s="289">
        <f>+K0kommunestruktur2021!M132</f>
        <v>4576</v>
      </c>
      <c r="N132" s="289">
        <f>+K0kommunestruktur2021!N132</f>
        <v>143094</v>
      </c>
      <c r="O132" s="289">
        <f>+K0kommunestruktur2021!O132</f>
        <v>4608</v>
      </c>
      <c r="P132" s="289">
        <f>+K0kommunestruktur2021!P132</f>
        <v>143937</v>
      </c>
      <c r="Q132" s="289">
        <f>+K0kommunestruktur2021!Q132</f>
        <v>4636</v>
      </c>
      <c r="R132" s="289">
        <f>+K0kommunestruktur2021!R132</f>
        <v>165340.489</v>
      </c>
      <c r="S132" s="289">
        <f>VLOOKUP(A132,'K22'!A132:CU487,3)</f>
        <v>4667</v>
      </c>
      <c r="T132" s="289">
        <f>VLOOKUP(A132,'K22'!$A$4:$BV$359,26)</f>
        <v>184555.09120522757</v>
      </c>
      <c r="U132" s="289">
        <f>VLOOKUP(A132,'Bef.fremskr. kommunenivå MMMM'!$A$5:$K$360,8)</f>
        <v>4750</v>
      </c>
      <c r="V132" s="289">
        <f>VLOOKUP(A132,'K23'!$A$4:$BV$359,26)</f>
        <v>170391.95224142383</v>
      </c>
    </row>
    <row r="133" spans="1:22" ht="13">
      <c r="A133" s="755">
        <v>3042</v>
      </c>
      <c r="B133" s="756" t="s">
        <v>877</v>
      </c>
      <c r="C133" s="289">
        <f>+K0kommunestruktur2021!C133</f>
        <v>2295</v>
      </c>
      <c r="D133" s="289">
        <f>+K0kommunestruktur2021!D133</f>
        <v>60492</v>
      </c>
      <c r="E133" s="289">
        <f>+K0kommunestruktur2021!E133</f>
        <v>2344</v>
      </c>
      <c r="F133" s="289">
        <f>+K0kommunestruktur2021!F133</f>
        <v>64349</v>
      </c>
      <c r="G133" s="289">
        <f>+K0kommunestruktur2021!G133</f>
        <v>2422</v>
      </c>
      <c r="H133" s="289">
        <f>+K0kommunestruktur2021!H133</f>
        <v>69719</v>
      </c>
      <c r="I133" s="289">
        <f>+K0kommunestruktur2021!I133</f>
        <v>2442</v>
      </c>
      <c r="J133" s="289">
        <f>+K0kommunestruktur2021!J133</f>
        <v>76758</v>
      </c>
      <c r="K133" s="289">
        <f>+K0kommunestruktur2021!K133</f>
        <v>2457</v>
      </c>
      <c r="L133" s="289">
        <f>+K0kommunestruktur2021!L133</f>
        <v>84916</v>
      </c>
      <c r="M133" s="289">
        <f>+K0kommunestruktur2021!M133</f>
        <v>2481</v>
      </c>
      <c r="N133" s="289">
        <f>+K0kommunestruktur2021!N133</f>
        <v>89794</v>
      </c>
      <c r="O133" s="289">
        <f>+K0kommunestruktur2021!O133</f>
        <v>2486</v>
      </c>
      <c r="P133" s="289">
        <f>+K0kommunestruktur2021!P133</f>
        <v>97800</v>
      </c>
      <c r="Q133" s="289">
        <f>+K0kommunestruktur2021!Q133</f>
        <v>2546</v>
      </c>
      <c r="R133" s="289">
        <f>+K0kommunestruktur2021!R133</f>
        <v>109594.95699999999</v>
      </c>
      <c r="S133" s="289">
        <f>VLOOKUP(A133,'K22'!A133:CU488,3)</f>
        <v>2611</v>
      </c>
      <c r="T133" s="289">
        <f>VLOOKUP(A133,'K22'!$A$4:$BV$359,26)</f>
        <v>127541.16170846933</v>
      </c>
      <c r="U133" s="289">
        <f>VLOOKUP(A133,'Bef.fremskr. kommunenivå MMMM'!$A$5:$K$360,8)</f>
        <v>2720</v>
      </c>
      <c r="V133" s="289">
        <f>VLOOKUP(A133,'K23'!$A$4:$BV$359,26)</f>
        <v>117736.21055028772</v>
      </c>
    </row>
    <row r="134" spans="1:22" ht="13">
      <c r="A134" s="755">
        <v>3043</v>
      </c>
      <c r="B134" s="756" t="s">
        <v>878</v>
      </c>
      <c r="C134" s="289">
        <f>+K0kommunestruktur2021!C134</f>
        <v>4713</v>
      </c>
      <c r="D134" s="289">
        <f>+K0kommunestruktur2021!D134</f>
        <v>112935</v>
      </c>
      <c r="E134" s="289">
        <f>+K0kommunestruktur2021!E134</f>
        <v>4716</v>
      </c>
      <c r="F134" s="289">
        <f>+K0kommunestruktur2021!F134</f>
        <v>119963</v>
      </c>
      <c r="G134" s="289">
        <f>+K0kommunestruktur2021!G134</f>
        <v>4711</v>
      </c>
      <c r="H134" s="289">
        <f>+K0kommunestruktur2021!H134</f>
        <v>129347</v>
      </c>
      <c r="I134" s="289">
        <f>+K0kommunestruktur2021!I134</f>
        <v>4719</v>
      </c>
      <c r="J134" s="289">
        <f>+K0kommunestruktur2021!J134</f>
        <v>138427</v>
      </c>
      <c r="K134" s="289">
        <f>+K0kommunestruktur2021!K134</f>
        <v>4626</v>
      </c>
      <c r="L134" s="289">
        <f>+K0kommunestruktur2021!L134</f>
        <v>141581</v>
      </c>
      <c r="M134" s="289">
        <f>+K0kommunestruktur2021!M134</f>
        <v>4671</v>
      </c>
      <c r="N134" s="289">
        <f>+K0kommunestruktur2021!N134</f>
        <v>146024</v>
      </c>
      <c r="O134" s="289">
        <f>+K0kommunestruktur2021!O134</f>
        <v>4674</v>
      </c>
      <c r="P134" s="289">
        <f>+K0kommunestruktur2021!P134</f>
        <v>145042</v>
      </c>
      <c r="Q134" s="289">
        <f>+K0kommunestruktur2021!Q134</f>
        <v>4648</v>
      </c>
      <c r="R134" s="289">
        <f>+K0kommunestruktur2021!R134</f>
        <v>161228.834</v>
      </c>
      <c r="S134" s="289">
        <f>VLOOKUP(A134,'K22'!A134:CU489,3)</f>
        <v>4650</v>
      </c>
      <c r="T134" s="289">
        <f>VLOOKUP(A134,'K22'!$A$4:$BV$359,26)</f>
        <v>178692.36400629857</v>
      </c>
      <c r="U134" s="289">
        <f>VLOOKUP(A134,'Bef.fremskr. kommunenivå MMMM'!$A$5:$K$360,8)</f>
        <v>4680</v>
      </c>
      <c r="V134" s="289">
        <f>VLOOKUP(A134,'K23'!$A$4:$BV$359,26)</f>
        <v>165653.20790114882</v>
      </c>
    </row>
    <row r="135" spans="1:22" ht="13">
      <c r="A135" s="755">
        <v>3044</v>
      </c>
      <c r="B135" s="756" t="s">
        <v>880</v>
      </c>
      <c r="C135" s="289">
        <f>+K0kommunestruktur2021!C135</f>
        <v>4452</v>
      </c>
      <c r="D135" s="289">
        <f>+K0kommunestruktur2021!D135</f>
        <v>141469</v>
      </c>
      <c r="E135" s="289">
        <f>+K0kommunestruktur2021!E135</f>
        <v>4471</v>
      </c>
      <c r="F135" s="289">
        <f>+K0kommunestruktur2021!F135</f>
        <v>150303</v>
      </c>
      <c r="G135" s="289">
        <f>+K0kommunestruktur2021!G135</f>
        <v>4497</v>
      </c>
      <c r="H135" s="289">
        <f>+K0kommunestruktur2021!H135</f>
        <v>163835</v>
      </c>
      <c r="I135" s="289">
        <f>+K0kommunestruktur2021!I135</f>
        <v>4535</v>
      </c>
      <c r="J135" s="289">
        <f>+K0kommunestruktur2021!J135</f>
        <v>174624</v>
      </c>
      <c r="K135" s="289">
        <f>+K0kommunestruktur2021!K135</f>
        <v>4520</v>
      </c>
      <c r="L135" s="289">
        <f>+K0kommunestruktur2021!L135</f>
        <v>178343</v>
      </c>
      <c r="M135" s="289">
        <f>+K0kommunestruktur2021!M135</f>
        <v>4473</v>
      </c>
      <c r="N135" s="289">
        <f>+K0kommunestruktur2021!N135</f>
        <v>199023</v>
      </c>
      <c r="O135" s="289">
        <f>+K0kommunestruktur2021!O135</f>
        <v>4441</v>
      </c>
      <c r="P135" s="289">
        <f>+K0kommunestruktur2021!P135</f>
        <v>194493</v>
      </c>
      <c r="Q135" s="289">
        <f>+K0kommunestruktur2021!Q135</f>
        <v>4434</v>
      </c>
      <c r="R135" s="289">
        <f>+K0kommunestruktur2021!R135</f>
        <v>218809.16</v>
      </c>
      <c r="S135" s="289">
        <f>VLOOKUP(A135,'K22'!A135:CU490,3)</f>
        <v>4504</v>
      </c>
      <c r="T135" s="289">
        <f>VLOOKUP(A135,'K22'!$A$4:$BV$359,26)</f>
        <v>242626.53683748117</v>
      </c>
      <c r="U135" s="289">
        <f>VLOOKUP(A135,'Bef.fremskr. kommunenivå MMMM'!$A$5:$K$360,8)</f>
        <v>4579</v>
      </c>
      <c r="V135" s="289">
        <f>VLOOKUP(A135,'K23'!$A$4:$BV$359,26)</f>
        <v>228577.79447540021</v>
      </c>
    </row>
    <row r="136" spans="1:22" ht="13">
      <c r="A136" s="755">
        <v>3045</v>
      </c>
      <c r="B136" s="756" t="s">
        <v>881</v>
      </c>
      <c r="C136" s="289">
        <f>+K0kommunestruktur2021!C136</f>
        <v>3509</v>
      </c>
      <c r="D136" s="289">
        <f>+K0kommunestruktur2021!D136</f>
        <v>84796</v>
      </c>
      <c r="E136" s="289">
        <f>+K0kommunestruktur2021!E136</f>
        <v>3520</v>
      </c>
      <c r="F136" s="289">
        <f>+K0kommunestruktur2021!F136</f>
        <v>87162</v>
      </c>
      <c r="G136" s="289">
        <f>+K0kommunestruktur2021!G136</f>
        <v>3512</v>
      </c>
      <c r="H136" s="289">
        <f>+K0kommunestruktur2021!H136</f>
        <v>106580</v>
      </c>
      <c r="I136" s="289">
        <f>+K0kommunestruktur2021!I136</f>
        <v>3502</v>
      </c>
      <c r="J136" s="289">
        <f>+K0kommunestruktur2021!J136</f>
        <v>102587</v>
      </c>
      <c r="K136" s="289">
        <f>+K0kommunestruktur2021!K136</f>
        <v>3488</v>
      </c>
      <c r="L136" s="289">
        <f>+K0kommunestruktur2021!L136</f>
        <v>98498</v>
      </c>
      <c r="M136" s="289">
        <f>+K0kommunestruktur2021!M136</f>
        <v>3490</v>
      </c>
      <c r="N136" s="289">
        <f>+K0kommunestruktur2021!N136</f>
        <v>106548</v>
      </c>
      <c r="O136" s="289">
        <f>+K0kommunestruktur2021!O136</f>
        <v>3467</v>
      </c>
      <c r="P136" s="289">
        <f>+K0kommunestruktur2021!P136</f>
        <v>105568</v>
      </c>
      <c r="Q136" s="289">
        <f>+K0kommunestruktur2021!Q136</f>
        <v>3465</v>
      </c>
      <c r="R136" s="289">
        <f>+K0kommunestruktur2021!R136</f>
        <v>116506.826</v>
      </c>
      <c r="S136" s="289">
        <f>VLOOKUP(A136,'K22'!A136:CU491,3)</f>
        <v>3492</v>
      </c>
      <c r="T136" s="289">
        <f>VLOOKUP(A136,'K22'!$A$4:$BV$359,26)</f>
        <v>132576.01989378865</v>
      </c>
      <c r="U136" s="289">
        <f>VLOOKUP(A136,'Bef.fremskr. kommunenivå MMMM'!$A$5:$K$360,8)</f>
        <v>3492</v>
      </c>
      <c r="V136" s="289">
        <f>VLOOKUP(A136,'K23'!$A$4:$BV$359,26)</f>
        <v>121614.80370255213</v>
      </c>
    </row>
    <row r="137" spans="1:22" ht="13">
      <c r="A137" s="755">
        <v>3046</v>
      </c>
      <c r="B137" s="756" t="s">
        <v>882</v>
      </c>
      <c r="C137" s="289">
        <f>+K0kommunestruktur2021!C137</f>
        <v>2265</v>
      </c>
      <c r="D137" s="289">
        <f>+K0kommunestruktur2021!D137</f>
        <v>56801</v>
      </c>
      <c r="E137" s="289">
        <f>+K0kommunestruktur2021!E137</f>
        <v>2268</v>
      </c>
      <c r="F137" s="289">
        <f>+K0kommunestruktur2021!F137</f>
        <v>62344</v>
      </c>
      <c r="G137" s="289">
        <f>+K0kommunestruktur2021!G137</f>
        <v>2275</v>
      </c>
      <c r="H137" s="289">
        <f>+K0kommunestruktur2021!H137</f>
        <v>67497</v>
      </c>
      <c r="I137" s="289">
        <f>+K0kommunestruktur2021!I137</f>
        <v>2257</v>
      </c>
      <c r="J137" s="289">
        <f>+K0kommunestruktur2021!J137</f>
        <v>71317</v>
      </c>
      <c r="K137" s="289">
        <f>+K0kommunestruktur2021!K137</f>
        <v>2277</v>
      </c>
      <c r="L137" s="289">
        <f>+K0kommunestruktur2021!L137</f>
        <v>72970</v>
      </c>
      <c r="M137" s="289">
        <f>+K0kommunestruktur2021!M137</f>
        <v>2239</v>
      </c>
      <c r="N137" s="289">
        <f>+K0kommunestruktur2021!N137</f>
        <v>75843</v>
      </c>
      <c r="O137" s="289">
        <f>+K0kommunestruktur2021!O137</f>
        <v>2212</v>
      </c>
      <c r="P137" s="289">
        <f>+K0kommunestruktur2021!P137</f>
        <v>74912</v>
      </c>
      <c r="Q137" s="289">
        <f>+K0kommunestruktur2021!Q137</f>
        <v>2219</v>
      </c>
      <c r="R137" s="289">
        <f>+K0kommunestruktur2021!R137</f>
        <v>88252.178</v>
      </c>
      <c r="S137" s="289">
        <f>VLOOKUP(A137,'K22'!A137:CU492,3)</f>
        <v>2189</v>
      </c>
      <c r="T137" s="289">
        <f>VLOOKUP(A137,'K22'!$A$4:$BV$359,26)</f>
        <v>104923.83663185035</v>
      </c>
      <c r="U137" s="289">
        <f>VLOOKUP(A137,'Bef.fremskr. kommunenivå MMMM'!$A$5:$K$360,8)</f>
        <v>2191</v>
      </c>
      <c r="V137" s="289">
        <f>VLOOKUP(A137,'K23'!$A$4:$BV$359,26)</f>
        <v>86520.767578955594</v>
      </c>
    </row>
    <row r="138" spans="1:22" ht="13">
      <c r="A138" s="755">
        <v>3047</v>
      </c>
      <c r="B138" s="756" t="s">
        <v>883</v>
      </c>
      <c r="C138" s="289">
        <f>+K0kommunestruktur2021!C138</f>
        <v>13581</v>
      </c>
      <c r="D138" s="289">
        <f>+K0kommunestruktur2021!D138</f>
        <v>292072</v>
      </c>
      <c r="E138" s="289">
        <f>+K0kommunestruktur2021!E138</f>
        <v>13685</v>
      </c>
      <c r="F138" s="289">
        <f>+K0kommunestruktur2021!F138</f>
        <v>305637</v>
      </c>
      <c r="G138" s="289">
        <f>+K0kommunestruktur2021!G138</f>
        <v>13794</v>
      </c>
      <c r="H138" s="289">
        <f>+K0kommunestruktur2021!H138</f>
        <v>341123</v>
      </c>
      <c r="I138" s="289">
        <f>+K0kommunestruktur2021!I138</f>
        <v>13786</v>
      </c>
      <c r="J138" s="289">
        <f>+K0kommunestruktur2021!J138</f>
        <v>349911</v>
      </c>
      <c r="K138" s="289">
        <f>+K0kommunestruktur2021!K138</f>
        <v>13880</v>
      </c>
      <c r="L138" s="289">
        <f>+K0kommunestruktur2021!L138</f>
        <v>373875</v>
      </c>
      <c r="M138" s="289">
        <f>+K0kommunestruktur2021!M138</f>
        <v>13980</v>
      </c>
      <c r="N138" s="289">
        <f>+K0kommunestruktur2021!N138</f>
        <v>389481</v>
      </c>
      <c r="O138" s="289">
        <f>+K0kommunestruktur2021!O138</f>
        <v>14115</v>
      </c>
      <c r="P138" s="289">
        <f>+K0kommunestruktur2021!P138</f>
        <v>366401</v>
      </c>
      <c r="Q138" s="289">
        <f>+K0kommunestruktur2021!Q138</f>
        <v>14166</v>
      </c>
      <c r="R138" s="289">
        <f>+K0kommunestruktur2021!R138</f>
        <v>415657.6</v>
      </c>
      <c r="S138" s="289">
        <f>VLOOKUP(A138,'K22'!A138:CU493,3)</f>
        <v>14273</v>
      </c>
      <c r="T138" s="289">
        <f>VLOOKUP(A138,'K22'!$A$4:$BV$359,26)</f>
        <v>475331.06545815535</v>
      </c>
      <c r="U138" s="289">
        <f>VLOOKUP(A138,'Bef.fremskr. kommunenivå MMMM'!$A$5:$K$360,8)</f>
        <v>14414</v>
      </c>
      <c r="V138" s="289">
        <f>VLOOKUP(A138,'K23'!$A$4:$BV$359,26)</f>
        <v>439612.42788878671</v>
      </c>
    </row>
    <row r="139" spans="1:22" ht="13">
      <c r="A139" s="889">
        <v>3048</v>
      </c>
      <c r="B139" s="890" t="s">
        <v>884</v>
      </c>
      <c r="C139" s="289">
        <f>+C383+C384</f>
        <v>17950.82124918</v>
      </c>
      <c r="D139" s="289">
        <f t="shared" ref="D139:R139" si="1">+D383+D384</f>
        <v>404883.73352285754</v>
      </c>
      <c r="E139" s="289">
        <f t="shared" si="1"/>
        <v>18071.034349789999</v>
      </c>
      <c r="F139" s="289">
        <f t="shared" si="1"/>
        <v>437052.75924705813</v>
      </c>
      <c r="G139" s="289">
        <f t="shared" si="1"/>
        <v>18237.329138969999</v>
      </c>
      <c r="H139" s="289">
        <f t="shared" si="1"/>
        <v>476321.37033837073</v>
      </c>
      <c r="I139" s="289">
        <f t="shared" si="1"/>
        <v>18594.9631133</v>
      </c>
      <c r="J139" s="289">
        <f t="shared" si="1"/>
        <v>513004.39799080719</v>
      </c>
      <c r="K139" s="289">
        <f t="shared" si="1"/>
        <v>18959.60951849</v>
      </c>
      <c r="L139" s="289">
        <f t="shared" si="1"/>
        <v>525979.39865024935</v>
      </c>
      <c r="M139" s="289">
        <f t="shared" si="1"/>
        <v>19150.948703639999</v>
      </c>
      <c r="N139" s="289">
        <f t="shared" si="1"/>
        <v>556973.34131621011</v>
      </c>
      <c r="O139" s="289">
        <f t="shared" si="1"/>
        <v>19457.492110200001</v>
      </c>
      <c r="P139" s="289">
        <f t="shared" si="1"/>
        <v>574829.99563640903</v>
      </c>
      <c r="Q139" s="289">
        <f t="shared" si="1"/>
        <v>19744</v>
      </c>
      <c r="R139" s="289">
        <f t="shared" si="1"/>
        <v>656583.27990177076</v>
      </c>
      <c r="S139" s="289">
        <f>VLOOKUP(A139,'K22'!A139:CU494,3)</f>
        <v>20044</v>
      </c>
      <c r="T139" s="289">
        <f>VLOOKUP(A139,'K22'!$A$4:$BV$359,26)</f>
        <v>765314.91880260804</v>
      </c>
      <c r="U139" s="289">
        <f>VLOOKUP(A139,'Bef.fremskr. kommunenivå MMMM'!$A$5:$K$360,8)</f>
        <v>20321</v>
      </c>
      <c r="V139" s="289">
        <f>VLOOKUP(A139,'K23'!$A$4:$BV$359,26)</f>
        <v>686808.33139062859</v>
      </c>
    </row>
    <row r="140" spans="1:22" ht="13">
      <c r="A140" s="755">
        <v>3049</v>
      </c>
      <c r="B140" s="756" t="s">
        <v>886</v>
      </c>
      <c r="C140" s="289">
        <f>+K0kommunestruktur2021!C140</f>
        <v>25175</v>
      </c>
      <c r="D140" s="289">
        <f>+K0kommunestruktur2021!D140</f>
        <v>692154</v>
      </c>
      <c r="E140" s="289">
        <f>+K0kommunestruktur2021!E140</f>
        <v>25378</v>
      </c>
      <c r="F140" s="289">
        <f>+K0kommunestruktur2021!F140</f>
        <v>737381</v>
      </c>
      <c r="G140" s="289">
        <f>+K0kommunestruktur2021!G140</f>
        <v>25731</v>
      </c>
      <c r="H140" s="289">
        <f>+K0kommunestruktur2021!H140</f>
        <v>817486</v>
      </c>
      <c r="I140" s="289">
        <f>+K0kommunestruktur2021!I140</f>
        <v>25740</v>
      </c>
      <c r="J140" s="289">
        <f>+K0kommunestruktur2021!J140</f>
        <v>854427</v>
      </c>
      <c r="K140" s="289">
        <f>+K0kommunestruktur2021!K140</f>
        <v>25980</v>
      </c>
      <c r="L140" s="289">
        <f>+K0kommunestruktur2021!L140</f>
        <v>880691</v>
      </c>
      <c r="M140" s="289">
        <f>+K0kommunestruktur2021!M140</f>
        <v>26373</v>
      </c>
      <c r="N140" s="289">
        <f>+K0kommunestruktur2021!N140</f>
        <v>925263</v>
      </c>
      <c r="O140" s="289">
        <f>+K0kommunestruktur2021!O140</f>
        <v>26811</v>
      </c>
      <c r="P140" s="289">
        <f>+K0kommunestruktur2021!P140</f>
        <v>941550</v>
      </c>
      <c r="Q140" s="289">
        <f>+K0kommunestruktur2021!Q140</f>
        <v>27118</v>
      </c>
      <c r="R140" s="289">
        <f>+K0kommunestruktur2021!R140</f>
        <v>1090866.5589999999</v>
      </c>
      <c r="S140" s="289">
        <f>VLOOKUP(A140,'K22'!A140:CU495,3)</f>
        <v>27584</v>
      </c>
      <c r="T140" s="289">
        <f>VLOOKUP(A140,'K22'!$A$4:$BV$359,26)</f>
        <v>1241478.2032461769</v>
      </c>
      <c r="U140" s="289">
        <f>VLOOKUP(A140,'Bef.fremskr. kommunenivå MMMM'!$A$5:$K$360,8)</f>
        <v>28121</v>
      </c>
      <c r="V140" s="289">
        <f>VLOOKUP(A140,'K23'!$A$4:$BV$359,26)</f>
        <v>1142065.1700893526</v>
      </c>
    </row>
    <row r="141" spans="1:22" ht="13">
      <c r="A141" s="755">
        <v>3050</v>
      </c>
      <c r="B141" s="756" t="s">
        <v>889</v>
      </c>
      <c r="C141" s="289">
        <f>+K0kommunestruktur2021!C141</f>
        <v>2683</v>
      </c>
      <c r="D141" s="289">
        <f>+K0kommunestruktur2021!D141</f>
        <v>61223</v>
      </c>
      <c r="E141" s="289">
        <f>+K0kommunestruktur2021!E141</f>
        <v>2671</v>
      </c>
      <c r="F141" s="289">
        <f>+K0kommunestruktur2021!F141</f>
        <v>64103</v>
      </c>
      <c r="G141" s="289">
        <f>+K0kommunestruktur2021!G141</f>
        <v>2699</v>
      </c>
      <c r="H141" s="289">
        <f>+K0kommunestruktur2021!H141</f>
        <v>70327</v>
      </c>
      <c r="I141" s="289">
        <f>+K0kommunestruktur2021!I141</f>
        <v>2696</v>
      </c>
      <c r="J141" s="289">
        <f>+K0kommunestruktur2021!J141</f>
        <v>71305</v>
      </c>
      <c r="K141" s="289">
        <f>+K0kommunestruktur2021!K141</f>
        <v>2688</v>
      </c>
      <c r="L141" s="289">
        <f>+K0kommunestruktur2021!L141</f>
        <v>75809</v>
      </c>
      <c r="M141" s="289">
        <f>+K0kommunestruktur2021!M141</f>
        <v>2694</v>
      </c>
      <c r="N141" s="289">
        <f>+K0kommunestruktur2021!N141</f>
        <v>84542</v>
      </c>
      <c r="O141" s="289">
        <f>+K0kommunestruktur2021!O141</f>
        <v>2688</v>
      </c>
      <c r="P141" s="289">
        <f>+K0kommunestruktur2021!P141</f>
        <v>83208</v>
      </c>
      <c r="Q141" s="289">
        <f>+K0kommunestruktur2021!Q141</f>
        <v>2713</v>
      </c>
      <c r="R141" s="289">
        <f>+K0kommunestruktur2021!R141</f>
        <v>93630.758000000002</v>
      </c>
      <c r="S141" s="289">
        <f>VLOOKUP(A141,'K22'!A141:CU496,3)</f>
        <v>2720</v>
      </c>
      <c r="T141" s="289">
        <f>VLOOKUP(A141,'K22'!$A$4:$BV$359,26)</f>
        <v>102696.75152325412</v>
      </c>
      <c r="U141" s="289">
        <f>VLOOKUP(A141,'Bef.fremskr. kommunenivå MMMM'!$A$5:$K$360,8)</f>
        <v>2732</v>
      </c>
      <c r="V141" s="289">
        <f>VLOOKUP(A141,'K23'!$A$4:$BV$359,26)</f>
        <v>97240.194505253865</v>
      </c>
    </row>
    <row r="142" spans="1:22" ht="13">
      <c r="A142" s="755">
        <v>3051</v>
      </c>
      <c r="B142" s="756" t="s">
        <v>890</v>
      </c>
      <c r="C142" s="289">
        <f>+K0kommunestruktur2021!C142</f>
        <v>1369</v>
      </c>
      <c r="D142" s="289">
        <f>+K0kommunestruktur2021!D142</f>
        <v>33041</v>
      </c>
      <c r="E142" s="289">
        <f>+K0kommunestruktur2021!E142</f>
        <v>1375</v>
      </c>
      <c r="F142" s="289">
        <f>+K0kommunestruktur2021!F142</f>
        <v>33997</v>
      </c>
      <c r="G142" s="289">
        <f>+K0kommunestruktur2021!G142</f>
        <v>1404</v>
      </c>
      <c r="H142" s="289">
        <f>+K0kommunestruktur2021!H142</f>
        <v>35626</v>
      </c>
      <c r="I142" s="289">
        <f>+K0kommunestruktur2021!I142</f>
        <v>1399</v>
      </c>
      <c r="J142" s="289">
        <f>+K0kommunestruktur2021!J142</f>
        <v>38046</v>
      </c>
      <c r="K142" s="289">
        <f>+K0kommunestruktur2021!K142</f>
        <v>1411</v>
      </c>
      <c r="L142" s="289">
        <f>+K0kommunestruktur2021!L142</f>
        <v>41136</v>
      </c>
      <c r="M142" s="289">
        <f>+K0kommunestruktur2021!M142</f>
        <v>1419</v>
      </c>
      <c r="N142" s="289">
        <f>+K0kommunestruktur2021!N142</f>
        <v>41486</v>
      </c>
      <c r="O142" s="289">
        <f>+K0kommunestruktur2021!O142</f>
        <v>1390</v>
      </c>
      <c r="P142" s="289">
        <f>+K0kommunestruktur2021!P142</f>
        <v>39387</v>
      </c>
      <c r="Q142" s="289">
        <f>+K0kommunestruktur2021!Q142</f>
        <v>1386</v>
      </c>
      <c r="R142" s="289">
        <f>+K0kommunestruktur2021!R142</f>
        <v>47778.777999999998</v>
      </c>
      <c r="S142" s="289">
        <f>VLOOKUP(A142,'K22'!A142:CU497,3)</f>
        <v>1370</v>
      </c>
      <c r="T142" s="289">
        <f>VLOOKUP(A142,'K22'!$A$4:$BV$359,26)</f>
        <v>48448.340186282941</v>
      </c>
      <c r="U142" s="289">
        <f>VLOOKUP(A142,'Bef.fremskr. kommunenivå MMMM'!$A$5:$K$360,8)</f>
        <v>1350</v>
      </c>
      <c r="V142" s="289">
        <f>VLOOKUP(A142,'K23'!$A$4:$BV$359,26)</f>
        <v>45377.362530589162</v>
      </c>
    </row>
    <row r="143" spans="1:22" ht="13">
      <c r="A143" s="755">
        <v>3052</v>
      </c>
      <c r="B143" s="756" t="s">
        <v>891</v>
      </c>
      <c r="C143" s="289">
        <f>+K0kommunestruktur2021!C143</f>
        <v>2557</v>
      </c>
      <c r="D143" s="289">
        <f>+K0kommunestruktur2021!D143</f>
        <v>75781</v>
      </c>
      <c r="E143" s="289">
        <f>+K0kommunestruktur2021!E143</f>
        <v>2541</v>
      </c>
      <c r="F143" s="289">
        <f>+K0kommunestruktur2021!F143</f>
        <v>79807</v>
      </c>
      <c r="G143" s="289">
        <f>+K0kommunestruktur2021!G143</f>
        <v>2548</v>
      </c>
      <c r="H143" s="289">
        <f>+K0kommunestruktur2021!H143</f>
        <v>82403</v>
      </c>
      <c r="I143" s="289">
        <f>+K0kommunestruktur2021!I143</f>
        <v>2530</v>
      </c>
      <c r="J143" s="289">
        <f>+K0kommunestruktur2021!J143</f>
        <v>86626</v>
      </c>
      <c r="K143" s="289">
        <f>+K0kommunestruktur2021!K143</f>
        <v>2482</v>
      </c>
      <c r="L143" s="289">
        <f>+K0kommunestruktur2021!L143</f>
        <v>90032</v>
      </c>
      <c r="M143" s="289">
        <f>+K0kommunestruktur2021!M143</f>
        <v>2448</v>
      </c>
      <c r="N143" s="289">
        <f>+K0kommunestruktur2021!N143</f>
        <v>93992</v>
      </c>
      <c r="O143" s="289">
        <f>+K0kommunestruktur2021!O143</f>
        <v>2439</v>
      </c>
      <c r="P143" s="289">
        <f>+K0kommunestruktur2021!P143</f>
        <v>89296</v>
      </c>
      <c r="Q143" s="289">
        <f>+K0kommunestruktur2021!Q143</f>
        <v>2412</v>
      </c>
      <c r="R143" s="289">
        <f>+K0kommunestruktur2021!R143</f>
        <v>101777.68700000001</v>
      </c>
      <c r="S143" s="289">
        <f>VLOOKUP(A143,'K22'!A143:CU498,3)</f>
        <v>2455</v>
      </c>
      <c r="T143" s="289">
        <f>VLOOKUP(A143,'K22'!$A$4:$BV$359,26)</f>
        <v>108552.11834998631</v>
      </c>
      <c r="U143" s="289">
        <f>VLOOKUP(A143,'Bef.fremskr. kommunenivå MMMM'!$A$5:$K$360,8)</f>
        <v>2468</v>
      </c>
      <c r="V143" s="289">
        <f>VLOOKUP(A143,'K23'!$A$4:$BV$359,26)</f>
        <v>103467.60005730047</v>
      </c>
    </row>
    <row r="144" spans="1:22" ht="13">
      <c r="A144" s="755">
        <v>3053</v>
      </c>
      <c r="B144" s="756" t="s">
        <v>860</v>
      </c>
      <c r="C144" s="289">
        <f>+K0kommunestruktur2021!C144</f>
        <v>6516</v>
      </c>
      <c r="D144" s="289">
        <f>+K0kommunestruktur2021!D144</f>
        <v>126182</v>
      </c>
      <c r="E144" s="289">
        <f>+K0kommunestruktur2021!E144</f>
        <v>6599</v>
      </c>
      <c r="F144" s="289">
        <f>+K0kommunestruktur2021!F144</f>
        <v>133870</v>
      </c>
      <c r="G144" s="289">
        <f>+K0kommunestruktur2021!G144</f>
        <v>6629</v>
      </c>
      <c r="H144" s="289">
        <f>+K0kommunestruktur2021!H144</f>
        <v>147737</v>
      </c>
      <c r="I144" s="289">
        <f>+K0kommunestruktur2021!I144</f>
        <v>6696</v>
      </c>
      <c r="J144" s="289">
        <f>+K0kommunestruktur2021!J144</f>
        <v>157513</v>
      </c>
      <c r="K144" s="289">
        <f>+K0kommunestruktur2021!K144</f>
        <v>6777</v>
      </c>
      <c r="L144" s="289">
        <f>+K0kommunestruktur2021!L144</f>
        <v>167525</v>
      </c>
      <c r="M144" s="289">
        <f>+K0kommunestruktur2021!M144</f>
        <v>6846</v>
      </c>
      <c r="N144" s="289">
        <f>+K0kommunestruktur2021!N144</f>
        <v>172526</v>
      </c>
      <c r="O144" s="289">
        <f>+K0kommunestruktur2021!O144</f>
        <v>6852</v>
      </c>
      <c r="P144" s="289">
        <f>+K0kommunestruktur2021!P144</f>
        <v>178269</v>
      </c>
      <c r="Q144" s="289">
        <f>+K0kommunestruktur2021!Q144</f>
        <v>6867</v>
      </c>
      <c r="R144" s="289">
        <f>+K0kommunestruktur2021!R144</f>
        <v>209679.27900000001</v>
      </c>
      <c r="S144" s="289">
        <f>VLOOKUP(A144,'K22'!A144:CU499,3)</f>
        <v>6908</v>
      </c>
      <c r="T144" s="289">
        <f>VLOOKUP(A144,'K22'!$A$4:$BV$359,26)</f>
        <v>226119.03675411158</v>
      </c>
      <c r="U144" s="289">
        <f>VLOOKUP(A144,'Bef.fremskr. kommunenivå MMMM'!$A$5:$K$360,8)</f>
        <v>6965</v>
      </c>
      <c r="V144" s="289">
        <f>VLOOKUP(A144,'K23'!$A$4:$BV$359,26)</f>
        <v>209137.56445793316</v>
      </c>
    </row>
    <row r="145" spans="1:22" ht="13">
      <c r="A145" s="755">
        <v>3054</v>
      </c>
      <c r="B145" s="965" t="s">
        <v>861</v>
      </c>
      <c r="C145" s="289">
        <f>+K0kommunestruktur2021!C145</f>
        <v>8952</v>
      </c>
      <c r="D145" s="289">
        <f>+K0kommunestruktur2021!D145</f>
        <v>195426</v>
      </c>
      <c r="E145" s="289">
        <f>+K0kommunestruktur2021!E145</f>
        <v>9003</v>
      </c>
      <c r="F145" s="289">
        <f>+K0kommunestruktur2021!F145</f>
        <v>209542</v>
      </c>
      <c r="G145" s="289">
        <f>+K0kommunestruktur2021!G145</f>
        <v>9044</v>
      </c>
      <c r="H145" s="289">
        <f>+K0kommunestruktur2021!H145</f>
        <v>229314</v>
      </c>
      <c r="I145" s="289">
        <f>+K0kommunestruktur2021!I145</f>
        <v>9080</v>
      </c>
      <c r="J145" s="289">
        <f>+K0kommunestruktur2021!J145</f>
        <v>238287</v>
      </c>
      <c r="K145" s="289">
        <f>+K0kommunestruktur2021!K145</f>
        <v>9065</v>
      </c>
      <c r="L145" s="289">
        <f>+K0kommunestruktur2021!L145</f>
        <v>250417</v>
      </c>
      <c r="M145" s="289">
        <f>+K0kommunestruktur2021!M145</f>
        <v>9051</v>
      </c>
      <c r="N145" s="289">
        <f>+K0kommunestruktur2021!N145</f>
        <v>253205</v>
      </c>
      <c r="O145" s="289">
        <f>+K0kommunestruktur2021!O145</f>
        <v>9048</v>
      </c>
      <c r="P145" s="289">
        <f>+K0kommunestruktur2021!P145</f>
        <v>244716</v>
      </c>
      <c r="Q145" s="289">
        <f>+K0kommunestruktur2021!Q145</f>
        <v>9062</v>
      </c>
      <c r="R145" s="289">
        <f>+K0kommunestruktur2021!R145</f>
        <v>286568.37800000003</v>
      </c>
      <c r="S145" s="289">
        <f>VLOOKUP(A145,'K22'!A145:CU500,3)</f>
        <v>9144</v>
      </c>
      <c r="T145" s="289">
        <f>VLOOKUP(A145,'K22'!$A$4:$BV$359,26)</f>
        <v>311544.83052394324</v>
      </c>
      <c r="U145" s="289">
        <f>VLOOKUP(A145,'Bef.fremskr. kommunenivå MMMM'!$A$5:$K$360,8)</f>
        <v>9191</v>
      </c>
      <c r="V145" s="289">
        <f>VLOOKUP(A145,'K23'!$A$4:$BV$359,26)</f>
        <v>292824.3839356582</v>
      </c>
    </row>
    <row r="146" spans="1:22" ht="13">
      <c r="A146" s="755">
        <v>3401</v>
      </c>
      <c r="B146" s="756" t="s">
        <v>824</v>
      </c>
      <c r="C146" s="289">
        <f>+K0kommunestruktur2021!C146</f>
        <v>17825</v>
      </c>
      <c r="D146" s="289">
        <f>+K0kommunestruktur2021!D146</f>
        <v>346051</v>
      </c>
      <c r="E146" s="289">
        <f>+K0kommunestruktur2021!E146</f>
        <v>17881</v>
      </c>
      <c r="F146" s="289">
        <f>+K0kommunestruktur2021!F146</f>
        <v>377420</v>
      </c>
      <c r="G146" s="289">
        <f>+K0kommunestruktur2021!G146</f>
        <v>17835</v>
      </c>
      <c r="H146" s="289">
        <f>+K0kommunestruktur2021!H146</f>
        <v>418583</v>
      </c>
      <c r="I146" s="289">
        <f>+K0kommunestruktur2021!I146</f>
        <v>17857</v>
      </c>
      <c r="J146" s="289">
        <f>+K0kommunestruktur2021!J146</f>
        <v>438186</v>
      </c>
      <c r="K146" s="289">
        <f>+K0kommunestruktur2021!K146</f>
        <v>17934</v>
      </c>
      <c r="L146" s="289">
        <f>+K0kommunestruktur2021!L146</f>
        <v>464345</v>
      </c>
      <c r="M146" s="289">
        <f>+K0kommunestruktur2021!M146</f>
        <v>17823</v>
      </c>
      <c r="N146" s="289">
        <f>+K0kommunestruktur2021!N146</f>
        <v>472995</v>
      </c>
      <c r="O146" s="289">
        <f>+K0kommunestruktur2021!O146</f>
        <v>17829</v>
      </c>
      <c r="P146" s="289">
        <f>+K0kommunestruktur2021!P146</f>
        <v>488404</v>
      </c>
      <c r="Q146" s="289">
        <f>+K0kommunestruktur2021!Q146</f>
        <v>17851</v>
      </c>
      <c r="R146" s="289">
        <f>+K0kommunestruktur2021!R146</f>
        <v>548005.07400000002</v>
      </c>
      <c r="S146" s="289">
        <f>VLOOKUP(A146,'K22'!A146:CU501,3)</f>
        <v>17949</v>
      </c>
      <c r="T146" s="289">
        <f>VLOOKUP(A146,'K22'!$A$4:$BV$359,26)</f>
        <v>626872.54633975204</v>
      </c>
      <c r="U146" s="289">
        <f>VLOOKUP(A146,'Bef.fremskr. kommunenivå MMMM'!$A$5:$K$360,8)</f>
        <v>18041</v>
      </c>
      <c r="V146" s="289">
        <f>VLOOKUP(A146,'K23'!$A$4:$BV$359,26)</f>
        <v>561570.37326507852</v>
      </c>
    </row>
    <row r="147" spans="1:22" ht="13">
      <c r="A147" s="755">
        <v>3403</v>
      </c>
      <c r="B147" s="756" t="s">
        <v>825</v>
      </c>
      <c r="C147" s="289">
        <f>+K0kommunestruktur2021!C147</f>
        <v>29520</v>
      </c>
      <c r="D147" s="289">
        <f>+K0kommunestruktur2021!D147</f>
        <v>664070</v>
      </c>
      <c r="E147" s="289">
        <f>+K0kommunestruktur2021!E147</f>
        <v>29847</v>
      </c>
      <c r="F147" s="289">
        <f>+K0kommunestruktur2021!F147</f>
        <v>723558</v>
      </c>
      <c r="G147" s="289">
        <f>+K0kommunestruktur2021!G147</f>
        <v>30120</v>
      </c>
      <c r="H147" s="289">
        <f>+K0kommunestruktur2021!H147</f>
        <v>799127</v>
      </c>
      <c r="I147" s="289">
        <f>+K0kommunestruktur2021!I147</f>
        <v>30598</v>
      </c>
      <c r="J147" s="289">
        <f>+K0kommunestruktur2021!J147</f>
        <v>838185</v>
      </c>
      <c r="K147" s="289">
        <f>+K0kommunestruktur2021!K147</f>
        <v>30930</v>
      </c>
      <c r="L147" s="289">
        <f>+K0kommunestruktur2021!L147</f>
        <v>879991</v>
      </c>
      <c r="M147" s="289">
        <f>+K0kommunestruktur2021!M147</f>
        <v>31144</v>
      </c>
      <c r="N147" s="289">
        <f>+K0kommunestruktur2021!N147</f>
        <v>907828</v>
      </c>
      <c r="O147" s="289">
        <f>+K0kommunestruktur2021!O147</f>
        <v>31369</v>
      </c>
      <c r="P147" s="289">
        <f>+K0kommunestruktur2021!P147</f>
        <v>922933</v>
      </c>
      <c r="Q147" s="289">
        <f>+K0kommunestruktur2021!Q147</f>
        <v>31509</v>
      </c>
      <c r="R147" s="289">
        <f>+K0kommunestruktur2021!R147</f>
        <v>1065440.294</v>
      </c>
      <c r="S147" s="289">
        <f>VLOOKUP(A147,'K22'!A147:CU502,3)</f>
        <v>31999</v>
      </c>
      <c r="T147" s="289">
        <f>VLOOKUP(A147,'K22'!$A$4:$BV$359,26)</f>
        <v>1189581.9922373113</v>
      </c>
      <c r="U147" s="289">
        <f>VLOOKUP(A147,'Bef.fremskr. kommunenivå MMMM'!$A$5:$K$360,8)</f>
        <v>32436</v>
      </c>
      <c r="V147" s="289">
        <f>VLOOKUP(A147,'K23'!$A$4:$BV$359,26)</f>
        <v>1101809.4693468702</v>
      </c>
    </row>
    <row r="148" spans="1:22" ht="13">
      <c r="A148" s="889">
        <v>3405</v>
      </c>
      <c r="B148" s="890" t="s">
        <v>845</v>
      </c>
      <c r="C148" s="289">
        <f>+C365+C366</f>
        <v>27013.77124206</v>
      </c>
      <c r="D148" s="289">
        <f t="shared" ref="D148:R148" si="2">+D365+D366</f>
        <v>624519.051837306</v>
      </c>
      <c r="E148" s="289">
        <f t="shared" si="2"/>
        <v>27285.628048989998</v>
      </c>
      <c r="F148" s="289">
        <f t="shared" si="2"/>
        <v>656933.97816996882</v>
      </c>
      <c r="G148" s="289">
        <f t="shared" si="2"/>
        <v>27461.535394660001</v>
      </c>
      <c r="H148" s="289">
        <f t="shared" si="2"/>
        <v>729324.84827856871</v>
      </c>
      <c r="I148" s="289">
        <f t="shared" si="2"/>
        <v>27766.37482891</v>
      </c>
      <c r="J148" s="289">
        <f t="shared" si="2"/>
        <v>769237.82522035844</v>
      </c>
      <c r="K148" s="289">
        <f t="shared" si="2"/>
        <v>27923.292177030002</v>
      </c>
      <c r="L148" s="289">
        <f t="shared" si="2"/>
        <v>804926.02744545462</v>
      </c>
      <c r="M148" s="289">
        <f t="shared" si="2"/>
        <v>28008.24742919</v>
      </c>
      <c r="N148" s="289">
        <f t="shared" si="2"/>
        <v>836091.61183439207</v>
      </c>
      <c r="O148" s="289">
        <f t="shared" si="2"/>
        <v>28330.077913870002</v>
      </c>
      <c r="P148" s="289">
        <f t="shared" si="2"/>
        <v>824696.61383487273</v>
      </c>
      <c r="Q148" s="289">
        <f t="shared" si="2"/>
        <v>28478</v>
      </c>
      <c r="R148" s="289">
        <f t="shared" si="2"/>
        <v>947826.51755876874</v>
      </c>
      <c r="S148" s="289">
        <f>VLOOKUP(A148,'K22'!A148:CU503,3)</f>
        <v>28425</v>
      </c>
      <c r="T148" s="289">
        <f>VLOOKUP(A148,'K22'!$A$4:$BV$359,26)</f>
        <v>1043648.4970206087</v>
      </c>
      <c r="U148" s="289">
        <f>VLOOKUP(A148,'Bef.fremskr. kommunenivå MMMM'!$A$5:$K$360,8)</f>
        <v>28681</v>
      </c>
      <c r="V148" s="289">
        <f>VLOOKUP(A148,'K23'!$A$4:$BV$359,26)</f>
        <v>972885.03667477251</v>
      </c>
    </row>
    <row r="149" spans="1:22" ht="13">
      <c r="A149" s="755">
        <v>3407</v>
      </c>
      <c r="B149" s="756" t="s">
        <v>846</v>
      </c>
      <c r="C149" s="289">
        <f>+K0kommunestruktur2021!C149</f>
        <v>29668</v>
      </c>
      <c r="D149" s="289">
        <f>+K0kommunestruktur2021!D149</f>
        <v>594011</v>
      </c>
      <c r="E149" s="289">
        <f>+K0kommunestruktur2021!E149</f>
        <v>30063</v>
      </c>
      <c r="F149" s="289">
        <f>+K0kommunestruktur2021!F149</f>
        <v>645070</v>
      </c>
      <c r="G149" s="289">
        <f>+K0kommunestruktur2021!G149</f>
        <v>30137</v>
      </c>
      <c r="H149" s="289">
        <f>+K0kommunestruktur2021!H149</f>
        <v>711172</v>
      </c>
      <c r="I149" s="289">
        <f>+K0kommunestruktur2021!I149</f>
        <v>30319</v>
      </c>
      <c r="J149" s="289">
        <f>+K0kommunestruktur2021!J149</f>
        <v>758212</v>
      </c>
      <c r="K149" s="289">
        <f>+K0kommunestruktur2021!K149</f>
        <v>30642</v>
      </c>
      <c r="L149" s="289">
        <f>+K0kommunestruktur2021!L149</f>
        <v>797745</v>
      </c>
      <c r="M149" s="289">
        <f>+K0kommunestruktur2021!M149</f>
        <v>30676</v>
      </c>
      <c r="N149" s="289">
        <f>+K0kommunestruktur2021!N149</f>
        <v>835680</v>
      </c>
      <c r="O149" s="289">
        <f>+K0kommunestruktur2021!O149</f>
        <v>30560</v>
      </c>
      <c r="P149" s="289">
        <f>+K0kommunestruktur2021!P149</f>
        <v>811206</v>
      </c>
      <c r="Q149" s="289">
        <f>+K0kommunestruktur2021!Q149</f>
        <v>30395</v>
      </c>
      <c r="R149" s="289">
        <f>+K0kommunestruktur2021!R149</f>
        <v>909888.27899999998</v>
      </c>
      <c r="S149" s="289">
        <f>VLOOKUP(A149,'K22'!A149:CU504,3)</f>
        <v>30267</v>
      </c>
      <c r="T149" s="289">
        <f>VLOOKUP(A149,'K22'!$A$4:$BV$359,26)</f>
        <v>1016016.3423628662</v>
      </c>
      <c r="U149" s="289">
        <f>VLOOKUP(A149,'Bef.fremskr. kommunenivå MMMM'!$A$5:$K$360,8)</f>
        <v>30399</v>
      </c>
      <c r="V149" s="289">
        <f>VLOOKUP(A149,'K23'!$A$4:$BV$359,26)</f>
        <v>936770.61680744565</v>
      </c>
    </row>
    <row r="150" spans="1:22" ht="13">
      <c r="A150" s="755">
        <v>3411</v>
      </c>
      <c r="B150" s="756" t="s">
        <v>826</v>
      </c>
      <c r="C150" s="289">
        <f>+K0kommunestruktur2021!C150</f>
        <v>33463</v>
      </c>
      <c r="D150" s="289">
        <f>+K0kommunestruktur2021!D150</f>
        <v>639220</v>
      </c>
      <c r="E150" s="289">
        <f>+K0kommunestruktur2021!E150</f>
        <v>33603</v>
      </c>
      <c r="F150" s="289">
        <f>+K0kommunestruktur2021!F150</f>
        <v>679590</v>
      </c>
      <c r="G150" s="289">
        <f>+K0kommunestruktur2021!G150</f>
        <v>33597</v>
      </c>
      <c r="H150" s="289">
        <f>+K0kommunestruktur2021!H150</f>
        <v>752571</v>
      </c>
      <c r="I150" s="289">
        <f>+K0kommunestruktur2021!I150</f>
        <v>33842</v>
      </c>
      <c r="J150" s="289">
        <f>+K0kommunestruktur2021!J150</f>
        <v>789183</v>
      </c>
      <c r="K150" s="289">
        <f>+K0kommunestruktur2021!K150</f>
        <v>34151</v>
      </c>
      <c r="L150" s="289">
        <f>+K0kommunestruktur2021!L150</f>
        <v>837000</v>
      </c>
      <c r="M150" s="289">
        <f>+K0kommunestruktur2021!M150</f>
        <v>34488</v>
      </c>
      <c r="N150" s="289">
        <f>+K0kommunestruktur2021!N150</f>
        <v>888971</v>
      </c>
      <c r="O150" s="289">
        <f>+K0kommunestruktur2021!O150</f>
        <v>34768</v>
      </c>
      <c r="P150" s="289">
        <f>+K0kommunestruktur2021!P150</f>
        <v>885530</v>
      </c>
      <c r="Q150" s="289">
        <f>+K0kommunestruktur2021!Q150</f>
        <v>34897</v>
      </c>
      <c r="R150" s="289">
        <f>+K0kommunestruktur2021!R150</f>
        <v>1013294.552</v>
      </c>
      <c r="S150" s="289">
        <f>VLOOKUP(A150,'K22'!A150:CU505,3)</f>
        <v>35073</v>
      </c>
      <c r="T150" s="289">
        <f>VLOOKUP(A150,'K22'!$A$4:$BV$359,26)</f>
        <v>1117233.052221908</v>
      </c>
      <c r="U150" s="289">
        <f>VLOOKUP(A150,'Bef.fremskr. kommunenivå MMMM'!$A$5:$K$360,8)</f>
        <v>35254</v>
      </c>
      <c r="V150" s="289">
        <f>VLOOKUP(A150,'K23'!$A$4:$BV$359,26)</f>
        <v>1041131.58297166</v>
      </c>
    </row>
    <row r="151" spans="1:22" ht="13">
      <c r="A151" s="755">
        <v>3412</v>
      </c>
      <c r="B151" s="756" t="s">
        <v>827</v>
      </c>
      <c r="C151" s="289">
        <f>+K0kommunestruktur2021!C151</f>
        <v>7546</v>
      </c>
      <c r="D151" s="289">
        <f>+K0kommunestruktur2021!D151</f>
        <v>135203</v>
      </c>
      <c r="E151" s="289">
        <f>+K0kommunestruktur2021!E151</f>
        <v>7552</v>
      </c>
      <c r="F151" s="289">
        <f>+K0kommunestruktur2021!F151</f>
        <v>143397</v>
      </c>
      <c r="G151" s="289">
        <f>+K0kommunestruktur2021!G151</f>
        <v>7588</v>
      </c>
      <c r="H151" s="289">
        <f>+K0kommunestruktur2021!H151</f>
        <v>154879</v>
      </c>
      <c r="I151" s="289">
        <f>+K0kommunestruktur2021!I151</f>
        <v>7633</v>
      </c>
      <c r="J151" s="289">
        <f>+K0kommunestruktur2021!J151</f>
        <v>162788</v>
      </c>
      <c r="K151" s="289">
        <f>+K0kommunestruktur2021!K151</f>
        <v>7615</v>
      </c>
      <c r="L151" s="289">
        <f>+K0kommunestruktur2021!L151</f>
        <v>169501</v>
      </c>
      <c r="M151" s="289">
        <f>+K0kommunestruktur2021!M151</f>
        <v>7663</v>
      </c>
      <c r="N151" s="289">
        <f>+K0kommunestruktur2021!N151</f>
        <v>172571</v>
      </c>
      <c r="O151" s="289">
        <f>+K0kommunestruktur2021!O151</f>
        <v>7674</v>
      </c>
      <c r="P151" s="289">
        <f>+K0kommunestruktur2021!P151</f>
        <v>173016</v>
      </c>
      <c r="Q151" s="289">
        <f>+K0kommunestruktur2021!Q151</f>
        <v>7625</v>
      </c>
      <c r="R151" s="289">
        <f>+K0kommunestruktur2021!R151</f>
        <v>204503.18400000001</v>
      </c>
      <c r="S151" s="289">
        <f>VLOOKUP(A151,'K22'!A151:CU506,3)</f>
        <v>7715</v>
      </c>
      <c r="T151" s="289">
        <f>VLOOKUP(A151,'K22'!$A$4:$BV$359,26)</f>
        <v>217147.0110722582</v>
      </c>
      <c r="U151" s="289">
        <f>VLOOKUP(A151,'Bef.fremskr. kommunenivå MMMM'!$A$5:$K$360,8)</f>
        <v>7776</v>
      </c>
      <c r="V151" s="289">
        <f>VLOOKUP(A151,'K23'!$A$4:$BV$359,26)</f>
        <v>205331.29176276733</v>
      </c>
    </row>
    <row r="152" spans="1:22" ht="13">
      <c r="A152" s="755">
        <v>3413</v>
      </c>
      <c r="B152" s="965" t="s">
        <v>828</v>
      </c>
      <c r="C152" s="289">
        <f>+K0kommunestruktur2021!C152</f>
        <v>19737</v>
      </c>
      <c r="D152" s="289">
        <f>+K0kommunestruktur2021!D152</f>
        <v>376955</v>
      </c>
      <c r="E152" s="289">
        <f>+K0kommunestruktur2021!E152</f>
        <v>20013</v>
      </c>
      <c r="F152" s="289">
        <f>+K0kommunestruktur2021!F152</f>
        <v>407797</v>
      </c>
      <c r="G152" s="289">
        <f>+K0kommunestruktur2021!G152</f>
        <v>20119</v>
      </c>
      <c r="H152" s="289">
        <f>+K0kommunestruktur2021!H152</f>
        <v>451307</v>
      </c>
      <c r="I152" s="289">
        <f>+K0kommunestruktur2021!I152</f>
        <v>20317</v>
      </c>
      <c r="J152" s="289">
        <f>+K0kommunestruktur2021!J152</f>
        <v>472002</v>
      </c>
      <c r="K152" s="289">
        <f>+K0kommunestruktur2021!K152</f>
        <v>20646</v>
      </c>
      <c r="L152" s="289">
        <f>+K0kommunestruktur2021!L152</f>
        <v>497212</v>
      </c>
      <c r="M152" s="289">
        <f>+K0kommunestruktur2021!M152</f>
        <v>20916</v>
      </c>
      <c r="N152" s="289">
        <f>+K0kommunestruktur2021!N152</f>
        <v>519985</v>
      </c>
      <c r="O152" s="289">
        <f>+K0kommunestruktur2021!O152</f>
        <v>21064</v>
      </c>
      <c r="P152" s="289">
        <f>+K0kommunestruktur2021!P152</f>
        <v>521960</v>
      </c>
      <c r="Q152" s="289">
        <f>+K0kommunestruktur2021!Q152</f>
        <v>21072</v>
      </c>
      <c r="R152" s="289">
        <f>+K0kommunestruktur2021!R152</f>
        <v>603684.37</v>
      </c>
      <c r="S152" s="289">
        <f>VLOOKUP(A152,'K22'!A152:CU507,3)</f>
        <v>21156</v>
      </c>
      <c r="T152" s="289">
        <f>VLOOKUP(A152,'K22'!$A$4:$BV$359,26)</f>
        <v>651005.42908947892</v>
      </c>
      <c r="U152" s="289">
        <f>VLOOKUP(A152,'Bef.fremskr. kommunenivå MMMM'!$A$5:$K$360,8)</f>
        <v>21286</v>
      </c>
      <c r="V152" s="289">
        <f>VLOOKUP(A152,'K23'!$A$4:$BV$359,26)</f>
        <v>612719.17867647076</v>
      </c>
    </row>
    <row r="153" spans="1:22" ht="13">
      <c r="A153" s="755">
        <v>3414</v>
      </c>
      <c r="B153" s="756" t="s">
        <v>829</v>
      </c>
      <c r="C153" s="289">
        <f>+K0kommunestruktur2021!C153</f>
        <v>5118</v>
      </c>
      <c r="D153" s="289">
        <f>+K0kommunestruktur2021!D153</f>
        <v>89305</v>
      </c>
      <c r="E153" s="289">
        <f>+K0kommunestruktur2021!E153</f>
        <v>5128</v>
      </c>
      <c r="F153" s="289">
        <f>+K0kommunestruktur2021!F153</f>
        <v>94709</v>
      </c>
      <c r="G153" s="289">
        <f>+K0kommunestruktur2021!G153</f>
        <v>5131</v>
      </c>
      <c r="H153" s="289">
        <f>+K0kommunestruktur2021!H153</f>
        <v>100053</v>
      </c>
      <c r="I153" s="289">
        <f>+K0kommunestruktur2021!I153</f>
        <v>5100</v>
      </c>
      <c r="J153" s="289">
        <f>+K0kommunestruktur2021!J153</f>
        <v>103182</v>
      </c>
      <c r="K153" s="289">
        <f>+K0kommunestruktur2021!K153</f>
        <v>5097</v>
      </c>
      <c r="L153" s="289">
        <f>+K0kommunestruktur2021!L153</f>
        <v>109633</v>
      </c>
      <c r="M153" s="289">
        <f>+K0kommunestruktur2021!M153</f>
        <v>5024</v>
      </c>
      <c r="N153" s="289">
        <f>+K0kommunestruktur2021!N153</f>
        <v>112330</v>
      </c>
      <c r="O153" s="289">
        <f>+K0kommunestruktur2021!O153</f>
        <v>5016</v>
      </c>
      <c r="P153" s="289">
        <f>+K0kommunestruktur2021!P153</f>
        <v>111733</v>
      </c>
      <c r="Q153" s="289">
        <f>+K0kommunestruktur2021!Q153</f>
        <v>5038</v>
      </c>
      <c r="R153" s="289">
        <f>+K0kommunestruktur2021!R153</f>
        <v>127141.67600000001</v>
      </c>
      <c r="S153" s="289">
        <f>VLOOKUP(A153,'K22'!A153:CU508,3)</f>
        <v>5016</v>
      </c>
      <c r="T153" s="289">
        <f>VLOOKUP(A153,'K22'!$A$4:$BV$359,26)</f>
        <v>136951.93530001451</v>
      </c>
      <c r="U153" s="289">
        <f>VLOOKUP(A153,'Bef.fremskr. kommunenivå MMMM'!$A$5:$K$360,8)</f>
        <v>4981</v>
      </c>
      <c r="V153" s="289">
        <f>VLOOKUP(A153,'K23'!$A$4:$BV$359,26)</f>
        <v>128046.17336718134</v>
      </c>
    </row>
    <row r="154" spans="1:22" ht="13">
      <c r="A154" s="755">
        <v>3415</v>
      </c>
      <c r="B154" s="756" t="s">
        <v>830</v>
      </c>
      <c r="C154" s="289">
        <f>+K0kommunestruktur2021!C154</f>
        <v>7847</v>
      </c>
      <c r="D154" s="289">
        <f>+K0kommunestruktur2021!D154</f>
        <v>154803</v>
      </c>
      <c r="E154" s="289">
        <f>+K0kommunestruktur2021!E154</f>
        <v>7800</v>
      </c>
      <c r="F154" s="289">
        <f>+K0kommunestruktur2021!F154</f>
        <v>164788</v>
      </c>
      <c r="G154" s="289">
        <f>+K0kommunestruktur2021!G154</f>
        <v>7901</v>
      </c>
      <c r="H154" s="289">
        <f>+K0kommunestruktur2021!H154</f>
        <v>181493</v>
      </c>
      <c r="I154" s="289">
        <f>+K0kommunestruktur2021!I154</f>
        <v>7866</v>
      </c>
      <c r="J154" s="289">
        <f>+K0kommunestruktur2021!J154</f>
        <v>184298</v>
      </c>
      <c r="K154" s="289">
        <f>+K0kommunestruktur2021!K154</f>
        <v>7884</v>
      </c>
      <c r="L154" s="289">
        <f>+K0kommunestruktur2021!L154</f>
        <v>192327</v>
      </c>
      <c r="M154" s="289">
        <f>+K0kommunestruktur2021!M154</f>
        <v>7879</v>
      </c>
      <c r="N154" s="289">
        <f>+K0kommunestruktur2021!N154</f>
        <v>200711</v>
      </c>
      <c r="O154" s="289">
        <f>+K0kommunestruktur2021!O154</f>
        <v>7905</v>
      </c>
      <c r="P154" s="289">
        <f>+K0kommunestruktur2021!P154</f>
        <v>194910</v>
      </c>
      <c r="Q154" s="289">
        <f>+K0kommunestruktur2021!Q154</f>
        <v>7914</v>
      </c>
      <c r="R154" s="289">
        <f>+K0kommunestruktur2021!R154</f>
        <v>229244.834</v>
      </c>
      <c r="S154" s="289">
        <f>VLOOKUP(A154,'K22'!A154:CU509,3)</f>
        <v>7978</v>
      </c>
      <c r="T154" s="289">
        <f>VLOOKUP(A154,'K22'!$A$4:$BV$359,26)</f>
        <v>249331.49480595614</v>
      </c>
      <c r="U154" s="289">
        <f>VLOOKUP(A154,'Bef.fremskr. kommunenivå MMMM'!$A$5:$K$360,8)</f>
        <v>8008</v>
      </c>
      <c r="V154" s="289">
        <f>VLOOKUP(A154,'K23'!$A$4:$BV$359,26)</f>
        <v>232755.67407903686</v>
      </c>
    </row>
    <row r="155" spans="1:22" ht="13">
      <c r="A155" s="755">
        <v>3416</v>
      </c>
      <c r="B155" s="756" t="s">
        <v>831</v>
      </c>
      <c r="C155" s="289">
        <f>+K0kommunestruktur2021!C155</f>
        <v>6253</v>
      </c>
      <c r="D155" s="289">
        <f>+K0kommunestruktur2021!D155</f>
        <v>99815</v>
      </c>
      <c r="E155" s="289">
        <f>+K0kommunestruktur2021!E155</f>
        <v>6219</v>
      </c>
      <c r="F155" s="289">
        <f>+K0kommunestruktur2021!F155</f>
        <v>110856</v>
      </c>
      <c r="G155" s="289">
        <f>+K0kommunestruktur2021!G155</f>
        <v>6142</v>
      </c>
      <c r="H155" s="289">
        <f>+K0kommunestruktur2021!H155</f>
        <v>122325</v>
      </c>
      <c r="I155" s="289">
        <f>+K0kommunestruktur2021!I155</f>
        <v>6127</v>
      </c>
      <c r="J155" s="289">
        <f>+K0kommunestruktur2021!J155</f>
        <v>125225</v>
      </c>
      <c r="K155" s="289">
        <f>+K0kommunestruktur2021!K155</f>
        <v>6142</v>
      </c>
      <c r="L155" s="289">
        <f>+K0kommunestruktur2021!L155</f>
        <v>129210</v>
      </c>
      <c r="M155" s="289">
        <f>+K0kommunestruktur2021!M155</f>
        <v>6114</v>
      </c>
      <c r="N155" s="289">
        <f>+K0kommunestruktur2021!N155</f>
        <v>133453</v>
      </c>
      <c r="O155" s="289">
        <f>+K0kommunestruktur2021!O155</f>
        <v>6106</v>
      </c>
      <c r="P155" s="289">
        <f>+K0kommunestruktur2021!P155</f>
        <v>135252</v>
      </c>
      <c r="Q155" s="289">
        <f>+K0kommunestruktur2021!Q155</f>
        <v>6099</v>
      </c>
      <c r="R155" s="289">
        <f>+K0kommunestruktur2021!R155</f>
        <v>154505.867</v>
      </c>
      <c r="S155" s="289">
        <f>VLOOKUP(A155,'K22'!A155:CU510,3)</f>
        <v>6032</v>
      </c>
      <c r="T155" s="289">
        <f>VLOOKUP(A155,'K22'!$A$4:$BV$359,26)</f>
        <v>167734.55471895781</v>
      </c>
      <c r="U155" s="289">
        <f>VLOOKUP(A155,'Bef.fremskr. kommunenivå MMMM'!$A$5:$K$360,8)</f>
        <v>5995</v>
      </c>
      <c r="V155" s="289">
        <f>VLOOKUP(A155,'K23'!$A$4:$BV$359,26)</f>
        <v>152796.72912791092</v>
      </c>
    </row>
    <row r="156" spans="1:22" ht="13">
      <c r="A156" s="755">
        <v>3417</v>
      </c>
      <c r="B156" s="756" t="s">
        <v>832</v>
      </c>
      <c r="C156" s="289">
        <f>+K0kommunestruktur2021!C156</f>
        <v>4948</v>
      </c>
      <c r="D156" s="289">
        <f>+K0kommunestruktur2021!D156</f>
        <v>88799</v>
      </c>
      <c r="E156" s="289">
        <f>+K0kommunestruktur2021!E156</f>
        <v>4853</v>
      </c>
      <c r="F156" s="289">
        <f>+K0kommunestruktur2021!F156</f>
        <v>94131</v>
      </c>
      <c r="G156" s="289">
        <f>+K0kommunestruktur2021!G156</f>
        <v>4763</v>
      </c>
      <c r="H156" s="289">
        <f>+K0kommunestruktur2021!H156</f>
        <v>100637</v>
      </c>
      <c r="I156" s="289">
        <f>+K0kommunestruktur2021!I156</f>
        <v>4777</v>
      </c>
      <c r="J156" s="289">
        <f>+K0kommunestruktur2021!J156</f>
        <v>100470</v>
      </c>
      <c r="K156" s="289">
        <f>+K0kommunestruktur2021!K156</f>
        <v>4740</v>
      </c>
      <c r="L156" s="289">
        <f>+K0kommunestruktur2021!L156</f>
        <v>105990</v>
      </c>
      <c r="M156" s="289">
        <f>+K0kommunestruktur2021!M156</f>
        <v>4646</v>
      </c>
      <c r="N156" s="289">
        <f>+K0kommunestruktur2021!N156</f>
        <v>108099</v>
      </c>
      <c r="O156" s="289">
        <f>+K0kommunestruktur2021!O156</f>
        <v>4612</v>
      </c>
      <c r="P156" s="289">
        <f>+K0kommunestruktur2021!P156</f>
        <v>113051</v>
      </c>
      <c r="Q156" s="289">
        <f>+K0kommunestruktur2021!Q156</f>
        <v>4545</v>
      </c>
      <c r="R156" s="289">
        <f>+K0kommunestruktur2021!R156</f>
        <v>151255.75399999999</v>
      </c>
      <c r="S156" s="289">
        <f>VLOOKUP(A156,'K22'!A156:CU511,3)</f>
        <v>4548</v>
      </c>
      <c r="T156" s="289">
        <f>VLOOKUP(A156,'K22'!$A$4:$BV$359,26)</f>
        <v>159170.82755931845</v>
      </c>
      <c r="U156" s="289">
        <f>VLOOKUP(A156,'Bef.fremskr. kommunenivå MMMM'!$A$5:$K$360,8)</f>
        <v>4556</v>
      </c>
      <c r="V156" s="289">
        <f>VLOOKUP(A156,'K23'!$A$4:$BV$359,26)</f>
        <v>134985.3788388363</v>
      </c>
    </row>
    <row r="157" spans="1:22" ht="13">
      <c r="A157" s="755">
        <v>3418</v>
      </c>
      <c r="B157" s="756" t="s">
        <v>833</v>
      </c>
      <c r="C157" s="289">
        <f>+K0kommunestruktur2021!C157</f>
        <v>7544</v>
      </c>
      <c r="D157" s="289">
        <f>+K0kommunestruktur2021!D157</f>
        <v>131663</v>
      </c>
      <c r="E157" s="289">
        <f>+K0kommunestruktur2021!E157</f>
        <v>7561</v>
      </c>
      <c r="F157" s="289">
        <f>+K0kommunestruktur2021!F157</f>
        <v>141663</v>
      </c>
      <c r="G157" s="289">
        <f>+K0kommunestruktur2021!G157</f>
        <v>7456</v>
      </c>
      <c r="H157" s="289">
        <f>+K0kommunestruktur2021!H157</f>
        <v>150457</v>
      </c>
      <c r="I157" s="289">
        <f>+K0kommunestruktur2021!I157</f>
        <v>7329</v>
      </c>
      <c r="J157" s="289">
        <f>+K0kommunestruktur2021!J157</f>
        <v>157341</v>
      </c>
      <c r="K157" s="289">
        <f>+K0kommunestruktur2021!K157</f>
        <v>7279</v>
      </c>
      <c r="L157" s="289">
        <f>+K0kommunestruktur2021!L157</f>
        <v>162251</v>
      </c>
      <c r="M157" s="289">
        <f>+K0kommunestruktur2021!M157</f>
        <v>7214</v>
      </c>
      <c r="N157" s="289">
        <f>+K0kommunestruktur2021!N157</f>
        <v>163873</v>
      </c>
      <c r="O157" s="289">
        <f>+K0kommunestruktur2021!O157</f>
        <v>7203</v>
      </c>
      <c r="P157" s="289">
        <f>+K0kommunestruktur2021!P157</f>
        <v>162820</v>
      </c>
      <c r="Q157" s="289">
        <f>+K0kommunestruktur2021!Q157</f>
        <v>7227</v>
      </c>
      <c r="R157" s="289">
        <f>+K0kommunestruktur2021!R157</f>
        <v>187185.606</v>
      </c>
      <c r="S157" s="289">
        <f>VLOOKUP(A157,'K22'!A157:CU512,3)</f>
        <v>7211</v>
      </c>
      <c r="T157" s="289">
        <f>VLOOKUP(A157,'K22'!$A$4:$BV$359,26)</f>
        <v>199923.7994973826</v>
      </c>
      <c r="U157" s="289">
        <f>VLOOKUP(A157,'Bef.fremskr. kommunenivå MMMM'!$A$5:$K$360,8)</f>
        <v>7215</v>
      </c>
      <c r="V157" s="289">
        <f>VLOOKUP(A157,'K23'!$A$4:$BV$359,26)</f>
        <v>188997.24128043567</v>
      </c>
    </row>
    <row r="158" spans="1:22" ht="13">
      <c r="A158" s="755">
        <v>3419</v>
      </c>
      <c r="B158" s="756" t="s">
        <v>799</v>
      </c>
      <c r="C158" s="289">
        <f>+K0kommunestruktur2021!C158</f>
        <v>3783</v>
      </c>
      <c r="D158" s="289">
        <f>+K0kommunestruktur2021!D158</f>
        <v>67464</v>
      </c>
      <c r="E158" s="289">
        <f>+K0kommunestruktur2021!E158</f>
        <v>3790</v>
      </c>
      <c r="F158" s="289">
        <f>+K0kommunestruktur2021!F158</f>
        <v>72785</v>
      </c>
      <c r="G158" s="289">
        <f>+K0kommunestruktur2021!G158</f>
        <v>3760</v>
      </c>
      <c r="H158" s="289">
        <f>+K0kommunestruktur2021!H158</f>
        <v>79771</v>
      </c>
      <c r="I158" s="289">
        <f>+K0kommunestruktur2021!I158</f>
        <v>3743</v>
      </c>
      <c r="J158" s="289">
        <f>+K0kommunestruktur2021!J158</f>
        <v>80622</v>
      </c>
      <c r="K158" s="289">
        <f>+K0kommunestruktur2021!K158</f>
        <v>3680</v>
      </c>
      <c r="L158" s="289">
        <f>+K0kommunestruktur2021!L158</f>
        <v>81489</v>
      </c>
      <c r="M158" s="289">
        <f>+K0kommunestruktur2021!M158</f>
        <v>3705</v>
      </c>
      <c r="N158" s="289">
        <f>+K0kommunestruktur2021!N158</f>
        <v>84330</v>
      </c>
      <c r="O158" s="289">
        <f>+K0kommunestruktur2021!O158</f>
        <v>3662</v>
      </c>
      <c r="P158" s="289">
        <f>+K0kommunestruktur2021!P158</f>
        <v>83140</v>
      </c>
      <c r="Q158" s="289">
        <f>+K0kommunestruktur2021!Q158</f>
        <v>3587</v>
      </c>
      <c r="R158" s="289">
        <f>+K0kommunestruktur2021!R158</f>
        <v>94110.138000000006</v>
      </c>
      <c r="S158" s="289">
        <f>VLOOKUP(A158,'K22'!A158:CU513,3)</f>
        <v>3597</v>
      </c>
      <c r="T158" s="289">
        <f>VLOOKUP(A158,'K22'!$A$4:$BV$359,26)</f>
        <v>102193.5439560548</v>
      </c>
      <c r="U158" s="289">
        <f>VLOOKUP(A158,'Bef.fremskr. kommunenivå MMMM'!$A$5:$K$360,8)</f>
        <v>3615</v>
      </c>
      <c r="V158" s="289">
        <f>VLOOKUP(A158,'K23'!$A$4:$BV$359,26)</f>
        <v>95179.3295973575</v>
      </c>
    </row>
    <row r="159" spans="1:22" ht="13">
      <c r="A159" s="755">
        <v>3420</v>
      </c>
      <c r="B159" s="756" t="s">
        <v>834</v>
      </c>
      <c r="C159" s="289">
        <f>+K0kommunestruktur2021!C159</f>
        <v>20563</v>
      </c>
      <c r="D159" s="289">
        <f>+K0kommunestruktur2021!D159</f>
        <v>413285</v>
      </c>
      <c r="E159" s="289">
        <f>+K0kommunestruktur2021!E159</f>
        <v>20794</v>
      </c>
      <c r="F159" s="289">
        <f>+K0kommunestruktur2021!F159</f>
        <v>442451</v>
      </c>
      <c r="G159" s="289">
        <f>+K0kommunestruktur2021!G159</f>
        <v>21030</v>
      </c>
      <c r="H159" s="289">
        <f>+K0kommunestruktur2021!H159</f>
        <v>469925</v>
      </c>
      <c r="I159" s="289">
        <f>+K0kommunestruktur2021!I159</f>
        <v>21086</v>
      </c>
      <c r="J159" s="289">
        <f>+K0kommunestruktur2021!J159</f>
        <v>490237</v>
      </c>
      <c r="K159" s="289">
        <f>+K0kommunestruktur2021!K159</f>
        <v>21123</v>
      </c>
      <c r="L159" s="289">
        <f>+K0kommunestruktur2021!L159</f>
        <v>510655</v>
      </c>
      <c r="M159" s="289">
        <f>+K0kommunestruktur2021!M159</f>
        <v>21191</v>
      </c>
      <c r="N159" s="289">
        <f>+K0kommunestruktur2021!N159</f>
        <v>535565</v>
      </c>
      <c r="O159" s="289">
        <f>+K0kommunestruktur2021!O159</f>
        <v>21254</v>
      </c>
      <c r="P159" s="289">
        <f>+K0kommunestruktur2021!P159</f>
        <v>533065</v>
      </c>
      <c r="Q159" s="289">
        <f>+K0kommunestruktur2021!Q159</f>
        <v>21292</v>
      </c>
      <c r="R159" s="289">
        <f>+K0kommunestruktur2021!R159</f>
        <v>618243.85</v>
      </c>
      <c r="S159" s="289">
        <f>VLOOKUP(A159,'K22'!A159:CU514,3)</f>
        <v>21435</v>
      </c>
      <c r="T159" s="289">
        <f>VLOOKUP(A159,'K22'!$A$4:$BV$359,26)</f>
        <v>677013.58849819726</v>
      </c>
      <c r="U159" s="289">
        <f>VLOOKUP(A159,'Bef.fremskr. kommunenivå MMMM'!$A$5:$K$360,8)</f>
        <v>21531</v>
      </c>
      <c r="V159" s="289">
        <f>VLOOKUP(A159,'K23'!$A$4:$BV$359,26)</f>
        <v>628149.95123300783</v>
      </c>
    </row>
    <row r="160" spans="1:22" ht="13">
      <c r="A160" s="755">
        <v>3421</v>
      </c>
      <c r="B160" s="756" t="s">
        <v>835</v>
      </c>
      <c r="C160" s="289">
        <f>+K0kommunestruktur2021!C160</f>
        <v>6621</v>
      </c>
      <c r="D160" s="289">
        <f>+K0kommunestruktur2021!D160</f>
        <v>123473</v>
      </c>
      <c r="E160" s="289">
        <f>+K0kommunestruktur2021!E160</f>
        <v>6569</v>
      </c>
      <c r="F160" s="289">
        <f>+K0kommunestruktur2021!F160</f>
        <v>128694</v>
      </c>
      <c r="G160" s="289">
        <f>+K0kommunestruktur2021!G160</f>
        <v>6525</v>
      </c>
      <c r="H160" s="289">
        <f>+K0kommunestruktur2021!H160</f>
        <v>143523</v>
      </c>
      <c r="I160" s="289">
        <f>+K0kommunestruktur2021!I160</f>
        <v>6550</v>
      </c>
      <c r="J160" s="289">
        <f>+K0kommunestruktur2021!J160</f>
        <v>155053</v>
      </c>
      <c r="K160" s="289">
        <f>+K0kommunestruktur2021!K160</f>
        <v>6567</v>
      </c>
      <c r="L160" s="289">
        <f>+K0kommunestruktur2021!L160</f>
        <v>169452</v>
      </c>
      <c r="M160" s="289">
        <f>+K0kommunestruktur2021!M160</f>
        <v>6607</v>
      </c>
      <c r="N160" s="289">
        <f>+K0kommunestruktur2021!N160</f>
        <v>174031</v>
      </c>
      <c r="O160" s="289">
        <f>+K0kommunestruktur2021!O160</f>
        <v>6627</v>
      </c>
      <c r="P160" s="289">
        <f>+K0kommunestruktur2021!P160</f>
        <v>172622</v>
      </c>
      <c r="Q160" s="289">
        <f>+K0kommunestruktur2021!Q160</f>
        <v>6580</v>
      </c>
      <c r="R160" s="289">
        <f>+K0kommunestruktur2021!R160</f>
        <v>195306.61600000001</v>
      </c>
      <c r="S160" s="289">
        <f>VLOOKUP(A160,'K22'!A160:CU515,3)</f>
        <v>6603</v>
      </c>
      <c r="T160" s="289">
        <f>VLOOKUP(A160,'K22'!$A$4:$BV$359,26)</f>
        <v>224098.49827140963</v>
      </c>
      <c r="U160" s="289">
        <f>VLOOKUP(A160,'Bef.fremskr. kommunenivå MMMM'!$A$5:$K$360,8)</f>
        <v>6614</v>
      </c>
      <c r="V160" s="289">
        <f>VLOOKUP(A160,'K23'!$A$4:$BV$359,26)</f>
        <v>199587.83084896306</v>
      </c>
    </row>
    <row r="161" spans="1:22" ht="13">
      <c r="A161" s="755">
        <v>3422</v>
      </c>
      <c r="B161" s="756" t="s">
        <v>836</v>
      </c>
      <c r="C161" s="289">
        <f>+K0kommunestruktur2021!C161</f>
        <v>4455</v>
      </c>
      <c r="D161" s="289">
        <f>+K0kommunestruktur2021!D161</f>
        <v>86844</v>
      </c>
      <c r="E161" s="289">
        <f>+K0kommunestruktur2021!E161</f>
        <v>4456</v>
      </c>
      <c r="F161" s="289">
        <f>+K0kommunestruktur2021!F161</f>
        <v>91773</v>
      </c>
      <c r="G161" s="289">
        <f>+K0kommunestruktur2021!G161</f>
        <v>4429</v>
      </c>
      <c r="H161" s="289">
        <f>+K0kommunestruktur2021!H161</f>
        <v>97563</v>
      </c>
      <c r="I161" s="289">
        <f>+K0kommunestruktur2021!I161</f>
        <v>4518</v>
      </c>
      <c r="J161" s="289">
        <f>+K0kommunestruktur2021!J161</f>
        <v>101766</v>
      </c>
      <c r="K161" s="289">
        <f>+K0kommunestruktur2021!K161</f>
        <v>4480</v>
      </c>
      <c r="L161" s="289">
        <f>+K0kommunestruktur2021!L161</f>
        <v>103252</v>
      </c>
      <c r="M161" s="289">
        <f>+K0kommunestruktur2021!M161</f>
        <v>4407</v>
      </c>
      <c r="N161" s="289">
        <f>+K0kommunestruktur2021!N161</f>
        <v>107897</v>
      </c>
      <c r="O161" s="289">
        <f>+K0kommunestruktur2021!O161</f>
        <v>4356</v>
      </c>
      <c r="P161" s="289">
        <f>+K0kommunestruktur2021!P161</f>
        <v>106391</v>
      </c>
      <c r="Q161" s="289">
        <f>+K0kommunestruktur2021!Q161</f>
        <v>4338</v>
      </c>
      <c r="R161" s="289">
        <f>+K0kommunestruktur2021!R161</f>
        <v>121169.05899999999</v>
      </c>
      <c r="S161" s="289">
        <f>VLOOKUP(A161,'K22'!A161:CU516,3)</f>
        <v>4195</v>
      </c>
      <c r="T161" s="289">
        <f>VLOOKUP(A161,'K22'!$A$4:$BV$359,26)</f>
        <v>125084.48275033133</v>
      </c>
      <c r="U161" s="289">
        <f>VLOOKUP(A161,'Bef.fremskr. kommunenivå MMMM'!$A$5:$K$360,8)</f>
        <v>4256</v>
      </c>
      <c r="V161" s="289">
        <f>VLOOKUP(A161,'K23'!$A$4:$BV$359,26)</f>
        <v>119855.71810993973</v>
      </c>
    </row>
    <row r="162" spans="1:22" ht="13">
      <c r="A162" s="755">
        <v>3423</v>
      </c>
      <c r="B162" s="756" t="s">
        <v>837</v>
      </c>
      <c r="C162" s="289">
        <f>+K0kommunestruktur2021!C162</f>
        <v>2699</v>
      </c>
      <c r="D162" s="289">
        <f>+K0kommunestruktur2021!D162</f>
        <v>45450</v>
      </c>
      <c r="E162" s="289">
        <f>+K0kommunestruktur2021!E162</f>
        <v>2619</v>
      </c>
      <c r="F162" s="289">
        <f>+K0kommunestruktur2021!F162</f>
        <v>46804</v>
      </c>
      <c r="G162" s="289">
        <f>+K0kommunestruktur2021!G162</f>
        <v>2600</v>
      </c>
      <c r="H162" s="289">
        <f>+K0kommunestruktur2021!H162</f>
        <v>51442</v>
      </c>
      <c r="I162" s="289">
        <f>+K0kommunestruktur2021!I162</f>
        <v>2530</v>
      </c>
      <c r="J162" s="289">
        <f>+K0kommunestruktur2021!J162</f>
        <v>55098</v>
      </c>
      <c r="K162" s="289">
        <f>+K0kommunestruktur2021!K162</f>
        <v>2490</v>
      </c>
      <c r="L162" s="289">
        <f>+K0kommunestruktur2021!L162</f>
        <v>52624</v>
      </c>
      <c r="M162" s="289">
        <f>+K0kommunestruktur2021!M162</f>
        <v>2459</v>
      </c>
      <c r="N162" s="289">
        <f>+K0kommunestruktur2021!N162</f>
        <v>53442</v>
      </c>
      <c r="O162" s="289">
        <f>+K0kommunestruktur2021!O162</f>
        <v>2419</v>
      </c>
      <c r="P162" s="289">
        <f>+K0kommunestruktur2021!P162</f>
        <v>53832</v>
      </c>
      <c r="Q162" s="289">
        <f>+K0kommunestruktur2021!Q162</f>
        <v>2378</v>
      </c>
      <c r="R162" s="289">
        <f>+K0kommunestruktur2021!R162</f>
        <v>59878.43</v>
      </c>
      <c r="S162" s="289">
        <f>VLOOKUP(A162,'K22'!A162:CU517,3)</f>
        <v>2318</v>
      </c>
      <c r="T162" s="289">
        <f>VLOOKUP(A162,'K22'!$A$4:$BV$359,26)</f>
        <v>64329.186664889639</v>
      </c>
      <c r="U162" s="289">
        <f>VLOOKUP(A162,'Bef.fremskr. kommunenivå MMMM'!$A$5:$K$360,8)</f>
        <v>2319</v>
      </c>
      <c r="V162" s="289">
        <f>VLOOKUP(A162,'K23'!$A$4:$BV$359,26)</f>
        <v>58933.389798056291</v>
      </c>
    </row>
    <row r="163" spans="1:22" ht="13">
      <c r="A163" s="755">
        <v>3424</v>
      </c>
      <c r="B163" s="756" t="s">
        <v>838</v>
      </c>
      <c r="C163" s="289">
        <f>+K0kommunestruktur2021!C163</f>
        <v>1883</v>
      </c>
      <c r="D163" s="289">
        <f>+K0kommunestruktur2021!D163</f>
        <v>37165</v>
      </c>
      <c r="E163" s="289">
        <f>+K0kommunestruktur2021!E163</f>
        <v>1885</v>
      </c>
      <c r="F163" s="289">
        <f>+K0kommunestruktur2021!F163</f>
        <v>39705</v>
      </c>
      <c r="G163" s="289">
        <f>+K0kommunestruktur2021!G163</f>
        <v>1881</v>
      </c>
      <c r="H163" s="289">
        <f>+K0kommunestruktur2021!H163</f>
        <v>41109</v>
      </c>
      <c r="I163" s="289">
        <f>+K0kommunestruktur2021!I163</f>
        <v>1858</v>
      </c>
      <c r="J163" s="289">
        <f>+K0kommunestruktur2021!J163</f>
        <v>41486</v>
      </c>
      <c r="K163" s="289">
        <f>+K0kommunestruktur2021!K163</f>
        <v>1827</v>
      </c>
      <c r="L163" s="289">
        <f>+K0kommunestruktur2021!L163</f>
        <v>42432</v>
      </c>
      <c r="M163" s="289">
        <f>+K0kommunestruktur2021!M163</f>
        <v>1791</v>
      </c>
      <c r="N163" s="289">
        <f>+K0kommunestruktur2021!N163</f>
        <v>42521</v>
      </c>
      <c r="O163" s="289">
        <f>+K0kommunestruktur2021!O163</f>
        <v>1780</v>
      </c>
      <c r="P163" s="289">
        <f>+K0kommunestruktur2021!P163</f>
        <v>41561</v>
      </c>
      <c r="Q163" s="289">
        <f>+K0kommunestruktur2021!Q163</f>
        <v>1741</v>
      </c>
      <c r="R163" s="289">
        <f>+K0kommunestruktur2021!R163</f>
        <v>47201.71</v>
      </c>
      <c r="S163" s="289">
        <f>VLOOKUP(A163,'K22'!A163:CU518,3)</f>
        <v>1722</v>
      </c>
      <c r="T163" s="289">
        <f>VLOOKUP(A163,'K22'!$A$4:$BV$359,26)</f>
        <v>49034.324058144579</v>
      </c>
      <c r="U163" s="289">
        <f>VLOOKUP(A163,'Bef.fremskr. kommunenivå MMMM'!$A$5:$K$360,8)</f>
        <v>1728</v>
      </c>
      <c r="V163" s="289">
        <f>VLOOKUP(A163,'K23'!$A$4:$BV$359,26)</f>
        <v>46710.892350868533</v>
      </c>
    </row>
    <row r="164" spans="1:22" ht="13">
      <c r="A164" s="755">
        <v>3425</v>
      </c>
      <c r="B164" s="756" t="s">
        <v>839</v>
      </c>
      <c r="C164" s="289">
        <f>+K0kommunestruktur2021!C164</f>
        <v>1345</v>
      </c>
      <c r="D164" s="289">
        <f>+K0kommunestruktur2021!D164</f>
        <v>21656</v>
      </c>
      <c r="E164" s="289">
        <f>+K0kommunestruktur2021!E164</f>
        <v>1359</v>
      </c>
      <c r="F164" s="289">
        <f>+K0kommunestruktur2021!F164</f>
        <v>23795</v>
      </c>
      <c r="G164" s="289">
        <f>+K0kommunestruktur2021!G164</f>
        <v>1305</v>
      </c>
      <c r="H164" s="289">
        <f>+K0kommunestruktur2021!H164</f>
        <v>24758</v>
      </c>
      <c r="I164" s="289">
        <f>+K0kommunestruktur2021!I164</f>
        <v>1274</v>
      </c>
      <c r="J164" s="289">
        <f>+K0kommunestruktur2021!J164</f>
        <v>26109</v>
      </c>
      <c r="K164" s="289">
        <f>+K0kommunestruktur2021!K164</f>
        <v>1294</v>
      </c>
      <c r="L164" s="289">
        <f>+K0kommunestruktur2021!L164</f>
        <v>27184</v>
      </c>
      <c r="M164" s="289">
        <f>+K0kommunestruktur2021!M164</f>
        <v>1286</v>
      </c>
      <c r="N164" s="289">
        <f>+K0kommunestruktur2021!N164</f>
        <v>29586</v>
      </c>
      <c r="O164" s="289">
        <f>+K0kommunestruktur2021!O164</f>
        <v>1268</v>
      </c>
      <c r="P164" s="289">
        <f>+K0kommunestruktur2021!P164</f>
        <v>28030</v>
      </c>
      <c r="Q164" s="289">
        <f>+K0kommunestruktur2021!Q164</f>
        <v>1250</v>
      </c>
      <c r="R164" s="289">
        <f>+K0kommunestruktur2021!R164</f>
        <v>31035.309000000001</v>
      </c>
      <c r="S164" s="289">
        <f>VLOOKUP(A164,'K22'!A164:CU519,3)</f>
        <v>1253</v>
      </c>
      <c r="T164" s="289">
        <f>VLOOKUP(A164,'K22'!$A$4:$BV$359,26)</f>
        <v>34329.711984352209</v>
      </c>
      <c r="U164" s="289">
        <f>VLOOKUP(A164,'Bef.fremskr. kommunenivå MMMM'!$A$5:$K$360,8)</f>
        <v>1258</v>
      </c>
      <c r="V164" s="289">
        <f>VLOOKUP(A164,'K23'!$A$4:$BV$359,26)</f>
        <v>32395.648876633768</v>
      </c>
    </row>
    <row r="165" spans="1:22" ht="13">
      <c r="A165" s="755">
        <v>3426</v>
      </c>
      <c r="B165" s="756" t="s">
        <v>840</v>
      </c>
      <c r="C165" s="289">
        <f>+K0kommunestruktur2021!C165</f>
        <v>1658</v>
      </c>
      <c r="D165" s="289">
        <f>+K0kommunestruktur2021!D165</f>
        <v>27453</v>
      </c>
      <c r="E165" s="289">
        <f>+K0kommunestruktur2021!E165</f>
        <v>1656</v>
      </c>
      <c r="F165" s="289">
        <f>+K0kommunestruktur2021!F165</f>
        <v>27218</v>
      </c>
      <c r="G165" s="289">
        <f>+K0kommunestruktur2021!G165</f>
        <v>1620</v>
      </c>
      <c r="H165" s="289">
        <f>+K0kommunestruktur2021!H165</f>
        <v>30445</v>
      </c>
      <c r="I165" s="289">
        <f>+K0kommunestruktur2021!I165</f>
        <v>1620</v>
      </c>
      <c r="J165" s="289">
        <f>+K0kommunestruktur2021!J165</f>
        <v>29844</v>
      </c>
      <c r="K165" s="289">
        <f>+K0kommunestruktur2021!K165</f>
        <v>1553</v>
      </c>
      <c r="L165" s="289">
        <f>+K0kommunestruktur2021!L165</f>
        <v>29834</v>
      </c>
      <c r="M165" s="289">
        <f>+K0kommunestruktur2021!M165</f>
        <v>1551</v>
      </c>
      <c r="N165" s="289">
        <f>+K0kommunestruktur2021!N165</f>
        <v>31981</v>
      </c>
      <c r="O165" s="289">
        <f>+K0kommunestruktur2021!O165</f>
        <v>1562</v>
      </c>
      <c r="P165" s="289">
        <f>+K0kommunestruktur2021!P165</f>
        <v>32457</v>
      </c>
      <c r="Q165" s="289">
        <f>+K0kommunestruktur2021!Q165</f>
        <v>1563</v>
      </c>
      <c r="R165" s="289">
        <f>+K0kommunestruktur2021!R165</f>
        <v>36633.373</v>
      </c>
      <c r="S165" s="289">
        <f>VLOOKUP(A165,'K22'!A165:CU520,3)</f>
        <v>1551</v>
      </c>
      <c r="T165" s="289">
        <f>VLOOKUP(A165,'K22'!$A$4:$BV$359,26)</f>
        <v>39327.368964781286</v>
      </c>
      <c r="U165" s="289">
        <f>VLOOKUP(A165,'Bef.fremskr. kommunenivå MMMM'!$A$5:$K$360,8)</f>
        <v>1548</v>
      </c>
      <c r="V165" s="289">
        <f>VLOOKUP(A165,'K23'!$A$4:$BV$359,26)</f>
        <v>36926.628432652695</v>
      </c>
    </row>
    <row r="166" spans="1:22" ht="13">
      <c r="A166" s="755">
        <v>3427</v>
      </c>
      <c r="B166" s="756" t="s">
        <v>841</v>
      </c>
      <c r="C166" s="289">
        <f>+K0kommunestruktur2021!C166</f>
        <v>5549</v>
      </c>
      <c r="D166" s="289">
        <f>+K0kommunestruktur2021!D166</f>
        <v>107680</v>
      </c>
      <c r="E166" s="289">
        <f>+K0kommunestruktur2021!E166</f>
        <v>5562</v>
      </c>
      <c r="F166" s="289">
        <f>+K0kommunestruktur2021!F166</f>
        <v>113932</v>
      </c>
      <c r="G166" s="289">
        <f>+K0kommunestruktur2021!G166</f>
        <v>5580</v>
      </c>
      <c r="H166" s="289">
        <f>+K0kommunestruktur2021!H166</f>
        <v>122027</v>
      </c>
      <c r="I166" s="289">
        <f>+K0kommunestruktur2021!I166</f>
        <v>5584</v>
      </c>
      <c r="J166" s="289">
        <f>+K0kommunestruktur2021!J166</f>
        <v>130470</v>
      </c>
      <c r="K166" s="289">
        <f>+K0kommunestruktur2021!K166</f>
        <v>5605</v>
      </c>
      <c r="L166" s="289">
        <f>+K0kommunestruktur2021!L166</f>
        <v>136219</v>
      </c>
      <c r="M166" s="289">
        <f>+K0kommunestruktur2021!M166</f>
        <v>5591</v>
      </c>
      <c r="N166" s="289">
        <f>+K0kommunestruktur2021!N166</f>
        <v>138237</v>
      </c>
      <c r="O166" s="289">
        <f>+K0kommunestruktur2021!O166</f>
        <v>5578</v>
      </c>
      <c r="P166" s="289">
        <f>+K0kommunestruktur2021!P166</f>
        <v>140883</v>
      </c>
      <c r="Q166" s="289">
        <f>+K0kommunestruktur2021!Q166</f>
        <v>5537</v>
      </c>
      <c r="R166" s="289">
        <f>+K0kommunestruktur2021!R166</f>
        <v>157024.72899999999</v>
      </c>
      <c r="S166" s="289">
        <f>VLOOKUP(A166,'K22'!A166:CU521,3)</f>
        <v>5581</v>
      </c>
      <c r="T166" s="289">
        <f>VLOOKUP(A166,'K22'!$A$4:$BV$359,26)</f>
        <v>171566.54555409704</v>
      </c>
      <c r="U166" s="289">
        <f>VLOOKUP(A166,'Bef.fremskr. kommunenivå MMMM'!$A$5:$K$360,8)</f>
        <v>5586</v>
      </c>
      <c r="V166" s="289">
        <f>VLOOKUP(A166,'K23'!$A$4:$BV$359,26)</f>
        <v>160604.92275564163</v>
      </c>
    </row>
    <row r="167" spans="1:22" ht="13">
      <c r="A167" s="755">
        <v>3428</v>
      </c>
      <c r="B167" s="756" t="s">
        <v>842</v>
      </c>
      <c r="C167" s="289">
        <f>+K0kommunestruktur2021!C167</f>
        <v>2432</v>
      </c>
      <c r="D167" s="289">
        <f>+K0kommunestruktur2021!D167</f>
        <v>48352</v>
      </c>
      <c r="E167" s="289">
        <f>+K0kommunestruktur2021!E167</f>
        <v>2418</v>
      </c>
      <c r="F167" s="289">
        <f>+K0kommunestruktur2021!F167</f>
        <v>49066</v>
      </c>
      <c r="G167" s="289">
        <f>+K0kommunestruktur2021!G167</f>
        <v>2426</v>
      </c>
      <c r="H167" s="289">
        <f>+K0kommunestruktur2021!H167</f>
        <v>52913</v>
      </c>
      <c r="I167" s="289">
        <f>+K0kommunestruktur2021!I167</f>
        <v>2441</v>
      </c>
      <c r="J167" s="289">
        <f>+K0kommunestruktur2021!J167</f>
        <v>59525</v>
      </c>
      <c r="K167" s="289">
        <f>+K0kommunestruktur2021!K167</f>
        <v>2424</v>
      </c>
      <c r="L167" s="289">
        <f>+K0kommunestruktur2021!L167</f>
        <v>59910</v>
      </c>
      <c r="M167" s="289">
        <f>+K0kommunestruktur2021!M167</f>
        <v>2418</v>
      </c>
      <c r="N167" s="289">
        <f>+K0kommunestruktur2021!N167</f>
        <v>59219</v>
      </c>
      <c r="O167" s="289">
        <f>+K0kommunestruktur2021!O167</f>
        <v>2432</v>
      </c>
      <c r="P167" s="289">
        <f>+K0kommunestruktur2021!P167</f>
        <v>59798</v>
      </c>
      <c r="Q167" s="289">
        <f>+K0kommunestruktur2021!Q167</f>
        <v>2405</v>
      </c>
      <c r="R167" s="289">
        <f>+K0kommunestruktur2021!R167</f>
        <v>69419.739000000001</v>
      </c>
      <c r="S167" s="289">
        <f>VLOOKUP(A167,'K22'!A167:CU522,3)</f>
        <v>2445</v>
      </c>
      <c r="T167" s="289">
        <f>VLOOKUP(A167,'K22'!$A$4:$BV$359,26)</f>
        <v>74779.524691692568</v>
      </c>
      <c r="U167" s="289">
        <f>VLOOKUP(A167,'Bef.fremskr. kommunenivå MMMM'!$A$5:$K$360,8)</f>
        <v>2449</v>
      </c>
      <c r="V167" s="289">
        <f>VLOOKUP(A167,'K23'!$A$4:$BV$359,26)</f>
        <v>69738.279576532383</v>
      </c>
    </row>
    <row r="168" spans="1:22" ht="13">
      <c r="A168" s="755">
        <v>3429</v>
      </c>
      <c r="B168" s="756" t="s">
        <v>843</v>
      </c>
      <c r="C168" s="289">
        <f>+K0kommunestruktur2021!C168</f>
        <v>1631</v>
      </c>
      <c r="D168" s="289">
        <f>+K0kommunestruktur2021!D168</f>
        <v>28026</v>
      </c>
      <c r="E168" s="289">
        <f>+K0kommunestruktur2021!E168</f>
        <v>1597</v>
      </c>
      <c r="F168" s="289">
        <f>+K0kommunestruktur2021!F168</f>
        <v>29300</v>
      </c>
      <c r="G168" s="289">
        <f>+K0kommunestruktur2021!G168</f>
        <v>1592</v>
      </c>
      <c r="H168" s="289">
        <f>+K0kommunestruktur2021!H168</f>
        <v>31621</v>
      </c>
      <c r="I168" s="289">
        <f>+K0kommunestruktur2021!I168</f>
        <v>1577</v>
      </c>
      <c r="J168" s="289">
        <f>+K0kommunestruktur2021!J168</f>
        <v>31809</v>
      </c>
      <c r="K168" s="289">
        <f>+K0kommunestruktur2021!K168</f>
        <v>1569</v>
      </c>
      <c r="L168" s="289">
        <f>+K0kommunestruktur2021!L168</f>
        <v>32557</v>
      </c>
      <c r="M168" s="289">
        <f>+K0kommunestruktur2021!M168</f>
        <v>1577</v>
      </c>
      <c r="N168" s="289">
        <f>+K0kommunestruktur2021!N168</f>
        <v>35614</v>
      </c>
      <c r="O168" s="289">
        <f>+K0kommunestruktur2021!O168</f>
        <v>1545</v>
      </c>
      <c r="P168" s="289">
        <f>+K0kommunestruktur2021!P168</f>
        <v>35491</v>
      </c>
      <c r="Q168" s="289">
        <f>+K0kommunestruktur2021!Q168</f>
        <v>1518</v>
      </c>
      <c r="R168" s="289">
        <f>+K0kommunestruktur2021!R168</f>
        <v>38539.900999999998</v>
      </c>
      <c r="S168" s="289">
        <f>VLOOKUP(A168,'K22'!A168:CU523,3)</f>
        <v>1530</v>
      </c>
      <c r="T168" s="289">
        <f>VLOOKUP(A168,'K22'!$A$4:$BV$359,26)</f>
        <v>43336.656285180288</v>
      </c>
      <c r="U168" s="289">
        <f>VLOOKUP(A168,'Bef.fremskr. kommunenivå MMMM'!$A$5:$K$360,8)</f>
        <v>1534</v>
      </c>
      <c r="V168" s="289">
        <f>VLOOKUP(A168,'K23'!$A$4:$BV$359,26)</f>
        <v>39976.135093176068</v>
      </c>
    </row>
    <row r="169" spans="1:22" ht="13">
      <c r="A169" s="755">
        <v>3430</v>
      </c>
      <c r="B169" s="756" t="s">
        <v>844</v>
      </c>
      <c r="C169" s="289">
        <f>+K0kommunestruktur2021!C169</f>
        <v>2013</v>
      </c>
      <c r="D169" s="289">
        <f>+K0kommunestruktur2021!D169</f>
        <v>35911</v>
      </c>
      <c r="E169" s="289">
        <f>+K0kommunestruktur2021!E169</f>
        <v>1991</v>
      </c>
      <c r="F169" s="289">
        <f>+K0kommunestruktur2021!F169</f>
        <v>38018</v>
      </c>
      <c r="G169" s="289">
        <f>+K0kommunestruktur2021!G169</f>
        <v>1956</v>
      </c>
      <c r="H169" s="289">
        <f>+K0kommunestruktur2021!H169</f>
        <v>40273</v>
      </c>
      <c r="I169" s="289">
        <f>+K0kommunestruktur2021!I169</f>
        <v>1963</v>
      </c>
      <c r="J169" s="289">
        <f>+K0kommunestruktur2021!J169</f>
        <v>40847</v>
      </c>
      <c r="K169" s="289">
        <f>+K0kommunestruktur2021!K169</f>
        <v>1936</v>
      </c>
      <c r="L169" s="289">
        <f>+K0kommunestruktur2021!L169</f>
        <v>42580</v>
      </c>
      <c r="M169" s="289">
        <f>+K0kommunestruktur2021!M169</f>
        <v>1912</v>
      </c>
      <c r="N169" s="289">
        <f>+K0kommunestruktur2021!N169</f>
        <v>46734</v>
      </c>
      <c r="O169" s="289">
        <f>+K0kommunestruktur2021!O169</f>
        <v>1891</v>
      </c>
      <c r="P169" s="289">
        <f>+K0kommunestruktur2021!P169</f>
        <v>68420</v>
      </c>
      <c r="Q169" s="289">
        <f>+K0kommunestruktur2021!Q169</f>
        <v>1870</v>
      </c>
      <c r="R169" s="289">
        <f>+K0kommunestruktur2021!R169</f>
        <v>58126.245999999999</v>
      </c>
      <c r="S169" s="289">
        <f>VLOOKUP(A169,'K22'!A169:CU524,3)</f>
        <v>1855</v>
      </c>
      <c r="T169" s="289">
        <f>VLOOKUP(A169,'K22'!$A$4:$BV$359,26)</f>
        <v>67299.252906402049</v>
      </c>
      <c r="U169" s="289">
        <f>VLOOKUP(A169,'Bef.fremskr. kommunenivå MMMM'!$A$5:$K$360,8)</f>
        <v>1836</v>
      </c>
      <c r="V169" s="289">
        <f>VLOOKUP(A169,'K23'!$A$4:$BV$359,26)</f>
        <v>62196.359816701734</v>
      </c>
    </row>
    <row r="170" spans="1:22" ht="13">
      <c r="A170" s="755">
        <v>3431</v>
      </c>
      <c r="B170" s="756" t="s">
        <v>847</v>
      </c>
      <c r="C170" s="289">
        <f>+K0kommunestruktur2021!C170</f>
        <v>2704</v>
      </c>
      <c r="D170" s="289">
        <f>+K0kommunestruktur2021!D170</f>
        <v>50086</v>
      </c>
      <c r="E170" s="289">
        <f>+K0kommunestruktur2021!E170</f>
        <v>2745</v>
      </c>
      <c r="F170" s="289">
        <f>+K0kommunestruktur2021!F170</f>
        <v>54394</v>
      </c>
      <c r="G170" s="289">
        <f>+K0kommunestruktur2021!G170</f>
        <v>2701</v>
      </c>
      <c r="H170" s="289">
        <f>+K0kommunestruktur2021!H170</f>
        <v>59477</v>
      </c>
      <c r="I170" s="289">
        <f>+K0kommunestruktur2021!I170</f>
        <v>2675</v>
      </c>
      <c r="J170" s="289">
        <f>+K0kommunestruktur2021!J170</f>
        <v>58760</v>
      </c>
      <c r="K170" s="289">
        <f>+K0kommunestruktur2021!K170</f>
        <v>2642</v>
      </c>
      <c r="L170" s="289">
        <f>+K0kommunestruktur2021!L170</f>
        <v>61104</v>
      </c>
      <c r="M170" s="289">
        <f>+K0kommunestruktur2021!M170</f>
        <v>2615</v>
      </c>
      <c r="N170" s="289">
        <f>+K0kommunestruktur2021!N170</f>
        <v>62336</v>
      </c>
      <c r="O170" s="289">
        <f>+K0kommunestruktur2021!O170</f>
        <v>2553</v>
      </c>
      <c r="P170" s="289">
        <f>+K0kommunestruktur2021!P170</f>
        <v>58865</v>
      </c>
      <c r="Q170" s="289">
        <f>+K0kommunestruktur2021!Q170</f>
        <v>2512</v>
      </c>
      <c r="R170" s="289">
        <f>+K0kommunestruktur2021!R170</f>
        <v>65512.31</v>
      </c>
      <c r="S170" s="289">
        <f>VLOOKUP(A170,'K22'!A170:CU525,3)</f>
        <v>2498</v>
      </c>
      <c r="T170" s="289">
        <f>VLOOKUP(A170,'K22'!$A$4:$BV$359,26)</f>
        <v>71688.528951443135</v>
      </c>
      <c r="U170" s="289">
        <f>VLOOKUP(A170,'Bef.fremskr. kommunenivå MMMM'!$A$5:$K$360,8)</f>
        <v>2483</v>
      </c>
      <c r="V170" s="289">
        <f>VLOOKUP(A170,'K23'!$A$4:$BV$359,26)</f>
        <v>66694.049804484908</v>
      </c>
    </row>
    <row r="171" spans="1:22" ht="13">
      <c r="A171" s="755">
        <v>3432</v>
      </c>
      <c r="B171" s="756" t="s">
        <v>848</v>
      </c>
      <c r="C171" s="289">
        <f>+K0kommunestruktur2021!C171</f>
        <v>2076</v>
      </c>
      <c r="D171" s="289">
        <f>+K0kommunestruktur2021!D171</f>
        <v>38506</v>
      </c>
      <c r="E171" s="289">
        <f>+K0kommunestruktur2021!E171</f>
        <v>2059</v>
      </c>
      <c r="F171" s="289">
        <f>+K0kommunestruktur2021!F171</f>
        <v>41423</v>
      </c>
      <c r="G171" s="289">
        <f>+K0kommunestruktur2021!G171</f>
        <v>2055</v>
      </c>
      <c r="H171" s="289">
        <f>+K0kommunestruktur2021!H171</f>
        <v>46978</v>
      </c>
      <c r="I171" s="289">
        <f>+K0kommunestruktur2021!I171</f>
        <v>2048</v>
      </c>
      <c r="J171" s="289">
        <f>+K0kommunestruktur2021!J171</f>
        <v>48600</v>
      </c>
      <c r="K171" s="289">
        <f>+K0kommunestruktur2021!K171</f>
        <v>2038</v>
      </c>
      <c r="L171" s="289">
        <f>+K0kommunestruktur2021!L171</f>
        <v>49147</v>
      </c>
      <c r="M171" s="289">
        <f>+K0kommunestruktur2021!M171</f>
        <v>2009</v>
      </c>
      <c r="N171" s="289">
        <f>+K0kommunestruktur2021!N171</f>
        <v>49891</v>
      </c>
      <c r="O171" s="289">
        <f>+K0kommunestruktur2021!O171</f>
        <v>1975</v>
      </c>
      <c r="P171" s="289">
        <f>+K0kommunestruktur2021!P171</f>
        <v>48613</v>
      </c>
      <c r="Q171" s="289">
        <f>+K0kommunestruktur2021!Q171</f>
        <v>1980</v>
      </c>
      <c r="R171" s="289">
        <f>+K0kommunestruktur2021!R171</f>
        <v>52668.099000000002</v>
      </c>
      <c r="S171" s="289">
        <f>VLOOKUP(A171,'K22'!A171:CU526,3)</f>
        <v>1986</v>
      </c>
      <c r="T171" s="289">
        <f>VLOOKUP(A171,'K22'!$A$4:$BV$359,26)</f>
        <v>59186.780391926637</v>
      </c>
      <c r="U171" s="289">
        <f>VLOOKUP(A171,'Bef.fremskr. kommunenivå MMMM'!$A$5:$K$360,8)</f>
        <v>1965</v>
      </c>
      <c r="V171" s="289">
        <f>VLOOKUP(A171,'K23'!$A$4:$BV$359,26)</f>
        <v>54918.664346500984</v>
      </c>
    </row>
    <row r="172" spans="1:22" ht="13">
      <c r="A172" s="755">
        <v>3433</v>
      </c>
      <c r="B172" s="756" t="s">
        <v>849</v>
      </c>
      <c r="C172" s="289">
        <f>+K0kommunestruktur2021!C172</f>
        <v>2264</v>
      </c>
      <c r="D172" s="289">
        <f>+K0kommunestruktur2021!D172</f>
        <v>54288</v>
      </c>
      <c r="E172" s="289">
        <f>+K0kommunestruktur2021!E172</f>
        <v>2245</v>
      </c>
      <c r="F172" s="289">
        <f>+K0kommunestruktur2021!F172</f>
        <v>57843</v>
      </c>
      <c r="G172" s="289">
        <f>+K0kommunestruktur2021!G172</f>
        <v>2204</v>
      </c>
      <c r="H172" s="289">
        <f>+K0kommunestruktur2021!H172</f>
        <v>56347</v>
      </c>
      <c r="I172" s="289">
        <f>+K0kommunestruktur2021!I172</f>
        <v>2202</v>
      </c>
      <c r="J172" s="289">
        <f>+K0kommunestruktur2021!J172</f>
        <v>57765</v>
      </c>
      <c r="K172" s="289">
        <f>+K0kommunestruktur2021!K172</f>
        <v>2179</v>
      </c>
      <c r="L172" s="289">
        <f>+K0kommunestruktur2021!L172</f>
        <v>59712</v>
      </c>
      <c r="M172" s="289">
        <f>+K0kommunestruktur2021!M172</f>
        <v>2204</v>
      </c>
      <c r="N172" s="289">
        <f>+K0kommunestruktur2021!N172</f>
        <v>61022</v>
      </c>
      <c r="O172" s="289">
        <f>+K0kommunestruktur2021!O172</f>
        <v>2197</v>
      </c>
      <c r="P172" s="289">
        <f>+K0kommunestruktur2021!P172</f>
        <v>62348</v>
      </c>
      <c r="Q172" s="289">
        <f>+K0kommunestruktur2021!Q172</f>
        <v>2183</v>
      </c>
      <c r="R172" s="289">
        <f>+K0kommunestruktur2021!R172</f>
        <v>67408.353000000003</v>
      </c>
      <c r="S172" s="289">
        <f>VLOOKUP(A172,'K22'!A172:CU527,3)</f>
        <v>2151</v>
      </c>
      <c r="T172" s="289">
        <f>VLOOKUP(A172,'K22'!$A$4:$BV$359,26)</f>
        <v>71779.66540455744</v>
      </c>
      <c r="U172" s="289">
        <f>VLOOKUP(A172,'Bef.fremskr. kommunenivå MMMM'!$A$5:$K$360,8)</f>
        <v>2125</v>
      </c>
      <c r="V172" s="289">
        <f>VLOOKUP(A172,'K23'!$A$4:$BV$359,26)</f>
        <v>67167.740513942801</v>
      </c>
    </row>
    <row r="173" spans="1:22" ht="13">
      <c r="A173" s="755">
        <v>3434</v>
      </c>
      <c r="B173" s="756" t="s">
        <v>850</v>
      </c>
      <c r="C173" s="289">
        <f>+K0kommunestruktur2021!C173</f>
        <v>2361</v>
      </c>
      <c r="D173" s="289">
        <f>+K0kommunestruktur2021!D173</f>
        <v>45505</v>
      </c>
      <c r="E173" s="289">
        <f>+K0kommunestruktur2021!E173</f>
        <v>2356</v>
      </c>
      <c r="F173" s="289">
        <f>+K0kommunestruktur2021!F173</f>
        <v>48209</v>
      </c>
      <c r="G173" s="289">
        <f>+K0kommunestruktur2021!G173</f>
        <v>2347</v>
      </c>
      <c r="H173" s="289">
        <f>+K0kommunestruktur2021!H173</f>
        <v>50742</v>
      </c>
      <c r="I173" s="289">
        <f>+K0kommunestruktur2021!I173</f>
        <v>2360</v>
      </c>
      <c r="J173" s="289">
        <f>+K0kommunestruktur2021!J173</f>
        <v>52717</v>
      </c>
      <c r="K173" s="289">
        <f>+K0kommunestruktur2021!K173</f>
        <v>2331</v>
      </c>
      <c r="L173" s="289">
        <f>+K0kommunestruktur2021!L173</f>
        <v>53712</v>
      </c>
      <c r="M173" s="289">
        <f>+K0kommunestruktur2021!M173</f>
        <v>2293</v>
      </c>
      <c r="N173" s="289">
        <f>+K0kommunestruktur2021!N173</f>
        <v>55282</v>
      </c>
      <c r="O173" s="289">
        <f>+K0kommunestruktur2021!O173</f>
        <v>2228</v>
      </c>
      <c r="P173" s="289">
        <f>+K0kommunestruktur2021!P173</f>
        <v>53756</v>
      </c>
      <c r="Q173" s="289">
        <f>+K0kommunestruktur2021!Q173</f>
        <v>2204</v>
      </c>
      <c r="R173" s="289">
        <f>+K0kommunestruktur2021!R173</f>
        <v>59656.925999999999</v>
      </c>
      <c r="S173" s="289">
        <f>VLOOKUP(A173,'K22'!A173:CU528,3)</f>
        <v>2211</v>
      </c>
      <c r="T173" s="289">
        <f>VLOOKUP(A173,'K22'!$A$4:$BV$359,26)</f>
        <v>64186.412316734808</v>
      </c>
      <c r="U173" s="289">
        <f>VLOOKUP(A173,'Bef.fremskr. kommunenivå MMMM'!$A$5:$K$360,8)</f>
        <v>2186</v>
      </c>
      <c r="V173" s="289">
        <f>VLOOKUP(A173,'K23'!$A$4:$BV$359,26)</f>
        <v>60417.319249286047</v>
      </c>
    </row>
    <row r="174" spans="1:22" ht="13">
      <c r="A174" s="755">
        <v>3435</v>
      </c>
      <c r="B174" s="756" t="s">
        <v>851</v>
      </c>
      <c r="C174" s="289">
        <f>+K0kommunestruktur2021!C174</f>
        <v>3686</v>
      </c>
      <c r="D174" s="289">
        <f>+K0kommunestruktur2021!D174</f>
        <v>67094</v>
      </c>
      <c r="E174" s="289">
        <f>+K0kommunestruktur2021!E174</f>
        <v>3675</v>
      </c>
      <c r="F174" s="289">
        <f>+K0kommunestruktur2021!F174</f>
        <v>69739</v>
      </c>
      <c r="G174" s="289">
        <f>+K0kommunestruktur2021!G174</f>
        <v>3664</v>
      </c>
      <c r="H174" s="289">
        <f>+K0kommunestruktur2021!H174</f>
        <v>75013</v>
      </c>
      <c r="I174" s="289">
        <f>+K0kommunestruktur2021!I174</f>
        <v>3640</v>
      </c>
      <c r="J174" s="289">
        <f>+K0kommunestruktur2021!J174</f>
        <v>75847</v>
      </c>
      <c r="K174" s="289">
        <f>+K0kommunestruktur2021!K174</f>
        <v>3638</v>
      </c>
      <c r="L174" s="289">
        <f>+K0kommunestruktur2021!L174</f>
        <v>88200</v>
      </c>
      <c r="M174" s="289">
        <f>+K0kommunestruktur2021!M174</f>
        <v>3589</v>
      </c>
      <c r="N174" s="289">
        <f>+K0kommunestruktur2021!N174</f>
        <v>89927</v>
      </c>
      <c r="O174" s="289">
        <f>+K0kommunestruktur2021!O174</f>
        <v>3570</v>
      </c>
      <c r="P174" s="289">
        <f>+K0kommunestruktur2021!P174</f>
        <v>85608</v>
      </c>
      <c r="Q174" s="289">
        <f>+K0kommunestruktur2021!Q174</f>
        <v>3564</v>
      </c>
      <c r="R174" s="289">
        <f>+K0kommunestruktur2021!R174</f>
        <v>94632.794999999998</v>
      </c>
      <c r="S174" s="289">
        <f>VLOOKUP(A174,'K22'!A174:CU529,3)</f>
        <v>3591</v>
      </c>
      <c r="T174" s="289">
        <f>VLOOKUP(A174,'K22'!$A$4:$BV$359,26)</f>
        <v>105654.7417666681</v>
      </c>
      <c r="U174" s="289">
        <f>VLOOKUP(A174,'Bef.fremskr. kommunenivå MMMM'!$A$5:$K$360,8)</f>
        <v>3565</v>
      </c>
      <c r="V174" s="289">
        <f>VLOOKUP(A174,'K23'!$A$4:$BV$359,26)</f>
        <v>98928.123028813148</v>
      </c>
    </row>
    <row r="175" spans="1:22" ht="13">
      <c r="A175" s="755">
        <v>3436</v>
      </c>
      <c r="B175" s="756" t="s">
        <v>852</v>
      </c>
      <c r="C175" s="289">
        <f>+K0kommunestruktur2021!C175</f>
        <v>5765</v>
      </c>
      <c r="D175" s="289">
        <f>+K0kommunestruktur2021!D175</f>
        <v>135027</v>
      </c>
      <c r="E175" s="289">
        <f>+K0kommunestruktur2021!E175</f>
        <v>5754</v>
      </c>
      <c r="F175" s="289">
        <f>+K0kommunestruktur2021!F175</f>
        <v>147197</v>
      </c>
      <c r="G175" s="289">
        <f>+K0kommunestruktur2021!G175</f>
        <v>5741</v>
      </c>
      <c r="H175" s="289">
        <f>+K0kommunestruktur2021!H175</f>
        <v>156680</v>
      </c>
      <c r="I175" s="289">
        <f>+K0kommunestruktur2021!I175</f>
        <v>5723</v>
      </c>
      <c r="J175" s="289">
        <f>+K0kommunestruktur2021!J175</f>
        <v>157240</v>
      </c>
      <c r="K175" s="289">
        <f>+K0kommunestruktur2021!K175</f>
        <v>5728</v>
      </c>
      <c r="L175" s="289">
        <f>+K0kommunestruktur2021!L175</f>
        <v>163384</v>
      </c>
      <c r="M175" s="289">
        <f>+K0kommunestruktur2021!M175</f>
        <v>5742</v>
      </c>
      <c r="N175" s="289">
        <f>+K0kommunestruktur2021!N175</f>
        <v>163393</v>
      </c>
      <c r="O175" s="289">
        <f>+K0kommunestruktur2021!O175</f>
        <v>5723</v>
      </c>
      <c r="P175" s="289">
        <f>+K0kommunestruktur2021!P175</f>
        <v>161716</v>
      </c>
      <c r="Q175" s="289">
        <f>+K0kommunestruktur2021!Q175</f>
        <v>5705</v>
      </c>
      <c r="R175" s="289">
        <f>+K0kommunestruktur2021!R175</f>
        <v>176175.57399999999</v>
      </c>
      <c r="S175" s="289">
        <f>VLOOKUP(A175,'K22'!A175:CU530,3)</f>
        <v>5628</v>
      </c>
      <c r="T175" s="289">
        <f>VLOOKUP(A175,'K22'!$A$4:$BV$359,26)</f>
        <v>195336.12909134358</v>
      </c>
      <c r="U175" s="289">
        <f>VLOOKUP(A175,'Bef.fremskr. kommunenivå MMMM'!$A$5:$K$360,8)</f>
        <v>5600</v>
      </c>
      <c r="V175" s="289">
        <f>VLOOKUP(A175,'K23'!$A$4:$BV$359,26)</f>
        <v>179159.9685417343</v>
      </c>
    </row>
    <row r="176" spans="1:22" ht="13">
      <c r="A176" s="755">
        <v>3437</v>
      </c>
      <c r="B176" s="756" t="s">
        <v>853</v>
      </c>
      <c r="C176" s="289">
        <f>+K0kommunestruktur2021!C176</f>
        <v>5974</v>
      </c>
      <c r="D176" s="289">
        <f>+K0kommunestruktur2021!D176</f>
        <v>99876</v>
      </c>
      <c r="E176" s="289">
        <f>+K0kommunestruktur2021!E176</f>
        <v>5965</v>
      </c>
      <c r="F176" s="289">
        <f>+K0kommunestruktur2021!F176</f>
        <v>106162</v>
      </c>
      <c r="G176" s="289">
        <f>+K0kommunestruktur2021!G176</f>
        <v>5935</v>
      </c>
      <c r="H176" s="289">
        <f>+K0kommunestruktur2021!H176</f>
        <v>113135</v>
      </c>
      <c r="I176" s="289">
        <f>+K0kommunestruktur2021!I176</f>
        <v>5916</v>
      </c>
      <c r="J176" s="289">
        <f>+K0kommunestruktur2021!J176</f>
        <v>115631</v>
      </c>
      <c r="K176" s="289">
        <f>+K0kommunestruktur2021!K176</f>
        <v>5872</v>
      </c>
      <c r="L176" s="289">
        <f>+K0kommunestruktur2021!L176</f>
        <v>120218</v>
      </c>
      <c r="M176" s="289">
        <f>+K0kommunestruktur2021!M176</f>
        <v>5789</v>
      </c>
      <c r="N176" s="289">
        <f>+K0kommunestruktur2021!N176</f>
        <v>121998</v>
      </c>
      <c r="O176" s="289">
        <f>+K0kommunestruktur2021!O176</f>
        <v>5739</v>
      </c>
      <c r="P176" s="289">
        <f>+K0kommunestruktur2021!P176</f>
        <v>121296</v>
      </c>
      <c r="Q176" s="289">
        <f>+K0kommunestruktur2021!Q176</f>
        <v>5592</v>
      </c>
      <c r="R176" s="289">
        <f>+K0kommunestruktur2021!R176</f>
        <v>138306.56099999999</v>
      </c>
      <c r="S176" s="289">
        <f>VLOOKUP(A176,'K22'!A176:CU531,3)</f>
        <v>5531</v>
      </c>
      <c r="T176" s="289">
        <f>VLOOKUP(A176,'K22'!$A$4:$BV$359,26)</f>
        <v>143663.84231176722</v>
      </c>
      <c r="U176" s="289">
        <f>VLOOKUP(A176,'Bef.fremskr. kommunenivå MMMM'!$A$5:$K$360,8)</f>
        <v>5465</v>
      </c>
      <c r="V176" s="289">
        <f>VLOOKUP(A176,'K23'!$A$4:$BV$359,26)</f>
        <v>134433.02435989139</v>
      </c>
    </row>
    <row r="177" spans="1:22" ht="13">
      <c r="A177" s="755">
        <v>3438</v>
      </c>
      <c r="B177" s="756" t="s">
        <v>854</v>
      </c>
      <c r="C177" s="289">
        <f>+K0kommunestruktur2021!C177</f>
        <v>3191</v>
      </c>
      <c r="D177" s="289">
        <f>+K0kommunestruktur2021!D177</f>
        <v>71560</v>
      </c>
      <c r="E177" s="289">
        <f>+K0kommunestruktur2021!E177</f>
        <v>3204</v>
      </c>
      <c r="F177" s="289">
        <f>+K0kommunestruktur2021!F177</f>
        <v>72836</v>
      </c>
      <c r="G177" s="289">
        <f>+K0kommunestruktur2021!G177</f>
        <v>3154</v>
      </c>
      <c r="H177" s="289">
        <f>+K0kommunestruktur2021!H177</f>
        <v>80249</v>
      </c>
      <c r="I177" s="289">
        <f>+K0kommunestruktur2021!I177</f>
        <v>3163</v>
      </c>
      <c r="J177" s="289">
        <f>+K0kommunestruktur2021!J177</f>
        <v>81548</v>
      </c>
      <c r="K177" s="289">
        <f>+K0kommunestruktur2021!K177</f>
        <v>3146</v>
      </c>
      <c r="L177" s="289">
        <f>+K0kommunestruktur2021!L177</f>
        <v>85416</v>
      </c>
      <c r="M177" s="289">
        <f>+K0kommunestruktur2021!M177</f>
        <v>3127</v>
      </c>
      <c r="N177" s="289">
        <f>+K0kommunestruktur2021!N177</f>
        <v>86652</v>
      </c>
      <c r="O177" s="289">
        <f>+K0kommunestruktur2021!O177</f>
        <v>3119</v>
      </c>
      <c r="P177" s="289">
        <f>+K0kommunestruktur2021!P177</f>
        <v>83331</v>
      </c>
      <c r="Q177" s="289">
        <f>+K0kommunestruktur2021!Q177</f>
        <v>3064</v>
      </c>
      <c r="R177" s="289">
        <f>+K0kommunestruktur2021!R177</f>
        <v>91462.100999999995</v>
      </c>
      <c r="S177" s="289">
        <f>VLOOKUP(A177,'K22'!A177:CU532,3)</f>
        <v>3064</v>
      </c>
      <c r="T177" s="289">
        <f>VLOOKUP(A177,'K22'!$A$4:$BV$359,26)</f>
        <v>102877.75238761633</v>
      </c>
      <c r="U177" s="289">
        <f>VLOOKUP(A177,'Bef.fremskr. kommunenivå MMMM'!$A$5:$K$360,8)</f>
        <v>3068</v>
      </c>
      <c r="V177" s="289">
        <f>VLOOKUP(A177,'K23'!$A$4:$BV$359,26)</f>
        <v>94635.689568996517</v>
      </c>
    </row>
    <row r="178" spans="1:22" ht="13">
      <c r="A178" s="755">
        <v>3439</v>
      </c>
      <c r="B178" s="756" t="s">
        <v>855</v>
      </c>
      <c r="C178" s="289">
        <f>+K0kommunestruktur2021!C178</f>
        <v>4495</v>
      </c>
      <c r="D178" s="289">
        <f>+K0kommunestruktur2021!D178</f>
        <v>88613</v>
      </c>
      <c r="E178" s="289">
        <f>+K0kommunestruktur2021!E178</f>
        <v>4459</v>
      </c>
      <c r="F178" s="289">
        <f>+K0kommunestruktur2021!F178</f>
        <v>96151</v>
      </c>
      <c r="G178" s="289">
        <f>+K0kommunestruktur2021!G178</f>
        <v>4462</v>
      </c>
      <c r="H178" s="289">
        <f>+K0kommunestruktur2021!H178</f>
        <v>103553</v>
      </c>
      <c r="I178" s="289">
        <f>+K0kommunestruktur2021!I178</f>
        <v>4502</v>
      </c>
      <c r="J178" s="289">
        <f>+K0kommunestruktur2021!J178</f>
        <v>106336</v>
      </c>
      <c r="K178" s="289">
        <f>+K0kommunestruktur2021!K178</f>
        <v>4454</v>
      </c>
      <c r="L178" s="289">
        <f>+K0kommunestruktur2021!L178</f>
        <v>110978</v>
      </c>
      <c r="M178" s="289">
        <f>+K0kommunestruktur2021!M178</f>
        <v>4425</v>
      </c>
      <c r="N178" s="289">
        <f>+K0kommunestruktur2021!N178</f>
        <v>118676</v>
      </c>
      <c r="O178" s="289">
        <f>+K0kommunestruktur2021!O178</f>
        <v>4392</v>
      </c>
      <c r="P178" s="289">
        <f>+K0kommunestruktur2021!P178</f>
        <v>121117</v>
      </c>
      <c r="Q178" s="289">
        <f>+K0kommunestruktur2021!Q178</f>
        <v>4408</v>
      </c>
      <c r="R178" s="289">
        <f>+K0kommunestruktur2021!R178</f>
        <v>130433.122</v>
      </c>
      <c r="S178" s="289">
        <f>VLOOKUP(A178,'K22'!A178:CU533,3)</f>
        <v>4385</v>
      </c>
      <c r="T178" s="289">
        <f>VLOOKUP(A178,'K22'!$A$4:$BV$359,26)</f>
        <v>145361.88651834914</v>
      </c>
      <c r="U178" s="289">
        <f>VLOOKUP(A178,'Bef.fremskr. kommunenivå MMMM'!$A$5:$K$360,8)</f>
        <v>4378</v>
      </c>
      <c r="V178" s="289">
        <f>VLOOKUP(A178,'K23'!$A$4:$BV$359,26)</f>
        <v>135454.61855564592</v>
      </c>
    </row>
    <row r="179" spans="1:22" ht="13">
      <c r="A179" s="889">
        <v>3440</v>
      </c>
      <c r="B179" s="890" t="s">
        <v>856</v>
      </c>
      <c r="C179" s="289">
        <f>+C369+C370</f>
        <v>5104.9911643400001</v>
      </c>
      <c r="D179" s="289">
        <f t="shared" ref="D179:R179" si="3">+D369+D370</f>
        <v>116436.92519136588</v>
      </c>
      <c r="E179" s="289">
        <f t="shared" si="3"/>
        <v>5079.9175338699997</v>
      </c>
      <c r="F179" s="289">
        <f t="shared" si="3"/>
        <v>116433.91635578204</v>
      </c>
      <c r="G179" s="289">
        <f t="shared" si="3"/>
        <v>5086.9381504000003</v>
      </c>
      <c r="H179" s="289">
        <f t="shared" si="3"/>
        <v>131704.76025911421</v>
      </c>
      <c r="I179" s="289">
        <f t="shared" si="3"/>
        <v>5096.9676025899998</v>
      </c>
      <c r="J179" s="289">
        <f t="shared" si="3"/>
        <v>140767.37325736263</v>
      </c>
      <c r="K179" s="289">
        <f t="shared" si="3"/>
        <v>5145.1089731000002</v>
      </c>
      <c r="L179" s="289">
        <f t="shared" si="3"/>
        <v>149745.73885724533</v>
      </c>
      <c r="M179" s="289">
        <f t="shared" si="3"/>
        <v>5134.07657569</v>
      </c>
      <c r="N179" s="289">
        <f t="shared" si="3"/>
        <v>156295.9740820087</v>
      </c>
      <c r="O179" s="289">
        <f t="shared" si="3"/>
        <v>5115.0206165299996</v>
      </c>
      <c r="P179" s="289">
        <f t="shared" si="3"/>
        <v>154539.81700365522</v>
      </c>
      <c r="Q179" s="289">
        <f t="shared" si="3"/>
        <v>5108</v>
      </c>
      <c r="R179" s="289">
        <f t="shared" si="3"/>
        <v>172304.13516905557</v>
      </c>
      <c r="S179" s="289">
        <f>VLOOKUP(A179,'K22'!A179:CU534,3)</f>
        <v>5082</v>
      </c>
      <c r="T179" s="289">
        <f>VLOOKUP(A179,'K22'!$A$4:$BV$359,26)</f>
        <v>187372.48512964067</v>
      </c>
      <c r="U179" s="289">
        <f>VLOOKUP(A179,'Bef.fremskr. kommunenivå MMMM'!$A$5:$K$360,8)</f>
        <v>5105</v>
      </c>
      <c r="V179" s="289">
        <f>VLOOKUP(A179,'K23'!$A$4:$BV$359,26)</f>
        <v>177003.31245149305</v>
      </c>
    </row>
    <row r="180" spans="1:22" ht="13">
      <c r="A180" s="755">
        <v>3441</v>
      </c>
      <c r="B180" s="756" t="s">
        <v>857</v>
      </c>
      <c r="C180" s="289">
        <f>+K0kommunestruktur2021!C180</f>
        <v>6237</v>
      </c>
      <c r="D180" s="289">
        <f>+K0kommunestruktur2021!D180</f>
        <v>121697</v>
      </c>
      <c r="E180" s="289">
        <f>+K0kommunestruktur2021!E180</f>
        <v>6210</v>
      </c>
      <c r="F180" s="289">
        <f>+K0kommunestruktur2021!F180</f>
        <v>129805</v>
      </c>
      <c r="G180" s="289">
        <f>+K0kommunestruktur2021!G180</f>
        <v>6227</v>
      </c>
      <c r="H180" s="289">
        <f>+K0kommunestruktur2021!H180</f>
        <v>141000</v>
      </c>
      <c r="I180" s="289">
        <f>+K0kommunestruktur2021!I180</f>
        <v>6204</v>
      </c>
      <c r="J180" s="289">
        <f>+K0kommunestruktur2021!J180</f>
        <v>148052</v>
      </c>
      <c r="K180" s="289">
        <f>+K0kommunestruktur2021!K180</f>
        <v>6148</v>
      </c>
      <c r="L180" s="289">
        <f>+K0kommunestruktur2021!L180</f>
        <v>156210</v>
      </c>
      <c r="M180" s="289">
        <f>+K0kommunestruktur2021!M180</f>
        <v>6112</v>
      </c>
      <c r="N180" s="289">
        <f>+K0kommunestruktur2021!N180</f>
        <v>158541</v>
      </c>
      <c r="O180" s="289">
        <f>+K0kommunestruktur2021!O180</f>
        <v>6106</v>
      </c>
      <c r="P180" s="289">
        <f>+K0kommunestruktur2021!P180</f>
        <v>158330</v>
      </c>
      <c r="Q180" s="289">
        <f>+K0kommunestruktur2021!Q180</f>
        <v>6023</v>
      </c>
      <c r="R180" s="289">
        <f>+K0kommunestruktur2021!R180</f>
        <v>183324.886</v>
      </c>
      <c r="S180" s="289">
        <f>VLOOKUP(A180,'K22'!A180:CU535,3)</f>
        <v>6079</v>
      </c>
      <c r="T180" s="289">
        <f>VLOOKUP(A180,'K22'!$A$4:$BV$359,26)</f>
        <v>196309.42578320668</v>
      </c>
      <c r="U180" s="289">
        <f>VLOOKUP(A180,'Bef.fremskr. kommunenivå MMMM'!$A$5:$K$360,8)</f>
        <v>6076</v>
      </c>
      <c r="V180" s="289">
        <f>VLOOKUP(A180,'K23'!$A$4:$BV$359,26)</f>
        <v>183675.2852534251</v>
      </c>
    </row>
    <row r="181" spans="1:22" ht="13">
      <c r="A181" s="755">
        <v>3442</v>
      </c>
      <c r="B181" s="756" t="s">
        <v>858</v>
      </c>
      <c r="C181" s="289">
        <f>+K0kommunestruktur2021!C181</f>
        <v>14777</v>
      </c>
      <c r="D181" s="289">
        <f>+K0kommunestruktur2021!D181</f>
        <v>281403</v>
      </c>
      <c r="E181" s="289">
        <f>+K0kommunestruktur2021!E181</f>
        <v>14796</v>
      </c>
      <c r="F181" s="289">
        <f>+K0kommunestruktur2021!F181</f>
        <v>298093</v>
      </c>
      <c r="G181" s="289">
        <f>+K0kommunestruktur2021!G181</f>
        <v>14906</v>
      </c>
      <c r="H181" s="289">
        <f>+K0kommunestruktur2021!H181</f>
        <v>331237</v>
      </c>
      <c r="I181" s="289">
        <f>+K0kommunestruktur2021!I181</f>
        <v>14887</v>
      </c>
      <c r="J181" s="289">
        <f>+K0kommunestruktur2021!J181</f>
        <v>349805</v>
      </c>
      <c r="K181" s="289">
        <f>+K0kommunestruktur2021!K181</f>
        <v>14888</v>
      </c>
      <c r="L181" s="289">
        <f>+K0kommunestruktur2021!L181</f>
        <v>375056</v>
      </c>
      <c r="M181" s="289">
        <f>+K0kommunestruktur2021!M181</f>
        <v>14948</v>
      </c>
      <c r="N181" s="289">
        <f>+K0kommunestruktur2021!N181</f>
        <v>387332</v>
      </c>
      <c r="O181" s="289">
        <f>+K0kommunestruktur2021!O181</f>
        <v>14973</v>
      </c>
      <c r="P181" s="289">
        <f>+K0kommunestruktur2021!P181</f>
        <v>373661</v>
      </c>
      <c r="Q181" s="289">
        <f>+K0kommunestruktur2021!Q181</f>
        <v>14871</v>
      </c>
      <c r="R181" s="289">
        <f>+K0kommunestruktur2021!R181</f>
        <v>439690.75199999998</v>
      </c>
      <c r="S181" s="289">
        <f>VLOOKUP(A181,'K22'!A181:CU536,3)</f>
        <v>14827</v>
      </c>
      <c r="T181" s="289">
        <f>VLOOKUP(A181,'K22'!$A$4:$BV$359,26)</f>
        <v>475486.11376062763</v>
      </c>
      <c r="U181" s="289">
        <f>VLOOKUP(A181,'Bef.fremskr. kommunenivå MMMM'!$A$5:$K$360,8)</f>
        <v>14825</v>
      </c>
      <c r="V181" s="289">
        <f>VLOOKUP(A181,'K23'!$A$4:$BV$359,26)</f>
        <v>438302.73184615484</v>
      </c>
    </row>
    <row r="182" spans="1:22" ht="13">
      <c r="A182" s="755">
        <v>3443</v>
      </c>
      <c r="B182" s="756" t="s">
        <v>859</v>
      </c>
      <c r="C182" s="289">
        <f>+K0kommunestruktur2021!C182</f>
        <v>13075</v>
      </c>
      <c r="D182" s="289">
        <f>+K0kommunestruktur2021!D182</f>
        <v>248655</v>
      </c>
      <c r="E182" s="289">
        <f>+K0kommunestruktur2021!E182</f>
        <v>13152</v>
      </c>
      <c r="F182" s="289">
        <f>+K0kommunestruktur2021!F182</f>
        <v>268292</v>
      </c>
      <c r="G182" s="289">
        <f>+K0kommunestruktur2021!G182</f>
        <v>13180</v>
      </c>
      <c r="H182" s="289">
        <f>+K0kommunestruktur2021!H182</f>
        <v>289291</v>
      </c>
      <c r="I182" s="289">
        <f>+K0kommunestruktur2021!I182</f>
        <v>13179</v>
      </c>
      <c r="J182" s="289">
        <f>+K0kommunestruktur2021!J182</f>
        <v>298912</v>
      </c>
      <c r="K182" s="289">
        <f>+K0kommunestruktur2021!K182</f>
        <v>13314</v>
      </c>
      <c r="L182" s="289">
        <f>+K0kommunestruktur2021!L182</f>
        <v>319630</v>
      </c>
      <c r="M182" s="289">
        <f>+K0kommunestruktur2021!M182</f>
        <v>13384</v>
      </c>
      <c r="N182" s="289">
        <f>+K0kommunestruktur2021!N182</f>
        <v>330293</v>
      </c>
      <c r="O182" s="289">
        <f>+K0kommunestruktur2021!O182</f>
        <v>13427</v>
      </c>
      <c r="P182" s="289">
        <f>+K0kommunestruktur2021!P182</f>
        <v>322511</v>
      </c>
      <c r="Q182" s="289">
        <f>+K0kommunestruktur2021!Q182</f>
        <v>13459</v>
      </c>
      <c r="R182" s="289">
        <f>+K0kommunestruktur2021!R182</f>
        <v>372074.12</v>
      </c>
      <c r="S182" s="289">
        <f>VLOOKUP(A182,'K22'!A182:CU537,3)</f>
        <v>13572</v>
      </c>
      <c r="T182" s="289">
        <f>VLOOKUP(A182,'K22'!$A$4:$BV$359,26)</f>
        <v>405416.37383892463</v>
      </c>
      <c r="U182" s="289">
        <f>VLOOKUP(A182,'Bef.fremskr. kommunenivå MMMM'!$A$5:$K$360,8)</f>
        <v>13660</v>
      </c>
      <c r="V182" s="289">
        <f>VLOOKUP(A182,'K23'!$A$4:$BV$359,26)</f>
        <v>383609.50185554335</v>
      </c>
    </row>
    <row r="183" spans="1:22" ht="13">
      <c r="A183" s="755">
        <v>3446</v>
      </c>
      <c r="B183" s="756" t="s">
        <v>862</v>
      </c>
      <c r="C183" s="289">
        <f>+K0kommunestruktur2021!C183</f>
        <v>13607</v>
      </c>
      <c r="D183" s="289">
        <f>+K0kommunestruktur2021!D183</f>
        <v>275643</v>
      </c>
      <c r="E183" s="289">
        <f>+K0kommunestruktur2021!E183</f>
        <v>13685</v>
      </c>
      <c r="F183" s="289">
        <f>+K0kommunestruktur2021!F183</f>
        <v>299360</v>
      </c>
      <c r="G183" s="289">
        <f>+K0kommunestruktur2021!G183</f>
        <v>13695</v>
      </c>
      <c r="H183" s="289">
        <f>+K0kommunestruktur2021!H183</f>
        <v>330694</v>
      </c>
      <c r="I183" s="289">
        <f>+K0kommunestruktur2021!I183</f>
        <v>13707</v>
      </c>
      <c r="J183" s="289">
        <f>+K0kommunestruktur2021!J183</f>
        <v>341304</v>
      </c>
      <c r="K183" s="289">
        <f>+K0kommunestruktur2021!K183</f>
        <v>13770</v>
      </c>
      <c r="L183" s="289">
        <f>+K0kommunestruktur2021!L183</f>
        <v>356430</v>
      </c>
      <c r="M183" s="289">
        <f>+K0kommunestruktur2021!M183</f>
        <v>13642</v>
      </c>
      <c r="N183" s="289">
        <f>+K0kommunestruktur2021!N183</f>
        <v>362027</v>
      </c>
      <c r="O183" s="289">
        <f>+K0kommunestruktur2021!O183</f>
        <v>13630</v>
      </c>
      <c r="P183" s="289">
        <f>+K0kommunestruktur2021!P183</f>
        <v>358274</v>
      </c>
      <c r="Q183" s="289">
        <f>+K0kommunestruktur2021!Q183</f>
        <v>13611</v>
      </c>
      <c r="R183" s="289">
        <f>+K0kommunestruktur2021!R183</f>
        <v>427907.10100000002</v>
      </c>
      <c r="S183" s="289">
        <f>VLOOKUP(A183,'K22'!A183:CU538,3)</f>
        <v>13633</v>
      </c>
      <c r="T183" s="289">
        <f>VLOOKUP(A183,'K22'!$A$4:$BV$359,26)</f>
        <v>455948.37346934009</v>
      </c>
      <c r="U183" s="289">
        <f>VLOOKUP(A183,'Bef.fremskr. kommunenivå MMMM'!$A$5:$K$360,8)</f>
        <v>13605</v>
      </c>
      <c r="V183" s="289">
        <f>VLOOKUP(A183,'K23'!$A$4:$BV$359,26)</f>
        <v>421086.21833609411</v>
      </c>
    </row>
    <row r="184" spans="1:22" ht="13">
      <c r="A184" s="755">
        <v>3447</v>
      </c>
      <c r="B184" s="756" t="s">
        <v>863</v>
      </c>
      <c r="C184" s="289">
        <f>+K0kommunestruktur2021!C184</f>
        <v>5701</v>
      </c>
      <c r="D184" s="289">
        <f>+K0kommunestruktur2021!D184</f>
        <v>93534</v>
      </c>
      <c r="E184" s="289">
        <f>+K0kommunestruktur2021!E184</f>
        <v>5772</v>
      </c>
      <c r="F184" s="289">
        <f>+K0kommunestruktur2021!F184</f>
        <v>99452</v>
      </c>
      <c r="G184" s="289">
        <f>+K0kommunestruktur2021!G184</f>
        <v>5758</v>
      </c>
      <c r="H184" s="289">
        <f>+K0kommunestruktur2021!H184</f>
        <v>111262</v>
      </c>
      <c r="I184" s="289">
        <f>+K0kommunestruktur2021!I184</f>
        <v>5717</v>
      </c>
      <c r="J184" s="289">
        <f>+K0kommunestruktur2021!J184</f>
        <v>114902</v>
      </c>
      <c r="K184" s="289">
        <f>+K0kommunestruktur2021!K184</f>
        <v>5650</v>
      </c>
      <c r="L184" s="289">
        <f>+K0kommunestruktur2021!L184</f>
        <v>118346</v>
      </c>
      <c r="M184" s="289">
        <f>+K0kommunestruktur2021!M184</f>
        <v>5623</v>
      </c>
      <c r="N184" s="289">
        <f>+K0kommunestruktur2021!N184</f>
        <v>123933</v>
      </c>
      <c r="O184" s="289">
        <f>+K0kommunestruktur2021!O184</f>
        <v>5617</v>
      </c>
      <c r="P184" s="289">
        <f>+K0kommunestruktur2021!P184</f>
        <v>121468</v>
      </c>
      <c r="Q184" s="289">
        <f>+K0kommunestruktur2021!Q184</f>
        <v>5579</v>
      </c>
      <c r="R184" s="289">
        <f>+K0kommunestruktur2021!R184</f>
        <v>139649.82</v>
      </c>
      <c r="S184" s="289">
        <f>VLOOKUP(A184,'K22'!A184:CU539,3)</f>
        <v>5535</v>
      </c>
      <c r="T184" s="289">
        <f>VLOOKUP(A184,'K22'!$A$4:$BV$359,26)</f>
        <v>151342.38284391418</v>
      </c>
      <c r="U184" s="289">
        <f>VLOOKUP(A184,'Bef.fremskr. kommunenivå MMMM'!$A$5:$K$360,8)</f>
        <v>5542</v>
      </c>
      <c r="V184" s="289">
        <f>VLOOKUP(A184,'K23'!$A$4:$BV$359,26)</f>
        <v>139993.0295167208</v>
      </c>
    </row>
    <row r="185" spans="1:22" ht="13">
      <c r="A185" s="755">
        <v>3448</v>
      </c>
      <c r="B185" s="756" t="s">
        <v>864</v>
      </c>
      <c r="C185" s="289">
        <f>+K0kommunestruktur2021!C185</f>
        <v>6700</v>
      </c>
      <c r="D185" s="289">
        <f>+K0kommunestruktur2021!D185</f>
        <v>119053</v>
      </c>
      <c r="E185" s="289">
        <f>+K0kommunestruktur2021!E185</f>
        <v>6740</v>
      </c>
      <c r="F185" s="289">
        <f>+K0kommunestruktur2021!F185</f>
        <v>130066</v>
      </c>
      <c r="G185" s="289">
        <f>+K0kommunestruktur2021!G185</f>
        <v>6751</v>
      </c>
      <c r="H185" s="289">
        <f>+K0kommunestruktur2021!H185</f>
        <v>140247</v>
      </c>
      <c r="I185" s="289">
        <f>+K0kommunestruktur2021!I185</f>
        <v>6773</v>
      </c>
      <c r="J185" s="289">
        <f>+K0kommunestruktur2021!J185</f>
        <v>144949</v>
      </c>
      <c r="K185" s="289">
        <f>+K0kommunestruktur2021!K185</f>
        <v>6750</v>
      </c>
      <c r="L185" s="289">
        <f>+K0kommunestruktur2021!L185</f>
        <v>148417</v>
      </c>
      <c r="M185" s="289">
        <f>+K0kommunestruktur2021!M185</f>
        <v>6671</v>
      </c>
      <c r="N185" s="289">
        <f>+K0kommunestruktur2021!N185</f>
        <v>155140</v>
      </c>
      <c r="O185" s="289">
        <f>+K0kommunestruktur2021!O185</f>
        <v>6633</v>
      </c>
      <c r="P185" s="289">
        <f>+K0kommunestruktur2021!P185</f>
        <v>152361</v>
      </c>
      <c r="Q185" s="289">
        <f>+K0kommunestruktur2021!Q185</f>
        <v>6581</v>
      </c>
      <c r="R185" s="289">
        <f>+K0kommunestruktur2021!R185</f>
        <v>162206.125</v>
      </c>
      <c r="S185" s="289">
        <f>VLOOKUP(A185,'K22'!A185:CU540,3)</f>
        <v>6577</v>
      </c>
      <c r="T185" s="289">
        <f>VLOOKUP(A185,'K22'!$A$4:$BV$359,26)</f>
        <v>181502.47676777741</v>
      </c>
      <c r="U185" s="289">
        <f>VLOOKUP(A185,'Bef.fremskr. kommunenivå MMMM'!$A$5:$K$360,8)</f>
        <v>6574</v>
      </c>
      <c r="V185" s="289">
        <f>VLOOKUP(A185,'K23'!$A$4:$BV$359,26)</f>
        <v>171019.59658615338</v>
      </c>
    </row>
    <row r="186" spans="1:22" ht="13">
      <c r="A186" s="755">
        <v>3449</v>
      </c>
      <c r="B186" s="756" t="s">
        <v>865</v>
      </c>
      <c r="C186" s="289">
        <f>+K0kommunestruktur2021!C186</f>
        <v>3133</v>
      </c>
      <c r="D186" s="289">
        <f>+K0kommunestruktur2021!D186</f>
        <v>62100</v>
      </c>
      <c r="E186" s="289">
        <f>+K0kommunestruktur2021!E186</f>
        <v>3094</v>
      </c>
      <c r="F186" s="289">
        <f>+K0kommunestruktur2021!F186</f>
        <v>64195</v>
      </c>
      <c r="G186" s="289">
        <f>+K0kommunestruktur2021!G186</f>
        <v>3058</v>
      </c>
      <c r="H186" s="289">
        <f>+K0kommunestruktur2021!H186</f>
        <v>66787</v>
      </c>
      <c r="I186" s="289">
        <f>+K0kommunestruktur2021!I186</f>
        <v>3026</v>
      </c>
      <c r="J186" s="289">
        <f>+K0kommunestruktur2021!J186</f>
        <v>67880</v>
      </c>
      <c r="K186" s="289">
        <f>+K0kommunestruktur2021!K186</f>
        <v>3014</v>
      </c>
      <c r="L186" s="289">
        <f>+K0kommunestruktur2021!L186</f>
        <v>73595</v>
      </c>
      <c r="M186" s="289">
        <f>+K0kommunestruktur2021!M186</f>
        <v>2981</v>
      </c>
      <c r="N186" s="289">
        <f>+K0kommunestruktur2021!N186</f>
        <v>74443</v>
      </c>
      <c r="O186" s="289">
        <f>+K0kommunestruktur2021!O186</f>
        <v>2954</v>
      </c>
      <c r="P186" s="289">
        <f>+K0kommunestruktur2021!P186</f>
        <v>72905</v>
      </c>
      <c r="Q186" s="289">
        <f>+K0kommunestruktur2021!Q186</f>
        <v>2904</v>
      </c>
      <c r="R186" s="289">
        <f>+K0kommunestruktur2021!R186</f>
        <v>92272.346000000005</v>
      </c>
      <c r="S186" s="289">
        <f>VLOOKUP(A186,'K22'!A186:CU541,3)</f>
        <v>2889</v>
      </c>
      <c r="T186" s="289">
        <f>VLOOKUP(A186,'K22'!$A$4:$BV$359,26)</f>
        <v>92149.360527042954</v>
      </c>
      <c r="U186" s="289">
        <f>VLOOKUP(A186,'Bef.fremskr. kommunenivå MMMM'!$A$5:$K$360,8)</f>
        <v>2889</v>
      </c>
      <c r="V186" s="289">
        <f>VLOOKUP(A186,'K23'!$A$4:$BV$359,26)</f>
        <v>85851.126895935929</v>
      </c>
    </row>
    <row r="187" spans="1:22" ht="13">
      <c r="A187" s="755">
        <v>3450</v>
      </c>
      <c r="B187" s="756" t="s">
        <v>866</v>
      </c>
      <c r="C187" s="289">
        <f>+K0kommunestruktur2021!C187</f>
        <v>1408</v>
      </c>
      <c r="D187" s="289">
        <f>+K0kommunestruktur2021!D187</f>
        <v>23718</v>
      </c>
      <c r="E187" s="289">
        <f>+K0kommunestruktur2021!E187</f>
        <v>1402</v>
      </c>
      <c r="F187" s="289">
        <f>+K0kommunestruktur2021!F187</f>
        <v>24754</v>
      </c>
      <c r="G187" s="289">
        <f>+K0kommunestruktur2021!G187</f>
        <v>1321</v>
      </c>
      <c r="H187" s="289">
        <f>+K0kommunestruktur2021!H187</f>
        <v>28197</v>
      </c>
      <c r="I187" s="289">
        <f>+K0kommunestruktur2021!I187</f>
        <v>1351</v>
      </c>
      <c r="J187" s="289">
        <f>+K0kommunestruktur2021!J187</f>
        <v>32167</v>
      </c>
      <c r="K187" s="289">
        <f>+K0kommunestruktur2021!K187</f>
        <v>1352</v>
      </c>
      <c r="L187" s="289">
        <f>+K0kommunestruktur2021!L187</f>
        <v>32388</v>
      </c>
      <c r="M187" s="289">
        <f>+K0kommunestruktur2021!M187</f>
        <v>1305</v>
      </c>
      <c r="N187" s="289">
        <f>+K0kommunestruktur2021!N187</f>
        <v>30753</v>
      </c>
      <c r="O187" s="289">
        <f>+K0kommunestruktur2021!O187</f>
        <v>1279</v>
      </c>
      <c r="P187" s="289">
        <f>+K0kommunestruktur2021!P187</f>
        <v>30806</v>
      </c>
      <c r="Q187" s="289">
        <f>+K0kommunestruktur2021!Q187</f>
        <v>1257</v>
      </c>
      <c r="R187" s="289">
        <f>+K0kommunestruktur2021!R187</f>
        <v>34234.07</v>
      </c>
      <c r="S187" s="289">
        <f>VLOOKUP(A187,'K22'!A187:CU542,3)</f>
        <v>1256</v>
      </c>
      <c r="T187" s="289">
        <f>VLOOKUP(A187,'K22'!$A$4:$BV$359,26)</f>
        <v>37086.251225899105</v>
      </c>
      <c r="U187" s="289">
        <f>VLOOKUP(A187,'Bef.fremskr. kommunenivå MMMM'!$A$5:$K$360,8)</f>
        <v>1277</v>
      </c>
      <c r="V187" s="289">
        <f>VLOOKUP(A187,'K23'!$A$4:$BV$359,26)</f>
        <v>35174.58212769121</v>
      </c>
    </row>
    <row r="188" spans="1:22" ht="13">
      <c r="A188" s="755">
        <v>3451</v>
      </c>
      <c r="B188" s="756" t="s">
        <v>867</v>
      </c>
      <c r="C188" s="289">
        <f>+K0kommunestruktur2021!C188</f>
        <v>6417</v>
      </c>
      <c r="D188" s="289">
        <f>+K0kommunestruktur2021!D188</f>
        <v>138198</v>
      </c>
      <c r="E188" s="289">
        <f>+K0kommunestruktur2021!E188</f>
        <v>6466</v>
      </c>
      <c r="F188" s="289">
        <f>+K0kommunestruktur2021!F188</f>
        <v>144388</v>
      </c>
      <c r="G188" s="289">
        <f>+K0kommunestruktur2021!G188</f>
        <v>6458</v>
      </c>
      <c r="H188" s="289">
        <f>+K0kommunestruktur2021!H188</f>
        <v>160812</v>
      </c>
      <c r="I188" s="289">
        <f>+K0kommunestruktur2021!I188</f>
        <v>6490</v>
      </c>
      <c r="J188" s="289">
        <f>+K0kommunestruktur2021!J188</f>
        <v>168668</v>
      </c>
      <c r="K188" s="289">
        <f>+K0kommunestruktur2021!K188</f>
        <v>6443</v>
      </c>
      <c r="L188" s="289">
        <f>+K0kommunestruktur2021!L188</f>
        <v>174124</v>
      </c>
      <c r="M188" s="289">
        <f>+K0kommunestruktur2021!M188</f>
        <v>6418</v>
      </c>
      <c r="N188" s="289">
        <f>+K0kommunestruktur2021!N188</f>
        <v>177318</v>
      </c>
      <c r="O188" s="289">
        <f>+K0kommunestruktur2021!O188</f>
        <v>6413</v>
      </c>
      <c r="P188" s="289">
        <f>+K0kommunestruktur2021!P188</f>
        <v>172307</v>
      </c>
      <c r="Q188" s="289">
        <f>+K0kommunestruktur2021!Q188</f>
        <v>6360</v>
      </c>
      <c r="R188" s="289">
        <f>+K0kommunestruktur2021!R188</f>
        <v>199208.80600000001</v>
      </c>
      <c r="S188" s="289">
        <f>VLOOKUP(A188,'K22'!A188:CU543,3)</f>
        <v>6354</v>
      </c>
      <c r="T188" s="289">
        <f>VLOOKUP(A188,'K22'!$A$4:$BV$359,26)</f>
        <v>214906.42438056346</v>
      </c>
      <c r="U188" s="289">
        <f>VLOOKUP(A188,'Bef.fremskr. kommunenivå MMMM'!$A$5:$K$360,8)</f>
        <v>6373</v>
      </c>
      <c r="V188" s="289">
        <f>VLOOKUP(A188,'K23'!$A$4:$BV$359,26)</f>
        <v>200420.48987232373</v>
      </c>
    </row>
    <row r="189" spans="1:22" s="657" customFormat="1" ht="13">
      <c r="A189" s="755">
        <v>3452</v>
      </c>
      <c r="B189" s="756" t="s">
        <v>868</v>
      </c>
      <c r="C189" s="290">
        <f>+K0kommunestruktur2021!C189</f>
        <v>2174.6498823500001</v>
      </c>
      <c r="D189" s="290">
        <f>+K0kommunestruktur2021!D189</f>
        <v>48064.038117582051</v>
      </c>
      <c r="E189" s="290">
        <f>+K0kommunestruktur2021!E189</f>
        <v>2167.68941176</v>
      </c>
      <c r="F189" s="290">
        <f>+K0kommunestruktur2021!F189</f>
        <v>50586.711529301945</v>
      </c>
      <c r="G189" s="290">
        <f>+K0kommunestruktur2021!G189</f>
        <v>2155.7571764700001</v>
      </c>
      <c r="H189" s="290">
        <f>+K0kommunestruktur2021!H189</f>
        <v>53942.652705867637</v>
      </c>
      <c r="I189" s="290">
        <f>+K0kommunestruktur2021!I189</f>
        <v>2102.0621176499999</v>
      </c>
      <c r="J189" s="290">
        <f>+K0kommunestruktur2021!J189</f>
        <v>56126.251764784414</v>
      </c>
      <c r="K189" s="290">
        <f>+K0kommunestruktur2021!K189</f>
        <v>2126.9209411800002</v>
      </c>
      <c r="L189" s="290">
        <f>+K0kommunestruktur2021!L189</f>
        <v>60929.970823630516</v>
      </c>
      <c r="M189" s="290">
        <f>+K0kommunestruktur2021!M189</f>
        <v>2122.9435294099999</v>
      </c>
      <c r="N189" s="290">
        <f>+K0kommunestruktur2021!N189</f>
        <v>67317.694117591105</v>
      </c>
      <c r="O189" s="290">
        <f>+K0kommunestruktur2021!O189</f>
        <v>2113</v>
      </c>
      <c r="P189" s="290">
        <f>+K0kommunestruktur2021!P189</f>
        <v>64256.081411764702</v>
      </c>
      <c r="Q189" s="290">
        <f>+K0kommunestruktur2021!Q189</f>
        <v>2120</v>
      </c>
      <c r="R189" s="290">
        <f>+K0kommunestruktur2021!R189</f>
        <v>75961.975000000006</v>
      </c>
      <c r="S189" s="289">
        <f>VLOOKUP(A189,'K22'!A189:CU544,3)</f>
        <v>2111</v>
      </c>
      <c r="T189" s="290">
        <f>VLOOKUP(A189,'K22'!$A$4:$BV$359,26)</f>
        <v>83369.095473872294</v>
      </c>
      <c r="U189" s="289">
        <f>VLOOKUP(A189,'Bef.fremskr. kommunenivå MMMM'!$A$5:$K$360,8)</f>
        <v>2121</v>
      </c>
      <c r="V189" s="289">
        <f>VLOOKUP(A189,'K23'!$A$4:$BV$359,26)</f>
        <v>76238.206953294808</v>
      </c>
    </row>
    <row r="190" spans="1:22" s="657" customFormat="1" ht="13">
      <c r="A190" s="755">
        <v>3453</v>
      </c>
      <c r="B190" s="756" t="s">
        <v>869</v>
      </c>
      <c r="C190" s="290">
        <f>+K0kommunestruktur2021!C190</f>
        <v>3217.9145246200001</v>
      </c>
      <c r="D190" s="290">
        <f>+K0kommunestruktur2021!D190</f>
        <v>74208.762465145061</v>
      </c>
      <c r="E190" s="290">
        <f>+K0kommunestruktur2021!E190</f>
        <v>3210.8885103699999</v>
      </c>
      <c r="F190" s="290">
        <f>+K0kommunestruktur2021!F190</f>
        <v>80625.520904185993</v>
      </c>
      <c r="G190" s="290">
        <f>+K0kommunestruktur2021!G190</f>
        <v>3231.9665531099999</v>
      </c>
      <c r="H190" s="290">
        <f>+K0kommunestruktur2021!H190</f>
        <v>82142.136265036082</v>
      </c>
      <c r="I190" s="290">
        <f>+K0kommunestruktur2021!I190</f>
        <v>3260.0706101000001</v>
      </c>
      <c r="J190" s="290">
        <f>+K0kommunestruktur2021!J190</f>
        <v>90760.044595961328</v>
      </c>
      <c r="K190" s="290">
        <f>+K0kommunestruktur2021!K190</f>
        <v>3232.9702694299999</v>
      </c>
      <c r="L190" s="290">
        <f>+K0kommunestruktur2021!L190</f>
        <v>97225.985134618561</v>
      </c>
      <c r="M190" s="290">
        <f>+K0kommunestruktur2021!M190</f>
        <v>3219.92195726</v>
      </c>
      <c r="N190" s="290">
        <f>+K0kommunestruktur2021!N190</f>
        <v>101966.53731798196</v>
      </c>
      <c r="O190" s="290">
        <f>+K0kommunestruktur2021!O190</f>
        <v>3241</v>
      </c>
      <c r="P190" s="290">
        <f>+K0kommunestruktur2021!P190</f>
        <v>101860.14338804584</v>
      </c>
      <c r="Q190" s="290">
        <f>+K0kommunestruktur2021!Q190</f>
        <v>3236</v>
      </c>
      <c r="R190" s="290">
        <f>+K0kommunestruktur2021!R190</f>
        <v>111780.192</v>
      </c>
      <c r="S190" s="289">
        <f>VLOOKUP(A190,'K22'!A190:CU545,3)</f>
        <v>3252</v>
      </c>
      <c r="T190" s="290">
        <f>VLOOKUP(A190,'K22'!$A$4:$BV$359,26)</f>
        <v>125780.38858091326</v>
      </c>
      <c r="U190" s="289">
        <f>VLOOKUP(A190,'Bef.fremskr. kommunenivå MMMM'!$A$5:$K$360,8)</f>
        <v>3277</v>
      </c>
      <c r="V190" s="289">
        <f>VLOOKUP(A190,'K23'!$A$4:$BV$359,26)</f>
        <v>117658.4767232751</v>
      </c>
    </row>
    <row r="191" spans="1:22" ht="13">
      <c r="A191" s="755">
        <v>3454</v>
      </c>
      <c r="B191" s="756" t="s">
        <v>870</v>
      </c>
      <c r="C191" s="289">
        <f>+K0kommunestruktur2021!C191</f>
        <v>1602</v>
      </c>
      <c r="D191" s="289">
        <f>+K0kommunestruktur2021!D191</f>
        <v>38293</v>
      </c>
      <c r="E191" s="289">
        <f>+K0kommunestruktur2021!E191</f>
        <v>1619</v>
      </c>
      <c r="F191" s="289">
        <f>+K0kommunestruktur2021!F191</f>
        <v>37972</v>
      </c>
      <c r="G191" s="289">
        <f>+K0kommunestruktur2021!G191</f>
        <v>1590</v>
      </c>
      <c r="H191" s="289">
        <f>+K0kommunestruktur2021!H191</f>
        <v>44551</v>
      </c>
      <c r="I191" s="289">
        <f>+K0kommunestruktur2021!I191</f>
        <v>1596</v>
      </c>
      <c r="J191" s="289">
        <f>+K0kommunestruktur2021!J191</f>
        <v>45896</v>
      </c>
      <c r="K191" s="289">
        <f>+K0kommunestruktur2021!K191</f>
        <v>1601</v>
      </c>
      <c r="L191" s="289">
        <f>+K0kommunestruktur2021!L191</f>
        <v>47228</v>
      </c>
      <c r="M191" s="289">
        <f>+K0kommunestruktur2021!M191</f>
        <v>1610</v>
      </c>
      <c r="N191" s="289">
        <f>+K0kommunestruktur2021!N191</f>
        <v>49799</v>
      </c>
      <c r="O191" s="289">
        <f>+K0kommunestruktur2021!O191</f>
        <v>1578</v>
      </c>
      <c r="P191" s="289">
        <f>+K0kommunestruktur2021!P191</f>
        <v>45794</v>
      </c>
      <c r="Q191" s="289">
        <f>+K0kommunestruktur2021!Q191</f>
        <v>1573</v>
      </c>
      <c r="R191" s="289">
        <f>+K0kommunestruktur2021!R191</f>
        <v>49770.035000000003</v>
      </c>
      <c r="S191" s="289">
        <f>VLOOKUP(A191,'K22'!A191:CU546,3)</f>
        <v>1587</v>
      </c>
      <c r="T191" s="289">
        <f>VLOOKUP(A191,'K22'!$A$4:$BV$359,26)</f>
        <v>56039.661634245727</v>
      </c>
      <c r="U191" s="289">
        <f>VLOOKUP(A191,'Bef.fremskr. kommunenivå MMMM'!$A$5:$K$360,8)</f>
        <v>1641</v>
      </c>
      <c r="V191" s="289">
        <f>VLOOKUP(A191,'K23'!$A$4:$BV$359,26)</f>
        <v>54472.024756178507</v>
      </c>
    </row>
    <row r="192" spans="1:22" ht="13">
      <c r="A192" s="755">
        <v>3801</v>
      </c>
      <c r="B192" s="756" t="s">
        <v>346</v>
      </c>
      <c r="C192" s="289">
        <f>+K0kommunestruktur2021!C192</f>
        <v>26763.72272627</v>
      </c>
      <c r="D192" s="289">
        <f>+K0kommunestruktur2021!D192</f>
        <v>552794.78320030717</v>
      </c>
      <c r="E192" s="289">
        <f>+K0kommunestruktur2021!E192</f>
        <v>26915.795017190001</v>
      </c>
      <c r="F192" s="289">
        <f>+K0kommunestruktur2021!F192</f>
        <v>580094.76084719505</v>
      </c>
      <c r="G192" s="289">
        <f>+K0kommunestruktur2021!G192</f>
        <v>27190.92580669</v>
      </c>
      <c r="H192" s="289">
        <f>+K0kommunestruktur2021!H192</f>
        <v>637628.11059491883</v>
      </c>
      <c r="I192" s="289">
        <f>+K0kommunestruktur2021!I192</f>
        <v>27214.93722104</v>
      </c>
      <c r="J192" s="289">
        <f>+K0kommunestruktur2021!J192</f>
        <v>663810.55699852714</v>
      </c>
      <c r="K192" s="289">
        <f>+K0kommunestruktur2021!K192</f>
        <v>27329.99191483</v>
      </c>
      <c r="L192" s="289">
        <f>+K0kommunestruktur2021!L192</f>
        <v>672710.78791977372</v>
      </c>
      <c r="M192" s="289">
        <f>+K0kommunestruktur2021!M192</f>
        <v>27347</v>
      </c>
      <c r="N192" s="289">
        <f>+K0kommunestruktur2021!N192</f>
        <v>692604.24471354357</v>
      </c>
      <c r="O192" s="289">
        <f>+K0kommunestruktur2021!O192</f>
        <v>27351</v>
      </c>
      <c r="P192" s="289">
        <f>+K0kommunestruktur2021!P192</f>
        <v>688211</v>
      </c>
      <c r="Q192" s="289">
        <f>+K0kommunestruktur2021!Q192</f>
        <v>27510</v>
      </c>
      <c r="R192" s="289">
        <f>+K0kommunestruktur2021!R192</f>
        <v>808471.49399999995</v>
      </c>
      <c r="S192" s="289">
        <f>VLOOKUP(A192,'K22'!A192:CU547,3)</f>
        <v>27502</v>
      </c>
      <c r="T192" s="289">
        <f>VLOOKUP(A192,'K22'!$A$4:$BV$359,26)</f>
        <v>866858.73495297797</v>
      </c>
      <c r="U192" s="289">
        <f>VLOOKUP(A192,'Bef.fremskr. kommunenivå MMMM'!$A$5:$K$360,8)</f>
        <v>27611</v>
      </c>
      <c r="V192" s="289">
        <f>VLOOKUP(A192,'K23'!$A$4:$BV$359,26)</f>
        <v>810705.557980048</v>
      </c>
    </row>
    <row r="193" spans="1:22" ht="13">
      <c r="A193" s="755">
        <v>3802</v>
      </c>
      <c r="B193" s="756" t="s">
        <v>1625</v>
      </c>
      <c r="C193" s="289">
        <f>+K0kommunestruktur2021!C193</f>
        <v>22698.35703399</v>
      </c>
      <c r="D193" s="289">
        <f>+K0kommunestruktur2021!D193</f>
        <v>493595.53915560583</v>
      </c>
      <c r="E193" s="289">
        <f>+K0kommunestruktur2021!E193</f>
        <v>23041.098908340002</v>
      </c>
      <c r="F193" s="289">
        <f>+K0kommunestruktur2021!F193</f>
        <v>529476.89450047095</v>
      </c>
      <c r="G193" s="289">
        <f>+K0kommunestruktur2021!G193</f>
        <v>23319.513862</v>
      </c>
      <c r="H193" s="289">
        <f>+K0kommunestruktur2021!H193</f>
        <v>589331.0839959326</v>
      </c>
      <c r="I193" s="289">
        <f>+K0kommunestruktur2021!I193</f>
        <v>23653.209763129998</v>
      </c>
      <c r="J193" s="289">
        <f>+K0kommunestruktur2021!J193</f>
        <v>624060.58541707485</v>
      </c>
      <c r="K193" s="289">
        <f>+K0kommunestruktur2021!K193</f>
        <v>24060.278558189999</v>
      </c>
      <c r="L193" s="289">
        <f>+K0kommunestruktur2021!L193</f>
        <v>652653.90166845266</v>
      </c>
      <c r="M193" s="289">
        <f>+K0kommunestruktur2021!M193</f>
        <v>24399</v>
      </c>
      <c r="N193" s="289">
        <f>+K0kommunestruktur2021!N193</f>
        <v>675516.09132852731</v>
      </c>
      <c r="O193" s="289">
        <f>+K0kommunestruktur2021!O193</f>
        <v>24699</v>
      </c>
      <c r="P193" s="289">
        <f>+K0kommunestruktur2021!P193</f>
        <v>685619</v>
      </c>
      <c r="Q193" s="289">
        <f>+K0kommunestruktur2021!Q193</f>
        <v>25011</v>
      </c>
      <c r="R193" s="289">
        <f>+K0kommunestruktur2021!R193</f>
        <v>814470.78500000003</v>
      </c>
      <c r="S193" s="289">
        <f>VLOOKUP(A193,'K22'!A193:CU548,3)</f>
        <v>25681</v>
      </c>
      <c r="T193" s="289">
        <f>VLOOKUP(A193,'K22'!$A$4:$BV$359,26)</f>
        <v>904559.92735247139</v>
      </c>
      <c r="U193" s="289">
        <f>VLOOKUP(A193,'Bef.fremskr. kommunenivå MMMM'!$A$5:$K$360,8)</f>
        <v>26322</v>
      </c>
      <c r="V193" s="289">
        <f>VLOOKUP(A193,'K23'!$A$4:$BV$359,26)</f>
        <v>851240.52998027462</v>
      </c>
    </row>
    <row r="194" spans="1:22" ht="13">
      <c r="A194" s="755">
        <v>3803</v>
      </c>
      <c r="B194" s="756" t="s">
        <v>1626</v>
      </c>
      <c r="C194" s="289">
        <f>+K0kommunestruktur2021!C194</f>
        <v>52765.910745699999</v>
      </c>
      <c r="D194" s="289">
        <f>+K0kommunestruktur2021!D194</f>
        <v>1236834.6202562542</v>
      </c>
      <c r="E194" s="289">
        <f>+K0kommunestruktur2021!E194</f>
        <v>53243.732721790002</v>
      </c>
      <c r="F194" s="289">
        <f>+K0kommunestruktur2021!F194</f>
        <v>1324585.4886642802</v>
      </c>
      <c r="G194" s="289">
        <f>+K0kommunestruktur2021!G194</f>
        <v>53706.591587980001</v>
      </c>
      <c r="H194" s="289">
        <f>+K0kommunestruktur2021!H194</f>
        <v>1448068.4606329047</v>
      </c>
      <c r="I194" s="289">
        <f>+K0kommunestruktur2021!I194</f>
        <v>54274.192223459999</v>
      </c>
      <c r="J194" s="289">
        <f>+K0kommunestruktur2021!J194</f>
        <v>1536479.9571321183</v>
      </c>
      <c r="K194" s="289">
        <f>+K0kommunestruktur2021!K194</f>
        <v>54845.783021579999</v>
      </c>
      <c r="L194" s="289">
        <f>+K0kommunestruktur2021!L194</f>
        <v>1605669.3773023367</v>
      </c>
      <c r="M194" s="289">
        <f>+K0kommunestruktur2021!M194</f>
        <v>55569</v>
      </c>
      <c r="N194" s="289">
        <f>+K0kommunestruktur2021!N194</f>
        <v>1680635.555433885</v>
      </c>
      <c r="O194" s="289">
        <f>+K0kommunestruktur2021!O194</f>
        <v>56293</v>
      </c>
      <c r="P194" s="289">
        <f>+K0kommunestruktur2021!P194</f>
        <v>1690855</v>
      </c>
      <c r="Q194" s="289">
        <f>+K0kommunestruktur2021!Q194</f>
        <v>57026</v>
      </c>
      <c r="R194" s="289">
        <f>+K0kommunestruktur2021!R194</f>
        <v>2001609.365</v>
      </c>
      <c r="S194" s="289">
        <f>VLOOKUP(A194,'K22'!A194:CU549,3)</f>
        <v>57794</v>
      </c>
      <c r="T194" s="289">
        <f>VLOOKUP(A194,'K22'!$A$4:$BV$359,26)</f>
        <v>2242430.7220241679</v>
      </c>
      <c r="U194" s="289">
        <f>VLOOKUP(A194,'Bef.fremskr. kommunenivå MMMM'!$A$5:$K$360,8)</f>
        <v>58525</v>
      </c>
      <c r="V194" s="289">
        <f>VLOOKUP(A194,'K23'!$A$4:$BV$359,26)</f>
        <v>2052119.9376504277</v>
      </c>
    </row>
    <row r="195" spans="1:22" ht="13">
      <c r="A195" s="755">
        <v>3804</v>
      </c>
      <c r="B195" s="756" t="s">
        <v>1153</v>
      </c>
      <c r="C195" s="289">
        <f>+K0kommunestruktur2021!C195</f>
        <v>60002</v>
      </c>
      <c r="D195" s="289">
        <f>+K0kommunestruktur2021!D195</f>
        <v>1328826.0834998698</v>
      </c>
      <c r="E195" s="289">
        <f>+K0kommunestruktur2021!E195</f>
        <v>60445</v>
      </c>
      <c r="F195" s="289">
        <f>+K0kommunestruktur2021!F195</f>
        <v>1401206.8738049713</v>
      </c>
      <c r="G195" s="289">
        <f>+K0kommunestruktur2021!G195</f>
        <v>61212</v>
      </c>
      <c r="H195" s="289">
        <f>+K0kommunestruktur2021!H195</f>
        <v>1565068.466500815</v>
      </c>
      <c r="I195" s="289">
        <f>+K0kommunestruktur2021!I195</f>
        <v>62019</v>
      </c>
      <c r="J195" s="289">
        <f>+K0kommunestruktur2021!J195</f>
        <v>1617614</v>
      </c>
      <c r="K195" s="289">
        <f>+K0kommunestruktur2021!K195</f>
        <v>62615</v>
      </c>
      <c r="L195" s="289">
        <f>+K0kommunestruktur2021!L195</f>
        <v>1650021</v>
      </c>
      <c r="M195" s="289">
        <f>+K0kommunestruktur2021!M195</f>
        <v>63271</v>
      </c>
      <c r="N195" s="289">
        <f>+K0kommunestruktur2021!N195</f>
        <v>1778055</v>
      </c>
      <c r="O195" s="289">
        <f>+K0kommunestruktur2021!O195</f>
        <v>63764</v>
      </c>
      <c r="P195" s="289">
        <f>+K0kommunestruktur2021!P195</f>
        <v>1781351</v>
      </c>
      <c r="Q195" s="289">
        <f>+K0kommunestruktur2021!Q195</f>
        <v>64345</v>
      </c>
      <c r="R195" s="289">
        <f>+K0kommunestruktur2021!R195</f>
        <v>2082816.142</v>
      </c>
      <c r="S195" s="289">
        <f>VLOOKUP(A195,'K22'!A195:CU550,3)</f>
        <v>64943</v>
      </c>
      <c r="T195" s="289">
        <f>VLOOKUP(A195,'K22'!$A$4:$BV$359,26)</f>
        <v>2346797.7855095649</v>
      </c>
      <c r="U195" s="289">
        <f>VLOOKUP(A195,'Bef.fremskr. kommunenivå MMMM'!$A$5:$K$360,8)</f>
        <v>65511</v>
      </c>
      <c r="V195" s="289">
        <f>VLOOKUP(A195,'K23'!$A$4:$BV$359,26)</f>
        <v>2129463.7023192397</v>
      </c>
    </row>
    <row r="196" spans="1:22" ht="13">
      <c r="A196" s="755">
        <v>3805</v>
      </c>
      <c r="B196" s="965" t="s">
        <v>1235</v>
      </c>
      <c r="C196" s="289">
        <f>+K0kommunestruktur2021!C196</f>
        <v>45718</v>
      </c>
      <c r="D196" s="289">
        <f>+K0kommunestruktur2021!D196</f>
        <v>967685</v>
      </c>
      <c r="E196" s="289">
        <f>+K0kommunestruktur2021!E196</f>
        <v>45969</v>
      </c>
      <c r="F196" s="289">
        <f>+K0kommunestruktur2021!F196</f>
        <v>1066695</v>
      </c>
      <c r="G196" s="289">
        <f>+K0kommunestruktur2021!G196</f>
        <v>46341</v>
      </c>
      <c r="H196" s="289">
        <f>+K0kommunestruktur2021!H196</f>
        <v>1143575</v>
      </c>
      <c r="I196" s="289">
        <f>+K0kommunestruktur2021!I196</f>
        <v>46557</v>
      </c>
      <c r="J196" s="289">
        <f>+K0kommunestruktur2021!J196</f>
        <v>1204992</v>
      </c>
      <c r="K196" s="289">
        <f>+K0kommunestruktur2021!K196</f>
        <v>46801</v>
      </c>
      <c r="L196" s="289">
        <f>+K0kommunestruktur2021!L196</f>
        <v>1250980</v>
      </c>
      <c r="M196" s="289">
        <f>+K0kommunestruktur2021!M196</f>
        <v>47107</v>
      </c>
      <c r="N196" s="289">
        <f>+K0kommunestruktur2021!N196</f>
        <v>1285032</v>
      </c>
      <c r="O196" s="289">
        <f>+K0kommunestruktur2021!O196</f>
        <v>47204</v>
      </c>
      <c r="P196" s="289">
        <f>+K0kommunestruktur2021!P196</f>
        <v>1280124</v>
      </c>
      <c r="Q196" s="289">
        <f>+K0kommunestruktur2021!Q196</f>
        <v>47499</v>
      </c>
      <c r="R196" s="289">
        <f>+K0kommunestruktur2021!R196</f>
        <v>1502871.6910000001</v>
      </c>
      <c r="S196" s="289">
        <f>VLOOKUP(A196,'K22'!A196:CU551,3)</f>
        <v>47777</v>
      </c>
      <c r="T196" s="289">
        <f>VLOOKUP(A196,'K22'!$A$4:$BV$359,26)</f>
        <v>1665811.0418653502</v>
      </c>
      <c r="U196" s="289">
        <f>VLOOKUP(A196,'Bef.fremskr. kommunenivå MMMM'!$A$5:$K$360,8)</f>
        <v>48051</v>
      </c>
      <c r="V196" s="289">
        <f>VLOOKUP(A196,'K23'!$A$4:$BV$359,26)</f>
        <v>1519709.498378678</v>
      </c>
    </row>
    <row r="197" spans="1:22" ht="13">
      <c r="A197" s="755">
        <v>3806</v>
      </c>
      <c r="B197" s="756" t="s">
        <v>904</v>
      </c>
      <c r="C197" s="289">
        <f>+K0kommunestruktur2021!C197</f>
        <v>35516</v>
      </c>
      <c r="D197" s="289">
        <f>+K0kommunestruktur2021!D197</f>
        <v>786648</v>
      </c>
      <c r="E197" s="289">
        <f>+K0kommunestruktur2021!E197</f>
        <v>35755</v>
      </c>
      <c r="F197" s="289">
        <f>+K0kommunestruktur2021!F197</f>
        <v>832456</v>
      </c>
      <c r="G197" s="289">
        <f>+K0kommunestruktur2021!G197</f>
        <v>35955</v>
      </c>
      <c r="H197" s="289">
        <f>+K0kommunestruktur2021!H197</f>
        <v>899390</v>
      </c>
      <c r="I197" s="289">
        <f>+K0kommunestruktur2021!I197</f>
        <v>36198</v>
      </c>
      <c r="J197" s="289">
        <f>+K0kommunestruktur2021!J197</f>
        <v>954527</v>
      </c>
      <c r="K197" s="289">
        <f>+K0kommunestruktur2021!K197</f>
        <v>36091</v>
      </c>
      <c r="L197" s="289">
        <f>+K0kommunestruktur2021!L197</f>
        <v>994677</v>
      </c>
      <c r="M197" s="289">
        <f>+K0kommunestruktur2021!M197</f>
        <v>36224</v>
      </c>
      <c r="N197" s="289">
        <f>+K0kommunestruktur2021!N197</f>
        <v>1030160</v>
      </c>
      <c r="O197" s="289">
        <f>+K0kommunestruktur2021!O197</f>
        <v>36397</v>
      </c>
      <c r="P197" s="289">
        <f>+K0kommunestruktur2021!P197</f>
        <v>997575</v>
      </c>
      <c r="Q197" s="289">
        <f>+K0kommunestruktur2021!Q197</f>
        <v>36526</v>
      </c>
      <c r="R197" s="289">
        <f>+K0kommunestruktur2021!R197</f>
        <v>1164383.0649999999</v>
      </c>
      <c r="S197" s="289">
        <f>VLOOKUP(A197,'K22'!A197:CU552,3)</f>
        <v>36624</v>
      </c>
      <c r="T197" s="289">
        <f>VLOOKUP(A197,'K22'!$A$4:$BV$359,26)</f>
        <v>1285192.0509767064</v>
      </c>
      <c r="U197" s="289">
        <f>VLOOKUP(A197,'Bef.fremskr. kommunenivå MMMM'!$A$5:$K$360,8)</f>
        <v>36858</v>
      </c>
      <c r="V197" s="289">
        <f>VLOOKUP(A197,'K23'!$A$4:$BV$359,26)</f>
        <v>1189177.2774663491</v>
      </c>
    </row>
    <row r="198" spans="1:22" ht="13">
      <c r="A198" s="755">
        <v>3807</v>
      </c>
      <c r="B198" s="756" t="s">
        <v>905</v>
      </c>
      <c r="C198" s="289">
        <f>+K0kommunestruktur2021!C198</f>
        <v>53439</v>
      </c>
      <c r="D198" s="289">
        <f>+K0kommunestruktur2021!D198</f>
        <v>1111721</v>
      </c>
      <c r="E198" s="289">
        <f>+K0kommunestruktur2021!E198</f>
        <v>53745</v>
      </c>
      <c r="F198" s="289">
        <f>+K0kommunestruktur2021!F198</f>
        <v>1204597</v>
      </c>
      <c r="G198" s="289">
        <f>+K0kommunestruktur2021!G198</f>
        <v>53952</v>
      </c>
      <c r="H198" s="289">
        <f>+K0kommunestruktur2021!H198</f>
        <v>1297835</v>
      </c>
      <c r="I198" s="289">
        <f>+K0kommunestruktur2021!I198</f>
        <v>54316</v>
      </c>
      <c r="J198" s="289">
        <f>+K0kommunestruktur2021!J198</f>
        <v>1350527</v>
      </c>
      <c r="K198" s="289">
        <f>+K0kommunestruktur2021!K198</f>
        <v>54510</v>
      </c>
      <c r="L198" s="289">
        <f>+K0kommunestruktur2021!L198</f>
        <v>1395616</v>
      </c>
      <c r="M198" s="289">
        <f>+K0kommunestruktur2021!M198</f>
        <v>54645</v>
      </c>
      <c r="N198" s="289">
        <f>+K0kommunestruktur2021!N198</f>
        <v>1431339</v>
      </c>
      <c r="O198" s="289">
        <f>+K0kommunestruktur2021!O198</f>
        <v>54942</v>
      </c>
      <c r="P198" s="289">
        <f>+K0kommunestruktur2021!P198</f>
        <v>1416501</v>
      </c>
      <c r="Q198" s="289">
        <f>+K0kommunestruktur2021!Q198</f>
        <v>55144</v>
      </c>
      <c r="R198" s="289">
        <f>+K0kommunestruktur2021!R198</f>
        <v>1648435.71</v>
      </c>
      <c r="S198" s="289">
        <f>VLOOKUP(A198,'K22'!A198:CU553,3)</f>
        <v>55513</v>
      </c>
      <c r="T198" s="289">
        <f>VLOOKUP(A198,'K22'!$A$4:$BV$359,26)</f>
        <v>1818860.8582132764</v>
      </c>
      <c r="U198" s="289">
        <f>VLOOKUP(A198,'Bef.fremskr. kommunenivå MMMM'!$A$5:$K$360,8)</f>
        <v>55862</v>
      </c>
      <c r="V198" s="289">
        <f>VLOOKUP(A198,'K23'!$A$4:$BV$359,26)</f>
        <v>1681398.3848895733</v>
      </c>
    </row>
    <row r="199" spans="1:22" ht="13">
      <c r="A199" s="755">
        <v>3808</v>
      </c>
      <c r="B199" s="756" t="s">
        <v>906</v>
      </c>
      <c r="C199" s="289">
        <f>+K0kommunestruktur2021!C199</f>
        <v>13054.42122694</v>
      </c>
      <c r="D199" s="289">
        <f>+K0kommunestruktur2021!D199</f>
        <v>270123.7115597775</v>
      </c>
      <c r="E199" s="289">
        <f>+K0kommunestruktur2021!E199</f>
        <v>13044.067970349999</v>
      </c>
      <c r="F199" s="289">
        <f>+K0kommunestruktur2021!F199</f>
        <v>287774.97870994557</v>
      </c>
      <c r="G199" s="289">
        <f>+K0kommunestruktur2021!G199</f>
        <v>13166.23639804</v>
      </c>
      <c r="H199" s="289">
        <f>+K0kommunestruktur2021!H199</f>
        <v>311836.98233706487</v>
      </c>
      <c r="I199" s="289">
        <f>+K0kommunestruktur2021!I199</f>
        <v>13207.649424380001</v>
      </c>
      <c r="J199" s="289">
        <f>+K0kommunestruktur2021!J199</f>
        <v>314307.26935812132</v>
      </c>
      <c r="K199" s="289">
        <f>+K0kommunestruktur2021!K199</f>
        <v>13111.36413815</v>
      </c>
      <c r="L199" s="289">
        <f>+K0kommunestruktur2021!L199</f>
        <v>322108.4481943266</v>
      </c>
      <c r="M199" s="289">
        <f>+K0kommunestruktur2021!M199</f>
        <v>13130</v>
      </c>
      <c r="N199" s="289">
        <f>+K0kommunestruktur2021!N199</f>
        <v>342153.3882668349</v>
      </c>
      <c r="O199" s="289">
        <f>+K0kommunestruktur2021!O199</f>
        <v>13049</v>
      </c>
      <c r="P199" s="289">
        <f>+K0kommunestruktur2021!P199</f>
        <v>340724</v>
      </c>
      <c r="Q199" s="289">
        <f>+K0kommunestruktur2021!Q199</f>
        <v>12994</v>
      </c>
      <c r="R199" s="289">
        <f>+K0kommunestruktur2021!R199</f>
        <v>386292.53200000001</v>
      </c>
      <c r="S199" s="289">
        <f>VLOOKUP(A199,'K22'!A199:CU554,3)</f>
        <v>13029</v>
      </c>
      <c r="T199" s="289">
        <f>VLOOKUP(A199,'K22'!$A$4:$BV$359,26)</f>
        <v>426477.04519038316</v>
      </c>
      <c r="U199" s="289">
        <f>VLOOKUP(A199,'Bef.fremskr. kommunenivå MMMM'!$A$5:$K$360,8)</f>
        <v>13069</v>
      </c>
      <c r="V199" s="289">
        <f>VLOOKUP(A199,'K23'!$A$4:$BV$359,26)</f>
        <v>392310.92565602408</v>
      </c>
    </row>
    <row r="200" spans="1:22" ht="13">
      <c r="A200" s="755">
        <v>3811</v>
      </c>
      <c r="B200" s="756" t="s">
        <v>1241</v>
      </c>
      <c r="C200" s="289">
        <f>+K0kommunestruktur2021!C200</f>
        <v>26330</v>
      </c>
      <c r="D200" s="289">
        <f>+K0kommunestruktur2021!D200</f>
        <v>669429</v>
      </c>
      <c r="E200" s="289">
        <f>+K0kommunestruktur2021!E200</f>
        <v>26445</v>
      </c>
      <c r="F200" s="289">
        <f>+K0kommunestruktur2021!F200</f>
        <v>711078</v>
      </c>
      <c r="G200" s="289">
        <f>+K0kommunestruktur2021!G200</f>
        <v>26592</v>
      </c>
      <c r="H200" s="289">
        <f>+K0kommunestruktur2021!H200</f>
        <v>787439</v>
      </c>
      <c r="I200" s="289">
        <f>+K0kommunestruktur2021!I200</f>
        <v>26676</v>
      </c>
      <c r="J200" s="289">
        <f>+K0kommunestruktur2021!J200</f>
        <v>818629</v>
      </c>
      <c r="K200" s="289">
        <f>+K0kommunestruktur2021!K200</f>
        <v>26734</v>
      </c>
      <c r="L200" s="289">
        <f>+K0kommunestruktur2021!L200</f>
        <v>826128</v>
      </c>
      <c r="M200" s="289">
        <f>+K0kommunestruktur2021!M200</f>
        <v>26700</v>
      </c>
      <c r="N200" s="289">
        <f>+K0kommunestruktur2021!N200</f>
        <v>861791</v>
      </c>
      <c r="O200" s="289">
        <f>+K0kommunestruktur2021!O200</f>
        <v>26730</v>
      </c>
      <c r="P200" s="289">
        <f>+K0kommunestruktur2021!P200</f>
        <v>859253</v>
      </c>
      <c r="Q200" s="289">
        <f>+K0kommunestruktur2021!Q200</f>
        <v>26957</v>
      </c>
      <c r="R200" s="289">
        <f>+K0kommunestruktur2021!R200</f>
        <v>999557.24</v>
      </c>
      <c r="S200" s="289">
        <f>VLOOKUP(A200,'K22'!A200:CU555,3)</f>
        <v>27165</v>
      </c>
      <c r="T200" s="289">
        <f>VLOOKUP(A200,'K22'!$A$4:$BV$359,26)</f>
        <v>1124017.0853263633</v>
      </c>
      <c r="U200" s="289">
        <f>VLOOKUP(A200,'Bef.fremskr. kommunenivå MMMM'!$A$5:$K$360,8)</f>
        <v>27437</v>
      </c>
      <c r="V200" s="289">
        <f>VLOOKUP(A200,'K23'!$A$4:$BV$359,26)</f>
        <v>1024059.286711027</v>
      </c>
    </row>
    <row r="201" spans="1:22" ht="13">
      <c r="A201" s="755">
        <v>3812</v>
      </c>
      <c r="B201" s="756" t="s">
        <v>907</v>
      </c>
      <c r="C201" s="289">
        <f>+K0kommunestruktur2021!C201</f>
        <v>2404</v>
      </c>
      <c r="D201" s="289">
        <f>+K0kommunestruktur2021!D201</f>
        <v>48534</v>
      </c>
      <c r="E201" s="289">
        <f>+K0kommunestruktur2021!E201</f>
        <v>2361</v>
      </c>
      <c r="F201" s="289">
        <f>+K0kommunestruktur2021!F201</f>
        <v>49972</v>
      </c>
      <c r="G201" s="289">
        <f>+K0kommunestruktur2021!G201</f>
        <v>2335</v>
      </c>
      <c r="H201" s="289">
        <f>+K0kommunestruktur2021!H201</f>
        <v>54288</v>
      </c>
      <c r="I201" s="289">
        <f>+K0kommunestruktur2021!I201</f>
        <v>2357</v>
      </c>
      <c r="J201" s="289">
        <f>+K0kommunestruktur2021!J201</f>
        <v>58101</v>
      </c>
      <c r="K201" s="289">
        <f>+K0kommunestruktur2021!K201</f>
        <v>2351</v>
      </c>
      <c r="L201" s="289">
        <f>+K0kommunestruktur2021!L201</f>
        <v>59881</v>
      </c>
      <c r="M201" s="289">
        <f>+K0kommunestruktur2021!M201</f>
        <v>2329</v>
      </c>
      <c r="N201" s="289">
        <f>+K0kommunestruktur2021!N201</f>
        <v>61369</v>
      </c>
      <c r="O201" s="289">
        <f>+K0kommunestruktur2021!O201</f>
        <v>2340</v>
      </c>
      <c r="P201" s="289">
        <f>+K0kommunestruktur2021!P201</f>
        <v>60081</v>
      </c>
      <c r="Q201" s="289">
        <f>+K0kommunestruktur2021!Q201</f>
        <v>2347</v>
      </c>
      <c r="R201" s="289">
        <f>+K0kommunestruktur2021!R201</f>
        <v>66355.051999999996</v>
      </c>
      <c r="S201" s="289">
        <f>VLOOKUP(A201,'K22'!A201:CU556,3)</f>
        <v>2349</v>
      </c>
      <c r="T201" s="289">
        <f>VLOOKUP(A201,'K22'!$A$4:$BV$359,26)</f>
        <v>74003.557322347813</v>
      </c>
      <c r="U201" s="289">
        <f>VLOOKUP(A201,'Bef.fremskr. kommunenivå MMMM'!$A$5:$K$360,8)</f>
        <v>2373</v>
      </c>
      <c r="V201" s="289">
        <f>VLOOKUP(A201,'K23'!$A$4:$BV$359,26)</f>
        <v>70141.206503338966</v>
      </c>
    </row>
    <row r="202" spans="1:22" ht="13">
      <c r="A202" s="755">
        <v>3813</v>
      </c>
      <c r="B202" s="756" t="s">
        <v>908</v>
      </c>
      <c r="C202" s="289">
        <f>+K0kommunestruktur2021!C202</f>
        <v>14193</v>
      </c>
      <c r="D202" s="289">
        <f>+K0kommunestruktur2021!D202</f>
        <v>315740</v>
      </c>
      <c r="E202" s="289">
        <f>+K0kommunestruktur2021!E202</f>
        <v>14140</v>
      </c>
      <c r="F202" s="289">
        <f>+K0kommunestruktur2021!F202</f>
        <v>322952</v>
      </c>
      <c r="G202" s="289">
        <f>+K0kommunestruktur2021!G202</f>
        <v>14088</v>
      </c>
      <c r="H202" s="289">
        <f>+K0kommunestruktur2021!H202</f>
        <v>355108</v>
      </c>
      <c r="I202" s="289">
        <f>+K0kommunestruktur2021!I202</f>
        <v>14138</v>
      </c>
      <c r="J202" s="289">
        <f>+K0kommunestruktur2021!J202</f>
        <v>367084</v>
      </c>
      <c r="K202" s="289">
        <f>+K0kommunestruktur2021!K202</f>
        <v>14183</v>
      </c>
      <c r="L202" s="289">
        <f>+K0kommunestruktur2021!L202</f>
        <v>382036</v>
      </c>
      <c r="M202" s="289">
        <f>+K0kommunestruktur2021!M202</f>
        <v>14089</v>
      </c>
      <c r="N202" s="289">
        <f>+K0kommunestruktur2021!N202</f>
        <v>395478</v>
      </c>
      <c r="O202" s="289">
        <f>+K0kommunestruktur2021!O202</f>
        <v>14061</v>
      </c>
      <c r="P202" s="289">
        <f>+K0kommunestruktur2021!P202</f>
        <v>392430</v>
      </c>
      <c r="Q202" s="289">
        <f>+K0kommunestruktur2021!Q202</f>
        <v>14014</v>
      </c>
      <c r="R202" s="289">
        <f>+K0kommunestruktur2021!R202</f>
        <v>464590.26500000001</v>
      </c>
      <c r="S202" s="289">
        <f>VLOOKUP(A202,'K22'!A202:CU557,3)</f>
        <v>14056</v>
      </c>
      <c r="T202" s="289">
        <f>VLOOKUP(A202,'K22'!$A$4:$BV$359,26)</f>
        <v>505729.20095184335</v>
      </c>
      <c r="U202" s="289">
        <f>VLOOKUP(A202,'Bef.fremskr. kommunenivå MMMM'!$A$5:$K$360,8)</f>
        <v>14089</v>
      </c>
      <c r="V202" s="289">
        <f>VLOOKUP(A202,'K23'!$A$4:$BV$359,26)</f>
        <v>461349.52000644983</v>
      </c>
    </row>
    <row r="203" spans="1:22" ht="13">
      <c r="A203" s="755">
        <v>3814</v>
      </c>
      <c r="B203" s="756" t="s">
        <v>910</v>
      </c>
      <c r="C203" s="289">
        <f>+K0kommunestruktur2021!C203</f>
        <v>10621</v>
      </c>
      <c r="D203" s="289">
        <f>+K0kommunestruktur2021!D203</f>
        <v>208570</v>
      </c>
      <c r="E203" s="289">
        <f>+K0kommunestruktur2021!E203</f>
        <v>10636</v>
      </c>
      <c r="F203" s="289">
        <f>+K0kommunestruktur2021!F203</f>
        <v>222964</v>
      </c>
      <c r="G203" s="289">
        <f>+K0kommunestruktur2021!G203</f>
        <v>10607</v>
      </c>
      <c r="H203" s="289">
        <f>+K0kommunestruktur2021!H203</f>
        <v>238907</v>
      </c>
      <c r="I203" s="289">
        <f>+K0kommunestruktur2021!I203</f>
        <v>10586</v>
      </c>
      <c r="J203" s="289">
        <f>+K0kommunestruktur2021!J203</f>
        <v>246804</v>
      </c>
      <c r="K203" s="289">
        <f>+K0kommunestruktur2021!K203</f>
        <v>10506</v>
      </c>
      <c r="L203" s="289">
        <f>+K0kommunestruktur2021!L203</f>
        <v>262062</v>
      </c>
      <c r="M203" s="289">
        <f>+K0kommunestruktur2021!M203</f>
        <v>10406</v>
      </c>
      <c r="N203" s="289">
        <f>+K0kommunestruktur2021!N203</f>
        <v>268676</v>
      </c>
      <c r="O203" s="289">
        <f>+K0kommunestruktur2021!O203</f>
        <v>10380</v>
      </c>
      <c r="P203" s="289">
        <f>+K0kommunestruktur2021!P203</f>
        <v>269045</v>
      </c>
      <c r="Q203" s="289">
        <f>+K0kommunestruktur2021!Q203</f>
        <v>10416</v>
      </c>
      <c r="R203" s="289">
        <f>+K0kommunestruktur2021!R203</f>
        <v>309402.73300000001</v>
      </c>
      <c r="S203" s="289">
        <f>VLOOKUP(A203,'K22'!A203:CU558,3)</f>
        <v>10351</v>
      </c>
      <c r="T203" s="289">
        <f>VLOOKUP(A203,'K22'!$A$4:$BV$359,26)</f>
        <v>362475.58972376789</v>
      </c>
      <c r="U203" s="289">
        <f>VLOOKUP(A203,'Bef.fremskr. kommunenivå MMMM'!$A$5:$K$360,8)</f>
        <v>10324</v>
      </c>
      <c r="V203" s="289">
        <f>VLOOKUP(A203,'K23'!$A$4:$BV$359,26)</f>
        <v>309214.74655896152</v>
      </c>
    </row>
    <row r="204" spans="1:22" ht="13">
      <c r="A204" s="755">
        <v>3815</v>
      </c>
      <c r="B204" s="756" t="s">
        <v>911</v>
      </c>
      <c r="C204" s="289">
        <f>+K0kommunestruktur2021!C204</f>
        <v>4135</v>
      </c>
      <c r="D204" s="289">
        <f>+K0kommunestruktur2021!D204</f>
        <v>74397</v>
      </c>
      <c r="E204" s="289">
        <f>+K0kommunestruktur2021!E204</f>
        <v>4111</v>
      </c>
      <c r="F204" s="289">
        <f>+K0kommunestruktur2021!F204</f>
        <v>77737</v>
      </c>
      <c r="G204" s="289">
        <f>+K0kommunestruktur2021!G204</f>
        <v>4136</v>
      </c>
      <c r="H204" s="289">
        <f>+K0kommunestruktur2021!H204</f>
        <v>83380</v>
      </c>
      <c r="I204" s="289">
        <f>+K0kommunestruktur2021!I204</f>
        <v>4148</v>
      </c>
      <c r="J204" s="289">
        <f>+K0kommunestruktur2021!J204</f>
        <v>85856</v>
      </c>
      <c r="K204" s="289">
        <f>+K0kommunestruktur2021!K204</f>
        <v>4105</v>
      </c>
      <c r="L204" s="289">
        <f>+K0kommunestruktur2021!L204</f>
        <v>89506</v>
      </c>
      <c r="M204" s="289">
        <f>+K0kommunestruktur2021!M204</f>
        <v>4080</v>
      </c>
      <c r="N204" s="289">
        <f>+K0kommunestruktur2021!N204</f>
        <v>91475</v>
      </c>
      <c r="O204" s="289">
        <f>+K0kommunestruktur2021!O204</f>
        <v>4060</v>
      </c>
      <c r="P204" s="289">
        <f>+K0kommunestruktur2021!P204</f>
        <v>94071</v>
      </c>
      <c r="Q204" s="289">
        <f>+K0kommunestruktur2021!Q204</f>
        <v>4071</v>
      </c>
      <c r="R204" s="289">
        <f>+K0kommunestruktur2021!R204</f>
        <v>106553.28200000001</v>
      </c>
      <c r="S204" s="289">
        <f>VLOOKUP(A204,'K22'!A204:CU559,3)</f>
        <v>4093</v>
      </c>
      <c r="T204" s="289">
        <f>VLOOKUP(A204,'K22'!$A$4:$BV$359,26)</f>
        <v>114824.77109789854</v>
      </c>
      <c r="U204" s="289">
        <f>VLOOKUP(A204,'Bef.fremskr. kommunenivå MMMM'!$A$5:$K$360,8)</f>
        <v>4092</v>
      </c>
      <c r="V204" s="289">
        <f>VLOOKUP(A204,'K23'!$A$4:$BV$359,26)</f>
        <v>108001.64864530695</v>
      </c>
    </row>
    <row r="205" spans="1:22" ht="13">
      <c r="A205" s="755">
        <v>3816</v>
      </c>
      <c r="B205" s="756" t="s">
        <v>912</v>
      </c>
      <c r="C205" s="289">
        <f>+K0kommunestruktur2021!C205</f>
        <v>6643</v>
      </c>
      <c r="D205" s="289">
        <f>+K0kommunestruktur2021!D205</f>
        <v>133614</v>
      </c>
      <c r="E205" s="289">
        <f>+K0kommunestruktur2021!E205</f>
        <v>6630</v>
      </c>
      <c r="F205" s="289">
        <f>+K0kommunestruktur2021!F205</f>
        <v>140747</v>
      </c>
      <c r="G205" s="289">
        <f>+K0kommunestruktur2021!G205</f>
        <v>6534</v>
      </c>
      <c r="H205" s="289">
        <f>+K0kommunestruktur2021!H205</f>
        <v>142744</v>
      </c>
      <c r="I205" s="289">
        <f>+K0kommunestruktur2021!I205</f>
        <v>6585</v>
      </c>
      <c r="J205" s="289">
        <f>+K0kommunestruktur2021!J205</f>
        <v>146101</v>
      </c>
      <c r="K205" s="289">
        <f>+K0kommunestruktur2021!K205</f>
        <v>6609</v>
      </c>
      <c r="L205" s="289">
        <f>+K0kommunestruktur2021!L205</f>
        <v>155467</v>
      </c>
      <c r="M205" s="289">
        <f>+K0kommunestruktur2021!M205</f>
        <v>6538</v>
      </c>
      <c r="N205" s="289">
        <f>+K0kommunestruktur2021!N205</f>
        <v>161297</v>
      </c>
      <c r="O205" s="289">
        <f>+K0kommunestruktur2021!O205</f>
        <v>6515</v>
      </c>
      <c r="P205" s="289">
        <f>+K0kommunestruktur2021!P205</f>
        <v>158065</v>
      </c>
      <c r="Q205" s="289">
        <f>+K0kommunestruktur2021!Q205</f>
        <v>6488</v>
      </c>
      <c r="R205" s="289">
        <f>+K0kommunestruktur2021!R205</f>
        <v>175956.23499999999</v>
      </c>
      <c r="S205" s="289">
        <f>VLOOKUP(A205,'K22'!A205:CU560,3)</f>
        <v>6494</v>
      </c>
      <c r="T205" s="289">
        <f>VLOOKUP(A205,'K22'!$A$4:$BV$359,26)</f>
        <v>198150.37565376773</v>
      </c>
      <c r="U205" s="289">
        <f>VLOOKUP(A205,'Bef.fremskr. kommunenivå MMMM'!$A$5:$K$360,8)</f>
        <v>6523</v>
      </c>
      <c r="V205" s="289">
        <f>VLOOKUP(A205,'K23'!$A$4:$BV$359,26)</f>
        <v>182244.05674047783</v>
      </c>
    </row>
    <row r="206" spans="1:22" ht="13">
      <c r="A206" s="755">
        <v>3817</v>
      </c>
      <c r="B206" s="756" t="s">
        <v>1627</v>
      </c>
      <c r="C206" s="289">
        <f>+K0kommunestruktur2021!C206</f>
        <v>9742.3349812300003</v>
      </c>
      <c r="D206" s="289">
        <f>+K0kommunestruktur2021!D206</f>
        <v>190758.54389815216</v>
      </c>
      <c r="E206" s="289">
        <f>+K0kommunestruktur2021!E206</f>
        <v>9899.6086240000004</v>
      </c>
      <c r="F206" s="289">
        <f>+K0kommunestruktur2021!F206</f>
        <v>202879.16323345384</v>
      </c>
      <c r="G206" s="289">
        <f>+K0kommunestruktur2021!G206</f>
        <v>10010.8509567</v>
      </c>
      <c r="H206" s="289">
        <f>+K0kommunestruktur2021!H206</f>
        <v>219597.1596631647</v>
      </c>
      <c r="I206" s="289">
        <f>+K0kommunestruktur2021!I206</f>
        <v>10131.683145659999</v>
      </c>
      <c r="J206" s="289">
        <f>+K0kommunestruktur2021!J206</f>
        <v>234448.01107763639</v>
      </c>
      <c r="K206" s="289">
        <f>+K0kommunestruktur2021!K206</f>
        <v>10375.265494830001</v>
      </c>
      <c r="L206" s="289">
        <f>+K0kommunestruktur2021!L206</f>
        <v>247525.6980683576</v>
      </c>
      <c r="M206" s="289">
        <f>+K0kommunestruktur2021!M206</f>
        <v>10475</v>
      </c>
      <c r="N206" s="289">
        <f>+K0kommunestruktur2021!N206</f>
        <v>254771.79346333424</v>
      </c>
      <c r="O206" s="289">
        <f>+K0kommunestruktur2021!O206</f>
        <v>10444</v>
      </c>
      <c r="P206" s="289">
        <f>+K0kommunestruktur2021!P206</f>
        <v>250588</v>
      </c>
      <c r="Q206" s="289">
        <f>+K0kommunestruktur2021!Q206</f>
        <v>10461</v>
      </c>
      <c r="R206" s="289">
        <f>+K0kommunestruktur2021!R206</f>
        <v>281774.505</v>
      </c>
      <c r="S206" s="289">
        <f>VLOOKUP(A206,'K22'!A206:CU561,3)</f>
        <v>10539</v>
      </c>
      <c r="T206" s="289">
        <f>VLOOKUP(A206,'K22'!$A$4:$BV$359,26)</f>
        <v>317083.45271746273</v>
      </c>
      <c r="U206" s="289">
        <f>VLOOKUP(A206,'Bef.fremskr. kommunenivå MMMM'!$A$5:$K$360,8)</f>
        <v>10717</v>
      </c>
      <c r="V206" s="289">
        <f>VLOOKUP(A206,'K23'!$A$4:$BV$359,26)</f>
        <v>296683.64641840575</v>
      </c>
    </row>
    <row r="207" spans="1:22" ht="13">
      <c r="A207" s="755">
        <v>3818</v>
      </c>
      <c r="B207" s="756" t="s">
        <v>920</v>
      </c>
      <c r="C207" s="289">
        <f>+K0kommunestruktur2021!C207</f>
        <v>5957</v>
      </c>
      <c r="D207" s="289">
        <f>+K0kommunestruktur2021!D207</f>
        <v>171332</v>
      </c>
      <c r="E207" s="289">
        <f>+K0kommunestruktur2021!E207</f>
        <v>5913</v>
      </c>
      <c r="F207" s="289">
        <f>+K0kommunestruktur2021!F207</f>
        <v>175352</v>
      </c>
      <c r="G207" s="289">
        <f>+K0kommunestruktur2021!G207</f>
        <v>5940</v>
      </c>
      <c r="H207" s="289">
        <f>+K0kommunestruktur2021!H207</f>
        <v>186961</v>
      </c>
      <c r="I207" s="289">
        <f>+K0kommunestruktur2021!I207</f>
        <v>5894</v>
      </c>
      <c r="J207" s="289">
        <f>+K0kommunestruktur2021!J207</f>
        <v>193683</v>
      </c>
      <c r="K207" s="289">
        <f>+K0kommunestruktur2021!K207</f>
        <v>5856</v>
      </c>
      <c r="L207" s="289">
        <f>+K0kommunestruktur2021!L207</f>
        <v>199842</v>
      </c>
      <c r="M207" s="289">
        <f>+K0kommunestruktur2021!M207</f>
        <v>5780</v>
      </c>
      <c r="N207" s="289">
        <f>+K0kommunestruktur2021!N207</f>
        <v>205109</v>
      </c>
      <c r="O207" s="289">
        <f>+K0kommunestruktur2021!O207</f>
        <v>5691</v>
      </c>
      <c r="P207" s="289">
        <f>+K0kommunestruktur2021!P207</f>
        <v>204259</v>
      </c>
      <c r="Q207" s="289">
        <f>+K0kommunestruktur2021!Q207</f>
        <v>5604</v>
      </c>
      <c r="R207" s="289">
        <f>+K0kommunestruktur2021!R207</f>
        <v>223349.69099999999</v>
      </c>
      <c r="S207" s="289">
        <f>VLOOKUP(A207,'K22'!A207:CU562,3)</f>
        <v>5512</v>
      </c>
      <c r="T207" s="289">
        <f>VLOOKUP(A207,'K22'!$A$4:$BV$359,26)</f>
        <v>233906.85028119583</v>
      </c>
      <c r="U207" s="289">
        <f>VLOOKUP(A207,'Bef.fremskr. kommunenivå MMMM'!$A$5:$K$360,8)</f>
        <v>5455</v>
      </c>
      <c r="V207" s="289">
        <f>VLOOKUP(A207,'K23'!$A$4:$BV$359,26)</f>
        <v>220426.23999350163</v>
      </c>
    </row>
    <row r="208" spans="1:22" ht="13">
      <c r="A208" s="755">
        <v>3819</v>
      </c>
      <c r="B208" s="756" t="s">
        <v>921</v>
      </c>
      <c r="C208" s="289">
        <f>+K0kommunestruktur2021!C208</f>
        <v>1602</v>
      </c>
      <c r="D208" s="289">
        <f>+K0kommunestruktur2021!D208</f>
        <v>39542</v>
      </c>
      <c r="E208" s="289">
        <f>+K0kommunestruktur2021!E208</f>
        <v>1594</v>
      </c>
      <c r="F208" s="289">
        <f>+K0kommunestruktur2021!F208</f>
        <v>42830</v>
      </c>
      <c r="G208" s="289">
        <f>+K0kommunestruktur2021!G208</f>
        <v>1613</v>
      </c>
      <c r="H208" s="289">
        <f>+K0kommunestruktur2021!H208</f>
        <v>40643</v>
      </c>
      <c r="I208" s="289">
        <f>+K0kommunestruktur2021!I208</f>
        <v>1593</v>
      </c>
      <c r="J208" s="289">
        <f>+K0kommunestruktur2021!J208</f>
        <v>43632</v>
      </c>
      <c r="K208" s="289">
        <f>+K0kommunestruktur2021!K208</f>
        <v>1587</v>
      </c>
      <c r="L208" s="289">
        <f>+K0kommunestruktur2021!L208</f>
        <v>47373</v>
      </c>
      <c r="M208" s="289">
        <f>+K0kommunestruktur2021!M208</f>
        <v>1572</v>
      </c>
      <c r="N208" s="289">
        <f>+K0kommunestruktur2021!N208</f>
        <v>48046</v>
      </c>
      <c r="O208" s="289">
        <f>+K0kommunestruktur2021!O208</f>
        <v>1573</v>
      </c>
      <c r="P208" s="289">
        <f>+K0kommunestruktur2021!P208</f>
        <v>47993</v>
      </c>
      <c r="Q208" s="289">
        <f>+K0kommunestruktur2021!Q208</f>
        <v>1561</v>
      </c>
      <c r="R208" s="289">
        <f>+K0kommunestruktur2021!R208</f>
        <v>54653.358999999997</v>
      </c>
      <c r="S208" s="289">
        <f>VLOOKUP(A208,'K22'!A208:CU563,3)</f>
        <v>1562</v>
      </c>
      <c r="T208" s="289">
        <f>VLOOKUP(A208,'K22'!$A$4:$BV$359,26)</f>
        <v>59850.705798924857</v>
      </c>
      <c r="U208" s="289">
        <f>VLOOKUP(A208,'Bef.fremskr. kommunenivå MMMM'!$A$5:$K$360,8)</f>
        <v>1558</v>
      </c>
      <c r="V208" s="289">
        <f>VLOOKUP(A208,'K23'!$A$4:$BV$359,26)</f>
        <v>54517.139236855219</v>
      </c>
    </row>
    <row r="209" spans="1:22" ht="13">
      <c r="A209" s="755">
        <v>3820</v>
      </c>
      <c r="B209" s="756" t="s">
        <v>922</v>
      </c>
      <c r="C209" s="289">
        <f>+K0kommunestruktur2021!C209</f>
        <v>2989</v>
      </c>
      <c r="D209" s="289">
        <f>+K0kommunestruktur2021!D209</f>
        <v>65047</v>
      </c>
      <c r="E209" s="289">
        <f>+K0kommunestruktur2021!E209</f>
        <v>3002</v>
      </c>
      <c r="F209" s="289">
        <f>+K0kommunestruktur2021!F209</f>
        <v>68192</v>
      </c>
      <c r="G209" s="289">
        <f>+K0kommunestruktur2021!G209</f>
        <v>2991</v>
      </c>
      <c r="H209" s="289">
        <f>+K0kommunestruktur2021!H209</f>
        <v>77709</v>
      </c>
      <c r="I209" s="289">
        <f>+K0kommunestruktur2021!I209</f>
        <v>2979</v>
      </c>
      <c r="J209" s="289">
        <f>+K0kommunestruktur2021!J209</f>
        <v>76975</v>
      </c>
      <c r="K209" s="289">
        <f>+K0kommunestruktur2021!K209</f>
        <v>2959</v>
      </c>
      <c r="L209" s="289">
        <f>+K0kommunestruktur2021!L209</f>
        <v>79022</v>
      </c>
      <c r="M209" s="289">
        <f>+K0kommunestruktur2021!M209</f>
        <v>2934</v>
      </c>
      <c r="N209" s="289">
        <f>+K0kommunestruktur2021!N209</f>
        <v>79899</v>
      </c>
      <c r="O209" s="289">
        <f>+K0kommunestruktur2021!O209</f>
        <v>2888</v>
      </c>
      <c r="P209" s="289">
        <f>+K0kommunestruktur2021!P209</f>
        <v>81485</v>
      </c>
      <c r="Q209" s="289">
        <f>+K0kommunestruktur2021!Q209</f>
        <v>2900</v>
      </c>
      <c r="R209" s="289">
        <f>+K0kommunestruktur2021!R209</f>
        <v>91555.714999999997</v>
      </c>
      <c r="S209" s="289">
        <f>VLOOKUP(A209,'K22'!A209:CU564,3)</f>
        <v>2889</v>
      </c>
      <c r="T209" s="289">
        <f>VLOOKUP(A209,'K22'!$A$4:$BV$359,26)</f>
        <v>101152.08050186736</v>
      </c>
      <c r="U209" s="289">
        <f>VLOOKUP(A209,'Bef.fremskr. kommunenivå MMMM'!$A$5:$K$360,8)</f>
        <v>2893</v>
      </c>
      <c r="V209" s="289">
        <f>VLOOKUP(A209,'K23'!$A$4:$BV$359,26)</f>
        <v>92154.43853713735</v>
      </c>
    </row>
    <row r="210" spans="1:22" ht="13">
      <c r="A210" s="755">
        <v>3821</v>
      </c>
      <c r="B210" s="756" t="s">
        <v>923</v>
      </c>
      <c r="C210" s="289">
        <f>+K0kommunestruktur2021!C210</f>
        <v>2468</v>
      </c>
      <c r="D210" s="289">
        <f>+K0kommunestruktur2021!D210</f>
        <v>50957</v>
      </c>
      <c r="E210" s="289">
        <f>+K0kommunestruktur2021!E210</f>
        <v>2466</v>
      </c>
      <c r="F210" s="289">
        <f>+K0kommunestruktur2021!F210</f>
        <v>53676</v>
      </c>
      <c r="G210" s="289">
        <f>+K0kommunestruktur2021!G210</f>
        <v>2448</v>
      </c>
      <c r="H210" s="289">
        <f>+K0kommunestruktur2021!H210</f>
        <v>59167</v>
      </c>
      <c r="I210" s="289">
        <f>+K0kommunestruktur2021!I210</f>
        <v>2442</v>
      </c>
      <c r="J210" s="289">
        <f>+K0kommunestruktur2021!J210</f>
        <v>59446</v>
      </c>
      <c r="K210" s="289">
        <f>+K0kommunestruktur2021!K210</f>
        <v>2397</v>
      </c>
      <c r="L210" s="289">
        <f>+K0kommunestruktur2021!L210</f>
        <v>63971</v>
      </c>
      <c r="M210" s="289">
        <f>+K0kommunestruktur2021!M210</f>
        <v>2403</v>
      </c>
      <c r="N210" s="289">
        <f>+K0kommunestruktur2021!N210</f>
        <v>65310</v>
      </c>
      <c r="O210" s="289">
        <f>+K0kommunestruktur2021!O210</f>
        <v>2403</v>
      </c>
      <c r="P210" s="289">
        <f>+K0kommunestruktur2021!P210</f>
        <v>67377</v>
      </c>
      <c r="Q210" s="289">
        <f>+K0kommunestruktur2021!Q210</f>
        <v>2430</v>
      </c>
      <c r="R210" s="289">
        <f>+K0kommunestruktur2021!R210</f>
        <v>75949.521999999997</v>
      </c>
      <c r="S210" s="289">
        <f>VLOOKUP(A210,'K22'!A210:CU565,3)</f>
        <v>2452</v>
      </c>
      <c r="T210" s="289">
        <f>VLOOKUP(A210,'K22'!$A$4:$BV$359,26)</f>
        <v>83912.535732809105</v>
      </c>
      <c r="U210" s="289">
        <f>VLOOKUP(A210,'Bef.fremskr. kommunenivå MMMM'!$A$5:$K$360,8)</f>
        <v>2470</v>
      </c>
      <c r="V210" s="289">
        <f>VLOOKUP(A210,'K23'!$A$4:$BV$359,26)</f>
        <v>78406.492709641272</v>
      </c>
    </row>
    <row r="211" spans="1:22" ht="13">
      <c r="A211" s="755">
        <v>3822</v>
      </c>
      <c r="B211" s="756" t="s">
        <v>924</v>
      </c>
      <c r="C211" s="289">
        <f>+K0kommunestruktur2021!C211</f>
        <v>1451</v>
      </c>
      <c r="D211" s="289">
        <f>+K0kommunestruktur2021!D211</f>
        <v>36611</v>
      </c>
      <c r="E211" s="289">
        <f>+K0kommunestruktur2021!E211</f>
        <v>1439</v>
      </c>
      <c r="F211" s="289">
        <f>+K0kommunestruktur2021!F211</f>
        <v>37410</v>
      </c>
      <c r="G211" s="289">
        <f>+K0kommunestruktur2021!G211</f>
        <v>1443</v>
      </c>
      <c r="H211" s="289">
        <f>+K0kommunestruktur2021!H211</f>
        <v>39677</v>
      </c>
      <c r="I211" s="289">
        <f>+K0kommunestruktur2021!I211</f>
        <v>1476</v>
      </c>
      <c r="J211" s="289">
        <f>+K0kommunestruktur2021!J211</f>
        <v>41801</v>
      </c>
      <c r="K211" s="289">
        <f>+K0kommunestruktur2021!K211</f>
        <v>1489</v>
      </c>
      <c r="L211" s="289">
        <f>+K0kommunestruktur2021!L211</f>
        <v>43371</v>
      </c>
      <c r="M211" s="289">
        <f>+K0kommunestruktur2021!M211</f>
        <v>1476</v>
      </c>
      <c r="N211" s="289">
        <f>+K0kommunestruktur2021!N211</f>
        <v>43819</v>
      </c>
      <c r="O211" s="289">
        <f>+K0kommunestruktur2021!O211</f>
        <v>1448</v>
      </c>
      <c r="P211" s="289">
        <f>+K0kommunestruktur2021!P211</f>
        <v>42926</v>
      </c>
      <c r="Q211" s="289">
        <f>+K0kommunestruktur2021!Q211</f>
        <v>1430</v>
      </c>
      <c r="R211" s="289">
        <f>+K0kommunestruktur2021!R211</f>
        <v>47756.73</v>
      </c>
      <c r="S211" s="289">
        <f>VLOOKUP(A211,'K22'!A211:CU566,3)</f>
        <v>1414</v>
      </c>
      <c r="T211" s="289">
        <f>VLOOKUP(A211,'K22'!$A$4:$BV$359,26)</f>
        <v>50416.747992196411</v>
      </c>
      <c r="U211" s="289">
        <f>VLOOKUP(A211,'Bef.fremskr. kommunenivå MMMM'!$A$5:$K$360,8)</f>
        <v>1421</v>
      </c>
      <c r="V211" s="289">
        <f>VLOOKUP(A211,'K23'!$A$4:$BV$359,26)</f>
        <v>47966.663328987415</v>
      </c>
    </row>
    <row r="212" spans="1:22" ht="13">
      <c r="A212" s="755">
        <v>3823</v>
      </c>
      <c r="B212" s="756" t="s">
        <v>925</v>
      </c>
      <c r="C212" s="289">
        <f>+K0kommunestruktur2021!C212</f>
        <v>1303</v>
      </c>
      <c r="D212" s="289">
        <f>+K0kommunestruktur2021!D212</f>
        <v>28797</v>
      </c>
      <c r="E212" s="289">
        <f>+K0kommunestruktur2021!E212</f>
        <v>1298</v>
      </c>
      <c r="F212" s="289">
        <f>+K0kommunestruktur2021!F212</f>
        <v>30134</v>
      </c>
      <c r="G212" s="289">
        <f>+K0kommunestruktur2021!G212</f>
        <v>1323</v>
      </c>
      <c r="H212" s="289">
        <f>+K0kommunestruktur2021!H212</f>
        <v>31376</v>
      </c>
      <c r="I212" s="289">
        <f>+K0kommunestruktur2021!I212</f>
        <v>1319</v>
      </c>
      <c r="J212" s="289">
        <f>+K0kommunestruktur2021!J212</f>
        <v>31788</v>
      </c>
      <c r="K212" s="289">
        <f>+K0kommunestruktur2021!K212</f>
        <v>1320</v>
      </c>
      <c r="L212" s="289">
        <f>+K0kommunestruktur2021!L212</f>
        <v>35116</v>
      </c>
      <c r="M212" s="289">
        <f>+K0kommunestruktur2021!M212</f>
        <v>1286</v>
      </c>
      <c r="N212" s="289">
        <f>+K0kommunestruktur2021!N212</f>
        <v>35476</v>
      </c>
      <c r="O212" s="289">
        <f>+K0kommunestruktur2021!O212</f>
        <v>1287</v>
      </c>
      <c r="P212" s="289">
        <f>+K0kommunestruktur2021!P212</f>
        <v>35369</v>
      </c>
      <c r="Q212" s="289">
        <f>+K0kommunestruktur2021!Q212</f>
        <v>1228</v>
      </c>
      <c r="R212" s="289">
        <f>+K0kommunestruktur2021!R212</f>
        <v>39973.891000000003</v>
      </c>
      <c r="S212" s="289">
        <f>VLOOKUP(A212,'K22'!A212:CU567,3)</f>
        <v>1198</v>
      </c>
      <c r="T212" s="289">
        <f>VLOOKUP(A212,'K22'!$A$4:$BV$359,26)</f>
        <v>40227.118971756339</v>
      </c>
      <c r="U212" s="289">
        <f>VLOOKUP(A212,'Bef.fremskr. kommunenivå MMMM'!$A$5:$K$360,8)</f>
        <v>1199</v>
      </c>
      <c r="V212" s="289">
        <f>VLOOKUP(A212,'K23'!$A$4:$BV$359,26)</f>
        <v>38338.253599883596</v>
      </c>
    </row>
    <row r="213" spans="1:22" ht="13">
      <c r="A213" s="755">
        <v>3824</v>
      </c>
      <c r="B213" s="756" t="s">
        <v>926</v>
      </c>
      <c r="C213" s="289">
        <f>+K0kommunestruktur2021!C213</f>
        <v>2257</v>
      </c>
      <c r="D213" s="289">
        <f>+K0kommunestruktur2021!D213</f>
        <v>71072</v>
      </c>
      <c r="E213" s="289">
        <f>+K0kommunestruktur2021!E213</f>
        <v>2252</v>
      </c>
      <c r="F213" s="289">
        <f>+K0kommunestruktur2021!F213</f>
        <v>73784</v>
      </c>
      <c r="G213" s="289">
        <f>+K0kommunestruktur2021!G213</f>
        <v>2246</v>
      </c>
      <c r="H213" s="289">
        <f>+K0kommunestruktur2021!H213</f>
        <v>75679</v>
      </c>
      <c r="I213" s="289">
        <f>+K0kommunestruktur2021!I213</f>
        <v>2228</v>
      </c>
      <c r="J213" s="289">
        <f>+K0kommunestruktur2021!J213</f>
        <v>75885</v>
      </c>
      <c r="K213" s="289">
        <f>+K0kommunestruktur2021!K213</f>
        <v>2236</v>
      </c>
      <c r="L213" s="289">
        <f>+K0kommunestruktur2021!L213</f>
        <v>78415</v>
      </c>
      <c r="M213" s="289">
        <f>+K0kommunestruktur2021!M213</f>
        <v>2228</v>
      </c>
      <c r="N213" s="289">
        <f>+K0kommunestruktur2021!N213</f>
        <v>83047</v>
      </c>
      <c r="O213" s="289">
        <f>+K0kommunestruktur2021!O213</f>
        <v>2201</v>
      </c>
      <c r="P213" s="289">
        <f>+K0kommunestruktur2021!P213</f>
        <v>84882</v>
      </c>
      <c r="Q213" s="289">
        <f>+K0kommunestruktur2021!Q213</f>
        <v>2164</v>
      </c>
      <c r="R213" s="289">
        <f>+K0kommunestruktur2021!R213</f>
        <v>94526.759000000005</v>
      </c>
      <c r="S213" s="289">
        <f>VLOOKUP(A213,'K22'!A213:CU568,3)</f>
        <v>2140</v>
      </c>
      <c r="T213" s="289">
        <f>VLOOKUP(A213,'K22'!$A$4:$BV$359,26)</f>
        <v>95991.261679949996</v>
      </c>
      <c r="U213" s="289">
        <f>VLOOKUP(A213,'Bef.fremskr. kommunenivå MMMM'!$A$5:$K$360,8)</f>
        <v>2119</v>
      </c>
      <c r="V213" s="289">
        <f>VLOOKUP(A213,'K23'!$A$4:$BV$359,26)</f>
        <v>91569.011840336767</v>
      </c>
    </row>
    <row r="214" spans="1:22" ht="13">
      <c r="A214" s="755">
        <v>3825</v>
      </c>
      <c r="B214" s="756" t="s">
        <v>927</v>
      </c>
      <c r="C214" s="289">
        <f>+K0kommunestruktur2021!C214</f>
        <v>3723</v>
      </c>
      <c r="D214" s="289">
        <f>+K0kommunestruktur2021!D214</f>
        <v>126108</v>
      </c>
      <c r="E214" s="289">
        <f>+K0kommunestruktur2021!E214</f>
        <v>3689</v>
      </c>
      <c r="F214" s="289">
        <f>+K0kommunestruktur2021!F214</f>
        <v>128208</v>
      </c>
      <c r="G214" s="289">
        <f>+K0kommunestruktur2021!G214</f>
        <v>3727</v>
      </c>
      <c r="H214" s="289">
        <f>+K0kommunestruktur2021!H214</f>
        <v>139735</v>
      </c>
      <c r="I214" s="289">
        <f>+K0kommunestruktur2021!I214</f>
        <v>3726</v>
      </c>
      <c r="J214" s="289">
        <f>+K0kommunestruktur2021!J214</f>
        <v>147661</v>
      </c>
      <c r="K214" s="289">
        <f>+K0kommunestruktur2021!K214</f>
        <v>3709</v>
      </c>
      <c r="L214" s="289">
        <f>+K0kommunestruktur2021!L214</f>
        <v>151716</v>
      </c>
      <c r="M214" s="289">
        <f>+K0kommunestruktur2021!M214</f>
        <v>3723</v>
      </c>
      <c r="N214" s="289">
        <f>+K0kommunestruktur2021!N214</f>
        <v>154659</v>
      </c>
      <c r="O214" s="289">
        <f>+K0kommunestruktur2021!O214</f>
        <v>3676</v>
      </c>
      <c r="P214" s="289">
        <f>+K0kommunestruktur2021!P214</f>
        <v>150015</v>
      </c>
      <c r="Q214" s="289">
        <f>+K0kommunestruktur2021!Q214</f>
        <v>3756</v>
      </c>
      <c r="R214" s="289">
        <f>+K0kommunestruktur2021!R214</f>
        <v>172555.34</v>
      </c>
      <c r="S214" s="289">
        <f>VLOOKUP(A214,'K22'!A214:CU569,3)</f>
        <v>3755</v>
      </c>
      <c r="T214" s="289">
        <f>VLOOKUP(A214,'K22'!$A$4:$BV$359,26)</f>
        <v>184220.84569381451</v>
      </c>
      <c r="U214" s="289">
        <f>VLOOKUP(A214,'Bef.fremskr. kommunenivå MMMM'!$A$5:$K$360,8)</f>
        <v>3779</v>
      </c>
      <c r="V214" s="289">
        <f>VLOOKUP(A214,'K23'!$A$4:$BV$359,26)</f>
        <v>173462.61248571609</v>
      </c>
    </row>
    <row r="215" spans="1:22" ht="13">
      <c r="A215" s="755">
        <v>4201</v>
      </c>
      <c r="B215" s="756" t="s">
        <v>928</v>
      </c>
      <c r="C215" s="289">
        <f>+K0kommunestruktur2021!C215</f>
        <v>6899</v>
      </c>
      <c r="D215" s="289">
        <f>+K0kommunestruktur2021!D215</f>
        <v>134355</v>
      </c>
      <c r="E215" s="289">
        <f>+K0kommunestruktur2021!E215</f>
        <v>6909</v>
      </c>
      <c r="F215" s="289">
        <f>+K0kommunestruktur2021!F215</f>
        <v>147885</v>
      </c>
      <c r="G215" s="289">
        <f>+K0kommunestruktur2021!G215</f>
        <v>6920</v>
      </c>
      <c r="H215" s="289">
        <f>+K0kommunestruktur2021!H215</f>
        <v>167375</v>
      </c>
      <c r="I215" s="289">
        <f>+K0kommunestruktur2021!I215</f>
        <v>6936</v>
      </c>
      <c r="J215" s="289">
        <f>+K0kommunestruktur2021!J215</f>
        <v>169353</v>
      </c>
      <c r="K215" s="289">
        <f>+K0kommunestruktur2021!K215</f>
        <v>6882</v>
      </c>
      <c r="L215" s="289">
        <f>+K0kommunestruktur2021!L215</f>
        <v>167642</v>
      </c>
      <c r="M215" s="289">
        <f>+K0kommunestruktur2021!M215</f>
        <v>6848</v>
      </c>
      <c r="N215" s="289">
        <f>+K0kommunestruktur2021!N215</f>
        <v>177519</v>
      </c>
      <c r="O215" s="289">
        <f>+K0kommunestruktur2021!O215</f>
        <v>6809</v>
      </c>
      <c r="P215" s="289">
        <f>+K0kommunestruktur2021!P215</f>
        <v>180186</v>
      </c>
      <c r="Q215" s="289">
        <f>+K0kommunestruktur2021!Q215</f>
        <v>6762</v>
      </c>
      <c r="R215" s="289">
        <f>+K0kommunestruktur2021!R215</f>
        <v>199212.78400000001</v>
      </c>
      <c r="S215" s="289">
        <f>VLOOKUP(A215,'K22'!A215:CU570,3)</f>
        <v>6735</v>
      </c>
      <c r="T215" s="289">
        <f>VLOOKUP(A215,'K22'!$A$4:$BV$359,26)</f>
        <v>226442.22710573251</v>
      </c>
      <c r="U215" s="289">
        <f>VLOOKUP(A215,'Bef.fremskr. kommunenivå MMMM'!$A$5:$K$360,8)</f>
        <v>6716</v>
      </c>
      <c r="V215" s="289">
        <f>VLOOKUP(A215,'K23'!$A$4:$BV$359,26)</f>
        <v>202285.17036892948</v>
      </c>
    </row>
    <row r="216" spans="1:22" ht="13">
      <c r="A216" s="755">
        <v>4202</v>
      </c>
      <c r="B216" s="756" t="s">
        <v>929</v>
      </c>
      <c r="C216" s="289">
        <f>+K0kommunestruktur2021!C216</f>
        <v>21783</v>
      </c>
      <c r="D216" s="289">
        <f>+K0kommunestruktur2021!D216</f>
        <v>553534</v>
      </c>
      <c r="E216" s="289">
        <f>+K0kommunestruktur2021!E216</f>
        <v>22098</v>
      </c>
      <c r="F216" s="289">
        <f>+K0kommunestruktur2021!F216</f>
        <v>543922</v>
      </c>
      <c r="G216" s="289">
        <f>+K0kommunestruktur2021!G216</f>
        <v>22550</v>
      </c>
      <c r="H216" s="289">
        <f>+K0kommunestruktur2021!H216</f>
        <v>604347</v>
      </c>
      <c r="I216" s="289">
        <f>+K0kommunestruktur2021!I216</f>
        <v>22692</v>
      </c>
      <c r="J216" s="289">
        <f>+K0kommunestruktur2021!J216</f>
        <v>697878</v>
      </c>
      <c r="K216" s="289">
        <f>+K0kommunestruktur2021!K216</f>
        <v>23017</v>
      </c>
      <c r="L216" s="289">
        <f>+K0kommunestruktur2021!L216</f>
        <v>637254</v>
      </c>
      <c r="M216" s="289">
        <f>+K0kommunestruktur2021!M216</f>
        <v>23246</v>
      </c>
      <c r="N216" s="289">
        <f>+K0kommunestruktur2021!N216</f>
        <v>551458</v>
      </c>
      <c r="O216" s="289">
        <f>+K0kommunestruktur2021!O216</f>
        <v>23544</v>
      </c>
      <c r="P216" s="289">
        <f>+K0kommunestruktur2021!P216</f>
        <v>635058</v>
      </c>
      <c r="Q216" s="289">
        <f>+K0kommunestruktur2021!Q216</f>
        <v>23891</v>
      </c>
      <c r="R216" s="289">
        <f>+K0kommunestruktur2021!R216</f>
        <v>732951.91099999996</v>
      </c>
      <c r="S216" s="289">
        <f>VLOOKUP(A216,'K22'!A216:CU571,3)</f>
        <v>24017</v>
      </c>
      <c r="T216" s="289">
        <f>VLOOKUP(A216,'K22'!$A$4:$BV$359,26)</f>
        <v>797288.99315951567</v>
      </c>
      <c r="U216" s="289">
        <f>VLOOKUP(A216,'Bef.fremskr. kommunenivå MMMM'!$A$5:$K$360,8)</f>
        <v>24289</v>
      </c>
      <c r="V216" s="289">
        <f>VLOOKUP(A216,'K23'!$A$4:$BV$359,26)</f>
        <v>725602.88176312635</v>
      </c>
    </row>
    <row r="217" spans="1:22" ht="13">
      <c r="A217" s="755">
        <v>4203</v>
      </c>
      <c r="B217" s="756" t="s">
        <v>930</v>
      </c>
      <c r="C217" s="289">
        <f>+K0kommunestruktur2021!C217</f>
        <v>43841</v>
      </c>
      <c r="D217" s="289">
        <f>+K0kommunestruktur2021!D217</f>
        <v>938268</v>
      </c>
      <c r="E217" s="289">
        <f>+K0kommunestruktur2021!E217</f>
        <v>44219</v>
      </c>
      <c r="F217" s="289">
        <f>+K0kommunestruktur2021!F217</f>
        <v>1003175</v>
      </c>
      <c r="G217" s="289">
        <f>+K0kommunestruktur2021!G217</f>
        <v>44313</v>
      </c>
      <c r="H217" s="289">
        <f>+K0kommunestruktur2021!H217</f>
        <v>1080289</v>
      </c>
      <c r="I217" s="289">
        <f>+K0kommunestruktur2021!I217</f>
        <v>44576</v>
      </c>
      <c r="J217" s="289">
        <f>+K0kommunestruktur2021!J217</f>
        <v>1108406</v>
      </c>
      <c r="K217" s="289">
        <f>+K0kommunestruktur2021!K217</f>
        <v>44645</v>
      </c>
      <c r="L217" s="289">
        <f>+K0kommunestruktur2021!L217</f>
        <v>1138206</v>
      </c>
      <c r="M217" s="289">
        <f>+K0kommunestruktur2021!M217</f>
        <v>44785</v>
      </c>
      <c r="N217" s="289">
        <f>+K0kommunestruktur2021!N217</f>
        <v>1184748</v>
      </c>
      <c r="O217" s="289">
        <f>+K0kommunestruktur2021!O217</f>
        <v>44999</v>
      </c>
      <c r="P217" s="289">
        <f>+K0kommunestruktur2021!P217</f>
        <v>1167063</v>
      </c>
      <c r="Q217" s="289">
        <f>+K0kommunestruktur2021!Q217</f>
        <v>45065</v>
      </c>
      <c r="R217" s="289">
        <f>+K0kommunestruktur2021!R217</f>
        <v>1363662.236</v>
      </c>
      <c r="S217" s="289">
        <f>VLOOKUP(A217,'K22'!A217:CU572,3)</f>
        <v>45509</v>
      </c>
      <c r="T217" s="289">
        <f>VLOOKUP(A217,'K22'!$A$4:$BV$359,26)</f>
        <v>1505098.6323856148</v>
      </c>
      <c r="U217" s="289">
        <f>VLOOKUP(A217,'Bef.fremskr. kommunenivå MMMM'!$A$5:$K$360,8)</f>
        <v>45720</v>
      </c>
      <c r="V217" s="289">
        <f>VLOOKUP(A217,'K23'!$A$4:$BV$359,26)</f>
        <v>1389132.4331632908</v>
      </c>
    </row>
    <row r="218" spans="1:22" ht="13">
      <c r="A218" s="755">
        <v>4204</v>
      </c>
      <c r="B218" s="756" t="s">
        <v>1628</v>
      </c>
      <c r="C218" s="289">
        <f>+K0kommunestruktur2021!C218</f>
        <v>103291</v>
      </c>
      <c r="D218" s="289">
        <f>+K0kommunestruktur2021!D218</f>
        <v>2405171</v>
      </c>
      <c r="E218" s="289">
        <f>+K0kommunestruktur2021!E218</f>
        <v>105017</v>
      </c>
      <c r="F218" s="289">
        <f>+K0kommunestruktur2021!F218</f>
        <v>2540754</v>
      </c>
      <c r="G218" s="289">
        <f>+K0kommunestruktur2021!G218</f>
        <v>106126</v>
      </c>
      <c r="H218" s="289">
        <f>+K0kommunestruktur2021!H218</f>
        <v>2745531</v>
      </c>
      <c r="I218" s="289">
        <f>+K0kommunestruktur2021!I218</f>
        <v>107157</v>
      </c>
      <c r="J218" s="289">
        <f>+K0kommunestruktur2021!J218</f>
        <v>2802164</v>
      </c>
      <c r="K218" s="289">
        <f>+K0kommunestruktur2021!K218</f>
        <v>109438</v>
      </c>
      <c r="L218" s="289">
        <f>+K0kommunestruktur2021!L218</f>
        <v>2968176</v>
      </c>
      <c r="M218" s="289">
        <f>+K0kommunestruktur2021!M218</f>
        <v>110391</v>
      </c>
      <c r="N218" s="289">
        <f>+K0kommunestruktur2021!N218</f>
        <v>3051787</v>
      </c>
      <c r="O218" s="289">
        <f>+K0kommunestruktur2021!O218</f>
        <v>111633</v>
      </c>
      <c r="P218" s="289">
        <f>+K0kommunestruktur2021!P218</f>
        <v>3039670</v>
      </c>
      <c r="Q218" s="289">
        <f>+K0kommunestruktur2021!Q218</f>
        <v>112588</v>
      </c>
      <c r="R218" s="289">
        <f>+K0kommunestruktur2021!R218</f>
        <v>3521880.56</v>
      </c>
      <c r="S218" s="289">
        <f>VLOOKUP(A218,'K22'!A218:CU573,3)</f>
        <v>113737</v>
      </c>
      <c r="T218" s="289">
        <f>VLOOKUP(A218,'K22'!$A$4:$BV$359,26)</f>
        <v>3977290.0129548102</v>
      </c>
      <c r="U218" s="289">
        <f>VLOOKUP(A218,'Bef.fremskr. kommunenivå MMMM'!$A$5:$K$360,8)</f>
        <v>115247</v>
      </c>
      <c r="V218" s="289">
        <f>VLOOKUP(A218,'K23'!$A$4:$BV$359,26)</f>
        <v>3652123.8416874614</v>
      </c>
    </row>
    <row r="219" spans="1:22" ht="13">
      <c r="A219" s="755">
        <v>4205</v>
      </c>
      <c r="B219" s="756" t="s">
        <v>1629</v>
      </c>
      <c r="C219" s="289">
        <f>+K0kommunestruktur2021!C219</f>
        <v>22492</v>
      </c>
      <c r="D219" s="289">
        <f>+K0kommunestruktur2021!D219</f>
        <v>447051</v>
      </c>
      <c r="E219" s="289">
        <f>+K0kommunestruktur2021!E219</f>
        <v>22611</v>
      </c>
      <c r="F219" s="289">
        <f>+K0kommunestruktur2021!F219</f>
        <v>480798</v>
      </c>
      <c r="G219" s="289">
        <f>+K0kommunestruktur2021!G219</f>
        <v>22762</v>
      </c>
      <c r="H219" s="289">
        <f>+K0kommunestruktur2021!H219</f>
        <v>526541</v>
      </c>
      <c r="I219" s="289">
        <f>+K0kommunestruktur2021!I219</f>
        <v>22859</v>
      </c>
      <c r="J219" s="289">
        <f>+K0kommunestruktur2021!J219</f>
        <v>551941</v>
      </c>
      <c r="K219" s="289">
        <f>+K0kommunestruktur2021!K219</f>
        <v>22905</v>
      </c>
      <c r="L219" s="289">
        <f>+K0kommunestruktur2021!L219</f>
        <v>566314</v>
      </c>
      <c r="M219" s="289">
        <f>+K0kommunestruktur2021!M219</f>
        <v>22909</v>
      </c>
      <c r="N219" s="289">
        <f>+K0kommunestruktur2021!N219</f>
        <v>595597</v>
      </c>
      <c r="O219" s="289">
        <f>+K0kommunestruktur2021!O219</f>
        <v>23046</v>
      </c>
      <c r="P219" s="289">
        <f>+K0kommunestruktur2021!P219</f>
        <v>591163</v>
      </c>
      <c r="Q219" s="289">
        <f>+K0kommunestruktur2021!Q219</f>
        <v>23055</v>
      </c>
      <c r="R219" s="289">
        <f>+K0kommunestruktur2021!R219</f>
        <v>662637.62300000002</v>
      </c>
      <c r="S219" s="289">
        <f>VLOOKUP(A219,'K22'!A219:CU574,3)</f>
        <v>23147</v>
      </c>
      <c r="T219" s="289">
        <f>VLOOKUP(A219,'K22'!$A$4:$BV$359,26)</f>
        <v>746013.8789243541</v>
      </c>
      <c r="U219" s="289">
        <f>VLOOKUP(A219,'Bef.fremskr. kommunenivå MMMM'!$A$5:$K$360,8)</f>
        <v>23180</v>
      </c>
      <c r="V219" s="289">
        <f>VLOOKUP(A219,'K23'!$A$4:$BV$359,26)</f>
        <v>685471.56850973319</v>
      </c>
    </row>
    <row r="220" spans="1:22" ht="13">
      <c r="A220" s="755">
        <v>4206</v>
      </c>
      <c r="B220" s="756" t="s">
        <v>944</v>
      </c>
      <c r="C220" s="289">
        <f>+K0kommunestruktur2021!C220</f>
        <v>9516</v>
      </c>
      <c r="D220" s="289">
        <f>+K0kommunestruktur2021!D220</f>
        <v>213055</v>
      </c>
      <c r="E220" s="289">
        <f>+K0kommunestruktur2021!E220</f>
        <v>9596</v>
      </c>
      <c r="F220" s="289">
        <f>+K0kommunestruktur2021!F220</f>
        <v>220937</v>
      </c>
      <c r="G220" s="289">
        <f>+K0kommunestruktur2021!G220</f>
        <v>9705</v>
      </c>
      <c r="H220" s="289">
        <f>+K0kommunestruktur2021!H220</f>
        <v>232824</v>
      </c>
      <c r="I220" s="289">
        <f>+K0kommunestruktur2021!I220</f>
        <v>9769</v>
      </c>
      <c r="J220" s="289">
        <f>+K0kommunestruktur2021!J220</f>
        <v>236747</v>
      </c>
      <c r="K220" s="289">
        <f>+K0kommunestruktur2021!K220</f>
        <v>9726</v>
      </c>
      <c r="L220" s="289">
        <f>+K0kommunestruktur2021!L220</f>
        <v>246461</v>
      </c>
      <c r="M220" s="289">
        <f>+K0kommunestruktur2021!M220</f>
        <v>9695</v>
      </c>
      <c r="N220" s="289">
        <f>+K0kommunestruktur2021!N220</f>
        <v>255900</v>
      </c>
      <c r="O220" s="289">
        <f>+K0kommunestruktur2021!O220</f>
        <v>9691</v>
      </c>
      <c r="P220" s="289">
        <f>+K0kommunestruktur2021!P220</f>
        <v>247224</v>
      </c>
      <c r="Q220" s="289">
        <f>+K0kommunestruktur2021!Q220</f>
        <v>9645</v>
      </c>
      <c r="R220" s="289">
        <f>+K0kommunestruktur2021!R220</f>
        <v>282688.32199999999</v>
      </c>
      <c r="S220" s="289">
        <f>VLOOKUP(A220,'K22'!A220:CU575,3)</f>
        <v>9622</v>
      </c>
      <c r="T220" s="289">
        <f>VLOOKUP(A220,'K22'!$A$4:$BV$359,26)</f>
        <v>308342.21462547942</v>
      </c>
      <c r="U220" s="289">
        <f>VLOOKUP(A220,'Bef.fremskr. kommunenivå MMMM'!$A$5:$K$360,8)</f>
        <v>9575</v>
      </c>
      <c r="V220" s="289">
        <f>VLOOKUP(A220,'K23'!$A$4:$BV$359,26)</f>
        <v>286099.15855350444</v>
      </c>
    </row>
    <row r="221" spans="1:22" ht="13">
      <c r="A221" s="755">
        <v>4207</v>
      </c>
      <c r="B221" s="756" t="s">
        <v>946</v>
      </c>
      <c r="C221" s="289">
        <f>+K0kommunestruktur2021!C221</f>
        <v>9013</v>
      </c>
      <c r="D221" s="289">
        <f>+K0kommunestruktur2021!D221</f>
        <v>207629</v>
      </c>
      <c r="E221" s="289">
        <f>+K0kommunestruktur2021!E221</f>
        <v>9069</v>
      </c>
      <c r="F221" s="289">
        <f>+K0kommunestruktur2021!F221</f>
        <v>221234</v>
      </c>
      <c r="G221" s="289">
        <f>+K0kommunestruktur2021!G221</f>
        <v>9096</v>
      </c>
      <c r="H221" s="289">
        <f>+K0kommunestruktur2021!H221</f>
        <v>234968</v>
      </c>
      <c r="I221" s="289">
        <f>+K0kommunestruktur2021!I221</f>
        <v>9090</v>
      </c>
      <c r="J221" s="289">
        <f>+K0kommunestruktur2021!J221</f>
        <v>235474</v>
      </c>
      <c r="K221" s="289">
        <f>+K0kommunestruktur2021!K221</f>
        <v>9066</v>
      </c>
      <c r="L221" s="289">
        <f>+K0kommunestruktur2021!L221</f>
        <v>241314</v>
      </c>
      <c r="M221" s="289">
        <f>+K0kommunestruktur2021!M221</f>
        <v>9066</v>
      </c>
      <c r="N221" s="289">
        <f>+K0kommunestruktur2021!N221</f>
        <v>248272</v>
      </c>
      <c r="O221" s="289">
        <f>+K0kommunestruktur2021!O221</f>
        <v>9028</v>
      </c>
      <c r="P221" s="289">
        <f>+K0kommunestruktur2021!P221</f>
        <v>244980</v>
      </c>
      <c r="Q221" s="289">
        <f>+K0kommunestruktur2021!Q221</f>
        <v>9027</v>
      </c>
      <c r="R221" s="289">
        <f>+K0kommunestruktur2021!R221</f>
        <v>274161.28899999999</v>
      </c>
      <c r="S221" s="289">
        <f>VLOOKUP(A221,'K22'!A221:CU576,3)</f>
        <v>9048</v>
      </c>
      <c r="T221" s="289">
        <f>VLOOKUP(A221,'K22'!$A$4:$BV$359,26)</f>
        <v>305468.80383243592</v>
      </c>
      <c r="U221" s="289">
        <f>VLOOKUP(A221,'Bef.fremskr. kommunenivå MMMM'!$A$5:$K$360,8)</f>
        <v>9031</v>
      </c>
      <c r="V221" s="289">
        <f>VLOOKUP(A221,'K23'!$A$4:$BV$359,26)</f>
        <v>281949.71191666496</v>
      </c>
    </row>
    <row r="222" spans="1:22" ht="13">
      <c r="A222" s="755">
        <v>4211</v>
      </c>
      <c r="B222" s="756" t="s">
        <v>931</v>
      </c>
      <c r="C222" s="289">
        <f>+K0kommunestruktur2021!C222</f>
        <v>2489</v>
      </c>
      <c r="D222" s="289">
        <f>+K0kommunestruktur2021!D222</f>
        <v>42217</v>
      </c>
      <c r="E222" s="289">
        <f>+K0kommunestruktur2021!E222</f>
        <v>2481</v>
      </c>
      <c r="F222" s="289">
        <f>+K0kommunestruktur2021!F222</f>
        <v>45870</v>
      </c>
      <c r="G222" s="289">
        <f>+K0kommunestruktur2021!G222</f>
        <v>2473</v>
      </c>
      <c r="H222" s="289">
        <f>+K0kommunestruktur2021!H222</f>
        <v>50912</v>
      </c>
      <c r="I222" s="289">
        <f>+K0kommunestruktur2021!I222</f>
        <v>2511</v>
      </c>
      <c r="J222" s="289">
        <f>+K0kommunestruktur2021!J222</f>
        <v>47795</v>
      </c>
      <c r="K222" s="289">
        <f>+K0kommunestruktur2021!K222</f>
        <v>2467</v>
      </c>
      <c r="L222" s="289">
        <f>+K0kommunestruktur2021!L222</f>
        <v>49187</v>
      </c>
      <c r="M222" s="289">
        <f>+K0kommunestruktur2021!M222</f>
        <v>2454</v>
      </c>
      <c r="N222" s="289">
        <f>+K0kommunestruktur2021!N222</f>
        <v>53222</v>
      </c>
      <c r="O222" s="289">
        <f>+K0kommunestruktur2021!O222</f>
        <v>2428</v>
      </c>
      <c r="P222" s="289">
        <f>+K0kommunestruktur2021!P222</f>
        <v>52631</v>
      </c>
      <c r="Q222" s="289">
        <f>+K0kommunestruktur2021!Q222</f>
        <v>2430</v>
      </c>
      <c r="R222" s="289">
        <f>+K0kommunestruktur2021!R222</f>
        <v>60138.071000000004</v>
      </c>
      <c r="S222" s="289">
        <f>VLOOKUP(A222,'K22'!A222:CU577,3)</f>
        <v>2427</v>
      </c>
      <c r="T222" s="289">
        <f>VLOOKUP(A222,'K22'!$A$4:$BV$359,26)</f>
        <v>64710.451605177215</v>
      </c>
      <c r="U222" s="289">
        <f>VLOOKUP(A222,'Bef.fremskr. kommunenivå MMMM'!$A$5:$K$360,8)</f>
        <v>2421</v>
      </c>
      <c r="V222" s="289">
        <f>VLOOKUP(A222,'K23'!$A$4:$BV$359,26)</f>
        <v>60653.448843375707</v>
      </c>
    </row>
    <row r="223" spans="1:22" ht="13">
      <c r="A223" s="755">
        <v>4212</v>
      </c>
      <c r="B223" s="756" t="s">
        <v>706</v>
      </c>
      <c r="C223" s="289">
        <f>+K0kommunestruktur2021!C223</f>
        <v>2000</v>
      </c>
      <c r="D223" s="289">
        <f>+K0kommunestruktur2021!D223</f>
        <v>33620</v>
      </c>
      <c r="E223" s="289">
        <f>+K0kommunestruktur2021!E223</f>
        <v>2018</v>
      </c>
      <c r="F223" s="289">
        <f>+K0kommunestruktur2021!F223</f>
        <v>35967</v>
      </c>
      <c r="G223" s="289">
        <f>+K0kommunestruktur2021!G223</f>
        <v>2036</v>
      </c>
      <c r="H223" s="289">
        <f>+K0kommunestruktur2021!H223</f>
        <v>38688</v>
      </c>
      <c r="I223" s="289">
        <f>+K0kommunestruktur2021!I223</f>
        <v>2104</v>
      </c>
      <c r="J223" s="289">
        <f>+K0kommunestruktur2021!J223</f>
        <v>43056</v>
      </c>
      <c r="K223" s="289">
        <f>+K0kommunestruktur2021!K223</f>
        <v>2087</v>
      </c>
      <c r="L223" s="289">
        <f>+K0kommunestruktur2021!L223</f>
        <v>44994</v>
      </c>
      <c r="M223" s="289">
        <f>+K0kommunestruktur2021!M223</f>
        <v>2093</v>
      </c>
      <c r="N223" s="289">
        <f>+K0kommunestruktur2021!N223</f>
        <v>46962</v>
      </c>
      <c r="O223" s="289">
        <f>+K0kommunestruktur2021!O223</f>
        <v>2097</v>
      </c>
      <c r="P223" s="289">
        <f>+K0kommunestruktur2021!P223</f>
        <v>47456</v>
      </c>
      <c r="Q223" s="289">
        <f>+K0kommunestruktur2021!Q223</f>
        <v>2128</v>
      </c>
      <c r="R223" s="289">
        <f>+K0kommunestruktur2021!R223</f>
        <v>53853.637999999999</v>
      </c>
      <c r="S223" s="289">
        <f>VLOOKUP(A223,'K22'!A223:CU578,3)</f>
        <v>2131</v>
      </c>
      <c r="T223" s="289">
        <f>VLOOKUP(A223,'K22'!$A$4:$BV$359,26)</f>
        <v>58595.14670841051</v>
      </c>
      <c r="U223" s="289">
        <f>VLOOKUP(A223,'Bef.fremskr. kommunenivå MMMM'!$A$5:$K$360,8)</f>
        <v>2137</v>
      </c>
      <c r="V223" s="289">
        <f>VLOOKUP(A223,'K23'!$A$4:$BV$359,26)</f>
        <v>55346.115704702235</v>
      </c>
    </row>
    <row r="224" spans="1:22" ht="13">
      <c r="A224" s="755">
        <v>4213</v>
      </c>
      <c r="B224" s="756" t="s">
        <v>932</v>
      </c>
      <c r="C224" s="289">
        <f>+K0kommunestruktur2021!C224</f>
        <v>6059</v>
      </c>
      <c r="D224" s="289">
        <f>+K0kommunestruktur2021!D224</f>
        <v>123581</v>
      </c>
      <c r="E224" s="289">
        <f>+K0kommunestruktur2021!E224</f>
        <v>6048</v>
      </c>
      <c r="F224" s="289">
        <f>+K0kommunestruktur2021!F224</f>
        <v>126293</v>
      </c>
      <c r="G224" s="289">
        <f>+K0kommunestruktur2021!G224</f>
        <v>6014</v>
      </c>
      <c r="H224" s="289">
        <f>+K0kommunestruktur2021!H224</f>
        <v>139825</v>
      </c>
      <c r="I224" s="289">
        <f>+K0kommunestruktur2021!I224</f>
        <v>6051</v>
      </c>
      <c r="J224" s="289">
        <f>+K0kommunestruktur2021!J224</f>
        <v>140112</v>
      </c>
      <c r="K224" s="289">
        <f>+K0kommunestruktur2021!K224</f>
        <v>6086</v>
      </c>
      <c r="L224" s="289">
        <f>+K0kommunestruktur2021!L224</f>
        <v>145870</v>
      </c>
      <c r="M224" s="289">
        <f>+K0kommunestruktur2021!M224</f>
        <v>6069</v>
      </c>
      <c r="N224" s="289">
        <f>+K0kommunestruktur2021!N224</f>
        <v>160923</v>
      </c>
      <c r="O224" s="289">
        <f>+K0kommunestruktur2021!O224</f>
        <v>6053</v>
      </c>
      <c r="P224" s="289">
        <f>+K0kommunestruktur2021!P224</f>
        <v>157539</v>
      </c>
      <c r="Q224" s="289">
        <f>+K0kommunestruktur2021!Q224</f>
        <v>6067</v>
      </c>
      <c r="R224" s="289">
        <f>+K0kommunestruktur2021!R224</f>
        <v>179389.15</v>
      </c>
      <c r="S224" s="289">
        <f>VLOOKUP(A224,'K22'!A224:CU579,3)</f>
        <v>6115</v>
      </c>
      <c r="T224" s="289">
        <f>VLOOKUP(A224,'K22'!$A$4:$BV$359,26)</f>
        <v>198920.23943756573</v>
      </c>
      <c r="U224" s="289">
        <f>VLOOKUP(A224,'Bef.fremskr. kommunenivå MMMM'!$A$5:$K$360,8)</f>
        <v>6162</v>
      </c>
      <c r="V224" s="289">
        <f>VLOOKUP(A224,'K23'!$A$4:$BV$359,26)</f>
        <v>186175.45316591821</v>
      </c>
    </row>
    <row r="225" spans="1:22" ht="13">
      <c r="A225" s="755">
        <v>4214</v>
      </c>
      <c r="B225" s="756" t="s">
        <v>933</v>
      </c>
      <c r="C225" s="289">
        <f>+K0kommunestruktur2021!C225</f>
        <v>5486</v>
      </c>
      <c r="D225" s="289">
        <f>+K0kommunestruktur2021!D225</f>
        <v>106068</v>
      </c>
      <c r="E225" s="289">
        <f>+K0kommunestruktur2021!E225</f>
        <v>5532</v>
      </c>
      <c r="F225" s="289">
        <f>+K0kommunestruktur2021!F225</f>
        <v>112002</v>
      </c>
      <c r="G225" s="289">
        <f>+K0kommunestruktur2021!G225</f>
        <v>5618</v>
      </c>
      <c r="H225" s="289">
        <f>+K0kommunestruktur2021!H225</f>
        <v>118832</v>
      </c>
      <c r="I225" s="289">
        <f>+K0kommunestruktur2021!I225</f>
        <v>5713</v>
      </c>
      <c r="J225" s="289">
        <f>+K0kommunestruktur2021!J225</f>
        <v>126994</v>
      </c>
      <c r="K225" s="289">
        <f>+K0kommunestruktur2021!K225</f>
        <v>5790</v>
      </c>
      <c r="L225" s="289">
        <f>+K0kommunestruktur2021!L225</f>
        <v>133413</v>
      </c>
      <c r="M225" s="289">
        <f>+K0kommunestruktur2021!M225</f>
        <v>5845</v>
      </c>
      <c r="N225" s="289">
        <f>+K0kommunestruktur2021!N225</f>
        <v>137039</v>
      </c>
      <c r="O225" s="289">
        <f>+K0kommunestruktur2021!O225</f>
        <v>5951</v>
      </c>
      <c r="P225" s="289">
        <f>+K0kommunestruktur2021!P225</f>
        <v>137823</v>
      </c>
      <c r="Q225" s="289">
        <f>+K0kommunestruktur2021!Q225</f>
        <v>6004</v>
      </c>
      <c r="R225" s="289">
        <f>+K0kommunestruktur2021!R225</f>
        <v>164590.89499999999</v>
      </c>
      <c r="S225" s="289">
        <f>VLOOKUP(A225,'K22'!A225:CU580,3)</f>
        <v>6098</v>
      </c>
      <c r="T225" s="289">
        <f>VLOOKUP(A225,'K22'!$A$4:$BV$359,26)</f>
        <v>177706.60778855349</v>
      </c>
      <c r="U225" s="289">
        <f>VLOOKUP(A225,'Bef.fremskr. kommunenivå MMMM'!$A$5:$K$360,8)</f>
        <v>6224</v>
      </c>
      <c r="V225" s="289">
        <f>VLOOKUP(A225,'K23'!$A$4:$BV$359,26)</f>
        <v>168360.35890010436</v>
      </c>
    </row>
    <row r="226" spans="1:22" ht="13">
      <c r="A226" s="755">
        <v>4215</v>
      </c>
      <c r="B226" s="756" t="s">
        <v>934</v>
      </c>
      <c r="C226" s="289">
        <f>+K0kommunestruktur2021!C226</f>
        <v>10106</v>
      </c>
      <c r="D226" s="289">
        <f>+K0kommunestruktur2021!D226</f>
        <v>235481</v>
      </c>
      <c r="E226" s="289">
        <f>+K0kommunestruktur2021!E226</f>
        <v>10340</v>
      </c>
      <c r="F226" s="289">
        <f>+K0kommunestruktur2021!F226</f>
        <v>247000</v>
      </c>
      <c r="G226" s="289">
        <f>+K0kommunestruktur2021!G226</f>
        <v>10577</v>
      </c>
      <c r="H226" s="289">
        <f>+K0kommunestruktur2021!H226</f>
        <v>278121</v>
      </c>
      <c r="I226" s="289">
        <f>+K0kommunestruktur2021!I226</f>
        <v>10702</v>
      </c>
      <c r="J226" s="289">
        <f>+K0kommunestruktur2021!J226</f>
        <v>288478</v>
      </c>
      <c r="K226" s="289">
        <f>+K0kommunestruktur2021!K226</f>
        <v>10871</v>
      </c>
      <c r="L226" s="289">
        <f>+K0kommunestruktur2021!L226</f>
        <v>300378</v>
      </c>
      <c r="M226" s="289">
        <f>+K0kommunestruktur2021!M226</f>
        <v>10990</v>
      </c>
      <c r="N226" s="289">
        <f>+K0kommunestruktur2021!N226</f>
        <v>311373</v>
      </c>
      <c r="O226" s="289">
        <f>+K0kommunestruktur2021!O226</f>
        <v>11074</v>
      </c>
      <c r="P226" s="289">
        <f>+K0kommunestruktur2021!P226</f>
        <v>306882</v>
      </c>
      <c r="Q226" s="289">
        <f>+K0kommunestruktur2021!Q226</f>
        <v>11180</v>
      </c>
      <c r="R226" s="289">
        <f>+K0kommunestruktur2021!R226</f>
        <v>363857.75599999999</v>
      </c>
      <c r="S226" s="289">
        <f>VLOOKUP(A226,'K22'!A226:CU581,3)</f>
        <v>11279</v>
      </c>
      <c r="T226" s="289">
        <f>VLOOKUP(A226,'K22'!$A$4:$BV$359,26)</f>
        <v>409304.59342403105</v>
      </c>
      <c r="U226" s="289">
        <f>VLOOKUP(A226,'Bef.fremskr. kommunenivå MMMM'!$A$5:$K$360,8)</f>
        <v>11413</v>
      </c>
      <c r="V226" s="289">
        <f>VLOOKUP(A226,'K23'!$A$4:$BV$359,26)</f>
        <v>371669.15007896803</v>
      </c>
    </row>
    <row r="227" spans="1:22" ht="13">
      <c r="A227" s="755">
        <v>4216</v>
      </c>
      <c r="B227" s="756" t="s">
        <v>935</v>
      </c>
      <c r="C227" s="289">
        <f>+K0kommunestruktur2021!C227</f>
        <v>4993</v>
      </c>
      <c r="D227" s="289">
        <f>+K0kommunestruktur2021!D227</f>
        <v>89117</v>
      </c>
      <c r="E227" s="289">
        <f>+K0kommunestruktur2021!E227</f>
        <v>5035</v>
      </c>
      <c r="F227" s="289">
        <f>+K0kommunestruktur2021!F227</f>
        <v>92381</v>
      </c>
      <c r="G227" s="289">
        <f>+K0kommunestruktur2021!G227</f>
        <v>5147</v>
      </c>
      <c r="H227" s="289">
        <f>+K0kommunestruktur2021!H227</f>
        <v>100305</v>
      </c>
      <c r="I227" s="289">
        <f>+K0kommunestruktur2021!I227</f>
        <v>5178</v>
      </c>
      <c r="J227" s="289">
        <f>+K0kommunestruktur2021!J227</f>
        <v>106505</v>
      </c>
      <c r="K227" s="289">
        <f>+K0kommunestruktur2021!K227</f>
        <v>5187</v>
      </c>
      <c r="L227" s="289">
        <f>+K0kommunestruktur2021!L227</f>
        <v>116344</v>
      </c>
      <c r="M227" s="289">
        <f>+K0kommunestruktur2021!M227</f>
        <v>5239</v>
      </c>
      <c r="N227" s="289">
        <f>+K0kommunestruktur2021!N227</f>
        <v>121884</v>
      </c>
      <c r="O227" s="289">
        <f>+K0kommunestruktur2021!O227</f>
        <v>5226</v>
      </c>
      <c r="P227" s="289">
        <f>+K0kommunestruktur2021!P227</f>
        <v>118038</v>
      </c>
      <c r="Q227" s="289">
        <f>+K0kommunestruktur2021!Q227</f>
        <v>5274</v>
      </c>
      <c r="R227" s="289">
        <f>+K0kommunestruktur2021!R227</f>
        <v>134213.856</v>
      </c>
      <c r="S227" s="289">
        <f>VLOOKUP(A227,'K22'!A227:CU582,3)</f>
        <v>5342</v>
      </c>
      <c r="T227" s="289">
        <f>VLOOKUP(A227,'K22'!$A$4:$BV$359,26)</f>
        <v>151390.31917355387</v>
      </c>
      <c r="U227" s="289">
        <f>VLOOKUP(A227,'Bef.fremskr. kommunenivå MMMM'!$A$5:$K$360,8)</f>
        <v>5405</v>
      </c>
      <c r="V227" s="289">
        <f>VLOOKUP(A227,'K23'!$A$4:$BV$359,26)</f>
        <v>141987.53100546208</v>
      </c>
    </row>
    <row r="228" spans="1:22" ht="13">
      <c r="A228" s="755">
        <v>4217</v>
      </c>
      <c r="B228" s="756" t="s">
        <v>936</v>
      </c>
      <c r="C228" s="289">
        <f>+K0kommunestruktur2021!C228</f>
        <v>1810</v>
      </c>
      <c r="D228" s="289">
        <f>+K0kommunestruktur2021!D228</f>
        <v>36347</v>
      </c>
      <c r="E228" s="289">
        <f>+K0kommunestruktur2021!E228</f>
        <v>1832</v>
      </c>
      <c r="F228" s="289">
        <f>+K0kommunestruktur2021!F228</f>
        <v>40277</v>
      </c>
      <c r="G228" s="289">
        <f>+K0kommunestruktur2021!G228</f>
        <v>1847</v>
      </c>
      <c r="H228" s="289">
        <f>+K0kommunestruktur2021!H228</f>
        <v>44122</v>
      </c>
      <c r="I228" s="289">
        <f>+K0kommunestruktur2021!I228</f>
        <v>1856</v>
      </c>
      <c r="J228" s="289">
        <f>+K0kommunestruktur2021!J228</f>
        <v>47046</v>
      </c>
      <c r="K228" s="289">
        <f>+K0kommunestruktur2021!K228</f>
        <v>1845</v>
      </c>
      <c r="L228" s="289">
        <f>+K0kommunestruktur2021!L228</f>
        <v>42219</v>
      </c>
      <c r="M228" s="289">
        <f>+K0kommunestruktur2021!M228</f>
        <v>1848</v>
      </c>
      <c r="N228" s="289">
        <f>+K0kommunestruktur2021!N228</f>
        <v>44108</v>
      </c>
      <c r="O228" s="289">
        <f>+K0kommunestruktur2021!O228</f>
        <v>1836</v>
      </c>
      <c r="P228" s="289">
        <f>+K0kommunestruktur2021!P228</f>
        <v>44751</v>
      </c>
      <c r="Q228" s="289">
        <f>+K0kommunestruktur2021!Q228</f>
        <v>1822</v>
      </c>
      <c r="R228" s="289">
        <f>+K0kommunestruktur2021!R228</f>
        <v>51760.203999999998</v>
      </c>
      <c r="S228" s="289">
        <f>VLOOKUP(A228,'K22'!A228:CU583,3)</f>
        <v>1801</v>
      </c>
      <c r="T228" s="289">
        <f>VLOOKUP(A228,'K22'!$A$4:$BV$359,26)</f>
        <v>54744.071532264636</v>
      </c>
      <c r="U228" s="289">
        <f>VLOOKUP(A228,'Bef.fremskr. kommunenivå MMMM'!$A$5:$K$360,8)</f>
        <v>1810</v>
      </c>
      <c r="V228" s="289">
        <f>VLOOKUP(A228,'K23'!$A$4:$BV$359,26)</f>
        <v>50680.687873814932</v>
      </c>
    </row>
    <row r="229" spans="1:22" ht="13">
      <c r="A229" s="755">
        <v>4218</v>
      </c>
      <c r="B229" s="756" t="s">
        <v>937</v>
      </c>
      <c r="C229" s="289">
        <f>+K0kommunestruktur2021!C229</f>
        <v>1314</v>
      </c>
      <c r="D229" s="289">
        <f>+K0kommunestruktur2021!D229</f>
        <v>24646</v>
      </c>
      <c r="E229" s="289">
        <f>+K0kommunestruktur2021!E229</f>
        <v>1315</v>
      </c>
      <c r="F229" s="289">
        <f>+K0kommunestruktur2021!F229</f>
        <v>26726</v>
      </c>
      <c r="G229" s="289">
        <f>+K0kommunestruktur2021!G229</f>
        <v>1317</v>
      </c>
      <c r="H229" s="289">
        <f>+K0kommunestruktur2021!H229</f>
        <v>27581</v>
      </c>
      <c r="I229" s="289">
        <f>+K0kommunestruktur2021!I229</f>
        <v>1342</v>
      </c>
      <c r="J229" s="289">
        <f>+K0kommunestruktur2021!J229</f>
        <v>29311</v>
      </c>
      <c r="K229" s="289">
        <f>+K0kommunestruktur2021!K229</f>
        <v>1330</v>
      </c>
      <c r="L229" s="289">
        <f>+K0kommunestruktur2021!L229</f>
        <v>31104</v>
      </c>
      <c r="M229" s="289">
        <f>+K0kommunestruktur2021!M229</f>
        <v>1326</v>
      </c>
      <c r="N229" s="289">
        <f>+K0kommunestruktur2021!N229</f>
        <v>32415</v>
      </c>
      <c r="O229" s="289">
        <f>+K0kommunestruktur2021!O229</f>
        <v>1331</v>
      </c>
      <c r="P229" s="289">
        <f>+K0kommunestruktur2021!P229</f>
        <v>31898</v>
      </c>
      <c r="Q229" s="289">
        <f>+K0kommunestruktur2021!Q229</f>
        <v>1335</v>
      </c>
      <c r="R229" s="289">
        <f>+K0kommunestruktur2021!R229</f>
        <v>35599.732000000004</v>
      </c>
      <c r="S229" s="289">
        <f>VLOOKUP(A229,'K22'!A229:CU584,3)</f>
        <v>1323</v>
      </c>
      <c r="T229" s="289">
        <f>VLOOKUP(A229,'K22'!$A$4:$BV$359,26)</f>
        <v>37778.166008091604</v>
      </c>
      <c r="U229" s="289">
        <f>VLOOKUP(A229,'Bef.fremskr. kommunenivå MMMM'!$A$5:$K$360,8)</f>
        <v>1341</v>
      </c>
      <c r="V229" s="289">
        <f>VLOOKUP(A229,'K23'!$A$4:$BV$359,26)</f>
        <v>36489.970131896356</v>
      </c>
    </row>
    <row r="230" spans="1:22" ht="13">
      <c r="A230" s="755">
        <v>4219</v>
      </c>
      <c r="B230" s="756" t="s">
        <v>938</v>
      </c>
      <c r="C230" s="289">
        <f>+K0kommunestruktur2021!C230</f>
        <v>3576</v>
      </c>
      <c r="D230" s="289">
        <f>+K0kommunestruktur2021!D230</f>
        <v>68186</v>
      </c>
      <c r="E230" s="289">
        <f>+K0kommunestruktur2021!E230</f>
        <v>3594</v>
      </c>
      <c r="F230" s="289">
        <f>+K0kommunestruktur2021!F230</f>
        <v>71580</v>
      </c>
      <c r="G230" s="289">
        <f>+K0kommunestruktur2021!G230</f>
        <v>3582</v>
      </c>
      <c r="H230" s="289">
        <f>+K0kommunestruktur2021!H230</f>
        <v>74820</v>
      </c>
      <c r="I230" s="289">
        <f>+K0kommunestruktur2021!I230</f>
        <v>3614</v>
      </c>
      <c r="J230" s="289">
        <f>+K0kommunestruktur2021!J230</f>
        <v>78942</v>
      </c>
      <c r="K230" s="289">
        <f>+K0kommunestruktur2021!K230</f>
        <v>3625</v>
      </c>
      <c r="L230" s="289">
        <f>+K0kommunestruktur2021!L230</f>
        <v>81464</v>
      </c>
      <c r="M230" s="289">
        <f>+K0kommunestruktur2021!M230</f>
        <v>3638</v>
      </c>
      <c r="N230" s="289">
        <f>+K0kommunestruktur2021!N230</f>
        <v>83690</v>
      </c>
      <c r="O230" s="289">
        <f>+K0kommunestruktur2021!O230</f>
        <v>3634</v>
      </c>
      <c r="P230" s="289">
        <f>+K0kommunestruktur2021!P230</f>
        <v>87736</v>
      </c>
      <c r="Q230" s="289">
        <f>+K0kommunestruktur2021!Q230</f>
        <v>3619</v>
      </c>
      <c r="R230" s="289">
        <f>+K0kommunestruktur2021!R230</f>
        <v>96303.792000000001</v>
      </c>
      <c r="S230" s="289">
        <f>VLOOKUP(A230,'K22'!A230:CU585,3)</f>
        <v>3653</v>
      </c>
      <c r="T230" s="289">
        <f>VLOOKUP(A230,'K22'!$A$4:$BV$359,26)</f>
        <v>108043.3149560809</v>
      </c>
      <c r="U230" s="289">
        <f>VLOOKUP(A230,'Bef.fremskr. kommunenivå MMMM'!$A$5:$K$360,8)</f>
        <v>3681</v>
      </c>
      <c r="V230" s="289">
        <f>VLOOKUP(A230,'K23'!$A$4:$BV$359,26)</f>
        <v>99784.641849458509</v>
      </c>
    </row>
    <row r="231" spans="1:22" ht="13">
      <c r="A231" s="755">
        <v>4220</v>
      </c>
      <c r="B231" s="756" t="s">
        <v>939</v>
      </c>
      <c r="C231" s="289">
        <f>+K0kommunestruktur2021!C231</f>
        <v>1200</v>
      </c>
      <c r="D231" s="289">
        <f>+K0kommunestruktur2021!D231</f>
        <v>26132</v>
      </c>
      <c r="E231" s="289">
        <f>+K0kommunestruktur2021!E231</f>
        <v>1189</v>
      </c>
      <c r="F231" s="289">
        <f>+K0kommunestruktur2021!F231</f>
        <v>27176</v>
      </c>
      <c r="G231" s="289">
        <f>+K0kommunestruktur2021!G231</f>
        <v>1204</v>
      </c>
      <c r="H231" s="289">
        <f>+K0kommunestruktur2021!H231</f>
        <v>28977</v>
      </c>
      <c r="I231" s="289">
        <f>+K0kommunestruktur2021!I231</f>
        <v>1200</v>
      </c>
      <c r="J231" s="289">
        <f>+K0kommunestruktur2021!J231</f>
        <v>28833</v>
      </c>
      <c r="K231" s="289">
        <f>+K0kommunestruktur2021!K231</f>
        <v>1207</v>
      </c>
      <c r="L231" s="289">
        <f>+K0kommunestruktur2021!L231</f>
        <v>30970</v>
      </c>
      <c r="M231" s="289">
        <f>+K0kommunestruktur2021!M231</f>
        <v>1192</v>
      </c>
      <c r="N231" s="289">
        <f>+K0kommunestruktur2021!N231</f>
        <v>31274</v>
      </c>
      <c r="O231" s="289">
        <f>+K0kommunestruktur2021!O231</f>
        <v>1162</v>
      </c>
      <c r="P231" s="289">
        <f>+K0kommunestruktur2021!P231</f>
        <v>31184</v>
      </c>
      <c r="Q231" s="289">
        <f>+K0kommunestruktur2021!Q231</f>
        <v>1142</v>
      </c>
      <c r="R231" s="289">
        <f>+K0kommunestruktur2021!R231</f>
        <v>34807.694000000003</v>
      </c>
      <c r="S231" s="289">
        <f>VLOOKUP(A231,'K22'!A231:CU586,3)</f>
        <v>1134</v>
      </c>
      <c r="T231" s="289">
        <f>VLOOKUP(A231,'K22'!$A$4:$BV$359,26)</f>
        <v>36750.718774240588</v>
      </c>
      <c r="U231" s="289">
        <f>VLOOKUP(A231,'Bef.fremskr. kommunenivå MMMM'!$A$5:$K$360,8)</f>
        <v>1146</v>
      </c>
      <c r="V231" s="289">
        <f>VLOOKUP(A231,'K23'!$A$4:$BV$359,26)</f>
        <v>34886.584403721805</v>
      </c>
    </row>
    <row r="232" spans="1:22" ht="13">
      <c r="A232" s="755">
        <v>4221</v>
      </c>
      <c r="B232" s="756" t="s">
        <v>940</v>
      </c>
      <c r="C232" s="289">
        <f>+K0kommunestruktur2021!C232</f>
        <v>1270</v>
      </c>
      <c r="D232" s="289">
        <f>+K0kommunestruktur2021!D232</f>
        <v>41121</v>
      </c>
      <c r="E232" s="289">
        <f>+K0kommunestruktur2021!E232</f>
        <v>1251</v>
      </c>
      <c r="F232" s="289">
        <f>+K0kommunestruktur2021!F232</f>
        <v>43384</v>
      </c>
      <c r="G232" s="289">
        <f>+K0kommunestruktur2021!G232</f>
        <v>1242</v>
      </c>
      <c r="H232" s="289">
        <f>+K0kommunestruktur2021!H232</f>
        <v>44213</v>
      </c>
      <c r="I232" s="289">
        <f>+K0kommunestruktur2021!I232</f>
        <v>1246</v>
      </c>
      <c r="J232" s="289">
        <f>+K0kommunestruktur2021!J232</f>
        <v>45044</v>
      </c>
      <c r="K232" s="289">
        <f>+K0kommunestruktur2021!K232</f>
        <v>1225</v>
      </c>
      <c r="L232" s="289">
        <f>+K0kommunestruktur2021!L232</f>
        <v>45304</v>
      </c>
      <c r="M232" s="289">
        <f>+K0kommunestruktur2021!M232</f>
        <v>1156</v>
      </c>
      <c r="N232" s="289">
        <f>+K0kommunestruktur2021!N232</f>
        <v>47669</v>
      </c>
      <c r="O232" s="289">
        <f>+K0kommunestruktur2021!O232</f>
        <v>1164</v>
      </c>
      <c r="P232" s="289">
        <f>+K0kommunestruktur2021!P232</f>
        <v>48861</v>
      </c>
      <c r="Q232" s="289">
        <f>+K0kommunestruktur2021!Q232</f>
        <v>1169</v>
      </c>
      <c r="R232" s="289">
        <f>+K0kommunestruktur2021!R232</f>
        <v>52379.277999999998</v>
      </c>
      <c r="S232" s="289">
        <f>VLOOKUP(A232,'K22'!A232:CU587,3)</f>
        <v>1169</v>
      </c>
      <c r="T232" s="289">
        <f>VLOOKUP(A232,'K22'!$A$4:$BV$359,26)</f>
        <v>55806.865208857322</v>
      </c>
      <c r="U232" s="289">
        <f>VLOOKUP(A232,'Bef.fremskr. kommunenivå MMMM'!$A$5:$K$360,8)</f>
        <v>1173</v>
      </c>
      <c r="V232" s="289">
        <f>VLOOKUP(A232,'K23'!$A$4:$BV$359,26)</f>
        <v>53580.290313153513</v>
      </c>
    </row>
    <row r="233" spans="1:22" ht="13">
      <c r="A233" s="755">
        <v>4222</v>
      </c>
      <c r="B233" s="756" t="s">
        <v>941</v>
      </c>
      <c r="C233" s="289">
        <f>+K0kommunestruktur2021!C233</f>
        <v>948</v>
      </c>
      <c r="D233" s="289">
        <f>+K0kommunestruktur2021!D233</f>
        <v>67140</v>
      </c>
      <c r="E233" s="289">
        <f>+K0kommunestruktur2021!E233</f>
        <v>933</v>
      </c>
      <c r="F233" s="289">
        <f>+K0kommunestruktur2021!F233</f>
        <v>67630</v>
      </c>
      <c r="G233" s="289">
        <f>+K0kommunestruktur2021!G233</f>
        <v>945</v>
      </c>
      <c r="H233" s="289">
        <f>+K0kommunestruktur2021!H233</f>
        <v>69604</v>
      </c>
      <c r="I233" s="289">
        <f>+K0kommunestruktur2021!I233</f>
        <v>952</v>
      </c>
      <c r="J233" s="289">
        <f>+K0kommunestruktur2021!J233</f>
        <v>71358</v>
      </c>
      <c r="K233" s="289">
        <f>+K0kommunestruktur2021!K233</f>
        <v>958</v>
      </c>
      <c r="L233" s="289">
        <f>+K0kommunestruktur2021!L233</f>
        <v>79195</v>
      </c>
      <c r="M233" s="289">
        <f>+K0kommunestruktur2021!M233</f>
        <v>953</v>
      </c>
      <c r="N233" s="289">
        <f>+K0kommunestruktur2021!N233</f>
        <v>84301</v>
      </c>
      <c r="O233" s="289">
        <f>+K0kommunestruktur2021!O233</f>
        <v>965</v>
      </c>
      <c r="P233" s="289">
        <f>+K0kommunestruktur2021!P233</f>
        <v>76582</v>
      </c>
      <c r="Q233" s="289">
        <f>+K0kommunestruktur2021!Q233</f>
        <v>930</v>
      </c>
      <c r="R233" s="289">
        <f>+K0kommunestruktur2021!R233</f>
        <v>84385.437000000005</v>
      </c>
      <c r="S233" s="289">
        <f>VLOOKUP(A233,'K22'!A233:CU588,3)</f>
        <v>935</v>
      </c>
      <c r="T233" s="289">
        <f>VLOOKUP(A233,'K22'!$A$4:$BV$359,26)</f>
        <v>89916.272123363306</v>
      </c>
      <c r="U233" s="289">
        <f>VLOOKUP(A233,'Bef.fremskr. kommunenivå MMMM'!$A$5:$K$360,8)</f>
        <v>974</v>
      </c>
      <c r="V233" s="289">
        <f>VLOOKUP(A233,'K23'!$A$4:$BV$359,26)</f>
        <v>87415.75426033065</v>
      </c>
    </row>
    <row r="234" spans="1:22" ht="13">
      <c r="A234" s="755">
        <v>4223</v>
      </c>
      <c r="B234" s="756" t="s">
        <v>947</v>
      </c>
      <c r="C234" s="289">
        <f>+K0kommunestruktur2021!C234</f>
        <v>13986</v>
      </c>
      <c r="D234" s="289">
        <f>+K0kommunestruktur2021!D234</f>
        <v>254819</v>
      </c>
      <c r="E234" s="289">
        <f>+K0kommunestruktur2021!E234</f>
        <v>14095</v>
      </c>
      <c r="F234" s="289">
        <f>+K0kommunestruktur2021!F234</f>
        <v>267675</v>
      </c>
      <c r="G234" s="289">
        <f>+K0kommunestruktur2021!G234</f>
        <v>14308</v>
      </c>
      <c r="H234" s="289">
        <f>+K0kommunestruktur2021!H234</f>
        <v>289237</v>
      </c>
      <c r="I234" s="289">
        <f>+K0kommunestruktur2021!I234</f>
        <v>14425</v>
      </c>
      <c r="J234" s="289">
        <f>+K0kommunestruktur2021!J234</f>
        <v>303650</v>
      </c>
      <c r="K234" s="289">
        <f>+K0kommunestruktur2021!K234</f>
        <v>14532</v>
      </c>
      <c r="L234" s="289">
        <f>+K0kommunestruktur2021!L234</f>
        <v>327486</v>
      </c>
      <c r="M234" s="289">
        <f>+K0kommunestruktur2021!M234</f>
        <v>14630</v>
      </c>
      <c r="N234" s="289">
        <f>+K0kommunestruktur2021!N234</f>
        <v>335821</v>
      </c>
      <c r="O234" s="289">
        <f>+K0kommunestruktur2021!O234</f>
        <v>14774</v>
      </c>
      <c r="P234" s="289">
        <f>+K0kommunestruktur2021!P234</f>
        <v>335283</v>
      </c>
      <c r="Q234" s="289">
        <f>+K0kommunestruktur2021!Q234</f>
        <v>14935</v>
      </c>
      <c r="R234" s="289">
        <f>+K0kommunestruktur2021!R234</f>
        <v>393674.56699999998</v>
      </c>
      <c r="S234" s="289">
        <f>VLOOKUP(A234,'K22'!A234:CU589,3)</f>
        <v>15123</v>
      </c>
      <c r="T234" s="289">
        <f>VLOOKUP(A234,'K22'!$A$4:$BV$359,26)</f>
        <v>427407.76890008699</v>
      </c>
      <c r="U234" s="289">
        <f>VLOOKUP(A234,'Bef.fremskr. kommunenivå MMMM'!$A$5:$K$360,8)</f>
        <v>15252</v>
      </c>
      <c r="V234" s="289">
        <f>VLOOKUP(A234,'K23'!$A$4:$BV$359,26)</f>
        <v>402518.3307100269</v>
      </c>
    </row>
    <row r="235" spans="1:22" ht="13">
      <c r="A235" s="755">
        <v>4224</v>
      </c>
      <c r="B235" s="756" t="s">
        <v>951</v>
      </c>
      <c r="C235" s="289">
        <f>+K0kommunestruktur2021!C235</f>
        <v>923</v>
      </c>
      <c r="D235" s="289">
        <f>+K0kommunestruktur2021!D235</f>
        <v>31841</v>
      </c>
      <c r="E235" s="289">
        <f>+K0kommunestruktur2021!E235</f>
        <v>925</v>
      </c>
      <c r="F235" s="289">
        <f>+K0kommunestruktur2021!F235</f>
        <v>31791</v>
      </c>
      <c r="G235" s="289">
        <f>+K0kommunestruktur2021!G235</f>
        <v>942</v>
      </c>
      <c r="H235" s="289">
        <f>+K0kommunestruktur2021!H235</f>
        <v>34080</v>
      </c>
      <c r="I235" s="289">
        <f>+K0kommunestruktur2021!I235</f>
        <v>937</v>
      </c>
      <c r="J235" s="289">
        <f>+K0kommunestruktur2021!J235</f>
        <v>36584</v>
      </c>
      <c r="K235" s="289">
        <f>+K0kommunestruktur2021!K235</f>
        <v>943</v>
      </c>
      <c r="L235" s="289">
        <f>+K0kommunestruktur2021!L235</f>
        <v>39045</v>
      </c>
      <c r="M235" s="289">
        <f>+K0kommunestruktur2021!M235</f>
        <v>939</v>
      </c>
      <c r="N235" s="289">
        <f>+K0kommunestruktur2021!N235</f>
        <v>41061</v>
      </c>
      <c r="O235" s="289">
        <f>+K0kommunestruktur2021!O235</f>
        <v>932</v>
      </c>
      <c r="P235" s="289">
        <f>+K0kommunestruktur2021!P235</f>
        <v>40365</v>
      </c>
      <c r="Q235" s="289">
        <f>+K0kommunestruktur2021!Q235</f>
        <v>927</v>
      </c>
      <c r="R235" s="289">
        <f>+K0kommunestruktur2021!R235</f>
        <v>43509.752</v>
      </c>
      <c r="S235" s="289">
        <f>VLOOKUP(A235,'K22'!A235:CU590,3)</f>
        <v>912</v>
      </c>
      <c r="T235" s="289">
        <f>VLOOKUP(A235,'K22'!$A$4:$BV$359,26)</f>
        <v>45716.471789529285</v>
      </c>
      <c r="U235" s="289">
        <f>VLOOKUP(A235,'Bef.fremskr. kommunenivå MMMM'!$A$5:$K$360,8)</f>
        <v>898</v>
      </c>
      <c r="V235" s="289">
        <f>VLOOKUP(A235,'K23'!$A$4:$BV$359,26)</f>
        <v>43333.782271730233</v>
      </c>
    </row>
    <row r="236" spans="1:22" ht="13">
      <c r="A236" s="755">
        <v>4225</v>
      </c>
      <c r="B236" s="756" t="s">
        <v>1630</v>
      </c>
      <c r="C236" s="289">
        <f>+K0kommunestruktur2021!C236</f>
        <v>9845</v>
      </c>
      <c r="D236" s="289">
        <f>+K0kommunestruktur2021!D236</f>
        <v>190192</v>
      </c>
      <c r="E236" s="289">
        <f>+K0kommunestruktur2021!E236</f>
        <v>10085</v>
      </c>
      <c r="F236" s="289">
        <f>+K0kommunestruktur2021!F236</f>
        <v>199485</v>
      </c>
      <c r="G236" s="289">
        <f>+K0kommunestruktur2021!G236</f>
        <v>10247</v>
      </c>
      <c r="H236" s="289">
        <f>+K0kommunestruktur2021!H236</f>
        <v>217366</v>
      </c>
      <c r="I236" s="289">
        <f>+K0kommunestruktur2021!I236</f>
        <v>10353</v>
      </c>
      <c r="J236" s="289">
        <f>+K0kommunestruktur2021!J236</f>
        <v>229321</v>
      </c>
      <c r="K236" s="289">
        <f>+K0kommunestruktur2021!K236</f>
        <v>10357</v>
      </c>
      <c r="L236" s="289">
        <f>+K0kommunestruktur2021!L236</f>
        <v>236168</v>
      </c>
      <c r="M236" s="289">
        <f>+K0kommunestruktur2021!M236</f>
        <v>10389</v>
      </c>
      <c r="N236" s="289">
        <f>+K0kommunestruktur2021!N236</f>
        <v>242283</v>
      </c>
      <c r="O236" s="289">
        <f>+K0kommunestruktur2021!O236</f>
        <v>10365</v>
      </c>
      <c r="P236" s="289">
        <f>+K0kommunestruktur2021!P236</f>
        <v>243390</v>
      </c>
      <c r="Q236" s="289">
        <f>+K0kommunestruktur2021!Q236</f>
        <v>10464</v>
      </c>
      <c r="R236" s="289">
        <f>+K0kommunestruktur2021!R236</f>
        <v>278743.41700000002</v>
      </c>
      <c r="S236" s="289">
        <f>VLOOKUP(A236,'K22'!A236:CU591,3)</f>
        <v>10480</v>
      </c>
      <c r="T236" s="289">
        <f>VLOOKUP(A236,'K22'!$A$4:$BV$359,26)</f>
        <v>308036.17769951333</v>
      </c>
      <c r="U236" s="289">
        <f>VLOOKUP(A236,'Bef.fremskr. kommunenivå MMMM'!$A$5:$K$360,8)</f>
        <v>10489</v>
      </c>
      <c r="V236" s="289">
        <f>VLOOKUP(A236,'K23'!$A$4:$BV$359,26)</f>
        <v>283307.89134183008</v>
      </c>
    </row>
    <row r="237" spans="1:22" ht="13">
      <c r="A237" s="755">
        <v>4226</v>
      </c>
      <c r="B237" s="756" t="s">
        <v>955</v>
      </c>
      <c r="C237" s="289">
        <f>+K0kommunestruktur2021!C237</f>
        <v>1690</v>
      </c>
      <c r="D237" s="289">
        <f>+K0kommunestruktur2021!D237</f>
        <v>35232</v>
      </c>
      <c r="E237" s="289">
        <f>+K0kommunestruktur2021!E237</f>
        <v>1693</v>
      </c>
      <c r="F237" s="289">
        <f>+K0kommunestruktur2021!F237</f>
        <v>34679</v>
      </c>
      <c r="G237" s="289">
        <f>+K0kommunestruktur2021!G237</f>
        <v>1702</v>
      </c>
      <c r="H237" s="289">
        <f>+K0kommunestruktur2021!H237</f>
        <v>38210</v>
      </c>
      <c r="I237" s="289">
        <f>+K0kommunestruktur2021!I237</f>
        <v>1702</v>
      </c>
      <c r="J237" s="289">
        <f>+K0kommunestruktur2021!J237</f>
        <v>39047</v>
      </c>
      <c r="K237" s="289">
        <f>+K0kommunestruktur2021!K237</f>
        <v>1699</v>
      </c>
      <c r="L237" s="289">
        <f>+K0kommunestruktur2021!L237</f>
        <v>40812</v>
      </c>
      <c r="M237" s="289">
        <f>+K0kommunestruktur2021!M237</f>
        <v>1683</v>
      </c>
      <c r="N237" s="289">
        <f>+K0kommunestruktur2021!N237</f>
        <v>42575</v>
      </c>
      <c r="O237" s="289">
        <f>+K0kommunestruktur2021!O237</f>
        <v>1680</v>
      </c>
      <c r="P237" s="289">
        <f>+K0kommunestruktur2021!P237</f>
        <v>40509</v>
      </c>
      <c r="Q237" s="289">
        <f>+K0kommunestruktur2021!Q237</f>
        <v>1690</v>
      </c>
      <c r="R237" s="289">
        <f>+K0kommunestruktur2021!R237</f>
        <v>46254.45</v>
      </c>
      <c r="S237" s="289">
        <f>VLOOKUP(A237,'K22'!A237:CU592,3)</f>
        <v>1704</v>
      </c>
      <c r="T237" s="289">
        <f>VLOOKUP(A237,'K22'!$A$4:$BV$359,26)</f>
        <v>51952.837484471929</v>
      </c>
      <c r="U237" s="289">
        <f>VLOOKUP(A237,'Bef.fremskr. kommunenivå MMMM'!$A$5:$K$360,8)</f>
        <v>1687</v>
      </c>
      <c r="V237" s="289">
        <f>VLOOKUP(A237,'K23'!$A$4:$BV$359,26)</f>
        <v>47680.67189191081</v>
      </c>
    </row>
    <row r="238" spans="1:22" ht="13">
      <c r="A238" s="755">
        <v>4227</v>
      </c>
      <c r="B238" s="756" t="s">
        <v>956</v>
      </c>
      <c r="C238" s="289">
        <f>+K0kommunestruktur2021!C238</f>
        <v>5891</v>
      </c>
      <c r="D238" s="289">
        <f>+K0kommunestruktur2021!D238</f>
        <v>142597</v>
      </c>
      <c r="E238" s="289">
        <f>+K0kommunestruktur2021!E238</f>
        <v>5948</v>
      </c>
      <c r="F238" s="289">
        <f>+K0kommunestruktur2021!F238</f>
        <v>147426</v>
      </c>
      <c r="G238" s="289">
        <f>+K0kommunestruktur2021!G238</f>
        <v>5981</v>
      </c>
      <c r="H238" s="289">
        <f>+K0kommunestruktur2021!H238</f>
        <v>155451</v>
      </c>
      <c r="I238" s="289">
        <f>+K0kommunestruktur2021!I238</f>
        <v>5988</v>
      </c>
      <c r="J238" s="289">
        <f>+K0kommunestruktur2021!J238</f>
        <v>159751</v>
      </c>
      <c r="K238" s="289">
        <f>+K0kommunestruktur2021!K238</f>
        <v>6024</v>
      </c>
      <c r="L238" s="289">
        <f>+K0kommunestruktur2021!L238</f>
        <v>166149</v>
      </c>
      <c r="M238" s="289">
        <f>+K0kommunestruktur2021!M238</f>
        <v>6048</v>
      </c>
      <c r="N238" s="289">
        <f>+K0kommunestruktur2021!N238</f>
        <v>177102</v>
      </c>
      <c r="O238" s="289">
        <f>+K0kommunestruktur2021!O238</f>
        <v>5987</v>
      </c>
      <c r="P238" s="289">
        <f>+K0kommunestruktur2021!P238</f>
        <v>170527</v>
      </c>
      <c r="Q238" s="289">
        <f>+K0kommunestruktur2021!Q238</f>
        <v>5922</v>
      </c>
      <c r="R238" s="289">
        <f>+K0kommunestruktur2021!R238</f>
        <v>187963.50099999999</v>
      </c>
      <c r="S238" s="289">
        <f>VLOOKUP(A238,'K22'!A238:CU593,3)</f>
        <v>5883</v>
      </c>
      <c r="T238" s="289">
        <f>VLOOKUP(A238,'K22'!$A$4:$BV$359,26)</f>
        <v>204724.973775694</v>
      </c>
      <c r="U238" s="289">
        <f>VLOOKUP(A238,'Bef.fremskr. kommunenivå MMMM'!$A$5:$K$360,8)</f>
        <v>5843</v>
      </c>
      <c r="V238" s="289">
        <f>VLOOKUP(A238,'K23'!$A$4:$BV$359,26)</f>
        <v>190517.04752243435</v>
      </c>
    </row>
    <row r="239" spans="1:22" ht="13">
      <c r="A239" s="755">
        <v>4228</v>
      </c>
      <c r="B239" s="756" t="s">
        <v>957</v>
      </c>
      <c r="C239" s="289">
        <f>+K0kommunestruktur2021!C239</f>
        <v>1831</v>
      </c>
      <c r="D239" s="289">
        <f>+K0kommunestruktur2021!D239</f>
        <v>85268</v>
      </c>
      <c r="E239" s="289">
        <f>+K0kommunestruktur2021!E239</f>
        <v>1838</v>
      </c>
      <c r="F239" s="289">
        <f>+K0kommunestruktur2021!F239</f>
        <v>91757</v>
      </c>
      <c r="G239" s="289">
        <f>+K0kommunestruktur2021!G239</f>
        <v>1832</v>
      </c>
      <c r="H239" s="289">
        <f>+K0kommunestruktur2021!H239</f>
        <v>91636</v>
      </c>
      <c r="I239" s="289">
        <f>+K0kommunestruktur2021!I239</f>
        <v>1836</v>
      </c>
      <c r="J239" s="289">
        <f>+K0kommunestruktur2021!J239</f>
        <v>97913</v>
      </c>
      <c r="K239" s="289">
        <f>+K0kommunestruktur2021!K239</f>
        <v>1842</v>
      </c>
      <c r="L239" s="289">
        <f>+K0kommunestruktur2021!L239</f>
        <v>105701</v>
      </c>
      <c r="M239" s="289">
        <f>+K0kommunestruktur2021!M239</f>
        <v>1839</v>
      </c>
      <c r="N239" s="289">
        <f>+K0kommunestruktur2021!N239</f>
        <v>112920</v>
      </c>
      <c r="O239" s="289">
        <f>+K0kommunestruktur2021!O239</f>
        <v>1822</v>
      </c>
      <c r="P239" s="289">
        <f>+K0kommunestruktur2021!P239</f>
        <v>106256</v>
      </c>
      <c r="Q239" s="289">
        <f>+K0kommunestruktur2021!Q239</f>
        <v>1772</v>
      </c>
      <c r="R239" s="289">
        <f>+K0kommunestruktur2021!R239</f>
        <v>109126.65399999999</v>
      </c>
      <c r="S239" s="289">
        <f>VLOOKUP(A239,'K22'!A239:CU594,3)</f>
        <v>1810</v>
      </c>
      <c r="T239" s="289">
        <f>VLOOKUP(A239,'K22'!$A$4:$BV$359,26)</f>
        <v>121488.10920750386</v>
      </c>
      <c r="U239" s="289">
        <f>VLOOKUP(A239,'Bef.fremskr. kommunenivå MMMM'!$A$5:$K$360,8)</f>
        <v>1823</v>
      </c>
      <c r="V239" s="289">
        <f>VLOOKUP(A239,'K23'!$A$4:$BV$359,26)</f>
        <v>117373.54052772591</v>
      </c>
    </row>
    <row r="240" spans="1:22" ht="13">
      <c r="A240" s="755">
        <v>4601</v>
      </c>
      <c r="B240" s="756" t="s">
        <v>23</v>
      </c>
      <c r="C240" s="289">
        <f>+K0kommunestruktur2021!C240</f>
        <v>271949</v>
      </c>
      <c r="D240" s="289">
        <f>+K0kommunestruktur2021!D240</f>
        <v>7561489</v>
      </c>
      <c r="E240" s="289">
        <f>+K0kommunestruktur2021!E240</f>
        <v>275112</v>
      </c>
      <c r="F240" s="289">
        <f>+K0kommunestruktur2021!F240</f>
        <v>7970433</v>
      </c>
      <c r="G240" s="289">
        <f>+K0kommunestruktur2021!G240</f>
        <v>277391</v>
      </c>
      <c r="H240" s="289">
        <f>+K0kommunestruktur2021!H240</f>
        <v>8707661</v>
      </c>
      <c r="I240" s="289">
        <f>+K0kommunestruktur2021!I240</f>
        <v>278556</v>
      </c>
      <c r="J240" s="289">
        <f>+K0kommunestruktur2021!J240</f>
        <v>8795464</v>
      </c>
      <c r="K240" s="289">
        <f>+K0kommunestruktur2021!K240</f>
        <v>279792</v>
      </c>
      <c r="L240" s="289">
        <f>+K0kommunestruktur2021!L240</f>
        <v>9126725</v>
      </c>
      <c r="M240" s="289">
        <f>+K0kommunestruktur2021!M240</f>
        <v>281190</v>
      </c>
      <c r="N240" s="289">
        <f>+K0kommunestruktur2021!N240</f>
        <v>9648534</v>
      </c>
      <c r="O240" s="289">
        <f>+K0kommunestruktur2021!O240</f>
        <v>283929</v>
      </c>
      <c r="P240" s="289">
        <f>+K0kommunestruktur2021!P240</f>
        <v>9404048</v>
      </c>
      <c r="Q240" s="289">
        <f>+K0kommunestruktur2021!Q240</f>
        <v>285601</v>
      </c>
      <c r="R240" s="289">
        <f>+K0kommunestruktur2021!R240</f>
        <v>10807543.196</v>
      </c>
      <c r="S240" s="289">
        <f>VLOOKUP(A240,'K22'!A240:CU595,3)</f>
        <v>286930</v>
      </c>
      <c r="T240" s="289">
        <f>VLOOKUP(A240,'K22'!$A$4:$BV$359,26)</f>
        <v>12280834.018142296</v>
      </c>
      <c r="U240" s="289">
        <f>VLOOKUP(A240,'Bef.fremskr. kommunenivå MMMM'!$A$5:$K$360,8)</f>
        <v>290032</v>
      </c>
      <c r="V240" s="289">
        <f>VLOOKUP(A240,'K23'!$A$4:$BV$359,26)</f>
        <v>11235659.973589228</v>
      </c>
    </row>
    <row r="241" spans="1:22" ht="13">
      <c r="A241" s="755">
        <v>4602</v>
      </c>
      <c r="B241" s="756" t="s">
        <v>1631</v>
      </c>
      <c r="C241" s="289">
        <f>+K0kommunestruktur2021!C241</f>
        <v>17353.61295029</v>
      </c>
      <c r="D241" s="289">
        <f>+K0kommunestruktur2021!D241</f>
        <v>415743.81691177411</v>
      </c>
      <c r="E241" s="289">
        <f>+K0kommunestruktur2021!E241</f>
        <v>17425.474581980001</v>
      </c>
      <c r="F241" s="289">
        <f>+K0kommunestruktur2021!F241</f>
        <v>431205.72096292092</v>
      </c>
      <c r="G241" s="289">
        <f>+K0kommunestruktur2021!G241</f>
        <v>17449.752160249998</v>
      </c>
      <c r="H241" s="289">
        <f>+K0kommunestruktur2021!H241</f>
        <v>467033.59987652028</v>
      </c>
      <c r="I241" s="289">
        <f>+K0kommunestruktur2021!I241</f>
        <v>17508.989451239999</v>
      </c>
      <c r="J241" s="289">
        <f>+K0kommunestruktur2021!J241</f>
        <v>473268.08197733032</v>
      </c>
      <c r="K241" s="289">
        <f>+K0kommunestruktur2021!K241</f>
        <v>17469.174222869999</v>
      </c>
      <c r="L241" s="289">
        <f>+K0kommunestruktur2021!L241</f>
        <v>488200.73482211295</v>
      </c>
      <c r="M241" s="289">
        <f>+K0kommunestruktur2021!M241</f>
        <v>17307</v>
      </c>
      <c r="N241" s="289">
        <f>+K0kommunestruktur2021!N241</f>
        <v>531457.55268768943</v>
      </c>
      <c r="O241" s="289">
        <f>+K0kommunestruktur2021!O241</f>
        <v>17207</v>
      </c>
      <c r="P241" s="289">
        <f>+K0kommunestruktur2021!P241</f>
        <v>549252</v>
      </c>
      <c r="Q241" s="289">
        <f>+K0kommunestruktur2021!Q241</f>
        <v>17160</v>
      </c>
      <c r="R241" s="289">
        <f>+K0kommunestruktur2021!R241</f>
        <v>592638.42599999998</v>
      </c>
      <c r="S241" s="289">
        <f>VLOOKUP(A241,'K22'!A241:CU596,3)</f>
        <v>17131</v>
      </c>
      <c r="T241" s="289">
        <f>VLOOKUP(A241,'K22'!$A$4:$BV$359,26)</f>
        <v>673192.73072622775</v>
      </c>
      <c r="U241" s="289">
        <f>VLOOKUP(A241,'Bef.fremskr. kommunenivå MMMM'!$A$5:$K$360,8)</f>
        <v>17098</v>
      </c>
      <c r="V241" s="289">
        <f>VLOOKUP(A241,'K23'!$A$4:$BV$359,26)</f>
        <v>611718.68299116229</v>
      </c>
    </row>
    <row r="242" spans="1:22" ht="13">
      <c r="A242" s="755">
        <v>4611</v>
      </c>
      <c r="B242" s="756" t="s">
        <v>24</v>
      </c>
      <c r="C242" s="289">
        <f>+K0kommunestruktur2021!C242</f>
        <v>4057</v>
      </c>
      <c r="D242" s="289">
        <f>+K0kommunestruktur2021!D242</f>
        <v>90137</v>
      </c>
      <c r="E242" s="289">
        <f>+K0kommunestruktur2021!E242</f>
        <v>4103</v>
      </c>
      <c r="F242" s="289">
        <f>+K0kommunestruktur2021!F242</f>
        <v>90573</v>
      </c>
      <c r="G242" s="289">
        <f>+K0kommunestruktur2021!G242</f>
        <v>4106</v>
      </c>
      <c r="H242" s="289">
        <f>+K0kommunestruktur2021!H242</f>
        <v>100476</v>
      </c>
      <c r="I242" s="289">
        <f>+K0kommunestruktur2021!I242</f>
        <v>4135</v>
      </c>
      <c r="J242" s="289">
        <f>+K0kommunestruktur2021!J242</f>
        <v>101892</v>
      </c>
      <c r="K242" s="289">
        <f>+K0kommunestruktur2021!K242</f>
        <v>4083</v>
      </c>
      <c r="L242" s="289">
        <f>+K0kommunestruktur2021!L242</f>
        <v>106064</v>
      </c>
      <c r="M242" s="289">
        <f>+K0kommunestruktur2021!M242</f>
        <v>4077</v>
      </c>
      <c r="N242" s="289">
        <f>+K0kommunestruktur2021!N242</f>
        <v>114533</v>
      </c>
      <c r="O242" s="289">
        <f>+K0kommunestruktur2021!O242</f>
        <v>4062</v>
      </c>
      <c r="P242" s="289">
        <f>+K0kommunestruktur2021!P242</f>
        <v>110596</v>
      </c>
      <c r="Q242" s="289">
        <f>+K0kommunestruktur2021!Q242</f>
        <v>4053</v>
      </c>
      <c r="R242" s="289">
        <f>+K0kommunestruktur2021!R242</f>
        <v>134847.43700000001</v>
      </c>
      <c r="S242" s="289">
        <f>VLOOKUP(A242,'K22'!A242:CU597,3)</f>
        <v>4043</v>
      </c>
      <c r="T242" s="289">
        <f>VLOOKUP(A242,'K22'!$A$4:$BV$359,26)</f>
        <v>140390.59136957629</v>
      </c>
      <c r="U242" s="289">
        <f>VLOOKUP(A242,'Bef.fremskr. kommunenivå MMMM'!$A$5:$K$360,8)</f>
        <v>4031</v>
      </c>
      <c r="V242" s="289">
        <f>VLOOKUP(A242,'K23'!$A$4:$BV$359,26)</f>
        <v>130811.8111288721</v>
      </c>
    </row>
    <row r="243" spans="1:22" ht="13">
      <c r="A243" s="755">
        <v>4612</v>
      </c>
      <c r="B243" s="756" t="s">
        <v>25</v>
      </c>
      <c r="C243" s="289">
        <f>+K0kommunestruktur2021!C243</f>
        <v>5463</v>
      </c>
      <c r="D243" s="289">
        <f>+K0kommunestruktur2021!D243</f>
        <v>117446</v>
      </c>
      <c r="E243" s="289">
        <f>+K0kommunestruktur2021!E243</f>
        <v>5509</v>
      </c>
      <c r="F243" s="289">
        <f>+K0kommunestruktur2021!F243</f>
        <v>121337</v>
      </c>
      <c r="G243" s="289">
        <f>+K0kommunestruktur2021!G243</f>
        <v>5593</v>
      </c>
      <c r="H243" s="289">
        <f>+K0kommunestruktur2021!H243</f>
        <v>130903</v>
      </c>
      <c r="I243" s="289">
        <f>+K0kommunestruktur2021!I243</f>
        <v>5656</v>
      </c>
      <c r="J243" s="289">
        <f>+K0kommunestruktur2021!J243</f>
        <v>160876</v>
      </c>
      <c r="K243" s="289">
        <f>+K0kommunestruktur2021!K243</f>
        <v>5721</v>
      </c>
      <c r="L243" s="289">
        <f>+K0kommunestruktur2021!L243</f>
        <v>140486</v>
      </c>
      <c r="M243" s="289">
        <f>+K0kommunestruktur2021!M243</f>
        <v>5721</v>
      </c>
      <c r="N243" s="289">
        <f>+K0kommunestruktur2021!N243</f>
        <v>141649</v>
      </c>
      <c r="O243" s="289">
        <f>+K0kommunestruktur2021!O243</f>
        <v>5766</v>
      </c>
      <c r="P243" s="289">
        <f>+K0kommunestruktur2021!P243</f>
        <v>146291</v>
      </c>
      <c r="Q243" s="289">
        <f>+K0kommunestruktur2021!Q243</f>
        <v>5798</v>
      </c>
      <c r="R243" s="289">
        <f>+K0kommunestruktur2021!R243</f>
        <v>191979.33600000001</v>
      </c>
      <c r="S243" s="289">
        <f>VLOOKUP(A243,'K22'!A243:CU598,3)</f>
        <v>5775</v>
      </c>
      <c r="T243" s="289">
        <f>VLOOKUP(A243,'K22'!$A$4:$BV$359,26)</f>
        <v>189392.54230765029</v>
      </c>
      <c r="U243" s="289">
        <f>VLOOKUP(A243,'Bef.fremskr. kommunenivå MMMM'!$A$5:$K$360,8)</f>
        <v>5796</v>
      </c>
      <c r="V243" s="289">
        <f>VLOOKUP(A243,'K23'!$A$4:$BV$359,26)</f>
        <v>176644.91743044765</v>
      </c>
    </row>
    <row r="244" spans="1:22" ht="13">
      <c r="A244" s="755">
        <v>4613</v>
      </c>
      <c r="B244" s="756" t="s">
        <v>26</v>
      </c>
      <c r="C244" s="289">
        <f>+K0kommunestruktur2021!C244</f>
        <v>11749</v>
      </c>
      <c r="D244" s="289">
        <f>+K0kommunestruktur2021!D244</f>
        <v>283646</v>
      </c>
      <c r="E244" s="289">
        <f>+K0kommunestruktur2021!E244</f>
        <v>11761</v>
      </c>
      <c r="F244" s="289">
        <f>+K0kommunestruktur2021!F244</f>
        <v>291741</v>
      </c>
      <c r="G244" s="289">
        <f>+K0kommunestruktur2021!G244</f>
        <v>11778</v>
      </c>
      <c r="H244" s="289">
        <f>+K0kommunestruktur2021!H244</f>
        <v>340199</v>
      </c>
      <c r="I244" s="289">
        <f>+K0kommunestruktur2021!I244</f>
        <v>11806</v>
      </c>
      <c r="J244" s="289">
        <f>+K0kommunestruktur2021!J244</f>
        <v>315438</v>
      </c>
      <c r="K244" s="289">
        <f>+K0kommunestruktur2021!K244</f>
        <v>11902</v>
      </c>
      <c r="L244" s="289">
        <f>+K0kommunestruktur2021!L244</f>
        <v>295857</v>
      </c>
      <c r="M244" s="289">
        <f>+K0kommunestruktur2021!M244</f>
        <v>11960</v>
      </c>
      <c r="N244" s="289">
        <f>+K0kommunestruktur2021!N244</f>
        <v>332334</v>
      </c>
      <c r="O244" s="289">
        <f>+K0kommunestruktur2021!O244</f>
        <v>11957</v>
      </c>
      <c r="P244" s="289">
        <f>+K0kommunestruktur2021!P244</f>
        <v>334069</v>
      </c>
      <c r="Q244" s="289">
        <f>+K0kommunestruktur2021!Q244</f>
        <v>11953</v>
      </c>
      <c r="R244" s="289">
        <f>+K0kommunestruktur2021!R244</f>
        <v>395792.70500000002</v>
      </c>
      <c r="S244" s="289">
        <f>VLOOKUP(A244,'K22'!A244:CU599,3)</f>
        <v>12061</v>
      </c>
      <c r="T244" s="289">
        <f>VLOOKUP(A244,'K22'!$A$4:$BV$359,26)</f>
        <v>427931.10588349227</v>
      </c>
      <c r="U244" s="289">
        <f>VLOOKUP(A244,'Bef.fremskr. kommunenivå MMMM'!$A$5:$K$360,8)</f>
        <v>12084</v>
      </c>
      <c r="V244" s="289">
        <f>VLOOKUP(A244,'K23'!$A$4:$BV$359,26)</f>
        <v>394366.84691253811</v>
      </c>
    </row>
    <row r="245" spans="1:22" ht="13">
      <c r="A245" s="755">
        <v>4614</v>
      </c>
      <c r="B245" s="756" t="s">
        <v>27</v>
      </c>
      <c r="C245" s="289">
        <f>+K0kommunestruktur2021!C245</f>
        <v>18425</v>
      </c>
      <c r="D245" s="289">
        <f>+K0kommunestruktur2021!D245</f>
        <v>450121</v>
      </c>
      <c r="E245" s="289">
        <f>+K0kommunestruktur2021!E245</f>
        <v>18685</v>
      </c>
      <c r="F245" s="289">
        <f>+K0kommunestruktur2021!F245</f>
        <v>484243</v>
      </c>
      <c r="G245" s="289">
        <f>+K0kommunestruktur2021!G245</f>
        <v>18775</v>
      </c>
      <c r="H245" s="289">
        <f>+K0kommunestruktur2021!H245</f>
        <v>488716</v>
      </c>
      <c r="I245" s="289">
        <f>+K0kommunestruktur2021!I245</f>
        <v>18821</v>
      </c>
      <c r="J245" s="289">
        <f>+K0kommunestruktur2021!J245</f>
        <v>497783</v>
      </c>
      <c r="K245" s="289">
        <f>+K0kommunestruktur2021!K245</f>
        <v>18780</v>
      </c>
      <c r="L245" s="289">
        <f>+K0kommunestruktur2021!L245</f>
        <v>517096</v>
      </c>
      <c r="M245" s="289">
        <f>+K0kommunestruktur2021!M245</f>
        <v>18699</v>
      </c>
      <c r="N245" s="289">
        <f>+K0kommunestruktur2021!N245</f>
        <v>540530</v>
      </c>
      <c r="O245" s="289">
        <f>+K0kommunestruktur2021!O245</f>
        <v>18759</v>
      </c>
      <c r="P245" s="289">
        <f>+K0kommunestruktur2021!P245</f>
        <v>543385</v>
      </c>
      <c r="Q245" s="289">
        <f>+K0kommunestruktur2021!Q245</f>
        <v>18861</v>
      </c>
      <c r="R245" s="289">
        <f>+K0kommunestruktur2021!R245</f>
        <v>624235.36199999996</v>
      </c>
      <c r="S245" s="289">
        <f>VLOOKUP(A245,'K22'!A245:CU600,3)</f>
        <v>18919</v>
      </c>
      <c r="T245" s="289">
        <f>VLOOKUP(A245,'K22'!$A$4:$BV$359,26)</f>
        <v>679737.64080376877</v>
      </c>
      <c r="U245" s="289">
        <f>VLOOKUP(A245,'Bef.fremskr. kommunenivå MMMM'!$A$5:$K$360,8)</f>
        <v>18980</v>
      </c>
      <c r="V245" s="289">
        <f>VLOOKUP(A245,'K23'!$A$4:$BV$359,26)</f>
        <v>635041.82614571776</v>
      </c>
    </row>
    <row r="246" spans="1:22" ht="13">
      <c r="A246" s="755">
        <v>4615</v>
      </c>
      <c r="B246" s="756" t="s">
        <v>28</v>
      </c>
      <c r="C246" s="289">
        <f>+K0kommunestruktur2021!C246</f>
        <v>3009</v>
      </c>
      <c r="D246" s="289">
        <f>+K0kommunestruktur2021!D246</f>
        <v>74296</v>
      </c>
      <c r="E246" s="289">
        <f>+K0kommunestruktur2021!E246</f>
        <v>3093</v>
      </c>
      <c r="F246" s="289">
        <f>+K0kommunestruktur2021!F246</f>
        <v>78879</v>
      </c>
      <c r="G246" s="289">
        <f>+K0kommunestruktur2021!G246</f>
        <v>3140</v>
      </c>
      <c r="H246" s="289">
        <f>+K0kommunestruktur2021!H246</f>
        <v>84396</v>
      </c>
      <c r="I246" s="289">
        <f>+K0kommunestruktur2021!I246</f>
        <v>3189</v>
      </c>
      <c r="J246" s="289">
        <f>+K0kommunestruktur2021!J246</f>
        <v>80561</v>
      </c>
      <c r="K246" s="289">
        <f>+K0kommunestruktur2021!K246</f>
        <v>3194</v>
      </c>
      <c r="L246" s="289">
        <f>+K0kommunestruktur2021!L246</f>
        <v>81638</v>
      </c>
      <c r="M246" s="289">
        <f>+K0kommunestruktur2021!M246</f>
        <v>3201</v>
      </c>
      <c r="N246" s="289">
        <f>+K0kommunestruktur2021!N246</f>
        <v>90564</v>
      </c>
      <c r="O246" s="289">
        <f>+K0kommunestruktur2021!O246</f>
        <v>3189</v>
      </c>
      <c r="P246" s="289">
        <f>+K0kommunestruktur2021!P246</f>
        <v>87982</v>
      </c>
      <c r="Q246" s="289">
        <f>+K0kommunestruktur2021!Q246</f>
        <v>3147</v>
      </c>
      <c r="R246" s="289">
        <f>+K0kommunestruktur2021!R246</f>
        <v>99743.555999999997</v>
      </c>
      <c r="S246" s="289">
        <f>VLOOKUP(A246,'K22'!A246:CU601,3)</f>
        <v>3117</v>
      </c>
      <c r="T246" s="289">
        <f>VLOOKUP(A246,'K22'!$A$4:$BV$359,26)</f>
        <v>109193.78272535867</v>
      </c>
      <c r="U246" s="289">
        <f>VLOOKUP(A246,'Bef.fremskr. kommunenivå MMMM'!$A$5:$K$360,8)</f>
        <v>3107</v>
      </c>
      <c r="V246" s="289">
        <f>VLOOKUP(A246,'K23'!$A$4:$BV$359,26)</f>
        <v>100096.72087654447</v>
      </c>
    </row>
    <row r="247" spans="1:22" ht="13">
      <c r="A247" s="755">
        <v>4616</v>
      </c>
      <c r="B247" s="756" t="s">
        <v>29</v>
      </c>
      <c r="C247" s="289">
        <f>+K0kommunestruktur2021!C247</f>
        <v>2745</v>
      </c>
      <c r="D247" s="289">
        <f>+K0kommunestruktur2021!D247</f>
        <v>65397</v>
      </c>
      <c r="E247" s="289">
        <f>+K0kommunestruktur2021!E247</f>
        <v>2782</v>
      </c>
      <c r="F247" s="289">
        <f>+K0kommunestruktur2021!F247</f>
        <v>71019</v>
      </c>
      <c r="G247" s="289">
        <f>+K0kommunestruktur2021!G247</f>
        <v>2797</v>
      </c>
      <c r="H247" s="289">
        <f>+K0kommunestruktur2021!H247</f>
        <v>76308</v>
      </c>
      <c r="I247" s="289">
        <f>+K0kommunestruktur2021!I247</f>
        <v>2847</v>
      </c>
      <c r="J247" s="289">
        <f>+K0kommunestruktur2021!J247</f>
        <v>83729</v>
      </c>
      <c r="K247" s="289">
        <f>+K0kommunestruktur2021!K247</f>
        <v>2857</v>
      </c>
      <c r="L247" s="289">
        <f>+K0kommunestruktur2021!L247</f>
        <v>90837</v>
      </c>
      <c r="M247" s="289">
        <f>+K0kommunestruktur2021!M247</f>
        <v>2846</v>
      </c>
      <c r="N247" s="289">
        <f>+K0kommunestruktur2021!N247</f>
        <v>105762</v>
      </c>
      <c r="O247" s="289">
        <f>+K0kommunestruktur2021!O247</f>
        <v>2869</v>
      </c>
      <c r="P247" s="289">
        <f>+K0kommunestruktur2021!P247</f>
        <v>94659</v>
      </c>
      <c r="Q247" s="289">
        <f>+K0kommunestruktur2021!Q247</f>
        <v>2924</v>
      </c>
      <c r="R247" s="289">
        <f>+K0kommunestruktur2021!R247</f>
        <v>125323.236</v>
      </c>
      <c r="S247" s="289">
        <f>VLOOKUP(A247,'K22'!A247:CU602,3)</f>
        <v>2883</v>
      </c>
      <c r="T247" s="289">
        <f>VLOOKUP(A247,'K22'!$A$4:$BV$359,26)</f>
        <v>142611.20723191139</v>
      </c>
      <c r="U247" s="289">
        <f>VLOOKUP(A247,'Bef.fremskr. kommunenivå MMMM'!$A$5:$K$360,8)</f>
        <v>2857</v>
      </c>
      <c r="V247" s="289">
        <f>VLOOKUP(A247,'K23'!$A$4:$BV$359,26)</f>
        <v>118474.26503794064</v>
      </c>
    </row>
    <row r="248" spans="1:22" ht="13">
      <c r="A248" s="755">
        <v>4617</v>
      </c>
      <c r="B248" s="756" t="s">
        <v>30</v>
      </c>
      <c r="C248" s="289">
        <f>+K0kommunestruktur2021!C248</f>
        <v>13232</v>
      </c>
      <c r="D248" s="289">
        <f>+K0kommunestruktur2021!D248</f>
        <v>317340</v>
      </c>
      <c r="E248" s="289">
        <f>+K0kommunestruktur2021!E248</f>
        <v>13234</v>
      </c>
      <c r="F248" s="289">
        <f>+K0kommunestruktur2021!F248</f>
        <v>323502</v>
      </c>
      <c r="G248" s="289">
        <f>+K0kommunestruktur2021!G248</f>
        <v>13271</v>
      </c>
      <c r="H248" s="289">
        <f>+K0kommunestruktur2021!H248</f>
        <v>335516</v>
      </c>
      <c r="I248" s="289">
        <f>+K0kommunestruktur2021!I248</f>
        <v>13241</v>
      </c>
      <c r="J248" s="289">
        <f>+K0kommunestruktur2021!J248</f>
        <v>343907</v>
      </c>
      <c r="K248" s="289">
        <f>+K0kommunestruktur2021!K248</f>
        <v>13180</v>
      </c>
      <c r="L248" s="289">
        <f>+K0kommunestruktur2021!L248</f>
        <v>358088</v>
      </c>
      <c r="M248" s="289">
        <f>+K0kommunestruktur2021!M248</f>
        <v>13137</v>
      </c>
      <c r="N248" s="289">
        <f>+K0kommunestruktur2021!N248</f>
        <v>374901</v>
      </c>
      <c r="O248" s="289">
        <f>+K0kommunestruktur2021!O248</f>
        <v>13071</v>
      </c>
      <c r="P248" s="289">
        <f>+K0kommunestruktur2021!P248</f>
        <v>371702</v>
      </c>
      <c r="Q248" s="289">
        <f>+K0kommunestruktur2021!Q248</f>
        <v>13039</v>
      </c>
      <c r="R248" s="289">
        <f>+K0kommunestruktur2021!R248</f>
        <v>433092.84700000001</v>
      </c>
      <c r="S248" s="289">
        <f>VLOOKUP(A248,'K22'!A248:CU603,3)</f>
        <v>13017</v>
      </c>
      <c r="T248" s="289">
        <f>VLOOKUP(A248,'K22'!$A$4:$BV$359,26)</f>
        <v>479885.22539702797</v>
      </c>
      <c r="U248" s="289">
        <f>VLOOKUP(A248,'Bef.fremskr. kommunenivå MMMM'!$A$5:$K$360,8)</f>
        <v>12923</v>
      </c>
      <c r="V248" s="289">
        <f>VLOOKUP(A248,'K23'!$A$4:$BV$359,26)</f>
        <v>425905.04078123777</v>
      </c>
    </row>
    <row r="249" spans="1:22" ht="13">
      <c r="A249" s="889">
        <v>4618</v>
      </c>
      <c r="B249" s="890" t="s">
        <v>1632</v>
      </c>
      <c r="C249" s="289">
        <f>+C372+C373</f>
        <v>11377.309173829999</v>
      </c>
      <c r="D249" s="289">
        <f t="shared" ref="D249:R249" si="4">+D372+D373</f>
        <v>290097.07980198588</v>
      </c>
      <c r="E249" s="289">
        <f t="shared" si="4"/>
        <v>11371.35714183</v>
      </c>
      <c r="F249" s="289">
        <f t="shared" si="4"/>
        <v>305995.9492875482</v>
      </c>
      <c r="G249" s="289">
        <f t="shared" si="4"/>
        <v>11343.58099248</v>
      </c>
      <c r="H249" s="289">
        <f t="shared" si="4"/>
        <v>313311.98862456548</v>
      </c>
      <c r="I249" s="289">
        <f t="shared" si="4"/>
        <v>11417.98139252</v>
      </c>
      <c r="J249" s="289">
        <f t="shared" si="4"/>
        <v>325500.75816153194</v>
      </c>
      <c r="K249" s="289">
        <f t="shared" si="4"/>
        <v>11203.70824041</v>
      </c>
      <c r="L249" s="289">
        <f t="shared" si="4"/>
        <v>333168.95939212508</v>
      </c>
      <c r="M249" s="289">
        <f t="shared" si="4"/>
        <v>11062.843483000001</v>
      </c>
      <c r="N249" s="289">
        <f t="shared" si="4"/>
        <v>346322.95011872868</v>
      </c>
      <c r="O249" s="289">
        <f t="shared" si="4"/>
        <v>11026.91219778</v>
      </c>
      <c r="P249" s="289">
        <f t="shared" si="4"/>
        <v>347983.51836022804</v>
      </c>
      <c r="Q249" s="289">
        <f t="shared" si="4"/>
        <v>10981</v>
      </c>
      <c r="R249" s="289">
        <f t="shared" si="4"/>
        <v>392425.52672414109</v>
      </c>
      <c r="S249" s="289">
        <f>VLOOKUP(A249,'K22'!A249:CU604,3)</f>
        <v>10881</v>
      </c>
      <c r="T249" s="289">
        <f>VLOOKUP(A249,'K22'!$A$4:$BV$359,26)</f>
        <v>412213.36873148941</v>
      </c>
      <c r="U249" s="289">
        <f>VLOOKUP(A249,'Bef.fremskr. kommunenivå MMMM'!$A$5:$K$360,8)</f>
        <v>10803</v>
      </c>
      <c r="V249" s="289">
        <f>VLOOKUP(A249,'K23'!$A$4:$BV$359,26)</f>
        <v>387887.67145340727</v>
      </c>
    </row>
    <row r="250" spans="1:22" ht="13">
      <c r="A250" s="889">
        <v>4619</v>
      </c>
      <c r="B250" s="890" t="s">
        <v>34</v>
      </c>
      <c r="C250" s="289">
        <f>+C376+C377</f>
        <v>972.09302326</v>
      </c>
      <c r="D250" s="289">
        <f t="shared" ref="D250:R250" si="5">+D376+D377</f>
        <v>50649.116279287875</v>
      </c>
      <c r="E250" s="289">
        <f t="shared" si="5"/>
        <v>972.09302326</v>
      </c>
      <c r="F250" s="289">
        <f t="shared" si="5"/>
        <v>50998.046511847519</v>
      </c>
      <c r="G250" s="289">
        <f t="shared" si="5"/>
        <v>946.51162791000002</v>
      </c>
      <c r="H250" s="289">
        <f t="shared" si="5"/>
        <v>54014.604651335321</v>
      </c>
      <c r="I250" s="289">
        <f t="shared" si="5"/>
        <v>942.41860465000002</v>
      </c>
      <c r="J250" s="289">
        <f t="shared" si="5"/>
        <v>56529.767441790718</v>
      </c>
      <c r="K250" s="289">
        <f t="shared" si="5"/>
        <v>952.65116278999994</v>
      </c>
      <c r="L250" s="289">
        <f t="shared" si="5"/>
        <v>58029.860465073783</v>
      </c>
      <c r="M250" s="289">
        <f t="shared" si="5"/>
        <v>927.06976743999996</v>
      </c>
      <c r="N250" s="289">
        <f t="shared" si="5"/>
        <v>57445.581395233552</v>
      </c>
      <c r="O250" s="289">
        <f t="shared" si="5"/>
        <v>927.06976743999996</v>
      </c>
      <c r="P250" s="289">
        <f t="shared" si="5"/>
        <v>54374.790697565295</v>
      </c>
      <c r="Q250" s="289">
        <f t="shared" si="5"/>
        <v>924</v>
      </c>
      <c r="R250" s="289">
        <f t="shared" si="5"/>
        <v>59364.395813953488</v>
      </c>
      <c r="S250" s="289">
        <f>VLOOKUP(A250,'K22'!A250:CU605,3)</f>
        <v>937</v>
      </c>
      <c r="T250" s="289">
        <f>VLOOKUP(A250,'K22'!$A$4:$BV$359,26)</f>
        <v>62462.745823367579</v>
      </c>
      <c r="U250" s="289">
        <f>VLOOKUP(A250,'Bef.fremskr. kommunenivå MMMM'!$A$5:$K$360,8)</f>
        <v>947</v>
      </c>
      <c r="V250" s="289">
        <f>VLOOKUP(A250,'K23'!$A$4:$BV$359,26)</f>
        <v>60410.661217718138</v>
      </c>
    </row>
    <row r="251" spans="1:22" ht="13">
      <c r="A251" s="755">
        <v>4620</v>
      </c>
      <c r="B251" s="756" t="s">
        <v>35</v>
      </c>
      <c r="C251" s="289">
        <f>+K0kommunestruktur2021!C251</f>
        <v>1094</v>
      </c>
      <c r="D251" s="289">
        <f>+K0kommunestruktur2021!D251</f>
        <v>32828</v>
      </c>
      <c r="E251" s="289">
        <f>+K0kommunestruktur2021!E251</f>
        <v>1107</v>
      </c>
      <c r="F251" s="289">
        <f>+K0kommunestruktur2021!F251</f>
        <v>32883</v>
      </c>
      <c r="G251" s="289">
        <f>+K0kommunestruktur2021!G251</f>
        <v>1116</v>
      </c>
      <c r="H251" s="289">
        <f>+K0kommunestruktur2021!H251</f>
        <v>34173</v>
      </c>
      <c r="I251" s="289">
        <f>+K0kommunestruktur2021!I251</f>
        <v>1131</v>
      </c>
      <c r="J251" s="289">
        <f>+K0kommunestruktur2021!J251</f>
        <v>34103</v>
      </c>
      <c r="K251" s="289">
        <f>+K0kommunestruktur2021!K251</f>
        <v>1117</v>
      </c>
      <c r="L251" s="289">
        <f>+K0kommunestruktur2021!L251</f>
        <v>35225</v>
      </c>
      <c r="M251" s="289">
        <f>+K0kommunestruktur2021!M251</f>
        <v>1093</v>
      </c>
      <c r="N251" s="289">
        <f>+K0kommunestruktur2021!N251</f>
        <v>35916</v>
      </c>
      <c r="O251" s="289">
        <f>+K0kommunestruktur2021!O251</f>
        <v>1080</v>
      </c>
      <c r="P251" s="289">
        <f>+K0kommunestruktur2021!P251</f>
        <v>34950</v>
      </c>
      <c r="Q251" s="289">
        <f>+K0kommunestruktur2021!Q251</f>
        <v>1061</v>
      </c>
      <c r="R251" s="289">
        <f>+K0kommunestruktur2021!R251</f>
        <v>38123.357000000004</v>
      </c>
      <c r="S251" s="289">
        <f>VLOOKUP(A251,'K22'!A251:CU606,3)</f>
        <v>1051</v>
      </c>
      <c r="T251" s="289">
        <f>VLOOKUP(A251,'K22'!$A$4:$BV$359,26)</f>
        <v>39913.591247035649</v>
      </c>
      <c r="U251" s="289">
        <f>VLOOKUP(A251,'Bef.fremskr. kommunenivå MMMM'!$A$5:$K$360,8)</f>
        <v>1051</v>
      </c>
      <c r="V251" s="289">
        <f>VLOOKUP(A251,'K23'!$A$4:$BV$359,26)</f>
        <v>38332.239331622564</v>
      </c>
    </row>
    <row r="252" spans="1:22" ht="13">
      <c r="A252" s="755">
        <v>4621</v>
      </c>
      <c r="B252" s="756" t="s">
        <v>1633</v>
      </c>
      <c r="C252" s="289">
        <f>+K0kommunestruktur2021!C252</f>
        <v>15144.97001866</v>
      </c>
      <c r="D252" s="289">
        <f>+K0kommunestruktur2021!D252</f>
        <v>347917.49482086749</v>
      </c>
      <c r="E252" s="289">
        <f>+K0kommunestruktur2021!E252</f>
        <v>15334.796886059999</v>
      </c>
      <c r="F252" s="289">
        <f>+K0kommunestruktur2021!F252</f>
        <v>360627.85993699537</v>
      </c>
      <c r="G252" s="289">
        <f>+K0kommunestruktur2021!G252</f>
        <v>15412.13375796</v>
      </c>
      <c r="H252" s="289">
        <f>+K0kommunestruktur2021!H252</f>
        <v>385721.16393227217</v>
      </c>
      <c r="I252" s="289">
        <f>+K0kommunestruktur2021!I252</f>
        <v>15514.580003859999</v>
      </c>
      <c r="J252" s="289">
        <f>+K0kommunestruktur2021!J252</f>
        <v>406157.18123913626</v>
      </c>
      <c r="K252" s="289">
        <f>+K0kommunestruktur2021!K252</f>
        <v>15575.84687641</v>
      </c>
      <c r="L252" s="289">
        <f>+K0kommunestruktur2021!L252</f>
        <v>428051.55098765466</v>
      </c>
      <c r="M252" s="289">
        <f>+K0kommunestruktur2021!M252</f>
        <v>15611</v>
      </c>
      <c r="N252" s="289">
        <f>+K0kommunestruktur2021!N252</f>
        <v>453051.44811169017</v>
      </c>
      <c r="O252" s="289">
        <f>+K0kommunestruktur2021!O252</f>
        <v>15740</v>
      </c>
      <c r="P252" s="289">
        <f>+K0kommunestruktur2021!P252</f>
        <v>443958</v>
      </c>
      <c r="Q252" s="289">
        <f>+K0kommunestruktur2021!Q252</f>
        <v>15787</v>
      </c>
      <c r="R252" s="289">
        <f>+K0kommunestruktur2021!R252</f>
        <v>489349.63799999998</v>
      </c>
      <c r="S252" s="289">
        <f>VLOOKUP(A252,'K22'!A252:CU607,3)</f>
        <v>15875</v>
      </c>
      <c r="T252" s="289">
        <f>VLOOKUP(A252,'K22'!$A$4:$BV$359,26)</f>
        <v>554967.34972716647</v>
      </c>
      <c r="U252" s="289">
        <f>VLOOKUP(A252,'Bef.fremskr. kommunenivå MMMM'!$A$5:$K$360,8)</f>
        <v>15923</v>
      </c>
      <c r="V252" s="289">
        <f>VLOOKUP(A252,'K23'!$A$4:$BV$359,26)</f>
        <v>515914.11129063973</v>
      </c>
    </row>
    <row r="253" spans="1:22" ht="13">
      <c r="A253" s="755">
        <v>4622</v>
      </c>
      <c r="B253" s="756" t="s">
        <v>38</v>
      </c>
      <c r="C253" s="289">
        <f>+K0kommunestruktur2021!C253</f>
        <v>8584</v>
      </c>
      <c r="D253" s="289">
        <f>+K0kommunestruktur2021!D253</f>
        <v>191886</v>
      </c>
      <c r="E253" s="289">
        <f>+K0kommunestruktur2021!E253</f>
        <v>8539</v>
      </c>
      <c r="F253" s="289">
        <f>+K0kommunestruktur2021!F253</f>
        <v>198344</v>
      </c>
      <c r="G253" s="289">
        <f>+K0kommunestruktur2021!G253</f>
        <v>8475</v>
      </c>
      <c r="H253" s="289">
        <f>+K0kommunestruktur2021!H253</f>
        <v>212701</v>
      </c>
      <c r="I253" s="289">
        <f>+K0kommunestruktur2021!I253</f>
        <v>8423</v>
      </c>
      <c r="J253" s="289">
        <f>+K0kommunestruktur2021!J253</f>
        <v>216753</v>
      </c>
      <c r="K253" s="289">
        <f>+K0kommunestruktur2021!K253</f>
        <v>8455</v>
      </c>
      <c r="L253" s="289">
        <f>+K0kommunestruktur2021!L253</f>
        <v>232403</v>
      </c>
      <c r="M253" s="289">
        <f>+K0kommunestruktur2021!M253</f>
        <v>8441</v>
      </c>
      <c r="N253" s="289">
        <f>+K0kommunestruktur2021!N253</f>
        <v>234746</v>
      </c>
      <c r="O253" s="289">
        <f>+K0kommunestruktur2021!O253</f>
        <v>8457</v>
      </c>
      <c r="P253" s="289">
        <f>+K0kommunestruktur2021!P253</f>
        <v>233626</v>
      </c>
      <c r="Q253" s="289">
        <f>+K0kommunestruktur2021!Q253</f>
        <v>8461</v>
      </c>
      <c r="R253" s="289">
        <f>+K0kommunestruktur2021!R253</f>
        <v>267315.22600000002</v>
      </c>
      <c r="S253" s="289">
        <f>VLOOKUP(A253,'K22'!A253:CU608,3)</f>
        <v>8497</v>
      </c>
      <c r="T253" s="289">
        <f>VLOOKUP(A253,'K22'!$A$4:$BV$359,26)</f>
        <v>291054.92946909729</v>
      </c>
      <c r="U253" s="289">
        <f>VLOOKUP(A253,'Bef.fremskr. kommunenivå MMMM'!$A$5:$K$360,8)</f>
        <v>8462</v>
      </c>
      <c r="V253" s="289">
        <f>VLOOKUP(A253,'K23'!$A$4:$BV$359,26)</f>
        <v>270150.52702434763</v>
      </c>
    </row>
    <row r="254" spans="1:22" ht="13">
      <c r="A254" s="755">
        <v>4623</v>
      </c>
      <c r="B254" s="756" t="s">
        <v>40</v>
      </c>
      <c r="C254" s="289">
        <f>+K0kommunestruktur2021!C254</f>
        <v>2436</v>
      </c>
      <c r="D254" s="289">
        <f>+K0kommunestruktur2021!D254</f>
        <v>57433</v>
      </c>
      <c r="E254" s="289">
        <f>+K0kommunestruktur2021!E254</f>
        <v>2443</v>
      </c>
      <c r="F254" s="289">
        <f>+K0kommunestruktur2021!F254</f>
        <v>62067</v>
      </c>
      <c r="G254" s="289">
        <f>+K0kommunestruktur2021!G254</f>
        <v>2443</v>
      </c>
      <c r="H254" s="289">
        <f>+K0kommunestruktur2021!H254</f>
        <v>65531</v>
      </c>
      <c r="I254" s="289">
        <f>+K0kommunestruktur2021!I254</f>
        <v>2488</v>
      </c>
      <c r="J254" s="289">
        <f>+K0kommunestruktur2021!J254</f>
        <v>66651</v>
      </c>
      <c r="K254" s="289">
        <f>+K0kommunestruktur2021!K254</f>
        <v>2463</v>
      </c>
      <c r="L254" s="289">
        <f>+K0kommunestruktur2021!L254</f>
        <v>65455</v>
      </c>
      <c r="M254" s="289">
        <f>+K0kommunestruktur2021!M254</f>
        <v>2465</v>
      </c>
      <c r="N254" s="289">
        <f>+K0kommunestruktur2021!N254</f>
        <v>67380</v>
      </c>
      <c r="O254" s="289">
        <f>+K0kommunestruktur2021!O254</f>
        <v>2485</v>
      </c>
      <c r="P254" s="289">
        <f>+K0kommunestruktur2021!P254</f>
        <v>67747</v>
      </c>
      <c r="Q254" s="289">
        <f>+K0kommunestruktur2021!Q254</f>
        <v>2504</v>
      </c>
      <c r="R254" s="289">
        <f>+K0kommunestruktur2021!R254</f>
        <v>76737.937999999995</v>
      </c>
      <c r="S254" s="289">
        <f>VLOOKUP(A254,'K22'!A254:CU609,3)</f>
        <v>2501</v>
      </c>
      <c r="T254" s="289">
        <f>VLOOKUP(A254,'K22'!$A$4:$BV$359,26)</f>
        <v>82389.545174626954</v>
      </c>
      <c r="U254" s="289">
        <f>VLOOKUP(A254,'Bef.fremskr. kommunenivå MMMM'!$A$5:$K$360,8)</f>
        <v>2490</v>
      </c>
      <c r="V254" s="289">
        <f>VLOOKUP(A254,'K23'!$A$4:$BV$359,26)</f>
        <v>77611.029265090649</v>
      </c>
    </row>
    <row r="255" spans="1:22" ht="13">
      <c r="A255" s="755">
        <v>4624</v>
      </c>
      <c r="B255" s="756" t="s">
        <v>1634</v>
      </c>
      <c r="C255" s="289">
        <f>+K0kommunestruktur2021!C255</f>
        <v>22507</v>
      </c>
      <c r="D255" s="289">
        <f>+K0kommunestruktur2021!D255</f>
        <v>534800</v>
      </c>
      <c r="E255" s="289">
        <f>+K0kommunestruktur2021!E255</f>
        <v>22935</v>
      </c>
      <c r="F255" s="289">
        <f>+K0kommunestruktur2021!F255</f>
        <v>569139</v>
      </c>
      <c r="G255" s="289">
        <f>+K0kommunestruktur2021!G255</f>
        <v>23618</v>
      </c>
      <c r="H255" s="289">
        <f>+K0kommunestruktur2021!H255</f>
        <v>626543</v>
      </c>
      <c r="I255" s="289">
        <f>+K0kommunestruktur2021!I255</f>
        <v>24047</v>
      </c>
      <c r="J255" s="289">
        <f>+K0kommunestruktur2021!J255</f>
        <v>657084</v>
      </c>
      <c r="K255" s="289">
        <f>+K0kommunestruktur2021!K255</f>
        <v>24493</v>
      </c>
      <c r="L255" s="289">
        <f>+K0kommunestruktur2021!L255</f>
        <v>677975</v>
      </c>
      <c r="M255" s="289">
        <f>+K0kommunestruktur2021!M255</f>
        <v>24665</v>
      </c>
      <c r="N255" s="289">
        <f>+K0kommunestruktur2021!N255</f>
        <v>706159</v>
      </c>
      <c r="O255" s="289">
        <f>+K0kommunestruktur2021!O255</f>
        <v>24908</v>
      </c>
      <c r="P255" s="289">
        <f>+K0kommunestruktur2021!P255</f>
        <v>702109</v>
      </c>
      <c r="Q255" s="289">
        <f>+K0kommunestruktur2021!Q255</f>
        <v>25049</v>
      </c>
      <c r="R255" s="289">
        <f>+K0kommunestruktur2021!R255</f>
        <v>809661.46299999999</v>
      </c>
      <c r="S255" s="289">
        <f>VLOOKUP(A255,'K22'!A255:CU610,3)</f>
        <v>25213</v>
      </c>
      <c r="T255" s="289">
        <f>VLOOKUP(A255,'K22'!$A$4:$BV$359,26)</f>
        <v>896902.35955817648</v>
      </c>
      <c r="U255" s="289">
        <f>VLOOKUP(A255,'Bef.fremskr. kommunenivå MMMM'!$A$5:$K$360,8)</f>
        <v>25354</v>
      </c>
      <c r="V255" s="289">
        <f>VLOOKUP(A255,'K23'!$A$4:$BV$359,26)</f>
        <v>831212.16272590123</v>
      </c>
    </row>
    <row r="256" spans="1:22" ht="13">
      <c r="A256" s="755">
        <v>4625</v>
      </c>
      <c r="B256" s="756" t="s">
        <v>41</v>
      </c>
      <c r="C256" s="289">
        <f>+K0kommunestruktur2021!C256</f>
        <v>4924</v>
      </c>
      <c r="D256" s="289">
        <f>+K0kommunestruktur2021!D256</f>
        <v>167181</v>
      </c>
      <c r="E256" s="289">
        <f>+K0kommunestruktur2021!E256</f>
        <v>5012</v>
      </c>
      <c r="F256" s="289">
        <f>+K0kommunestruktur2021!F256</f>
        <v>185918</v>
      </c>
      <c r="G256" s="289">
        <f>+K0kommunestruktur2021!G256</f>
        <v>5118</v>
      </c>
      <c r="H256" s="289">
        <f>+K0kommunestruktur2021!H256</f>
        <v>200516</v>
      </c>
      <c r="I256" s="289">
        <f>+K0kommunestruktur2021!I256</f>
        <v>5156</v>
      </c>
      <c r="J256" s="289">
        <f>+K0kommunestruktur2021!J256</f>
        <v>219330</v>
      </c>
      <c r="K256" s="289">
        <f>+K0kommunestruktur2021!K256</f>
        <v>5189</v>
      </c>
      <c r="L256" s="289">
        <f>+K0kommunestruktur2021!L256</f>
        <v>202389</v>
      </c>
      <c r="M256" s="289">
        <f>+K0kommunestruktur2021!M256</f>
        <v>5212</v>
      </c>
      <c r="N256" s="289">
        <f>+K0kommunestruktur2021!N256</f>
        <v>259138</v>
      </c>
      <c r="O256" s="289">
        <f>+K0kommunestruktur2021!O256</f>
        <v>5236</v>
      </c>
      <c r="P256" s="289">
        <f>+K0kommunestruktur2021!P256</f>
        <v>264097</v>
      </c>
      <c r="Q256" s="289">
        <f>+K0kommunestruktur2021!Q256</f>
        <v>5276</v>
      </c>
      <c r="R256" s="289">
        <f>+K0kommunestruktur2021!R256</f>
        <v>286098.10200000001</v>
      </c>
      <c r="S256" s="289">
        <f>VLOOKUP(A256,'K22'!A256:CU611,3)</f>
        <v>5283</v>
      </c>
      <c r="T256" s="289">
        <f>VLOOKUP(A256,'K22'!$A$4:$BV$359,26)</f>
        <v>343522.14314632391</v>
      </c>
      <c r="U256" s="289">
        <f>VLOOKUP(A256,'Bef.fremskr. kommunenivå MMMM'!$A$5:$K$360,8)</f>
        <v>5285</v>
      </c>
      <c r="V256" s="289">
        <f>VLOOKUP(A256,'K23'!$A$4:$BV$359,26)</f>
        <v>300612.84401917597</v>
      </c>
    </row>
    <row r="257" spans="1:22" ht="13">
      <c r="A257" s="755">
        <v>4626</v>
      </c>
      <c r="B257" s="756" t="s">
        <v>1635</v>
      </c>
      <c r="C257" s="289">
        <f>+K0kommunestruktur2021!C257</f>
        <v>35191</v>
      </c>
      <c r="D257" s="289">
        <f>+K0kommunestruktur2021!D257</f>
        <v>869349</v>
      </c>
      <c r="E257" s="289">
        <f>+K0kommunestruktur2021!E257</f>
        <v>35912</v>
      </c>
      <c r="F257" s="289">
        <f>+K0kommunestruktur2021!F257</f>
        <v>900925</v>
      </c>
      <c r="G257" s="289">
        <f>+K0kommunestruktur2021!G257</f>
        <v>36697</v>
      </c>
      <c r="H257" s="289">
        <f>+K0kommunestruktur2021!H257</f>
        <v>969029</v>
      </c>
      <c r="I257" s="289">
        <f>+K0kommunestruktur2021!I257</f>
        <v>37175</v>
      </c>
      <c r="J257" s="289">
        <f>+K0kommunestruktur2021!J257</f>
        <v>993064</v>
      </c>
      <c r="K257" s="289">
        <f>+K0kommunestruktur2021!K257</f>
        <v>37687</v>
      </c>
      <c r="L257" s="289">
        <f>+K0kommunestruktur2021!L257</f>
        <v>1041433</v>
      </c>
      <c r="M257" s="289">
        <f>+K0kommunestruktur2021!M257</f>
        <v>38117</v>
      </c>
      <c r="N257" s="289">
        <f>+K0kommunestruktur2021!N257</f>
        <v>1088369</v>
      </c>
      <c r="O257" s="289">
        <f>+K0kommunestruktur2021!O257</f>
        <v>38316</v>
      </c>
      <c r="P257" s="289">
        <f>+K0kommunestruktur2021!P257</f>
        <v>1073322</v>
      </c>
      <c r="Q257" s="289">
        <f>+K0kommunestruktur2021!Q257</f>
        <v>38664</v>
      </c>
      <c r="R257" s="289">
        <f>+K0kommunestruktur2021!R257</f>
        <v>1234238.007</v>
      </c>
      <c r="S257" s="289">
        <f>VLOOKUP(A257,'K22'!A257:CU612,3)</f>
        <v>39032</v>
      </c>
      <c r="T257" s="289">
        <f>VLOOKUP(A257,'K22'!$A$4:$BV$359,26)</f>
        <v>1381011.12277896</v>
      </c>
      <c r="U257" s="289">
        <f>VLOOKUP(A257,'Bef.fremskr. kommunenivå MMMM'!$A$5:$K$360,8)</f>
        <v>39329</v>
      </c>
      <c r="V257" s="289">
        <f>VLOOKUP(A257,'K23'!$A$4:$BV$359,26)</f>
        <v>1280447.8375771819</v>
      </c>
    </row>
    <row r="258" spans="1:22" ht="13">
      <c r="A258" s="755">
        <v>4627</v>
      </c>
      <c r="B258" s="965" t="s">
        <v>44</v>
      </c>
      <c r="C258" s="289">
        <f>+K0kommunestruktur2021!C258</f>
        <v>27346</v>
      </c>
      <c r="D258" s="289">
        <f>+K0kommunestruktur2021!D258</f>
        <v>612963</v>
      </c>
      <c r="E258" s="289">
        <f>+K0kommunestruktur2021!E258</f>
        <v>27858</v>
      </c>
      <c r="F258" s="289">
        <f>+K0kommunestruktur2021!F258</f>
        <v>641304</v>
      </c>
      <c r="G258" s="289">
        <f>+K0kommunestruktur2021!G258</f>
        <v>28380</v>
      </c>
      <c r="H258" s="289">
        <f>+K0kommunestruktur2021!H258</f>
        <v>684373</v>
      </c>
      <c r="I258" s="289">
        <f>+K0kommunestruktur2021!I258</f>
        <v>28821</v>
      </c>
      <c r="J258" s="289">
        <f>+K0kommunestruktur2021!J258</f>
        <v>715328</v>
      </c>
      <c r="K258" s="289">
        <f>+K0kommunestruktur2021!K258</f>
        <v>29071</v>
      </c>
      <c r="L258" s="289">
        <f>+K0kommunestruktur2021!L258</f>
        <v>745203</v>
      </c>
      <c r="M258" s="289">
        <f>+K0kommunestruktur2021!M258</f>
        <v>29275</v>
      </c>
      <c r="N258" s="289">
        <f>+K0kommunestruktur2021!N258</f>
        <v>770143</v>
      </c>
      <c r="O258" s="289">
        <f>+K0kommunestruktur2021!O258</f>
        <v>29553</v>
      </c>
      <c r="P258" s="289">
        <f>+K0kommunestruktur2021!P258</f>
        <v>758102</v>
      </c>
      <c r="Q258" s="289">
        <f>+K0kommunestruktur2021!Q258</f>
        <v>29594</v>
      </c>
      <c r="R258" s="289">
        <f>+K0kommunestruktur2021!R258</f>
        <v>891286.87600000005</v>
      </c>
      <c r="S258" s="289">
        <f>VLOOKUP(A258,'K22'!A258:CU613,3)</f>
        <v>29816</v>
      </c>
      <c r="T258" s="289">
        <f>VLOOKUP(A258,'K22'!$A$4:$BV$359,26)</f>
        <v>968273.93143772567</v>
      </c>
      <c r="U258" s="289">
        <f>VLOOKUP(A258,'Bef.fremskr. kommunenivå MMMM'!$A$5:$K$360,8)</f>
        <v>29979</v>
      </c>
      <c r="V258" s="289">
        <f>VLOOKUP(A258,'K23'!$A$4:$BV$359,26)</f>
        <v>904548.80433479068</v>
      </c>
    </row>
    <row r="259" spans="1:22" ht="13">
      <c r="A259" s="755">
        <v>4628</v>
      </c>
      <c r="B259" s="756" t="s">
        <v>45</v>
      </c>
      <c r="C259" s="289">
        <f>+K0kommunestruktur2021!C259</f>
        <v>4140</v>
      </c>
      <c r="D259" s="289">
        <f>+K0kommunestruktur2021!D259</f>
        <v>91771</v>
      </c>
      <c r="E259" s="289">
        <f>+K0kommunestruktur2021!E259</f>
        <v>4096</v>
      </c>
      <c r="F259" s="289">
        <f>+K0kommunestruktur2021!F259</f>
        <v>95145</v>
      </c>
      <c r="G259" s="289">
        <f>+K0kommunestruktur2021!G259</f>
        <v>4125</v>
      </c>
      <c r="H259" s="289">
        <f>+K0kommunestruktur2021!H259</f>
        <v>100840</v>
      </c>
      <c r="I259" s="289">
        <f>+K0kommunestruktur2021!I259</f>
        <v>4123</v>
      </c>
      <c r="J259" s="289">
        <f>+K0kommunestruktur2021!J259</f>
        <v>103284</v>
      </c>
      <c r="K259" s="289">
        <f>+K0kommunestruktur2021!K259</f>
        <v>4127</v>
      </c>
      <c r="L259" s="289">
        <f>+K0kommunestruktur2021!L259</f>
        <v>107402</v>
      </c>
      <c r="M259" s="289">
        <f>+K0kommunestruktur2021!M259</f>
        <v>4045</v>
      </c>
      <c r="N259" s="289">
        <f>+K0kommunestruktur2021!N259</f>
        <v>109454</v>
      </c>
      <c r="O259" s="289">
        <f>+K0kommunestruktur2021!O259</f>
        <v>3977</v>
      </c>
      <c r="P259" s="289">
        <f>+K0kommunestruktur2021!P259</f>
        <v>107407</v>
      </c>
      <c r="Q259" s="289">
        <f>+K0kommunestruktur2021!Q259</f>
        <v>3918</v>
      </c>
      <c r="R259" s="289">
        <f>+K0kommunestruktur2021!R259</f>
        <v>118388.21799999999</v>
      </c>
      <c r="S259" s="289">
        <f>VLOOKUP(A259,'K22'!A259:CU614,3)</f>
        <v>3867</v>
      </c>
      <c r="T259" s="289">
        <f>VLOOKUP(A259,'K22'!$A$4:$BV$359,26)</f>
        <v>124050.02724674008</v>
      </c>
      <c r="U259" s="289">
        <f>VLOOKUP(A259,'Bef.fremskr. kommunenivå MMMM'!$A$5:$K$360,8)</f>
        <v>3839</v>
      </c>
      <c r="V259" s="289">
        <f>VLOOKUP(A259,'K23'!$A$4:$BV$359,26)</f>
        <v>117989.52118165948</v>
      </c>
    </row>
    <row r="260" spans="1:22" ht="13">
      <c r="A260" s="755">
        <v>4629</v>
      </c>
      <c r="B260" s="756" t="s">
        <v>46</v>
      </c>
      <c r="C260" s="289">
        <f>+K0kommunestruktur2021!C260</f>
        <v>372</v>
      </c>
      <c r="D260" s="289">
        <f>+K0kommunestruktur2021!D260</f>
        <v>23282</v>
      </c>
      <c r="E260" s="289">
        <f>+K0kommunestruktur2021!E260</f>
        <v>378</v>
      </c>
      <c r="F260" s="289">
        <f>+K0kommunestruktur2021!F260</f>
        <v>22663</v>
      </c>
      <c r="G260" s="289">
        <f>+K0kommunestruktur2021!G260</f>
        <v>381</v>
      </c>
      <c r="H260" s="289">
        <f>+K0kommunestruktur2021!H260</f>
        <v>24758</v>
      </c>
      <c r="I260" s="289">
        <f>+K0kommunestruktur2021!I260</f>
        <v>383</v>
      </c>
      <c r="J260" s="289">
        <f>+K0kommunestruktur2021!J260</f>
        <v>23712</v>
      </c>
      <c r="K260" s="289">
        <f>+K0kommunestruktur2021!K260</f>
        <v>380</v>
      </c>
      <c r="L260" s="289">
        <f>+K0kommunestruktur2021!L260</f>
        <v>24427</v>
      </c>
      <c r="M260" s="289">
        <f>+K0kommunestruktur2021!M260</f>
        <v>380</v>
      </c>
      <c r="N260" s="289">
        <f>+K0kommunestruktur2021!N260</f>
        <v>27481</v>
      </c>
      <c r="O260" s="289">
        <f>+K0kommunestruktur2021!O260</f>
        <v>388</v>
      </c>
      <c r="P260" s="289">
        <f>+K0kommunestruktur2021!P260</f>
        <v>27348</v>
      </c>
      <c r="Q260" s="289">
        <f>+K0kommunestruktur2021!Q260</f>
        <v>376</v>
      </c>
      <c r="R260" s="289">
        <f>+K0kommunestruktur2021!R260</f>
        <v>29904.151000000002</v>
      </c>
      <c r="S260" s="289">
        <f>VLOOKUP(A260,'K22'!A260:CU615,3)</f>
        <v>378</v>
      </c>
      <c r="T260" s="289">
        <f>VLOOKUP(A260,'K22'!$A$4:$BV$359,26)</f>
        <v>33889.223069822481</v>
      </c>
      <c r="U260" s="289">
        <f>VLOOKUP(A260,'Bef.fremskr. kommunenivå MMMM'!$A$5:$K$360,8)</f>
        <v>375</v>
      </c>
      <c r="V260" s="289">
        <f>VLOOKUP(A260,'K23'!$A$4:$BV$359,26)</f>
        <v>29300.449755860089</v>
      </c>
    </row>
    <row r="261" spans="1:22" ht="13">
      <c r="A261" s="755">
        <v>4630</v>
      </c>
      <c r="B261" s="756" t="s">
        <v>47</v>
      </c>
      <c r="C261" s="289">
        <f>+K0kommunestruktur2021!C261</f>
        <v>7786</v>
      </c>
      <c r="D261" s="289">
        <f>+K0kommunestruktur2021!D261</f>
        <v>159398</v>
      </c>
      <c r="E261" s="289">
        <f>+K0kommunestruktur2021!E261</f>
        <v>7842</v>
      </c>
      <c r="F261" s="289">
        <f>+K0kommunestruktur2021!F261</f>
        <v>166774</v>
      </c>
      <c r="G261" s="289">
        <f>+K0kommunestruktur2021!G261</f>
        <v>7957</v>
      </c>
      <c r="H261" s="289">
        <f>+K0kommunestruktur2021!H261</f>
        <v>179015</v>
      </c>
      <c r="I261" s="289">
        <f>+K0kommunestruktur2021!I261</f>
        <v>8026</v>
      </c>
      <c r="J261" s="289">
        <f>+K0kommunestruktur2021!J261</f>
        <v>190980</v>
      </c>
      <c r="K261" s="289">
        <f>+K0kommunestruktur2021!K261</f>
        <v>8125</v>
      </c>
      <c r="L261" s="289">
        <f>+K0kommunestruktur2021!L261</f>
        <v>194818</v>
      </c>
      <c r="M261" s="289">
        <f>+K0kommunestruktur2021!M261</f>
        <v>8120</v>
      </c>
      <c r="N261" s="289">
        <f>+K0kommunestruktur2021!N261</f>
        <v>204329</v>
      </c>
      <c r="O261" s="289">
        <f>+K0kommunestruktur2021!O261</f>
        <v>8098</v>
      </c>
      <c r="P261" s="289">
        <f>+K0kommunestruktur2021!P261</f>
        <v>202713</v>
      </c>
      <c r="Q261" s="289">
        <f>+K0kommunestruktur2021!Q261</f>
        <v>8080</v>
      </c>
      <c r="R261" s="289">
        <f>+K0kommunestruktur2021!R261</f>
        <v>228696.345</v>
      </c>
      <c r="S261" s="289">
        <f>VLOOKUP(A261,'K22'!A261:CU616,3)</f>
        <v>8131</v>
      </c>
      <c r="T261" s="289">
        <f>VLOOKUP(A261,'K22'!$A$4:$BV$359,26)</f>
        <v>257468.07980354808</v>
      </c>
      <c r="U261" s="289">
        <f>VLOOKUP(A261,'Bef.fremskr. kommunenivå MMMM'!$A$5:$K$360,8)</f>
        <v>8126</v>
      </c>
      <c r="V261" s="289">
        <f>VLOOKUP(A261,'K23'!$A$4:$BV$359,26)</f>
        <v>234651.33201789547</v>
      </c>
    </row>
    <row r="262" spans="1:22" ht="13">
      <c r="A262" s="755">
        <v>4631</v>
      </c>
      <c r="B262" s="756" t="s">
        <v>1636</v>
      </c>
      <c r="C262" s="289">
        <f>+K0kommunestruktur2021!C262</f>
        <v>27652</v>
      </c>
      <c r="D262" s="289">
        <f>+K0kommunestruktur2021!D262</f>
        <v>642806</v>
      </c>
      <c r="E262" s="289">
        <f>+K0kommunestruktur2021!E262</f>
        <v>28152</v>
      </c>
      <c r="F262" s="289">
        <f>+K0kommunestruktur2021!F262</f>
        <v>659754</v>
      </c>
      <c r="G262" s="289">
        <f>+K0kommunestruktur2021!G262</f>
        <v>28496</v>
      </c>
      <c r="H262" s="289">
        <f>+K0kommunestruktur2021!H262</f>
        <v>698232</v>
      </c>
      <c r="I262" s="289">
        <f>+K0kommunestruktur2021!I262</f>
        <v>28880</v>
      </c>
      <c r="J262" s="289">
        <f>+K0kommunestruktur2021!J262</f>
        <v>709290</v>
      </c>
      <c r="K262" s="289">
        <f>+K0kommunestruktur2021!K262</f>
        <v>28997</v>
      </c>
      <c r="L262" s="289">
        <f>+K0kommunestruktur2021!L262</f>
        <v>743913</v>
      </c>
      <c r="M262" s="289">
        <f>+K0kommunestruktur2021!M262</f>
        <v>29090</v>
      </c>
      <c r="N262" s="289">
        <f>+K0kommunestruktur2021!N262</f>
        <v>793379</v>
      </c>
      <c r="O262" s="289">
        <f>+K0kommunestruktur2021!O262</f>
        <v>29224</v>
      </c>
      <c r="P262" s="289">
        <f>+K0kommunestruktur2021!P262</f>
        <v>779977</v>
      </c>
      <c r="Q262" s="289">
        <f>+K0kommunestruktur2021!Q262</f>
        <v>29337</v>
      </c>
      <c r="R262" s="289">
        <f>+K0kommunestruktur2021!R262</f>
        <v>891135.897</v>
      </c>
      <c r="S262" s="289">
        <f>VLOOKUP(A262,'K22'!A262:CU617,3)</f>
        <v>29593</v>
      </c>
      <c r="T262" s="289">
        <f>VLOOKUP(A262,'K22'!$A$4:$BV$359,26)</f>
        <v>987396.18855133175</v>
      </c>
      <c r="U262" s="289">
        <f>VLOOKUP(A262,'Bef.fremskr. kommunenivå MMMM'!$A$5:$K$360,8)</f>
        <v>29727</v>
      </c>
      <c r="V262" s="289">
        <f>VLOOKUP(A262,'K23'!$A$4:$BV$359,26)</f>
        <v>922507.21509287588</v>
      </c>
    </row>
    <row r="263" spans="1:22" ht="13">
      <c r="A263" s="755">
        <v>4632</v>
      </c>
      <c r="B263" s="756" t="s">
        <v>55</v>
      </c>
      <c r="C263" s="289">
        <f>+K0kommunestruktur2021!C263</f>
        <v>2833</v>
      </c>
      <c r="D263" s="289">
        <f>+K0kommunestruktur2021!D263</f>
        <v>84590</v>
      </c>
      <c r="E263" s="289">
        <f>+K0kommunestruktur2021!E263</f>
        <v>2856</v>
      </c>
      <c r="F263" s="289">
        <f>+K0kommunestruktur2021!F263</f>
        <v>82871</v>
      </c>
      <c r="G263" s="289">
        <f>+K0kommunestruktur2021!G263</f>
        <v>2858</v>
      </c>
      <c r="H263" s="289">
        <f>+K0kommunestruktur2021!H263</f>
        <v>88559</v>
      </c>
      <c r="I263" s="289">
        <f>+K0kommunestruktur2021!I263</f>
        <v>2884</v>
      </c>
      <c r="J263" s="289">
        <f>+K0kommunestruktur2021!J263</f>
        <v>85690</v>
      </c>
      <c r="K263" s="289">
        <f>+K0kommunestruktur2021!K263</f>
        <v>2902</v>
      </c>
      <c r="L263" s="289">
        <f>+K0kommunestruktur2021!L263</f>
        <v>87553</v>
      </c>
      <c r="M263" s="289">
        <f>+K0kommunestruktur2021!M263</f>
        <v>2887</v>
      </c>
      <c r="N263" s="289">
        <f>+K0kommunestruktur2021!N263</f>
        <v>95029</v>
      </c>
      <c r="O263" s="289">
        <f>+K0kommunestruktur2021!O263</f>
        <v>2870</v>
      </c>
      <c r="P263" s="289">
        <f>+K0kommunestruktur2021!P263</f>
        <v>96979</v>
      </c>
      <c r="Q263" s="289">
        <f>+K0kommunestruktur2021!Q263</f>
        <v>2860</v>
      </c>
      <c r="R263" s="289">
        <f>+K0kommunestruktur2021!R263</f>
        <v>108953.39200000001</v>
      </c>
      <c r="S263" s="289">
        <f>VLOOKUP(A263,'K22'!A263:CU618,3)</f>
        <v>2889</v>
      </c>
      <c r="T263" s="289">
        <f>VLOOKUP(A263,'K22'!$A$4:$BV$359,26)</f>
        <v>118971.03721028806</v>
      </c>
      <c r="U263" s="289">
        <f>VLOOKUP(A263,'Bef.fremskr. kommunenivå MMMM'!$A$5:$K$360,8)</f>
        <v>2937</v>
      </c>
      <c r="V263" s="289">
        <f>VLOOKUP(A263,'K23'!$A$4:$BV$359,26)</f>
        <v>113220.73564844146</v>
      </c>
    </row>
    <row r="264" spans="1:22" ht="13">
      <c r="A264" s="755">
        <v>4633</v>
      </c>
      <c r="B264" s="756" t="s">
        <v>56</v>
      </c>
      <c r="C264" s="289">
        <f>+K0kommunestruktur2021!C264</f>
        <v>561</v>
      </c>
      <c r="D264" s="289">
        <f>+K0kommunestruktur2021!D264</f>
        <v>12698</v>
      </c>
      <c r="E264" s="289">
        <f>+K0kommunestruktur2021!E264</f>
        <v>563</v>
      </c>
      <c r="F264" s="289">
        <f>+K0kommunestruktur2021!F264</f>
        <v>12935</v>
      </c>
      <c r="G264" s="289">
        <f>+K0kommunestruktur2021!G264</f>
        <v>576</v>
      </c>
      <c r="H264" s="289">
        <f>+K0kommunestruktur2021!H264</f>
        <v>13743</v>
      </c>
      <c r="I264" s="289">
        <f>+K0kommunestruktur2021!I264</f>
        <v>587</v>
      </c>
      <c r="J264" s="289">
        <f>+K0kommunestruktur2021!J264</f>
        <v>13627</v>
      </c>
      <c r="K264" s="289">
        <f>+K0kommunestruktur2021!K264</f>
        <v>561</v>
      </c>
      <c r="L264" s="289">
        <f>+K0kommunestruktur2021!L264</f>
        <v>14691</v>
      </c>
      <c r="M264" s="289">
        <f>+K0kommunestruktur2021!M264</f>
        <v>562</v>
      </c>
      <c r="N264" s="289">
        <f>+K0kommunestruktur2021!N264</f>
        <v>14851</v>
      </c>
      <c r="O264" s="289">
        <f>+K0kommunestruktur2021!O264</f>
        <v>548</v>
      </c>
      <c r="P264" s="289">
        <f>+K0kommunestruktur2021!P264</f>
        <v>15842</v>
      </c>
      <c r="Q264" s="289">
        <f>+K0kommunestruktur2021!Q264</f>
        <v>525</v>
      </c>
      <c r="R264" s="289">
        <f>+K0kommunestruktur2021!R264</f>
        <v>16472.117999999999</v>
      </c>
      <c r="S264" s="289">
        <f>VLOOKUP(A264,'K22'!A264:CU619,3)</f>
        <v>502</v>
      </c>
      <c r="T264" s="289">
        <f>VLOOKUP(A264,'K22'!$A$4:$BV$359,26)</f>
        <v>17703.971661063955</v>
      </c>
      <c r="U264" s="289">
        <f>VLOOKUP(A264,'Bef.fremskr. kommunenivå MMMM'!$A$5:$K$360,8)</f>
        <v>495</v>
      </c>
      <c r="V264" s="289">
        <f>VLOOKUP(A264,'K23'!$A$4:$BV$359,26)</f>
        <v>15793.794500131049</v>
      </c>
    </row>
    <row r="265" spans="1:22" ht="13">
      <c r="A265" s="755">
        <v>4634</v>
      </c>
      <c r="B265" s="756" t="s">
        <v>57</v>
      </c>
      <c r="C265" s="289">
        <f>+K0kommunestruktur2021!C265</f>
        <v>1693</v>
      </c>
      <c r="D265" s="289">
        <f>+K0kommunestruktur2021!D265</f>
        <v>50840</v>
      </c>
      <c r="E265" s="289">
        <f>+K0kommunestruktur2021!E265</f>
        <v>1704</v>
      </c>
      <c r="F265" s="289">
        <f>+K0kommunestruktur2021!F265</f>
        <v>51991</v>
      </c>
      <c r="G265" s="289">
        <f>+K0kommunestruktur2021!G265</f>
        <v>1701</v>
      </c>
      <c r="H265" s="289">
        <f>+K0kommunestruktur2021!H265</f>
        <v>54093</v>
      </c>
      <c r="I265" s="289">
        <f>+K0kommunestruktur2021!I265</f>
        <v>1710</v>
      </c>
      <c r="J265" s="289">
        <f>+K0kommunestruktur2021!J265</f>
        <v>54844</v>
      </c>
      <c r="K265" s="289">
        <f>+K0kommunestruktur2021!K265</f>
        <v>1730</v>
      </c>
      <c r="L265" s="289">
        <f>+K0kommunestruktur2021!L265</f>
        <v>55228</v>
      </c>
      <c r="M265" s="289">
        <f>+K0kommunestruktur2021!M265</f>
        <v>1711</v>
      </c>
      <c r="N265" s="289">
        <f>+K0kommunestruktur2021!N265</f>
        <v>58980</v>
      </c>
      <c r="O265" s="289">
        <f>+K0kommunestruktur2021!O265</f>
        <v>1691</v>
      </c>
      <c r="P265" s="289">
        <f>+K0kommunestruktur2021!P265</f>
        <v>57444</v>
      </c>
      <c r="Q265" s="289">
        <f>+K0kommunestruktur2021!Q265</f>
        <v>1660</v>
      </c>
      <c r="R265" s="289">
        <f>+K0kommunestruktur2021!R265</f>
        <v>63301.815999999999</v>
      </c>
      <c r="S265" s="289">
        <f>VLOOKUP(A265,'K22'!A265:CU620,3)</f>
        <v>1629</v>
      </c>
      <c r="T265" s="289">
        <f>VLOOKUP(A265,'K22'!$A$4:$BV$359,26)</f>
        <v>69238.320351759467</v>
      </c>
      <c r="U265" s="289">
        <f>VLOOKUP(A265,'Bef.fremskr. kommunenivå MMMM'!$A$5:$K$360,8)</f>
        <v>1617</v>
      </c>
      <c r="V265" s="289">
        <f>VLOOKUP(A265,'K23'!$A$4:$BV$359,26)</f>
        <v>62715.805503666117</v>
      </c>
    </row>
    <row r="266" spans="1:22" ht="13">
      <c r="A266" s="755">
        <v>4635</v>
      </c>
      <c r="B266" s="756" t="s">
        <v>59</v>
      </c>
      <c r="C266" s="289">
        <f>+K0kommunestruktur2021!C266</f>
        <v>2315</v>
      </c>
      <c r="D266" s="289">
        <f>+K0kommunestruktur2021!D266</f>
        <v>61093</v>
      </c>
      <c r="E266" s="289">
        <f>+K0kommunestruktur2021!E266</f>
        <v>2335</v>
      </c>
      <c r="F266" s="289">
        <f>+K0kommunestruktur2021!F266</f>
        <v>62353</v>
      </c>
      <c r="G266" s="289">
        <f>+K0kommunestruktur2021!G266</f>
        <v>2370</v>
      </c>
      <c r="H266" s="289">
        <f>+K0kommunestruktur2021!H266</f>
        <v>71148</v>
      </c>
      <c r="I266" s="289">
        <f>+K0kommunestruktur2021!I266</f>
        <v>2371</v>
      </c>
      <c r="J266" s="289">
        <f>+K0kommunestruktur2021!J266</f>
        <v>70894</v>
      </c>
      <c r="K266" s="289">
        <f>+K0kommunestruktur2021!K266</f>
        <v>2345</v>
      </c>
      <c r="L266" s="289">
        <f>+K0kommunestruktur2021!L266</f>
        <v>66356</v>
      </c>
      <c r="M266" s="289">
        <f>+K0kommunestruktur2021!M266</f>
        <v>2322</v>
      </c>
      <c r="N266" s="289">
        <f>+K0kommunestruktur2021!N266</f>
        <v>75568</v>
      </c>
      <c r="O266" s="289">
        <f>+K0kommunestruktur2021!O266</f>
        <v>2297</v>
      </c>
      <c r="P266" s="289">
        <f>+K0kommunestruktur2021!P266</f>
        <v>81292</v>
      </c>
      <c r="Q266" s="289">
        <f>+K0kommunestruktur2021!Q266</f>
        <v>2272</v>
      </c>
      <c r="R266" s="289">
        <f>+K0kommunestruktur2021!R266</f>
        <v>87972.930999999997</v>
      </c>
      <c r="S266" s="289">
        <f>VLOOKUP(A266,'K22'!A266:CU621,3)</f>
        <v>2230</v>
      </c>
      <c r="T266" s="289">
        <f>VLOOKUP(A266,'K22'!$A$4:$BV$359,26)</f>
        <v>95410.232089757352</v>
      </c>
      <c r="U266" s="289">
        <f>VLOOKUP(A266,'Bef.fremskr. kommunenivå MMMM'!$A$5:$K$360,8)</f>
        <v>2235</v>
      </c>
      <c r="V266" s="289">
        <f>VLOOKUP(A266,'K23'!$A$4:$BV$359,26)</f>
        <v>87682.848526276895</v>
      </c>
    </row>
    <row r="267" spans="1:22" ht="13">
      <c r="A267" s="755">
        <v>4636</v>
      </c>
      <c r="B267" s="756" t="s">
        <v>60</v>
      </c>
      <c r="C267" s="289">
        <f>+K0kommunestruktur2021!C267</f>
        <v>815</v>
      </c>
      <c r="D267" s="289">
        <f>+K0kommunestruktur2021!D267</f>
        <v>18381</v>
      </c>
      <c r="E267" s="289">
        <f>+K0kommunestruktur2021!E267</f>
        <v>800</v>
      </c>
      <c r="F267" s="289">
        <f>+K0kommunestruktur2021!F267</f>
        <v>19212</v>
      </c>
      <c r="G267" s="289">
        <f>+K0kommunestruktur2021!G267</f>
        <v>785</v>
      </c>
      <c r="H267" s="289">
        <f>+K0kommunestruktur2021!H267</f>
        <v>20256</v>
      </c>
      <c r="I267" s="289">
        <f>+K0kommunestruktur2021!I267</f>
        <v>794</v>
      </c>
      <c r="J267" s="289">
        <f>+K0kommunestruktur2021!J267</f>
        <v>21810</v>
      </c>
      <c r="K267" s="289">
        <f>+K0kommunestruktur2021!K267</f>
        <v>807</v>
      </c>
      <c r="L267" s="289">
        <f>+K0kommunestruktur2021!L267</f>
        <v>22900</v>
      </c>
      <c r="M267" s="289">
        <f>+K0kommunestruktur2021!M267</f>
        <v>820</v>
      </c>
      <c r="N267" s="289">
        <f>+K0kommunestruktur2021!N267</f>
        <v>24412</v>
      </c>
      <c r="O267" s="289">
        <f>+K0kommunestruktur2021!O267</f>
        <v>802</v>
      </c>
      <c r="P267" s="289">
        <f>+K0kommunestruktur2021!P267</f>
        <v>24421</v>
      </c>
      <c r="Q267" s="289">
        <f>+K0kommunestruktur2021!Q267</f>
        <v>786</v>
      </c>
      <c r="R267" s="289">
        <f>+K0kommunestruktur2021!R267</f>
        <v>25116.300999999999</v>
      </c>
      <c r="S267" s="289">
        <f>VLOOKUP(A267,'K22'!A267:CU622,3)</f>
        <v>768</v>
      </c>
      <c r="T267" s="289">
        <f>VLOOKUP(A267,'K22'!$A$4:$BV$359,26)</f>
        <v>27934.080142665345</v>
      </c>
      <c r="U267" s="289">
        <f>VLOOKUP(A267,'Bef.fremskr. kommunenivå MMMM'!$A$5:$K$360,8)</f>
        <v>771</v>
      </c>
      <c r="V267" s="289">
        <f>VLOOKUP(A267,'K23'!$A$4:$BV$359,26)</f>
        <v>26200.148367040289</v>
      </c>
    </row>
    <row r="268" spans="1:22" ht="13">
      <c r="A268" s="755">
        <v>4637</v>
      </c>
      <c r="B268" s="756" t="s">
        <v>61</v>
      </c>
      <c r="C268" s="289">
        <f>+K0kommunestruktur2021!C268</f>
        <v>1391</v>
      </c>
      <c r="D268" s="289">
        <f>+K0kommunestruktur2021!D268</f>
        <v>34485</v>
      </c>
      <c r="E268" s="289">
        <f>+K0kommunestruktur2021!E268</f>
        <v>1405</v>
      </c>
      <c r="F268" s="289">
        <f>+K0kommunestruktur2021!F268</f>
        <v>36501</v>
      </c>
      <c r="G268" s="289">
        <f>+K0kommunestruktur2021!G268</f>
        <v>1395</v>
      </c>
      <c r="H268" s="289">
        <f>+K0kommunestruktur2021!H268</f>
        <v>35334</v>
      </c>
      <c r="I268" s="289">
        <f>+K0kommunestruktur2021!I268</f>
        <v>1438</v>
      </c>
      <c r="J268" s="289">
        <f>+K0kommunestruktur2021!J268</f>
        <v>34994</v>
      </c>
      <c r="K268" s="289">
        <f>+K0kommunestruktur2021!K268</f>
        <v>1378</v>
      </c>
      <c r="L268" s="289">
        <f>+K0kommunestruktur2021!L268</f>
        <v>35150</v>
      </c>
      <c r="M268" s="289">
        <f>+K0kommunestruktur2021!M268</f>
        <v>1366</v>
      </c>
      <c r="N268" s="289">
        <f>+K0kommunestruktur2021!N268</f>
        <v>38793</v>
      </c>
      <c r="O268" s="289">
        <f>+K0kommunestruktur2021!O268</f>
        <v>1328</v>
      </c>
      <c r="P268" s="289">
        <f>+K0kommunestruktur2021!P268</f>
        <v>42033</v>
      </c>
      <c r="Q268" s="289">
        <f>+K0kommunestruktur2021!Q268</f>
        <v>1294</v>
      </c>
      <c r="R268" s="289">
        <f>+K0kommunestruktur2021!R268</f>
        <v>47525.957000000002</v>
      </c>
      <c r="S268" s="289">
        <f>VLOOKUP(A268,'K22'!A268:CU623,3)</f>
        <v>1290</v>
      </c>
      <c r="T268" s="289">
        <f>VLOOKUP(A268,'K22'!$A$4:$BV$359,26)</f>
        <v>48483.556791151328</v>
      </c>
      <c r="U268" s="289">
        <f>VLOOKUP(A268,'Bef.fremskr. kommunenivå MMMM'!$A$5:$K$360,8)</f>
        <v>1287</v>
      </c>
      <c r="V268" s="289">
        <f>VLOOKUP(A268,'K23'!$A$4:$BV$359,26)</f>
        <v>45695.655279597537</v>
      </c>
    </row>
    <row r="269" spans="1:22" ht="13">
      <c r="A269" s="755">
        <v>4638</v>
      </c>
      <c r="B269" s="756" t="s">
        <v>62</v>
      </c>
      <c r="C269" s="289">
        <f>+K0kommunestruktur2021!C269</f>
        <v>4281.1588853599997</v>
      </c>
      <c r="D269" s="289">
        <f>+K0kommunestruktur2021!D269</f>
        <v>104601.31043759218</v>
      </c>
      <c r="E269" s="289">
        <f>+K0kommunestruktur2021!E269</f>
        <v>4266.8303593299997</v>
      </c>
      <c r="F269" s="289">
        <f>+K0kommunestruktur2021!F269</f>
        <v>108863.02346626388</v>
      </c>
      <c r="G269" s="289">
        <f>+K0kommunestruktur2021!G269</f>
        <v>4258.6426301600004</v>
      </c>
      <c r="H269" s="289">
        <f>+K0kommunestruktur2021!H269</f>
        <v>112648.82473712823</v>
      </c>
      <c r="I269" s="289">
        <f>+K0kommunestruktur2021!I269</f>
        <v>4288.3231483700001</v>
      </c>
      <c r="J269" s="289">
        <f>+K0kommunestruktur2021!J269</f>
        <v>116070.2720604996</v>
      </c>
      <c r="K269" s="289">
        <f>+K0kommunestruktur2021!K269</f>
        <v>4251.4783671499999</v>
      </c>
      <c r="L269" s="289">
        <f>+K0kommunestruktur2021!L269</f>
        <v>126025.52725502706</v>
      </c>
      <c r="M269" s="289">
        <f>+K0kommunestruktur2021!M269</f>
        <v>4187</v>
      </c>
      <c r="N269" s="289">
        <f>+K0kommunestruktur2021!N269</f>
        <v>130919.74236128086</v>
      </c>
      <c r="O269" s="289">
        <f>+K0kommunestruktur2021!O269</f>
        <v>4101</v>
      </c>
      <c r="P269" s="289">
        <f>+K0kommunestruktur2021!P269</f>
        <v>122174</v>
      </c>
      <c r="Q269" s="289">
        <f>+K0kommunestruktur2021!Q269</f>
        <v>4049</v>
      </c>
      <c r="R269" s="289">
        <f>+K0kommunestruktur2021!R269</f>
        <v>141038.106</v>
      </c>
      <c r="S269" s="289">
        <f>VLOOKUP(A269,'K22'!A269:CU624,3)</f>
        <v>3965</v>
      </c>
      <c r="T269" s="289">
        <f>VLOOKUP(A269,'K22'!$A$4:$BV$359,26)</f>
        <v>146721.3762587588</v>
      </c>
      <c r="U269" s="289">
        <f>VLOOKUP(A269,'Bef.fremskr. kommunenivå MMMM'!$A$5:$K$360,8)</f>
        <v>3912</v>
      </c>
      <c r="V269" s="289">
        <f>VLOOKUP(A269,'K23'!$A$4:$BV$359,26)</f>
        <v>136906.66884795314</v>
      </c>
    </row>
    <row r="270" spans="1:22" ht="13">
      <c r="A270" s="755">
        <v>4639</v>
      </c>
      <c r="B270" s="756" t="s">
        <v>63</v>
      </c>
      <c r="C270" s="289">
        <f>+K0kommunestruktur2021!C270</f>
        <v>2688</v>
      </c>
      <c r="D270" s="289">
        <f>+K0kommunestruktur2021!D270</f>
        <v>68380</v>
      </c>
      <c r="E270" s="289">
        <f>+K0kommunestruktur2021!E270</f>
        <v>2678</v>
      </c>
      <c r="F270" s="289">
        <f>+K0kommunestruktur2021!F270</f>
        <v>70685</v>
      </c>
      <c r="G270" s="289">
        <f>+K0kommunestruktur2021!G270</f>
        <v>2689</v>
      </c>
      <c r="H270" s="289">
        <f>+K0kommunestruktur2021!H270</f>
        <v>77092</v>
      </c>
      <c r="I270" s="289">
        <f>+K0kommunestruktur2021!I270</f>
        <v>2722</v>
      </c>
      <c r="J270" s="289">
        <f>+K0kommunestruktur2021!J270</f>
        <v>79098</v>
      </c>
      <c r="K270" s="289">
        <f>+K0kommunestruktur2021!K270</f>
        <v>2674</v>
      </c>
      <c r="L270" s="289">
        <f>+K0kommunestruktur2021!L270</f>
        <v>82426</v>
      </c>
      <c r="M270" s="289">
        <f>+K0kommunestruktur2021!M270</f>
        <v>2672</v>
      </c>
      <c r="N270" s="289">
        <f>+K0kommunestruktur2021!N270</f>
        <v>83347</v>
      </c>
      <c r="O270" s="289">
        <f>+K0kommunestruktur2021!O270</f>
        <v>2635</v>
      </c>
      <c r="P270" s="289">
        <f>+K0kommunestruktur2021!P270</f>
        <v>81521</v>
      </c>
      <c r="Q270" s="289">
        <f>+K0kommunestruktur2021!Q270</f>
        <v>2611</v>
      </c>
      <c r="R270" s="289">
        <f>+K0kommunestruktur2021!R270</f>
        <v>91550.577999999994</v>
      </c>
      <c r="S270" s="289">
        <f>VLOOKUP(A270,'K22'!A270:CU625,3)</f>
        <v>2560</v>
      </c>
      <c r="T270" s="289">
        <f>VLOOKUP(A270,'K22'!$A$4:$BV$359,26)</f>
        <v>98847.182377269492</v>
      </c>
      <c r="U270" s="289">
        <f>VLOOKUP(A270,'Bef.fremskr. kommunenivå MMMM'!$A$5:$K$360,8)</f>
        <v>2525</v>
      </c>
      <c r="V270" s="289">
        <f>VLOOKUP(A270,'K23'!$A$4:$BV$359,26)</f>
        <v>89633.448696577092</v>
      </c>
    </row>
    <row r="271" spans="1:22" ht="13">
      <c r="A271" s="755">
        <v>4640</v>
      </c>
      <c r="B271" s="756" t="s">
        <v>1637</v>
      </c>
      <c r="C271" s="289">
        <f>+K0kommunestruktur2021!C271</f>
        <v>11105.91348191</v>
      </c>
      <c r="D271" s="289">
        <f>+K0kommunestruktur2021!D271</f>
        <v>245786.15456320994</v>
      </c>
      <c r="E271" s="289">
        <f>+K0kommunestruktur2021!E271</f>
        <v>11165.425387679999</v>
      </c>
      <c r="F271" s="289">
        <f>+K0kommunestruktur2021!F271</f>
        <v>256600.45970682724</v>
      </c>
      <c r="G271" s="289">
        <f>+K0kommunestruktur2021!G271</f>
        <v>11338.00991441</v>
      </c>
      <c r="H271" s="289">
        <f>+K0kommunestruktur2021!H271</f>
        <v>288747.79933893634</v>
      </c>
      <c r="I271" s="289">
        <f>+K0kommunestruktur2021!I271</f>
        <v>11466.95237692</v>
      </c>
      <c r="J271" s="289">
        <f>+K0kommunestruktur2021!J271</f>
        <v>301509.13566654228</v>
      </c>
      <c r="K271" s="289">
        <f>+K0kommunestruktur2021!K271</f>
        <v>11571.098212020001</v>
      </c>
      <c r="L271" s="289">
        <f>+K0kommunestruktur2021!L271</f>
        <v>322024.87331593392</v>
      </c>
      <c r="M271" s="289">
        <f>+K0kommunestruktur2021!M271</f>
        <v>11705</v>
      </c>
      <c r="N271" s="289">
        <f>+K0kommunestruktur2021!N271</f>
        <v>322538.65943564102</v>
      </c>
      <c r="O271" s="289">
        <f>+K0kommunestruktur2021!O271</f>
        <v>11847</v>
      </c>
      <c r="P271" s="289">
        <f>+K0kommunestruktur2021!P271</f>
        <v>324061</v>
      </c>
      <c r="Q271" s="289">
        <f>+K0kommunestruktur2021!Q271</f>
        <v>11938</v>
      </c>
      <c r="R271" s="289">
        <f>+K0kommunestruktur2021!R271</f>
        <v>364326.19099999999</v>
      </c>
      <c r="S271" s="289">
        <f>VLOOKUP(A271,'K22'!A271:CU626,3)</f>
        <v>12097</v>
      </c>
      <c r="T271" s="289">
        <f>VLOOKUP(A271,'K22'!$A$4:$BV$359,26)</f>
        <v>410126.32002038363</v>
      </c>
      <c r="U271" s="289">
        <f>VLOOKUP(A271,'Bef.fremskr. kommunenivå MMMM'!$A$5:$K$360,8)</f>
        <v>12301</v>
      </c>
      <c r="V271" s="289">
        <f>VLOOKUP(A271,'K23'!$A$4:$BV$359,26)</f>
        <v>386057.18062809051</v>
      </c>
    </row>
    <row r="272" spans="1:22" ht="13">
      <c r="A272" s="755">
        <v>4641</v>
      </c>
      <c r="B272" s="756" t="s">
        <v>67</v>
      </c>
      <c r="C272" s="289">
        <f>+K0kommunestruktur2021!C272</f>
        <v>1715</v>
      </c>
      <c r="D272" s="289">
        <f>+K0kommunestruktur2021!D272</f>
        <v>71151</v>
      </c>
      <c r="E272" s="289">
        <f>+K0kommunestruktur2021!E272</f>
        <v>1738</v>
      </c>
      <c r="F272" s="289">
        <f>+K0kommunestruktur2021!F272</f>
        <v>72994</v>
      </c>
      <c r="G272" s="289">
        <f>+K0kommunestruktur2021!G272</f>
        <v>1764</v>
      </c>
      <c r="H272" s="289">
        <f>+K0kommunestruktur2021!H272</f>
        <v>77215</v>
      </c>
      <c r="I272" s="289">
        <f>+K0kommunestruktur2021!I272</f>
        <v>1787</v>
      </c>
      <c r="J272" s="289">
        <f>+K0kommunestruktur2021!J272</f>
        <v>81924</v>
      </c>
      <c r="K272" s="289">
        <f>+K0kommunestruktur2021!K272</f>
        <v>1778</v>
      </c>
      <c r="L272" s="289">
        <f>+K0kommunestruktur2021!L272</f>
        <v>85477</v>
      </c>
      <c r="M272" s="289">
        <f>+K0kommunestruktur2021!M272</f>
        <v>1764</v>
      </c>
      <c r="N272" s="289">
        <f>+K0kommunestruktur2021!N272</f>
        <v>85938</v>
      </c>
      <c r="O272" s="289">
        <f>+K0kommunestruktur2021!O272</f>
        <v>1781</v>
      </c>
      <c r="P272" s="289">
        <f>+K0kommunestruktur2021!P272</f>
        <v>82877</v>
      </c>
      <c r="Q272" s="289">
        <f>+K0kommunestruktur2021!Q272</f>
        <v>1777</v>
      </c>
      <c r="R272" s="289">
        <f>+K0kommunestruktur2021!R272</f>
        <v>87823.733999999997</v>
      </c>
      <c r="S272" s="289">
        <f>VLOOKUP(A272,'K22'!A272:CU627,3)</f>
        <v>1766</v>
      </c>
      <c r="T272" s="289">
        <f>VLOOKUP(A272,'K22'!$A$4:$BV$359,26)</f>
        <v>95862.700645336125</v>
      </c>
      <c r="U272" s="289">
        <f>VLOOKUP(A272,'Bef.fremskr. kommunenivå MMMM'!$A$5:$K$360,8)</f>
        <v>1777</v>
      </c>
      <c r="V272" s="289">
        <f>VLOOKUP(A272,'K23'!$A$4:$BV$359,26)</f>
        <v>91333.896629162758</v>
      </c>
    </row>
    <row r="273" spans="1:22" ht="13">
      <c r="A273" s="755">
        <v>4642</v>
      </c>
      <c r="B273" s="756" t="s">
        <v>68</v>
      </c>
      <c r="C273" s="289">
        <f>+K0kommunestruktur2021!C273</f>
        <v>2174</v>
      </c>
      <c r="D273" s="289">
        <f>+K0kommunestruktur2021!D273</f>
        <v>64615</v>
      </c>
      <c r="E273" s="289">
        <f>+K0kommunestruktur2021!E273</f>
        <v>2146</v>
      </c>
      <c r="F273" s="289">
        <f>+K0kommunestruktur2021!F273</f>
        <v>65981</v>
      </c>
      <c r="G273" s="289">
        <f>+K0kommunestruktur2021!G273</f>
        <v>2172</v>
      </c>
      <c r="H273" s="289">
        <f>+K0kommunestruktur2021!H273</f>
        <v>68720</v>
      </c>
      <c r="I273" s="289">
        <f>+K0kommunestruktur2021!I273</f>
        <v>2159</v>
      </c>
      <c r="J273" s="289">
        <f>+K0kommunestruktur2021!J273</f>
        <v>68552</v>
      </c>
      <c r="K273" s="289">
        <f>+K0kommunestruktur2021!K273</f>
        <v>2153</v>
      </c>
      <c r="L273" s="289">
        <f>+K0kommunestruktur2021!L273</f>
        <v>75278</v>
      </c>
      <c r="M273" s="289">
        <f>+K0kommunestruktur2021!M273</f>
        <v>2151</v>
      </c>
      <c r="N273" s="289">
        <f>+K0kommunestruktur2021!N273</f>
        <v>75203</v>
      </c>
      <c r="O273" s="289">
        <f>+K0kommunestruktur2021!O273</f>
        <v>2126</v>
      </c>
      <c r="P273" s="289">
        <f>+K0kommunestruktur2021!P273</f>
        <v>71408</v>
      </c>
      <c r="Q273" s="289">
        <f>+K0kommunestruktur2021!Q273</f>
        <v>2129</v>
      </c>
      <c r="R273" s="289">
        <f>+K0kommunestruktur2021!R273</f>
        <v>81046.403000000006</v>
      </c>
      <c r="S273" s="289">
        <f>VLOOKUP(A273,'K22'!A273:CU628,3)</f>
        <v>2117</v>
      </c>
      <c r="T273" s="289">
        <f>VLOOKUP(A273,'K22'!$A$4:$BV$359,26)</f>
        <v>87084.306414405903</v>
      </c>
      <c r="U273" s="289">
        <f>VLOOKUP(A273,'Bef.fremskr. kommunenivå MMMM'!$A$5:$K$360,8)</f>
        <v>2113</v>
      </c>
      <c r="V273" s="289">
        <f>VLOOKUP(A273,'K23'!$A$4:$BV$359,26)</f>
        <v>81606.718431921574</v>
      </c>
    </row>
    <row r="274" spans="1:22" ht="13">
      <c r="A274" s="755">
        <v>4643</v>
      </c>
      <c r="B274" s="756" t="s">
        <v>69</v>
      </c>
      <c r="C274" s="289">
        <f>+K0kommunestruktur2021!C274</f>
        <v>5496</v>
      </c>
      <c r="D274" s="289">
        <f>+K0kommunestruktur2021!D274</f>
        <v>145736</v>
      </c>
      <c r="E274" s="289">
        <f>+K0kommunestruktur2021!E274</f>
        <v>5429</v>
      </c>
      <c r="F274" s="289">
        <f>+K0kommunestruktur2021!F274</f>
        <v>151282</v>
      </c>
      <c r="G274" s="289">
        <f>+K0kommunestruktur2021!G274</f>
        <v>5359</v>
      </c>
      <c r="H274" s="289">
        <f>+K0kommunestruktur2021!H274</f>
        <v>163473</v>
      </c>
      <c r="I274" s="289">
        <f>+K0kommunestruktur2021!I274</f>
        <v>5363</v>
      </c>
      <c r="J274" s="289">
        <f>+K0kommunestruktur2021!J274</f>
        <v>168987</v>
      </c>
      <c r="K274" s="289">
        <f>+K0kommunestruktur2021!K274</f>
        <v>5277</v>
      </c>
      <c r="L274" s="289">
        <f>+K0kommunestruktur2021!L274</f>
        <v>176906</v>
      </c>
      <c r="M274" s="289">
        <f>+K0kommunestruktur2021!M274</f>
        <v>5245</v>
      </c>
      <c r="N274" s="289">
        <f>+K0kommunestruktur2021!N274</f>
        <v>182474</v>
      </c>
      <c r="O274" s="289">
        <f>+K0kommunestruktur2021!O274</f>
        <v>5193</v>
      </c>
      <c r="P274" s="289">
        <f>+K0kommunestruktur2021!P274</f>
        <v>176766</v>
      </c>
      <c r="Q274" s="289">
        <f>+K0kommunestruktur2021!Q274</f>
        <v>5170</v>
      </c>
      <c r="R274" s="289">
        <f>+K0kommunestruktur2021!R274</f>
        <v>200074.785</v>
      </c>
      <c r="S274" s="289">
        <f>VLOOKUP(A274,'K22'!A274:CU629,3)</f>
        <v>5204</v>
      </c>
      <c r="T274" s="289">
        <f>VLOOKUP(A274,'K22'!$A$4:$BV$359,26)</f>
        <v>214608.44894638861</v>
      </c>
      <c r="U274" s="289">
        <f>VLOOKUP(A274,'Bef.fremskr. kommunenivå MMMM'!$A$5:$K$360,8)</f>
        <v>5169</v>
      </c>
      <c r="V274" s="289">
        <f>VLOOKUP(A274,'K23'!$A$4:$BV$359,26)</f>
        <v>202345.82638075325</v>
      </c>
    </row>
    <row r="275" spans="1:22" ht="13">
      <c r="A275" s="755">
        <v>4644</v>
      </c>
      <c r="B275" s="756" t="s">
        <v>70</v>
      </c>
      <c r="C275" s="289">
        <f>+K0kommunestruktur2021!C275</f>
        <v>5089</v>
      </c>
      <c r="D275" s="289">
        <f>+K0kommunestruktur2021!D275</f>
        <v>136267</v>
      </c>
      <c r="E275" s="289">
        <f>+K0kommunestruktur2021!E275</f>
        <v>5118</v>
      </c>
      <c r="F275" s="289">
        <f>+K0kommunestruktur2021!F275</f>
        <v>137680</v>
      </c>
      <c r="G275" s="289">
        <f>+K0kommunestruktur2021!G275</f>
        <v>5093</v>
      </c>
      <c r="H275" s="289">
        <f>+K0kommunestruktur2021!H275</f>
        <v>149089</v>
      </c>
      <c r="I275" s="289">
        <f>+K0kommunestruktur2021!I275</f>
        <v>5151</v>
      </c>
      <c r="J275" s="289">
        <f>+K0kommunestruktur2021!J275</f>
        <v>154636</v>
      </c>
      <c r="K275" s="289">
        <f>+K0kommunestruktur2021!K275</f>
        <v>5223</v>
      </c>
      <c r="L275" s="289">
        <f>+K0kommunestruktur2021!L275</f>
        <v>159408</v>
      </c>
      <c r="M275" s="289">
        <f>+K0kommunestruktur2021!M275</f>
        <v>5195</v>
      </c>
      <c r="N275" s="289">
        <f>+K0kommunestruktur2021!N275</f>
        <v>160085</v>
      </c>
      <c r="O275" s="289">
        <f>+K0kommunestruktur2021!O275</f>
        <v>5174</v>
      </c>
      <c r="P275" s="289">
        <f>+K0kommunestruktur2021!P275</f>
        <v>160782</v>
      </c>
      <c r="Q275" s="289">
        <f>+K0kommunestruktur2021!Q275</f>
        <v>5189</v>
      </c>
      <c r="R275" s="289">
        <f>+K0kommunestruktur2021!R275</f>
        <v>176132.736</v>
      </c>
      <c r="S275" s="289">
        <f>VLOOKUP(A275,'K22'!A275:CU630,3)</f>
        <v>5246</v>
      </c>
      <c r="T275" s="289">
        <f>VLOOKUP(A275,'K22'!$A$4:$BV$359,26)</f>
        <v>190754.56138503423</v>
      </c>
      <c r="U275" s="289">
        <f>VLOOKUP(A275,'Bef.fremskr. kommunenivå MMMM'!$A$5:$K$360,8)</f>
        <v>5256</v>
      </c>
      <c r="V275" s="289">
        <f>VLOOKUP(A275,'K23'!$A$4:$BV$359,26)</f>
        <v>181260.96690863231</v>
      </c>
    </row>
    <row r="276" spans="1:22" ht="13">
      <c r="A276" s="755">
        <v>4645</v>
      </c>
      <c r="B276" s="756" t="s">
        <v>71</v>
      </c>
      <c r="C276" s="289">
        <f>+K0kommunestruktur2021!C276</f>
        <v>3011</v>
      </c>
      <c r="D276" s="289">
        <f>+K0kommunestruktur2021!D276</f>
        <v>59345</v>
      </c>
      <c r="E276" s="289">
        <f>+K0kommunestruktur2021!E276</f>
        <v>3008</v>
      </c>
      <c r="F276" s="289">
        <f>+K0kommunestruktur2021!F276</f>
        <v>64014</v>
      </c>
      <c r="G276" s="289">
        <f>+K0kommunestruktur2021!G276</f>
        <v>3023</v>
      </c>
      <c r="H276" s="289">
        <f>+K0kommunestruktur2021!H276</f>
        <v>71027</v>
      </c>
      <c r="I276" s="289">
        <f>+K0kommunestruktur2021!I276</f>
        <v>3065</v>
      </c>
      <c r="J276" s="289">
        <f>+K0kommunestruktur2021!J276</f>
        <v>72106</v>
      </c>
      <c r="K276" s="289">
        <f>+K0kommunestruktur2021!K276</f>
        <v>3052</v>
      </c>
      <c r="L276" s="289">
        <f>+K0kommunestruktur2021!L276</f>
        <v>73539</v>
      </c>
      <c r="M276" s="289">
        <f>+K0kommunestruktur2021!M276</f>
        <v>3038</v>
      </c>
      <c r="N276" s="289">
        <f>+K0kommunestruktur2021!N276</f>
        <v>79054</v>
      </c>
      <c r="O276" s="289">
        <f>+K0kommunestruktur2021!O276</f>
        <v>3011</v>
      </c>
      <c r="P276" s="289">
        <f>+K0kommunestruktur2021!P276</f>
        <v>80393</v>
      </c>
      <c r="Q276" s="289">
        <f>+K0kommunestruktur2021!Q276</f>
        <v>2991</v>
      </c>
      <c r="R276" s="289">
        <f>+K0kommunestruktur2021!R276</f>
        <v>93436.106</v>
      </c>
      <c r="S276" s="289">
        <f>VLOOKUP(A276,'K22'!A276:CU631,3)</f>
        <v>2951</v>
      </c>
      <c r="T276" s="289">
        <f>VLOOKUP(A276,'K22'!$A$4:$BV$359,26)</f>
        <v>106987.06055725775</v>
      </c>
      <c r="U276" s="289">
        <f>VLOOKUP(A276,'Bef.fremskr. kommunenivå MMMM'!$A$5:$K$360,8)</f>
        <v>2925</v>
      </c>
      <c r="V276" s="289">
        <f>VLOOKUP(A276,'K23'!$A$4:$BV$359,26)</f>
        <v>90229.382953553286</v>
      </c>
    </row>
    <row r="277" spans="1:22" ht="13">
      <c r="A277" s="755">
        <v>4646</v>
      </c>
      <c r="B277" s="756" t="s">
        <v>72</v>
      </c>
      <c r="C277" s="289">
        <f>+K0kommunestruktur2021!C277</f>
        <v>2853</v>
      </c>
      <c r="D277" s="289">
        <f>+K0kommunestruktur2021!D277</f>
        <v>54444</v>
      </c>
      <c r="E277" s="289">
        <f>+K0kommunestruktur2021!E277</f>
        <v>2823</v>
      </c>
      <c r="F277" s="289">
        <f>+K0kommunestruktur2021!F277</f>
        <v>56681</v>
      </c>
      <c r="G277" s="289">
        <f>+K0kommunestruktur2021!G277</f>
        <v>2830</v>
      </c>
      <c r="H277" s="289">
        <f>+K0kommunestruktur2021!H277</f>
        <v>64838</v>
      </c>
      <c r="I277" s="289">
        <f>+K0kommunestruktur2021!I277</f>
        <v>2862</v>
      </c>
      <c r="J277" s="289">
        <f>+K0kommunestruktur2021!J277</f>
        <v>65267</v>
      </c>
      <c r="K277" s="289">
        <f>+K0kommunestruktur2021!K277</f>
        <v>2846</v>
      </c>
      <c r="L277" s="289">
        <f>+K0kommunestruktur2021!L277</f>
        <v>63972</v>
      </c>
      <c r="M277" s="289">
        <f>+K0kommunestruktur2021!M277</f>
        <v>2770</v>
      </c>
      <c r="N277" s="289">
        <f>+K0kommunestruktur2021!N277</f>
        <v>67254</v>
      </c>
      <c r="O277" s="289">
        <f>+K0kommunestruktur2021!O277</f>
        <v>2802</v>
      </c>
      <c r="P277" s="289">
        <f>+K0kommunestruktur2021!P277</f>
        <v>66853</v>
      </c>
      <c r="Q277" s="289">
        <f>+K0kommunestruktur2021!Q277</f>
        <v>2885</v>
      </c>
      <c r="R277" s="289">
        <f>+K0kommunestruktur2021!R277</f>
        <v>82368.853000000003</v>
      </c>
      <c r="S277" s="289">
        <f>VLOOKUP(A277,'K22'!A277:CU632,3)</f>
        <v>2901</v>
      </c>
      <c r="T277" s="289">
        <f>VLOOKUP(A277,'K22'!$A$4:$BV$359,26)</f>
        <v>109457.34342078181</v>
      </c>
      <c r="U277" s="289">
        <f>VLOOKUP(A277,'Bef.fremskr. kommunenivå MMMM'!$A$5:$K$360,8)</f>
        <v>2972</v>
      </c>
      <c r="V277" s="289">
        <f>VLOOKUP(A277,'K23'!$A$4:$BV$359,26)</f>
        <v>83728.257014121031</v>
      </c>
    </row>
    <row r="278" spans="1:22" ht="13">
      <c r="A278" s="755">
        <v>4647</v>
      </c>
      <c r="B278" s="756" t="s">
        <v>1638</v>
      </c>
      <c r="C278" s="289">
        <f>+K0kommunestruktur2021!C278</f>
        <v>21459</v>
      </c>
      <c r="D278" s="289">
        <f>+K0kommunestruktur2021!D278</f>
        <v>487641</v>
      </c>
      <c r="E278" s="289">
        <f>+K0kommunestruktur2021!E278</f>
        <v>21564</v>
      </c>
      <c r="F278" s="289">
        <f>+K0kommunestruktur2021!F278</f>
        <v>516256</v>
      </c>
      <c r="G278" s="289">
        <f>+K0kommunestruktur2021!G278</f>
        <v>21702</v>
      </c>
      <c r="H278" s="289">
        <f>+K0kommunestruktur2021!H278</f>
        <v>572437</v>
      </c>
      <c r="I278" s="289">
        <f>+K0kommunestruktur2021!I278</f>
        <v>21872</v>
      </c>
      <c r="J278" s="289">
        <f>+K0kommunestruktur2021!J278</f>
        <v>591156</v>
      </c>
      <c r="K278" s="289">
        <f>+K0kommunestruktur2021!K278</f>
        <v>21963</v>
      </c>
      <c r="L278" s="289">
        <f>+K0kommunestruktur2021!L278</f>
        <v>609420</v>
      </c>
      <c r="M278" s="289">
        <f>+K0kommunestruktur2021!M278</f>
        <v>21959</v>
      </c>
      <c r="N278" s="289">
        <f>+K0kommunestruktur2021!N278</f>
        <v>641641</v>
      </c>
      <c r="O278" s="289">
        <f>+K0kommunestruktur2021!O278</f>
        <v>22030</v>
      </c>
      <c r="P278" s="289">
        <f>+K0kommunestruktur2021!P278</f>
        <v>635077</v>
      </c>
      <c r="Q278" s="289">
        <f>+K0kommunestruktur2021!Q278</f>
        <v>22020</v>
      </c>
      <c r="R278" s="289">
        <f>+K0kommunestruktur2021!R278</f>
        <v>730307.08600000001</v>
      </c>
      <c r="S278" s="289">
        <f>VLOOKUP(A278,'K22'!A278:CU633,3)</f>
        <v>22116</v>
      </c>
      <c r="T278" s="289">
        <f>VLOOKUP(A278,'K22'!$A$4:$BV$359,26)</f>
        <v>812560.99575445999</v>
      </c>
      <c r="U278" s="289">
        <f>VLOOKUP(A278,'Bef.fremskr. kommunenivå MMMM'!$A$5:$K$360,8)</f>
        <v>22175</v>
      </c>
      <c r="V278" s="289">
        <f>VLOOKUP(A278,'K23'!$A$4:$BV$359,26)</f>
        <v>743335.39592644142</v>
      </c>
    </row>
    <row r="279" spans="1:22" ht="13">
      <c r="A279" s="755">
        <v>4648</v>
      </c>
      <c r="B279" s="756" t="s">
        <v>77</v>
      </c>
      <c r="C279" s="289">
        <f>+K0kommunestruktur2021!C279</f>
        <v>3950</v>
      </c>
      <c r="D279" s="289">
        <f>+K0kommunestruktur2021!D279</f>
        <v>93322</v>
      </c>
      <c r="E279" s="289">
        <f>+K0kommunestruktur2021!E279</f>
        <v>3890</v>
      </c>
      <c r="F279" s="289">
        <f>+K0kommunestruktur2021!F279</f>
        <v>95883</v>
      </c>
      <c r="G279" s="289">
        <f>+K0kommunestruktur2021!G279</f>
        <v>3846</v>
      </c>
      <c r="H279" s="289">
        <f>+K0kommunestruktur2021!H279</f>
        <v>102127</v>
      </c>
      <c r="I279" s="289">
        <f>+K0kommunestruktur2021!I279</f>
        <v>3847</v>
      </c>
      <c r="J279" s="289">
        <f>+K0kommunestruktur2021!J279</f>
        <v>103184</v>
      </c>
      <c r="K279" s="289">
        <f>+K0kommunestruktur2021!K279</f>
        <v>3767</v>
      </c>
      <c r="L279" s="289">
        <f>+K0kommunestruktur2021!L279</f>
        <v>105303</v>
      </c>
      <c r="M279" s="289">
        <f>+K0kommunestruktur2021!M279</f>
        <v>3705</v>
      </c>
      <c r="N279" s="289">
        <f>+K0kommunestruktur2021!N279</f>
        <v>108267</v>
      </c>
      <c r="O279" s="289">
        <f>+K0kommunestruktur2021!O279</f>
        <v>3629</v>
      </c>
      <c r="P279" s="289">
        <f>+K0kommunestruktur2021!P279</f>
        <v>112230</v>
      </c>
      <c r="Q279" s="289">
        <f>+K0kommunestruktur2021!Q279</f>
        <v>3597</v>
      </c>
      <c r="R279" s="289">
        <f>+K0kommunestruktur2021!R279</f>
        <v>121858.333</v>
      </c>
      <c r="S279" s="289">
        <f>VLOOKUP(A279,'K22'!A279:CU634,3)</f>
        <v>3521</v>
      </c>
      <c r="T279" s="289">
        <f>VLOOKUP(A279,'K22'!$A$4:$BV$359,26)</f>
        <v>129232.02717081967</v>
      </c>
      <c r="U279" s="289">
        <f>VLOOKUP(A279,'Bef.fremskr. kommunenivå MMMM'!$A$5:$K$360,8)</f>
        <v>3482</v>
      </c>
      <c r="V279" s="289">
        <f>VLOOKUP(A279,'K23'!$A$4:$BV$359,26)</f>
        <v>119626.96474676191</v>
      </c>
    </row>
    <row r="280" spans="1:22" ht="13">
      <c r="A280" s="755">
        <v>4649</v>
      </c>
      <c r="B280" s="756" t="s">
        <v>1639</v>
      </c>
      <c r="C280" s="289">
        <f>+K0kommunestruktur2021!C280</f>
        <v>9212.0031467699991</v>
      </c>
      <c r="D280" s="289">
        <f>+K0kommunestruktur2021!D280</f>
        <v>193248.95347259491</v>
      </c>
      <c r="E280" s="289">
        <f>+K0kommunestruktur2021!E280</f>
        <v>9244.7973701999999</v>
      </c>
      <c r="F280" s="289">
        <f>+K0kommunestruktur2021!F280</f>
        <v>203582.30748492604</v>
      </c>
      <c r="G280" s="289">
        <f>+K0kommunestruktur2021!G280</f>
        <v>9297.6912789399994</v>
      </c>
      <c r="H280" s="289">
        <f>+K0kommunestruktur2021!H280</f>
        <v>211109.1106990542</v>
      </c>
      <c r="I280" s="289">
        <f>+K0kommunestruktur2021!I280</f>
        <v>9367.5112384799995</v>
      </c>
      <c r="J280" s="289">
        <f>+K0kommunestruktur2021!J280</f>
        <v>222460.14351538348</v>
      </c>
      <c r="K280" s="289">
        <f>+K0kommunestruktur2021!K280</f>
        <v>9429.9260508000007</v>
      </c>
      <c r="L280" s="289">
        <f>+K0kommunestruktur2021!L280</f>
        <v>236944.61148577908</v>
      </c>
      <c r="M280" s="289">
        <f>+K0kommunestruktur2021!M280</f>
        <v>9413</v>
      </c>
      <c r="N280" s="289">
        <f>+K0kommunestruktur2021!N280</f>
        <v>249113.38413126545</v>
      </c>
      <c r="O280" s="289">
        <f>+K0kommunestruktur2021!O280</f>
        <v>9457</v>
      </c>
      <c r="P280" s="289">
        <f>+K0kommunestruktur2021!P280</f>
        <v>239118</v>
      </c>
      <c r="Q280" s="289">
        <f>+K0kommunestruktur2021!Q280</f>
        <v>9517</v>
      </c>
      <c r="R280" s="289">
        <f>+K0kommunestruktur2021!R280</f>
        <v>272226.07799999998</v>
      </c>
      <c r="S280" s="289">
        <f>VLOOKUP(A280,'K22'!A280:CU635,3)</f>
        <v>9527</v>
      </c>
      <c r="T280" s="289">
        <f>VLOOKUP(A280,'K22'!$A$4:$BV$359,26)</f>
        <v>305895.73266172106</v>
      </c>
      <c r="U280" s="289">
        <f>VLOOKUP(A280,'Bef.fremskr. kommunenivå MMMM'!$A$5:$K$360,8)</f>
        <v>9548</v>
      </c>
      <c r="V280" s="289">
        <f>VLOOKUP(A280,'K23'!$A$4:$BV$359,26)</f>
        <v>283261.84345102089</v>
      </c>
    </row>
    <row r="281" spans="1:22" ht="13">
      <c r="A281" s="755">
        <v>4650</v>
      </c>
      <c r="B281" s="756" t="s">
        <v>82</v>
      </c>
      <c r="C281" s="289">
        <f>+K0kommunestruktur2021!C281</f>
        <v>5694</v>
      </c>
      <c r="D281" s="289">
        <f>+K0kommunestruktur2021!D281</f>
        <v>123868</v>
      </c>
      <c r="E281" s="289">
        <f>+K0kommunestruktur2021!E281</f>
        <v>5751</v>
      </c>
      <c r="F281" s="289">
        <f>+K0kommunestruktur2021!F281</f>
        <v>128806</v>
      </c>
      <c r="G281" s="289">
        <f>+K0kommunestruktur2021!G281</f>
        <v>5784</v>
      </c>
      <c r="H281" s="289">
        <f>+K0kommunestruktur2021!H281</f>
        <v>136750</v>
      </c>
      <c r="I281" s="289">
        <f>+K0kommunestruktur2021!I281</f>
        <v>5783</v>
      </c>
      <c r="J281" s="289">
        <f>+K0kommunestruktur2021!J281</f>
        <v>147153</v>
      </c>
      <c r="K281" s="289">
        <f>+K0kommunestruktur2021!K281</f>
        <v>5874</v>
      </c>
      <c r="L281" s="289">
        <f>+K0kommunestruktur2021!L281</f>
        <v>169864</v>
      </c>
      <c r="M281" s="289">
        <f>+K0kommunestruktur2021!M281</f>
        <v>5836</v>
      </c>
      <c r="N281" s="289">
        <f>+K0kommunestruktur2021!N281</f>
        <v>156649</v>
      </c>
      <c r="O281" s="289">
        <f>+K0kommunestruktur2021!O281</f>
        <v>5854</v>
      </c>
      <c r="P281" s="289">
        <f>+K0kommunestruktur2021!P281</f>
        <v>145775</v>
      </c>
      <c r="Q281" s="289">
        <f>+K0kommunestruktur2021!Q281</f>
        <v>5885</v>
      </c>
      <c r="R281" s="289">
        <f>+K0kommunestruktur2021!R281</f>
        <v>169872.66200000001</v>
      </c>
      <c r="S281" s="289">
        <f>VLOOKUP(A281,'K22'!A281:CU636,3)</f>
        <v>5875</v>
      </c>
      <c r="T281" s="289">
        <f>VLOOKUP(A281,'K22'!$A$4:$BV$359,26)</f>
        <v>189362.9589416408</v>
      </c>
      <c r="U281" s="289">
        <f>VLOOKUP(A281,'Bef.fremskr. kommunenivå MMMM'!$A$5:$K$360,8)</f>
        <v>5853</v>
      </c>
      <c r="V281" s="289">
        <f>VLOOKUP(A281,'K23'!$A$4:$BV$359,26)</f>
        <v>173577.0703294265</v>
      </c>
    </row>
    <row r="282" spans="1:22" ht="13">
      <c r="A282" s="755">
        <v>4651</v>
      </c>
      <c r="B282" s="756" t="s">
        <v>83</v>
      </c>
      <c r="C282" s="289">
        <f>+K0kommunestruktur2021!C282</f>
        <v>7134</v>
      </c>
      <c r="D282" s="289">
        <f>+K0kommunestruktur2021!D282</f>
        <v>151200</v>
      </c>
      <c r="E282" s="289">
        <f>+K0kommunestruktur2021!E282</f>
        <v>7155</v>
      </c>
      <c r="F282" s="289">
        <f>+K0kommunestruktur2021!F282</f>
        <v>163009</v>
      </c>
      <c r="G282" s="289">
        <f>+K0kommunestruktur2021!G282</f>
        <v>7168</v>
      </c>
      <c r="H282" s="289">
        <f>+K0kommunestruktur2021!H282</f>
        <v>178833</v>
      </c>
      <c r="I282" s="289">
        <f>+K0kommunestruktur2021!I282</f>
        <v>7218</v>
      </c>
      <c r="J282" s="289">
        <f>+K0kommunestruktur2021!J282</f>
        <v>186231</v>
      </c>
      <c r="K282" s="289">
        <f>+K0kommunestruktur2021!K282</f>
        <v>7195</v>
      </c>
      <c r="L282" s="289">
        <f>+K0kommunestruktur2021!L282</f>
        <v>181528</v>
      </c>
      <c r="M282" s="289">
        <f>+K0kommunestruktur2021!M282</f>
        <v>7167</v>
      </c>
      <c r="N282" s="289">
        <f>+K0kommunestruktur2021!N282</f>
        <v>190496</v>
      </c>
      <c r="O282" s="289">
        <f>+K0kommunestruktur2021!O282</f>
        <v>7130</v>
      </c>
      <c r="P282" s="289">
        <f>+K0kommunestruktur2021!P282</f>
        <v>188692</v>
      </c>
      <c r="Q282" s="289">
        <f>+K0kommunestruktur2021!Q282</f>
        <v>7118</v>
      </c>
      <c r="R282" s="289">
        <f>+K0kommunestruktur2021!R282</f>
        <v>215489.829</v>
      </c>
      <c r="S282" s="289">
        <f>VLOOKUP(A282,'K22'!A282:CU637,3)</f>
        <v>7207</v>
      </c>
      <c r="T282" s="289">
        <f>VLOOKUP(A282,'K22'!$A$4:$BV$359,26)</f>
        <v>249803.62829192798</v>
      </c>
      <c r="U282" s="289">
        <f>VLOOKUP(A282,'Bef.fremskr. kommunenivå MMMM'!$A$5:$K$360,8)</f>
        <v>7276</v>
      </c>
      <c r="V282" s="289">
        <f>VLOOKUP(A282,'K23'!$A$4:$BV$359,26)</f>
        <v>222914.94927938457</v>
      </c>
    </row>
    <row r="283" spans="1:22" ht="13">
      <c r="A283" s="755">
        <v>5001</v>
      </c>
      <c r="B283" s="756" t="s">
        <v>118</v>
      </c>
      <c r="C283" s="289">
        <f>+K0kommunestruktur2021!C283</f>
        <v>188005</v>
      </c>
      <c r="D283" s="289">
        <f>+K0kommunestruktur2021!D283</f>
        <v>4691239</v>
      </c>
      <c r="E283" s="289">
        <f>+K0kommunestruktur2021!E283</f>
        <v>190955</v>
      </c>
      <c r="F283" s="289">
        <f>+K0kommunestruktur2021!F283</f>
        <v>4966134</v>
      </c>
      <c r="G283" s="289">
        <f>+K0kommunestruktur2021!G283</f>
        <v>193420</v>
      </c>
      <c r="H283" s="289">
        <f>+K0kommunestruktur2021!H283</f>
        <v>5523798</v>
      </c>
      <c r="I283" s="289">
        <f>+K0kommunestruktur2021!I283</f>
        <v>196514</v>
      </c>
      <c r="J283" s="289">
        <f>+K0kommunestruktur2021!J283</f>
        <v>5883227</v>
      </c>
      <c r="K283" s="289">
        <f>+K0kommunestruktur2021!K283</f>
        <v>199595</v>
      </c>
      <c r="L283" s="289">
        <f>+K0kommunestruktur2021!L283</f>
        <v>6181799</v>
      </c>
      <c r="M283" s="289">
        <f>+K0kommunestruktur2021!M283</f>
        <v>202235</v>
      </c>
      <c r="N283" s="289">
        <f>+K0kommunestruktur2021!N283</f>
        <v>6465972</v>
      </c>
      <c r="O283" s="289">
        <f>+K0kommunestruktur2021!O283</f>
        <v>205163</v>
      </c>
      <c r="P283" s="289">
        <f>+K0kommunestruktur2021!P283</f>
        <v>6382243</v>
      </c>
      <c r="Q283" s="289">
        <f>+K0kommunestruktur2021!Q283</f>
        <v>207595</v>
      </c>
      <c r="R283" s="289">
        <f>+K0kommunestruktur2021!R283</f>
        <v>7439942.034</v>
      </c>
      <c r="S283" s="289">
        <f>VLOOKUP(A283,'K22'!A283:CU638,3)</f>
        <v>210496</v>
      </c>
      <c r="T283" s="289">
        <f>VLOOKUP(A283,'K22'!$A$4:$BV$359,26)</f>
        <v>8411204.3168864436</v>
      </c>
      <c r="U283" s="289">
        <f>VLOOKUP(A283,'Bef.fremskr. kommunenivå MMMM'!$A$5:$K$360,8)</f>
        <v>214695</v>
      </c>
      <c r="V283" s="289">
        <f>VLOOKUP(A283,'K23'!$A$4:$BV$359,26)</f>
        <v>7810621.661834769</v>
      </c>
    </row>
    <row r="284" spans="1:22" ht="13">
      <c r="A284" s="755">
        <v>5006</v>
      </c>
      <c r="B284" s="756" t="s">
        <v>1640</v>
      </c>
      <c r="C284" s="289">
        <f>+K0kommunestruktur2021!C284</f>
        <v>24051.15220669</v>
      </c>
      <c r="D284" s="289">
        <f>+K0kommunestruktur2021!D284</f>
        <v>436186.79783199728</v>
      </c>
      <c r="E284" s="289">
        <f>+K0kommunestruktur2021!E284</f>
        <v>24130.93377888</v>
      </c>
      <c r="F284" s="289">
        <f>+K0kommunestruktur2021!F284</f>
        <v>469327.06565054652</v>
      </c>
      <c r="G284" s="289">
        <f>+K0kommunestruktur2021!G284</f>
        <v>24241.6307103</v>
      </c>
      <c r="H284" s="289">
        <f>+K0kommunestruktur2021!H284</f>
        <v>511098.70231065201</v>
      </c>
      <c r="I284" s="289">
        <f>+K0kommunestruktur2021!I284</f>
        <v>24420.141978079999</v>
      </c>
      <c r="J284" s="289">
        <f>+K0kommunestruktur2021!J284</f>
        <v>534944.41696900048</v>
      </c>
      <c r="K284" s="289">
        <f>+K0kommunestruktur2021!K284</f>
        <v>24501.918089570001</v>
      </c>
      <c r="L284" s="289">
        <f>+K0kommunestruktur2021!L284</f>
        <v>556543.28310033213</v>
      </c>
      <c r="M284" s="289">
        <f>+K0kommunestruktur2021!M284</f>
        <v>24472</v>
      </c>
      <c r="N284" s="289">
        <f>+K0kommunestruktur2021!N284</f>
        <v>573022.16683646443</v>
      </c>
      <c r="O284" s="289">
        <f>+K0kommunestruktur2021!O284</f>
        <v>24357</v>
      </c>
      <c r="P284" s="289">
        <f>+K0kommunestruktur2021!P284</f>
        <v>573972</v>
      </c>
      <c r="Q284" s="289">
        <f>+K0kommunestruktur2021!Q284</f>
        <v>24152</v>
      </c>
      <c r="R284" s="289">
        <f>+K0kommunestruktur2021!R284</f>
        <v>660267.09299999999</v>
      </c>
      <c r="S284" s="289">
        <f>VLOOKUP(A284,'K22'!A284:CU639,3)</f>
        <v>24004</v>
      </c>
      <c r="T284" s="289">
        <f>VLOOKUP(A284,'K22'!$A$4:$BV$359,26)</f>
        <v>706231.66069211438</v>
      </c>
      <c r="U284" s="289">
        <f>VLOOKUP(A284,'Bef.fremskr. kommunenivå MMMM'!$A$5:$K$360,8)</f>
        <v>23894</v>
      </c>
      <c r="V284" s="289">
        <f>VLOOKUP(A284,'K23'!$A$4:$BV$359,26)</f>
        <v>652529.94663150946</v>
      </c>
    </row>
    <row r="285" spans="1:22" ht="13">
      <c r="A285" s="755">
        <v>5007</v>
      </c>
      <c r="B285" s="756" t="s">
        <v>1641</v>
      </c>
      <c r="C285" s="289">
        <f>+K0kommunestruktur2021!C285</f>
        <v>15452.35680659</v>
      </c>
      <c r="D285" s="289">
        <f>+K0kommunestruktur2021!D285</f>
        <v>292621.54472340544</v>
      </c>
      <c r="E285" s="289">
        <f>+K0kommunestruktur2021!E285</f>
        <v>15351.02000785</v>
      </c>
      <c r="F285" s="289">
        <f>+K0kommunestruktur2021!F285</f>
        <v>306331.10925860831</v>
      </c>
      <c r="G285" s="289">
        <f>+K0kommunestruktur2021!G285</f>
        <v>15315.90329541</v>
      </c>
      <c r="H285" s="289">
        <f>+K0kommunestruktur2021!H285</f>
        <v>339220.4187916838</v>
      </c>
      <c r="I285" s="289">
        <f>+K0kommunestruktur2021!I285</f>
        <v>15322.9266379</v>
      </c>
      <c r="J285" s="289">
        <f>+K0kommunestruktur2021!J285</f>
        <v>352297.88250300637</v>
      </c>
      <c r="K285" s="289">
        <f>+K0kommunestruktur2021!K285</f>
        <v>15331.956649670001</v>
      </c>
      <c r="L285" s="289">
        <f>+K0kommunestruktur2021!L285</f>
        <v>364395.08826999209</v>
      </c>
      <c r="M285" s="289">
        <f>+K0kommunestruktur2021!M285</f>
        <v>15345</v>
      </c>
      <c r="N285" s="289">
        <f>+K0kommunestruktur2021!N285</f>
        <v>387783.82208709297</v>
      </c>
      <c r="O285" s="289">
        <f>+K0kommunestruktur2021!O285</f>
        <v>15230</v>
      </c>
      <c r="P285" s="289">
        <f>+K0kommunestruktur2021!P285</f>
        <v>379162</v>
      </c>
      <c r="Q285" s="289">
        <f>+K0kommunestruktur2021!Q285</f>
        <v>15096</v>
      </c>
      <c r="R285" s="289">
        <f>+K0kommunestruktur2021!R285</f>
        <v>420191.505</v>
      </c>
      <c r="S285" s="289">
        <f>VLOOKUP(A285,'K22'!A285:CU640,3)</f>
        <v>15001</v>
      </c>
      <c r="T285" s="289">
        <f>VLOOKUP(A285,'K22'!$A$4:$BV$359,26)</f>
        <v>464282.93003310979</v>
      </c>
      <c r="U285" s="289">
        <f>VLOOKUP(A285,'Bef.fremskr. kommunenivå MMMM'!$A$5:$K$360,8)</f>
        <v>14930</v>
      </c>
      <c r="V285" s="289">
        <f>VLOOKUP(A285,'K23'!$A$4:$BV$359,26)</f>
        <v>428681.60413464432</v>
      </c>
    </row>
    <row r="286" spans="1:22" ht="13">
      <c r="A286" s="755">
        <v>5014</v>
      </c>
      <c r="B286" s="756" t="s">
        <v>122</v>
      </c>
      <c r="C286" s="289">
        <f>+K0kommunestruktur2021!C286</f>
        <v>4547</v>
      </c>
      <c r="D286" s="289">
        <f>+K0kommunestruktur2021!D286</f>
        <v>128168</v>
      </c>
      <c r="E286" s="289">
        <f>+K0kommunestruktur2021!E286</f>
        <v>4634</v>
      </c>
      <c r="F286" s="289">
        <f>+K0kommunestruktur2021!F286</f>
        <v>126174</v>
      </c>
      <c r="G286" s="289">
        <f>+K0kommunestruktur2021!G286</f>
        <v>4799</v>
      </c>
      <c r="H286" s="289">
        <f>+K0kommunestruktur2021!H286</f>
        <v>215057</v>
      </c>
      <c r="I286" s="289">
        <f>+K0kommunestruktur2021!I286</f>
        <v>4937</v>
      </c>
      <c r="J286" s="289">
        <f>+K0kommunestruktur2021!J286</f>
        <v>283115</v>
      </c>
      <c r="K286" s="289">
        <f>+K0kommunestruktur2021!K286</f>
        <v>4962</v>
      </c>
      <c r="L286" s="289">
        <f>+K0kommunestruktur2021!L286</f>
        <v>199096</v>
      </c>
      <c r="M286" s="289">
        <f>+K0kommunestruktur2021!M286</f>
        <v>5068</v>
      </c>
      <c r="N286" s="289">
        <f>+K0kommunestruktur2021!N286</f>
        <v>198503</v>
      </c>
      <c r="O286" s="289">
        <f>+K0kommunestruktur2021!O286</f>
        <v>5151</v>
      </c>
      <c r="P286" s="289">
        <f>+K0kommunestruktur2021!P286</f>
        <v>389526</v>
      </c>
      <c r="Q286" s="289">
        <f>+K0kommunestruktur2021!Q286</f>
        <v>5204</v>
      </c>
      <c r="R286" s="289">
        <f>+K0kommunestruktur2021!R286</f>
        <v>469673.61300000001</v>
      </c>
      <c r="S286" s="289">
        <f>VLOOKUP(A286,'K22'!A286:CU641,3)</f>
        <v>5265</v>
      </c>
      <c r="T286" s="289">
        <f>VLOOKUP(A286,'K22'!$A$4:$BV$359,26)</f>
        <v>535425.52034064557</v>
      </c>
      <c r="U286" s="289">
        <f>VLOOKUP(A286,'Bef.fremskr. kommunenivå MMMM'!$A$5:$K$360,8)</f>
        <v>5449</v>
      </c>
      <c r="V286" s="289">
        <f>VLOOKUP(A286,'K23'!$A$4:$BV$359,26)</f>
        <v>407238.24820271163</v>
      </c>
    </row>
    <row r="287" spans="1:22" ht="13">
      <c r="A287" s="755">
        <v>5020</v>
      </c>
      <c r="B287" s="756" t="s">
        <v>129</v>
      </c>
      <c r="C287" s="289">
        <f>+K0kommunestruktur2021!C287</f>
        <v>997</v>
      </c>
      <c r="D287" s="289">
        <f>+K0kommunestruktur2021!D287</f>
        <v>16756</v>
      </c>
      <c r="E287" s="289">
        <f>+K0kommunestruktur2021!E287</f>
        <v>1010</v>
      </c>
      <c r="F287" s="289">
        <f>+K0kommunestruktur2021!F287</f>
        <v>18345</v>
      </c>
      <c r="G287" s="289">
        <f>+K0kommunestruktur2021!G287</f>
        <v>976</v>
      </c>
      <c r="H287" s="289">
        <f>+K0kommunestruktur2021!H287</f>
        <v>19657</v>
      </c>
      <c r="I287" s="289">
        <f>+K0kommunestruktur2021!I287</f>
        <v>978</v>
      </c>
      <c r="J287" s="289">
        <f>+K0kommunestruktur2021!J287</f>
        <v>21713</v>
      </c>
      <c r="K287" s="289">
        <f>+K0kommunestruktur2021!K287</f>
        <v>967</v>
      </c>
      <c r="L287" s="289">
        <f>+K0kommunestruktur2021!L287</f>
        <v>20690</v>
      </c>
      <c r="M287" s="289">
        <f>+K0kommunestruktur2021!M287</f>
        <v>947</v>
      </c>
      <c r="N287" s="289">
        <f>+K0kommunestruktur2021!N287</f>
        <v>22381</v>
      </c>
      <c r="O287" s="289">
        <f>+K0kommunestruktur2021!O287</f>
        <v>948</v>
      </c>
      <c r="P287" s="289">
        <f>+K0kommunestruktur2021!P287</f>
        <v>21980</v>
      </c>
      <c r="Q287" s="289">
        <f>+K0kommunestruktur2021!Q287</f>
        <v>925</v>
      </c>
      <c r="R287" s="289">
        <f>+K0kommunestruktur2021!R287</f>
        <v>24191.807000000001</v>
      </c>
      <c r="S287" s="289">
        <f>VLOOKUP(A287,'K22'!A287:CU642,3)</f>
        <v>904</v>
      </c>
      <c r="T287" s="289">
        <f>VLOOKUP(A287,'K22'!$A$4:$BV$359,26)</f>
        <v>25774.824193144552</v>
      </c>
      <c r="U287" s="289">
        <f>VLOOKUP(A287,'Bef.fremskr. kommunenivå MMMM'!$A$5:$K$360,8)</f>
        <v>901</v>
      </c>
      <c r="V287" s="289">
        <f>VLOOKUP(A287,'K23'!$A$4:$BV$359,26)</f>
        <v>24198.506412069521</v>
      </c>
    </row>
    <row r="288" spans="1:22" ht="13">
      <c r="A288" s="755">
        <v>5021</v>
      </c>
      <c r="B288" s="756" t="s">
        <v>130</v>
      </c>
      <c r="C288" s="289">
        <f>+K0kommunestruktur2021!C288</f>
        <v>6814</v>
      </c>
      <c r="D288" s="289">
        <f>+K0kommunestruktur2021!D288</f>
        <v>137555</v>
      </c>
      <c r="E288" s="289">
        <f>+K0kommunestruktur2021!E288</f>
        <v>6852</v>
      </c>
      <c r="F288" s="289">
        <f>+K0kommunestruktur2021!F288</f>
        <v>143069</v>
      </c>
      <c r="G288" s="289">
        <f>+K0kommunestruktur2021!G288</f>
        <v>6886</v>
      </c>
      <c r="H288" s="289">
        <f>+K0kommunestruktur2021!H288</f>
        <v>157388</v>
      </c>
      <c r="I288" s="289">
        <f>+K0kommunestruktur2021!I288</f>
        <v>6973</v>
      </c>
      <c r="J288" s="289">
        <f>+K0kommunestruktur2021!J288</f>
        <v>168825</v>
      </c>
      <c r="K288" s="289">
        <f>+K0kommunestruktur2021!K288</f>
        <v>6970</v>
      </c>
      <c r="L288" s="289">
        <f>+K0kommunestruktur2021!L288</f>
        <v>174333</v>
      </c>
      <c r="M288" s="289">
        <f>+K0kommunestruktur2021!M288</f>
        <v>6975</v>
      </c>
      <c r="N288" s="289">
        <f>+K0kommunestruktur2021!N288</f>
        <v>183551</v>
      </c>
      <c r="O288" s="289">
        <f>+K0kommunestruktur2021!O288</f>
        <v>7001</v>
      </c>
      <c r="P288" s="289">
        <f>+K0kommunestruktur2021!P288</f>
        <v>191241</v>
      </c>
      <c r="Q288" s="289">
        <f>+K0kommunestruktur2021!Q288</f>
        <v>6981</v>
      </c>
      <c r="R288" s="289">
        <f>+K0kommunestruktur2021!R288</f>
        <v>210812.68700000001</v>
      </c>
      <c r="S288" s="289">
        <f>VLOOKUP(A288,'K22'!A288:CU643,3)</f>
        <v>7066</v>
      </c>
      <c r="T288" s="289">
        <f>VLOOKUP(A288,'K22'!$A$4:$BV$359,26)</f>
        <v>234286.68437820624</v>
      </c>
      <c r="U288" s="289">
        <f>VLOOKUP(A288,'Bef.fremskr. kommunenivå MMMM'!$A$5:$K$360,8)</f>
        <v>7099</v>
      </c>
      <c r="V288" s="289">
        <f>VLOOKUP(A288,'K23'!$A$4:$BV$359,26)</f>
        <v>218560.30860199328</v>
      </c>
    </row>
    <row r="289" spans="1:22" ht="13">
      <c r="A289" s="755">
        <v>5022</v>
      </c>
      <c r="B289" s="756" t="s">
        <v>131</v>
      </c>
      <c r="C289" s="289">
        <f>+K0kommunestruktur2021!C289</f>
        <v>2556</v>
      </c>
      <c r="D289" s="289">
        <f>+K0kommunestruktur2021!D289</f>
        <v>51530</v>
      </c>
      <c r="E289" s="289">
        <f>+K0kommunestruktur2021!E289</f>
        <v>2567</v>
      </c>
      <c r="F289" s="289">
        <f>+K0kommunestruktur2021!F289</f>
        <v>52413</v>
      </c>
      <c r="G289" s="289">
        <f>+K0kommunestruktur2021!G289</f>
        <v>2562</v>
      </c>
      <c r="H289" s="289">
        <f>+K0kommunestruktur2021!H289</f>
        <v>57456</v>
      </c>
      <c r="I289" s="289">
        <f>+K0kommunestruktur2021!I289</f>
        <v>2556</v>
      </c>
      <c r="J289" s="289">
        <f>+K0kommunestruktur2021!J289</f>
        <v>58411</v>
      </c>
      <c r="K289" s="289">
        <f>+K0kommunestruktur2021!K289</f>
        <v>2541</v>
      </c>
      <c r="L289" s="289">
        <f>+K0kommunestruktur2021!L289</f>
        <v>60864</v>
      </c>
      <c r="M289" s="289">
        <f>+K0kommunestruktur2021!M289</f>
        <v>2501</v>
      </c>
      <c r="N289" s="289">
        <f>+K0kommunestruktur2021!N289</f>
        <v>60102</v>
      </c>
      <c r="O289" s="289">
        <f>+K0kommunestruktur2021!O289</f>
        <v>2486</v>
      </c>
      <c r="P289" s="289">
        <f>+K0kommunestruktur2021!P289</f>
        <v>58297</v>
      </c>
      <c r="Q289" s="289">
        <f>+K0kommunestruktur2021!Q289</f>
        <v>2454</v>
      </c>
      <c r="R289" s="289">
        <f>+K0kommunestruktur2021!R289</f>
        <v>67810.433000000005</v>
      </c>
      <c r="S289" s="289">
        <f>VLOOKUP(A289,'K22'!A289:CU644,3)</f>
        <v>2443</v>
      </c>
      <c r="T289" s="289">
        <f>VLOOKUP(A289,'K22'!$A$4:$BV$359,26)</f>
        <v>70438.470071357719</v>
      </c>
      <c r="U289" s="289">
        <f>VLOOKUP(A289,'Bef.fremskr. kommunenivå MMMM'!$A$5:$K$360,8)</f>
        <v>2438</v>
      </c>
      <c r="V289" s="289">
        <f>VLOOKUP(A289,'K23'!$A$4:$BV$359,26)</f>
        <v>66770.142700043245</v>
      </c>
    </row>
    <row r="290" spans="1:22" ht="13">
      <c r="A290" s="755">
        <v>5025</v>
      </c>
      <c r="B290" s="965" t="s">
        <v>134</v>
      </c>
      <c r="C290" s="289">
        <f>+K0kommunestruktur2021!C290</f>
        <v>5583</v>
      </c>
      <c r="D290" s="289">
        <f>+K0kommunestruktur2021!D290</f>
        <v>122917</v>
      </c>
      <c r="E290" s="289">
        <f>+K0kommunestruktur2021!E290</f>
        <v>5593</v>
      </c>
      <c r="F290" s="289">
        <f>+K0kommunestruktur2021!F290</f>
        <v>126206</v>
      </c>
      <c r="G290" s="289">
        <f>+K0kommunestruktur2021!G290</f>
        <v>5635</v>
      </c>
      <c r="H290" s="289">
        <f>+K0kommunestruktur2021!H290</f>
        <v>135849</v>
      </c>
      <c r="I290" s="289">
        <f>+K0kommunestruktur2021!I290</f>
        <v>5623</v>
      </c>
      <c r="J290" s="289">
        <f>+K0kommunestruktur2021!J290</f>
        <v>140005</v>
      </c>
      <c r="K290" s="289">
        <f>+K0kommunestruktur2021!K290</f>
        <v>5663</v>
      </c>
      <c r="L290" s="289">
        <f>+K0kommunestruktur2021!L290</f>
        <v>150634</v>
      </c>
      <c r="M290" s="289">
        <f>+K0kommunestruktur2021!M290</f>
        <v>5610</v>
      </c>
      <c r="N290" s="289">
        <f>+K0kommunestruktur2021!N290</f>
        <v>152303</v>
      </c>
      <c r="O290" s="289">
        <f>+K0kommunestruktur2021!O290</f>
        <v>5581</v>
      </c>
      <c r="P290" s="289">
        <f>+K0kommunestruktur2021!P290</f>
        <v>149195</v>
      </c>
      <c r="Q290" s="289">
        <f>+K0kommunestruktur2021!Q290</f>
        <v>5550</v>
      </c>
      <c r="R290" s="289">
        <f>+K0kommunestruktur2021!R290</f>
        <v>170572.24799999999</v>
      </c>
      <c r="S290" s="289">
        <f>VLOOKUP(A290,'K22'!A290:CU645,3)</f>
        <v>5572</v>
      </c>
      <c r="T290" s="289">
        <f>VLOOKUP(A290,'K22'!$A$4:$BV$359,26)</f>
        <v>187418.64053531512</v>
      </c>
      <c r="U290" s="289">
        <f>VLOOKUP(A290,'Bef.fremskr. kommunenivå MMMM'!$A$5:$K$360,8)</f>
        <v>5605</v>
      </c>
      <c r="V290" s="289">
        <f>VLOOKUP(A290,'K23'!$A$4:$BV$359,26)</f>
        <v>174279.64337059195</v>
      </c>
    </row>
    <row r="291" spans="1:22" ht="13">
      <c r="A291" s="755">
        <v>5026</v>
      </c>
      <c r="B291" s="756" t="s">
        <v>135</v>
      </c>
      <c r="C291" s="289">
        <f>+K0kommunestruktur2021!C291</f>
        <v>2024</v>
      </c>
      <c r="D291" s="289">
        <f>+K0kommunestruktur2021!D291</f>
        <v>36840</v>
      </c>
      <c r="E291" s="289">
        <f>+K0kommunestruktur2021!E291</f>
        <v>2014</v>
      </c>
      <c r="F291" s="289">
        <f>+K0kommunestruktur2021!F291</f>
        <v>38051</v>
      </c>
      <c r="G291" s="289">
        <f>+K0kommunestruktur2021!G291</f>
        <v>2031</v>
      </c>
      <c r="H291" s="289">
        <f>+K0kommunestruktur2021!H291</f>
        <v>40877</v>
      </c>
      <c r="I291" s="289">
        <f>+K0kommunestruktur2021!I291</f>
        <v>2046</v>
      </c>
      <c r="J291" s="289">
        <f>+K0kommunestruktur2021!J291</f>
        <v>41668</v>
      </c>
      <c r="K291" s="289">
        <f>+K0kommunestruktur2021!K291</f>
        <v>2028</v>
      </c>
      <c r="L291" s="289">
        <f>+K0kommunestruktur2021!L291</f>
        <v>42917</v>
      </c>
      <c r="M291" s="289">
        <f>+K0kommunestruktur2021!M291</f>
        <v>2025</v>
      </c>
      <c r="N291" s="289">
        <f>+K0kommunestruktur2021!N291</f>
        <v>44918</v>
      </c>
      <c r="O291" s="289">
        <f>+K0kommunestruktur2021!O291</f>
        <v>1981</v>
      </c>
      <c r="P291" s="289">
        <f>+K0kommunestruktur2021!P291</f>
        <v>45380</v>
      </c>
      <c r="Q291" s="289">
        <f>+K0kommunestruktur2021!Q291</f>
        <v>1968</v>
      </c>
      <c r="R291" s="289">
        <f>+K0kommunestruktur2021!R291</f>
        <v>50318.663999999997</v>
      </c>
      <c r="S291" s="289">
        <f>VLOOKUP(A291,'K22'!A291:CU646,3)</f>
        <v>1953</v>
      </c>
      <c r="T291" s="289">
        <f>VLOOKUP(A291,'K22'!$A$4:$BV$359,26)</f>
        <v>54091.33728959065</v>
      </c>
      <c r="U291" s="289">
        <f>VLOOKUP(A291,'Bef.fremskr. kommunenivå MMMM'!$A$5:$K$360,8)</f>
        <v>1940</v>
      </c>
      <c r="V291" s="289">
        <f>VLOOKUP(A291,'K23'!$A$4:$BV$359,26)</f>
        <v>50433.215210665803</v>
      </c>
    </row>
    <row r="292" spans="1:22" ht="13">
      <c r="A292" s="755">
        <v>5027</v>
      </c>
      <c r="B292" s="756" t="s">
        <v>136</v>
      </c>
      <c r="C292" s="289">
        <f>+K0kommunestruktur2021!C292</f>
        <v>6361</v>
      </c>
      <c r="D292" s="289">
        <f>+K0kommunestruktur2021!D292</f>
        <v>117036</v>
      </c>
      <c r="E292" s="289">
        <f>+K0kommunestruktur2021!E292</f>
        <v>6336</v>
      </c>
      <c r="F292" s="289">
        <f>+K0kommunestruktur2021!F292</f>
        <v>122762</v>
      </c>
      <c r="G292" s="289">
        <f>+K0kommunestruktur2021!G292</f>
        <v>6298</v>
      </c>
      <c r="H292" s="289">
        <f>+K0kommunestruktur2021!H292</f>
        <v>134262</v>
      </c>
      <c r="I292" s="289">
        <f>+K0kommunestruktur2021!I292</f>
        <v>6319</v>
      </c>
      <c r="J292" s="289">
        <f>+K0kommunestruktur2021!J292</f>
        <v>136088</v>
      </c>
      <c r="K292" s="289">
        <f>+K0kommunestruktur2021!K292</f>
        <v>6225</v>
      </c>
      <c r="L292" s="289">
        <f>+K0kommunestruktur2021!L292</f>
        <v>138350</v>
      </c>
      <c r="M292" s="289">
        <f>+K0kommunestruktur2021!M292</f>
        <v>6246</v>
      </c>
      <c r="N292" s="289">
        <f>+K0kommunestruktur2021!N292</f>
        <v>142650</v>
      </c>
      <c r="O292" s="289">
        <f>+K0kommunestruktur2021!O292</f>
        <v>6238</v>
      </c>
      <c r="P292" s="289">
        <f>+K0kommunestruktur2021!P292</f>
        <v>143443</v>
      </c>
      <c r="Q292" s="289">
        <f>+K0kommunestruktur2021!Q292</f>
        <v>6243</v>
      </c>
      <c r="R292" s="289">
        <f>+K0kommunestruktur2021!R292</f>
        <v>165635.58900000001</v>
      </c>
      <c r="S292" s="289">
        <f>VLOOKUP(A292,'K22'!A292:CU647,3)</f>
        <v>6120</v>
      </c>
      <c r="T292" s="289">
        <f>VLOOKUP(A292,'K22'!$A$4:$BV$359,26)</f>
        <v>172926.41608938519</v>
      </c>
      <c r="U292" s="289">
        <f>VLOOKUP(A292,'Bef.fremskr. kommunenivå MMMM'!$A$5:$K$360,8)</f>
        <v>6098</v>
      </c>
      <c r="V292" s="289">
        <f>VLOOKUP(A292,'K23'!$A$4:$BV$359,26)</f>
        <v>162143.83024456326</v>
      </c>
    </row>
    <row r="293" spans="1:22" ht="13">
      <c r="A293" s="755">
        <v>5028</v>
      </c>
      <c r="B293" s="756" t="s">
        <v>137</v>
      </c>
      <c r="C293" s="289">
        <f>+K0kommunestruktur2021!C293</f>
        <v>15844</v>
      </c>
      <c r="D293" s="289">
        <f>+K0kommunestruktur2021!D293</f>
        <v>325097</v>
      </c>
      <c r="E293" s="289">
        <f>+K0kommunestruktur2021!E293</f>
        <v>15916</v>
      </c>
      <c r="F293" s="289">
        <f>+K0kommunestruktur2021!F293</f>
        <v>336584</v>
      </c>
      <c r="G293" s="289">
        <f>+K0kommunestruktur2021!G293</f>
        <v>16096</v>
      </c>
      <c r="H293" s="289">
        <f>+K0kommunestruktur2021!H293</f>
        <v>363387</v>
      </c>
      <c r="I293" s="289">
        <f>+K0kommunestruktur2021!I293</f>
        <v>16213</v>
      </c>
      <c r="J293" s="289">
        <f>+K0kommunestruktur2021!J293</f>
        <v>384271</v>
      </c>
      <c r="K293" s="289">
        <f>+K0kommunestruktur2021!K293</f>
        <v>16424</v>
      </c>
      <c r="L293" s="289">
        <f>+K0kommunestruktur2021!L293</f>
        <v>405508</v>
      </c>
      <c r="M293" s="289">
        <f>+K0kommunestruktur2021!M293</f>
        <v>16562</v>
      </c>
      <c r="N293" s="289">
        <f>+K0kommunestruktur2021!N293</f>
        <v>424578</v>
      </c>
      <c r="O293" s="289">
        <f>+K0kommunestruktur2021!O293</f>
        <v>16733</v>
      </c>
      <c r="P293" s="289">
        <f>+K0kommunestruktur2021!P293</f>
        <v>413343</v>
      </c>
      <c r="Q293" s="289">
        <f>+K0kommunestruktur2021!Q293</f>
        <v>16949</v>
      </c>
      <c r="R293" s="289">
        <f>+K0kommunestruktur2021!R293</f>
        <v>485438.663</v>
      </c>
      <c r="S293" s="289">
        <f>VLOOKUP(A293,'K22'!A293:CU648,3)</f>
        <v>17123</v>
      </c>
      <c r="T293" s="289">
        <f>VLOOKUP(A293,'K22'!$A$4:$BV$359,26)</f>
        <v>534819.55133295327</v>
      </c>
      <c r="U293" s="289">
        <f>VLOOKUP(A293,'Bef.fremskr. kommunenivå MMMM'!$A$5:$K$360,8)</f>
        <v>17268</v>
      </c>
      <c r="V293" s="289">
        <f>VLOOKUP(A293,'K23'!$A$4:$BV$359,26)</f>
        <v>501384.32375427597</v>
      </c>
    </row>
    <row r="294" spans="1:22" ht="13">
      <c r="A294" s="755">
        <v>5029</v>
      </c>
      <c r="B294" s="756" t="s">
        <v>138</v>
      </c>
      <c r="C294" s="289">
        <f>+K0kommunestruktur2021!C294</f>
        <v>7392</v>
      </c>
      <c r="D294" s="289">
        <f>+K0kommunestruktur2021!D294</f>
        <v>141880</v>
      </c>
      <c r="E294" s="289">
        <f>+K0kommunestruktur2021!E294</f>
        <v>7668</v>
      </c>
      <c r="F294" s="289">
        <f>+K0kommunestruktur2021!F294</f>
        <v>154041</v>
      </c>
      <c r="G294" s="289">
        <f>+K0kommunestruktur2021!G294</f>
        <v>7755</v>
      </c>
      <c r="H294" s="289">
        <f>+K0kommunestruktur2021!H294</f>
        <v>170390</v>
      </c>
      <c r="I294" s="289">
        <f>+K0kommunestruktur2021!I294</f>
        <v>8000</v>
      </c>
      <c r="J294" s="289">
        <f>+K0kommunestruktur2021!J294</f>
        <v>185257</v>
      </c>
      <c r="K294" s="289">
        <f>+K0kommunestruktur2021!K294</f>
        <v>8142</v>
      </c>
      <c r="L294" s="289">
        <f>+K0kommunestruktur2021!L294</f>
        <v>194457</v>
      </c>
      <c r="M294" s="289">
        <f>+K0kommunestruktur2021!M294</f>
        <v>8231</v>
      </c>
      <c r="N294" s="289">
        <f>+K0kommunestruktur2021!N294</f>
        <v>202229</v>
      </c>
      <c r="O294" s="289">
        <f>+K0kommunestruktur2021!O294</f>
        <v>8325</v>
      </c>
      <c r="P294" s="289">
        <f>+K0kommunestruktur2021!P294</f>
        <v>203063</v>
      </c>
      <c r="Q294" s="289">
        <f>+K0kommunestruktur2021!Q294</f>
        <v>8367</v>
      </c>
      <c r="R294" s="289">
        <f>+K0kommunestruktur2021!R294</f>
        <v>235799.02499999999</v>
      </c>
      <c r="S294" s="289">
        <f>VLOOKUP(A294,'K22'!A294:CU649,3)</f>
        <v>8360</v>
      </c>
      <c r="T294" s="289">
        <f>VLOOKUP(A294,'K22'!$A$4:$BV$359,26)</f>
        <v>252372.80051190857</v>
      </c>
      <c r="U294" s="289">
        <f>VLOOKUP(A294,'Bef.fremskr. kommunenivå MMMM'!$A$5:$K$360,8)</f>
        <v>8415</v>
      </c>
      <c r="V294" s="289">
        <f>VLOOKUP(A294,'K23'!$A$4:$BV$359,26)</f>
        <v>238704.63099970305</v>
      </c>
    </row>
    <row r="295" spans="1:22" ht="13">
      <c r="A295" s="755">
        <v>5031</v>
      </c>
      <c r="B295" s="756" t="s">
        <v>141</v>
      </c>
      <c r="C295" s="289">
        <f>+K0kommunestruktur2021!C295</f>
        <v>13371</v>
      </c>
      <c r="D295" s="289">
        <f>+K0kommunestruktur2021!D295</f>
        <v>308238</v>
      </c>
      <c r="E295" s="289">
        <f>+K0kommunestruktur2021!E295</f>
        <v>13498</v>
      </c>
      <c r="F295" s="289">
        <f>+K0kommunestruktur2021!F295</f>
        <v>318663</v>
      </c>
      <c r="G295" s="289">
        <f>+K0kommunestruktur2021!G295</f>
        <v>13738</v>
      </c>
      <c r="H295" s="289">
        <f>+K0kommunestruktur2021!H295</f>
        <v>359450</v>
      </c>
      <c r="I295" s="289">
        <f>+K0kommunestruktur2021!I295</f>
        <v>13820</v>
      </c>
      <c r="J295" s="289">
        <f>+K0kommunestruktur2021!J295</f>
        <v>368227</v>
      </c>
      <c r="K295" s="289">
        <f>+K0kommunestruktur2021!K295</f>
        <v>13958</v>
      </c>
      <c r="L295" s="289">
        <f>+K0kommunestruktur2021!L295</f>
        <v>397644</v>
      </c>
      <c r="M295" s="289">
        <f>+K0kommunestruktur2021!M295</f>
        <v>14040</v>
      </c>
      <c r="N295" s="289">
        <f>+K0kommunestruktur2021!N295</f>
        <v>412157</v>
      </c>
      <c r="O295" s="289">
        <f>+K0kommunestruktur2021!O295</f>
        <v>14148</v>
      </c>
      <c r="P295" s="289">
        <f>+K0kommunestruktur2021!P295</f>
        <v>408135</v>
      </c>
      <c r="Q295" s="289">
        <f>+K0kommunestruktur2021!Q295</f>
        <v>14334</v>
      </c>
      <c r="R295" s="289">
        <f>+K0kommunestruktur2021!R295</f>
        <v>466120.27500000002</v>
      </c>
      <c r="S295" s="289">
        <f>VLOOKUP(A295,'K22'!A295:CU650,3)</f>
        <v>14425</v>
      </c>
      <c r="T295" s="289">
        <f>VLOOKUP(A295,'K22'!$A$4:$BV$359,26)</f>
        <v>522130.92439672112</v>
      </c>
      <c r="U295" s="289">
        <f>VLOOKUP(A295,'Bef.fremskr. kommunenivå MMMM'!$A$5:$K$360,8)</f>
        <v>14587</v>
      </c>
      <c r="V295" s="289">
        <f>VLOOKUP(A295,'K23'!$A$4:$BV$359,26)</f>
        <v>487057.30481925519</v>
      </c>
    </row>
    <row r="296" spans="1:22" ht="13">
      <c r="A296" s="755">
        <v>5032</v>
      </c>
      <c r="B296" s="756" t="s">
        <v>142</v>
      </c>
      <c r="C296" s="289">
        <f>+K0kommunestruktur2021!C296</f>
        <v>4030</v>
      </c>
      <c r="D296" s="289">
        <f>+K0kommunestruktur2021!D296</f>
        <v>79555</v>
      </c>
      <c r="E296" s="289">
        <f>+K0kommunestruktur2021!E296</f>
        <v>4078</v>
      </c>
      <c r="F296" s="289">
        <f>+K0kommunestruktur2021!F296</f>
        <v>84730</v>
      </c>
      <c r="G296" s="289">
        <f>+K0kommunestruktur2021!G296</f>
        <v>4132</v>
      </c>
      <c r="H296" s="289">
        <f>+K0kommunestruktur2021!H296</f>
        <v>91266</v>
      </c>
      <c r="I296" s="289">
        <f>+K0kommunestruktur2021!I296</f>
        <v>4098</v>
      </c>
      <c r="J296" s="289">
        <f>+K0kommunestruktur2021!J296</f>
        <v>94622</v>
      </c>
      <c r="K296" s="289">
        <f>+K0kommunestruktur2021!K296</f>
        <v>4093</v>
      </c>
      <c r="L296" s="289">
        <f>+K0kommunestruktur2021!L296</f>
        <v>97338</v>
      </c>
      <c r="M296" s="289">
        <f>+K0kommunestruktur2021!M296</f>
        <v>4088</v>
      </c>
      <c r="N296" s="289">
        <f>+K0kommunestruktur2021!N296</f>
        <v>100209</v>
      </c>
      <c r="O296" s="289">
        <f>+K0kommunestruktur2021!O296</f>
        <v>4062</v>
      </c>
      <c r="P296" s="289">
        <f>+K0kommunestruktur2021!P296</f>
        <v>102099</v>
      </c>
      <c r="Q296" s="289">
        <f>+K0kommunestruktur2021!Q296</f>
        <v>4069</v>
      </c>
      <c r="R296" s="289">
        <f>+K0kommunestruktur2021!R296</f>
        <v>114143.08</v>
      </c>
      <c r="S296" s="289">
        <f>VLOOKUP(A296,'K22'!A296:CU651,3)</f>
        <v>4090</v>
      </c>
      <c r="T296" s="289">
        <f>VLOOKUP(A296,'K22'!$A$4:$BV$359,26)</f>
        <v>123801.48672100369</v>
      </c>
      <c r="U296" s="289">
        <f>VLOOKUP(A296,'Bef.fremskr. kommunenivå MMMM'!$A$5:$K$360,8)</f>
        <v>4105</v>
      </c>
      <c r="V296" s="289">
        <f>VLOOKUP(A296,'K23'!$A$4:$BV$359,26)</f>
        <v>116899.69387548757</v>
      </c>
    </row>
    <row r="297" spans="1:22" ht="13">
      <c r="A297" s="755">
        <v>5033</v>
      </c>
      <c r="B297" s="756" t="s">
        <v>143</v>
      </c>
      <c r="C297" s="289">
        <f>+K0kommunestruktur2021!C297</f>
        <v>864</v>
      </c>
      <c r="D297" s="289">
        <f>+K0kommunestruktur2021!D297</f>
        <v>30854</v>
      </c>
      <c r="E297" s="289">
        <f>+K0kommunestruktur2021!E297</f>
        <v>863</v>
      </c>
      <c r="F297" s="289">
        <f>+K0kommunestruktur2021!F297</f>
        <v>32527</v>
      </c>
      <c r="G297" s="289">
        <f>+K0kommunestruktur2021!G297</f>
        <v>851</v>
      </c>
      <c r="H297" s="289">
        <f>+K0kommunestruktur2021!H297</f>
        <v>33235</v>
      </c>
      <c r="I297" s="289">
        <f>+K0kommunestruktur2021!I297</f>
        <v>861</v>
      </c>
      <c r="J297" s="289">
        <f>+K0kommunestruktur2021!J297</f>
        <v>33121</v>
      </c>
      <c r="K297" s="289">
        <f>+K0kommunestruktur2021!K297</f>
        <v>834</v>
      </c>
      <c r="L297" s="289">
        <f>+K0kommunestruktur2021!L297</f>
        <v>34850</v>
      </c>
      <c r="M297" s="289">
        <f>+K0kommunestruktur2021!M297</f>
        <v>794</v>
      </c>
      <c r="N297" s="289">
        <f>+K0kommunestruktur2021!N297</f>
        <v>35054</v>
      </c>
      <c r="O297" s="289">
        <f>+K0kommunestruktur2021!O297</f>
        <v>769</v>
      </c>
      <c r="P297" s="289">
        <f>+K0kommunestruktur2021!P297</f>
        <v>32995</v>
      </c>
      <c r="Q297" s="289">
        <f>+K0kommunestruktur2021!Q297</f>
        <v>759</v>
      </c>
      <c r="R297" s="289">
        <f>+K0kommunestruktur2021!R297</f>
        <v>35377.728999999999</v>
      </c>
      <c r="S297" s="289">
        <f>VLOOKUP(A297,'K22'!A297:CU652,3)</f>
        <v>750</v>
      </c>
      <c r="T297" s="289">
        <f>VLOOKUP(A297,'K22'!$A$4:$BV$359,26)</f>
        <v>37276.790118774137</v>
      </c>
      <c r="U297" s="289">
        <f>VLOOKUP(A297,'Bef.fremskr. kommunenivå MMMM'!$A$5:$K$360,8)</f>
        <v>742</v>
      </c>
      <c r="V297" s="289">
        <f>VLOOKUP(A297,'K23'!$A$4:$BV$359,26)</f>
        <v>35715.678718177813</v>
      </c>
    </row>
    <row r="298" spans="1:22" ht="13">
      <c r="A298" s="755">
        <v>5034</v>
      </c>
      <c r="B298" s="756" t="s">
        <v>146</v>
      </c>
      <c r="C298" s="289">
        <f>+K0kommunestruktur2021!C298</f>
        <v>2553</v>
      </c>
      <c r="D298" s="289">
        <f>+K0kommunestruktur2021!D298</f>
        <v>48534</v>
      </c>
      <c r="E298" s="289">
        <f>+K0kommunestruktur2021!E298</f>
        <v>2558</v>
      </c>
      <c r="F298" s="289">
        <f>+K0kommunestruktur2021!F298</f>
        <v>51352</v>
      </c>
      <c r="G298" s="289">
        <f>+K0kommunestruktur2021!G298</f>
        <v>2523</v>
      </c>
      <c r="H298" s="289">
        <f>+K0kommunestruktur2021!H298</f>
        <v>53590</v>
      </c>
      <c r="I298" s="289">
        <f>+K0kommunestruktur2021!I298</f>
        <v>2508</v>
      </c>
      <c r="J298" s="289">
        <f>+K0kommunestruktur2021!J298</f>
        <v>54417</v>
      </c>
      <c r="K298" s="289">
        <f>+K0kommunestruktur2021!K298</f>
        <v>2469</v>
      </c>
      <c r="L298" s="289">
        <f>+K0kommunestruktur2021!L298</f>
        <v>57823</v>
      </c>
      <c r="M298" s="289">
        <f>+K0kommunestruktur2021!M298</f>
        <v>2432</v>
      </c>
      <c r="N298" s="289">
        <f>+K0kommunestruktur2021!N298</f>
        <v>57334</v>
      </c>
      <c r="O298" s="289">
        <f>+K0kommunestruktur2021!O298</f>
        <v>2422</v>
      </c>
      <c r="P298" s="289">
        <f>+K0kommunestruktur2021!P298</f>
        <v>55743</v>
      </c>
      <c r="Q298" s="289">
        <f>+K0kommunestruktur2021!Q298</f>
        <v>2413</v>
      </c>
      <c r="R298" s="289">
        <f>+K0kommunestruktur2021!R298</f>
        <v>63651.06</v>
      </c>
      <c r="S298" s="289">
        <f>VLOOKUP(A298,'K22'!A298:CU653,3)</f>
        <v>2399</v>
      </c>
      <c r="T298" s="289">
        <f>VLOOKUP(A298,'K22'!$A$4:$BV$359,26)</f>
        <v>67727.139623412353</v>
      </c>
      <c r="U298" s="289">
        <f>VLOOKUP(A298,'Bef.fremskr. kommunenivå MMMM'!$A$5:$K$360,8)</f>
        <v>2427</v>
      </c>
      <c r="V298" s="289">
        <f>VLOOKUP(A298,'K23'!$A$4:$BV$359,26)</f>
        <v>64424.394751840075</v>
      </c>
    </row>
    <row r="299" spans="1:22" ht="13">
      <c r="A299" s="755">
        <v>5035</v>
      </c>
      <c r="B299" s="756" t="s">
        <v>147</v>
      </c>
      <c r="C299" s="289">
        <f>+K0kommunestruktur2021!C299</f>
        <v>22683</v>
      </c>
      <c r="D299" s="289">
        <f>+K0kommunestruktur2021!D299</f>
        <v>461772</v>
      </c>
      <c r="E299" s="289">
        <f>+K0kommunestruktur2021!E299</f>
        <v>22957</v>
      </c>
      <c r="F299" s="289">
        <f>+K0kommunestruktur2021!F299</f>
        <v>500584</v>
      </c>
      <c r="G299" s="289">
        <f>+K0kommunestruktur2021!G299</f>
        <v>23308</v>
      </c>
      <c r="H299" s="289">
        <f>+K0kommunestruktur2021!H299</f>
        <v>539672</v>
      </c>
      <c r="I299" s="289">
        <f>+K0kommunestruktur2021!I299</f>
        <v>23625</v>
      </c>
      <c r="J299" s="289">
        <f>+K0kommunestruktur2021!J299</f>
        <v>564472</v>
      </c>
      <c r="K299" s="289">
        <f>+K0kommunestruktur2021!K299</f>
        <v>23964</v>
      </c>
      <c r="L299" s="289">
        <f>+K0kommunestruktur2021!L299</f>
        <v>597732</v>
      </c>
      <c r="M299" s="289">
        <f>+K0kommunestruktur2021!M299</f>
        <v>24028</v>
      </c>
      <c r="N299" s="289">
        <f>+K0kommunestruktur2021!N299</f>
        <v>615174</v>
      </c>
      <c r="O299" s="289">
        <f>+K0kommunestruktur2021!O299</f>
        <v>24145</v>
      </c>
      <c r="P299" s="289">
        <f>+K0kommunestruktur2021!P299</f>
        <v>598173</v>
      </c>
      <c r="Q299" s="289">
        <f>+K0kommunestruktur2021!Q299</f>
        <v>24283</v>
      </c>
      <c r="R299" s="289">
        <f>+K0kommunestruktur2021!R299</f>
        <v>694242.41700000002</v>
      </c>
      <c r="S299" s="289">
        <f>VLOOKUP(A299,'K22'!A299:CU654,3)</f>
        <v>24287</v>
      </c>
      <c r="T299" s="289">
        <f>VLOOKUP(A299,'K22'!$A$4:$BV$359,26)</f>
        <v>757170.9415781023</v>
      </c>
      <c r="U299" s="289">
        <f>VLOOKUP(A299,'Bef.fremskr. kommunenivå MMMM'!$A$5:$K$360,8)</f>
        <v>24331</v>
      </c>
      <c r="V299" s="289">
        <f>VLOOKUP(A299,'K23'!$A$4:$BV$359,26)</f>
        <v>706766.09197995416</v>
      </c>
    </row>
    <row r="300" spans="1:22" ht="13">
      <c r="A300" s="755">
        <v>5036</v>
      </c>
      <c r="B300" s="756" t="s">
        <v>148</v>
      </c>
      <c r="C300" s="289">
        <f>+K0kommunestruktur2021!C300</f>
        <v>2653</v>
      </c>
      <c r="D300" s="289">
        <f>+K0kommunestruktur2021!D300</f>
        <v>43779</v>
      </c>
      <c r="E300" s="289">
        <f>+K0kommunestruktur2021!E300</f>
        <v>2624</v>
      </c>
      <c r="F300" s="289">
        <f>+K0kommunestruktur2021!F300</f>
        <v>45334</v>
      </c>
      <c r="G300" s="289">
        <f>+K0kommunestruktur2021!G300</f>
        <v>2631</v>
      </c>
      <c r="H300" s="289">
        <f>+K0kommunestruktur2021!H300</f>
        <v>48858</v>
      </c>
      <c r="I300" s="289">
        <f>+K0kommunestruktur2021!I300</f>
        <v>2630</v>
      </c>
      <c r="J300" s="289">
        <f>+K0kommunestruktur2021!J300</f>
        <v>55464</v>
      </c>
      <c r="K300" s="289">
        <f>+K0kommunestruktur2021!K300</f>
        <v>2616</v>
      </c>
      <c r="L300" s="289">
        <f>+K0kommunestruktur2021!L300</f>
        <v>57821</v>
      </c>
      <c r="M300" s="289">
        <f>+K0kommunestruktur2021!M300</f>
        <v>2632</v>
      </c>
      <c r="N300" s="289">
        <f>+K0kommunestruktur2021!N300</f>
        <v>57477</v>
      </c>
      <c r="O300" s="289">
        <f>+K0kommunestruktur2021!O300</f>
        <v>2627</v>
      </c>
      <c r="P300" s="289">
        <f>+K0kommunestruktur2021!P300</f>
        <v>60319</v>
      </c>
      <c r="Q300" s="289">
        <f>+K0kommunestruktur2021!Q300</f>
        <v>2609</v>
      </c>
      <c r="R300" s="289">
        <f>+K0kommunestruktur2021!R300</f>
        <v>70464.293000000005</v>
      </c>
      <c r="S300" s="289">
        <f>VLOOKUP(A300,'K22'!A300:CU655,3)</f>
        <v>2608</v>
      </c>
      <c r="T300" s="289">
        <f>VLOOKUP(A300,'K22'!$A$4:$BV$359,26)</f>
        <v>74340.203159450524</v>
      </c>
      <c r="U300" s="289">
        <f>VLOOKUP(A300,'Bef.fremskr. kommunenivå MMMM'!$A$5:$K$360,8)</f>
        <v>2648</v>
      </c>
      <c r="V300" s="289">
        <f>VLOOKUP(A300,'K23'!$A$4:$BV$359,26)</f>
        <v>69826.172158476242</v>
      </c>
    </row>
    <row r="301" spans="1:22" ht="13">
      <c r="A301" s="755">
        <v>5037</v>
      </c>
      <c r="B301" s="756" t="s">
        <v>150</v>
      </c>
      <c r="C301" s="289">
        <f>+K0kommunestruktur2021!C301</f>
        <v>19212</v>
      </c>
      <c r="D301" s="289">
        <f>+K0kommunestruktur2021!D301</f>
        <v>379690</v>
      </c>
      <c r="E301" s="289">
        <f>+K0kommunestruktur2021!E301</f>
        <v>19474</v>
      </c>
      <c r="F301" s="289">
        <f>+K0kommunestruktur2021!F301</f>
        <v>399602</v>
      </c>
      <c r="G301" s="289">
        <f>+K0kommunestruktur2021!G301</f>
        <v>19610</v>
      </c>
      <c r="H301" s="289">
        <f>+K0kommunestruktur2021!H301</f>
        <v>452141</v>
      </c>
      <c r="I301" s="289">
        <f>+K0kommunestruktur2021!I301</f>
        <v>19892</v>
      </c>
      <c r="J301" s="289">
        <f>+K0kommunestruktur2021!J301</f>
        <v>467325</v>
      </c>
      <c r="K301" s="289">
        <f>+K0kommunestruktur2021!K301</f>
        <v>20115</v>
      </c>
      <c r="L301" s="289">
        <f>+K0kommunestruktur2021!L301</f>
        <v>490350</v>
      </c>
      <c r="M301" s="289">
        <f>+K0kommunestruktur2021!M301</f>
        <v>20254</v>
      </c>
      <c r="N301" s="289">
        <f>+K0kommunestruktur2021!N301</f>
        <v>515645</v>
      </c>
      <c r="O301" s="289">
        <f>+K0kommunestruktur2021!O301</f>
        <v>20164</v>
      </c>
      <c r="P301" s="289">
        <f>+K0kommunestruktur2021!P301</f>
        <v>509280</v>
      </c>
      <c r="Q301" s="289">
        <f>+K0kommunestruktur2021!Q301</f>
        <v>20170</v>
      </c>
      <c r="R301" s="289">
        <f>+K0kommunestruktur2021!R301</f>
        <v>582620.89099999995</v>
      </c>
      <c r="S301" s="289">
        <f>VLOOKUP(A301,'K22'!A301:CU656,3)</f>
        <v>20171</v>
      </c>
      <c r="T301" s="289">
        <f>VLOOKUP(A301,'K22'!$A$4:$BV$359,26)</f>
        <v>634393.66123361432</v>
      </c>
      <c r="U301" s="289">
        <f>VLOOKUP(A301,'Bef.fremskr. kommunenivå MMMM'!$A$5:$K$360,8)</f>
        <v>20222</v>
      </c>
      <c r="V301" s="289">
        <f>VLOOKUP(A301,'K23'!$A$4:$BV$359,26)</f>
        <v>592102.01377686323</v>
      </c>
    </row>
    <row r="302" spans="1:22" ht="13">
      <c r="A302" s="755">
        <v>5038</v>
      </c>
      <c r="B302" s="756" t="s">
        <v>151</v>
      </c>
      <c r="C302" s="289">
        <f>+K0kommunestruktur2021!C302</f>
        <v>14788</v>
      </c>
      <c r="D302" s="289">
        <f>+K0kommunestruktur2021!D302</f>
        <v>279742</v>
      </c>
      <c r="E302" s="289">
        <f>+K0kommunestruktur2021!E302</f>
        <v>14809</v>
      </c>
      <c r="F302" s="289">
        <f>+K0kommunestruktur2021!F302</f>
        <v>280360</v>
      </c>
      <c r="G302" s="289">
        <f>+K0kommunestruktur2021!G302</f>
        <v>14885</v>
      </c>
      <c r="H302" s="289">
        <f>+K0kommunestruktur2021!H302</f>
        <v>303298</v>
      </c>
      <c r="I302" s="289">
        <f>+K0kommunestruktur2021!I302</f>
        <v>14849</v>
      </c>
      <c r="J302" s="289">
        <f>+K0kommunestruktur2021!J302</f>
        <v>319010</v>
      </c>
      <c r="K302" s="289">
        <f>+K0kommunestruktur2021!K302</f>
        <v>14943</v>
      </c>
      <c r="L302" s="289">
        <f>+K0kommunestruktur2021!L302</f>
        <v>334369</v>
      </c>
      <c r="M302" s="289">
        <f>+K0kommunestruktur2021!M302</f>
        <v>14933</v>
      </c>
      <c r="N302" s="289">
        <f>+K0kommunestruktur2021!N302</f>
        <v>344409</v>
      </c>
      <c r="O302" s="289">
        <f>+K0kommunestruktur2021!O302</f>
        <v>14948</v>
      </c>
      <c r="P302" s="289">
        <f>+K0kommunestruktur2021!P302</f>
        <v>346720</v>
      </c>
      <c r="Q302" s="289">
        <f>+K0kommunestruktur2021!Q302</f>
        <v>14986</v>
      </c>
      <c r="R302" s="289">
        <f>+K0kommunestruktur2021!R302</f>
        <v>400352.47899999999</v>
      </c>
      <c r="S302" s="289">
        <f>VLOOKUP(A302,'K22'!A302:CU657,3)</f>
        <v>14955</v>
      </c>
      <c r="T302" s="289">
        <f>VLOOKUP(A302,'K22'!$A$4:$BV$359,26)</f>
        <v>431862.91094950848</v>
      </c>
      <c r="U302" s="289">
        <f>VLOOKUP(A302,'Bef.fremskr. kommunenivå MMMM'!$A$5:$K$360,8)</f>
        <v>14915</v>
      </c>
      <c r="V302" s="289">
        <f>VLOOKUP(A302,'K23'!$A$4:$BV$359,26)</f>
        <v>400191.19671105262</v>
      </c>
    </row>
    <row r="303" spans="1:22" ht="13">
      <c r="A303" s="755">
        <v>5041</v>
      </c>
      <c r="B303" s="756" t="s">
        <v>156</v>
      </c>
      <c r="C303" s="289">
        <f>+K0kommunestruktur2021!C303</f>
        <v>2156</v>
      </c>
      <c r="D303" s="289">
        <f>+K0kommunestruktur2021!D303</f>
        <v>37914</v>
      </c>
      <c r="E303" s="289">
        <f>+K0kommunestruktur2021!E303</f>
        <v>2153</v>
      </c>
      <c r="F303" s="289">
        <f>+K0kommunestruktur2021!F303</f>
        <v>39394</v>
      </c>
      <c r="G303" s="289">
        <f>+K0kommunestruktur2021!G303</f>
        <v>2139</v>
      </c>
      <c r="H303" s="289">
        <f>+K0kommunestruktur2021!H303</f>
        <v>41094</v>
      </c>
      <c r="I303" s="289">
        <f>+K0kommunestruktur2021!I303</f>
        <v>2159</v>
      </c>
      <c r="J303" s="289">
        <f>+K0kommunestruktur2021!J303</f>
        <v>43422</v>
      </c>
      <c r="K303" s="289">
        <f>+K0kommunestruktur2021!K303</f>
        <v>2094</v>
      </c>
      <c r="L303" s="289">
        <f>+K0kommunestruktur2021!L303</f>
        <v>43014</v>
      </c>
      <c r="M303" s="289">
        <f>+K0kommunestruktur2021!M303</f>
        <v>2100</v>
      </c>
      <c r="N303" s="289">
        <f>+K0kommunestruktur2021!N303</f>
        <v>45037</v>
      </c>
      <c r="O303" s="289">
        <f>+K0kommunestruktur2021!O303</f>
        <v>2063</v>
      </c>
      <c r="P303" s="289">
        <f>+K0kommunestruktur2021!P303</f>
        <v>45906</v>
      </c>
      <c r="Q303" s="289">
        <f>+K0kommunestruktur2021!Q303</f>
        <v>2054</v>
      </c>
      <c r="R303" s="289">
        <f>+K0kommunestruktur2021!R303</f>
        <v>51492.535000000003</v>
      </c>
      <c r="S303" s="289">
        <f>VLOOKUP(A303,'K22'!A303:CU658,3)</f>
        <v>2033</v>
      </c>
      <c r="T303" s="289">
        <f>VLOOKUP(A303,'K22'!$A$4:$BV$359,26)</f>
        <v>53986.220735915114</v>
      </c>
      <c r="U303" s="289">
        <f>VLOOKUP(A303,'Bef.fremskr. kommunenivå MMMM'!$A$5:$K$360,8)</f>
        <v>1998</v>
      </c>
      <c r="V303" s="289">
        <f>VLOOKUP(A303,'K23'!$A$4:$BV$359,26)</f>
        <v>50485.857311700485</v>
      </c>
    </row>
    <row r="304" spans="1:22" ht="13">
      <c r="A304" s="755">
        <v>5042</v>
      </c>
      <c r="B304" s="756" t="s">
        <v>157</v>
      </c>
      <c r="C304" s="289">
        <f>+K0kommunestruktur2021!C304</f>
        <v>1385</v>
      </c>
      <c r="D304" s="289">
        <f>+K0kommunestruktur2021!D304</f>
        <v>30495</v>
      </c>
      <c r="E304" s="289">
        <f>+K0kommunestruktur2021!E304</f>
        <v>1394</v>
      </c>
      <c r="F304" s="289">
        <f>+K0kommunestruktur2021!F304</f>
        <v>30846</v>
      </c>
      <c r="G304" s="289">
        <f>+K0kommunestruktur2021!G304</f>
        <v>1375</v>
      </c>
      <c r="H304" s="289">
        <f>+K0kommunestruktur2021!H304</f>
        <v>30134</v>
      </c>
      <c r="I304" s="289">
        <f>+K0kommunestruktur2021!I304</f>
        <v>1389</v>
      </c>
      <c r="J304" s="289">
        <f>+K0kommunestruktur2021!J304</f>
        <v>30547</v>
      </c>
      <c r="K304" s="289">
        <f>+K0kommunestruktur2021!K304</f>
        <v>1379</v>
      </c>
      <c r="L304" s="289">
        <f>+K0kommunestruktur2021!L304</f>
        <v>31031</v>
      </c>
      <c r="M304" s="289">
        <f>+K0kommunestruktur2021!M304</f>
        <v>1386</v>
      </c>
      <c r="N304" s="289">
        <f>+K0kommunestruktur2021!N304</f>
        <v>33722</v>
      </c>
      <c r="O304" s="289">
        <f>+K0kommunestruktur2021!O304</f>
        <v>1355</v>
      </c>
      <c r="P304" s="289">
        <f>+K0kommunestruktur2021!P304</f>
        <v>33626</v>
      </c>
      <c r="Q304" s="289">
        <f>+K0kommunestruktur2021!Q304</f>
        <v>1328</v>
      </c>
      <c r="R304" s="289">
        <f>+K0kommunestruktur2021!R304</f>
        <v>35802.779000000002</v>
      </c>
      <c r="S304" s="289">
        <f>VLOOKUP(A304,'K22'!A304:CU659,3)</f>
        <v>1309</v>
      </c>
      <c r="T304" s="289">
        <f>VLOOKUP(A304,'K22'!$A$4:$BV$359,26)</f>
        <v>39248.409785182987</v>
      </c>
      <c r="U304" s="289">
        <f>VLOOKUP(A304,'Bef.fremskr. kommunenivå MMMM'!$A$5:$K$360,8)</f>
        <v>1282</v>
      </c>
      <c r="V304" s="289">
        <f>VLOOKUP(A304,'K23'!$A$4:$BV$359,26)</f>
        <v>35848.857934969419</v>
      </c>
    </row>
    <row r="305" spans="1:22" ht="13">
      <c r="A305" s="755">
        <v>5043</v>
      </c>
      <c r="B305" s="756" t="s">
        <v>164</v>
      </c>
      <c r="C305" s="289">
        <f>+K0kommunestruktur2021!C305</f>
        <v>498</v>
      </c>
      <c r="D305" s="289">
        <f>+K0kommunestruktur2021!D305</f>
        <v>12548</v>
      </c>
      <c r="E305" s="289">
        <f>+K0kommunestruktur2021!E305</f>
        <v>475</v>
      </c>
      <c r="F305" s="289">
        <f>+K0kommunestruktur2021!F305</f>
        <v>12235</v>
      </c>
      <c r="G305" s="289">
        <f>+K0kommunestruktur2021!G305</f>
        <v>469</v>
      </c>
      <c r="H305" s="289">
        <f>+K0kommunestruktur2021!H305</f>
        <v>12455</v>
      </c>
      <c r="I305" s="289">
        <f>+K0kommunestruktur2021!I305</f>
        <v>469</v>
      </c>
      <c r="J305" s="289">
        <f>+K0kommunestruktur2021!J305</f>
        <v>12378</v>
      </c>
      <c r="K305" s="289">
        <f>+K0kommunestruktur2021!K305</f>
        <v>474</v>
      </c>
      <c r="L305" s="289">
        <f>+K0kommunestruktur2021!L305</f>
        <v>13341</v>
      </c>
      <c r="M305" s="289">
        <f>+K0kommunestruktur2021!M305</f>
        <v>482</v>
      </c>
      <c r="N305" s="289">
        <f>+K0kommunestruktur2021!N305</f>
        <v>11848</v>
      </c>
      <c r="O305" s="289">
        <f>+K0kommunestruktur2021!O305</f>
        <v>461</v>
      </c>
      <c r="P305" s="289">
        <f>+K0kommunestruktur2021!P305</f>
        <v>12059</v>
      </c>
      <c r="Q305" s="289">
        <f>+K0kommunestruktur2021!Q305</f>
        <v>459</v>
      </c>
      <c r="R305" s="289">
        <f>+K0kommunestruktur2021!R305</f>
        <v>13437.659</v>
      </c>
      <c r="S305" s="289">
        <f>VLOOKUP(A305,'K22'!A305:CU660,3)</f>
        <v>441</v>
      </c>
      <c r="T305" s="289">
        <f>VLOOKUP(A305,'K22'!$A$4:$BV$359,26)</f>
        <v>13304.819606085463</v>
      </c>
      <c r="U305" s="289">
        <f>VLOOKUP(A305,'Bef.fremskr. kommunenivå MMMM'!$A$5:$K$360,8)</f>
        <v>437</v>
      </c>
      <c r="V305" s="289">
        <f>VLOOKUP(A305,'K23'!$A$4:$BV$359,26)</f>
        <v>12752.083957851992</v>
      </c>
    </row>
    <row r="306" spans="1:22" ht="13">
      <c r="A306" s="755">
        <v>5044</v>
      </c>
      <c r="B306" s="756" t="s">
        <v>165</v>
      </c>
      <c r="C306" s="289">
        <f>+K0kommunestruktur2021!C306</f>
        <v>922</v>
      </c>
      <c r="D306" s="289">
        <f>+K0kommunestruktur2021!D306</f>
        <v>25379</v>
      </c>
      <c r="E306" s="289">
        <f>+K0kommunestruktur2021!E306</f>
        <v>892</v>
      </c>
      <c r="F306" s="289">
        <f>+K0kommunestruktur2021!F306</f>
        <v>25338</v>
      </c>
      <c r="G306" s="289">
        <f>+K0kommunestruktur2021!G306</f>
        <v>867</v>
      </c>
      <c r="H306" s="289">
        <f>+K0kommunestruktur2021!H306</f>
        <v>27663</v>
      </c>
      <c r="I306" s="289">
        <f>+K0kommunestruktur2021!I306</f>
        <v>872</v>
      </c>
      <c r="J306" s="289">
        <f>+K0kommunestruktur2021!J306</f>
        <v>27937</v>
      </c>
      <c r="K306" s="289">
        <f>+K0kommunestruktur2021!K306</f>
        <v>902</v>
      </c>
      <c r="L306" s="289">
        <f>+K0kommunestruktur2021!L306</f>
        <v>29002</v>
      </c>
      <c r="M306" s="289">
        <f>+K0kommunestruktur2021!M306</f>
        <v>871</v>
      </c>
      <c r="N306" s="289">
        <f>+K0kommunestruktur2021!N306</f>
        <v>29273</v>
      </c>
      <c r="O306" s="289">
        <f>+K0kommunestruktur2021!O306</f>
        <v>843</v>
      </c>
      <c r="P306" s="289">
        <f>+K0kommunestruktur2021!P306</f>
        <v>28469</v>
      </c>
      <c r="Q306" s="289">
        <f>+K0kommunestruktur2021!Q306</f>
        <v>846</v>
      </c>
      <c r="R306" s="289">
        <f>+K0kommunestruktur2021!R306</f>
        <v>32661.99</v>
      </c>
      <c r="S306" s="289">
        <f>VLOOKUP(A306,'K22'!A306:CU661,3)</f>
        <v>818</v>
      </c>
      <c r="T306" s="289">
        <f>VLOOKUP(A306,'K22'!$A$4:$BV$359,26)</f>
        <v>33066.403237495586</v>
      </c>
      <c r="U306" s="289">
        <f>VLOOKUP(A306,'Bef.fremskr. kommunenivå MMMM'!$A$5:$K$360,8)</f>
        <v>814</v>
      </c>
      <c r="V306" s="289">
        <f>VLOOKUP(A306,'K23'!$A$4:$BV$359,26)</f>
        <v>31219.24497308629</v>
      </c>
    </row>
    <row r="307" spans="1:22" ht="13">
      <c r="A307" s="755">
        <v>5045</v>
      </c>
      <c r="B307" s="756" t="s">
        <v>166</v>
      </c>
      <c r="C307" s="289">
        <f>+K0kommunestruktur2021!C307</f>
        <v>2449</v>
      </c>
      <c r="D307" s="289">
        <f>+K0kommunestruktur2021!D307</f>
        <v>50196</v>
      </c>
      <c r="E307" s="289">
        <f>+K0kommunestruktur2021!E307</f>
        <v>2489</v>
      </c>
      <c r="F307" s="289">
        <f>+K0kommunestruktur2021!F307</f>
        <v>52821</v>
      </c>
      <c r="G307" s="289">
        <f>+K0kommunestruktur2021!G307</f>
        <v>2466</v>
      </c>
      <c r="H307" s="289">
        <f>+K0kommunestruktur2021!H307</f>
        <v>57612</v>
      </c>
      <c r="I307" s="289">
        <f>+K0kommunestruktur2021!I307</f>
        <v>2467</v>
      </c>
      <c r="J307" s="289">
        <f>+K0kommunestruktur2021!J307</f>
        <v>60456</v>
      </c>
      <c r="K307" s="289">
        <f>+K0kommunestruktur2021!K307</f>
        <v>2400</v>
      </c>
      <c r="L307" s="289">
        <f>+K0kommunestruktur2021!L307</f>
        <v>62432</v>
      </c>
      <c r="M307" s="289">
        <f>+K0kommunestruktur2021!M307</f>
        <v>2374</v>
      </c>
      <c r="N307" s="289">
        <f>+K0kommunestruktur2021!N307</f>
        <v>64293</v>
      </c>
      <c r="O307" s="289">
        <f>+K0kommunestruktur2021!O307</f>
        <v>2359</v>
      </c>
      <c r="P307" s="289">
        <f>+K0kommunestruktur2021!P307</f>
        <v>60632</v>
      </c>
      <c r="Q307" s="289">
        <f>+K0kommunestruktur2021!Q307</f>
        <v>2347</v>
      </c>
      <c r="R307" s="289">
        <f>+K0kommunestruktur2021!R307</f>
        <v>67677.910999999993</v>
      </c>
      <c r="S307" s="289">
        <f>VLOOKUP(A307,'K22'!A307:CU662,3)</f>
        <v>2287</v>
      </c>
      <c r="T307" s="289">
        <f>VLOOKUP(A307,'K22'!$A$4:$BV$359,26)</f>
        <v>71993.094319875803</v>
      </c>
      <c r="U307" s="289">
        <f>VLOOKUP(A307,'Bef.fremskr. kommunenivå MMMM'!$A$5:$K$360,8)</f>
        <v>2286</v>
      </c>
      <c r="V307" s="289">
        <f>VLOOKUP(A307,'K23'!$A$4:$BV$359,26)</f>
        <v>68330.081053287533</v>
      </c>
    </row>
    <row r="308" spans="1:22" ht="13">
      <c r="A308" s="755">
        <v>5046</v>
      </c>
      <c r="B308" s="756" t="s">
        <v>167</v>
      </c>
      <c r="C308" s="289">
        <f>+K0kommunestruktur2021!C308</f>
        <v>1257</v>
      </c>
      <c r="D308" s="289">
        <f>+K0kommunestruktur2021!D308</f>
        <v>22187</v>
      </c>
      <c r="E308" s="289">
        <f>+K0kommunestruktur2021!E308</f>
        <v>1252</v>
      </c>
      <c r="F308" s="289">
        <f>+K0kommunestruktur2021!F308</f>
        <v>23151</v>
      </c>
      <c r="G308" s="289">
        <f>+K0kommunestruktur2021!G308</f>
        <v>1250</v>
      </c>
      <c r="H308" s="289">
        <f>+K0kommunestruktur2021!H308</f>
        <v>26653</v>
      </c>
      <c r="I308" s="289">
        <f>+K0kommunestruktur2021!I308</f>
        <v>1264</v>
      </c>
      <c r="J308" s="289">
        <f>+K0kommunestruktur2021!J308</f>
        <v>27648</v>
      </c>
      <c r="K308" s="289">
        <f>+K0kommunestruktur2021!K308</f>
        <v>1268</v>
      </c>
      <c r="L308" s="289">
        <f>+K0kommunestruktur2021!L308</f>
        <v>26225</v>
      </c>
      <c r="M308" s="289">
        <f>+K0kommunestruktur2021!M308</f>
        <v>1254</v>
      </c>
      <c r="N308" s="289">
        <f>+K0kommunestruktur2021!N308</f>
        <v>27502</v>
      </c>
      <c r="O308" s="289">
        <f>+K0kommunestruktur2021!O308</f>
        <v>1231</v>
      </c>
      <c r="P308" s="289">
        <f>+K0kommunestruktur2021!P308</f>
        <v>27461</v>
      </c>
      <c r="Q308" s="289">
        <f>+K0kommunestruktur2021!Q308</f>
        <v>1215</v>
      </c>
      <c r="R308" s="289">
        <f>+K0kommunestruktur2021!R308</f>
        <v>29339.453000000001</v>
      </c>
      <c r="S308" s="289">
        <f>VLOOKUP(A308,'K22'!A308:CU663,3)</f>
        <v>1193</v>
      </c>
      <c r="T308" s="289">
        <f>VLOOKUP(A308,'K22'!$A$4:$BV$359,26)</f>
        <v>31909.971494418252</v>
      </c>
      <c r="U308" s="289">
        <f>VLOOKUP(A308,'Bef.fremskr. kommunenivå MMMM'!$A$5:$K$360,8)</f>
        <v>1181</v>
      </c>
      <c r="V308" s="289">
        <f>VLOOKUP(A308,'K23'!$A$4:$BV$359,26)</f>
        <v>29749.091779239378</v>
      </c>
    </row>
    <row r="309" spans="1:22" ht="13">
      <c r="A309" s="755">
        <v>5047</v>
      </c>
      <c r="B309" s="756" t="s">
        <v>168</v>
      </c>
      <c r="C309" s="289">
        <f>+K0kommunestruktur2021!C309</f>
        <v>3732</v>
      </c>
      <c r="D309" s="289">
        <f>+K0kommunestruktur2021!D309</f>
        <v>72891</v>
      </c>
      <c r="E309" s="289">
        <f>+K0kommunestruktur2021!E309</f>
        <v>3751</v>
      </c>
      <c r="F309" s="289">
        <f>+K0kommunestruktur2021!F309</f>
        <v>75389</v>
      </c>
      <c r="G309" s="289">
        <f>+K0kommunestruktur2021!G309</f>
        <v>3825</v>
      </c>
      <c r="H309" s="289">
        <f>+K0kommunestruktur2021!H309</f>
        <v>82123</v>
      </c>
      <c r="I309" s="289">
        <f>+K0kommunestruktur2021!I309</f>
        <v>3840</v>
      </c>
      <c r="J309" s="289">
        <f>+K0kommunestruktur2021!J309</f>
        <v>89306</v>
      </c>
      <c r="K309" s="289">
        <f>+K0kommunestruktur2021!K309</f>
        <v>3845</v>
      </c>
      <c r="L309" s="289">
        <f>+K0kommunestruktur2021!L309</f>
        <v>93345</v>
      </c>
      <c r="M309" s="289">
        <f>+K0kommunestruktur2021!M309</f>
        <v>3879</v>
      </c>
      <c r="N309" s="289">
        <f>+K0kommunestruktur2021!N309</f>
        <v>93413</v>
      </c>
      <c r="O309" s="289">
        <f>+K0kommunestruktur2021!O309</f>
        <v>3884</v>
      </c>
      <c r="P309" s="289">
        <f>+K0kommunestruktur2021!P309</f>
        <v>92418</v>
      </c>
      <c r="Q309" s="289">
        <f>+K0kommunestruktur2021!Q309</f>
        <v>3865</v>
      </c>
      <c r="R309" s="289">
        <f>+K0kommunestruktur2021!R309</f>
        <v>104067.85</v>
      </c>
      <c r="S309" s="289">
        <f>VLOOKUP(A309,'K22'!A309:CU664,3)</f>
        <v>3817</v>
      </c>
      <c r="T309" s="289">
        <f>VLOOKUP(A309,'K22'!$A$4:$BV$359,26)</f>
        <v>112800.58424278154</v>
      </c>
      <c r="U309" s="289">
        <f>VLOOKUP(A309,'Bef.fremskr. kommunenivå MMMM'!$A$5:$K$360,8)</f>
        <v>3809</v>
      </c>
      <c r="V309" s="289">
        <f>VLOOKUP(A309,'K23'!$A$4:$BV$359,26)</f>
        <v>104834.94166032557</v>
      </c>
    </row>
    <row r="310" spans="1:22" ht="13">
      <c r="A310" s="755">
        <v>5049</v>
      </c>
      <c r="B310" s="756" t="s">
        <v>170</v>
      </c>
      <c r="C310" s="289">
        <f>+K0kommunestruktur2021!C310</f>
        <v>1120</v>
      </c>
      <c r="D310" s="289">
        <f>+K0kommunestruktur2021!D310</f>
        <v>20942</v>
      </c>
      <c r="E310" s="289">
        <f>+K0kommunestruktur2021!E310</f>
        <v>1119</v>
      </c>
      <c r="F310" s="289">
        <f>+K0kommunestruktur2021!F310</f>
        <v>23043</v>
      </c>
      <c r="G310" s="289">
        <f>+K0kommunestruktur2021!G310</f>
        <v>1103</v>
      </c>
      <c r="H310" s="289">
        <f>+K0kommunestruktur2021!H310</f>
        <v>26366</v>
      </c>
      <c r="I310" s="289">
        <f>+K0kommunestruktur2021!I310</f>
        <v>1090</v>
      </c>
      <c r="J310" s="289">
        <f>+K0kommunestruktur2021!J310</f>
        <v>26376</v>
      </c>
      <c r="K310" s="289">
        <f>+K0kommunestruktur2021!K310</f>
        <v>1105</v>
      </c>
      <c r="L310" s="289">
        <f>+K0kommunestruktur2021!L310</f>
        <v>29062</v>
      </c>
      <c r="M310" s="289">
        <f>+K0kommunestruktur2021!M310</f>
        <v>1103</v>
      </c>
      <c r="N310" s="289">
        <f>+K0kommunestruktur2021!N310</f>
        <v>32722</v>
      </c>
      <c r="O310" s="289">
        <f>+K0kommunestruktur2021!O310</f>
        <v>1103</v>
      </c>
      <c r="P310" s="289">
        <f>+K0kommunestruktur2021!P310</f>
        <v>41284</v>
      </c>
      <c r="Q310" s="289">
        <f>+K0kommunestruktur2021!Q310</f>
        <v>1100</v>
      </c>
      <c r="R310" s="289">
        <f>+K0kommunestruktur2021!R310</f>
        <v>42474.544000000002</v>
      </c>
      <c r="S310" s="289">
        <f>VLOOKUP(A310,'K22'!A310:CU665,3)</f>
        <v>1101</v>
      </c>
      <c r="T310" s="289">
        <f>VLOOKUP(A310,'K22'!$A$4:$BV$359,26)</f>
        <v>50114.912833941416</v>
      </c>
      <c r="U310" s="289">
        <f>VLOOKUP(A310,'Bef.fremskr. kommunenivå MMMM'!$A$5:$K$360,8)</f>
        <v>1102</v>
      </c>
      <c r="V310" s="289">
        <f>VLOOKUP(A310,'K23'!$A$4:$BV$359,26)</f>
        <v>42860.246688584732</v>
      </c>
    </row>
    <row r="311" spans="1:22" ht="13">
      <c r="A311" s="755">
        <v>5052</v>
      </c>
      <c r="B311" s="756" t="s">
        <v>173</v>
      </c>
      <c r="C311" s="289">
        <f>+K0kommunestruktur2021!C311</f>
        <v>556</v>
      </c>
      <c r="D311" s="289">
        <f>+K0kommunestruktur2021!D311</f>
        <v>9934</v>
      </c>
      <c r="E311" s="289">
        <f>+K0kommunestruktur2021!E311</f>
        <v>574</v>
      </c>
      <c r="F311" s="289">
        <f>+K0kommunestruktur2021!F311</f>
        <v>10708</v>
      </c>
      <c r="G311" s="289">
        <f>+K0kommunestruktur2021!G311</f>
        <v>562</v>
      </c>
      <c r="H311" s="289">
        <f>+K0kommunestruktur2021!H311</f>
        <v>11579</v>
      </c>
      <c r="I311" s="289">
        <f>+K0kommunestruktur2021!I311</f>
        <v>584</v>
      </c>
      <c r="J311" s="289">
        <f>+K0kommunestruktur2021!J311</f>
        <v>12951</v>
      </c>
      <c r="K311" s="289">
        <f>+K0kommunestruktur2021!K311</f>
        <v>582</v>
      </c>
      <c r="L311" s="289">
        <f>+K0kommunestruktur2021!L311</f>
        <v>13678</v>
      </c>
      <c r="M311" s="289">
        <f>+K0kommunestruktur2021!M311</f>
        <v>567</v>
      </c>
      <c r="N311" s="289">
        <f>+K0kommunestruktur2021!N311</f>
        <v>13553</v>
      </c>
      <c r="O311" s="289">
        <f>+K0kommunestruktur2021!O311</f>
        <v>557</v>
      </c>
      <c r="P311" s="289">
        <f>+K0kommunestruktur2021!P311</f>
        <v>13835</v>
      </c>
      <c r="Q311" s="289">
        <f>+K0kommunestruktur2021!Q311</f>
        <v>563</v>
      </c>
      <c r="R311" s="289">
        <f>+K0kommunestruktur2021!R311</f>
        <v>16669.456999999999</v>
      </c>
      <c r="S311" s="289">
        <f>VLOOKUP(A311,'K22'!A311:CU666,3)</f>
        <v>570</v>
      </c>
      <c r="T311" s="289">
        <f>VLOOKUP(A311,'K22'!$A$4:$BV$359,26)</f>
        <v>17213.788952183353</v>
      </c>
      <c r="U311" s="289">
        <f>VLOOKUP(A311,'Bef.fremskr. kommunenivå MMMM'!$A$5:$K$360,8)</f>
        <v>578</v>
      </c>
      <c r="V311" s="289">
        <f>VLOOKUP(A311,'K23'!$A$4:$BV$359,26)</f>
        <v>16625.609572759662</v>
      </c>
    </row>
    <row r="312" spans="1:22" ht="13">
      <c r="A312" s="755">
        <v>5053</v>
      </c>
      <c r="B312" s="756" t="s">
        <v>155</v>
      </c>
      <c r="C312" s="289">
        <f>+K0kommunestruktur2021!C312</f>
        <v>6720</v>
      </c>
      <c r="D312" s="289">
        <f>+K0kommunestruktur2021!D312</f>
        <v>126853</v>
      </c>
      <c r="E312" s="289">
        <f>+K0kommunestruktur2021!E312</f>
        <v>6770</v>
      </c>
      <c r="F312" s="289">
        <f>+K0kommunestruktur2021!F312</f>
        <v>138028</v>
      </c>
      <c r="G312" s="289">
        <f>+K0kommunestruktur2021!G312</f>
        <v>6769</v>
      </c>
      <c r="H312" s="289">
        <f>+K0kommunestruktur2021!H312</f>
        <v>148799</v>
      </c>
      <c r="I312" s="289">
        <f>+K0kommunestruktur2021!I312</f>
        <v>6800</v>
      </c>
      <c r="J312" s="289">
        <f>+K0kommunestruktur2021!J312</f>
        <v>153528</v>
      </c>
      <c r="K312" s="289">
        <f>+K0kommunestruktur2021!K312</f>
        <v>6785</v>
      </c>
      <c r="L312" s="289">
        <f>+K0kommunestruktur2021!L312</f>
        <v>157899</v>
      </c>
      <c r="M312" s="289">
        <f>+K0kommunestruktur2021!M312</f>
        <v>6804</v>
      </c>
      <c r="N312" s="289">
        <f>+K0kommunestruktur2021!N312</f>
        <v>163239</v>
      </c>
      <c r="O312" s="289">
        <f>+K0kommunestruktur2021!O312</f>
        <v>6816</v>
      </c>
      <c r="P312" s="289">
        <f>+K0kommunestruktur2021!P312</f>
        <v>166507</v>
      </c>
      <c r="Q312" s="289">
        <f>+K0kommunestruktur2021!Q312</f>
        <v>6764</v>
      </c>
      <c r="R312" s="289">
        <f>+K0kommunestruktur2021!R312</f>
        <v>193708.14199999999</v>
      </c>
      <c r="S312" s="289">
        <f>VLOOKUP(A312,'K22'!A312:CU667,3)</f>
        <v>6794</v>
      </c>
      <c r="T312" s="289">
        <f>VLOOKUP(A312,'K22'!$A$4:$BV$359,26)</f>
        <v>213244.21295569828</v>
      </c>
      <c r="U312" s="289">
        <f>VLOOKUP(A312,'Bef.fremskr. kommunenivå MMMM'!$A$5:$K$360,8)</f>
        <v>6852</v>
      </c>
      <c r="V312" s="289">
        <f>VLOOKUP(A312,'K23'!$A$4:$BV$359,26)</f>
        <v>193913.27002919401</v>
      </c>
    </row>
    <row r="313" spans="1:22" ht="13">
      <c r="A313" s="755">
        <v>5054</v>
      </c>
      <c r="B313" s="756" t="s">
        <v>1234</v>
      </c>
      <c r="C313" s="289">
        <f>+K0kommunestruktur2021!C313</f>
        <v>10269.42881458</v>
      </c>
      <c r="D313" s="289">
        <f>+K0kommunestruktur2021!D313</f>
        <v>183217.8449139414</v>
      </c>
      <c r="E313" s="289">
        <f>+K0kommunestruktur2021!E313</f>
        <v>10250.30136163</v>
      </c>
      <c r="F313" s="289">
        <f>+K0kommunestruktur2021!F313</f>
        <v>193435.93161786679</v>
      </c>
      <c r="G313" s="289">
        <f>+K0kommunestruktur2021!G313</f>
        <v>10243.254405289999</v>
      </c>
      <c r="H313" s="289">
        <f>+K0kommunestruktur2021!H313</f>
        <v>207333.5362435662</v>
      </c>
      <c r="I313" s="289">
        <f>+K0kommunestruktur2021!I313</f>
        <v>10175.80496596</v>
      </c>
      <c r="J313" s="289">
        <f>+K0kommunestruktur2021!J313</f>
        <v>217828.46766121162</v>
      </c>
      <c r="K313" s="289">
        <f>+K0kommunestruktur2021!K313</f>
        <v>10157.68422107</v>
      </c>
      <c r="L313" s="289">
        <f>+K0kommunestruktur2021!L313</f>
        <v>229522.38836614593</v>
      </c>
      <c r="M313" s="289">
        <f>+K0kommunestruktur2021!M313</f>
        <v>10055</v>
      </c>
      <c r="N313" s="289">
        <f>+K0kommunestruktur2021!N313</f>
        <v>233446.53634361233</v>
      </c>
      <c r="O313" s="289">
        <f>+K0kommunestruktur2021!O313</f>
        <v>10084</v>
      </c>
      <c r="P313" s="289">
        <f>+K0kommunestruktur2021!P313</f>
        <v>228796</v>
      </c>
      <c r="Q313" s="289">
        <f>+K0kommunestruktur2021!Q313</f>
        <v>9948</v>
      </c>
      <c r="R313" s="289">
        <f>+K0kommunestruktur2021!R313</f>
        <v>256343.16699999999</v>
      </c>
      <c r="S313" s="289">
        <f>VLOOKUP(A313,'K22'!A313:CU668,3)</f>
        <v>9899</v>
      </c>
      <c r="T313" s="289">
        <f>VLOOKUP(A313,'K22'!$A$4:$BV$359,26)</f>
        <v>278819.59480205592</v>
      </c>
      <c r="U313" s="289">
        <f>VLOOKUP(A313,'Bef.fremskr. kommunenivå MMMM'!$A$5:$K$360,8)</f>
        <v>9843</v>
      </c>
      <c r="V313" s="289">
        <f>VLOOKUP(A313,'K23'!$A$4:$BV$359,26)</f>
        <v>259487.78609124737</v>
      </c>
    </row>
    <row r="314" spans="1:22" ht="13">
      <c r="A314" s="755">
        <v>5055</v>
      </c>
      <c r="B314" s="756" t="s">
        <v>1642</v>
      </c>
      <c r="C314" s="289">
        <f>+K0kommunestruktur2021!C314</f>
        <v>6009.0440440440443</v>
      </c>
      <c r="D314" s="289">
        <f>+K0kommunestruktur2021!D314</f>
        <v>126281.23223223223</v>
      </c>
      <c r="E314" s="289">
        <f>+K0kommunestruktur2021!E314</f>
        <v>6021.4604604604601</v>
      </c>
      <c r="F314" s="289">
        <f>+K0kommunestruktur2021!F314</f>
        <v>127238.24124124124</v>
      </c>
      <c r="G314" s="289">
        <f>+K0kommunestruktur2021!G314</f>
        <v>6010.6276276276276</v>
      </c>
      <c r="H314" s="289">
        <f>+K0kommunestruktur2021!H314</f>
        <v>137087.35835835835</v>
      </c>
      <c r="I314" s="289">
        <f>+K0kommunestruktur2021!I314</f>
        <v>6062.4604604604601</v>
      </c>
      <c r="J314" s="289">
        <f>+K0kommunestruktur2021!J314</f>
        <v>144857.22822822822</v>
      </c>
      <c r="K314" s="289">
        <f>+K0kommunestruktur2021!K314</f>
        <v>6001.5015015015015</v>
      </c>
      <c r="L314" s="289">
        <f>+K0kommunestruktur2021!L314</f>
        <v>153172.37637637637</v>
      </c>
      <c r="M314" s="289">
        <f>+K0kommunestruktur2021!M314</f>
        <v>6010</v>
      </c>
      <c r="N314" s="289">
        <f>+K0kommunestruktur2021!N314</f>
        <v>163996.97697697696</v>
      </c>
      <c r="O314" s="289">
        <f>+K0kommunestruktur2021!O314</f>
        <v>5963</v>
      </c>
      <c r="P314" s="289">
        <f>+K0kommunestruktur2021!P314</f>
        <v>158118</v>
      </c>
      <c r="Q314" s="289">
        <f>+K0kommunestruktur2021!Q314</f>
        <v>5941</v>
      </c>
      <c r="R314" s="289">
        <f>+K0kommunestruktur2021!R314</f>
        <v>176810.02900000001</v>
      </c>
      <c r="S314" s="289">
        <f>VLOOKUP(A314,'K22'!A314:CU669,3)</f>
        <v>5884</v>
      </c>
      <c r="T314" s="289">
        <f>VLOOKUP(A314,'K22'!$A$4:$BV$359,26)</f>
        <v>196667.09050514281</v>
      </c>
      <c r="U314" s="289">
        <f>VLOOKUP(A314,'Bef.fremskr. kommunenivå MMMM'!$A$5:$K$360,8)</f>
        <v>5839</v>
      </c>
      <c r="V314" s="289">
        <f>VLOOKUP(A314,'K23'!$A$4:$BV$359,26)</f>
        <v>179482.67958791932</v>
      </c>
    </row>
    <row r="315" spans="1:22" ht="13">
      <c r="A315" s="755">
        <v>5056</v>
      </c>
      <c r="B315" s="756" t="s">
        <v>1643</v>
      </c>
      <c r="C315" s="289">
        <f>+K0kommunestruktur2021!C315</f>
        <v>4839.8378378378375</v>
      </c>
      <c r="D315" s="289">
        <f>+K0kommunestruktur2021!D315</f>
        <v>96229.054054054053</v>
      </c>
      <c r="E315" s="289">
        <f>+K0kommunestruktur2021!E315</f>
        <v>4887.4864864864867</v>
      </c>
      <c r="F315" s="289">
        <f>+K0kommunestruktur2021!F315</f>
        <v>104673.70270270271</v>
      </c>
      <c r="G315" s="289">
        <f>+K0kommunestruktur2021!G315</f>
        <v>4939.1891891891892</v>
      </c>
      <c r="H315" s="289">
        <f>+K0kommunestruktur2021!H315</f>
        <v>113604.13513513513</v>
      </c>
      <c r="I315" s="289">
        <f>+K0kommunestruktur2021!I315</f>
        <v>4977.4864864864867</v>
      </c>
      <c r="J315" s="289">
        <f>+K0kommunestruktur2021!J315</f>
        <v>120301.43243243243</v>
      </c>
      <c r="K315" s="289">
        <f>+K0kommunestruktur2021!K315</f>
        <v>4968.1081081081084</v>
      </c>
      <c r="L315" s="289">
        <f>+K0kommunestruktur2021!L315</f>
        <v>123056.43243243243</v>
      </c>
      <c r="M315" s="289">
        <f>+K0kommunestruktur2021!M315</f>
        <v>5018</v>
      </c>
      <c r="N315" s="289">
        <f>+K0kommunestruktur2021!N315</f>
        <v>131903.67567567568</v>
      </c>
      <c r="O315" s="289">
        <f>+K0kommunestruktur2021!O315</f>
        <v>5050</v>
      </c>
      <c r="P315" s="289">
        <f>+K0kommunestruktur2021!P315</f>
        <v>145800</v>
      </c>
      <c r="Q315" s="289">
        <f>+K0kommunestruktur2021!Q315</f>
        <v>5140</v>
      </c>
      <c r="R315" s="289">
        <f>+K0kommunestruktur2021!R315</f>
        <v>161475.802</v>
      </c>
      <c r="S315" s="289">
        <f>VLOOKUP(A315,'K22'!A315:CU670,3)</f>
        <v>5156</v>
      </c>
      <c r="T315" s="289">
        <f>VLOOKUP(A315,'K22'!$A$4:$BV$359,26)</f>
        <v>176257.72651107205</v>
      </c>
      <c r="U315" s="289">
        <f>VLOOKUP(A315,'Bef.fremskr. kommunenivå MMMM'!$A$5:$K$360,8)</f>
        <v>5258</v>
      </c>
      <c r="V315" s="289">
        <f>VLOOKUP(A315,'K23'!$A$4:$BV$359,26)</f>
        <v>167479.56555777186</v>
      </c>
    </row>
    <row r="316" spans="1:22" ht="13">
      <c r="A316" s="755">
        <v>5057</v>
      </c>
      <c r="B316" s="756" t="s">
        <v>1644</v>
      </c>
      <c r="C316" s="289">
        <f>+K0kommunestruktur2021!C316</f>
        <v>9875</v>
      </c>
      <c r="D316" s="289">
        <f>+K0kommunestruktur2021!D316</f>
        <v>186904</v>
      </c>
      <c r="E316" s="289">
        <f>+K0kommunestruktur2021!E316</f>
        <v>9898</v>
      </c>
      <c r="F316" s="289">
        <f>+K0kommunestruktur2021!F316</f>
        <v>204730</v>
      </c>
      <c r="G316" s="289">
        <f>+K0kommunestruktur2021!G316</f>
        <v>9988</v>
      </c>
      <c r="H316" s="289">
        <f>+K0kommunestruktur2021!H316</f>
        <v>218140</v>
      </c>
      <c r="I316" s="289">
        <f>+K0kommunestruktur2021!I316</f>
        <v>10113</v>
      </c>
      <c r="J316" s="289">
        <f>+K0kommunestruktur2021!J316</f>
        <v>233349</v>
      </c>
      <c r="K316" s="289">
        <f>+K0kommunestruktur2021!K316</f>
        <v>10215</v>
      </c>
      <c r="L316" s="289">
        <f>+K0kommunestruktur2021!L316</f>
        <v>252402</v>
      </c>
      <c r="M316" s="289">
        <f>+K0kommunestruktur2021!M316</f>
        <v>10238</v>
      </c>
      <c r="N316" s="289">
        <f>+K0kommunestruktur2021!N316</f>
        <v>261440</v>
      </c>
      <c r="O316" s="289">
        <f>+K0kommunestruktur2021!O316</f>
        <v>10323</v>
      </c>
      <c r="P316" s="289">
        <f>+K0kommunestruktur2021!P316</f>
        <v>254501</v>
      </c>
      <c r="Q316" s="289">
        <f>+K0kommunestruktur2021!Q316</f>
        <v>10306</v>
      </c>
      <c r="R316" s="289">
        <f>+K0kommunestruktur2021!R316</f>
        <v>300234.18099999998</v>
      </c>
      <c r="S316" s="289">
        <f>VLOOKUP(A316,'K22'!A316:CU671,3)</f>
        <v>10371</v>
      </c>
      <c r="T316" s="289">
        <f>VLOOKUP(A316,'K22'!$A$4:$BV$359,26)</f>
        <v>320996.08227548294</v>
      </c>
      <c r="U316" s="289">
        <f>VLOOKUP(A316,'Bef.fremskr. kommunenivå MMMM'!$A$5:$K$360,8)</f>
        <v>10424</v>
      </c>
      <c r="V316" s="289">
        <f>VLOOKUP(A316,'K23'!$A$4:$BV$359,26)</f>
        <v>303944.25686166855</v>
      </c>
    </row>
    <row r="317" spans="1:22" ht="13">
      <c r="A317" s="755">
        <v>5058</v>
      </c>
      <c r="B317" s="756" t="s">
        <v>1645</v>
      </c>
      <c r="C317" s="289">
        <f>+K0kommunestruktur2021!C317</f>
        <v>4228</v>
      </c>
      <c r="D317" s="289">
        <f>+K0kommunestruktur2021!D317</f>
        <v>78911</v>
      </c>
      <c r="E317" s="289">
        <f>+K0kommunestruktur2021!E317</f>
        <v>4225</v>
      </c>
      <c r="F317" s="289">
        <f>+K0kommunestruktur2021!F317</f>
        <v>86982</v>
      </c>
      <c r="G317" s="289">
        <f>+K0kommunestruktur2021!G317</f>
        <v>4233</v>
      </c>
      <c r="H317" s="289">
        <f>+K0kommunestruktur2021!H317</f>
        <v>91758</v>
      </c>
      <c r="I317" s="289">
        <f>+K0kommunestruktur2021!I317</f>
        <v>4222</v>
      </c>
      <c r="J317" s="289">
        <f>+K0kommunestruktur2021!J317</f>
        <v>98377</v>
      </c>
      <c r="K317" s="289">
        <f>+K0kommunestruktur2021!K317</f>
        <v>4230</v>
      </c>
      <c r="L317" s="289">
        <f>+K0kommunestruktur2021!L317</f>
        <v>105726</v>
      </c>
      <c r="M317" s="289">
        <f>+K0kommunestruktur2021!M317</f>
        <v>4297</v>
      </c>
      <c r="N317" s="289">
        <f>+K0kommunestruktur2021!N317</f>
        <v>112012</v>
      </c>
      <c r="O317" s="289">
        <f>+K0kommunestruktur2021!O317</f>
        <v>4288</v>
      </c>
      <c r="P317" s="289">
        <f>+K0kommunestruktur2021!P317</f>
        <v>115391</v>
      </c>
      <c r="Q317" s="289">
        <f>+K0kommunestruktur2021!Q317</f>
        <v>4271</v>
      </c>
      <c r="R317" s="289">
        <f>+K0kommunestruktur2021!R317</f>
        <v>129736.989</v>
      </c>
      <c r="S317" s="289">
        <f>VLOOKUP(A317,'K22'!A317:CU672,3)</f>
        <v>4252</v>
      </c>
      <c r="T317" s="289">
        <f>VLOOKUP(A317,'K22'!$A$4:$BV$359,26)</f>
        <v>141910.26102931268</v>
      </c>
      <c r="U317" s="289">
        <f>VLOOKUP(A317,'Bef.fremskr. kommunenivå MMMM'!$A$5:$K$360,8)</f>
        <v>4245</v>
      </c>
      <c r="V317" s="289">
        <f>VLOOKUP(A317,'K23'!$A$4:$BV$359,26)</f>
        <v>130082.69719954063</v>
      </c>
    </row>
    <row r="318" spans="1:22" ht="13">
      <c r="A318" s="755">
        <v>5059</v>
      </c>
      <c r="B318" s="756" t="s">
        <v>1646</v>
      </c>
      <c r="C318" s="289">
        <f>+K0kommunestruktur2021!C318</f>
        <v>17792.118118118116</v>
      </c>
      <c r="D318" s="289">
        <f>+K0kommunestruktur2021!D318</f>
        <v>348805.71371371369</v>
      </c>
      <c r="E318" s="289">
        <f>+K0kommunestruktur2021!E318</f>
        <v>17918.053053053052</v>
      </c>
      <c r="F318" s="289">
        <f>+K0kommunestruktur2021!F318</f>
        <v>368963.05605605606</v>
      </c>
      <c r="G318" s="289">
        <f>+K0kommunestruktur2021!G318</f>
        <v>17923.183183183184</v>
      </c>
      <c r="H318" s="289">
        <f>+K0kommunestruktur2021!H318</f>
        <v>404094.50650650653</v>
      </c>
      <c r="I318" s="289">
        <f>+K0kommunestruktur2021!I318</f>
        <v>18021.053053053052</v>
      </c>
      <c r="J318" s="289">
        <f>+K0kommunestruktur2021!J318</f>
        <v>417935.33933933935</v>
      </c>
      <c r="K318" s="289">
        <f>+K0kommunestruktur2021!K318</f>
        <v>18008.390390390392</v>
      </c>
      <c r="L318" s="289">
        <f>+K0kommunestruktur2021!L318</f>
        <v>426122.1911911912</v>
      </c>
      <c r="M318" s="289">
        <f>+K0kommunestruktur2021!M318</f>
        <v>18151</v>
      </c>
      <c r="N318" s="289">
        <f>+K0kommunestruktur2021!N318</f>
        <v>456741.34734734736</v>
      </c>
      <c r="O318" s="289">
        <f>+K0kommunestruktur2021!O318</f>
        <v>18217</v>
      </c>
      <c r="P318" s="289">
        <f>+K0kommunestruktur2021!P318</f>
        <v>444283</v>
      </c>
      <c r="Q318" s="289">
        <f>+K0kommunestruktur2021!Q318</f>
        <v>18300</v>
      </c>
      <c r="R318" s="289">
        <f>+K0kommunestruktur2021!R318</f>
        <v>508653.462</v>
      </c>
      <c r="S318" s="289">
        <f>VLOOKUP(A318,'K22'!A318:CU673,3)</f>
        <v>18502</v>
      </c>
      <c r="T318" s="289">
        <f>VLOOKUP(A318,'K22'!$A$4:$BV$359,26)</f>
        <v>562353.28283040808</v>
      </c>
      <c r="U318" s="289">
        <f>VLOOKUP(A318,'Bef.fremskr. kommunenivå MMMM'!$A$5:$K$360,8)</f>
        <v>18621</v>
      </c>
      <c r="V318" s="289">
        <f>VLOOKUP(A318,'K23'!$A$4:$BV$359,26)</f>
        <v>529700.66683417524</v>
      </c>
    </row>
    <row r="319" spans="1:22" ht="13">
      <c r="A319" s="755">
        <v>5060</v>
      </c>
      <c r="B319" s="756" t="s">
        <v>1647</v>
      </c>
      <c r="C319" s="289">
        <f>+K0kommunestruktur2021!C319</f>
        <v>9335.4005181299999</v>
      </c>
      <c r="D319" s="289">
        <f>+K0kommunestruktur2021!D319</f>
        <v>183438.3820724462</v>
      </c>
      <c r="E319" s="289">
        <f>+K0kommunestruktur2021!E319</f>
        <v>9394.0887046600001</v>
      </c>
      <c r="F319" s="289">
        <f>+K0kommunestruktur2021!F319</f>
        <v>193556.623315996</v>
      </c>
      <c r="G319" s="289">
        <f>+K0kommunestruktur2021!G319</f>
        <v>9462.7240414499993</v>
      </c>
      <c r="H319" s="289">
        <f>+K0kommunestruktur2021!H319</f>
        <v>216590.24445594076</v>
      </c>
      <c r="I319" s="289">
        <f>+K0kommunestruktur2021!I319</f>
        <v>9505.4967875599996</v>
      </c>
      <c r="J319" s="289">
        <f>+K0kommunestruktur2021!J319</f>
        <v>230517.24953356315</v>
      </c>
      <c r="K319" s="289">
        <f>+K0kommunestruktur2021!K319</f>
        <v>9558.2166839399997</v>
      </c>
      <c r="L319" s="289">
        <f>+K0kommunestruktur2021!L319</f>
        <v>251414.22279798469</v>
      </c>
      <c r="M319" s="289">
        <f>+K0kommunestruktur2021!M319</f>
        <v>9599</v>
      </c>
      <c r="N319" s="289">
        <f>+K0kommunestruktur2021!N319</f>
        <v>273864.94093264249</v>
      </c>
      <c r="O319" s="289">
        <f>+K0kommunestruktur2021!O319</f>
        <v>9623</v>
      </c>
      <c r="P319" s="289">
        <f>+K0kommunestruktur2021!P319</f>
        <v>278061</v>
      </c>
      <c r="Q319" s="289">
        <f>+K0kommunestruktur2021!Q319</f>
        <v>9581</v>
      </c>
      <c r="R319" s="289">
        <f>+K0kommunestruktur2021!R319</f>
        <v>331249.3</v>
      </c>
      <c r="S319" s="289">
        <f>VLOOKUP(A319,'K22'!A319:CU674,3)</f>
        <v>9732</v>
      </c>
      <c r="T319" s="289">
        <f>VLOOKUP(A319,'K22'!$A$4:$BV$359,26)</f>
        <v>375915.82106530562</v>
      </c>
      <c r="U319" s="289">
        <f>VLOOKUP(A319,'Bef.fremskr. kommunenivå MMMM'!$A$5:$K$360,8)</f>
        <v>9781</v>
      </c>
      <c r="V319" s="289">
        <f>VLOOKUP(A319,'K23'!$A$4:$BV$359,26)</f>
        <v>330482.55627872905</v>
      </c>
    </row>
    <row r="320" spans="1:22" ht="13">
      <c r="A320" s="755">
        <v>5061</v>
      </c>
      <c r="B320" s="756" t="s">
        <v>114</v>
      </c>
      <c r="C320" s="289">
        <f>+K0kommunestruktur2021!C320</f>
        <v>2046</v>
      </c>
      <c r="D320" s="289">
        <f>+K0kommunestruktur2021!D320</f>
        <v>42351</v>
      </c>
      <c r="E320" s="289">
        <f>+K0kommunestruktur2021!E320</f>
        <v>2038</v>
      </c>
      <c r="F320" s="289">
        <f>+K0kommunestruktur2021!F320</f>
        <v>43842</v>
      </c>
      <c r="G320" s="289">
        <f>+K0kommunestruktur2021!G320</f>
        <v>2036</v>
      </c>
      <c r="H320" s="289">
        <f>+K0kommunestruktur2021!H320</f>
        <v>45245</v>
      </c>
      <c r="I320" s="289">
        <f>+K0kommunestruktur2021!I320</f>
        <v>2026</v>
      </c>
      <c r="J320" s="289">
        <f>+K0kommunestruktur2021!J320</f>
        <v>47427</v>
      </c>
      <c r="K320" s="289">
        <f>+K0kommunestruktur2021!K320</f>
        <v>2039</v>
      </c>
      <c r="L320" s="289">
        <f>+K0kommunestruktur2021!L320</f>
        <v>50708</v>
      </c>
      <c r="M320" s="289">
        <f>+K0kommunestruktur2021!M320</f>
        <v>2028</v>
      </c>
      <c r="N320" s="289">
        <f>+K0kommunestruktur2021!N320</f>
        <v>50159</v>
      </c>
      <c r="O320" s="289">
        <f>+K0kommunestruktur2021!O320</f>
        <v>2003</v>
      </c>
      <c r="P320" s="289">
        <f>+K0kommunestruktur2021!P320</f>
        <v>48517</v>
      </c>
      <c r="Q320" s="289">
        <f>+K0kommunestruktur2021!Q320</f>
        <v>1989</v>
      </c>
      <c r="R320" s="289">
        <f>+K0kommunestruktur2021!R320</f>
        <v>53745.877</v>
      </c>
      <c r="S320" s="289">
        <f>VLOOKUP(A320,'K22'!A320:CU675,3)</f>
        <v>1980</v>
      </c>
      <c r="T320" s="289">
        <f>VLOOKUP(A320,'K22'!$A$4:$BV$359,26)</f>
        <v>58129.885878069828</v>
      </c>
      <c r="U320" s="289">
        <f>VLOOKUP(A320,'Bef.fremskr. kommunenivå MMMM'!$A$5:$K$360,8)</f>
        <v>1949</v>
      </c>
      <c r="V320" s="289">
        <f>VLOOKUP(A320,'K23'!$A$4:$BV$359,26)</f>
        <v>54255.164253809344</v>
      </c>
    </row>
    <row r="321" spans="1:22" ht="13">
      <c r="A321" s="755">
        <v>5401</v>
      </c>
      <c r="B321" s="756" t="s">
        <v>217</v>
      </c>
      <c r="C321" s="289">
        <f>+K0kommunestruktur2021!C321</f>
        <v>71590</v>
      </c>
      <c r="D321" s="289">
        <f>+K0kommunestruktur2021!D321</f>
        <v>1698963</v>
      </c>
      <c r="E321" s="289">
        <f>+K0kommunestruktur2021!E321</f>
        <v>72681</v>
      </c>
      <c r="F321" s="289">
        <f>+K0kommunestruktur2021!F321</f>
        <v>1840079</v>
      </c>
      <c r="G321" s="289">
        <f>+K0kommunestruktur2021!G321</f>
        <v>73480</v>
      </c>
      <c r="H321" s="289">
        <f>+K0kommunestruktur2021!H321</f>
        <v>2034480</v>
      </c>
      <c r="I321" s="289">
        <f>+K0kommunestruktur2021!I321</f>
        <v>74541</v>
      </c>
      <c r="J321" s="289">
        <f>+K0kommunestruktur2021!J321</f>
        <v>2166065</v>
      </c>
      <c r="K321" s="289">
        <f>+K0kommunestruktur2021!K321</f>
        <v>75638</v>
      </c>
      <c r="L321" s="289">
        <f>+K0kommunestruktur2021!L321</f>
        <v>2296830</v>
      </c>
      <c r="M321" s="289">
        <f>+K0kommunestruktur2021!M321</f>
        <v>76649</v>
      </c>
      <c r="N321" s="289">
        <f>+K0kommunestruktur2021!N321</f>
        <v>2383917</v>
      </c>
      <c r="O321" s="289">
        <f>+K0kommunestruktur2021!O321</f>
        <v>76974</v>
      </c>
      <c r="P321" s="289">
        <f>+K0kommunestruktur2021!P321</f>
        <v>2351318</v>
      </c>
      <c r="Q321" s="289">
        <f>+K0kommunestruktur2021!Q321</f>
        <v>77095</v>
      </c>
      <c r="R321" s="289">
        <f>+K0kommunestruktur2021!R321</f>
        <v>2721310.3429999999</v>
      </c>
      <c r="S321" s="289">
        <f>VLOOKUP(A321,'K22'!A321:CU676,3)</f>
        <v>77544</v>
      </c>
      <c r="T321" s="289">
        <f>VLOOKUP(A321,'K22'!$A$4:$BV$359,26)</f>
        <v>2969902.3540833951</v>
      </c>
      <c r="U321" s="289">
        <f>VLOOKUP(A321,'Bef.fremskr. kommunenivå MMMM'!$A$5:$K$360,8)</f>
        <v>78284</v>
      </c>
      <c r="V321" s="289">
        <f>VLOOKUP(A321,'K23'!$A$4:$BV$359,26)</f>
        <v>2791105.4192272392</v>
      </c>
    </row>
    <row r="322" spans="1:22" ht="13">
      <c r="A322" s="755">
        <v>5402</v>
      </c>
      <c r="B322" s="756" t="s">
        <v>216</v>
      </c>
      <c r="C322" s="289">
        <f>+K0kommunestruktur2021!C322</f>
        <v>24441</v>
      </c>
      <c r="D322" s="289">
        <f>+K0kommunestruktur2021!D322</f>
        <v>531842</v>
      </c>
      <c r="E322" s="289">
        <f>+K0kommunestruktur2021!E322</f>
        <v>24676</v>
      </c>
      <c r="F322" s="289">
        <f>+K0kommunestruktur2021!F322</f>
        <v>581441</v>
      </c>
      <c r="G322" s="289">
        <f>+K0kommunestruktur2021!G322</f>
        <v>24695</v>
      </c>
      <c r="H322" s="289">
        <f>+K0kommunestruktur2021!H322</f>
        <v>623987</v>
      </c>
      <c r="I322" s="289">
        <f>+K0kommunestruktur2021!I322</f>
        <v>24845</v>
      </c>
      <c r="J322" s="289">
        <f>+K0kommunestruktur2021!J322</f>
        <v>647002</v>
      </c>
      <c r="K322" s="289">
        <f>+K0kommunestruktur2021!K322</f>
        <v>24820</v>
      </c>
      <c r="L322" s="289">
        <f>+K0kommunestruktur2021!L322</f>
        <v>674405</v>
      </c>
      <c r="M322" s="289">
        <f>+K0kommunestruktur2021!M322</f>
        <v>24827</v>
      </c>
      <c r="N322" s="289">
        <f>+K0kommunestruktur2021!N322</f>
        <v>691142</v>
      </c>
      <c r="O322" s="289">
        <f>+K0kommunestruktur2021!O322</f>
        <v>24703</v>
      </c>
      <c r="P322" s="289">
        <f>+K0kommunestruktur2021!P322</f>
        <v>665390</v>
      </c>
      <c r="Q322" s="289">
        <f>+K0kommunestruktur2021!Q322</f>
        <v>24738</v>
      </c>
      <c r="R322" s="289">
        <f>+K0kommunestruktur2021!R322</f>
        <v>765812.473</v>
      </c>
      <c r="S322" s="289">
        <f>VLOOKUP(A322,'K22'!A322:CU677,3)</f>
        <v>24804</v>
      </c>
      <c r="T322" s="289">
        <f>VLOOKUP(A322,'K22'!$A$4:$BV$359,26)</f>
        <v>855120.85259790067</v>
      </c>
      <c r="U322" s="289">
        <f>VLOOKUP(A322,'Bef.fremskr. kommunenivå MMMM'!$A$5:$K$360,8)</f>
        <v>24811</v>
      </c>
      <c r="V322" s="289">
        <f>VLOOKUP(A322,'K23'!$A$4:$BV$359,26)</f>
        <v>782548.87565830036</v>
      </c>
    </row>
    <row r="323" spans="1:22" ht="13">
      <c r="A323" s="755">
        <v>5403</v>
      </c>
      <c r="B323" s="756" t="s">
        <v>245</v>
      </c>
      <c r="C323" s="289">
        <f>+K0kommunestruktur2021!C323</f>
        <v>19822</v>
      </c>
      <c r="D323" s="289">
        <f>+K0kommunestruktur2021!D323</f>
        <v>392331</v>
      </c>
      <c r="E323" s="289">
        <f>+K0kommunestruktur2021!E323</f>
        <v>19898</v>
      </c>
      <c r="F323" s="289">
        <f>+K0kommunestruktur2021!F323</f>
        <v>425132</v>
      </c>
      <c r="G323" s="289">
        <f>+K0kommunestruktur2021!G323</f>
        <v>20097</v>
      </c>
      <c r="H323" s="289">
        <f>+K0kommunestruktur2021!H323</f>
        <v>470693</v>
      </c>
      <c r="I323" s="289">
        <f>+K0kommunestruktur2021!I323</f>
        <v>20446</v>
      </c>
      <c r="J323" s="289">
        <f>+K0kommunestruktur2021!J323</f>
        <v>505393</v>
      </c>
      <c r="K323" s="289">
        <f>+K0kommunestruktur2021!K323</f>
        <v>20635</v>
      </c>
      <c r="L323" s="289">
        <f>+K0kommunestruktur2021!L323</f>
        <v>542406</v>
      </c>
      <c r="M323" s="289">
        <f>+K0kommunestruktur2021!M323</f>
        <v>20665</v>
      </c>
      <c r="N323" s="289">
        <f>+K0kommunestruktur2021!N323</f>
        <v>568373</v>
      </c>
      <c r="O323" s="289">
        <f>+K0kommunestruktur2021!O323</f>
        <v>20789</v>
      </c>
      <c r="P323" s="289">
        <f>+K0kommunestruktur2021!P323</f>
        <v>564534</v>
      </c>
      <c r="Q323" s="289">
        <f>+K0kommunestruktur2021!Q323</f>
        <v>20847</v>
      </c>
      <c r="R323" s="289">
        <f>+K0kommunestruktur2021!R323</f>
        <v>641505.68799999997</v>
      </c>
      <c r="S323" s="289">
        <f>VLOOKUP(A323,'K22'!A323:CU678,3)</f>
        <v>21144</v>
      </c>
      <c r="T323" s="289">
        <f>VLOOKUP(A323,'K22'!$A$4:$BV$359,26)</f>
        <v>712439.12575229653</v>
      </c>
      <c r="U323" s="289">
        <f>VLOOKUP(A323,'Bef.fremskr. kommunenivå MMMM'!$A$5:$K$360,8)</f>
        <v>21305</v>
      </c>
      <c r="V323" s="289">
        <f>VLOOKUP(A323,'K23'!$A$4:$BV$359,26)</f>
        <v>668826.72165493644</v>
      </c>
    </row>
    <row r="324" spans="1:22" ht="13">
      <c r="A324" s="755">
        <v>5404</v>
      </c>
      <c r="B324" s="756" t="s">
        <v>241</v>
      </c>
      <c r="C324" s="289">
        <f>+K0kommunestruktur2021!C324</f>
        <v>2119</v>
      </c>
      <c r="D324" s="289">
        <f>+K0kommunestruktur2021!D324</f>
        <v>39140</v>
      </c>
      <c r="E324" s="289">
        <f>+K0kommunestruktur2021!E324</f>
        <v>2128</v>
      </c>
      <c r="F324" s="289">
        <f>+K0kommunestruktur2021!F324</f>
        <v>41735</v>
      </c>
      <c r="G324" s="289">
        <f>+K0kommunestruktur2021!G324</f>
        <v>2137</v>
      </c>
      <c r="H324" s="289">
        <f>+K0kommunestruktur2021!H324</f>
        <v>46439</v>
      </c>
      <c r="I324" s="289">
        <f>+K0kommunestruktur2021!I324</f>
        <v>2104</v>
      </c>
      <c r="J324" s="289">
        <f>+K0kommunestruktur2021!J324</f>
        <v>46940</v>
      </c>
      <c r="K324" s="289">
        <f>+K0kommunestruktur2021!K324</f>
        <v>2110</v>
      </c>
      <c r="L324" s="289">
        <f>+K0kommunestruktur2021!L324</f>
        <v>46676</v>
      </c>
      <c r="M324" s="289">
        <f>+K0kommunestruktur2021!M324</f>
        <v>2081</v>
      </c>
      <c r="N324" s="289">
        <f>+K0kommunestruktur2021!N324</f>
        <v>47631</v>
      </c>
      <c r="O324" s="289">
        <f>+K0kommunestruktur2021!O324</f>
        <v>2029</v>
      </c>
      <c r="P324" s="289">
        <f>+K0kommunestruktur2021!P324</f>
        <v>45266</v>
      </c>
      <c r="Q324" s="289">
        <f>+K0kommunestruktur2021!Q324</f>
        <v>1959</v>
      </c>
      <c r="R324" s="289">
        <f>+K0kommunestruktur2021!R324</f>
        <v>50390.915000000001</v>
      </c>
      <c r="S324" s="289">
        <f>VLOOKUP(A324,'K22'!A324:CU679,3)</f>
        <v>1897</v>
      </c>
      <c r="T324" s="289">
        <f>VLOOKUP(A324,'K22'!$A$4:$BV$359,26)</f>
        <v>51757.70466955976</v>
      </c>
      <c r="U324" s="289">
        <f>VLOOKUP(A324,'Bef.fremskr. kommunenivå MMMM'!$A$5:$K$360,8)</f>
        <v>1912</v>
      </c>
      <c r="V324" s="289">
        <f>VLOOKUP(A324,'K23'!$A$4:$BV$359,26)</f>
        <v>49877.631336385159</v>
      </c>
    </row>
    <row r="325" spans="1:22" ht="13">
      <c r="A325" s="755">
        <v>5405</v>
      </c>
      <c r="B325" s="756" t="s">
        <v>242</v>
      </c>
      <c r="C325" s="289">
        <f>+K0kommunestruktur2021!C325</f>
        <v>6223</v>
      </c>
      <c r="D325" s="289">
        <f>+K0kommunestruktur2021!D325</f>
        <v>128264</v>
      </c>
      <c r="E325" s="289">
        <f>+K0kommunestruktur2021!E325</f>
        <v>6239</v>
      </c>
      <c r="F325" s="289">
        <f>+K0kommunestruktur2021!F325</f>
        <v>135985</v>
      </c>
      <c r="G325" s="289">
        <f>+K0kommunestruktur2021!G325</f>
        <v>6160</v>
      </c>
      <c r="H325" s="289">
        <f>+K0kommunestruktur2021!H325</f>
        <v>143163</v>
      </c>
      <c r="I325" s="289">
        <f>+K0kommunestruktur2021!I325</f>
        <v>6154</v>
      </c>
      <c r="J325" s="289">
        <f>+K0kommunestruktur2021!J325</f>
        <v>148082</v>
      </c>
      <c r="K325" s="289">
        <f>+K0kommunestruktur2021!K325</f>
        <v>6033</v>
      </c>
      <c r="L325" s="289">
        <f>+K0kommunestruktur2021!L325</f>
        <v>152909</v>
      </c>
      <c r="M325" s="289">
        <f>+K0kommunestruktur2021!M325</f>
        <v>5894</v>
      </c>
      <c r="N325" s="289">
        <f>+K0kommunestruktur2021!N325</f>
        <v>153202</v>
      </c>
      <c r="O325" s="289">
        <f>+K0kommunestruktur2021!O325</f>
        <v>5788</v>
      </c>
      <c r="P325" s="289">
        <f>+K0kommunestruktur2021!P325</f>
        <v>150625</v>
      </c>
      <c r="Q325" s="289">
        <f>+K0kommunestruktur2021!Q325</f>
        <v>5642</v>
      </c>
      <c r="R325" s="289">
        <f>+K0kommunestruktur2021!R325</f>
        <v>171792.18400000001</v>
      </c>
      <c r="S325" s="289">
        <f>VLOOKUP(A325,'K22'!A325:CU680,3)</f>
        <v>5568</v>
      </c>
      <c r="T325" s="289">
        <f>VLOOKUP(A325,'K22'!$A$4:$BV$359,26)</f>
        <v>178197.93239957368</v>
      </c>
      <c r="U325" s="289">
        <f>VLOOKUP(A325,'Bef.fremskr. kommunenivå MMMM'!$A$5:$K$360,8)</f>
        <v>5556</v>
      </c>
      <c r="V325" s="289">
        <f>VLOOKUP(A325,'K23'!$A$4:$BV$359,26)</f>
        <v>168392.14373063418</v>
      </c>
    </row>
    <row r="326" spans="1:22" ht="13">
      <c r="A326" s="755">
        <v>5406</v>
      </c>
      <c r="B326" s="756" t="s">
        <v>1648</v>
      </c>
      <c r="C326" s="289">
        <f>+K0kommunestruktur2021!C326</f>
        <v>11338</v>
      </c>
      <c r="D326" s="289">
        <f>+K0kommunestruktur2021!D326</f>
        <v>272569</v>
      </c>
      <c r="E326" s="289">
        <f>+K0kommunestruktur2021!E326</f>
        <v>11466</v>
      </c>
      <c r="F326" s="289">
        <f>+K0kommunestruktur2021!F326</f>
        <v>294108</v>
      </c>
      <c r="G326" s="289">
        <f>+K0kommunestruktur2021!G326</f>
        <v>11490</v>
      </c>
      <c r="H326" s="289">
        <f>+K0kommunestruktur2021!H326</f>
        <v>302629</v>
      </c>
      <c r="I326" s="289">
        <f>+K0kommunestruktur2021!I326</f>
        <v>11554</v>
      </c>
      <c r="J326" s="289">
        <f>+K0kommunestruktur2021!J326</f>
        <v>317821</v>
      </c>
      <c r="K326" s="289">
        <f>+K0kommunestruktur2021!K326</f>
        <v>11560</v>
      </c>
      <c r="L326" s="289">
        <f>+K0kommunestruktur2021!L326</f>
        <v>327526</v>
      </c>
      <c r="M326" s="289">
        <f>+K0kommunestruktur2021!M326</f>
        <v>11524</v>
      </c>
      <c r="N326" s="289">
        <f>+K0kommunestruktur2021!N326</f>
        <v>340580</v>
      </c>
      <c r="O326" s="289">
        <f>+K0kommunestruktur2021!O326</f>
        <v>11448</v>
      </c>
      <c r="P326" s="289">
        <f>+K0kommunestruktur2021!P326</f>
        <v>331008</v>
      </c>
      <c r="Q326" s="289">
        <f>+K0kommunestruktur2021!Q326</f>
        <v>11331</v>
      </c>
      <c r="R326" s="289">
        <f>+K0kommunestruktur2021!R326</f>
        <v>373038.78899999999</v>
      </c>
      <c r="S326" s="289">
        <f>VLOOKUP(A326,'K22'!A326:CU681,3)</f>
        <v>11274</v>
      </c>
      <c r="T326" s="289">
        <f>VLOOKUP(A326,'K22'!$A$4:$BV$359,26)</f>
        <v>398638.93551450275</v>
      </c>
      <c r="U326" s="289">
        <f>VLOOKUP(A326,'Bef.fremskr. kommunenivå MMMM'!$A$5:$K$360,8)</f>
        <v>11309</v>
      </c>
      <c r="V326" s="289">
        <f>VLOOKUP(A326,'K23'!$A$4:$BV$359,26)</f>
        <v>380237.48298838263</v>
      </c>
    </row>
    <row r="327" spans="1:22" ht="13">
      <c r="A327" s="755">
        <v>5411</v>
      </c>
      <c r="B327" s="756" t="s">
        <v>218</v>
      </c>
      <c r="C327" s="289">
        <f>+K0kommunestruktur2021!C327</f>
        <v>3107</v>
      </c>
      <c r="D327" s="289">
        <f>+K0kommunestruktur2021!D327</f>
        <v>53243</v>
      </c>
      <c r="E327" s="289">
        <f>+K0kommunestruktur2021!E327</f>
        <v>3076</v>
      </c>
      <c r="F327" s="289">
        <f>+K0kommunestruktur2021!F327</f>
        <v>56094</v>
      </c>
      <c r="G327" s="289">
        <f>+K0kommunestruktur2021!G327</f>
        <v>3029</v>
      </c>
      <c r="H327" s="289">
        <f>+K0kommunestruktur2021!H327</f>
        <v>60507</v>
      </c>
      <c r="I327" s="289">
        <f>+K0kommunestruktur2021!I327</f>
        <v>2986</v>
      </c>
      <c r="J327" s="289">
        <f>+K0kommunestruktur2021!J327</f>
        <v>65886</v>
      </c>
      <c r="K327" s="289">
        <f>+K0kommunestruktur2021!K327</f>
        <v>2928</v>
      </c>
      <c r="L327" s="289">
        <f>+K0kommunestruktur2021!L327</f>
        <v>68090</v>
      </c>
      <c r="M327" s="289">
        <f>+K0kommunestruktur2021!M327</f>
        <v>2858</v>
      </c>
      <c r="N327" s="289">
        <f>+K0kommunestruktur2021!N327</f>
        <v>63611</v>
      </c>
      <c r="O327" s="289">
        <f>+K0kommunestruktur2021!O327</f>
        <v>2839</v>
      </c>
      <c r="P327" s="289">
        <f>+K0kommunestruktur2021!P327</f>
        <v>61754</v>
      </c>
      <c r="Q327" s="289">
        <f>+K0kommunestruktur2021!Q327</f>
        <v>2822</v>
      </c>
      <c r="R327" s="289">
        <f>+K0kommunestruktur2021!R327</f>
        <v>73553.589000000007</v>
      </c>
      <c r="S327" s="289">
        <f>VLOOKUP(A327,'K22'!A327:CU682,3)</f>
        <v>2789</v>
      </c>
      <c r="T327" s="289">
        <f>VLOOKUP(A327,'K22'!$A$4:$BV$359,26)</f>
        <v>76156.190480627149</v>
      </c>
      <c r="U327" s="289">
        <f>VLOOKUP(A327,'Bef.fremskr. kommunenivå MMMM'!$A$5:$K$360,8)</f>
        <v>2811</v>
      </c>
      <c r="V327" s="289">
        <f>VLOOKUP(A327,'K23'!$A$4:$BV$359,26)</f>
        <v>72363.340885465979</v>
      </c>
    </row>
    <row r="328" spans="1:22" ht="13">
      <c r="A328" s="755">
        <v>5412</v>
      </c>
      <c r="B328" s="756" t="s">
        <v>1649</v>
      </c>
      <c r="C328" s="289">
        <f>+K0kommunestruktur2021!C328</f>
        <v>4207</v>
      </c>
      <c r="D328" s="289">
        <f>+K0kommunestruktur2021!D328</f>
        <v>78040</v>
      </c>
      <c r="E328" s="289">
        <f>+K0kommunestruktur2021!E328</f>
        <v>4268</v>
      </c>
      <c r="F328" s="289">
        <f>+K0kommunestruktur2021!F328</f>
        <v>85810</v>
      </c>
      <c r="G328" s="289">
        <f>+K0kommunestruktur2021!G328</f>
        <v>4324</v>
      </c>
      <c r="H328" s="289">
        <f>+K0kommunestruktur2021!H328</f>
        <v>92325</v>
      </c>
      <c r="I328" s="289">
        <f>+K0kommunestruktur2021!I328</f>
        <v>4300</v>
      </c>
      <c r="J328" s="289">
        <f>+K0kommunestruktur2021!J328</f>
        <v>96392</v>
      </c>
      <c r="K328" s="289">
        <f>+K0kommunestruktur2021!K328</f>
        <v>4253</v>
      </c>
      <c r="L328" s="289">
        <f>+K0kommunestruktur2021!L328</f>
        <v>96820</v>
      </c>
      <c r="M328" s="289">
        <f>+K0kommunestruktur2021!M328</f>
        <v>4268</v>
      </c>
      <c r="N328" s="289">
        <f>+K0kommunestruktur2021!N328</f>
        <v>100932</v>
      </c>
      <c r="O328" s="289">
        <f>+K0kommunestruktur2021!O328</f>
        <v>4216</v>
      </c>
      <c r="P328" s="289">
        <f>+K0kommunestruktur2021!P328</f>
        <v>101538</v>
      </c>
      <c r="Q328" s="289">
        <f>+K0kommunestruktur2021!Q328</f>
        <v>4209</v>
      </c>
      <c r="R328" s="289">
        <f>+K0kommunestruktur2021!R328</f>
        <v>112336.47500000001</v>
      </c>
      <c r="S328" s="289">
        <f>VLOOKUP(A328,'K22'!A328:CU683,3)</f>
        <v>4201</v>
      </c>
      <c r="T328" s="289">
        <f>VLOOKUP(A328,'K22'!$A$4:$BV$359,26)</f>
        <v>124701.38785920531</v>
      </c>
      <c r="U328" s="289">
        <f>VLOOKUP(A328,'Bef.fremskr. kommunenivå MMMM'!$A$5:$K$360,8)</f>
        <v>4255</v>
      </c>
      <c r="V328" s="289">
        <f>VLOOKUP(A328,'K23'!$A$4:$BV$359,26)</f>
        <v>116544.07541029927</v>
      </c>
    </row>
    <row r="329" spans="1:22" ht="13">
      <c r="A329" s="755">
        <v>5413</v>
      </c>
      <c r="B329" s="756" t="s">
        <v>221</v>
      </c>
      <c r="C329" s="289">
        <f>+K0kommunestruktur2021!C329</f>
        <v>1436</v>
      </c>
      <c r="D329" s="289">
        <f>+K0kommunestruktur2021!D329</f>
        <v>26022</v>
      </c>
      <c r="E329" s="289">
        <f>+K0kommunestruktur2021!E329</f>
        <v>1410</v>
      </c>
      <c r="F329" s="289">
        <f>+K0kommunestruktur2021!F329</f>
        <v>26855</v>
      </c>
      <c r="G329" s="289">
        <f>+K0kommunestruktur2021!G329</f>
        <v>1403</v>
      </c>
      <c r="H329" s="289">
        <f>+K0kommunestruktur2021!H329</f>
        <v>31656</v>
      </c>
      <c r="I329" s="289">
        <f>+K0kommunestruktur2021!I329</f>
        <v>1394</v>
      </c>
      <c r="J329" s="289">
        <f>+K0kommunestruktur2021!J329</f>
        <v>34562</v>
      </c>
      <c r="K329" s="289">
        <f>+K0kommunestruktur2021!K329</f>
        <v>1380</v>
      </c>
      <c r="L329" s="289">
        <f>+K0kommunestruktur2021!L329</f>
        <v>38050</v>
      </c>
      <c r="M329" s="289">
        <f>+K0kommunestruktur2021!M329</f>
        <v>1375</v>
      </c>
      <c r="N329" s="289">
        <f>+K0kommunestruktur2021!N329</f>
        <v>36128</v>
      </c>
      <c r="O329" s="289">
        <f>+K0kommunestruktur2021!O329</f>
        <v>1361</v>
      </c>
      <c r="P329" s="289">
        <f>+K0kommunestruktur2021!P329</f>
        <v>34850</v>
      </c>
      <c r="Q329" s="289">
        <f>+K0kommunestruktur2021!Q329</f>
        <v>1320</v>
      </c>
      <c r="R329" s="289">
        <f>+K0kommunestruktur2021!R329</f>
        <v>37922.93</v>
      </c>
      <c r="S329" s="289">
        <f>VLOOKUP(A329,'K22'!A329:CU684,3)</f>
        <v>1289</v>
      </c>
      <c r="T329" s="289">
        <f>VLOOKUP(A329,'K22'!$A$4:$BV$359,26)</f>
        <v>44867.84563795499</v>
      </c>
      <c r="U329" s="289">
        <f>VLOOKUP(A329,'Bef.fremskr. kommunenivå MMMM'!$A$5:$K$360,8)</f>
        <v>1282</v>
      </c>
      <c r="V329" s="289">
        <f>VLOOKUP(A329,'K23'!$A$4:$BV$359,26)</f>
        <v>38044.669172596645</v>
      </c>
    </row>
    <row r="330" spans="1:22" ht="13">
      <c r="A330" s="755">
        <v>5414</v>
      </c>
      <c r="B330" s="756" t="s">
        <v>222</v>
      </c>
      <c r="C330" s="289">
        <f>+K0kommunestruktur2021!C330</f>
        <v>1135</v>
      </c>
      <c r="D330" s="289">
        <f>+K0kommunestruktur2021!D330</f>
        <v>19557</v>
      </c>
      <c r="E330" s="289">
        <f>+K0kommunestruktur2021!E330</f>
        <v>1137</v>
      </c>
      <c r="F330" s="289">
        <f>+K0kommunestruktur2021!F330</f>
        <v>20678</v>
      </c>
      <c r="G330" s="289">
        <f>+K0kommunestruktur2021!G330</f>
        <v>1137</v>
      </c>
      <c r="H330" s="289">
        <f>+K0kommunestruktur2021!H330</f>
        <v>22524</v>
      </c>
      <c r="I330" s="289">
        <f>+K0kommunestruktur2021!I330</f>
        <v>1121</v>
      </c>
      <c r="J330" s="289">
        <f>+K0kommunestruktur2021!J330</f>
        <v>24726</v>
      </c>
      <c r="K330" s="289">
        <f>+K0kommunestruktur2021!K330</f>
        <v>1117</v>
      </c>
      <c r="L330" s="289">
        <f>+K0kommunestruktur2021!L330</f>
        <v>26493</v>
      </c>
      <c r="M330" s="289">
        <f>+K0kommunestruktur2021!M330</f>
        <v>1105</v>
      </c>
      <c r="N330" s="289">
        <f>+K0kommunestruktur2021!N330</f>
        <v>28318</v>
      </c>
      <c r="O330" s="289">
        <f>+K0kommunestruktur2021!O330</f>
        <v>1091</v>
      </c>
      <c r="P330" s="289">
        <f>+K0kommunestruktur2021!P330</f>
        <v>28544</v>
      </c>
      <c r="Q330" s="289">
        <f>+K0kommunestruktur2021!Q330</f>
        <v>1092</v>
      </c>
      <c r="R330" s="289">
        <f>+K0kommunestruktur2021!R330</f>
        <v>31520.68</v>
      </c>
      <c r="S330" s="289">
        <f>VLOOKUP(A330,'K22'!A330:CU685,3)</f>
        <v>1070</v>
      </c>
      <c r="T330" s="289">
        <f>VLOOKUP(A330,'K22'!$A$4:$BV$359,26)</f>
        <v>34827.494051708796</v>
      </c>
      <c r="U330" s="289">
        <f>VLOOKUP(A330,'Bef.fremskr. kommunenivå MMMM'!$A$5:$K$360,8)</f>
        <v>1080</v>
      </c>
      <c r="V330" s="289">
        <f>VLOOKUP(A330,'K23'!$A$4:$BV$359,26)</f>
        <v>32065.233237860553</v>
      </c>
    </row>
    <row r="331" spans="1:22" ht="13">
      <c r="A331" s="755">
        <v>5415</v>
      </c>
      <c r="B331" s="756" t="s">
        <v>223</v>
      </c>
      <c r="C331" s="289">
        <f>+K0kommunestruktur2021!C331</f>
        <v>1014</v>
      </c>
      <c r="D331" s="289">
        <f>+K0kommunestruktur2021!D331</f>
        <v>15717</v>
      </c>
      <c r="E331" s="289">
        <f>+K0kommunestruktur2021!E331</f>
        <v>1008</v>
      </c>
      <c r="F331" s="289">
        <f>+K0kommunestruktur2021!F331</f>
        <v>18284</v>
      </c>
      <c r="G331" s="289">
        <f>+K0kommunestruktur2021!G331</f>
        <v>1051</v>
      </c>
      <c r="H331" s="289">
        <f>+K0kommunestruktur2021!H331</f>
        <v>19351</v>
      </c>
      <c r="I331" s="289">
        <f>+K0kommunestruktur2021!I331</f>
        <v>1076</v>
      </c>
      <c r="J331" s="289">
        <f>+K0kommunestruktur2021!J331</f>
        <v>19972</v>
      </c>
      <c r="K331" s="289">
        <f>+K0kommunestruktur2021!K331</f>
        <v>1061</v>
      </c>
      <c r="L331" s="289">
        <f>+K0kommunestruktur2021!L331</f>
        <v>21842</v>
      </c>
      <c r="M331" s="289">
        <f>+K0kommunestruktur2021!M331</f>
        <v>1042</v>
      </c>
      <c r="N331" s="289">
        <f>+K0kommunestruktur2021!N331</f>
        <v>22320</v>
      </c>
      <c r="O331" s="289">
        <f>+K0kommunestruktur2021!O331</f>
        <v>1034</v>
      </c>
      <c r="P331" s="289">
        <f>+K0kommunestruktur2021!P331</f>
        <v>22101</v>
      </c>
      <c r="Q331" s="289">
        <f>+K0kommunestruktur2021!Q331</f>
        <v>1020</v>
      </c>
      <c r="R331" s="289">
        <f>+K0kommunestruktur2021!R331</f>
        <v>22751.856</v>
      </c>
      <c r="S331" s="289">
        <f>VLOOKUP(A331,'K22'!A331:CU686,3)</f>
        <v>970</v>
      </c>
      <c r="T331" s="289">
        <f>VLOOKUP(A331,'K22'!$A$4:$BV$359,26)</f>
        <v>24628.760642770343</v>
      </c>
      <c r="U331" s="289">
        <f>VLOOKUP(A331,'Bef.fremskr. kommunenivå MMMM'!$A$5:$K$360,8)</f>
        <v>953</v>
      </c>
      <c r="V331" s="289">
        <f>VLOOKUP(A331,'K23'!$A$4:$BV$359,26)</f>
        <v>22883.518767420799</v>
      </c>
    </row>
    <row r="332" spans="1:22" ht="13">
      <c r="A332" s="755">
        <v>5416</v>
      </c>
      <c r="B332" s="756" t="s">
        <v>224</v>
      </c>
      <c r="C332" s="289">
        <f>+K0kommunestruktur2021!C332</f>
        <v>3985</v>
      </c>
      <c r="D332" s="289">
        <f>+K0kommunestruktur2021!D332</f>
        <v>95072</v>
      </c>
      <c r="E332" s="289">
        <f>+K0kommunestruktur2021!E332</f>
        <v>4078</v>
      </c>
      <c r="F332" s="289">
        <f>+K0kommunestruktur2021!F332</f>
        <v>103643</v>
      </c>
      <c r="G332" s="289">
        <f>+K0kommunestruktur2021!G332</f>
        <v>4019</v>
      </c>
      <c r="H332" s="289">
        <f>+K0kommunestruktur2021!H332</f>
        <v>109015</v>
      </c>
      <c r="I332" s="289">
        <f>+K0kommunestruktur2021!I332</f>
        <v>3994</v>
      </c>
      <c r="J332" s="289">
        <f>+K0kommunestruktur2021!J332</f>
        <v>115085</v>
      </c>
      <c r="K332" s="289">
        <f>+K0kommunestruktur2021!K332</f>
        <v>3979</v>
      </c>
      <c r="L332" s="289">
        <f>+K0kommunestruktur2021!L332</f>
        <v>120113</v>
      </c>
      <c r="M332" s="289">
        <f>+K0kommunestruktur2021!M332</f>
        <v>4030</v>
      </c>
      <c r="N332" s="289">
        <f>+K0kommunestruktur2021!N332</f>
        <v>127207</v>
      </c>
      <c r="O332" s="289">
        <f>+K0kommunestruktur2021!O332</f>
        <v>4005</v>
      </c>
      <c r="P332" s="289">
        <f>+K0kommunestruktur2021!P332</f>
        <v>121816</v>
      </c>
      <c r="Q332" s="289">
        <f>+K0kommunestruktur2021!Q332</f>
        <v>3959</v>
      </c>
      <c r="R332" s="289">
        <f>+K0kommunestruktur2021!R332</f>
        <v>132708.57699999999</v>
      </c>
      <c r="S332" s="289">
        <f>VLOOKUP(A332,'K22'!A332:CU687,3)</f>
        <v>3993</v>
      </c>
      <c r="T332" s="289">
        <f>VLOOKUP(A332,'K22'!$A$4:$BV$359,26)</f>
        <v>145326.71190507311</v>
      </c>
      <c r="U332" s="289">
        <f>VLOOKUP(A332,'Bef.fremskr. kommunenivå MMMM'!$A$5:$K$360,8)</f>
        <v>4089</v>
      </c>
      <c r="V332" s="289">
        <f>VLOOKUP(A332,'K23'!$A$4:$BV$359,26)</f>
        <v>142233.58432614006</v>
      </c>
    </row>
    <row r="333" spans="1:22" ht="13">
      <c r="A333" s="755">
        <v>5417</v>
      </c>
      <c r="B333" s="756" t="s">
        <v>225</v>
      </c>
      <c r="C333" s="289">
        <f>+K0kommunestruktur2021!C333</f>
        <v>2223</v>
      </c>
      <c r="D333" s="289">
        <f>+K0kommunestruktur2021!D333</f>
        <v>38368</v>
      </c>
      <c r="E333" s="289">
        <f>+K0kommunestruktur2021!E333</f>
        <v>2219</v>
      </c>
      <c r="F333" s="289">
        <f>+K0kommunestruktur2021!F333</f>
        <v>42072</v>
      </c>
      <c r="G333" s="289">
        <f>+K0kommunestruktur2021!G333</f>
        <v>2230</v>
      </c>
      <c r="H333" s="289">
        <f>+K0kommunestruktur2021!H333</f>
        <v>46921</v>
      </c>
      <c r="I333" s="289">
        <f>+K0kommunestruktur2021!I333</f>
        <v>2220</v>
      </c>
      <c r="J333" s="289">
        <f>+K0kommunestruktur2021!J333</f>
        <v>51862</v>
      </c>
      <c r="K333" s="289">
        <f>+K0kommunestruktur2021!K333</f>
        <v>2226</v>
      </c>
      <c r="L333" s="289">
        <f>+K0kommunestruktur2021!L333</f>
        <v>52604</v>
      </c>
      <c r="M333" s="289">
        <f>+K0kommunestruktur2021!M333</f>
        <v>2183</v>
      </c>
      <c r="N333" s="289">
        <f>+K0kommunestruktur2021!N333</f>
        <v>56979</v>
      </c>
      <c r="O333" s="289">
        <f>+K0kommunestruktur2021!O333</f>
        <v>2146</v>
      </c>
      <c r="P333" s="289">
        <f>+K0kommunestruktur2021!P333</f>
        <v>56569</v>
      </c>
      <c r="Q333" s="289">
        <f>+K0kommunestruktur2021!Q333</f>
        <v>2089</v>
      </c>
      <c r="R333" s="289">
        <f>+K0kommunestruktur2021!R333</f>
        <v>55380.934000000001</v>
      </c>
      <c r="S333" s="289">
        <f>VLOOKUP(A333,'K22'!A333:CU688,3)</f>
        <v>2087</v>
      </c>
      <c r="T333" s="289">
        <f>VLOOKUP(A333,'K22'!$A$4:$BV$359,26)</f>
        <v>65430.127637025958</v>
      </c>
      <c r="U333" s="289">
        <f>VLOOKUP(A333,'Bef.fremskr. kommunenivå MMMM'!$A$5:$K$360,8)</f>
        <v>2113</v>
      </c>
      <c r="V333" s="289">
        <f>VLOOKUP(A333,'K23'!$A$4:$BV$359,26)</f>
        <v>61608.257518784711</v>
      </c>
    </row>
    <row r="334" spans="1:22" ht="13">
      <c r="A334" s="755">
        <v>5418</v>
      </c>
      <c r="B334" s="756" t="s">
        <v>226</v>
      </c>
      <c r="C334" s="289">
        <f>+K0kommunestruktur2021!C334</f>
        <v>6634</v>
      </c>
      <c r="D334" s="289">
        <f>+K0kommunestruktur2021!D334</f>
        <v>149063</v>
      </c>
      <c r="E334" s="289">
        <f>+K0kommunestruktur2021!E334</f>
        <v>6693</v>
      </c>
      <c r="F334" s="289">
        <f>+K0kommunestruktur2021!F334</f>
        <v>166088</v>
      </c>
      <c r="G334" s="289">
        <f>+K0kommunestruktur2021!G334</f>
        <v>6741</v>
      </c>
      <c r="H334" s="289">
        <f>+K0kommunestruktur2021!H334</f>
        <v>179331</v>
      </c>
      <c r="I334" s="289">
        <f>+K0kommunestruktur2021!I334</f>
        <v>6781</v>
      </c>
      <c r="J334" s="289">
        <f>+K0kommunestruktur2021!J334</f>
        <v>187236</v>
      </c>
      <c r="K334" s="289">
        <f>+K0kommunestruktur2021!K334</f>
        <v>6798</v>
      </c>
      <c r="L334" s="289">
        <f>+K0kommunestruktur2021!L334</f>
        <v>184693</v>
      </c>
      <c r="M334" s="289">
        <f>+K0kommunestruktur2021!M334</f>
        <v>6805</v>
      </c>
      <c r="N334" s="289">
        <f>+K0kommunestruktur2021!N334</f>
        <v>195569</v>
      </c>
      <c r="O334" s="289">
        <f>+K0kommunestruktur2021!O334</f>
        <v>6640</v>
      </c>
      <c r="P334" s="289">
        <f>+K0kommunestruktur2021!P334</f>
        <v>189438</v>
      </c>
      <c r="Q334" s="289">
        <f>+K0kommunestruktur2021!Q334</f>
        <v>6609</v>
      </c>
      <c r="R334" s="289">
        <f>+K0kommunestruktur2021!R334</f>
        <v>207409.057</v>
      </c>
      <c r="S334" s="289">
        <f>VLOOKUP(A334,'K22'!A334:CU689,3)</f>
        <v>6599</v>
      </c>
      <c r="T334" s="289">
        <f>VLOOKUP(A334,'K22'!$A$4:$BV$359,26)</f>
        <v>229214.1937602642</v>
      </c>
      <c r="U334" s="289">
        <f>VLOOKUP(A334,'Bef.fremskr. kommunenivå MMMM'!$A$5:$K$360,8)</f>
        <v>6692</v>
      </c>
      <c r="V334" s="289">
        <f>VLOOKUP(A334,'K23'!$A$4:$BV$359,26)</f>
        <v>218011.35604089085</v>
      </c>
    </row>
    <row r="335" spans="1:22" ht="13">
      <c r="A335" s="755">
        <v>5419</v>
      </c>
      <c r="B335" s="756" t="s">
        <v>227</v>
      </c>
      <c r="C335" s="289">
        <f>+K0kommunestruktur2021!C335</f>
        <v>3450</v>
      </c>
      <c r="D335" s="289">
        <f>+K0kommunestruktur2021!D335</f>
        <v>68185</v>
      </c>
      <c r="E335" s="289">
        <f>+K0kommunestruktur2021!E335</f>
        <v>3451</v>
      </c>
      <c r="F335" s="289">
        <f>+K0kommunestruktur2021!F335</f>
        <v>73491</v>
      </c>
      <c r="G335" s="289">
        <f>+K0kommunestruktur2021!G335</f>
        <v>3452</v>
      </c>
      <c r="H335" s="289">
        <f>+K0kommunestruktur2021!H335</f>
        <v>81156</v>
      </c>
      <c r="I335" s="289">
        <f>+K0kommunestruktur2021!I335</f>
        <v>3496</v>
      </c>
      <c r="J335" s="289">
        <f>+K0kommunestruktur2021!J335</f>
        <v>83904</v>
      </c>
      <c r="K335" s="289">
        <f>+K0kommunestruktur2021!K335</f>
        <v>3494</v>
      </c>
      <c r="L335" s="289">
        <f>+K0kommunestruktur2021!L335</f>
        <v>86393</v>
      </c>
      <c r="M335" s="289">
        <f>+K0kommunestruktur2021!M335</f>
        <v>3489</v>
      </c>
      <c r="N335" s="289">
        <f>+K0kommunestruktur2021!N335</f>
        <v>90759</v>
      </c>
      <c r="O335" s="289">
        <f>+K0kommunestruktur2021!O335</f>
        <v>3464</v>
      </c>
      <c r="P335" s="289">
        <f>+K0kommunestruktur2021!P335</f>
        <v>88223</v>
      </c>
      <c r="Q335" s="289">
        <f>+K0kommunestruktur2021!Q335</f>
        <v>3465</v>
      </c>
      <c r="R335" s="289">
        <f>+K0kommunestruktur2021!R335</f>
        <v>101330.74</v>
      </c>
      <c r="S335" s="289">
        <f>VLOOKUP(A335,'K22'!A335:CU690,3)</f>
        <v>3414</v>
      </c>
      <c r="T335" s="289">
        <f>VLOOKUP(A335,'K22'!$A$4:$BV$359,26)</f>
        <v>109071.80812050533</v>
      </c>
      <c r="U335" s="289">
        <f>VLOOKUP(A335,'Bef.fremskr. kommunenivå MMMM'!$A$5:$K$360,8)</f>
        <v>3424</v>
      </c>
      <c r="V335" s="289">
        <f>VLOOKUP(A335,'K23'!$A$4:$BV$359,26)</f>
        <v>101676.13617586107</v>
      </c>
    </row>
    <row r="336" spans="1:22" ht="13">
      <c r="A336" s="755">
        <v>5420</v>
      </c>
      <c r="B336" s="756" t="s">
        <v>228</v>
      </c>
      <c r="C336" s="289">
        <f>+K0kommunestruktur2021!C336</f>
        <v>1171</v>
      </c>
      <c r="D336" s="289">
        <f>+K0kommunestruktur2021!D336</f>
        <v>20896</v>
      </c>
      <c r="E336" s="289">
        <f>+K0kommunestruktur2021!E336</f>
        <v>1154</v>
      </c>
      <c r="F336" s="289">
        <f>+K0kommunestruktur2021!F336</f>
        <v>21773</v>
      </c>
      <c r="G336" s="289">
        <f>+K0kommunestruktur2021!G336</f>
        <v>1158</v>
      </c>
      <c r="H336" s="289">
        <f>+K0kommunestruktur2021!H336</f>
        <v>22702</v>
      </c>
      <c r="I336" s="289">
        <f>+K0kommunestruktur2021!I336</f>
        <v>1138</v>
      </c>
      <c r="J336" s="289">
        <f>+K0kommunestruktur2021!J336</f>
        <v>23986</v>
      </c>
      <c r="K336" s="289">
        <f>+K0kommunestruktur2021!K336</f>
        <v>1165</v>
      </c>
      <c r="L336" s="289">
        <f>+K0kommunestruktur2021!L336</f>
        <v>25457</v>
      </c>
      <c r="M336" s="289">
        <f>+K0kommunestruktur2021!M336</f>
        <v>1129</v>
      </c>
      <c r="N336" s="289">
        <f>+K0kommunestruktur2021!N336</f>
        <v>25128</v>
      </c>
      <c r="O336" s="289">
        <f>+K0kommunestruktur2021!O336</f>
        <v>1083</v>
      </c>
      <c r="P336" s="289">
        <f>+K0kommunestruktur2021!P336</f>
        <v>24841</v>
      </c>
      <c r="Q336" s="289">
        <f>+K0kommunestruktur2021!Q336</f>
        <v>1063</v>
      </c>
      <c r="R336" s="289">
        <f>+K0kommunestruktur2021!R336</f>
        <v>28130.851999999999</v>
      </c>
      <c r="S336" s="289">
        <f>VLOOKUP(A336,'K22'!A336:CU691,3)</f>
        <v>1068</v>
      </c>
      <c r="T336" s="289">
        <f>VLOOKUP(A336,'K22'!$A$4:$BV$359,26)</f>
        <v>29860.920484060669</v>
      </c>
      <c r="U336" s="289">
        <f>VLOOKUP(A336,'Bef.fremskr. kommunenivå MMMM'!$A$5:$K$360,8)</f>
        <v>1073</v>
      </c>
      <c r="V336" s="289">
        <f>VLOOKUP(A336,'K23'!$A$4:$BV$359,26)</f>
        <v>28260.345588817461</v>
      </c>
    </row>
    <row r="337" spans="1:22" ht="13">
      <c r="A337" s="755">
        <v>5421</v>
      </c>
      <c r="B337" s="756" t="s">
        <v>1650</v>
      </c>
      <c r="C337" s="289">
        <f>+K0kommunestruktur2021!C337</f>
        <v>14863</v>
      </c>
      <c r="D337" s="289">
        <f>+K0kommunestruktur2021!D337</f>
        <v>285329</v>
      </c>
      <c r="E337" s="289">
        <f>+K0kommunestruktur2021!E337</f>
        <v>14868</v>
      </c>
      <c r="F337" s="289">
        <f>+K0kommunestruktur2021!F337</f>
        <v>308178</v>
      </c>
      <c r="G337" s="289">
        <f>+K0kommunestruktur2021!G337</f>
        <v>14989</v>
      </c>
      <c r="H337" s="289">
        <f>+K0kommunestruktur2021!H337</f>
        <v>344771</v>
      </c>
      <c r="I337" s="289">
        <f>+K0kommunestruktur2021!I337</f>
        <v>15072</v>
      </c>
      <c r="J337" s="289">
        <f>+K0kommunestruktur2021!J337</f>
        <v>365421</v>
      </c>
      <c r="K337" s="289">
        <f>+K0kommunestruktur2021!K337</f>
        <v>15025</v>
      </c>
      <c r="L337" s="289">
        <f>+K0kommunestruktur2021!L337</f>
        <v>372209</v>
      </c>
      <c r="M337" s="289">
        <f>+K0kommunestruktur2021!M337</f>
        <v>15011</v>
      </c>
      <c r="N337" s="289">
        <f>+K0kommunestruktur2021!N337</f>
        <v>392512</v>
      </c>
      <c r="O337" s="289">
        <f>+K0kommunestruktur2021!O337</f>
        <v>14851</v>
      </c>
      <c r="P337" s="289">
        <f>+K0kommunestruktur2021!P337</f>
        <v>376058</v>
      </c>
      <c r="Q337" s="289">
        <f>+K0kommunestruktur2021!Q337</f>
        <v>14725</v>
      </c>
      <c r="R337" s="289">
        <f>+K0kommunestruktur2021!R337</f>
        <v>449655.02600000001</v>
      </c>
      <c r="S337" s="289">
        <f>VLOOKUP(A337,'K22'!A337:CU692,3)</f>
        <v>14738</v>
      </c>
      <c r="T337" s="289">
        <f>VLOOKUP(A337,'K22'!$A$4:$BV$359,26)</f>
        <v>491204.83845638845</v>
      </c>
      <c r="U337" s="289">
        <f>VLOOKUP(A337,'Bef.fremskr. kommunenivå MMMM'!$A$5:$K$360,8)</f>
        <v>14789</v>
      </c>
      <c r="V337" s="289">
        <f>VLOOKUP(A337,'K23'!$A$4:$BV$359,26)</f>
        <v>445482.93222824129</v>
      </c>
    </row>
    <row r="338" spans="1:22" ht="13">
      <c r="A338" s="755">
        <v>5422</v>
      </c>
      <c r="B338" s="756" t="s">
        <v>233</v>
      </c>
      <c r="C338" s="289">
        <f>+K0kommunestruktur2021!C338</f>
        <v>5593</v>
      </c>
      <c r="D338" s="289">
        <f>+K0kommunestruktur2021!D338</f>
        <v>99418</v>
      </c>
      <c r="E338" s="289">
        <f>+K0kommunestruktur2021!E338</f>
        <v>5720</v>
      </c>
      <c r="F338" s="289">
        <f>+K0kommunestruktur2021!F338</f>
        <v>108717</v>
      </c>
      <c r="G338" s="289">
        <f>+K0kommunestruktur2021!G338</f>
        <v>5701</v>
      </c>
      <c r="H338" s="289">
        <f>+K0kommunestruktur2021!H338</f>
        <v>117146</v>
      </c>
      <c r="I338" s="289">
        <f>+K0kommunestruktur2021!I338</f>
        <v>5685</v>
      </c>
      <c r="J338" s="289">
        <f>+K0kommunestruktur2021!J338</f>
        <v>120376</v>
      </c>
      <c r="K338" s="289">
        <f>+K0kommunestruktur2021!K338</f>
        <v>5653</v>
      </c>
      <c r="L338" s="289">
        <f>+K0kommunestruktur2021!L338</f>
        <v>123856</v>
      </c>
      <c r="M338" s="289">
        <f>+K0kommunestruktur2021!M338</f>
        <v>5625</v>
      </c>
      <c r="N338" s="289">
        <f>+K0kommunestruktur2021!N338</f>
        <v>127282</v>
      </c>
      <c r="O338" s="289">
        <f>+K0kommunestruktur2021!O338</f>
        <v>5559</v>
      </c>
      <c r="P338" s="289">
        <f>+K0kommunestruktur2021!P338</f>
        <v>127465</v>
      </c>
      <c r="Q338" s="289">
        <f>+K0kommunestruktur2021!Q338</f>
        <v>5559</v>
      </c>
      <c r="R338" s="289">
        <f>+K0kommunestruktur2021!R338</f>
        <v>148285.033</v>
      </c>
      <c r="S338" s="289">
        <f>VLOOKUP(A338,'K22'!A338:CU693,3)</f>
        <v>5576</v>
      </c>
      <c r="T338" s="289">
        <f>VLOOKUP(A338,'K22'!$A$4:$BV$359,26)</f>
        <v>157646.55800312097</v>
      </c>
      <c r="U338" s="289">
        <f>VLOOKUP(A338,'Bef.fremskr. kommunenivå MMMM'!$A$5:$K$360,8)</f>
        <v>5594</v>
      </c>
      <c r="V338" s="289">
        <f>VLOOKUP(A338,'K23'!$A$4:$BV$359,26)</f>
        <v>148508.14749622811</v>
      </c>
    </row>
    <row r="339" spans="1:22" ht="13">
      <c r="A339" s="755">
        <v>5423</v>
      </c>
      <c r="B339" s="756" t="s">
        <v>234</v>
      </c>
      <c r="C339" s="289">
        <f>+K0kommunestruktur2021!C339</f>
        <v>2334</v>
      </c>
      <c r="D339" s="289">
        <f>+K0kommunestruktur2021!D339</f>
        <v>41906</v>
      </c>
      <c r="E339" s="289">
        <f>+K0kommunestruktur2021!E339</f>
        <v>2289</v>
      </c>
      <c r="F339" s="289">
        <f>+K0kommunestruktur2021!F339</f>
        <v>46139</v>
      </c>
      <c r="G339" s="289">
        <f>+K0kommunestruktur2021!G339</f>
        <v>2282</v>
      </c>
      <c r="H339" s="289">
        <f>+K0kommunestruktur2021!H339</f>
        <v>49979</v>
      </c>
      <c r="I339" s="289">
        <f>+K0kommunestruktur2021!I339</f>
        <v>2273</v>
      </c>
      <c r="J339" s="289">
        <f>+K0kommunestruktur2021!J339</f>
        <v>53340</v>
      </c>
      <c r="K339" s="289">
        <f>+K0kommunestruktur2021!K339</f>
        <v>2263</v>
      </c>
      <c r="L339" s="289">
        <f>+K0kommunestruktur2021!L339</f>
        <v>57505</v>
      </c>
      <c r="M339" s="289">
        <f>+K0kommunestruktur2021!M339</f>
        <v>2252</v>
      </c>
      <c r="N339" s="289">
        <f>+K0kommunestruktur2021!N339</f>
        <v>59153</v>
      </c>
      <c r="O339" s="289">
        <f>+K0kommunestruktur2021!O339</f>
        <v>2200</v>
      </c>
      <c r="P339" s="289">
        <f>+K0kommunestruktur2021!P339</f>
        <v>56633</v>
      </c>
      <c r="Q339" s="289">
        <f>+K0kommunestruktur2021!Q339</f>
        <v>2172</v>
      </c>
      <c r="R339" s="289">
        <f>+K0kommunestruktur2021!R339</f>
        <v>63205.745999999999</v>
      </c>
      <c r="S339" s="289">
        <f>VLOOKUP(A339,'K22'!A339:CU694,3)</f>
        <v>2179</v>
      </c>
      <c r="T339" s="289">
        <f>VLOOKUP(A339,'K22'!$A$4:$BV$359,26)</f>
        <v>70818.562017647782</v>
      </c>
      <c r="U339" s="289">
        <f>VLOOKUP(A339,'Bef.fremskr. kommunenivå MMMM'!$A$5:$K$360,8)</f>
        <v>2234</v>
      </c>
      <c r="V339" s="289">
        <f>VLOOKUP(A339,'K23'!$A$4:$BV$359,26)</f>
        <v>66686.017947705244</v>
      </c>
    </row>
    <row r="340" spans="1:22" ht="13">
      <c r="A340" s="755">
        <v>5424</v>
      </c>
      <c r="B340" s="756" t="s">
        <v>235</v>
      </c>
      <c r="C340" s="289">
        <f>+K0kommunestruktur2021!C340</f>
        <v>2992</v>
      </c>
      <c r="D340" s="289">
        <f>+K0kommunestruktur2021!D340</f>
        <v>53448</v>
      </c>
      <c r="E340" s="289">
        <f>+K0kommunestruktur2021!E340</f>
        <v>2922</v>
      </c>
      <c r="F340" s="289">
        <f>+K0kommunestruktur2021!F340</f>
        <v>56189</v>
      </c>
      <c r="G340" s="289">
        <f>+K0kommunestruktur2021!G340</f>
        <v>2861</v>
      </c>
      <c r="H340" s="289">
        <f>+K0kommunestruktur2021!H340</f>
        <v>61736</v>
      </c>
      <c r="I340" s="289">
        <f>+K0kommunestruktur2021!I340</f>
        <v>2876</v>
      </c>
      <c r="J340" s="289">
        <f>+K0kommunestruktur2021!J340</f>
        <v>63968</v>
      </c>
      <c r="K340" s="289">
        <f>+K0kommunestruktur2021!K340</f>
        <v>2877</v>
      </c>
      <c r="L340" s="289">
        <f>+K0kommunestruktur2021!L340</f>
        <v>64289</v>
      </c>
      <c r="M340" s="289">
        <f>+K0kommunestruktur2021!M340</f>
        <v>2847</v>
      </c>
      <c r="N340" s="289">
        <f>+K0kommunestruktur2021!N340</f>
        <v>65153</v>
      </c>
      <c r="O340" s="289">
        <f>+K0kommunestruktur2021!O340</f>
        <v>2794</v>
      </c>
      <c r="P340" s="289">
        <f>+K0kommunestruktur2021!P340</f>
        <v>63654</v>
      </c>
      <c r="Q340" s="289">
        <f>+K0kommunestruktur2021!Q340</f>
        <v>2773</v>
      </c>
      <c r="R340" s="289">
        <f>+K0kommunestruktur2021!R340</f>
        <v>73805.577999999994</v>
      </c>
      <c r="S340" s="289">
        <f>VLOOKUP(A340,'K22'!A340:CU695,3)</f>
        <v>2729</v>
      </c>
      <c r="T340" s="289">
        <f>VLOOKUP(A340,'K22'!$A$4:$BV$359,26)</f>
        <v>77460.342752569748</v>
      </c>
      <c r="U340" s="289">
        <f>VLOOKUP(A340,'Bef.fremskr. kommunenivå MMMM'!$A$5:$K$360,8)</f>
        <v>2716</v>
      </c>
      <c r="V340" s="289">
        <f>VLOOKUP(A340,'K23'!$A$4:$BV$359,26)</f>
        <v>72162.000048013331</v>
      </c>
    </row>
    <row r="341" spans="1:22" ht="13">
      <c r="A341" s="755">
        <v>5425</v>
      </c>
      <c r="B341" s="756" t="s">
        <v>236</v>
      </c>
      <c r="C341" s="289">
        <f>+K0kommunestruktur2021!C341</f>
        <v>1941</v>
      </c>
      <c r="D341" s="289">
        <f>+K0kommunestruktur2021!D341</f>
        <v>38933</v>
      </c>
      <c r="E341" s="289">
        <f>+K0kommunestruktur2021!E341</f>
        <v>1898</v>
      </c>
      <c r="F341" s="289">
        <f>+K0kommunestruktur2021!F341</f>
        <v>45189</v>
      </c>
      <c r="G341" s="289">
        <f>+K0kommunestruktur2021!G341</f>
        <v>1865</v>
      </c>
      <c r="H341" s="289">
        <f>+K0kommunestruktur2021!H341</f>
        <v>43833</v>
      </c>
      <c r="I341" s="289">
        <f>+K0kommunestruktur2021!I341</f>
        <v>1890</v>
      </c>
      <c r="J341" s="289">
        <f>+K0kommunestruktur2021!J341</f>
        <v>47106</v>
      </c>
      <c r="K341" s="289">
        <f>+K0kommunestruktur2021!K341</f>
        <v>1856</v>
      </c>
      <c r="L341" s="289">
        <f>+K0kommunestruktur2021!L341</f>
        <v>51883</v>
      </c>
      <c r="M341" s="289">
        <f>+K0kommunestruktur2021!M341</f>
        <v>1841</v>
      </c>
      <c r="N341" s="289">
        <f>+K0kommunestruktur2021!N341</f>
        <v>50896</v>
      </c>
      <c r="O341" s="289">
        <f>+K0kommunestruktur2021!O341</f>
        <v>1829</v>
      </c>
      <c r="P341" s="289">
        <f>+K0kommunestruktur2021!P341</f>
        <v>53772</v>
      </c>
      <c r="Q341" s="289">
        <f>+K0kommunestruktur2021!Q341</f>
        <v>1831</v>
      </c>
      <c r="R341" s="289">
        <f>+K0kommunestruktur2021!R341</f>
        <v>53784.925999999999</v>
      </c>
      <c r="S341" s="289">
        <f>VLOOKUP(A341,'K22'!A341:CU696,3)</f>
        <v>1836</v>
      </c>
      <c r="T341" s="289">
        <f>VLOOKUP(A341,'K22'!$A$4:$BV$359,26)</f>
        <v>60674.772629522413</v>
      </c>
      <c r="U341" s="289">
        <f>VLOOKUP(A341,'Bef.fremskr. kommunenivå MMMM'!$A$5:$K$360,8)</f>
        <v>1858</v>
      </c>
      <c r="V341" s="289">
        <f>VLOOKUP(A341,'K23'!$A$4:$BV$359,26)</f>
        <v>58715.288809939935</v>
      </c>
    </row>
    <row r="342" spans="1:22" ht="13">
      <c r="A342" s="755">
        <v>5426</v>
      </c>
      <c r="B342" s="756" t="s">
        <v>237</v>
      </c>
      <c r="C342" s="289">
        <f>+K0kommunestruktur2021!C342</f>
        <v>2221</v>
      </c>
      <c r="D342" s="289">
        <f>+K0kommunestruktur2021!D342</f>
        <v>39815</v>
      </c>
      <c r="E342" s="289">
        <f>+K0kommunestruktur2021!E342</f>
        <v>2182</v>
      </c>
      <c r="F342" s="289">
        <f>+K0kommunestruktur2021!F342</f>
        <v>43608</v>
      </c>
      <c r="G342" s="289">
        <f>+K0kommunestruktur2021!G342</f>
        <v>2150</v>
      </c>
      <c r="H342" s="289">
        <f>+K0kommunestruktur2021!H342</f>
        <v>44224</v>
      </c>
      <c r="I342" s="289">
        <f>+K0kommunestruktur2021!I342</f>
        <v>2132</v>
      </c>
      <c r="J342" s="289">
        <f>+K0kommunestruktur2021!J342</f>
        <v>48957</v>
      </c>
      <c r="K342" s="289">
        <f>+K0kommunestruktur2021!K342</f>
        <v>2132</v>
      </c>
      <c r="L342" s="289">
        <f>+K0kommunestruktur2021!L342</f>
        <v>51110</v>
      </c>
      <c r="M342" s="289">
        <f>+K0kommunestruktur2021!M342</f>
        <v>2097</v>
      </c>
      <c r="N342" s="289">
        <f>+K0kommunestruktur2021!N342</f>
        <v>51415</v>
      </c>
      <c r="O342" s="289">
        <f>+K0kommunestruktur2021!O342</f>
        <v>2071</v>
      </c>
      <c r="P342" s="289">
        <f>+K0kommunestruktur2021!P342</f>
        <v>46178</v>
      </c>
      <c r="Q342" s="289">
        <f>+K0kommunestruktur2021!Q342</f>
        <v>2072</v>
      </c>
      <c r="R342" s="289">
        <f>+K0kommunestruktur2021!R342</f>
        <v>50359.462</v>
      </c>
      <c r="S342" s="289">
        <f>VLOOKUP(A342,'K22'!A342:CU697,3)</f>
        <v>2012</v>
      </c>
      <c r="T342" s="289">
        <f>VLOOKUP(A342,'K22'!$A$4:$BV$359,26)</f>
        <v>54744.795631448607</v>
      </c>
      <c r="U342" s="289">
        <f>VLOOKUP(A342,'Bef.fremskr. kommunenivå MMMM'!$A$5:$K$360,8)</f>
        <v>1991</v>
      </c>
      <c r="V342" s="289">
        <f>VLOOKUP(A342,'K23'!$A$4:$BV$359,26)</f>
        <v>52014.350170838014</v>
      </c>
    </row>
    <row r="343" spans="1:22" ht="13">
      <c r="A343" s="755">
        <v>5427</v>
      </c>
      <c r="B343" s="756" t="s">
        <v>238</v>
      </c>
      <c r="C343" s="289">
        <f>+K0kommunestruktur2021!C343</f>
        <v>2881</v>
      </c>
      <c r="D343" s="289">
        <f>+K0kommunestruktur2021!D343</f>
        <v>49091</v>
      </c>
      <c r="E343" s="289">
        <f>+K0kommunestruktur2021!E343</f>
        <v>2895</v>
      </c>
      <c r="F343" s="289">
        <f>+K0kommunestruktur2021!F343</f>
        <v>53859</v>
      </c>
      <c r="G343" s="289">
        <f>+K0kommunestruktur2021!G343</f>
        <v>2920</v>
      </c>
      <c r="H343" s="289">
        <f>+K0kommunestruktur2021!H343</f>
        <v>62594</v>
      </c>
      <c r="I343" s="289">
        <f>+K0kommunestruktur2021!I343</f>
        <v>2912</v>
      </c>
      <c r="J343" s="289">
        <f>+K0kommunestruktur2021!J343</f>
        <v>64296</v>
      </c>
      <c r="K343" s="289">
        <f>+K0kommunestruktur2021!K343</f>
        <v>2925</v>
      </c>
      <c r="L343" s="289">
        <f>+K0kommunestruktur2021!L343</f>
        <v>69371</v>
      </c>
      <c r="M343" s="289">
        <f>+K0kommunestruktur2021!M343</f>
        <v>2917</v>
      </c>
      <c r="N343" s="289">
        <f>+K0kommunestruktur2021!N343</f>
        <v>71052</v>
      </c>
      <c r="O343" s="289">
        <f>+K0kommunestruktur2021!O343</f>
        <v>2927</v>
      </c>
      <c r="P343" s="289">
        <f>+K0kommunestruktur2021!P343</f>
        <v>73085</v>
      </c>
      <c r="Q343" s="289">
        <f>+K0kommunestruktur2021!Q343</f>
        <v>2893</v>
      </c>
      <c r="R343" s="289">
        <f>+K0kommunestruktur2021!R343</f>
        <v>80576.759999999995</v>
      </c>
      <c r="S343" s="289">
        <f>VLOOKUP(A343,'K22'!A343:CU698,3)</f>
        <v>2804</v>
      </c>
      <c r="T343" s="289">
        <f>VLOOKUP(A343,'K22'!$A$4:$BV$359,26)</f>
        <v>84461.767718893505</v>
      </c>
      <c r="U343" s="289">
        <f>VLOOKUP(A343,'Bef.fremskr. kommunenivå MMMM'!$A$5:$K$360,8)</f>
        <v>2796</v>
      </c>
      <c r="V343" s="289">
        <f>VLOOKUP(A343,'K23'!$A$4:$BV$359,26)</f>
        <v>79404.206787512376</v>
      </c>
    </row>
    <row r="344" spans="1:22" ht="13">
      <c r="A344" s="755">
        <v>5428</v>
      </c>
      <c r="B344" s="756" t="s">
        <v>239</v>
      </c>
      <c r="C344" s="289">
        <f>+K0kommunestruktur2021!C344</f>
        <v>4854</v>
      </c>
      <c r="D344" s="289">
        <f>+K0kommunestruktur2021!D344</f>
        <v>86034</v>
      </c>
      <c r="E344" s="289">
        <f>+K0kommunestruktur2021!E344</f>
        <v>4882</v>
      </c>
      <c r="F344" s="289">
        <f>+K0kommunestruktur2021!F344</f>
        <v>93075</v>
      </c>
      <c r="G344" s="289">
        <f>+K0kommunestruktur2021!G344</f>
        <v>4895</v>
      </c>
      <c r="H344" s="289">
        <f>+K0kommunestruktur2021!H344</f>
        <v>104420</v>
      </c>
      <c r="I344" s="289">
        <f>+K0kommunestruktur2021!I344</f>
        <v>4919</v>
      </c>
      <c r="J344" s="289">
        <f>+K0kommunestruktur2021!J344</f>
        <v>109786</v>
      </c>
      <c r="K344" s="289">
        <f>+K0kommunestruktur2021!K344</f>
        <v>4944</v>
      </c>
      <c r="L344" s="289">
        <f>+K0kommunestruktur2021!L344</f>
        <v>111919</v>
      </c>
      <c r="M344" s="289">
        <f>+K0kommunestruktur2021!M344</f>
        <v>4909</v>
      </c>
      <c r="N344" s="289">
        <f>+K0kommunestruktur2021!N344</f>
        <v>116546</v>
      </c>
      <c r="O344" s="289">
        <f>+K0kommunestruktur2021!O344</f>
        <v>4861</v>
      </c>
      <c r="P344" s="289">
        <f>+K0kommunestruktur2021!P344</f>
        <v>126293</v>
      </c>
      <c r="Q344" s="289">
        <f>+K0kommunestruktur2021!Q344</f>
        <v>4812</v>
      </c>
      <c r="R344" s="289">
        <f>+K0kommunestruktur2021!R344</f>
        <v>138136.47899999999</v>
      </c>
      <c r="S344" s="289">
        <f>VLOOKUP(A344,'K22'!A344:CU699,3)</f>
        <v>4746</v>
      </c>
      <c r="T344" s="289">
        <f>VLOOKUP(A344,'K22'!$A$4:$BV$359,26)</f>
        <v>145265.28797190075</v>
      </c>
      <c r="U344" s="289">
        <f>VLOOKUP(A344,'Bef.fremskr. kommunenivå MMMM'!$A$5:$K$360,8)</f>
        <v>4715</v>
      </c>
      <c r="V344" s="289">
        <f>VLOOKUP(A344,'K23'!$A$4:$BV$359,26)</f>
        <v>135980.69156481008</v>
      </c>
    </row>
    <row r="345" spans="1:22" ht="13">
      <c r="A345" s="755">
        <v>5429</v>
      </c>
      <c r="B345" s="756" t="s">
        <v>240</v>
      </c>
      <c r="C345" s="289">
        <f>+K0kommunestruktur2021!C345</f>
        <v>1234</v>
      </c>
      <c r="D345" s="289">
        <f>+K0kommunestruktur2021!D345</f>
        <v>21009</v>
      </c>
      <c r="E345" s="289">
        <f>+K0kommunestruktur2021!E345</f>
        <v>1226</v>
      </c>
      <c r="F345" s="289">
        <f>+K0kommunestruktur2021!F345</f>
        <v>27192</v>
      </c>
      <c r="G345" s="289">
        <f>+K0kommunestruktur2021!G345</f>
        <v>1231</v>
      </c>
      <c r="H345" s="289">
        <f>+K0kommunestruktur2021!H345</f>
        <v>30668</v>
      </c>
      <c r="I345" s="289">
        <f>+K0kommunestruktur2021!I345</f>
        <v>1233</v>
      </c>
      <c r="J345" s="289">
        <f>+K0kommunestruktur2021!J345</f>
        <v>30275</v>
      </c>
      <c r="K345" s="289">
        <f>+K0kommunestruktur2021!K345</f>
        <v>1224</v>
      </c>
      <c r="L345" s="289">
        <f>+K0kommunestruktur2021!L345</f>
        <v>32637</v>
      </c>
      <c r="M345" s="289">
        <f>+K0kommunestruktur2021!M345</f>
        <v>1202</v>
      </c>
      <c r="N345" s="289">
        <f>+K0kommunestruktur2021!N345</f>
        <v>32765</v>
      </c>
      <c r="O345" s="289">
        <f>+K0kommunestruktur2021!O345</f>
        <v>1191</v>
      </c>
      <c r="P345" s="289">
        <f>+K0kommunestruktur2021!P345</f>
        <v>30284</v>
      </c>
      <c r="Q345" s="289">
        <f>+K0kommunestruktur2021!Q345</f>
        <v>1166</v>
      </c>
      <c r="R345" s="289">
        <f>+K0kommunestruktur2021!R345</f>
        <v>33890.608</v>
      </c>
      <c r="S345" s="289">
        <f>VLOOKUP(A345,'K22'!A345:CU700,3)</f>
        <v>1159</v>
      </c>
      <c r="T345" s="289">
        <f>VLOOKUP(A345,'K22'!$A$4:$BV$359,26)</f>
        <v>36175.428724240068</v>
      </c>
      <c r="U345" s="289">
        <f>VLOOKUP(A345,'Bef.fremskr. kommunenivå MMMM'!$A$5:$K$360,8)</f>
        <v>1162</v>
      </c>
      <c r="V345" s="289">
        <f>VLOOKUP(A345,'K23'!$A$4:$BV$359,26)</f>
        <v>34737.151585310567</v>
      </c>
    </row>
    <row r="346" spans="1:22" ht="13">
      <c r="A346" s="755">
        <v>5430</v>
      </c>
      <c r="B346" s="756" t="s">
        <v>244</v>
      </c>
      <c r="C346" s="289">
        <f>+K0kommunestruktur2021!C346</f>
        <v>2931</v>
      </c>
      <c r="D346" s="289">
        <f>+K0kommunestruktur2021!D346</f>
        <v>43023</v>
      </c>
      <c r="E346" s="289">
        <f>+K0kommunestruktur2021!E346</f>
        <v>2914</v>
      </c>
      <c r="F346" s="289">
        <f>+K0kommunestruktur2021!F346</f>
        <v>46407</v>
      </c>
      <c r="G346" s="289">
        <f>+K0kommunestruktur2021!G346</f>
        <v>2956</v>
      </c>
      <c r="H346" s="289">
        <f>+K0kommunestruktur2021!H346</f>
        <v>49253</v>
      </c>
      <c r="I346" s="289">
        <f>+K0kommunestruktur2021!I346</f>
        <v>2938</v>
      </c>
      <c r="J346" s="289">
        <f>+K0kommunestruktur2021!J346</f>
        <v>51161</v>
      </c>
      <c r="K346" s="289">
        <f>+K0kommunestruktur2021!K346</f>
        <v>2946</v>
      </c>
      <c r="L346" s="289">
        <f>+K0kommunestruktur2021!L346</f>
        <v>56500</v>
      </c>
      <c r="M346" s="289">
        <f>+K0kommunestruktur2021!M346</f>
        <v>2924</v>
      </c>
      <c r="N346" s="289">
        <f>+K0kommunestruktur2021!N346</f>
        <v>57512</v>
      </c>
      <c r="O346" s="289">
        <f>+K0kommunestruktur2021!O346</f>
        <v>2910</v>
      </c>
      <c r="P346" s="289">
        <f>+K0kommunestruktur2021!P346</f>
        <v>55560</v>
      </c>
      <c r="Q346" s="289">
        <f>+K0kommunestruktur2021!Q346</f>
        <v>2920</v>
      </c>
      <c r="R346" s="289">
        <f>+K0kommunestruktur2021!R346</f>
        <v>64492.858999999997</v>
      </c>
      <c r="S346" s="289">
        <f>VLOOKUP(A346,'K22'!A346:CU701,3)</f>
        <v>2877</v>
      </c>
      <c r="T346" s="289">
        <f>VLOOKUP(A346,'K22'!$A$4:$BV$359,26)</f>
        <v>67116.029487415013</v>
      </c>
      <c r="U346" s="289">
        <f>VLOOKUP(A346,'Bef.fremskr. kommunenivå MMMM'!$A$5:$K$360,8)</f>
        <v>2851</v>
      </c>
      <c r="V346" s="289">
        <f>VLOOKUP(A346,'K23'!$A$4:$BV$359,26)</f>
        <v>63676.3815055382</v>
      </c>
    </row>
    <row r="347" spans="1:22" ht="13">
      <c r="A347" s="755">
        <v>5432</v>
      </c>
      <c r="B347" s="756" t="s">
        <v>246</v>
      </c>
      <c r="C347" s="289">
        <f>+K0kommunestruktur2021!C347</f>
        <v>1027</v>
      </c>
      <c r="D347" s="289">
        <f>+K0kommunestruktur2021!D347</f>
        <v>18345</v>
      </c>
      <c r="E347" s="289">
        <f>+K0kommunestruktur2021!E347</f>
        <v>989</v>
      </c>
      <c r="F347" s="289">
        <f>+K0kommunestruktur2021!F347</f>
        <v>19096</v>
      </c>
      <c r="G347" s="289">
        <f>+K0kommunestruktur2021!G347</f>
        <v>951</v>
      </c>
      <c r="H347" s="289">
        <f>+K0kommunestruktur2021!H347</f>
        <v>20080</v>
      </c>
      <c r="I347" s="289">
        <f>+K0kommunestruktur2021!I347</f>
        <v>968</v>
      </c>
      <c r="J347" s="289">
        <f>+K0kommunestruktur2021!J347</f>
        <v>22235</v>
      </c>
      <c r="K347" s="289">
        <f>+K0kommunestruktur2021!K347</f>
        <v>941</v>
      </c>
      <c r="L347" s="289">
        <f>+K0kommunestruktur2021!L347</f>
        <v>21026</v>
      </c>
      <c r="M347" s="289">
        <f>+K0kommunestruktur2021!M347</f>
        <v>917</v>
      </c>
      <c r="N347" s="289">
        <f>+K0kommunestruktur2021!N347</f>
        <v>20523</v>
      </c>
      <c r="O347" s="289">
        <f>+K0kommunestruktur2021!O347</f>
        <v>888</v>
      </c>
      <c r="P347" s="289">
        <f>+K0kommunestruktur2021!P347</f>
        <v>21128</v>
      </c>
      <c r="Q347" s="289">
        <f>+K0kommunestruktur2021!Q347</f>
        <v>860</v>
      </c>
      <c r="R347" s="289">
        <f>+K0kommunestruktur2021!R347</f>
        <v>24362.409</v>
      </c>
      <c r="S347" s="289">
        <f>VLOOKUP(A347,'K22'!A347:CU702,3)</f>
        <v>859</v>
      </c>
      <c r="T347" s="289">
        <f>VLOOKUP(A347,'K22'!$A$4:$BV$359,26)</f>
        <v>24704.050693506819</v>
      </c>
      <c r="U347" s="289">
        <f>VLOOKUP(A347,'Bef.fremskr. kommunenivå MMMM'!$A$5:$K$360,8)</f>
        <v>881</v>
      </c>
      <c r="V347" s="289">
        <f>VLOOKUP(A347,'K23'!$A$4:$BV$359,26)</f>
        <v>24090.291512742842</v>
      </c>
    </row>
    <row r="348" spans="1:22" ht="13">
      <c r="A348" s="755">
        <v>5433</v>
      </c>
      <c r="B348" s="756" t="s">
        <v>247</v>
      </c>
      <c r="C348" s="289">
        <f>+K0kommunestruktur2021!C348</f>
        <v>1037</v>
      </c>
      <c r="D348" s="289">
        <f>+K0kommunestruktur2021!D348</f>
        <v>16494</v>
      </c>
      <c r="E348" s="289">
        <f>+K0kommunestruktur2021!E348</f>
        <v>1041</v>
      </c>
      <c r="F348" s="289">
        <f>+K0kommunestruktur2021!F348</f>
        <v>19180</v>
      </c>
      <c r="G348" s="289">
        <f>+K0kommunestruktur2021!G348</f>
        <v>1054</v>
      </c>
      <c r="H348" s="289">
        <f>+K0kommunestruktur2021!H348</f>
        <v>20250</v>
      </c>
      <c r="I348" s="289">
        <f>+K0kommunestruktur2021!I348</f>
        <v>1037</v>
      </c>
      <c r="J348" s="289">
        <f>+K0kommunestruktur2021!J348</f>
        <v>21765</v>
      </c>
      <c r="K348" s="289">
        <f>+K0kommunestruktur2021!K348</f>
        <v>1022</v>
      </c>
      <c r="L348" s="289">
        <f>+K0kommunestruktur2021!L348</f>
        <v>22383</v>
      </c>
      <c r="M348" s="289">
        <f>+K0kommunestruktur2021!M348</f>
        <v>1045</v>
      </c>
      <c r="N348" s="289">
        <f>+K0kommunestruktur2021!N348</f>
        <v>23442</v>
      </c>
      <c r="O348" s="289">
        <f>+K0kommunestruktur2021!O348</f>
        <v>1005</v>
      </c>
      <c r="P348" s="289">
        <f>+K0kommunestruktur2021!P348</f>
        <v>22343</v>
      </c>
      <c r="Q348" s="289">
        <f>+K0kommunestruktur2021!Q348</f>
        <v>983</v>
      </c>
      <c r="R348" s="289">
        <f>+K0kommunestruktur2021!R348</f>
        <v>25210.484</v>
      </c>
      <c r="S348" s="289">
        <f>VLOOKUP(A348,'K22'!A348:CU703,3)</f>
        <v>964</v>
      </c>
      <c r="T348" s="289">
        <f>VLOOKUP(A348,'K22'!$A$4:$BV$359,26)</f>
        <v>26059.338399872588</v>
      </c>
      <c r="U348" s="289">
        <f>VLOOKUP(A348,'Bef.fremskr. kommunenivå MMMM'!$A$5:$K$360,8)</f>
        <v>971</v>
      </c>
      <c r="V348" s="289">
        <f>VLOOKUP(A348,'K23'!$A$4:$BV$359,26)</f>
        <v>25106.102235210157</v>
      </c>
    </row>
    <row r="349" spans="1:22" ht="13">
      <c r="A349" s="755">
        <v>5434</v>
      </c>
      <c r="B349" s="756" t="s">
        <v>249</v>
      </c>
      <c r="C349" s="289">
        <f>+K0kommunestruktur2021!C349</f>
        <v>1241</v>
      </c>
      <c r="D349" s="289">
        <f>+K0kommunestruktur2021!D349</f>
        <v>26699</v>
      </c>
      <c r="E349" s="289">
        <f>+K0kommunestruktur2021!E349</f>
        <v>1241</v>
      </c>
      <c r="F349" s="289">
        <f>+K0kommunestruktur2021!F349</f>
        <v>27733</v>
      </c>
      <c r="G349" s="289">
        <f>+K0kommunestruktur2021!G349</f>
        <v>1215</v>
      </c>
      <c r="H349" s="289">
        <f>+K0kommunestruktur2021!H349</f>
        <v>28417</v>
      </c>
      <c r="I349" s="289">
        <f>+K0kommunestruktur2021!I349</f>
        <v>1204</v>
      </c>
      <c r="J349" s="289">
        <f>+K0kommunestruktur2021!J349</f>
        <v>31575</v>
      </c>
      <c r="K349" s="289">
        <f>+K0kommunestruktur2021!K349</f>
        <v>1231</v>
      </c>
      <c r="L349" s="289">
        <f>+K0kommunestruktur2021!L349</f>
        <v>34428</v>
      </c>
      <c r="M349" s="289">
        <f>+K0kommunestruktur2021!M349</f>
        <v>1235</v>
      </c>
      <c r="N349" s="289">
        <f>+K0kommunestruktur2021!N349</f>
        <v>33282</v>
      </c>
      <c r="O349" s="289">
        <f>+K0kommunestruktur2021!O349</f>
        <v>1225</v>
      </c>
      <c r="P349" s="289">
        <f>+K0kommunestruktur2021!P349</f>
        <v>36764</v>
      </c>
      <c r="Q349" s="289">
        <f>+K0kommunestruktur2021!Q349</f>
        <v>1197</v>
      </c>
      <c r="R349" s="289">
        <f>+K0kommunestruktur2021!R349</f>
        <v>36886.972000000002</v>
      </c>
      <c r="S349" s="289">
        <f>VLOOKUP(A349,'K22'!A349:CU704,3)</f>
        <v>1162</v>
      </c>
      <c r="T349" s="289">
        <f>VLOOKUP(A349,'K22'!$A$4:$BV$359,26)</f>
        <v>39710.072180878939</v>
      </c>
      <c r="U349" s="289">
        <f>VLOOKUP(A349,'Bef.fremskr. kommunenivå MMMM'!$A$5:$K$360,8)</f>
        <v>1181</v>
      </c>
      <c r="V349" s="289">
        <f>VLOOKUP(A349,'K23'!$A$4:$BV$359,26)</f>
        <v>38202.970736034738</v>
      </c>
    </row>
    <row r="350" spans="1:22" ht="13">
      <c r="A350" s="755">
        <v>5435</v>
      </c>
      <c r="B350" s="756" t="s">
        <v>250</v>
      </c>
      <c r="C350" s="289">
        <f>+K0kommunestruktur2021!C350</f>
        <v>3213</v>
      </c>
      <c r="D350" s="289">
        <f>+K0kommunestruktur2021!D350</f>
        <v>65401</v>
      </c>
      <c r="E350" s="289">
        <f>+K0kommunestruktur2021!E350</f>
        <v>3278</v>
      </c>
      <c r="F350" s="289">
        <f>+K0kommunestruktur2021!F350</f>
        <v>72134</v>
      </c>
      <c r="G350" s="289">
        <f>+K0kommunestruktur2021!G350</f>
        <v>3276</v>
      </c>
      <c r="H350" s="289">
        <f>+K0kommunestruktur2021!H350</f>
        <v>77401</v>
      </c>
      <c r="I350" s="289">
        <f>+K0kommunestruktur2021!I350</f>
        <v>3291</v>
      </c>
      <c r="J350" s="289">
        <f>+K0kommunestruktur2021!J350</f>
        <v>83829</v>
      </c>
      <c r="K350" s="289">
        <f>+K0kommunestruktur2021!K350</f>
        <v>3239</v>
      </c>
      <c r="L350" s="289">
        <f>+K0kommunestruktur2021!L350</f>
        <v>87685</v>
      </c>
      <c r="M350" s="289">
        <f>+K0kommunestruktur2021!M350</f>
        <v>3218</v>
      </c>
      <c r="N350" s="289">
        <f>+K0kommunestruktur2021!N350</f>
        <v>88642</v>
      </c>
      <c r="O350" s="289">
        <f>+K0kommunestruktur2021!O350</f>
        <v>3162</v>
      </c>
      <c r="P350" s="289">
        <f>+K0kommunestruktur2021!P350</f>
        <v>84073</v>
      </c>
      <c r="Q350" s="289">
        <f>+K0kommunestruktur2021!Q350</f>
        <v>3075</v>
      </c>
      <c r="R350" s="289">
        <f>+K0kommunestruktur2021!R350</f>
        <v>93426.260999999999</v>
      </c>
      <c r="S350" s="289">
        <f>VLOOKUP(A350,'K22'!A350:CU705,3)</f>
        <v>2947</v>
      </c>
      <c r="T350" s="289">
        <f>VLOOKUP(A350,'K22'!$A$4:$BV$359,26)</f>
        <v>96555.435684288037</v>
      </c>
      <c r="U350" s="289">
        <f>VLOOKUP(A350,'Bef.fremskr. kommunenivå MMMM'!$A$5:$K$360,8)</f>
        <v>2920</v>
      </c>
      <c r="V350" s="289">
        <f>VLOOKUP(A350,'K23'!$A$4:$BV$359,26)</f>
        <v>90812.901561199455</v>
      </c>
    </row>
    <row r="351" spans="1:22" ht="13">
      <c r="A351" s="755">
        <v>5436</v>
      </c>
      <c r="B351" s="756" t="s">
        <v>251</v>
      </c>
      <c r="C351" s="289">
        <f>+K0kommunestruktur2021!C351</f>
        <v>3963</v>
      </c>
      <c r="D351" s="289">
        <f>+K0kommunestruktur2021!D351</f>
        <v>76473</v>
      </c>
      <c r="E351" s="289">
        <f>+K0kommunestruktur2021!E351</f>
        <v>3925</v>
      </c>
      <c r="F351" s="289">
        <f>+K0kommunestruktur2021!F351</f>
        <v>83751</v>
      </c>
      <c r="G351" s="289">
        <f>+K0kommunestruktur2021!G351</f>
        <v>3978</v>
      </c>
      <c r="H351" s="289">
        <f>+K0kommunestruktur2021!H351</f>
        <v>90906</v>
      </c>
      <c r="I351" s="289">
        <f>+K0kommunestruktur2021!I351</f>
        <v>3971</v>
      </c>
      <c r="J351" s="289">
        <f>+K0kommunestruktur2021!J351</f>
        <v>92125</v>
      </c>
      <c r="K351" s="289">
        <f>+K0kommunestruktur2021!K351</f>
        <v>3964</v>
      </c>
      <c r="L351" s="289">
        <f>+K0kommunestruktur2021!L351</f>
        <v>95910</v>
      </c>
      <c r="M351" s="289">
        <f>+K0kommunestruktur2021!M351</f>
        <v>3944</v>
      </c>
      <c r="N351" s="289">
        <f>+K0kommunestruktur2021!N351</f>
        <v>100811</v>
      </c>
      <c r="O351" s="289">
        <f>+K0kommunestruktur2021!O351</f>
        <v>3998</v>
      </c>
      <c r="P351" s="289">
        <f>+K0kommunestruktur2021!P351</f>
        <v>99679</v>
      </c>
      <c r="Q351" s="289">
        <f>+K0kommunestruktur2021!Q351</f>
        <v>3921</v>
      </c>
      <c r="R351" s="289">
        <f>+K0kommunestruktur2021!R351</f>
        <v>110655.83199999999</v>
      </c>
      <c r="S351" s="289">
        <f>VLOOKUP(A351,'K22'!A351:CU706,3)</f>
        <v>3904</v>
      </c>
      <c r="T351" s="289">
        <f>VLOOKUP(A351,'K22'!$A$4:$BV$359,26)</f>
        <v>119006.63293241114</v>
      </c>
      <c r="U351" s="289">
        <f>VLOOKUP(A351,'Bef.fremskr. kommunenivå MMMM'!$A$5:$K$360,8)</f>
        <v>3887</v>
      </c>
      <c r="V351" s="289">
        <f>VLOOKUP(A351,'K23'!$A$4:$BV$359,26)</f>
        <v>112604.82057229101</v>
      </c>
    </row>
    <row r="352" spans="1:22" ht="13">
      <c r="A352" s="755">
        <v>5437</v>
      </c>
      <c r="B352" s="756" t="s">
        <v>252</v>
      </c>
      <c r="C352" s="289">
        <f>+K0kommunestruktur2021!C352</f>
        <v>2698</v>
      </c>
      <c r="D352" s="289">
        <f>+K0kommunestruktur2021!D352</f>
        <v>45269</v>
      </c>
      <c r="E352" s="289">
        <f>+K0kommunestruktur2021!E352</f>
        <v>2708</v>
      </c>
      <c r="F352" s="289">
        <f>+K0kommunestruktur2021!F352</f>
        <v>49630</v>
      </c>
      <c r="G352" s="289">
        <f>+K0kommunestruktur2021!G352</f>
        <v>2668</v>
      </c>
      <c r="H352" s="289">
        <f>+K0kommunestruktur2021!H352</f>
        <v>54018</v>
      </c>
      <c r="I352" s="289">
        <f>+K0kommunestruktur2021!I352</f>
        <v>2696</v>
      </c>
      <c r="J352" s="289">
        <f>+K0kommunestruktur2021!J352</f>
        <v>55305</v>
      </c>
      <c r="K352" s="289">
        <f>+K0kommunestruktur2021!K352</f>
        <v>2701</v>
      </c>
      <c r="L352" s="289">
        <f>+K0kommunestruktur2021!L352</f>
        <v>56961</v>
      </c>
      <c r="M352" s="289">
        <f>+K0kommunestruktur2021!M352</f>
        <v>2673</v>
      </c>
      <c r="N352" s="289">
        <f>+K0kommunestruktur2021!N352</f>
        <v>59811</v>
      </c>
      <c r="O352" s="289">
        <f>+K0kommunestruktur2021!O352</f>
        <v>2628</v>
      </c>
      <c r="P352" s="289">
        <f>+K0kommunestruktur2021!P352</f>
        <v>60130</v>
      </c>
      <c r="Q352" s="289">
        <f>+K0kommunestruktur2021!Q352</f>
        <v>2641</v>
      </c>
      <c r="R352" s="289">
        <f>+K0kommunestruktur2021!R352</f>
        <v>71752.275999999998</v>
      </c>
      <c r="S352" s="289">
        <f>VLOOKUP(A352,'K22'!A352:CU707,3)</f>
        <v>2584</v>
      </c>
      <c r="T352" s="289">
        <f>VLOOKUP(A352,'K22'!$A$4:$BV$359,26)</f>
        <v>72056.107592533022</v>
      </c>
      <c r="U352" s="289">
        <f>VLOOKUP(A352,'Bef.fremskr. kommunenivå MMMM'!$A$5:$K$360,8)</f>
        <v>2554</v>
      </c>
      <c r="V352" s="289">
        <f>VLOOKUP(A352,'K23'!$A$4:$BV$359,26)</f>
        <v>67931.73263005745</v>
      </c>
    </row>
    <row r="353" spans="1:22" ht="13">
      <c r="A353" s="755">
        <v>5438</v>
      </c>
      <c r="B353" s="756" t="s">
        <v>253</v>
      </c>
      <c r="C353" s="289">
        <f>+K0kommunestruktur2021!C353</f>
        <v>1341</v>
      </c>
      <c r="D353" s="289">
        <f>+K0kommunestruktur2021!D353</f>
        <v>24435</v>
      </c>
      <c r="E353" s="289">
        <f>+K0kommunestruktur2021!E353</f>
        <v>1343</v>
      </c>
      <c r="F353" s="289">
        <f>+K0kommunestruktur2021!F353</f>
        <v>26851</v>
      </c>
      <c r="G353" s="289">
        <f>+K0kommunestruktur2021!G353</f>
        <v>1318</v>
      </c>
      <c r="H353" s="289">
        <f>+K0kommunestruktur2021!H353</f>
        <v>29174</v>
      </c>
      <c r="I353" s="289">
        <f>+K0kommunestruktur2021!I353</f>
        <v>1330</v>
      </c>
      <c r="J353" s="289">
        <f>+K0kommunestruktur2021!J353</f>
        <v>31546</v>
      </c>
      <c r="K353" s="289">
        <f>+K0kommunestruktur2021!K353</f>
        <v>1349</v>
      </c>
      <c r="L353" s="289">
        <f>+K0kommunestruktur2021!L353</f>
        <v>33468</v>
      </c>
      <c r="M353" s="289">
        <f>+K0kommunestruktur2021!M353</f>
        <v>1328</v>
      </c>
      <c r="N353" s="289">
        <f>+K0kommunestruktur2021!N353</f>
        <v>35754</v>
      </c>
      <c r="O353" s="289">
        <f>+K0kommunestruktur2021!O353</f>
        <v>1290</v>
      </c>
      <c r="P353" s="289">
        <f>+K0kommunestruktur2021!P353</f>
        <v>37982</v>
      </c>
      <c r="Q353" s="289">
        <f>+K0kommunestruktur2021!Q353</f>
        <v>1271</v>
      </c>
      <c r="R353" s="289">
        <f>+K0kommunestruktur2021!R353</f>
        <v>39880.777000000002</v>
      </c>
      <c r="S353" s="289">
        <f>VLOOKUP(A353,'K22'!A353:CU708,3)</f>
        <v>1221</v>
      </c>
      <c r="T353" s="289">
        <f>VLOOKUP(A353,'K22'!$A$4:$BV$359,26)</f>
        <v>41980.837773836894</v>
      </c>
      <c r="U353" s="289">
        <f>VLOOKUP(A353,'Bef.fremskr. kommunenivå MMMM'!$A$5:$K$360,8)</f>
        <v>1225</v>
      </c>
      <c r="V353" s="289">
        <f>VLOOKUP(A353,'K23'!$A$4:$BV$359,26)</f>
        <v>39475.508575940185</v>
      </c>
    </row>
    <row r="354" spans="1:22" ht="13">
      <c r="A354" s="755">
        <v>5439</v>
      </c>
      <c r="B354" s="756" t="s">
        <v>254</v>
      </c>
      <c r="C354" s="289">
        <f>+K0kommunestruktur2021!C354</f>
        <v>1098</v>
      </c>
      <c r="D354" s="289">
        <f>+K0kommunestruktur2021!D354</f>
        <v>19365</v>
      </c>
      <c r="E354" s="289">
        <f>+K0kommunestruktur2021!E354</f>
        <v>1116</v>
      </c>
      <c r="F354" s="289">
        <f>+K0kommunestruktur2021!F354</f>
        <v>21577</v>
      </c>
      <c r="G354" s="289">
        <f>+K0kommunestruktur2021!G354</f>
        <v>1139</v>
      </c>
      <c r="H354" s="289">
        <f>+K0kommunestruktur2021!H354</f>
        <v>24178</v>
      </c>
      <c r="I354" s="289">
        <f>+K0kommunestruktur2021!I354</f>
        <v>1137</v>
      </c>
      <c r="J354" s="289">
        <f>+K0kommunestruktur2021!J354</f>
        <v>25362</v>
      </c>
      <c r="K354" s="289">
        <f>+K0kommunestruktur2021!K354</f>
        <v>1153</v>
      </c>
      <c r="L354" s="289">
        <f>+K0kommunestruktur2021!L354</f>
        <v>26285</v>
      </c>
      <c r="M354" s="289">
        <f>+K0kommunestruktur2021!M354</f>
        <v>1169</v>
      </c>
      <c r="N354" s="289">
        <f>+K0kommunestruktur2021!N354</f>
        <v>28086</v>
      </c>
      <c r="O354" s="289">
        <f>+K0kommunestruktur2021!O354</f>
        <v>1132</v>
      </c>
      <c r="P354" s="289">
        <f>+K0kommunestruktur2021!P354</f>
        <v>28849</v>
      </c>
      <c r="Q354" s="289">
        <f>+K0kommunestruktur2021!Q354</f>
        <v>1097</v>
      </c>
      <c r="R354" s="289">
        <f>+K0kommunestruktur2021!R354</f>
        <v>29754.233</v>
      </c>
      <c r="S354" s="289">
        <f>VLOOKUP(A354,'K22'!A354:CU709,3)</f>
        <v>1057</v>
      </c>
      <c r="T354" s="289">
        <f>VLOOKUP(A354,'K22'!$A$4:$BV$359,26)</f>
        <v>31178.227012427375</v>
      </c>
      <c r="U354" s="289">
        <f>VLOOKUP(A354,'Bef.fremskr. kommunenivå MMMM'!$A$5:$K$360,8)</f>
        <v>1078</v>
      </c>
      <c r="V354" s="289">
        <f>VLOOKUP(A354,'K23'!$A$4:$BV$359,26)</f>
        <v>30428.964167251339</v>
      </c>
    </row>
    <row r="355" spans="1:22" ht="13">
      <c r="A355" s="755">
        <v>5440</v>
      </c>
      <c r="B355" s="756" t="s">
        <v>255</v>
      </c>
      <c r="C355" s="289">
        <f>+K0kommunestruktur2021!C355</f>
        <v>1057</v>
      </c>
      <c r="D355" s="289">
        <f>+K0kommunestruktur2021!D355</f>
        <v>20462</v>
      </c>
      <c r="E355" s="289">
        <f>+K0kommunestruktur2021!E355</f>
        <v>1020</v>
      </c>
      <c r="F355" s="289">
        <f>+K0kommunestruktur2021!F355</f>
        <v>20445</v>
      </c>
      <c r="G355" s="289">
        <f>+K0kommunestruktur2021!G355</f>
        <v>1000</v>
      </c>
      <c r="H355" s="289">
        <f>+K0kommunestruktur2021!H355</f>
        <v>22785</v>
      </c>
      <c r="I355" s="289">
        <f>+K0kommunestruktur2021!I355</f>
        <v>991</v>
      </c>
      <c r="J355" s="289">
        <f>+K0kommunestruktur2021!J355</f>
        <v>25243</v>
      </c>
      <c r="K355" s="289">
        <f>+K0kommunestruktur2021!K355</f>
        <v>983</v>
      </c>
      <c r="L355" s="289">
        <f>+K0kommunestruktur2021!L355</f>
        <v>26464</v>
      </c>
      <c r="M355" s="289">
        <f>+K0kommunestruktur2021!M355</f>
        <v>981</v>
      </c>
      <c r="N355" s="289">
        <f>+K0kommunestruktur2021!N355</f>
        <v>26727</v>
      </c>
      <c r="O355" s="289">
        <f>+K0kommunestruktur2021!O355</f>
        <v>957</v>
      </c>
      <c r="P355" s="289">
        <f>+K0kommunestruktur2021!P355</f>
        <v>25531</v>
      </c>
      <c r="Q355" s="289">
        <f>+K0kommunestruktur2021!Q355</f>
        <v>928</v>
      </c>
      <c r="R355" s="289">
        <f>+K0kommunestruktur2021!R355</f>
        <v>29748.058000000001</v>
      </c>
      <c r="S355" s="289">
        <f>VLOOKUP(A355,'K22'!A355:CU710,3)</f>
        <v>906</v>
      </c>
      <c r="T355" s="289">
        <f>VLOOKUP(A355,'K22'!$A$4:$BV$359,26)</f>
        <v>30007.497475918011</v>
      </c>
      <c r="U355" s="289">
        <f>VLOOKUP(A355,'Bef.fremskr. kommunenivå MMMM'!$A$5:$K$360,8)</f>
        <v>907</v>
      </c>
      <c r="V355" s="289">
        <f>VLOOKUP(A355,'K23'!$A$4:$BV$359,26)</f>
        <v>28645.21305118053</v>
      </c>
    </row>
    <row r="356" spans="1:22" ht="13">
      <c r="A356" s="755">
        <v>5441</v>
      </c>
      <c r="B356" s="756" t="s">
        <v>256</v>
      </c>
      <c r="C356" s="289">
        <f>+K0kommunestruktur2021!C356</f>
        <v>2883</v>
      </c>
      <c r="D356" s="289">
        <f>+K0kommunestruktur2021!D356</f>
        <v>55367</v>
      </c>
      <c r="E356" s="289">
        <f>+K0kommunestruktur2021!E356</f>
        <v>2909</v>
      </c>
      <c r="F356" s="289">
        <f>+K0kommunestruktur2021!F356</f>
        <v>60979</v>
      </c>
      <c r="G356" s="289">
        <f>+K0kommunestruktur2021!G356</f>
        <v>2922</v>
      </c>
      <c r="H356" s="289">
        <f>+K0kommunestruktur2021!H356</f>
        <v>65869</v>
      </c>
      <c r="I356" s="289">
        <f>+K0kommunestruktur2021!I356</f>
        <v>2911</v>
      </c>
      <c r="J356" s="289">
        <f>+K0kommunestruktur2021!J356</f>
        <v>67666</v>
      </c>
      <c r="K356" s="289">
        <f>+K0kommunestruktur2021!K356</f>
        <v>2922</v>
      </c>
      <c r="L356" s="289">
        <f>+K0kommunestruktur2021!L356</f>
        <v>70134</v>
      </c>
      <c r="M356" s="289">
        <f>+K0kommunestruktur2021!M356</f>
        <v>2900</v>
      </c>
      <c r="N356" s="289">
        <f>+K0kommunestruktur2021!N356</f>
        <v>74703</v>
      </c>
      <c r="O356" s="289">
        <f>+K0kommunestruktur2021!O356</f>
        <v>2918</v>
      </c>
      <c r="P356" s="289">
        <f>+K0kommunestruktur2021!P356</f>
        <v>74459</v>
      </c>
      <c r="Q356" s="289">
        <f>+K0kommunestruktur2021!Q356</f>
        <v>2829</v>
      </c>
      <c r="R356" s="289">
        <f>+K0kommunestruktur2021!R356</f>
        <v>80674.240999999995</v>
      </c>
      <c r="S356" s="289">
        <f>VLOOKUP(A356,'K22'!A356:CU711,3)</f>
        <v>2821</v>
      </c>
      <c r="T356" s="289">
        <f>VLOOKUP(A356,'K22'!$A$4:$BV$359,26)</f>
        <v>88229.788800529437</v>
      </c>
      <c r="U356" s="289">
        <f>VLOOKUP(A356,'Bef.fremskr. kommunenivå MMMM'!$A$5:$K$360,8)</f>
        <v>2823</v>
      </c>
      <c r="V356" s="289">
        <f>VLOOKUP(A356,'K23'!$A$4:$BV$359,26)</f>
        <v>82918.602405646176</v>
      </c>
    </row>
    <row r="357" spans="1:22" ht="13">
      <c r="A357" s="755">
        <v>5442</v>
      </c>
      <c r="B357" s="756" t="s">
        <v>257</v>
      </c>
      <c r="C357" s="289">
        <f>+K0kommunestruktur2021!C357</f>
        <v>919</v>
      </c>
      <c r="D357" s="289">
        <f>+K0kommunestruktur2021!D357</f>
        <v>15241</v>
      </c>
      <c r="E357" s="289">
        <f>+K0kommunestruktur2021!E357</f>
        <v>934</v>
      </c>
      <c r="F357" s="289">
        <f>+K0kommunestruktur2021!F357</f>
        <v>16586</v>
      </c>
      <c r="G357" s="289">
        <f>+K0kommunestruktur2021!G357</f>
        <v>959</v>
      </c>
      <c r="H357" s="289">
        <f>+K0kommunestruktur2021!H357</f>
        <v>17469</v>
      </c>
      <c r="I357" s="289">
        <f>+K0kommunestruktur2021!I357</f>
        <v>951</v>
      </c>
      <c r="J357" s="289">
        <f>+K0kommunestruktur2021!J357</f>
        <v>19017</v>
      </c>
      <c r="K357" s="289">
        <f>+K0kommunestruktur2021!K357</f>
        <v>944</v>
      </c>
      <c r="L357" s="289">
        <f>+K0kommunestruktur2021!L357</f>
        <v>20492</v>
      </c>
      <c r="M357" s="289">
        <f>+K0kommunestruktur2021!M357</f>
        <v>941</v>
      </c>
      <c r="N357" s="289">
        <f>+K0kommunestruktur2021!N357</f>
        <v>19666</v>
      </c>
      <c r="O357" s="289">
        <f>+K0kommunestruktur2021!O357</f>
        <v>926</v>
      </c>
      <c r="P357" s="289">
        <f>+K0kommunestruktur2021!P357</f>
        <v>20196</v>
      </c>
      <c r="Q357" s="289">
        <f>+K0kommunestruktur2021!Q357</f>
        <v>880</v>
      </c>
      <c r="R357" s="289">
        <f>+K0kommunestruktur2021!R357</f>
        <v>24264.295999999998</v>
      </c>
      <c r="S357" s="289">
        <f>VLOOKUP(A357,'K22'!A357:CU712,3)</f>
        <v>854</v>
      </c>
      <c r="T357" s="289">
        <f>VLOOKUP(A357,'K22'!$A$4:$BV$359,26)</f>
        <v>23310.917268421759</v>
      </c>
      <c r="U357" s="289">
        <f>VLOOKUP(A357,'Bef.fremskr. kommunenivå MMMM'!$A$5:$K$360,8)</f>
        <v>847</v>
      </c>
      <c r="V357" s="289">
        <f>VLOOKUP(A357,'K23'!$A$4:$BV$359,26)</f>
        <v>21812.032176318946</v>
      </c>
    </row>
    <row r="358" spans="1:22" ht="13">
      <c r="A358" s="755">
        <v>5443</v>
      </c>
      <c r="B358" s="756" t="s">
        <v>258</v>
      </c>
      <c r="C358" s="289">
        <f>+K0kommunestruktur2021!C358</f>
        <v>2207</v>
      </c>
      <c r="D358" s="289">
        <f>+K0kommunestruktur2021!D358</f>
        <v>42381</v>
      </c>
      <c r="E358" s="289">
        <f>+K0kommunestruktur2021!E358</f>
        <v>2235</v>
      </c>
      <c r="F358" s="289">
        <f>+K0kommunestruktur2021!F358</f>
        <v>46263</v>
      </c>
      <c r="G358" s="289">
        <f>+K0kommunestruktur2021!G358</f>
        <v>2211</v>
      </c>
      <c r="H358" s="289">
        <f>+K0kommunestruktur2021!H358</f>
        <v>50872</v>
      </c>
      <c r="I358" s="289">
        <f>+K0kommunestruktur2021!I358</f>
        <v>2267</v>
      </c>
      <c r="J358" s="289">
        <f>+K0kommunestruktur2021!J358</f>
        <v>55272</v>
      </c>
      <c r="K358" s="289">
        <f>+K0kommunestruktur2021!K358</f>
        <v>2263</v>
      </c>
      <c r="L358" s="289">
        <f>+K0kommunestruktur2021!L358</f>
        <v>61493</v>
      </c>
      <c r="M358" s="289">
        <f>+K0kommunestruktur2021!M358</f>
        <v>2270</v>
      </c>
      <c r="N358" s="289">
        <f>+K0kommunestruktur2021!N358</f>
        <v>62027</v>
      </c>
      <c r="O358" s="289">
        <f>+K0kommunestruktur2021!O358</f>
        <v>2221</v>
      </c>
      <c r="P358" s="289">
        <f>+K0kommunestruktur2021!P358</f>
        <v>58016</v>
      </c>
      <c r="Q358" s="289">
        <f>+K0kommunestruktur2021!Q358</f>
        <v>2200</v>
      </c>
      <c r="R358" s="289">
        <f>+K0kommunestruktur2021!R358</f>
        <v>60652.347000000002</v>
      </c>
      <c r="S358" s="289">
        <f>VLOOKUP(A358,'K22'!A358:CU713,3)</f>
        <v>2165</v>
      </c>
      <c r="T358" s="289">
        <f>VLOOKUP(A358,'K22'!$A$4:$BV$359,26)</f>
        <v>68429.646964603933</v>
      </c>
      <c r="U358" s="289">
        <f>VLOOKUP(A358,'Bef.fremskr. kommunenivå MMMM'!$A$5:$K$360,8)</f>
        <v>2180</v>
      </c>
      <c r="V358" s="289">
        <f>VLOOKUP(A358,'K23'!$A$4:$BV$359,26)</f>
        <v>65156.822175402282</v>
      </c>
    </row>
    <row r="359" spans="1:22" ht="13">
      <c r="A359" s="755">
        <v>5444</v>
      </c>
      <c r="B359" s="756" t="s">
        <v>260</v>
      </c>
      <c r="C359" s="289">
        <f>+K0kommunestruktur2021!C359</f>
        <v>10090</v>
      </c>
      <c r="D359" s="289">
        <f>+K0kommunestruktur2021!D359</f>
        <v>236338</v>
      </c>
      <c r="E359" s="289">
        <f>+K0kommunestruktur2021!E359</f>
        <v>10221</v>
      </c>
      <c r="F359" s="289">
        <f>+K0kommunestruktur2021!F359</f>
        <v>244837</v>
      </c>
      <c r="G359" s="289">
        <f>+K0kommunestruktur2021!G359</f>
        <v>10227</v>
      </c>
      <c r="H359" s="289">
        <f>+K0kommunestruktur2021!H359</f>
        <v>252066</v>
      </c>
      <c r="I359" s="289">
        <f>+K0kommunestruktur2021!I359</f>
        <v>10199</v>
      </c>
      <c r="J359" s="289">
        <f>+K0kommunestruktur2021!J359</f>
        <v>260082</v>
      </c>
      <c r="K359" s="289">
        <f>+K0kommunestruktur2021!K359</f>
        <v>10171</v>
      </c>
      <c r="L359" s="289">
        <f>+K0kommunestruktur2021!L359</f>
        <v>262229</v>
      </c>
      <c r="M359" s="289">
        <f>+K0kommunestruktur2021!M359</f>
        <v>10156</v>
      </c>
      <c r="N359" s="289">
        <f>+K0kommunestruktur2021!N359</f>
        <v>271207</v>
      </c>
      <c r="O359" s="289">
        <f>+K0kommunestruktur2021!O359</f>
        <v>10158</v>
      </c>
      <c r="P359" s="289">
        <f>+K0kommunestruktur2021!P359</f>
        <v>266948</v>
      </c>
      <c r="Q359" s="289">
        <f>+K0kommunestruktur2021!Q359</f>
        <v>10103</v>
      </c>
      <c r="R359" s="289">
        <f>+K0kommunestruktur2021!R359</f>
        <v>305104.79599999997</v>
      </c>
      <c r="S359" s="289">
        <f>VLOOKUP(A359,'K22'!A359:CU714,3)</f>
        <v>9925</v>
      </c>
      <c r="T359" s="289">
        <f>VLOOKUP(A359,'K22'!$A$4:$BV$359,26)</f>
        <v>319708.8474111117</v>
      </c>
      <c r="U359" s="289">
        <f>VLOOKUP(A359,'Bef.fremskr. kommunenivå MMMM'!$A$5:$K$360,8)</f>
        <v>9909</v>
      </c>
      <c r="V359" s="289">
        <f>VLOOKUP(A359,'K23'!$A$4:$BV$359,26)</f>
        <v>302811.26259231038</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 t="shared" ref="C361:R361" si="6">SUM(C4:C359)</f>
        <v>5109123.5044034198</v>
      </c>
      <c r="D361" s="519">
        <f t="shared" si="6"/>
        <v>128879985.16042148</v>
      </c>
      <c r="E361" s="519">
        <f t="shared" si="6"/>
        <v>5165866.1831061104</v>
      </c>
      <c r="F361" s="519">
        <f t="shared" si="6"/>
        <v>136595004.97939491</v>
      </c>
      <c r="G361" s="519">
        <f t="shared" si="6"/>
        <v>5214011.2819099491</v>
      </c>
      <c r="H361" s="519">
        <f t="shared" si="6"/>
        <v>149810569.49270496</v>
      </c>
      <c r="I361" s="519">
        <f t="shared" si="6"/>
        <v>5258344.2655541599</v>
      </c>
      <c r="J361" s="519">
        <f t="shared" si="6"/>
        <v>156581154.31387377</v>
      </c>
      <c r="K361" s="519">
        <f t="shared" si="6"/>
        <v>5295631.0523248287</v>
      </c>
      <c r="L361" s="519">
        <f t="shared" si="6"/>
        <v>162532859.34944764</v>
      </c>
      <c r="M361" s="519">
        <f t="shared" si="6"/>
        <v>5328237.7302866103</v>
      </c>
      <c r="N361" s="177">
        <f t="shared" si="6"/>
        <v>170118118.16250223</v>
      </c>
      <c r="O361" s="177">
        <f t="shared" si="6"/>
        <v>5367579.7351344097</v>
      </c>
      <c r="P361" s="177">
        <f t="shared" si="6"/>
        <v>168893553.92544493</v>
      </c>
      <c r="Q361" s="177">
        <f t="shared" si="6"/>
        <v>5391369</v>
      </c>
      <c r="R361" s="177">
        <f t="shared" si="6"/>
        <v>195956042.32477972</v>
      </c>
      <c r="S361" s="177">
        <f t="shared" ref="S361:V361" si="7">SUM(S4:S359)</f>
        <v>5425270</v>
      </c>
      <c r="T361" s="177">
        <f t="shared" si="7"/>
        <v>220000000.00000003</v>
      </c>
      <c r="U361" s="177">
        <f t="shared" si="7"/>
        <v>5474886</v>
      </c>
      <c r="V361" s="177">
        <f t="shared" si="7"/>
        <v>200884999.99999997</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845</v>
      </c>
      <c r="C365" s="289">
        <f>VLOOKUP($A365,K0kommunestruktur2021!$A$4:$CC$359,3)</f>
        <v>27028</v>
      </c>
      <c r="D365" s="289">
        <f>VLOOKUP($A365,K0kommunestruktur2021!$A$4:$CC$359,4)</f>
        <v>624848</v>
      </c>
      <c r="E365" s="289">
        <f>VLOOKUP($A365,K0kommunestruktur2021!$A$4:$CC$359,5)</f>
        <v>27300</v>
      </c>
      <c r="F365" s="289">
        <f>VLOOKUP($A365,K0kommunestruktur2021!$A$4:$CC$359,6)</f>
        <v>657280</v>
      </c>
      <c r="G365" s="289">
        <f>VLOOKUP($A365,K0kommunestruktur2021!$A$4:$CC$359,7)</f>
        <v>27476</v>
      </c>
      <c r="H365" s="289">
        <f>VLOOKUP($A365,K0kommunestruktur2021!$A$4:$CC$359,8)</f>
        <v>729709</v>
      </c>
      <c r="I365" s="289">
        <f>VLOOKUP($A365,K0kommunestruktur2021!$A$4:$CC$359,9)</f>
        <v>27781</v>
      </c>
      <c r="J365" s="289">
        <f>VLOOKUP($A365,K0kommunestruktur2021!$A$4:$CC$359,10)</f>
        <v>769643</v>
      </c>
      <c r="K365" s="289">
        <f>VLOOKUP($A365,K0kommunestruktur2021!$A$4:$CC$359,11)</f>
        <v>27938</v>
      </c>
      <c r="L365" s="289">
        <f>VLOOKUP($A365,K0kommunestruktur2021!$A$4:$CC$359,12)</f>
        <v>805350</v>
      </c>
      <c r="M365" s="289">
        <f>VLOOKUP($A365,K0kommunestruktur2021!$A$4:$CC$359,13)</f>
        <v>28023</v>
      </c>
      <c r="N365" s="289">
        <f>VLOOKUP($A365,K0kommunestruktur2021!$A$4:$CC$359,14)</f>
        <v>836532</v>
      </c>
      <c r="O365" s="289">
        <f>VLOOKUP($A365,K0kommunestruktur2021!$A$4:$CC$359,15)</f>
        <v>28345</v>
      </c>
      <c r="P365" s="289">
        <f>VLOOKUP($A365,K0kommunestruktur2021!$A$4:$CC$359,16)</f>
        <v>825131</v>
      </c>
      <c r="Q365" s="289">
        <f>VLOOKUP($A365,K0kommunestruktur2021!$A$4:$CC$359,17)</f>
        <v>28493</v>
      </c>
      <c r="R365" s="289">
        <f>VLOOKUP($A365,K0kommunestruktur2021!$A$4:$CC$359,18)</f>
        <v>948325.75899999996</v>
      </c>
    </row>
    <row r="366" spans="1:22" ht="13">
      <c r="B366" s="894" t="s">
        <v>2239</v>
      </c>
      <c r="C366" s="289">
        <f>ROUND(C365*$Q366/$Q365,8)</f>
        <v>-14.228757939999999</v>
      </c>
      <c r="D366" s="289">
        <f>C366*D365/C365</f>
        <v>-328.94816269398848</v>
      </c>
      <c r="E366" s="289">
        <f>ROUND(E365*$Q366/$Q365,8)</f>
        <v>-14.37195101</v>
      </c>
      <c r="F366" s="289">
        <f>E366*F365/E365</f>
        <v>-346.0218300312381</v>
      </c>
      <c r="G366" s="289">
        <f>ROUND(G365*$Q366/$Q365,8)</f>
        <v>-14.46460534</v>
      </c>
      <c r="H366" s="289">
        <f>G366*H365/G365</f>
        <v>-384.15172143128768</v>
      </c>
      <c r="I366" s="289">
        <f>ROUND(I365*$Q366/$Q365,8)</f>
        <v>-14.62517109</v>
      </c>
      <c r="J366" s="289">
        <f>I366*J365/I365</f>
        <v>-405.17477964151288</v>
      </c>
      <c r="K366" s="289">
        <f>ROUND(K365*$Q366/$Q365,8)</f>
        <v>-14.70782297</v>
      </c>
      <c r="L366" s="289">
        <f>K366*L365/K365</f>
        <v>-423.97255454540414</v>
      </c>
      <c r="M366" s="289">
        <f>ROUND(M365*$Q366/$Q365,8)</f>
        <v>-14.75257081</v>
      </c>
      <c r="N366" s="289">
        <f>M366*N365/M365</f>
        <v>-440.38816560792634</v>
      </c>
      <c r="O366" s="289">
        <f>ROUND(O365*$Q366/$Q365,8)</f>
        <v>-14.92208613</v>
      </c>
      <c r="P366" s="289">
        <f>O366*P365/O365</f>
        <v>-434.38616512728987</v>
      </c>
      <c r="Q366" s="289">
        <v>-15</v>
      </c>
      <c r="R366" s="289">
        <f>Q366*R365/Q365</f>
        <v>-499.24144123117958</v>
      </c>
    </row>
    <row r="367" spans="1:22" ht="13">
      <c r="B367" s="885" t="s">
        <v>1838</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856</v>
      </c>
      <c r="C369" s="289">
        <f>VLOOKUP($A369,K0kommunestruktur2021!$A$4:$CC$359,3)</f>
        <v>5090</v>
      </c>
      <c r="D369" s="289">
        <f>VLOOKUP($A369,K0kommunestruktur2021!$A$4:$CC$359,4)</f>
        <v>116095</v>
      </c>
      <c r="E369" s="289">
        <f>VLOOKUP($A369,K0kommunestruktur2021!$A$4:$CC$359,5)</f>
        <v>5065</v>
      </c>
      <c r="F369" s="289">
        <f>VLOOKUP($A369,K0kommunestruktur2021!$A$4:$CC$359,6)</f>
        <v>116092</v>
      </c>
      <c r="G369" s="289">
        <f>VLOOKUP($A369,K0kommunestruktur2021!$A$4:$CC$359,7)</f>
        <v>5072</v>
      </c>
      <c r="H369" s="289">
        <f>VLOOKUP($A369,K0kommunestruktur2021!$A$4:$CC$359,8)</f>
        <v>131318</v>
      </c>
      <c r="I369" s="289">
        <f>VLOOKUP($A369,K0kommunestruktur2021!$A$4:$CC$359,9)</f>
        <v>5082</v>
      </c>
      <c r="J369" s="289">
        <f>VLOOKUP($A369,K0kommunestruktur2021!$A$4:$CC$359,10)</f>
        <v>140354</v>
      </c>
      <c r="K369" s="289">
        <f>VLOOKUP($A369,K0kommunestruktur2021!$A$4:$CC$359,11)</f>
        <v>5130</v>
      </c>
      <c r="L369" s="289">
        <f>VLOOKUP($A369,K0kommunestruktur2021!$A$4:$CC$359,12)</f>
        <v>149306</v>
      </c>
      <c r="M369" s="289">
        <f>VLOOKUP($A369,K0kommunestruktur2021!$A$4:$CC$359,13)</f>
        <v>5119</v>
      </c>
      <c r="N369" s="289">
        <f>VLOOKUP($A369,K0kommunestruktur2021!$A$4:$CC$359,14)</f>
        <v>155837</v>
      </c>
      <c r="O369" s="289">
        <f>VLOOKUP($A369,K0kommunestruktur2021!$A$4:$CC$359,15)</f>
        <v>5100</v>
      </c>
      <c r="P369" s="289">
        <f>VLOOKUP($A369,K0kommunestruktur2021!$A$4:$CC$359,16)</f>
        <v>154086</v>
      </c>
      <c r="Q369" s="289">
        <f>VLOOKUP($A369,K0kommunestruktur2021!$A$4:$CC$359,17)</f>
        <v>5093</v>
      </c>
      <c r="R369" s="289">
        <f>VLOOKUP($A369,K0kommunestruktur2021!$A$4:$CC$359,18)</f>
        <v>171798.152</v>
      </c>
    </row>
    <row r="370" spans="1:18" ht="13">
      <c r="B370" s="894" t="s">
        <v>2240</v>
      </c>
      <c r="C370" s="289">
        <f>ROUND(C369*$Q370/$Q369,8)</f>
        <v>14.991164339999999</v>
      </c>
      <c r="D370" s="289">
        <f>C370*D369/C369</f>
        <v>341.92519136587424</v>
      </c>
      <c r="E370" s="289">
        <f>ROUND(E369*$Q370/$Q369,8)</f>
        <v>14.91753387</v>
      </c>
      <c r="F370" s="289">
        <f>E370*F369/E369</f>
        <v>341.91635578204148</v>
      </c>
      <c r="G370" s="289">
        <f>ROUND(G369*$Q370/$Q369,8)</f>
        <v>14.9381504</v>
      </c>
      <c r="H370" s="289">
        <f>G370*H369/G369</f>
        <v>386.76025911419555</v>
      </c>
      <c r="I370" s="289">
        <f>ROUND(I369*$Q370/$Q369,8)</f>
        <v>14.96760259</v>
      </c>
      <c r="J370" s="289">
        <f>I370*J369/I369</f>
        <v>413.373257362625</v>
      </c>
      <c r="K370" s="289">
        <f>ROUND(K369*$Q370/$Q369,8)</f>
        <v>15.1089731</v>
      </c>
      <c r="L370" s="289">
        <f>K370*L369/K369</f>
        <v>439.73885724534114</v>
      </c>
      <c r="M370" s="289">
        <f>ROUND(M369*$Q370/$Q369,8)</f>
        <v>15.07657569</v>
      </c>
      <c r="N370" s="289">
        <f>M370*N369/M369</f>
        <v>458.97408200869899</v>
      </c>
      <c r="O370" s="289">
        <f>ROUND(O369*$Q370/$Q369,8)</f>
        <v>15.02061653</v>
      </c>
      <c r="P370" s="289">
        <f>O370*P369/O369</f>
        <v>453.81700365521181</v>
      </c>
      <c r="Q370" s="289">
        <v>15</v>
      </c>
      <c r="R370" s="289">
        <f>Q370*R369/Q369</f>
        <v>505.98316905556652</v>
      </c>
    </row>
    <row r="372" spans="1:18" ht="13">
      <c r="A372" s="1">
        <v>4618</v>
      </c>
      <c r="B372" s="2" t="s">
        <v>1632</v>
      </c>
      <c r="C372" s="289">
        <f>VLOOKUP($A372,K0kommunestruktur2021!$A$4:$CC$359,3)</f>
        <v>11399.067073169999</v>
      </c>
      <c r="D372" s="289">
        <f>VLOOKUP($A372,K0kommunestruktur2021!$A$4:$CC$359,4)</f>
        <v>290651.85975607892</v>
      </c>
      <c r="E372" s="289">
        <f>VLOOKUP($A372,K0kommunestruktur2021!$A$4:$CC$359,5)</f>
        <v>11393.10365854</v>
      </c>
      <c r="F372" s="289">
        <f>VLOOKUP($A372,K0kommunestruktur2021!$A$4:$CC$359,6)</f>
        <v>306581.13414643332</v>
      </c>
      <c r="G372" s="289">
        <f>VLOOKUP($A372,K0kommunestruktur2021!$A$4:$CC$359,7)</f>
        <v>11365.27439024</v>
      </c>
      <c r="H372" s="289">
        <f>VLOOKUP($A372,K0kommunestruktur2021!$A$4:$CC$359,8)</f>
        <v>313911.16463403858</v>
      </c>
      <c r="I372" s="289">
        <f>VLOOKUP($A372,K0kommunestruktur2021!$A$4:$CC$359,9)</f>
        <v>11439.817073169999</v>
      </c>
      <c r="J372" s="289">
        <f>VLOOKUP($A372,K0kommunestruktur2021!$A$4:$CC$359,10)</f>
        <v>326123.24390241818</v>
      </c>
      <c r="K372" s="289">
        <f>VLOOKUP($A372,K0kommunestruktur2021!$A$4:$CC$359,11)</f>
        <v>11225.13414634</v>
      </c>
      <c r="L372" s="289">
        <f>VLOOKUP($A372,K0kommunestruktur2021!$A$4:$CC$359,12)</f>
        <v>333806.10975605407</v>
      </c>
      <c r="M372" s="289">
        <f>VLOOKUP($A372,K0kommunestruktur2021!$A$4:$CC$359,13)</f>
        <v>11084</v>
      </c>
      <c r="N372" s="289">
        <f>VLOOKUP($A372,K0kommunestruktur2021!$A$4:$CC$359,14)</f>
        <v>346985.25609756098</v>
      </c>
      <c r="O372" s="289">
        <f>VLOOKUP($A372,K0kommunestruktur2021!$A$4:$CC$359,15)</f>
        <v>11048</v>
      </c>
      <c r="P372" s="289">
        <f>VLOOKUP($A372,K0kommunestruktur2021!$A$4:$CC$359,16)</f>
        <v>348649</v>
      </c>
      <c r="Q372" s="289">
        <f>VLOOKUP($A372,K0kommunestruktur2021!$A$4:$CC$359,17)</f>
        <v>11002</v>
      </c>
      <c r="R372" s="289">
        <f>VLOOKUP($A372,K0kommunestruktur2021!$A$4:$CC$359,18)</f>
        <v>393175.99900000001</v>
      </c>
    </row>
    <row r="373" spans="1:18" ht="13">
      <c r="B373" s="894" t="s">
        <v>2241</v>
      </c>
      <c r="C373" s="289">
        <f>ROUND(C372*$Q373/$Q372,8)</f>
        <v>-21.757899340000002</v>
      </c>
      <c r="D373" s="289">
        <f>C373*D372/C372</f>
        <v>-554.7799540930248</v>
      </c>
      <c r="E373" s="289">
        <f>ROUND(E372*$Q373/$Q372,8)</f>
        <v>-21.746516710000002</v>
      </c>
      <c r="F373" s="289">
        <f>E373*F372/E372</f>
        <v>-585.18485888511032</v>
      </c>
      <c r="G373" s="289">
        <f>ROUND(G372*$Q373/$Q372,8)</f>
        <v>-21.69339776</v>
      </c>
      <c r="H373" s="289">
        <f>G373*H372/G372</f>
        <v>-599.17600947311939</v>
      </c>
      <c r="I373" s="289">
        <f>ROUND(I372*$Q373/$Q372,8)</f>
        <v>-21.83568065</v>
      </c>
      <c r="J373" s="289">
        <f>I373*J372/I372</f>
        <v>-622.4857408862382</v>
      </c>
      <c r="K373" s="289">
        <f>ROUND(K372*$Q373/$Q372,8)</f>
        <v>-21.425905929999999</v>
      </c>
      <c r="L373" s="289">
        <f>K373*L372/K372</f>
        <v>-637.15036392900834</v>
      </c>
      <c r="M373" s="289">
        <f>ROUND(M372*$Q373/$Q372,8)</f>
        <v>-21.156517000000001</v>
      </c>
      <c r="N373" s="289">
        <f>M373*N372/M372</f>
        <v>-662.30597883231712</v>
      </c>
      <c r="O373" s="289">
        <f>ROUND(O372*$Q373/$Q372,8)</f>
        <v>-21.08780222</v>
      </c>
      <c r="P373" s="289">
        <f>O373*P372/O372</f>
        <v>-665.4816397719751</v>
      </c>
      <c r="Q373" s="289">
        <v>-21</v>
      </c>
      <c r="R373" s="289">
        <f>Q373*R372/Q372</f>
        <v>-750.47227585893472</v>
      </c>
    </row>
    <row r="374" spans="1:18" ht="13">
      <c r="B374" s="885" t="s">
        <v>1838</v>
      </c>
      <c r="C374" s="289"/>
      <c r="D374" s="289">
        <f>+D372-3329.172-36713.017-4760.184</f>
        <v>245849.4867560789</v>
      </c>
      <c r="E374" s="289"/>
      <c r="F374" s="289">
        <f>+F372-3284.567-36460.479-4803.81</f>
        <v>262032.27814643335</v>
      </c>
      <c r="G374" s="289"/>
      <c r="H374" s="289">
        <f>+H372-3192.277-36599.618-4607.625</f>
        <v>269511.64463403856</v>
      </c>
      <c r="I374" s="289"/>
      <c r="J374" s="289">
        <f>+J372-3300.396-38788.64-4732.123</f>
        <v>279302.08490241814</v>
      </c>
      <c r="K374" s="289"/>
      <c r="L374" s="289">
        <f>+L372-47752</f>
        <v>286054.10975605407</v>
      </c>
      <c r="M374" s="289"/>
      <c r="N374" s="289">
        <f>+N372-49602</f>
        <v>297383.25609756098</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VLOOKUP($A376,K0kommunestruktur2021!$A$4:$CC$359,3)</f>
        <v>950</v>
      </c>
      <c r="D376" s="289">
        <f>VLOOKUP($A376,K0kommunestruktur2021!$A$4:$CC$359,4)</f>
        <v>49498</v>
      </c>
      <c r="E376" s="289">
        <f>VLOOKUP($A376,K0kommunestruktur2021!$A$4:$CC$359,5)</f>
        <v>950</v>
      </c>
      <c r="F376" s="289">
        <f>VLOOKUP($A376,K0kommunestruktur2021!$A$4:$CC$359,6)</f>
        <v>49839</v>
      </c>
      <c r="G376" s="289">
        <f>VLOOKUP($A376,K0kommunestruktur2021!$A$4:$CC$359,7)</f>
        <v>925</v>
      </c>
      <c r="H376" s="289">
        <f>VLOOKUP($A376,K0kommunestruktur2021!$A$4:$CC$359,8)</f>
        <v>52787</v>
      </c>
      <c r="I376" s="289">
        <f>VLOOKUP($A376,K0kommunestruktur2021!$A$4:$CC$359,9)</f>
        <v>921</v>
      </c>
      <c r="J376" s="289">
        <f>VLOOKUP($A376,K0kommunestruktur2021!$A$4:$CC$359,10)</f>
        <v>55245</v>
      </c>
      <c r="K376" s="289">
        <f>VLOOKUP($A376,K0kommunestruktur2021!$A$4:$CC$359,11)</f>
        <v>931</v>
      </c>
      <c r="L376" s="289">
        <f>VLOOKUP($A376,K0kommunestruktur2021!$A$4:$CC$359,12)</f>
        <v>56711</v>
      </c>
      <c r="M376" s="289">
        <f>VLOOKUP($A376,K0kommunestruktur2021!$A$4:$CC$359,13)</f>
        <v>906</v>
      </c>
      <c r="N376" s="289">
        <f>VLOOKUP($A376,K0kommunestruktur2021!$A$4:$CC$359,14)</f>
        <v>56140</v>
      </c>
      <c r="O376" s="289">
        <f>VLOOKUP($A376,K0kommunestruktur2021!$A$4:$CC$359,15)</f>
        <v>906</v>
      </c>
      <c r="P376" s="289">
        <f>VLOOKUP($A376,K0kommunestruktur2021!$A$4:$CC$359,16)</f>
        <v>53139</v>
      </c>
      <c r="Q376" s="289">
        <f>VLOOKUP($A376,K0kommunestruktur2021!$A$4:$CC$359,17)</f>
        <v>903</v>
      </c>
      <c r="R376" s="289">
        <f>VLOOKUP($A376,K0kommunestruktur2021!$A$4:$CC$359,18)</f>
        <v>58015.205000000002</v>
      </c>
    </row>
    <row r="377" spans="1:18" ht="13">
      <c r="B377" s="894" t="s">
        <v>2242</v>
      </c>
      <c r="C377" s="289">
        <f>ROUND(C376*$Q377/$Q376,8)</f>
        <v>22.093023259999999</v>
      </c>
      <c r="D377" s="289">
        <f>C377*D376/C376</f>
        <v>1151.1162792878736</v>
      </c>
      <c r="E377" s="289">
        <f>ROUND(E376*$Q377/$Q376,8)</f>
        <v>22.093023259999999</v>
      </c>
      <c r="F377" s="289">
        <f>E377*F376/E376</f>
        <v>1159.0465118475158</v>
      </c>
      <c r="G377" s="289">
        <f>ROUND(G376*$Q377/$Q376,8)</f>
        <v>21.511627910000001</v>
      </c>
      <c r="H377" s="289">
        <f>G377*H376/G376</f>
        <v>1227.604651335319</v>
      </c>
      <c r="I377" s="289">
        <f>ROUND(I376*$Q377/$Q376,8)</f>
        <v>21.418604649999999</v>
      </c>
      <c r="J377" s="289">
        <f>I377*J376/I376</f>
        <v>1284.7674417907165</v>
      </c>
      <c r="K377" s="289">
        <f>ROUND(K376*$Q377/$Q376,8)</f>
        <v>21.651162790000001</v>
      </c>
      <c r="L377" s="289">
        <f>K377*L376/K376</f>
        <v>1318.8604650737809</v>
      </c>
      <c r="M377" s="289">
        <f>ROUND(M376*$Q377/$Q376,8)</f>
        <v>21.06976744</v>
      </c>
      <c r="N377" s="289">
        <f>M377*N376/M376</f>
        <v>1305.5813952335538</v>
      </c>
      <c r="O377" s="289">
        <f>ROUND(O376*$Q377/$Q376,8)</f>
        <v>21.06976744</v>
      </c>
      <c r="P377" s="289">
        <f>O377*P376/O376</f>
        <v>1235.7906975652979</v>
      </c>
      <c r="Q377" s="289">
        <v>21</v>
      </c>
      <c r="R377" s="289">
        <f>Q377*R376/Q376</f>
        <v>1349.1908139534883</v>
      </c>
    </row>
    <row r="378" spans="1:18">
      <c r="C378" s="5"/>
      <c r="E378" s="5"/>
      <c r="F378" s="5"/>
      <c r="G378" s="5"/>
      <c r="I378" s="5"/>
      <c r="K378" s="5"/>
      <c r="M378" s="5"/>
    </row>
    <row r="379" spans="1:18" ht="13">
      <c r="A379" s="1">
        <v>3005</v>
      </c>
      <c r="B379" s="2" t="s">
        <v>871</v>
      </c>
      <c r="C379" s="289">
        <f>VLOOKUP($A379,K0kommunestruktur2021!$A$4:$CC$359,3)</f>
        <v>96605</v>
      </c>
      <c r="D379" s="289">
        <f>VLOOKUP($A379,K0kommunestruktur2021!$A$4:$CC$359,4)</f>
        <v>2245441</v>
      </c>
      <c r="E379" s="289">
        <f>VLOOKUP($A379,K0kommunestruktur2021!$A$4:$CC$359,5)</f>
        <v>97771</v>
      </c>
      <c r="F379" s="289">
        <f>VLOOKUP($A379,K0kommunestruktur2021!$A$4:$CC$359,6)</f>
        <v>2395137</v>
      </c>
      <c r="G379" s="289">
        <f>VLOOKUP($A379,K0kommunestruktur2021!$A$4:$CC$359,7)</f>
        <v>98930</v>
      </c>
      <c r="H379" s="289">
        <f>VLOOKUP($A379,K0kommunestruktur2021!$A$4:$CC$359,8)</f>
        <v>2637910</v>
      </c>
      <c r="I379" s="289">
        <f>VLOOKUP($A379,K0kommunestruktur2021!$A$4:$CC$359,9)</f>
        <v>99734</v>
      </c>
      <c r="J379" s="289">
        <f>VLOOKUP($A379,K0kommunestruktur2021!$A$4:$CC$359,10)</f>
        <v>2776360</v>
      </c>
      <c r="K379" s="289">
        <f>VLOOKUP($A379,K0kommunestruktur2021!$A$4:$CC$359,11)</f>
        <v>100302</v>
      </c>
      <c r="L379" s="289">
        <f>VLOOKUP($A379,K0kommunestruktur2021!$A$4:$CC$359,12)</f>
        <v>2847014</v>
      </c>
      <c r="M379" s="289">
        <f>VLOOKUP($A379,K0kommunestruktur2021!$A$4:$CC$359,13)</f>
        <v>100581</v>
      </c>
      <c r="N379" s="289">
        <f>VLOOKUP($A379,K0kommunestruktur2021!$A$4:$CC$359,14)</f>
        <v>2968925</v>
      </c>
      <c r="O379" s="289">
        <f>VLOOKUP($A379,K0kommunestruktur2021!$A$4:$CC$359,15)</f>
        <v>101386</v>
      </c>
      <c r="P379" s="289">
        <f>VLOOKUP($A379,K0kommunestruktur2021!$A$4:$CC$359,16)</f>
        <v>2988879</v>
      </c>
      <c r="Q379" s="289">
        <f>VLOOKUP($A379,K0kommunestruktur2021!$A$4:$CC$359,17)</f>
        <v>101859</v>
      </c>
      <c r="R379" s="289">
        <f>VLOOKUP($A379,K0kommunestruktur2021!$A$4:$CC$359,18)</f>
        <v>3432396.2370000002</v>
      </c>
    </row>
    <row r="380" spans="1:18" ht="13">
      <c r="B380" s="894" t="s">
        <v>2251</v>
      </c>
      <c r="C380" s="289">
        <f>ROUND(C379*$Q380/$Q379,8)</f>
        <v>-33.194661250000003</v>
      </c>
      <c r="D380" s="289">
        <f>C380*D379/C379</f>
        <v>-771.56103050423121</v>
      </c>
      <c r="E380" s="289">
        <f>ROUND(E379*$Q380/$Q379,8)</f>
        <v>-33.595313130000001</v>
      </c>
      <c r="F380" s="289">
        <f>E380*F379/E379</f>
        <v>-822.9984095923005</v>
      </c>
      <c r="G380" s="289">
        <f>ROUND(G379*$Q380/$Q379,8)</f>
        <v>-33.99355972</v>
      </c>
      <c r="H380" s="289">
        <f>G380*H379/G379</f>
        <v>-906.41818579788935</v>
      </c>
      <c r="I380" s="289">
        <f>ROUND(I379*$Q380/$Q379,8)</f>
        <v>-34.269823969999997</v>
      </c>
      <c r="J380" s="289">
        <f>I380*J379/I379</f>
        <v>-953.99130163584323</v>
      </c>
      <c r="K380" s="289">
        <f>ROUND(K379*$Q380/$Q379,8)</f>
        <v>-34.464995729999998</v>
      </c>
      <c r="L380" s="289">
        <f>K380*L379/K379</f>
        <v>-978.26888151034098</v>
      </c>
      <c r="M380" s="289">
        <f>ROUND(M379*$Q380/$Q379,8)</f>
        <v>-34.560863550000001</v>
      </c>
      <c r="N380" s="289">
        <f>M380*N379/M379</f>
        <v>-1020.1589943944061</v>
      </c>
      <c r="O380" s="289">
        <f>ROUND(O379*$Q380/$Q379,8)</f>
        <v>-34.837471409999999</v>
      </c>
      <c r="P380" s="289">
        <f>O380*P379/O379</f>
        <v>-1027.0154332003372</v>
      </c>
      <c r="Q380" s="289">
        <v>-35</v>
      </c>
      <c r="R380" s="289">
        <f>Q380*R379/Q379</f>
        <v>-1179.4133880658558</v>
      </c>
    </row>
    <row r="381" spans="1:18" ht="13">
      <c r="B381" s="885" t="s">
        <v>1838</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90"/>
      <c r="D382" s="177"/>
      <c r="E382" s="289"/>
      <c r="F382" s="177"/>
      <c r="G382" s="289"/>
      <c r="H382" s="177"/>
      <c r="I382" s="289"/>
      <c r="J382" s="177"/>
      <c r="K382" s="289"/>
      <c r="L382" s="177"/>
      <c r="M382" s="289"/>
      <c r="N382"/>
    </row>
    <row r="383" spans="1:18" ht="13">
      <c r="A383" s="1">
        <v>3048</v>
      </c>
      <c r="B383" s="2" t="s">
        <v>884</v>
      </c>
      <c r="C383" s="289">
        <f>VLOOKUP($A383,K0kommunestruktur2021!$A$4:$CC$359,3)</f>
        <v>17919</v>
      </c>
      <c r="D383" s="289">
        <f>VLOOKUP($A383,K0kommunestruktur2021!$A$4:$CC$359,4)</f>
        <v>404166</v>
      </c>
      <c r="E383" s="289">
        <f>VLOOKUP($A383,K0kommunestruktur2021!$A$4:$CC$359,5)</f>
        <v>18039</v>
      </c>
      <c r="F383" s="289">
        <f>VLOOKUP($A383,K0kommunestruktur2021!$A$4:$CC$359,6)</f>
        <v>436278</v>
      </c>
      <c r="G383" s="289">
        <f>VLOOKUP($A383,K0kommunestruktur2021!$A$4:$CC$359,7)</f>
        <v>18205</v>
      </c>
      <c r="H383" s="289">
        <f>VLOOKUP($A383,K0kommunestruktur2021!$A$4:$CC$359,8)</f>
        <v>475477</v>
      </c>
      <c r="I383" s="289">
        <f>VLOOKUP($A383,K0kommunestruktur2021!$A$4:$CC$359,9)</f>
        <v>18562</v>
      </c>
      <c r="J383" s="289">
        <f>VLOOKUP($A383,K0kommunestruktur2021!$A$4:$CC$359,10)</f>
        <v>512095</v>
      </c>
      <c r="K383" s="289">
        <f>VLOOKUP($A383,K0kommunestruktur2021!$A$4:$CC$359,11)</f>
        <v>18926</v>
      </c>
      <c r="L383" s="289">
        <f>VLOOKUP($A383,K0kommunestruktur2021!$A$4:$CC$359,12)</f>
        <v>525047</v>
      </c>
      <c r="M383" s="289">
        <f>VLOOKUP($A383,K0kommunestruktur2021!$A$4:$CC$359,13)</f>
        <v>19117</v>
      </c>
      <c r="N383" s="289">
        <f>VLOOKUP($A383,K0kommunestruktur2021!$A$4:$CC$359,14)</f>
        <v>555986</v>
      </c>
      <c r="O383" s="289">
        <f>VLOOKUP($A383,K0kommunestruktur2021!$A$4:$CC$359,15)</f>
        <v>19423</v>
      </c>
      <c r="P383" s="289">
        <f>VLOOKUP($A383,K0kommunestruktur2021!$A$4:$CC$359,16)</f>
        <v>573811</v>
      </c>
      <c r="Q383" s="289">
        <f>VLOOKUP($A383,K0kommunestruktur2021!$A$4:$CC$359,17)</f>
        <v>19709</v>
      </c>
      <c r="R383" s="289">
        <f>VLOOKUP($A383,K0kommunestruktur2021!$A$4:$CC$359,18)</f>
        <v>655419.36100000003</v>
      </c>
    </row>
    <row r="384" spans="1:18" ht="13">
      <c r="B384" s="894" t="s">
        <v>2252</v>
      </c>
      <c r="C384" s="289">
        <f>ROUND(C383*$Q384/$Q383,8)</f>
        <v>31.821249179999999</v>
      </c>
      <c r="D384" s="289">
        <f>C384*D383/C383</f>
        <v>717.73352285751878</v>
      </c>
      <c r="E384" s="289">
        <f>ROUND(E383*$Q384/$Q383,8)</f>
        <v>32.03434979</v>
      </c>
      <c r="F384" s="289">
        <f>E384*F383/E383</f>
        <v>774.75924705813077</v>
      </c>
      <c r="G384" s="289">
        <f>ROUND(G383*$Q384/$Q383,8)</f>
        <v>32.329138970000002</v>
      </c>
      <c r="H384" s="289">
        <f>G384*H383/G383</f>
        <v>844.37033837070533</v>
      </c>
      <c r="I384" s="289">
        <f>ROUND(I383*$Q384/$Q383,8)</f>
        <v>32.963113300000003</v>
      </c>
      <c r="J384" s="289">
        <f>I384*J383/I383</f>
        <v>909.39799080721377</v>
      </c>
      <c r="K384" s="289">
        <f>ROUND(K383*$Q384/$Q383,8)</f>
        <v>33.609518489999999</v>
      </c>
      <c r="L384" s="289">
        <f>K384*L383/K383</f>
        <v>932.39865024934113</v>
      </c>
      <c r="M384" s="289">
        <f>ROUND(M383*$Q384/$Q383,8)</f>
        <v>33.948703639999998</v>
      </c>
      <c r="N384" s="289">
        <f>M384*N383/M383</f>
        <v>987.34131621012909</v>
      </c>
      <c r="O384" s="289">
        <f>ROUND(O383*$Q384/$Q383,8)</f>
        <v>34.492110199999999</v>
      </c>
      <c r="P384" s="289">
        <f>O384*P383/O383</f>
        <v>1018.99563640901</v>
      </c>
      <c r="Q384" s="289">
        <v>35</v>
      </c>
      <c r="R384" s="289">
        <f>Q384*R383/Q383</f>
        <v>1163.9189017707647</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s="5"/>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89"/>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4.26953125" customWidth="1"/>
  </cols>
  <sheetData>
    <row r="1" spans="1:18" s="85" customFormat="1">
      <c r="A1"/>
      <c r="B1" s="74" t="s">
        <v>719</v>
      </c>
      <c r="N1" s="177"/>
    </row>
    <row r="2" spans="1:18"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row>
    <row r="3" spans="1:18"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18" s="85" customFormat="1" ht="13">
      <c r="A4" s="865">
        <v>301</v>
      </c>
      <c r="B4" s="866" t="s">
        <v>823</v>
      </c>
      <c r="C4" s="289">
        <f>VLOOKUP($A4,K0kommunestruktur2019!$A$4:$N$425,K0kommunestruktur2020altern!C$3,FALSE)</f>
        <v>634463</v>
      </c>
      <c r="D4" s="177">
        <f>VLOOKUP($A4,K0kommunestruktur2019!$A$4:$N$425,K0kommunestruktur2020altern!D$3,FALSE)</f>
        <v>20917085</v>
      </c>
      <c r="E4" s="289">
        <f>VLOOKUP($A4,K0kommunestruktur2019!$A$4:$N$425,K0kommunestruktur2020altern!E$3,FALSE)</f>
        <v>647676</v>
      </c>
      <c r="F4" s="177">
        <f>VLOOKUP($A4,K0kommunestruktur2019!$A$4:$N$425,K0kommunestruktur2020altern!F$3,FALSE)</f>
        <v>22488171</v>
      </c>
      <c r="G4" s="289">
        <f>VLOOKUP($A4,K0kommunestruktur2019!$A$4:$N$425,K0kommunestruktur2020altern!G$3,FALSE)</f>
        <v>658390</v>
      </c>
      <c r="H4" s="177">
        <f>VLOOKUP($A4,K0kommunestruktur2019!$A$4:$N$425,K0kommunestruktur2020altern!H$3,FALSE)</f>
        <v>25522086</v>
      </c>
      <c r="I4" s="289">
        <f>VLOOKUP($A4,K0kommunestruktur2019!$A$4:$N$425,K0kommunestruktur2020altern!I$3,FALSE)</f>
        <v>666759</v>
      </c>
      <c r="J4" s="177">
        <f>VLOOKUP($A4,K0kommunestruktur2019!$A$4:$N$425,K0kommunestruktur2020altern!J$3,FALSE)</f>
        <v>27402999</v>
      </c>
      <c r="K4" s="289">
        <f>VLOOKUP($A4,K0kommunestruktur2019!$A$4:$N$425,K0kommunestruktur2020altern!K$3,FALSE)</f>
        <v>673469</v>
      </c>
      <c r="L4" s="177">
        <f>VLOOKUP($A4,K0kommunestruktur2019!$A$4:$N$425,K0kommunestruktur2020altern!L$3,FALSE)</f>
        <v>28170461</v>
      </c>
      <c r="M4" s="289">
        <f>VLOOKUP($A4,K0kommunestruktur2019!$A$4:$N$425,K0kommunestruktur2020altern!M$3,FALSE)</f>
        <v>681071</v>
      </c>
      <c r="N4" s="177">
        <f>VLOOKUP($A4,K0kommunestruktur2019!$A$4:$N$425,K0kommunestruktur2020altern!N$3,FALSE)</f>
        <v>29417306</v>
      </c>
      <c r="O4" s="289">
        <f>+'K20'!C4</f>
        <v>693494</v>
      </c>
      <c r="P4" s="177">
        <f>+'K20'!Z4</f>
        <v>29485704</v>
      </c>
      <c r="R4" s="517"/>
    </row>
    <row r="5" spans="1:18" s="85" customFormat="1" ht="13">
      <c r="A5" s="865">
        <v>1101</v>
      </c>
      <c r="B5" s="866" t="s">
        <v>958</v>
      </c>
      <c r="C5" s="289">
        <f>VLOOKUP($A5,K0kommunestruktur2019!$A$4:$N$425,K0kommunestruktur2020altern!C$3,FALSE)</f>
        <v>14811</v>
      </c>
      <c r="D5" s="177">
        <f>VLOOKUP($A5,K0kommunestruktur2019!$A$4:$N$425,K0kommunestruktur2020altern!D$3,FALSE)</f>
        <v>406927</v>
      </c>
      <c r="E5" s="289">
        <f>VLOOKUP($A5,K0kommunestruktur2019!$A$4:$N$425,K0kommunestruktur2020altern!E$3,FALSE)</f>
        <v>14916</v>
      </c>
      <c r="F5" s="177">
        <f>VLOOKUP($A5,K0kommunestruktur2019!$A$4:$N$425,K0kommunestruktur2020altern!F$3,FALSE)</f>
        <v>402775</v>
      </c>
      <c r="G5" s="289">
        <f>VLOOKUP($A5,K0kommunestruktur2019!$A$4:$N$425,K0kommunestruktur2020altern!G$3,FALSE)</f>
        <v>14942</v>
      </c>
      <c r="H5" s="177">
        <f>VLOOKUP($A5,K0kommunestruktur2019!$A$4:$N$425,K0kommunestruktur2020altern!H$3,FALSE)</f>
        <v>418367</v>
      </c>
      <c r="I5" s="289">
        <f>VLOOKUP($A5,K0kommunestruktur2019!$A$4:$N$425,K0kommunestruktur2020altern!I$3,FALSE)</f>
        <v>14899</v>
      </c>
      <c r="J5" s="177">
        <f>VLOOKUP($A5,K0kommunestruktur2019!$A$4:$N$425,K0kommunestruktur2020altern!J$3,FALSE)</f>
        <v>420764</v>
      </c>
      <c r="K5" s="289">
        <f>VLOOKUP($A5,K0kommunestruktur2019!$A$4:$N$425,K0kommunestruktur2020altern!K$3,FALSE)</f>
        <v>14898</v>
      </c>
      <c r="L5" s="177">
        <f>VLOOKUP($A5,K0kommunestruktur2019!$A$4:$N$425,K0kommunestruktur2020altern!L$3,FALSE)</f>
        <v>421333</v>
      </c>
      <c r="M5" s="289">
        <f>VLOOKUP($A5,K0kommunestruktur2019!$A$4:$N$425,K0kommunestruktur2020altern!M$3,FALSE)</f>
        <v>14830</v>
      </c>
      <c r="N5" s="177">
        <f>VLOOKUP($A5,K0kommunestruktur2019!$A$4:$N$425,K0kommunestruktur2020altern!N$3,FALSE)</f>
        <v>455451</v>
      </c>
      <c r="O5" s="289">
        <f>+'K20'!C5</f>
        <v>14811</v>
      </c>
      <c r="P5" s="177">
        <f>+'K20'!Z5</f>
        <v>500874</v>
      </c>
      <c r="R5" s="517"/>
    </row>
    <row r="6" spans="1:18" s="85" customFormat="1" ht="13">
      <c r="A6" s="884">
        <v>1103</v>
      </c>
      <c r="B6" s="885" t="s">
        <v>960</v>
      </c>
      <c r="C6" s="289">
        <f t="shared" ref="C6:N6" si="0">+C$366+C$367+C$368+C$369</f>
        <v>138644.87816691506</v>
      </c>
      <c r="D6" s="177">
        <f t="shared" si="0"/>
        <v>4991267.1122578243</v>
      </c>
      <c r="E6" s="289">
        <f t="shared" si="0"/>
        <v>140120.82228017884</v>
      </c>
      <c r="F6" s="177">
        <f t="shared" si="0"/>
        <v>5154093.0967213111</v>
      </c>
      <c r="G6" s="289">
        <f t="shared" si="0"/>
        <v>140797.48099850968</v>
      </c>
      <c r="H6" s="177">
        <f t="shared" si="0"/>
        <v>5299904.5139437411</v>
      </c>
      <c r="I6" s="289">
        <f t="shared" si="0"/>
        <v>140931.67064083458</v>
      </c>
      <c r="J6" s="177">
        <f t="shared" si="0"/>
        <v>5130242.1445696717</v>
      </c>
      <c r="K6" s="289">
        <f t="shared" si="0"/>
        <v>141262.08979135618</v>
      </c>
      <c r="L6" s="177">
        <f t="shared" si="0"/>
        <v>5191491.4601341281</v>
      </c>
      <c r="M6" s="289">
        <f t="shared" si="0"/>
        <v>142109</v>
      </c>
      <c r="N6" s="177">
        <f t="shared" si="0"/>
        <v>5568608.560357675</v>
      </c>
      <c r="O6" s="289">
        <f>+'K20'!C6</f>
        <v>143574</v>
      </c>
      <c r="P6" s="177">
        <f>+'K20'!Z6</f>
        <v>5548455</v>
      </c>
      <c r="R6" s="517"/>
    </row>
    <row r="7" spans="1:18" s="85" customFormat="1" ht="13">
      <c r="A7" s="865">
        <v>1106</v>
      </c>
      <c r="B7" s="866" t="s">
        <v>961</v>
      </c>
      <c r="C7" s="289">
        <f>VLOOKUP($A7,K0kommunestruktur2019!$A$4:$N$425,K0kommunestruktur2020altern!C$3,FALSE)</f>
        <v>36099</v>
      </c>
      <c r="D7" s="177">
        <f>VLOOKUP($A7,K0kommunestruktur2019!$A$4:$N$425,K0kommunestruktur2020altern!D$3,FALSE)</f>
        <v>907569</v>
      </c>
      <c r="E7" s="289">
        <f>VLOOKUP($A7,K0kommunestruktur2019!$A$4:$N$425,K0kommunestruktur2020altern!E$3,FALSE)</f>
        <v>36538</v>
      </c>
      <c r="F7" s="177">
        <f>VLOOKUP($A7,K0kommunestruktur2019!$A$4:$N$425,K0kommunestruktur2020altern!F$3,FALSE)</f>
        <v>944562</v>
      </c>
      <c r="G7" s="289">
        <f>VLOOKUP($A7,K0kommunestruktur2019!$A$4:$N$425,K0kommunestruktur2020altern!G$3,FALSE)</f>
        <v>36951</v>
      </c>
      <c r="H7" s="177">
        <f>VLOOKUP($A7,K0kommunestruktur2019!$A$4:$N$425,K0kommunestruktur2020altern!H$3,FALSE)</f>
        <v>980578</v>
      </c>
      <c r="I7" s="289">
        <f>VLOOKUP($A7,K0kommunestruktur2019!$A$4:$N$425,K0kommunestruktur2020altern!I$3,FALSE)</f>
        <v>37166</v>
      </c>
      <c r="J7" s="177">
        <f>VLOOKUP($A7,K0kommunestruktur2019!$A$4:$N$425,K0kommunestruktur2020altern!J$3,FALSE)</f>
        <v>1015625</v>
      </c>
      <c r="K7" s="289">
        <f>VLOOKUP($A7,K0kommunestruktur2019!$A$4:$N$425,K0kommunestruktur2020altern!K$3,FALSE)</f>
        <v>37167</v>
      </c>
      <c r="L7" s="177">
        <f>VLOOKUP($A7,K0kommunestruktur2019!$A$4:$N$425,K0kommunestruktur2020altern!L$3,FALSE)</f>
        <v>1084225</v>
      </c>
      <c r="M7" s="289">
        <f>VLOOKUP($A7,K0kommunestruktur2019!$A$4:$N$425,K0kommunestruktur2020altern!M$3,FALSE)</f>
        <v>37250</v>
      </c>
      <c r="N7" s="177">
        <f>VLOOKUP($A7,K0kommunestruktur2019!$A$4:$N$425,K0kommunestruktur2020altern!N$3,FALSE)</f>
        <v>1152023</v>
      </c>
      <c r="O7" s="289">
        <f>+'K20'!C7</f>
        <v>37357</v>
      </c>
      <c r="P7" s="177">
        <f>+'K20'!Z7</f>
        <v>1111347</v>
      </c>
      <c r="R7" s="517"/>
    </row>
    <row r="8" spans="1:18" s="85" customFormat="1" ht="13">
      <c r="A8" s="878">
        <v>1108</v>
      </c>
      <c r="B8" s="883" t="s">
        <v>1610</v>
      </c>
      <c r="C8" s="289">
        <f t="shared" ref="C8:N8" si="1">+C$371+C$372+C$373</f>
        <v>72972.305113160095</v>
      </c>
      <c r="D8" s="177">
        <f t="shared" si="1"/>
        <v>2154787.7394526405</v>
      </c>
      <c r="E8" s="289">
        <f t="shared" si="1"/>
        <v>74666.950544844934</v>
      </c>
      <c r="F8" s="177">
        <f t="shared" si="1"/>
        <v>2217307.8634928749</v>
      </c>
      <c r="G8" s="289">
        <f t="shared" si="1"/>
        <v>75888.851634534789</v>
      </c>
      <c r="H8" s="177">
        <f t="shared" si="1"/>
        <v>2316665.9280108968</v>
      </c>
      <c r="I8" s="289">
        <f t="shared" si="1"/>
        <v>76571.895222129082</v>
      </c>
      <c r="J8" s="177">
        <f t="shared" si="1"/>
        <v>2316362.2990000001</v>
      </c>
      <c r="K8" s="289">
        <f t="shared" si="1"/>
        <v>77403.758591785416</v>
      </c>
      <c r="L8" s="177">
        <f t="shared" si="1"/>
        <v>2381061.0662196144</v>
      </c>
      <c r="M8" s="289">
        <f t="shared" si="1"/>
        <v>78276</v>
      </c>
      <c r="N8" s="177">
        <f t="shared" si="1"/>
        <v>2478665.5297569153</v>
      </c>
      <c r="O8" s="289">
        <f>+'K20'!C8</f>
        <v>79537</v>
      </c>
      <c r="P8" s="177">
        <f>+'K20'!Z8</f>
        <v>2454234</v>
      </c>
      <c r="R8" s="517"/>
    </row>
    <row r="9" spans="1:18" s="85" customFormat="1" ht="13">
      <c r="A9" s="865">
        <v>1111</v>
      </c>
      <c r="B9" s="866" t="s">
        <v>962</v>
      </c>
      <c r="C9" s="289">
        <f>VLOOKUP($A9,K0kommunestruktur2019!$A$4:$N$425,K0kommunestruktur2020altern!C$3,FALSE)</f>
        <v>3303</v>
      </c>
      <c r="D9" s="177">
        <f>VLOOKUP($A9,K0kommunestruktur2019!$A$4:$N$425,K0kommunestruktur2020altern!D$3,FALSE)</f>
        <v>74638</v>
      </c>
      <c r="E9" s="289">
        <f>VLOOKUP($A9,K0kommunestruktur2019!$A$4:$N$425,K0kommunestruktur2020altern!E$3,FALSE)</f>
        <v>3309</v>
      </c>
      <c r="F9" s="177">
        <f>VLOOKUP($A9,K0kommunestruktur2019!$A$4:$N$425,K0kommunestruktur2020altern!F$3,FALSE)</f>
        <v>77414</v>
      </c>
      <c r="G9" s="289">
        <f>VLOOKUP($A9,K0kommunestruktur2019!$A$4:$N$425,K0kommunestruktur2020altern!G$3,FALSE)</f>
        <v>3313</v>
      </c>
      <c r="H9" s="177">
        <f>VLOOKUP($A9,K0kommunestruktur2019!$A$4:$N$425,K0kommunestruktur2020altern!H$3,FALSE)</f>
        <v>81397</v>
      </c>
      <c r="I9" s="289">
        <f>VLOOKUP($A9,K0kommunestruktur2019!$A$4:$N$425,K0kommunestruktur2020altern!I$3,FALSE)</f>
        <v>3316</v>
      </c>
      <c r="J9" s="177">
        <f>VLOOKUP($A9,K0kommunestruktur2019!$A$4:$N$425,K0kommunestruktur2020altern!J$3,FALSE)</f>
        <v>81393</v>
      </c>
      <c r="K9" s="289">
        <f>VLOOKUP($A9,K0kommunestruktur2019!$A$4:$N$425,K0kommunestruktur2020altern!K$3,FALSE)</f>
        <v>3331</v>
      </c>
      <c r="L9" s="177">
        <f>VLOOKUP($A9,K0kommunestruktur2019!$A$4:$N$425,K0kommunestruktur2020altern!L$3,FALSE)</f>
        <v>84326</v>
      </c>
      <c r="M9" s="289">
        <f>VLOOKUP($A9,K0kommunestruktur2019!$A$4:$N$425,K0kommunestruktur2020altern!M$3,FALSE)</f>
        <v>3305</v>
      </c>
      <c r="N9" s="177">
        <f>VLOOKUP($A9,K0kommunestruktur2019!$A$4:$N$425,K0kommunestruktur2020altern!N$3,FALSE)</f>
        <v>85248</v>
      </c>
      <c r="O9" s="289">
        <f>+'K20'!C9</f>
        <v>3280</v>
      </c>
      <c r="P9" s="177">
        <f>+'K20'!Z9</f>
        <v>84973</v>
      </c>
      <c r="R9" s="517"/>
    </row>
    <row r="10" spans="1:18" s="85" customFormat="1" ht="13">
      <c r="A10" s="865">
        <v>1112</v>
      </c>
      <c r="B10" s="866" t="s">
        <v>963</v>
      </c>
      <c r="C10" s="289">
        <f>VLOOKUP($A10,K0kommunestruktur2019!$A$4:$N$425,K0kommunestruktur2020altern!C$3,FALSE)</f>
        <v>3225</v>
      </c>
      <c r="D10" s="177">
        <f>VLOOKUP($A10,K0kommunestruktur2019!$A$4:$N$425,K0kommunestruktur2020altern!D$3,FALSE)</f>
        <v>66675</v>
      </c>
      <c r="E10" s="289">
        <f>VLOOKUP($A10,K0kommunestruktur2019!$A$4:$N$425,K0kommunestruktur2020altern!E$3,FALSE)</f>
        <v>3247</v>
      </c>
      <c r="F10" s="177">
        <f>VLOOKUP($A10,K0kommunestruktur2019!$A$4:$N$425,K0kommunestruktur2020altern!F$3,FALSE)</f>
        <v>68275</v>
      </c>
      <c r="G10" s="289">
        <f>VLOOKUP($A10,K0kommunestruktur2019!$A$4:$N$425,K0kommunestruktur2020altern!G$3,FALSE)</f>
        <v>3243</v>
      </c>
      <c r="H10" s="177">
        <f>VLOOKUP($A10,K0kommunestruktur2019!$A$4:$N$425,K0kommunestruktur2020altern!H$3,FALSE)</f>
        <v>71529</v>
      </c>
      <c r="I10" s="289">
        <f>VLOOKUP($A10,K0kommunestruktur2019!$A$4:$N$425,K0kommunestruktur2020altern!I$3,FALSE)</f>
        <v>3259</v>
      </c>
      <c r="J10" s="177">
        <f>VLOOKUP($A10,K0kommunestruktur2019!$A$4:$N$425,K0kommunestruktur2020altern!J$3,FALSE)</f>
        <v>79675</v>
      </c>
      <c r="K10" s="289">
        <f>VLOOKUP($A10,K0kommunestruktur2019!$A$4:$N$425,K0kommunestruktur2020altern!K$3,FALSE)</f>
        <v>3237</v>
      </c>
      <c r="L10" s="177">
        <f>VLOOKUP($A10,K0kommunestruktur2019!$A$4:$N$425,K0kommunestruktur2020altern!L$3,FALSE)</f>
        <v>78836</v>
      </c>
      <c r="M10" s="289">
        <f>VLOOKUP($A10,K0kommunestruktur2019!$A$4:$N$425,K0kommunestruktur2020altern!M$3,FALSE)</f>
        <v>3213</v>
      </c>
      <c r="N10" s="177">
        <f>VLOOKUP($A10,K0kommunestruktur2019!$A$4:$N$425,K0kommunestruktur2020altern!N$3,FALSE)</f>
        <v>82728</v>
      </c>
      <c r="O10" s="289">
        <f>+'K20'!C10</f>
        <v>3202</v>
      </c>
      <c r="P10" s="177">
        <f>+'K20'!Z10</f>
        <v>80162</v>
      </c>
      <c r="R10" s="517"/>
    </row>
    <row r="11" spans="1:18" ht="13">
      <c r="A11" s="865">
        <v>1114</v>
      </c>
      <c r="B11" s="866" t="s">
        <v>0</v>
      </c>
      <c r="C11" s="289">
        <f>VLOOKUP($A11,K0kommunestruktur2019!$A$4:$N$425,K0kommunestruktur2020altern!C$3,FALSE)</f>
        <v>2820</v>
      </c>
      <c r="D11" s="177">
        <f>VLOOKUP($A11,K0kommunestruktur2019!$A$4:$N$425,K0kommunestruktur2020altern!D$3,FALSE)</f>
        <v>64270</v>
      </c>
      <c r="E11" s="289">
        <f>VLOOKUP($A11,K0kommunestruktur2019!$A$4:$N$425,K0kommunestruktur2020altern!E$3,FALSE)</f>
        <v>2861</v>
      </c>
      <c r="F11" s="177">
        <f>VLOOKUP($A11,K0kommunestruktur2019!$A$4:$N$425,K0kommunestruktur2020altern!F$3,FALSE)</f>
        <v>66516</v>
      </c>
      <c r="G11" s="289">
        <f>VLOOKUP($A11,K0kommunestruktur2019!$A$4:$N$425,K0kommunestruktur2020altern!G$3,FALSE)</f>
        <v>2825</v>
      </c>
      <c r="H11" s="177">
        <f>VLOOKUP($A11,K0kommunestruktur2019!$A$4:$N$425,K0kommunestruktur2020altern!H$3,FALSE)</f>
        <v>73550</v>
      </c>
      <c r="I11" s="289">
        <f>VLOOKUP($A11,K0kommunestruktur2019!$A$4:$N$425,K0kommunestruktur2020altern!I$3,FALSE)</f>
        <v>2826</v>
      </c>
      <c r="J11" s="177">
        <f>VLOOKUP($A11,K0kommunestruktur2019!$A$4:$N$425,K0kommunestruktur2020altern!J$3,FALSE)</f>
        <v>76011</v>
      </c>
      <c r="K11" s="289">
        <f>VLOOKUP($A11,K0kommunestruktur2019!$A$4:$N$425,K0kommunestruktur2020altern!K$3,FALSE)</f>
        <v>2826</v>
      </c>
      <c r="L11" s="177">
        <f>VLOOKUP($A11,K0kommunestruktur2019!$A$4:$N$425,K0kommunestruktur2020altern!L$3,FALSE)</f>
        <v>71889</v>
      </c>
      <c r="M11" s="289">
        <f>VLOOKUP($A11,K0kommunestruktur2019!$A$4:$N$425,K0kommunestruktur2020altern!M$3,FALSE)</f>
        <v>2807</v>
      </c>
      <c r="N11" s="177">
        <f>VLOOKUP($A11,K0kommunestruktur2019!$A$4:$N$425,K0kommunestruktur2020altern!N$3,FALSE)</f>
        <v>73711</v>
      </c>
      <c r="O11" s="289">
        <f>+'K20'!C11</f>
        <v>2787</v>
      </c>
      <c r="P11" s="177">
        <f>+'K20'!Z11</f>
        <v>72723</v>
      </c>
      <c r="R11" s="517"/>
    </row>
    <row r="12" spans="1:18" ht="13">
      <c r="A12" s="865">
        <v>1119</v>
      </c>
      <c r="B12" s="866" t="s">
        <v>1</v>
      </c>
      <c r="C12" s="289">
        <f>VLOOKUP($A12,K0kommunestruktur2019!$A$4:$N$425,K0kommunestruktur2020altern!C$3,FALSE)</f>
        <v>18115</v>
      </c>
      <c r="D12" s="177">
        <f>VLOOKUP($A12,K0kommunestruktur2019!$A$4:$N$425,K0kommunestruktur2020altern!D$3,FALSE)</f>
        <v>424970</v>
      </c>
      <c r="E12" s="289">
        <f>VLOOKUP($A12,K0kommunestruktur2019!$A$4:$N$425,K0kommunestruktur2020altern!E$3,FALSE)</f>
        <v>18528</v>
      </c>
      <c r="F12" s="177">
        <f>VLOOKUP($A12,K0kommunestruktur2019!$A$4:$N$425,K0kommunestruktur2020altern!F$3,FALSE)</f>
        <v>436779</v>
      </c>
      <c r="G12" s="289">
        <f>VLOOKUP($A12,K0kommunestruktur2019!$A$4:$N$425,K0kommunestruktur2020altern!G$3,FALSE)</f>
        <v>18591</v>
      </c>
      <c r="H12" s="177">
        <f>VLOOKUP($A12,K0kommunestruktur2019!$A$4:$N$425,K0kommunestruktur2020altern!H$3,FALSE)</f>
        <v>467975</v>
      </c>
      <c r="I12" s="289">
        <f>VLOOKUP($A12,K0kommunestruktur2019!$A$4:$N$425,K0kommunestruktur2020altern!I$3,FALSE)</f>
        <v>18800</v>
      </c>
      <c r="J12" s="177">
        <f>VLOOKUP($A12,K0kommunestruktur2019!$A$4:$N$425,K0kommunestruktur2020altern!J$3,FALSE)</f>
        <v>470013</v>
      </c>
      <c r="K12" s="289">
        <f>VLOOKUP($A12,K0kommunestruktur2019!$A$4:$N$425,K0kommunestruktur2020altern!K$3,FALSE)</f>
        <v>18762</v>
      </c>
      <c r="L12" s="177">
        <f>VLOOKUP($A12,K0kommunestruktur2019!$A$4:$N$425,K0kommunestruktur2020altern!L$3,FALSE)</f>
        <v>474998</v>
      </c>
      <c r="M12" s="289">
        <f>VLOOKUP($A12,K0kommunestruktur2019!$A$4:$N$425,K0kommunestruktur2020altern!M$3,FALSE)</f>
        <v>18814</v>
      </c>
      <c r="N12" s="177">
        <f>VLOOKUP($A12,K0kommunestruktur2019!$A$4:$N$425,K0kommunestruktur2020altern!N$3,FALSE)</f>
        <v>500305</v>
      </c>
      <c r="O12" s="289">
        <f>+'K20'!C12</f>
        <v>18991</v>
      </c>
      <c r="P12" s="177">
        <f>+'K20'!Z12</f>
        <v>495345</v>
      </c>
      <c r="R12" s="517"/>
    </row>
    <row r="13" spans="1:18" ht="13">
      <c r="A13" s="865">
        <v>1120</v>
      </c>
      <c r="B13" s="866" t="s">
        <v>2</v>
      </c>
      <c r="C13" s="289">
        <f>VLOOKUP($A13,K0kommunestruktur2019!$A$4:$N$425,K0kommunestruktur2020altern!C$3,FALSE)</f>
        <v>18485</v>
      </c>
      <c r="D13" s="177">
        <f>VLOOKUP($A13,K0kommunestruktur2019!$A$4:$N$425,K0kommunestruktur2020altern!D$3,FALSE)</f>
        <v>490669</v>
      </c>
      <c r="E13" s="289">
        <f>VLOOKUP($A13,K0kommunestruktur2019!$A$4:$N$425,K0kommunestruktur2020altern!E$3,FALSE)</f>
        <v>18741</v>
      </c>
      <c r="F13" s="177">
        <f>VLOOKUP($A13,K0kommunestruktur2019!$A$4:$N$425,K0kommunestruktur2020altern!F$3,FALSE)</f>
        <v>496786</v>
      </c>
      <c r="G13" s="289">
        <f>VLOOKUP($A13,K0kommunestruktur2019!$A$4:$N$425,K0kommunestruktur2020altern!G$3,FALSE)</f>
        <v>18970</v>
      </c>
      <c r="H13" s="177">
        <f>VLOOKUP($A13,K0kommunestruktur2019!$A$4:$N$425,K0kommunestruktur2020altern!H$3,FALSE)</f>
        <v>534018</v>
      </c>
      <c r="I13" s="289">
        <f>VLOOKUP($A13,K0kommunestruktur2019!$A$4:$N$425,K0kommunestruktur2020altern!I$3,FALSE)</f>
        <v>19042</v>
      </c>
      <c r="J13" s="177">
        <f>VLOOKUP($A13,K0kommunestruktur2019!$A$4:$N$425,K0kommunestruktur2020altern!J$3,FALSE)</f>
        <v>526351</v>
      </c>
      <c r="K13" s="289">
        <f>VLOOKUP($A13,K0kommunestruktur2019!$A$4:$N$425,K0kommunestruktur2020altern!K$3,FALSE)</f>
        <v>19217</v>
      </c>
      <c r="L13" s="177">
        <f>VLOOKUP($A13,K0kommunestruktur2019!$A$4:$N$425,K0kommunestruktur2020altern!L$3,FALSE)</f>
        <v>545564</v>
      </c>
      <c r="M13" s="289">
        <f>VLOOKUP($A13,K0kommunestruktur2019!$A$4:$N$425,K0kommunestruktur2020altern!M$3,FALSE)</f>
        <v>19354</v>
      </c>
      <c r="N13" s="177">
        <f>VLOOKUP($A13,K0kommunestruktur2019!$A$4:$N$425,K0kommunestruktur2020altern!N$3,FALSE)</f>
        <v>568602</v>
      </c>
      <c r="O13" s="289">
        <f>+'K20'!C13</f>
        <v>19588</v>
      </c>
      <c r="P13" s="177">
        <f>+'K20'!Z13</f>
        <v>571777</v>
      </c>
      <c r="R13" s="517"/>
    </row>
    <row r="14" spans="1:18" ht="13">
      <c r="A14" s="865">
        <v>1121</v>
      </c>
      <c r="B14" s="866" t="s">
        <v>3</v>
      </c>
      <c r="C14" s="289">
        <f>VLOOKUP($A14,K0kommunestruktur2019!$A$4:$N$425,K0kommunestruktur2020altern!C$3,FALSE)</f>
        <v>17897</v>
      </c>
      <c r="D14" s="177">
        <f>VLOOKUP($A14,K0kommunestruktur2019!$A$4:$N$425,K0kommunestruktur2020altern!D$3,FALSE)</f>
        <v>477840</v>
      </c>
      <c r="E14" s="289">
        <f>VLOOKUP($A14,K0kommunestruktur2019!$A$4:$N$425,K0kommunestruktur2020altern!E$3,FALSE)</f>
        <v>18306</v>
      </c>
      <c r="F14" s="177">
        <f>VLOOKUP($A14,K0kommunestruktur2019!$A$4:$N$425,K0kommunestruktur2020altern!F$3,FALSE)</f>
        <v>493393</v>
      </c>
      <c r="G14" s="289">
        <f>VLOOKUP($A14,K0kommunestruktur2019!$A$4:$N$425,K0kommunestruktur2020altern!G$3,FALSE)</f>
        <v>18572</v>
      </c>
      <c r="H14" s="177">
        <f>VLOOKUP($A14,K0kommunestruktur2019!$A$4:$N$425,K0kommunestruktur2020altern!H$3,FALSE)</f>
        <v>534004</v>
      </c>
      <c r="I14" s="289">
        <f>VLOOKUP($A14,K0kommunestruktur2019!$A$4:$N$425,K0kommunestruktur2020altern!I$3,FALSE)</f>
        <v>18656</v>
      </c>
      <c r="J14" s="177">
        <f>VLOOKUP($A14,K0kommunestruktur2019!$A$4:$N$425,K0kommunestruktur2020altern!J$3,FALSE)</f>
        <v>529636</v>
      </c>
      <c r="K14" s="289">
        <f>VLOOKUP($A14,K0kommunestruktur2019!$A$4:$N$425,K0kommunestruktur2020altern!K$3,FALSE)</f>
        <v>18699</v>
      </c>
      <c r="L14" s="177">
        <f>VLOOKUP($A14,K0kommunestruktur2019!$A$4:$N$425,K0kommunestruktur2020altern!L$3,FALSE)</f>
        <v>540548</v>
      </c>
      <c r="M14" s="289">
        <f>VLOOKUP($A14,K0kommunestruktur2019!$A$4:$N$425,K0kommunestruktur2020altern!M$3,FALSE)</f>
        <v>18795</v>
      </c>
      <c r="N14" s="177">
        <f>VLOOKUP($A14,K0kommunestruktur2019!$A$4:$N$425,K0kommunestruktur2020altern!N$3,FALSE)</f>
        <v>561432</v>
      </c>
      <c r="O14" s="289">
        <f>+'K20'!C14</f>
        <v>18916</v>
      </c>
      <c r="P14" s="177">
        <f>+'K20'!Z14</f>
        <v>563308</v>
      </c>
      <c r="R14" s="517"/>
    </row>
    <row r="15" spans="1:18" ht="13">
      <c r="A15" s="865">
        <v>1122</v>
      </c>
      <c r="B15" s="866" t="s">
        <v>4</v>
      </c>
      <c r="C15" s="289">
        <f>VLOOKUP($A15,K0kommunestruktur2019!$A$4:$N$425,K0kommunestruktur2020altern!C$3,FALSE)</f>
        <v>11317</v>
      </c>
      <c r="D15" s="177">
        <f>VLOOKUP($A15,K0kommunestruktur2019!$A$4:$N$425,K0kommunestruktur2020altern!D$3,FALSE)</f>
        <v>281779</v>
      </c>
      <c r="E15" s="289">
        <f>VLOOKUP($A15,K0kommunestruktur2019!$A$4:$N$425,K0kommunestruktur2020altern!E$3,FALSE)</f>
        <v>11600</v>
      </c>
      <c r="F15" s="177">
        <f>VLOOKUP($A15,K0kommunestruktur2019!$A$4:$N$425,K0kommunestruktur2020altern!F$3,FALSE)</f>
        <v>293175</v>
      </c>
      <c r="G15" s="289">
        <f>VLOOKUP($A15,K0kommunestruktur2019!$A$4:$N$425,K0kommunestruktur2020altern!G$3,FALSE)</f>
        <v>11853</v>
      </c>
      <c r="H15" s="177">
        <f>VLOOKUP($A15,K0kommunestruktur2019!$A$4:$N$425,K0kommunestruktur2020altern!H$3,FALSE)</f>
        <v>310148</v>
      </c>
      <c r="I15" s="289">
        <f>VLOOKUP($A15,K0kommunestruktur2019!$A$4:$N$425,K0kommunestruktur2020altern!I$3,FALSE)</f>
        <v>11902</v>
      </c>
      <c r="J15" s="177">
        <f>VLOOKUP($A15,K0kommunestruktur2019!$A$4:$N$425,K0kommunestruktur2020altern!J$3,FALSE)</f>
        <v>305892</v>
      </c>
      <c r="K15" s="289">
        <f>VLOOKUP($A15,K0kommunestruktur2019!$A$4:$N$425,K0kommunestruktur2020altern!K$3,FALSE)</f>
        <v>11866</v>
      </c>
      <c r="L15" s="177">
        <f>VLOOKUP($A15,K0kommunestruktur2019!$A$4:$N$425,K0kommunestruktur2020altern!L$3,FALSE)</f>
        <v>315579</v>
      </c>
      <c r="M15" s="289">
        <f>VLOOKUP($A15,K0kommunestruktur2019!$A$4:$N$425,K0kommunestruktur2020altern!M$3,FALSE)</f>
        <v>11899</v>
      </c>
      <c r="N15" s="177">
        <f>VLOOKUP($A15,K0kommunestruktur2019!$A$4:$N$425,K0kommunestruktur2020altern!N$3,FALSE)</f>
        <v>328082</v>
      </c>
      <c r="O15" s="289">
        <f>+'K20'!C15</f>
        <v>12002</v>
      </c>
      <c r="P15" s="177">
        <f>+'K20'!Z15</f>
        <v>324379</v>
      </c>
      <c r="R15" s="517"/>
    </row>
    <row r="16" spans="1:18" ht="13">
      <c r="A16" s="865">
        <v>1124</v>
      </c>
      <c r="B16" s="866" t="s">
        <v>5</v>
      </c>
      <c r="C16" s="289">
        <f>VLOOKUP($A16,K0kommunestruktur2019!$A$4:$N$425,K0kommunestruktur2020altern!C$3,FALSE)</f>
        <v>25083</v>
      </c>
      <c r="D16" s="177">
        <f>VLOOKUP($A16,K0kommunestruktur2019!$A$4:$N$425,K0kommunestruktur2020altern!D$3,FALSE)</f>
        <v>894740</v>
      </c>
      <c r="E16" s="289">
        <f>VLOOKUP($A16,K0kommunestruktur2019!$A$4:$N$425,K0kommunestruktur2020altern!E$3,FALSE)</f>
        <v>25708</v>
      </c>
      <c r="F16" s="177">
        <f>VLOOKUP($A16,K0kommunestruktur2019!$A$4:$N$425,K0kommunestruktur2020altern!F$3,FALSE)</f>
        <v>961647</v>
      </c>
      <c r="G16" s="289">
        <f>VLOOKUP($A16,K0kommunestruktur2019!$A$4:$N$425,K0kommunestruktur2020altern!G$3,FALSE)</f>
        <v>26096</v>
      </c>
      <c r="H16" s="177">
        <f>VLOOKUP($A16,K0kommunestruktur2019!$A$4:$N$425,K0kommunestruktur2020altern!H$3,FALSE)</f>
        <v>986777</v>
      </c>
      <c r="I16" s="289">
        <f>VLOOKUP($A16,K0kommunestruktur2019!$A$4:$N$425,K0kommunestruktur2020altern!I$3,FALSE)</f>
        <v>26016</v>
      </c>
      <c r="J16" s="177">
        <f>VLOOKUP($A16,K0kommunestruktur2019!$A$4:$N$425,K0kommunestruktur2020altern!J$3,FALSE)</f>
        <v>945204</v>
      </c>
      <c r="K16" s="289">
        <f>VLOOKUP($A16,K0kommunestruktur2019!$A$4:$N$425,K0kommunestruktur2020altern!K$3,FALSE)</f>
        <v>26265</v>
      </c>
      <c r="L16" s="177">
        <f>VLOOKUP($A16,K0kommunestruktur2019!$A$4:$N$425,K0kommunestruktur2020altern!L$3,FALSE)</f>
        <v>971476</v>
      </c>
      <c r="M16" s="289">
        <f>VLOOKUP($A16,K0kommunestruktur2019!$A$4:$N$425,K0kommunestruktur2020altern!M$3,FALSE)</f>
        <v>26582</v>
      </c>
      <c r="N16" s="177">
        <f>VLOOKUP($A16,K0kommunestruktur2019!$A$4:$N$425,K0kommunestruktur2020altern!N$3,FALSE)</f>
        <v>1049894</v>
      </c>
      <c r="O16" s="289">
        <f>+'K20'!C16</f>
        <v>27153</v>
      </c>
      <c r="P16" s="177">
        <f>+'K20'!Z16</f>
        <v>1057879</v>
      </c>
      <c r="R16" s="517"/>
    </row>
    <row r="17" spans="1:18" ht="13">
      <c r="A17" s="865">
        <v>1127</v>
      </c>
      <c r="B17" s="866" t="s">
        <v>6</v>
      </c>
      <c r="C17" s="289">
        <f>VLOOKUP($A17,K0kommunestruktur2019!$A$4:$N$425,K0kommunestruktur2020altern!C$3,FALSE)</f>
        <v>10416</v>
      </c>
      <c r="D17" s="177">
        <f>VLOOKUP($A17,K0kommunestruktur2019!$A$4:$N$425,K0kommunestruktur2020altern!D$3,FALSE)</f>
        <v>337979</v>
      </c>
      <c r="E17" s="289">
        <f>VLOOKUP($A17,K0kommunestruktur2019!$A$4:$N$425,K0kommunestruktur2020altern!E$3,FALSE)</f>
        <v>10556</v>
      </c>
      <c r="F17" s="177">
        <f>VLOOKUP($A17,K0kommunestruktur2019!$A$4:$N$425,K0kommunestruktur2020altern!F$3,FALSE)</f>
        <v>344173</v>
      </c>
      <c r="G17" s="289">
        <f>VLOOKUP($A17,K0kommunestruktur2019!$A$4:$N$425,K0kommunestruktur2020altern!G$3,FALSE)</f>
        <v>10737</v>
      </c>
      <c r="H17" s="177">
        <f>VLOOKUP($A17,K0kommunestruktur2019!$A$4:$N$425,K0kommunestruktur2020altern!H$3,FALSE)</f>
        <v>354504</v>
      </c>
      <c r="I17" s="289">
        <f>VLOOKUP($A17,K0kommunestruktur2019!$A$4:$N$425,K0kommunestruktur2020altern!I$3,FALSE)</f>
        <v>10873</v>
      </c>
      <c r="J17" s="177">
        <f>VLOOKUP($A17,K0kommunestruktur2019!$A$4:$N$425,K0kommunestruktur2020altern!J$3,FALSE)</f>
        <v>341416</v>
      </c>
      <c r="K17" s="289">
        <f>VLOOKUP($A17,K0kommunestruktur2019!$A$4:$N$425,K0kommunestruktur2020altern!K$3,FALSE)</f>
        <v>10972</v>
      </c>
      <c r="L17" s="177">
        <f>VLOOKUP($A17,K0kommunestruktur2019!$A$4:$N$425,K0kommunestruktur2020altern!L$3,FALSE)</f>
        <v>354189</v>
      </c>
      <c r="M17" s="289">
        <f>VLOOKUP($A17,K0kommunestruktur2019!$A$4:$N$425,K0kommunestruktur2020altern!M$3,FALSE)</f>
        <v>11053</v>
      </c>
      <c r="N17" s="177">
        <f>VLOOKUP($A17,K0kommunestruktur2019!$A$4:$N$425,K0kommunestruktur2020altern!N$3,FALSE)</f>
        <v>377149</v>
      </c>
      <c r="O17" s="289">
        <f>+'K20'!C17</f>
        <v>11221</v>
      </c>
      <c r="P17" s="177">
        <f>+'K20'!Z17</f>
        <v>389630</v>
      </c>
      <c r="R17" s="517"/>
    </row>
    <row r="18" spans="1:18" ht="13">
      <c r="A18" s="889">
        <v>1130</v>
      </c>
      <c r="B18" s="890" t="s">
        <v>12</v>
      </c>
      <c r="C18" s="289">
        <f t="shared" ref="C18:N18" si="2">+C$376+C$377</f>
        <v>12308.694886839899</v>
      </c>
      <c r="D18" s="177">
        <f t="shared" si="2"/>
        <v>297993.26054735959</v>
      </c>
      <c r="E18" s="289">
        <f t="shared" si="2"/>
        <v>12560.049455155071</v>
      </c>
      <c r="F18" s="177">
        <f t="shared" si="2"/>
        <v>303168.13650712487</v>
      </c>
      <c r="G18" s="289">
        <f t="shared" si="2"/>
        <v>12633.148365465213</v>
      </c>
      <c r="H18" s="177">
        <f t="shared" si="2"/>
        <v>331904.0719891031</v>
      </c>
      <c r="I18" s="289">
        <f t="shared" si="2"/>
        <v>12832.104777870914</v>
      </c>
      <c r="J18" s="177">
        <f t="shared" si="2"/>
        <v>337756.701</v>
      </c>
      <c r="K18" s="289">
        <f t="shared" si="2"/>
        <v>12808.241408214584</v>
      </c>
      <c r="L18" s="177">
        <f t="shared" si="2"/>
        <v>346084.93378038559</v>
      </c>
      <c r="M18" s="289">
        <f t="shared" si="2"/>
        <v>12883</v>
      </c>
      <c r="N18" s="177">
        <f t="shared" si="2"/>
        <v>363431.47024308465</v>
      </c>
      <c r="O18" s="289">
        <f>+'K20'!C18</f>
        <v>12968</v>
      </c>
      <c r="P18" s="177">
        <f>+'K20'!Z18</f>
        <v>352943</v>
      </c>
      <c r="R18" s="517"/>
    </row>
    <row r="19" spans="1:18" ht="13">
      <c r="A19" s="889">
        <v>1133</v>
      </c>
      <c r="B19" s="890" t="s">
        <v>13</v>
      </c>
      <c r="C19" s="289">
        <f t="shared" ref="C19:N19" si="3">+C$379+C$380</f>
        <v>2709.1218330849479</v>
      </c>
      <c r="D19" s="177">
        <f t="shared" si="3"/>
        <v>84612.887742175852</v>
      </c>
      <c r="E19" s="289">
        <f t="shared" si="3"/>
        <v>2707.1777198211626</v>
      </c>
      <c r="F19" s="177">
        <f t="shared" si="3"/>
        <v>89587.903278688522</v>
      </c>
      <c r="G19" s="289">
        <f t="shared" si="3"/>
        <v>2660.5190014903128</v>
      </c>
      <c r="H19" s="177">
        <f t="shared" si="3"/>
        <v>92345.486056259309</v>
      </c>
      <c r="I19" s="289">
        <f t="shared" si="3"/>
        <v>2632.3293591654246</v>
      </c>
      <c r="J19" s="177">
        <f t="shared" si="3"/>
        <v>93003.855430327865</v>
      </c>
      <c r="K19" s="289">
        <f t="shared" si="3"/>
        <v>2646.9102086438152</v>
      </c>
      <c r="L19" s="177">
        <f t="shared" si="3"/>
        <v>92689.539865871833</v>
      </c>
      <c r="M19" s="289">
        <f t="shared" si="3"/>
        <v>2609</v>
      </c>
      <c r="N19" s="177">
        <f t="shared" si="3"/>
        <v>93661.439642324884</v>
      </c>
      <c r="O19" s="289">
        <f>+'K20'!C19</f>
        <v>2574</v>
      </c>
      <c r="P19" s="177">
        <f>+'K20'!Z19</f>
        <v>94093</v>
      </c>
      <c r="R19" s="517"/>
    </row>
    <row r="20" spans="1:18" ht="13">
      <c r="A20" s="865">
        <v>1134</v>
      </c>
      <c r="B20" s="866" t="s">
        <v>14</v>
      </c>
      <c r="C20" s="289">
        <f>VLOOKUP($A20,K0kommunestruktur2019!$A$4:$N$425,K0kommunestruktur2020altern!C$3,FALSE)</f>
        <v>3881</v>
      </c>
      <c r="D20" s="177">
        <f>VLOOKUP($A20,K0kommunestruktur2019!$A$4:$N$425,K0kommunestruktur2020altern!D$3,FALSE)</f>
        <v>128925</v>
      </c>
      <c r="E20" s="289">
        <f>VLOOKUP($A20,K0kommunestruktur2019!$A$4:$N$425,K0kommunestruktur2020altern!E$3,FALSE)</f>
        <v>3892</v>
      </c>
      <c r="F20" s="177">
        <f>VLOOKUP($A20,K0kommunestruktur2019!$A$4:$N$425,K0kommunestruktur2020altern!F$3,FALSE)</f>
        <v>135306</v>
      </c>
      <c r="G20" s="289">
        <f>VLOOKUP($A20,K0kommunestruktur2019!$A$4:$N$425,K0kommunestruktur2020altern!G$3,FALSE)</f>
        <v>3903</v>
      </c>
      <c r="H20" s="177">
        <f>VLOOKUP($A20,K0kommunestruktur2019!$A$4:$N$425,K0kommunestruktur2020altern!H$3,FALSE)</f>
        <v>141024</v>
      </c>
      <c r="I20" s="289">
        <f>VLOOKUP($A20,K0kommunestruktur2019!$A$4:$N$425,K0kommunestruktur2020altern!I$3,FALSE)</f>
        <v>3853</v>
      </c>
      <c r="J20" s="177">
        <f>VLOOKUP($A20,K0kommunestruktur2019!$A$4:$N$425,K0kommunestruktur2020altern!J$3,FALSE)</f>
        <v>145448</v>
      </c>
      <c r="K20" s="289">
        <f>VLOOKUP($A20,K0kommunestruktur2019!$A$4:$N$425,K0kommunestruktur2020altern!K$3,FALSE)</f>
        <v>3849</v>
      </c>
      <c r="L20" s="177">
        <f>VLOOKUP($A20,K0kommunestruktur2019!$A$4:$N$425,K0kommunestruktur2020altern!L$3,FALSE)</f>
        <v>153606</v>
      </c>
      <c r="M20" s="289">
        <f>VLOOKUP($A20,K0kommunestruktur2019!$A$4:$N$425,K0kommunestruktur2020altern!M$3,FALSE)</f>
        <v>3794</v>
      </c>
      <c r="N20" s="177">
        <f>VLOOKUP($A20,K0kommunestruktur2019!$A$4:$N$425,K0kommunestruktur2020altern!N$3,FALSE)</f>
        <v>156911</v>
      </c>
      <c r="O20" s="289">
        <f>+'K20'!C20</f>
        <v>3804</v>
      </c>
      <c r="P20" s="177">
        <f>+'K20'!Z20</f>
        <v>148300</v>
      </c>
      <c r="R20" s="517"/>
    </row>
    <row r="21" spans="1:18" ht="13">
      <c r="A21" s="865">
        <v>1135</v>
      </c>
      <c r="B21" s="866" t="s">
        <v>15</v>
      </c>
      <c r="C21" s="289">
        <f>VLOOKUP($A21,K0kommunestruktur2019!$A$4:$N$425,K0kommunestruktur2020altern!C$3,FALSE)</f>
        <v>4760</v>
      </c>
      <c r="D21" s="177">
        <f>VLOOKUP($A21,K0kommunestruktur2019!$A$4:$N$425,K0kommunestruktur2020altern!D$3,FALSE)</f>
        <v>127106</v>
      </c>
      <c r="E21" s="289">
        <f>VLOOKUP($A21,K0kommunestruktur2019!$A$4:$N$425,K0kommunestruktur2020altern!E$3,FALSE)</f>
        <v>4756</v>
      </c>
      <c r="F21" s="177">
        <f>VLOOKUP($A21,K0kommunestruktur2019!$A$4:$N$425,K0kommunestruktur2020altern!F$3,FALSE)</f>
        <v>134334</v>
      </c>
      <c r="G21" s="289">
        <f>VLOOKUP($A21,K0kommunestruktur2019!$A$4:$N$425,K0kommunestruktur2020altern!G$3,FALSE)</f>
        <v>4710</v>
      </c>
      <c r="H21" s="177">
        <f>VLOOKUP($A21,K0kommunestruktur2019!$A$4:$N$425,K0kommunestruktur2020altern!H$3,FALSE)</f>
        <v>112299</v>
      </c>
      <c r="I21" s="289">
        <f>VLOOKUP($A21,K0kommunestruktur2019!$A$4:$N$425,K0kommunestruktur2020altern!I$3,FALSE)</f>
        <v>4760</v>
      </c>
      <c r="J21" s="177">
        <f>VLOOKUP($A21,K0kommunestruktur2019!$A$4:$N$425,K0kommunestruktur2020altern!J$3,FALSE)</f>
        <v>154229</v>
      </c>
      <c r="K21" s="289">
        <f>VLOOKUP($A21,K0kommunestruktur2019!$A$4:$N$425,K0kommunestruktur2020altern!K$3,FALSE)</f>
        <v>4663</v>
      </c>
      <c r="L21" s="177">
        <f>VLOOKUP($A21,K0kommunestruktur2019!$A$4:$N$425,K0kommunestruktur2020altern!L$3,FALSE)</f>
        <v>132320</v>
      </c>
      <c r="M21" s="289">
        <f>VLOOKUP($A21,K0kommunestruktur2019!$A$4:$N$425,K0kommunestruktur2020altern!M$3,FALSE)</f>
        <v>4597</v>
      </c>
      <c r="N21" s="177">
        <f>VLOOKUP($A21,K0kommunestruktur2019!$A$4:$N$425,K0kommunestruktur2020altern!N$3,FALSE)</f>
        <v>152473</v>
      </c>
      <c r="O21" s="289">
        <f>+'K20'!C21</f>
        <v>4595</v>
      </c>
      <c r="P21" s="177">
        <f>+'K20'!Z21</f>
        <v>146125</v>
      </c>
      <c r="R21" s="517"/>
    </row>
    <row r="22" spans="1:18" ht="13">
      <c r="A22" s="865">
        <v>1144</v>
      </c>
      <c r="B22" s="866" t="s">
        <v>18</v>
      </c>
      <c r="C22" s="289">
        <f>VLOOKUP($A22,K0kommunestruktur2019!$A$4:$N$425,K0kommunestruktur2020altern!C$3,FALSE)</f>
        <v>531</v>
      </c>
      <c r="D22" s="177">
        <f>VLOOKUP($A22,K0kommunestruktur2019!$A$4:$N$425,K0kommunestruktur2020altern!D$3,FALSE)</f>
        <v>11917</v>
      </c>
      <c r="E22" s="289">
        <f>VLOOKUP($A22,K0kommunestruktur2019!$A$4:$N$425,K0kommunestruktur2020altern!E$3,FALSE)</f>
        <v>534</v>
      </c>
      <c r="F22" s="177">
        <f>VLOOKUP($A22,K0kommunestruktur2019!$A$4:$N$425,K0kommunestruktur2020altern!F$3,FALSE)</f>
        <v>12526</v>
      </c>
      <c r="G22" s="289">
        <f>VLOOKUP($A22,K0kommunestruktur2019!$A$4:$N$425,K0kommunestruktur2020altern!G$3,FALSE)</f>
        <v>524</v>
      </c>
      <c r="H22" s="177">
        <f>VLOOKUP($A22,K0kommunestruktur2019!$A$4:$N$425,K0kommunestruktur2020altern!H$3,FALSE)</f>
        <v>12573</v>
      </c>
      <c r="I22" s="289">
        <f>VLOOKUP($A22,K0kommunestruktur2019!$A$4:$N$425,K0kommunestruktur2020altern!I$3,FALSE)</f>
        <v>534</v>
      </c>
      <c r="J22" s="177">
        <f>VLOOKUP($A22,K0kommunestruktur2019!$A$4:$N$425,K0kommunestruktur2020altern!J$3,FALSE)</f>
        <v>15385</v>
      </c>
      <c r="K22" s="289">
        <f>VLOOKUP($A22,K0kommunestruktur2019!$A$4:$N$425,K0kommunestruktur2020altern!K$3,FALSE)</f>
        <v>542</v>
      </c>
      <c r="L22" s="177">
        <f>VLOOKUP($A22,K0kommunestruktur2019!$A$4:$N$425,K0kommunestruktur2020altern!L$3,FALSE)</f>
        <v>14773</v>
      </c>
      <c r="M22" s="289">
        <f>VLOOKUP($A22,K0kommunestruktur2019!$A$4:$N$425,K0kommunestruktur2020altern!M$3,FALSE)</f>
        <v>516</v>
      </c>
      <c r="N22" s="177">
        <f>VLOOKUP($A22,K0kommunestruktur2019!$A$4:$N$425,K0kommunestruktur2020altern!N$3,FALSE)</f>
        <v>14046</v>
      </c>
      <c r="O22" s="289">
        <f>+'K20'!C22</f>
        <v>517</v>
      </c>
      <c r="P22" s="177">
        <f>+'K20'!Z22</f>
        <v>13557</v>
      </c>
      <c r="R22" s="517"/>
    </row>
    <row r="23" spans="1:18" ht="13">
      <c r="A23" s="865">
        <v>1145</v>
      </c>
      <c r="B23" s="866" t="s">
        <v>19</v>
      </c>
      <c r="C23" s="289">
        <f>VLOOKUP($A23,K0kommunestruktur2019!$A$4:$N$425,K0kommunestruktur2020altern!C$3,FALSE)</f>
        <v>868</v>
      </c>
      <c r="D23" s="177">
        <f>VLOOKUP($A23,K0kommunestruktur2019!$A$4:$N$425,K0kommunestruktur2020altern!D$3,FALSE)</f>
        <v>19718</v>
      </c>
      <c r="E23" s="289">
        <f>VLOOKUP($A23,K0kommunestruktur2019!$A$4:$N$425,K0kommunestruktur2020altern!E$3,FALSE)</f>
        <v>865</v>
      </c>
      <c r="F23" s="177">
        <f>VLOOKUP($A23,K0kommunestruktur2019!$A$4:$N$425,K0kommunestruktur2020altern!F$3,FALSE)</f>
        <v>19578</v>
      </c>
      <c r="G23" s="289">
        <f>VLOOKUP($A23,K0kommunestruktur2019!$A$4:$N$425,K0kommunestruktur2020altern!G$3,FALSE)</f>
        <v>865</v>
      </c>
      <c r="H23" s="177">
        <f>VLOOKUP($A23,K0kommunestruktur2019!$A$4:$N$425,K0kommunestruktur2020altern!H$3,FALSE)</f>
        <v>20265</v>
      </c>
      <c r="I23" s="289">
        <f>VLOOKUP($A23,K0kommunestruktur2019!$A$4:$N$425,K0kommunestruktur2020altern!I$3,FALSE)</f>
        <v>855</v>
      </c>
      <c r="J23" s="177">
        <f>VLOOKUP($A23,K0kommunestruktur2019!$A$4:$N$425,K0kommunestruktur2020altern!J$3,FALSE)</f>
        <v>20969</v>
      </c>
      <c r="K23" s="289">
        <f>VLOOKUP($A23,K0kommunestruktur2019!$A$4:$N$425,K0kommunestruktur2020altern!K$3,FALSE)</f>
        <v>844</v>
      </c>
      <c r="L23" s="177">
        <f>VLOOKUP($A23,K0kommunestruktur2019!$A$4:$N$425,K0kommunestruktur2020altern!L$3,FALSE)</f>
        <v>21260</v>
      </c>
      <c r="M23" s="289">
        <f>VLOOKUP($A23,K0kommunestruktur2019!$A$4:$N$425,K0kommunestruktur2020altern!M$3,FALSE)</f>
        <v>840</v>
      </c>
      <c r="N23" s="177">
        <f>VLOOKUP($A23,K0kommunestruktur2019!$A$4:$N$425,K0kommunestruktur2020altern!N$3,FALSE)</f>
        <v>23216</v>
      </c>
      <c r="O23" s="289">
        <f>+'K20'!C23</f>
        <v>852</v>
      </c>
      <c r="P23" s="177">
        <f>+'K20'!Z23</f>
        <v>23677</v>
      </c>
      <c r="R23" s="517"/>
    </row>
    <row r="24" spans="1:18" ht="13">
      <c r="A24" s="865">
        <v>1146</v>
      </c>
      <c r="B24" s="866" t="s">
        <v>20</v>
      </c>
      <c r="C24" s="289">
        <f>VLOOKUP($A24,K0kommunestruktur2019!$A$4:$N$425,K0kommunestruktur2020altern!C$3,FALSE)</f>
        <v>10668</v>
      </c>
      <c r="D24" s="177">
        <f>VLOOKUP($A24,K0kommunestruktur2019!$A$4:$N$425,K0kommunestruktur2020altern!D$3,FALSE)</f>
        <v>246736</v>
      </c>
      <c r="E24" s="289">
        <f>VLOOKUP($A24,K0kommunestruktur2019!$A$4:$N$425,K0kommunestruktur2020altern!E$3,FALSE)</f>
        <v>10857</v>
      </c>
      <c r="F24" s="177">
        <f>VLOOKUP($A24,K0kommunestruktur2019!$A$4:$N$425,K0kommunestruktur2020altern!F$3,FALSE)</f>
        <v>255555</v>
      </c>
      <c r="G24" s="289">
        <f>VLOOKUP($A24,K0kommunestruktur2019!$A$4:$N$425,K0kommunestruktur2020altern!G$3,FALSE)</f>
        <v>10925</v>
      </c>
      <c r="H24" s="177">
        <f>VLOOKUP($A24,K0kommunestruktur2019!$A$4:$N$425,K0kommunestruktur2020altern!H$3,FALSE)</f>
        <v>264000</v>
      </c>
      <c r="I24" s="289">
        <f>VLOOKUP($A24,K0kommunestruktur2019!$A$4:$N$425,K0kommunestruktur2020altern!I$3,FALSE)</f>
        <v>11041</v>
      </c>
      <c r="J24" s="177">
        <f>VLOOKUP($A24,K0kommunestruktur2019!$A$4:$N$425,K0kommunestruktur2020altern!J$3,FALSE)</f>
        <v>279974</v>
      </c>
      <c r="K24" s="289">
        <f>VLOOKUP($A24,K0kommunestruktur2019!$A$4:$N$425,K0kommunestruktur2020altern!K$3,FALSE)</f>
        <v>11023</v>
      </c>
      <c r="L24" s="177">
        <f>VLOOKUP($A24,K0kommunestruktur2019!$A$4:$N$425,K0kommunestruktur2020altern!L$3,FALSE)</f>
        <v>296653</v>
      </c>
      <c r="M24" s="289">
        <f>VLOOKUP($A24,K0kommunestruktur2019!$A$4:$N$425,K0kommunestruktur2020altern!M$3,FALSE)</f>
        <v>11028</v>
      </c>
      <c r="N24" s="177">
        <f>VLOOKUP($A24,K0kommunestruktur2019!$A$4:$N$425,K0kommunestruktur2020altern!N$3,FALSE)</f>
        <v>303352</v>
      </c>
      <c r="O24" s="289">
        <f>+'K20'!C24</f>
        <v>11065</v>
      </c>
      <c r="P24" s="177">
        <f>+'K20'!Z24</f>
        <v>296200</v>
      </c>
      <c r="R24" s="517"/>
    </row>
    <row r="25" spans="1:18" ht="13">
      <c r="A25" s="865">
        <v>1149</v>
      </c>
      <c r="B25" s="866" t="s">
        <v>21</v>
      </c>
      <c r="C25" s="289">
        <f>VLOOKUP($A25,K0kommunestruktur2019!$A$4:$N$425,K0kommunestruktur2020altern!C$3,FALSE)</f>
        <v>41753</v>
      </c>
      <c r="D25" s="177">
        <f>VLOOKUP($A25,K0kommunestruktur2019!$A$4:$N$425,K0kommunestruktur2020altern!D$3,FALSE)</f>
        <v>951724</v>
      </c>
      <c r="E25" s="289">
        <f>VLOOKUP($A25,K0kommunestruktur2019!$A$4:$N$425,K0kommunestruktur2020altern!E$3,FALSE)</f>
        <v>42062</v>
      </c>
      <c r="F25" s="177">
        <f>VLOOKUP($A25,K0kommunestruktur2019!$A$4:$N$425,K0kommunestruktur2020altern!F$3,FALSE)</f>
        <v>983888</v>
      </c>
      <c r="G25" s="289">
        <f>VLOOKUP($A25,K0kommunestruktur2019!$A$4:$N$425,K0kommunestruktur2020altern!G$3,FALSE)</f>
        <v>42187</v>
      </c>
      <c r="H25" s="177">
        <f>VLOOKUP($A25,K0kommunestruktur2019!$A$4:$N$425,K0kommunestruktur2020altern!H$3,FALSE)</f>
        <v>1031685</v>
      </c>
      <c r="I25" s="289">
        <f>VLOOKUP($A25,K0kommunestruktur2019!$A$4:$N$425,K0kommunestruktur2020altern!I$3,FALSE)</f>
        <v>42229</v>
      </c>
      <c r="J25" s="177">
        <f>VLOOKUP($A25,K0kommunestruktur2019!$A$4:$N$425,K0kommunestruktur2020altern!J$3,FALSE)</f>
        <v>1048090</v>
      </c>
      <c r="K25" s="289">
        <f>VLOOKUP($A25,K0kommunestruktur2019!$A$4:$N$425,K0kommunestruktur2020altern!K$3,FALSE)</f>
        <v>42243</v>
      </c>
      <c r="L25" s="177">
        <f>VLOOKUP($A25,K0kommunestruktur2019!$A$4:$N$425,K0kommunestruktur2020altern!L$3,FALSE)</f>
        <v>1089363</v>
      </c>
      <c r="M25" s="289">
        <f>VLOOKUP($A25,K0kommunestruktur2019!$A$4:$N$425,K0kommunestruktur2020altern!M$3,FALSE)</f>
        <v>42161</v>
      </c>
      <c r="N25" s="177">
        <f>VLOOKUP($A25,K0kommunestruktur2019!$A$4:$N$425,K0kommunestruktur2020altern!N$3,FALSE)</f>
        <v>1149890</v>
      </c>
      <c r="O25" s="289">
        <f>+'K20'!C25</f>
        <v>42186</v>
      </c>
      <c r="P25" s="177">
        <f>+'K20'!Z25</f>
        <v>1125826</v>
      </c>
      <c r="R25" s="517"/>
    </row>
    <row r="26" spans="1:18" ht="13">
      <c r="A26" s="865">
        <v>1151</v>
      </c>
      <c r="B26" s="866" t="s">
        <v>22</v>
      </c>
      <c r="C26" s="289">
        <f>VLOOKUP($A26,K0kommunestruktur2019!$A$4:$N$425,K0kommunestruktur2020altern!C$3,FALSE)</f>
        <v>211</v>
      </c>
      <c r="D26" s="177">
        <f>VLOOKUP($A26,K0kommunestruktur2019!$A$4:$N$425,K0kommunestruktur2020altern!D$3,FALSE)</f>
        <v>5164</v>
      </c>
      <c r="E26" s="289">
        <f>VLOOKUP($A26,K0kommunestruktur2019!$A$4:$N$425,K0kommunestruktur2020altern!E$3,FALSE)</f>
        <v>206</v>
      </c>
      <c r="F26" s="177">
        <f>VLOOKUP($A26,K0kommunestruktur2019!$A$4:$N$425,K0kommunestruktur2020altern!F$3,FALSE)</f>
        <v>5153</v>
      </c>
      <c r="G26" s="289">
        <f>VLOOKUP($A26,K0kommunestruktur2019!$A$4:$N$425,K0kommunestruktur2020altern!G$3,FALSE)</f>
        <v>200</v>
      </c>
      <c r="H26" s="177">
        <f>VLOOKUP($A26,K0kommunestruktur2019!$A$4:$N$425,K0kommunestruktur2020altern!H$3,FALSE)</f>
        <v>4581</v>
      </c>
      <c r="I26" s="289">
        <f>VLOOKUP($A26,K0kommunestruktur2019!$A$4:$N$425,K0kommunestruktur2020altern!I$3,FALSE)</f>
        <v>201</v>
      </c>
      <c r="J26" s="177">
        <f>VLOOKUP($A26,K0kommunestruktur2019!$A$4:$N$425,K0kommunestruktur2020altern!J$3,FALSE)</f>
        <v>4747</v>
      </c>
      <c r="K26" s="289">
        <f>VLOOKUP($A26,K0kommunestruktur2019!$A$4:$N$425,K0kommunestruktur2020altern!K$3,FALSE)</f>
        <v>208</v>
      </c>
      <c r="L26" s="177">
        <f>VLOOKUP($A26,K0kommunestruktur2019!$A$4:$N$425,K0kommunestruktur2020altern!L$3,FALSE)</f>
        <v>5467</v>
      </c>
      <c r="M26" s="289">
        <f>VLOOKUP($A26,K0kommunestruktur2019!$A$4:$N$425,K0kommunestruktur2020altern!M$3,FALSE)</f>
        <v>196</v>
      </c>
      <c r="N26" s="177">
        <f>VLOOKUP($A26,K0kommunestruktur2019!$A$4:$N$425,K0kommunestruktur2020altern!N$3,FALSE)</f>
        <v>5709</v>
      </c>
      <c r="O26" s="289">
        <f>+'K20'!C26</f>
        <v>198</v>
      </c>
      <c r="P26" s="177">
        <f>+'K20'!Z26</f>
        <v>6085</v>
      </c>
      <c r="R26" s="517"/>
    </row>
    <row r="27" spans="1:18" ht="13">
      <c r="A27" s="865">
        <v>1160</v>
      </c>
      <c r="B27" s="866" t="s">
        <v>1543</v>
      </c>
      <c r="C27" s="289">
        <f>VLOOKUP($A27,K0kommunestruktur2019!$A$4:$N$425,K0kommunestruktur2020altern!C$3,FALSE)</f>
        <v>8747</v>
      </c>
      <c r="D27" s="177">
        <f>VLOOKUP($A27,K0kommunestruktur2019!$A$4:$N$425,K0kommunestruktur2020altern!D$3,FALSE)</f>
        <v>219287</v>
      </c>
      <c r="E27" s="289">
        <f>VLOOKUP($A27,K0kommunestruktur2019!$A$4:$N$425,K0kommunestruktur2020altern!E$3,FALSE)</f>
        <v>8765</v>
      </c>
      <c r="F27" s="177">
        <f>VLOOKUP($A27,K0kommunestruktur2019!$A$4:$N$425,K0kommunestruktur2020altern!F$3,FALSE)</f>
        <v>224845</v>
      </c>
      <c r="G27" s="289">
        <f>VLOOKUP($A27,K0kommunestruktur2019!$A$4:$N$425,K0kommunestruktur2020altern!G$3,FALSE)</f>
        <v>8788</v>
      </c>
      <c r="H27" s="177">
        <f>VLOOKUP($A27,K0kommunestruktur2019!$A$4:$N$425,K0kommunestruktur2020altern!H$3,FALSE)</f>
        <v>241047</v>
      </c>
      <c r="I27" s="289">
        <f>VLOOKUP($A27,K0kommunestruktur2019!$A$4:$N$425,K0kommunestruktur2020altern!I$3,FALSE)</f>
        <v>8828</v>
      </c>
      <c r="J27" s="177">
        <f>VLOOKUP($A27,K0kommunestruktur2019!$A$4:$N$425,K0kommunestruktur2020altern!J$3,FALSE)</f>
        <v>300936</v>
      </c>
      <c r="K27" s="289">
        <f>VLOOKUP($A27,K0kommunestruktur2019!$A$4:$N$425,K0kommunestruktur2020altern!K$3,FALSE)</f>
        <v>8793</v>
      </c>
      <c r="L27" s="177">
        <f>VLOOKUP($A27,K0kommunestruktur2019!$A$4:$N$425,K0kommunestruktur2020altern!L$3,FALSE)</f>
        <v>278332</v>
      </c>
      <c r="M27" s="289">
        <f>VLOOKUP($A27,K0kommunestruktur2019!$A$4:$N$425,K0kommunestruktur2020altern!M$3,FALSE)</f>
        <v>8743</v>
      </c>
      <c r="N27" s="177">
        <f>VLOOKUP($A27,K0kommunestruktur2019!$A$4:$N$425,K0kommunestruktur2020altern!N$3,FALSE)</f>
        <v>307150</v>
      </c>
      <c r="O27" s="289">
        <f>+'K20'!C27</f>
        <v>8714</v>
      </c>
      <c r="P27" s="177">
        <f>+'K20'!Z27</f>
        <v>308048</v>
      </c>
      <c r="R27" s="517"/>
    </row>
    <row r="28" spans="1:18" ht="13">
      <c r="A28" s="865">
        <v>1505</v>
      </c>
      <c r="B28" s="866" t="s">
        <v>1654</v>
      </c>
      <c r="C28" s="289">
        <f>VLOOKUP($A28,K0kommunestruktur2019!$A$4:$N$425,K0kommunestruktur2020altern!C$3,FALSE)</f>
        <v>24395</v>
      </c>
      <c r="D28" s="177">
        <f>VLOOKUP($A28,K0kommunestruktur2019!$A$4:$N$425,K0kommunestruktur2020altern!D$3,FALSE)</f>
        <v>563921</v>
      </c>
      <c r="E28" s="289">
        <f>VLOOKUP($A28,K0kommunestruktur2019!$A$4:$N$425,K0kommunestruktur2020altern!E$3,FALSE)</f>
        <v>24507</v>
      </c>
      <c r="F28" s="177">
        <f>VLOOKUP($A28,K0kommunestruktur2019!$A$4:$N$425,K0kommunestruktur2020altern!F$3,FALSE)</f>
        <v>582836</v>
      </c>
      <c r="G28" s="289">
        <f>VLOOKUP($A28,K0kommunestruktur2019!$A$4:$N$425,K0kommunestruktur2020altern!G$3,FALSE)</f>
        <v>24526</v>
      </c>
      <c r="H28" s="177">
        <f>VLOOKUP($A28,K0kommunestruktur2019!$A$4:$N$425,K0kommunestruktur2020altern!H$3,FALSE)</f>
        <v>605657</v>
      </c>
      <c r="I28" s="289">
        <f>VLOOKUP($A28,K0kommunestruktur2019!$A$4:$N$425,K0kommunestruktur2020altern!I$3,FALSE)</f>
        <v>24442</v>
      </c>
      <c r="J28" s="177">
        <f>VLOOKUP($A28,K0kommunestruktur2019!$A$4:$N$425,K0kommunestruktur2020altern!J$3,FALSE)</f>
        <v>613661</v>
      </c>
      <c r="K28" s="289">
        <f>VLOOKUP($A28,K0kommunestruktur2019!$A$4:$N$425,K0kommunestruktur2020altern!K$3,FALSE)</f>
        <v>24300</v>
      </c>
      <c r="L28" s="177">
        <f>VLOOKUP($A28,K0kommunestruktur2019!$A$4:$N$425,K0kommunestruktur2020altern!L$3,FALSE)</f>
        <v>637871</v>
      </c>
      <c r="M28" s="289">
        <f>VLOOKUP($A28,K0kommunestruktur2019!$A$4:$N$425,K0kommunestruktur2020altern!M$3,FALSE)</f>
        <v>24274</v>
      </c>
      <c r="N28" s="177">
        <f>VLOOKUP($A28,K0kommunestruktur2019!$A$4:$N$425,K0kommunestruktur2020altern!N$3,FALSE)</f>
        <v>663317</v>
      </c>
      <c r="O28" s="289">
        <f>+'K20'!C28</f>
        <v>24179</v>
      </c>
      <c r="P28" s="177">
        <f>+'K20'!Z28</f>
        <v>646563</v>
      </c>
      <c r="R28" s="517"/>
    </row>
    <row r="29" spans="1:18" ht="13">
      <c r="A29" s="878">
        <v>1506</v>
      </c>
      <c r="B29" s="883" t="s">
        <v>1611</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+'K20'!C29</f>
        <v>31967</v>
      </c>
      <c r="P29" s="177">
        <f>+'K20'!Z29</f>
        <v>940943</v>
      </c>
      <c r="R29" s="517"/>
    </row>
    <row r="30" spans="1:18" ht="13">
      <c r="A30" s="878">
        <v>1507</v>
      </c>
      <c r="B30" s="883" t="s">
        <v>1612</v>
      </c>
      <c r="C30" s="289">
        <f t="shared" ref="C30:N30" si="5">+C$387+C$388+C$389+C$390+C$391+C$392</f>
        <v>62791.544426494343</v>
      </c>
      <c r="D30" s="177">
        <f t="shared" si="5"/>
        <v>1568692.1373182551</v>
      </c>
      <c r="E30" s="289">
        <f t="shared" si="5"/>
        <v>63444.767366720516</v>
      </c>
      <c r="F30" s="177">
        <f t="shared" si="5"/>
        <v>1625550.5912762519</v>
      </c>
      <c r="G30" s="289">
        <f t="shared" si="5"/>
        <v>64134.689822294022</v>
      </c>
      <c r="H30" s="177">
        <f t="shared" si="5"/>
        <v>1736178.1728594508</v>
      </c>
      <c r="I30" s="289">
        <f t="shared" si="5"/>
        <v>64707.922455573505</v>
      </c>
      <c r="J30" s="177">
        <f t="shared" si="5"/>
        <v>1804681.5928917609</v>
      </c>
      <c r="K30" s="289">
        <f t="shared" si="5"/>
        <v>65052.757673667205</v>
      </c>
      <c r="L30" s="177">
        <f t="shared" si="5"/>
        <v>1924576.3069466881</v>
      </c>
      <c r="M30" s="289">
        <f t="shared" si="5"/>
        <v>65621</v>
      </c>
      <c r="N30" s="177">
        <f t="shared" si="5"/>
        <v>2059924.5605815833</v>
      </c>
      <c r="O30" s="289">
        <f>+'K20'!C30</f>
        <v>66258</v>
      </c>
      <c r="P30" s="177">
        <f>+'K20'!Z30</f>
        <v>2040372</v>
      </c>
      <c r="R30" s="517"/>
    </row>
    <row r="31" spans="1:18" ht="13">
      <c r="A31" s="865">
        <v>1511</v>
      </c>
      <c r="B31" s="866" t="s">
        <v>86</v>
      </c>
      <c r="C31" s="289">
        <f>VLOOKUP($A31,K0kommunestruktur2019!$A$4:$N$425,K0kommunestruktur2020altern!C$3,FALSE)</f>
        <v>3302</v>
      </c>
      <c r="D31" s="177">
        <f>VLOOKUP($A31,K0kommunestruktur2019!$A$4:$N$425,K0kommunestruktur2020altern!D$3,FALSE)</f>
        <v>72479</v>
      </c>
      <c r="E31" s="289">
        <f>VLOOKUP($A31,K0kommunestruktur2019!$A$4:$N$425,K0kommunestruktur2020altern!E$3,FALSE)</f>
        <v>3258</v>
      </c>
      <c r="F31" s="177">
        <f>VLOOKUP($A31,K0kommunestruktur2019!$A$4:$N$425,K0kommunestruktur2020altern!F$3,FALSE)</f>
        <v>74410</v>
      </c>
      <c r="G31" s="289">
        <f>VLOOKUP($A31,K0kommunestruktur2019!$A$4:$N$425,K0kommunestruktur2020altern!G$3,FALSE)</f>
        <v>3256</v>
      </c>
      <c r="H31" s="177">
        <f>VLOOKUP($A31,K0kommunestruktur2019!$A$4:$N$425,K0kommunestruktur2020altern!H$3,FALSE)</f>
        <v>74821</v>
      </c>
      <c r="I31" s="289">
        <f>VLOOKUP($A31,K0kommunestruktur2019!$A$4:$N$425,K0kommunestruktur2020altern!I$3,FALSE)</f>
        <v>3203</v>
      </c>
      <c r="J31" s="177">
        <f>VLOOKUP($A31,K0kommunestruktur2019!$A$4:$N$425,K0kommunestruktur2020altern!J$3,FALSE)</f>
        <v>77373</v>
      </c>
      <c r="K31" s="289">
        <f>VLOOKUP($A31,K0kommunestruktur2019!$A$4:$N$425,K0kommunestruktur2020altern!K$3,FALSE)</f>
        <v>3187</v>
      </c>
      <c r="L31" s="177">
        <f>VLOOKUP($A31,K0kommunestruktur2019!$A$4:$N$425,K0kommunestruktur2020altern!L$3,FALSE)</f>
        <v>83683</v>
      </c>
      <c r="M31" s="289">
        <f>VLOOKUP($A31,K0kommunestruktur2019!$A$4:$N$425,K0kommunestruktur2020altern!M$3,FALSE)</f>
        <v>3163</v>
      </c>
      <c r="N31" s="177">
        <f>VLOOKUP($A31,K0kommunestruktur2019!$A$4:$N$425,K0kommunestruktur2020altern!N$3,FALSE)</f>
        <v>88973</v>
      </c>
      <c r="O31" s="289">
        <f>+'K20'!C31</f>
        <v>3117</v>
      </c>
      <c r="P31" s="177">
        <f>+'K20'!Z31</f>
        <v>83290</v>
      </c>
      <c r="R31" s="517"/>
    </row>
    <row r="32" spans="1:18" ht="13">
      <c r="A32" s="865">
        <v>1514</v>
      </c>
      <c r="B32" s="866" t="s">
        <v>897</v>
      </c>
      <c r="C32" s="289">
        <f>VLOOKUP($A32,K0kommunestruktur2019!$A$4:$N$425,K0kommunestruktur2020altern!C$3,FALSE)</f>
        <v>2636</v>
      </c>
      <c r="D32" s="177">
        <f>VLOOKUP($A32,K0kommunestruktur2019!$A$4:$N$425,K0kommunestruktur2020altern!D$3,FALSE)</f>
        <v>55999</v>
      </c>
      <c r="E32" s="289">
        <f>VLOOKUP($A32,K0kommunestruktur2019!$A$4:$N$425,K0kommunestruktur2020altern!E$3,FALSE)</f>
        <v>2635</v>
      </c>
      <c r="F32" s="177">
        <f>VLOOKUP($A32,K0kommunestruktur2019!$A$4:$N$425,K0kommunestruktur2020altern!F$3,FALSE)</f>
        <v>62048</v>
      </c>
      <c r="G32" s="289">
        <f>VLOOKUP($A32,K0kommunestruktur2019!$A$4:$N$425,K0kommunestruktur2020altern!G$3,FALSE)</f>
        <v>2559</v>
      </c>
      <c r="H32" s="177">
        <f>VLOOKUP($A32,K0kommunestruktur2019!$A$4:$N$425,K0kommunestruktur2020altern!H$3,FALSE)</f>
        <v>63984</v>
      </c>
      <c r="I32" s="289">
        <f>VLOOKUP($A32,K0kommunestruktur2019!$A$4:$N$425,K0kommunestruktur2020altern!I$3,FALSE)</f>
        <v>2540</v>
      </c>
      <c r="J32" s="177">
        <f>VLOOKUP($A32,K0kommunestruktur2019!$A$4:$N$425,K0kommunestruktur2020altern!J$3,FALSE)</f>
        <v>61235</v>
      </c>
      <c r="K32" s="289">
        <f>VLOOKUP($A32,K0kommunestruktur2019!$A$4:$N$425,K0kommunestruktur2020altern!K$3,FALSE)</f>
        <v>2522</v>
      </c>
      <c r="L32" s="177">
        <f>VLOOKUP($A32,K0kommunestruktur2019!$A$4:$N$425,K0kommunestruktur2020altern!L$3,FALSE)</f>
        <v>68936</v>
      </c>
      <c r="M32" s="289">
        <f>VLOOKUP($A32,K0kommunestruktur2019!$A$4:$N$425,K0kommunestruktur2020altern!M$3,FALSE)</f>
        <v>2493</v>
      </c>
      <c r="N32" s="177">
        <f>VLOOKUP($A32,K0kommunestruktur2019!$A$4:$N$425,K0kommunestruktur2020altern!N$3,FALSE)</f>
        <v>75383</v>
      </c>
      <c r="O32" s="289">
        <f>+'K20'!C32</f>
        <v>2461</v>
      </c>
      <c r="P32" s="177">
        <f>+'K20'!Z32</f>
        <v>73238</v>
      </c>
      <c r="R32" s="517"/>
    </row>
    <row r="33" spans="1:18" ht="13">
      <c r="A33" s="865">
        <v>1515</v>
      </c>
      <c r="B33" s="866" t="s">
        <v>87</v>
      </c>
      <c r="C33" s="289">
        <f>VLOOKUP($A33,K0kommunestruktur2019!$A$4:$N$425,K0kommunestruktur2020altern!C$3,FALSE)</f>
        <v>8847</v>
      </c>
      <c r="D33" s="177">
        <f>VLOOKUP($A33,K0kommunestruktur2019!$A$4:$N$425,K0kommunestruktur2020altern!D$3,FALSE)</f>
        <v>231216</v>
      </c>
      <c r="E33" s="289">
        <f>VLOOKUP($A33,K0kommunestruktur2019!$A$4:$N$425,K0kommunestruktur2020altern!E$3,FALSE)</f>
        <v>8934</v>
      </c>
      <c r="F33" s="177">
        <f>VLOOKUP($A33,K0kommunestruktur2019!$A$4:$N$425,K0kommunestruktur2020altern!F$3,FALSE)</f>
        <v>248460</v>
      </c>
      <c r="G33" s="289">
        <f>VLOOKUP($A33,K0kommunestruktur2019!$A$4:$N$425,K0kommunestruktur2020altern!G$3,FALSE)</f>
        <v>8972</v>
      </c>
      <c r="H33" s="177">
        <f>VLOOKUP($A33,K0kommunestruktur2019!$A$4:$N$425,K0kommunestruktur2020altern!H$3,FALSE)</f>
        <v>260046</v>
      </c>
      <c r="I33" s="289">
        <f>VLOOKUP($A33,K0kommunestruktur2019!$A$4:$N$425,K0kommunestruktur2020altern!I$3,FALSE)</f>
        <v>8957</v>
      </c>
      <c r="J33" s="177">
        <f>VLOOKUP($A33,K0kommunestruktur2019!$A$4:$N$425,K0kommunestruktur2020altern!J$3,FALSE)</f>
        <v>261503</v>
      </c>
      <c r="K33" s="289">
        <f>VLOOKUP($A33,K0kommunestruktur2019!$A$4:$N$425,K0kommunestruktur2020altern!K$3,FALSE)</f>
        <v>8965</v>
      </c>
      <c r="L33" s="177">
        <f>VLOOKUP($A33,K0kommunestruktur2019!$A$4:$N$425,K0kommunestruktur2020altern!L$3,FALSE)</f>
        <v>270116</v>
      </c>
      <c r="M33" s="289">
        <f>VLOOKUP($A33,K0kommunestruktur2019!$A$4:$N$425,K0kommunestruktur2020altern!M$3,FALSE)</f>
        <v>8927</v>
      </c>
      <c r="N33" s="177">
        <f>VLOOKUP($A33,K0kommunestruktur2019!$A$4:$N$425,K0kommunestruktur2020altern!N$3,FALSE)</f>
        <v>303238</v>
      </c>
      <c r="O33" s="289">
        <f>+'K20'!C33</f>
        <v>8900</v>
      </c>
      <c r="P33" s="177">
        <f>+'K20'!Z33</f>
        <v>308399</v>
      </c>
      <c r="R33" s="517"/>
    </row>
    <row r="34" spans="1:18" ht="13">
      <c r="A34" s="865">
        <v>1516</v>
      </c>
      <c r="B34" s="866" t="s">
        <v>88</v>
      </c>
      <c r="C34" s="289">
        <f>VLOOKUP($A34,K0kommunestruktur2019!$A$4:$N$425,K0kommunestruktur2020altern!C$3,FALSE)</f>
        <v>8092</v>
      </c>
      <c r="D34" s="177">
        <f>VLOOKUP($A34,K0kommunestruktur2019!$A$4:$N$425,K0kommunestruktur2020altern!D$3,FALSE)</f>
        <v>242269</v>
      </c>
      <c r="E34" s="289">
        <f>VLOOKUP($A34,K0kommunestruktur2019!$A$4:$N$425,K0kommunestruktur2020altern!E$3,FALSE)</f>
        <v>8292</v>
      </c>
      <c r="F34" s="177">
        <f>VLOOKUP($A34,K0kommunestruktur2019!$A$4:$N$425,K0kommunestruktur2020altern!F$3,FALSE)</f>
        <v>257483</v>
      </c>
      <c r="G34" s="289">
        <f>VLOOKUP($A34,K0kommunestruktur2019!$A$4:$N$425,K0kommunestruktur2020altern!G$3,FALSE)</f>
        <v>8430</v>
      </c>
      <c r="H34" s="177">
        <f>VLOOKUP($A34,K0kommunestruktur2019!$A$4:$N$425,K0kommunestruktur2020altern!H$3,FALSE)</f>
        <v>245408</v>
      </c>
      <c r="I34" s="289">
        <f>VLOOKUP($A34,K0kommunestruktur2019!$A$4:$N$425,K0kommunestruktur2020altern!I$3,FALSE)</f>
        <v>8457</v>
      </c>
      <c r="J34" s="177">
        <f>VLOOKUP($A34,K0kommunestruktur2019!$A$4:$N$425,K0kommunestruktur2020altern!J$3,FALSE)</f>
        <v>249381</v>
      </c>
      <c r="K34" s="289">
        <f>VLOOKUP($A34,K0kommunestruktur2019!$A$4:$N$425,K0kommunestruktur2020altern!K$3,FALSE)</f>
        <v>8555</v>
      </c>
      <c r="L34" s="177">
        <f>VLOOKUP($A34,K0kommunestruktur2019!$A$4:$N$425,K0kommunestruktur2020altern!L$3,FALSE)</f>
        <v>262420</v>
      </c>
      <c r="M34" s="289">
        <f>VLOOKUP($A34,K0kommunestruktur2019!$A$4:$N$425,K0kommunestruktur2020altern!M$3,FALSE)</f>
        <v>8609</v>
      </c>
      <c r="N34" s="177">
        <f>VLOOKUP($A34,K0kommunestruktur2019!$A$4:$N$425,K0kommunestruktur2020altern!N$3,FALSE)</f>
        <v>275729</v>
      </c>
      <c r="O34" s="289">
        <f>+'K20'!C34</f>
        <v>8571</v>
      </c>
      <c r="P34" s="177">
        <f>+'K20'!Z34</f>
        <v>276618</v>
      </c>
      <c r="R34" s="517"/>
    </row>
    <row r="35" spans="1:18" ht="13">
      <c r="A35" s="865">
        <v>1517</v>
      </c>
      <c r="B35" s="866" t="s">
        <v>89</v>
      </c>
      <c r="C35" s="289">
        <f>VLOOKUP($A35,K0kommunestruktur2019!$A$4:$N$425,K0kommunestruktur2020altern!C$3,FALSE)</f>
        <v>5021</v>
      </c>
      <c r="D35" s="177">
        <f>VLOOKUP($A35,K0kommunestruktur2019!$A$4:$N$425,K0kommunestruktur2020altern!D$3,FALSE)</f>
        <v>112102</v>
      </c>
      <c r="E35" s="289">
        <f>VLOOKUP($A35,K0kommunestruktur2019!$A$4:$N$425,K0kommunestruktur2020altern!E$3,FALSE)</f>
        <v>5065</v>
      </c>
      <c r="F35" s="177">
        <f>VLOOKUP($A35,K0kommunestruktur2019!$A$4:$N$425,K0kommunestruktur2020altern!F$3,FALSE)</f>
        <v>114254</v>
      </c>
      <c r="G35" s="289">
        <f>VLOOKUP($A35,K0kommunestruktur2019!$A$4:$N$425,K0kommunestruktur2020altern!G$3,FALSE)</f>
        <v>5189</v>
      </c>
      <c r="H35" s="177">
        <f>VLOOKUP($A35,K0kommunestruktur2019!$A$4:$N$425,K0kommunestruktur2020altern!H$3,FALSE)</f>
        <v>119524</v>
      </c>
      <c r="I35" s="289">
        <f>VLOOKUP($A35,K0kommunestruktur2019!$A$4:$N$425,K0kommunestruktur2020altern!I$3,FALSE)</f>
        <v>5185</v>
      </c>
      <c r="J35" s="177">
        <f>VLOOKUP($A35,K0kommunestruktur2019!$A$4:$N$425,K0kommunestruktur2020altern!J$3,FALSE)</f>
        <v>120422</v>
      </c>
      <c r="K35" s="289">
        <f>VLOOKUP($A35,K0kommunestruktur2019!$A$4:$N$425,K0kommunestruktur2020altern!K$3,FALSE)</f>
        <v>5150</v>
      </c>
      <c r="L35" s="177">
        <f>VLOOKUP($A35,K0kommunestruktur2019!$A$4:$N$425,K0kommunestruktur2020altern!L$3,FALSE)</f>
        <v>124236</v>
      </c>
      <c r="M35" s="289">
        <f>VLOOKUP($A35,K0kommunestruktur2019!$A$4:$N$425,K0kommunestruktur2020altern!M$3,FALSE)</f>
        <v>5155</v>
      </c>
      <c r="N35" s="177">
        <f>VLOOKUP($A35,K0kommunestruktur2019!$A$4:$N$425,K0kommunestruktur2020altern!N$3,FALSE)</f>
        <v>130558</v>
      </c>
      <c r="O35" s="289">
        <f>+'K20'!C35</f>
        <v>5175</v>
      </c>
      <c r="P35" s="177">
        <f>+'K20'!Z35</f>
        <v>129502</v>
      </c>
      <c r="R35" s="517"/>
    </row>
    <row r="36" spans="1:18" ht="13">
      <c r="A36" s="889">
        <v>1520</v>
      </c>
      <c r="B36" s="890" t="s">
        <v>91</v>
      </c>
      <c r="C36" s="289">
        <f t="shared" ref="C36:N36" si="6">+C$395+C$396</f>
        <v>10434.104448742746</v>
      </c>
      <c r="D36" s="177">
        <f t="shared" si="6"/>
        <v>228731.38281431334</v>
      </c>
      <c r="E36" s="289">
        <f t="shared" si="6"/>
        <v>10486.591876208897</v>
      </c>
      <c r="F36" s="177">
        <f t="shared" si="6"/>
        <v>245702.6389845261</v>
      </c>
      <c r="G36" s="289">
        <f t="shared" si="6"/>
        <v>10573.74081237911</v>
      </c>
      <c r="H36" s="177">
        <f t="shared" si="6"/>
        <v>254947.38098646034</v>
      </c>
      <c r="I36" s="289">
        <f t="shared" si="6"/>
        <v>10640.092843326885</v>
      </c>
      <c r="J36" s="177">
        <f t="shared" si="6"/>
        <v>265898.59154738876</v>
      </c>
      <c r="K36" s="289">
        <f t="shared" si="6"/>
        <v>10707.435203094778</v>
      </c>
      <c r="L36" s="177">
        <f t="shared" si="6"/>
        <v>274459.37911025144</v>
      </c>
      <c r="M36" s="289">
        <f t="shared" si="6"/>
        <v>10752</v>
      </c>
      <c r="N36" s="177">
        <f t="shared" si="6"/>
        <v>283307.27079303673</v>
      </c>
      <c r="O36" s="289">
        <f>+'K20'!C36</f>
        <v>10825</v>
      </c>
      <c r="P36" s="177">
        <f>+'K20'!Z36</f>
        <v>277419</v>
      </c>
      <c r="R36" s="517"/>
    </row>
    <row r="37" spans="1:18" ht="13">
      <c r="A37" s="865">
        <v>1525</v>
      </c>
      <c r="B37" s="866" t="s">
        <v>94</v>
      </c>
      <c r="C37" s="289">
        <f>VLOOKUP($A37,K0kommunestruktur2019!$A$4:$N$425,K0kommunestruktur2020altern!C$3,FALSE)</f>
        <v>4616</v>
      </c>
      <c r="D37" s="177">
        <f>VLOOKUP($A37,K0kommunestruktur2019!$A$4:$N$425,K0kommunestruktur2020altern!D$3,FALSE)</f>
        <v>102920</v>
      </c>
      <c r="E37" s="289">
        <f>VLOOKUP($A37,K0kommunestruktur2019!$A$4:$N$425,K0kommunestruktur2020altern!E$3,FALSE)</f>
        <v>4605</v>
      </c>
      <c r="F37" s="177">
        <f>VLOOKUP($A37,K0kommunestruktur2019!$A$4:$N$425,K0kommunestruktur2020altern!F$3,FALSE)</f>
        <v>104690</v>
      </c>
      <c r="G37" s="289">
        <f>VLOOKUP($A37,K0kommunestruktur2019!$A$4:$N$425,K0kommunestruktur2020altern!G$3,FALSE)</f>
        <v>4598</v>
      </c>
      <c r="H37" s="177">
        <f>VLOOKUP($A37,K0kommunestruktur2019!$A$4:$N$425,K0kommunestruktur2020altern!H$3,FALSE)</f>
        <v>117534</v>
      </c>
      <c r="I37" s="289">
        <f>VLOOKUP($A37,K0kommunestruktur2019!$A$4:$N$425,K0kommunestruktur2020altern!I$3,FALSE)</f>
        <v>4623</v>
      </c>
      <c r="J37" s="177">
        <f>VLOOKUP($A37,K0kommunestruktur2019!$A$4:$N$425,K0kommunestruktur2020altern!J$3,FALSE)</f>
        <v>121163</v>
      </c>
      <c r="K37" s="289">
        <f>VLOOKUP($A37,K0kommunestruktur2019!$A$4:$N$425,K0kommunestruktur2020altern!K$3,FALSE)</f>
        <v>4587</v>
      </c>
      <c r="L37" s="177">
        <f>VLOOKUP($A37,K0kommunestruktur2019!$A$4:$N$425,K0kommunestruktur2020altern!L$3,FALSE)</f>
        <v>127019</v>
      </c>
      <c r="M37" s="289">
        <f>VLOOKUP($A37,K0kommunestruktur2019!$A$4:$N$425,K0kommunestruktur2020altern!M$3,FALSE)</f>
        <v>4565</v>
      </c>
      <c r="N37" s="177">
        <f>VLOOKUP($A37,K0kommunestruktur2019!$A$4:$N$425,K0kommunestruktur2020altern!N$3,FALSE)</f>
        <v>128492</v>
      </c>
      <c r="O37" s="289">
        <f>+'K20'!C37</f>
        <v>4523</v>
      </c>
      <c r="P37" s="177">
        <f>+'K20'!Z37</f>
        <v>129631</v>
      </c>
      <c r="R37" s="517"/>
    </row>
    <row r="38" spans="1:18" ht="13">
      <c r="A38" s="865">
        <v>1528</v>
      </c>
      <c r="B38" s="866" t="s">
        <v>96</v>
      </c>
      <c r="C38" s="289">
        <f>VLOOKUP($A38,K0kommunestruktur2019!$A$4:$N$425,K0kommunestruktur2020altern!C$3,FALSE)</f>
        <v>7730</v>
      </c>
      <c r="D38" s="177">
        <f>VLOOKUP($A38,K0kommunestruktur2019!$A$4:$N$425,K0kommunestruktur2020altern!D$3,FALSE)</f>
        <v>157880</v>
      </c>
      <c r="E38" s="289">
        <f>VLOOKUP($A38,K0kommunestruktur2019!$A$4:$N$425,K0kommunestruktur2020altern!E$3,FALSE)</f>
        <v>7707</v>
      </c>
      <c r="F38" s="177">
        <f>VLOOKUP($A38,K0kommunestruktur2019!$A$4:$N$425,K0kommunestruktur2020altern!F$3,FALSE)</f>
        <v>165427</v>
      </c>
      <c r="G38" s="289">
        <f>VLOOKUP($A38,K0kommunestruktur2019!$A$4:$N$425,K0kommunestruktur2020altern!G$3,FALSE)</f>
        <v>7675</v>
      </c>
      <c r="H38" s="177">
        <f>VLOOKUP($A38,K0kommunestruktur2019!$A$4:$N$425,K0kommunestruktur2020altern!H$3,FALSE)</f>
        <v>176372</v>
      </c>
      <c r="I38" s="289">
        <f>VLOOKUP($A38,K0kommunestruktur2019!$A$4:$N$425,K0kommunestruktur2020altern!I$3,FALSE)</f>
        <v>7695</v>
      </c>
      <c r="J38" s="177">
        <f>VLOOKUP($A38,K0kommunestruktur2019!$A$4:$N$425,K0kommunestruktur2020altern!J$3,FALSE)</f>
        <v>182002</v>
      </c>
      <c r="K38" s="289">
        <f>VLOOKUP($A38,K0kommunestruktur2019!$A$4:$N$425,K0kommunestruktur2020altern!K$3,FALSE)</f>
        <v>7695</v>
      </c>
      <c r="L38" s="177">
        <f>VLOOKUP($A38,K0kommunestruktur2019!$A$4:$N$425,K0kommunestruktur2020altern!L$3,FALSE)</f>
        <v>194273</v>
      </c>
      <c r="M38" s="289">
        <f>VLOOKUP($A38,K0kommunestruktur2019!$A$4:$N$425,K0kommunestruktur2020altern!M$3,FALSE)</f>
        <v>7657</v>
      </c>
      <c r="N38" s="177">
        <f>VLOOKUP($A38,K0kommunestruktur2019!$A$4:$N$425,K0kommunestruktur2020altern!N$3,FALSE)</f>
        <v>203942</v>
      </c>
      <c r="O38" s="289">
        <f>+'K20'!C38</f>
        <v>7625</v>
      </c>
      <c r="P38" s="177">
        <f>+'K20'!Z38</f>
        <v>197295</v>
      </c>
      <c r="R38" s="517"/>
    </row>
    <row r="39" spans="1:18" ht="13">
      <c r="A39" s="865">
        <v>1531</v>
      </c>
      <c r="B39" s="866" t="s">
        <v>98</v>
      </c>
      <c r="C39" s="289">
        <f>VLOOKUP($A39,K0kommunestruktur2019!$A$4:$N$425,K0kommunestruktur2020altern!C$3,FALSE)</f>
        <v>8651</v>
      </c>
      <c r="D39" s="177">
        <f>VLOOKUP($A39,K0kommunestruktur2019!$A$4:$N$425,K0kommunestruktur2020altern!D$3,FALSE)</f>
        <v>178416</v>
      </c>
      <c r="E39" s="289">
        <f>VLOOKUP($A39,K0kommunestruktur2019!$A$4:$N$425,K0kommunestruktur2020altern!E$3,FALSE)</f>
        <v>8855</v>
      </c>
      <c r="F39" s="177">
        <f>VLOOKUP($A39,K0kommunestruktur2019!$A$4:$N$425,K0kommunestruktur2020altern!F$3,FALSE)</f>
        <v>190618</v>
      </c>
      <c r="G39" s="289">
        <f>VLOOKUP($A39,K0kommunestruktur2019!$A$4:$N$425,K0kommunestruktur2020altern!G$3,FALSE)</f>
        <v>8952</v>
      </c>
      <c r="H39" s="177">
        <f>VLOOKUP($A39,K0kommunestruktur2019!$A$4:$N$425,K0kommunestruktur2020altern!H$3,FALSE)</f>
        <v>205516</v>
      </c>
      <c r="I39" s="289">
        <f>VLOOKUP($A39,K0kommunestruktur2019!$A$4:$N$425,K0kommunestruktur2020altern!I$3,FALSE)</f>
        <v>9007</v>
      </c>
      <c r="J39" s="177">
        <f>VLOOKUP($A39,K0kommunestruktur2019!$A$4:$N$425,K0kommunestruktur2020altern!J$3,FALSE)</f>
        <v>218659</v>
      </c>
      <c r="K39" s="289">
        <f>VLOOKUP($A39,K0kommunestruktur2019!$A$4:$N$425,K0kommunestruktur2020altern!K$3,FALSE)</f>
        <v>9131</v>
      </c>
      <c r="L39" s="177">
        <f>VLOOKUP($A39,K0kommunestruktur2019!$A$4:$N$425,K0kommunestruktur2020altern!L$3,FALSE)</f>
        <v>225657</v>
      </c>
      <c r="M39" s="289">
        <f>VLOOKUP($A39,K0kommunestruktur2019!$A$4:$N$425,K0kommunestruktur2020altern!M$3,FALSE)</f>
        <v>9271</v>
      </c>
      <c r="N39" s="177">
        <f>VLOOKUP($A39,K0kommunestruktur2019!$A$4:$N$425,K0kommunestruktur2020altern!N$3,FALSE)</f>
        <v>242024</v>
      </c>
      <c r="O39" s="289">
        <f>+'K20'!C39</f>
        <v>9310</v>
      </c>
      <c r="P39" s="177">
        <f>+'K20'!Z39</f>
        <v>236662</v>
      </c>
      <c r="R39" s="517"/>
    </row>
    <row r="40" spans="1:18" ht="13">
      <c r="A40" s="865">
        <v>1532</v>
      </c>
      <c r="B40" s="866" t="s">
        <v>99</v>
      </c>
      <c r="C40" s="289">
        <f>VLOOKUP($A40,K0kommunestruktur2019!$A$4:$N$425,K0kommunestruktur2020altern!C$3,FALSE)</f>
        <v>7739</v>
      </c>
      <c r="D40" s="177">
        <f>VLOOKUP($A40,K0kommunestruktur2019!$A$4:$N$425,K0kommunestruktur2020altern!D$3,FALSE)</f>
        <v>176985</v>
      </c>
      <c r="E40" s="289">
        <f>VLOOKUP($A40,K0kommunestruktur2019!$A$4:$N$425,K0kommunestruktur2020altern!E$3,FALSE)</f>
        <v>7924</v>
      </c>
      <c r="F40" s="177">
        <f>VLOOKUP($A40,K0kommunestruktur2019!$A$4:$N$425,K0kommunestruktur2020altern!F$3,FALSE)</f>
        <v>191013</v>
      </c>
      <c r="G40" s="289">
        <f>VLOOKUP($A40,K0kommunestruktur2019!$A$4:$N$425,K0kommunestruktur2020altern!G$3,FALSE)</f>
        <v>8094</v>
      </c>
      <c r="H40" s="177">
        <f>VLOOKUP($A40,K0kommunestruktur2019!$A$4:$N$425,K0kommunestruktur2020altern!H$3,FALSE)</f>
        <v>202891</v>
      </c>
      <c r="I40" s="289">
        <f>VLOOKUP($A40,K0kommunestruktur2019!$A$4:$N$425,K0kommunestruktur2020altern!I$3,FALSE)</f>
        <v>8176</v>
      </c>
      <c r="J40" s="177">
        <f>VLOOKUP($A40,K0kommunestruktur2019!$A$4:$N$425,K0kommunestruktur2020altern!J$3,FALSE)</f>
        <v>211132</v>
      </c>
      <c r="K40" s="289">
        <f>VLOOKUP($A40,K0kommunestruktur2019!$A$4:$N$425,K0kommunestruktur2020altern!K$3,FALSE)</f>
        <v>8292</v>
      </c>
      <c r="L40" s="177">
        <f>VLOOKUP($A40,K0kommunestruktur2019!$A$4:$N$425,K0kommunestruktur2020altern!L$3,FALSE)</f>
        <v>225895</v>
      </c>
      <c r="M40" s="289">
        <f>VLOOKUP($A40,K0kommunestruktur2019!$A$4:$N$425,K0kommunestruktur2020altern!M$3,FALSE)</f>
        <v>8398</v>
      </c>
      <c r="N40" s="177">
        <f>VLOOKUP($A40,K0kommunestruktur2019!$A$4:$N$425,K0kommunestruktur2020altern!N$3,FALSE)</f>
        <v>241624</v>
      </c>
      <c r="O40" s="289">
        <f>+'K20'!C40</f>
        <v>8462</v>
      </c>
      <c r="P40" s="177">
        <f>+'K20'!Z40</f>
        <v>242967</v>
      </c>
      <c r="R40" s="517"/>
    </row>
    <row r="41" spans="1:18" ht="13">
      <c r="A41" s="865">
        <v>1535</v>
      </c>
      <c r="B41" s="866" t="s">
        <v>101</v>
      </c>
      <c r="C41" s="289">
        <f>VLOOKUP($A41,K0kommunestruktur2019!$A$4:$N$425,K0kommunestruktur2020altern!C$3,FALSE)</f>
        <v>6615</v>
      </c>
      <c r="D41" s="177">
        <f>VLOOKUP($A41,K0kommunestruktur2019!$A$4:$N$425,K0kommunestruktur2020altern!D$3,FALSE)</f>
        <v>148221</v>
      </c>
      <c r="E41" s="289">
        <f>VLOOKUP($A41,K0kommunestruktur2019!$A$4:$N$425,K0kommunestruktur2020altern!E$3,FALSE)</f>
        <v>6708</v>
      </c>
      <c r="F41" s="177">
        <f>VLOOKUP($A41,K0kommunestruktur2019!$A$4:$N$425,K0kommunestruktur2020altern!F$3,FALSE)</f>
        <v>156759</v>
      </c>
      <c r="G41" s="289">
        <f>VLOOKUP($A41,K0kommunestruktur2019!$A$4:$N$425,K0kommunestruktur2020altern!G$3,FALSE)</f>
        <v>6611</v>
      </c>
      <c r="H41" s="177">
        <f>VLOOKUP($A41,K0kommunestruktur2019!$A$4:$N$425,K0kommunestruktur2020altern!H$3,FALSE)</f>
        <v>156952</v>
      </c>
      <c r="I41" s="289">
        <f>VLOOKUP($A41,K0kommunestruktur2019!$A$4:$N$425,K0kommunestruktur2020altern!I$3,FALSE)</f>
        <v>6577</v>
      </c>
      <c r="J41" s="177">
        <f>VLOOKUP($A41,K0kommunestruktur2019!$A$4:$N$425,K0kommunestruktur2020altern!J$3,FALSE)</f>
        <v>160490</v>
      </c>
      <c r="K41" s="289">
        <f>VLOOKUP($A41,K0kommunestruktur2019!$A$4:$N$425,K0kommunestruktur2020altern!K$3,FALSE)</f>
        <v>6559</v>
      </c>
      <c r="L41" s="177">
        <f>VLOOKUP($A41,K0kommunestruktur2019!$A$4:$N$425,K0kommunestruktur2020altern!L$3,FALSE)</f>
        <v>176646</v>
      </c>
      <c r="M41" s="289">
        <f>VLOOKUP($A41,K0kommunestruktur2019!$A$4:$N$425,K0kommunestruktur2020altern!M$3,FALSE)</f>
        <v>6536</v>
      </c>
      <c r="N41" s="177">
        <f>VLOOKUP($A41,K0kommunestruktur2019!$A$4:$N$425,K0kommunestruktur2020altern!N$3,FALSE)</f>
        <v>194195</v>
      </c>
      <c r="O41" s="289">
        <f>+'K20'!C41</f>
        <v>6532</v>
      </c>
      <c r="P41" s="177">
        <f>+'K20'!Z41</f>
        <v>188024</v>
      </c>
      <c r="R41" s="517"/>
    </row>
    <row r="42" spans="1:18" ht="13">
      <c r="A42" s="865">
        <v>1539</v>
      </c>
      <c r="B42" s="866" t="s">
        <v>102</v>
      </c>
      <c r="C42" s="289">
        <f>VLOOKUP($A42,K0kommunestruktur2019!$A$4:$N$425,K0kommunestruktur2020altern!C$3,FALSE)</f>
        <v>7453</v>
      </c>
      <c r="D42" s="177">
        <f>VLOOKUP($A42,K0kommunestruktur2019!$A$4:$N$425,K0kommunestruktur2020altern!D$3,FALSE)</f>
        <v>173016</v>
      </c>
      <c r="E42" s="289">
        <f>VLOOKUP($A42,K0kommunestruktur2019!$A$4:$N$425,K0kommunestruktur2020altern!E$3,FALSE)</f>
        <v>7445</v>
      </c>
      <c r="F42" s="177">
        <f>VLOOKUP($A42,K0kommunestruktur2019!$A$4:$N$425,K0kommunestruktur2020altern!F$3,FALSE)</f>
        <v>177886</v>
      </c>
      <c r="G42" s="289">
        <f>VLOOKUP($A42,K0kommunestruktur2019!$A$4:$N$425,K0kommunestruktur2020altern!G$3,FALSE)</f>
        <v>7492</v>
      </c>
      <c r="H42" s="177">
        <f>VLOOKUP($A42,K0kommunestruktur2019!$A$4:$N$425,K0kommunestruktur2020altern!H$3,FALSE)</f>
        <v>183416</v>
      </c>
      <c r="I42" s="289">
        <f>VLOOKUP($A42,K0kommunestruktur2019!$A$4:$N$425,K0kommunestruktur2020altern!I$3,FALSE)</f>
        <v>7503</v>
      </c>
      <c r="J42" s="177">
        <f>VLOOKUP($A42,K0kommunestruktur2019!$A$4:$N$425,K0kommunestruktur2020altern!J$3,FALSE)</f>
        <v>192778</v>
      </c>
      <c r="K42" s="289">
        <f>VLOOKUP($A42,K0kommunestruktur2019!$A$4:$N$425,K0kommunestruktur2020altern!K$3,FALSE)</f>
        <v>7507</v>
      </c>
      <c r="L42" s="177">
        <f>VLOOKUP($A42,K0kommunestruktur2019!$A$4:$N$425,K0kommunestruktur2020altern!L$3,FALSE)</f>
        <v>207857</v>
      </c>
      <c r="M42" s="289">
        <f>VLOOKUP($A42,K0kommunestruktur2019!$A$4:$N$425,K0kommunestruktur2020altern!M$3,FALSE)</f>
        <v>7487</v>
      </c>
      <c r="N42" s="177">
        <f>VLOOKUP($A42,K0kommunestruktur2019!$A$4:$N$425,K0kommunestruktur2020altern!N$3,FALSE)</f>
        <v>214556</v>
      </c>
      <c r="O42" s="289">
        <f>+'K20'!C42</f>
        <v>7468</v>
      </c>
      <c r="P42" s="177">
        <f>+'K20'!Z42</f>
        <v>205259</v>
      </c>
      <c r="R42" s="517"/>
    </row>
    <row r="43" spans="1:18" ht="13">
      <c r="A43" s="889">
        <v>1547</v>
      </c>
      <c r="B43" s="890" t="s">
        <v>106</v>
      </c>
      <c r="C43" s="289">
        <f t="shared" ref="C43:N43" si="7">+C$399+C$400</f>
        <v>3389.4555735056542</v>
      </c>
      <c r="D43" s="177">
        <f t="shared" si="7"/>
        <v>84567.862681744751</v>
      </c>
      <c r="E43" s="289">
        <f t="shared" si="7"/>
        <v>3478.2326332794833</v>
      </c>
      <c r="F43" s="177">
        <f t="shared" si="7"/>
        <v>91908.408723747983</v>
      </c>
      <c r="G43" s="289">
        <f t="shared" si="7"/>
        <v>3530.3101777059774</v>
      </c>
      <c r="H43" s="177">
        <f t="shared" si="7"/>
        <v>97658.827140549271</v>
      </c>
      <c r="I43" s="289">
        <f t="shared" si="7"/>
        <v>3559.0775444264946</v>
      </c>
      <c r="J43" s="177">
        <f t="shared" si="7"/>
        <v>102782.4071082391</v>
      </c>
      <c r="K43" s="289">
        <f t="shared" si="7"/>
        <v>3569.2423263327946</v>
      </c>
      <c r="L43" s="177">
        <f t="shared" si="7"/>
        <v>97447.693053311799</v>
      </c>
      <c r="M43" s="289">
        <f t="shared" si="7"/>
        <v>3551</v>
      </c>
      <c r="N43" s="177">
        <f t="shared" si="7"/>
        <v>106807.4394184168</v>
      </c>
      <c r="O43" s="289">
        <f>+'K20'!C43</f>
        <v>3509</v>
      </c>
      <c r="P43" s="177">
        <f>+'K20'!Z43</f>
        <v>99585</v>
      </c>
      <c r="R43" s="517"/>
    </row>
    <row r="44" spans="1:18" ht="13">
      <c r="A44" s="865">
        <v>1554</v>
      </c>
      <c r="B44" s="866" t="s">
        <v>109</v>
      </c>
      <c r="C44" s="289">
        <f>VLOOKUP($A44,K0kommunestruktur2019!$A$4:$N$425,K0kommunestruktur2020altern!C$3,FALSE)</f>
        <v>5687</v>
      </c>
      <c r="D44" s="177">
        <f>VLOOKUP($A44,K0kommunestruktur2019!$A$4:$N$425,K0kommunestruktur2020altern!D$3,FALSE)</f>
        <v>125329</v>
      </c>
      <c r="E44" s="289">
        <f>VLOOKUP($A44,K0kommunestruktur2019!$A$4:$N$425,K0kommunestruktur2020altern!E$3,FALSE)</f>
        <v>5794</v>
      </c>
      <c r="F44" s="177">
        <f>VLOOKUP($A44,K0kommunestruktur2019!$A$4:$N$425,K0kommunestruktur2020altern!F$3,FALSE)</f>
        <v>136191</v>
      </c>
      <c r="G44" s="289">
        <f>VLOOKUP($A44,K0kommunestruktur2019!$A$4:$N$425,K0kommunestruktur2020altern!G$3,FALSE)</f>
        <v>5826</v>
      </c>
      <c r="H44" s="177">
        <f>VLOOKUP($A44,K0kommunestruktur2019!$A$4:$N$425,K0kommunestruktur2020altern!H$3,FALSE)</f>
        <v>146606</v>
      </c>
      <c r="I44" s="289">
        <f>VLOOKUP($A44,K0kommunestruktur2019!$A$4:$N$425,K0kommunestruktur2020altern!I$3,FALSE)</f>
        <v>5856</v>
      </c>
      <c r="J44" s="177">
        <f>VLOOKUP($A44,K0kommunestruktur2019!$A$4:$N$425,K0kommunestruktur2020altern!J$3,FALSE)</f>
        <v>150786</v>
      </c>
      <c r="K44" s="289">
        <f>VLOOKUP($A44,K0kommunestruktur2019!$A$4:$N$425,K0kommunestruktur2020altern!K$3,FALSE)</f>
        <v>5859</v>
      </c>
      <c r="L44" s="177">
        <f>VLOOKUP($A44,K0kommunestruktur2019!$A$4:$N$425,K0kommunestruktur2020altern!L$3,FALSE)</f>
        <v>153466</v>
      </c>
      <c r="M44" s="289">
        <f>VLOOKUP($A44,K0kommunestruktur2019!$A$4:$N$425,K0kommunestruktur2020altern!M$3,FALSE)</f>
        <v>5849</v>
      </c>
      <c r="N44" s="177">
        <f>VLOOKUP($A44,K0kommunestruktur2019!$A$4:$N$425,K0kommunestruktur2020altern!N$3,FALSE)</f>
        <v>163113</v>
      </c>
      <c r="O44" s="289">
        <f>+'K20'!C44</f>
        <v>5788</v>
      </c>
      <c r="P44" s="177">
        <f>+'K20'!Z44</f>
        <v>163759</v>
      </c>
      <c r="R44" s="517"/>
    </row>
    <row r="45" spans="1:18" ht="13">
      <c r="A45" s="865">
        <v>1557</v>
      </c>
      <c r="B45" s="866" t="s">
        <v>110</v>
      </c>
      <c r="C45" s="289">
        <f>VLOOKUP($A45,K0kommunestruktur2019!$A$4:$N$425,K0kommunestruktur2020altern!C$3,FALSE)</f>
        <v>2565</v>
      </c>
      <c r="D45" s="177">
        <f>VLOOKUP($A45,K0kommunestruktur2019!$A$4:$N$425,K0kommunestruktur2020altern!D$3,FALSE)</f>
        <v>54164</v>
      </c>
      <c r="E45" s="289">
        <f>VLOOKUP($A45,K0kommunestruktur2019!$A$4:$N$425,K0kommunestruktur2020altern!E$3,FALSE)</f>
        <v>2580</v>
      </c>
      <c r="F45" s="177">
        <f>VLOOKUP($A45,K0kommunestruktur2019!$A$4:$N$425,K0kommunestruktur2020altern!F$3,FALSE)</f>
        <v>59425</v>
      </c>
      <c r="G45" s="289">
        <f>VLOOKUP($A45,K0kommunestruktur2019!$A$4:$N$425,K0kommunestruktur2020altern!G$3,FALSE)</f>
        <v>2593</v>
      </c>
      <c r="H45" s="177">
        <f>VLOOKUP($A45,K0kommunestruktur2019!$A$4:$N$425,K0kommunestruktur2020altern!H$3,FALSE)</f>
        <v>59460</v>
      </c>
      <c r="I45" s="289">
        <f>VLOOKUP($A45,K0kommunestruktur2019!$A$4:$N$425,K0kommunestruktur2020altern!I$3,FALSE)</f>
        <v>2611</v>
      </c>
      <c r="J45" s="177">
        <f>VLOOKUP($A45,K0kommunestruktur2019!$A$4:$N$425,K0kommunestruktur2020altern!J$3,FALSE)</f>
        <v>60402</v>
      </c>
      <c r="K45" s="289">
        <f>VLOOKUP($A45,K0kommunestruktur2019!$A$4:$N$425,K0kommunestruktur2020altern!K$3,FALSE)</f>
        <v>2623</v>
      </c>
      <c r="L45" s="177">
        <f>VLOOKUP($A45,K0kommunestruktur2019!$A$4:$N$425,K0kommunestruktur2020altern!L$3,FALSE)</f>
        <v>63780</v>
      </c>
      <c r="M45" s="289">
        <f>VLOOKUP($A45,K0kommunestruktur2019!$A$4:$N$425,K0kommunestruktur2020altern!M$3,FALSE)</f>
        <v>2641</v>
      </c>
      <c r="N45" s="177">
        <f>VLOOKUP($A45,K0kommunestruktur2019!$A$4:$N$425,K0kommunestruktur2020altern!N$3,FALSE)</f>
        <v>65161</v>
      </c>
      <c r="O45" s="289">
        <f>+'K20'!C45</f>
        <v>2629</v>
      </c>
      <c r="P45" s="177">
        <f>+'K20'!Z45</f>
        <v>63050</v>
      </c>
      <c r="R45" s="517"/>
    </row>
    <row r="46" spans="1:18" ht="13">
      <c r="A46" s="865">
        <v>1560</v>
      </c>
      <c r="B46" s="866" t="s">
        <v>111</v>
      </c>
      <c r="C46" s="289">
        <f>VLOOKUP($A46,K0kommunestruktur2019!$A$4:$N$425,K0kommunestruktur2020altern!C$3,FALSE)</f>
        <v>3064</v>
      </c>
      <c r="D46" s="177">
        <f>VLOOKUP($A46,K0kommunestruktur2019!$A$4:$N$425,K0kommunestruktur2020altern!D$3,FALSE)</f>
        <v>56739</v>
      </c>
      <c r="E46" s="289">
        <f>VLOOKUP($A46,K0kommunestruktur2019!$A$4:$N$425,K0kommunestruktur2020altern!E$3,FALSE)</f>
        <v>3090</v>
      </c>
      <c r="F46" s="177">
        <f>VLOOKUP($A46,K0kommunestruktur2019!$A$4:$N$425,K0kommunestruktur2020altern!F$3,FALSE)</f>
        <v>60801</v>
      </c>
      <c r="G46" s="289">
        <f>VLOOKUP($A46,K0kommunestruktur2019!$A$4:$N$425,K0kommunestruktur2020altern!G$3,FALSE)</f>
        <v>3103</v>
      </c>
      <c r="H46" s="177">
        <f>VLOOKUP($A46,K0kommunestruktur2019!$A$4:$N$425,K0kommunestruktur2020altern!H$3,FALSE)</f>
        <v>68044</v>
      </c>
      <c r="I46" s="289">
        <f>VLOOKUP($A46,K0kommunestruktur2019!$A$4:$N$425,K0kommunestruktur2020altern!I$3,FALSE)</f>
        <v>3109</v>
      </c>
      <c r="J46" s="177">
        <f>VLOOKUP($A46,K0kommunestruktur2019!$A$4:$N$425,K0kommunestruktur2020altern!J$3,FALSE)</f>
        <v>68507</v>
      </c>
      <c r="K46" s="289">
        <f>VLOOKUP($A46,K0kommunestruktur2019!$A$4:$N$425,K0kommunestruktur2020altern!K$3,FALSE)</f>
        <v>3078</v>
      </c>
      <c r="L46" s="177">
        <f>VLOOKUP($A46,K0kommunestruktur2019!$A$4:$N$425,K0kommunestruktur2020altern!L$3,FALSE)</f>
        <v>70887</v>
      </c>
      <c r="M46" s="289">
        <f>VLOOKUP($A46,K0kommunestruktur2019!$A$4:$N$425,K0kommunestruktur2020altern!M$3,FALSE)</f>
        <v>3045</v>
      </c>
      <c r="N46" s="177">
        <f>VLOOKUP($A46,K0kommunestruktur2019!$A$4:$N$425,K0kommunestruktur2020altern!N$3,FALSE)</f>
        <v>75985</v>
      </c>
      <c r="O46" s="289">
        <f>+'K20'!C46</f>
        <v>3025</v>
      </c>
      <c r="P46" s="177">
        <f>+'K20'!Z46</f>
        <v>75472</v>
      </c>
      <c r="R46" s="517"/>
    </row>
    <row r="47" spans="1:18" ht="13">
      <c r="A47" s="865">
        <v>1563</v>
      </c>
      <c r="B47" s="866" t="s">
        <v>112</v>
      </c>
      <c r="C47" s="289">
        <f>VLOOKUP($A47,K0kommunestruktur2019!$A$4:$N$425,K0kommunestruktur2020altern!C$3,FALSE)</f>
        <v>7171</v>
      </c>
      <c r="D47" s="177">
        <f>VLOOKUP($A47,K0kommunestruktur2019!$A$4:$N$425,K0kommunestruktur2020altern!D$3,FALSE)</f>
        <v>169264</v>
      </c>
      <c r="E47" s="289">
        <f>VLOOKUP($A47,K0kommunestruktur2019!$A$4:$N$425,K0kommunestruktur2020altern!E$3,FALSE)</f>
        <v>7155</v>
      </c>
      <c r="F47" s="177">
        <f>VLOOKUP($A47,K0kommunestruktur2019!$A$4:$N$425,K0kommunestruktur2020altern!F$3,FALSE)</f>
        <v>178481</v>
      </c>
      <c r="G47" s="289">
        <f>VLOOKUP($A47,K0kommunestruktur2019!$A$4:$N$425,K0kommunestruktur2020altern!G$3,FALSE)</f>
        <v>7160</v>
      </c>
      <c r="H47" s="177">
        <f>VLOOKUP($A47,K0kommunestruktur2019!$A$4:$N$425,K0kommunestruktur2020altern!H$3,FALSE)</f>
        <v>189734</v>
      </c>
      <c r="I47" s="289">
        <f>VLOOKUP($A47,K0kommunestruktur2019!$A$4:$N$425,K0kommunestruktur2020altern!I$3,FALSE)</f>
        <v>7126</v>
      </c>
      <c r="J47" s="177">
        <f>VLOOKUP($A47,K0kommunestruktur2019!$A$4:$N$425,K0kommunestruktur2020altern!J$3,FALSE)</f>
        <v>195106</v>
      </c>
      <c r="K47" s="289">
        <f>VLOOKUP($A47,K0kommunestruktur2019!$A$4:$N$425,K0kommunestruktur2020altern!K$3,FALSE)</f>
        <v>7119</v>
      </c>
      <c r="L47" s="177">
        <f>VLOOKUP($A47,K0kommunestruktur2019!$A$4:$N$425,K0kommunestruktur2020altern!L$3,FALSE)</f>
        <v>203672</v>
      </c>
      <c r="M47" s="289">
        <f>VLOOKUP($A47,K0kommunestruktur2019!$A$4:$N$425,K0kommunestruktur2020altern!M$3,FALSE)</f>
        <v>7106</v>
      </c>
      <c r="N47" s="177">
        <f>VLOOKUP($A47,K0kommunestruktur2019!$A$4:$N$425,K0kommunestruktur2020altern!N$3,FALSE)</f>
        <v>207823</v>
      </c>
      <c r="O47" s="289">
        <f>+'K20'!C47</f>
        <v>7036</v>
      </c>
      <c r="P47" s="177">
        <f>+'K20'!Z47</f>
        <v>204475</v>
      </c>
      <c r="R47" s="517"/>
    </row>
    <row r="48" spans="1:18" ht="13">
      <c r="A48" s="865">
        <v>1566</v>
      </c>
      <c r="B48" s="866" t="s">
        <v>113</v>
      </c>
      <c r="C48" s="289">
        <f>VLOOKUP($A48,K0kommunestruktur2019!$A$4:$N$425,K0kommunestruktur2020altern!C$3,FALSE)</f>
        <v>5954</v>
      </c>
      <c r="D48" s="177">
        <f>VLOOKUP($A48,K0kommunestruktur2019!$A$4:$N$425,K0kommunestruktur2020altern!D$3,FALSE)</f>
        <v>120188</v>
      </c>
      <c r="E48" s="289">
        <f>VLOOKUP($A48,K0kommunestruktur2019!$A$4:$N$425,K0kommunestruktur2020altern!E$3,FALSE)</f>
        <v>5976</v>
      </c>
      <c r="F48" s="177">
        <f>VLOOKUP($A48,K0kommunestruktur2019!$A$4:$N$425,K0kommunestruktur2020altern!F$3,FALSE)</f>
        <v>122573</v>
      </c>
      <c r="G48" s="289">
        <f>VLOOKUP($A48,K0kommunestruktur2019!$A$4:$N$425,K0kommunestruktur2020altern!G$3,FALSE)</f>
        <v>5969</v>
      </c>
      <c r="H48" s="177">
        <f>VLOOKUP($A48,K0kommunestruktur2019!$A$4:$N$425,K0kommunestruktur2020altern!H$3,FALSE)</f>
        <v>132821</v>
      </c>
      <c r="I48" s="289">
        <f>VLOOKUP($A48,K0kommunestruktur2019!$A$4:$N$425,K0kommunestruktur2020altern!I$3,FALSE)</f>
        <v>5986</v>
      </c>
      <c r="J48" s="177">
        <f>VLOOKUP($A48,K0kommunestruktur2019!$A$4:$N$425,K0kommunestruktur2020altern!J$3,FALSE)</f>
        <v>140387</v>
      </c>
      <c r="K48" s="289">
        <f>VLOOKUP($A48,K0kommunestruktur2019!$A$4:$N$425,K0kommunestruktur2020altern!K$3,FALSE)</f>
        <v>5978</v>
      </c>
      <c r="L48" s="177">
        <f>VLOOKUP($A48,K0kommunestruktur2019!$A$4:$N$425,K0kommunestruktur2020altern!L$3,FALSE)</f>
        <v>157123</v>
      </c>
      <c r="M48" s="289">
        <f>VLOOKUP($A48,K0kommunestruktur2019!$A$4:$N$425,K0kommunestruktur2020altern!M$3,FALSE)</f>
        <v>5928</v>
      </c>
      <c r="N48" s="177">
        <f>VLOOKUP($A48,K0kommunestruktur2019!$A$4:$N$425,K0kommunestruktur2020altern!N$3,FALSE)</f>
        <v>151417</v>
      </c>
      <c r="O48" s="289">
        <f>+'K20'!C48</f>
        <v>5920</v>
      </c>
      <c r="P48" s="177">
        <f>+'K20'!Z48</f>
        <v>139829</v>
      </c>
      <c r="R48" s="517"/>
    </row>
    <row r="49" spans="1:18" ht="13">
      <c r="A49" s="865">
        <v>1573</v>
      </c>
      <c r="B49" s="866" t="s">
        <v>116</v>
      </c>
      <c r="C49" s="289">
        <f>VLOOKUP($A49,K0kommunestruktur2019!$A$4:$N$425,K0kommunestruktur2020altern!C$3,FALSE)</f>
        <v>2166</v>
      </c>
      <c r="D49" s="177">
        <f>VLOOKUP($A49,K0kommunestruktur2019!$A$4:$N$425,K0kommunestruktur2020altern!D$3,FALSE)</f>
        <v>42888</v>
      </c>
      <c r="E49" s="289">
        <f>VLOOKUP($A49,K0kommunestruktur2019!$A$4:$N$425,K0kommunestruktur2020altern!E$3,FALSE)</f>
        <v>2146</v>
      </c>
      <c r="F49" s="177">
        <f>VLOOKUP($A49,K0kommunestruktur2019!$A$4:$N$425,K0kommunestruktur2020altern!F$3,FALSE)</f>
        <v>44088</v>
      </c>
      <c r="G49" s="289">
        <f>VLOOKUP($A49,K0kommunestruktur2019!$A$4:$N$425,K0kommunestruktur2020altern!G$3,FALSE)</f>
        <v>2141</v>
      </c>
      <c r="H49" s="177">
        <f>VLOOKUP($A49,K0kommunestruktur2019!$A$4:$N$425,K0kommunestruktur2020altern!H$3,FALSE)</f>
        <v>49763</v>
      </c>
      <c r="I49" s="289">
        <f>VLOOKUP($A49,K0kommunestruktur2019!$A$4:$N$425,K0kommunestruktur2020altern!I$3,FALSE)</f>
        <v>2160</v>
      </c>
      <c r="J49" s="177">
        <f>VLOOKUP($A49,K0kommunestruktur2019!$A$4:$N$425,K0kommunestruktur2020altern!J$3,FALSE)</f>
        <v>54812</v>
      </c>
      <c r="K49" s="289">
        <f>VLOOKUP($A49,K0kommunestruktur2019!$A$4:$N$425,K0kommunestruktur2020altern!K$3,FALSE)</f>
        <v>2172</v>
      </c>
      <c r="L49" s="177">
        <f>VLOOKUP($A49,K0kommunestruktur2019!$A$4:$N$425,K0kommunestruktur2020altern!L$3,FALSE)</f>
        <v>54874</v>
      </c>
      <c r="M49" s="289">
        <f>VLOOKUP($A49,K0kommunestruktur2019!$A$4:$N$425,K0kommunestruktur2020altern!M$3,FALSE)</f>
        <v>2134</v>
      </c>
      <c r="N49" s="177">
        <f>VLOOKUP($A49,K0kommunestruktur2019!$A$4:$N$425,K0kommunestruktur2020altern!N$3,FALSE)</f>
        <v>56072</v>
      </c>
      <c r="O49" s="289">
        <f>+'K20'!C49</f>
        <v>2150</v>
      </c>
      <c r="P49" s="177">
        <f>+'K20'!Z49</f>
        <v>57258</v>
      </c>
      <c r="R49" s="517"/>
    </row>
    <row r="50" spans="1:18" ht="13">
      <c r="A50" s="865">
        <v>1576</v>
      </c>
      <c r="B50" s="866" t="s">
        <v>1498</v>
      </c>
      <c r="C50" s="289">
        <f>VLOOKUP($A50,K0kommunestruktur2019!$A$4:$N$425,K0kommunestruktur2020altern!C$3,FALSE)</f>
        <v>3577</v>
      </c>
      <c r="D50" s="177">
        <f>VLOOKUP($A50,K0kommunestruktur2019!$A$4:$N$425,K0kommunestruktur2020altern!D$3,FALSE)</f>
        <v>72755</v>
      </c>
      <c r="E50" s="289">
        <f>VLOOKUP($A50,K0kommunestruktur2019!$A$4:$N$425,K0kommunestruktur2020altern!E$3,FALSE)</f>
        <v>3549</v>
      </c>
      <c r="F50" s="177">
        <f>VLOOKUP($A50,K0kommunestruktur2019!$A$4:$N$425,K0kommunestruktur2020altern!F$3,FALSE)</f>
        <v>76165</v>
      </c>
      <c r="G50" s="289">
        <f>VLOOKUP($A50,K0kommunestruktur2019!$A$4:$N$425,K0kommunestruktur2020altern!G$3,FALSE)</f>
        <v>3536</v>
      </c>
      <c r="H50" s="177">
        <f>VLOOKUP($A50,K0kommunestruktur2019!$A$4:$N$425,K0kommunestruktur2020altern!H$3,FALSE)</f>
        <v>85813</v>
      </c>
      <c r="I50" s="289">
        <f>VLOOKUP($A50,K0kommunestruktur2019!$A$4:$N$425,K0kommunestruktur2020altern!I$3,FALSE)</f>
        <v>3590</v>
      </c>
      <c r="J50" s="177">
        <f>VLOOKUP($A50,K0kommunestruktur2019!$A$4:$N$425,K0kommunestruktur2020altern!J$3,FALSE)</f>
        <v>89415</v>
      </c>
      <c r="K50" s="289">
        <f>VLOOKUP($A50,K0kommunestruktur2019!$A$4:$N$425,K0kommunestruktur2020altern!K$3,FALSE)</f>
        <v>3593</v>
      </c>
      <c r="L50" s="177">
        <f>VLOOKUP($A50,K0kommunestruktur2019!$A$4:$N$425,K0kommunestruktur2020altern!L$3,FALSE)</f>
        <v>90980</v>
      </c>
      <c r="M50" s="289">
        <f>VLOOKUP($A50,K0kommunestruktur2019!$A$4:$N$425,K0kommunestruktur2020altern!M$3,FALSE)</f>
        <v>3553</v>
      </c>
      <c r="N50" s="177">
        <f>VLOOKUP($A50,K0kommunestruktur2019!$A$4:$N$425,K0kommunestruktur2020altern!N$3,FALSE)</f>
        <v>94244</v>
      </c>
      <c r="O50" s="289">
        <f>+'K20'!C50</f>
        <v>3507</v>
      </c>
      <c r="P50" s="177">
        <f>+'K20'!Z50</f>
        <v>95166</v>
      </c>
      <c r="R50" s="517"/>
    </row>
    <row r="51" spans="1:18" ht="13">
      <c r="A51" s="878">
        <v>1577</v>
      </c>
      <c r="B51" s="883" t="s">
        <v>1613</v>
      </c>
      <c r="C51" s="289">
        <f t="shared" ref="C51:N51" si="8">+C$402+C$403+C$404</f>
        <v>10219.895551257254</v>
      </c>
      <c r="D51" s="177">
        <f t="shared" si="8"/>
        <v>208243.61718568666</v>
      </c>
      <c r="E51" s="289">
        <f t="shared" si="8"/>
        <v>10286.408123791103</v>
      </c>
      <c r="F51" s="177">
        <f t="shared" si="8"/>
        <v>219052.3610154739</v>
      </c>
      <c r="G51" s="289">
        <f t="shared" si="8"/>
        <v>10326.25918762089</v>
      </c>
      <c r="H51" s="177">
        <f t="shared" si="8"/>
        <v>233359.61901353966</v>
      </c>
      <c r="I51" s="289">
        <f t="shared" si="8"/>
        <v>10389.907156673115</v>
      </c>
      <c r="J51" s="177">
        <f t="shared" si="8"/>
        <v>236710.40845261121</v>
      </c>
      <c r="K51" s="289">
        <f t="shared" si="8"/>
        <v>10453.564796905222</v>
      </c>
      <c r="L51" s="177">
        <f t="shared" si="8"/>
        <v>251923.62088974856</v>
      </c>
      <c r="M51" s="289">
        <f t="shared" si="8"/>
        <v>10454</v>
      </c>
      <c r="N51" s="177">
        <f t="shared" si="8"/>
        <v>258159.72920696324</v>
      </c>
      <c r="O51" s="289">
        <f>+'K20'!C51</f>
        <v>10473</v>
      </c>
      <c r="P51" s="177">
        <f>+'K20'!Z51</f>
        <v>252064</v>
      </c>
      <c r="R51" s="517"/>
    </row>
    <row r="52" spans="1:18" ht="13">
      <c r="A52" s="878">
        <v>1578</v>
      </c>
      <c r="B52" s="883" t="s">
        <v>1614</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+'K20'!C52</f>
        <v>2549</v>
      </c>
      <c r="P52" s="177">
        <f>+'K20'!Z52</f>
        <v>68641</v>
      </c>
      <c r="R52" s="517"/>
    </row>
    <row r="53" spans="1:18" ht="13">
      <c r="A53" s="878">
        <v>1579</v>
      </c>
      <c r="B53" s="883" t="s">
        <v>1615</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+'K20'!C53</f>
        <v>13279</v>
      </c>
      <c r="P53" s="177">
        <f>+'K20'!Z53</f>
        <v>340418</v>
      </c>
      <c r="R53" s="517"/>
    </row>
    <row r="54" spans="1:18" ht="13">
      <c r="A54" s="865">
        <v>1804</v>
      </c>
      <c r="B54" s="866" t="s">
        <v>174</v>
      </c>
      <c r="C54" s="289">
        <f>VLOOKUP($A54,K0kommunestruktur2019!$A$4:$N$425,K0kommunestruktur2020altern!C$3,FALSE)</f>
        <v>49731</v>
      </c>
      <c r="D54" s="177">
        <f>VLOOKUP($A54,K0kommunestruktur2019!$A$4:$N$425,K0kommunestruktur2020altern!D$3,FALSE)</f>
        <v>1162903</v>
      </c>
      <c r="E54" s="289">
        <f>VLOOKUP($A54,K0kommunestruktur2019!$A$4:$N$425,K0kommunestruktur2020altern!E$3,FALSE)</f>
        <v>50185</v>
      </c>
      <c r="F54" s="177">
        <f>VLOOKUP($A54,K0kommunestruktur2019!$A$4:$N$425,K0kommunestruktur2020altern!F$3,FALSE)</f>
        <v>1244567</v>
      </c>
      <c r="G54" s="289">
        <f>VLOOKUP($A54,K0kommunestruktur2019!$A$4:$N$425,K0kommunestruktur2020altern!G$3,FALSE)</f>
        <v>50488</v>
      </c>
      <c r="H54" s="177">
        <f>VLOOKUP($A54,K0kommunestruktur2019!$A$4:$N$425,K0kommunestruktur2020altern!H$3,FALSE)</f>
        <v>1345148</v>
      </c>
      <c r="I54" s="289">
        <f>VLOOKUP($A54,K0kommunestruktur2019!$A$4:$N$425,K0kommunestruktur2020altern!I$3,FALSE)</f>
        <v>51022</v>
      </c>
      <c r="J54" s="177">
        <f>VLOOKUP($A54,K0kommunestruktur2019!$A$4:$N$425,K0kommunestruktur2020altern!J$3,FALSE)</f>
        <v>1417947</v>
      </c>
      <c r="K54" s="289">
        <f>VLOOKUP($A54,K0kommunestruktur2019!$A$4:$N$425,K0kommunestruktur2020altern!K$3,FALSE)</f>
        <v>51558</v>
      </c>
      <c r="L54" s="177">
        <f>VLOOKUP($A54,K0kommunestruktur2019!$A$4:$N$425,K0kommunestruktur2020altern!L$3,FALSE)</f>
        <v>1519251</v>
      </c>
      <c r="M54" s="289">
        <f>VLOOKUP($A54,K0kommunestruktur2019!$A$4:$N$425,K0kommunestruktur2020altern!M$3,FALSE)</f>
        <v>52024</v>
      </c>
      <c r="N54" s="177">
        <f>VLOOKUP($A54,K0kommunestruktur2019!$A$4:$N$425,K0kommunestruktur2020altern!N$3,FALSE)</f>
        <v>1602846</v>
      </c>
      <c r="O54" s="289">
        <f>+'K20'!C54</f>
        <v>52357</v>
      </c>
      <c r="P54" s="177">
        <f>+'K20'!Z54</f>
        <v>1589017</v>
      </c>
      <c r="R54" s="517"/>
    </row>
    <row r="55" spans="1:18" ht="13">
      <c r="A55" s="878">
        <v>1806</v>
      </c>
      <c r="B55" s="883" t="s">
        <v>1616</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597862.21038961038</v>
      </c>
      <c r="O55" s="289">
        <f>+'K20'!C55</f>
        <v>21845</v>
      </c>
      <c r="P55" s="177">
        <f>+'K20'!Z55</f>
        <v>595353</v>
      </c>
      <c r="R55" s="517"/>
    </row>
    <row r="56" spans="1:18" ht="13">
      <c r="A56" s="865">
        <v>1811</v>
      </c>
      <c r="B56" s="866" t="s">
        <v>176</v>
      </c>
      <c r="C56" s="289">
        <f>VLOOKUP($A56,K0kommunestruktur2019!$A$4:$N$425,K0kommunestruktur2020altern!C$3,FALSE)</f>
        <v>1503</v>
      </c>
      <c r="D56" s="177">
        <f>VLOOKUP($A56,K0kommunestruktur2019!$A$4:$N$425,K0kommunestruktur2020altern!D$3,FALSE)</f>
        <v>30493</v>
      </c>
      <c r="E56" s="289">
        <f>VLOOKUP($A56,K0kommunestruktur2019!$A$4:$N$425,K0kommunestruktur2020altern!E$3,FALSE)</f>
        <v>1482</v>
      </c>
      <c r="F56" s="177">
        <f>VLOOKUP($A56,K0kommunestruktur2019!$A$4:$N$425,K0kommunestruktur2020altern!F$3,FALSE)</f>
        <v>32052</v>
      </c>
      <c r="G56" s="289">
        <f>VLOOKUP($A56,K0kommunestruktur2019!$A$4:$N$425,K0kommunestruktur2020altern!G$3,FALSE)</f>
        <v>1465</v>
      </c>
      <c r="H56" s="177">
        <f>VLOOKUP($A56,K0kommunestruktur2019!$A$4:$N$425,K0kommunestruktur2020altern!H$3,FALSE)</f>
        <v>35427</v>
      </c>
      <c r="I56" s="289">
        <f>VLOOKUP($A56,K0kommunestruktur2019!$A$4:$N$425,K0kommunestruktur2020altern!I$3,FALSE)</f>
        <v>1473</v>
      </c>
      <c r="J56" s="177">
        <f>VLOOKUP($A56,K0kommunestruktur2019!$A$4:$N$425,K0kommunestruktur2020altern!J$3,FALSE)</f>
        <v>37248</v>
      </c>
      <c r="K56" s="289">
        <f>VLOOKUP($A56,K0kommunestruktur2019!$A$4:$N$425,K0kommunestruktur2020altern!K$3,FALSE)</f>
        <v>1486</v>
      </c>
      <c r="L56" s="177">
        <f>VLOOKUP($A56,K0kommunestruktur2019!$A$4:$N$425,K0kommunestruktur2020altern!L$3,FALSE)</f>
        <v>40198</v>
      </c>
      <c r="M56" s="289">
        <f>VLOOKUP($A56,K0kommunestruktur2019!$A$4:$N$425,K0kommunestruktur2020altern!M$3,FALSE)</f>
        <v>1450</v>
      </c>
      <c r="N56" s="177">
        <f>VLOOKUP($A56,K0kommunestruktur2019!$A$4:$N$425,K0kommunestruktur2020altern!N$3,FALSE)</f>
        <v>38970</v>
      </c>
      <c r="O56" s="289">
        <f>+'K20'!C56</f>
        <v>1426</v>
      </c>
      <c r="P56" s="177">
        <f>+'K20'!Z56</f>
        <v>38311</v>
      </c>
      <c r="R56" s="517"/>
    </row>
    <row r="57" spans="1:18" ht="13">
      <c r="A57" s="865">
        <v>1812</v>
      </c>
      <c r="B57" s="866" t="s">
        <v>177</v>
      </c>
      <c r="C57" s="289">
        <f>VLOOKUP($A57,K0kommunestruktur2019!$A$4:$N$425,K0kommunestruktur2020altern!C$3,FALSE)</f>
        <v>2047</v>
      </c>
      <c r="D57" s="177">
        <f>VLOOKUP($A57,K0kommunestruktur2019!$A$4:$N$425,K0kommunestruktur2020altern!D$3,FALSE)</f>
        <v>38816</v>
      </c>
      <c r="E57" s="289">
        <f>VLOOKUP($A57,K0kommunestruktur2019!$A$4:$N$425,K0kommunestruktur2020altern!E$3,FALSE)</f>
        <v>2063</v>
      </c>
      <c r="F57" s="177">
        <f>VLOOKUP($A57,K0kommunestruktur2019!$A$4:$N$425,K0kommunestruktur2020altern!F$3,FALSE)</f>
        <v>39185</v>
      </c>
      <c r="G57" s="289">
        <f>VLOOKUP($A57,K0kommunestruktur2019!$A$4:$N$425,K0kommunestruktur2020altern!G$3,FALSE)</f>
        <v>2031</v>
      </c>
      <c r="H57" s="177">
        <f>VLOOKUP($A57,K0kommunestruktur2019!$A$4:$N$425,K0kommunestruktur2020altern!H$3,FALSE)</f>
        <v>39654</v>
      </c>
      <c r="I57" s="289">
        <f>VLOOKUP($A57,K0kommunestruktur2019!$A$4:$N$425,K0kommunestruktur2020altern!I$3,FALSE)</f>
        <v>2047</v>
      </c>
      <c r="J57" s="177">
        <f>VLOOKUP($A57,K0kommunestruktur2019!$A$4:$N$425,K0kommunestruktur2020altern!J$3,FALSE)</f>
        <v>41811</v>
      </c>
      <c r="K57" s="289">
        <f>VLOOKUP($A57,K0kommunestruktur2019!$A$4:$N$425,K0kommunestruktur2020altern!K$3,FALSE)</f>
        <v>2020</v>
      </c>
      <c r="L57" s="177">
        <f>VLOOKUP($A57,K0kommunestruktur2019!$A$4:$N$425,K0kommunestruktur2020altern!L$3,FALSE)</f>
        <v>44273</v>
      </c>
      <c r="M57" s="289">
        <f>VLOOKUP($A57,K0kommunestruktur2019!$A$4:$N$425,K0kommunestruktur2020altern!M$3,FALSE)</f>
        <v>2014</v>
      </c>
      <c r="N57" s="177">
        <f>VLOOKUP($A57,K0kommunestruktur2019!$A$4:$N$425,K0kommunestruktur2020altern!N$3,FALSE)</f>
        <v>46881</v>
      </c>
      <c r="O57" s="289">
        <f>+'K20'!C57</f>
        <v>1975</v>
      </c>
      <c r="P57" s="177">
        <f>+'K20'!Z57</f>
        <v>45952</v>
      </c>
      <c r="R57" s="517"/>
    </row>
    <row r="58" spans="1:18" ht="13">
      <c r="A58" s="865">
        <v>1813</v>
      </c>
      <c r="B58" s="866" t="s">
        <v>178</v>
      </c>
      <c r="C58" s="289">
        <f>VLOOKUP($A58,K0kommunestruktur2019!$A$4:$N$425,K0kommunestruktur2020altern!C$3,FALSE)</f>
        <v>7897</v>
      </c>
      <c r="D58" s="177">
        <f>VLOOKUP($A58,K0kommunestruktur2019!$A$4:$N$425,K0kommunestruktur2020altern!D$3,FALSE)</f>
        <v>156213</v>
      </c>
      <c r="E58" s="289">
        <f>VLOOKUP($A58,K0kommunestruktur2019!$A$4:$N$425,K0kommunestruktur2020altern!E$3,FALSE)</f>
        <v>7934</v>
      </c>
      <c r="F58" s="177">
        <f>VLOOKUP($A58,K0kommunestruktur2019!$A$4:$N$425,K0kommunestruktur2020altern!F$3,FALSE)</f>
        <v>167225</v>
      </c>
      <c r="G58" s="289">
        <f>VLOOKUP($A58,K0kommunestruktur2019!$A$4:$N$425,K0kommunestruktur2020altern!G$3,FALSE)</f>
        <v>7962</v>
      </c>
      <c r="H58" s="177">
        <f>VLOOKUP($A58,K0kommunestruktur2019!$A$4:$N$425,K0kommunestruktur2020altern!H$3,FALSE)</f>
        <v>181445</v>
      </c>
      <c r="I58" s="289">
        <f>VLOOKUP($A58,K0kommunestruktur2019!$A$4:$N$425,K0kommunestruktur2020altern!I$3,FALSE)</f>
        <v>7956</v>
      </c>
      <c r="J58" s="177">
        <f>VLOOKUP($A58,K0kommunestruktur2019!$A$4:$N$425,K0kommunestruktur2020altern!J$3,FALSE)</f>
        <v>190059</v>
      </c>
      <c r="K58" s="289">
        <f>VLOOKUP($A58,K0kommunestruktur2019!$A$4:$N$425,K0kommunestruktur2020altern!K$3,FALSE)</f>
        <v>7948</v>
      </c>
      <c r="L58" s="177">
        <f>VLOOKUP($A58,K0kommunestruktur2019!$A$4:$N$425,K0kommunestruktur2020altern!L$3,FALSE)</f>
        <v>197077</v>
      </c>
      <c r="M58" s="289">
        <f>VLOOKUP($A58,K0kommunestruktur2019!$A$4:$N$425,K0kommunestruktur2020altern!M$3,FALSE)</f>
        <v>7916</v>
      </c>
      <c r="N58" s="177">
        <f>VLOOKUP($A58,K0kommunestruktur2019!$A$4:$N$425,K0kommunestruktur2020altern!N$3,FALSE)</f>
        <v>198525</v>
      </c>
      <c r="O58" s="289">
        <f>+'K20'!C58</f>
        <v>7917</v>
      </c>
      <c r="P58" s="177">
        <f>+'K20'!Z58</f>
        <v>197511</v>
      </c>
      <c r="R58" s="517"/>
    </row>
    <row r="59" spans="1:18" ht="13">
      <c r="A59" s="865">
        <v>1815</v>
      </c>
      <c r="B59" s="866" t="s">
        <v>179</v>
      </c>
      <c r="C59" s="289">
        <f>VLOOKUP($A59,K0kommunestruktur2019!$A$4:$N$425,K0kommunestruktur2020altern!C$3,FALSE)</f>
        <v>1223</v>
      </c>
      <c r="D59" s="177">
        <f>VLOOKUP($A59,K0kommunestruktur2019!$A$4:$N$425,K0kommunestruktur2020altern!D$3,FALSE)</f>
        <v>21722</v>
      </c>
      <c r="E59" s="289">
        <f>VLOOKUP($A59,K0kommunestruktur2019!$A$4:$N$425,K0kommunestruktur2020altern!E$3,FALSE)</f>
        <v>1225</v>
      </c>
      <c r="F59" s="177">
        <f>VLOOKUP($A59,K0kommunestruktur2019!$A$4:$N$425,K0kommunestruktur2020altern!F$3,FALSE)</f>
        <v>22840</v>
      </c>
      <c r="G59" s="289">
        <f>VLOOKUP($A59,K0kommunestruktur2019!$A$4:$N$425,K0kommunestruktur2020altern!G$3,FALSE)</f>
        <v>1244</v>
      </c>
      <c r="H59" s="177">
        <f>VLOOKUP($A59,K0kommunestruktur2019!$A$4:$N$425,K0kommunestruktur2020altern!H$3,FALSE)</f>
        <v>24000</v>
      </c>
      <c r="I59" s="289">
        <f>VLOOKUP($A59,K0kommunestruktur2019!$A$4:$N$425,K0kommunestruktur2020altern!I$3,FALSE)</f>
        <v>1234</v>
      </c>
      <c r="J59" s="177">
        <f>VLOOKUP($A59,K0kommunestruktur2019!$A$4:$N$425,K0kommunestruktur2020altern!J$3,FALSE)</f>
        <v>24851</v>
      </c>
      <c r="K59" s="289">
        <f>VLOOKUP($A59,K0kommunestruktur2019!$A$4:$N$425,K0kommunestruktur2020altern!K$3,FALSE)</f>
        <v>1221</v>
      </c>
      <c r="L59" s="177">
        <f>VLOOKUP($A59,K0kommunestruktur2019!$A$4:$N$425,K0kommunestruktur2020altern!L$3,FALSE)</f>
        <v>26288</v>
      </c>
      <c r="M59" s="289">
        <f>VLOOKUP($A59,K0kommunestruktur2019!$A$4:$N$425,K0kommunestruktur2020altern!M$3,FALSE)</f>
        <v>1232</v>
      </c>
      <c r="N59" s="177">
        <f>VLOOKUP($A59,K0kommunestruktur2019!$A$4:$N$425,K0kommunestruktur2020altern!N$3,FALSE)</f>
        <v>27921</v>
      </c>
      <c r="O59" s="289">
        <f>+'K20'!C59</f>
        <v>1200</v>
      </c>
      <c r="P59" s="177">
        <f>+'K20'!Z59</f>
        <v>27180</v>
      </c>
      <c r="R59" s="517"/>
    </row>
    <row r="60" spans="1:18" ht="13">
      <c r="A60" s="865">
        <v>1816</v>
      </c>
      <c r="B60" s="866" t="s">
        <v>180</v>
      </c>
      <c r="C60" s="289">
        <f>VLOOKUP($A60,K0kommunestruktur2019!$A$4:$N$425,K0kommunestruktur2020altern!C$3,FALSE)</f>
        <v>495</v>
      </c>
      <c r="D60" s="177">
        <f>VLOOKUP($A60,K0kommunestruktur2019!$A$4:$N$425,K0kommunestruktur2020altern!D$3,FALSE)</f>
        <v>8703</v>
      </c>
      <c r="E60" s="289">
        <f>VLOOKUP($A60,K0kommunestruktur2019!$A$4:$N$425,K0kommunestruktur2020altern!E$3,FALSE)</f>
        <v>510</v>
      </c>
      <c r="F60" s="177">
        <f>VLOOKUP($A60,K0kommunestruktur2019!$A$4:$N$425,K0kommunestruktur2020altern!F$3,FALSE)</f>
        <v>9279</v>
      </c>
      <c r="G60" s="289">
        <f>VLOOKUP($A60,K0kommunestruktur2019!$A$4:$N$425,K0kommunestruktur2020altern!G$3,FALSE)</f>
        <v>507</v>
      </c>
      <c r="H60" s="177">
        <f>VLOOKUP($A60,K0kommunestruktur2019!$A$4:$N$425,K0kommunestruktur2020altern!H$3,FALSE)</f>
        <v>10195</v>
      </c>
      <c r="I60" s="289">
        <f>VLOOKUP($A60,K0kommunestruktur2019!$A$4:$N$425,K0kommunestruktur2020altern!I$3,FALSE)</f>
        <v>528</v>
      </c>
      <c r="J60" s="177">
        <f>VLOOKUP($A60,K0kommunestruktur2019!$A$4:$N$425,K0kommunestruktur2020altern!J$3,FALSE)</f>
        <v>10057</v>
      </c>
      <c r="K60" s="289">
        <f>VLOOKUP($A60,K0kommunestruktur2019!$A$4:$N$425,K0kommunestruktur2020altern!K$3,FALSE)</f>
        <v>506</v>
      </c>
      <c r="L60" s="177">
        <f>VLOOKUP($A60,K0kommunestruktur2019!$A$4:$N$425,K0kommunestruktur2020altern!L$3,FALSE)</f>
        <v>10264</v>
      </c>
      <c r="M60" s="289">
        <f>VLOOKUP($A60,K0kommunestruktur2019!$A$4:$N$425,K0kommunestruktur2020altern!M$3,FALSE)</f>
        <v>497</v>
      </c>
      <c r="N60" s="177">
        <f>VLOOKUP($A60,K0kommunestruktur2019!$A$4:$N$425,K0kommunestruktur2020altern!N$3,FALSE)</f>
        <v>13562</v>
      </c>
      <c r="O60" s="289">
        <f>+'K20'!C60</f>
        <v>462</v>
      </c>
      <c r="P60" s="177">
        <f>+'K20'!Z60</f>
        <v>12272</v>
      </c>
      <c r="R60" s="517"/>
    </row>
    <row r="61" spans="1:18" ht="13">
      <c r="A61" s="865">
        <v>1818</v>
      </c>
      <c r="B61" s="866" t="s">
        <v>87</v>
      </c>
      <c r="C61" s="289">
        <f>VLOOKUP($A61,K0kommunestruktur2019!$A$4:$N$425,K0kommunestruktur2020altern!C$3,FALSE)</f>
        <v>1733</v>
      </c>
      <c r="D61" s="177">
        <f>VLOOKUP($A61,K0kommunestruktur2019!$A$4:$N$425,K0kommunestruktur2020altern!D$3,FALSE)</f>
        <v>33864</v>
      </c>
      <c r="E61" s="289">
        <f>VLOOKUP($A61,K0kommunestruktur2019!$A$4:$N$425,K0kommunestruktur2020altern!E$3,FALSE)</f>
        <v>1737</v>
      </c>
      <c r="F61" s="177">
        <f>VLOOKUP($A61,K0kommunestruktur2019!$A$4:$N$425,K0kommunestruktur2020altern!F$3,FALSE)</f>
        <v>38421</v>
      </c>
      <c r="G61" s="289">
        <f>VLOOKUP($A61,K0kommunestruktur2019!$A$4:$N$425,K0kommunestruktur2020altern!G$3,FALSE)</f>
        <v>1743</v>
      </c>
      <c r="H61" s="177">
        <f>VLOOKUP($A61,K0kommunestruktur2019!$A$4:$N$425,K0kommunestruktur2020altern!H$3,FALSE)</f>
        <v>41230</v>
      </c>
      <c r="I61" s="289">
        <f>VLOOKUP($A61,K0kommunestruktur2019!$A$4:$N$425,K0kommunestruktur2020altern!I$3,FALSE)</f>
        <v>1788</v>
      </c>
      <c r="J61" s="177">
        <f>VLOOKUP($A61,K0kommunestruktur2019!$A$4:$N$425,K0kommunestruktur2020altern!J$3,FALSE)</f>
        <v>46836</v>
      </c>
      <c r="K61" s="289">
        <f>VLOOKUP($A61,K0kommunestruktur2019!$A$4:$N$425,K0kommunestruktur2020altern!K$3,FALSE)</f>
        <v>1790</v>
      </c>
      <c r="L61" s="177">
        <f>VLOOKUP($A61,K0kommunestruktur2019!$A$4:$N$425,K0kommunestruktur2020altern!L$3,FALSE)</f>
        <v>51964</v>
      </c>
      <c r="M61" s="289">
        <f>VLOOKUP($A61,K0kommunestruktur2019!$A$4:$N$425,K0kommunestruktur2020altern!M$3,FALSE)</f>
        <v>1780</v>
      </c>
      <c r="N61" s="177">
        <f>VLOOKUP($A61,K0kommunestruktur2019!$A$4:$N$425,K0kommunestruktur2020altern!N$3,FALSE)</f>
        <v>51439</v>
      </c>
      <c r="O61" s="289">
        <f>+'K20'!C61</f>
        <v>1777</v>
      </c>
      <c r="P61" s="177">
        <f>+'K20'!Z61</f>
        <v>50022</v>
      </c>
      <c r="R61" s="517"/>
    </row>
    <row r="62" spans="1:18" ht="13">
      <c r="A62" s="865">
        <v>1820</v>
      </c>
      <c r="B62" s="866" t="s">
        <v>181</v>
      </c>
      <c r="C62" s="289">
        <f>VLOOKUP($A62,K0kommunestruktur2019!$A$4:$N$425,K0kommunestruktur2020altern!C$3,FALSE)</f>
        <v>7394</v>
      </c>
      <c r="D62" s="177">
        <f>VLOOKUP($A62,K0kommunestruktur2019!$A$4:$N$425,K0kommunestruktur2020altern!D$3,FALSE)</f>
        <v>151380</v>
      </c>
      <c r="E62" s="289">
        <f>VLOOKUP($A62,K0kommunestruktur2019!$A$4:$N$425,K0kommunestruktur2020altern!E$3,FALSE)</f>
        <v>7454</v>
      </c>
      <c r="F62" s="177">
        <f>VLOOKUP($A62,K0kommunestruktur2019!$A$4:$N$425,K0kommunestruktur2020altern!F$3,FALSE)</f>
        <v>158275</v>
      </c>
      <c r="G62" s="289">
        <f>VLOOKUP($A62,K0kommunestruktur2019!$A$4:$N$425,K0kommunestruktur2020altern!G$3,FALSE)</f>
        <v>7437</v>
      </c>
      <c r="H62" s="177">
        <f>VLOOKUP($A62,K0kommunestruktur2019!$A$4:$N$425,K0kommunestruktur2020altern!H$3,FALSE)</f>
        <v>172927</v>
      </c>
      <c r="I62" s="289">
        <f>VLOOKUP($A62,K0kommunestruktur2019!$A$4:$N$425,K0kommunestruktur2020altern!I$3,FALSE)</f>
        <v>7428</v>
      </c>
      <c r="J62" s="177">
        <f>VLOOKUP($A62,K0kommunestruktur2019!$A$4:$N$425,K0kommunestruktur2020altern!J$3,FALSE)</f>
        <v>176287</v>
      </c>
      <c r="K62" s="289">
        <f>VLOOKUP($A62,K0kommunestruktur2019!$A$4:$N$425,K0kommunestruktur2020altern!K$3,FALSE)</f>
        <v>7450</v>
      </c>
      <c r="L62" s="177">
        <f>VLOOKUP($A62,K0kommunestruktur2019!$A$4:$N$425,K0kommunestruktur2020altern!L$3,FALSE)</f>
        <v>184472</v>
      </c>
      <c r="M62" s="289">
        <f>VLOOKUP($A62,K0kommunestruktur2019!$A$4:$N$425,K0kommunestruktur2020altern!M$3,FALSE)</f>
        <v>7415</v>
      </c>
      <c r="N62" s="177">
        <f>VLOOKUP($A62,K0kommunestruktur2019!$A$4:$N$425,K0kommunestruktur2020altern!N$3,FALSE)</f>
        <v>193762</v>
      </c>
      <c r="O62" s="289">
        <f>+'K20'!C62</f>
        <v>7447</v>
      </c>
      <c r="P62" s="177">
        <f>+'K20'!Z62</f>
        <v>192056</v>
      </c>
      <c r="R62" s="517"/>
    </row>
    <row r="63" spans="1:18" ht="13">
      <c r="A63" s="865">
        <v>1822</v>
      </c>
      <c r="B63" s="866" t="s">
        <v>182</v>
      </c>
      <c r="C63" s="289">
        <f>VLOOKUP($A63,K0kommunestruktur2019!$A$4:$N$425,K0kommunestruktur2020altern!C$3,FALSE)</f>
        <v>2188</v>
      </c>
      <c r="D63" s="177">
        <f>VLOOKUP($A63,K0kommunestruktur2019!$A$4:$N$425,K0kommunestruktur2020altern!D$3,FALSE)</f>
        <v>37305</v>
      </c>
      <c r="E63" s="289">
        <f>VLOOKUP($A63,K0kommunestruktur2019!$A$4:$N$425,K0kommunestruktur2020altern!E$3,FALSE)</f>
        <v>2188</v>
      </c>
      <c r="F63" s="177">
        <f>VLOOKUP($A63,K0kommunestruktur2019!$A$4:$N$425,K0kommunestruktur2020altern!F$3,FALSE)</f>
        <v>38473</v>
      </c>
      <c r="G63" s="289">
        <f>VLOOKUP($A63,K0kommunestruktur2019!$A$4:$N$425,K0kommunestruktur2020altern!G$3,FALSE)</f>
        <v>2216</v>
      </c>
      <c r="H63" s="177">
        <f>VLOOKUP($A63,K0kommunestruktur2019!$A$4:$N$425,K0kommunestruktur2020altern!H$3,FALSE)</f>
        <v>42435</v>
      </c>
      <c r="I63" s="289">
        <f>VLOOKUP($A63,K0kommunestruktur2019!$A$4:$N$425,K0kommunestruktur2020altern!I$3,FALSE)</f>
        <v>2278</v>
      </c>
      <c r="J63" s="177">
        <f>VLOOKUP($A63,K0kommunestruktur2019!$A$4:$N$425,K0kommunestruktur2020altern!J$3,FALSE)</f>
        <v>43914</v>
      </c>
      <c r="K63" s="289">
        <f>VLOOKUP($A63,K0kommunestruktur2019!$A$4:$N$425,K0kommunestruktur2020altern!K$3,FALSE)</f>
        <v>2307</v>
      </c>
      <c r="L63" s="177">
        <f>VLOOKUP($A63,K0kommunestruktur2019!$A$4:$N$425,K0kommunestruktur2020altern!L$3,FALSE)</f>
        <v>47531</v>
      </c>
      <c r="M63" s="289">
        <f>VLOOKUP($A63,K0kommunestruktur2019!$A$4:$N$425,K0kommunestruktur2020altern!M$3,FALSE)</f>
        <v>2320</v>
      </c>
      <c r="N63" s="177">
        <f>VLOOKUP($A63,K0kommunestruktur2019!$A$4:$N$425,K0kommunestruktur2020altern!N$3,FALSE)</f>
        <v>50052</v>
      </c>
      <c r="O63" s="289">
        <f>+'K20'!C63</f>
        <v>2294</v>
      </c>
      <c r="P63" s="177">
        <f>+'K20'!Z63</f>
        <v>50227</v>
      </c>
      <c r="R63" s="517"/>
    </row>
    <row r="64" spans="1:18" ht="13">
      <c r="A64" s="865">
        <v>1824</v>
      </c>
      <c r="B64" s="866" t="s">
        <v>183</v>
      </c>
      <c r="C64" s="289">
        <f>VLOOKUP($A64,K0kommunestruktur2019!$A$4:$N$425,K0kommunestruktur2020altern!C$3,FALSE)</f>
        <v>13286</v>
      </c>
      <c r="D64" s="177">
        <f>VLOOKUP($A64,K0kommunestruktur2019!$A$4:$N$425,K0kommunestruktur2020altern!D$3,FALSE)</f>
        <v>273516</v>
      </c>
      <c r="E64" s="289">
        <f>VLOOKUP($A64,K0kommunestruktur2019!$A$4:$N$425,K0kommunestruktur2020altern!E$3,FALSE)</f>
        <v>13352</v>
      </c>
      <c r="F64" s="177">
        <f>VLOOKUP($A64,K0kommunestruktur2019!$A$4:$N$425,K0kommunestruktur2020altern!F$3,FALSE)</f>
        <v>288336</v>
      </c>
      <c r="G64" s="289">
        <f>VLOOKUP($A64,K0kommunestruktur2019!$A$4:$N$425,K0kommunestruktur2020altern!G$3,FALSE)</f>
        <v>13427</v>
      </c>
      <c r="H64" s="177">
        <f>VLOOKUP($A64,K0kommunestruktur2019!$A$4:$N$425,K0kommunestruktur2020altern!H$3,FALSE)</f>
        <v>316667</v>
      </c>
      <c r="I64" s="289">
        <f>VLOOKUP($A64,K0kommunestruktur2019!$A$4:$N$425,K0kommunestruktur2020altern!I$3,FALSE)</f>
        <v>13465</v>
      </c>
      <c r="J64" s="177">
        <f>VLOOKUP($A64,K0kommunestruktur2019!$A$4:$N$425,K0kommunestruktur2020altern!J$3,FALSE)</f>
        <v>321672</v>
      </c>
      <c r="K64" s="289">
        <f>VLOOKUP($A64,K0kommunestruktur2019!$A$4:$N$425,K0kommunestruktur2020altern!K$3,FALSE)</f>
        <v>13448</v>
      </c>
      <c r="L64" s="177">
        <f>VLOOKUP($A64,K0kommunestruktur2019!$A$4:$N$425,K0kommunestruktur2020altern!L$3,FALSE)</f>
        <v>338074</v>
      </c>
      <c r="M64" s="289">
        <f>VLOOKUP($A64,K0kommunestruktur2019!$A$4:$N$425,K0kommunestruktur2020altern!M$3,FALSE)</f>
        <v>13403</v>
      </c>
      <c r="N64" s="177">
        <f>VLOOKUP($A64,K0kommunestruktur2019!$A$4:$N$425,K0kommunestruktur2020altern!N$3,FALSE)</f>
        <v>353905</v>
      </c>
      <c r="O64" s="289">
        <f>+'K20'!C64</f>
        <v>13278</v>
      </c>
      <c r="P64" s="177">
        <f>+'K20'!Z64</f>
        <v>347307</v>
      </c>
      <c r="R64" s="517"/>
    </row>
    <row r="65" spans="1:18" ht="13">
      <c r="A65" s="865">
        <v>1825</v>
      </c>
      <c r="B65" s="866" t="s">
        <v>184</v>
      </c>
      <c r="C65" s="289">
        <f>VLOOKUP($A65,K0kommunestruktur2019!$A$4:$N$425,K0kommunestruktur2020altern!C$3,FALSE)</f>
        <v>1465</v>
      </c>
      <c r="D65" s="177">
        <f>VLOOKUP($A65,K0kommunestruktur2019!$A$4:$N$425,K0kommunestruktur2020altern!D$3,FALSE)</f>
        <v>28175</v>
      </c>
      <c r="E65" s="289">
        <f>VLOOKUP($A65,K0kommunestruktur2019!$A$4:$N$425,K0kommunestruktur2020altern!E$3,FALSE)</f>
        <v>1458</v>
      </c>
      <c r="F65" s="177">
        <f>VLOOKUP($A65,K0kommunestruktur2019!$A$4:$N$425,K0kommunestruktur2020altern!F$3,FALSE)</f>
        <v>30028</v>
      </c>
      <c r="G65" s="289">
        <f>VLOOKUP($A65,K0kommunestruktur2019!$A$4:$N$425,K0kommunestruktur2020altern!G$3,FALSE)</f>
        <v>1462</v>
      </c>
      <c r="H65" s="177">
        <f>VLOOKUP($A65,K0kommunestruktur2019!$A$4:$N$425,K0kommunestruktur2020altern!H$3,FALSE)</f>
        <v>31257</v>
      </c>
      <c r="I65" s="289">
        <f>VLOOKUP($A65,K0kommunestruktur2019!$A$4:$N$425,K0kommunestruktur2020altern!I$3,FALSE)</f>
        <v>1469</v>
      </c>
      <c r="J65" s="177">
        <f>VLOOKUP($A65,K0kommunestruktur2019!$A$4:$N$425,K0kommunestruktur2020altern!J$3,FALSE)</f>
        <v>32445</v>
      </c>
      <c r="K65" s="289">
        <f>VLOOKUP($A65,K0kommunestruktur2019!$A$4:$N$425,K0kommunestruktur2020altern!K$3,FALSE)</f>
        <v>1463</v>
      </c>
      <c r="L65" s="177">
        <f>VLOOKUP($A65,K0kommunestruktur2019!$A$4:$N$425,K0kommunestruktur2020altern!L$3,FALSE)</f>
        <v>35736</v>
      </c>
      <c r="M65" s="289">
        <f>VLOOKUP($A65,K0kommunestruktur2019!$A$4:$N$425,K0kommunestruktur2020altern!M$3,FALSE)</f>
        <v>1493</v>
      </c>
      <c r="N65" s="177">
        <f>VLOOKUP($A65,K0kommunestruktur2019!$A$4:$N$425,K0kommunestruktur2020altern!N$3,FALSE)</f>
        <v>35715</v>
      </c>
      <c r="O65" s="289">
        <f>+'K20'!C65</f>
        <v>1482</v>
      </c>
      <c r="P65" s="177">
        <f>+'K20'!Z65</f>
        <v>34842</v>
      </c>
      <c r="R65" s="517"/>
    </row>
    <row r="66" spans="1:18" ht="13">
      <c r="A66" s="865">
        <v>1826</v>
      </c>
      <c r="B66" s="866" t="s">
        <v>185</v>
      </c>
      <c r="C66" s="289">
        <f>VLOOKUP($A66,K0kommunestruktur2019!$A$4:$N$425,K0kommunestruktur2020altern!C$3,FALSE)</f>
        <v>1500</v>
      </c>
      <c r="D66" s="177">
        <f>VLOOKUP($A66,K0kommunestruktur2019!$A$4:$N$425,K0kommunestruktur2020altern!D$3,FALSE)</f>
        <v>25086</v>
      </c>
      <c r="E66" s="289">
        <f>VLOOKUP($A66,K0kommunestruktur2019!$A$4:$N$425,K0kommunestruktur2020altern!E$3,FALSE)</f>
        <v>1533</v>
      </c>
      <c r="F66" s="177">
        <f>VLOOKUP($A66,K0kommunestruktur2019!$A$4:$N$425,K0kommunestruktur2020altern!F$3,FALSE)</f>
        <v>27288</v>
      </c>
      <c r="G66" s="289">
        <f>VLOOKUP($A66,K0kommunestruktur2019!$A$4:$N$425,K0kommunestruktur2020altern!G$3,FALSE)</f>
        <v>1465</v>
      </c>
      <c r="H66" s="177">
        <f>VLOOKUP($A66,K0kommunestruktur2019!$A$4:$N$425,K0kommunestruktur2020altern!H$3,FALSE)</f>
        <v>29443</v>
      </c>
      <c r="I66" s="289">
        <f>VLOOKUP($A66,K0kommunestruktur2019!$A$4:$N$425,K0kommunestruktur2020altern!I$3,FALSE)</f>
        <v>1414</v>
      </c>
      <c r="J66" s="177">
        <f>VLOOKUP($A66,K0kommunestruktur2019!$A$4:$N$425,K0kommunestruktur2020altern!J$3,FALSE)</f>
        <v>28941</v>
      </c>
      <c r="K66" s="289">
        <f>VLOOKUP($A66,K0kommunestruktur2019!$A$4:$N$425,K0kommunestruktur2020altern!K$3,FALSE)</f>
        <v>1411</v>
      </c>
      <c r="L66" s="177">
        <f>VLOOKUP($A66,K0kommunestruktur2019!$A$4:$N$425,K0kommunestruktur2020altern!L$3,FALSE)</f>
        <v>28471</v>
      </c>
      <c r="M66" s="289">
        <f>VLOOKUP($A66,K0kommunestruktur2019!$A$4:$N$425,K0kommunestruktur2020altern!M$3,FALSE)</f>
        <v>1359</v>
      </c>
      <c r="N66" s="177">
        <f>VLOOKUP($A66,K0kommunestruktur2019!$A$4:$N$425,K0kommunestruktur2020altern!N$3,FALSE)</f>
        <v>29557</v>
      </c>
      <c r="O66" s="289">
        <f>+'K20'!C66</f>
        <v>1297</v>
      </c>
      <c r="P66" s="177">
        <f>+'K20'!Z66</f>
        <v>29543</v>
      </c>
      <c r="R66" s="517"/>
    </row>
    <row r="67" spans="1:18" ht="13">
      <c r="A67" s="865">
        <v>1827</v>
      </c>
      <c r="B67" s="866" t="s">
        <v>186</v>
      </c>
      <c r="C67" s="289">
        <f>VLOOKUP($A67,K0kommunestruktur2019!$A$4:$N$425,K0kommunestruktur2020altern!C$3,FALSE)</f>
        <v>1420</v>
      </c>
      <c r="D67" s="177">
        <f>VLOOKUP($A67,K0kommunestruktur2019!$A$4:$N$425,K0kommunestruktur2020altern!D$3,FALSE)</f>
        <v>26092</v>
      </c>
      <c r="E67" s="289">
        <f>VLOOKUP($A67,K0kommunestruktur2019!$A$4:$N$425,K0kommunestruktur2020altern!E$3,FALSE)</f>
        <v>1407</v>
      </c>
      <c r="F67" s="177">
        <f>VLOOKUP($A67,K0kommunestruktur2019!$A$4:$N$425,K0kommunestruktur2020altern!F$3,FALSE)</f>
        <v>27767</v>
      </c>
      <c r="G67" s="289">
        <f>VLOOKUP($A67,K0kommunestruktur2019!$A$4:$N$425,K0kommunestruktur2020altern!G$3,FALSE)</f>
        <v>1402</v>
      </c>
      <c r="H67" s="177">
        <f>VLOOKUP($A67,K0kommunestruktur2019!$A$4:$N$425,K0kommunestruktur2020altern!H$3,FALSE)</f>
        <v>29285</v>
      </c>
      <c r="I67" s="289">
        <f>VLOOKUP($A67,K0kommunestruktur2019!$A$4:$N$425,K0kommunestruktur2020altern!I$3,FALSE)</f>
        <v>1410</v>
      </c>
      <c r="J67" s="177">
        <f>VLOOKUP($A67,K0kommunestruktur2019!$A$4:$N$425,K0kommunestruktur2020altern!J$3,FALSE)</f>
        <v>31550</v>
      </c>
      <c r="K67" s="289">
        <f>VLOOKUP($A67,K0kommunestruktur2019!$A$4:$N$425,K0kommunestruktur2020altern!K$3,FALSE)</f>
        <v>1403</v>
      </c>
      <c r="L67" s="177">
        <f>VLOOKUP($A67,K0kommunestruktur2019!$A$4:$N$425,K0kommunestruktur2020altern!L$3,FALSE)</f>
        <v>34700</v>
      </c>
      <c r="M67" s="289">
        <f>VLOOKUP($A67,K0kommunestruktur2019!$A$4:$N$425,K0kommunestruktur2020altern!M$3,FALSE)</f>
        <v>1391</v>
      </c>
      <c r="N67" s="177">
        <f>VLOOKUP($A67,K0kommunestruktur2019!$A$4:$N$425,K0kommunestruktur2020altern!N$3,FALSE)</f>
        <v>43441</v>
      </c>
      <c r="O67" s="289">
        <f>+'K20'!C67</f>
        <v>1371</v>
      </c>
      <c r="P67" s="177">
        <f>+'K20'!Z67</f>
        <v>41165</v>
      </c>
      <c r="R67" s="517"/>
    </row>
    <row r="68" spans="1:18" ht="13">
      <c r="A68" s="865">
        <v>1828</v>
      </c>
      <c r="B68" s="866" t="s">
        <v>187</v>
      </c>
      <c r="C68" s="289">
        <f>VLOOKUP($A68,K0kommunestruktur2019!$A$4:$N$425,K0kommunestruktur2020altern!C$3,FALSE)</f>
        <v>1902</v>
      </c>
      <c r="D68" s="177">
        <f>VLOOKUP($A68,K0kommunestruktur2019!$A$4:$N$425,K0kommunestruktur2020altern!D$3,FALSE)</f>
        <v>29300</v>
      </c>
      <c r="E68" s="289">
        <f>VLOOKUP($A68,K0kommunestruktur2019!$A$4:$N$425,K0kommunestruktur2020altern!E$3,FALSE)</f>
        <v>1871</v>
      </c>
      <c r="F68" s="177">
        <f>VLOOKUP($A68,K0kommunestruktur2019!$A$4:$N$425,K0kommunestruktur2020altern!F$3,FALSE)</f>
        <v>33036</v>
      </c>
      <c r="G68" s="289">
        <f>VLOOKUP($A68,K0kommunestruktur2019!$A$4:$N$425,K0kommunestruktur2020altern!G$3,FALSE)</f>
        <v>1838</v>
      </c>
      <c r="H68" s="177">
        <f>VLOOKUP($A68,K0kommunestruktur2019!$A$4:$N$425,K0kommunestruktur2020altern!H$3,FALSE)</f>
        <v>35368</v>
      </c>
      <c r="I68" s="289">
        <f>VLOOKUP($A68,K0kommunestruktur2019!$A$4:$N$425,K0kommunestruktur2020altern!I$3,FALSE)</f>
        <v>1837</v>
      </c>
      <c r="J68" s="177">
        <f>VLOOKUP($A68,K0kommunestruktur2019!$A$4:$N$425,K0kommunestruktur2020altern!J$3,FALSE)</f>
        <v>37688</v>
      </c>
      <c r="K68" s="289">
        <f>VLOOKUP($A68,K0kommunestruktur2019!$A$4:$N$425,K0kommunestruktur2020altern!K$3,FALSE)</f>
        <v>1805</v>
      </c>
      <c r="L68" s="177">
        <f>VLOOKUP($A68,K0kommunestruktur2019!$A$4:$N$425,K0kommunestruktur2020altern!L$3,FALSE)</f>
        <v>44961</v>
      </c>
      <c r="M68" s="289">
        <f>VLOOKUP($A68,K0kommunestruktur2019!$A$4:$N$425,K0kommunestruktur2020altern!M$3,FALSE)</f>
        <v>1792</v>
      </c>
      <c r="N68" s="177">
        <f>VLOOKUP($A68,K0kommunestruktur2019!$A$4:$N$425,K0kommunestruktur2020altern!N$3,FALSE)</f>
        <v>43755</v>
      </c>
      <c r="O68" s="289">
        <f>+'K20'!C68</f>
        <v>1761</v>
      </c>
      <c r="P68" s="177">
        <f>+'K20'!Z68</f>
        <v>39477</v>
      </c>
      <c r="R68" s="517"/>
    </row>
    <row r="69" spans="1:18" ht="13">
      <c r="A69" s="865">
        <v>1832</v>
      </c>
      <c r="B69" s="866" t="s">
        <v>188</v>
      </c>
      <c r="C69" s="289">
        <f>VLOOKUP($A69,K0kommunestruktur2019!$A$4:$N$425,K0kommunestruktur2020altern!C$3,FALSE)</f>
        <v>4553</v>
      </c>
      <c r="D69" s="177">
        <f>VLOOKUP($A69,K0kommunestruktur2019!$A$4:$N$425,K0kommunestruktur2020altern!D$3,FALSE)</f>
        <v>106976</v>
      </c>
      <c r="E69" s="289">
        <f>VLOOKUP($A69,K0kommunestruktur2019!$A$4:$N$425,K0kommunestruktur2020altern!E$3,FALSE)</f>
        <v>4528</v>
      </c>
      <c r="F69" s="177">
        <f>VLOOKUP($A69,K0kommunestruktur2019!$A$4:$N$425,K0kommunestruktur2020altern!F$3,FALSE)</f>
        <v>115881</v>
      </c>
      <c r="G69" s="289">
        <f>VLOOKUP($A69,K0kommunestruktur2019!$A$4:$N$425,K0kommunestruktur2020altern!G$3,FALSE)</f>
        <v>4486</v>
      </c>
      <c r="H69" s="177">
        <f>VLOOKUP($A69,K0kommunestruktur2019!$A$4:$N$425,K0kommunestruktur2020altern!H$3,FALSE)</f>
        <v>121742</v>
      </c>
      <c r="I69" s="289">
        <f>VLOOKUP($A69,K0kommunestruktur2019!$A$4:$N$425,K0kommunestruktur2020altern!I$3,FALSE)</f>
        <v>4524</v>
      </c>
      <c r="J69" s="177">
        <f>VLOOKUP($A69,K0kommunestruktur2019!$A$4:$N$425,K0kommunestruktur2020altern!J$3,FALSE)</f>
        <v>124876</v>
      </c>
      <c r="K69" s="289">
        <f>VLOOKUP($A69,K0kommunestruktur2019!$A$4:$N$425,K0kommunestruktur2020altern!K$3,FALSE)</f>
        <v>4503</v>
      </c>
      <c r="L69" s="177">
        <f>VLOOKUP($A69,K0kommunestruktur2019!$A$4:$N$425,K0kommunestruktur2020altern!L$3,FALSE)</f>
        <v>131134</v>
      </c>
      <c r="M69" s="289">
        <f>VLOOKUP($A69,K0kommunestruktur2019!$A$4:$N$425,K0kommunestruktur2020altern!M$3,FALSE)</f>
        <v>4501</v>
      </c>
      <c r="N69" s="177">
        <f>VLOOKUP($A69,K0kommunestruktur2019!$A$4:$N$425,K0kommunestruktur2020altern!N$3,FALSE)</f>
        <v>131414</v>
      </c>
      <c r="O69" s="289">
        <f>+'K20'!C69</f>
        <v>4454</v>
      </c>
      <c r="P69" s="177">
        <f>+'K20'!Z69</f>
        <v>130776</v>
      </c>
      <c r="R69" s="517"/>
    </row>
    <row r="70" spans="1:18" ht="13">
      <c r="A70" s="865">
        <v>1833</v>
      </c>
      <c r="B70" s="866" t="s">
        <v>189</v>
      </c>
      <c r="C70" s="289">
        <f>VLOOKUP($A70,K0kommunestruktur2019!$A$4:$N$425,K0kommunestruktur2020altern!C$3,FALSE)</f>
        <v>25943</v>
      </c>
      <c r="D70" s="177">
        <f>VLOOKUP($A70,K0kommunestruktur2019!$A$4:$N$425,K0kommunestruktur2020altern!D$3,FALSE)</f>
        <v>551613</v>
      </c>
      <c r="E70" s="289">
        <f>VLOOKUP($A70,K0kommunestruktur2019!$A$4:$N$425,K0kommunestruktur2020altern!E$3,FALSE)</f>
        <v>26078</v>
      </c>
      <c r="F70" s="177">
        <f>VLOOKUP($A70,K0kommunestruktur2019!$A$4:$N$425,K0kommunestruktur2020altern!F$3,FALSE)</f>
        <v>589326</v>
      </c>
      <c r="G70" s="289">
        <f>VLOOKUP($A70,K0kommunestruktur2019!$A$4:$N$425,K0kommunestruktur2020altern!G$3,FALSE)</f>
        <v>26039</v>
      </c>
      <c r="H70" s="177">
        <f>VLOOKUP($A70,K0kommunestruktur2019!$A$4:$N$425,K0kommunestruktur2020altern!H$3,FALSE)</f>
        <v>638012</v>
      </c>
      <c r="I70" s="289">
        <f>VLOOKUP($A70,K0kommunestruktur2019!$A$4:$N$425,K0kommunestruktur2020altern!I$3,FALSE)</f>
        <v>26101</v>
      </c>
      <c r="J70" s="177">
        <f>VLOOKUP($A70,K0kommunestruktur2019!$A$4:$N$425,K0kommunestruktur2020altern!J$3,FALSE)</f>
        <v>666769</v>
      </c>
      <c r="K70" s="289">
        <f>VLOOKUP($A70,K0kommunestruktur2019!$A$4:$N$425,K0kommunestruktur2020altern!K$3,FALSE)</f>
        <v>26230</v>
      </c>
      <c r="L70" s="177">
        <f>VLOOKUP($A70,K0kommunestruktur2019!$A$4:$N$425,K0kommunestruktur2020altern!L$3,FALSE)</f>
        <v>691020</v>
      </c>
      <c r="M70" s="289">
        <f>VLOOKUP($A70,K0kommunestruktur2019!$A$4:$N$425,K0kommunestruktur2020altern!M$3,FALSE)</f>
        <v>26315</v>
      </c>
      <c r="N70" s="177">
        <f>VLOOKUP($A70,K0kommunestruktur2019!$A$4:$N$425,K0kommunestruktur2020altern!N$3,FALSE)</f>
        <v>712344</v>
      </c>
      <c r="O70" s="289">
        <f>+'K20'!C70</f>
        <v>26184</v>
      </c>
      <c r="P70" s="177">
        <f>+'K20'!Z70</f>
        <v>715838</v>
      </c>
      <c r="R70" s="517"/>
    </row>
    <row r="71" spans="1:18" ht="13">
      <c r="A71" s="865">
        <v>1834</v>
      </c>
      <c r="B71" s="866" t="s">
        <v>190</v>
      </c>
      <c r="C71" s="289">
        <f>VLOOKUP($A71,K0kommunestruktur2019!$A$4:$N$425,K0kommunestruktur2020altern!C$3,FALSE)</f>
        <v>1901</v>
      </c>
      <c r="D71" s="177">
        <f>VLOOKUP($A71,K0kommunestruktur2019!$A$4:$N$425,K0kommunestruktur2020altern!D$3,FALSE)</f>
        <v>42293</v>
      </c>
      <c r="E71" s="289">
        <f>VLOOKUP($A71,K0kommunestruktur2019!$A$4:$N$425,K0kommunestruktur2020altern!E$3,FALSE)</f>
        <v>1917</v>
      </c>
      <c r="F71" s="177">
        <f>VLOOKUP($A71,K0kommunestruktur2019!$A$4:$N$425,K0kommunestruktur2020altern!F$3,FALSE)</f>
        <v>46055</v>
      </c>
      <c r="G71" s="289">
        <f>VLOOKUP($A71,K0kommunestruktur2019!$A$4:$N$425,K0kommunestruktur2020altern!G$3,FALSE)</f>
        <v>1923</v>
      </c>
      <c r="H71" s="177">
        <f>VLOOKUP($A71,K0kommunestruktur2019!$A$4:$N$425,K0kommunestruktur2020altern!H$3,FALSE)</f>
        <v>58139</v>
      </c>
      <c r="I71" s="289">
        <f>VLOOKUP($A71,K0kommunestruktur2019!$A$4:$N$425,K0kommunestruktur2020altern!I$3,FALSE)</f>
        <v>1920</v>
      </c>
      <c r="J71" s="177">
        <f>VLOOKUP($A71,K0kommunestruktur2019!$A$4:$N$425,K0kommunestruktur2020altern!J$3,FALSE)</f>
        <v>61482</v>
      </c>
      <c r="K71" s="289">
        <f>VLOOKUP($A71,K0kommunestruktur2019!$A$4:$N$425,K0kommunestruktur2020altern!K$3,FALSE)</f>
        <v>1920</v>
      </c>
      <c r="L71" s="177">
        <f>VLOOKUP($A71,K0kommunestruktur2019!$A$4:$N$425,K0kommunestruktur2020altern!L$3,FALSE)</f>
        <v>71323</v>
      </c>
      <c r="M71" s="289">
        <f>VLOOKUP($A71,K0kommunestruktur2019!$A$4:$N$425,K0kommunestruktur2020altern!M$3,FALSE)</f>
        <v>1904</v>
      </c>
      <c r="N71" s="177">
        <f>VLOOKUP($A71,K0kommunestruktur2019!$A$4:$N$425,K0kommunestruktur2020altern!N$3,FALSE)</f>
        <v>78651</v>
      </c>
      <c r="O71" s="289">
        <f>+'K20'!C71</f>
        <v>1890</v>
      </c>
      <c r="P71" s="177">
        <f>+'K20'!Z71</f>
        <v>82254</v>
      </c>
      <c r="R71" s="517"/>
    </row>
    <row r="72" spans="1:18" ht="13">
      <c r="A72" s="865">
        <v>1835</v>
      </c>
      <c r="B72" s="866" t="s">
        <v>191</v>
      </c>
      <c r="C72" s="289">
        <f>VLOOKUP($A72,K0kommunestruktur2019!$A$4:$N$425,K0kommunestruktur2020altern!C$3,FALSE)</f>
        <v>489</v>
      </c>
      <c r="D72" s="177">
        <f>VLOOKUP($A72,K0kommunestruktur2019!$A$4:$N$425,K0kommunestruktur2020altern!D$3,FALSE)</f>
        <v>9796</v>
      </c>
      <c r="E72" s="289">
        <f>VLOOKUP($A72,K0kommunestruktur2019!$A$4:$N$425,K0kommunestruktur2020altern!E$3,FALSE)</f>
        <v>486</v>
      </c>
      <c r="F72" s="177">
        <f>VLOOKUP($A72,K0kommunestruktur2019!$A$4:$N$425,K0kommunestruktur2020altern!F$3,FALSE)</f>
        <v>10370</v>
      </c>
      <c r="G72" s="289">
        <f>VLOOKUP($A72,K0kommunestruktur2019!$A$4:$N$425,K0kommunestruktur2020altern!G$3,FALSE)</f>
        <v>478</v>
      </c>
      <c r="H72" s="177">
        <f>VLOOKUP($A72,K0kommunestruktur2019!$A$4:$N$425,K0kommunestruktur2020altern!H$3,FALSE)</f>
        <v>11735</v>
      </c>
      <c r="I72" s="289">
        <f>VLOOKUP($A72,K0kommunestruktur2019!$A$4:$N$425,K0kommunestruktur2020altern!I$3,FALSE)</f>
        <v>465</v>
      </c>
      <c r="J72" s="177">
        <f>VLOOKUP($A72,K0kommunestruktur2019!$A$4:$N$425,K0kommunestruktur2020altern!J$3,FALSE)</f>
        <v>11809</v>
      </c>
      <c r="K72" s="289">
        <f>VLOOKUP($A72,K0kommunestruktur2019!$A$4:$N$425,K0kommunestruktur2020altern!K$3,FALSE)</f>
        <v>454</v>
      </c>
      <c r="L72" s="177">
        <f>VLOOKUP($A72,K0kommunestruktur2019!$A$4:$N$425,K0kommunestruktur2020altern!L$3,FALSE)</f>
        <v>12509</v>
      </c>
      <c r="M72" s="289">
        <f>VLOOKUP($A72,K0kommunestruktur2019!$A$4:$N$425,K0kommunestruktur2020altern!M$3,FALSE)</f>
        <v>456</v>
      </c>
      <c r="N72" s="177">
        <f>VLOOKUP($A72,K0kommunestruktur2019!$A$4:$N$425,K0kommunestruktur2020altern!N$3,FALSE)</f>
        <v>12554</v>
      </c>
      <c r="O72" s="289">
        <f>+'K20'!C72</f>
        <v>435</v>
      </c>
      <c r="P72" s="177">
        <f>+'K20'!Z72</f>
        <v>15251</v>
      </c>
      <c r="R72" s="517"/>
    </row>
    <row r="73" spans="1:18" ht="13">
      <c r="A73" s="865">
        <v>1836</v>
      </c>
      <c r="B73" s="866" t="s">
        <v>192</v>
      </c>
      <c r="C73" s="289">
        <f>VLOOKUP($A73,K0kommunestruktur2019!$A$4:$N$425,K0kommunestruktur2020altern!C$3,FALSE)</f>
        <v>1305</v>
      </c>
      <c r="D73" s="177">
        <f>VLOOKUP($A73,K0kommunestruktur2019!$A$4:$N$425,K0kommunestruktur2020altern!D$3,FALSE)</f>
        <v>22194</v>
      </c>
      <c r="E73" s="289">
        <f>VLOOKUP($A73,K0kommunestruktur2019!$A$4:$N$425,K0kommunestruktur2020altern!E$3,FALSE)</f>
        <v>1269</v>
      </c>
      <c r="F73" s="177">
        <f>VLOOKUP($A73,K0kommunestruktur2019!$A$4:$N$425,K0kommunestruktur2020altern!F$3,FALSE)</f>
        <v>23597</v>
      </c>
      <c r="G73" s="289">
        <f>VLOOKUP($A73,K0kommunestruktur2019!$A$4:$N$425,K0kommunestruktur2020altern!G$3,FALSE)</f>
        <v>1268</v>
      </c>
      <c r="H73" s="177">
        <f>VLOOKUP($A73,K0kommunestruktur2019!$A$4:$N$425,K0kommunestruktur2020altern!H$3,FALSE)</f>
        <v>26674</v>
      </c>
      <c r="I73" s="289">
        <f>VLOOKUP($A73,K0kommunestruktur2019!$A$4:$N$425,K0kommunestruktur2020altern!I$3,FALSE)</f>
        <v>1267</v>
      </c>
      <c r="J73" s="177">
        <f>VLOOKUP($A73,K0kommunestruktur2019!$A$4:$N$425,K0kommunestruktur2020altern!J$3,FALSE)</f>
        <v>27439</v>
      </c>
      <c r="K73" s="289">
        <f>VLOOKUP($A73,K0kommunestruktur2019!$A$4:$N$425,K0kommunestruktur2020altern!K$3,FALSE)</f>
        <v>1249</v>
      </c>
      <c r="L73" s="177">
        <f>VLOOKUP($A73,K0kommunestruktur2019!$A$4:$N$425,K0kommunestruktur2020altern!L$3,FALSE)</f>
        <v>28017</v>
      </c>
      <c r="M73" s="289">
        <f>VLOOKUP($A73,K0kommunestruktur2019!$A$4:$N$425,K0kommunestruktur2020altern!M$3,FALSE)</f>
        <v>1238</v>
      </c>
      <c r="N73" s="177">
        <f>VLOOKUP($A73,K0kommunestruktur2019!$A$4:$N$425,K0kommunestruktur2020altern!N$3,FALSE)</f>
        <v>30314</v>
      </c>
      <c r="O73" s="289">
        <f>+'K20'!C73</f>
        <v>1213</v>
      </c>
      <c r="P73" s="177">
        <f>+'K20'!Z73</f>
        <v>31493</v>
      </c>
      <c r="R73" s="517"/>
    </row>
    <row r="74" spans="1:18" ht="13">
      <c r="A74" s="865">
        <v>1837</v>
      </c>
      <c r="B74" s="866" t="s">
        <v>193</v>
      </c>
      <c r="C74" s="289">
        <f>VLOOKUP($A74,K0kommunestruktur2019!$A$4:$N$425,K0kommunestruktur2020altern!C$3,FALSE)</f>
        <v>6491</v>
      </c>
      <c r="D74" s="177">
        <f>VLOOKUP($A74,K0kommunestruktur2019!$A$4:$N$425,K0kommunestruktur2020altern!D$3,FALSE)</f>
        <v>153531</v>
      </c>
      <c r="E74" s="289">
        <f>VLOOKUP($A74,K0kommunestruktur2019!$A$4:$N$425,K0kommunestruktur2020altern!E$3,FALSE)</f>
        <v>6454</v>
      </c>
      <c r="F74" s="177">
        <f>VLOOKUP($A74,K0kommunestruktur2019!$A$4:$N$425,K0kommunestruktur2020altern!F$3,FALSE)</f>
        <v>158459</v>
      </c>
      <c r="G74" s="289">
        <f>VLOOKUP($A74,K0kommunestruktur2019!$A$4:$N$425,K0kommunestruktur2020altern!G$3,FALSE)</f>
        <v>6471</v>
      </c>
      <c r="H74" s="177">
        <f>VLOOKUP($A74,K0kommunestruktur2019!$A$4:$N$425,K0kommunestruktur2020altern!H$3,FALSE)</f>
        <v>170747</v>
      </c>
      <c r="I74" s="289">
        <f>VLOOKUP($A74,K0kommunestruktur2019!$A$4:$N$425,K0kommunestruktur2020altern!I$3,FALSE)</f>
        <v>6435</v>
      </c>
      <c r="J74" s="177">
        <f>VLOOKUP($A74,K0kommunestruktur2019!$A$4:$N$425,K0kommunestruktur2020altern!J$3,FALSE)</f>
        <v>177983</v>
      </c>
      <c r="K74" s="289">
        <f>VLOOKUP($A74,K0kommunestruktur2019!$A$4:$N$425,K0kommunestruktur2020altern!K$3,FALSE)</f>
        <v>6346</v>
      </c>
      <c r="L74" s="177">
        <f>VLOOKUP($A74,K0kommunestruktur2019!$A$4:$N$425,K0kommunestruktur2020altern!L$3,FALSE)</f>
        <v>179660</v>
      </c>
      <c r="M74" s="289">
        <f>VLOOKUP($A74,K0kommunestruktur2019!$A$4:$N$425,K0kommunestruktur2020altern!M$3,FALSE)</f>
        <v>6331</v>
      </c>
      <c r="N74" s="177">
        <f>VLOOKUP($A74,K0kommunestruktur2019!$A$4:$N$425,K0kommunestruktur2020altern!N$3,FALSE)</f>
        <v>186474</v>
      </c>
      <c r="O74" s="289">
        <f>+'K20'!C74</f>
        <v>6288</v>
      </c>
      <c r="P74" s="177">
        <f>+'K20'!Z74</f>
        <v>182883</v>
      </c>
      <c r="R74" s="517"/>
    </row>
    <row r="75" spans="1:18" ht="13">
      <c r="A75" s="865">
        <v>1838</v>
      </c>
      <c r="B75" s="866" t="s">
        <v>194</v>
      </c>
      <c r="C75" s="289">
        <f>VLOOKUP($A75,K0kommunestruktur2019!$A$4:$N$425,K0kommunestruktur2020altern!C$3,FALSE)</f>
        <v>2023</v>
      </c>
      <c r="D75" s="177">
        <f>VLOOKUP($A75,K0kommunestruktur2019!$A$4:$N$425,K0kommunestruktur2020altern!D$3,FALSE)</f>
        <v>46197</v>
      </c>
      <c r="E75" s="289">
        <f>VLOOKUP($A75,K0kommunestruktur2019!$A$4:$N$425,K0kommunestruktur2020altern!E$3,FALSE)</f>
        <v>2014</v>
      </c>
      <c r="F75" s="177">
        <f>VLOOKUP($A75,K0kommunestruktur2019!$A$4:$N$425,K0kommunestruktur2020altern!F$3,FALSE)</f>
        <v>42627</v>
      </c>
      <c r="G75" s="289">
        <f>VLOOKUP($A75,K0kommunestruktur2019!$A$4:$N$425,K0kommunestruktur2020altern!G$3,FALSE)</f>
        <v>2043</v>
      </c>
      <c r="H75" s="177">
        <f>VLOOKUP($A75,K0kommunestruktur2019!$A$4:$N$425,K0kommunestruktur2020altern!H$3,FALSE)</f>
        <v>50208</v>
      </c>
      <c r="I75" s="289">
        <f>VLOOKUP($A75,K0kommunestruktur2019!$A$4:$N$425,K0kommunestruktur2020altern!I$3,FALSE)</f>
        <v>2024</v>
      </c>
      <c r="J75" s="177">
        <f>VLOOKUP($A75,K0kommunestruktur2019!$A$4:$N$425,K0kommunestruktur2020altern!J$3,FALSE)</f>
        <v>49108</v>
      </c>
      <c r="K75" s="289">
        <f>VLOOKUP($A75,K0kommunestruktur2019!$A$4:$N$425,K0kommunestruktur2020altern!K$3,FALSE)</f>
        <v>1998</v>
      </c>
      <c r="L75" s="177">
        <f>VLOOKUP($A75,K0kommunestruktur2019!$A$4:$N$425,K0kommunestruktur2020altern!L$3,FALSE)</f>
        <v>50262</v>
      </c>
      <c r="M75" s="289">
        <f>VLOOKUP($A75,K0kommunestruktur2019!$A$4:$N$425,K0kommunestruktur2020altern!M$3,FALSE)</f>
        <v>1978</v>
      </c>
      <c r="N75" s="177">
        <f>VLOOKUP($A75,K0kommunestruktur2019!$A$4:$N$425,K0kommunestruktur2020altern!N$3,FALSE)</f>
        <v>52828</v>
      </c>
      <c r="O75" s="289">
        <f>+'K20'!C75</f>
        <v>1950</v>
      </c>
      <c r="P75" s="177">
        <f>+'K20'!Z75</f>
        <v>52335</v>
      </c>
      <c r="R75" s="517"/>
    </row>
    <row r="76" spans="1:18" ht="13">
      <c r="A76" s="865">
        <v>1839</v>
      </c>
      <c r="B76" s="866" t="s">
        <v>195</v>
      </c>
      <c r="C76" s="289">
        <f>VLOOKUP($A76,K0kommunestruktur2019!$A$4:$N$425,K0kommunestruktur2020altern!C$3,FALSE)</f>
        <v>1088</v>
      </c>
      <c r="D76" s="177">
        <f>VLOOKUP($A76,K0kommunestruktur2019!$A$4:$N$425,K0kommunestruktur2020altern!D$3,FALSE)</f>
        <v>27234</v>
      </c>
      <c r="E76" s="289">
        <f>VLOOKUP($A76,K0kommunestruktur2019!$A$4:$N$425,K0kommunestruktur2020altern!E$3,FALSE)</f>
        <v>1058</v>
      </c>
      <c r="F76" s="177">
        <f>VLOOKUP($A76,K0kommunestruktur2019!$A$4:$N$425,K0kommunestruktur2020altern!F$3,FALSE)</f>
        <v>25978</v>
      </c>
      <c r="G76" s="289">
        <f>VLOOKUP($A76,K0kommunestruktur2019!$A$4:$N$425,K0kommunestruktur2020altern!G$3,FALSE)</f>
        <v>1034</v>
      </c>
      <c r="H76" s="177">
        <f>VLOOKUP($A76,K0kommunestruktur2019!$A$4:$N$425,K0kommunestruktur2020altern!H$3,FALSE)</f>
        <v>25014</v>
      </c>
      <c r="I76" s="289">
        <f>VLOOKUP($A76,K0kommunestruktur2019!$A$4:$N$425,K0kommunestruktur2020altern!I$3,FALSE)</f>
        <v>1043</v>
      </c>
      <c r="J76" s="177">
        <f>VLOOKUP($A76,K0kommunestruktur2019!$A$4:$N$425,K0kommunestruktur2020altern!J$3,FALSE)</f>
        <v>26048</v>
      </c>
      <c r="K76" s="289">
        <f>VLOOKUP($A76,K0kommunestruktur2019!$A$4:$N$425,K0kommunestruktur2020altern!K$3,FALSE)</f>
        <v>1029</v>
      </c>
      <c r="L76" s="177">
        <f>VLOOKUP($A76,K0kommunestruktur2019!$A$4:$N$425,K0kommunestruktur2020altern!L$3,FALSE)</f>
        <v>26982</v>
      </c>
      <c r="M76" s="289">
        <f>VLOOKUP($A76,K0kommunestruktur2019!$A$4:$N$425,K0kommunestruktur2020altern!M$3,FALSE)</f>
        <v>1022</v>
      </c>
      <c r="N76" s="177">
        <f>VLOOKUP($A76,K0kommunestruktur2019!$A$4:$N$425,K0kommunestruktur2020altern!N$3,FALSE)</f>
        <v>27743</v>
      </c>
      <c r="O76" s="289">
        <f>+'K20'!C76</f>
        <v>1017</v>
      </c>
      <c r="P76" s="177">
        <f>+'K20'!Z76</f>
        <v>28080</v>
      </c>
      <c r="R76" s="517"/>
    </row>
    <row r="77" spans="1:18" ht="13">
      <c r="A77" s="865">
        <v>1840</v>
      </c>
      <c r="B77" s="866" t="s">
        <v>196</v>
      </c>
      <c r="C77" s="289">
        <f>VLOOKUP($A77,K0kommunestruktur2019!$A$4:$N$425,K0kommunestruktur2020altern!C$3,FALSE)</f>
        <v>4690</v>
      </c>
      <c r="D77" s="177">
        <f>VLOOKUP($A77,K0kommunestruktur2019!$A$4:$N$425,K0kommunestruktur2020altern!D$3,FALSE)</f>
        <v>89200</v>
      </c>
      <c r="E77" s="289">
        <f>VLOOKUP($A77,K0kommunestruktur2019!$A$4:$N$425,K0kommunestruktur2020altern!E$3,FALSE)</f>
        <v>4734</v>
      </c>
      <c r="F77" s="177">
        <f>VLOOKUP($A77,K0kommunestruktur2019!$A$4:$N$425,K0kommunestruktur2020altern!F$3,FALSE)</f>
        <v>97414</v>
      </c>
      <c r="G77" s="289">
        <f>VLOOKUP($A77,K0kommunestruktur2019!$A$4:$N$425,K0kommunestruktur2020altern!G$3,FALSE)</f>
        <v>4700</v>
      </c>
      <c r="H77" s="177">
        <f>VLOOKUP($A77,K0kommunestruktur2019!$A$4:$N$425,K0kommunestruktur2020altern!H$3,FALSE)</f>
        <v>108553</v>
      </c>
      <c r="I77" s="289">
        <f>VLOOKUP($A77,K0kommunestruktur2019!$A$4:$N$425,K0kommunestruktur2020altern!I$3,FALSE)</f>
        <v>4702</v>
      </c>
      <c r="J77" s="177">
        <f>VLOOKUP($A77,K0kommunestruktur2019!$A$4:$N$425,K0kommunestruktur2020altern!J$3,FALSE)</f>
        <v>111140</v>
      </c>
      <c r="K77" s="289">
        <f>VLOOKUP($A77,K0kommunestruktur2019!$A$4:$N$425,K0kommunestruktur2020altern!K$3,FALSE)</f>
        <v>4691</v>
      </c>
      <c r="L77" s="177">
        <f>VLOOKUP($A77,K0kommunestruktur2019!$A$4:$N$425,K0kommunestruktur2020altern!L$3,FALSE)</f>
        <v>110720</v>
      </c>
      <c r="M77" s="289">
        <f>VLOOKUP($A77,K0kommunestruktur2019!$A$4:$N$425,K0kommunestruktur2020altern!M$3,FALSE)</f>
        <v>4657</v>
      </c>
      <c r="N77" s="177">
        <f>VLOOKUP($A77,K0kommunestruktur2019!$A$4:$N$425,K0kommunestruktur2020altern!N$3,FALSE)</f>
        <v>111043</v>
      </c>
      <c r="O77" s="289">
        <f>+'K20'!C77</f>
        <v>4671</v>
      </c>
      <c r="P77" s="177">
        <f>+'K20'!Z77</f>
        <v>111066</v>
      </c>
      <c r="R77" s="517"/>
    </row>
    <row r="78" spans="1:18" ht="13">
      <c r="A78" s="865">
        <v>1841</v>
      </c>
      <c r="B78" s="866" t="s">
        <v>197</v>
      </c>
      <c r="C78" s="289">
        <f>VLOOKUP($A78,K0kommunestruktur2019!$A$4:$N$425,K0kommunestruktur2020altern!C$3,FALSE)</f>
        <v>9556</v>
      </c>
      <c r="D78" s="177">
        <f>VLOOKUP($A78,K0kommunestruktur2019!$A$4:$N$425,K0kommunestruktur2020altern!D$3,FALSE)</f>
        <v>205253</v>
      </c>
      <c r="E78" s="289">
        <f>VLOOKUP($A78,K0kommunestruktur2019!$A$4:$N$425,K0kommunestruktur2020altern!E$3,FALSE)</f>
        <v>9622</v>
      </c>
      <c r="F78" s="177">
        <f>VLOOKUP($A78,K0kommunestruktur2019!$A$4:$N$425,K0kommunestruktur2020altern!F$3,FALSE)</f>
        <v>238903</v>
      </c>
      <c r="G78" s="289">
        <f>VLOOKUP($A78,K0kommunestruktur2019!$A$4:$N$425,K0kommunestruktur2020altern!G$3,FALSE)</f>
        <v>9604</v>
      </c>
      <c r="H78" s="177">
        <f>VLOOKUP($A78,K0kommunestruktur2019!$A$4:$N$425,K0kommunestruktur2020altern!H$3,FALSE)</f>
        <v>209670</v>
      </c>
      <c r="I78" s="289">
        <f>VLOOKUP($A78,K0kommunestruktur2019!$A$4:$N$425,K0kommunestruktur2020altern!I$3,FALSE)</f>
        <v>9729</v>
      </c>
      <c r="J78" s="177">
        <f>VLOOKUP($A78,K0kommunestruktur2019!$A$4:$N$425,K0kommunestruktur2020altern!J$3,FALSE)</f>
        <v>242289</v>
      </c>
      <c r="K78" s="289">
        <f>VLOOKUP($A78,K0kommunestruktur2019!$A$4:$N$425,K0kommunestruktur2020altern!K$3,FALSE)</f>
        <v>9775</v>
      </c>
      <c r="L78" s="177">
        <f>VLOOKUP($A78,K0kommunestruktur2019!$A$4:$N$425,K0kommunestruktur2020altern!L$3,FALSE)</f>
        <v>257308</v>
      </c>
      <c r="M78" s="289">
        <f>VLOOKUP($A78,K0kommunestruktur2019!$A$4:$N$425,K0kommunestruktur2020altern!M$3,FALSE)</f>
        <v>9760</v>
      </c>
      <c r="N78" s="177">
        <f>VLOOKUP($A78,K0kommunestruktur2019!$A$4:$N$425,K0kommunestruktur2020altern!N$3,FALSE)</f>
        <v>266024</v>
      </c>
      <c r="O78" s="289">
        <f>+'K20'!C78</f>
        <v>9739</v>
      </c>
      <c r="P78" s="177">
        <f>+'K20'!Z78</f>
        <v>262631</v>
      </c>
      <c r="R78" s="517"/>
    </row>
    <row r="79" spans="1:18" ht="13">
      <c r="A79" s="865">
        <v>1845</v>
      </c>
      <c r="B79" s="866" t="s">
        <v>198</v>
      </c>
      <c r="C79" s="289">
        <f>VLOOKUP($A79,K0kommunestruktur2019!$A$4:$N$425,K0kommunestruktur2020altern!C$3,FALSE)</f>
        <v>1987</v>
      </c>
      <c r="D79" s="177">
        <f>VLOOKUP($A79,K0kommunestruktur2019!$A$4:$N$425,K0kommunestruktur2020altern!D$3,FALSE)</f>
        <v>52924</v>
      </c>
      <c r="E79" s="289">
        <f>VLOOKUP($A79,K0kommunestruktur2019!$A$4:$N$425,K0kommunestruktur2020altern!E$3,FALSE)</f>
        <v>1953</v>
      </c>
      <c r="F79" s="177">
        <f>VLOOKUP($A79,K0kommunestruktur2019!$A$4:$N$425,K0kommunestruktur2020altern!F$3,FALSE)</f>
        <v>53864</v>
      </c>
      <c r="G79" s="289">
        <f>VLOOKUP($A79,K0kommunestruktur2019!$A$4:$N$425,K0kommunestruktur2020altern!G$3,FALSE)</f>
        <v>1963</v>
      </c>
      <c r="H79" s="177">
        <f>VLOOKUP($A79,K0kommunestruktur2019!$A$4:$N$425,K0kommunestruktur2020altern!H$3,FALSE)</f>
        <v>55801</v>
      </c>
      <c r="I79" s="289">
        <f>VLOOKUP($A79,K0kommunestruktur2019!$A$4:$N$425,K0kommunestruktur2020altern!I$3,FALSE)</f>
        <v>1958</v>
      </c>
      <c r="J79" s="177">
        <f>VLOOKUP($A79,K0kommunestruktur2019!$A$4:$N$425,K0kommunestruktur2020altern!J$3,FALSE)</f>
        <v>57707</v>
      </c>
      <c r="K79" s="289">
        <f>VLOOKUP($A79,K0kommunestruktur2019!$A$4:$N$425,K0kommunestruktur2020altern!K$3,FALSE)</f>
        <v>1979</v>
      </c>
      <c r="L79" s="177">
        <f>VLOOKUP($A79,K0kommunestruktur2019!$A$4:$N$425,K0kommunestruktur2020altern!L$3,FALSE)</f>
        <v>58654</v>
      </c>
      <c r="M79" s="289">
        <f>VLOOKUP($A79,K0kommunestruktur2019!$A$4:$N$425,K0kommunestruktur2020altern!M$3,FALSE)</f>
        <v>1975</v>
      </c>
      <c r="N79" s="177">
        <f>VLOOKUP($A79,K0kommunestruktur2019!$A$4:$N$425,K0kommunestruktur2020altern!N$3,FALSE)</f>
        <v>60172</v>
      </c>
      <c r="O79" s="289">
        <f>+'K20'!C79</f>
        <v>1926</v>
      </c>
      <c r="P79" s="177">
        <f>+'K20'!Z79</f>
        <v>59582</v>
      </c>
      <c r="R79" s="517"/>
    </row>
    <row r="80" spans="1:18" ht="13">
      <c r="A80" s="865">
        <v>1848</v>
      </c>
      <c r="B80" s="866" t="s">
        <v>199</v>
      </c>
      <c r="C80" s="289">
        <f>VLOOKUP($A80,K0kommunestruktur2019!$A$4:$N$425,K0kommunestruktur2020altern!C$3,FALSE)</f>
        <v>2579</v>
      </c>
      <c r="D80" s="177">
        <f>VLOOKUP($A80,K0kommunestruktur2019!$A$4:$N$425,K0kommunestruktur2020altern!D$3,FALSE)</f>
        <v>46019</v>
      </c>
      <c r="E80" s="289">
        <f>VLOOKUP($A80,K0kommunestruktur2019!$A$4:$N$425,K0kommunestruktur2020altern!E$3,FALSE)</f>
        <v>2507</v>
      </c>
      <c r="F80" s="177">
        <f>VLOOKUP($A80,K0kommunestruktur2019!$A$4:$N$425,K0kommunestruktur2020altern!F$3,FALSE)</f>
        <v>49325</v>
      </c>
      <c r="G80" s="289">
        <f>VLOOKUP($A80,K0kommunestruktur2019!$A$4:$N$425,K0kommunestruktur2020altern!G$3,FALSE)</f>
        <v>2543</v>
      </c>
      <c r="H80" s="177">
        <f>VLOOKUP($A80,K0kommunestruktur2019!$A$4:$N$425,K0kommunestruktur2020altern!H$3,FALSE)</f>
        <v>55924</v>
      </c>
      <c r="I80" s="289">
        <f>VLOOKUP($A80,K0kommunestruktur2019!$A$4:$N$425,K0kommunestruktur2020altern!I$3,FALSE)</f>
        <v>2543</v>
      </c>
      <c r="J80" s="177">
        <f>VLOOKUP($A80,K0kommunestruktur2019!$A$4:$N$425,K0kommunestruktur2020altern!J$3,FALSE)</f>
        <v>60787</v>
      </c>
      <c r="K80" s="289">
        <f>VLOOKUP($A80,K0kommunestruktur2019!$A$4:$N$425,K0kommunestruktur2020altern!K$3,FALSE)</f>
        <v>2534</v>
      </c>
      <c r="L80" s="177">
        <f>VLOOKUP($A80,K0kommunestruktur2019!$A$4:$N$425,K0kommunestruktur2020altern!L$3,FALSE)</f>
        <v>63418</v>
      </c>
      <c r="M80" s="289">
        <f>VLOOKUP($A80,K0kommunestruktur2019!$A$4:$N$425,K0kommunestruktur2020altern!M$3,FALSE)</f>
        <v>2576</v>
      </c>
      <c r="N80" s="177">
        <f>VLOOKUP($A80,K0kommunestruktur2019!$A$4:$N$425,K0kommunestruktur2020altern!N$3,FALSE)</f>
        <v>66236</v>
      </c>
      <c r="O80" s="289">
        <f>+'K20'!C80</f>
        <v>2608</v>
      </c>
      <c r="P80" s="177">
        <f>+'K20'!Z80</f>
        <v>68850</v>
      </c>
      <c r="R80" s="517"/>
    </row>
    <row r="81" spans="1:18" ht="13">
      <c r="A81" s="865">
        <v>1851</v>
      </c>
      <c r="B81" s="866" t="s">
        <v>202</v>
      </c>
      <c r="C81" s="289">
        <f>VLOOKUP($A81,K0kommunestruktur2019!$A$4:$N$425,K0kommunestruktur2020altern!C$3,FALSE)</f>
        <v>2248</v>
      </c>
      <c r="D81" s="177">
        <f>VLOOKUP($A81,K0kommunestruktur2019!$A$4:$N$425,K0kommunestruktur2020altern!D$3,FALSE)</f>
        <v>43646</v>
      </c>
      <c r="E81" s="289">
        <f>VLOOKUP($A81,K0kommunestruktur2019!$A$4:$N$425,K0kommunestruktur2020altern!E$3,FALSE)</f>
        <v>2160</v>
      </c>
      <c r="F81" s="177">
        <f>VLOOKUP($A81,K0kommunestruktur2019!$A$4:$N$425,K0kommunestruktur2020altern!F$3,FALSE)</f>
        <v>46553</v>
      </c>
      <c r="G81" s="289">
        <f>VLOOKUP($A81,K0kommunestruktur2019!$A$4:$N$425,K0kommunestruktur2020altern!G$3,FALSE)</f>
        <v>2144</v>
      </c>
      <c r="H81" s="177">
        <f>VLOOKUP($A81,K0kommunestruktur2019!$A$4:$N$425,K0kommunestruktur2020altern!H$3,FALSE)</f>
        <v>49484</v>
      </c>
      <c r="I81" s="289">
        <f>VLOOKUP($A81,K0kommunestruktur2019!$A$4:$N$425,K0kommunestruktur2020altern!I$3,FALSE)</f>
        <v>2134</v>
      </c>
      <c r="J81" s="177">
        <f>VLOOKUP($A81,K0kommunestruktur2019!$A$4:$N$425,K0kommunestruktur2020altern!J$3,FALSE)</f>
        <v>50467</v>
      </c>
      <c r="K81" s="289">
        <f>VLOOKUP($A81,K0kommunestruktur2019!$A$4:$N$425,K0kommunestruktur2020altern!K$3,FALSE)</f>
        <v>2102</v>
      </c>
      <c r="L81" s="177">
        <f>VLOOKUP($A81,K0kommunestruktur2019!$A$4:$N$425,K0kommunestruktur2020altern!L$3,FALSE)</f>
        <v>52437</v>
      </c>
      <c r="M81" s="289">
        <f>VLOOKUP($A81,K0kommunestruktur2019!$A$4:$N$425,K0kommunestruktur2020altern!M$3,FALSE)</f>
        <v>2077</v>
      </c>
      <c r="N81" s="177">
        <f>VLOOKUP($A81,K0kommunestruktur2019!$A$4:$N$425,K0kommunestruktur2020altern!N$3,FALSE)</f>
        <v>52472</v>
      </c>
      <c r="O81" s="289">
        <f>+'K20'!C81</f>
        <v>2034</v>
      </c>
      <c r="P81" s="177">
        <f>+'K20'!Z81</f>
        <v>53127</v>
      </c>
      <c r="R81" s="517"/>
    </row>
    <row r="82" spans="1:18" ht="13">
      <c r="A82" s="865">
        <v>1853</v>
      </c>
      <c r="B82" s="866" t="s">
        <v>204</v>
      </c>
      <c r="C82" s="289">
        <f>VLOOKUP($A82,K0kommunestruktur2019!$A$4:$N$425,K0kommunestruktur2020altern!C$3,FALSE)</f>
        <v>1391</v>
      </c>
      <c r="D82" s="177">
        <f>VLOOKUP($A82,K0kommunestruktur2019!$A$4:$N$425,K0kommunestruktur2020altern!D$3,FALSE)</f>
        <v>24670</v>
      </c>
      <c r="E82" s="289">
        <f>VLOOKUP($A82,K0kommunestruktur2019!$A$4:$N$425,K0kommunestruktur2020altern!E$3,FALSE)</f>
        <v>1385</v>
      </c>
      <c r="F82" s="177">
        <f>VLOOKUP($A82,K0kommunestruktur2019!$A$4:$N$425,K0kommunestruktur2020altern!F$3,FALSE)</f>
        <v>26418</v>
      </c>
      <c r="G82" s="289">
        <f>VLOOKUP($A82,K0kommunestruktur2019!$A$4:$N$425,K0kommunestruktur2020altern!G$3,FALSE)</f>
        <v>1400</v>
      </c>
      <c r="H82" s="177">
        <f>VLOOKUP($A82,K0kommunestruktur2019!$A$4:$N$425,K0kommunestruktur2020altern!H$3,FALSE)</f>
        <v>27912</v>
      </c>
      <c r="I82" s="289">
        <f>VLOOKUP($A82,K0kommunestruktur2019!$A$4:$N$425,K0kommunestruktur2020altern!I$3,FALSE)</f>
        <v>1402</v>
      </c>
      <c r="J82" s="177">
        <f>VLOOKUP($A82,K0kommunestruktur2019!$A$4:$N$425,K0kommunestruktur2020altern!J$3,FALSE)</f>
        <v>28976</v>
      </c>
      <c r="K82" s="289">
        <f>VLOOKUP($A82,K0kommunestruktur2019!$A$4:$N$425,K0kommunestruktur2020altern!K$3,FALSE)</f>
        <v>1387</v>
      </c>
      <c r="L82" s="177">
        <f>VLOOKUP($A82,K0kommunestruktur2019!$A$4:$N$425,K0kommunestruktur2020altern!L$3,FALSE)</f>
        <v>29781</v>
      </c>
      <c r="M82" s="289">
        <f>VLOOKUP($A82,K0kommunestruktur2019!$A$4:$N$425,K0kommunestruktur2020altern!M$3,FALSE)</f>
        <v>1387</v>
      </c>
      <c r="N82" s="177">
        <f>VLOOKUP($A82,K0kommunestruktur2019!$A$4:$N$425,K0kommunestruktur2020altern!N$3,FALSE)</f>
        <v>30761</v>
      </c>
      <c r="O82" s="289">
        <f>+'K20'!C82</f>
        <v>1348</v>
      </c>
      <c r="P82" s="177">
        <f>+'K20'!Z82</f>
        <v>31152</v>
      </c>
      <c r="R82" s="517"/>
    </row>
    <row r="83" spans="1:18" ht="13">
      <c r="A83" s="865">
        <v>1856</v>
      </c>
      <c r="B83" s="866" t="s">
        <v>206</v>
      </c>
      <c r="C83" s="289">
        <f>VLOOKUP($A83,K0kommunestruktur2019!$A$4:$N$425,K0kommunestruktur2020altern!C$3,FALSE)</f>
        <v>566</v>
      </c>
      <c r="D83" s="177">
        <f>VLOOKUP($A83,K0kommunestruktur2019!$A$4:$N$425,K0kommunestruktur2020altern!D$3,FALSE)</f>
        <v>11661</v>
      </c>
      <c r="E83" s="289">
        <f>VLOOKUP($A83,K0kommunestruktur2019!$A$4:$N$425,K0kommunestruktur2020altern!E$3,FALSE)</f>
        <v>545</v>
      </c>
      <c r="F83" s="177">
        <f>VLOOKUP($A83,K0kommunestruktur2019!$A$4:$N$425,K0kommunestruktur2020altern!F$3,FALSE)</f>
        <v>13949</v>
      </c>
      <c r="G83" s="289">
        <f>VLOOKUP($A83,K0kommunestruktur2019!$A$4:$N$425,K0kommunestruktur2020altern!G$3,FALSE)</f>
        <v>551</v>
      </c>
      <c r="H83" s="177">
        <f>VLOOKUP($A83,K0kommunestruktur2019!$A$4:$N$425,K0kommunestruktur2020altern!H$3,FALSE)</f>
        <v>16165</v>
      </c>
      <c r="I83" s="289">
        <f>VLOOKUP($A83,K0kommunestruktur2019!$A$4:$N$425,K0kommunestruktur2020altern!I$3,FALSE)</f>
        <v>535</v>
      </c>
      <c r="J83" s="177">
        <f>VLOOKUP($A83,K0kommunestruktur2019!$A$4:$N$425,K0kommunestruktur2020altern!J$3,FALSE)</f>
        <v>17382</v>
      </c>
      <c r="K83" s="289">
        <f>VLOOKUP($A83,K0kommunestruktur2019!$A$4:$N$425,K0kommunestruktur2020altern!K$3,FALSE)</f>
        <v>517</v>
      </c>
      <c r="L83" s="177">
        <f>VLOOKUP($A83,K0kommunestruktur2019!$A$4:$N$425,K0kommunestruktur2020altern!L$3,FALSE)</f>
        <v>16310</v>
      </c>
      <c r="M83" s="289">
        <f>VLOOKUP($A83,K0kommunestruktur2019!$A$4:$N$425,K0kommunestruktur2020altern!M$3,FALSE)</f>
        <v>508</v>
      </c>
      <c r="N83" s="177">
        <f>VLOOKUP($A83,K0kommunestruktur2019!$A$4:$N$425,K0kommunestruktur2020altern!N$3,FALSE)</f>
        <v>18474</v>
      </c>
      <c r="O83" s="289">
        <f>+'K20'!C83</f>
        <v>498</v>
      </c>
      <c r="P83" s="177">
        <f>+'K20'!Z83</f>
        <v>18270</v>
      </c>
      <c r="R83" s="517"/>
    </row>
    <row r="84" spans="1:18" ht="13">
      <c r="A84" s="865">
        <v>1857</v>
      </c>
      <c r="B84" s="866" t="s">
        <v>207</v>
      </c>
      <c r="C84" s="289">
        <f>VLOOKUP($A84,K0kommunestruktur2019!$A$4:$N$425,K0kommunestruktur2020altern!C$3,FALSE)</f>
        <v>777</v>
      </c>
      <c r="D84" s="177">
        <f>VLOOKUP($A84,K0kommunestruktur2019!$A$4:$N$425,K0kommunestruktur2020altern!D$3,FALSE)</f>
        <v>16048</v>
      </c>
      <c r="E84" s="289">
        <f>VLOOKUP($A84,K0kommunestruktur2019!$A$4:$N$425,K0kommunestruktur2020altern!E$3,FALSE)</f>
        <v>780</v>
      </c>
      <c r="F84" s="177">
        <f>VLOOKUP($A84,K0kommunestruktur2019!$A$4:$N$425,K0kommunestruktur2020altern!F$3,FALSE)</f>
        <v>18594</v>
      </c>
      <c r="G84" s="289">
        <f>VLOOKUP($A84,K0kommunestruktur2019!$A$4:$N$425,K0kommunestruktur2020altern!G$3,FALSE)</f>
        <v>765</v>
      </c>
      <c r="H84" s="177">
        <f>VLOOKUP($A84,K0kommunestruktur2019!$A$4:$N$425,K0kommunestruktur2020altern!H$3,FALSE)</f>
        <v>20793</v>
      </c>
      <c r="I84" s="289">
        <f>VLOOKUP($A84,K0kommunestruktur2019!$A$4:$N$425,K0kommunestruktur2020altern!I$3,FALSE)</f>
        <v>744</v>
      </c>
      <c r="J84" s="177">
        <f>VLOOKUP($A84,K0kommunestruktur2019!$A$4:$N$425,K0kommunestruktur2020altern!J$3,FALSE)</f>
        <v>22080</v>
      </c>
      <c r="K84" s="289">
        <f>VLOOKUP($A84,K0kommunestruktur2019!$A$4:$N$425,K0kommunestruktur2020altern!K$3,FALSE)</f>
        <v>746</v>
      </c>
      <c r="L84" s="177">
        <f>VLOOKUP($A84,K0kommunestruktur2019!$A$4:$N$425,K0kommunestruktur2020altern!L$3,FALSE)</f>
        <v>21713</v>
      </c>
      <c r="M84" s="289">
        <f>VLOOKUP($A84,K0kommunestruktur2019!$A$4:$N$425,K0kommunestruktur2020altern!M$3,FALSE)</f>
        <v>732</v>
      </c>
      <c r="N84" s="177">
        <f>VLOOKUP($A84,K0kommunestruktur2019!$A$4:$N$425,K0kommunestruktur2020altern!N$3,FALSE)</f>
        <v>22943</v>
      </c>
      <c r="O84" s="289">
        <f>+'K20'!C84</f>
        <v>728</v>
      </c>
      <c r="P84" s="177">
        <f>+'K20'!Z84</f>
        <v>24227</v>
      </c>
      <c r="R84" s="517"/>
    </row>
    <row r="85" spans="1:18" ht="13">
      <c r="A85" s="865">
        <v>1859</v>
      </c>
      <c r="B85" s="866" t="s">
        <v>208</v>
      </c>
      <c r="C85" s="289">
        <f>VLOOKUP($A85,K0kommunestruktur2019!$A$4:$N$425,K0kommunestruktur2020altern!C$3,FALSE)</f>
        <v>1368</v>
      </c>
      <c r="D85" s="177">
        <f>VLOOKUP($A85,K0kommunestruktur2019!$A$4:$N$425,K0kommunestruktur2020altern!D$3,FALSE)</f>
        <v>26259</v>
      </c>
      <c r="E85" s="289">
        <f>VLOOKUP($A85,K0kommunestruktur2019!$A$4:$N$425,K0kommunestruktur2020altern!E$3,FALSE)</f>
        <v>1358</v>
      </c>
      <c r="F85" s="177">
        <f>VLOOKUP($A85,K0kommunestruktur2019!$A$4:$N$425,K0kommunestruktur2020altern!F$3,FALSE)</f>
        <v>28292</v>
      </c>
      <c r="G85" s="289">
        <f>VLOOKUP($A85,K0kommunestruktur2019!$A$4:$N$425,K0kommunestruktur2020altern!G$3,FALSE)</f>
        <v>1336</v>
      </c>
      <c r="H85" s="177">
        <f>VLOOKUP($A85,K0kommunestruktur2019!$A$4:$N$425,K0kommunestruktur2020altern!H$3,FALSE)</f>
        <v>32331</v>
      </c>
      <c r="I85" s="289">
        <f>VLOOKUP($A85,K0kommunestruktur2019!$A$4:$N$425,K0kommunestruktur2020altern!I$3,FALSE)</f>
        <v>1349</v>
      </c>
      <c r="J85" s="177">
        <f>VLOOKUP($A85,K0kommunestruktur2019!$A$4:$N$425,K0kommunestruktur2020altern!J$3,FALSE)</f>
        <v>35412</v>
      </c>
      <c r="K85" s="289">
        <f>VLOOKUP($A85,K0kommunestruktur2019!$A$4:$N$425,K0kommunestruktur2020altern!K$3,FALSE)</f>
        <v>1301</v>
      </c>
      <c r="L85" s="177">
        <f>VLOOKUP($A85,K0kommunestruktur2019!$A$4:$N$425,K0kommunestruktur2020altern!L$3,FALSE)</f>
        <v>37505</v>
      </c>
      <c r="M85" s="289">
        <f>VLOOKUP($A85,K0kommunestruktur2019!$A$4:$N$425,K0kommunestruktur2020altern!M$3,FALSE)</f>
        <v>1292</v>
      </c>
      <c r="N85" s="177">
        <f>VLOOKUP($A85,K0kommunestruktur2019!$A$4:$N$425,K0kommunestruktur2020altern!N$3,FALSE)</f>
        <v>40548</v>
      </c>
      <c r="O85" s="289">
        <f>+'K20'!C85</f>
        <v>1272</v>
      </c>
      <c r="P85" s="177">
        <f>+'K20'!Z85</f>
        <v>40310</v>
      </c>
      <c r="R85" s="517"/>
    </row>
    <row r="86" spans="1:18" ht="13">
      <c r="A86" s="865">
        <v>1860</v>
      </c>
      <c r="B86" s="866" t="s">
        <v>209</v>
      </c>
      <c r="C86" s="289">
        <f>VLOOKUP($A86,K0kommunestruktur2019!$A$4:$N$425,K0kommunestruktur2020altern!C$3,FALSE)</f>
        <v>10997</v>
      </c>
      <c r="D86" s="177">
        <f>VLOOKUP($A86,K0kommunestruktur2019!$A$4:$N$425,K0kommunestruktur2020altern!D$3,FALSE)</f>
        <v>209102</v>
      </c>
      <c r="E86" s="289">
        <f>VLOOKUP($A86,K0kommunestruktur2019!$A$4:$N$425,K0kommunestruktur2020altern!E$3,FALSE)</f>
        <v>11140</v>
      </c>
      <c r="F86" s="177">
        <f>VLOOKUP($A86,K0kommunestruktur2019!$A$4:$N$425,K0kommunestruktur2020altern!F$3,FALSE)</f>
        <v>227662</v>
      </c>
      <c r="G86" s="289">
        <f>VLOOKUP($A86,K0kommunestruktur2019!$A$4:$N$425,K0kommunestruktur2020altern!G$3,FALSE)</f>
        <v>11198</v>
      </c>
      <c r="H86" s="177">
        <f>VLOOKUP($A86,K0kommunestruktur2019!$A$4:$N$425,K0kommunestruktur2020altern!H$3,FALSE)</f>
        <v>253493</v>
      </c>
      <c r="I86" s="289">
        <f>VLOOKUP($A86,K0kommunestruktur2019!$A$4:$N$425,K0kommunestruktur2020altern!I$3,FALSE)</f>
        <v>11294</v>
      </c>
      <c r="J86" s="177">
        <f>VLOOKUP($A86,K0kommunestruktur2019!$A$4:$N$425,K0kommunestruktur2020altern!J$3,FALSE)</f>
        <v>265381</v>
      </c>
      <c r="K86" s="289">
        <f>VLOOKUP($A86,K0kommunestruktur2019!$A$4:$N$425,K0kommunestruktur2020altern!K$3,FALSE)</f>
        <v>11397</v>
      </c>
      <c r="L86" s="177">
        <f>VLOOKUP($A86,K0kommunestruktur2019!$A$4:$N$425,K0kommunestruktur2020altern!L$3,FALSE)</f>
        <v>282252</v>
      </c>
      <c r="M86" s="289">
        <f>VLOOKUP($A86,K0kommunestruktur2019!$A$4:$N$425,K0kommunestruktur2020altern!M$3,FALSE)</f>
        <v>11480</v>
      </c>
      <c r="N86" s="177">
        <f>VLOOKUP($A86,K0kommunestruktur2019!$A$4:$N$425,K0kommunestruktur2020altern!N$3,FALSE)</f>
        <v>290256</v>
      </c>
      <c r="O86" s="289">
        <f>+'K20'!C86</f>
        <v>11433</v>
      </c>
      <c r="P86" s="177">
        <f>+'K20'!Z86</f>
        <v>297869</v>
      </c>
      <c r="R86" s="517"/>
    </row>
    <row r="87" spans="1:18" ht="13">
      <c r="A87" s="865">
        <v>1865</v>
      </c>
      <c r="B87" s="866" t="s">
        <v>210</v>
      </c>
      <c r="C87" s="289">
        <f>VLOOKUP($A87,K0kommunestruktur2019!$A$4:$N$425,K0kommunestruktur2020altern!C$3,FALSE)</f>
        <v>9223</v>
      </c>
      <c r="D87" s="177">
        <f>VLOOKUP($A87,K0kommunestruktur2019!$A$4:$N$425,K0kommunestruktur2020altern!D$3,FALSE)</f>
        <v>176605</v>
      </c>
      <c r="E87" s="289">
        <f>VLOOKUP($A87,K0kommunestruktur2019!$A$4:$N$425,K0kommunestruktur2020altern!E$3,FALSE)</f>
        <v>9285</v>
      </c>
      <c r="F87" s="177">
        <f>VLOOKUP($A87,K0kommunestruktur2019!$A$4:$N$425,K0kommunestruktur2020altern!F$3,FALSE)</f>
        <v>202235</v>
      </c>
      <c r="G87" s="289">
        <f>VLOOKUP($A87,K0kommunestruktur2019!$A$4:$N$425,K0kommunestruktur2020altern!G$3,FALSE)</f>
        <v>9350</v>
      </c>
      <c r="H87" s="177">
        <f>VLOOKUP($A87,K0kommunestruktur2019!$A$4:$N$425,K0kommunestruktur2020altern!H$3,FALSE)</f>
        <v>224413</v>
      </c>
      <c r="I87" s="289">
        <f>VLOOKUP($A87,K0kommunestruktur2019!$A$4:$N$425,K0kommunestruktur2020altern!I$3,FALSE)</f>
        <v>9444</v>
      </c>
      <c r="J87" s="177">
        <f>VLOOKUP($A87,K0kommunestruktur2019!$A$4:$N$425,K0kommunestruktur2020altern!J$3,FALSE)</f>
        <v>240817</v>
      </c>
      <c r="K87" s="289">
        <f>VLOOKUP($A87,K0kommunestruktur2019!$A$4:$N$425,K0kommunestruktur2020altern!K$3,FALSE)</f>
        <v>9611</v>
      </c>
      <c r="L87" s="177">
        <f>VLOOKUP($A87,K0kommunestruktur2019!$A$4:$N$425,K0kommunestruktur2020altern!L$3,FALSE)</f>
        <v>268281</v>
      </c>
      <c r="M87" s="289">
        <f>VLOOKUP($A87,K0kommunestruktur2019!$A$4:$N$425,K0kommunestruktur2020altern!M$3,FALSE)</f>
        <v>9595</v>
      </c>
      <c r="N87" s="177">
        <f>VLOOKUP($A87,K0kommunestruktur2019!$A$4:$N$425,K0kommunestruktur2020altern!N$3,FALSE)</f>
        <v>278063</v>
      </c>
      <c r="O87" s="289">
        <f>+'K20'!C87</f>
        <v>9608</v>
      </c>
      <c r="P87" s="177">
        <f>+'K20'!Z87</f>
        <v>274393</v>
      </c>
      <c r="R87" s="517"/>
    </row>
    <row r="88" spans="1:18" ht="13">
      <c r="A88" s="865">
        <v>1866</v>
      </c>
      <c r="B88" s="866" t="s">
        <v>211</v>
      </c>
      <c r="C88" s="289">
        <f>VLOOKUP($A88,K0kommunestruktur2019!$A$4:$N$425,K0kommunestruktur2020altern!C$3,FALSE)</f>
        <v>8112</v>
      </c>
      <c r="D88" s="177">
        <f>VLOOKUP($A88,K0kommunestruktur2019!$A$4:$N$425,K0kommunestruktur2020altern!D$3,FALSE)</f>
        <v>156987</v>
      </c>
      <c r="E88" s="289">
        <f>VLOOKUP($A88,K0kommunestruktur2019!$A$4:$N$425,K0kommunestruktur2020altern!E$3,FALSE)</f>
        <v>8057</v>
      </c>
      <c r="F88" s="177">
        <f>VLOOKUP($A88,K0kommunestruktur2019!$A$4:$N$425,K0kommunestruktur2020altern!F$3,FALSE)</f>
        <v>161270</v>
      </c>
      <c r="G88" s="289">
        <f>VLOOKUP($A88,K0kommunestruktur2019!$A$4:$N$425,K0kommunestruktur2020altern!G$3,FALSE)</f>
        <v>8082</v>
      </c>
      <c r="H88" s="177">
        <f>VLOOKUP($A88,K0kommunestruktur2019!$A$4:$N$425,K0kommunestruktur2020altern!H$3,FALSE)</f>
        <v>190925</v>
      </c>
      <c r="I88" s="289">
        <f>VLOOKUP($A88,K0kommunestruktur2019!$A$4:$N$425,K0kommunestruktur2020altern!I$3,FALSE)</f>
        <v>8009</v>
      </c>
      <c r="J88" s="177">
        <f>VLOOKUP($A88,K0kommunestruktur2019!$A$4:$N$425,K0kommunestruktur2020altern!J$3,FALSE)</f>
        <v>197825</v>
      </c>
      <c r="K88" s="289">
        <f>VLOOKUP($A88,K0kommunestruktur2019!$A$4:$N$425,K0kommunestruktur2020altern!K$3,FALSE)</f>
        <v>8042</v>
      </c>
      <c r="L88" s="177">
        <f>VLOOKUP($A88,K0kommunestruktur2019!$A$4:$N$425,K0kommunestruktur2020altern!L$3,FALSE)</f>
        <v>188411</v>
      </c>
      <c r="M88" s="289">
        <f>VLOOKUP($A88,K0kommunestruktur2019!$A$4:$N$425,K0kommunestruktur2020altern!M$3,FALSE)</f>
        <v>8091</v>
      </c>
      <c r="N88" s="177">
        <f>VLOOKUP($A88,K0kommunestruktur2019!$A$4:$N$425,K0kommunestruktur2020altern!N$3,FALSE)</f>
        <v>199930</v>
      </c>
      <c r="O88" s="289">
        <f>+'K20'!C88</f>
        <v>8061</v>
      </c>
      <c r="P88" s="177">
        <f>+'K20'!Z88</f>
        <v>229795</v>
      </c>
      <c r="R88" s="517"/>
    </row>
    <row r="89" spans="1:18" ht="13">
      <c r="A89" s="865">
        <v>1867</v>
      </c>
      <c r="B89" s="866" t="s">
        <v>913</v>
      </c>
      <c r="C89" s="289">
        <f>VLOOKUP($A89,K0kommunestruktur2019!$A$4:$N$425,K0kommunestruktur2020altern!C$3,FALSE)</f>
        <v>2642</v>
      </c>
      <c r="D89" s="177">
        <f>VLOOKUP($A89,K0kommunestruktur2019!$A$4:$N$425,K0kommunestruktur2020altern!D$3,FALSE)</f>
        <v>42197</v>
      </c>
      <c r="E89" s="289">
        <f>VLOOKUP($A89,K0kommunestruktur2019!$A$4:$N$425,K0kommunestruktur2020altern!E$3,FALSE)</f>
        <v>2642</v>
      </c>
      <c r="F89" s="177">
        <f>VLOOKUP($A89,K0kommunestruktur2019!$A$4:$N$425,K0kommunestruktur2020altern!F$3,FALSE)</f>
        <v>45774</v>
      </c>
      <c r="G89" s="289">
        <f>VLOOKUP($A89,K0kommunestruktur2019!$A$4:$N$425,K0kommunestruktur2020altern!G$3,FALSE)</f>
        <v>2632</v>
      </c>
      <c r="H89" s="177">
        <f>VLOOKUP($A89,K0kommunestruktur2019!$A$4:$N$425,K0kommunestruktur2020altern!H$3,FALSE)</f>
        <v>52082</v>
      </c>
      <c r="I89" s="289">
        <f>VLOOKUP($A89,K0kommunestruktur2019!$A$4:$N$425,K0kommunestruktur2020altern!I$3,FALSE)</f>
        <v>2624</v>
      </c>
      <c r="J89" s="177">
        <f>VLOOKUP($A89,K0kommunestruktur2019!$A$4:$N$425,K0kommunestruktur2020altern!J$3,FALSE)</f>
        <v>54754</v>
      </c>
      <c r="K89" s="289">
        <f>VLOOKUP($A89,K0kommunestruktur2019!$A$4:$N$425,K0kommunestruktur2020altern!K$3,FALSE)</f>
        <v>2623</v>
      </c>
      <c r="L89" s="177">
        <f>VLOOKUP($A89,K0kommunestruktur2019!$A$4:$N$425,K0kommunestruktur2020altern!L$3,FALSE)</f>
        <v>61567</v>
      </c>
      <c r="M89" s="289">
        <f>VLOOKUP($A89,K0kommunestruktur2019!$A$4:$N$425,K0kommunestruktur2020altern!M$3,FALSE)</f>
        <v>2616</v>
      </c>
      <c r="N89" s="177">
        <f>VLOOKUP($A89,K0kommunestruktur2019!$A$4:$N$425,K0kommunestruktur2020altern!N$3,FALSE)</f>
        <v>64569</v>
      </c>
      <c r="O89" s="289">
        <f>+'K20'!C89</f>
        <v>2569</v>
      </c>
      <c r="P89" s="177">
        <f>+'K20'!Z89</f>
        <v>63494</v>
      </c>
      <c r="R89" s="517"/>
    </row>
    <row r="90" spans="1:18" ht="13">
      <c r="A90" s="865">
        <v>1868</v>
      </c>
      <c r="B90" s="866" t="s">
        <v>212</v>
      </c>
      <c r="C90" s="289">
        <f>VLOOKUP($A90,K0kommunestruktur2019!$A$4:$N$425,K0kommunestruktur2020altern!C$3,FALSE)</f>
        <v>4562</v>
      </c>
      <c r="D90" s="177">
        <f>VLOOKUP($A90,K0kommunestruktur2019!$A$4:$N$425,K0kommunestruktur2020altern!D$3,FALSE)</f>
        <v>88777</v>
      </c>
      <c r="E90" s="289">
        <f>VLOOKUP($A90,K0kommunestruktur2019!$A$4:$N$425,K0kommunestruktur2020altern!E$3,FALSE)</f>
        <v>4563</v>
      </c>
      <c r="F90" s="177">
        <f>VLOOKUP($A90,K0kommunestruktur2019!$A$4:$N$425,K0kommunestruktur2020altern!F$3,FALSE)</f>
        <v>96911</v>
      </c>
      <c r="G90" s="289">
        <f>VLOOKUP($A90,K0kommunestruktur2019!$A$4:$N$425,K0kommunestruktur2020altern!G$3,FALSE)</f>
        <v>4529</v>
      </c>
      <c r="H90" s="177">
        <f>VLOOKUP($A90,K0kommunestruktur2019!$A$4:$N$425,K0kommunestruktur2020altern!H$3,FALSE)</f>
        <v>105787</v>
      </c>
      <c r="I90" s="289">
        <f>VLOOKUP($A90,K0kommunestruktur2019!$A$4:$N$425,K0kommunestruktur2020altern!I$3,FALSE)</f>
        <v>4580</v>
      </c>
      <c r="J90" s="177">
        <f>VLOOKUP($A90,K0kommunestruktur2019!$A$4:$N$425,K0kommunestruktur2020altern!J$3,FALSE)</f>
        <v>109552</v>
      </c>
      <c r="K90" s="289">
        <f>VLOOKUP($A90,K0kommunestruktur2019!$A$4:$N$425,K0kommunestruktur2020altern!K$3,FALSE)</f>
        <v>4541</v>
      </c>
      <c r="L90" s="177">
        <f>VLOOKUP($A90,K0kommunestruktur2019!$A$4:$N$425,K0kommunestruktur2020altern!L$3,FALSE)</f>
        <v>122118</v>
      </c>
      <c r="M90" s="289">
        <f>VLOOKUP($A90,K0kommunestruktur2019!$A$4:$N$425,K0kommunestruktur2020altern!M$3,FALSE)</f>
        <v>4449</v>
      </c>
      <c r="N90" s="177">
        <f>VLOOKUP($A90,K0kommunestruktur2019!$A$4:$N$425,K0kommunestruktur2020altern!N$3,FALSE)</f>
        <v>126035</v>
      </c>
      <c r="O90" s="289">
        <f>+'K20'!C90</f>
        <v>4410</v>
      </c>
      <c r="P90" s="177">
        <f>+'K20'!Z90</f>
        <v>120986</v>
      </c>
      <c r="R90" s="517"/>
    </row>
    <row r="91" spans="1:18" ht="13">
      <c r="A91" s="865">
        <v>1870</v>
      </c>
      <c r="B91" s="866" t="s">
        <v>213</v>
      </c>
      <c r="C91" s="289">
        <f>VLOOKUP($A91,K0kommunestruktur2019!$A$4:$N$425,K0kommunestruktur2020altern!C$3,FALSE)</f>
        <v>10129</v>
      </c>
      <c r="D91" s="177">
        <f>VLOOKUP($A91,K0kommunestruktur2019!$A$4:$N$425,K0kommunestruktur2020altern!D$3,FALSE)</f>
        <v>197249</v>
      </c>
      <c r="E91" s="289">
        <f>VLOOKUP($A91,K0kommunestruktur2019!$A$4:$N$425,K0kommunestruktur2020altern!E$3,FALSE)</f>
        <v>10166</v>
      </c>
      <c r="F91" s="177">
        <f>VLOOKUP($A91,K0kommunestruktur2019!$A$4:$N$425,K0kommunestruktur2020altern!F$3,FALSE)</f>
        <v>213192</v>
      </c>
      <c r="G91" s="289">
        <f>VLOOKUP($A91,K0kommunestruktur2019!$A$4:$N$425,K0kommunestruktur2020altern!G$3,FALSE)</f>
        <v>10214</v>
      </c>
      <c r="H91" s="177">
        <f>VLOOKUP($A91,K0kommunestruktur2019!$A$4:$N$425,K0kommunestruktur2020altern!H$3,FALSE)</f>
        <v>236542</v>
      </c>
      <c r="I91" s="289">
        <f>VLOOKUP($A91,K0kommunestruktur2019!$A$4:$N$425,K0kommunestruktur2020altern!I$3,FALSE)</f>
        <v>10378</v>
      </c>
      <c r="J91" s="177">
        <f>VLOOKUP($A91,K0kommunestruktur2019!$A$4:$N$425,K0kommunestruktur2020altern!J$3,FALSE)</f>
        <v>247240</v>
      </c>
      <c r="K91" s="289">
        <f>VLOOKUP($A91,K0kommunestruktur2019!$A$4:$N$425,K0kommunestruktur2020altern!K$3,FALSE)</f>
        <v>10401</v>
      </c>
      <c r="L91" s="177">
        <f>VLOOKUP($A91,K0kommunestruktur2019!$A$4:$N$425,K0kommunestruktur2020altern!L$3,FALSE)</f>
        <v>270129</v>
      </c>
      <c r="M91" s="289">
        <f>VLOOKUP($A91,K0kommunestruktur2019!$A$4:$N$425,K0kommunestruktur2020altern!M$3,FALSE)</f>
        <v>10518</v>
      </c>
      <c r="N91" s="177">
        <f>VLOOKUP($A91,K0kommunestruktur2019!$A$4:$N$425,K0kommunestruktur2020altern!N$3,FALSE)</f>
        <v>279319</v>
      </c>
      <c r="O91" s="289">
        <f>+'K20'!C91</f>
        <v>10566</v>
      </c>
      <c r="P91" s="177">
        <f>+'K20'!Z91</f>
        <v>286545</v>
      </c>
      <c r="R91" s="517"/>
    </row>
    <row r="92" spans="1:18" ht="13">
      <c r="A92" s="865">
        <v>1871</v>
      </c>
      <c r="B92" s="866" t="s">
        <v>214</v>
      </c>
      <c r="C92" s="289">
        <f>VLOOKUP($A92,K0kommunestruktur2019!$A$4:$N$425,K0kommunestruktur2020altern!C$3,FALSE)</f>
        <v>4993</v>
      </c>
      <c r="D92" s="177">
        <f>VLOOKUP($A92,K0kommunestruktur2019!$A$4:$N$425,K0kommunestruktur2020altern!D$3,FALSE)</f>
        <v>97841</v>
      </c>
      <c r="E92" s="289">
        <f>VLOOKUP($A92,K0kommunestruktur2019!$A$4:$N$425,K0kommunestruktur2020altern!E$3,FALSE)</f>
        <v>4991</v>
      </c>
      <c r="F92" s="177">
        <f>VLOOKUP($A92,K0kommunestruktur2019!$A$4:$N$425,K0kommunestruktur2020altern!F$3,FALSE)</f>
        <v>105566</v>
      </c>
      <c r="G92" s="289">
        <f>VLOOKUP($A92,K0kommunestruktur2019!$A$4:$N$425,K0kommunestruktur2020altern!G$3,FALSE)</f>
        <v>4980</v>
      </c>
      <c r="H92" s="177">
        <f>VLOOKUP($A92,K0kommunestruktur2019!$A$4:$N$425,K0kommunestruktur2020altern!H$3,FALSE)</f>
        <v>110513</v>
      </c>
      <c r="I92" s="289">
        <f>VLOOKUP($A92,K0kommunestruktur2019!$A$4:$N$425,K0kommunestruktur2020altern!I$3,FALSE)</f>
        <v>4908</v>
      </c>
      <c r="J92" s="177">
        <f>VLOOKUP($A92,K0kommunestruktur2019!$A$4:$N$425,K0kommunestruktur2020altern!J$3,FALSE)</f>
        <v>114562</v>
      </c>
      <c r="K92" s="289">
        <f>VLOOKUP($A92,K0kommunestruktur2019!$A$4:$N$425,K0kommunestruktur2020altern!K$3,FALSE)</f>
        <v>4902</v>
      </c>
      <c r="L92" s="177">
        <f>VLOOKUP($A92,K0kommunestruktur2019!$A$4:$N$425,K0kommunestruktur2020altern!L$3,FALSE)</f>
        <v>134742</v>
      </c>
      <c r="M92" s="289">
        <f>VLOOKUP($A92,K0kommunestruktur2019!$A$4:$N$425,K0kommunestruktur2020altern!M$3,FALSE)</f>
        <v>4771</v>
      </c>
      <c r="N92" s="177">
        <f>VLOOKUP($A92,K0kommunestruktur2019!$A$4:$N$425,K0kommunestruktur2020altern!N$3,FALSE)</f>
        <v>127446</v>
      </c>
      <c r="O92" s="289">
        <f>+'K20'!C92</f>
        <v>4663</v>
      </c>
      <c r="P92" s="177">
        <f>+'K20'!Z92</f>
        <v>118622</v>
      </c>
      <c r="R92" s="517"/>
    </row>
    <row r="93" spans="1:18" ht="13">
      <c r="A93" s="865">
        <v>1874</v>
      </c>
      <c r="B93" s="866" t="s">
        <v>215</v>
      </c>
      <c r="C93" s="289">
        <f>VLOOKUP($A93,K0kommunestruktur2019!$A$4:$N$425,K0kommunestruktur2020altern!C$3,FALSE)</f>
        <v>1108</v>
      </c>
      <c r="D93" s="177">
        <f>VLOOKUP($A93,K0kommunestruktur2019!$A$4:$N$425,K0kommunestruktur2020altern!D$3,FALSE)</f>
        <v>23459</v>
      </c>
      <c r="E93" s="289">
        <f>VLOOKUP($A93,K0kommunestruktur2019!$A$4:$N$425,K0kommunestruktur2020altern!E$3,FALSE)</f>
        <v>1070</v>
      </c>
      <c r="F93" s="177">
        <f>VLOOKUP($A93,K0kommunestruktur2019!$A$4:$N$425,K0kommunestruktur2020altern!F$3,FALSE)</f>
        <v>25475</v>
      </c>
      <c r="G93" s="289">
        <f>VLOOKUP($A93,K0kommunestruktur2019!$A$4:$N$425,K0kommunestruktur2020altern!G$3,FALSE)</f>
        <v>1062</v>
      </c>
      <c r="H93" s="177">
        <f>VLOOKUP($A93,K0kommunestruktur2019!$A$4:$N$425,K0kommunestruktur2020altern!H$3,FALSE)</f>
        <v>25619</v>
      </c>
      <c r="I93" s="289">
        <f>VLOOKUP($A93,K0kommunestruktur2019!$A$4:$N$425,K0kommunestruktur2020altern!I$3,FALSE)</f>
        <v>1073</v>
      </c>
      <c r="J93" s="177">
        <f>VLOOKUP($A93,K0kommunestruktur2019!$A$4:$N$425,K0kommunestruktur2020altern!J$3,FALSE)</f>
        <v>28995</v>
      </c>
      <c r="K93" s="289">
        <f>VLOOKUP($A93,K0kommunestruktur2019!$A$4:$N$425,K0kommunestruktur2020altern!K$3,FALSE)</f>
        <v>1068</v>
      </c>
      <c r="L93" s="177">
        <f>VLOOKUP($A93,K0kommunestruktur2019!$A$4:$N$425,K0kommunestruktur2020altern!L$3,FALSE)</f>
        <v>30852</v>
      </c>
      <c r="M93" s="289">
        <f>VLOOKUP($A93,K0kommunestruktur2019!$A$4:$N$425,K0kommunestruktur2020altern!M$3,FALSE)</f>
        <v>1039</v>
      </c>
      <c r="N93" s="177">
        <f>VLOOKUP($A93,K0kommunestruktur2019!$A$4:$N$425,K0kommunestruktur2020altern!N$3,FALSE)</f>
        <v>34001</v>
      </c>
      <c r="O93" s="289">
        <f>+'K20'!C93</f>
        <v>1015</v>
      </c>
      <c r="P93" s="177">
        <f>+'K20'!Z93</f>
        <v>31448</v>
      </c>
      <c r="R93" s="517"/>
    </row>
    <row r="94" spans="1:18" ht="13">
      <c r="A94" s="878">
        <v>1875</v>
      </c>
      <c r="B94" s="883" t="s">
        <v>1617</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78138.789610389606</v>
      </c>
      <c r="O94" s="289">
        <f>+'K20'!C94</f>
        <v>2766</v>
      </c>
      <c r="P94" s="177">
        <f>+'K20'!Z94</f>
        <v>78376</v>
      </c>
      <c r="R94" s="517"/>
    </row>
    <row r="95" spans="1:18" ht="13">
      <c r="A95" s="865">
        <v>3001</v>
      </c>
      <c r="B95" s="866" t="s">
        <v>783</v>
      </c>
      <c r="C95" s="289">
        <f>VLOOKUP($A95,K0kommunestruktur2019!$A$4:$N$425,K0kommunestruktur2020altern!C$3,FALSE)</f>
        <v>30132</v>
      </c>
      <c r="D95" s="177">
        <f>VLOOKUP($A95,K0kommunestruktur2019!$A$4:$N$425,K0kommunestruktur2020altern!D$3,FALSE)</f>
        <v>578670</v>
      </c>
      <c r="E95" s="289">
        <f>VLOOKUP($A95,K0kommunestruktur2019!$A$4:$N$425,K0kommunestruktur2020altern!E$3,FALSE)</f>
        <v>30328</v>
      </c>
      <c r="F95" s="177">
        <f>VLOOKUP($A95,K0kommunestruktur2019!$A$4:$N$425,K0kommunestruktur2020altern!F$3,FALSE)</f>
        <v>622874</v>
      </c>
      <c r="G95" s="289">
        <f>VLOOKUP($A95,K0kommunestruktur2019!$A$4:$N$425,K0kommunestruktur2020altern!G$3,FALSE)</f>
        <v>30544</v>
      </c>
      <c r="H95" s="177">
        <f>VLOOKUP($A95,K0kommunestruktur2019!$A$4:$N$425,K0kommunestruktur2020altern!H$3,FALSE)</f>
        <v>694774</v>
      </c>
      <c r="I95" s="289">
        <f>VLOOKUP($A95,K0kommunestruktur2019!$A$4:$N$425,K0kommunestruktur2020altern!I$3,FALSE)</f>
        <v>30790</v>
      </c>
      <c r="J95" s="177">
        <f>VLOOKUP($A95,K0kommunestruktur2019!$A$4:$N$425,K0kommunestruktur2020altern!J$3,FALSE)</f>
        <v>718818</v>
      </c>
      <c r="K95" s="289">
        <f>VLOOKUP($A95,K0kommunestruktur2019!$A$4:$N$425,K0kommunestruktur2020altern!K$3,FALSE)</f>
        <v>31037</v>
      </c>
      <c r="L95" s="177">
        <f>VLOOKUP($A95,K0kommunestruktur2019!$A$4:$N$425,K0kommunestruktur2020altern!L$3,FALSE)</f>
        <v>758714</v>
      </c>
      <c r="M95" s="289">
        <f>VLOOKUP($A95,K0kommunestruktur2019!$A$4:$N$425,K0kommunestruktur2020altern!M$3,FALSE)</f>
        <v>31177</v>
      </c>
      <c r="N95" s="177">
        <f>VLOOKUP($A95,K0kommunestruktur2019!$A$4:$N$425,K0kommunestruktur2020altern!N$3,FALSE)</f>
        <v>767877</v>
      </c>
      <c r="O95" s="289">
        <f>+'K20'!C95</f>
        <v>31373</v>
      </c>
      <c r="P95" s="177">
        <f>+'K20'!Z95</f>
        <v>771295</v>
      </c>
      <c r="R95" s="517"/>
    </row>
    <row r="96" spans="1:18" ht="13">
      <c r="A96" s="878">
        <v>3002</v>
      </c>
      <c r="B96" s="883" t="s">
        <v>1618</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+'K20'!C96</f>
        <v>49273</v>
      </c>
      <c r="P96" s="177">
        <f>+'K20'!Z96</f>
        <v>1373136</v>
      </c>
      <c r="R96" s="517"/>
    </row>
    <row r="97" spans="1:18" ht="13">
      <c r="A97" s="865">
        <v>3003</v>
      </c>
      <c r="B97" s="866" t="s">
        <v>785</v>
      </c>
      <c r="C97" s="289">
        <f>VLOOKUP($A97,K0kommunestruktur2019!$A$4:$N$425,K0kommunestruktur2020altern!C$3,FALSE)</f>
        <v>54059</v>
      </c>
      <c r="D97" s="177">
        <f>VLOOKUP($A97,K0kommunestruktur2019!$A$4:$N$425,K0kommunestruktur2020altern!D$3,FALSE)</f>
        <v>1032285</v>
      </c>
      <c r="E97" s="289">
        <f>VLOOKUP($A97,K0kommunestruktur2019!$A$4:$N$425,K0kommunestruktur2020altern!E$3,FALSE)</f>
        <v>54192</v>
      </c>
      <c r="F97" s="177">
        <f>VLOOKUP($A97,K0kommunestruktur2019!$A$4:$N$425,K0kommunestruktur2020altern!F$3,FALSE)</f>
        <v>1110209</v>
      </c>
      <c r="G97" s="289">
        <f>VLOOKUP($A97,K0kommunestruktur2019!$A$4:$N$425,K0kommunestruktur2020altern!G$3,FALSE)</f>
        <v>54678</v>
      </c>
      <c r="H97" s="177">
        <f>VLOOKUP($A97,K0kommunestruktur2019!$A$4:$N$425,K0kommunestruktur2020altern!H$3,FALSE)</f>
        <v>1254916</v>
      </c>
      <c r="I97" s="289">
        <f>VLOOKUP($A97,K0kommunestruktur2019!$A$4:$N$425,K0kommunestruktur2020altern!I$3,FALSE)</f>
        <v>55127</v>
      </c>
      <c r="J97" s="177">
        <f>VLOOKUP($A97,K0kommunestruktur2019!$A$4:$N$425,K0kommunestruktur2020altern!J$3,FALSE)</f>
        <v>1290591</v>
      </c>
      <c r="K97" s="289">
        <f>VLOOKUP($A97,K0kommunestruktur2019!$A$4:$N$425,K0kommunestruktur2020altern!K$3,FALSE)</f>
        <v>55543</v>
      </c>
      <c r="L97" s="177">
        <f>VLOOKUP($A97,K0kommunestruktur2019!$A$4:$N$425,K0kommunestruktur2020altern!L$3,FALSE)</f>
        <v>1352585</v>
      </c>
      <c r="M97" s="289">
        <f>VLOOKUP($A97,K0kommunestruktur2019!$A$4:$N$425,K0kommunestruktur2020altern!M$3,FALSE)</f>
        <v>55997</v>
      </c>
      <c r="N97" s="177">
        <f>VLOOKUP($A97,K0kommunestruktur2019!$A$4:$N$425,K0kommunestruktur2020altern!N$3,FALSE)</f>
        <v>1416352</v>
      </c>
      <c r="O97" s="289">
        <f>+'K20'!C97</f>
        <v>56732</v>
      </c>
      <c r="P97" s="177">
        <f>+'K20'!Z97</f>
        <v>1427126</v>
      </c>
      <c r="R97" s="517"/>
    </row>
    <row r="98" spans="1:18" ht="13">
      <c r="A98" s="865">
        <v>3004</v>
      </c>
      <c r="B98" s="866" t="s">
        <v>786</v>
      </c>
      <c r="C98" s="289">
        <f>VLOOKUP($A98,K0kommunestruktur2019!$A$4:$N$425,K0kommunestruktur2020altern!C$3,FALSE)</f>
        <v>77591</v>
      </c>
      <c r="D98" s="177">
        <f>VLOOKUP($A98,K0kommunestruktur2019!$A$4:$N$425,K0kommunestruktur2020altern!D$3,FALSE)</f>
        <v>1625623</v>
      </c>
      <c r="E98" s="289">
        <f>VLOOKUP($A98,K0kommunestruktur2019!$A$4:$N$425,K0kommunestruktur2020altern!E$3,FALSE)</f>
        <v>78159</v>
      </c>
      <c r="F98" s="177">
        <f>VLOOKUP($A98,K0kommunestruktur2019!$A$4:$N$425,K0kommunestruktur2020altern!F$3,FALSE)</f>
        <v>1719479</v>
      </c>
      <c r="G98" s="289">
        <f>VLOOKUP($A98,K0kommunestruktur2019!$A$4:$N$425,K0kommunestruktur2020altern!G$3,FALSE)</f>
        <v>78967</v>
      </c>
      <c r="H98" s="177">
        <f>VLOOKUP($A98,K0kommunestruktur2019!$A$4:$N$425,K0kommunestruktur2020altern!H$3,FALSE)</f>
        <v>1889857</v>
      </c>
      <c r="I98" s="289">
        <f>VLOOKUP($A98,K0kommunestruktur2019!$A$4:$N$425,K0kommunestruktur2020altern!I$3,FALSE)</f>
        <v>80121</v>
      </c>
      <c r="J98" s="177">
        <f>VLOOKUP($A98,K0kommunestruktur2019!$A$4:$N$425,K0kommunestruktur2020altern!J$3,FALSE)</f>
        <v>1991852</v>
      </c>
      <c r="K98" s="289">
        <f>VLOOKUP($A98,K0kommunestruktur2019!$A$4:$N$425,K0kommunestruktur2020altern!K$3,FALSE)</f>
        <v>80977</v>
      </c>
      <c r="L98" s="177">
        <f>VLOOKUP($A98,K0kommunestruktur2019!$A$4:$N$425,K0kommunestruktur2020altern!L$3,FALSE)</f>
        <v>2095333</v>
      </c>
      <c r="M98" s="289">
        <f>VLOOKUP($A98,K0kommunestruktur2019!$A$4:$N$425,K0kommunestruktur2020altern!M$3,FALSE)</f>
        <v>81772</v>
      </c>
      <c r="N98" s="177">
        <f>VLOOKUP($A98,K0kommunestruktur2019!$A$4:$N$425,K0kommunestruktur2020altern!N$3,FALSE)</f>
        <v>2241352</v>
      </c>
      <c r="O98" s="289">
        <f>+'K20'!C98</f>
        <v>82385</v>
      </c>
      <c r="P98" s="177">
        <f>+'K20'!Z98</f>
        <v>2171553</v>
      </c>
      <c r="R98" s="517"/>
    </row>
    <row r="99" spans="1:18" ht="13">
      <c r="A99" s="878">
        <v>3005</v>
      </c>
      <c r="B99" s="883" t="s">
        <v>1619</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+'K20'!C99</f>
        <v>101386</v>
      </c>
      <c r="P99" s="177">
        <f>+'K20'!Z99</f>
        <v>2988879</v>
      </c>
      <c r="R99" s="517"/>
    </row>
    <row r="100" spans="1:18" ht="13">
      <c r="A100" s="865">
        <v>3006</v>
      </c>
      <c r="B100" s="866" t="s">
        <v>872</v>
      </c>
      <c r="C100" s="289">
        <f>VLOOKUP($A100,K0kommunestruktur2019!$A$4:$N$425,K0kommunestruktur2020altern!C$3,FALSE)</f>
        <v>26406</v>
      </c>
      <c r="D100" s="177">
        <f>VLOOKUP($A100,K0kommunestruktur2019!$A$4:$N$425,K0kommunestruktur2020altern!D$3,FALSE)</f>
        <v>752839</v>
      </c>
      <c r="E100" s="289">
        <f>VLOOKUP($A100,K0kommunestruktur2019!$A$4:$N$425,K0kommunestruktur2020altern!E$3,FALSE)</f>
        <v>26711</v>
      </c>
      <c r="F100" s="177">
        <f>VLOOKUP($A100,K0kommunestruktur2019!$A$4:$N$425,K0kommunestruktur2020altern!F$3,FALSE)</f>
        <v>781052</v>
      </c>
      <c r="G100" s="289">
        <f>VLOOKUP($A100,K0kommunestruktur2019!$A$4:$N$425,K0kommunestruktur2020altern!G$3,FALSE)</f>
        <v>27013</v>
      </c>
      <c r="H100" s="177">
        <f>VLOOKUP($A100,K0kommunestruktur2019!$A$4:$N$425,K0kommunestruktur2020altern!H$3,FALSE)</f>
        <v>820578</v>
      </c>
      <c r="I100" s="289">
        <f>VLOOKUP($A100,K0kommunestruktur2019!$A$4:$N$425,K0kommunestruktur2020altern!I$3,FALSE)</f>
        <v>27216</v>
      </c>
      <c r="J100" s="177">
        <f>VLOOKUP($A100,K0kommunestruktur2019!$A$4:$N$425,K0kommunestruktur2020altern!J$3,FALSE)</f>
        <v>824287</v>
      </c>
      <c r="K100" s="289">
        <f>VLOOKUP($A100,K0kommunestruktur2019!$A$4:$N$425,K0kommunestruktur2020altern!K$3,FALSE)</f>
        <v>27410</v>
      </c>
      <c r="L100" s="177">
        <f>VLOOKUP($A100,K0kommunestruktur2019!$A$4:$N$425,K0kommunestruktur2020altern!L$3,FALSE)</f>
        <v>875371</v>
      </c>
      <c r="M100" s="289">
        <f>VLOOKUP($A100,K0kommunestruktur2019!$A$4:$N$425,K0kommunestruktur2020altern!M$3,FALSE)</f>
        <v>27481</v>
      </c>
      <c r="N100" s="177">
        <f>VLOOKUP($A100,K0kommunestruktur2019!$A$4:$N$425,K0kommunestruktur2020altern!N$3,FALSE)</f>
        <v>895667</v>
      </c>
      <c r="O100" s="289">
        <f>+'K20'!C100</f>
        <v>27723</v>
      </c>
      <c r="P100" s="177">
        <f>+'K20'!Z100</f>
        <v>897703</v>
      </c>
      <c r="R100" s="517"/>
    </row>
    <row r="101" spans="1:18" ht="13">
      <c r="A101" s="865">
        <v>3007</v>
      </c>
      <c r="B101" s="866" t="s">
        <v>873</v>
      </c>
      <c r="C101" s="289">
        <f>VLOOKUP($A101,K0kommunestruktur2019!$A$4:$N$425,K0kommunestruktur2020altern!C$3,FALSE)</f>
        <v>29624</v>
      </c>
      <c r="D101" s="177">
        <f>VLOOKUP($A101,K0kommunestruktur2019!$A$4:$N$425,K0kommunestruktur2020altern!D$3,FALSE)</f>
        <v>636695</v>
      </c>
      <c r="E101" s="289">
        <f>VLOOKUP($A101,K0kommunestruktur2019!$A$4:$N$425,K0kommunestruktur2020altern!E$3,FALSE)</f>
        <v>29712</v>
      </c>
      <c r="F101" s="177">
        <f>VLOOKUP($A101,K0kommunestruktur2019!$A$4:$N$425,K0kommunestruktur2020altern!F$3,FALSE)</f>
        <v>674660</v>
      </c>
      <c r="G101" s="289">
        <f>VLOOKUP($A101,K0kommunestruktur2019!$A$4:$N$425,K0kommunestruktur2020altern!G$3,FALSE)</f>
        <v>29801</v>
      </c>
      <c r="H101" s="177">
        <f>VLOOKUP($A101,K0kommunestruktur2019!$A$4:$N$425,K0kommunestruktur2020altern!H$3,FALSE)</f>
        <v>741381</v>
      </c>
      <c r="I101" s="289">
        <f>VLOOKUP($A101,K0kommunestruktur2019!$A$4:$N$425,K0kommunestruktur2020altern!I$3,FALSE)</f>
        <v>30034</v>
      </c>
      <c r="J101" s="177">
        <f>VLOOKUP($A101,K0kommunestruktur2019!$A$4:$N$425,K0kommunestruktur2020altern!J$3,FALSE)</f>
        <v>781819</v>
      </c>
      <c r="K101" s="289">
        <f>VLOOKUP($A101,K0kommunestruktur2019!$A$4:$N$425,K0kommunestruktur2020altern!K$3,FALSE)</f>
        <v>30283</v>
      </c>
      <c r="L101" s="177">
        <f>VLOOKUP($A101,K0kommunestruktur2019!$A$4:$N$425,K0kommunestruktur2020altern!L$3,FALSE)</f>
        <v>803489</v>
      </c>
      <c r="M101" s="289">
        <f>VLOOKUP($A101,K0kommunestruktur2019!$A$4:$N$425,K0kommunestruktur2020altern!M$3,FALSE)</f>
        <v>30442</v>
      </c>
      <c r="N101" s="177">
        <f>VLOOKUP($A101,K0kommunestruktur2019!$A$4:$N$425,K0kommunestruktur2020altern!N$3,FALSE)</f>
        <v>840146</v>
      </c>
      <c r="O101" s="289">
        <f>+'K20'!C101</f>
        <v>30641</v>
      </c>
      <c r="P101" s="177">
        <f>+'K20'!Z101</f>
        <v>853860</v>
      </c>
      <c r="R101" s="517"/>
    </row>
    <row r="102" spans="1:18" ht="13">
      <c r="A102" s="865">
        <v>3011</v>
      </c>
      <c r="B102" s="866" t="s">
        <v>787</v>
      </c>
      <c r="C102" s="289">
        <f>VLOOKUP($A102,K0kommunestruktur2019!$A$4:$N$425,K0kommunestruktur2020altern!C$3,FALSE)</f>
        <v>4386</v>
      </c>
      <c r="D102" s="177">
        <f>VLOOKUP($A102,K0kommunestruktur2019!$A$4:$N$425,K0kommunestruktur2020altern!D$3,FALSE)</f>
        <v>118250</v>
      </c>
      <c r="E102" s="289">
        <f>VLOOKUP($A102,K0kommunestruktur2019!$A$4:$N$425,K0kommunestruktur2020altern!E$3,FALSE)</f>
        <v>4480</v>
      </c>
      <c r="F102" s="177">
        <f>VLOOKUP($A102,K0kommunestruktur2019!$A$4:$N$425,K0kommunestruktur2020altern!F$3,FALSE)</f>
        <v>120496</v>
      </c>
      <c r="G102" s="289">
        <f>VLOOKUP($A102,K0kommunestruktur2019!$A$4:$N$425,K0kommunestruktur2020altern!G$3,FALSE)</f>
        <v>4511</v>
      </c>
      <c r="H102" s="177">
        <f>VLOOKUP($A102,K0kommunestruktur2019!$A$4:$N$425,K0kommunestruktur2020altern!H$3,FALSE)</f>
        <v>127169</v>
      </c>
      <c r="I102" s="289">
        <f>VLOOKUP($A102,K0kommunestruktur2019!$A$4:$N$425,K0kommunestruktur2020altern!I$3,FALSE)</f>
        <v>4517</v>
      </c>
      <c r="J102" s="177">
        <f>VLOOKUP($A102,K0kommunestruktur2019!$A$4:$N$425,K0kommunestruktur2020altern!J$3,FALSE)</f>
        <v>140962</v>
      </c>
      <c r="K102" s="289">
        <f>VLOOKUP($A102,K0kommunestruktur2019!$A$4:$N$425,K0kommunestruktur2020altern!K$3,FALSE)</f>
        <v>4540</v>
      </c>
      <c r="L102" s="177">
        <f>VLOOKUP($A102,K0kommunestruktur2019!$A$4:$N$425,K0kommunestruktur2020altern!L$3,FALSE)</f>
        <v>152833</v>
      </c>
      <c r="M102" s="289">
        <f>VLOOKUP($A102,K0kommunestruktur2019!$A$4:$N$425,K0kommunestruktur2020altern!M$3,FALSE)</f>
        <v>4599</v>
      </c>
      <c r="N102" s="177">
        <f>VLOOKUP($A102,K0kommunestruktur2019!$A$4:$N$425,K0kommunestruktur2020altern!N$3,FALSE)</f>
        <v>157813</v>
      </c>
      <c r="O102" s="289">
        <f>+'K20'!C102</f>
        <v>4668</v>
      </c>
      <c r="P102" s="177">
        <f>+'K20'!Z102</f>
        <v>156132</v>
      </c>
      <c r="R102" s="517"/>
    </row>
    <row r="103" spans="1:18" ht="13">
      <c r="A103" s="865">
        <v>3012</v>
      </c>
      <c r="B103" s="866" t="s">
        <v>788</v>
      </c>
      <c r="C103" s="289">
        <f>VLOOKUP($A103,K0kommunestruktur2019!$A$4:$N$425,K0kommunestruktur2020altern!C$3,FALSE)</f>
        <v>1408</v>
      </c>
      <c r="D103" s="177">
        <f>VLOOKUP($A103,K0kommunestruktur2019!$A$4:$N$425,K0kommunestruktur2020altern!D$3,FALSE)</f>
        <v>27552</v>
      </c>
      <c r="E103" s="289">
        <f>VLOOKUP($A103,K0kommunestruktur2019!$A$4:$N$425,K0kommunestruktur2020altern!E$3,FALSE)</f>
        <v>1406</v>
      </c>
      <c r="F103" s="177">
        <f>VLOOKUP($A103,K0kommunestruktur2019!$A$4:$N$425,K0kommunestruktur2020altern!F$3,FALSE)</f>
        <v>29788</v>
      </c>
      <c r="G103" s="289">
        <f>VLOOKUP($A103,K0kommunestruktur2019!$A$4:$N$425,K0kommunestruktur2020altern!G$3,FALSE)</f>
        <v>1404</v>
      </c>
      <c r="H103" s="177">
        <f>VLOOKUP($A103,K0kommunestruktur2019!$A$4:$N$425,K0kommunestruktur2020altern!H$3,FALSE)</f>
        <v>32642</v>
      </c>
      <c r="I103" s="289">
        <f>VLOOKUP($A103,K0kommunestruktur2019!$A$4:$N$425,K0kommunestruktur2020altern!I$3,FALSE)</f>
        <v>1398</v>
      </c>
      <c r="J103" s="177">
        <f>VLOOKUP($A103,K0kommunestruktur2019!$A$4:$N$425,K0kommunestruktur2020altern!J$3,FALSE)</f>
        <v>34123</v>
      </c>
      <c r="K103" s="289">
        <f>VLOOKUP($A103,K0kommunestruktur2019!$A$4:$N$425,K0kommunestruktur2020altern!K$3,FALSE)</f>
        <v>1399</v>
      </c>
      <c r="L103" s="177">
        <f>VLOOKUP($A103,K0kommunestruktur2019!$A$4:$N$425,K0kommunestruktur2020altern!L$3,FALSE)</f>
        <v>33281</v>
      </c>
      <c r="M103" s="289">
        <f>VLOOKUP($A103,K0kommunestruktur2019!$A$4:$N$425,K0kommunestruktur2020altern!M$3,FALSE)</f>
        <v>1357</v>
      </c>
      <c r="N103" s="177">
        <f>VLOOKUP($A103,K0kommunestruktur2019!$A$4:$N$425,K0kommunestruktur2020altern!N$3,FALSE)</f>
        <v>36601</v>
      </c>
      <c r="O103" s="289">
        <f>+'K20'!C103</f>
        <v>1325</v>
      </c>
      <c r="P103" s="177">
        <f>+'K20'!Z103</f>
        <v>34854</v>
      </c>
      <c r="R103" s="517"/>
    </row>
    <row r="104" spans="1:18" ht="13">
      <c r="A104" s="865">
        <v>3013</v>
      </c>
      <c r="B104" s="866" t="s">
        <v>789</v>
      </c>
      <c r="C104" s="289">
        <f>VLOOKUP($A104,K0kommunestruktur2019!$A$4:$N$425,K0kommunestruktur2020altern!C$3,FALSE)</f>
        <v>3596</v>
      </c>
      <c r="D104" s="177">
        <f>VLOOKUP($A104,K0kommunestruktur2019!$A$4:$N$425,K0kommunestruktur2020altern!D$3,FALSE)</f>
        <v>65789</v>
      </c>
      <c r="E104" s="289">
        <f>VLOOKUP($A104,K0kommunestruktur2019!$A$4:$N$425,K0kommunestruktur2020altern!E$3,FALSE)</f>
        <v>3613</v>
      </c>
      <c r="F104" s="177">
        <f>VLOOKUP($A104,K0kommunestruktur2019!$A$4:$N$425,K0kommunestruktur2020altern!F$3,FALSE)</f>
        <v>75060</v>
      </c>
      <c r="G104" s="289">
        <f>VLOOKUP($A104,K0kommunestruktur2019!$A$4:$N$425,K0kommunestruktur2020altern!G$3,FALSE)</f>
        <v>3610</v>
      </c>
      <c r="H104" s="177">
        <f>VLOOKUP($A104,K0kommunestruktur2019!$A$4:$N$425,K0kommunestruktur2020altern!H$3,FALSE)</f>
        <v>85887</v>
      </c>
      <c r="I104" s="289">
        <f>VLOOKUP($A104,K0kommunestruktur2019!$A$4:$N$425,K0kommunestruktur2020altern!I$3,FALSE)</f>
        <v>3597</v>
      </c>
      <c r="J104" s="177">
        <f>VLOOKUP($A104,K0kommunestruktur2019!$A$4:$N$425,K0kommunestruktur2020altern!J$3,FALSE)</f>
        <v>82436</v>
      </c>
      <c r="K104" s="289">
        <f>VLOOKUP($A104,K0kommunestruktur2019!$A$4:$N$425,K0kommunestruktur2020altern!K$3,FALSE)</f>
        <v>3567</v>
      </c>
      <c r="L104" s="177">
        <f>VLOOKUP($A104,K0kommunestruktur2019!$A$4:$N$425,K0kommunestruktur2020altern!L$3,FALSE)</f>
        <v>87199</v>
      </c>
      <c r="M104" s="289">
        <f>VLOOKUP($A104,K0kommunestruktur2019!$A$4:$N$425,K0kommunestruktur2020altern!M$3,FALSE)</f>
        <v>3592</v>
      </c>
      <c r="N104" s="177">
        <f>VLOOKUP($A104,K0kommunestruktur2019!$A$4:$N$425,K0kommunestruktur2020altern!N$3,FALSE)</f>
        <v>92254</v>
      </c>
      <c r="O104" s="289">
        <f>+'K20'!C104</f>
        <v>3595</v>
      </c>
      <c r="P104" s="177">
        <f>+'K20'!Z104</f>
        <v>91448</v>
      </c>
      <c r="R104" s="517"/>
    </row>
    <row r="105" spans="1:18" ht="13">
      <c r="A105" s="878">
        <v>3014</v>
      </c>
      <c r="B105" s="883" t="s">
        <v>1620</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+'K20'!C105</f>
        <v>44792</v>
      </c>
      <c r="P105" s="177">
        <f>+'K20'!Z105</f>
        <v>1185800</v>
      </c>
      <c r="R105" s="517"/>
    </row>
    <row r="106" spans="1:18" ht="13">
      <c r="A106" s="865">
        <v>3015</v>
      </c>
      <c r="B106" s="866" t="s">
        <v>2369</v>
      </c>
      <c r="C106" s="289">
        <f>VLOOKUP($A106,K0kommunestruktur2019!$A$4:$N$425,K0kommunestruktur2020altern!C$3,FALSE)</f>
        <v>3727</v>
      </c>
      <c r="D106" s="177">
        <f>VLOOKUP($A106,K0kommunestruktur2019!$A$4:$N$425,K0kommunestruktur2020altern!D$3,FALSE)</f>
        <v>74341</v>
      </c>
      <c r="E106" s="289">
        <f>VLOOKUP($A106,K0kommunestruktur2019!$A$4:$N$425,K0kommunestruktur2020altern!E$3,FALSE)</f>
        <v>3731</v>
      </c>
      <c r="F106" s="177">
        <f>VLOOKUP($A106,K0kommunestruktur2019!$A$4:$N$425,K0kommunestruktur2020altern!F$3,FALSE)</f>
        <v>80910</v>
      </c>
      <c r="G106" s="289">
        <f>VLOOKUP($A106,K0kommunestruktur2019!$A$4:$N$425,K0kommunestruktur2020altern!G$3,FALSE)</f>
        <v>3742</v>
      </c>
      <c r="H106" s="177">
        <f>VLOOKUP($A106,K0kommunestruktur2019!$A$4:$N$425,K0kommunestruktur2020altern!H$3,FALSE)</f>
        <v>88702</v>
      </c>
      <c r="I106" s="289">
        <f>VLOOKUP($A106,K0kommunestruktur2019!$A$4:$N$425,K0kommunestruktur2020altern!I$3,FALSE)</f>
        <v>3783</v>
      </c>
      <c r="J106" s="177">
        <f>VLOOKUP($A106,K0kommunestruktur2019!$A$4:$N$425,K0kommunestruktur2020altern!J$3,FALSE)</f>
        <v>87806</v>
      </c>
      <c r="K106" s="289">
        <f>VLOOKUP($A106,K0kommunestruktur2019!$A$4:$N$425,K0kommunestruktur2020altern!K$3,FALSE)</f>
        <v>3831</v>
      </c>
      <c r="L106" s="177">
        <f>VLOOKUP($A106,K0kommunestruktur2019!$A$4:$N$425,K0kommunestruktur2020altern!L$3,FALSE)</f>
        <v>93552</v>
      </c>
      <c r="M106" s="289">
        <f>VLOOKUP($A106,K0kommunestruktur2019!$A$4:$N$425,K0kommunestruktur2020altern!M$3,FALSE)</f>
        <v>3797</v>
      </c>
      <c r="N106" s="177">
        <f>VLOOKUP($A106,K0kommunestruktur2019!$A$4:$N$425,K0kommunestruktur2020altern!N$3,FALSE)</f>
        <v>97504</v>
      </c>
      <c r="O106" s="289">
        <f>+'K20'!C106</f>
        <v>3805</v>
      </c>
      <c r="P106" s="177">
        <f>+'K20'!Z106</f>
        <v>96557</v>
      </c>
      <c r="R106" s="517"/>
    </row>
    <row r="107" spans="1:18" ht="13">
      <c r="A107" s="865">
        <v>3016</v>
      </c>
      <c r="B107" s="866" t="s">
        <v>796</v>
      </c>
      <c r="C107" s="289">
        <f>VLOOKUP($A107,K0kommunestruktur2019!$A$4:$N$425,K0kommunestruktur2020altern!C$3,FALSE)</f>
        <v>7974</v>
      </c>
      <c r="D107" s="177">
        <f>VLOOKUP($A107,K0kommunestruktur2019!$A$4:$N$425,K0kommunestruktur2020altern!D$3,FALSE)</f>
        <v>157886</v>
      </c>
      <c r="E107" s="289">
        <f>VLOOKUP($A107,K0kommunestruktur2019!$A$4:$N$425,K0kommunestruktur2020altern!E$3,FALSE)</f>
        <v>8020</v>
      </c>
      <c r="F107" s="177">
        <f>VLOOKUP($A107,K0kommunestruktur2019!$A$4:$N$425,K0kommunestruktur2020altern!F$3,FALSE)</f>
        <v>167095</v>
      </c>
      <c r="G107" s="289">
        <f>VLOOKUP($A107,K0kommunestruktur2019!$A$4:$N$425,K0kommunestruktur2020altern!G$3,FALSE)</f>
        <v>8084</v>
      </c>
      <c r="H107" s="177">
        <f>VLOOKUP($A107,K0kommunestruktur2019!$A$4:$N$425,K0kommunestruktur2020altern!H$3,FALSE)</f>
        <v>193284</v>
      </c>
      <c r="I107" s="289">
        <f>VLOOKUP($A107,K0kommunestruktur2019!$A$4:$N$425,K0kommunestruktur2020altern!I$3,FALSE)</f>
        <v>8173</v>
      </c>
      <c r="J107" s="177">
        <f>VLOOKUP($A107,K0kommunestruktur2019!$A$4:$N$425,K0kommunestruktur2020altern!J$3,FALSE)</f>
        <v>194656</v>
      </c>
      <c r="K107" s="289">
        <f>VLOOKUP($A107,K0kommunestruktur2019!$A$4:$N$425,K0kommunestruktur2020altern!K$3,FALSE)</f>
        <v>8202</v>
      </c>
      <c r="L107" s="177">
        <f>VLOOKUP($A107,K0kommunestruktur2019!$A$4:$N$425,K0kommunestruktur2020altern!L$3,FALSE)</f>
        <v>210300</v>
      </c>
      <c r="M107" s="289">
        <f>VLOOKUP($A107,K0kommunestruktur2019!$A$4:$N$425,K0kommunestruktur2020altern!M$3,FALSE)</f>
        <v>8230</v>
      </c>
      <c r="N107" s="177">
        <f>VLOOKUP($A107,K0kommunestruktur2019!$A$4:$N$425,K0kommunestruktur2020altern!N$3,FALSE)</f>
        <v>215542</v>
      </c>
      <c r="O107" s="289">
        <f>+'K20'!C107</f>
        <v>8255</v>
      </c>
      <c r="P107" s="177">
        <f>+'K20'!Z107</f>
        <v>218725</v>
      </c>
      <c r="R107" s="517"/>
    </row>
    <row r="108" spans="1:18" ht="13">
      <c r="A108" s="865">
        <v>3017</v>
      </c>
      <c r="B108" s="866" t="s">
        <v>797</v>
      </c>
      <c r="C108" s="289">
        <f>VLOOKUP($A108,K0kommunestruktur2019!$A$4:$N$425,K0kommunestruktur2020altern!C$3,FALSE)</f>
        <v>7104</v>
      </c>
      <c r="D108" s="177">
        <f>VLOOKUP($A108,K0kommunestruktur2019!$A$4:$N$425,K0kommunestruktur2020altern!D$3,FALSE)</f>
        <v>158348</v>
      </c>
      <c r="E108" s="289">
        <f>VLOOKUP($A108,K0kommunestruktur2019!$A$4:$N$425,K0kommunestruktur2020altern!E$3,FALSE)</f>
        <v>7206</v>
      </c>
      <c r="F108" s="177">
        <f>VLOOKUP($A108,K0kommunestruktur2019!$A$4:$N$425,K0kommunestruktur2020altern!F$3,FALSE)</f>
        <v>167440</v>
      </c>
      <c r="G108" s="289">
        <f>VLOOKUP($A108,K0kommunestruktur2019!$A$4:$N$425,K0kommunestruktur2020altern!G$3,FALSE)</f>
        <v>7357</v>
      </c>
      <c r="H108" s="177">
        <f>VLOOKUP($A108,K0kommunestruktur2019!$A$4:$N$425,K0kommunestruktur2020altern!H$3,FALSE)</f>
        <v>189397</v>
      </c>
      <c r="I108" s="289">
        <f>VLOOKUP($A108,K0kommunestruktur2019!$A$4:$N$425,K0kommunestruktur2020altern!I$3,FALSE)</f>
        <v>7398</v>
      </c>
      <c r="J108" s="177">
        <f>VLOOKUP($A108,K0kommunestruktur2019!$A$4:$N$425,K0kommunestruktur2020altern!J$3,FALSE)</f>
        <v>193812</v>
      </c>
      <c r="K108" s="289">
        <f>VLOOKUP($A108,K0kommunestruktur2019!$A$4:$N$425,K0kommunestruktur2020altern!K$3,FALSE)</f>
        <v>7465</v>
      </c>
      <c r="L108" s="177">
        <f>VLOOKUP($A108,K0kommunestruktur2019!$A$4:$N$425,K0kommunestruktur2020altern!L$3,FALSE)</f>
        <v>198782</v>
      </c>
      <c r="M108" s="289">
        <f>VLOOKUP($A108,K0kommunestruktur2019!$A$4:$N$425,K0kommunestruktur2020altern!M$3,FALSE)</f>
        <v>7542</v>
      </c>
      <c r="N108" s="177">
        <f>VLOOKUP($A108,K0kommunestruktur2019!$A$4:$N$425,K0kommunestruktur2020altern!N$3,FALSE)</f>
        <v>209112</v>
      </c>
      <c r="O108" s="289">
        <f>+'K20'!C108</f>
        <v>7508</v>
      </c>
      <c r="P108" s="177">
        <f>+'K20'!Z108</f>
        <v>208011</v>
      </c>
      <c r="R108" s="517"/>
    </row>
    <row r="109" spans="1:18" ht="13">
      <c r="A109" s="865">
        <v>3018</v>
      </c>
      <c r="B109" s="866" t="s">
        <v>799</v>
      </c>
      <c r="C109" s="289">
        <f>VLOOKUP($A109,K0kommunestruktur2019!$A$4:$N$425,K0kommunestruktur2020altern!C$3,FALSE)</f>
        <v>4978</v>
      </c>
      <c r="D109" s="177">
        <f>VLOOKUP($A109,K0kommunestruktur2019!$A$4:$N$425,K0kommunestruktur2020altern!D$3,FALSE)</f>
        <v>104906</v>
      </c>
      <c r="E109" s="289">
        <f>VLOOKUP($A109,K0kommunestruktur2019!$A$4:$N$425,K0kommunestruktur2020altern!E$3,FALSE)</f>
        <v>5100</v>
      </c>
      <c r="F109" s="177">
        <f>VLOOKUP($A109,K0kommunestruktur2019!$A$4:$N$425,K0kommunestruktur2020altern!F$3,FALSE)</f>
        <v>113132</v>
      </c>
      <c r="G109" s="289">
        <f>VLOOKUP($A109,K0kommunestruktur2019!$A$4:$N$425,K0kommunestruktur2020altern!G$3,FALSE)</f>
        <v>5186</v>
      </c>
      <c r="H109" s="177">
        <f>VLOOKUP($A109,K0kommunestruktur2019!$A$4:$N$425,K0kommunestruktur2020altern!H$3,FALSE)</f>
        <v>126383</v>
      </c>
      <c r="I109" s="289">
        <f>VLOOKUP($A109,K0kommunestruktur2019!$A$4:$N$425,K0kommunestruktur2020altern!I$3,FALSE)</f>
        <v>5335</v>
      </c>
      <c r="J109" s="177">
        <f>VLOOKUP($A109,K0kommunestruktur2019!$A$4:$N$425,K0kommunestruktur2020altern!J$3,FALSE)</f>
        <v>136309</v>
      </c>
      <c r="K109" s="289">
        <f>VLOOKUP($A109,K0kommunestruktur2019!$A$4:$N$425,K0kommunestruktur2020altern!K$3,FALSE)</f>
        <v>5471</v>
      </c>
      <c r="L109" s="177">
        <f>VLOOKUP($A109,K0kommunestruktur2019!$A$4:$N$425,K0kommunestruktur2020altern!L$3,FALSE)</f>
        <v>144788</v>
      </c>
      <c r="M109" s="289">
        <f>VLOOKUP($A109,K0kommunestruktur2019!$A$4:$N$425,K0kommunestruktur2020altern!M$3,FALSE)</f>
        <v>5593</v>
      </c>
      <c r="N109" s="177">
        <f>VLOOKUP($A109,K0kommunestruktur2019!$A$4:$N$425,K0kommunestruktur2020altern!N$3,FALSE)</f>
        <v>145443</v>
      </c>
      <c r="O109" s="289">
        <f>+'K20'!C109</f>
        <v>5736</v>
      </c>
      <c r="P109" s="177">
        <f>+'K20'!Z109</f>
        <v>153904</v>
      </c>
      <c r="R109" s="517"/>
    </row>
    <row r="110" spans="1:18" ht="13">
      <c r="A110" s="865">
        <v>3019</v>
      </c>
      <c r="B110" s="866" t="s">
        <v>801</v>
      </c>
      <c r="C110" s="289">
        <f>VLOOKUP($A110,K0kommunestruktur2019!$A$4:$N$425,K0kommunestruktur2020altern!C$3,FALSE)</f>
        <v>15944</v>
      </c>
      <c r="D110" s="177">
        <f>VLOOKUP($A110,K0kommunestruktur2019!$A$4:$N$425,K0kommunestruktur2020altern!D$3,FALSE)</f>
        <v>382877</v>
      </c>
      <c r="E110" s="289">
        <f>VLOOKUP($A110,K0kommunestruktur2019!$A$4:$N$425,K0kommunestruktur2020altern!E$3,FALSE)</f>
        <v>16310</v>
      </c>
      <c r="F110" s="177">
        <f>VLOOKUP($A110,K0kommunestruktur2019!$A$4:$N$425,K0kommunestruktur2020altern!F$3,FALSE)</f>
        <v>425131</v>
      </c>
      <c r="G110" s="289">
        <f>VLOOKUP($A110,K0kommunestruktur2019!$A$4:$N$425,K0kommunestruktur2020altern!G$3,FALSE)</f>
        <v>16732</v>
      </c>
      <c r="H110" s="177">
        <f>VLOOKUP($A110,K0kommunestruktur2019!$A$4:$N$425,K0kommunestruktur2020altern!H$3,FALSE)</f>
        <v>481457</v>
      </c>
      <c r="I110" s="289">
        <f>VLOOKUP($A110,K0kommunestruktur2019!$A$4:$N$425,K0kommunestruktur2020altern!I$3,FALSE)</f>
        <v>17188</v>
      </c>
      <c r="J110" s="177">
        <f>VLOOKUP($A110,K0kommunestruktur2019!$A$4:$N$425,K0kommunestruktur2020altern!J$3,FALSE)</f>
        <v>511136</v>
      </c>
      <c r="K110" s="289">
        <f>VLOOKUP($A110,K0kommunestruktur2019!$A$4:$N$425,K0kommunestruktur2020altern!K$3,FALSE)</f>
        <v>17486</v>
      </c>
      <c r="L110" s="177">
        <f>VLOOKUP($A110,K0kommunestruktur2019!$A$4:$N$425,K0kommunestruktur2020altern!L$3,FALSE)</f>
        <v>544775</v>
      </c>
      <c r="M110" s="289">
        <f>VLOOKUP($A110,K0kommunestruktur2019!$A$4:$N$425,K0kommunestruktur2020altern!M$3,FALSE)</f>
        <v>17824</v>
      </c>
      <c r="N110" s="177">
        <f>VLOOKUP($A110,K0kommunestruktur2019!$A$4:$N$425,K0kommunestruktur2020altern!N$3,FALSE)</f>
        <v>560651</v>
      </c>
      <c r="O110" s="289">
        <f>+'K20'!C110</f>
        <v>18042</v>
      </c>
      <c r="P110" s="177">
        <f>+'K20'!Z110</f>
        <v>542945</v>
      </c>
      <c r="R110" s="517"/>
    </row>
    <row r="111" spans="1:18" ht="13">
      <c r="A111" s="878">
        <v>3020</v>
      </c>
      <c r="B111" s="883" t="s">
        <v>1621</v>
      </c>
      <c r="C111" s="289">
        <f t="shared" ref="C111:N111" si="16">+C$435+C$436+C$437</f>
        <v>55971.078829604128</v>
      </c>
      <c r="D111" s="177">
        <f t="shared" si="16"/>
        <v>1607080.5913941481</v>
      </c>
      <c r="E111" s="289">
        <f t="shared" si="16"/>
        <v>56534.252077698548</v>
      </c>
      <c r="F111" s="177">
        <f t="shared" si="16"/>
        <v>1686853.0015736416</v>
      </c>
      <c r="G111" s="289">
        <f t="shared" si="16"/>
        <v>57236.989377919839</v>
      </c>
      <c r="H111" s="177">
        <f t="shared" si="16"/>
        <v>1862244.1284976641</v>
      </c>
      <c r="I111" s="289">
        <f t="shared" si="16"/>
        <v>57872.856946151958</v>
      </c>
      <c r="J111" s="177">
        <f t="shared" si="16"/>
        <v>1974149.0404720923</v>
      </c>
      <c r="K111" s="289">
        <f t="shared" si="16"/>
        <v>58252.568379641016</v>
      </c>
      <c r="L111" s="177">
        <f t="shared" si="16"/>
        <v>2026302.5736415049</v>
      </c>
      <c r="M111" s="289">
        <f t="shared" si="16"/>
        <v>58434</v>
      </c>
      <c r="N111" s="177">
        <f t="shared" si="16"/>
        <v>2104356.226948611</v>
      </c>
      <c r="O111" s="289">
        <f>+'K20'!C111</f>
        <v>59288</v>
      </c>
      <c r="P111" s="177">
        <f>+'K20'!Z111</f>
        <v>2090579</v>
      </c>
      <c r="R111" s="517"/>
    </row>
    <row r="112" spans="1:18" ht="13">
      <c r="A112" s="889">
        <v>3021</v>
      </c>
      <c r="B112" s="890" t="s">
        <v>803</v>
      </c>
      <c r="C112" s="289">
        <f t="shared" ref="C112:N112" si="17">+C$439+C$440</f>
        <v>17794.921170395868</v>
      </c>
      <c r="D112" s="177">
        <f t="shared" si="17"/>
        <v>428887.40860585199</v>
      </c>
      <c r="E112" s="289">
        <f t="shared" si="17"/>
        <v>18323.747922301452</v>
      </c>
      <c r="F112" s="177">
        <f t="shared" si="17"/>
        <v>468591.99842635851</v>
      </c>
      <c r="G112" s="289">
        <f t="shared" si="17"/>
        <v>18808.010622080157</v>
      </c>
      <c r="H112" s="177">
        <f t="shared" si="17"/>
        <v>499680.87150233588</v>
      </c>
      <c r="I112" s="289">
        <f t="shared" si="17"/>
        <v>19101.143053848045</v>
      </c>
      <c r="J112" s="177">
        <f t="shared" si="17"/>
        <v>537698.95952790754</v>
      </c>
      <c r="K112" s="289">
        <f t="shared" si="17"/>
        <v>19889.431620358988</v>
      </c>
      <c r="L112" s="177">
        <f t="shared" si="17"/>
        <v>605016.42635849526</v>
      </c>
      <c r="M112" s="289">
        <f t="shared" si="17"/>
        <v>20138</v>
      </c>
      <c r="N112" s="177">
        <f t="shared" si="17"/>
        <v>605798.77305138926</v>
      </c>
      <c r="O112" s="289">
        <f>+'K20'!C112</f>
        <v>20439</v>
      </c>
      <c r="P112" s="177">
        <f>+'K20'!Z112</f>
        <v>595384</v>
      </c>
      <c r="R112" s="517"/>
    </row>
    <row r="113" spans="1:18" ht="13">
      <c r="A113" s="865">
        <v>3022</v>
      </c>
      <c r="B113" s="866" t="s">
        <v>804</v>
      </c>
      <c r="C113" s="289">
        <f>VLOOKUP($A113,K0kommunestruktur2019!$A$4:$N$425,K0kommunestruktur2020altern!C$3,FALSE)</f>
        <v>15671</v>
      </c>
      <c r="D113" s="177">
        <f>VLOOKUP($A113,K0kommunestruktur2019!$A$4:$N$425,K0kommunestruktur2020altern!D$3,FALSE)</f>
        <v>458700</v>
      </c>
      <c r="E113" s="289">
        <f>VLOOKUP($A113,K0kommunestruktur2019!$A$4:$N$425,K0kommunestruktur2020altern!E$3,FALSE)</f>
        <v>15656</v>
      </c>
      <c r="F113" s="177">
        <f>VLOOKUP($A113,K0kommunestruktur2019!$A$4:$N$425,K0kommunestruktur2020altern!F$3,FALSE)</f>
        <v>488635</v>
      </c>
      <c r="G113" s="289">
        <f>VLOOKUP($A113,K0kommunestruktur2019!$A$4:$N$425,K0kommunestruktur2020altern!G$3,FALSE)</f>
        <v>15695</v>
      </c>
      <c r="H113" s="177">
        <f>VLOOKUP($A113,K0kommunestruktur2019!$A$4:$N$425,K0kommunestruktur2020altern!H$3,FALSE)</f>
        <v>552401</v>
      </c>
      <c r="I113" s="289">
        <f>VLOOKUP($A113,K0kommunestruktur2019!$A$4:$N$425,K0kommunestruktur2020altern!I$3,FALSE)</f>
        <v>15743</v>
      </c>
      <c r="J113" s="177">
        <f>VLOOKUP($A113,K0kommunestruktur2019!$A$4:$N$425,K0kommunestruktur2020altern!J$3,FALSE)</f>
        <v>572415</v>
      </c>
      <c r="K113" s="289">
        <f>VLOOKUP($A113,K0kommunestruktur2019!$A$4:$N$425,K0kommunestruktur2020altern!K$3,FALSE)</f>
        <v>15735</v>
      </c>
      <c r="L113" s="177">
        <f>VLOOKUP($A113,K0kommunestruktur2019!$A$4:$N$425,K0kommunestruktur2020altern!L$3,FALSE)</f>
        <v>586294</v>
      </c>
      <c r="M113" s="289">
        <f>VLOOKUP($A113,K0kommunestruktur2019!$A$4:$N$425,K0kommunestruktur2020altern!M$3,FALSE)</f>
        <v>15761</v>
      </c>
      <c r="N113" s="177">
        <f>VLOOKUP($A113,K0kommunestruktur2019!$A$4:$N$425,K0kommunestruktur2020altern!N$3,FALSE)</f>
        <v>611625</v>
      </c>
      <c r="O113" s="289">
        <f>+'K20'!C113</f>
        <v>15877</v>
      </c>
      <c r="P113" s="177">
        <f>+'K20'!Z113</f>
        <v>595648</v>
      </c>
      <c r="R113" s="517"/>
    </row>
    <row r="114" spans="1:18" ht="13">
      <c r="A114" s="865">
        <v>3023</v>
      </c>
      <c r="B114" s="876" t="s">
        <v>805</v>
      </c>
      <c r="C114" s="289">
        <f>VLOOKUP($A114,K0kommunestruktur2019!$A$4:$N$425,K0kommunestruktur2020altern!C$3,FALSE)</f>
        <v>18297</v>
      </c>
      <c r="D114" s="177">
        <f>VLOOKUP($A114,K0kommunestruktur2019!$A$4:$N$425,K0kommunestruktur2020altern!D$3,FALSE)</f>
        <v>484633</v>
      </c>
      <c r="E114" s="289">
        <f>VLOOKUP($A114,K0kommunestruktur2019!$A$4:$N$425,K0kommunestruktur2020altern!E$3,FALSE)</f>
        <v>18372</v>
      </c>
      <c r="F114" s="177">
        <f>VLOOKUP($A114,K0kommunestruktur2019!$A$4:$N$425,K0kommunestruktur2020altern!F$3,FALSE)</f>
        <v>506316</v>
      </c>
      <c r="G114" s="289">
        <f>VLOOKUP($A114,K0kommunestruktur2019!$A$4:$N$425,K0kommunestruktur2020altern!G$3,FALSE)</f>
        <v>18623</v>
      </c>
      <c r="H114" s="177">
        <f>VLOOKUP($A114,K0kommunestruktur2019!$A$4:$N$425,K0kommunestruktur2020altern!H$3,FALSE)</f>
        <v>556056</v>
      </c>
      <c r="I114" s="289">
        <f>VLOOKUP($A114,K0kommunestruktur2019!$A$4:$N$425,K0kommunestruktur2020altern!I$3,FALSE)</f>
        <v>18869</v>
      </c>
      <c r="J114" s="177">
        <f>VLOOKUP($A114,K0kommunestruktur2019!$A$4:$N$425,K0kommunestruktur2020altern!J$3,FALSE)</f>
        <v>583891</v>
      </c>
      <c r="K114" s="289">
        <f>VLOOKUP($A114,K0kommunestruktur2019!$A$4:$N$425,K0kommunestruktur2020altern!K$3,FALSE)</f>
        <v>19287</v>
      </c>
      <c r="L114" s="177">
        <f>VLOOKUP($A114,K0kommunestruktur2019!$A$4:$N$425,K0kommunestruktur2020altern!L$3,FALSE)</f>
        <v>619346</v>
      </c>
      <c r="M114" s="289">
        <f>VLOOKUP($A114,K0kommunestruktur2019!$A$4:$N$425,K0kommunestruktur2020altern!M$3,FALSE)</f>
        <v>19488</v>
      </c>
      <c r="N114" s="177">
        <f>VLOOKUP($A114,K0kommunestruktur2019!$A$4:$N$425,K0kommunestruktur2020altern!N$3,FALSE)</f>
        <v>642751</v>
      </c>
      <c r="O114" s="289">
        <f>+'K20'!C114</f>
        <v>19616</v>
      </c>
      <c r="P114" s="177">
        <f>+'K20'!Z114</f>
        <v>634158</v>
      </c>
      <c r="R114" s="517"/>
    </row>
    <row r="115" spans="1:18" ht="13">
      <c r="A115" s="865">
        <v>3024</v>
      </c>
      <c r="B115" s="866" t="s">
        <v>807</v>
      </c>
      <c r="C115" s="290">
        <f>VLOOKUP($A115,K0kommunestruktur2019!$A$4:$N$425,K0kommunestruktur2020altern!C$3,FALSE)</f>
        <v>118588</v>
      </c>
      <c r="D115" s="182">
        <f>VLOOKUP($A115,K0kommunestruktur2019!$A$4:$N$425,K0kommunestruktur2020altern!D$3,FALSE)</f>
        <v>4694842</v>
      </c>
      <c r="E115" s="290">
        <f>VLOOKUP($A115,K0kommunestruktur2019!$A$4:$N$425,K0kommunestruktur2020altern!E$3,FALSE)</f>
        <v>120685</v>
      </c>
      <c r="F115" s="182">
        <f>VLOOKUP($A115,K0kommunestruktur2019!$A$4:$N$425,K0kommunestruktur2020altern!F$3,FALSE)</f>
        <v>5002876</v>
      </c>
      <c r="G115" s="290">
        <f>VLOOKUP($A115,K0kommunestruktur2019!$A$4:$N$425,K0kommunestruktur2020altern!G$3,FALSE)</f>
        <v>122348</v>
      </c>
      <c r="H115" s="182">
        <f>VLOOKUP($A115,K0kommunestruktur2019!$A$4:$N$425,K0kommunestruktur2020altern!H$3,FALSE)</f>
        <v>5817013</v>
      </c>
      <c r="I115" s="290">
        <f>VLOOKUP($A115,K0kommunestruktur2019!$A$4:$N$425,K0kommunestruktur2020altern!I$3,FALSE)</f>
        <v>124008</v>
      </c>
      <c r="J115" s="182">
        <f>VLOOKUP($A115,K0kommunestruktur2019!$A$4:$N$425,K0kommunestruktur2020altern!J$3,FALSE)</f>
        <v>6180068</v>
      </c>
      <c r="K115" s="289">
        <f>VLOOKUP($A115,K0kommunestruktur2019!$A$4:$N$425,K0kommunestruktur2020altern!K$3,FALSE)</f>
        <v>125454</v>
      </c>
      <c r="L115" s="177">
        <f>VLOOKUP($A115,K0kommunestruktur2019!$A$4:$N$425,K0kommunestruktur2020altern!L$3,FALSE)</f>
        <v>6345361</v>
      </c>
      <c r="M115" s="289">
        <f>VLOOKUP($A115,K0kommunestruktur2019!$A$4:$N$425,K0kommunestruktur2020altern!M$3,FALSE)</f>
        <v>126841</v>
      </c>
      <c r="N115" s="177">
        <f>VLOOKUP($A115,K0kommunestruktur2019!$A$4:$N$425,K0kommunestruktur2020altern!N$3,FALSE)</f>
        <v>6827068</v>
      </c>
      <c r="O115" s="289">
        <f>+'K20'!C115</f>
        <v>127731</v>
      </c>
      <c r="P115" s="177">
        <f>+'K20'!Z115</f>
        <v>6525517</v>
      </c>
      <c r="R115" s="517"/>
    </row>
    <row r="116" spans="1:18" ht="13">
      <c r="A116" s="878">
        <v>3025</v>
      </c>
      <c r="B116" s="883" t="s">
        <v>1622</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+'K20'!C116</f>
        <v>94441</v>
      </c>
      <c r="P116" s="177">
        <f>+'K20'!Z116</f>
        <v>3964821</v>
      </c>
      <c r="R116" s="517"/>
    </row>
    <row r="117" spans="1:18" ht="13">
      <c r="A117" s="878">
        <v>3026</v>
      </c>
      <c r="B117" s="883" t="s">
        <v>1623</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+'K20'!C117</f>
        <v>17390</v>
      </c>
      <c r="P117" s="177">
        <f>+'K20'!Z117</f>
        <v>432758</v>
      </c>
      <c r="R117" s="517"/>
    </row>
    <row r="118" spans="1:18" ht="13">
      <c r="A118" s="865">
        <v>3027</v>
      </c>
      <c r="B118" s="866" t="s">
        <v>812</v>
      </c>
      <c r="C118" s="289">
        <f>VLOOKUP($A118,K0kommunestruktur2019!$A$4:$N$425,K0kommunestruktur2020altern!C$3,FALSE)</f>
        <v>16806</v>
      </c>
      <c r="D118" s="177">
        <f>VLOOKUP($A118,K0kommunestruktur2019!$A$4:$N$425,K0kommunestruktur2020altern!D$3,FALSE)</f>
        <v>418672</v>
      </c>
      <c r="E118" s="289">
        <f>VLOOKUP($A118,K0kommunestruktur2019!$A$4:$N$425,K0kommunestruktur2020altern!E$3,FALSE)</f>
        <v>17185</v>
      </c>
      <c r="F118" s="177">
        <f>VLOOKUP($A118,K0kommunestruktur2019!$A$4:$N$425,K0kommunestruktur2020altern!F$3,FALSE)</f>
        <v>443705</v>
      </c>
      <c r="G118" s="289">
        <f>VLOOKUP($A118,K0kommunestruktur2019!$A$4:$N$425,K0kommunestruktur2020altern!G$3,FALSE)</f>
        <v>17426</v>
      </c>
      <c r="H118" s="177">
        <f>VLOOKUP($A118,K0kommunestruktur2019!$A$4:$N$425,K0kommunestruktur2020altern!H$3,FALSE)</f>
        <v>489036</v>
      </c>
      <c r="I118" s="289">
        <f>VLOOKUP($A118,K0kommunestruktur2019!$A$4:$N$425,K0kommunestruktur2020altern!I$3,FALSE)</f>
        <v>17730</v>
      </c>
      <c r="J118" s="177">
        <f>VLOOKUP($A118,K0kommunestruktur2019!$A$4:$N$425,K0kommunestruktur2020altern!J$3,FALSE)</f>
        <v>519409</v>
      </c>
      <c r="K118" s="289">
        <f>VLOOKUP($A118,K0kommunestruktur2019!$A$4:$N$425,K0kommunestruktur2020altern!K$3,FALSE)</f>
        <v>17874</v>
      </c>
      <c r="L118" s="177">
        <f>VLOOKUP($A118,K0kommunestruktur2019!$A$4:$N$425,K0kommunestruktur2020altern!L$3,FALSE)</f>
        <v>553595</v>
      </c>
      <c r="M118" s="289">
        <f>VLOOKUP($A118,K0kommunestruktur2019!$A$4:$N$425,K0kommunestruktur2020altern!M$3,FALSE)</f>
        <v>18161</v>
      </c>
      <c r="N118" s="177">
        <f>VLOOKUP($A118,K0kommunestruktur2019!$A$4:$N$425,K0kommunestruktur2020altern!N$3,FALSE)</f>
        <v>579991</v>
      </c>
      <c r="O118" s="289">
        <f>+'K20'!C118</f>
        <v>18530</v>
      </c>
      <c r="P118" s="177">
        <f>+'K20'!Z118</f>
        <v>586828</v>
      </c>
      <c r="R118" s="517"/>
    </row>
    <row r="119" spans="1:18" ht="13">
      <c r="A119" s="865">
        <v>3028</v>
      </c>
      <c r="B119" s="866" t="s">
        <v>813</v>
      </c>
      <c r="C119" s="289">
        <f>VLOOKUP($A119,K0kommunestruktur2019!$A$4:$N$425,K0kommunestruktur2020altern!C$3,FALSE)</f>
        <v>10626</v>
      </c>
      <c r="D119" s="177">
        <f>VLOOKUP($A119,K0kommunestruktur2019!$A$4:$N$425,K0kommunestruktur2020altern!D$3,FALSE)</f>
        <v>235399</v>
      </c>
      <c r="E119" s="289">
        <f>VLOOKUP($A119,K0kommunestruktur2019!$A$4:$N$425,K0kommunestruktur2020altern!E$3,FALSE)</f>
        <v>10760</v>
      </c>
      <c r="F119" s="177">
        <f>VLOOKUP($A119,K0kommunestruktur2019!$A$4:$N$425,K0kommunestruktur2020altern!F$3,FALSE)</f>
        <v>253577</v>
      </c>
      <c r="G119" s="289">
        <f>VLOOKUP($A119,K0kommunestruktur2019!$A$4:$N$425,K0kommunestruktur2020altern!G$3,FALSE)</f>
        <v>10870</v>
      </c>
      <c r="H119" s="177">
        <f>VLOOKUP($A119,K0kommunestruktur2019!$A$4:$N$425,K0kommunestruktur2020altern!H$3,FALSE)</f>
        <v>279337</v>
      </c>
      <c r="I119" s="289">
        <f>VLOOKUP($A119,K0kommunestruktur2019!$A$4:$N$425,K0kommunestruktur2020altern!I$3,FALSE)</f>
        <v>10927</v>
      </c>
      <c r="J119" s="177">
        <f>VLOOKUP($A119,K0kommunestruktur2019!$A$4:$N$425,K0kommunestruktur2020altern!J$3,FALSE)</f>
        <v>287943</v>
      </c>
      <c r="K119" s="289">
        <f>VLOOKUP($A119,K0kommunestruktur2019!$A$4:$N$425,K0kommunestruktur2020altern!K$3,FALSE)</f>
        <v>10945</v>
      </c>
      <c r="L119" s="177">
        <f>VLOOKUP($A119,K0kommunestruktur2019!$A$4:$N$425,K0kommunestruktur2020altern!L$3,FALSE)</f>
        <v>292839</v>
      </c>
      <c r="M119" s="289">
        <f>VLOOKUP($A119,K0kommunestruktur2019!$A$4:$N$425,K0kommunestruktur2020altern!M$3,FALSE)</f>
        <v>11026</v>
      </c>
      <c r="N119" s="177">
        <f>VLOOKUP($A119,K0kommunestruktur2019!$A$4:$N$425,K0kommunestruktur2020altern!N$3,FALSE)</f>
        <v>299078</v>
      </c>
      <c r="O119" s="289">
        <f>+'K20'!C119</f>
        <v>11110</v>
      </c>
      <c r="P119" s="177">
        <f>+'K20'!Z119</f>
        <v>291255</v>
      </c>
      <c r="R119" s="517"/>
    </row>
    <row r="120" spans="1:18" ht="13">
      <c r="A120" s="865">
        <v>3029</v>
      </c>
      <c r="B120" s="866" t="s">
        <v>814</v>
      </c>
      <c r="C120" s="289">
        <f>VLOOKUP($A120,K0kommunestruktur2019!$A$4:$N$425,K0kommunestruktur2020altern!C$3,FALSE)</f>
        <v>34697</v>
      </c>
      <c r="D120" s="177">
        <f>VLOOKUP($A120,K0kommunestruktur2019!$A$4:$N$425,K0kommunestruktur2020altern!D$3,FALSE)</f>
        <v>955054</v>
      </c>
      <c r="E120" s="289">
        <f>VLOOKUP($A120,K0kommunestruktur2019!$A$4:$N$425,K0kommunestruktur2020altern!E$3,FALSE)</f>
        <v>35139</v>
      </c>
      <c r="F120" s="177">
        <f>VLOOKUP($A120,K0kommunestruktur2019!$A$4:$N$425,K0kommunestruktur2020altern!F$3,FALSE)</f>
        <v>1000847</v>
      </c>
      <c r="G120" s="289">
        <f>VLOOKUP($A120,K0kommunestruktur2019!$A$4:$N$425,K0kommunestruktur2020altern!G$3,FALSE)</f>
        <v>36368</v>
      </c>
      <c r="H120" s="177">
        <f>VLOOKUP($A120,K0kommunestruktur2019!$A$4:$N$425,K0kommunestruktur2020altern!H$3,FALSE)</f>
        <v>1106763</v>
      </c>
      <c r="I120" s="289">
        <f>VLOOKUP($A120,K0kommunestruktur2019!$A$4:$N$425,K0kommunestruktur2020altern!I$3,FALSE)</f>
        <v>37406</v>
      </c>
      <c r="J120" s="177">
        <f>VLOOKUP($A120,K0kommunestruktur2019!$A$4:$N$425,K0kommunestruktur2020altern!J$3,FALSE)</f>
        <v>1186669</v>
      </c>
      <c r="K120" s="289">
        <f>VLOOKUP($A120,K0kommunestruktur2019!$A$4:$N$425,K0kommunestruktur2020altern!K$3,FALSE)</f>
        <v>38670</v>
      </c>
      <c r="L120" s="177">
        <f>VLOOKUP($A120,K0kommunestruktur2019!$A$4:$N$425,K0kommunestruktur2020altern!L$3,FALSE)</f>
        <v>1265826</v>
      </c>
      <c r="M120" s="289">
        <f>VLOOKUP($A120,K0kommunestruktur2019!$A$4:$N$425,K0kommunestruktur2020altern!M$3,FALSE)</f>
        <v>40106</v>
      </c>
      <c r="N120" s="177">
        <f>VLOOKUP($A120,K0kommunestruktur2019!$A$4:$N$425,K0kommunestruktur2020altern!N$3,FALSE)</f>
        <v>1334160</v>
      </c>
      <c r="O120" s="289">
        <f>+'K20'!C120</f>
        <v>41460</v>
      </c>
      <c r="P120" s="177">
        <f>+'K20'!Z120</f>
        <v>1334722</v>
      </c>
      <c r="R120" s="517"/>
    </row>
    <row r="121" spans="1:18" ht="13">
      <c r="A121" s="878">
        <v>3030</v>
      </c>
      <c r="B121" s="883" t="s">
        <v>1624</v>
      </c>
      <c r="C121" s="289">
        <f t="shared" ref="C121:N121" si="20">+C$450+C$451+C$452+C$453</f>
        <v>78532.416579970435</v>
      </c>
      <c r="D121" s="177">
        <f t="shared" si="20"/>
        <v>2008907.4885035318</v>
      </c>
      <c r="E121" s="289">
        <f t="shared" si="20"/>
        <v>79385.133877238128</v>
      </c>
      <c r="F121" s="177">
        <f t="shared" si="20"/>
        <v>2089397.7724362782</v>
      </c>
      <c r="G121" s="289">
        <f t="shared" si="20"/>
        <v>80698.127580353714</v>
      </c>
      <c r="H121" s="177">
        <f t="shared" si="20"/>
        <v>2325082.7272264962</v>
      </c>
      <c r="I121" s="289">
        <f t="shared" si="20"/>
        <v>81846.971089087223</v>
      </c>
      <c r="J121" s="177">
        <f t="shared" si="20"/>
        <v>2466629.9739697063</v>
      </c>
      <c r="K121" s="289">
        <f t="shared" si="20"/>
        <v>83160.397689317193</v>
      </c>
      <c r="L121" s="177">
        <f t="shared" si="20"/>
        <v>2576111.5140447901</v>
      </c>
      <c r="M121" s="289">
        <f t="shared" si="20"/>
        <v>85086</v>
      </c>
      <c r="N121" s="177">
        <f t="shared" si="20"/>
        <v>2724189.8595247222</v>
      </c>
      <c r="O121" s="289">
        <f>+'K20'!C121</f>
        <v>85983</v>
      </c>
      <c r="P121" s="177">
        <f>+'K20'!Z121</f>
        <v>2710030</v>
      </c>
      <c r="R121" s="517"/>
    </row>
    <row r="122" spans="1:18" ht="13">
      <c r="A122" s="865">
        <v>3031</v>
      </c>
      <c r="B122" s="866" t="s">
        <v>816</v>
      </c>
      <c r="C122" s="289">
        <f>VLOOKUP($A122,K0kommunestruktur2019!$A$4:$N$425,K0kommunestruktur2020altern!C$3,FALSE)</f>
        <v>22385</v>
      </c>
      <c r="D122" s="177">
        <f>VLOOKUP($A122,K0kommunestruktur2019!$A$4:$N$425,K0kommunestruktur2020altern!D$3,FALSE)</f>
        <v>602308</v>
      </c>
      <c r="E122" s="289">
        <f>VLOOKUP($A122,K0kommunestruktur2019!$A$4:$N$425,K0kommunestruktur2020altern!E$3,FALSE)</f>
        <v>22706</v>
      </c>
      <c r="F122" s="177">
        <f>VLOOKUP($A122,K0kommunestruktur2019!$A$4:$N$425,K0kommunestruktur2020altern!F$3,FALSE)</f>
        <v>644021</v>
      </c>
      <c r="G122" s="289">
        <f>VLOOKUP($A122,K0kommunestruktur2019!$A$4:$N$425,K0kommunestruktur2020altern!G$3,FALSE)</f>
        <v>22857</v>
      </c>
      <c r="H122" s="177">
        <f>VLOOKUP($A122,K0kommunestruktur2019!$A$4:$N$425,K0kommunestruktur2020altern!H$3,FALSE)</f>
        <v>703515</v>
      </c>
      <c r="I122" s="289">
        <f>VLOOKUP($A122,K0kommunestruktur2019!$A$4:$N$425,K0kommunestruktur2020altern!I$3,FALSE)</f>
        <v>23213</v>
      </c>
      <c r="J122" s="177">
        <f>VLOOKUP($A122,K0kommunestruktur2019!$A$4:$N$425,K0kommunestruktur2020altern!J$3,FALSE)</f>
        <v>740249</v>
      </c>
      <c r="K122" s="289">
        <f>VLOOKUP($A122,K0kommunestruktur2019!$A$4:$N$425,K0kommunestruktur2020altern!K$3,FALSE)</f>
        <v>23545</v>
      </c>
      <c r="L122" s="177">
        <f>VLOOKUP($A122,K0kommunestruktur2019!$A$4:$N$425,K0kommunestruktur2020altern!L$3,FALSE)</f>
        <v>775033</v>
      </c>
      <c r="M122" s="289">
        <f>VLOOKUP($A122,K0kommunestruktur2019!$A$4:$N$425,K0kommunestruktur2020altern!M$3,FALSE)</f>
        <v>24089</v>
      </c>
      <c r="N122" s="177">
        <f>VLOOKUP($A122,K0kommunestruktur2019!$A$4:$N$425,K0kommunestruktur2020altern!N$3,FALSE)</f>
        <v>808965</v>
      </c>
      <c r="O122" s="289">
        <f>+'K20'!C122</f>
        <v>24249</v>
      </c>
      <c r="P122" s="177">
        <f>+'K20'!Z122</f>
        <v>791727</v>
      </c>
      <c r="R122" s="517"/>
    </row>
    <row r="123" spans="1:18" ht="13">
      <c r="A123" s="865">
        <v>3032</v>
      </c>
      <c r="B123" s="866" t="s">
        <v>817</v>
      </c>
      <c r="C123" s="289">
        <f>VLOOKUP($A123,K0kommunestruktur2019!$A$4:$N$425,K0kommunestruktur2020altern!C$3,FALSE)</f>
        <v>6292</v>
      </c>
      <c r="D123" s="177">
        <f>VLOOKUP($A123,K0kommunestruktur2019!$A$4:$N$425,K0kommunestruktur2020altern!D$3,FALSE)</f>
        <v>172164</v>
      </c>
      <c r="E123" s="289">
        <f>VLOOKUP($A123,K0kommunestruktur2019!$A$4:$N$425,K0kommunestruktur2020altern!E$3,FALSE)</f>
        <v>6326</v>
      </c>
      <c r="F123" s="177">
        <f>VLOOKUP($A123,K0kommunestruktur2019!$A$4:$N$425,K0kommunestruktur2020altern!F$3,FALSE)</f>
        <v>183102</v>
      </c>
      <c r="G123" s="289">
        <f>VLOOKUP($A123,K0kommunestruktur2019!$A$4:$N$425,K0kommunestruktur2020altern!G$3,FALSE)</f>
        <v>6323</v>
      </c>
      <c r="H123" s="177">
        <f>VLOOKUP($A123,K0kommunestruktur2019!$A$4:$N$425,K0kommunestruktur2020altern!H$3,FALSE)</f>
        <v>203326</v>
      </c>
      <c r="I123" s="289">
        <f>VLOOKUP($A123,K0kommunestruktur2019!$A$4:$N$425,K0kommunestruktur2020altern!I$3,FALSE)</f>
        <v>6546</v>
      </c>
      <c r="J123" s="177">
        <f>VLOOKUP($A123,K0kommunestruktur2019!$A$4:$N$425,K0kommunestruktur2020altern!J$3,FALSE)</f>
        <v>234709</v>
      </c>
      <c r="K123" s="289">
        <f>VLOOKUP($A123,K0kommunestruktur2019!$A$4:$N$425,K0kommunestruktur2020altern!K$3,FALSE)</f>
        <v>6704</v>
      </c>
      <c r="L123" s="177">
        <f>VLOOKUP($A123,K0kommunestruktur2019!$A$4:$N$425,K0kommunestruktur2020altern!L$3,FALSE)</f>
        <v>242251</v>
      </c>
      <c r="M123" s="289">
        <f>VLOOKUP($A123,K0kommunestruktur2019!$A$4:$N$425,K0kommunestruktur2020altern!M$3,FALSE)</f>
        <v>6823</v>
      </c>
      <c r="N123" s="177">
        <f>VLOOKUP($A123,K0kommunestruktur2019!$A$4:$N$425,K0kommunestruktur2020altern!N$3,FALSE)</f>
        <v>249562</v>
      </c>
      <c r="O123" s="289">
        <f>+'K20'!C123</f>
        <v>6890</v>
      </c>
      <c r="P123" s="177">
        <f>+'K20'!Z123</f>
        <v>233230</v>
      </c>
      <c r="R123" s="517"/>
    </row>
    <row r="124" spans="1:18" ht="13">
      <c r="A124" s="865">
        <v>3033</v>
      </c>
      <c r="B124" s="866" t="s">
        <v>818</v>
      </c>
      <c r="C124" s="289">
        <f>VLOOKUP($A124,K0kommunestruktur2019!$A$4:$N$425,K0kommunestruktur2020altern!C$3,FALSE)</f>
        <v>32438</v>
      </c>
      <c r="D124" s="177">
        <f>VLOOKUP($A124,K0kommunestruktur2019!$A$4:$N$425,K0kommunestruktur2020altern!D$3,FALSE)</f>
        <v>785830</v>
      </c>
      <c r="E124" s="289">
        <f>VLOOKUP($A124,K0kommunestruktur2019!$A$4:$N$425,K0kommunestruktur2020altern!E$3,FALSE)</f>
        <v>33310</v>
      </c>
      <c r="F124" s="177">
        <f>VLOOKUP($A124,K0kommunestruktur2019!$A$4:$N$425,K0kommunestruktur2020altern!F$3,FALSE)</f>
        <v>825439</v>
      </c>
      <c r="G124" s="289">
        <f>VLOOKUP($A124,K0kommunestruktur2019!$A$4:$N$425,K0kommunestruktur2020altern!G$3,FALSE)</f>
        <v>34189</v>
      </c>
      <c r="H124" s="177">
        <f>VLOOKUP($A124,K0kommunestruktur2019!$A$4:$N$425,K0kommunestruktur2020altern!H$3,FALSE)</f>
        <v>917838</v>
      </c>
      <c r="I124" s="289">
        <f>VLOOKUP($A124,K0kommunestruktur2019!$A$4:$N$425,K0kommunestruktur2020altern!I$3,FALSE)</f>
        <v>35102</v>
      </c>
      <c r="J124" s="177">
        <f>VLOOKUP($A124,K0kommunestruktur2019!$A$4:$N$425,K0kommunestruktur2020altern!J$3,FALSE)</f>
        <v>996135</v>
      </c>
      <c r="K124" s="289">
        <f>VLOOKUP($A124,K0kommunestruktur2019!$A$4:$N$425,K0kommunestruktur2020altern!K$3,FALSE)</f>
        <v>36576</v>
      </c>
      <c r="L124" s="177">
        <f>VLOOKUP($A124,K0kommunestruktur2019!$A$4:$N$425,K0kommunestruktur2020altern!L$3,FALSE)</f>
        <v>1072566</v>
      </c>
      <c r="M124" s="289">
        <f>VLOOKUP($A124,K0kommunestruktur2019!$A$4:$N$425,K0kommunestruktur2020altern!M$3,FALSE)</f>
        <v>38234</v>
      </c>
      <c r="N124" s="177">
        <f>VLOOKUP($A124,K0kommunestruktur2019!$A$4:$N$425,K0kommunestruktur2020altern!N$3,FALSE)</f>
        <v>1141275</v>
      </c>
      <c r="O124" s="289">
        <f>+'K20'!C124</f>
        <v>39625</v>
      </c>
      <c r="P124" s="177">
        <f>+'K20'!Z124</f>
        <v>1137725</v>
      </c>
      <c r="R124" s="517"/>
    </row>
    <row r="125" spans="1:18" ht="13">
      <c r="A125" s="889">
        <v>3034</v>
      </c>
      <c r="B125" s="890" t="s">
        <v>819</v>
      </c>
      <c r="C125" s="289">
        <f t="shared" ref="C125:N125" si="21">+C$457+C$458</f>
        <v>20785.583420029569</v>
      </c>
      <c r="D125" s="177">
        <f t="shared" si="21"/>
        <v>436004.51149646827</v>
      </c>
      <c r="E125" s="289">
        <f t="shared" si="21"/>
        <v>21037.866122761869</v>
      </c>
      <c r="F125" s="177">
        <f t="shared" si="21"/>
        <v>468651.22756372171</v>
      </c>
      <c r="G125" s="289">
        <f t="shared" si="21"/>
        <v>21423.872419646279</v>
      </c>
      <c r="H125" s="177">
        <f t="shared" si="21"/>
        <v>521092.27277350379</v>
      </c>
      <c r="I125" s="289">
        <f t="shared" si="21"/>
        <v>21890.028910912773</v>
      </c>
      <c r="J125" s="177">
        <f t="shared" si="21"/>
        <v>553690.02603029343</v>
      </c>
      <c r="K125" s="289">
        <f t="shared" si="21"/>
        <v>22341.6023106828</v>
      </c>
      <c r="L125" s="177">
        <f t="shared" si="21"/>
        <v>588907.48595520994</v>
      </c>
      <c r="M125" s="289">
        <f t="shared" si="21"/>
        <v>22556</v>
      </c>
      <c r="N125" s="177">
        <f t="shared" si="21"/>
        <v>615587.14047527791</v>
      </c>
      <c r="O125" s="289">
        <f>+'K20'!C125</f>
        <v>23092</v>
      </c>
      <c r="P125" s="177">
        <f>+'K20'!Z125</f>
        <v>600621</v>
      </c>
      <c r="R125" s="517"/>
    </row>
    <row r="126" spans="1:18" ht="13">
      <c r="A126" s="865">
        <v>3035</v>
      </c>
      <c r="B126" s="866" t="s">
        <v>820</v>
      </c>
      <c r="C126" s="289">
        <f>VLOOKUP($A126,K0kommunestruktur2019!$A$4:$N$425,K0kommunestruktur2020altern!C$3,FALSE)</f>
        <v>22689</v>
      </c>
      <c r="D126" s="177">
        <f>VLOOKUP($A126,K0kommunestruktur2019!$A$4:$N$425,K0kommunestruktur2020altern!D$3,FALSE)</f>
        <v>488216</v>
      </c>
      <c r="E126" s="289">
        <f>VLOOKUP($A126,K0kommunestruktur2019!$A$4:$N$425,K0kommunestruktur2020altern!E$3,FALSE)</f>
        <v>23238</v>
      </c>
      <c r="F126" s="177">
        <f>VLOOKUP($A126,K0kommunestruktur2019!$A$4:$N$425,K0kommunestruktur2020altern!F$3,FALSE)</f>
        <v>518464</v>
      </c>
      <c r="G126" s="289">
        <f>VLOOKUP($A126,K0kommunestruktur2019!$A$4:$N$425,K0kommunestruktur2020altern!G$3,FALSE)</f>
        <v>23811</v>
      </c>
      <c r="H126" s="177">
        <f>VLOOKUP($A126,K0kommunestruktur2019!$A$4:$N$425,K0kommunestruktur2020altern!H$3,FALSE)</f>
        <v>547726</v>
      </c>
      <c r="I126" s="289">
        <f>VLOOKUP($A126,K0kommunestruktur2019!$A$4:$N$425,K0kommunestruktur2020altern!I$3,FALSE)</f>
        <v>24415</v>
      </c>
      <c r="J126" s="177">
        <f>VLOOKUP($A126,K0kommunestruktur2019!$A$4:$N$425,K0kommunestruktur2020altern!J$3,FALSE)</f>
        <v>588642</v>
      </c>
      <c r="K126" s="289">
        <f>VLOOKUP($A126,K0kommunestruktur2019!$A$4:$N$425,K0kommunestruktur2020altern!K$3,FALSE)</f>
        <v>24647</v>
      </c>
      <c r="L126" s="177">
        <f>VLOOKUP($A126,K0kommunestruktur2019!$A$4:$N$425,K0kommunestruktur2020altern!L$3,FALSE)</f>
        <v>626457</v>
      </c>
      <c r="M126" s="289">
        <f>VLOOKUP($A126,K0kommunestruktur2019!$A$4:$N$425,K0kommunestruktur2020altern!M$3,FALSE)</f>
        <v>24919</v>
      </c>
      <c r="N126" s="177">
        <f>VLOOKUP($A126,K0kommunestruktur2019!$A$4:$N$425,K0kommunestruktur2020altern!N$3,FALSE)</f>
        <v>645346</v>
      </c>
      <c r="O126" s="289">
        <f>+'K20'!C126</f>
        <v>25436</v>
      </c>
      <c r="P126" s="177">
        <f>+'K20'!Z126</f>
        <v>638025</v>
      </c>
      <c r="R126" s="517"/>
    </row>
    <row r="127" spans="1:18" ht="13">
      <c r="A127" s="865">
        <v>3036</v>
      </c>
      <c r="B127" s="866" t="s">
        <v>821</v>
      </c>
      <c r="C127" s="289">
        <f>VLOOKUP($A127,K0kommunestruktur2019!$A$4:$N$425,K0kommunestruktur2020altern!C$3,FALSE)</f>
        <v>11707</v>
      </c>
      <c r="D127" s="177">
        <f>VLOOKUP($A127,K0kommunestruktur2019!$A$4:$N$425,K0kommunestruktur2020altern!D$3,FALSE)</f>
        <v>256510</v>
      </c>
      <c r="E127" s="289">
        <f>VLOOKUP($A127,K0kommunestruktur2019!$A$4:$N$425,K0kommunestruktur2020altern!E$3,FALSE)</f>
        <v>11882</v>
      </c>
      <c r="F127" s="177">
        <f>VLOOKUP($A127,K0kommunestruktur2019!$A$4:$N$425,K0kommunestruktur2020altern!F$3,FALSE)</f>
        <v>273585</v>
      </c>
      <c r="G127" s="289">
        <f>VLOOKUP($A127,K0kommunestruktur2019!$A$4:$N$425,K0kommunestruktur2020altern!G$3,FALSE)</f>
        <v>12267</v>
      </c>
      <c r="H127" s="177">
        <f>VLOOKUP($A127,K0kommunestruktur2019!$A$4:$N$425,K0kommunestruktur2020altern!H$3,FALSE)</f>
        <v>306685</v>
      </c>
      <c r="I127" s="289">
        <f>VLOOKUP($A127,K0kommunestruktur2019!$A$4:$N$425,K0kommunestruktur2020altern!I$3,FALSE)</f>
        <v>12657</v>
      </c>
      <c r="J127" s="177">
        <f>VLOOKUP($A127,K0kommunestruktur2019!$A$4:$N$425,K0kommunestruktur2020altern!J$3,FALSE)</f>
        <v>327371</v>
      </c>
      <c r="K127" s="289">
        <f>VLOOKUP($A127,K0kommunestruktur2019!$A$4:$N$425,K0kommunestruktur2020altern!K$3,FALSE)</f>
        <v>13240</v>
      </c>
      <c r="L127" s="177">
        <f>VLOOKUP($A127,K0kommunestruktur2019!$A$4:$N$425,K0kommunestruktur2020altern!L$3,FALSE)</f>
        <v>355948</v>
      </c>
      <c r="M127" s="289">
        <f>VLOOKUP($A127,K0kommunestruktur2019!$A$4:$N$425,K0kommunestruktur2020altern!M$3,FALSE)</f>
        <v>13682</v>
      </c>
      <c r="N127" s="177">
        <f>VLOOKUP($A127,K0kommunestruktur2019!$A$4:$N$425,K0kommunestruktur2020altern!N$3,FALSE)</f>
        <v>376725</v>
      </c>
      <c r="O127" s="289">
        <f>+'K20'!C127</f>
        <v>14139</v>
      </c>
      <c r="P127" s="177">
        <f>+'K20'!Z127</f>
        <v>367069</v>
      </c>
      <c r="R127" s="517"/>
    </row>
    <row r="128" spans="1:18" ht="13">
      <c r="A128" s="865">
        <v>3037</v>
      </c>
      <c r="B128" s="866" t="s">
        <v>822</v>
      </c>
      <c r="C128" s="289">
        <f>VLOOKUP($A128,K0kommunestruktur2019!$A$4:$N$425,K0kommunestruktur2020altern!C$3,FALSE)</f>
        <v>2695</v>
      </c>
      <c r="D128" s="177">
        <f>VLOOKUP($A128,K0kommunestruktur2019!$A$4:$N$425,K0kommunestruktur2020altern!D$3,FALSE)</f>
        <v>49896</v>
      </c>
      <c r="E128" s="289">
        <f>VLOOKUP($A128,K0kommunestruktur2019!$A$4:$N$425,K0kommunestruktur2020altern!E$3,FALSE)</f>
        <v>2752</v>
      </c>
      <c r="F128" s="177">
        <f>VLOOKUP($A128,K0kommunestruktur2019!$A$4:$N$425,K0kommunestruktur2020altern!F$3,FALSE)</f>
        <v>53872</v>
      </c>
      <c r="G128" s="289">
        <f>VLOOKUP($A128,K0kommunestruktur2019!$A$4:$N$425,K0kommunestruktur2020altern!G$3,FALSE)</f>
        <v>2837</v>
      </c>
      <c r="H128" s="177">
        <f>VLOOKUP($A128,K0kommunestruktur2019!$A$4:$N$425,K0kommunestruktur2020altern!H$3,FALSE)</f>
        <v>60073</v>
      </c>
      <c r="I128" s="289">
        <f>VLOOKUP($A128,K0kommunestruktur2019!$A$4:$N$425,K0kommunestruktur2020altern!I$3,FALSE)</f>
        <v>2910</v>
      </c>
      <c r="J128" s="177">
        <f>VLOOKUP($A128,K0kommunestruktur2019!$A$4:$N$425,K0kommunestruktur2020altern!J$3,FALSE)</f>
        <v>62531</v>
      </c>
      <c r="K128" s="289">
        <f>VLOOKUP($A128,K0kommunestruktur2019!$A$4:$N$425,K0kommunestruktur2020altern!K$3,FALSE)</f>
        <v>2903</v>
      </c>
      <c r="L128" s="177">
        <f>VLOOKUP($A128,K0kommunestruktur2019!$A$4:$N$425,K0kommunestruktur2020altern!L$3,FALSE)</f>
        <v>65315</v>
      </c>
      <c r="M128" s="289">
        <f>VLOOKUP($A128,K0kommunestruktur2019!$A$4:$N$425,K0kommunestruktur2020altern!M$3,FALSE)</f>
        <v>2864</v>
      </c>
      <c r="N128" s="177">
        <f>VLOOKUP($A128,K0kommunestruktur2019!$A$4:$N$425,K0kommunestruktur2020altern!N$3,FALSE)</f>
        <v>69523</v>
      </c>
      <c r="O128" s="289">
        <f>+'K20'!C128</f>
        <v>2854</v>
      </c>
      <c r="P128" s="177">
        <f>+'K20'!Z128</f>
        <v>67644</v>
      </c>
      <c r="R128" s="517"/>
    </row>
    <row r="129" spans="1:18" ht="13">
      <c r="A129" s="865">
        <v>3038</v>
      </c>
      <c r="B129" s="866" t="s">
        <v>874</v>
      </c>
      <c r="C129" s="289">
        <f>VLOOKUP($A129,K0kommunestruktur2019!$A$4:$N$425,K0kommunestruktur2020altern!C$3,FALSE)</f>
        <v>6595</v>
      </c>
      <c r="D129" s="177">
        <f>VLOOKUP($A129,K0kommunestruktur2019!$A$4:$N$425,K0kommunestruktur2020altern!D$3,FALSE)</f>
        <v>155090</v>
      </c>
      <c r="E129" s="289">
        <f>VLOOKUP($A129,K0kommunestruktur2019!$A$4:$N$425,K0kommunestruktur2020altern!E$3,FALSE)</f>
        <v>6698</v>
      </c>
      <c r="F129" s="177">
        <f>VLOOKUP($A129,K0kommunestruktur2019!$A$4:$N$425,K0kommunestruktur2020altern!F$3,FALSE)</f>
        <v>149683</v>
      </c>
      <c r="G129" s="289">
        <f>VLOOKUP($A129,K0kommunestruktur2019!$A$4:$N$425,K0kommunestruktur2020altern!G$3,FALSE)</f>
        <v>6767</v>
      </c>
      <c r="H129" s="177">
        <f>VLOOKUP($A129,K0kommunestruktur2019!$A$4:$N$425,K0kommunestruktur2020altern!H$3,FALSE)</f>
        <v>217126</v>
      </c>
      <c r="I129" s="289">
        <f>VLOOKUP($A129,K0kommunestruktur2019!$A$4:$N$425,K0kommunestruktur2020altern!I$3,FALSE)</f>
        <v>6772</v>
      </c>
      <c r="J129" s="177">
        <f>VLOOKUP($A129,K0kommunestruktur2019!$A$4:$N$425,K0kommunestruktur2020altern!J$3,FALSE)</f>
        <v>234181</v>
      </c>
      <c r="K129" s="289">
        <f>VLOOKUP($A129,K0kommunestruktur2019!$A$4:$N$425,K0kommunestruktur2020altern!K$3,FALSE)</f>
        <v>6833</v>
      </c>
      <c r="L129" s="177">
        <f>VLOOKUP($A129,K0kommunestruktur2019!$A$4:$N$425,K0kommunestruktur2020altern!L$3,FALSE)</f>
        <v>231734</v>
      </c>
      <c r="M129" s="289">
        <f>VLOOKUP($A129,K0kommunestruktur2019!$A$4:$N$425,K0kommunestruktur2020altern!M$3,FALSE)</f>
        <v>6845</v>
      </c>
      <c r="N129" s="177">
        <f>VLOOKUP($A129,K0kommunestruktur2019!$A$4:$N$425,K0kommunestruktur2020altern!N$3,FALSE)</f>
        <v>257243</v>
      </c>
      <c r="O129" s="289">
        <f>+'K20'!C129</f>
        <v>6799</v>
      </c>
      <c r="P129" s="177">
        <f>+'K20'!Z129</f>
        <v>245135</v>
      </c>
      <c r="R129" s="517"/>
    </row>
    <row r="130" spans="1:18" ht="13">
      <c r="A130" s="865">
        <v>3039</v>
      </c>
      <c r="B130" s="866" t="s">
        <v>875</v>
      </c>
      <c r="C130" s="289">
        <f>VLOOKUP($A130,K0kommunestruktur2019!$A$4:$N$425,K0kommunestruktur2020altern!C$3,FALSE)</f>
        <v>1033</v>
      </c>
      <c r="D130" s="177">
        <f>VLOOKUP($A130,K0kommunestruktur2019!$A$4:$N$425,K0kommunestruktur2020altern!D$3,FALSE)</f>
        <v>24901</v>
      </c>
      <c r="E130" s="289">
        <f>VLOOKUP($A130,K0kommunestruktur2019!$A$4:$N$425,K0kommunestruktur2020altern!E$3,FALSE)</f>
        <v>1033</v>
      </c>
      <c r="F130" s="177">
        <f>VLOOKUP($A130,K0kommunestruktur2019!$A$4:$N$425,K0kommunestruktur2020altern!F$3,FALSE)</f>
        <v>25335</v>
      </c>
      <c r="G130" s="289">
        <f>VLOOKUP($A130,K0kommunestruktur2019!$A$4:$N$425,K0kommunestruktur2020altern!G$3,FALSE)</f>
        <v>1074</v>
      </c>
      <c r="H130" s="177">
        <f>VLOOKUP($A130,K0kommunestruktur2019!$A$4:$N$425,K0kommunestruktur2020altern!H$3,FALSE)</f>
        <v>27039</v>
      </c>
      <c r="I130" s="289">
        <f>VLOOKUP($A130,K0kommunestruktur2019!$A$4:$N$425,K0kommunestruktur2020altern!I$3,FALSE)</f>
        <v>1081</v>
      </c>
      <c r="J130" s="177">
        <f>VLOOKUP($A130,K0kommunestruktur2019!$A$4:$N$425,K0kommunestruktur2020altern!J$3,FALSE)</f>
        <v>30416</v>
      </c>
      <c r="K130" s="289">
        <f>VLOOKUP($A130,K0kommunestruktur2019!$A$4:$N$425,K0kommunestruktur2020altern!K$3,FALSE)</f>
        <v>1069</v>
      </c>
      <c r="L130" s="177">
        <f>VLOOKUP($A130,K0kommunestruktur2019!$A$4:$N$425,K0kommunestruktur2020altern!L$3,FALSE)</f>
        <v>31909</v>
      </c>
      <c r="M130" s="289">
        <f>VLOOKUP($A130,K0kommunestruktur2019!$A$4:$N$425,K0kommunestruktur2020altern!M$3,FALSE)</f>
        <v>1052</v>
      </c>
      <c r="N130" s="177">
        <f>VLOOKUP($A130,K0kommunestruktur2019!$A$4:$N$425,K0kommunestruktur2020altern!N$3,FALSE)</f>
        <v>33020</v>
      </c>
      <c r="O130" s="289">
        <f>+'K20'!C130</f>
        <v>1050</v>
      </c>
      <c r="P130" s="177">
        <f>+'K20'!Z130</f>
        <v>33281</v>
      </c>
      <c r="R130" s="517"/>
    </row>
    <row r="131" spans="1:18" ht="13">
      <c r="A131" s="865">
        <v>3040</v>
      </c>
      <c r="B131" s="866" t="s">
        <v>1966</v>
      </c>
      <c r="C131" s="289">
        <f>VLOOKUP($A131,K0kommunestruktur2019!$A$4:$N$425,K0kommunestruktur2020altern!C$3,FALSE)</f>
        <v>3445</v>
      </c>
      <c r="D131" s="177">
        <f>VLOOKUP($A131,K0kommunestruktur2019!$A$4:$N$425,K0kommunestruktur2020altern!D$3,FALSE)</f>
        <v>77187</v>
      </c>
      <c r="E131" s="289">
        <f>VLOOKUP($A131,K0kommunestruktur2019!$A$4:$N$425,K0kommunestruktur2020altern!E$3,FALSE)</f>
        <v>3414</v>
      </c>
      <c r="F131" s="177">
        <f>VLOOKUP($A131,K0kommunestruktur2019!$A$4:$N$425,K0kommunestruktur2020altern!F$3,FALSE)</f>
        <v>79354</v>
      </c>
      <c r="G131" s="289">
        <f>VLOOKUP($A131,K0kommunestruktur2019!$A$4:$N$425,K0kommunestruktur2020altern!G$3,FALSE)</f>
        <v>3422</v>
      </c>
      <c r="H131" s="177">
        <f>VLOOKUP($A131,K0kommunestruktur2019!$A$4:$N$425,K0kommunestruktur2020altern!H$3,FALSE)</f>
        <v>89949</v>
      </c>
      <c r="I131" s="289">
        <f>VLOOKUP($A131,K0kommunestruktur2019!$A$4:$N$425,K0kommunestruktur2020altern!I$3,FALSE)</f>
        <v>3357</v>
      </c>
      <c r="J131" s="177">
        <f>VLOOKUP($A131,K0kommunestruktur2019!$A$4:$N$425,K0kommunestruktur2020altern!J$3,FALSE)</f>
        <v>96441</v>
      </c>
      <c r="K131" s="289">
        <f>VLOOKUP($A131,K0kommunestruktur2019!$A$4:$N$425,K0kommunestruktur2020altern!K$3,FALSE)</f>
        <v>3341</v>
      </c>
      <c r="L131" s="177">
        <f>VLOOKUP($A131,K0kommunestruktur2019!$A$4:$N$425,K0kommunestruktur2020altern!L$3,FALSE)</f>
        <v>98315</v>
      </c>
      <c r="M131" s="289">
        <f>VLOOKUP($A131,K0kommunestruktur2019!$A$4:$N$425,K0kommunestruktur2020altern!M$3,FALSE)</f>
        <v>3315</v>
      </c>
      <c r="N131" s="177">
        <f>VLOOKUP($A131,K0kommunestruktur2019!$A$4:$N$425,K0kommunestruktur2020altern!N$3,FALSE)</f>
        <v>101815</v>
      </c>
      <c r="O131" s="289">
        <f>+'K20'!C131</f>
        <v>3273</v>
      </c>
      <c r="P131" s="177">
        <f>+'K20'!Z131</f>
        <v>98036</v>
      </c>
      <c r="R131" s="517"/>
    </row>
    <row r="132" spans="1:18" ht="13">
      <c r="A132" s="865">
        <v>3041</v>
      </c>
      <c r="B132" s="866" t="s">
        <v>876</v>
      </c>
      <c r="C132" s="289">
        <f>VLOOKUP($A132,K0kommunestruktur2019!$A$4:$N$425,K0kommunestruktur2020altern!C$3,FALSE)</f>
        <v>4631</v>
      </c>
      <c r="D132" s="177">
        <f>VLOOKUP($A132,K0kommunestruktur2019!$A$4:$N$425,K0kommunestruktur2020altern!D$3,FALSE)</f>
        <v>112440</v>
      </c>
      <c r="E132" s="289">
        <f>VLOOKUP($A132,K0kommunestruktur2019!$A$4:$N$425,K0kommunestruktur2020altern!E$3,FALSE)</f>
        <v>4588</v>
      </c>
      <c r="F132" s="177">
        <f>VLOOKUP($A132,K0kommunestruktur2019!$A$4:$N$425,K0kommunestruktur2020altern!F$3,FALSE)</f>
        <v>114168</v>
      </c>
      <c r="G132" s="289">
        <f>VLOOKUP($A132,K0kommunestruktur2019!$A$4:$N$425,K0kommunestruktur2020altern!G$3,FALSE)</f>
        <v>4578</v>
      </c>
      <c r="H132" s="177">
        <f>VLOOKUP($A132,K0kommunestruktur2019!$A$4:$N$425,K0kommunestruktur2020altern!H$3,FALSE)</f>
        <v>123586</v>
      </c>
      <c r="I132" s="289">
        <f>VLOOKUP($A132,K0kommunestruktur2019!$A$4:$N$425,K0kommunestruktur2020altern!I$3,FALSE)</f>
        <v>4612</v>
      </c>
      <c r="J132" s="177">
        <f>VLOOKUP($A132,K0kommunestruktur2019!$A$4:$N$425,K0kommunestruktur2020altern!J$3,FALSE)</f>
        <v>132260</v>
      </c>
      <c r="K132" s="289">
        <f>VLOOKUP($A132,K0kommunestruktur2019!$A$4:$N$425,K0kommunestruktur2020altern!K$3,FALSE)</f>
        <v>4566</v>
      </c>
      <c r="L132" s="177">
        <f>VLOOKUP($A132,K0kommunestruktur2019!$A$4:$N$425,K0kommunestruktur2020altern!L$3,FALSE)</f>
        <v>141637</v>
      </c>
      <c r="M132" s="289">
        <f>VLOOKUP($A132,K0kommunestruktur2019!$A$4:$N$425,K0kommunestruktur2020altern!M$3,FALSE)</f>
        <v>4576</v>
      </c>
      <c r="N132" s="177">
        <f>VLOOKUP($A132,K0kommunestruktur2019!$A$4:$N$425,K0kommunestruktur2020altern!N$3,FALSE)</f>
        <v>143094</v>
      </c>
      <c r="O132" s="289">
        <f>+'K20'!C132</f>
        <v>4608</v>
      </c>
      <c r="P132" s="177">
        <f>+'K20'!Z132</f>
        <v>143937</v>
      </c>
      <c r="R132" s="517"/>
    </row>
    <row r="133" spans="1:18" ht="13">
      <c r="A133" s="865">
        <v>3042</v>
      </c>
      <c r="B133" s="866" t="s">
        <v>877</v>
      </c>
      <c r="C133" s="289">
        <f>VLOOKUP($A133,K0kommunestruktur2019!$A$4:$N$425,K0kommunestruktur2020altern!C$3,FALSE)</f>
        <v>2295</v>
      </c>
      <c r="D133" s="177">
        <f>VLOOKUP($A133,K0kommunestruktur2019!$A$4:$N$425,K0kommunestruktur2020altern!D$3,FALSE)</f>
        <v>60492</v>
      </c>
      <c r="E133" s="289">
        <f>VLOOKUP($A133,K0kommunestruktur2019!$A$4:$N$425,K0kommunestruktur2020altern!E$3,FALSE)</f>
        <v>2344</v>
      </c>
      <c r="F133" s="177">
        <f>VLOOKUP($A133,K0kommunestruktur2019!$A$4:$N$425,K0kommunestruktur2020altern!F$3,FALSE)</f>
        <v>64349</v>
      </c>
      <c r="G133" s="289">
        <f>VLOOKUP($A133,K0kommunestruktur2019!$A$4:$N$425,K0kommunestruktur2020altern!G$3,FALSE)</f>
        <v>2422</v>
      </c>
      <c r="H133" s="177">
        <f>VLOOKUP($A133,K0kommunestruktur2019!$A$4:$N$425,K0kommunestruktur2020altern!H$3,FALSE)</f>
        <v>69719</v>
      </c>
      <c r="I133" s="289">
        <f>VLOOKUP($A133,K0kommunestruktur2019!$A$4:$N$425,K0kommunestruktur2020altern!I$3,FALSE)</f>
        <v>2442</v>
      </c>
      <c r="J133" s="177">
        <f>VLOOKUP($A133,K0kommunestruktur2019!$A$4:$N$425,K0kommunestruktur2020altern!J$3,FALSE)</f>
        <v>76758</v>
      </c>
      <c r="K133" s="289">
        <f>VLOOKUP($A133,K0kommunestruktur2019!$A$4:$N$425,K0kommunestruktur2020altern!K$3,FALSE)</f>
        <v>2457</v>
      </c>
      <c r="L133" s="177">
        <f>VLOOKUP($A133,K0kommunestruktur2019!$A$4:$N$425,K0kommunestruktur2020altern!L$3,FALSE)</f>
        <v>84916</v>
      </c>
      <c r="M133" s="289">
        <f>VLOOKUP($A133,K0kommunestruktur2019!$A$4:$N$425,K0kommunestruktur2020altern!M$3,FALSE)</f>
        <v>2481</v>
      </c>
      <c r="N133" s="177">
        <f>VLOOKUP($A133,K0kommunestruktur2019!$A$4:$N$425,K0kommunestruktur2020altern!N$3,FALSE)</f>
        <v>89794</v>
      </c>
      <c r="O133" s="289">
        <f>+'K20'!C133</f>
        <v>2486</v>
      </c>
      <c r="P133" s="177">
        <f>+'K20'!Z133</f>
        <v>97800</v>
      </c>
      <c r="R133" s="517"/>
    </row>
    <row r="134" spans="1:18" ht="13">
      <c r="A134" s="865">
        <v>3043</v>
      </c>
      <c r="B134" s="866" t="s">
        <v>878</v>
      </c>
      <c r="C134" s="289">
        <f>VLOOKUP($A134,K0kommunestruktur2019!$A$4:$N$425,K0kommunestruktur2020altern!C$3,FALSE)</f>
        <v>4713</v>
      </c>
      <c r="D134" s="177">
        <f>VLOOKUP($A134,K0kommunestruktur2019!$A$4:$N$425,K0kommunestruktur2020altern!D$3,FALSE)</f>
        <v>112935</v>
      </c>
      <c r="E134" s="289">
        <f>VLOOKUP($A134,K0kommunestruktur2019!$A$4:$N$425,K0kommunestruktur2020altern!E$3,FALSE)</f>
        <v>4716</v>
      </c>
      <c r="F134" s="177">
        <f>VLOOKUP($A134,K0kommunestruktur2019!$A$4:$N$425,K0kommunestruktur2020altern!F$3,FALSE)</f>
        <v>119963</v>
      </c>
      <c r="G134" s="289">
        <f>VLOOKUP($A134,K0kommunestruktur2019!$A$4:$N$425,K0kommunestruktur2020altern!G$3,FALSE)</f>
        <v>4711</v>
      </c>
      <c r="H134" s="177">
        <f>VLOOKUP($A134,K0kommunestruktur2019!$A$4:$N$425,K0kommunestruktur2020altern!H$3,FALSE)</f>
        <v>129347</v>
      </c>
      <c r="I134" s="289">
        <f>VLOOKUP($A134,K0kommunestruktur2019!$A$4:$N$425,K0kommunestruktur2020altern!I$3,FALSE)</f>
        <v>4719</v>
      </c>
      <c r="J134" s="177">
        <f>VLOOKUP($A134,K0kommunestruktur2019!$A$4:$N$425,K0kommunestruktur2020altern!J$3,FALSE)</f>
        <v>138427</v>
      </c>
      <c r="K134" s="289">
        <f>VLOOKUP($A134,K0kommunestruktur2019!$A$4:$N$425,K0kommunestruktur2020altern!K$3,FALSE)</f>
        <v>4626</v>
      </c>
      <c r="L134" s="177">
        <f>VLOOKUP($A134,K0kommunestruktur2019!$A$4:$N$425,K0kommunestruktur2020altern!L$3,FALSE)</f>
        <v>141581</v>
      </c>
      <c r="M134" s="289">
        <f>VLOOKUP($A134,K0kommunestruktur2019!$A$4:$N$425,K0kommunestruktur2020altern!M$3,FALSE)</f>
        <v>4671</v>
      </c>
      <c r="N134" s="177">
        <f>VLOOKUP($A134,K0kommunestruktur2019!$A$4:$N$425,K0kommunestruktur2020altern!N$3,FALSE)</f>
        <v>146024</v>
      </c>
      <c r="O134" s="289">
        <f>+'K20'!C134</f>
        <v>4674</v>
      </c>
      <c r="P134" s="177">
        <f>+'K20'!Z134</f>
        <v>145042</v>
      </c>
      <c r="R134" s="517"/>
    </row>
    <row r="135" spans="1:18" ht="13">
      <c r="A135" s="865">
        <v>3044</v>
      </c>
      <c r="B135" s="866" t="s">
        <v>880</v>
      </c>
      <c r="C135" s="289">
        <f>VLOOKUP($A135,K0kommunestruktur2019!$A$4:$N$425,K0kommunestruktur2020altern!C$3,FALSE)</f>
        <v>4452</v>
      </c>
      <c r="D135" s="177">
        <f>VLOOKUP($A135,K0kommunestruktur2019!$A$4:$N$425,K0kommunestruktur2020altern!D$3,FALSE)</f>
        <v>141469</v>
      </c>
      <c r="E135" s="289">
        <f>VLOOKUP($A135,K0kommunestruktur2019!$A$4:$N$425,K0kommunestruktur2020altern!E$3,FALSE)</f>
        <v>4471</v>
      </c>
      <c r="F135" s="177">
        <f>VLOOKUP($A135,K0kommunestruktur2019!$A$4:$N$425,K0kommunestruktur2020altern!F$3,FALSE)</f>
        <v>150303</v>
      </c>
      <c r="G135" s="289">
        <f>VLOOKUP($A135,K0kommunestruktur2019!$A$4:$N$425,K0kommunestruktur2020altern!G$3,FALSE)</f>
        <v>4497</v>
      </c>
      <c r="H135" s="177">
        <f>VLOOKUP($A135,K0kommunestruktur2019!$A$4:$N$425,K0kommunestruktur2020altern!H$3,FALSE)</f>
        <v>163835</v>
      </c>
      <c r="I135" s="289">
        <f>VLOOKUP($A135,K0kommunestruktur2019!$A$4:$N$425,K0kommunestruktur2020altern!I$3,FALSE)</f>
        <v>4535</v>
      </c>
      <c r="J135" s="177">
        <f>VLOOKUP($A135,K0kommunestruktur2019!$A$4:$N$425,K0kommunestruktur2020altern!J$3,FALSE)</f>
        <v>174624</v>
      </c>
      <c r="K135" s="289">
        <f>VLOOKUP($A135,K0kommunestruktur2019!$A$4:$N$425,K0kommunestruktur2020altern!K$3,FALSE)</f>
        <v>4520</v>
      </c>
      <c r="L135" s="177">
        <f>VLOOKUP($A135,K0kommunestruktur2019!$A$4:$N$425,K0kommunestruktur2020altern!L$3,FALSE)</f>
        <v>178343</v>
      </c>
      <c r="M135" s="289">
        <f>VLOOKUP($A135,K0kommunestruktur2019!$A$4:$N$425,K0kommunestruktur2020altern!M$3,FALSE)</f>
        <v>4473</v>
      </c>
      <c r="N135" s="177">
        <f>VLOOKUP($A135,K0kommunestruktur2019!$A$4:$N$425,K0kommunestruktur2020altern!N$3,FALSE)</f>
        <v>199023</v>
      </c>
      <c r="O135" s="289">
        <f>+'K20'!C135</f>
        <v>4441</v>
      </c>
      <c r="P135" s="177">
        <f>+'K20'!Z135</f>
        <v>194493</v>
      </c>
      <c r="R135" s="517"/>
    </row>
    <row r="136" spans="1:18" ht="13">
      <c r="A136" s="865">
        <v>3045</v>
      </c>
      <c r="B136" s="866" t="s">
        <v>881</v>
      </c>
      <c r="C136" s="289">
        <f>VLOOKUP($A136,K0kommunestruktur2019!$A$4:$N$425,K0kommunestruktur2020altern!C$3,FALSE)</f>
        <v>3509</v>
      </c>
      <c r="D136" s="177">
        <f>VLOOKUP($A136,K0kommunestruktur2019!$A$4:$N$425,K0kommunestruktur2020altern!D$3,FALSE)</f>
        <v>84796</v>
      </c>
      <c r="E136" s="289">
        <f>VLOOKUP($A136,K0kommunestruktur2019!$A$4:$N$425,K0kommunestruktur2020altern!E$3,FALSE)</f>
        <v>3520</v>
      </c>
      <c r="F136" s="177">
        <f>VLOOKUP($A136,K0kommunestruktur2019!$A$4:$N$425,K0kommunestruktur2020altern!F$3,FALSE)</f>
        <v>87162</v>
      </c>
      <c r="G136" s="289">
        <f>VLOOKUP($A136,K0kommunestruktur2019!$A$4:$N$425,K0kommunestruktur2020altern!G$3,FALSE)</f>
        <v>3512</v>
      </c>
      <c r="H136" s="177">
        <f>VLOOKUP($A136,K0kommunestruktur2019!$A$4:$N$425,K0kommunestruktur2020altern!H$3,FALSE)</f>
        <v>106580</v>
      </c>
      <c r="I136" s="289">
        <f>VLOOKUP($A136,K0kommunestruktur2019!$A$4:$N$425,K0kommunestruktur2020altern!I$3,FALSE)</f>
        <v>3502</v>
      </c>
      <c r="J136" s="177">
        <f>VLOOKUP($A136,K0kommunestruktur2019!$A$4:$N$425,K0kommunestruktur2020altern!J$3,FALSE)</f>
        <v>102587</v>
      </c>
      <c r="K136" s="289">
        <f>VLOOKUP($A136,K0kommunestruktur2019!$A$4:$N$425,K0kommunestruktur2020altern!K$3,FALSE)</f>
        <v>3488</v>
      </c>
      <c r="L136" s="177">
        <f>VLOOKUP($A136,K0kommunestruktur2019!$A$4:$N$425,K0kommunestruktur2020altern!L$3,FALSE)</f>
        <v>98498</v>
      </c>
      <c r="M136" s="289">
        <f>VLOOKUP($A136,K0kommunestruktur2019!$A$4:$N$425,K0kommunestruktur2020altern!M$3,FALSE)</f>
        <v>3490</v>
      </c>
      <c r="N136" s="177">
        <f>VLOOKUP($A136,K0kommunestruktur2019!$A$4:$N$425,K0kommunestruktur2020altern!N$3,FALSE)</f>
        <v>106548</v>
      </c>
      <c r="O136" s="289">
        <f>+'K20'!C136</f>
        <v>3467</v>
      </c>
      <c r="P136" s="177">
        <f>+'K20'!Z136</f>
        <v>105568</v>
      </c>
      <c r="R136" s="517"/>
    </row>
    <row r="137" spans="1:18" ht="13">
      <c r="A137" s="865">
        <v>3046</v>
      </c>
      <c r="B137" s="866" t="s">
        <v>882</v>
      </c>
      <c r="C137" s="289">
        <f>VLOOKUP($A137,K0kommunestruktur2019!$A$4:$N$425,K0kommunestruktur2020altern!C$3,FALSE)</f>
        <v>2265</v>
      </c>
      <c r="D137" s="177">
        <f>VLOOKUP($A137,K0kommunestruktur2019!$A$4:$N$425,K0kommunestruktur2020altern!D$3,FALSE)</f>
        <v>56801</v>
      </c>
      <c r="E137" s="289">
        <f>VLOOKUP($A137,K0kommunestruktur2019!$A$4:$N$425,K0kommunestruktur2020altern!E$3,FALSE)</f>
        <v>2268</v>
      </c>
      <c r="F137" s="177">
        <f>VLOOKUP($A137,K0kommunestruktur2019!$A$4:$N$425,K0kommunestruktur2020altern!F$3,FALSE)</f>
        <v>62344</v>
      </c>
      <c r="G137" s="289">
        <f>VLOOKUP($A137,K0kommunestruktur2019!$A$4:$N$425,K0kommunestruktur2020altern!G$3,FALSE)</f>
        <v>2275</v>
      </c>
      <c r="H137" s="177">
        <f>VLOOKUP($A137,K0kommunestruktur2019!$A$4:$N$425,K0kommunestruktur2020altern!H$3,FALSE)</f>
        <v>67497</v>
      </c>
      <c r="I137" s="289">
        <f>VLOOKUP($A137,K0kommunestruktur2019!$A$4:$N$425,K0kommunestruktur2020altern!I$3,FALSE)</f>
        <v>2257</v>
      </c>
      <c r="J137" s="177">
        <f>VLOOKUP($A137,K0kommunestruktur2019!$A$4:$N$425,K0kommunestruktur2020altern!J$3,FALSE)</f>
        <v>71317</v>
      </c>
      <c r="K137" s="289">
        <f>VLOOKUP($A137,K0kommunestruktur2019!$A$4:$N$425,K0kommunestruktur2020altern!K$3,FALSE)</f>
        <v>2277</v>
      </c>
      <c r="L137" s="177">
        <f>VLOOKUP($A137,K0kommunestruktur2019!$A$4:$N$425,K0kommunestruktur2020altern!L$3,FALSE)</f>
        <v>72970</v>
      </c>
      <c r="M137" s="289">
        <f>VLOOKUP($A137,K0kommunestruktur2019!$A$4:$N$425,K0kommunestruktur2020altern!M$3,FALSE)</f>
        <v>2239</v>
      </c>
      <c r="N137" s="177">
        <f>VLOOKUP($A137,K0kommunestruktur2019!$A$4:$N$425,K0kommunestruktur2020altern!N$3,FALSE)</f>
        <v>75843</v>
      </c>
      <c r="O137" s="289">
        <f>+'K20'!C137</f>
        <v>2212</v>
      </c>
      <c r="P137" s="177">
        <f>+'K20'!Z137</f>
        <v>74912</v>
      </c>
      <c r="R137" s="517"/>
    </row>
    <row r="138" spans="1:18" ht="13">
      <c r="A138" s="865">
        <v>3047</v>
      </c>
      <c r="B138" s="866" t="s">
        <v>883</v>
      </c>
      <c r="C138" s="289">
        <f>VLOOKUP($A138,K0kommunestruktur2019!$A$4:$N$425,K0kommunestruktur2020altern!C$3,FALSE)</f>
        <v>13581</v>
      </c>
      <c r="D138" s="177">
        <f>VLOOKUP($A138,K0kommunestruktur2019!$A$4:$N$425,K0kommunestruktur2020altern!D$3,FALSE)</f>
        <v>292072</v>
      </c>
      <c r="E138" s="289">
        <f>VLOOKUP($A138,K0kommunestruktur2019!$A$4:$N$425,K0kommunestruktur2020altern!E$3,FALSE)</f>
        <v>13685</v>
      </c>
      <c r="F138" s="177">
        <f>VLOOKUP($A138,K0kommunestruktur2019!$A$4:$N$425,K0kommunestruktur2020altern!F$3,FALSE)</f>
        <v>305637</v>
      </c>
      <c r="G138" s="289">
        <f>VLOOKUP($A138,K0kommunestruktur2019!$A$4:$N$425,K0kommunestruktur2020altern!G$3,FALSE)</f>
        <v>13794</v>
      </c>
      <c r="H138" s="177">
        <f>VLOOKUP($A138,K0kommunestruktur2019!$A$4:$N$425,K0kommunestruktur2020altern!H$3,FALSE)</f>
        <v>341123</v>
      </c>
      <c r="I138" s="289">
        <f>VLOOKUP($A138,K0kommunestruktur2019!$A$4:$N$425,K0kommunestruktur2020altern!I$3,FALSE)</f>
        <v>13786</v>
      </c>
      <c r="J138" s="177">
        <f>VLOOKUP($A138,K0kommunestruktur2019!$A$4:$N$425,K0kommunestruktur2020altern!J$3,FALSE)</f>
        <v>349911</v>
      </c>
      <c r="K138" s="289">
        <f>VLOOKUP($A138,K0kommunestruktur2019!$A$4:$N$425,K0kommunestruktur2020altern!K$3,FALSE)</f>
        <v>13880</v>
      </c>
      <c r="L138" s="177">
        <f>VLOOKUP($A138,K0kommunestruktur2019!$A$4:$N$425,K0kommunestruktur2020altern!L$3,FALSE)</f>
        <v>373875</v>
      </c>
      <c r="M138" s="289">
        <f>VLOOKUP($A138,K0kommunestruktur2019!$A$4:$N$425,K0kommunestruktur2020altern!M$3,FALSE)</f>
        <v>13980</v>
      </c>
      <c r="N138" s="177">
        <f>VLOOKUP($A138,K0kommunestruktur2019!$A$4:$N$425,K0kommunestruktur2020altern!N$3,FALSE)</f>
        <v>389481</v>
      </c>
      <c r="O138" s="289">
        <f>+'K20'!C138</f>
        <v>14115</v>
      </c>
      <c r="P138" s="177">
        <f>+'K20'!Z138</f>
        <v>366401</v>
      </c>
      <c r="R138" s="517"/>
    </row>
    <row r="139" spans="1:18" ht="13">
      <c r="A139" s="865">
        <v>3048</v>
      </c>
      <c r="B139" s="866" t="s">
        <v>884</v>
      </c>
      <c r="C139" s="289">
        <f>VLOOKUP($A139,K0kommunestruktur2019!$A$4:$N$425,K0kommunestruktur2020altern!C$3,FALSE)</f>
        <v>17919</v>
      </c>
      <c r="D139" s="177">
        <f>VLOOKUP($A139,K0kommunestruktur2019!$A$4:$N$425,K0kommunestruktur2020altern!D$3,FALSE)</f>
        <v>404166</v>
      </c>
      <c r="E139" s="289">
        <f>VLOOKUP($A139,K0kommunestruktur2019!$A$4:$N$425,K0kommunestruktur2020altern!E$3,FALSE)</f>
        <v>18039</v>
      </c>
      <c r="F139" s="177">
        <f>VLOOKUP($A139,K0kommunestruktur2019!$A$4:$N$425,K0kommunestruktur2020altern!F$3,FALSE)</f>
        <v>436278</v>
      </c>
      <c r="G139" s="289">
        <f>VLOOKUP($A139,K0kommunestruktur2019!$A$4:$N$425,K0kommunestruktur2020altern!G$3,FALSE)</f>
        <v>18205</v>
      </c>
      <c r="H139" s="177">
        <f>VLOOKUP($A139,K0kommunestruktur2019!$A$4:$N$425,K0kommunestruktur2020altern!H$3,FALSE)</f>
        <v>475477</v>
      </c>
      <c r="I139" s="289">
        <f>VLOOKUP($A139,K0kommunestruktur2019!$A$4:$N$425,K0kommunestruktur2020altern!I$3,FALSE)</f>
        <v>18562</v>
      </c>
      <c r="J139" s="177">
        <f>VLOOKUP($A139,K0kommunestruktur2019!$A$4:$N$425,K0kommunestruktur2020altern!J$3,FALSE)</f>
        <v>512095</v>
      </c>
      <c r="K139" s="289">
        <f>VLOOKUP($A139,K0kommunestruktur2019!$A$4:$N$425,K0kommunestruktur2020altern!K$3,FALSE)</f>
        <v>18926</v>
      </c>
      <c r="L139" s="177">
        <f>VLOOKUP($A139,K0kommunestruktur2019!$A$4:$N$425,K0kommunestruktur2020altern!L$3,FALSE)</f>
        <v>525047</v>
      </c>
      <c r="M139" s="289">
        <f>VLOOKUP($A139,K0kommunestruktur2019!$A$4:$N$425,K0kommunestruktur2020altern!M$3,FALSE)</f>
        <v>19117</v>
      </c>
      <c r="N139" s="177">
        <f>VLOOKUP($A139,K0kommunestruktur2019!$A$4:$N$425,K0kommunestruktur2020altern!N$3,FALSE)</f>
        <v>555986</v>
      </c>
      <c r="O139" s="289">
        <f>+'K20'!C139</f>
        <v>19423</v>
      </c>
      <c r="P139" s="177">
        <f>+'K20'!Z139</f>
        <v>573811</v>
      </c>
      <c r="R139" s="517"/>
    </row>
    <row r="140" spans="1:18" ht="13">
      <c r="A140" s="865">
        <v>3049</v>
      </c>
      <c r="B140" s="866" t="s">
        <v>886</v>
      </c>
      <c r="C140" s="289">
        <f>VLOOKUP($A140,K0kommunestruktur2019!$A$4:$N$425,K0kommunestruktur2020altern!C$3,FALSE)</f>
        <v>25175</v>
      </c>
      <c r="D140" s="177">
        <f>VLOOKUP($A140,K0kommunestruktur2019!$A$4:$N$425,K0kommunestruktur2020altern!D$3,FALSE)</f>
        <v>692154</v>
      </c>
      <c r="E140" s="289">
        <f>VLOOKUP($A140,K0kommunestruktur2019!$A$4:$N$425,K0kommunestruktur2020altern!E$3,FALSE)</f>
        <v>25378</v>
      </c>
      <c r="F140" s="177">
        <f>VLOOKUP($A140,K0kommunestruktur2019!$A$4:$N$425,K0kommunestruktur2020altern!F$3,FALSE)</f>
        <v>737381</v>
      </c>
      <c r="G140" s="289">
        <f>VLOOKUP($A140,K0kommunestruktur2019!$A$4:$N$425,K0kommunestruktur2020altern!G$3,FALSE)</f>
        <v>25731</v>
      </c>
      <c r="H140" s="177">
        <f>VLOOKUP($A140,K0kommunestruktur2019!$A$4:$N$425,K0kommunestruktur2020altern!H$3,FALSE)</f>
        <v>817486</v>
      </c>
      <c r="I140" s="289">
        <f>VLOOKUP($A140,K0kommunestruktur2019!$A$4:$N$425,K0kommunestruktur2020altern!I$3,FALSE)</f>
        <v>25740</v>
      </c>
      <c r="J140" s="177">
        <f>VLOOKUP($A140,K0kommunestruktur2019!$A$4:$N$425,K0kommunestruktur2020altern!J$3,FALSE)</f>
        <v>854427</v>
      </c>
      <c r="K140" s="289">
        <f>VLOOKUP($A140,K0kommunestruktur2019!$A$4:$N$425,K0kommunestruktur2020altern!K$3,FALSE)</f>
        <v>25980</v>
      </c>
      <c r="L140" s="177">
        <f>VLOOKUP($A140,K0kommunestruktur2019!$A$4:$N$425,K0kommunestruktur2020altern!L$3,FALSE)</f>
        <v>880691</v>
      </c>
      <c r="M140" s="289">
        <f>VLOOKUP($A140,K0kommunestruktur2019!$A$4:$N$425,K0kommunestruktur2020altern!M$3,FALSE)</f>
        <v>26373</v>
      </c>
      <c r="N140" s="177">
        <f>VLOOKUP($A140,K0kommunestruktur2019!$A$4:$N$425,K0kommunestruktur2020altern!N$3,FALSE)</f>
        <v>925263</v>
      </c>
      <c r="O140" s="289">
        <f>+'K20'!C140</f>
        <v>26811</v>
      </c>
      <c r="P140" s="177">
        <f>+'K20'!Z140</f>
        <v>941550</v>
      </c>
      <c r="R140" s="517"/>
    </row>
    <row r="141" spans="1:18" ht="13">
      <c r="A141" s="865">
        <v>3050</v>
      </c>
      <c r="B141" s="866" t="s">
        <v>889</v>
      </c>
      <c r="C141" s="289">
        <f>VLOOKUP($A141,K0kommunestruktur2019!$A$4:$N$425,K0kommunestruktur2020altern!C$3,FALSE)</f>
        <v>2683</v>
      </c>
      <c r="D141" s="177">
        <f>VLOOKUP($A141,K0kommunestruktur2019!$A$4:$N$425,K0kommunestruktur2020altern!D$3,FALSE)</f>
        <v>61223</v>
      </c>
      <c r="E141" s="289">
        <f>VLOOKUP($A141,K0kommunestruktur2019!$A$4:$N$425,K0kommunestruktur2020altern!E$3,FALSE)</f>
        <v>2671</v>
      </c>
      <c r="F141" s="177">
        <f>VLOOKUP($A141,K0kommunestruktur2019!$A$4:$N$425,K0kommunestruktur2020altern!F$3,FALSE)</f>
        <v>64103</v>
      </c>
      <c r="G141" s="289">
        <f>VLOOKUP($A141,K0kommunestruktur2019!$A$4:$N$425,K0kommunestruktur2020altern!G$3,FALSE)</f>
        <v>2699</v>
      </c>
      <c r="H141" s="177">
        <f>VLOOKUP($A141,K0kommunestruktur2019!$A$4:$N$425,K0kommunestruktur2020altern!H$3,FALSE)</f>
        <v>70327</v>
      </c>
      <c r="I141" s="289">
        <f>VLOOKUP($A141,K0kommunestruktur2019!$A$4:$N$425,K0kommunestruktur2020altern!I$3,FALSE)</f>
        <v>2696</v>
      </c>
      <c r="J141" s="177">
        <f>VLOOKUP($A141,K0kommunestruktur2019!$A$4:$N$425,K0kommunestruktur2020altern!J$3,FALSE)</f>
        <v>71305</v>
      </c>
      <c r="K141" s="289">
        <f>VLOOKUP($A141,K0kommunestruktur2019!$A$4:$N$425,K0kommunestruktur2020altern!K$3,FALSE)</f>
        <v>2688</v>
      </c>
      <c r="L141" s="177">
        <f>VLOOKUP($A141,K0kommunestruktur2019!$A$4:$N$425,K0kommunestruktur2020altern!L$3,FALSE)</f>
        <v>75809</v>
      </c>
      <c r="M141" s="289">
        <f>VLOOKUP($A141,K0kommunestruktur2019!$A$4:$N$425,K0kommunestruktur2020altern!M$3,FALSE)</f>
        <v>2694</v>
      </c>
      <c r="N141" s="177">
        <f>VLOOKUP($A141,K0kommunestruktur2019!$A$4:$N$425,K0kommunestruktur2020altern!N$3,FALSE)</f>
        <v>84542</v>
      </c>
      <c r="O141" s="289">
        <f>+'K20'!C141</f>
        <v>2688</v>
      </c>
      <c r="P141" s="177">
        <f>+'K20'!Z141</f>
        <v>83208</v>
      </c>
      <c r="R141" s="517"/>
    </row>
    <row r="142" spans="1:18" ht="13">
      <c r="A142" s="865">
        <v>3051</v>
      </c>
      <c r="B142" s="866" t="s">
        <v>890</v>
      </c>
      <c r="C142" s="289">
        <f>VLOOKUP($A142,K0kommunestruktur2019!$A$4:$N$425,K0kommunestruktur2020altern!C$3,FALSE)</f>
        <v>1369</v>
      </c>
      <c r="D142" s="177">
        <f>VLOOKUP($A142,K0kommunestruktur2019!$A$4:$N$425,K0kommunestruktur2020altern!D$3,FALSE)</f>
        <v>33041</v>
      </c>
      <c r="E142" s="289">
        <f>VLOOKUP($A142,K0kommunestruktur2019!$A$4:$N$425,K0kommunestruktur2020altern!E$3,FALSE)</f>
        <v>1375</v>
      </c>
      <c r="F142" s="177">
        <f>VLOOKUP($A142,K0kommunestruktur2019!$A$4:$N$425,K0kommunestruktur2020altern!F$3,FALSE)</f>
        <v>33997</v>
      </c>
      <c r="G142" s="289">
        <f>VLOOKUP($A142,K0kommunestruktur2019!$A$4:$N$425,K0kommunestruktur2020altern!G$3,FALSE)</f>
        <v>1404</v>
      </c>
      <c r="H142" s="177">
        <f>VLOOKUP($A142,K0kommunestruktur2019!$A$4:$N$425,K0kommunestruktur2020altern!H$3,FALSE)</f>
        <v>35626</v>
      </c>
      <c r="I142" s="289">
        <f>VLOOKUP($A142,K0kommunestruktur2019!$A$4:$N$425,K0kommunestruktur2020altern!I$3,FALSE)</f>
        <v>1399</v>
      </c>
      <c r="J142" s="177">
        <f>VLOOKUP($A142,K0kommunestruktur2019!$A$4:$N$425,K0kommunestruktur2020altern!J$3,FALSE)</f>
        <v>38046</v>
      </c>
      <c r="K142" s="289">
        <f>VLOOKUP($A142,K0kommunestruktur2019!$A$4:$N$425,K0kommunestruktur2020altern!K$3,FALSE)</f>
        <v>1411</v>
      </c>
      <c r="L142" s="177">
        <f>VLOOKUP($A142,K0kommunestruktur2019!$A$4:$N$425,K0kommunestruktur2020altern!L$3,FALSE)</f>
        <v>41136</v>
      </c>
      <c r="M142" s="289">
        <f>VLOOKUP($A142,K0kommunestruktur2019!$A$4:$N$425,K0kommunestruktur2020altern!M$3,FALSE)</f>
        <v>1419</v>
      </c>
      <c r="N142" s="177">
        <f>VLOOKUP($A142,K0kommunestruktur2019!$A$4:$N$425,K0kommunestruktur2020altern!N$3,FALSE)</f>
        <v>41486</v>
      </c>
      <c r="O142" s="289">
        <f>+'K20'!C142</f>
        <v>1390</v>
      </c>
      <c r="P142" s="177">
        <f>+'K20'!Z142</f>
        <v>39387</v>
      </c>
      <c r="R142" s="517"/>
    </row>
    <row r="143" spans="1:18" ht="13">
      <c r="A143" s="865">
        <v>3052</v>
      </c>
      <c r="B143" s="866" t="s">
        <v>891</v>
      </c>
      <c r="C143" s="289">
        <f>VLOOKUP($A143,K0kommunestruktur2019!$A$4:$N$425,K0kommunestruktur2020altern!C$3,FALSE)</f>
        <v>2557</v>
      </c>
      <c r="D143" s="177">
        <f>VLOOKUP($A143,K0kommunestruktur2019!$A$4:$N$425,K0kommunestruktur2020altern!D$3,FALSE)</f>
        <v>75781</v>
      </c>
      <c r="E143" s="289">
        <f>VLOOKUP($A143,K0kommunestruktur2019!$A$4:$N$425,K0kommunestruktur2020altern!E$3,FALSE)</f>
        <v>2541</v>
      </c>
      <c r="F143" s="177">
        <f>VLOOKUP($A143,K0kommunestruktur2019!$A$4:$N$425,K0kommunestruktur2020altern!F$3,FALSE)</f>
        <v>79807</v>
      </c>
      <c r="G143" s="289">
        <f>VLOOKUP($A143,K0kommunestruktur2019!$A$4:$N$425,K0kommunestruktur2020altern!G$3,FALSE)</f>
        <v>2548</v>
      </c>
      <c r="H143" s="177">
        <f>VLOOKUP($A143,K0kommunestruktur2019!$A$4:$N$425,K0kommunestruktur2020altern!H$3,FALSE)</f>
        <v>82403</v>
      </c>
      <c r="I143" s="289">
        <f>VLOOKUP($A143,K0kommunestruktur2019!$A$4:$N$425,K0kommunestruktur2020altern!I$3,FALSE)</f>
        <v>2530</v>
      </c>
      <c r="J143" s="177">
        <f>VLOOKUP($A143,K0kommunestruktur2019!$A$4:$N$425,K0kommunestruktur2020altern!J$3,FALSE)</f>
        <v>86626</v>
      </c>
      <c r="K143" s="289">
        <f>VLOOKUP($A143,K0kommunestruktur2019!$A$4:$N$425,K0kommunestruktur2020altern!K$3,FALSE)</f>
        <v>2482</v>
      </c>
      <c r="L143" s="177">
        <f>VLOOKUP($A143,K0kommunestruktur2019!$A$4:$N$425,K0kommunestruktur2020altern!L$3,FALSE)</f>
        <v>90032</v>
      </c>
      <c r="M143" s="289">
        <f>VLOOKUP($A143,K0kommunestruktur2019!$A$4:$N$425,K0kommunestruktur2020altern!M$3,FALSE)</f>
        <v>2448</v>
      </c>
      <c r="N143" s="177">
        <f>VLOOKUP($A143,K0kommunestruktur2019!$A$4:$N$425,K0kommunestruktur2020altern!N$3,FALSE)</f>
        <v>93992</v>
      </c>
      <c r="O143" s="289">
        <f>+'K20'!C143</f>
        <v>2439</v>
      </c>
      <c r="P143" s="177">
        <f>+'K20'!Z143</f>
        <v>89296</v>
      </c>
      <c r="R143" s="517"/>
    </row>
    <row r="144" spans="1:18" ht="13">
      <c r="A144" s="865">
        <v>3053</v>
      </c>
      <c r="B144" s="866" t="s">
        <v>860</v>
      </c>
      <c r="C144" s="289">
        <f>VLOOKUP($A144,K0kommunestruktur2019!$A$4:$N$425,K0kommunestruktur2020altern!C$3,FALSE)</f>
        <v>6516</v>
      </c>
      <c r="D144" s="177">
        <f>VLOOKUP($A144,K0kommunestruktur2019!$A$4:$N$425,K0kommunestruktur2020altern!D$3,FALSE)</f>
        <v>126182</v>
      </c>
      <c r="E144" s="289">
        <f>VLOOKUP($A144,K0kommunestruktur2019!$A$4:$N$425,K0kommunestruktur2020altern!E$3,FALSE)</f>
        <v>6599</v>
      </c>
      <c r="F144" s="177">
        <f>VLOOKUP($A144,K0kommunestruktur2019!$A$4:$N$425,K0kommunestruktur2020altern!F$3,FALSE)</f>
        <v>133870</v>
      </c>
      <c r="G144" s="289">
        <f>VLOOKUP($A144,K0kommunestruktur2019!$A$4:$N$425,K0kommunestruktur2020altern!G$3,FALSE)</f>
        <v>6629</v>
      </c>
      <c r="H144" s="177">
        <f>VLOOKUP($A144,K0kommunestruktur2019!$A$4:$N$425,K0kommunestruktur2020altern!H$3,FALSE)</f>
        <v>147737</v>
      </c>
      <c r="I144" s="289">
        <f>VLOOKUP($A144,K0kommunestruktur2019!$A$4:$N$425,K0kommunestruktur2020altern!I$3,FALSE)</f>
        <v>6696</v>
      </c>
      <c r="J144" s="177">
        <f>VLOOKUP($A144,K0kommunestruktur2019!$A$4:$N$425,K0kommunestruktur2020altern!J$3,FALSE)</f>
        <v>157513</v>
      </c>
      <c r="K144" s="289">
        <f>VLOOKUP($A144,K0kommunestruktur2019!$A$4:$N$425,K0kommunestruktur2020altern!K$3,FALSE)</f>
        <v>6777</v>
      </c>
      <c r="L144" s="177">
        <f>VLOOKUP($A144,K0kommunestruktur2019!$A$4:$N$425,K0kommunestruktur2020altern!L$3,FALSE)</f>
        <v>167525</v>
      </c>
      <c r="M144" s="289">
        <f>VLOOKUP($A144,K0kommunestruktur2019!$A$4:$N$425,K0kommunestruktur2020altern!M$3,FALSE)</f>
        <v>6846</v>
      </c>
      <c r="N144" s="177">
        <f>VLOOKUP($A144,K0kommunestruktur2019!$A$4:$N$425,K0kommunestruktur2020altern!N$3,FALSE)</f>
        <v>172526</v>
      </c>
      <c r="O144" s="289">
        <f>+'K20'!C144</f>
        <v>6852</v>
      </c>
      <c r="P144" s="177">
        <f>+'K20'!Z144</f>
        <v>178269</v>
      </c>
      <c r="R144" s="517"/>
    </row>
    <row r="145" spans="1:18" ht="13">
      <c r="A145" s="865">
        <v>3054</v>
      </c>
      <c r="B145" s="876" t="s">
        <v>861</v>
      </c>
      <c r="C145" s="289">
        <f>VLOOKUP($A145,K0kommunestruktur2019!$A$4:$N$425,K0kommunestruktur2020altern!C$3,FALSE)</f>
        <v>8952</v>
      </c>
      <c r="D145" s="177">
        <f>VLOOKUP($A145,K0kommunestruktur2019!$A$4:$N$425,K0kommunestruktur2020altern!D$3,FALSE)</f>
        <v>195426</v>
      </c>
      <c r="E145" s="289">
        <f>VLOOKUP($A145,K0kommunestruktur2019!$A$4:$N$425,K0kommunestruktur2020altern!E$3,FALSE)</f>
        <v>9003</v>
      </c>
      <c r="F145" s="177">
        <f>VLOOKUP($A145,K0kommunestruktur2019!$A$4:$N$425,K0kommunestruktur2020altern!F$3,FALSE)</f>
        <v>209542</v>
      </c>
      <c r="G145" s="289">
        <f>VLOOKUP($A145,K0kommunestruktur2019!$A$4:$N$425,K0kommunestruktur2020altern!G$3,FALSE)</f>
        <v>9044</v>
      </c>
      <c r="H145" s="177">
        <f>VLOOKUP($A145,K0kommunestruktur2019!$A$4:$N$425,K0kommunestruktur2020altern!H$3,FALSE)</f>
        <v>229314</v>
      </c>
      <c r="I145" s="289">
        <f>VLOOKUP($A145,K0kommunestruktur2019!$A$4:$N$425,K0kommunestruktur2020altern!I$3,FALSE)</f>
        <v>9080</v>
      </c>
      <c r="J145" s="177">
        <f>VLOOKUP($A145,K0kommunestruktur2019!$A$4:$N$425,K0kommunestruktur2020altern!J$3,FALSE)</f>
        <v>238287</v>
      </c>
      <c r="K145" s="289">
        <f>VLOOKUP($A145,K0kommunestruktur2019!$A$4:$N$425,K0kommunestruktur2020altern!K$3,FALSE)</f>
        <v>9065</v>
      </c>
      <c r="L145" s="177">
        <f>VLOOKUP($A145,K0kommunestruktur2019!$A$4:$N$425,K0kommunestruktur2020altern!L$3,FALSE)</f>
        <v>250417</v>
      </c>
      <c r="M145" s="289">
        <f>VLOOKUP($A145,K0kommunestruktur2019!$A$4:$N$425,K0kommunestruktur2020altern!M$3,FALSE)</f>
        <v>9051</v>
      </c>
      <c r="N145" s="177">
        <f>VLOOKUP($A145,K0kommunestruktur2019!$A$4:$N$425,K0kommunestruktur2020altern!N$3,FALSE)</f>
        <v>253205</v>
      </c>
      <c r="O145" s="289">
        <f>+'K20'!C145</f>
        <v>9048</v>
      </c>
      <c r="P145" s="177">
        <f>+'K20'!Z145</f>
        <v>244716</v>
      </c>
      <c r="R145" s="517"/>
    </row>
    <row r="146" spans="1:18" ht="13">
      <c r="A146" s="865">
        <v>3401</v>
      </c>
      <c r="B146" s="866" t="s">
        <v>824</v>
      </c>
      <c r="C146" s="289">
        <f>VLOOKUP($A146,K0kommunestruktur2019!$A$4:$N$425,K0kommunestruktur2020altern!C$3,FALSE)</f>
        <v>17825</v>
      </c>
      <c r="D146" s="177">
        <f>VLOOKUP($A146,K0kommunestruktur2019!$A$4:$N$425,K0kommunestruktur2020altern!D$3,FALSE)</f>
        <v>346051</v>
      </c>
      <c r="E146" s="289">
        <f>VLOOKUP($A146,K0kommunestruktur2019!$A$4:$N$425,K0kommunestruktur2020altern!E$3,FALSE)</f>
        <v>17881</v>
      </c>
      <c r="F146" s="177">
        <f>VLOOKUP($A146,K0kommunestruktur2019!$A$4:$N$425,K0kommunestruktur2020altern!F$3,FALSE)</f>
        <v>377420</v>
      </c>
      <c r="G146" s="289">
        <f>VLOOKUP($A146,K0kommunestruktur2019!$A$4:$N$425,K0kommunestruktur2020altern!G$3,FALSE)</f>
        <v>17835</v>
      </c>
      <c r="H146" s="177">
        <f>VLOOKUP($A146,K0kommunestruktur2019!$A$4:$N$425,K0kommunestruktur2020altern!H$3,FALSE)</f>
        <v>418583</v>
      </c>
      <c r="I146" s="289">
        <f>VLOOKUP($A146,K0kommunestruktur2019!$A$4:$N$425,K0kommunestruktur2020altern!I$3,FALSE)</f>
        <v>17857</v>
      </c>
      <c r="J146" s="177">
        <f>VLOOKUP($A146,K0kommunestruktur2019!$A$4:$N$425,K0kommunestruktur2020altern!J$3,FALSE)</f>
        <v>438186</v>
      </c>
      <c r="K146" s="289">
        <f>VLOOKUP($A146,K0kommunestruktur2019!$A$4:$N$425,K0kommunestruktur2020altern!K$3,FALSE)</f>
        <v>17934</v>
      </c>
      <c r="L146" s="177">
        <f>VLOOKUP($A146,K0kommunestruktur2019!$A$4:$N$425,K0kommunestruktur2020altern!L$3,FALSE)</f>
        <v>464345</v>
      </c>
      <c r="M146" s="289">
        <f>VLOOKUP($A146,K0kommunestruktur2019!$A$4:$N$425,K0kommunestruktur2020altern!M$3,FALSE)</f>
        <v>17823</v>
      </c>
      <c r="N146" s="177">
        <f>VLOOKUP($A146,K0kommunestruktur2019!$A$4:$N$425,K0kommunestruktur2020altern!N$3,FALSE)</f>
        <v>472995</v>
      </c>
      <c r="O146" s="289">
        <f>+'K20'!C146</f>
        <v>17829</v>
      </c>
      <c r="P146" s="177">
        <f>+'K20'!Z146</f>
        <v>488404</v>
      </c>
      <c r="R146" s="517"/>
    </row>
    <row r="147" spans="1:18" ht="13">
      <c r="A147" s="865">
        <v>3403</v>
      </c>
      <c r="B147" s="866" t="s">
        <v>825</v>
      </c>
      <c r="C147" s="289">
        <f>VLOOKUP($A147,K0kommunestruktur2019!$A$4:$N$425,K0kommunestruktur2020altern!C$3,FALSE)</f>
        <v>29520</v>
      </c>
      <c r="D147" s="177">
        <f>VLOOKUP($A147,K0kommunestruktur2019!$A$4:$N$425,K0kommunestruktur2020altern!D$3,FALSE)</f>
        <v>664070</v>
      </c>
      <c r="E147" s="289">
        <f>VLOOKUP($A147,K0kommunestruktur2019!$A$4:$N$425,K0kommunestruktur2020altern!E$3,FALSE)</f>
        <v>29847</v>
      </c>
      <c r="F147" s="177">
        <f>VLOOKUP($A147,K0kommunestruktur2019!$A$4:$N$425,K0kommunestruktur2020altern!F$3,FALSE)</f>
        <v>723558</v>
      </c>
      <c r="G147" s="289">
        <f>VLOOKUP($A147,K0kommunestruktur2019!$A$4:$N$425,K0kommunestruktur2020altern!G$3,FALSE)</f>
        <v>30120</v>
      </c>
      <c r="H147" s="177">
        <f>VLOOKUP($A147,K0kommunestruktur2019!$A$4:$N$425,K0kommunestruktur2020altern!H$3,FALSE)</f>
        <v>799127</v>
      </c>
      <c r="I147" s="289">
        <f>VLOOKUP($A147,K0kommunestruktur2019!$A$4:$N$425,K0kommunestruktur2020altern!I$3,FALSE)</f>
        <v>30598</v>
      </c>
      <c r="J147" s="177">
        <f>VLOOKUP($A147,K0kommunestruktur2019!$A$4:$N$425,K0kommunestruktur2020altern!J$3,FALSE)</f>
        <v>838185</v>
      </c>
      <c r="K147" s="289">
        <f>VLOOKUP($A147,K0kommunestruktur2019!$A$4:$N$425,K0kommunestruktur2020altern!K$3,FALSE)</f>
        <v>30930</v>
      </c>
      <c r="L147" s="177">
        <f>VLOOKUP($A147,K0kommunestruktur2019!$A$4:$N$425,K0kommunestruktur2020altern!L$3,FALSE)</f>
        <v>879991</v>
      </c>
      <c r="M147" s="289">
        <f>VLOOKUP($A147,K0kommunestruktur2019!$A$4:$N$425,K0kommunestruktur2020altern!M$3,FALSE)</f>
        <v>31144</v>
      </c>
      <c r="N147" s="177">
        <f>VLOOKUP($A147,K0kommunestruktur2019!$A$4:$N$425,K0kommunestruktur2020altern!N$3,FALSE)</f>
        <v>907828</v>
      </c>
      <c r="O147" s="289">
        <f>+'K20'!C147</f>
        <v>31369</v>
      </c>
      <c r="P147" s="177">
        <f>+'K20'!Z147</f>
        <v>922933</v>
      </c>
      <c r="R147" s="517"/>
    </row>
    <row r="148" spans="1:18" ht="13">
      <c r="A148" s="865">
        <v>3405</v>
      </c>
      <c r="B148" s="866" t="s">
        <v>845</v>
      </c>
      <c r="C148" s="289">
        <f>VLOOKUP($A148,K0kommunestruktur2019!$A$4:$N$425,K0kommunestruktur2020altern!C$3,FALSE)</f>
        <v>27028</v>
      </c>
      <c r="D148" s="177">
        <f>VLOOKUP($A148,K0kommunestruktur2019!$A$4:$N$425,K0kommunestruktur2020altern!D$3,FALSE)</f>
        <v>624848</v>
      </c>
      <c r="E148" s="289">
        <f>VLOOKUP($A148,K0kommunestruktur2019!$A$4:$N$425,K0kommunestruktur2020altern!E$3,FALSE)</f>
        <v>27300</v>
      </c>
      <c r="F148" s="177">
        <f>VLOOKUP($A148,K0kommunestruktur2019!$A$4:$N$425,K0kommunestruktur2020altern!F$3,FALSE)</f>
        <v>657280</v>
      </c>
      <c r="G148" s="289">
        <f>VLOOKUP($A148,K0kommunestruktur2019!$A$4:$N$425,K0kommunestruktur2020altern!G$3,FALSE)</f>
        <v>27476</v>
      </c>
      <c r="H148" s="177">
        <f>VLOOKUP($A148,K0kommunestruktur2019!$A$4:$N$425,K0kommunestruktur2020altern!H$3,FALSE)</f>
        <v>729709</v>
      </c>
      <c r="I148" s="289">
        <f>VLOOKUP($A148,K0kommunestruktur2019!$A$4:$N$425,K0kommunestruktur2020altern!I$3,FALSE)</f>
        <v>27781</v>
      </c>
      <c r="J148" s="177">
        <f>VLOOKUP($A148,K0kommunestruktur2019!$A$4:$N$425,K0kommunestruktur2020altern!J$3,FALSE)</f>
        <v>769643</v>
      </c>
      <c r="K148" s="289">
        <f>VLOOKUP($A148,K0kommunestruktur2019!$A$4:$N$425,K0kommunestruktur2020altern!K$3,FALSE)</f>
        <v>27938</v>
      </c>
      <c r="L148" s="177">
        <f>VLOOKUP($A148,K0kommunestruktur2019!$A$4:$N$425,K0kommunestruktur2020altern!L$3,FALSE)</f>
        <v>805350</v>
      </c>
      <c r="M148" s="289">
        <f>VLOOKUP($A148,K0kommunestruktur2019!$A$4:$N$425,K0kommunestruktur2020altern!M$3,FALSE)</f>
        <v>28023</v>
      </c>
      <c r="N148" s="177">
        <f>VLOOKUP($A148,K0kommunestruktur2019!$A$4:$N$425,K0kommunestruktur2020altern!N$3,FALSE)</f>
        <v>836532</v>
      </c>
      <c r="O148" s="289">
        <f>+'K20'!C148</f>
        <v>28345</v>
      </c>
      <c r="P148" s="177">
        <f>+'K20'!Z148</f>
        <v>825131</v>
      </c>
      <c r="R148" s="517"/>
    </row>
    <row r="149" spans="1:18" ht="13">
      <c r="A149" s="865">
        <v>3407</v>
      </c>
      <c r="B149" s="866" t="s">
        <v>846</v>
      </c>
      <c r="C149" s="289">
        <f>VLOOKUP($A149,K0kommunestruktur2019!$A$4:$N$425,K0kommunestruktur2020altern!C$3,FALSE)</f>
        <v>29668</v>
      </c>
      <c r="D149" s="177">
        <f>VLOOKUP($A149,K0kommunestruktur2019!$A$4:$N$425,K0kommunestruktur2020altern!D$3,FALSE)</f>
        <v>594011</v>
      </c>
      <c r="E149" s="289">
        <f>VLOOKUP($A149,K0kommunestruktur2019!$A$4:$N$425,K0kommunestruktur2020altern!E$3,FALSE)</f>
        <v>30063</v>
      </c>
      <c r="F149" s="177">
        <f>VLOOKUP($A149,K0kommunestruktur2019!$A$4:$N$425,K0kommunestruktur2020altern!F$3,FALSE)</f>
        <v>645070</v>
      </c>
      <c r="G149" s="289">
        <f>VLOOKUP($A149,K0kommunestruktur2019!$A$4:$N$425,K0kommunestruktur2020altern!G$3,FALSE)</f>
        <v>30137</v>
      </c>
      <c r="H149" s="177">
        <f>VLOOKUP($A149,K0kommunestruktur2019!$A$4:$N$425,K0kommunestruktur2020altern!H$3,FALSE)</f>
        <v>711172</v>
      </c>
      <c r="I149" s="289">
        <f>VLOOKUP($A149,K0kommunestruktur2019!$A$4:$N$425,K0kommunestruktur2020altern!I$3,FALSE)</f>
        <v>30319</v>
      </c>
      <c r="J149" s="177">
        <f>VLOOKUP($A149,K0kommunestruktur2019!$A$4:$N$425,K0kommunestruktur2020altern!J$3,FALSE)</f>
        <v>758212</v>
      </c>
      <c r="K149" s="289">
        <f>VLOOKUP($A149,K0kommunestruktur2019!$A$4:$N$425,K0kommunestruktur2020altern!K$3,FALSE)</f>
        <v>30642</v>
      </c>
      <c r="L149" s="177">
        <f>VLOOKUP($A149,K0kommunestruktur2019!$A$4:$N$425,K0kommunestruktur2020altern!L$3,FALSE)</f>
        <v>797745</v>
      </c>
      <c r="M149" s="289">
        <f>VLOOKUP($A149,K0kommunestruktur2019!$A$4:$N$425,K0kommunestruktur2020altern!M$3,FALSE)</f>
        <v>30676</v>
      </c>
      <c r="N149" s="177">
        <f>VLOOKUP($A149,K0kommunestruktur2019!$A$4:$N$425,K0kommunestruktur2020altern!N$3,FALSE)</f>
        <v>835680</v>
      </c>
      <c r="O149" s="289">
        <f>+'K20'!C149</f>
        <v>30560</v>
      </c>
      <c r="P149" s="177">
        <f>+'K20'!Z149</f>
        <v>811206</v>
      </c>
      <c r="R149" s="517"/>
    </row>
    <row r="150" spans="1:18" ht="13">
      <c r="A150" s="865">
        <v>3411</v>
      </c>
      <c r="B150" s="866" t="s">
        <v>826</v>
      </c>
      <c r="C150" s="289">
        <f>VLOOKUP($A150,K0kommunestruktur2019!$A$4:$N$425,K0kommunestruktur2020altern!C$3,FALSE)</f>
        <v>33463</v>
      </c>
      <c r="D150" s="177">
        <f>VLOOKUP($A150,K0kommunestruktur2019!$A$4:$N$425,K0kommunestruktur2020altern!D$3,FALSE)</f>
        <v>639220</v>
      </c>
      <c r="E150" s="289">
        <f>VLOOKUP($A150,K0kommunestruktur2019!$A$4:$N$425,K0kommunestruktur2020altern!E$3,FALSE)</f>
        <v>33603</v>
      </c>
      <c r="F150" s="177">
        <f>VLOOKUP($A150,K0kommunestruktur2019!$A$4:$N$425,K0kommunestruktur2020altern!F$3,FALSE)</f>
        <v>679590</v>
      </c>
      <c r="G150" s="289">
        <f>VLOOKUP($A150,K0kommunestruktur2019!$A$4:$N$425,K0kommunestruktur2020altern!G$3,FALSE)</f>
        <v>33597</v>
      </c>
      <c r="H150" s="177">
        <f>VLOOKUP($A150,K0kommunestruktur2019!$A$4:$N$425,K0kommunestruktur2020altern!H$3,FALSE)</f>
        <v>752571</v>
      </c>
      <c r="I150" s="289">
        <f>VLOOKUP($A150,K0kommunestruktur2019!$A$4:$N$425,K0kommunestruktur2020altern!I$3,FALSE)</f>
        <v>33842</v>
      </c>
      <c r="J150" s="177">
        <f>VLOOKUP($A150,K0kommunestruktur2019!$A$4:$N$425,K0kommunestruktur2020altern!J$3,FALSE)</f>
        <v>789183</v>
      </c>
      <c r="K150" s="289">
        <f>VLOOKUP($A150,K0kommunestruktur2019!$A$4:$N$425,K0kommunestruktur2020altern!K$3,FALSE)</f>
        <v>34151</v>
      </c>
      <c r="L150" s="177">
        <f>VLOOKUP($A150,K0kommunestruktur2019!$A$4:$N$425,K0kommunestruktur2020altern!L$3,FALSE)</f>
        <v>837000</v>
      </c>
      <c r="M150" s="289">
        <f>VLOOKUP($A150,K0kommunestruktur2019!$A$4:$N$425,K0kommunestruktur2020altern!M$3,FALSE)</f>
        <v>34488</v>
      </c>
      <c r="N150" s="177">
        <f>VLOOKUP($A150,K0kommunestruktur2019!$A$4:$N$425,K0kommunestruktur2020altern!N$3,FALSE)</f>
        <v>888971</v>
      </c>
      <c r="O150" s="289">
        <f>+'K20'!C150</f>
        <v>34768</v>
      </c>
      <c r="P150" s="177">
        <f>+'K20'!Z150</f>
        <v>885530</v>
      </c>
      <c r="R150" s="517"/>
    </row>
    <row r="151" spans="1:18" ht="13">
      <c r="A151" s="865">
        <v>3412</v>
      </c>
      <c r="B151" s="866" t="s">
        <v>827</v>
      </c>
      <c r="C151" s="289">
        <f>VLOOKUP($A151,K0kommunestruktur2019!$A$4:$N$425,K0kommunestruktur2020altern!C$3,FALSE)</f>
        <v>7546</v>
      </c>
      <c r="D151" s="177">
        <f>VLOOKUP($A151,K0kommunestruktur2019!$A$4:$N$425,K0kommunestruktur2020altern!D$3,FALSE)</f>
        <v>135203</v>
      </c>
      <c r="E151" s="289">
        <f>VLOOKUP($A151,K0kommunestruktur2019!$A$4:$N$425,K0kommunestruktur2020altern!E$3,FALSE)</f>
        <v>7552</v>
      </c>
      <c r="F151" s="177">
        <f>VLOOKUP($A151,K0kommunestruktur2019!$A$4:$N$425,K0kommunestruktur2020altern!F$3,FALSE)</f>
        <v>143397</v>
      </c>
      <c r="G151" s="289">
        <f>VLOOKUP($A151,K0kommunestruktur2019!$A$4:$N$425,K0kommunestruktur2020altern!G$3,FALSE)</f>
        <v>7588</v>
      </c>
      <c r="H151" s="177">
        <f>VLOOKUP($A151,K0kommunestruktur2019!$A$4:$N$425,K0kommunestruktur2020altern!H$3,FALSE)</f>
        <v>154879</v>
      </c>
      <c r="I151" s="289">
        <f>VLOOKUP($A151,K0kommunestruktur2019!$A$4:$N$425,K0kommunestruktur2020altern!I$3,FALSE)</f>
        <v>7633</v>
      </c>
      <c r="J151" s="177">
        <f>VLOOKUP($A151,K0kommunestruktur2019!$A$4:$N$425,K0kommunestruktur2020altern!J$3,FALSE)</f>
        <v>162788</v>
      </c>
      <c r="K151" s="289">
        <f>VLOOKUP($A151,K0kommunestruktur2019!$A$4:$N$425,K0kommunestruktur2020altern!K$3,FALSE)</f>
        <v>7615</v>
      </c>
      <c r="L151" s="177">
        <f>VLOOKUP($A151,K0kommunestruktur2019!$A$4:$N$425,K0kommunestruktur2020altern!L$3,FALSE)</f>
        <v>169501</v>
      </c>
      <c r="M151" s="289">
        <f>VLOOKUP($A151,K0kommunestruktur2019!$A$4:$N$425,K0kommunestruktur2020altern!M$3,FALSE)</f>
        <v>7663</v>
      </c>
      <c r="N151" s="177">
        <f>VLOOKUP($A151,K0kommunestruktur2019!$A$4:$N$425,K0kommunestruktur2020altern!N$3,FALSE)</f>
        <v>172571</v>
      </c>
      <c r="O151" s="289">
        <f>+'K20'!C151</f>
        <v>7674</v>
      </c>
      <c r="P151" s="177">
        <f>+'K20'!Z151</f>
        <v>173016</v>
      </c>
      <c r="R151" s="517"/>
    </row>
    <row r="152" spans="1:18" ht="13">
      <c r="A152" s="865">
        <v>3413</v>
      </c>
      <c r="B152" s="876" t="s">
        <v>828</v>
      </c>
      <c r="C152" s="289">
        <f>VLOOKUP($A152,K0kommunestruktur2019!$A$4:$N$425,K0kommunestruktur2020altern!C$3,FALSE)</f>
        <v>19737</v>
      </c>
      <c r="D152" s="177">
        <f>VLOOKUP($A152,K0kommunestruktur2019!$A$4:$N$425,K0kommunestruktur2020altern!D$3,FALSE)</f>
        <v>376955</v>
      </c>
      <c r="E152" s="289">
        <f>VLOOKUP($A152,K0kommunestruktur2019!$A$4:$N$425,K0kommunestruktur2020altern!E$3,FALSE)</f>
        <v>20013</v>
      </c>
      <c r="F152" s="177">
        <f>VLOOKUP($A152,K0kommunestruktur2019!$A$4:$N$425,K0kommunestruktur2020altern!F$3,FALSE)</f>
        <v>407797</v>
      </c>
      <c r="G152" s="289">
        <f>VLOOKUP($A152,K0kommunestruktur2019!$A$4:$N$425,K0kommunestruktur2020altern!G$3,FALSE)</f>
        <v>20119</v>
      </c>
      <c r="H152" s="177">
        <f>VLOOKUP($A152,K0kommunestruktur2019!$A$4:$N$425,K0kommunestruktur2020altern!H$3,FALSE)</f>
        <v>451307</v>
      </c>
      <c r="I152" s="289">
        <f>VLOOKUP($A152,K0kommunestruktur2019!$A$4:$N$425,K0kommunestruktur2020altern!I$3,FALSE)</f>
        <v>20317</v>
      </c>
      <c r="J152" s="177">
        <f>VLOOKUP($A152,K0kommunestruktur2019!$A$4:$N$425,K0kommunestruktur2020altern!J$3,FALSE)</f>
        <v>472002</v>
      </c>
      <c r="K152" s="289">
        <f>VLOOKUP($A152,K0kommunestruktur2019!$A$4:$N$425,K0kommunestruktur2020altern!K$3,FALSE)</f>
        <v>20646</v>
      </c>
      <c r="L152" s="177">
        <f>VLOOKUP($A152,K0kommunestruktur2019!$A$4:$N$425,K0kommunestruktur2020altern!L$3,FALSE)</f>
        <v>497212</v>
      </c>
      <c r="M152" s="289">
        <f>VLOOKUP($A152,K0kommunestruktur2019!$A$4:$N$425,K0kommunestruktur2020altern!M$3,FALSE)</f>
        <v>20916</v>
      </c>
      <c r="N152" s="177">
        <f>VLOOKUP($A152,K0kommunestruktur2019!$A$4:$N$425,K0kommunestruktur2020altern!N$3,FALSE)</f>
        <v>519985</v>
      </c>
      <c r="O152" s="289">
        <f>+'K20'!C152</f>
        <v>21064</v>
      </c>
      <c r="P152" s="177">
        <f>+'K20'!Z152</f>
        <v>521960</v>
      </c>
      <c r="R152" s="517"/>
    </row>
    <row r="153" spans="1:18" ht="13">
      <c r="A153" s="865">
        <v>3414</v>
      </c>
      <c r="B153" s="866" t="s">
        <v>829</v>
      </c>
      <c r="C153" s="289">
        <f>VLOOKUP($A153,K0kommunestruktur2019!$A$4:$N$425,K0kommunestruktur2020altern!C$3,FALSE)</f>
        <v>5118</v>
      </c>
      <c r="D153" s="177">
        <f>VLOOKUP($A153,K0kommunestruktur2019!$A$4:$N$425,K0kommunestruktur2020altern!D$3,FALSE)</f>
        <v>89305</v>
      </c>
      <c r="E153" s="289">
        <f>VLOOKUP($A153,K0kommunestruktur2019!$A$4:$N$425,K0kommunestruktur2020altern!E$3,FALSE)</f>
        <v>5128</v>
      </c>
      <c r="F153" s="177">
        <f>VLOOKUP($A153,K0kommunestruktur2019!$A$4:$N$425,K0kommunestruktur2020altern!F$3,FALSE)</f>
        <v>94709</v>
      </c>
      <c r="G153" s="289">
        <f>VLOOKUP($A153,K0kommunestruktur2019!$A$4:$N$425,K0kommunestruktur2020altern!G$3,FALSE)</f>
        <v>5131</v>
      </c>
      <c r="H153" s="177">
        <f>VLOOKUP($A153,K0kommunestruktur2019!$A$4:$N$425,K0kommunestruktur2020altern!H$3,FALSE)</f>
        <v>100053</v>
      </c>
      <c r="I153" s="289">
        <f>VLOOKUP($A153,K0kommunestruktur2019!$A$4:$N$425,K0kommunestruktur2020altern!I$3,FALSE)</f>
        <v>5100</v>
      </c>
      <c r="J153" s="177">
        <f>VLOOKUP($A153,K0kommunestruktur2019!$A$4:$N$425,K0kommunestruktur2020altern!J$3,FALSE)</f>
        <v>103182</v>
      </c>
      <c r="K153" s="289">
        <f>VLOOKUP($A153,K0kommunestruktur2019!$A$4:$N$425,K0kommunestruktur2020altern!K$3,FALSE)</f>
        <v>5097</v>
      </c>
      <c r="L153" s="177">
        <f>VLOOKUP($A153,K0kommunestruktur2019!$A$4:$N$425,K0kommunestruktur2020altern!L$3,FALSE)</f>
        <v>109633</v>
      </c>
      <c r="M153" s="289">
        <f>VLOOKUP($A153,K0kommunestruktur2019!$A$4:$N$425,K0kommunestruktur2020altern!M$3,FALSE)</f>
        <v>5024</v>
      </c>
      <c r="N153" s="177">
        <f>VLOOKUP($A153,K0kommunestruktur2019!$A$4:$N$425,K0kommunestruktur2020altern!N$3,FALSE)</f>
        <v>112330</v>
      </c>
      <c r="O153" s="289">
        <f>+'K20'!C153</f>
        <v>5016</v>
      </c>
      <c r="P153" s="177">
        <f>+'K20'!Z153</f>
        <v>111733</v>
      </c>
      <c r="R153" s="517"/>
    </row>
    <row r="154" spans="1:18" ht="13">
      <c r="A154" s="865">
        <v>3415</v>
      </c>
      <c r="B154" s="866" t="s">
        <v>830</v>
      </c>
      <c r="C154" s="289">
        <f>VLOOKUP($A154,K0kommunestruktur2019!$A$4:$N$425,K0kommunestruktur2020altern!C$3,FALSE)</f>
        <v>7847</v>
      </c>
      <c r="D154" s="177">
        <f>VLOOKUP($A154,K0kommunestruktur2019!$A$4:$N$425,K0kommunestruktur2020altern!D$3,FALSE)</f>
        <v>154803</v>
      </c>
      <c r="E154" s="289">
        <f>VLOOKUP($A154,K0kommunestruktur2019!$A$4:$N$425,K0kommunestruktur2020altern!E$3,FALSE)</f>
        <v>7800</v>
      </c>
      <c r="F154" s="177">
        <f>VLOOKUP($A154,K0kommunestruktur2019!$A$4:$N$425,K0kommunestruktur2020altern!F$3,FALSE)</f>
        <v>164788</v>
      </c>
      <c r="G154" s="289">
        <f>VLOOKUP($A154,K0kommunestruktur2019!$A$4:$N$425,K0kommunestruktur2020altern!G$3,FALSE)</f>
        <v>7901</v>
      </c>
      <c r="H154" s="177">
        <f>VLOOKUP($A154,K0kommunestruktur2019!$A$4:$N$425,K0kommunestruktur2020altern!H$3,FALSE)</f>
        <v>181493</v>
      </c>
      <c r="I154" s="289">
        <f>VLOOKUP($A154,K0kommunestruktur2019!$A$4:$N$425,K0kommunestruktur2020altern!I$3,FALSE)</f>
        <v>7866</v>
      </c>
      <c r="J154" s="177">
        <f>VLOOKUP($A154,K0kommunestruktur2019!$A$4:$N$425,K0kommunestruktur2020altern!J$3,FALSE)</f>
        <v>184298</v>
      </c>
      <c r="K154" s="289">
        <f>VLOOKUP($A154,K0kommunestruktur2019!$A$4:$N$425,K0kommunestruktur2020altern!K$3,FALSE)</f>
        <v>7884</v>
      </c>
      <c r="L154" s="177">
        <f>VLOOKUP($A154,K0kommunestruktur2019!$A$4:$N$425,K0kommunestruktur2020altern!L$3,FALSE)</f>
        <v>192327</v>
      </c>
      <c r="M154" s="289">
        <f>VLOOKUP($A154,K0kommunestruktur2019!$A$4:$N$425,K0kommunestruktur2020altern!M$3,FALSE)</f>
        <v>7879</v>
      </c>
      <c r="N154" s="177">
        <f>VLOOKUP($A154,K0kommunestruktur2019!$A$4:$N$425,K0kommunestruktur2020altern!N$3,FALSE)</f>
        <v>200711</v>
      </c>
      <c r="O154" s="289">
        <f>+'K20'!C154</f>
        <v>7905</v>
      </c>
      <c r="P154" s="177">
        <f>+'K20'!Z154</f>
        <v>194910</v>
      </c>
      <c r="R154" s="517"/>
    </row>
    <row r="155" spans="1:18" ht="13">
      <c r="A155" s="865">
        <v>3416</v>
      </c>
      <c r="B155" s="866" t="s">
        <v>831</v>
      </c>
      <c r="C155" s="289">
        <f>VLOOKUP($A155,K0kommunestruktur2019!$A$4:$N$425,K0kommunestruktur2020altern!C$3,FALSE)</f>
        <v>6253</v>
      </c>
      <c r="D155" s="177">
        <f>VLOOKUP($A155,K0kommunestruktur2019!$A$4:$N$425,K0kommunestruktur2020altern!D$3,FALSE)</f>
        <v>99815</v>
      </c>
      <c r="E155" s="289">
        <f>VLOOKUP($A155,K0kommunestruktur2019!$A$4:$N$425,K0kommunestruktur2020altern!E$3,FALSE)</f>
        <v>6219</v>
      </c>
      <c r="F155" s="177">
        <f>VLOOKUP($A155,K0kommunestruktur2019!$A$4:$N$425,K0kommunestruktur2020altern!F$3,FALSE)</f>
        <v>110856</v>
      </c>
      <c r="G155" s="289">
        <f>VLOOKUP($A155,K0kommunestruktur2019!$A$4:$N$425,K0kommunestruktur2020altern!G$3,FALSE)</f>
        <v>6142</v>
      </c>
      <c r="H155" s="177">
        <f>VLOOKUP($A155,K0kommunestruktur2019!$A$4:$N$425,K0kommunestruktur2020altern!H$3,FALSE)</f>
        <v>122325</v>
      </c>
      <c r="I155" s="289">
        <f>VLOOKUP($A155,K0kommunestruktur2019!$A$4:$N$425,K0kommunestruktur2020altern!I$3,FALSE)</f>
        <v>6127</v>
      </c>
      <c r="J155" s="177">
        <f>VLOOKUP($A155,K0kommunestruktur2019!$A$4:$N$425,K0kommunestruktur2020altern!J$3,FALSE)</f>
        <v>125225</v>
      </c>
      <c r="K155" s="289">
        <f>VLOOKUP($A155,K0kommunestruktur2019!$A$4:$N$425,K0kommunestruktur2020altern!K$3,FALSE)</f>
        <v>6142</v>
      </c>
      <c r="L155" s="177">
        <f>VLOOKUP($A155,K0kommunestruktur2019!$A$4:$N$425,K0kommunestruktur2020altern!L$3,FALSE)</f>
        <v>129210</v>
      </c>
      <c r="M155" s="289">
        <f>VLOOKUP($A155,K0kommunestruktur2019!$A$4:$N$425,K0kommunestruktur2020altern!M$3,FALSE)</f>
        <v>6114</v>
      </c>
      <c r="N155" s="177">
        <f>VLOOKUP($A155,K0kommunestruktur2019!$A$4:$N$425,K0kommunestruktur2020altern!N$3,FALSE)</f>
        <v>133453</v>
      </c>
      <c r="O155" s="289">
        <f>+'K20'!C155</f>
        <v>6106</v>
      </c>
      <c r="P155" s="177">
        <f>+'K20'!Z155</f>
        <v>135252</v>
      </c>
      <c r="R155" s="517"/>
    </row>
    <row r="156" spans="1:18" ht="13">
      <c r="A156" s="865">
        <v>3417</v>
      </c>
      <c r="B156" s="866" t="s">
        <v>832</v>
      </c>
      <c r="C156" s="289">
        <f>VLOOKUP($A156,K0kommunestruktur2019!$A$4:$N$425,K0kommunestruktur2020altern!C$3,FALSE)</f>
        <v>4948</v>
      </c>
      <c r="D156" s="177">
        <f>VLOOKUP($A156,K0kommunestruktur2019!$A$4:$N$425,K0kommunestruktur2020altern!D$3,FALSE)</f>
        <v>88799</v>
      </c>
      <c r="E156" s="289">
        <f>VLOOKUP($A156,K0kommunestruktur2019!$A$4:$N$425,K0kommunestruktur2020altern!E$3,FALSE)</f>
        <v>4853</v>
      </c>
      <c r="F156" s="177">
        <f>VLOOKUP($A156,K0kommunestruktur2019!$A$4:$N$425,K0kommunestruktur2020altern!F$3,FALSE)</f>
        <v>94131</v>
      </c>
      <c r="G156" s="289">
        <f>VLOOKUP($A156,K0kommunestruktur2019!$A$4:$N$425,K0kommunestruktur2020altern!G$3,FALSE)</f>
        <v>4763</v>
      </c>
      <c r="H156" s="177">
        <f>VLOOKUP($A156,K0kommunestruktur2019!$A$4:$N$425,K0kommunestruktur2020altern!H$3,FALSE)</f>
        <v>100637</v>
      </c>
      <c r="I156" s="289">
        <f>VLOOKUP($A156,K0kommunestruktur2019!$A$4:$N$425,K0kommunestruktur2020altern!I$3,FALSE)</f>
        <v>4777</v>
      </c>
      <c r="J156" s="177">
        <f>VLOOKUP($A156,K0kommunestruktur2019!$A$4:$N$425,K0kommunestruktur2020altern!J$3,FALSE)</f>
        <v>100470</v>
      </c>
      <c r="K156" s="289">
        <f>VLOOKUP($A156,K0kommunestruktur2019!$A$4:$N$425,K0kommunestruktur2020altern!K$3,FALSE)</f>
        <v>4740</v>
      </c>
      <c r="L156" s="177">
        <f>VLOOKUP($A156,K0kommunestruktur2019!$A$4:$N$425,K0kommunestruktur2020altern!L$3,FALSE)</f>
        <v>105990</v>
      </c>
      <c r="M156" s="289">
        <f>VLOOKUP($A156,K0kommunestruktur2019!$A$4:$N$425,K0kommunestruktur2020altern!M$3,FALSE)</f>
        <v>4646</v>
      </c>
      <c r="N156" s="177">
        <f>VLOOKUP($A156,K0kommunestruktur2019!$A$4:$N$425,K0kommunestruktur2020altern!N$3,FALSE)</f>
        <v>108099</v>
      </c>
      <c r="O156" s="289">
        <f>+'K20'!C156</f>
        <v>4612</v>
      </c>
      <c r="P156" s="177">
        <f>+'K20'!Z156</f>
        <v>113051</v>
      </c>
      <c r="R156" s="517"/>
    </row>
    <row r="157" spans="1:18" ht="13">
      <c r="A157" s="865">
        <v>3418</v>
      </c>
      <c r="B157" s="866" t="s">
        <v>833</v>
      </c>
      <c r="C157" s="289">
        <f>VLOOKUP($A157,K0kommunestruktur2019!$A$4:$N$425,K0kommunestruktur2020altern!C$3,FALSE)</f>
        <v>7544</v>
      </c>
      <c r="D157" s="177">
        <f>VLOOKUP($A157,K0kommunestruktur2019!$A$4:$N$425,K0kommunestruktur2020altern!D$3,FALSE)</f>
        <v>131663</v>
      </c>
      <c r="E157" s="289">
        <f>VLOOKUP($A157,K0kommunestruktur2019!$A$4:$N$425,K0kommunestruktur2020altern!E$3,FALSE)</f>
        <v>7561</v>
      </c>
      <c r="F157" s="177">
        <f>VLOOKUP($A157,K0kommunestruktur2019!$A$4:$N$425,K0kommunestruktur2020altern!F$3,FALSE)</f>
        <v>141663</v>
      </c>
      <c r="G157" s="289">
        <f>VLOOKUP($A157,K0kommunestruktur2019!$A$4:$N$425,K0kommunestruktur2020altern!G$3,FALSE)</f>
        <v>7456</v>
      </c>
      <c r="H157" s="177">
        <f>VLOOKUP($A157,K0kommunestruktur2019!$A$4:$N$425,K0kommunestruktur2020altern!H$3,FALSE)</f>
        <v>150457</v>
      </c>
      <c r="I157" s="289">
        <f>VLOOKUP($A157,K0kommunestruktur2019!$A$4:$N$425,K0kommunestruktur2020altern!I$3,FALSE)</f>
        <v>7329</v>
      </c>
      <c r="J157" s="177">
        <f>VLOOKUP($A157,K0kommunestruktur2019!$A$4:$N$425,K0kommunestruktur2020altern!J$3,FALSE)</f>
        <v>157341</v>
      </c>
      <c r="K157" s="289">
        <f>VLOOKUP($A157,K0kommunestruktur2019!$A$4:$N$425,K0kommunestruktur2020altern!K$3,FALSE)</f>
        <v>7279</v>
      </c>
      <c r="L157" s="177">
        <f>VLOOKUP($A157,K0kommunestruktur2019!$A$4:$N$425,K0kommunestruktur2020altern!L$3,FALSE)</f>
        <v>162251</v>
      </c>
      <c r="M157" s="289">
        <f>VLOOKUP($A157,K0kommunestruktur2019!$A$4:$N$425,K0kommunestruktur2020altern!M$3,FALSE)</f>
        <v>7214</v>
      </c>
      <c r="N157" s="177">
        <f>VLOOKUP($A157,K0kommunestruktur2019!$A$4:$N$425,K0kommunestruktur2020altern!N$3,FALSE)</f>
        <v>163873</v>
      </c>
      <c r="O157" s="289">
        <f>+'K20'!C157</f>
        <v>7203</v>
      </c>
      <c r="P157" s="177">
        <f>+'K20'!Z157</f>
        <v>162820</v>
      </c>
      <c r="R157" s="517"/>
    </row>
    <row r="158" spans="1:18" ht="13">
      <c r="A158" s="865">
        <v>3419</v>
      </c>
      <c r="B158" s="866" t="s">
        <v>799</v>
      </c>
      <c r="C158" s="289">
        <f>VLOOKUP($A158,K0kommunestruktur2019!$A$4:$N$425,K0kommunestruktur2020altern!C$3,FALSE)</f>
        <v>3783</v>
      </c>
      <c r="D158" s="177">
        <f>VLOOKUP($A158,K0kommunestruktur2019!$A$4:$N$425,K0kommunestruktur2020altern!D$3,FALSE)</f>
        <v>67464</v>
      </c>
      <c r="E158" s="289">
        <f>VLOOKUP($A158,K0kommunestruktur2019!$A$4:$N$425,K0kommunestruktur2020altern!E$3,FALSE)</f>
        <v>3790</v>
      </c>
      <c r="F158" s="177">
        <f>VLOOKUP($A158,K0kommunestruktur2019!$A$4:$N$425,K0kommunestruktur2020altern!F$3,FALSE)</f>
        <v>72785</v>
      </c>
      <c r="G158" s="289">
        <f>VLOOKUP($A158,K0kommunestruktur2019!$A$4:$N$425,K0kommunestruktur2020altern!G$3,FALSE)</f>
        <v>3760</v>
      </c>
      <c r="H158" s="177">
        <f>VLOOKUP($A158,K0kommunestruktur2019!$A$4:$N$425,K0kommunestruktur2020altern!H$3,FALSE)</f>
        <v>79771</v>
      </c>
      <c r="I158" s="289">
        <f>VLOOKUP($A158,K0kommunestruktur2019!$A$4:$N$425,K0kommunestruktur2020altern!I$3,FALSE)</f>
        <v>3743</v>
      </c>
      <c r="J158" s="177">
        <f>VLOOKUP($A158,K0kommunestruktur2019!$A$4:$N$425,K0kommunestruktur2020altern!J$3,FALSE)</f>
        <v>80622</v>
      </c>
      <c r="K158" s="289">
        <f>VLOOKUP($A158,K0kommunestruktur2019!$A$4:$N$425,K0kommunestruktur2020altern!K$3,FALSE)</f>
        <v>3680</v>
      </c>
      <c r="L158" s="177">
        <f>VLOOKUP($A158,K0kommunestruktur2019!$A$4:$N$425,K0kommunestruktur2020altern!L$3,FALSE)</f>
        <v>81489</v>
      </c>
      <c r="M158" s="289">
        <f>VLOOKUP($A158,K0kommunestruktur2019!$A$4:$N$425,K0kommunestruktur2020altern!M$3,FALSE)</f>
        <v>3705</v>
      </c>
      <c r="N158" s="177">
        <f>VLOOKUP($A158,K0kommunestruktur2019!$A$4:$N$425,K0kommunestruktur2020altern!N$3,FALSE)</f>
        <v>84330</v>
      </c>
      <c r="O158" s="289">
        <f>+'K20'!C158</f>
        <v>3662</v>
      </c>
      <c r="P158" s="177">
        <f>+'K20'!Z158</f>
        <v>83140</v>
      </c>
      <c r="R158" s="517"/>
    </row>
    <row r="159" spans="1:18" ht="13">
      <c r="A159" s="865">
        <v>3420</v>
      </c>
      <c r="B159" s="866" t="s">
        <v>834</v>
      </c>
      <c r="C159" s="289">
        <f>VLOOKUP($A159,K0kommunestruktur2019!$A$4:$N$425,K0kommunestruktur2020altern!C$3,FALSE)</f>
        <v>20563</v>
      </c>
      <c r="D159" s="177">
        <f>VLOOKUP($A159,K0kommunestruktur2019!$A$4:$N$425,K0kommunestruktur2020altern!D$3,FALSE)</f>
        <v>413285</v>
      </c>
      <c r="E159" s="289">
        <f>VLOOKUP($A159,K0kommunestruktur2019!$A$4:$N$425,K0kommunestruktur2020altern!E$3,FALSE)</f>
        <v>20794</v>
      </c>
      <c r="F159" s="177">
        <f>VLOOKUP($A159,K0kommunestruktur2019!$A$4:$N$425,K0kommunestruktur2020altern!F$3,FALSE)</f>
        <v>442451</v>
      </c>
      <c r="G159" s="289">
        <f>VLOOKUP($A159,K0kommunestruktur2019!$A$4:$N$425,K0kommunestruktur2020altern!G$3,FALSE)</f>
        <v>21030</v>
      </c>
      <c r="H159" s="177">
        <f>VLOOKUP($A159,K0kommunestruktur2019!$A$4:$N$425,K0kommunestruktur2020altern!H$3,FALSE)</f>
        <v>469925</v>
      </c>
      <c r="I159" s="289">
        <f>VLOOKUP($A159,K0kommunestruktur2019!$A$4:$N$425,K0kommunestruktur2020altern!I$3,FALSE)</f>
        <v>21086</v>
      </c>
      <c r="J159" s="177">
        <f>VLOOKUP($A159,K0kommunestruktur2019!$A$4:$N$425,K0kommunestruktur2020altern!J$3,FALSE)</f>
        <v>490237</v>
      </c>
      <c r="K159" s="289">
        <f>VLOOKUP($A159,K0kommunestruktur2019!$A$4:$N$425,K0kommunestruktur2020altern!K$3,FALSE)</f>
        <v>21123</v>
      </c>
      <c r="L159" s="177">
        <f>VLOOKUP($A159,K0kommunestruktur2019!$A$4:$N$425,K0kommunestruktur2020altern!L$3,FALSE)</f>
        <v>510655</v>
      </c>
      <c r="M159" s="289">
        <f>VLOOKUP($A159,K0kommunestruktur2019!$A$4:$N$425,K0kommunestruktur2020altern!M$3,FALSE)</f>
        <v>21191</v>
      </c>
      <c r="N159" s="177">
        <f>VLOOKUP($A159,K0kommunestruktur2019!$A$4:$N$425,K0kommunestruktur2020altern!N$3,FALSE)</f>
        <v>535565</v>
      </c>
      <c r="O159" s="289">
        <f>+'K20'!C159</f>
        <v>21254</v>
      </c>
      <c r="P159" s="177">
        <f>+'K20'!Z159</f>
        <v>533065</v>
      </c>
      <c r="R159" s="517"/>
    </row>
    <row r="160" spans="1:18" ht="13">
      <c r="A160" s="865">
        <v>3421</v>
      </c>
      <c r="B160" s="866" t="s">
        <v>835</v>
      </c>
      <c r="C160" s="289">
        <f>VLOOKUP($A160,K0kommunestruktur2019!$A$4:$N$425,K0kommunestruktur2020altern!C$3,FALSE)</f>
        <v>6621</v>
      </c>
      <c r="D160" s="177">
        <f>VLOOKUP($A160,K0kommunestruktur2019!$A$4:$N$425,K0kommunestruktur2020altern!D$3,FALSE)</f>
        <v>123473</v>
      </c>
      <c r="E160" s="289">
        <f>VLOOKUP($A160,K0kommunestruktur2019!$A$4:$N$425,K0kommunestruktur2020altern!E$3,FALSE)</f>
        <v>6569</v>
      </c>
      <c r="F160" s="177">
        <f>VLOOKUP($A160,K0kommunestruktur2019!$A$4:$N$425,K0kommunestruktur2020altern!F$3,FALSE)</f>
        <v>128694</v>
      </c>
      <c r="G160" s="289">
        <f>VLOOKUP($A160,K0kommunestruktur2019!$A$4:$N$425,K0kommunestruktur2020altern!G$3,FALSE)</f>
        <v>6525</v>
      </c>
      <c r="H160" s="177">
        <f>VLOOKUP($A160,K0kommunestruktur2019!$A$4:$N$425,K0kommunestruktur2020altern!H$3,FALSE)</f>
        <v>143523</v>
      </c>
      <c r="I160" s="289">
        <f>VLOOKUP($A160,K0kommunestruktur2019!$A$4:$N$425,K0kommunestruktur2020altern!I$3,FALSE)</f>
        <v>6550</v>
      </c>
      <c r="J160" s="177">
        <f>VLOOKUP($A160,K0kommunestruktur2019!$A$4:$N$425,K0kommunestruktur2020altern!J$3,FALSE)</f>
        <v>155053</v>
      </c>
      <c r="K160" s="289">
        <f>VLOOKUP($A160,K0kommunestruktur2019!$A$4:$N$425,K0kommunestruktur2020altern!K$3,FALSE)</f>
        <v>6567</v>
      </c>
      <c r="L160" s="177">
        <f>VLOOKUP($A160,K0kommunestruktur2019!$A$4:$N$425,K0kommunestruktur2020altern!L$3,FALSE)</f>
        <v>169452</v>
      </c>
      <c r="M160" s="289">
        <f>VLOOKUP($A160,K0kommunestruktur2019!$A$4:$N$425,K0kommunestruktur2020altern!M$3,FALSE)</f>
        <v>6607</v>
      </c>
      <c r="N160" s="177">
        <f>VLOOKUP($A160,K0kommunestruktur2019!$A$4:$N$425,K0kommunestruktur2020altern!N$3,FALSE)</f>
        <v>174031</v>
      </c>
      <c r="O160" s="289">
        <f>+'K20'!C160</f>
        <v>6627</v>
      </c>
      <c r="P160" s="177">
        <f>+'K20'!Z160</f>
        <v>172622</v>
      </c>
      <c r="R160" s="517"/>
    </row>
    <row r="161" spans="1:18" ht="13">
      <c r="A161" s="865">
        <v>3422</v>
      </c>
      <c r="B161" s="866" t="s">
        <v>836</v>
      </c>
      <c r="C161" s="289">
        <f>VLOOKUP($A161,K0kommunestruktur2019!$A$4:$N$425,K0kommunestruktur2020altern!C$3,FALSE)</f>
        <v>4455</v>
      </c>
      <c r="D161" s="177">
        <f>VLOOKUP($A161,K0kommunestruktur2019!$A$4:$N$425,K0kommunestruktur2020altern!D$3,FALSE)</f>
        <v>86844</v>
      </c>
      <c r="E161" s="289">
        <f>VLOOKUP($A161,K0kommunestruktur2019!$A$4:$N$425,K0kommunestruktur2020altern!E$3,FALSE)</f>
        <v>4456</v>
      </c>
      <c r="F161" s="177">
        <f>VLOOKUP($A161,K0kommunestruktur2019!$A$4:$N$425,K0kommunestruktur2020altern!F$3,FALSE)</f>
        <v>91773</v>
      </c>
      <c r="G161" s="289">
        <f>VLOOKUP($A161,K0kommunestruktur2019!$A$4:$N$425,K0kommunestruktur2020altern!G$3,FALSE)</f>
        <v>4429</v>
      </c>
      <c r="H161" s="177">
        <f>VLOOKUP($A161,K0kommunestruktur2019!$A$4:$N$425,K0kommunestruktur2020altern!H$3,FALSE)</f>
        <v>97563</v>
      </c>
      <c r="I161" s="289">
        <f>VLOOKUP($A161,K0kommunestruktur2019!$A$4:$N$425,K0kommunestruktur2020altern!I$3,FALSE)</f>
        <v>4518</v>
      </c>
      <c r="J161" s="177">
        <f>VLOOKUP($A161,K0kommunestruktur2019!$A$4:$N$425,K0kommunestruktur2020altern!J$3,FALSE)</f>
        <v>101766</v>
      </c>
      <c r="K161" s="289">
        <f>VLOOKUP($A161,K0kommunestruktur2019!$A$4:$N$425,K0kommunestruktur2020altern!K$3,FALSE)</f>
        <v>4480</v>
      </c>
      <c r="L161" s="177">
        <f>VLOOKUP($A161,K0kommunestruktur2019!$A$4:$N$425,K0kommunestruktur2020altern!L$3,FALSE)</f>
        <v>103252</v>
      </c>
      <c r="M161" s="289">
        <f>VLOOKUP($A161,K0kommunestruktur2019!$A$4:$N$425,K0kommunestruktur2020altern!M$3,FALSE)</f>
        <v>4407</v>
      </c>
      <c r="N161" s="177">
        <f>VLOOKUP($A161,K0kommunestruktur2019!$A$4:$N$425,K0kommunestruktur2020altern!N$3,FALSE)</f>
        <v>107897</v>
      </c>
      <c r="O161" s="289">
        <f>+'K20'!C161</f>
        <v>4356</v>
      </c>
      <c r="P161" s="177">
        <f>+'K20'!Z161</f>
        <v>106391</v>
      </c>
      <c r="R161" s="517"/>
    </row>
    <row r="162" spans="1:18" ht="13">
      <c r="A162" s="865">
        <v>3423</v>
      </c>
      <c r="B162" s="866" t="s">
        <v>837</v>
      </c>
      <c r="C162" s="289">
        <f>VLOOKUP($A162,K0kommunestruktur2019!$A$4:$N$425,K0kommunestruktur2020altern!C$3,FALSE)</f>
        <v>2699</v>
      </c>
      <c r="D162" s="177">
        <f>VLOOKUP($A162,K0kommunestruktur2019!$A$4:$N$425,K0kommunestruktur2020altern!D$3,FALSE)</f>
        <v>45450</v>
      </c>
      <c r="E162" s="289">
        <f>VLOOKUP($A162,K0kommunestruktur2019!$A$4:$N$425,K0kommunestruktur2020altern!E$3,FALSE)</f>
        <v>2619</v>
      </c>
      <c r="F162" s="177">
        <f>VLOOKUP($A162,K0kommunestruktur2019!$A$4:$N$425,K0kommunestruktur2020altern!F$3,FALSE)</f>
        <v>46804</v>
      </c>
      <c r="G162" s="289">
        <f>VLOOKUP($A162,K0kommunestruktur2019!$A$4:$N$425,K0kommunestruktur2020altern!G$3,FALSE)</f>
        <v>2600</v>
      </c>
      <c r="H162" s="177">
        <f>VLOOKUP($A162,K0kommunestruktur2019!$A$4:$N$425,K0kommunestruktur2020altern!H$3,FALSE)</f>
        <v>51442</v>
      </c>
      <c r="I162" s="289">
        <f>VLOOKUP($A162,K0kommunestruktur2019!$A$4:$N$425,K0kommunestruktur2020altern!I$3,FALSE)</f>
        <v>2530</v>
      </c>
      <c r="J162" s="177">
        <f>VLOOKUP($A162,K0kommunestruktur2019!$A$4:$N$425,K0kommunestruktur2020altern!J$3,FALSE)</f>
        <v>55098</v>
      </c>
      <c r="K162" s="289">
        <f>VLOOKUP($A162,K0kommunestruktur2019!$A$4:$N$425,K0kommunestruktur2020altern!K$3,FALSE)</f>
        <v>2490</v>
      </c>
      <c r="L162" s="177">
        <f>VLOOKUP($A162,K0kommunestruktur2019!$A$4:$N$425,K0kommunestruktur2020altern!L$3,FALSE)</f>
        <v>52624</v>
      </c>
      <c r="M162" s="289">
        <f>VLOOKUP($A162,K0kommunestruktur2019!$A$4:$N$425,K0kommunestruktur2020altern!M$3,FALSE)</f>
        <v>2459</v>
      </c>
      <c r="N162" s="177">
        <f>VLOOKUP($A162,K0kommunestruktur2019!$A$4:$N$425,K0kommunestruktur2020altern!N$3,FALSE)</f>
        <v>53442</v>
      </c>
      <c r="O162" s="289">
        <f>+'K20'!C162</f>
        <v>2419</v>
      </c>
      <c r="P162" s="177">
        <f>+'K20'!Z162</f>
        <v>53832</v>
      </c>
      <c r="R162" s="517"/>
    </row>
    <row r="163" spans="1:18" ht="13">
      <c r="A163" s="865">
        <v>3424</v>
      </c>
      <c r="B163" s="866" t="s">
        <v>838</v>
      </c>
      <c r="C163" s="289">
        <f>VLOOKUP($A163,K0kommunestruktur2019!$A$4:$N$425,K0kommunestruktur2020altern!C$3,FALSE)</f>
        <v>1883</v>
      </c>
      <c r="D163" s="177">
        <f>VLOOKUP($A163,K0kommunestruktur2019!$A$4:$N$425,K0kommunestruktur2020altern!D$3,FALSE)</f>
        <v>37165</v>
      </c>
      <c r="E163" s="289">
        <f>VLOOKUP($A163,K0kommunestruktur2019!$A$4:$N$425,K0kommunestruktur2020altern!E$3,FALSE)</f>
        <v>1885</v>
      </c>
      <c r="F163" s="177">
        <f>VLOOKUP($A163,K0kommunestruktur2019!$A$4:$N$425,K0kommunestruktur2020altern!F$3,FALSE)</f>
        <v>39705</v>
      </c>
      <c r="G163" s="289">
        <f>VLOOKUP($A163,K0kommunestruktur2019!$A$4:$N$425,K0kommunestruktur2020altern!G$3,FALSE)</f>
        <v>1881</v>
      </c>
      <c r="H163" s="177">
        <f>VLOOKUP($A163,K0kommunestruktur2019!$A$4:$N$425,K0kommunestruktur2020altern!H$3,FALSE)</f>
        <v>41109</v>
      </c>
      <c r="I163" s="289">
        <f>VLOOKUP($A163,K0kommunestruktur2019!$A$4:$N$425,K0kommunestruktur2020altern!I$3,FALSE)</f>
        <v>1858</v>
      </c>
      <c r="J163" s="177">
        <f>VLOOKUP($A163,K0kommunestruktur2019!$A$4:$N$425,K0kommunestruktur2020altern!J$3,FALSE)</f>
        <v>41486</v>
      </c>
      <c r="K163" s="289">
        <f>VLOOKUP($A163,K0kommunestruktur2019!$A$4:$N$425,K0kommunestruktur2020altern!K$3,FALSE)</f>
        <v>1827</v>
      </c>
      <c r="L163" s="177">
        <f>VLOOKUP($A163,K0kommunestruktur2019!$A$4:$N$425,K0kommunestruktur2020altern!L$3,FALSE)</f>
        <v>42432</v>
      </c>
      <c r="M163" s="289">
        <f>VLOOKUP($A163,K0kommunestruktur2019!$A$4:$N$425,K0kommunestruktur2020altern!M$3,FALSE)</f>
        <v>1791</v>
      </c>
      <c r="N163" s="177">
        <f>VLOOKUP($A163,K0kommunestruktur2019!$A$4:$N$425,K0kommunestruktur2020altern!N$3,FALSE)</f>
        <v>42521</v>
      </c>
      <c r="O163" s="289">
        <f>+'K20'!C163</f>
        <v>1780</v>
      </c>
      <c r="P163" s="177">
        <f>+'K20'!Z163</f>
        <v>41561</v>
      </c>
      <c r="R163" s="517"/>
    </row>
    <row r="164" spans="1:18" ht="13">
      <c r="A164" s="865">
        <v>3425</v>
      </c>
      <c r="B164" s="866" t="s">
        <v>839</v>
      </c>
      <c r="C164" s="289">
        <f>VLOOKUP($A164,K0kommunestruktur2019!$A$4:$N$425,K0kommunestruktur2020altern!C$3,FALSE)</f>
        <v>1345</v>
      </c>
      <c r="D164" s="177">
        <f>VLOOKUP($A164,K0kommunestruktur2019!$A$4:$N$425,K0kommunestruktur2020altern!D$3,FALSE)</f>
        <v>21656</v>
      </c>
      <c r="E164" s="289">
        <f>VLOOKUP($A164,K0kommunestruktur2019!$A$4:$N$425,K0kommunestruktur2020altern!E$3,FALSE)</f>
        <v>1359</v>
      </c>
      <c r="F164" s="177">
        <f>VLOOKUP($A164,K0kommunestruktur2019!$A$4:$N$425,K0kommunestruktur2020altern!F$3,FALSE)</f>
        <v>23795</v>
      </c>
      <c r="G164" s="289">
        <f>VLOOKUP($A164,K0kommunestruktur2019!$A$4:$N$425,K0kommunestruktur2020altern!G$3,FALSE)</f>
        <v>1305</v>
      </c>
      <c r="H164" s="177">
        <f>VLOOKUP($A164,K0kommunestruktur2019!$A$4:$N$425,K0kommunestruktur2020altern!H$3,FALSE)</f>
        <v>24758</v>
      </c>
      <c r="I164" s="289">
        <f>VLOOKUP($A164,K0kommunestruktur2019!$A$4:$N$425,K0kommunestruktur2020altern!I$3,FALSE)</f>
        <v>1274</v>
      </c>
      <c r="J164" s="177">
        <f>VLOOKUP($A164,K0kommunestruktur2019!$A$4:$N$425,K0kommunestruktur2020altern!J$3,FALSE)</f>
        <v>26109</v>
      </c>
      <c r="K164" s="289">
        <f>VLOOKUP($A164,K0kommunestruktur2019!$A$4:$N$425,K0kommunestruktur2020altern!K$3,FALSE)</f>
        <v>1294</v>
      </c>
      <c r="L164" s="177">
        <f>VLOOKUP($A164,K0kommunestruktur2019!$A$4:$N$425,K0kommunestruktur2020altern!L$3,FALSE)</f>
        <v>27184</v>
      </c>
      <c r="M164" s="289">
        <f>VLOOKUP($A164,K0kommunestruktur2019!$A$4:$N$425,K0kommunestruktur2020altern!M$3,FALSE)</f>
        <v>1286</v>
      </c>
      <c r="N164" s="177">
        <f>VLOOKUP($A164,K0kommunestruktur2019!$A$4:$N$425,K0kommunestruktur2020altern!N$3,FALSE)</f>
        <v>29586</v>
      </c>
      <c r="O164" s="289">
        <f>+'K20'!C164</f>
        <v>1268</v>
      </c>
      <c r="P164" s="177">
        <f>+'K20'!Z164</f>
        <v>28030</v>
      </c>
      <c r="R164" s="517"/>
    </row>
    <row r="165" spans="1:18" ht="13">
      <c r="A165" s="865">
        <v>3426</v>
      </c>
      <c r="B165" s="866" t="s">
        <v>840</v>
      </c>
      <c r="C165" s="289">
        <f>VLOOKUP($A165,K0kommunestruktur2019!$A$4:$N$425,K0kommunestruktur2020altern!C$3,FALSE)</f>
        <v>1658</v>
      </c>
      <c r="D165" s="177">
        <f>VLOOKUP($A165,K0kommunestruktur2019!$A$4:$N$425,K0kommunestruktur2020altern!D$3,FALSE)</f>
        <v>27453</v>
      </c>
      <c r="E165" s="289">
        <f>VLOOKUP($A165,K0kommunestruktur2019!$A$4:$N$425,K0kommunestruktur2020altern!E$3,FALSE)</f>
        <v>1656</v>
      </c>
      <c r="F165" s="177">
        <f>VLOOKUP($A165,K0kommunestruktur2019!$A$4:$N$425,K0kommunestruktur2020altern!F$3,FALSE)</f>
        <v>27218</v>
      </c>
      <c r="G165" s="289">
        <f>VLOOKUP($A165,K0kommunestruktur2019!$A$4:$N$425,K0kommunestruktur2020altern!G$3,FALSE)</f>
        <v>1620</v>
      </c>
      <c r="H165" s="177">
        <f>VLOOKUP($A165,K0kommunestruktur2019!$A$4:$N$425,K0kommunestruktur2020altern!H$3,FALSE)</f>
        <v>30445</v>
      </c>
      <c r="I165" s="289">
        <f>VLOOKUP($A165,K0kommunestruktur2019!$A$4:$N$425,K0kommunestruktur2020altern!I$3,FALSE)</f>
        <v>1620</v>
      </c>
      <c r="J165" s="177">
        <f>VLOOKUP($A165,K0kommunestruktur2019!$A$4:$N$425,K0kommunestruktur2020altern!J$3,FALSE)</f>
        <v>29844</v>
      </c>
      <c r="K165" s="289">
        <f>VLOOKUP($A165,K0kommunestruktur2019!$A$4:$N$425,K0kommunestruktur2020altern!K$3,FALSE)</f>
        <v>1553</v>
      </c>
      <c r="L165" s="177">
        <f>VLOOKUP($A165,K0kommunestruktur2019!$A$4:$N$425,K0kommunestruktur2020altern!L$3,FALSE)</f>
        <v>29834</v>
      </c>
      <c r="M165" s="289">
        <f>VLOOKUP($A165,K0kommunestruktur2019!$A$4:$N$425,K0kommunestruktur2020altern!M$3,FALSE)</f>
        <v>1551</v>
      </c>
      <c r="N165" s="177">
        <f>VLOOKUP($A165,K0kommunestruktur2019!$A$4:$N$425,K0kommunestruktur2020altern!N$3,FALSE)</f>
        <v>31981</v>
      </c>
      <c r="O165" s="289">
        <f>+'K20'!C165</f>
        <v>1562</v>
      </c>
      <c r="P165" s="177">
        <f>+'K20'!Z165</f>
        <v>32457</v>
      </c>
      <c r="R165" s="517"/>
    </row>
    <row r="166" spans="1:18" ht="13">
      <c r="A166" s="865">
        <v>3427</v>
      </c>
      <c r="B166" s="866" t="s">
        <v>841</v>
      </c>
      <c r="C166" s="289">
        <f>VLOOKUP($A166,K0kommunestruktur2019!$A$4:$N$425,K0kommunestruktur2020altern!C$3,FALSE)</f>
        <v>5549</v>
      </c>
      <c r="D166" s="177">
        <f>VLOOKUP($A166,K0kommunestruktur2019!$A$4:$N$425,K0kommunestruktur2020altern!D$3,FALSE)</f>
        <v>107680</v>
      </c>
      <c r="E166" s="289">
        <f>VLOOKUP($A166,K0kommunestruktur2019!$A$4:$N$425,K0kommunestruktur2020altern!E$3,FALSE)</f>
        <v>5562</v>
      </c>
      <c r="F166" s="177">
        <f>VLOOKUP($A166,K0kommunestruktur2019!$A$4:$N$425,K0kommunestruktur2020altern!F$3,FALSE)</f>
        <v>113932</v>
      </c>
      <c r="G166" s="289">
        <f>VLOOKUP($A166,K0kommunestruktur2019!$A$4:$N$425,K0kommunestruktur2020altern!G$3,FALSE)</f>
        <v>5580</v>
      </c>
      <c r="H166" s="177">
        <f>VLOOKUP($A166,K0kommunestruktur2019!$A$4:$N$425,K0kommunestruktur2020altern!H$3,FALSE)</f>
        <v>122027</v>
      </c>
      <c r="I166" s="289">
        <f>VLOOKUP($A166,K0kommunestruktur2019!$A$4:$N$425,K0kommunestruktur2020altern!I$3,FALSE)</f>
        <v>5584</v>
      </c>
      <c r="J166" s="177">
        <f>VLOOKUP($A166,K0kommunestruktur2019!$A$4:$N$425,K0kommunestruktur2020altern!J$3,FALSE)</f>
        <v>130470</v>
      </c>
      <c r="K166" s="289">
        <f>VLOOKUP($A166,K0kommunestruktur2019!$A$4:$N$425,K0kommunestruktur2020altern!K$3,FALSE)</f>
        <v>5605</v>
      </c>
      <c r="L166" s="177">
        <f>VLOOKUP($A166,K0kommunestruktur2019!$A$4:$N$425,K0kommunestruktur2020altern!L$3,FALSE)</f>
        <v>136219</v>
      </c>
      <c r="M166" s="289">
        <f>VLOOKUP($A166,K0kommunestruktur2019!$A$4:$N$425,K0kommunestruktur2020altern!M$3,FALSE)</f>
        <v>5591</v>
      </c>
      <c r="N166" s="177">
        <f>VLOOKUP($A166,K0kommunestruktur2019!$A$4:$N$425,K0kommunestruktur2020altern!N$3,FALSE)</f>
        <v>138237</v>
      </c>
      <c r="O166" s="289">
        <f>+'K20'!C166</f>
        <v>5578</v>
      </c>
      <c r="P166" s="177">
        <f>+'K20'!Z166</f>
        <v>140883</v>
      </c>
      <c r="R166" s="517"/>
    </row>
    <row r="167" spans="1:18" ht="13">
      <c r="A167" s="865">
        <v>3428</v>
      </c>
      <c r="B167" s="866" t="s">
        <v>842</v>
      </c>
      <c r="C167" s="289">
        <f>VLOOKUP($A167,K0kommunestruktur2019!$A$4:$N$425,K0kommunestruktur2020altern!C$3,FALSE)</f>
        <v>2432</v>
      </c>
      <c r="D167" s="177">
        <f>VLOOKUP($A167,K0kommunestruktur2019!$A$4:$N$425,K0kommunestruktur2020altern!D$3,FALSE)</f>
        <v>48352</v>
      </c>
      <c r="E167" s="289">
        <f>VLOOKUP($A167,K0kommunestruktur2019!$A$4:$N$425,K0kommunestruktur2020altern!E$3,FALSE)</f>
        <v>2418</v>
      </c>
      <c r="F167" s="177">
        <f>VLOOKUP($A167,K0kommunestruktur2019!$A$4:$N$425,K0kommunestruktur2020altern!F$3,FALSE)</f>
        <v>49066</v>
      </c>
      <c r="G167" s="289">
        <f>VLOOKUP($A167,K0kommunestruktur2019!$A$4:$N$425,K0kommunestruktur2020altern!G$3,FALSE)</f>
        <v>2426</v>
      </c>
      <c r="H167" s="177">
        <f>VLOOKUP($A167,K0kommunestruktur2019!$A$4:$N$425,K0kommunestruktur2020altern!H$3,FALSE)</f>
        <v>52913</v>
      </c>
      <c r="I167" s="289">
        <f>VLOOKUP($A167,K0kommunestruktur2019!$A$4:$N$425,K0kommunestruktur2020altern!I$3,FALSE)</f>
        <v>2441</v>
      </c>
      <c r="J167" s="177">
        <f>VLOOKUP($A167,K0kommunestruktur2019!$A$4:$N$425,K0kommunestruktur2020altern!J$3,FALSE)</f>
        <v>59525</v>
      </c>
      <c r="K167" s="289">
        <f>VLOOKUP($A167,K0kommunestruktur2019!$A$4:$N$425,K0kommunestruktur2020altern!K$3,FALSE)</f>
        <v>2424</v>
      </c>
      <c r="L167" s="177">
        <f>VLOOKUP($A167,K0kommunestruktur2019!$A$4:$N$425,K0kommunestruktur2020altern!L$3,FALSE)</f>
        <v>59910</v>
      </c>
      <c r="M167" s="289">
        <f>VLOOKUP($A167,K0kommunestruktur2019!$A$4:$N$425,K0kommunestruktur2020altern!M$3,FALSE)</f>
        <v>2418</v>
      </c>
      <c r="N167" s="177">
        <f>VLOOKUP($A167,K0kommunestruktur2019!$A$4:$N$425,K0kommunestruktur2020altern!N$3,FALSE)</f>
        <v>59219</v>
      </c>
      <c r="O167" s="289">
        <f>+'K20'!C167</f>
        <v>2432</v>
      </c>
      <c r="P167" s="177">
        <f>+'K20'!Z167</f>
        <v>59798</v>
      </c>
      <c r="R167" s="517"/>
    </row>
    <row r="168" spans="1:18" ht="13">
      <c r="A168" s="865">
        <v>3429</v>
      </c>
      <c r="B168" s="866" t="s">
        <v>843</v>
      </c>
      <c r="C168" s="289">
        <f>VLOOKUP($A168,K0kommunestruktur2019!$A$4:$N$425,K0kommunestruktur2020altern!C$3,FALSE)</f>
        <v>1631</v>
      </c>
      <c r="D168" s="177">
        <f>VLOOKUP($A168,K0kommunestruktur2019!$A$4:$N$425,K0kommunestruktur2020altern!D$3,FALSE)</f>
        <v>28026</v>
      </c>
      <c r="E168" s="289">
        <f>VLOOKUP($A168,K0kommunestruktur2019!$A$4:$N$425,K0kommunestruktur2020altern!E$3,FALSE)</f>
        <v>1597</v>
      </c>
      <c r="F168" s="177">
        <f>VLOOKUP($A168,K0kommunestruktur2019!$A$4:$N$425,K0kommunestruktur2020altern!F$3,FALSE)</f>
        <v>29300</v>
      </c>
      <c r="G168" s="289">
        <f>VLOOKUP($A168,K0kommunestruktur2019!$A$4:$N$425,K0kommunestruktur2020altern!G$3,FALSE)</f>
        <v>1592</v>
      </c>
      <c r="H168" s="177">
        <f>VLOOKUP($A168,K0kommunestruktur2019!$A$4:$N$425,K0kommunestruktur2020altern!H$3,FALSE)</f>
        <v>31621</v>
      </c>
      <c r="I168" s="289">
        <f>VLOOKUP($A168,K0kommunestruktur2019!$A$4:$N$425,K0kommunestruktur2020altern!I$3,FALSE)</f>
        <v>1577</v>
      </c>
      <c r="J168" s="177">
        <f>VLOOKUP($A168,K0kommunestruktur2019!$A$4:$N$425,K0kommunestruktur2020altern!J$3,FALSE)</f>
        <v>31809</v>
      </c>
      <c r="K168" s="289">
        <f>VLOOKUP($A168,K0kommunestruktur2019!$A$4:$N$425,K0kommunestruktur2020altern!K$3,FALSE)</f>
        <v>1569</v>
      </c>
      <c r="L168" s="177">
        <f>VLOOKUP($A168,K0kommunestruktur2019!$A$4:$N$425,K0kommunestruktur2020altern!L$3,FALSE)</f>
        <v>32557</v>
      </c>
      <c r="M168" s="289">
        <f>VLOOKUP($A168,K0kommunestruktur2019!$A$4:$N$425,K0kommunestruktur2020altern!M$3,FALSE)</f>
        <v>1577</v>
      </c>
      <c r="N168" s="177">
        <f>VLOOKUP($A168,K0kommunestruktur2019!$A$4:$N$425,K0kommunestruktur2020altern!N$3,FALSE)</f>
        <v>35614</v>
      </c>
      <c r="O168" s="289">
        <f>+'K20'!C168</f>
        <v>1545</v>
      </c>
      <c r="P168" s="177">
        <f>+'K20'!Z168</f>
        <v>35491</v>
      </c>
      <c r="R168" s="517"/>
    </row>
    <row r="169" spans="1:18" ht="13">
      <c r="A169" s="865">
        <v>3430</v>
      </c>
      <c r="B169" s="866" t="s">
        <v>844</v>
      </c>
      <c r="C169" s="289">
        <f>VLOOKUP($A169,K0kommunestruktur2019!$A$4:$N$425,K0kommunestruktur2020altern!C$3,FALSE)</f>
        <v>2013</v>
      </c>
      <c r="D169" s="177">
        <f>VLOOKUP($A169,K0kommunestruktur2019!$A$4:$N$425,K0kommunestruktur2020altern!D$3,FALSE)</f>
        <v>35911</v>
      </c>
      <c r="E169" s="289">
        <f>VLOOKUP($A169,K0kommunestruktur2019!$A$4:$N$425,K0kommunestruktur2020altern!E$3,FALSE)</f>
        <v>1991</v>
      </c>
      <c r="F169" s="177">
        <f>VLOOKUP($A169,K0kommunestruktur2019!$A$4:$N$425,K0kommunestruktur2020altern!F$3,FALSE)</f>
        <v>38018</v>
      </c>
      <c r="G169" s="289">
        <f>VLOOKUP($A169,K0kommunestruktur2019!$A$4:$N$425,K0kommunestruktur2020altern!G$3,FALSE)</f>
        <v>1956</v>
      </c>
      <c r="H169" s="177">
        <f>VLOOKUP($A169,K0kommunestruktur2019!$A$4:$N$425,K0kommunestruktur2020altern!H$3,FALSE)</f>
        <v>40273</v>
      </c>
      <c r="I169" s="289">
        <f>VLOOKUP($A169,K0kommunestruktur2019!$A$4:$N$425,K0kommunestruktur2020altern!I$3,FALSE)</f>
        <v>1963</v>
      </c>
      <c r="J169" s="177">
        <f>VLOOKUP($A169,K0kommunestruktur2019!$A$4:$N$425,K0kommunestruktur2020altern!J$3,FALSE)</f>
        <v>40847</v>
      </c>
      <c r="K169" s="289">
        <f>VLOOKUP($A169,K0kommunestruktur2019!$A$4:$N$425,K0kommunestruktur2020altern!K$3,FALSE)</f>
        <v>1936</v>
      </c>
      <c r="L169" s="177">
        <f>VLOOKUP($A169,K0kommunestruktur2019!$A$4:$N$425,K0kommunestruktur2020altern!L$3,FALSE)</f>
        <v>42580</v>
      </c>
      <c r="M169" s="289">
        <f>VLOOKUP($A169,K0kommunestruktur2019!$A$4:$N$425,K0kommunestruktur2020altern!M$3,FALSE)</f>
        <v>1912</v>
      </c>
      <c r="N169" s="177">
        <f>VLOOKUP($A169,K0kommunestruktur2019!$A$4:$N$425,K0kommunestruktur2020altern!N$3,FALSE)</f>
        <v>46734</v>
      </c>
      <c r="O169" s="289">
        <f>+'K20'!C169</f>
        <v>1891</v>
      </c>
      <c r="P169" s="177">
        <f>+'K20'!Z169</f>
        <v>68420</v>
      </c>
      <c r="R169" s="517"/>
    </row>
    <row r="170" spans="1:18" ht="13">
      <c r="A170" s="865">
        <v>3431</v>
      </c>
      <c r="B170" s="866" t="s">
        <v>847</v>
      </c>
      <c r="C170" s="289">
        <f>VLOOKUP($A170,K0kommunestruktur2019!$A$4:$N$425,K0kommunestruktur2020altern!C$3,FALSE)</f>
        <v>2704</v>
      </c>
      <c r="D170" s="177">
        <f>VLOOKUP($A170,K0kommunestruktur2019!$A$4:$N$425,K0kommunestruktur2020altern!D$3,FALSE)</f>
        <v>50086</v>
      </c>
      <c r="E170" s="289">
        <f>VLOOKUP($A170,K0kommunestruktur2019!$A$4:$N$425,K0kommunestruktur2020altern!E$3,FALSE)</f>
        <v>2745</v>
      </c>
      <c r="F170" s="177">
        <f>VLOOKUP($A170,K0kommunestruktur2019!$A$4:$N$425,K0kommunestruktur2020altern!F$3,FALSE)</f>
        <v>54394</v>
      </c>
      <c r="G170" s="289">
        <f>VLOOKUP($A170,K0kommunestruktur2019!$A$4:$N$425,K0kommunestruktur2020altern!G$3,FALSE)</f>
        <v>2701</v>
      </c>
      <c r="H170" s="177">
        <f>VLOOKUP($A170,K0kommunestruktur2019!$A$4:$N$425,K0kommunestruktur2020altern!H$3,FALSE)</f>
        <v>59477</v>
      </c>
      <c r="I170" s="289">
        <f>VLOOKUP($A170,K0kommunestruktur2019!$A$4:$N$425,K0kommunestruktur2020altern!I$3,FALSE)</f>
        <v>2675</v>
      </c>
      <c r="J170" s="177">
        <f>VLOOKUP($A170,K0kommunestruktur2019!$A$4:$N$425,K0kommunestruktur2020altern!J$3,FALSE)</f>
        <v>58760</v>
      </c>
      <c r="K170" s="289">
        <f>VLOOKUP($A170,K0kommunestruktur2019!$A$4:$N$425,K0kommunestruktur2020altern!K$3,FALSE)</f>
        <v>2642</v>
      </c>
      <c r="L170" s="177">
        <f>VLOOKUP($A170,K0kommunestruktur2019!$A$4:$N$425,K0kommunestruktur2020altern!L$3,FALSE)</f>
        <v>61104</v>
      </c>
      <c r="M170" s="289">
        <f>VLOOKUP($A170,K0kommunestruktur2019!$A$4:$N$425,K0kommunestruktur2020altern!M$3,FALSE)</f>
        <v>2615</v>
      </c>
      <c r="N170" s="177">
        <f>VLOOKUP($A170,K0kommunestruktur2019!$A$4:$N$425,K0kommunestruktur2020altern!N$3,FALSE)</f>
        <v>62336</v>
      </c>
      <c r="O170" s="289">
        <f>+'K20'!C170</f>
        <v>2553</v>
      </c>
      <c r="P170" s="177">
        <f>+'K20'!Z170</f>
        <v>58865</v>
      </c>
      <c r="R170" s="517"/>
    </row>
    <row r="171" spans="1:18" ht="13">
      <c r="A171" s="865">
        <v>3432</v>
      </c>
      <c r="B171" s="866" t="s">
        <v>848</v>
      </c>
      <c r="C171" s="289">
        <f>VLOOKUP($A171,K0kommunestruktur2019!$A$4:$N$425,K0kommunestruktur2020altern!C$3,FALSE)</f>
        <v>2076</v>
      </c>
      <c r="D171" s="177">
        <f>VLOOKUP($A171,K0kommunestruktur2019!$A$4:$N$425,K0kommunestruktur2020altern!D$3,FALSE)</f>
        <v>38506</v>
      </c>
      <c r="E171" s="289">
        <f>VLOOKUP($A171,K0kommunestruktur2019!$A$4:$N$425,K0kommunestruktur2020altern!E$3,FALSE)</f>
        <v>2059</v>
      </c>
      <c r="F171" s="177">
        <f>VLOOKUP($A171,K0kommunestruktur2019!$A$4:$N$425,K0kommunestruktur2020altern!F$3,FALSE)</f>
        <v>41423</v>
      </c>
      <c r="G171" s="289">
        <f>VLOOKUP($A171,K0kommunestruktur2019!$A$4:$N$425,K0kommunestruktur2020altern!G$3,FALSE)</f>
        <v>2055</v>
      </c>
      <c r="H171" s="177">
        <f>VLOOKUP($A171,K0kommunestruktur2019!$A$4:$N$425,K0kommunestruktur2020altern!H$3,FALSE)</f>
        <v>46978</v>
      </c>
      <c r="I171" s="289">
        <f>VLOOKUP($A171,K0kommunestruktur2019!$A$4:$N$425,K0kommunestruktur2020altern!I$3,FALSE)</f>
        <v>2048</v>
      </c>
      <c r="J171" s="177">
        <f>VLOOKUP($A171,K0kommunestruktur2019!$A$4:$N$425,K0kommunestruktur2020altern!J$3,FALSE)</f>
        <v>48600</v>
      </c>
      <c r="K171" s="289">
        <f>VLOOKUP($A171,K0kommunestruktur2019!$A$4:$N$425,K0kommunestruktur2020altern!K$3,FALSE)</f>
        <v>2038</v>
      </c>
      <c r="L171" s="177">
        <f>VLOOKUP($A171,K0kommunestruktur2019!$A$4:$N$425,K0kommunestruktur2020altern!L$3,FALSE)</f>
        <v>49147</v>
      </c>
      <c r="M171" s="289">
        <f>VLOOKUP($A171,K0kommunestruktur2019!$A$4:$N$425,K0kommunestruktur2020altern!M$3,FALSE)</f>
        <v>2009</v>
      </c>
      <c r="N171" s="177">
        <f>VLOOKUP($A171,K0kommunestruktur2019!$A$4:$N$425,K0kommunestruktur2020altern!N$3,FALSE)</f>
        <v>49891</v>
      </c>
      <c r="O171" s="289">
        <f>+'K20'!C171</f>
        <v>1975</v>
      </c>
      <c r="P171" s="177">
        <f>+'K20'!Z171</f>
        <v>48613</v>
      </c>
      <c r="R171" s="517"/>
    </row>
    <row r="172" spans="1:18" ht="13">
      <c r="A172" s="865">
        <v>3433</v>
      </c>
      <c r="B172" s="866" t="s">
        <v>849</v>
      </c>
      <c r="C172" s="289">
        <f>VLOOKUP($A172,K0kommunestruktur2019!$A$4:$N$425,K0kommunestruktur2020altern!C$3,FALSE)</f>
        <v>2264</v>
      </c>
      <c r="D172" s="177">
        <f>VLOOKUP($A172,K0kommunestruktur2019!$A$4:$N$425,K0kommunestruktur2020altern!D$3,FALSE)</f>
        <v>54288</v>
      </c>
      <c r="E172" s="289">
        <f>VLOOKUP($A172,K0kommunestruktur2019!$A$4:$N$425,K0kommunestruktur2020altern!E$3,FALSE)</f>
        <v>2245</v>
      </c>
      <c r="F172" s="177">
        <f>VLOOKUP($A172,K0kommunestruktur2019!$A$4:$N$425,K0kommunestruktur2020altern!F$3,FALSE)</f>
        <v>57843</v>
      </c>
      <c r="G172" s="289">
        <f>VLOOKUP($A172,K0kommunestruktur2019!$A$4:$N$425,K0kommunestruktur2020altern!G$3,FALSE)</f>
        <v>2204</v>
      </c>
      <c r="H172" s="177">
        <f>VLOOKUP($A172,K0kommunestruktur2019!$A$4:$N$425,K0kommunestruktur2020altern!H$3,FALSE)</f>
        <v>56347</v>
      </c>
      <c r="I172" s="289">
        <f>VLOOKUP($A172,K0kommunestruktur2019!$A$4:$N$425,K0kommunestruktur2020altern!I$3,FALSE)</f>
        <v>2202</v>
      </c>
      <c r="J172" s="177">
        <f>VLOOKUP($A172,K0kommunestruktur2019!$A$4:$N$425,K0kommunestruktur2020altern!J$3,FALSE)</f>
        <v>57765</v>
      </c>
      <c r="K172" s="289">
        <f>VLOOKUP($A172,K0kommunestruktur2019!$A$4:$N$425,K0kommunestruktur2020altern!K$3,FALSE)</f>
        <v>2179</v>
      </c>
      <c r="L172" s="177">
        <f>VLOOKUP($A172,K0kommunestruktur2019!$A$4:$N$425,K0kommunestruktur2020altern!L$3,FALSE)</f>
        <v>59712</v>
      </c>
      <c r="M172" s="289">
        <f>VLOOKUP($A172,K0kommunestruktur2019!$A$4:$N$425,K0kommunestruktur2020altern!M$3,FALSE)</f>
        <v>2204</v>
      </c>
      <c r="N172" s="177">
        <f>VLOOKUP($A172,K0kommunestruktur2019!$A$4:$N$425,K0kommunestruktur2020altern!N$3,FALSE)</f>
        <v>61022</v>
      </c>
      <c r="O172" s="289">
        <f>+'K20'!C172</f>
        <v>2197</v>
      </c>
      <c r="P172" s="177">
        <f>+'K20'!Z172</f>
        <v>62348</v>
      </c>
      <c r="R172" s="517"/>
    </row>
    <row r="173" spans="1:18" ht="13">
      <c r="A173" s="865">
        <v>3434</v>
      </c>
      <c r="B173" s="866" t="s">
        <v>850</v>
      </c>
      <c r="C173" s="289">
        <f>VLOOKUP($A173,K0kommunestruktur2019!$A$4:$N$425,K0kommunestruktur2020altern!C$3,FALSE)</f>
        <v>2361</v>
      </c>
      <c r="D173" s="177">
        <f>VLOOKUP($A173,K0kommunestruktur2019!$A$4:$N$425,K0kommunestruktur2020altern!D$3,FALSE)</f>
        <v>45505</v>
      </c>
      <c r="E173" s="289">
        <f>VLOOKUP($A173,K0kommunestruktur2019!$A$4:$N$425,K0kommunestruktur2020altern!E$3,FALSE)</f>
        <v>2356</v>
      </c>
      <c r="F173" s="177">
        <f>VLOOKUP($A173,K0kommunestruktur2019!$A$4:$N$425,K0kommunestruktur2020altern!F$3,FALSE)</f>
        <v>48209</v>
      </c>
      <c r="G173" s="289">
        <f>VLOOKUP($A173,K0kommunestruktur2019!$A$4:$N$425,K0kommunestruktur2020altern!G$3,FALSE)</f>
        <v>2347</v>
      </c>
      <c r="H173" s="177">
        <f>VLOOKUP($A173,K0kommunestruktur2019!$A$4:$N$425,K0kommunestruktur2020altern!H$3,FALSE)</f>
        <v>50742</v>
      </c>
      <c r="I173" s="289">
        <f>VLOOKUP($A173,K0kommunestruktur2019!$A$4:$N$425,K0kommunestruktur2020altern!I$3,FALSE)</f>
        <v>2360</v>
      </c>
      <c r="J173" s="177">
        <f>VLOOKUP($A173,K0kommunestruktur2019!$A$4:$N$425,K0kommunestruktur2020altern!J$3,FALSE)</f>
        <v>52717</v>
      </c>
      <c r="K173" s="289">
        <f>VLOOKUP($A173,K0kommunestruktur2019!$A$4:$N$425,K0kommunestruktur2020altern!K$3,FALSE)</f>
        <v>2331</v>
      </c>
      <c r="L173" s="177">
        <f>VLOOKUP($A173,K0kommunestruktur2019!$A$4:$N$425,K0kommunestruktur2020altern!L$3,FALSE)</f>
        <v>53712</v>
      </c>
      <c r="M173" s="289">
        <f>VLOOKUP($A173,K0kommunestruktur2019!$A$4:$N$425,K0kommunestruktur2020altern!M$3,FALSE)</f>
        <v>2293</v>
      </c>
      <c r="N173" s="177">
        <f>VLOOKUP($A173,K0kommunestruktur2019!$A$4:$N$425,K0kommunestruktur2020altern!N$3,FALSE)</f>
        <v>55282</v>
      </c>
      <c r="O173" s="289">
        <f>+'K20'!C173</f>
        <v>2228</v>
      </c>
      <c r="P173" s="177">
        <f>+'K20'!Z173</f>
        <v>53756</v>
      </c>
      <c r="R173" s="517"/>
    </row>
    <row r="174" spans="1:18" ht="13">
      <c r="A174" s="865">
        <v>3435</v>
      </c>
      <c r="B174" s="866" t="s">
        <v>851</v>
      </c>
      <c r="C174" s="289">
        <f>VLOOKUP($A174,K0kommunestruktur2019!$A$4:$N$425,K0kommunestruktur2020altern!C$3,FALSE)</f>
        <v>3686</v>
      </c>
      <c r="D174" s="177">
        <f>VLOOKUP($A174,K0kommunestruktur2019!$A$4:$N$425,K0kommunestruktur2020altern!D$3,FALSE)</f>
        <v>67094</v>
      </c>
      <c r="E174" s="289">
        <f>VLOOKUP($A174,K0kommunestruktur2019!$A$4:$N$425,K0kommunestruktur2020altern!E$3,FALSE)</f>
        <v>3675</v>
      </c>
      <c r="F174" s="177">
        <f>VLOOKUP($A174,K0kommunestruktur2019!$A$4:$N$425,K0kommunestruktur2020altern!F$3,FALSE)</f>
        <v>69739</v>
      </c>
      <c r="G174" s="289">
        <f>VLOOKUP($A174,K0kommunestruktur2019!$A$4:$N$425,K0kommunestruktur2020altern!G$3,FALSE)</f>
        <v>3664</v>
      </c>
      <c r="H174" s="177">
        <f>VLOOKUP($A174,K0kommunestruktur2019!$A$4:$N$425,K0kommunestruktur2020altern!H$3,FALSE)</f>
        <v>75013</v>
      </c>
      <c r="I174" s="289">
        <f>VLOOKUP($A174,K0kommunestruktur2019!$A$4:$N$425,K0kommunestruktur2020altern!I$3,FALSE)</f>
        <v>3640</v>
      </c>
      <c r="J174" s="177">
        <f>VLOOKUP($A174,K0kommunestruktur2019!$A$4:$N$425,K0kommunestruktur2020altern!J$3,FALSE)</f>
        <v>75847</v>
      </c>
      <c r="K174" s="289">
        <f>VLOOKUP($A174,K0kommunestruktur2019!$A$4:$N$425,K0kommunestruktur2020altern!K$3,FALSE)</f>
        <v>3638</v>
      </c>
      <c r="L174" s="177">
        <f>VLOOKUP($A174,K0kommunestruktur2019!$A$4:$N$425,K0kommunestruktur2020altern!L$3,FALSE)</f>
        <v>88200</v>
      </c>
      <c r="M174" s="289">
        <f>VLOOKUP($A174,K0kommunestruktur2019!$A$4:$N$425,K0kommunestruktur2020altern!M$3,FALSE)</f>
        <v>3589</v>
      </c>
      <c r="N174" s="177">
        <f>VLOOKUP($A174,K0kommunestruktur2019!$A$4:$N$425,K0kommunestruktur2020altern!N$3,FALSE)</f>
        <v>89927</v>
      </c>
      <c r="O174" s="289">
        <f>+'K20'!C174</f>
        <v>3570</v>
      </c>
      <c r="P174" s="177">
        <f>+'K20'!Z174</f>
        <v>85608</v>
      </c>
      <c r="R174" s="517"/>
    </row>
    <row r="175" spans="1:18" ht="13">
      <c r="A175" s="865">
        <v>3436</v>
      </c>
      <c r="B175" s="866" t="s">
        <v>852</v>
      </c>
      <c r="C175" s="289">
        <f>VLOOKUP($A175,K0kommunestruktur2019!$A$4:$N$425,K0kommunestruktur2020altern!C$3,FALSE)</f>
        <v>5765</v>
      </c>
      <c r="D175" s="177">
        <f>VLOOKUP($A175,K0kommunestruktur2019!$A$4:$N$425,K0kommunestruktur2020altern!D$3,FALSE)</f>
        <v>135027</v>
      </c>
      <c r="E175" s="289">
        <f>VLOOKUP($A175,K0kommunestruktur2019!$A$4:$N$425,K0kommunestruktur2020altern!E$3,FALSE)</f>
        <v>5754</v>
      </c>
      <c r="F175" s="177">
        <f>VLOOKUP($A175,K0kommunestruktur2019!$A$4:$N$425,K0kommunestruktur2020altern!F$3,FALSE)</f>
        <v>147197</v>
      </c>
      <c r="G175" s="289">
        <f>VLOOKUP($A175,K0kommunestruktur2019!$A$4:$N$425,K0kommunestruktur2020altern!G$3,FALSE)</f>
        <v>5741</v>
      </c>
      <c r="H175" s="177">
        <f>VLOOKUP($A175,K0kommunestruktur2019!$A$4:$N$425,K0kommunestruktur2020altern!H$3,FALSE)</f>
        <v>156680</v>
      </c>
      <c r="I175" s="289">
        <f>VLOOKUP($A175,K0kommunestruktur2019!$A$4:$N$425,K0kommunestruktur2020altern!I$3,FALSE)</f>
        <v>5723</v>
      </c>
      <c r="J175" s="177">
        <f>VLOOKUP($A175,K0kommunestruktur2019!$A$4:$N$425,K0kommunestruktur2020altern!J$3,FALSE)</f>
        <v>157240</v>
      </c>
      <c r="K175" s="289">
        <f>VLOOKUP($A175,K0kommunestruktur2019!$A$4:$N$425,K0kommunestruktur2020altern!K$3,FALSE)</f>
        <v>5728</v>
      </c>
      <c r="L175" s="177">
        <f>VLOOKUP($A175,K0kommunestruktur2019!$A$4:$N$425,K0kommunestruktur2020altern!L$3,FALSE)</f>
        <v>163384</v>
      </c>
      <c r="M175" s="289">
        <f>VLOOKUP($A175,K0kommunestruktur2019!$A$4:$N$425,K0kommunestruktur2020altern!M$3,FALSE)</f>
        <v>5742</v>
      </c>
      <c r="N175" s="177">
        <f>VLOOKUP($A175,K0kommunestruktur2019!$A$4:$N$425,K0kommunestruktur2020altern!N$3,FALSE)</f>
        <v>163393</v>
      </c>
      <c r="O175" s="289">
        <f>+'K20'!C175</f>
        <v>5723</v>
      </c>
      <c r="P175" s="177">
        <f>+'K20'!Z175</f>
        <v>161716</v>
      </c>
      <c r="R175" s="517"/>
    </row>
    <row r="176" spans="1:18" ht="13">
      <c r="A176" s="865">
        <v>3437</v>
      </c>
      <c r="B176" s="866" t="s">
        <v>853</v>
      </c>
      <c r="C176" s="289">
        <f>VLOOKUP($A176,K0kommunestruktur2019!$A$4:$N$425,K0kommunestruktur2020altern!C$3,FALSE)</f>
        <v>5974</v>
      </c>
      <c r="D176" s="177">
        <f>VLOOKUP($A176,K0kommunestruktur2019!$A$4:$N$425,K0kommunestruktur2020altern!D$3,FALSE)</f>
        <v>99876</v>
      </c>
      <c r="E176" s="289">
        <f>VLOOKUP($A176,K0kommunestruktur2019!$A$4:$N$425,K0kommunestruktur2020altern!E$3,FALSE)</f>
        <v>5965</v>
      </c>
      <c r="F176" s="177">
        <f>VLOOKUP($A176,K0kommunestruktur2019!$A$4:$N$425,K0kommunestruktur2020altern!F$3,FALSE)</f>
        <v>106162</v>
      </c>
      <c r="G176" s="289">
        <f>VLOOKUP($A176,K0kommunestruktur2019!$A$4:$N$425,K0kommunestruktur2020altern!G$3,FALSE)</f>
        <v>5935</v>
      </c>
      <c r="H176" s="177">
        <f>VLOOKUP($A176,K0kommunestruktur2019!$A$4:$N$425,K0kommunestruktur2020altern!H$3,FALSE)</f>
        <v>113135</v>
      </c>
      <c r="I176" s="289">
        <f>VLOOKUP($A176,K0kommunestruktur2019!$A$4:$N$425,K0kommunestruktur2020altern!I$3,FALSE)</f>
        <v>5916</v>
      </c>
      <c r="J176" s="177">
        <f>VLOOKUP($A176,K0kommunestruktur2019!$A$4:$N$425,K0kommunestruktur2020altern!J$3,FALSE)</f>
        <v>115631</v>
      </c>
      <c r="K176" s="289">
        <f>VLOOKUP($A176,K0kommunestruktur2019!$A$4:$N$425,K0kommunestruktur2020altern!K$3,FALSE)</f>
        <v>5872</v>
      </c>
      <c r="L176" s="177">
        <f>VLOOKUP($A176,K0kommunestruktur2019!$A$4:$N$425,K0kommunestruktur2020altern!L$3,FALSE)</f>
        <v>120218</v>
      </c>
      <c r="M176" s="289">
        <f>VLOOKUP($A176,K0kommunestruktur2019!$A$4:$N$425,K0kommunestruktur2020altern!M$3,FALSE)</f>
        <v>5789</v>
      </c>
      <c r="N176" s="177">
        <f>VLOOKUP($A176,K0kommunestruktur2019!$A$4:$N$425,K0kommunestruktur2020altern!N$3,FALSE)</f>
        <v>121998</v>
      </c>
      <c r="O176" s="289">
        <f>+'K20'!C176</f>
        <v>5739</v>
      </c>
      <c r="P176" s="177">
        <f>+'K20'!Z176</f>
        <v>121296</v>
      </c>
      <c r="R176" s="517"/>
    </row>
    <row r="177" spans="1:18" ht="13">
      <c r="A177" s="865">
        <v>3438</v>
      </c>
      <c r="B177" s="866" t="s">
        <v>854</v>
      </c>
      <c r="C177" s="289">
        <f>VLOOKUP($A177,K0kommunestruktur2019!$A$4:$N$425,K0kommunestruktur2020altern!C$3,FALSE)</f>
        <v>3191</v>
      </c>
      <c r="D177" s="177">
        <f>VLOOKUP($A177,K0kommunestruktur2019!$A$4:$N$425,K0kommunestruktur2020altern!D$3,FALSE)</f>
        <v>71560</v>
      </c>
      <c r="E177" s="289">
        <f>VLOOKUP($A177,K0kommunestruktur2019!$A$4:$N$425,K0kommunestruktur2020altern!E$3,FALSE)</f>
        <v>3204</v>
      </c>
      <c r="F177" s="177">
        <f>VLOOKUP($A177,K0kommunestruktur2019!$A$4:$N$425,K0kommunestruktur2020altern!F$3,FALSE)</f>
        <v>72836</v>
      </c>
      <c r="G177" s="289">
        <f>VLOOKUP($A177,K0kommunestruktur2019!$A$4:$N$425,K0kommunestruktur2020altern!G$3,FALSE)</f>
        <v>3154</v>
      </c>
      <c r="H177" s="177">
        <f>VLOOKUP($A177,K0kommunestruktur2019!$A$4:$N$425,K0kommunestruktur2020altern!H$3,FALSE)</f>
        <v>80249</v>
      </c>
      <c r="I177" s="289">
        <f>VLOOKUP($A177,K0kommunestruktur2019!$A$4:$N$425,K0kommunestruktur2020altern!I$3,FALSE)</f>
        <v>3163</v>
      </c>
      <c r="J177" s="177">
        <f>VLOOKUP($A177,K0kommunestruktur2019!$A$4:$N$425,K0kommunestruktur2020altern!J$3,FALSE)</f>
        <v>81548</v>
      </c>
      <c r="K177" s="289">
        <f>VLOOKUP($A177,K0kommunestruktur2019!$A$4:$N$425,K0kommunestruktur2020altern!K$3,FALSE)</f>
        <v>3146</v>
      </c>
      <c r="L177" s="177">
        <f>VLOOKUP($A177,K0kommunestruktur2019!$A$4:$N$425,K0kommunestruktur2020altern!L$3,FALSE)</f>
        <v>85416</v>
      </c>
      <c r="M177" s="289">
        <f>VLOOKUP($A177,K0kommunestruktur2019!$A$4:$N$425,K0kommunestruktur2020altern!M$3,FALSE)</f>
        <v>3127</v>
      </c>
      <c r="N177" s="177">
        <f>VLOOKUP($A177,K0kommunestruktur2019!$A$4:$N$425,K0kommunestruktur2020altern!N$3,FALSE)</f>
        <v>86652</v>
      </c>
      <c r="O177" s="289">
        <f>+'K20'!C177</f>
        <v>3119</v>
      </c>
      <c r="P177" s="177">
        <f>+'K20'!Z177</f>
        <v>83331</v>
      </c>
      <c r="R177" s="517"/>
    </row>
    <row r="178" spans="1:18" ht="13">
      <c r="A178" s="865">
        <v>3439</v>
      </c>
      <c r="B178" s="866" t="s">
        <v>855</v>
      </c>
      <c r="C178" s="289">
        <f>VLOOKUP($A178,K0kommunestruktur2019!$A$4:$N$425,K0kommunestruktur2020altern!C$3,FALSE)</f>
        <v>4495</v>
      </c>
      <c r="D178" s="177">
        <f>VLOOKUP($A178,K0kommunestruktur2019!$A$4:$N$425,K0kommunestruktur2020altern!D$3,FALSE)</f>
        <v>88613</v>
      </c>
      <c r="E178" s="289">
        <f>VLOOKUP($A178,K0kommunestruktur2019!$A$4:$N$425,K0kommunestruktur2020altern!E$3,FALSE)</f>
        <v>4459</v>
      </c>
      <c r="F178" s="177">
        <f>VLOOKUP($A178,K0kommunestruktur2019!$A$4:$N$425,K0kommunestruktur2020altern!F$3,FALSE)</f>
        <v>96151</v>
      </c>
      <c r="G178" s="289">
        <f>VLOOKUP($A178,K0kommunestruktur2019!$A$4:$N$425,K0kommunestruktur2020altern!G$3,FALSE)</f>
        <v>4462</v>
      </c>
      <c r="H178" s="177">
        <f>VLOOKUP($A178,K0kommunestruktur2019!$A$4:$N$425,K0kommunestruktur2020altern!H$3,FALSE)</f>
        <v>103553</v>
      </c>
      <c r="I178" s="289">
        <f>VLOOKUP($A178,K0kommunestruktur2019!$A$4:$N$425,K0kommunestruktur2020altern!I$3,FALSE)</f>
        <v>4502</v>
      </c>
      <c r="J178" s="177">
        <f>VLOOKUP($A178,K0kommunestruktur2019!$A$4:$N$425,K0kommunestruktur2020altern!J$3,FALSE)</f>
        <v>106336</v>
      </c>
      <c r="K178" s="289">
        <f>VLOOKUP($A178,K0kommunestruktur2019!$A$4:$N$425,K0kommunestruktur2020altern!K$3,FALSE)</f>
        <v>4454</v>
      </c>
      <c r="L178" s="177">
        <f>VLOOKUP($A178,K0kommunestruktur2019!$A$4:$N$425,K0kommunestruktur2020altern!L$3,FALSE)</f>
        <v>110978</v>
      </c>
      <c r="M178" s="289">
        <f>VLOOKUP($A178,K0kommunestruktur2019!$A$4:$N$425,K0kommunestruktur2020altern!M$3,FALSE)</f>
        <v>4425</v>
      </c>
      <c r="N178" s="177">
        <f>VLOOKUP($A178,K0kommunestruktur2019!$A$4:$N$425,K0kommunestruktur2020altern!N$3,FALSE)</f>
        <v>118676</v>
      </c>
      <c r="O178" s="289">
        <f>+'K20'!C178</f>
        <v>4392</v>
      </c>
      <c r="P178" s="177">
        <f>+'K20'!Z178</f>
        <v>121117</v>
      </c>
      <c r="R178" s="517"/>
    </row>
    <row r="179" spans="1:18" ht="13">
      <c r="A179" s="865">
        <v>3440</v>
      </c>
      <c r="B179" s="866" t="s">
        <v>856</v>
      </c>
      <c r="C179" s="289">
        <f>VLOOKUP($A179,K0kommunestruktur2019!$A$4:$N$425,K0kommunestruktur2020altern!C$3,FALSE)</f>
        <v>5090</v>
      </c>
      <c r="D179" s="177">
        <f>VLOOKUP($A179,K0kommunestruktur2019!$A$4:$N$425,K0kommunestruktur2020altern!D$3,FALSE)</f>
        <v>116095</v>
      </c>
      <c r="E179" s="289">
        <f>VLOOKUP($A179,K0kommunestruktur2019!$A$4:$N$425,K0kommunestruktur2020altern!E$3,FALSE)</f>
        <v>5065</v>
      </c>
      <c r="F179" s="177">
        <f>VLOOKUP($A179,K0kommunestruktur2019!$A$4:$N$425,K0kommunestruktur2020altern!F$3,FALSE)</f>
        <v>116092</v>
      </c>
      <c r="G179" s="289">
        <f>VLOOKUP($A179,K0kommunestruktur2019!$A$4:$N$425,K0kommunestruktur2020altern!G$3,FALSE)</f>
        <v>5072</v>
      </c>
      <c r="H179" s="177">
        <f>VLOOKUP($A179,K0kommunestruktur2019!$A$4:$N$425,K0kommunestruktur2020altern!H$3,FALSE)</f>
        <v>131318</v>
      </c>
      <c r="I179" s="289">
        <f>VLOOKUP($A179,K0kommunestruktur2019!$A$4:$N$425,K0kommunestruktur2020altern!I$3,FALSE)</f>
        <v>5082</v>
      </c>
      <c r="J179" s="177">
        <f>VLOOKUP($A179,K0kommunestruktur2019!$A$4:$N$425,K0kommunestruktur2020altern!J$3,FALSE)</f>
        <v>140354</v>
      </c>
      <c r="K179" s="289">
        <f>VLOOKUP($A179,K0kommunestruktur2019!$A$4:$N$425,K0kommunestruktur2020altern!K$3,FALSE)</f>
        <v>5130</v>
      </c>
      <c r="L179" s="177">
        <f>VLOOKUP($A179,K0kommunestruktur2019!$A$4:$N$425,K0kommunestruktur2020altern!L$3,FALSE)</f>
        <v>149306</v>
      </c>
      <c r="M179" s="289">
        <f>VLOOKUP($A179,K0kommunestruktur2019!$A$4:$N$425,K0kommunestruktur2020altern!M$3,FALSE)</f>
        <v>5119</v>
      </c>
      <c r="N179" s="177">
        <f>VLOOKUP($A179,K0kommunestruktur2019!$A$4:$N$425,K0kommunestruktur2020altern!N$3,FALSE)</f>
        <v>155837</v>
      </c>
      <c r="O179" s="289">
        <f>+'K20'!C179</f>
        <v>5100</v>
      </c>
      <c r="P179" s="177">
        <f>+'K20'!Z179</f>
        <v>154086</v>
      </c>
      <c r="R179" s="517"/>
    </row>
    <row r="180" spans="1:18" ht="13">
      <c r="A180" s="865">
        <v>3441</v>
      </c>
      <c r="B180" s="866" t="s">
        <v>857</v>
      </c>
      <c r="C180" s="289">
        <f>VLOOKUP($A180,K0kommunestruktur2019!$A$4:$N$425,K0kommunestruktur2020altern!C$3,FALSE)</f>
        <v>6237</v>
      </c>
      <c r="D180" s="177">
        <f>VLOOKUP($A180,K0kommunestruktur2019!$A$4:$N$425,K0kommunestruktur2020altern!D$3,FALSE)</f>
        <v>121697</v>
      </c>
      <c r="E180" s="289">
        <f>VLOOKUP($A180,K0kommunestruktur2019!$A$4:$N$425,K0kommunestruktur2020altern!E$3,FALSE)</f>
        <v>6210</v>
      </c>
      <c r="F180" s="177">
        <f>VLOOKUP($A180,K0kommunestruktur2019!$A$4:$N$425,K0kommunestruktur2020altern!F$3,FALSE)</f>
        <v>129805</v>
      </c>
      <c r="G180" s="289">
        <f>VLOOKUP($A180,K0kommunestruktur2019!$A$4:$N$425,K0kommunestruktur2020altern!G$3,FALSE)</f>
        <v>6227</v>
      </c>
      <c r="H180" s="177">
        <f>VLOOKUP($A180,K0kommunestruktur2019!$A$4:$N$425,K0kommunestruktur2020altern!H$3,FALSE)</f>
        <v>141000</v>
      </c>
      <c r="I180" s="289">
        <f>VLOOKUP($A180,K0kommunestruktur2019!$A$4:$N$425,K0kommunestruktur2020altern!I$3,FALSE)</f>
        <v>6204</v>
      </c>
      <c r="J180" s="177">
        <f>VLOOKUP($A180,K0kommunestruktur2019!$A$4:$N$425,K0kommunestruktur2020altern!J$3,FALSE)</f>
        <v>148052</v>
      </c>
      <c r="K180" s="289">
        <f>VLOOKUP($A180,K0kommunestruktur2019!$A$4:$N$425,K0kommunestruktur2020altern!K$3,FALSE)</f>
        <v>6148</v>
      </c>
      <c r="L180" s="177">
        <f>VLOOKUP($A180,K0kommunestruktur2019!$A$4:$N$425,K0kommunestruktur2020altern!L$3,FALSE)</f>
        <v>156210</v>
      </c>
      <c r="M180" s="289">
        <f>VLOOKUP($A180,K0kommunestruktur2019!$A$4:$N$425,K0kommunestruktur2020altern!M$3,FALSE)</f>
        <v>6112</v>
      </c>
      <c r="N180" s="177">
        <f>VLOOKUP($A180,K0kommunestruktur2019!$A$4:$N$425,K0kommunestruktur2020altern!N$3,FALSE)</f>
        <v>158541</v>
      </c>
      <c r="O180" s="289">
        <f>+'K20'!C180</f>
        <v>6106</v>
      </c>
      <c r="P180" s="177">
        <f>+'K20'!Z180</f>
        <v>158330</v>
      </c>
      <c r="R180" s="517"/>
    </row>
    <row r="181" spans="1:18" ht="13">
      <c r="A181" s="865">
        <v>3442</v>
      </c>
      <c r="B181" s="866" t="s">
        <v>858</v>
      </c>
      <c r="C181" s="289">
        <f>VLOOKUP($A181,K0kommunestruktur2019!$A$4:$N$425,K0kommunestruktur2020altern!C$3,FALSE)</f>
        <v>14777</v>
      </c>
      <c r="D181" s="177">
        <f>VLOOKUP($A181,K0kommunestruktur2019!$A$4:$N$425,K0kommunestruktur2020altern!D$3,FALSE)</f>
        <v>281403</v>
      </c>
      <c r="E181" s="289">
        <f>VLOOKUP($A181,K0kommunestruktur2019!$A$4:$N$425,K0kommunestruktur2020altern!E$3,FALSE)</f>
        <v>14796</v>
      </c>
      <c r="F181" s="177">
        <f>VLOOKUP($A181,K0kommunestruktur2019!$A$4:$N$425,K0kommunestruktur2020altern!F$3,FALSE)</f>
        <v>298093</v>
      </c>
      <c r="G181" s="289">
        <f>VLOOKUP($A181,K0kommunestruktur2019!$A$4:$N$425,K0kommunestruktur2020altern!G$3,FALSE)</f>
        <v>14906</v>
      </c>
      <c r="H181" s="177">
        <f>VLOOKUP($A181,K0kommunestruktur2019!$A$4:$N$425,K0kommunestruktur2020altern!H$3,FALSE)</f>
        <v>331237</v>
      </c>
      <c r="I181" s="289">
        <f>VLOOKUP($A181,K0kommunestruktur2019!$A$4:$N$425,K0kommunestruktur2020altern!I$3,FALSE)</f>
        <v>14887</v>
      </c>
      <c r="J181" s="177">
        <f>VLOOKUP($A181,K0kommunestruktur2019!$A$4:$N$425,K0kommunestruktur2020altern!J$3,FALSE)</f>
        <v>349805</v>
      </c>
      <c r="K181" s="289">
        <f>VLOOKUP($A181,K0kommunestruktur2019!$A$4:$N$425,K0kommunestruktur2020altern!K$3,FALSE)</f>
        <v>14888</v>
      </c>
      <c r="L181" s="177">
        <f>VLOOKUP($A181,K0kommunestruktur2019!$A$4:$N$425,K0kommunestruktur2020altern!L$3,FALSE)</f>
        <v>375056</v>
      </c>
      <c r="M181" s="289">
        <f>VLOOKUP($A181,K0kommunestruktur2019!$A$4:$N$425,K0kommunestruktur2020altern!M$3,FALSE)</f>
        <v>14948</v>
      </c>
      <c r="N181" s="177">
        <f>VLOOKUP($A181,K0kommunestruktur2019!$A$4:$N$425,K0kommunestruktur2020altern!N$3,FALSE)</f>
        <v>387332</v>
      </c>
      <c r="O181" s="289">
        <f>+'K20'!C181</f>
        <v>14973</v>
      </c>
      <c r="P181" s="177">
        <f>+'K20'!Z181</f>
        <v>373661</v>
      </c>
      <c r="R181" s="517"/>
    </row>
    <row r="182" spans="1:18" ht="13">
      <c r="A182" s="865">
        <v>3443</v>
      </c>
      <c r="B182" s="866" t="s">
        <v>859</v>
      </c>
      <c r="C182" s="289">
        <f>VLOOKUP($A182,K0kommunestruktur2019!$A$4:$N$425,K0kommunestruktur2020altern!C$3,FALSE)</f>
        <v>13075</v>
      </c>
      <c r="D182" s="177">
        <f>VLOOKUP($A182,K0kommunestruktur2019!$A$4:$N$425,K0kommunestruktur2020altern!D$3,FALSE)</f>
        <v>248655</v>
      </c>
      <c r="E182" s="289">
        <f>VLOOKUP($A182,K0kommunestruktur2019!$A$4:$N$425,K0kommunestruktur2020altern!E$3,FALSE)</f>
        <v>13152</v>
      </c>
      <c r="F182" s="177">
        <f>VLOOKUP($A182,K0kommunestruktur2019!$A$4:$N$425,K0kommunestruktur2020altern!F$3,FALSE)</f>
        <v>268292</v>
      </c>
      <c r="G182" s="289">
        <f>VLOOKUP($A182,K0kommunestruktur2019!$A$4:$N$425,K0kommunestruktur2020altern!G$3,FALSE)</f>
        <v>13180</v>
      </c>
      <c r="H182" s="177">
        <f>VLOOKUP($A182,K0kommunestruktur2019!$A$4:$N$425,K0kommunestruktur2020altern!H$3,FALSE)</f>
        <v>289291</v>
      </c>
      <c r="I182" s="289">
        <f>VLOOKUP($A182,K0kommunestruktur2019!$A$4:$N$425,K0kommunestruktur2020altern!I$3,FALSE)</f>
        <v>13179</v>
      </c>
      <c r="J182" s="177">
        <f>VLOOKUP($A182,K0kommunestruktur2019!$A$4:$N$425,K0kommunestruktur2020altern!J$3,FALSE)</f>
        <v>298912</v>
      </c>
      <c r="K182" s="289">
        <f>VLOOKUP($A182,K0kommunestruktur2019!$A$4:$N$425,K0kommunestruktur2020altern!K$3,FALSE)</f>
        <v>13314</v>
      </c>
      <c r="L182" s="177">
        <f>VLOOKUP($A182,K0kommunestruktur2019!$A$4:$N$425,K0kommunestruktur2020altern!L$3,FALSE)</f>
        <v>319630</v>
      </c>
      <c r="M182" s="289">
        <f>VLOOKUP($A182,K0kommunestruktur2019!$A$4:$N$425,K0kommunestruktur2020altern!M$3,FALSE)</f>
        <v>13384</v>
      </c>
      <c r="N182" s="177">
        <f>VLOOKUP($A182,K0kommunestruktur2019!$A$4:$N$425,K0kommunestruktur2020altern!N$3,FALSE)</f>
        <v>330293</v>
      </c>
      <c r="O182" s="289">
        <f>+'K20'!C182</f>
        <v>13427</v>
      </c>
      <c r="P182" s="177">
        <f>+'K20'!Z182</f>
        <v>322511</v>
      </c>
      <c r="R182" s="517"/>
    </row>
    <row r="183" spans="1:18" ht="13">
      <c r="A183" s="865">
        <v>3446</v>
      </c>
      <c r="B183" s="866" t="s">
        <v>862</v>
      </c>
      <c r="C183" s="289">
        <f>VLOOKUP($A183,K0kommunestruktur2019!$A$4:$N$425,K0kommunestruktur2020altern!C$3,FALSE)</f>
        <v>13607</v>
      </c>
      <c r="D183" s="177">
        <f>VLOOKUP($A183,K0kommunestruktur2019!$A$4:$N$425,K0kommunestruktur2020altern!D$3,FALSE)</f>
        <v>275643</v>
      </c>
      <c r="E183" s="289">
        <f>VLOOKUP($A183,K0kommunestruktur2019!$A$4:$N$425,K0kommunestruktur2020altern!E$3,FALSE)</f>
        <v>13685</v>
      </c>
      <c r="F183" s="177">
        <f>VLOOKUP($A183,K0kommunestruktur2019!$A$4:$N$425,K0kommunestruktur2020altern!F$3,FALSE)</f>
        <v>299360</v>
      </c>
      <c r="G183" s="289">
        <f>VLOOKUP($A183,K0kommunestruktur2019!$A$4:$N$425,K0kommunestruktur2020altern!G$3,FALSE)</f>
        <v>13695</v>
      </c>
      <c r="H183" s="177">
        <f>VLOOKUP($A183,K0kommunestruktur2019!$A$4:$N$425,K0kommunestruktur2020altern!H$3,FALSE)</f>
        <v>330694</v>
      </c>
      <c r="I183" s="289">
        <f>VLOOKUP($A183,K0kommunestruktur2019!$A$4:$N$425,K0kommunestruktur2020altern!I$3,FALSE)</f>
        <v>13707</v>
      </c>
      <c r="J183" s="177">
        <f>VLOOKUP($A183,K0kommunestruktur2019!$A$4:$N$425,K0kommunestruktur2020altern!J$3,FALSE)</f>
        <v>341304</v>
      </c>
      <c r="K183" s="289">
        <f>VLOOKUP($A183,K0kommunestruktur2019!$A$4:$N$425,K0kommunestruktur2020altern!K$3,FALSE)</f>
        <v>13770</v>
      </c>
      <c r="L183" s="177">
        <f>VLOOKUP($A183,K0kommunestruktur2019!$A$4:$N$425,K0kommunestruktur2020altern!L$3,FALSE)</f>
        <v>356430</v>
      </c>
      <c r="M183" s="289">
        <f>VLOOKUP($A183,K0kommunestruktur2019!$A$4:$N$425,K0kommunestruktur2020altern!M$3,FALSE)</f>
        <v>13642</v>
      </c>
      <c r="N183" s="177">
        <f>VLOOKUP($A183,K0kommunestruktur2019!$A$4:$N$425,K0kommunestruktur2020altern!N$3,FALSE)</f>
        <v>362027</v>
      </c>
      <c r="O183" s="289">
        <f>+'K20'!C183</f>
        <v>13630</v>
      </c>
      <c r="P183" s="177">
        <f>+'K20'!Z183</f>
        <v>358274</v>
      </c>
      <c r="R183" s="517"/>
    </row>
    <row r="184" spans="1:18" ht="13">
      <c r="A184" s="865">
        <v>3447</v>
      </c>
      <c r="B184" s="866" t="s">
        <v>863</v>
      </c>
      <c r="C184" s="289">
        <f>VLOOKUP($A184,K0kommunestruktur2019!$A$4:$N$425,K0kommunestruktur2020altern!C$3,FALSE)</f>
        <v>5701</v>
      </c>
      <c r="D184" s="177">
        <f>VLOOKUP($A184,K0kommunestruktur2019!$A$4:$N$425,K0kommunestruktur2020altern!D$3,FALSE)</f>
        <v>93534</v>
      </c>
      <c r="E184" s="289">
        <f>VLOOKUP($A184,K0kommunestruktur2019!$A$4:$N$425,K0kommunestruktur2020altern!E$3,FALSE)</f>
        <v>5772</v>
      </c>
      <c r="F184" s="177">
        <f>VLOOKUP($A184,K0kommunestruktur2019!$A$4:$N$425,K0kommunestruktur2020altern!F$3,FALSE)</f>
        <v>99452</v>
      </c>
      <c r="G184" s="289">
        <f>VLOOKUP($A184,K0kommunestruktur2019!$A$4:$N$425,K0kommunestruktur2020altern!G$3,FALSE)</f>
        <v>5758</v>
      </c>
      <c r="H184" s="177">
        <f>VLOOKUP($A184,K0kommunestruktur2019!$A$4:$N$425,K0kommunestruktur2020altern!H$3,FALSE)</f>
        <v>111262</v>
      </c>
      <c r="I184" s="289">
        <f>VLOOKUP($A184,K0kommunestruktur2019!$A$4:$N$425,K0kommunestruktur2020altern!I$3,FALSE)</f>
        <v>5717</v>
      </c>
      <c r="J184" s="177">
        <f>VLOOKUP($A184,K0kommunestruktur2019!$A$4:$N$425,K0kommunestruktur2020altern!J$3,FALSE)</f>
        <v>114902</v>
      </c>
      <c r="K184" s="289">
        <f>VLOOKUP($A184,K0kommunestruktur2019!$A$4:$N$425,K0kommunestruktur2020altern!K$3,FALSE)</f>
        <v>5650</v>
      </c>
      <c r="L184" s="177">
        <f>VLOOKUP($A184,K0kommunestruktur2019!$A$4:$N$425,K0kommunestruktur2020altern!L$3,FALSE)</f>
        <v>118346</v>
      </c>
      <c r="M184" s="289">
        <f>VLOOKUP($A184,K0kommunestruktur2019!$A$4:$N$425,K0kommunestruktur2020altern!M$3,FALSE)</f>
        <v>5623</v>
      </c>
      <c r="N184" s="177">
        <f>VLOOKUP($A184,K0kommunestruktur2019!$A$4:$N$425,K0kommunestruktur2020altern!N$3,FALSE)</f>
        <v>123933</v>
      </c>
      <c r="O184" s="289">
        <f>+'K20'!C184</f>
        <v>5617</v>
      </c>
      <c r="P184" s="177">
        <f>+'K20'!Z184</f>
        <v>121468</v>
      </c>
      <c r="R184" s="517"/>
    </row>
    <row r="185" spans="1:18" ht="13">
      <c r="A185" s="865">
        <v>3448</v>
      </c>
      <c r="B185" s="866" t="s">
        <v>864</v>
      </c>
      <c r="C185" s="289">
        <f>VLOOKUP($A185,K0kommunestruktur2019!$A$4:$N$425,K0kommunestruktur2020altern!C$3,FALSE)</f>
        <v>6700</v>
      </c>
      <c r="D185" s="177">
        <f>VLOOKUP($A185,K0kommunestruktur2019!$A$4:$N$425,K0kommunestruktur2020altern!D$3,FALSE)</f>
        <v>119053</v>
      </c>
      <c r="E185" s="289">
        <f>VLOOKUP($A185,K0kommunestruktur2019!$A$4:$N$425,K0kommunestruktur2020altern!E$3,FALSE)</f>
        <v>6740</v>
      </c>
      <c r="F185" s="177">
        <f>VLOOKUP($A185,K0kommunestruktur2019!$A$4:$N$425,K0kommunestruktur2020altern!F$3,FALSE)</f>
        <v>130066</v>
      </c>
      <c r="G185" s="289">
        <f>VLOOKUP($A185,K0kommunestruktur2019!$A$4:$N$425,K0kommunestruktur2020altern!G$3,FALSE)</f>
        <v>6751</v>
      </c>
      <c r="H185" s="177">
        <f>VLOOKUP($A185,K0kommunestruktur2019!$A$4:$N$425,K0kommunestruktur2020altern!H$3,FALSE)</f>
        <v>140247</v>
      </c>
      <c r="I185" s="289">
        <f>VLOOKUP($A185,K0kommunestruktur2019!$A$4:$N$425,K0kommunestruktur2020altern!I$3,FALSE)</f>
        <v>6773</v>
      </c>
      <c r="J185" s="177">
        <f>VLOOKUP($A185,K0kommunestruktur2019!$A$4:$N$425,K0kommunestruktur2020altern!J$3,FALSE)</f>
        <v>144949</v>
      </c>
      <c r="K185" s="289">
        <f>VLOOKUP($A185,K0kommunestruktur2019!$A$4:$N$425,K0kommunestruktur2020altern!K$3,FALSE)</f>
        <v>6750</v>
      </c>
      <c r="L185" s="177">
        <f>VLOOKUP($A185,K0kommunestruktur2019!$A$4:$N$425,K0kommunestruktur2020altern!L$3,FALSE)</f>
        <v>148417</v>
      </c>
      <c r="M185" s="289">
        <f>VLOOKUP($A185,K0kommunestruktur2019!$A$4:$N$425,K0kommunestruktur2020altern!M$3,FALSE)</f>
        <v>6671</v>
      </c>
      <c r="N185" s="177">
        <f>VLOOKUP($A185,K0kommunestruktur2019!$A$4:$N$425,K0kommunestruktur2020altern!N$3,FALSE)</f>
        <v>155140</v>
      </c>
      <c r="O185" s="289">
        <f>+'K20'!C185</f>
        <v>6633</v>
      </c>
      <c r="P185" s="177">
        <f>+'K20'!Z185</f>
        <v>152361</v>
      </c>
      <c r="R185" s="517"/>
    </row>
    <row r="186" spans="1:18" ht="13">
      <c r="A186" s="865">
        <v>3449</v>
      </c>
      <c r="B186" s="866" t="s">
        <v>865</v>
      </c>
      <c r="C186" s="289">
        <f>VLOOKUP($A186,K0kommunestruktur2019!$A$4:$N$425,K0kommunestruktur2020altern!C$3,FALSE)</f>
        <v>3133</v>
      </c>
      <c r="D186" s="177">
        <f>VLOOKUP($A186,K0kommunestruktur2019!$A$4:$N$425,K0kommunestruktur2020altern!D$3,FALSE)</f>
        <v>62100</v>
      </c>
      <c r="E186" s="289">
        <f>VLOOKUP($A186,K0kommunestruktur2019!$A$4:$N$425,K0kommunestruktur2020altern!E$3,FALSE)</f>
        <v>3094</v>
      </c>
      <c r="F186" s="177">
        <f>VLOOKUP($A186,K0kommunestruktur2019!$A$4:$N$425,K0kommunestruktur2020altern!F$3,FALSE)</f>
        <v>64195</v>
      </c>
      <c r="G186" s="289">
        <f>VLOOKUP($A186,K0kommunestruktur2019!$A$4:$N$425,K0kommunestruktur2020altern!G$3,FALSE)</f>
        <v>3058</v>
      </c>
      <c r="H186" s="177">
        <f>VLOOKUP($A186,K0kommunestruktur2019!$A$4:$N$425,K0kommunestruktur2020altern!H$3,FALSE)</f>
        <v>66787</v>
      </c>
      <c r="I186" s="289">
        <f>VLOOKUP($A186,K0kommunestruktur2019!$A$4:$N$425,K0kommunestruktur2020altern!I$3,FALSE)</f>
        <v>3026</v>
      </c>
      <c r="J186" s="177">
        <f>VLOOKUP($A186,K0kommunestruktur2019!$A$4:$N$425,K0kommunestruktur2020altern!J$3,FALSE)</f>
        <v>67880</v>
      </c>
      <c r="K186" s="289">
        <f>VLOOKUP($A186,K0kommunestruktur2019!$A$4:$N$425,K0kommunestruktur2020altern!K$3,FALSE)</f>
        <v>3014</v>
      </c>
      <c r="L186" s="177">
        <f>VLOOKUP($A186,K0kommunestruktur2019!$A$4:$N$425,K0kommunestruktur2020altern!L$3,FALSE)</f>
        <v>73595</v>
      </c>
      <c r="M186" s="289">
        <f>VLOOKUP($A186,K0kommunestruktur2019!$A$4:$N$425,K0kommunestruktur2020altern!M$3,FALSE)</f>
        <v>2981</v>
      </c>
      <c r="N186" s="177">
        <f>VLOOKUP($A186,K0kommunestruktur2019!$A$4:$N$425,K0kommunestruktur2020altern!N$3,FALSE)</f>
        <v>74443</v>
      </c>
      <c r="O186" s="289">
        <f>+'K20'!C186</f>
        <v>2954</v>
      </c>
      <c r="P186" s="177">
        <f>+'K20'!Z186</f>
        <v>72905</v>
      </c>
      <c r="R186" s="517"/>
    </row>
    <row r="187" spans="1:18" ht="13">
      <c r="A187" s="865">
        <v>3450</v>
      </c>
      <c r="B187" s="866" t="s">
        <v>866</v>
      </c>
      <c r="C187" s="289">
        <f>VLOOKUP($A187,K0kommunestruktur2019!$A$4:$N$425,K0kommunestruktur2020altern!C$3,FALSE)</f>
        <v>1408</v>
      </c>
      <c r="D187" s="177">
        <f>VLOOKUP($A187,K0kommunestruktur2019!$A$4:$N$425,K0kommunestruktur2020altern!D$3,FALSE)</f>
        <v>23718</v>
      </c>
      <c r="E187" s="289">
        <f>VLOOKUP($A187,K0kommunestruktur2019!$A$4:$N$425,K0kommunestruktur2020altern!E$3,FALSE)</f>
        <v>1402</v>
      </c>
      <c r="F187" s="177">
        <f>VLOOKUP($A187,K0kommunestruktur2019!$A$4:$N$425,K0kommunestruktur2020altern!F$3,FALSE)</f>
        <v>24754</v>
      </c>
      <c r="G187" s="289">
        <f>VLOOKUP($A187,K0kommunestruktur2019!$A$4:$N$425,K0kommunestruktur2020altern!G$3,FALSE)</f>
        <v>1321</v>
      </c>
      <c r="H187" s="177">
        <f>VLOOKUP($A187,K0kommunestruktur2019!$A$4:$N$425,K0kommunestruktur2020altern!H$3,FALSE)</f>
        <v>28197</v>
      </c>
      <c r="I187" s="289">
        <f>VLOOKUP($A187,K0kommunestruktur2019!$A$4:$N$425,K0kommunestruktur2020altern!I$3,FALSE)</f>
        <v>1351</v>
      </c>
      <c r="J187" s="177">
        <f>VLOOKUP($A187,K0kommunestruktur2019!$A$4:$N$425,K0kommunestruktur2020altern!J$3,FALSE)</f>
        <v>32167</v>
      </c>
      <c r="K187" s="289">
        <f>VLOOKUP($A187,K0kommunestruktur2019!$A$4:$N$425,K0kommunestruktur2020altern!K$3,FALSE)</f>
        <v>1352</v>
      </c>
      <c r="L187" s="177">
        <f>VLOOKUP($A187,K0kommunestruktur2019!$A$4:$N$425,K0kommunestruktur2020altern!L$3,FALSE)</f>
        <v>32388</v>
      </c>
      <c r="M187" s="289">
        <f>VLOOKUP($A187,K0kommunestruktur2019!$A$4:$N$425,K0kommunestruktur2020altern!M$3,FALSE)</f>
        <v>1305</v>
      </c>
      <c r="N187" s="177">
        <f>VLOOKUP($A187,K0kommunestruktur2019!$A$4:$N$425,K0kommunestruktur2020altern!N$3,FALSE)</f>
        <v>30753</v>
      </c>
      <c r="O187" s="289">
        <f>+'K20'!C187</f>
        <v>1279</v>
      </c>
      <c r="P187" s="177">
        <f>+'K20'!Z187</f>
        <v>30806</v>
      </c>
      <c r="R187" s="517"/>
    </row>
    <row r="188" spans="1:18" ht="13">
      <c r="A188" s="865">
        <v>3451</v>
      </c>
      <c r="B188" s="866" t="s">
        <v>867</v>
      </c>
      <c r="C188" s="289">
        <f>VLOOKUP($A188,K0kommunestruktur2019!$A$4:$N$425,K0kommunestruktur2020altern!C$3,FALSE)</f>
        <v>6417</v>
      </c>
      <c r="D188" s="177">
        <f>VLOOKUP($A188,K0kommunestruktur2019!$A$4:$N$425,K0kommunestruktur2020altern!D$3,FALSE)</f>
        <v>138198</v>
      </c>
      <c r="E188" s="289">
        <f>VLOOKUP($A188,K0kommunestruktur2019!$A$4:$N$425,K0kommunestruktur2020altern!E$3,FALSE)</f>
        <v>6466</v>
      </c>
      <c r="F188" s="177">
        <f>VLOOKUP($A188,K0kommunestruktur2019!$A$4:$N$425,K0kommunestruktur2020altern!F$3,FALSE)</f>
        <v>144388</v>
      </c>
      <c r="G188" s="289">
        <f>VLOOKUP($A188,K0kommunestruktur2019!$A$4:$N$425,K0kommunestruktur2020altern!G$3,FALSE)</f>
        <v>6458</v>
      </c>
      <c r="H188" s="177">
        <f>VLOOKUP($A188,K0kommunestruktur2019!$A$4:$N$425,K0kommunestruktur2020altern!H$3,FALSE)</f>
        <v>160812</v>
      </c>
      <c r="I188" s="289">
        <f>VLOOKUP($A188,K0kommunestruktur2019!$A$4:$N$425,K0kommunestruktur2020altern!I$3,FALSE)</f>
        <v>6490</v>
      </c>
      <c r="J188" s="177">
        <f>VLOOKUP($A188,K0kommunestruktur2019!$A$4:$N$425,K0kommunestruktur2020altern!J$3,FALSE)</f>
        <v>168668</v>
      </c>
      <c r="K188" s="289">
        <f>VLOOKUP($A188,K0kommunestruktur2019!$A$4:$N$425,K0kommunestruktur2020altern!K$3,FALSE)</f>
        <v>6443</v>
      </c>
      <c r="L188" s="177">
        <f>VLOOKUP($A188,K0kommunestruktur2019!$A$4:$N$425,K0kommunestruktur2020altern!L$3,FALSE)</f>
        <v>174124</v>
      </c>
      <c r="M188" s="289">
        <f>VLOOKUP($A188,K0kommunestruktur2019!$A$4:$N$425,K0kommunestruktur2020altern!M$3,FALSE)</f>
        <v>6418</v>
      </c>
      <c r="N188" s="177">
        <f>VLOOKUP($A188,K0kommunestruktur2019!$A$4:$N$425,K0kommunestruktur2020altern!N$3,FALSE)</f>
        <v>177318</v>
      </c>
      <c r="O188" s="289">
        <f>+'K20'!C188</f>
        <v>6413</v>
      </c>
      <c r="P188" s="177">
        <f>+'K20'!Z188</f>
        <v>172307</v>
      </c>
      <c r="R188" s="517"/>
    </row>
    <row r="189" spans="1:18" ht="13">
      <c r="A189" s="865">
        <v>3452</v>
      </c>
      <c r="B189" s="866" t="s">
        <v>868</v>
      </c>
      <c r="C189" s="289">
        <f>VLOOKUP($A189,K0kommunestruktur2019!$A$4:$N$425,K0kommunestruktur2020altern!C$3,FALSE)</f>
        <v>2187</v>
      </c>
      <c r="D189" s="177">
        <f>VLOOKUP($A189,K0kommunestruktur2019!$A$4:$N$425,K0kommunestruktur2020altern!D$3,FALSE)</f>
        <v>48337</v>
      </c>
      <c r="E189" s="289">
        <f>VLOOKUP($A189,K0kommunestruktur2019!$A$4:$N$425,K0kommunestruktur2020altern!E$3,FALSE)</f>
        <v>2180</v>
      </c>
      <c r="F189" s="177">
        <f>VLOOKUP($A189,K0kommunestruktur2019!$A$4:$N$425,K0kommunestruktur2020altern!F$3,FALSE)</f>
        <v>50874</v>
      </c>
      <c r="G189" s="289">
        <f>VLOOKUP($A189,K0kommunestruktur2019!$A$4:$N$425,K0kommunestruktur2020altern!G$3,FALSE)</f>
        <v>2168</v>
      </c>
      <c r="H189" s="177">
        <f>VLOOKUP($A189,K0kommunestruktur2019!$A$4:$N$425,K0kommunestruktur2020altern!H$3,FALSE)</f>
        <v>54249</v>
      </c>
      <c r="I189" s="289">
        <f>VLOOKUP($A189,K0kommunestruktur2019!$A$4:$N$425,K0kommunestruktur2020altern!I$3,FALSE)</f>
        <v>2114</v>
      </c>
      <c r="J189" s="177">
        <f>VLOOKUP($A189,K0kommunestruktur2019!$A$4:$N$425,K0kommunestruktur2020altern!J$3,FALSE)</f>
        <v>56445</v>
      </c>
      <c r="K189" s="289">
        <f>VLOOKUP($A189,K0kommunestruktur2019!$A$4:$N$425,K0kommunestruktur2020altern!K$3,FALSE)</f>
        <v>2139</v>
      </c>
      <c r="L189" s="177">
        <f>VLOOKUP($A189,K0kommunestruktur2019!$A$4:$N$425,K0kommunestruktur2020altern!L$3,FALSE)</f>
        <v>61276</v>
      </c>
      <c r="M189" s="289">
        <f>VLOOKUP($A189,K0kommunestruktur2019!$A$4:$N$425,K0kommunestruktur2020altern!M$3,FALSE)</f>
        <v>2135</v>
      </c>
      <c r="N189" s="177">
        <f>VLOOKUP($A189,K0kommunestruktur2019!$A$4:$N$425,K0kommunestruktur2020altern!N$3,FALSE)</f>
        <v>67700</v>
      </c>
      <c r="O189" s="289">
        <f>+'K20'!C189</f>
        <v>2125</v>
      </c>
      <c r="P189" s="177">
        <f>+'K20'!Z189</f>
        <v>64621</v>
      </c>
      <c r="R189" s="517"/>
    </row>
    <row r="190" spans="1:18" ht="13">
      <c r="A190" s="865">
        <v>3453</v>
      </c>
      <c r="B190" s="866" t="s">
        <v>869</v>
      </c>
      <c r="C190" s="289">
        <f>VLOOKUP($A190,K0kommunestruktur2019!$A$4:$N$425,K0kommunestruktur2020altern!C$3,FALSE)</f>
        <v>3206</v>
      </c>
      <c r="D190" s="177">
        <f>VLOOKUP($A190,K0kommunestruktur2019!$A$4:$N$425,K0kommunestruktur2020altern!D$3,FALSE)</f>
        <v>73934</v>
      </c>
      <c r="E190" s="289">
        <f>VLOOKUP($A190,K0kommunestruktur2019!$A$4:$N$425,K0kommunestruktur2020altern!E$3,FALSE)</f>
        <v>3199</v>
      </c>
      <c r="F190" s="177">
        <f>VLOOKUP($A190,K0kommunestruktur2019!$A$4:$N$425,K0kommunestruktur2020altern!F$3,FALSE)</f>
        <v>80327</v>
      </c>
      <c r="G190" s="289">
        <f>VLOOKUP($A190,K0kommunestruktur2019!$A$4:$N$425,K0kommunestruktur2020altern!G$3,FALSE)</f>
        <v>3220</v>
      </c>
      <c r="H190" s="177">
        <f>VLOOKUP($A190,K0kommunestruktur2019!$A$4:$N$425,K0kommunestruktur2020altern!H$3,FALSE)</f>
        <v>81838</v>
      </c>
      <c r="I190" s="289">
        <f>VLOOKUP($A190,K0kommunestruktur2019!$A$4:$N$425,K0kommunestruktur2020altern!I$3,FALSE)</f>
        <v>3248</v>
      </c>
      <c r="J190" s="177">
        <f>VLOOKUP($A190,K0kommunestruktur2019!$A$4:$N$425,K0kommunestruktur2020altern!J$3,FALSE)</f>
        <v>90424</v>
      </c>
      <c r="K190" s="289">
        <f>VLOOKUP($A190,K0kommunestruktur2019!$A$4:$N$425,K0kommunestruktur2020altern!K$3,FALSE)</f>
        <v>3221</v>
      </c>
      <c r="L190" s="177">
        <f>VLOOKUP($A190,K0kommunestruktur2019!$A$4:$N$425,K0kommunestruktur2020altern!L$3,FALSE)</f>
        <v>96866</v>
      </c>
      <c r="M190" s="289">
        <f>VLOOKUP($A190,K0kommunestruktur2019!$A$4:$N$425,K0kommunestruktur2020altern!M$3,FALSE)</f>
        <v>3208</v>
      </c>
      <c r="N190" s="177">
        <f>VLOOKUP($A190,K0kommunestruktur2019!$A$4:$N$425,K0kommunestruktur2020altern!N$3,FALSE)</f>
        <v>101589</v>
      </c>
      <c r="O190" s="289">
        <f>+'K20'!C190</f>
        <v>3229</v>
      </c>
      <c r="P190" s="177">
        <f>+'K20'!Z190</f>
        <v>101483</v>
      </c>
      <c r="R190" s="517"/>
    </row>
    <row r="191" spans="1:18" ht="13">
      <c r="A191" s="865">
        <v>3454</v>
      </c>
      <c r="B191" s="866" t="s">
        <v>870</v>
      </c>
      <c r="C191" s="289">
        <f>VLOOKUP($A191,K0kommunestruktur2019!$A$4:$N$425,K0kommunestruktur2020altern!C$3,FALSE)</f>
        <v>1602</v>
      </c>
      <c r="D191" s="177">
        <f>VLOOKUP($A191,K0kommunestruktur2019!$A$4:$N$425,K0kommunestruktur2020altern!D$3,FALSE)</f>
        <v>38293</v>
      </c>
      <c r="E191" s="289">
        <f>VLOOKUP($A191,K0kommunestruktur2019!$A$4:$N$425,K0kommunestruktur2020altern!E$3,FALSE)</f>
        <v>1619</v>
      </c>
      <c r="F191" s="177">
        <f>VLOOKUP($A191,K0kommunestruktur2019!$A$4:$N$425,K0kommunestruktur2020altern!F$3,FALSE)</f>
        <v>37972</v>
      </c>
      <c r="G191" s="289">
        <f>VLOOKUP($A191,K0kommunestruktur2019!$A$4:$N$425,K0kommunestruktur2020altern!G$3,FALSE)</f>
        <v>1590</v>
      </c>
      <c r="H191" s="177">
        <f>VLOOKUP($A191,K0kommunestruktur2019!$A$4:$N$425,K0kommunestruktur2020altern!H$3,FALSE)</f>
        <v>44551</v>
      </c>
      <c r="I191" s="289">
        <f>VLOOKUP($A191,K0kommunestruktur2019!$A$4:$N$425,K0kommunestruktur2020altern!I$3,FALSE)</f>
        <v>1596</v>
      </c>
      <c r="J191" s="177">
        <f>VLOOKUP($A191,K0kommunestruktur2019!$A$4:$N$425,K0kommunestruktur2020altern!J$3,FALSE)</f>
        <v>45896</v>
      </c>
      <c r="K191" s="289">
        <f>VLOOKUP($A191,K0kommunestruktur2019!$A$4:$N$425,K0kommunestruktur2020altern!K$3,FALSE)</f>
        <v>1601</v>
      </c>
      <c r="L191" s="177">
        <f>VLOOKUP($A191,K0kommunestruktur2019!$A$4:$N$425,K0kommunestruktur2020altern!L$3,FALSE)</f>
        <v>47228</v>
      </c>
      <c r="M191" s="289">
        <f>VLOOKUP($A191,K0kommunestruktur2019!$A$4:$N$425,K0kommunestruktur2020altern!M$3,FALSE)</f>
        <v>1610</v>
      </c>
      <c r="N191" s="177">
        <f>VLOOKUP($A191,K0kommunestruktur2019!$A$4:$N$425,K0kommunestruktur2020altern!N$3,FALSE)</f>
        <v>49799</v>
      </c>
      <c r="O191" s="289">
        <f>+'K20'!C191</f>
        <v>1578</v>
      </c>
      <c r="P191" s="177">
        <f>+'K20'!Z191</f>
        <v>45794</v>
      </c>
      <c r="R191" s="517"/>
    </row>
    <row r="192" spans="1:18" ht="13">
      <c r="A192" s="889">
        <v>3801</v>
      </c>
      <c r="B192" s="890" t="s">
        <v>346</v>
      </c>
      <c r="C192" s="289">
        <f t="shared" ref="C192:N192" si="22">+C$460+C$461</f>
        <v>26763.217060637206</v>
      </c>
      <c r="D192" s="177">
        <f t="shared" si="22"/>
        <v>552789.5082219938</v>
      </c>
      <c r="E192" s="289">
        <f t="shared" si="22"/>
        <v>26915.36269270298</v>
      </c>
      <c r="F192" s="177">
        <f t="shared" si="22"/>
        <v>580098.76988694759</v>
      </c>
      <c r="G192" s="289">
        <f t="shared" si="22"/>
        <v>27190.506988694757</v>
      </c>
      <c r="H192" s="177">
        <f t="shared" si="22"/>
        <v>637630.25149023638</v>
      </c>
      <c r="I192" s="289">
        <f t="shared" si="22"/>
        <v>27214.673997944501</v>
      </c>
      <c r="J192" s="177">
        <f t="shared" si="22"/>
        <v>663824.53463514906</v>
      </c>
      <c r="K192" s="289">
        <f t="shared" si="22"/>
        <v>27329.854367934226</v>
      </c>
      <c r="L192" s="177">
        <f t="shared" si="22"/>
        <v>672724.71654676262</v>
      </c>
      <c r="M192" s="289">
        <f t="shared" si="22"/>
        <v>27347</v>
      </c>
      <c r="N192" s="177">
        <f t="shared" si="22"/>
        <v>692614.48437821167</v>
      </c>
      <c r="O192" s="289">
        <f>+'K20'!C192</f>
        <v>27351</v>
      </c>
      <c r="P192" s="177">
        <f>+'K20'!Z192</f>
        <v>688211</v>
      </c>
      <c r="R192" s="517"/>
    </row>
    <row r="193" spans="1:18" ht="13">
      <c r="A193" s="878">
        <v>3802</v>
      </c>
      <c r="B193" s="883" t="s">
        <v>1625</v>
      </c>
      <c r="C193" s="289">
        <f t="shared" ref="C193:N193" si="23">+C$463+C$464+C$465</f>
        <v>22699.531963001027</v>
      </c>
      <c r="D193" s="177">
        <f t="shared" si="23"/>
        <v>493543.23227132577</v>
      </c>
      <c r="E193" s="289">
        <f t="shared" si="23"/>
        <v>23041.921068859199</v>
      </c>
      <c r="F193" s="177">
        <f t="shared" si="23"/>
        <v>529454.57430626929</v>
      </c>
      <c r="G193" s="289">
        <f t="shared" si="23"/>
        <v>23320.297430626928</v>
      </c>
      <c r="H193" s="177">
        <f t="shared" si="23"/>
        <v>589247.62959917774</v>
      </c>
      <c r="I193" s="289">
        <f t="shared" si="23"/>
        <v>23653.89044193217</v>
      </c>
      <c r="J193" s="177">
        <f t="shared" si="23"/>
        <v>624032.25344295986</v>
      </c>
      <c r="K193" s="289">
        <f t="shared" si="23"/>
        <v>24060.610894141828</v>
      </c>
      <c r="L193" s="177">
        <f t="shared" si="23"/>
        <v>652520.1424460432</v>
      </c>
      <c r="M193" s="289">
        <f t="shared" si="23"/>
        <v>24399</v>
      </c>
      <c r="N193" s="177">
        <f t="shared" si="23"/>
        <v>675321.15868448094</v>
      </c>
      <c r="O193" s="289">
        <f>+'K20'!C193</f>
        <v>24699</v>
      </c>
      <c r="P193" s="177">
        <f>+'K20'!Z193</f>
        <v>685619</v>
      </c>
      <c r="R193" s="517"/>
    </row>
    <row r="194" spans="1:18" ht="13">
      <c r="A194" s="878">
        <v>3803</v>
      </c>
      <c r="B194" s="883" t="s">
        <v>1626</v>
      </c>
      <c r="C194" s="289">
        <f t="shared" ref="C194:N194" si="24">+C$467+C$468+C$469</f>
        <v>52767.250976361771</v>
      </c>
      <c r="D194" s="177">
        <f t="shared" si="24"/>
        <v>1237170.1760068105</v>
      </c>
      <c r="E194" s="289">
        <f t="shared" si="24"/>
        <v>53244.716238437824</v>
      </c>
      <c r="F194" s="177">
        <f t="shared" si="24"/>
        <v>1324902.7820018118</v>
      </c>
      <c r="G194" s="289">
        <f t="shared" si="24"/>
        <v>53707.195580678315</v>
      </c>
      <c r="H194" s="177">
        <f t="shared" si="24"/>
        <v>1448421.6524097708</v>
      </c>
      <c r="I194" s="289">
        <f t="shared" si="24"/>
        <v>54274.435560123333</v>
      </c>
      <c r="J194" s="177">
        <f t="shared" si="24"/>
        <v>1536795.211921891</v>
      </c>
      <c r="K194" s="289">
        <f t="shared" si="24"/>
        <v>54845.534737923947</v>
      </c>
      <c r="L194" s="177">
        <f t="shared" si="24"/>
        <v>1606111.1410071943</v>
      </c>
      <c r="M194" s="289">
        <f t="shared" si="24"/>
        <v>55569</v>
      </c>
      <c r="N194" s="177">
        <f t="shared" si="24"/>
        <v>1681201.3569373074</v>
      </c>
      <c r="O194" s="289">
        <f>+'K20'!C194</f>
        <v>56293</v>
      </c>
      <c r="P194" s="177">
        <f>+'K20'!Z194</f>
        <v>1690855</v>
      </c>
      <c r="R194" s="517"/>
    </row>
    <row r="195" spans="1:18" ht="13">
      <c r="A195" s="865">
        <v>3804</v>
      </c>
      <c r="B195" s="866" t="s">
        <v>1153</v>
      </c>
      <c r="C195" s="289">
        <f>VLOOKUP($A195,K0kommunestruktur2019!$A$4:$N$425,K0kommunestruktur2020altern!C$3,FALSE)</f>
        <v>60002</v>
      </c>
      <c r="D195" s="177">
        <f>VLOOKUP($A195,K0kommunestruktur2019!$A$4:$N$425,K0kommunestruktur2020altern!D$3,FALSE)</f>
        <v>1328826.0834998698</v>
      </c>
      <c r="E195" s="289">
        <f>VLOOKUP($A195,K0kommunestruktur2019!$A$4:$N$425,K0kommunestruktur2020altern!E$3,FALSE)</f>
        <v>60445</v>
      </c>
      <c r="F195" s="177">
        <f>VLOOKUP($A195,K0kommunestruktur2019!$A$4:$N$425,K0kommunestruktur2020altern!F$3,FALSE)</f>
        <v>1401206.8738049713</v>
      </c>
      <c r="G195" s="289">
        <f>VLOOKUP($A195,K0kommunestruktur2019!$A$4:$N$425,K0kommunestruktur2020altern!G$3,FALSE)</f>
        <v>61212</v>
      </c>
      <c r="H195" s="177">
        <f>VLOOKUP($A195,K0kommunestruktur2019!$A$4:$N$425,K0kommunestruktur2020altern!H$3,FALSE)</f>
        <v>1565068.466500815</v>
      </c>
      <c r="I195" s="289">
        <f>VLOOKUP($A195,K0kommunestruktur2019!$A$4:$N$425,K0kommunestruktur2020altern!I$3,FALSE)</f>
        <v>62019</v>
      </c>
      <c r="J195" s="177">
        <f>VLOOKUP($A195,K0kommunestruktur2019!$A$4:$N$425,K0kommunestruktur2020altern!J$3,FALSE)</f>
        <v>1617614</v>
      </c>
      <c r="K195" s="289">
        <f>VLOOKUP($A195,K0kommunestruktur2019!$A$4:$N$425,K0kommunestruktur2020altern!K$3,FALSE)</f>
        <v>62615</v>
      </c>
      <c r="L195" s="177">
        <f>VLOOKUP($A195,K0kommunestruktur2019!$A$4:$N$425,K0kommunestruktur2020altern!L$3,FALSE)</f>
        <v>1650021</v>
      </c>
      <c r="M195" s="289">
        <f>VLOOKUP($A195,K0kommunestruktur2019!$A$4:$N$425,K0kommunestruktur2020altern!M$3,FALSE)</f>
        <v>63271</v>
      </c>
      <c r="N195" s="177">
        <f>VLOOKUP($A195,K0kommunestruktur2019!$A$4:$N$425,K0kommunestruktur2020altern!N$3,FALSE)</f>
        <v>1778055</v>
      </c>
      <c r="O195" s="289">
        <f>+'K20'!C195</f>
        <v>63764</v>
      </c>
      <c r="P195" s="177">
        <f>+'K20'!Z195</f>
        <v>1781351</v>
      </c>
      <c r="R195" s="517"/>
    </row>
    <row r="196" spans="1:18" ht="13">
      <c r="A196" s="865">
        <v>3805</v>
      </c>
      <c r="B196" s="876" t="s">
        <v>1235</v>
      </c>
      <c r="C196" s="289">
        <f>VLOOKUP($A196,K0kommunestruktur2019!$A$4:$N$425,K0kommunestruktur2020altern!C$3,FALSE)</f>
        <v>45718</v>
      </c>
      <c r="D196" s="177">
        <f>VLOOKUP($A196,K0kommunestruktur2019!$A$4:$N$425,K0kommunestruktur2020altern!D$3,FALSE)</f>
        <v>967685</v>
      </c>
      <c r="E196" s="289">
        <f>VLOOKUP($A196,K0kommunestruktur2019!$A$4:$N$425,K0kommunestruktur2020altern!E$3,FALSE)</f>
        <v>45969</v>
      </c>
      <c r="F196" s="177">
        <f>VLOOKUP($A196,K0kommunestruktur2019!$A$4:$N$425,K0kommunestruktur2020altern!F$3,FALSE)</f>
        <v>1066695</v>
      </c>
      <c r="G196" s="289">
        <f>VLOOKUP($A196,K0kommunestruktur2019!$A$4:$N$425,K0kommunestruktur2020altern!G$3,FALSE)</f>
        <v>46341</v>
      </c>
      <c r="H196" s="177">
        <f>VLOOKUP($A196,K0kommunestruktur2019!$A$4:$N$425,K0kommunestruktur2020altern!H$3,FALSE)</f>
        <v>1143575</v>
      </c>
      <c r="I196" s="289">
        <f>VLOOKUP($A196,K0kommunestruktur2019!$A$4:$N$425,K0kommunestruktur2020altern!I$3,FALSE)</f>
        <v>46557</v>
      </c>
      <c r="J196" s="177">
        <f>VLOOKUP($A196,K0kommunestruktur2019!$A$4:$N$425,K0kommunestruktur2020altern!J$3,FALSE)</f>
        <v>1204992</v>
      </c>
      <c r="K196" s="289">
        <f>VLOOKUP($A196,K0kommunestruktur2019!$A$4:$N$425,K0kommunestruktur2020altern!K$3,FALSE)</f>
        <v>46801</v>
      </c>
      <c r="L196" s="177">
        <f>VLOOKUP($A196,K0kommunestruktur2019!$A$4:$N$425,K0kommunestruktur2020altern!L$3,FALSE)</f>
        <v>1250980</v>
      </c>
      <c r="M196" s="289">
        <f>VLOOKUP($A196,K0kommunestruktur2019!$A$4:$N$425,K0kommunestruktur2020altern!M$3,FALSE)</f>
        <v>47107</v>
      </c>
      <c r="N196" s="177">
        <f>VLOOKUP($A196,K0kommunestruktur2019!$A$4:$N$425,K0kommunestruktur2020altern!N$3,FALSE)</f>
        <v>1285032</v>
      </c>
      <c r="O196" s="289">
        <f>+'K20'!C196</f>
        <v>47204</v>
      </c>
      <c r="P196" s="177">
        <f>+'K20'!Z196</f>
        <v>1280124</v>
      </c>
      <c r="R196" s="517"/>
    </row>
    <row r="197" spans="1:18" ht="13">
      <c r="A197" s="865">
        <v>3806</v>
      </c>
      <c r="B197" s="866" t="s">
        <v>904</v>
      </c>
      <c r="C197" s="289">
        <f>VLOOKUP($A197,K0kommunestruktur2019!$A$4:$N$425,K0kommunestruktur2020altern!C$3,FALSE)</f>
        <v>35516</v>
      </c>
      <c r="D197" s="177">
        <f>VLOOKUP($A197,K0kommunestruktur2019!$A$4:$N$425,K0kommunestruktur2020altern!D$3,FALSE)</f>
        <v>786648</v>
      </c>
      <c r="E197" s="289">
        <f>VLOOKUP($A197,K0kommunestruktur2019!$A$4:$N$425,K0kommunestruktur2020altern!E$3,FALSE)</f>
        <v>35755</v>
      </c>
      <c r="F197" s="177">
        <f>VLOOKUP($A197,K0kommunestruktur2019!$A$4:$N$425,K0kommunestruktur2020altern!F$3,FALSE)</f>
        <v>832456</v>
      </c>
      <c r="G197" s="289">
        <f>VLOOKUP($A197,K0kommunestruktur2019!$A$4:$N$425,K0kommunestruktur2020altern!G$3,FALSE)</f>
        <v>35955</v>
      </c>
      <c r="H197" s="177">
        <f>VLOOKUP($A197,K0kommunestruktur2019!$A$4:$N$425,K0kommunestruktur2020altern!H$3,FALSE)</f>
        <v>899390</v>
      </c>
      <c r="I197" s="289">
        <f>VLOOKUP($A197,K0kommunestruktur2019!$A$4:$N$425,K0kommunestruktur2020altern!I$3,FALSE)</f>
        <v>36198</v>
      </c>
      <c r="J197" s="177">
        <f>VLOOKUP($A197,K0kommunestruktur2019!$A$4:$N$425,K0kommunestruktur2020altern!J$3,FALSE)</f>
        <v>954527</v>
      </c>
      <c r="K197" s="289">
        <f>VLOOKUP($A197,K0kommunestruktur2019!$A$4:$N$425,K0kommunestruktur2020altern!K$3,FALSE)</f>
        <v>36091</v>
      </c>
      <c r="L197" s="177">
        <f>VLOOKUP($A197,K0kommunestruktur2019!$A$4:$N$425,K0kommunestruktur2020altern!L$3,FALSE)</f>
        <v>994677</v>
      </c>
      <c r="M197" s="289">
        <f>VLOOKUP($A197,K0kommunestruktur2019!$A$4:$N$425,K0kommunestruktur2020altern!M$3,FALSE)</f>
        <v>36224</v>
      </c>
      <c r="N197" s="177">
        <f>VLOOKUP($A197,K0kommunestruktur2019!$A$4:$N$425,K0kommunestruktur2020altern!N$3,FALSE)</f>
        <v>1030160</v>
      </c>
      <c r="O197" s="289">
        <f>+'K20'!C197</f>
        <v>36397</v>
      </c>
      <c r="P197" s="177">
        <f>+'K20'!Z197</f>
        <v>997575</v>
      </c>
      <c r="R197" s="517"/>
    </row>
    <row r="198" spans="1:18" ht="13">
      <c r="A198" s="865">
        <v>3807</v>
      </c>
      <c r="B198" s="866" t="s">
        <v>905</v>
      </c>
      <c r="C198" s="289">
        <f>VLOOKUP($A198,K0kommunestruktur2019!$A$4:$N$425,K0kommunestruktur2020altern!C$3,FALSE)</f>
        <v>53439</v>
      </c>
      <c r="D198" s="177">
        <f>VLOOKUP($A198,K0kommunestruktur2019!$A$4:$N$425,K0kommunestruktur2020altern!D$3,FALSE)</f>
        <v>1111721</v>
      </c>
      <c r="E198" s="289">
        <f>VLOOKUP($A198,K0kommunestruktur2019!$A$4:$N$425,K0kommunestruktur2020altern!E$3,FALSE)</f>
        <v>53745</v>
      </c>
      <c r="F198" s="177">
        <f>VLOOKUP($A198,K0kommunestruktur2019!$A$4:$N$425,K0kommunestruktur2020altern!F$3,FALSE)</f>
        <v>1204597</v>
      </c>
      <c r="G198" s="289">
        <f>VLOOKUP($A198,K0kommunestruktur2019!$A$4:$N$425,K0kommunestruktur2020altern!G$3,FALSE)</f>
        <v>53952</v>
      </c>
      <c r="H198" s="177">
        <f>VLOOKUP($A198,K0kommunestruktur2019!$A$4:$N$425,K0kommunestruktur2020altern!H$3,FALSE)</f>
        <v>1297835</v>
      </c>
      <c r="I198" s="289">
        <f>VLOOKUP($A198,K0kommunestruktur2019!$A$4:$N$425,K0kommunestruktur2020altern!I$3,FALSE)</f>
        <v>54316</v>
      </c>
      <c r="J198" s="177">
        <f>VLOOKUP($A198,K0kommunestruktur2019!$A$4:$N$425,K0kommunestruktur2020altern!J$3,FALSE)</f>
        <v>1350527</v>
      </c>
      <c r="K198" s="289">
        <f>VLOOKUP($A198,K0kommunestruktur2019!$A$4:$N$425,K0kommunestruktur2020altern!K$3,FALSE)</f>
        <v>54510</v>
      </c>
      <c r="L198" s="177">
        <f>VLOOKUP($A198,K0kommunestruktur2019!$A$4:$N$425,K0kommunestruktur2020altern!L$3,FALSE)</f>
        <v>1395616</v>
      </c>
      <c r="M198" s="289">
        <f>VLOOKUP($A198,K0kommunestruktur2019!$A$4:$N$425,K0kommunestruktur2020altern!M$3,FALSE)</f>
        <v>54645</v>
      </c>
      <c r="N198" s="177">
        <f>VLOOKUP($A198,K0kommunestruktur2019!$A$4:$N$425,K0kommunestruktur2020altern!N$3,FALSE)</f>
        <v>1431339</v>
      </c>
      <c r="O198" s="289">
        <f>+'K20'!C198</f>
        <v>54942</v>
      </c>
      <c r="P198" s="177">
        <f>+'K20'!Z198</f>
        <v>1416501</v>
      </c>
      <c r="R198" s="517"/>
    </row>
    <row r="199" spans="1:18" ht="13">
      <c r="A199" s="889">
        <v>3808</v>
      </c>
      <c r="B199" s="890" t="s">
        <v>906</v>
      </c>
      <c r="C199" s="289">
        <f t="shared" ref="C199:N199" si="25">+C$472+C$473</f>
        <v>13060.33938970417</v>
      </c>
      <c r="D199" s="177">
        <f t="shared" si="25"/>
        <v>269913.75145585835</v>
      </c>
      <c r="E199" s="289">
        <f t="shared" si="25"/>
        <v>13052.530864197532</v>
      </c>
      <c r="F199" s="177">
        <f t="shared" si="25"/>
        <v>287425.77870952716</v>
      </c>
      <c r="G199" s="289">
        <f t="shared" si="25"/>
        <v>13169.696016771488</v>
      </c>
      <c r="H199" s="177">
        <f t="shared" si="25"/>
        <v>311265.78173771256</v>
      </c>
      <c r="I199" s="289">
        <f t="shared" si="25"/>
        <v>13206.043559282552</v>
      </c>
      <c r="J199" s="177">
        <f t="shared" si="25"/>
        <v>314350.34032145352</v>
      </c>
      <c r="K199" s="289">
        <f t="shared" si="25"/>
        <v>13118.88749126485</v>
      </c>
      <c r="L199" s="177">
        <f t="shared" si="25"/>
        <v>322222.82739343116</v>
      </c>
      <c r="M199" s="289">
        <f t="shared" si="25"/>
        <v>13130</v>
      </c>
      <c r="N199" s="177">
        <f t="shared" si="25"/>
        <v>341773.44211507106</v>
      </c>
      <c r="O199" s="289">
        <f>+'K20'!C199</f>
        <v>13049</v>
      </c>
      <c r="P199" s="177">
        <f>+'K20'!Z199</f>
        <v>340724</v>
      </c>
      <c r="R199" s="517"/>
    </row>
    <row r="200" spans="1:18" ht="13">
      <c r="A200" s="865">
        <v>3811</v>
      </c>
      <c r="B200" s="866" t="s">
        <v>1241</v>
      </c>
      <c r="C200" s="289">
        <f>VLOOKUP($A200,K0kommunestruktur2019!$A$4:$N$425,K0kommunestruktur2020altern!C$3,FALSE)</f>
        <v>26330</v>
      </c>
      <c r="D200" s="177">
        <f>VLOOKUP($A200,K0kommunestruktur2019!$A$4:$N$425,K0kommunestruktur2020altern!D$3,FALSE)</f>
        <v>669429</v>
      </c>
      <c r="E200" s="289">
        <f>VLOOKUP($A200,K0kommunestruktur2019!$A$4:$N$425,K0kommunestruktur2020altern!E$3,FALSE)</f>
        <v>26445</v>
      </c>
      <c r="F200" s="177">
        <f>VLOOKUP($A200,K0kommunestruktur2019!$A$4:$N$425,K0kommunestruktur2020altern!F$3,FALSE)</f>
        <v>711078</v>
      </c>
      <c r="G200" s="289">
        <f>VLOOKUP($A200,K0kommunestruktur2019!$A$4:$N$425,K0kommunestruktur2020altern!G$3,FALSE)</f>
        <v>26592</v>
      </c>
      <c r="H200" s="177">
        <f>VLOOKUP($A200,K0kommunestruktur2019!$A$4:$N$425,K0kommunestruktur2020altern!H$3,FALSE)</f>
        <v>787439</v>
      </c>
      <c r="I200" s="289">
        <f>VLOOKUP($A200,K0kommunestruktur2019!$A$4:$N$425,K0kommunestruktur2020altern!I$3,FALSE)</f>
        <v>26676</v>
      </c>
      <c r="J200" s="177">
        <f>VLOOKUP($A200,K0kommunestruktur2019!$A$4:$N$425,K0kommunestruktur2020altern!J$3,FALSE)</f>
        <v>818629</v>
      </c>
      <c r="K200" s="289">
        <f>VLOOKUP($A200,K0kommunestruktur2019!$A$4:$N$425,K0kommunestruktur2020altern!K$3,FALSE)</f>
        <v>26734</v>
      </c>
      <c r="L200" s="177">
        <f>VLOOKUP($A200,K0kommunestruktur2019!$A$4:$N$425,K0kommunestruktur2020altern!L$3,FALSE)</f>
        <v>826128</v>
      </c>
      <c r="M200" s="289">
        <f>VLOOKUP($A200,K0kommunestruktur2019!$A$4:$N$425,K0kommunestruktur2020altern!M$3,FALSE)</f>
        <v>26700</v>
      </c>
      <c r="N200" s="177">
        <f>VLOOKUP($A200,K0kommunestruktur2019!$A$4:$N$425,K0kommunestruktur2020altern!N$3,FALSE)</f>
        <v>861791</v>
      </c>
      <c r="O200" s="289">
        <f>+'K20'!C200</f>
        <v>26730</v>
      </c>
      <c r="P200" s="177">
        <f>+'K20'!Z200</f>
        <v>859253</v>
      </c>
      <c r="R200" s="517"/>
    </row>
    <row r="201" spans="1:18" ht="13">
      <c r="A201" s="865">
        <v>3812</v>
      </c>
      <c r="B201" s="866" t="s">
        <v>907</v>
      </c>
      <c r="C201" s="289">
        <f>VLOOKUP($A201,K0kommunestruktur2019!$A$4:$N$425,K0kommunestruktur2020altern!C$3,FALSE)</f>
        <v>2404</v>
      </c>
      <c r="D201" s="177">
        <f>VLOOKUP($A201,K0kommunestruktur2019!$A$4:$N$425,K0kommunestruktur2020altern!D$3,FALSE)</f>
        <v>48534</v>
      </c>
      <c r="E201" s="289">
        <f>VLOOKUP($A201,K0kommunestruktur2019!$A$4:$N$425,K0kommunestruktur2020altern!E$3,FALSE)</f>
        <v>2361</v>
      </c>
      <c r="F201" s="177">
        <f>VLOOKUP($A201,K0kommunestruktur2019!$A$4:$N$425,K0kommunestruktur2020altern!F$3,FALSE)</f>
        <v>49972</v>
      </c>
      <c r="G201" s="289">
        <f>VLOOKUP($A201,K0kommunestruktur2019!$A$4:$N$425,K0kommunestruktur2020altern!G$3,FALSE)</f>
        <v>2335</v>
      </c>
      <c r="H201" s="177">
        <f>VLOOKUP($A201,K0kommunestruktur2019!$A$4:$N$425,K0kommunestruktur2020altern!H$3,FALSE)</f>
        <v>54288</v>
      </c>
      <c r="I201" s="289">
        <f>VLOOKUP($A201,K0kommunestruktur2019!$A$4:$N$425,K0kommunestruktur2020altern!I$3,FALSE)</f>
        <v>2357</v>
      </c>
      <c r="J201" s="177">
        <f>VLOOKUP($A201,K0kommunestruktur2019!$A$4:$N$425,K0kommunestruktur2020altern!J$3,FALSE)</f>
        <v>58101</v>
      </c>
      <c r="K201" s="289">
        <f>VLOOKUP($A201,K0kommunestruktur2019!$A$4:$N$425,K0kommunestruktur2020altern!K$3,FALSE)</f>
        <v>2351</v>
      </c>
      <c r="L201" s="177">
        <f>VLOOKUP($A201,K0kommunestruktur2019!$A$4:$N$425,K0kommunestruktur2020altern!L$3,FALSE)</f>
        <v>59881</v>
      </c>
      <c r="M201" s="289">
        <f>VLOOKUP($A201,K0kommunestruktur2019!$A$4:$N$425,K0kommunestruktur2020altern!M$3,FALSE)</f>
        <v>2329</v>
      </c>
      <c r="N201" s="177">
        <f>VLOOKUP($A201,K0kommunestruktur2019!$A$4:$N$425,K0kommunestruktur2020altern!N$3,FALSE)</f>
        <v>61369</v>
      </c>
      <c r="O201" s="289">
        <f>+'K20'!C201</f>
        <v>2340</v>
      </c>
      <c r="P201" s="177">
        <f>+'K20'!Z201</f>
        <v>60081</v>
      </c>
      <c r="R201" s="517"/>
    </row>
    <row r="202" spans="1:18" ht="13">
      <c r="A202" s="865">
        <v>3813</v>
      </c>
      <c r="B202" s="866" t="s">
        <v>908</v>
      </c>
      <c r="C202" s="289">
        <f>VLOOKUP($A202,K0kommunestruktur2019!$A$4:$N$425,K0kommunestruktur2020altern!C$3,FALSE)</f>
        <v>14193</v>
      </c>
      <c r="D202" s="177">
        <f>VLOOKUP($A202,K0kommunestruktur2019!$A$4:$N$425,K0kommunestruktur2020altern!D$3,FALSE)</f>
        <v>315740</v>
      </c>
      <c r="E202" s="289">
        <f>VLOOKUP($A202,K0kommunestruktur2019!$A$4:$N$425,K0kommunestruktur2020altern!E$3,FALSE)</f>
        <v>14140</v>
      </c>
      <c r="F202" s="177">
        <f>VLOOKUP($A202,K0kommunestruktur2019!$A$4:$N$425,K0kommunestruktur2020altern!F$3,FALSE)</f>
        <v>322952</v>
      </c>
      <c r="G202" s="289">
        <f>VLOOKUP($A202,K0kommunestruktur2019!$A$4:$N$425,K0kommunestruktur2020altern!G$3,FALSE)</f>
        <v>14088</v>
      </c>
      <c r="H202" s="177">
        <f>VLOOKUP($A202,K0kommunestruktur2019!$A$4:$N$425,K0kommunestruktur2020altern!H$3,FALSE)</f>
        <v>355108</v>
      </c>
      <c r="I202" s="289">
        <f>VLOOKUP($A202,K0kommunestruktur2019!$A$4:$N$425,K0kommunestruktur2020altern!I$3,FALSE)</f>
        <v>14138</v>
      </c>
      <c r="J202" s="177">
        <f>VLOOKUP($A202,K0kommunestruktur2019!$A$4:$N$425,K0kommunestruktur2020altern!J$3,FALSE)</f>
        <v>367084</v>
      </c>
      <c r="K202" s="289">
        <f>VLOOKUP($A202,K0kommunestruktur2019!$A$4:$N$425,K0kommunestruktur2020altern!K$3,FALSE)</f>
        <v>14183</v>
      </c>
      <c r="L202" s="177">
        <f>VLOOKUP($A202,K0kommunestruktur2019!$A$4:$N$425,K0kommunestruktur2020altern!L$3,FALSE)</f>
        <v>382036</v>
      </c>
      <c r="M202" s="289">
        <f>VLOOKUP($A202,K0kommunestruktur2019!$A$4:$N$425,K0kommunestruktur2020altern!M$3,FALSE)</f>
        <v>14089</v>
      </c>
      <c r="N202" s="177">
        <f>VLOOKUP($A202,K0kommunestruktur2019!$A$4:$N$425,K0kommunestruktur2020altern!N$3,FALSE)</f>
        <v>395478</v>
      </c>
      <c r="O202" s="289">
        <f>+'K20'!C202</f>
        <v>14061</v>
      </c>
      <c r="P202" s="177">
        <f>+'K20'!Z202</f>
        <v>392430</v>
      </c>
      <c r="R202" s="517"/>
    </row>
    <row r="203" spans="1:18" ht="13">
      <c r="A203" s="865">
        <v>3814</v>
      </c>
      <c r="B203" s="866" t="s">
        <v>910</v>
      </c>
      <c r="C203" s="289">
        <f>VLOOKUP($A203,K0kommunestruktur2019!$A$4:$N$425,K0kommunestruktur2020altern!C$3,FALSE)</f>
        <v>10621</v>
      </c>
      <c r="D203" s="177">
        <f>VLOOKUP($A203,K0kommunestruktur2019!$A$4:$N$425,K0kommunestruktur2020altern!D$3,FALSE)</f>
        <v>208570</v>
      </c>
      <c r="E203" s="289">
        <f>VLOOKUP($A203,K0kommunestruktur2019!$A$4:$N$425,K0kommunestruktur2020altern!E$3,FALSE)</f>
        <v>10636</v>
      </c>
      <c r="F203" s="177">
        <f>VLOOKUP($A203,K0kommunestruktur2019!$A$4:$N$425,K0kommunestruktur2020altern!F$3,FALSE)</f>
        <v>222964</v>
      </c>
      <c r="G203" s="289">
        <f>VLOOKUP($A203,K0kommunestruktur2019!$A$4:$N$425,K0kommunestruktur2020altern!G$3,FALSE)</f>
        <v>10607</v>
      </c>
      <c r="H203" s="177">
        <f>VLOOKUP($A203,K0kommunestruktur2019!$A$4:$N$425,K0kommunestruktur2020altern!H$3,FALSE)</f>
        <v>238907</v>
      </c>
      <c r="I203" s="289">
        <f>VLOOKUP($A203,K0kommunestruktur2019!$A$4:$N$425,K0kommunestruktur2020altern!I$3,FALSE)</f>
        <v>10586</v>
      </c>
      <c r="J203" s="177">
        <f>VLOOKUP($A203,K0kommunestruktur2019!$A$4:$N$425,K0kommunestruktur2020altern!J$3,FALSE)</f>
        <v>246804</v>
      </c>
      <c r="K203" s="289">
        <f>VLOOKUP($A203,K0kommunestruktur2019!$A$4:$N$425,K0kommunestruktur2020altern!K$3,FALSE)</f>
        <v>10506</v>
      </c>
      <c r="L203" s="177">
        <f>VLOOKUP($A203,K0kommunestruktur2019!$A$4:$N$425,K0kommunestruktur2020altern!L$3,FALSE)</f>
        <v>262062</v>
      </c>
      <c r="M203" s="289">
        <f>VLOOKUP($A203,K0kommunestruktur2019!$A$4:$N$425,K0kommunestruktur2020altern!M$3,FALSE)</f>
        <v>10406</v>
      </c>
      <c r="N203" s="177">
        <f>VLOOKUP($A203,K0kommunestruktur2019!$A$4:$N$425,K0kommunestruktur2020altern!N$3,FALSE)</f>
        <v>268676</v>
      </c>
      <c r="O203" s="289">
        <f>+'K20'!C203</f>
        <v>10380</v>
      </c>
      <c r="P203" s="177">
        <f>+'K20'!Z203</f>
        <v>269045</v>
      </c>
      <c r="R203" s="517"/>
    </row>
    <row r="204" spans="1:18" ht="13">
      <c r="A204" s="865">
        <v>3815</v>
      </c>
      <c r="B204" s="866" t="s">
        <v>911</v>
      </c>
      <c r="C204" s="289">
        <f>VLOOKUP($A204,K0kommunestruktur2019!$A$4:$N$425,K0kommunestruktur2020altern!C$3,FALSE)</f>
        <v>4135</v>
      </c>
      <c r="D204" s="177">
        <f>VLOOKUP($A204,K0kommunestruktur2019!$A$4:$N$425,K0kommunestruktur2020altern!D$3,FALSE)</f>
        <v>74397</v>
      </c>
      <c r="E204" s="289">
        <f>VLOOKUP($A204,K0kommunestruktur2019!$A$4:$N$425,K0kommunestruktur2020altern!E$3,FALSE)</f>
        <v>4111</v>
      </c>
      <c r="F204" s="177">
        <f>VLOOKUP($A204,K0kommunestruktur2019!$A$4:$N$425,K0kommunestruktur2020altern!F$3,FALSE)</f>
        <v>77737</v>
      </c>
      <c r="G204" s="289">
        <f>VLOOKUP($A204,K0kommunestruktur2019!$A$4:$N$425,K0kommunestruktur2020altern!G$3,FALSE)</f>
        <v>4136</v>
      </c>
      <c r="H204" s="177">
        <f>VLOOKUP($A204,K0kommunestruktur2019!$A$4:$N$425,K0kommunestruktur2020altern!H$3,FALSE)</f>
        <v>83380</v>
      </c>
      <c r="I204" s="289">
        <f>VLOOKUP($A204,K0kommunestruktur2019!$A$4:$N$425,K0kommunestruktur2020altern!I$3,FALSE)</f>
        <v>4148</v>
      </c>
      <c r="J204" s="177">
        <f>VLOOKUP($A204,K0kommunestruktur2019!$A$4:$N$425,K0kommunestruktur2020altern!J$3,FALSE)</f>
        <v>85856</v>
      </c>
      <c r="K204" s="289">
        <f>VLOOKUP($A204,K0kommunestruktur2019!$A$4:$N$425,K0kommunestruktur2020altern!K$3,FALSE)</f>
        <v>4105</v>
      </c>
      <c r="L204" s="177">
        <f>VLOOKUP($A204,K0kommunestruktur2019!$A$4:$N$425,K0kommunestruktur2020altern!L$3,FALSE)</f>
        <v>89506</v>
      </c>
      <c r="M204" s="289">
        <f>VLOOKUP($A204,K0kommunestruktur2019!$A$4:$N$425,K0kommunestruktur2020altern!M$3,FALSE)</f>
        <v>4080</v>
      </c>
      <c r="N204" s="177">
        <f>VLOOKUP($A204,K0kommunestruktur2019!$A$4:$N$425,K0kommunestruktur2020altern!N$3,FALSE)</f>
        <v>91475</v>
      </c>
      <c r="O204" s="289">
        <f>+'K20'!C204</f>
        <v>4060</v>
      </c>
      <c r="P204" s="177">
        <f>+'K20'!Z204</f>
        <v>94071</v>
      </c>
      <c r="R204" s="517"/>
    </row>
    <row r="205" spans="1:18" ht="13">
      <c r="A205" s="865">
        <v>3816</v>
      </c>
      <c r="B205" s="866" t="s">
        <v>912</v>
      </c>
      <c r="C205" s="289">
        <f>VLOOKUP($A205,K0kommunestruktur2019!$A$4:$N$425,K0kommunestruktur2020altern!C$3,FALSE)</f>
        <v>6643</v>
      </c>
      <c r="D205" s="177">
        <f>VLOOKUP($A205,K0kommunestruktur2019!$A$4:$N$425,K0kommunestruktur2020altern!D$3,FALSE)</f>
        <v>133614</v>
      </c>
      <c r="E205" s="289">
        <f>VLOOKUP($A205,K0kommunestruktur2019!$A$4:$N$425,K0kommunestruktur2020altern!E$3,FALSE)</f>
        <v>6630</v>
      </c>
      <c r="F205" s="177">
        <f>VLOOKUP($A205,K0kommunestruktur2019!$A$4:$N$425,K0kommunestruktur2020altern!F$3,FALSE)</f>
        <v>140747</v>
      </c>
      <c r="G205" s="289">
        <f>VLOOKUP($A205,K0kommunestruktur2019!$A$4:$N$425,K0kommunestruktur2020altern!G$3,FALSE)</f>
        <v>6534</v>
      </c>
      <c r="H205" s="177">
        <f>VLOOKUP($A205,K0kommunestruktur2019!$A$4:$N$425,K0kommunestruktur2020altern!H$3,FALSE)</f>
        <v>142744</v>
      </c>
      <c r="I205" s="289">
        <f>VLOOKUP($A205,K0kommunestruktur2019!$A$4:$N$425,K0kommunestruktur2020altern!I$3,FALSE)</f>
        <v>6585</v>
      </c>
      <c r="J205" s="177">
        <f>VLOOKUP($A205,K0kommunestruktur2019!$A$4:$N$425,K0kommunestruktur2020altern!J$3,FALSE)</f>
        <v>146101</v>
      </c>
      <c r="K205" s="289">
        <f>VLOOKUP($A205,K0kommunestruktur2019!$A$4:$N$425,K0kommunestruktur2020altern!K$3,FALSE)</f>
        <v>6609</v>
      </c>
      <c r="L205" s="177">
        <f>VLOOKUP($A205,K0kommunestruktur2019!$A$4:$N$425,K0kommunestruktur2020altern!L$3,FALSE)</f>
        <v>155467</v>
      </c>
      <c r="M205" s="289">
        <f>VLOOKUP($A205,K0kommunestruktur2019!$A$4:$N$425,K0kommunestruktur2020altern!M$3,FALSE)</f>
        <v>6538</v>
      </c>
      <c r="N205" s="177">
        <f>VLOOKUP($A205,K0kommunestruktur2019!$A$4:$N$425,K0kommunestruktur2020altern!N$3,FALSE)</f>
        <v>161297</v>
      </c>
      <c r="O205" s="289">
        <f>+'K20'!C205</f>
        <v>6515</v>
      </c>
      <c r="P205" s="177">
        <f>+'K20'!Z205</f>
        <v>158065</v>
      </c>
      <c r="R205" s="517"/>
    </row>
    <row r="206" spans="1:18" ht="13">
      <c r="A206" s="878">
        <v>3817</v>
      </c>
      <c r="B206" s="883" t="s">
        <v>1627</v>
      </c>
      <c r="C206" s="289">
        <f t="shared" ref="C206:N206" si="26">+C$475+C$476+C$477</f>
        <v>9707.6606102958303</v>
      </c>
      <c r="D206" s="177">
        <f t="shared" si="26"/>
        <v>189910.24854414162</v>
      </c>
      <c r="E206" s="289">
        <f t="shared" si="26"/>
        <v>9869.4691358024684</v>
      </c>
      <c r="F206" s="177">
        <f t="shared" si="26"/>
        <v>202086.22129047287</v>
      </c>
      <c r="G206" s="289">
        <f t="shared" si="26"/>
        <v>9986.3039832285122</v>
      </c>
      <c r="H206" s="177">
        <f t="shared" si="26"/>
        <v>218920.21826228744</v>
      </c>
      <c r="I206" s="289">
        <f t="shared" si="26"/>
        <v>10115.956440717448</v>
      </c>
      <c r="J206" s="177">
        <f t="shared" si="26"/>
        <v>233707.65967854648</v>
      </c>
      <c r="K206" s="289">
        <f t="shared" si="26"/>
        <v>10364.11250873515</v>
      </c>
      <c r="L206" s="177">
        <f t="shared" si="26"/>
        <v>247007.17260656884</v>
      </c>
      <c r="M206" s="289">
        <f t="shared" si="26"/>
        <v>10475</v>
      </c>
      <c r="N206" s="177">
        <f t="shared" si="26"/>
        <v>254373.55788492894</v>
      </c>
      <c r="O206" s="289">
        <f>+'K20'!C206</f>
        <v>10444</v>
      </c>
      <c r="P206" s="177">
        <f>+'K20'!Z206</f>
        <v>250588</v>
      </c>
      <c r="R206" s="517"/>
    </row>
    <row r="207" spans="1:18" ht="13">
      <c r="A207" s="865">
        <v>3818</v>
      </c>
      <c r="B207" s="866" t="s">
        <v>920</v>
      </c>
      <c r="C207" s="289">
        <f>VLOOKUP($A207,K0kommunestruktur2019!$A$4:$N$425,K0kommunestruktur2020altern!C$3,FALSE)</f>
        <v>5957</v>
      </c>
      <c r="D207" s="177">
        <f>VLOOKUP($A207,K0kommunestruktur2019!$A$4:$N$425,K0kommunestruktur2020altern!D$3,FALSE)</f>
        <v>171332</v>
      </c>
      <c r="E207" s="289">
        <f>VLOOKUP($A207,K0kommunestruktur2019!$A$4:$N$425,K0kommunestruktur2020altern!E$3,FALSE)</f>
        <v>5913</v>
      </c>
      <c r="F207" s="177">
        <f>VLOOKUP($A207,K0kommunestruktur2019!$A$4:$N$425,K0kommunestruktur2020altern!F$3,FALSE)</f>
        <v>175352</v>
      </c>
      <c r="G207" s="289">
        <f>VLOOKUP($A207,K0kommunestruktur2019!$A$4:$N$425,K0kommunestruktur2020altern!G$3,FALSE)</f>
        <v>5940</v>
      </c>
      <c r="H207" s="177">
        <f>VLOOKUP($A207,K0kommunestruktur2019!$A$4:$N$425,K0kommunestruktur2020altern!H$3,FALSE)</f>
        <v>186961</v>
      </c>
      <c r="I207" s="289">
        <f>VLOOKUP($A207,K0kommunestruktur2019!$A$4:$N$425,K0kommunestruktur2020altern!I$3,FALSE)</f>
        <v>5894</v>
      </c>
      <c r="J207" s="177">
        <f>VLOOKUP($A207,K0kommunestruktur2019!$A$4:$N$425,K0kommunestruktur2020altern!J$3,FALSE)</f>
        <v>193683</v>
      </c>
      <c r="K207" s="289">
        <f>VLOOKUP($A207,K0kommunestruktur2019!$A$4:$N$425,K0kommunestruktur2020altern!K$3,FALSE)</f>
        <v>5856</v>
      </c>
      <c r="L207" s="177">
        <f>VLOOKUP($A207,K0kommunestruktur2019!$A$4:$N$425,K0kommunestruktur2020altern!L$3,FALSE)</f>
        <v>199842</v>
      </c>
      <c r="M207" s="289">
        <f>VLOOKUP($A207,K0kommunestruktur2019!$A$4:$N$425,K0kommunestruktur2020altern!M$3,FALSE)</f>
        <v>5780</v>
      </c>
      <c r="N207" s="177">
        <f>VLOOKUP($A207,K0kommunestruktur2019!$A$4:$N$425,K0kommunestruktur2020altern!N$3,FALSE)</f>
        <v>205109</v>
      </c>
      <c r="O207" s="289">
        <f>+'K20'!C207</f>
        <v>5691</v>
      </c>
      <c r="P207" s="177">
        <f>+'K20'!Z207</f>
        <v>204259</v>
      </c>
      <c r="R207" s="517"/>
    </row>
    <row r="208" spans="1:18" ht="13">
      <c r="A208" s="865">
        <v>3819</v>
      </c>
      <c r="B208" s="866" t="s">
        <v>921</v>
      </c>
      <c r="C208" s="289">
        <f>VLOOKUP($A208,K0kommunestruktur2019!$A$4:$N$425,K0kommunestruktur2020altern!C$3,FALSE)</f>
        <v>1602</v>
      </c>
      <c r="D208" s="177">
        <f>VLOOKUP($A208,K0kommunestruktur2019!$A$4:$N$425,K0kommunestruktur2020altern!D$3,FALSE)</f>
        <v>39542</v>
      </c>
      <c r="E208" s="289">
        <f>VLOOKUP($A208,K0kommunestruktur2019!$A$4:$N$425,K0kommunestruktur2020altern!E$3,FALSE)</f>
        <v>1594</v>
      </c>
      <c r="F208" s="177">
        <f>VLOOKUP($A208,K0kommunestruktur2019!$A$4:$N$425,K0kommunestruktur2020altern!F$3,FALSE)</f>
        <v>42830</v>
      </c>
      <c r="G208" s="289">
        <f>VLOOKUP($A208,K0kommunestruktur2019!$A$4:$N$425,K0kommunestruktur2020altern!G$3,FALSE)</f>
        <v>1613</v>
      </c>
      <c r="H208" s="177">
        <f>VLOOKUP($A208,K0kommunestruktur2019!$A$4:$N$425,K0kommunestruktur2020altern!H$3,FALSE)</f>
        <v>40643</v>
      </c>
      <c r="I208" s="289">
        <f>VLOOKUP($A208,K0kommunestruktur2019!$A$4:$N$425,K0kommunestruktur2020altern!I$3,FALSE)</f>
        <v>1593</v>
      </c>
      <c r="J208" s="177">
        <f>VLOOKUP($A208,K0kommunestruktur2019!$A$4:$N$425,K0kommunestruktur2020altern!J$3,FALSE)</f>
        <v>43632</v>
      </c>
      <c r="K208" s="289">
        <f>VLOOKUP($A208,K0kommunestruktur2019!$A$4:$N$425,K0kommunestruktur2020altern!K$3,FALSE)</f>
        <v>1587</v>
      </c>
      <c r="L208" s="177">
        <f>VLOOKUP($A208,K0kommunestruktur2019!$A$4:$N$425,K0kommunestruktur2020altern!L$3,FALSE)</f>
        <v>47373</v>
      </c>
      <c r="M208" s="289">
        <f>VLOOKUP($A208,K0kommunestruktur2019!$A$4:$N$425,K0kommunestruktur2020altern!M$3,FALSE)</f>
        <v>1572</v>
      </c>
      <c r="N208" s="177">
        <f>VLOOKUP($A208,K0kommunestruktur2019!$A$4:$N$425,K0kommunestruktur2020altern!N$3,FALSE)</f>
        <v>48046</v>
      </c>
      <c r="O208" s="289">
        <f>+'K20'!C208</f>
        <v>1573</v>
      </c>
      <c r="P208" s="177">
        <f>+'K20'!Z208</f>
        <v>47993</v>
      </c>
      <c r="R208" s="517"/>
    </row>
    <row r="209" spans="1:18" ht="13">
      <c r="A209" s="865">
        <v>3820</v>
      </c>
      <c r="B209" s="866" t="s">
        <v>922</v>
      </c>
      <c r="C209" s="289">
        <f>VLOOKUP($A209,K0kommunestruktur2019!$A$4:$N$425,K0kommunestruktur2020altern!C$3,FALSE)</f>
        <v>2989</v>
      </c>
      <c r="D209" s="177">
        <f>VLOOKUP($A209,K0kommunestruktur2019!$A$4:$N$425,K0kommunestruktur2020altern!D$3,FALSE)</f>
        <v>65047</v>
      </c>
      <c r="E209" s="289">
        <f>VLOOKUP($A209,K0kommunestruktur2019!$A$4:$N$425,K0kommunestruktur2020altern!E$3,FALSE)</f>
        <v>3002</v>
      </c>
      <c r="F209" s="177">
        <f>VLOOKUP($A209,K0kommunestruktur2019!$A$4:$N$425,K0kommunestruktur2020altern!F$3,FALSE)</f>
        <v>68192</v>
      </c>
      <c r="G209" s="289">
        <f>VLOOKUP($A209,K0kommunestruktur2019!$A$4:$N$425,K0kommunestruktur2020altern!G$3,FALSE)</f>
        <v>2991</v>
      </c>
      <c r="H209" s="177">
        <f>VLOOKUP($A209,K0kommunestruktur2019!$A$4:$N$425,K0kommunestruktur2020altern!H$3,FALSE)</f>
        <v>77709</v>
      </c>
      <c r="I209" s="289">
        <f>VLOOKUP($A209,K0kommunestruktur2019!$A$4:$N$425,K0kommunestruktur2020altern!I$3,FALSE)</f>
        <v>2979</v>
      </c>
      <c r="J209" s="177">
        <f>VLOOKUP($A209,K0kommunestruktur2019!$A$4:$N$425,K0kommunestruktur2020altern!J$3,FALSE)</f>
        <v>76975</v>
      </c>
      <c r="K209" s="289">
        <f>VLOOKUP($A209,K0kommunestruktur2019!$A$4:$N$425,K0kommunestruktur2020altern!K$3,FALSE)</f>
        <v>2959</v>
      </c>
      <c r="L209" s="177">
        <f>VLOOKUP($A209,K0kommunestruktur2019!$A$4:$N$425,K0kommunestruktur2020altern!L$3,FALSE)</f>
        <v>79022</v>
      </c>
      <c r="M209" s="289">
        <f>VLOOKUP($A209,K0kommunestruktur2019!$A$4:$N$425,K0kommunestruktur2020altern!M$3,FALSE)</f>
        <v>2934</v>
      </c>
      <c r="N209" s="177">
        <f>VLOOKUP($A209,K0kommunestruktur2019!$A$4:$N$425,K0kommunestruktur2020altern!N$3,FALSE)</f>
        <v>79899</v>
      </c>
      <c r="O209" s="289">
        <f>+'K20'!C209</f>
        <v>2888</v>
      </c>
      <c r="P209" s="177">
        <f>+'K20'!Z209</f>
        <v>81485</v>
      </c>
      <c r="R209" s="517"/>
    </row>
    <row r="210" spans="1:18" ht="13">
      <c r="A210" s="865">
        <v>3821</v>
      </c>
      <c r="B210" s="866" t="s">
        <v>923</v>
      </c>
      <c r="C210" s="289">
        <f>VLOOKUP($A210,K0kommunestruktur2019!$A$4:$N$425,K0kommunestruktur2020altern!C$3,FALSE)</f>
        <v>2468</v>
      </c>
      <c r="D210" s="177">
        <f>VLOOKUP($A210,K0kommunestruktur2019!$A$4:$N$425,K0kommunestruktur2020altern!D$3,FALSE)</f>
        <v>50957</v>
      </c>
      <c r="E210" s="289">
        <f>VLOOKUP($A210,K0kommunestruktur2019!$A$4:$N$425,K0kommunestruktur2020altern!E$3,FALSE)</f>
        <v>2466</v>
      </c>
      <c r="F210" s="177">
        <f>VLOOKUP($A210,K0kommunestruktur2019!$A$4:$N$425,K0kommunestruktur2020altern!F$3,FALSE)</f>
        <v>53676</v>
      </c>
      <c r="G210" s="289">
        <f>VLOOKUP($A210,K0kommunestruktur2019!$A$4:$N$425,K0kommunestruktur2020altern!G$3,FALSE)</f>
        <v>2448</v>
      </c>
      <c r="H210" s="177">
        <f>VLOOKUP($A210,K0kommunestruktur2019!$A$4:$N$425,K0kommunestruktur2020altern!H$3,FALSE)</f>
        <v>59167</v>
      </c>
      <c r="I210" s="289">
        <f>VLOOKUP($A210,K0kommunestruktur2019!$A$4:$N$425,K0kommunestruktur2020altern!I$3,FALSE)</f>
        <v>2442</v>
      </c>
      <c r="J210" s="177">
        <f>VLOOKUP($A210,K0kommunestruktur2019!$A$4:$N$425,K0kommunestruktur2020altern!J$3,FALSE)</f>
        <v>59446</v>
      </c>
      <c r="K210" s="289">
        <f>VLOOKUP($A210,K0kommunestruktur2019!$A$4:$N$425,K0kommunestruktur2020altern!K$3,FALSE)</f>
        <v>2397</v>
      </c>
      <c r="L210" s="177">
        <f>VLOOKUP($A210,K0kommunestruktur2019!$A$4:$N$425,K0kommunestruktur2020altern!L$3,FALSE)</f>
        <v>63971</v>
      </c>
      <c r="M210" s="289">
        <f>VLOOKUP($A210,K0kommunestruktur2019!$A$4:$N$425,K0kommunestruktur2020altern!M$3,FALSE)</f>
        <v>2403</v>
      </c>
      <c r="N210" s="177">
        <f>VLOOKUP($A210,K0kommunestruktur2019!$A$4:$N$425,K0kommunestruktur2020altern!N$3,FALSE)</f>
        <v>65310</v>
      </c>
      <c r="O210" s="289">
        <f>+'K20'!C210</f>
        <v>2403</v>
      </c>
      <c r="P210" s="177">
        <f>+'K20'!Z210</f>
        <v>67377</v>
      </c>
      <c r="R210" s="517"/>
    </row>
    <row r="211" spans="1:18" ht="13">
      <c r="A211" s="865">
        <v>3822</v>
      </c>
      <c r="B211" s="866" t="s">
        <v>924</v>
      </c>
      <c r="C211" s="289">
        <f>VLOOKUP($A211,K0kommunestruktur2019!$A$4:$N$425,K0kommunestruktur2020altern!C$3,FALSE)</f>
        <v>1451</v>
      </c>
      <c r="D211" s="177">
        <f>VLOOKUP($A211,K0kommunestruktur2019!$A$4:$N$425,K0kommunestruktur2020altern!D$3,FALSE)</f>
        <v>36611</v>
      </c>
      <c r="E211" s="289">
        <f>VLOOKUP($A211,K0kommunestruktur2019!$A$4:$N$425,K0kommunestruktur2020altern!E$3,FALSE)</f>
        <v>1439</v>
      </c>
      <c r="F211" s="177">
        <f>VLOOKUP($A211,K0kommunestruktur2019!$A$4:$N$425,K0kommunestruktur2020altern!F$3,FALSE)</f>
        <v>37410</v>
      </c>
      <c r="G211" s="289">
        <f>VLOOKUP($A211,K0kommunestruktur2019!$A$4:$N$425,K0kommunestruktur2020altern!G$3,FALSE)</f>
        <v>1443</v>
      </c>
      <c r="H211" s="177">
        <f>VLOOKUP($A211,K0kommunestruktur2019!$A$4:$N$425,K0kommunestruktur2020altern!H$3,FALSE)</f>
        <v>39677</v>
      </c>
      <c r="I211" s="289">
        <f>VLOOKUP($A211,K0kommunestruktur2019!$A$4:$N$425,K0kommunestruktur2020altern!I$3,FALSE)</f>
        <v>1476</v>
      </c>
      <c r="J211" s="177">
        <f>VLOOKUP($A211,K0kommunestruktur2019!$A$4:$N$425,K0kommunestruktur2020altern!J$3,FALSE)</f>
        <v>41801</v>
      </c>
      <c r="K211" s="289">
        <f>VLOOKUP($A211,K0kommunestruktur2019!$A$4:$N$425,K0kommunestruktur2020altern!K$3,FALSE)</f>
        <v>1489</v>
      </c>
      <c r="L211" s="177">
        <f>VLOOKUP($A211,K0kommunestruktur2019!$A$4:$N$425,K0kommunestruktur2020altern!L$3,FALSE)</f>
        <v>43371</v>
      </c>
      <c r="M211" s="289">
        <f>VLOOKUP($A211,K0kommunestruktur2019!$A$4:$N$425,K0kommunestruktur2020altern!M$3,FALSE)</f>
        <v>1476</v>
      </c>
      <c r="N211" s="177">
        <f>VLOOKUP($A211,K0kommunestruktur2019!$A$4:$N$425,K0kommunestruktur2020altern!N$3,FALSE)</f>
        <v>43819</v>
      </c>
      <c r="O211" s="289">
        <f>+'K20'!C211</f>
        <v>1448</v>
      </c>
      <c r="P211" s="177">
        <f>+'K20'!Z211</f>
        <v>42926</v>
      </c>
      <c r="R211" s="517"/>
    </row>
    <row r="212" spans="1:18" ht="13">
      <c r="A212" s="865">
        <v>3823</v>
      </c>
      <c r="B212" s="866" t="s">
        <v>925</v>
      </c>
      <c r="C212" s="289">
        <f>VLOOKUP($A212,K0kommunestruktur2019!$A$4:$N$425,K0kommunestruktur2020altern!C$3,FALSE)</f>
        <v>1303</v>
      </c>
      <c r="D212" s="177">
        <f>VLOOKUP($A212,K0kommunestruktur2019!$A$4:$N$425,K0kommunestruktur2020altern!D$3,FALSE)</f>
        <v>28797</v>
      </c>
      <c r="E212" s="289">
        <f>VLOOKUP($A212,K0kommunestruktur2019!$A$4:$N$425,K0kommunestruktur2020altern!E$3,FALSE)</f>
        <v>1298</v>
      </c>
      <c r="F212" s="177">
        <f>VLOOKUP($A212,K0kommunestruktur2019!$A$4:$N$425,K0kommunestruktur2020altern!F$3,FALSE)</f>
        <v>30134</v>
      </c>
      <c r="G212" s="289">
        <f>VLOOKUP($A212,K0kommunestruktur2019!$A$4:$N$425,K0kommunestruktur2020altern!G$3,FALSE)</f>
        <v>1323</v>
      </c>
      <c r="H212" s="177">
        <f>VLOOKUP($A212,K0kommunestruktur2019!$A$4:$N$425,K0kommunestruktur2020altern!H$3,FALSE)</f>
        <v>31376</v>
      </c>
      <c r="I212" s="289">
        <f>VLOOKUP($A212,K0kommunestruktur2019!$A$4:$N$425,K0kommunestruktur2020altern!I$3,FALSE)</f>
        <v>1319</v>
      </c>
      <c r="J212" s="177">
        <f>VLOOKUP($A212,K0kommunestruktur2019!$A$4:$N$425,K0kommunestruktur2020altern!J$3,FALSE)</f>
        <v>31788</v>
      </c>
      <c r="K212" s="289">
        <f>VLOOKUP($A212,K0kommunestruktur2019!$A$4:$N$425,K0kommunestruktur2020altern!K$3,FALSE)</f>
        <v>1320</v>
      </c>
      <c r="L212" s="177">
        <f>VLOOKUP($A212,K0kommunestruktur2019!$A$4:$N$425,K0kommunestruktur2020altern!L$3,FALSE)</f>
        <v>35116</v>
      </c>
      <c r="M212" s="289">
        <f>VLOOKUP($A212,K0kommunestruktur2019!$A$4:$N$425,K0kommunestruktur2020altern!M$3,FALSE)</f>
        <v>1286</v>
      </c>
      <c r="N212" s="177">
        <f>VLOOKUP($A212,K0kommunestruktur2019!$A$4:$N$425,K0kommunestruktur2020altern!N$3,FALSE)</f>
        <v>35476</v>
      </c>
      <c r="O212" s="289">
        <f>+'K20'!C212</f>
        <v>1287</v>
      </c>
      <c r="P212" s="177">
        <f>+'K20'!Z212</f>
        <v>35369</v>
      </c>
      <c r="R212" s="517"/>
    </row>
    <row r="213" spans="1:18" ht="13">
      <c r="A213" s="865">
        <v>3824</v>
      </c>
      <c r="B213" s="866" t="s">
        <v>926</v>
      </c>
      <c r="C213" s="289">
        <f>VLOOKUP($A213,K0kommunestruktur2019!$A$4:$N$425,K0kommunestruktur2020altern!C$3,FALSE)</f>
        <v>2257</v>
      </c>
      <c r="D213" s="177">
        <f>VLOOKUP($A213,K0kommunestruktur2019!$A$4:$N$425,K0kommunestruktur2020altern!D$3,FALSE)</f>
        <v>71072</v>
      </c>
      <c r="E213" s="289">
        <f>VLOOKUP($A213,K0kommunestruktur2019!$A$4:$N$425,K0kommunestruktur2020altern!E$3,FALSE)</f>
        <v>2252</v>
      </c>
      <c r="F213" s="177">
        <f>VLOOKUP($A213,K0kommunestruktur2019!$A$4:$N$425,K0kommunestruktur2020altern!F$3,FALSE)</f>
        <v>73784</v>
      </c>
      <c r="G213" s="289">
        <f>VLOOKUP($A213,K0kommunestruktur2019!$A$4:$N$425,K0kommunestruktur2020altern!G$3,FALSE)</f>
        <v>2246</v>
      </c>
      <c r="H213" s="177">
        <f>VLOOKUP($A213,K0kommunestruktur2019!$A$4:$N$425,K0kommunestruktur2020altern!H$3,FALSE)</f>
        <v>75679</v>
      </c>
      <c r="I213" s="289">
        <f>VLOOKUP($A213,K0kommunestruktur2019!$A$4:$N$425,K0kommunestruktur2020altern!I$3,FALSE)</f>
        <v>2228</v>
      </c>
      <c r="J213" s="177">
        <f>VLOOKUP($A213,K0kommunestruktur2019!$A$4:$N$425,K0kommunestruktur2020altern!J$3,FALSE)</f>
        <v>75885</v>
      </c>
      <c r="K213" s="289">
        <f>VLOOKUP($A213,K0kommunestruktur2019!$A$4:$N$425,K0kommunestruktur2020altern!K$3,FALSE)</f>
        <v>2236</v>
      </c>
      <c r="L213" s="177">
        <f>VLOOKUP($A213,K0kommunestruktur2019!$A$4:$N$425,K0kommunestruktur2020altern!L$3,FALSE)</f>
        <v>78415</v>
      </c>
      <c r="M213" s="289">
        <f>VLOOKUP($A213,K0kommunestruktur2019!$A$4:$N$425,K0kommunestruktur2020altern!M$3,FALSE)</f>
        <v>2228</v>
      </c>
      <c r="N213" s="177">
        <f>VLOOKUP($A213,K0kommunestruktur2019!$A$4:$N$425,K0kommunestruktur2020altern!N$3,FALSE)</f>
        <v>83047</v>
      </c>
      <c r="O213" s="289">
        <f>+'K20'!C213</f>
        <v>2201</v>
      </c>
      <c r="P213" s="177">
        <f>+'K20'!Z213</f>
        <v>84882</v>
      </c>
      <c r="R213" s="517"/>
    </row>
    <row r="214" spans="1:18" ht="13">
      <c r="A214" s="865">
        <v>3825</v>
      </c>
      <c r="B214" s="866" t="s">
        <v>927</v>
      </c>
      <c r="C214" s="289">
        <f>VLOOKUP($A214,K0kommunestruktur2019!$A$4:$N$425,K0kommunestruktur2020altern!C$3,FALSE)</f>
        <v>3723</v>
      </c>
      <c r="D214" s="177">
        <f>VLOOKUP($A214,K0kommunestruktur2019!$A$4:$N$425,K0kommunestruktur2020altern!D$3,FALSE)</f>
        <v>126108</v>
      </c>
      <c r="E214" s="289">
        <f>VLOOKUP($A214,K0kommunestruktur2019!$A$4:$N$425,K0kommunestruktur2020altern!E$3,FALSE)</f>
        <v>3689</v>
      </c>
      <c r="F214" s="177">
        <f>VLOOKUP($A214,K0kommunestruktur2019!$A$4:$N$425,K0kommunestruktur2020altern!F$3,FALSE)</f>
        <v>128208</v>
      </c>
      <c r="G214" s="289">
        <f>VLOOKUP($A214,K0kommunestruktur2019!$A$4:$N$425,K0kommunestruktur2020altern!G$3,FALSE)</f>
        <v>3727</v>
      </c>
      <c r="H214" s="177">
        <f>VLOOKUP($A214,K0kommunestruktur2019!$A$4:$N$425,K0kommunestruktur2020altern!H$3,FALSE)</f>
        <v>139735</v>
      </c>
      <c r="I214" s="289">
        <f>VLOOKUP($A214,K0kommunestruktur2019!$A$4:$N$425,K0kommunestruktur2020altern!I$3,FALSE)</f>
        <v>3726</v>
      </c>
      <c r="J214" s="177">
        <f>VLOOKUP($A214,K0kommunestruktur2019!$A$4:$N$425,K0kommunestruktur2020altern!J$3,FALSE)</f>
        <v>147661</v>
      </c>
      <c r="K214" s="289">
        <f>VLOOKUP($A214,K0kommunestruktur2019!$A$4:$N$425,K0kommunestruktur2020altern!K$3,FALSE)</f>
        <v>3709</v>
      </c>
      <c r="L214" s="177">
        <f>VLOOKUP($A214,K0kommunestruktur2019!$A$4:$N$425,K0kommunestruktur2020altern!L$3,FALSE)</f>
        <v>151716</v>
      </c>
      <c r="M214" s="289">
        <f>VLOOKUP($A214,K0kommunestruktur2019!$A$4:$N$425,K0kommunestruktur2020altern!M$3,FALSE)</f>
        <v>3723</v>
      </c>
      <c r="N214" s="177">
        <f>VLOOKUP($A214,K0kommunestruktur2019!$A$4:$N$425,K0kommunestruktur2020altern!N$3,FALSE)</f>
        <v>154659</v>
      </c>
      <c r="O214" s="289">
        <f>+'K20'!C214</f>
        <v>3676</v>
      </c>
      <c r="P214" s="177">
        <f>+'K20'!Z214</f>
        <v>150015</v>
      </c>
      <c r="R214" s="517"/>
    </row>
    <row r="215" spans="1:18" ht="13">
      <c r="A215" s="865">
        <v>4201</v>
      </c>
      <c r="B215" s="866" t="s">
        <v>928</v>
      </c>
      <c r="C215" s="289">
        <f>VLOOKUP($A215,K0kommunestruktur2019!$A$4:$N$425,K0kommunestruktur2020altern!C$3,FALSE)</f>
        <v>6899</v>
      </c>
      <c r="D215" s="177">
        <f>VLOOKUP($A215,K0kommunestruktur2019!$A$4:$N$425,K0kommunestruktur2020altern!D$3,FALSE)</f>
        <v>134355</v>
      </c>
      <c r="E215" s="289">
        <f>VLOOKUP($A215,K0kommunestruktur2019!$A$4:$N$425,K0kommunestruktur2020altern!E$3,FALSE)</f>
        <v>6909</v>
      </c>
      <c r="F215" s="177">
        <f>VLOOKUP($A215,K0kommunestruktur2019!$A$4:$N$425,K0kommunestruktur2020altern!F$3,FALSE)</f>
        <v>147885</v>
      </c>
      <c r="G215" s="289">
        <f>VLOOKUP($A215,K0kommunestruktur2019!$A$4:$N$425,K0kommunestruktur2020altern!G$3,FALSE)</f>
        <v>6920</v>
      </c>
      <c r="H215" s="177">
        <f>VLOOKUP($A215,K0kommunestruktur2019!$A$4:$N$425,K0kommunestruktur2020altern!H$3,FALSE)</f>
        <v>167375</v>
      </c>
      <c r="I215" s="289">
        <f>VLOOKUP($A215,K0kommunestruktur2019!$A$4:$N$425,K0kommunestruktur2020altern!I$3,FALSE)</f>
        <v>6936</v>
      </c>
      <c r="J215" s="177">
        <f>VLOOKUP($A215,K0kommunestruktur2019!$A$4:$N$425,K0kommunestruktur2020altern!J$3,FALSE)</f>
        <v>169353</v>
      </c>
      <c r="K215" s="289">
        <f>VLOOKUP($A215,K0kommunestruktur2019!$A$4:$N$425,K0kommunestruktur2020altern!K$3,FALSE)</f>
        <v>6882</v>
      </c>
      <c r="L215" s="177">
        <f>VLOOKUP($A215,K0kommunestruktur2019!$A$4:$N$425,K0kommunestruktur2020altern!L$3,FALSE)</f>
        <v>167642</v>
      </c>
      <c r="M215" s="289">
        <f>VLOOKUP($A215,K0kommunestruktur2019!$A$4:$N$425,K0kommunestruktur2020altern!M$3,FALSE)</f>
        <v>6848</v>
      </c>
      <c r="N215" s="177">
        <f>VLOOKUP($A215,K0kommunestruktur2019!$A$4:$N$425,K0kommunestruktur2020altern!N$3,FALSE)</f>
        <v>177519</v>
      </c>
      <c r="O215" s="289">
        <f>+'K20'!C215</f>
        <v>6809</v>
      </c>
      <c r="P215" s="177">
        <f>+'K20'!Z215</f>
        <v>180186</v>
      </c>
      <c r="R215" s="517"/>
    </row>
    <row r="216" spans="1:18" ht="13">
      <c r="A216" s="865">
        <v>4202</v>
      </c>
      <c r="B216" s="866" t="s">
        <v>929</v>
      </c>
      <c r="C216" s="289">
        <f>VLOOKUP($A216,K0kommunestruktur2019!$A$4:$N$425,K0kommunestruktur2020altern!C$3,FALSE)</f>
        <v>21783</v>
      </c>
      <c r="D216" s="177">
        <f>VLOOKUP($A216,K0kommunestruktur2019!$A$4:$N$425,K0kommunestruktur2020altern!D$3,FALSE)</f>
        <v>553534</v>
      </c>
      <c r="E216" s="289">
        <f>VLOOKUP($A216,K0kommunestruktur2019!$A$4:$N$425,K0kommunestruktur2020altern!E$3,FALSE)</f>
        <v>22098</v>
      </c>
      <c r="F216" s="177">
        <f>VLOOKUP($A216,K0kommunestruktur2019!$A$4:$N$425,K0kommunestruktur2020altern!F$3,FALSE)</f>
        <v>543922</v>
      </c>
      <c r="G216" s="289">
        <f>VLOOKUP($A216,K0kommunestruktur2019!$A$4:$N$425,K0kommunestruktur2020altern!G$3,FALSE)</f>
        <v>22550</v>
      </c>
      <c r="H216" s="177">
        <f>VLOOKUP($A216,K0kommunestruktur2019!$A$4:$N$425,K0kommunestruktur2020altern!H$3,FALSE)</f>
        <v>604347</v>
      </c>
      <c r="I216" s="289">
        <f>VLOOKUP($A216,K0kommunestruktur2019!$A$4:$N$425,K0kommunestruktur2020altern!I$3,FALSE)</f>
        <v>22692</v>
      </c>
      <c r="J216" s="177">
        <f>VLOOKUP($A216,K0kommunestruktur2019!$A$4:$N$425,K0kommunestruktur2020altern!J$3,FALSE)</f>
        <v>697878</v>
      </c>
      <c r="K216" s="289">
        <f>VLOOKUP($A216,K0kommunestruktur2019!$A$4:$N$425,K0kommunestruktur2020altern!K$3,FALSE)</f>
        <v>23017</v>
      </c>
      <c r="L216" s="177">
        <f>VLOOKUP($A216,K0kommunestruktur2019!$A$4:$N$425,K0kommunestruktur2020altern!L$3,FALSE)</f>
        <v>637254</v>
      </c>
      <c r="M216" s="289">
        <f>VLOOKUP($A216,K0kommunestruktur2019!$A$4:$N$425,K0kommunestruktur2020altern!M$3,FALSE)</f>
        <v>23246</v>
      </c>
      <c r="N216" s="177">
        <f>VLOOKUP($A216,K0kommunestruktur2019!$A$4:$N$425,K0kommunestruktur2020altern!N$3,FALSE)</f>
        <v>551458</v>
      </c>
      <c r="O216" s="289">
        <f>+'K20'!C216</f>
        <v>23544</v>
      </c>
      <c r="P216" s="177">
        <f>+'K20'!Z216</f>
        <v>635058</v>
      </c>
      <c r="R216" s="517"/>
    </row>
    <row r="217" spans="1:18" ht="13">
      <c r="A217" s="865">
        <v>4203</v>
      </c>
      <c r="B217" s="866" t="s">
        <v>930</v>
      </c>
      <c r="C217" s="289">
        <f>VLOOKUP($A217,K0kommunestruktur2019!$A$4:$N$425,K0kommunestruktur2020altern!C$3,FALSE)</f>
        <v>43841</v>
      </c>
      <c r="D217" s="177">
        <f>VLOOKUP($A217,K0kommunestruktur2019!$A$4:$N$425,K0kommunestruktur2020altern!D$3,FALSE)</f>
        <v>938268</v>
      </c>
      <c r="E217" s="289">
        <f>VLOOKUP($A217,K0kommunestruktur2019!$A$4:$N$425,K0kommunestruktur2020altern!E$3,FALSE)</f>
        <v>44219</v>
      </c>
      <c r="F217" s="177">
        <f>VLOOKUP($A217,K0kommunestruktur2019!$A$4:$N$425,K0kommunestruktur2020altern!F$3,FALSE)</f>
        <v>1003175</v>
      </c>
      <c r="G217" s="289">
        <f>VLOOKUP($A217,K0kommunestruktur2019!$A$4:$N$425,K0kommunestruktur2020altern!G$3,FALSE)</f>
        <v>44313</v>
      </c>
      <c r="H217" s="177">
        <f>VLOOKUP($A217,K0kommunestruktur2019!$A$4:$N$425,K0kommunestruktur2020altern!H$3,FALSE)</f>
        <v>1080289</v>
      </c>
      <c r="I217" s="289">
        <f>VLOOKUP($A217,K0kommunestruktur2019!$A$4:$N$425,K0kommunestruktur2020altern!I$3,FALSE)</f>
        <v>44576</v>
      </c>
      <c r="J217" s="177">
        <f>VLOOKUP($A217,K0kommunestruktur2019!$A$4:$N$425,K0kommunestruktur2020altern!J$3,FALSE)</f>
        <v>1108406</v>
      </c>
      <c r="K217" s="289">
        <f>VLOOKUP($A217,K0kommunestruktur2019!$A$4:$N$425,K0kommunestruktur2020altern!K$3,FALSE)</f>
        <v>44645</v>
      </c>
      <c r="L217" s="177">
        <f>VLOOKUP($A217,K0kommunestruktur2019!$A$4:$N$425,K0kommunestruktur2020altern!L$3,FALSE)</f>
        <v>1138206</v>
      </c>
      <c r="M217" s="289">
        <f>VLOOKUP($A217,K0kommunestruktur2019!$A$4:$N$425,K0kommunestruktur2020altern!M$3,FALSE)</f>
        <v>44785</v>
      </c>
      <c r="N217" s="177">
        <f>VLOOKUP($A217,K0kommunestruktur2019!$A$4:$N$425,K0kommunestruktur2020altern!N$3,FALSE)</f>
        <v>1184748</v>
      </c>
      <c r="O217" s="289">
        <f>+'K20'!C217</f>
        <v>44999</v>
      </c>
      <c r="P217" s="177">
        <f>+'K20'!Z217</f>
        <v>1167063</v>
      </c>
      <c r="R217" s="517"/>
    </row>
    <row r="218" spans="1:18" ht="13">
      <c r="A218" s="878">
        <v>4204</v>
      </c>
      <c r="B218" s="883" t="s">
        <v>1628</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+'K20'!C218</f>
        <v>111633</v>
      </c>
      <c r="P218" s="177">
        <f>+'K20'!Z218</f>
        <v>3039670</v>
      </c>
      <c r="R218" s="517"/>
    </row>
    <row r="219" spans="1:18" ht="13">
      <c r="A219" s="878">
        <v>4205</v>
      </c>
      <c r="B219" s="883" t="s">
        <v>1629</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+'K20'!C219</f>
        <v>23046</v>
      </c>
      <c r="P219" s="177">
        <f>+'K20'!Z219</f>
        <v>591163</v>
      </c>
      <c r="R219" s="517"/>
    </row>
    <row r="220" spans="1:18" ht="13">
      <c r="A220" s="865">
        <v>4206</v>
      </c>
      <c r="B220" s="866" t="s">
        <v>944</v>
      </c>
      <c r="C220" s="289">
        <f>VLOOKUP($A220,K0kommunestruktur2019!$A$4:$N$425,K0kommunestruktur2020altern!C$3,FALSE)</f>
        <v>9516</v>
      </c>
      <c r="D220" s="177">
        <f>VLOOKUP($A220,K0kommunestruktur2019!$A$4:$N$425,K0kommunestruktur2020altern!D$3,FALSE)</f>
        <v>213055</v>
      </c>
      <c r="E220" s="289">
        <f>VLOOKUP($A220,K0kommunestruktur2019!$A$4:$N$425,K0kommunestruktur2020altern!E$3,FALSE)</f>
        <v>9596</v>
      </c>
      <c r="F220" s="177">
        <f>VLOOKUP($A220,K0kommunestruktur2019!$A$4:$N$425,K0kommunestruktur2020altern!F$3,FALSE)</f>
        <v>220937</v>
      </c>
      <c r="G220" s="289">
        <f>VLOOKUP($A220,K0kommunestruktur2019!$A$4:$N$425,K0kommunestruktur2020altern!G$3,FALSE)</f>
        <v>9705</v>
      </c>
      <c r="H220" s="177">
        <f>VLOOKUP($A220,K0kommunestruktur2019!$A$4:$N$425,K0kommunestruktur2020altern!H$3,FALSE)</f>
        <v>232824</v>
      </c>
      <c r="I220" s="289">
        <f>VLOOKUP($A220,K0kommunestruktur2019!$A$4:$N$425,K0kommunestruktur2020altern!I$3,FALSE)</f>
        <v>9769</v>
      </c>
      <c r="J220" s="177">
        <f>VLOOKUP($A220,K0kommunestruktur2019!$A$4:$N$425,K0kommunestruktur2020altern!J$3,FALSE)</f>
        <v>236747</v>
      </c>
      <c r="K220" s="289">
        <f>VLOOKUP($A220,K0kommunestruktur2019!$A$4:$N$425,K0kommunestruktur2020altern!K$3,FALSE)</f>
        <v>9726</v>
      </c>
      <c r="L220" s="177">
        <f>VLOOKUP($A220,K0kommunestruktur2019!$A$4:$N$425,K0kommunestruktur2020altern!L$3,FALSE)</f>
        <v>246461</v>
      </c>
      <c r="M220" s="289">
        <f>VLOOKUP($A220,K0kommunestruktur2019!$A$4:$N$425,K0kommunestruktur2020altern!M$3,FALSE)</f>
        <v>9695</v>
      </c>
      <c r="N220" s="177">
        <f>VLOOKUP($A220,K0kommunestruktur2019!$A$4:$N$425,K0kommunestruktur2020altern!N$3,FALSE)</f>
        <v>255900</v>
      </c>
      <c r="O220" s="289">
        <f>+'K20'!C220</f>
        <v>9691</v>
      </c>
      <c r="P220" s="177">
        <f>+'K20'!Z220</f>
        <v>247224</v>
      </c>
      <c r="R220" s="517"/>
    </row>
    <row r="221" spans="1:18" ht="13">
      <c r="A221" s="865">
        <v>4207</v>
      </c>
      <c r="B221" s="866" t="s">
        <v>946</v>
      </c>
      <c r="C221" s="289">
        <f>VLOOKUP($A221,K0kommunestruktur2019!$A$4:$N$425,K0kommunestruktur2020altern!C$3,FALSE)</f>
        <v>9013</v>
      </c>
      <c r="D221" s="177">
        <f>VLOOKUP($A221,K0kommunestruktur2019!$A$4:$N$425,K0kommunestruktur2020altern!D$3,FALSE)</f>
        <v>207629</v>
      </c>
      <c r="E221" s="289">
        <f>VLOOKUP($A221,K0kommunestruktur2019!$A$4:$N$425,K0kommunestruktur2020altern!E$3,FALSE)</f>
        <v>9069</v>
      </c>
      <c r="F221" s="177">
        <f>VLOOKUP($A221,K0kommunestruktur2019!$A$4:$N$425,K0kommunestruktur2020altern!F$3,FALSE)</f>
        <v>221234</v>
      </c>
      <c r="G221" s="289">
        <f>VLOOKUP($A221,K0kommunestruktur2019!$A$4:$N$425,K0kommunestruktur2020altern!G$3,FALSE)</f>
        <v>9096</v>
      </c>
      <c r="H221" s="177">
        <f>VLOOKUP($A221,K0kommunestruktur2019!$A$4:$N$425,K0kommunestruktur2020altern!H$3,FALSE)</f>
        <v>234968</v>
      </c>
      <c r="I221" s="289">
        <f>VLOOKUP($A221,K0kommunestruktur2019!$A$4:$N$425,K0kommunestruktur2020altern!I$3,FALSE)</f>
        <v>9090</v>
      </c>
      <c r="J221" s="177">
        <f>VLOOKUP($A221,K0kommunestruktur2019!$A$4:$N$425,K0kommunestruktur2020altern!J$3,FALSE)</f>
        <v>235474</v>
      </c>
      <c r="K221" s="289">
        <f>VLOOKUP($A221,K0kommunestruktur2019!$A$4:$N$425,K0kommunestruktur2020altern!K$3,FALSE)</f>
        <v>9066</v>
      </c>
      <c r="L221" s="177">
        <f>VLOOKUP($A221,K0kommunestruktur2019!$A$4:$N$425,K0kommunestruktur2020altern!L$3,FALSE)</f>
        <v>241314</v>
      </c>
      <c r="M221" s="289">
        <f>VLOOKUP($A221,K0kommunestruktur2019!$A$4:$N$425,K0kommunestruktur2020altern!M$3,FALSE)</f>
        <v>9066</v>
      </c>
      <c r="N221" s="177">
        <f>VLOOKUP($A221,K0kommunestruktur2019!$A$4:$N$425,K0kommunestruktur2020altern!N$3,FALSE)</f>
        <v>248272</v>
      </c>
      <c r="O221" s="289">
        <f>+'K20'!C221</f>
        <v>9028</v>
      </c>
      <c r="P221" s="177">
        <f>+'K20'!Z221</f>
        <v>244980</v>
      </c>
      <c r="R221" s="517"/>
    </row>
    <row r="222" spans="1:18" ht="13">
      <c r="A222" s="865">
        <v>4211</v>
      </c>
      <c r="B222" s="866" t="s">
        <v>931</v>
      </c>
      <c r="C222" s="289">
        <f>VLOOKUP($A222,K0kommunestruktur2019!$A$4:$N$425,K0kommunestruktur2020altern!C$3,FALSE)</f>
        <v>2489</v>
      </c>
      <c r="D222" s="177">
        <f>VLOOKUP($A222,K0kommunestruktur2019!$A$4:$N$425,K0kommunestruktur2020altern!D$3,FALSE)</f>
        <v>42217</v>
      </c>
      <c r="E222" s="289">
        <f>VLOOKUP($A222,K0kommunestruktur2019!$A$4:$N$425,K0kommunestruktur2020altern!E$3,FALSE)</f>
        <v>2481</v>
      </c>
      <c r="F222" s="177">
        <f>VLOOKUP($A222,K0kommunestruktur2019!$A$4:$N$425,K0kommunestruktur2020altern!F$3,FALSE)</f>
        <v>45870</v>
      </c>
      <c r="G222" s="289">
        <f>VLOOKUP($A222,K0kommunestruktur2019!$A$4:$N$425,K0kommunestruktur2020altern!G$3,FALSE)</f>
        <v>2473</v>
      </c>
      <c r="H222" s="177">
        <f>VLOOKUP($A222,K0kommunestruktur2019!$A$4:$N$425,K0kommunestruktur2020altern!H$3,FALSE)</f>
        <v>50912</v>
      </c>
      <c r="I222" s="289">
        <f>VLOOKUP($A222,K0kommunestruktur2019!$A$4:$N$425,K0kommunestruktur2020altern!I$3,FALSE)</f>
        <v>2511</v>
      </c>
      <c r="J222" s="177">
        <f>VLOOKUP($A222,K0kommunestruktur2019!$A$4:$N$425,K0kommunestruktur2020altern!J$3,FALSE)</f>
        <v>47795</v>
      </c>
      <c r="K222" s="289">
        <f>VLOOKUP($A222,K0kommunestruktur2019!$A$4:$N$425,K0kommunestruktur2020altern!K$3,FALSE)</f>
        <v>2467</v>
      </c>
      <c r="L222" s="177">
        <f>VLOOKUP($A222,K0kommunestruktur2019!$A$4:$N$425,K0kommunestruktur2020altern!L$3,FALSE)</f>
        <v>49187</v>
      </c>
      <c r="M222" s="289">
        <f>VLOOKUP($A222,K0kommunestruktur2019!$A$4:$N$425,K0kommunestruktur2020altern!M$3,FALSE)</f>
        <v>2454</v>
      </c>
      <c r="N222" s="177">
        <f>VLOOKUP($A222,K0kommunestruktur2019!$A$4:$N$425,K0kommunestruktur2020altern!N$3,FALSE)</f>
        <v>53222</v>
      </c>
      <c r="O222" s="289">
        <f>+'K20'!C222</f>
        <v>2428</v>
      </c>
      <c r="P222" s="177">
        <f>+'K20'!Z222</f>
        <v>52631</v>
      </c>
      <c r="R222" s="517"/>
    </row>
    <row r="223" spans="1:18" ht="13">
      <c r="A223" s="865">
        <v>4212</v>
      </c>
      <c r="B223" s="866" t="s">
        <v>706</v>
      </c>
      <c r="C223" s="289">
        <f>VLOOKUP($A223,K0kommunestruktur2019!$A$4:$N$425,K0kommunestruktur2020altern!C$3,FALSE)</f>
        <v>2000</v>
      </c>
      <c r="D223" s="177">
        <f>VLOOKUP($A223,K0kommunestruktur2019!$A$4:$N$425,K0kommunestruktur2020altern!D$3,FALSE)</f>
        <v>33620</v>
      </c>
      <c r="E223" s="289">
        <f>VLOOKUP($A223,K0kommunestruktur2019!$A$4:$N$425,K0kommunestruktur2020altern!E$3,FALSE)</f>
        <v>2018</v>
      </c>
      <c r="F223" s="177">
        <f>VLOOKUP($A223,K0kommunestruktur2019!$A$4:$N$425,K0kommunestruktur2020altern!F$3,FALSE)</f>
        <v>35967</v>
      </c>
      <c r="G223" s="289">
        <f>VLOOKUP($A223,K0kommunestruktur2019!$A$4:$N$425,K0kommunestruktur2020altern!G$3,FALSE)</f>
        <v>2036</v>
      </c>
      <c r="H223" s="177">
        <f>VLOOKUP($A223,K0kommunestruktur2019!$A$4:$N$425,K0kommunestruktur2020altern!H$3,FALSE)</f>
        <v>38688</v>
      </c>
      <c r="I223" s="289">
        <f>VLOOKUP($A223,K0kommunestruktur2019!$A$4:$N$425,K0kommunestruktur2020altern!I$3,FALSE)</f>
        <v>2104</v>
      </c>
      <c r="J223" s="177">
        <f>VLOOKUP($A223,K0kommunestruktur2019!$A$4:$N$425,K0kommunestruktur2020altern!J$3,FALSE)</f>
        <v>43056</v>
      </c>
      <c r="K223" s="289">
        <f>VLOOKUP($A223,K0kommunestruktur2019!$A$4:$N$425,K0kommunestruktur2020altern!K$3,FALSE)</f>
        <v>2087</v>
      </c>
      <c r="L223" s="177">
        <f>VLOOKUP($A223,K0kommunestruktur2019!$A$4:$N$425,K0kommunestruktur2020altern!L$3,FALSE)</f>
        <v>44994</v>
      </c>
      <c r="M223" s="289">
        <f>VLOOKUP($A223,K0kommunestruktur2019!$A$4:$N$425,K0kommunestruktur2020altern!M$3,FALSE)</f>
        <v>2093</v>
      </c>
      <c r="N223" s="177">
        <f>VLOOKUP($A223,K0kommunestruktur2019!$A$4:$N$425,K0kommunestruktur2020altern!N$3,FALSE)</f>
        <v>46962</v>
      </c>
      <c r="O223" s="289">
        <f>+'K20'!C223</f>
        <v>2097</v>
      </c>
      <c r="P223" s="177">
        <f>+'K20'!Z223</f>
        <v>47456</v>
      </c>
      <c r="R223" s="517"/>
    </row>
    <row r="224" spans="1:18" ht="13">
      <c r="A224" s="865">
        <v>4213</v>
      </c>
      <c r="B224" s="866" t="s">
        <v>932</v>
      </c>
      <c r="C224" s="289">
        <f>VLOOKUP($A224,K0kommunestruktur2019!$A$4:$N$425,K0kommunestruktur2020altern!C$3,FALSE)</f>
        <v>6059</v>
      </c>
      <c r="D224" s="177">
        <f>VLOOKUP($A224,K0kommunestruktur2019!$A$4:$N$425,K0kommunestruktur2020altern!D$3,FALSE)</f>
        <v>123581</v>
      </c>
      <c r="E224" s="289">
        <f>VLOOKUP($A224,K0kommunestruktur2019!$A$4:$N$425,K0kommunestruktur2020altern!E$3,FALSE)</f>
        <v>6048</v>
      </c>
      <c r="F224" s="177">
        <f>VLOOKUP($A224,K0kommunestruktur2019!$A$4:$N$425,K0kommunestruktur2020altern!F$3,FALSE)</f>
        <v>126293</v>
      </c>
      <c r="G224" s="289">
        <f>VLOOKUP($A224,K0kommunestruktur2019!$A$4:$N$425,K0kommunestruktur2020altern!G$3,FALSE)</f>
        <v>6014</v>
      </c>
      <c r="H224" s="177">
        <f>VLOOKUP($A224,K0kommunestruktur2019!$A$4:$N$425,K0kommunestruktur2020altern!H$3,FALSE)</f>
        <v>139825</v>
      </c>
      <c r="I224" s="289">
        <f>VLOOKUP($A224,K0kommunestruktur2019!$A$4:$N$425,K0kommunestruktur2020altern!I$3,FALSE)</f>
        <v>6051</v>
      </c>
      <c r="J224" s="177">
        <f>VLOOKUP($A224,K0kommunestruktur2019!$A$4:$N$425,K0kommunestruktur2020altern!J$3,FALSE)</f>
        <v>140112</v>
      </c>
      <c r="K224" s="289">
        <f>VLOOKUP($A224,K0kommunestruktur2019!$A$4:$N$425,K0kommunestruktur2020altern!K$3,FALSE)</f>
        <v>6086</v>
      </c>
      <c r="L224" s="177">
        <f>VLOOKUP($A224,K0kommunestruktur2019!$A$4:$N$425,K0kommunestruktur2020altern!L$3,FALSE)</f>
        <v>145870</v>
      </c>
      <c r="M224" s="289">
        <f>VLOOKUP($A224,K0kommunestruktur2019!$A$4:$N$425,K0kommunestruktur2020altern!M$3,FALSE)</f>
        <v>6069</v>
      </c>
      <c r="N224" s="177">
        <f>VLOOKUP($A224,K0kommunestruktur2019!$A$4:$N$425,K0kommunestruktur2020altern!N$3,FALSE)</f>
        <v>160923</v>
      </c>
      <c r="O224" s="289">
        <f>+'K20'!C224</f>
        <v>6053</v>
      </c>
      <c r="P224" s="177">
        <f>+'K20'!Z224</f>
        <v>157539</v>
      </c>
      <c r="R224" s="517"/>
    </row>
    <row r="225" spans="1:18" ht="13">
      <c r="A225" s="865">
        <v>4214</v>
      </c>
      <c r="B225" s="866" t="s">
        <v>933</v>
      </c>
      <c r="C225" s="289">
        <f>VLOOKUP($A225,K0kommunestruktur2019!$A$4:$N$425,K0kommunestruktur2020altern!C$3,FALSE)</f>
        <v>5486</v>
      </c>
      <c r="D225" s="177">
        <f>VLOOKUP($A225,K0kommunestruktur2019!$A$4:$N$425,K0kommunestruktur2020altern!D$3,FALSE)</f>
        <v>106068</v>
      </c>
      <c r="E225" s="289">
        <f>VLOOKUP($A225,K0kommunestruktur2019!$A$4:$N$425,K0kommunestruktur2020altern!E$3,FALSE)</f>
        <v>5532</v>
      </c>
      <c r="F225" s="177">
        <f>VLOOKUP($A225,K0kommunestruktur2019!$A$4:$N$425,K0kommunestruktur2020altern!F$3,FALSE)</f>
        <v>112002</v>
      </c>
      <c r="G225" s="289">
        <f>VLOOKUP($A225,K0kommunestruktur2019!$A$4:$N$425,K0kommunestruktur2020altern!G$3,FALSE)</f>
        <v>5618</v>
      </c>
      <c r="H225" s="177">
        <f>VLOOKUP($A225,K0kommunestruktur2019!$A$4:$N$425,K0kommunestruktur2020altern!H$3,FALSE)</f>
        <v>118832</v>
      </c>
      <c r="I225" s="289">
        <f>VLOOKUP($A225,K0kommunestruktur2019!$A$4:$N$425,K0kommunestruktur2020altern!I$3,FALSE)</f>
        <v>5713</v>
      </c>
      <c r="J225" s="177">
        <f>VLOOKUP($A225,K0kommunestruktur2019!$A$4:$N$425,K0kommunestruktur2020altern!J$3,FALSE)</f>
        <v>126994</v>
      </c>
      <c r="K225" s="289">
        <f>VLOOKUP($A225,K0kommunestruktur2019!$A$4:$N$425,K0kommunestruktur2020altern!K$3,FALSE)</f>
        <v>5790</v>
      </c>
      <c r="L225" s="177">
        <f>VLOOKUP($A225,K0kommunestruktur2019!$A$4:$N$425,K0kommunestruktur2020altern!L$3,FALSE)</f>
        <v>133413</v>
      </c>
      <c r="M225" s="289">
        <f>VLOOKUP($A225,K0kommunestruktur2019!$A$4:$N$425,K0kommunestruktur2020altern!M$3,FALSE)</f>
        <v>5845</v>
      </c>
      <c r="N225" s="177">
        <f>VLOOKUP($A225,K0kommunestruktur2019!$A$4:$N$425,K0kommunestruktur2020altern!N$3,FALSE)</f>
        <v>137039</v>
      </c>
      <c r="O225" s="289">
        <f>+'K20'!C225</f>
        <v>5951</v>
      </c>
      <c r="P225" s="177">
        <f>+'K20'!Z225</f>
        <v>137823</v>
      </c>
      <c r="R225" s="517"/>
    </row>
    <row r="226" spans="1:18" ht="13">
      <c r="A226" s="865">
        <v>4215</v>
      </c>
      <c r="B226" s="866" t="s">
        <v>934</v>
      </c>
      <c r="C226" s="289">
        <f>VLOOKUP($A226,K0kommunestruktur2019!$A$4:$N$425,K0kommunestruktur2020altern!C$3,FALSE)</f>
        <v>10106</v>
      </c>
      <c r="D226" s="177">
        <f>VLOOKUP($A226,K0kommunestruktur2019!$A$4:$N$425,K0kommunestruktur2020altern!D$3,FALSE)</f>
        <v>235481</v>
      </c>
      <c r="E226" s="289">
        <f>VLOOKUP($A226,K0kommunestruktur2019!$A$4:$N$425,K0kommunestruktur2020altern!E$3,FALSE)</f>
        <v>10340</v>
      </c>
      <c r="F226" s="177">
        <f>VLOOKUP($A226,K0kommunestruktur2019!$A$4:$N$425,K0kommunestruktur2020altern!F$3,FALSE)</f>
        <v>247000</v>
      </c>
      <c r="G226" s="289">
        <f>VLOOKUP($A226,K0kommunestruktur2019!$A$4:$N$425,K0kommunestruktur2020altern!G$3,FALSE)</f>
        <v>10577</v>
      </c>
      <c r="H226" s="177">
        <f>VLOOKUP($A226,K0kommunestruktur2019!$A$4:$N$425,K0kommunestruktur2020altern!H$3,FALSE)</f>
        <v>278121</v>
      </c>
      <c r="I226" s="289">
        <f>VLOOKUP($A226,K0kommunestruktur2019!$A$4:$N$425,K0kommunestruktur2020altern!I$3,FALSE)</f>
        <v>10702</v>
      </c>
      <c r="J226" s="177">
        <f>VLOOKUP($A226,K0kommunestruktur2019!$A$4:$N$425,K0kommunestruktur2020altern!J$3,FALSE)</f>
        <v>288478</v>
      </c>
      <c r="K226" s="289">
        <f>VLOOKUP($A226,K0kommunestruktur2019!$A$4:$N$425,K0kommunestruktur2020altern!K$3,FALSE)</f>
        <v>10871</v>
      </c>
      <c r="L226" s="177">
        <f>VLOOKUP($A226,K0kommunestruktur2019!$A$4:$N$425,K0kommunestruktur2020altern!L$3,FALSE)</f>
        <v>300378</v>
      </c>
      <c r="M226" s="289">
        <f>VLOOKUP($A226,K0kommunestruktur2019!$A$4:$N$425,K0kommunestruktur2020altern!M$3,FALSE)</f>
        <v>10990</v>
      </c>
      <c r="N226" s="177">
        <f>VLOOKUP($A226,K0kommunestruktur2019!$A$4:$N$425,K0kommunestruktur2020altern!N$3,FALSE)</f>
        <v>311373</v>
      </c>
      <c r="O226" s="289">
        <f>+'K20'!C226</f>
        <v>11074</v>
      </c>
      <c r="P226" s="177">
        <f>+'K20'!Z226</f>
        <v>306882</v>
      </c>
      <c r="R226" s="517"/>
    </row>
    <row r="227" spans="1:18" ht="13">
      <c r="A227" s="865">
        <v>4216</v>
      </c>
      <c r="B227" s="866" t="s">
        <v>935</v>
      </c>
      <c r="C227" s="289">
        <f>VLOOKUP($A227,K0kommunestruktur2019!$A$4:$N$425,K0kommunestruktur2020altern!C$3,FALSE)</f>
        <v>4966</v>
      </c>
      <c r="D227" s="177">
        <f>+K0kommunestruktur2019!D447</f>
        <v>89117</v>
      </c>
      <c r="E227" s="289">
        <f>VLOOKUP($A227,K0kommunestruktur2019!$A$4:$N$425,K0kommunestruktur2020altern!E$3,FALSE)</f>
        <v>5008</v>
      </c>
      <c r="F227" s="177">
        <f>+K0kommunestruktur2019!F447</f>
        <v>92381</v>
      </c>
      <c r="G227" s="289">
        <f>VLOOKUP($A227,K0kommunestruktur2019!$A$4:$N$425,K0kommunestruktur2020altern!G$3,FALSE)</f>
        <v>5120</v>
      </c>
      <c r="H227" s="177">
        <f>+K0kommunestruktur2019!H447</f>
        <v>100305</v>
      </c>
      <c r="I227" s="289">
        <f>VLOOKUP($A227,K0kommunestruktur2019!$A$4:$N$425,K0kommunestruktur2020altern!I$3,FALSE)</f>
        <v>5151</v>
      </c>
      <c r="J227" s="177">
        <f>+K0kommunestruktur2019!J447</f>
        <v>106505</v>
      </c>
      <c r="K227" s="289">
        <f>VLOOKUP($A227,K0kommunestruktur2019!$A$4:$N$425,K0kommunestruktur2020altern!K$3,FALSE)</f>
        <v>5160</v>
      </c>
      <c r="L227" s="177">
        <f>+K0kommunestruktur2019!L447</f>
        <v>116344</v>
      </c>
      <c r="M227" s="289">
        <f>VLOOKUP($A227,K0kommunestruktur2019!$A$4:$N$425,K0kommunestruktur2020altern!M$3,FALSE)</f>
        <v>5212</v>
      </c>
      <c r="N227" s="177">
        <f>VLOOKUP($A227,K0kommunestruktur2019!$A$4:$N$425,K0kommunestruktur2020altern!N$3,FALSE)</f>
        <v>121884</v>
      </c>
      <c r="O227" s="289">
        <f>+'K20'!C227</f>
        <v>5226</v>
      </c>
      <c r="P227" s="177">
        <f>+'K20'!Z227</f>
        <v>118038</v>
      </c>
      <c r="R227" s="517"/>
    </row>
    <row r="228" spans="1:18" ht="13">
      <c r="A228" s="865">
        <v>4217</v>
      </c>
      <c r="B228" s="866" t="s">
        <v>936</v>
      </c>
      <c r="C228" s="289">
        <f>VLOOKUP($A228,K0kommunestruktur2019!$A$4:$N$425,K0kommunestruktur2020altern!C$3,FALSE)</f>
        <v>1810</v>
      </c>
      <c r="D228" s="177">
        <f>VLOOKUP($A228,K0kommunestruktur2019!$A$4:$N$425,K0kommunestruktur2020altern!D$3,FALSE)</f>
        <v>36347</v>
      </c>
      <c r="E228" s="289">
        <f>VLOOKUP($A228,K0kommunestruktur2019!$A$4:$N$425,K0kommunestruktur2020altern!E$3,FALSE)</f>
        <v>1832</v>
      </c>
      <c r="F228" s="177">
        <f>VLOOKUP($A228,K0kommunestruktur2019!$A$4:$N$425,K0kommunestruktur2020altern!F$3,FALSE)</f>
        <v>40277</v>
      </c>
      <c r="G228" s="289">
        <f>VLOOKUP($A228,K0kommunestruktur2019!$A$4:$N$425,K0kommunestruktur2020altern!G$3,FALSE)</f>
        <v>1847</v>
      </c>
      <c r="H228" s="177">
        <f>VLOOKUP($A228,K0kommunestruktur2019!$A$4:$N$425,K0kommunestruktur2020altern!H$3,FALSE)</f>
        <v>44122</v>
      </c>
      <c r="I228" s="289">
        <f>VLOOKUP($A228,K0kommunestruktur2019!$A$4:$N$425,K0kommunestruktur2020altern!I$3,FALSE)</f>
        <v>1856</v>
      </c>
      <c r="J228" s="177">
        <f>VLOOKUP($A228,K0kommunestruktur2019!$A$4:$N$425,K0kommunestruktur2020altern!J$3,FALSE)</f>
        <v>47046</v>
      </c>
      <c r="K228" s="289">
        <f>VLOOKUP($A228,K0kommunestruktur2019!$A$4:$N$425,K0kommunestruktur2020altern!K$3,FALSE)</f>
        <v>1845</v>
      </c>
      <c r="L228" s="177">
        <f>VLOOKUP($A228,K0kommunestruktur2019!$A$4:$N$425,K0kommunestruktur2020altern!L$3,FALSE)</f>
        <v>42219</v>
      </c>
      <c r="M228" s="289">
        <f>VLOOKUP($A228,K0kommunestruktur2019!$A$4:$N$425,K0kommunestruktur2020altern!M$3,FALSE)</f>
        <v>1848</v>
      </c>
      <c r="N228" s="177">
        <f>VLOOKUP($A228,K0kommunestruktur2019!$A$4:$N$425,K0kommunestruktur2020altern!N$3,FALSE)</f>
        <v>44108</v>
      </c>
      <c r="O228" s="289">
        <f>+'K20'!C228</f>
        <v>1836</v>
      </c>
      <c r="P228" s="177">
        <f>+'K20'!Z228</f>
        <v>44751</v>
      </c>
      <c r="R228" s="517"/>
    </row>
    <row r="229" spans="1:18" ht="13">
      <c r="A229" s="865">
        <v>4218</v>
      </c>
      <c r="B229" s="866" t="s">
        <v>937</v>
      </c>
      <c r="C229" s="289">
        <f>VLOOKUP($A229,K0kommunestruktur2019!$A$4:$N$425,K0kommunestruktur2020altern!C$3,FALSE)</f>
        <v>1314</v>
      </c>
      <c r="D229" s="177">
        <f>VLOOKUP($A229,K0kommunestruktur2019!$A$4:$N$425,K0kommunestruktur2020altern!D$3,FALSE)</f>
        <v>24646</v>
      </c>
      <c r="E229" s="289">
        <f>VLOOKUP($A229,K0kommunestruktur2019!$A$4:$N$425,K0kommunestruktur2020altern!E$3,FALSE)</f>
        <v>1315</v>
      </c>
      <c r="F229" s="177">
        <f>VLOOKUP($A229,K0kommunestruktur2019!$A$4:$N$425,K0kommunestruktur2020altern!F$3,FALSE)</f>
        <v>26726</v>
      </c>
      <c r="G229" s="289">
        <f>VLOOKUP($A229,K0kommunestruktur2019!$A$4:$N$425,K0kommunestruktur2020altern!G$3,FALSE)</f>
        <v>1317</v>
      </c>
      <c r="H229" s="177">
        <f>VLOOKUP($A229,K0kommunestruktur2019!$A$4:$N$425,K0kommunestruktur2020altern!H$3,FALSE)</f>
        <v>27581</v>
      </c>
      <c r="I229" s="289">
        <f>VLOOKUP($A229,K0kommunestruktur2019!$A$4:$N$425,K0kommunestruktur2020altern!I$3,FALSE)</f>
        <v>1342</v>
      </c>
      <c r="J229" s="177">
        <f>VLOOKUP($A229,K0kommunestruktur2019!$A$4:$N$425,K0kommunestruktur2020altern!J$3,FALSE)</f>
        <v>29311</v>
      </c>
      <c r="K229" s="289">
        <f>VLOOKUP($A229,K0kommunestruktur2019!$A$4:$N$425,K0kommunestruktur2020altern!K$3,FALSE)</f>
        <v>1330</v>
      </c>
      <c r="L229" s="177">
        <f>VLOOKUP($A229,K0kommunestruktur2019!$A$4:$N$425,K0kommunestruktur2020altern!L$3,FALSE)</f>
        <v>31104</v>
      </c>
      <c r="M229" s="289">
        <f>VLOOKUP($A229,K0kommunestruktur2019!$A$4:$N$425,K0kommunestruktur2020altern!M$3,FALSE)</f>
        <v>1326</v>
      </c>
      <c r="N229" s="177">
        <f>VLOOKUP($A229,K0kommunestruktur2019!$A$4:$N$425,K0kommunestruktur2020altern!N$3,FALSE)</f>
        <v>32415</v>
      </c>
      <c r="O229" s="289">
        <f>+'K20'!C229</f>
        <v>1331</v>
      </c>
      <c r="P229" s="177">
        <f>+'K20'!Z229</f>
        <v>31898</v>
      </c>
      <c r="R229" s="517"/>
    </row>
    <row r="230" spans="1:18" ht="13">
      <c r="A230" s="865">
        <v>4219</v>
      </c>
      <c r="B230" s="866" t="s">
        <v>938</v>
      </c>
      <c r="C230" s="289">
        <f>VLOOKUP($A230,K0kommunestruktur2019!$A$4:$N$425,K0kommunestruktur2020altern!C$3,FALSE)</f>
        <v>3576</v>
      </c>
      <c r="D230" s="177">
        <f>+K0kommunestruktur2019!D448</f>
        <v>68186</v>
      </c>
      <c r="E230" s="289">
        <f>VLOOKUP($A230,K0kommunestruktur2019!$A$4:$N$425,K0kommunestruktur2020altern!E$3,FALSE)</f>
        <v>3594</v>
      </c>
      <c r="F230" s="177">
        <f>+K0kommunestruktur2019!F448</f>
        <v>71580</v>
      </c>
      <c r="G230" s="289">
        <f>VLOOKUP($A230,K0kommunestruktur2019!$A$4:$N$425,K0kommunestruktur2020altern!G$3,FALSE)</f>
        <v>3609</v>
      </c>
      <c r="H230" s="177">
        <f>+K0kommunestruktur2019!H448</f>
        <v>74820</v>
      </c>
      <c r="I230" s="289">
        <f>VLOOKUP($A230,K0kommunestruktur2019!$A$4:$N$425,K0kommunestruktur2020altern!I$3,FALSE)</f>
        <v>3641</v>
      </c>
      <c r="J230" s="177">
        <f>+K0kommunestruktur2019!J448</f>
        <v>78942</v>
      </c>
      <c r="K230" s="289">
        <f>VLOOKUP($A230,K0kommunestruktur2019!$A$4:$N$425,K0kommunestruktur2020altern!K$3,FALSE)</f>
        <v>3652</v>
      </c>
      <c r="L230" s="177">
        <f>+K0kommunestruktur2019!L448</f>
        <v>81464</v>
      </c>
      <c r="M230" s="289">
        <f>VLOOKUP($A230,K0kommunestruktur2019!$A$4:$N$425,K0kommunestruktur2020altern!M$3,FALSE)</f>
        <v>3638</v>
      </c>
      <c r="N230" s="177">
        <f>VLOOKUP($A230,K0kommunestruktur2019!$A$4:$N$425,K0kommunestruktur2020altern!N$3,FALSE)</f>
        <v>83690</v>
      </c>
      <c r="O230" s="289">
        <f>+'K20'!C230</f>
        <v>3634</v>
      </c>
      <c r="P230" s="177">
        <f>+'K20'!Z230</f>
        <v>87736</v>
      </c>
      <c r="R230" s="517"/>
    </row>
    <row r="231" spans="1:18" ht="13">
      <c r="A231" s="865">
        <v>4220</v>
      </c>
      <c r="B231" s="866" t="s">
        <v>939</v>
      </c>
      <c r="C231" s="289">
        <f>VLOOKUP($A231,K0kommunestruktur2019!$A$4:$N$425,K0kommunestruktur2020altern!C$3,FALSE)</f>
        <v>1200</v>
      </c>
      <c r="D231" s="177">
        <f>VLOOKUP($A231,K0kommunestruktur2019!$A$4:$N$425,K0kommunestruktur2020altern!D$3,FALSE)</f>
        <v>26132</v>
      </c>
      <c r="E231" s="289">
        <f>VLOOKUP($A231,K0kommunestruktur2019!$A$4:$N$425,K0kommunestruktur2020altern!E$3,FALSE)</f>
        <v>1189</v>
      </c>
      <c r="F231" s="177">
        <f>VLOOKUP($A231,K0kommunestruktur2019!$A$4:$N$425,K0kommunestruktur2020altern!F$3,FALSE)</f>
        <v>27176</v>
      </c>
      <c r="G231" s="289">
        <f>VLOOKUP($A231,K0kommunestruktur2019!$A$4:$N$425,K0kommunestruktur2020altern!G$3,FALSE)</f>
        <v>1204</v>
      </c>
      <c r="H231" s="177">
        <f>VLOOKUP($A231,K0kommunestruktur2019!$A$4:$N$425,K0kommunestruktur2020altern!H$3,FALSE)</f>
        <v>28977</v>
      </c>
      <c r="I231" s="289">
        <f>VLOOKUP($A231,K0kommunestruktur2019!$A$4:$N$425,K0kommunestruktur2020altern!I$3,FALSE)</f>
        <v>1200</v>
      </c>
      <c r="J231" s="177">
        <f>VLOOKUP($A231,K0kommunestruktur2019!$A$4:$N$425,K0kommunestruktur2020altern!J$3,FALSE)</f>
        <v>28833</v>
      </c>
      <c r="K231" s="289">
        <f>VLOOKUP($A231,K0kommunestruktur2019!$A$4:$N$425,K0kommunestruktur2020altern!K$3,FALSE)</f>
        <v>1207</v>
      </c>
      <c r="L231" s="177">
        <f>VLOOKUP($A231,K0kommunestruktur2019!$A$4:$N$425,K0kommunestruktur2020altern!L$3,FALSE)</f>
        <v>30970</v>
      </c>
      <c r="M231" s="289">
        <f>VLOOKUP($A231,K0kommunestruktur2019!$A$4:$N$425,K0kommunestruktur2020altern!M$3,FALSE)</f>
        <v>1192</v>
      </c>
      <c r="N231" s="177">
        <f>VLOOKUP($A231,K0kommunestruktur2019!$A$4:$N$425,K0kommunestruktur2020altern!N$3,FALSE)</f>
        <v>31274</v>
      </c>
      <c r="O231" s="289">
        <f>+'K20'!C231</f>
        <v>1162</v>
      </c>
      <c r="P231" s="177">
        <f>+'K20'!Z231</f>
        <v>31184</v>
      </c>
      <c r="R231" s="517"/>
    </row>
    <row r="232" spans="1:18" ht="13">
      <c r="A232" s="865">
        <v>4221</v>
      </c>
      <c r="B232" s="866" t="s">
        <v>940</v>
      </c>
      <c r="C232" s="289">
        <f>VLOOKUP($A232,K0kommunestruktur2019!$A$4:$N$425,K0kommunestruktur2020altern!C$3,FALSE)</f>
        <v>1270</v>
      </c>
      <c r="D232" s="177">
        <f>VLOOKUP($A232,K0kommunestruktur2019!$A$4:$N$425,K0kommunestruktur2020altern!D$3,FALSE)</f>
        <v>41121</v>
      </c>
      <c r="E232" s="289">
        <f>VLOOKUP($A232,K0kommunestruktur2019!$A$4:$N$425,K0kommunestruktur2020altern!E$3,FALSE)</f>
        <v>1251</v>
      </c>
      <c r="F232" s="177">
        <f>VLOOKUP($A232,K0kommunestruktur2019!$A$4:$N$425,K0kommunestruktur2020altern!F$3,FALSE)</f>
        <v>43384</v>
      </c>
      <c r="G232" s="289">
        <f>VLOOKUP($A232,K0kommunestruktur2019!$A$4:$N$425,K0kommunestruktur2020altern!G$3,FALSE)</f>
        <v>1242</v>
      </c>
      <c r="H232" s="177">
        <f>VLOOKUP($A232,K0kommunestruktur2019!$A$4:$N$425,K0kommunestruktur2020altern!H$3,FALSE)</f>
        <v>44213</v>
      </c>
      <c r="I232" s="289">
        <f>VLOOKUP($A232,K0kommunestruktur2019!$A$4:$N$425,K0kommunestruktur2020altern!I$3,FALSE)</f>
        <v>1246</v>
      </c>
      <c r="J232" s="177">
        <f>VLOOKUP($A232,K0kommunestruktur2019!$A$4:$N$425,K0kommunestruktur2020altern!J$3,FALSE)</f>
        <v>45044</v>
      </c>
      <c r="K232" s="289">
        <f>VLOOKUP($A232,K0kommunestruktur2019!$A$4:$N$425,K0kommunestruktur2020altern!K$3,FALSE)</f>
        <v>1225</v>
      </c>
      <c r="L232" s="177">
        <f>VLOOKUP($A232,K0kommunestruktur2019!$A$4:$N$425,K0kommunestruktur2020altern!L$3,FALSE)</f>
        <v>45304</v>
      </c>
      <c r="M232" s="289">
        <f>VLOOKUP($A232,K0kommunestruktur2019!$A$4:$N$425,K0kommunestruktur2020altern!M$3,FALSE)</f>
        <v>1156</v>
      </c>
      <c r="N232" s="177">
        <f>VLOOKUP($A232,K0kommunestruktur2019!$A$4:$N$425,K0kommunestruktur2020altern!N$3,FALSE)</f>
        <v>47669</v>
      </c>
      <c r="O232" s="289">
        <f>+'K20'!C232</f>
        <v>1164</v>
      </c>
      <c r="P232" s="177">
        <f>+'K20'!Z232</f>
        <v>48861</v>
      </c>
      <c r="R232" s="517"/>
    </row>
    <row r="233" spans="1:18" ht="13">
      <c r="A233" s="865">
        <v>4222</v>
      </c>
      <c r="B233" s="866" t="s">
        <v>941</v>
      </c>
      <c r="C233" s="289">
        <f>VLOOKUP($A233,K0kommunestruktur2019!$A$4:$N$425,K0kommunestruktur2020altern!C$3,FALSE)</f>
        <v>948</v>
      </c>
      <c r="D233" s="177">
        <f>VLOOKUP($A233,K0kommunestruktur2019!$A$4:$N$425,K0kommunestruktur2020altern!D$3,FALSE)</f>
        <v>67140</v>
      </c>
      <c r="E233" s="289">
        <f>VLOOKUP($A233,K0kommunestruktur2019!$A$4:$N$425,K0kommunestruktur2020altern!E$3,FALSE)</f>
        <v>933</v>
      </c>
      <c r="F233" s="177">
        <f>VLOOKUP($A233,K0kommunestruktur2019!$A$4:$N$425,K0kommunestruktur2020altern!F$3,FALSE)</f>
        <v>67630</v>
      </c>
      <c r="G233" s="289">
        <f>VLOOKUP($A233,K0kommunestruktur2019!$A$4:$N$425,K0kommunestruktur2020altern!G$3,FALSE)</f>
        <v>945</v>
      </c>
      <c r="H233" s="177">
        <f>VLOOKUP($A233,K0kommunestruktur2019!$A$4:$N$425,K0kommunestruktur2020altern!H$3,FALSE)</f>
        <v>69604</v>
      </c>
      <c r="I233" s="289">
        <f>VLOOKUP($A233,K0kommunestruktur2019!$A$4:$N$425,K0kommunestruktur2020altern!I$3,FALSE)</f>
        <v>952</v>
      </c>
      <c r="J233" s="177">
        <f>VLOOKUP($A233,K0kommunestruktur2019!$A$4:$N$425,K0kommunestruktur2020altern!J$3,FALSE)</f>
        <v>71358</v>
      </c>
      <c r="K233" s="289">
        <f>VLOOKUP($A233,K0kommunestruktur2019!$A$4:$N$425,K0kommunestruktur2020altern!K$3,FALSE)</f>
        <v>958</v>
      </c>
      <c r="L233" s="177">
        <f>VLOOKUP($A233,K0kommunestruktur2019!$A$4:$N$425,K0kommunestruktur2020altern!L$3,FALSE)</f>
        <v>79195</v>
      </c>
      <c r="M233" s="289">
        <f>VLOOKUP($A233,K0kommunestruktur2019!$A$4:$N$425,K0kommunestruktur2020altern!M$3,FALSE)</f>
        <v>953</v>
      </c>
      <c r="N233" s="177">
        <f>VLOOKUP($A233,K0kommunestruktur2019!$A$4:$N$425,K0kommunestruktur2020altern!N$3,FALSE)</f>
        <v>84301</v>
      </c>
      <c r="O233" s="289">
        <f>+'K20'!C233</f>
        <v>965</v>
      </c>
      <c r="P233" s="177">
        <f>+'K20'!Z233</f>
        <v>76582</v>
      </c>
      <c r="R233" s="517"/>
    </row>
    <row r="234" spans="1:18" ht="13">
      <c r="A234" s="865">
        <v>4223</v>
      </c>
      <c r="B234" s="866" t="s">
        <v>947</v>
      </c>
      <c r="C234" s="289">
        <f>VLOOKUP($A234,K0kommunestruktur2019!$A$4:$N$425,K0kommunestruktur2020altern!C$3,FALSE)</f>
        <v>13986</v>
      </c>
      <c r="D234" s="177">
        <f>VLOOKUP($A234,K0kommunestruktur2019!$A$4:$N$425,K0kommunestruktur2020altern!D$3,FALSE)</f>
        <v>254819</v>
      </c>
      <c r="E234" s="289">
        <f>VLOOKUP($A234,K0kommunestruktur2019!$A$4:$N$425,K0kommunestruktur2020altern!E$3,FALSE)</f>
        <v>14095</v>
      </c>
      <c r="F234" s="177">
        <f>VLOOKUP($A234,K0kommunestruktur2019!$A$4:$N$425,K0kommunestruktur2020altern!F$3,FALSE)</f>
        <v>267675</v>
      </c>
      <c r="G234" s="289">
        <f>VLOOKUP($A234,K0kommunestruktur2019!$A$4:$N$425,K0kommunestruktur2020altern!G$3,FALSE)</f>
        <v>14308</v>
      </c>
      <c r="H234" s="177">
        <f>VLOOKUP($A234,K0kommunestruktur2019!$A$4:$N$425,K0kommunestruktur2020altern!H$3,FALSE)</f>
        <v>289237</v>
      </c>
      <c r="I234" s="289">
        <f>VLOOKUP($A234,K0kommunestruktur2019!$A$4:$N$425,K0kommunestruktur2020altern!I$3,FALSE)</f>
        <v>14425</v>
      </c>
      <c r="J234" s="177">
        <f>VLOOKUP($A234,K0kommunestruktur2019!$A$4:$N$425,K0kommunestruktur2020altern!J$3,FALSE)</f>
        <v>303650</v>
      </c>
      <c r="K234" s="289">
        <f>VLOOKUP($A234,K0kommunestruktur2019!$A$4:$N$425,K0kommunestruktur2020altern!K$3,FALSE)</f>
        <v>14532</v>
      </c>
      <c r="L234" s="177">
        <f>VLOOKUP($A234,K0kommunestruktur2019!$A$4:$N$425,K0kommunestruktur2020altern!L$3,FALSE)</f>
        <v>327486</v>
      </c>
      <c r="M234" s="289">
        <f>VLOOKUP($A234,K0kommunestruktur2019!$A$4:$N$425,K0kommunestruktur2020altern!M$3,FALSE)</f>
        <v>14630</v>
      </c>
      <c r="N234" s="177">
        <f>VLOOKUP($A234,K0kommunestruktur2019!$A$4:$N$425,K0kommunestruktur2020altern!N$3,FALSE)</f>
        <v>335821</v>
      </c>
      <c r="O234" s="289">
        <f>+'K20'!C234</f>
        <v>14774</v>
      </c>
      <c r="P234" s="177">
        <f>+'K20'!Z234</f>
        <v>335283</v>
      </c>
      <c r="R234" s="517"/>
    </row>
    <row r="235" spans="1:18" ht="13">
      <c r="A235" s="865">
        <v>4224</v>
      </c>
      <c r="B235" s="866" t="s">
        <v>951</v>
      </c>
      <c r="C235" s="289">
        <f>VLOOKUP($A235,K0kommunestruktur2019!$A$4:$N$425,K0kommunestruktur2020altern!C$3,FALSE)</f>
        <v>923</v>
      </c>
      <c r="D235" s="177">
        <f>VLOOKUP($A235,K0kommunestruktur2019!$A$4:$N$425,K0kommunestruktur2020altern!D$3,FALSE)</f>
        <v>31841</v>
      </c>
      <c r="E235" s="289">
        <f>VLOOKUP($A235,K0kommunestruktur2019!$A$4:$N$425,K0kommunestruktur2020altern!E$3,FALSE)</f>
        <v>925</v>
      </c>
      <c r="F235" s="177">
        <f>VLOOKUP($A235,K0kommunestruktur2019!$A$4:$N$425,K0kommunestruktur2020altern!F$3,FALSE)</f>
        <v>31791</v>
      </c>
      <c r="G235" s="289">
        <f>VLOOKUP($A235,K0kommunestruktur2019!$A$4:$N$425,K0kommunestruktur2020altern!G$3,FALSE)</f>
        <v>942</v>
      </c>
      <c r="H235" s="177">
        <f>VLOOKUP($A235,K0kommunestruktur2019!$A$4:$N$425,K0kommunestruktur2020altern!H$3,FALSE)</f>
        <v>34080</v>
      </c>
      <c r="I235" s="289">
        <f>VLOOKUP($A235,K0kommunestruktur2019!$A$4:$N$425,K0kommunestruktur2020altern!I$3,FALSE)</f>
        <v>937</v>
      </c>
      <c r="J235" s="177">
        <f>VLOOKUP($A235,K0kommunestruktur2019!$A$4:$N$425,K0kommunestruktur2020altern!J$3,FALSE)</f>
        <v>36584</v>
      </c>
      <c r="K235" s="289">
        <f>VLOOKUP($A235,K0kommunestruktur2019!$A$4:$N$425,K0kommunestruktur2020altern!K$3,FALSE)</f>
        <v>943</v>
      </c>
      <c r="L235" s="177">
        <f>VLOOKUP($A235,K0kommunestruktur2019!$A$4:$N$425,K0kommunestruktur2020altern!L$3,FALSE)</f>
        <v>39045</v>
      </c>
      <c r="M235" s="289">
        <f>VLOOKUP($A235,K0kommunestruktur2019!$A$4:$N$425,K0kommunestruktur2020altern!M$3,FALSE)</f>
        <v>939</v>
      </c>
      <c r="N235" s="177">
        <f>VLOOKUP($A235,K0kommunestruktur2019!$A$4:$N$425,K0kommunestruktur2020altern!N$3,FALSE)</f>
        <v>41061</v>
      </c>
      <c r="O235" s="289">
        <f>+'K20'!C235</f>
        <v>932</v>
      </c>
      <c r="P235" s="177">
        <f>+'K20'!Z235</f>
        <v>40365</v>
      </c>
      <c r="R235" s="517"/>
    </row>
    <row r="236" spans="1:18" ht="13">
      <c r="A236" s="878">
        <v>4225</v>
      </c>
      <c r="B236" s="883" t="s">
        <v>1630</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+'K20'!C236</f>
        <v>10365</v>
      </c>
      <c r="P236" s="177">
        <f>+'K20'!Z236</f>
        <v>243390</v>
      </c>
      <c r="R236" s="517"/>
    </row>
    <row r="237" spans="1:18" ht="13">
      <c r="A237" s="865">
        <v>4226</v>
      </c>
      <c r="B237" s="866" t="s">
        <v>955</v>
      </c>
      <c r="C237" s="289">
        <f>VLOOKUP($A237,K0kommunestruktur2019!$A$4:$N$425,K0kommunestruktur2020altern!C$3,FALSE)</f>
        <v>1690</v>
      </c>
      <c r="D237" s="177">
        <f>VLOOKUP($A237,K0kommunestruktur2019!$A$4:$N$425,K0kommunestruktur2020altern!D$3,FALSE)</f>
        <v>35232</v>
      </c>
      <c r="E237" s="289">
        <f>VLOOKUP($A237,K0kommunestruktur2019!$A$4:$N$425,K0kommunestruktur2020altern!E$3,FALSE)</f>
        <v>1693</v>
      </c>
      <c r="F237" s="177">
        <f>VLOOKUP($A237,K0kommunestruktur2019!$A$4:$N$425,K0kommunestruktur2020altern!F$3,FALSE)</f>
        <v>34679</v>
      </c>
      <c r="G237" s="289">
        <f>VLOOKUP($A237,K0kommunestruktur2019!$A$4:$N$425,K0kommunestruktur2020altern!G$3,FALSE)</f>
        <v>1702</v>
      </c>
      <c r="H237" s="177">
        <f>VLOOKUP($A237,K0kommunestruktur2019!$A$4:$N$425,K0kommunestruktur2020altern!H$3,FALSE)</f>
        <v>38210</v>
      </c>
      <c r="I237" s="289">
        <f>VLOOKUP($A237,K0kommunestruktur2019!$A$4:$N$425,K0kommunestruktur2020altern!I$3,FALSE)</f>
        <v>1702</v>
      </c>
      <c r="J237" s="177">
        <f>VLOOKUP($A237,K0kommunestruktur2019!$A$4:$N$425,K0kommunestruktur2020altern!J$3,FALSE)</f>
        <v>39047</v>
      </c>
      <c r="K237" s="289">
        <f>VLOOKUP($A237,K0kommunestruktur2019!$A$4:$N$425,K0kommunestruktur2020altern!K$3,FALSE)</f>
        <v>1699</v>
      </c>
      <c r="L237" s="177">
        <f>VLOOKUP($A237,K0kommunestruktur2019!$A$4:$N$425,K0kommunestruktur2020altern!L$3,FALSE)</f>
        <v>40812</v>
      </c>
      <c r="M237" s="289">
        <f>VLOOKUP($A237,K0kommunestruktur2019!$A$4:$N$425,K0kommunestruktur2020altern!M$3,FALSE)</f>
        <v>1683</v>
      </c>
      <c r="N237" s="177">
        <f>VLOOKUP($A237,K0kommunestruktur2019!$A$4:$N$425,K0kommunestruktur2020altern!N$3,FALSE)</f>
        <v>42575</v>
      </c>
      <c r="O237" s="289">
        <f>+'K20'!C237</f>
        <v>1680</v>
      </c>
      <c r="P237" s="177">
        <f>+'K20'!Z237</f>
        <v>40509</v>
      </c>
      <c r="R237" s="517"/>
    </row>
    <row r="238" spans="1:18" ht="13">
      <c r="A238" s="865">
        <v>4227</v>
      </c>
      <c r="B238" s="866" t="s">
        <v>956</v>
      </c>
      <c r="C238" s="289">
        <f>VLOOKUP($A238,K0kommunestruktur2019!$A$4:$N$425,K0kommunestruktur2020altern!C$3,FALSE)</f>
        <v>5891</v>
      </c>
      <c r="D238" s="177">
        <f>VLOOKUP($A238,K0kommunestruktur2019!$A$4:$N$425,K0kommunestruktur2020altern!D$3,FALSE)</f>
        <v>142597</v>
      </c>
      <c r="E238" s="289">
        <f>VLOOKUP($A238,K0kommunestruktur2019!$A$4:$N$425,K0kommunestruktur2020altern!E$3,FALSE)</f>
        <v>5948</v>
      </c>
      <c r="F238" s="177">
        <f>VLOOKUP($A238,K0kommunestruktur2019!$A$4:$N$425,K0kommunestruktur2020altern!F$3,FALSE)</f>
        <v>147426</v>
      </c>
      <c r="G238" s="289">
        <f>VLOOKUP($A238,K0kommunestruktur2019!$A$4:$N$425,K0kommunestruktur2020altern!G$3,FALSE)</f>
        <v>5981</v>
      </c>
      <c r="H238" s="177">
        <f>VLOOKUP($A238,K0kommunestruktur2019!$A$4:$N$425,K0kommunestruktur2020altern!H$3,FALSE)</f>
        <v>155451</v>
      </c>
      <c r="I238" s="289">
        <f>VLOOKUP($A238,K0kommunestruktur2019!$A$4:$N$425,K0kommunestruktur2020altern!I$3,FALSE)</f>
        <v>5988</v>
      </c>
      <c r="J238" s="177">
        <f>VLOOKUP($A238,K0kommunestruktur2019!$A$4:$N$425,K0kommunestruktur2020altern!J$3,FALSE)</f>
        <v>159751</v>
      </c>
      <c r="K238" s="289">
        <f>VLOOKUP($A238,K0kommunestruktur2019!$A$4:$N$425,K0kommunestruktur2020altern!K$3,FALSE)</f>
        <v>6024</v>
      </c>
      <c r="L238" s="177">
        <f>VLOOKUP($A238,K0kommunestruktur2019!$A$4:$N$425,K0kommunestruktur2020altern!L$3,FALSE)</f>
        <v>166149</v>
      </c>
      <c r="M238" s="289">
        <f>VLOOKUP($A238,K0kommunestruktur2019!$A$4:$N$425,K0kommunestruktur2020altern!M$3,FALSE)</f>
        <v>6048</v>
      </c>
      <c r="N238" s="177">
        <f>VLOOKUP($A238,K0kommunestruktur2019!$A$4:$N$425,K0kommunestruktur2020altern!N$3,FALSE)</f>
        <v>177102</v>
      </c>
      <c r="O238" s="289">
        <f>+'K20'!C238</f>
        <v>5987</v>
      </c>
      <c r="P238" s="177">
        <f>+'K20'!Z238</f>
        <v>170527</v>
      </c>
      <c r="R238" s="517"/>
    </row>
    <row r="239" spans="1:18" ht="13">
      <c r="A239" s="865">
        <v>4228</v>
      </c>
      <c r="B239" s="866" t="s">
        <v>957</v>
      </c>
      <c r="C239" s="289">
        <f>VLOOKUP($A239,K0kommunestruktur2019!$A$4:$N$425,K0kommunestruktur2020altern!C$3,FALSE)</f>
        <v>1831</v>
      </c>
      <c r="D239" s="177">
        <f>VLOOKUP($A239,K0kommunestruktur2019!$A$4:$N$425,K0kommunestruktur2020altern!D$3,FALSE)</f>
        <v>85268</v>
      </c>
      <c r="E239" s="289">
        <f>VLOOKUP($A239,K0kommunestruktur2019!$A$4:$N$425,K0kommunestruktur2020altern!E$3,FALSE)</f>
        <v>1838</v>
      </c>
      <c r="F239" s="177">
        <f>VLOOKUP($A239,K0kommunestruktur2019!$A$4:$N$425,K0kommunestruktur2020altern!F$3,FALSE)</f>
        <v>91757</v>
      </c>
      <c r="G239" s="289">
        <f>VLOOKUP($A239,K0kommunestruktur2019!$A$4:$N$425,K0kommunestruktur2020altern!G$3,FALSE)</f>
        <v>1832</v>
      </c>
      <c r="H239" s="177">
        <f>VLOOKUP($A239,K0kommunestruktur2019!$A$4:$N$425,K0kommunestruktur2020altern!H$3,FALSE)</f>
        <v>91636</v>
      </c>
      <c r="I239" s="289">
        <f>VLOOKUP($A239,K0kommunestruktur2019!$A$4:$N$425,K0kommunestruktur2020altern!I$3,FALSE)</f>
        <v>1836</v>
      </c>
      <c r="J239" s="177">
        <f>VLOOKUP($A239,K0kommunestruktur2019!$A$4:$N$425,K0kommunestruktur2020altern!J$3,FALSE)</f>
        <v>97913</v>
      </c>
      <c r="K239" s="289">
        <f>VLOOKUP($A239,K0kommunestruktur2019!$A$4:$N$425,K0kommunestruktur2020altern!K$3,FALSE)</f>
        <v>1842</v>
      </c>
      <c r="L239" s="177">
        <f>VLOOKUP($A239,K0kommunestruktur2019!$A$4:$N$425,K0kommunestruktur2020altern!L$3,FALSE)</f>
        <v>105701</v>
      </c>
      <c r="M239" s="289">
        <f>VLOOKUP($A239,K0kommunestruktur2019!$A$4:$N$425,K0kommunestruktur2020altern!M$3,FALSE)</f>
        <v>1839</v>
      </c>
      <c r="N239" s="177">
        <f>VLOOKUP($A239,K0kommunestruktur2019!$A$4:$N$425,K0kommunestruktur2020altern!N$3,FALSE)</f>
        <v>112920</v>
      </c>
      <c r="O239" s="289">
        <f>+'K20'!C239</f>
        <v>1822</v>
      </c>
      <c r="P239" s="177">
        <f>+'K20'!Z239</f>
        <v>106256</v>
      </c>
      <c r="R239" s="517"/>
    </row>
    <row r="240" spans="1:18" ht="13">
      <c r="A240" s="865">
        <v>4601</v>
      </c>
      <c r="B240" s="866" t="s">
        <v>23</v>
      </c>
      <c r="C240" s="289">
        <f>VLOOKUP($A240,K0kommunestruktur2019!$A$4:$N$425,K0kommunestruktur2020altern!C$3,FALSE)</f>
        <v>271949</v>
      </c>
      <c r="D240" s="177">
        <f>VLOOKUP($A240,K0kommunestruktur2019!$A$4:$N$425,K0kommunestruktur2020altern!D$3,FALSE)</f>
        <v>7561489</v>
      </c>
      <c r="E240" s="289">
        <f>VLOOKUP($A240,K0kommunestruktur2019!$A$4:$N$425,K0kommunestruktur2020altern!E$3,FALSE)</f>
        <v>275112</v>
      </c>
      <c r="F240" s="177">
        <f>VLOOKUP($A240,K0kommunestruktur2019!$A$4:$N$425,K0kommunestruktur2020altern!F$3,FALSE)</f>
        <v>7970433</v>
      </c>
      <c r="G240" s="289">
        <f>VLOOKUP($A240,K0kommunestruktur2019!$A$4:$N$425,K0kommunestruktur2020altern!G$3,FALSE)</f>
        <v>277391</v>
      </c>
      <c r="H240" s="177">
        <f>VLOOKUP($A240,K0kommunestruktur2019!$A$4:$N$425,K0kommunestruktur2020altern!H$3,FALSE)</f>
        <v>8707661</v>
      </c>
      <c r="I240" s="289">
        <f>VLOOKUP($A240,K0kommunestruktur2019!$A$4:$N$425,K0kommunestruktur2020altern!I$3,FALSE)</f>
        <v>278556</v>
      </c>
      <c r="J240" s="177">
        <f>VLOOKUP($A240,K0kommunestruktur2019!$A$4:$N$425,K0kommunestruktur2020altern!J$3,FALSE)</f>
        <v>8795464</v>
      </c>
      <c r="K240" s="289">
        <f>VLOOKUP($A240,K0kommunestruktur2019!$A$4:$N$425,K0kommunestruktur2020altern!K$3,FALSE)</f>
        <v>279792</v>
      </c>
      <c r="L240" s="177">
        <f>VLOOKUP($A240,K0kommunestruktur2019!$A$4:$N$425,K0kommunestruktur2020altern!L$3,FALSE)</f>
        <v>9126725</v>
      </c>
      <c r="M240" s="289">
        <f>VLOOKUP($A240,K0kommunestruktur2019!$A$4:$N$425,K0kommunestruktur2020altern!M$3,FALSE)</f>
        <v>281190</v>
      </c>
      <c r="N240" s="177">
        <f>VLOOKUP($A240,K0kommunestruktur2019!$A$4:$N$425,K0kommunestruktur2020altern!N$3,FALSE)</f>
        <v>9648534</v>
      </c>
      <c r="O240" s="289">
        <f>+'K20'!C240</f>
        <v>283929</v>
      </c>
      <c r="P240" s="177">
        <f>+'K20'!Z240</f>
        <v>9404048</v>
      </c>
      <c r="R240" s="517"/>
    </row>
    <row r="241" spans="1:18" ht="13">
      <c r="A241" s="878">
        <v>4602</v>
      </c>
      <c r="B241" s="883" t="s">
        <v>1631</v>
      </c>
      <c r="C241" s="289">
        <f t="shared" ref="C241:N241" si="30">+C$491+C$492+C$493</f>
        <v>17344.561976549412</v>
      </c>
      <c r="D241" s="177">
        <f t="shared" si="30"/>
        <v>416064.51758793968</v>
      </c>
      <c r="E241" s="289">
        <f t="shared" si="30"/>
        <v>17419.338358458961</v>
      </c>
      <c r="F241" s="177">
        <f t="shared" si="30"/>
        <v>431649.7403685092</v>
      </c>
      <c r="G241" s="289">
        <f t="shared" si="30"/>
        <v>17447.443886097153</v>
      </c>
      <c r="H241" s="177">
        <f t="shared" si="30"/>
        <v>467547.29731993302</v>
      </c>
      <c r="I241" s="289">
        <f t="shared" si="30"/>
        <v>17509.737855946398</v>
      </c>
      <c r="J241" s="177">
        <f t="shared" si="30"/>
        <v>473421.67336683418</v>
      </c>
      <c r="K241" s="289">
        <f t="shared" si="30"/>
        <v>17471.325795644891</v>
      </c>
      <c r="L241" s="177">
        <f t="shared" si="30"/>
        <v>488145.99497487437</v>
      </c>
      <c r="M241" s="289">
        <f t="shared" si="30"/>
        <v>17307</v>
      </c>
      <c r="N241" s="177">
        <f t="shared" si="30"/>
        <v>531529.90787269687</v>
      </c>
      <c r="O241" s="289">
        <f>+'K20'!C241</f>
        <v>17207</v>
      </c>
      <c r="P241" s="177">
        <f>+'K20'!Z241</f>
        <v>549252</v>
      </c>
      <c r="R241" s="517"/>
    </row>
    <row r="242" spans="1:18" ht="13">
      <c r="A242" s="865">
        <v>4611</v>
      </c>
      <c r="B242" s="866" t="s">
        <v>24</v>
      </c>
      <c r="C242" s="289">
        <f>VLOOKUP($A242,K0kommunestruktur2019!$A$4:$N$425,K0kommunestruktur2020altern!C$3,FALSE)</f>
        <v>4057</v>
      </c>
      <c r="D242" s="177">
        <f>VLOOKUP($A242,K0kommunestruktur2019!$A$4:$N$425,K0kommunestruktur2020altern!D$3,FALSE)</f>
        <v>90137</v>
      </c>
      <c r="E242" s="289">
        <f>VLOOKUP($A242,K0kommunestruktur2019!$A$4:$N$425,K0kommunestruktur2020altern!E$3,FALSE)</f>
        <v>4103</v>
      </c>
      <c r="F242" s="177">
        <f>VLOOKUP($A242,K0kommunestruktur2019!$A$4:$N$425,K0kommunestruktur2020altern!F$3,FALSE)</f>
        <v>90573</v>
      </c>
      <c r="G242" s="289">
        <f>VLOOKUP($A242,K0kommunestruktur2019!$A$4:$N$425,K0kommunestruktur2020altern!G$3,FALSE)</f>
        <v>4106</v>
      </c>
      <c r="H242" s="177">
        <f>VLOOKUP($A242,K0kommunestruktur2019!$A$4:$N$425,K0kommunestruktur2020altern!H$3,FALSE)</f>
        <v>100476</v>
      </c>
      <c r="I242" s="289">
        <f>VLOOKUP($A242,K0kommunestruktur2019!$A$4:$N$425,K0kommunestruktur2020altern!I$3,FALSE)</f>
        <v>4135</v>
      </c>
      <c r="J242" s="177">
        <f>VLOOKUP($A242,K0kommunestruktur2019!$A$4:$N$425,K0kommunestruktur2020altern!J$3,FALSE)</f>
        <v>101892</v>
      </c>
      <c r="K242" s="289">
        <f>VLOOKUP($A242,K0kommunestruktur2019!$A$4:$N$425,K0kommunestruktur2020altern!K$3,FALSE)</f>
        <v>4083</v>
      </c>
      <c r="L242" s="177">
        <f>VLOOKUP($A242,K0kommunestruktur2019!$A$4:$N$425,K0kommunestruktur2020altern!L$3,FALSE)</f>
        <v>106064</v>
      </c>
      <c r="M242" s="289">
        <f>VLOOKUP($A242,K0kommunestruktur2019!$A$4:$N$425,K0kommunestruktur2020altern!M$3,FALSE)</f>
        <v>4077</v>
      </c>
      <c r="N242" s="177">
        <f>VLOOKUP($A242,K0kommunestruktur2019!$A$4:$N$425,K0kommunestruktur2020altern!N$3,FALSE)</f>
        <v>114533</v>
      </c>
      <c r="O242" s="289">
        <f>+'K20'!C242</f>
        <v>4062</v>
      </c>
      <c r="P242" s="177">
        <f>+'K20'!Z242</f>
        <v>110596</v>
      </c>
      <c r="R242" s="517"/>
    </row>
    <row r="243" spans="1:18" ht="13">
      <c r="A243" s="865">
        <v>4612</v>
      </c>
      <c r="B243" s="866" t="s">
        <v>25</v>
      </c>
      <c r="C243" s="289">
        <f>VLOOKUP($A243,K0kommunestruktur2019!$A$4:$N$425,K0kommunestruktur2020altern!C$3,FALSE)</f>
        <v>5463</v>
      </c>
      <c r="D243" s="177">
        <f>VLOOKUP($A243,K0kommunestruktur2019!$A$4:$N$425,K0kommunestruktur2020altern!D$3,FALSE)</f>
        <v>117446</v>
      </c>
      <c r="E243" s="289">
        <f>VLOOKUP($A243,K0kommunestruktur2019!$A$4:$N$425,K0kommunestruktur2020altern!E$3,FALSE)</f>
        <v>5509</v>
      </c>
      <c r="F243" s="177">
        <f>VLOOKUP($A243,K0kommunestruktur2019!$A$4:$N$425,K0kommunestruktur2020altern!F$3,FALSE)</f>
        <v>121337</v>
      </c>
      <c r="G243" s="289">
        <f>VLOOKUP($A243,K0kommunestruktur2019!$A$4:$N$425,K0kommunestruktur2020altern!G$3,FALSE)</f>
        <v>5593</v>
      </c>
      <c r="H243" s="177">
        <f>VLOOKUP($A243,K0kommunestruktur2019!$A$4:$N$425,K0kommunestruktur2020altern!H$3,FALSE)</f>
        <v>130903</v>
      </c>
      <c r="I243" s="289">
        <f>VLOOKUP($A243,K0kommunestruktur2019!$A$4:$N$425,K0kommunestruktur2020altern!I$3,FALSE)</f>
        <v>5656</v>
      </c>
      <c r="J243" s="177">
        <f>VLOOKUP($A243,K0kommunestruktur2019!$A$4:$N$425,K0kommunestruktur2020altern!J$3,FALSE)</f>
        <v>160876</v>
      </c>
      <c r="K243" s="289">
        <f>VLOOKUP($A243,K0kommunestruktur2019!$A$4:$N$425,K0kommunestruktur2020altern!K$3,FALSE)</f>
        <v>5721</v>
      </c>
      <c r="L243" s="177">
        <f>VLOOKUP($A243,K0kommunestruktur2019!$A$4:$N$425,K0kommunestruktur2020altern!L$3,FALSE)</f>
        <v>140486</v>
      </c>
      <c r="M243" s="289">
        <f>VLOOKUP($A243,K0kommunestruktur2019!$A$4:$N$425,K0kommunestruktur2020altern!M$3,FALSE)</f>
        <v>5721</v>
      </c>
      <c r="N243" s="177">
        <f>VLOOKUP($A243,K0kommunestruktur2019!$A$4:$N$425,K0kommunestruktur2020altern!N$3,FALSE)</f>
        <v>141649</v>
      </c>
      <c r="O243" s="289">
        <f>+'K20'!C243</f>
        <v>5766</v>
      </c>
      <c r="P243" s="177">
        <f>+'K20'!Z243</f>
        <v>146291</v>
      </c>
      <c r="R243" s="517"/>
    </row>
    <row r="244" spans="1:18" ht="13">
      <c r="A244" s="865">
        <v>4613</v>
      </c>
      <c r="B244" s="866" t="s">
        <v>26</v>
      </c>
      <c r="C244" s="289">
        <f>VLOOKUP($A244,K0kommunestruktur2019!$A$4:$N$425,K0kommunestruktur2020altern!C$3,FALSE)</f>
        <v>11749</v>
      </c>
      <c r="D244" s="177">
        <f>VLOOKUP($A244,K0kommunestruktur2019!$A$4:$N$425,K0kommunestruktur2020altern!D$3,FALSE)</f>
        <v>283646</v>
      </c>
      <c r="E244" s="289">
        <f>VLOOKUP($A244,K0kommunestruktur2019!$A$4:$N$425,K0kommunestruktur2020altern!E$3,FALSE)</f>
        <v>11761</v>
      </c>
      <c r="F244" s="177">
        <f>VLOOKUP($A244,K0kommunestruktur2019!$A$4:$N$425,K0kommunestruktur2020altern!F$3,FALSE)</f>
        <v>291741</v>
      </c>
      <c r="G244" s="289">
        <f>VLOOKUP($A244,K0kommunestruktur2019!$A$4:$N$425,K0kommunestruktur2020altern!G$3,FALSE)</f>
        <v>11778</v>
      </c>
      <c r="H244" s="177">
        <f>VLOOKUP($A244,K0kommunestruktur2019!$A$4:$N$425,K0kommunestruktur2020altern!H$3,FALSE)</f>
        <v>340199</v>
      </c>
      <c r="I244" s="289">
        <f>VLOOKUP($A244,K0kommunestruktur2019!$A$4:$N$425,K0kommunestruktur2020altern!I$3,FALSE)</f>
        <v>11806</v>
      </c>
      <c r="J244" s="177">
        <f>VLOOKUP($A244,K0kommunestruktur2019!$A$4:$N$425,K0kommunestruktur2020altern!J$3,FALSE)</f>
        <v>315438</v>
      </c>
      <c r="K244" s="289">
        <f>VLOOKUP($A244,K0kommunestruktur2019!$A$4:$N$425,K0kommunestruktur2020altern!K$3,FALSE)</f>
        <v>11902</v>
      </c>
      <c r="L244" s="177">
        <f>VLOOKUP($A244,K0kommunestruktur2019!$A$4:$N$425,K0kommunestruktur2020altern!L$3,FALSE)</f>
        <v>295857</v>
      </c>
      <c r="M244" s="289">
        <f>VLOOKUP($A244,K0kommunestruktur2019!$A$4:$N$425,K0kommunestruktur2020altern!M$3,FALSE)</f>
        <v>11960</v>
      </c>
      <c r="N244" s="177">
        <f>VLOOKUP($A244,K0kommunestruktur2019!$A$4:$N$425,K0kommunestruktur2020altern!N$3,FALSE)</f>
        <v>332334</v>
      </c>
      <c r="O244" s="289">
        <f>+'K20'!C244</f>
        <v>11957</v>
      </c>
      <c r="P244" s="177">
        <f>+'K20'!Z244</f>
        <v>334069</v>
      </c>
      <c r="R244" s="517"/>
    </row>
    <row r="245" spans="1:18" ht="13">
      <c r="A245" s="865">
        <v>4614</v>
      </c>
      <c r="B245" s="866" t="s">
        <v>27</v>
      </c>
      <c r="C245" s="289">
        <f>VLOOKUP($A245,K0kommunestruktur2019!$A$4:$N$425,K0kommunestruktur2020altern!C$3,FALSE)</f>
        <v>18425</v>
      </c>
      <c r="D245" s="177">
        <f>VLOOKUP($A245,K0kommunestruktur2019!$A$4:$N$425,K0kommunestruktur2020altern!D$3,FALSE)</f>
        <v>450121</v>
      </c>
      <c r="E245" s="289">
        <f>VLOOKUP($A245,K0kommunestruktur2019!$A$4:$N$425,K0kommunestruktur2020altern!E$3,FALSE)</f>
        <v>18685</v>
      </c>
      <c r="F245" s="177">
        <f>VLOOKUP($A245,K0kommunestruktur2019!$A$4:$N$425,K0kommunestruktur2020altern!F$3,FALSE)</f>
        <v>484243</v>
      </c>
      <c r="G245" s="289">
        <f>VLOOKUP($A245,K0kommunestruktur2019!$A$4:$N$425,K0kommunestruktur2020altern!G$3,FALSE)</f>
        <v>18775</v>
      </c>
      <c r="H245" s="177">
        <f>VLOOKUP($A245,K0kommunestruktur2019!$A$4:$N$425,K0kommunestruktur2020altern!H$3,FALSE)</f>
        <v>488716</v>
      </c>
      <c r="I245" s="289">
        <f>VLOOKUP($A245,K0kommunestruktur2019!$A$4:$N$425,K0kommunestruktur2020altern!I$3,FALSE)</f>
        <v>18821</v>
      </c>
      <c r="J245" s="177">
        <f>VLOOKUP($A245,K0kommunestruktur2019!$A$4:$N$425,K0kommunestruktur2020altern!J$3,FALSE)</f>
        <v>497783</v>
      </c>
      <c r="K245" s="289">
        <f>VLOOKUP($A245,K0kommunestruktur2019!$A$4:$N$425,K0kommunestruktur2020altern!K$3,FALSE)</f>
        <v>18780</v>
      </c>
      <c r="L245" s="177">
        <f>VLOOKUP($A245,K0kommunestruktur2019!$A$4:$N$425,K0kommunestruktur2020altern!L$3,FALSE)</f>
        <v>517096</v>
      </c>
      <c r="M245" s="289">
        <f>VLOOKUP($A245,K0kommunestruktur2019!$A$4:$N$425,K0kommunestruktur2020altern!M$3,FALSE)</f>
        <v>18699</v>
      </c>
      <c r="N245" s="177">
        <f>VLOOKUP($A245,K0kommunestruktur2019!$A$4:$N$425,K0kommunestruktur2020altern!N$3,FALSE)</f>
        <v>540530</v>
      </c>
      <c r="O245" s="289">
        <f>+'K20'!C245</f>
        <v>18759</v>
      </c>
      <c r="P245" s="177">
        <f>+'K20'!Z245</f>
        <v>543385</v>
      </c>
      <c r="R245" s="517"/>
    </row>
    <row r="246" spans="1:18" ht="13">
      <c r="A246" s="865">
        <v>4615</v>
      </c>
      <c r="B246" s="866" t="s">
        <v>28</v>
      </c>
      <c r="C246" s="289">
        <f>VLOOKUP($A246,K0kommunestruktur2019!$A$4:$N$425,K0kommunestruktur2020altern!C$3,FALSE)</f>
        <v>3009</v>
      </c>
      <c r="D246" s="177">
        <f>VLOOKUP($A246,K0kommunestruktur2019!$A$4:$N$425,K0kommunestruktur2020altern!D$3,FALSE)</f>
        <v>74296</v>
      </c>
      <c r="E246" s="289">
        <f>VLOOKUP($A246,K0kommunestruktur2019!$A$4:$N$425,K0kommunestruktur2020altern!E$3,FALSE)</f>
        <v>3093</v>
      </c>
      <c r="F246" s="177">
        <f>VLOOKUP($A246,K0kommunestruktur2019!$A$4:$N$425,K0kommunestruktur2020altern!F$3,FALSE)</f>
        <v>78879</v>
      </c>
      <c r="G246" s="289">
        <f>VLOOKUP($A246,K0kommunestruktur2019!$A$4:$N$425,K0kommunestruktur2020altern!G$3,FALSE)</f>
        <v>3140</v>
      </c>
      <c r="H246" s="177">
        <f>VLOOKUP($A246,K0kommunestruktur2019!$A$4:$N$425,K0kommunestruktur2020altern!H$3,FALSE)</f>
        <v>84396</v>
      </c>
      <c r="I246" s="289">
        <f>VLOOKUP($A246,K0kommunestruktur2019!$A$4:$N$425,K0kommunestruktur2020altern!I$3,FALSE)</f>
        <v>3189</v>
      </c>
      <c r="J246" s="177">
        <f>VLOOKUP($A246,K0kommunestruktur2019!$A$4:$N$425,K0kommunestruktur2020altern!J$3,FALSE)</f>
        <v>80561</v>
      </c>
      <c r="K246" s="289">
        <f>VLOOKUP($A246,K0kommunestruktur2019!$A$4:$N$425,K0kommunestruktur2020altern!K$3,FALSE)</f>
        <v>3194</v>
      </c>
      <c r="L246" s="177">
        <f>VLOOKUP($A246,K0kommunestruktur2019!$A$4:$N$425,K0kommunestruktur2020altern!L$3,FALSE)</f>
        <v>81638</v>
      </c>
      <c r="M246" s="289">
        <f>VLOOKUP($A246,K0kommunestruktur2019!$A$4:$N$425,K0kommunestruktur2020altern!M$3,FALSE)</f>
        <v>3201</v>
      </c>
      <c r="N246" s="177">
        <f>VLOOKUP($A246,K0kommunestruktur2019!$A$4:$N$425,K0kommunestruktur2020altern!N$3,FALSE)</f>
        <v>90564</v>
      </c>
      <c r="O246" s="289">
        <f>+'K20'!C246</f>
        <v>3189</v>
      </c>
      <c r="P246" s="177">
        <f>+'K20'!Z246</f>
        <v>87982</v>
      </c>
      <c r="R246" s="517"/>
    </row>
    <row r="247" spans="1:18" ht="13">
      <c r="A247" s="865">
        <v>4616</v>
      </c>
      <c r="B247" s="866" t="s">
        <v>29</v>
      </c>
      <c r="C247" s="289">
        <f>VLOOKUP($A247,K0kommunestruktur2019!$A$4:$N$425,K0kommunestruktur2020altern!C$3,FALSE)</f>
        <v>2745</v>
      </c>
      <c r="D247" s="177">
        <f>VLOOKUP($A247,K0kommunestruktur2019!$A$4:$N$425,K0kommunestruktur2020altern!D$3,FALSE)</f>
        <v>65397</v>
      </c>
      <c r="E247" s="289">
        <f>VLOOKUP($A247,K0kommunestruktur2019!$A$4:$N$425,K0kommunestruktur2020altern!E$3,FALSE)</f>
        <v>2782</v>
      </c>
      <c r="F247" s="177">
        <f>VLOOKUP($A247,K0kommunestruktur2019!$A$4:$N$425,K0kommunestruktur2020altern!F$3,FALSE)</f>
        <v>71019</v>
      </c>
      <c r="G247" s="289">
        <f>VLOOKUP($A247,K0kommunestruktur2019!$A$4:$N$425,K0kommunestruktur2020altern!G$3,FALSE)</f>
        <v>2797</v>
      </c>
      <c r="H247" s="177">
        <f>VLOOKUP($A247,K0kommunestruktur2019!$A$4:$N$425,K0kommunestruktur2020altern!H$3,FALSE)</f>
        <v>76308</v>
      </c>
      <c r="I247" s="289">
        <f>VLOOKUP($A247,K0kommunestruktur2019!$A$4:$N$425,K0kommunestruktur2020altern!I$3,FALSE)</f>
        <v>2847</v>
      </c>
      <c r="J247" s="177">
        <f>VLOOKUP($A247,K0kommunestruktur2019!$A$4:$N$425,K0kommunestruktur2020altern!J$3,FALSE)</f>
        <v>83729</v>
      </c>
      <c r="K247" s="289">
        <f>VLOOKUP($A247,K0kommunestruktur2019!$A$4:$N$425,K0kommunestruktur2020altern!K$3,FALSE)</f>
        <v>2857</v>
      </c>
      <c r="L247" s="177">
        <f>VLOOKUP($A247,K0kommunestruktur2019!$A$4:$N$425,K0kommunestruktur2020altern!L$3,FALSE)</f>
        <v>90837</v>
      </c>
      <c r="M247" s="289">
        <f>VLOOKUP($A247,K0kommunestruktur2019!$A$4:$N$425,K0kommunestruktur2020altern!M$3,FALSE)</f>
        <v>2846</v>
      </c>
      <c r="N247" s="177">
        <f>VLOOKUP($A247,K0kommunestruktur2019!$A$4:$N$425,K0kommunestruktur2020altern!N$3,FALSE)</f>
        <v>105762</v>
      </c>
      <c r="O247" s="289">
        <f>+'K20'!C247</f>
        <v>2869</v>
      </c>
      <c r="P247" s="177">
        <f>+'K20'!Z247</f>
        <v>94659</v>
      </c>
      <c r="R247" s="517"/>
    </row>
    <row r="248" spans="1:18" ht="13">
      <c r="A248" s="865">
        <v>4617</v>
      </c>
      <c r="B248" s="866" t="s">
        <v>30</v>
      </c>
      <c r="C248" s="289">
        <f>VLOOKUP($A248,K0kommunestruktur2019!$A$4:$N$425,K0kommunestruktur2020altern!C$3,FALSE)</f>
        <v>13232</v>
      </c>
      <c r="D248" s="177">
        <f>VLOOKUP($A248,K0kommunestruktur2019!$A$4:$N$425,K0kommunestruktur2020altern!D$3,FALSE)</f>
        <v>317340</v>
      </c>
      <c r="E248" s="289">
        <f>VLOOKUP($A248,K0kommunestruktur2019!$A$4:$N$425,K0kommunestruktur2020altern!E$3,FALSE)</f>
        <v>13234</v>
      </c>
      <c r="F248" s="177">
        <f>VLOOKUP($A248,K0kommunestruktur2019!$A$4:$N$425,K0kommunestruktur2020altern!F$3,FALSE)</f>
        <v>323502</v>
      </c>
      <c r="G248" s="289">
        <f>VLOOKUP($A248,K0kommunestruktur2019!$A$4:$N$425,K0kommunestruktur2020altern!G$3,FALSE)</f>
        <v>13271</v>
      </c>
      <c r="H248" s="177">
        <f>VLOOKUP($A248,K0kommunestruktur2019!$A$4:$N$425,K0kommunestruktur2020altern!H$3,FALSE)</f>
        <v>335516</v>
      </c>
      <c r="I248" s="289">
        <f>VLOOKUP($A248,K0kommunestruktur2019!$A$4:$N$425,K0kommunestruktur2020altern!I$3,FALSE)</f>
        <v>13241</v>
      </c>
      <c r="J248" s="177">
        <f>VLOOKUP($A248,K0kommunestruktur2019!$A$4:$N$425,K0kommunestruktur2020altern!J$3,FALSE)</f>
        <v>343907</v>
      </c>
      <c r="K248" s="289">
        <f>VLOOKUP($A248,K0kommunestruktur2019!$A$4:$N$425,K0kommunestruktur2020altern!K$3,FALSE)</f>
        <v>13180</v>
      </c>
      <c r="L248" s="177">
        <f>VLOOKUP($A248,K0kommunestruktur2019!$A$4:$N$425,K0kommunestruktur2020altern!L$3,FALSE)</f>
        <v>358088</v>
      </c>
      <c r="M248" s="289">
        <f>VLOOKUP($A248,K0kommunestruktur2019!$A$4:$N$425,K0kommunestruktur2020altern!M$3,FALSE)</f>
        <v>13137</v>
      </c>
      <c r="N248" s="177">
        <f>VLOOKUP($A248,K0kommunestruktur2019!$A$4:$N$425,K0kommunestruktur2020altern!N$3,FALSE)</f>
        <v>374901</v>
      </c>
      <c r="O248" s="289">
        <f>+'K20'!C248</f>
        <v>13071</v>
      </c>
      <c r="P248" s="177">
        <f>+'K20'!Z248</f>
        <v>371702</v>
      </c>
      <c r="R248" s="517"/>
    </row>
    <row r="249" spans="1:18" ht="13">
      <c r="A249" s="878">
        <v>4618</v>
      </c>
      <c r="B249" s="883" t="s">
        <v>1632</v>
      </c>
      <c r="C249" s="289">
        <f t="shared" ref="C249:N249" si="31">+C$496+C$497+C$498+C$499</f>
        <v>11399.996385542168</v>
      </c>
      <c r="D249" s="177">
        <f t="shared" si="31"/>
        <v>290946.56160000002</v>
      </c>
      <c r="E249" s="289">
        <f t="shared" si="31"/>
        <v>11393.136144578313</v>
      </c>
      <c r="F249" s="177">
        <f t="shared" si="31"/>
        <v>306945.06357831327</v>
      </c>
      <c r="G249" s="289">
        <f t="shared" si="31"/>
        <v>11365.340963855422</v>
      </c>
      <c r="H249" s="177">
        <f t="shared" si="31"/>
        <v>314267.95376506023</v>
      </c>
      <c r="I249" s="289">
        <f t="shared" si="31"/>
        <v>11440.832530120482</v>
      </c>
      <c r="J249" s="177">
        <f t="shared" si="31"/>
        <v>326542.12179638556</v>
      </c>
      <c r="K249" s="289">
        <f t="shared" si="31"/>
        <v>11225.119277108433</v>
      </c>
      <c r="L249" s="177">
        <f t="shared" si="31"/>
        <v>334172.3313253012</v>
      </c>
      <c r="M249" s="289">
        <f t="shared" si="31"/>
        <v>11084</v>
      </c>
      <c r="N249" s="177">
        <f t="shared" si="31"/>
        <v>347344.6277108434</v>
      </c>
      <c r="O249" s="289">
        <f>+'K20'!C249</f>
        <v>11048</v>
      </c>
      <c r="P249" s="177">
        <f>+'K20'!Z249</f>
        <v>348649</v>
      </c>
      <c r="R249" s="517"/>
    </row>
    <row r="250" spans="1:18" ht="13">
      <c r="A250" s="865">
        <v>4619</v>
      </c>
      <c r="B250" s="866" t="s">
        <v>34</v>
      </c>
      <c r="C250" s="289">
        <f>VLOOKUP($A250,K0kommunestruktur2019!$A$4:$N$425,K0kommunestruktur2020altern!C$3,FALSE)</f>
        <v>950</v>
      </c>
      <c r="D250" s="177">
        <f>VLOOKUP($A250,K0kommunestruktur2019!$A$4:$N$425,K0kommunestruktur2020altern!D$3,FALSE)</f>
        <v>49498</v>
      </c>
      <c r="E250" s="289">
        <f>VLOOKUP($A250,K0kommunestruktur2019!$A$4:$N$425,K0kommunestruktur2020altern!E$3,FALSE)</f>
        <v>950</v>
      </c>
      <c r="F250" s="177">
        <f>VLOOKUP($A250,K0kommunestruktur2019!$A$4:$N$425,K0kommunestruktur2020altern!F$3,FALSE)</f>
        <v>49839</v>
      </c>
      <c r="G250" s="289">
        <f>VLOOKUP($A250,K0kommunestruktur2019!$A$4:$N$425,K0kommunestruktur2020altern!G$3,FALSE)</f>
        <v>925</v>
      </c>
      <c r="H250" s="177">
        <f>VLOOKUP($A250,K0kommunestruktur2019!$A$4:$N$425,K0kommunestruktur2020altern!H$3,FALSE)</f>
        <v>52787</v>
      </c>
      <c r="I250" s="289">
        <f>VLOOKUP($A250,K0kommunestruktur2019!$A$4:$N$425,K0kommunestruktur2020altern!I$3,FALSE)</f>
        <v>921</v>
      </c>
      <c r="J250" s="177">
        <f>VLOOKUP($A250,K0kommunestruktur2019!$A$4:$N$425,K0kommunestruktur2020altern!J$3,FALSE)</f>
        <v>55245</v>
      </c>
      <c r="K250" s="289">
        <f>VLOOKUP($A250,K0kommunestruktur2019!$A$4:$N$425,K0kommunestruktur2020altern!K$3,FALSE)</f>
        <v>931</v>
      </c>
      <c r="L250" s="177">
        <f>VLOOKUP($A250,K0kommunestruktur2019!$A$4:$N$425,K0kommunestruktur2020altern!L$3,FALSE)</f>
        <v>56711</v>
      </c>
      <c r="M250" s="289">
        <f>VLOOKUP($A250,K0kommunestruktur2019!$A$4:$N$425,K0kommunestruktur2020altern!M$3,FALSE)</f>
        <v>906</v>
      </c>
      <c r="N250" s="177">
        <f>VLOOKUP($A250,K0kommunestruktur2019!$A$4:$N$425,K0kommunestruktur2020altern!N$3,FALSE)</f>
        <v>56140</v>
      </c>
      <c r="O250" s="289">
        <f>+'K20'!C250</f>
        <v>906</v>
      </c>
      <c r="P250" s="177">
        <f>+'K20'!Z250</f>
        <v>53139</v>
      </c>
      <c r="R250" s="517"/>
    </row>
    <row r="251" spans="1:18" ht="13">
      <c r="A251" s="865">
        <v>4620</v>
      </c>
      <c r="B251" s="866" t="s">
        <v>35</v>
      </c>
      <c r="C251" s="289">
        <f>VLOOKUP($A251,K0kommunestruktur2019!$A$4:$N$425,K0kommunestruktur2020altern!C$3,FALSE)</f>
        <v>1094</v>
      </c>
      <c r="D251" s="177">
        <f>VLOOKUP($A251,K0kommunestruktur2019!$A$4:$N$425,K0kommunestruktur2020altern!D$3,FALSE)</f>
        <v>32828</v>
      </c>
      <c r="E251" s="289">
        <f>VLOOKUP($A251,K0kommunestruktur2019!$A$4:$N$425,K0kommunestruktur2020altern!E$3,FALSE)</f>
        <v>1107</v>
      </c>
      <c r="F251" s="177">
        <f>VLOOKUP($A251,K0kommunestruktur2019!$A$4:$N$425,K0kommunestruktur2020altern!F$3,FALSE)</f>
        <v>32883</v>
      </c>
      <c r="G251" s="289">
        <f>VLOOKUP($A251,K0kommunestruktur2019!$A$4:$N$425,K0kommunestruktur2020altern!G$3,FALSE)</f>
        <v>1116</v>
      </c>
      <c r="H251" s="177">
        <f>VLOOKUP($A251,K0kommunestruktur2019!$A$4:$N$425,K0kommunestruktur2020altern!H$3,FALSE)</f>
        <v>34173</v>
      </c>
      <c r="I251" s="289">
        <f>VLOOKUP($A251,K0kommunestruktur2019!$A$4:$N$425,K0kommunestruktur2020altern!I$3,FALSE)</f>
        <v>1131</v>
      </c>
      <c r="J251" s="177">
        <f>VLOOKUP($A251,K0kommunestruktur2019!$A$4:$N$425,K0kommunestruktur2020altern!J$3,FALSE)</f>
        <v>34103</v>
      </c>
      <c r="K251" s="289">
        <f>VLOOKUP($A251,K0kommunestruktur2019!$A$4:$N$425,K0kommunestruktur2020altern!K$3,FALSE)</f>
        <v>1117</v>
      </c>
      <c r="L251" s="177">
        <f>VLOOKUP($A251,K0kommunestruktur2019!$A$4:$N$425,K0kommunestruktur2020altern!L$3,FALSE)</f>
        <v>35225</v>
      </c>
      <c r="M251" s="289">
        <f>VLOOKUP($A251,K0kommunestruktur2019!$A$4:$N$425,K0kommunestruktur2020altern!M$3,FALSE)</f>
        <v>1093</v>
      </c>
      <c r="N251" s="177">
        <f>VLOOKUP($A251,K0kommunestruktur2019!$A$4:$N$425,K0kommunestruktur2020altern!N$3,FALSE)</f>
        <v>35916</v>
      </c>
      <c r="O251" s="289">
        <f>+'K20'!C251</f>
        <v>1080</v>
      </c>
      <c r="P251" s="177">
        <f>+'K20'!Z251</f>
        <v>34950</v>
      </c>
      <c r="R251" s="517"/>
    </row>
    <row r="252" spans="1:18" ht="13">
      <c r="A252" s="878">
        <v>4621</v>
      </c>
      <c r="B252" s="883" t="s">
        <v>1633</v>
      </c>
      <c r="C252" s="289">
        <f t="shared" ref="C252:N252" si="32">+C$502+C$503+C$504</f>
        <v>15148.003614457832</v>
      </c>
      <c r="D252" s="177">
        <f t="shared" si="32"/>
        <v>347890.43839999998</v>
      </c>
      <c r="E252" s="289">
        <f t="shared" si="32"/>
        <v>15337.863855421687</v>
      </c>
      <c r="F252" s="177">
        <f t="shared" si="32"/>
        <v>360573.93642168673</v>
      </c>
      <c r="G252" s="289">
        <f t="shared" si="32"/>
        <v>15414.659036144578</v>
      </c>
      <c r="H252" s="177">
        <f t="shared" si="32"/>
        <v>385610.04623493977</v>
      </c>
      <c r="I252" s="289">
        <f t="shared" si="32"/>
        <v>15516.167469879518</v>
      </c>
      <c r="J252" s="177">
        <f t="shared" si="32"/>
        <v>405969.87820361444</v>
      </c>
      <c r="K252" s="289">
        <f t="shared" si="32"/>
        <v>15576.880722891567</v>
      </c>
      <c r="L252" s="177">
        <f t="shared" si="32"/>
        <v>427868.6686746988</v>
      </c>
      <c r="M252" s="289">
        <f t="shared" si="32"/>
        <v>15611</v>
      </c>
      <c r="N252" s="177">
        <f t="shared" si="32"/>
        <v>452847.3722891566</v>
      </c>
      <c r="O252" s="289">
        <f>+'K20'!C252</f>
        <v>15740</v>
      </c>
      <c r="P252" s="177">
        <f>+'K20'!Z252</f>
        <v>443958</v>
      </c>
      <c r="R252" s="517"/>
    </row>
    <row r="253" spans="1:18" ht="13">
      <c r="A253" s="865">
        <v>4622</v>
      </c>
      <c r="B253" s="866" t="s">
        <v>38</v>
      </c>
      <c r="C253" s="289">
        <f>VLOOKUP($A253,K0kommunestruktur2019!$A$4:$N$425,K0kommunestruktur2020altern!C$3,FALSE)</f>
        <v>8584</v>
      </c>
      <c r="D253" s="177">
        <f>VLOOKUP($A253,K0kommunestruktur2019!$A$4:$N$425,K0kommunestruktur2020altern!D$3,FALSE)</f>
        <v>191886</v>
      </c>
      <c r="E253" s="289">
        <f>VLOOKUP($A253,K0kommunestruktur2019!$A$4:$N$425,K0kommunestruktur2020altern!E$3,FALSE)</f>
        <v>8539</v>
      </c>
      <c r="F253" s="177">
        <f>VLOOKUP($A253,K0kommunestruktur2019!$A$4:$N$425,K0kommunestruktur2020altern!F$3,FALSE)</f>
        <v>198344</v>
      </c>
      <c r="G253" s="289">
        <f>VLOOKUP($A253,K0kommunestruktur2019!$A$4:$N$425,K0kommunestruktur2020altern!G$3,FALSE)</f>
        <v>8475</v>
      </c>
      <c r="H253" s="177">
        <f>VLOOKUP($A253,K0kommunestruktur2019!$A$4:$N$425,K0kommunestruktur2020altern!H$3,FALSE)</f>
        <v>212701</v>
      </c>
      <c r="I253" s="289">
        <f>VLOOKUP($A253,K0kommunestruktur2019!$A$4:$N$425,K0kommunestruktur2020altern!I$3,FALSE)</f>
        <v>8423</v>
      </c>
      <c r="J253" s="177">
        <f>VLOOKUP($A253,K0kommunestruktur2019!$A$4:$N$425,K0kommunestruktur2020altern!J$3,FALSE)</f>
        <v>216753</v>
      </c>
      <c r="K253" s="289">
        <f>VLOOKUP($A253,K0kommunestruktur2019!$A$4:$N$425,K0kommunestruktur2020altern!K$3,FALSE)</f>
        <v>8455</v>
      </c>
      <c r="L253" s="177">
        <f>VLOOKUP($A253,K0kommunestruktur2019!$A$4:$N$425,K0kommunestruktur2020altern!L$3,FALSE)</f>
        <v>232403</v>
      </c>
      <c r="M253" s="289">
        <f>VLOOKUP($A253,K0kommunestruktur2019!$A$4:$N$425,K0kommunestruktur2020altern!M$3,FALSE)</f>
        <v>8441</v>
      </c>
      <c r="N253" s="177">
        <f>VLOOKUP($A253,K0kommunestruktur2019!$A$4:$N$425,K0kommunestruktur2020altern!N$3,FALSE)</f>
        <v>234746</v>
      </c>
      <c r="O253" s="289">
        <f>+'K20'!C253</f>
        <v>8457</v>
      </c>
      <c r="P253" s="177">
        <f>+'K20'!Z253</f>
        <v>233626</v>
      </c>
      <c r="R253" s="517"/>
    </row>
    <row r="254" spans="1:18" ht="13">
      <c r="A254" s="865">
        <v>4623</v>
      </c>
      <c r="B254" s="866" t="s">
        <v>40</v>
      </c>
      <c r="C254" s="289">
        <f>VLOOKUP($A254,K0kommunestruktur2019!$A$4:$N$425,K0kommunestruktur2020altern!C$3,FALSE)</f>
        <v>2436</v>
      </c>
      <c r="D254" s="177">
        <f>VLOOKUP($A254,K0kommunestruktur2019!$A$4:$N$425,K0kommunestruktur2020altern!D$3,FALSE)</f>
        <v>57433</v>
      </c>
      <c r="E254" s="289">
        <f>VLOOKUP($A254,K0kommunestruktur2019!$A$4:$N$425,K0kommunestruktur2020altern!E$3,FALSE)</f>
        <v>2443</v>
      </c>
      <c r="F254" s="177">
        <f>VLOOKUP($A254,K0kommunestruktur2019!$A$4:$N$425,K0kommunestruktur2020altern!F$3,FALSE)</f>
        <v>62067</v>
      </c>
      <c r="G254" s="289">
        <f>VLOOKUP($A254,K0kommunestruktur2019!$A$4:$N$425,K0kommunestruktur2020altern!G$3,FALSE)</f>
        <v>2443</v>
      </c>
      <c r="H254" s="177">
        <f>VLOOKUP($A254,K0kommunestruktur2019!$A$4:$N$425,K0kommunestruktur2020altern!H$3,FALSE)</f>
        <v>65531</v>
      </c>
      <c r="I254" s="289">
        <f>VLOOKUP($A254,K0kommunestruktur2019!$A$4:$N$425,K0kommunestruktur2020altern!I$3,FALSE)</f>
        <v>2488</v>
      </c>
      <c r="J254" s="177">
        <f>VLOOKUP($A254,K0kommunestruktur2019!$A$4:$N$425,K0kommunestruktur2020altern!J$3,FALSE)</f>
        <v>66651</v>
      </c>
      <c r="K254" s="289">
        <f>VLOOKUP($A254,K0kommunestruktur2019!$A$4:$N$425,K0kommunestruktur2020altern!K$3,FALSE)</f>
        <v>2463</v>
      </c>
      <c r="L254" s="177">
        <f>VLOOKUP($A254,K0kommunestruktur2019!$A$4:$N$425,K0kommunestruktur2020altern!L$3,FALSE)</f>
        <v>65455</v>
      </c>
      <c r="M254" s="289">
        <f>VLOOKUP($A254,K0kommunestruktur2019!$A$4:$N$425,K0kommunestruktur2020altern!M$3,FALSE)</f>
        <v>2465</v>
      </c>
      <c r="N254" s="177">
        <f>VLOOKUP($A254,K0kommunestruktur2019!$A$4:$N$425,K0kommunestruktur2020altern!N$3,FALSE)</f>
        <v>67380</v>
      </c>
      <c r="O254" s="289">
        <f>+'K20'!C254</f>
        <v>2485</v>
      </c>
      <c r="P254" s="177">
        <f>+'K20'!Z254</f>
        <v>67747</v>
      </c>
      <c r="R254" s="517"/>
    </row>
    <row r="255" spans="1:18" ht="13">
      <c r="A255" s="878">
        <v>4624</v>
      </c>
      <c r="B255" s="883" t="s">
        <v>1634</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+'K20'!C255</f>
        <v>24908</v>
      </c>
      <c r="P255" s="177">
        <f>+'K20'!Z255</f>
        <v>702109</v>
      </c>
      <c r="R255" s="517"/>
    </row>
    <row r="256" spans="1:18" ht="13">
      <c r="A256" s="865">
        <v>4625</v>
      </c>
      <c r="B256" s="866" t="s">
        <v>41</v>
      </c>
      <c r="C256" s="289">
        <f>VLOOKUP($A256,K0kommunestruktur2019!$A$4:$N$425,K0kommunestruktur2020altern!C$3,FALSE)</f>
        <v>4924</v>
      </c>
      <c r="D256" s="177">
        <f>VLOOKUP($A256,K0kommunestruktur2019!$A$4:$N$425,K0kommunestruktur2020altern!D$3,FALSE)</f>
        <v>167181</v>
      </c>
      <c r="E256" s="289">
        <f>VLOOKUP($A256,K0kommunestruktur2019!$A$4:$N$425,K0kommunestruktur2020altern!E$3,FALSE)</f>
        <v>5012</v>
      </c>
      <c r="F256" s="177">
        <f>VLOOKUP($A256,K0kommunestruktur2019!$A$4:$N$425,K0kommunestruktur2020altern!F$3,FALSE)</f>
        <v>185918</v>
      </c>
      <c r="G256" s="289">
        <f>VLOOKUP($A256,K0kommunestruktur2019!$A$4:$N$425,K0kommunestruktur2020altern!G$3,FALSE)</f>
        <v>5118</v>
      </c>
      <c r="H256" s="177">
        <f>VLOOKUP($A256,K0kommunestruktur2019!$A$4:$N$425,K0kommunestruktur2020altern!H$3,FALSE)</f>
        <v>200516</v>
      </c>
      <c r="I256" s="289">
        <f>VLOOKUP($A256,K0kommunestruktur2019!$A$4:$N$425,K0kommunestruktur2020altern!I$3,FALSE)</f>
        <v>5156</v>
      </c>
      <c r="J256" s="177">
        <f>VLOOKUP($A256,K0kommunestruktur2019!$A$4:$N$425,K0kommunestruktur2020altern!J$3,FALSE)</f>
        <v>219330</v>
      </c>
      <c r="K256" s="289">
        <f>VLOOKUP($A256,K0kommunestruktur2019!$A$4:$N$425,K0kommunestruktur2020altern!K$3,FALSE)</f>
        <v>5189</v>
      </c>
      <c r="L256" s="177">
        <f>VLOOKUP($A256,K0kommunestruktur2019!$A$4:$N$425,K0kommunestruktur2020altern!L$3,FALSE)</f>
        <v>202389</v>
      </c>
      <c r="M256" s="289">
        <f>VLOOKUP($A256,K0kommunestruktur2019!$A$4:$N$425,K0kommunestruktur2020altern!M$3,FALSE)</f>
        <v>5212</v>
      </c>
      <c r="N256" s="177">
        <f>VLOOKUP($A256,K0kommunestruktur2019!$A$4:$N$425,K0kommunestruktur2020altern!N$3,FALSE)</f>
        <v>259138</v>
      </c>
      <c r="O256" s="289">
        <f>+'K20'!C256</f>
        <v>5236</v>
      </c>
      <c r="P256" s="177">
        <f>+'K20'!Z256</f>
        <v>264097</v>
      </c>
      <c r="R256" s="517"/>
    </row>
    <row r="257" spans="1:18" ht="13">
      <c r="A257" s="878">
        <v>4626</v>
      </c>
      <c r="B257" s="883" t="s">
        <v>1635</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+'K20'!C257</f>
        <v>38316</v>
      </c>
      <c r="P257" s="177">
        <f>+'K20'!Z257</f>
        <v>1073322</v>
      </c>
      <c r="R257" s="517"/>
    </row>
    <row r="258" spans="1:18" ht="13">
      <c r="A258" s="865">
        <v>4627</v>
      </c>
      <c r="B258" s="876" t="s">
        <v>44</v>
      </c>
      <c r="C258" s="289">
        <f>VLOOKUP($A258,K0kommunestruktur2019!$A$4:$N$425,K0kommunestruktur2020altern!C$3,FALSE)</f>
        <v>27346</v>
      </c>
      <c r="D258" s="177">
        <f>VLOOKUP($A258,K0kommunestruktur2019!$A$4:$N$425,K0kommunestruktur2020altern!D$3,FALSE)</f>
        <v>612963</v>
      </c>
      <c r="E258" s="289">
        <f>VLOOKUP($A258,K0kommunestruktur2019!$A$4:$N$425,K0kommunestruktur2020altern!E$3,FALSE)</f>
        <v>27858</v>
      </c>
      <c r="F258" s="177">
        <f>VLOOKUP($A258,K0kommunestruktur2019!$A$4:$N$425,K0kommunestruktur2020altern!F$3,FALSE)</f>
        <v>641304</v>
      </c>
      <c r="G258" s="289">
        <f>VLOOKUP($A258,K0kommunestruktur2019!$A$4:$N$425,K0kommunestruktur2020altern!G$3,FALSE)</f>
        <v>28380</v>
      </c>
      <c r="H258" s="177">
        <f>VLOOKUP($A258,K0kommunestruktur2019!$A$4:$N$425,K0kommunestruktur2020altern!H$3,FALSE)</f>
        <v>684373</v>
      </c>
      <c r="I258" s="289">
        <f>VLOOKUP($A258,K0kommunestruktur2019!$A$4:$N$425,K0kommunestruktur2020altern!I$3,FALSE)</f>
        <v>28821</v>
      </c>
      <c r="J258" s="177">
        <f>VLOOKUP($A258,K0kommunestruktur2019!$A$4:$N$425,K0kommunestruktur2020altern!J$3,FALSE)</f>
        <v>715328</v>
      </c>
      <c r="K258" s="289">
        <f>VLOOKUP($A258,K0kommunestruktur2019!$A$4:$N$425,K0kommunestruktur2020altern!K$3,FALSE)</f>
        <v>29071</v>
      </c>
      <c r="L258" s="177">
        <f>VLOOKUP($A258,K0kommunestruktur2019!$A$4:$N$425,K0kommunestruktur2020altern!L$3,FALSE)</f>
        <v>745203</v>
      </c>
      <c r="M258" s="289">
        <f>VLOOKUP($A258,K0kommunestruktur2019!$A$4:$N$425,K0kommunestruktur2020altern!M$3,FALSE)</f>
        <v>29275</v>
      </c>
      <c r="N258" s="177">
        <f>VLOOKUP($A258,K0kommunestruktur2019!$A$4:$N$425,K0kommunestruktur2020altern!N$3,FALSE)</f>
        <v>770143</v>
      </c>
      <c r="O258" s="289">
        <f>+'K20'!C258</f>
        <v>29553</v>
      </c>
      <c r="P258" s="177">
        <f>+'K20'!Z258</f>
        <v>758102</v>
      </c>
      <c r="R258" s="517"/>
    </row>
    <row r="259" spans="1:18" ht="13">
      <c r="A259" s="865">
        <v>4628</v>
      </c>
      <c r="B259" s="866" t="s">
        <v>45</v>
      </c>
      <c r="C259" s="289">
        <f>VLOOKUP($A259,K0kommunestruktur2019!$A$4:$N$425,K0kommunestruktur2020altern!C$3,FALSE)</f>
        <v>4140</v>
      </c>
      <c r="D259" s="177">
        <f>VLOOKUP($A259,K0kommunestruktur2019!$A$4:$N$425,K0kommunestruktur2020altern!D$3,FALSE)</f>
        <v>91771</v>
      </c>
      <c r="E259" s="289">
        <f>VLOOKUP($A259,K0kommunestruktur2019!$A$4:$N$425,K0kommunestruktur2020altern!E$3,FALSE)</f>
        <v>4096</v>
      </c>
      <c r="F259" s="177">
        <f>VLOOKUP($A259,K0kommunestruktur2019!$A$4:$N$425,K0kommunestruktur2020altern!F$3,FALSE)</f>
        <v>95145</v>
      </c>
      <c r="G259" s="289">
        <f>VLOOKUP($A259,K0kommunestruktur2019!$A$4:$N$425,K0kommunestruktur2020altern!G$3,FALSE)</f>
        <v>4125</v>
      </c>
      <c r="H259" s="177">
        <f>VLOOKUP($A259,K0kommunestruktur2019!$A$4:$N$425,K0kommunestruktur2020altern!H$3,FALSE)</f>
        <v>100840</v>
      </c>
      <c r="I259" s="289">
        <f>VLOOKUP($A259,K0kommunestruktur2019!$A$4:$N$425,K0kommunestruktur2020altern!I$3,FALSE)</f>
        <v>4123</v>
      </c>
      <c r="J259" s="177">
        <f>VLOOKUP($A259,K0kommunestruktur2019!$A$4:$N$425,K0kommunestruktur2020altern!J$3,FALSE)</f>
        <v>103284</v>
      </c>
      <c r="K259" s="289">
        <f>VLOOKUP($A259,K0kommunestruktur2019!$A$4:$N$425,K0kommunestruktur2020altern!K$3,FALSE)</f>
        <v>4127</v>
      </c>
      <c r="L259" s="177">
        <f>VLOOKUP($A259,K0kommunestruktur2019!$A$4:$N$425,K0kommunestruktur2020altern!L$3,FALSE)</f>
        <v>107402</v>
      </c>
      <c r="M259" s="289">
        <f>VLOOKUP($A259,K0kommunestruktur2019!$A$4:$N$425,K0kommunestruktur2020altern!M$3,FALSE)</f>
        <v>4045</v>
      </c>
      <c r="N259" s="177">
        <f>VLOOKUP($A259,K0kommunestruktur2019!$A$4:$N$425,K0kommunestruktur2020altern!N$3,FALSE)</f>
        <v>109454</v>
      </c>
      <c r="O259" s="289">
        <f>+'K20'!C259</f>
        <v>3977</v>
      </c>
      <c r="P259" s="177">
        <f>+'K20'!Z259</f>
        <v>107407</v>
      </c>
      <c r="R259" s="517"/>
    </row>
    <row r="260" spans="1:18" ht="13">
      <c r="A260" s="865">
        <v>4629</v>
      </c>
      <c r="B260" s="866" t="s">
        <v>46</v>
      </c>
      <c r="C260" s="289">
        <f>VLOOKUP($A260,K0kommunestruktur2019!$A$4:$N$425,K0kommunestruktur2020altern!C$3,FALSE)</f>
        <v>372</v>
      </c>
      <c r="D260" s="177">
        <f>VLOOKUP($A260,K0kommunestruktur2019!$A$4:$N$425,K0kommunestruktur2020altern!D$3,FALSE)</f>
        <v>23282</v>
      </c>
      <c r="E260" s="289">
        <f>VLOOKUP($A260,K0kommunestruktur2019!$A$4:$N$425,K0kommunestruktur2020altern!E$3,FALSE)</f>
        <v>378</v>
      </c>
      <c r="F260" s="177">
        <f>VLOOKUP($A260,K0kommunestruktur2019!$A$4:$N$425,K0kommunestruktur2020altern!F$3,FALSE)</f>
        <v>22663</v>
      </c>
      <c r="G260" s="289">
        <f>VLOOKUP($A260,K0kommunestruktur2019!$A$4:$N$425,K0kommunestruktur2020altern!G$3,FALSE)</f>
        <v>381</v>
      </c>
      <c r="H260" s="177">
        <f>VLOOKUP($A260,K0kommunestruktur2019!$A$4:$N$425,K0kommunestruktur2020altern!H$3,FALSE)</f>
        <v>24758</v>
      </c>
      <c r="I260" s="289">
        <f>VLOOKUP($A260,K0kommunestruktur2019!$A$4:$N$425,K0kommunestruktur2020altern!I$3,FALSE)</f>
        <v>383</v>
      </c>
      <c r="J260" s="177">
        <f>VLOOKUP($A260,K0kommunestruktur2019!$A$4:$N$425,K0kommunestruktur2020altern!J$3,FALSE)</f>
        <v>23712</v>
      </c>
      <c r="K260" s="289">
        <f>VLOOKUP($A260,K0kommunestruktur2019!$A$4:$N$425,K0kommunestruktur2020altern!K$3,FALSE)</f>
        <v>380</v>
      </c>
      <c r="L260" s="177">
        <f>VLOOKUP($A260,K0kommunestruktur2019!$A$4:$N$425,K0kommunestruktur2020altern!L$3,FALSE)</f>
        <v>24427</v>
      </c>
      <c r="M260" s="289">
        <f>VLOOKUP($A260,K0kommunestruktur2019!$A$4:$N$425,K0kommunestruktur2020altern!M$3,FALSE)</f>
        <v>380</v>
      </c>
      <c r="N260" s="177">
        <f>VLOOKUP($A260,K0kommunestruktur2019!$A$4:$N$425,K0kommunestruktur2020altern!N$3,FALSE)</f>
        <v>27481</v>
      </c>
      <c r="O260" s="289">
        <f>+'K20'!C260</f>
        <v>388</v>
      </c>
      <c r="P260" s="177">
        <f>+'K20'!Z260</f>
        <v>27348</v>
      </c>
      <c r="R260" s="517"/>
    </row>
    <row r="261" spans="1:18" ht="13">
      <c r="A261" s="865">
        <v>4630</v>
      </c>
      <c r="B261" s="866" t="s">
        <v>47</v>
      </c>
      <c r="C261" s="289">
        <f>VLOOKUP($A261,K0kommunestruktur2019!$A$4:$N$425,K0kommunestruktur2020altern!C$3,FALSE)</f>
        <v>7786</v>
      </c>
      <c r="D261" s="177">
        <f>VLOOKUP($A261,K0kommunestruktur2019!$A$4:$N$425,K0kommunestruktur2020altern!D$3,FALSE)</f>
        <v>159398</v>
      </c>
      <c r="E261" s="289">
        <f>VLOOKUP($A261,K0kommunestruktur2019!$A$4:$N$425,K0kommunestruktur2020altern!E$3,FALSE)</f>
        <v>7842</v>
      </c>
      <c r="F261" s="177">
        <f>VLOOKUP($A261,K0kommunestruktur2019!$A$4:$N$425,K0kommunestruktur2020altern!F$3,FALSE)</f>
        <v>166774</v>
      </c>
      <c r="G261" s="289">
        <f>VLOOKUP($A261,K0kommunestruktur2019!$A$4:$N$425,K0kommunestruktur2020altern!G$3,FALSE)</f>
        <v>7957</v>
      </c>
      <c r="H261" s="177">
        <f>VLOOKUP($A261,K0kommunestruktur2019!$A$4:$N$425,K0kommunestruktur2020altern!H$3,FALSE)</f>
        <v>179015</v>
      </c>
      <c r="I261" s="289">
        <f>VLOOKUP($A261,K0kommunestruktur2019!$A$4:$N$425,K0kommunestruktur2020altern!I$3,FALSE)</f>
        <v>8026</v>
      </c>
      <c r="J261" s="177">
        <f>VLOOKUP($A261,K0kommunestruktur2019!$A$4:$N$425,K0kommunestruktur2020altern!J$3,FALSE)</f>
        <v>190980</v>
      </c>
      <c r="K261" s="289">
        <f>VLOOKUP($A261,K0kommunestruktur2019!$A$4:$N$425,K0kommunestruktur2020altern!K$3,FALSE)</f>
        <v>8125</v>
      </c>
      <c r="L261" s="177">
        <f>VLOOKUP($A261,K0kommunestruktur2019!$A$4:$N$425,K0kommunestruktur2020altern!L$3,FALSE)</f>
        <v>194818</v>
      </c>
      <c r="M261" s="289">
        <f>VLOOKUP($A261,K0kommunestruktur2019!$A$4:$N$425,K0kommunestruktur2020altern!M$3,FALSE)</f>
        <v>8120</v>
      </c>
      <c r="N261" s="177">
        <f>VLOOKUP($A261,K0kommunestruktur2019!$A$4:$N$425,K0kommunestruktur2020altern!N$3,FALSE)</f>
        <v>204329</v>
      </c>
      <c r="O261" s="289">
        <f>+'K20'!C261</f>
        <v>8098</v>
      </c>
      <c r="P261" s="177">
        <f>+'K20'!Z261</f>
        <v>202713</v>
      </c>
      <c r="R261" s="517"/>
    </row>
    <row r="262" spans="1:18" ht="13">
      <c r="A262" s="878">
        <v>4631</v>
      </c>
      <c r="B262" s="883" t="s">
        <v>1636</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+'K20'!C262</f>
        <v>29224</v>
      </c>
      <c r="P262" s="177">
        <f>+'K20'!Z262</f>
        <v>779977</v>
      </c>
      <c r="R262" s="517"/>
    </row>
    <row r="263" spans="1:18" ht="13">
      <c r="A263" s="865">
        <v>4632</v>
      </c>
      <c r="B263" s="866" t="s">
        <v>55</v>
      </c>
      <c r="C263" s="289">
        <f>VLOOKUP($A263,K0kommunestruktur2019!$A$4:$N$425,K0kommunestruktur2020altern!C$3,FALSE)</f>
        <v>2833</v>
      </c>
      <c r="D263" s="177">
        <f>VLOOKUP($A263,K0kommunestruktur2019!$A$4:$N$425,K0kommunestruktur2020altern!D$3,FALSE)</f>
        <v>84590</v>
      </c>
      <c r="E263" s="289">
        <f>VLOOKUP($A263,K0kommunestruktur2019!$A$4:$N$425,K0kommunestruktur2020altern!E$3,FALSE)</f>
        <v>2856</v>
      </c>
      <c r="F263" s="177">
        <f>VLOOKUP($A263,K0kommunestruktur2019!$A$4:$N$425,K0kommunestruktur2020altern!F$3,FALSE)</f>
        <v>82871</v>
      </c>
      <c r="G263" s="289">
        <f>VLOOKUP($A263,K0kommunestruktur2019!$A$4:$N$425,K0kommunestruktur2020altern!G$3,FALSE)</f>
        <v>2858</v>
      </c>
      <c r="H263" s="177">
        <f>VLOOKUP($A263,K0kommunestruktur2019!$A$4:$N$425,K0kommunestruktur2020altern!H$3,FALSE)</f>
        <v>88559</v>
      </c>
      <c r="I263" s="289">
        <f>VLOOKUP($A263,K0kommunestruktur2019!$A$4:$N$425,K0kommunestruktur2020altern!I$3,FALSE)</f>
        <v>2884</v>
      </c>
      <c r="J263" s="177">
        <f>VLOOKUP($A263,K0kommunestruktur2019!$A$4:$N$425,K0kommunestruktur2020altern!J$3,FALSE)</f>
        <v>85690</v>
      </c>
      <c r="K263" s="289">
        <f>VLOOKUP($A263,K0kommunestruktur2019!$A$4:$N$425,K0kommunestruktur2020altern!K$3,FALSE)</f>
        <v>2902</v>
      </c>
      <c r="L263" s="177">
        <f>VLOOKUP($A263,K0kommunestruktur2019!$A$4:$N$425,K0kommunestruktur2020altern!L$3,FALSE)</f>
        <v>87553</v>
      </c>
      <c r="M263" s="289">
        <f>VLOOKUP($A263,K0kommunestruktur2019!$A$4:$N$425,K0kommunestruktur2020altern!M$3,FALSE)</f>
        <v>2887</v>
      </c>
      <c r="N263" s="177">
        <f>VLOOKUP($A263,K0kommunestruktur2019!$A$4:$N$425,K0kommunestruktur2020altern!N$3,FALSE)</f>
        <v>95029</v>
      </c>
      <c r="O263" s="289">
        <f>+'K20'!C263</f>
        <v>2870</v>
      </c>
      <c r="P263" s="177">
        <f>+'K20'!Z263</f>
        <v>96979</v>
      </c>
      <c r="R263" s="517"/>
    </row>
    <row r="264" spans="1:18" ht="13">
      <c r="A264" s="865">
        <v>4633</v>
      </c>
      <c r="B264" s="866" t="s">
        <v>56</v>
      </c>
      <c r="C264" s="289">
        <f>VLOOKUP($A264,K0kommunestruktur2019!$A$4:$N$425,K0kommunestruktur2020altern!C$3,FALSE)</f>
        <v>561</v>
      </c>
      <c r="D264" s="177">
        <f>VLOOKUP($A264,K0kommunestruktur2019!$A$4:$N$425,K0kommunestruktur2020altern!D$3,FALSE)</f>
        <v>12698</v>
      </c>
      <c r="E264" s="289">
        <f>VLOOKUP($A264,K0kommunestruktur2019!$A$4:$N$425,K0kommunestruktur2020altern!E$3,FALSE)</f>
        <v>563</v>
      </c>
      <c r="F264" s="177">
        <f>VLOOKUP($A264,K0kommunestruktur2019!$A$4:$N$425,K0kommunestruktur2020altern!F$3,FALSE)</f>
        <v>12935</v>
      </c>
      <c r="G264" s="289">
        <f>VLOOKUP($A264,K0kommunestruktur2019!$A$4:$N$425,K0kommunestruktur2020altern!G$3,FALSE)</f>
        <v>576</v>
      </c>
      <c r="H264" s="177">
        <f>VLOOKUP($A264,K0kommunestruktur2019!$A$4:$N$425,K0kommunestruktur2020altern!H$3,FALSE)</f>
        <v>13743</v>
      </c>
      <c r="I264" s="289">
        <f>VLOOKUP($A264,K0kommunestruktur2019!$A$4:$N$425,K0kommunestruktur2020altern!I$3,FALSE)</f>
        <v>587</v>
      </c>
      <c r="J264" s="177">
        <f>VLOOKUP($A264,K0kommunestruktur2019!$A$4:$N$425,K0kommunestruktur2020altern!J$3,FALSE)</f>
        <v>13627</v>
      </c>
      <c r="K264" s="289">
        <f>VLOOKUP($A264,K0kommunestruktur2019!$A$4:$N$425,K0kommunestruktur2020altern!K$3,FALSE)</f>
        <v>561</v>
      </c>
      <c r="L264" s="177">
        <f>VLOOKUP($A264,K0kommunestruktur2019!$A$4:$N$425,K0kommunestruktur2020altern!L$3,FALSE)</f>
        <v>14691</v>
      </c>
      <c r="M264" s="289">
        <f>VLOOKUP($A264,K0kommunestruktur2019!$A$4:$N$425,K0kommunestruktur2020altern!M$3,FALSE)</f>
        <v>562</v>
      </c>
      <c r="N264" s="177">
        <f>VLOOKUP($A264,K0kommunestruktur2019!$A$4:$N$425,K0kommunestruktur2020altern!N$3,FALSE)</f>
        <v>14851</v>
      </c>
      <c r="O264" s="289">
        <f>+'K20'!C264</f>
        <v>548</v>
      </c>
      <c r="P264" s="177">
        <f>+'K20'!Z264</f>
        <v>15842</v>
      </c>
      <c r="R264" s="517"/>
    </row>
    <row r="265" spans="1:18" ht="13">
      <c r="A265" s="865">
        <v>4634</v>
      </c>
      <c r="B265" s="866" t="s">
        <v>57</v>
      </c>
      <c r="C265" s="289">
        <f>VLOOKUP($A265,K0kommunestruktur2019!$A$4:$N$425,K0kommunestruktur2020altern!C$3,FALSE)</f>
        <v>1693</v>
      </c>
      <c r="D265" s="177">
        <f>VLOOKUP($A265,K0kommunestruktur2019!$A$4:$N$425,K0kommunestruktur2020altern!D$3,FALSE)</f>
        <v>50840</v>
      </c>
      <c r="E265" s="289">
        <f>VLOOKUP($A265,K0kommunestruktur2019!$A$4:$N$425,K0kommunestruktur2020altern!E$3,FALSE)</f>
        <v>1704</v>
      </c>
      <c r="F265" s="177">
        <f>VLOOKUP($A265,K0kommunestruktur2019!$A$4:$N$425,K0kommunestruktur2020altern!F$3,FALSE)</f>
        <v>51991</v>
      </c>
      <c r="G265" s="289">
        <f>VLOOKUP($A265,K0kommunestruktur2019!$A$4:$N$425,K0kommunestruktur2020altern!G$3,FALSE)</f>
        <v>1701</v>
      </c>
      <c r="H265" s="177">
        <f>VLOOKUP($A265,K0kommunestruktur2019!$A$4:$N$425,K0kommunestruktur2020altern!H$3,FALSE)</f>
        <v>54093</v>
      </c>
      <c r="I265" s="289">
        <f>VLOOKUP($A265,K0kommunestruktur2019!$A$4:$N$425,K0kommunestruktur2020altern!I$3,FALSE)</f>
        <v>1710</v>
      </c>
      <c r="J265" s="177">
        <f>VLOOKUP($A265,K0kommunestruktur2019!$A$4:$N$425,K0kommunestruktur2020altern!J$3,FALSE)</f>
        <v>54844</v>
      </c>
      <c r="K265" s="289">
        <f>VLOOKUP($A265,K0kommunestruktur2019!$A$4:$N$425,K0kommunestruktur2020altern!K$3,FALSE)</f>
        <v>1730</v>
      </c>
      <c r="L265" s="177">
        <f>VLOOKUP($A265,K0kommunestruktur2019!$A$4:$N$425,K0kommunestruktur2020altern!L$3,FALSE)</f>
        <v>55228</v>
      </c>
      <c r="M265" s="289">
        <f>VLOOKUP($A265,K0kommunestruktur2019!$A$4:$N$425,K0kommunestruktur2020altern!M$3,FALSE)</f>
        <v>1711</v>
      </c>
      <c r="N265" s="177">
        <f>VLOOKUP($A265,K0kommunestruktur2019!$A$4:$N$425,K0kommunestruktur2020altern!N$3,FALSE)</f>
        <v>58980</v>
      </c>
      <c r="O265" s="289">
        <f>+'K20'!C265</f>
        <v>1691</v>
      </c>
      <c r="P265" s="177">
        <f>+'K20'!Z265</f>
        <v>57444</v>
      </c>
      <c r="R265" s="517"/>
    </row>
    <row r="266" spans="1:18" ht="13">
      <c r="A266" s="865">
        <v>4635</v>
      </c>
      <c r="B266" s="866" t="s">
        <v>59</v>
      </c>
      <c r="C266" s="289">
        <f>VLOOKUP($A266,K0kommunestruktur2019!$A$4:$N$425,K0kommunestruktur2020altern!C$3,FALSE)</f>
        <v>2315</v>
      </c>
      <c r="D266" s="177">
        <f>VLOOKUP($A266,K0kommunestruktur2019!$A$4:$N$425,K0kommunestruktur2020altern!D$3,FALSE)</f>
        <v>61093</v>
      </c>
      <c r="E266" s="289">
        <f>VLOOKUP($A266,K0kommunestruktur2019!$A$4:$N$425,K0kommunestruktur2020altern!E$3,FALSE)</f>
        <v>2335</v>
      </c>
      <c r="F266" s="177">
        <f>VLOOKUP($A266,K0kommunestruktur2019!$A$4:$N$425,K0kommunestruktur2020altern!F$3,FALSE)</f>
        <v>62353</v>
      </c>
      <c r="G266" s="289">
        <f>VLOOKUP($A266,K0kommunestruktur2019!$A$4:$N$425,K0kommunestruktur2020altern!G$3,FALSE)</f>
        <v>2370</v>
      </c>
      <c r="H266" s="177">
        <f>VLOOKUP($A266,K0kommunestruktur2019!$A$4:$N$425,K0kommunestruktur2020altern!H$3,FALSE)</f>
        <v>71148</v>
      </c>
      <c r="I266" s="289">
        <f>VLOOKUP($A266,K0kommunestruktur2019!$A$4:$N$425,K0kommunestruktur2020altern!I$3,FALSE)</f>
        <v>2371</v>
      </c>
      <c r="J266" s="177">
        <f>VLOOKUP($A266,K0kommunestruktur2019!$A$4:$N$425,K0kommunestruktur2020altern!J$3,FALSE)</f>
        <v>70894</v>
      </c>
      <c r="K266" s="289">
        <f>VLOOKUP($A266,K0kommunestruktur2019!$A$4:$N$425,K0kommunestruktur2020altern!K$3,FALSE)</f>
        <v>2345</v>
      </c>
      <c r="L266" s="177">
        <f>VLOOKUP($A266,K0kommunestruktur2019!$A$4:$N$425,K0kommunestruktur2020altern!L$3,FALSE)</f>
        <v>66356</v>
      </c>
      <c r="M266" s="289">
        <f>VLOOKUP($A266,K0kommunestruktur2019!$A$4:$N$425,K0kommunestruktur2020altern!M$3,FALSE)</f>
        <v>2322</v>
      </c>
      <c r="N266" s="177">
        <f>VLOOKUP($A266,K0kommunestruktur2019!$A$4:$N$425,K0kommunestruktur2020altern!N$3,FALSE)</f>
        <v>75568</v>
      </c>
      <c r="O266" s="289">
        <f>+'K20'!C266</f>
        <v>2297</v>
      </c>
      <c r="P266" s="177">
        <f>+'K20'!Z266</f>
        <v>81292</v>
      </c>
      <c r="R266" s="517"/>
    </row>
    <row r="267" spans="1:18" ht="13">
      <c r="A267" s="865">
        <v>4636</v>
      </c>
      <c r="B267" s="866" t="s">
        <v>60</v>
      </c>
      <c r="C267" s="289">
        <f>VLOOKUP($A267,K0kommunestruktur2019!$A$4:$N$425,K0kommunestruktur2020altern!C$3,FALSE)</f>
        <v>815</v>
      </c>
      <c r="D267" s="177">
        <f>VLOOKUP($A267,K0kommunestruktur2019!$A$4:$N$425,K0kommunestruktur2020altern!D$3,FALSE)</f>
        <v>18381</v>
      </c>
      <c r="E267" s="289">
        <f>VLOOKUP($A267,K0kommunestruktur2019!$A$4:$N$425,K0kommunestruktur2020altern!E$3,FALSE)</f>
        <v>800</v>
      </c>
      <c r="F267" s="177">
        <f>VLOOKUP($A267,K0kommunestruktur2019!$A$4:$N$425,K0kommunestruktur2020altern!F$3,FALSE)</f>
        <v>19212</v>
      </c>
      <c r="G267" s="289">
        <f>VLOOKUP($A267,K0kommunestruktur2019!$A$4:$N$425,K0kommunestruktur2020altern!G$3,FALSE)</f>
        <v>785</v>
      </c>
      <c r="H267" s="177">
        <f>VLOOKUP($A267,K0kommunestruktur2019!$A$4:$N$425,K0kommunestruktur2020altern!H$3,FALSE)</f>
        <v>20256</v>
      </c>
      <c r="I267" s="289">
        <f>VLOOKUP($A267,K0kommunestruktur2019!$A$4:$N$425,K0kommunestruktur2020altern!I$3,FALSE)</f>
        <v>794</v>
      </c>
      <c r="J267" s="177">
        <f>VLOOKUP($A267,K0kommunestruktur2019!$A$4:$N$425,K0kommunestruktur2020altern!J$3,FALSE)</f>
        <v>21810</v>
      </c>
      <c r="K267" s="289">
        <f>VLOOKUP($A267,K0kommunestruktur2019!$A$4:$N$425,K0kommunestruktur2020altern!K$3,FALSE)</f>
        <v>807</v>
      </c>
      <c r="L267" s="177">
        <f>VLOOKUP($A267,K0kommunestruktur2019!$A$4:$N$425,K0kommunestruktur2020altern!L$3,FALSE)</f>
        <v>22900</v>
      </c>
      <c r="M267" s="289">
        <f>VLOOKUP($A267,K0kommunestruktur2019!$A$4:$N$425,K0kommunestruktur2020altern!M$3,FALSE)</f>
        <v>820</v>
      </c>
      <c r="N267" s="177">
        <f>VLOOKUP($A267,K0kommunestruktur2019!$A$4:$N$425,K0kommunestruktur2020altern!N$3,FALSE)</f>
        <v>24412</v>
      </c>
      <c r="O267" s="289">
        <f>+'K20'!C267</f>
        <v>802</v>
      </c>
      <c r="P267" s="177">
        <f>+'K20'!Z267</f>
        <v>24421</v>
      </c>
      <c r="R267" s="517"/>
    </row>
    <row r="268" spans="1:18" ht="13">
      <c r="A268" s="865">
        <v>4637</v>
      </c>
      <c r="B268" s="866" t="s">
        <v>61</v>
      </c>
      <c r="C268" s="289">
        <f>VLOOKUP($A268,K0kommunestruktur2019!$A$4:$N$425,K0kommunestruktur2020altern!C$3,FALSE)</f>
        <v>1391</v>
      </c>
      <c r="D268" s="177">
        <f>VLOOKUP($A268,K0kommunestruktur2019!$A$4:$N$425,K0kommunestruktur2020altern!D$3,FALSE)</f>
        <v>34485</v>
      </c>
      <c r="E268" s="289">
        <f>VLOOKUP($A268,K0kommunestruktur2019!$A$4:$N$425,K0kommunestruktur2020altern!E$3,FALSE)</f>
        <v>1405</v>
      </c>
      <c r="F268" s="177">
        <f>VLOOKUP($A268,K0kommunestruktur2019!$A$4:$N$425,K0kommunestruktur2020altern!F$3,FALSE)</f>
        <v>36501</v>
      </c>
      <c r="G268" s="289">
        <f>VLOOKUP($A268,K0kommunestruktur2019!$A$4:$N$425,K0kommunestruktur2020altern!G$3,FALSE)</f>
        <v>1395</v>
      </c>
      <c r="H268" s="177">
        <f>VLOOKUP($A268,K0kommunestruktur2019!$A$4:$N$425,K0kommunestruktur2020altern!H$3,FALSE)</f>
        <v>35334</v>
      </c>
      <c r="I268" s="289">
        <f>VLOOKUP($A268,K0kommunestruktur2019!$A$4:$N$425,K0kommunestruktur2020altern!I$3,FALSE)</f>
        <v>1438</v>
      </c>
      <c r="J268" s="177">
        <f>VLOOKUP($A268,K0kommunestruktur2019!$A$4:$N$425,K0kommunestruktur2020altern!J$3,FALSE)</f>
        <v>34994</v>
      </c>
      <c r="K268" s="289">
        <f>VLOOKUP($A268,K0kommunestruktur2019!$A$4:$N$425,K0kommunestruktur2020altern!K$3,FALSE)</f>
        <v>1378</v>
      </c>
      <c r="L268" s="177">
        <f>VLOOKUP($A268,K0kommunestruktur2019!$A$4:$N$425,K0kommunestruktur2020altern!L$3,FALSE)</f>
        <v>35150</v>
      </c>
      <c r="M268" s="289">
        <f>VLOOKUP($A268,K0kommunestruktur2019!$A$4:$N$425,K0kommunestruktur2020altern!M$3,FALSE)</f>
        <v>1366</v>
      </c>
      <c r="N268" s="177">
        <f>VLOOKUP($A268,K0kommunestruktur2019!$A$4:$N$425,K0kommunestruktur2020altern!N$3,FALSE)</f>
        <v>38793</v>
      </c>
      <c r="O268" s="289">
        <f>+'K20'!C268</f>
        <v>1328</v>
      </c>
      <c r="P268" s="177">
        <f>+'K20'!Z268</f>
        <v>42033</v>
      </c>
      <c r="R268" s="517"/>
    </row>
    <row r="269" spans="1:18" ht="13">
      <c r="A269" s="889">
        <v>4638</v>
      </c>
      <c r="B269" s="890" t="s">
        <v>62</v>
      </c>
      <c r="C269" s="289">
        <f t="shared" ref="C269:N269" si="36">+C$517+C$518</f>
        <v>4281.026583268178</v>
      </c>
      <c r="D269" s="177">
        <f t="shared" si="36"/>
        <v>104122.27148084441</v>
      </c>
      <c r="E269" s="289">
        <f t="shared" si="36"/>
        <v>4266.8764659890539</v>
      </c>
      <c r="F269" s="177">
        <f t="shared" si="36"/>
        <v>108516.6669022674</v>
      </c>
      <c r="G269" s="289">
        <f t="shared" si="36"/>
        <v>4258.1258795934327</v>
      </c>
      <c r="H269" s="177">
        <f t="shared" si="36"/>
        <v>112215.6669022674</v>
      </c>
      <c r="I269" s="289">
        <f t="shared" si="36"/>
        <v>4286.6755277560596</v>
      </c>
      <c r="J269" s="177">
        <f t="shared" si="36"/>
        <v>115612.57244096951</v>
      </c>
      <c r="K269" s="289">
        <f t="shared" si="36"/>
        <v>4248.7240031274432</v>
      </c>
      <c r="L269" s="177">
        <f t="shared" si="36"/>
        <v>125479.10555121189</v>
      </c>
      <c r="M269" s="289">
        <f t="shared" si="36"/>
        <v>4187</v>
      </c>
      <c r="N269" s="177">
        <f t="shared" si="36"/>
        <v>130273.26505082095</v>
      </c>
      <c r="O269" s="289">
        <f>+'K20'!C269</f>
        <v>4101</v>
      </c>
      <c r="P269" s="177">
        <f>+'K20'!Z269</f>
        <v>122174</v>
      </c>
      <c r="R269" s="517"/>
    </row>
    <row r="270" spans="1:18" ht="13">
      <c r="A270" s="865">
        <v>4639</v>
      </c>
      <c r="B270" s="866" t="s">
        <v>63</v>
      </c>
      <c r="C270" s="289">
        <f>VLOOKUP($A270,K0kommunestruktur2019!$A$4:$N$425,K0kommunestruktur2020altern!C$3,FALSE)</f>
        <v>2688</v>
      </c>
      <c r="D270" s="177">
        <f>VLOOKUP($A270,K0kommunestruktur2019!$A$4:$N$425,K0kommunestruktur2020altern!D$3,FALSE)</f>
        <v>68380</v>
      </c>
      <c r="E270" s="289">
        <f>VLOOKUP($A270,K0kommunestruktur2019!$A$4:$N$425,K0kommunestruktur2020altern!E$3,FALSE)</f>
        <v>2678</v>
      </c>
      <c r="F270" s="177">
        <f>VLOOKUP($A270,K0kommunestruktur2019!$A$4:$N$425,K0kommunestruktur2020altern!F$3,FALSE)</f>
        <v>70685</v>
      </c>
      <c r="G270" s="289">
        <f>VLOOKUP($A270,K0kommunestruktur2019!$A$4:$N$425,K0kommunestruktur2020altern!G$3,FALSE)</f>
        <v>2689</v>
      </c>
      <c r="H270" s="177">
        <f>VLOOKUP($A270,K0kommunestruktur2019!$A$4:$N$425,K0kommunestruktur2020altern!H$3,FALSE)</f>
        <v>77092</v>
      </c>
      <c r="I270" s="289">
        <f>VLOOKUP($A270,K0kommunestruktur2019!$A$4:$N$425,K0kommunestruktur2020altern!I$3,FALSE)</f>
        <v>2722</v>
      </c>
      <c r="J270" s="177">
        <f>VLOOKUP($A270,K0kommunestruktur2019!$A$4:$N$425,K0kommunestruktur2020altern!J$3,FALSE)</f>
        <v>79098</v>
      </c>
      <c r="K270" s="289">
        <f>VLOOKUP($A270,K0kommunestruktur2019!$A$4:$N$425,K0kommunestruktur2020altern!K$3,FALSE)</f>
        <v>2674</v>
      </c>
      <c r="L270" s="177">
        <f>VLOOKUP($A270,K0kommunestruktur2019!$A$4:$N$425,K0kommunestruktur2020altern!L$3,FALSE)</f>
        <v>82426</v>
      </c>
      <c r="M270" s="289">
        <f>VLOOKUP($A270,K0kommunestruktur2019!$A$4:$N$425,K0kommunestruktur2020altern!M$3,FALSE)</f>
        <v>2672</v>
      </c>
      <c r="N270" s="177">
        <f>VLOOKUP($A270,K0kommunestruktur2019!$A$4:$N$425,K0kommunestruktur2020altern!N$3,FALSE)</f>
        <v>83347</v>
      </c>
      <c r="O270" s="289">
        <f>+'K20'!C270</f>
        <v>2635</v>
      </c>
      <c r="P270" s="177">
        <f>+'K20'!Z270</f>
        <v>81521</v>
      </c>
      <c r="R270" s="517"/>
    </row>
    <row r="271" spans="1:18" ht="13">
      <c r="A271" s="878">
        <v>4640</v>
      </c>
      <c r="B271" s="883" t="s">
        <v>1637</v>
      </c>
      <c r="C271" s="289">
        <f t="shared" ref="C271:N271" si="37">+C$520+C$521+C$522+C$523</f>
        <v>11098.973416731822</v>
      </c>
      <c r="D271" s="177">
        <f t="shared" si="37"/>
        <v>245882.72851915559</v>
      </c>
      <c r="E271" s="289">
        <f t="shared" si="37"/>
        <v>11159.123534010945</v>
      </c>
      <c r="F271" s="177">
        <f t="shared" si="37"/>
        <v>256555.3330977326</v>
      </c>
      <c r="G271" s="289">
        <f t="shared" si="37"/>
        <v>11333.874120406568</v>
      </c>
      <c r="H271" s="177">
        <f t="shared" si="37"/>
        <v>288966.33309773263</v>
      </c>
      <c r="I271" s="289">
        <f t="shared" si="37"/>
        <v>11464.324472243941</v>
      </c>
      <c r="J271" s="177">
        <f t="shared" si="37"/>
        <v>301778.42755903048</v>
      </c>
      <c r="K271" s="289">
        <f t="shared" si="37"/>
        <v>11571.275996872557</v>
      </c>
      <c r="L271" s="177">
        <f t="shared" si="37"/>
        <v>322322.89444878814</v>
      </c>
      <c r="M271" s="289">
        <f t="shared" si="37"/>
        <v>11705</v>
      </c>
      <c r="N271" s="177">
        <f t="shared" si="37"/>
        <v>322828.73494917905</v>
      </c>
      <c r="O271" s="289">
        <f>+'K20'!C271</f>
        <v>11847</v>
      </c>
      <c r="P271" s="177">
        <f>+'K20'!Z271</f>
        <v>324061</v>
      </c>
      <c r="R271" s="517"/>
    </row>
    <row r="272" spans="1:18" ht="13">
      <c r="A272" s="865">
        <v>4641</v>
      </c>
      <c r="B272" s="866" t="s">
        <v>67</v>
      </c>
      <c r="C272" s="289">
        <f>VLOOKUP($A272,K0kommunestruktur2019!$A$4:$N$425,K0kommunestruktur2020altern!C$3,FALSE)</f>
        <v>1715</v>
      </c>
      <c r="D272" s="177">
        <f>VLOOKUP($A272,K0kommunestruktur2019!$A$4:$N$425,K0kommunestruktur2020altern!D$3,FALSE)</f>
        <v>71151</v>
      </c>
      <c r="E272" s="289">
        <f>VLOOKUP($A272,K0kommunestruktur2019!$A$4:$N$425,K0kommunestruktur2020altern!E$3,FALSE)</f>
        <v>1738</v>
      </c>
      <c r="F272" s="177">
        <f>VLOOKUP($A272,K0kommunestruktur2019!$A$4:$N$425,K0kommunestruktur2020altern!F$3,FALSE)</f>
        <v>72994</v>
      </c>
      <c r="G272" s="289">
        <f>VLOOKUP($A272,K0kommunestruktur2019!$A$4:$N$425,K0kommunestruktur2020altern!G$3,FALSE)</f>
        <v>1764</v>
      </c>
      <c r="H272" s="177">
        <f>VLOOKUP($A272,K0kommunestruktur2019!$A$4:$N$425,K0kommunestruktur2020altern!H$3,FALSE)</f>
        <v>77215</v>
      </c>
      <c r="I272" s="289">
        <f>VLOOKUP($A272,K0kommunestruktur2019!$A$4:$N$425,K0kommunestruktur2020altern!I$3,FALSE)</f>
        <v>1787</v>
      </c>
      <c r="J272" s="177">
        <f>VLOOKUP($A272,K0kommunestruktur2019!$A$4:$N$425,K0kommunestruktur2020altern!J$3,FALSE)</f>
        <v>81924</v>
      </c>
      <c r="K272" s="289">
        <f>VLOOKUP($A272,K0kommunestruktur2019!$A$4:$N$425,K0kommunestruktur2020altern!K$3,FALSE)</f>
        <v>1778</v>
      </c>
      <c r="L272" s="177">
        <f>VLOOKUP($A272,K0kommunestruktur2019!$A$4:$N$425,K0kommunestruktur2020altern!L$3,FALSE)</f>
        <v>85477</v>
      </c>
      <c r="M272" s="289">
        <f>VLOOKUP($A272,K0kommunestruktur2019!$A$4:$N$425,K0kommunestruktur2020altern!M$3,FALSE)</f>
        <v>1764</v>
      </c>
      <c r="N272" s="177">
        <f>VLOOKUP($A272,K0kommunestruktur2019!$A$4:$N$425,K0kommunestruktur2020altern!N$3,FALSE)</f>
        <v>85938</v>
      </c>
      <c r="O272" s="289">
        <f>+'K20'!C272</f>
        <v>1781</v>
      </c>
      <c r="P272" s="177">
        <f>+'K20'!Z272</f>
        <v>82877</v>
      </c>
      <c r="R272" s="517"/>
    </row>
    <row r="273" spans="1:18" ht="13">
      <c r="A273" s="865">
        <v>4642</v>
      </c>
      <c r="B273" s="866" t="s">
        <v>68</v>
      </c>
      <c r="C273" s="289">
        <f>VLOOKUP($A273,K0kommunestruktur2019!$A$4:$N$425,K0kommunestruktur2020altern!C$3,FALSE)</f>
        <v>2174</v>
      </c>
      <c r="D273" s="177">
        <f>VLOOKUP($A273,K0kommunestruktur2019!$A$4:$N$425,K0kommunestruktur2020altern!D$3,FALSE)</f>
        <v>64615</v>
      </c>
      <c r="E273" s="289">
        <f>VLOOKUP($A273,K0kommunestruktur2019!$A$4:$N$425,K0kommunestruktur2020altern!E$3,FALSE)</f>
        <v>2146</v>
      </c>
      <c r="F273" s="177">
        <f>VLOOKUP($A273,K0kommunestruktur2019!$A$4:$N$425,K0kommunestruktur2020altern!F$3,FALSE)</f>
        <v>65981</v>
      </c>
      <c r="G273" s="289">
        <f>VLOOKUP($A273,K0kommunestruktur2019!$A$4:$N$425,K0kommunestruktur2020altern!G$3,FALSE)</f>
        <v>2172</v>
      </c>
      <c r="H273" s="177">
        <f>VLOOKUP($A273,K0kommunestruktur2019!$A$4:$N$425,K0kommunestruktur2020altern!H$3,FALSE)</f>
        <v>68720</v>
      </c>
      <c r="I273" s="289">
        <f>VLOOKUP($A273,K0kommunestruktur2019!$A$4:$N$425,K0kommunestruktur2020altern!I$3,FALSE)</f>
        <v>2159</v>
      </c>
      <c r="J273" s="177">
        <f>VLOOKUP($A273,K0kommunestruktur2019!$A$4:$N$425,K0kommunestruktur2020altern!J$3,FALSE)</f>
        <v>68552</v>
      </c>
      <c r="K273" s="289">
        <f>VLOOKUP($A273,K0kommunestruktur2019!$A$4:$N$425,K0kommunestruktur2020altern!K$3,FALSE)</f>
        <v>2153</v>
      </c>
      <c r="L273" s="177">
        <f>VLOOKUP($A273,K0kommunestruktur2019!$A$4:$N$425,K0kommunestruktur2020altern!L$3,FALSE)</f>
        <v>75278</v>
      </c>
      <c r="M273" s="289">
        <f>VLOOKUP($A273,K0kommunestruktur2019!$A$4:$N$425,K0kommunestruktur2020altern!M$3,FALSE)</f>
        <v>2151</v>
      </c>
      <c r="N273" s="177">
        <f>VLOOKUP($A273,K0kommunestruktur2019!$A$4:$N$425,K0kommunestruktur2020altern!N$3,FALSE)</f>
        <v>75203</v>
      </c>
      <c r="O273" s="289">
        <f>+'K20'!C273</f>
        <v>2126</v>
      </c>
      <c r="P273" s="177">
        <f>+'K20'!Z273</f>
        <v>71408</v>
      </c>
      <c r="R273" s="517"/>
    </row>
    <row r="274" spans="1:18" ht="13">
      <c r="A274" s="865">
        <v>4643</v>
      </c>
      <c r="B274" s="866" t="s">
        <v>69</v>
      </c>
      <c r="C274" s="289">
        <f>VLOOKUP($A274,K0kommunestruktur2019!$A$4:$N$425,K0kommunestruktur2020altern!C$3,FALSE)</f>
        <v>5496</v>
      </c>
      <c r="D274" s="177">
        <f>VLOOKUP($A274,K0kommunestruktur2019!$A$4:$N$425,K0kommunestruktur2020altern!D$3,FALSE)</f>
        <v>145736</v>
      </c>
      <c r="E274" s="289">
        <f>VLOOKUP($A274,K0kommunestruktur2019!$A$4:$N$425,K0kommunestruktur2020altern!E$3,FALSE)</f>
        <v>5429</v>
      </c>
      <c r="F274" s="177">
        <f>VLOOKUP($A274,K0kommunestruktur2019!$A$4:$N$425,K0kommunestruktur2020altern!F$3,FALSE)</f>
        <v>151282</v>
      </c>
      <c r="G274" s="289">
        <f>VLOOKUP($A274,K0kommunestruktur2019!$A$4:$N$425,K0kommunestruktur2020altern!G$3,FALSE)</f>
        <v>5359</v>
      </c>
      <c r="H274" s="177">
        <f>VLOOKUP($A274,K0kommunestruktur2019!$A$4:$N$425,K0kommunestruktur2020altern!H$3,FALSE)</f>
        <v>163473</v>
      </c>
      <c r="I274" s="289">
        <f>VLOOKUP($A274,K0kommunestruktur2019!$A$4:$N$425,K0kommunestruktur2020altern!I$3,FALSE)</f>
        <v>5363</v>
      </c>
      <c r="J274" s="177">
        <f>VLOOKUP($A274,K0kommunestruktur2019!$A$4:$N$425,K0kommunestruktur2020altern!J$3,FALSE)</f>
        <v>168987</v>
      </c>
      <c r="K274" s="289">
        <f>VLOOKUP($A274,K0kommunestruktur2019!$A$4:$N$425,K0kommunestruktur2020altern!K$3,FALSE)</f>
        <v>5277</v>
      </c>
      <c r="L274" s="177">
        <f>VLOOKUP($A274,K0kommunestruktur2019!$A$4:$N$425,K0kommunestruktur2020altern!L$3,FALSE)</f>
        <v>176906</v>
      </c>
      <c r="M274" s="289">
        <f>VLOOKUP($A274,K0kommunestruktur2019!$A$4:$N$425,K0kommunestruktur2020altern!M$3,FALSE)</f>
        <v>5245</v>
      </c>
      <c r="N274" s="177">
        <f>VLOOKUP($A274,K0kommunestruktur2019!$A$4:$N$425,K0kommunestruktur2020altern!N$3,FALSE)</f>
        <v>182474</v>
      </c>
      <c r="O274" s="289">
        <f>+'K20'!C274</f>
        <v>5193</v>
      </c>
      <c r="P274" s="177">
        <f>+'K20'!Z274</f>
        <v>176766</v>
      </c>
      <c r="R274" s="517"/>
    </row>
    <row r="275" spans="1:18" ht="13">
      <c r="A275" s="865">
        <v>4644</v>
      </c>
      <c r="B275" s="866" t="s">
        <v>70</v>
      </c>
      <c r="C275" s="289">
        <f>VLOOKUP($A275,K0kommunestruktur2019!$A$4:$N$425,K0kommunestruktur2020altern!C$3,FALSE)</f>
        <v>5089</v>
      </c>
      <c r="D275" s="177">
        <f>VLOOKUP($A275,K0kommunestruktur2019!$A$4:$N$425,K0kommunestruktur2020altern!D$3,FALSE)</f>
        <v>136267</v>
      </c>
      <c r="E275" s="289">
        <f>VLOOKUP($A275,K0kommunestruktur2019!$A$4:$N$425,K0kommunestruktur2020altern!E$3,FALSE)</f>
        <v>5118</v>
      </c>
      <c r="F275" s="177">
        <f>VLOOKUP($A275,K0kommunestruktur2019!$A$4:$N$425,K0kommunestruktur2020altern!F$3,FALSE)</f>
        <v>137680</v>
      </c>
      <c r="G275" s="289">
        <f>VLOOKUP($A275,K0kommunestruktur2019!$A$4:$N$425,K0kommunestruktur2020altern!G$3,FALSE)</f>
        <v>5093</v>
      </c>
      <c r="H275" s="177">
        <f>VLOOKUP($A275,K0kommunestruktur2019!$A$4:$N$425,K0kommunestruktur2020altern!H$3,FALSE)</f>
        <v>149089</v>
      </c>
      <c r="I275" s="289">
        <f>VLOOKUP($A275,K0kommunestruktur2019!$A$4:$N$425,K0kommunestruktur2020altern!I$3,FALSE)</f>
        <v>5151</v>
      </c>
      <c r="J275" s="177">
        <f>VLOOKUP($A275,K0kommunestruktur2019!$A$4:$N$425,K0kommunestruktur2020altern!J$3,FALSE)</f>
        <v>154636</v>
      </c>
      <c r="K275" s="289">
        <f>VLOOKUP($A275,K0kommunestruktur2019!$A$4:$N$425,K0kommunestruktur2020altern!K$3,FALSE)</f>
        <v>5223</v>
      </c>
      <c r="L275" s="177">
        <f>VLOOKUP($A275,K0kommunestruktur2019!$A$4:$N$425,K0kommunestruktur2020altern!L$3,FALSE)</f>
        <v>159408</v>
      </c>
      <c r="M275" s="289">
        <f>VLOOKUP($A275,K0kommunestruktur2019!$A$4:$N$425,K0kommunestruktur2020altern!M$3,FALSE)</f>
        <v>5195</v>
      </c>
      <c r="N275" s="177">
        <f>VLOOKUP($A275,K0kommunestruktur2019!$A$4:$N$425,K0kommunestruktur2020altern!N$3,FALSE)</f>
        <v>160085</v>
      </c>
      <c r="O275" s="289">
        <f>+'K20'!C275</f>
        <v>5174</v>
      </c>
      <c r="P275" s="177">
        <f>+'K20'!Z275</f>
        <v>160782</v>
      </c>
      <c r="R275" s="517"/>
    </row>
    <row r="276" spans="1:18" ht="13">
      <c r="A276" s="865">
        <v>4645</v>
      </c>
      <c r="B276" s="866" t="s">
        <v>71</v>
      </c>
      <c r="C276" s="289">
        <f>VLOOKUP($A276,K0kommunestruktur2019!$A$4:$N$425,K0kommunestruktur2020altern!C$3,FALSE)</f>
        <v>3011</v>
      </c>
      <c r="D276" s="177">
        <f>VLOOKUP($A276,K0kommunestruktur2019!$A$4:$N$425,K0kommunestruktur2020altern!D$3,FALSE)</f>
        <v>59345</v>
      </c>
      <c r="E276" s="289">
        <f>VLOOKUP($A276,K0kommunestruktur2019!$A$4:$N$425,K0kommunestruktur2020altern!E$3,FALSE)</f>
        <v>3008</v>
      </c>
      <c r="F276" s="177">
        <f>VLOOKUP($A276,K0kommunestruktur2019!$A$4:$N$425,K0kommunestruktur2020altern!F$3,FALSE)</f>
        <v>64014</v>
      </c>
      <c r="G276" s="289">
        <f>VLOOKUP($A276,K0kommunestruktur2019!$A$4:$N$425,K0kommunestruktur2020altern!G$3,FALSE)</f>
        <v>3023</v>
      </c>
      <c r="H276" s="177">
        <f>VLOOKUP($A276,K0kommunestruktur2019!$A$4:$N$425,K0kommunestruktur2020altern!H$3,FALSE)</f>
        <v>71027</v>
      </c>
      <c r="I276" s="289">
        <f>VLOOKUP($A276,K0kommunestruktur2019!$A$4:$N$425,K0kommunestruktur2020altern!I$3,FALSE)</f>
        <v>3065</v>
      </c>
      <c r="J276" s="177">
        <f>VLOOKUP($A276,K0kommunestruktur2019!$A$4:$N$425,K0kommunestruktur2020altern!J$3,FALSE)</f>
        <v>72106</v>
      </c>
      <c r="K276" s="289">
        <f>VLOOKUP($A276,K0kommunestruktur2019!$A$4:$N$425,K0kommunestruktur2020altern!K$3,FALSE)</f>
        <v>3052</v>
      </c>
      <c r="L276" s="177">
        <f>VLOOKUP($A276,K0kommunestruktur2019!$A$4:$N$425,K0kommunestruktur2020altern!L$3,FALSE)</f>
        <v>73539</v>
      </c>
      <c r="M276" s="289">
        <f>VLOOKUP($A276,K0kommunestruktur2019!$A$4:$N$425,K0kommunestruktur2020altern!M$3,FALSE)</f>
        <v>3038</v>
      </c>
      <c r="N276" s="177">
        <f>VLOOKUP($A276,K0kommunestruktur2019!$A$4:$N$425,K0kommunestruktur2020altern!N$3,FALSE)</f>
        <v>79054</v>
      </c>
      <c r="O276" s="289">
        <f>+'K20'!C276</f>
        <v>3011</v>
      </c>
      <c r="P276" s="177">
        <f>+'K20'!Z276</f>
        <v>80393</v>
      </c>
      <c r="R276" s="517"/>
    </row>
    <row r="277" spans="1:18" ht="13">
      <c r="A277" s="865">
        <v>4646</v>
      </c>
      <c r="B277" s="866" t="s">
        <v>72</v>
      </c>
      <c r="C277" s="289">
        <f>VLOOKUP($A277,K0kommunestruktur2019!$A$4:$N$425,K0kommunestruktur2020altern!C$3,FALSE)</f>
        <v>2853</v>
      </c>
      <c r="D277" s="177">
        <f>VLOOKUP($A277,K0kommunestruktur2019!$A$4:$N$425,K0kommunestruktur2020altern!D$3,FALSE)</f>
        <v>54444</v>
      </c>
      <c r="E277" s="289">
        <f>VLOOKUP($A277,K0kommunestruktur2019!$A$4:$N$425,K0kommunestruktur2020altern!E$3,FALSE)</f>
        <v>2823</v>
      </c>
      <c r="F277" s="177">
        <f>VLOOKUP($A277,K0kommunestruktur2019!$A$4:$N$425,K0kommunestruktur2020altern!F$3,FALSE)</f>
        <v>56681</v>
      </c>
      <c r="G277" s="289">
        <f>VLOOKUP($A277,K0kommunestruktur2019!$A$4:$N$425,K0kommunestruktur2020altern!G$3,FALSE)</f>
        <v>2830</v>
      </c>
      <c r="H277" s="177">
        <f>VLOOKUP($A277,K0kommunestruktur2019!$A$4:$N$425,K0kommunestruktur2020altern!H$3,FALSE)</f>
        <v>64838</v>
      </c>
      <c r="I277" s="289">
        <f>VLOOKUP($A277,K0kommunestruktur2019!$A$4:$N$425,K0kommunestruktur2020altern!I$3,FALSE)</f>
        <v>2862</v>
      </c>
      <c r="J277" s="177">
        <f>VLOOKUP($A277,K0kommunestruktur2019!$A$4:$N$425,K0kommunestruktur2020altern!J$3,FALSE)</f>
        <v>65267</v>
      </c>
      <c r="K277" s="289">
        <f>VLOOKUP($A277,K0kommunestruktur2019!$A$4:$N$425,K0kommunestruktur2020altern!K$3,FALSE)</f>
        <v>2846</v>
      </c>
      <c r="L277" s="177">
        <f>VLOOKUP($A277,K0kommunestruktur2019!$A$4:$N$425,K0kommunestruktur2020altern!L$3,FALSE)</f>
        <v>63972</v>
      </c>
      <c r="M277" s="289">
        <f>VLOOKUP($A277,K0kommunestruktur2019!$A$4:$N$425,K0kommunestruktur2020altern!M$3,FALSE)</f>
        <v>2770</v>
      </c>
      <c r="N277" s="177">
        <f>VLOOKUP($A277,K0kommunestruktur2019!$A$4:$N$425,K0kommunestruktur2020altern!N$3,FALSE)</f>
        <v>67254</v>
      </c>
      <c r="O277" s="289">
        <f>+'K20'!C277</f>
        <v>2802</v>
      </c>
      <c r="P277" s="177">
        <f>+'K20'!Z277</f>
        <v>66853</v>
      </c>
      <c r="R277" s="517"/>
    </row>
    <row r="278" spans="1:18" ht="13">
      <c r="A278" s="878">
        <v>4647</v>
      </c>
      <c r="B278" s="883" t="s">
        <v>1638</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+'K20'!C278</f>
        <v>22030</v>
      </c>
      <c r="P278" s="177">
        <f>+'K20'!Z278</f>
        <v>635077</v>
      </c>
      <c r="R278" s="517"/>
    </row>
    <row r="279" spans="1:18" ht="13">
      <c r="A279" s="865">
        <v>4648</v>
      </c>
      <c r="B279" s="866" t="s">
        <v>77</v>
      </c>
      <c r="C279" s="289">
        <f>VLOOKUP($A279,K0kommunestruktur2019!$A$4:$N$425,K0kommunestruktur2020altern!C$3,FALSE)</f>
        <v>3950</v>
      </c>
      <c r="D279" s="177">
        <f>VLOOKUP($A279,K0kommunestruktur2019!$A$4:$N$425,K0kommunestruktur2020altern!D$3,FALSE)</f>
        <v>93322</v>
      </c>
      <c r="E279" s="289">
        <f>VLOOKUP($A279,K0kommunestruktur2019!$A$4:$N$425,K0kommunestruktur2020altern!E$3,FALSE)</f>
        <v>3890</v>
      </c>
      <c r="F279" s="177">
        <f>VLOOKUP($A279,K0kommunestruktur2019!$A$4:$N$425,K0kommunestruktur2020altern!F$3,FALSE)</f>
        <v>95883</v>
      </c>
      <c r="G279" s="289">
        <f>VLOOKUP($A279,K0kommunestruktur2019!$A$4:$N$425,K0kommunestruktur2020altern!G$3,FALSE)</f>
        <v>3846</v>
      </c>
      <c r="H279" s="177">
        <f>VLOOKUP($A279,K0kommunestruktur2019!$A$4:$N$425,K0kommunestruktur2020altern!H$3,FALSE)</f>
        <v>102127</v>
      </c>
      <c r="I279" s="289">
        <f>VLOOKUP($A279,K0kommunestruktur2019!$A$4:$N$425,K0kommunestruktur2020altern!I$3,FALSE)</f>
        <v>3847</v>
      </c>
      <c r="J279" s="177">
        <f>VLOOKUP($A279,K0kommunestruktur2019!$A$4:$N$425,K0kommunestruktur2020altern!J$3,FALSE)</f>
        <v>103184</v>
      </c>
      <c r="K279" s="289">
        <f>VLOOKUP($A279,K0kommunestruktur2019!$A$4:$N$425,K0kommunestruktur2020altern!K$3,FALSE)</f>
        <v>3767</v>
      </c>
      <c r="L279" s="177">
        <f>VLOOKUP($A279,K0kommunestruktur2019!$A$4:$N$425,K0kommunestruktur2020altern!L$3,FALSE)</f>
        <v>105303</v>
      </c>
      <c r="M279" s="289">
        <f>VLOOKUP($A279,K0kommunestruktur2019!$A$4:$N$425,K0kommunestruktur2020altern!M$3,FALSE)</f>
        <v>3705</v>
      </c>
      <c r="N279" s="177">
        <f>VLOOKUP($A279,K0kommunestruktur2019!$A$4:$N$425,K0kommunestruktur2020altern!N$3,FALSE)</f>
        <v>108267</v>
      </c>
      <c r="O279" s="289">
        <f>+'K20'!C279</f>
        <v>3629</v>
      </c>
      <c r="P279" s="177">
        <f>+'K20'!Z279</f>
        <v>112230</v>
      </c>
      <c r="R279" s="517"/>
    </row>
    <row r="280" spans="1:18" ht="13">
      <c r="A280" s="878">
        <v>4649</v>
      </c>
      <c r="B280" s="883" t="s">
        <v>1639</v>
      </c>
      <c r="C280" s="289">
        <f t="shared" ref="C280:N280" si="39">+C$531+C$532+C$533</f>
        <v>9233.4380234505861</v>
      </c>
      <c r="D280" s="177">
        <f t="shared" si="39"/>
        <v>194726.48241206032</v>
      </c>
      <c r="E280" s="289">
        <f t="shared" si="39"/>
        <v>9263.661641541039</v>
      </c>
      <c r="F280" s="177">
        <f t="shared" si="39"/>
        <v>204831.2596314908</v>
      </c>
      <c r="G280" s="289">
        <f t="shared" si="39"/>
        <v>9310.5561139028468</v>
      </c>
      <c r="H280" s="177">
        <f t="shared" si="39"/>
        <v>212942.70268006698</v>
      </c>
      <c r="I280" s="289">
        <f t="shared" si="39"/>
        <v>9375.2621440536022</v>
      </c>
      <c r="J280" s="177">
        <f t="shared" si="39"/>
        <v>224218.32663316582</v>
      </c>
      <c r="K280" s="289">
        <f t="shared" si="39"/>
        <v>9431.6742043551094</v>
      </c>
      <c r="L280" s="177">
        <f t="shared" si="39"/>
        <v>238563.00502512563</v>
      </c>
      <c r="M280" s="289">
        <f t="shared" si="39"/>
        <v>9413</v>
      </c>
      <c r="N280" s="177">
        <f t="shared" si="39"/>
        <v>251226.09212730319</v>
      </c>
      <c r="O280" s="289">
        <f>+'K20'!C280</f>
        <v>9457</v>
      </c>
      <c r="P280" s="177">
        <f>+'K20'!Z280</f>
        <v>239118</v>
      </c>
      <c r="R280" s="517"/>
    </row>
    <row r="281" spans="1:18" ht="13">
      <c r="A281" s="865">
        <v>4650</v>
      </c>
      <c r="B281" s="866" t="s">
        <v>82</v>
      </c>
      <c r="C281" s="289">
        <f>VLOOKUP($A281,K0kommunestruktur2019!$A$4:$N$425,K0kommunestruktur2020altern!C$3,FALSE)</f>
        <v>5694</v>
      </c>
      <c r="D281" s="177">
        <f>VLOOKUP($A281,K0kommunestruktur2019!$A$4:$N$425,K0kommunestruktur2020altern!D$3,FALSE)</f>
        <v>123868</v>
      </c>
      <c r="E281" s="289">
        <f>VLOOKUP($A281,K0kommunestruktur2019!$A$4:$N$425,K0kommunestruktur2020altern!E$3,FALSE)</f>
        <v>5751</v>
      </c>
      <c r="F281" s="177">
        <f>VLOOKUP($A281,K0kommunestruktur2019!$A$4:$N$425,K0kommunestruktur2020altern!F$3,FALSE)</f>
        <v>128806</v>
      </c>
      <c r="G281" s="289">
        <f>VLOOKUP($A281,K0kommunestruktur2019!$A$4:$N$425,K0kommunestruktur2020altern!G$3,FALSE)</f>
        <v>5784</v>
      </c>
      <c r="H281" s="177">
        <f>VLOOKUP($A281,K0kommunestruktur2019!$A$4:$N$425,K0kommunestruktur2020altern!H$3,FALSE)</f>
        <v>136750</v>
      </c>
      <c r="I281" s="289">
        <f>VLOOKUP($A281,K0kommunestruktur2019!$A$4:$N$425,K0kommunestruktur2020altern!I$3,FALSE)</f>
        <v>5783</v>
      </c>
      <c r="J281" s="177">
        <f>VLOOKUP($A281,K0kommunestruktur2019!$A$4:$N$425,K0kommunestruktur2020altern!J$3,FALSE)</f>
        <v>147153</v>
      </c>
      <c r="K281" s="289">
        <f>VLOOKUP($A281,K0kommunestruktur2019!$A$4:$N$425,K0kommunestruktur2020altern!K$3,FALSE)</f>
        <v>5874</v>
      </c>
      <c r="L281" s="177">
        <f>VLOOKUP($A281,K0kommunestruktur2019!$A$4:$N$425,K0kommunestruktur2020altern!L$3,FALSE)</f>
        <v>169864</v>
      </c>
      <c r="M281" s="289">
        <f>VLOOKUP($A281,K0kommunestruktur2019!$A$4:$N$425,K0kommunestruktur2020altern!M$3,FALSE)</f>
        <v>5836</v>
      </c>
      <c r="N281" s="177">
        <f>VLOOKUP($A281,K0kommunestruktur2019!$A$4:$N$425,K0kommunestruktur2020altern!N$3,FALSE)</f>
        <v>156649</v>
      </c>
      <c r="O281" s="289">
        <f>+'K20'!C281</f>
        <v>5854</v>
      </c>
      <c r="P281" s="177">
        <f>+'K20'!Z281</f>
        <v>145775</v>
      </c>
      <c r="R281" s="517"/>
    </row>
    <row r="282" spans="1:18" ht="13">
      <c r="A282" s="865">
        <v>4651</v>
      </c>
      <c r="B282" s="866" t="s">
        <v>83</v>
      </c>
      <c r="C282" s="289">
        <f>VLOOKUP($A282,K0kommunestruktur2019!$A$4:$N$425,K0kommunestruktur2020altern!C$3,FALSE)</f>
        <v>7148</v>
      </c>
      <c r="D282" s="177">
        <f>+K0kommunestruktur2019!D451</f>
        <v>151200</v>
      </c>
      <c r="E282" s="289">
        <f>VLOOKUP($A282,K0kommunestruktur2019!$A$4:$N$425,K0kommunestruktur2020altern!E$3,FALSE)</f>
        <v>7169</v>
      </c>
      <c r="F282" s="177">
        <f>+K0kommunestruktur2019!F451</f>
        <v>163009</v>
      </c>
      <c r="G282" s="289">
        <f>VLOOKUP($A282,K0kommunestruktur2019!$A$4:$N$425,K0kommunestruktur2020altern!G$3,FALSE)</f>
        <v>7182</v>
      </c>
      <c r="H282" s="177">
        <f>+K0kommunestruktur2019!H451</f>
        <v>178833</v>
      </c>
      <c r="I282" s="289">
        <f>VLOOKUP($A282,K0kommunestruktur2019!$A$4:$N$425,K0kommunestruktur2020altern!I$3,FALSE)</f>
        <v>7232</v>
      </c>
      <c r="J282" s="177">
        <f>+K0kommunestruktur2019!J451</f>
        <v>186231</v>
      </c>
      <c r="K282" s="289">
        <f>VLOOKUP($A282,K0kommunestruktur2019!$A$4:$N$425,K0kommunestruktur2020altern!K$3,FALSE)</f>
        <v>7209</v>
      </c>
      <c r="L282" s="177">
        <f>+K0kommunestruktur2019!L451</f>
        <v>181528</v>
      </c>
      <c r="M282" s="289">
        <f>VLOOKUP($A282,K0kommunestruktur2019!$A$4:$N$425,K0kommunestruktur2020altern!M$3,FALSE)</f>
        <v>7167</v>
      </c>
      <c r="N282" s="177">
        <f>VLOOKUP($A282,K0kommunestruktur2019!$A$4:$N$425,K0kommunestruktur2020altern!N$3,FALSE)</f>
        <v>190496</v>
      </c>
      <c r="O282" s="289">
        <f>+'K20'!C282</f>
        <v>7130</v>
      </c>
      <c r="P282" s="177">
        <f>+'K20'!Z282</f>
        <v>188692</v>
      </c>
      <c r="R282" s="517"/>
    </row>
    <row r="283" spans="1:18" ht="13">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+'K20'!C283</f>
        <v>205163</v>
      </c>
      <c r="P283" s="177">
        <f>+'K20'!Z283</f>
        <v>6382243</v>
      </c>
      <c r="R283" s="517"/>
    </row>
    <row r="284" spans="1:18" ht="13">
      <c r="A284" s="878">
        <v>5006</v>
      </c>
      <c r="B284" s="883" t="s">
        <v>1640</v>
      </c>
      <c r="C284" s="289">
        <f t="shared" ref="C284:N284" si="41">+C$538+C$539+C$540</f>
        <v>24046.90853409555</v>
      </c>
      <c r="D284" s="177">
        <f t="shared" si="41"/>
        <v>436534.13923274807</v>
      </c>
      <c r="E284" s="289">
        <f t="shared" si="41"/>
        <v>24127.318905675787</v>
      </c>
      <c r="F284" s="177">
        <f t="shared" si="41"/>
        <v>469494.90705757454</v>
      </c>
      <c r="G284" s="289">
        <f t="shared" si="41"/>
        <v>24238.866067782768</v>
      </c>
      <c r="H284" s="177">
        <f t="shared" si="41"/>
        <v>511362.55053491221</v>
      </c>
      <c r="I284" s="289">
        <f t="shared" si="41"/>
        <v>24418.194365046958</v>
      </c>
      <c r="J284" s="177">
        <f t="shared" si="41"/>
        <v>535184.47456839529</v>
      </c>
      <c r="K284" s="289">
        <f t="shared" si="41"/>
        <v>24501.34340547162</v>
      </c>
      <c r="L284" s="177">
        <f t="shared" si="41"/>
        <v>556784.64352797065</v>
      </c>
      <c r="M284" s="289">
        <f t="shared" si="41"/>
        <v>24472</v>
      </c>
      <c r="N284" s="177">
        <f t="shared" si="41"/>
        <v>573231.63046141283</v>
      </c>
      <c r="O284" s="289">
        <f>+'K20'!C284</f>
        <v>24357</v>
      </c>
      <c r="P284" s="177">
        <f>+'K20'!Z284</f>
        <v>573972</v>
      </c>
      <c r="R284" s="517"/>
    </row>
    <row r="285" spans="1:18" ht="13">
      <c r="A285" s="878">
        <v>5007</v>
      </c>
      <c r="B285" s="883" t="s">
        <v>1641</v>
      </c>
      <c r="C285" s="289">
        <f t="shared" ref="C285:N285" si="42">+C$543+C$544+C$545+C$546</f>
        <v>15451.919558359621</v>
      </c>
      <c r="D285" s="177">
        <f t="shared" si="42"/>
        <v>292612.63052050472</v>
      </c>
      <c r="E285" s="289">
        <f t="shared" si="42"/>
        <v>15351.090496845425</v>
      </c>
      <c r="F285" s="177">
        <f t="shared" si="42"/>
        <v>306321.55717665615</v>
      </c>
      <c r="G285" s="289">
        <f t="shared" si="42"/>
        <v>15316.542981072555</v>
      </c>
      <c r="H285" s="177">
        <f t="shared" si="42"/>
        <v>339202.20977917983</v>
      </c>
      <c r="I285" s="289">
        <f t="shared" si="42"/>
        <v>15323.663643533124</v>
      </c>
      <c r="J285" s="177">
        <f t="shared" si="42"/>
        <v>352283.4089116719</v>
      </c>
      <c r="K285" s="289">
        <f t="shared" si="42"/>
        <v>15332.452484227129</v>
      </c>
      <c r="L285" s="177">
        <f t="shared" si="42"/>
        <v>364447.19518927444</v>
      </c>
      <c r="M285" s="289">
        <f t="shared" si="42"/>
        <v>15345</v>
      </c>
      <c r="N285" s="177">
        <f t="shared" si="42"/>
        <v>387821.6535883281</v>
      </c>
      <c r="O285" s="289">
        <f>+'K20'!C285</f>
        <v>15230</v>
      </c>
      <c r="P285" s="177">
        <f>+'K20'!Z285</f>
        <v>379162</v>
      </c>
      <c r="R285" s="517"/>
    </row>
    <row r="286" spans="1:18" ht="13">
      <c r="A286" s="865">
        <v>5014</v>
      </c>
      <c r="B286" s="866" t="s">
        <v>122</v>
      </c>
      <c r="C286" s="289">
        <f>VLOOKUP($A286,K0kommunestruktur2019!$A$4:$N$425,K0kommunestruktur2020altern!C$3,FALSE)</f>
        <v>4547</v>
      </c>
      <c r="D286" s="177">
        <f>VLOOKUP($A286,K0kommunestruktur2019!$A$4:$N$425,K0kommunestruktur2020altern!D$3,FALSE)</f>
        <v>128168</v>
      </c>
      <c r="E286" s="289">
        <f>VLOOKUP($A286,K0kommunestruktur2019!$A$4:$N$425,K0kommunestruktur2020altern!E$3,FALSE)</f>
        <v>4634</v>
      </c>
      <c r="F286" s="177">
        <f>VLOOKUP($A286,K0kommunestruktur2019!$A$4:$N$425,K0kommunestruktur2020altern!F$3,FALSE)</f>
        <v>126174</v>
      </c>
      <c r="G286" s="289">
        <f>VLOOKUP($A286,K0kommunestruktur2019!$A$4:$N$425,K0kommunestruktur2020altern!G$3,FALSE)</f>
        <v>4799</v>
      </c>
      <c r="H286" s="177">
        <f>VLOOKUP($A286,K0kommunestruktur2019!$A$4:$N$425,K0kommunestruktur2020altern!H$3,FALSE)</f>
        <v>215057</v>
      </c>
      <c r="I286" s="289">
        <f>VLOOKUP($A286,K0kommunestruktur2019!$A$4:$N$425,K0kommunestruktur2020altern!I$3,FALSE)</f>
        <v>4937</v>
      </c>
      <c r="J286" s="177">
        <f>VLOOKUP($A286,K0kommunestruktur2019!$A$4:$N$425,K0kommunestruktur2020altern!J$3,FALSE)</f>
        <v>283115</v>
      </c>
      <c r="K286" s="289">
        <f>VLOOKUP($A286,K0kommunestruktur2019!$A$4:$N$425,K0kommunestruktur2020altern!K$3,FALSE)</f>
        <v>4962</v>
      </c>
      <c r="L286" s="177">
        <f>VLOOKUP($A286,K0kommunestruktur2019!$A$4:$N$425,K0kommunestruktur2020altern!L$3,FALSE)</f>
        <v>199096</v>
      </c>
      <c r="M286" s="289">
        <f>VLOOKUP($A286,K0kommunestruktur2019!$A$4:$N$425,K0kommunestruktur2020altern!M$3,FALSE)</f>
        <v>5068</v>
      </c>
      <c r="N286" s="177">
        <f>VLOOKUP($A286,K0kommunestruktur2019!$A$4:$N$425,K0kommunestruktur2020altern!N$3,FALSE)</f>
        <v>198503</v>
      </c>
      <c r="O286" s="289">
        <f>+'K20'!C286</f>
        <v>5151</v>
      </c>
      <c r="P286" s="177">
        <f>+'K20'!Z286</f>
        <v>389526</v>
      </c>
      <c r="R286" s="517"/>
    </row>
    <row r="287" spans="1:18" ht="13">
      <c r="A287" s="865">
        <v>5020</v>
      </c>
      <c r="B287" s="866" t="s">
        <v>129</v>
      </c>
      <c r="C287" s="289">
        <f>VLOOKUP($A287,K0kommunestruktur2019!$A$4:$N$425,K0kommunestruktur2020altern!C$3,FALSE)</f>
        <v>997</v>
      </c>
      <c r="D287" s="177">
        <f>VLOOKUP($A287,K0kommunestruktur2019!$A$4:$N$425,K0kommunestruktur2020altern!D$3,FALSE)</f>
        <v>16756</v>
      </c>
      <c r="E287" s="289">
        <f>VLOOKUP($A287,K0kommunestruktur2019!$A$4:$N$425,K0kommunestruktur2020altern!E$3,FALSE)</f>
        <v>1010</v>
      </c>
      <c r="F287" s="177">
        <f>VLOOKUP($A287,K0kommunestruktur2019!$A$4:$N$425,K0kommunestruktur2020altern!F$3,FALSE)</f>
        <v>18345</v>
      </c>
      <c r="G287" s="289">
        <f>VLOOKUP($A287,K0kommunestruktur2019!$A$4:$N$425,K0kommunestruktur2020altern!G$3,FALSE)</f>
        <v>976</v>
      </c>
      <c r="H287" s="177">
        <f>VLOOKUP($A287,K0kommunestruktur2019!$A$4:$N$425,K0kommunestruktur2020altern!H$3,FALSE)</f>
        <v>19657</v>
      </c>
      <c r="I287" s="289">
        <f>VLOOKUP($A287,K0kommunestruktur2019!$A$4:$N$425,K0kommunestruktur2020altern!I$3,FALSE)</f>
        <v>978</v>
      </c>
      <c r="J287" s="177">
        <f>VLOOKUP($A287,K0kommunestruktur2019!$A$4:$N$425,K0kommunestruktur2020altern!J$3,FALSE)</f>
        <v>21713</v>
      </c>
      <c r="K287" s="289">
        <f>VLOOKUP($A287,K0kommunestruktur2019!$A$4:$N$425,K0kommunestruktur2020altern!K$3,FALSE)</f>
        <v>967</v>
      </c>
      <c r="L287" s="177">
        <f>VLOOKUP($A287,K0kommunestruktur2019!$A$4:$N$425,K0kommunestruktur2020altern!L$3,FALSE)</f>
        <v>20690</v>
      </c>
      <c r="M287" s="289">
        <f>VLOOKUP($A287,K0kommunestruktur2019!$A$4:$N$425,K0kommunestruktur2020altern!M$3,FALSE)</f>
        <v>947</v>
      </c>
      <c r="N287" s="177">
        <f>VLOOKUP($A287,K0kommunestruktur2019!$A$4:$N$425,K0kommunestruktur2020altern!N$3,FALSE)</f>
        <v>22381</v>
      </c>
      <c r="O287" s="289">
        <f>+'K20'!C287</f>
        <v>948</v>
      </c>
      <c r="P287" s="177">
        <f>+'K20'!Z287</f>
        <v>21980</v>
      </c>
      <c r="R287" s="517"/>
    </row>
    <row r="288" spans="1:18" ht="13">
      <c r="A288" s="865">
        <v>5021</v>
      </c>
      <c r="B288" s="866" t="s">
        <v>130</v>
      </c>
      <c r="C288" s="289">
        <f>VLOOKUP($A288,K0kommunestruktur2019!$A$4:$N$425,K0kommunestruktur2020altern!C$3,FALSE)</f>
        <v>6814</v>
      </c>
      <c r="D288" s="177">
        <f>VLOOKUP($A288,K0kommunestruktur2019!$A$4:$N$425,K0kommunestruktur2020altern!D$3,FALSE)</f>
        <v>137555</v>
      </c>
      <c r="E288" s="289">
        <f>VLOOKUP($A288,K0kommunestruktur2019!$A$4:$N$425,K0kommunestruktur2020altern!E$3,FALSE)</f>
        <v>6852</v>
      </c>
      <c r="F288" s="177">
        <f>VLOOKUP($A288,K0kommunestruktur2019!$A$4:$N$425,K0kommunestruktur2020altern!F$3,FALSE)</f>
        <v>143069</v>
      </c>
      <c r="G288" s="289">
        <f>VLOOKUP($A288,K0kommunestruktur2019!$A$4:$N$425,K0kommunestruktur2020altern!G$3,FALSE)</f>
        <v>6886</v>
      </c>
      <c r="H288" s="177">
        <f>VLOOKUP($A288,K0kommunestruktur2019!$A$4:$N$425,K0kommunestruktur2020altern!H$3,FALSE)</f>
        <v>157388</v>
      </c>
      <c r="I288" s="289">
        <f>VLOOKUP($A288,K0kommunestruktur2019!$A$4:$N$425,K0kommunestruktur2020altern!I$3,FALSE)</f>
        <v>6973</v>
      </c>
      <c r="J288" s="177">
        <f>VLOOKUP($A288,K0kommunestruktur2019!$A$4:$N$425,K0kommunestruktur2020altern!J$3,FALSE)</f>
        <v>168825</v>
      </c>
      <c r="K288" s="289">
        <f>VLOOKUP($A288,K0kommunestruktur2019!$A$4:$N$425,K0kommunestruktur2020altern!K$3,FALSE)</f>
        <v>6970</v>
      </c>
      <c r="L288" s="177">
        <f>VLOOKUP($A288,K0kommunestruktur2019!$A$4:$N$425,K0kommunestruktur2020altern!L$3,FALSE)</f>
        <v>174333</v>
      </c>
      <c r="M288" s="289">
        <f>VLOOKUP($A288,K0kommunestruktur2019!$A$4:$N$425,K0kommunestruktur2020altern!M$3,FALSE)</f>
        <v>6975</v>
      </c>
      <c r="N288" s="177">
        <f>VLOOKUP($A288,K0kommunestruktur2019!$A$4:$N$425,K0kommunestruktur2020altern!N$3,FALSE)</f>
        <v>183551</v>
      </c>
      <c r="O288" s="289">
        <f>+'K20'!C288</f>
        <v>7001</v>
      </c>
      <c r="P288" s="177">
        <f>+'K20'!Z288</f>
        <v>191241</v>
      </c>
      <c r="R288" s="517"/>
    </row>
    <row r="289" spans="1:18" ht="13">
      <c r="A289" s="865">
        <v>5022</v>
      </c>
      <c r="B289" s="866" t="s">
        <v>131</v>
      </c>
      <c r="C289" s="289">
        <f>VLOOKUP($A289,K0kommunestruktur2019!$A$4:$N$425,K0kommunestruktur2020altern!C$3,FALSE)</f>
        <v>2556</v>
      </c>
      <c r="D289" s="177">
        <f>VLOOKUP($A289,K0kommunestruktur2019!$A$4:$N$425,K0kommunestruktur2020altern!D$3,FALSE)</f>
        <v>51530</v>
      </c>
      <c r="E289" s="289">
        <f>VLOOKUP($A289,K0kommunestruktur2019!$A$4:$N$425,K0kommunestruktur2020altern!E$3,FALSE)</f>
        <v>2567</v>
      </c>
      <c r="F289" s="177">
        <f>VLOOKUP($A289,K0kommunestruktur2019!$A$4:$N$425,K0kommunestruktur2020altern!F$3,FALSE)</f>
        <v>52413</v>
      </c>
      <c r="G289" s="289">
        <f>VLOOKUP($A289,K0kommunestruktur2019!$A$4:$N$425,K0kommunestruktur2020altern!G$3,FALSE)</f>
        <v>2562</v>
      </c>
      <c r="H289" s="177">
        <f>VLOOKUP($A289,K0kommunestruktur2019!$A$4:$N$425,K0kommunestruktur2020altern!H$3,FALSE)</f>
        <v>57456</v>
      </c>
      <c r="I289" s="289">
        <f>VLOOKUP($A289,K0kommunestruktur2019!$A$4:$N$425,K0kommunestruktur2020altern!I$3,FALSE)</f>
        <v>2556</v>
      </c>
      <c r="J289" s="177">
        <f>VLOOKUP($A289,K0kommunestruktur2019!$A$4:$N$425,K0kommunestruktur2020altern!J$3,FALSE)</f>
        <v>58411</v>
      </c>
      <c r="K289" s="289">
        <f>VLOOKUP($A289,K0kommunestruktur2019!$A$4:$N$425,K0kommunestruktur2020altern!K$3,FALSE)</f>
        <v>2541</v>
      </c>
      <c r="L289" s="177">
        <f>VLOOKUP($A289,K0kommunestruktur2019!$A$4:$N$425,K0kommunestruktur2020altern!L$3,FALSE)</f>
        <v>60864</v>
      </c>
      <c r="M289" s="289">
        <f>VLOOKUP($A289,K0kommunestruktur2019!$A$4:$N$425,K0kommunestruktur2020altern!M$3,FALSE)</f>
        <v>2501</v>
      </c>
      <c r="N289" s="177">
        <f>VLOOKUP($A289,K0kommunestruktur2019!$A$4:$N$425,K0kommunestruktur2020altern!N$3,FALSE)</f>
        <v>60102</v>
      </c>
      <c r="O289" s="289">
        <f>+'K20'!C289</f>
        <v>2486</v>
      </c>
      <c r="P289" s="177">
        <f>+'K20'!Z289</f>
        <v>58297</v>
      </c>
      <c r="R289" s="517"/>
    </row>
    <row r="290" spans="1:18" ht="13">
      <c r="A290" s="865">
        <v>5025</v>
      </c>
      <c r="B290" s="876" t="s">
        <v>134</v>
      </c>
      <c r="C290" s="289">
        <f>VLOOKUP($A290,K0kommunestruktur2019!$A$4:$N$425,K0kommunestruktur2020altern!C$3,FALSE)</f>
        <v>5583</v>
      </c>
      <c r="D290" s="177">
        <f>VLOOKUP($A290,K0kommunestruktur2019!$A$4:$N$425,K0kommunestruktur2020altern!D$3,FALSE)</f>
        <v>122917</v>
      </c>
      <c r="E290" s="289">
        <f>VLOOKUP($A290,K0kommunestruktur2019!$A$4:$N$425,K0kommunestruktur2020altern!E$3,FALSE)</f>
        <v>5593</v>
      </c>
      <c r="F290" s="177">
        <f>VLOOKUP($A290,K0kommunestruktur2019!$A$4:$N$425,K0kommunestruktur2020altern!F$3,FALSE)</f>
        <v>126206</v>
      </c>
      <c r="G290" s="289">
        <f>VLOOKUP($A290,K0kommunestruktur2019!$A$4:$N$425,K0kommunestruktur2020altern!G$3,FALSE)</f>
        <v>5635</v>
      </c>
      <c r="H290" s="177">
        <f>VLOOKUP($A290,K0kommunestruktur2019!$A$4:$N$425,K0kommunestruktur2020altern!H$3,FALSE)</f>
        <v>135849</v>
      </c>
      <c r="I290" s="289">
        <f>VLOOKUP($A290,K0kommunestruktur2019!$A$4:$N$425,K0kommunestruktur2020altern!I$3,FALSE)</f>
        <v>5623</v>
      </c>
      <c r="J290" s="177">
        <f>VLOOKUP($A290,K0kommunestruktur2019!$A$4:$N$425,K0kommunestruktur2020altern!J$3,FALSE)</f>
        <v>140005</v>
      </c>
      <c r="K290" s="289">
        <f>VLOOKUP($A290,K0kommunestruktur2019!$A$4:$N$425,K0kommunestruktur2020altern!K$3,FALSE)</f>
        <v>5663</v>
      </c>
      <c r="L290" s="177">
        <f>VLOOKUP($A290,K0kommunestruktur2019!$A$4:$N$425,K0kommunestruktur2020altern!L$3,FALSE)</f>
        <v>150634</v>
      </c>
      <c r="M290" s="289">
        <f>VLOOKUP($A290,K0kommunestruktur2019!$A$4:$N$425,K0kommunestruktur2020altern!M$3,FALSE)</f>
        <v>5610</v>
      </c>
      <c r="N290" s="177">
        <f>VLOOKUP($A290,K0kommunestruktur2019!$A$4:$N$425,K0kommunestruktur2020altern!N$3,FALSE)</f>
        <v>152303</v>
      </c>
      <c r="O290" s="289">
        <f>+'K20'!C290</f>
        <v>5581</v>
      </c>
      <c r="P290" s="177">
        <f>+'K20'!Z290</f>
        <v>149195</v>
      </c>
      <c r="R290" s="517"/>
    </row>
    <row r="291" spans="1:18" ht="13">
      <c r="A291" s="865">
        <v>5026</v>
      </c>
      <c r="B291" s="866" t="s">
        <v>135</v>
      </c>
      <c r="C291" s="289">
        <f>VLOOKUP($A291,K0kommunestruktur2019!$A$4:$N$425,K0kommunestruktur2020altern!C$3,FALSE)</f>
        <v>2024</v>
      </c>
      <c r="D291" s="177">
        <f>VLOOKUP($A291,K0kommunestruktur2019!$A$4:$N$425,K0kommunestruktur2020altern!D$3,FALSE)</f>
        <v>36840</v>
      </c>
      <c r="E291" s="289">
        <f>VLOOKUP($A291,K0kommunestruktur2019!$A$4:$N$425,K0kommunestruktur2020altern!E$3,FALSE)</f>
        <v>2014</v>
      </c>
      <c r="F291" s="177">
        <f>VLOOKUP($A291,K0kommunestruktur2019!$A$4:$N$425,K0kommunestruktur2020altern!F$3,FALSE)</f>
        <v>38051</v>
      </c>
      <c r="G291" s="289">
        <f>VLOOKUP($A291,K0kommunestruktur2019!$A$4:$N$425,K0kommunestruktur2020altern!G$3,FALSE)</f>
        <v>2031</v>
      </c>
      <c r="H291" s="177">
        <f>VLOOKUP($A291,K0kommunestruktur2019!$A$4:$N$425,K0kommunestruktur2020altern!H$3,FALSE)</f>
        <v>40877</v>
      </c>
      <c r="I291" s="289">
        <f>VLOOKUP($A291,K0kommunestruktur2019!$A$4:$N$425,K0kommunestruktur2020altern!I$3,FALSE)</f>
        <v>2046</v>
      </c>
      <c r="J291" s="177">
        <f>VLOOKUP($A291,K0kommunestruktur2019!$A$4:$N$425,K0kommunestruktur2020altern!J$3,FALSE)</f>
        <v>41668</v>
      </c>
      <c r="K291" s="289">
        <f>VLOOKUP($A291,K0kommunestruktur2019!$A$4:$N$425,K0kommunestruktur2020altern!K$3,FALSE)</f>
        <v>2028</v>
      </c>
      <c r="L291" s="177">
        <f>VLOOKUP($A291,K0kommunestruktur2019!$A$4:$N$425,K0kommunestruktur2020altern!L$3,FALSE)</f>
        <v>42917</v>
      </c>
      <c r="M291" s="289">
        <f>VLOOKUP($A291,K0kommunestruktur2019!$A$4:$N$425,K0kommunestruktur2020altern!M$3,FALSE)</f>
        <v>2025</v>
      </c>
      <c r="N291" s="177">
        <f>VLOOKUP($A291,K0kommunestruktur2019!$A$4:$N$425,K0kommunestruktur2020altern!N$3,FALSE)</f>
        <v>44918</v>
      </c>
      <c r="O291" s="289">
        <f>+'K20'!C291</f>
        <v>1981</v>
      </c>
      <c r="P291" s="177">
        <f>+'K20'!Z291</f>
        <v>45380</v>
      </c>
      <c r="R291" s="517"/>
    </row>
    <row r="292" spans="1:18" ht="13">
      <c r="A292" s="865">
        <v>5027</v>
      </c>
      <c r="B292" s="866" t="s">
        <v>136</v>
      </c>
      <c r="C292" s="289">
        <f>VLOOKUP($A292,K0kommunestruktur2019!$A$4:$N$425,K0kommunestruktur2020altern!C$3,FALSE)</f>
        <v>6361</v>
      </c>
      <c r="D292" s="177">
        <f>VLOOKUP($A292,K0kommunestruktur2019!$A$4:$N$425,K0kommunestruktur2020altern!D$3,FALSE)</f>
        <v>117036</v>
      </c>
      <c r="E292" s="289">
        <f>VLOOKUP($A292,K0kommunestruktur2019!$A$4:$N$425,K0kommunestruktur2020altern!E$3,FALSE)</f>
        <v>6336</v>
      </c>
      <c r="F292" s="177">
        <f>VLOOKUP($A292,K0kommunestruktur2019!$A$4:$N$425,K0kommunestruktur2020altern!F$3,FALSE)</f>
        <v>122762</v>
      </c>
      <c r="G292" s="289">
        <f>VLOOKUP($A292,K0kommunestruktur2019!$A$4:$N$425,K0kommunestruktur2020altern!G$3,FALSE)</f>
        <v>6298</v>
      </c>
      <c r="H292" s="177">
        <f>VLOOKUP($A292,K0kommunestruktur2019!$A$4:$N$425,K0kommunestruktur2020altern!H$3,FALSE)</f>
        <v>134262</v>
      </c>
      <c r="I292" s="289">
        <f>VLOOKUP($A292,K0kommunestruktur2019!$A$4:$N$425,K0kommunestruktur2020altern!I$3,FALSE)</f>
        <v>6319</v>
      </c>
      <c r="J292" s="177">
        <f>VLOOKUP($A292,K0kommunestruktur2019!$A$4:$N$425,K0kommunestruktur2020altern!J$3,FALSE)</f>
        <v>136088</v>
      </c>
      <c r="K292" s="289">
        <f>VLOOKUP($A292,K0kommunestruktur2019!$A$4:$N$425,K0kommunestruktur2020altern!K$3,FALSE)</f>
        <v>6225</v>
      </c>
      <c r="L292" s="177">
        <f>VLOOKUP($A292,K0kommunestruktur2019!$A$4:$N$425,K0kommunestruktur2020altern!L$3,FALSE)</f>
        <v>138350</v>
      </c>
      <c r="M292" s="289">
        <f>VLOOKUP($A292,K0kommunestruktur2019!$A$4:$N$425,K0kommunestruktur2020altern!M$3,FALSE)</f>
        <v>6246</v>
      </c>
      <c r="N292" s="177">
        <f>VLOOKUP($A292,K0kommunestruktur2019!$A$4:$N$425,K0kommunestruktur2020altern!N$3,FALSE)</f>
        <v>142650</v>
      </c>
      <c r="O292" s="289">
        <f>+'K20'!C292</f>
        <v>6238</v>
      </c>
      <c r="P292" s="177">
        <f>+'K20'!Z292</f>
        <v>143443</v>
      </c>
      <c r="R292" s="517"/>
    </row>
    <row r="293" spans="1:18" ht="13">
      <c r="A293" s="865">
        <v>5028</v>
      </c>
      <c r="B293" s="866" t="s">
        <v>137</v>
      </c>
      <c r="C293" s="289">
        <f>VLOOKUP($A293,K0kommunestruktur2019!$A$4:$N$425,K0kommunestruktur2020altern!C$3,FALSE)</f>
        <v>15844</v>
      </c>
      <c r="D293" s="177">
        <f>VLOOKUP($A293,K0kommunestruktur2019!$A$4:$N$425,K0kommunestruktur2020altern!D$3,FALSE)</f>
        <v>325097</v>
      </c>
      <c r="E293" s="289">
        <f>VLOOKUP($A293,K0kommunestruktur2019!$A$4:$N$425,K0kommunestruktur2020altern!E$3,FALSE)</f>
        <v>15916</v>
      </c>
      <c r="F293" s="177">
        <f>VLOOKUP($A293,K0kommunestruktur2019!$A$4:$N$425,K0kommunestruktur2020altern!F$3,FALSE)</f>
        <v>336584</v>
      </c>
      <c r="G293" s="289">
        <f>VLOOKUP($A293,K0kommunestruktur2019!$A$4:$N$425,K0kommunestruktur2020altern!G$3,FALSE)</f>
        <v>16096</v>
      </c>
      <c r="H293" s="177">
        <f>VLOOKUP($A293,K0kommunestruktur2019!$A$4:$N$425,K0kommunestruktur2020altern!H$3,FALSE)</f>
        <v>363387</v>
      </c>
      <c r="I293" s="289">
        <f>VLOOKUP($A293,K0kommunestruktur2019!$A$4:$N$425,K0kommunestruktur2020altern!I$3,FALSE)</f>
        <v>16213</v>
      </c>
      <c r="J293" s="177">
        <f>VLOOKUP($A293,K0kommunestruktur2019!$A$4:$N$425,K0kommunestruktur2020altern!J$3,FALSE)</f>
        <v>384271</v>
      </c>
      <c r="K293" s="289">
        <f>VLOOKUP($A293,K0kommunestruktur2019!$A$4:$N$425,K0kommunestruktur2020altern!K$3,FALSE)</f>
        <v>16424</v>
      </c>
      <c r="L293" s="177">
        <f>VLOOKUP($A293,K0kommunestruktur2019!$A$4:$N$425,K0kommunestruktur2020altern!L$3,FALSE)</f>
        <v>405508</v>
      </c>
      <c r="M293" s="289">
        <f>VLOOKUP($A293,K0kommunestruktur2019!$A$4:$N$425,K0kommunestruktur2020altern!M$3,FALSE)</f>
        <v>16562</v>
      </c>
      <c r="N293" s="177">
        <f>VLOOKUP($A293,K0kommunestruktur2019!$A$4:$N$425,K0kommunestruktur2020altern!N$3,FALSE)</f>
        <v>424578</v>
      </c>
      <c r="O293" s="289">
        <f>+'K20'!C293</f>
        <v>16733</v>
      </c>
      <c r="P293" s="177">
        <f>+'K20'!Z293</f>
        <v>413343</v>
      </c>
      <c r="R293" s="517"/>
    </row>
    <row r="294" spans="1:18" ht="13">
      <c r="A294" s="865">
        <v>5029</v>
      </c>
      <c r="B294" s="866" t="s">
        <v>138</v>
      </c>
      <c r="C294" s="289">
        <f>VLOOKUP($A294,K0kommunestruktur2019!$A$4:$N$425,K0kommunestruktur2020altern!C$3,FALSE)</f>
        <v>7392</v>
      </c>
      <c r="D294" s="177">
        <f>VLOOKUP($A294,K0kommunestruktur2019!$A$4:$N$425,K0kommunestruktur2020altern!D$3,FALSE)</f>
        <v>141880</v>
      </c>
      <c r="E294" s="289">
        <f>VLOOKUP($A294,K0kommunestruktur2019!$A$4:$N$425,K0kommunestruktur2020altern!E$3,FALSE)</f>
        <v>7668</v>
      </c>
      <c r="F294" s="177">
        <f>VLOOKUP($A294,K0kommunestruktur2019!$A$4:$N$425,K0kommunestruktur2020altern!F$3,FALSE)</f>
        <v>154041</v>
      </c>
      <c r="G294" s="289">
        <f>VLOOKUP($A294,K0kommunestruktur2019!$A$4:$N$425,K0kommunestruktur2020altern!G$3,FALSE)</f>
        <v>7755</v>
      </c>
      <c r="H294" s="177">
        <f>VLOOKUP($A294,K0kommunestruktur2019!$A$4:$N$425,K0kommunestruktur2020altern!H$3,FALSE)</f>
        <v>170390</v>
      </c>
      <c r="I294" s="289">
        <f>VLOOKUP($A294,K0kommunestruktur2019!$A$4:$N$425,K0kommunestruktur2020altern!I$3,FALSE)</f>
        <v>8000</v>
      </c>
      <c r="J294" s="177">
        <f>VLOOKUP($A294,K0kommunestruktur2019!$A$4:$N$425,K0kommunestruktur2020altern!J$3,FALSE)</f>
        <v>185257</v>
      </c>
      <c r="K294" s="289">
        <f>VLOOKUP($A294,K0kommunestruktur2019!$A$4:$N$425,K0kommunestruktur2020altern!K$3,FALSE)</f>
        <v>8142</v>
      </c>
      <c r="L294" s="177">
        <f>VLOOKUP($A294,K0kommunestruktur2019!$A$4:$N$425,K0kommunestruktur2020altern!L$3,FALSE)</f>
        <v>194457</v>
      </c>
      <c r="M294" s="289">
        <f>VLOOKUP($A294,K0kommunestruktur2019!$A$4:$N$425,K0kommunestruktur2020altern!M$3,FALSE)</f>
        <v>8231</v>
      </c>
      <c r="N294" s="177">
        <f>VLOOKUP($A294,K0kommunestruktur2019!$A$4:$N$425,K0kommunestruktur2020altern!N$3,FALSE)</f>
        <v>202229</v>
      </c>
      <c r="O294" s="289">
        <f>+'K20'!C294</f>
        <v>8325</v>
      </c>
      <c r="P294" s="177">
        <f>+'K20'!Z294</f>
        <v>203063</v>
      </c>
      <c r="R294" s="517"/>
    </row>
    <row r="295" spans="1:18" ht="13">
      <c r="A295" s="865">
        <v>5031</v>
      </c>
      <c r="B295" s="866" t="s">
        <v>141</v>
      </c>
      <c r="C295" s="289">
        <f>VLOOKUP($A295,K0kommunestruktur2019!$A$4:$N$425,K0kommunestruktur2020altern!C$3,FALSE)</f>
        <v>13371</v>
      </c>
      <c r="D295" s="177">
        <f>VLOOKUP($A295,K0kommunestruktur2019!$A$4:$N$425,K0kommunestruktur2020altern!D$3,FALSE)</f>
        <v>308238</v>
      </c>
      <c r="E295" s="289">
        <f>VLOOKUP($A295,K0kommunestruktur2019!$A$4:$N$425,K0kommunestruktur2020altern!E$3,FALSE)</f>
        <v>13498</v>
      </c>
      <c r="F295" s="177">
        <f>VLOOKUP($A295,K0kommunestruktur2019!$A$4:$N$425,K0kommunestruktur2020altern!F$3,FALSE)</f>
        <v>318663</v>
      </c>
      <c r="G295" s="289">
        <f>VLOOKUP($A295,K0kommunestruktur2019!$A$4:$N$425,K0kommunestruktur2020altern!G$3,FALSE)</f>
        <v>13738</v>
      </c>
      <c r="H295" s="177">
        <f>VLOOKUP($A295,K0kommunestruktur2019!$A$4:$N$425,K0kommunestruktur2020altern!H$3,FALSE)</f>
        <v>359450</v>
      </c>
      <c r="I295" s="289">
        <f>VLOOKUP($A295,K0kommunestruktur2019!$A$4:$N$425,K0kommunestruktur2020altern!I$3,FALSE)</f>
        <v>13820</v>
      </c>
      <c r="J295" s="177">
        <f>VLOOKUP($A295,K0kommunestruktur2019!$A$4:$N$425,K0kommunestruktur2020altern!J$3,FALSE)</f>
        <v>368227</v>
      </c>
      <c r="K295" s="289">
        <f>VLOOKUP($A295,K0kommunestruktur2019!$A$4:$N$425,K0kommunestruktur2020altern!K$3,FALSE)</f>
        <v>13958</v>
      </c>
      <c r="L295" s="177">
        <f>VLOOKUP($A295,K0kommunestruktur2019!$A$4:$N$425,K0kommunestruktur2020altern!L$3,FALSE)</f>
        <v>397644</v>
      </c>
      <c r="M295" s="289">
        <f>VLOOKUP($A295,K0kommunestruktur2019!$A$4:$N$425,K0kommunestruktur2020altern!M$3,FALSE)</f>
        <v>14040</v>
      </c>
      <c r="N295" s="177">
        <f>VLOOKUP($A295,K0kommunestruktur2019!$A$4:$N$425,K0kommunestruktur2020altern!N$3,FALSE)</f>
        <v>412157</v>
      </c>
      <c r="O295" s="289">
        <f>+'K20'!C295</f>
        <v>14148</v>
      </c>
      <c r="P295" s="177">
        <f>+'K20'!Z295</f>
        <v>408135</v>
      </c>
      <c r="R295" s="517"/>
    </row>
    <row r="296" spans="1:18" ht="13">
      <c r="A296" s="865">
        <v>5032</v>
      </c>
      <c r="B296" s="866" t="s">
        <v>142</v>
      </c>
      <c r="C296" s="289">
        <f>VLOOKUP($A296,K0kommunestruktur2019!$A$4:$N$425,K0kommunestruktur2020altern!C$3,FALSE)</f>
        <v>4030</v>
      </c>
      <c r="D296" s="177">
        <f>VLOOKUP($A296,K0kommunestruktur2019!$A$4:$N$425,K0kommunestruktur2020altern!D$3,FALSE)</f>
        <v>79555</v>
      </c>
      <c r="E296" s="289">
        <f>VLOOKUP($A296,K0kommunestruktur2019!$A$4:$N$425,K0kommunestruktur2020altern!E$3,FALSE)</f>
        <v>4078</v>
      </c>
      <c r="F296" s="177">
        <f>VLOOKUP($A296,K0kommunestruktur2019!$A$4:$N$425,K0kommunestruktur2020altern!F$3,FALSE)</f>
        <v>84730</v>
      </c>
      <c r="G296" s="289">
        <f>VLOOKUP($A296,K0kommunestruktur2019!$A$4:$N$425,K0kommunestruktur2020altern!G$3,FALSE)</f>
        <v>4132</v>
      </c>
      <c r="H296" s="177">
        <f>VLOOKUP($A296,K0kommunestruktur2019!$A$4:$N$425,K0kommunestruktur2020altern!H$3,FALSE)</f>
        <v>91266</v>
      </c>
      <c r="I296" s="289">
        <f>VLOOKUP($A296,K0kommunestruktur2019!$A$4:$N$425,K0kommunestruktur2020altern!I$3,FALSE)</f>
        <v>4098</v>
      </c>
      <c r="J296" s="177">
        <f>VLOOKUP($A296,K0kommunestruktur2019!$A$4:$N$425,K0kommunestruktur2020altern!J$3,FALSE)</f>
        <v>94622</v>
      </c>
      <c r="K296" s="289">
        <f>VLOOKUP($A296,K0kommunestruktur2019!$A$4:$N$425,K0kommunestruktur2020altern!K$3,FALSE)</f>
        <v>4093</v>
      </c>
      <c r="L296" s="177">
        <f>VLOOKUP($A296,K0kommunestruktur2019!$A$4:$N$425,K0kommunestruktur2020altern!L$3,FALSE)</f>
        <v>97338</v>
      </c>
      <c r="M296" s="289">
        <f>VLOOKUP($A296,K0kommunestruktur2019!$A$4:$N$425,K0kommunestruktur2020altern!M$3,FALSE)</f>
        <v>4088</v>
      </c>
      <c r="N296" s="177">
        <f>VLOOKUP($A296,K0kommunestruktur2019!$A$4:$N$425,K0kommunestruktur2020altern!N$3,FALSE)</f>
        <v>100209</v>
      </c>
      <c r="O296" s="289">
        <f>+'K20'!C296</f>
        <v>4062</v>
      </c>
      <c r="P296" s="177">
        <f>+'K20'!Z296</f>
        <v>102099</v>
      </c>
      <c r="R296" s="517"/>
    </row>
    <row r="297" spans="1:18" ht="13">
      <c r="A297" s="865">
        <v>5033</v>
      </c>
      <c r="B297" s="866" t="s">
        <v>143</v>
      </c>
      <c r="C297" s="289">
        <f>VLOOKUP($A297,K0kommunestruktur2019!$A$4:$N$425,K0kommunestruktur2020altern!C$3,FALSE)</f>
        <v>864</v>
      </c>
      <c r="D297" s="177">
        <f>VLOOKUP($A297,K0kommunestruktur2019!$A$4:$N$425,K0kommunestruktur2020altern!D$3,FALSE)</f>
        <v>30854</v>
      </c>
      <c r="E297" s="289">
        <f>VLOOKUP($A297,K0kommunestruktur2019!$A$4:$N$425,K0kommunestruktur2020altern!E$3,FALSE)</f>
        <v>863</v>
      </c>
      <c r="F297" s="177">
        <f>VLOOKUP($A297,K0kommunestruktur2019!$A$4:$N$425,K0kommunestruktur2020altern!F$3,FALSE)</f>
        <v>32527</v>
      </c>
      <c r="G297" s="289">
        <f>VLOOKUP($A297,K0kommunestruktur2019!$A$4:$N$425,K0kommunestruktur2020altern!G$3,FALSE)</f>
        <v>851</v>
      </c>
      <c r="H297" s="177">
        <f>VLOOKUP($A297,K0kommunestruktur2019!$A$4:$N$425,K0kommunestruktur2020altern!H$3,FALSE)</f>
        <v>33235</v>
      </c>
      <c r="I297" s="289">
        <f>VLOOKUP($A297,K0kommunestruktur2019!$A$4:$N$425,K0kommunestruktur2020altern!I$3,FALSE)</f>
        <v>861</v>
      </c>
      <c r="J297" s="177">
        <f>VLOOKUP($A297,K0kommunestruktur2019!$A$4:$N$425,K0kommunestruktur2020altern!J$3,FALSE)</f>
        <v>33121</v>
      </c>
      <c r="K297" s="289">
        <f>VLOOKUP($A297,K0kommunestruktur2019!$A$4:$N$425,K0kommunestruktur2020altern!K$3,FALSE)</f>
        <v>834</v>
      </c>
      <c r="L297" s="177">
        <f>VLOOKUP($A297,K0kommunestruktur2019!$A$4:$N$425,K0kommunestruktur2020altern!L$3,FALSE)</f>
        <v>34850</v>
      </c>
      <c r="M297" s="289">
        <f>VLOOKUP($A297,K0kommunestruktur2019!$A$4:$N$425,K0kommunestruktur2020altern!M$3,FALSE)</f>
        <v>794</v>
      </c>
      <c r="N297" s="177">
        <f>VLOOKUP($A297,K0kommunestruktur2019!$A$4:$N$425,K0kommunestruktur2020altern!N$3,FALSE)</f>
        <v>35054</v>
      </c>
      <c r="O297" s="289">
        <f>+'K20'!C297</f>
        <v>769</v>
      </c>
      <c r="P297" s="177">
        <f>+'K20'!Z297</f>
        <v>32995</v>
      </c>
      <c r="R297" s="517"/>
    </row>
    <row r="298" spans="1:18" ht="13">
      <c r="A298" s="865">
        <v>5034</v>
      </c>
      <c r="B298" s="866" t="s">
        <v>146</v>
      </c>
      <c r="C298" s="289">
        <f>VLOOKUP($A298,K0kommunestruktur2019!$A$4:$N$425,K0kommunestruktur2020altern!C$3,FALSE)</f>
        <v>2553</v>
      </c>
      <c r="D298" s="177">
        <f>VLOOKUP($A298,K0kommunestruktur2019!$A$4:$N$425,K0kommunestruktur2020altern!D$3,FALSE)</f>
        <v>48534</v>
      </c>
      <c r="E298" s="289">
        <f>VLOOKUP($A298,K0kommunestruktur2019!$A$4:$N$425,K0kommunestruktur2020altern!E$3,FALSE)</f>
        <v>2558</v>
      </c>
      <c r="F298" s="177">
        <f>VLOOKUP($A298,K0kommunestruktur2019!$A$4:$N$425,K0kommunestruktur2020altern!F$3,FALSE)</f>
        <v>51352</v>
      </c>
      <c r="G298" s="289">
        <f>VLOOKUP($A298,K0kommunestruktur2019!$A$4:$N$425,K0kommunestruktur2020altern!G$3,FALSE)</f>
        <v>2523</v>
      </c>
      <c r="H298" s="177">
        <f>VLOOKUP($A298,K0kommunestruktur2019!$A$4:$N$425,K0kommunestruktur2020altern!H$3,FALSE)</f>
        <v>53590</v>
      </c>
      <c r="I298" s="289">
        <f>VLOOKUP($A298,K0kommunestruktur2019!$A$4:$N$425,K0kommunestruktur2020altern!I$3,FALSE)</f>
        <v>2508</v>
      </c>
      <c r="J298" s="177">
        <f>VLOOKUP($A298,K0kommunestruktur2019!$A$4:$N$425,K0kommunestruktur2020altern!J$3,FALSE)</f>
        <v>54417</v>
      </c>
      <c r="K298" s="289">
        <f>VLOOKUP($A298,K0kommunestruktur2019!$A$4:$N$425,K0kommunestruktur2020altern!K$3,FALSE)</f>
        <v>2469</v>
      </c>
      <c r="L298" s="177">
        <f>VLOOKUP($A298,K0kommunestruktur2019!$A$4:$N$425,K0kommunestruktur2020altern!L$3,FALSE)</f>
        <v>57823</v>
      </c>
      <c r="M298" s="289">
        <f>VLOOKUP($A298,K0kommunestruktur2019!$A$4:$N$425,K0kommunestruktur2020altern!M$3,FALSE)</f>
        <v>2432</v>
      </c>
      <c r="N298" s="177">
        <f>VLOOKUP($A298,K0kommunestruktur2019!$A$4:$N$425,K0kommunestruktur2020altern!N$3,FALSE)</f>
        <v>57334</v>
      </c>
      <c r="O298" s="289">
        <f>+'K20'!C298</f>
        <v>2422</v>
      </c>
      <c r="P298" s="177">
        <f>+'K20'!Z298</f>
        <v>55743</v>
      </c>
      <c r="R298" s="517"/>
    </row>
    <row r="299" spans="1:18" ht="13">
      <c r="A299" s="865">
        <v>5035</v>
      </c>
      <c r="B299" s="866" t="s">
        <v>147</v>
      </c>
      <c r="C299" s="289">
        <f>VLOOKUP($A299,K0kommunestruktur2019!$A$4:$N$425,K0kommunestruktur2020altern!C$3,FALSE)</f>
        <v>22683</v>
      </c>
      <c r="D299" s="177">
        <f>VLOOKUP($A299,K0kommunestruktur2019!$A$4:$N$425,K0kommunestruktur2020altern!D$3,FALSE)</f>
        <v>461772</v>
      </c>
      <c r="E299" s="289">
        <f>VLOOKUP($A299,K0kommunestruktur2019!$A$4:$N$425,K0kommunestruktur2020altern!E$3,FALSE)</f>
        <v>22957</v>
      </c>
      <c r="F299" s="177">
        <f>VLOOKUP($A299,K0kommunestruktur2019!$A$4:$N$425,K0kommunestruktur2020altern!F$3,FALSE)</f>
        <v>500584</v>
      </c>
      <c r="G299" s="289">
        <f>VLOOKUP($A299,K0kommunestruktur2019!$A$4:$N$425,K0kommunestruktur2020altern!G$3,FALSE)</f>
        <v>23308</v>
      </c>
      <c r="H299" s="177">
        <f>VLOOKUP($A299,K0kommunestruktur2019!$A$4:$N$425,K0kommunestruktur2020altern!H$3,FALSE)</f>
        <v>539672</v>
      </c>
      <c r="I299" s="289">
        <f>VLOOKUP($A299,K0kommunestruktur2019!$A$4:$N$425,K0kommunestruktur2020altern!I$3,FALSE)</f>
        <v>23625</v>
      </c>
      <c r="J299" s="177">
        <f>VLOOKUP($A299,K0kommunestruktur2019!$A$4:$N$425,K0kommunestruktur2020altern!J$3,FALSE)</f>
        <v>564472</v>
      </c>
      <c r="K299" s="289">
        <f>VLOOKUP($A299,K0kommunestruktur2019!$A$4:$N$425,K0kommunestruktur2020altern!K$3,FALSE)</f>
        <v>23964</v>
      </c>
      <c r="L299" s="177">
        <f>VLOOKUP($A299,K0kommunestruktur2019!$A$4:$N$425,K0kommunestruktur2020altern!L$3,FALSE)</f>
        <v>597732</v>
      </c>
      <c r="M299" s="289">
        <f>VLOOKUP($A299,K0kommunestruktur2019!$A$4:$N$425,K0kommunestruktur2020altern!M$3,FALSE)</f>
        <v>24028</v>
      </c>
      <c r="N299" s="177">
        <f>VLOOKUP($A299,K0kommunestruktur2019!$A$4:$N$425,K0kommunestruktur2020altern!N$3,FALSE)</f>
        <v>615174</v>
      </c>
      <c r="O299" s="289">
        <f>+'K20'!C299</f>
        <v>24145</v>
      </c>
      <c r="P299" s="177">
        <f>+'K20'!Z299</f>
        <v>598173</v>
      </c>
      <c r="R299" s="517"/>
    </row>
    <row r="300" spans="1:18" ht="13">
      <c r="A300" s="865">
        <v>5036</v>
      </c>
      <c r="B300" s="866" t="s">
        <v>148</v>
      </c>
      <c r="C300" s="289">
        <f>VLOOKUP($A300,K0kommunestruktur2019!$A$4:$N$425,K0kommunestruktur2020altern!C$3,FALSE)</f>
        <v>2653</v>
      </c>
      <c r="D300" s="177">
        <f>VLOOKUP($A300,K0kommunestruktur2019!$A$4:$N$425,K0kommunestruktur2020altern!D$3,FALSE)</f>
        <v>43779</v>
      </c>
      <c r="E300" s="289">
        <f>VLOOKUP($A300,K0kommunestruktur2019!$A$4:$N$425,K0kommunestruktur2020altern!E$3,FALSE)</f>
        <v>2624</v>
      </c>
      <c r="F300" s="177">
        <f>VLOOKUP($A300,K0kommunestruktur2019!$A$4:$N$425,K0kommunestruktur2020altern!F$3,FALSE)</f>
        <v>45334</v>
      </c>
      <c r="G300" s="289">
        <f>VLOOKUP($A300,K0kommunestruktur2019!$A$4:$N$425,K0kommunestruktur2020altern!G$3,FALSE)</f>
        <v>2631</v>
      </c>
      <c r="H300" s="177">
        <f>VLOOKUP($A300,K0kommunestruktur2019!$A$4:$N$425,K0kommunestruktur2020altern!H$3,FALSE)</f>
        <v>48858</v>
      </c>
      <c r="I300" s="289">
        <f>VLOOKUP($A300,K0kommunestruktur2019!$A$4:$N$425,K0kommunestruktur2020altern!I$3,FALSE)</f>
        <v>2630</v>
      </c>
      <c r="J300" s="177">
        <f>VLOOKUP($A300,K0kommunestruktur2019!$A$4:$N$425,K0kommunestruktur2020altern!J$3,FALSE)</f>
        <v>55464</v>
      </c>
      <c r="K300" s="289">
        <f>VLOOKUP($A300,K0kommunestruktur2019!$A$4:$N$425,K0kommunestruktur2020altern!K$3,FALSE)</f>
        <v>2616</v>
      </c>
      <c r="L300" s="177">
        <f>VLOOKUP($A300,K0kommunestruktur2019!$A$4:$N$425,K0kommunestruktur2020altern!L$3,FALSE)</f>
        <v>57821</v>
      </c>
      <c r="M300" s="289">
        <f>VLOOKUP($A300,K0kommunestruktur2019!$A$4:$N$425,K0kommunestruktur2020altern!M$3,FALSE)</f>
        <v>2632</v>
      </c>
      <c r="N300" s="177">
        <f>VLOOKUP($A300,K0kommunestruktur2019!$A$4:$N$425,K0kommunestruktur2020altern!N$3,FALSE)</f>
        <v>57477</v>
      </c>
      <c r="O300" s="289">
        <f>+'K20'!C300</f>
        <v>2627</v>
      </c>
      <c r="P300" s="177">
        <f>+'K20'!Z300</f>
        <v>60319</v>
      </c>
      <c r="R300" s="517"/>
    </row>
    <row r="301" spans="1:18" ht="13">
      <c r="A301" s="865">
        <v>5037</v>
      </c>
      <c r="B301" s="866" t="s">
        <v>150</v>
      </c>
      <c r="C301" s="289">
        <f>VLOOKUP($A301,K0kommunestruktur2019!$A$4:$N$425,K0kommunestruktur2020altern!C$3,FALSE)</f>
        <v>19212</v>
      </c>
      <c r="D301" s="177">
        <f>VLOOKUP($A301,K0kommunestruktur2019!$A$4:$N$425,K0kommunestruktur2020altern!D$3,FALSE)</f>
        <v>379690</v>
      </c>
      <c r="E301" s="289">
        <f>VLOOKUP($A301,K0kommunestruktur2019!$A$4:$N$425,K0kommunestruktur2020altern!E$3,FALSE)</f>
        <v>19474</v>
      </c>
      <c r="F301" s="177">
        <f>VLOOKUP($A301,K0kommunestruktur2019!$A$4:$N$425,K0kommunestruktur2020altern!F$3,FALSE)</f>
        <v>399602</v>
      </c>
      <c r="G301" s="289">
        <f>VLOOKUP($A301,K0kommunestruktur2019!$A$4:$N$425,K0kommunestruktur2020altern!G$3,FALSE)</f>
        <v>19610</v>
      </c>
      <c r="H301" s="177">
        <f>VLOOKUP($A301,K0kommunestruktur2019!$A$4:$N$425,K0kommunestruktur2020altern!H$3,FALSE)</f>
        <v>452141</v>
      </c>
      <c r="I301" s="289">
        <f>VLOOKUP($A301,K0kommunestruktur2019!$A$4:$N$425,K0kommunestruktur2020altern!I$3,FALSE)</f>
        <v>19892</v>
      </c>
      <c r="J301" s="177">
        <f>VLOOKUP($A301,K0kommunestruktur2019!$A$4:$N$425,K0kommunestruktur2020altern!J$3,FALSE)</f>
        <v>467325</v>
      </c>
      <c r="K301" s="289">
        <f>VLOOKUP($A301,K0kommunestruktur2019!$A$4:$N$425,K0kommunestruktur2020altern!K$3,FALSE)</f>
        <v>20115</v>
      </c>
      <c r="L301" s="177">
        <f>VLOOKUP($A301,K0kommunestruktur2019!$A$4:$N$425,K0kommunestruktur2020altern!L$3,FALSE)</f>
        <v>490350</v>
      </c>
      <c r="M301" s="289">
        <f>VLOOKUP($A301,K0kommunestruktur2019!$A$4:$N$425,K0kommunestruktur2020altern!M$3,FALSE)</f>
        <v>20254</v>
      </c>
      <c r="N301" s="177">
        <f>VLOOKUP($A301,K0kommunestruktur2019!$A$4:$N$425,K0kommunestruktur2020altern!N$3,FALSE)</f>
        <v>515645</v>
      </c>
      <c r="O301" s="289">
        <f>+'K20'!C301</f>
        <v>20164</v>
      </c>
      <c r="P301" s="177">
        <f>+'K20'!Z301</f>
        <v>509280</v>
      </c>
      <c r="R301" s="517"/>
    </row>
    <row r="302" spans="1:18" ht="13">
      <c r="A302" s="865">
        <v>5038</v>
      </c>
      <c r="B302" s="866" t="s">
        <v>151</v>
      </c>
      <c r="C302" s="289">
        <f>VLOOKUP($A302,K0kommunestruktur2019!$A$4:$N$425,K0kommunestruktur2020altern!C$3,FALSE)</f>
        <v>14788</v>
      </c>
      <c r="D302" s="177">
        <f>VLOOKUP($A302,K0kommunestruktur2019!$A$4:$N$425,K0kommunestruktur2020altern!D$3,FALSE)</f>
        <v>279742</v>
      </c>
      <c r="E302" s="289">
        <f>VLOOKUP($A302,K0kommunestruktur2019!$A$4:$N$425,K0kommunestruktur2020altern!E$3,FALSE)</f>
        <v>14809</v>
      </c>
      <c r="F302" s="177">
        <f>VLOOKUP($A302,K0kommunestruktur2019!$A$4:$N$425,K0kommunestruktur2020altern!F$3,FALSE)</f>
        <v>280360</v>
      </c>
      <c r="G302" s="289">
        <f>VLOOKUP($A302,K0kommunestruktur2019!$A$4:$N$425,K0kommunestruktur2020altern!G$3,FALSE)</f>
        <v>14885</v>
      </c>
      <c r="H302" s="177">
        <f>VLOOKUP($A302,K0kommunestruktur2019!$A$4:$N$425,K0kommunestruktur2020altern!H$3,FALSE)</f>
        <v>303298</v>
      </c>
      <c r="I302" s="289">
        <f>VLOOKUP($A302,K0kommunestruktur2019!$A$4:$N$425,K0kommunestruktur2020altern!I$3,FALSE)</f>
        <v>14849</v>
      </c>
      <c r="J302" s="177">
        <f>VLOOKUP($A302,K0kommunestruktur2019!$A$4:$N$425,K0kommunestruktur2020altern!J$3,FALSE)</f>
        <v>319010</v>
      </c>
      <c r="K302" s="289">
        <f>VLOOKUP($A302,K0kommunestruktur2019!$A$4:$N$425,K0kommunestruktur2020altern!K$3,FALSE)</f>
        <v>14943</v>
      </c>
      <c r="L302" s="177">
        <f>VLOOKUP($A302,K0kommunestruktur2019!$A$4:$N$425,K0kommunestruktur2020altern!L$3,FALSE)</f>
        <v>334369</v>
      </c>
      <c r="M302" s="289">
        <f>VLOOKUP($A302,K0kommunestruktur2019!$A$4:$N$425,K0kommunestruktur2020altern!M$3,FALSE)</f>
        <v>14933</v>
      </c>
      <c r="N302" s="177">
        <f>VLOOKUP($A302,K0kommunestruktur2019!$A$4:$N$425,K0kommunestruktur2020altern!N$3,FALSE)</f>
        <v>344409</v>
      </c>
      <c r="O302" s="289">
        <f>+'K20'!C302</f>
        <v>14948</v>
      </c>
      <c r="P302" s="177">
        <f>+'K20'!Z302</f>
        <v>346720</v>
      </c>
      <c r="R302" s="517"/>
    </row>
    <row r="303" spans="1:18" ht="13">
      <c r="A303" s="865">
        <v>5041</v>
      </c>
      <c r="B303" s="866" t="s">
        <v>156</v>
      </c>
      <c r="C303" s="289">
        <f>VLOOKUP($A303,K0kommunestruktur2019!$A$4:$N$425,K0kommunestruktur2020altern!C$3,FALSE)</f>
        <v>2156</v>
      </c>
      <c r="D303" s="177">
        <f>VLOOKUP($A303,K0kommunestruktur2019!$A$4:$N$425,K0kommunestruktur2020altern!D$3,FALSE)</f>
        <v>37914</v>
      </c>
      <c r="E303" s="289">
        <f>VLOOKUP($A303,K0kommunestruktur2019!$A$4:$N$425,K0kommunestruktur2020altern!E$3,FALSE)</f>
        <v>2153</v>
      </c>
      <c r="F303" s="177">
        <f>VLOOKUP($A303,K0kommunestruktur2019!$A$4:$N$425,K0kommunestruktur2020altern!F$3,FALSE)</f>
        <v>39394</v>
      </c>
      <c r="G303" s="289">
        <f>VLOOKUP($A303,K0kommunestruktur2019!$A$4:$N$425,K0kommunestruktur2020altern!G$3,FALSE)</f>
        <v>2139</v>
      </c>
      <c r="H303" s="177">
        <f>VLOOKUP($A303,K0kommunestruktur2019!$A$4:$N$425,K0kommunestruktur2020altern!H$3,FALSE)</f>
        <v>41094</v>
      </c>
      <c r="I303" s="289">
        <f>VLOOKUP($A303,K0kommunestruktur2019!$A$4:$N$425,K0kommunestruktur2020altern!I$3,FALSE)</f>
        <v>2159</v>
      </c>
      <c r="J303" s="177">
        <f>VLOOKUP($A303,K0kommunestruktur2019!$A$4:$N$425,K0kommunestruktur2020altern!J$3,FALSE)</f>
        <v>43422</v>
      </c>
      <c r="K303" s="289">
        <f>VLOOKUP($A303,K0kommunestruktur2019!$A$4:$N$425,K0kommunestruktur2020altern!K$3,FALSE)</f>
        <v>2094</v>
      </c>
      <c r="L303" s="177">
        <f>VLOOKUP($A303,K0kommunestruktur2019!$A$4:$N$425,K0kommunestruktur2020altern!L$3,FALSE)</f>
        <v>43014</v>
      </c>
      <c r="M303" s="289">
        <f>VLOOKUP($A303,K0kommunestruktur2019!$A$4:$N$425,K0kommunestruktur2020altern!M$3,FALSE)</f>
        <v>2100</v>
      </c>
      <c r="N303" s="177">
        <f>VLOOKUP($A303,K0kommunestruktur2019!$A$4:$N$425,K0kommunestruktur2020altern!N$3,FALSE)</f>
        <v>45037</v>
      </c>
      <c r="O303" s="289">
        <f>+'K20'!C303</f>
        <v>2063</v>
      </c>
      <c r="P303" s="177">
        <f>+'K20'!Z303</f>
        <v>45906</v>
      </c>
      <c r="R303" s="517"/>
    </row>
    <row r="304" spans="1:18" ht="13">
      <c r="A304" s="865">
        <v>5042</v>
      </c>
      <c r="B304" s="866" t="s">
        <v>157</v>
      </c>
      <c r="C304" s="289">
        <f>VLOOKUP($A304,K0kommunestruktur2019!$A$4:$N$425,K0kommunestruktur2020altern!C$3,FALSE)</f>
        <v>1385</v>
      </c>
      <c r="D304" s="177">
        <f>VLOOKUP($A304,K0kommunestruktur2019!$A$4:$N$425,K0kommunestruktur2020altern!D$3,FALSE)</f>
        <v>30495</v>
      </c>
      <c r="E304" s="289">
        <f>VLOOKUP($A304,K0kommunestruktur2019!$A$4:$N$425,K0kommunestruktur2020altern!E$3,FALSE)</f>
        <v>1394</v>
      </c>
      <c r="F304" s="177">
        <f>VLOOKUP($A304,K0kommunestruktur2019!$A$4:$N$425,K0kommunestruktur2020altern!F$3,FALSE)</f>
        <v>30846</v>
      </c>
      <c r="G304" s="289">
        <f>VLOOKUP($A304,K0kommunestruktur2019!$A$4:$N$425,K0kommunestruktur2020altern!G$3,FALSE)</f>
        <v>1375</v>
      </c>
      <c r="H304" s="177">
        <f>VLOOKUP($A304,K0kommunestruktur2019!$A$4:$N$425,K0kommunestruktur2020altern!H$3,FALSE)</f>
        <v>30134</v>
      </c>
      <c r="I304" s="289">
        <f>VLOOKUP($A304,K0kommunestruktur2019!$A$4:$N$425,K0kommunestruktur2020altern!I$3,FALSE)</f>
        <v>1389</v>
      </c>
      <c r="J304" s="177">
        <f>VLOOKUP($A304,K0kommunestruktur2019!$A$4:$N$425,K0kommunestruktur2020altern!J$3,FALSE)</f>
        <v>30547</v>
      </c>
      <c r="K304" s="289">
        <f>VLOOKUP($A304,K0kommunestruktur2019!$A$4:$N$425,K0kommunestruktur2020altern!K$3,FALSE)</f>
        <v>1379</v>
      </c>
      <c r="L304" s="177">
        <f>VLOOKUP($A304,K0kommunestruktur2019!$A$4:$N$425,K0kommunestruktur2020altern!L$3,FALSE)</f>
        <v>31031</v>
      </c>
      <c r="M304" s="289">
        <f>VLOOKUP($A304,K0kommunestruktur2019!$A$4:$N$425,K0kommunestruktur2020altern!M$3,FALSE)</f>
        <v>1386</v>
      </c>
      <c r="N304" s="177">
        <f>VLOOKUP($A304,K0kommunestruktur2019!$A$4:$N$425,K0kommunestruktur2020altern!N$3,FALSE)</f>
        <v>33722</v>
      </c>
      <c r="O304" s="289">
        <f>+'K20'!C304</f>
        <v>1355</v>
      </c>
      <c r="P304" s="177">
        <f>+'K20'!Z304</f>
        <v>33626</v>
      </c>
      <c r="R304" s="517"/>
    </row>
    <row r="305" spans="1:18" ht="13">
      <c r="A305" s="865">
        <v>5043</v>
      </c>
      <c r="B305" s="866" t="s">
        <v>164</v>
      </c>
      <c r="C305" s="289">
        <f>VLOOKUP($A305,K0kommunestruktur2019!$A$4:$N$425,K0kommunestruktur2020altern!C$3,FALSE)</f>
        <v>498</v>
      </c>
      <c r="D305" s="177">
        <f>VLOOKUP($A305,K0kommunestruktur2019!$A$4:$N$425,K0kommunestruktur2020altern!D$3,FALSE)</f>
        <v>12548</v>
      </c>
      <c r="E305" s="289">
        <f>VLOOKUP($A305,K0kommunestruktur2019!$A$4:$N$425,K0kommunestruktur2020altern!E$3,FALSE)</f>
        <v>475</v>
      </c>
      <c r="F305" s="177">
        <f>VLOOKUP($A305,K0kommunestruktur2019!$A$4:$N$425,K0kommunestruktur2020altern!F$3,FALSE)</f>
        <v>12235</v>
      </c>
      <c r="G305" s="289">
        <f>VLOOKUP($A305,K0kommunestruktur2019!$A$4:$N$425,K0kommunestruktur2020altern!G$3,FALSE)</f>
        <v>469</v>
      </c>
      <c r="H305" s="177">
        <f>VLOOKUP($A305,K0kommunestruktur2019!$A$4:$N$425,K0kommunestruktur2020altern!H$3,FALSE)</f>
        <v>12455</v>
      </c>
      <c r="I305" s="289">
        <f>VLOOKUP($A305,K0kommunestruktur2019!$A$4:$N$425,K0kommunestruktur2020altern!I$3,FALSE)</f>
        <v>469</v>
      </c>
      <c r="J305" s="177">
        <f>VLOOKUP($A305,K0kommunestruktur2019!$A$4:$N$425,K0kommunestruktur2020altern!J$3,FALSE)</f>
        <v>12378</v>
      </c>
      <c r="K305" s="289">
        <f>VLOOKUP($A305,K0kommunestruktur2019!$A$4:$N$425,K0kommunestruktur2020altern!K$3,FALSE)</f>
        <v>474</v>
      </c>
      <c r="L305" s="177">
        <f>VLOOKUP($A305,K0kommunestruktur2019!$A$4:$N$425,K0kommunestruktur2020altern!L$3,FALSE)</f>
        <v>13341</v>
      </c>
      <c r="M305" s="289">
        <f>VLOOKUP($A305,K0kommunestruktur2019!$A$4:$N$425,K0kommunestruktur2020altern!M$3,FALSE)</f>
        <v>482</v>
      </c>
      <c r="N305" s="177">
        <f>VLOOKUP($A305,K0kommunestruktur2019!$A$4:$N$425,K0kommunestruktur2020altern!N$3,FALSE)</f>
        <v>11848</v>
      </c>
      <c r="O305" s="289">
        <f>+'K20'!C305</f>
        <v>461</v>
      </c>
      <c r="P305" s="177">
        <f>+'K20'!Z305</f>
        <v>12059</v>
      </c>
      <c r="R305" s="517"/>
    </row>
    <row r="306" spans="1:18" ht="13">
      <c r="A306" s="865">
        <v>5044</v>
      </c>
      <c r="B306" s="866" t="s">
        <v>165</v>
      </c>
      <c r="C306" s="289">
        <f>VLOOKUP($A306,K0kommunestruktur2019!$A$4:$N$425,K0kommunestruktur2020altern!C$3,FALSE)</f>
        <v>922</v>
      </c>
      <c r="D306" s="177">
        <f>VLOOKUP($A306,K0kommunestruktur2019!$A$4:$N$425,K0kommunestruktur2020altern!D$3,FALSE)</f>
        <v>25379</v>
      </c>
      <c r="E306" s="289">
        <f>VLOOKUP($A306,K0kommunestruktur2019!$A$4:$N$425,K0kommunestruktur2020altern!E$3,FALSE)</f>
        <v>892</v>
      </c>
      <c r="F306" s="177">
        <f>VLOOKUP($A306,K0kommunestruktur2019!$A$4:$N$425,K0kommunestruktur2020altern!F$3,FALSE)</f>
        <v>25338</v>
      </c>
      <c r="G306" s="289">
        <f>VLOOKUP($A306,K0kommunestruktur2019!$A$4:$N$425,K0kommunestruktur2020altern!G$3,FALSE)</f>
        <v>867</v>
      </c>
      <c r="H306" s="177">
        <f>VLOOKUP($A306,K0kommunestruktur2019!$A$4:$N$425,K0kommunestruktur2020altern!H$3,FALSE)</f>
        <v>27663</v>
      </c>
      <c r="I306" s="289">
        <f>VLOOKUP($A306,K0kommunestruktur2019!$A$4:$N$425,K0kommunestruktur2020altern!I$3,FALSE)</f>
        <v>872</v>
      </c>
      <c r="J306" s="177">
        <f>VLOOKUP($A306,K0kommunestruktur2019!$A$4:$N$425,K0kommunestruktur2020altern!J$3,FALSE)</f>
        <v>27937</v>
      </c>
      <c r="K306" s="289">
        <f>VLOOKUP($A306,K0kommunestruktur2019!$A$4:$N$425,K0kommunestruktur2020altern!K$3,FALSE)</f>
        <v>902</v>
      </c>
      <c r="L306" s="177">
        <f>VLOOKUP($A306,K0kommunestruktur2019!$A$4:$N$425,K0kommunestruktur2020altern!L$3,FALSE)</f>
        <v>29002</v>
      </c>
      <c r="M306" s="289">
        <f>VLOOKUP($A306,K0kommunestruktur2019!$A$4:$N$425,K0kommunestruktur2020altern!M$3,FALSE)</f>
        <v>871</v>
      </c>
      <c r="N306" s="177">
        <f>VLOOKUP($A306,K0kommunestruktur2019!$A$4:$N$425,K0kommunestruktur2020altern!N$3,FALSE)</f>
        <v>29273</v>
      </c>
      <c r="O306" s="289">
        <f>+'K20'!C306</f>
        <v>843</v>
      </c>
      <c r="P306" s="177">
        <f>+'K20'!Z306</f>
        <v>28469</v>
      </c>
      <c r="R306" s="517"/>
    </row>
    <row r="307" spans="1:18" ht="13">
      <c r="A307" s="865">
        <v>5045</v>
      </c>
      <c r="B307" s="866" t="s">
        <v>166</v>
      </c>
      <c r="C307" s="289">
        <f>VLOOKUP($A307,K0kommunestruktur2019!$A$4:$N$425,K0kommunestruktur2020altern!C$3,FALSE)</f>
        <v>2449</v>
      </c>
      <c r="D307" s="177">
        <f>VLOOKUP($A307,K0kommunestruktur2019!$A$4:$N$425,K0kommunestruktur2020altern!D$3,FALSE)</f>
        <v>50196</v>
      </c>
      <c r="E307" s="289">
        <f>VLOOKUP($A307,K0kommunestruktur2019!$A$4:$N$425,K0kommunestruktur2020altern!E$3,FALSE)</f>
        <v>2489</v>
      </c>
      <c r="F307" s="177">
        <f>VLOOKUP($A307,K0kommunestruktur2019!$A$4:$N$425,K0kommunestruktur2020altern!F$3,FALSE)</f>
        <v>52821</v>
      </c>
      <c r="G307" s="289">
        <f>VLOOKUP($A307,K0kommunestruktur2019!$A$4:$N$425,K0kommunestruktur2020altern!G$3,FALSE)</f>
        <v>2466</v>
      </c>
      <c r="H307" s="177">
        <f>VLOOKUP($A307,K0kommunestruktur2019!$A$4:$N$425,K0kommunestruktur2020altern!H$3,FALSE)</f>
        <v>57612</v>
      </c>
      <c r="I307" s="289">
        <f>VLOOKUP($A307,K0kommunestruktur2019!$A$4:$N$425,K0kommunestruktur2020altern!I$3,FALSE)</f>
        <v>2467</v>
      </c>
      <c r="J307" s="177">
        <f>VLOOKUP($A307,K0kommunestruktur2019!$A$4:$N$425,K0kommunestruktur2020altern!J$3,FALSE)</f>
        <v>60456</v>
      </c>
      <c r="K307" s="289">
        <f>VLOOKUP($A307,K0kommunestruktur2019!$A$4:$N$425,K0kommunestruktur2020altern!K$3,FALSE)</f>
        <v>2400</v>
      </c>
      <c r="L307" s="177">
        <f>VLOOKUP($A307,K0kommunestruktur2019!$A$4:$N$425,K0kommunestruktur2020altern!L$3,FALSE)</f>
        <v>62432</v>
      </c>
      <c r="M307" s="289">
        <f>VLOOKUP($A307,K0kommunestruktur2019!$A$4:$N$425,K0kommunestruktur2020altern!M$3,FALSE)</f>
        <v>2374</v>
      </c>
      <c r="N307" s="177">
        <f>VLOOKUP($A307,K0kommunestruktur2019!$A$4:$N$425,K0kommunestruktur2020altern!N$3,FALSE)</f>
        <v>64293</v>
      </c>
      <c r="O307" s="289">
        <f>+'K20'!C307</f>
        <v>2359</v>
      </c>
      <c r="P307" s="177">
        <f>+'K20'!Z307</f>
        <v>60632</v>
      </c>
      <c r="R307" s="517"/>
    </row>
    <row r="308" spans="1:18" ht="13">
      <c r="A308" s="865">
        <v>5046</v>
      </c>
      <c r="B308" s="866" t="s">
        <v>167</v>
      </c>
      <c r="C308" s="289">
        <f>VLOOKUP($A308,K0kommunestruktur2019!$A$4:$N$425,K0kommunestruktur2020altern!C$3,FALSE)</f>
        <v>1257</v>
      </c>
      <c r="D308" s="177">
        <f>VLOOKUP($A308,K0kommunestruktur2019!$A$4:$N$425,K0kommunestruktur2020altern!D$3,FALSE)</f>
        <v>22187</v>
      </c>
      <c r="E308" s="289">
        <f>VLOOKUP($A308,K0kommunestruktur2019!$A$4:$N$425,K0kommunestruktur2020altern!E$3,FALSE)</f>
        <v>1252</v>
      </c>
      <c r="F308" s="177">
        <f>VLOOKUP($A308,K0kommunestruktur2019!$A$4:$N$425,K0kommunestruktur2020altern!F$3,FALSE)</f>
        <v>23151</v>
      </c>
      <c r="G308" s="289">
        <f>VLOOKUP($A308,K0kommunestruktur2019!$A$4:$N$425,K0kommunestruktur2020altern!G$3,FALSE)</f>
        <v>1250</v>
      </c>
      <c r="H308" s="177">
        <f>VLOOKUP($A308,K0kommunestruktur2019!$A$4:$N$425,K0kommunestruktur2020altern!H$3,FALSE)</f>
        <v>26653</v>
      </c>
      <c r="I308" s="289">
        <f>VLOOKUP($A308,K0kommunestruktur2019!$A$4:$N$425,K0kommunestruktur2020altern!I$3,FALSE)</f>
        <v>1264</v>
      </c>
      <c r="J308" s="177">
        <f>VLOOKUP($A308,K0kommunestruktur2019!$A$4:$N$425,K0kommunestruktur2020altern!J$3,FALSE)</f>
        <v>27648</v>
      </c>
      <c r="K308" s="289">
        <f>VLOOKUP($A308,K0kommunestruktur2019!$A$4:$N$425,K0kommunestruktur2020altern!K$3,FALSE)</f>
        <v>1268</v>
      </c>
      <c r="L308" s="177">
        <f>VLOOKUP($A308,K0kommunestruktur2019!$A$4:$N$425,K0kommunestruktur2020altern!L$3,FALSE)</f>
        <v>26225</v>
      </c>
      <c r="M308" s="289">
        <f>VLOOKUP($A308,K0kommunestruktur2019!$A$4:$N$425,K0kommunestruktur2020altern!M$3,FALSE)</f>
        <v>1254</v>
      </c>
      <c r="N308" s="177">
        <f>VLOOKUP($A308,K0kommunestruktur2019!$A$4:$N$425,K0kommunestruktur2020altern!N$3,FALSE)</f>
        <v>27502</v>
      </c>
      <c r="O308" s="289">
        <f>+'K20'!C308</f>
        <v>1231</v>
      </c>
      <c r="P308" s="177">
        <f>+'K20'!Z308</f>
        <v>27461</v>
      </c>
      <c r="R308" s="517"/>
    </row>
    <row r="309" spans="1:18" ht="13">
      <c r="A309" s="865">
        <v>5047</v>
      </c>
      <c r="B309" s="866" t="s">
        <v>168</v>
      </c>
      <c r="C309" s="289">
        <f>VLOOKUP($A309,K0kommunestruktur2019!$A$4:$N$425,K0kommunestruktur2020altern!C$3,FALSE)</f>
        <v>3732</v>
      </c>
      <c r="D309" s="177">
        <f>VLOOKUP($A309,K0kommunestruktur2019!$A$4:$N$425,K0kommunestruktur2020altern!D$3,FALSE)</f>
        <v>72891</v>
      </c>
      <c r="E309" s="289">
        <f>VLOOKUP($A309,K0kommunestruktur2019!$A$4:$N$425,K0kommunestruktur2020altern!E$3,FALSE)</f>
        <v>3751</v>
      </c>
      <c r="F309" s="177">
        <f>VLOOKUP($A309,K0kommunestruktur2019!$A$4:$N$425,K0kommunestruktur2020altern!F$3,FALSE)</f>
        <v>75389</v>
      </c>
      <c r="G309" s="289">
        <f>VLOOKUP($A309,K0kommunestruktur2019!$A$4:$N$425,K0kommunestruktur2020altern!G$3,FALSE)</f>
        <v>3825</v>
      </c>
      <c r="H309" s="177">
        <f>VLOOKUP($A309,K0kommunestruktur2019!$A$4:$N$425,K0kommunestruktur2020altern!H$3,FALSE)</f>
        <v>82123</v>
      </c>
      <c r="I309" s="289">
        <f>VLOOKUP($A309,K0kommunestruktur2019!$A$4:$N$425,K0kommunestruktur2020altern!I$3,FALSE)</f>
        <v>3840</v>
      </c>
      <c r="J309" s="177">
        <f>VLOOKUP($A309,K0kommunestruktur2019!$A$4:$N$425,K0kommunestruktur2020altern!J$3,FALSE)</f>
        <v>89306</v>
      </c>
      <c r="K309" s="289">
        <f>VLOOKUP($A309,K0kommunestruktur2019!$A$4:$N$425,K0kommunestruktur2020altern!K$3,FALSE)</f>
        <v>3845</v>
      </c>
      <c r="L309" s="177">
        <f>VLOOKUP($A309,K0kommunestruktur2019!$A$4:$N$425,K0kommunestruktur2020altern!L$3,FALSE)</f>
        <v>93345</v>
      </c>
      <c r="M309" s="289">
        <f>VLOOKUP($A309,K0kommunestruktur2019!$A$4:$N$425,K0kommunestruktur2020altern!M$3,FALSE)</f>
        <v>3879</v>
      </c>
      <c r="N309" s="177">
        <f>VLOOKUP($A309,K0kommunestruktur2019!$A$4:$N$425,K0kommunestruktur2020altern!N$3,FALSE)</f>
        <v>93413</v>
      </c>
      <c r="O309" s="289">
        <f>+'K20'!C309</f>
        <v>3884</v>
      </c>
      <c r="P309" s="177">
        <f>+'K20'!Z309</f>
        <v>92418</v>
      </c>
      <c r="R309" s="517"/>
    </row>
    <row r="310" spans="1:18" ht="13">
      <c r="A310" s="865">
        <v>5049</v>
      </c>
      <c r="B310" s="866" t="s">
        <v>170</v>
      </c>
      <c r="C310" s="289">
        <f>VLOOKUP($A310,K0kommunestruktur2019!$A$4:$N$425,K0kommunestruktur2020altern!C$3,FALSE)</f>
        <v>1120</v>
      </c>
      <c r="D310" s="177">
        <f>VLOOKUP($A310,K0kommunestruktur2019!$A$4:$N$425,K0kommunestruktur2020altern!D$3,FALSE)</f>
        <v>20942</v>
      </c>
      <c r="E310" s="289">
        <f>VLOOKUP($A310,K0kommunestruktur2019!$A$4:$N$425,K0kommunestruktur2020altern!E$3,FALSE)</f>
        <v>1119</v>
      </c>
      <c r="F310" s="177">
        <f>VLOOKUP($A310,K0kommunestruktur2019!$A$4:$N$425,K0kommunestruktur2020altern!F$3,FALSE)</f>
        <v>23043</v>
      </c>
      <c r="G310" s="289">
        <f>VLOOKUP($A310,K0kommunestruktur2019!$A$4:$N$425,K0kommunestruktur2020altern!G$3,FALSE)</f>
        <v>1103</v>
      </c>
      <c r="H310" s="177">
        <f>VLOOKUP($A310,K0kommunestruktur2019!$A$4:$N$425,K0kommunestruktur2020altern!H$3,FALSE)</f>
        <v>26366</v>
      </c>
      <c r="I310" s="289">
        <f>VLOOKUP($A310,K0kommunestruktur2019!$A$4:$N$425,K0kommunestruktur2020altern!I$3,FALSE)</f>
        <v>1090</v>
      </c>
      <c r="J310" s="177">
        <f>VLOOKUP($A310,K0kommunestruktur2019!$A$4:$N$425,K0kommunestruktur2020altern!J$3,FALSE)</f>
        <v>26376</v>
      </c>
      <c r="K310" s="289">
        <f>VLOOKUP($A310,K0kommunestruktur2019!$A$4:$N$425,K0kommunestruktur2020altern!K$3,FALSE)</f>
        <v>1105</v>
      </c>
      <c r="L310" s="177">
        <f>VLOOKUP($A310,K0kommunestruktur2019!$A$4:$N$425,K0kommunestruktur2020altern!L$3,FALSE)</f>
        <v>29062</v>
      </c>
      <c r="M310" s="289">
        <f>VLOOKUP($A310,K0kommunestruktur2019!$A$4:$N$425,K0kommunestruktur2020altern!M$3,FALSE)</f>
        <v>1103</v>
      </c>
      <c r="N310" s="177">
        <f>VLOOKUP($A310,K0kommunestruktur2019!$A$4:$N$425,K0kommunestruktur2020altern!N$3,FALSE)</f>
        <v>32722</v>
      </c>
      <c r="O310" s="289">
        <f>+'K20'!C310</f>
        <v>1103</v>
      </c>
      <c r="P310" s="177">
        <f>+'K20'!Z310</f>
        <v>41284</v>
      </c>
      <c r="R310" s="517"/>
    </row>
    <row r="311" spans="1:18" ht="13">
      <c r="A311" s="865">
        <v>5052</v>
      </c>
      <c r="B311" s="866" t="s">
        <v>173</v>
      </c>
      <c r="C311" s="289">
        <f>VLOOKUP($A311,K0kommunestruktur2019!$A$4:$N$425,K0kommunestruktur2020altern!C$3,FALSE)</f>
        <v>556</v>
      </c>
      <c r="D311" s="177">
        <f>VLOOKUP($A311,K0kommunestruktur2019!$A$4:$N$425,K0kommunestruktur2020altern!D$3,FALSE)</f>
        <v>9934</v>
      </c>
      <c r="E311" s="289">
        <f>VLOOKUP($A311,K0kommunestruktur2019!$A$4:$N$425,K0kommunestruktur2020altern!E$3,FALSE)</f>
        <v>574</v>
      </c>
      <c r="F311" s="177">
        <f>VLOOKUP($A311,K0kommunestruktur2019!$A$4:$N$425,K0kommunestruktur2020altern!F$3,FALSE)</f>
        <v>10708</v>
      </c>
      <c r="G311" s="289">
        <f>VLOOKUP($A311,K0kommunestruktur2019!$A$4:$N$425,K0kommunestruktur2020altern!G$3,FALSE)</f>
        <v>562</v>
      </c>
      <c r="H311" s="177">
        <f>VLOOKUP($A311,K0kommunestruktur2019!$A$4:$N$425,K0kommunestruktur2020altern!H$3,FALSE)</f>
        <v>11579</v>
      </c>
      <c r="I311" s="289">
        <f>VLOOKUP($A311,K0kommunestruktur2019!$A$4:$N$425,K0kommunestruktur2020altern!I$3,FALSE)</f>
        <v>584</v>
      </c>
      <c r="J311" s="177">
        <f>VLOOKUP($A311,K0kommunestruktur2019!$A$4:$N$425,K0kommunestruktur2020altern!J$3,FALSE)</f>
        <v>12951</v>
      </c>
      <c r="K311" s="289">
        <f>VLOOKUP($A311,K0kommunestruktur2019!$A$4:$N$425,K0kommunestruktur2020altern!K$3,FALSE)</f>
        <v>582</v>
      </c>
      <c r="L311" s="177">
        <f>VLOOKUP($A311,K0kommunestruktur2019!$A$4:$N$425,K0kommunestruktur2020altern!L$3,FALSE)</f>
        <v>13678</v>
      </c>
      <c r="M311" s="289">
        <f>VLOOKUP($A311,K0kommunestruktur2019!$A$4:$N$425,K0kommunestruktur2020altern!M$3,FALSE)</f>
        <v>567</v>
      </c>
      <c r="N311" s="177">
        <f>VLOOKUP($A311,K0kommunestruktur2019!$A$4:$N$425,K0kommunestruktur2020altern!N$3,FALSE)</f>
        <v>13553</v>
      </c>
      <c r="O311" s="289">
        <f>+'K20'!C311</f>
        <v>557</v>
      </c>
      <c r="P311" s="177">
        <f>+'K20'!Z311</f>
        <v>13835</v>
      </c>
      <c r="R311" s="517"/>
    </row>
    <row r="312" spans="1:18" ht="13">
      <c r="A312" s="865">
        <v>5053</v>
      </c>
      <c r="B312" s="866" t="s">
        <v>155</v>
      </c>
      <c r="C312" s="289">
        <f>VLOOKUP($A312,K0kommunestruktur2019!$A$4:$N$425,K0kommunestruktur2020altern!C$3,FALSE)</f>
        <v>6720</v>
      </c>
      <c r="D312" s="177">
        <f>VLOOKUP($A312,K0kommunestruktur2019!$A$4:$N$425,K0kommunestruktur2020altern!D$3,FALSE)</f>
        <v>126853</v>
      </c>
      <c r="E312" s="289">
        <f>VLOOKUP($A312,K0kommunestruktur2019!$A$4:$N$425,K0kommunestruktur2020altern!E$3,FALSE)</f>
        <v>6770</v>
      </c>
      <c r="F312" s="177">
        <f>VLOOKUP($A312,K0kommunestruktur2019!$A$4:$N$425,K0kommunestruktur2020altern!F$3,FALSE)</f>
        <v>138028</v>
      </c>
      <c r="G312" s="289">
        <f>VLOOKUP($A312,K0kommunestruktur2019!$A$4:$N$425,K0kommunestruktur2020altern!G$3,FALSE)</f>
        <v>6769</v>
      </c>
      <c r="H312" s="177">
        <f>VLOOKUP($A312,K0kommunestruktur2019!$A$4:$N$425,K0kommunestruktur2020altern!H$3,FALSE)</f>
        <v>148799</v>
      </c>
      <c r="I312" s="289">
        <f>VLOOKUP($A312,K0kommunestruktur2019!$A$4:$N$425,K0kommunestruktur2020altern!I$3,FALSE)</f>
        <v>6800</v>
      </c>
      <c r="J312" s="177">
        <f>VLOOKUP($A312,K0kommunestruktur2019!$A$4:$N$425,K0kommunestruktur2020altern!J$3,FALSE)</f>
        <v>153528</v>
      </c>
      <c r="K312" s="289">
        <f>VLOOKUP($A312,K0kommunestruktur2019!$A$4:$N$425,K0kommunestruktur2020altern!K$3,FALSE)</f>
        <v>6785</v>
      </c>
      <c r="L312" s="177">
        <f>VLOOKUP($A312,K0kommunestruktur2019!$A$4:$N$425,K0kommunestruktur2020altern!L$3,FALSE)</f>
        <v>157899</v>
      </c>
      <c r="M312" s="289">
        <f>VLOOKUP($A312,K0kommunestruktur2019!$A$4:$N$425,K0kommunestruktur2020altern!M$3,FALSE)</f>
        <v>6804</v>
      </c>
      <c r="N312" s="177">
        <f>VLOOKUP($A312,K0kommunestruktur2019!$A$4:$N$425,K0kommunestruktur2020altern!N$3,FALSE)</f>
        <v>163239</v>
      </c>
      <c r="O312" s="289">
        <f>+'K20'!C312</f>
        <v>6816</v>
      </c>
      <c r="P312" s="177">
        <f>+'K20'!Z312</f>
        <v>166507</v>
      </c>
      <c r="R312" s="517"/>
    </row>
    <row r="313" spans="1:18" ht="13">
      <c r="A313" s="889">
        <v>5054</v>
      </c>
      <c r="B313" s="890" t="s">
        <v>1234</v>
      </c>
      <c r="C313" s="289">
        <f t="shared" ref="C313:N313" si="43">+C$574+C$575</f>
        <v>10271.09146590445</v>
      </c>
      <c r="D313" s="177">
        <f t="shared" si="43"/>
        <v>182843.86076725193</v>
      </c>
      <c r="E313" s="289">
        <f t="shared" si="43"/>
        <v>10251.681094324214</v>
      </c>
      <c r="F313" s="177">
        <f t="shared" si="43"/>
        <v>193264.09294242549</v>
      </c>
      <c r="G313" s="289">
        <f t="shared" si="43"/>
        <v>10244.133932217232</v>
      </c>
      <c r="H313" s="177">
        <f t="shared" si="43"/>
        <v>207087.44946508779</v>
      </c>
      <c r="I313" s="289">
        <f t="shared" si="43"/>
        <v>10176.805634953042</v>
      </c>
      <c r="J313" s="177">
        <f t="shared" si="43"/>
        <v>217601.52543160474</v>
      </c>
      <c r="K313" s="289">
        <f t="shared" si="43"/>
        <v>10157.656594528378</v>
      </c>
      <c r="L313" s="177">
        <f t="shared" si="43"/>
        <v>229275.35647202941</v>
      </c>
      <c r="M313" s="289">
        <f t="shared" si="43"/>
        <v>10055</v>
      </c>
      <c r="N313" s="177">
        <f t="shared" si="43"/>
        <v>233250.36953858717</v>
      </c>
      <c r="O313" s="289">
        <f>+'K20'!C313</f>
        <v>10084</v>
      </c>
      <c r="P313" s="177">
        <f>+'K20'!Z313</f>
        <v>228796</v>
      </c>
      <c r="R313" s="517"/>
    </row>
    <row r="314" spans="1:18" ht="13">
      <c r="A314" s="878">
        <v>5055</v>
      </c>
      <c r="B314" s="883" t="s">
        <v>1642</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+'K20'!C314</f>
        <v>5963</v>
      </c>
      <c r="P314" s="177">
        <f>+'K20'!Z314</f>
        <v>158118</v>
      </c>
      <c r="R314" s="517"/>
    </row>
    <row r="315" spans="1:18" ht="13">
      <c r="A315" s="878">
        <v>5056</v>
      </c>
      <c r="B315" s="883" t="s">
        <v>1643</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+'K20'!C315</f>
        <v>5050</v>
      </c>
      <c r="P315" s="177">
        <f>+'K20'!Z315</f>
        <v>145800</v>
      </c>
      <c r="R315" s="517"/>
    </row>
    <row r="316" spans="1:18" ht="13">
      <c r="A316" s="878">
        <v>5057</v>
      </c>
      <c r="B316" s="883" t="s">
        <v>1644</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+'K20'!C316</f>
        <v>10323</v>
      </c>
      <c r="P316" s="177">
        <f>+'K20'!Z316</f>
        <v>254501</v>
      </c>
      <c r="R316" s="517"/>
    </row>
    <row r="317" spans="1:18" ht="13">
      <c r="A317" s="878">
        <v>5058</v>
      </c>
      <c r="B317" s="883" t="s">
        <v>1645</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+'K20'!C317</f>
        <v>4288</v>
      </c>
      <c r="P317" s="177">
        <f>+'K20'!Z317</f>
        <v>115391</v>
      </c>
      <c r="R317" s="517"/>
    </row>
    <row r="318" spans="1:18" ht="13">
      <c r="A318" s="878">
        <v>5059</v>
      </c>
      <c r="B318" s="883" t="s">
        <v>1646</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+'K20'!C318</f>
        <v>18217</v>
      </c>
      <c r="P318" s="177">
        <f>+'K20'!Z318</f>
        <v>444283</v>
      </c>
      <c r="R318" s="517"/>
    </row>
    <row r="319" spans="1:18" ht="13">
      <c r="A319" s="878">
        <v>5060</v>
      </c>
      <c r="B319" s="883" t="s">
        <v>1647</v>
      </c>
      <c r="C319" s="289">
        <f t="shared" ref="C319:N319" si="49">+C$569+C$570+C$571</f>
        <v>9334.0804416403789</v>
      </c>
      <c r="D319" s="177">
        <f t="shared" si="49"/>
        <v>183449.36947949528</v>
      </c>
      <c r="E319" s="289">
        <f t="shared" si="49"/>
        <v>9392.9095031545748</v>
      </c>
      <c r="F319" s="177">
        <f t="shared" si="49"/>
        <v>193576.44282334385</v>
      </c>
      <c r="G319" s="289">
        <f t="shared" si="49"/>
        <v>9461.4570189274455</v>
      </c>
      <c r="H319" s="177">
        <f t="shared" si="49"/>
        <v>216631.7902208202</v>
      </c>
      <c r="I319" s="289">
        <f t="shared" si="49"/>
        <v>9504.3363564668762</v>
      </c>
      <c r="J319" s="177">
        <f t="shared" si="49"/>
        <v>230585.59108832807</v>
      </c>
      <c r="K319" s="289">
        <f t="shared" si="49"/>
        <v>9557.5475157728706</v>
      </c>
      <c r="L319" s="177">
        <f t="shared" si="49"/>
        <v>251486.80481072556</v>
      </c>
      <c r="M319" s="289">
        <f t="shared" si="49"/>
        <v>9599</v>
      </c>
      <c r="N319" s="177">
        <f t="shared" si="49"/>
        <v>273993.3464116719</v>
      </c>
      <c r="O319" s="289">
        <f>+'K20'!C319</f>
        <v>9623</v>
      </c>
      <c r="P319" s="177">
        <f>+'K20'!Z319</f>
        <v>278061</v>
      </c>
      <c r="R319" s="517"/>
    </row>
    <row r="320" spans="1:18" ht="13">
      <c r="A320" s="865">
        <v>5061</v>
      </c>
      <c r="B320" s="866" t="s">
        <v>114</v>
      </c>
      <c r="C320" s="289">
        <f>VLOOKUP($A320,K0kommunestruktur2019!$A$4:$N$425,K0kommunestruktur2020altern!C$3,FALSE)</f>
        <v>2046</v>
      </c>
      <c r="D320" s="177">
        <f>VLOOKUP($A320,K0kommunestruktur2019!$A$4:$N$425,K0kommunestruktur2020altern!D$3,FALSE)</f>
        <v>42351</v>
      </c>
      <c r="E320" s="289">
        <f>VLOOKUP($A320,K0kommunestruktur2019!$A$4:$N$425,K0kommunestruktur2020altern!E$3,FALSE)</f>
        <v>2038</v>
      </c>
      <c r="F320" s="177">
        <f>VLOOKUP($A320,K0kommunestruktur2019!$A$4:$N$425,K0kommunestruktur2020altern!F$3,FALSE)</f>
        <v>43842</v>
      </c>
      <c r="G320" s="289">
        <f>VLOOKUP($A320,K0kommunestruktur2019!$A$4:$N$425,K0kommunestruktur2020altern!G$3,FALSE)</f>
        <v>2036</v>
      </c>
      <c r="H320" s="177">
        <f>VLOOKUP($A320,K0kommunestruktur2019!$A$4:$N$425,K0kommunestruktur2020altern!H$3,FALSE)</f>
        <v>45245</v>
      </c>
      <c r="I320" s="289">
        <f>VLOOKUP($A320,K0kommunestruktur2019!$A$4:$N$425,K0kommunestruktur2020altern!I$3,FALSE)</f>
        <v>2026</v>
      </c>
      <c r="J320" s="177">
        <f>VLOOKUP($A320,K0kommunestruktur2019!$A$4:$N$425,K0kommunestruktur2020altern!J$3,FALSE)</f>
        <v>47427</v>
      </c>
      <c r="K320" s="289">
        <f>VLOOKUP($A320,K0kommunestruktur2019!$A$4:$N$425,K0kommunestruktur2020altern!K$3,FALSE)</f>
        <v>2039</v>
      </c>
      <c r="L320" s="177">
        <f>VLOOKUP($A320,K0kommunestruktur2019!$A$4:$N$425,K0kommunestruktur2020altern!L$3,FALSE)</f>
        <v>50708</v>
      </c>
      <c r="M320" s="289">
        <f>VLOOKUP($A320,K0kommunestruktur2019!$A$4:$N$425,K0kommunestruktur2020altern!M$3,FALSE)</f>
        <v>2028</v>
      </c>
      <c r="N320" s="177">
        <f>VLOOKUP($A320,K0kommunestruktur2019!$A$4:$N$425,K0kommunestruktur2020altern!N$3,FALSE)</f>
        <v>50159</v>
      </c>
      <c r="O320" s="289">
        <f>+'K20'!C320</f>
        <v>2003</v>
      </c>
      <c r="P320" s="177">
        <f>+'K20'!Z320</f>
        <v>48517</v>
      </c>
      <c r="R320" s="517"/>
    </row>
    <row r="321" spans="1:18" ht="13">
      <c r="A321" s="865">
        <v>5401</v>
      </c>
      <c r="B321" s="866" t="s">
        <v>217</v>
      </c>
      <c r="C321" s="289">
        <f>VLOOKUP($A321,K0kommunestruktur2019!$A$4:$N$425,K0kommunestruktur2020altern!C$3,FALSE)</f>
        <v>71590</v>
      </c>
      <c r="D321" s="177">
        <f>VLOOKUP($A321,K0kommunestruktur2019!$A$4:$N$425,K0kommunestruktur2020altern!D$3,FALSE)</f>
        <v>1698963</v>
      </c>
      <c r="E321" s="289">
        <f>VLOOKUP($A321,K0kommunestruktur2019!$A$4:$N$425,K0kommunestruktur2020altern!E$3,FALSE)</f>
        <v>72681</v>
      </c>
      <c r="F321" s="177">
        <f>VLOOKUP($A321,K0kommunestruktur2019!$A$4:$N$425,K0kommunestruktur2020altern!F$3,FALSE)</f>
        <v>1840079</v>
      </c>
      <c r="G321" s="289">
        <f>VLOOKUP($A321,K0kommunestruktur2019!$A$4:$N$425,K0kommunestruktur2020altern!G$3,FALSE)</f>
        <v>73480</v>
      </c>
      <c r="H321" s="177">
        <f>VLOOKUP($A321,K0kommunestruktur2019!$A$4:$N$425,K0kommunestruktur2020altern!H$3,FALSE)</f>
        <v>2034480</v>
      </c>
      <c r="I321" s="289">
        <f>VLOOKUP($A321,K0kommunestruktur2019!$A$4:$N$425,K0kommunestruktur2020altern!I$3,FALSE)</f>
        <v>74541</v>
      </c>
      <c r="J321" s="177">
        <f>VLOOKUP($A321,K0kommunestruktur2019!$A$4:$N$425,K0kommunestruktur2020altern!J$3,FALSE)</f>
        <v>2166065</v>
      </c>
      <c r="K321" s="289">
        <f>VLOOKUP($A321,K0kommunestruktur2019!$A$4:$N$425,K0kommunestruktur2020altern!K$3,FALSE)</f>
        <v>75638</v>
      </c>
      <c r="L321" s="177">
        <f>VLOOKUP($A321,K0kommunestruktur2019!$A$4:$N$425,K0kommunestruktur2020altern!L$3,FALSE)</f>
        <v>2296830</v>
      </c>
      <c r="M321" s="289">
        <f>VLOOKUP($A321,K0kommunestruktur2019!$A$4:$N$425,K0kommunestruktur2020altern!M$3,FALSE)</f>
        <v>76649</v>
      </c>
      <c r="N321" s="177">
        <f>VLOOKUP($A321,K0kommunestruktur2019!$A$4:$N$425,K0kommunestruktur2020altern!N$3,FALSE)</f>
        <v>2383917</v>
      </c>
      <c r="O321" s="289">
        <f>+'K20'!C321</f>
        <v>76974</v>
      </c>
      <c r="P321" s="177">
        <f>+'K20'!Z321</f>
        <v>2351318</v>
      </c>
      <c r="R321" s="517"/>
    </row>
    <row r="322" spans="1:18" ht="13">
      <c r="A322" s="865">
        <v>5402</v>
      </c>
      <c r="B322" s="866" t="s">
        <v>216</v>
      </c>
      <c r="C322" s="289">
        <f>VLOOKUP($A322,K0kommunestruktur2019!$A$4:$N$425,K0kommunestruktur2020altern!C$3,FALSE)</f>
        <v>24441</v>
      </c>
      <c r="D322" s="177">
        <f>VLOOKUP($A322,K0kommunestruktur2019!$A$4:$N$425,K0kommunestruktur2020altern!D$3,FALSE)</f>
        <v>531842</v>
      </c>
      <c r="E322" s="289">
        <f>VLOOKUP($A322,K0kommunestruktur2019!$A$4:$N$425,K0kommunestruktur2020altern!E$3,FALSE)</f>
        <v>24676</v>
      </c>
      <c r="F322" s="177">
        <f>VLOOKUP($A322,K0kommunestruktur2019!$A$4:$N$425,K0kommunestruktur2020altern!F$3,FALSE)</f>
        <v>581441</v>
      </c>
      <c r="G322" s="289">
        <f>VLOOKUP($A322,K0kommunestruktur2019!$A$4:$N$425,K0kommunestruktur2020altern!G$3,FALSE)</f>
        <v>24695</v>
      </c>
      <c r="H322" s="177">
        <f>VLOOKUP($A322,K0kommunestruktur2019!$A$4:$N$425,K0kommunestruktur2020altern!H$3,FALSE)</f>
        <v>623987</v>
      </c>
      <c r="I322" s="289">
        <f>VLOOKUP($A322,K0kommunestruktur2019!$A$4:$N$425,K0kommunestruktur2020altern!I$3,FALSE)</f>
        <v>24845</v>
      </c>
      <c r="J322" s="177">
        <f>VLOOKUP($A322,K0kommunestruktur2019!$A$4:$N$425,K0kommunestruktur2020altern!J$3,FALSE)</f>
        <v>647002</v>
      </c>
      <c r="K322" s="289">
        <f>VLOOKUP($A322,K0kommunestruktur2019!$A$4:$N$425,K0kommunestruktur2020altern!K$3,FALSE)</f>
        <v>24820</v>
      </c>
      <c r="L322" s="177">
        <f>VLOOKUP($A322,K0kommunestruktur2019!$A$4:$N$425,K0kommunestruktur2020altern!L$3,FALSE)</f>
        <v>674405</v>
      </c>
      <c r="M322" s="289">
        <f>VLOOKUP($A322,K0kommunestruktur2019!$A$4:$N$425,K0kommunestruktur2020altern!M$3,FALSE)</f>
        <v>24827</v>
      </c>
      <c r="N322" s="177">
        <f>VLOOKUP($A322,K0kommunestruktur2019!$A$4:$N$425,K0kommunestruktur2020altern!N$3,FALSE)</f>
        <v>691142</v>
      </c>
      <c r="O322" s="289">
        <f>+'K20'!C322</f>
        <v>24703</v>
      </c>
      <c r="P322" s="177">
        <f>+'K20'!Z322</f>
        <v>665390</v>
      </c>
      <c r="R322" s="517"/>
    </row>
    <row r="323" spans="1:18" ht="13">
      <c r="A323" s="865">
        <v>5403</v>
      </c>
      <c r="B323" s="866" t="s">
        <v>245</v>
      </c>
      <c r="C323" s="289">
        <f>VLOOKUP($A323,K0kommunestruktur2019!$A$4:$N$425,K0kommunestruktur2020altern!C$3,FALSE)</f>
        <v>19822</v>
      </c>
      <c r="D323" s="177">
        <f>VLOOKUP($A323,K0kommunestruktur2019!$A$4:$N$425,K0kommunestruktur2020altern!D$3,FALSE)</f>
        <v>392331</v>
      </c>
      <c r="E323" s="289">
        <f>VLOOKUP($A323,K0kommunestruktur2019!$A$4:$N$425,K0kommunestruktur2020altern!E$3,FALSE)</f>
        <v>19898</v>
      </c>
      <c r="F323" s="177">
        <f>VLOOKUP($A323,K0kommunestruktur2019!$A$4:$N$425,K0kommunestruktur2020altern!F$3,FALSE)</f>
        <v>425132</v>
      </c>
      <c r="G323" s="289">
        <f>VLOOKUP($A323,K0kommunestruktur2019!$A$4:$N$425,K0kommunestruktur2020altern!G$3,FALSE)</f>
        <v>20097</v>
      </c>
      <c r="H323" s="177">
        <f>VLOOKUP($A323,K0kommunestruktur2019!$A$4:$N$425,K0kommunestruktur2020altern!H$3,FALSE)</f>
        <v>470693</v>
      </c>
      <c r="I323" s="289">
        <f>VLOOKUP($A323,K0kommunestruktur2019!$A$4:$N$425,K0kommunestruktur2020altern!I$3,FALSE)</f>
        <v>20446</v>
      </c>
      <c r="J323" s="177">
        <f>VLOOKUP($A323,K0kommunestruktur2019!$A$4:$N$425,K0kommunestruktur2020altern!J$3,FALSE)</f>
        <v>505393</v>
      </c>
      <c r="K323" s="289">
        <f>VLOOKUP($A323,K0kommunestruktur2019!$A$4:$N$425,K0kommunestruktur2020altern!K$3,FALSE)</f>
        <v>20635</v>
      </c>
      <c r="L323" s="177">
        <f>VLOOKUP($A323,K0kommunestruktur2019!$A$4:$N$425,K0kommunestruktur2020altern!L$3,FALSE)</f>
        <v>542406</v>
      </c>
      <c r="M323" s="289">
        <f>VLOOKUP($A323,K0kommunestruktur2019!$A$4:$N$425,K0kommunestruktur2020altern!M$3,FALSE)</f>
        <v>20665</v>
      </c>
      <c r="N323" s="177">
        <f>VLOOKUP($A323,K0kommunestruktur2019!$A$4:$N$425,K0kommunestruktur2020altern!N$3,FALSE)</f>
        <v>568373</v>
      </c>
      <c r="O323" s="289">
        <f>+'K20'!C323</f>
        <v>20789</v>
      </c>
      <c r="P323" s="177">
        <f>+'K20'!Z323</f>
        <v>564534</v>
      </c>
      <c r="R323" s="517"/>
    </row>
    <row r="324" spans="1:18" ht="13">
      <c r="A324" s="865">
        <v>5404</v>
      </c>
      <c r="B324" s="866" t="s">
        <v>241</v>
      </c>
      <c r="C324" s="289">
        <f>VLOOKUP($A324,K0kommunestruktur2019!$A$4:$N$425,K0kommunestruktur2020altern!C$3,FALSE)</f>
        <v>2119</v>
      </c>
      <c r="D324" s="177">
        <f>VLOOKUP($A324,K0kommunestruktur2019!$A$4:$N$425,K0kommunestruktur2020altern!D$3,FALSE)</f>
        <v>39140</v>
      </c>
      <c r="E324" s="289">
        <f>VLOOKUP($A324,K0kommunestruktur2019!$A$4:$N$425,K0kommunestruktur2020altern!E$3,FALSE)</f>
        <v>2128</v>
      </c>
      <c r="F324" s="177">
        <f>VLOOKUP($A324,K0kommunestruktur2019!$A$4:$N$425,K0kommunestruktur2020altern!F$3,FALSE)</f>
        <v>41735</v>
      </c>
      <c r="G324" s="289">
        <f>VLOOKUP($A324,K0kommunestruktur2019!$A$4:$N$425,K0kommunestruktur2020altern!G$3,FALSE)</f>
        <v>2137</v>
      </c>
      <c r="H324" s="177">
        <f>VLOOKUP($A324,K0kommunestruktur2019!$A$4:$N$425,K0kommunestruktur2020altern!H$3,FALSE)</f>
        <v>46439</v>
      </c>
      <c r="I324" s="289">
        <f>VLOOKUP($A324,K0kommunestruktur2019!$A$4:$N$425,K0kommunestruktur2020altern!I$3,FALSE)</f>
        <v>2104</v>
      </c>
      <c r="J324" s="177">
        <f>VLOOKUP($A324,K0kommunestruktur2019!$A$4:$N$425,K0kommunestruktur2020altern!J$3,FALSE)</f>
        <v>46940</v>
      </c>
      <c r="K324" s="289">
        <f>VLOOKUP($A324,K0kommunestruktur2019!$A$4:$N$425,K0kommunestruktur2020altern!K$3,FALSE)</f>
        <v>2110</v>
      </c>
      <c r="L324" s="177">
        <f>VLOOKUP($A324,K0kommunestruktur2019!$A$4:$N$425,K0kommunestruktur2020altern!L$3,FALSE)</f>
        <v>46676</v>
      </c>
      <c r="M324" s="289">
        <f>VLOOKUP($A324,K0kommunestruktur2019!$A$4:$N$425,K0kommunestruktur2020altern!M$3,FALSE)</f>
        <v>2081</v>
      </c>
      <c r="N324" s="177">
        <f>VLOOKUP($A324,K0kommunestruktur2019!$A$4:$N$425,K0kommunestruktur2020altern!N$3,FALSE)</f>
        <v>47631</v>
      </c>
      <c r="O324" s="289">
        <f>+'K20'!C324</f>
        <v>2029</v>
      </c>
      <c r="P324" s="177">
        <f>+'K20'!Z324</f>
        <v>45266</v>
      </c>
      <c r="R324" s="517"/>
    </row>
    <row r="325" spans="1:18" ht="13">
      <c r="A325" s="865">
        <v>5405</v>
      </c>
      <c r="B325" s="866" t="s">
        <v>242</v>
      </c>
      <c r="C325" s="289">
        <f>VLOOKUP($A325,K0kommunestruktur2019!$A$4:$N$425,K0kommunestruktur2020altern!C$3,FALSE)</f>
        <v>6223</v>
      </c>
      <c r="D325" s="177">
        <f>VLOOKUP($A325,K0kommunestruktur2019!$A$4:$N$425,K0kommunestruktur2020altern!D$3,FALSE)</f>
        <v>128264</v>
      </c>
      <c r="E325" s="289">
        <f>VLOOKUP($A325,K0kommunestruktur2019!$A$4:$N$425,K0kommunestruktur2020altern!E$3,FALSE)</f>
        <v>6239</v>
      </c>
      <c r="F325" s="177">
        <f>VLOOKUP($A325,K0kommunestruktur2019!$A$4:$N$425,K0kommunestruktur2020altern!F$3,FALSE)</f>
        <v>135985</v>
      </c>
      <c r="G325" s="289">
        <f>VLOOKUP($A325,K0kommunestruktur2019!$A$4:$N$425,K0kommunestruktur2020altern!G$3,FALSE)</f>
        <v>6160</v>
      </c>
      <c r="H325" s="177">
        <f>VLOOKUP($A325,K0kommunestruktur2019!$A$4:$N$425,K0kommunestruktur2020altern!H$3,FALSE)</f>
        <v>143163</v>
      </c>
      <c r="I325" s="289">
        <f>VLOOKUP($A325,K0kommunestruktur2019!$A$4:$N$425,K0kommunestruktur2020altern!I$3,FALSE)</f>
        <v>6154</v>
      </c>
      <c r="J325" s="177">
        <f>VLOOKUP($A325,K0kommunestruktur2019!$A$4:$N$425,K0kommunestruktur2020altern!J$3,FALSE)</f>
        <v>148082</v>
      </c>
      <c r="K325" s="289">
        <f>VLOOKUP($A325,K0kommunestruktur2019!$A$4:$N$425,K0kommunestruktur2020altern!K$3,FALSE)</f>
        <v>6033</v>
      </c>
      <c r="L325" s="177">
        <f>VLOOKUP($A325,K0kommunestruktur2019!$A$4:$N$425,K0kommunestruktur2020altern!L$3,FALSE)</f>
        <v>152909</v>
      </c>
      <c r="M325" s="289">
        <f>VLOOKUP($A325,K0kommunestruktur2019!$A$4:$N$425,K0kommunestruktur2020altern!M$3,FALSE)</f>
        <v>5894</v>
      </c>
      <c r="N325" s="177">
        <f>VLOOKUP($A325,K0kommunestruktur2019!$A$4:$N$425,K0kommunestruktur2020altern!N$3,FALSE)</f>
        <v>153202</v>
      </c>
      <c r="O325" s="289">
        <f>+'K20'!C325</f>
        <v>5788</v>
      </c>
      <c r="P325" s="177">
        <f>+'K20'!Z325</f>
        <v>150625</v>
      </c>
      <c r="R325" s="517"/>
    </row>
    <row r="326" spans="1:18" ht="13">
      <c r="A326" s="878">
        <v>5406</v>
      </c>
      <c r="B326" s="883" t="s">
        <v>1648</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+'K20'!C326</f>
        <v>11448</v>
      </c>
      <c r="P326" s="177">
        <f>+'K20'!Z326</f>
        <v>331008</v>
      </c>
      <c r="R326" s="517"/>
    </row>
    <row r="327" spans="1:18" ht="13">
      <c r="A327" s="865">
        <v>5411</v>
      </c>
      <c r="B327" s="866" t="s">
        <v>218</v>
      </c>
      <c r="C327" s="289">
        <f>VLOOKUP($A327,K0kommunestruktur2019!$A$4:$N$425,K0kommunestruktur2020altern!C$3,FALSE)</f>
        <v>3107</v>
      </c>
      <c r="D327" s="177">
        <f>VLOOKUP($A327,K0kommunestruktur2019!$A$4:$N$425,K0kommunestruktur2020altern!D$3,FALSE)</f>
        <v>53243</v>
      </c>
      <c r="E327" s="289">
        <f>VLOOKUP($A327,K0kommunestruktur2019!$A$4:$N$425,K0kommunestruktur2020altern!E$3,FALSE)</f>
        <v>3076</v>
      </c>
      <c r="F327" s="177">
        <f>VLOOKUP($A327,K0kommunestruktur2019!$A$4:$N$425,K0kommunestruktur2020altern!F$3,FALSE)</f>
        <v>56094</v>
      </c>
      <c r="G327" s="289">
        <f>VLOOKUP($A327,K0kommunestruktur2019!$A$4:$N$425,K0kommunestruktur2020altern!G$3,FALSE)</f>
        <v>3029</v>
      </c>
      <c r="H327" s="177">
        <f>VLOOKUP($A327,K0kommunestruktur2019!$A$4:$N$425,K0kommunestruktur2020altern!H$3,FALSE)</f>
        <v>60507</v>
      </c>
      <c r="I327" s="289">
        <f>VLOOKUP($A327,K0kommunestruktur2019!$A$4:$N$425,K0kommunestruktur2020altern!I$3,FALSE)</f>
        <v>2986</v>
      </c>
      <c r="J327" s="177">
        <f>VLOOKUP($A327,K0kommunestruktur2019!$A$4:$N$425,K0kommunestruktur2020altern!J$3,FALSE)</f>
        <v>65886</v>
      </c>
      <c r="K327" s="289">
        <f>VLOOKUP($A327,K0kommunestruktur2019!$A$4:$N$425,K0kommunestruktur2020altern!K$3,FALSE)</f>
        <v>2928</v>
      </c>
      <c r="L327" s="177">
        <f>VLOOKUP($A327,K0kommunestruktur2019!$A$4:$N$425,K0kommunestruktur2020altern!L$3,FALSE)</f>
        <v>68090</v>
      </c>
      <c r="M327" s="289">
        <f>VLOOKUP($A327,K0kommunestruktur2019!$A$4:$N$425,K0kommunestruktur2020altern!M$3,FALSE)</f>
        <v>2858</v>
      </c>
      <c r="N327" s="177">
        <f>VLOOKUP($A327,K0kommunestruktur2019!$A$4:$N$425,K0kommunestruktur2020altern!N$3,FALSE)</f>
        <v>63611</v>
      </c>
      <c r="O327" s="289">
        <f>+'K20'!C327</f>
        <v>2839</v>
      </c>
      <c r="P327" s="177">
        <f>+'K20'!Z327</f>
        <v>61754</v>
      </c>
      <c r="R327" s="517"/>
    </row>
    <row r="328" spans="1:18" ht="13">
      <c r="A328" s="878">
        <v>5412</v>
      </c>
      <c r="B328" s="883" t="s">
        <v>1649</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+'K20'!C328</f>
        <v>4216</v>
      </c>
      <c r="P328" s="177">
        <f>+'K20'!Z328</f>
        <v>101538</v>
      </c>
      <c r="R328" s="517"/>
    </row>
    <row r="329" spans="1:18" ht="13">
      <c r="A329" s="865">
        <v>5413</v>
      </c>
      <c r="B329" s="866" t="s">
        <v>221</v>
      </c>
      <c r="C329" s="289">
        <f>VLOOKUP($A329,K0kommunestruktur2019!$A$4:$N$425,K0kommunestruktur2020altern!C$3,FALSE)</f>
        <v>1436</v>
      </c>
      <c r="D329" s="177">
        <f>VLOOKUP($A329,K0kommunestruktur2019!$A$4:$N$425,K0kommunestruktur2020altern!D$3,FALSE)</f>
        <v>26022</v>
      </c>
      <c r="E329" s="289">
        <f>VLOOKUP($A329,K0kommunestruktur2019!$A$4:$N$425,K0kommunestruktur2020altern!E$3,FALSE)</f>
        <v>1410</v>
      </c>
      <c r="F329" s="177">
        <f>VLOOKUP($A329,K0kommunestruktur2019!$A$4:$N$425,K0kommunestruktur2020altern!F$3,FALSE)</f>
        <v>26855</v>
      </c>
      <c r="G329" s="289">
        <f>VLOOKUP($A329,K0kommunestruktur2019!$A$4:$N$425,K0kommunestruktur2020altern!G$3,FALSE)</f>
        <v>1403</v>
      </c>
      <c r="H329" s="177">
        <f>VLOOKUP($A329,K0kommunestruktur2019!$A$4:$N$425,K0kommunestruktur2020altern!H$3,FALSE)</f>
        <v>31656</v>
      </c>
      <c r="I329" s="289">
        <f>VLOOKUP($A329,K0kommunestruktur2019!$A$4:$N$425,K0kommunestruktur2020altern!I$3,FALSE)</f>
        <v>1394</v>
      </c>
      <c r="J329" s="177">
        <f>VLOOKUP($A329,K0kommunestruktur2019!$A$4:$N$425,K0kommunestruktur2020altern!J$3,FALSE)</f>
        <v>34562</v>
      </c>
      <c r="K329" s="289">
        <f>VLOOKUP($A329,K0kommunestruktur2019!$A$4:$N$425,K0kommunestruktur2020altern!K$3,FALSE)</f>
        <v>1380</v>
      </c>
      <c r="L329" s="177">
        <f>VLOOKUP($A329,K0kommunestruktur2019!$A$4:$N$425,K0kommunestruktur2020altern!L$3,FALSE)</f>
        <v>38050</v>
      </c>
      <c r="M329" s="289">
        <f>VLOOKUP($A329,K0kommunestruktur2019!$A$4:$N$425,K0kommunestruktur2020altern!M$3,FALSE)</f>
        <v>1375</v>
      </c>
      <c r="N329" s="177">
        <f>VLOOKUP($A329,K0kommunestruktur2019!$A$4:$N$425,K0kommunestruktur2020altern!N$3,FALSE)</f>
        <v>36128</v>
      </c>
      <c r="O329" s="289">
        <f>+'K20'!C329</f>
        <v>1361</v>
      </c>
      <c r="P329" s="177">
        <f>+'K20'!Z329</f>
        <v>34850</v>
      </c>
      <c r="R329" s="517"/>
    </row>
    <row r="330" spans="1:18" ht="13">
      <c r="A330" s="865">
        <v>5414</v>
      </c>
      <c r="B330" s="866" t="s">
        <v>222</v>
      </c>
      <c r="C330" s="289">
        <f>VLOOKUP($A330,K0kommunestruktur2019!$A$4:$N$425,K0kommunestruktur2020altern!C$3,FALSE)</f>
        <v>1135</v>
      </c>
      <c r="D330" s="177">
        <f>VLOOKUP($A330,K0kommunestruktur2019!$A$4:$N$425,K0kommunestruktur2020altern!D$3,FALSE)</f>
        <v>19557</v>
      </c>
      <c r="E330" s="289">
        <f>VLOOKUP($A330,K0kommunestruktur2019!$A$4:$N$425,K0kommunestruktur2020altern!E$3,FALSE)</f>
        <v>1137</v>
      </c>
      <c r="F330" s="177">
        <f>VLOOKUP($A330,K0kommunestruktur2019!$A$4:$N$425,K0kommunestruktur2020altern!F$3,FALSE)</f>
        <v>20678</v>
      </c>
      <c r="G330" s="289">
        <f>VLOOKUP($A330,K0kommunestruktur2019!$A$4:$N$425,K0kommunestruktur2020altern!G$3,FALSE)</f>
        <v>1137</v>
      </c>
      <c r="H330" s="177">
        <f>VLOOKUP($A330,K0kommunestruktur2019!$A$4:$N$425,K0kommunestruktur2020altern!H$3,FALSE)</f>
        <v>22524</v>
      </c>
      <c r="I330" s="289">
        <f>VLOOKUP($A330,K0kommunestruktur2019!$A$4:$N$425,K0kommunestruktur2020altern!I$3,FALSE)</f>
        <v>1121</v>
      </c>
      <c r="J330" s="177">
        <f>VLOOKUP($A330,K0kommunestruktur2019!$A$4:$N$425,K0kommunestruktur2020altern!J$3,FALSE)</f>
        <v>24726</v>
      </c>
      <c r="K330" s="289">
        <f>VLOOKUP($A330,K0kommunestruktur2019!$A$4:$N$425,K0kommunestruktur2020altern!K$3,FALSE)</f>
        <v>1117</v>
      </c>
      <c r="L330" s="177">
        <f>VLOOKUP($A330,K0kommunestruktur2019!$A$4:$N$425,K0kommunestruktur2020altern!L$3,FALSE)</f>
        <v>26493</v>
      </c>
      <c r="M330" s="289">
        <f>VLOOKUP($A330,K0kommunestruktur2019!$A$4:$N$425,K0kommunestruktur2020altern!M$3,FALSE)</f>
        <v>1105</v>
      </c>
      <c r="N330" s="177">
        <f>VLOOKUP($A330,K0kommunestruktur2019!$A$4:$N$425,K0kommunestruktur2020altern!N$3,FALSE)</f>
        <v>28318</v>
      </c>
      <c r="O330" s="289">
        <f>+'K20'!C330</f>
        <v>1091</v>
      </c>
      <c r="P330" s="177">
        <f>+'K20'!Z330</f>
        <v>28544</v>
      </c>
      <c r="R330" s="517"/>
    </row>
    <row r="331" spans="1:18" ht="13">
      <c r="A331" s="865">
        <v>5415</v>
      </c>
      <c r="B331" s="866" t="s">
        <v>223</v>
      </c>
      <c r="C331" s="289">
        <f>VLOOKUP($A331,K0kommunestruktur2019!$A$4:$N$425,K0kommunestruktur2020altern!C$3,FALSE)</f>
        <v>1014</v>
      </c>
      <c r="D331" s="177">
        <f>VLOOKUP($A331,K0kommunestruktur2019!$A$4:$N$425,K0kommunestruktur2020altern!D$3,FALSE)</f>
        <v>15717</v>
      </c>
      <c r="E331" s="289">
        <f>VLOOKUP($A331,K0kommunestruktur2019!$A$4:$N$425,K0kommunestruktur2020altern!E$3,FALSE)</f>
        <v>1008</v>
      </c>
      <c r="F331" s="177">
        <f>VLOOKUP($A331,K0kommunestruktur2019!$A$4:$N$425,K0kommunestruktur2020altern!F$3,FALSE)</f>
        <v>18284</v>
      </c>
      <c r="G331" s="289">
        <f>VLOOKUP($A331,K0kommunestruktur2019!$A$4:$N$425,K0kommunestruktur2020altern!G$3,FALSE)</f>
        <v>1051</v>
      </c>
      <c r="H331" s="177">
        <f>VLOOKUP($A331,K0kommunestruktur2019!$A$4:$N$425,K0kommunestruktur2020altern!H$3,FALSE)</f>
        <v>19351</v>
      </c>
      <c r="I331" s="289">
        <f>VLOOKUP($A331,K0kommunestruktur2019!$A$4:$N$425,K0kommunestruktur2020altern!I$3,FALSE)</f>
        <v>1076</v>
      </c>
      <c r="J331" s="177">
        <f>VLOOKUP($A331,K0kommunestruktur2019!$A$4:$N$425,K0kommunestruktur2020altern!J$3,FALSE)</f>
        <v>19972</v>
      </c>
      <c r="K331" s="289">
        <f>VLOOKUP($A331,K0kommunestruktur2019!$A$4:$N$425,K0kommunestruktur2020altern!K$3,FALSE)</f>
        <v>1061</v>
      </c>
      <c r="L331" s="177">
        <f>VLOOKUP($A331,K0kommunestruktur2019!$A$4:$N$425,K0kommunestruktur2020altern!L$3,FALSE)</f>
        <v>21842</v>
      </c>
      <c r="M331" s="289">
        <f>VLOOKUP($A331,K0kommunestruktur2019!$A$4:$N$425,K0kommunestruktur2020altern!M$3,FALSE)</f>
        <v>1042</v>
      </c>
      <c r="N331" s="177">
        <f>VLOOKUP($A331,K0kommunestruktur2019!$A$4:$N$425,K0kommunestruktur2020altern!N$3,FALSE)</f>
        <v>22320</v>
      </c>
      <c r="O331" s="289">
        <f>+'K20'!C331</f>
        <v>1034</v>
      </c>
      <c r="P331" s="177">
        <f>+'K20'!Z331</f>
        <v>22101</v>
      </c>
      <c r="R331" s="517"/>
    </row>
    <row r="332" spans="1:18" ht="13">
      <c r="A332" s="865">
        <v>5416</v>
      </c>
      <c r="B332" s="866" t="s">
        <v>224</v>
      </c>
      <c r="C332" s="289">
        <f>VLOOKUP($A332,K0kommunestruktur2019!$A$4:$N$425,K0kommunestruktur2020altern!C$3,FALSE)</f>
        <v>3985</v>
      </c>
      <c r="D332" s="177">
        <f>VLOOKUP($A332,K0kommunestruktur2019!$A$4:$N$425,K0kommunestruktur2020altern!D$3,FALSE)</f>
        <v>95072</v>
      </c>
      <c r="E332" s="289">
        <f>VLOOKUP($A332,K0kommunestruktur2019!$A$4:$N$425,K0kommunestruktur2020altern!E$3,FALSE)</f>
        <v>4078</v>
      </c>
      <c r="F332" s="177">
        <f>VLOOKUP($A332,K0kommunestruktur2019!$A$4:$N$425,K0kommunestruktur2020altern!F$3,FALSE)</f>
        <v>103643</v>
      </c>
      <c r="G332" s="289">
        <f>VLOOKUP($A332,K0kommunestruktur2019!$A$4:$N$425,K0kommunestruktur2020altern!G$3,FALSE)</f>
        <v>4019</v>
      </c>
      <c r="H332" s="177">
        <f>VLOOKUP($A332,K0kommunestruktur2019!$A$4:$N$425,K0kommunestruktur2020altern!H$3,FALSE)</f>
        <v>109015</v>
      </c>
      <c r="I332" s="289">
        <f>VLOOKUP($A332,K0kommunestruktur2019!$A$4:$N$425,K0kommunestruktur2020altern!I$3,FALSE)</f>
        <v>3994</v>
      </c>
      <c r="J332" s="177">
        <f>VLOOKUP($A332,K0kommunestruktur2019!$A$4:$N$425,K0kommunestruktur2020altern!J$3,FALSE)</f>
        <v>115085</v>
      </c>
      <c r="K332" s="289">
        <f>VLOOKUP($A332,K0kommunestruktur2019!$A$4:$N$425,K0kommunestruktur2020altern!K$3,FALSE)</f>
        <v>3979</v>
      </c>
      <c r="L332" s="177">
        <f>VLOOKUP($A332,K0kommunestruktur2019!$A$4:$N$425,K0kommunestruktur2020altern!L$3,FALSE)</f>
        <v>120113</v>
      </c>
      <c r="M332" s="289">
        <f>VLOOKUP($A332,K0kommunestruktur2019!$A$4:$N$425,K0kommunestruktur2020altern!M$3,FALSE)</f>
        <v>4030</v>
      </c>
      <c r="N332" s="177">
        <f>VLOOKUP($A332,K0kommunestruktur2019!$A$4:$N$425,K0kommunestruktur2020altern!N$3,FALSE)</f>
        <v>127207</v>
      </c>
      <c r="O332" s="289">
        <f>+'K20'!C332</f>
        <v>4005</v>
      </c>
      <c r="P332" s="177">
        <f>+'K20'!Z332</f>
        <v>121816</v>
      </c>
      <c r="R332" s="517"/>
    </row>
    <row r="333" spans="1:18" ht="13">
      <c r="A333" s="865">
        <v>5417</v>
      </c>
      <c r="B333" s="866" t="s">
        <v>225</v>
      </c>
      <c r="C333" s="289">
        <f>VLOOKUP($A333,K0kommunestruktur2019!$A$4:$N$425,K0kommunestruktur2020altern!C$3,FALSE)</f>
        <v>2223</v>
      </c>
      <c r="D333" s="177">
        <f>VLOOKUP($A333,K0kommunestruktur2019!$A$4:$N$425,K0kommunestruktur2020altern!D$3,FALSE)</f>
        <v>38368</v>
      </c>
      <c r="E333" s="289">
        <f>VLOOKUP($A333,K0kommunestruktur2019!$A$4:$N$425,K0kommunestruktur2020altern!E$3,FALSE)</f>
        <v>2219</v>
      </c>
      <c r="F333" s="177">
        <f>VLOOKUP($A333,K0kommunestruktur2019!$A$4:$N$425,K0kommunestruktur2020altern!F$3,FALSE)</f>
        <v>42072</v>
      </c>
      <c r="G333" s="289">
        <f>VLOOKUP($A333,K0kommunestruktur2019!$A$4:$N$425,K0kommunestruktur2020altern!G$3,FALSE)</f>
        <v>2230</v>
      </c>
      <c r="H333" s="177">
        <f>VLOOKUP($A333,K0kommunestruktur2019!$A$4:$N$425,K0kommunestruktur2020altern!H$3,FALSE)</f>
        <v>46921</v>
      </c>
      <c r="I333" s="289">
        <f>VLOOKUP($A333,K0kommunestruktur2019!$A$4:$N$425,K0kommunestruktur2020altern!I$3,FALSE)</f>
        <v>2220</v>
      </c>
      <c r="J333" s="177">
        <f>VLOOKUP($A333,K0kommunestruktur2019!$A$4:$N$425,K0kommunestruktur2020altern!J$3,FALSE)</f>
        <v>51862</v>
      </c>
      <c r="K333" s="289">
        <f>VLOOKUP($A333,K0kommunestruktur2019!$A$4:$N$425,K0kommunestruktur2020altern!K$3,FALSE)</f>
        <v>2226</v>
      </c>
      <c r="L333" s="177">
        <f>VLOOKUP($A333,K0kommunestruktur2019!$A$4:$N$425,K0kommunestruktur2020altern!L$3,FALSE)</f>
        <v>52604</v>
      </c>
      <c r="M333" s="289">
        <f>VLOOKUP($A333,K0kommunestruktur2019!$A$4:$N$425,K0kommunestruktur2020altern!M$3,FALSE)</f>
        <v>2183</v>
      </c>
      <c r="N333" s="177">
        <f>VLOOKUP($A333,K0kommunestruktur2019!$A$4:$N$425,K0kommunestruktur2020altern!N$3,FALSE)</f>
        <v>56979</v>
      </c>
      <c r="O333" s="289">
        <f>+'K20'!C333</f>
        <v>2146</v>
      </c>
      <c r="P333" s="177">
        <f>+'K20'!Z333</f>
        <v>56569</v>
      </c>
      <c r="R333" s="517"/>
    </row>
    <row r="334" spans="1:18" ht="13">
      <c r="A334" s="865">
        <v>5418</v>
      </c>
      <c r="B334" s="866" t="s">
        <v>226</v>
      </c>
      <c r="C334" s="289">
        <f>VLOOKUP($A334,K0kommunestruktur2019!$A$4:$N$425,K0kommunestruktur2020altern!C$3,FALSE)</f>
        <v>6634</v>
      </c>
      <c r="D334" s="177">
        <f>VLOOKUP($A334,K0kommunestruktur2019!$A$4:$N$425,K0kommunestruktur2020altern!D$3,FALSE)</f>
        <v>149063</v>
      </c>
      <c r="E334" s="289">
        <f>VLOOKUP($A334,K0kommunestruktur2019!$A$4:$N$425,K0kommunestruktur2020altern!E$3,FALSE)</f>
        <v>6693</v>
      </c>
      <c r="F334" s="177">
        <f>VLOOKUP($A334,K0kommunestruktur2019!$A$4:$N$425,K0kommunestruktur2020altern!F$3,FALSE)</f>
        <v>166088</v>
      </c>
      <c r="G334" s="289">
        <f>VLOOKUP($A334,K0kommunestruktur2019!$A$4:$N$425,K0kommunestruktur2020altern!G$3,FALSE)</f>
        <v>6741</v>
      </c>
      <c r="H334" s="177">
        <f>VLOOKUP($A334,K0kommunestruktur2019!$A$4:$N$425,K0kommunestruktur2020altern!H$3,FALSE)</f>
        <v>179331</v>
      </c>
      <c r="I334" s="289">
        <f>VLOOKUP($A334,K0kommunestruktur2019!$A$4:$N$425,K0kommunestruktur2020altern!I$3,FALSE)</f>
        <v>6781</v>
      </c>
      <c r="J334" s="177">
        <f>VLOOKUP($A334,K0kommunestruktur2019!$A$4:$N$425,K0kommunestruktur2020altern!J$3,FALSE)</f>
        <v>187236</v>
      </c>
      <c r="K334" s="289">
        <f>VLOOKUP($A334,K0kommunestruktur2019!$A$4:$N$425,K0kommunestruktur2020altern!K$3,FALSE)</f>
        <v>6798</v>
      </c>
      <c r="L334" s="177">
        <f>VLOOKUP($A334,K0kommunestruktur2019!$A$4:$N$425,K0kommunestruktur2020altern!L$3,FALSE)</f>
        <v>184693</v>
      </c>
      <c r="M334" s="289">
        <f>VLOOKUP($A334,K0kommunestruktur2019!$A$4:$N$425,K0kommunestruktur2020altern!M$3,FALSE)</f>
        <v>6805</v>
      </c>
      <c r="N334" s="177">
        <f>VLOOKUP($A334,K0kommunestruktur2019!$A$4:$N$425,K0kommunestruktur2020altern!N$3,FALSE)</f>
        <v>195569</v>
      </c>
      <c r="O334" s="289">
        <f>+'K20'!C334</f>
        <v>6640</v>
      </c>
      <c r="P334" s="177">
        <f>+'K20'!Z334</f>
        <v>189438</v>
      </c>
      <c r="R334" s="517"/>
    </row>
    <row r="335" spans="1:18" ht="13">
      <c r="A335" s="865">
        <v>5419</v>
      </c>
      <c r="B335" s="866" t="s">
        <v>227</v>
      </c>
      <c r="C335" s="289">
        <f>VLOOKUP($A335,K0kommunestruktur2019!$A$4:$N$425,K0kommunestruktur2020altern!C$3,FALSE)</f>
        <v>3450</v>
      </c>
      <c r="D335" s="177">
        <f>VLOOKUP($A335,K0kommunestruktur2019!$A$4:$N$425,K0kommunestruktur2020altern!D$3,FALSE)</f>
        <v>68185</v>
      </c>
      <c r="E335" s="289">
        <f>VLOOKUP($A335,K0kommunestruktur2019!$A$4:$N$425,K0kommunestruktur2020altern!E$3,FALSE)</f>
        <v>3451</v>
      </c>
      <c r="F335" s="177">
        <f>VLOOKUP($A335,K0kommunestruktur2019!$A$4:$N$425,K0kommunestruktur2020altern!F$3,FALSE)</f>
        <v>73491</v>
      </c>
      <c r="G335" s="289">
        <f>VLOOKUP($A335,K0kommunestruktur2019!$A$4:$N$425,K0kommunestruktur2020altern!G$3,FALSE)</f>
        <v>3452</v>
      </c>
      <c r="H335" s="177">
        <f>VLOOKUP($A335,K0kommunestruktur2019!$A$4:$N$425,K0kommunestruktur2020altern!H$3,FALSE)</f>
        <v>81156</v>
      </c>
      <c r="I335" s="289">
        <f>VLOOKUP($A335,K0kommunestruktur2019!$A$4:$N$425,K0kommunestruktur2020altern!I$3,FALSE)</f>
        <v>3496</v>
      </c>
      <c r="J335" s="177">
        <f>VLOOKUP($A335,K0kommunestruktur2019!$A$4:$N$425,K0kommunestruktur2020altern!J$3,FALSE)</f>
        <v>83904</v>
      </c>
      <c r="K335" s="289">
        <f>VLOOKUP($A335,K0kommunestruktur2019!$A$4:$N$425,K0kommunestruktur2020altern!K$3,FALSE)</f>
        <v>3494</v>
      </c>
      <c r="L335" s="177">
        <f>VLOOKUP($A335,K0kommunestruktur2019!$A$4:$N$425,K0kommunestruktur2020altern!L$3,FALSE)</f>
        <v>86393</v>
      </c>
      <c r="M335" s="289">
        <f>VLOOKUP($A335,K0kommunestruktur2019!$A$4:$N$425,K0kommunestruktur2020altern!M$3,FALSE)</f>
        <v>3489</v>
      </c>
      <c r="N335" s="177">
        <f>VLOOKUP($A335,K0kommunestruktur2019!$A$4:$N$425,K0kommunestruktur2020altern!N$3,FALSE)</f>
        <v>90759</v>
      </c>
      <c r="O335" s="289">
        <f>+'K20'!C335</f>
        <v>3464</v>
      </c>
      <c r="P335" s="177">
        <f>+'K20'!Z335</f>
        <v>88223</v>
      </c>
      <c r="R335" s="517"/>
    </row>
    <row r="336" spans="1:18" ht="13">
      <c r="A336" s="865">
        <v>5420</v>
      </c>
      <c r="B336" s="866" t="s">
        <v>228</v>
      </c>
      <c r="C336" s="289">
        <f>VLOOKUP($A336,K0kommunestruktur2019!$A$4:$N$425,K0kommunestruktur2020altern!C$3,FALSE)</f>
        <v>1171</v>
      </c>
      <c r="D336" s="177">
        <f>VLOOKUP($A336,K0kommunestruktur2019!$A$4:$N$425,K0kommunestruktur2020altern!D$3,FALSE)</f>
        <v>20896</v>
      </c>
      <c r="E336" s="289">
        <f>VLOOKUP($A336,K0kommunestruktur2019!$A$4:$N$425,K0kommunestruktur2020altern!E$3,FALSE)</f>
        <v>1154</v>
      </c>
      <c r="F336" s="177">
        <f>VLOOKUP($A336,K0kommunestruktur2019!$A$4:$N$425,K0kommunestruktur2020altern!F$3,FALSE)</f>
        <v>21773</v>
      </c>
      <c r="G336" s="289">
        <f>VLOOKUP($A336,K0kommunestruktur2019!$A$4:$N$425,K0kommunestruktur2020altern!G$3,FALSE)</f>
        <v>1158</v>
      </c>
      <c r="H336" s="177">
        <f>VLOOKUP($A336,K0kommunestruktur2019!$A$4:$N$425,K0kommunestruktur2020altern!H$3,FALSE)</f>
        <v>22702</v>
      </c>
      <c r="I336" s="289">
        <f>VLOOKUP($A336,K0kommunestruktur2019!$A$4:$N$425,K0kommunestruktur2020altern!I$3,FALSE)</f>
        <v>1138</v>
      </c>
      <c r="J336" s="177">
        <f>VLOOKUP($A336,K0kommunestruktur2019!$A$4:$N$425,K0kommunestruktur2020altern!J$3,FALSE)</f>
        <v>23986</v>
      </c>
      <c r="K336" s="289">
        <f>VLOOKUP($A336,K0kommunestruktur2019!$A$4:$N$425,K0kommunestruktur2020altern!K$3,FALSE)</f>
        <v>1165</v>
      </c>
      <c r="L336" s="177">
        <f>VLOOKUP($A336,K0kommunestruktur2019!$A$4:$N$425,K0kommunestruktur2020altern!L$3,FALSE)</f>
        <v>25457</v>
      </c>
      <c r="M336" s="289">
        <f>VLOOKUP($A336,K0kommunestruktur2019!$A$4:$N$425,K0kommunestruktur2020altern!M$3,FALSE)</f>
        <v>1129</v>
      </c>
      <c r="N336" s="177">
        <f>VLOOKUP($A336,K0kommunestruktur2019!$A$4:$N$425,K0kommunestruktur2020altern!N$3,FALSE)</f>
        <v>25128</v>
      </c>
      <c r="O336" s="289">
        <f>+'K20'!C336</f>
        <v>1083</v>
      </c>
      <c r="P336" s="177">
        <f>+'K20'!Z336</f>
        <v>24841</v>
      </c>
      <c r="R336" s="517"/>
    </row>
    <row r="337" spans="1:18" ht="13">
      <c r="A337" s="878">
        <v>5421</v>
      </c>
      <c r="B337" s="883" t="s">
        <v>1650</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+'K20'!C337</f>
        <v>14851</v>
      </c>
      <c r="P337" s="177">
        <f>+'K20'!Z337</f>
        <v>376058</v>
      </c>
      <c r="R337" s="517"/>
    </row>
    <row r="338" spans="1:18" ht="13">
      <c r="A338" s="865">
        <v>5422</v>
      </c>
      <c r="B338" s="866" t="s">
        <v>233</v>
      </c>
      <c r="C338" s="289">
        <f>VLOOKUP($A338,K0kommunestruktur2019!$A$4:$N$425,K0kommunestruktur2020altern!C$3,FALSE)</f>
        <v>5593</v>
      </c>
      <c r="D338" s="177">
        <f>VLOOKUP($A338,K0kommunestruktur2019!$A$4:$N$425,K0kommunestruktur2020altern!D$3,FALSE)</f>
        <v>99418</v>
      </c>
      <c r="E338" s="289">
        <f>VLOOKUP($A338,K0kommunestruktur2019!$A$4:$N$425,K0kommunestruktur2020altern!E$3,FALSE)</f>
        <v>5720</v>
      </c>
      <c r="F338" s="177">
        <f>VLOOKUP($A338,K0kommunestruktur2019!$A$4:$N$425,K0kommunestruktur2020altern!F$3,FALSE)</f>
        <v>108717</v>
      </c>
      <c r="G338" s="289">
        <f>VLOOKUP($A338,K0kommunestruktur2019!$A$4:$N$425,K0kommunestruktur2020altern!G$3,FALSE)</f>
        <v>5701</v>
      </c>
      <c r="H338" s="177">
        <f>VLOOKUP($A338,K0kommunestruktur2019!$A$4:$N$425,K0kommunestruktur2020altern!H$3,FALSE)</f>
        <v>117146</v>
      </c>
      <c r="I338" s="289">
        <f>VLOOKUP($A338,K0kommunestruktur2019!$A$4:$N$425,K0kommunestruktur2020altern!I$3,FALSE)</f>
        <v>5685</v>
      </c>
      <c r="J338" s="177">
        <f>VLOOKUP($A338,K0kommunestruktur2019!$A$4:$N$425,K0kommunestruktur2020altern!J$3,FALSE)</f>
        <v>120376</v>
      </c>
      <c r="K338" s="289">
        <f>VLOOKUP($A338,K0kommunestruktur2019!$A$4:$N$425,K0kommunestruktur2020altern!K$3,FALSE)</f>
        <v>5653</v>
      </c>
      <c r="L338" s="177">
        <f>VLOOKUP($A338,K0kommunestruktur2019!$A$4:$N$425,K0kommunestruktur2020altern!L$3,FALSE)</f>
        <v>123856</v>
      </c>
      <c r="M338" s="289">
        <f>VLOOKUP($A338,K0kommunestruktur2019!$A$4:$N$425,K0kommunestruktur2020altern!M$3,FALSE)</f>
        <v>5625</v>
      </c>
      <c r="N338" s="177">
        <f>VLOOKUP($A338,K0kommunestruktur2019!$A$4:$N$425,K0kommunestruktur2020altern!N$3,FALSE)</f>
        <v>127282</v>
      </c>
      <c r="O338" s="289">
        <f>+'K20'!C338</f>
        <v>5559</v>
      </c>
      <c r="P338" s="177">
        <f>+'K20'!Z338</f>
        <v>127465</v>
      </c>
      <c r="R338" s="517"/>
    </row>
    <row r="339" spans="1:18" ht="13">
      <c r="A339" s="865">
        <v>5423</v>
      </c>
      <c r="B339" s="866" t="s">
        <v>234</v>
      </c>
      <c r="C339" s="289">
        <f>VLOOKUP($A339,K0kommunestruktur2019!$A$4:$N$425,K0kommunestruktur2020altern!C$3,FALSE)</f>
        <v>2334</v>
      </c>
      <c r="D339" s="177">
        <f>VLOOKUP($A339,K0kommunestruktur2019!$A$4:$N$425,K0kommunestruktur2020altern!D$3,FALSE)</f>
        <v>41906</v>
      </c>
      <c r="E339" s="289">
        <f>VLOOKUP($A339,K0kommunestruktur2019!$A$4:$N$425,K0kommunestruktur2020altern!E$3,FALSE)</f>
        <v>2289</v>
      </c>
      <c r="F339" s="177">
        <f>VLOOKUP($A339,K0kommunestruktur2019!$A$4:$N$425,K0kommunestruktur2020altern!F$3,FALSE)</f>
        <v>46139</v>
      </c>
      <c r="G339" s="289">
        <f>VLOOKUP($A339,K0kommunestruktur2019!$A$4:$N$425,K0kommunestruktur2020altern!G$3,FALSE)</f>
        <v>2282</v>
      </c>
      <c r="H339" s="177">
        <f>VLOOKUP($A339,K0kommunestruktur2019!$A$4:$N$425,K0kommunestruktur2020altern!H$3,FALSE)</f>
        <v>49979</v>
      </c>
      <c r="I339" s="289">
        <f>VLOOKUP($A339,K0kommunestruktur2019!$A$4:$N$425,K0kommunestruktur2020altern!I$3,FALSE)</f>
        <v>2273</v>
      </c>
      <c r="J339" s="177">
        <f>VLOOKUP($A339,K0kommunestruktur2019!$A$4:$N$425,K0kommunestruktur2020altern!J$3,FALSE)</f>
        <v>53340</v>
      </c>
      <c r="K339" s="289">
        <f>VLOOKUP($A339,K0kommunestruktur2019!$A$4:$N$425,K0kommunestruktur2020altern!K$3,FALSE)</f>
        <v>2263</v>
      </c>
      <c r="L339" s="177">
        <f>VLOOKUP($A339,K0kommunestruktur2019!$A$4:$N$425,K0kommunestruktur2020altern!L$3,FALSE)</f>
        <v>57505</v>
      </c>
      <c r="M339" s="289">
        <f>VLOOKUP($A339,K0kommunestruktur2019!$A$4:$N$425,K0kommunestruktur2020altern!M$3,FALSE)</f>
        <v>2252</v>
      </c>
      <c r="N339" s="177">
        <f>VLOOKUP($A339,K0kommunestruktur2019!$A$4:$N$425,K0kommunestruktur2020altern!N$3,FALSE)</f>
        <v>59153</v>
      </c>
      <c r="O339" s="289">
        <f>+'K20'!C339</f>
        <v>2200</v>
      </c>
      <c r="P339" s="177">
        <f>+'K20'!Z339</f>
        <v>56633</v>
      </c>
      <c r="R339" s="517"/>
    </row>
    <row r="340" spans="1:18" ht="13">
      <c r="A340" s="865">
        <v>5424</v>
      </c>
      <c r="B340" s="866" t="s">
        <v>235</v>
      </c>
      <c r="C340" s="289">
        <f>VLOOKUP($A340,K0kommunestruktur2019!$A$4:$N$425,K0kommunestruktur2020altern!C$3,FALSE)</f>
        <v>2992</v>
      </c>
      <c r="D340" s="177">
        <f>VLOOKUP($A340,K0kommunestruktur2019!$A$4:$N$425,K0kommunestruktur2020altern!D$3,FALSE)</f>
        <v>53448</v>
      </c>
      <c r="E340" s="289">
        <f>VLOOKUP($A340,K0kommunestruktur2019!$A$4:$N$425,K0kommunestruktur2020altern!E$3,FALSE)</f>
        <v>2922</v>
      </c>
      <c r="F340" s="177">
        <f>VLOOKUP($A340,K0kommunestruktur2019!$A$4:$N$425,K0kommunestruktur2020altern!F$3,FALSE)</f>
        <v>56189</v>
      </c>
      <c r="G340" s="289">
        <f>VLOOKUP($A340,K0kommunestruktur2019!$A$4:$N$425,K0kommunestruktur2020altern!G$3,FALSE)</f>
        <v>2861</v>
      </c>
      <c r="H340" s="177">
        <f>VLOOKUP($A340,K0kommunestruktur2019!$A$4:$N$425,K0kommunestruktur2020altern!H$3,FALSE)</f>
        <v>61736</v>
      </c>
      <c r="I340" s="289">
        <f>VLOOKUP($A340,K0kommunestruktur2019!$A$4:$N$425,K0kommunestruktur2020altern!I$3,FALSE)</f>
        <v>2876</v>
      </c>
      <c r="J340" s="177">
        <f>VLOOKUP($A340,K0kommunestruktur2019!$A$4:$N$425,K0kommunestruktur2020altern!J$3,FALSE)</f>
        <v>63968</v>
      </c>
      <c r="K340" s="289">
        <f>VLOOKUP($A340,K0kommunestruktur2019!$A$4:$N$425,K0kommunestruktur2020altern!K$3,FALSE)</f>
        <v>2877</v>
      </c>
      <c r="L340" s="177">
        <f>VLOOKUP($A340,K0kommunestruktur2019!$A$4:$N$425,K0kommunestruktur2020altern!L$3,FALSE)</f>
        <v>64289</v>
      </c>
      <c r="M340" s="289">
        <f>VLOOKUP($A340,K0kommunestruktur2019!$A$4:$N$425,K0kommunestruktur2020altern!M$3,FALSE)</f>
        <v>2847</v>
      </c>
      <c r="N340" s="177">
        <f>VLOOKUP($A340,K0kommunestruktur2019!$A$4:$N$425,K0kommunestruktur2020altern!N$3,FALSE)</f>
        <v>65153</v>
      </c>
      <c r="O340" s="289">
        <f>+'K20'!C340</f>
        <v>2794</v>
      </c>
      <c r="P340" s="177">
        <f>+'K20'!Z340</f>
        <v>63654</v>
      </c>
      <c r="R340" s="517"/>
    </row>
    <row r="341" spans="1:18" ht="13">
      <c r="A341" s="865">
        <v>5425</v>
      </c>
      <c r="B341" s="866" t="s">
        <v>236</v>
      </c>
      <c r="C341" s="289">
        <f>VLOOKUP($A341,K0kommunestruktur2019!$A$4:$N$425,K0kommunestruktur2020altern!C$3,FALSE)</f>
        <v>1941</v>
      </c>
      <c r="D341" s="177">
        <f>VLOOKUP($A341,K0kommunestruktur2019!$A$4:$N$425,K0kommunestruktur2020altern!D$3,FALSE)</f>
        <v>38933</v>
      </c>
      <c r="E341" s="289">
        <f>VLOOKUP($A341,K0kommunestruktur2019!$A$4:$N$425,K0kommunestruktur2020altern!E$3,FALSE)</f>
        <v>1898</v>
      </c>
      <c r="F341" s="177">
        <f>VLOOKUP($A341,K0kommunestruktur2019!$A$4:$N$425,K0kommunestruktur2020altern!F$3,FALSE)</f>
        <v>45189</v>
      </c>
      <c r="G341" s="289">
        <f>VLOOKUP($A341,K0kommunestruktur2019!$A$4:$N$425,K0kommunestruktur2020altern!G$3,FALSE)</f>
        <v>1865</v>
      </c>
      <c r="H341" s="177">
        <f>VLOOKUP($A341,K0kommunestruktur2019!$A$4:$N$425,K0kommunestruktur2020altern!H$3,FALSE)</f>
        <v>43833</v>
      </c>
      <c r="I341" s="289">
        <f>VLOOKUP($A341,K0kommunestruktur2019!$A$4:$N$425,K0kommunestruktur2020altern!I$3,FALSE)</f>
        <v>1890</v>
      </c>
      <c r="J341" s="177">
        <f>VLOOKUP($A341,K0kommunestruktur2019!$A$4:$N$425,K0kommunestruktur2020altern!J$3,FALSE)</f>
        <v>47106</v>
      </c>
      <c r="K341" s="289">
        <f>VLOOKUP($A341,K0kommunestruktur2019!$A$4:$N$425,K0kommunestruktur2020altern!K$3,FALSE)</f>
        <v>1856</v>
      </c>
      <c r="L341" s="177">
        <f>VLOOKUP($A341,K0kommunestruktur2019!$A$4:$N$425,K0kommunestruktur2020altern!L$3,FALSE)</f>
        <v>51883</v>
      </c>
      <c r="M341" s="289">
        <f>VLOOKUP($A341,K0kommunestruktur2019!$A$4:$N$425,K0kommunestruktur2020altern!M$3,FALSE)</f>
        <v>1841</v>
      </c>
      <c r="N341" s="177">
        <f>VLOOKUP($A341,K0kommunestruktur2019!$A$4:$N$425,K0kommunestruktur2020altern!N$3,FALSE)</f>
        <v>50896</v>
      </c>
      <c r="O341" s="289">
        <f>+'K20'!C341</f>
        <v>1829</v>
      </c>
      <c r="P341" s="177">
        <f>+'K20'!Z341</f>
        <v>53772</v>
      </c>
      <c r="R341" s="517"/>
    </row>
    <row r="342" spans="1:18" ht="13">
      <c r="A342" s="865">
        <v>5426</v>
      </c>
      <c r="B342" s="866" t="s">
        <v>237</v>
      </c>
      <c r="C342" s="289">
        <f>VLOOKUP($A342,K0kommunestruktur2019!$A$4:$N$425,K0kommunestruktur2020altern!C$3,FALSE)</f>
        <v>2221</v>
      </c>
      <c r="D342" s="177">
        <f>VLOOKUP($A342,K0kommunestruktur2019!$A$4:$N$425,K0kommunestruktur2020altern!D$3,FALSE)</f>
        <v>39815</v>
      </c>
      <c r="E342" s="289">
        <f>VLOOKUP($A342,K0kommunestruktur2019!$A$4:$N$425,K0kommunestruktur2020altern!E$3,FALSE)</f>
        <v>2182</v>
      </c>
      <c r="F342" s="177">
        <f>VLOOKUP($A342,K0kommunestruktur2019!$A$4:$N$425,K0kommunestruktur2020altern!F$3,FALSE)</f>
        <v>43608</v>
      </c>
      <c r="G342" s="289">
        <f>VLOOKUP($A342,K0kommunestruktur2019!$A$4:$N$425,K0kommunestruktur2020altern!G$3,FALSE)</f>
        <v>2150</v>
      </c>
      <c r="H342" s="177">
        <f>VLOOKUP($A342,K0kommunestruktur2019!$A$4:$N$425,K0kommunestruktur2020altern!H$3,FALSE)</f>
        <v>44224</v>
      </c>
      <c r="I342" s="289">
        <f>VLOOKUP($A342,K0kommunestruktur2019!$A$4:$N$425,K0kommunestruktur2020altern!I$3,FALSE)</f>
        <v>2132</v>
      </c>
      <c r="J342" s="177">
        <f>VLOOKUP($A342,K0kommunestruktur2019!$A$4:$N$425,K0kommunestruktur2020altern!J$3,FALSE)</f>
        <v>48957</v>
      </c>
      <c r="K342" s="289">
        <f>VLOOKUP($A342,K0kommunestruktur2019!$A$4:$N$425,K0kommunestruktur2020altern!K$3,FALSE)</f>
        <v>2132</v>
      </c>
      <c r="L342" s="177">
        <f>VLOOKUP($A342,K0kommunestruktur2019!$A$4:$N$425,K0kommunestruktur2020altern!L$3,FALSE)</f>
        <v>51110</v>
      </c>
      <c r="M342" s="289">
        <f>VLOOKUP($A342,K0kommunestruktur2019!$A$4:$N$425,K0kommunestruktur2020altern!M$3,FALSE)</f>
        <v>2097</v>
      </c>
      <c r="N342" s="177">
        <f>VLOOKUP($A342,K0kommunestruktur2019!$A$4:$N$425,K0kommunestruktur2020altern!N$3,FALSE)</f>
        <v>51415</v>
      </c>
      <c r="O342" s="289">
        <f>+'K20'!C342</f>
        <v>2071</v>
      </c>
      <c r="P342" s="177">
        <f>+'K20'!Z342</f>
        <v>46178</v>
      </c>
      <c r="R342" s="517"/>
    </row>
    <row r="343" spans="1:18" ht="13">
      <c r="A343" s="865">
        <v>5427</v>
      </c>
      <c r="B343" s="866" t="s">
        <v>238</v>
      </c>
      <c r="C343" s="289">
        <f>VLOOKUP($A343,K0kommunestruktur2019!$A$4:$N$425,K0kommunestruktur2020altern!C$3,FALSE)</f>
        <v>2881</v>
      </c>
      <c r="D343" s="177">
        <f>VLOOKUP($A343,K0kommunestruktur2019!$A$4:$N$425,K0kommunestruktur2020altern!D$3,FALSE)</f>
        <v>49091</v>
      </c>
      <c r="E343" s="289">
        <f>VLOOKUP($A343,K0kommunestruktur2019!$A$4:$N$425,K0kommunestruktur2020altern!E$3,FALSE)</f>
        <v>2895</v>
      </c>
      <c r="F343" s="177">
        <f>VLOOKUP($A343,K0kommunestruktur2019!$A$4:$N$425,K0kommunestruktur2020altern!F$3,FALSE)</f>
        <v>53859</v>
      </c>
      <c r="G343" s="289">
        <f>VLOOKUP($A343,K0kommunestruktur2019!$A$4:$N$425,K0kommunestruktur2020altern!G$3,FALSE)</f>
        <v>2920</v>
      </c>
      <c r="H343" s="177">
        <f>VLOOKUP($A343,K0kommunestruktur2019!$A$4:$N$425,K0kommunestruktur2020altern!H$3,FALSE)</f>
        <v>62594</v>
      </c>
      <c r="I343" s="289">
        <f>VLOOKUP($A343,K0kommunestruktur2019!$A$4:$N$425,K0kommunestruktur2020altern!I$3,FALSE)</f>
        <v>2912</v>
      </c>
      <c r="J343" s="177">
        <f>VLOOKUP($A343,K0kommunestruktur2019!$A$4:$N$425,K0kommunestruktur2020altern!J$3,FALSE)</f>
        <v>64296</v>
      </c>
      <c r="K343" s="289">
        <f>VLOOKUP($A343,K0kommunestruktur2019!$A$4:$N$425,K0kommunestruktur2020altern!K$3,FALSE)</f>
        <v>2925</v>
      </c>
      <c r="L343" s="177">
        <f>VLOOKUP($A343,K0kommunestruktur2019!$A$4:$N$425,K0kommunestruktur2020altern!L$3,FALSE)</f>
        <v>69371</v>
      </c>
      <c r="M343" s="289">
        <f>VLOOKUP($A343,K0kommunestruktur2019!$A$4:$N$425,K0kommunestruktur2020altern!M$3,FALSE)</f>
        <v>2917</v>
      </c>
      <c r="N343" s="177">
        <f>VLOOKUP($A343,K0kommunestruktur2019!$A$4:$N$425,K0kommunestruktur2020altern!N$3,FALSE)</f>
        <v>71052</v>
      </c>
      <c r="O343" s="289">
        <f>+'K20'!C343</f>
        <v>2927</v>
      </c>
      <c r="P343" s="177">
        <f>+'K20'!Z343</f>
        <v>73085</v>
      </c>
      <c r="R343" s="517"/>
    </row>
    <row r="344" spans="1:18" ht="13">
      <c r="A344" s="865">
        <v>5428</v>
      </c>
      <c r="B344" s="866" t="s">
        <v>239</v>
      </c>
      <c r="C344" s="289">
        <f>VLOOKUP($A344,K0kommunestruktur2019!$A$4:$N$425,K0kommunestruktur2020altern!C$3,FALSE)</f>
        <v>4854</v>
      </c>
      <c r="D344" s="177">
        <f>VLOOKUP($A344,K0kommunestruktur2019!$A$4:$N$425,K0kommunestruktur2020altern!D$3,FALSE)</f>
        <v>86034</v>
      </c>
      <c r="E344" s="289">
        <f>VLOOKUP($A344,K0kommunestruktur2019!$A$4:$N$425,K0kommunestruktur2020altern!E$3,FALSE)</f>
        <v>4882</v>
      </c>
      <c r="F344" s="177">
        <f>VLOOKUP($A344,K0kommunestruktur2019!$A$4:$N$425,K0kommunestruktur2020altern!F$3,FALSE)</f>
        <v>93075</v>
      </c>
      <c r="G344" s="289">
        <f>VLOOKUP($A344,K0kommunestruktur2019!$A$4:$N$425,K0kommunestruktur2020altern!G$3,FALSE)</f>
        <v>4895</v>
      </c>
      <c r="H344" s="177">
        <f>VLOOKUP($A344,K0kommunestruktur2019!$A$4:$N$425,K0kommunestruktur2020altern!H$3,FALSE)</f>
        <v>104420</v>
      </c>
      <c r="I344" s="289">
        <f>VLOOKUP($A344,K0kommunestruktur2019!$A$4:$N$425,K0kommunestruktur2020altern!I$3,FALSE)</f>
        <v>4919</v>
      </c>
      <c r="J344" s="177">
        <f>VLOOKUP($A344,K0kommunestruktur2019!$A$4:$N$425,K0kommunestruktur2020altern!J$3,FALSE)</f>
        <v>109786</v>
      </c>
      <c r="K344" s="289">
        <f>VLOOKUP($A344,K0kommunestruktur2019!$A$4:$N$425,K0kommunestruktur2020altern!K$3,FALSE)</f>
        <v>4944</v>
      </c>
      <c r="L344" s="177">
        <f>VLOOKUP($A344,K0kommunestruktur2019!$A$4:$N$425,K0kommunestruktur2020altern!L$3,FALSE)</f>
        <v>111919</v>
      </c>
      <c r="M344" s="289">
        <f>VLOOKUP($A344,K0kommunestruktur2019!$A$4:$N$425,K0kommunestruktur2020altern!M$3,FALSE)</f>
        <v>4909</v>
      </c>
      <c r="N344" s="177">
        <f>VLOOKUP($A344,K0kommunestruktur2019!$A$4:$N$425,K0kommunestruktur2020altern!N$3,FALSE)</f>
        <v>116546</v>
      </c>
      <c r="O344" s="289">
        <f>+'K20'!C344</f>
        <v>4861</v>
      </c>
      <c r="P344" s="177">
        <f>+'K20'!Z344</f>
        <v>126293</v>
      </c>
      <c r="R344" s="517"/>
    </row>
    <row r="345" spans="1:18" ht="13">
      <c r="A345" s="865">
        <v>5429</v>
      </c>
      <c r="B345" s="866" t="s">
        <v>240</v>
      </c>
      <c r="C345" s="289">
        <f>VLOOKUP($A345,K0kommunestruktur2019!$A$4:$N$425,K0kommunestruktur2020altern!C$3,FALSE)</f>
        <v>1234</v>
      </c>
      <c r="D345" s="177">
        <f>VLOOKUP($A345,K0kommunestruktur2019!$A$4:$N$425,K0kommunestruktur2020altern!D$3,FALSE)</f>
        <v>21009</v>
      </c>
      <c r="E345" s="289">
        <f>VLOOKUP($A345,K0kommunestruktur2019!$A$4:$N$425,K0kommunestruktur2020altern!E$3,FALSE)</f>
        <v>1226</v>
      </c>
      <c r="F345" s="177">
        <f>VLOOKUP($A345,K0kommunestruktur2019!$A$4:$N$425,K0kommunestruktur2020altern!F$3,FALSE)</f>
        <v>27192</v>
      </c>
      <c r="G345" s="289">
        <f>VLOOKUP($A345,K0kommunestruktur2019!$A$4:$N$425,K0kommunestruktur2020altern!G$3,FALSE)</f>
        <v>1231</v>
      </c>
      <c r="H345" s="177">
        <f>VLOOKUP($A345,K0kommunestruktur2019!$A$4:$N$425,K0kommunestruktur2020altern!H$3,FALSE)</f>
        <v>30668</v>
      </c>
      <c r="I345" s="289">
        <f>VLOOKUP($A345,K0kommunestruktur2019!$A$4:$N$425,K0kommunestruktur2020altern!I$3,FALSE)</f>
        <v>1233</v>
      </c>
      <c r="J345" s="177">
        <f>VLOOKUP($A345,K0kommunestruktur2019!$A$4:$N$425,K0kommunestruktur2020altern!J$3,FALSE)</f>
        <v>30275</v>
      </c>
      <c r="K345" s="289">
        <f>VLOOKUP($A345,K0kommunestruktur2019!$A$4:$N$425,K0kommunestruktur2020altern!K$3,FALSE)</f>
        <v>1224</v>
      </c>
      <c r="L345" s="177">
        <f>VLOOKUP($A345,K0kommunestruktur2019!$A$4:$N$425,K0kommunestruktur2020altern!L$3,FALSE)</f>
        <v>32637</v>
      </c>
      <c r="M345" s="289">
        <f>VLOOKUP($A345,K0kommunestruktur2019!$A$4:$N$425,K0kommunestruktur2020altern!M$3,FALSE)</f>
        <v>1202</v>
      </c>
      <c r="N345" s="177">
        <f>VLOOKUP($A345,K0kommunestruktur2019!$A$4:$N$425,K0kommunestruktur2020altern!N$3,FALSE)</f>
        <v>32765</v>
      </c>
      <c r="O345" s="289">
        <f>+'K20'!C345</f>
        <v>1191</v>
      </c>
      <c r="P345" s="177">
        <f>+'K20'!Z345</f>
        <v>30284</v>
      </c>
      <c r="R345" s="517"/>
    </row>
    <row r="346" spans="1:18" ht="13">
      <c r="A346" s="865">
        <v>5430</v>
      </c>
      <c r="B346" s="866" t="s">
        <v>244</v>
      </c>
      <c r="C346" s="289">
        <f>VLOOKUP($A346,K0kommunestruktur2019!$A$4:$N$425,K0kommunestruktur2020altern!C$3,FALSE)</f>
        <v>2931</v>
      </c>
      <c r="D346" s="177">
        <f>VLOOKUP($A346,K0kommunestruktur2019!$A$4:$N$425,K0kommunestruktur2020altern!D$3,FALSE)</f>
        <v>43023</v>
      </c>
      <c r="E346" s="289">
        <f>VLOOKUP($A346,K0kommunestruktur2019!$A$4:$N$425,K0kommunestruktur2020altern!E$3,FALSE)</f>
        <v>2914</v>
      </c>
      <c r="F346" s="177">
        <f>VLOOKUP($A346,K0kommunestruktur2019!$A$4:$N$425,K0kommunestruktur2020altern!F$3,FALSE)</f>
        <v>46407</v>
      </c>
      <c r="G346" s="289">
        <f>VLOOKUP($A346,K0kommunestruktur2019!$A$4:$N$425,K0kommunestruktur2020altern!G$3,FALSE)</f>
        <v>2956</v>
      </c>
      <c r="H346" s="177">
        <f>VLOOKUP($A346,K0kommunestruktur2019!$A$4:$N$425,K0kommunestruktur2020altern!H$3,FALSE)</f>
        <v>49253</v>
      </c>
      <c r="I346" s="289">
        <f>VLOOKUP($A346,K0kommunestruktur2019!$A$4:$N$425,K0kommunestruktur2020altern!I$3,FALSE)</f>
        <v>2938</v>
      </c>
      <c r="J346" s="177">
        <f>VLOOKUP($A346,K0kommunestruktur2019!$A$4:$N$425,K0kommunestruktur2020altern!J$3,FALSE)</f>
        <v>51161</v>
      </c>
      <c r="K346" s="289">
        <f>VLOOKUP($A346,K0kommunestruktur2019!$A$4:$N$425,K0kommunestruktur2020altern!K$3,FALSE)</f>
        <v>2946</v>
      </c>
      <c r="L346" s="177">
        <f>VLOOKUP($A346,K0kommunestruktur2019!$A$4:$N$425,K0kommunestruktur2020altern!L$3,FALSE)</f>
        <v>56500</v>
      </c>
      <c r="M346" s="289">
        <f>VLOOKUP($A346,K0kommunestruktur2019!$A$4:$N$425,K0kommunestruktur2020altern!M$3,FALSE)</f>
        <v>2924</v>
      </c>
      <c r="N346" s="177">
        <f>VLOOKUP($A346,K0kommunestruktur2019!$A$4:$N$425,K0kommunestruktur2020altern!N$3,FALSE)</f>
        <v>57512</v>
      </c>
      <c r="O346" s="289">
        <f>+'K20'!C346</f>
        <v>2910</v>
      </c>
      <c r="P346" s="177">
        <f>+'K20'!Z346</f>
        <v>55560</v>
      </c>
      <c r="R346" s="517"/>
    </row>
    <row r="347" spans="1:18" ht="13">
      <c r="A347" s="865">
        <v>5432</v>
      </c>
      <c r="B347" s="866" t="s">
        <v>246</v>
      </c>
      <c r="C347" s="289">
        <f>VLOOKUP($A347,K0kommunestruktur2019!$A$4:$N$425,K0kommunestruktur2020altern!C$3,FALSE)</f>
        <v>1027</v>
      </c>
      <c r="D347" s="177">
        <f>VLOOKUP($A347,K0kommunestruktur2019!$A$4:$N$425,K0kommunestruktur2020altern!D$3,FALSE)</f>
        <v>18345</v>
      </c>
      <c r="E347" s="289">
        <f>VLOOKUP($A347,K0kommunestruktur2019!$A$4:$N$425,K0kommunestruktur2020altern!E$3,FALSE)</f>
        <v>989</v>
      </c>
      <c r="F347" s="177">
        <f>VLOOKUP($A347,K0kommunestruktur2019!$A$4:$N$425,K0kommunestruktur2020altern!F$3,FALSE)</f>
        <v>19096</v>
      </c>
      <c r="G347" s="289">
        <f>VLOOKUP($A347,K0kommunestruktur2019!$A$4:$N$425,K0kommunestruktur2020altern!G$3,FALSE)</f>
        <v>951</v>
      </c>
      <c r="H347" s="177">
        <f>VLOOKUP($A347,K0kommunestruktur2019!$A$4:$N$425,K0kommunestruktur2020altern!H$3,FALSE)</f>
        <v>20080</v>
      </c>
      <c r="I347" s="289">
        <f>VLOOKUP($A347,K0kommunestruktur2019!$A$4:$N$425,K0kommunestruktur2020altern!I$3,FALSE)</f>
        <v>968</v>
      </c>
      <c r="J347" s="177">
        <f>VLOOKUP($A347,K0kommunestruktur2019!$A$4:$N$425,K0kommunestruktur2020altern!J$3,FALSE)</f>
        <v>22235</v>
      </c>
      <c r="K347" s="289">
        <f>VLOOKUP($A347,K0kommunestruktur2019!$A$4:$N$425,K0kommunestruktur2020altern!K$3,FALSE)</f>
        <v>941</v>
      </c>
      <c r="L347" s="177">
        <f>VLOOKUP($A347,K0kommunestruktur2019!$A$4:$N$425,K0kommunestruktur2020altern!L$3,FALSE)</f>
        <v>21026</v>
      </c>
      <c r="M347" s="289">
        <f>VLOOKUP($A347,K0kommunestruktur2019!$A$4:$N$425,K0kommunestruktur2020altern!M$3,FALSE)</f>
        <v>917</v>
      </c>
      <c r="N347" s="177">
        <f>VLOOKUP($A347,K0kommunestruktur2019!$A$4:$N$425,K0kommunestruktur2020altern!N$3,FALSE)</f>
        <v>20523</v>
      </c>
      <c r="O347" s="289">
        <f>+'K20'!C347</f>
        <v>888</v>
      </c>
      <c r="P347" s="177">
        <f>+'K20'!Z347</f>
        <v>21128</v>
      </c>
      <c r="R347" s="517"/>
    </row>
    <row r="348" spans="1:18" ht="13">
      <c r="A348" s="865">
        <v>5433</v>
      </c>
      <c r="B348" s="866" t="s">
        <v>247</v>
      </c>
      <c r="C348" s="289">
        <f>VLOOKUP($A348,K0kommunestruktur2019!$A$4:$N$425,K0kommunestruktur2020altern!C$3,FALSE)</f>
        <v>1037</v>
      </c>
      <c r="D348" s="177">
        <f>VLOOKUP($A348,K0kommunestruktur2019!$A$4:$N$425,K0kommunestruktur2020altern!D$3,FALSE)</f>
        <v>16494</v>
      </c>
      <c r="E348" s="289">
        <f>VLOOKUP($A348,K0kommunestruktur2019!$A$4:$N$425,K0kommunestruktur2020altern!E$3,FALSE)</f>
        <v>1041</v>
      </c>
      <c r="F348" s="177">
        <f>VLOOKUP($A348,K0kommunestruktur2019!$A$4:$N$425,K0kommunestruktur2020altern!F$3,FALSE)</f>
        <v>19180</v>
      </c>
      <c r="G348" s="289">
        <f>VLOOKUP($A348,K0kommunestruktur2019!$A$4:$N$425,K0kommunestruktur2020altern!G$3,FALSE)</f>
        <v>1054</v>
      </c>
      <c r="H348" s="177">
        <f>VLOOKUP($A348,K0kommunestruktur2019!$A$4:$N$425,K0kommunestruktur2020altern!H$3,FALSE)</f>
        <v>20250</v>
      </c>
      <c r="I348" s="289">
        <f>VLOOKUP($A348,K0kommunestruktur2019!$A$4:$N$425,K0kommunestruktur2020altern!I$3,FALSE)</f>
        <v>1037</v>
      </c>
      <c r="J348" s="177">
        <f>VLOOKUP($A348,K0kommunestruktur2019!$A$4:$N$425,K0kommunestruktur2020altern!J$3,FALSE)</f>
        <v>21765</v>
      </c>
      <c r="K348" s="289">
        <f>VLOOKUP($A348,K0kommunestruktur2019!$A$4:$N$425,K0kommunestruktur2020altern!K$3,FALSE)</f>
        <v>1022</v>
      </c>
      <c r="L348" s="177">
        <f>VLOOKUP($A348,K0kommunestruktur2019!$A$4:$N$425,K0kommunestruktur2020altern!L$3,FALSE)</f>
        <v>22383</v>
      </c>
      <c r="M348" s="289">
        <f>VLOOKUP($A348,K0kommunestruktur2019!$A$4:$N$425,K0kommunestruktur2020altern!M$3,FALSE)</f>
        <v>1045</v>
      </c>
      <c r="N348" s="177">
        <f>VLOOKUP($A348,K0kommunestruktur2019!$A$4:$N$425,K0kommunestruktur2020altern!N$3,FALSE)</f>
        <v>23442</v>
      </c>
      <c r="O348" s="289">
        <f>+'K20'!C348</f>
        <v>1005</v>
      </c>
      <c r="P348" s="177">
        <f>+'K20'!Z348</f>
        <v>22343</v>
      </c>
      <c r="R348" s="517"/>
    </row>
    <row r="349" spans="1:18" ht="13">
      <c r="A349" s="865">
        <v>5434</v>
      </c>
      <c r="B349" s="866" t="s">
        <v>249</v>
      </c>
      <c r="C349" s="289">
        <f>VLOOKUP($A349,K0kommunestruktur2019!$A$4:$N$425,K0kommunestruktur2020altern!C$3,FALSE)</f>
        <v>1241</v>
      </c>
      <c r="D349" s="177">
        <f>VLOOKUP($A349,K0kommunestruktur2019!$A$4:$N$425,K0kommunestruktur2020altern!D$3,FALSE)</f>
        <v>26699</v>
      </c>
      <c r="E349" s="289">
        <f>VLOOKUP($A349,K0kommunestruktur2019!$A$4:$N$425,K0kommunestruktur2020altern!E$3,FALSE)</f>
        <v>1241</v>
      </c>
      <c r="F349" s="177">
        <f>VLOOKUP($A349,K0kommunestruktur2019!$A$4:$N$425,K0kommunestruktur2020altern!F$3,FALSE)</f>
        <v>27733</v>
      </c>
      <c r="G349" s="289">
        <f>VLOOKUP($A349,K0kommunestruktur2019!$A$4:$N$425,K0kommunestruktur2020altern!G$3,FALSE)</f>
        <v>1215</v>
      </c>
      <c r="H349" s="177">
        <f>VLOOKUP($A349,K0kommunestruktur2019!$A$4:$N$425,K0kommunestruktur2020altern!H$3,FALSE)</f>
        <v>28417</v>
      </c>
      <c r="I349" s="289">
        <f>VLOOKUP($A349,K0kommunestruktur2019!$A$4:$N$425,K0kommunestruktur2020altern!I$3,FALSE)</f>
        <v>1204</v>
      </c>
      <c r="J349" s="177">
        <f>VLOOKUP($A349,K0kommunestruktur2019!$A$4:$N$425,K0kommunestruktur2020altern!J$3,FALSE)</f>
        <v>31575</v>
      </c>
      <c r="K349" s="289">
        <f>VLOOKUP($A349,K0kommunestruktur2019!$A$4:$N$425,K0kommunestruktur2020altern!K$3,FALSE)</f>
        <v>1231</v>
      </c>
      <c r="L349" s="177">
        <f>VLOOKUP($A349,K0kommunestruktur2019!$A$4:$N$425,K0kommunestruktur2020altern!L$3,FALSE)</f>
        <v>34428</v>
      </c>
      <c r="M349" s="289">
        <f>VLOOKUP($A349,K0kommunestruktur2019!$A$4:$N$425,K0kommunestruktur2020altern!M$3,FALSE)</f>
        <v>1235</v>
      </c>
      <c r="N349" s="177">
        <f>VLOOKUP($A349,K0kommunestruktur2019!$A$4:$N$425,K0kommunestruktur2020altern!N$3,FALSE)</f>
        <v>33282</v>
      </c>
      <c r="O349" s="289">
        <f>+'K20'!C349</f>
        <v>1225</v>
      </c>
      <c r="P349" s="177">
        <f>+'K20'!Z349</f>
        <v>36764</v>
      </c>
      <c r="R349" s="517"/>
    </row>
    <row r="350" spans="1:18" ht="13">
      <c r="A350" s="865">
        <v>5435</v>
      </c>
      <c r="B350" s="866" t="s">
        <v>250</v>
      </c>
      <c r="C350" s="289">
        <f>VLOOKUP($A350,K0kommunestruktur2019!$A$4:$N$425,K0kommunestruktur2020altern!C$3,FALSE)</f>
        <v>3213</v>
      </c>
      <c r="D350" s="177">
        <f>VLOOKUP($A350,K0kommunestruktur2019!$A$4:$N$425,K0kommunestruktur2020altern!D$3,FALSE)</f>
        <v>65401</v>
      </c>
      <c r="E350" s="289">
        <f>VLOOKUP($A350,K0kommunestruktur2019!$A$4:$N$425,K0kommunestruktur2020altern!E$3,FALSE)</f>
        <v>3278</v>
      </c>
      <c r="F350" s="177">
        <f>VLOOKUP($A350,K0kommunestruktur2019!$A$4:$N$425,K0kommunestruktur2020altern!F$3,FALSE)</f>
        <v>72134</v>
      </c>
      <c r="G350" s="289">
        <f>VLOOKUP($A350,K0kommunestruktur2019!$A$4:$N$425,K0kommunestruktur2020altern!G$3,FALSE)</f>
        <v>3276</v>
      </c>
      <c r="H350" s="177">
        <f>VLOOKUP($A350,K0kommunestruktur2019!$A$4:$N$425,K0kommunestruktur2020altern!H$3,FALSE)</f>
        <v>77401</v>
      </c>
      <c r="I350" s="289">
        <f>VLOOKUP($A350,K0kommunestruktur2019!$A$4:$N$425,K0kommunestruktur2020altern!I$3,FALSE)</f>
        <v>3291</v>
      </c>
      <c r="J350" s="177">
        <f>VLOOKUP($A350,K0kommunestruktur2019!$A$4:$N$425,K0kommunestruktur2020altern!J$3,FALSE)</f>
        <v>83829</v>
      </c>
      <c r="K350" s="289">
        <f>VLOOKUP($A350,K0kommunestruktur2019!$A$4:$N$425,K0kommunestruktur2020altern!K$3,FALSE)</f>
        <v>3239</v>
      </c>
      <c r="L350" s="177">
        <f>VLOOKUP($A350,K0kommunestruktur2019!$A$4:$N$425,K0kommunestruktur2020altern!L$3,FALSE)</f>
        <v>87685</v>
      </c>
      <c r="M350" s="289">
        <f>VLOOKUP($A350,K0kommunestruktur2019!$A$4:$N$425,K0kommunestruktur2020altern!M$3,FALSE)</f>
        <v>3218</v>
      </c>
      <c r="N350" s="177">
        <f>VLOOKUP($A350,K0kommunestruktur2019!$A$4:$N$425,K0kommunestruktur2020altern!N$3,FALSE)</f>
        <v>88642</v>
      </c>
      <c r="O350" s="289">
        <f>+'K20'!C350</f>
        <v>3162</v>
      </c>
      <c r="P350" s="177">
        <f>+'K20'!Z350</f>
        <v>84073</v>
      </c>
      <c r="R350" s="517"/>
    </row>
    <row r="351" spans="1:18" ht="13">
      <c r="A351" s="865">
        <v>5436</v>
      </c>
      <c r="B351" s="866" t="s">
        <v>251</v>
      </c>
      <c r="C351" s="289">
        <f>VLOOKUP($A351,K0kommunestruktur2019!$A$4:$N$425,K0kommunestruktur2020altern!C$3,FALSE)</f>
        <v>3963</v>
      </c>
      <c r="D351" s="177">
        <f>VLOOKUP($A351,K0kommunestruktur2019!$A$4:$N$425,K0kommunestruktur2020altern!D$3,FALSE)</f>
        <v>76473</v>
      </c>
      <c r="E351" s="289">
        <f>VLOOKUP($A351,K0kommunestruktur2019!$A$4:$N$425,K0kommunestruktur2020altern!E$3,FALSE)</f>
        <v>3925</v>
      </c>
      <c r="F351" s="177">
        <f>VLOOKUP($A351,K0kommunestruktur2019!$A$4:$N$425,K0kommunestruktur2020altern!F$3,FALSE)</f>
        <v>83751</v>
      </c>
      <c r="G351" s="289">
        <f>VLOOKUP($A351,K0kommunestruktur2019!$A$4:$N$425,K0kommunestruktur2020altern!G$3,FALSE)</f>
        <v>3978</v>
      </c>
      <c r="H351" s="177">
        <f>VLOOKUP($A351,K0kommunestruktur2019!$A$4:$N$425,K0kommunestruktur2020altern!H$3,FALSE)</f>
        <v>90906</v>
      </c>
      <c r="I351" s="289">
        <f>VLOOKUP($A351,K0kommunestruktur2019!$A$4:$N$425,K0kommunestruktur2020altern!I$3,FALSE)</f>
        <v>3971</v>
      </c>
      <c r="J351" s="177">
        <f>VLOOKUP($A351,K0kommunestruktur2019!$A$4:$N$425,K0kommunestruktur2020altern!J$3,FALSE)</f>
        <v>92125</v>
      </c>
      <c r="K351" s="289">
        <f>VLOOKUP($A351,K0kommunestruktur2019!$A$4:$N$425,K0kommunestruktur2020altern!K$3,FALSE)</f>
        <v>3964</v>
      </c>
      <c r="L351" s="177">
        <f>VLOOKUP($A351,K0kommunestruktur2019!$A$4:$N$425,K0kommunestruktur2020altern!L$3,FALSE)</f>
        <v>95910</v>
      </c>
      <c r="M351" s="289">
        <f>VLOOKUP($A351,K0kommunestruktur2019!$A$4:$N$425,K0kommunestruktur2020altern!M$3,FALSE)</f>
        <v>3944</v>
      </c>
      <c r="N351" s="177">
        <f>VLOOKUP($A351,K0kommunestruktur2019!$A$4:$N$425,K0kommunestruktur2020altern!N$3,FALSE)</f>
        <v>100811</v>
      </c>
      <c r="O351" s="289">
        <f>+'K20'!C351</f>
        <v>3998</v>
      </c>
      <c r="P351" s="177">
        <f>+'K20'!Z351</f>
        <v>99679</v>
      </c>
      <c r="R351" s="517"/>
    </row>
    <row r="352" spans="1:18" ht="13">
      <c r="A352" s="865">
        <v>5437</v>
      </c>
      <c r="B352" s="866" t="s">
        <v>252</v>
      </c>
      <c r="C352" s="289">
        <f>VLOOKUP($A352,K0kommunestruktur2019!$A$4:$N$425,K0kommunestruktur2020altern!C$3,FALSE)</f>
        <v>2698</v>
      </c>
      <c r="D352" s="177">
        <f>VLOOKUP($A352,K0kommunestruktur2019!$A$4:$N$425,K0kommunestruktur2020altern!D$3,FALSE)</f>
        <v>45269</v>
      </c>
      <c r="E352" s="289">
        <f>VLOOKUP($A352,K0kommunestruktur2019!$A$4:$N$425,K0kommunestruktur2020altern!E$3,FALSE)</f>
        <v>2708</v>
      </c>
      <c r="F352" s="177">
        <f>VLOOKUP($A352,K0kommunestruktur2019!$A$4:$N$425,K0kommunestruktur2020altern!F$3,FALSE)</f>
        <v>49630</v>
      </c>
      <c r="G352" s="289">
        <f>VLOOKUP($A352,K0kommunestruktur2019!$A$4:$N$425,K0kommunestruktur2020altern!G$3,FALSE)</f>
        <v>2668</v>
      </c>
      <c r="H352" s="177">
        <f>VLOOKUP($A352,K0kommunestruktur2019!$A$4:$N$425,K0kommunestruktur2020altern!H$3,FALSE)</f>
        <v>54018</v>
      </c>
      <c r="I352" s="289">
        <f>VLOOKUP($A352,K0kommunestruktur2019!$A$4:$N$425,K0kommunestruktur2020altern!I$3,FALSE)</f>
        <v>2696</v>
      </c>
      <c r="J352" s="177">
        <f>VLOOKUP($A352,K0kommunestruktur2019!$A$4:$N$425,K0kommunestruktur2020altern!J$3,FALSE)</f>
        <v>55305</v>
      </c>
      <c r="K352" s="289">
        <f>VLOOKUP($A352,K0kommunestruktur2019!$A$4:$N$425,K0kommunestruktur2020altern!K$3,FALSE)</f>
        <v>2701</v>
      </c>
      <c r="L352" s="177">
        <f>VLOOKUP($A352,K0kommunestruktur2019!$A$4:$N$425,K0kommunestruktur2020altern!L$3,FALSE)</f>
        <v>56961</v>
      </c>
      <c r="M352" s="289">
        <f>VLOOKUP($A352,K0kommunestruktur2019!$A$4:$N$425,K0kommunestruktur2020altern!M$3,FALSE)</f>
        <v>2673</v>
      </c>
      <c r="N352" s="177">
        <f>VLOOKUP($A352,K0kommunestruktur2019!$A$4:$N$425,K0kommunestruktur2020altern!N$3,FALSE)</f>
        <v>59811</v>
      </c>
      <c r="O352" s="289">
        <f>+'K20'!C352</f>
        <v>2628</v>
      </c>
      <c r="P352" s="177">
        <f>+'K20'!Z352</f>
        <v>60130</v>
      </c>
      <c r="R352" s="517"/>
    </row>
    <row r="353" spans="1:18" ht="13">
      <c r="A353" s="865">
        <v>5438</v>
      </c>
      <c r="B353" s="866" t="s">
        <v>253</v>
      </c>
      <c r="C353" s="289">
        <f>VLOOKUP($A353,K0kommunestruktur2019!$A$4:$N$425,K0kommunestruktur2020altern!C$3,FALSE)</f>
        <v>1341</v>
      </c>
      <c r="D353" s="177">
        <f>VLOOKUP($A353,K0kommunestruktur2019!$A$4:$N$425,K0kommunestruktur2020altern!D$3,FALSE)</f>
        <v>24435</v>
      </c>
      <c r="E353" s="289">
        <f>VLOOKUP($A353,K0kommunestruktur2019!$A$4:$N$425,K0kommunestruktur2020altern!E$3,FALSE)</f>
        <v>1343</v>
      </c>
      <c r="F353" s="177">
        <f>VLOOKUP($A353,K0kommunestruktur2019!$A$4:$N$425,K0kommunestruktur2020altern!F$3,FALSE)</f>
        <v>26851</v>
      </c>
      <c r="G353" s="289">
        <f>VLOOKUP($A353,K0kommunestruktur2019!$A$4:$N$425,K0kommunestruktur2020altern!G$3,FALSE)</f>
        <v>1318</v>
      </c>
      <c r="H353" s="177">
        <f>VLOOKUP($A353,K0kommunestruktur2019!$A$4:$N$425,K0kommunestruktur2020altern!H$3,FALSE)</f>
        <v>29174</v>
      </c>
      <c r="I353" s="289">
        <f>VLOOKUP($A353,K0kommunestruktur2019!$A$4:$N$425,K0kommunestruktur2020altern!I$3,FALSE)</f>
        <v>1330</v>
      </c>
      <c r="J353" s="177">
        <f>VLOOKUP($A353,K0kommunestruktur2019!$A$4:$N$425,K0kommunestruktur2020altern!J$3,FALSE)</f>
        <v>31546</v>
      </c>
      <c r="K353" s="289">
        <f>VLOOKUP($A353,K0kommunestruktur2019!$A$4:$N$425,K0kommunestruktur2020altern!K$3,FALSE)</f>
        <v>1349</v>
      </c>
      <c r="L353" s="177">
        <f>VLOOKUP($A353,K0kommunestruktur2019!$A$4:$N$425,K0kommunestruktur2020altern!L$3,FALSE)</f>
        <v>33468</v>
      </c>
      <c r="M353" s="289">
        <f>VLOOKUP($A353,K0kommunestruktur2019!$A$4:$N$425,K0kommunestruktur2020altern!M$3,FALSE)</f>
        <v>1328</v>
      </c>
      <c r="N353" s="177">
        <f>VLOOKUP($A353,K0kommunestruktur2019!$A$4:$N$425,K0kommunestruktur2020altern!N$3,FALSE)</f>
        <v>35754</v>
      </c>
      <c r="O353" s="289">
        <f>+'K20'!C353</f>
        <v>1290</v>
      </c>
      <c r="P353" s="177">
        <f>+'K20'!Z353</f>
        <v>37982</v>
      </c>
      <c r="R353" s="517"/>
    </row>
    <row r="354" spans="1:18" ht="13">
      <c r="A354" s="865">
        <v>5439</v>
      </c>
      <c r="B354" s="866" t="s">
        <v>254</v>
      </c>
      <c r="C354" s="289">
        <f>VLOOKUP($A354,K0kommunestruktur2019!$A$4:$N$425,K0kommunestruktur2020altern!C$3,FALSE)</f>
        <v>1098</v>
      </c>
      <c r="D354" s="177">
        <f>VLOOKUP($A354,K0kommunestruktur2019!$A$4:$N$425,K0kommunestruktur2020altern!D$3,FALSE)</f>
        <v>19365</v>
      </c>
      <c r="E354" s="289">
        <f>VLOOKUP($A354,K0kommunestruktur2019!$A$4:$N$425,K0kommunestruktur2020altern!E$3,FALSE)</f>
        <v>1116</v>
      </c>
      <c r="F354" s="177">
        <f>VLOOKUP($A354,K0kommunestruktur2019!$A$4:$N$425,K0kommunestruktur2020altern!F$3,FALSE)</f>
        <v>21577</v>
      </c>
      <c r="G354" s="289">
        <f>VLOOKUP($A354,K0kommunestruktur2019!$A$4:$N$425,K0kommunestruktur2020altern!G$3,FALSE)</f>
        <v>1139</v>
      </c>
      <c r="H354" s="177">
        <f>VLOOKUP($A354,K0kommunestruktur2019!$A$4:$N$425,K0kommunestruktur2020altern!H$3,FALSE)</f>
        <v>24178</v>
      </c>
      <c r="I354" s="289">
        <f>VLOOKUP($A354,K0kommunestruktur2019!$A$4:$N$425,K0kommunestruktur2020altern!I$3,FALSE)</f>
        <v>1137</v>
      </c>
      <c r="J354" s="177">
        <f>VLOOKUP($A354,K0kommunestruktur2019!$A$4:$N$425,K0kommunestruktur2020altern!J$3,FALSE)</f>
        <v>25362</v>
      </c>
      <c r="K354" s="289">
        <f>VLOOKUP($A354,K0kommunestruktur2019!$A$4:$N$425,K0kommunestruktur2020altern!K$3,FALSE)</f>
        <v>1153</v>
      </c>
      <c r="L354" s="177">
        <f>VLOOKUP($A354,K0kommunestruktur2019!$A$4:$N$425,K0kommunestruktur2020altern!L$3,FALSE)</f>
        <v>26285</v>
      </c>
      <c r="M354" s="289">
        <f>VLOOKUP($A354,K0kommunestruktur2019!$A$4:$N$425,K0kommunestruktur2020altern!M$3,FALSE)</f>
        <v>1169</v>
      </c>
      <c r="N354" s="177">
        <f>VLOOKUP($A354,K0kommunestruktur2019!$A$4:$N$425,K0kommunestruktur2020altern!N$3,FALSE)</f>
        <v>28086</v>
      </c>
      <c r="O354" s="289">
        <f>+'K20'!C354</f>
        <v>1132</v>
      </c>
      <c r="P354" s="177">
        <f>+'K20'!Z354</f>
        <v>28849</v>
      </c>
      <c r="R354" s="517"/>
    </row>
    <row r="355" spans="1:18" ht="13">
      <c r="A355" s="865">
        <v>5440</v>
      </c>
      <c r="B355" s="866" t="s">
        <v>255</v>
      </c>
      <c r="C355" s="289">
        <f>VLOOKUP($A355,K0kommunestruktur2019!$A$4:$N$425,K0kommunestruktur2020altern!C$3,FALSE)</f>
        <v>1057</v>
      </c>
      <c r="D355" s="177">
        <f>VLOOKUP($A355,K0kommunestruktur2019!$A$4:$N$425,K0kommunestruktur2020altern!D$3,FALSE)</f>
        <v>20462</v>
      </c>
      <c r="E355" s="289">
        <f>VLOOKUP($A355,K0kommunestruktur2019!$A$4:$N$425,K0kommunestruktur2020altern!E$3,FALSE)</f>
        <v>1020</v>
      </c>
      <c r="F355" s="177">
        <f>VLOOKUP($A355,K0kommunestruktur2019!$A$4:$N$425,K0kommunestruktur2020altern!F$3,FALSE)</f>
        <v>20445</v>
      </c>
      <c r="G355" s="289">
        <f>VLOOKUP($A355,K0kommunestruktur2019!$A$4:$N$425,K0kommunestruktur2020altern!G$3,FALSE)</f>
        <v>1000</v>
      </c>
      <c r="H355" s="177">
        <f>VLOOKUP($A355,K0kommunestruktur2019!$A$4:$N$425,K0kommunestruktur2020altern!H$3,FALSE)</f>
        <v>22785</v>
      </c>
      <c r="I355" s="289">
        <f>VLOOKUP($A355,K0kommunestruktur2019!$A$4:$N$425,K0kommunestruktur2020altern!I$3,FALSE)</f>
        <v>991</v>
      </c>
      <c r="J355" s="177">
        <f>VLOOKUP($A355,K0kommunestruktur2019!$A$4:$N$425,K0kommunestruktur2020altern!J$3,FALSE)</f>
        <v>25243</v>
      </c>
      <c r="K355" s="289">
        <f>VLOOKUP($A355,K0kommunestruktur2019!$A$4:$N$425,K0kommunestruktur2020altern!K$3,FALSE)</f>
        <v>983</v>
      </c>
      <c r="L355" s="177">
        <f>VLOOKUP($A355,K0kommunestruktur2019!$A$4:$N$425,K0kommunestruktur2020altern!L$3,FALSE)</f>
        <v>26464</v>
      </c>
      <c r="M355" s="289">
        <f>VLOOKUP($A355,K0kommunestruktur2019!$A$4:$N$425,K0kommunestruktur2020altern!M$3,FALSE)</f>
        <v>981</v>
      </c>
      <c r="N355" s="177">
        <f>VLOOKUP($A355,K0kommunestruktur2019!$A$4:$N$425,K0kommunestruktur2020altern!N$3,FALSE)</f>
        <v>26727</v>
      </c>
      <c r="O355" s="289">
        <f>+'K20'!C355</f>
        <v>957</v>
      </c>
      <c r="P355" s="177">
        <f>+'K20'!Z355</f>
        <v>25531</v>
      </c>
      <c r="R355" s="517"/>
    </row>
    <row r="356" spans="1:18" ht="13">
      <c r="A356" s="865">
        <v>5441</v>
      </c>
      <c r="B356" s="866" t="s">
        <v>256</v>
      </c>
      <c r="C356" s="289">
        <f>VLOOKUP($A356,K0kommunestruktur2019!$A$4:$N$425,K0kommunestruktur2020altern!C$3,FALSE)</f>
        <v>2883</v>
      </c>
      <c r="D356" s="177">
        <f>VLOOKUP($A356,K0kommunestruktur2019!$A$4:$N$425,K0kommunestruktur2020altern!D$3,FALSE)</f>
        <v>55367</v>
      </c>
      <c r="E356" s="289">
        <f>VLOOKUP($A356,K0kommunestruktur2019!$A$4:$N$425,K0kommunestruktur2020altern!E$3,FALSE)</f>
        <v>2909</v>
      </c>
      <c r="F356" s="177">
        <f>VLOOKUP($A356,K0kommunestruktur2019!$A$4:$N$425,K0kommunestruktur2020altern!F$3,FALSE)</f>
        <v>60979</v>
      </c>
      <c r="G356" s="289">
        <f>VLOOKUP($A356,K0kommunestruktur2019!$A$4:$N$425,K0kommunestruktur2020altern!G$3,FALSE)</f>
        <v>2922</v>
      </c>
      <c r="H356" s="177">
        <f>VLOOKUP($A356,K0kommunestruktur2019!$A$4:$N$425,K0kommunestruktur2020altern!H$3,FALSE)</f>
        <v>65869</v>
      </c>
      <c r="I356" s="289">
        <f>VLOOKUP($A356,K0kommunestruktur2019!$A$4:$N$425,K0kommunestruktur2020altern!I$3,FALSE)</f>
        <v>2911</v>
      </c>
      <c r="J356" s="177">
        <f>VLOOKUP($A356,K0kommunestruktur2019!$A$4:$N$425,K0kommunestruktur2020altern!J$3,FALSE)</f>
        <v>67666</v>
      </c>
      <c r="K356" s="289">
        <f>VLOOKUP($A356,K0kommunestruktur2019!$A$4:$N$425,K0kommunestruktur2020altern!K$3,FALSE)</f>
        <v>2922</v>
      </c>
      <c r="L356" s="177">
        <f>VLOOKUP($A356,K0kommunestruktur2019!$A$4:$N$425,K0kommunestruktur2020altern!L$3,FALSE)</f>
        <v>70134</v>
      </c>
      <c r="M356" s="289">
        <f>VLOOKUP($A356,K0kommunestruktur2019!$A$4:$N$425,K0kommunestruktur2020altern!M$3,FALSE)</f>
        <v>2900</v>
      </c>
      <c r="N356" s="177">
        <f>VLOOKUP($A356,K0kommunestruktur2019!$A$4:$N$425,K0kommunestruktur2020altern!N$3,FALSE)</f>
        <v>74703</v>
      </c>
      <c r="O356" s="289">
        <f>+'K20'!C356</f>
        <v>2918</v>
      </c>
      <c r="P356" s="177">
        <f>+'K20'!Z356</f>
        <v>74459</v>
      </c>
      <c r="R356" s="517"/>
    </row>
    <row r="357" spans="1:18" ht="13">
      <c r="A357" s="865">
        <v>5442</v>
      </c>
      <c r="B357" s="866" t="s">
        <v>257</v>
      </c>
      <c r="C357" s="289">
        <f>VLOOKUP($A357,K0kommunestruktur2019!$A$4:$N$425,K0kommunestruktur2020altern!C$3,FALSE)</f>
        <v>919</v>
      </c>
      <c r="D357" s="177">
        <f>VLOOKUP($A357,K0kommunestruktur2019!$A$4:$N$425,K0kommunestruktur2020altern!D$3,FALSE)</f>
        <v>15241</v>
      </c>
      <c r="E357" s="289">
        <f>VLOOKUP($A357,K0kommunestruktur2019!$A$4:$N$425,K0kommunestruktur2020altern!E$3,FALSE)</f>
        <v>934</v>
      </c>
      <c r="F357" s="177">
        <f>VLOOKUP($A357,K0kommunestruktur2019!$A$4:$N$425,K0kommunestruktur2020altern!F$3,FALSE)</f>
        <v>16586</v>
      </c>
      <c r="G357" s="289">
        <f>VLOOKUP($A357,K0kommunestruktur2019!$A$4:$N$425,K0kommunestruktur2020altern!G$3,FALSE)</f>
        <v>959</v>
      </c>
      <c r="H357" s="177">
        <f>VLOOKUP($A357,K0kommunestruktur2019!$A$4:$N$425,K0kommunestruktur2020altern!H$3,FALSE)</f>
        <v>17469</v>
      </c>
      <c r="I357" s="289">
        <f>VLOOKUP($A357,K0kommunestruktur2019!$A$4:$N$425,K0kommunestruktur2020altern!I$3,FALSE)</f>
        <v>951</v>
      </c>
      <c r="J357" s="177">
        <f>VLOOKUP($A357,K0kommunestruktur2019!$A$4:$N$425,K0kommunestruktur2020altern!J$3,FALSE)</f>
        <v>19017</v>
      </c>
      <c r="K357" s="289">
        <f>VLOOKUP($A357,K0kommunestruktur2019!$A$4:$N$425,K0kommunestruktur2020altern!K$3,FALSE)</f>
        <v>944</v>
      </c>
      <c r="L357" s="177">
        <f>VLOOKUP($A357,K0kommunestruktur2019!$A$4:$N$425,K0kommunestruktur2020altern!L$3,FALSE)</f>
        <v>20492</v>
      </c>
      <c r="M357" s="289">
        <f>VLOOKUP($A357,K0kommunestruktur2019!$A$4:$N$425,K0kommunestruktur2020altern!M$3,FALSE)</f>
        <v>941</v>
      </c>
      <c r="N357" s="177">
        <f>VLOOKUP($A357,K0kommunestruktur2019!$A$4:$N$425,K0kommunestruktur2020altern!N$3,FALSE)</f>
        <v>19666</v>
      </c>
      <c r="O357" s="289">
        <f>+'K20'!C357</f>
        <v>926</v>
      </c>
      <c r="P357" s="177">
        <f>+'K20'!Z357</f>
        <v>20196</v>
      </c>
      <c r="R357" s="517"/>
    </row>
    <row r="358" spans="1:18" ht="13">
      <c r="A358" s="865">
        <v>5443</v>
      </c>
      <c r="B358" s="866" t="s">
        <v>258</v>
      </c>
      <c r="C358" s="289">
        <f>VLOOKUP($A358,K0kommunestruktur2019!$A$4:$N$425,K0kommunestruktur2020altern!C$3,FALSE)</f>
        <v>2207</v>
      </c>
      <c r="D358" s="177">
        <f>VLOOKUP($A358,K0kommunestruktur2019!$A$4:$N$425,K0kommunestruktur2020altern!D$3,FALSE)</f>
        <v>42381</v>
      </c>
      <c r="E358" s="289">
        <f>VLOOKUP($A358,K0kommunestruktur2019!$A$4:$N$425,K0kommunestruktur2020altern!E$3,FALSE)</f>
        <v>2235</v>
      </c>
      <c r="F358" s="177">
        <f>VLOOKUP($A358,K0kommunestruktur2019!$A$4:$N$425,K0kommunestruktur2020altern!F$3,FALSE)</f>
        <v>46263</v>
      </c>
      <c r="G358" s="289">
        <f>VLOOKUP($A358,K0kommunestruktur2019!$A$4:$N$425,K0kommunestruktur2020altern!G$3,FALSE)</f>
        <v>2211</v>
      </c>
      <c r="H358" s="177">
        <f>VLOOKUP($A358,K0kommunestruktur2019!$A$4:$N$425,K0kommunestruktur2020altern!H$3,FALSE)</f>
        <v>50872</v>
      </c>
      <c r="I358" s="289">
        <f>VLOOKUP($A358,K0kommunestruktur2019!$A$4:$N$425,K0kommunestruktur2020altern!I$3,FALSE)</f>
        <v>2267</v>
      </c>
      <c r="J358" s="177">
        <f>VLOOKUP($A358,K0kommunestruktur2019!$A$4:$N$425,K0kommunestruktur2020altern!J$3,FALSE)</f>
        <v>55272</v>
      </c>
      <c r="K358" s="289">
        <f>VLOOKUP($A358,K0kommunestruktur2019!$A$4:$N$425,K0kommunestruktur2020altern!K$3,FALSE)</f>
        <v>2263</v>
      </c>
      <c r="L358" s="177">
        <f>VLOOKUP($A358,K0kommunestruktur2019!$A$4:$N$425,K0kommunestruktur2020altern!L$3,FALSE)</f>
        <v>61493</v>
      </c>
      <c r="M358" s="289">
        <f>VLOOKUP($A358,K0kommunestruktur2019!$A$4:$N$425,K0kommunestruktur2020altern!M$3,FALSE)</f>
        <v>2270</v>
      </c>
      <c r="N358" s="177">
        <f>VLOOKUP($A358,K0kommunestruktur2019!$A$4:$N$425,K0kommunestruktur2020altern!N$3,FALSE)</f>
        <v>62027</v>
      </c>
      <c r="O358" s="289">
        <f>+'K20'!C358</f>
        <v>2221</v>
      </c>
      <c r="P358" s="177">
        <f>+'K20'!Z358</f>
        <v>58016</v>
      </c>
      <c r="R358" s="517"/>
    </row>
    <row r="359" spans="1:18" ht="13">
      <c r="A359" s="865">
        <v>5444</v>
      </c>
      <c r="B359" s="866" t="s">
        <v>260</v>
      </c>
      <c r="C359" s="289">
        <f>VLOOKUP($A359,K0kommunestruktur2019!$A$4:$N$425,K0kommunestruktur2020altern!C$3,FALSE)</f>
        <v>10090</v>
      </c>
      <c r="D359" s="177">
        <f>VLOOKUP($A359,K0kommunestruktur2019!$A$4:$N$425,K0kommunestruktur2020altern!D$3,FALSE)</f>
        <v>236338</v>
      </c>
      <c r="E359" s="289">
        <f>VLOOKUP($A359,K0kommunestruktur2019!$A$4:$N$425,K0kommunestruktur2020altern!E$3,FALSE)</f>
        <v>10221</v>
      </c>
      <c r="F359" s="177">
        <f>VLOOKUP($A359,K0kommunestruktur2019!$A$4:$N$425,K0kommunestruktur2020altern!F$3,FALSE)</f>
        <v>244837</v>
      </c>
      <c r="G359" s="289">
        <f>VLOOKUP($A359,K0kommunestruktur2019!$A$4:$N$425,K0kommunestruktur2020altern!G$3,FALSE)</f>
        <v>10227</v>
      </c>
      <c r="H359" s="177">
        <f>VLOOKUP($A359,K0kommunestruktur2019!$A$4:$N$425,K0kommunestruktur2020altern!H$3,FALSE)</f>
        <v>252066</v>
      </c>
      <c r="I359" s="289">
        <f>VLOOKUP($A359,K0kommunestruktur2019!$A$4:$N$425,K0kommunestruktur2020altern!I$3,FALSE)</f>
        <v>10199</v>
      </c>
      <c r="J359" s="177">
        <f>VLOOKUP($A359,K0kommunestruktur2019!$A$4:$N$425,K0kommunestruktur2020altern!J$3,FALSE)</f>
        <v>260082</v>
      </c>
      <c r="K359" s="289">
        <f>VLOOKUP($A359,K0kommunestruktur2019!$A$4:$N$425,K0kommunestruktur2020altern!K$3,FALSE)</f>
        <v>10171</v>
      </c>
      <c r="L359" s="177">
        <f>VLOOKUP($A359,K0kommunestruktur2019!$A$4:$N$425,K0kommunestruktur2020altern!L$3,FALSE)</f>
        <v>262229</v>
      </c>
      <c r="M359" s="289">
        <f>VLOOKUP($A359,K0kommunestruktur2019!$A$4:$N$425,K0kommunestruktur2020altern!M$3,FALSE)</f>
        <v>10156</v>
      </c>
      <c r="N359" s="177">
        <f>VLOOKUP($A359,K0kommunestruktur2019!$A$4:$N$425,K0kommunestruktur2020altern!N$3,FALSE)</f>
        <v>271207</v>
      </c>
      <c r="O359" s="289">
        <f>+'K20'!C359</f>
        <v>10158</v>
      </c>
      <c r="P359" s="177">
        <f>+'K20'!Z359</f>
        <v>266948</v>
      </c>
      <c r="R359" s="517"/>
    </row>
    <row r="360" spans="1:18" ht="13">
      <c r="A360" s="1"/>
      <c r="B360" s="2"/>
      <c r="C360" s="179"/>
      <c r="D360" s="175"/>
      <c r="E360" s="179"/>
      <c r="F360" s="175"/>
      <c r="G360" s="179"/>
      <c r="H360" s="175"/>
      <c r="I360" s="179"/>
      <c r="J360" s="175"/>
      <c r="K360" s="179"/>
      <c r="L360" s="175"/>
      <c r="M360" s="179"/>
    </row>
    <row r="361" spans="1:18" ht="13">
      <c r="A361" s="1"/>
      <c r="B361" s="2" t="s">
        <v>261</v>
      </c>
      <c r="C361" s="519">
        <f t="shared" ref="C361:P361" si="53">SUM(C4:C359)</f>
        <v>5109056</v>
      </c>
      <c r="D361" s="519">
        <f t="shared" si="53"/>
        <v>128883066</v>
      </c>
      <c r="E361" s="519">
        <f t="shared" si="53"/>
        <v>5165802</v>
      </c>
      <c r="F361" s="519">
        <f t="shared" si="53"/>
        <v>136597674</v>
      </c>
      <c r="G361" s="519">
        <f t="shared" si="53"/>
        <v>5213985</v>
      </c>
      <c r="H361" s="519">
        <f t="shared" si="53"/>
        <v>149813982</v>
      </c>
      <c r="I361" s="519">
        <f t="shared" si="53"/>
        <v>5258317</v>
      </c>
      <c r="J361" s="519">
        <f t="shared" si="53"/>
        <v>156585214.00000003</v>
      </c>
      <c r="K361" s="519">
        <f t="shared" si="53"/>
        <v>5295619</v>
      </c>
      <c r="L361" s="519">
        <f t="shared" si="53"/>
        <v>162536856.00000003</v>
      </c>
      <c r="M361" s="519">
        <f t="shared" si="53"/>
        <v>5328212</v>
      </c>
      <c r="N361" s="177">
        <f t="shared" si="53"/>
        <v>170121597.00000003</v>
      </c>
      <c r="O361" s="177">
        <f t="shared" si="53"/>
        <v>5367580</v>
      </c>
      <c r="P361" s="177">
        <f t="shared" si="53"/>
        <v>168892423</v>
      </c>
    </row>
    <row r="362" spans="1:18">
      <c r="C362" s="5"/>
      <c r="D362" s="5"/>
      <c r="E362" s="5"/>
      <c r="F362" s="5"/>
      <c r="G362" s="5"/>
      <c r="H362" s="5"/>
      <c r="I362" s="5"/>
      <c r="J362" s="5"/>
      <c r="K362" s="5"/>
      <c r="L362" s="5"/>
      <c r="M362" s="5"/>
      <c r="N362" s="5"/>
      <c r="O362" s="5"/>
    </row>
    <row r="363" spans="1:18">
      <c r="C363" s="5"/>
      <c r="E363" s="5"/>
      <c r="G363" s="519"/>
      <c r="H363" s="519"/>
      <c r="I363" s="519"/>
      <c r="J363" s="519"/>
      <c r="K363" s="519"/>
      <c r="L363" s="519"/>
      <c r="M363" s="519"/>
    </row>
    <row r="364" spans="1:18">
      <c r="C364" s="5"/>
      <c r="E364" s="5"/>
      <c r="F364" s="5"/>
      <c r="G364" s="5"/>
      <c r="I364" s="5"/>
      <c r="K364" s="5"/>
      <c r="M364" s="5"/>
    </row>
    <row r="366" spans="1:18" ht="13">
      <c r="A366" s="1">
        <v>1103</v>
      </c>
      <c r="B366" s="2" t="s">
        <v>960</v>
      </c>
      <c r="C366" s="289">
        <f>VLOOKUP($A366,K0kommunestruktur2019!$A$4:$N$425,K0kommunestruktur2020altern!C$3,FALSE)</f>
        <v>130754</v>
      </c>
      <c r="D366" s="177">
        <f>VLOOKUP($A366,K0kommunestruktur2019!$A$4:$N$425,K0kommunestruktur2020altern!D$3,FALSE)</f>
        <v>4775553</v>
      </c>
      <c r="E366" s="289">
        <f>VLOOKUP($A366,K0kommunestruktur2019!$A$4:$N$425,K0kommunestruktur2020altern!E$3,FALSE)</f>
        <v>132102</v>
      </c>
      <c r="F366" s="177">
        <f>VLOOKUP($A366,K0kommunestruktur2019!$A$4:$N$425,K0kommunestruktur2020altern!F$3,FALSE)</f>
        <v>4930488</v>
      </c>
      <c r="G366" s="289">
        <f>VLOOKUP($A366,K0kommunestruktur2019!$A$4:$N$425,K0kommunestruktur2020altern!G$3,FALSE)</f>
        <v>132644</v>
      </c>
      <c r="H366" s="177">
        <f>VLOOKUP($A366,K0kommunestruktur2019!$A$4:$N$425,K0kommunestruktur2020altern!H$3,FALSE)</f>
        <v>5058581</v>
      </c>
      <c r="I366" s="289">
        <f>VLOOKUP($A366,K0kommunestruktur2019!$A$4:$N$425,K0kommunestruktur2020altern!I$3,FALSE)</f>
        <v>132729</v>
      </c>
      <c r="J366" s="177">
        <f>VLOOKUP($A366,K0kommunestruktur2019!$A$4:$N$425,K0kommunestruktur2020altern!J$3,FALSE)</f>
        <v>4887726</v>
      </c>
      <c r="K366" s="289">
        <f>VLOOKUP($A366,K0kommunestruktur2019!$A$4:$N$425,K0kommunestruktur2020altern!K$3,FALSE)</f>
        <v>133140</v>
      </c>
      <c r="L366" s="177">
        <f>VLOOKUP($A366,K0kommunestruktur2019!$A$4:$N$425,K0kommunestruktur2020altern!L$3,FALSE)</f>
        <v>4944822</v>
      </c>
      <c r="M366" s="289">
        <f>VLOOKUP($A366,K0kommunestruktur2019!$A$4:$N$425,K0kommunestruktur2020altern!M$3,FALSE)</f>
        <v>134037</v>
      </c>
      <c r="N366" s="177">
        <f>VLOOKUP($A366,K0kommunestruktur2019!$A$4:$N$425,K0kommunestruktur2020altern!N$3,FALSE)</f>
        <v>5317364</v>
      </c>
    </row>
    <row r="367" spans="1:18" ht="13">
      <c r="A367">
        <v>1141</v>
      </c>
      <c r="B367" s="2" t="s">
        <v>16</v>
      </c>
      <c r="C367" s="289">
        <f>VLOOKUP($A367,K0kommunestruktur2019!$A$4:$N$425,K0kommunestruktur2020altern!C$3,FALSE)</f>
        <v>3058</v>
      </c>
      <c r="D367" s="289">
        <f>VLOOKUP($A367,K0kommunestruktur2019!$A$4:$N$425,K0kommunestruktur2020altern!D$3,FALSE)</f>
        <v>79397</v>
      </c>
      <c r="E367" s="289">
        <f>VLOOKUP($A367,K0kommunestruktur2019!$A$4:$N$425,K0kommunestruktur2020altern!E$3,FALSE)</f>
        <v>3147</v>
      </c>
      <c r="F367" s="289">
        <f>VLOOKUP($A367,K0kommunestruktur2019!$A$4:$N$425,K0kommunestruktur2020altern!F$3,FALSE)</f>
        <v>79791</v>
      </c>
      <c r="G367" s="289">
        <f>VLOOKUP($A367,K0kommunestruktur2019!$A$4:$N$425,K0kommunestruktur2020altern!G$3,FALSE)</f>
        <v>3221</v>
      </c>
      <c r="H367" s="289">
        <f>VLOOKUP($A367,K0kommunestruktur2019!$A$4:$N$425,K0kommunestruktur2020altern!H$3,FALSE)</f>
        <v>86133</v>
      </c>
      <c r="I367" s="289">
        <f>VLOOKUP($A367,K0kommunestruktur2019!$A$4:$N$425,K0kommunestruktur2020altern!I$3,FALSE)</f>
        <v>3235</v>
      </c>
      <c r="J367" s="289">
        <f>VLOOKUP($A367,K0kommunestruktur2019!$A$4:$N$425,K0kommunestruktur2020altern!J$3,FALSE)</f>
        <v>93755</v>
      </c>
      <c r="K367" s="289">
        <f>VLOOKUP($A367,K0kommunestruktur2019!$A$4:$N$425,K0kommunestruktur2020altern!K$3,FALSE)</f>
        <v>3197</v>
      </c>
      <c r="L367" s="289">
        <f>VLOOKUP($A367,K0kommunestruktur2019!$A$4:$N$425,K0kommunestruktur2020altern!L$3,FALSE)</f>
        <v>90278</v>
      </c>
      <c r="M367" s="289">
        <f>VLOOKUP($A367,K0kommunestruktur2019!$A$4:$N$425,K0kommunestruktur2020altern!M$3,FALSE)</f>
        <v>3150</v>
      </c>
      <c r="N367" s="177">
        <f>VLOOKUP($A367,K0kommunestruktur2019!$A$4:$N$425,K0kommunestruktur2020altern!N$3,FALSE)</f>
        <v>90709</v>
      </c>
    </row>
    <row r="368" spans="1:18" ht="13">
      <c r="A368">
        <v>1142</v>
      </c>
      <c r="B368" s="2" t="s">
        <v>17</v>
      </c>
      <c r="C368" s="289">
        <f>VLOOKUP($A368,K0kommunestruktur2019!$A$4:$N$425,K0kommunestruktur2020altern!C$3,FALSE)</f>
        <v>4755</v>
      </c>
      <c r="D368" s="289">
        <f>VLOOKUP($A368,K0kommunestruktur2019!$A$4:$N$425,K0kommunestruktur2020altern!D$3,FALSE)</f>
        <v>134465</v>
      </c>
      <c r="E368" s="289">
        <f>VLOOKUP($A368,K0kommunestruktur2019!$A$4:$N$425,K0kommunestruktur2020altern!E$3,FALSE)</f>
        <v>4794</v>
      </c>
      <c r="F368" s="289">
        <f>VLOOKUP($A368,K0kommunestruktur2019!$A$4:$N$425,K0kommunestruktur2020altern!F$3,FALSE)</f>
        <v>141827</v>
      </c>
      <c r="G368" s="289">
        <f>VLOOKUP($A368,K0kommunestruktur2019!$A$4:$N$425,K0kommunestruktur2020altern!G$3,FALSE)</f>
        <v>4856</v>
      </c>
      <c r="H368" s="289">
        <f>VLOOKUP($A368,K0kommunestruktur2019!$A$4:$N$425,K0kommunestruktur2020altern!H$3,FALSE)</f>
        <v>153116</v>
      </c>
      <c r="I368" s="289">
        <f>VLOOKUP($A368,K0kommunestruktur2019!$A$4:$N$425,K0kommunestruktur2020altern!I$3,FALSE)</f>
        <v>4892</v>
      </c>
      <c r="J368" s="289">
        <f>VLOOKUP($A368,K0kommunestruktur2019!$A$4:$N$425,K0kommunestruktur2020altern!J$3,FALSE)</f>
        <v>146692</v>
      </c>
      <c r="K368" s="289">
        <f>VLOOKUP($A368,K0kommunestruktur2019!$A$4:$N$425,K0kommunestruktur2020altern!K$3,FALSE)</f>
        <v>4849</v>
      </c>
      <c r="L368" s="289">
        <f>VLOOKUP($A368,K0kommunestruktur2019!$A$4:$N$425,K0kommunestruktur2020altern!L$3,FALSE)</f>
        <v>154331</v>
      </c>
      <c r="M368" s="289">
        <f>VLOOKUP($A368,K0kommunestruktur2019!$A$4:$N$425,K0kommunestruktur2020altern!M$3,FALSE)</f>
        <v>4847</v>
      </c>
      <c r="N368" s="177">
        <f>VLOOKUP($A368,K0kommunestruktur2019!$A$4:$N$425,K0kommunestruktur2020altern!N$3,FALSE)</f>
        <v>158491</v>
      </c>
    </row>
    <row r="369" spans="1:15" ht="13">
      <c r="B369" s="894" t="s">
        <v>1662</v>
      </c>
      <c r="C369" s="290">
        <f t="shared" ref="C369:N369" si="54">-C380</f>
        <v>77.878166915052162</v>
      </c>
      <c r="D369" s="289">
        <f t="shared" si="54"/>
        <v>1852.1122578241429</v>
      </c>
      <c r="E369" s="289">
        <f t="shared" si="54"/>
        <v>77.822280178837559</v>
      </c>
      <c r="F369" s="893">
        <f t="shared" si="54"/>
        <v>1987.0967213114754</v>
      </c>
      <c r="G369" s="289">
        <f t="shared" si="54"/>
        <v>76.480998509687041</v>
      </c>
      <c r="H369" s="289">
        <f t="shared" si="54"/>
        <v>2074.5139437406856</v>
      </c>
      <c r="I369" s="289">
        <f t="shared" si="54"/>
        <v>75.670640834575266</v>
      </c>
      <c r="J369" s="289">
        <f t="shared" si="54"/>
        <v>2069.1445696721312</v>
      </c>
      <c r="K369" s="289">
        <f t="shared" si="54"/>
        <v>76.089791356184804</v>
      </c>
      <c r="L369" s="289">
        <f t="shared" si="54"/>
        <v>2060.4601341281673</v>
      </c>
      <c r="M369" s="962">
        <f t="shared" si="54"/>
        <v>75</v>
      </c>
      <c r="N369" s="177">
        <f t="shared" si="54"/>
        <v>2044.5603576751118</v>
      </c>
      <c r="O369" s="5"/>
    </row>
    <row r="370" spans="1:15">
      <c r="C370" s="657"/>
      <c r="E370" s="5"/>
      <c r="K370" s="5"/>
      <c r="M370" s="5"/>
    </row>
    <row r="371" spans="1:15" ht="13">
      <c r="A371" s="1">
        <v>1102</v>
      </c>
      <c r="B371" s="2" t="s">
        <v>959</v>
      </c>
      <c r="C371" s="290">
        <f>VLOOKUP($A371,K0kommunestruktur2019!$A$4:$N$425,K0kommunestruktur2020altern!C$3,FALSE)</f>
        <v>71900</v>
      </c>
      <c r="D371" s="177">
        <f>VLOOKUP($A371,K0kommunestruktur2019!$A$4:$N$425,K0kommunestruktur2020altern!D$3,FALSE)</f>
        <v>2112127</v>
      </c>
      <c r="E371" s="289">
        <f>VLOOKUP($A371,K0kommunestruktur2019!$A$4:$N$425,K0kommunestruktur2020altern!E$3,FALSE)</f>
        <v>73624</v>
      </c>
      <c r="F371" s="177">
        <f>VLOOKUP($A371,K0kommunestruktur2019!$A$4:$N$425,K0kommunestruktur2020altern!F$3,FALSE)</f>
        <v>2173483</v>
      </c>
      <c r="G371" s="289">
        <f>VLOOKUP($A371,K0kommunestruktur2019!$A$4:$N$425,K0kommunestruktur2020altern!G$3,FALSE)</f>
        <v>74820</v>
      </c>
      <c r="H371" s="177">
        <f>VLOOKUP($A371,K0kommunestruktur2019!$A$4:$N$425,K0kommunestruktur2020altern!H$3,FALSE)</f>
        <v>2268290</v>
      </c>
      <c r="I371" s="289">
        <f>VLOOKUP($A371,K0kommunestruktur2019!$A$4:$N$425,K0kommunestruktur2020altern!I$3,FALSE)</f>
        <v>75497</v>
      </c>
      <c r="J371" s="177">
        <f>VLOOKUP($A371,K0kommunestruktur2019!$A$4:$N$425,K0kommunestruktur2020altern!J$3,FALSE)</f>
        <v>2267326</v>
      </c>
      <c r="K371" s="289">
        <f>VLOOKUP($A371,K0kommunestruktur2019!$A$4:$N$425,K0kommunestruktur2020altern!K$3,FALSE)</f>
        <v>76328</v>
      </c>
      <c r="L371" s="177">
        <f>VLOOKUP($A371,K0kommunestruktur2019!$A$4:$N$425,K0kommunestruktur2020altern!L$3,FALSE)</f>
        <v>2335661</v>
      </c>
      <c r="M371" s="289">
        <f>VLOOKUP($A371,K0kommunestruktur2019!$A$4:$N$425,K0kommunestruktur2020altern!M$3,FALSE)</f>
        <v>77246</v>
      </c>
      <c r="N371" s="177">
        <f>VLOOKUP($A371,K0kommunestruktur2019!$A$4:$N$425,K0kommunestruktur2020altern!N$3,FALSE)</f>
        <v>2431286</v>
      </c>
    </row>
    <row r="372" spans="1:15" ht="13">
      <c r="A372" s="1">
        <v>1129</v>
      </c>
      <c r="B372" s="2" t="s">
        <v>7</v>
      </c>
      <c r="C372" s="290">
        <f>VLOOKUP($A372,K0kommunestruktur2019!$A$4:$N$425,K0kommunestruktur2020altern!C$3,FALSE)</f>
        <v>1242</v>
      </c>
      <c r="D372" s="177">
        <f>VLOOKUP($A372,K0kommunestruktur2019!$A$4:$N$425,K0kommunestruktur2020altern!D$3,FALSE)</f>
        <v>46467</v>
      </c>
      <c r="E372" s="289">
        <f>VLOOKUP($A372,K0kommunestruktur2019!$A$4:$N$425,K0kommunestruktur2020altern!E$3,FALSE)</f>
        <v>1208</v>
      </c>
      <c r="F372" s="177">
        <f>VLOOKUP($A372,K0kommunestruktur2019!$A$4:$N$425,K0kommunestruktur2020altern!F$3,FALSE)</f>
        <v>47786</v>
      </c>
      <c r="G372" s="289">
        <f>VLOOKUP($A372,K0kommunestruktur2019!$A$4:$N$425,K0kommunestruktur2020altern!G$3,FALSE)</f>
        <v>1238</v>
      </c>
      <c r="H372" s="177">
        <f>VLOOKUP($A372,K0kommunestruktur2019!$A$4:$N$425,K0kommunestruktur2020altern!H$3,FALSE)</f>
        <v>53109</v>
      </c>
      <c r="I372" s="289">
        <f>VLOOKUP($A372,K0kommunestruktur2019!$A$4:$N$425,K0kommunestruktur2020altern!I$3,FALSE)</f>
        <v>1245</v>
      </c>
      <c r="J372" s="177">
        <f>VLOOKUP($A372,K0kommunestruktur2019!$A$4:$N$425,K0kommunestruktur2020altern!J$3,FALSE)</f>
        <v>53784</v>
      </c>
      <c r="K372" s="289">
        <f>VLOOKUP($A372,K0kommunestruktur2019!$A$4:$N$425,K0kommunestruktur2020altern!K$3,FALSE)</f>
        <v>1246</v>
      </c>
      <c r="L372" s="177">
        <f>VLOOKUP($A372,K0kommunestruktur2019!$A$4:$N$425,K0kommunestruktur2020altern!L$3,FALSE)</f>
        <v>49511</v>
      </c>
      <c r="M372" s="289">
        <f>VLOOKUP($A372,K0kommunestruktur2019!$A$4:$N$425,K0kommunestruktur2020altern!M$3,FALSE)</f>
        <v>1193</v>
      </c>
      <c r="N372" s="177">
        <f>VLOOKUP($A372,K0kommunestruktur2019!$A$4:$N$425,K0kommunestruktur2020altern!N$3,FALSE)</f>
        <v>51579</v>
      </c>
    </row>
    <row r="373" spans="1:15" ht="13">
      <c r="A373" s="1"/>
      <c r="B373" s="894" t="s">
        <v>1660</v>
      </c>
      <c r="C373" s="289">
        <f>C372*$M373/$M372</f>
        <v>-169.69488683989943</v>
      </c>
      <c r="D373" s="177">
        <f>+D374*C373/C372</f>
        <v>-3806.2605473595977</v>
      </c>
      <c r="E373" s="289">
        <f>E372*$M373/$M372</f>
        <v>-165.04945515507126</v>
      </c>
      <c r="F373" s="912">
        <f>+F374*E373/E372</f>
        <v>-3961.1365071248952</v>
      </c>
      <c r="G373" s="289">
        <f>G372*$M373/$M372</f>
        <v>-169.14836546521374</v>
      </c>
      <c r="H373" s="177">
        <f>+H374*G373/G372</f>
        <v>-4733.0719891031013</v>
      </c>
      <c r="I373" s="289">
        <f>I372*$M373/$M372</f>
        <v>-170.10477787091367</v>
      </c>
      <c r="J373" s="177">
        <f>+J374*I373/I372</f>
        <v>-4747.701</v>
      </c>
      <c r="K373" s="289">
        <f>K372*$M373/$M372</f>
        <v>-170.24140821458508</v>
      </c>
      <c r="L373" s="177">
        <f>+L374*K373/K372</f>
        <v>-4110.9337803855824</v>
      </c>
      <c r="M373" s="962">
        <v>-163</v>
      </c>
      <c r="N373" s="177">
        <f>+N374*M373/M372</f>
        <v>-4199.4702430846601</v>
      </c>
    </row>
    <row r="374" spans="1:15" ht="13">
      <c r="A374" s="1"/>
      <c r="B374" s="885" t="s">
        <v>1838</v>
      </c>
      <c r="C374" s="290"/>
      <c r="D374" s="177">
        <v>27858.091</v>
      </c>
      <c r="E374" s="289"/>
      <c r="F374" s="177">
        <v>28991.631000000001</v>
      </c>
      <c r="G374" s="289"/>
      <c r="H374" s="177">
        <v>34641.440999999999</v>
      </c>
      <c r="I374" s="289"/>
      <c r="J374" s="177">
        <v>34748.510999999999</v>
      </c>
      <c r="K374" s="289"/>
      <c r="L374" s="177">
        <v>30088</v>
      </c>
      <c r="M374" s="289"/>
      <c r="N374" s="177">
        <v>30736</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VLOOKUP($A376,K0kommunestruktur2019!$A$4:$N$425,K0kommunestruktur2020altern!C$3,FALSE)</f>
        <v>12139</v>
      </c>
      <c r="D376" s="177">
        <f>VLOOKUP($A376,K0kommunestruktur2019!$A$4:$N$425,K0kommunestruktur2020altern!D$3,FALSE)</f>
        <v>294187</v>
      </c>
      <c r="E376" s="289">
        <f>VLOOKUP($A376,K0kommunestruktur2019!$A$4:$N$425,K0kommunestruktur2020altern!E$3,FALSE)</f>
        <v>12395</v>
      </c>
      <c r="F376" s="177">
        <f>VLOOKUP($A376,K0kommunestruktur2019!$A$4:$N$425,K0kommunestruktur2020altern!F$3,FALSE)</f>
        <v>299207</v>
      </c>
      <c r="G376" s="289">
        <f>VLOOKUP($A376,K0kommunestruktur2019!$A$4:$N$425,K0kommunestruktur2020altern!G$3,FALSE)</f>
        <v>12464</v>
      </c>
      <c r="H376" s="177">
        <f>VLOOKUP($A376,K0kommunestruktur2019!$A$4:$N$425,K0kommunestruktur2020altern!H$3,FALSE)</f>
        <v>327171</v>
      </c>
      <c r="I376" s="289">
        <f>VLOOKUP($A376,K0kommunestruktur2019!$A$4:$N$425,K0kommunestruktur2020altern!I$3,FALSE)</f>
        <v>12662</v>
      </c>
      <c r="J376" s="177">
        <f>VLOOKUP($A376,K0kommunestruktur2019!$A$4:$N$425,K0kommunestruktur2020altern!J$3,FALSE)</f>
        <v>333009</v>
      </c>
      <c r="K376" s="289">
        <f>VLOOKUP($A376,K0kommunestruktur2019!$A$4:$N$425,K0kommunestruktur2020altern!K$3,FALSE)</f>
        <v>12638</v>
      </c>
      <c r="L376" s="177">
        <f>VLOOKUP($A376,K0kommunestruktur2019!$A$4:$N$425,K0kommunestruktur2020altern!L$3,FALSE)</f>
        <v>341974</v>
      </c>
      <c r="M376" s="289">
        <f>VLOOKUP($A376,K0kommunestruktur2019!$A$4:$N$425,K0kommunestruktur2020altern!M$3,FALSE)</f>
        <v>12720</v>
      </c>
      <c r="N376" s="177">
        <f>VLOOKUP($A376,K0kommunestruktur2019!$A$4:$N$425,K0kommunestruktur2020altern!N$3,FALSE)</f>
        <v>359232</v>
      </c>
      <c r="O376" s="177"/>
    </row>
    <row r="377" spans="1:15" ht="13">
      <c r="A377" s="1"/>
      <c r="B377" s="894" t="s">
        <v>1660</v>
      </c>
      <c r="C377" s="290">
        <f t="shared" ref="C377:N377" si="55">-C373</f>
        <v>169.69488683989943</v>
      </c>
      <c r="D377" s="177">
        <f t="shared" si="55"/>
        <v>3806.2605473595977</v>
      </c>
      <c r="E377" s="289">
        <f t="shared" si="55"/>
        <v>165.04945515507126</v>
      </c>
      <c r="F377" s="912">
        <f t="shared" si="55"/>
        <v>3961.1365071248952</v>
      </c>
      <c r="G377" s="289">
        <f t="shared" si="55"/>
        <v>169.14836546521374</v>
      </c>
      <c r="H377" s="177">
        <f t="shared" si="55"/>
        <v>4733.0719891031013</v>
      </c>
      <c r="I377" s="289">
        <f t="shared" si="55"/>
        <v>170.10477787091367</v>
      </c>
      <c r="J377" s="177">
        <f t="shared" si="55"/>
        <v>4747.701</v>
      </c>
      <c r="K377" s="289">
        <f t="shared" si="55"/>
        <v>170.24140821458508</v>
      </c>
      <c r="L377" s="177">
        <f t="shared" si="55"/>
        <v>4110.9337803855824</v>
      </c>
      <c r="M377" s="962">
        <f t="shared" si="55"/>
        <v>163</v>
      </c>
      <c r="N377" s="177">
        <f t="shared" si="55"/>
        <v>4199.4702430846601</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VLOOKUP($A379,K0kommunestruktur2019!$A$4:$N$425,K0kommunestruktur2020altern!C$3,FALSE)</f>
        <v>2787</v>
      </c>
      <c r="D379" s="177">
        <f>VLOOKUP($A379,K0kommunestruktur2019!$A$4:$N$425,K0kommunestruktur2020altern!D$3,FALSE)</f>
        <v>86465</v>
      </c>
      <c r="E379" s="289">
        <f>VLOOKUP($A379,K0kommunestruktur2019!$A$4:$N$425,K0kommunestruktur2020altern!E$3,FALSE)</f>
        <v>2785</v>
      </c>
      <c r="F379" s="177">
        <f>VLOOKUP($A379,K0kommunestruktur2019!$A$4:$N$425,K0kommunestruktur2020altern!F$3,FALSE)</f>
        <v>91575</v>
      </c>
      <c r="G379" s="289">
        <f>VLOOKUP($A379,K0kommunestruktur2019!$A$4:$N$425,K0kommunestruktur2020altern!G$3,FALSE)</f>
        <v>2737</v>
      </c>
      <c r="H379" s="177">
        <f>VLOOKUP($A379,K0kommunestruktur2019!$A$4:$N$425,K0kommunestruktur2020altern!H$3,FALSE)</f>
        <v>94420</v>
      </c>
      <c r="I379" s="289">
        <f>VLOOKUP($A379,K0kommunestruktur2019!$A$4:$N$425,K0kommunestruktur2020altern!I$3,FALSE)</f>
        <v>2708</v>
      </c>
      <c r="J379" s="177">
        <f>VLOOKUP($A379,K0kommunestruktur2019!$A$4:$N$425,K0kommunestruktur2020altern!J$3,FALSE)</f>
        <v>95073</v>
      </c>
      <c r="K379" s="289">
        <f>VLOOKUP($A379,K0kommunestruktur2019!$A$4:$N$425,K0kommunestruktur2020altern!K$3,FALSE)</f>
        <v>2723</v>
      </c>
      <c r="L379" s="177">
        <f>VLOOKUP($A379,K0kommunestruktur2019!$A$4:$N$425,K0kommunestruktur2020altern!L$3,FALSE)</f>
        <v>94750</v>
      </c>
      <c r="M379" s="289">
        <f>VLOOKUP($A379,K0kommunestruktur2019!$A$4:$N$425,K0kommunestruktur2020altern!M$3,FALSE)</f>
        <v>2684</v>
      </c>
      <c r="N379" s="177">
        <f>VLOOKUP($A379,K0kommunestruktur2019!$A$4:$N$425,K0kommunestruktur2020altern!N$3,FALSE)</f>
        <v>95706</v>
      </c>
      <c r="O379" s="177"/>
    </row>
    <row r="380" spans="1:15" ht="13">
      <c r="A380" s="1"/>
      <c r="B380" s="894" t="s">
        <v>1664</v>
      </c>
      <c r="C380" s="289">
        <f>C379*$M380/$M379</f>
        <v>-77.878166915052162</v>
      </c>
      <c r="D380" s="177">
        <f>D381*C380/C379</f>
        <v>-1852.1122578241429</v>
      </c>
      <c r="E380" s="289">
        <f>E379*$M380/$M379</f>
        <v>-77.822280178837559</v>
      </c>
      <c r="F380" s="912">
        <f>F381*E380/E379</f>
        <v>-1987.0967213114754</v>
      </c>
      <c r="G380" s="289">
        <f>G379*$M380/$M379</f>
        <v>-76.480998509687041</v>
      </c>
      <c r="H380" s="177">
        <f>H381*G380/G379</f>
        <v>-2074.5139437406856</v>
      </c>
      <c r="I380" s="289">
        <f>I379*$M380/$M379</f>
        <v>-75.670640834575266</v>
      </c>
      <c r="J380" s="177">
        <f>J381*I380/I379</f>
        <v>-2069.1445696721312</v>
      </c>
      <c r="K380" s="289">
        <f>K379*$M380/$M379</f>
        <v>-76.089791356184804</v>
      </c>
      <c r="L380" s="177">
        <f>L381*K380/K379</f>
        <v>-2060.4601341281673</v>
      </c>
      <c r="M380" s="962">
        <v>-75</v>
      </c>
      <c r="N380" s="177">
        <f>N381*M380/M379</f>
        <v>-2044.5603576751118</v>
      </c>
      <c r="O380" s="177"/>
    </row>
    <row r="381" spans="1:15" ht="13">
      <c r="A381" s="1"/>
      <c r="B381" s="885" t="s">
        <v>1838</v>
      </c>
      <c r="C381" s="290"/>
      <c r="D381" s="177">
        <v>66280.923999999999</v>
      </c>
      <c r="E381" s="289"/>
      <c r="F381" s="177">
        <v>71111.567999999999</v>
      </c>
      <c r="G381" s="289"/>
      <c r="H381" s="177">
        <v>74239.938999999998</v>
      </c>
      <c r="I381" s="289"/>
      <c r="J381" s="177">
        <v>74047.786999999997</v>
      </c>
      <c r="K381" s="289"/>
      <c r="L381" s="177">
        <v>73737</v>
      </c>
      <c r="M381" s="289"/>
      <c r="N381" s="177">
        <v>73168</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VLOOKUP($A383,K0kommunestruktur2019!$A$4:$N$425,K0kommunestruktur2020altern!C$3,FALSE)</f>
        <v>26048</v>
      </c>
      <c r="D383" s="177">
        <f>VLOOKUP($A383,K0kommunestruktur2019!$A$4:$N$425,K0kommunestruktur2020altern!D$3,FALSE)</f>
        <v>643728</v>
      </c>
      <c r="E383" s="289">
        <f>VLOOKUP($A383,K0kommunestruktur2019!$A$4:$N$425,K0kommunestruktur2020altern!E$3,FALSE)</f>
        <v>26392</v>
      </c>
      <c r="F383" s="177">
        <f>VLOOKUP($A383,K0kommunestruktur2019!$A$4:$N$425,K0kommunestruktur2020altern!F$3,FALSE)</f>
        <v>684093</v>
      </c>
      <c r="G383" s="289">
        <f>VLOOKUP($A383,K0kommunestruktur2019!$A$4:$N$425,K0kommunestruktur2020altern!G$3,FALSE)</f>
        <v>26732</v>
      </c>
      <c r="H383" s="177">
        <f>VLOOKUP($A383,K0kommunestruktur2019!$A$4:$N$425,K0kommunestruktur2020altern!H$3,FALSE)</f>
        <v>721890</v>
      </c>
      <c r="I383" s="289">
        <f>VLOOKUP($A383,K0kommunestruktur2019!$A$4:$N$425,K0kommunestruktur2020altern!I$3,FALSE)</f>
        <v>26822</v>
      </c>
      <c r="J383" s="177">
        <f>VLOOKUP($A383,K0kommunestruktur2019!$A$4:$N$425,K0kommunestruktur2020altern!J$3,FALSE)</f>
        <v>749627</v>
      </c>
      <c r="K383" s="289">
        <f>VLOOKUP($A383,K0kommunestruktur2019!$A$4:$N$425,K0kommunestruktur2020altern!K$3,FALSE)</f>
        <v>26900</v>
      </c>
      <c r="L383" s="177">
        <f>VLOOKUP($A383,K0kommunestruktur2019!$A$4:$N$425,K0kommunestruktur2020altern!L$3,FALSE)</f>
        <v>776989</v>
      </c>
      <c r="M383" s="289">
        <f>VLOOKUP($A383,K0kommunestruktur2019!$A$4:$N$425,K0kommunestruktur2020altern!M$3,FALSE)</f>
        <v>27001</v>
      </c>
      <c r="N383" s="177">
        <f>VLOOKUP($A383,K0kommunestruktur2019!$A$4:$N$425,K0kommunestruktur2020altern!N$3,FALSE)</f>
        <v>799325</v>
      </c>
    </row>
    <row r="384" spans="1:15" ht="13">
      <c r="A384" s="1">
        <v>1543</v>
      </c>
      <c r="B384" s="2" t="s">
        <v>103</v>
      </c>
      <c r="C384" s="290">
        <f>VLOOKUP($A384,K0kommunestruktur2019!$A$4:$N$425,K0kommunestruktur2020altern!C$3,FALSE)</f>
        <v>3001</v>
      </c>
      <c r="D384" s="177">
        <f>VLOOKUP($A384,K0kommunestruktur2019!$A$4:$N$425,K0kommunestruktur2020altern!D$3,FALSE)</f>
        <v>70816</v>
      </c>
      <c r="E384" s="289">
        <f>VLOOKUP($A384,K0kommunestruktur2019!$A$4:$N$425,K0kommunestruktur2020altern!E$3,FALSE)</f>
        <v>2975</v>
      </c>
      <c r="F384" s="177">
        <f>VLOOKUP($A384,K0kommunestruktur2019!$A$4:$N$425,K0kommunestruktur2020altern!F$3,FALSE)</f>
        <v>75819</v>
      </c>
      <c r="G384" s="289">
        <f>VLOOKUP($A384,K0kommunestruktur2019!$A$4:$N$425,K0kommunestruktur2020altern!G$3,FALSE)</f>
        <v>2970</v>
      </c>
      <c r="H384" s="177">
        <f>VLOOKUP($A384,K0kommunestruktur2019!$A$4:$N$425,K0kommunestruktur2020altern!H$3,FALSE)</f>
        <v>75915</v>
      </c>
      <c r="I384" s="289">
        <f>VLOOKUP($A384,K0kommunestruktur2019!$A$4:$N$425,K0kommunestruktur2020altern!I$3,FALSE)</f>
        <v>2963</v>
      </c>
      <c r="J384" s="177">
        <f>VLOOKUP($A384,K0kommunestruktur2019!$A$4:$N$425,K0kommunestruktur2020altern!J$3,FALSE)</f>
        <v>76676</v>
      </c>
      <c r="K384" s="289">
        <f>VLOOKUP($A384,K0kommunestruktur2019!$A$4:$N$425,K0kommunestruktur2020altern!K$3,FALSE)</f>
        <v>2946</v>
      </c>
      <c r="L384" s="177">
        <f>VLOOKUP($A384,K0kommunestruktur2019!$A$4:$N$425,K0kommunestruktur2020altern!L$3,FALSE)</f>
        <v>81794</v>
      </c>
      <c r="M384" s="289">
        <f>VLOOKUP($A384,K0kommunestruktur2019!$A$4:$N$425,K0kommunestruktur2020altern!M$3,FALSE)</f>
        <v>2956</v>
      </c>
      <c r="N384" s="177">
        <f>VLOOKUP($A384,K0kommunestruktur2019!$A$4:$N$425,K0kommunestruktur2020altern!N$3,FALSE)</f>
        <v>85030</v>
      </c>
    </row>
    <row r="385" spans="1:15" ht="13">
      <c r="A385" s="1">
        <v>1545</v>
      </c>
      <c r="B385" s="2" t="s">
        <v>104</v>
      </c>
      <c r="C385" s="290">
        <f>VLOOKUP($A385,K0kommunestruktur2019!$A$4:$N$425,K0kommunestruktur2020altern!C$3,FALSE)</f>
        <v>2036</v>
      </c>
      <c r="D385" s="177">
        <f>VLOOKUP($A385,K0kommunestruktur2019!$A$4:$N$425,K0kommunestruktur2020altern!D$3,FALSE)</f>
        <v>43816</v>
      </c>
      <c r="E385" s="289">
        <f>VLOOKUP($A385,K0kommunestruktur2019!$A$4:$N$425,K0kommunestruktur2020altern!E$3,FALSE)</f>
        <v>2068</v>
      </c>
      <c r="F385" s="177">
        <f>VLOOKUP($A385,K0kommunestruktur2019!$A$4:$N$425,K0kommunestruktur2020altern!F$3,FALSE)</f>
        <v>47190</v>
      </c>
      <c r="G385" s="289">
        <f>VLOOKUP($A385,K0kommunestruktur2019!$A$4:$N$425,K0kommunestruktur2020altern!G$3,FALSE)</f>
        <v>2088</v>
      </c>
      <c r="H385" s="177">
        <f>VLOOKUP($A385,K0kommunestruktur2019!$A$4:$N$425,K0kommunestruktur2020altern!H$3,FALSE)</f>
        <v>50242</v>
      </c>
      <c r="I385" s="289">
        <f>VLOOKUP($A385,K0kommunestruktur2019!$A$4:$N$425,K0kommunestruktur2020altern!I$3,FALSE)</f>
        <v>2085</v>
      </c>
      <c r="J385" s="177">
        <f>VLOOKUP($A385,K0kommunestruktur2019!$A$4:$N$425,K0kommunestruktur2020altern!J$3,FALSE)</f>
        <v>51819</v>
      </c>
      <c r="K385" s="289">
        <f>VLOOKUP($A385,K0kommunestruktur2019!$A$4:$N$425,K0kommunestruktur2020altern!K$3,FALSE)</f>
        <v>2049</v>
      </c>
      <c r="L385" s="177">
        <f>VLOOKUP($A385,K0kommunestruktur2019!$A$4:$N$425,K0kommunestruktur2020altern!L$3,FALSE)</f>
        <v>54739</v>
      </c>
      <c r="M385" s="289">
        <f>VLOOKUP($A385,K0kommunestruktur2019!$A$4:$N$425,K0kommunestruktur2020altern!M$3,FALSE)</f>
        <v>2019</v>
      </c>
      <c r="N385" s="177">
        <f>VLOOKUP($A385,K0kommunestruktur2019!$A$4:$N$425,K0kommunestruktur2020altern!N$3,FALSE)</f>
        <v>62064</v>
      </c>
    </row>
    <row r="386" spans="1:15" ht="13">
      <c r="A386" s="1"/>
      <c r="B386" s="2"/>
      <c r="C386" s="290"/>
      <c r="D386" s="177"/>
      <c r="E386" s="289"/>
      <c r="F386" s="177"/>
      <c r="G386" s="289"/>
      <c r="H386" s="177"/>
      <c r="I386" s="289"/>
      <c r="J386" s="177"/>
      <c r="K386" s="289"/>
      <c r="L386" s="177"/>
      <c r="M386" s="289"/>
    </row>
    <row r="387" spans="1:15" ht="13">
      <c r="A387" s="1">
        <v>1504</v>
      </c>
      <c r="B387" s="2" t="s">
        <v>85</v>
      </c>
      <c r="C387" s="290">
        <f>VLOOKUP($A387,K0kommunestruktur2019!$A$4:$N$425,K0kommunestruktur2020altern!C$3,FALSE)</f>
        <v>45747</v>
      </c>
      <c r="D387" s="177">
        <f>VLOOKUP($A387,K0kommunestruktur2019!$A$4:$N$425,K0kommunestruktur2020altern!D$3,FALSE)</f>
        <v>1174309</v>
      </c>
      <c r="E387" s="289">
        <f>VLOOKUP($A387,K0kommunestruktur2019!$A$4:$N$425,K0kommunestruktur2020altern!E$3,FALSE)</f>
        <v>46316</v>
      </c>
      <c r="F387" s="177">
        <f>VLOOKUP($A387,K0kommunestruktur2019!$A$4:$N$425,K0kommunestruktur2020altern!F$3,FALSE)</f>
        <v>1213350</v>
      </c>
      <c r="G387" s="289">
        <f>VLOOKUP($A387,K0kommunestruktur2019!$A$4:$N$425,K0kommunestruktur2020altern!G$3,FALSE)</f>
        <v>46747</v>
      </c>
      <c r="H387" s="177">
        <f>VLOOKUP($A387,K0kommunestruktur2019!$A$4:$N$425,K0kommunestruktur2020altern!H$3,FALSE)</f>
        <v>1296676</v>
      </c>
      <c r="I387" s="289">
        <f>VLOOKUP($A387,K0kommunestruktur2019!$A$4:$N$425,K0kommunestruktur2020altern!I$3,FALSE)</f>
        <v>47199</v>
      </c>
      <c r="J387" s="177">
        <f>VLOOKUP($A387,K0kommunestruktur2019!$A$4:$N$425,K0kommunestruktur2020altern!J$3,FALSE)</f>
        <v>1363237</v>
      </c>
      <c r="K387" s="289">
        <f>VLOOKUP($A387,K0kommunestruktur2019!$A$4:$N$425,K0kommunestruktur2020altern!K$3,FALSE)</f>
        <v>47510</v>
      </c>
      <c r="L387" s="177">
        <f>VLOOKUP($A387,K0kommunestruktur2019!$A$4:$N$425,K0kommunestruktur2020altern!L$3,FALSE)</f>
        <v>1459532</v>
      </c>
      <c r="M387" s="289">
        <f>VLOOKUP($A387,K0kommunestruktur2019!$A$4:$N$425,K0kommunestruktur2020altern!M$3,FALSE)</f>
        <v>47998</v>
      </c>
      <c r="N387" s="177">
        <f>VLOOKUP($A387,K0kommunestruktur2019!$A$4:$N$425,K0kommunestruktur2020altern!N$3,FALSE)</f>
        <v>1559319</v>
      </c>
    </row>
    <row r="388" spans="1:15" ht="13">
      <c r="A388" s="1">
        <v>1523</v>
      </c>
      <c r="B388" s="2" t="s">
        <v>92</v>
      </c>
      <c r="C388" s="290">
        <f>VLOOKUP($A388,K0kommunestruktur2019!$A$4:$N$425,K0kommunestruktur2020altern!C$3,FALSE)</f>
        <v>2301</v>
      </c>
      <c r="D388" s="177">
        <f>VLOOKUP($A388,K0kommunestruktur2019!$A$4:$N$425,K0kommunestruktur2020altern!D$3,FALSE)</f>
        <v>49948</v>
      </c>
      <c r="E388" s="289">
        <f>VLOOKUP($A388,K0kommunestruktur2019!$A$4:$N$425,K0kommunestruktur2020altern!E$3,FALSE)</f>
        <v>2294</v>
      </c>
      <c r="F388" s="177">
        <f>VLOOKUP($A388,K0kommunestruktur2019!$A$4:$N$425,K0kommunestruktur2020altern!F$3,FALSE)</f>
        <v>57694</v>
      </c>
      <c r="G388" s="289">
        <f>VLOOKUP($A388,K0kommunestruktur2019!$A$4:$N$425,K0kommunestruktur2020altern!G$3,FALSE)</f>
        <v>2310</v>
      </c>
      <c r="H388" s="177">
        <f>VLOOKUP($A388,K0kommunestruktur2019!$A$4:$N$425,K0kommunestruktur2020altern!H$3,FALSE)</f>
        <v>57007</v>
      </c>
      <c r="I388" s="289">
        <f>VLOOKUP($A388,K0kommunestruktur2019!$A$4:$N$425,K0kommunestruktur2020altern!I$3,FALSE)</f>
        <v>2296</v>
      </c>
      <c r="J388" s="177">
        <f>VLOOKUP($A388,K0kommunestruktur2019!$A$4:$N$425,K0kommunestruktur2020altern!J$3,FALSE)</f>
        <v>52710</v>
      </c>
      <c r="K388" s="289">
        <f>VLOOKUP($A388,K0kommunestruktur2019!$A$4:$N$425,K0kommunestruktur2020altern!K$3,FALSE)</f>
        <v>2267</v>
      </c>
      <c r="L388" s="177">
        <f>VLOOKUP($A388,K0kommunestruktur2019!$A$4:$N$425,K0kommunestruktur2020altern!L$3,FALSE)</f>
        <v>60208</v>
      </c>
      <c r="M388" s="289">
        <f>VLOOKUP($A388,K0kommunestruktur2019!$A$4:$N$425,K0kommunestruktur2020altern!M$3,FALSE)</f>
        <v>2250</v>
      </c>
      <c r="N388" s="177">
        <f>VLOOKUP($A388,K0kommunestruktur2019!$A$4:$N$425,K0kommunestruktur2020altern!N$3,FALSE)</f>
        <v>62662</v>
      </c>
    </row>
    <row r="389" spans="1:15" ht="13">
      <c r="A389" s="1">
        <v>1529</v>
      </c>
      <c r="B389" s="2" t="s">
        <v>97</v>
      </c>
      <c r="C389" s="290">
        <f>VLOOKUP($A389,K0kommunestruktur2019!$A$4:$N$425,K0kommunestruktur2020altern!C$3,FALSE)</f>
        <v>4387</v>
      </c>
      <c r="D389" s="177">
        <f>VLOOKUP($A389,K0kommunestruktur2019!$A$4:$N$425,K0kommunestruktur2020altern!D$3,FALSE)</f>
        <v>93598</v>
      </c>
      <c r="E389" s="289">
        <f>VLOOKUP($A389,K0kommunestruktur2019!$A$4:$N$425,K0kommunestruktur2020altern!E$3,FALSE)</f>
        <v>4465</v>
      </c>
      <c r="F389" s="177">
        <f>VLOOKUP($A389,K0kommunestruktur2019!$A$4:$N$425,K0kommunestruktur2020altern!F$3,FALSE)</f>
        <v>99262</v>
      </c>
      <c r="G389" s="289">
        <f>VLOOKUP($A389,K0kommunestruktur2019!$A$4:$N$425,K0kommunestruktur2020altern!G$3,FALSE)</f>
        <v>4620</v>
      </c>
      <c r="H389" s="177">
        <f>VLOOKUP($A389,K0kommunestruktur2019!$A$4:$N$425,K0kommunestruktur2020altern!H$3,FALSE)</f>
        <v>111556</v>
      </c>
      <c r="I389" s="289">
        <f>VLOOKUP($A389,K0kommunestruktur2019!$A$4:$N$425,K0kommunestruktur2020altern!I$3,FALSE)</f>
        <v>4667</v>
      </c>
      <c r="J389" s="177">
        <f>VLOOKUP($A389,K0kommunestruktur2019!$A$4:$N$425,K0kommunestruktur2020altern!J$3,FALSE)</f>
        <v>114146</v>
      </c>
      <c r="K389" s="289">
        <f>VLOOKUP($A389,K0kommunestruktur2019!$A$4:$N$425,K0kommunestruktur2020altern!K$3,FALSE)</f>
        <v>4680</v>
      </c>
      <c r="L389" s="177">
        <f>VLOOKUP($A389,K0kommunestruktur2019!$A$4:$N$425,K0kommunestruktur2020altern!L$3,FALSE)</f>
        <v>116891</v>
      </c>
      <c r="M389" s="289">
        <f>VLOOKUP($A389,K0kommunestruktur2019!$A$4:$N$425,K0kommunestruktur2020altern!M$3,FALSE)</f>
        <v>4764</v>
      </c>
      <c r="N389" s="177">
        <f>VLOOKUP($A389,K0kommunestruktur2019!$A$4:$N$425,K0kommunestruktur2020altern!N$3,FALSE)</f>
        <v>129233</v>
      </c>
    </row>
    <row r="390" spans="1:15" ht="13">
      <c r="A390" s="1">
        <v>1534</v>
      </c>
      <c r="B390" s="2" t="s">
        <v>100</v>
      </c>
      <c r="C390" s="290">
        <f>VLOOKUP($A390,K0kommunestruktur2019!$A$4:$N$425,K0kommunestruktur2020altern!C$3,FALSE)</f>
        <v>9084</v>
      </c>
      <c r="D390" s="177">
        <f>VLOOKUP($A390,K0kommunestruktur2019!$A$4:$N$425,K0kommunestruktur2020altern!D$3,FALSE)</f>
        <v>215808</v>
      </c>
      <c r="E390" s="289">
        <f>VLOOKUP($A390,K0kommunestruktur2019!$A$4:$N$425,K0kommunestruktur2020altern!E$3,FALSE)</f>
        <v>9120</v>
      </c>
      <c r="F390" s="177">
        <f>VLOOKUP($A390,K0kommunestruktur2019!$A$4:$N$425,K0kommunestruktur2020altern!F$3,FALSE)</f>
        <v>219138</v>
      </c>
      <c r="G390" s="289">
        <f>VLOOKUP($A390,K0kommunestruktur2019!$A$4:$N$425,K0kommunestruktur2020altern!G$3,FALSE)</f>
        <v>9200</v>
      </c>
      <c r="H390" s="177">
        <f>VLOOKUP($A390,K0kommunestruktur2019!$A$4:$N$425,K0kommunestruktur2020altern!H$3,FALSE)</f>
        <v>231827</v>
      </c>
      <c r="I390" s="289">
        <f>VLOOKUP($A390,K0kommunestruktur2019!$A$4:$N$425,K0kommunestruktur2020altern!I$3,FALSE)</f>
        <v>9312</v>
      </c>
      <c r="J390" s="177">
        <f>VLOOKUP($A390,K0kommunestruktur2019!$A$4:$N$425,K0kommunestruktur2020altern!J$3,FALSE)</f>
        <v>237154</v>
      </c>
      <c r="K390" s="289">
        <f>VLOOKUP($A390,K0kommunestruktur2019!$A$4:$N$425,K0kommunestruktur2020altern!K$3,FALSE)</f>
        <v>9345</v>
      </c>
      <c r="L390" s="177">
        <f>VLOOKUP($A390,K0kommunestruktur2019!$A$4:$N$425,K0kommunestruktur2020altern!L$3,FALSE)</f>
        <v>248949</v>
      </c>
      <c r="M390" s="289">
        <f>VLOOKUP($A390,K0kommunestruktur2019!$A$4:$N$425,K0kommunestruktur2020altern!M$3,FALSE)</f>
        <v>9383</v>
      </c>
      <c r="N390" s="177">
        <f>VLOOKUP($A390,K0kommunestruktur2019!$A$4:$N$425,K0kommunestruktur2020altern!N$3,FALSE)</f>
        <v>265960</v>
      </c>
    </row>
    <row r="391" spans="1:15" ht="13">
      <c r="A391" s="1">
        <v>1546</v>
      </c>
      <c r="B391" s="2" t="s">
        <v>105</v>
      </c>
      <c r="C391" s="290">
        <f>VLOOKUP($A391,K0kommunestruktur2019!$A$4:$N$425,K0kommunestruktur2020altern!C$3,FALSE)</f>
        <v>1285</v>
      </c>
      <c r="D391" s="177">
        <f>VLOOKUP($A391,K0kommunestruktur2019!$A$4:$N$425,K0kommunestruktur2020altern!D$3,FALSE)</f>
        <v>35372</v>
      </c>
      <c r="E391" s="289">
        <f>VLOOKUP($A391,K0kommunestruktur2019!$A$4:$N$425,K0kommunestruktur2020altern!E$3,FALSE)</f>
        <v>1262</v>
      </c>
      <c r="F391" s="177">
        <f>VLOOKUP($A391,K0kommunestruktur2019!$A$4:$N$425,K0kommunestruktur2020altern!F$3,FALSE)</f>
        <v>36460</v>
      </c>
      <c r="G391" s="289">
        <f>VLOOKUP($A391,K0kommunestruktur2019!$A$4:$N$425,K0kommunestruktur2020altern!G$3,FALSE)</f>
        <v>1270</v>
      </c>
      <c r="H391" s="177">
        <f>VLOOKUP($A391,K0kommunestruktur2019!$A$4:$N$425,K0kommunestruktur2020altern!H$3,FALSE)</f>
        <v>39495</v>
      </c>
      <c r="I391" s="289">
        <f>VLOOKUP($A391,K0kommunestruktur2019!$A$4:$N$425,K0kommunestruktur2020altern!I$3,FALSE)</f>
        <v>1246</v>
      </c>
      <c r="J391" s="177">
        <f>VLOOKUP($A391,K0kommunestruktur2019!$A$4:$N$425,K0kommunestruktur2020altern!J$3,FALSE)</f>
        <v>37801</v>
      </c>
      <c r="K391" s="289">
        <f>VLOOKUP($A391,K0kommunestruktur2019!$A$4:$N$425,K0kommunestruktur2020altern!K$3,FALSE)</f>
        <v>1263</v>
      </c>
      <c r="L391" s="177">
        <f>VLOOKUP($A391,K0kommunestruktur2019!$A$4:$N$425,K0kommunestruktur2020altern!L$3,FALSE)</f>
        <v>39378</v>
      </c>
      <c r="M391" s="289">
        <f>VLOOKUP($A391,K0kommunestruktur2019!$A$4:$N$425,K0kommunestruktur2020altern!M$3,FALSE)</f>
        <v>1238</v>
      </c>
      <c r="N391" s="177">
        <f>VLOOKUP($A391,K0kommunestruktur2019!$A$4:$N$425,K0kommunestruktur2020altern!N$3,FALSE)</f>
        <v>43169</v>
      </c>
    </row>
    <row r="392" spans="1:15" ht="13">
      <c r="A392" s="1"/>
      <c r="B392" s="894" t="s">
        <v>1673</v>
      </c>
      <c r="C392" s="290">
        <f>C391*$M392/$M391</f>
        <v>-12.45557350565428</v>
      </c>
      <c r="D392" s="177">
        <f>+D391*C392/C391</f>
        <v>-342.86268174474958</v>
      </c>
      <c r="E392" s="289">
        <f>E391*$M392/$M391</f>
        <v>-12.232633279483037</v>
      </c>
      <c r="F392" s="912">
        <f>+F391*E392/E391</f>
        <v>-353.40872374798062</v>
      </c>
      <c r="G392" s="289">
        <f>G391*$M392/$M391</f>
        <v>-12.310177705977383</v>
      </c>
      <c r="H392" s="177">
        <f>+H391*G392/G391</f>
        <v>-382.827140549273</v>
      </c>
      <c r="I392" s="289">
        <f>I391*$M392/$M391</f>
        <v>-12.077544426494345</v>
      </c>
      <c r="J392" s="177">
        <f>+J391*I392/I391</f>
        <v>-366.40710823909529</v>
      </c>
      <c r="K392" s="289">
        <f>K391*$M392/$M391</f>
        <v>-12.24232633279483</v>
      </c>
      <c r="L392" s="177">
        <f>+L391*K392/K391</f>
        <v>-381.69305331179322</v>
      </c>
      <c r="M392" s="962">
        <v>-12</v>
      </c>
      <c r="N392" s="177">
        <f>+N391*M392/M391</f>
        <v>-418.43941841680129</v>
      </c>
      <c r="O392" s="5"/>
    </row>
    <row r="393" spans="1:15" ht="13">
      <c r="A393" s="1"/>
      <c r="B393" s="885" t="s">
        <v>1839</v>
      </c>
      <c r="C393" s="290"/>
      <c r="D393" s="177"/>
      <c r="E393" s="289"/>
      <c r="F393" s="177"/>
      <c r="G393" s="289"/>
      <c r="H393" s="177"/>
      <c r="I393" s="289"/>
      <c r="J393" s="177"/>
      <c r="K393" s="289"/>
      <c r="L393" s="177"/>
      <c r="M393" s="289"/>
      <c r="O393" s="5"/>
    </row>
    <row r="394" spans="1:15" ht="13">
      <c r="A394" s="1"/>
      <c r="B394" s="2"/>
      <c r="C394" s="290"/>
      <c r="D394" s="177"/>
      <c r="E394" s="289"/>
      <c r="F394" s="177"/>
      <c r="G394" s="289"/>
      <c r="H394" s="177"/>
      <c r="I394" s="289"/>
      <c r="J394" s="177"/>
      <c r="K394" s="289"/>
      <c r="L394" s="177"/>
      <c r="M394" s="289"/>
    </row>
    <row r="395" spans="1:15" ht="13">
      <c r="A395" s="1">
        <v>1520</v>
      </c>
      <c r="B395" s="2" t="s">
        <v>91</v>
      </c>
      <c r="C395" s="290">
        <f>VLOOKUP($A395,K0kommunestruktur2019!$A$4:$N$425,K0kommunestruktur2020altern!C$3,FALSE)</f>
        <v>10536</v>
      </c>
      <c r="D395" s="177">
        <f>VLOOKUP($A395,K0kommunestruktur2019!$A$4:$N$425,K0kommunestruktur2020altern!D$3,FALSE)</f>
        <v>230939</v>
      </c>
      <c r="E395" s="289">
        <f>VLOOKUP($A395,K0kommunestruktur2019!$A$4:$N$425,K0kommunestruktur2020altern!E$3,FALSE)</f>
        <v>10589</v>
      </c>
      <c r="F395" s="177">
        <f>VLOOKUP($A395,K0kommunestruktur2019!$A$4:$N$425,K0kommunestruktur2020altern!F$3,FALSE)</f>
        <v>248077</v>
      </c>
      <c r="G395" s="289">
        <f>VLOOKUP($A395,K0kommunestruktur2019!$A$4:$N$425,K0kommunestruktur2020altern!G$3,FALSE)</f>
        <v>10677</v>
      </c>
      <c r="H395" s="177">
        <f>VLOOKUP($A395,K0kommunestruktur2019!$A$4:$N$425,K0kommunestruktur2020altern!H$3,FALSE)</f>
        <v>257414</v>
      </c>
      <c r="I395" s="289">
        <f>VLOOKUP($A395,K0kommunestruktur2019!$A$4:$N$425,K0kommunestruktur2020altern!I$3,FALSE)</f>
        <v>10744</v>
      </c>
      <c r="J395" s="177">
        <f>VLOOKUP($A395,K0kommunestruktur2019!$A$4:$N$425,K0kommunestruktur2020altern!J$3,FALSE)</f>
        <v>268472</v>
      </c>
      <c r="K395" s="289">
        <f>VLOOKUP($A395,K0kommunestruktur2019!$A$4:$N$425,K0kommunestruktur2020altern!K$3,FALSE)</f>
        <v>10812</v>
      </c>
      <c r="L395" s="177">
        <f>VLOOKUP($A395,K0kommunestruktur2019!$A$4:$N$425,K0kommunestruktur2020altern!L$3,FALSE)</f>
        <v>277117</v>
      </c>
      <c r="M395" s="289">
        <f>VLOOKUP($A395,K0kommunestruktur2019!$A$4:$N$425,K0kommunestruktur2020altern!M$3,FALSE)</f>
        <v>10857</v>
      </c>
      <c r="N395" s="177">
        <f>VLOOKUP($A395,K0kommunestruktur2019!$A$4:$N$425,K0kommunestruktur2020altern!N$3,FALSE)</f>
        <v>286052</v>
      </c>
      <c r="O395" s="177"/>
    </row>
    <row r="396" spans="1:15" ht="13">
      <c r="A396" s="1"/>
      <c r="B396" s="894" t="s">
        <v>1678</v>
      </c>
      <c r="C396" s="290">
        <f>C395*$M396/$M395</f>
        <v>-101.89555125725339</v>
      </c>
      <c r="D396" s="177">
        <f>D397*C396/C395</f>
        <v>-2207.6171856866536</v>
      </c>
      <c r="E396" s="289">
        <f>E395*$M396/$M395</f>
        <v>-102.40812379110251</v>
      </c>
      <c r="F396" s="912">
        <f>F397*E396/E395</f>
        <v>-2374.3610154738876</v>
      </c>
      <c r="G396" s="289">
        <f>G395*$M396/$M395</f>
        <v>-103.25918762088975</v>
      </c>
      <c r="H396" s="177">
        <f>H397*G396/G395</f>
        <v>-2466.6190135396514</v>
      </c>
      <c r="I396" s="289">
        <f>I395*$M396/$M395</f>
        <v>-103.90715667311412</v>
      </c>
      <c r="J396" s="177">
        <f>J397*I396/I395</f>
        <v>-2573.4084526112188</v>
      </c>
      <c r="K396" s="289">
        <f>K395*$M396/$M395</f>
        <v>-104.56479690522244</v>
      </c>
      <c r="L396" s="177">
        <f>L397*K396/K395</f>
        <v>-2657.6208897485494</v>
      </c>
      <c r="M396" s="962">
        <v>-105</v>
      </c>
      <c r="N396" s="177">
        <f>N397*M396/M395</f>
        <v>-2744.7292069632495</v>
      </c>
      <c r="O396" s="177"/>
    </row>
    <row r="397" spans="1:15" ht="13">
      <c r="A397" s="1"/>
      <c r="B397" s="885" t="s">
        <v>1838</v>
      </c>
      <c r="C397" s="290"/>
      <c r="D397" s="177">
        <v>228267.617</v>
      </c>
      <c r="E397" s="289"/>
      <c r="F397" s="177">
        <v>245508.929</v>
      </c>
      <c r="G397" s="289"/>
      <c r="H397" s="177">
        <v>255048.40599999999</v>
      </c>
      <c r="I397" s="289"/>
      <c r="J397" s="177">
        <v>266090.43400000001</v>
      </c>
      <c r="K397" s="289"/>
      <c r="L397" s="177">
        <v>274798</v>
      </c>
      <c r="M397" s="289"/>
      <c r="N397" s="177">
        <v>283805</v>
      </c>
    </row>
    <row r="398" spans="1:15" ht="13">
      <c r="A398" s="1"/>
      <c r="B398" s="2"/>
      <c r="C398" s="290"/>
      <c r="D398" s="177"/>
      <c r="E398" s="289"/>
      <c r="F398" s="177"/>
      <c r="G398" s="289"/>
      <c r="H398" s="177"/>
      <c r="I398" s="289"/>
      <c r="J398" s="177"/>
      <c r="K398" s="289"/>
      <c r="L398" s="177"/>
      <c r="M398" s="289"/>
    </row>
    <row r="399" spans="1:15" ht="13">
      <c r="A399" s="1">
        <v>1547</v>
      </c>
      <c r="B399" s="2" t="s">
        <v>106</v>
      </c>
      <c r="C399" s="290">
        <f>VLOOKUP($A399,K0kommunestruktur2019!$A$4:$N$425,K0kommunestruktur2020altern!C$3,FALSE)</f>
        <v>3377</v>
      </c>
      <c r="D399" s="177">
        <f>VLOOKUP($A399,K0kommunestruktur2019!$A$4:$N$425,K0kommunestruktur2020altern!D$3,FALSE)</f>
        <v>84225</v>
      </c>
      <c r="E399" s="289">
        <f>VLOOKUP($A399,K0kommunestruktur2019!$A$4:$N$425,K0kommunestruktur2020altern!E$3,FALSE)</f>
        <v>3466</v>
      </c>
      <c r="F399" s="177">
        <f>VLOOKUP($A399,K0kommunestruktur2019!$A$4:$N$425,K0kommunestruktur2020altern!F$3,FALSE)</f>
        <v>91555</v>
      </c>
      <c r="G399" s="289">
        <f>VLOOKUP($A399,K0kommunestruktur2019!$A$4:$N$425,K0kommunestruktur2020altern!G$3,FALSE)</f>
        <v>3518</v>
      </c>
      <c r="H399" s="177">
        <f>VLOOKUP($A399,K0kommunestruktur2019!$A$4:$N$425,K0kommunestruktur2020altern!H$3,FALSE)</f>
        <v>97276</v>
      </c>
      <c r="I399" s="289">
        <f>VLOOKUP($A399,K0kommunestruktur2019!$A$4:$N$425,K0kommunestruktur2020altern!I$3,FALSE)</f>
        <v>3547</v>
      </c>
      <c r="J399" s="177">
        <f>VLOOKUP($A399,K0kommunestruktur2019!$A$4:$N$425,K0kommunestruktur2020altern!J$3,FALSE)</f>
        <v>102416</v>
      </c>
      <c r="K399" s="289">
        <f>VLOOKUP($A399,K0kommunestruktur2019!$A$4:$N$425,K0kommunestruktur2020altern!K$3,FALSE)</f>
        <v>3557</v>
      </c>
      <c r="L399" s="177">
        <f>VLOOKUP($A399,K0kommunestruktur2019!$A$4:$N$425,K0kommunestruktur2020altern!L$3,FALSE)</f>
        <v>97066</v>
      </c>
      <c r="M399" s="289">
        <f>VLOOKUP($A399,K0kommunestruktur2019!$A$4:$N$425,K0kommunestruktur2020altern!M$3,FALSE)</f>
        <v>3539</v>
      </c>
      <c r="N399" s="177">
        <f>VLOOKUP($A399,K0kommunestruktur2019!$A$4:$N$425,K0kommunestruktur2020altern!N$3,FALSE)</f>
        <v>106389</v>
      </c>
      <c r="O399" s="177"/>
    </row>
    <row r="400" spans="1:15" ht="13">
      <c r="A400" s="1"/>
      <c r="B400" s="894" t="s">
        <v>1673</v>
      </c>
      <c r="C400" s="290">
        <f t="shared" ref="C400:N400" si="56">-C392</f>
        <v>12.45557350565428</v>
      </c>
      <c r="D400" s="177">
        <f t="shared" si="56"/>
        <v>342.86268174474958</v>
      </c>
      <c r="E400" s="289">
        <f t="shared" si="56"/>
        <v>12.232633279483037</v>
      </c>
      <c r="F400" s="912">
        <f t="shared" si="56"/>
        <v>353.40872374798062</v>
      </c>
      <c r="G400" s="289">
        <f t="shared" si="56"/>
        <v>12.310177705977383</v>
      </c>
      <c r="H400" s="177">
        <f t="shared" si="56"/>
        <v>382.827140549273</v>
      </c>
      <c r="I400" s="289">
        <f t="shared" si="56"/>
        <v>12.077544426494345</v>
      </c>
      <c r="J400" s="177">
        <f t="shared" si="56"/>
        <v>366.40710823909529</v>
      </c>
      <c r="K400" s="289">
        <f t="shared" si="56"/>
        <v>12.24232633279483</v>
      </c>
      <c r="L400" s="177">
        <f t="shared" si="56"/>
        <v>381.69305331179322</v>
      </c>
      <c r="M400" s="962">
        <f t="shared" si="56"/>
        <v>12</v>
      </c>
      <c r="N400" s="177">
        <f t="shared" si="56"/>
        <v>418.43941841680129</v>
      </c>
      <c r="O400" s="177"/>
    </row>
    <row r="401" spans="1:15" ht="13">
      <c r="A401" s="1"/>
      <c r="B401" s="2"/>
      <c r="C401" s="290"/>
      <c r="D401" s="177"/>
      <c r="E401" s="289"/>
      <c r="F401" s="177"/>
      <c r="G401" s="289"/>
      <c r="H401" s="177"/>
      <c r="I401" s="289"/>
      <c r="J401" s="177"/>
      <c r="K401" s="289"/>
      <c r="L401" s="177"/>
      <c r="M401" s="289"/>
    </row>
    <row r="402" spans="1:15" ht="13">
      <c r="A402" s="1">
        <v>1444</v>
      </c>
      <c r="B402" s="2" t="s">
        <v>81</v>
      </c>
      <c r="C402" s="290">
        <f>VLOOKUP($A402,K0kommunestruktur2019!$A$4:$N$425,K0kommunestruktur2020altern!C$3,FALSE)</f>
        <v>1209</v>
      </c>
      <c r="D402" s="177">
        <f>+K0kommunestruktur2019!D450</f>
        <v>21735</v>
      </c>
      <c r="E402" s="289">
        <f>VLOOKUP($A402,K0kommunestruktur2019!$A$4:$N$425,K0kommunestruktur2020altern!E$3,FALSE)</f>
        <v>1207</v>
      </c>
      <c r="F402" s="177">
        <f>+K0kommunestruktur2019!F450</f>
        <v>22709</v>
      </c>
      <c r="G402" s="289">
        <f>VLOOKUP($A402,K0kommunestruktur2019!$A$4:$N$425,K0kommunestruktur2020altern!G$3,FALSE)</f>
        <v>1186</v>
      </c>
      <c r="H402" s="177">
        <f>+K0kommunestruktur2019!H450</f>
        <v>24138</v>
      </c>
      <c r="I402" s="289">
        <f>VLOOKUP($A402,K0kommunestruktur2019!$A$4:$N$425,K0kommunestruktur2020altern!I$3,FALSE)</f>
        <v>1184</v>
      </c>
      <c r="J402" s="177">
        <f>+K0kommunestruktur2019!J450</f>
        <v>24790</v>
      </c>
      <c r="K402" s="289">
        <f>VLOOKUP($A402,K0kommunestruktur2019!$A$4:$N$425,K0kommunestruktur2020altern!K$3,FALSE)</f>
        <v>1161</v>
      </c>
      <c r="L402" s="177">
        <f>+K0kommunestruktur2019!L450</f>
        <v>26735</v>
      </c>
      <c r="M402" s="289">
        <f>VLOOKUP($A402,K0kommunestruktur2019!$A$4:$N$425,K0kommunestruktur2020altern!M$3,FALSE)</f>
        <v>1152</v>
      </c>
      <c r="N402" s="177">
        <f>VLOOKUP($A402,K0kommunestruktur2019!$A$4:$N$425,K0kommunestruktur2020altern!N$3,FALSE)</f>
        <v>28142</v>
      </c>
    </row>
    <row r="403" spans="1:15" ht="13">
      <c r="A403" s="1">
        <v>1519</v>
      </c>
      <c r="B403" s="2" t="s">
        <v>90</v>
      </c>
      <c r="C403" s="290">
        <f>VLOOKUP($A403,K0kommunestruktur2019!$A$4:$N$425,K0kommunestruktur2020altern!C$3,FALSE)</f>
        <v>8909</v>
      </c>
      <c r="D403" s="177">
        <f>VLOOKUP($A403,K0kommunestruktur2019!$A$4:$N$425,K0kommunestruktur2020altern!D$3,FALSE)</f>
        <v>184301</v>
      </c>
      <c r="E403" s="289">
        <f>VLOOKUP($A403,K0kommunestruktur2019!$A$4:$N$425,K0kommunestruktur2020altern!E$3,FALSE)</f>
        <v>8977</v>
      </c>
      <c r="F403" s="177">
        <f>VLOOKUP($A403,K0kommunestruktur2019!$A$4:$N$425,K0kommunestruktur2020altern!F$3,FALSE)</f>
        <v>193969</v>
      </c>
      <c r="G403" s="289">
        <f>VLOOKUP($A403,K0kommunestruktur2019!$A$4:$N$425,K0kommunestruktur2020altern!G$3,FALSE)</f>
        <v>9037</v>
      </c>
      <c r="H403" s="177">
        <f>VLOOKUP($A403,K0kommunestruktur2019!$A$4:$N$425,K0kommunestruktur2020altern!H$3,FALSE)</f>
        <v>206755</v>
      </c>
      <c r="I403" s="289">
        <f>VLOOKUP($A403,K0kommunestruktur2019!$A$4:$N$425,K0kommunestruktur2020altern!I$3,FALSE)</f>
        <v>9102</v>
      </c>
      <c r="J403" s="177">
        <f>VLOOKUP($A403,K0kommunestruktur2019!$A$4:$N$425,K0kommunestruktur2020altern!J$3,FALSE)</f>
        <v>209347</v>
      </c>
      <c r="K403" s="289">
        <f>VLOOKUP($A403,K0kommunestruktur2019!$A$4:$N$425,K0kommunestruktur2020altern!K$3,FALSE)</f>
        <v>9188</v>
      </c>
      <c r="L403" s="177">
        <f>VLOOKUP($A403,K0kommunestruktur2019!$A$4:$N$425,K0kommunestruktur2020altern!L$3,FALSE)</f>
        <v>222531</v>
      </c>
      <c r="M403" s="289">
        <f>VLOOKUP($A403,K0kommunestruktur2019!$A$4:$N$425,K0kommunestruktur2020altern!M$3,FALSE)</f>
        <v>9197</v>
      </c>
      <c r="N403" s="177">
        <f>VLOOKUP($A403,K0kommunestruktur2019!$A$4:$N$425,K0kommunestruktur2020altern!N$3,FALSE)</f>
        <v>227273</v>
      </c>
    </row>
    <row r="404" spans="1:15" ht="13">
      <c r="A404" s="1"/>
      <c r="B404" s="894" t="s">
        <v>1678</v>
      </c>
      <c r="C404" s="290">
        <f t="shared" ref="C404:N404" si="57">-C396</f>
        <v>101.89555125725339</v>
      </c>
      <c r="D404" s="177">
        <f t="shared" si="57"/>
        <v>2207.6171856866536</v>
      </c>
      <c r="E404" s="289">
        <f t="shared" si="57"/>
        <v>102.40812379110251</v>
      </c>
      <c r="F404" s="912">
        <f t="shared" si="57"/>
        <v>2374.3610154738876</v>
      </c>
      <c r="G404" s="289">
        <f t="shared" si="57"/>
        <v>103.25918762088975</v>
      </c>
      <c r="H404" s="177">
        <f t="shared" si="57"/>
        <v>2466.6190135396514</v>
      </c>
      <c r="I404" s="289">
        <f t="shared" si="57"/>
        <v>103.90715667311412</v>
      </c>
      <c r="J404" s="177">
        <f t="shared" si="57"/>
        <v>2573.4084526112188</v>
      </c>
      <c r="K404" s="289">
        <f t="shared" si="57"/>
        <v>104.56479690522244</v>
      </c>
      <c r="L404" s="177">
        <f t="shared" si="57"/>
        <v>2657.6208897485494</v>
      </c>
      <c r="M404" s="962">
        <f t="shared" si="57"/>
        <v>105</v>
      </c>
      <c r="N404" s="177">
        <f t="shared" si="57"/>
        <v>2744.7292069632495</v>
      </c>
      <c r="O404" s="5"/>
    </row>
    <row r="405" spans="1:15" ht="13">
      <c r="A405" s="1"/>
      <c r="B405" s="2"/>
      <c r="C405" s="290"/>
      <c r="D405" s="177"/>
      <c r="E405" s="289"/>
      <c r="F405" s="177"/>
      <c r="G405" s="289"/>
      <c r="H405" s="177"/>
      <c r="I405" s="289"/>
      <c r="J405" s="177"/>
      <c r="K405" s="289"/>
      <c r="L405" s="177"/>
      <c r="M405" s="289"/>
    </row>
    <row r="406" spans="1:15" ht="13">
      <c r="A406" s="1">
        <v>1524</v>
      </c>
      <c r="B406" s="2" t="s">
        <v>93</v>
      </c>
      <c r="C406" s="290">
        <f>VLOOKUP($A406,K0kommunestruktur2019!$A$4:$N$425,K0kommunestruktur2020altern!C$3,FALSE)</f>
        <v>1685</v>
      </c>
      <c r="D406" s="177">
        <f>VLOOKUP($A406,K0kommunestruktur2019!$A$4:$N$425,K0kommunestruktur2020altern!D$3,FALSE)</f>
        <v>43261</v>
      </c>
      <c r="E406" s="289">
        <f>VLOOKUP($A406,K0kommunestruktur2019!$A$4:$N$425,K0kommunestruktur2020altern!E$3,FALSE)</f>
        <v>1676</v>
      </c>
      <c r="F406" s="177">
        <f>VLOOKUP($A406,K0kommunestruktur2019!$A$4:$N$425,K0kommunestruktur2020altern!F$3,FALSE)</f>
        <v>43658</v>
      </c>
      <c r="G406" s="289">
        <f>VLOOKUP($A406,K0kommunestruktur2019!$A$4:$N$425,K0kommunestruktur2020altern!G$3,FALSE)</f>
        <v>1652</v>
      </c>
      <c r="H406" s="177">
        <f>VLOOKUP($A406,K0kommunestruktur2019!$A$4:$N$425,K0kommunestruktur2020altern!H$3,FALSE)</f>
        <v>45958</v>
      </c>
      <c r="I406" s="289">
        <f>VLOOKUP($A406,K0kommunestruktur2019!$A$4:$N$425,K0kommunestruktur2020altern!I$3,FALSE)</f>
        <v>1663</v>
      </c>
      <c r="J406" s="177">
        <f>VLOOKUP($A406,K0kommunestruktur2019!$A$4:$N$425,K0kommunestruktur2020altern!J$3,FALSE)</f>
        <v>50740</v>
      </c>
      <c r="K406" s="289">
        <f>VLOOKUP($A406,K0kommunestruktur2019!$A$4:$N$425,K0kommunestruktur2020altern!K$3,FALSE)</f>
        <v>1670</v>
      </c>
      <c r="L406" s="177">
        <f>VLOOKUP($A406,K0kommunestruktur2019!$A$4:$N$425,K0kommunestruktur2020altern!L$3,FALSE)</f>
        <v>48307</v>
      </c>
      <c r="M406" s="289">
        <f>VLOOKUP($A406,K0kommunestruktur2019!$A$4:$N$425,K0kommunestruktur2020altern!M$3,FALSE)</f>
        <v>1645</v>
      </c>
      <c r="N406" s="177">
        <f>VLOOKUP($A406,K0kommunestruktur2019!$A$4:$N$425,K0kommunestruktur2020altern!N$3,FALSE)</f>
        <v>46265</v>
      </c>
    </row>
    <row r="407" spans="1:15" ht="13">
      <c r="A407" s="1">
        <v>1526</v>
      </c>
      <c r="B407" s="2" t="s">
        <v>95</v>
      </c>
      <c r="C407" s="290">
        <f>VLOOKUP($A407,K0kommunestruktur2019!$A$4:$N$425,K0kommunestruktur2020altern!C$3,FALSE)</f>
        <v>1035</v>
      </c>
      <c r="D407" s="177">
        <f>VLOOKUP($A407,K0kommunestruktur2019!$A$4:$N$425,K0kommunestruktur2020altern!D$3,FALSE)</f>
        <v>18576</v>
      </c>
      <c r="E407" s="289">
        <f>VLOOKUP($A407,K0kommunestruktur2019!$A$4:$N$425,K0kommunestruktur2020altern!E$3,FALSE)</f>
        <v>1043</v>
      </c>
      <c r="F407" s="177">
        <f>VLOOKUP($A407,K0kommunestruktur2019!$A$4:$N$425,K0kommunestruktur2020altern!F$3,FALSE)</f>
        <v>18571</v>
      </c>
      <c r="G407" s="289">
        <f>VLOOKUP($A407,K0kommunestruktur2019!$A$4:$N$425,K0kommunestruktur2020altern!G$3,FALSE)</f>
        <v>1020</v>
      </c>
      <c r="H407" s="177">
        <f>VLOOKUP($A407,K0kommunestruktur2019!$A$4:$N$425,K0kommunestruktur2020altern!H$3,FALSE)</f>
        <v>20380</v>
      </c>
      <c r="I407" s="289">
        <f>VLOOKUP($A407,K0kommunestruktur2019!$A$4:$N$425,K0kommunestruktur2020altern!I$3,FALSE)</f>
        <v>1005</v>
      </c>
      <c r="J407" s="177">
        <f>VLOOKUP($A407,K0kommunestruktur2019!$A$4:$N$425,K0kommunestruktur2020altern!J$3,FALSE)</f>
        <v>21129</v>
      </c>
      <c r="K407" s="289">
        <f>VLOOKUP($A407,K0kommunestruktur2019!$A$4:$N$425,K0kommunestruktur2020altern!K$3,FALSE)</f>
        <v>972</v>
      </c>
      <c r="L407" s="177">
        <f>VLOOKUP($A407,K0kommunestruktur2019!$A$4:$N$425,K0kommunestruktur2020altern!L$3,FALSE)</f>
        <v>22562</v>
      </c>
      <c r="M407" s="289">
        <f>VLOOKUP($A407,K0kommunestruktur2019!$A$4:$N$425,K0kommunestruktur2020altern!M$3,FALSE)</f>
        <v>947</v>
      </c>
      <c r="N407" s="177">
        <f>VLOOKUP($A407,K0kommunestruktur2019!$A$4:$N$425,K0kommunestruktur2020altern!N$3,FALSE)</f>
        <v>22435</v>
      </c>
    </row>
    <row r="408" spans="1:15" ht="13">
      <c r="A408" s="1"/>
      <c r="B408" s="2"/>
      <c r="C408" s="290"/>
      <c r="D408" s="177"/>
      <c r="E408" s="289"/>
      <c r="F408" s="177"/>
      <c r="G408" s="289"/>
      <c r="H408" s="177"/>
      <c r="I408" s="289"/>
      <c r="J408" s="177"/>
      <c r="K408" s="289"/>
      <c r="L408" s="177"/>
      <c r="M408" s="289"/>
    </row>
    <row r="409" spans="1:15" ht="13">
      <c r="A409" s="1">
        <v>1548</v>
      </c>
      <c r="B409" s="2" t="s">
        <v>107</v>
      </c>
      <c r="C409" s="290">
        <f>VLOOKUP($A409,K0kommunestruktur2019!$A$4:$N$425,K0kommunestruktur2020altern!C$3,FALSE)</f>
        <v>9720</v>
      </c>
      <c r="D409" s="177">
        <f>VLOOKUP($A409,K0kommunestruktur2019!$A$4:$N$425,K0kommunestruktur2020altern!D$3,FALSE)</f>
        <v>202953</v>
      </c>
      <c r="E409" s="289">
        <f>VLOOKUP($A409,K0kommunestruktur2019!$A$4:$N$425,K0kommunestruktur2020altern!E$3,FALSE)</f>
        <v>9787</v>
      </c>
      <c r="F409" s="177">
        <f>VLOOKUP($A409,K0kommunestruktur2019!$A$4:$N$425,K0kommunestruktur2020altern!F$3,FALSE)</f>
        <v>211898</v>
      </c>
      <c r="G409" s="289">
        <f>VLOOKUP($A409,K0kommunestruktur2019!$A$4:$N$425,K0kommunestruktur2020altern!G$3,FALSE)</f>
        <v>9717</v>
      </c>
      <c r="H409" s="177">
        <f>VLOOKUP($A409,K0kommunestruktur2019!$A$4:$N$425,K0kommunestruktur2020altern!H$3,FALSE)</f>
        <v>222394</v>
      </c>
      <c r="I409" s="289">
        <f>VLOOKUP($A409,K0kommunestruktur2019!$A$4:$N$425,K0kommunestruktur2020altern!I$3,FALSE)</f>
        <v>9741</v>
      </c>
      <c r="J409" s="177">
        <f>VLOOKUP($A409,K0kommunestruktur2019!$A$4:$N$425,K0kommunestruktur2020altern!J$3,FALSE)</f>
        <v>238648</v>
      </c>
      <c r="K409" s="289">
        <f>VLOOKUP($A409,K0kommunestruktur2019!$A$4:$N$425,K0kommunestruktur2020altern!K$3,FALSE)</f>
        <v>9775</v>
      </c>
      <c r="L409" s="177">
        <f>VLOOKUP($A409,K0kommunestruktur2019!$A$4:$N$425,K0kommunestruktur2020altern!L$3,FALSE)</f>
        <v>253366</v>
      </c>
      <c r="M409" s="289">
        <f>VLOOKUP($A409,K0kommunestruktur2019!$A$4:$N$425,K0kommunestruktur2020altern!M$3,FALSE)</f>
        <v>9800</v>
      </c>
      <c r="N409" s="177">
        <f>VLOOKUP($A409,K0kommunestruktur2019!$A$4:$N$425,K0kommunestruktur2020altern!N$3,FALSE)</f>
        <v>257648</v>
      </c>
    </row>
    <row r="410" spans="1:15" ht="13">
      <c r="A410" s="1">
        <v>1551</v>
      </c>
      <c r="B410" s="2" t="s">
        <v>108</v>
      </c>
      <c r="C410" s="290">
        <f>VLOOKUP($A410,K0kommunestruktur2019!$A$4:$N$425,K0kommunestruktur2020altern!C$3,FALSE)</f>
        <v>3471</v>
      </c>
      <c r="D410" s="177">
        <f>VLOOKUP($A410,K0kommunestruktur2019!$A$4:$N$425,K0kommunestruktur2020altern!D$3,FALSE)</f>
        <v>70518</v>
      </c>
      <c r="E410" s="289">
        <f>VLOOKUP($A410,K0kommunestruktur2019!$A$4:$N$425,K0kommunestruktur2020altern!E$3,FALSE)</f>
        <v>3463</v>
      </c>
      <c r="F410" s="177">
        <f>VLOOKUP($A410,K0kommunestruktur2019!$A$4:$N$425,K0kommunestruktur2020altern!F$3,FALSE)</f>
        <v>76467</v>
      </c>
      <c r="G410" s="289">
        <f>VLOOKUP($A410,K0kommunestruktur2019!$A$4:$N$425,K0kommunestruktur2020altern!G$3,FALSE)</f>
        <v>3467</v>
      </c>
      <c r="H410" s="177">
        <f>VLOOKUP($A410,K0kommunestruktur2019!$A$4:$N$425,K0kommunestruktur2020altern!H$3,FALSE)</f>
        <v>82666</v>
      </c>
      <c r="I410" s="289">
        <f>VLOOKUP($A410,K0kommunestruktur2019!$A$4:$N$425,K0kommunestruktur2020altern!I$3,FALSE)</f>
        <v>3454</v>
      </c>
      <c r="J410" s="177">
        <f>VLOOKUP($A410,K0kommunestruktur2019!$A$4:$N$425,K0kommunestruktur2020altern!J$3,FALSE)</f>
        <v>83031</v>
      </c>
      <c r="K410" s="289">
        <f>VLOOKUP($A410,K0kommunestruktur2019!$A$4:$N$425,K0kommunestruktur2020altern!K$3,FALSE)</f>
        <v>3440</v>
      </c>
      <c r="L410" s="177">
        <f>VLOOKUP($A410,K0kommunestruktur2019!$A$4:$N$425,K0kommunestruktur2020altern!L$3,FALSE)</f>
        <v>86542</v>
      </c>
      <c r="M410" s="289">
        <f>VLOOKUP($A410,K0kommunestruktur2019!$A$4:$N$425,K0kommunestruktur2020altern!M$3,FALSE)</f>
        <v>3433</v>
      </c>
      <c r="N410" s="177">
        <f>VLOOKUP($A410,K0kommunestruktur2019!$A$4:$N$425,K0kommunestruktur2020altern!N$3,FALSE)</f>
        <v>88737</v>
      </c>
    </row>
    <row r="411" spans="1:15" ht="13">
      <c r="A411" s="1"/>
      <c r="B411" s="2"/>
      <c r="C411" s="290"/>
      <c r="D411" s="177"/>
      <c r="E411" s="289"/>
      <c r="F411" s="177"/>
      <c r="G411" s="289"/>
      <c r="H411" s="177"/>
      <c r="I411" s="289"/>
      <c r="J411" s="177"/>
      <c r="K411" s="289"/>
      <c r="L411" s="177"/>
      <c r="M411" s="289"/>
    </row>
    <row r="412" spans="1:15" ht="13">
      <c r="A412" s="1">
        <v>1805</v>
      </c>
      <c r="B412" s="2" t="s">
        <v>175</v>
      </c>
      <c r="C412" s="290">
        <f>VLOOKUP($A412,K0kommunestruktur2019!$A$4:$N$425,K0kommunestruktur2020altern!C$3,FALSE)</f>
        <v>18705</v>
      </c>
      <c r="D412" s="289">
        <f>VLOOKUP($A412,K0kommunestruktur2019!$A$4:$N$425,K0kommunestruktur2020altern!D$3,FALSE)</f>
        <v>414485</v>
      </c>
      <c r="E412" s="289">
        <f>VLOOKUP($A412,K0kommunestruktur2019!$A$4:$N$425,K0kommunestruktur2020altern!E$3,FALSE)</f>
        <v>18853</v>
      </c>
      <c r="F412" s="289">
        <f>VLOOKUP($A412,K0kommunestruktur2019!$A$4:$N$425,K0kommunestruktur2020altern!F$3,FALSE)</f>
        <v>450486</v>
      </c>
      <c r="G412" s="289">
        <f>VLOOKUP($A412,K0kommunestruktur2019!$A$4:$N$425,K0kommunestruktur2020altern!G$3,FALSE)</f>
        <v>18787</v>
      </c>
      <c r="H412" s="289">
        <f>VLOOKUP($A412,K0kommunestruktur2019!$A$4:$N$425,K0kommunestruktur2020altern!H$3,FALSE)</f>
        <v>482286</v>
      </c>
      <c r="I412" s="289">
        <f>VLOOKUP($A412,K0kommunestruktur2019!$A$4:$N$425,K0kommunestruktur2020altern!I$3,FALSE)</f>
        <v>18756</v>
      </c>
      <c r="J412" s="289">
        <f>VLOOKUP($A412,K0kommunestruktur2019!$A$4:$N$425,K0kommunestruktur2020altern!J$3,FALSE)</f>
        <v>503411</v>
      </c>
      <c r="K412" s="289">
        <f>VLOOKUP($A412,K0kommunestruktur2019!$A$4:$N$425,K0kommunestruktur2020altern!K$3,FALSE)</f>
        <v>18638</v>
      </c>
      <c r="L412" s="289">
        <f>VLOOKUP($A412,K0kommunestruktur2019!$A$4:$N$425,K0kommunestruktur2020altern!L$3,FALSE)</f>
        <v>525327</v>
      </c>
      <c r="M412" s="289">
        <f>VLOOKUP($A412,K0kommunestruktur2019!$A$4:$N$425,K0kommunestruktur2020altern!M$3,FALSE)</f>
        <v>18630</v>
      </c>
      <c r="N412" s="289">
        <f>VLOOKUP($A412,K0kommunestruktur2019!$A$4:$N$425,K0kommunestruktur2020altern!N$3,FALSE)</f>
        <v>524405</v>
      </c>
    </row>
    <row r="413" spans="1:15" ht="13">
      <c r="A413" s="1">
        <v>1854</v>
      </c>
      <c r="B413" s="2" t="s">
        <v>205</v>
      </c>
      <c r="C413" s="290">
        <f>VLOOKUP($A413,K0kommunestruktur2019!$A$4:$N$425,K0kommunestruktur2020altern!C$3,FALSE)</f>
        <v>2591</v>
      </c>
      <c r="D413" s="289">
        <f>VLOOKUP($A413,K0kommunestruktur2019!$A$4:$N$425,K0kommunestruktur2020altern!D$3,FALSE)</f>
        <v>43185</v>
      </c>
      <c r="E413" s="289">
        <f>VLOOKUP($A413,K0kommunestruktur2019!$A$4:$N$425,K0kommunestruktur2020altern!E$3,FALSE)</f>
        <v>2581</v>
      </c>
      <c r="F413" s="289">
        <f>VLOOKUP($A413,K0kommunestruktur2019!$A$4:$N$425,K0kommunestruktur2020altern!F$3,FALSE)</f>
        <v>46719</v>
      </c>
      <c r="G413" s="289">
        <f>VLOOKUP($A413,K0kommunestruktur2019!$A$4:$N$425,K0kommunestruktur2020altern!G$3,FALSE)</f>
        <v>2556</v>
      </c>
      <c r="H413" s="289">
        <f>VLOOKUP($A413,K0kommunestruktur2019!$A$4:$N$425,K0kommunestruktur2020altern!H$3,FALSE)</f>
        <v>49901</v>
      </c>
      <c r="I413" s="289">
        <f>VLOOKUP($A413,K0kommunestruktur2019!$A$4:$N$425,K0kommunestruktur2020altern!I$3,FALSE)</f>
        <v>2554</v>
      </c>
      <c r="J413" s="289">
        <f>VLOOKUP($A413,K0kommunestruktur2019!$A$4:$N$425,K0kommunestruktur2020altern!J$3,FALSE)</f>
        <v>51010</v>
      </c>
      <c r="K413" s="289">
        <f>VLOOKUP($A413,K0kommunestruktur2019!$A$4:$N$425,K0kommunestruktur2020altern!K$3,FALSE)</f>
        <v>2522</v>
      </c>
      <c r="L413" s="289">
        <f>VLOOKUP($A413,K0kommunestruktur2019!$A$4:$N$425,K0kommunestruktur2020altern!L$3,FALSE)</f>
        <v>53063</v>
      </c>
      <c r="M413" s="289">
        <f>VLOOKUP($A413,K0kommunestruktur2019!$A$4:$N$425,K0kommunestruktur2020altern!M$3,FALSE)</f>
        <v>2470</v>
      </c>
      <c r="N413" s="289">
        <f>VLOOKUP($A413,K0kommunestruktur2019!$A$4:$N$425,K0kommunestruktur2020altern!N$3,FALSE)</f>
        <v>52910</v>
      </c>
    </row>
    <row r="414" spans="1:15" ht="13">
      <c r="A414" s="1">
        <v>1850</v>
      </c>
      <c r="B414" s="894" t="s">
        <v>1685</v>
      </c>
      <c r="C414" s="289">
        <f>ROUND(K0kommunestruktur2019!C153*$M414/($M414+$M418),8)</f>
        <v>924.67532468000002</v>
      </c>
      <c r="D414" s="177">
        <f>($M414/($M418+$M414))*D415</f>
        <v>16640.884805194804</v>
      </c>
      <c r="E414" s="289">
        <f>ROUND(K0kommunestruktur2019!E153*$M414/($M414+$M418),8)</f>
        <v>922.82597403</v>
      </c>
      <c r="F414" s="177">
        <f>($M414/($M418+$M414))*F415</f>
        <v>17938.915823376621</v>
      </c>
      <c r="G414" s="289">
        <f>ROUND(K0kommunestruktur2019!G153*$M414/($M414+$M418),8)</f>
        <v>912.65454545</v>
      </c>
      <c r="H414" s="177">
        <f>($M414/($M418+$M414))*H415</f>
        <v>18432.437698701298</v>
      </c>
      <c r="I414" s="289">
        <f>ROUND(K0kommunestruktur2019!I153*$M414/($M414+$M418),8)</f>
        <v>906.18181818000005</v>
      </c>
      <c r="J414" s="177">
        <f>($M414/($M418+$M414))*J415</f>
        <v>19163.721802597403</v>
      </c>
      <c r="K414" s="289">
        <f>ROUND(K0kommunestruktur2019!K153*$M414/($M414+$M418),8)</f>
        <v>902.94545455000002</v>
      </c>
      <c r="L414" s="177">
        <f>($M414/($M418+$M414))*L415</f>
        <v>19881.444155844154</v>
      </c>
      <c r="M414" s="289">
        <f>(890/VLOOKUP($A414,K0kommunestruktur2019!$A$4:$N$425,13,FALSE))*VLOOKUP($A414,K0kommunestruktur2019!$A$4:$N$425,K0kommunestruktur2020altern!M$3,FALSE)</f>
        <v>890</v>
      </c>
      <c r="N414" s="177">
        <f>($M414/($M418+$M414))*N419</f>
        <v>20547.210389610391</v>
      </c>
    </row>
    <row r="415" spans="1:15" ht="13">
      <c r="A415" s="1"/>
      <c r="B415" s="885" t="s">
        <v>1840</v>
      </c>
      <c r="C415" s="289"/>
      <c r="D415" s="177">
        <v>35992.925000000003</v>
      </c>
      <c r="E415" s="289"/>
      <c r="F415" s="177">
        <v>38800.464</v>
      </c>
      <c r="G415" s="289"/>
      <c r="H415" s="177">
        <v>39867.913</v>
      </c>
      <c r="I415" s="289"/>
      <c r="J415" s="177">
        <v>41449.623</v>
      </c>
      <c r="K415" s="289"/>
      <c r="L415" s="177">
        <v>43002</v>
      </c>
      <c r="M415" s="289"/>
      <c r="N415" s="177">
        <f>+N419</f>
        <v>44442</v>
      </c>
    </row>
    <row r="416" spans="1:15" ht="13">
      <c r="A416" s="1"/>
      <c r="B416" s="2"/>
      <c r="C416" s="290"/>
      <c r="D416" s="177"/>
      <c r="E416" s="289"/>
      <c r="F416" s="177"/>
      <c r="G416" s="289"/>
      <c r="H416" s="177"/>
      <c r="I416" s="289"/>
      <c r="J416" s="177"/>
      <c r="K416" s="289"/>
      <c r="L416" s="177"/>
      <c r="M416" s="289"/>
    </row>
    <row r="417" spans="1:15" ht="13">
      <c r="A417" s="1">
        <v>1849</v>
      </c>
      <c r="B417" s="2" t="s">
        <v>200</v>
      </c>
      <c r="C417" s="290">
        <f>VLOOKUP($A417,K0kommunestruktur2019!$A$4:$N$425,K0kommunestruktur2020altern!C$3,FALSE)</f>
        <v>1820</v>
      </c>
      <c r="D417" s="177">
        <f>VLOOKUP($A417,K0kommunestruktur2019!$A$4:$N$425,K0kommunestruktur2020altern!D$3,FALSE)</f>
        <v>39940</v>
      </c>
      <c r="E417" s="289">
        <f>VLOOKUP($A417,K0kommunestruktur2019!$A$4:$N$425,K0kommunestruktur2020altern!E$3,FALSE)</f>
        <v>1811</v>
      </c>
      <c r="F417" s="177">
        <f>VLOOKUP($A417,K0kommunestruktur2019!$A$4:$N$425,K0kommunestruktur2020altern!F$3,FALSE)</f>
        <v>42101</v>
      </c>
      <c r="G417" s="289">
        <f>VLOOKUP($A417,K0kommunestruktur2019!$A$4:$N$425,K0kommunestruktur2020altern!G$3,FALSE)</f>
        <v>1824</v>
      </c>
      <c r="H417" s="177">
        <f>VLOOKUP($A417,K0kommunestruktur2019!$A$4:$N$425,K0kommunestruktur2020altern!H$3,FALSE)</f>
        <v>46151</v>
      </c>
      <c r="I417" s="289">
        <f>VLOOKUP($A417,K0kommunestruktur2019!$A$4:$N$425,K0kommunestruktur2020altern!I$3,FALSE)</f>
        <v>1810</v>
      </c>
      <c r="J417" s="177">
        <f>VLOOKUP($A417,K0kommunestruktur2019!$A$4:$N$425,K0kommunestruktur2020altern!J$3,FALSE)</f>
        <v>46172</v>
      </c>
      <c r="K417" s="289">
        <f>VLOOKUP($A417,K0kommunestruktur2019!$A$4:$N$425,K0kommunestruktur2020altern!K$3,FALSE)</f>
        <v>1801</v>
      </c>
      <c r="L417" s="177">
        <f>VLOOKUP($A417,K0kommunestruktur2019!$A$4:$N$425,K0kommunestruktur2020altern!L$3,FALSE)</f>
        <v>49651</v>
      </c>
      <c r="M417" s="289">
        <f>VLOOKUP($A417,K0kommunestruktur2019!$A$4:$N$425,K0kommunestruktur2020altern!M$3,FALSE)</f>
        <v>1747</v>
      </c>
      <c r="N417" s="177">
        <f>VLOOKUP($A417,K0kommunestruktur2019!$A$4:$N$425,K0kommunestruktur2020altern!N$3,FALSE)</f>
        <v>50853</v>
      </c>
    </row>
    <row r="418" spans="1:15" ht="13">
      <c r="A418" s="1">
        <v>1850</v>
      </c>
      <c r="B418" s="894" t="s">
        <v>1685</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(1035/VLOOKUP($A418,K0kommunestruktur2019!$A$4:$N$425,13,FALSE))*VLOOKUP($A418,K0kommunestruktur2019!$A$4:$N$425,K0kommunestruktur2020altern!M$3,FALSE)</f>
        <v>1035</v>
      </c>
      <c r="N418" s="177">
        <f>($M418/($M418+$M414))*N419+N420</f>
        <v>27285.789610389609</v>
      </c>
    </row>
    <row r="419" spans="1:15" ht="13">
      <c r="A419" s="1"/>
      <c r="B419" s="885" t="s">
        <v>1840</v>
      </c>
      <c r="C419" s="290"/>
      <c r="D419" s="177">
        <v>35992.925000000003</v>
      </c>
      <c r="E419" s="289"/>
      <c r="F419" s="177">
        <v>38800.464</v>
      </c>
      <c r="G419" s="289"/>
      <c r="H419" s="177">
        <v>39867.913</v>
      </c>
      <c r="I419" s="289"/>
      <c r="J419" s="177">
        <v>41449.623</v>
      </c>
      <c r="K419" s="289"/>
      <c r="L419" s="177">
        <v>43002</v>
      </c>
      <c r="M419" s="289"/>
      <c r="N419" s="177">
        <f>+K0kommunestruktur2019!N153-N420</f>
        <v>44442</v>
      </c>
      <c r="O419" s="5"/>
    </row>
    <row r="420" spans="1:15" ht="13">
      <c r="A420" s="1"/>
      <c r="B420" s="885" t="s">
        <v>1841</v>
      </c>
      <c r="C420" s="290"/>
      <c r="D420" s="177">
        <v>3419.0749999999998</v>
      </c>
      <c r="E420" s="289"/>
      <c r="F420" s="177">
        <v>3341.5360000000001</v>
      </c>
      <c r="G420" s="289"/>
      <c r="H420" s="177">
        <v>3409.087</v>
      </c>
      <c r="I420" s="289"/>
      <c r="J420" s="177">
        <v>3358.377</v>
      </c>
      <c r="K420" s="289"/>
      <c r="L420" s="177">
        <v>3430</v>
      </c>
      <c r="M420" s="289"/>
      <c r="N420" s="177">
        <v>3391</v>
      </c>
      <c r="O420" s="5"/>
    </row>
    <row r="421" spans="1:15" ht="13">
      <c r="A421" s="1"/>
      <c r="B421" s="2"/>
      <c r="C421" s="290"/>
      <c r="D421" s="177"/>
      <c r="E421" s="289"/>
      <c r="F421" s="177"/>
      <c r="G421" s="289"/>
      <c r="H421" s="177"/>
      <c r="I421" s="289"/>
      <c r="J421" s="177"/>
      <c r="K421" s="289"/>
      <c r="L421" s="177"/>
      <c r="M421" s="289"/>
    </row>
    <row r="422" spans="1:15" ht="13">
      <c r="A422" s="1">
        <v>104</v>
      </c>
      <c r="B422" s="2" t="s">
        <v>784</v>
      </c>
      <c r="C422" s="290">
        <f>VLOOKUP($A422,K0kommunestruktur2019!$A$4:$N$425,K0kommunestruktur2020altern!C$3,FALSE)</f>
        <v>31308</v>
      </c>
      <c r="D422" s="177">
        <f>VLOOKUP($A422,K0kommunestruktur2019!$A$4:$N$425,K0kommunestruktur2020altern!D$3,FALSE)</f>
        <v>654723</v>
      </c>
      <c r="E422" s="289">
        <f>VLOOKUP($A422,K0kommunestruktur2019!$A$4:$N$425,K0kommunestruktur2020altern!E$3,FALSE)</f>
        <v>31802</v>
      </c>
      <c r="F422" s="177">
        <f>VLOOKUP($A422,K0kommunestruktur2019!$A$4:$N$425,K0kommunestruktur2020altern!F$3,FALSE)</f>
        <v>706367</v>
      </c>
      <c r="G422" s="289">
        <f>VLOOKUP($A422,K0kommunestruktur2019!$A$4:$N$425,K0kommunestruktur2020altern!G$3,FALSE)</f>
        <v>32182</v>
      </c>
      <c r="H422" s="177">
        <f>VLOOKUP($A422,K0kommunestruktur2019!$A$4:$N$425,K0kommunestruktur2020altern!H$3,FALSE)</f>
        <v>780688</v>
      </c>
      <c r="I422" s="289">
        <f>VLOOKUP($A422,K0kommunestruktur2019!$A$4:$N$425,K0kommunestruktur2020altern!I$3,FALSE)</f>
        <v>32407</v>
      </c>
      <c r="J422" s="177">
        <f>VLOOKUP($A422,K0kommunestruktur2019!$A$4:$N$425,K0kommunestruktur2020altern!J$3,FALSE)</f>
        <v>804643</v>
      </c>
      <c r="K422" s="289">
        <f>VLOOKUP($A422,K0kommunestruktur2019!$A$4:$N$425,K0kommunestruktur2020altern!K$3,FALSE)</f>
        <v>32588</v>
      </c>
      <c r="L422" s="177">
        <f>VLOOKUP($A422,K0kommunestruktur2019!$A$4:$N$425,K0kommunestruktur2020altern!L$3,FALSE)</f>
        <v>850407</v>
      </c>
      <c r="M422" s="289">
        <f>VLOOKUP($A422,K0kommunestruktur2019!$A$4:$N$425,K0kommunestruktur2020altern!M$3,FALSE)</f>
        <v>32726</v>
      </c>
      <c r="N422" s="177">
        <f>VLOOKUP($A422,K0kommunestruktur2019!$A$4:$N$425,K0kommunestruktur2020altern!N$3,FALSE)</f>
        <v>900954</v>
      </c>
    </row>
    <row r="423" spans="1:15" ht="13">
      <c r="A423" s="1">
        <v>136</v>
      </c>
      <c r="B423" s="2" t="s">
        <v>798</v>
      </c>
      <c r="C423" s="290">
        <f>VLOOKUP($A423,K0kommunestruktur2019!$A$4:$N$425,K0kommunestruktur2020altern!C$3,FALSE)</f>
        <v>15101</v>
      </c>
      <c r="D423" s="177">
        <f>VLOOKUP($A423,K0kommunestruktur2019!$A$4:$N$425,K0kommunestruktur2020altern!D$3,FALSE)</f>
        <v>333585</v>
      </c>
      <c r="E423" s="289">
        <f>VLOOKUP($A423,K0kommunestruktur2019!$A$4:$N$425,K0kommunestruktur2020altern!E$3,FALSE)</f>
        <v>15242</v>
      </c>
      <c r="F423" s="177">
        <f>VLOOKUP($A423,K0kommunestruktur2019!$A$4:$N$425,K0kommunestruktur2020altern!F$3,FALSE)</f>
        <v>364572</v>
      </c>
      <c r="G423" s="289">
        <f>VLOOKUP($A423,K0kommunestruktur2019!$A$4:$N$425,K0kommunestruktur2020altern!G$3,FALSE)</f>
        <v>15458</v>
      </c>
      <c r="H423" s="177">
        <f>VLOOKUP($A423,K0kommunestruktur2019!$A$4:$N$425,K0kommunestruktur2020altern!H$3,FALSE)</f>
        <v>407583</v>
      </c>
      <c r="I423" s="289">
        <f>VLOOKUP($A423,K0kommunestruktur2019!$A$4:$N$425,K0kommunestruktur2020altern!I$3,FALSE)</f>
        <v>15747</v>
      </c>
      <c r="J423" s="177">
        <f>VLOOKUP($A423,K0kommunestruktur2019!$A$4:$N$425,K0kommunestruktur2020altern!J$3,FALSE)</f>
        <v>432231</v>
      </c>
      <c r="K423" s="289">
        <f>VLOOKUP($A423,K0kommunestruktur2019!$A$4:$N$425,K0kommunestruktur2020altern!K$3,FALSE)</f>
        <v>16083</v>
      </c>
      <c r="L423" s="177">
        <f>VLOOKUP($A423,K0kommunestruktur2019!$A$4:$N$425,K0kommunestruktur2020altern!L$3,FALSE)</f>
        <v>467477</v>
      </c>
      <c r="M423" s="289">
        <f>VLOOKUP($A423,K0kommunestruktur2019!$A$4:$N$425,K0kommunestruktur2020altern!M$3,FALSE)</f>
        <v>16145</v>
      </c>
      <c r="N423" s="177">
        <f>VLOOKUP($A423,K0kommunestruktur2019!$A$4:$N$425,K0kommunestruktur2020altern!N$3,FALSE)</f>
        <v>476607</v>
      </c>
    </row>
    <row r="424" spans="1:15" ht="13">
      <c r="A424" s="1"/>
      <c r="B424" s="2"/>
      <c r="C424" s="290"/>
      <c r="D424" s="177"/>
      <c r="E424" s="289"/>
      <c r="F424" s="177"/>
      <c r="G424" s="289"/>
      <c r="H424" s="177"/>
      <c r="I424" s="289"/>
      <c r="J424" s="177"/>
      <c r="K424" s="289"/>
      <c r="L424" s="177"/>
      <c r="M424" s="289"/>
    </row>
    <row r="425" spans="1:15" ht="13">
      <c r="A425" s="1">
        <v>602</v>
      </c>
      <c r="B425" s="2" t="s">
        <v>871</v>
      </c>
      <c r="C425" s="290">
        <f>VLOOKUP($A425,K0kommunestruktur2019!$A$4:$N$425,K0kommunestruktur2020altern!C$3,FALSE)</f>
        <v>66214</v>
      </c>
      <c r="D425" s="177">
        <f>VLOOKUP($A425,K0kommunestruktur2019!$A$4:$N$425,K0kommunestruktur2020altern!D$3,FALSE)</f>
        <v>1613484</v>
      </c>
      <c r="E425" s="289">
        <f>VLOOKUP($A425,K0kommunestruktur2019!$A$4:$N$425,K0kommunestruktur2020altern!E$3,FALSE)</f>
        <v>67016</v>
      </c>
      <c r="F425" s="177">
        <f>VLOOKUP($A425,K0kommunestruktur2019!$A$4:$N$425,K0kommunestruktur2020altern!F$3,FALSE)</f>
        <v>1706967</v>
      </c>
      <c r="G425" s="289">
        <f>VLOOKUP($A425,K0kommunestruktur2019!$A$4:$N$425,K0kommunestruktur2020altern!G$3,FALSE)</f>
        <v>67895</v>
      </c>
      <c r="H425" s="177">
        <f>VLOOKUP($A425,K0kommunestruktur2019!$A$4:$N$425,K0kommunestruktur2020altern!H$3,FALSE)</f>
        <v>1893427</v>
      </c>
      <c r="I425" s="289">
        <f>VLOOKUP($A425,K0kommunestruktur2019!$A$4:$N$425,K0kommunestruktur2020altern!I$3,FALSE)</f>
        <v>68363</v>
      </c>
      <c r="J425" s="177">
        <f>VLOOKUP($A425,K0kommunestruktur2019!$A$4:$N$425,K0kommunestruktur2020altern!J$3,FALSE)</f>
        <v>2001966</v>
      </c>
      <c r="K425" s="289">
        <f>VLOOKUP($A425,K0kommunestruktur2019!$A$4:$N$425,K0kommunestruktur2020altern!K$3,FALSE)</f>
        <v>68713</v>
      </c>
      <c r="L425" s="177">
        <f>VLOOKUP($A425,K0kommunestruktur2019!$A$4:$N$425,K0kommunestruktur2020altern!L$3,FALSE)</f>
        <v>2041109</v>
      </c>
      <c r="M425" s="289">
        <f>VLOOKUP($A425,K0kommunestruktur2019!$A$4:$N$425,K0kommunestruktur2020altern!M$3,FALSE)</f>
        <v>68933</v>
      </c>
      <c r="N425" s="177">
        <f>VLOOKUP($A425,K0kommunestruktur2019!$A$4:$N$425,K0kommunestruktur2020altern!N$3,FALSE)</f>
        <v>2125721</v>
      </c>
    </row>
    <row r="426" spans="1:15" ht="13">
      <c r="A426" s="1">
        <v>625</v>
      </c>
      <c r="B426" s="2" t="s">
        <v>885</v>
      </c>
      <c r="C426" s="290">
        <f>VLOOKUP($A426,K0kommunestruktur2019!$A$4:$N$425,K0kommunestruktur2020altern!C$3,FALSE)</f>
        <v>23811</v>
      </c>
      <c r="D426" s="177">
        <f>VLOOKUP($A426,K0kommunestruktur2019!$A$4:$N$425,K0kommunestruktur2020altern!D$3,FALSE)</f>
        <v>493252</v>
      </c>
      <c r="E426" s="289">
        <f>VLOOKUP($A426,K0kommunestruktur2019!$A$4:$N$425,K0kommunestruktur2020altern!E$3,FALSE)</f>
        <v>24154</v>
      </c>
      <c r="F426" s="177">
        <f>VLOOKUP($A426,K0kommunestruktur2019!$A$4:$N$425,K0kommunestruktur2020altern!F$3,FALSE)</f>
        <v>541773</v>
      </c>
      <c r="G426" s="289">
        <f>VLOOKUP($A426,K0kommunestruktur2019!$A$4:$N$425,K0kommunestruktur2020altern!G$3,FALSE)</f>
        <v>24431</v>
      </c>
      <c r="H426" s="177">
        <f>VLOOKUP($A426,K0kommunestruktur2019!$A$4:$N$425,K0kommunestruktur2020altern!H$3,FALSE)</f>
        <v>584271</v>
      </c>
      <c r="I426" s="289">
        <f>VLOOKUP($A426,K0kommunestruktur2019!$A$4:$N$425,K0kommunestruktur2020altern!I$3,FALSE)</f>
        <v>24718</v>
      </c>
      <c r="J426" s="177">
        <f>VLOOKUP($A426,K0kommunestruktur2019!$A$4:$N$425,K0kommunestruktur2020altern!J$3,FALSE)</f>
        <v>609858</v>
      </c>
      <c r="K426" s="289">
        <f>VLOOKUP($A426,K0kommunestruktur2019!$A$4:$N$425,K0kommunestruktur2020altern!K$3,FALSE)</f>
        <v>24917</v>
      </c>
      <c r="L426" s="177">
        <f>VLOOKUP($A426,K0kommunestruktur2019!$A$4:$N$425,K0kommunestruktur2020altern!L$3,FALSE)</f>
        <v>633764</v>
      </c>
      <c r="M426" s="289">
        <f>VLOOKUP($A426,K0kommunestruktur2019!$A$4:$N$425,K0kommunestruktur2020altern!M$3,FALSE)</f>
        <v>24963</v>
      </c>
      <c r="N426" s="177">
        <f>VLOOKUP($A426,K0kommunestruktur2019!$A$4:$N$425,K0kommunestruktur2020altern!N$3,FALSE)</f>
        <v>664991</v>
      </c>
    </row>
    <row r="427" spans="1:15" ht="13">
      <c r="A427" s="1">
        <v>711</v>
      </c>
      <c r="B427" s="2" t="s">
        <v>896</v>
      </c>
      <c r="C427" s="290">
        <f>VLOOKUP($A427,K0kommunestruktur2019!$A$4:$N$425,K0kommunestruktur2020altern!C$3,FALSE)</f>
        <v>6580</v>
      </c>
      <c r="D427" s="177">
        <f>VLOOKUP($A427,K0kommunestruktur2019!$A$4:$N$425,K0kommunestruktur2020altern!D$3,FALSE)</f>
        <v>138705</v>
      </c>
      <c r="E427" s="289">
        <f>VLOOKUP($A427,K0kommunestruktur2019!$A$4:$N$425,K0kommunestruktur2020altern!E$3,FALSE)</f>
        <v>6601</v>
      </c>
      <c r="F427" s="177">
        <f>VLOOKUP($A427,K0kommunestruktur2019!$A$4:$N$425,K0kommunestruktur2020altern!F$3,FALSE)</f>
        <v>146397</v>
      </c>
      <c r="G427" s="289">
        <f>VLOOKUP($A427,K0kommunestruktur2019!$A$4:$N$425,K0kommunestruktur2020altern!G$3,FALSE)</f>
        <v>6604</v>
      </c>
      <c r="H427" s="177">
        <f>VLOOKUP($A427,K0kommunestruktur2019!$A$4:$N$425,K0kommunestruktur2020altern!H$3,FALSE)</f>
        <v>160212</v>
      </c>
      <c r="I427" s="289">
        <f>VLOOKUP($A427,K0kommunestruktur2019!$A$4:$N$425,K0kommunestruktur2020altern!I$3,FALSE)</f>
        <v>6653</v>
      </c>
      <c r="J427" s="177">
        <f>VLOOKUP($A427,K0kommunestruktur2019!$A$4:$N$425,K0kommunestruktur2020altern!J$3,FALSE)</f>
        <v>164536</v>
      </c>
      <c r="K427" s="289">
        <f>VLOOKUP($A427,K0kommunestruktur2019!$A$4:$N$425,K0kommunestruktur2020altern!K$3,FALSE)</f>
        <v>6672</v>
      </c>
      <c r="L427" s="177">
        <f>VLOOKUP($A427,K0kommunestruktur2019!$A$4:$N$425,K0kommunestruktur2020altern!L$3,FALSE)</f>
        <v>172141</v>
      </c>
      <c r="M427" s="289">
        <f>VLOOKUP($A427,K0kommunestruktur2019!$A$4:$N$425,K0kommunestruktur2020altern!M$3,FALSE)</f>
        <v>6685</v>
      </c>
      <c r="N427" s="177">
        <f>VLOOKUP($A427,K0kommunestruktur2019!$A$4:$N$425,K0kommunestruktur2020altern!N$3,FALSE)</f>
        <v>178213</v>
      </c>
    </row>
    <row r="428" spans="1:15" ht="13">
      <c r="A428" s="1"/>
      <c r="B428" s="2"/>
      <c r="C428" s="290"/>
      <c r="D428" s="177"/>
      <c r="E428" s="289"/>
      <c r="F428" s="177"/>
      <c r="G428" s="289"/>
      <c r="H428" s="177"/>
      <c r="I428" s="289"/>
      <c r="J428" s="177"/>
      <c r="K428" s="289"/>
      <c r="L428" s="177"/>
      <c r="M428" s="289"/>
    </row>
    <row r="429" spans="1:15" ht="13">
      <c r="A429" s="1">
        <v>122</v>
      </c>
      <c r="B429" s="2" t="s">
        <v>791</v>
      </c>
      <c r="C429" s="290">
        <f>VLOOKUP($A429,K0kommunestruktur2019!$A$4:$N$425,K0kommunestruktur2020altern!C$3,FALSE)</f>
        <v>5366</v>
      </c>
      <c r="D429" s="177">
        <f>VLOOKUP($A429,K0kommunestruktur2019!$A$4:$N$425,K0kommunestruktur2020altern!D$3,FALSE)</f>
        <v>106758</v>
      </c>
      <c r="E429" s="289">
        <f>VLOOKUP($A429,K0kommunestruktur2019!$A$4:$N$425,K0kommunestruktur2020altern!E$3,FALSE)</f>
        <v>5346</v>
      </c>
      <c r="F429" s="177">
        <f>VLOOKUP($A429,K0kommunestruktur2019!$A$4:$N$425,K0kommunestruktur2020altern!F$3,FALSE)</f>
        <v>114965</v>
      </c>
      <c r="G429" s="289">
        <f>VLOOKUP($A429,K0kommunestruktur2019!$A$4:$N$425,K0kommunestruktur2020altern!G$3,FALSE)</f>
        <v>5343</v>
      </c>
      <c r="H429" s="177">
        <f>VLOOKUP($A429,K0kommunestruktur2019!$A$4:$N$425,K0kommunestruktur2020altern!H$3,FALSE)</f>
        <v>125619</v>
      </c>
      <c r="I429" s="289">
        <f>VLOOKUP($A429,K0kommunestruktur2019!$A$4:$N$425,K0kommunestruktur2020altern!I$3,FALSE)</f>
        <v>5367</v>
      </c>
      <c r="J429" s="177">
        <f>VLOOKUP($A429,K0kommunestruktur2019!$A$4:$N$425,K0kommunestruktur2020altern!J$3,FALSE)</f>
        <v>132106</v>
      </c>
      <c r="K429" s="289">
        <f>VLOOKUP($A429,K0kommunestruktur2019!$A$4:$N$425,K0kommunestruktur2020altern!K$3,FALSE)</f>
        <v>5337</v>
      </c>
      <c r="L429" s="177">
        <f>VLOOKUP($A429,K0kommunestruktur2019!$A$4:$N$425,K0kommunestruktur2020altern!L$3,FALSE)</f>
        <v>136209</v>
      </c>
      <c r="M429" s="289">
        <f>VLOOKUP($A429,K0kommunestruktur2019!$A$4:$N$425,K0kommunestruktur2020altern!M$3,FALSE)</f>
        <v>5347</v>
      </c>
      <c r="N429" s="177">
        <f>VLOOKUP($A429,K0kommunestruktur2019!$A$4:$N$425,K0kommunestruktur2020altern!N$3,FALSE)</f>
        <v>136422</v>
      </c>
    </row>
    <row r="430" spans="1:15" ht="13">
      <c r="A430" s="1">
        <v>123</v>
      </c>
      <c r="B430" s="2" t="s">
        <v>792</v>
      </c>
      <c r="C430" s="290">
        <f>VLOOKUP($A430,K0kommunestruktur2019!$A$4:$N$425,K0kommunestruktur2020altern!C$3,FALSE)</f>
        <v>5620</v>
      </c>
      <c r="D430" s="177">
        <f>VLOOKUP($A430,K0kommunestruktur2019!$A$4:$N$425,K0kommunestruktur2020altern!D$3,FALSE)</f>
        <v>124611</v>
      </c>
      <c r="E430" s="289">
        <f>VLOOKUP($A430,K0kommunestruktur2019!$A$4:$N$425,K0kommunestruktur2020altern!E$3,FALSE)</f>
        <v>5692</v>
      </c>
      <c r="F430" s="177">
        <f>VLOOKUP($A430,K0kommunestruktur2019!$A$4:$N$425,K0kommunestruktur2020altern!F$3,FALSE)</f>
        <v>131932</v>
      </c>
      <c r="G430" s="289">
        <f>VLOOKUP($A430,K0kommunestruktur2019!$A$4:$N$425,K0kommunestruktur2020altern!G$3,FALSE)</f>
        <v>5736</v>
      </c>
      <c r="H430" s="177">
        <f>VLOOKUP($A430,K0kommunestruktur2019!$A$4:$N$425,K0kommunestruktur2020altern!H$3,FALSE)</f>
        <v>148475</v>
      </c>
      <c r="I430" s="289">
        <f>VLOOKUP($A430,K0kommunestruktur2019!$A$4:$N$425,K0kommunestruktur2020altern!I$3,FALSE)</f>
        <v>5765</v>
      </c>
      <c r="J430" s="177">
        <f>VLOOKUP($A430,K0kommunestruktur2019!$A$4:$N$425,K0kommunestruktur2020altern!J$3,FALSE)</f>
        <v>152464</v>
      </c>
      <c r="K430" s="289">
        <f>VLOOKUP($A430,K0kommunestruktur2019!$A$4:$N$425,K0kommunestruktur2020altern!K$3,FALSE)</f>
        <v>5853</v>
      </c>
      <c r="L430" s="177">
        <f>VLOOKUP($A430,K0kommunestruktur2019!$A$4:$N$425,K0kommunestruktur2020altern!L$3,FALSE)</f>
        <v>162032</v>
      </c>
      <c r="M430" s="289">
        <f>VLOOKUP($A430,K0kommunestruktur2019!$A$4:$N$425,K0kommunestruktur2020altern!M$3,FALSE)</f>
        <v>6042</v>
      </c>
      <c r="N430" s="177">
        <f>VLOOKUP($A430,K0kommunestruktur2019!$A$4:$N$425,K0kommunestruktur2020altern!N$3,FALSE)</f>
        <v>175085</v>
      </c>
    </row>
    <row r="431" spans="1:15" ht="13">
      <c r="A431" s="1">
        <v>124</v>
      </c>
      <c r="B431" s="2" t="s">
        <v>793</v>
      </c>
      <c r="C431" s="290">
        <f>VLOOKUP($A431,K0kommunestruktur2019!$A$4:$N$425,K0kommunestruktur2020altern!C$3,FALSE)</f>
        <v>15430</v>
      </c>
      <c r="D431" s="177">
        <f>VLOOKUP($A431,K0kommunestruktur2019!$A$4:$N$425,K0kommunestruktur2020altern!D$3,FALSE)</f>
        <v>329976</v>
      </c>
      <c r="E431" s="289">
        <f>VLOOKUP($A431,K0kommunestruktur2019!$A$4:$N$425,K0kommunestruktur2020altern!E$3,FALSE)</f>
        <v>15513</v>
      </c>
      <c r="F431" s="177">
        <f>VLOOKUP($A431,K0kommunestruktur2019!$A$4:$N$425,K0kommunestruktur2020altern!F$3,FALSE)</f>
        <v>348072</v>
      </c>
      <c r="G431" s="289">
        <f>VLOOKUP($A431,K0kommunestruktur2019!$A$4:$N$425,K0kommunestruktur2020altern!G$3,FALSE)</f>
        <v>15615</v>
      </c>
      <c r="H431" s="177">
        <f>VLOOKUP($A431,K0kommunestruktur2019!$A$4:$N$425,K0kommunestruktur2020altern!H$3,FALSE)</f>
        <v>381956</v>
      </c>
      <c r="I431" s="289">
        <f>VLOOKUP($A431,K0kommunestruktur2019!$A$4:$N$425,K0kommunestruktur2020altern!I$3,FALSE)</f>
        <v>15720</v>
      </c>
      <c r="J431" s="177">
        <f>VLOOKUP($A431,K0kommunestruktur2019!$A$4:$N$425,K0kommunestruktur2020altern!J$3,FALSE)</f>
        <v>406616</v>
      </c>
      <c r="K431" s="289">
        <f>VLOOKUP($A431,K0kommunestruktur2019!$A$4:$N$425,K0kommunestruktur2020altern!K$3,FALSE)</f>
        <v>15810</v>
      </c>
      <c r="L431" s="177">
        <f>VLOOKUP($A431,K0kommunestruktur2019!$A$4:$N$425,K0kommunestruktur2020altern!L$3,FALSE)</f>
        <v>423469</v>
      </c>
      <c r="M431" s="289">
        <f>VLOOKUP($A431,K0kommunestruktur2019!$A$4:$N$425,K0kommunestruktur2020altern!M$3,FALSE)</f>
        <v>15865</v>
      </c>
      <c r="N431" s="177">
        <f>VLOOKUP($A431,K0kommunestruktur2019!$A$4:$N$425,K0kommunestruktur2020altern!N$3,FALSE)</f>
        <v>439426</v>
      </c>
    </row>
    <row r="432" spans="1:15" ht="13">
      <c r="A432" s="1">
        <v>125</v>
      </c>
      <c r="B432" s="2" t="s">
        <v>794</v>
      </c>
      <c r="C432" s="290">
        <f>VLOOKUP($A432,K0kommunestruktur2019!$A$4:$N$425,K0kommunestruktur2020altern!C$3,FALSE)</f>
        <v>11323</v>
      </c>
      <c r="D432" s="177">
        <f>VLOOKUP($A432,K0kommunestruktur2019!$A$4:$N$425,K0kommunestruktur2020altern!D$3,FALSE)</f>
        <v>224909</v>
      </c>
      <c r="E432" s="289">
        <f>VLOOKUP($A432,K0kommunestruktur2019!$A$4:$N$425,K0kommunestruktur2020altern!E$3,FALSE)</f>
        <v>11353</v>
      </c>
      <c r="F432" s="177">
        <f>VLOOKUP($A432,K0kommunestruktur2019!$A$4:$N$425,K0kommunestruktur2020altern!F$3,FALSE)</f>
        <v>237494</v>
      </c>
      <c r="G432" s="289">
        <f>VLOOKUP($A432,K0kommunestruktur2019!$A$4:$N$425,K0kommunestruktur2020altern!G$3,FALSE)</f>
        <v>11396</v>
      </c>
      <c r="H432" s="177">
        <f>VLOOKUP($A432,K0kommunestruktur2019!$A$4:$N$425,K0kommunestruktur2020altern!H$3,FALSE)</f>
        <v>263678</v>
      </c>
      <c r="I432" s="289">
        <f>VLOOKUP($A432,K0kommunestruktur2019!$A$4:$N$425,K0kommunestruktur2020altern!I$3,FALSE)</f>
        <v>11406</v>
      </c>
      <c r="J432" s="177">
        <f>VLOOKUP($A432,K0kommunestruktur2019!$A$4:$N$425,K0kommunestruktur2020altern!J$3,FALSE)</f>
        <v>272231</v>
      </c>
      <c r="K432" s="289">
        <f>VLOOKUP($A432,K0kommunestruktur2019!$A$4:$N$425,K0kommunestruktur2020altern!K$3,FALSE)</f>
        <v>11414</v>
      </c>
      <c r="L432" s="177">
        <f>VLOOKUP($A432,K0kommunestruktur2019!$A$4:$N$425,K0kommunestruktur2020altern!L$3,FALSE)</f>
        <v>287718</v>
      </c>
      <c r="M432" s="289">
        <f>VLOOKUP($A432,K0kommunestruktur2019!$A$4:$N$425,K0kommunestruktur2020altern!M$3,FALSE)</f>
        <v>11424</v>
      </c>
      <c r="N432" s="177">
        <f>VLOOKUP($A432,K0kommunestruktur2019!$A$4:$N$425,K0kommunestruktur2020altern!N$3,FALSE)</f>
        <v>296904</v>
      </c>
    </row>
    <row r="433" spans="1:15" ht="13">
      <c r="A433" s="1">
        <v>138</v>
      </c>
      <c r="B433" s="2" t="s">
        <v>800</v>
      </c>
      <c r="C433" s="290">
        <f>VLOOKUP($A433,K0kommunestruktur2019!$A$4:$N$425,K0kommunestruktur2020altern!C$3,FALSE)</f>
        <v>5187</v>
      </c>
      <c r="D433" s="177">
        <f>VLOOKUP($A433,K0kommunestruktur2019!$A$4:$N$425,K0kommunestruktur2020altern!D$3,FALSE)</f>
        <v>107464</v>
      </c>
      <c r="E433" s="289">
        <f>VLOOKUP($A433,K0kommunestruktur2019!$A$4:$N$425,K0kommunestruktur2020altern!E$3,FALSE)</f>
        <v>5343</v>
      </c>
      <c r="F433" s="177">
        <f>VLOOKUP($A433,K0kommunestruktur2019!$A$4:$N$425,K0kommunestruktur2020altern!F$3,FALSE)</f>
        <v>119637</v>
      </c>
      <c r="G433" s="289">
        <f>VLOOKUP($A433,K0kommunestruktur2019!$A$4:$N$425,K0kommunestruktur2020altern!G$3,FALSE)</f>
        <v>5382</v>
      </c>
      <c r="H433" s="177">
        <f>VLOOKUP($A433,K0kommunestruktur2019!$A$4:$N$425,K0kommunestruktur2020altern!H$3,FALSE)</f>
        <v>134439</v>
      </c>
      <c r="I433" s="289">
        <f>VLOOKUP($A433,K0kommunestruktur2019!$A$4:$N$425,K0kommunestruktur2020altern!I$3,FALSE)</f>
        <v>5557</v>
      </c>
      <c r="J433" s="177">
        <f>VLOOKUP($A433,K0kommunestruktur2019!$A$4:$N$425,K0kommunestruktur2020altern!J$3,FALSE)</f>
        <v>138030</v>
      </c>
      <c r="K433" s="289">
        <f>VLOOKUP($A433,K0kommunestruktur2019!$A$4:$N$425,K0kommunestruktur2020altern!K$3,FALSE)</f>
        <v>5621</v>
      </c>
      <c r="L433" s="177">
        <f>VLOOKUP($A433,K0kommunestruktur2019!$A$4:$N$425,K0kommunestruktur2020altern!L$3,FALSE)</f>
        <v>146576</v>
      </c>
      <c r="M433" s="289">
        <f>VLOOKUP($A433,K0kommunestruktur2019!$A$4:$N$425,K0kommunestruktur2020altern!M$3,FALSE)</f>
        <v>5642</v>
      </c>
      <c r="N433" s="177">
        <f>VLOOKUP($A433,K0kommunestruktur2019!$A$4:$N$425,K0kommunestruktur2020altern!N$3,FALSE)</f>
        <v>156525</v>
      </c>
    </row>
    <row r="434" spans="1:15" ht="13">
      <c r="A434" s="1"/>
      <c r="B434" s="2"/>
      <c r="C434" s="290"/>
      <c r="D434" s="177"/>
      <c r="E434" s="289"/>
      <c r="F434" s="177"/>
      <c r="G434" s="289"/>
      <c r="H434" s="177"/>
      <c r="I434" s="289"/>
      <c r="J434" s="177"/>
      <c r="K434" s="289"/>
      <c r="L434" s="177"/>
      <c r="M434" s="289"/>
    </row>
    <row r="435" spans="1:15" ht="13">
      <c r="A435" s="1">
        <v>213</v>
      </c>
      <c r="B435" s="2" t="s">
        <v>802</v>
      </c>
      <c r="C435" s="290">
        <f>VLOOKUP($A435,K0kommunestruktur2019!$A$4:$N$425,K0kommunestruktur2020altern!C$3,FALSE)</f>
        <v>29542</v>
      </c>
      <c r="D435" s="177">
        <f>VLOOKUP($A435,K0kommunestruktur2019!$A$4:$N$425,K0kommunestruktur2020altern!D$3,FALSE)</f>
        <v>770043</v>
      </c>
      <c r="E435" s="289">
        <f>VLOOKUP($A435,K0kommunestruktur2019!$A$4:$N$425,K0kommunestruktur2020altern!E$3,FALSE)</f>
        <v>29775</v>
      </c>
      <c r="F435" s="177">
        <f>VLOOKUP($A435,K0kommunestruktur2019!$A$4:$N$425,K0kommunestruktur2020altern!F$3,FALSE)</f>
        <v>808395</v>
      </c>
      <c r="G435" s="289">
        <f>VLOOKUP($A435,K0kommunestruktur2019!$A$4:$N$425,K0kommunestruktur2020altern!G$3,FALSE)</f>
        <v>30261</v>
      </c>
      <c r="H435" s="177">
        <f>VLOOKUP($A435,K0kommunestruktur2019!$A$4:$N$425,K0kommunestruktur2020altern!H$3,FALSE)</f>
        <v>898881</v>
      </c>
      <c r="I435" s="289">
        <f>VLOOKUP($A435,K0kommunestruktur2019!$A$4:$N$425,K0kommunestruktur2020altern!I$3,FALSE)</f>
        <v>30698</v>
      </c>
      <c r="J435" s="177">
        <f>VLOOKUP($A435,K0kommunestruktur2019!$A$4:$N$425,K0kommunestruktur2020altern!J$3,FALSE)</f>
        <v>958294</v>
      </c>
      <c r="K435" s="289">
        <f>VLOOKUP($A435,K0kommunestruktur2019!$A$4:$N$425,K0kommunestruktur2020altern!K$3,FALSE)</f>
        <v>30880</v>
      </c>
      <c r="L435" s="177">
        <f>VLOOKUP($A435,K0kommunestruktur2019!$A$4:$N$425,K0kommunestruktur2020altern!L$3,FALSE)</f>
        <v>999458</v>
      </c>
      <c r="M435" s="289">
        <f>VLOOKUP($A435,K0kommunestruktur2019!$A$4:$N$425,K0kommunestruktur2020altern!M$3,FALSE)</f>
        <v>30843</v>
      </c>
      <c r="N435" s="177">
        <f>VLOOKUP($A435,K0kommunestruktur2019!$A$4:$N$425,K0kommunestruktur2020altern!N$3,FALSE)</f>
        <v>1039585</v>
      </c>
    </row>
    <row r="436" spans="1:15" ht="13">
      <c r="A436" s="1">
        <v>217</v>
      </c>
      <c r="B436" s="2" t="s">
        <v>806</v>
      </c>
      <c r="C436" s="290">
        <f>VLOOKUP($A436,K0kommunestruktur2019!$A$4:$N$425,K0kommunestruktur2020altern!C$3,FALSE)</f>
        <v>26255</v>
      </c>
      <c r="D436" s="177">
        <f>VLOOKUP($A436,K0kommunestruktur2019!$A$4:$N$425,K0kommunestruktur2020altern!D$3,FALSE)</f>
        <v>832842</v>
      </c>
      <c r="E436" s="289">
        <f>VLOOKUP($A436,K0kommunestruktur2019!$A$4:$N$425,K0kommunestruktur2020altern!E$3,FALSE)</f>
        <v>26580</v>
      </c>
      <c r="F436" s="177">
        <f>VLOOKUP($A436,K0kommunestruktur2019!$A$4:$N$425,K0kommunestruktur2020altern!F$3,FALSE)</f>
        <v>873874</v>
      </c>
      <c r="G436" s="289">
        <f>VLOOKUP($A436,K0kommunestruktur2019!$A$4:$N$425,K0kommunestruktur2020altern!G$3,FALSE)</f>
        <v>26792</v>
      </c>
      <c r="H436" s="177">
        <f>VLOOKUP($A436,K0kommunestruktur2019!$A$4:$N$425,K0kommunestruktur2020altern!H$3,FALSE)</f>
        <v>958475</v>
      </c>
      <c r="I436" s="289">
        <f>VLOOKUP($A436,K0kommunestruktur2019!$A$4:$N$425,K0kommunestruktur2020altern!I$3,FALSE)</f>
        <v>26988</v>
      </c>
      <c r="J436" s="177">
        <f>VLOOKUP($A436,K0kommunestruktur2019!$A$4:$N$425,K0kommunestruktur2020altern!J$3,FALSE)</f>
        <v>1010595</v>
      </c>
      <c r="K436" s="289">
        <f>VLOOKUP($A436,K0kommunestruktur2019!$A$4:$N$425,K0kommunestruktur2020altern!K$3,FALSE)</f>
        <v>27178</v>
      </c>
      <c r="L436" s="177">
        <f>VLOOKUP($A436,K0kommunestruktur2019!$A$4:$N$425,K0kommunestruktur2020altern!L$3,FALSE)</f>
        <v>1020926</v>
      </c>
      <c r="M436" s="289">
        <f>VLOOKUP($A436,K0kommunestruktur2019!$A$4:$N$425,K0kommunestruktur2020altern!M$3,FALSE)</f>
        <v>27394</v>
      </c>
      <c r="N436" s="177">
        <f>VLOOKUP($A436,K0kommunestruktur2019!$A$4:$N$425,K0kommunestruktur2020altern!N$3,FALSE)</f>
        <v>1058845</v>
      </c>
    </row>
    <row r="437" spans="1:15" ht="13">
      <c r="A437" s="1"/>
      <c r="B437" s="894" t="s">
        <v>1699</v>
      </c>
      <c r="C437" s="290">
        <f t="shared" ref="C437:N437" si="58">-C440</f>
        <v>174.07882960413082</v>
      </c>
      <c r="D437" s="177">
        <f t="shared" si="58"/>
        <v>4195.5913941480212</v>
      </c>
      <c r="E437" s="289">
        <f t="shared" si="58"/>
        <v>179.2520776985493</v>
      </c>
      <c r="F437" s="912">
        <f t="shared" si="58"/>
        <v>4584.0015736415053</v>
      </c>
      <c r="G437" s="289">
        <f t="shared" si="58"/>
        <v>183.98937791984264</v>
      </c>
      <c r="H437" s="177">
        <f t="shared" si="58"/>
        <v>4888.1284976641264</v>
      </c>
      <c r="I437" s="289">
        <f t="shared" si="58"/>
        <v>186.85694615195476</v>
      </c>
      <c r="J437" s="177">
        <f t="shared" si="58"/>
        <v>5260.0404720924516</v>
      </c>
      <c r="K437" s="289">
        <f t="shared" si="58"/>
        <v>194.56837964101302</v>
      </c>
      <c r="L437" s="177">
        <f t="shared" si="58"/>
        <v>5918.5736415047941</v>
      </c>
      <c r="M437" s="962">
        <f t="shared" si="58"/>
        <v>197</v>
      </c>
      <c r="N437" s="177">
        <f t="shared" si="58"/>
        <v>5926.2269486107698</v>
      </c>
      <c r="O437" s="5"/>
    </row>
    <row r="438" spans="1:15" ht="13">
      <c r="A438" s="1"/>
      <c r="B438" s="2"/>
      <c r="C438" s="290"/>
      <c r="D438" s="177"/>
      <c r="E438" s="289"/>
      <c r="F438" s="177"/>
      <c r="G438" s="289"/>
      <c r="H438" s="177"/>
      <c r="I438" s="289"/>
      <c r="J438" s="177"/>
      <c r="K438" s="289"/>
      <c r="L438" s="177"/>
      <c r="M438" s="289"/>
    </row>
    <row r="439" spans="1:15" ht="13">
      <c r="A439" s="1">
        <v>3021</v>
      </c>
      <c r="B439" s="2" t="s">
        <v>803</v>
      </c>
      <c r="C439" s="290">
        <f>VLOOKUP($A439,K0kommunestruktur2019!$A$4:$N$425,K0kommunestruktur2020altern!C$3,FALSE)</f>
        <v>17969</v>
      </c>
      <c r="D439" s="177">
        <f>VLOOKUP($A439,K0kommunestruktur2019!$A$4:$N$425,K0kommunestruktur2020altern!D$3,FALSE)</f>
        <v>433083</v>
      </c>
      <c r="E439" s="289">
        <f>VLOOKUP($A439,K0kommunestruktur2019!$A$4:$N$425,K0kommunestruktur2020altern!E$3,FALSE)</f>
        <v>18503</v>
      </c>
      <c r="F439" s="177">
        <f>VLOOKUP($A439,K0kommunestruktur2019!$A$4:$N$425,K0kommunestruktur2020altern!F$3,FALSE)</f>
        <v>473176</v>
      </c>
      <c r="G439" s="289">
        <f>VLOOKUP($A439,K0kommunestruktur2019!$A$4:$N$425,K0kommunestruktur2020altern!G$3,FALSE)</f>
        <v>18992</v>
      </c>
      <c r="H439" s="177">
        <f>VLOOKUP($A439,K0kommunestruktur2019!$A$4:$N$425,K0kommunestruktur2020altern!H$3,FALSE)</f>
        <v>504569</v>
      </c>
      <c r="I439" s="289">
        <f>VLOOKUP($A439,K0kommunestruktur2019!$A$4:$N$425,K0kommunestruktur2020altern!I$3,FALSE)</f>
        <v>19288</v>
      </c>
      <c r="J439" s="177">
        <f>VLOOKUP($A439,K0kommunestruktur2019!$A$4:$N$425,K0kommunestruktur2020altern!J$3,FALSE)</f>
        <v>542959</v>
      </c>
      <c r="K439" s="289">
        <f>VLOOKUP($A439,K0kommunestruktur2019!$A$4:$N$425,K0kommunestruktur2020altern!K$3,FALSE)</f>
        <v>20084</v>
      </c>
      <c r="L439" s="177">
        <f>VLOOKUP($A439,K0kommunestruktur2019!$A$4:$N$425,K0kommunestruktur2020altern!L$3,FALSE)</f>
        <v>610935</v>
      </c>
      <c r="M439" s="289">
        <f>VLOOKUP($A439,K0kommunestruktur2019!$A$4:$N$425,K0kommunestruktur2020altern!M$3,FALSE)</f>
        <v>20335</v>
      </c>
      <c r="N439" s="177">
        <f>VLOOKUP($A439,K0kommunestruktur2019!$A$4:$N$425,K0kommunestruktur2020altern!N$3,FALSE)</f>
        <v>611725</v>
      </c>
      <c r="O439" s="177"/>
    </row>
    <row r="440" spans="1:15" ht="13">
      <c r="A440" s="1"/>
      <c r="B440" s="894" t="s">
        <v>1699</v>
      </c>
      <c r="C440" s="290">
        <f>C439*$M440/$M439</f>
        <v>-174.07882960413082</v>
      </c>
      <c r="D440" s="177">
        <f>+D439*C440/C439</f>
        <v>-4195.5913941480212</v>
      </c>
      <c r="E440" s="289">
        <f>E439*$M440/$M439</f>
        <v>-179.2520776985493</v>
      </c>
      <c r="F440" s="912">
        <f>+F439*E440/E439</f>
        <v>-4584.0015736415053</v>
      </c>
      <c r="G440" s="289">
        <f>G439*$M440/$M439</f>
        <v>-183.98937791984264</v>
      </c>
      <c r="H440" s="177">
        <f>+H439*G440/G439</f>
        <v>-4888.1284976641264</v>
      </c>
      <c r="I440" s="289">
        <f>I439*$M440/$M439</f>
        <v>-186.85694615195476</v>
      </c>
      <c r="J440" s="177">
        <f>+J439*I440/I439</f>
        <v>-5260.0404720924516</v>
      </c>
      <c r="K440" s="289">
        <f>K439*$M440/$M439</f>
        <v>-194.56837964101302</v>
      </c>
      <c r="L440" s="177">
        <f>+L439*K440/K439</f>
        <v>-5918.5736415047941</v>
      </c>
      <c r="M440" s="962">
        <v>-197</v>
      </c>
      <c r="N440" s="177">
        <f>+N439*M440/M439</f>
        <v>-5926.2269486107698</v>
      </c>
      <c r="O440" s="177"/>
    </row>
    <row r="441" spans="1:15" ht="13">
      <c r="A441" s="1"/>
      <c r="B441" s="885" t="s">
        <v>1839</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808</v>
      </c>
      <c r="C443" s="290">
        <f>VLOOKUP($A443,K0kommunestruktur2019!$A$4:$N$425,K0kommunestruktur2020altern!C$3,FALSE)</f>
        <v>58338</v>
      </c>
      <c r="D443" s="177">
        <f>VLOOKUP($A443,K0kommunestruktur2019!$A$4:$N$425,K0kommunestruktur2020altern!D$3,FALSE)</f>
        <v>2199038</v>
      </c>
      <c r="E443" s="289">
        <f>VLOOKUP($A443,K0kommunestruktur2019!$A$4:$N$425,K0kommunestruktur2020altern!E$3,FALSE)</f>
        <v>59571</v>
      </c>
      <c r="F443" s="177">
        <f>VLOOKUP($A443,K0kommunestruktur2019!$A$4:$N$425,K0kommunestruktur2020altern!F$3,FALSE)</f>
        <v>2358793</v>
      </c>
      <c r="G443" s="289">
        <f>VLOOKUP($A443,K0kommunestruktur2019!$A$4:$N$425,K0kommunestruktur2020altern!G$3,FALSE)</f>
        <v>60106</v>
      </c>
      <c r="H443" s="177">
        <f>VLOOKUP($A443,K0kommunestruktur2019!$A$4:$N$425,K0kommunestruktur2020altern!H$3,FALSE)</f>
        <v>2702018</v>
      </c>
      <c r="I443" s="289">
        <f>VLOOKUP($A443,K0kommunestruktur2019!$A$4:$N$425,K0kommunestruktur2020altern!I$3,FALSE)</f>
        <v>60781</v>
      </c>
      <c r="J443" s="177">
        <f>VLOOKUP($A443,K0kommunestruktur2019!$A$4:$N$425,K0kommunestruktur2020altern!J$3,FALSE)</f>
        <v>2777270</v>
      </c>
      <c r="K443" s="289">
        <f>VLOOKUP($A443,K0kommunestruktur2019!$A$4:$N$425,K0kommunestruktur2020altern!K$3,FALSE)</f>
        <v>60926</v>
      </c>
      <c r="L443" s="177">
        <f>VLOOKUP($A443,K0kommunestruktur2019!$A$4:$N$425,K0kommunestruktur2020altern!L$3,FALSE)</f>
        <v>2889909</v>
      </c>
      <c r="M443" s="289">
        <f>VLOOKUP($A443,K0kommunestruktur2019!$A$4:$N$425,K0kommunestruktur2020altern!M$3,FALSE)</f>
        <v>61523</v>
      </c>
      <c r="N443" s="177">
        <f>VLOOKUP($A443,K0kommunestruktur2019!$A$4:$N$425,K0kommunestruktur2020altern!N$3,FALSE)</f>
        <v>3113350</v>
      </c>
    </row>
    <row r="444" spans="1:15" ht="13">
      <c r="A444" s="1">
        <v>627</v>
      </c>
      <c r="B444" s="2" t="s">
        <v>887</v>
      </c>
      <c r="C444" s="290">
        <f>VLOOKUP($A444,K0kommunestruktur2019!$A$4:$N$425,K0kommunestruktur2020altern!C$3,FALSE)</f>
        <v>20621</v>
      </c>
      <c r="D444" s="177">
        <f>VLOOKUP($A444,K0kommunestruktur2019!$A$4:$N$425,K0kommunestruktur2020altern!D$3,FALSE)</f>
        <v>528310</v>
      </c>
      <c r="E444" s="289">
        <f>VLOOKUP($A444,K0kommunestruktur2019!$A$4:$N$425,K0kommunestruktur2020altern!E$3,FALSE)</f>
        <v>21038</v>
      </c>
      <c r="F444" s="177">
        <f>VLOOKUP($A444,K0kommunestruktur2019!$A$4:$N$425,K0kommunestruktur2020altern!F$3,FALSE)</f>
        <v>562478</v>
      </c>
      <c r="G444" s="289">
        <f>VLOOKUP($A444,K0kommunestruktur2019!$A$4:$N$425,K0kommunestruktur2020altern!G$3,FALSE)</f>
        <v>21492</v>
      </c>
      <c r="H444" s="177">
        <f>VLOOKUP($A444,K0kommunestruktur2019!$A$4:$N$425,K0kommunestruktur2020altern!H$3,FALSE)</f>
        <v>620312</v>
      </c>
      <c r="I444" s="289">
        <f>VLOOKUP($A444,K0kommunestruktur2019!$A$4:$N$425,K0kommunestruktur2020altern!I$3,FALSE)</f>
        <v>21931</v>
      </c>
      <c r="J444" s="177">
        <f>VLOOKUP($A444,K0kommunestruktur2019!$A$4:$N$425,K0kommunestruktur2020altern!J$3,FALSE)</f>
        <v>663245</v>
      </c>
      <c r="K444" s="289">
        <f>VLOOKUP($A444,K0kommunestruktur2019!$A$4:$N$425,K0kommunestruktur2020altern!K$3,FALSE)</f>
        <v>22452</v>
      </c>
      <c r="L444" s="177">
        <f>VLOOKUP($A444,K0kommunestruktur2019!$A$4:$N$425,K0kommunestruktur2020altern!L$3,FALSE)</f>
        <v>699523</v>
      </c>
      <c r="M444" s="289">
        <f>VLOOKUP($A444,K0kommunestruktur2019!$A$4:$N$425,K0kommunestruktur2020altern!M$3,FALSE)</f>
        <v>22635</v>
      </c>
      <c r="N444" s="177">
        <f>VLOOKUP($A444,K0kommunestruktur2019!$A$4:$N$425,K0kommunestruktur2020altern!N$3,FALSE)</f>
        <v>711117</v>
      </c>
    </row>
    <row r="445" spans="1:15" ht="13">
      <c r="A445" s="1">
        <v>628</v>
      </c>
      <c r="B445" s="2" t="s">
        <v>888</v>
      </c>
      <c r="C445" s="290">
        <f>VLOOKUP($A445,K0kommunestruktur2019!$A$4:$N$425,K0kommunestruktur2020altern!C$3,FALSE)</f>
        <v>9330</v>
      </c>
      <c r="D445" s="177">
        <f>VLOOKUP($A445,K0kommunestruktur2019!$A$4:$N$425,K0kommunestruktur2020altern!D$3,FALSE)</f>
        <v>220706</v>
      </c>
      <c r="E445" s="289">
        <f>VLOOKUP($A445,K0kommunestruktur2019!$A$4:$N$425,K0kommunestruktur2020altern!E$3,FALSE)</f>
        <v>9365</v>
      </c>
      <c r="F445" s="177">
        <f>VLOOKUP($A445,K0kommunestruktur2019!$A$4:$N$425,K0kommunestruktur2020altern!F$3,FALSE)</f>
        <v>225635</v>
      </c>
      <c r="G445" s="289">
        <f>VLOOKUP($A445,K0kommunestruktur2019!$A$4:$N$425,K0kommunestruktur2020altern!G$3,FALSE)</f>
        <v>9413</v>
      </c>
      <c r="H445" s="177">
        <f>VLOOKUP($A445,K0kommunestruktur2019!$A$4:$N$425,K0kommunestruktur2020altern!H$3,FALSE)</f>
        <v>242693</v>
      </c>
      <c r="I445" s="289">
        <f>VLOOKUP($A445,K0kommunestruktur2019!$A$4:$N$425,K0kommunestruktur2020altern!I$3,FALSE)</f>
        <v>9462</v>
      </c>
      <c r="J445" s="177">
        <f>VLOOKUP($A445,K0kommunestruktur2019!$A$4:$N$425,K0kommunestruktur2020altern!J$3,FALSE)</f>
        <v>254706</v>
      </c>
      <c r="K445" s="289">
        <f>VLOOKUP($A445,K0kommunestruktur2019!$A$4:$N$425,K0kommunestruktur2020altern!K$3,FALSE)</f>
        <v>9450</v>
      </c>
      <c r="L445" s="177">
        <f>VLOOKUP($A445,K0kommunestruktur2019!$A$4:$N$425,K0kommunestruktur2020altern!L$3,FALSE)</f>
        <v>260549</v>
      </c>
      <c r="M445" s="289">
        <f>VLOOKUP($A445,K0kommunestruktur2019!$A$4:$N$425,K0kommunestruktur2020altern!M$3,FALSE)</f>
        <v>9521</v>
      </c>
      <c r="N445" s="177">
        <f>VLOOKUP($A445,K0kommunestruktur2019!$A$4:$N$425,K0kommunestruktur2020altern!N$3,FALSE)</f>
        <v>269702</v>
      </c>
    </row>
    <row r="446" spans="1:15" ht="13">
      <c r="A446" s="1"/>
      <c r="B446" s="2"/>
      <c r="C446" s="290"/>
      <c r="D446" s="177"/>
      <c r="E446" s="289"/>
      <c r="F446" s="177"/>
      <c r="G446" s="289"/>
      <c r="H446" s="177"/>
      <c r="I446" s="289"/>
      <c r="J446" s="177"/>
      <c r="K446" s="289"/>
      <c r="L446" s="177"/>
      <c r="M446" s="289"/>
    </row>
    <row r="447" spans="1:15" ht="13">
      <c r="A447" s="1">
        <v>121</v>
      </c>
      <c r="B447" s="2" t="s">
        <v>790</v>
      </c>
      <c r="C447" s="290">
        <f>VLOOKUP($A447,K0kommunestruktur2019!$A$4:$N$425,K0kommunestruktur2020altern!C$3,FALSE)</f>
        <v>672</v>
      </c>
      <c r="D447" s="177">
        <f>VLOOKUP($A447,K0kommunestruktur2019!$A$4:$N$425,K0kommunestruktur2020altern!D$3,FALSE)</f>
        <v>13656</v>
      </c>
      <c r="E447" s="289">
        <f>VLOOKUP($A447,K0kommunestruktur2019!$A$4:$N$425,K0kommunestruktur2020altern!E$3,FALSE)</f>
        <v>672</v>
      </c>
      <c r="F447" s="177">
        <f>VLOOKUP($A447,K0kommunestruktur2019!$A$4:$N$425,K0kommunestruktur2020altern!F$3,FALSE)</f>
        <v>14750</v>
      </c>
      <c r="G447" s="289">
        <f>VLOOKUP($A447,K0kommunestruktur2019!$A$4:$N$425,K0kommunestruktur2020altern!G$3,FALSE)</f>
        <v>672</v>
      </c>
      <c r="H447" s="177">
        <f>VLOOKUP($A447,K0kommunestruktur2019!$A$4:$N$425,K0kommunestruktur2020altern!H$3,FALSE)</f>
        <v>20035</v>
      </c>
      <c r="I447" s="289">
        <f>VLOOKUP($A447,K0kommunestruktur2019!$A$4:$N$425,K0kommunestruktur2020altern!I$3,FALSE)</f>
        <v>685</v>
      </c>
      <c r="J447" s="177">
        <f>VLOOKUP($A447,K0kommunestruktur2019!$A$4:$N$425,K0kommunestruktur2020altern!J$3,FALSE)</f>
        <v>18554</v>
      </c>
      <c r="K447" s="289">
        <f>VLOOKUP($A447,K0kommunestruktur2019!$A$4:$N$425,K0kommunestruktur2020altern!K$3,FALSE)</f>
        <v>682</v>
      </c>
      <c r="L447" s="177">
        <f>VLOOKUP($A447,K0kommunestruktur2019!$A$4:$N$425,K0kommunestruktur2020altern!L$3,FALSE)</f>
        <v>17031</v>
      </c>
      <c r="M447" s="289">
        <f>VLOOKUP($A447,K0kommunestruktur2019!$A$4:$N$425,K0kommunestruktur2020altern!M$3,FALSE)</f>
        <v>673</v>
      </c>
      <c r="N447" s="177">
        <f>VLOOKUP($A447,K0kommunestruktur2019!$A$4:$N$425,K0kommunestruktur2020altern!N$3,FALSE)</f>
        <v>20151</v>
      </c>
    </row>
    <row r="448" spans="1:15" ht="13">
      <c r="A448" s="1">
        <v>221</v>
      </c>
      <c r="B448" s="2" t="s">
        <v>1788</v>
      </c>
      <c r="C448" s="290">
        <f>VLOOKUP($A448,K0kommunestruktur2019!$A$4:$N$425,K0kommunestruktur2020altern!C$3,FALSE)</f>
        <v>15500</v>
      </c>
      <c r="D448" s="177">
        <f>VLOOKUP($A448,K0kommunestruktur2019!$A$4:$N$425,K0kommunestruktur2020altern!D$3,FALSE)</f>
        <v>302125</v>
      </c>
      <c r="E448" s="289">
        <f>VLOOKUP($A448,K0kommunestruktur2019!$A$4:$N$425,K0kommunestruktur2020altern!E$3,FALSE)</f>
        <v>15726</v>
      </c>
      <c r="F448" s="177">
        <f>VLOOKUP($A448,K0kommunestruktur2019!$A$4:$N$425,K0kommunestruktur2020altern!F$3,FALSE)</f>
        <v>329143</v>
      </c>
      <c r="G448" s="289">
        <f>VLOOKUP($A448,K0kommunestruktur2019!$A$4:$N$425,K0kommunestruktur2020altern!G$3,FALSE)</f>
        <v>15914</v>
      </c>
      <c r="H448" s="177">
        <f>VLOOKUP($A448,K0kommunestruktur2019!$A$4:$N$425,K0kommunestruktur2020altern!H$3,FALSE)</f>
        <v>350928</v>
      </c>
      <c r="I448" s="289">
        <f>VLOOKUP($A448,K0kommunestruktur2019!$A$4:$N$425,K0kommunestruktur2020altern!I$3,FALSE)</f>
        <v>16162</v>
      </c>
      <c r="J448" s="177">
        <f>VLOOKUP($A448,K0kommunestruktur2019!$A$4:$N$425,K0kommunestruktur2020altern!J$3,FALSE)</f>
        <v>374281</v>
      </c>
      <c r="K448" s="289">
        <f>VLOOKUP($A448,K0kommunestruktur2019!$A$4:$N$425,K0kommunestruktur2020altern!K$3,FALSE)</f>
        <v>16390</v>
      </c>
      <c r="L448" s="177">
        <f>VLOOKUP($A448,K0kommunestruktur2019!$A$4:$N$425,K0kommunestruktur2020altern!L$3,FALSE)</f>
        <v>400409</v>
      </c>
      <c r="M448" s="289">
        <f>VLOOKUP($A448,K0kommunestruktur2019!$A$4:$N$425,K0kommunestruktur2020altern!M$3,FALSE)</f>
        <v>16500</v>
      </c>
      <c r="N448" s="177">
        <f>VLOOKUP($A448,K0kommunestruktur2019!$A$4:$N$425,K0kommunestruktur2020altern!N$3,FALSE)</f>
        <v>410305</v>
      </c>
    </row>
    <row r="449" spans="1:15" ht="13">
      <c r="A449" s="1"/>
      <c r="B449" s="2"/>
      <c r="C449" s="290"/>
      <c r="D449" s="177"/>
      <c r="E449" s="289"/>
      <c r="F449" s="177"/>
      <c r="G449" s="289"/>
      <c r="H449" s="177"/>
      <c r="I449" s="289"/>
      <c r="J449" s="177"/>
      <c r="K449" s="289"/>
      <c r="L449" s="177"/>
      <c r="M449" s="289"/>
    </row>
    <row r="450" spans="1:15" ht="13">
      <c r="A450" s="1">
        <v>226</v>
      </c>
      <c r="B450" s="2" t="s">
        <v>810</v>
      </c>
      <c r="C450" s="290">
        <f>VLOOKUP($A450,K0kommunestruktur2019!$A$4:$N$425,K0kommunestruktur2020altern!C$3,FALSE)</f>
        <v>16918</v>
      </c>
      <c r="D450" s="177">
        <f>VLOOKUP($A450,K0kommunestruktur2019!$A$4:$N$425,K0kommunestruktur2020altern!D$3,FALSE)</f>
        <v>421597</v>
      </c>
      <c r="E450" s="289">
        <f>VLOOKUP($A450,K0kommunestruktur2019!$A$4:$N$425,K0kommunestruktur2020altern!E$3,FALSE)</f>
        <v>17089</v>
      </c>
      <c r="F450" s="177">
        <f>VLOOKUP($A450,K0kommunestruktur2019!$A$4:$N$425,K0kommunestruktur2020altern!F$3,FALSE)</f>
        <v>436963</v>
      </c>
      <c r="G450" s="289">
        <f>VLOOKUP($A450,K0kommunestruktur2019!$A$4:$N$425,K0kommunestruktur2020altern!G$3,FALSE)</f>
        <v>17443</v>
      </c>
      <c r="H450" s="177">
        <f>VLOOKUP($A450,K0kommunestruktur2019!$A$4:$N$425,K0kommunestruktur2020altern!H$3,FALSE)</f>
        <v>486909</v>
      </c>
      <c r="I450" s="289">
        <f>VLOOKUP($A450,K0kommunestruktur2019!$A$4:$N$425,K0kommunestruktur2020altern!I$3,FALSE)</f>
        <v>17665</v>
      </c>
      <c r="J450" s="177">
        <f>VLOOKUP($A450,K0kommunestruktur2019!$A$4:$N$425,K0kommunestruktur2020altern!J$3,FALSE)</f>
        <v>514762</v>
      </c>
      <c r="K450" s="289">
        <f>VLOOKUP($A450,K0kommunestruktur2019!$A$4:$N$425,K0kommunestruktur2020altern!K$3,FALSE)</f>
        <v>17980</v>
      </c>
      <c r="L450" s="177">
        <f>VLOOKUP($A450,K0kommunestruktur2019!$A$4:$N$425,K0kommunestruktur2020altern!L$3,FALSE)</f>
        <v>535693</v>
      </c>
      <c r="M450" s="289">
        <f>VLOOKUP($A450,K0kommunestruktur2019!$A$4:$N$425,K0kommunestruktur2020altern!M$3,FALSE)</f>
        <v>18263</v>
      </c>
      <c r="N450" s="177">
        <f>VLOOKUP($A450,K0kommunestruktur2019!$A$4:$N$425,K0kommunestruktur2020altern!N$3,FALSE)</f>
        <v>561660</v>
      </c>
    </row>
    <row r="451" spans="1:15" ht="13">
      <c r="A451" s="1">
        <v>227</v>
      </c>
      <c r="B451" s="2" t="s">
        <v>811</v>
      </c>
      <c r="C451" s="290">
        <f>VLOOKUP($A451,K0kommunestruktur2019!$A$4:$N$425,K0kommunestruktur2020altern!C$3,FALSE)</f>
        <v>11048</v>
      </c>
      <c r="D451" s="177">
        <f>VLOOKUP($A451,K0kommunestruktur2019!$A$4:$N$425,K0kommunestruktur2020altern!D$3,FALSE)</f>
        <v>273412</v>
      </c>
      <c r="E451" s="289">
        <f>VLOOKUP($A451,K0kommunestruktur2019!$A$4:$N$425,K0kommunestruktur2020altern!E$3,FALSE)</f>
        <v>11199</v>
      </c>
      <c r="F451" s="177">
        <f>VLOOKUP($A451,K0kommunestruktur2019!$A$4:$N$425,K0kommunestruktur2020altern!F$3,FALSE)</f>
        <v>281509</v>
      </c>
      <c r="G451" s="289">
        <f>VLOOKUP($A451,K0kommunestruktur2019!$A$4:$N$425,K0kommunestruktur2020altern!G$3,FALSE)</f>
        <v>11374</v>
      </c>
      <c r="H451" s="177">
        <f>VLOOKUP($A451,K0kommunestruktur2019!$A$4:$N$425,K0kommunestruktur2020altern!H$3,FALSE)</f>
        <v>325799</v>
      </c>
      <c r="I451" s="289">
        <f>VLOOKUP($A451,K0kommunestruktur2019!$A$4:$N$425,K0kommunestruktur2020altern!I$3,FALSE)</f>
        <v>11555</v>
      </c>
      <c r="J451" s="177">
        <f>VLOOKUP($A451,K0kommunestruktur2019!$A$4:$N$425,K0kommunestruktur2020altern!J$3,FALSE)</f>
        <v>336499</v>
      </c>
      <c r="K451" s="289">
        <f>VLOOKUP($A451,K0kommunestruktur2019!$A$4:$N$425,K0kommunestruktur2020altern!K$3,FALSE)</f>
        <v>11663</v>
      </c>
      <c r="L451" s="177">
        <f>VLOOKUP($A451,K0kommunestruktur2019!$A$4:$N$425,K0kommunestruktur2020altern!L$3,FALSE)</f>
        <v>358041</v>
      </c>
      <c r="M451" s="289">
        <f>VLOOKUP($A451,K0kommunestruktur2019!$A$4:$N$425,K0kommunestruktur2020altern!M$3,FALSE)</f>
        <v>11842</v>
      </c>
      <c r="N451" s="177">
        <f>VLOOKUP($A451,K0kommunestruktur2019!$A$4:$N$425,K0kommunestruktur2020altern!N$3,FALSE)</f>
        <v>388463</v>
      </c>
    </row>
    <row r="452" spans="1:15" ht="13">
      <c r="A452" s="1">
        <v>231</v>
      </c>
      <c r="B452" s="2" t="s">
        <v>815</v>
      </c>
      <c r="C452" s="290">
        <f>VLOOKUP($A452,K0kommunestruktur2019!$A$4:$N$425,K0kommunestruktur2020altern!C$3,FALSE)</f>
        <v>51188</v>
      </c>
      <c r="D452" s="177">
        <f>VLOOKUP($A452,K0kommunestruktur2019!$A$4:$N$425,K0kommunestruktur2020altern!D$3,FALSE)</f>
        <v>1334508</v>
      </c>
      <c r="E452" s="289">
        <f>VLOOKUP($A452,K0kommunestruktur2019!$A$4:$N$425,K0kommunestruktur2020altern!E$3,FALSE)</f>
        <v>51725</v>
      </c>
      <c r="F452" s="177">
        <f>VLOOKUP($A452,K0kommunestruktur2019!$A$4:$N$425,K0kommunestruktur2020altern!F$3,FALSE)</f>
        <v>1392116</v>
      </c>
      <c r="G452" s="289">
        <f>VLOOKUP($A452,K0kommunestruktur2019!$A$4:$N$425,K0kommunestruktur2020altern!G$3,FALSE)</f>
        <v>52522</v>
      </c>
      <c r="H452" s="177">
        <f>VLOOKUP($A452,K0kommunestruktur2019!$A$4:$N$425,K0kommunestruktur2020altern!H$3,FALSE)</f>
        <v>1535449</v>
      </c>
      <c r="I452" s="289">
        <f>VLOOKUP($A452,K0kommunestruktur2019!$A$4:$N$425,K0kommunestruktur2020altern!I$3,FALSE)</f>
        <v>53276</v>
      </c>
      <c r="J452" s="177">
        <f>VLOOKUP($A452,K0kommunestruktur2019!$A$4:$N$425,K0kommunestruktur2020altern!J$3,FALSE)</f>
        <v>1639443</v>
      </c>
      <c r="K452" s="289">
        <f>VLOOKUP($A452,K0kommunestruktur2019!$A$4:$N$425,K0kommunestruktur2020altern!K$3,FALSE)</f>
        <v>54178</v>
      </c>
      <c r="L452" s="177">
        <f>VLOOKUP($A452,K0kommunestruktur2019!$A$4:$N$425,K0kommunestruktur2020altern!L$3,FALSE)</f>
        <v>1707289</v>
      </c>
      <c r="M452" s="289">
        <f>VLOOKUP($A452,K0kommunestruktur2019!$A$4:$N$425,K0kommunestruktur2020altern!M$3,FALSE)</f>
        <v>55652</v>
      </c>
      <c r="N452" s="177">
        <f>VLOOKUP($A452,K0kommunestruktur2019!$A$4:$N$425,K0kommunestruktur2020altern!N$3,FALSE)</f>
        <v>1799911</v>
      </c>
    </row>
    <row r="453" spans="1:15" ht="13">
      <c r="A453" s="1"/>
      <c r="B453" s="894" t="s">
        <v>1709</v>
      </c>
      <c r="C453" s="290">
        <f>C450*$M453/$M450</f>
        <v>-621.58342002956795</v>
      </c>
      <c r="D453" s="177">
        <f>+D454*C453/C450+D455</f>
        <v>-20609.511496468265</v>
      </c>
      <c r="E453" s="289">
        <f>E450*$M453/$M450</f>
        <v>-627.86612276186827</v>
      </c>
      <c r="F453" s="912">
        <f>+F454*E453/E450+F455</f>
        <v>-21190.227563721732</v>
      </c>
      <c r="G453" s="289">
        <f>G450*$M453/$M450</f>
        <v>-640.87241964627935</v>
      </c>
      <c r="H453" s="177">
        <f>+H454*G453/G450+H455</f>
        <v>-23074.272773503806</v>
      </c>
      <c r="I453" s="289">
        <f>I450*$M453/$M450</f>
        <v>-649.02891091277445</v>
      </c>
      <c r="J453" s="177">
        <f>+J454*I453/I450+J455</f>
        <v>-24074.026030293488</v>
      </c>
      <c r="K453" s="289">
        <f>K450*$M453/$M450</f>
        <v>-660.60231068280132</v>
      </c>
      <c r="L453" s="177">
        <f>+L454*K453/K450+L455</f>
        <v>-24911.485955209988</v>
      </c>
      <c r="M453" s="962">
        <v>-671</v>
      </c>
      <c r="N453" s="177">
        <f>+N454*M453/M450+N455</f>
        <v>-25844.140475277884</v>
      </c>
    </row>
    <row r="454" spans="1:15" ht="13">
      <c r="A454" s="1"/>
      <c r="B454" s="885" t="s">
        <v>1842</v>
      </c>
      <c r="C454" s="290"/>
      <c r="D454" s="177">
        <v>414419.19199999998</v>
      </c>
      <c r="E454" s="289"/>
      <c r="F454" s="177">
        <v>429762.54300000001</v>
      </c>
      <c r="G454" s="289"/>
      <c r="H454" s="177">
        <v>479639.87</v>
      </c>
      <c r="I454" s="289"/>
      <c r="J454" s="177">
        <v>507525.94699999999</v>
      </c>
      <c r="K454" s="289"/>
      <c r="L454" s="177">
        <v>528361</v>
      </c>
      <c r="M454" s="289"/>
      <c r="N454" s="177">
        <v>554358</v>
      </c>
    </row>
    <row r="455" spans="1:15" ht="13">
      <c r="A455" s="1"/>
      <c r="B455" s="885" t="s">
        <v>1843</v>
      </c>
      <c r="C455" s="290"/>
      <c r="D455" s="177">
        <v>-5383.3559999999998</v>
      </c>
      <c r="E455" s="289"/>
      <c r="F455" s="177">
        <v>-5400.3427499999998</v>
      </c>
      <c r="G455" s="289"/>
      <c r="H455" s="177">
        <v>-5451.8474999999999</v>
      </c>
      <c r="I455" s="289"/>
      <c r="J455" s="177">
        <v>-5427.0397499999999</v>
      </c>
      <c r="K455" s="289"/>
      <c r="L455" s="177">
        <v>-5499</v>
      </c>
      <c r="M455" s="289"/>
      <c r="N455" s="177">
        <f>-7302*0.75</f>
        <v>-5476.5</v>
      </c>
    </row>
    <row r="456" spans="1:15" ht="13">
      <c r="A456" s="1"/>
      <c r="B456" s="2"/>
      <c r="C456" s="290"/>
      <c r="D456" s="177"/>
      <c r="E456" s="289"/>
      <c r="F456" s="177"/>
      <c r="G456" s="289"/>
      <c r="H456" s="177"/>
      <c r="I456" s="289"/>
      <c r="J456" s="177"/>
      <c r="K456" s="289"/>
      <c r="L456" s="177"/>
      <c r="M456" s="289"/>
    </row>
    <row r="457" spans="1:15" ht="13">
      <c r="A457" s="1">
        <v>3034</v>
      </c>
      <c r="B457" s="2" t="s">
        <v>819</v>
      </c>
      <c r="C457" s="290">
        <f>VLOOKUP($A457,K0kommunestruktur2019!$A$4:$N$425,K0kommunestruktur2020altern!C$3,FALSE)</f>
        <v>20164</v>
      </c>
      <c r="D457" s="177">
        <f>VLOOKUP($A457,K0kommunestruktur2019!$A$4:$N$425,K0kommunestruktur2020altern!D$3,FALSE)</f>
        <v>415395</v>
      </c>
      <c r="E457" s="289">
        <f>VLOOKUP($A457,K0kommunestruktur2019!$A$4:$N$425,K0kommunestruktur2020altern!E$3,FALSE)</f>
        <v>20410</v>
      </c>
      <c r="F457" s="177">
        <f>VLOOKUP($A457,K0kommunestruktur2019!$A$4:$N$425,K0kommunestruktur2020altern!F$3,FALSE)</f>
        <v>447461</v>
      </c>
      <c r="G457" s="289">
        <f>VLOOKUP($A457,K0kommunestruktur2019!$A$4:$N$425,K0kommunestruktur2020altern!G$3,FALSE)</f>
        <v>20783</v>
      </c>
      <c r="H457" s="177">
        <f>VLOOKUP($A457,K0kommunestruktur2019!$A$4:$N$425,K0kommunestruktur2020altern!H$3,FALSE)</f>
        <v>498018</v>
      </c>
      <c r="I457" s="289">
        <f>VLOOKUP($A457,K0kommunestruktur2019!$A$4:$N$425,K0kommunestruktur2020altern!I$3,FALSE)</f>
        <v>21241</v>
      </c>
      <c r="J457" s="177">
        <f>VLOOKUP($A457,K0kommunestruktur2019!$A$4:$N$425,K0kommunestruktur2020altern!J$3,FALSE)</f>
        <v>529616</v>
      </c>
      <c r="K457" s="289">
        <f>VLOOKUP($A457,K0kommunestruktur2019!$A$4:$N$425,K0kommunestruktur2020altern!K$3,FALSE)</f>
        <v>21681</v>
      </c>
      <c r="L457" s="177">
        <f>VLOOKUP($A457,K0kommunestruktur2019!$A$4:$N$425,K0kommunestruktur2020altern!L$3,FALSE)</f>
        <v>563996</v>
      </c>
      <c r="M457" s="289">
        <f>VLOOKUP($A457,K0kommunestruktur2019!$A$4:$N$425,K0kommunestruktur2020altern!M$3,FALSE)</f>
        <v>21885</v>
      </c>
      <c r="N457" s="177">
        <f>VLOOKUP($A457,K0kommunestruktur2019!$A$4:$N$425,K0kommunestruktur2020altern!N$3,FALSE)</f>
        <v>589743</v>
      </c>
      <c r="O457" s="177"/>
    </row>
    <row r="458" spans="1:15" ht="13">
      <c r="A458" s="1"/>
      <c r="B458" s="894" t="s">
        <v>1709</v>
      </c>
      <c r="C458" s="290">
        <f t="shared" ref="C458:N458" si="59">-C453</f>
        <v>621.58342002956795</v>
      </c>
      <c r="D458" s="177">
        <f t="shared" si="59"/>
        <v>20609.511496468265</v>
      </c>
      <c r="E458" s="289">
        <f t="shared" si="59"/>
        <v>627.86612276186827</v>
      </c>
      <c r="F458" s="912">
        <f t="shared" si="59"/>
        <v>21190.227563721732</v>
      </c>
      <c r="G458" s="289">
        <f t="shared" si="59"/>
        <v>640.87241964627935</v>
      </c>
      <c r="H458" s="177">
        <f t="shared" si="59"/>
        <v>23074.272773503806</v>
      </c>
      <c r="I458" s="289">
        <f t="shared" si="59"/>
        <v>649.02891091277445</v>
      </c>
      <c r="J458" s="177">
        <f t="shared" si="59"/>
        <v>24074.026030293488</v>
      </c>
      <c r="K458" s="289">
        <f t="shared" si="59"/>
        <v>660.60231068280132</v>
      </c>
      <c r="L458" s="177">
        <f t="shared" si="59"/>
        <v>24911.485955209988</v>
      </c>
      <c r="M458" s="962">
        <f t="shared" si="59"/>
        <v>671</v>
      </c>
      <c r="N458" s="177">
        <f t="shared" si="59"/>
        <v>25844.140475277884</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VLOOKUP($A460,K0kommunestruktur2019!$A$4:$N$425,K0kommunestruktur2020altern!C$3,FALSE)</f>
        <v>26751</v>
      </c>
      <c r="D460" s="177">
        <f>VLOOKUP($A460,K0kommunestruktur2019!$A$4:$N$425,K0kommunestruktur2020altern!D$3,FALSE)</f>
        <v>552532</v>
      </c>
      <c r="E460" s="289">
        <f>VLOOKUP($A460,K0kommunestruktur2019!$A$4:$N$425,K0kommunestruktur2020altern!E$3,FALSE)</f>
        <v>26903</v>
      </c>
      <c r="F460" s="177">
        <f>VLOOKUP($A460,K0kommunestruktur2019!$A$4:$N$425,K0kommunestruktur2020altern!F$3,FALSE)</f>
        <v>579819</v>
      </c>
      <c r="G460" s="289">
        <f>VLOOKUP($A460,K0kommunestruktur2019!$A$4:$N$425,K0kommunestruktur2020altern!G$3,FALSE)</f>
        <v>27178</v>
      </c>
      <c r="H460" s="177">
        <f>VLOOKUP($A460,K0kommunestruktur2019!$A$4:$N$425,K0kommunestruktur2020altern!H$3,FALSE)</f>
        <v>637325</v>
      </c>
      <c r="I460" s="289">
        <f>VLOOKUP($A460,K0kommunestruktur2019!$A$4:$N$425,K0kommunestruktur2020altern!I$3,FALSE)</f>
        <v>27202</v>
      </c>
      <c r="J460" s="177">
        <f>VLOOKUP($A460,K0kommunestruktur2019!$A$4:$N$425,K0kommunestruktur2020altern!J$3,FALSE)</f>
        <v>663495</v>
      </c>
      <c r="K460" s="289">
        <f>VLOOKUP($A460,K0kommunestruktur2019!$A$4:$N$425,K0kommunestruktur2020altern!K$3,FALSE)</f>
        <v>27317</v>
      </c>
      <c r="L460" s="177">
        <f>VLOOKUP($A460,K0kommunestruktur2019!$A$4:$N$425,K0kommunestruktur2020altern!L$3,FALSE)</f>
        <v>672391</v>
      </c>
      <c r="M460" s="289">
        <f>VLOOKUP($A460,K0kommunestruktur2019!$A$4:$N$425,K0kommunestruktur2020altern!M$3,FALSE)</f>
        <v>27334</v>
      </c>
      <c r="N460" s="177">
        <f>VLOOKUP($A460,K0kommunestruktur2019!$A$4:$N$425,K0kommunestruktur2020altern!N$3,FALSE)</f>
        <v>692275</v>
      </c>
      <c r="O460" s="177"/>
    </row>
    <row r="461" spans="1:15" ht="13">
      <c r="A461" s="1"/>
      <c r="B461" s="894" t="s">
        <v>1714</v>
      </c>
      <c r="C461" s="290">
        <f>C469*$M461/$M469</f>
        <v>12.217060637204522</v>
      </c>
      <c r="D461" s="177">
        <f>-D469*C461/-C469</f>
        <v>257.5082219938335</v>
      </c>
      <c r="E461" s="289">
        <f>E469*$M461/$M469</f>
        <v>12.362692702980473</v>
      </c>
      <c r="F461" s="912">
        <f>-F469*E461/-E469</f>
        <v>279.76988694758478</v>
      </c>
      <c r="G461" s="289">
        <f>G469*$M461/$M469</f>
        <v>12.50698869475848</v>
      </c>
      <c r="H461" s="177">
        <f>-H469*G461/-G469</f>
        <v>305.25149023638238</v>
      </c>
      <c r="I461" s="289">
        <f>I469*$M461/$M469</f>
        <v>12.673997944501542</v>
      </c>
      <c r="J461" s="177">
        <f>-J469*I461/-I469</f>
        <v>329.53463514902364</v>
      </c>
      <c r="K461" s="289">
        <f>K469*$M461/$M469</f>
        <v>12.854367934224049</v>
      </c>
      <c r="L461" s="177">
        <f>-L469*K461/-K469</f>
        <v>333.71654676258999</v>
      </c>
      <c r="M461" s="962">
        <v>13</v>
      </c>
      <c r="N461" s="177">
        <f>-N469*M461/-M469</f>
        <v>339.48437821171638</v>
      </c>
      <c r="O461" s="177"/>
    </row>
    <row r="462" spans="1:15" ht="13">
      <c r="A462" s="1"/>
      <c r="B462" s="2"/>
      <c r="C462" s="290"/>
      <c r="D462" s="177"/>
      <c r="E462" s="289"/>
      <c r="F462" s="177"/>
      <c r="G462" s="289"/>
      <c r="H462" s="177"/>
      <c r="I462" s="289"/>
      <c r="J462" s="177"/>
      <c r="K462" s="289"/>
      <c r="L462" s="177"/>
      <c r="M462" s="289"/>
    </row>
    <row r="463" spans="1:15" ht="13">
      <c r="A463" s="1">
        <v>713</v>
      </c>
      <c r="B463" s="2" t="s">
        <v>897</v>
      </c>
      <c r="C463" s="290">
        <f>VLOOKUP($A463,K0kommunestruktur2019!$A$4:$N$425,K0kommunestruktur2020altern!C$3,FALSE)</f>
        <v>9036</v>
      </c>
      <c r="D463" s="177">
        <f>VLOOKUP($A463,K0kommunestruktur2019!$A$4:$N$425,K0kommunestruktur2020altern!D$3,FALSE)</f>
        <v>200826</v>
      </c>
      <c r="E463" s="289">
        <f>VLOOKUP($A463,K0kommunestruktur2019!$A$4:$N$425,K0kommunestruktur2020altern!E$3,FALSE)</f>
        <v>9149</v>
      </c>
      <c r="F463" s="177">
        <f>VLOOKUP($A463,K0kommunestruktur2019!$A$4:$N$425,K0kommunestruktur2020altern!F$3,FALSE)</f>
        <v>216349</v>
      </c>
      <c r="G463" s="289">
        <f>VLOOKUP($A463,K0kommunestruktur2019!$A$4:$N$425,K0kommunestruktur2020altern!G$3,FALSE)</f>
        <v>9297</v>
      </c>
      <c r="H463" s="177">
        <f>VLOOKUP($A463,K0kommunestruktur2019!$A$4:$N$425,K0kommunestruktur2020altern!H$3,FALSE)</f>
        <v>247645</v>
      </c>
      <c r="I463" s="289">
        <f>VLOOKUP($A463,K0kommunestruktur2019!$A$4:$N$425,K0kommunestruktur2020altern!I$3,FALSE)</f>
        <v>9496</v>
      </c>
      <c r="J463" s="177">
        <f>VLOOKUP($A463,K0kommunestruktur2019!$A$4:$N$425,K0kommunestruktur2020altern!J$3,FALSE)</f>
        <v>261519</v>
      </c>
      <c r="K463" s="289">
        <f>VLOOKUP($A463,K0kommunestruktur2019!$A$4:$N$425,K0kommunestruktur2020altern!K$3,FALSE)</f>
        <v>9726</v>
      </c>
      <c r="L463" s="177">
        <f>VLOOKUP($A463,K0kommunestruktur2019!$A$4:$N$425,K0kommunestruktur2020altern!L$3,FALSE)</f>
        <v>270984</v>
      </c>
      <c r="M463" s="289">
        <f>VLOOKUP($A463,K0kommunestruktur2019!$A$4:$N$425,K0kommunestruktur2020altern!M$3,FALSE)</f>
        <v>9904</v>
      </c>
      <c r="N463" s="177">
        <f>VLOOKUP($A463,K0kommunestruktur2019!$A$4:$N$425,K0kommunestruktur2020altern!N$3,FALSE)</f>
        <v>287853</v>
      </c>
    </row>
    <row r="464" spans="1:15" ht="13">
      <c r="A464" s="1">
        <v>715</v>
      </c>
      <c r="B464" s="2" t="s">
        <v>892</v>
      </c>
      <c r="C464" s="290">
        <f>VLOOKUP($A464,K0kommunestruktur2019!$A$4:$N$425,K0kommunestruktur2020altern!C$3,FALSE)</f>
        <v>13547</v>
      </c>
      <c r="D464" s="177">
        <f>VLOOKUP($A464,K0kommunestruktur2019!$A$4:$N$425,K0kommunestruktur2020altern!D$3,FALSE)</f>
        <v>290261</v>
      </c>
      <c r="E464" s="289">
        <f>VLOOKUP($A464,K0kommunestruktur2019!$A$4:$N$425,K0kommunestruktur2020altern!E$3,FALSE)</f>
        <v>13775</v>
      </c>
      <c r="F464" s="177">
        <f>VLOOKUP($A464,K0kommunestruktur2019!$A$4:$N$425,K0kommunestruktur2020altern!F$3,FALSE)</f>
        <v>310437</v>
      </c>
      <c r="G464" s="289">
        <f>VLOOKUP($A464,K0kommunestruktur2019!$A$4:$N$425,K0kommunestruktur2020altern!G$3,FALSE)</f>
        <v>13904</v>
      </c>
      <c r="H464" s="177">
        <f>VLOOKUP($A464,K0kommunestruktur2019!$A$4:$N$425,K0kommunestruktur2020altern!H$3,FALSE)</f>
        <v>338691</v>
      </c>
      <c r="I464" s="289">
        <f>VLOOKUP($A464,K0kommunestruktur2019!$A$4:$N$425,K0kommunestruktur2020altern!I$3,FALSE)</f>
        <v>14037</v>
      </c>
      <c r="J464" s="177">
        <f>VLOOKUP($A464,K0kommunestruktur2019!$A$4:$N$425,K0kommunestruktur2020altern!J$3,FALSE)</f>
        <v>359370</v>
      </c>
      <c r="K464" s="289">
        <f>VLOOKUP($A464,K0kommunestruktur2019!$A$4:$N$425,K0kommunestruktur2020altern!K$3,FALSE)</f>
        <v>14212</v>
      </c>
      <c r="L464" s="177">
        <f>VLOOKUP($A464,K0kommunestruktur2019!$A$4:$N$425,K0kommunestruktur2020altern!L$3,FALSE)</f>
        <v>378353</v>
      </c>
      <c r="M464" s="289">
        <f>VLOOKUP($A464,K0kommunestruktur2019!$A$4:$N$425,K0kommunestruktur2020altern!M$3,FALSE)</f>
        <v>14371</v>
      </c>
      <c r="N464" s="177">
        <f>VLOOKUP($A464,K0kommunestruktur2019!$A$4:$N$425,K0kommunestruktur2020altern!N$3,FALSE)</f>
        <v>384230</v>
      </c>
    </row>
    <row r="465" spans="1:15" ht="13">
      <c r="A465" s="1"/>
      <c r="B465" s="894" t="s">
        <v>1715</v>
      </c>
      <c r="C465" s="290">
        <f>C469*$M465/$M469</f>
        <v>116.53196300102775</v>
      </c>
      <c r="D465" s="177">
        <f>+D469*C465/C469</f>
        <v>2456.2322713257963</v>
      </c>
      <c r="E465" s="289">
        <f>E469*$M465/$M469</f>
        <v>117.92106885919836</v>
      </c>
      <c r="F465" s="912">
        <f>+F469*E465/E469</f>
        <v>2668.5743062692704</v>
      </c>
      <c r="G465" s="289">
        <f>G469*$M465/$M469</f>
        <v>119.29743062692704</v>
      </c>
      <c r="H465" s="177">
        <f>+H469*G465/G469</f>
        <v>2911.6295991778006</v>
      </c>
      <c r="I465" s="289">
        <f>I469*$M465/$M469</f>
        <v>120.89044193216856</v>
      </c>
      <c r="J465" s="177">
        <f>+J469*I465/I469</f>
        <v>3143.2534429599182</v>
      </c>
      <c r="K465" s="289">
        <f>K469*$M465/$M469</f>
        <v>122.61089414182941</v>
      </c>
      <c r="L465" s="177">
        <f>+L469*K465/K469</f>
        <v>3183.1424460431658</v>
      </c>
      <c r="M465" s="962">
        <v>124</v>
      </c>
      <c r="N465" s="177">
        <f>+N469*M465/M469</f>
        <v>3238.1586844809867</v>
      </c>
    </row>
    <row r="466" spans="1:15" ht="13">
      <c r="A466" s="1"/>
      <c r="B466" s="2"/>
      <c r="C466" s="290"/>
      <c r="D466" s="177"/>
      <c r="E466" s="289"/>
      <c r="F466" s="177"/>
      <c r="G466" s="289"/>
      <c r="H466" s="177"/>
      <c r="I466" s="289"/>
      <c r="J466" s="177"/>
      <c r="K466" s="289"/>
      <c r="L466" s="177"/>
      <c r="M466" s="289"/>
    </row>
    <row r="467" spans="1:15" ht="13">
      <c r="A467" s="1">
        <v>704</v>
      </c>
      <c r="B467" s="2" t="s">
        <v>893</v>
      </c>
      <c r="C467" s="290">
        <f>VLOOKUP($A467,K0kommunestruktur2019!$A$4:$N$425,K0kommunestruktur2020altern!C$3,FALSE)</f>
        <v>43752</v>
      </c>
      <c r="D467" s="177">
        <f>VLOOKUP($A467,K0kommunestruktur2019!$A$4:$N$425,K0kommunestruktur2020altern!D$3,FALSE)</f>
        <v>1047148.9165001303</v>
      </c>
      <c r="E467" s="289">
        <f>VLOOKUP($A467,K0kommunestruktur2019!$A$4:$N$425,K0kommunestruktur2020altern!E$3,FALSE)</f>
        <v>44122</v>
      </c>
      <c r="F467" s="177">
        <f>VLOOKUP($A467,K0kommunestruktur2019!$A$4:$N$425,K0kommunestruktur2020altern!F$3,FALSE)</f>
        <v>1118454.1261950287</v>
      </c>
      <c r="G467" s="289">
        <f>VLOOKUP($A467,K0kommunestruktur2019!$A$4:$N$425,K0kommunestruktur2020altern!G$3,FALSE)</f>
        <v>44478</v>
      </c>
      <c r="H467" s="177">
        <f>VLOOKUP($A467,K0kommunestruktur2019!$A$4:$N$425,K0kommunestruktur2020altern!H$3,FALSE)</f>
        <v>1223169.533499185</v>
      </c>
      <c r="I467" s="289">
        <f>VLOOKUP($A467,K0kommunestruktur2019!$A$4:$N$425,K0kommunestruktur2020altern!I$3,FALSE)</f>
        <v>44922</v>
      </c>
      <c r="J467" s="177">
        <f>VLOOKUP($A467,K0kommunestruktur2019!$A$4:$N$425,K0kommunestruktur2020altern!J$3,FALSE)</f>
        <v>1293624</v>
      </c>
      <c r="K467" s="289">
        <f>VLOOKUP($A467,K0kommunestruktur2019!$A$4:$N$425,K0kommunestruktur2020altern!K$3,FALSE)</f>
        <v>45360</v>
      </c>
      <c r="L467" s="177">
        <f>VLOOKUP($A467,K0kommunestruktur2019!$A$4:$N$425,K0kommunestruktur2020altern!L$3,FALSE)</f>
        <v>1359854</v>
      </c>
      <c r="M467" s="289">
        <f>VLOOKUP($A467,K0kommunestruktur2019!$A$4:$N$425,K0kommunestruktur2020altern!M$3,FALSE)</f>
        <v>45976</v>
      </c>
      <c r="N467" s="177">
        <f>VLOOKUP($A467,K0kommunestruktur2019!$A$4:$N$425,K0kommunestruktur2020altern!N$3,FALSE)</f>
        <v>1430688</v>
      </c>
    </row>
    <row r="468" spans="1:15" ht="13">
      <c r="A468" s="1">
        <v>716</v>
      </c>
      <c r="B468" s="2" t="s">
        <v>350</v>
      </c>
      <c r="C468" s="290">
        <f>VLOOKUP($A468,K0kommunestruktur2019!$A$4:$N$425,K0kommunestruktur2020altern!C$3,FALSE)</f>
        <v>9144</v>
      </c>
      <c r="D468" s="177">
        <f>VLOOKUP($A468,K0kommunestruktur2019!$A$4:$N$425,K0kommunestruktur2020altern!D$3,FALSE)</f>
        <v>192735</v>
      </c>
      <c r="E468" s="289">
        <f>VLOOKUP($A468,K0kommunestruktur2019!$A$4:$N$425,K0kommunestruktur2020altern!E$3,FALSE)</f>
        <v>9253</v>
      </c>
      <c r="F468" s="177">
        <f>VLOOKUP($A468,K0kommunestruktur2019!$A$4:$N$425,K0kommunestruktur2020altern!F$3,FALSE)</f>
        <v>209397</v>
      </c>
      <c r="G468" s="289">
        <f>VLOOKUP($A468,K0kommunestruktur2019!$A$4:$N$425,K0kommunestruktur2020altern!G$3,FALSE)</f>
        <v>9361</v>
      </c>
      <c r="H468" s="177">
        <f>VLOOKUP($A468,K0kommunestruktur2019!$A$4:$N$425,K0kommunestruktur2020altern!H$3,FALSE)</f>
        <v>228469</v>
      </c>
      <c r="I468" s="289">
        <f>VLOOKUP($A468,K0kommunestruktur2019!$A$4:$N$425,K0kommunestruktur2020altern!I$3,FALSE)</f>
        <v>9486</v>
      </c>
      <c r="J468" s="177">
        <f>VLOOKUP($A468,K0kommunestruktur2019!$A$4:$N$425,K0kommunestruktur2020altern!J$3,FALSE)</f>
        <v>246644</v>
      </c>
      <c r="K468" s="289">
        <f>VLOOKUP($A468,K0kommunestruktur2019!$A$4:$N$425,K0kommunestruktur2020altern!K$3,FALSE)</f>
        <v>9621</v>
      </c>
      <c r="L468" s="177">
        <f>VLOOKUP($A468,K0kommunestruktur2019!$A$4:$N$425,K0kommunestruktur2020altern!L$3,FALSE)</f>
        <v>249774</v>
      </c>
      <c r="M468" s="289">
        <f>VLOOKUP($A468,K0kommunestruktur2019!$A$4:$N$425,K0kommunestruktur2020altern!M$3,FALSE)</f>
        <v>9730</v>
      </c>
      <c r="N468" s="177">
        <f>VLOOKUP($A468,K0kommunestruktur2019!$A$4:$N$425,K0kommunestruktur2020altern!N$3,FALSE)</f>
        <v>254091</v>
      </c>
    </row>
    <row r="469" spans="1:15" ht="13">
      <c r="A469" s="1"/>
      <c r="B469" s="894" t="s">
        <v>1718</v>
      </c>
      <c r="C469" s="290">
        <f>+C468*$M469/$M468</f>
        <v>-128.74902363823227</v>
      </c>
      <c r="D469" s="177">
        <f>+D468*C469/C468</f>
        <v>-2713.7404933196299</v>
      </c>
      <c r="E469" s="289">
        <f>+E468*$M469/$M468</f>
        <v>-130.28376156217882</v>
      </c>
      <c r="F469" s="912">
        <f>+F468*E469/E468</f>
        <v>-2948.3441932168548</v>
      </c>
      <c r="G469" s="289">
        <f>+G468*$M469/$M468</f>
        <v>-131.80441932168551</v>
      </c>
      <c r="H469" s="177">
        <f>+H468*G469/G468</f>
        <v>-3216.881089414183</v>
      </c>
      <c r="I469" s="289">
        <f>+I468*$M469/$M468</f>
        <v>-133.56443987667009</v>
      </c>
      <c r="J469" s="177">
        <f>+J468*I469/I468</f>
        <v>-3472.7880781089416</v>
      </c>
      <c r="K469" s="289">
        <f>+K468*$M469/$M468</f>
        <v>-135.46526207605345</v>
      </c>
      <c r="L469" s="177">
        <f>+L468*K469/K468</f>
        <v>-3516.8589928057559</v>
      </c>
      <c r="M469" s="962">
        <v>-137</v>
      </c>
      <c r="N469" s="177">
        <f>+N468*M469/M468</f>
        <v>-3577.6430626927031</v>
      </c>
    </row>
    <row r="470" spans="1:15" ht="13">
      <c r="A470" s="1"/>
      <c r="B470" s="885" t="s">
        <v>1839</v>
      </c>
      <c r="C470" s="290"/>
      <c r="D470" s="177"/>
      <c r="E470" s="289"/>
      <c r="F470" s="177"/>
      <c r="G470" s="289"/>
      <c r="H470" s="177"/>
      <c r="I470" s="289"/>
      <c r="J470" s="177"/>
      <c r="K470" s="289"/>
      <c r="L470" s="177"/>
      <c r="M470" s="289"/>
    </row>
    <row r="471" spans="1:15" ht="13">
      <c r="A471" s="1"/>
      <c r="B471" s="2"/>
      <c r="C471" s="290"/>
      <c r="D471" s="177"/>
      <c r="E471" s="289"/>
      <c r="F471" s="177"/>
      <c r="G471" s="289"/>
      <c r="H471" s="177"/>
      <c r="I471" s="289"/>
      <c r="J471" s="177"/>
      <c r="K471" s="289"/>
      <c r="L471" s="177"/>
      <c r="M471" s="289"/>
    </row>
    <row r="472" spans="1:15" ht="13">
      <c r="A472" s="1">
        <v>3808</v>
      </c>
      <c r="B472" s="2" t="s">
        <v>906</v>
      </c>
      <c r="C472" s="290">
        <f>VLOOKUP($A472,K0kommunestruktur2019!$A$4:$N$425,K0kommunestruktur2020altern!C$3,FALSE)</f>
        <v>12609</v>
      </c>
      <c r="D472" s="177">
        <f>VLOOKUP($A472,K0kommunestruktur2019!$A$4:$N$425,K0kommunestruktur2020altern!D$3,FALSE)</f>
        <v>260907</v>
      </c>
      <c r="E472" s="289">
        <f>VLOOKUP($A472,K0kommunestruktur2019!$A$4:$N$425,K0kommunestruktur2020altern!E$3,FALSE)</f>
        <v>12599</v>
      </c>
      <c r="F472" s="177">
        <f>VLOOKUP($A472,K0kommunestruktur2019!$A$4:$N$425,K0kommunestruktur2020altern!F$3,FALSE)</f>
        <v>277956</v>
      </c>
      <c r="G472" s="289">
        <f>VLOOKUP($A472,K0kommunestruktur2019!$A$4:$N$425,K0kommunestruktur2020altern!G$3,FALSE)</f>
        <v>12717</v>
      </c>
      <c r="H472" s="177">
        <f>VLOOKUP($A472,K0kommunestruktur2019!$A$4:$N$425,K0kommunestruktur2020altern!H$3,FALSE)</f>
        <v>301197</v>
      </c>
      <c r="I472" s="289">
        <f>VLOOKUP($A472,K0kommunestruktur2019!$A$4:$N$425,K0kommunestruktur2020altern!I$3,FALSE)</f>
        <v>12757</v>
      </c>
      <c r="J472" s="177">
        <f>VLOOKUP($A472,K0kommunestruktur2019!$A$4:$N$425,K0kommunestruktur2020altern!J$3,FALSE)</f>
        <v>303583</v>
      </c>
      <c r="K472" s="289">
        <f>VLOOKUP($A472,K0kommunestruktur2019!$A$4:$N$425,K0kommunestruktur2020altern!K$3,FALSE)</f>
        <v>12664</v>
      </c>
      <c r="L472" s="177">
        <f>VLOOKUP($A472,K0kommunestruktur2019!$A$4:$N$425,K0kommunestruktur2020altern!L$3,FALSE)</f>
        <v>311118</v>
      </c>
      <c r="M472" s="289">
        <f>VLOOKUP($A472,K0kommunestruktur2019!$A$4:$N$425,K0kommunestruktur2020altern!M$3,FALSE)</f>
        <v>12682</v>
      </c>
      <c r="N472" s="177">
        <f>VLOOKUP($A472,K0kommunestruktur2019!$A$4:$N$425,K0kommunestruktur2020altern!N$3,FALSE)</f>
        <v>330479</v>
      </c>
      <c r="O472" s="177"/>
    </row>
    <row r="473" spans="1:15" ht="13">
      <c r="A473" s="1"/>
      <c r="B473" s="894" t="s">
        <v>1720</v>
      </c>
      <c r="C473" s="290">
        <f t="shared" ref="C473:N473" si="60">-C477</f>
        <v>451.33938970416961</v>
      </c>
      <c r="D473" s="177">
        <f t="shared" si="60"/>
        <v>9006.7514558583734</v>
      </c>
      <c r="E473" s="289">
        <f t="shared" si="60"/>
        <v>453.53086419753089</v>
      </c>
      <c r="F473" s="912">
        <f t="shared" si="60"/>
        <v>9469.7787095271378</v>
      </c>
      <c r="G473" s="289">
        <f t="shared" si="60"/>
        <v>452.69601677148847</v>
      </c>
      <c r="H473" s="177">
        <f t="shared" si="60"/>
        <v>10068.781737712556</v>
      </c>
      <c r="I473" s="289">
        <f t="shared" si="60"/>
        <v>449.04355928255302</v>
      </c>
      <c r="J473" s="177">
        <f t="shared" si="60"/>
        <v>10767.34032145353</v>
      </c>
      <c r="K473" s="289">
        <f t="shared" si="60"/>
        <v>454.88749126484976</v>
      </c>
      <c r="L473" s="177">
        <f t="shared" si="60"/>
        <v>11104.827393431167</v>
      </c>
      <c r="M473" s="962">
        <f t="shared" si="60"/>
        <v>448</v>
      </c>
      <c r="N473" s="177">
        <f t="shared" si="60"/>
        <v>11294.442115071046</v>
      </c>
      <c r="O473" s="177"/>
    </row>
    <row r="474" spans="1:15" ht="13">
      <c r="A474" s="1"/>
      <c r="B474" s="2"/>
      <c r="C474" s="290"/>
      <c r="D474" s="177"/>
      <c r="E474" s="289"/>
      <c r="F474" s="177"/>
      <c r="G474" s="289"/>
      <c r="H474" s="177"/>
      <c r="I474" s="289"/>
      <c r="J474" s="177"/>
      <c r="K474" s="289"/>
      <c r="L474" s="177"/>
      <c r="M474" s="289"/>
    </row>
    <row r="475" spans="1:15" ht="13">
      <c r="A475" s="1">
        <v>821</v>
      </c>
      <c r="B475" s="2" t="s">
        <v>913</v>
      </c>
      <c r="C475" s="290">
        <f>VLOOKUP($A475,K0kommunestruktur2019!$A$4:$N$425,K0kommunestruktur2020altern!C$3,FALSE)</f>
        <v>5834</v>
      </c>
      <c r="D475" s="177">
        <f>VLOOKUP($A475,K0kommunestruktur2019!$A$4:$N$425,K0kommunestruktur2020altern!D$3,FALSE)</f>
        <v>112609</v>
      </c>
      <c r="E475" s="289">
        <f>VLOOKUP($A475,K0kommunestruktur2019!$A$4:$N$425,K0kommunestruktur2020altern!E$3,FALSE)</f>
        <v>5977</v>
      </c>
      <c r="F475" s="177">
        <f>VLOOKUP($A475,K0kommunestruktur2019!$A$4:$N$425,K0kommunestruktur2020altern!F$3,FALSE)</f>
        <v>120811</v>
      </c>
      <c r="G475" s="289">
        <f>VLOOKUP($A475,K0kommunestruktur2019!$A$4:$N$425,K0kommunestruktur2020altern!G$3,FALSE)</f>
        <v>6101</v>
      </c>
      <c r="H475" s="177">
        <f>VLOOKUP($A475,K0kommunestruktur2019!$A$4:$N$425,K0kommunestruktur2020altern!H$3,FALSE)</f>
        <v>132504</v>
      </c>
      <c r="I475" s="289">
        <f>VLOOKUP($A475,K0kommunestruktur2019!$A$4:$N$425,K0kommunestruktur2020altern!I$3,FALSE)</f>
        <v>6262</v>
      </c>
      <c r="J475" s="177">
        <f>VLOOKUP($A475,K0kommunestruktur2019!$A$4:$N$425,K0kommunestruktur2020altern!J$3,FALSE)</f>
        <v>141296</v>
      </c>
      <c r="K475" s="289">
        <f>VLOOKUP($A475,K0kommunestruktur2019!$A$4:$N$425,K0kommunestruktur2020altern!K$3,FALSE)</f>
        <v>6460</v>
      </c>
      <c r="L475" s="177">
        <f>VLOOKUP($A475,K0kommunestruktur2019!$A$4:$N$425,K0kommunestruktur2020altern!L$3,FALSE)</f>
        <v>151699</v>
      </c>
      <c r="M475" s="289">
        <f>VLOOKUP($A475,K0kommunestruktur2019!$A$4:$N$425,K0kommunestruktur2020altern!M$3,FALSE)</f>
        <v>6630</v>
      </c>
      <c r="N475" s="177">
        <f>VLOOKUP($A475,K0kommunestruktur2019!$A$4:$N$425,K0kommunestruktur2020altern!N$3,FALSE)</f>
        <v>157438</v>
      </c>
    </row>
    <row r="476" spans="1:15" ht="13">
      <c r="A476" s="1">
        <v>822</v>
      </c>
      <c r="B476" s="2" t="s">
        <v>914</v>
      </c>
      <c r="C476" s="290">
        <f>VLOOKUP($A476,K0kommunestruktur2019!$A$4:$N$425,K0kommunestruktur2020altern!C$3,FALSE)</f>
        <v>4325</v>
      </c>
      <c r="D476" s="177">
        <f>VLOOKUP($A476,K0kommunestruktur2019!$A$4:$N$425,K0kommunestruktur2020altern!D$3,FALSE)</f>
        <v>86308</v>
      </c>
      <c r="E476" s="289">
        <f>VLOOKUP($A476,K0kommunestruktur2019!$A$4:$N$425,K0kommunestruktur2020altern!E$3,FALSE)</f>
        <v>4346</v>
      </c>
      <c r="F476" s="177">
        <f>VLOOKUP($A476,K0kommunestruktur2019!$A$4:$N$425,K0kommunestruktur2020altern!F$3,FALSE)</f>
        <v>90745</v>
      </c>
      <c r="G476" s="289">
        <f>VLOOKUP($A476,K0kommunestruktur2019!$A$4:$N$425,K0kommunestruktur2020altern!G$3,FALSE)</f>
        <v>4338</v>
      </c>
      <c r="H476" s="177">
        <f>VLOOKUP($A476,K0kommunestruktur2019!$A$4:$N$425,K0kommunestruktur2020altern!H$3,FALSE)</f>
        <v>96485</v>
      </c>
      <c r="I476" s="289">
        <f>VLOOKUP($A476,K0kommunestruktur2019!$A$4:$N$425,K0kommunestruktur2020altern!I$3,FALSE)</f>
        <v>4303</v>
      </c>
      <c r="J476" s="177">
        <f>VLOOKUP($A476,K0kommunestruktur2019!$A$4:$N$425,K0kommunestruktur2020altern!J$3,FALSE)</f>
        <v>103179</v>
      </c>
      <c r="K476" s="289">
        <f>VLOOKUP($A476,K0kommunestruktur2019!$A$4:$N$425,K0kommunestruktur2020altern!K$3,FALSE)</f>
        <v>4359</v>
      </c>
      <c r="L476" s="177">
        <f>VLOOKUP($A476,K0kommunestruktur2019!$A$4:$N$425,K0kommunestruktur2020altern!L$3,FALSE)</f>
        <v>106413</v>
      </c>
      <c r="M476" s="289">
        <f>VLOOKUP($A476,K0kommunestruktur2019!$A$4:$N$425,K0kommunestruktur2020altern!M$3,FALSE)</f>
        <v>4293</v>
      </c>
      <c r="N476" s="177">
        <f>VLOOKUP($A476,K0kommunestruktur2019!$A$4:$N$425,K0kommunestruktur2020altern!N$3,FALSE)</f>
        <v>108230</v>
      </c>
    </row>
    <row r="477" spans="1:15" ht="13">
      <c r="A477" s="1"/>
      <c r="B477" s="894" t="s">
        <v>1720</v>
      </c>
      <c r="C477" s="290">
        <f>+C476*$M477/$M476</f>
        <v>-451.33938970416961</v>
      </c>
      <c r="D477" s="177">
        <f>+D476*C477/C476</f>
        <v>-9006.7514558583734</v>
      </c>
      <c r="E477" s="289">
        <f>+E476*$M477/$M476</f>
        <v>-453.53086419753089</v>
      </c>
      <c r="F477" s="912">
        <f>+F476*E477/E476</f>
        <v>-9469.7787095271378</v>
      </c>
      <c r="G477" s="289">
        <f>+G476*$M477/$M476</f>
        <v>-452.69601677148847</v>
      </c>
      <c r="H477" s="177">
        <f>+H476*G477/G476</f>
        <v>-10068.781737712556</v>
      </c>
      <c r="I477" s="289">
        <f>+I476*$M477/$M476</f>
        <v>-449.04355928255302</v>
      </c>
      <c r="J477" s="177">
        <f>+J476*I477/I476</f>
        <v>-10767.34032145353</v>
      </c>
      <c r="K477" s="289">
        <f>+K476*$M477/$M476</f>
        <v>-454.88749126484976</v>
      </c>
      <c r="L477" s="177">
        <f>+L476*K477/K476</f>
        <v>-11104.827393431167</v>
      </c>
      <c r="M477" s="962">
        <v>-448</v>
      </c>
      <c r="N477" s="177">
        <f>+N476*M477/M476</f>
        <v>-11294.442115071046</v>
      </c>
    </row>
    <row r="478" spans="1:15" ht="13">
      <c r="A478" s="1"/>
      <c r="B478" s="885" t="s">
        <v>1839</v>
      </c>
      <c r="C478" s="290"/>
      <c r="D478" s="177"/>
      <c r="E478" s="289"/>
      <c r="F478" s="177"/>
      <c r="G478" s="289"/>
      <c r="H478" s="177"/>
      <c r="I478" s="289"/>
      <c r="J478" s="177"/>
      <c r="K478" s="289"/>
      <c r="L478" s="177"/>
      <c r="M478" s="289"/>
    </row>
    <row r="479" spans="1:15" ht="13">
      <c r="A479" s="1"/>
      <c r="B479" s="2"/>
      <c r="C479" s="290"/>
      <c r="D479" s="177"/>
      <c r="E479" s="289"/>
      <c r="F479" s="177"/>
      <c r="G479" s="289"/>
      <c r="H479" s="177"/>
      <c r="I479" s="289"/>
      <c r="J479" s="177"/>
      <c r="K479" s="289"/>
      <c r="L479" s="177"/>
      <c r="M479" s="289"/>
    </row>
    <row r="480" spans="1:15" ht="13">
      <c r="A480" s="1">
        <v>1001</v>
      </c>
      <c r="B480" s="2" t="s">
        <v>942</v>
      </c>
      <c r="C480" s="290">
        <f>VLOOKUP($A480,K0kommunestruktur2019!$A$4:$N$425,K0kommunestruktur2020altern!C$3,FALSE)</f>
        <v>85983</v>
      </c>
      <c r="D480" s="177">
        <f>VLOOKUP($A480,K0kommunestruktur2019!$A$4:$N$425,K0kommunestruktur2020altern!D$3,FALSE)</f>
        <v>2050436</v>
      </c>
      <c r="E480" s="289">
        <f>VLOOKUP($A480,K0kommunestruktur2019!$A$4:$N$425,K0kommunestruktur2020altern!E$3,FALSE)</f>
        <v>87446</v>
      </c>
      <c r="F480" s="177">
        <f>VLOOKUP($A480,K0kommunestruktur2019!$A$4:$N$425,K0kommunestruktur2020altern!F$3,FALSE)</f>
        <v>2163880</v>
      </c>
      <c r="G480" s="289">
        <f>VLOOKUP($A480,K0kommunestruktur2019!$A$4:$N$425,K0kommunestruktur2020altern!G$3,FALSE)</f>
        <v>88447</v>
      </c>
      <c r="H480" s="177">
        <f>VLOOKUP($A480,K0kommunestruktur2019!$A$4:$N$425,K0kommunestruktur2020altern!H$3,FALSE)</f>
        <v>2332419</v>
      </c>
      <c r="I480" s="289">
        <f>VLOOKUP($A480,K0kommunestruktur2019!$A$4:$N$425,K0kommunestruktur2020altern!I$3,FALSE)</f>
        <v>89268</v>
      </c>
      <c r="J480" s="177">
        <f>VLOOKUP($A480,K0kommunestruktur2019!$A$4:$N$425,K0kommunestruktur2020altern!J$3,FALSE)</f>
        <v>2385821</v>
      </c>
      <c r="K480" s="289">
        <f>VLOOKUP($A480,K0kommunestruktur2019!$A$4:$N$425,K0kommunestruktur2020altern!K$3,FALSE)</f>
        <v>91440</v>
      </c>
      <c r="L480" s="177">
        <f>VLOOKUP($A480,K0kommunestruktur2019!$A$4:$N$425,K0kommunestruktur2020altern!L$3,FALSE)</f>
        <v>2526244</v>
      </c>
      <c r="M480" s="289">
        <f>VLOOKUP($A480,K0kommunestruktur2019!$A$4:$N$425,K0kommunestruktur2020altern!M$3,FALSE)</f>
        <v>92282</v>
      </c>
      <c r="N480" s="177">
        <f>VLOOKUP($A480,K0kommunestruktur2019!$A$4:$N$425,K0kommunestruktur2020altern!N$3,FALSE)</f>
        <v>2593992</v>
      </c>
    </row>
    <row r="481" spans="1:14" ht="13">
      <c r="A481" s="1">
        <v>1017</v>
      </c>
      <c r="B481" s="2" t="s">
        <v>948</v>
      </c>
      <c r="C481" s="290">
        <f>VLOOKUP($A481,K0kommunestruktur2019!$A$4:$N$425,K0kommunestruktur2020altern!C$3,FALSE)</f>
        <v>6303</v>
      </c>
      <c r="D481" s="177">
        <f>VLOOKUP($A481,K0kommunestruktur2019!$A$4:$N$425,K0kommunestruktur2020altern!D$3,FALSE)</f>
        <v>112742</v>
      </c>
      <c r="E481" s="289">
        <f>VLOOKUP($A481,K0kommunestruktur2019!$A$4:$N$425,K0kommunestruktur2020altern!E$3,FALSE)</f>
        <v>6354</v>
      </c>
      <c r="F481" s="177">
        <f>VLOOKUP($A481,K0kommunestruktur2019!$A$4:$N$425,K0kommunestruktur2020altern!F$3,FALSE)</f>
        <v>118509</v>
      </c>
      <c r="G481" s="289">
        <f>VLOOKUP($A481,K0kommunestruktur2019!$A$4:$N$425,K0kommunestruktur2020altern!G$3,FALSE)</f>
        <v>6419</v>
      </c>
      <c r="H481" s="177">
        <f>VLOOKUP($A481,K0kommunestruktur2019!$A$4:$N$425,K0kommunestruktur2020altern!H$3,FALSE)</f>
        <v>131403</v>
      </c>
      <c r="I481" s="289">
        <f>VLOOKUP($A481,K0kommunestruktur2019!$A$4:$N$425,K0kommunestruktur2020altern!I$3,FALSE)</f>
        <v>6568</v>
      </c>
      <c r="J481" s="177">
        <f>VLOOKUP($A481,K0kommunestruktur2019!$A$4:$N$425,K0kommunestruktur2020altern!J$3,FALSE)</f>
        <v>133870</v>
      </c>
      <c r="K481" s="289">
        <f>VLOOKUP($A481,K0kommunestruktur2019!$A$4:$N$425,K0kommunestruktur2020altern!K$3,FALSE)</f>
        <v>6656</v>
      </c>
      <c r="L481" s="177">
        <f>VLOOKUP($A481,K0kommunestruktur2019!$A$4:$N$425,K0kommunestruktur2020altern!L$3,FALSE)</f>
        <v>137623</v>
      </c>
      <c r="M481" s="289">
        <f>VLOOKUP($A481,K0kommunestruktur2019!$A$4:$N$425,K0kommunestruktur2020altern!M$3,FALSE)</f>
        <v>6706</v>
      </c>
      <c r="N481" s="177">
        <f>VLOOKUP($A481,K0kommunestruktur2019!$A$4:$N$425,K0kommunestruktur2020altern!N$3,FALSE)</f>
        <v>146015</v>
      </c>
    </row>
    <row r="482" spans="1:14" ht="13">
      <c r="A482" s="1">
        <v>1018</v>
      </c>
      <c r="B482" s="2" t="s">
        <v>949</v>
      </c>
      <c r="C482" s="290">
        <f>VLOOKUP($A482,K0kommunestruktur2019!$A$4:$N$425,K0kommunestruktur2020altern!C$3,FALSE)</f>
        <v>11005</v>
      </c>
      <c r="D482" s="177">
        <f>VLOOKUP($A482,K0kommunestruktur2019!$A$4:$N$425,K0kommunestruktur2020altern!D$3,FALSE)</f>
        <v>241993</v>
      </c>
      <c r="E482" s="289">
        <f>VLOOKUP($A482,K0kommunestruktur2019!$A$4:$N$425,K0kommunestruktur2020altern!E$3,FALSE)</f>
        <v>11217</v>
      </c>
      <c r="F482" s="177">
        <f>VLOOKUP($A482,K0kommunestruktur2019!$A$4:$N$425,K0kommunestruktur2020altern!F$3,FALSE)</f>
        <v>258365</v>
      </c>
      <c r="G482" s="289">
        <f>VLOOKUP($A482,K0kommunestruktur2019!$A$4:$N$425,K0kommunestruktur2020altern!G$3,FALSE)</f>
        <v>11260</v>
      </c>
      <c r="H482" s="177">
        <f>VLOOKUP($A482,K0kommunestruktur2019!$A$4:$N$425,K0kommunestruktur2020altern!H$3,FALSE)</f>
        <v>281709</v>
      </c>
      <c r="I482" s="289">
        <f>VLOOKUP($A482,K0kommunestruktur2019!$A$4:$N$425,K0kommunestruktur2020altern!I$3,FALSE)</f>
        <v>11321</v>
      </c>
      <c r="J482" s="177">
        <f>VLOOKUP($A482,K0kommunestruktur2019!$A$4:$N$425,K0kommunestruktur2020altern!J$3,FALSE)</f>
        <v>282473</v>
      </c>
      <c r="K482" s="289">
        <f>VLOOKUP($A482,K0kommunestruktur2019!$A$4:$N$425,K0kommunestruktur2020altern!K$3,FALSE)</f>
        <v>11342</v>
      </c>
      <c r="L482" s="177">
        <f>VLOOKUP($A482,K0kommunestruktur2019!$A$4:$N$425,K0kommunestruktur2020altern!L$3,FALSE)</f>
        <v>304309</v>
      </c>
      <c r="M482" s="289">
        <f>VLOOKUP($A482,K0kommunestruktur2019!$A$4:$N$425,K0kommunestruktur2020altern!M$3,FALSE)</f>
        <v>11403</v>
      </c>
      <c r="N482" s="177">
        <f>VLOOKUP($A482,K0kommunestruktur2019!$A$4:$N$425,K0kommunestruktur2020altern!N$3,FALSE)</f>
        <v>311780</v>
      </c>
    </row>
    <row r="483" spans="1:14" ht="13">
      <c r="A483" s="1"/>
      <c r="B483" s="2"/>
      <c r="C483" s="290"/>
      <c r="D483" s="177"/>
      <c r="E483" s="289"/>
      <c r="F483" s="177"/>
      <c r="G483" s="289"/>
      <c r="H483" s="177"/>
      <c r="I483" s="289"/>
      <c r="J483" s="177"/>
      <c r="K483" s="289"/>
      <c r="L483" s="177"/>
      <c r="M483" s="289"/>
    </row>
    <row r="484" spans="1:14" ht="13">
      <c r="A484" s="1">
        <v>1002</v>
      </c>
      <c r="B484" s="2" t="s">
        <v>943</v>
      </c>
      <c r="C484" s="290">
        <f>VLOOKUP($A484,K0kommunestruktur2019!$A$4:$N$425,K0kommunestruktur2020altern!C$3,FALSE)</f>
        <v>15349</v>
      </c>
      <c r="D484" s="177">
        <f>VLOOKUP($A484,K0kommunestruktur2019!$A$4:$N$425,K0kommunestruktur2020altern!D$3,FALSE)</f>
        <v>313328</v>
      </c>
      <c r="E484" s="289">
        <f>VLOOKUP($A484,K0kommunestruktur2019!$A$4:$N$425,K0kommunestruktur2020altern!E$3,FALSE)</f>
        <v>15437</v>
      </c>
      <c r="F484" s="177">
        <f>VLOOKUP($A484,K0kommunestruktur2019!$A$4:$N$425,K0kommunestruktur2020altern!F$3,FALSE)</f>
        <v>334306</v>
      </c>
      <c r="G484" s="289">
        <f>VLOOKUP($A484,K0kommunestruktur2019!$A$4:$N$425,K0kommunestruktur2020altern!G$3,FALSE)</f>
        <v>15529</v>
      </c>
      <c r="H484" s="177">
        <f>VLOOKUP($A484,K0kommunestruktur2019!$A$4:$N$425,K0kommunestruktur2020altern!H$3,FALSE)</f>
        <v>365513</v>
      </c>
      <c r="I484" s="289">
        <f>VLOOKUP($A484,K0kommunestruktur2019!$A$4:$N$425,K0kommunestruktur2020altern!I$3,FALSE)</f>
        <v>15600</v>
      </c>
      <c r="J484" s="177">
        <f>VLOOKUP($A484,K0kommunestruktur2019!$A$4:$N$425,K0kommunestruktur2020altern!J$3,FALSE)</f>
        <v>384424</v>
      </c>
      <c r="K484" s="289">
        <f>VLOOKUP($A484,K0kommunestruktur2019!$A$4:$N$425,K0kommunestruktur2020altern!K$3,FALSE)</f>
        <v>15659</v>
      </c>
      <c r="L484" s="177">
        <f>VLOOKUP($A484,K0kommunestruktur2019!$A$4:$N$425,K0kommunestruktur2020altern!L$3,FALSE)</f>
        <v>398288</v>
      </c>
      <c r="M484" s="289">
        <f>VLOOKUP($A484,K0kommunestruktur2019!$A$4:$N$425,K0kommunestruktur2020altern!M$3,FALSE)</f>
        <v>15659</v>
      </c>
      <c r="N484" s="177">
        <f>VLOOKUP($A484,K0kommunestruktur2019!$A$4:$N$425,K0kommunestruktur2020altern!N$3,FALSE)</f>
        <v>413427</v>
      </c>
    </row>
    <row r="485" spans="1:14" ht="13">
      <c r="A485" s="1">
        <v>1021</v>
      </c>
      <c r="B485" s="2" t="s">
        <v>1789</v>
      </c>
      <c r="C485" s="290">
        <f>VLOOKUP($A485,K0kommunestruktur2019!$A$4:$N$425,K0kommunestruktur2020altern!C$3,FALSE)</f>
        <v>2290</v>
      </c>
      <c r="D485" s="177">
        <f>VLOOKUP($A485,K0kommunestruktur2019!$A$4:$N$425,K0kommunestruktur2020altern!D$3,FALSE)</f>
        <v>43815</v>
      </c>
      <c r="E485" s="289">
        <f>VLOOKUP($A485,K0kommunestruktur2019!$A$4:$N$425,K0kommunestruktur2020altern!E$3,FALSE)</f>
        <v>2294</v>
      </c>
      <c r="F485" s="177">
        <f>VLOOKUP($A485,K0kommunestruktur2019!$A$4:$N$425,K0kommunestruktur2020altern!F$3,FALSE)</f>
        <v>45348</v>
      </c>
      <c r="G485" s="289">
        <f>VLOOKUP($A485,K0kommunestruktur2019!$A$4:$N$425,K0kommunestruktur2020altern!G$3,FALSE)</f>
        <v>2290</v>
      </c>
      <c r="H485" s="177">
        <f>VLOOKUP($A485,K0kommunestruktur2019!$A$4:$N$425,K0kommunestruktur2020altern!H$3,FALSE)</f>
        <v>49083</v>
      </c>
      <c r="I485" s="289">
        <f>VLOOKUP($A485,K0kommunestruktur2019!$A$4:$N$425,K0kommunestruktur2020altern!I$3,FALSE)</f>
        <v>2309</v>
      </c>
      <c r="J485" s="177">
        <f>VLOOKUP($A485,K0kommunestruktur2019!$A$4:$N$425,K0kommunestruktur2020altern!J$3,FALSE)</f>
        <v>51262</v>
      </c>
      <c r="K485" s="289">
        <f>VLOOKUP($A485,K0kommunestruktur2019!$A$4:$N$425,K0kommunestruktur2020altern!K$3,FALSE)</f>
        <v>2308</v>
      </c>
      <c r="L485" s="177">
        <f>VLOOKUP($A485,K0kommunestruktur2019!$A$4:$N$425,K0kommunestruktur2020altern!L$3,FALSE)</f>
        <v>54166</v>
      </c>
      <c r="M485" s="289">
        <f>VLOOKUP($A485,K0kommunestruktur2019!$A$4:$N$425,K0kommunestruktur2020altern!M$3,FALSE)</f>
        <v>2297</v>
      </c>
      <c r="N485" s="177">
        <f>VLOOKUP($A485,K0kommunestruktur2019!$A$4:$N$425,K0kommunestruktur2020altern!N$3,FALSE)</f>
        <v>60047</v>
      </c>
    </row>
    <row r="486" spans="1:14" ht="13">
      <c r="A486" s="1">
        <v>1029</v>
      </c>
      <c r="B486" s="2" t="s">
        <v>953</v>
      </c>
      <c r="C486" s="290">
        <f>VLOOKUP($A486,K0kommunestruktur2019!$A$4:$N$425,K0kommunestruktur2020altern!C$3,FALSE)</f>
        <v>4853</v>
      </c>
      <c r="D486" s="177">
        <f>VLOOKUP($A486,K0kommunestruktur2019!$A$4:$N$425,K0kommunestruktur2020altern!D$3,FALSE)</f>
        <v>89908</v>
      </c>
      <c r="E486" s="289">
        <f>VLOOKUP($A486,K0kommunestruktur2019!$A$4:$N$425,K0kommunestruktur2020altern!E$3,FALSE)</f>
        <v>4880</v>
      </c>
      <c r="F486" s="177">
        <f>VLOOKUP($A486,K0kommunestruktur2019!$A$4:$N$425,K0kommunestruktur2020altern!F$3,FALSE)</f>
        <v>101144</v>
      </c>
      <c r="G486" s="289">
        <f>VLOOKUP($A486,K0kommunestruktur2019!$A$4:$N$425,K0kommunestruktur2020altern!G$3,FALSE)</f>
        <v>4943</v>
      </c>
      <c r="H486" s="177">
        <f>VLOOKUP($A486,K0kommunestruktur2019!$A$4:$N$425,K0kommunestruktur2020altern!H$3,FALSE)</f>
        <v>111945</v>
      </c>
      <c r="I486" s="289">
        <f>VLOOKUP($A486,K0kommunestruktur2019!$A$4:$N$425,K0kommunestruktur2020altern!I$3,FALSE)</f>
        <v>4950</v>
      </c>
      <c r="J486" s="177">
        <f>VLOOKUP($A486,K0kommunestruktur2019!$A$4:$N$425,K0kommunestruktur2020altern!J$3,FALSE)</f>
        <v>116255</v>
      </c>
      <c r="K486" s="289">
        <f>VLOOKUP($A486,K0kommunestruktur2019!$A$4:$N$425,K0kommunestruktur2020altern!K$3,FALSE)</f>
        <v>4938</v>
      </c>
      <c r="L486" s="177">
        <f>VLOOKUP($A486,K0kommunestruktur2019!$A$4:$N$425,K0kommunestruktur2020altern!L$3,FALSE)</f>
        <v>113860</v>
      </c>
      <c r="M486" s="289">
        <f>VLOOKUP($A486,K0kommunestruktur2019!$A$4:$N$425,K0kommunestruktur2020altern!M$3,FALSE)</f>
        <v>4953</v>
      </c>
      <c r="N486" s="177">
        <f>VLOOKUP($A486,K0kommunestruktur2019!$A$4:$N$425,K0kommunestruktur2020altern!N$3,FALSE)</f>
        <v>122123</v>
      </c>
    </row>
    <row r="487" spans="1:14" ht="13">
      <c r="A487" s="1"/>
      <c r="B487" s="2"/>
      <c r="C487" s="290"/>
      <c r="D487" s="177"/>
      <c r="E487" s="289"/>
      <c r="F487" s="177"/>
      <c r="G487" s="289"/>
      <c r="H487" s="177"/>
      <c r="I487" s="289"/>
      <c r="J487" s="177"/>
      <c r="K487" s="289"/>
      <c r="L487" s="177"/>
      <c r="M487" s="289"/>
    </row>
    <row r="488" spans="1:14" ht="13">
      <c r="A488" s="1">
        <v>1027</v>
      </c>
      <c r="B488" s="2" t="s">
        <v>952</v>
      </c>
      <c r="C488" s="290">
        <f>VLOOKUP($A488,K0kommunestruktur2019!$A$4:$N$425,K0kommunestruktur2020altern!C$3,FALSE)</f>
        <v>1743</v>
      </c>
      <c r="D488" s="177">
        <f>VLOOKUP($A488,K0kommunestruktur2019!$A$4:$N$425,K0kommunestruktur2020altern!D$3,FALSE)</f>
        <v>33183</v>
      </c>
      <c r="E488" s="289">
        <f>VLOOKUP($A488,K0kommunestruktur2019!$A$4:$N$425,K0kommunestruktur2020altern!E$3,FALSE)</f>
        <v>1750</v>
      </c>
      <c r="F488" s="177">
        <f>VLOOKUP($A488,K0kommunestruktur2019!$A$4:$N$425,K0kommunestruktur2020altern!F$3,FALSE)</f>
        <v>34621</v>
      </c>
      <c r="G488" s="289">
        <f>VLOOKUP($A488,K0kommunestruktur2019!$A$4:$N$425,K0kommunestruktur2020altern!G$3,FALSE)</f>
        <v>1750</v>
      </c>
      <c r="H488" s="177">
        <f>VLOOKUP($A488,K0kommunestruktur2019!$A$4:$N$425,K0kommunestruktur2020altern!H$3,FALSE)</f>
        <v>36874</v>
      </c>
      <c r="I488" s="289">
        <f>VLOOKUP($A488,K0kommunestruktur2019!$A$4:$N$425,K0kommunestruktur2020altern!I$3,FALSE)</f>
        <v>1765</v>
      </c>
      <c r="J488" s="177">
        <f>VLOOKUP($A488,K0kommunestruktur2019!$A$4:$N$425,K0kommunestruktur2020altern!J$3,FALSE)</f>
        <v>38548</v>
      </c>
      <c r="K488" s="289">
        <f>VLOOKUP($A488,K0kommunestruktur2019!$A$4:$N$425,K0kommunestruktur2020altern!K$3,FALSE)</f>
        <v>1786</v>
      </c>
      <c r="L488" s="177">
        <f>VLOOKUP($A488,K0kommunestruktur2019!$A$4:$N$425,K0kommunestruktur2020altern!L$3,FALSE)</f>
        <v>40485</v>
      </c>
      <c r="M488" s="289">
        <f>VLOOKUP($A488,K0kommunestruktur2019!$A$4:$N$425,K0kommunestruktur2020altern!M$3,FALSE)</f>
        <v>1780</v>
      </c>
      <c r="N488" s="177">
        <f>VLOOKUP($A488,K0kommunestruktur2019!$A$4:$N$425,K0kommunestruktur2020altern!N$3,FALSE)</f>
        <v>42130</v>
      </c>
    </row>
    <row r="489" spans="1:14" ht="13">
      <c r="A489" s="1">
        <v>1032</v>
      </c>
      <c r="B489" s="2" t="s">
        <v>954</v>
      </c>
      <c r="C489" s="290">
        <f>VLOOKUP($A489,K0kommunestruktur2019!$A$4:$N$425,K0kommunestruktur2020altern!C$3,FALSE)</f>
        <v>8102</v>
      </c>
      <c r="D489" s="177">
        <f>VLOOKUP($A489,K0kommunestruktur2019!$A$4:$N$425,K0kommunestruktur2020altern!D$3,FALSE)</f>
        <v>157009</v>
      </c>
      <c r="E489" s="289">
        <f>VLOOKUP($A489,K0kommunestruktur2019!$A$4:$N$425,K0kommunestruktur2020altern!E$3,FALSE)</f>
        <v>8335</v>
      </c>
      <c r="F489" s="177">
        <f>VLOOKUP($A489,K0kommunestruktur2019!$A$4:$N$425,K0kommunestruktur2020altern!F$3,FALSE)</f>
        <v>164864</v>
      </c>
      <c r="G489" s="289">
        <f>VLOOKUP($A489,K0kommunestruktur2019!$A$4:$N$425,K0kommunestruktur2020altern!G$3,FALSE)</f>
        <v>8497</v>
      </c>
      <c r="H489" s="177">
        <f>VLOOKUP($A489,K0kommunestruktur2019!$A$4:$N$425,K0kommunestruktur2020altern!H$3,FALSE)</f>
        <v>180492</v>
      </c>
      <c r="I489" s="289">
        <f>VLOOKUP($A489,K0kommunestruktur2019!$A$4:$N$425,K0kommunestruktur2020altern!I$3,FALSE)</f>
        <v>8588</v>
      </c>
      <c r="J489" s="177">
        <f>VLOOKUP($A489,K0kommunestruktur2019!$A$4:$N$425,K0kommunestruktur2020altern!J$3,FALSE)</f>
        <v>190773</v>
      </c>
      <c r="K489" s="289">
        <f>VLOOKUP($A489,K0kommunestruktur2019!$A$4:$N$425,K0kommunestruktur2020altern!K$3,FALSE)</f>
        <v>8571</v>
      </c>
      <c r="L489" s="177">
        <f>VLOOKUP($A489,K0kommunestruktur2019!$A$4:$N$425,K0kommunestruktur2020altern!L$3,FALSE)</f>
        <v>195683</v>
      </c>
      <c r="M489" s="289">
        <f>VLOOKUP($A489,K0kommunestruktur2019!$A$4:$N$425,K0kommunestruktur2020altern!M$3,FALSE)</f>
        <v>8609</v>
      </c>
      <c r="N489" s="177">
        <f>VLOOKUP($A489,K0kommunestruktur2019!$A$4:$N$425,K0kommunestruktur2020altern!N$3,FALSE)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VLOOKUP($A491,K0kommunestruktur2019!$A$4:$N$425,K0kommunestruktur2020altern!C$3,FALSE)</f>
        <v>11779</v>
      </c>
      <c r="D491" s="177">
        <f>VLOOKUP($A491,K0kommunestruktur2019!$A$4:$N$425,K0kommunestruktur2020altern!D$3,FALSE)</f>
        <v>288423</v>
      </c>
      <c r="E491" s="289">
        <f>VLOOKUP($A491,K0kommunestruktur2019!$A$4:$N$425,K0kommunestruktur2020altern!E$3,FALSE)</f>
        <v>11862</v>
      </c>
      <c r="F491" s="177">
        <f>VLOOKUP($A491,K0kommunestruktur2019!$A$4:$N$425,K0kommunestruktur2020altern!F$3,FALSE)</f>
        <v>300441</v>
      </c>
      <c r="G491" s="289">
        <f>VLOOKUP($A491,K0kommunestruktur2019!$A$4:$N$425,K0kommunestruktur2020altern!G$3,FALSE)</f>
        <v>11923</v>
      </c>
      <c r="H491" s="177">
        <f>VLOOKUP($A491,K0kommunestruktur2019!$A$4:$N$425,K0kommunestruktur2020altern!H$3,FALSE)</f>
        <v>325784</v>
      </c>
      <c r="I491" s="289">
        <f>VLOOKUP($A491,K0kommunestruktur2019!$A$4:$N$425,K0kommunestruktur2020altern!I$3,FALSE)</f>
        <v>11999</v>
      </c>
      <c r="J491" s="177">
        <f>VLOOKUP($A491,K0kommunestruktur2019!$A$4:$N$425,K0kommunestruktur2020altern!J$3,FALSE)</f>
        <v>325879</v>
      </c>
      <c r="K491" s="289">
        <f>VLOOKUP($A491,K0kommunestruktur2019!$A$4:$N$425,K0kommunestruktur2020altern!K$3,FALSE)</f>
        <v>11988</v>
      </c>
      <c r="L491" s="177">
        <f>VLOOKUP($A491,K0kommunestruktur2019!$A$4:$N$425,K0kommunestruktur2020altern!L$3,FALSE)</f>
        <v>333690</v>
      </c>
      <c r="M491" s="289">
        <f>VLOOKUP($A491,K0kommunestruktur2019!$A$4:$N$425,K0kommunestruktur2020altern!M$3,FALSE)</f>
        <v>11852</v>
      </c>
      <c r="N491" s="177">
        <f>VLOOKUP($A491,K0kommunestruktur2019!$A$4:$N$425,K0kommunestruktur2020altern!N$3,FALSE)</f>
        <v>364786</v>
      </c>
    </row>
    <row r="492" spans="1:14" ht="13">
      <c r="A492" s="1">
        <v>1439</v>
      </c>
      <c r="B492" s="2" t="s">
        <v>78</v>
      </c>
      <c r="C492" s="290">
        <f>VLOOKUP($A492,K0kommunestruktur2019!$A$4:$N$425,K0kommunestruktur2020altern!C$3,FALSE)</f>
        <v>6091</v>
      </c>
      <c r="D492" s="177">
        <f>VLOOKUP($A492,K0kommunestruktur2019!$A$4:$N$425,K0kommunestruktur2020altern!D$3,FALSE)</f>
        <v>139692</v>
      </c>
      <c r="E492" s="289">
        <f>VLOOKUP($A492,K0kommunestruktur2019!$A$4:$N$425,K0kommunestruktur2020altern!E$3,FALSE)</f>
        <v>6082</v>
      </c>
      <c r="F492" s="177">
        <f>VLOOKUP($A492,K0kommunestruktur2019!$A$4:$N$425,K0kommunestruktur2020altern!F$3,FALSE)</f>
        <v>143596</v>
      </c>
      <c r="G492" s="289">
        <f>VLOOKUP($A492,K0kommunestruktur2019!$A$4:$N$425,K0kommunestruktur2020altern!G$3,FALSE)</f>
        <v>6046</v>
      </c>
      <c r="H492" s="177">
        <f>VLOOKUP($A492,K0kommunestruktur2019!$A$4:$N$425,K0kommunestruktur2020altern!H$3,FALSE)</f>
        <v>155147</v>
      </c>
      <c r="I492" s="289">
        <f>VLOOKUP($A492,K0kommunestruktur2019!$A$4:$N$425,K0kommunestruktur2020altern!I$3,FALSE)</f>
        <v>6031</v>
      </c>
      <c r="J492" s="177">
        <f>VLOOKUP($A492,K0kommunestruktur2019!$A$4:$N$425,K0kommunestruktur2020altern!J$3,FALSE)</f>
        <v>161472</v>
      </c>
      <c r="K492" s="289">
        <f>VLOOKUP($A492,K0kommunestruktur2019!$A$4:$N$425,K0kommunestruktur2020altern!K$3,FALSE)</f>
        <v>6001</v>
      </c>
      <c r="L492" s="177">
        <f>VLOOKUP($A492,K0kommunestruktur2019!$A$4:$N$425,K0kommunestruktur2020altern!L$3,FALSE)</f>
        <v>169038</v>
      </c>
      <c r="M492" s="289">
        <f>VLOOKUP($A492,K0kommunestruktur2019!$A$4:$N$425,K0kommunestruktur2020altern!M$3,FALSE)</f>
        <v>5970</v>
      </c>
      <c r="N492" s="177">
        <f>VLOOKUP($A492,K0kommunestruktur2019!$A$4:$N$425,K0kommunestruktur2020altern!N$3,FALSE)</f>
        <v>182486</v>
      </c>
    </row>
    <row r="493" spans="1:14" ht="13">
      <c r="A493" s="1"/>
      <c r="B493" s="894" t="s">
        <v>1733</v>
      </c>
      <c r="C493" s="290">
        <f>C492*$M493/$M492</f>
        <v>-525.43802345058623</v>
      </c>
      <c r="D493" s="177">
        <f>+D492*C493/C492</f>
        <v>-12050.482412060303</v>
      </c>
      <c r="E493" s="289">
        <f>E492*$M493/$M492</f>
        <v>-524.66164154103853</v>
      </c>
      <c r="F493" s="912">
        <f>+F492*E493/E492</f>
        <v>-12387.259631490786</v>
      </c>
      <c r="G493" s="289">
        <f>G492*$M493/$M492</f>
        <v>-521.55611390284753</v>
      </c>
      <c r="H493" s="177">
        <f>+H492*G493/G492</f>
        <v>-13383.702680066999</v>
      </c>
      <c r="I493" s="289">
        <f>I492*$M493/$M492</f>
        <v>-520.26214405360133</v>
      </c>
      <c r="J493" s="177">
        <f>+J492*I493/I492</f>
        <v>-13929.326633165829</v>
      </c>
      <c r="K493" s="289">
        <f>K492*$M493/$M492</f>
        <v>-517.67420435510883</v>
      </c>
      <c r="L493" s="177">
        <f>+L492*K493/K492</f>
        <v>-14582.005025125627</v>
      </c>
      <c r="M493" s="962">
        <v>-515</v>
      </c>
      <c r="N493" s="177">
        <f>+N492*M493/M492</f>
        <v>-15742.092127303182</v>
      </c>
    </row>
    <row r="494" spans="1:14" ht="13">
      <c r="A494" s="1"/>
      <c r="B494" s="885" t="s">
        <v>1839</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VLOOKUP($A496,K0kommunestruktur2019!$A$4:$N$425,K0kommunestruktur2020altern!C$3,FALSE)</f>
        <v>1094</v>
      </c>
      <c r="D496" s="177">
        <f>VLOOKUP($A496,K0kommunestruktur2019!$A$4:$N$425,K0kommunestruktur2020altern!D$3,FALSE)</f>
        <v>24740</v>
      </c>
      <c r="E496" s="289">
        <f>VLOOKUP($A496,K0kommunestruktur2019!$A$4:$N$425,K0kommunestruktur2020altern!E$3,FALSE)</f>
        <v>1100</v>
      </c>
      <c r="F496" s="177">
        <f>VLOOKUP($A496,K0kommunestruktur2019!$A$4:$N$425,K0kommunestruktur2020altern!F$3,FALSE)</f>
        <v>26495</v>
      </c>
      <c r="G496" s="289">
        <f>VLOOKUP($A496,K0kommunestruktur2019!$A$4:$N$425,K0kommunestruktur2020altern!G$3,FALSE)</f>
        <v>1104</v>
      </c>
      <c r="H496" s="177">
        <f>VLOOKUP($A496,K0kommunestruktur2019!$A$4:$N$425,K0kommunestruktur2020altern!H$3,FALSE)</f>
        <v>25475</v>
      </c>
      <c r="I496" s="289">
        <f>VLOOKUP($A496,K0kommunestruktur2019!$A$4:$N$425,K0kommunestruktur2020altern!I$3,FALSE)</f>
        <v>1108</v>
      </c>
      <c r="J496" s="177">
        <f>VLOOKUP($A496,K0kommunestruktur2019!$A$4:$N$425,K0kommunestruktur2020altern!J$3,FALSE)</f>
        <v>28232</v>
      </c>
      <c r="K496" s="289">
        <f>VLOOKUP($A496,K0kommunestruktur2019!$A$4:$N$425,K0kommunestruktur2020altern!K$3,FALSE)</f>
        <v>1096</v>
      </c>
      <c r="L496" s="177">
        <f>VLOOKUP($A496,K0kommunestruktur2019!$A$4:$N$425,K0kommunestruktur2020altern!L$3,FALSE)</f>
        <v>29975</v>
      </c>
      <c r="M496" s="289">
        <f>VLOOKUP($A496,K0kommunestruktur2019!$A$4:$N$425,K0kommunestruktur2020altern!M$3,FALSE)</f>
        <v>1087</v>
      </c>
      <c r="N496" s="177">
        <f>VLOOKUP($A496,K0kommunestruktur2019!$A$4:$N$425,K0kommunestruktur2020altern!N$3,FALSE)</f>
        <v>30456</v>
      </c>
    </row>
    <row r="497" spans="1:14" ht="13">
      <c r="A497" s="1">
        <v>1228</v>
      </c>
      <c r="B497" s="2" t="s">
        <v>32</v>
      </c>
      <c r="C497" s="290">
        <f>VLOOKUP($A497,K0kommunestruktur2019!$A$4:$N$425,K0kommunestruktur2020altern!C$3,FALSE)</f>
        <v>7006</v>
      </c>
      <c r="D497" s="177">
        <f>VLOOKUP($A497,K0kommunestruktur2019!$A$4:$N$425,K0kommunestruktur2020altern!D$3,FALSE)</f>
        <v>190264</v>
      </c>
      <c r="E497" s="289">
        <f>VLOOKUP($A497,K0kommunestruktur2019!$A$4:$N$425,K0kommunestruktur2020altern!E$3,FALSE)</f>
        <v>6952</v>
      </c>
      <c r="F497" s="177">
        <f>VLOOKUP($A497,K0kommunestruktur2019!$A$4:$N$425,K0kommunestruktur2020altern!F$3,FALSE)</f>
        <v>203101</v>
      </c>
      <c r="G497" s="289">
        <f>VLOOKUP($A497,K0kommunestruktur2019!$A$4:$N$425,K0kommunestruktur2020altern!G$3,FALSE)</f>
        <v>6930</v>
      </c>
      <c r="H497" s="177">
        <f>VLOOKUP($A497,K0kommunestruktur2019!$A$4:$N$425,K0kommunestruktur2020altern!H$3,FALSE)</f>
        <v>209148</v>
      </c>
      <c r="I497" s="289">
        <f>VLOOKUP($A497,K0kommunestruktur2019!$A$4:$N$425,K0kommunestruktur2020altern!I$3,FALSE)</f>
        <v>7025</v>
      </c>
      <c r="J497" s="177">
        <f>VLOOKUP($A497,K0kommunestruktur2019!$A$4:$N$425,K0kommunestruktur2020altern!J$3,FALSE)</f>
        <v>217927</v>
      </c>
      <c r="K497" s="289">
        <f>VLOOKUP($A497,K0kommunestruktur2019!$A$4:$N$425,K0kommunestruktur2020altern!K$3,FALSE)</f>
        <v>6835</v>
      </c>
      <c r="L497" s="177">
        <f>VLOOKUP($A497,K0kommunestruktur2019!$A$4:$N$425,K0kommunestruktur2020altern!L$3,FALSE)</f>
        <v>218966</v>
      </c>
      <c r="M497" s="289">
        <f>VLOOKUP($A497,K0kommunestruktur2019!$A$4:$N$425,K0kommunestruktur2020altern!M$3,FALSE)</f>
        <v>6745</v>
      </c>
      <c r="N497" s="177">
        <f>VLOOKUP($A497,K0kommunestruktur2019!$A$4:$N$425,K0kommunestruktur2020altern!N$3,FALSE)</f>
        <v>227221</v>
      </c>
    </row>
    <row r="498" spans="1:14" ht="13">
      <c r="A498" s="1">
        <v>1231</v>
      </c>
      <c r="B498" s="2" t="s">
        <v>33</v>
      </c>
      <c r="C498" s="290">
        <f>VLOOKUP($A498,K0kommunestruktur2019!$A$4:$N$425,K0kommunestruktur2020altern!C$3,FALSE)</f>
        <v>3369</v>
      </c>
      <c r="D498" s="177">
        <f>VLOOKUP($A498,K0kommunestruktur2019!$A$4:$N$425,K0kommunestruktur2020altern!D$3,FALSE)</f>
        <v>77431</v>
      </c>
      <c r="E498" s="289">
        <f>VLOOKUP($A498,K0kommunestruktur2019!$A$4:$N$425,K0kommunestruktur2020altern!E$3,FALSE)</f>
        <v>3411</v>
      </c>
      <c r="F498" s="177">
        <f>VLOOKUP($A498,K0kommunestruktur2019!$A$4:$N$425,K0kommunestruktur2020altern!F$3,FALSE)</f>
        <v>78866</v>
      </c>
      <c r="G498" s="289">
        <f>VLOOKUP($A498,K0kommunestruktur2019!$A$4:$N$425,K0kommunestruktur2020altern!G$3,FALSE)</f>
        <v>3401</v>
      </c>
      <c r="H498" s="177">
        <f>VLOOKUP($A498,K0kommunestruktur2019!$A$4:$N$425,K0kommunestruktur2020altern!H$3,FALSE)</f>
        <v>81214</v>
      </c>
      <c r="I498" s="289">
        <f>VLOOKUP($A498,K0kommunestruktur2019!$A$4:$N$425,K0kommunestruktur2020altern!I$3,FALSE)</f>
        <v>3377</v>
      </c>
      <c r="J498" s="177">
        <f>VLOOKUP($A498,K0kommunestruktur2019!$A$4:$N$425,K0kommunestruktur2020altern!J$3,FALSE)</f>
        <v>81965</v>
      </c>
      <c r="K498" s="289">
        <f>VLOOKUP($A498,K0kommunestruktur2019!$A$4:$N$425,K0kommunestruktur2020altern!K$3,FALSE)</f>
        <v>3363</v>
      </c>
      <c r="L498" s="177">
        <f>VLOOKUP($A498,K0kommunestruktur2019!$A$4:$N$425,K0kommunestruktur2020altern!L$3,FALSE)</f>
        <v>86913</v>
      </c>
      <c r="M498" s="289">
        <f>VLOOKUP($A498,K0kommunestruktur2019!$A$4:$N$425,K0kommunestruktur2020altern!M$3,FALSE)</f>
        <v>3320</v>
      </c>
      <c r="N498" s="177">
        <f>VLOOKUP($A498,K0kommunestruktur2019!$A$4:$N$425,K0kommunestruktur2020altern!N$3,FALSE)</f>
        <v>91437</v>
      </c>
    </row>
    <row r="499" spans="1:14" ht="13">
      <c r="A499" s="1"/>
      <c r="B499" s="894" t="s">
        <v>1737</v>
      </c>
      <c r="C499" s="290">
        <f>C498*$M499/$M498</f>
        <v>-69.003614457831318</v>
      </c>
      <c r="D499" s="177">
        <f>D500*C499/C498</f>
        <v>-1488.4383999999998</v>
      </c>
      <c r="E499" s="289">
        <f>E498*$M499/$M498</f>
        <v>-69.86385542168675</v>
      </c>
      <c r="F499" s="912">
        <f>F500*E499/E498</f>
        <v>-1516.9364216867471</v>
      </c>
      <c r="G499" s="289">
        <f>G498*$M499/$M498</f>
        <v>-69.659036144578309</v>
      </c>
      <c r="H499" s="177">
        <f>H500*G499/G498</f>
        <v>-1569.046234939759</v>
      </c>
      <c r="I499" s="289">
        <f>I498*$M499/$M498</f>
        <v>-69.167469879518066</v>
      </c>
      <c r="J499" s="177">
        <f>J500*I499/I498</f>
        <v>-1581.878203614458</v>
      </c>
      <c r="K499" s="289">
        <f>K498*$M499/$M498</f>
        <v>-68.880722891566265</v>
      </c>
      <c r="L499" s="177">
        <f>L500*K499/K498</f>
        <v>-1681.6686746987953</v>
      </c>
      <c r="M499" s="962">
        <v>-68</v>
      </c>
      <c r="N499" s="177">
        <f>N500*M499/M498</f>
        <v>-1769.3722891566265</v>
      </c>
    </row>
    <row r="500" spans="1:14" ht="13">
      <c r="A500" s="1"/>
      <c r="B500" s="885" t="s">
        <v>1844</v>
      </c>
      <c r="C500" s="290"/>
      <c r="D500" s="177">
        <v>72670.816000000006</v>
      </c>
      <c r="E500" s="289"/>
      <c r="F500" s="177">
        <v>74062.19</v>
      </c>
      <c r="G500" s="289"/>
      <c r="H500" s="177">
        <v>76606.375</v>
      </c>
      <c r="I500" s="289"/>
      <c r="J500" s="177">
        <v>77232.877000000008</v>
      </c>
      <c r="K500" s="289"/>
      <c r="L500" s="177">
        <v>82105</v>
      </c>
      <c r="M500" s="289"/>
      <c r="N500" s="177">
        <v>86387</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VLOOKUP($A502,K0kommunestruktur2019!$A$4:$N$425,K0kommunestruktur2020altern!C$3,FALSE)</f>
        <v>911</v>
      </c>
      <c r="D502" s="177">
        <f>VLOOKUP($A502,K0kommunestruktur2019!$A$4:$N$425,K0kommunestruktur2020altern!D$3,FALSE)</f>
        <v>18684</v>
      </c>
      <c r="E502" s="289">
        <f>VLOOKUP($A502,K0kommunestruktur2019!$A$4:$N$425,K0kommunestruktur2020altern!E$3,FALSE)</f>
        <v>921</v>
      </c>
      <c r="F502" s="177">
        <f>VLOOKUP($A502,K0kommunestruktur2019!$A$4:$N$425,K0kommunestruktur2020altern!F$3,FALSE)</f>
        <v>20189</v>
      </c>
      <c r="G502" s="289">
        <f>VLOOKUP($A502,K0kommunestruktur2019!$A$4:$N$425,K0kommunestruktur2020altern!G$3,FALSE)</f>
        <v>920</v>
      </c>
      <c r="H502" s="177">
        <f>VLOOKUP($A502,K0kommunestruktur2019!$A$4:$N$425,K0kommunestruktur2020altern!H$3,FALSE)</f>
        <v>20978</v>
      </c>
      <c r="I502" s="289">
        <f>VLOOKUP($A502,K0kommunestruktur2019!$A$4:$N$425,K0kommunestruktur2020altern!I$3,FALSE)</f>
        <v>933</v>
      </c>
      <c r="J502" s="177">
        <f>VLOOKUP($A502,K0kommunestruktur2019!$A$4:$N$425,K0kommunestruktur2020altern!J$3,FALSE)</f>
        <v>23163</v>
      </c>
      <c r="K502" s="289">
        <f>VLOOKUP($A502,K0kommunestruktur2019!$A$4:$N$425,K0kommunestruktur2020altern!K$3,FALSE)</f>
        <v>931</v>
      </c>
      <c r="L502" s="177">
        <f>VLOOKUP($A502,K0kommunestruktur2019!$A$4:$N$425,K0kommunestruktur2020altern!L$3,FALSE)</f>
        <v>22248</v>
      </c>
      <c r="M502" s="289">
        <f>VLOOKUP($A502,K0kommunestruktur2019!$A$4:$N$425,K0kommunestruktur2020altern!M$3,FALSE)</f>
        <v>937</v>
      </c>
      <c r="N502" s="177">
        <f>VLOOKUP($A502,K0kommunestruktur2019!$A$4:$N$425,K0kommunestruktur2020altern!N$3,FALSE)</f>
        <v>23115</v>
      </c>
    </row>
    <row r="503" spans="1:14" ht="13">
      <c r="A503" s="1">
        <v>1235</v>
      </c>
      <c r="B503" s="2" t="s">
        <v>37</v>
      </c>
      <c r="C503" s="290">
        <f>VLOOKUP($A503,K0kommunestruktur2019!$A$4:$N$425,K0kommunestruktur2020altern!C$3,FALSE)</f>
        <v>14168</v>
      </c>
      <c r="D503" s="177">
        <f>VLOOKUP($A503,K0kommunestruktur2019!$A$4:$N$425,K0kommunestruktur2020altern!D$3,FALSE)</f>
        <v>327718</v>
      </c>
      <c r="E503" s="289">
        <f>VLOOKUP($A503,K0kommunestruktur2019!$A$4:$N$425,K0kommunestruktur2020altern!E$3,FALSE)</f>
        <v>14347</v>
      </c>
      <c r="F503" s="177">
        <f>VLOOKUP($A503,K0kommunestruktur2019!$A$4:$N$425,K0kommunestruktur2020altern!F$3,FALSE)</f>
        <v>338868</v>
      </c>
      <c r="G503" s="289">
        <f>VLOOKUP($A503,K0kommunestruktur2019!$A$4:$N$425,K0kommunestruktur2020altern!G$3,FALSE)</f>
        <v>14425</v>
      </c>
      <c r="H503" s="177">
        <f>VLOOKUP($A503,K0kommunestruktur2019!$A$4:$N$425,K0kommunestruktur2020altern!H$3,FALSE)</f>
        <v>363063</v>
      </c>
      <c r="I503" s="289">
        <f>VLOOKUP($A503,K0kommunestruktur2019!$A$4:$N$425,K0kommunestruktur2020altern!I$3,FALSE)</f>
        <v>14514</v>
      </c>
      <c r="J503" s="177">
        <f>VLOOKUP($A503,K0kommunestruktur2019!$A$4:$N$425,K0kommunestruktur2020altern!J$3,FALSE)</f>
        <v>381225</v>
      </c>
      <c r="K503" s="289">
        <f>VLOOKUP($A503,K0kommunestruktur2019!$A$4:$N$425,K0kommunestruktur2020altern!K$3,FALSE)</f>
        <v>14577</v>
      </c>
      <c r="L503" s="177">
        <f>VLOOKUP($A503,K0kommunestruktur2019!$A$4:$N$425,K0kommunestruktur2020altern!L$3,FALSE)</f>
        <v>403939</v>
      </c>
      <c r="M503" s="289">
        <f>VLOOKUP($A503,K0kommunestruktur2019!$A$4:$N$425,K0kommunestruktur2020altern!M$3,FALSE)</f>
        <v>14606</v>
      </c>
      <c r="N503" s="177">
        <f>VLOOKUP($A503,K0kommunestruktur2019!$A$4:$N$425,K0kommunestruktur2020altern!N$3,FALSE)</f>
        <v>427963</v>
      </c>
    </row>
    <row r="504" spans="1:14" ht="13">
      <c r="A504" s="1"/>
      <c r="B504" s="894" t="s">
        <v>1737</v>
      </c>
      <c r="C504" s="290">
        <f t="shared" ref="C504:N504" si="61">-C499</f>
        <v>69.003614457831318</v>
      </c>
      <c r="D504" s="177">
        <f t="shared" si="61"/>
        <v>1488.4383999999998</v>
      </c>
      <c r="E504" s="289">
        <f t="shared" si="61"/>
        <v>69.86385542168675</v>
      </c>
      <c r="F504" s="912">
        <f t="shared" si="61"/>
        <v>1516.9364216867471</v>
      </c>
      <c r="G504" s="289">
        <f t="shared" si="61"/>
        <v>69.659036144578309</v>
      </c>
      <c r="H504" s="177">
        <f t="shared" si="61"/>
        <v>1569.046234939759</v>
      </c>
      <c r="I504" s="289">
        <f t="shared" si="61"/>
        <v>69.167469879518066</v>
      </c>
      <c r="J504" s="177">
        <f t="shared" si="61"/>
        <v>1581.878203614458</v>
      </c>
      <c r="K504" s="289">
        <f t="shared" si="61"/>
        <v>68.880722891566265</v>
      </c>
      <c r="L504" s="177">
        <f t="shared" si="61"/>
        <v>1681.6686746987953</v>
      </c>
      <c r="M504" s="962">
        <f t="shared" si="61"/>
        <v>68</v>
      </c>
      <c r="N504" s="177">
        <f t="shared" si="61"/>
        <v>1769.3722891566265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VLOOKUP($A506,K0kommunestruktur2019!$A$4:$N$425,K0kommunestruktur2020altern!C$3,FALSE)</f>
        <v>3829</v>
      </c>
      <c r="D506" s="177">
        <f>VLOOKUP($A506,K0kommunestruktur2019!$A$4:$N$425,K0kommunestruktur2020altern!D$3,FALSE)</f>
        <v>89922</v>
      </c>
      <c r="E506" s="289">
        <f>VLOOKUP($A506,K0kommunestruktur2019!$A$4:$N$425,K0kommunestruktur2020altern!E$3,FALSE)</f>
        <v>3838</v>
      </c>
      <c r="F506" s="177">
        <f>VLOOKUP($A506,K0kommunestruktur2019!$A$4:$N$425,K0kommunestruktur2020altern!F$3,FALSE)</f>
        <v>95486</v>
      </c>
      <c r="G506" s="289">
        <f>VLOOKUP($A506,K0kommunestruktur2019!$A$4:$N$425,K0kommunestruktur2020altern!G$3,FALSE)</f>
        <v>3876</v>
      </c>
      <c r="H506" s="177">
        <f>VLOOKUP($A506,K0kommunestruktur2019!$A$4:$N$425,K0kommunestruktur2020altern!H$3,FALSE)</f>
        <v>102650</v>
      </c>
      <c r="I506" s="289">
        <f>VLOOKUP($A506,K0kommunestruktur2019!$A$4:$N$425,K0kommunestruktur2020altern!I$3,FALSE)</f>
        <v>3895</v>
      </c>
      <c r="J506" s="177">
        <f>VLOOKUP($A506,K0kommunestruktur2019!$A$4:$N$425,K0kommunestruktur2020altern!J$3,FALSE)</f>
        <v>111546</v>
      </c>
      <c r="K506" s="289">
        <f>VLOOKUP($A506,K0kommunestruktur2019!$A$4:$N$425,K0kommunestruktur2020altern!K$3,FALSE)</f>
        <v>3920</v>
      </c>
      <c r="L506" s="177">
        <f>VLOOKUP($A506,K0kommunestruktur2019!$A$4:$N$425,K0kommunestruktur2020altern!L$3,FALSE)</f>
        <v>112231</v>
      </c>
      <c r="M506" s="289">
        <f>VLOOKUP($A506,K0kommunestruktur2019!$A$4:$N$425,K0kommunestruktur2020altern!M$3,FALSE)</f>
        <v>3861</v>
      </c>
      <c r="N506" s="177">
        <f>VLOOKUP($A506,K0kommunestruktur2019!$A$4:$N$425,K0kommunestruktur2020altern!N$3,FALSE)</f>
        <v>114901</v>
      </c>
    </row>
    <row r="507" spans="1:14" ht="13">
      <c r="A507" s="1">
        <v>1243</v>
      </c>
      <c r="B507" s="2" t="s">
        <v>844</v>
      </c>
      <c r="C507" s="290">
        <f>VLOOKUP($A507,K0kommunestruktur2019!$A$4:$N$425,K0kommunestruktur2020altern!C$3,FALSE)</f>
        <v>18678</v>
      </c>
      <c r="D507" s="177">
        <f>VLOOKUP($A507,K0kommunestruktur2019!$A$4:$N$425,K0kommunestruktur2020altern!D$3,FALSE)</f>
        <v>444878</v>
      </c>
      <c r="E507" s="289">
        <f>VLOOKUP($A507,K0kommunestruktur2019!$A$4:$N$425,K0kommunestruktur2020altern!E$3,FALSE)</f>
        <v>19097</v>
      </c>
      <c r="F507" s="177">
        <f>VLOOKUP($A507,K0kommunestruktur2019!$A$4:$N$425,K0kommunestruktur2020altern!F$3,FALSE)</f>
        <v>473653</v>
      </c>
      <c r="G507" s="289">
        <f>VLOOKUP($A507,K0kommunestruktur2019!$A$4:$N$425,K0kommunestruktur2020altern!G$3,FALSE)</f>
        <v>19742</v>
      </c>
      <c r="H507" s="177">
        <f>VLOOKUP($A507,K0kommunestruktur2019!$A$4:$N$425,K0kommunestruktur2020altern!H$3,FALSE)</f>
        <v>523893</v>
      </c>
      <c r="I507" s="289">
        <f>VLOOKUP($A507,K0kommunestruktur2019!$A$4:$N$425,K0kommunestruktur2020altern!I$3,FALSE)</f>
        <v>20152</v>
      </c>
      <c r="J507" s="177">
        <f>VLOOKUP($A507,K0kommunestruktur2019!$A$4:$N$425,K0kommunestruktur2020altern!J$3,FALSE)</f>
        <v>545538</v>
      </c>
      <c r="K507" s="289">
        <f>VLOOKUP($A507,K0kommunestruktur2019!$A$4:$N$425,K0kommunestruktur2020altern!K$3,FALSE)</f>
        <v>20573</v>
      </c>
      <c r="L507" s="177">
        <f>VLOOKUP($A507,K0kommunestruktur2019!$A$4:$N$425,K0kommunestruktur2020altern!L$3,FALSE)</f>
        <v>565744</v>
      </c>
      <c r="M507" s="289">
        <f>VLOOKUP($A507,K0kommunestruktur2019!$A$4:$N$425,K0kommunestruktur2020altern!M$3,FALSE)</f>
        <v>20804</v>
      </c>
      <c r="N507" s="177">
        <f>VLOOKUP($A507,K0kommunestruktur2019!$A$4:$N$425,K0kommunestruktur2020altern!N$3,FALSE)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VLOOKUP($A509,K0kommunestruktur2019!$A$4:$N$425,K0kommunestruktur2020altern!C$3,FALSE)</f>
        <v>6635</v>
      </c>
      <c r="D509" s="177">
        <f>VLOOKUP($A509,K0kommunestruktur2019!$A$4:$N$425,K0kommunestruktur2020altern!D$3,FALSE)</f>
        <v>151086</v>
      </c>
      <c r="E509" s="289">
        <f>VLOOKUP($A509,K0kommunestruktur2019!$A$4:$N$425,K0kommunestruktur2020altern!E$3,FALSE)</f>
        <v>6752</v>
      </c>
      <c r="F509" s="177">
        <f>VLOOKUP($A509,K0kommunestruktur2019!$A$4:$N$425,K0kommunestruktur2020altern!F$3,FALSE)</f>
        <v>156703</v>
      </c>
      <c r="G509" s="289">
        <f>VLOOKUP($A509,K0kommunestruktur2019!$A$4:$N$425,K0kommunestruktur2020altern!G$3,FALSE)</f>
        <v>6975</v>
      </c>
      <c r="H509" s="177">
        <f>VLOOKUP($A509,K0kommunestruktur2019!$A$4:$N$425,K0kommunestruktur2020altern!H$3,FALSE)</f>
        <v>168072</v>
      </c>
      <c r="I509" s="289">
        <f>VLOOKUP($A509,K0kommunestruktur2019!$A$4:$N$425,K0kommunestruktur2020altern!I$3,FALSE)</f>
        <v>7058</v>
      </c>
      <c r="J509" s="177">
        <f>VLOOKUP($A509,K0kommunestruktur2019!$A$4:$N$425,K0kommunestruktur2020altern!J$3,FALSE)</f>
        <v>172226</v>
      </c>
      <c r="K509" s="289">
        <f>VLOOKUP($A509,K0kommunestruktur2019!$A$4:$N$425,K0kommunestruktur2020altern!K$3,FALSE)</f>
        <v>7085</v>
      </c>
      <c r="L509" s="177">
        <f>VLOOKUP($A509,K0kommunestruktur2019!$A$4:$N$425,K0kommunestruktur2020altern!L$3,FALSE)</f>
        <v>181153</v>
      </c>
      <c r="M509" s="289">
        <f>VLOOKUP($A509,K0kommunestruktur2019!$A$4:$N$425,K0kommunestruktur2020altern!M$3,FALSE)</f>
        <v>7062</v>
      </c>
      <c r="N509" s="177">
        <f>VLOOKUP($A509,K0kommunestruktur2019!$A$4:$N$425,K0kommunestruktur2020altern!N$3,FALSE)</f>
        <v>186915</v>
      </c>
    </row>
    <row r="510" spans="1:14" ht="13">
      <c r="A510" s="1">
        <v>1246</v>
      </c>
      <c r="B510" s="2" t="s">
        <v>43</v>
      </c>
      <c r="C510" s="290">
        <f>VLOOKUP($A510,K0kommunestruktur2019!$A$4:$N$425,K0kommunestruktur2020altern!C$3,FALSE)</f>
        <v>23852</v>
      </c>
      <c r="D510" s="177">
        <f>VLOOKUP($A510,K0kommunestruktur2019!$A$4:$N$425,K0kommunestruktur2020altern!D$3,FALSE)</f>
        <v>612157</v>
      </c>
      <c r="E510" s="289">
        <f>VLOOKUP($A510,K0kommunestruktur2019!$A$4:$N$425,K0kommunestruktur2020altern!E$3,FALSE)</f>
        <v>24427</v>
      </c>
      <c r="F510" s="177">
        <f>VLOOKUP($A510,K0kommunestruktur2019!$A$4:$N$425,K0kommunestruktur2020altern!F$3,FALSE)</f>
        <v>637454</v>
      </c>
      <c r="G510" s="289">
        <f>VLOOKUP($A510,K0kommunestruktur2019!$A$4:$N$425,K0kommunestruktur2020altern!G$3,FALSE)</f>
        <v>24870</v>
      </c>
      <c r="H510" s="177">
        <f>VLOOKUP($A510,K0kommunestruktur2019!$A$4:$N$425,K0kommunestruktur2020altern!H$3,FALSE)</f>
        <v>684024</v>
      </c>
      <c r="I510" s="289">
        <f>VLOOKUP($A510,K0kommunestruktur2019!$A$4:$N$425,K0kommunestruktur2020altern!I$3,FALSE)</f>
        <v>25204</v>
      </c>
      <c r="J510" s="177">
        <f>VLOOKUP($A510,K0kommunestruktur2019!$A$4:$N$425,K0kommunestruktur2020altern!J$3,FALSE)</f>
        <v>705797</v>
      </c>
      <c r="K510" s="289">
        <f>VLOOKUP($A510,K0kommunestruktur2019!$A$4:$N$425,K0kommunestruktur2020altern!K$3,FALSE)</f>
        <v>25725</v>
      </c>
      <c r="L510" s="177">
        <f>VLOOKUP($A510,K0kommunestruktur2019!$A$4:$N$425,K0kommunestruktur2020altern!L$3,FALSE)</f>
        <v>743530</v>
      </c>
      <c r="M510" s="289">
        <f>VLOOKUP($A510,K0kommunestruktur2019!$A$4:$N$425,K0kommunestruktur2020altern!M$3,FALSE)</f>
        <v>26166</v>
      </c>
      <c r="N510" s="177">
        <f>VLOOKUP($A510,K0kommunestruktur2019!$A$4:$N$425,K0kommunestruktur2020altern!N$3,FALSE)</f>
        <v>777937</v>
      </c>
    </row>
    <row r="511" spans="1:14" ht="13">
      <c r="A511" s="1">
        <v>1259</v>
      </c>
      <c r="B511" s="2" t="s">
        <v>49</v>
      </c>
      <c r="C511" s="290">
        <f>VLOOKUP($A511,K0kommunestruktur2019!$A$4:$N$425,K0kommunestruktur2020altern!C$3,FALSE)</f>
        <v>4704</v>
      </c>
      <c r="D511" s="177">
        <f>VLOOKUP($A511,K0kommunestruktur2019!$A$4:$N$425,K0kommunestruktur2020altern!D$3,FALSE)</f>
        <v>106106</v>
      </c>
      <c r="E511" s="289">
        <f>VLOOKUP($A511,K0kommunestruktur2019!$A$4:$N$425,K0kommunestruktur2020altern!E$3,FALSE)</f>
        <v>4733</v>
      </c>
      <c r="F511" s="177">
        <f>VLOOKUP($A511,K0kommunestruktur2019!$A$4:$N$425,K0kommunestruktur2020altern!F$3,FALSE)</f>
        <v>106768</v>
      </c>
      <c r="G511" s="289">
        <f>VLOOKUP($A511,K0kommunestruktur2019!$A$4:$N$425,K0kommunestruktur2020altern!G$3,FALSE)</f>
        <v>4852</v>
      </c>
      <c r="H511" s="177">
        <f>VLOOKUP($A511,K0kommunestruktur2019!$A$4:$N$425,K0kommunestruktur2020altern!H$3,FALSE)</f>
        <v>116933</v>
      </c>
      <c r="I511" s="289">
        <f>VLOOKUP($A511,K0kommunestruktur2019!$A$4:$N$425,K0kommunestruktur2020altern!I$3,FALSE)</f>
        <v>4913</v>
      </c>
      <c r="J511" s="177">
        <f>VLOOKUP($A511,K0kommunestruktur2019!$A$4:$N$425,K0kommunestruktur2020altern!J$3,FALSE)</f>
        <v>115041</v>
      </c>
      <c r="K511" s="289">
        <f>VLOOKUP($A511,K0kommunestruktur2019!$A$4:$N$425,K0kommunestruktur2020altern!K$3,FALSE)</f>
        <v>4877</v>
      </c>
      <c r="L511" s="177">
        <f>VLOOKUP($A511,K0kommunestruktur2019!$A$4:$N$425,K0kommunestruktur2020altern!L$3,FALSE)</f>
        <v>116750</v>
      </c>
      <c r="M511" s="289">
        <f>VLOOKUP($A511,K0kommunestruktur2019!$A$4:$N$425,K0kommunestruktur2020altern!M$3,FALSE)</f>
        <v>4889</v>
      </c>
      <c r="N511" s="177">
        <f>VLOOKUP($A511,K0kommunestruktur2019!$A$4:$N$425,K0kommunestruktur2020altern!N$3,FALSE)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VLOOKUP($A513,K0kommunestruktur2019!$A$4:$N$425,K0kommunestruktur2020altern!C$3,FALSE)</f>
        <v>7544</v>
      </c>
      <c r="D513" s="177">
        <f>VLOOKUP($A513,K0kommunestruktur2019!$A$4:$N$425,K0kommunestruktur2020altern!D$3,FALSE)</f>
        <v>160894</v>
      </c>
      <c r="E513" s="289">
        <f>VLOOKUP($A513,K0kommunestruktur2019!$A$4:$N$425,K0kommunestruktur2020altern!E$3,FALSE)</f>
        <v>7736</v>
      </c>
      <c r="F513" s="177">
        <f>VLOOKUP($A513,K0kommunestruktur2019!$A$4:$N$425,K0kommunestruktur2020altern!F$3,FALSE)</f>
        <v>173698</v>
      </c>
      <c r="G513" s="289">
        <f>VLOOKUP($A513,K0kommunestruktur2019!$A$4:$N$425,K0kommunestruktur2020altern!G$3,FALSE)</f>
        <v>7812</v>
      </c>
      <c r="H513" s="177">
        <f>VLOOKUP($A513,K0kommunestruktur2019!$A$4:$N$425,K0kommunestruktur2020altern!H$3,FALSE)</f>
        <v>185566</v>
      </c>
      <c r="I513" s="289">
        <f>VLOOKUP($A513,K0kommunestruktur2019!$A$4:$N$425,K0kommunestruktur2020altern!I$3,FALSE)</f>
        <v>8021</v>
      </c>
      <c r="J513" s="177">
        <f>VLOOKUP($A513,K0kommunestruktur2019!$A$4:$N$425,K0kommunestruktur2020altern!J$3,FALSE)</f>
        <v>193046</v>
      </c>
      <c r="K513" s="289">
        <f>VLOOKUP($A513,K0kommunestruktur2019!$A$4:$N$425,K0kommunestruktur2020altern!K$3,FALSE)</f>
        <v>8079</v>
      </c>
      <c r="L513" s="177">
        <f>VLOOKUP($A513,K0kommunestruktur2019!$A$4:$N$425,K0kommunestruktur2020altern!L$3,FALSE)</f>
        <v>207938</v>
      </c>
      <c r="M513" s="289">
        <f>VLOOKUP($A513,K0kommunestruktur2019!$A$4:$N$425,K0kommunestruktur2020altern!M$3,FALSE)</f>
        <v>8187</v>
      </c>
      <c r="N513" s="177">
        <f>VLOOKUP($A513,K0kommunestruktur2019!$A$4:$N$425,K0kommunestruktur2020altern!N$3,FALSE)</f>
        <v>213576</v>
      </c>
    </row>
    <row r="514" spans="1:15" ht="13">
      <c r="A514" s="1">
        <v>1260</v>
      </c>
      <c r="B514" s="2" t="s">
        <v>53</v>
      </c>
      <c r="C514" s="290">
        <f>VLOOKUP($A514,K0kommunestruktur2019!$A$4:$N$425,K0kommunestruktur2020altern!C$3,FALSE)</f>
        <v>5039</v>
      </c>
      <c r="D514" s="177">
        <f>VLOOKUP($A514,K0kommunestruktur2019!$A$4:$N$425,K0kommunestruktur2020altern!D$3,FALSE)</f>
        <v>110958</v>
      </c>
      <c r="E514" s="289">
        <f>VLOOKUP($A514,K0kommunestruktur2019!$A$4:$N$425,K0kommunestruktur2020altern!E$3,FALSE)</f>
        <v>5014</v>
      </c>
      <c r="F514" s="177">
        <f>VLOOKUP($A514,K0kommunestruktur2019!$A$4:$N$425,K0kommunestruktur2020altern!F$3,FALSE)</f>
        <v>111389</v>
      </c>
      <c r="G514" s="289">
        <f>VLOOKUP($A514,K0kommunestruktur2019!$A$4:$N$425,K0kommunestruktur2020altern!G$3,FALSE)</f>
        <v>5077</v>
      </c>
      <c r="H514" s="177">
        <f>VLOOKUP($A514,K0kommunestruktur2019!$A$4:$N$425,K0kommunestruktur2020altern!H$3,FALSE)</f>
        <v>115873</v>
      </c>
      <c r="I514" s="289">
        <f>VLOOKUP($A514,K0kommunestruktur2019!$A$4:$N$425,K0kommunestruktur2020altern!I$3,FALSE)</f>
        <v>5128</v>
      </c>
      <c r="J514" s="177">
        <f>VLOOKUP($A514,K0kommunestruktur2019!$A$4:$N$425,K0kommunestruktur2020altern!J$3,FALSE)</f>
        <v>119973</v>
      </c>
      <c r="K514" s="289">
        <f>VLOOKUP($A514,K0kommunestruktur2019!$A$4:$N$425,K0kommunestruktur2020altern!K$3,FALSE)</f>
        <v>5129</v>
      </c>
      <c r="L514" s="177">
        <f>VLOOKUP($A514,K0kommunestruktur2019!$A$4:$N$425,K0kommunestruktur2020altern!L$3,FALSE)</f>
        <v>116817</v>
      </c>
      <c r="M514" s="289">
        <f>VLOOKUP($A514,K0kommunestruktur2019!$A$4:$N$425,K0kommunestruktur2020altern!M$3,FALSE)</f>
        <v>5091</v>
      </c>
      <c r="N514" s="177">
        <f>VLOOKUP($A514,K0kommunestruktur2019!$A$4:$N$425,K0kommunestruktur2020altern!N$3,FALSE)</f>
        <v>124781</v>
      </c>
    </row>
    <row r="515" spans="1:15" ht="13">
      <c r="A515" s="1">
        <v>1263</v>
      </c>
      <c r="B515" s="2" t="s">
        <v>54</v>
      </c>
      <c r="C515" s="290">
        <f>VLOOKUP($A515,K0kommunestruktur2019!$A$4:$N$425,K0kommunestruktur2020altern!C$3,FALSE)</f>
        <v>15069</v>
      </c>
      <c r="D515" s="177">
        <f>VLOOKUP($A515,K0kommunestruktur2019!$A$4:$N$425,K0kommunestruktur2020altern!D$3,FALSE)</f>
        <v>370954</v>
      </c>
      <c r="E515" s="289">
        <f>VLOOKUP($A515,K0kommunestruktur2019!$A$4:$N$425,K0kommunestruktur2020altern!E$3,FALSE)</f>
        <v>15402</v>
      </c>
      <c r="F515" s="177">
        <f>VLOOKUP($A515,K0kommunestruktur2019!$A$4:$N$425,K0kommunestruktur2020altern!F$3,FALSE)</f>
        <v>374667</v>
      </c>
      <c r="G515" s="289">
        <f>VLOOKUP($A515,K0kommunestruktur2019!$A$4:$N$425,K0kommunestruktur2020altern!G$3,FALSE)</f>
        <v>15607</v>
      </c>
      <c r="H515" s="177">
        <f>VLOOKUP($A515,K0kommunestruktur2019!$A$4:$N$425,K0kommunestruktur2020altern!H$3,FALSE)</f>
        <v>396793</v>
      </c>
      <c r="I515" s="289">
        <f>VLOOKUP($A515,K0kommunestruktur2019!$A$4:$N$425,K0kommunestruktur2020altern!I$3,FALSE)</f>
        <v>15731</v>
      </c>
      <c r="J515" s="177">
        <f>VLOOKUP($A515,K0kommunestruktur2019!$A$4:$N$425,K0kommunestruktur2020altern!J$3,FALSE)</f>
        <v>396271</v>
      </c>
      <c r="K515" s="289">
        <f>VLOOKUP($A515,K0kommunestruktur2019!$A$4:$N$425,K0kommunestruktur2020altern!K$3,FALSE)</f>
        <v>15789</v>
      </c>
      <c r="L515" s="177">
        <f>VLOOKUP($A515,K0kommunestruktur2019!$A$4:$N$425,K0kommunestruktur2020altern!L$3,FALSE)</f>
        <v>419158</v>
      </c>
      <c r="M515" s="289">
        <f>VLOOKUP($A515,K0kommunestruktur2019!$A$4:$N$425,K0kommunestruktur2020altern!M$3,FALSE)</f>
        <v>15812</v>
      </c>
      <c r="N515" s="177">
        <f>VLOOKUP($A515,K0kommunestruktur2019!$A$4:$N$425,K0kommunestruktur2020altern!N$3,FALSE)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VLOOKUP($A517,K0kommunestruktur2019!$A$4:$N$425,K0kommunestruktur2020altern!C$3,FALSE)</f>
        <v>4183</v>
      </c>
      <c r="D517" s="177">
        <f>VLOOKUP($A517,K0kommunestruktur2019!$A$4:$N$425,K0kommunestruktur2020altern!D$3,FALSE)</f>
        <v>102203</v>
      </c>
      <c r="E517" s="289">
        <f>VLOOKUP($A517,K0kommunestruktur2019!$A$4:$N$425,K0kommunestruktur2020altern!E$3,FALSE)</f>
        <v>4169</v>
      </c>
      <c r="F517" s="177">
        <f>VLOOKUP($A517,K0kommunestruktur2019!$A$4:$N$425,K0kommunestruktur2020altern!F$3,FALSE)</f>
        <v>106367</v>
      </c>
      <c r="G517" s="289">
        <f>VLOOKUP($A517,K0kommunestruktur2019!$A$4:$N$425,K0kommunestruktur2020altern!G$3,FALSE)</f>
        <v>4161</v>
      </c>
      <c r="H517" s="177">
        <f>VLOOKUP($A517,K0kommunestruktur2019!$A$4:$N$425,K0kommunestruktur2020altern!H$3,FALSE)</f>
        <v>110066</v>
      </c>
      <c r="I517" s="289">
        <f>VLOOKUP($A517,K0kommunestruktur2019!$A$4:$N$425,K0kommunestruktur2020altern!I$3,FALSE)</f>
        <v>4190</v>
      </c>
      <c r="J517" s="177">
        <f>VLOOKUP($A517,K0kommunestruktur2019!$A$4:$N$425,K0kommunestruktur2020altern!J$3,FALSE)</f>
        <v>113409</v>
      </c>
      <c r="K517" s="289">
        <f>VLOOKUP($A517,K0kommunestruktur2019!$A$4:$N$425,K0kommunestruktur2020altern!K$3,FALSE)</f>
        <v>4154</v>
      </c>
      <c r="L517" s="177">
        <f>VLOOKUP($A517,K0kommunestruktur2019!$A$4:$N$425,K0kommunestruktur2020altern!L$3,FALSE)</f>
        <v>123136</v>
      </c>
      <c r="M517" s="289">
        <f>VLOOKUP($A517,K0kommunestruktur2019!$A$4:$N$425,K0kommunestruktur2020altern!M$3,FALSE)</f>
        <v>4091</v>
      </c>
      <c r="N517" s="177">
        <f>VLOOKUP($A517,K0kommunestruktur2019!$A$4:$N$425,K0kommunestruktur2020altern!N$3,FALSE)</f>
        <v>127918</v>
      </c>
      <c r="O517" s="177"/>
    </row>
    <row r="518" spans="1:15" ht="13">
      <c r="A518" s="1"/>
      <c r="B518" s="894" t="s">
        <v>1747</v>
      </c>
      <c r="C518" s="290">
        <f t="shared" ref="C518:N518" si="62">-C523</f>
        <v>98.026583268178271</v>
      </c>
      <c r="D518" s="177">
        <f t="shared" si="62"/>
        <v>1919.27148084441</v>
      </c>
      <c r="E518" s="289">
        <f t="shared" si="62"/>
        <v>97.876465989053955</v>
      </c>
      <c r="F518" s="912">
        <f t="shared" si="62"/>
        <v>2149.6669022673964</v>
      </c>
      <c r="G518" s="289">
        <f t="shared" si="62"/>
        <v>97.125879593432373</v>
      </c>
      <c r="H518" s="177">
        <f t="shared" si="62"/>
        <v>2149.6669022673964</v>
      </c>
      <c r="I518" s="289">
        <f t="shared" si="62"/>
        <v>96.675527756059424</v>
      </c>
      <c r="J518" s="177">
        <f t="shared" si="62"/>
        <v>2203.5724409695076</v>
      </c>
      <c r="K518" s="289">
        <f t="shared" si="62"/>
        <v>94.724003127443311</v>
      </c>
      <c r="L518" s="177">
        <f t="shared" si="62"/>
        <v>2343.1055512118842</v>
      </c>
      <c r="M518" s="962">
        <f t="shared" si="62"/>
        <v>96</v>
      </c>
      <c r="N518" s="177">
        <f t="shared" si="62"/>
        <v>2355.265050820954</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VLOOKUP($A520,K0kommunestruktur2019!$A$4:$N$425,K0kommunestruktur2020altern!C$3,FALSE)</f>
        <v>1306</v>
      </c>
      <c r="D520" s="177">
        <f>VLOOKUP($A520,K0kommunestruktur2019!$A$4:$N$425,K0kommunestruktur2020altern!D$3,FALSE)</f>
        <v>28081</v>
      </c>
      <c r="E520" s="289">
        <f>VLOOKUP($A520,K0kommunestruktur2019!$A$4:$N$425,K0kommunestruktur2020altern!E$3,FALSE)</f>
        <v>1304</v>
      </c>
      <c r="F520" s="177">
        <f>VLOOKUP($A520,K0kommunestruktur2019!$A$4:$N$425,K0kommunestruktur2020altern!F$3,FALSE)</f>
        <v>29193</v>
      </c>
      <c r="G520" s="289">
        <f>VLOOKUP($A520,K0kommunestruktur2019!$A$4:$N$425,K0kommunestruktur2020altern!G$3,FALSE)</f>
        <v>1294</v>
      </c>
      <c r="H520" s="177">
        <f>VLOOKUP($A520,K0kommunestruktur2019!$A$4:$N$425,K0kommunestruktur2020altern!H$3,FALSE)</f>
        <v>31062</v>
      </c>
      <c r="I520" s="289">
        <f>VLOOKUP($A520,K0kommunestruktur2019!$A$4:$N$425,K0kommunestruktur2020altern!I$3,FALSE)</f>
        <v>1288</v>
      </c>
      <c r="J520" s="177">
        <f>VLOOKUP($A520,K0kommunestruktur2019!$A$4:$N$425,K0kommunestruktur2020altern!J$3,FALSE)</f>
        <v>31810</v>
      </c>
      <c r="K520" s="289">
        <f>VLOOKUP($A520,K0kommunestruktur2019!$A$4:$N$425,K0kommunestruktur2020altern!K$3,FALSE)</f>
        <v>1262</v>
      </c>
      <c r="L520" s="177">
        <f>VLOOKUP($A520,K0kommunestruktur2019!$A$4:$N$425,K0kommunestruktur2020altern!L$3,FALSE)</f>
        <v>33797</v>
      </c>
      <c r="M520" s="289">
        <f>VLOOKUP($A520,K0kommunestruktur2019!$A$4:$N$425,K0kommunestruktur2020altern!M$3,FALSE)</f>
        <v>1279</v>
      </c>
      <c r="N520" s="177">
        <f>VLOOKUP($A520,K0kommunestruktur2019!$A$4:$N$425,K0kommunestruktur2020altern!N$3,FALSE)</f>
        <v>34068</v>
      </c>
    </row>
    <row r="521" spans="1:15" ht="13">
      <c r="A521" s="1">
        <v>1419</v>
      </c>
      <c r="B521" s="2" t="s">
        <v>65</v>
      </c>
      <c r="C521" s="290">
        <f>VLOOKUP($A521,K0kommunestruktur2019!$A$4:$N$425,K0kommunestruktur2020altern!C$3,FALSE)</f>
        <v>2268</v>
      </c>
      <c r="D521" s="177">
        <f>VLOOKUP($A521,K0kommunestruktur2019!$A$4:$N$425,K0kommunestruktur2020altern!D$3,FALSE)</f>
        <v>54210</v>
      </c>
      <c r="E521" s="289">
        <f>VLOOKUP($A521,K0kommunestruktur2019!$A$4:$N$425,K0kommunestruktur2020altern!E$3,FALSE)</f>
        <v>2276</v>
      </c>
      <c r="F521" s="177">
        <f>VLOOKUP($A521,K0kommunestruktur2019!$A$4:$N$425,K0kommunestruktur2020altern!F$3,FALSE)</f>
        <v>55791</v>
      </c>
      <c r="G521" s="289">
        <f>VLOOKUP($A521,K0kommunestruktur2019!$A$4:$N$425,K0kommunestruktur2020altern!G$3,FALSE)</f>
        <v>2298</v>
      </c>
      <c r="H521" s="177">
        <f>VLOOKUP($A521,K0kommunestruktur2019!$A$4:$N$425,K0kommunestruktur2020altern!H$3,FALSE)</f>
        <v>61486</v>
      </c>
      <c r="I521" s="289">
        <f>VLOOKUP($A521,K0kommunestruktur2019!$A$4:$N$425,K0kommunestruktur2020altern!I$3,FALSE)</f>
        <v>2332</v>
      </c>
      <c r="J521" s="177">
        <f>VLOOKUP($A521,K0kommunestruktur2019!$A$4:$N$425,K0kommunestruktur2020altern!J$3,FALSE)</f>
        <v>65897</v>
      </c>
      <c r="K521" s="289">
        <f>VLOOKUP($A521,K0kommunestruktur2019!$A$4:$N$425,K0kommunestruktur2020altern!K$3,FALSE)</f>
        <v>2345</v>
      </c>
      <c r="L521" s="177">
        <f>VLOOKUP($A521,K0kommunestruktur2019!$A$4:$N$425,K0kommunestruktur2020altern!L$3,FALSE)</f>
        <v>72179</v>
      </c>
      <c r="M521" s="289">
        <f>VLOOKUP($A521,K0kommunestruktur2019!$A$4:$N$425,K0kommunestruktur2020altern!M$3,FALSE)</f>
        <v>2331</v>
      </c>
      <c r="N521" s="177">
        <f>VLOOKUP($A521,K0kommunestruktur2019!$A$4:$N$425,K0kommunestruktur2020altern!N$3,FALSE)</f>
        <v>66133</v>
      </c>
    </row>
    <row r="522" spans="1:15" ht="13">
      <c r="A522" s="1">
        <v>1420</v>
      </c>
      <c r="B522" s="2" t="s">
        <v>66</v>
      </c>
      <c r="C522" s="290">
        <f>VLOOKUP($A522,K0kommunestruktur2019!$A$4:$N$425,K0kommunestruktur2020altern!C$3,FALSE)</f>
        <v>7623</v>
      </c>
      <c r="D522" s="177">
        <f>VLOOKUP($A522,K0kommunestruktur2019!$A$4:$N$425,K0kommunestruktur2020altern!D$3,FALSE)</f>
        <v>165511</v>
      </c>
      <c r="E522" s="289">
        <f>VLOOKUP($A522,K0kommunestruktur2019!$A$4:$N$425,K0kommunestruktur2020altern!E$3,FALSE)</f>
        <v>7677</v>
      </c>
      <c r="F522" s="177">
        <f>VLOOKUP($A522,K0kommunestruktur2019!$A$4:$N$425,K0kommunestruktur2020altern!F$3,FALSE)</f>
        <v>173721</v>
      </c>
      <c r="G522" s="289">
        <f>VLOOKUP($A522,K0kommunestruktur2019!$A$4:$N$425,K0kommunestruktur2020altern!G$3,FALSE)</f>
        <v>7839</v>
      </c>
      <c r="H522" s="177">
        <f>VLOOKUP($A522,K0kommunestruktur2019!$A$4:$N$425,K0kommunestruktur2020altern!H$3,FALSE)</f>
        <v>198568</v>
      </c>
      <c r="I522" s="289">
        <f>VLOOKUP($A522,K0kommunestruktur2019!$A$4:$N$425,K0kommunestruktur2020altern!I$3,FALSE)</f>
        <v>7941</v>
      </c>
      <c r="J522" s="177">
        <f>VLOOKUP($A522,K0kommunestruktur2019!$A$4:$N$425,K0kommunestruktur2020altern!J$3,FALSE)</f>
        <v>206275</v>
      </c>
      <c r="K522" s="289">
        <f>VLOOKUP($A522,K0kommunestruktur2019!$A$4:$N$425,K0kommunestruktur2020altern!K$3,FALSE)</f>
        <v>8059</v>
      </c>
      <c r="L522" s="177">
        <f>VLOOKUP($A522,K0kommunestruktur2019!$A$4:$N$425,K0kommunestruktur2020altern!L$3,FALSE)</f>
        <v>218690</v>
      </c>
      <c r="M522" s="289">
        <f>VLOOKUP($A522,K0kommunestruktur2019!$A$4:$N$425,K0kommunestruktur2020altern!M$3,FALSE)</f>
        <v>8191</v>
      </c>
      <c r="N522" s="177">
        <f>VLOOKUP($A522,K0kommunestruktur2019!$A$4:$N$425,K0kommunestruktur2020altern!N$3,FALSE)</f>
        <v>224983</v>
      </c>
    </row>
    <row r="523" spans="1:15" ht="13">
      <c r="A523" s="1"/>
      <c r="B523" s="894" t="s">
        <v>1747</v>
      </c>
      <c r="C523" s="290">
        <f>C520*$M523/$M520</f>
        <v>-98.026583268178271</v>
      </c>
      <c r="D523" s="177">
        <f>D524*C523/C520</f>
        <v>-1919.27148084441</v>
      </c>
      <c r="E523" s="289">
        <f>E520*$M523/$M520</f>
        <v>-97.876465989053955</v>
      </c>
      <c r="F523" s="912">
        <f>F524*E523/E520</f>
        <v>-2149.6669022673964</v>
      </c>
      <c r="G523" s="289">
        <f>G520*$M523/$M520</f>
        <v>-97.125879593432373</v>
      </c>
      <c r="H523" s="177">
        <f>H524*G523/G520</f>
        <v>-2149.6669022673964</v>
      </c>
      <c r="I523" s="289">
        <f>I520*$M523/$M520</f>
        <v>-96.675527756059424</v>
      </c>
      <c r="J523" s="177">
        <f>J524*I523/I520</f>
        <v>-2203.5724409695076</v>
      </c>
      <c r="K523" s="289">
        <f>K520*$M523/$M520</f>
        <v>-94.724003127443311</v>
      </c>
      <c r="L523" s="177">
        <f>L524*K523/K520</f>
        <v>-2343.1055512118842</v>
      </c>
      <c r="M523" s="962">
        <v>-96</v>
      </c>
      <c r="N523" s="177">
        <f>N524*M523/M520</f>
        <v>-2355.265050820954</v>
      </c>
    </row>
    <row r="524" spans="1:15" ht="13">
      <c r="A524" s="1"/>
      <c r="B524" s="885" t="s">
        <v>1845</v>
      </c>
      <c r="C524" s="290"/>
      <c r="D524" s="177">
        <v>25570.294000000002</v>
      </c>
      <c r="E524" s="289"/>
      <c r="F524" s="177">
        <v>28639.832999999999</v>
      </c>
      <c r="G524" s="289"/>
      <c r="H524" s="177">
        <v>28639.832999999999</v>
      </c>
      <c r="I524" s="289"/>
      <c r="J524" s="177">
        <v>29358.011999999999</v>
      </c>
      <c r="K524" s="289"/>
      <c r="L524" s="177">
        <v>31217</v>
      </c>
      <c r="M524" s="289"/>
      <c r="N524" s="177">
        <v>31379</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VLOOKUP($A526,K0kommunestruktur2019!$A$4:$N$425,K0kommunestruktur2020altern!C$3,FALSE)</f>
        <v>2928</v>
      </c>
      <c r="D526" s="177">
        <f>VLOOKUP($A526,K0kommunestruktur2019!$A$4:$N$425,K0kommunestruktur2020altern!D$3,FALSE)</f>
        <v>56494</v>
      </c>
      <c r="E526" s="289">
        <f>VLOOKUP($A526,K0kommunestruktur2019!$A$4:$N$425,K0kommunestruktur2020altern!E$3,FALSE)</f>
        <v>2960</v>
      </c>
      <c r="F526" s="177">
        <f>VLOOKUP($A526,K0kommunestruktur2019!$A$4:$N$425,K0kommunestruktur2020altern!F$3,FALSE)</f>
        <v>61188</v>
      </c>
      <c r="G526" s="289">
        <f>VLOOKUP($A526,K0kommunestruktur2019!$A$4:$N$425,K0kommunestruktur2020altern!G$3,FALSE)</f>
        <v>2942</v>
      </c>
      <c r="H526" s="177">
        <f>VLOOKUP($A526,K0kommunestruktur2019!$A$4:$N$425,K0kommunestruktur2020altern!H$3,FALSE)</f>
        <v>65337</v>
      </c>
      <c r="I526" s="289">
        <f>VLOOKUP($A526,K0kommunestruktur2019!$A$4:$N$425,K0kommunestruktur2020altern!I$3,FALSE)</f>
        <v>2966</v>
      </c>
      <c r="J526" s="177">
        <f>VLOOKUP($A526,K0kommunestruktur2019!$A$4:$N$425,K0kommunestruktur2020altern!J$3,FALSE)</f>
        <v>68625</v>
      </c>
      <c r="K526" s="289">
        <f>VLOOKUP($A526,K0kommunestruktur2019!$A$4:$N$425,K0kommunestruktur2020altern!K$3,FALSE)</f>
        <v>3006</v>
      </c>
      <c r="L526" s="177">
        <f>VLOOKUP($A526,K0kommunestruktur2019!$A$4:$N$425,K0kommunestruktur2020altern!L$3,FALSE)</f>
        <v>74545</v>
      </c>
      <c r="M526" s="289">
        <f>VLOOKUP($A526,K0kommunestruktur2019!$A$4:$N$425,K0kommunestruktur2020altern!M$3,FALSE)</f>
        <v>3027</v>
      </c>
      <c r="N526" s="177">
        <f>VLOOKUP($A526,K0kommunestruktur2019!$A$4:$N$425,K0kommunestruktur2020altern!N$3,FALSE)</f>
        <v>76689</v>
      </c>
    </row>
    <row r="527" spans="1:15" ht="13">
      <c r="A527" s="1">
        <v>1431</v>
      </c>
      <c r="B527" s="2" t="s">
        <v>74</v>
      </c>
      <c r="C527" s="290">
        <f>VLOOKUP($A527,K0kommunestruktur2019!$A$4:$N$425,K0kommunestruktur2020altern!C$3,FALSE)</f>
        <v>3070</v>
      </c>
      <c r="D527" s="177">
        <f>VLOOKUP($A527,K0kommunestruktur2019!$A$4:$N$425,K0kommunestruktur2020altern!D$3,FALSE)</f>
        <v>68883</v>
      </c>
      <c r="E527" s="289">
        <f>VLOOKUP($A527,K0kommunestruktur2019!$A$4:$N$425,K0kommunestruktur2020altern!E$3,FALSE)</f>
        <v>3026</v>
      </c>
      <c r="F527" s="177">
        <f>VLOOKUP($A527,K0kommunestruktur2019!$A$4:$N$425,K0kommunestruktur2020altern!F$3,FALSE)</f>
        <v>66273</v>
      </c>
      <c r="G527" s="289">
        <f>VLOOKUP($A527,K0kommunestruktur2019!$A$4:$N$425,K0kommunestruktur2020altern!G$3,FALSE)</f>
        <v>3020</v>
      </c>
      <c r="H527" s="177">
        <f>VLOOKUP($A527,K0kommunestruktur2019!$A$4:$N$425,K0kommunestruktur2020altern!H$3,FALSE)</f>
        <v>71117</v>
      </c>
      <c r="I527" s="289">
        <f>VLOOKUP($A527,K0kommunestruktur2019!$A$4:$N$425,K0kommunestruktur2020altern!I$3,FALSE)</f>
        <v>3049</v>
      </c>
      <c r="J527" s="177">
        <f>VLOOKUP($A527,K0kommunestruktur2019!$A$4:$N$425,K0kommunestruktur2020altern!J$3,FALSE)</f>
        <v>78085</v>
      </c>
      <c r="K527" s="289">
        <f>VLOOKUP($A527,K0kommunestruktur2019!$A$4:$N$425,K0kommunestruktur2020altern!K$3,FALSE)</f>
        <v>3043</v>
      </c>
      <c r="L527" s="177">
        <f>VLOOKUP($A527,K0kommunestruktur2019!$A$4:$N$425,K0kommunestruktur2020altern!L$3,FALSE)</f>
        <v>80458</v>
      </c>
      <c r="M527" s="289">
        <f>VLOOKUP($A527,K0kommunestruktur2019!$A$4:$N$425,K0kommunestruktur2020altern!M$3,FALSE)</f>
        <v>3047</v>
      </c>
      <c r="N527" s="177">
        <f>VLOOKUP($A527,K0kommunestruktur2019!$A$4:$N$425,K0kommunestruktur2020altern!N$3,FALSE)</f>
        <v>84585</v>
      </c>
    </row>
    <row r="528" spans="1:15" ht="13">
      <c r="A528" s="1">
        <v>1432</v>
      </c>
      <c r="B528" s="2" t="s">
        <v>75</v>
      </c>
      <c r="C528" s="290">
        <f>VLOOKUP($A528,K0kommunestruktur2019!$A$4:$N$425,K0kommunestruktur2020altern!C$3,FALSE)</f>
        <v>12685</v>
      </c>
      <c r="D528" s="177">
        <f>VLOOKUP($A528,K0kommunestruktur2019!$A$4:$N$425,K0kommunestruktur2020altern!D$3,FALSE)</f>
        <v>306432</v>
      </c>
      <c r="E528" s="289">
        <f>VLOOKUP($A528,K0kommunestruktur2019!$A$4:$N$425,K0kommunestruktur2020altern!E$3,FALSE)</f>
        <v>12801</v>
      </c>
      <c r="F528" s="177">
        <f>VLOOKUP($A528,K0kommunestruktur2019!$A$4:$N$425,K0kommunestruktur2020altern!F$3,FALSE)</f>
        <v>329023</v>
      </c>
      <c r="G528" s="289">
        <f>VLOOKUP($A528,K0kommunestruktur2019!$A$4:$N$425,K0kommunestruktur2020altern!G$3,FALSE)</f>
        <v>12900</v>
      </c>
      <c r="H528" s="177">
        <f>VLOOKUP($A528,K0kommunestruktur2019!$A$4:$N$425,K0kommunestruktur2020altern!H$3,FALSE)</f>
        <v>368164</v>
      </c>
      <c r="I528" s="289">
        <f>VLOOKUP($A528,K0kommunestruktur2019!$A$4:$N$425,K0kommunestruktur2020altern!I$3,FALSE)</f>
        <v>13009</v>
      </c>
      <c r="J528" s="177">
        <f>VLOOKUP($A528,K0kommunestruktur2019!$A$4:$N$425,K0kommunestruktur2020altern!J$3,FALSE)</f>
        <v>376559</v>
      </c>
      <c r="K528" s="289">
        <f>VLOOKUP($A528,K0kommunestruktur2019!$A$4:$N$425,K0kommunestruktur2020altern!K$3,FALSE)</f>
        <v>13089</v>
      </c>
      <c r="L528" s="177">
        <f>VLOOKUP($A528,K0kommunestruktur2019!$A$4:$N$425,K0kommunestruktur2020altern!L$3,FALSE)</f>
        <v>388465</v>
      </c>
      <c r="M528" s="289">
        <f>VLOOKUP($A528,K0kommunestruktur2019!$A$4:$N$425,K0kommunestruktur2020altern!M$3,FALSE)</f>
        <v>13092</v>
      </c>
      <c r="N528" s="177">
        <f>VLOOKUP($A528,K0kommunestruktur2019!$A$4:$N$425,K0kommunestruktur2020altern!N$3,FALSE)</f>
        <v>408872</v>
      </c>
    </row>
    <row r="529" spans="1:14" ht="13">
      <c r="A529" s="1">
        <v>1433</v>
      </c>
      <c r="B529" s="2" t="s">
        <v>76</v>
      </c>
      <c r="C529" s="290">
        <f>VLOOKUP($A529,K0kommunestruktur2019!$A$4:$N$425,K0kommunestruktur2020altern!C$3,FALSE)</f>
        <v>2776</v>
      </c>
      <c r="D529" s="177">
        <f>VLOOKUP($A529,K0kommunestruktur2019!$A$4:$N$425,K0kommunestruktur2020altern!D$3,FALSE)</f>
        <v>55832</v>
      </c>
      <c r="E529" s="289">
        <f>VLOOKUP($A529,K0kommunestruktur2019!$A$4:$N$425,K0kommunestruktur2020altern!E$3,FALSE)</f>
        <v>2777</v>
      </c>
      <c r="F529" s="177">
        <f>VLOOKUP($A529,K0kommunestruktur2019!$A$4:$N$425,K0kommunestruktur2020altern!F$3,FALSE)</f>
        <v>59772</v>
      </c>
      <c r="G529" s="289">
        <f>VLOOKUP($A529,K0kommunestruktur2019!$A$4:$N$425,K0kommunestruktur2020altern!G$3,FALSE)</f>
        <v>2840</v>
      </c>
      <c r="H529" s="177">
        <f>VLOOKUP($A529,K0kommunestruktur2019!$A$4:$N$425,K0kommunestruktur2020altern!H$3,FALSE)</f>
        <v>67819</v>
      </c>
      <c r="I529" s="289">
        <f>VLOOKUP($A529,K0kommunestruktur2019!$A$4:$N$425,K0kommunestruktur2020altern!I$3,FALSE)</f>
        <v>2848</v>
      </c>
      <c r="J529" s="177">
        <f>VLOOKUP($A529,K0kommunestruktur2019!$A$4:$N$425,K0kommunestruktur2020altern!J$3,FALSE)</f>
        <v>67887</v>
      </c>
      <c r="K529" s="289">
        <f>VLOOKUP($A529,K0kommunestruktur2019!$A$4:$N$425,K0kommunestruktur2020altern!K$3,FALSE)</f>
        <v>2825</v>
      </c>
      <c r="L529" s="177">
        <f>VLOOKUP($A529,K0kommunestruktur2019!$A$4:$N$425,K0kommunestruktur2020altern!L$3,FALSE)</f>
        <v>65952</v>
      </c>
      <c r="M529" s="289">
        <f>VLOOKUP($A529,K0kommunestruktur2019!$A$4:$N$425,K0kommunestruktur2020altern!M$3,FALSE)</f>
        <v>2793</v>
      </c>
      <c r="N529" s="177">
        <f>VLOOKUP($A529,K0kommunestruktur2019!$A$4:$N$425,K0kommunestruktur2020altern!N$3,FALSE)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VLOOKUP($A531,K0kommunestruktur2019!$A$4:$N$425,K0kommunestruktur2020altern!C$3,FALSE)</f>
        <v>2782</v>
      </c>
      <c r="D531" s="177">
        <f>VLOOKUP($A531,K0kommunestruktur2019!$A$4:$N$425,K0kommunestruktur2020altern!D$3,FALSE)</f>
        <v>58242</v>
      </c>
      <c r="E531" s="289">
        <f>VLOOKUP($A531,K0kommunestruktur2019!$A$4:$N$425,K0kommunestruktur2020altern!E$3,FALSE)</f>
        <v>2752</v>
      </c>
      <c r="F531" s="177">
        <f>VLOOKUP($A531,K0kommunestruktur2019!$A$4:$N$425,K0kommunestruktur2020altern!F$3,FALSE)</f>
        <v>61846</v>
      </c>
      <c r="G531" s="289">
        <f>VLOOKUP($A531,K0kommunestruktur2019!$A$4:$N$425,K0kommunestruktur2020altern!G$3,FALSE)</f>
        <v>2774</v>
      </c>
      <c r="H531" s="177">
        <f>VLOOKUP($A531,K0kommunestruktur2019!$A$4:$N$425,K0kommunestruktur2020altern!H$3,FALSE)</f>
        <v>63415</v>
      </c>
      <c r="I531" s="289">
        <f>VLOOKUP($A531,K0kommunestruktur2019!$A$4:$N$425,K0kommunestruktur2020altern!I$3,FALSE)</f>
        <v>2791</v>
      </c>
      <c r="J531" s="177">
        <f>VLOOKUP($A531,K0kommunestruktur2019!$A$4:$N$425,K0kommunestruktur2020altern!J$3,FALSE)</f>
        <v>65535</v>
      </c>
      <c r="K531" s="289">
        <f>VLOOKUP($A531,K0kommunestruktur2019!$A$4:$N$425,K0kommunestruktur2020altern!K$3,FALSE)</f>
        <v>2757</v>
      </c>
      <c r="L531" s="177">
        <f>VLOOKUP($A531,K0kommunestruktur2019!$A$4:$N$425,K0kommunestruktur2020altern!L$3,FALSE)</f>
        <v>69577</v>
      </c>
      <c r="M531" s="289">
        <f>VLOOKUP($A531,K0kommunestruktur2019!$A$4:$N$425,K0kommunestruktur2020altern!M$3,FALSE)</f>
        <v>2747</v>
      </c>
      <c r="N531" s="177">
        <f>VLOOKUP($A531,K0kommunestruktur2019!$A$4:$N$425,K0kommunestruktur2020altern!N$3,FALSE)</f>
        <v>77604</v>
      </c>
    </row>
    <row r="532" spans="1:14" ht="13">
      <c r="A532" s="1">
        <v>1443</v>
      </c>
      <c r="B532" s="2" t="s">
        <v>80</v>
      </c>
      <c r="C532" s="290">
        <f>VLOOKUP($A532,K0kommunestruktur2019!$A$4:$N$425,K0kommunestruktur2020altern!C$3,FALSE)</f>
        <v>5926</v>
      </c>
      <c r="D532" s="177">
        <f>VLOOKUP($A532,K0kommunestruktur2019!$A$4:$N$425,K0kommunestruktur2020altern!D$3,FALSE)</f>
        <v>124434</v>
      </c>
      <c r="E532" s="289">
        <f>VLOOKUP($A532,K0kommunestruktur2019!$A$4:$N$425,K0kommunestruktur2020altern!E$3,FALSE)</f>
        <v>5987</v>
      </c>
      <c r="F532" s="177">
        <f>VLOOKUP($A532,K0kommunestruktur2019!$A$4:$N$425,K0kommunestruktur2020altern!F$3,FALSE)</f>
        <v>130598</v>
      </c>
      <c r="G532" s="289">
        <f>VLOOKUP($A532,K0kommunestruktur2019!$A$4:$N$425,K0kommunestruktur2020altern!G$3,FALSE)</f>
        <v>6015</v>
      </c>
      <c r="H532" s="177">
        <f>VLOOKUP($A532,K0kommunestruktur2019!$A$4:$N$425,K0kommunestruktur2020altern!H$3,FALSE)</f>
        <v>136144</v>
      </c>
      <c r="I532" s="289">
        <f>VLOOKUP($A532,K0kommunestruktur2019!$A$4:$N$425,K0kommunestruktur2020altern!I$3,FALSE)</f>
        <v>6064</v>
      </c>
      <c r="J532" s="177">
        <f>VLOOKUP($A532,K0kommunestruktur2019!$A$4:$N$425,K0kommunestruktur2020altern!J$3,FALSE)</f>
        <v>144754</v>
      </c>
      <c r="K532" s="289">
        <f>VLOOKUP($A532,K0kommunestruktur2019!$A$4:$N$425,K0kommunestruktur2020altern!K$3,FALSE)</f>
        <v>6157</v>
      </c>
      <c r="L532" s="177">
        <f>VLOOKUP($A532,K0kommunestruktur2019!$A$4:$N$425,K0kommunestruktur2020altern!L$3,FALSE)</f>
        <v>154404</v>
      </c>
      <c r="M532" s="289">
        <f>VLOOKUP($A532,K0kommunestruktur2019!$A$4:$N$425,K0kommunestruktur2020altern!M$3,FALSE)</f>
        <v>6151</v>
      </c>
      <c r="N532" s="177">
        <f>VLOOKUP($A532,K0kommunestruktur2019!$A$4:$N$425,K0kommunestruktur2020altern!N$3,FALSE)</f>
        <v>157880</v>
      </c>
    </row>
    <row r="533" spans="1:14" ht="13">
      <c r="A533" s="1"/>
      <c r="B533" s="894" t="s">
        <v>1733</v>
      </c>
      <c r="C533" s="290">
        <f t="shared" ref="C533:N533" si="63">-C493</f>
        <v>525.43802345058623</v>
      </c>
      <c r="D533" s="177">
        <f t="shared" si="63"/>
        <v>12050.482412060303</v>
      </c>
      <c r="E533" s="289">
        <f t="shared" si="63"/>
        <v>524.66164154103853</v>
      </c>
      <c r="F533" s="912">
        <f t="shared" si="63"/>
        <v>12387.259631490786</v>
      </c>
      <c r="G533" s="289">
        <f t="shared" si="63"/>
        <v>521.55611390284753</v>
      </c>
      <c r="H533" s="177">
        <f t="shared" si="63"/>
        <v>13383.702680066999</v>
      </c>
      <c r="I533" s="289">
        <f t="shared" si="63"/>
        <v>520.26214405360133</v>
      </c>
      <c r="J533" s="177">
        <f t="shared" si="63"/>
        <v>13929.326633165829</v>
      </c>
      <c r="K533" s="289">
        <f t="shared" si="63"/>
        <v>517.67420435510883</v>
      </c>
      <c r="L533" s="177">
        <f t="shared" si="63"/>
        <v>14582.005025125627</v>
      </c>
      <c r="M533" s="962">
        <f t="shared" si="63"/>
        <v>515</v>
      </c>
      <c r="N533" s="177">
        <f t="shared" si="63"/>
        <v>15742.092127303182</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VLOOKUP($A535,K0kommunestruktur2019!$A$4:$N$425,K0kommunestruktur2020altern!C$3,FALSE)</f>
        <v>182035</v>
      </c>
      <c r="D535" s="177">
        <f>VLOOKUP($A535,K0kommunestruktur2019!$A$4:$N$425,K0kommunestruktur2020altern!D$3,FALSE)</f>
        <v>4562406</v>
      </c>
      <c r="E535" s="289">
        <f>VLOOKUP($A535,K0kommunestruktur2019!$A$4:$N$425,K0kommunestruktur2020altern!E$3,FALSE)</f>
        <v>184960</v>
      </c>
      <c r="F535" s="177">
        <f>VLOOKUP($A535,K0kommunestruktur2019!$A$4:$N$425,K0kommunestruktur2020altern!F$3,FALSE)</f>
        <v>4834604</v>
      </c>
      <c r="G535" s="289">
        <f>VLOOKUP($A535,K0kommunestruktur2019!$A$4:$N$425,K0kommunestruktur2020altern!G$3,FALSE)</f>
        <v>187353</v>
      </c>
      <c r="H535" s="177">
        <f>VLOOKUP($A535,K0kommunestruktur2019!$A$4:$N$425,K0kommunestruktur2020altern!H$3,FALSE)</f>
        <v>5378471</v>
      </c>
      <c r="I535" s="289">
        <f>VLOOKUP($A535,K0kommunestruktur2019!$A$4:$N$425,K0kommunestruktur2020altern!I$3,FALSE)</f>
        <v>190464</v>
      </c>
      <c r="J535" s="177">
        <f>VLOOKUP($A535,K0kommunestruktur2019!$A$4:$N$425,K0kommunestruktur2020altern!J$3,FALSE)</f>
        <v>5733673</v>
      </c>
      <c r="K535" s="289">
        <f>VLOOKUP($A535,K0kommunestruktur2019!$A$4:$N$425,K0kommunestruktur2020altern!K$3,FALSE)</f>
        <v>193501</v>
      </c>
      <c r="L535" s="177">
        <f>VLOOKUP($A535,K0kommunestruktur2019!$A$4:$N$425,K0kommunestruktur2020altern!L$3,FALSE)</f>
        <v>6030359</v>
      </c>
      <c r="M535" s="289">
        <f>VLOOKUP($A535,K0kommunestruktur2019!$A$4:$N$425,K0kommunestruktur2020altern!M$3,FALSE)</f>
        <v>196159</v>
      </c>
      <c r="N535" s="177">
        <f>VLOOKUP($A535,K0kommunestruktur2019!$A$4:$N$425,K0kommunestruktur2020altern!N$3,FALSE)</f>
        <v>6305500</v>
      </c>
    </row>
    <row r="536" spans="1:14" ht="13">
      <c r="A536" s="1">
        <v>5030</v>
      </c>
      <c r="B536" s="2" t="s">
        <v>139</v>
      </c>
      <c r="C536" s="290">
        <f>VLOOKUP($A536,K0kommunestruktur2019!$A$4:$N$425,K0kommunestruktur2020altern!C$3,FALSE)</f>
        <v>5970</v>
      </c>
      <c r="D536" s="177">
        <f>VLOOKUP($A536,K0kommunestruktur2019!$A$4:$N$425,K0kommunestruktur2020altern!D$3,FALSE)</f>
        <v>128833</v>
      </c>
      <c r="E536" s="289">
        <f>VLOOKUP($A536,K0kommunestruktur2019!$A$4:$N$425,K0kommunestruktur2020altern!E$3,FALSE)</f>
        <v>5995</v>
      </c>
      <c r="F536" s="177">
        <f>VLOOKUP($A536,K0kommunestruktur2019!$A$4:$N$425,K0kommunestruktur2020altern!F$3,FALSE)</f>
        <v>131530</v>
      </c>
      <c r="G536" s="289">
        <f>VLOOKUP($A536,K0kommunestruktur2019!$A$4:$N$425,K0kommunestruktur2020altern!G$3,FALSE)</f>
        <v>6067</v>
      </c>
      <c r="H536" s="177">
        <f>VLOOKUP($A536,K0kommunestruktur2019!$A$4:$N$425,K0kommunestruktur2020altern!H$3,FALSE)</f>
        <v>145327</v>
      </c>
      <c r="I536" s="289">
        <f>VLOOKUP($A536,K0kommunestruktur2019!$A$4:$N$425,K0kommunestruktur2020altern!I$3,FALSE)</f>
        <v>6050</v>
      </c>
      <c r="J536" s="177">
        <f>VLOOKUP($A536,K0kommunestruktur2019!$A$4:$N$425,K0kommunestruktur2020altern!J$3,FALSE)</f>
        <v>149554</v>
      </c>
      <c r="K536" s="289">
        <f>VLOOKUP($A536,K0kommunestruktur2019!$A$4:$N$425,K0kommunestruktur2020altern!K$3,FALSE)</f>
        <v>6094</v>
      </c>
      <c r="L536" s="177">
        <f>VLOOKUP($A536,K0kommunestruktur2019!$A$4:$N$425,K0kommunestruktur2020altern!L$3,FALSE)</f>
        <v>151440</v>
      </c>
      <c r="M536" s="289">
        <f>VLOOKUP($A536,K0kommunestruktur2019!$A$4:$N$425,K0kommunestruktur2020altern!M$3,FALSE)</f>
        <v>6076</v>
      </c>
      <c r="N536" s="177">
        <f>VLOOKUP($A536,K0kommunestruktur2019!$A$4:$N$425,K0kommunestruktur2020altern!N$3,FALSE)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VLOOKUP($A538,K0kommunestruktur2019!$A$4:$N$425,K0kommunestruktur2020altern!C$3,FALSE)</f>
        <v>21555</v>
      </c>
      <c r="D538" s="177">
        <f>VLOOKUP($A538,K0kommunestruktur2019!$A$4:$N$425,K0kommunestruktur2020altern!D$3,FALSE)</f>
        <v>403289</v>
      </c>
      <c r="E538" s="289">
        <f>VLOOKUP($A538,K0kommunestruktur2019!$A$4:$N$425,K0kommunestruktur2020altern!E$3,FALSE)</f>
        <v>21650</v>
      </c>
      <c r="F538" s="177">
        <f>VLOOKUP($A538,K0kommunestruktur2019!$A$4:$N$425,K0kommunestruktur2020altern!F$3,FALSE)</f>
        <v>426827</v>
      </c>
      <c r="G538" s="289">
        <f>VLOOKUP($A538,K0kommunestruktur2019!$A$4:$N$425,K0kommunestruktur2020altern!G$3,FALSE)</f>
        <v>21781</v>
      </c>
      <c r="H538" s="177">
        <f>VLOOKUP($A538,K0kommunestruktur2019!$A$4:$N$425,K0kommunestruktur2020altern!H$3,FALSE)</f>
        <v>467882</v>
      </c>
      <c r="I538" s="289">
        <f>VLOOKUP($A538,K0kommunestruktur2019!$A$4:$N$425,K0kommunestruktur2020altern!I$3,FALSE)</f>
        <v>21972</v>
      </c>
      <c r="J538" s="177">
        <f>VLOOKUP($A538,K0kommunestruktur2019!$A$4:$N$425,K0kommunestruktur2020altern!J$3,FALSE)</f>
        <v>488540</v>
      </c>
      <c r="K538" s="289">
        <f>VLOOKUP($A538,K0kommunestruktur2019!$A$4:$N$425,K0kommunestruktur2020altern!K$3,FALSE)</f>
        <v>22096</v>
      </c>
      <c r="L538" s="177">
        <f>VLOOKUP($A538,K0kommunestruktur2019!$A$4:$N$425,K0kommunestruktur2020altern!L$3,FALSE)</f>
        <v>507896</v>
      </c>
      <c r="M538" s="289">
        <f>VLOOKUP($A538,K0kommunestruktur2019!$A$4:$N$425,K0kommunestruktur2020altern!M$3,FALSE)</f>
        <v>22090</v>
      </c>
      <c r="N538" s="177">
        <f>VLOOKUP($A538,K0kommunestruktur2019!$A$4:$N$425,K0kommunestruktur2020altern!N$3,FALSE)</f>
        <v>521680</v>
      </c>
    </row>
    <row r="539" spans="1:14" ht="13">
      <c r="A539" s="1">
        <v>5039</v>
      </c>
      <c r="B539" s="2" t="s">
        <v>153</v>
      </c>
      <c r="C539" s="290">
        <f>VLOOKUP($A539,K0kommunestruktur2019!$A$4:$N$425,K0kommunestruktur2020altern!C$3,FALSE)</f>
        <v>2562</v>
      </c>
      <c r="D539" s="177">
        <f>VLOOKUP($A539,K0kommunestruktur2019!$A$4:$N$425,K0kommunestruktur2020altern!D$3,FALSE)</f>
        <v>34092</v>
      </c>
      <c r="E539" s="289">
        <f>VLOOKUP($A539,K0kommunestruktur2019!$A$4:$N$425,K0kommunestruktur2020altern!E$3,FALSE)</f>
        <v>2547</v>
      </c>
      <c r="F539" s="177">
        <f>VLOOKUP($A539,K0kommunestruktur2019!$A$4:$N$425,K0kommunestruktur2020altern!F$3,FALSE)</f>
        <v>43785</v>
      </c>
      <c r="G539" s="289">
        <f>VLOOKUP($A539,K0kommunestruktur2019!$A$4:$N$425,K0kommunestruktur2020altern!G$3,FALSE)</f>
        <v>2527</v>
      </c>
      <c r="H539" s="177">
        <f>VLOOKUP($A539,K0kommunestruktur2019!$A$4:$N$425,K0kommunestruktur2020altern!H$3,FALSE)</f>
        <v>44616</v>
      </c>
      <c r="I539" s="289">
        <f>VLOOKUP($A539,K0kommunestruktur2019!$A$4:$N$425,K0kommunestruktur2020altern!I$3,FALSE)</f>
        <v>2515</v>
      </c>
      <c r="J539" s="177">
        <f>VLOOKUP($A539,K0kommunestruktur2019!$A$4:$N$425,K0kommunestruktur2020altern!J$3,FALSE)</f>
        <v>47869</v>
      </c>
      <c r="K539" s="289">
        <f>VLOOKUP($A539,K0kommunestruktur2019!$A$4:$N$425,K0kommunestruktur2020altern!K$3,FALSE)</f>
        <v>2473</v>
      </c>
      <c r="L539" s="177">
        <f>VLOOKUP($A539,K0kommunestruktur2019!$A$4:$N$425,K0kommunestruktur2020altern!L$3,FALSE)</f>
        <v>50171</v>
      </c>
      <c r="M539" s="289">
        <f>VLOOKUP($A539,K0kommunestruktur2019!$A$4:$N$425,K0kommunestruktur2020altern!M$3,FALSE)</f>
        <v>2449</v>
      </c>
      <c r="N539" s="177">
        <f>VLOOKUP($A539,K0kommunestruktur2019!$A$4:$N$425,K0kommunestruktur2020altern!N$3,FALSE)</f>
        <v>52911</v>
      </c>
    </row>
    <row r="540" spans="1:14" ht="13">
      <c r="A540" s="1"/>
      <c r="B540" s="894" t="s">
        <v>1761</v>
      </c>
      <c r="C540" s="290">
        <f>C539*$M540/$M539</f>
        <v>-70.0914659044508</v>
      </c>
      <c r="D540" s="177">
        <f>D541*C540/C539</f>
        <v>-846.86076725193948</v>
      </c>
      <c r="E540" s="289">
        <f>E539*$M540/$M539</f>
        <v>-69.681094324213959</v>
      </c>
      <c r="F540" s="912">
        <f>F541*E540/E539</f>
        <v>-1117.0929424254796</v>
      </c>
      <c r="G540" s="289">
        <f>G539*$M540/$M539</f>
        <v>-69.133932217231518</v>
      </c>
      <c r="H540" s="177">
        <f>H541*G540/G539</f>
        <v>-1135.4494650877909</v>
      </c>
      <c r="I540" s="289">
        <f>I539*$M540/$M539</f>
        <v>-68.805634953042059</v>
      </c>
      <c r="J540" s="177">
        <f>J541*I540/I539</f>
        <v>-1224.5254316047367</v>
      </c>
      <c r="K540" s="289">
        <f>K539*$M540/$M539</f>
        <v>-67.656594528378932</v>
      </c>
      <c r="L540" s="177">
        <f>L541*K540/K539</f>
        <v>-1282.3564720293998</v>
      </c>
      <c r="M540" s="962">
        <v>-67</v>
      </c>
      <c r="N540" s="177">
        <f>N541*M540/M539</f>
        <v>-1359.3695385871783</v>
      </c>
    </row>
    <row r="541" spans="1:14" ht="13">
      <c r="A541" s="1"/>
      <c r="B541" s="885" t="s">
        <v>1846</v>
      </c>
      <c r="C541" s="290"/>
      <c r="D541" s="177">
        <v>30954.656999999999</v>
      </c>
      <c r="E541" s="289"/>
      <c r="F541" s="177">
        <v>40832.248</v>
      </c>
      <c r="G541" s="289"/>
      <c r="H541" s="177">
        <v>41503.22</v>
      </c>
      <c r="I541" s="289"/>
      <c r="J541" s="177">
        <v>44759.146000000001</v>
      </c>
      <c r="K541" s="289"/>
      <c r="L541" s="177">
        <v>46873</v>
      </c>
      <c r="M541" s="289"/>
      <c r="N541" s="177">
        <v>49688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VLOOKUP($A543,K0kommunestruktur2019!$A$4:$N$425,K0kommunestruktur2020altern!C$3,FALSE)</f>
        <v>13083</v>
      </c>
      <c r="D543" s="177">
        <f>VLOOKUP($A543,K0kommunestruktur2019!$A$4:$N$425,K0kommunestruktur2020altern!D$3,FALSE)</f>
        <v>253179</v>
      </c>
      <c r="E543" s="289">
        <f>VLOOKUP($A543,K0kommunestruktur2019!$A$4:$N$425,K0kommunestruktur2020altern!E$3,FALSE)</f>
        <v>13026</v>
      </c>
      <c r="F543" s="177">
        <f>VLOOKUP($A543,K0kommunestruktur2019!$A$4:$N$425,K0kommunestruktur2020altern!F$3,FALSE)</f>
        <v>267385</v>
      </c>
      <c r="G543" s="289">
        <f>VLOOKUP($A543,K0kommunestruktur2019!$A$4:$N$425,K0kommunestruktur2020altern!G$3,FALSE)</f>
        <v>13010</v>
      </c>
      <c r="H543" s="177">
        <f>VLOOKUP($A543,K0kommunestruktur2019!$A$4:$N$425,K0kommunestruktur2020altern!H$3,FALSE)</f>
        <v>296053</v>
      </c>
      <c r="I543" s="289">
        <f>VLOOKUP($A543,K0kommunestruktur2019!$A$4:$N$425,K0kommunestruktur2020altern!I$3,FALSE)</f>
        <v>13051</v>
      </c>
      <c r="J543" s="177">
        <f>VLOOKUP($A543,K0kommunestruktur2019!$A$4:$N$425,K0kommunestruktur2020altern!J$3,FALSE)</f>
        <v>308334</v>
      </c>
      <c r="K543" s="289">
        <f>VLOOKUP($A543,K0kommunestruktur2019!$A$4:$N$425,K0kommunestruktur2020altern!K$3,FALSE)</f>
        <v>13078</v>
      </c>
      <c r="L543" s="177">
        <f>VLOOKUP($A543,K0kommunestruktur2019!$A$4:$N$425,K0kommunestruktur2020altern!L$3,FALSE)</f>
        <v>318589</v>
      </c>
      <c r="M543" s="289">
        <f>VLOOKUP($A543,K0kommunestruktur2019!$A$4:$N$425,K0kommunestruktur2020altern!M$3,FALSE)</f>
        <v>13113</v>
      </c>
      <c r="N543" s="177">
        <f>VLOOKUP($A543,K0kommunestruktur2019!$A$4:$N$425,K0kommunestruktur2020altern!N$3,FALSE)</f>
        <v>338235</v>
      </c>
    </row>
    <row r="544" spans="1:14" ht="13">
      <c r="A544" s="1">
        <v>5040</v>
      </c>
      <c r="B544" s="2" t="s">
        <v>154</v>
      </c>
      <c r="C544" s="290">
        <f>VLOOKUP($A544,K0kommunestruktur2019!$A$4:$N$425,K0kommunestruktur2020altern!C$3,FALSE)</f>
        <v>1676</v>
      </c>
      <c r="D544" s="177">
        <f>VLOOKUP($A544,K0kommunestruktur2019!$A$4:$N$425,K0kommunestruktur2020altern!D$3,FALSE)</f>
        <v>28132</v>
      </c>
      <c r="E544" s="289">
        <f>VLOOKUP($A544,K0kommunestruktur2019!$A$4:$N$425,K0kommunestruktur2020altern!E$3,FALSE)</f>
        <v>1644</v>
      </c>
      <c r="F544" s="177">
        <f>VLOOKUP($A544,K0kommunestruktur2019!$A$4:$N$425,K0kommunestruktur2020altern!F$3,FALSE)</f>
        <v>27277</v>
      </c>
      <c r="G544" s="289">
        <f>VLOOKUP($A544,K0kommunestruktur2019!$A$4:$N$425,K0kommunestruktur2020altern!G$3,FALSE)</f>
        <v>1622</v>
      </c>
      <c r="H544" s="177">
        <f>VLOOKUP($A544,K0kommunestruktur2019!$A$4:$N$425,K0kommunestruktur2020altern!H$3,FALSE)</f>
        <v>30725</v>
      </c>
      <c r="I544" s="289">
        <f>VLOOKUP($A544,K0kommunestruktur2019!$A$4:$N$425,K0kommunestruktur2020altern!I$3,FALSE)</f>
        <v>1593</v>
      </c>
      <c r="J544" s="177">
        <f>VLOOKUP($A544,K0kommunestruktur2019!$A$4:$N$425,K0kommunestruktur2020altern!J$3,FALSE)</f>
        <v>31111</v>
      </c>
      <c r="K544" s="289">
        <f>VLOOKUP($A544,K0kommunestruktur2019!$A$4:$N$425,K0kommunestruktur2020altern!K$3,FALSE)</f>
        <v>1585</v>
      </c>
      <c r="L544" s="177">
        <f>VLOOKUP($A544,K0kommunestruktur2019!$A$4:$N$425,K0kommunestruktur2020altern!L$3,FALSE)</f>
        <v>32121</v>
      </c>
      <c r="M544" s="289">
        <f>VLOOKUP($A544,K0kommunestruktur2019!$A$4:$N$425,K0kommunestruktur2020altern!M$3,FALSE)</f>
        <v>1576</v>
      </c>
      <c r="N544" s="177">
        <f>VLOOKUP($A544,K0kommunestruktur2019!$A$4:$N$425,K0kommunestruktur2020altern!N$3,FALSE)</f>
        <v>35949</v>
      </c>
    </row>
    <row r="545" spans="1:14" ht="13">
      <c r="A545" s="1">
        <v>5048</v>
      </c>
      <c r="B545" s="2" t="s">
        <v>169</v>
      </c>
      <c r="C545" s="290">
        <f>VLOOKUP($A545,K0kommunestruktur2019!$A$4:$N$425,K0kommunestruktur2020altern!C$3,FALSE)</f>
        <v>642</v>
      </c>
      <c r="D545" s="177">
        <f>VLOOKUP($A545,K0kommunestruktur2019!$A$4:$N$425,K0kommunestruktur2020altern!D$3,FALSE)</f>
        <v>10338</v>
      </c>
      <c r="E545" s="289">
        <f>VLOOKUP($A545,K0kommunestruktur2019!$A$4:$N$425,K0kommunestruktur2020altern!E$3,FALSE)</f>
        <v>630</v>
      </c>
      <c r="F545" s="177">
        <f>VLOOKUP($A545,K0kommunestruktur2019!$A$4:$N$425,K0kommunestruktur2020altern!F$3,FALSE)</f>
        <v>10651</v>
      </c>
      <c r="G545" s="289">
        <f>VLOOKUP($A545,K0kommunestruktur2019!$A$4:$N$425,K0kommunestruktur2020altern!G$3,FALSE)</f>
        <v>633</v>
      </c>
      <c r="H545" s="177">
        <f>VLOOKUP($A545,K0kommunestruktur2019!$A$4:$N$425,K0kommunestruktur2020altern!H$3,FALSE)</f>
        <v>11315</v>
      </c>
      <c r="I545" s="289">
        <f>VLOOKUP($A545,K0kommunestruktur2019!$A$4:$N$425,K0kommunestruktur2020altern!I$3,FALSE)</f>
        <v>628</v>
      </c>
      <c r="J545" s="177">
        <f>VLOOKUP($A545,K0kommunestruktur2019!$A$4:$N$425,K0kommunestruktur2020altern!J$3,FALSE)</f>
        <v>11682</v>
      </c>
      <c r="K545" s="289">
        <f>VLOOKUP($A545,K0kommunestruktur2019!$A$4:$N$425,K0kommunestruktur2020altern!K$3,FALSE)</f>
        <v>618</v>
      </c>
      <c r="L545" s="177">
        <f>VLOOKUP($A545,K0kommunestruktur2019!$A$4:$N$425,K0kommunestruktur2020altern!L$3,FALSE)</f>
        <v>12474</v>
      </c>
      <c r="M545" s="289">
        <f>VLOOKUP($A545,K0kommunestruktur2019!$A$4:$N$425,K0kommunestruktur2020altern!M$3,FALSE)</f>
        <v>605</v>
      </c>
      <c r="N545" s="177">
        <f>VLOOKUP($A545,K0kommunestruktur2019!$A$4:$N$425,K0kommunestruktur2020altern!N$3,FALSE)</f>
        <v>12311</v>
      </c>
    </row>
    <row r="546" spans="1:14" ht="13">
      <c r="A546" s="1"/>
      <c r="B546" s="894" t="s">
        <v>1765</v>
      </c>
      <c r="C546" s="290">
        <f t="shared" ref="C546:N546" si="64">-C571</f>
        <v>50.919558359621448</v>
      </c>
      <c r="D546" s="177">
        <f t="shared" si="64"/>
        <v>963.63052050473175</v>
      </c>
      <c r="E546" s="289">
        <f t="shared" si="64"/>
        <v>51.090496845425868</v>
      </c>
      <c r="F546" s="912">
        <f t="shared" si="64"/>
        <v>1008.5571766561515</v>
      </c>
      <c r="G546" s="289">
        <f t="shared" si="64"/>
        <v>51.542981072555207</v>
      </c>
      <c r="H546" s="177">
        <f t="shared" si="64"/>
        <v>1109.2097791798108</v>
      </c>
      <c r="I546" s="289">
        <f t="shared" si="64"/>
        <v>51.663643533123029</v>
      </c>
      <c r="J546" s="177">
        <f t="shared" si="64"/>
        <v>1156.4089116719242</v>
      </c>
      <c r="K546" s="289">
        <f t="shared" si="64"/>
        <v>51.452484227129339</v>
      </c>
      <c r="L546" s="177">
        <f t="shared" si="64"/>
        <v>1263.195189274448</v>
      </c>
      <c r="M546" s="962">
        <f t="shared" si="64"/>
        <v>51</v>
      </c>
      <c r="N546" s="177">
        <f t="shared" si="64"/>
        <v>1326.6535883280758</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VLOOKUP($A548,K0kommunestruktur2019!$A$4:$N$425,K0kommunestruktur2020altern!C$3,FALSE)</f>
        <v>1581</v>
      </c>
      <c r="D548" s="177">
        <f>VLOOKUP($A548,K0kommunestruktur2019!$A$4:$N$425,K0kommunestruktur2020altern!D$3,FALSE)</f>
        <v>33613</v>
      </c>
      <c r="E548" s="289">
        <f>VLOOKUP($A548,K0kommunestruktur2019!$A$4:$N$425,K0kommunestruktur2020altern!E$3,FALSE)</f>
        <v>1563</v>
      </c>
      <c r="F548" s="177">
        <f>VLOOKUP($A548,K0kommunestruktur2019!$A$4:$N$425,K0kommunestruktur2020altern!F$3,FALSE)</f>
        <v>32045</v>
      </c>
      <c r="G548" s="289">
        <f>VLOOKUP($A548,K0kommunestruktur2019!$A$4:$N$425,K0kommunestruktur2020altern!G$3,FALSE)</f>
        <v>1547</v>
      </c>
      <c r="H548" s="177">
        <f>VLOOKUP($A548,K0kommunestruktur2019!$A$4:$N$425,K0kommunestruktur2020altern!H$3,FALSE)</f>
        <v>34151</v>
      </c>
      <c r="I548" s="289">
        <f>VLOOKUP($A548,K0kommunestruktur2019!$A$4:$N$425,K0kommunestruktur2020altern!I$3,FALSE)</f>
        <v>1599</v>
      </c>
      <c r="J548" s="177">
        <f>VLOOKUP($A548,K0kommunestruktur2019!$A$4:$N$425,K0kommunestruktur2020altern!J$3,FALSE)</f>
        <v>35422</v>
      </c>
      <c r="K548" s="289">
        <f>VLOOKUP($A548,K0kommunestruktur2019!$A$4:$N$425,K0kommunestruktur2020altern!K$3,FALSE)</f>
        <v>1571</v>
      </c>
      <c r="L548" s="177">
        <f>VLOOKUP($A548,K0kommunestruktur2019!$A$4:$N$425,K0kommunestruktur2020altern!L$3,FALSE)</f>
        <v>36197</v>
      </c>
      <c r="M548" s="289">
        <f>VLOOKUP($A548,K0kommunestruktur2019!$A$4:$N$425,K0kommunestruktur2020altern!M$3,FALSE)</f>
        <v>1574</v>
      </c>
      <c r="N548" s="177">
        <f>VLOOKUP($A548,K0kommunestruktur2019!$A$4:$N$425,K0kommunestruktur2020altern!N$3,FALSE)</f>
        <v>39984</v>
      </c>
    </row>
    <row r="549" spans="1:14" ht="13">
      <c r="A549" s="1">
        <v>5011</v>
      </c>
      <c r="B549" s="2" t="s">
        <v>119</v>
      </c>
      <c r="C549" s="290">
        <f>VLOOKUP($A549,K0kommunestruktur2019!$A$4:$N$425,K0kommunestruktur2020altern!C$3,FALSE)</f>
        <v>4224</v>
      </c>
      <c r="D549" s="177">
        <f>VLOOKUP($A549,K0kommunestruktur2019!$A$4:$N$425,K0kommunestruktur2020altern!D$3,FALSE)</f>
        <v>88756</v>
      </c>
      <c r="E549" s="289">
        <f>VLOOKUP($A549,K0kommunestruktur2019!$A$4:$N$425,K0kommunestruktur2020altern!E$3,FALSE)</f>
        <v>4254</v>
      </c>
      <c r="F549" s="177">
        <f>VLOOKUP($A549,K0kommunestruktur2019!$A$4:$N$425,K0kommunestruktur2020altern!F$3,FALSE)</f>
        <v>90880</v>
      </c>
      <c r="G549" s="289">
        <f>VLOOKUP($A549,K0kommunestruktur2019!$A$4:$N$425,K0kommunestruktur2020altern!G$3,FALSE)</f>
        <v>4260</v>
      </c>
      <c r="H549" s="177">
        <f>VLOOKUP($A549,K0kommunestruktur2019!$A$4:$N$425,K0kommunestruktur2020altern!H$3,FALSE)</f>
        <v>98194</v>
      </c>
      <c r="I549" s="289">
        <f>VLOOKUP($A549,K0kommunestruktur2019!$A$4:$N$425,K0kommunestruktur2020altern!I$3,FALSE)</f>
        <v>4259</v>
      </c>
      <c r="J549" s="177">
        <f>VLOOKUP($A549,K0kommunestruktur2019!$A$4:$N$425,K0kommunestruktur2020altern!J$3,FALSE)</f>
        <v>104407</v>
      </c>
      <c r="K549" s="289">
        <f>VLOOKUP($A549,K0kommunestruktur2019!$A$4:$N$425,K0kommunestruktur2020altern!K$3,FALSE)</f>
        <v>4225</v>
      </c>
      <c r="L549" s="177">
        <f>VLOOKUP($A549,K0kommunestruktur2019!$A$4:$N$425,K0kommunestruktur2020altern!L$3,FALSE)</f>
        <v>111639</v>
      </c>
      <c r="M549" s="289">
        <f>VLOOKUP($A549,K0kommunestruktur2019!$A$4:$N$425,K0kommunestruktur2020altern!M$3,FALSE)</f>
        <v>4228</v>
      </c>
      <c r="N549" s="177">
        <f>VLOOKUP($A549,K0kommunestruktur2019!$A$4:$N$425,K0kommunestruktur2020altern!N$3,FALSE)</f>
        <v>118012</v>
      </c>
    </row>
    <row r="550" spans="1:14" ht="13">
      <c r="A550" s="1">
        <v>5012</v>
      </c>
      <c r="B550" s="894" t="s">
        <v>1768</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(208/VLOOKUP($A550,K0kommunestruktur2019!$A$4:$N$425,13,FALSE))*VLOOKUP($A550,K0kommunestruktur2019!$A$4:$N$425,K0kommunestruktur2020altern!M$3,FALSE)</f>
        <v>208</v>
      </c>
      <c r="N550" s="177">
        <f>K0kommunestruktur2019!N346*$M550/($M550+$M554+$M566)</f>
        <v>6000.9769769769773</v>
      </c>
    </row>
    <row r="551" spans="1:14" ht="13">
      <c r="A551" s="1"/>
      <c r="B551" s="885" t="s">
        <v>1839</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VLOOKUP($A553,K0kommunestruktur2019!$A$4:$N$425,K0kommunestruktur2020altern!C$3,FALSE)</f>
        <v>4522</v>
      </c>
      <c r="D553" s="177">
        <f>VLOOKUP($A553,K0kommunestruktur2019!$A$4:$N$425,K0kommunestruktur2020altern!D$3,FALSE)</f>
        <v>90135</v>
      </c>
      <c r="E553" s="289">
        <f>VLOOKUP($A553,K0kommunestruktur2019!$A$4:$N$425,K0kommunestruktur2020altern!E$3,FALSE)</f>
        <v>4569</v>
      </c>
      <c r="F553" s="177">
        <f>VLOOKUP($A553,K0kommunestruktur2019!$A$4:$N$425,K0kommunestruktur2020altern!F$3,FALSE)</f>
        <v>97955</v>
      </c>
      <c r="G553" s="289">
        <f>VLOOKUP($A553,K0kommunestruktur2019!$A$4:$N$425,K0kommunestruktur2020altern!G$3,FALSE)</f>
        <v>4622</v>
      </c>
      <c r="H553" s="177">
        <f>VLOOKUP($A553,K0kommunestruktur2019!$A$4:$N$425,K0kommunestruktur2020altern!H$3,FALSE)</f>
        <v>106217</v>
      </c>
      <c r="I553" s="289">
        <f>VLOOKUP($A553,K0kommunestruktur2019!$A$4:$N$425,K0kommunestruktur2020altern!I$3,FALSE)</f>
        <v>4659</v>
      </c>
      <c r="J553" s="177">
        <f>VLOOKUP($A553,K0kommunestruktur2019!$A$4:$N$425,K0kommunestruktur2020altern!J$3,FALSE)</f>
        <v>112469</v>
      </c>
      <c r="K553" s="289">
        <f>VLOOKUP($A553,K0kommunestruktur2019!$A$4:$N$425,K0kommunestruktur2020altern!K$3,FALSE)</f>
        <v>4648</v>
      </c>
      <c r="L553" s="177">
        <f>VLOOKUP($A553,K0kommunestruktur2019!$A$4:$N$425,K0kommunestruktur2020altern!L$3,FALSE)</f>
        <v>114744</v>
      </c>
      <c r="M553" s="289">
        <f>VLOOKUP($A553,K0kommunestruktur2019!$A$4:$N$425,K0kommunestruktur2020altern!M$3,FALSE)</f>
        <v>4694</v>
      </c>
      <c r="N553" s="177">
        <f>VLOOKUP($A553,K0kommunestruktur2019!$A$4:$N$425,K0kommunestruktur2020altern!N$3,FALSE)</f>
        <v>122556</v>
      </c>
    </row>
    <row r="554" spans="1:14" ht="13">
      <c r="A554" s="1">
        <v>5012</v>
      </c>
      <c r="B554" s="894" t="s">
        <v>1768</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(324/VLOOKUP($A554,K0kommunestruktur2019!$A$4:$N$425,13,FALSE))*VLOOKUP($A554,K0kommunestruktur2019!$A$4:$N$425,K0kommunestruktur2020altern!M$3,FALSE)</f>
        <v>324</v>
      </c>
      <c r="N554" s="177">
        <f>K0kommunestruktur2019!N346*$M554/($M550+$M554+$M566)</f>
        <v>9347.6756756756749</v>
      </c>
    </row>
    <row r="555" spans="1:14" ht="13">
      <c r="A555" s="1"/>
      <c r="B555" s="885" t="s">
        <v>1839</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VLOOKUP($A557,K0kommunestruktur2019!$A$4:$N$425,K0kommunestruktur2020altern!C$3,FALSE)</f>
        <v>5164</v>
      </c>
      <c r="D557" s="177">
        <f>VLOOKUP($A557,K0kommunestruktur2019!$A$4:$N$425,K0kommunestruktur2020altern!D$3,FALSE)</f>
        <v>102720</v>
      </c>
      <c r="E557" s="289">
        <f>VLOOKUP($A557,K0kommunestruktur2019!$A$4:$N$425,K0kommunestruktur2020altern!E$3,FALSE)</f>
        <v>5183</v>
      </c>
      <c r="F557" s="177">
        <f>VLOOKUP($A557,K0kommunestruktur2019!$A$4:$N$425,K0kommunestruktur2020altern!F$3,FALSE)</f>
        <v>115049</v>
      </c>
      <c r="G557" s="289">
        <f>VLOOKUP($A557,K0kommunestruktur2019!$A$4:$N$425,K0kommunestruktur2020altern!G$3,FALSE)</f>
        <v>5209</v>
      </c>
      <c r="H557" s="177">
        <f>VLOOKUP($A557,K0kommunestruktur2019!$A$4:$N$425,K0kommunestruktur2020altern!H$3,FALSE)</f>
        <v>119246</v>
      </c>
      <c r="I557" s="289">
        <f>VLOOKUP($A557,K0kommunestruktur2019!$A$4:$N$425,K0kommunestruktur2020altern!I$3,FALSE)</f>
        <v>5291</v>
      </c>
      <c r="J557" s="177">
        <f>VLOOKUP($A557,K0kommunestruktur2019!$A$4:$N$425,K0kommunestruktur2020altern!J$3,FALSE)</f>
        <v>131001</v>
      </c>
      <c r="K557" s="289">
        <f>VLOOKUP($A557,K0kommunestruktur2019!$A$4:$N$425,K0kommunestruktur2020altern!K$3,FALSE)</f>
        <v>5351</v>
      </c>
      <c r="L557" s="177">
        <f>VLOOKUP($A557,K0kommunestruktur2019!$A$4:$N$425,K0kommunestruktur2020altern!L$3,FALSE)</f>
        <v>140446</v>
      </c>
      <c r="M557" s="289">
        <f>VLOOKUP($A557,K0kommunestruktur2019!$A$4:$N$425,K0kommunestruktur2020altern!M$3,FALSE)</f>
        <v>5334</v>
      </c>
      <c r="N557" s="177">
        <f>VLOOKUP($A557,K0kommunestruktur2019!$A$4:$N$425,K0kommunestruktur2020altern!N$3,FALSE)</f>
        <v>144343</v>
      </c>
    </row>
    <row r="558" spans="1:14" ht="13">
      <c r="A558" s="1">
        <v>5017</v>
      </c>
      <c r="B558" s="2" t="s">
        <v>126</v>
      </c>
      <c r="C558" s="290">
        <f>VLOOKUP($A558,K0kommunestruktur2019!$A$4:$N$425,K0kommunestruktur2020altern!C$3,FALSE)</f>
        <v>4711</v>
      </c>
      <c r="D558" s="177">
        <f>VLOOKUP($A558,K0kommunestruktur2019!$A$4:$N$425,K0kommunestruktur2020altern!D$3,FALSE)</f>
        <v>84184</v>
      </c>
      <c r="E558" s="289">
        <f>VLOOKUP($A558,K0kommunestruktur2019!$A$4:$N$425,K0kommunestruktur2020altern!E$3,FALSE)</f>
        <v>4715</v>
      </c>
      <c r="F558" s="177">
        <f>VLOOKUP($A558,K0kommunestruktur2019!$A$4:$N$425,K0kommunestruktur2020altern!F$3,FALSE)</f>
        <v>89681</v>
      </c>
      <c r="G558" s="289">
        <f>VLOOKUP($A558,K0kommunestruktur2019!$A$4:$N$425,K0kommunestruktur2020altern!G$3,FALSE)</f>
        <v>4779</v>
      </c>
      <c r="H558" s="177">
        <f>VLOOKUP($A558,K0kommunestruktur2019!$A$4:$N$425,K0kommunestruktur2020altern!H$3,FALSE)</f>
        <v>98894</v>
      </c>
      <c r="I558" s="289">
        <f>VLOOKUP($A558,K0kommunestruktur2019!$A$4:$N$425,K0kommunestruktur2020altern!I$3,FALSE)</f>
        <v>4822</v>
      </c>
      <c r="J558" s="177">
        <f>VLOOKUP($A558,K0kommunestruktur2019!$A$4:$N$425,K0kommunestruktur2020altern!J$3,FALSE)</f>
        <v>102348</v>
      </c>
      <c r="K558" s="289">
        <f>VLOOKUP($A558,K0kommunestruktur2019!$A$4:$N$425,K0kommunestruktur2020altern!K$3,FALSE)</f>
        <v>4864</v>
      </c>
      <c r="L558" s="177">
        <f>VLOOKUP($A558,K0kommunestruktur2019!$A$4:$N$425,K0kommunestruktur2020altern!L$3,FALSE)</f>
        <v>111956</v>
      </c>
      <c r="M558" s="289">
        <f>VLOOKUP($A558,K0kommunestruktur2019!$A$4:$N$425,K0kommunestruktur2020altern!M$3,FALSE)</f>
        <v>4904</v>
      </c>
      <c r="N558" s="177">
        <f>VLOOKUP($A558,K0kommunestruktur2019!$A$4:$N$425,K0kommunestruktur2020altern!N$3,FALSE)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VLOOKUP($A560,K0kommunestruktur2019!$A$4:$N$425,K0kommunestruktur2020altern!C$3,FALSE)</f>
        <v>3242</v>
      </c>
      <c r="D560" s="177">
        <f>VLOOKUP($A560,K0kommunestruktur2019!$A$4:$N$425,K0kommunestruktur2020altern!D$3,FALSE)</f>
        <v>62502</v>
      </c>
      <c r="E560" s="289">
        <f>VLOOKUP($A560,K0kommunestruktur2019!$A$4:$N$425,K0kommunestruktur2020altern!E$3,FALSE)</f>
        <v>3248</v>
      </c>
      <c r="F560" s="177">
        <f>VLOOKUP($A560,K0kommunestruktur2019!$A$4:$N$425,K0kommunestruktur2020altern!F$3,FALSE)</f>
        <v>69024</v>
      </c>
      <c r="G560" s="289">
        <f>VLOOKUP($A560,K0kommunestruktur2019!$A$4:$N$425,K0kommunestruktur2020altern!G$3,FALSE)</f>
        <v>3272</v>
      </c>
      <c r="H560" s="177">
        <f>VLOOKUP($A560,K0kommunestruktur2019!$A$4:$N$425,K0kommunestruktur2020altern!H$3,FALSE)</f>
        <v>71526</v>
      </c>
      <c r="I560" s="289">
        <f>VLOOKUP($A560,K0kommunestruktur2019!$A$4:$N$425,K0kommunestruktur2020altern!I$3,FALSE)</f>
        <v>3263</v>
      </c>
      <c r="J560" s="177">
        <f>VLOOKUP($A560,K0kommunestruktur2019!$A$4:$N$425,K0kommunestruktur2020altern!J$3,FALSE)</f>
        <v>77982</v>
      </c>
      <c r="K560" s="289">
        <f>VLOOKUP($A560,K0kommunestruktur2019!$A$4:$N$425,K0kommunestruktur2020altern!K$3,FALSE)</f>
        <v>3277</v>
      </c>
      <c r="L560" s="177">
        <f>VLOOKUP($A560,K0kommunestruktur2019!$A$4:$N$425,K0kommunestruktur2020altern!L$3,FALSE)</f>
        <v>84883</v>
      </c>
      <c r="M560" s="289">
        <f>VLOOKUP($A560,K0kommunestruktur2019!$A$4:$N$425,K0kommunestruktur2020altern!M$3,FALSE)</f>
        <v>3340</v>
      </c>
      <c r="N560" s="177">
        <f>VLOOKUP($A560,K0kommunestruktur2019!$A$4:$N$425,K0kommunestruktur2020altern!N$3,FALSE)</f>
        <v>88086</v>
      </c>
    </row>
    <row r="561" spans="1:15" ht="13">
      <c r="A561" s="1">
        <v>5019</v>
      </c>
      <c r="B561" s="2" t="s">
        <v>128</v>
      </c>
      <c r="C561" s="290">
        <f>VLOOKUP($A561,K0kommunestruktur2019!$A$4:$N$425,K0kommunestruktur2020altern!C$3,FALSE)</f>
        <v>986</v>
      </c>
      <c r="D561" s="177">
        <f>VLOOKUP($A561,K0kommunestruktur2019!$A$4:$N$425,K0kommunestruktur2020altern!D$3,FALSE)</f>
        <v>16409</v>
      </c>
      <c r="E561" s="289">
        <f>VLOOKUP($A561,K0kommunestruktur2019!$A$4:$N$425,K0kommunestruktur2020altern!E$3,FALSE)</f>
        <v>977</v>
      </c>
      <c r="F561" s="177">
        <f>VLOOKUP($A561,K0kommunestruktur2019!$A$4:$N$425,K0kommunestruktur2020altern!F$3,FALSE)</f>
        <v>17958</v>
      </c>
      <c r="G561" s="289">
        <f>VLOOKUP($A561,K0kommunestruktur2019!$A$4:$N$425,K0kommunestruktur2020altern!G$3,FALSE)</f>
        <v>961</v>
      </c>
      <c r="H561" s="177">
        <f>VLOOKUP($A561,K0kommunestruktur2019!$A$4:$N$425,K0kommunestruktur2020altern!H$3,FALSE)</f>
        <v>20232</v>
      </c>
      <c r="I561" s="289">
        <f>VLOOKUP($A561,K0kommunestruktur2019!$A$4:$N$425,K0kommunestruktur2020altern!I$3,FALSE)</f>
        <v>959</v>
      </c>
      <c r="J561" s="177">
        <f>VLOOKUP($A561,K0kommunestruktur2019!$A$4:$N$425,K0kommunestruktur2020altern!J$3,FALSE)</f>
        <v>20395</v>
      </c>
      <c r="K561" s="289">
        <f>VLOOKUP($A561,K0kommunestruktur2019!$A$4:$N$425,K0kommunestruktur2020altern!K$3,FALSE)</f>
        <v>953</v>
      </c>
      <c r="L561" s="177">
        <f>VLOOKUP($A561,K0kommunestruktur2019!$A$4:$N$425,K0kommunestruktur2020altern!L$3,FALSE)</f>
        <v>20843</v>
      </c>
      <c r="M561" s="289">
        <f>VLOOKUP($A561,K0kommunestruktur2019!$A$4:$N$425,K0kommunestruktur2020altern!M$3,FALSE)</f>
        <v>957</v>
      </c>
      <c r="N561" s="177">
        <f>VLOOKUP($A561,K0kommunestruktur2019!$A$4:$N$425,K0kommunestruktur2020altern!N$3,FALSE)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VLOOKUP($A563,K0kommunestruktur2019!$A$4:$N$425,K0kommunestruktur2020altern!C$3,FALSE)</f>
        <v>1744</v>
      </c>
      <c r="D563" s="177">
        <f>VLOOKUP($A563,K0kommunestruktur2019!$A$4:$N$425,K0kommunestruktur2020altern!D$3,FALSE)</f>
        <v>32042</v>
      </c>
      <c r="E563" s="289">
        <f>VLOOKUP($A563,K0kommunestruktur2019!$A$4:$N$425,K0kommunestruktur2020altern!E$3,FALSE)</f>
        <v>1770</v>
      </c>
      <c r="F563" s="177">
        <f>VLOOKUP($A563,K0kommunestruktur2019!$A$4:$N$425,K0kommunestruktur2020altern!F$3,FALSE)</f>
        <v>32908</v>
      </c>
      <c r="G563" s="289">
        <f>VLOOKUP($A563,K0kommunestruktur2019!$A$4:$N$425,K0kommunestruktur2020altern!G$3,FALSE)</f>
        <v>1733</v>
      </c>
      <c r="H563" s="177">
        <f>VLOOKUP($A563,K0kommunestruktur2019!$A$4:$N$425,K0kommunestruktur2020altern!H$3,FALSE)</f>
        <v>34554</v>
      </c>
      <c r="I563" s="289">
        <f>VLOOKUP($A563,K0kommunestruktur2019!$A$4:$N$425,K0kommunestruktur2020altern!I$3,FALSE)</f>
        <v>1711</v>
      </c>
      <c r="J563" s="177">
        <f>VLOOKUP($A563,K0kommunestruktur2019!$A$4:$N$425,K0kommunestruktur2020altern!J$3,FALSE)</f>
        <v>37227</v>
      </c>
      <c r="K563" s="289">
        <f>VLOOKUP($A563,K0kommunestruktur2019!$A$4:$N$425,K0kommunestruktur2020altern!K$3,FALSE)</f>
        <v>1684</v>
      </c>
      <c r="L563" s="177">
        <f>VLOOKUP($A563,K0kommunestruktur2019!$A$4:$N$425,K0kommunestruktur2020altern!L$3,FALSE)</f>
        <v>36630</v>
      </c>
      <c r="M563" s="289">
        <f>VLOOKUP($A563,K0kommunestruktur2019!$A$4:$N$425,K0kommunestruktur2020altern!M$3,FALSE)</f>
        <v>1693</v>
      </c>
      <c r="N563" s="177">
        <f>VLOOKUP($A563,K0kommunestruktur2019!$A$4:$N$425,K0kommunestruktur2020altern!N$3,FALSE)</f>
        <v>39471</v>
      </c>
    </row>
    <row r="564" spans="1:15" ht="13">
      <c r="A564" s="1">
        <v>5023</v>
      </c>
      <c r="B564" s="2" t="s">
        <v>132</v>
      </c>
      <c r="C564" s="290">
        <f>VLOOKUP($A564,K0kommunestruktur2019!$A$4:$N$425,K0kommunestruktur2020altern!C$3,FALSE)</f>
        <v>3962</v>
      </c>
      <c r="D564" s="177">
        <f>VLOOKUP($A564,K0kommunestruktur2019!$A$4:$N$425,K0kommunestruktur2020altern!D$3,FALSE)</f>
        <v>73276</v>
      </c>
      <c r="E564" s="289">
        <f>VLOOKUP($A564,K0kommunestruktur2019!$A$4:$N$425,K0kommunestruktur2020altern!E$3,FALSE)</f>
        <v>3967</v>
      </c>
      <c r="F564" s="177">
        <f>VLOOKUP($A564,K0kommunestruktur2019!$A$4:$N$425,K0kommunestruktur2020altern!F$3,FALSE)</f>
        <v>76287</v>
      </c>
      <c r="G564" s="289">
        <f>VLOOKUP($A564,K0kommunestruktur2019!$A$4:$N$425,K0kommunestruktur2020altern!G$3,FALSE)</f>
        <v>3954</v>
      </c>
      <c r="H564" s="177">
        <f>VLOOKUP($A564,K0kommunestruktur2019!$A$4:$N$425,K0kommunestruktur2020altern!H$3,FALSE)</f>
        <v>89225</v>
      </c>
      <c r="I564" s="289">
        <f>VLOOKUP($A564,K0kommunestruktur2019!$A$4:$N$425,K0kommunestruktur2020altern!I$3,FALSE)</f>
        <v>3960</v>
      </c>
      <c r="J564" s="177">
        <f>VLOOKUP($A564,K0kommunestruktur2019!$A$4:$N$425,K0kommunestruktur2020altern!J$3,FALSE)</f>
        <v>89846</v>
      </c>
      <c r="K564" s="289">
        <f>VLOOKUP($A564,K0kommunestruktur2019!$A$4:$N$425,K0kommunestruktur2020altern!K$3,FALSE)</f>
        <v>3930</v>
      </c>
      <c r="L564" s="177">
        <f>VLOOKUP($A564,K0kommunestruktur2019!$A$4:$N$425,K0kommunestruktur2020altern!L$3,FALSE)</f>
        <v>88373</v>
      </c>
      <c r="M564" s="289">
        <f>VLOOKUP($A564,K0kommunestruktur2019!$A$4:$N$425,K0kommunestruktur2020altern!M$3,FALSE)</f>
        <v>3905</v>
      </c>
      <c r="N564" s="177">
        <f>VLOOKUP($A564,K0kommunestruktur2019!$A$4:$N$425,K0kommunestruktur2020altern!N$3,FALSE)</f>
        <v>94349</v>
      </c>
    </row>
    <row r="565" spans="1:15" ht="13">
      <c r="A565" s="1">
        <v>5024</v>
      </c>
      <c r="B565" s="2" t="s">
        <v>133</v>
      </c>
      <c r="C565" s="290">
        <f>VLOOKUP($A565,K0kommunestruktur2019!$A$4:$N$425,K0kommunestruktur2020altern!C$3,FALSE)</f>
        <v>11628</v>
      </c>
      <c r="D565" s="177">
        <f>VLOOKUP($A565,K0kommunestruktur2019!$A$4:$N$425,K0kommunestruktur2020altern!D$3,FALSE)</f>
        <v>234704</v>
      </c>
      <c r="E565" s="289">
        <f>VLOOKUP($A565,K0kommunestruktur2019!$A$4:$N$425,K0kommunestruktur2020altern!E$3,FALSE)</f>
        <v>11722</v>
      </c>
      <c r="F565" s="177">
        <f>VLOOKUP($A565,K0kommunestruktur2019!$A$4:$N$425,K0kommunestruktur2020altern!F$3,FALSE)</f>
        <v>250084</v>
      </c>
      <c r="G565" s="289">
        <f>VLOOKUP($A565,K0kommunestruktur2019!$A$4:$N$425,K0kommunestruktur2020altern!G$3,FALSE)</f>
        <v>11779</v>
      </c>
      <c r="H565" s="177">
        <f>VLOOKUP($A565,K0kommunestruktur2019!$A$4:$N$425,K0kommunestruktur2020altern!H$3,FALSE)</f>
        <v>269668</v>
      </c>
      <c r="I565" s="289">
        <f>VLOOKUP($A565,K0kommunestruktur2019!$A$4:$N$425,K0kommunestruktur2020altern!I$3,FALSE)</f>
        <v>11891</v>
      </c>
      <c r="J565" s="177">
        <f>VLOOKUP($A565,K0kommunestruktur2019!$A$4:$N$425,K0kommunestruktur2020altern!J$3,FALSE)</f>
        <v>279573</v>
      </c>
      <c r="K565" s="289">
        <f>VLOOKUP($A565,K0kommunestruktur2019!$A$4:$N$425,K0kommunestruktur2020altern!K$3,FALSE)</f>
        <v>11933</v>
      </c>
      <c r="L565" s="177">
        <f>VLOOKUP($A565,K0kommunestruktur2019!$A$4:$N$425,K0kommunestruktur2020altern!L$3,FALSE)</f>
        <v>289138</v>
      </c>
      <c r="M565" s="289">
        <f>VLOOKUP($A565,K0kommunestruktur2019!$A$4:$N$425,K0kommunestruktur2020altern!M$3,FALSE)</f>
        <v>12086</v>
      </c>
      <c r="N565" s="177">
        <f>VLOOKUP($A565,K0kommunestruktur2019!$A$4:$N$425,K0kommunestruktur2020altern!N$3,FALSE)</f>
        <v>309448</v>
      </c>
    </row>
    <row r="566" spans="1:15" ht="13">
      <c r="A566" s="1">
        <v>5012</v>
      </c>
      <c r="B566" s="894" t="s">
        <v>1768</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(467/VLOOKUP($A566,K0kommunestruktur2019!$A$4:$N$425,13,FALSE))*VLOOKUP($A566,K0kommunestruktur2019!$A$4:$N$425,K0kommunestruktur2020altern!M$3,FALSE)</f>
        <v>467</v>
      </c>
      <c r="N566" s="177">
        <f>K0kommunestruktur2019!N346*$M566/($M550+$M554+$M566)</f>
        <v>13473.347347347348</v>
      </c>
    </row>
    <row r="567" spans="1:15" ht="13">
      <c r="A567" s="1"/>
      <c r="B567" s="885" t="s">
        <v>1839</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VLOOKUP($A569,K0kommunestruktur2019!$A$4:$N$425,K0kommunestruktur2020altern!C$3,FALSE)</f>
        <v>4321</v>
      </c>
      <c r="D569" s="177">
        <f>VLOOKUP($A569,K0kommunestruktur2019!$A$4:$N$425,K0kommunestruktur2020altern!D$3,FALSE)</f>
        <v>88579</v>
      </c>
      <c r="E569" s="289">
        <f>VLOOKUP($A569,K0kommunestruktur2019!$A$4:$N$425,K0kommunestruktur2020altern!E$3,FALSE)</f>
        <v>4363</v>
      </c>
      <c r="F569" s="177">
        <f>VLOOKUP($A569,K0kommunestruktur2019!$A$4:$N$425,K0kommunestruktur2020altern!F$3,FALSE)</f>
        <v>94283</v>
      </c>
      <c r="G569" s="289">
        <f>VLOOKUP($A569,K0kommunestruktur2019!$A$4:$N$425,K0kommunestruktur2020altern!G$3,FALSE)</f>
        <v>4387</v>
      </c>
      <c r="H569" s="177">
        <f>VLOOKUP($A569,K0kommunestruktur2019!$A$4:$N$425,K0kommunestruktur2020altern!H$3,FALSE)</f>
        <v>107429</v>
      </c>
      <c r="I569" s="289">
        <f>VLOOKUP($A569,K0kommunestruktur2019!$A$4:$N$425,K0kommunestruktur2020altern!I$3,FALSE)</f>
        <v>4418</v>
      </c>
      <c r="J569" s="177">
        <f>VLOOKUP($A569,K0kommunestruktur2019!$A$4:$N$425,K0kommunestruktur2020altern!J$3,FALSE)</f>
        <v>116736</v>
      </c>
      <c r="K569" s="289">
        <f>VLOOKUP($A569,K0kommunestruktur2019!$A$4:$N$425,K0kommunestruktur2020altern!K$3,FALSE)</f>
        <v>4492</v>
      </c>
      <c r="L569" s="177">
        <f>VLOOKUP($A569,K0kommunestruktur2019!$A$4:$N$425,K0kommunestruktur2020altern!L$3,FALSE)</f>
        <v>127124</v>
      </c>
      <c r="M569" s="289">
        <f>VLOOKUP($A569,K0kommunestruktur2019!$A$4:$N$425,K0kommunestruktur2020altern!M$3,FALSE)</f>
        <v>4578</v>
      </c>
      <c r="N569" s="177">
        <f>VLOOKUP($A569,K0kommunestruktur2019!$A$4:$N$425,K0kommunestruktur2020altern!N$3,FALSE)</f>
        <v>143383</v>
      </c>
    </row>
    <row r="570" spans="1:15" ht="13">
      <c r="A570" s="1">
        <v>5051</v>
      </c>
      <c r="B570" s="2" t="s">
        <v>172</v>
      </c>
      <c r="C570" s="290">
        <f>VLOOKUP($A570,K0kommunestruktur2019!$A$4:$N$425,K0kommunestruktur2020altern!C$3,FALSE)</f>
        <v>5064</v>
      </c>
      <c r="D570" s="177">
        <f>VLOOKUP($A570,K0kommunestruktur2019!$A$4:$N$425,K0kommunestruktur2020altern!D$3,FALSE)</f>
        <v>95834</v>
      </c>
      <c r="E570" s="289">
        <f>VLOOKUP($A570,K0kommunestruktur2019!$A$4:$N$425,K0kommunestruktur2020altern!E$3,FALSE)</f>
        <v>5081</v>
      </c>
      <c r="F570" s="177">
        <f>VLOOKUP($A570,K0kommunestruktur2019!$A$4:$N$425,K0kommunestruktur2020altern!F$3,FALSE)</f>
        <v>100302</v>
      </c>
      <c r="G570" s="289">
        <f>VLOOKUP($A570,K0kommunestruktur2019!$A$4:$N$425,K0kommunestruktur2020altern!G$3,FALSE)</f>
        <v>5126</v>
      </c>
      <c r="H570" s="177">
        <f>VLOOKUP($A570,K0kommunestruktur2019!$A$4:$N$425,K0kommunestruktur2020altern!H$3,FALSE)</f>
        <v>110312</v>
      </c>
      <c r="I570" s="289">
        <f>VLOOKUP($A570,K0kommunestruktur2019!$A$4:$N$425,K0kommunestruktur2020altern!I$3,FALSE)</f>
        <v>5138</v>
      </c>
      <c r="J570" s="177">
        <f>VLOOKUP($A570,K0kommunestruktur2019!$A$4:$N$425,K0kommunestruktur2020altern!J$3,FALSE)</f>
        <v>115006</v>
      </c>
      <c r="K570" s="289">
        <f>VLOOKUP($A570,K0kommunestruktur2019!$A$4:$N$425,K0kommunestruktur2020altern!K$3,FALSE)</f>
        <v>5117</v>
      </c>
      <c r="L570" s="177">
        <f>VLOOKUP($A570,K0kommunestruktur2019!$A$4:$N$425,K0kommunestruktur2020altern!L$3,FALSE)</f>
        <v>125626</v>
      </c>
      <c r="M570" s="289">
        <f>VLOOKUP($A570,K0kommunestruktur2019!$A$4:$N$425,K0kommunestruktur2020altern!M$3,FALSE)</f>
        <v>5072</v>
      </c>
      <c r="N570" s="177">
        <f>VLOOKUP($A570,K0kommunestruktur2019!$A$4:$N$425,K0kommunestruktur2020altern!N$3,FALSE)</f>
        <v>131937</v>
      </c>
    </row>
    <row r="571" spans="1:15" ht="13">
      <c r="A571" s="1"/>
      <c r="B571" s="894" t="s">
        <v>1765</v>
      </c>
      <c r="C571" s="290">
        <f>C570*$M571/$M570</f>
        <v>-50.919558359621448</v>
      </c>
      <c r="D571" s="177">
        <f>+D570*C571/C570</f>
        <v>-963.63052050473175</v>
      </c>
      <c r="E571" s="289">
        <f>E570*$M571/$M570</f>
        <v>-51.090496845425868</v>
      </c>
      <c r="F571" s="912">
        <f>+F570*E571/E570</f>
        <v>-1008.5571766561515</v>
      </c>
      <c r="G571" s="289">
        <f>G570*$M571/$M570</f>
        <v>-51.542981072555207</v>
      </c>
      <c r="H571" s="177">
        <f>+H570*G571/G570</f>
        <v>-1109.2097791798108</v>
      </c>
      <c r="I571" s="289">
        <f>I570*$M571/$M570</f>
        <v>-51.663643533123029</v>
      </c>
      <c r="J571" s="177">
        <f>+J570*I571/I570</f>
        <v>-1156.4089116719242</v>
      </c>
      <c r="K571" s="289">
        <f>K570*$M571/$M570</f>
        <v>-51.452484227129339</v>
      </c>
      <c r="L571" s="177">
        <f>+L570*K571/K570</f>
        <v>-1263.195189274448</v>
      </c>
      <c r="M571" s="962">
        <v>-51</v>
      </c>
      <c r="N571" s="177">
        <f>+N570*M571/M570</f>
        <v>-1326.6535883280758</v>
      </c>
    </row>
    <row r="572" spans="1:15" ht="13">
      <c r="A572" s="1"/>
      <c r="B572" s="885" t="s">
        <v>1839</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1234</v>
      </c>
      <c r="C574" s="290">
        <f>VLOOKUP($A574,K0kommunestruktur2019!$A$4:$N$425,K0kommunestruktur2020altern!C$3,FALSE)</f>
        <v>10201</v>
      </c>
      <c r="D574" s="177">
        <f>VLOOKUP($A574,K0kommunestruktur2019!$A$4:$N$425,K0kommunestruktur2020altern!D$3,FALSE)</f>
        <v>181997</v>
      </c>
      <c r="E574" s="289">
        <f>VLOOKUP($A574,K0kommunestruktur2019!$A$4:$N$425,K0kommunestruktur2020altern!E$3,FALSE)</f>
        <v>10182</v>
      </c>
      <c r="F574" s="177">
        <f>VLOOKUP($A574,K0kommunestruktur2019!$A$4:$N$425,K0kommunestruktur2020altern!F$3,FALSE)</f>
        <v>192147</v>
      </c>
      <c r="G574" s="289">
        <f>VLOOKUP($A574,K0kommunestruktur2019!$A$4:$N$425,K0kommunestruktur2020altern!G$3,FALSE)</f>
        <v>10175</v>
      </c>
      <c r="H574" s="177">
        <f>VLOOKUP($A574,K0kommunestruktur2019!$A$4:$N$425,K0kommunestruktur2020altern!H$3,FALSE)</f>
        <v>205952</v>
      </c>
      <c r="I574" s="289">
        <f>VLOOKUP($A574,K0kommunestruktur2019!$A$4:$N$425,K0kommunestruktur2020altern!I$3,FALSE)</f>
        <v>10108</v>
      </c>
      <c r="J574" s="177">
        <f>VLOOKUP($A574,K0kommunestruktur2019!$A$4:$N$425,K0kommunestruktur2020altern!J$3,FALSE)</f>
        <v>216377</v>
      </c>
      <c r="K574" s="289">
        <f>VLOOKUP($A574,K0kommunestruktur2019!$A$4:$N$425,K0kommunestruktur2020altern!K$3,FALSE)</f>
        <v>10090</v>
      </c>
      <c r="L574" s="177">
        <f>VLOOKUP($A574,K0kommunestruktur2019!$A$4:$N$425,K0kommunestruktur2020altern!L$3,FALSE)</f>
        <v>227993</v>
      </c>
      <c r="M574" s="289">
        <f>VLOOKUP($A574,K0kommunestruktur2019!$A$4:$N$425,K0kommunestruktur2020altern!M$3,FALSE)</f>
        <v>9988</v>
      </c>
      <c r="N574" s="177">
        <f>VLOOKUP($A574,K0kommunestruktur2019!$A$4:$N$425,K0kommunestruktur2020altern!N$3,FALSE)</f>
        <v>231891</v>
      </c>
      <c r="O574" s="177"/>
    </row>
    <row r="575" spans="1:15" ht="13">
      <c r="A575" s="1"/>
      <c r="B575" s="894" t="s">
        <v>1761</v>
      </c>
      <c r="C575" s="290">
        <f t="shared" ref="C575:N575" si="65">-C540</f>
        <v>70.0914659044508</v>
      </c>
      <c r="D575" s="177">
        <f t="shared" si="65"/>
        <v>846.86076725193948</v>
      </c>
      <c r="E575" s="289">
        <f t="shared" si="65"/>
        <v>69.681094324213959</v>
      </c>
      <c r="F575" s="912">
        <f t="shared" si="65"/>
        <v>1117.0929424254796</v>
      </c>
      <c r="G575" s="289">
        <f t="shared" si="65"/>
        <v>69.133932217231518</v>
      </c>
      <c r="H575" s="177">
        <f t="shared" si="65"/>
        <v>1135.4494650877909</v>
      </c>
      <c r="I575" s="289">
        <f t="shared" si="65"/>
        <v>68.805634953042059</v>
      </c>
      <c r="J575" s="177">
        <f t="shared" si="65"/>
        <v>1224.5254316047367</v>
      </c>
      <c r="K575" s="289">
        <f t="shared" si="65"/>
        <v>67.656594528378932</v>
      </c>
      <c r="L575" s="177">
        <f t="shared" si="65"/>
        <v>1282.3564720293998</v>
      </c>
      <c r="M575" s="962">
        <f t="shared" si="65"/>
        <v>67</v>
      </c>
      <c r="N575" s="177">
        <f t="shared" si="65"/>
        <v>1359.3695385871783</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VLOOKUP($A577,K0kommunestruktur2019!$A$4:$N$425,K0kommunestruktur2020altern!C$3,FALSE)</f>
        <v>10287</v>
      </c>
      <c r="D577" s="177">
        <f>VLOOKUP($A577,K0kommunestruktur2019!$A$4:$N$425,K0kommunestruktur2020altern!D$3,FALSE)</f>
        <v>251640</v>
      </c>
      <c r="E577" s="289">
        <f>VLOOKUP($A577,K0kommunestruktur2019!$A$4:$N$425,K0kommunestruktur2020altern!E$3,FALSE)</f>
        <v>10417</v>
      </c>
      <c r="F577" s="177">
        <f>VLOOKUP($A577,K0kommunestruktur2019!$A$4:$N$425,K0kommunestruktur2020altern!F$3,FALSE)</f>
        <v>271230</v>
      </c>
      <c r="G577" s="289">
        <f>VLOOKUP($A577,K0kommunestruktur2019!$A$4:$N$425,K0kommunestruktur2020altern!G$3,FALSE)</f>
        <v>10455</v>
      </c>
      <c r="H577" s="177">
        <f>VLOOKUP($A577,K0kommunestruktur2019!$A$4:$N$425,K0kommunestruktur2020altern!H$3,FALSE)</f>
        <v>280198</v>
      </c>
      <c r="I577" s="289">
        <f>VLOOKUP($A577,K0kommunestruktur2019!$A$4:$N$425,K0kommunestruktur2020altern!I$3,FALSE)</f>
        <v>10527</v>
      </c>
      <c r="J577" s="177">
        <f>VLOOKUP($A577,K0kommunestruktur2019!$A$4:$N$425,K0kommunestruktur2020altern!J$3,FALSE)</f>
        <v>292967</v>
      </c>
      <c r="K577" s="289">
        <f>VLOOKUP($A577,K0kommunestruktur2019!$A$4:$N$425,K0kommunestruktur2020altern!K$3,FALSE)</f>
        <v>10533</v>
      </c>
      <c r="L577" s="177">
        <f>VLOOKUP($A577,K0kommunestruktur2019!$A$4:$N$425,K0kommunestruktur2020altern!L$3,FALSE)</f>
        <v>303061</v>
      </c>
      <c r="M577" s="289">
        <f>VLOOKUP($A577,K0kommunestruktur2019!$A$4:$N$425,K0kommunestruktur2020altern!M$3,FALSE)</f>
        <v>10536</v>
      </c>
      <c r="N577" s="177">
        <f>VLOOKUP($A577,K0kommunestruktur2019!$A$4:$N$425,K0kommunestruktur2020altern!N$3,FALSE)</f>
        <v>316078</v>
      </c>
    </row>
    <row r="578" spans="1:14" ht="13">
      <c r="A578" s="1">
        <v>2017</v>
      </c>
      <c r="B578" s="2" t="s">
        <v>248</v>
      </c>
      <c r="C578" s="290">
        <f>VLOOKUP($A578,K0kommunestruktur2019!$A$4:$N$425,K0kommunestruktur2020altern!C$3,FALSE)</f>
        <v>1051</v>
      </c>
      <c r="D578" s="177">
        <f>VLOOKUP($A578,K0kommunestruktur2019!$A$4:$N$425,K0kommunestruktur2020altern!D$3,FALSE)</f>
        <v>20929</v>
      </c>
      <c r="E578" s="289">
        <f>VLOOKUP($A578,K0kommunestruktur2019!$A$4:$N$425,K0kommunestruktur2020altern!E$3,FALSE)</f>
        <v>1049</v>
      </c>
      <c r="F578" s="177">
        <f>VLOOKUP($A578,K0kommunestruktur2019!$A$4:$N$425,K0kommunestruktur2020altern!F$3,FALSE)</f>
        <v>22878</v>
      </c>
      <c r="G578" s="289">
        <f>VLOOKUP($A578,K0kommunestruktur2019!$A$4:$N$425,K0kommunestruktur2020altern!G$3,FALSE)</f>
        <v>1035</v>
      </c>
      <c r="H578" s="177">
        <f>VLOOKUP($A578,K0kommunestruktur2019!$A$4:$N$425,K0kommunestruktur2020altern!H$3,FALSE)</f>
        <v>22431</v>
      </c>
      <c r="I578" s="289">
        <f>VLOOKUP($A578,K0kommunestruktur2019!$A$4:$N$425,K0kommunestruktur2020altern!I$3,FALSE)</f>
        <v>1027</v>
      </c>
      <c r="J578" s="177">
        <f>VLOOKUP($A578,K0kommunestruktur2019!$A$4:$N$425,K0kommunestruktur2020altern!J$3,FALSE)</f>
        <v>24854</v>
      </c>
      <c r="K578" s="289">
        <f>VLOOKUP($A578,K0kommunestruktur2019!$A$4:$N$425,K0kommunestruktur2020altern!K$3,FALSE)</f>
        <v>1027</v>
      </c>
      <c r="L578" s="177">
        <f>VLOOKUP($A578,K0kommunestruktur2019!$A$4:$N$425,K0kommunestruktur2020altern!L$3,FALSE)</f>
        <v>24465</v>
      </c>
      <c r="M578" s="289">
        <f>VLOOKUP($A578,K0kommunestruktur2019!$A$4:$N$425,K0kommunestruktur2020altern!M$3,FALSE)</f>
        <v>988</v>
      </c>
      <c r="N578" s="177">
        <f>VLOOKUP($A578,K0kommunestruktur2019!$A$4:$N$425,K0kommunestruktur2020altern!N$3,FALSE)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VLOOKUP($A580,K0kommunestruktur2019!$A$4:$N$425,K0kommunestruktur2020altern!C$3,FALSE)</f>
        <v>1256</v>
      </c>
      <c r="D580" s="177">
        <f>VLOOKUP($A580,K0kommunestruktur2019!$A$4:$N$425,K0kommunestruktur2020altern!D$3,FALSE)</f>
        <v>22423</v>
      </c>
      <c r="E580" s="289">
        <f>VLOOKUP($A580,K0kommunestruktur2019!$A$4:$N$425,K0kommunestruktur2020altern!E$3,FALSE)</f>
        <v>1280</v>
      </c>
      <c r="F580" s="177">
        <f>VLOOKUP($A580,K0kommunestruktur2019!$A$4:$N$425,K0kommunestruktur2020altern!F$3,FALSE)</f>
        <v>24602</v>
      </c>
      <c r="G580" s="289">
        <f>VLOOKUP($A580,K0kommunestruktur2019!$A$4:$N$425,K0kommunestruktur2020altern!G$3,FALSE)</f>
        <v>1283</v>
      </c>
      <c r="H580" s="177">
        <f>VLOOKUP($A580,K0kommunestruktur2019!$A$4:$N$425,K0kommunestruktur2020altern!H$3,FALSE)</f>
        <v>26174</v>
      </c>
      <c r="I580" s="289">
        <f>VLOOKUP($A580,K0kommunestruktur2019!$A$4:$N$425,K0kommunestruktur2020altern!I$3,FALSE)</f>
        <v>1252</v>
      </c>
      <c r="J580" s="177">
        <f>VLOOKUP($A580,K0kommunestruktur2019!$A$4:$N$425,K0kommunestruktur2020altern!J$3,FALSE)</f>
        <v>26001</v>
      </c>
      <c r="K580" s="289">
        <f>VLOOKUP($A580,K0kommunestruktur2019!$A$4:$N$425,K0kommunestruktur2020altern!K$3,FALSE)</f>
        <v>1259</v>
      </c>
      <c r="L580" s="177">
        <f>VLOOKUP($A580,K0kommunestruktur2019!$A$4:$N$425,K0kommunestruktur2020altern!L$3,FALSE)</f>
        <v>26955</v>
      </c>
      <c r="M580" s="289">
        <f>VLOOKUP($A580,K0kommunestruktur2019!$A$4:$N$425,K0kommunestruktur2020altern!M$3,FALSE)</f>
        <v>1259</v>
      </c>
      <c r="N580" s="177">
        <f>VLOOKUP($A580,K0kommunestruktur2019!$A$4:$N$425,K0kommunestruktur2020altern!N$3,FALSE)</f>
        <v>27623</v>
      </c>
    </row>
    <row r="581" spans="1:14" ht="13">
      <c r="A581" s="1">
        <v>1913</v>
      </c>
      <c r="B581" s="2" t="s">
        <v>219</v>
      </c>
      <c r="C581" s="290">
        <f>VLOOKUP($A581,K0kommunestruktur2019!$A$4:$N$425,K0kommunestruktur2020altern!C$3,FALSE)</f>
        <v>2951</v>
      </c>
      <c r="D581" s="177">
        <f>VLOOKUP($A581,K0kommunestruktur2019!$A$4:$N$425,K0kommunestruktur2020altern!D$3,FALSE)</f>
        <v>55617</v>
      </c>
      <c r="E581" s="289">
        <f>VLOOKUP($A581,K0kommunestruktur2019!$A$4:$N$425,K0kommunestruktur2020altern!E$3,FALSE)</f>
        <v>2988</v>
      </c>
      <c r="F581" s="177">
        <f>VLOOKUP($A581,K0kommunestruktur2019!$A$4:$N$425,K0kommunestruktur2020altern!F$3,FALSE)</f>
        <v>61208</v>
      </c>
      <c r="G581" s="289">
        <f>VLOOKUP($A581,K0kommunestruktur2019!$A$4:$N$425,K0kommunestruktur2020altern!G$3,FALSE)</f>
        <v>3041</v>
      </c>
      <c r="H581" s="177">
        <f>VLOOKUP($A581,K0kommunestruktur2019!$A$4:$N$425,K0kommunestruktur2020altern!H$3,FALSE)</f>
        <v>66151</v>
      </c>
      <c r="I581" s="289">
        <f>VLOOKUP($A581,K0kommunestruktur2019!$A$4:$N$425,K0kommunestruktur2020altern!I$3,FALSE)</f>
        <v>3048</v>
      </c>
      <c r="J581" s="177">
        <f>VLOOKUP($A581,K0kommunestruktur2019!$A$4:$N$425,K0kommunestruktur2020altern!J$3,FALSE)</f>
        <v>70391</v>
      </c>
      <c r="K581" s="289">
        <f>VLOOKUP($A581,K0kommunestruktur2019!$A$4:$N$425,K0kommunestruktur2020altern!K$3,FALSE)</f>
        <v>2994</v>
      </c>
      <c r="L581" s="177">
        <f>VLOOKUP($A581,K0kommunestruktur2019!$A$4:$N$425,K0kommunestruktur2020altern!L$3,FALSE)</f>
        <v>69865</v>
      </c>
      <c r="M581" s="289">
        <f>VLOOKUP($A581,K0kommunestruktur2019!$A$4:$N$425,K0kommunestruktur2020altern!M$3,FALSE)</f>
        <v>3009</v>
      </c>
      <c r="N581" s="177">
        <f>VLOOKUP($A581,K0kommunestruktur2019!$A$4:$N$425,K0kommunestruktur2020altern!N$3,FALSE)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VLOOKUP($A583,K0kommunestruktur2019!$A$4:$N$425,K0kommunestruktur2020altern!C$3,FALSE)</f>
        <v>1510</v>
      </c>
      <c r="D583" s="177">
        <f>VLOOKUP($A583,K0kommunestruktur2019!$A$4:$N$425,K0kommunestruktur2020altern!D$3,FALSE)</f>
        <v>26039</v>
      </c>
      <c r="E583" s="289">
        <f>VLOOKUP($A583,K0kommunestruktur2019!$A$4:$N$425,K0kommunestruktur2020altern!E$3,FALSE)</f>
        <v>1544</v>
      </c>
      <c r="F583" s="177">
        <f>VLOOKUP($A583,K0kommunestruktur2019!$A$4:$N$425,K0kommunestruktur2020altern!F$3,FALSE)</f>
        <v>27648</v>
      </c>
      <c r="G583" s="289">
        <f>VLOOKUP($A583,K0kommunestruktur2019!$A$4:$N$425,K0kommunestruktur2020altern!G$3,FALSE)</f>
        <v>1543</v>
      </c>
      <c r="H583" s="177">
        <f>VLOOKUP($A583,K0kommunestruktur2019!$A$4:$N$425,K0kommunestruktur2020altern!H$3,FALSE)</f>
        <v>30589</v>
      </c>
      <c r="I583" s="289">
        <f>VLOOKUP($A583,K0kommunestruktur2019!$A$4:$N$425,K0kommunestruktur2020altern!I$3,FALSE)</f>
        <v>1540</v>
      </c>
      <c r="J583" s="177">
        <f>VLOOKUP($A583,K0kommunestruktur2019!$A$4:$N$425,K0kommunestruktur2020altern!J$3,FALSE)</f>
        <v>31694</v>
      </c>
      <c r="K583" s="289">
        <f>VLOOKUP($A583,K0kommunestruktur2019!$A$4:$N$425,K0kommunestruktur2020altern!K$3,FALSE)</f>
        <v>1536</v>
      </c>
      <c r="L583" s="177">
        <f>VLOOKUP($A583,K0kommunestruktur2019!$A$4:$N$425,K0kommunestruktur2020altern!L$3,FALSE)</f>
        <v>32458</v>
      </c>
      <c r="M583" s="289">
        <f>VLOOKUP($A583,K0kommunestruktur2019!$A$4:$N$425,K0kommunestruktur2020altern!M$3,FALSE)</f>
        <v>1513</v>
      </c>
      <c r="N583" s="177">
        <f>VLOOKUP($A583,K0kommunestruktur2019!$A$4:$N$425,K0kommunestruktur2020altern!N$3,FALSE)</f>
        <v>34453</v>
      </c>
    </row>
    <row r="584" spans="1:14" ht="13">
      <c r="A584" s="1">
        <v>1928</v>
      </c>
      <c r="B584" s="2" t="s">
        <v>230</v>
      </c>
      <c r="C584" s="290">
        <f>VLOOKUP($A584,K0kommunestruktur2019!$A$4:$N$425,K0kommunestruktur2020altern!C$3,FALSE)</f>
        <v>878</v>
      </c>
      <c r="D584" s="177">
        <f>VLOOKUP($A584,K0kommunestruktur2019!$A$4:$N$425,K0kommunestruktur2020altern!D$3,FALSE)</f>
        <v>16199</v>
      </c>
      <c r="E584" s="289">
        <f>VLOOKUP($A584,K0kommunestruktur2019!$A$4:$N$425,K0kommunestruktur2020altern!E$3,FALSE)</f>
        <v>884</v>
      </c>
      <c r="F584" s="177">
        <f>VLOOKUP($A584,K0kommunestruktur2019!$A$4:$N$425,K0kommunestruktur2020altern!F$3,FALSE)</f>
        <v>17440</v>
      </c>
      <c r="G584" s="289">
        <f>VLOOKUP($A584,K0kommunestruktur2019!$A$4:$N$425,K0kommunestruktur2020altern!G$3,FALSE)</f>
        <v>913</v>
      </c>
      <c r="H584" s="177">
        <f>VLOOKUP($A584,K0kommunestruktur2019!$A$4:$N$425,K0kommunestruktur2020altern!H$3,FALSE)</f>
        <v>18571</v>
      </c>
      <c r="I584" s="289">
        <f>VLOOKUP($A584,K0kommunestruktur2019!$A$4:$N$425,K0kommunestruktur2020altern!I$3,FALSE)</f>
        <v>921</v>
      </c>
      <c r="J584" s="177">
        <f>VLOOKUP($A584,K0kommunestruktur2019!$A$4:$N$425,K0kommunestruktur2020altern!J$3,FALSE)</f>
        <v>19159</v>
      </c>
      <c r="K584" s="289">
        <f>VLOOKUP($A584,K0kommunestruktur2019!$A$4:$N$425,K0kommunestruktur2020altern!K$3,FALSE)</f>
        <v>943</v>
      </c>
      <c r="L584" s="177">
        <f>VLOOKUP($A584,K0kommunestruktur2019!$A$4:$N$425,K0kommunestruktur2020altern!L$3,FALSE)</f>
        <v>21406</v>
      </c>
      <c r="M584" s="289">
        <f>VLOOKUP($A584,K0kommunestruktur2019!$A$4:$N$425,K0kommunestruktur2020altern!M$3,FALSE)</f>
        <v>931</v>
      </c>
      <c r="N584" s="177">
        <f>VLOOKUP($A584,K0kommunestruktur2019!$A$4:$N$425,K0kommunestruktur2020altern!N$3,FALSE)</f>
        <v>21142</v>
      </c>
    </row>
    <row r="585" spans="1:14" ht="13">
      <c r="A585" s="1">
        <v>1929</v>
      </c>
      <c r="B585" s="2" t="s">
        <v>231</v>
      </c>
      <c r="C585" s="290">
        <f>VLOOKUP($A585,K0kommunestruktur2019!$A$4:$N$425,K0kommunestruktur2020altern!C$3,FALSE)</f>
        <v>918</v>
      </c>
      <c r="D585" s="177">
        <f>VLOOKUP($A585,K0kommunestruktur2019!$A$4:$N$425,K0kommunestruktur2020altern!D$3,FALSE)</f>
        <v>18134</v>
      </c>
      <c r="E585" s="289">
        <f>VLOOKUP($A585,K0kommunestruktur2019!$A$4:$N$425,K0kommunestruktur2020altern!E$3,FALSE)</f>
        <v>905</v>
      </c>
      <c r="F585" s="177">
        <f>VLOOKUP($A585,K0kommunestruktur2019!$A$4:$N$425,K0kommunestruktur2020altern!F$3,FALSE)</f>
        <v>20611</v>
      </c>
      <c r="G585" s="289">
        <f>VLOOKUP($A585,K0kommunestruktur2019!$A$4:$N$425,K0kommunestruktur2020altern!G$3,FALSE)</f>
        <v>915</v>
      </c>
      <c r="H585" s="177">
        <f>VLOOKUP($A585,K0kommunestruktur2019!$A$4:$N$425,K0kommunestruktur2020altern!H$3,FALSE)</f>
        <v>21381</v>
      </c>
      <c r="I585" s="289">
        <f>VLOOKUP($A585,K0kommunestruktur2019!$A$4:$N$425,K0kommunestruktur2020altern!I$3,FALSE)</f>
        <v>914</v>
      </c>
      <c r="J585" s="177">
        <f>VLOOKUP($A585,K0kommunestruktur2019!$A$4:$N$425,K0kommunestruktur2020altern!J$3,FALSE)</f>
        <v>22587</v>
      </c>
      <c r="K585" s="289">
        <f>VLOOKUP($A585,K0kommunestruktur2019!$A$4:$N$425,K0kommunestruktur2020altern!K$3,FALSE)</f>
        <v>902</v>
      </c>
      <c r="L585" s="177">
        <f>VLOOKUP($A585,K0kommunestruktur2019!$A$4:$N$425,K0kommunestruktur2020altern!L$3,FALSE)</f>
        <v>23708</v>
      </c>
      <c r="M585" s="289">
        <f>VLOOKUP($A585,K0kommunestruktur2019!$A$4:$N$425,K0kommunestruktur2020altern!M$3,FALSE)</f>
        <v>888</v>
      </c>
      <c r="N585" s="177">
        <f>VLOOKUP($A585,K0kommunestruktur2019!$A$4:$N$425,K0kommunestruktur2020altern!N$3,FALSE)</f>
        <v>25764</v>
      </c>
    </row>
    <row r="586" spans="1:14" ht="13">
      <c r="A586" s="1">
        <v>1931</v>
      </c>
      <c r="B586" s="2" t="s">
        <v>232</v>
      </c>
      <c r="C586" s="290">
        <f>VLOOKUP($A586,K0kommunestruktur2019!$A$4:$N$425,K0kommunestruktur2020altern!C$3,FALSE)</f>
        <v>11557</v>
      </c>
      <c r="D586" s="177">
        <f>VLOOKUP($A586,K0kommunestruktur2019!$A$4:$N$425,K0kommunestruktur2020altern!D$3,FALSE)</f>
        <v>224957</v>
      </c>
      <c r="E586" s="289">
        <f>VLOOKUP($A586,K0kommunestruktur2019!$A$4:$N$425,K0kommunestruktur2020altern!E$3,FALSE)</f>
        <v>11535</v>
      </c>
      <c r="F586" s="177">
        <f>VLOOKUP($A586,K0kommunestruktur2019!$A$4:$N$425,K0kommunestruktur2020altern!F$3,FALSE)</f>
        <v>242479</v>
      </c>
      <c r="G586" s="289">
        <f>VLOOKUP($A586,K0kommunestruktur2019!$A$4:$N$425,K0kommunestruktur2020altern!G$3,FALSE)</f>
        <v>11618</v>
      </c>
      <c r="H586" s="177">
        <f>VLOOKUP($A586,K0kommunestruktur2019!$A$4:$N$425,K0kommunestruktur2020altern!H$3,FALSE)</f>
        <v>274230</v>
      </c>
      <c r="I586" s="289">
        <f>VLOOKUP($A586,K0kommunestruktur2019!$A$4:$N$425,K0kommunestruktur2020altern!I$3,FALSE)</f>
        <v>11697</v>
      </c>
      <c r="J586" s="177">
        <f>VLOOKUP($A586,K0kommunestruktur2019!$A$4:$N$425,K0kommunestruktur2020altern!J$3,FALSE)</f>
        <v>291981</v>
      </c>
      <c r="K586" s="289">
        <f>VLOOKUP($A586,K0kommunestruktur2019!$A$4:$N$425,K0kommunestruktur2020altern!K$3,FALSE)</f>
        <v>11644</v>
      </c>
      <c r="L586" s="177">
        <f>VLOOKUP($A586,K0kommunestruktur2019!$A$4:$N$425,K0kommunestruktur2020altern!L$3,FALSE)</f>
        <v>294637</v>
      </c>
      <c r="M586" s="289">
        <f>VLOOKUP($A586,K0kommunestruktur2019!$A$4:$N$425,K0kommunestruktur2020altern!M$3,FALSE)</f>
        <v>11679</v>
      </c>
      <c r="N586" s="177">
        <f>VLOOKUP($A586,K0kommunestruktur2019!$A$4:$N$425,K0kommunestruktur2020altern!N$3,FALSE)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1847</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1848</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1850</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1849</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1851</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1852</v>
      </c>
      <c r="C595" s="290"/>
      <c r="D595" s="177"/>
      <c r="E595" s="289"/>
      <c r="F595" s="177"/>
      <c r="G595" s="289"/>
      <c r="H595" s="177">
        <f t="shared" ref="H595:H597"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1853</v>
      </c>
      <c r="C596" s="290"/>
      <c r="D596" s="177"/>
      <c r="E596" s="289"/>
      <c r="F596" s="177"/>
      <c r="G596" s="289"/>
      <c r="H596" s="177">
        <f t="shared" si="66"/>
        <v>31531.301482701812</v>
      </c>
      <c r="I596" s="289"/>
      <c r="J596" s="177">
        <f t="shared" si="67"/>
        <v>29986.099754701554</v>
      </c>
      <c r="K596" s="289"/>
      <c r="L596" s="177">
        <f t="shared" si="67"/>
        <v>31827.387090121676</v>
      </c>
      <c r="M596" s="289"/>
      <c r="N596" s="177">
        <f t="shared" si="67"/>
        <v>32698.782752217867</v>
      </c>
    </row>
    <row r="597" spans="1:14" ht="13">
      <c r="A597" s="1"/>
      <c r="B597" s="2" t="s">
        <v>1854</v>
      </c>
      <c r="C597" s="290"/>
      <c r="D597" s="177"/>
      <c r="E597" s="289"/>
      <c r="F597" s="177"/>
      <c r="G597" s="289"/>
      <c r="H597" s="177">
        <f t="shared" si="66"/>
        <v>27124.566678845451</v>
      </c>
      <c r="I597" s="289"/>
      <c r="J597" s="177">
        <f t="shared" si="67"/>
        <v>27344.086779911373</v>
      </c>
      <c r="K597" s="289"/>
      <c r="L597" s="177">
        <f t="shared" si="67"/>
        <v>27079.324274697028</v>
      </c>
      <c r="M597" s="289"/>
      <c r="N597" s="177">
        <f t="shared" si="67"/>
        <v>27260.80476900149</v>
      </c>
    </row>
    <row r="598" spans="1:14" ht="13">
      <c r="A598" s="1"/>
      <c r="B598" s="2" t="s">
        <v>1855</v>
      </c>
      <c r="C598" s="290"/>
      <c r="D598" s="177"/>
      <c r="E598" s="289"/>
      <c r="F598" s="177"/>
      <c r="G598" s="289"/>
      <c r="H598" s="177">
        <f>H594*G366/(G366+G367+G368+G369)+H595*G367/(G366+G367+G368+G369)+H596*G368/(G366+G367+G368+G369)+H597*G369/(G366+G367+G368+G369)</f>
        <v>37642.040726565552</v>
      </c>
      <c r="I598" s="289"/>
      <c r="J598" s="177">
        <f>J594*I366/(I366+I367+I368+I369)+J595*I367/(I366+I367+I368+I369)+J596*I368/(I366+I367+I368+I369)+J597*I369/(I366+I367+I368+I369)</f>
        <v>36402.336829200962</v>
      </c>
      <c r="K598" s="289"/>
      <c r="L598" s="177">
        <f>L594*K366/(K366+K367+K368+K369)+L595*K367/(K366+K367+K368+K369)+L596*K368/(K366+K367+K368+K369)+L597*K369/(K366+K367+K368+K369)</f>
        <v>36750.776289675108</v>
      </c>
      <c r="M598" s="289"/>
      <c r="N598" s="177">
        <f>N594*M366/(M366+M367+M368+M369)+N595*M367/(M366+M367+M368+M369)+N596*M368/(M366+M367+M368+M369)+N597*M369/(M366+M367+M368+M369)</f>
        <v>39185.474251157029</v>
      </c>
    </row>
    <row r="599" spans="1:14" ht="13">
      <c r="A599" s="1"/>
      <c r="B599" s="2" t="s">
        <v>1856</v>
      </c>
      <c r="C599" s="290"/>
      <c r="D599" s="177"/>
      <c r="E599" s="289"/>
      <c r="F599" s="177"/>
      <c r="G599" s="289"/>
      <c r="H599" s="914">
        <f>+H598/H594</f>
        <v>0.98703388363941602</v>
      </c>
      <c r="I599" s="289"/>
      <c r="J599" s="914">
        <f>+J598/J594</f>
        <v>0.98852631366877242</v>
      </c>
      <c r="K599" s="289"/>
      <c r="L599" s="914">
        <f>+L598/L594</f>
        <v>0.98951961369030961</v>
      </c>
      <c r="M599" s="914"/>
      <c r="N599" s="914">
        <f>+N598/N594</f>
        <v>0.98776450365300084</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1860</v>
      </c>
      <c r="C602" s="290"/>
      <c r="D602" s="177"/>
      <c r="E602" s="289"/>
      <c r="F602" s="177"/>
      <c r="G602" s="289"/>
      <c r="H602" s="177"/>
      <c r="I602" s="289"/>
      <c r="J602" s="177"/>
      <c r="K602" s="289"/>
      <c r="L602" s="177"/>
      <c r="M602" s="289"/>
      <c r="N602" s="177">
        <f>+N457*1000/M457</f>
        <v>26947.36120630569</v>
      </c>
    </row>
    <row r="603" spans="1:14" ht="13">
      <c r="A603" s="1"/>
      <c r="B603" s="2" t="s">
        <v>1916</v>
      </c>
      <c r="C603" s="290"/>
      <c r="D603" s="177"/>
      <c r="E603" s="289"/>
      <c r="F603" s="177"/>
      <c r="G603" s="289"/>
      <c r="H603" s="177"/>
      <c r="I603" s="289"/>
      <c r="J603" s="177"/>
      <c r="K603" s="289"/>
      <c r="L603" s="177"/>
      <c r="M603" s="289"/>
      <c r="N603" s="177">
        <f>+N458*1000/M458</f>
        <v>38515.857638268084</v>
      </c>
    </row>
    <row r="604" spans="1:14" ht="13">
      <c r="A604" s="1"/>
      <c r="B604" s="2" t="s">
        <v>1861</v>
      </c>
      <c r="C604" s="290"/>
      <c r="D604" s="177"/>
      <c r="E604" s="289"/>
      <c r="F604" s="177"/>
      <c r="G604" s="289"/>
      <c r="H604" s="177"/>
      <c r="I604" s="289"/>
      <c r="J604" s="177"/>
      <c r="K604" s="289"/>
      <c r="L604" s="177"/>
      <c r="M604" s="289"/>
      <c r="N604" s="177">
        <f>+N602*M457/(M457+M458)+N603*M458/(M457+M458)</f>
        <v>27291.502947121739</v>
      </c>
    </row>
    <row r="605" spans="1:14" ht="13">
      <c r="A605" s="1"/>
      <c r="B605" s="2" t="s">
        <v>1856</v>
      </c>
      <c r="C605" s="290"/>
      <c r="D605" s="177"/>
      <c r="E605" s="289"/>
      <c r="F605" s="177"/>
      <c r="G605" s="289"/>
      <c r="H605" s="177"/>
      <c r="I605" s="289"/>
      <c r="J605" s="177"/>
      <c r="K605" s="289"/>
      <c r="L605" s="177"/>
      <c r="M605" s="289"/>
      <c r="N605" s="914">
        <f>+N604/N602</f>
        <v>1.0127708883323061</v>
      </c>
    </row>
    <row r="606" spans="1:14" ht="13">
      <c r="A606" s="1"/>
      <c r="B606" s="2"/>
      <c r="C606" s="290"/>
      <c r="D606" s="177"/>
      <c r="E606" s="289"/>
      <c r="F606" s="177"/>
      <c r="G606" s="289"/>
      <c r="H606" s="177"/>
      <c r="I606" s="289"/>
      <c r="J606" s="177"/>
      <c r="K606" s="289"/>
      <c r="L606" s="177"/>
      <c r="M606" s="289"/>
      <c r="N606"/>
    </row>
    <row r="607" spans="1:14" ht="13">
      <c r="A607" s="1"/>
      <c r="B607" s="2" t="s">
        <v>1862</v>
      </c>
      <c r="C607" s="290"/>
      <c r="D607" s="177"/>
      <c r="E607" s="289"/>
      <c r="F607" s="177"/>
      <c r="G607" s="289"/>
      <c r="H607" s="177"/>
      <c r="I607" s="289"/>
      <c r="J607" s="177"/>
      <c r="K607" s="289"/>
      <c r="L607" s="177"/>
      <c r="M607" s="289"/>
      <c r="N607" s="177">
        <f>+N472*1000/M472</f>
        <v>26058.902381327865</v>
      </c>
    </row>
    <row r="608" spans="1:14" ht="13">
      <c r="A608" s="1"/>
      <c r="B608" s="2" t="s">
        <v>1863</v>
      </c>
      <c r="C608" s="290"/>
      <c r="D608" s="177"/>
      <c r="E608" s="289"/>
      <c r="F608" s="177"/>
      <c r="G608" s="289"/>
      <c r="H608" s="177"/>
      <c r="I608" s="289"/>
      <c r="J608" s="177"/>
      <c r="K608" s="289"/>
      <c r="L608" s="177"/>
      <c r="M608" s="289"/>
      <c r="N608" s="177">
        <f>+N473*1000/M473</f>
        <v>25210.808292569298</v>
      </c>
    </row>
    <row r="609" spans="1:14" ht="13">
      <c r="A609" s="1"/>
      <c r="B609" s="2" t="s">
        <v>1866</v>
      </c>
      <c r="C609" s="290"/>
      <c r="D609" s="177"/>
      <c r="E609" s="289"/>
      <c r="F609" s="177"/>
      <c r="G609" s="289"/>
      <c r="H609" s="177"/>
      <c r="I609" s="289"/>
      <c r="J609" s="177"/>
      <c r="K609" s="289"/>
      <c r="L609" s="177"/>
      <c r="M609" s="289"/>
      <c r="N609" s="177">
        <f>+N607*M472/(M472+M473)+N608*M473/(M472+M473)</f>
        <v>26029.965126814248</v>
      </c>
    </row>
    <row r="610" spans="1:14" ht="13">
      <c r="A610" s="1"/>
      <c r="B610" s="2" t="s">
        <v>1856</v>
      </c>
      <c r="C610" s="290"/>
      <c r="D610" s="177"/>
      <c r="E610" s="289"/>
      <c r="F610" s="177"/>
      <c r="G610" s="289"/>
      <c r="H610" s="177"/>
      <c r="I610" s="289"/>
      <c r="J610" s="177"/>
      <c r="K610" s="289"/>
      <c r="L610" s="177"/>
      <c r="M610" s="289"/>
      <c r="N610" s="914">
        <f>+N609/N607</f>
        <v>0.99888954438332933</v>
      </c>
    </row>
    <row r="611" spans="1:14" ht="13">
      <c r="A611" s="1"/>
      <c r="B611" s="2"/>
      <c r="C611" s="290"/>
      <c r="D611" s="177"/>
      <c r="E611" s="289"/>
      <c r="F611" s="177"/>
      <c r="G611" s="289"/>
      <c r="H611" s="177"/>
      <c r="I611" s="289"/>
      <c r="J611" s="177"/>
      <c r="K611" s="289"/>
      <c r="L611" s="177"/>
      <c r="M611" s="289"/>
      <c r="N611"/>
    </row>
    <row r="612" spans="1:14" ht="13">
      <c r="A612" s="1"/>
      <c r="B612" s="2" t="s">
        <v>1864</v>
      </c>
      <c r="C612" s="290"/>
      <c r="D612" s="177"/>
      <c r="E612" s="289"/>
      <c r="F612" s="177"/>
      <c r="G612" s="289"/>
      <c r="H612" s="177"/>
      <c r="I612" s="289"/>
      <c r="J612" s="177"/>
      <c r="K612" s="289"/>
      <c r="L612" s="177"/>
      <c r="M612" s="289"/>
      <c r="N612" s="177">
        <f>+N379*1000/M379</f>
        <v>35657.97317436662</v>
      </c>
    </row>
    <row r="613" spans="1:14" ht="13">
      <c r="A613" s="1"/>
      <c r="B613" s="2" t="s">
        <v>1865</v>
      </c>
      <c r="C613" s="290"/>
      <c r="D613" s="177"/>
      <c r="E613" s="289"/>
      <c r="F613" s="177"/>
      <c r="G613" s="289"/>
      <c r="H613" s="177"/>
      <c r="I613" s="289"/>
      <c r="J613" s="177"/>
      <c r="K613" s="289"/>
      <c r="L613" s="177"/>
      <c r="M613" s="289"/>
      <c r="N613" s="177">
        <f>+N380*1000/M380</f>
        <v>27260.80476900149</v>
      </c>
    </row>
    <row r="614" spans="1:14" ht="13">
      <c r="A614" s="1"/>
      <c r="B614" s="2" t="s">
        <v>1917</v>
      </c>
      <c r="C614" s="290"/>
      <c r="D614" s="177"/>
      <c r="E614" s="289"/>
      <c r="F614" s="177"/>
      <c r="G614" s="289"/>
      <c r="H614" s="177"/>
      <c r="I614" s="289"/>
      <c r="J614" s="177"/>
      <c r="K614" s="289"/>
      <c r="L614" s="177"/>
      <c r="M614" s="289"/>
      <c r="N614" s="177">
        <f>+(N379+N380)*1000/(M379+M380)</f>
        <v>35899.363603804093</v>
      </c>
    </row>
    <row r="615" spans="1:14" ht="13">
      <c r="A615" s="1"/>
      <c r="B615" s="2" t="s">
        <v>1856</v>
      </c>
      <c r="C615" s="290"/>
      <c r="D615" s="177"/>
      <c r="E615" s="289"/>
      <c r="F615" s="177"/>
      <c r="G615" s="289"/>
      <c r="H615" s="177"/>
      <c r="I615" s="289"/>
      <c r="J615" s="177"/>
      <c r="K615" s="289"/>
      <c r="L615" s="177"/>
      <c r="M615" s="289"/>
      <c r="N615" s="914">
        <f>+N614/N612</f>
        <v>1.0067696060080891</v>
      </c>
    </row>
    <row r="616" spans="1:14" ht="13">
      <c r="A616" s="1"/>
      <c r="B616" s="2"/>
      <c r="C616" s="290"/>
      <c r="D616" s="177"/>
      <c r="E616" s="289"/>
      <c r="F616" s="177"/>
      <c r="G616" s="289"/>
      <c r="H616" s="177"/>
      <c r="I616" s="289"/>
      <c r="J616" s="177"/>
      <c r="K616" s="289"/>
      <c r="L616" s="177"/>
      <c r="M616" s="289"/>
      <c r="N616"/>
    </row>
    <row r="617" spans="1:14" ht="13">
      <c r="A617" s="1"/>
      <c r="B617" s="2" t="s">
        <v>1867</v>
      </c>
      <c r="C617" s="290"/>
      <c r="D617" s="177"/>
      <c r="E617" s="289"/>
      <c r="F617" s="177"/>
      <c r="G617" s="289"/>
      <c r="H617" s="177"/>
      <c r="I617" s="289"/>
      <c r="J617" s="177"/>
      <c r="K617" s="289"/>
      <c r="L617" s="177"/>
      <c r="M617" s="289"/>
      <c r="N617" s="177">
        <f>+N517*1000/M517</f>
        <v>31268.14959667563</v>
      </c>
    </row>
    <row r="618" spans="1:14" ht="13">
      <c r="A618" s="1"/>
      <c r="B618" s="2" t="s">
        <v>1868</v>
      </c>
      <c r="C618" s="290"/>
      <c r="D618" s="177"/>
      <c r="E618" s="289"/>
      <c r="F618" s="177"/>
      <c r="G618" s="289"/>
      <c r="H618" s="177"/>
      <c r="I618" s="289"/>
      <c r="J618" s="177"/>
      <c r="K618" s="289"/>
      <c r="L618" s="177"/>
      <c r="M618" s="289"/>
      <c r="N618" s="177">
        <f>+N518*1000/M518</f>
        <v>24534.010946051607</v>
      </c>
    </row>
    <row r="619" spans="1:14" ht="13">
      <c r="A619" s="1"/>
      <c r="B619" s="2" t="s">
        <v>1869</v>
      </c>
      <c r="C619" s="290"/>
      <c r="D619" s="177"/>
      <c r="E619" s="289"/>
      <c r="F619" s="177"/>
      <c r="G619" s="289"/>
      <c r="H619" s="177"/>
      <c r="I619" s="289"/>
      <c r="J619" s="177"/>
      <c r="K619" s="289"/>
      <c r="L619" s="177"/>
      <c r="M619" s="289"/>
      <c r="N619" s="177">
        <f>+(N517+N518)*1000/(M517+M518)</f>
        <v>31113.748519422246</v>
      </c>
    </row>
    <row r="620" spans="1:14" ht="13">
      <c r="A620" s="1"/>
      <c r="B620" s="2" t="s">
        <v>1856</v>
      </c>
      <c r="C620" s="290"/>
      <c r="D620" s="177"/>
      <c r="E620" s="289"/>
      <c r="F620" s="177"/>
      <c r="G620" s="289"/>
      <c r="H620" s="177"/>
      <c r="I620" s="289"/>
      <c r="J620" s="177"/>
      <c r="K620" s="289"/>
      <c r="L620" s="177"/>
      <c r="M620" s="289"/>
      <c r="N620" s="914">
        <f>+N619/N617</f>
        <v>0.99506203343514132</v>
      </c>
    </row>
    <row r="621" spans="1:14" ht="13">
      <c r="A621" s="1"/>
      <c r="B621" s="2"/>
      <c r="C621" s="290"/>
      <c r="D621" s="177"/>
      <c r="E621" s="289"/>
      <c r="F621" s="177"/>
      <c r="G621" s="289"/>
      <c r="H621" s="177"/>
      <c r="I621" s="289"/>
      <c r="J621" s="177"/>
      <c r="K621" s="289"/>
      <c r="L621" s="177"/>
      <c r="M621" s="289"/>
      <c r="N621"/>
    </row>
    <row r="622" spans="1:14" ht="13">
      <c r="A622" s="1"/>
      <c r="B622" s="2" t="s">
        <v>1870</v>
      </c>
      <c r="C622" s="290"/>
      <c r="D622" s="177"/>
      <c r="E622" s="289"/>
      <c r="F622" s="177"/>
      <c r="G622" s="289"/>
      <c r="H622" s="177"/>
      <c r="I622" s="289"/>
      <c r="J622" s="177"/>
      <c r="K622" s="289"/>
      <c r="L622" s="177"/>
      <c r="M622" s="289"/>
      <c r="N622" s="177">
        <f>+N574*1000/M574</f>
        <v>23216.960352422906</v>
      </c>
    </row>
    <row r="623" spans="1:14" ht="13">
      <c r="A623" s="1"/>
      <c r="B623" s="2" t="s">
        <v>1871</v>
      </c>
      <c r="C623" s="290"/>
      <c r="D623" s="177"/>
      <c r="E623" s="289"/>
      <c r="F623" s="177"/>
      <c r="G623" s="289"/>
      <c r="H623" s="177"/>
      <c r="I623" s="289"/>
      <c r="J623" s="177"/>
      <c r="K623" s="289"/>
      <c r="L623" s="177"/>
      <c r="M623" s="289"/>
      <c r="N623" s="177">
        <f>+N575*1000/M575</f>
        <v>20289.097590853409</v>
      </c>
    </row>
    <row r="624" spans="1:14" ht="13">
      <c r="A624" s="1"/>
      <c r="B624" s="2" t="s">
        <v>1918</v>
      </c>
      <c r="C624" s="290"/>
      <c r="D624" s="177"/>
      <c r="E624" s="289"/>
      <c r="F624" s="177"/>
      <c r="G624" s="289"/>
      <c r="H624" s="177"/>
      <c r="I624" s="289"/>
      <c r="J624" s="177"/>
      <c r="K624" s="289"/>
      <c r="L624" s="177"/>
      <c r="M624" s="289"/>
      <c r="N624" s="177">
        <f>+(N574+N575)*1000/(M574+M575)</f>
        <v>23197.450973504445</v>
      </c>
    </row>
    <row r="625" spans="1:14" ht="13">
      <c r="A625" s="1"/>
      <c r="B625" s="2" t="s">
        <v>1856</v>
      </c>
      <c r="C625" s="290"/>
      <c r="D625" s="177"/>
      <c r="E625" s="289"/>
      <c r="F625" s="177"/>
      <c r="G625" s="289"/>
      <c r="H625" s="177"/>
      <c r="I625" s="289"/>
      <c r="J625" s="177"/>
      <c r="K625" s="289"/>
      <c r="L625" s="177"/>
      <c r="M625" s="289"/>
      <c r="N625" s="914">
        <f>+N624/N622</f>
        <v>0.99915969280119721</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0" s="85" customFormat="1">
      <c r="A1"/>
      <c r="B1" s="74" t="s">
        <v>719</v>
      </c>
      <c r="N1" s="177"/>
    </row>
    <row r="2" spans="1:20"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2366</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0" s="85" customFormat="1" ht="13">
      <c r="A4" s="755">
        <v>301</v>
      </c>
      <c r="B4" s="756" t="s">
        <v>823</v>
      </c>
      <c r="C4" s="289">
        <f>+K0kommunestruktur2020altern!C4</f>
        <v>634463</v>
      </c>
      <c r="D4" s="289">
        <f>+K0kommunestruktur2020altern!D4</f>
        <v>20917085</v>
      </c>
      <c r="E4" s="289">
        <f>+K0kommunestruktur2020altern!E4</f>
        <v>647676</v>
      </c>
      <c r="F4" s="289">
        <f>+K0kommunestruktur2020altern!F4</f>
        <v>22488171</v>
      </c>
      <c r="G4" s="289">
        <f>+K0kommunestruktur2020altern!G4</f>
        <v>658390</v>
      </c>
      <c r="H4" s="289">
        <f>+K0kommunestruktur2020altern!H4</f>
        <v>25522086</v>
      </c>
      <c r="I4" s="289">
        <f>+K0kommunestruktur2020altern!I4</f>
        <v>666759</v>
      </c>
      <c r="J4" s="289">
        <f>+K0kommunestruktur2020altern!J4</f>
        <v>27402999</v>
      </c>
      <c r="K4" s="289">
        <f>+K0kommunestruktur2020altern!K4</f>
        <v>673469</v>
      </c>
      <c r="L4" s="289">
        <f>+K0kommunestruktur2020altern!L4</f>
        <v>28170461</v>
      </c>
      <c r="M4" s="289">
        <f>+K0kommunestruktur2020altern!M4</f>
        <v>681071</v>
      </c>
      <c r="N4" s="289">
        <f>+K0kommunestruktur2020altern!N4</f>
        <v>29417306</v>
      </c>
      <c r="O4" s="289">
        <f>+K0kommunestruktur2020altern!O4</f>
        <v>693494</v>
      </c>
      <c r="P4" s="289">
        <f>+K0kommunestruktur2020altern!P4</f>
        <v>29485704</v>
      </c>
      <c r="Q4" s="289">
        <f>+'K21'!C4</f>
        <v>697010</v>
      </c>
      <c r="R4" s="289">
        <f>+'K21'!Z4</f>
        <v>34894706.472000003</v>
      </c>
      <c r="S4" s="517"/>
      <c r="T4" s="517"/>
    </row>
    <row r="5" spans="1:20" s="85" customFormat="1" ht="13">
      <c r="A5" s="755">
        <v>1101</v>
      </c>
      <c r="B5" s="756" t="s">
        <v>958</v>
      </c>
      <c r="C5" s="289">
        <f>+K0kommunestruktur2020altern!C5</f>
        <v>14811</v>
      </c>
      <c r="D5" s="289">
        <f>+K0kommunestruktur2020altern!D5</f>
        <v>406927</v>
      </c>
      <c r="E5" s="289">
        <f>+K0kommunestruktur2020altern!E5</f>
        <v>14916</v>
      </c>
      <c r="F5" s="289">
        <f>+K0kommunestruktur2020altern!F5</f>
        <v>402775</v>
      </c>
      <c r="G5" s="289">
        <f>+K0kommunestruktur2020altern!G5</f>
        <v>14942</v>
      </c>
      <c r="H5" s="289">
        <f>+K0kommunestruktur2020altern!H5</f>
        <v>418367</v>
      </c>
      <c r="I5" s="289">
        <f>+K0kommunestruktur2020altern!I5</f>
        <v>14899</v>
      </c>
      <c r="J5" s="289">
        <f>+K0kommunestruktur2020altern!J5</f>
        <v>420764</v>
      </c>
      <c r="K5" s="289">
        <f>+K0kommunestruktur2020altern!K5</f>
        <v>14898</v>
      </c>
      <c r="L5" s="289">
        <f>+K0kommunestruktur2020altern!L5</f>
        <v>421333</v>
      </c>
      <c r="M5" s="289">
        <f>+K0kommunestruktur2020altern!M5</f>
        <v>14830</v>
      </c>
      <c r="N5" s="289">
        <f>+K0kommunestruktur2020altern!N5</f>
        <v>455451</v>
      </c>
      <c r="O5" s="289">
        <f>+K0kommunestruktur2020altern!O5</f>
        <v>14811</v>
      </c>
      <c r="P5" s="289">
        <f>+K0kommunestruktur2020altern!P5</f>
        <v>500874</v>
      </c>
      <c r="Q5" s="289">
        <f>+'K21'!C5</f>
        <v>14787</v>
      </c>
      <c r="R5" s="289">
        <f>+'K21'!Z5</f>
        <v>536136.80000000005</v>
      </c>
      <c r="S5" s="517"/>
      <c r="T5" s="517"/>
    </row>
    <row r="6" spans="1:20" s="85" customFormat="1" ht="13">
      <c r="A6" s="755">
        <v>1103</v>
      </c>
      <c r="B6" s="756" t="s">
        <v>960</v>
      </c>
      <c r="C6" s="289">
        <f>+K0kommunestruktur2020altern!C6</f>
        <v>138644.87816691506</v>
      </c>
      <c r="D6" s="289">
        <f>+K0kommunestruktur2020altern!D6</f>
        <v>4991267.1122578243</v>
      </c>
      <c r="E6" s="289">
        <f>+K0kommunestruktur2020altern!E6</f>
        <v>140120.82228017884</v>
      </c>
      <c r="F6" s="289">
        <f>+K0kommunestruktur2020altern!F6</f>
        <v>5154093.0967213111</v>
      </c>
      <c r="G6" s="289">
        <f>+K0kommunestruktur2020altern!G6</f>
        <v>140797.48099850968</v>
      </c>
      <c r="H6" s="289">
        <f>+K0kommunestruktur2020altern!H6</f>
        <v>5299904.5139437411</v>
      </c>
      <c r="I6" s="289">
        <f>+K0kommunestruktur2020altern!I6</f>
        <v>140931.67064083458</v>
      </c>
      <c r="J6" s="289">
        <f>+K0kommunestruktur2020altern!J6</f>
        <v>5130242.1445696717</v>
      </c>
      <c r="K6" s="289">
        <f>+K0kommunestruktur2020altern!K6</f>
        <v>141262.08979135618</v>
      </c>
      <c r="L6" s="289">
        <f>+K0kommunestruktur2020altern!L6</f>
        <v>5191491.4601341281</v>
      </c>
      <c r="M6" s="289">
        <f>+K0kommunestruktur2020altern!M6</f>
        <v>142109</v>
      </c>
      <c r="N6" s="289">
        <f>+K0kommunestruktur2020altern!N6</f>
        <v>5568608.560357675</v>
      </c>
      <c r="O6" s="289">
        <f>+K0kommunestruktur2020altern!O6</f>
        <v>143574</v>
      </c>
      <c r="P6" s="289">
        <f>+K0kommunestruktur2020altern!P6</f>
        <v>5548455</v>
      </c>
      <c r="Q6" s="289">
        <f>+'K21'!C6</f>
        <v>144147</v>
      </c>
      <c r="R6" s="289">
        <f>+'K21'!Z6</f>
        <v>6300497.6940000001</v>
      </c>
      <c r="S6" s="517"/>
      <c r="T6" s="517"/>
    </row>
    <row r="7" spans="1:20" s="85" customFormat="1" ht="13">
      <c r="A7" s="755">
        <v>1106</v>
      </c>
      <c r="B7" s="756" t="s">
        <v>961</v>
      </c>
      <c r="C7" s="289">
        <f>+K0kommunestruktur2020altern!C7</f>
        <v>36099</v>
      </c>
      <c r="D7" s="289">
        <f>+K0kommunestruktur2020altern!D7</f>
        <v>907569</v>
      </c>
      <c r="E7" s="289">
        <f>+K0kommunestruktur2020altern!E7</f>
        <v>36538</v>
      </c>
      <c r="F7" s="289">
        <f>+K0kommunestruktur2020altern!F7</f>
        <v>944562</v>
      </c>
      <c r="G7" s="289">
        <f>+K0kommunestruktur2020altern!G7</f>
        <v>36951</v>
      </c>
      <c r="H7" s="289">
        <f>+K0kommunestruktur2020altern!H7</f>
        <v>980578</v>
      </c>
      <c r="I7" s="289">
        <f>+K0kommunestruktur2020altern!I7</f>
        <v>37166</v>
      </c>
      <c r="J7" s="289">
        <f>+K0kommunestruktur2020altern!J7</f>
        <v>1015625</v>
      </c>
      <c r="K7" s="289">
        <f>+K0kommunestruktur2020altern!K7</f>
        <v>37167</v>
      </c>
      <c r="L7" s="289">
        <f>+K0kommunestruktur2020altern!L7</f>
        <v>1084225</v>
      </c>
      <c r="M7" s="289">
        <f>+K0kommunestruktur2020altern!M7</f>
        <v>37250</v>
      </c>
      <c r="N7" s="289">
        <f>+K0kommunestruktur2020altern!N7</f>
        <v>1152023</v>
      </c>
      <c r="O7" s="289">
        <f>+K0kommunestruktur2020altern!O7</f>
        <v>37357</v>
      </c>
      <c r="P7" s="289">
        <f>+K0kommunestruktur2020altern!P7</f>
        <v>1111347</v>
      </c>
      <c r="Q7" s="289">
        <f>+'K21'!C7</f>
        <v>37323</v>
      </c>
      <c r="R7" s="289">
        <f>+'K21'!Z7</f>
        <v>1275892.7209999999</v>
      </c>
      <c r="S7" s="517"/>
      <c r="T7" s="517"/>
    </row>
    <row r="8" spans="1:20" s="85" customFormat="1" ht="13">
      <c r="A8" s="755">
        <v>1108</v>
      </c>
      <c r="B8" s="756" t="s">
        <v>1610</v>
      </c>
      <c r="C8" s="289">
        <f>+K0kommunestruktur2020altern!C8</f>
        <v>72972.305113160095</v>
      </c>
      <c r="D8" s="289">
        <f>+K0kommunestruktur2020altern!D8</f>
        <v>2154787.7394526405</v>
      </c>
      <c r="E8" s="289">
        <f>+K0kommunestruktur2020altern!E8</f>
        <v>74666.950544844934</v>
      </c>
      <c r="F8" s="289">
        <f>+K0kommunestruktur2020altern!F8</f>
        <v>2217307.8634928749</v>
      </c>
      <c r="G8" s="289">
        <f>+K0kommunestruktur2020altern!G8</f>
        <v>75888.851634534789</v>
      </c>
      <c r="H8" s="289">
        <f>+K0kommunestruktur2020altern!H8</f>
        <v>2316665.9280108968</v>
      </c>
      <c r="I8" s="289">
        <f>+K0kommunestruktur2020altern!I8</f>
        <v>76571.895222129082</v>
      </c>
      <c r="J8" s="289">
        <f>+K0kommunestruktur2020altern!J8</f>
        <v>2316362.2990000001</v>
      </c>
      <c r="K8" s="289">
        <f>+K0kommunestruktur2020altern!K8</f>
        <v>77403.758591785416</v>
      </c>
      <c r="L8" s="289">
        <f>+K0kommunestruktur2020altern!L8</f>
        <v>2381061.0662196144</v>
      </c>
      <c r="M8" s="289">
        <f>+K0kommunestruktur2020altern!M8</f>
        <v>78276</v>
      </c>
      <c r="N8" s="289">
        <f>+K0kommunestruktur2020altern!N8</f>
        <v>2478665.5297569153</v>
      </c>
      <c r="O8" s="289">
        <f>+K0kommunestruktur2020altern!O8</f>
        <v>79537</v>
      </c>
      <c r="P8" s="289">
        <f>+K0kommunestruktur2020altern!P8</f>
        <v>2454234</v>
      </c>
      <c r="Q8" s="289">
        <f>+'K21'!C8</f>
        <v>80450</v>
      </c>
      <c r="R8" s="289">
        <f>+'K21'!Z8</f>
        <v>2853855.0589999999</v>
      </c>
      <c r="S8" s="517"/>
      <c r="T8" s="517"/>
    </row>
    <row r="9" spans="1:20" s="85" customFormat="1" ht="13">
      <c r="A9" s="755">
        <v>1111</v>
      </c>
      <c r="B9" s="756" t="s">
        <v>962</v>
      </c>
      <c r="C9" s="289">
        <f>+K0kommunestruktur2020altern!C9</f>
        <v>3303</v>
      </c>
      <c r="D9" s="289">
        <f>+K0kommunestruktur2020altern!D9</f>
        <v>74638</v>
      </c>
      <c r="E9" s="289">
        <f>+K0kommunestruktur2020altern!E9</f>
        <v>3309</v>
      </c>
      <c r="F9" s="289">
        <f>+K0kommunestruktur2020altern!F9</f>
        <v>77414</v>
      </c>
      <c r="G9" s="289">
        <f>+K0kommunestruktur2020altern!G9</f>
        <v>3313</v>
      </c>
      <c r="H9" s="289">
        <f>+K0kommunestruktur2020altern!H9</f>
        <v>81397</v>
      </c>
      <c r="I9" s="289">
        <f>+K0kommunestruktur2020altern!I9</f>
        <v>3316</v>
      </c>
      <c r="J9" s="289">
        <f>+K0kommunestruktur2020altern!J9</f>
        <v>81393</v>
      </c>
      <c r="K9" s="289">
        <f>+K0kommunestruktur2020altern!K9</f>
        <v>3331</v>
      </c>
      <c r="L9" s="289">
        <f>+K0kommunestruktur2020altern!L9</f>
        <v>84326</v>
      </c>
      <c r="M9" s="289">
        <f>+K0kommunestruktur2020altern!M9</f>
        <v>3305</v>
      </c>
      <c r="N9" s="289">
        <f>+K0kommunestruktur2020altern!N9</f>
        <v>85248</v>
      </c>
      <c r="O9" s="289">
        <f>+K0kommunestruktur2020altern!O9</f>
        <v>3280</v>
      </c>
      <c r="P9" s="289">
        <f>+K0kommunestruktur2020altern!P9</f>
        <v>84973</v>
      </c>
      <c r="Q9" s="289">
        <f>+'K21'!C9</f>
        <v>3257</v>
      </c>
      <c r="R9" s="289">
        <f>+'K21'!Z9</f>
        <v>97746.770999999993</v>
      </c>
      <c r="S9" s="517"/>
      <c r="T9" s="517"/>
    </row>
    <row r="10" spans="1:20" s="85" customFormat="1" ht="13">
      <c r="A10" s="755">
        <v>1112</v>
      </c>
      <c r="B10" s="756" t="s">
        <v>963</v>
      </c>
      <c r="C10" s="289">
        <f>+K0kommunestruktur2020altern!C10</f>
        <v>3225</v>
      </c>
      <c r="D10" s="289">
        <f>+K0kommunestruktur2020altern!D10</f>
        <v>66675</v>
      </c>
      <c r="E10" s="289">
        <f>+K0kommunestruktur2020altern!E10</f>
        <v>3247</v>
      </c>
      <c r="F10" s="289">
        <f>+K0kommunestruktur2020altern!F10</f>
        <v>68275</v>
      </c>
      <c r="G10" s="289">
        <f>+K0kommunestruktur2020altern!G10</f>
        <v>3243</v>
      </c>
      <c r="H10" s="289">
        <f>+K0kommunestruktur2020altern!H10</f>
        <v>71529</v>
      </c>
      <c r="I10" s="289">
        <f>+K0kommunestruktur2020altern!I10</f>
        <v>3259</v>
      </c>
      <c r="J10" s="289">
        <f>+K0kommunestruktur2020altern!J10</f>
        <v>79675</v>
      </c>
      <c r="K10" s="289">
        <f>+K0kommunestruktur2020altern!K10</f>
        <v>3237</v>
      </c>
      <c r="L10" s="289">
        <f>+K0kommunestruktur2020altern!L10</f>
        <v>78836</v>
      </c>
      <c r="M10" s="289">
        <f>+K0kommunestruktur2020altern!M10</f>
        <v>3213</v>
      </c>
      <c r="N10" s="289">
        <f>+K0kommunestruktur2020altern!N10</f>
        <v>82728</v>
      </c>
      <c r="O10" s="289">
        <f>+K0kommunestruktur2020altern!O10</f>
        <v>3202</v>
      </c>
      <c r="P10" s="289">
        <f>+K0kommunestruktur2020altern!P10</f>
        <v>80162</v>
      </c>
      <c r="Q10" s="289">
        <f>+'K21'!C10</f>
        <v>3174</v>
      </c>
      <c r="R10" s="289">
        <f>+'K21'!Z10</f>
        <v>90645.703999999998</v>
      </c>
      <c r="S10" s="517"/>
      <c r="T10" s="517"/>
    </row>
    <row r="11" spans="1:20" ht="13">
      <c r="A11" s="755">
        <v>1114</v>
      </c>
      <c r="B11" s="756" t="s">
        <v>0</v>
      </c>
      <c r="C11" s="289">
        <f>+K0kommunestruktur2020altern!C11</f>
        <v>2820</v>
      </c>
      <c r="D11" s="289">
        <f>+K0kommunestruktur2020altern!D11</f>
        <v>64270</v>
      </c>
      <c r="E11" s="289">
        <f>+K0kommunestruktur2020altern!E11</f>
        <v>2861</v>
      </c>
      <c r="F11" s="289">
        <f>+K0kommunestruktur2020altern!F11</f>
        <v>66516</v>
      </c>
      <c r="G11" s="289">
        <f>+K0kommunestruktur2020altern!G11</f>
        <v>2825</v>
      </c>
      <c r="H11" s="289">
        <f>+K0kommunestruktur2020altern!H11</f>
        <v>73550</v>
      </c>
      <c r="I11" s="289">
        <f>+K0kommunestruktur2020altern!I11</f>
        <v>2826</v>
      </c>
      <c r="J11" s="289">
        <f>+K0kommunestruktur2020altern!J11</f>
        <v>76011</v>
      </c>
      <c r="K11" s="289">
        <f>+K0kommunestruktur2020altern!K11</f>
        <v>2826</v>
      </c>
      <c r="L11" s="289">
        <f>+K0kommunestruktur2020altern!L11</f>
        <v>71889</v>
      </c>
      <c r="M11" s="289">
        <f>+K0kommunestruktur2020altern!M11</f>
        <v>2807</v>
      </c>
      <c r="N11" s="289">
        <f>+K0kommunestruktur2020altern!N11</f>
        <v>73711</v>
      </c>
      <c r="O11" s="289">
        <f>+K0kommunestruktur2020altern!O11</f>
        <v>2787</v>
      </c>
      <c r="P11" s="289">
        <f>+K0kommunestruktur2020altern!P11</f>
        <v>72723</v>
      </c>
      <c r="Q11" s="289">
        <f>+'K21'!C11</f>
        <v>2791</v>
      </c>
      <c r="R11" s="289">
        <f>+'K21'!Z11</f>
        <v>90706.262000000002</v>
      </c>
      <c r="S11" s="517"/>
      <c r="T11" s="517"/>
    </row>
    <row r="12" spans="1:20" ht="13">
      <c r="A12" s="755">
        <v>1119</v>
      </c>
      <c r="B12" s="756" t="s">
        <v>1</v>
      </c>
      <c r="C12" s="289">
        <f>+K0kommunestruktur2020altern!C12</f>
        <v>18115</v>
      </c>
      <c r="D12" s="289">
        <f>+K0kommunestruktur2020altern!D12</f>
        <v>424970</v>
      </c>
      <c r="E12" s="289">
        <f>+K0kommunestruktur2020altern!E12</f>
        <v>18528</v>
      </c>
      <c r="F12" s="289">
        <f>+K0kommunestruktur2020altern!F12</f>
        <v>436779</v>
      </c>
      <c r="G12" s="289">
        <f>+K0kommunestruktur2020altern!G12</f>
        <v>18591</v>
      </c>
      <c r="H12" s="289">
        <f>+K0kommunestruktur2020altern!H12</f>
        <v>467975</v>
      </c>
      <c r="I12" s="289">
        <f>+K0kommunestruktur2020altern!I12</f>
        <v>18800</v>
      </c>
      <c r="J12" s="289">
        <f>+K0kommunestruktur2020altern!J12</f>
        <v>470013</v>
      </c>
      <c r="K12" s="289">
        <f>+K0kommunestruktur2020altern!K12</f>
        <v>18762</v>
      </c>
      <c r="L12" s="289">
        <f>+K0kommunestruktur2020altern!L12</f>
        <v>474998</v>
      </c>
      <c r="M12" s="289">
        <f>+K0kommunestruktur2020altern!M12</f>
        <v>18814</v>
      </c>
      <c r="N12" s="289">
        <f>+K0kommunestruktur2020altern!N12</f>
        <v>500305</v>
      </c>
      <c r="O12" s="289">
        <f>+K0kommunestruktur2020altern!O12</f>
        <v>18991</v>
      </c>
      <c r="P12" s="289">
        <f>+K0kommunestruktur2020altern!P12</f>
        <v>495345</v>
      </c>
      <c r="Q12" s="289">
        <f>+'K21'!C12</f>
        <v>19120</v>
      </c>
      <c r="R12" s="289">
        <f>+'K21'!Z12</f>
        <v>567615.44099999999</v>
      </c>
      <c r="S12" s="517"/>
      <c r="T12" s="517"/>
    </row>
    <row r="13" spans="1:20" ht="13">
      <c r="A13" s="755">
        <v>1120</v>
      </c>
      <c r="B13" s="756" t="s">
        <v>2</v>
      </c>
      <c r="C13" s="289">
        <f>+K0kommunestruktur2020altern!C13</f>
        <v>18485</v>
      </c>
      <c r="D13" s="289">
        <f>+K0kommunestruktur2020altern!D13</f>
        <v>490669</v>
      </c>
      <c r="E13" s="289">
        <f>+K0kommunestruktur2020altern!E13</f>
        <v>18741</v>
      </c>
      <c r="F13" s="289">
        <f>+K0kommunestruktur2020altern!F13</f>
        <v>496786</v>
      </c>
      <c r="G13" s="289">
        <f>+K0kommunestruktur2020altern!G13</f>
        <v>18970</v>
      </c>
      <c r="H13" s="289">
        <f>+K0kommunestruktur2020altern!H13</f>
        <v>534018</v>
      </c>
      <c r="I13" s="289">
        <f>+K0kommunestruktur2020altern!I13</f>
        <v>19042</v>
      </c>
      <c r="J13" s="289">
        <f>+K0kommunestruktur2020altern!J13</f>
        <v>526351</v>
      </c>
      <c r="K13" s="289">
        <f>+K0kommunestruktur2020altern!K13</f>
        <v>19217</v>
      </c>
      <c r="L13" s="289">
        <f>+K0kommunestruktur2020altern!L13</f>
        <v>545564</v>
      </c>
      <c r="M13" s="289">
        <f>+K0kommunestruktur2020altern!M13</f>
        <v>19354</v>
      </c>
      <c r="N13" s="289">
        <f>+K0kommunestruktur2020altern!N13</f>
        <v>568602</v>
      </c>
      <c r="O13" s="289">
        <f>+K0kommunestruktur2020altern!O13</f>
        <v>19588</v>
      </c>
      <c r="P13" s="289">
        <f>+K0kommunestruktur2020altern!P13</f>
        <v>571777</v>
      </c>
      <c r="Q13" s="289">
        <f>+'K21'!C13</f>
        <v>19848</v>
      </c>
      <c r="R13" s="289">
        <f>+'K21'!Z13</f>
        <v>659797.24600000004</v>
      </c>
      <c r="S13" s="517"/>
      <c r="T13" s="517"/>
    </row>
    <row r="14" spans="1:20" ht="13">
      <c r="A14" s="755">
        <v>1121</v>
      </c>
      <c r="B14" s="756" t="s">
        <v>3</v>
      </c>
      <c r="C14" s="289">
        <f>+K0kommunestruktur2020altern!C14</f>
        <v>17897</v>
      </c>
      <c r="D14" s="289">
        <f>+K0kommunestruktur2020altern!D14</f>
        <v>477840</v>
      </c>
      <c r="E14" s="289">
        <f>+K0kommunestruktur2020altern!E14</f>
        <v>18306</v>
      </c>
      <c r="F14" s="289">
        <f>+K0kommunestruktur2020altern!F14</f>
        <v>493393</v>
      </c>
      <c r="G14" s="289">
        <f>+K0kommunestruktur2020altern!G14</f>
        <v>18572</v>
      </c>
      <c r="H14" s="289">
        <f>+K0kommunestruktur2020altern!H14</f>
        <v>534004</v>
      </c>
      <c r="I14" s="289">
        <f>+K0kommunestruktur2020altern!I14</f>
        <v>18656</v>
      </c>
      <c r="J14" s="289">
        <f>+K0kommunestruktur2020altern!J14</f>
        <v>529636</v>
      </c>
      <c r="K14" s="289">
        <f>+K0kommunestruktur2020altern!K14</f>
        <v>18699</v>
      </c>
      <c r="L14" s="289">
        <f>+K0kommunestruktur2020altern!L14</f>
        <v>540548</v>
      </c>
      <c r="M14" s="289">
        <f>+K0kommunestruktur2020altern!M14</f>
        <v>18795</v>
      </c>
      <c r="N14" s="289">
        <f>+K0kommunestruktur2020altern!N14</f>
        <v>561432</v>
      </c>
      <c r="O14" s="289">
        <f>+K0kommunestruktur2020altern!O14</f>
        <v>18916</v>
      </c>
      <c r="P14" s="289">
        <f>+K0kommunestruktur2020altern!P14</f>
        <v>563308</v>
      </c>
      <c r="Q14" s="289">
        <f>+'K21'!C14</f>
        <v>19106</v>
      </c>
      <c r="R14" s="289">
        <f>+'K21'!Z14</f>
        <v>690436.44499999995</v>
      </c>
      <c r="S14" s="517"/>
      <c r="T14" s="517"/>
    </row>
    <row r="15" spans="1:20" ht="13">
      <c r="A15" s="755">
        <v>1122</v>
      </c>
      <c r="B15" s="756" t="s">
        <v>4</v>
      </c>
      <c r="C15" s="289">
        <f>+K0kommunestruktur2020altern!C15</f>
        <v>11317</v>
      </c>
      <c r="D15" s="289">
        <f>+K0kommunestruktur2020altern!D15</f>
        <v>281779</v>
      </c>
      <c r="E15" s="289">
        <f>+K0kommunestruktur2020altern!E15</f>
        <v>11600</v>
      </c>
      <c r="F15" s="289">
        <f>+K0kommunestruktur2020altern!F15</f>
        <v>293175</v>
      </c>
      <c r="G15" s="289">
        <f>+K0kommunestruktur2020altern!G15</f>
        <v>11853</v>
      </c>
      <c r="H15" s="289">
        <f>+K0kommunestruktur2020altern!H15</f>
        <v>310148</v>
      </c>
      <c r="I15" s="289">
        <f>+K0kommunestruktur2020altern!I15</f>
        <v>11902</v>
      </c>
      <c r="J15" s="289">
        <f>+K0kommunestruktur2020altern!J15</f>
        <v>305892</v>
      </c>
      <c r="K15" s="289">
        <f>+K0kommunestruktur2020altern!K15</f>
        <v>11866</v>
      </c>
      <c r="L15" s="289">
        <f>+K0kommunestruktur2020altern!L15</f>
        <v>315579</v>
      </c>
      <c r="M15" s="289">
        <f>+K0kommunestruktur2020altern!M15</f>
        <v>11899</v>
      </c>
      <c r="N15" s="289">
        <f>+K0kommunestruktur2020altern!N15</f>
        <v>328082</v>
      </c>
      <c r="O15" s="289">
        <f>+K0kommunestruktur2020altern!O15</f>
        <v>12002</v>
      </c>
      <c r="P15" s="289">
        <f>+K0kommunestruktur2020altern!P15</f>
        <v>324379</v>
      </c>
      <c r="Q15" s="289">
        <f>+'K21'!C15</f>
        <v>12064</v>
      </c>
      <c r="R15" s="289">
        <f>+'K21'!Z15</f>
        <v>371633.98</v>
      </c>
      <c r="S15" s="517"/>
      <c r="T15" s="517"/>
    </row>
    <row r="16" spans="1:20" ht="13">
      <c r="A16" s="755">
        <v>1124</v>
      </c>
      <c r="B16" s="756" t="s">
        <v>5</v>
      </c>
      <c r="C16" s="289">
        <f>+K0kommunestruktur2020altern!C16</f>
        <v>25083</v>
      </c>
      <c r="D16" s="289">
        <f>+K0kommunestruktur2020altern!D16</f>
        <v>894740</v>
      </c>
      <c r="E16" s="289">
        <f>+K0kommunestruktur2020altern!E16</f>
        <v>25708</v>
      </c>
      <c r="F16" s="289">
        <f>+K0kommunestruktur2020altern!F16</f>
        <v>961647</v>
      </c>
      <c r="G16" s="289">
        <f>+K0kommunestruktur2020altern!G16</f>
        <v>26096</v>
      </c>
      <c r="H16" s="289">
        <f>+K0kommunestruktur2020altern!H16</f>
        <v>986777</v>
      </c>
      <c r="I16" s="289">
        <f>+K0kommunestruktur2020altern!I16</f>
        <v>26016</v>
      </c>
      <c r="J16" s="289">
        <f>+K0kommunestruktur2020altern!J16</f>
        <v>945204</v>
      </c>
      <c r="K16" s="289">
        <f>+K0kommunestruktur2020altern!K16</f>
        <v>26265</v>
      </c>
      <c r="L16" s="289">
        <f>+K0kommunestruktur2020altern!L16</f>
        <v>971476</v>
      </c>
      <c r="M16" s="289">
        <f>+K0kommunestruktur2020altern!M16</f>
        <v>26582</v>
      </c>
      <c r="N16" s="289">
        <f>+K0kommunestruktur2020altern!N16</f>
        <v>1049894</v>
      </c>
      <c r="O16" s="289">
        <f>+K0kommunestruktur2020altern!O16</f>
        <v>27153</v>
      </c>
      <c r="P16" s="289">
        <f>+K0kommunestruktur2020altern!P16</f>
        <v>1057879</v>
      </c>
      <c r="Q16" s="289">
        <f>+'K21'!C16</f>
        <v>27457</v>
      </c>
      <c r="R16" s="289">
        <f>+'K21'!Z16</f>
        <v>1204713.132</v>
      </c>
      <c r="S16" s="517"/>
      <c r="T16" s="517"/>
    </row>
    <row r="17" spans="1:20" ht="13">
      <c r="A17" s="755">
        <v>1127</v>
      </c>
      <c r="B17" s="756" t="s">
        <v>6</v>
      </c>
      <c r="C17" s="289">
        <f>+K0kommunestruktur2020altern!C17</f>
        <v>10416</v>
      </c>
      <c r="D17" s="289">
        <f>+K0kommunestruktur2020altern!D17</f>
        <v>337979</v>
      </c>
      <c r="E17" s="289">
        <f>+K0kommunestruktur2020altern!E17</f>
        <v>10556</v>
      </c>
      <c r="F17" s="289">
        <f>+K0kommunestruktur2020altern!F17</f>
        <v>344173</v>
      </c>
      <c r="G17" s="289">
        <f>+K0kommunestruktur2020altern!G17</f>
        <v>10737</v>
      </c>
      <c r="H17" s="289">
        <f>+K0kommunestruktur2020altern!H17</f>
        <v>354504</v>
      </c>
      <c r="I17" s="289">
        <f>+K0kommunestruktur2020altern!I17</f>
        <v>10873</v>
      </c>
      <c r="J17" s="289">
        <f>+K0kommunestruktur2020altern!J17</f>
        <v>341416</v>
      </c>
      <c r="K17" s="289">
        <f>+K0kommunestruktur2020altern!K17</f>
        <v>10972</v>
      </c>
      <c r="L17" s="289">
        <f>+K0kommunestruktur2020altern!L17</f>
        <v>354189</v>
      </c>
      <c r="M17" s="289">
        <f>+K0kommunestruktur2020altern!M17</f>
        <v>11053</v>
      </c>
      <c r="N17" s="289">
        <f>+K0kommunestruktur2020altern!N17</f>
        <v>377149</v>
      </c>
      <c r="O17" s="289">
        <f>+K0kommunestruktur2020altern!O17</f>
        <v>11221</v>
      </c>
      <c r="P17" s="289">
        <f>+K0kommunestruktur2020altern!P17</f>
        <v>389630</v>
      </c>
      <c r="Q17" s="289">
        <f>+'K21'!C17</f>
        <v>11315</v>
      </c>
      <c r="R17" s="289">
        <f>+'K21'!Z17</f>
        <v>441758.745</v>
      </c>
      <c r="S17" s="517"/>
      <c r="T17" s="517"/>
    </row>
    <row r="18" spans="1:20" ht="13">
      <c r="A18" s="755">
        <v>1130</v>
      </c>
      <c r="B18" s="756" t="s">
        <v>12</v>
      </c>
      <c r="C18" s="289">
        <f>+K0kommunestruktur2020altern!C18</f>
        <v>12308.694886839899</v>
      </c>
      <c r="D18" s="289">
        <f>+K0kommunestruktur2020altern!D18</f>
        <v>297993.26054735959</v>
      </c>
      <c r="E18" s="289">
        <f>+K0kommunestruktur2020altern!E18</f>
        <v>12560.049455155071</v>
      </c>
      <c r="F18" s="289">
        <f>+K0kommunestruktur2020altern!F18</f>
        <v>303168.13650712487</v>
      </c>
      <c r="G18" s="289">
        <f>+K0kommunestruktur2020altern!G18</f>
        <v>12633.148365465213</v>
      </c>
      <c r="H18" s="289">
        <f>+K0kommunestruktur2020altern!H18</f>
        <v>331904.0719891031</v>
      </c>
      <c r="I18" s="289">
        <f>+K0kommunestruktur2020altern!I18</f>
        <v>12832.104777870914</v>
      </c>
      <c r="J18" s="289">
        <f>+K0kommunestruktur2020altern!J18</f>
        <v>337756.701</v>
      </c>
      <c r="K18" s="289">
        <f>+K0kommunestruktur2020altern!K18</f>
        <v>12808.241408214584</v>
      </c>
      <c r="L18" s="289">
        <f>+K0kommunestruktur2020altern!L18</f>
        <v>346084.93378038559</v>
      </c>
      <c r="M18" s="289">
        <f>+K0kommunestruktur2020altern!M18</f>
        <v>12883</v>
      </c>
      <c r="N18" s="289">
        <f>+K0kommunestruktur2020altern!N18</f>
        <v>363431.47024308465</v>
      </c>
      <c r="O18" s="289">
        <f>+K0kommunestruktur2020altern!O18</f>
        <v>12968</v>
      </c>
      <c r="P18" s="289">
        <f>+K0kommunestruktur2020altern!P18</f>
        <v>352943</v>
      </c>
      <c r="Q18" s="289">
        <f>+'K21'!C18</f>
        <v>13070</v>
      </c>
      <c r="R18" s="289">
        <f>+'K21'!Z18</f>
        <v>415521.48</v>
      </c>
      <c r="S18" s="517"/>
      <c r="T18" s="517"/>
    </row>
    <row r="19" spans="1:20" ht="13">
      <c r="A19" s="755">
        <v>1133</v>
      </c>
      <c r="B19" s="756" t="s">
        <v>13</v>
      </c>
      <c r="C19" s="289">
        <f>+K0kommunestruktur2020altern!C19</f>
        <v>2709.1218330849479</v>
      </c>
      <c r="D19" s="289">
        <f>+K0kommunestruktur2020altern!D19</f>
        <v>84612.887742175852</v>
      </c>
      <c r="E19" s="289">
        <f>+K0kommunestruktur2020altern!E19</f>
        <v>2707.1777198211626</v>
      </c>
      <c r="F19" s="289">
        <f>+K0kommunestruktur2020altern!F19</f>
        <v>89587.903278688522</v>
      </c>
      <c r="G19" s="289">
        <f>+K0kommunestruktur2020altern!G19</f>
        <v>2660.5190014903128</v>
      </c>
      <c r="H19" s="289">
        <f>+K0kommunestruktur2020altern!H19</f>
        <v>92345.486056259309</v>
      </c>
      <c r="I19" s="289">
        <f>+K0kommunestruktur2020altern!I19</f>
        <v>2632.3293591654246</v>
      </c>
      <c r="J19" s="289">
        <f>+K0kommunestruktur2020altern!J19</f>
        <v>93003.855430327865</v>
      </c>
      <c r="K19" s="289">
        <f>+K0kommunestruktur2020altern!K19</f>
        <v>2646.9102086438152</v>
      </c>
      <c r="L19" s="289">
        <f>+K0kommunestruktur2020altern!L19</f>
        <v>92689.539865871833</v>
      </c>
      <c r="M19" s="289">
        <f>+K0kommunestruktur2020altern!M19</f>
        <v>2609</v>
      </c>
      <c r="N19" s="289">
        <f>+K0kommunestruktur2020altern!N19</f>
        <v>93661.439642324884</v>
      </c>
      <c r="O19" s="289">
        <f>+K0kommunestruktur2020altern!O19</f>
        <v>2574</v>
      </c>
      <c r="P19" s="289">
        <f>+K0kommunestruktur2020altern!P19</f>
        <v>94093</v>
      </c>
      <c r="Q19" s="289">
        <f>+'K21'!C19</f>
        <v>2580</v>
      </c>
      <c r="R19" s="289">
        <f>+'K21'!Z19</f>
        <v>106916.879</v>
      </c>
      <c r="S19" s="517"/>
      <c r="T19" s="517"/>
    </row>
    <row r="20" spans="1:20" ht="13">
      <c r="A20" s="755">
        <v>1134</v>
      </c>
      <c r="B20" s="756" t="s">
        <v>14</v>
      </c>
      <c r="C20" s="289">
        <f>+K0kommunestruktur2020altern!C20</f>
        <v>3881</v>
      </c>
      <c r="D20" s="289">
        <f>+K0kommunestruktur2020altern!D20</f>
        <v>128925</v>
      </c>
      <c r="E20" s="289">
        <f>+K0kommunestruktur2020altern!E20</f>
        <v>3892</v>
      </c>
      <c r="F20" s="289">
        <f>+K0kommunestruktur2020altern!F20</f>
        <v>135306</v>
      </c>
      <c r="G20" s="289">
        <f>+K0kommunestruktur2020altern!G20</f>
        <v>3903</v>
      </c>
      <c r="H20" s="289">
        <f>+K0kommunestruktur2020altern!H20</f>
        <v>141024</v>
      </c>
      <c r="I20" s="289">
        <f>+K0kommunestruktur2020altern!I20</f>
        <v>3853</v>
      </c>
      <c r="J20" s="289">
        <f>+K0kommunestruktur2020altern!J20</f>
        <v>145448</v>
      </c>
      <c r="K20" s="289">
        <f>+K0kommunestruktur2020altern!K20</f>
        <v>3849</v>
      </c>
      <c r="L20" s="289">
        <f>+K0kommunestruktur2020altern!L20</f>
        <v>153606</v>
      </c>
      <c r="M20" s="289">
        <f>+K0kommunestruktur2020altern!M20</f>
        <v>3794</v>
      </c>
      <c r="N20" s="289">
        <f>+K0kommunestruktur2020altern!N20</f>
        <v>156911</v>
      </c>
      <c r="O20" s="289">
        <f>+K0kommunestruktur2020altern!O20</f>
        <v>3804</v>
      </c>
      <c r="P20" s="289">
        <f>+K0kommunestruktur2020altern!P20</f>
        <v>148300</v>
      </c>
      <c r="Q20" s="289">
        <f>+'K21'!C20</f>
        <v>3809</v>
      </c>
      <c r="R20" s="289">
        <f>+'K21'!Z20</f>
        <v>161349.04399999999</v>
      </c>
      <c r="S20" s="517"/>
      <c r="T20" s="517"/>
    </row>
    <row r="21" spans="1:20" ht="13">
      <c r="A21" s="755">
        <v>1135</v>
      </c>
      <c r="B21" s="756" t="s">
        <v>15</v>
      </c>
      <c r="C21" s="289">
        <f>+K0kommunestruktur2020altern!C21</f>
        <v>4760</v>
      </c>
      <c r="D21" s="289">
        <f>+K0kommunestruktur2020altern!D21</f>
        <v>127106</v>
      </c>
      <c r="E21" s="289">
        <f>+K0kommunestruktur2020altern!E21</f>
        <v>4756</v>
      </c>
      <c r="F21" s="289">
        <f>+K0kommunestruktur2020altern!F21</f>
        <v>134334</v>
      </c>
      <c r="G21" s="289">
        <f>+K0kommunestruktur2020altern!G21</f>
        <v>4710</v>
      </c>
      <c r="H21" s="289">
        <f>+K0kommunestruktur2020altern!H21</f>
        <v>112299</v>
      </c>
      <c r="I21" s="289">
        <f>+K0kommunestruktur2020altern!I21</f>
        <v>4760</v>
      </c>
      <c r="J21" s="289">
        <f>+K0kommunestruktur2020altern!J21</f>
        <v>154229</v>
      </c>
      <c r="K21" s="289">
        <f>+K0kommunestruktur2020altern!K21</f>
        <v>4663</v>
      </c>
      <c r="L21" s="289">
        <f>+K0kommunestruktur2020altern!L21</f>
        <v>132320</v>
      </c>
      <c r="M21" s="289">
        <f>+K0kommunestruktur2020altern!M21</f>
        <v>4597</v>
      </c>
      <c r="N21" s="289">
        <f>+K0kommunestruktur2020altern!N21</f>
        <v>152473</v>
      </c>
      <c r="O21" s="289">
        <f>+K0kommunestruktur2020altern!O21</f>
        <v>4595</v>
      </c>
      <c r="P21" s="289">
        <f>+K0kommunestruktur2020altern!P21</f>
        <v>146125</v>
      </c>
      <c r="Q21" s="289">
        <f>+'K21'!C21</f>
        <v>4561</v>
      </c>
      <c r="R21" s="289">
        <f>+'K21'!Z21</f>
        <v>157986.484</v>
      </c>
      <c r="S21" s="517"/>
      <c r="T21" s="517"/>
    </row>
    <row r="22" spans="1:20" ht="13">
      <c r="A22" s="755">
        <v>1144</v>
      </c>
      <c r="B22" s="756" t="s">
        <v>18</v>
      </c>
      <c r="C22" s="289">
        <f>+K0kommunestruktur2020altern!C22</f>
        <v>531</v>
      </c>
      <c r="D22" s="289">
        <f>+K0kommunestruktur2020altern!D22</f>
        <v>11917</v>
      </c>
      <c r="E22" s="289">
        <f>+K0kommunestruktur2020altern!E22</f>
        <v>534</v>
      </c>
      <c r="F22" s="289">
        <f>+K0kommunestruktur2020altern!F22</f>
        <v>12526</v>
      </c>
      <c r="G22" s="289">
        <f>+K0kommunestruktur2020altern!G22</f>
        <v>524</v>
      </c>
      <c r="H22" s="289">
        <f>+K0kommunestruktur2020altern!H22</f>
        <v>12573</v>
      </c>
      <c r="I22" s="289">
        <f>+K0kommunestruktur2020altern!I22</f>
        <v>534</v>
      </c>
      <c r="J22" s="289">
        <f>+K0kommunestruktur2020altern!J22</f>
        <v>15385</v>
      </c>
      <c r="K22" s="289">
        <f>+K0kommunestruktur2020altern!K22</f>
        <v>542</v>
      </c>
      <c r="L22" s="289">
        <f>+K0kommunestruktur2020altern!L22</f>
        <v>14773</v>
      </c>
      <c r="M22" s="289">
        <f>+K0kommunestruktur2020altern!M22</f>
        <v>516</v>
      </c>
      <c r="N22" s="289">
        <f>+K0kommunestruktur2020altern!N22</f>
        <v>14046</v>
      </c>
      <c r="O22" s="289">
        <f>+K0kommunestruktur2020altern!O22</f>
        <v>517</v>
      </c>
      <c r="P22" s="289">
        <f>+K0kommunestruktur2020altern!P22</f>
        <v>13557</v>
      </c>
      <c r="Q22" s="289">
        <f>+'K21'!C22</f>
        <v>507</v>
      </c>
      <c r="R22" s="289">
        <f>+'K21'!Z22</f>
        <v>15499.978999999999</v>
      </c>
      <c r="S22" s="517"/>
      <c r="T22" s="517"/>
    </row>
    <row r="23" spans="1:20" ht="13">
      <c r="A23" s="755">
        <v>1145</v>
      </c>
      <c r="B23" s="756" t="s">
        <v>19</v>
      </c>
      <c r="C23" s="289">
        <f>+K0kommunestruktur2020altern!C23</f>
        <v>868</v>
      </c>
      <c r="D23" s="289">
        <f>+K0kommunestruktur2020altern!D23</f>
        <v>19718</v>
      </c>
      <c r="E23" s="289">
        <f>+K0kommunestruktur2020altern!E23</f>
        <v>865</v>
      </c>
      <c r="F23" s="289">
        <f>+K0kommunestruktur2020altern!F23</f>
        <v>19578</v>
      </c>
      <c r="G23" s="289">
        <f>+K0kommunestruktur2020altern!G23</f>
        <v>865</v>
      </c>
      <c r="H23" s="289">
        <f>+K0kommunestruktur2020altern!H23</f>
        <v>20265</v>
      </c>
      <c r="I23" s="289">
        <f>+K0kommunestruktur2020altern!I23</f>
        <v>855</v>
      </c>
      <c r="J23" s="289">
        <f>+K0kommunestruktur2020altern!J23</f>
        <v>20969</v>
      </c>
      <c r="K23" s="289">
        <f>+K0kommunestruktur2020altern!K23</f>
        <v>844</v>
      </c>
      <c r="L23" s="289">
        <f>+K0kommunestruktur2020altern!L23</f>
        <v>21260</v>
      </c>
      <c r="M23" s="289">
        <f>+K0kommunestruktur2020altern!M23</f>
        <v>840</v>
      </c>
      <c r="N23" s="289">
        <f>+K0kommunestruktur2020altern!N23</f>
        <v>23216</v>
      </c>
      <c r="O23" s="289">
        <f>+K0kommunestruktur2020altern!O23</f>
        <v>852</v>
      </c>
      <c r="P23" s="289">
        <f>+K0kommunestruktur2020altern!P23</f>
        <v>23677</v>
      </c>
      <c r="Q23" s="289">
        <f>+'K21'!C23</f>
        <v>859</v>
      </c>
      <c r="R23" s="289">
        <f>+'K21'!Z23</f>
        <v>27882.303</v>
      </c>
      <c r="S23" s="517"/>
      <c r="T23" s="517"/>
    </row>
    <row r="24" spans="1:20" ht="13">
      <c r="A24" s="755">
        <v>1146</v>
      </c>
      <c r="B24" s="756" t="s">
        <v>20</v>
      </c>
      <c r="C24" s="289">
        <f>+K0kommunestruktur2020altern!C24</f>
        <v>10668</v>
      </c>
      <c r="D24" s="289">
        <f>+K0kommunestruktur2020altern!D24</f>
        <v>246736</v>
      </c>
      <c r="E24" s="289">
        <f>+K0kommunestruktur2020altern!E24</f>
        <v>10857</v>
      </c>
      <c r="F24" s="289">
        <f>+K0kommunestruktur2020altern!F24</f>
        <v>255555</v>
      </c>
      <c r="G24" s="289">
        <f>+K0kommunestruktur2020altern!G24</f>
        <v>10925</v>
      </c>
      <c r="H24" s="289">
        <f>+K0kommunestruktur2020altern!H24</f>
        <v>264000</v>
      </c>
      <c r="I24" s="289">
        <f>+K0kommunestruktur2020altern!I24</f>
        <v>11041</v>
      </c>
      <c r="J24" s="289">
        <f>+K0kommunestruktur2020altern!J24</f>
        <v>279974</v>
      </c>
      <c r="K24" s="289">
        <f>+K0kommunestruktur2020altern!K24</f>
        <v>11023</v>
      </c>
      <c r="L24" s="289">
        <f>+K0kommunestruktur2020altern!L24</f>
        <v>296653</v>
      </c>
      <c r="M24" s="289">
        <f>+K0kommunestruktur2020altern!M24</f>
        <v>11028</v>
      </c>
      <c r="N24" s="289">
        <f>+K0kommunestruktur2020altern!N24</f>
        <v>303352</v>
      </c>
      <c r="O24" s="289">
        <f>+K0kommunestruktur2020altern!O24</f>
        <v>11065</v>
      </c>
      <c r="P24" s="289">
        <f>+K0kommunestruktur2020altern!P24</f>
        <v>296200</v>
      </c>
      <c r="Q24" s="289">
        <f>+'K21'!C24</f>
        <v>11178</v>
      </c>
      <c r="R24" s="289">
        <f>+'K21'!Z24</f>
        <v>356276.337</v>
      </c>
      <c r="S24" s="517"/>
      <c r="T24" s="517"/>
    </row>
    <row r="25" spans="1:20" ht="13">
      <c r="A25" s="755">
        <v>1149</v>
      </c>
      <c r="B25" s="756" t="s">
        <v>21</v>
      </c>
      <c r="C25" s="289">
        <f>+K0kommunestruktur2020altern!C25</f>
        <v>41753</v>
      </c>
      <c r="D25" s="289">
        <f>+K0kommunestruktur2020altern!D25</f>
        <v>951724</v>
      </c>
      <c r="E25" s="289">
        <f>+K0kommunestruktur2020altern!E25</f>
        <v>42062</v>
      </c>
      <c r="F25" s="289">
        <f>+K0kommunestruktur2020altern!F25</f>
        <v>983888</v>
      </c>
      <c r="G25" s="289">
        <f>+K0kommunestruktur2020altern!G25</f>
        <v>42187</v>
      </c>
      <c r="H25" s="289">
        <f>+K0kommunestruktur2020altern!H25</f>
        <v>1031685</v>
      </c>
      <c r="I25" s="289">
        <f>+K0kommunestruktur2020altern!I25</f>
        <v>42229</v>
      </c>
      <c r="J25" s="289">
        <f>+K0kommunestruktur2020altern!J25</f>
        <v>1048090</v>
      </c>
      <c r="K25" s="289">
        <f>+K0kommunestruktur2020altern!K25</f>
        <v>42243</v>
      </c>
      <c r="L25" s="289">
        <f>+K0kommunestruktur2020altern!L25</f>
        <v>1089363</v>
      </c>
      <c r="M25" s="289">
        <f>+K0kommunestruktur2020altern!M25</f>
        <v>42161</v>
      </c>
      <c r="N25" s="289">
        <f>+K0kommunestruktur2020altern!N25</f>
        <v>1149890</v>
      </c>
      <c r="O25" s="289">
        <f>+K0kommunestruktur2020altern!O25</f>
        <v>42186</v>
      </c>
      <c r="P25" s="289">
        <f>+K0kommunestruktur2020altern!P25</f>
        <v>1125826</v>
      </c>
      <c r="Q25" s="289">
        <f>+'K21'!C25</f>
        <v>42345</v>
      </c>
      <c r="R25" s="289">
        <f>+'K21'!Z25</f>
        <v>1289099.81</v>
      </c>
      <c r="S25" s="517"/>
      <c r="T25" s="517"/>
    </row>
    <row r="26" spans="1:20" ht="13">
      <c r="A26" s="755">
        <v>1151</v>
      </c>
      <c r="B26" s="756" t="s">
        <v>22</v>
      </c>
      <c r="C26" s="289">
        <f>+K0kommunestruktur2020altern!C26</f>
        <v>211</v>
      </c>
      <c r="D26" s="289">
        <f>+K0kommunestruktur2020altern!D26</f>
        <v>5164</v>
      </c>
      <c r="E26" s="289">
        <f>+K0kommunestruktur2020altern!E26</f>
        <v>206</v>
      </c>
      <c r="F26" s="289">
        <f>+K0kommunestruktur2020altern!F26</f>
        <v>5153</v>
      </c>
      <c r="G26" s="289">
        <f>+K0kommunestruktur2020altern!G26</f>
        <v>200</v>
      </c>
      <c r="H26" s="289">
        <f>+K0kommunestruktur2020altern!H26</f>
        <v>4581</v>
      </c>
      <c r="I26" s="289">
        <f>+K0kommunestruktur2020altern!I26</f>
        <v>201</v>
      </c>
      <c r="J26" s="289">
        <f>+K0kommunestruktur2020altern!J26</f>
        <v>4747</v>
      </c>
      <c r="K26" s="289">
        <f>+K0kommunestruktur2020altern!K26</f>
        <v>208</v>
      </c>
      <c r="L26" s="289">
        <f>+K0kommunestruktur2020altern!L26</f>
        <v>5467</v>
      </c>
      <c r="M26" s="289">
        <f>+K0kommunestruktur2020altern!M26</f>
        <v>196</v>
      </c>
      <c r="N26" s="289">
        <f>+K0kommunestruktur2020altern!N26</f>
        <v>5709</v>
      </c>
      <c r="O26" s="289">
        <f>+K0kommunestruktur2020altern!O26</f>
        <v>198</v>
      </c>
      <c r="P26" s="289">
        <f>+K0kommunestruktur2020altern!P26</f>
        <v>6085</v>
      </c>
      <c r="Q26" s="289">
        <f>+'K21'!C26</f>
        <v>192</v>
      </c>
      <c r="R26" s="289">
        <f>+'K21'!Z26</f>
        <v>6575.7209999999995</v>
      </c>
      <c r="S26" s="517"/>
      <c r="T26" s="517"/>
    </row>
    <row r="27" spans="1:20" ht="13">
      <c r="A27" s="755">
        <v>1160</v>
      </c>
      <c r="B27" s="756" t="s">
        <v>1543</v>
      </c>
      <c r="C27" s="289">
        <f>+K0kommunestruktur2020altern!C27</f>
        <v>8747</v>
      </c>
      <c r="D27" s="289">
        <f>+K0kommunestruktur2020altern!D27</f>
        <v>219287</v>
      </c>
      <c r="E27" s="289">
        <f>+K0kommunestruktur2020altern!E27</f>
        <v>8765</v>
      </c>
      <c r="F27" s="289">
        <f>+K0kommunestruktur2020altern!F27</f>
        <v>224845</v>
      </c>
      <c r="G27" s="289">
        <f>+K0kommunestruktur2020altern!G27</f>
        <v>8788</v>
      </c>
      <c r="H27" s="289">
        <f>+K0kommunestruktur2020altern!H27</f>
        <v>241047</v>
      </c>
      <c r="I27" s="289">
        <f>+K0kommunestruktur2020altern!I27</f>
        <v>8828</v>
      </c>
      <c r="J27" s="289">
        <f>+K0kommunestruktur2020altern!J27</f>
        <v>300936</v>
      </c>
      <c r="K27" s="289">
        <f>+K0kommunestruktur2020altern!K27</f>
        <v>8793</v>
      </c>
      <c r="L27" s="289">
        <f>+K0kommunestruktur2020altern!L27</f>
        <v>278332</v>
      </c>
      <c r="M27" s="289">
        <f>+K0kommunestruktur2020altern!M27</f>
        <v>8743</v>
      </c>
      <c r="N27" s="289">
        <f>+K0kommunestruktur2020altern!N27</f>
        <v>307150</v>
      </c>
      <c r="O27" s="289">
        <f>+K0kommunestruktur2020altern!O27</f>
        <v>8714</v>
      </c>
      <c r="P27" s="289">
        <f>+K0kommunestruktur2020altern!P27</f>
        <v>308048</v>
      </c>
      <c r="Q27" s="289">
        <f>+'K21'!C27</f>
        <v>8705</v>
      </c>
      <c r="R27" s="289">
        <f>+'K21'!Z27</f>
        <v>338882.98200000002</v>
      </c>
      <c r="S27" s="517"/>
      <c r="T27" s="517"/>
    </row>
    <row r="28" spans="1:20" ht="13">
      <c r="A28" s="755">
        <v>1505</v>
      </c>
      <c r="B28" s="756" t="s">
        <v>1654</v>
      </c>
      <c r="C28" s="289">
        <f>+K0kommunestruktur2020altern!C28</f>
        <v>24395</v>
      </c>
      <c r="D28" s="289">
        <f>+K0kommunestruktur2020altern!D28</f>
        <v>563921</v>
      </c>
      <c r="E28" s="289">
        <f>+K0kommunestruktur2020altern!E28</f>
        <v>24507</v>
      </c>
      <c r="F28" s="289">
        <f>+K0kommunestruktur2020altern!F28</f>
        <v>582836</v>
      </c>
      <c r="G28" s="289">
        <f>+K0kommunestruktur2020altern!G28</f>
        <v>24526</v>
      </c>
      <c r="H28" s="289">
        <f>+K0kommunestruktur2020altern!H28</f>
        <v>605657</v>
      </c>
      <c r="I28" s="289">
        <f>+K0kommunestruktur2020altern!I28</f>
        <v>24442</v>
      </c>
      <c r="J28" s="289">
        <f>+K0kommunestruktur2020altern!J28</f>
        <v>613661</v>
      </c>
      <c r="K28" s="289">
        <f>+K0kommunestruktur2020altern!K28</f>
        <v>24300</v>
      </c>
      <c r="L28" s="289">
        <f>+K0kommunestruktur2020altern!L28</f>
        <v>637871</v>
      </c>
      <c r="M28" s="289">
        <f>+K0kommunestruktur2020altern!M28</f>
        <v>24274</v>
      </c>
      <c r="N28" s="289">
        <f>+K0kommunestruktur2020altern!N28</f>
        <v>663317</v>
      </c>
      <c r="O28" s="289">
        <f>+K0kommunestruktur2020altern!O28</f>
        <v>24179</v>
      </c>
      <c r="P28" s="289">
        <f>+K0kommunestruktur2020altern!P28</f>
        <v>646563</v>
      </c>
      <c r="Q28" s="289">
        <f>+'K21'!C28</f>
        <v>24099</v>
      </c>
      <c r="R28" s="289">
        <f>+'K21'!Z28</f>
        <v>748812.223</v>
      </c>
      <c r="S28" s="517"/>
      <c r="T28" s="517"/>
    </row>
    <row r="29" spans="1:20" ht="13">
      <c r="A29" s="755">
        <v>1506</v>
      </c>
      <c r="B29" s="756" t="s">
        <v>1611</v>
      </c>
      <c r="C29" s="289">
        <f>+K0kommunestruktur2020altern!C29</f>
        <v>31085</v>
      </c>
      <c r="D29" s="289">
        <f>+K0kommunestruktur2020altern!D29</f>
        <v>758360</v>
      </c>
      <c r="E29" s="289">
        <f>+K0kommunestruktur2020altern!E29</f>
        <v>31435</v>
      </c>
      <c r="F29" s="289">
        <f>+K0kommunestruktur2020altern!F29</f>
        <v>807102</v>
      </c>
      <c r="G29" s="289">
        <f>+K0kommunestruktur2020altern!G29</f>
        <v>31790</v>
      </c>
      <c r="H29" s="289">
        <f>+K0kommunestruktur2020altern!H29</f>
        <v>848047</v>
      </c>
      <c r="I29" s="289">
        <f>+K0kommunestruktur2020altern!I29</f>
        <v>31870</v>
      </c>
      <c r="J29" s="289">
        <f>+K0kommunestruktur2020altern!J29</f>
        <v>878122</v>
      </c>
      <c r="K29" s="289">
        <f>+K0kommunestruktur2020altern!K29</f>
        <v>31895</v>
      </c>
      <c r="L29" s="289">
        <f>+K0kommunestruktur2020altern!L29</f>
        <v>913522</v>
      </c>
      <c r="M29" s="289">
        <f>+K0kommunestruktur2020altern!M29</f>
        <v>31976</v>
      </c>
      <c r="N29" s="289">
        <f>+K0kommunestruktur2020altern!N29</f>
        <v>946419</v>
      </c>
      <c r="O29" s="289">
        <f>+K0kommunestruktur2020altern!O29</f>
        <v>31967</v>
      </c>
      <c r="P29" s="289">
        <f>+K0kommunestruktur2020altern!P29</f>
        <v>940943</v>
      </c>
      <c r="Q29" s="289">
        <f>+'K21'!C29</f>
        <v>31870</v>
      </c>
      <c r="R29" s="289">
        <f>+'K21'!Z29</f>
        <v>1064962.554</v>
      </c>
      <c r="S29" s="517"/>
      <c r="T29" s="517"/>
    </row>
    <row r="30" spans="1:20" ht="13">
      <c r="A30" s="755">
        <v>1507</v>
      </c>
      <c r="B30" s="756" t="s">
        <v>1612</v>
      </c>
      <c r="C30" s="289">
        <f>+K0kommunestruktur2020altern!C30</f>
        <v>62791.544426494343</v>
      </c>
      <c r="D30" s="289">
        <f>+K0kommunestruktur2020altern!D30</f>
        <v>1568692.1373182551</v>
      </c>
      <c r="E30" s="289">
        <f>+K0kommunestruktur2020altern!E30</f>
        <v>63444.767366720516</v>
      </c>
      <c r="F30" s="289">
        <f>+K0kommunestruktur2020altern!F30</f>
        <v>1625550.5912762519</v>
      </c>
      <c r="G30" s="289">
        <f>+K0kommunestruktur2020altern!G30</f>
        <v>64134.689822294022</v>
      </c>
      <c r="H30" s="289">
        <f>+K0kommunestruktur2020altern!H30</f>
        <v>1736178.1728594508</v>
      </c>
      <c r="I30" s="289">
        <f>+K0kommunestruktur2020altern!I30</f>
        <v>64707.922455573505</v>
      </c>
      <c r="J30" s="289">
        <f>+K0kommunestruktur2020altern!J30</f>
        <v>1804681.5928917609</v>
      </c>
      <c r="K30" s="289">
        <f>+K0kommunestruktur2020altern!K30</f>
        <v>65052.757673667205</v>
      </c>
      <c r="L30" s="289">
        <f>+K0kommunestruktur2020altern!L30</f>
        <v>1924576.3069466881</v>
      </c>
      <c r="M30" s="289">
        <f>+K0kommunestruktur2020altern!M30</f>
        <v>65621</v>
      </c>
      <c r="N30" s="289">
        <f>+K0kommunestruktur2020altern!N30</f>
        <v>2059924.5605815833</v>
      </c>
      <c r="O30" s="289">
        <f>+K0kommunestruktur2020altern!O30</f>
        <v>66258</v>
      </c>
      <c r="P30" s="289">
        <f>+K0kommunestruktur2020altern!P30</f>
        <v>2040372</v>
      </c>
      <c r="Q30" s="289">
        <f>+'K21'!C30</f>
        <v>66670</v>
      </c>
      <c r="R30" s="289">
        <f>+'K21'!Z30</f>
        <v>2306453.946</v>
      </c>
      <c r="S30" s="517"/>
      <c r="T30" s="517"/>
    </row>
    <row r="31" spans="1:20" ht="13">
      <c r="A31" s="755">
        <v>1511</v>
      </c>
      <c r="B31" s="756" t="s">
        <v>86</v>
      </c>
      <c r="C31" s="289">
        <f>+K0kommunestruktur2020altern!C31</f>
        <v>3302</v>
      </c>
      <c r="D31" s="289">
        <f>+K0kommunestruktur2020altern!D31</f>
        <v>72479</v>
      </c>
      <c r="E31" s="289">
        <f>+K0kommunestruktur2020altern!E31</f>
        <v>3258</v>
      </c>
      <c r="F31" s="289">
        <f>+K0kommunestruktur2020altern!F31</f>
        <v>74410</v>
      </c>
      <c r="G31" s="289">
        <f>+K0kommunestruktur2020altern!G31</f>
        <v>3256</v>
      </c>
      <c r="H31" s="289">
        <f>+K0kommunestruktur2020altern!H31</f>
        <v>74821</v>
      </c>
      <c r="I31" s="289">
        <f>+K0kommunestruktur2020altern!I31</f>
        <v>3203</v>
      </c>
      <c r="J31" s="289">
        <f>+K0kommunestruktur2020altern!J31</f>
        <v>77373</v>
      </c>
      <c r="K31" s="289">
        <f>+K0kommunestruktur2020altern!K31</f>
        <v>3187</v>
      </c>
      <c r="L31" s="289">
        <f>+K0kommunestruktur2020altern!L31</f>
        <v>83683</v>
      </c>
      <c r="M31" s="289">
        <f>+K0kommunestruktur2020altern!M31</f>
        <v>3163</v>
      </c>
      <c r="N31" s="289">
        <f>+K0kommunestruktur2020altern!N31</f>
        <v>88973</v>
      </c>
      <c r="O31" s="289">
        <f>+K0kommunestruktur2020altern!O31</f>
        <v>3117</v>
      </c>
      <c r="P31" s="289">
        <f>+K0kommunestruktur2020altern!P31</f>
        <v>83290</v>
      </c>
      <c r="Q31" s="289">
        <f>+'K21'!C31</f>
        <v>3083</v>
      </c>
      <c r="R31" s="289">
        <f>+'K21'!Z31</f>
        <v>91773.392999999996</v>
      </c>
      <c r="S31" s="517"/>
      <c r="T31" s="517"/>
    </row>
    <row r="32" spans="1:20" ht="13">
      <c r="A32" s="755">
        <v>1514</v>
      </c>
      <c r="B32" s="756" t="s">
        <v>897</v>
      </c>
      <c r="C32" s="289">
        <f>+K0kommunestruktur2020altern!C32</f>
        <v>2636</v>
      </c>
      <c r="D32" s="289">
        <f>+K0kommunestruktur2020altern!D32</f>
        <v>55999</v>
      </c>
      <c r="E32" s="289">
        <f>+K0kommunestruktur2020altern!E32</f>
        <v>2635</v>
      </c>
      <c r="F32" s="289">
        <f>+K0kommunestruktur2020altern!F32</f>
        <v>62048</v>
      </c>
      <c r="G32" s="289">
        <f>+K0kommunestruktur2020altern!G32</f>
        <v>2559</v>
      </c>
      <c r="H32" s="289">
        <f>+K0kommunestruktur2020altern!H32</f>
        <v>63984</v>
      </c>
      <c r="I32" s="289">
        <f>+K0kommunestruktur2020altern!I32</f>
        <v>2540</v>
      </c>
      <c r="J32" s="289">
        <f>+K0kommunestruktur2020altern!J32</f>
        <v>61235</v>
      </c>
      <c r="K32" s="289">
        <f>+K0kommunestruktur2020altern!K32</f>
        <v>2522</v>
      </c>
      <c r="L32" s="289">
        <f>+K0kommunestruktur2020altern!L32</f>
        <v>68936</v>
      </c>
      <c r="M32" s="289">
        <f>+K0kommunestruktur2020altern!M32</f>
        <v>2493</v>
      </c>
      <c r="N32" s="289">
        <f>+K0kommunestruktur2020altern!N32</f>
        <v>75383</v>
      </c>
      <c r="O32" s="289">
        <f>+K0kommunestruktur2020altern!O32</f>
        <v>2461</v>
      </c>
      <c r="P32" s="289">
        <f>+K0kommunestruktur2020altern!P32</f>
        <v>73238</v>
      </c>
      <c r="Q32" s="289">
        <f>+'K21'!C32</f>
        <v>2445</v>
      </c>
      <c r="R32" s="289">
        <f>+'K21'!Z32</f>
        <v>83274.95</v>
      </c>
      <c r="S32" s="517"/>
      <c r="T32" s="517"/>
    </row>
    <row r="33" spans="1:20" ht="13">
      <c r="A33" s="755">
        <v>1515</v>
      </c>
      <c r="B33" s="756" t="s">
        <v>87</v>
      </c>
      <c r="C33" s="289">
        <f>+K0kommunestruktur2020altern!C33</f>
        <v>8847</v>
      </c>
      <c r="D33" s="289">
        <f>+K0kommunestruktur2020altern!D33</f>
        <v>231216</v>
      </c>
      <c r="E33" s="289">
        <f>+K0kommunestruktur2020altern!E33</f>
        <v>8934</v>
      </c>
      <c r="F33" s="289">
        <f>+K0kommunestruktur2020altern!F33</f>
        <v>248460</v>
      </c>
      <c r="G33" s="289">
        <f>+K0kommunestruktur2020altern!G33</f>
        <v>8972</v>
      </c>
      <c r="H33" s="289">
        <f>+K0kommunestruktur2020altern!H33</f>
        <v>260046</v>
      </c>
      <c r="I33" s="289">
        <f>+K0kommunestruktur2020altern!I33</f>
        <v>8957</v>
      </c>
      <c r="J33" s="289">
        <f>+K0kommunestruktur2020altern!J33</f>
        <v>261503</v>
      </c>
      <c r="K33" s="289">
        <f>+K0kommunestruktur2020altern!K33</f>
        <v>8965</v>
      </c>
      <c r="L33" s="289">
        <f>+K0kommunestruktur2020altern!L33</f>
        <v>270116</v>
      </c>
      <c r="M33" s="289">
        <f>+K0kommunestruktur2020altern!M33</f>
        <v>8927</v>
      </c>
      <c r="N33" s="289">
        <f>+K0kommunestruktur2020altern!N33</f>
        <v>303238</v>
      </c>
      <c r="O33" s="289">
        <f>+K0kommunestruktur2020altern!O33</f>
        <v>8900</v>
      </c>
      <c r="P33" s="289">
        <f>+K0kommunestruktur2020altern!P33</f>
        <v>308399</v>
      </c>
      <c r="Q33" s="289">
        <f>+'K21'!C33</f>
        <v>8858</v>
      </c>
      <c r="R33" s="289">
        <f>+'K21'!Z33</f>
        <v>311160.25699999998</v>
      </c>
      <c r="S33" s="517"/>
      <c r="T33" s="517"/>
    </row>
    <row r="34" spans="1:20" ht="13">
      <c r="A34" s="755">
        <v>1516</v>
      </c>
      <c r="B34" s="756" t="s">
        <v>88</v>
      </c>
      <c r="C34" s="289">
        <f>+K0kommunestruktur2020altern!C34</f>
        <v>8092</v>
      </c>
      <c r="D34" s="289">
        <f>+K0kommunestruktur2020altern!D34</f>
        <v>242269</v>
      </c>
      <c r="E34" s="289">
        <f>+K0kommunestruktur2020altern!E34</f>
        <v>8292</v>
      </c>
      <c r="F34" s="289">
        <f>+K0kommunestruktur2020altern!F34</f>
        <v>257483</v>
      </c>
      <c r="G34" s="289">
        <f>+K0kommunestruktur2020altern!G34</f>
        <v>8430</v>
      </c>
      <c r="H34" s="289">
        <f>+K0kommunestruktur2020altern!H34</f>
        <v>245408</v>
      </c>
      <c r="I34" s="289">
        <f>+K0kommunestruktur2020altern!I34</f>
        <v>8457</v>
      </c>
      <c r="J34" s="289">
        <f>+K0kommunestruktur2020altern!J34</f>
        <v>249381</v>
      </c>
      <c r="K34" s="289">
        <f>+K0kommunestruktur2020altern!K34</f>
        <v>8555</v>
      </c>
      <c r="L34" s="289">
        <f>+K0kommunestruktur2020altern!L34</f>
        <v>262420</v>
      </c>
      <c r="M34" s="289">
        <f>+K0kommunestruktur2020altern!M34</f>
        <v>8609</v>
      </c>
      <c r="N34" s="289">
        <f>+K0kommunestruktur2020altern!N34</f>
        <v>275729</v>
      </c>
      <c r="O34" s="289">
        <f>+K0kommunestruktur2020altern!O34</f>
        <v>8571</v>
      </c>
      <c r="P34" s="289">
        <f>+K0kommunestruktur2020altern!P34</f>
        <v>276618</v>
      </c>
      <c r="Q34" s="289">
        <f>+'K21'!C34</f>
        <v>8575</v>
      </c>
      <c r="R34" s="289">
        <f>+'K21'!Z34</f>
        <v>314138.39</v>
      </c>
      <c r="S34" s="517"/>
      <c r="T34" s="517"/>
    </row>
    <row r="35" spans="1:20" ht="13">
      <c r="A35" s="755">
        <v>1517</v>
      </c>
      <c r="B35" s="756" t="s">
        <v>89</v>
      </c>
      <c r="C35" s="289">
        <f>+K0kommunestruktur2020altern!C35</f>
        <v>5021</v>
      </c>
      <c r="D35" s="289">
        <f>+K0kommunestruktur2020altern!D35</f>
        <v>112102</v>
      </c>
      <c r="E35" s="289">
        <f>+K0kommunestruktur2020altern!E35</f>
        <v>5065</v>
      </c>
      <c r="F35" s="289">
        <f>+K0kommunestruktur2020altern!F35</f>
        <v>114254</v>
      </c>
      <c r="G35" s="289">
        <f>+K0kommunestruktur2020altern!G35</f>
        <v>5189</v>
      </c>
      <c r="H35" s="289">
        <f>+K0kommunestruktur2020altern!H35</f>
        <v>119524</v>
      </c>
      <c r="I35" s="289">
        <f>+K0kommunestruktur2020altern!I35</f>
        <v>5185</v>
      </c>
      <c r="J35" s="289">
        <f>+K0kommunestruktur2020altern!J35</f>
        <v>120422</v>
      </c>
      <c r="K35" s="289">
        <f>+K0kommunestruktur2020altern!K35</f>
        <v>5150</v>
      </c>
      <c r="L35" s="289">
        <f>+K0kommunestruktur2020altern!L35</f>
        <v>124236</v>
      </c>
      <c r="M35" s="289">
        <f>+K0kommunestruktur2020altern!M35</f>
        <v>5155</v>
      </c>
      <c r="N35" s="289">
        <f>+K0kommunestruktur2020altern!N35</f>
        <v>130558</v>
      </c>
      <c r="O35" s="289">
        <f>+K0kommunestruktur2020altern!O35</f>
        <v>5175</v>
      </c>
      <c r="P35" s="289">
        <f>+K0kommunestruktur2020altern!P35</f>
        <v>129502</v>
      </c>
      <c r="Q35" s="289">
        <f>+'K21'!C35</f>
        <v>5140</v>
      </c>
      <c r="R35" s="289">
        <f>+'K21'!Z35</f>
        <v>147452.75700000001</v>
      </c>
      <c r="S35" s="517"/>
      <c r="T35" s="517"/>
    </row>
    <row r="36" spans="1:20" ht="13">
      <c r="A36" s="755">
        <v>1520</v>
      </c>
      <c r="B36" s="756" t="s">
        <v>91</v>
      </c>
      <c r="C36" s="289">
        <f>+K0kommunestruktur2020altern!C36</f>
        <v>10434.104448742746</v>
      </c>
      <c r="D36" s="289">
        <f>+K0kommunestruktur2020altern!D36</f>
        <v>228731.38281431334</v>
      </c>
      <c r="E36" s="289">
        <f>+K0kommunestruktur2020altern!E36</f>
        <v>10486.591876208897</v>
      </c>
      <c r="F36" s="289">
        <f>+K0kommunestruktur2020altern!F36</f>
        <v>245702.6389845261</v>
      </c>
      <c r="G36" s="289">
        <f>+K0kommunestruktur2020altern!G36</f>
        <v>10573.74081237911</v>
      </c>
      <c r="H36" s="289">
        <f>+K0kommunestruktur2020altern!H36</f>
        <v>254947.38098646034</v>
      </c>
      <c r="I36" s="289">
        <f>+K0kommunestruktur2020altern!I36</f>
        <v>10640.092843326885</v>
      </c>
      <c r="J36" s="289">
        <f>+K0kommunestruktur2020altern!J36</f>
        <v>265898.59154738876</v>
      </c>
      <c r="K36" s="289">
        <f>+K0kommunestruktur2020altern!K36</f>
        <v>10707.435203094778</v>
      </c>
      <c r="L36" s="289">
        <f>+K0kommunestruktur2020altern!L36</f>
        <v>274459.37911025144</v>
      </c>
      <c r="M36" s="289">
        <f>+K0kommunestruktur2020altern!M36</f>
        <v>10752</v>
      </c>
      <c r="N36" s="289">
        <f>+K0kommunestruktur2020altern!N36</f>
        <v>283307.27079303673</v>
      </c>
      <c r="O36" s="289">
        <f>+K0kommunestruktur2020altern!O36</f>
        <v>10825</v>
      </c>
      <c r="P36" s="289">
        <f>+K0kommunestruktur2020altern!P36</f>
        <v>277419</v>
      </c>
      <c r="Q36" s="289">
        <f>+'K21'!C36</f>
        <v>10830</v>
      </c>
      <c r="R36" s="289">
        <f>+'K21'!Z36</f>
        <v>310709.30699999997</v>
      </c>
      <c r="S36" s="517"/>
      <c r="T36" s="517"/>
    </row>
    <row r="37" spans="1:20" ht="13">
      <c r="A37" s="755">
        <v>1525</v>
      </c>
      <c r="B37" s="756" t="s">
        <v>94</v>
      </c>
      <c r="C37" s="289">
        <f>+K0kommunestruktur2020altern!C37</f>
        <v>4616</v>
      </c>
      <c r="D37" s="289">
        <f>+K0kommunestruktur2020altern!D37</f>
        <v>102920</v>
      </c>
      <c r="E37" s="289">
        <f>+K0kommunestruktur2020altern!E37</f>
        <v>4605</v>
      </c>
      <c r="F37" s="289">
        <f>+K0kommunestruktur2020altern!F37</f>
        <v>104690</v>
      </c>
      <c r="G37" s="289">
        <f>+K0kommunestruktur2020altern!G37</f>
        <v>4598</v>
      </c>
      <c r="H37" s="289">
        <f>+K0kommunestruktur2020altern!H37</f>
        <v>117534</v>
      </c>
      <c r="I37" s="289">
        <f>+K0kommunestruktur2020altern!I37</f>
        <v>4623</v>
      </c>
      <c r="J37" s="289">
        <f>+K0kommunestruktur2020altern!J37</f>
        <v>121163</v>
      </c>
      <c r="K37" s="289">
        <f>+K0kommunestruktur2020altern!K37</f>
        <v>4587</v>
      </c>
      <c r="L37" s="289">
        <f>+K0kommunestruktur2020altern!L37</f>
        <v>127019</v>
      </c>
      <c r="M37" s="289">
        <f>+K0kommunestruktur2020altern!M37</f>
        <v>4565</v>
      </c>
      <c r="N37" s="289">
        <f>+K0kommunestruktur2020altern!N37</f>
        <v>128492</v>
      </c>
      <c r="O37" s="289">
        <f>+K0kommunestruktur2020altern!O37</f>
        <v>4523</v>
      </c>
      <c r="P37" s="289">
        <f>+K0kommunestruktur2020altern!P37</f>
        <v>129631</v>
      </c>
      <c r="Q37" s="289">
        <f>+'K21'!C37</f>
        <v>4482</v>
      </c>
      <c r="R37" s="289">
        <f>+'K21'!Z37</f>
        <v>148696.72700000001</v>
      </c>
      <c r="S37" s="517"/>
      <c r="T37" s="517"/>
    </row>
    <row r="38" spans="1:20" ht="13">
      <c r="A38" s="755">
        <v>1528</v>
      </c>
      <c r="B38" s="756" t="s">
        <v>96</v>
      </c>
      <c r="C38" s="289">
        <f>+K0kommunestruktur2020altern!C38</f>
        <v>7730</v>
      </c>
      <c r="D38" s="289">
        <f>+K0kommunestruktur2020altern!D38</f>
        <v>157880</v>
      </c>
      <c r="E38" s="289">
        <f>+K0kommunestruktur2020altern!E38</f>
        <v>7707</v>
      </c>
      <c r="F38" s="289">
        <f>+K0kommunestruktur2020altern!F38</f>
        <v>165427</v>
      </c>
      <c r="G38" s="289">
        <f>+K0kommunestruktur2020altern!G38</f>
        <v>7675</v>
      </c>
      <c r="H38" s="289">
        <f>+K0kommunestruktur2020altern!H38</f>
        <v>176372</v>
      </c>
      <c r="I38" s="289">
        <f>+K0kommunestruktur2020altern!I38</f>
        <v>7695</v>
      </c>
      <c r="J38" s="289">
        <f>+K0kommunestruktur2020altern!J38</f>
        <v>182002</v>
      </c>
      <c r="K38" s="289">
        <f>+K0kommunestruktur2020altern!K38</f>
        <v>7695</v>
      </c>
      <c r="L38" s="289">
        <f>+K0kommunestruktur2020altern!L38</f>
        <v>194273</v>
      </c>
      <c r="M38" s="289">
        <f>+K0kommunestruktur2020altern!M38</f>
        <v>7657</v>
      </c>
      <c r="N38" s="289">
        <f>+K0kommunestruktur2020altern!N38</f>
        <v>203942</v>
      </c>
      <c r="O38" s="289">
        <f>+K0kommunestruktur2020altern!O38</f>
        <v>7625</v>
      </c>
      <c r="P38" s="289">
        <f>+K0kommunestruktur2020altern!P38</f>
        <v>197295</v>
      </c>
      <c r="Q38" s="289">
        <f>+'K21'!C38</f>
        <v>7596</v>
      </c>
      <c r="R38" s="289">
        <f>+'K21'!Z38</f>
        <v>222362.87299999999</v>
      </c>
      <c r="S38" s="517"/>
      <c r="T38" s="517"/>
    </row>
    <row r="39" spans="1:20" ht="13">
      <c r="A39" s="755">
        <v>1531</v>
      </c>
      <c r="B39" s="756" t="s">
        <v>98</v>
      </c>
      <c r="C39" s="289">
        <f>+K0kommunestruktur2020altern!C39</f>
        <v>8651</v>
      </c>
      <c r="D39" s="289">
        <f>+K0kommunestruktur2020altern!D39</f>
        <v>178416</v>
      </c>
      <c r="E39" s="289">
        <f>+K0kommunestruktur2020altern!E39</f>
        <v>8855</v>
      </c>
      <c r="F39" s="289">
        <f>+K0kommunestruktur2020altern!F39</f>
        <v>190618</v>
      </c>
      <c r="G39" s="289">
        <f>+K0kommunestruktur2020altern!G39</f>
        <v>8952</v>
      </c>
      <c r="H39" s="289">
        <f>+K0kommunestruktur2020altern!H39</f>
        <v>205516</v>
      </c>
      <c r="I39" s="289">
        <f>+K0kommunestruktur2020altern!I39</f>
        <v>9007</v>
      </c>
      <c r="J39" s="289">
        <f>+K0kommunestruktur2020altern!J39</f>
        <v>218659</v>
      </c>
      <c r="K39" s="289">
        <f>+K0kommunestruktur2020altern!K39</f>
        <v>9131</v>
      </c>
      <c r="L39" s="289">
        <f>+K0kommunestruktur2020altern!L39</f>
        <v>225657</v>
      </c>
      <c r="M39" s="289">
        <f>+K0kommunestruktur2020altern!M39</f>
        <v>9271</v>
      </c>
      <c r="N39" s="289">
        <f>+K0kommunestruktur2020altern!N39</f>
        <v>242024</v>
      </c>
      <c r="O39" s="289">
        <f>+K0kommunestruktur2020altern!O39</f>
        <v>9310</v>
      </c>
      <c r="P39" s="289">
        <f>+K0kommunestruktur2020altern!P39</f>
        <v>236662</v>
      </c>
      <c r="Q39" s="289">
        <f>+'K21'!C39</f>
        <v>9409</v>
      </c>
      <c r="R39" s="289">
        <f>+'K21'!Z39</f>
        <v>273616.18300000002</v>
      </c>
      <c r="S39" s="517"/>
      <c r="T39" s="517"/>
    </row>
    <row r="40" spans="1:20" ht="13">
      <c r="A40" s="755">
        <v>1532</v>
      </c>
      <c r="B40" s="756" t="s">
        <v>99</v>
      </c>
      <c r="C40" s="289">
        <f>+K0kommunestruktur2020altern!C40</f>
        <v>7739</v>
      </c>
      <c r="D40" s="289">
        <f>+K0kommunestruktur2020altern!D40</f>
        <v>176985</v>
      </c>
      <c r="E40" s="289">
        <f>+K0kommunestruktur2020altern!E40</f>
        <v>7924</v>
      </c>
      <c r="F40" s="289">
        <f>+K0kommunestruktur2020altern!F40</f>
        <v>191013</v>
      </c>
      <c r="G40" s="289">
        <f>+K0kommunestruktur2020altern!G40</f>
        <v>8094</v>
      </c>
      <c r="H40" s="289">
        <f>+K0kommunestruktur2020altern!H40</f>
        <v>202891</v>
      </c>
      <c r="I40" s="289">
        <f>+K0kommunestruktur2020altern!I40</f>
        <v>8176</v>
      </c>
      <c r="J40" s="289">
        <f>+K0kommunestruktur2020altern!J40</f>
        <v>211132</v>
      </c>
      <c r="K40" s="289">
        <f>+K0kommunestruktur2020altern!K40</f>
        <v>8292</v>
      </c>
      <c r="L40" s="289">
        <f>+K0kommunestruktur2020altern!L40</f>
        <v>225895</v>
      </c>
      <c r="M40" s="289">
        <f>+K0kommunestruktur2020altern!M40</f>
        <v>8398</v>
      </c>
      <c r="N40" s="289">
        <f>+K0kommunestruktur2020altern!N40</f>
        <v>241624</v>
      </c>
      <c r="O40" s="289">
        <f>+K0kommunestruktur2020altern!O40</f>
        <v>8462</v>
      </c>
      <c r="P40" s="289">
        <f>+K0kommunestruktur2020altern!P40</f>
        <v>242967</v>
      </c>
      <c r="Q40" s="289">
        <f>+'K21'!C40</f>
        <v>8506</v>
      </c>
      <c r="R40" s="289">
        <f>+'K21'!Z40</f>
        <v>285156.16399999999</v>
      </c>
      <c r="S40" s="517"/>
      <c r="T40" s="517"/>
    </row>
    <row r="41" spans="1:20" ht="13">
      <c r="A41" s="889">
        <v>1535</v>
      </c>
      <c r="B41" s="890" t="s">
        <v>101</v>
      </c>
      <c r="C41" s="289">
        <f>C365+C366</f>
        <v>7027.17046063203</v>
      </c>
      <c r="D41" s="289">
        <f t="shared" ref="D41:P41" si="0">D365+D366</f>
        <v>157569.99594456347</v>
      </c>
      <c r="E41" s="289">
        <f t="shared" si="0"/>
        <v>7119.7280396357792</v>
      </c>
      <c r="F41" s="289">
        <f t="shared" si="0"/>
        <v>166385.86735498125</v>
      </c>
      <c r="G41" s="289">
        <f t="shared" si="0"/>
        <v>7025.3272629887524</v>
      </c>
      <c r="H41" s="289">
        <f t="shared" si="0"/>
        <v>166942.44804485806</v>
      </c>
      <c r="I41" s="289">
        <f t="shared" si="0"/>
        <v>6991.935591858597</v>
      </c>
      <c r="J41" s="289">
        <f t="shared" si="0"/>
        <v>171013.24431360472</v>
      </c>
      <c r="K41" s="289">
        <f t="shared" si="0"/>
        <v>6974.1568023567224</v>
      </c>
      <c r="L41" s="289">
        <f t="shared" si="0"/>
        <v>187979.22214783073</v>
      </c>
      <c r="M41" s="289">
        <f t="shared" si="0"/>
        <v>6950.0507498660954</v>
      </c>
      <c r="N41" s="289">
        <f t="shared" si="0"/>
        <v>205899.19215318694</v>
      </c>
      <c r="O41" s="289">
        <f t="shared" si="0"/>
        <v>6945</v>
      </c>
      <c r="P41" s="289">
        <f t="shared" si="0"/>
        <v>199326.67232151882</v>
      </c>
      <c r="Q41" s="289">
        <f>+'K21'!C41</f>
        <v>6958</v>
      </c>
      <c r="R41" s="289">
        <f>+'K21'!Z41</f>
        <v>211902.95300000001</v>
      </c>
      <c r="S41" s="517"/>
      <c r="T41" s="517"/>
    </row>
    <row r="42" spans="1:20" ht="13">
      <c r="A42" s="889">
        <v>1539</v>
      </c>
      <c r="B42" s="890" t="s">
        <v>102</v>
      </c>
      <c r="C42" s="289">
        <f>C368+C369</f>
        <v>7040.82953936797</v>
      </c>
      <c r="D42" s="289">
        <f t="shared" ref="D42:P42" si="1">D368+D369</f>
        <v>163667.00405543653</v>
      </c>
      <c r="E42" s="289">
        <f t="shared" si="1"/>
        <v>7033.2719603642208</v>
      </c>
      <c r="F42" s="289">
        <f t="shared" si="1"/>
        <v>168259.13264501875</v>
      </c>
      <c r="G42" s="289">
        <f t="shared" si="1"/>
        <v>7077.6727370112476</v>
      </c>
      <c r="H42" s="289">
        <f t="shared" si="1"/>
        <v>173425.55195514194</v>
      </c>
      <c r="I42" s="289">
        <f t="shared" si="1"/>
        <v>7088.064408141403</v>
      </c>
      <c r="J42" s="289">
        <f t="shared" si="1"/>
        <v>182254.75568639528</v>
      </c>
      <c r="K42" s="289">
        <f t="shared" si="1"/>
        <v>7091.8431976432776</v>
      </c>
      <c r="L42" s="289">
        <f t="shared" si="1"/>
        <v>196523.77785216927</v>
      </c>
      <c r="M42" s="289">
        <f t="shared" si="1"/>
        <v>7072.9492501339046</v>
      </c>
      <c r="N42" s="289">
        <f t="shared" si="1"/>
        <v>202851.80784681306</v>
      </c>
      <c r="O42" s="289">
        <f t="shared" si="1"/>
        <v>7055</v>
      </c>
      <c r="P42" s="289">
        <f t="shared" si="1"/>
        <v>193956.32767848118</v>
      </c>
      <c r="Q42" s="289">
        <f>+'K21'!C42</f>
        <v>7026</v>
      </c>
      <c r="R42" s="289">
        <f>+'K21'!Z42</f>
        <v>226776.769</v>
      </c>
      <c r="S42" s="517"/>
      <c r="T42" s="517"/>
    </row>
    <row r="43" spans="1:20" ht="13">
      <c r="A43" s="755">
        <v>1547</v>
      </c>
      <c r="B43" s="756" t="s">
        <v>106</v>
      </c>
      <c r="C43" s="289">
        <f>+K0kommunestruktur2020altern!C43</f>
        <v>3389.4555735056542</v>
      </c>
      <c r="D43" s="289">
        <f>+K0kommunestruktur2020altern!D43</f>
        <v>84567.862681744751</v>
      </c>
      <c r="E43" s="289">
        <f>+K0kommunestruktur2020altern!E43</f>
        <v>3478.2326332794833</v>
      </c>
      <c r="F43" s="289">
        <f>+K0kommunestruktur2020altern!F43</f>
        <v>91908.408723747983</v>
      </c>
      <c r="G43" s="289">
        <f>+K0kommunestruktur2020altern!G43</f>
        <v>3530.3101777059774</v>
      </c>
      <c r="H43" s="289">
        <f>+K0kommunestruktur2020altern!H43</f>
        <v>97658.827140549271</v>
      </c>
      <c r="I43" s="289">
        <f>+K0kommunestruktur2020altern!I43</f>
        <v>3559.0775444264946</v>
      </c>
      <c r="J43" s="289">
        <f>+K0kommunestruktur2020altern!J43</f>
        <v>102782.4071082391</v>
      </c>
      <c r="K43" s="289">
        <f>+K0kommunestruktur2020altern!K43</f>
        <v>3569.2423263327946</v>
      </c>
      <c r="L43" s="289">
        <f>+K0kommunestruktur2020altern!L43</f>
        <v>97447.693053311799</v>
      </c>
      <c r="M43" s="289">
        <f>+K0kommunestruktur2020altern!M43</f>
        <v>3551</v>
      </c>
      <c r="N43" s="289">
        <f>+K0kommunestruktur2020altern!N43</f>
        <v>106807.4394184168</v>
      </c>
      <c r="O43" s="289">
        <f>+K0kommunestruktur2020altern!O43</f>
        <v>3509</v>
      </c>
      <c r="P43" s="289">
        <f>+K0kommunestruktur2020altern!P43</f>
        <v>99585</v>
      </c>
      <c r="Q43" s="289">
        <f>+'K21'!C43</f>
        <v>3522</v>
      </c>
      <c r="R43" s="289">
        <f>+'K21'!Z43</f>
        <v>107765.298</v>
      </c>
      <c r="S43" s="517"/>
      <c r="T43" s="517"/>
    </row>
    <row r="44" spans="1:20" ht="13">
      <c r="A44" s="755">
        <v>1554</v>
      </c>
      <c r="B44" s="756" t="s">
        <v>109</v>
      </c>
      <c r="C44" s="289">
        <f>+K0kommunestruktur2020altern!C44</f>
        <v>5687</v>
      </c>
      <c r="D44" s="289">
        <f>+K0kommunestruktur2020altern!D44</f>
        <v>125329</v>
      </c>
      <c r="E44" s="289">
        <f>+K0kommunestruktur2020altern!E44</f>
        <v>5794</v>
      </c>
      <c r="F44" s="289">
        <f>+K0kommunestruktur2020altern!F44</f>
        <v>136191</v>
      </c>
      <c r="G44" s="289">
        <f>+K0kommunestruktur2020altern!G44</f>
        <v>5826</v>
      </c>
      <c r="H44" s="289">
        <f>+K0kommunestruktur2020altern!H44</f>
        <v>146606</v>
      </c>
      <c r="I44" s="289">
        <f>+K0kommunestruktur2020altern!I44</f>
        <v>5856</v>
      </c>
      <c r="J44" s="289">
        <f>+K0kommunestruktur2020altern!J44</f>
        <v>150786</v>
      </c>
      <c r="K44" s="289">
        <f>+K0kommunestruktur2020altern!K44</f>
        <v>5859</v>
      </c>
      <c r="L44" s="289">
        <f>+K0kommunestruktur2020altern!L44</f>
        <v>153466</v>
      </c>
      <c r="M44" s="289">
        <f>+K0kommunestruktur2020altern!M44</f>
        <v>5849</v>
      </c>
      <c r="N44" s="289">
        <f>+K0kommunestruktur2020altern!N44</f>
        <v>163113</v>
      </c>
      <c r="O44" s="289">
        <f>+K0kommunestruktur2020altern!O44</f>
        <v>5788</v>
      </c>
      <c r="P44" s="289">
        <f>+K0kommunestruktur2020altern!P44</f>
        <v>163759</v>
      </c>
      <c r="Q44" s="289">
        <f>+'K21'!C44</f>
        <v>5808</v>
      </c>
      <c r="R44" s="289">
        <f>+'K21'!Z44</f>
        <v>185263.12599999999</v>
      </c>
      <c r="S44" s="517"/>
      <c r="T44" s="517"/>
    </row>
    <row r="45" spans="1:20" ht="13">
      <c r="A45" s="755">
        <v>1557</v>
      </c>
      <c r="B45" s="756" t="s">
        <v>110</v>
      </c>
      <c r="C45" s="289">
        <f>+K0kommunestruktur2020altern!C45</f>
        <v>2565</v>
      </c>
      <c r="D45" s="289">
        <f>+K0kommunestruktur2020altern!D45</f>
        <v>54164</v>
      </c>
      <c r="E45" s="289">
        <f>+K0kommunestruktur2020altern!E45</f>
        <v>2580</v>
      </c>
      <c r="F45" s="289">
        <f>+K0kommunestruktur2020altern!F45</f>
        <v>59425</v>
      </c>
      <c r="G45" s="289">
        <f>+K0kommunestruktur2020altern!G45</f>
        <v>2593</v>
      </c>
      <c r="H45" s="289">
        <f>+K0kommunestruktur2020altern!H45</f>
        <v>59460</v>
      </c>
      <c r="I45" s="289">
        <f>+K0kommunestruktur2020altern!I45</f>
        <v>2611</v>
      </c>
      <c r="J45" s="289">
        <f>+K0kommunestruktur2020altern!J45</f>
        <v>60402</v>
      </c>
      <c r="K45" s="289">
        <f>+K0kommunestruktur2020altern!K45</f>
        <v>2623</v>
      </c>
      <c r="L45" s="289">
        <f>+K0kommunestruktur2020altern!L45</f>
        <v>63780</v>
      </c>
      <c r="M45" s="289">
        <f>+K0kommunestruktur2020altern!M45</f>
        <v>2641</v>
      </c>
      <c r="N45" s="289">
        <f>+K0kommunestruktur2020altern!N45</f>
        <v>65161</v>
      </c>
      <c r="O45" s="289">
        <f>+K0kommunestruktur2020altern!O45</f>
        <v>2629</v>
      </c>
      <c r="P45" s="289">
        <f>+K0kommunestruktur2020altern!P45</f>
        <v>63050</v>
      </c>
      <c r="Q45" s="289">
        <f>+'K21'!C45</f>
        <v>2658</v>
      </c>
      <c r="R45" s="289">
        <f>+'K21'!Z45</f>
        <v>71939.519</v>
      </c>
      <c r="S45" s="517"/>
      <c r="T45" s="517"/>
    </row>
    <row r="46" spans="1:20" ht="13">
      <c r="A46" s="755">
        <v>1560</v>
      </c>
      <c r="B46" s="756" t="s">
        <v>111</v>
      </c>
      <c r="C46" s="289">
        <f>+K0kommunestruktur2020altern!C46</f>
        <v>3064</v>
      </c>
      <c r="D46" s="289">
        <f>+K0kommunestruktur2020altern!D46</f>
        <v>56739</v>
      </c>
      <c r="E46" s="289">
        <f>+K0kommunestruktur2020altern!E46</f>
        <v>3090</v>
      </c>
      <c r="F46" s="289">
        <f>+K0kommunestruktur2020altern!F46</f>
        <v>60801</v>
      </c>
      <c r="G46" s="289">
        <f>+K0kommunestruktur2020altern!G46</f>
        <v>3103</v>
      </c>
      <c r="H46" s="289">
        <f>+K0kommunestruktur2020altern!H46</f>
        <v>68044</v>
      </c>
      <c r="I46" s="289">
        <f>+K0kommunestruktur2020altern!I46</f>
        <v>3109</v>
      </c>
      <c r="J46" s="289">
        <f>+K0kommunestruktur2020altern!J46</f>
        <v>68507</v>
      </c>
      <c r="K46" s="289">
        <f>+K0kommunestruktur2020altern!K46</f>
        <v>3078</v>
      </c>
      <c r="L46" s="289">
        <f>+K0kommunestruktur2020altern!L46</f>
        <v>70887</v>
      </c>
      <c r="M46" s="289">
        <f>+K0kommunestruktur2020altern!M46</f>
        <v>3045</v>
      </c>
      <c r="N46" s="289">
        <f>+K0kommunestruktur2020altern!N46</f>
        <v>75985</v>
      </c>
      <c r="O46" s="289">
        <f>+K0kommunestruktur2020altern!O46</f>
        <v>3025</v>
      </c>
      <c r="P46" s="289">
        <f>+K0kommunestruktur2020altern!P46</f>
        <v>75472</v>
      </c>
      <c r="Q46" s="289">
        <f>+'K21'!C46</f>
        <v>2985</v>
      </c>
      <c r="R46" s="289">
        <f>+'K21'!Z46</f>
        <v>81411.259000000005</v>
      </c>
      <c r="S46" s="517"/>
      <c r="T46" s="517"/>
    </row>
    <row r="47" spans="1:20" ht="13">
      <c r="A47" s="755">
        <v>1563</v>
      </c>
      <c r="B47" s="756" t="s">
        <v>112</v>
      </c>
      <c r="C47" s="289">
        <f>+K0kommunestruktur2020altern!C47</f>
        <v>7171</v>
      </c>
      <c r="D47" s="289">
        <f>+K0kommunestruktur2020altern!D47</f>
        <v>169264</v>
      </c>
      <c r="E47" s="289">
        <f>+K0kommunestruktur2020altern!E47</f>
        <v>7155</v>
      </c>
      <c r="F47" s="289">
        <f>+K0kommunestruktur2020altern!F47</f>
        <v>178481</v>
      </c>
      <c r="G47" s="289">
        <f>+K0kommunestruktur2020altern!G47</f>
        <v>7160</v>
      </c>
      <c r="H47" s="289">
        <f>+K0kommunestruktur2020altern!H47</f>
        <v>189734</v>
      </c>
      <c r="I47" s="289">
        <f>+K0kommunestruktur2020altern!I47</f>
        <v>7126</v>
      </c>
      <c r="J47" s="289">
        <f>+K0kommunestruktur2020altern!J47</f>
        <v>195106</v>
      </c>
      <c r="K47" s="289">
        <f>+K0kommunestruktur2020altern!K47</f>
        <v>7119</v>
      </c>
      <c r="L47" s="289">
        <f>+K0kommunestruktur2020altern!L47</f>
        <v>203672</v>
      </c>
      <c r="M47" s="289">
        <f>+K0kommunestruktur2020altern!M47</f>
        <v>7106</v>
      </c>
      <c r="N47" s="289">
        <f>+K0kommunestruktur2020altern!N47</f>
        <v>207823</v>
      </c>
      <c r="O47" s="289">
        <f>+K0kommunestruktur2020altern!O47</f>
        <v>7036</v>
      </c>
      <c r="P47" s="289">
        <f>+K0kommunestruktur2020altern!P47</f>
        <v>204475</v>
      </c>
      <c r="Q47" s="289">
        <f>+'K21'!C47</f>
        <v>6956</v>
      </c>
      <c r="R47" s="289">
        <f>+'K21'!Z47</f>
        <v>233349.353</v>
      </c>
      <c r="S47" s="517"/>
      <c r="T47" s="517"/>
    </row>
    <row r="48" spans="1:20" ht="13">
      <c r="A48" s="755">
        <v>1566</v>
      </c>
      <c r="B48" s="756" t="s">
        <v>113</v>
      </c>
      <c r="C48" s="289">
        <f>+K0kommunestruktur2020altern!C48</f>
        <v>5954</v>
      </c>
      <c r="D48" s="289">
        <f>+K0kommunestruktur2020altern!D48</f>
        <v>120188</v>
      </c>
      <c r="E48" s="289">
        <f>+K0kommunestruktur2020altern!E48</f>
        <v>5976</v>
      </c>
      <c r="F48" s="289">
        <f>+K0kommunestruktur2020altern!F48</f>
        <v>122573</v>
      </c>
      <c r="G48" s="289">
        <f>+K0kommunestruktur2020altern!G48</f>
        <v>5969</v>
      </c>
      <c r="H48" s="289">
        <f>+K0kommunestruktur2020altern!H48</f>
        <v>132821</v>
      </c>
      <c r="I48" s="289">
        <f>+K0kommunestruktur2020altern!I48</f>
        <v>5986</v>
      </c>
      <c r="J48" s="289">
        <f>+K0kommunestruktur2020altern!J48</f>
        <v>140387</v>
      </c>
      <c r="K48" s="289">
        <f>+K0kommunestruktur2020altern!K48</f>
        <v>5978</v>
      </c>
      <c r="L48" s="289">
        <f>+K0kommunestruktur2020altern!L48</f>
        <v>157123</v>
      </c>
      <c r="M48" s="289">
        <f>+K0kommunestruktur2020altern!M48</f>
        <v>5928</v>
      </c>
      <c r="N48" s="289">
        <f>+K0kommunestruktur2020altern!N48</f>
        <v>151417</v>
      </c>
      <c r="O48" s="289">
        <f>+K0kommunestruktur2020altern!O48</f>
        <v>5920</v>
      </c>
      <c r="P48" s="289">
        <f>+K0kommunestruktur2020altern!P48</f>
        <v>139829</v>
      </c>
      <c r="Q48" s="289">
        <f>+'K21'!C48</f>
        <v>5872</v>
      </c>
      <c r="R48" s="289">
        <f>+'K21'!Z48</f>
        <v>170499.11</v>
      </c>
      <c r="S48" s="517"/>
      <c r="T48" s="517"/>
    </row>
    <row r="49" spans="1:20" ht="13">
      <c r="A49" s="755">
        <v>1573</v>
      </c>
      <c r="B49" s="756" t="s">
        <v>116</v>
      </c>
      <c r="C49" s="289">
        <f>+K0kommunestruktur2020altern!C49</f>
        <v>2166</v>
      </c>
      <c r="D49" s="289">
        <f>+K0kommunestruktur2020altern!D49</f>
        <v>42888</v>
      </c>
      <c r="E49" s="289">
        <f>+K0kommunestruktur2020altern!E49</f>
        <v>2146</v>
      </c>
      <c r="F49" s="289">
        <f>+K0kommunestruktur2020altern!F49</f>
        <v>44088</v>
      </c>
      <c r="G49" s="289">
        <f>+K0kommunestruktur2020altern!G49</f>
        <v>2141</v>
      </c>
      <c r="H49" s="289">
        <f>+K0kommunestruktur2020altern!H49</f>
        <v>49763</v>
      </c>
      <c r="I49" s="289">
        <f>+K0kommunestruktur2020altern!I49</f>
        <v>2160</v>
      </c>
      <c r="J49" s="289">
        <f>+K0kommunestruktur2020altern!J49</f>
        <v>54812</v>
      </c>
      <c r="K49" s="289">
        <f>+K0kommunestruktur2020altern!K49</f>
        <v>2172</v>
      </c>
      <c r="L49" s="289">
        <f>+K0kommunestruktur2020altern!L49</f>
        <v>54874</v>
      </c>
      <c r="M49" s="289">
        <f>+K0kommunestruktur2020altern!M49</f>
        <v>2134</v>
      </c>
      <c r="N49" s="289">
        <f>+K0kommunestruktur2020altern!N49</f>
        <v>56072</v>
      </c>
      <c r="O49" s="289">
        <f>+K0kommunestruktur2020altern!O49</f>
        <v>2150</v>
      </c>
      <c r="P49" s="289">
        <f>+K0kommunestruktur2020altern!P49</f>
        <v>57258</v>
      </c>
      <c r="Q49" s="289">
        <f>+'K21'!C49</f>
        <v>2128</v>
      </c>
      <c r="R49" s="289">
        <f>+'K21'!Z49</f>
        <v>68450.55</v>
      </c>
      <c r="S49" s="517"/>
      <c r="T49" s="517"/>
    </row>
    <row r="50" spans="1:20" ht="13">
      <c r="A50" s="755">
        <v>1576</v>
      </c>
      <c r="B50" s="756" t="s">
        <v>1498</v>
      </c>
      <c r="C50" s="289">
        <f>+K0kommunestruktur2020altern!C50</f>
        <v>3577</v>
      </c>
      <c r="D50" s="289">
        <f>+K0kommunestruktur2020altern!D50</f>
        <v>72755</v>
      </c>
      <c r="E50" s="289">
        <f>+K0kommunestruktur2020altern!E50</f>
        <v>3549</v>
      </c>
      <c r="F50" s="289">
        <f>+K0kommunestruktur2020altern!F50</f>
        <v>76165</v>
      </c>
      <c r="G50" s="289">
        <f>+K0kommunestruktur2020altern!G50</f>
        <v>3536</v>
      </c>
      <c r="H50" s="289">
        <f>+K0kommunestruktur2020altern!H50</f>
        <v>85813</v>
      </c>
      <c r="I50" s="289">
        <f>+K0kommunestruktur2020altern!I50</f>
        <v>3590</v>
      </c>
      <c r="J50" s="289">
        <f>+K0kommunestruktur2020altern!J50</f>
        <v>89415</v>
      </c>
      <c r="K50" s="289">
        <f>+K0kommunestruktur2020altern!K50</f>
        <v>3593</v>
      </c>
      <c r="L50" s="289">
        <f>+K0kommunestruktur2020altern!L50</f>
        <v>90980</v>
      </c>
      <c r="M50" s="289">
        <f>+K0kommunestruktur2020altern!M50</f>
        <v>3553</v>
      </c>
      <c r="N50" s="289">
        <f>+K0kommunestruktur2020altern!N50</f>
        <v>94244</v>
      </c>
      <c r="O50" s="289">
        <f>+K0kommunestruktur2020altern!O50</f>
        <v>3507</v>
      </c>
      <c r="P50" s="289">
        <f>+K0kommunestruktur2020altern!P50</f>
        <v>95166</v>
      </c>
      <c r="Q50" s="289">
        <f>+'K21'!C50</f>
        <v>3468</v>
      </c>
      <c r="R50" s="289">
        <f>+'K21'!Z50</f>
        <v>108448.931</v>
      </c>
      <c r="S50" s="517"/>
      <c r="T50" s="517"/>
    </row>
    <row r="51" spans="1:20" ht="13">
      <c r="A51" s="755">
        <v>1577</v>
      </c>
      <c r="B51" s="756" t="s">
        <v>1613</v>
      </c>
      <c r="C51" s="289">
        <f>+K0kommunestruktur2020altern!C51</f>
        <v>10219.895551257254</v>
      </c>
      <c r="D51" s="289">
        <f>+K0kommunestruktur2020altern!D51</f>
        <v>208243.61718568666</v>
      </c>
      <c r="E51" s="289">
        <f>+K0kommunestruktur2020altern!E51</f>
        <v>10286.408123791103</v>
      </c>
      <c r="F51" s="289">
        <f>+K0kommunestruktur2020altern!F51</f>
        <v>219052.3610154739</v>
      </c>
      <c r="G51" s="289">
        <f>+K0kommunestruktur2020altern!G51</f>
        <v>10326.25918762089</v>
      </c>
      <c r="H51" s="289">
        <f>+K0kommunestruktur2020altern!H51</f>
        <v>233359.61901353966</v>
      </c>
      <c r="I51" s="289">
        <f>+K0kommunestruktur2020altern!I51</f>
        <v>10389.907156673115</v>
      </c>
      <c r="J51" s="289">
        <f>+K0kommunestruktur2020altern!J51</f>
        <v>236710.40845261121</v>
      </c>
      <c r="K51" s="289">
        <f>+K0kommunestruktur2020altern!K51</f>
        <v>10453.564796905222</v>
      </c>
      <c r="L51" s="289">
        <f>+K0kommunestruktur2020altern!L51</f>
        <v>251923.62088974856</v>
      </c>
      <c r="M51" s="289">
        <f>+K0kommunestruktur2020altern!M51</f>
        <v>10454</v>
      </c>
      <c r="N51" s="289">
        <f>+K0kommunestruktur2020altern!N51</f>
        <v>258159.72920696324</v>
      </c>
      <c r="O51" s="289">
        <f>+K0kommunestruktur2020altern!O51</f>
        <v>10473</v>
      </c>
      <c r="P51" s="289">
        <f>+K0kommunestruktur2020altern!P51</f>
        <v>252064</v>
      </c>
      <c r="Q51" s="289">
        <f>+'K21'!C51</f>
        <v>10781</v>
      </c>
      <c r="R51" s="289">
        <f>+'K21'!Z51</f>
        <v>294567.46100000001</v>
      </c>
      <c r="S51" s="517"/>
      <c r="T51" s="517"/>
    </row>
    <row r="52" spans="1:20" ht="13">
      <c r="A52" s="755">
        <v>1578</v>
      </c>
      <c r="B52" s="756" t="s">
        <v>1614</v>
      </c>
      <c r="C52" s="289">
        <f>+K0kommunestruktur2020altern!C52</f>
        <v>2720</v>
      </c>
      <c r="D52" s="289">
        <f>+K0kommunestruktur2020altern!D52</f>
        <v>61837</v>
      </c>
      <c r="E52" s="289">
        <f>+K0kommunestruktur2020altern!E52</f>
        <v>2719</v>
      </c>
      <c r="F52" s="289">
        <f>+K0kommunestruktur2020altern!F52</f>
        <v>62229</v>
      </c>
      <c r="G52" s="289">
        <f>+K0kommunestruktur2020altern!G52</f>
        <v>2672</v>
      </c>
      <c r="H52" s="289">
        <f>+K0kommunestruktur2020altern!H52</f>
        <v>66338</v>
      </c>
      <c r="I52" s="289">
        <f>+K0kommunestruktur2020altern!I52</f>
        <v>2668</v>
      </c>
      <c r="J52" s="289">
        <f>+K0kommunestruktur2020altern!J52</f>
        <v>71869</v>
      </c>
      <c r="K52" s="289">
        <f>+K0kommunestruktur2020altern!K52</f>
        <v>2642</v>
      </c>
      <c r="L52" s="289">
        <f>+K0kommunestruktur2020altern!L52</f>
        <v>70869</v>
      </c>
      <c r="M52" s="289">
        <f>+K0kommunestruktur2020altern!M52</f>
        <v>2592</v>
      </c>
      <c r="N52" s="289">
        <f>+K0kommunestruktur2020altern!N52</f>
        <v>68700</v>
      </c>
      <c r="O52" s="289">
        <f>+K0kommunestruktur2020altern!O52</f>
        <v>2549</v>
      </c>
      <c r="P52" s="289">
        <f>+K0kommunestruktur2020altern!P52</f>
        <v>68641</v>
      </c>
      <c r="Q52" s="289">
        <f>+'K21'!C52</f>
        <v>2502</v>
      </c>
      <c r="R52" s="289">
        <f>+'K21'!Z52</f>
        <v>77333.64</v>
      </c>
      <c r="S52" s="517"/>
      <c r="T52" s="517"/>
    </row>
    <row r="53" spans="1:20" ht="13">
      <c r="A53" s="755">
        <v>1579</v>
      </c>
      <c r="B53" s="756" t="s">
        <v>1615</v>
      </c>
      <c r="C53" s="289">
        <f>+K0kommunestruktur2020altern!C53</f>
        <v>13191</v>
      </c>
      <c r="D53" s="289">
        <f>+K0kommunestruktur2020altern!D53</f>
        <v>273471</v>
      </c>
      <c r="E53" s="289">
        <f>+K0kommunestruktur2020altern!E53</f>
        <v>13250</v>
      </c>
      <c r="F53" s="289">
        <f>+K0kommunestruktur2020altern!F53</f>
        <v>288365</v>
      </c>
      <c r="G53" s="289">
        <f>+K0kommunestruktur2020altern!G53</f>
        <v>13184</v>
      </c>
      <c r="H53" s="289">
        <f>+K0kommunestruktur2020altern!H53</f>
        <v>305060</v>
      </c>
      <c r="I53" s="289">
        <f>+K0kommunestruktur2020altern!I53</f>
        <v>13195</v>
      </c>
      <c r="J53" s="289">
        <f>+K0kommunestruktur2020altern!J53</f>
        <v>321679</v>
      </c>
      <c r="K53" s="289">
        <f>+K0kommunestruktur2020altern!K53</f>
        <v>13215</v>
      </c>
      <c r="L53" s="289">
        <f>+K0kommunestruktur2020altern!L53</f>
        <v>339908</v>
      </c>
      <c r="M53" s="289">
        <f>+K0kommunestruktur2020altern!M53</f>
        <v>13233</v>
      </c>
      <c r="N53" s="289">
        <f>+K0kommunestruktur2020altern!N53</f>
        <v>346385</v>
      </c>
      <c r="O53" s="289">
        <f>+K0kommunestruktur2020altern!O53</f>
        <v>13279</v>
      </c>
      <c r="P53" s="289">
        <f>+K0kommunestruktur2020altern!P53</f>
        <v>340418</v>
      </c>
      <c r="Q53" s="289">
        <f>+'K21'!C53</f>
        <v>13317</v>
      </c>
      <c r="R53" s="289">
        <f>+'K21'!Z53</f>
        <v>389167.47600000002</v>
      </c>
      <c r="S53" s="517"/>
      <c r="T53" s="517"/>
    </row>
    <row r="54" spans="1:20" ht="13">
      <c r="A54" s="755">
        <v>1804</v>
      </c>
      <c r="B54" s="756" t="s">
        <v>174</v>
      </c>
      <c r="C54" s="289">
        <f>+K0kommunestruktur2020altern!C54</f>
        <v>49731</v>
      </c>
      <c r="D54" s="289">
        <f>+K0kommunestruktur2020altern!D54</f>
        <v>1162903</v>
      </c>
      <c r="E54" s="289">
        <f>+K0kommunestruktur2020altern!E54</f>
        <v>50185</v>
      </c>
      <c r="F54" s="289">
        <f>+K0kommunestruktur2020altern!F54</f>
        <v>1244567</v>
      </c>
      <c r="G54" s="289">
        <f>+K0kommunestruktur2020altern!G54</f>
        <v>50488</v>
      </c>
      <c r="H54" s="289">
        <f>+K0kommunestruktur2020altern!H54</f>
        <v>1345148</v>
      </c>
      <c r="I54" s="289">
        <f>+K0kommunestruktur2020altern!I54</f>
        <v>51022</v>
      </c>
      <c r="J54" s="289">
        <f>+K0kommunestruktur2020altern!J54</f>
        <v>1417947</v>
      </c>
      <c r="K54" s="289">
        <f>+K0kommunestruktur2020altern!K54</f>
        <v>51558</v>
      </c>
      <c r="L54" s="289">
        <f>+K0kommunestruktur2020altern!L54</f>
        <v>1519251</v>
      </c>
      <c r="M54" s="289">
        <f>+K0kommunestruktur2020altern!M54</f>
        <v>52024</v>
      </c>
      <c r="N54" s="289">
        <f>+K0kommunestruktur2020altern!N54</f>
        <v>1602846</v>
      </c>
      <c r="O54" s="289">
        <f>+K0kommunestruktur2020altern!O54</f>
        <v>52357</v>
      </c>
      <c r="P54" s="289">
        <f>+K0kommunestruktur2020altern!P54</f>
        <v>1589017</v>
      </c>
      <c r="Q54" s="289">
        <f>+'K21'!C54</f>
        <v>52560</v>
      </c>
      <c r="R54" s="289">
        <f>+'K21'!Z54</f>
        <v>1841083.26</v>
      </c>
      <c r="S54" s="517"/>
      <c r="T54" s="517"/>
    </row>
    <row r="55" spans="1:20" ht="13">
      <c r="A55" s="755">
        <v>1806</v>
      </c>
      <c r="B55" s="756" t="s">
        <v>1616</v>
      </c>
      <c r="C55" s="289">
        <f>+K0kommunestruktur2020altern!C55</f>
        <v>22220.67532468</v>
      </c>
      <c r="D55" s="289">
        <f>+K0kommunestruktur2020altern!D55</f>
        <v>474310.8848051948</v>
      </c>
      <c r="E55" s="289">
        <f>+K0kommunestruktur2020altern!E55</f>
        <v>22356.825974029998</v>
      </c>
      <c r="F55" s="289">
        <f>+K0kommunestruktur2020altern!F55</f>
        <v>515143.91582337662</v>
      </c>
      <c r="G55" s="289">
        <f>+K0kommunestruktur2020altern!G55</f>
        <v>22255.654545450001</v>
      </c>
      <c r="H55" s="289">
        <f>+K0kommunestruktur2020altern!H55</f>
        <v>550619.43769870128</v>
      </c>
      <c r="I55" s="289">
        <f>+K0kommunestruktur2020altern!I55</f>
        <v>22216.181818180001</v>
      </c>
      <c r="J55" s="289">
        <f>+K0kommunestruktur2020altern!J55</f>
        <v>573584.7218025974</v>
      </c>
      <c r="K55" s="289">
        <f>+K0kommunestruktur2020altern!K55</f>
        <v>22062.945454550001</v>
      </c>
      <c r="L55" s="289">
        <f>+K0kommunestruktur2020altern!L55</f>
        <v>598271.44415584416</v>
      </c>
      <c r="M55" s="289">
        <f>+K0kommunestruktur2020altern!M55</f>
        <v>21990</v>
      </c>
      <c r="N55" s="289">
        <f>+K0kommunestruktur2020altern!N55</f>
        <v>597862.21038961038</v>
      </c>
      <c r="O55" s="289">
        <f>+K0kommunestruktur2020altern!O55</f>
        <v>21845</v>
      </c>
      <c r="P55" s="289">
        <f>+K0kommunestruktur2020altern!P55</f>
        <v>595353</v>
      </c>
      <c r="Q55" s="289">
        <f>+'K21'!C55</f>
        <v>21661</v>
      </c>
      <c r="R55" s="289">
        <f>+'K21'!Z55</f>
        <v>679205.41</v>
      </c>
      <c r="S55" s="517"/>
      <c r="T55" s="517"/>
    </row>
    <row r="56" spans="1:20" ht="13">
      <c r="A56" s="755">
        <v>1811</v>
      </c>
      <c r="B56" s="756" t="s">
        <v>176</v>
      </c>
      <c r="C56" s="289">
        <f>+K0kommunestruktur2020altern!C56</f>
        <v>1503</v>
      </c>
      <c r="D56" s="289">
        <f>+K0kommunestruktur2020altern!D56</f>
        <v>30493</v>
      </c>
      <c r="E56" s="289">
        <f>+K0kommunestruktur2020altern!E56</f>
        <v>1482</v>
      </c>
      <c r="F56" s="289">
        <f>+K0kommunestruktur2020altern!F56</f>
        <v>32052</v>
      </c>
      <c r="G56" s="289">
        <f>+K0kommunestruktur2020altern!G56</f>
        <v>1465</v>
      </c>
      <c r="H56" s="289">
        <f>+K0kommunestruktur2020altern!H56</f>
        <v>35427</v>
      </c>
      <c r="I56" s="289">
        <f>+K0kommunestruktur2020altern!I56</f>
        <v>1473</v>
      </c>
      <c r="J56" s="289">
        <f>+K0kommunestruktur2020altern!J56</f>
        <v>37248</v>
      </c>
      <c r="K56" s="289">
        <f>+K0kommunestruktur2020altern!K56</f>
        <v>1486</v>
      </c>
      <c r="L56" s="289">
        <f>+K0kommunestruktur2020altern!L56</f>
        <v>40198</v>
      </c>
      <c r="M56" s="289">
        <f>+K0kommunestruktur2020altern!M56</f>
        <v>1450</v>
      </c>
      <c r="N56" s="289">
        <f>+K0kommunestruktur2020altern!N56</f>
        <v>38970</v>
      </c>
      <c r="O56" s="289">
        <f>+K0kommunestruktur2020altern!O56</f>
        <v>1426</v>
      </c>
      <c r="P56" s="289">
        <f>+K0kommunestruktur2020altern!P56</f>
        <v>38311</v>
      </c>
      <c r="Q56" s="289">
        <f>+'K21'!C56</f>
        <v>1397</v>
      </c>
      <c r="R56" s="289">
        <f>+'K21'!Z56</f>
        <v>45529.815999999999</v>
      </c>
      <c r="S56" s="517"/>
      <c r="T56" s="517"/>
    </row>
    <row r="57" spans="1:20" ht="13">
      <c r="A57" s="755">
        <v>1812</v>
      </c>
      <c r="B57" s="756" t="s">
        <v>177</v>
      </c>
      <c r="C57" s="289">
        <f>+K0kommunestruktur2020altern!C57</f>
        <v>2047</v>
      </c>
      <c r="D57" s="289">
        <f>+K0kommunestruktur2020altern!D57</f>
        <v>38816</v>
      </c>
      <c r="E57" s="289">
        <f>+K0kommunestruktur2020altern!E57</f>
        <v>2063</v>
      </c>
      <c r="F57" s="289">
        <f>+K0kommunestruktur2020altern!F57</f>
        <v>39185</v>
      </c>
      <c r="G57" s="289">
        <f>+K0kommunestruktur2020altern!G57</f>
        <v>2031</v>
      </c>
      <c r="H57" s="289">
        <f>+K0kommunestruktur2020altern!H57</f>
        <v>39654</v>
      </c>
      <c r="I57" s="289">
        <f>+K0kommunestruktur2020altern!I57</f>
        <v>2047</v>
      </c>
      <c r="J57" s="289">
        <f>+K0kommunestruktur2020altern!J57</f>
        <v>41811</v>
      </c>
      <c r="K57" s="289">
        <f>+K0kommunestruktur2020altern!K57</f>
        <v>2020</v>
      </c>
      <c r="L57" s="289">
        <f>+K0kommunestruktur2020altern!L57</f>
        <v>44273</v>
      </c>
      <c r="M57" s="289">
        <f>+K0kommunestruktur2020altern!M57</f>
        <v>2014</v>
      </c>
      <c r="N57" s="289">
        <f>+K0kommunestruktur2020altern!N57</f>
        <v>46881</v>
      </c>
      <c r="O57" s="289">
        <f>+K0kommunestruktur2020altern!O57</f>
        <v>1975</v>
      </c>
      <c r="P57" s="289">
        <f>+K0kommunestruktur2020altern!P57</f>
        <v>45952</v>
      </c>
      <c r="Q57" s="289">
        <f>+'K21'!C57</f>
        <v>1990</v>
      </c>
      <c r="R57" s="289">
        <f>+'K21'!Z57</f>
        <v>53418.559999999998</v>
      </c>
      <c r="S57" s="517"/>
      <c r="T57" s="517"/>
    </row>
    <row r="58" spans="1:20" ht="13">
      <c r="A58" s="755">
        <v>1813</v>
      </c>
      <c r="B58" s="756" t="s">
        <v>178</v>
      </c>
      <c r="C58" s="289">
        <f>+K0kommunestruktur2020altern!C58</f>
        <v>7897</v>
      </c>
      <c r="D58" s="289">
        <f>+K0kommunestruktur2020altern!D58</f>
        <v>156213</v>
      </c>
      <c r="E58" s="289">
        <f>+K0kommunestruktur2020altern!E58</f>
        <v>7934</v>
      </c>
      <c r="F58" s="289">
        <f>+K0kommunestruktur2020altern!F58</f>
        <v>167225</v>
      </c>
      <c r="G58" s="289">
        <f>+K0kommunestruktur2020altern!G58</f>
        <v>7962</v>
      </c>
      <c r="H58" s="289">
        <f>+K0kommunestruktur2020altern!H58</f>
        <v>181445</v>
      </c>
      <c r="I58" s="289">
        <f>+K0kommunestruktur2020altern!I58</f>
        <v>7956</v>
      </c>
      <c r="J58" s="289">
        <f>+K0kommunestruktur2020altern!J58</f>
        <v>190059</v>
      </c>
      <c r="K58" s="289">
        <f>+K0kommunestruktur2020altern!K58</f>
        <v>7948</v>
      </c>
      <c r="L58" s="289">
        <f>+K0kommunestruktur2020altern!L58</f>
        <v>197077</v>
      </c>
      <c r="M58" s="289">
        <f>+K0kommunestruktur2020altern!M58</f>
        <v>7916</v>
      </c>
      <c r="N58" s="289">
        <f>+K0kommunestruktur2020altern!N58</f>
        <v>198525</v>
      </c>
      <c r="O58" s="289">
        <f>+K0kommunestruktur2020altern!O58</f>
        <v>7917</v>
      </c>
      <c r="P58" s="289">
        <f>+K0kommunestruktur2020altern!P58</f>
        <v>197511</v>
      </c>
      <c r="Q58" s="289">
        <f>+'K21'!C58</f>
        <v>7803</v>
      </c>
      <c r="R58" s="289">
        <f>+'K21'!Z58</f>
        <v>240172.03700000001</v>
      </c>
      <c r="S58" s="517"/>
      <c r="T58" s="517"/>
    </row>
    <row r="59" spans="1:20" ht="13">
      <c r="A59" s="755">
        <v>1815</v>
      </c>
      <c r="B59" s="756" t="s">
        <v>179</v>
      </c>
      <c r="C59" s="289">
        <f>+K0kommunestruktur2020altern!C59</f>
        <v>1223</v>
      </c>
      <c r="D59" s="289">
        <f>+K0kommunestruktur2020altern!D59</f>
        <v>21722</v>
      </c>
      <c r="E59" s="289">
        <f>+K0kommunestruktur2020altern!E59</f>
        <v>1225</v>
      </c>
      <c r="F59" s="289">
        <f>+K0kommunestruktur2020altern!F59</f>
        <v>22840</v>
      </c>
      <c r="G59" s="289">
        <f>+K0kommunestruktur2020altern!G59</f>
        <v>1244</v>
      </c>
      <c r="H59" s="289">
        <f>+K0kommunestruktur2020altern!H59</f>
        <v>24000</v>
      </c>
      <c r="I59" s="289">
        <f>+K0kommunestruktur2020altern!I59</f>
        <v>1234</v>
      </c>
      <c r="J59" s="289">
        <f>+K0kommunestruktur2020altern!J59</f>
        <v>24851</v>
      </c>
      <c r="K59" s="289">
        <f>+K0kommunestruktur2020altern!K59</f>
        <v>1221</v>
      </c>
      <c r="L59" s="289">
        <f>+K0kommunestruktur2020altern!L59</f>
        <v>26288</v>
      </c>
      <c r="M59" s="289">
        <f>+K0kommunestruktur2020altern!M59</f>
        <v>1232</v>
      </c>
      <c r="N59" s="289">
        <f>+K0kommunestruktur2020altern!N59</f>
        <v>27921</v>
      </c>
      <c r="O59" s="289">
        <f>+K0kommunestruktur2020altern!O59</f>
        <v>1200</v>
      </c>
      <c r="P59" s="289">
        <f>+K0kommunestruktur2020altern!P59</f>
        <v>27180</v>
      </c>
      <c r="Q59" s="289">
        <f>+'K21'!C59</f>
        <v>1182</v>
      </c>
      <c r="R59" s="289">
        <f>+'K21'!Z59</f>
        <v>32609.32</v>
      </c>
      <c r="S59" s="517"/>
      <c r="T59" s="517"/>
    </row>
    <row r="60" spans="1:20" ht="13">
      <c r="A60" s="755">
        <v>1816</v>
      </c>
      <c r="B60" s="756" t="s">
        <v>180</v>
      </c>
      <c r="C60" s="289">
        <f>+K0kommunestruktur2020altern!C60</f>
        <v>495</v>
      </c>
      <c r="D60" s="289">
        <f>+K0kommunestruktur2020altern!D60</f>
        <v>8703</v>
      </c>
      <c r="E60" s="289">
        <f>+K0kommunestruktur2020altern!E60</f>
        <v>510</v>
      </c>
      <c r="F60" s="289">
        <f>+K0kommunestruktur2020altern!F60</f>
        <v>9279</v>
      </c>
      <c r="G60" s="289">
        <f>+K0kommunestruktur2020altern!G60</f>
        <v>507</v>
      </c>
      <c r="H60" s="289">
        <f>+K0kommunestruktur2020altern!H60</f>
        <v>10195</v>
      </c>
      <c r="I60" s="289">
        <f>+K0kommunestruktur2020altern!I60</f>
        <v>528</v>
      </c>
      <c r="J60" s="289">
        <f>+K0kommunestruktur2020altern!J60</f>
        <v>10057</v>
      </c>
      <c r="K60" s="289">
        <f>+K0kommunestruktur2020altern!K60</f>
        <v>506</v>
      </c>
      <c r="L60" s="289">
        <f>+K0kommunestruktur2020altern!L60</f>
        <v>10264</v>
      </c>
      <c r="M60" s="289">
        <f>+K0kommunestruktur2020altern!M60</f>
        <v>497</v>
      </c>
      <c r="N60" s="289">
        <f>+K0kommunestruktur2020altern!N60</f>
        <v>13562</v>
      </c>
      <c r="O60" s="289">
        <f>+K0kommunestruktur2020altern!O60</f>
        <v>462</v>
      </c>
      <c r="P60" s="289">
        <f>+K0kommunestruktur2020altern!P60</f>
        <v>12272</v>
      </c>
      <c r="Q60" s="289">
        <f>+'K21'!C60</f>
        <v>465</v>
      </c>
      <c r="R60" s="289">
        <f>+'K21'!Z60</f>
        <v>11123.403</v>
      </c>
      <c r="S60" s="517"/>
      <c r="T60" s="517"/>
    </row>
    <row r="61" spans="1:20" ht="13">
      <c r="A61" s="755">
        <v>1818</v>
      </c>
      <c r="B61" s="756" t="s">
        <v>87</v>
      </c>
      <c r="C61" s="289">
        <f>+K0kommunestruktur2020altern!C61</f>
        <v>1733</v>
      </c>
      <c r="D61" s="289">
        <f>+K0kommunestruktur2020altern!D61</f>
        <v>33864</v>
      </c>
      <c r="E61" s="289">
        <f>+K0kommunestruktur2020altern!E61</f>
        <v>1737</v>
      </c>
      <c r="F61" s="289">
        <f>+K0kommunestruktur2020altern!F61</f>
        <v>38421</v>
      </c>
      <c r="G61" s="289">
        <f>+K0kommunestruktur2020altern!G61</f>
        <v>1743</v>
      </c>
      <c r="H61" s="289">
        <f>+K0kommunestruktur2020altern!H61</f>
        <v>41230</v>
      </c>
      <c r="I61" s="289">
        <f>+K0kommunestruktur2020altern!I61</f>
        <v>1788</v>
      </c>
      <c r="J61" s="289">
        <f>+K0kommunestruktur2020altern!J61</f>
        <v>46836</v>
      </c>
      <c r="K61" s="289">
        <f>+K0kommunestruktur2020altern!K61</f>
        <v>1790</v>
      </c>
      <c r="L61" s="289">
        <f>+K0kommunestruktur2020altern!L61</f>
        <v>51964</v>
      </c>
      <c r="M61" s="289">
        <f>+K0kommunestruktur2020altern!M61</f>
        <v>1780</v>
      </c>
      <c r="N61" s="289">
        <f>+K0kommunestruktur2020altern!N61</f>
        <v>51439</v>
      </c>
      <c r="O61" s="289">
        <f>+K0kommunestruktur2020altern!O61</f>
        <v>1777</v>
      </c>
      <c r="P61" s="289">
        <f>+K0kommunestruktur2020altern!P61</f>
        <v>50022</v>
      </c>
      <c r="Q61" s="289">
        <f>+'K21'!C61</f>
        <v>1793</v>
      </c>
      <c r="R61" s="289">
        <f>+'K21'!Z61</f>
        <v>58994.758999999998</v>
      </c>
      <c r="S61" s="517"/>
      <c r="T61" s="517"/>
    </row>
    <row r="62" spans="1:20" ht="13">
      <c r="A62" s="755">
        <v>1820</v>
      </c>
      <c r="B62" s="756" t="s">
        <v>181</v>
      </c>
      <c r="C62" s="289">
        <f>+K0kommunestruktur2020altern!C62</f>
        <v>7394</v>
      </c>
      <c r="D62" s="289">
        <f>+K0kommunestruktur2020altern!D62</f>
        <v>151380</v>
      </c>
      <c r="E62" s="289">
        <f>+K0kommunestruktur2020altern!E62</f>
        <v>7454</v>
      </c>
      <c r="F62" s="289">
        <f>+K0kommunestruktur2020altern!F62</f>
        <v>158275</v>
      </c>
      <c r="G62" s="289">
        <f>+K0kommunestruktur2020altern!G62</f>
        <v>7437</v>
      </c>
      <c r="H62" s="289">
        <f>+K0kommunestruktur2020altern!H62</f>
        <v>172927</v>
      </c>
      <c r="I62" s="289">
        <f>+K0kommunestruktur2020altern!I62</f>
        <v>7428</v>
      </c>
      <c r="J62" s="289">
        <f>+K0kommunestruktur2020altern!J62</f>
        <v>176287</v>
      </c>
      <c r="K62" s="289">
        <f>+K0kommunestruktur2020altern!K62</f>
        <v>7450</v>
      </c>
      <c r="L62" s="289">
        <f>+K0kommunestruktur2020altern!L62</f>
        <v>184472</v>
      </c>
      <c r="M62" s="289">
        <f>+K0kommunestruktur2020altern!M62</f>
        <v>7415</v>
      </c>
      <c r="N62" s="289">
        <f>+K0kommunestruktur2020altern!N62</f>
        <v>193762</v>
      </c>
      <c r="O62" s="289">
        <f>+K0kommunestruktur2020altern!O62</f>
        <v>7447</v>
      </c>
      <c r="P62" s="289">
        <f>+K0kommunestruktur2020altern!P62</f>
        <v>192056</v>
      </c>
      <c r="Q62" s="289">
        <f>+'K21'!C62</f>
        <v>7394</v>
      </c>
      <c r="R62" s="289">
        <f>+'K21'!Z62</f>
        <v>218618.37599999999</v>
      </c>
      <c r="S62" s="517"/>
      <c r="T62" s="517"/>
    </row>
    <row r="63" spans="1:20" ht="13">
      <c r="A63" s="755">
        <v>1822</v>
      </c>
      <c r="B63" s="756" t="s">
        <v>182</v>
      </c>
      <c r="C63" s="289">
        <f>+K0kommunestruktur2020altern!C63</f>
        <v>2188</v>
      </c>
      <c r="D63" s="289">
        <f>+K0kommunestruktur2020altern!D63</f>
        <v>37305</v>
      </c>
      <c r="E63" s="289">
        <f>+K0kommunestruktur2020altern!E63</f>
        <v>2188</v>
      </c>
      <c r="F63" s="289">
        <f>+K0kommunestruktur2020altern!F63</f>
        <v>38473</v>
      </c>
      <c r="G63" s="289">
        <f>+K0kommunestruktur2020altern!G63</f>
        <v>2216</v>
      </c>
      <c r="H63" s="289">
        <f>+K0kommunestruktur2020altern!H63</f>
        <v>42435</v>
      </c>
      <c r="I63" s="289">
        <f>+K0kommunestruktur2020altern!I63</f>
        <v>2278</v>
      </c>
      <c r="J63" s="289">
        <f>+K0kommunestruktur2020altern!J63</f>
        <v>43914</v>
      </c>
      <c r="K63" s="289">
        <f>+K0kommunestruktur2020altern!K63</f>
        <v>2307</v>
      </c>
      <c r="L63" s="289">
        <f>+K0kommunestruktur2020altern!L63</f>
        <v>47531</v>
      </c>
      <c r="M63" s="289">
        <f>+K0kommunestruktur2020altern!M63</f>
        <v>2320</v>
      </c>
      <c r="N63" s="289">
        <f>+K0kommunestruktur2020altern!N63</f>
        <v>50052</v>
      </c>
      <c r="O63" s="289">
        <f>+K0kommunestruktur2020altern!O63</f>
        <v>2294</v>
      </c>
      <c r="P63" s="289">
        <f>+K0kommunestruktur2020altern!P63</f>
        <v>50227</v>
      </c>
      <c r="Q63" s="289">
        <f>+'K21'!C63</f>
        <v>2278</v>
      </c>
      <c r="R63" s="289">
        <f>+'K21'!Z63</f>
        <v>56398.642999999996</v>
      </c>
      <c r="S63" s="517"/>
      <c r="T63" s="517"/>
    </row>
    <row r="64" spans="1:20" ht="13">
      <c r="A64" s="755">
        <v>1824</v>
      </c>
      <c r="B64" s="756" t="s">
        <v>183</v>
      </c>
      <c r="C64" s="289">
        <f>+K0kommunestruktur2020altern!C64</f>
        <v>13286</v>
      </c>
      <c r="D64" s="289">
        <f>+K0kommunestruktur2020altern!D64</f>
        <v>273516</v>
      </c>
      <c r="E64" s="289">
        <f>+K0kommunestruktur2020altern!E64</f>
        <v>13352</v>
      </c>
      <c r="F64" s="289">
        <f>+K0kommunestruktur2020altern!F64</f>
        <v>288336</v>
      </c>
      <c r="G64" s="289">
        <f>+K0kommunestruktur2020altern!G64</f>
        <v>13427</v>
      </c>
      <c r="H64" s="289">
        <f>+K0kommunestruktur2020altern!H64</f>
        <v>316667</v>
      </c>
      <c r="I64" s="289">
        <f>+K0kommunestruktur2020altern!I64</f>
        <v>13465</v>
      </c>
      <c r="J64" s="289">
        <f>+K0kommunestruktur2020altern!J64</f>
        <v>321672</v>
      </c>
      <c r="K64" s="289">
        <f>+K0kommunestruktur2020altern!K64</f>
        <v>13448</v>
      </c>
      <c r="L64" s="289">
        <f>+K0kommunestruktur2020altern!L64</f>
        <v>338074</v>
      </c>
      <c r="M64" s="289">
        <f>+K0kommunestruktur2020altern!M64</f>
        <v>13403</v>
      </c>
      <c r="N64" s="289">
        <f>+K0kommunestruktur2020altern!N64</f>
        <v>353905</v>
      </c>
      <c r="O64" s="289">
        <f>+K0kommunestruktur2020altern!O64</f>
        <v>13278</v>
      </c>
      <c r="P64" s="289">
        <f>+K0kommunestruktur2020altern!P64</f>
        <v>347307</v>
      </c>
      <c r="Q64" s="289">
        <f>+'K21'!C64</f>
        <v>13268</v>
      </c>
      <c r="R64" s="289">
        <f>+'K21'!Z64</f>
        <v>396161.47399999999</v>
      </c>
      <c r="S64" s="517"/>
      <c r="T64" s="517"/>
    </row>
    <row r="65" spans="1:20" ht="13">
      <c r="A65" s="755">
        <v>1825</v>
      </c>
      <c r="B65" s="756" t="s">
        <v>184</v>
      </c>
      <c r="C65" s="289">
        <f>+K0kommunestruktur2020altern!C65</f>
        <v>1465</v>
      </c>
      <c r="D65" s="289">
        <f>+K0kommunestruktur2020altern!D65</f>
        <v>28175</v>
      </c>
      <c r="E65" s="289">
        <f>+K0kommunestruktur2020altern!E65</f>
        <v>1458</v>
      </c>
      <c r="F65" s="289">
        <f>+K0kommunestruktur2020altern!F65</f>
        <v>30028</v>
      </c>
      <c r="G65" s="289">
        <f>+K0kommunestruktur2020altern!G65</f>
        <v>1462</v>
      </c>
      <c r="H65" s="289">
        <f>+K0kommunestruktur2020altern!H65</f>
        <v>31257</v>
      </c>
      <c r="I65" s="289">
        <f>+K0kommunestruktur2020altern!I65</f>
        <v>1469</v>
      </c>
      <c r="J65" s="289">
        <f>+K0kommunestruktur2020altern!J65</f>
        <v>32445</v>
      </c>
      <c r="K65" s="289">
        <f>+K0kommunestruktur2020altern!K65</f>
        <v>1463</v>
      </c>
      <c r="L65" s="289">
        <f>+K0kommunestruktur2020altern!L65</f>
        <v>35736</v>
      </c>
      <c r="M65" s="289">
        <f>+K0kommunestruktur2020altern!M65</f>
        <v>1493</v>
      </c>
      <c r="N65" s="289">
        <f>+K0kommunestruktur2020altern!N65</f>
        <v>35715</v>
      </c>
      <c r="O65" s="289">
        <f>+K0kommunestruktur2020altern!O65</f>
        <v>1482</v>
      </c>
      <c r="P65" s="289">
        <f>+K0kommunestruktur2020altern!P65</f>
        <v>34842</v>
      </c>
      <c r="Q65" s="289">
        <f>+'K21'!C65</f>
        <v>1453</v>
      </c>
      <c r="R65" s="289">
        <f>+'K21'!Z65</f>
        <v>38988.620999999999</v>
      </c>
      <c r="S65" s="517"/>
      <c r="T65" s="517"/>
    </row>
    <row r="66" spans="1:20" ht="13">
      <c r="A66" s="755">
        <v>1826</v>
      </c>
      <c r="B66" s="756" t="s">
        <v>185</v>
      </c>
      <c r="C66" s="289">
        <f>+K0kommunestruktur2020altern!C66</f>
        <v>1500</v>
      </c>
      <c r="D66" s="289">
        <f>+K0kommunestruktur2020altern!D66</f>
        <v>25086</v>
      </c>
      <c r="E66" s="289">
        <f>+K0kommunestruktur2020altern!E66</f>
        <v>1533</v>
      </c>
      <c r="F66" s="289">
        <f>+K0kommunestruktur2020altern!F66</f>
        <v>27288</v>
      </c>
      <c r="G66" s="289">
        <f>+K0kommunestruktur2020altern!G66</f>
        <v>1465</v>
      </c>
      <c r="H66" s="289">
        <f>+K0kommunestruktur2020altern!H66</f>
        <v>29443</v>
      </c>
      <c r="I66" s="289">
        <f>+K0kommunestruktur2020altern!I66</f>
        <v>1414</v>
      </c>
      <c r="J66" s="289">
        <f>+K0kommunestruktur2020altern!J66</f>
        <v>28941</v>
      </c>
      <c r="K66" s="289">
        <f>+K0kommunestruktur2020altern!K66</f>
        <v>1411</v>
      </c>
      <c r="L66" s="289">
        <f>+K0kommunestruktur2020altern!L66</f>
        <v>28471</v>
      </c>
      <c r="M66" s="289">
        <f>+K0kommunestruktur2020altern!M66</f>
        <v>1359</v>
      </c>
      <c r="N66" s="289">
        <f>+K0kommunestruktur2020altern!N66</f>
        <v>29557</v>
      </c>
      <c r="O66" s="289">
        <f>+K0kommunestruktur2020altern!O66</f>
        <v>1297</v>
      </c>
      <c r="P66" s="289">
        <f>+K0kommunestruktur2020altern!P66</f>
        <v>29543</v>
      </c>
      <c r="Q66" s="289">
        <f>+'K21'!C66</f>
        <v>1267</v>
      </c>
      <c r="R66" s="289">
        <f>+'K21'!Z66</f>
        <v>31786.625</v>
      </c>
      <c r="S66" s="517"/>
      <c r="T66" s="517"/>
    </row>
    <row r="67" spans="1:20" ht="13">
      <c r="A67" s="755">
        <v>1827</v>
      </c>
      <c r="B67" s="756" t="s">
        <v>186</v>
      </c>
      <c r="C67" s="289">
        <f>+K0kommunestruktur2020altern!C67</f>
        <v>1420</v>
      </c>
      <c r="D67" s="289">
        <f>+K0kommunestruktur2020altern!D67</f>
        <v>26092</v>
      </c>
      <c r="E67" s="289">
        <f>+K0kommunestruktur2020altern!E67</f>
        <v>1407</v>
      </c>
      <c r="F67" s="289">
        <f>+K0kommunestruktur2020altern!F67</f>
        <v>27767</v>
      </c>
      <c r="G67" s="289">
        <f>+K0kommunestruktur2020altern!G67</f>
        <v>1402</v>
      </c>
      <c r="H67" s="289">
        <f>+K0kommunestruktur2020altern!H67</f>
        <v>29285</v>
      </c>
      <c r="I67" s="289">
        <f>+K0kommunestruktur2020altern!I67</f>
        <v>1410</v>
      </c>
      <c r="J67" s="289">
        <f>+K0kommunestruktur2020altern!J67</f>
        <v>31550</v>
      </c>
      <c r="K67" s="289">
        <f>+K0kommunestruktur2020altern!K67</f>
        <v>1403</v>
      </c>
      <c r="L67" s="289">
        <f>+K0kommunestruktur2020altern!L67</f>
        <v>34700</v>
      </c>
      <c r="M67" s="289">
        <f>+K0kommunestruktur2020altern!M67</f>
        <v>1391</v>
      </c>
      <c r="N67" s="289">
        <f>+K0kommunestruktur2020altern!N67</f>
        <v>43441</v>
      </c>
      <c r="O67" s="289">
        <f>+K0kommunestruktur2020altern!O67</f>
        <v>1371</v>
      </c>
      <c r="P67" s="289">
        <f>+K0kommunestruktur2020altern!P67</f>
        <v>41165</v>
      </c>
      <c r="Q67" s="289">
        <f>+'K21'!C67</f>
        <v>1371</v>
      </c>
      <c r="R67" s="289">
        <f>+'K21'!Z67</f>
        <v>40253.826000000001</v>
      </c>
      <c r="S67" s="517"/>
      <c r="T67" s="517"/>
    </row>
    <row r="68" spans="1:20" ht="13">
      <c r="A68" s="755">
        <v>1828</v>
      </c>
      <c r="B68" s="756" t="s">
        <v>187</v>
      </c>
      <c r="C68" s="289">
        <f>+K0kommunestruktur2020altern!C68</f>
        <v>1902</v>
      </c>
      <c r="D68" s="289">
        <f>+K0kommunestruktur2020altern!D68</f>
        <v>29300</v>
      </c>
      <c r="E68" s="289">
        <f>+K0kommunestruktur2020altern!E68</f>
        <v>1871</v>
      </c>
      <c r="F68" s="289">
        <f>+K0kommunestruktur2020altern!F68</f>
        <v>33036</v>
      </c>
      <c r="G68" s="289">
        <f>+K0kommunestruktur2020altern!G68</f>
        <v>1838</v>
      </c>
      <c r="H68" s="289">
        <f>+K0kommunestruktur2020altern!H68</f>
        <v>35368</v>
      </c>
      <c r="I68" s="289">
        <f>+K0kommunestruktur2020altern!I68</f>
        <v>1837</v>
      </c>
      <c r="J68" s="289">
        <f>+K0kommunestruktur2020altern!J68</f>
        <v>37688</v>
      </c>
      <c r="K68" s="289">
        <f>+K0kommunestruktur2020altern!K68</f>
        <v>1805</v>
      </c>
      <c r="L68" s="289">
        <f>+K0kommunestruktur2020altern!L68</f>
        <v>44961</v>
      </c>
      <c r="M68" s="289">
        <f>+K0kommunestruktur2020altern!M68</f>
        <v>1792</v>
      </c>
      <c r="N68" s="289">
        <f>+K0kommunestruktur2020altern!N68</f>
        <v>43755</v>
      </c>
      <c r="O68" s="289">
        <f>+K0kommunestruktur2020altern!O68</f>
        <v>1761</v>
      </c>
      <c r="P68" s="289">
        <f>+K0kommunestruktur2020altern!P68</f>
        <v>39477</v>
      </c>
      <c r="Q68" s="289">
        <f>+'K21'!C68</f>
        <v>1701</v>
      </c>
      <c r="R68" s="289">
        <f>+'K21'!Z68</f>
        <v>49782.275000000001</v>
      </c>
      <c r="S68" s="517"/>
      <c r="T68" s="517"/>
    </row>
    <row r="69" spans="1:20" ht="13">
      <c r="A69" s="755">
        <v>1832</v>
      </c>
      <c r="B69" s="756" t="s">
        <v>188</v>
      </c>
      <c r="C69" s="289">
        <f>+K0kommunestruktur2020altern!C69</f>
        <v>4553</v>
      </c>
      <c r="D69" s="289">
        <f>+K0kommunestruktur2020altern!D69</f>
        <v>106976</v>
      </c>
      <c r="E69" s="289">
        <f>+K0kommunestruktur2020altern!E69</f>
        <v>4528</v>
      </c>
      <c r="F69" s="289">
        <f>+K0kommunestruktur2020altern!F69</f>
        <v>115881</v>
      </c>
      <c r="G69" s="289">
        <f>+K0kommunestruktur2020altern!G69</f>
        <v>4486</v>
      </c>
      <c r="H69" s="289">
        <f>+K0kommunestruktur2020altern!H69</f>
        <v>121742</v>
      </c>
      <c r="I69" s="289">
        <f>+K0kommunestruktur2020altern!I69</f>
        <v>4524</v>
      </c>
      <c r="J69" s="289">
        <f>+K0kommunestruktur2020altern!J69</f>
        <v>124876</v>
      </c>
      <c r="K69" s="289">
        <f>+K0kommunestruktur2020altern!K69</f>
        <v>4503</v>
      </c>
      <c r="L69" s="289">
        <f>+K0kommunestruktur2020altern!L69</f>
        <v>131134</v>
      </c>
      <c r="M69" s="289">
        <f>+K0kommunestruktur2020altern!M69</f>
        <v>4501</v>
      </c>
      <c r="N69" s="289">
        <f>+K0kommunestruktur2020altern!N69</f>
        <v>131414</v>
      </c>
      <c r="O69" s="289">
        <f>+K0kommunestruktur2020altern!O69</f>
        <v>4454</v>
      </c>
      <c r="P69" s="289">
        <f>+K0kommunestruktur2020altern!P69</f>
        <v>130776</v>
      </c>
      <c r="Q69" s="289">
        <f>+'K21'!C69</f>
        <v>4428</v>
      </c>
      <c r="R69" s="289">
        <f>+'K21'!Z69</f>
        <v>144714.84899999999</v>
      </c>
      <c r="S69" s="517"/>
      <c r="T69" s="517"/>
    </row>
    <row r="70" spans="1:20" ht="13">
      <c r="A70" s="755">
        <v>1833</v>
      </c>
      <c r="B70" s="756" t="s">
        <v>189</v>
      </c>
      <c r="C70" s="289">
        <f>+K0kommunestruktur2020altern!C70</f>
        <v>25943</v>
      </c>
      <c r="D70" s="289">
        <f>+K0kommunestruktur2020altern!D70</f>
        <v>551613</v>
      </c>
      <c r="E70" s="289">
        <f>+K0kommunestruktur2020altern!E70</f>
        <v>26078</v>
      </c>
      <c r="F70" s="289">
        <f>+K0kommunestruktur2020altern!F70</f>
        <v>589326</v>
      </c>
      <c r="G70" s="289">
        <f>+K0kommunestruktur2020altern!G70</f>
        <v>26039</v>
      </c>
      <c r="H70" s="289">
        <f>+K0kommunestruktur2020altern!H70</f>
        <v>638012</v>
      </c>
      <c r="I70" s="289">
        <f>+K0kommunestruktur2020altern!I70</f>
        <v>26101</v>
      </c>
      <c r="J70" s="289">
        <f>+K0kommunestruktur2020altern!J70</f>
        <v>666769</v>
      </c>
      <c r="K70" s="289">
        <f>+K0kommunestruktur2020altern!K70</f>
        <v>26230</v>
      </c>
      <c r="L70" s="289">
        <f>+K0kommunestruktur2020altern!L70</f>
        <v>691020</v>
      </c>
      <c r="M70" s="289">
        <f>+K0kommunestruktur2020altern!M70</f>
        <v>26315</v>
      </c>
      <c r="N70" s="289">
        <f>+K0kommunestruktur2020altern!N70</f>
        <v>712344</v>
      </c>
      <c r="O70" s="289">
        <f>+K0kommunestruktur2020altern!O70</f>
        <v>26184</v>
      </c>
      <c r="P70" s="289">
        <f>+K0kommunestruktur2020altern!P70</f>
        <v>715838</v>
      </c>
      <c r="Q70" s="289">
        <f>+'K21'!C70</f>
        <v>26083</v>
      </c>
      <c r="R70" s="289">
        <f>+'K21'!Z70</f>
        <v>813864.70799999998</v>
      </c>
      <c r="S70" s="517"/>
      <c r="T70" s="517"/>
    </row>
    <row r="71" spans="1:20" ht="13">
      <c r="A71" s="755">
        <v>1834</v>
      </c>
      <c r="B71" s="756" t="s">
        <v>190</v>
      </c>
      <c r="C71" s="289">
        <f>+K0kommunestruktur2020altern!C71</f>
        <v>1901</v>
      </c>
      <c r="D71" s="289">
        <f>+K0kommunestruktur2020altern!D71</f>
        <v>42293</v>
      </c>
      <c r="E71" s="289">
        <f>+K0kommunestruktur2020altern!E71</f>
        <v>1917</v>
      </c>
      <c r="F71" s="289">
        <f>+K0kommunestruktur2020altern!F71</f>
        <v>46055</v>
      </c>
      <c r="G71" s="289">
        <f>+K0kommunestruktur2020altern!G71</f>
        <v>1923</v>
      </c>
      <c r="H71" s="289">
        <f>+K0kommunestruktur2020altern!H71</f>
        <v>58139</v>
      </c>
      <c r="I71" s="289">
        <f>+K0kommunestruktur2020altern!I71</f>
        <v>1920</v>
      </c>
      <c r="J71" s="289">
        <f>+K0kommunestruktur2020altern!J71</f>
        <v>61482</v>
      </c>
      <c r="K71" s="289">
        <f>+K0kommunestruktur2020altern!K71</f>
        <v>1920</v>
      </c>
      <c r="L71" s="289">
        <f>+K0kommunestruktur2020altern!L71</f>
        <v>71323</v>
      </c>
      <c r="M71" s="289">
        <f>+K0kommunestruktur2020altern!M71</f>
        <v>1904</v>
      </c>
      <c r="N71" s="289">
        <f>+K0kommunestruktur2020altern!N71</f>
        <v>78651</v>
      </c>
      <c r="O71" s="289">
        <f>+K0kommunestruktur2020altern!O71</f>
        <v>1890</v>
      </c>
      <c r="P71" s="289">
        <f>+K0kommunestruktur2020altern!P71</f>
        <v>82254</v>
      </c>
      <c r="Q71" s="289">
        <f>+'K21'!C71</f>
        <v>1876</v>
      </c>
      <c r="R71" s="289">
        <f>+'K21'!Z71</f>
        <v>91881.135999999999</v>
      </c>
      <c r="S71" s="517"/>
      <c r="T71" s="517"/>
    </row>
    <row r="72" spans="1:20" ht="13">
      <c r="A72" s="755">
        <v>1835</v>
      </c>
      <c r="B72" s="756" t="s">
        <v>191</v>
      </c>
      <c r="C72" s="289">
        <f>+K0kommunestruktur2020altern!C72</f>
        <v>489</v>
      </c>
      <c r="D72" s="289">
        <f>+K0kommunestruktur2020altern!D72</f>
        <v>9796</v>
      </c>
      <c r="E72" s="289">
        <f>+K0kommunestruktur2020altern!E72</f>
        <v>486</v>
      </c>
      <c r="F72" s="289">
        <f>+K0kommunestruktur2020altern!F72</f>
        <v>10370</v>
      </c>
      <c r="G72" s="289">
        <f>+K0kommunestruktur2020altern!G72</f>
        <v>478</v>
      </c>
      <c r="H72" s="289">
        <f>+K0kommunestruktur2020altern!H72</f>
        <v>11735</v>
      </c>
      <c r="I72" s="289">
        <f>+K0kommunestruktur2020altern!I72</f>
        <v>465</v>
      </c>
      <c r="J72" s="289">
        <f>+K0kommunestruktur2020altern!J72</f>
        <v>11809</v>
      </c>
      <c r="K72" s="289">
        <f>+K0kommunestruktur2020altern!K72</f>
        <v>454</v>
      </c>
      <c r="L72" s="289">
        <f>+K0kommunestruktur2020altern!L72</f>
        <v>12509</v>
      </c>
      <c r="M72" s="289">
        <f>+K0kommunestruktur2020altern!M72</f>
        <v>456</v>
      </c>
      <c r="N72" s="289">
        <f>+K0kommunestruktur2020altern!N72</f>
        <v>12554</v>
      </c>
      <c r="O72" s="289">
        <f>+K0kommunestruktur2020altern!O72</f>
        <v>435</v>
      </c>
      <c r="P72" s="289">
        <f>+K0kommunestruktur2020altern!P72</f>
        <v>15251</v>
      </c>
      <c r="Q72" s="289">
        <f>+'K21'!C72</f>
        <v>442</v>
      </c>
      <c r="R72" s="289">
        <f>+'K21'!Z72</f>
        <v>15146.028</v>
      </c>
      <c r="S72" s="517"/>
      <c r="T72" s="517"/>
    </row>
    <row r="73" spans="1:20" ht="13">
      <c r="A73" s="755">
        <v>1836</v>
      </c>
      <c r="B73" s="756" t="s">
        <v>192</v>
      </c>
      <c r="C73" s="289">
        <f>+K0kommunestruktur2020altern!C73</f>
        <v>1305</v>
      </c>
      <c r="D73" s="289">
        <f>+K0kommunestruktur2020altern!D73</f>
        <v>22194</v>
      </c>
      <c r="E73" s="289">
        <f>+K0kommunestruktur2020altern!E73</f>
        <v>1269</v>
      </c>
      <c r="F73" s="289">
        <f>+K0kommunestruktur2020altern!F73</f>
        <v>23597</v>
      </c>
      <c r="G73" s="289">
        <f>+K0kommunestruktur2020altern!G73</f>
        <v>1268</v>
      </c>
      <c r="H73" s="289">
        <f>+K0kommunestruktur2020altern!H73</f>
        <v>26674</v>
      </c>
      <c r="I73" s="289">
        <f>+K0kommunestruktur2020altern!I73</f>
        <v>1267</v>
      </c>
      <c r="J73" s="289">
        <f>+K0kommunestruktur2020altern!J73</f>
        <v>27439</v>
      </c>
      <c r="K73" s="289">
        <f>+K0kommunestruktur2020altern!K73</f>
        <v>1249</v>
      </c>
      <c r="L73" s="289">
        <f>+K0kommunestruktur2020altern!L73</f>
        <v>28017</v>
      </c>
      <c r="M73" s="289">
        <f>+K0kommunestruktur2020altern!M73</f>
        <v>1238</v>
      </c>
      <c r="N73" s="289">
        <f>+K0kommunestruktur2020altern!N73</f>
        <v>30314</v>
      </c>
      <c r="O73" s="289">
        <f>+K0kommunestruktur2020altern!O73</f>
        <v>1213</v>
      </c>
      <c r="P73" s="289">
        <f>+K0kommunestruktur2020altern!P73</f>
        <v>31493</v>
      </c>
      <c r="Q73" s="289">
        <f>+'K21'!C73</f>
        <v>1206</v>
      </c>
      <c r="R73" s="289">
        <f>+'K21'!Z73</f>
        <v>35181.616999999998</v>
      </c>
      <c r="S73" s="517"/>
      <c r="T73" s="517"/>
    </row>
    <row r="74" spans="1:20" ht="13">
      <c r="A74" s="755">
        <v>1837</v>
      </c>
      <c r="B74" s="756" t="s">
        <v>193</v>
      </c>
      <c r="C74" s="289">
        <f>+K0kommunestruktur2020altern!C74</f>
        <v>6491</v>
      </c>
      <c r="D74" s="289">
        <f>+K0kommunestruktur2020altern!D74</f>
        <v>153531</v>
      </c>
      <c r="E74" s="289">
        <f>+K0kommunestruktur2020altern!E74</f>
        <v>6454</v>
      </c>
      <c r="F74" s="289">
        <f>+K0kommunestruktur2020altern!F74</f>
        <v>158459</v>
      </c>
      <c r="G74" s="289">
        <f>+K0kommunestruktur2020altern!G74</f>
        <v>6471</v>
      </c>
      <c r="H74" s="289">
        <f>+K0kommunestruktur2020altern!H74</f>
        <v>170747</v>
      </c>
      <c r="I74" s="289">
        <f>+K0kommunestruktur2020altern!I74</f>
        <v>6435</v>
      </c>
      <c r="J74" s="289">
        <f>+K0kommunestruktur2020altern!J74</f>
        <v>177983</v>
      </c>
      <c r="K74" s="289">
        <f>+K0kommunestruktur2020altern!K74</f>
        <v>6346</v>
      </c>
      <c r="L74" s="289">
        <f>+K0kommunestruktur2020altern!L74</f>
        <v>179660</v>
      </c>
      <c r="M74" s="289">
        <f>+K0kommunestruktur2020altern!M74</f>
        <v>6331</v>
      </c>
      <c r="N74" s="289">
        <f>+K0kommunestruktur2020altern!N74</f>
        <v>186474</v>
      </c>
      <c r="O74" s="289">
        <f>+K0kommunestruktur2020altern!O74</f>
        <v>6288</v>
      </c>
      <c r="P74" s="289">
        <f>+K0kommunestruktur2020altern!P74</f>
        <v>182883</v>
      </c>
      <c r="Q74" s="289">
        <f>+'K21'!C74</f>
        <v>6247</v>
      </c>
      <c r="R74" s="289">
        <f>+'K21'!Z74</f>
        <v>201930.747</v>
      </c>
      <c r="S74" s="517"/>
      <c r="T74" s="517"/>
    </row>
    <row r="75" spans="1:20" ht="13">
      <c r="A75" s="755">
        <v>1838</v>
      </c>
      <c r="B75" s="756" t="s">
        <v>194</v>
      </c>
      <c r="C75" s="289">
        <f>+K0kommunestruktur2020altern!C75</f>
        <v>2023</v>
      </c>
      <c r="D75" s="289">
        <f>+K0kommunestruktur2020altern!D75</f>
        <v>46197</v>
      </c>
      <c r="E75" s="289">
        <f>+K0kommunestruktur2020altern!E75</f>
        <v>2014</v>
      </c>
      <c r="F75" s="289">
        <f>+K0kommunestruktur2020altern!F75</f>
        <v>42627</v>
      </c>
      <c r="G75" s="289">
        <f>+K0kommunestruktur2020altern!G75</f>
        <v>2043</v>
      </c>
      <c r="H75" s="289">
        <f>+K0kommunestruktur2020altern!H75</f>
        <v>50208</v>
      </c>
      <c r="I75" s="289">
        <f>+K0kommunestruktur2020altern!I75</f>
        <v>2024</v>
      </c>
      <c r="J75" s="289">
        <f>+K0kommunestruktur2020altern!J75</f>
        <v>49108</v>
      </c>
      <c r="K75" s="289">
        <f>+K0kommunestruktur2020altern!K75</f>
        <v>1998</v>
      </c>
      <c r="L75" s="289">
        <f>+K0kommunestruktur2020altern!L75</f>
        <v>50262</v>
      </c>
      <c r="M75" s="289">
        <f>+K0kommunestruktur2020altern!M75</f>
        <v>1978</v>
      </c>
      <c r="N75" s="289">
        <f>+K0kommunestruktur2020altern!N75</f>
        <v>52828</v>
      </c>
      <c r="O75" s="289">
        <f>+K0kommunestruktur2020altern!O75</f>
        <v>1950</v>
      </c>
      <c r="P75" s="289">
        <f>+K0kommunestruktur2020altern!P75</f>
        <v>52335</v>
      </c>
      <c r="Q75" s="289">
        <f>+'K21'!C75</f>
        <v>1920</v>
      </c>
      <c r="R75" s="289">
        <f>+'K21'!Z75</f>
        <v>62965.311999999998</v>
      </c>
      <c r="S75" s="517"/>
      <c r="T75" s="517"/>
    </row>
    <row r="76" spans="1:20" ht="13">
      <c r="A76" s="755">
        <v>1839</v>
      </c>
      <c r="B76" s="756" t="s">
        <v>195</v>
      </c>
      <c r="C76" s="289">
        <f>+K0kommunestruktur2020altern!C76</f>
        <v>1088</v>
      </c>
      <c r="D76" s="289">
        <f>+K0kommunestruktur2020altern!D76</f>
        <v>27234</v>
      </c>
      <c r="E76" s="289">
        <f>+K0kommunestruktur2020altern!E76</f>
        <v>1058</v>
      </c>
      <c r="F76" s="289">
        <f>+K0kommunestruktur2020altern!F76</f>
        <v>25978</v>
      </c>
      <c r="G76" s="289">
        <f>+K0kommunestruktur2020altern!G76</f>
        <v>1034</v>
      </c>
      <c r="H76" s="289">
        <f>+K0kommunestruktur2020altern!H76</f>
        <v>25014</v>
      </c>
      <c r="I76" s="289">
        <f>+K0kommunestruktur2020altern!I76</f>
        <v>1043</v>
      </c>
      <c r="J76" s="289">
        <f>+K0kommunestruktur2020altern!J76</f>
        <v>26048</v>
      </c>
      <c r="K76" s="289">
        <f>+K0kommunestruktur2020altern!K76</f>
        <v>1029</v>
      </c>
      <c r="L76" s="289">
        <f>+K0kommunestruktur2020altern!L76</f>
        <v>26982</v>
      </c>
      <c r="M76" s="289">
        <f>+K0kommunestruktur2020altern!M76</f>
        <v>1022</v>
      </c>
      <c r="N76" s="289">
        <f>+K0kommunestruktur2020altern!N76</f>
        <v>27743</v>
      </c>
      <c r="O76" s="289">
        <f>+K0kommunestruktur2020altern!O76</f>
        <v>1017</v>
      </c>
      <c r="P76" s="289">
        <f>+K0kommunestruktur2020altern!P76</f>
        <v>28080</v>
      </c>
      <c r="Q76" s="289">
        <f>+'K21'!C76</f>
        <v>999</v>
      </c>
      <c r="R76" s="289">
        <f>+'K21'!Z76</f>
        <v>29700.504000000001</v>
      </c>
      <c r="S76" s="517"/>
      <c r="T76" s="517"/>
    </row>
    <row r="77" spans="1:20" ht="13">
      <c r="A77" s="755">
        <v>1840</v>
      </c>
      <c r="B77" s="756" t="s">
        <v>196</v>
      </c>
      <c r="C77" s="289">
        <f>+K0kommunestruktur2020altern!C77</f>
        <v>4690</v>
      </c>
      <c r="D77" s="289">
        <f>+K0kommunestruktur2020altern!D77</f>
        <v>89200</v>
      </c>
      <c r="E77" s="289">
        <f>+K0kommunestruktur2020altern!E77</f>
        <v>4734</v>
      </c>
      <c r="F77" s="289">
        <f>+K0kommunestruktur2020altern!F77</f>
        <v>97414</v>
      </c>
      <c r="G77" s="289">
        <f>+K0kommunestruktur2020altern!G77</f>
        <v>4700</v>
      </c>
      <c r="H77" s="289">
        <f>+K0kommunestruktur2020altern!H77</f>
        <v>108553</v>
      </c>
      <c r="I77" s="289">
        <f>+K0kommunestruktur2020altern!I77</f>
        <v>4702</v>
      </c>
      <c r="J77" s="289">
        <f>+K0kommunestruktur2020altern!J77</f>
        <v>111140</v>
      </c>
      <c r="K77" s="289">
        <f>+K0kommunestruktur2020altern!K77</f>
        <v>4691</v>
      </c>
      <c r="L77" s="289">
        <f>+K0kommunestruktur2020altern!L77</f>
        <v>110720</v>
      </c>
      <c r="M77" s="289">
        <f>+K0kommunestruktur2020altern!M77</f>
        <v>4657</v>
      </c>
      <c r="N77" s="289">
        <f>+K0kommunestruktur2020altern!N77</f>
        <v>111043</v>
      </c>
      <c r="O77" s="289">
        <f>+K0kommunestruktur2020altern!O77</f>
        <v>4671</v>
      </c>
      <c r="P77" s="289">
        <f>+K0kommunestruktur2020altern!P77</f>
        <v>111066</v>
      </c>
      <c r="Q77" s="289">
        <f>+'K21'!C77</f>
        <v>4632</v>
      </c>
      <c r="R77" s="289">
        <f>+'K21'!Z77</f>
        <v>127708.02800000001</v>
      </c>
      <c r="S77" s="517"/>
      <c r="T77" s="517"/>
    </row>
    <row r="78" spans="1:20" ht="13">
      <c r="A78" s="755">
        <v>1841</v>
      </c>
      <c r="B78" s="756" t="s">
        <v>197</v>
      </c>
      <c r="C78" s="289">
        <f>+K0kommunestruktur2020altern!C78</f>
        <v>9556</v>
      </c>
      <c r="D78" s="289">
        <f>+K0kommunestruktur2020altern!D78</f>
        <v>205253</v>
      </c>
      <c r="E78" s="289">
        <f>+K0kommunestruktur2020altern!E78</f>
        <v>9622</v>
      </c>
      <c r="F78" s="289">
        <f>+K0kommunestruktur2020altern!F78</f>
        <v>238903</v>
      </c>
      <c r="G78" s="289">
        <f>+K0kommunestruktur2020altern!G78</f>
        <v>9604</v>
      </c>
      <c r="H78" s="289">
        <f>+K0kommunestruktur2020altern!H78</f>
        <v>209670</v>
      </c>
      <c r="I78" s="289">
        <f>+K0kommunestruktur2020altern!I78</f>
        <v>9729</v>
      </c>
      <c r="J78" s="289">
        <f>+K0kommunestruktur2020altern!J78</f>
        <v>242289</v>
      </c>
      <c r="K78" s="289">
        <f>+K0kommunestruktur2020altern!K78</f>
        <v>9775</v>
      </c>
      <c r="L78" s="289">
        <f>+K0kommunestruktur2020altern!L78</f>
        <v>257308</v>
      </c>
      <c r="M78" s="289">
        <f>+K0kommunestruktur2020altern!M78</f>
        <v>9760</v>
      </c>
      <c r="N78" s="289">
        <f>+K0kommunestruktur2020altern!N78</f>
        <v>266024</v>
      </c>
      <c r="O78" s="289">
        <f>+K0kommunestruktur2020altern!O78</f>
        <v>9739</v>
      </c>
      <c r="P78" s="289">
        <f>+K0kommunestruktur2020altern!P78</f>
        <v>262631</v>
      </c>
      <c r="Q78" s="289">
        <f>+'K21'!C78</f>
        <v>9640</v>
      </c>
      <c r="R78" s="289">
        <f>+'K21'!Z78</f>
        <v>297010.72700000001</v>
      </c>
      <c r="S78" s="517"/>
      <c r="T78" s="517"/>
    </row>
    <row r="79" spans="1:20" ht="13">
      <c r="A79" s="755">
        <v>1845</v>
      </c>
      <c r="B79" s="756" t="s">
        <v>198</v>
      </c>
      <c r="C79" s="289">
        <f>+K0kommunestruktur2020altern!C79</f>
        <v>1987</v>
      </c>
      <c r="D79" s="289">
        <f>+K0kommunestruktur2020altern!D79</f>
        <v>52924</v>
      </c>
      <c r="E79" s="289">
        <f>+K0kommunestruktur2020altern!E79</f>
        <v>1953</v>
      </c>
      <c r="F79" s="289">
        <f>+K0kommunestruktur2020altern!F79</f>
        <v>53864</v>
      </c>
      <c r="G79" s="289">
        <f>+K0kommunestruktur2020altern!G79</f>
        <v>1963</v>
      </c>
      <c r="H79" s="289">
        <f>+K0kommunestruktur2020altern!H79</f>
        <v>55801</v>
      </c>
      <c r="I79" s="289">
        <f>+K0kommunestruktur2020altern!I79</f>
        <v>1958</v>
      </c>
      <c r="J79" s="289">
        <f>+K0kommunestruktur2020altern!J79</f>
        <v>57707</v>
      </c>
      <c r="K79" s="289">
        <f>+K0kommunestruktur2020altern!K79</f>
        <v>1979</v>
      </c>
      <c r="L79" s="289">
        <f>+K0kommunestruktur2020altern!L79</f>
        <v>58654</v>
      </c>
      <c r="M79" s="289">
        <f>+K0kommunestruktur2020altern!M79</f>
        <v>1975</v>
      </c>
      <c r="N79" s="289">
        <f>+K0kommunestruktur2020altern!N79</f>
        <v>60172</v>
      </c>
      <c r="O79" s="289">
        <f>+K0kommunestruktur2020altern!O79</f>
        <v>1926</v>
      </c>
      <c r="P79" s="289">
        <f>+K0kommunestruktur2020altern!P79</f>
        <v>59582</v>
      </c>
      <c r="Q79" s="289">
        <f>+'K21'!C79</f>
        <v>1912</v>
      </c>
      <c r="R79" s="289">
        <f>+'K21'!Z79</f>
        <v>65788.322</v>
      </c>
      <c r="S79" s="517"/>
      <c r="T79" s="517"/>
    </row>
    <row r="80" spans="1:20" ht="13">
      <c r="A80" s="755">
        <v>1848</v>
      </c>
      <c r="B80" s="756" t="s">
        <v>199</v>
      </c>
      <c r="C80" s="289">
        <f>+K0kommunestruktur2020altern!C80</f>
        <v>2579</v>
      </c>
      <c r="D80" s="289">
        <f>+K0kommunestruktur2020altern!D80</f>
        <v>46019</v>
      </c>
      <c r="E80" s="289">
        <f>+K0kommunestruktur2020altern!E80</f>
        <v>2507</v>
      </c>
      <c r="F80" s="289">
        <f>+K0kommunestruktur2020altern!F80</f>
        <v>49325</v>
      </c>
      <c r="G80" s="289">
        <f>+K0kommunestruktur2020altern!G80</f>
        <v>2543</v>
      </c>
      <c r="H80" s="289">
        <f>+K0kommunestruktur2020altern!H80</f>
        <v>55924</v>
      </c>
      <c r="I80" s="289">
        <f>+K0kommunestruktur2020altern!I80</f>
        <v>2543</v>
      </c>
      <c r="J80" s="289">
        <f>+K0kommunestruktur2020altern!J80</f>
        <v>60787</v>
      </c>
      <c r="K80" s="289">
        <f>+K0kommunestruktur2020altern!K80</f>
        <v>2534</v>
      </c>
      <c r="L80" s="289">
        <f>+K0kommunestruktur2020altern!L80</f>
        <v>63418</v>
      </c>
      <c r="M80" s="289">
        <f>+K0kommunestruktur2020altern!M80</f>
        <v>2576</v>
      </c>
      <c r="N80" s="289">
        <f>+K0kommunestruktur2020altern!N80</f>
        <v>66236</v>
      </c>
      <c r="O80" s="289">
        <f>+K0kommunestruktur2020altern!O80</f>
        <v>2608</v>
      </c>
      <c r="P80" s="289">
        <f>+K0kommunestruktur2020altern!P80</f>
        <v>68850</v>
      </c>
      <c r="Q80" s="289">
        <f>+'K21'!C80</f>
        <v>2586</v>
      </c>
      <c r="R80" s="289">
        <f>+'K21'!Z80</f>
        <v>77671.702999999994</v>
      </c>
      <c r="S80" s="517"/>
      <c r="T80" s="517"/>
    </row>
    <row r="81" spans="1:20" ht="13">
      <c r="A81" s="755">
        <v>1851</v>
      </c>
      <c r="B81" s="756" t="s">
        <v>202</v>
      </c>
      <c r="C81" s="289">
        <f>+K0kommunestruktur2020altern!C81</f>
        <v>2248</v>
      </c>
      <c r="D81" s="289">
        <f>+K0kommunestruktur2020altern!D81</f>
        <v>43646</v>
      </c>
      <c r="E81" s="289">
        <f>+K0kommunestruktur2020altern!E81</f>
        <v>2160</v>
      </c>
      <c r="F81" s="289">
        <f>+K0kommunestruktur2020altern!F81</f>
        <v>46553</v>
      </c>
      <c r="G81" s="289">
        <f>+K0kommunestruktur2020altern!G81</f>
        <v>2144</v>
      </c>
      <c r="H81" s="289">
        <f>+K0kommunestruktur2020altern!H81</f>
        <v>49484</v>
      </c>
      <c r="I81" s="289">
        <f>+K0kommunestruktur2020altern!I81</f>
        <v>2134</v>
      </c>
      <c r="J81" s="289">
        <f>+K0kommunestruktur2020altern!J81</f>
        <v>50467</v>
      </c>
      <c r="K81" s="289">
        <f>+K0kommunestruktur2020altern!K81</f>
        <v>2102</v>
      </c>
      <c r="L81" s="289">
        <f>+K0kommunestruktur2020altern!L81</f>
        <v>52437</v>
      </c>
      <c r="M81" s="289">
        <f>+K0kommunestruktur2020altern!M81</f>
        <v>2077</v>
      </c>
      <c r="N81" s="289">
        <f>+K0kommunestruktur2020altern!N81</f>
        <v>52472</v>
      </c>
      <c r="O81" s="289">
        <f>+K0kommunestruktur2020altern!O81</f>
        <v>2034</v>
      </c>
      <c r="P81" s="289">
        <f>+K0kommunestruktur2020altern!P81</f>
        <v>53127</v>
      </c>
      <c r="Q81" s="289">
        <f>+'K21'!C81</f>
        <v>2003</v>
      </c>
      <c r="R81" s="289">
        <f>+'K21'!Z81</f>
        <v>60382.305</v>
      </c>
      <c r="S81" s="517"/>
      <c r="T81" s="517"/>
    </row>
    <row r="82" spans="1:20" ht="13">
      <c r="A82" s="755">
        <v>1853</v>
      </c>
      <c r="B82" s="756" t="s">
        <v>204</v>
      </c>
      <c r="C82" s="289">
        <f>+K0kommunestruktur2020altern!C82</f>
        <v>1391</v>
      </c>
      <c r="D82" s="289">
        <f>+K0kommunestruktur2020altern!D82</f>
        <v>24670</v>
      </c>
      <c r="E82" s="289">
        <f>+K0kommunestruktur2020altern!E82</f>
        <v>1385</v>
      </c>
      <c r="F82" s="289">
        <f>+K0kommunestruktur2020altern!F82</f>
        <v>26418</v>
      </c>
      <c r="G82" s="289">
        <f>+K0kommunestruktur2020altern!G82</f>
        <v>1400</v>
      </c>
      <c r="H82" s="289">
        <f>+K0kommunestruktur2020altern!H82</f>
        <v>27912</v>
      </c>
      <c r="I82" s="289">
        <f>+K0kommunestruktur2020altern!I82</f>
        <v>1402</v>
      </c>
      <c r="J82" s="289">
        <f>+K0kommunestruktur2020altern!J82</f>
        <v>28976</v>
      </c>
      <c r="K82" s="289">
        <f>+K0kommunestruktur2020altern!K82</f>
        <v>1387</v>
      </c>
      <c r="L82" s="289">
        <f>+K0kommunestruktur2020altern!L82</f>
        <v>29781</v>
      </c>
      <c r="M82" s="289">
        <f>+K0kommunestruktur2020altern!M82</f>
        <v>1387</v>
      </c>
      <c r="N82" s="289">
        <f>+K0kommunestruktur2020altern!N82</f>
        <v>30761</v>
      </c>
      <c r="O82" s="289">
        <f>+K0kommunestruktur2020altern!O82</f>
        <v>1348</v>
      </c>
      <c r="P82" s="289">
        <f>+K0kommunestruktur2020altern!P82</f>
        <v>31152</v>
      </c>
      <c r="Q82" s="289">
        <f>+'K21'!C82</f>
        <v>1324</v>
      </c>
      <c r="R82" s="289">
        <f>+'K21'!Z82</f>
        <v>33557.152999999998</v>
      </c>
      <c r="S82" s="517"/>
      <c r="T82" s="517"/>
    </row>
    <row r="83" spans="1:20" ht="13">
      <c r="A83" s="755">
        <v>1856</v>
      </c>
      <c r="B83" s="756" t="s">
        <v>206</v>
      </c>
      <c r="C83" s="289">
        <f>+K0kommunestruktur2020altern!C83</f>
        <v>566</v>
      </c>
      <c r="D83" s="289">
        <f>+K0kommunestruktur2020altern!D83</f>
        <v>11661</v>
      </c>
      <c r="E83" s="289">
        <f>+K0kommunestruktur2020altern!E83</f>
        <v>545</v>
      </c>
      <c r="F83" s="289">
        <f>+K0kommunestruktur2020altern!F83</f>
        <v>13949</v>
      </c>
      <c r="G83" s="289">
        <f>+K0kommunestruktur2020altern!G83</f>
        <v>551</v>
      </c>
      <c r="H83" s="289">
        <f>+K0kommunestruktur2020altern!H83</f>
        <v>16165</v>
      </c>
      <c r="I83" s="289">
        <f>+K0kommunestruktur2020altern!I83</f>
        <v>535</v>
      </c>
      <c r="J83" s="289">
        <f>+K0kommunestruktur2020altern!J83</f>
        <v>17382</v>
      </c>
      <c r="K83" s="289">
        <f>+K0kommunestruktur2020altern!K83</f>
        <v>517</v>
      </c>
      <c r="L83" s="289">
        <f>+K0kommunestruktur2020altern!L83</f>
        <v>16310</v>
      </c>
      <c r="M83" s="289">
        <f>+K0kommunestruktur2020altern!M83</f>
        <v>508</v>
      </c>
      <c r="N83" s="289">
        <f>+K0kommunestruktur2020altern!N83</f>
        <v>18474</v>
      </c>
      <c r="O83" s="289">
        <f>+K0kommunestruktur2020altern!O83</f>
        <v>498</v>
      </c>
      <c r="P83" s="289">
        <f>+K0kommunestruktur2020altern!P83</f>
        <v>18270</v>
      </c>
      <c r="Q83" s="289">
        <f>+'K21'!C83</f>
        <v>488</v>
      </c>
      <c r="R83" s="289">
        <f>+'K21'!Z83</f>
        <v>19717.026999999998</v>
      </c>
      <c r="S83" s="517"/>
      <c r="T83" s="517"/>
    </row>
    <row r="84" spans="1:20" ht="13">
      <c r="A84" s="755">
        <v>1857</v>
      </c>
      <c r="B84" s="756" t="s">
        <v>207</v>
      </c>
      <c r="C84" s="289">
        <f>+K0kommunestruktur2020altern!C84</f>
        <v>777</v>
      </c>
      <c r="D84" s="289">
        <f>+K0kommunestruktur2020altern!D84</f>
        <v>16048</v>
      </c>
      <c r="E84" s="289">
        <f>+K0kommunestruktur2020altern!E84</f>
        <v>780</v>
      </c>
      <c r="F84" s="289">
        <f>+K0kommunestruktur2020altern!F84</f>
        <v>18594</v>
      </c>
      <c r="G84" s="289">
        <f>+K0kommunestruktur2020altern!G84</f>
        <v>765</v>
      </c>
      <c r="H84" s="289">
        <f>+K0kommunestruktur2020altern!H84</f>
        <v>20793</v>
      </c>
      <c r="I84" s="289">
        <f>+K0kommunestruktur2020altern!I84</f>
        <v>744</v>
      </c>
      <c r="J84" s="289">
        <f>+K0kommunestruktur2020altern!J84</f>
        <v>22080</v>
      </c>
      <c r="K84" s="289">
        <f>+K0kommunestruktur2020altern!K84</f>
        <v>746</v>
      </c>
      <c r="L84" s="289">
        <f>+K0kommunestruktur2020altern!L84</f>
        <v>21713</v>
      </c>
      <c r="M84" s="289">
        <f>+K0kommunestruktur2020altern!M84</f>
        <v>732</v>
      </c>
      <c r="N84" s="289">
        <f>+K0kommunestruktur2020altern!N84</f>
        <v>22943</v>
      </c>
      <c r="O84" s="289">
        <f>+K0kommunestruktur2020altern!O84</f>
        <v>728</v>
      </c>
      <c r="P84" s="289">
        <f>+K0kommunestruktur2020altern!P84</f>
        <v>24227</v>
      </c>
      <c r="Q84" s="289">
        <f>+'K21'!C84</f>
        <v>698</v>
      </c>
      <c r="R84" s="289">
        <f>+'K21'!Z84</f>
        <v>26622.635999999999</v>
      </c>
      <c r="S84" s="517"/>
      <c r="T84" s="517"/>
    </row>
    <row r="85" spans="1:20" ht="13">
      <c r="A85" s="755">
        <v>1859</v>
      </c>
      <c r="B85" s="756" t="s">
        <v>208</v>
      </c>
      <c r="C85" s="289">
        <f>+K0kommunestruktur2020altern!C85</f>
        <v>1368</v>
      </c>
      <c r="D85" s="289">
        <f>+K0kommunestruktur2020altern!D85</f>
        <v>26259</v>
      </c>
      <c r="E85" s="289">
        <f>+K0kommunestruktur2020altern!E85</f>
        <v>1358</v>
      </c>
      <c r="F85" s="289">
        <f>+K0kommunestruktur2020altern!F85</f>
        <v>28292</v>
      </c>
      <c r="G85" s="289">
        <f>+K0kommunestruktur2020altern!G85</f>
        <v>1336</v>
      </c>
      <c r="H85" s="289">
        <f>+K0kommunestruktur2020altern!H85</f>
        <v>32331</v>
      </c>
      <c r="I85" s="289">
        <f>+K0kommunestruktur2020altern!I85</f>
        <v>1349</v>
      </c>
      <c r="J85" s="289">
        <f>+K0kommunestruktur2020altern!J85</f>
        <v>35412</v>
      </c>
      <c r="K85" s="289">
        <f>+K0kommunestruktur2020altern!K85</f>
        <v>1301</v>
      </c>
      <c r="L85" s="289">
        <f>+K0kommunestruktur2020altern!L85</f>
        <v>37505</v>
      </c>
      <c r="M85" s="289">
        <f>+K0kommunestruktur2020altern!M85</f>
        <v>1292</v>
      </c>
      <c r="N85" s="289">
        <f>+K0kommunestruktur2020altern!N85</f>
        <v>40548</v>
      </c>
      <c r="O85" s="289">
        <f>+K0kommunestruktur2020altern!O85</f>
        <v>1272</v>
      </c>
      <c r="P85" s="289">
        <f>+K0kommunestruktur2020altern!P85</f>
        <v>40310</v>
      </c>
      <c r="Q85" s="289">
        <f>+'K21'!C85</f>
        <v>1238</v>
      </c>
      <c r="R85" s="289">
        <f>+'K21'!Z85</f>
        <v>39684.923000000003</v>
      </c>
      <c r="S85" s="517"/>
      <c r="T85" s="517"/>
    </row>
    <row r="86" spans="1:20" ht="13">
      <c r="A86" s="755">
        <v>1860</v>
      </c>
      <c r="B86" s="756" t="s">
        <v>209</v>
      </c>
      <c r="C86" s="289">
        <f>+K0kommunestruktur2020altern!C86</f>
        <v>10997</v>
      </c>
      <c r="D86" s="289">
        <f>+K0kommunestruktur2020altern!D86</f>
        <v>209102</v>
      </c>
      <c r="E86" s="289">
        <f>+K0kommunestruktur2020altern!E86</f>
        <v>11140</v>
      </c>
      <c r="F86" s="289">
        <f>+K0kommunestruktur2020altern!F86</f>
        <v>227662</v>
      </c>
      <c r="G86" s="289">
        <f>+K0kommunestruktur2020altern!G86</f>
        <v>11198</v>
      </c>
      <c r="H86" s="289">
        <f>+K0kommunestruktur2020altern!H86</f>
        <v>253493</v>
      </c>
      <c r="I86" s="289">
        <f>+K0kommunestruktur2020altern!I86</f>
        <v>11294</v>
      </c>
      <c r="J86" s="289">
        <f>+K0kommunestruktur2020altern!J86</f>
        <v>265381</v>
      </c>
      <c r="K86" s="289">
        <f>+K0kommunestruktur2020altern!K86</f>
        <v>11397</v>
      </c>
      <c r="L86" s="289">
        <f>+K0kommunestruktur2020altern!L86</f>
        <v>282252</v>
      </c>
      <c r="M86" s="289">
        <f>+K0kommunestruktur2020altern!M86</f>
        <v>11480</v>
      </c>
      <c r="N86" s="289">
        <f>+K0kommunestruktur2020altern!N86</f>
        <v>290256</v>
      </c>
      <c r="O86" s="289">
        <f>+K0kommunestruktur2020altern!O86</f>
        <v>11433</v>
      </c>
      <c r="P86" s="289">
        <f>+K0kommunestruktur2020altern!P86</f>
        <v>297869</v>
      </c>
      <c r="Q86" s="289">
        <f>+'K21'!C86</f>
        <v>11521</v>
      </c>
      <c r="R86" s="289">
        <f>+'K21'!Z86</f>
        <v>333941.76899999997</v>
      </c>
      <c r="S86" s="517"/>
      <c r="T86" s="517"/>
    </row>
    <row r="87" spans="1:20" ht="13">
      <c r="A87" s="755">
        <v>1865</v>
      </c>
      <c r="B87" s="756" t="s">
        <v>210</v>
      </c>
      <c r="C87" s="289">
        <f>+K0kommunestruktur2020altern!C87</f>
        <v>9223</v>
      </c>
      <c r="D87" s="289">
        <f>+K0kommunestruktur2020altern!D87</f>
        <v>176605</v>
      </c>
      <c r="E87" s="289">
        <f>+K0kommunestruktur2020altern!E87</f>
        <v>9285</v>
      </c>
      <c r="F87" s="289">
        <f>+K0kommunestruktur2020altern!F87</f>
        <v>202235</v>
      </c>
      <c r="G87" s="289">
        <f>+K0kommunestruktur2020altern!G87</f>
        <v>9350</v>
      </c>
      <c r="H87" s="289">
        <f>+K0kommunestruktur2020altern!H87</f>
        <v>224413</v>
      </c>
      <c r="I87" s="289">
        <f>+K0kommunestruktur2020altern!I87</f>
        <v>9444</v>
      </c>
      <c r="J87" s="289">
        <f>+K0kommunestruktur2020altern!J87</f>
        <v>240817</v>
      </c>
      <c r="K87" s="289">
        <f>+K0kommunestruktur2020altern!K87</f>
        <v>9611</v>
      </c>
      <c r="L87" s="289">
        <f>+K0kommunestruktur2020altern!L87</f>
        <v>268281</v>
      </c>
      <c r="M87" s="289">
        <f>+K0kommunestruktur2020altern!M87</f>
        <v>9595</v>
      </c>
      <c r="N87" s="289">
        <f>+K0kommunestruktur2020altern!N87</f>
        <v>278063</v>
      </c>
      <c r="O87" s="289">
        <f>+K0kommunestruktur2020altern!O87</f>
        <v>9608</v>
      </c>
      <c r="P87" s="289">
        <f>+K0kommunestruktur2020altern!P87</f>
        <v>274393</v>
      </c>
      <c r="Q87" s="289">
        <f>+'K21'!C87</f>
        <v>9670</v>
      </c>
      <c r="R87" s="289">
        <f>+'K21'!Z87</f>
        <v>306877.32699999999</v>
      </c>
      <c r="S87" s="517"/>
      <c r="T87" s="517"/>
    </row>
    <row r="88" spans="1:20" ht="13">
      <c r="A88" s="755">
        <v>1866</v>
      </c>
      <c r="B88" s="756" t="s">
        <v>211</v>
      </c>
      <c r="C88" s="289">
        <f>+K0kommunestruktur2020altern!C88</f>
        <v>8112</v>
      </c>
      <c r="D88" s="289">
        <f>+K0kommunestruktur2020altern!D88</f>
        <v>156987</v>
      </c>
      <c r="E88" s="289">
        <f>+K0kommunestruktur2020altern!E88</f>
        <v>8057</v>
      </c>
      <c r="F88" s="289">
        <f>+K0kommunestruktur2020altern!F88</f>
        <v>161270</v>
      </c>
      <c r="G88" s="289">
        <f>+K0kommunestruktur2020altern!G88</f>
        <v>8082</v>
      </c>
      <c r="H88" s="289">
        <f>+K0kommunestruktur2020altern!H88</f>
        <v>190925</v>
      </c>
      <c r="I88" s="289">
        <f>+K0kommunestruktur2020altern!I88</f>
        <v>8009</v>
      </c>
      <c r="J88" s="289">
        <f>+K0kommunestruktur2020altern!J88</f>
        <v>197825</v>
      </c>
      <c r="K88" s="289">
        <f>+K0kommunestruktur2020altern!K88</f>
        <v>8042</v>
      </c>
      <c r="L88" s="289">
        <f>+K0kommunestruktur2020altern!L88</f>
        <v>188411</v>
      </c>
      <c r="M88" s="289">
        <f>+K0kommunestruktur2020altern!M88</f>
        <v>8091</v>
      </c>
      <c r="N88" s="289">
        <f>+K0kommunestruktur2020altern!N88</f>
        <v>199930</v>
      </c>
      <c r="O88" s="289">
        <f>+K0kommunestruktur2020altern!O88</f>
        <v>8061</v>
      </c>
      <c r="P88" s="289">
        <f>+K0kommunestruktur2020altern!P88</f>
        <v>229795</v>
      </c>
      <c r="Q88" s="289">
        <f>+'K21'!C88</f>
        <v>8065</v>
      </c>
      <c r="R88" s="289">
        <f>+'K21'!Z88</f>
        <v>263924.96500000003</v>
      </c>
      <c r="S88" s="517"/>
      <c r="T88" s="517"/>
    </row>
    <row r="89" spans="1:20" ht="13">
      <c r="A89" s="755">
        <v>1867</v>
      </c>
      <c r="B89" s="756" t="s">
        <v>913</v>
      </c>
      <c r="C89" s="289">
        <f>+K0kommunestruktur2020altern!C89</f>
        <v>2642</v>
      </c>
      <c r="D89" s="289">
        <f>+K0kommunestruktur2020altern!D89</f>
        <v>42197</v>
      </c>
      <c r="E89" s="289">
        <f>+K0kommunestruktur2020altern!E89</f>
        <v>2642</v>
      </c>
      <c r="F89" s="289">
        <f>+K0kommunestruktur2020altern!F89</f>
        <v>45774</v>
      </c>
      <c r="G89" s="289">
        <f>+K0kommunestruktur2020altern!G89</f>
        <v>2632</v>
      </c>
      <c r="H89" s="289">
        <f>+K0kommunestruktur2020altern!H89</f>
        <v>52082</v>
      </c>
      <c r="I89" s="289">
        <f>+K0kommunestruktur2020altern!I89</f>
        <v>2624</v>
      </c>
      <c r="J89" s="289">
        <f>+K0kommunestruktur2020altern!J89</f>
        <v>54754</v>
      </c>
      <c r="K89" s="289">
        <f>+K0kommunestruktur2020altern!K89</f>
        <v>2623</v>
      </c>
      <c r="L89" s="289">
        <f>+K0kommunestruktur2020altern!L89</f>
        <v>61567</v>
      </c>
      <c r="M89" s="289">
        <f>+K0kommunestruktur2020altern!M89</f>
        <v>2616</v>
      </c>
      <c r="N89" s="289">
        <f>+K0kommunestruktur2020altern!N89</f>
        <v>64569</v>
      </c>
      <c r="O89" s="289">
        <f>+K0kommunestruktur2020altern!O89</f>
        <v>2569</v>
      </c>
      <c r="P89" s="289">
        <f>+K0kommunestruktur2020altern!P89</f>
        <v>63494</v>
      </c>
      <c r="Q89" s="289">
        <f>+'K21'!C89</f>
        <v>2576</v>
      </c>
      <c r="R89" s="289">
        <f>+'K21'!Z89</f>
        <v>96312</v>
      </c>
      <c r="S89" s="517"/>
      <c r="T89" s="517"/>
    </row>
    <row r="90" spans="1:20" ht="13">
      <c r="A90" s="755">
        <v>1868</v>
      </c>
      <c r="B90" s="756" t="s">
        <v>212</v>
      </c>
      <c r="C90" s="289">
        <f>+K0kommunestruktur2020altern!C90</f>
        <v>4562</v>
      </c>
      <c r="D90" s="289">
        <f>+K0kommunestruktur2020altern!D90</f>
        <v>88777</v>
      </c>
      <c r="E90" s="289">
        <f>+K0kommunestruktur2020altern!E90</f>
        <v>4563</v>
      </c>
      <c r="F90" s="289">
        <f>+K0kommunestruktur2020altern!F90</f>
        <v>96911</v>
      </c>
      <c r="G90" s="289">
        <f>+K0kommunestruktur2020altern!G90</f>
        <v>4529</v>
      </c>
      <c r="H90" s="289">
        <f>+K0kommunestruktur2020altern!H90</f>
        <v>105787</v>
      </c>
      <c r="I90" s="289">
        <f>+K0kommunestruktur2020altern!I90</f>
        <v>4580</v>
      </c>
      <c r="J90" s="289">
        <f>+K0kommunestruktur2020altern!J90</f>
        <v>109552</v>
      </c>
      <c r="K90" s="289">
        <f>+K0kommunestruktur2020altern!K90</f>
        <v>4541</v>
      </c>
      <c r="L90" s="289">
        <f>+K0kommunestruktur2020altern!L90</f>
        <v>122118</v>
      </c>
      <c r="M90" s="289">
        <f>+K0kommunestruktur2020altern!M90</f>
        <v>4449</v>
      </c>
      <c r="N90" s="289">
        <f>+K0kommunestruktur2020altern!N90</f>
        <v>126035</v>
      </c>
      <c r="O90" s="289">
        <f>+K0kommunestruktur2020altern!O90</f>
        <v>4410</v>
      </c>
      <c r="P90" s="289">
        <f>+K0kommunestruktur2020altern!P90</f>
        <v>120986</v>
      </c>
      <c r="Q90" s="289">
        <f>+'K21'!C90</f>
        <v>4416</v>
      </c>
      <c r="R90" s="289">
        <f>+'K21'!Z90</f>
        <v>135720.68900000001</v>
      </c>
      <c r="S90" s="517"/>
      <c r="T90" s="517"/>
    </row>
    <row r="91" spans="1:20" ht="13">
      <c r="A91" s="755">
        <v>1870</v>
      </c>
      <c r="B91" s="756" t="s">
        <v>213</v>
      </c>
      <c r="C91" s="289">
        <f>+K0kommunestruktur2020altern!C91</f>
        <v>10129</v>
      </c>
      <c r="D91" s="289">
        <f>+K0kommunestruktur2020altern!D91</f>
        <v>197249</v>
      </c>
      <c r="E91" s="289">
        <f>+K0kommunestruktur2020altern!E91</f>
        <v>10166</v>
      </c>
      <c r="F91" s="289">
        <f>+K0kommunestruktur2020altern!F91</f>
        <v>213192</v>
      </c>
      <c r="G91" s="289">
        <f>+K0kommunestruktur2020altern!G91</f>
        <v>10214</v>
      </c>
      <c r="H91" s="289">
        <f>+K0kommunestruktur2020altern!H91</f>
        <v>236542</v>
      </c>
      <c r="I91" s="289">
        <f>+K0kommunestruktur2020altern!I91</f>
        <v>10378</v>
      </c>
      <c r="J91" s="289">
        <f>+K0kommunestruktur2020altern!J91</f>
        <v>247240</v>
      </c>
      <c r="K91" s="289">
        <f>+K0kommunestruktur2020altern!K91</f>
        <v>10401</v>
      </c>
      <c r="L91" s="289">
        <f>+K0kommunestruktur2020altern!L91</f>
        <v>270129</v>
      </c>
      <c r="M91" s="289">
        <f>+K0kommunestruktur2020altern!M91</f>
        <v>10518</v>
      </c>
      <c r="N91" s="289">
        <f>+K0kommunestruktur2020altern!N91</f>
        <v>279319</v>
      </c>
      <c r="O91" s="289">
        <f>+K0kommunestruktur2020altern!O91</f>
        <v>10566</v>
      </c>
      <c r="P91" s="289">
        <f>+K0kommunestruktur2020altern!P91</f>
        <v>286545</v>
      </c>
      <c r="Q91" s="289">
        <f>+'K21'!C91</f>
        <v>10514</v>
      </c>
      <c r="R91" s="289">
        <f>+'K21'!Z91</f>
        <v>329937.85700000002</v>
      </c>
      <c r="S91" s="517"/>
      <c r="T91" s="517"/>
    </row>
    <row r="92" spans="1:20" ht="13">
      <c r="A92" s="755">
        <v>1871</v>
      </c>
      <c r="B92" s="756" t="s">
        <v>214</v>
      </c>
      <c r="C92" s="289">
        <f>+K0kommunestruktur2020altern!C92</f>
        <v>4993</v>
      </c>
      <c r="D92" s="289">
        <f>+K0kommunestruktur2020altern!D92</f>
        <v>97841</v>
      </c>
      <c r="E92" s="289">
        <f>+K0kommunestruktur2020altern!E92</f>
        <v>4991</v>
      </c>
      <c r="F92" s="289">
        <f>+K0kommunestruktur2020altern!F92</f>
        <v>105566</v>
      </c>
      <c r="G92" s="289">
        <f>+K0kommunestruktur2020altern!G92</f>
        <v>4980</v>
      </c>
      <c r="H92" s="289">
        <f>+K0kommunestruktur2020altern!H92</f>
        <v>110513</v>
      </c>
      <c r="I92" s="289">
        <f>+K0kommunestruktur2020altern!I92</f>
        <v>4908</v>
      </c>
      <c r="J92" s="289">
        <f>+K0kommunestruktur2020altern!J92</f>
        <v>114562</v>
      </c>
      <c r="K92" s="289">
        <f>+K0kommunestruktur2020altern!K92</f>
        <v>4902</v>
      </c>
      <c r="L92" s="289">
        <f>+K0kommunestruktur2020altern!L92</f>
        <v>134742</v>
      </c>
      <c r="M92" s="289">
        <f>+K0kommunestruktur2020altern!M92</f>
        <v>4771</v>
      </c>
      <c r="N92" s="289">
        <f>+K0kommunestruktur2020altern!N92</f>
        <v>127446</v>
      </c>
      <c r="O92" s="289">
        <f>+K0kommunestruktur2020altern!O92</f>
        <v>4663</v>
      </c>
      <c r="P92" s="289">
        <f>+K0kommunestruktur2020altern!P92</f>
        <v>118622</v>
      </c>
      <c r="Q92" s="289">
        <f>+'K21'!C92</f>
        <v>4588</v>
      </c>
      <c r="R92" s="289">
        <f>+'K21'!Z92</f>
        <v>143392.48000000001</v>
      </c>
      <c r="S92" s="517"/>
      <c r="T92" s="517"/>
    </row>
    <row r="93" spans="1:20" ht="13">
      <c r="A93" s="755">
        <v>1874</v>
      </c>
      <c r="B93" s="756" t="s">
        <v>215</v>
      </c>
      <c r="C93" s="289">
        <f>+K0kommunestruktur2020altern!C93</f>
        <v>1108</v>
      </c>
      <c r="D93" s="289">
        <f>+K0kommunestruktur2020altern!D93</f>
        <v>23459</v>
      </c>
      <c r="E93" s="289">
        <f>+K0kommunestruktur2020altern!E93</f>
        <v>1070</v>
      </c>
      <c r="F93" s="289">
        <f>+K0kommunestruktur2020altern!F93</f>
        <v>25475</v>
      </c>
      <c r="G93" s="289">
        <f>+K0kommunestruktur2020altern!G93</f>
        <v>1062</v>
      </c>
      <c r="H93" s="289">
        <f>+K0kommunestruktur2020altern!H93</f>
        <v>25619</v>
      </c>
      <c r="I93" s="289">
        <f>+K0kommunestruktur2020altern!I93</f>
        <v>1073</v>
      </c>
      <c r="J93" s="289">
        <f>+K0kommunestruktur2020altern!J93</f>
        <v>28995</v>
      </c>
      <c r="K93" s="289">
        <f>+K0kommunestruktur2020altern!K93</f>
        <v>1068</v>
      </c>
      <c r="L93" s="289">
        <f>+K0kommunestruktur2020altern!L93</f>
        <v>30852</v>
      </c>
      <c r="M93" s="289">
        <f>+K0kommunestruktur2020altern!M93</f>
        <v>1039</v>
      </c>
      <c r="N93" s="289">
        <f>+K0kommunestruktur2020altern!N93</f>
        <v>34001</v>
      </c>
      <c r="O93" s="289">
        <f>+K0kommunestruktur2020altern!O93</f>
        <v>1015</v>
      </c>
      <c r="P93" s="289">
        <f>+K0kommunestruktur2020altern!P93</f>
        <v>31448</v>
      </c>
      <c r="Q93" s="289">
        <f>+'K21'!C93</f>
        <v>989</v>
      </c>
      <c r="R93" s="289">
        <f>+'K21'!Z93</f>
        <v>34390.430999999997</v>
      </c>
      <c r="S93" s="517"/>
      <c r="T93" s="517"/>
    </row>
    <row r="94" spans="1:20" ht="13">
      <c r="A94" s="755">
        <v>1875</v>
      </c>
      <c r="B94" s="756" t="s">
        <v>1617</v>
      </c>
      <c r="C94" s="289">
        <f>+K0kommunestruktur2020altern!C94</f>
        <v>2895.3246753200001</v>
      </c>
      <c r="D94" s="289">
        <f>+K0kommunestruktur2020altern!D94</f>
        <v>62711.115194805199</v>
      </c>
      <c r="E94" s="289">
        <f>+K0kommunestruktur2020altern!E94</f>
        <v>2884.17402597</v>
      </c>
      <c r="F94" s="289">
        <f>+K0kommunestruktur2020altern!F94</f>
        <v>66304.084176623379</v>
      </c>
      <c r="G94" s="289">
        <f>+K0kommunestruktur2020altern!G94</f>
        <v>2885.3454545499999</v>
      </c>
      <c r="H94" s="289">
        <f>+K0kommunestruktur2020altern!H94</f>
        <v>70995.562301298691</v>
      </c>
      <c r="I94" s="289">
        <f>+K0kommunestruktur2020altern!I94</f>
        <v>2863.8181818200001</v>
      </c>
      <c r="J94" s="289">
        <f>+K0kommunestruktur2020altern!J94</f>
        <v>71816.2781974026</v>
      </c>
      <c r="K94" s="289">
        <f>+K0kommunestruktur2020altern!K94</f>
        <v>2851.0545454499998</v>
      </c>
      <c r="L94" s="289">
        <f>+K0kommunestruktur2020altern!L94</f>
        <v>76201.555844155839</v>
      </c>
      <c r="M94" s="289">
        <f>+K0kommunestruktur2020altern!M94</f>
        <v>2782</v>
      </c>
      <c r="N94" s="289">
        <f>+K0kommunestruktur2020altern!N94</f>
        <v>78138.789610389606</v>
      </c>
      <c r="O94" s="289">
        <f>+K0kommunestruktur2020altern!O94</f>
        <v>2766</v>
      </c>
      <c r="P94" s="289">
        <f>+K0kommunestruktur2020altern!P94</f>
        <v>78376</v>
      </c>
      <c r="Q94" s="289">
        <f>+'K21'!C94</f>
        <v>2701</v>
      </c>
      <c r="R94" s="289">
        <f>+'K21'!Z94</f>
        <v>78912.789000000004</v>
      </c>
      <c r="S94" s="517"/>
      <c r="T94" s="517"/>
    </row>
    <row r="95" spans="1:20" ht="13">
      <c r="A95" s="755">
        <v>3001</v>
      </c>
      <c r="B95" s="756" t="s">
        <v>783</v>
      </c>
      <c r="C95" s="289">
        <f>+K0kommunestruktur2020altern!C95</f>
        <v>30132</v>
      </c>
      <c r="D95" s="289">
        <f>+K0kommunestruktur2020altern!D95</f>
        <v>578670</v>
      </c>
      <c r="E95" s="289">
        <f>+K0kommunestruktur2020altern!E95</f>
        <v>30328</v>
      </c>
      <c r="F95" s="289">
        <f>+K0kommunestruktur2020altern!F95</f>
        <v>622874</v>
      </c>
      <c r="G95" s="289">
        <f>+K0kommunestruktur2020altern!G95</f>
        <v>30544</v>
      </c>
      <c r="H95" s="289">
        <f>+K0kommunestruktur2020altern!H95</f>
        <v>694774</v>
      </c>
      <c r="I95" s="289">
        <f>+K0kommunestruktur2020altern!I95</f>
        <v>30790</v>
      </c>
      <c r="J95" s="289">
        <f>+K0kommunestruktur2020altern!J95</f>
        <v>718818</v>
      </c>
      <c r="K95" s="289">
        <f>+K0kommunestruktur2020altern!K95</f>
        <v>31037</v>
      </c>
      <c r="L95" s="289">
        <f>+K0kommunestruktur2020altern!L95</f>
        <v>758714</v>
      </c>
      <c r="M95" s="289">
        <f>+K0kommunestruktur2020altern!M95</f>
        <v>31177</v>
      </c>
      <c r="N95" s="289">
        <f>+K0kommunestruktur2020altern!N95</f>
        <v>767877</v>
      </c>
      <c r="O95" s="289">
        <f>+K0kommunestruktur2020altern!O95</f>
        <v>31373</v>
      </c>
      <c r="P95" s="289">
        <f>+K0kommunestruktur2020altern!P95</f>
        <v>771295</v>
      </c>
      <c r="Q95" s="289">
        <f>+'K21'!C95</f>
        <v>31387</v>
      </c>
      <c r="R95" s="289">
        <f>+'K21'!Z95</f>
        <v>876397.34100000001</v>
      </c>
      <c r="S95" s="517"/>
      <c r="T95" s="517"/>
    </row>
    <row r="96" spans="1:20" ht="13">
      <c r="A96" s="755">
        <v>3002</v>
      </c>
      <c r="B96" s="756" t="s">
        <v>1618</v>
      </c>
      <c r="C96" s="289">
        <f>+K0kommunestruktur2020altern!C96</f>
        <v>46409</v>
      </c>
      <c r="D96" s="289">
        <f>+K0kommunestruktur2020altern!D96</f>
        <v>988308</v>
      </c>
      <c r="E96" s="289">
        <f>+K0kommunestruktur2020altern!E96</f>
        <v>47044</v>
      </c>
      <c r="F96" s="289">
        <f>+K0kommunestruktur2020altern!F96</f>
        <v>1070939</v>
      </c>
      <c r="G96" s="289">
        <f>+K0kommunestruktur2020altern!G96</f>
        <v>47640</v>
      </c>
      <c r="H96" s="289">
        <f>+K0kommunestruktur2020altern!H96</f>
        <v>1188271</v>
      </c>
      <c r="I96" s="289">
        <f>+K0kommunestruktur2020altern!I96</f>
        <v>48154</v>
      </c>
      <c r="J96" s="289">
        <f>+K0kommunestruktur2020altern!J96</f>
        <v>1236874</v>
      </c>
      <c r="K96" s="289">
        <f>+K0kommunestruktur2020altern!K96</f>
        <v>48671</v>
      </c>
      <c r="L96" s="289">
        <f>+K0kommunestruktur2020altern!L96</f>
        <v>1317884</v>
      </c>
      <c r="M96" s="289">
        <f>+K0kommunestruktur2020altern!M96</f>
        <v>48871</v>
      </c>
      <c r="N96" s="289">
        <f>+K0kommunestruktur2020altern!N96</f>
        <v>1377561</v>
      </c>
      <c r="O96" s="289">
        <f>+K0kommunestruktur2020altern!O96</f>
        <v>49273</v>
      </c>
      <c r="P96" s="289">
        <f>+K0kommunestruktur2020altern!P96</f>
        <v>1373136</v>
      </c>
      <c r="Q96" s="289">
        <f>+'K21'!C96</f>
        <v>49668</v>
      </c>
      <c r="R96" s="289">
        <f>+'K21'!Z96</f>
        <v>1627223.1170000001</v>
      </c>
      <c r="S96" s="517"/>
      <c r="T96" s="517"/>
    </row>
    <row r="97" spans="1:20" ht="13">
      <c r="A97" s="755">
        <v>3003</v>
      </c>
      <c r="B97" s="756" t="s">
        <v>785</v>
      </c>
      <c r="C97" s="289">
        <f>+K0kommunestruktur2020altern!C97</f>
        <v>54059</v>
      </c>
      <c r="D97" s="289">
        <f>+K0kommunestruktur2020altern!D97</f>
        <v>1032285</v>
      </c>
      <c r="E97" s="289">
        <f>+K0kommunestruktur2020altern!E97</f>
        <v>54192</v>
      </c>
      <c r="F97" s="289">
        <f>+K0kommunestruktur2020altern!F97</f>
        <v>1110209</v>
      </c>
      <c r="G97" s="289">
        <f>+K0kommunestruktur2020altern!G97</f>
        <v>54678</v>
      </c>
      <c r="H97" s="289">
        <f>+K0kommunestruktur2020altern!H97</f>
        <v>1254916</v>
      </c>
      <c r="I97" s="289">
        <f>+K0kommunestruktur2020altern!I97</f>
        <v>55127</v>
      </c>
      <c r="J97" s="289">
        <f>+K0kommunestruktur2020altern!J97</f>
        <v>1290591</v>
      </c>
      <c r="K97" s="289">
        <f>+K0kommunestruktur2020altern!K97</f>
        <v>55543</v>
      </c>
      <c r="L97" s="289">
        <f>+K0kommunestruktur2020altern!L97</f>
        <v>1352585</v>
      </c>
      <c r="M97" s="289">
        <f>+K0kommunestruktur2020altern!M97</f>
        <v>55997</v>
      </c>
      <c r="N97" s="289">
        <f>+K0kommunestruktur2020altern!N97</f>
        <v>1416352</v>
      </c>
      <c r="O97" s="289">
        <f>+K0kommunestruktur2020altern!O97</f>
        <v>56732</v>
      </c>
      <c r="P97" s="289">
        <f>+K0kommunestruktur2020altern!P97</f>
        <v>1427126</v>
      </c>
      <c r="Q97" s="289">
        <f>+'K21'!C97</f>
        <v>57372</v>
      </c>
      <c r="R97" s="289">
        <f>+'K21'!Z97</f>
        <v>1652426.263</v>
      </c>
      <c r="S97" s="517"/>
      <c r="T97" s="517"/>
    </row>
    <row r="98" spans="1:20" ht="13">
      <c r="A98" s="755">
        <v>3004</v>
      </c>
      <c r="B98" s="756" t="s">
        <v>786</v>
      </c>
      <c r="C98" s="289">
        <f>+K0kommunestruktur2020altern!C98</f>
        <v>77591</v>
      </c>
      <c r="D98" s="289">
        <f>+K0kommunestruktur2020altern!D98</f>
        <v>1625623</v>
      </c>
      <c r="E98" s="289">
        <f>+K0kommunestruktur2020altern!E98</f>
        <v>78159</v>
      </c>
      <c r="F98" s="289">
        <f>+K0kommunestruktur2020altern!F98</f>
        <v>1719479</v>
      </c>
      <c r="G98" s="289">
        <f>+K0kommunestruktur2020altern!G98</f>
        <v>78967</v>
      </c>
      <c r="H98" s="289">
        <f>+K0kommunestruktur2020altern!H98</f>
        <v>1889857</v>
      </c>
      <c r="I98" s="289">
        <f>+K0kommunestruktur2020altern!I98</f>
        <v>80121</v>
      </c>
      <c r="J98" s="289">
        <f>+K0kommunestruktur2020altern!J98</f>
        <v>1991852</v>
      </c>
      <c r="K98" s="289">
        <f>+K0kommunestruktur2020altern!K98</f>
        <v>80977</v>
      </c>
      <c r="L98" s="289">
        <f>+K0kommunestruktur2020altern!L98</f>
        <v>2095333</v>
      </c>
      <c r="M98" s="289">
        <f>+K0kommunestruktur2020altern!M98</f>
        <v>81772</v>
      </c>
      <c r="N98" s="289">
        <f>+K0kommunestruktur2020altern!N98</f>
        <v>2241352</v>
      </c>
      <c r="O98" s="289">
        <f>+K0kommunestruktur2020altern!O98</f>
        <v>82385</v>
      </c>
      <c r="P98" s="289">
        <f>+K0kommunestruktur2020altern!P98</f>
        <v>2171553</v>
      </c>
      <c r="Q98" s="289">
        <f>+'K21'!C98</f>
        <v>83193</v>
      </c>
      <c r="R98" s="289">
        <f>+'K21'!Z98</f>
        <v>2531703.1839999999</v>
      </c>
      <c r="S98" s="517"/>
      <c r="T98" s="517"/>
    </row>
    <row r="99" spans="1:20" ht="13">
      <c r="A99" s="755">
        <v>3005</v>
      </c>
      <c r="B99" s="756" t="s">
        <v>1619</v>
      </c>
      <c r="C99" s="289">
        <f>+K0kommunestruktur2020altern!C99</f>
        <v>96605</v>
      </c>
      <c r="D99" s="289">
        <f>+K0kommunestruktur2020altern!D99</f>
        <v>2245441</v>
      </c>
      <c r="E99" s="289">
        <f>+K0kommunestruktur2020altern!E99</f>
        <v>97771</v>
      </c>
      <c r="F99" s="289">
        <f>+K0kommunestruktur2020altern!F99</f>
        <v>2395137</v>
      </c>
      <c r="G99" s="289">
        <f>+K0kommunestruktur2020altern!G99</f>
        <v>98930</v>
      </c>
      <c r="H99" s="289">
        <f>+K0kommunestruktur2020altern!H99</f>
        <v>2637910</v>
      </c>
      <c r="I99" s="289">
        <f>+K0kommunestruktur2020altern!I99</f>
        <v>99734</v>
      </c>
      <c r="J99" s="289">
        <f>+K0kommunestruktur2020altern!J99</f>
        <v>2776360</v>
      </c>
      <c r="K99" s="289">
        <f>+K0kommunestruktur2020altern!K99</f>
        <v>100302</v>
      </c>
      <c r="L99" s="289">
        <f>+K0kommunestruktur2020altern!L99</f>
        <v>2847014</v>
      </c>
      <c r="M99" s="289">
        <f>+K0kommunestruktur2020altern!M99</f>
        <v>100581</v>
      </c>
      <c r="N99" s="289">
        <f>+K0kommunestruktur2020altern!N99</f>
        <v>2968925</v>
      </c>
      <c r="O99" s="289">
        <f>+K0kommunestruktur2020altern!O99</f>
        <v>101386</v>
      </c>
      <c r="P99" s="289">
        <f>+K0kommunestruktur2020altern!P99</f>
        <v>2988879</v>
      </c>
      <c r="Q99" s="289">
        <f>+'K21'!C99</f>
        <v>101859</v>
      </c>
      <c r="R99" s="289">
        <f>+'K21'!Z99</f>
        <v>3432396.2370000002</v>
      </c>
      <c r="S99" s="517"/>
      <c r="T99" s="517"/>
    </row>
    <row r="100" spans="1:20" ht="13">
      <c r="A100" s="755">
        <v>3006</v>
      </c>
      <c r="B100" s="756" t="s">
        <v>872</v>
      </c>
      <c r="C100" s="289">
        <f>+K0kommunestruktur2020altern!C100</f>
        <v>26406</v>
      </c>
      <c r="D100" s="289">
        <f>+K0kommunestruktur2020altern!D100</f>
        <v>752839</v>
      </c>
      <c r="E100" s="289">
        <f>+K0kommunestruktur2020altern!E100</f>
        <v>26711</v>
      </c>
      <c r="F100" s="289">
        <f>+K0kommunestruktur2020altern!F100</f>
        <v>781052</v>
      </c>
      <c r="G100" s="289">
        <f>+K0kommunestruktur2020altern!G100</f>
        <v>27013</v>
      </c>
      <c r="H100" s="289">
        <f>+K0kommunestruktur2020altern!H100</f>
        <v>820578</v>
      </c>
      <c r="I100" s="289">
        <f>+K0kommunestruktur2020altern!I100</f>
        <v>27216</v>
      </c>
      <c r="J100" s="289">
        <f>+K0kommunestruktur2020altern!J100</f>
        <v>824287</v>
      </c>
      <c r="K100" s="289">
        <f>+K0kommunestruktur2020altern!K100</f>
        <v>27410</v>
      </c>
      <c r="L100" s="289">
        <f>+K0kommunestruktur2020altern!L100</f>
        <v>875371</v>
      </c>
      <c r="M100" s="289">
        <f>+K0kommunestruktur2020altern!M100</f>
        <v>27481</v>
      </c>
      <c r="N100" s="289">
        <f>+K0kommunestruktur2020altern!N100</f>
        <v>895667</v>
      </c>
      <c r="O100" s="289">
        <f>+K0kommunestruktur2020altern!O100</f>
        <v>27723</v>
      </c>
      <c r="P100" s="289">
        <f>+K0kommunestruktur2020altern!P100</f>
        <v>897703</v>
      </c>
      <c r="Q100" s="289">
        <f>+'K21'!C100</f>
        <v>27694</v>
      </c>
      <c r="R100" s="289">
        <f>+'K21'!Z100</f>
        <v>1012188.798</v>
      </c>
      <c r="S100" s="517"/>
      <c r="T100" s="517"/>
    </row>
    <row r="101" spans="1:20" ht="13">
      <c r="A101" s="755">
        <v>3007</v>
      </c>
      <c r="B101" s="756" t="s">
        <v>873</v>
      </c>
      <c r="C101" s="289">
        <f>+K0kommunestruktur2020altern!C101</f>
        <v>29624</v>
      </c>
      <c r="D101" s="289">
        <f>+K0kommunestruktur2020altern!D101</f>
        <v>636695</v>
      </c>
      <c r="E101" s="289">
        <f>+K0kommunestruktur2020altern!E101</f>
        <v>29712</v>
      </c>
      <c r="F101" s="289">
        <f>+K0kommunestruktur2020altern!F101</f>
        <v>674660</v>
      </c>
      <c r="G101" s="289">
        <f>+K0kommunestruktur2020altern!G101</f>
        <v>29801</v>
      </c>
      <c r="H101" s="289">
        <f>+K0kommunestruktur2020altern!H101</f>
        <v>741381</v>
      </c>
      <c r="I101" s="289">
        <f>+K0kommunestruktur2020altern!I101</f>
        <v>30034</v>
      </c>
      <c r="J101" s="289">
        <f>+K0kommunestruktur2020altern!J101</f>
        <v>781819</v>
      </c>
      <c r="K101" s="289">
        <f>+K0kommunestruktur2020altern!K101</f>
        <v>30283</v>
      </c>
      <c r="L101" s="289">
        <f>+K0kommunestruktur2020altern!L101</f>
        <v>803489</v>
      </c>
      <c r="M101" s="289">
        <f>+K0kommunestruktur2020altern!M101</f>
        <v>30442</v>
      </c>
      <c r="N101" s="289">
        <f>+K0kommunestruktur2020altern!N101</f>
        <v>840146</v>
      </c>
      <c r="O101" s="289">
        <f>+K0kommunestruktur2020altern!O101</f>
        <v>30641</v>
      </c>
      <c r="P101" s="289">
        <f>+K0kommunestruktur2020altern!P101</f>
        <v>853860</v>
      </c>
      <c r="Q101" s="289">
        <f>+'K21'!C101</f>
        <v>30835</v>
      </c>
      <c r="R101" s="289">
        <f>+'K21'!Z101</f>
        <v>992976.7</v>
      </c>
      <c r="S101" s="517"/>
      <c r="T101" s="517"/>
    </row>
    <row r="102" spans="1:20" ht="13">
      <c r="A102" s="755">
        <v>3011</v>
      </c>
      <c r="B102" s="756" t="s">
        <v>787</v>
      </c>
      <c r="C102" s="289">
        <f>+K0kommunestruktur2020altern!C102</f>
        <v>4386</v>
      </c>
      <c r="D102" s="289">
        <f>+K0kommunestruktur2020altern!D102</f>
        <v>118250</v>
      </c>
      <c r="E102" s="289">
        <f>+K0kommunestruktur2020altern!E102</f>
        <v>4480</v>
      </c>
      <c r="F102" s="289">
        <f>+K0kommunestruktur2020altern!F102</f>
        <v>120496</v>
      </c>
      <c r="G102" s="289">
        <f>+K0kommunestruktur2020altern!G102</f>
        <v>4511</v>
      </c>
      <c r="H102" s="289">
        <f>+K0kommunestruktur2020altern!H102</f>
        <v>127169</v>
      </c>
      <c r="I102" s="289">
        <f>+K0kommunestruktur2020altern!I102</f>
        <v>4517</v>
      </c>
      <c r="J102" s="289">
        <f>+K0kommunestruktur2020altern!J102</f>
        <v>140962</v>
      </c>
      <c r="K102" s="289">
        <f>+K0kommunestruktur2020altern!K102</f>
        <v>4540</v>
      </c>
      <c r="L102" s="289">
        <f>+K0kommunestruktur2020altern!L102</f>
        <v>152833</v>
      </c>
      <c r="M102" s="289">
        <f>+K0kommunestruktur2020altern!M102</f>
        <v>4599</v>
      </c>
      <c r="N102" s="289">
        <f>+K0kommunestruktur2020altern!N102</f>
        <v>157813</v>
      </c>
      <c r="O102" s="289">
        <f>+K0kommunestruktur2020altern!O102</f>
        <v>4668</v>
      </c>
      <c r="P102" s="289">
        <f>+K0kommunestruktur2020altern!P102</f>
        <v>156132</v>
      </c>
      <c r="Q102" s="289">
        <f>+'K21'!C102</f>
        <v>4694</v>
      </c>
      <c r="R102" s="289">
        <f>+'K21'!Z102</f>
        <v>191214.36799999999</v>
      </c>
      <c r="S102" s="517"/>
      <c r="T102" s="517"/>
    </row>
    <row r="103" spans="1:20" ht="13">
      <c r="A103" s="755">
        <v>3012</v>
      </c>
      <c r="B103" s="756" t="s">
        <v>788</v>
      </c>
      <c r="C103" s="289">
        <f>+K0kommunestruktur2020altern!C103</f>
        <v>1408</v>
      </c>
      <c r="D103" s="289">
        <f>+K0kommunestruktur2020altern!D103</f>
        <v>27552</v>
      </c>
      <c r="E103" s="289">
        <f>+K0kommunestruktur2020altern!E103</f>
        <v>1406</v>
      </c>
      <c r="F103" s="289">
        <f>+K0kommunestruktur2020altern!F103</f>
        <v>29788</v>
      </c>
      <c r="G103" s="289">
        <f>+K0kommunestruktur2020altern!G103</f>
        <v>1404</v>
      </c>
      <c r="H103" s="289">
        <f>+K0kommunestruktur2020altern!H103</f>
        <v>32642</v>
      </c>
      <c r="I103" s="289">
        <f>+K0kommunestruktur2020altern!I103</f>
        <v>1398</v>
      </c>
      <c r="J103" s="289">
        <f>+K0kommunestruktur2020altern!J103</f>
        <v>34123</v>
      </c>
      <c r="K103" s="289">
        <f>+K0kommunestruktur2020altern!K103</f>
        <v>1399</v>
      </c>
      <c r="L103" s="289">
        <f>+K0kommunestruktur2020altern!L103</f>
        <v>33281</v>
      </c>
      <c r="M103" s="289">
        <f>+K0kommunestruktur2020altern!M103</f>
        <v>1357</v>
      </c>
      <c r="N103" s="289">
        <f>+K0kommunestruktur2020altern!N103</f>
        <v>36601</v>
      </c>
      <c r="O103" s="289">
        <f>+K0kommunestruktur2020altern!O103</f>
        <v>1325</v>
      </c>
      <c r="P103" s="289">
        <f>+K0kommunestruktur2020altern!P103</f>
        <v>34854</v>
      </c>
      <c r="Q103" s="289">
        <f>+'K21'!C103</f>
        <v>1325</v>
      </c>
      <c r="R103" s="289">
        <f>+'K21'!Z103</f>
        <v>39254.383000000002</v>
      </c>
      <c r="S103" s="517"/>
      <c r="T103" s="517"/>
    </row>
    <row r="104" spans="1:20" ht="13">
      <c r="A104" s="755">
        <v>3013</v>
      </c>
      <c r="B104" s="756" t="s">
        <v>789</v>
      </c>
      <c r="C104" s="289">
        <f>+K0kommunestruktur2020altern!C104</f>
        <v>3596</v>
      </c>
      <c r="D104" s="289">
        <f>+K0kommunestruktur2020altern!D104</f>
        <v>65789</v>
      </c>
      <c r="E104" s="289">
        <f>+K0kommunestruktur2020altern!E104</f>
        <v>3613</v>
      </c>
      <c r="F104" s="289">
        <f>+K0kommunestruktur2020altern!F104</f>
        <v>75060</v>
      </c>
      <c r="G104" s="289">
        <f>+K0kommunestruktur2020altern!G104</f>
        <v>3610</v>
      </c>
      <c r="H104" s="289">
        <f>+K0kommunestruktur2020altern!H104</f>
        <v>85887</v>
      </c>
      <c r="I104" s="289">
        <f>+K0kommunestruktur2020altern!I104</f>
        <v>3597</v>
      </c>
      <c r="J104" s="289">
        <f>+K0kommunestruktur2020altern!J104</f>
        <v>82436</v>
      </c>
      <c r="K104" s="289">
        <f>+K0kommunestruktur2020altern!K104</f>
        <v>3567</v>
      </c>
      <c r="L104" s="289">
        <f>+K0kommunestruktur2020altern!L104</f>
        <v>87199</v>
      </c>
      <c r="M104" s="289">
        <f>+K0kommunestruktur2020altern!M104</f>
        <v>3592</v>
      </c>
      <c r="N104" s="289">
        <f>+K0kommunestruktur2020altern!N104</f>
        <v>92254</v>
      </c>
      <c r="O104" s="289">
        <f>+K0kommunestruktur2020altern!O104</f>
        <v>3595</v>
      </c>
      <c r="P104" s="289">
        <f>+K0kommunestruktur2020altern!P104</f>
        <v>91448</v>
      </c>
      <c r="Q104" s="289">
        <f>+'K21'!C104</f>
        <v>3601</v>
      </c>
      <c r="R104" s="289">
        <f>+'K21'!Z104</f>
        <v>107407.899</v>
      </c>
      <c r="S104" s="517"/>
      <c r="T104" s="517"/>
    </row>
    <row r="105" spans="1:20" ht="13">
      <c r="A105" s="889">
        <v>3014</v>
      </c>
      <c r="B105" s="890" t="s">
        <v>1620</v>
      </c>
      <c r="C105" s="289">
        <f>+C372+C373</f>
        <v>42921.208296124307</v>
      </c>
      <c r="D105" s="289">
        <f t="shared" ref="D105:P105" si="2">+D372+D373</f>
        <v>893622.04683336313</v>
      </c>
      <c r="E105" s="289">
        <f t="shared" si="2"/>
        <v>43242.172463832831</v>
      </c>
      <c r="F105" s="289">
        <f t="shared" si="2"/>
        <v>951997.5943805814</v>
      </c>
      <c r="G105" s="289">
        <f t="shared" si="2"/>
        <v>43467.147347740669</v>
      </c>
      <c r="H105" s="289">
        <f t="shared" si="2"/>
        <v>1054053.2229019692</v>
      </c>
      <c r="I105" s="289">
        <f t="shared" si="2"/>
        <v>43810.109059653507</v>
      </c>
      <c r="J105" s="289">
        <f t="shared" si="2"/>
        <v>1101327.9265318583</v>
      </c>
      <c r="K105" s="289">
        <f t="shared" si="2"/>
        <v>44030.084501696729</v>
      </c>
      <c r="L105" s="289">
        <f t="shared" si="2"/>
        <v>1155879.177263797</v>
      </c>
      <c r="M105" s="289">
        <f t="shared" si="2"/>
        <v>44315.052687979995</v>
      </c>
      <c r="N105" s="289">
        <f t="shared" si="2"/>
        <v>1204231.3992230755</v>
      </c>
      <c r="O105" s="289">
        <f t="shared" si="2"/>
        <v>44787</v>
      </c>
      <c r="P105" s="289">
        <f t="shared" si="2"/>
        <v>1185671.4668509553</v>
      </c>
      <c r="Q105" s="289">
        <f>+'K21'!C105</f>
        <v>45201</v>
      </c>
      <c r="R105" s="289">
        <f>+'K21'!Z105</f>
        <v>1359926.6740000001</v>
      </c>
      <c r="S105" s="517"/>
      <c r="T105" s="517"/>
    </row>
    <row r="106" spans="1:20" ht="13">
      <c r="A106" s="755">
        <v>3015</v>
      </c>
      <c r="B106" s="756" t="s">
        <v>2369</v>
      </c>
      <c r="C106" s="289">
        <f>+K0kommunestruktur2020altern!C106</f>
        <v>3727</v>
      </c>
      <c r="D106" s="289">
        <f>+K0kommunestruktur2020altern!D106</f>
        <v>74341</v>
      </c>
      <c r="E106" s="289">
        <f>+K0kommunestruktur2020altern!E106</f>
        <v>3731</v>
      </c>
      <c r="F106" s="289">
        <f>+K0kommunestruktur2020altern!F106</f>
        <v>80910</v>
      </c>
      <c r="G106" s="289">
        <f>+K0kommunestruktur2020altern!G106</f>
        <v>3742</v>
      </c>
      <c r="H106" s="289">
        <f>+K0kommunestruktur2020altern!H106</f>
        <v>88702</v>
      </c>
      <c r="I106" s="289">
        <f>+K0kommunestruktur2020altern!I106</f>
        <v>3783</v>
      </c>
      <c r="J106" s="289">
        <f>+K0kommunestruktur2020altern!J106</f>
        <v>87806</v>
      </c>
      <c r="K106" s="289">
        <f>+K0kommunestruktur2020altern!K106</f>
        <v>3831</v>
      </c>
      <c r="L106" s="289">
        <f>+K0kommunestruktur2020altern!L106</f>
        <v>93552</v>
      </c>
      <c r="M106" s="289">
        <f>+K0kommunestruktur2020altern!M106</f>
        <v>3797</v>
      </c>
      <c r="N106" s="289">
        <f>+K0kommunestruktur2020altern!N106</f>
        <v>97504</v>
      </c>
      <c r="O106" s="289">
        <f>+K0kommunestruktur2020altern!O106</f>
        <v>3805</v>
      </c>
      <c r="P106" s="289">
        <f>+K0kommunestruktur2020altern!P106</f>
        <v>96557</v>
      </c>
      <c r="Q106" s="289">
        <f>+'K21'!C106</f>
        <v>3825</v>
      </c>
      <c r="R106" s="289">
        <f>+'K21'!Z106</f>
        <v>114468.924</v>
      </c>
      <c r="S106" s="517"/>
      <c r="T106" s="517"/>
    </row>
    <row r="107" spans="1:20" ht="13">
      <c r="A107" s="889">
        <v>3016</v>
      </c>
      <c r="B107" s="890" t="s">
        <v>796</v>
      </c>
      <c r="C107" s="289">
        <f>+C376+C377</f>
        <v>7978.7917038756923</v>
      </c>
      <c r="D107" s="289">
        <f t="shared" ref="D107:P107" si="3">+D376+D377</f>
        <v>157981.9531666369</v>
      </c>
      <c r="E107" s="289">
        <f t="shared" si="3"/>
        <v>8024.8275361671731</v>
      </c>
      <c r="F107" s="289">
        <f t="shared" si="3"/>
        <v>167197.40561941866</v>
      </c>
      <c r="G107" s="289">
        <f t="shared" si="3"/>
        <v>8088.852652259332</v>
      </c>
      <c r="H107" s="289">
        <f t="shared" si="3"/>
        <v>193397.7770980309</v>
      </c>
      <c r="I107" s="289">
        <f t="shared" si="3"/>
        <v>8177.8909403464904</v>
      </c>
      <c r="J107" s="289">
        <f t="shared" si="3"/>
        <v>194775.07346814164</v>
      </c>
      <c r="K107" s="289">
        <f t="shared" si="3"/>
        <v>8206.9154983032677</v>
      </c>
      <c r="L107" s="289">
        <f t="shared" si="3"/>
        <v>210424.82273620288</v>
      </c>
      <c r="M107" s="289">
        <f t="shared" si="3"/>
        <v>8234.9473120200037</v>
      </c>
      <c r="N107" s="289">
        <f t="shared" si="3"/>
        <v>215672.60077692446</v>
      </c>
      <c r="O107" s="289">
        <f t="shared" si="3"/>
        <v>8260</v>
      </c>
      <c r="P107" s="289">
        <f t="shared" si="3"/>
        <v>218853.53314904461</v>
      </c>
      <c r="Q107" s="289">
        <f>+'K21'!C107</f>
        <v>8222</v>
      </c>
      <c r="R107" s="289">
        <f>+'K21'!Z107</f>
        <v>234728.41800000001</v>
      </c>
      <c r="S107" s="517"/>
      <c r="T107" s="517"/>
    </row>
    <row r="108" spans="1:20" ht="13">
      <c r="A108" s="755">
        <v>3017</v>
      </c>
      <c r="B108" s="756" t="s">
        <v>797</v>
      </c>
      <c r="C108" s="289">
        <f>+K0kommunestruktur2020altern!C108</f>
        <v>7104</v>
      </c>
      <c r="D108" s="289">
        <f>+K0kommunestruktur2020altern!D108</f>
        <v>158348</v>
      </c>
      <c r="E108" s="289">
        <f>+K0kommunestruktur2020altern!E108</f>
        <v>7206</v>
      </c>
      <c r="F108" s="289">
        <f>+K0kommunestruktur2020altern!F108</f>
        <v>167440</v>
      </c>
      <c r="G108" s="289">
        <f>+K0kommunestruktur2020altern!G108</f>
        <v>7357</v>
      </c>
      <c r="H108" s="289">
        <f>+K0kommunestruktur2020altern!H108</f>
        <v>189397</v>
      </c>
      <c r="I108" s="289">
        <f>+K0kommunestruktur2020altern!I108</f>
        <v>7398</v>
      </c>
      <c r="J108" s="289">
        <f>+K0kommunestruktur2020altern!J108</f>
        <v>193812</v>
      </c>
      <c r="K108" s="289">
        <f>+K0kommunestruktur2020altern!K108</f>
        <v>7465</v>
      </c>
      <c r="L108" s="289">
        <f>+K0kommunestruktur2020altern!L108</f>
        <v>198782</v>
      </c>
      <c r="M108" s="289">
        <f>+K0kommunestruktur2020altern!M108</f>
        <v>7542</v>
      </c>
      <c r="N108" s="289">
        <f>+K0kommunestruktur2020altern!N108</f>
        <v>209112</v>
      </c>
      <c r="O108" s="289">
        <f>+K0kommunestruktur2020altern!O108</f>
        <v>7508</v>
      </c>
      <c r="P108" s="289">
        <f>+K0kommunestruktur2020altern!P108</f>
        <v>208011</v>
      </c>
      <c r="Q108" s="289">
        <f>+'K21'!C108</f>
        <v>7568</v>
      </c>
      <c r="R108" s="289">
        <f>+'K21'!Z108</f>
        <v>240957.899</v>
      </c>
      <c r="S108" s="517"/>
      <c r="T108" s="517"/>
    </row>
    <row r="109" spans="1:20" ht="13">
      <c r="A109" s="755">
        <v>3018</v>
      </c>
      <c r="B109" s="756" t="s">
        <v>799</v>
      </c>
      <c r="C109" s="289">
        <f>+K0kommunestruktur2020altern!C109</f>
        <v>4978</v>
      </c>
      <c r="D109" s="289">
        <f>+K0kommunestruktur2020altern!D109</f>
        <v>104906</v>
      </c>
      <c r="E109" s="289">
        <f>+K0kommunestruktur2020altern!E109</f>
        <v>5100</v>
      </c>
      <c r="F109" s="289">
        <f>+K0kommunestruktur2020altern!F109</f>
        <v>113132</v>
      </c>
      <c r="G109" s="289">
        <f>+K0kommunestruktur2020altern!G109</f>
        <v>5186</v>
      </c>
      <c r="H109" s="289">
        <f>+K0kommunestruktur2020altern!H109</f>
        <v>126383</v>
      </c>
      <c r="I109" s="289">
        <f>+K0kommunestruktur2020altern!I109</f>
        <v>5335</v>
      </c>
      <c r="J109" s="289">
        <f>+K0kommunestruktur2020altern!J109</f>
        <v>136309</v>
      </c>
      <c r="K109" s="289">
        <f>+K0kommunestruktur2020altern!K109</f>
        <v>5471</v>
      </c>
      <c r="L109" s="289">
        <f>+K0kommunestruktur2020altern!L109</f>
        <v>144788</v>
      </c>
      <c r="M109" s="289">
        <f>+K0kommunestruktur2020altern!M109</f>
        <v>5593</v>
      </c>
      <c r="N109" s="289">
        <f>+K0kommunestruktur2020altern!N109</f>
        <v>145443</v>
      </c>
      <c r="O109" s="289">
        <f>+K0kommunestruktur2020altern!O109</f>
        <v>5736</v>
      </c>
      <c r="P109" s="289">
        <f>+K0kommunestruktur2020altern!P109</f>
        <v>153904</v>
      </c>
      <c r="Q109" s="289">
        <f>+'K21'!C109</f>
        <v>5805</v>
      </c>
      <c r="R109" s="289">
        <f>+'K21'!Z109</f>
        <v>179852.071</v>
      </c>
      <c r="S109" s="517"/>
      <c r="T109" s="517"/>
    </row>
    <row r="110" spans="1:20" ht="13">
      <c r="A110" s="755">
        <v>3019</v>
      </c>
      <c r="B110" s="756" t="s">
        <v>801</v>
      </c>
      <c r="C110" s="289">
        <f>+K0kommunestruktur2020altern!C110</f>
        <v>15944</v>
      </c>
      <c r="D110" s="289">
        <f>+K0kommunestruktur2020altern!D110</f>
        <v>382877</v>
      </c>
      <c r="E110" s="289">
        <f>+K0kommunestruktur2020altern!E110</f>
        <v>16310</v>
      </c>
      <c r="F110" s="289">
        <f>+K0kommunestruktur2020altern!F110</f>
        <v>425131</v>
      </c>
      <c r="G110" s="289">
        <f>+K0kommunestruktur2020altern!G110</f>
        <v>16732</v>
      </c>
      <c r="H110" s="289">
        <f>+K0kommunestruktur2020altern!H110</f>
        <v>481457</v>
      </c>
      <c r="I110" s="289">
        <f>+K0kommunestruktur2020altern!I110</f>
        <v>17188</v>
      </c>
      <c r="J110" s="289">
        <f>+K0kommunestruktur2020altern!J110</f>
        <v>511136</v>
      </c>
      <c r="K110" s="289">
        <f>+K0kommunestruktur2020altern!K110</f>
        <v>17486</v>
      </c>
      <c r="L110" s="289">
        <f>+K0kommunestruktur2020altern!L110</f>
        <v>544775</v>
      </c>
      <c r="M110" s="289">
        <f>+K0kommunestruktur2020altern!M110</f>
        <v>17824</v>
      </c>
      <c r="N110" s="289">
        <f>+K0kommunestruktur2020altern!N110</f>
        <v>560651</v>
      </c>
      <c r="O110" s="289">
        <f>+K0kommunestruktur2020altern!O110</f>
        <v>18042</v>
      </c>
      <c r="P110" s="289">
        <f>+K0kommunestruktur2020altern!P110</f>
        <v>542945</v>
      </c>
      <c r="Q110" s="289">
        <f>+'K21'!C110</f>
        <v>18290</v>
      </c>
      <c r="R110" s="289">
        <f>+'K21'!Z110</f>
        <v>648063.12</v>
      </c>
      <c r="S110" s="517"/>
      <c r="T110" s="517"/>
    </row>
    <row r="111" spans="1:20" ht="13">
      <c r="A111" s="755">
        <v>3020</v>
      </c>
      <c r="B111" s="756" t="s">
        <v>1621</v>
      </c>
      <c r="C111" s="289">
        <f>+K0kommunestruktur2020altern!C111</f>
        <v>55971.078829604128</v>
      </c>
      <c r="D111" s="289">
        <f>+K0kommunestruktur2020altern!D111</f>
        <v>1607080.5913941481</v>
      </c>
      <c r="E111" s="289">
        <f>+K0kommunestruktur2020altern!E111</f>
        <v>56534.252077698548</v>
      </c>
      <c r="F111" s="289">
        <f>+K0kommunestruktur2020altern!F111</f>
        <v>1686853.0015736416</v>
      </c>
      <c r="G111" s="289">
        <f>+K0kommunestruktur2020altern!G111</f>
        <v>57236.989377919839</v>
      </c>
      <c r="H111" s="289">
        <f>+K0kommunestruktur2020altern!H111</f>
        <v>1862244.1284976641</v>
      </c>
      <c r="I111" s="289">
        <f>+K0kommunestruktur2020altern!I111</f>
        <v>57872.856946151958</v>
      </c>
      <c r="J111" s="289">
        <f>+K0kommunestruktur2020altern!J111</f>
        <v>1974149.0404720923</v>
      </c>
      <c r="K111" s="289">
        <f>+K0kommunestruktur2020altern!K111</f>
        <v>58252.568379641016</v>
      </c>
      <c r="L111" s="289">
        <f>+K0kommunestruktur2020altern!L111</f>
        <v>2026302.5736415049</v>
      </c>
      <c r="M111" s="289">
        <f>+K0kommunestruktur2020altern!M111</f>
        <v>58434</v>
      </c>
      <c r="N111" s="289">
        <f>+K0kommunestruktur2020altern!N111</f>
        <v>2104356.226948611</v>
      </c>
      <c r="O111" s="289">
        <f>+K0kommunestruktur2020altern!O111</f>
        <v>59288</v>
      </c>
      <c r="P111" s="289">
        <f>+K0kommunestruktur2020altern!P111</f>
        <v>2090579</v>
      </c>
      <c r="Q111" s="289">
        <f>+'K21'!C111</f>
        <v>60034</v>
      </c>
      <c r="R111" s="289">
        <f>+'K21'!Z111</f>
        <v>2446438.3840000001</v>
      </c>
      <c r="S111" s="517"/>
      <c r="T111" s="517"/>
    </row>
    <row r="112" spans="1:20" ht="13">
      <c r="A112" s="755">
        <v>3021</v>
      </c>
      <c r="B112" s="756" t="s">
        <v>803</v>
      </c>
      <c r="C112" s="289">
        <f>+K0kommunestruktur2020altern!C112</f>
        <v>17794.921170395868</v>
      </c>
      <c r="D112" s="289">
        <f>+K0kommunestruktur2020altern!D112</f>
        <v>428887.40860585199</v>
      </c>
      <c r="E112" s="289">
        <f>+K0kommunestruktur2020altern!E112</f>
        <v>18323.747922301452</v>
      </c>
      <c r="F112" s="289">
        <f>+K0kommunestruktur2020altern!F112</f>
        <v>468591.99842635851</v>
      </c>
      <c r="G112" s="289">
        <f>+K0kommunestruktur2020altern!G112</f>
        <v>18808.010622080157</v>
      </c>
      <c r="H112" s="289">
        <f>+K0kommunestruktur2020altern!H112</f>
        <v>499680.87150233588</v>
      </c>
      <c r="I112" s="289">
        <f>+K0kommunestruktur2020altern!I112</f>
        <v>19101.143053848045</v>
      </c>
      <c r="J112" s="289">
        <f>+K0kommunestruktur2020altern!J112</f>
        <v>537698.95952790754</v>
      </c>
      <c r="K112" s="289">
        <f>+K0kommunestruktur2020altern!K112</f>
        <v>19889.431620358988</v>
      </c>
      <c r="L112" s="289">
        <f>+K0kommunestruktur2020altern!L112</f>
        <v>605016.42635849526</v>
      </c>
      <c r="M112" s="289">
        <f>+K0kommunestruktur2020altern!M112</f>
        <v>20138</v>
      </c>
      <c r="N112" s="289">
        <f>+K0kommunestruktur2020altern!N112</f>
        <v>605798.77305138926</v>
      </c>
      <c r="O112" s="289">
        <f>+K0kommunestruktur2020altern!O112</f>
        <v>20439</v>
      </c>
      <c r="P112" s="289">
        <f>+K0kommunestruktur2020altern!P112</f>
        <v>595384</v>
      </c>
      <c r="Q112" s="289">
        <f>+'K21'!C112</f>
        <v>20439</v>
      </c>
      <c r="R112" s="289">
        <f>+'K21'!Z112</f>
        <v>689005.86199999996</v>
      </c>
      <c r="S112" s="517"/>
      <c r="T112" s="517"/>
    </row>
    <row r="113" spans="1:20" ht="13">
      <c r="A113" s="755">
        <v>3022</v>
      </c>
      <c r="B113" s="756" t="s">
        <v>804</v>
      </c>
      <c r="C113" s="289">
        <f>+K0kommunestruktur2020altern!C113</f>
        <v>15671</v>
      </c>
      <c r="D113" s="289">
        <f>+K0kommunestruktur2020altern!D113</f>
        <v>458700</v>
      </c>
      <c r="E113" s="289">
        <f>+K0kommunestruktur2020altern!E113</f>
        <v>15656</v>
      </c>
      <c r="F113" s="289">
        <f>+K0kommunestruktur2020altern!F113</f>
        <v>488635</v>
      </c>
      <c r="G113" s="289">
        <f>+K0kommunestruktur2020altern!G113</f>
        <v>15695</v>
      </c>
      <c r="H113" s="289">
        <f>+K0kommunestruktur2020altern!H113</f>
        <v>552401</v>
      </c>
      <c r="I113" s="289">
        <f>+K0kommunestruktur2020altern!I113</f>
        <v>15743</v>
      </c>
      <c r="J113" s="289">
        <f>+K0kommunestruktur2020altern!J113</f>
        <v>572415</v>
      </c>
      <c r="K113" s="289">
        <f>+K0kommunestruktur2020altern!K113</f>
        <v>15735</v>
      </c>
      <c r="L113" s="289">
        <f>+K0kommunestruktur2020altern!L113</f>
        <v>586294</v>
      </c>
      <c r="M113" s="289">
        <f>+K0kommunestruktur2020altern!M113</f>
        <v>15761</v>
      </c>
      <c r="N113" s="289">
        <f>+K0kommunestruktur2020altern!N113</f>
        <v>611625</v>
      </c>
      <c r="O113" s="289">
        <f>+K0kommunestruktur2020altern!O113</f>
        <v>15877</v>
      </c>
      <c r="P113" s="289">
        <f>+K0kommunestruktur2020altern!P113</f>
        <v>595648</v>
      </c>
      <c r="Q113" s="289">
        <f>+'K21'!C113</f>
        <v>15953</v>
      </c>
      <c r="R113" s="289">
        <f>+'K21'!Z113</f>
        <v>696165.14800000004</v>
      </c>
      <c r="S113" s="517"/>
      <c r="T113" s="517"/>
    </row>
    <row r="114" spans="1:20" ht="13">
      <c r="A114" s="755">
        <v>3023</v>
      </c>
      <c r="B114" s="965" t="s">
        <v>805</v>
      </c>
      <c r="C114" s="289">
        <f>+K0kommunestruktur2020altern!C114</f>
        <v>18297</v>
      </c>
      <c r="D114" s="289">
        <f>+K0kommunestruktur2020altern!D114</f>
        <v>484633</v>
      </c>
      <c r="E114" s="289">
        <f>+K0kommunestruktur2020altern!E114</f>
        <v>18372</v>
      </c>
      <c r="F114" s="289">
        <f>+K0kommunestruktur2020altern!F114</f>
        <v>506316</v>
      </c>
      <c r="G114" s="289">
        <f>+K0kommunestruktur2020altern!G114</f>
        <v>18623</v>
      </c>
      <c r="H114" s="289">
        <f>+K0kommunestruktur2020altern!H114</f>
        <v>556056</v>
      </c>
      <c r="I114" s="289">
        <f>+K0kommunestruktur2020altern!I114</f>
        <v>18869</v>
      </c>
      <c r="J114" s="289">
        <f>+K0kommunestruktur2020altern!J114</f>
        <v>583891</v>
      </c>
      <c r="K114" s="289">
        <f>+K0kommunestruktur2020altern!K114</f>
        <v>19287</v>
      </c>
      <c r="L114" s="289">
        <f>+K0kommunestruktur2020altern!L114</f>
        <v>619346</v>
      </c>
      <c r="M114" s="289">
        <f>+K0kommunestruktur2020altern!M114</f>
        <v>19488</v>
      </c>
      <c r="N114" s="289">
        <f>+K0kommunestruktur2020altern!N114</f>
        <v>642751</v>
      </c>
      <c r="O114" s="289">
        <f>+K0kommunestruktur2020altern!O114</f>
        <v>19616</v>
      </c>
      <c r="P114" s="289">
        <f>+K0kommunestruktur2020altern!P114</f>
        <v>634158</v>
      </c>
      <c r="Q114" s="289">
        <f>+'K21'!C114</f>
        <v>19805</v>
      </c>
      <c r="R114" s="289">
        <f>+'K21'!Z114</f>
        <v>779999.44</v>
      </c>
      <c r="S114" s="517"/>
      <c r="T114" s="517"/>
    </row>
    <row r="115" spans="1:20" ht="13">
      <c r="A115" s="755">
        <v>3024</v>
      </c>
      <c r="B115" s="756" t="s">
        <v>807</v>
      </c>
      <c r="C115" s="289">
        <f>+K0kommunestruktur2020altern!C115</f>
        <v>118588</v>
      </c>
      <c r="D115" s="289">
        <f>+K0kommunestruktur2020altern!D115</f>
        <v>4694842</v>
      </c>
      <c r="E115" s="289">
        <f>+K0kommunestruktur2020altern!E115</f>
        <v>120685</v>
      </c>
      <c r="F115" s="289">
        <f>+K0kommunestruktur2020altern!F115</f>
        <v>5002876</v>
      </c>
      <c r="G115" s="289">
        <f>+K0kommunestruktur2020altern!G115</f>
        <v>122348</v>
      </c>
      <c r="H115" s="289">
        <f>+K0kommunestruktur2020altern!H115</f>
        <v>5817013</v>
      </c>
      <c r="I115" s="289">
        <f>+K0kommunestruktur2020altern!I115</f>
        <v>124008</v>
      </c>
      <c r="J115" s="289">
        <f>+K0kommunestruktur2020altern!J115</f>
        <v>6180068</v>
      </c>
      <c r="K115" s="289">
        <f>+K0kommunestruktur2020altern!K115</f>
        <v>125454</v>
      </c>
      <c r="L115" s="289">
        <f>+K0kommunestruktur2020altern!L115</f>
        <v>6345361</v>
      </c>
      <c r="M115" s="289">
        <f>+K0kommunestruktur2020altern!M115</f>
        <v>126841</v>
      </c>
      <c r="N115" s="289">
        <f>+K0kommunestruktur2020altern!N115</f>
        <v>6827068</v>
      </c>
      <c r="O115" s="289">
        <f>+K0kommunestruktur2020altern!O115</f>
        <v>127731</v>
      </c>
      <c r="P115" s="289">
        <f>+K0kommunestruktur2020altern!P115</f>
        <v>6525517</v>
      </c>
      <c r="Q115" s="289">
        <f>+'K21'!C115</f>
        <v>128233</v>
      </c>
      <c r="R115" s="289">
        <f>+'K21'!Z115</f>
        <v>7785767.4550000001</v>
      </c>
      <c r="S115" s="517"/>
      <c r="T115" s="517"/>
    </row>
    <row r="116" spans="1:20" ht="13">
      <c r="A116" s="755">
        <v>3025</v>
      </c>
      <c r="B116" s="756" t="s">
        <v>1622</v>
      </c>
      <c r="C116" s="289">
        <f>+K0kommunestruktur2020altern!C116</f>
        <v>88289</v>
      </c>
      <c r="D116" s="289">
        <f>+K0kommunestruktur2020altern!D116</f>
        <v>2948054</v>
      </c>
      <c r="E116" s="289">
        <f>+K0kommunestruktur2020altern!E116</f>
        <v>89974</v>
      </c>
      <c r="F116" s="289">
        <f>+K0kommunestruktur2020altern!F116</f>
        <v>3146906</v>
      </c>
      <c r="G116" s="289">
        <f>+K0kommunestruktur2020altern!G116</f>
        <v>91011</v>
      </c>
      <c r="H116" s="289">
        <f>+K0kommunestruktur2020altern!H116</f>
        <v>3565023</v>
      </c>
      <c r="I116" s="289">
        <f>+K0kommunestruktur2020altern!I116</f>
        <v>92174</v>
      </c>
      <c r="J116" s="289">
        <f>+K0kommunestruktur2020altern!J116</f>
        <v>3695221</v>
      </c>
      <c r="K116" s="289">
        <f>+K0kommunestruktur2020altern!K116</f>
        <v>92828</v>
      </c>
      <c r="L116" s="289">
        <f>+K0kommunestruktur2020altern!L116</f>
        <v>3849981</v>
      </c>
      <c r="M116" s="289">
        <f>+K0kommunestruktur2020altern!M116</f>
        <v>93679</v>
      </c>
      <c r="N116" s="289">
        <f>+K0kommunestruktur2020altern!N116</f>
        <v>4094169</v>
      </c>
      <c r="O116" s="289">
        <f>+K0kommunestruktur2020altern!O116</f>
        <v>94441</v>
      </c>
      <c r="P116" s="289">
        <f>+K0kommunestruktur2020altern!P116</f>
        <v>3964821</v>
      </c>
      <c r="Q116" s="289">
        <f>+'K21'!C116</f>
        <v>94915</v>
      </c>
      <c r="R116" s="289">
        <f>+'K21'!Z116</f>
        <v>4749022.1660000002</v>
      </c>
      <c r="S116" s="517"/>
      <c r="T116" s="517"/>
    </row>
    <row r="117" spans="1:20" ht="13">
      <c r="A117" s="755">
        <v>3026</v>
      </c>
      <c r="B117" s="756" t="s">
        <v>1623</v>
      </c>
      <c r="C117" s="289">
        <f>+K0kommunestruktur2020altern!C117</f>
        <v>16172</v>
      </c>
      <c r="D117" s="289">
        <f>+K0kommunestruktur2020altern!D117</f>
        <v>315781</v>
      </c>
      <c r="E117" s="289">
        <f>+K0kommunestruktur2020altern!E117</f>
        <v>16398</v>
      </c>
      <c r="F117" s="289">
        <f>+K0kommunestruktur2020altern!F117</f>
        <v>343893</v>
      </c>
      <c r="G117" s="289">
        <f>+K0kommunestruktur2020altern!G117</f>
        <v>16586</v>
      </c>
      <c r="H117" s="289">
        <f>+K0kommunestruktur2020altern!H117</f>
        <v>370963</v>
      </c>
      <c r="I117" s="289">
        <f>+K0kommunestruktur2020altern!I117</f>
        <v>16847</v>
      </c>
      <c r="J117" s="289">
        <f>+K0kommunestruktur2020altern!J117</f>
        <v>392835</v>
      </c>
      <c r="K117" s="289">
        <f>+K0kommunestruktur2020altern!K117</f>
        <v>17072</v>
      </c>
      <c r="L117" s="289">
        <f>+K0kommunestruktur2020altern!L117</f>
        <v>417440</v>
      </c>
      <c r="M117" s="289">
        <f>+K0kommunestruktur2020altern!M117</f>
        <v>17173</v>
      </c>
      <c r="N117" s="289">
        <f>+K0kommunestruktur2020altern!N117</f>
        <v>430456</v>
      </c>
      <c r="O117" s="289">
        <f>+K0kommunestruktur2020altern!O117</f>
        <v>17390</v>
      </c>
      <c r="P117" s="289">
        <f>+K0kommunestruktur2020altern!P117</f>
        <v>432758</v>
      </c>
      <c r="Q117" s="289">
        <f>+'K21'!C117</f>
        <v>17591</v>
      </c>
      <c r="R117" s="289">
        <f>+'K21'!Z117</f>
        <v>510864.28399999999</v>
      </c>
      <c r="S117" s="517"/>
      <c r="T117" s="517"/>
    </row>
    <row r="118" spans="1:20" ht="13">
      <c r="A118" s="755">
        <v>3027</v>
      </c>
      <c r="B118" s="756" t="s">
        <v>812</v>
      </c>
      <c r="C118" s="289">
        <f>+K0kommunestruktur2020altern!C118</f>
        <v>16806</v>
      </c>
      <c r="D118" s="289">
        <f>+K0kommunestruktur2020altern!D118</f>
        <v>418672</v>
      </c>
      <c r="E118" s="289">
        <f>+K0kommunestruktur2020altern!E118</f>
        <v>17185</v>
      </c>
      <c r="F118" s="289">
        <f>+K0kommunestruktur2020altern!F118</f>
        <v>443705</v>
      </c>
      <c r="G118" s="289">
        <f>+K0kommunestruktur2020altern!G118</f>
        <v>17426</v>
      </c>
      <c r="H118" s="289">
        <f>+K0kommunestruktur2020altern!H118</f>
        <v>489036</v>
      </c>
      <c r="I118" s="289">
        <f>+K0kommunestruktur2020altern!I118</f>
        <v>17730</v>
      </c>
      <c r="J118" s="289">
        <f>+K0kommunestruktur2020altern!J118</f>
        <v>519409</v>
      </c>
      <c r="K118" s="289">
        <f>+K0kommunestruktur2020altern!K118</f>
        <v>17874</v>
      </c>
      <c r="L118" s="289">
        <f>+K0kommunestruktur2020altern!L118</f>
        <v>553595</v>
      </c>
      <c r="M118" s="289">
        <f>+K0kommunestruktur2020altern!M118</f>
        <v>18161</v>
      </c>
      <c r="N118" s="289">
        <f>+K0kommunestruktur2020altern!N118</f>
        <v>579991</v>
      </c>
      <c r="O118" s="289">
        <f>+K0kommunestruktur2020altern!O118</f>
        <v>18530</v>
      </c>
      <c r="P118" s="289">
        <f>+K0kommunestruktur2020altern!P118</f>
        <v>586828</v>
      </c>
      <c r="Q118" s="289">
        <f>+'K21'!C118</f>
        <v>18730</v>
      </c>
      <c r="R118" s="289">
        <f>+'K21'!Z118</f>
        <v>680701.95400000003</v>
      </c>
      <c r="S118" s="517"/>
      <c r="T118" s="517"/>
    </row>
    <row r="119" spans="1:20" ht="13">
      <c r="A119" s="755">
        <v>3028</v>
      </c>
      <c r="B119" s="756" t="s">
        <v>813</v>
      </c>
      <c r="C119" s="289">
        <f>+K0kommunestruktur2020altern!C119</f>
        <v>10626</v>
      </c>
      <c r="D119" s="289">
        <f>+K0kommunestruktur2020altern!D119</f>
        <v>235399</v>
      </c>
      <c r="E119" s="289">
        <f>+K0kommunestruktur2020altern!E119</f>
        <v>10760</v>
      </c>
      <c r="F119" s="289">
        <f>+K0kommunestruktur2020altern!F119</f>
        <v>253577</v>
      </c>
      <c r="G119" s="289">
        <f>+K0kommunestruktur2020altern!G119</f>
        <v>10870</v>
      </c>
      <c r="H119" s="289">
        <f>+K0kommunestruktur2020altern!H119</f>
        <v>279337</v>
      </c>
      <c r="I119" s="289">
        <f>+K0kommunestruktur2020altern!I119</f>
        <v>10927</v>
      </c>
      <c r="J119" s="289">
        <f>+K0kommunestruktur2020altern!J119</f>
        <v>287943</v>
      </c>
      <c r="K119" s="289">
        <f>+K0kommunestruktur2020altern!K119</f>
        <v>10945</v>
      </c>
      <c r="L119" s="289">
        <f>+K0kommunestruktur2020altern!L119</f>
        <v>292839</v>
      </c>
      <c r="M119" s="289">
        <f>+K0kommunestruktur2020altern!M119</f>
        <v>11026</v>
      </c>
      <c r="N119" s="289">
        <f>+K0kommunestruktur2020altern!N119</f>
        <v>299078</v>
      </c>
      <c r="O119" s="289">
        <f>+K0kommunestruktur2020altern!O119</f>
        <v>11110</v>
      </c>
      <c r="P119" s="289">
        <f>+K0kommunestruktur2020altern!P119</f>
        <v>291255</v>
      </c>
      <c r="Q119" s="289">
        <f>+'K21'!C119</f>
        <v>11065</v>
      </c>
      <c r="R119" s="289">
        <f>+'K21'!Z119</f>
        <v>340035.891</v>
      </c>
      <c r="S119" s="517"/>
      <c r="T119" s="517"/>
    </row>
    <row r="120" spans="1:20" ht="13">
      <c r="A120" s="755">
        <v>3029</v>
      </c>
      <c r="B120" s="756" t="s">
        <v>814</v>
      </c>
      <c r="C120" s="289">
        <f>+K0kommunestruktur2020altern!C120</f>
        <v>34697</v>
      </c>
      <c r="D120" s="289">
        <f>+K0kommunestruktur2020altern!D120</f>
        <v>955054</v>
      </c>
      <c r="E120" s="289">
        <f>+K0kommunestruktur2020altern!E120</f>
        <v>35139</v>
      </c>
      <c r="F120" s="289">
        <f>+K0kommunestruktur2020altern!F120</f>
        <v>1000847</v>
      </c>
      <c r="G120" s="289">
        <f>+K0kommunestruktur2020altern!G120</f>
        <v>36368</v>
      </c>
      <c r="H120" s="289">
        <f>+K0kommunestruktur2020altern!H120</f>
        <v>1106763</v>
      </c>
      <c r="I120" s="289">
        <f>+K0kommunestruktur2020altern!I120</f>
        <v>37406</v>
      </c>
      <c r="J120" s="289">
        <f>+K0kommunestruktur2020altern!J120</f>
        <v>1186669</v>
      </c>
      <c r="K120" s="289">
        <f>+K0kommunestruktur2020altern!K120</f>
        <v>38670</v>
      </c>
      <c r="L120" s="289">
        <f>+K0kommunestruktur2020altern!L120</f>
        <v>1265826</v>
      </c>
      <c r="M120" s="289">
        <f>+K0kommunestruktur2020altern!M120</f>
        <v>40106</v>
      </c>
      <c r="N120" s="289">
        <f>+K0kommunestruktur2020altern!N120</f>
        <v>1334160</v>
      </c>
      <c r="O120" s="289">
        <f>+K0kommunestruktur2020altern!O120</f>
        <v>41460</v>
      </c>
      <c r="P120" s="289">
        <f>+K0kommunestruktur2020altern!P120</f>
        <v>1334722</v>
      </c>
      <c r="Q120" s="289">
        <f>+'K21'!C120</f>
        <v>42740</v>
      </c>
      <c r="R120" s="289">
        <f>+'K21'!Z120</f>
        <v>1577847.763</v>
      </c>
      <c r="S120" s="517"/>
      <c r="T120" s="517"/>
    </row>
    <row r="121" spans="1:20" ht="13">
      <c r="A121" s="755">
        <v>3030</v>
      </c>
      <c r="B121" s="756" t="s">
        <v>1624</v>
      </c>
      <c r="C121" s="289">
        <f>+K0kommunestruktur2020altern!C121</f>
        <v>78532.416579970435</v>
      </c>
      <c r="D121" s="289">
        <f>+K0kommunestruktur2020altern!D121</f>
        <v>2008907.4885035318</v>
      </c>
      <c r="E121" s="289">
        <f>+K0kommunestruktur2020altern!E121</f>
        <v>79385.133877238128</v>
      </c>
      <c r="F121" s="289">
        <f>+K0kommunestruktur2020altern!F121</f>
        <v>2089397.7724362782</v>
      </c>
      <c r="G121" s="289">
        <f>+K0kommunestruktur2020altern!G121</f>
        <v>80698.127580353714</v>
      </c>
      <c r="H121" s="289">
        <f>+K0kommunestruktur2020altern!H121</f>
        <v>2325082.7272264962</v>
      </c>
      <c r="I121" s="289">
        <f>+K0kommunestruktur2020altern!I121</f>
        <v>81846.971089087223</v>
      </c>
      <c r="J121" s="289">
        <f>+K0kommunestruktur2020altern!J121</f>
        <v>2466629.9739697063</v>
      </c>
      <c r="K121" s="289">
        <f>+K0kommunestruktur2020altern!K121</f>
        <v>83160.397689317193</v>
      </c>
      <c r="L121" s="289">
        <f>+K0kommunestruktur2020altern!L121</f>
        <v>2576111.5140447901</v>
      </c>
      <c r="M121" s="289">
        <f>+K0kommunestruktur2020altern!M121</f>
        <v>85086</v>
      </c>
      <c r="N121" s="289">
        <f>+K0kommunestruktur2020altern!N121</f>
        <v>2724189.8595247222</v>
      </c>
      <c r="O121" s="289">
        <f>+K0kommunestruktur2020altern!O121</f>
        <v>85983</v>
      </c>
      <c r="P121" s="289">
        <f>+K0kommunestruktur2020altern!P121</f>
        <v>2710030</v>
      </c>
      <c r="Q121" s="289">
        <f>+'K21'!C121</f>
        <v>86953</v>
      </c>
      <c r="R121" s="289">
        <f>+'K21'!Z121</f>
        <v>3190910.1150000002</v>
      </c>
      <c r="S121" s="517"/>
      <c r="T121" s="517"/>
    </row>
    <row r="122" spans="1:20" ht="13">
      <c r="A122" s="755">
        <v>3031</v>
      </c>
      <c r="B122" s="756" t="s">
        <v>816</v>
      </c>
      <c r="C122" s="289">
        <f>+K0kommunestruktur2020altern!C122</f>
        <v>22385</v>
      </c>
      <c r="D122" s="289">
        <f>+K0kommunestruktur2020altern!D122</f>
        <v>602308</v>
      </c>
      <c r="E122" s="289">
        <f>+K0kommunestruktur2020altern!E122</f>
        <v>22706</v>
      </c>
      <c r="F122" s="289">
        <f>+K0kommunestruktur2020altern!F122</f>
        <v>644021</v>
      </c>
      <c r="G122" s="289">
        <f>+K0kommunestruktur2020altern!G122</f>
        <v>22857</v>
      </c>
      <c r="H122" s="289">
        <f>+K0kommunestruktur2020altern!H122</f>
        <v>703515</v>
      </c>
      <c r="I122" s="289">
        <f>+K0kommunestruktur2020altern!I122</f>
        <v>23213</v>
      </c>
      <c r="J122" s="289">
        <f>+K0kommunestruktur2020altern!J122</f>
        <v>740249</v>
      </c>
      <c r="K122" s="289">
        <f>+K0kommunestruktur2020altern!K122</f>
        <v>23545</v>
      </c>
      <c r="L122" s="289">
        <f>+K0kommunestruktur2020altern!L122</f>
        <v>775033</v>
      </c>
      <c r="M122" s="289">
        <f>+K0kommunestruktur2020altern!M122</f>
        <v>24089</v>
      </c>
      <c r="N122" s="289">
        <f>+K0kommunestruktur2020altern!N122</f>
        <v>808965</v>
      </c>
      <c r="O122" s="289">
        <f>+K0kommunestruktur2020altern!O122</f>
        <v>24249</v>
      </c>
      <c r="P122" s="289">
        <f>+K0kommunestruktur2020altern!P122</f>
        <v>791727</v>
      </c>
      <c r="Q122" s="289">
        <f>+'K21'!C122</f>
        <v>24454</v>
      </c>
      <c r="R122" s="289">
        <f>+'K21'!Z122</f>
        <v>946496.26399999997</v>
      </c>
      <c r="S122" s="517"/>
      <c r="T122" s="517"/>
    </row>
    <row r="123" spans="1:20" ht="13">
      <c r="A123" s="755">
        <v>3032</v>
      </c>
      <c r="B123" s="756" t="s">
        <v>817</v>
      </c>
      <c r="C123" s="289">
        <f>+K0kommunestruktur2020altern!C123</f>
        <v>6292</v>
      </c>
      <c r="D123" s="289">
        <f>+K0kommunestruktur2020altern!D123</f>
        <v>172164</v>
      </c>
      <c r="E123" s="289">
        <f>+K0kommunestruktur2020altern!E123</f>
        <v>6326</v>
      </c>
      <c r="F123" s="289">
        <f>+K0kommunestruktur2020altern!F123</f>
        <v>183102</v>
      </c>
      <c r="G123" s="289">
        <f>+K0kommunestruktur2020altern!G123</f>
        <v>6323</v>
      </c>
      <c r="H123" s="289">
        <f>+K0kommunestruktur2020altern!H123</f>
        <v>203326</v>
      </c>
      <c r="I123" s="289">
        <f>+K0kommunestruktur2020altern!I123</f>
        <v>6546</v>
      </c>
      <c r="J123" s="289">
        <f>+K0kommunestruktur2020altern!J123</f>
        <v>234709</v>
      </c>
      <c r="K123" s="289">
        <f>+K0kommunestruktur2020altern!K123</f>
        <v>6704</v>
      </c>
      <c r="L123" s="289">
        <f>+K0kommunestruktur2020altern!L123</f>
        <v>242251</v>
      </c>
      <c r="M123" s="289">
        <f>+K0kommunestruktur2020altern!M123</f>
        <v>6823</v>
      </c>
      <c r="N123" s="289">
        <f>+K0kommunestruktur2020altern!N123</f>
        <v>249562</v>
      </c>
      <c r="O123" s="289">
        <f>+K0kommunestruktur2020altern!O123</f>
        <v>6890</v>
      </c>
      <c r="P123" s="289">
        <f>+K0kommunestruktur2020altern!P123</f>
        <v>233230</v>
      </c>
      <c r="Q123" s="289">
        <f>+'K21'!C123</f>
        <v>7043</v>
      </c>
      <c r="R123" s="289">
        <f>+'K21'!Z123</f>
        <v>275007.37</v>
      </c>
      <c r="S123" s="517"/>
      <c r="T123" s="517"/>
    </row>
    <row r="124" spans="1:20" ht="13">
      <c r="A124" s="755">
        <v>3033</v>
      </c>
      <c r="B124" s="756" t="s">
        <v>818</v>
      </c>
      <c r="C124" s="289">
        <f>+K0kommunestruktur2020altern!C124</f>
        <v>32438</v>
      </c>
      <c r="D124" s="289">
        <f>+K0kommunestruktur2020altern!D124</f>
        <v>785830</v>
      </c>
      <c r="E124" s="289">
        <f>+K0kommunestruktur2020altern!E124</f>
        <v>33310</v>
      </c>
      <c r="F124" s="289">
        <f>+K0kommunestruktur2020altern!F124</f>
        <v>825439</v>
      </c>
      <c r="G124" s="289">
        <f>+K0kommunestruktur2020altern!G124</f>
        <v>34189</v>
      </c>
      <c r="H124" s="289">
        <f>+K0kommunestruktur2020altern!H124</f>
        <v>917838</v>
      </c>
      <c r="I124" s="289">
        <f>+K0kommunestruktur2020altern!I124</f>
        <v>35102</v>
      </c>
      <c r="J124" s="289">
        <f>+K0kommunestruktur2020altern!J124</f>
        <v>996135</v>
      </c>
      <c r="K124" s="289">
        <f>+K0kommunestruktur2020altern!K124</f>
        <v>36576</v>
      </c>
      <c r="L124" s="289">
        <f>+K0kommunestruktur2020altern!L124</f>
        <v>1072566</v>
      </c>
      <c r="M124" s="289">
        <f>+K0kommunestruktur2020altern!M124</f>
        <v>38234</v>
      </c>
      <c r="N124" s="289">
        <f>+K0kommunestruktur2020altern!N124</f>
        <v>1141275</v>
      </c>
      <c r="O124" s="289">
        <f>+K0kommunestruktur2020altern!O124</f>
        <v>39625</v>
      </c>
      <c r="P124" s="289">
        <f>+K0kommunestruktur2020altern!P124</f>
        <v>1137725</v>
      </c>
      <c r="Q124" s="289">
        <f>+'K21'!C124</f>
        <v>40459</v>
      </c>
      <c r="R124" s="289">
        <f>+'K21'!Z124</f>
        <v>1340071.24</v>
      </c>
      <c r="S124" s="517"/>
      <c r="T124" s="517"/>
    </row>
    <row r="125" spans="1:20" ht="13">
      <c r="A125" s="755">
        <v>3034</v>
      </c>
      <c r="B125" s="756" t="s">
        <v>819</v>
      </c>
      <c r="C125" s="289">
        <f>+K0kommunestruktur2020altern!C125</f>
        <v>20785.583420029569</v>
      </c>
      <c r="D125" s="289">
        <f>+K0kommunestruktur2020altern!D125</f>
        <v>436004.51149646827</v>
      </c>
      <c r="E125" s="289">
        <f>+K0kommunestruktur2020altern!E125</f>
        <v>21037.866122761869</v>
      </c>
      <c r="F125" s="289">
        <f>+K0kommunestruktur2020altern!F125</f>
        <v>468651.22756372171</v>
      </c>
      <c r="G125" s="289">
        <f>+K0kommunestruktur2020altern!G125</f>
        <v>21423.872419646279</v>
      </c>
      <c r="H125" s="289">
        <f>+K0kommunestruktur2020altern!H125</f>
        <v>521092.27277350379</v>
      </c>
      <c r="I125" s="289">
        <f>+K0kommunestruktur2020altern!I125</f>
        <v>21890.028910912773</v>
      </c>
      <c r="J125" s="289">
        <f>+K0kommunestruktur2020altern!J125</f>
        <v>553690.02603029343</v>
      </c>
      <c r="K125" s="289">
        <f>+K0kommunestruktur2020altern!K125</f>
        <v>22341.6023106828</v>
      </c>
      <c r="L125" s="289">
        <f>+K0kommunestruktur2020altern!L125</f>
        <v>588907.48595520994</v>
      </c>
      <c r="M125" s="289">
        <f>+K0kommunestruktur2020altern!M125</f>
        <v>22556</v>
      </c>
      <c r="N125" s="289">
        <f>+K0kommunestruktur2020altern!N125</f>
        <v>615587.14047527791</v>
      </c>
      <c r="O125" s="289">
        <f>+K0kommunestruktur2020altern!O125</f>
        <v>23092</v>
      </c>
      <c r="P125" s="289">
        <f>+K0kommunestruktur2020altern!P125</f>
        <v>600621</v>
      </c>
      <c r="Q125" s="289">
        <f>+'K21'!C125</f>
        <v>23422</v>
      </c>
      <c r="R125" s="289">
        <f>+'K21'!Z125</f>
        <v>720878.89</v>
      </c>
      <c r="S125" s="517"/>
      <c r="T125" s="517"/>
    </row>
    <row r="126" spans="1:20" ht="13">
      <c r="A126" s="755">
        <v>3035</v>
      </c>
      <c r="B126" s="756" t="s">
        <v>820</v>
      </c>
      <c r="C126" s="289">
        <f>+K0kommunestruktur2020altern!C126</f>
        <v>22689</v>
      </c>
      <c r="D126" s="289">
        <f>+K0kommunestruktur2020altern!D126</f>
        <v>488216</v>
      </c>
      <c r="E126" s="289">
        <f>+K0kommunestruktur2020altern!E126</f>
        <v>23238</v>
      </c>
      <c r="F126" s="289">
        <f>+K0kommunestruktur2020altern!F126</f>
        <v>518464</v>
      </c>
      <c r="G126" s="289">
        <f>+K0kommunestruktur2020altern!G126</f>
        <v>23811</v>
      </c>
      <c r="H126" s="289">
        <f>+K0kommunestruktur2020altern!H126</f>
        <v>547726</v>
      </c>
      <c r="I126" s="289">
        <f>+K0kommunestruktur2020altern!I126</f>
        <v>24415</v>
      </c>
      <c r="J126" s="289">
        <f>+K0kommunestruktur2020altern!J126</f>
        <v>588642</v>
      </c>
      <c r="K126" s="289">
        <f>+K0kommunestruktur2020altern!K126</f>
        <v>24647</v>
      </c>
      <c r="L126" s="289">
        <f>+K0kommunestruktur2020altern!L126</f>
        <v>626457</v>
      </c>
      <c r="M126" s="289">
        <f>+K0kommunestruktur2020altern!M126</f>
        <v>24919</v>
      </c>
      <c r="N126" s="289">
        <f>+K0kommunestruktur2020altern!N126</f>
        <v>645346</v>
      </c>
      <c r="O126" s="289">
        <f>+K0kommunestruktur2020altern!O126</f>
        <v>25436</v>
      </c>
      <c r="P126" s="289">
        <f>+K0kommunestruktur2020altern!P126</f>
        <v>638025</v>
      </c>
      <c r="Q126" s="289">
        <f>+'K21'!C126</f>
        <v>26031</v>
      </c>
      <c r="R126" s="289">
        <f>+'K21'!Z126</f>
        <v>762822.91700000002</v>
      </c>
      <c r="S126" s="517"/>
      <c r="T126" s="517"/>
    </row>
    <row r="127" spans="1:20" ht="13">
      <c r="A127" s="755">
        <v>3036</v>
      </c>
      <c r="B127" s="756" t="s">
        <v>821</v>
      </c>
      <c r="C127" s="289">
        <f>+K0kommunestruktur2020altern!C127</f>
        <v>11707</v>
      </c>
      <c r="D127" s="289">
        <f>+K0kommunestruktur2020altern!D127</f>
        <v>256510</v>
      </c>
      <c r="E127" s="289">
        <f>+K0kommunestruktur2020altern!E127</f>
        <v>11882</v>
      </c>
      <c r="F127" s="289">
        <f>+K0kommunestruktur2020altern!F127</f>
        <v>273585</v>
      </c>
      <c r="G127" s="289">
        <f>+K0kommunestruktur2020altern!G127</f>
        <v>12267</v>
      </c>
      <c r="H127" s="289">
        <f>+K0kommunestruktur2020altern!H127</f>
        <v>306685</v>
      </c>
      <c r="I127" s="289">
        <f>+K0kommunestruktur2020altern!I127</f>
        <v>12657</v>
      </c>
      <c r="J127" s="289">
        <f>+K0kommunestruktur2020altern!J127</f>
        <v>327371</v>
      </c>
      <c r="K127" s="289">
        <f>+K0kommunestruktur2020altern!K127</f>
        <v>13240</v>
      </c>
      <c r="L127" s="289">
        <f>+K0kommunestruktur2020altern!L127</f>
        <v>355948</v>
      </c>
      <c r="M127" s="289">
        <f>+K0kommunestruktur2020altern!M127</f>
        <v>13682</v>
      </c>
      <c r="N127" s="289">
        <f>+K0kommunestruktur2020altern!N127</f>
        <v>376725</v>
      </c>
      <c r="O127" s="289">
        <f>+K0kommunestruktur2020altern!O127</f>
        <v>14139</v>
      </c>
      <c r="P127" s="289">
        <f>+K0kommunestruktur2020altern!P127</f>
        <v>367069</v>
      </c>
      <c r="Q127" s="289">
        <f>+'K21'!C127</f>
        <v>14637</v>
      </c>
      <c r="R127" s="289">
        <f>+'K21'!Z127</f>
        <v>432983.81699999998</v>
      </c>
      <c r="S127" s="517"/>
      <c r="T127" s="517"/>
    </row>
    <row r="128" spans="1:20" ht="13">
      <c r="A128" s="755">
        <v>3037</v>
      </c>
      <c r="B128" s="756" t="s">
        <v>822</v>
      </c>
      <c r="C128" s="289">
        <f>+K0kommunestruktur2020altern!C128</f>
        <v>2695</v>
      </c>
      <c r="D128" s="289">
        <f>+K0kommunestruktur2020altern!D128</f>
        <v>49896</v>
      </c>
      <c r="E128" s="289">
        <f>+K0kommunestruktur2020altern!E128</f>
        <v>2752</v>
      </c>
      <c r="F128" s="289">
        <f>+K0kommunestruktur2020altern!F128</f>
        <v>53872</v>
      </c>
      <c r="G128" s="289">
        <f>+K0kommunestruktur2020altern!G128</f>
        <v>2837</v>
      </c>
      <c r="H128" s="289">
        <f>+K0kommunestruktur2020altern!H128</f>
        <v>60073</v>
      </c>
      <c r="I128" s="289">
        <f>+K0kommunestruktur2020altern!I128</f>
        <v>2910</v>
      </c>
      <c r="J128" s="289">
        <f>+K0kommunestruktur2020altern!J128</f>
        <v>62531</v>
      </c>
      <c r="K128" s="289">
        <f>+K0kommunestruktur2020altern!K128</f>
        <v>2903</v>
      </c>
      <c r="L128" s="289">
        <f>+K0kommunestruktur2020altern!L128</f>
        <v>65315</v>
      </c>
      <c r="M128" s="289">
        <f>+K0kommunestruktur2020altern!M128</f>
        <v>2864</v>
      </c>
      <c r="N128" s="289">
        <f>+K0kommunestruktur2020altern!N128</f>
        <v>69523</v>
      </c>
      <c r="O128" s="289">
        <f>+K0kommunestruktur2020altern!O128</f>
        <v>2854</v>
      </c>
      <c r="P128" s="289">
        <f>+K0kommunestruktur2020altern!P128</f>
        <v>67644</v>
      </c>
      <c r="Q128" s="289">
        <f>+'K21'!C128</f>
        <v>2838</v>
      </c>
      <c r="R128" s="289">
        <f>+'K21'!Z128</f>
        <v>76393.837</v>
      </c>
      <c r="S128" s="517"/>
      <c r="T128" s="517"/>
    </row>
    <row r="129" spans="1:20" ht="13">
      <c r="A129" s="755">
        <v>3038</v>
      </c>
      <c r="B129" s="756" t="s">
        <v>874</v>
      </c>
      <c r="C129" s="289">
        <f>+K0kommunestruktur2020altern!C129</f>
        <v>6595</v>
      </c>
      <c r="D129" s="289">
        <f>+K0kommunestruktur2020altern!D129</f>
        <v>155090</v>
      </c>
      <c r="E129" s="289">
        <f>+K0kommunestruktur2020altern!E129</f>
        <v>6698</v>
      </c>
      <c r="F129" s="289">
        <f>+K0kommunestruktur2020altern!F129</f>
        <v>149683</v>
      </c>
      <c r="G129" s="289">
        <f>+K0kommunestruktur2020altern!G129</f>
        <v>6767</v>
      </c>
      <c r="H129" s="289">
        <f>+K0kommunestruktur2020altern!H129</f>
        <v>217126</v>
      </c>
      <c r="I129" s="289">
        <f>+K0kommunestruktur2020altern!I129</f>
        <v>6772</v>
      </c>
      <c r="J129" s="289">
        <f>+K0kommunestruktur2020altern!J129</f>
        <v>234181</v>
      </c>
      <c r="K129" s="289">
        <f>+K0kommunestruktur2020altern!K129</f>
        <v>6833</v>
      </c>
      <c r="L129" s="289">
        <f>+K0kommunestruktur2020altern!L129</f>
        <v>231734</v>
      </c>
      <c r="M129" s="289">
        <f>+K0kommunestruktur2020altern!M129</f>
        <v>6845</v>
      </c>
      <c r="N129" s="289">
        <f>+K0kommunestruktur2020altern!N129</f>
        <v>257243</v>
      </c>
      <c r="O129" s="289">
        <f>+K0kommunestruktur2020altern!O129</f>
        <v>6799</v>
      </c>
      <c r="P129" s="289">
        <f>+K0kommunestruktur2020altern!P129</f>
        <v>245135</v>
      </c>
      <c r="Q129" s="289">
        <f>+'K21'!C129</f>
        <v>6811</v>
      </c>
      <c r="R129" s="289">
        <f>+'K21'!Z129</f>
        <v>269566.239</v>
      </c>
      <c r="S129" s="517"/>
      <c r="T129" s="517"/>
    </row>
    <row r="130" spans="1:20" ht="13">
      <c r="A130" s="755">
        <v>3039</v>
      </c>
      <c r="B130" s="756" t="s">
        <v>875</v>
      </c>
      <c r="C130" s="289">
        <f>+K0kommunestruktur2020altern!C130</f>
        <v>1033</v>
      </c>
      <c r="D130" s="289">
        <f>+K0kommunestruktur2020altern!D130</f>
        <v>24901</v>
      </c>
      <c r="E130" s="289">
        <f>+K0kommunestruktur2020altern!E130</f>
        <v>1033</v>
      </c>
      <c r="F130" s="289">
        <f>+K0kommunestruktur2020altern!F130</f>
        <v>25335</v>
      </c>
      <c r="G130" s="289">
        <f>+K0kommunestruktur2020altern!G130</f>
        <v>1074</v>
      </c>
      <c r="H130" s="289">
        <f>+K0kommunestruktur2020altern!H130</f>
        <v>27039</v>
      </c>
      <c r="I130" s="289">
        <f>+K0kommunestruktur2020altern!I130</f>
        <v>1081</v>
      </c>
      <c r="J130" s="289">
        <f>+K0kommunestruktur2020altern!J130</f>
        <v>30416</v>
      </c>
      <c r="K130" s="289">
        <f>+K0kommunestruktur2020altern!K130</f>
        <v>1069</v>
      </c>
      <c r="L130" s="289">
        <f>+K0kommunestruktur2020altern!L130</f>
        <v>31909</v>
      </c>
      <c r="M130" s="289">
        <f>+K0kommunestruktur2020altern!M130</f>
        <v>1052</v>
      </c>
      <c r="N130" s="289">
        <f>+K0kommunestruktur2020altern!N130</f>
        <v>33020</v>
      </c>
      <c r="O130" s="289">
        <f>+K0kommunestruktur2020altern!O130</f>
        <v>1050</v>
      </c>
      <c r="P130" s="289">
        <f>+K0kommunestruktur2020altern!P130</f>
        <v>33281</v>
      </c>
      <c r="Q130" s="289">
        <f>+'K21'!C130</f>
        <v>1049</v>
      </c>
      <c r="R130" s="289">
        <f>+'K21'!Z130</f>
        <v>42241.775000000001</v>
      </c>
      <c r="S130" s="517"/>
      <c r="T130" s="517"/>
    </row>
    <row r="131" spans="1:20" ht="13">
      <c r="A131" s="755">
        <v>3040</v>
      </c>
      <c r="B131" s="756" t="s">
        <v>1966</v>
      </c>
      <c r="C131" s="289">
        <f>+K0kommunestruktur2020altern!C131</f>
        <v>3445</v>
      </c>
      <c r="D131" s="289">
        <f>+K0kommunestruktur2020altern!D131</f>
        <v>77187</v>
      </c>
      <c r="E131" s="289">
        <f>+K0kommunestruktur2020altern!E131</f>
        <v>3414</v>
      </c>
      <c r="F131" s="289">
        <f>+K0kommunestruktur2020altern!F131</f>
        <v>79354</v>
      </c>
      <c r="G131" s="289">
        <f>+K0kommunestruktur2020altern!G131</f>
        <v>3422</v>
      </c>
      <c r="H131" s="289">
        <f>+K0kommunestruktur2020altern!H131</f>
        <v>89949</v>
      </c>
      <c r="I131" s="289">
        <f>+K0kommunestruktur2020altern!I131</f>
        <v>3357</v>
      </c>
      <c r="J131" s="289">
        <f>+K0kommunestruktur2020altern!J131</f>
        <v>96441</v>
      </c>
      <c r="K131" s="289">
        <f>+K0kommunestruktur2020altern!K131</f>
        <v>3341</v>
      </c>
      <c r="L131" s="289">
        <f>+K0kommunestruktur2020altern!L131</f>
        <v>98315</v>
      </c>
      <c r="M131" s="289">
        <f>+K0kommunestruktur2020altern!M131</f>
        <v>3315</v>
      </c>
      <c r="N131" s="289">
        <f>+K0kommunestruktur2020altern!N131</f>
        <v>101815</v>
      </c>
      <c r="O131" s="289">
        <f>+K0kommunestruktur2020altern!O131</f>
        <v>3273</v>
      </c>
      <c r="P131" s="289">
        <f>+K0kommunestruktur2020altern!P131</f>
        <v>98036</v>
      </c>
      <c r="Q131" s="289">
        <f>+'K21'!C131</f>
        <v>3262</v>
      </c>
      <c r="R131" s="289">
        <f>+'K21'!Z131</f>
        <v>121501.198</v>
      </c>
      <c r="S131" s="517"/>
      <c r="T131" s="517"/>
    </row>
    <row r="132" spans="1:20" ht="13">
      <c r="A132" s="755">
        <v>3041</v>
      </c>
      <c r="B132" s="756" t="s">
        <v>876</v>
      </c>
      <c r="C132" s="289">
        <f>+K0kommunestruktur2020altern!C132</f>
        <v>4631</v>
      </c>
      <c r="D132" s="289">
        <f>+K0kommunestruktur2020altern!D132</f>
        <v>112440</v>
      </c>
      <c r="E132" s="289">
        <f>+K0kommunestruktur2020altern!E132</f>
        <v>4588</v>
      </c>
      <c r="F132" s="289">
        <f>+K0kommunestruktur2020altern!F132</f>
        <v>114168</v>
      </c>
      <c r="G132" s="289">
        <f>+K0kommunestruktur2020altern!G132</f>
        <v>4578</v>
      </c>
      <c r="H132" s="289">
        <f>+K0kommunestruktur2020altern!H132</f>
        <v>123586</v>
      </c>
      <c r="I132" s="289">
        <f>+K0kommunestruktur2020altern!I132</f>
        <v>4612</v>
      </c>
      <c r="J132" s="289">
        <f>+K0kommunestruktur2020altern!J132</f>
        <v>132260</v>
      </c>
      <c r="K132" s="289">
        <f>+K0kommunestruktur2020altern!K132</f>
        <v>4566</v>
      </c>
      <c r="L132" s="289">
        <f>+K0kommunestruktur2020altern!L132</f>
        <v>141637</v>
      </c>
      <c r="M132" s="289">
        <f>+K0kommunestruktur2020altern!M132</f>
        <v>4576</v>
      </c>
      <c r="N132" s="289">
        <f>+K0kommunestruktur2020altern!N132</f>
        <v>143094</v>
      </c>
      <c r="O132" s="289">
        <f>+K0kommunestruktur2020altern!O132</f>
        <v>4608</v>
      </c>
      <c r="P132" s="289">
        <f>+K0kommunestruktur2020altern!P132</f>
        <v>143937</v>
      </c>
      <c r="Q132" s="289">
        <f>+'K21'!C132</f>
        <v>4636</v>
      </c>
      <c r="R132" s="289">
        <f>+'K21'!Z132</f>
        <v>165340.489</v>
      </c>
      <c r="S132" s="517"/>
      <c r="T132" s="517"/>
    </row>
    <row r="133" spans="1:20" ht="13">
      <c r="A133" s="755">
        <v>3042</v>
      </c>
      <c r="B133" s="756" t="s">
        <v>877</v>
      </c>
      <c r="C133" s="289">
        <f>+K0kommunestruktur2020altern!C133</f>
        <v>2295</v>
      </c>
      <c r="D133" s="289">
        <f>+K0kommunestruktur2020altern!D133</f>
        <v>60492</v>
      </c>
      <c r="E133" s="289">
        <f>+K0kommunestruktur2020altern!E133</f>
        <v>2344</v>
      </c>
      <c r="F133" s="289">
        <f>+K0kommunestruktur2020altern!F133</f>
        <v>64349</v>
      </c>
      <c r="G133" s="289">
        <f>+K0kommunestruktur2020altern!G133</f>
        <v>2422</v>
      </c>
      <c r="H133" s="289">
        <f>+K0kommunestruktur2020altern!H133</f>
        <v>69719</v>
      </c>
      <c r="I133" s="289">
        <f>+K0kommunestruktur2020altern!I133</f>
        <v>2442</v>
      </c>
      <c r="J133" s="289">
        <f>+K0kommunestruktur2020altern!J133</f>
        <v>76758</v>
      </c>
      <c r="K133" s="289">
        <f>+K0kommunestruktur2020altern!K133</f>
        <v>2457</v>
      </c>
      <c r="L133" s="289">
        <f>+K0kommunestruktur2020altern!L133</f>
        <v>84916</v>
      </c>
      <c r="M133" s="289">
        <f>+K0kommunestruktur2020altern!M133</f>
        <v>2481</v>
      </c>
      <c r="N133" s="289">
        <f>+K0kommunestruktur2020altern!N133</f>
        <v>89794</v>
      </c>
      <c r="O133" s="289">
        <f>+K0kommunestruktur2020altern!O133</f>
        <v>2486</v>
      </c>
      <c r="P133" s="289">
        <f>+K0kommunestruktur2020altern!P133</f>
        <v>97800</v>
      </c>
      <c r="Q133" s="289">
        <f>+'K21'!C133</f>
        <v>2546</v>
      </c>
      <c r="R133" s="289">
        <f>+'K21'!Z133</f>
        <v>109594.95699999999</v>
      </c>
      <c r="S133" s="517"/>
      <c r="T133" s="517"/>
    </row>
    <row r="134" spans="1:20" ht="13">
      <c r="A134" s="755">
        <v>3043</v>
      </c>
      <c r="B134" s="756" t="s">
        <v>878</v>
      </c>
      <c r="C134" s="289">
        <f>+K0kommunestruktur2020altern!C134</f>
        <v>4713</v>
      </c>
      <c r="D134" s="289">
        <f>+K0kommunestruktur2020altern!D134</f>
        <v>112935</v>
      </c>
      <c r="E134" s="289">
        <f>+K0kommunestruktur2020altern!E134</f>
        <v>4716</v>
      </c>
      <c r="F134" s="289">
        <f>+K0kommunestruktur2020altern!F134</f>
        <v>119963</v>
      </c>
      <c r="G134" s="289">
        <f>+K0kommunestruktur2020altern!G134</f>
        <v>4711</v>
      </c>
      <c r="H134" s="289">
        <f>+K0kommunestruktur2020altern!H134</f>
        <v>129347</v>
      </c>
      <c r="I134" s="289">
        <f>+K0kommunestruktur2020altern!I134</f>
        <v>4719</v>
      </c>
      <c r="J134" s="289">
        <f>+K0kommunestruktur2020altern!J134</f>
        <v>138427</v>
      </c>
      <c r="K134" s="289">
        <f>+K0kommunestruktur2020altern!K134</f>
        <v>4626</v>
      </c>
      <c r="L134" s="289">
        <f>+K0kommunestruktur2020altern!L134</f>
        <v>141581</v>
      </c>
      <c r="M134" s="289">
        <f>+K0kommunestruktur2020altern!M134</f>
        <v>4671</v>
      </c>
      <c r="N134" s="289">
        <f>+K0kommunestruktur2020altern!N134</f>
        <v>146024</v>
      </c>
      <c r="O134" s="289">
        <f>+K0kommunestruktur2020altern!O134</f>
        <v>4674</v>
      </c>
      <c r="P134" s="289">
        <f>+K0kommunestruktur2020altern!P134</f>
        <v>145042</v>
      </c>
      <c r="Q134" s="289">
        <f>+'K21'!C134</f>
        <v>4648</v>
      </c>
      <c r="R134" s="289">
        <f>+'K21'!Z134</f>
        <v>161228.834</v>
      </c>
      <c r="S134" s="517"/>
      <c r="T134" s="517"/>
    </row>
    <row r="135" spans="1:20" ht="13">
      <c r="A135" s="755">
        <v>3044</v>
      </c>
      <c r="B135" s="756" t="s">
        <v>880</v>
      </c>
      <c r="C135" s="289">
        <f>+K0kommunestruktur2020altern!C135</f>
        <v>4452</v>
      </c>
      <c r="D135" s="289">
        <f>+K0kommunestruktur2020altern!D135</f>
        <v>141469</v>
      </c>
      <c r="E135" s="289">
        <f>+K0kommunestruktur2020altern!E135</f>
        <v>4471</v>
      </c>
      <c r="F135" s="289">
        <f>+K0kommunestruktur2020altern!F135</f>
        <v>150303</v>
      </c>
      <c r="G135" s="289">
        <f>+K0kommunestruktur2020altern!G135</f>
        <v>4497</v>
      </c>
      <c r="H135" s="289">
        <f>+K0kommunestruktur2020altern!H135</f>
        <v>163835</v>
      </c>
      <c r="I135" s="289">
        <f>+K0kommunestruktur2020altern!I135</f>
        <v>4535</v>
      </c>
      <c r="J135" s="289">
        <f>+K0kommunestruktur2020altern!J135</f>
        <v>174624</v>
      </c>
      <c r="K135" s="289">
        <f>+K0kommunestruktur2020altern!K135</f>
        <v>4520</v>
      </c>
      <c r="L135" s="289">
        <f>+K0kommunestruktur2020altern!L135</f>
        <v>178343</v>
      </c>
      <c r="M135" s="289">
        <f>+K0kommunestruktur2020altern!M135</f>
        <v>4473</v>
      </c>
      <c r="N135" s="289">
        <f>+K0kommunestruktur2020altern!N135</f>
        <v>199023</v>
      </c>
      <c r="O135" s="289">
        <f>+K0kommunestruktur2020altern!O135</f>
        <v>4441</v>
      </c>
      <c r="P135" s="289">
        <f>+K0kommunestruktur2020altern!P135</f>
        <v>194493</v>
      </c>
      <c r="Q135" s="289">
        <f>+'K21'!C135</f>
        <v>4434</v>
      </c>
      <c r="R135" s="289">
        <f>+'K21'!Z135</f>
        <v>218809.16</v>
      </c>
      <c r="S135" s="517"/>
      <c r="T135" s="517"/>
    </row>
    <row r="136" spans="1:20" ht="13">
      <c r="A136" s="755">
        <v>3045</v>
      </c>
      <c r="B136" s="756" t="s">
        <v>881</v>
      </c>
      <c r="C136" s="289">
        <f>+K0kommunestruktur2020altern!C136</f>
        <v>3509</v>
      </c>
      <c r="D136" s="289">
        <f>+K0kommunestruktur2020altern!D136</f>
        <v>84796</v>
      </c>
      <c r="E136" s="289">
        <f>+K0kommunestruktur2020altern!E136</f>
        <v>3520</v>
      </c>
      <c r="F136" s="289">
        <f>+K0kommunestruktur2020altern!F136</f>
        <v>87162</v>
      </c>
      <c r="G136" s="289">
        <f>+K0kommunestruktur2020altern!G136</f>
        <v>3512</v>
      </c>
      <c r="H136" s="289">
        <f>+K0kommunestruktur2020altern!H136</f>
        <v>106580</v>
      </c>
      <c r="I136" s="289">
        <f>+K0kommunestruktur2020altern!I136</f>
        <v>3502</v>
      </c>
      <c r="J136" s="289">
        <f>+K0kommunestruktur2020altern!J136</f>
        <v>102587</v>
      </c>
      <c r="K136" s="289">
        <f>+K0kommunestruktur2020altern!K136</f>
        <v>3488</v>
      </c>
      <c r="L136" s="289">
        <f>+K0kommunestruktur2020altern!L136</f>
        <v>98498</v>
      </c>
      <c r="M136" s="289">
        <f>+K0kommunestruktur2020altern!M136</f>
        <v>3490</v>
      </c>
      <c r="N136" s="289">
        <f>+K0kommunestruktur2020altern!N136</f>
        <v>106548</v>
      </c>
      <c r="O136" s="289">
        <f>+K0kommunestruktur2020altern!O136</f>
        <v>3467</v>
      </c>
      <c r="P136" s="289">
        <f>+K0kommunestruktur2020altern!P136</f>
        <v>105568</v>
      </c>
      <c r="Q136" s="289">
        <f>+'K21'!C136</f>
        <v>3465</v>
      </c>
      <c r="R136" s="289">
        <f>+'K21'!Z136</f>
        <v>116506.826</v>
      </c>
      <c r="S136" s="517"/>
      <c r="T136" s="517"/>
    </row>
    <row r="137" spans="1:20" ht="13">
      <c r="A137" s="755">
        <v>3046</v>
      </c>
      <c r="B137" s="756" t="s">
        <v>882</v>
      </c>
      <c r="C137" s="289">
        <f>+K0kommunestruktur2020altern!C137</f>
        <v>2265</v>
      </c>
      <c r="D137" s="289">
        <f>+K0kommunestruktur2020altern!D137</f>
        <v>56801</v>
      </c>
      <c r="E137" s="289">
        <f>+K0kommunestruktur2020altern!E137</f>
        <v>2268</v>
      </c>
      <c r="F137" s="289">
        <f>+K0kommunestruktur2020altern!F137</f>
        <v>62344</v>
      </c>
      <c r="G137" s="289">
        <f>+K0kommunestruktur2020altern!G137</f>
        <v>2275</v>
      </c>
      <c r="H137" s="289">
        <f>+K0kommunestruktur2020altern!H137</f>
        <v>67497</v>
      </c>
      <c r="I137" s="289">
        <f>+K0kommunestruktur2020altern!I137</f>
        <v>2257</v>
      </c>
      <c r="J137" s="289">
        <f>+K0kommunestruktur2020altern!J137</f>
        <v>71317</v>
      </c>
      <c r="K137" s="289">
        <f>+K0kommunestruktur2020altern!K137</f>
        <v>2277</v>
      </c>
      <c r="L137" s="289">
        <f>+K0kommunestruktur2020altern!L137</f>
        <v>72970</v>
      </c>
      <c r="M137" s="289">
        <f>+K0kommunestruktur2020altern!M137</f>
        <v>2239</v>
      </c>
      <c r="N137" s="289">
        <f>+K0kommunestruktur2020altern!N137</f>
        <v>75843</v>
      </c>
      <c r="O137" s="289">
        <f>+K0kommunestruktur2020altern!O137</f>
        <v>2212</v>
      </c>
      <c r="P137" s="289">
        <f>+K0kommunestruktur2020altern!P137</f>
        <v>74912</v>
      </c>
      <c r="Q137" s="289">
        <f>+'K21'!C137</f>
        <v>2219</v>
      </c>
      <c r="R137" s="289">
        <f>+'K21'!Z137</f>
        <v>88252.178</v>
      </c>
      <c r="S137" s="517"/>
      <c r="T137" s="517"/>
    </row>
    <row r="138" spans="1:20" ht="13">
      <c r="A138" s="755">
        <v>3047</v>
      </c>
      <c r="B138" s="756" t="s">
        <v>883</v>
      </c>
      <c r="C138" s="289">
        <f>+K0kommunestruktur2020altern!C138</f>
        <v>13581</v>
      </c>
      <c r="D138" s="289">
        <f>+K0kommunestruktur2020altern!D138</f>
        <v>292072</v>
      </c>
      <c r="E138" s="289">
        <f>+K0kommunestruktur2020altern!E138</f>
        <v>13685</v>
      </c>
      <c r="F138" s="289">
        <f>+K0kommunestruktur2020altern!F138</f>
        <v>305637</v>
      </c>
      <c r="G138" s="289">
        <f>+K0kommunestruktur2020altern!G138</f>
        <v>13794</v>
      </c>
      <c r="H138" s="289">
        <f>+K0kommunestruktur2020altern!H138</f>
        <v>341123</v>
      </c>
      <c r="I138" s="289">
        <f>+K0kommunestruktur2020altern!I138</f>
        <v>13786</v>
      </c>
      <c r="J138" s="289">
        <f>+K0kommunestruktur2020altern!J138</f>
        <v>349911</v>
      </c>
      <c r="K138" s="289">
        <f>+K0kommunestruktur2020altern!K138</f>
        <v>13880</v>
      </c>
      <c r="L138" s="289">
        <f>+K0kommunestruktur2020altern!L138</f>
        <v>373875</v>
      </c>
      <c r="M138" s="289">
        <f>+K0kommunestruktur2020altern!M138</f>
        <v>13980</v>
      </c>
      <c r="N138" s="289">
        <f>+K0kommunestruktur2020altern!N138</f>
        <v>389481</v>
      </c>
      <c r="O138" s="289">
        <f>+K0kommunestruktur2020altern!O138</f>
        <v>14115</v>
      </c>
      <c r="P138" s="289">
        <f>+K0kommunestruktur2020altern!P138</f>
        <v>366401</v>
      </c>
      <c r="Q138" s="289">
        <f>+'K21'!C138</f>
        <v>14166</v>
      </c>
      <c r="R138" s="289">
        <f>+'K21'!Z138</f>
        <v>415657.6</v>
      </c>
      <c r="S138" s="517"/>
      <c r="T138" s="517"/>
    </row>
    <row r="139" spans="1:20" ht="13">
      <c r="A139" s="755">
        <v>3048</v>
      </c>
      <c r="B139" s="756" t="s">
        <v>884</v>
      </c>
      <c r="C139" s="289">
        <f>+K0kommunestruktur2020altern!C139</f>
        <v>17919</v>
      </c>
      <c r="D139" s="289">
        <f>+K0kommunestruktur2020altern!D139</f>
        <v>404166</v>
      </c>
      <c r="E139" s="289">
        <f>+K0kommunestruktur2020altern!E139</f>
        <v>18039</v>
      </c>
      <c r="F139" s="289">
        <f>+K0kommunestruktur2020altern!F139</f>
        <v>436278</v>
      </c>
      <c r="G139" s="289">
        <f>+K0kommunestruktur2020altern!G139</f>
        <v>18205</v>
      </c>
      <c r="H139" s="289">
        <f>+K0kommunestruktur2020altern!H139</f>
        <v>475477</v>
      </c>
      <c r="I139" s="289">
        <f>+K0kommunestruktur2020altern!I139</f>
        <v>18562</v>
      </c>
      <c r="J139" s="289">
        <f>+K0kommunestruktur2020altern!J139</f>
        <v>512095</v>
      </c>
      <c r="K139" s="289">
        <f>+K0kommunestruktur2020altern!K139</f>
        <v>18926</v>
      </c>
      <c r="L139" s="289">
        <f>+K0kommunestruktur2020altern!L139</f>
        <v>525047</v>
      </c>
      <c r="M139" s="289">
        <f>+K0kommunestruktur2020altern!M139</f>
        <v>19117</v>
      </c>
      <c r="N139" s="289">
        <f>+K0kommunestruktur2020altern!N139</f>
        <v>555986</v>
      </c>
      <c r="O139" s="289">
        <f>+K0kommunestruktur2020altern!O139</f>
        <v>19423</v>
      </c>
      <c r="P139" s="289">
        <f>+K0kommunestruktur2020altern!P139</f>
        <v>573811</v>
      </c>
      <c r="Q139" s="289">
        <f>+'K21'!C139</f>
        <v>19709</v>
      </c>
      <c r="R139" s="289">
        <f>+'K21'!Z139</f>
        <v>655419.36100000003</v>
      </c>
      <c r="S139" s="517"/>
      <c r="T139" s="517"/>
    </row>
    <row r="140" spans="1:20" ht="13">
      <c r="A140" s="755">
        <v>3049</v>
      </c>
      <c r="B140" s="756" t="s">
        <v>886</v>
      </c>
      <c r="C140" s="289">
        <f>+K0kommunestruktur2020altern!C140</f>
        <v>25175</v>
      </c>
      <c r="D140" s="289">
        <f>+K0kommunestruktur2020altern!D140</f>
        <v>692154</v>
      </c>
      <c r="E140" s="289">
        <f>+K0kommunestruktur2020altern!E140</f>
        <v>25378</v>
      </c>
      <c r="F140" s="289">
        <f>+K0kommunestruktur2020altern!F140</f>
        <v>737381</v>
      </c>
      <c r="G140" s="289">
        <f>+K0kommunestruktur2020altern!G140</f>
        <v>25731</v>
      </c>
      <c r="H140" s="289">
        <f>+K0kommunestruktur2020altern!H140</f>
        <v>817486</v>
      </c>
      <c r="I140" s="289">
        <f>+K0kommunestruktur2020altern!I140</f>
        <v>25740</v>
      </c>
      <c r="J140" s="289">
        <f>+K0kommunestruktur2020altern!J140</f>
        <v>854427</v>
      </c>
      <c r="K140" s="289">
        <f>+K0kommunestruktur2020altern!K140</f>
        <v>25980</v>
      </c>
      <c r="L140" s="289">
        <f>+K0kommunestruktur2020altern!L140</f>
        <v>880691</v>
      </c>
      <c r="M140" s="289">
        <f>+K0kommunestruktur2020altern!M140</f>
        <v>26373</v>
      </c>
      <c r="N140" s="289">
        <f>+K0kommunestruktur2020altern!N140</f>
        <v>925263</v>
      </c>
      <c r="O140" s="289">
        <f>+K0kommunestruktur2020altern!O140</f>
        <v>26811</v>
      </c>
      <c r="P140" s="289">
        <f>+K0kommunestruktur2020altern!P140</f>
        <v>941550</v>
      </c>
      <c r="Q140" s="289">
        <f>+'K21'!C140</f>
        <v>27118</v>
      </c>
      <c r="R140" s="289">
        <f>+'K21'!Z140</f>
        <v>1090866.5589999999</v>
      </c>
      <c r="S140" s="517"/>
      <c r="T140" s="517"/>
    </row>
    <row r="141" spans="1:20" ht="13">
      <c r="A141" s="755">
        <v>3050</v>
      </c>
      <c r="B141" s="756" t="s">
        <v>889</v>
      </c>
      <c r="C141" s="289">
        <f>+K0kommunestruktur2020altern!C141</f>
        <v>2683</v>
      </c>
      <c r="D141" s="289">
        <f>+K0kommunestruktur2020altern!D141</f>
        <v>61223</v>
      </c>
      <c r="E141" s="289">
        <f>+K0kommunestruktur2020altern!E141</f>
        <v>2671</v>
      </c>
      <c r="F141" s="289">
        <f>+K0kommunestruktur2020altern!F141</f>
        <v>64103</v>
      </c>
      <c r="G141" s="289">
        <f>+K0kommunestruktur2020altern!G141</f>
        <v>2699</v>
      </c>
      <c r="H141" s="289">
        <f>+K0kommunestruktur2020altern!H141</f>
        <v>70327</v>
      </c>
      <c r="I141" s="289">
        <f>+K0kommunestruktur2020altern!I141</f>
        <v>2696</v>
      </c>
      <c r="J141" s="289">
        <f>+K0kommunestruktur2020altern!J141</f>
        <v>71305</v>
      </c>
      <c r="K141" s="289">
        <f>+K0kommunestruktur2020altern!K141</f>
        <v>2688</v>
      </c>
      <c r="L141" s="289">
        <f>+K0kommunestruktur2020altern!L141</f>
        <v>75809</v>
      </c>
      <c r="M141" s="289">
        <f>+K0kommunestruktur2020altern!M141</f>
        <v>2694</v>
      </c>
      <c r="N141" s="289">
        <f>+K0kommunestruktur2020altern!N141</f>
        <v>84542</v>
      </c>
      <c r="O141" s="289">
        <f>+K0kommunestruktur2020altern!O141</f>
        <v>2688</v>
      </c>
      <c r="P141" s="289">
        <f>+K0kommunestruktur2020altern!P141</f>
        <v>83208</v>
      </c>
      <c r="Q141" s="289">
        <f>+'K21'!C141</f>
        <v>2713</v>
      </c>
      <c r="R141" s="289">
        <f>+'K21'!Z141</f>
        <v>93630.758000000002</v>
      </c>
      <c r="S141" s="517"/>
      <c r="T141" s="517"/>
    </row>
    <row r="142" spans="1:20" ht="13">
      <c r="A142" s="755">
        <v>3051</v>
      </c>
      <c r="B142" s="756" t="s">
        <v>890</v>
      </c>
      <c r="C142" s="289">
        <f>+K0kommunestruktur2020altern!C142</f>
        <v>1369</v>
      </c>
      <c r="D142" s="289">
        <f>+K0kommunestruktur2020altern!D142</f>
        <v>33041</v>
      </c>
      <c r="E142" s="289">
        <f>+K0kommunestruktur2020altern!E142</f>
        <v>1375</v>
      </c>
      <c r="F142" s="289">
        <f>+K0kommunestruktur2020altern!F142</f>
        <v>33997</v>
      </c>
      <c r="G142" s="289">
        <f>+K0kommunestruktur2020altern!G142</f>
        <v>1404</v>
      </c>
      <c r="H142" s="289">
        <f>+K0kommunestruktur2020altern!H142</f>
        <v>35626</v>
      </c>
      <c r="I142" s="289">
        <f>+K0kommunestruktur2020altern!I142</f>
        <v>1399</v>
      </c>
      <c r="J142" s="289">
        <f>+K0kommunestruktur2020altern!J142</f>
        <v>38046</v>
      </c>
      <c r="K142" s="289">
        <f>+K0kommunestruktur2020altern!K142</f>
        <v>1411</v>
      </c>
      <c r="L142" s="289">
        <f>+K0kommunestruktur2020altern!L142</f>
        <v>41136</v>
      </c>
      <c r="M142" s="289">
        <f>+K0kommunestruktur2020altern!M142</f>
        <v>1419</v>
      </c>
      <c r="N142" s="289">
        <f>+K0kommunestruktur2020altern!N142</f>
        <v>41486</v>
      </c>
      <c r="O142" s="289">
        <f>+K0kommunestruktur2020altern!O142</f>
        <v>1390</v>
      </c>
      <c r="P142" s="289">
        <f>+K0kommunestruktur2020altern!P142</f>
        <v>39387</v>
      </c>
      <c r="Q142" s="289">
        <f>+'K21'!C142</f>
        <v>1386</v>
      </c>
      <c r="R142" s="289">
        <f>+'K21'!Z142</f>
        <v>47778.777999999998</v>
      </c>
      <c r="S142" s="517"/>
      <c r="T142" s="517"/>
    </row>
    <row r="143" spans="1:20" ht="13">
      <c r="A143" s="755">
        <v>3052</v>
      </c>
      <c r="B143" s="756" t="s">
        <v>891</v>
      </c>
      <c r="C143" s="289">
        <f>+K0kommunestruktur2020altern!C143</f>
        <v>2557</v>
      </c>
      <c r="D143" s="289">
        <f>+K0kommunestruktur2020altern!D143</f>
        <v>75781</v>
      </c>
      <c r="E143" s="289">
        <f>+K0kommunestruktur2020altern!E143</f>
        <v>2541</v>
      </c>
      <c r="F143" s="289">
        <f>+K0kommunestruktur2020altern!F143</f>
        <v>79807</v>
      </c>
      <c r="G143" s="289">
        <f>+K0kommunestruktur2020altern!G143</f>
        <v>2548</v>
      </c>
      <c r="H143" s="289">
        <f>+K0kommunestruktur2020altern!H143</f>
        <v>82403</v>
      </c>
      <c r="I143" s="289">
        <f>+K0kommunestruktur2020altern!I143</f>
        <v>2530</v>
      </c>
      <c r="J143" s="289">
        <f>+K0kommunestruktur2020altern!J143</f>
        <v>86626</v>
      </c>
      <c r="K143" s="289">
        <f>+K0kommunestruktur2020altern!K143</f>
        <v>2482</v>
      </c>
      <c r="L143" s="289">
        <f>+K0kommunestruktur2020altern!L143</f>
        <v>90032</v>
      </c>
      <c r="M143" s="289">
        <f>+K0kommunestruktur2020altern!M143</f>
        <v>2448</v>
      </c>
      <c r="N143" s="289">
        <f>+K0kommunestruktur2020altern!N143</f>
        <v>93992</v>
      </c>
      <c r="O143" s="289">
        <f>+K0kommunestruktur2020altern!O143</f>
        <v>2439</v>
      </c>
      <c r="P143" s="289">
        <f>+K0kommunestruktur2020altern!P143</f>
        <v>89296</v>
      </c>
      <c r="Q143" s="289">
        <f>+'K21'!C143</f>
        <v>2412</v>
      </c>
      <c r="R143" s="289">
        <f>+'K21'!Z143</f>
        <v>101777.68700000001</v>
      </c>
      <c r="S143" s="517"/>
      <c r="T143" s="517"/>
    </row>
    <row r="144" spans="1:20" ht="13">
      <c r="A144" s="755">
        <v>3053</v>
      </c>
      <c r="B144" s="756" t="s">
        <v>860</v>
      </c>
      <c r="C144" s="289">
        <f>+K0kommunestruktur2020altern!C144</f>
        <v>6516</v>
      </c>
      <c r="D144" s="289">
        <f>+K0kommunestruktur2020altern!D144</f>
        <v>126182</v>
      </c>
      <c r="E144" s="289">
        <f>+K0kommunestruktur2020altern!E144</f>
        <v>6599</v>
      </c>
      <c r="F144" s="289">
        <f>+K0kommunestruktur2020altern!F144</f>
        <v>133870</v>
      </c>
      <c r="G144" s="289">
        <f>+K0kommunestruktur2020altern!G144</f>
        <v>6629</v>
      </c>
      <c r="H144" s="289">
        <f>+K0kommunestruktur2020altern!H144</f>
        <v>147737</v>
      </c>
      <c r="I144" s="289">
        <f>+K0kommunestruktur2020altern!I144</f>
        <v>6696</v>
      </c>
      <c r="J144" s="289">
        <f>+K0kommunestruktur2020altern!J144</f>
        <v>157513</v>
      </c>
      <c r="K144" s="289">
        <f>+K0kommunestruktur2020altern!K144</f>
        <v>6777</v>
      </c>
      <c r="L144" s="289">
        <f>+K0kommunestruktur2020altern!L144</f>
        <v>167525</v>
      </c>
      <c r="M144" s="289">
        <f>+K0kommunestruktur2020altern!M144</f>
        <v>6846</v>
      </c>
      <c r="N144" s="289">
        <f>+K0kommunestruktur2020altern!N144</f>
        <v>172526</v>
      </c>
      <c r="O144" s="289">
        <f>+K0kommunestruktur2020altern!O144</f>
        <v>6852</v>
      </c>
      <c r="P144" s="289">
        <f>+K0kommunestruktur2020altern!P144</f>
        <v>178269</v>
      </c>
      <c r="Q144" s="289">
        <f>+'K21'!C144</f>
        <v>6867</v>
      </c>
      <c r="R144" s="289">
        <f>+'K21'!Z144</f>
        <v>209679.27900000001</v>
      </c>
      <c r="S144" s="517"/>
      <c r="T144" s="517"/>
    </row>
    <row r="145" spans="1:20" ht="13">
      <c r="A145" s="755">
        <v>3054</v>
      </c>
      <c r="B145" s="965" t="s">
        <v>861</v>
      </c>
      <c r="C145" s="289">
        <f>+K0kommunestruktur2020altern!C145</f>
        <v>8952</v>
      </c>
      <c r="D145" s="289">
        <f>+K0kommunestruktur2020altern!D145</f>
        <v>195426</v>
      </c>
      <c r="E145" s="289">
        <f>+K0kommunestruktur2020altern!E145</f>
        <v>9003</v>
      </c>
      <c r="F145" s="289">
        <f>+K0kommunestruktur2020altern!F145</f>
        <v>209542</v>
      </c>
      <c r="G145" s="289">
        <f>+K0kommunestruktur2020altern!G145</f>
        <v>9044</v>
      </c>
      <c r="H145" s="289">
        <f>+K0kommunestruktur2020altern!H145</f>
        <v>229314</v>
      </c>
      <c r="I145" s="289">
        <f>+K0kommunestruktur2020altern!I145</f>
        <v>9080</v>
      </c>
      <c r="J145" s="289">
        <f>+K0kommunestruktur2020altern!J145</f>
        <v>238287</v>
      </c>
      <c r="K145" s="289">
        <f>+K0kommunestruktur2020altern!K145</f>
        <v>9065</v>
      </c>
      <c r="L145" s="289">
        <f>+K0kommunestruktur2020altern!L145</f>
        <v>250417</v>
      </c>
      <c r="M145" s="289">
        <f>+K0kommunestruktur2020altern!M145</f>
        <v>9051</v>
      </c>
      <c r="N145" s="289">
        <f>+K0kommunestruktur2020altern!N145</f>
        <v>253205</v>
      </c>
      <c r="O145" s="289">
        <f>+K0kommunestruktur2020altern!O145</f>
        <v>9048</v>
      </c>
      <c r="P145" s="289">
        <f>+K0kommunestruktur2020altern!P145</f>
        <v>244716</v>
      </c>
      <c r="Q145" s="289">
        <f>+'K21'!C145</f>
        <v>9062</v>
      </c>
      <c r="R145" s="289">
        <f>+'K21'!Z145</f>
        <v>286568.37800000003</v>
      </c>
      <c r="S145" s="517"/>
      <c r="T145" s="517"/>
    </row>
    <row r="146" spans="1:20" ht="13">
      <c r="A146" s="755">
        <v>3401</v>
      </c>
      <c r="B146" s="756" t="s">
        <v>824</v>
      </c>
      <c r="C146" s="289">
        <f>+K0kommunestruktur2020altern!C146</f>
        <v>17825</v>
      </c>
      <c r="D146" s="289">
        <f>+K0kommunestruktur2020altern!D146</f>
        <v>346051</v>
      </c>
      <c r="E146" s="289">
        <f>+K0kommunestruktur2020altern!E146</f>
        <v>17881</v>
      </c>
      <c r="F146" s="289">
        <f>+K0kommunestruktur2020altern!F146</f>
        <v>377420</v>
      </c>
      <c r="G146" s="289">
        <f>+K0kommunestruktur2020altern!G146</f>
        <v>17835</v>
      </c>
      <c r="H146" s="289">
        <f>+K0kommunestruktur2020altern!H146</f>
        <v>418583</v>
      </c>
      <c r="I146" s="289">
        <f>+K0kommunestruktur2020altern!I146</f>
        <v>17857</v>
      </c>
      <c r="J146" s="289">
        <f>+K0kommunestruktur2020altern!J146</f>
        <v>438186</v>
      </c>
      <c r="K146" s="289">
        <f>+K0kommunestruktur2020altern!K146</f>
        <v>17934</v>
      </c>
      <c r="L146" s="289">
        <f>+K0kommunestruktur2020altern!L146</f>
        <v>464345</v>
      </c>
      <c r="M146" s="289">
        <f>+K0kommunestruktur2020altern!M146</f>
        <v>17823</v>
      </c>
      <c r="N146" s="289">
        <f>+K0kommunestruktur2020altern!N146</f>
        <v>472995</v>
      </c>
      <c r="O146" s="289">
        <f>+K0kommunestruktur2020altern!O146</f>
        <v>17829</v>
      </c>
      <c r="P146" s="289">
        <f>+K0kommunestruktur2020altern!P146</f>
        <v>488404</v>
      </c>
      <c r="Q146" s="289">
        <f>+'K21'!C146</f>
        <v>17851</v>
      </c>
      <c r="R146" s="289">
        <f>+'K21'!Z146</f>
        <v>548005.07400000002</v>
      </c>
      <c r="S146" s="517"/>
      <c r="T146" s="517"/>
    </row>
    <row r="147" spans="1:20" ht="13">
      <c r="A147" s="755">
        <v>3403</v>
      </c>
      <c r="B147" s="756" t="s">
        <v>825</v>
      </c>
      <c r="C147" s="289">
        <f>+K0kommunestruktur2020altern!C147</f>
        <v>29520</v>
      </c>
      <c r="D147" s="289">
        <f>+K0kommunestruktur2020altern!D147</f>
        <v>664070</v>
      </c>
      <c r="E147" s="289">
        <f>+K0kommunestruktur2020altern!E147</f>
        <v>29847</v>
      </c>
      <c r="F147" s="289">
        <f>+K0kommunestruktur2020altern!F147</f>
        <v>723558</v>
      </c>
      <c r="G147" s="289">
        <f>+K0kommunestruktur2020altern!G147</f>
        <v>30120</v>
      </c>
      <c r="H147" s="289">
        <f>+K0kommunestruktur2020altern!H147</f>
        <v>799127</v>
      </c>
      <c r="I147" s="289">
        <f>+K0kommunestruktur2020altern!I147</f>
        <v>30598</v>
      </c>
      <c r="J147" s="289">
        <f>+K0kommunestruktur2020altern!J147</f>
        <v>838185</v>
      </c>
      <c r="K147" s="289">
        <f>+K0kommunestruktur2020altern!K147</f>
        <v>30930</v>
      </c>
      <c r="L147" s="289">
        <f>+K0kommunestruktur2020altern!L147</f>
        <v>879991</v>
      </c>
      <c r="M147" s="289">
        <f>+K0kommunestruktur2020altern!M147</f>
        <v>31144</v>
      </c>
      <c r="N147" s="289">
        <f>+K0kommunestruktur2020altern!N147</f>
        <v>907828</v>
      </c>
      <c r="O147" s="289">
        <f>+K0kommunestruktur2020altern!O147</f>
        <v>31369</v>
      </c>
      <c r="P147" s="289">
        <f>+K0kommunestruktur2020altern!P147</f>
        <v>922933</v>
      </c>
      <c r="Q147" s="289">
        <f>+'K21'!C147</f>
        <v>31509</v>
      </c>
      <c r="R147" s="289">
        <f>+'K21'!Z147</f>
        <v>1065440.294</v>
      </c>
      <c r="S147" s="517"/>
      <c r="T147" s="517"/>
    </row>
    <row r="148" spans="1:20" ht="13">
      <c r="A148" s="755">
        <v>3405</v>
      </c>
      <c r="B148" s="756" t="s">
        <v>845</v>
      </c>
      <c r="C148" s="289">
        <f>+K0kommunestruktur2020altern!C148</f>
        <v>27028</v>
      </c>
      <c r="D148" s="289">
        <f>+K0kommunestruktur2020altern!D148</f>
        <v>624848</v>
      </c>
      <c r="E148" s="289">
        <f>+K0kommunestruktur2020altern!E148</f>
        <v>27300</v>
      </c>
      <c r="F148" s="289">
        <f>+K0kommunestruktur2020altern!F148</f>
        <v>657280</v>
      </c>
      <c r="G148" s="289">
        <f>+K0kommunestruktur2020altern!G148</f>
        <v>27476</v>
      </c>
      <c r="H148" s="289">
        <f>+K0kommunestruktur2020altern!H148</f>
        <v>729709</v>
      </c>
      <c r="I148" s="289">
        <f>+K0kommunestruktur2020altern!I148</f>
        <v>27781</v>
      </c>
      <c r="J148" s="289">
        <f>+K0kommunestruktur2020altern!J148</f>
        <v>769643</v>
      </c>
      <c r="K148" s="289">
        <f>+K0kommunestruktur2020altern!K148</f>
        <v>27938</v>
      </c>
      <c r="L148" s="289">
        <f>+K0kommunestruktur2020altern!L148</f>
        <v>805350</v>
      </c>
      <c r="M148" s="289">
        <f>+K0kommunestruktur2020altern!M148</f>
        <v>28023</v>
      </c>
      <c r="N148" s="289">
        <f>+K0kommunestruktur2020altern!N148</f>
        <v>836532</v>
      </c>
      <c r="O148" s="289">
        <f>+K0kommunestruktur2020altern!O148</f>
        <v>28345</v>
      </c>
      <c r="P148" s="289">
        <f>+K0kommunestruktur2020altern!P148</f>
        <v>825131</v>
      </c>
      <c r="Q148" s="289">
        <f>+'K21'!C148</f>
        <v>28493</v>
      </c>
      <c r="R148" s="289">
        <f>+'K21'!Z148</f>
        <v>948325.75899999996</v>
      </c>
      <c r="S148" s="517"/>
      <c r="T148" s="517"/>
    </row>
    <row r="149" spans="1:20" ht="13">
      <c r="A149" s="755">
        <v>3407</v>
      </c>
      <c r="B149" s="756" t="s">
        <v>846</v>
      </c>
      <c r="C149" s="289">
        <f>+K0kommunestruktur2020altern!C149</f>
        <v>29668</v>
      </c>
      <c r="D149" s="289">
        <f>+K0kommunestruktur2020altern!D149</f>
        <v>594011</v>
      </c>
      <c r="E149" s="289">
        <f>+K0kommunestruktur2020altern!E149</f>
        <v>30063</v>
      </c>
      <c r="F149" s="289">
        <f>+K0kommunestruktur2020altern!F149</f>
        <v>645070</v>
      </c>
      <c r="G149" s="289">
        <f>+K0kommunestruktur2020altern!G149</f>
        <v>30137</v>
      </c>
      <c r="H149" s="289">
        <f>+K0kommunestruktur2020altern!H149</f>
        <v>711172</v>
      </c>
      <c r="I149" s="289">
        <f>+K0kommunestruktur2020altern!I149</f>
        <v>30319</v>
      </c>
      <c r="J149" s="289">
        <f>+K0kommunestruktur2020altern!J149</f>
        <v>758212</v>
      </c>
      <c r="K149" s="289">
        <f>+K0kommunestruktur2020altern!K149</f>
        <v>30642</v>
      </c>
      <c r="L149" s="289">
        <f>+K0kommunestruktur2020altern!L149</f>
        <v>797745</v>
      </c>
      <c r="M149" s="289">
        <f>+K0kommunestruktur2020altern!M149</f>
        <v>30676</v>
      </c>
      <c r="N149" s="289">
        <f>+K0kommunestruktur2020altern!N149</f>
        <v>835680</v>
      </c>
      <c r="O149" s="289">
        <f>+K0kommunestruktur2020altern!O149</f>
        <v>30560</v>
      </c>
      <c r="P149" s="289">
        <f>+K0kommunestruktur2020altern!P149</f>
        <v>811206</v>
      </c>
      <c r="Q149" s="289">
        <f>+'K21'!C149</f>
        <v>30395</v>
      </c>
      <c r="R149" s="289">
        <f>+'K21'!Z149</f>
        <v>909888.27899999998</v>
      </c>
      <c r="S149" s="517"/>
      <c r="T149" s="517"/>
    </row>
    <row r="150" spans="1:20" ht="13">
      <c r="A150" s="755">
        <v>3411</v>
      </c>
      <c r="B150" s="756" t="s">
        <v>826</v>
      </c>
      <c r="C150" s="289">
        <f>+K0kommunestruktur2020altern!C150</f>
        <v>33463</v>
      </c>
      <c r="D150" s="289">
        <f>+K0kommunestruktur2020altern!D150</f>
        <v>639220</v>
      </c>
      <c r="E150" s="289">
        <f>+K0kommunestruktur2020altern!E150</f>
        <v>33603</v>
      </c>
      <c r="F150" s="289">
        <f>+K0kommunestruktur2020altern!F150</f>
        <v>679590</v>
      </c>
      <c r="G150" s="289">
        <f>+K0kommunestruktur2020altern!G150</f>
        <v>33597</v>
      </c>
      <c r="H150" s="289">
        <f>+K0kommunestruktur2020altern!H150</f>
        <v>752571</v>
      </c>
      <c r="I150" s="289">
        <f>+K0kommunestruktur2020altern!I150</f>
        <v>33842</v>
      </c>
      <c r="J150" s="289">
        <f>+K0kommunestruktur2020altern!J150</f>
        <v>789183</v>
      </c>
      <c r="K150" s="289">
        <f>+K0kommunestruktur2020altern!K150</f>
        <v>34151</v>
      </c>
      <c r="L150" s="289">
        <f>+K0kommunestruktur2020altern!L150</f>
        <v>837000</v>
      </c>
      <c r="M150" s="289">
        <f>+K0kommunestruktur2020altern!M150</f>
        <v>34488</v>
      </c>
      <c r="N150" s="289">
        <f>+K0kommunestruktur2020altern!N150</f>
        <v>888971</v>
      </c>
      <c r="O150" s="289">
        <f>+K0kommunestruktur2020altern!O150</f>
        <v>34768</v>
      </c>
      <c r="P150" s="289">
        <f>+K0kommunestruktur2020altern!P150</f>
        <v>885530</v>
      </c>
      <c r="Q150" s="289">
        <f>+'K21'!C150</f>
        <v>34897</v>
      </c>
      <c r="R150" s="289">
        <f>+'K21'!Z150</f>
        <v>1013294.552</v>
      </c>
      <c r="S150" s="517"/>
      <c r="T150" s="517"/>
    </row>
    <row r="151" spans="1:20" ht="13">
      <c r="A151" s="755">
        <v>3412</v>
      </c>
      <c r="B151" s="756" t="s">
        <v>827</v>
      </c>
      <c r="C151" s="289">
        <f>+K0kommunestruktur2020altern!C151</f>
        <v>7546</v>
      </c>
      <c r="D151" s="289">
        <f>+K0kommunestruktur2020altern!D151</f>
        <v>135203</v>
      </c>
      <c r="E151" s="289">
        <f>+K0kommunestruktur2020altern!E151</f>
        <v>7552</v>
      </c>
      <c r="F151" s="289">
        <f>+K0kommunestruktur2020altern!F151</f>
        <v>143397</v>
      </c>
      <c r="G151" s="289">
        <f>+K0kommunestruktur2020altern!G151</f>
        <v>7588</v>
      </c>
      <c r="H151" s="289">
        <f>+K0kommunestruktur2020altern!H151</f>
        <v>154879</v>
      </c>
      <c r="I151" s="289">
        <f>+K0kommunestruktur2020altern!I151</f>
        <v>7633</v>
      </c>
      <c r="J151" s="289">
        <f>+K0kommunestruktur2020altern!J151</f>
        <v>162788</v>
      </c>
      <c r="K151" s="289">
        <f>+K0kommunestruktur2020altern!K151</f>
        <v>7615</v>
      </c>
      <c r="L151" s="289">
        <f>+K0kommunestruktur2020altern!L151</f>
        <v>169501</v>
      </c>
      <c r="M151" s="289">
        <f>+K0kommunestruktur2020altern!M151</f>
        <v>7663</v>
      </c>
      <c r="N151" s="289">
        <f>+K0kommunestruktur2020altern!N151</f>
        <v>172571</v>
      </c>
      <c r="O151" s="289">
        <f>+K0kommunestruktur2020altern!O151</f>
        <v>7674</v>
      </c>
      <c r="P151" s="289">
        <f>+K0kommunestruktur2020altern!P151</f>
        <v>173016</v>
      </c>
      <c r="Q151" s="289">
        <f>+'K21'!C151</f>
        <v>7625</v>
      </c>
      <c r="R151" s="289">
        <f>+'K21'!Z151</f>
        <v>204503.18400000001</v>
      </c>
      <c r="S151" s="517"/>
      <c r="T151" s="517"/>
    </row>
    <row r="152" spans="1:20" ht="13">
      <c r="A152" s="755">
        <v>3413</v>
      </c>
      <c r="B152" s="965" t="s">
        <v>828</v>
      </c>
      <c r="C152" s="289">
        <f>+K0kommunestruktur2020altern!C152</f>
        <v>19737</v>
      </c>
      <c r="D152" s="289">
        <f>+K0kommunestruktur2020altern!D152</f>
        <v>376955</v>
      </c>
      <c r="E152" s="289">
        <f>+K0kommunestruktur2020altern!E152</f>
        <v>20013</v>
      </c>
      <c r="F152" s="289">
        <f>+K0kommunestruktur2020altern!F152</f>
        <v>407797</v>
      </c>
      <c r="G152" s="289">
        <f>+K0kommunestruktur2020altern!G152</f>
        <v>20119</v>
      </c>
      <c r="H152" s="289">
        <f>+K0kommunestruktur2020altern!H152</f>
        <v>451307</v>
      </c>
      <c r="I152" s="289">
        <f>+K0kommunestruktur2020altern!I152</f>
        <v>20317</v>
      </c>
      <c r="J152" s="289">
        <f>+K0kommunestruktur2020altern!J152</f>
        <v>472002</v>
      </c>
      <c r="K152" s="289">
        <f>+K0kommunestruktur2020altern!K152</f>
        <v>20646</v>
      </c>
      <c r="L152" s="289">
        <f>+K0kommunestruktur2020altern!L152</f>
        <v>497212</v>
      </c>
      <c r="M152" s="289">
        <f>+K0kommunestruktur2020altern!M152</f>
        <v>20916</v>
      </c>
      <c r="N152" s="289">
        <f>+K0kommunestruktur2020altern!N152</f>
        <v>519985</v>
      </c>
      <c r="O152" s="289">
        <f>+K0kommunestruktur2020altern!O152</f>
        <v>21064</v>
      </c>
      <c r="P152" s="289">
        <f>+K0kommunestruktur2020altern!P152</f>
        <v>521960</v>
      </c>
      <c r="Q152" s="289">
        <f>+'K21'!C152</f>
        <v>21072</v>
      </c>
      <c r="R152" s="289">
        <f>+'K21'!Z152</f>
        <v>603684.37</v>
      </c>
      <c r="S152" s="517"/>
      <c r="T152" s="517"/>
    </row>
    <row r="153" spans="1:20" ht="13">
      <c r="A153" s="755">
        <v>3414</v>
      </c>
      <c r="B153" s="756" t="s">
        <v>829</v>
      </c>
      <c r="C153" s="289">
        <f>+K0kommunestruktur2020altern!C153</f>
        <v>5118</v>
      </c>
      <c r="D153" s="289">
        <f>+K0kommunestruktur2020altern!D153</f>
        <v>89305</v>
      </c>
      <c r="E153" s="289">
        <f>+K0kommunestruktur2020altern!E153</f>
        <v>5128</v>
      </c>
      <c r="F153" s="289">
        <f>+K0kommunestruktur2020altern!F153</f>
        <v>94709</v>
      </c>
      <c r="G153" s="289">
        <f>+K0kommunestruktur2020altern!G153</f>
        <v>5131</v>
      </c>
      <c r="H153" s="289">
        <f>+K0kommunestruktur2020altern!H153</f>
        <v>100053</v>
      </c>
      <c r="I153" s="289">
        <f>+K0kommunestruktur2020altern!I153</f>
        <v>5100</v>
      </c>
      <c r="J153" s="289">
        <f>+K0kommunestruktur2020altern!J153</f>
        <v>103182</v>
      </c>
      <c r="K153" s="289">
        <f>+K0kommunestruktur2020altern!K153</f>
        <v>5097</v>
      </c>
      <c r="L153" s="289">
        <f>+K0kommunestruktur2020altern!L153</f>
        <v>109633</v>
      </c>
      <c r="M153" s="289">
        <f>+K0kommunestruktur2020altern!M153</f>
        <v>5024</v>
      </c>
      <c r="N153" s="289">
        <f>+K0kommunestruktur2020altern!N153</f>
        <v>112330</v>
      </c>
      <c r="O153" s="289">
        <f>+K0kommunestruktur2020altern!O153</f>
        <v>5016</v>
      </c>
      <c r="P153" s="289">
        <f>+K0kommunestruktur2020altern!P153</f>
        <v>111733</v>
      </c>
      <c r="Q153" s="289">
        <f>+'K21'!C153</f>
        <v>5038</v>
      </c>
      <c r="R153" s="289">
        <f>+'K21'!Z153</f>
        <v>127141.67600000001</v>
      </c>
      <c r="S153" s="517"/>
      <c r="T153" s="517"/>
    </row>
    <row r="154" spans="1:20" ht="13">
      <c r="A154" s="755">
        <v>3415</v>
      </c>
      <c r="B154" s="756" t="s">
        <v>830</v>
      </c>
      <c r="C154" s="289">
        <f>+K0kommunestruktur2020altern!C154</f>
        <v>7847</v>
      </c>
      <c r="D154" s="289">
        <f>+K0kommunestruktur2020altern!D154</f>
        <v>154803</v>
      </c>
      <c r="E154" s="289">
        <f>+K0kommunestruktur2020altern!E154</f>
        <v>7800</v>
      </c>
      <c r="F154" s="289">
        <f>+K0kommunestruktur2020altern!F154</f>
        <v>164788</v>
      </c>
      <c r="G154" s="289">
        <f>+K0kommunestruktur2020altern!G154</f>
        <v>7901</v>
      </c>
      <c r="H154" s="289">
        <f>+K0kommunestruktur2020altern!H154</f>
        <v>181493</v>
      </c>
      <c r="I154" s="289">
        <f>+K0kommunestruktur2020altern!I154</f>
        <v>7866</v>
      </c>
      <c r="J154" s="289">
        <f>+K0kommunestruktur2020altern!J154</f>
        <v>184298</v>
      </c>
      <c r="K154" s="289">
        <f>+K0kommunestruktur2020altern!K154</f>
        <v>7884</v>
      </c>
      <c r="L154" s="289">
        <f>+K0kommunestruktur2020altern!L154</f>
        <v>192327</v>
      </c>
      <c r="M154" s="289">
        <f>+K0kommunestruktur2020altern!M154</f>
        <v>7879</v>
      </c>
      <c r="N154" s="289">
        <f>+K0kommunestruktur2020altern!N154</f>
        <v>200711</v>
      </c>
      <c r="O154" s="289">
        <f>+K0kommunestruktur2020altern!O154</f>
        <v>7905</v>
      </c>
      <c r="P154" s="289">
        <f>+K0kommunestruktur2020altern!P154</f>
        <v>194910</v>
      </c>
      <c r="Q154" s="289">
        <f>+'K21'!C154</f>
        <v>7914</v>
      </c>
      <c r="R154" s="289">
        <f>+'K21'!Z154</f>
        <v>229244.834</v>
      </c>
      <c r="S154" s="517"/>
      <c r="T154" s="517"/>
    </row>
    <row r="155" spans="1:20" ht="13">
      <c r="A155" s="755">
        <v>3416</v>
      </c>
      <c r="B155" s="756" t="s">
        <v>831</v>
      </c>
      <c r="C155" s="289">
        <f>+K0kommunestruktur2020altern!C155</f>
        <v>6253</v>
      </c>
      <c r="D155" s="289">
        <f>+K0kommunestruktur2020altern!D155</f>
        <v>99815</v>
      </c>
      <c r="E155" s="289">
        <f>+K0kommunestruktur2020altern!E155</f>
        <v>6219</v>
      </c>
      <c r="F155" s="289">
        <f>+K0kommunestruktur2020altern!F155</f>
        <v>110856</v>
      </c>
      <c r="G155" s="289">
        <f>+K0kommunestruktur2020altern!G155</f>
        <v>6142</v>
      </c>
      <c r="H155" s="289">
        <f>+K0kommunestruktur2020altern!H155</f>
        <v>122325</v>
      </c>
      <c r="I155" s="289">
        <f>+K0kommunestruktur2020altern!I155</f>
        <v>6127</v>
      </c>
      <c r="J155" s="289">
        <f>+K0kommunestruktur2020altern!J155</f>
        <v>125225</v>
      </c>
      <c r="K155" s="289">
        <f>+K0kommunestruktur2020altern!K155</f>
        <v>6142</v>
      </c>
      <c r="L155" s="289">
        <f>+K0kommunestruktur2020altern!L155</f>
        <v>129210</v>
      </c>
      <c r="M155" s="289">
        <f>+K0kommunestruktur2020altern!M155</f>
        <v>6114</v>
      </c>
      <c r="N155" s="289">
        <f>+K0kommunestruktur2020altern!N155</f>
        <v>133453</v>
      </c>
      <c r="O155" s="289">
        <f>+K0kommunestruktur2020altern!O155</f>
        <v>6106</v>
      </c>
      <c r="P155" s="289">
        <f>+K0kommunestruktur2020altern!P155</f>
        <v>135252</v>
      </c>
      <c r="Q155" s="289">
        <f>+'K21'!C155</f>
        <v>6099</v>
      </c>
      <c r="R155" s="289">
        <f>+'K21'!Z155</f>
        <v>154505.867</v>
      </c>
      <c r="S155" s="517"/>
      <c r="T155" s="517"/>
    </row>
    <row r="156" spans="1:20" ht="13">
      <c r="A156" s="755">
        <v>3417</v>
      </c>
      <c r="B156" s="756" t="s">
        <v>832</v>
      </c>
      <c r="C156" s="289">
        <f>+K0kommunestruktur2020altern!C156</f>
        <v>4948</v>
      </c>
      <c r="D156" s="289">
        <f>+K0kommunestruktur2020altern!D156</f>
        <v>88799</v>
      </c>
      <c r="E156" s="289">
        <f>+K0kommunestruktur2020altern!E156</f>
        <v>4853</v>
      </c>
      <c r="F156" s="289">
        <f>+K0kommunestruktur2020altern!F156</f>
        <v>94131</v>
      </c>
      <c r="G156" s="289">
        <f>+K0kommunestruktur2020altern!G156</f>
        <v>4763</v>
      </c>
      <c r="H156" s="289">
        <f>+K0kommunestruktur2020altern!H156</f>
        <v>100637</v>
      </c>
      <c r="I156" s="289">
        <f>+K0kommunestruktur2020altern!I156</f>
        <v>4777</v>
      </c>
      <c r="J156" s="289">
        <f>+K0kommunestruktur2020altern!J156</f>
        <v>100470</v>
      </c>
      <c r="K156" s="289">
        <f>+K0kommunestruktur2020altern!K156</f>
        <v>4740</v>
      </c>
      <c r="L156" s="289">
        <f>+K0kommunestruktur2020altern!L156</f>
        <v>105990</v>
      </c>
      <c r="M156" s="289">
        <f>+K0kommunestruktur2020altern!M156</f>
        <v>4646</v>
      </c>
      <c r="N156" s="289">
        <f>+K0kommunestruktur2020altern!N156</f>
        <v>108099</v>
      </c>
      <c r="O156" s="289">
        <f>+K0kommunestruktur2020altern!O156</f>
        <v>4612</v>
      </c>
      <c r="P156" s="289">
        <f>+K0kommunestruktur2020altern!P156</f>
        <v>113051</v>
      </c>
      <c r="Q156" s="289">
        <f>+'K21'!C156</f>
        <v>4545</v>
      </c>
      <c r="R156" s="289">
        <f>+'K21'!Z156</f>
        <v>151255.75399999999</v>
      </c>
      <c r="S156" s="517"/>
      <c r="T156" s="517"/>
    </row>
    <row r="157" spans="1:20" ht="13">
      <c r="A157" s="755">
        <v>3418</v>
      </c>
      <c r="B157" s="756" t="s">
        <v>833</v>
      </c>
      <c r="C157" s="289">
        <f>+K0kommunestruktur2020altern!C157</f>
        <v>7544</v>
      </c>
      <c r="D157" s="289">
        <f>+K0kommunestruktur2020altern!D157</f>
        <v>131663</v>
      </c>
      <c r="E157" s="289">
        <f>+K0kommunestruktur2020altern!E157</f>
        <v>7561</v>
      </c>
      <c r="F157" s="289">
        <f>+K0kommunestruktur2020altern!F157</f>
        <v>141663</v>
      </c>
      <c r="G157" s="289">
        <f>+K0kommunestruktur2020altern!G157</f>
        <v>7456</v>
      </c>
      <c r="H157" s="289">
        <f>+K0kommunestruktur2020altern!H157</f>
        <v>150457</v>
      </c>
      <c r="I157" s="289">
        <f>+K0kommunestruktur2020altern!I157</f>
        <v>7329</v>
      </c>
      <c r="J157" s="289">
        <f>+K0kommunestruktur2020altern!J157</f>
        <v>157341</v>
      </c>
      <c r="K157" s="289">
        <f>+K0kommunestruktur2020altern!K157</f>
        <v>7279</v>
      </c>
      <c r="L157" s="289">
        <f>+K0kommunestruktur2020altern!L157</f>
        <v>162251</v>
      </c>
      <c r="M157" s="289">
        <f>+K0kommunestruktur2020altern!M157</f>
        <v>7214</v>
      </c>
      <c r="N157" s="289">
        <f>+K0kommunestruktur2020altern!N157</f>
        <v>163873</v>
      </c>
      <c r="O157" s="289">
        <f>+K0kommunestruktur2020altern!O157</f>
        <v>7203</v>
      </c>
      <c r="P157" s="289">
        <f>+K0kommunestruktur2020altern!P157</f>
        <v>162820</v>
      </c>
      <c r="Q157" s="289">
        <f>+'K21'!C157</f>
        <v>7227</v>
      </c>
      <c r="R157" s="289">
        <f>+'K21'!Z157</f>
        <v>187185.606</v>
      </c>
      <c r="S157" s="517"/>
      <c r="T157" s="517"/>
    </row>
    <row r="158" spans="1:20" ht="13">
      <c r="A158" s="755">
        <v>3419</v>
      </c>
      <c r="B158" s="756" t="s">
        <v>799</v>
      </c>
      <c r="C158" s="289">
        <f>+K0kommunestruktur2020altern!C158</f>
        <v>3783</v>
      </c>
      <c r="D158" s="289">
        <f>+K0kommunestruktur2020altern!D158</f>
        <v>67464</v>
      </c>
      <c r="E158" s="289">
        <f>+K0kommunestruktur2020altern!E158</f>
        <v>3790</v>
      </c>
      <c r="F158" s="289">
        <f>+K0kommunestruktur2020altern!F158</f>
        <v>72785</v>
      </c>
      <c r="G158" s="289">
        <f>+K0kommunestruktur2020altern!G158</f>
        <v>3760</v>
      </c>
      <c r="H158" s="289">
        <f>+K0kommunestruktur2020altern!H158</f>
        <v>79771</v>
      </c>
      <c r="I158" s="289">
        <f>+K0kommunestruktur2020altern!I158</f>
        <v>3743</v>
      </c>
      <c r="J158" s="289">
        <f>+K0kommunestruktur2020altern!J158</f>
        <v>80622</v>
      </c>
      <c r="K158" s="289">
        <f>+K0kommunestruktur2020altern!K158</f>
        <v>3680</v>
      </c>
      <c r="L158" s="289">
        <f>+K0kommunestruktur2020altern!L158</f>
        <v>81489</v>
      </c>
      <c r="M158" s="289">
        <f>+K0kommunestruktur2020altern!M158</f>
        <v>3705</v>
      </c>
      <c r="N158" s="289">
        <f>+K0kommunestruktur2020altern!N158</f>
        <v>84330</v>
      </c>
      <c r="O158" s="289">
        <f>+K0kommunestruktur2020altern!O158</f>
        <v>3662</v>
      </c>
      <c r="P158" s="289">
        <f>+K0kommunestruktur2020altern!P158</f>
        <v>83140</v>
      </c>
      <c r="Q158" s="289">
        <f>+'K21'!C158</f>
        <v>3587</v>
      </c>
      <c r="R158" s="289">
        <f>+'K21'!Z158</f>
        <v>94110.138000000006</v>
      </c>
      <c r="S158" s="517"/>
      <c r="T158" s="517"/>
    </row>
    <row r="159" spans="1:20" ht="13">
      <c r="A159" s="755">
        <v>3420</v>
      </c>
      <c r="B159" s="756" t="s">
        <v>834</v>
      </c>
      <c r="C159" s="289">
        <f>+K0kommunestruktur2020altern!C159</f>
        <v>20563</v>
      </c>
      <c r="D159" s="289">
        <f>+K0kommunestruktur2020altern!D159</f>
        <v>413285</v>
      </c>
      <c r="E159" s="289">
        <f>+K0kommunestruktur2020altern!E159</f>
        <v>20794</v>
      </c>
      <c r="F159" s="289">
        <f>+K0kommunestruktur2020altern!F159</f>
        <v>442451</v>
      </c>
      <c r="G159" s="289">
        <f>+K0kommunestruktur2020altern!G159</f>
        <v>21030</v>
      </c>
      <c r="H159" s="289">
        <f>+K0kommunestruktur2020altern!H159</f>
        <v>469925</v>
      </c>
      <c r="I159" s="289">
        <f>+K0kommunestruktur2020altern!I159</f>
        <v>21086</v>
      </c>
      <c r="J159" s="289">
        <f>+K0kommunestruktur2020altern!J159</f>
        <v>490237</v>
      </c>
      <c r="K159" s="289">
        <f>+K0kommunestruktur2020altern!K159</f>
        <v>21123</v>
      </c>
      <c r="L159" s="289">
        <f>+K0kommunestruktur2020altern!L159</f>
        <v>510655</v>
      </c>
      <c r="M159" s="289">
        <f>+K0kommunestruktur2020altern!M159</f>
        <v>21191</v>
      </c>
      <c r="N159" s="289">
        <f>+K0kommunestruktur2020altern!N159</f>
        <v>535565</v>
      </c>
      <c r="O159" s="289">
        <f>+K0kommunestruktur2020altern!O159</f>
        <v>21254</v>
      </c>
      <c r="P159" s="289">
        <f>+K0kommunestruktur2020altern!P159</f>
        <v>533065</v>
      </c>
      <c r="Q159" s="289">
        <f>+'K21'!C159</f>
        <v>21292</v>
      </c>
      <c r="R159" s="289">
        <f>+'K21'!Z159</f>
        <v>618243.85</v>
      </c>
      <c r="S159" s="517"/>
      <c r="T159" s="517"/>
    </row>
    <row r="160" spans="1:20" ht="13">
      <c r="A160" s="755">
        <v>3421</v>
      </c>
      <c r="B160" s="756" t="s">
        <v>835</v>
      </c>
      <c r="C160" s="289">
        <f>+K0kommunestruktur2020altern!C160</f>
        <v>6621</v>
      </c>
      <c r="D160" s="289">
        <f>+K0kommunestruktur2020altern!D160</f>
        <v>123473</v>
      </c>
      <c r="E160" s="289">
        <f>+K0kommunestruktur2020altern!E160</f>
        <v>6569</v>
      </c>
      <c r="F160" s="289">
        <f>+K0kommunestruktur2020altern!F160</f>
        <v>128694</v>
      </c>
      <c r="G160" s="289">
        <f>+K0kommunestruktur2020altern!G160</f>
        <v>6525</v>
      </c>
      <c r="H160" s="289">
        <f>+K0kommunestruktur2020altern!H160</f>
        <v>143523</v>
      </c>
      <c r="I160" s="289">
        <f>+K0kommunestruktur2020altern!I160</f>
        <v>6550</v>
      </c>
      <c r="J160" s="289">
        <f>+K0kommunestruktur2020altern!J160</f>
        <v>155053</v>
      </c>
      <c r="K160" s="289">
        <f>+K0kommunestruktur2020altern!K160</f>
        <v>6567</v>
      </c>
      <c r="L160" s="289">
        <f>+K0kommunestruktur2020altern!L160</f>
        <v>169452</v>
      </c>
      <c r="M160" s="289">
        <f>+K0kommunestruktur2020altern!M160</f>
        <v>6607</v>
      </c>
      <c r="N160" s="289">
        <f>+K0kommunestruktur2020altern!N160</f>
        <v>174031</v>
      </c>
      <c r="O160" s="289">
        <f>+K0kommunestruktur2020altern!O160</f>
        <v>6627</v>
      </c>
      <c r="P160" s="289">
        <f>+K0kommunestruktur2020altern!P160</f>
        <v>172622</v>
      </c>
      <c r="Q160" s="289">
        <f>+'K21'!C160</f>
        <v>6580</v>
      </c>
      <c r="R160" s="289">
        <f>+'K21'!Z160</f>
        <v>195306.61600000001</v>
      </c>
      <c r="S160" s="517"/>
      <c r="T160" s="517"/>
    </row>
    <row r="161" spans="1:20" ht="13">
      <c r="A161" s="755">
        <v>3422</v>
      </c>
      <c r="B161" s="756" t="s">
        <v>836</v>
      </c>
      <c r="C161" s="289">
        <f>+K0kommunestruktur2020altern!C161</f>
        <v>4455</v>
      </c>
      <c r="D161" s="289">
        <f>+K0kommunestruktur2020altern!D161</f>
        <v>86844</v>
      </c>
      <c r="E161" s="289">
        <f>+K0kommunestruktur2020altern!E161</f>
        <v>4456</v>
      </c>
      <c r="F161" s="289">
        <f>+K0kommunestruktur2020altern!F161</f>
        <v>91773</v>
      </c>
      <c r="G161" s="289">
        <f>+K0kommunestruktur2020altern!G161</f>
        <v>4429</v>
      </c>
      <c r="H161" s="289">
        <f>+K0kommunestruktur2020altern!H161</f>
        <v>97563</v>
      </c>
      <c r="I161" s="289">
        <f>+K0kommunestruktur2020altern!I161</f>
        <v>4518</v>
      </c>
      <c r="J161" s="289">
        <f>+K0kommunestruktur2020altern!J161</f>
        <v>101766</v>
      </c>
      <c r="K161" s="289">
        <f>+K0kommunestruktur2020altern!K161</f>
        <v>4480</v>
      </c>
      <c r="L161" s="289">
        <f>+K0kommunestruktur2020altern!L161</f>
        <v>103252</v>
      </c>
      <c r="M161" s="289">
        <f>+K0kommunestruktur2020altern!M161</f>
        <v>4407</v>
      </c>
      <c r="N161" s="289">
        <f>+K0kommunestruktur2020altern!N161</f>
        <v>107897</v>
      </c>
      <c r="O161" s="289">
        <f>+K0kommunestruktur2020altern!O161</f>
        <v>4356</v>
      </c>
      <c r="P161" s="289">
        <f>+K0kommunestruktur2020altern!P161</f>
        <v>106391</v>
      </c>
      <c r="Q161" s="289">
        <f>+'K21'!C161</f>
        <v>4338</v>
      </c>
      <c r="R161" s="289">
        <f>+'K21'!Z161</f>
        <v>121169.05899999999</v>
      </c>
      <c r="S161" s="517"/>
      <c r="T161" s="517"/>
    </row>
    <row r="162" spans="1:20" ht="13">
      <c r="A162" s="755">
        <v>3423</v>
      </c>
      <c r="B162" s="756" t="s">
        <v>837</v>
      </c>
      <c r="C162" s="289">
        <f>+K0kommunestruktur2020altern!C162</f>
        <v>2699</v>
      </c>
      <c r="D162" s="289">
        <f>+K0kommunestruktur2020altern!D162</f>
        <v>45450</v>
      </c>
      <c r="E162" s="289">
        <f>+K0kommunestruktur2020altern!E162</f>
        <v>2619</v>
      </c>
      <c r="F162" s="289">
        <f>+K0kommunestruktur2020altern!F162</f>
        <v>46804</v>
      </c>
      <c r="G162" s="289">
        <f>+K0kommunestruktur2020altern!G162</f>
        <v>2600</v>
      </c>
      <c r="H162" s="289">
        <f>+K0kommunestruktur2020altern!H162</f>
        <v>51442</v>
      </c>
      <c r="I162" s="289">
        <f>+K0kommunestruktur2020altern!I162</f>
        <v>2530</v>
      </c>
      <c r="J162" s="289">
        <f>+K0kommunestruktur2020altern!J162</f>
        <v>55098</v>
      </c>
      <c r="K162" s="289">
        <f>+K0kommunestruktur2020altern!K162</f>
        <v>2490</v>
      </c>
      <c r="L162" s="289">
        <f>+K0kommunestruktur2020altern!L162</f>
        <v>52624</v>
      </c>
      <c r="M162" s="289">
        <f>+K0kommunestruktur2020altern!M162</f>
        <v>2459</v>
      </c>
      <c r="N162" s="289">
        <f>+K0kommunestruktur2020altern!N162</f>
        <v>53442</v>
      </c>
      <c r="O162" s="289">
        <f>+K0kommunestruktur2020altern!O162</f>
        <v>2419</v>
      </c>
      <c r="P162" s="289">
        <f>+K0kommunestruktur2020altern!P162</f>
        <v>53832</v>
      </c>
      <c r="Q162" s="289">
        <f>+'K21'!C162</f>
        <v>2378</v>
      </c>
      <c r="R162" s="289">
        <f>+'K21'!Z162</f>
        <v>59878.43</v>
      </c>
      <c r="S162" s="517"/>
      <c r="T162" s="517"/>
    </row>
    <row r="163" spans="1:20" ht="13">
      <c r="A163" s="755">
        <v>3424</v>
      </c>
      <c r="B163" s="756" t="s">
        <v>838</v>
      </c>
      <c r="C163" s="289">
        <f>+K0kommunestruktur2020altern!C163</f>
        <v>1883</v>
      </c>
      <c r="D163" s="289">
        <f>+K0kommunestruktur2020altern!D163</f>
        <v>37165</v>
      </c>
      <c r="E163" s="289">
        <f>+K0kommunestruktur2020altern!E163</f>
        <v>1885</v>
      </c>
      <c r="F163" s="289">
        <f>+K0kommunestruktur2020altern!F163</f>
        <v>39705</v>
      </c>
      <c r="G163" s="289">
        <f>+K0kommunestruktur2020altern!G163</f>
        <v>1881</v>
      </c>
      <c r="H163" s="289">
        <f>+K0kommunestruktur2020altern!H163</f>
        <v>41109</v>
      </c>
      <c r="I163" s="289">
        <f>+K0kommunestruktur2020altern!I163</f>
        <v>1858</v>
      </c>
      <c r="J163" s="289">
        <f>+K0kommunestruktur2020altern!J163</f>
        <v>41486</v>
      </c>
      <c r="K163" s="289">
        <f>+K0kommunestruktur2020altern!K163</f>
        <v>1827</v>
      </c>
      <c r="L163" s="289">
        <f>+K0kommunestruktur2020altern!L163</f>
        <v>42432</v>
      </c>
      <c r="M163" s="289">
        <f>+K0kommunestruktur2020altern!M163</f>
        <v>1791</v>
      </c>
      <c r="N163" s="289">
        <f>+K0kommunestruktur2020altern!N163</f>
        <v>42521</v>
      </c>
      <c r="O163" s="289">
        <f>+K0kommunestruktur2020altern!O163</f>
        <v>1780</v>
      </c>
      <c r="P163" s="289">
        <f>+K0kommunestruktur2020altern!P163</f>
        <v>41561</v>
      </c>
      <c r="Q163" s="289">
        <f>+'K21'!C163</f>
        <v>1741</v>
      </c>
      <c r="R163" s="289">
        <f>+'K21'!Z163</f>
        <v>47201.71</v>
      </c>
      <c r="S163" s="517"/>
      <c r="T163" s="517"/>
    </row>
    <row r="164" spans="1:20" ht="13">
      <c r="A164" s="755">
        <v>3425</v>
      </c>
      <c r="B164" s="756" t="s">
        <v>839</v>
      </c>
      <c r="C164" s="289">
        <f>+K0kommunestruktur2020altern!C164</f>
        <v>1345</v>
      </c>
      <c r="D164" s="289">
        <f>+K0kommunestruktur2020altern!D164</f>
        <v>21656</v>
      </c>
      <c r="E164" s="289">
        <f>+K0kommunestruktur2020altern!E164</f>
        <v>1359</v>
      </c>
      <c r="F164" s="289">
        <f>+K0kommunestruktur2020altern!F164</f>
        <v>23795</v>
      </c>
      <c r="G164" s="289">
        <f>+K0kommunestruktur2020altern!G164</f>
        <v>1305</v>
      </c>
      <c r="H164" s="289">
        <f>+K0kommunestruktur2020altern!H164</f>
        <v>24758</v>
      </c>
      <c r="I164" s="289">
        <f>+K0kommunestruktur2020altern!I164</f>
        <v>1274</v>
      </c>
      <c r="J164" s="289">
        <f>+K0kommunestruktur2020altern!J164</f>
        <v>26109</v>
      </c>
      <c r="K164" s="289">
        <f>+K0kommunestruktur2020altern!K164</f>
        <v>1294</v>
      </c>
      <c r="L164" s="289">
        <f>+K0kommunestruktur2020altern!L164</f>
        <v>27184</v>
      </c>
      <c r="M164" s="289">
        <f>+K0kommunestruktur2020altern!M164</f>
        <v>1286</v>
      </c>
      <c r="N164" s="289">
        <f>+K0kommunestruktur2020altern!N164</f>
        <v>29586</v>
      </c>
      <c r="O164" s="289">
        <f>+K0kommunestruktur2020altern!O164</f>
        <v>1268</v>
      </c>
      <c r="P164" s="289">
        <f>+K0kommunestruktur2020altern!P164</f>
        <v>28030</v>
      </c>
      <c r="Q164" s="289">
        <f>+'K21'!C164</f>
        <v>1250</v>
      </c>
      <c r="R164" s="289">
        <f>+'K21'!Z164</f>
        <v>31035.309000000001</v>
      </c>
      <c r="S164" s="517"/>
      <c r="T164" s="517"/>
    </row>
    <row r="165" spans="1:20" ht="13">
      <c r="A165" s="755">
        <v>3426</v>
      </c>
      <c r="B165" s="756" t="s">
        <v>840</v>
      </c>
      <c r="C165" s="289">
        <f>+K0kommunestruktur2020altern!C165</f>
        <v>1658</v>
      </c>
      <c r="D165" s="289">
        <f>+K0kommunestruktur2020altern!D165</f>
        <v>27453</v>
      </c>
      <c r="E165" s="289">
        <f>+K0kommunestruktur2020altern!E165</f>
        <v>1656</v>
      </c>
      <c r="F165" s="289">
        <f>+K0kommunestruktur2020altern!F165</f>
        <v>27218</v>
      </c>
      <c r="G165" s="289">
        <f>+K0kommunestruktur2020altern!G165</f>
        <v>1620</v>
      </c>
      <c r="H165" s="289">
        <f>+K0kommunestruktur2020altern!H165</f>
        <v>30445</v>
      </c>
      <c r="I165" s="289">
        <f>+K0kommunestruktur2020altern!I165</f>
        <v>1620</v>
      </c>
      <c r="J165" s="289">
        <f>+K0kommunestruktur2020altern!J165</f>
        <v>29844</v>
      </c>
      <c r="K165" s="289">
        <f>+K0kommunestruktur2020altern!K165</f>
        <v>1553</v>
      </c>
      <c r="L165" s="289">
        <f>+K0kommunestruktur2020altern!L165</f>
        <v>29834</v>
      </c>
      <c r="M165" s="289">
        <f>+K0kommunestruktur2020altern!M165</f>
        <v>1551</v>
      </c>
      <c r="N165" s="289">
        <f>+K0kommunestruktur2020altern!N165</f>
        <v>31981</v>
      </c>
      <c r="O165" s="289">
        <f>+K0kommunestruktur2020altern!O165</f>
        <v>1562</v>
      </c>
      <c r="P165" s="289">
        <f>+K0kommunestruktur2020altern!P165</f>
        <v>32457</v>
      </c>
      <c r="Q165" s="289">
        <f>+'K21'!C165</f>
        <v>1563</v>
      </c>
      <c r="R165" s="289">
        <f>+'K21'!Z165</f>
        <v>36633.373</v>
      </c>
      <c r="S165" s="517"/>
      <c r="T165" s="517"/>
    </row>
    <row r="166" spans="1:20" ht="13">
      <c r="A166" s="755">
        <v>3427</v>
      </c>
      <c r="B166" s="756" t="s">
        <v>841</v>
      </c>
      <c r="C166" s="289">
        <f>+K0kommunestruktur2020altern!C166</f>
        <v>5549</v>
      </c>
      <c r="D166" s="289">
        <f>+K0kommunestruktur2020altern!D166</f>
        <v>107680</v>
      </c>
      <c r="E166" s="289">
        <f>+K0kommunestruktur2020altern!E166</f>
        <v>5562</v>
      </c>
      <c r="F166" s="289">
        <f>+K0kommunestruktur2020altern!F166</f>
        <v>113932</v>
      </c>
      <c r="G166" s="289">
        <f>+K0kommunestruktur2020altern!G166</f>
        <v>5580</v>
      </c>
      <c r="H166" s="289">
        <f>+K0kommunestruktur2020altern!H166</f>
        <v>122027</v>
      </c>
      <c r="I166" s="289">
        <f>+K0kommunestruktur2020altern!I166</f>
        <v>5584</v>
      </c>
      <c r="J166" s="289">
        <f>+K0kommunestruktur2020altern!J166</f>
        <v>130470</v>
      </c>
      <c r="K166" s="289">
        <f>+K0kommunestruktur2020altern!K166</f>
        <v>5605</v>
      </c>
      <c r="L166" s="289">
        <f>+K0kommunestruktur2020altern!L166</f>
        <v>136219</v>
      </c>
      <c r="M166" s="289">
        <f>+K0kommunestruktur2020altern!M166</f>
        <v>5591</v>
      </c>
      <c r="N166" s="289">
        <f>+K0kommunestruktur2020altern!N166</f>
        <v>138237</v>
      </c>
      <c r="O166" s="289">
        <f>+K0kommunestruktur2020altern!O166</f>
        <v>5578</v>
      </c>
      <c r="P166" s="289">
        <f>+K0kommunestruktur2020altern!P166</f>
        <v>140883</v>
      </c>
      <c r="Q166" s="289">
        <f>+'K21'!C166</f>
        <v>5537</v>
      </c>
      <c r="R166" s="289">
        <f>+'K21'!Z166</f>
        <v>157024.72899999999</v>
      </c>
      <c r="S166" s="517"/>
      <c r="T166" s="517"/>
    </row>
    <row r="167" spans="1:20" ht="13">
      <c r="A167" s="755">
        <v>3428</v>
      </c>
      <c r="B167" s="756" t="s">
        <v>842</v>
      </c>
      <c r="C167" s="289">
        <f>+K0kommunestruktur2020altern!C167</f>
        <v>2432</v>
      </c>
      <c r="D167" s="289">
        <f>+K0kommunestruktur2020altern!D167</f>
        <v>48352</v>
      </c>
      <c r="E167" s="289">
        <f>+K0kommunestruktur2020altern!E167</f>
        <v>2418</v>
      </c>
      <c r="F167" s="289">
        <f>+K0kommunestruktur2020altern!F167</f>
        <v>49066</v>
      </c>
      <c r="G167" s="289">
        <f>+K0kommunestruktur2020altern!G167</f>
        <v>2426</v>
      </c>
      <c r="H167" s="289">
        <f>+K0kommunestruktur2020altern!H167</f>
        <v>52913</v>
      </c>
      <c r="I167" s="289">
        <f>+K0kommunestruktur2020altern!I167</f>
        <v>2441</v>
      </c>
      <c r="J167" s="289">
        <f>+K0kommunestruktur2020altern!J167</f>
        <v>59525</v>
      </c>
      <c r="K167" s="289">
        <f>+K0kommunestruktur2020altern!K167</f>
        <v>2424</v>
      </c>
      <c r="L167" s="289">
        <f>+K0kommunestruktur2020altern!L167</f>
        <v>59910</v>
      </c>
      <c r="M167" s="289">
        <f>+K0kommunestruktur2020altern!M167</f>
        <v>2418</v>
      </c>
      <c r="N167" s="289">
        <f>+K0kommunestruktur2020altern!N167</f>
        <v>59219</v>
      </c>
      <c r="O167" s="289">
        <f>+K0kommunestruktur2020altern!O167</f>
        <v>2432</v>
      </c>
      <c r="P167" s="289">
        <f>+K0kommunestruktur2020altern!P167</f>
        <v>59798</v>
      </c>
      <c r="Q167" s="289">
        <f>+'K21'!C167</f>
        <v>2405</v>
      </c>
      <c r="R167" s="289">
        <f>+'K21'!Z167</f>
        <v>69419.739000000001</v>
      </c>
      <c r="S167" s="517"/>
      <c r="T167" s="517"/>
    </row>
    <row r="168" spans="1:20" ht="13">
      <c r="A168" s="755">
        <v>3429</v>
      </c>
      <c r="B168" s="756" t="s">
        <v>843</v>
      </c>
      <c r="C168" s="289">
        <f>+K0kommunestruktur2020altern!C168</f>
        <v>1631</v>
      </c>
      <c r="D168" s="289">
        <f>+K0kommunestruktur2020altern!D168</f>
        <v>28026</v>
      </c>
      <c r="E168" s="289">
        <f>+K0kommunestruktur2020altern!E168</f>
        <v>1597</v>
      </c>
      <c r="F168" s="289">
        <f>+K0kommunestruktur2020altern!F168</f>
        <v>29300</v>
      </c>
      <c r="G168" s="289">
        <f>+K0kommunestruktur2020altern!G168</f>
        <v>1592</v>
      </c>
      <c r="H168" s="289">
        <f>+K0kommunestruktur2020altern!H168</f>
        <v>31621</v>
      </c>
      <c r="I168" s="289">
        <f>+K0kommunestruktur2020altern!I168</f>
        <v>1577</v>
      </c>
      <c r="J168" s="289">
        <f>+K0kommunestruktur2020altern!J168</f>
        <v>31809</v>
      </c>
      <c r="K168" s="289">
        <f>+K0kommunestruktur2020altern!K168</f>
        <v>1569</v>
      </c>
      <c r="L168" s="289">
        <f>+K0kommunestruktur2020altern!L168</f>
        <v>32557</v>
      </c>
      <c r="M168" s="289">
        <f>+K0kommunestruktur2020altern!M168</f>
        <v>1577</v>
      </c>
      <c r="N168" s="289">
        <f>+K0kommunestruktur2020altern!N168</f>
        <v>35614</v>
      </c>
      <c r="O168" s="289">
        <f>+K0kommunestruktur2020altern!O168</f>
        <v>1545</v>
      </c>
      <c r="P168" s="289">
        <f>+K0kommunestruktur2020altern!P168</f>
        <v>35491</v>
      </c>
      <c r="Q168" s="289">
        <f>+'K21'!C168</f>
        <v>1518</v>
      </c>
      <c r="R168" s="289">
        <f>+'K21'!Z168</f>
        <v>38539.900999999998</v>
      </c>
      <c r="S168" s="517"/>
      <c r="T168" s="517"/>
    </row>
    <row r="169" spans="1:20" ht="13">
      <c r="A169" s="755">
        <v>3430</v>
      </c>
      <c r="B169" s="756" t="s">
        <v>844</v>
      </c>
      <c r="C169" s="289">
        <f>+K0kommunestruktur2020altern!C169</f>
        <v>2013</v>
      </c>
      <c r="D169" s="289">
        <f>+K0kommunestruktur2020altern!D169</f>
        <v>35911</v>
      </c>
      <c r="E169" s="289">
        <f>+K0kommunestruktur2020altern!E169</f>
        <v>1991</v>
      </c>
      <c r="F169" s="289">
        <f>+K0kommunestruktur2020altern!F169</f>
        <v>38018</v>
      </c>
      <c r="G169" s="289">
        <f>+K0kommunestruktur2020altern!G169</f>
        <v>1956</v>
      </c>
      <c r="H169" s="289">
        <f>+K0kommunestruktur2020altern!H169</f>
        <v>40273</v>
      </c>
      <c r="I169" s="289">
        <f>+K0kommunestruktur2020altern!I169</f>
        <v>1963</v>
      </c>
      <c r="J169" s="289">
        <f>+K0kommunestruktur2020altern!J169</f>
        <v>40847</v>
      </c>
      <c r="K169" s="289">
        <f>+K0kommunestruktur2020altern!K169</f>
        <v>1936</v>
      </c>
      <c r="L169" s="289">
        <f>+K0kommunestruktur2020altern!L169</f>
        <v>42580</v>
      </c>
      <c r="M169" s="289">
        <f>+K0kommunestruktur2020altern!M169</f>
        <v>1912</v>
      </c>
      <c r="N169" s="289">
        <f>+K0kommunestruktur2020altern!N169</f>
        <v>46734</v>
      </c>
      <c r="O169" s="289">
        <f>+K0kommunestruktur2020altern!O169</f>
        <v>1891</v>
      </c>
      <c r="P169" s="289">
        <f>+K0kommunestruktur2020altern!P169</f>
        <v>68420</v>
      </c>
      <c r="Q169" s="289">
        <f>+'K21'!C169</f>
        <v>1870</v>
      </c>
      <c r="R169" s="289">
        <f>+'K21'!Z169</f>
        <v>58126.245999999999</v>
      </c>
      <c r="S169" s="517"/>
      <c r="T169" s="517"/>
    </row>
    <row r="170" spans="1:20" ht="13">
      <c r="A170" s="755">
        <v>3431</v>
      </c>
      <c r="B170" s="756" t="s">
        <v>847</v>
      </c>
      <c r="C170" s="289">
        <f>+K0kommunestruktur2020altern!C170</f>
        <v>2704</v>
      </c>
      <c r="D170" s="289">
        <f>+K0kommunestruktur2020altern!D170</f>
        <v>50086</v>
      </c>
      <c r="E170" s="289">
        <f>+K0kommunestruktur2020altern!E170</f>
        <v>2745</v>
      </c>
      <c r="F170" s="289">
        <f>+K0kommunestruktur2020altern!F170</f>
        <v>54394</v>
      </c>
      <c r="G170" s="289">
        <f>+K0kommunestruktur2020altern!G170</f>
        <v>2701</v>
      </c>
      <c r="H170" s="289">
        <f>+K0kommunestruktur2020altern!H170</f>
        <v>59477</v>
      </c>
      <c r="I170" s="289">
        <f>+K0kommunestruktur2020altern!I170</f>
        <v>2675</v>
      </c>
      <c r="J170" s="289">
        <f>+K0kommunestruktur2020altern!J170</f>
        <v>58760</v>
      </c>
      <c r="K170" s="289">
        <f>+K0kommunestruktur2020altern!K170</f>
        <v>2642</v>
      </c>
      <c r="L170" s="289">
        <f>+K0kommunestruktur2020altern!L170</f>
        <v>61104</v>
      </c>
      <c r="M170" s="289">
        <f>+K0kommunestruktur2020altern!M170</f>
        <v>2615</v>
      </c>
      <c r="N170" s="289">
        <f>+K0kommunestruktur2020altern!N170</f>
        <v>62336</v>
      </c>
      <c r="O170" s="289">
        <f>+K0kommunestruktur2020altern!O170</f>
        <v>2553</v>
      </c>
      <c r="P170" s="289">
        <f>+K0kommunestruktur2020altern!P170</f>
        <v>58865</v>
      </c>
      <c r="Q170" s="289">
        <f>+'K21'!C170</f>
        <v>2512</v>
      </c>
      <c r="R170" s="289">
        <f>+'K21'!Z170</f>
        <v>65512.31</v>
      </c>
      <c r="S170" s="517"/>
      <c r="T170" s="517"/>
    </row>
    <row r="171" spans="1:20" ht="13">
      <c r="A171" s="755">
        <v>3432</v>
      </c>
      <c r="B171" s="756" t="s">
        <v>848</v>
      </c>
      <c r="C171" s="289">
        <f>+K0kommunestruktur2020altern!C171</f>
        <v>2076</v>
      </c>
      <c r="D171" s="289">
        <f>+K0kommunestruktur2020altern!D171</f>
        <v>38506</v>
      </c>
      <c r="E171" s="289">
        <f>+K0kommunestruktur2020altern!E171</f>
        <v>2059</v>
      </c>
      <c r="F171" s="289">
        <f>+K0kommunestruktur2020altern!F171</f>
        <v>41423</v>
      </c>
      <c r="G171" s="289">
        <f>+K0kommunestruktur2020altern!G171</f>
        <v>2055</v>
      </c>
      <c r="H171" s="289">
        <f>+K0kommunestruktur2020altern!H171</f>
        <v>46978</v>
      </c>
      <c r="I171" s="289">
        <f>+K0kommunestruktur2020altern!I171</f>
        <v>2048</v>
      </c>
      <c r="J171" s="289">
        <f>+K0kommunestruktur2020altern!J171</f>
        <v>48600</v>
      </c>
      <c r="K171" s="289">
        <f>+K0kommunestruktur2020altern!K171</f>
        <v>2038</v>
      </c>
      <c r="L171" s="289">
        <f>+K0kommunestruktur2020altern!L171</f>
        <v>49147</v>
      </c>
      <c r="M171" s="289">
        <f>+K0kommunestruktur2020altern!M171</f>
        <v>2009</v>
      </c>
      <c r="N171" s="289">
        <f>+K0kommunestruktur2020altern!N171</f>
        <v>49891</v>
      </c>
      <c r="O171" s="289">
        <f>+K0kommunestruktur2020altern!O171</f>
        <v>1975</v>
      </c>
      <c r="P171" s="289">
        <f>+K0kommunestruktur2020altern!P171</f>
        <v>48613</v>
      </c>
      <c r="Q171" s="289">
        <f>+'K21'!C171</f>
        <v>1980</v>
      </c>
      <c r="R171" s="289">
        <f>+'K21'!Z171</f>
        <v>52668.099000000002</v>
      </c>
      <c r="S171" s="517"/>
      <c r="T171" s="517"/>
    </row>
    <row r="172" spans="1:20" ht="13">
      <c r="A172" s="755">
        <v>3433</v>
      </c>
      <c r="B172" s="756" t="s">
        <v>849</v>
      </c>
      <c r="C172" s="289">
        <f>+K0kommunestruktur2020altern!C172</f>
        <v>2264</v>
      </c>
      <c r="D172" s="289">
        <f>+K0kommunestruktur2020altern!D172</f>
        <v>54288</v>
      </c>
      <c r="E172" s="289">
        <f>+K0kommunestruktur2020altern!E172</f>
        <v>2245</v>
      </c>
      <c r="F172" s="289">
        <f>+K0kommunestruktur2020altern!F172</f>
        <v>57843</v>
      </c>
      <c r="G172" s="289">
        <f>+K0kommunestruktur2020altern!G172</f>
        <v>2204</v>
      </c>
      <c r="H172" s="289">
        <f>+K0kommunestruktur2020altern!H172</f>
        <v>56347</v>
      </c>
      <c r="I172" s="289">
        <f>+K0kommunestruktur2020altern!I172</f>
        <v>2202</v>
      </c>
      <c r="J172" s="289">
        <f>+K0kommunestruktur2020altern!J172</f>
        <v>57765</v>
      </c>
      <c r="K172" s="289">
        <f>+K0kommunestruktur2020altern!K172</f>
        <v>2179</v>
      </c>
      <c r="L172" s="289">
        <f>+K0kommunestruktur2020altern!L172</f>
        <v>59712</v>
      </c>
      <c r="M172" s="289">
        <f>+K0kommunestruktur2020altern!M172</f>
        <v>2204</v>
      </c>
      <c r="N172" s="289">
        <f>+K0kommunestruktur2020altern!N172</f>
        <v>61022</v>
      </c>
      <c r="O172" s="289">
        <f>+K0kommunestruktur2020altern!O172</f>
        <v>2197</v>
      </c>
      <c r="P172" s="289">
        <f>+K0kommunestruktur2020altern!P172</f>
        <v>62348</v>
      </c>
      <c r="Q172" s="289">
        <f>+'K21'!C172</f>
        <v>2183</v>
      </c>
      <c r="R172" s="289">
        <f>+'K21'!Z172</f>
        <v>67408.353000000003</v>
      </c>
      <c r="S172" s="517"/>
      <c r="T172" s="517"/>
    </row>
    <row r="173" spans="1:20" ht="13">
      <c r="A173" s="755">
        <v>3434</v>
      </c>
      <c r="B173" s="756" t="s">
        <v>850</v>
      </c>
      <c r="C173" s="289">
        <f>+K0kommunestruktur2020altern!C173</f>
        <v>2361</v>
      </c>
      <c r="D173" s="289">
        <f>+K0kommunestruktur2020altern!D173</f>
        <v>45505</v>
      </c>
      <c r="E173" s="289">
        <f>+K0kommunestruktur2020altern!E173</f>
        <v>2356</v>
      </c>
      <c r="F173" s="289">
        <f>+K0kommunestruktur2020altern!F173</f>
        <v>48209</v>
      </c>
      <c r="G173" s="289">
        <f>+K0kommunestruktur2020altern!G173</f>
        <v>2347</v>
      </c>
      <c r="H173" s="289">
        <f>+K0kommunestruktur2020altern!H173</f>
        <v>50742</v>
      </c>
      <c r="I173" s="289">
        <f>+K0kommunestruktur2020altern!I173</f>
        <v>2360</v>
      </c>
      <c r="J173" s="289">
        <f>+K0kommunestruktur2020altern!J173</f>
        <v>52717</v>
      </c>
      <c r="K173" s="289">
        <f>+K0kommunestruktur2020altern!K173</f>
        <v>2331</v>
      </c>
      <c r="L173" s="289">
        <f>+K0kommunestruktur2020altern!L173</f>
        <v>53712</v>
      </c>
      <c r="M173" s="289">
        <f>+K0kommunestruktur2020altern!M173</f>
        <v>2293</v>
      </c>
      <c r="N173" s="289">
        <f>+K0kommunestruktur2020altern!N173</f>
        <v>55282</v>
      </c>
      <c r="O173" s="289">
        <f>+K0kommunestruktur2020altern!O173</f>
        <v>2228</v>
      </c>
      <c r="P173" s="289">
        <f>+K0kommunestruktur2020altern!P173</f>
        <v>53756</v>
      </c>
      <c r="Q173" s="289">
        <f>+'K21'!C173</f>
        <v>2204</v>
      </c>
      <c r="R173" s="289">
        <f>+'K21'!Z173</f>
        <v>59656.925999999999</v>
      </c>
      <c r="S173" s="517"/>
      <c r="T173" s="517"/>
    </row>
    <row r="174" spans="1:20" ht="13">
      <c r="A174" s="755">
        <v>3435</v>
      </c>
      <c r="B174" s="756" t="s">
        <v>851</v>
      </c>
      <c r="C174" s="289">
        <f>+K0kommunestruktur2020altern!C174</f>
        <v>3686</v>
      </c>
      <c r="D174" s="289">
        <f>+K0kommunestruktur2020altern!D174</f>
        <v>67094</v>
      </c>
      <c r="E174" s="289">
        <f>+K0kommunestruktur2020altern!E174</f>
        <v>3675</v>
      </c>
      <c r="F174" s="289">
        <f>+K0kommunestruktur2020altern!F174</f>
        <v>69739</v>
      </c>
      <c r="G174" s="289">
        <f>+K0kommunestruktur2020altern!G174</f>
        <v>3664</v>
      </c>
      <c r="H174" s="289">
        <f>+K0kommunestruktur2020altern!H174</f>
        <v>75013</v>
      </c>
      <c r="I174" s="289">
        <f>+K0kommunestruktur2020altern!I174</f>
        <v>3640</v>
      </c>
      <c r="J174" s="289">
        <f>+K0kommunestruktur2020altern!J174</f>
        <v>75847</v>
      </c>
      <c r="K174" s="289">
        <f>+K0kommunestruktur2020altern!K174</f>
        <v>3638</v>
      </c>
      <c r="L174" s="289">
        <f>+K0kommunestruktur2020altern!L174</f>
        <v>88200</v>
      </c>
      <c r="M174" s="289">
        <f>+K0kommunestruktur2020altern!M174</f>
        <v>3589</v>
      </c>
      <c r="N174" s="289">
        <f>+K0kommunestruktur2020altern!N174</f>
        <v>89927</v>
      </c>
      <c r="O174" s="289">
        <f>+K0kommunestruktur2020altern!O174</f>
        <v>3570</v>
      </c>
      <c r="P174" s="289">
        <f>+K0kommunestruktur2020altern!P174</f>
        <v>85608</v>
      </c>
      <c r="Q174" s="289">
        <f>+'K21'!C174</f>
        <v>3564</v>
      </c>
      <c r="R174" s="289">
        <f>+'K21'!Z174</f>
        <v>94632.794999999998</v>
      </c>
      <c r="S174" s="517"/>
      <c r="T174" s="517"/>
    </row>
    <row r="175" spans="1:20" ht="13">
      <c r="A175" s="755">
        <v>3436</v>
      </c>
      <c r="B175" s="756" t="s">
        <v>852</v>
      </c>
      <c r="C175" s="289">
        <f>+K0kommunestruktur2020altern!C175</f>
        <v>5765</v>
      </c>
      <c r="D175" s="289">
        <f>+K0kommunestruktur2020altern!D175</f>
        <v>135027</v>
      </c>
      <c r="E175" s="289">
        <f>+K0kommunestruktur2020altern!E175</f>
        <v>5754</v>
      </c>
      <c r="F175" s="289">
        <f>+K0kommunestruktur2020altern!F175</f>
        <v>147197</v>
      </c>
      <c r="G175" s="289">
        <f>+K0kommunestruktur2020altern!G175</f>
        <v>5741</v>
      </c>
      <c r="H175" s="289">
        <f>+K0kommunestruktur2020altern!H175</f>
        <v>156680</v>
      </c>
      <c r="I175" s="289">
        <f>+K0kommunestruktur2020altern!I175</f>
        <v>5723</v>
      </c>
      <c r="J175" s="289">
        <f>+K0kommunestruktur2020altern!J175</f>
        <v>157240</v>
      </c>
      <c r="K175" s="289">
        <f>+K0kommunestruktur2020altern!K175</f>
        <v>5728</v>
      </c>
      <c r="L175" s="289">
        <f>+K0kommunestruktur2020altern!L175</f>
        <v>163384</v>
      </c>
      <c r="M175" s="289">
        <f>+K0kommunestruktur2020altern!M175</f>
        <v>5742</v>
      </c>
      <c r="N175" s="289">
        <f>+K0kommunestruktur2020altern!N175</f>
        <v>163393</v>
      </c>
      <c r="O175" s="289">
        <f>+K0kommunestruktur2020altern!O175</f>
        <v>5723</v>
      </c>
      <c r="P175" s="289">
        <f>+K0kommunestruktur2020altern!P175</f>
        <v>161716</v>
      </c>
      <c r="Q175" s="289">
        <f>+'K21'!C175</f>
        <v>5705</v>
      </c>
      <c r="R175" s="289">
        <f>+'K21'!Z175</f>
        <v>176175.57399999999</v>
      </c>
      <c r="S175" s="517"/>
      <c r="T175" s="517"/>
    </row>
    <row r="176" spans="1:20" ht="13">
      <c r="A176" s="755">
        <v>3437</v>
      </c>
      <c r="B176" s="756" t="s">
        <v>853</v>
      </c>
      <c r="C176" s="289">
        <f>+K0kommunestruktur2020altern!C176</f>
        <v>5974</v>
      </c>
      <c r="D176" s="289">
        <f>+K0kommunestruktur2020altern!D176</f>
        <v>99876</v>
      </c>
      <c r="E176" s="289">
        <f>+K0kommunestruktur2020altern!E176</f>
        <v>5965</v>
      </c>
      <c r="F176" s="289">
        <f>+K0kommunestruktur2020altern!F176</f>
        <v>106162</v>
      </c>
      <c r="G176" s="289">
        <f>+K0kommunestruktur2020altern!G176</f>
        <v>5935</v>
      </c>
      <c r="H176" s="289">
        <f>+K0kommunestruktur2020altern!H176</f>
        <v>113135</v>
      </c>
      <c r="I176" s="289">
        <f>+K0kommunestruktur2020altern!I176</f>
        <v>5916</v>
      </c>
      <c r="J176" s="289">
        <f>+K0kommunestruktur2020altern!J176</f>
        <v>115631</v>
      </c>
      <c r="K176" s="289">
        <f>+K0kommunestruktur2020altern!K176</f>
        <v>5872</v>
      </c>
      <c r="L176" s="289">
        <f>+K0kommunestruktur2020altern!L176</f>
        <v>120218</v>
      </c>
      <c r="M176" s="289">
        <f>+K0kommunestruktur2020altern!M176</f>
        <v>5789</v>
      </c>
      <c r="N176" s="289">
        <f>+K0kommunestruktur2020altern!N176</f>
        <v>121998</v>
      </c>
      <c r="O176" s="289">
        <f>+K0kommunestruktur2020altern!O176</f>
        <v>5739</v>
      </c>
      <c r="P176" s="289">
        <f>+K0kommunestruktur2020altern!P176</f>
        <v>121296</v>
      </c>
      <c r="Q176" s="289">
        <f>+'K21'!C176</f>
        <v>5592</v>
      </c>
      <c r="R176" s="289">
        <f>+'K21'!Z176</f>
        <v>138306.56099999999</v>
      </c>
      <c r="S176" s="517"/>
      <c r="T176" s="517"/>
    </row>
    <row r="177" spans="1:20" ht="13">
      <c r="A177" s="755">
        <v>3438</v>
      </c>
      <c r="B177" s="756" t="s">
        <v>854</v>
      </c>
      <c r="C177" s="289">
        <f>+K0kommunestruktur2020altern!C177</f>
        <v>3191</v>
      </c>
      <c r="D177" s="289">
        <f>+K0kommunestruktur2020altern!D177</f>
        <v>71560</v>
      </c>
      <c r="E177" s="289">
        <f>+K0kommunestruktur2020altern!E177</f>
        <v>3204</v>
      </c>
      <c r="F177" s="289">
        <f>+K0kommunestruktur2020altern!F177</f>
        <v>72836</v>
      </c>
      <c r="G177" s="289">
        <f>+K0kommunestruktur2020altern!G177</f>
        <v>3154</v>
      </c>
      <c r="H177" s="289">
        <f>+K0kommunestruktur2020altern!H177</f>
        <v>80249</v>
      </c>
      <c r="I177" s="289">
        <f>+K0kommunestruktur2020altern!I177</f>
        <v>3163</v>
      </c>
      <c r="J177" s="289">
        <f>+K0kommunestruktur2020altern!J177</f>
        <v>81548</v>
      </c>
      <c r="K177" s="289">
        <f>+K0kommunestruktur2020altern!K177</f>
        <v>3146</v>
      </c>
      <c r="L177" s="289">
        <f>+K0kommunestruktur2020altern!L177</f>
        <v>85416</v>
      </c>
      <c r="M177" s="289">
        <f>+K0kommunestruktur2020altern!M177</f>
        <v>3127</v>
      </c>
      <c r="N177" s="289">
        <f>+K0kommunestruktur2020altern!N177</f>
        <v>86652</v>
      </c>
      <c r="O177" s="289">
        <f>+K0kommunestruktur2020altern!O177</f>
        <v>3119</v>
      </c>
      <c r="P177" s="289">
        <f>+K0kommunestruktur2020altern!P177</f>
        <v>83331</v>
      </c>
      <c r="Q177" s="289">
        <f>+'K21'!C177</f>
        <v>3064</v>
      </c>
      <c r="R177" s="289">
        <f>+'K21'!Z177</f>
        <v>91462.100999999995</v>
      </c>
      <c r="S177" s="517"/>
      <c r="T177" s="517"/>
    </row>
    <row r="178" spans="1:20" ht="13">
      <c r="A178" s="755">
        <v>3439</v>
      </c>
      <c r="B178" s="756" t="s">
        <v>855</v>
      </c>
      <c r="C178" s="289">
        <f>+K0kommunestruktur2020altern!C178</f>
        <v>4495</v>
      </c>
      <c r="D178" s="289">
        <f>+K0kommunestruktur2020altern!D178</f>
        <v>88613</v>
      </c>
      <c r="E178" s="289">
        <f>+K0kommunestruktur2020altern!E178</f>
        <v>4459</v>
      </c>
      <c r="F178" s="289">
        <f>+K0kommunestruktur2020altern!F178</f>
        <v>96151</v>
      </c>
      <c r="G178" s="289">
        <f>+K0kommunestruktur2020altern!G178</f>
        <v>4462</v>
      </c>
      <c r="H178" s="289">
        <f>+K0kommunestruktur2020altern!H178</f>
        <v>103553</v>
      </c>
      <c r="I178" s="289">
        <f>+K0kommunestruktur2020altern!I178</f>
        <v>4502</v>
      </c>
      <c r="J178" s="289">
        <f>+K0kommunestruktur2020altern!J178</f>
        <v>106336</v>
      </c>
      <c r="K178" s="289">
        <f>+K0kommunestruktur2020altern!K178</f>
        <v>4454</v>
      </c>
      <c r="L178" s="289">
        <f>+K0kommunestruktur2020altern!L178</f>
        <v>110978</v>
      </c>
      <c r="M178" s="289">
        <f>+K0kommunestruktur2020altern!M178</f>
        <v>4425</v>
      </c>
      <c r="N178" s="289">
        <f>+K0kommunestruktur2020altern!N178</f>
        <v>118676</v>
      </c>
      <c r="O178" s="289">
        <f>+K0kommunestruktur2020altern!O178</f>
        <v>4392</v>
      </c>
      <c r="P178" s="289">
        <f>+K0kommunestruktur2020altern!P178</f>
        <v>121117</v>
      </c>
      <c r="Q178" s="289">
        <f>+'K21'!C178</f>
        <v>4408</v>
      </c>
      <c r="R178" s="289">
        <f>+'K21'!Z178</f>
        <v>130433.122</v>
      </c>
      <c r="S178" s="517"/>
      <c r="T178" s="517"/>
    </row>
    <row r="179" spans="1:20" ht="13">
      <c r="A179" s="755">
        <v>3440</v>
      </c>
      <c r="B179" s="756" t="s">
        <v>856</v>
      </c>
      <c r="C179" s="289">
        <f>+K0kommunestruktur2020altern!C179</f>
        <v>5090</v>
      </c>
      <c r="D179" s="289">
        <f>+K0kommunestruktur2020altern!D179</f>
        <v>116095</v>
      </c>
      <c r="E179" s="289">
        <f>+K0kommunestruktur2020altern!E179</f>
        <v>5065</v>
      </c>
      <c r="F179" s="289">
        <f>+K0kommunestruktur2020altern!F179</f>
        <v>116092</v>
      </c>
      <c r="G179" s="289">
        <f>+K0kommunestruktur2020altern!G179</f>
        <v>5072</v>
      </c>
      <c r="H179" s="289">
        <f>+K0kommunestruktur2020altern!H179</f>
        <v>131318</v>
      </c>
      <c r="I179" s="289">
        <f>+K0kommunestruktur2020altern!I179</f>
        <v>5082</v>
      </c>
      <c r="J179" s="289">
        <f>+K0kommunestruktur2020altern!J179</f>
        <v>140354</v>
      </c>
      <c r="K179" s="289">
        <f>+K0kommunestruktur2020altern!K179</f>
        <v>5130</v>
      </c>
      <c r="L179" s="289">
        <f>+K0kommunestruktur2020altern!L179</f>
        <v>149306</v>
      </c>
      <c r="M179" s="289">
        <f>+K0kommunestruktur2020altern!M179</f>
        <v>5119</v>
      </c>
      <c r="N179" s="289">
        <f>+K0kommunestruktur2020altern!N179</f>
        <v>155837</v>
      </c>
      <c r="O179" s="289">
        <f>+K0kommunestruktur2020altern!O179</f>
        <v>5100</v>
      </c>
      <c r="P179" s="289">
        <f>+K0kommunestruktur2020altern!P179</f>
        <v>154086</v>
      </c>
      <c r="Q179" s="289">
        <f>+'K21'!C179</f>
        <v>5093</v>
      </c>
      <c r="R179" s="289">
        <f>+'K21'!Z179</f>
        <v>171798.152</v>
      </c>
      <c r="S179" s="517"/>
      <c r="T179" s="517"/>
    </row>
    <row r="180" spans="1:20" ht="13">
      <c r="A180" s="755">
        <v>3441</v>
      </c>
      <c r="B180" s="756" t="s">
        <v>857</v>
      </c>
      <c r="C180" s="289">
        <f>+K0kommunestruktur2020altern!C180</f>
        <v>6237</v>
      </c>
      <c r="D180" s="289">
        <f>+K0kommunestruktur2020altern!D180</f>
        <v>121697</v>
      </c>
      <c r="E180" s="289">
        <f>+K0kommunestruktur2020altern!E180</f>
        <v>6210</v>
      </c>
      <c r="F180" s="289">
        <f>+K0kommunestruktur2020altern!F180</f>
        <v>129805</v>
      </c>
      <c r="G180" s="289">
        <f>+K0kommunestruktur2020altern!G180</f>
        <v>6227</v>
      </c>
      <c r="H180" s="289">
        <f>+K0kommunestruktur2020altern!H180</f>
        <v>141000</v>
      </c>
      <c r="I180" s="289">
        <f>+K0kommunestruktur2020altern!I180</f>
        <v>6204</v>
      </c>
      <c r="J180" s="289">
        <f>+K0kommunestruktur2020altern!J180</f>
        <v>148052</v>
      </c>
      <c r="K180" s="289">
        <f>+K0kommunestruktur2020altern!K180</f>
        <v>6148</v>
      </c>
      <c r="L180" s="289">
        <f>+K0kommunestruktur2020altern!L180</f>
        <v>156210</v>
      </c>
      <c r="M180" s="289">
        <f>+K0kommunestruktur2020altern!M180</f>
        <v>6112</v>
      </c>
      <c r="N180" s="289">
        <f>+K0kommunestruktur2020altern!N180</f>
        <v>158541</v>
      </c>
      <c r="O180" s="289">
        <f>+K0kommunestruktur2020altern!O180</f>
        <v>6106</v>
      </c>
      <c r="P180" s="289">
        <f>+K0kommunestruktur2020altern!P180</f>
        <v>158330</v>
      </c>
      <c r="Q180" s="289">
        <f>+'K21'!C180</f>
        <v>6023</v>
      </c>
      <c r="R180" s="289">
        <f>+'K21'!Z180</f>
        <v>183324.886</v>
      </c>
      <c r="S180" s="517"/>
      <c r="T180" s="517"/>
    </row>
    <row r="181" spans="1:20" ht="13">
      <c r="A181" s="755">
        <v>3442</v>
      </c>
      <c r="B181" s="756" t="s">
        <v>858</v>
      </c>
      <c r="C181" s="289">
        <f>+K0kommunestruktur2020altern!C181</f>
        <v>14777</v>
      </c>
      <c r="D181" s="289">
        <f>+K0kommunestruktur2020altern!D181</f>
        <v>281403</v>
      </c>
      <c r="E181" s="289">
        <f>+K0kommunestruktur2020altern!E181</f>
        <v>14796</v>
      </c>
      <c r="F181" s="289">
        <f>+K0kommunestruktur2020altern!F181</f>
        <v>298093</v>
      </c>
      <c r="G181" s="289">
        <f>+K0kommunestruktur2020altern!G181</f>
        <v>14906</v>
      </c>
      <c r="H181" s="289">
        <f>+K0kommunestruktur2020altern!H181</f>
        <v>331237</v>
      </c>
      <c r="I181" s="289">
        <f>+K0kommunestruktur2020altern!I181</f>
        <v>14887</v>
      </c>
      <c r="J181" s="289">
        <f>+K0kommunestruktur2020altern!J181</f>
        <v>349805</v>
      </c>
      <c r="K181" s="289">
        <f>+K0kommunestruktur2020altern!K181</f>
        <v>14888</v>
      </c>
      <c r="L181" s="289">
        <f>+K0kommunestruktur2020altern!L181</f>
        <v>375056</v>
      </c>
      <c r="M181" s="289">
        <f>+K0kommunestruktur2020altern!M181</f>
        <v>14948</v>
      </c>
      <c r="N181" s="289">
        <f>+K0kommunestruktur2020altern!N181</f>
        <v>387332</v>
      </c>
      <c r="O181" s="289">
        <f>+K0kommunestruktur2020altern!O181</f>
        <v>14973</v>
      </c>
      <c r="P181" s="289">
        <f>+K0kommunestruktur2020altern!P181</f>
        <v>373661</v>
      </c>
      <c r="Q181" s="289">
        <f>+'K21'!C181</f>
        <v>14871</v>
      </c>
      <c r="R181" s="289">
        <f>+'K21'!Z181</f>
        <v>439690.75199999998</v>
      </c>
      <c r="S181" s="517"/>
      <c r="T181" s="517"/>
    </row>
    <row r="182" spans="1:20" ht="13">
      <c r="A182" s="755">
        <v>3443</v>
      </c>
      <c r="B182" s="756" t="s">
        <v>859</v>
      </c>
      <c r="C182" s="289">
        <f>+K0kommunestruktur2020altern!C182</f>
        <v>13075</v>
      </c>
      <c r="D182" s="289">
        <f>+K0kommunestruktur2020altern!D182</f>
        <v>248655</v>
      </c>
      <c r="E182" s="289">
        <f>+K0kommunestruktur2020altern!E182</f>
        <v>13152</v>
      </c>
      <c r="F182" s="289">
        <f>+K0kommunestruktur2020altern!F182</f>
        <v>268292</v>
      </c>
      <c r="G182" s="289">
        <f>+K0kommunestruktur2020altern!G182</f>
        <v>13180</v>
      </c>
      <c r="H182" s="289">
        <f>+K0kommunestruktur2020altern!H182</f>
        <v>289291</v>
      </c>
      <c r="I182" s="289">
        <f>+K0kommunestruktur2020altern!I182</f>
        <v>13179</v>
      </c>
      <c r="J182" s="289">
        <f>+K0kommunestruktur2020altern!J182</f>
        <v>298912</v>
      </c>
      <c r="K182" s="289">
        <f>+K0kommunestruktur2020altern!K182</f>
        <v>13314</v>
      </c>
      <c r="L182" s="289">
        <f>+K0kommunestruktur2020altern!L182</f>
        <v>319630</v>
      </c>
      <c r="M182" s="289">
        <f>+K0kommunestruktur2020altern!M182</f>
        <v>13384</v>
      </c>
      <c r="N182" s="289">
        <f>+K0kommunestruktur2020altern!N182</f>
        <v>330293</v>
      </c>
      <c r="O182" s="289">
        <f>+K0kommunestruktur2020altern!O182</f>
        <v>13427</v>
      </c>
      <c r="P182" s="289">
        <f>+K0kommunestruktur2020altern!P182</f>
        <v>322511</v>
      </c>
      <c r="Q182" s="289">
        <f>+'K21'!C182</f>
        <v>13459</v>
      </c>
      <c r="R182" s="289">
        <f>+'K21'!Z182</f>
        <v>372074.12</v>
      </c>
      <c r="S182" s="517"/>
      <c r="T182" s="517"/>
    </row>
    <row r="183" spans="1:20" ht="13">
      <c r="A183" s="755">
        <v>3446</v>
      </c>
      <c r="B183" s="756" t="s">
        <v>862</v>
      </c>
      <c r="C183" s="289">
        <f>+K0kommunestruktur2020altern!C183</f>
        <v>13607</v>
      </c>
      <c r="D183" s="289">
        <f>+K0kommunestruktur2020altern!D183</f>
        <v>275643</v>
      </c>
      <c r="E183" s="289">
        <f>+K0kommunestruktur2020altern!E183</f>
        <v>13685</v>
      </c>
      <c r="F183" s="289">
        <f>+K0kommunestruktur2020altern!F183</f>
        <v>299360</v>
      </c>
      <c r="G183" s="289">
        <f>+K0kommunestruktur2020altern!G183</f>
        <v>13695</v>
      </c>
      <c r="H183" s="289">
        <f>+K0kommunestruktur2020altern!H183</f>
        <v>330694</v>
      </c>
      <c r="I183" s="289">
        <f>+K0kommunestruktur2020altern!I183</f>
        <v>13707</v>
      </c>
      <c r="J183" s="289">
        <f>+K0kommunestruktur2020altern!J183</f>
        <v>341304</v>
      </c>
      <c r="K183" s="289">
        <f>+K0kommunestruktur2020altern!K183</f>
        <v>13770</v>
      </c>
      <c r="L183" s="289">
        <f>+K0kommunestruktur2020altern!L183</f>
        <v>356430</v>
      </c>
      <c r="M183" s="289">
        <f>+K0kommunestruktur2020altern!M183</f>
        <v>13642</v>
      </c>
      <c r="N183" s="289">
        <f>+K0kommunestruktur2020altern!N183</f>
        <v>362027</v>
      </c>
      <c r="O183" s="289">
        <f>+K0kommunestruktur2020altern!O183</f>
        <v>13630</v>
      </c>
      <c r="P183" s="289">
        <f>+K0kommunestruktur2020altern!P183</f>
        <v>358274</v>
      </c>
      <c r="Q183" s="289">
        <f>+'K21'!C183</f>
        <v>13611</v>
      </c>
      <c r="R183" s="289">
        <f>+'K21'!Z183</f>
        <v>427907.10100000002</v>
      </c>
      <c r="S183" s="517"/>
      <c r="T183" s="517"/>
    </row>
    <row r="184" spans="1:20" ht="13">
      <c r="A184" s="755">
        <v>3447</v>
      </c>
      <c r="B184" s="756" t="s">
        <v>863</v>
      </c>
      <c r="C184" s="289">
        <f>+K0kommunestruktur2020altern!C184</f>
        <v>5701</v>
      </c>
      <c r="D184" s="289">
        <f>+K0kommunestruktur2020altern!D184</f>
        <v>93534</v>
      </c>
      <c r="E184" s="289">
        <f>+K0kommunestruktur2020altern!E184</f>
        <v>5772</v>
      </c>
      <c r="F184" s="289">
        <f>+K0kommunestruktur2020altern!F184</f>
        <v>99452</v>
      </c>
      <c r="G184" s="289">
        <f>+K0kommunestruktur2020altern!G184</f>
        <v>5758</v>
      </c>
      <c r="H184" s="289">
        <f>+K0kommunestruktur2020altern!H184</f>
        <v>111262</v>
      </c>
      <c r="I184" s="289">
        <f>+K0kommunestruktur2020altern!I184</f>
        <v>5717</v>
      </c>
      <c r="J184" s="289">
        <f>+K0kommunestruktur2020altern!J184</f>
        <v>114902</v>
      </c>
      <c r="K184" s="289">
        <f>+K0kommunestruktur2020altern!K184</f>
        <v>5650</v>
      </c>
      <c r="L184" s="289">
        <f>+K0kommunestruktur2020altern!L184</f>
        <v>118346</v>
      </c>
      <c r="M184" s="289">
        <f>+K0kommunestruktur2020altern!M184</f>
        <v>5623</v>
      </c>
      <c r="N184" s="289">
        <f>+K0kommunestruktur2020altern!N184</f>
        <v>123933</v>
      </c>
      <c r="O184" s="289">
        <f>+K0kommunestruktur2020altern!O184</f>
        <v>5617</v>
      </c>
      <c r="P184" s="289">
        <f>+K0kommunestruktur2020altern!P184</f>
        <v>121468</v>
      </c>
      <c r="Q184" s="289">
        <f>+'K21'!C184</f>
        <v>5579</v>
      </c>
      <c r="R184" s="289">
        <f>+'K21'!Z184</f>
        <v>139649.82</v>
      </c>
      <c r="S184" s="517"/>
      <c r="T184" s="517"/>
    </row>
    <row r="185" spans="1:20" ht="13">
      <c r="A185" s="755">
        <v>3448</v>
      </c>
      <c r="B185" s="756" t="s">
        <v>864</v>
      </c>
      <c r="C185" s="289">
        <f>+K0kommunestruktur2020altern!C185</f>
        <v>6700</v>
      </c>
      <c r="D185" s="289">
        <f>+K0kommunestruktur2020altern!D185</f>
        <v>119053</v>
      </c>
      <c r="E185" s="289">
        <f>+K0kommunestruktur2020altern!E185</f>
        <v>6740</v>
      </c>
      <c r="F185" s="289">
        <f>+K0kommunestruktur2020altern!F185</f>
        <v>130066</v>
      </c>
      <c r="G185" s="289">
        <f>+K0kommunestruktur2020altern!G185</f>
        <v>6751</v>
      </c>
      <c r="H185" s="289">
        <f>+K0kommunestruktur2020altern!H185</f>
        <v>140247</v>
      </c>
      <c r="I185" s="289">
        <f>+K0kommunestruktur2020altern!I185</f>
        <v>6773</v>
      </c>
      <c r="J185" s="289">
        <f>+K0kommunestruktur2020altern!J185</f>
        <v>144949</v>
      </c>
      <c r="K185" s="289">
        <f>+K0kommunestruktur2020altern!K185</f>
        <v>6750</v>
      </c>
      <c r="L185" s="289">
        <f>+K0kommunestruktur2020altern!L185</f>
        <v>148417</v>
      </c>
      <c r="M185" s="289">
        <f>+K0kommunestruktur2020altern!M185</f>
        <v>6671</v>
      </c>
      <c r="N185" s="289">
        <f>+K0kommunestruktur2020altern!N185</f>
        <v>155140</v>
      </c>
      <c r="O185" s="289">
        <f>+K0kommunestruktur2020altern!O185</f>
        <v>6633</v>
      </c>
      <c r="P185" s="289">
        <f>+K0kommunestruktur2020altern!P185</f>
        <v>152361</v>
      </c>
      <c r="Q185" s="289">
        <f>+'K21'!C185</f>
        <v>6581</v>
      </c>
      <c r="R185" s="289">
        <f>+'K21'!Z185</f>
        <v>162206.125</v>
      </c>
      <c r="S185" s="517"/>
      <c r="T185" s="517"/>
    </row>
    <row r="186" spans="1:20" ht="13">
      <c r="A186" s="755">
        <v>3449</v>
      </c>
      <c r="B186" s="756" t="s">
        <v>865</v>
      </c>
      <c r="C186" s="289">
        <f>+K0kommunestruktur2020altern!C186</f>
        <v>3133</v>
      </c>
      <c r="D186" s="289">
        <f>+K0kommunestruktur2020altern!D186</f>
        <v>62100</v>
      </c>
      <c r="E186" s="289">
        <f>+K0kommunestruktur2020altern!E186</f>
        <v>3094</v>
      </c>
      <c r="F186" s="289">
        <f>+K0kommunestruktur2020altern!F186</f>
        <v>64195</v>
      </c>
      <c r="G186" s="289">
        <f>+K0kommunestruktur2020altern!G186</f>
        <v>3058</v>
      </c>
      <c r="H186" s="289">
        <f>+K0kommunestruktur2020altern!H186</f>
        <v>66787</v>
      </c>
      <c r="I186" s="289">
        <f>+K0kommunestruktur2020altern!I186</f>
        <v>3026</v>
      </c>
      <c r="J186" s="289">
        <f>+K0kommunestruktur2020altern!J186</f>
        <v>67880</v>
      </c>
      <c r="K186" s="289">
        <f>+K0kommunestruktur2020altern!K186</f>
        <v>3014</v>
      </c>
      <c r="L186" s="289">
        <f>+K0kommunestruktur2020altern!L186</f>
        <v>73595</v>
      </c>
      <c r="M186" s="289">
        <f>+K0kommunestruktur2020altern!M186</f>
        <v>2981</v>
      </c>
      <c r="N186" s="289">
        <f>+K0kommunestruktur2020altern!N186</f>
        <v>74443</v>
      </c>
      <c r="O186" s="289">
        <f>+K0kommunestruktur2020altern!O186</f>
        <v>2954</v>
      </c>
      <c r="P186" s="289">
        <f>+K0kommunestruktur2020altern!P186</f>
        <v>72905</v>
      </c>
      <c r="Q186" s="289">
        <f>+'K21'!C186</f>
        <v>2904</v>
      </c>
      <c r="R186" s="289">
        <f>+'K21'!Z186</f>
        <v>92272.346000000005</v>
      </c>
      <c r="S186" s="517"/>
      <c r="T186" s="517"/>
    </row>
    <row r="187" spans="1:20" ht="13">
      <c r="A187" s="755">
        <v>3450</v>
      </c>
      <c r="B187" s="756" t="s">
        <v>866</v>
      </c>
      <c r="C187" s="289">
        <f>+K0kommunestruktur2020altern!C187</f>
        <v>1408</v>
      </c>
      <c r="D187" s="289">
        <f>+K0kommunestruktur2020altern!D187</f>
        <v>23718</v>
      </c>
      <c r="E187" s="289">
        <f>+K0kommunestruktur2020altern!E187</f>
        <v>1402</v>
      </c>
      <c r="F187" s="289">
        <f>+K0kommunestruktur2020altern!F187</f>
        <v>24754</v>
      </c>
      <c r="G187" s="289">
        <f>+K0kommunestruktur2020altern!G187</f>
        <v>1321</v>
      </c>
      <c r="H187" s="289">
        <f>+K0kommunestruktur2020altern!H187</f>
        <v>28197</v>
      </c>
      <c r="I187" s="289">
        <f>+K0kommunestruktur2020altern!I187</f>
        <v>1351</v>
      </c>
      <c r="J187" s="289">
        <f>+K0kommunestruktur2020altern!J187</f>
        <v>32167</v>
      </c>
      <c r="K187" s="289">
        <f>+K0kommunestruktur2020altern!K187</f>
        <v>1352</v>
      </c>
      <c r="L187" s="289">
        <f>+K0kommunestruktur2020altern!L187</f>
        <v>32388</v>
      </c>
      <c r="M187" s="289">
        <f>+K0kommunestruktur2020altern!M187</f>
        <v>1305</v>
      </c>
      <c r="N187" s="289">
        <f>+K0kommunestruktur2020altern!N187</f>
        <v>30753</v>
      </c>
      <c r="O187" s="289">
        <f>+K0kommunestruktur2020altern!O187</f>
        <v>1279</v>
      </c>
      <c r="P187" s="289">
        <f>+K0kommunestruktur2020altern!P187</f>
        <v>30806</v>
      </c>
      <c r="Q187" s="289">
        <f>+'K21'!C187</f>
        <v>1257</v>
      </c>
      <c r="R187" s="289">
        <f>+'K21'!Z187</f>
        <v>34234.07</v>
      </c>
      <c r="S187" s="517"/>
      <c r="T187" s="517"/>
    </row>
    <row r="188" spans="1:20" ht="13">
      <c r="A188" s="755">
        <v>3451</v>
      </c>
      <c r="B188" s="756" t="s">
        <v>867</v>
      </c>
      <c r="C188" s="289">
        <f>+K0kommunestruktur2020altern!C188</f>
        <v>6417</v>
      </c>
      <c r="D188" s="289">
        <f>+K0kommunestruktur2020altern!D188</f>
        <v>138198</v>
      </c>
      <c r="E188" s="289">
        <f>+K0kommunestruktur2020altern!E188</f>
        <v>6466</v>
      </c>
      <c r="F188" s="289">
        <f>+K0kommunestruktur2020altern!F188</f>
        <v>144388</v>
      </c>
      <c r="G188" s="289">
        <f>+K0kommunestruktur2020altern!G188</f>
        <v>6458</v>
      </c>
      <c r="H188" s="289">
        <f>+K0kommunestruktur2020altern!H188</f>
        <v>160812</v>
      </c>
      <c r="I188" s="289">
        <f>+K0kommunestruktur2020altern!I188</f>
        <v>6490</v>
      </c>
      <c r="J188" s="289">
        <f>+K0kommunestruktur2020altern!J188</f>
        <v>168668</v>
      </c>
      <c r="K188" s="289">
        <f>+K0kommunestruktur2020altern!K188</f>
        <v>6443</v>
      </c>
      <c r="L188" s="289">
        <f>+K0kommunestruktur2020altern!L188</f>
        <v>174124</v>
      </c>
      <c r="M188" s="289">
        <f>+K0kommunestruktur2020altern!M188</f>
        <v>6418</v>
      </c>
      <c r="N188" s="289">
        <f>+K0kommunestruktur2020altern!N188</f>
        <v>177318</v>
      </c>
      <c r="O188" s="289">
        <f>+K0kommunestruktur2020altern!O188</f>
        <v>6413</v>
      </c>
      <c r="P188" s="289">
        <f>+K0kommunestruktur2020altern!P188</f>
        <v>172307</v>
      </c>
      <c r="Q188" s="289">
        <f>+'K21'!C188</f>
        <v>6360</v>
      </c>
      <c r="R188" s="289">
        <f>+'K21'!Z188</f>
        <v>199208.80600000001</v>
      </c>
      <c r="S188" s="517"/>
      <c r="T188" s="517"/>
    </row>
    <row r="189" spans="1:20" ht="13">
      <c r="A189" s="889">
        <v>3452</v>
      </c>
      <c r="B189" s="890" t="s">
        <v>868</v>
      </c>
      <c r="C189" s="289">
        <f>+C379+C380</f>
        <v>2174.6498823529409</v>
      </c>
      <c r="D189" s="289">
        <f t="shared" ref="D189:P189" si="4">+D379+D380</f>
        <v>48071.903267764705</v>
      </c>
      <c r="E189" s="289">
        <f t="shared" si="4"/>
        <v>2167.6894117647057</v>
      </c>
      <c r="F189" s="289">
        <f t="shared" si="4"/>
        <v>50594.628609882355</v>
      </c>
      <c r="G189" s="289">
        <f t="shared" si="4"/>
        <v>2155.7571764705881</v>
      </c>
      <c r="H189" s="289">
        <f t="shared" si="4"/>
        <v>53950.433065411766</v>
      </c>
      <c r="I189" s="289">
        <f t="shared" si="4"/>
        <v>2102.062117647059</v>
      </c>
      <c r="J189" s="289">
        <f t="shared" si="4"/>
        <v>56134.117101176467</v>
      </c>
      <c r="K189" s="289">
        <f t="shared" si="4"/>
        <v>2126.9209411764705</v>
      </c>
      <c r="L189" s="289">
        <f t="shared" si="4"/>
        <v>60937.876705882351</v>
      </c>
      <c r="M189" s="289">
        <f t="shared" si="4"/>
        <v>2122.9435294117648</v>
      </c>
      <c r="N189" s="289">
        <f t="shared" si="4"/>
        <v>67325.537882352946</v>
      </c>
      <c r="O189" s="289">
        <f t="shared" si="4"/>
        <v>2113</v>
      </c>
      <c r="P189" s="289">
        <f t="shared" si="4"/>
        <v>64276.590388731078</v>
      </c>
      <c r="Q189" s="289">
        <f>+'K21'!C189</f>
        <v>2120</v>
      </c>
      <c r="R189" s="289">
        <f>+'K21'!Z189</f>
        <v>75961.975000000006</v>
      </c>
      <c r="S189" s="517"/>
      <c r="T189" s="517"/>
    </row>
    <row r="190" spans="1:20" ht="13">
      <c r="A190" s="889">
        <v>3453</v>
      </c>
      <c r="B190" s="890" t="s">
        <v>869</v>
      </c>
      <c r="C190" s="289">
        <f>+C383+C384</f>
        <v>3218.3501176470591</v>
      </c>
      <c r="D190" s="289">
        <f t="shared" ref="D190:P190" si="5">+D383+D384</f>
        <v>74199.096732235295</v>
      </c>
      <c r="E190" s="289">
        <f t="shared" si="5"/>
        <v>3211.3105882352943</v>
      </c>
      <c r="F190" s="289">
        <f t="shared" si="5"/>
        <v>80606.371390117652</v>
      </c>
      <c r="G190" s="289">
        <f t="shared" si="5"/>
        <v>3232.2428235294119</v>
      </c>
      <c r="H190" s="289">
        <f t="shared" si="5"/>
        <v>82136.566934588234</v>
      </c>
      <c r="I190" s="289">
        <f t="shared" si="5"/>
        <v>3259.937882352941</v>
      </c>
      <c r="J190" s="289">
        <f t="shared" si="5"/>
        <v>90734.882898823533</v>
      </c>
      <c r="K190" s="289">
        <f t="shared" si="5"/>
        <v>3233.0790588235295</v>
      </c>
      <c r="L190" s="289">
        <f t="shared" si="5"/>
        <v>97204.123294117642</v>
      </c>
      <c r="M190" s="289">
        <f t="shared" si="5"/>
        <v>3220.0564705882352</v>
      </c>
      <c r="N190" s="289">
        <f t="shared" si="5"/>
        <v>101963.46211764705</v>
      </c>
      <c r="O190" s="289">
        <f t="shared" si="5"/>
        <v>3241</v>
      </c>
      <c r="P190" s="289">
        <f t="shared" si="5"/>
        <v>101827.40961126891</v>
      </c>
      <c r="Q190" s="289">
        <f>+'K21'!C190</f>
        <v>3236</v>
      </c>
      <c r="R190" s="289">
        <f>+'K21'!Z190</f>
        <v>111780.192</v>
      </c>
      <c r="S190" s="517"/>
      <c r="T190" s="517"/>
    </row>
    <row r="191" spans="1:20" ht="13">
      <c r="A191" s="755">
        <v>3454</v>
      </c>
      <c r="B191" s="756" t="s">
        <v>870</v>
      </c>
      <c r="C191" s="289">
        <f>+K0kommunestruktur2020altern!C191</f>
        <v>1602</v>
      </c>
      <c r="D191" s="289">
        <f>+K0kommunestruktur2020altern!D191</f>
        <v>38293</v>
      </c>
      <c r="E191" s="289">
        <f>+K0kommunestruktur2020altern!E191</f>
        <v>1619</v>
      </c>
      <c r="F191" s="289">
        <f>+K0kommunestruktur2020altern!F191</f>
        <v>37972</v>
      </c>
      <c r="G191" s="289">
        <f>+K0kommunestruktur2020altern!G191</f>
        <v>1590</v>
      </c>
      <c r="H191" s="289">
        <f>+K0kommunestruktur2020altern!H191</f>
        <v>44551</v>
      </c>
      <c r="I191" s="289">
        <f>+K0kommunestruktur2020altern!I191</f>
        <v>1596</v>
      </c>
      <c r="J191" s="289">
        <f>+K0kommunestruktur2020altern!J191</f>
        <v>45896</v>
      </c>
      <c r="K191" s="289">
        <f>+K0kommunestruktur2020altern!K191</f>
        <v>1601</v>
      </c>
      <c r="L191" s="289">
        <f>+K0kommunestruktur2020altern!L191</f>
        <v>47228</v>
      </c>
      <c r="M191" s="289">
        <f>+K0kommunestruktur2020altern!M191</f>
        <v>1610</v>
      </c>
      <c r="N191" s="289">
        <f>+K0kommunestruktur2020altern!N191</f>
        <v>49799</v>
      </c>
      <c r="O191" s="289">
        <f>+K0kommunestruktur2020altern!O191</f>
        <v>1578</v>
      </c>
      <c r="P191" s="289">
        <f>+K0kommunestruktur2020altern!P191</f>
        <v>45794</v>
      </c>
      <c r="Q191" s="289">
        <f>+'K21'!C191</f>
        <v>1573</v>
      </c>
      <c r="R191" s="289">
        <f>+'K21'!Z191</f>
        <v>49770.035000000003</v>
      </c>
      <c r="S191" s="517"/>
      <c r="T191" s="517"/>
    </row>
    <row r="192" spans="1:20" ht="13">
      <c r="A192" s="755">
        <v>3801</v>
      </c>
      <c r="B192" s="756" t="s">
        <v>346</v>
      </c>
      <c r="C192" s="289">
        <f>+K0kommunestruktur2020altern!C192</f>
        <v>26763.217060637206</v>
      </c>
      <c r="D192" s="289">
        <f>+K0kommunestruktur2020altern!D192</f>
        <v>552789.5082219938</v>
      </c>
      <c r="E192" s="289">
        <f>+K0kommunestruktur2020altern!E192</f>
        <v>26915.36269270298</v>
      </c>
      <c r="F192" s="289">
        <f>+K0kommunestruktur2020altern!F192</f>
        <v>580098.76988694759</v>
      </c>
      <c r="G192" s="289">
        <f>+K0kommunestruktur2020altern!G192</f>
        <v>27190.506988694757</v>
      </c>
      <c r="H192" s="289">
        <f>+K0kommunestruktur2020altern!H192</f>
        <v>637630.25149023638</v>
      </c>
      <c r="I192" s="289">
        <f>+K0kommunestruktur2020altern!I192</f>
        <v>27214.673997944501</v>
      </c>
      <c r="J192" s="289">
        <f>+K0kommunestruktur2020altern!J192</f>
        <v>663824.53463514906</v>
      </c>
      <c r="K192" s="289">
        <f>+K0kommunestruktur2020altern!K192</f>
        <v>27329.854367934226</v>
      </c>
      <c r="L192" s="289">
        <f>+K0kommunestruktur2020altern!L192</f>
        <v>672724.71654676262</v>
      </c>
      <c r="M192" s="289">
        <f>+K0kommunestruktur2020altern!M192</f>
        <v>27347</v>
      </c>
      <c r="N192" s="289">
        <f>+K0kommunestruktur2020altern!N192</f>
        <v>692614.48437821167</v>
      </c>
      <c r="O192" s="289">
        <f>+K0kommunestruktur2020altern!O192</f>
        <v>27351</v>
      </c>
      <c r="P192" s="289">
        <f>+K0kommunestruktur2020altern!P192</f>
        <v>688211</v>
      </c>
      <c r="Q192" s="289">
        <f>+'K21'!C192</f>
        <v>27510</v>
      </c>
      <c r="R192" s="289">
        <f>+'K21'!Z192</f>
        <v>808471.49399999995</v>
      </c>
      <c r="S192" s="517"/>
      <c r="T192" s="517"/>
    </row>
    <row r="193" spans="1:20" ht="13">
      <c r="A193" s="755">
        <v>3802</v>
      </c>
      <c r="B193" s="756" t="s">
        <v>1625</v>
      </c>
      <c r="C193" s="289">
        <f>+K0kommunestruktur2020altern!C193</f>
        <v>22699.531963001027</v>
      </c>
      <c r="D193" s="289">
        <f>+K0kommunestruktur2020altern!D193</f>
        <v>493543.23227132577</v>
      </c>
      <c r="E193" s="289">
        <f>+K0kommunestruktur2020altern!E193</f>
        <v>23041.921068859199</v>
      </c>
      <c r="F193" s="289">
        <f>+K0kommunestruktur2020altern!F193</f>
        <v>529454.57430626929</v>
      </c>
      <c r="G193" s="289">
        <f>+K0kommunestruktur2020altern!G193</f>
        <v>23320.297430626928</v>
      </c>
      <c r="H193" s="289">
        <f>+K0kommunestruktur2020altern!H193</f>
        <v>589247.62959917774</v>
      </c>
      <c r="I193" s="289">
        <f>+K0kommunestruktur2020altern!I193</f>
        <v>23653.89044193217</v>
      </c>
      <c r="J193" s="289">
        <f>+K0kommunestruktur2020altern!J193</f>
        <v>624032.25344295986</v>
      </c>
      <c r="K193" s="289">
        <f>+K0kommunestruktur2020altern!K193</f>
        <v>24060.610894141828</v>
      </c>
      <c r="L193" s="289">
        <f>+K0kommunestruktur2020altern!L193</f>
        <v>652520.1424460432</v>
      </c>
      <c r="M193" s="289">
        <f>+K0kommunestruktur2020altern!M193</f>
        <v>24399</v>
      </c>
      <c r="N193" s="289">
        <f>+K0kommunestruktur2020altern!N193</f>
        <v>675321.15868448094</v>
      </c>
      <c r="O193" s="289">
        <f>+K0kommunestruktur2020altern!O193</f>
        <v>24699</v>
      </c>
      <c r="P193" s="289">
        <f>+K0kommunestruktur2020altern!P193</f>
        <v>685619</v>
      </c>
      <c r="Q193" s="289">
        <f>+'K21'!C193</f>
        <v>25011</v>
      </c>
      <c r="R193" s="289">
        <f>+'K21'!Z193</f>
        <v>814470.78500000003</v>
      </c>
      <c r="S193" s="517"/>
      <c r="T193" s="517"/>
    </row>
    <row r="194" spans="1:20" ht="13">
      <c r="A194" s="755">
        <v>3803</v>
      </c>
      <c r="B194" s="756" t="s">
        <v>1626</v>
      </c>
      <c r="C194" s="289">
        <f>+K0kommunestruktur2020altern!C194</f>
        <v>52767.250976361771</v>
      </c>
      <c r="D194" s="289">
        <f>+K0kommunestruktur2020altern!D194</f>
        <v>1237170.1760068105</v>
      </c>
      <c r="E194" s="289">
        <f>+K0kommunestruktur2020altern!E194</f>
        <v>53244.716238437824</v>
      </c>
      <c r="F194" s="289">
        <f>+K0kommunestruktur2020altern!F194</f>
        <v>1324902.7820018118</v>
      </c>
      <c r="G194" s="289">
        <f>+K0kommunestruktur2020altern!G194</f>
        <v>53707.195580678315</v>
      </c>
      <c r="H194" s="289">
        <f>+K0kommunestruktur2020altern!H194</f>
        <v>1448421.6524097708</v>
      </c>
      <c r="I194" s="289">
        <f>+K0kommunestruktur2020altern!I194</f>
        <v>54274.435560123333</v>
      </c>
      <c r="J194" s="289">
        <f>+K0kommunestruktur2020altern!J194</f>
        <v>1536795.211921891</v>
      </c>
      <c r="K194" s="289">
        <f>+K0kommunestruktur2020altern!K194</f>
        <v>54845.534737923947</v>
      </c>
      <c r="L194" s="289">
        <f>+K0kommunestruktur2020altern!L194</f>
        <v>1606111.1410071943</v>
      </c>
      <c r="M194" s="289">
        <f>+K0kommunestruktur2020altern!M194</f>
        <v>55569</v>
      </c>
      <c r="N194" s="289">
        <f>+K0kommunestruktur2020altern!N194</f>
        <v>1681201.3569373074</v>
      </c>
      <c r="O194" s="289">
        <f>+K0kommunestruktur2020altern!O194</f>
        <v>56293</v>
      </c>
      <c r="P194" s="289">
        <f>+K0kommunestruktur2020altern!P194</f>
        <v>1690855</v>
      </c>
      <c r="Q194" s="289">
        <f>+'K21'!C194</f>
        <v>57026</v>
      </c>
      <c r="R194" s="289">
        <f>+'K21'!Z194</f>
        <v>2001609.365</v>
      </c>
      <c r="S194" s="517"/>
      <c r="T194" s="517"/>
    </row>
    <row r="195" spans="1:20" ht="13">
      <c r="A195" s="755">
        <v>3804</v>
      </c>
      <c r="B195" s="756" t="s">
        <v>1153</v>
      </c>
      <c r="C195" s="289">
        <f>+K0kommunestruktur2020altern!C195</f>
        <v>60002</v>
      </c>
      <c r="D195" s="289">
        <f>+K0kommunestruktur2020altern!D195</f>
        <v>1328826.0834998698</v>
      </c>
      <c r="E195" s="289">
        <f>+K0kommunestruktur2020altern!E195</f>
        <v>60445</v>
      </c>
      <c r="F195" s="289">
        <f>+K0kommunestruktur2020altern!F195</f>
        <v>1401206.8738049713</v>
      </c>
      <c r="G195" s="289">
        <f>+K0kommunestruktur2020altern!G195</f>
        <v>61212</v>
      </c>
      <c r="H195" s="289">
        <f>+K0kommunestruktur2020altern!H195</f>
        <v>1565068.466500815</v>
      </c>
      <c r="I195" s="289">
        <f>+K0kommunestruktur2020altern!I195</f>
        <v>62019</v>
      </c>
      <c r="J195" s="289">
        <f>+K0kommunestruktur2020altern!J195</f>
        <v>1617614</v>
      </c>
      <c r="K195" s="289">
        <f>+K0kommunestruktur2020altern!K195</f>
        <v>62615</v>
      </c>
      <c r="L195" s="289">
        <f>+K0kommunestruktur2020altern!L195</f>
        <v>1650021</v>
      </c>
      <c r="M195" s="289">
        <f>+K0kommunestruktur2020altern!M195</f>
        <v>63271</v>
      </c>
      <c r="N195" s="289">
        <f>+K0kommunestruktur2020altern!N195</f>
        <v>1778055</v>
      </c>
      <c r="O195" s="289">
        <f>+K0kommunestruktur2020altern!O195</f>
        <v>63764</v>
      </c>
      <c r="P195" s="289">
        <f>+K0kommunestruktur2020altern!P195</f>
        <v>1781351</v>
      </c>
      <c r="Q195" s="289">
        <f>+'K21'!C195</f>
        <v>64345</v>
      </c>
      <c r="R195" s="289">
        <f>+'K21'!Z195</f>
        <v>2082816.142</v>
      </c>
      <c r="S195" s="517"/>
      <c r="T195" s="517"/>
    </row>
    <row r="196" spans="1:20" ht="13">
      <c r="A196" s="755">
        <v>3805</v>
      </c>
      <c r="B196" s="965" t="s">
        <v>1235</v>
      </c>
      <c r="C196" s="289">
        <f>+K0kommunestruktur2020altern!C196</f>
        <v>45718</v>
      </c>
      <c r="D196" s="289">
        <f>+K0kommunestruktur2020altern!D196</f>
        <v>967685</v>
      </c>
      <c r="E196" s="289">
        <f>+K0kommunestruktur2020altern!E196</f>
        <v>45969</v>
      </c>
      <c r="F196" s="289">
        <f>+K0kommunestruktur2020altern!F196</f>
        <v>1066695</v>
      </c>
      <c r="G196" s="289">
        <f>+K0kommunestruktur2020altern!G196</f>
        <v>46341</v>
      </c>
      <c r="H196" s="289">
        <f>+K0kommunestruktur2020altern!H196</f>
        <v>1143575</v>
      </c>
      <c r="I196" s="289">
        <f>+K0kommunestruktur2020altern!I196</f>
        <v>46557</v>
      </c>
      <c r="J196" s="289">
        <f>+K0kommunestruktur2020altern!J196</f>
        <v>1204992</v>
      </c>
      <c r="K196" s="289">
        <f>+K0kommunestruktur2020altern!K196</f>
        <v>46801</v>
      </c>
      <c r="L196" s="289">
        <f>+K0kommunestruktur2020altern!L196</f>
        <v>1250980</v>
      </c>
      <c r="M196" s="289">
        <f>+K0kommunestruktur2020altern!M196</f>
        <v>47107</v>
      </c>
      <c r="N196" s="289">
        <f>+K0kommunestruktur2020altern!N196</f>
        <v>1285032</v>
      </c>
      <c r="O196" s="289">
        <f>+K0kommunestruktur2020altern!O196</f>
        <v>47204</v>
      </c>
      <c r="P196" s="289">
        <f>+K0kommunestruktur2020altern!P196</f>
        <v>1280124</v>
      </c>
      <c r="Q196" s="289">
        <f>+'K21'!C196</f>
        <v>47499</v>
      </c>
      <c r="R196" s="289">
        <f>+'K21'!Z196</f>
        <v>1502871.6910000001</v>
      </c>
      <c r="S196" s="517"/>
      <c r="T196" s="517"/>
    </row>
    <row r="197" spans="1:20" ht="13">
      <c r="A197" s="755">
        <v>3806</v>
      </c>
      <c r="B197" s="756" t="s">
        <v>904</v>
      </c>
      <c r="C197" s="289">
        <f>+K0kommunestruktur2020altern!C197</f>
        <v>35516</v>
      </c>
      <c r="D197" s="289">
        <f>+K0kommunestruktur2020altern!D197</f>
        <v>786648</v>
      </c>
      <c r="E197" s="289">
        <f>+K0kommunestruktur2020altern!E197</f>
        <v>35755</v>
      </c>
      <c r="F197" s="289">
        <f>+K0kommunestruktur2020altern!F197</f>
        <v>832456</v>
      </c>
      <c r="G197" s="289">
        <f>+K0kommunestruktur2020altern!G197</f>
        <v>35955</v>
      </c>
      <c r="H197" s="289">
        <f>+K0kommunestruktur2020altern!H197</f>
        <v>899390</v>
      </c>
      <c r="I197" s="289">
        <f>+K0kommunestruktur2020altern!I197</f>
        <v>36198</v>
      </c>
      <c r="J197" s="289">
        <f>+K0kommunestruktur2020altern!J197</f>
        <v>954527</v>
      </c>
      <c r="K197" s="289">
        <f>+K0kommunestruktur2020altern!K197</f>
        <v>36091</v>
      </c>
      <c r="L197" s="289">
        <f>+K0kommunestruktur2020altern!L197</f>
        <v>994677</v>
      </c>
      <c r="M197" s="289">
        <f>+K0kommunestruktur2020altern!M197</f>
        <v>36224</v>
      </c>
      <c r="N197" s="289">
        <f>+K0kommunestruktur2020altern!N197</f>
        <v>1030160</v>
      </c>
      <c r="O197" s="289">
        <f>+K0kommunestruktur2020altern!O197</f>
        <v>36397</v>
      </c>
      <c r="P197" s="289">
        <f>+K0kommunestruktur2020altern!P197</f>
        <v>997575</v>
      </c>
      <c r="Q197" s="289">
        <f>+'K21'!C197</f>
        <v>36526</v>
      </c>
      <c r="R197" s="289">
        <f>+'K21'!Z197</f>
        <v>1164383.0649999999</v>
      </c>
      <c r="S197" s="517"/>
      <c r="T197" s="517"/>
    </row>
    <row r="198" spans="1:20" ht="13">
      <c r="A198" s="755">
        <v>3807</v>
      </c>
      <c r="B198" s="756" t="s">
        <v>905</v>
      </c>
      <c r="C198" s="289">
        <f>+K0kommunestruktur2020altern!C198</f>
        <v>53439</v>
      </c>
      <c r="D198" s="289">
        <f>+K0kommunestruktur2020altern!D198</f>
        <v>1111721</v>
      </c>
      <c r="E198" s="289">
        <f>+K0kommunestruktur2020altern!E198</f>
        <v>53745</v>
      </c>
      <c r="F198" s="289">
        <f>+K0kommunestruktur2020altern!F198</f>
        <v>1204597</v>
      </c>
      <c r="G198" s="289">
        <f>+K0kommunestruktur2020altern!G198</f>
        <v>53952</v>
      </c>
      <c r="H198" s="289">
        <f>+K0kommunestruktur2020altern!H198</f>
        <v>1297835</v>
      </c>
      <c r="I198" s="289">
        <f>+K0kommunestruktur2020altern!I198</f>
        <v>54316</v>
      </c>
      <c r="J198" s="289">
        <f>+K0kommunestruktur2020altern!J198</f>
        <v>1350527</v>
      </c>
      <c r="K198" s="289">
        <f>+K0kommunestruktur2020altern!K198</f>
        <v>54510</v>
      </c>
      <c r="L198" s="289">
        <f>+K0kommunestruktur2020altern!L198</f>
        <v>1395616</v>
      </c>
      <c r="M198" s="289">
        <f>+K0kommunestruktur2020altern!M198</f>
        <v>54645</v>
      </c>
      <c r="N198" s="289">
        <f>+K0kommunestruktur2020altern!N198</f>
        <v>1431339</v>
      </c>
      <c r="O198" s="289">
        <f>+K0kommunestruktur2020altern!O198</f>
        <v>54942</v>
      </c>
      <c r="P198" s="289">
        <f>+K0kommunestruktur2020altern!P198</f>
        <v>1416501</v>
      </c>
      <c r="Q198" s="289">
        <f>+'K21'!C198</f>
        <v>55144</v>
      </c>
      <c r="R198" s="289">
        <f>+'K21'!Z198</f>
        <v>1648435.71</v>
      </c>
      <c r="S198" s="517"/>
      <c r="T198" s="517"/>
    </row>
    <row r="199" spans="1:20" ht="13">
      <c r="A199" s="755">
        <v>3808</v>
      </c>
      <c r="B199" s="756" t="s">
        <v>906</v>
      </c>
      <c r="C199" s="289">
        <f>+K0kommunestruktur2020altern!C199</f>
        <v>13060.33938970417</v>
      </c>
      <c r="D199" s="289">
        <f>+K0kommunestruktur2020altern!D199</f>
        <v>269913.75145585835</v>
      </c>
      <c r="E199" s="289">
        <f>+K0kommunestruktur2020altern!E199</f>
        <v>13052.530864197532</v>
      </c>
      <c r="F199" s="289">
        <f>+K0kommunestruktur2020altern!F199</f>
        <v>287425.77870952716</v>
      </c>
      <c r="G199" s="289">
        <f>+K0kommunestruktur2020altern!G199</f>
        <v>13169.696016771488</v>
      </c>
      <c r="H199" s="289">
        <f>+K0kommunestruktur2020altern!H199</f>
        <v>311265.78173771256</v>
      </c>
      <c r="I199" s="289">
        <f>+K0kommunestruktur2020altern!I199</f>
        <v>13206.043559282552</v>
      </c>
      <c r="J199" s="289">
        <f>+K0kommunestruktur2020altern!J199</f>
        <v>314350.34032145352</v>
      </c>
      <c r="K199" s="289">
        <f>+K0kommunestruktur2020altern!K199</f>
        <v>13118.88749126485</v>
      </c>
      <c r="L199" s="289">
        <f>+K0kommunestruktur2020altern!L199</f>
        <v>322222.82739343116</v>
      </c>
      <c r="M199" s="289">
        <f>+K0kommunestruktur2020altern!M199</f>
        <v>13130</v>
      </c>
      <c r="N199" s="289">
        <f>+K0kommunestruktur2020altern!N199</f>
        <v>341773.44211507106</v>
      </c>
      <c r="O199" s="289">
        <f>+K0kommunestruktur2020altern!O199</f>
        <v>13049</v>
      </c>
      <c r="P199" s="289">
        <f>+K0kommunestruktur2020altern!P199</f>
        <v>340724</v>
      </c>
      <c r="Q199" s="289">
        <f>+'K21'!C199</f>
        <v>12994</v>
      </c>
      <c r="R199" s="289">
        <f>+'K21'!Z199</f>
        <v>386292.53200000001</v>
      </c>
      <c r="S199" s="517"/>
      <c r="T199" s="517"/>
    </row>
    <row r="200" spans="1:20" ht="13">
      <c r="A200" s="755">
        <v>3811</v>
      </c>
      <c r="B200" s="756" t="s">
        <v>1241</v>
      </c>
      <c r="C200" s="289">
        <f>+K0kommunestruktur2020altern!C200</f>
        <v>26330</v>
      </c>
      <c r="D200" s="289">
        <f>+K0kommunestruktur2020altern!D200</f>
        <v>669429</v>
      </c>
      <c r="E200" s="289">
        <f>+K0kommunestruktur2020altern!E200</f>
        <v>26445</v>
      </c>
      <c r="F200" s="289">
        <f>+K0kommunestruktur2020altern!F200</f>
        <v>711078</v>
      </c>
      <c r="G200" s="289">
        <f>+K0kommunestruktur2020altern!G200</f>
        <v>26592</v>
      </c>
      <c r="H200" s="289">
        <f>+K0kommunestruktur2020altern!H200</f>
        <v>787439</v>
      </c>
      <c r="I200" s="289">
        <f>+K0kommunestruktur2020altern!I200</f>
        <v>26676</v>
      </c>
      <c r="J200" s="289">
        <f>+K0kommunestruktur2020altern!J200</f>
        <v>818629</v>
      </c>
      <c r="K200" s="289">
        <f>+K0kommunestruktur2020altern!K200</f>
        <v>26734</v>
      </c>
      <c r="L200" s="289">
        <f>+K0kommunestruktur2020altern!L200</f>
        <v>826128</v>
      </c>
      <c r="M200" s="289">
        <f>+K0kommunestruktur2020altern!M200</f>
        <v>26700</v>
      </c>
      <c r="N200" s="289">
        <f>+K0kommunestruktur2020altern!N200</f>
        <v>861791</v>
      </c>
      <c r="O200" s="289">
        <f>+K0kommunestruktur2020altern!O200</f>
        <v>26730</v>
      </c>
      <c r="P200" s="289">
        <f>+K0kommunestruktur2020altern!P200</f>
        <v>859253</v>
      </c>
      <c r="Q200" s="289">
        <f>+'K21'!C200</f>
        <v>26957</v>
      </c>
      <c r="R200" s="289">
        <f>+'K21'!Z200</f>
        <v>999557.24</v>
      </c>
      <c r="S200" s="517"/>
      <c r="T200" s="517"/>
    </row>
    <row r="201" spans="1:20" ht="13">
      <c r="A201" s="755">
        <v>3812</v>
      </c>
      <c r="B201" s="756" t="s">
        <v>907</v>
      </c>
      <c r="C201" s="289">
        <f>+K0kommunestruktur2020altern!C201</f>
        <v>2404</v>
      </c>
      <c r="D201" s="289">
        <f>+K0kommunestruktur2020altern!D201</f>
        <v>48534</v>
      </c>
      <c r="E201" s="289">
        <f>+K0kommunestruktur2020altern!E201</f>
        <v>2361</v>
      </c>
      <c r="F201" s="289">
        <f>+K0kommunestruktur2020altern!F201</f>
        <v>49972</v>
      </c>
      <c r="G201" s="289">
        <f>+K0kommunestruktur2020altern!G201</f>
        <v>2335</v>
      </c>
      <c r="H201" s="289">
        <f>+K0kommunestruktur2020altern!H201</f>
        <v>54288</v>
      </c>
      <c r="I201" s="289">
        <f>+K0kommunestruktur2020altern!I201</f>
        <v>2357</v>
      </c>
      <c r="J201" s="289">
        <f>+K0kommunestruktur2020altern!J201</f>
        <v>58101</v>
      </c>
      <c r="K201" s="289">
        <f>+K0kommunestruktur2020altern!K201</f>
        <v>2351</v>
      </c>
      <c r="L201" s="289">
        <f>+K0kommunestruktur2020altern!L201</f>
        <v>59881</v>
      </c>
      <c r="M201" s="289">
        <f>+K0kommunestruktur2020altern!M201</f>
        <v>2329</v>
      </c>
      <c r="N201" s="289">
        <f>+K0kommunestruktur2020altern!N201</f>
        <v>61369</v>
      </c>
      <c r="O201" s="289">
        <f>+K0kommunestruktur2020altern!O201</f>
        <v>2340</v>
      </c>
      <c r="P201" s="289">
        <f>+K0kommunestruktur2020altern!P201</f>
        <v>60081</v>
      </c>
      <c r="Q201" s="289">
        <f>+'K21'!C201</f>
        <v>2347</v>
      </c>
      <c r="R201" s="289">
        <f>+'K21'!Z201</f>
        <v>66355.051999999996</v>
      </c>
      <c r="S201" s="517"/>
      <c r="T201" s="517"/>
    </row>
    <row r="202" spans="1:20" ht="13">
      <c r="A202" s="755">
        <v>3813</v>
      </c>
      <c r="B202" s="756" t="s">
        <v>908</v>
      </c>
      <c r="C202" s="289">
        <f>+K0kommunestruktur2020altern!C202</f>
        <v>14193</v>
      </c>
      <c r="D202" s="289">
        <f>+K0kommunestruktur2020altern!D202</f>
        <v>315740</v>
      </c>
      <c r="E202" s="289">
        <f>+K0kommunestruktur2020altern!E202</f>
        <v>14140</v>
      </c>
      <c r="F202" s="289">
        <f>+K0kommunestruktur2020altern!F202</f>
        <v>322952</v>
      </c>
      <c r="G202" s="289">
        <f>+K0kommunestruktur2020altern!G202</f>
        <v>14088</v>
      </c>
      <c r="H202" s="289">
        <f>+K0kommunestruktur2020altern!H202</f>
        <v>355108</v>
      </c>
      <c r="I202" s="289">
        <f>+K0kommunestruktur2020altern!I202</f>
        <v>14138</v>
      </c>
      <c r="J202" s="289">
        <f>+K0kommunestruktur2020altern!J202</f>
        <v>367084</v>
      </c>
      <c r="K202" s="289">
        <f>+K0kommunestruktur2020altern!K202</f>
        <v>14183</v>
      </c>
      <c r="L202" s="289">
        <f>+K0kommunestruktur2020altern!L202</f>
        <v>382036</v>
      </c>
      <c r="M202" s="289">
        <f>+K0kommunestruktur2020altern!M202</f>
        <v>14089</v>
      </c>
      <c r="N202" s="289">
        <f>+K0kommunestruktur2020altern!N202</f>
        <v>395478</v>
      </c>
      <c r="O202" s="289">
        <f>+K0kommunestruktur2020altern!O202</f>
        <v>14061</v>
      </c>
      <c r="P202" s="289">
        <f>+K0kommunestruktur2020altern!P202</f>
        <v>392430</v>
      </c>
      <c r="Q202" s="289">
        <f>+'K21'!C202</f>
        <v>14014</v>
      </c>
      <c r="R202" s="289">
        <f>+'K21'!Z202</f>
        <v>464590.26500000001</v>
      </c>
      <c r="S202" s="517"/>
      <c r="T202" s="517"/>
    </row>
    <row r="203" spans="1:20" ht="13">
      <c r="A203" s="755">
        <v>3814</v>
      </c>
      <c r="B203" s="756" t="s">
        <v>910</v>
      </c>
      <c r="C203" s="289">
        <f>+K0kommunestruktur2020altern!C203</f>
        <v>10621</v>
      </c>
      <c r="D203" s="289">
        <f>+K0kommunestruktur2020altern!D203</f>
        <v>208570</v>
      </c>
      <c r="E203" s="289">
        <f>+K0kommunestruktur2020altern!E203</f>
        <v>10636</v>
      </c>
      <c r="F203" s="289">
        <f>+K0kommunestruktur2020altern!F203</f>
        <v>222964</v>
      </c>
      <c r="G203" s="289">
        <f>+K0kommunestruktur2020altern!G203</f>
        <v>10607</v>
      </c>
      <c r="H203" s="289">
        <f>+K0kommunestruktur2020altern!H203</f>
        <v>238907</v>
      </c>
      <c r="I203" s="289">
        <f>+K0kommunestruktur2020altern!I203</f>
        <v>10586</v>
      </c>
      <c r="J203" s="289">
        <f>+K0kommunestruktur2020altern!J203</f>
        <v>246804</v>
      </c>
      <c r="K203" s="289">
        <f>+K0kommunestruktur2020altern!K203</f>
        <v>10506</v>
      </c>
      <c r="L203" s="289">
        <f>+K0kommunestruktur2020altern!L203</f>
        <v>262062</v>
      </c>
      <c r="M203" s="289">
        <f>+K0kommunestruktur2020altern!M203</f>
        <v>10406</v>
      </c>
      <c r="N203" s="289">
        <f>+K0kommunestruktur2020altern!N203</f>
        <v>268676</v>
      </c>
      <c r="O203" s="289">
        <f>+K0kommunestruktur2020altern!O203</f>
        <v>10380</v>
      </c>
      <c r="P203" s="289">
        <f>+K0kommunestruktur2020altern!P203</f>
        <v>269045</v>
      </c>
      <c r="Q203" s="289">
        <f>+'K21'!C203</f>
        <v>10416</v>
      </c>
      <c r="R203" s="289">
        <f>+'K21'!Z203</f>
        <v>309402.73300000001</v>
      </c>
      <c r="S203" s="517"/>
      <c r="T203" s="517"/>
    </row>
    <row r="204" spans="1:20" ht="13">
      <c r="A204" s="755">
        <v>3815</v>
      </c>
      <c r="B204" s="756" t="s">
        <v>911</v>
      </c>
      <c r="C204" s="289">
        <f>+K0kommunestruktur2020altern!C204</f>
        <v>4135</v>
      </c>
      <c r="D204" s="289">
        <f>+K0kommunestruktur2020altern!D204</f>
        <v>74397</v>
      </c>
      <c r="E204" s="289">
        <f>+K0kommunestruktur2020altern!E204</f>
        <v>4111</v>
      </c>
      <c r="F204" s="289">
        <f>+K0kommunestruktur2020altern!F204</f>
        <v>77737</v>
      </c>
      <c r="G204" s="289">
        <f>+K0kommunestruktur2020altern!G204</f>
        <v>4136</v>
      </c>
      <c r="H204" s="289">
        <f>+K0kommunestruktur2020altern!H204</f>
        <v>83380</v>
      </c>
      <c r="I204" s="289">
        <f>+K0kommunestruktur2020altern!I204</f>
        <v>4148</v>
      </c>
      <c r="J204" s="289">
        <f>+K0kommunestruktur2020altern!J204</f>
        <v>85856</v>
      </c>
      <c r="K204" s="289">
        <f>+K0kommunestruktur2020altern!K204</f>
        <v>4105</v>
      </c>
      <c r="L204" s="289">
        <f>+K0kommunestruktur2020altern!L204</f>
        <v>89506</v>
      </c>
      <c r="M204" s="289">
        <f>+K0kommunestruktur2020altern!M204</f>
        <v>4080</v>
      </c>
      <c r="N204" s="289">
        <f>+K0kommunestruktur2020altern!N204</f>
        <v>91475</v>
      </c>
      <c r="O204" s="289">
        <f>+K0kommunestruktur2020altern!O204</f>
        <v>4060</v>
      </c>
      <c r="P204" s="289">
        <f>+K0kommunestruktur2020altern!P204</f>
        <v>94071</v>
      </c>
      <c r="Q204" s="289">
        <f>+'K21'!C204</f>
        <v>4071</v>
      </c>
      <c r="R204" s="289">
        <f>+'K21'!Z204</f>
        <v>106553.28200000001</v>
      </c>
      <c r="S204" s="517"/>
      <c r="T204" s="517"/>
    </row>
    <row r="205" spans="1:20" ht="13">
      <c r="A205" s="755">
        <v>3816</v>
      </c>
      <c r="B205" s="756" t="s">
        <v>912</v>
      </c>
      <c r="C205" s="289">
        <f>+K0kommunestruktur2020altern!C205</f>
        <v>6643</v>
      </c>
      <c r="D205" s="289">
        <f>+K0kommunestruktur2020altern!D205</f>
        <v>133614</v>
      </c>
      <c r="E205" s="289">
        <f>+K0kommunestruktur2020altern!E205</f>
        <v>6630</v>
      </c>
      <c r="F205" s="289">
        <f>+K0kommunestruktur2020altern!F205</f>
        <v>140747</v>
      </c>
      <c r="G205" s="289">
        <f>+K0kommunestruktur2020altern!G205</f>
        <v>6534</v>
      </c>
      <c r="H205" s="289">
        <f>+K0kommunestruktur2020altern!H205</f>
        <v>142744</v>
      </c>
      <c r="I205" s="289">
        <f>+K0kommunestruktur2020altern!I205</f>
        <v>6585</v>
      </c>
      <c r="J205" s="289">
        <f>+K0kommunestruktur2020altern!J205</f>
        <v>146101</v>
      </c>
      <c r="K205" s="289">
        <f>+K0kommunestruktur2020altern!K205</f>
        <v>6609</v>
      </c>
      <c r="L205" s="289">
        <f>+K0kommunestruktur2020altern!L205</f>
        <v>155467</v>
      </c>
      <c r="M205" s="289">
        <f>+K0kommunestruktur2020altern!M205</f>
        <v>6538</v>
      </c>
      <c r="N205" s="289">
        <f>+K0kommunestruktur2020altern!N205</f>
        <v>161297</v>
      </c>
      <c r="O205" s="289">
        <f>+K0kommunestruktur2020altern!O205</f>
        <v>6515</v>
      </c>
      <c r="P205" s="289">
        <f>+K0kommunestruktur2020altern!P205</f>
        <v>158065</v>
      </c>
      <c r="Q205" s="289">
        <f>+'K21'!C205</f>
        <v>6488</v>
      </c>
      <c r="R205" s="289">
        <f>+'K21'!Z205</f>
        <v>175956.23499999999</v>
      </c>
      <c r="S205" s="517"/>
      <c r="T205" s="517"/>
    </row>
    <row r="206" spans="1:20" ht="13">
      <c r="A206" s="755">
        <v>3817</v>
      </c>
      <c r="B206" s="756" t="s">
        <v>1627</v>
      </c>
      <c r="C206" s="289">
        <f>+K0kommunestruktur2020altern!C206</f>
        <v>9707.6606102958303</v>
      </c>
      <c r="D206" s="289">
        <f>+K0kommunestruktur2020altern!D206</f>
        <v>189910.24854414162</v>
      </c>
      <c r="E206" s="289">
        <f>+K0kommunestruktur2020altern!E206</f>
        <v>9869.4691358024684</v>
      </c>
      <c r="F206" s="289">
        <f>+K0kommunestruktur2020altern!F206</f>
        <v>202086.22129047287</v>
      </c>
      <c r="G206" s="289">
        <f>+K0kommunestruktur2020altern!G206</f>
        <v>9986.3039832285122</v>
      </c>
      <c r="H206" s="289">
        <f>+K0kommunestruktur2020altern!H206</f>
        <v>218920.21826228744</v>
      </c>
      <c r="I206" s="289">
        <f>+K0kommunestruktur2020altern!I206</f>
        <v>10115.956440717448</v>
      </c>
      <c r="J206" s="289">
        <f>+K0kommunestruktur2020altern!J206</f>
        <v>233707.65967854648</v>
      </c>
      <c r="K206" s="289">
        <f>+K0kommunestruktur2020altern!K206</f>
        <v>10364.11250873515</v>
      </c>
      <c r="L206" s="289">
        <f>+K0kommunestruktur2020altern!L206</f>
        <v>247007.17260656884</v>
      </c>
      <c r="M206" s="289">
        <f>+K0kommunestruktur2020altern!M206</f>
        <v>10475</v>
      </c>
      <c r="N206" s="289">
        <f>+K0kommunestruktur2020altern!N206</f>
        <v>254373.55788492894</v>
      </c>
      <c r="O206" s="289">
        <f>+K0kommunestruktur2020altern!O206</f>
        <v>10444</v>
      </c>
      <c r="P206" s="289">
        <f>+K0kommunestruktur2020altern!P206</f>
        <v>250588</v>
      </c>
      <c r="Q206" s="289">
        <f>+'K21'!C206</f>
        <v>10461</v>
      </c>
      <c r="R206" s="289">
        <f>+'K21'!Z206</f>
        <v>281774.505</v>
      </c>
      <c r="S206" s="517"/>
      <c r="T206" s="517"/>
    </row>
    <row r="207" spans="1:20" ht="13">
      <c r="A207" s="755">
        <v>3818</v>
      </c>
      <c r="B207" s="756" t="s">
        <v>920</v>
      </c>
      <c r="C207" s="289">
        <f>+K0kommunestruktur2020altern!C207</f>
        <v>5957</v>
      </c>
      <c r="D207" s="289">
        <f>+K0kommunestruktur2020altern!D207</f>
        <v>171332</v>
      </c>
      <c r="E207" s="289">
        <f>+K0kommunestruktur2020altern!E207</f>
        <v>5913</v>
      </c>
      <c r="F207" s="289">
        <f>+K0kommunestruktur2020altern!F207</f>
        <v>175352</v>
      </c>
      <c r="G207" s="289">
        <f>+K0kommunestruktur2020altern!G207</f>
        <v>5940</v>
      </c>
      <c r="H207" s="289">
        <f>+K0kommunestruktur2020altern!H207</f>
        <v>186961</v>
      </c>
      <c r="I207" s="289">
        <f>+K0kommunestruktur2020altern!I207</f>
        <v>5894</v>
      </c>
      <c r="J207" s="289">
        <f>+K0kommunestruktur2020altern!J207</f>
        <v>193683</v>
      </c>
      <c r="K207" s="289">
        <f>+K0kommunestruktur2020altern!K207</f>
        <v>5856</v>
      </c>
      <c r="L207" s="289">
        <f>+K0kommunestruktur2020altern!L207</f>
        <v>199842</v>
      </c>
      <c r="M207" s="289">
        <f>+K0kommunestruktur2020altern!M207</f>
        <v>5780</v>
      </c>
      <c r="N207" s="289">
        <f>+K0kommunestruktur2020altern!N207</f>
        <v>205109</v>
      </c>
      <c r="O207" s="289">
        <f>+K0kommunestruktur2020altern!O207</f>
        <v>5691</v>
      </c>
      <c r="P207" s="289">
        <f>+K0kommunestruktur2020altern!P207</f>
        <v>204259</v>
      </c>
      <c r="Q207" s="289">
        <f>+'K21'!C207</f>
        <v>5604</v>
      </c>
      <c r="R207" s="289">
        <f>+'K21'!Z207</f>
        <v>223349.69099999999</v>
      </c>
      <c r="S207" s="517"/>
      <c r="T207" s="517"/>
    </row>
    <row r="208" spans="1:20" ht="13">
      <c r="A208" s="755">
        <v>3819</v>
      </c>
      <c r="B208" s="756" t="s">
        <v>921</v>
      </c>
      <c r="C208" s="289">
        <f>+K0kommunestruktur2020altern!C208</f>
        <v>1602</v>
      </c>
      <c r="D208" s="289">
        <f>+K0kommunestruktur2020altern!D208</f>
        <v>39542</v>
      </c>
      <c r="E208" s="289">
        <f>+K0kommunestruktur2020altern!E208</f>
        <v>1594</v>
      </c>
      <c r="F208" s="289">
        <f>+K0kommunestruktur2020altern!F208</f>
        <v>42830</v>
      </c>
      <c r="G208" s="289">
        <f>+K0kommunestruktur2020altern!G208</f>
        <v>1613</v>
      </c>
      <c r="H208" s="289">
        <f>+K0kommunestruktur2020altern!H208</f>
        <v>40643</v>
      </c>
      <c r="I208" s="289">
        <f>+K0kommunestruktur2020altern!I208</f>
        <v>1593</v>
      </c>
      <c r="J208" s="289">
        <f>+K0kommunestruktur2020altern!J208</f>
        <v>43632</v>
      </c>
      <c r="K208" s="289">
        <f>+K0kommunestruktur2020altern!K208</f>
        <v>1587</v>
      </c>
      <c r="L208" s="289">
        <f>+K0kommunestruktur2020altern!L208</f>
        <v>47373</v>
      </c>
      <c r="M208" s="289">
        <f>+K0kommunestruktur2020altern!M208</f>
        <v>1572</v>
      </c>
      <c r="N208" s="289">
        <f>+K0kommunestruktur2020altern!N208</f>
        <v>48046</v>
      </c>
      <c r="O208" s="289">
        <f>+K0kommunestruktur2020altern!O208</f>
        <v>1573</v>
      </c>
      <c r="P208" s="289">
        <f>+K0kommunestruktur2020altern!P208</f>
        <v>47993</v>
      </c>
      <c r="Q208" s="289">
        <f>+'K21'!C208</f>
        <v>1561</v>
      </c>
      <c r="R208" s="289">
        <f>+'K21'!Z208</f>
        <v>54653.358999999997</v>
      </c>
      <c r="S208" s="517"/>
      <c r="T208" s="517"/>
    </row>
    <row r="209" spans="1:20" ht="13">
      <c r="A209" s="755">
        <v>3820</v>
      </c>
      <c r="B209" s="756" t="s">
        <v>922</v>
      </c>
      <c r="C209" s="289">
        <f>+K0kommunestruktur2020altern!C209</f>
        <v>2989</v>
      </c>
      <c r="D209" s="289">
        <f>+K0kommunestruktur2020altern!D209</f>
        <v>65047</v>
      </c>
      <c r="E209" s="289">
        <f>+K0kommunestruktur2020altern!E209</f>
        <v>3002</v>
      </c>
      <c r="F209" s="289">
        <f>+K0kommunestruktur2020altern!F209</f>
        <v>68192</v>
      </c>
      <c r="G209" s="289">
        <f>+K0kommunestruktur2020altern!G209</f>
        <v>2991</v>
      </c>
      <c r="H209" s="289">
        <f>+K0kommunestruktur2020altern!H209</f>
        <v>77709</v>
      </c>
      <c r="I209" s="289">
        <f>+K0kommunestruktur2020altern!I209</f>
        <v>2979</v>
      </c>
      <c r="J209" s="289">
        <f>+K0kommunestruktur2020altern!J209</f>
        <v>76975</v>
      </c>
      <c r="K209" s="289">
        <f>+K0kommunestruktur2020altern!K209</f>
        <v>2959</v>
      </c>
      <c r="L209" s="289">
        <f>+K0kommunestruktur2020altern!L209</f>
        <v>79022</v>
      </c>
      <c r="M209" s="289">
        <f>+K0kommunestruktur2020altern!M209</f>
        <v>2934</v>
      </c>
      <c r="N209" s="289">
        <f>+K0kommunestruktur2020altern!N209</f>
        <v>79899</v>
      </c>
      <c r="O209" s="289">
        <f>+K0kommunestruktur2020altern!O209</f>
        <v>2888</v>
      </c>
      <c r="P209" s="289">
        <f>+K0kommunestruktur2020altern!P209</f>
        <v>81485</v>
      </c>
      <c r="Q209" s="289">
        <f>+'K21'!C209</f>
        <v>2900</v>
      </c>
      <c r="R209" s="289">
        <f>+'K21'!Z209</f>
        <v>91555.714999999997</v>
      </c>
      <c r="S209" s="517"/>
      <c r="T209" s="517"/>
    </row>
    <row r="210" spans="1:20" ht="13">
      <c r="A210" s="755">
        <v>3821</v>
      </c>
      <c r="B210" s="756" t="s">
        <v>923</v>
      </c>
      <c r="C210" s="289">
        <f>+K0kommunestruktur2020altern!C210</f>
        <v>2468</v>
      </c>
      <c r="D210" s="289">
        <f>+K0kommunestruktur2020altern!D210</f>
        <v>50957</v>
      </c>
      <c r="E210" s="289">
        <f>+K0kommunestruktur2020altern!E210</f>
        <v>2466</v>
      </c>
      <c r="F210" s="289">
        <f>+K0kommunestruktur2020altern!F210</f>
        <v>53676</v>
      </c>
      <c r="G210" s="289">
        <f>+K0kommunestruktur2020altern!G210</f>
        <v>2448</v>
      </c>
      <c r="H210" s="289">
        <f>+K0kommunestruktur2020altern!H210</f>
        <v>59167</v>
      </c>
      <c r="I210" s="289">
        <f>+K0kommunestruktur2020altern!I210</f>
        <v>2442</v>
      </c>
      <c r="J210" s="289">
        <f>+K0kommunestruktur2020altern!J210</f>
        <v>59446</v>
      </c>
      <c r="K210" s="289">
        <f>+K0kommunestruktur2020altern!K210</f>
        <v>2397</v>
      </c>
      <c r="L210" s="289">
        <f>+K0kommunestruktur2020altern!L210</f>
        <v>63971</v>
      </c>
      <c r="M210" s="289">
        <f>+K0kommunestruktur2020altern!M210</f>
        <v>2403</v>
      </c>
      <c r="N210" s="289">
        <f>+K0kommunestruktur2020altern!N210</f>
        <v>65310</v>
      </c>
      <c r="O210" s="289">
        <f>+K0kommunestruktur2020altern!O210</f>
        <v>2403</v>
      </c>
      <c r="P210" s="289">
        <f>+K0kommunestruktur2020altern!P210</f>
        <v>67377</v>
      </c>
      <c r="Q210" s="289">
        <f>+'K21'!C210</f>
        <v>2430</v>
      </c>
      <c r="R210" s="289">
        <f>+'K21'!Z210</f>
        <v>75949.521999999997</v>
      </c>
      <c r="S210" s="517"/>
      <c r="T210" s="517"/>
    </row>
    <row r="211" spans="1:20" ht="13">
      <c r="A211" s="755">
        <v>3822</v>
      </c>
      <c r="B211" s="756" t="s">
        <v>924</v>
      </c>
      <c r="C211" s="289">
        <f>+K0kommunestruktur2020altern!C211</f>
        <v>1451</v>
      </c>
      <c r="D211" s="289">
        <f>+K0kommunestruktur2020altern!D211</f>
        <v>36611</v>
      </c>
      <c r="E211" s="289">
        <f>+K0kommunestruktur2020altern!E211</f>
        <v>1439</v>
      </c>
      <c r="F211" s="289">
        <f>+K0kommunestruktur2020altern!F211</f>
        <v>37410</v>
      </c>
      <c r="G211" s="289">
        <f>+K0kommunestruktur2020altern!G211</f>
        <v>1443</v>
      </c>
      <c r="H211" s="289">
        <f>+K0kommunestruktur2020altern!H211</f>
        <v>39677</v>
      </c>
      <c r="I211" s="289">
        <f>+K0kommunestruktur2020altern!I211</f>
        <v>1476</v>
      </c>
      <c r="J211" s="289">
        <f>+K0kommunestruktur2020altern!J211</f>
        <v>41801</v>
      </c>
      <c r="K211" s="289">
        <f>+K0kommunestruktur2020altern!K211</f>
        <v>1489</v>
      </c>
      <c r="L211" s="289">
        <f>+K0kommunestruktur2020altern!L211</f>
        <v>43371</v>
      </c>
      <c r="M211" s="289">
        <f>+K0kommunestruktur2020altern!M211</f>
        <v>1476</v>
      </c>
      <c r="N211" s="289">
        <f>+K0kommunestruktur2020altern!N211</f>
        <v>43819</v>
      </c>
      <c r="O211" s="289">
        <f>+K0kommunestruktur2020altern!O211</f>
        <v>1448</v>
      </c>
      <c r="P211" s="289">
        <f>+K0kommunestruktur2020altern!P211</f>
        <v>42926</v>
      </c>
      <c r="Q211" s="289">
        <f>+'K21'!C211</f>
        <v>1430</v>
      </c>
      <c r="R211" s="289">
        <f>+'K21'!Z211</f>
        <v>47756.73</v>
      </c>
      <c r="S211" s="517"/>
      <c r="T211" s="517"/>
    </row>
    <row r="212" spans="1:20" ht="13">
      <c r="A212" s="755">
        <v>3823</v>
      </c>
      <c r="B212" s="756" t="s">
        <v>925</v>
      </c>
      <c r="C212" s="289">
        <f>+K0kommunestruktur2020altern!C212</f>
        <v>1303</v>
      </c>
      <c r="D212" s="289">
        <f>+K0kommunestruktur2020altern!D212</f>
        <v>28797</v>
      </c>
      <c r="E212" s="289">
        <f>+K0kommunestruktur2020altern!E212</f>
        <v>1298</v>
      </c>
      <c r="F212" s="289">
        <f>+K0kommunestruktur2020altern!F212</f>
        <v>30134</v>
      </c>
      <c r="G212" s="289">
        <f>+K0kommunestruktur2020altern!G212</f>
        <v>1323</v>
      </c>
      <c r="H212" s="289">
        <f>+K0kommunestruktur2020altern!H212</f>
        <v>31376</v>
      </c>
      <c r="I212" s="289">
        <f>+K0kommunestruktur2020altern!I212</f>
        <v>1319</v>
      </c>
      <c r="J212" s="289">
        <f>+K0kommunestruktur2020altern!J212</f>
        <v>31788</v>
      </c>
      <c r="K212" s="289">
        <f>+K0kommunestruktur2020altern!K212</f>
        <v>1320</v>
      </c>
      <c r="L212" s="289">
        <f>+K0kommunestruktur2020altern!L212</f>
        <v>35116</v>
      </c>
      <c r="M212" s="289">
        <f>+K0kommunestruktur2020altern!M212</f>
        <v>1286</v>
      </c>
      <c r="N212" s="289">
        <f>+K0kommunestruktur2020altern!N212</f>
        <v>35476</v>
      </c>
      <c r="O212" s="289">
        <f>+K0kommunestruktur2020altern!O212</f>
        <v>1287</v>
      </c>
      <c r="P212" s="289">
        <f>+K0kommunestruktur2020altern!P212</f>
        <v>35369</v>
      </c>
      <c r="Q212" s="289">
        <f>+'K21'!C212</f>
        <v>1228</v>
      </c>
      <c r="R212" s="289">
        <f>+'K21'!Z212</f>
        <v>39973.891000000003</v>
      </c>
      <c r="S212" s="517"/>
      <c r="T212" s="517"/>
    </row>
    <row r="213" spans="1:20" ht="13">
      <c r="A213" s="755">
        <v>3824</v>
      </c>
      <c r="B213" s="756" t="s">
        <v>926</v>
      </c>
      <c r="C213" s="289">
        <f>+K0kommunestruktur2020altern!C213</f>
        <v>2257</v>
      </c>
      <c r="D213" s="289">
        <f>+K0kommunestruktur2020altern!D213</f>
        <v>71072</v>
      </c>
      <c r="E213" s="289">
        <f>+K0kommunestruktur2020altern!E213</f>
        <v>2252</v>
      </c>
      <c r="F213" s="289">
        <f>+K0kommunestruktur2020altern!F213</f>
        <v>73784</v>
      </c>
      <c r="G213" s="289">
        <f>+K0kommunestruktur2020altern!G213</f>
        <v>2246</v>
      </c>
      <c r="H213" s="289">
        <f>+K0kommunestruktur2020altern!H213</f>
        <v>75679</v>
      </c>
      <c r="I213" s="289">
        <f>+K0kommunestruktur2020altern!I213</f>
        <v>2228</v>
      </c>
      <c r="J213" s="289">
        <f>+K0kommunestruktur2020altern!J213</f>
        <v>75885</v>
      </c>
      <c r="K213" s="289">
        <f>+K0kommunestruktur2020altern!K213</f>
        <v>2236</v>
      </c>
      <c r="L213" s="289">
        <f>+K0kommunestruktur2020altern!L213</f>
        <v>78415</v>
      </c>
      <c r="M213" s="289">
        <f>+K0kommunestruktur2020altern!M213</f>
        <v>2228</v>
      </c>
      <c r="N213" s="289">
        <f>+K0kommunestruktur2020altern!N213</f>
        <v>83047</v>
      </c>
      <c r="O213" s="289">
        <f>+K0kommunestruktur2020altern!O213</f>
        <v>2201</v>
      </c>
      <c r="P213" s="289">
        <f>+K0kommunestruktur2020altern!P213</f>
        <v>84882</v>
      </c>
      <c r="Q213" s="289">
        <f>+'K21'!C213</f>
        <v>2164</v>
      </c>
      <c r="R213" s="289">
        <f>+'K21'!Z213</f>
        <v>94526.759000000005</v>
      </c>
      <c r="S213" s="517"/>
      <c r="T213" s="517"/>
    </row>
    <row r="214" spans="1:20" ht="13">
      <c r="A214" s="755">
        <v>3825</v>
      </c>
      <c r="B214" s="756" t="s">
        <v>927</v>
      </c>
      <c r="C214" s="289">
        <f>+K0kommunestruktur2020altern!C214</f>
        <v>3723</v>
      </c>
      <c r="D214" s="289">
        <f>+K0kommunestruktur2020altern!D214</f>
        <v>126108</v>
      </c>
      <c r="E214" s="289">
        <f>+K0kommunestruktur2020altern!E214</f>
        <v>3689</v>
      </c>
      <c r="F214" s="289">
        <f>+K0kommunestruktur2020altern!F214</f>
        <v>128208</v>
      </c>
      <c r="G214" s="289">
        <f>+K0kommunestruktur2020altern!G214</f>
        <v>3727</v>
      </c>
      <c r="H214" s="289">
        <f>+K0kommunestruktur2020altern!H214</f>
        <v>139735</v>
      </c>
      <c r="I214" s="289">
        <f>+K0kommunestruktur2020altern!I214</f>
        <v>3726</v>
      </c>
      <c r="J214" s="289">
        <f>+K0kommunestruktur2020altern!J214</f>
        <v>147661</v>
      </c>
      <c r="K214" s="289">
        <f>+K0kommunestruktur2020altern!K214</f>
        <v>3709</v>
      </c>
      <c r="L214" s="289">
        <f>+K0kommunestruktur2020altern!L214</f>
        <v>151716</v>
      </c>
      <c r="M214" s="289">
        <f>+K0kommunestruktur2020altern!M214</f>
        <v>3723</v>
      </c>
      <c r="N214" s="289">
        <f>+K0kommunestruktur2020altern!N214</f>
        <v>154659</v>
      </c>
      <c r="O214" s="289">
        <f>+K0kommunestruktur2020altern!O214</f>
        <v>3676</v>
      </c>
      <c r="P214" s="289">
        <f>+K0kommunestruktur2020altern!P214</f>
        <v>150015</v>
      </c>
      <c r="Q214" s="289">
        <f>+'K21'!C214</f>
        <v>3756</v>
      </c>
      <c r="R214" s="289">
        <f>+'K21'!Z214</f>
        <v>172555.34</v>
      </c>
      <c r="S214" s="517"/>
      <c r="T214" s="517"/>
    </row>
    <row r="215" spans="1:20" ht="13">
      <c r="A215" s="755">
        <v>4201</v>
      </c>
      <c r="B215" s="756" t="s">
        <v>928</v>
      </c>
      <c r="C215" s="289">
        <f>+K0kommunestruktur2020altern!C215</f>
        <v>6899</v>
      </c>
      <c r="D215" s="289">
        <f>+K0kommunestruktur2020altern!D215</f>
        <v>134355</v>
      </c>
      <c r="E215" s="289">
        <f>+K0kommunestruktur2020altern!E215</f>
        <v>6909</v>
      </c>
      <c r="F215" s="289">
        <f>+K0kommunestruktur2020altern!F215</f>
        <v>147885</v>
      </c>
      <c r="G215" s="289">
        <f>+K0kommunestruktur2020altern!G215</f>
        <v>6920</v>
      </c>
      <c r="H215" s="289">
        <f>+K0kommunestruktur2020altern!H215</f>
        <v>167375</v>
      </c>
      <c r="I215" s="289">
        <f>+K0kommunestruktur2020altern!I215</f>
        <v>6936</v>
      </c>
      <c r="J215" s="289">
        <f>+K0kommunestruktur2020altern!J215</f>
        <v>169353</v>
      </c>
      <c r="K215" s="289">
        <f>+K0kommunestruktur2020altern!K215</f>
        <v>6882</v>
      </c>
      <c r="L215" s="289">
        <f>+K0kommunestruktur2020altern!L215</f>
        <v>167642</v>
      </c>
      <c r="M215" s="289">
        <f>+K0kommunestruktur2020altern!M215</f>
        <v>6848</v>
      </c>
      <c r="N215" s="289">
        <f>+K0kommunestruktur2020altern!N215</f>
        <v>177519</v>
      </c>
      <c r="O215" s="289">
        <f>+K0kommunestruktur2020altern!O215</f>
        <v>6809</v>
      </c>
      <c r="P215" s="289">
        <f>+K0kommunestruktur2020altern!P215</f>
        <v>180186</v>
      </c>
      <c r="Q215" s="289">
        <f>+'K21'!C215</f>
        <v>6762</v>
      </c>
      <c r="R215" s="289">
        <f>+'K21'!Z215</f>
        <v>199212.78400000001</v>
      </c>
      <c r="S215" s="517"/>
      <c r="T215" s="517"/>
    </row>
    <row r="216" spans="1:20" ht="13">
      <c r="A216" s="755">
        <v>4202</v>
      </c>
      <c r="B216" s="756" t="s">
        <v>929</v>
      </c>
      <c r="C216" s="289">
        <f>+K0kommunestruktur2020altern!C216</f>
        <v>21783</v>
      </c>
      <c r="D216" s="289">
        <f>+K0kommunestruktur2020altern!D216</f>
        <v>553534</v>
      </c>
      <c r="E216" s="289">
        <f>+K0kommunestruktur2020altern!E216</f>
        <v>22098</v>
      </c>
      <c r="F216" s="289">
        <f>+K0kommunestruktur2020altern!F216</f>
        <v>543922</v>
      </c>
      <c r="G216" s="289">
        <f>+K0kommunestruktur2020altern!G216</f>
        <v>22550</v>
      </c>
      <c r="H216" s="289">
        <f>+K0kommunestruktur2020altern!H216</f>
        <v>604347</v>
      </c>
      <c r="I216" s="289">
        <f>+K0kommunestruktur2020altern!I216</f>
        <v>22692</v>
      </c>
      <c r="J216" s="289">
        <f>+K0kommunestruktur2020altern!J216</f>
        <v>697878</v>
      </c>
      <c r="K216" s="289">
        <f>+K0kommunestruktur2020altern!K216</f>
        <v>23017</v>
      </c>
      <c r="L216" s="289">
        <f>+K0kommunestruktur2020altern!L216</f>
        <v>637254</v>
      </c>
      <c r="M216" s="289">
        <f>+K0kommunestruktur2020altern!M216</f>
        <v>23246</v>
      </c>
      <c r="N216" s="289">
        <f>+K0kommunestruktur2020altern!N216</f>
        <v>551458</v>
      </c>
      <c r="O216" s="289">
        <f>+K0kommunestruktur2020altern!O216</f>
        <v>23544</v>
      </c>
      <c r="P216" s="289">
        <f>+K0kommunestruktur2020altern!P216</f>
        <v>635058</v>
      </c>
      <c r="Q216" s="289">
        <f>+'K21'!C216</f>
        <v>23891</v>
      </c>
      <c r="R216" s="289">
        <f>+'K21'!Z216</f>
        <v>732951.91099999996</v>
      </c>
      <c r="S216" s="517"/>
      <c r="T216" s="517"/>
    </row>
    <row r="217" spans="1:20" ht="13">
      <c r="A217" s="755">
        <v>4203</v>
      </c>
      <c r="B217" s="756" t="s">
        <v>930</v>
      </c>
      <c r="C217" s="289">
        <f>+K0kommunestruktur2020altern!C217</f>
        <v>43841</v>
      </c>
      <c r="D217" s="289">
        <f>+K0kommunestruktur2020altern!D217</f>
        <v>938268</v>
      </c>
      <c r="E217" s="289">
        <f>+K0kommunestruktur2020altern!E217</f>
        <v>44219</v>
      </c>
      <c r="F217" s="289">
        <f>+K0kommunestruktur2020altern!F217</f>
        <v>1003175</v>
      </c>
      <c r="G217" s="289">
        <f>+K0kommunestruktur2020altern!G217</f>
        <v>44313</v>
      </c>
      <c r="H217" s="289">
        <f>+K0kommunestruktur2020altern!H217</f>
        <v>1080289</v>
      </c>
      <c r="I217" s="289">
        <f>+K0kommunestruktur2020altern!I217</f>
        <v>44576</v>
      </c>
      <c r="J217" s="289">
        <f>+K0kommunestruktur2020altern!J217</f>
        <v>1108406</v>
      </c>
      <c r="K217" s="289">
        <f>+K0kommunestruktur2020altern!K217</f>
        <v>44645</v>
      </c>
      <c r="L217" s="289">
        <f>+K0kommunestruktur2020altern!L217</f>
        <v>1138206</v>
      </c>
      <c r="M217" s="289">
        <f>+K0kommunestruktur2020altern!M217</f>
        <v>44785</v>
      </c>
      <c r="N217" s="289">
        <f>+K0kommunestruktur2020altern!N217</f>
        <v>1184748</v>
      </c>
      <c r="O217" s="289">
        <f>+K0kommunestruktur2020altern!O217</f>
        <v>44999</v>
      </c>
      <c r="P217" s="289">
        <f>+K0kommunestruktur2020altern!P217</f>
        <v>1167063</v>
      </c>
      <c r="Q217" s="289">
        <f>+'K21'!C217</f>
        <v>45065</v>
      </c>
      <c r="R217" s="289">
        <f>+'K21'!Z217</f>
        <v>1363662.236</v>
      </c>
      <c r="S217" s="517"/>
      <c r="T217" s="517"/>
    </row>
    <row r="218" spans="1:20" ht="13">
      <c r="A218" s="755">
        <v>4204</v>
      </c>
      <c r="B218" s="756" t="s">
        <v>1628</v>
      </c>
      <c r="C218" s="289">
        <f>+K0kommunestruktur2020altern!C218</f>
        <v>103291</v>
      </c>
      <c r="D218" s="289">
        <f>+K0kommunestruktur2020altern!D218</f>
        <v>2405171</v>
      </c>
      <c r="E218" s="289">
        <f>+K0kommunestruktur2020altern!E218</f>
        <v>105017</v>
      </c>
      <c r="F218" s="289">
        <f>+K0kommunestruktur2020altern!F218</f>
        <v>2540754</v>
      </c>
      <c r="G218" s="289">
        <f>+K0kommunestruktur2020altern!G218</f>
        <v>106126</v>
      </c>
      <c r="H218" s="289">
        <f>+K0kommunestruktur2020altern!H218</f>
        <v>2745531</v>
      </c>
      <c r="I218" s="289">
        <f>+K0kommunestruktur2020altern!I218</f>
        <v>107157</v>
      </c>
      <c r="J218" s="289">
        <f>+K0kommunestruktur2020altern!J218</f>
        <v>2802164</v>
      </c>
      <c r="K218" s="289">
        <f>+K0kommunestruktur2020altern!K218</f>
        <v>109438</v>
      </c>
      <c r="L218" s="289">
        <f>+K0kommunestruktur2020altern!L218</f>
        <v>2968176</v>
      </c>
      <c r="M218" s="289">
        <f>+K0kommunestruktur2020altern!M218</f>
        <v>110391</v>
      </c>
      <c r="N218" s="289">
        <f>+K0kommunestruktur2020altern!N218</f>
        <v>3051787</v>
      </c>
      <c r="O218" s="289">
        <f>+K0kommunestruktur2020altern!O218</f>
        <v>111633</v>
      </c>
      <c r="P218" s="289">
        <f>+K0kommunestruktur2020altern!P218</f>
        <v>3039670</v>
      </c>
      <c r="Q218" s="289">
        <f>+'K21'!C218</f>
        <v>112588</v>
      </c>
      <c r="R218" s="289">
        <f>+'K21'!Z218</f>
        <v>3521880.56</v>
      </c>
      <c r="S218" s="517"/>
      <c r="T218" s="517"/>
    </row>
    <row r="219" spans="1:20" ht="13">
      <c r="A219" s="755">
        <v>4205</v>
      </c>
      <c r="B219" s="756" t="s">
        <v>1629</v>
      </c>
      <c r="C219" s="289">
        <f>+K0kommunestruktur2020altern!C219</f>
        <v>22492</v>
      </c>
      <c r="D219" s="289">
        <f>+K0kommunestruktur2020altern!D219</f>
        <v>447051</v>
      </c>
      <c r="E219" s="289">
        <f>+K0kommunestruktur2020altern!E219</f>
        <v>22611</v>
      </c>
      <c r="F219" s="289">
        <f>+K0kommunestruktur2020altern!F219</f>
        <v>480798</v>
      </c>
      <c r="G219" s="289">
        <f>+K0kommunestruktur2020altern!G219</f>
        <v>22762</v>
      </c>
      <c r="H219" s="289">
        <f>+K0kommunestruktur2020altern!H219</f>
        <v>526541</v>
      </c>
      <c r="I219" s="289">
        <f>+K0kommunestruktur2020altern!I219</f>
        <v>22859</v>
      </c>
      <c r="J219" s="289">
        <f>+K0kommunestruktur2020altern!J219</f>
        <v>551941</v>
      </c>
      <c r="K219" s="289">
        <f>+K0kommunestruktur2020altern!K219</f>
        <v>22905</v>
      </c>
      <c r="L219" s="289">
        <f>+K0kommunestruktur2020altern!L219</f>
        <v>566314</v>
      </c>
      <c r="M219" s="289">
        <f>+K0kommunestruktur2020altern!M219</f>
        <v>22909</v>
      </c>
      <c r="N219" s="289">
        <f>+K0kommunestruktur2020altern!N219</f>
        <v>595597</v>
      </c>
      <c r="O219" s="289">
        <f>+K0kommunestruktur2020altern!O219</f>
        <v>23046</v>
      </c>
      <c r="P219" s="289">
        <f>+K0kommunestruktur2020altern!P219</f>
        <v>591163</v>
      </c>
      <c r="Q219" s="289">
        <f>+'K21'!C219</f>
        <v>23055</v>
      </c>
      <c r="R219" s="289">
        <f>+'K21'!Z219</f>
        <v>662637.62300000002</v>
      </c>
      <c r="S219" s="517"/>
      <c r="T219" s="517"/>
    </row>
    <row r="220" spans="1:20" ht="13">
      <c r="A220" s="755">
        <v>4206</v>
      </c>
      <c r="B220" s="756" t="s">
        <v>944</v>
      </c>
      <c r="C220" s="289">
        <f>+K0kommunestruktur2020altern!C220</f>
        <v>9516</v>
      </c>
      <c r="D220" s="289">
        <f>+K0kommunestruktur2020altern!D220</f>
        <v>213055</v>
      </c>
      <c r="E220" s="289">
        <f>+K0kommunestruktur2020altern!E220</f>
        <v>9596</v>
      </c>
      <c r="F220" s="289">
        <f>+K0kommunestruktur2020altern!F220</f>
        <v>220937</v>
      </c>
      <c r="G220" s="289">
        <f>+K0kommunestruktur2020altern!G220</f>
        <v>9705</v>
      </c>
      <c r="H220" s="289">
        <f>+K0kommunestruktur2020altern!H220</f>
        <v>232824</v>
      </c>
      <c r="I220" s="289">
        <f>+K0kommunestruktur2020altern!I220</f>
        <v>9769</v>
      </c>
      <c r="J220" s="289">
        <f>+K0kommunestruktur2020altern!J220</f>
        <v>236747</v>
      </c>
      <c r="K220" s="289">
        <f>+K0kommunestruktur2020altern!K220</f>
        <v>9726</v>
      </c>
      <c r="L220" s="289">
        <f>+K0kommunestruktur2020altern!L220</f>
        <v>246461</v>
      </c>
      <c r="M220" s="289">
        <f>+K0kommunestruktur2020altern!M220</f>
        <v>9695</v>
      </c>
      <c r="N220" s="289">
        <f>+K0kommunestruktur2020altern!N220</f>
        <v>255900</v>
      </c>
      <c r="O220" s="289">
        <f>+K0kommunestruktur2020altern!O220</f>
        <v>9691</v>
      </c>
      <c r="P220" s="289">
        <f>+K0kommunestruktur2020altern!P220</f>
        <v>247224</v>
      </c>
      <c r="Q220" s="289">
        <f>+'K21'!C220</f>
        <v>9645</v>
      </c>
      <c r="R220" s="289">
        <f>+'K21'!Z220</f>
        <v>282688.32199999999</v>
      </c>
      <c r="S220" s="517"/>
      <c r="T220" s="517"/>
    </row>
    <row r="221" spans="1:20" ht="13">
      <c r="A221" s="755">
        <v>4207</v>
      </c>
      <c r="B221" s="756" t="s">
        <v>946</v>
      </c>
      <c r="C221" s="289">
        <f>+K0kommunestruktur2020altern!C221</f>
        <v>9013</v>
      </c>
      <c r="D221" s="289">
        <f>+K0kommunestruktur2020altern!D221</f>
        <v>207629</v>
      </c>
      <c r="E221" s="289">
        <f>+K0kommunestruktur2020altern!E221</f>
        <v>9069</v>
      </c>
      <c r="F221" s="289">
        <f>+K0kommunestruktur2020altern!F221</f>
        <v>221234</v>
      </c>
      <c r="G221" s="289">
        <f>+K0kommunestruktur2020altern!G221</f>
        <v>9096</v>
      </c>
      <c r="H221" s="289">
        <f>+K0kommunestruktur2020altern!H221</f>
        <v>234968</v>
      </c>
      <c r="I221" s="289">
        <f>+K0kommunestruktur2020altern!I221</f>
        <v>9090</v>
      </c>
      <c r="J221" s="289">
        <f>+K0kommunestruktur2020altern!J221</f>
        <v>235474</v>
      </c>
      <c r="K221" s="289">
        <f>+K0kommunestruktur2020altern!K221</f>
        <v>9066</v>
      </c>
      <c r="L221" s="289">
        <f>+K0kommunestruktur2020altern!L221</f>
        <v>241314</v>
      </c>
      <c r="M221" s="289">
        <f>+K0kommunestruktur2020altern!M221</f>
        <v>9066</v>
      </c>
      <c r="N221" s="289">
        <f>+K0kommunestruktur2020altern!N221</f>
        <v>248272</v>
      </c>
      <c r="O221" s="289">
        <f>+K0kommunestruktur2020altern!O221</f>
        <v>9028</v>
      </c>
      <c r="P221" s="289">
        <f>+K0kommunestruktur2020altern!P221</f>
        <v>244980</v>
      </c>
      <c r="Q221" s="289">
        <f>+'K21'!C221</f>
        <v>9027</v>
      </c>
      <c r="R221" s="289">
        <f>+'K21'!Z221</f>
        <v>274161.28899999999</v>
      </c>
      <c r="S221" s="517"/>
      <c r="T221" s="517"/>
    </row>
    <row r="222" spans="1:20" ht="13">
      <c r="A222" s="755">
        <v>4211</v>
      </c>
      <c r="B222" s="756" t="s">
        <v>931</v>
      </c>
      <c r="C222" s="289">
        <f>+K0kommunestruktur2020altern!C222</f>
        <v>2489</v>
      </c>
      <c r="D222" s="289">
        <f>+K0kommunestruktur2020altern!D222</f>
        <v>42217</v>
      </c>
      <c r="E222" s="289">
        <f>+K0kommunestruktur2020altern!E222</f>
        <v>2481</v>
      </c>
      <c r="F222" s="289">
        <f>+K0kommunestruktur2020altern!F222</f>
        <v>45870</v>
      </c>
      <c r="G222" s="289">
        <f>+K0kommunestruktur2020altern!G222</f>
        <v>2473</v>
      </c>
      <c r="H222" s="289">
        <f>+K0kommunestruktur2020altern!H222</f>
        <v>50912</v>
      </c>
      <c r="I222" s="289">
        <f>+K0kommunestruktur2020altern!I222</f>
        <v>2511</v>
      </c>
      <c r="J222" s="289">
        <f>+K0kommunestruktur2020altern!J222</f>
        <v>47795</v>
      </c>
      <c r="K222" s="289">
        <f>+K0kommunestruktur2020altern!K222</f>
        <v>2467</v>
      </c>
      <c r="L222" s="289">
        <f>+K0kommunestruktur2020altern!L222</f>
        <v>49187</v>
      </c>
      <c r="M222" s="289">
        <f>+K0kommunestruktur2020altern!M222</f>
        <v>2454</v>
      </c>
      <c r="N222" s="289">
        <f>+K0kommunestruktur2020altern!N222</f>
        <v>53222</v>
      </c>
      <c r="O222" s="289">
        <f>+K0kommunestruktur2020altern!O222</f>
        <v>2428</v>
      </c>
      <c r="P222" s="289">
        <f>+K0kommunestruktur2020altern!P222</f>
        <v>52631</v>
      </c>
      <c r="Q222" s="289">
        <f>+'K21'!C222</f>
        <v>2430</v>
      </c>
      <c r="R222" s="289">
        <f>+'K21'!Z222</f>
        <v>60138.071000000004</v>
      </c>
      <c r="S222" s="517"/>
      <c r="T222" s="517"/>
    </row>
    <row r="223" spans="1:20" ht="13">
      <c r="A223" s="755">
        <v>4212</v>
      </c>
      <c r="B223" s="756" t="s">
        <v>706</v>
      </c>
      <c r="C223" s="289">
        <f>+K0kommunestruktur2020altern!C223</f>
        <v>2000</v>
      </c>
      <c r="D223" s="289">
        <f>+K0kommunestruktur2020altern!D223</f>
        <v>33620</v>
      </c>
      <c r="E223" s="289">
        <f>+K0kommunestruktur2020altern!E223</f>
        <v>2018</v>
      </c>
      <c r="F223" s="289">
        <f>+K0kommunestruktur2020altern!F223</f>
        <v>35967</v>
      </c>
      <c r="G223" s="289">
        <f>+K0kommunestruktur2020altern!G223</f>
        <v>2036</v>
      </c>
      <c r="H223" s="289">
        <f>+K0kommunestruktur2020altern!H223</f>
        <v>38688</v>
      </c>
      <c r="I223" s="289">
        <f>+K0kommunestruktur2020altern!I223</f>
        <v>2104</v>
      </c>
      <c r="J223" s="289">
        <f>+K0kommunestruktur2020altern!J223</f>
        <v>43056</v>
      </c>
      <c r="K223" s="289">
        <f>+K0kommunestruktur2020altern!K223</f>
        <v>2087</v>
      </c>
      <c r="L223" s="289">
        <f>+K0kommunestruktur2020altern!L223</f>
        <v>44994</v>
      </c>
      <c r="M223" s="289">
        <f>+K0kommunestruktur2020altern!M223</f>
        <v>2093</v>
      </c>
      <c r="N223" s="289">
        <f>+K0kommunestruktur2020altern!N223</f>
        <v>46962</v>
      </c>
      <c r="O223" s="289">
        <f>+K0kommunestruktur2020altern!O223</f>
        <v>2097</v>
      </c>
      <c r="P223" s="289">
        <f>+K0kommunestruktur2020altern!P223</f>
        <v>47456</v>
      </c>
      <c r="Q223" s="289">
        <f>+'K21'!C223</f>
        <v>2128</v>
      </c>
      <c r="R223" s="289">
        <f>+'K21'!Z223</f>
        <v>53853.637999999999</v>
      </c>
      <c r="S223" s="517"/>
      <c r="T223" s="517"/>
    </row>
    <row r="224" spans="1:20" ht="13">
      <c r="A224" s="755">
        <v>4213</v>
      </c>
      <c r="B224" s="756" t="s">
        <v>932</v>
      </c>
      <c r="C224" s="289">
        <f>+K0kommunestruktur2020altern!C224</f>
        <v>6059</v>
      </c>
      <c r="D224" s="289">
        <f>+K0kommunestruktur2020altern!D224</f>
        <v>123581</v>
      </c>
      <c r="E224" s="289">
        <f>+K0kommunestruktur2020altern!E224</f>
        <v>6048</v>
      </c>
      <c r="F224" s="289">
        <f>+K0kommunestruktur2020altern!F224</f>
        <v>126293</v>
      </c>
      <c r="G224" s="289">
        <f>+K0kommunestruktur2020altern!G224</f>
        <v>6014</v>
      </c>
      <c r="H224" s="289">
        <f>+K0kommunestruktur2020altern!H224</f>
        <v>139825</v>
      </c>
      <c r="I224" s="289">
        <f>+K0kommunestruktur2020altern!I224</f>
        <v>6051</v>
      </c>
      <c r="J224" s="289">
        <f>+K0kommunestruktur2020altern!J224</f>
        <v>140112</v>
      </c>
      <c r="K224" s="289">
        <f>+K0kommunestruktur2020altern!K224</f>
        <v>6086</v>
      </c>
      <c r="L224" s="289">
        <f>+K0kommunestruktur2020altern!L224</f>
        <v>145870</v>
      </c>
      <c r="M224" s="289">
        <f>+K0kommunestruktur2020altern!M224</f>
        <v>6069</v>
      </c>
      <c r="N224" s="289">
        <f>+K0kommunestruktur2020altern!N224</f>
        <v>160923</v>
      </c>
      <c r="O224" s="289">
        <f>+K0kommunestruktur2020altern!O224</f>
        <v>6053</v>
      </c>
      <c r="P224" s="289">
        <f>+K0kommunestruktur2020altern!P224</f>
        <v>157539</v>
      </c>
      <c r="Q224" s="289">
        <f>+'K21'!C224</f>
        <v>6067</v>
      </c>
      <c r="R224" s="289">
        <f>+'K21'!Z224</f>
        <v>179389.15</v>
      </c>
      <c r="S224" s="517"/>
      <c r="T224" s="517"/>
    </row>
    <row r="225" spans="1:20" ht="13">
      <c r="A225" s="755">
        <v>4214</v>
      </c>
      <c r="B225" s="756" t="s">
        <v>933</v>
      </c>
      <c r="C225" s="289">
        <f>+K0kommunestruktur2020altern!C225</f>
        <v>5486</v>
      </c>
      <c r="D225" s="289">
        <f>+K0kommunestruktur2020altern!D225</f>
        <v>106068</v>
      </c>
      <c r="E225" s="289">
        <f>+K0kommunestruktur2020altern!E225</f>
        <v>5532</v>
      </c>
      <c r="F225" s="289">
        <f>+K0kommunestruktur2020altern!F225</f>
        <v>112002</v>
      </c>
      <c r="G225" s="289">
        <f>+K0kommunestruktur2020altern!G225</f>
        <v>5618</v>
      </c>
      <c r="H225" s="289">
        <f>+K0kommunestruktur2020altern!H225</f>
        <v>118832</v>
      </c>
      <c r="I225" s="289">
        <f>+K0kommunestruktur2020altern!I225</f>
        <v>5713</v>
      </c>
      <c r="J225" s="289">
        <f>+K0kommunestruktur2020altern!J225</f>
        <v>126994</v>
      </c>
      <c r="K225" s="289">
        <f>+K0kommunestruktur2020altern!K225</f>
        <v>5790</v>
      </c>
      <c r="L225" s="289">
        <f>+K0kommunestruktur2020altern!L225</f>
        <v>133413</v>
      </c>
      <c r="M225" s="289">
        <f>+K0kommunestruktur2020altern!M225</f>
        <v>5845</v>
      </c>
      <c r="N225" s="289">
        <f>+K0kommunestruktur2020altern!N225</f>
        <v>137039</v>
      </c>
      <c r="O225" s="289">
        <f>+K0kommunestruktur2020altern!O225</f>
        <v>5951</v>
      </c>
      <c r="P225" s="289">
        <f>+K0kommunestruktur2020altern!P225</f>
        <v>137823</v>
      </c>
      <c r="Q225" s="289">
        <f>+'K21'!C225</f>
        <v>6004</v>
      </c>
      <c r="R225" s="289">
        <f>+'K21'!Z225</f>
        <v>164590.89499999999</v>
      </c>
      <c r="S225" s="517"/>
      <c r="T225" s="517"/>
    </row>
    <row r="226" spans="1:20" ht="13">
      <c r="A226" s="755">
        <v>4215</v>
      </c>
      <c r="B226" s="756" t="s">
        <v>934</v>
      </c>
      <c r="C226" s="289">
        <f>+K0kommunestruktur2020altern!C226</f>
        <v>10106</v>
      </c>
      <c r="D226" s="289">
        <f>+K0kommunestruktur2020altern!D226</f>
        <v>235481</v>
      </c>
      <c r="E226" s="289">
        <f>+K0kommunestruktur2020altern!E226</f>
        <v>10340</v>
      </c>
      <c r="F226" s="289">
        <f>+K0kommunestruktur2020altern!F226</f>
        <v>247000</v>
      </c>
      <c r="G226" s="289">
        <f>+K0kommunestruktur2020altern!G226</f>
        <v>10577</v>
      </c>
      <c r="H226" s="289">
        <f>+K0kommunestruktur2020altern!H226</f>
        <v>278121</v>
      </c>
      <c r="I226" s="289">
        <f>+K0kommunestruktur2020altern!I226</f>
        <v>10702</v>
      </c>
      <c r="J226" s="289">
        <f>+K0kommunestruktur2020altern!J226</f>
        <v>288478</v>
      </c>
      <c r="K226" s="289">
        <f>+K0kommunestruktur2020altern!K226</f>
        <v>10871</v>
      </c>
      <c r="L226" s="289">
        <f>+K0kommunestruktur2020altern!L226</f>
        <v>300378</v>
      </c>
      <c r="M226" s="289">
        <f>+K0kommunestruktur2020altern!M226</f>
        <v>10990</v>
      </c>
      <c r="N226" s="289">
        <f>+K0kommunestruktur2020altern!N226</f>
        <v>311373</v>
      </c>
      <c r="O226" s="289">
        <f>+K0kommunestruktur2020altern!O226</f>
        <v>11074</v>
      </c>
      <c r="P226" s="289">
        <f>+K0kommunestruktur2020altern!P226</f>
        <v>306882</v>
      </c>
      <c r="Q226" s="289">
        <f>+'K21'!C226</f>
        <v>11180</v>
      </c>
      <c r="R226" s="289">
        <f>+'K21'!Z226</f>
        <v>363857.75599999999</v>
      </c>
      <c r="S226" s="517"/>
      <c r="T226" s="517"/>
    </row>
    <row r="227" spans="1:20" ht="13">
      <c r="A227" s="755">
        <v>4216</v>
      </c>
      <c r="B227" s="756" t="s">
        <v>935</v>
      </c>
      <c r="C227" s="289">
        <f>+K0kommunestruktur2020altern!C227</f>
        <v>4966</v>
      </c>
      <c r="D227" s="289">
        <f>+K0kommunestruktur2020altern!D227</f>
        <v>89117</v>
      </c>
      <c r="E227" s="289">
        <f>+K0kommunestruktur2020altern!E227</f>
        <v>5008</v>
      </c>
      <c r="F227" s="289">
        <f>+K0kommunestruktur2020altern!F227</f>
        <v>92381</v>
      </c>
      <c r="G227" s="289">
        <f>+K0kommunestruktur2020altern!G227</f>
        <v>5120</v>
      </c>
      <c r="H227" s="289">
        <f>+K0kommunestruktur2020altern!H227</f>
        <v>100305</v>
      </c>
      <c r="I227" s="289">
        <f>+K0kommunestruktur2020altern!I227</f>
        <v>5151</v>
      </c>
      <c r="J227" s="289">
        <f>+K0kommunestruktur2020altern!J227</f>
        <v>106505</v>
      </c>
      <c r="K227" s="289">
        <f>+K0kommunestruktur2020altern!K227</f>
        <v>5160</v>
      </c>
      <c r="L227" s="289">
        <f>+K0kommunestruktur2020altern!L227</f>
        <v>116344</v>
      </c>
      <c r="M227" s="289">
        <f>+K0kommunestruktur2020altern!M227</f>
        <v>5212</v>
      </c>
      <c r="N227" s="289">
        <f>+K0kommunestruktur2020altern!N227</f>
        <v>121884</v>
      </c>
      <c r="O227" s="289">
        <f>+K0kommunestruktur2020altern!O227</f>
        <v>5226</v>
      </c>
      <c r="P227" s="289">
        <f>+K0kommunestruktur2020altern!P227</f>
        <v>118038</v>
      </c>
      <c r="Q227" s="289">
        <f>+'K21'!C227</f>
        <v>5274</v>
      </c>
      <c r="R227" s="289">
        <f>+'K21'!Z227</f>
        <v>134213.856</v>
      </c>
      <c r="S227" s="517"/>
      <c r="T227" s="517"/>
    </row>
    <row r="228" spans="1:20" ht="13">
      <c r="A228" s="755">
        <v>4217</v>
      </c>
      <c r="B228" s="756" t="s">
        <v>936</v>
      </c>
      <c r="C228" s="289">
        <f>+K0kommunestruktur2020altern!C228</f>
        <v>1810</v>
      </c>
      <c r="D228" s="289">
        <f>+K0kommunestruktur2020altern!D228</f>
        <v>36347</v>
      </c>
      <c r="E228" s="289">
        <f>+K0kommunestruktur2020altern!E228</f>
        <v>1832</v>
      </c>
      <c r="F228" s="289">
        <f>+K0kommunestruktur2020altern!F228</f>
        <v>40277</v>
      </c>
      <c r="G228" s="289">
        <f>+K0kommunestruktur2020altern!G228</f>
        <v>1847</v>
      </c>
      <c r="H228" s="289">
        <f>+K0kommunestruktur2020altern!H228</f>
        <v>44122</v>
      </c>
      <c r="I228" s="289">
        <f>+K0kommunestruktur2020altern!I228</f>
        <v>1856</v>
      </c>
      <c r="J228" s="289">
        <f>+K0kommunestruktur2020altern!J228</f>
        <v>47046</v>
      </c>
      <c r="K228" s="289">
        <f>+K0kommunestruktur2020altern!K228</f>
        <v>1845</v>
      </c>
      <c r="L228" s="289">
        <f>+K0kommunestruktur2020altern!L228</f>
        <v>42219</v>
      </c>
      <c r="M228" s="289">
        <f>+K0kommunestruktur2020altern!M228</f>
        <v>1848</v>
      </c>
      <c r="N228" s="289">
        <f>+K0kommunestruktur2020altern!N228</f>
        <v>44108</v>
      </c>
      <c r="O228" s="289">
        <f>+K0kommunestruktur2020altern!O228</f>
        <v>1836</v>
      </c>
      <c r="P228" s="289">
        <f>+K0kommunestruktur2020altern!P228</f>
        <v>44751</v>
      </c>
      <c r="Q228" s="289">
        <f>+'K21'!C228</f>
        <v>1822</v>
      </c>
      <c r="R228" s="289">
        <f>+'K21'!Z228</f>
        <v>51760.203999999998</v>
      </c>
      <c r="S228" s="517"/>
      <c r="T228" s="517"/>
    </row>
    <row r="229" spans="1:20" ht="13">
      <c r="A229" s="755">
        <v>4218</v>
      </c>
      <c r="B229" s="756" t="s">
        <v>937</v>
      </c>
      <c r="C229" s="289">
        <f>+K0kommunestruktur2020altern!C229</f>
        <v>1314</v>
      </c>
      <c r="D229" s="289">
        <f>+K0kommunestruktur2020altern!D229</f>
        <v>24646</v>
      </c>
      <c r="E229" s="289">
        <f>+K0kommunestruktur2020altern!E229</f>
        <v>1315</v>
      </c>
      <c r="F229" s="289">
        <f>+K0kommunestruktur2020altern!F229</f>
        <v>26726</v>
      </c>
      <c r="G229" s="289">
        <f>+K0kommunestruktur2020altern!G229</f>
        <v>1317</v>
      </c>
      <c r="H229" s="289">
        <f>+K0kommunestruktur2020altern!H229</f>
        <v>27581</v>
      </c>
      <c r="I229" s="289">
        <f>+K0kommunestruktur2020altern!I229</f>
        <v>1342</v>
      </c>
      <c r="J229" s="289">
        <f>+K0kommunestruktur2020altern!J229</f>
        <v>29311</v>
      </c>
      <c r="K229" s="289">
        <f>+K0kommunestruktur2020altern!K229</f>
        <v>1330</v>
      </c>
      <c r="L229" s="289">
        <f>+K0kommunestruktur2020altern!L229</f>
        <v>31104</v>
      </c>
      <c r="M229" s="289">
        <f>+K0kommunestruktur2020altern!M229</f>
        <v>1326</v>
      </c>
      <c r="N229" s="289">
        <f>+K0kommunestruktur2020altern!N229</f>
        <v>32415</v>
      </c>
      <c r="O229" s="289">
        <f>+K0kommunestruktur2020altern!O229</f>
        <v>1331</v>
      </c>
      <c r="P229" s="289">
        <f>+K0kommunestruktur2020altern!P229</f>
        <v>31898</v>
      </c>
      <c r="Q229" s="289">
        <f>+'K21'!C229</f>
        <v>1335</v>
      </c>
      <c r="R229" s="289">
        <f>+'K21'!Z229</f>
        <v>35599.732000000004</v>
      </c>
      <c r="S229" s="517"/>
      <c r="T229" s="517"/>
    </row>
    <row r="230" spans="1:20" ht="13">
      <c r="A230" s="755">
        <v>4219</v>
      </c>
      <c r="B230" s="756" t="s">
        <v>938</v>
      </c>
      <c r="C230" s="289">
        <f>+K0kommunestruktur2020altern!C230</f>
        <v>3576</v>
      </c>
      <c r="D230" s="289">
        <f>+K0kommunestruktur2020altern!D230</f>
        <v>68186</v>
      </c>
      <c r="E230" s="289">
        <f>+K0kommunestruktur2020altern!E230</f>
        <v>3594</v>
      </c>
      <c r="F230" s="289">
        <f>+K0kommunestruktur2020altern!F230</f>
        <v>71580</v>
      </c>
      <c r="G230" s="289">
        <f>+K0kommunestruktur2020altern!G230</f>
        <v>3609</v>
      </c>
      <c r="H230" s="289">
        <f>+K0kommunestruktur2020altern!H230</f>
        <v>74820</v>
      </c>
      <c r="I230" s="289">
        <f>+K0kommunestruktur2020altern!I230</f>
        <v>3641</v>
      </c>
      <c r="J230" s="289">
        <f>+K0kommunestruktur2020altern!J230</f>
        <v>78942</v>
      </c>
      <c r="K230" s="289">
        <f>+K0kommunestruktur2020altern!K230</f>
        <v>3652</v>
      </c>
      <c r="L230" s="289">
        <f>+K0kommunestruktur2020altern!L230</f>
        <v>81464</v>
      </c>
      <c r="M230" s="289">
        <f>+K0kommunestruktur2020altern!M230</f>
        <v>3638</v>
      </c>
      <c r="N230" s="289">
        <f>+K0kommunestruktur2020altern!N230</f>
        <v>83690</v>
      </c>
      <c r="O230" s="289">
        <f>+K0kommunestruktur2020altern!O230</f>
        <v>3634</v>
      </c>
      <c r="P230" s="289">
        <f>+K0kommunestruktur2020altern!P230</f>
        <v>87736</v>
      </c>
      <c r="Q230" s="289">
        <f>+'K21'!C230</f>
        <v>3619</v>
      </c>
      <c r="R230" s="289">
        <f>+'K21'!Z230</f>
        <v>96303.792000000001</v>
      </c>
      <c r="S230" s="517"/>
      <c r="T230" s="517"/>
    </row>
    <row r="231" spans="1:20" ht="13">
      <c r="A231" s="755">
        <v>4220</v>
      </c>
      <c r="B231" s="756" t="s">
        <v>939</v>
      </c>
      <c r="C231" s="289">
        <f>+K0kommunestruktur2020altern!C231</f>
        <v>1200</v>
      </c>
      <c r="D231" s="289">
        <f>+K0kommunestruktur2020altern!D231</f>
        <v>26132</v>
      </c>
      <c r="E231" s="289">
        <f>+K0kommunestruktur2020altern!E231</f>
        <v>1189</v>
      </c>
      <c r="F231" s="289">
        <f>+K0kommunestruktur2020altern!F231</f>
        <v>27176</v>
      </c>
      <c r="G231" s="289">
        <f>+K0kommunestruktur2020altern!G231</f>
        <v>1204</v>
      </c>
      <c r="H231" s="289">
        <f>+K0kommunestruktur2020altern!H231</f>
        <v>28977</v>
      </c>
      <c r="I231" s="289">
        <f>+K0kommunestruktur2020altern!I231</f>
        <v>1200</v>
      </c>
      <c r="J231" s="289">
        <f>+K0kommunestruktur2020altern!J231</f>
        <v>28833</v>
      </c>
      <c r="K231" s="289">
        <f>+K0kommunestruktur2020altern!K231</f>
        <v>1207</v>
      </c>
      <c r="L231" s="289">
        <f>+K0kommunestruktur2020altern!L231</f>
        <v>30970</v>
      </c>
      <c r="M231" s="289">
        <f>+K0kommunestruktur2020altern!M231</f>
        <v>1192</v>
      </c>
      <c r="N231" s="289">
        <f>+K0kommunestruktur2020altern!N231</f>
        <v>31274</v>
      </c>
      <c r="O231" s="289">
        <f>+K0kommunestruktur2020altern!O231</f>
        <v>1162</v>
      </c>
      <c r="P231" s="289">
        <f>+K0kommunestruktur2020altern!P231</f>
        <v>31184</v>
      </c>
      <c r="Q231" s="289">
        <f>+'K21'!C231</f>
        <v>1142</v>
      </c>
      <c r="R231" s="289">
        <f>+'K21'!Z231</f>
        <v>34807.694000000003</v>
      </c>
      <c r="S231" s="517"/>
      <c r="T231" s="517"/>
    </row>
    <row r="232" spans="1:20" ht="13">
      <c r="A232" s="755">
        <v>4221</v>
      </c>
      <c r="B232" s="756" t="s">
        <v>940</v>
      </c>
      <c r="C232" s="289">
        <f>+K0kommunestruktur2020altern!C232</f>
        <v>1270</v>
      </c>
      <c r="D232" s="289">
        <f>+K0kommunestruktur2020altern!D232</f>
        <v>41121</v>
      </c>
      <c r="E232" s="289">
        <f>+K0kommunestruktur2020altern!E232</f>
        <v>1251</v>
      </c>
      <c r="F232" s="289">
        <f>+K0kommunestruktur2020altern!F232</f>
        <v>43384</v>
      </c>
      <c r="G232" s="289">
        <f>+K0kommunestruktur2020altern!G232</f>
        <v>1242</v>
      </c>
      <c r="H232" s="289">
        <f>+K0kommunestruktur2020altern!H232</f>
        <v>44213</v>
      </c>
      <c r="I232" s="289">
        <f>+K0kommunestruktur2020altern!I232</f>
        <v>1246</v>
      </c>
      <c r="J232" s="289">
        <f>+K0kommunestruktur2020altern!J232</f>
        <v>45044</v>
      </c>
      <c r="K232" s="289">
        <f>+K0kommunestruktur2020altern!K232</f>
        <v>1225</v>
      </c>
      <c r="L232" s="289">
        <f>+K0kommunestruktur2020altern!L232</f>
        <v>45304</v>
      </c>
      <c r="M232" s="289">
        <f>+K0kommunestruktur2020altern!M232</f>
        <v>1156</v>
      </c>
      <c r="N232" s="289">
        <f>+K0kommunestruktur2020altern!N232</f>
        <v>47669</v>
      </c>
      <c r="O232" s="289">
        <f>+K0kommunestruktur2020altern!O232</f>
        <v>1164</v>
      </c>
      <c r="P232" s="289">
        <f>+K0kommunestruktur2020altern!P232</f>
        <v>48861</v>
      </c>
      <c r="Q232" s="289">
        <f>+'K21'!C232</f>
        <v>1169</v>
      </c>
      <c r="R232" s="289">
        <f>+'K21'!Z232</f>
        <v>52379.277999999998</v>
      </c>
      <c r="S232" s="517"/>
      <c r="T232" s="517"/>
    </row>
    <row r="233" spans="1:20" ht="13">
      <c r="A233" s="755">
        <v>4222</v>
      </c>
      <c r="B233" s="756" t="s">
        <v>941</v>
      </c>
      <c r="C233" s="289">
        <f>+K0kommunestruktur2020altern!C233</f>
        <v>948</v>
      </c>
      <c r="D233" s="289">
        <f>+K0kommunestruktur2020altern!D233</f>
        <v>67140</v>
      </c>
      <c r="E233" s="289">
        <f>+K0kommunestruktur2020altern!E233</f>
        <v>933</v>
      </c>
      <c r="F233" s="289">
        <f>+K0kommunestruktur2020altern!F233</f>
        <v>67630</v>
      </c>
      <c r="G233" s="289">
        <f>+K0kommunestruktur2020altern!G233</f>
        <v>945</v>
      </c>
      <c r="H233" s="289">
        <f>+K0kommunestruktur2020altern!H233</f>
        <v>69604</v>
      </c>
      <c r="I233" s="289">
        <f>+K0kommunestruktur2020altern!I233</f>
        <v>952</v>
      </c>
      <c r="J233" s="289">
        <f>+K0kommunestruktur2020altern!J233</f>
        <v>71358</v>
      </c>
      <c r="K233" s="289">
        <f>+K0kommunestruktur2020altern!K233</f>
        <v>958</v>
      </c>
      <c r="L233" s="289">
        <f>+K0kommunestruktur2020altern!L233</f>
        <v>79195</v>
      </c>
      <c r="M233" s="289">
        <f>+K0kommunestruktur2020altern!M233</f>
        <v>953</v>
      </c>
      <c r="N233" s="289">
        <f>+K0kommunestruktur2020altern!N233</f>
        <v>84301</v>
      </c>
      <c r="O233" s="289">
        <f>+K0kommunestruktur2020altern!O233</f>
        <v>965</v>
      </c>
      <c r="P233" s="289">
        <f>+K0kommunestruktur2020altern!P233</f>
        <v>76582</v>
      </c>
      <c r="Q233" s="289">
        <f>+'K21'!C233</f>
        <v>930</v>
      </c>
      <c r="R233" s="289">
        <f>+'K21'!Z233</f>
        <v>84385.437000000005</v>
      </c>
      <c r="S233" s="517"/>
      <c r="T233" s="517"/>
    </row>
    <row r="234" spans="1:20" ht="13">
      <c r="A234" s="755">
        <v>4223</v>
      </c>
      <c r="B234" s="756" t="s">
        <v>947</v>
      </c>
      <c r="C234" s="289">
        <f>+K0kommunestruktur2020altern!C234</f>
        <v>13986</v>
      </c>
      <c r="D234" s="289">
        <f>+K0kommunestruktur2020altern!D234</f>
        <v>254819</v>
      </c>
      <c r="E234" s="289">
        <f>+K0kommunestruktur2020altern!E234</f>
        <v>14095</v>
      </c>
      <c r="F234" s="289">
        <f>+K0kommunestruktur2020altern!F234</f>
        <v>267675</v>
      </c>
      <c r="G234" s="289">
        <f>+K0kommunestruktur2020altern!G234</f>
        <v>14308</v>
      </c>
      <c r="H234" s="289">
        <f>+K0kommunestruktur2020altern!H234</f>
        <v>289237</v>
      </c>
      <c r="I234" s="289">
        <f>+K0kommunestruktur2020altern!I234</f>
        <v>14425</v>
      </c>
      <c r="J234" s="289">
        <f>+K0kommunestruktur2020altern!J234</f>
        <v>303650</v>
      </c>
      <c r="K234" s="289">
        <f>+K0kommunestruktur2020altern!K234</f>
        <v>14532</v>
      </c>
      <c r="L234" s="289">
        <f>+K0kommunestruktur2020altern!L234</f>
        <v>327486</v>
      </c>
      <c r="M234" s="289">
        <f>+K0kommunestruktur2020altern!M234</f>
        <v>14630</v>
      </c>
      <c r="N234" s="289">
        <f>+K0kommunestruktur2020altern!N234</f>
        <v>335821</v>
      </c>
      <c r="O234" s="289">
        <f>+K0kommunestruktur2020altern!O234</f>
        <v>14774</v>
      </c>
      <c r="P234" s="289">
        <f>+K0kommunestruktur2020altern!P234</f>
        <v>335283</v>
      </c>
      <c r="Q234" s="289">
        <f>+'K21'!C234</f>
        <v>14935</v>
      </c>
      <c r="R234" s="289">
        <f>+'K21'!Z234</f>
        <v>393674.56699999998</v>
      </c>
      <c r="S234" s="517"/>
      <c r="T234" s="517"/>
    </row>
    <row r="235" spans="1:20" ht="13">
      <c r="A235" s="755">
        <v>4224</v>
      </c>
      <c r="B235" s="756" t="s">
        <v>951</v>
      </c>
      <c r="C235" s="289">
        <f>+K0kommunestruktur2020altern!C235</f>
        <v>923</v>
      </c>
      <c r="D235" s="289">
        <f>+K0kommunestruktur2020altern!D235</f>
        <v>31841</v>
      </c>
      <c r="E235" s="289">
        <f>+K0kommunestruktur2020altern!E235</f>
        <v>925</v>
      </c>
      <c r="F235" s="289">
        <f>+K0kommunestruktur2020altern!F235</f>
        <v>31791</v>
      </c>
      <c r="G235" s="289">
        <f>+K0kommunestruktur2020altern!G235</f>
        <v>942</v>
      </c>
      <c r="H235" s="289">
        <f>+K0kommunestruktur2020altern!H235</f>
        <v>34080</v>
      </c>
      <c r="I235" s="289">
        <f>+K0kommunestruktur2020altern!I235</f>
        <v>937</v>
      </c>
      <c r="J235" s="289">
        <f>+K0kommunestruktur2020altern!J235</f>
        <v>36584</v>
      </c>
      <c r="K235" s="289">
        <f>+K0kommunestruktur2020altern!K235</f>
        <v>943</v>
      </c>
      <c r="L235" s="289">
        <f>+K0kommunestruktur2020altern!L235</f>
        <v>39045</v>
      </c>
      <c r="M235" s="289">
        <f>+K0kommunestruktur2020altern!M235</f>
        <v>939</v>
      </c>
      <c r="N235" s="289">
        <f>+K0kommunestruktur2020altern!N235</f>
        <v>41061</v>
      </c>
      <c r="O235" s="289">
        <f>+K0kommunestruktur2020altern!O235</f>
        <v>932</v>
      </c>
      <c r="P235" s="289">
        <f>+K0kommunestruktur2020altern!P235</f>
        <v>40365</v>
      </c>
      <c r="Q235" s="289">
        <f>+'K21'!C235</f>
        <v>927</v>
      </c>
      <c r="R235" s="289">
        <f>+'K21'!Z235</f>
        <v>43509.752</v>
      </c>
      <c r="S235" s="517"/>
      <c r="T235" s="517"/>
    </row>
    <row r="236" spans="1:20" ht="13">
      <c r="A236" s="755">
        <v>4225</v>
      </c>
      <c r="B236" s="756" t="s">
        <v>1630</v>
      </c>
      <c r="C236" s="289">
        <f>+K0kommunestruktur2020altern!C236</f>
        <v>9845</v>
      </c>
      <c r="D236" s="289">
        <f>+K0kommunestruktur2020altern!D236</f>
        <v>190192</v>
      </c>
      <c r="E236" s="289">
        <f>+K0kommunestruktur2020altern!E236</f>
        <v>10085</v>
      </c>
      <c r="F236" s="289">
        <f>+K0kommunestruktur2020altern!F236</f>
        <v>199485</v>
      </c>
      <c r="G236" s="289">
        <f>+K0kommunestruktur2020altern!G236</f>
        <v>10247</v>
      </c>
      <c r="H236" s="289">
        <f>+K0kommunestruktur2020altern!H236</f>
        <v>217366</v>
      </c>
      <c r="I236" s="289">
        <f>+K0kommunestruktur2020altern!I236</f>
        <v>10353</v>
      </c>
      <c r="J236" s="289">
        <f>+K0kommunestruktur2020altern!J236</f>
        <v>229321</v>
      </c>
      <c r="K236" s="289">
        <f>+K0kommunestruktur2020altern!K236</f>
        <v>10357</v>
      </c>
      <c r="L236" s="289">
        <f>+K0kommunestruktur2020altern!L236</f>
        <v>236168</v>
      </c>
      <c r="M236" s="289">
        <f>+K0kommunestruktur2020altern!M236</f>
        <v>10389</v>
      </c>
      <c r="N236" s="289">
        <f>+K0kommunestruktur2020altern!N236</f>
        <v>242283</v>
      </c>
      <c r="O236" s="289">
        <f>+K0kommunestruktur2020altern!O236</f>
        <v>10365</v>
      </c>
      <c r="P236" s="289">
        <f>+K0kommunestruktur2020altern!P236</f>
        <v>243390</v>
      </c>
      <c r="Q236" s="289">
        <f>+'K21'!C236</f>
        <v>10464</v>
      </c>
      <c r="R236" s="289">
        <f>+'K21'!Z236</f>
        <v>278743.41700000002</v>
      </c>
      <c r="S236" s="517"/>
      <c r="T236" s="517"/>
    </row>
    <row r="237" spans="1:20" ht="13">
      <c r="A237" s="755">
        <v>4226</v>
      </c>
      <c r="B237" s="756" t="s">
        <v>955</v>
      </c>
      <c r="C237" s="289">
        <f>+K0kommunestruktur2020altern!C237</f>
        <v>1690</v>
      </c>
      <c r="D237" s="289">
        <f>+K0kommunestruktur2020altern!D237</f>
        <v>35232</v>
      </c>
      <c r="E237" s="289">
        <f>+K0kommunestruktur2020altern!E237</f>
        <v>1693</v>
      </c>
      <c r="F237" s="289">
        <f>+K0kommunestruktur2020altern!F237</f>
        <v>34679</v>
      </c>
      <c r="G237" s="289">
        <f>+K0kommunestruktur2020altern!G237</f>
        <v>1702</v>
      </c>
      <c r="H237" s="289">
        <f>+K0kommunestruktur2020altern!H237</f>
        <v>38210</v>
      </c>
      <c r="I237" s="289">
        <f>+K0kommunestruktur2020altern!I237</f>
        <v>1702</v>
      </c>
      <c r="J237" s="289">
        <f>+K0kommunestruktur2020altern!J237</f>
        <v>39047</v>
      </c>
      <c r="K237" s="289">
        <f>+K0kommunestruktur2020altern!K237</f>
        <v>1699</v>
      </c>
      <c r="L237" s="289">
        <f>+K0kommunestruktur2020altern!L237</f>
        <v>40812</v>
      </c>
      <c r="M237" s="289">
        <f>+K0kommunestruktur2020altern!M237</f>
        <v>1683</v>
      </c>
      <c r="N237" s="289">
        <f>+K0kommunestruktur2020altern!N237</f>
        <v>42575</v>
      </c>
      <c r="O237" s="289">
        <f>+K0kommunestruktur2020altern!O237</f>
        <v>1680</v>
      </c>
      <c r="P237" s="289">
        <f>+K0kommunestruktur2020altern!P237</f>
        <v>40509</v>
      </c>
      <c r="Q237" s="289">
        <f>+'K21'!C237</f>
        <v>1690</v>
      </c>
      <c r="R237" s="289">
        <f>+'K21'!Z237</f>
        <v>46254.45</v>
      </c>
      <c r="S237" s="517"/>
      <c r="T237" s="517"/>
    </row>
    <row r="238" spans="1:20" ht="13">
      <c r="A238" s="755">
        <v>4227</v>
      </c>
      <c r="B238" s="756" t="s">
        <v>956</v>
      </c>
      <c r="C238" s="289">
        <f>+K0kommunestruktur2020altern!C238</f>
        <v>5891</v>
      </c>
      <c r="D238" s="289">
        <f>+K0kommunestruktur2020altern!D238</f>
        <v>142597</v>
      </c>
      <c r="E238" s="289">
        <f>+K0kommunestruktur2020altern!E238</f>
        <v>5948</v>
      </c>
      <c r="F238" s="289">
        <f>+K0kommunestruktur2020altern!F238</f>
        <v>147426</v>
      </c>
      <c r="G238" s="289">
        <f>+K0kommunestruktur2020altern!G238</f>
        <v>5981</v>
      </c>
      <c r="H238" s="289">
        <f>+K0kommunestruktur2020altern!H238</f>
        <v>155451</v>
      </c>
      <c r="I238" s="289">
        <f>+K0kommunestruktur2020altern!I238</f>
        <v>5988</v>
      </c>
      <c r="J238" s="289">
        <f>+K0kommunestruktur2020altern!J238</f>
        <v>159751</v>
      </c>
      <c r="K238" s="289">
        <f>+K0kommunestruktur2020altern!K238</f>
        <v>6024</v>
      </c>
      <c r="L238" s="289">
        <f>+K0kommunestruktur2020altern!L238</f>
        <v>166149</v>
      </c>
      <c r="M238" s="289">
        <f>+K0kommunestruktur2020altern!M238</f>
        <v>6048</v>
      </c>
      <c r="N238" s="289">
        <f>+K0kommunestruktur2020altern!N238</f>
        <v>177102</v>
      </c>
      <c r="O238" s="289">
        <f>+K0kommunestruktur2020altern!O238</f>
        <v>5987</v>
      </c>
      <c r="P238" s="289">
        <f>+K0kommunestruktur2020altern!P238</f>
        <v>170527</v>
      </c>
      <c r="Q238" s="289">
        <f>+'K21'!C238</f>
        <v>5922</v>
      </c>
      <c r="R238" s="289">
        <f>+'K21'!Z238</f>
        <v>187963.50099999999</v>
      </c>
      <c r="S238" s="517"/>
      <c r="T238" s="517"/>
    </row>
    <row r="239" spans="1:20" ht="13">
      <c r="A239" s="755">
        <v>4228</v>
      </c>
      <c r="B239" s="756" t="s">
        <v>957</v>
      </c>
      <c r="C239" s="289">
        <f>+K0kommunestruktur2020altern!C239</f>
        <v>1831</v>
      </c>
      <c r="D239" s="289">
        <f>+K0kommunestruktur2020altern!D239</f>
        <v>85268</v>
      </c>
      <c r="E239" s="289">
        <f>+K0kommunestruktur2020altern!E239</f>
        <v>1838</v>
      </c>
      <c r="F239" s="289">
        <f>+K0kommunestruktur2020altern!F239</f>
        <v>91757</v>
      </c>
      <c r="G239" s="289">
        <f>+K0kommunestruktur2020altern!G239</f>
        <v>1832</v>
      </c>
      <c r="H239" s="289">
        <f>+K0kommunestruktur2020altern!H239</f>
        <v>91636</v>
      </c>
      <c r="I239" s="289">
        <f>+K0kommunestruktur2020altern!I239</f>
        <v>1836</v>
      </c>
      <c r="J239" s="289">
        <f>+K0kommunestruktur2020altern!J239</f>
        <v>97913</v>
      </c>
      <c r="K239" s="289">
        <f>+K0kommunestruktur2020altern!K239</f>
        <v>1842</v>
      </c>
      <c r="L239" s="289">
        <f>+K0kommunestruktur2020altern!L239</f>
        <v>105701</v>
      </c>
      <c r="M239" s="289">
        <f>+K0kommunestruktur2020altern!M239</f>
        <v>1839</v>
      </c>
      <c r="N239" s="289">
        <f>+K0kommunestruktur2020altern!N239</f>
        <v>112920</v>
      </c>
      <c r="O239" s="289">
        <f>+K0kommunestruktur2020altern!O239</f>
        <v>1822</v>
      </c>
      <c r="P239" s="289">
        <f>+K0kommunestruktur2020altern!P239</f>
        <v>106256</v>
      </c>
      <c r="Q239" s="289">
        <f>+'K21'!C239</f>
        <v>1772</v>
      </c>
      <c r="R239" s="289">
        <f>+'K21'!Z239</f>
        <v>109126.65399999999</v>
      </c>
      <c r="S239" s="517"/>
      <c r="T239" s="517"/>
    </row>
    <row r="240" spans="1:20" ht="13">
      <c r="A240" s="755">
        <v>4601</v>
      </c>
      <c r="B240" s="756" t="s">
        <v>23</v>
      </c>
      <c r="C240" s="289">
        <f>+K0kommunestruktur2020altern!C240</f>
        <v>271949</v>
      </c>
      <c r="D240" s="289">
        <f>+K0kommunestruktur2020altern!D240</f>
        <v>7561489</v>
      </c>
      <c r="E240" s="289">
        <f>+K0kommunestruktur2020altern!E240</f>
        <v>275112</v>
      </c>
      <c r="F240" s="289">
        <f>+K0kommunestruktur2020altern!F240</f>
        <v>7970433</v>
      </c>
      <c r="G240" s="289">
        <f>+K0kommunestruktur2020altern!G240</f>
        <v>277391</v>
      </c>
      <c r="H240" s="289">
        <f>+K0kommunestruktur2020altern!H240</f>
        <v>8707661</v>
      </c>
      <c r="I240" s="289">
        <f>+K0kommunestruktur2020altern!I240</f>
        <v>278556</v>
      </c>
      <c r="J240" s="289">
        <f>+K0kommunestruktur2020altern!J240</f>
        <v>8795464</v>
      </c>
      <c r="K240" s="289">
        <f>+K0kommunestruktur2020altern!K240</f>
        <v>279792</v>
      </c>
      <c r="L240" s="289">
        <f>+K0kommunestruktur2020altern!L240</f>
        <v>9126725</v>
      </c>
      <c r="M240" s="289">
        <f>+K0kommunestruktur2020altern!M240</f>
        <v>281190</v>
      </c>
      <c r="N240" s="289">
        <f>+K0kommunestruktur2020altern!N240</f>
        <v>9648534</v>
      </c>
      <c r="O240" s="289">
        <f>+K0kommunestruktur2020altern!O240</f>
        <v>283929</v>
      </c>
      <c r="P240" s="289">
        <f>+K0kommunestruktur2020altern!P240</f>
        <v>9404048</v>
      </c>
      <c r="Q240" s="289">
        <f>+'K21'!C240</f>
        <v>285601</v>
      </c>
      <c r="R240" s="289">
        <f>+'K21'!Z240</f>
        <v>10807543.196</v>
      </c>
      <c r="S240" s="517"/>
      <c r="T240" s="517"/>
    </row>
    <row r="241" spans="1:20" ht="13">
      <c r="A241" s="755">
        <v>4602</v>
      </c>
      <c r="B241" s="756" t="s">
        <v>1631</v>
      </c>
      <c r="C241" s="289">
        <f>+K0kommunestruktur2020altern!C241</f>
        <v>17344.561976549412</v>
      </c>
      <c r="D241" s="289">
        <f>+K0kommunestruktur2020altern!D241</f>
        <v>416064.51758793968</v>
      </c>
      <c r="E241" s="289">
        <f>+K0kommunestruktur2020altern!E241</f>
        <v>17419.338358458961</v>
      </c>
      <c r="F241" s="289">
        <f>+K0kommunestruktur2020altern!F241</f>
        <v>431649.7403685092</v>
      </c>
      <c r="G241" s="289">
        <f>+K0kommunestruktur2020altern!G241</f>
        <v>17447.443886097153</v>
      </c>
      <c r="H241" s="289">
        <f>+K0kommunestruktur2020altern!H241</f>
        <v>467547.29731993302</v>
      </c>
      <c r="I241" s="289">
        <f>+K0kommunestruktur2020altern!I241</f>
        <v>17509.737855946398</v>
      </c>
      <c r="J241" s="289">
        <f>+K0kommunestruktur2020altern!J241</f>
        <v>473421.67336683418</v>
      </c>
      <c r="K241" s="289">
        <f>+K0kommunestruktur2020altern!K241</f>
        <v>17471.325795644891</v>
      </c>
      <c r="L241" s="289">
        <f>+K0kommunestruktur2020altern!L241</f>
        <v>488145.99497487437</v>
      </c>
      <c r="M241" s="289">
        <f>+K0kommunestruktur2020altern!M241</f>
        <v>17307</v>
      </c>
      <c r="N241" s="289">
        <f>+K0kommunestruktur2020altern!N241</f>
        <v>531529.90787269687</v>
      </c>
      <c r="O241" s="289">
        <f>+K0kommunestruktur2020altern!O241</f>
        <v>17207</v>
      </c>
      <c r="P241" s="289">
        <f>+K0kommunestruktur2020altern!P241</f>
        <v>549252</v>
      </c>
      <c r="Q241" s="289">
        <f>+'K21'!C241</f>
        <v>17160</v>
      </c>
      <c r="R241" s="289">
        <f>+'K21'!Z241</f>
        <v>592638.42599999998</v>
      </c>
      <c r="S241" s="517"/>
      <c r="T241" s="517"/>
    </row>
    <row r="242" spans="1:20" ht="13">
      <c r="A242" s="755">
        <v>4611</v>
      </c>
      <c r="B242" s="756" t="s">
        <v>24</v>
      </c>
      <c r="C242" s="289">
        <f>+K0kommunestruktur2020altern!C242</f>
        <v>4057</v>
      </c>
      <c r="D242" s="289">
        <f>+K0kommunestruktur2020altern!D242</f>
        <v>90137</v>
      </c>
      <c r="E242" s="289">
        <f>+K0kommunestruktur2020altern!E242</f>
        <v>4103</v>
      </c>
      <c r="F242" s="289">
        <f>+K0kommunestruktur2020altern!F242</f>
        <v>90573</v>
      </c>
      <c r="G242" s="289">
        <f>+K0kommunestruktur2020altern!G242</f>
        <v>4106</v>
      </c>
      <c r="H242" s="289">
        <f>+K0kommunestruktur2020altern!H242</f>
        <v>100476</v>
      </c>
      <c r="I242" s="289">
        <f>+K0kommunestruktur2020altern!I242</f>
        <v>4135</v>
      </c>
      <c r="J242" s="289">
        <f>+K0kommunestruktur2020altern!J242</f>
        <v>101892</v>
      </c>
      <c r="K242" s="289">
        <f>+K0kommunestruktur2020altern!K242</f>
        <v>4083</v>
      </c>
      <c r="L242" s="289">
        <f>+K0kommunestruktur2020altern!L242</f>
        <v>106064</v>
      </c>
      <c r="M242" s="289">
        <f>+K0kommunestruktur2020altern!M242</f>
        <v>4077</v>
      </c>
      <c r="N242" s="289">
        <f>+K0kommunestruktur2020altern!N242</f>
        <v>114533</v>
      </c>
      <c r="O242" s="289">
        <f>+K0kommunestruktur2020altern!O242</f>
        <v>4062</v>
      </c>
      <c r="P242" s="289">
        <f>+K0kommunestruktur2020altern!P242</f>
        <v>110596</v>
      </c>
      <c r="Q242" s="289">
        <f>+'K21'!C242</f>
        <v>4053</v>
      </c>
      <c r="R242" s="289">
        <f>+'K21'!Z242</f>
        <v>134847.43700000001</v>
      </c>
      <c r="S242" s="517"/>
      <c r="T242" s="517"/>
    </row>
    <row r="243" spans="1:20" ht="13">
      <c r="A243" s="755">
        <v>4612</v>
      </c>
      <c r="B243" s="756" t="s">
        <v>25</v>
      </c>
      <c r="C243" s="289">
        <f>+K0kommunestruktur2020altern!C243</f>
        <v>5463</v>
      </c>
      <c r="D243" s="289">
        <f>+K0kommunestruktur2020altern!D243</f>
        <v>117446</v>
      </c>
      <c r="E243" s="289">
        <f>+K0kommunestruktur2020altern!E243</f>
        <v>5509</v>
      </c>
      <c r="F243" s="289">
        <f>+K0kommunestruktur2020altern!F243</f>
        <v>121337</v>
      </c>
      <c r="G243" s="289">
        <f>+K0kommunestruktur2020altern!G243</f>
        <v>5593</v>
      </c>
      <c r="H243" s="289">
        <f>+K0kommunestruktur2020altern!H243</f>
        <v>130903</v>
      </c>
      <c r="I243" s="289">
        <f>+K0kommunestruktur2020altern!I243</f>
        <v>5656</v>
      </c>
      <c r="J243" s="289">
        <f>+K0kommunestruktur2020altern!J243</f>
        <v>160876</v>
      </c>
      <c r="K243" s="289">
        <f>+K0kommunestruktur2020altern!K243</f>
        <v>5721</v>
      </c>
      <c r="L243" s="289">
        <f>+K0kommunestruktur2020altern!L243</f>
        <v>140486</v>
      </c>
      <c r="M243" s="289">
        <f>+K0kommunestruktur2020altern!M243</f>
        <v>5721</v>
      </c>
      <c r="N243" s="289">
        <f>+K0kommunestruktur2020altern!N243</f>
        <v>141649</v>
      </c>
      <c r="O243" s="289">
        <f>+K0kommunestruktur2020altern!O243</f>
        <v>5766</v>
      </c>
      <c r="P243" s="289">
        <f>+K0kommunestruktur2020altern!P243</f>
        <v>146291</v>
      </c>
      <c r="Q243" s="289">
        <f>+'K21'!C243</f>
        <v>5798</v>
      </c>
      <c r="R243" s="289">
        <f>+'K21'!Z243</f>
        <v>191979.33600000001</v>
      </c>
      <c r="S243" s="517"/>
      <c r="T243" s="517"/>
    </row>
    <row r="244" spans="1:20" ht="13">
      <c r="A244" s="755">
        <v>4613</v>
      </c>
      <c r="B244" s="756" t="s">
        <v>26</v>
      </c>
      <c r="C244" s="289">
        <f>+K0kommunestruktur2020altern!C244</f>
        <v>11749</v>
      </c>
      <c r="D244" s="289">
        <f>+K0kommunestruktur2020altern!D244</f>
        <v>283646</v>
      </c>
      <c r="E244" s="289">
        <f>+K0kommunestruktur2020altern!E244</f>
        <v>11761</v>
      </c>
      <c r="F244" s="289">
        <f>+K0kommunestruktur2020altern!F244</f>
        <v>291741</v>
      </c>
      <c r="G244" s="289">
        <f>+K0kommunestruktur2020altern!G244</f>
        <v>11778</v>
      </c>
      <c r="H244" s="289">
        <f>+K0kommunestruktur2020altern!H244</f>
        <v>340199</v>
      </c>
      <c r="I244" s="289">
        <f>+K0kommunestruktur2020altern!I244</f>
        <v>11806</v>
      </c>
      <c r="J244" s="289">
        <f>+K0kommunestruktur2020altern!J244</f>
        <v>315438</v>
      </c>
      <c r="K244" s="289">
        <f>+K0kommunestruktur2020altern!K244</f>
        <v>11902</v>
      </c>
      <c r="L244" s="289">
        <f>+K0kommunestruktur2020altern!L244</f>
        <v>295857</v>
      </c>
      <c r="M244" s="289">
        <f>+K0kommunestruktur2020altern!M244</f>
        <v>11960</v>
      </c>
      <c r="N244" s="289">
        <f>+K0kommunestruktur2020altern!N244</f>
        <v>332334</v>
      </c>
      <c r="O244" s="289">
        <f>+K0kommunestruktur2020altern!O244</f>
        <v>11957</v>
      </c>
      <c r="P244" s="289">
        <f>+K0kommunestruktur2020altern!P244</f>
        <v>334069</v>
      </c>
      <c r="Q244" s="289">
        <f>+'K21'!C244</f>
        <v>11953</v>
      </c>
      <c r="R244" s="289">
        <f>+'K21'!Z244</f>
        <v>395792.70500000002</v>
      </c>
      <c r="S244" s="517"/>
      <c r="T244" s="517"/>
    </row>
    <row r="245" spans="1:20" ht="13">
      <c r="A245" s="755">
        <v>4614</v>
      </c>
      <c r="B245" s="756" t="s">
        <v>27</v>
      </c>
      <c r="C245" s="289">
        <f>+K0kommunestruktur2020altern!C245</f>
        <v>18425</v>
      </c>
      <c r="D245" s="289">
        <f>+K0kommunestruktur2020altern!D245</f>
        <v>450121</v>
      </c>
      <c r="E245" s="289">
        <f>+K0kommunestruktur2020altern!E245</f>
        <v>18685</v>
      </c>
      <c r="F245" s="289">
        <f>+K0kommunestruktur2020altern!F245</f>
        <v>484243</v>
      </c>
      <c r="G245" s="289">
        <f>+K0kommunestruktur2020altern!G245</f>
        <v>18775</v>
      </c>
      <c r="H245" s="289">
        <f>+K0kommunestruktur2020altern!H245</f>
        <v>488716</v>
      </c>
      <c r="I245" s="289">
        <f>+K0kommunestruktur2020altern!I245</f>
        <v>18821</v>
      </c>
      <c r="J245" s="289">
        <f>+K0kommunestruktur2020altern!J245</f>
        <v>497783</v>
      </c>
      <c r="K245" s="289">
        <f>+K0kommunestruktur2020altern!K245</f>
        <v>18780</v>
      </c>
      <c r="L245" s="289">
        <f>+K0kommunestruktur2020altern!L245</f>
        <v>517096</v>
      </c>
      <c r="M245" s="289">
        <f>+K0kommunestruktur2020altern!M245</f>
        <v>18699</v>
      </c>
      <c r="N245" s="289">
        <f>+K0kommunestruktur2020altern!N245</f>
        <v>540530</v>
      </c>
      <c r="O245" s="289">
        <f>+K0kommunestruktur2020altern!O245</f>
        <v>18759</v>
      </c>
      <c r="P245" s="289">
        <f>+K0kommunestruktur2020altern!P245</f>
        <v>543385</v>
      </c>
      <c r="Q245" s="289">
        <f>+'K21'!C245</f>
        <v>18861</v>
      </c>
      <c r="R245" s="289">
        <f>+'K21'!Z245</f>
        <v>624235.36199999996</v>
      </c>
      <c r="S245" s="517"/>
      <c r="T245" s="517"/>
    </row>
    <row r="246" spans="1:20" ht="13">
      <c r="A246" s="755">
        <v>4615</v>
      </c>
      <c r="B246" s="756" t="s">
        <v>28</v>
      </c>
      <c r="C246" s="289">
        <f>+K0kommunestruktur2020altern!C246</f>
        <v>3009</v>
      </c>
      <c r="D246" s="289">
        <f>+K0kommunestruktur2020altern!D246</f>
        <v>74296</v>
      </c>
      <c r="E246" s="289">
        <f>+K0kommunestruktur2020altern!E246</f>
        <v>3093</v>
      </c>
      <c r="F246" s="289">
        <f>+K0kommunestruktur2020altern!F246</f>
        <v>78879</v>
      </c>
      <c r="G246" s="289">
        <f>+K0kommunestruktur2020altern!G246</f>
        <v>3140</v>
      </c>
      <c r="H246" s="289">
        <f>+K0kommunestruktur2020altern!H246</f>
        <v>84396</v>
      </c>
      <c r="I246" s="289">
        <f>+K0kommunestruktur2020altern!I246</f>
        <v>3189</v>
      </c>
      <c r="J246" s="289">
        <f>+K0kommunestruktur2020altern!J246</f>
        <v>80561</v>
      </c>
      <c r="K246" s="289">
        <f>+K0kommunestruktur2020altern!K246</f>
        <v>3194</v>
      </c>
      <c r="L246" s="289">
        <f>+K0kommunestruktur2020altern!L246</f>
        <v>81638</v>
      </c>
      <c r="M246" s="289">
        <f>+K0kommunestruktur2020altern!M246</f>
        <v>3201</v>
      </c>
      <c r="N246" s="289">
        <f>+K0kommunestruktur2020altern!N246</f>
        <v>90564</v>
      </c>
      <c r="O246" s="289">
        <f>+K0kommunestruktur2020altern!O246</f>
        <v>3189</v>
      </c>
      <c r="P246" s="289">
        <f>+K0kommunestruktur2020altern!P246</f>
        <v>87982</v>
      </c>
      <c r="Q246" s="289">
        <f>+'K21'!C246</f>
        <v>3147</v>
      </c>
      <c r="R246" s="289">
        <f>+'K21'!Z246</f>
        <v>99743.555999999997</v>
      </c>
      <c r="S246" s="517"/>
      <c r="T246" s="517"/>
    </row>
    <row r="247" spans="1:20" ht="13">
      <c r="A247" s="755">
        <v>4616</v>
      </c>
      <c r="B247" s="756" t="s">
        <v>29</v>
      </c>
      <c r="C247" s="289">
        <f>+K0kommunestruktur2020altern!C247</f>
        <v>2745</v>
      </c>
      <c r="D247" s="289">
        <f>+K0kommunestruktur2020altern!D247</f>
        <v>65397</v>
      </c>
      <c r="E247" s="289">
        <f>+K0kommunestruktur2020altern!E247</f>
        <v>2782</v>
      </c>
      <c r="F247" s="289">
        <f>+K0kommunestruktur2020altern!F247</f>
        <v>71019</v>
      </c>
      <c r="G247" s="289">
        <f>+K0kommunestruktur2020altern!G247</f>
        <v>2797</v>
      </c>
      <c r="H247" s="289">
        <f>+K0kommunestruktur2020altern!H247</f>
        <v>76308</v>
      </c>
      <c r="I247" s="289">
        <f>+K0kommunestruktur2020altern!I247</f>
        <v>2847</v>
      </c>
      <c r="J247" s="289">
        <f>+K0kommunestruktur2020altern!J247</f>
        <v>83729</v>
      </c>
      <c r="K247" s="289">
        <f>+K0kommunestruktur2020altern!K247</f>
        <v>2857</v>
      </c>
      <c r="L247" s="289">
        <f>+K0kommunestruktur2020altern!L247</f>
        <v>90837</v>
      </c>
      <c r="M247" s="289">
        <f>+K0kommunestruktur2020altern!M247</f>
        <v>2846</v>
      </c>
      <c r="N247" s="289">
        <f>+K0kommunestruktur2020altern!N247</f>
        <v>105762</v>
      </c>
      <c r="O247" s="289">
        <f>+K0kommunestruktur2020altern!O247</f>
        <v>2869</v>
      </c>
      <c r="P247" s="289">
        <f>+K0kommunestruktur2020altern!P247</f>
        <v>94659</v>
      </c>
      <c r="Q247" s="289">
        <f>+'K21'!C247</f>
        <v>2924</v>
      </c>
      <c r="R247" s="289">
        <f>+'K21'!Z247</f>
        <v>125323.236</v>
      </c>
      <c r="S247" s="517"/>
      <c r="T247" s="517"/>
    </row>
    <row r="248" spans="1:20" ht="13">
      <c r="A248" s="755">
        <v>4617</v>
      </c>
      <c r="B248" s="756" t="s">
        <v>30</v>
      </c>
      <c r="C248" s="289">
        <f>+K0kommunestruktur2020altern!C248</f>
        <v>13232</v>
      </c>
      <c r="D248" s="289">
        <f>+K0kommunestruktur2020altern!D248</f>
        <v>317340</v>
      </c>
      <c r="E248" s="289">
        <f>+K0kommunestruktur2020altern!E248</f>
        <v>13234</v>
      </c>
      <c r="F248" s="289">
        <f>+K0kommunestruktur2020altern!F248</f>
        <v>323502</v>
      </c>
      <c r="G248" s="289">
        <f>+K0kommunestruktur2020altern!G248</f>
        <v>13271</v>
      </c>
      <c r="H248" s="289">
        <f>+K0kommunestruktur2020altern!H248</f>
        <v>335516</v>
      </c>
      <c r="I248" s="289">
        <f>+K0kommunestruktur2020altern!I248</f>
        <v>13241</v>
      </c>
      <c r="J248" s="289">
        <f>+K0kommunestruktur2020altern!J248</f>
        <v>343907</v>
      </c>
      <c r="K248" s="289">
        <f>+K0kommunestruktur2020altern!K248</f>
        <v>13180</v>
      </c>
      <c r="L248" s="289">
        <f>+K0kommunestruktur2020altern!L248</f>
        <v>358088</v>
      </c>
      <c r="M248" s="289">
        <f>+K0kommunestruktur2020altern!M248</f>
        <v>13137</v>
      </c>
      <c r="N248" s="289">
        <f>+K0kommunestruktur2020altern!N248</f>
        <v>374901</v>
      </c>
      <c r="O248" s="289">
        <f>+K0kommunestruktur2020altern!O248</f>
        <v>13071</v>
      </c>
      <c r="P248" s="289">
        <f>+K0kommunestruktur2020altern!P248</f>
        <v>371702</v>
      </c>
      <c r="Q248" s="289">
        <f>+'K21'!C248</f>
        <v>13039</v>
      </c>
      <c r="R248" s="289">
        <f>+'K21'!Z248</f>
        <v>433092.84700000001</v>
      </c>
      <c r="S248" s="517"/>
      <c r="T248" s="517"/>
    </row>
    <row r="249" spans="1:20" ht="13">
      <c r="A249" s="755">
        <v>4618</v>
      </c>
      <c r="B249" s="756" t="s">
        <v>1632</v>
      </c>
      <c r="C249" s="289">
        <f>+K0kommunestruktur2020altern!C249</f>
        <v>11399.996385542168</v>
      </c>
      <c r="D249" s="289">
        <f>+K0kommunestruktur2020altern!D249</f>
        <v>290946.56160000002</v>
      </c>
      <c r="E249" s="289">
        <f>+K0kommunestruktur2020altern!E249</f>
        <v>11393.136144578313</v>
      </c>
      <c r="F249" s="289">
        <f>+K0kommunestruktur2020altern!F249</f>
        <v>306945.06357831327</v>
      </c>
      <c r="G249" s="289">
        <f>+K0kommunestruktur2020altern!G249</f>
        <v>11365.340963855422</v>
      </c>
      <c r="H249" s="289">
        <f>+K0kommunestruktur2020altern!H249</f>
        <v>314267.95376506023</v>
      </c>
      <c r="I249" s="289">
        <f>+K0kommunestruktur2020altern!I249</f>
        <v>11440.832530120482</v>
      </c>
      <c r="J249" s="289">
        <f>+K0kommunestruktur2020altern!J249</f>
        <v>326542.12179638556</v>
      </c>
      <c r="K249" s="289">
        <f>+K0kommunestruktur2020altern!K249</f>
        <v>11225.119277108433</v>
      </c>
      <c r="L249" s="289">
        <f>+K0kommunestruktur2020altern!L249</f>
        <v>334172.3313253012</v>
      </c>
      <c r="M249" s="289">
        <f>+K0kommunestruktur2020altern!M249</f>
        <v>11084</v>
      </c>
      <c r="N249" s="289">
        <f>+K0kommunestruktur2020altern!N249</f>
        <v>347344.6277108434</v>
      </c>
      <c r="O249" s="289">
        <f>+K0kommunestruktur2020altern!O249</f>
        <v>11048</v>
      </c>
      <c r="P249" s="289">
        <f>+K0kommunestruktur2020altern!P249</f>
        <v>348649</v>
      </c>
      <c r="Q249" s="289">
        <f>+'K21'!C249</f>
        <v>11002</v>
      </c>
      <c r="R249" s="289">
        <f>+'K21'!Z249</f>
        <v>393175.99900000001</v>
      </c>
      <c r="S249" s="517"/>
      <c r="T249" s="517"/>
    </row>
    <row r="250" spans="1:20" ht="13">
      <c r="A250" s="755">
        <v>4619</v>
      </c>
      <c r="B250" s="756" t="s">
        <v>34</v>
      </c>
      <c r="C250" s="289">
        <f>+K0kommunestruktur2020altern!C250</f>
        <v>950</v>
      </c>
      <c r="D250" s="289">
        <f>+K0kommunestruktur2020altern!D250</f>
        <v>49498</v>
      </c>
      <c r="E250" s="289">
        <f>+K0kommunestruktur2020altern!E250</f>
        <v>950</v>
      </c>
      <c r="F250" s="289">
        <f>+K0kommunestruktur2020altern!F250</f>
        <v>49839</v>
      </c>
      <c r="G250" s="289">
        <f>+K0kommunestruktur2020altern!G250</f>
        <v>925</v>
      </c>
      <c r="H250" s="289">
        <f>+K0kommunestruktur2020altern!H250</f>
        <v>52787</v>
      </c>
      <c r="I250" s="289">
        <f>+K0kommunestruktur2020altern!I250</f>
        <v>921</v>
      </c>
      <c r="J250" s="289">
        <f>+K0kommunestruktur2020altern!J250</f>
        <v>55245</v>
      </c>
      <c r="K250" s="289">
        <f>+K0kommunestruktur2020altern!K250</f>
        <v>931</v>
      </c>
      <c r="L250" s="289">
        <f>+K0kommunestruktur2020altern!L250</f>
        <v>56711</v>
      </c>
      <c r="M250" s="289">
        <f>+K0kommunestruktur2020altern!M250</f>
        <v>906</v>
      </c>
      <c r="N250" s="289">
        <f>+K0kommunestruktur2020altern!N250</f>
        <v>56140</v>
      </c>
      <c r="O250" s="289">
        <f>+K0kommunestruktur2020altern!O250</f>
        <v>906</v>
      </c>
      <c r="P250" s="289">
        <f>+K0kommunestruktur2020altern!P250</f>
        <v>53139</v>
      </c>
      <c r="Q250" s="289">
        <f>+'K21'!C250</f>
        <v>903</v>
      </c>
      <c r="R250" s="289">
        <f>+'K21'!Z250</f>
        <v>58015.205000000002</v>
      </c>
      <c r="S250" s="517"/>
      <c r="T250" s="517"/>
    </row>
    <row r="251" spans="1:20" ht="13">
      <c r="A251" s="755">
        <v>4620</v>
      </c>
      <c r="B251" s="756" t="s">
        <v>35</v>
      </c>
      <c r="C251" s="289">
        <f>+K0kommunestruktur2020altern!C251</f>
        <v>1094</v>
      </c>
      <c r="D251" s="289">
        <f>+K0kommunestruktur2020altern!D251</f>
        <v>32828</v>
      </c>
      <c r="E251" s="289">
        <f>+K0kommunestruktur2020altern!E251</f>
        <v>1107</v>
      </c>
      <c r="F251" s="289">
        <f>+K0kommunestruktur2020altern!F251</f>
        <v>32883</v>
      </c>
      <c r="G251" s="289">
        <f>+K0kommunestruktur2020altern!G251</f>
        <v>1116</v>
      </c>
      <c r="H251" s="289">
        <f>+K0kommunestruktur2020altern!H251</f>
        <v>34173</v>
      </c>
      <c r="I251" s="289">
        <f>+K0kommunestruktur2020altern!I251</f>
        <v>1131</v>
      </c>
      <c r="J251" s="289">
        <f>+K0kommunestruktur2020altern!J251</f>
        <v>34103</v>
      </c>
      <c r="K251" s="289">
        <f>+K0kommunestruktur2020altern!K251</f>
        <v>1117</v>
      </c>
      <c r="L251" s="289">
        <f>+K0kommunestruktur2020altern!L251</f>
        <v>35225</v>
      </c>
      <c r="M251" s="289">
        <f>+K0kommunestruktur2020altern!M251</f>
        <v>1093</v>
      </c>
      <c r="N251" s="289">
        <f>+K0kommunestruktur2020altern!N251</f>
        <v>35916</v>
      </c>
      <c r="O251" s="289">
        <f>+K0kommunestruktur2020altern!O251</f>
        <v>1080</v>
      </c>
      <c r="P251" s="289">
        <f>+K0kommunestruktur2020altern!P251</f>
        <v>34950</v>
      </c>
      <c r="Q251" s="289">
        <f>+'K21'!C251</f>
        <v>1061</v>
      </c>
      <c r="R251" s="289">
        <f>+'K21'!Z251</f>
        <v>38123.357000000004</v>
      </c>
      <c r="S251" s="517"/>
      <c r="T251" s="517"/>
    </row>
    <row r="252" spans="1:20" ht="13">
      <c r="A252" s="755">
        <v>4621</v>
      </c>
      <c r="B252" s="756" t="s">
        <v>1633</v>
      </c>
      <c r="C252" s="289">
        <f>+K0kommunestruktur2020altern!C252</f>
        <v>15148.003614457832</v>
      </c>
      <c r="D252" s="289">
        <f>+K0kommunestruktur2020altern!D252</f>
        <v>347890.43839999998</v>
      </c>
      <c r="E252" s="289">
        <f>+K0kommunestruktur2020altern!E252</f>
        <v>15337.863855421687</v>
      </c>
      <c r="F252" s="289">
        <f>+K0kommunestruktur2020altern!F252</f>
        <v>360573.93642168673</v>
      </c>
      <c r="G252" s="289">
        <f>+K0kommunestruktur2020altern!G252</f>
        <v>15414.659036144578</v>
      </c>
      <c r="H252" s="289">
        <f>+K0kommunestruktur2020altern!H252</f>
        <v>385610.04623493977</v>
      </c>
      <c r="I252" s="289">
        <f>+K0kommunestruktur2020altern!I252</f>
        <v>15516.167469879518</v>
      </c>
      <c r="J252" s="289">
        <f>+K0kommunestruktur2020altern!J252</f>
        <v>405969.87820361444</v>
      </c>
      <c r="K252" s="289">
        <f>+K0kommunestruktur2020altern!K252</f>
        <v>15576.880722891567</v>
      </c>
      <c r="L252" s="289">
        <f>+K0kommunestruktur2020altern!L252</f>
        <v>427868.6686746988</v>
      </c>
      <c r="M252" s="289">
        <f>+K0kommunestruktur2020altern!M252</f>
        <v>15611</v>
      </c>
      <c r="N252" s="289">
        <f>+K0kommunestruktur2020altern!N252</f>
        <v>452847.3722891566</v>
      </c>
      <c r="O252" s="289">
        <f>+K0kommunestruktur2020altern!O252</f>
        <v>15740</v>
      </c>
      <c r="P252" s="289">
        <f>+K0kommunestruktur2020altern!P252</f>
        <v>443958</v>
      </c>
      <c r="Q252" s="289">
        <f>+'K21'!C252</f>
        <v>15787</v>
      </c>
      <c r="R252" s="289">
        <f>+'K21'!Z252</f>
        <v>489349.63799999998</v>
      </c>
      <c r="S252" s="517"/>
      <c r="T252" s="517"/>
    </row>
    <row r="253" spans="1:20" ht="13">
      <c r="A253" s="755">
        <v>4622</v>
      </c>
      <c r="B253" s="756" t="s">
        <v>38</v>
      </c>
      <c r="C253" s="289">
        <f>+K0kommunestruktur2020altern!C253</f>
        <v>8584</v>
      </c>
      <c r="D253" s="289">
        <f>+K0kommunestruktur2020altern!D253</f>
        <v>191886</v>
      </c>
      <c r="E253" s="289">
        <f>+K0kommunestruktur2020altern!E253</f>
        <v>8539</v>
      </c>
      <c r="F253" s="289">
        <f>+K0kommunestruktur2020altern!F253</f>
        <v>198344</v>
      </c>
      <c r="G253" s="289">
        <f>+K0kommunestruktur2020altern!G253</f>
        <v>8475</v>
      </c>
      <c r="H253" s="289">
        <f>+K0kommunestruktur2020altern!H253</f>
        <v>212701</v>
      </c>
      <c r="I253" s="289">
        <f>+K0kommunestruktur2020altern!I253</f>
        <v>8423</v>
      </c>
      <c r="J253" s="289">
        <f>+K0kommunestruktur2020altern!J253</f>
        <v>216753</v>
      </c>
      <c r="K253" s="289">
        <f>+K0kommunestruktur2020altern!K253</f>
        <v>8455</v>
      </c>
      <c r="L253" s="289">
        <f>+K0kommunestruktur2020altern!L253</f>
        <v>232403</v>
      </c>
      <c r="M253" s="289">
        <f>+K0kommunestruktur2020altern!M253</f>
        <v>8441</v>
      </c>
      <c r="N253" s="289">
        <f>+K0kommunestruktur2020altern!N253</f>
        <v>234746</v>
      </c>
      <c r="O253" s="289">
        <f>+K0kommunestruktur2020altern!O253</f>
        <v>8457</v>
      </c>
      <c r="P253" s="289">
        <f>+K0kommunestruktur2020altern!P253</f>
        <v>233626</v>
      </c>
      <c r="Q253" s="289">
        <f>+'K21'!C253</f>
        <v>8461</v>
      </c>
      <c r="R253" s="289">
        <f>+'K21'!Z253</f>
        <v>267315.22600000002</v>
      </c>
      <c r="S253" s="517"/>
      <c r="T253" s="517"/>
    </row>
    <row r="254" spans="1:20" ht="13">
      <c r="A254" s="755">
        <v>4623</v>
      </c>
      <c r="B254" s="756" t="s">
        <v>40</v>
      </c>
      <c r="C254" s="289">
        <f>+K0kommunestruktur2020altern!C254</f>
        <v>2436</v>
      </c>
      <c r="D254" s="289">
        <f>+K0kommunestruktur2020altern!D254</f>
        <v>57433</v>
      </c>
      <c r="E254" s="289">
        <f>+K0kommunestruktur2020altern!E254</f>
        <v>2443</v>
      </c>
      <c r="F254" s="289">
        <f>+K0kommunestruktur2020altern!F254</f>
        <v>62067</v>
      </c>
      <c r="G254" s="289">
        <f>+K0kommunestruktur2020altern!G254</f>
        <v>2443</v>
      </c>
      <c r="H254" s="289">
        <f>+K0kommunestruktur2020altern!H254</f>
        <v>65531</v>
      </c>
      <c r="I254" s="289">
        <f>+K0kommunestruktur2020altern!I254</f>
        <v>2488</v>
      </c>
      <c r="J254" s="289">
        <f>+K0kommunestruktur2020altern!J254</f>
        <v>66651</v>
      </c>
      <c r="K254" s="289">
        <f>+K0kommunestruktur2020altern!K254</f>
        <v>2463</v>
      </c>
      <c r="L254" s="289">
        <f>+K0kommunestruktur2020altern!L254</f>
        <v>65455</v>
      </c>
      <c r="M254" s="289">
        <f>+K0kommunestruktur2020altern!M254</f>
        <v>2465</v>
      </c>
      <c r="N254" s="289">
        <f>+K0kommunestruktur2020altern!N254</f>
        <v>67380</v>
      </c>
      <c r="O254" s="289">
        <f>+K0kommunestruktur2020altern!O254</f>
        <v>2485</v>
      </c>
      <c r="P254" s="289">
        <f>+K0kommunestruktur2020altern!P254</f>
        <v>67747</v>
      </c>
      <c r="Q254" s="289">
        <f>+'K21'!C254</f>
        <v>2504</v>
      </c>
      <c r="R254" s="289">
        <f>+'K21'!Z254</f>
        <v>76737.937999999995</v>
      </c>
      <c r="S254" s="517"/>
      <c r="T254" s="517"/>
    </row>
    <row r="255" spans="1:20" ht="13">
      <c r="A255" s="755">
        <v>4624</v>
      </c>
      <c r="B255" s="756" t="s">
        <v>1634</v>
      </c>
      <c r="C255" s="289">
        <f>+K0kommunestruktur2020altern!C255</f>
        <v>22507</v>
      </c>
      <c r="D255" s="289">
        <f>+K0kommunestruktur2020altern!D255</f>
        <v>534800</v>
      </c>
      <c r="E255" s="289">
        <f>+K0kommunestruktur2020altern!E255</f>
        <v>22935</v>
      </c>
      <c r="F255" s="289">
        <f>+K0kommunestruktur2020altern!F255</f>
        <v>569139</v>
      </c>
      <c r="G255" s="289">
        <f>+K0kommunestruktur2020altern!G255</f>
        <v>23618</v>
      </c>
      <c r="H255" s="289">
        <f>+K0kommunestruktur2020altern!H255</f>
        <v>626543</v>
      </c>
      <c r="I255" s="289">
        <f>+K0kommunestruktur2020altern!I255</f>
        <v>24047</v>
      </c>
      <c r="J255" s="289">
        <f>+K0kommunestruktur2020altern!J255</f>
        <v>657084</v>
      </c>
      <c r="K255" s="289">
        <f>+K0kommunestruktur2020altern!K255</f>
        <v>24493</v>
      </c>
      <c r="L255" s="289">
        <f>+K0kommunestruktur2020altern!L255</f>
        <v>677975</v>
      </c>
      <c r="M255" s="289">
        <f>+K0kommunestruktur2020altern!M255</f>
        <v>24665</v>
      </c>
      <c r="N255" s="289">
        <f>+K0kommunestruktur2020altern!N255</f>
        <v>706159</v>
      </c>
      <c r="O255" s="289">
        <f>+K0kommunestruktur2020altern!O255</f>
        <v>24908</v>
      </c>
      <c r="P255" s="289">
        <f>+K0kommunestruktur2020altern!P255</f>
        <v>702109</v>
      </c>
      <c r="Q255" s="289">
        <f>+'K21'!C255</f>
        <v>25049</v>
      </c>
      <c r="R255" s="289">
        <f>+'K21'!Z255</f>
        <v>809661.46299999999</v>
      </c>
      <c r="S255" s="517"/>
      <c r="T255" s="517"/>
    </row>
    <row r="256" spans="1:20" ht="13">
      <c r="A256" s="755">
        <v>4625</v>
      </c>
      <c r="B256" s="756" t="s">
        <v>41</v>
      </c>
      <c r="C256" s="289">
        <f>+K0kommunestruktur2020altern!C256</f>
        <v>4924</v>
      </c>
      <c r="D256" s="289">
        <f>+K0kommunestruktur2020altern!D256</f>
        <v>167181</v>
      </c>
      <c r="E256" s="289">
        <f>+K0kommunestruktur2020altern!E256</f>
        <v>5012</v>
      </c>
      <c r="F256" s="289">
        <f>+K0kommunestruktur2020altern!F256</f>
        <v>185918</v>
      </c>
      <c r="G256" s="289">
        <f>+K0kommunestruktur2020altern!G256</f>
        <v>5118</v>
      </c>
      <c r="H256" s="289">
        <f>+K0kommunestruktur2020altern!H256</f>
        <v>200516</v>
      </c>
      <c r="I256" s="289">
        <f>+K0kommunestruktur2020altern!I256</f>
        <v>5156</v>
      </c>
      <c r="J256" s="289">
        <f>+K0kommunestruktur2020altern!J256</f>
        <v>219330</v>
      </c>
      <c r="K256" s="289">
        <f>+K0kommunestruktur2020altern!K256</f>
        <v>5189</v>
      </c>
      <c r="L256" s="289">
        <f>+K0kommunestruktur2020altern!L256</f>
        <v>202389</v>
      </c>
      <c r="M256" s="289">
        <f>+K0kommunestruktur2020altern!M256</f>
        <v>5212</v>
      </c>
      <c r="N256" s="289">
        <f>+K0kommunestruktur2020altern!N256</f>
        <v>259138</v>
      </c>
      <c r="O256" s="289">
        <f>+K0kommunestruktur2020altern!O256</f>
        <v>5236</v>
      </c>
      <c r="P256" s="289">
        <f>+K0kommunestruktur2020altern!P256</f>
        <v>264097</v>
      </c>
      <c r="Q256" s="289">
        <f>+'K21'!C256</f>
        <v>5276</v>
      </c>
      <c r="R256" s="289">
        <f>+'K21'!Z256</f>
        <v>286098.10200000001</v>
      </c>
      <c r="S256" s="517"/>
      <c r="T256" s="517"/>
    </row>
    <row r="257" spans="1:20" ht="13">
      <c r="A257" s="755">
        <v>4626</v>
      </c>
      <c r="B257" s="756" t="s">
        <v>1635</v>
      </c>
      <c r="C257" s="289">
        <f>+K0kommunestruktur2020altern!C257</f>
        <v>35191</v>
      </c>
      <c r="D257" s="289">
        <f>+K0kommunestruktur2020altern!D257</f>
        <v>869349</v>
      </c>
      <c r="E257" s="289">
        <f>+K0kommunestruktur2020altern!E257</f>
        <v>35912</v>
      </c>
      <c r="F257" s="289">
        <f>+K0kommunestruktur2020altern!F257</f>
        <v>900925</v>
      </c>
      <c r="G257" s="289">
        <f>+K0kommunestruktur2020altern!G257</f>
        <v>36697</v>
      </c>
      <c r="H257" s="289">
        <f>+K0kommunestruktur2020altern!H257</f>
        <v>969029</v>
      </c>
      <c r="I257" s="289">
        <f>+K0kommunestruktur2020altern!I257</f>
        <v>37175</v>
      </c>
      <c r="J257" s="289">
        <f>+K0kommunestruktur2020altern!J257</f>
        <v>993064</v>
      </c>
      <c r="K257" s="289">
        <f>+K0kommunestruktur2020altern!K257</f>
        <v>37687</v>
      </c>
      <c r="L257" s="289">
        <f>+K0kommunestruktur2020altern!L257</f>
        <v>1041433</v>
      </c>
      <c r="M257" s="289">
        <f>+K0kommunestruktur2020altern!M257</f>
        <v>38117</v>
      </c>
      <c r="N257" s="289">
        <f>+K0kommunestruktur2020altern!N257</f>
        <v>1088369</v>
      </c>
      <c r="O257" s="289">
        <f>+K0kommunestruktur2020altern!O257</f>
        <v>38316</v>
      </c>
      <c r="P257" s="289">
        <f>+K0kommunestruktur2020altern!P257</f>
        <v>1073322</v>
      </c>
      <c r="Q257" s="289">
        <f>+'K21'!C257</f>
        <v>38664</v>
      </c>
      <c r="R257" s="289">
        <f>+'K21'!Z257</f>
        <v>1234238.007</v>
      </c>
      <c r="S257" s="517"/>
      <c r="T257" s="517"/>
    </row>
    <row r="258" spans="1:20" ht="13">
      <c r="A258" s="755">
        <v>4627</v>
      </c>
      <c r="B258" s="965" t="s">
        <v>44</v>
      </c>
      <c r="C258" s="289">
        <f>+K0kommunestruktur2020altern!C258</f>
        <v>27346</v>
      </c>
      <c r="D258" s="289">
        <f>+K0kommunestruktur2020altern!D258</f>
        <v>612963</v>
      </c>
      <c r="E258" s="289">
        <f>+K0kommunestruktur2020altern!E258</f>
        <v>27858</v>
      </c>
      <c r="F258" s="289">
        <f>+K0kommunestruktur2020altern!F258</f>
        <v>641304</v>
      </c>
      <c r="G258" s="289">
        <f>+K0kommunestruktur2020altern!G258</f>
        <v>28380</v>
      </c>
      <c r="H258" s="289">
        <f>+K0kommunestruktur2020altern!H258</f>
        <v>684373</v>
      </c>
      <c r="I258" s="289">
        <f>+K0kommunestruktur2020altern!I258</f>
        <v>28821</v>
      </c>
      <c r="J258" s="289">
        <f>+K0kommunestruktur2020altern!J258</f>
        <v>715328</v>
      </c>
      <c r="K258" s="289">
        <f>+K0kommunestruktur2020altern!K258</f>
        <v>29071</v>
      </c>
      <c r="L258" s="289">
        <f>+K0kommunestruktur2020altern!L258</f>
        <v>745203</v>
      </c>
      <c r="M258" s="289">
        <f>+K0kommunestruktur2020altern!M258</f>
        <v>29275</v>
      </c>
      <c r="N258" s="289">
        <f>+K0kommunestruktur2020altern!N258</f>
        <v>770143</v>
      </c>
      <c r="O258" s="289">
        <f>+K0kommunestruktur2020altern!O258</f>
        <v>29553</v>
      </c>
      <c r="P258" s="289">
        <f>+K0kommunestruktur2020altern!P258</f>
        <v>758102</v>
      </c>
      <c r="Q258" s="289">
        <f>+'K21'!C258</f>
        <v>29594</v>
      </c>
      <c r="R258" s="289">
        <f>+'K21'!Z258</f>
        <v>891286.87600000005</v>
      </c>
      <c r="S258" s="517"/>
      <c r="T258" s="517"/>
    </row>
    <row r="259" spans="1:20" ht="13">
      <c r="A259" s="755">
        <v>4628</v>
      </c>
      <c r="B259" s="756" t="s">
        <v>45</v>
      </c>
      <c r="C259" s="289">
        <f>+K0kommunestruktur2020altern!C259</f>
        <v>4140</v>
      </c>
      <c r="D259" s="289">
        <f>+K0kommunestruktur2020altern!D259</f>
        <v>91771</v>
      </c>
      <c r="E259" s="289">
        <f>+K0kommunestruktur2020altern!E259</f>
        <v>4096</v>
      </c>
      <c r="F259" s="289">
        <f>+K0kommunestruktur2020altern!F259</f>
        <v>95145</v>
      </c>
      <c r="G259" s="289">
        <f>+K0kommunestruktur2020altern!G259</f>
        <v>4125</v>
      </c>
      <c r="H259" s="289">
        <f>+K0kommunestruktur2020altern!H259</f>
        <v>100840</v>
      </c>
      <c r="I259" s="289">
        <f>+K0kommunestruktur2020altern!I259</f>
        <v>4123</v>
      </c>
      <c r="J259" s="289">
        <f>+K0kommunestruktur2020altern!J259</f>
        <v>103284</v>
      </c>
      <c r="K259" s="289">
        <f>+K0kommunestruktur2020altern!K259</f>
        <v>4127</v>
      </c>
      <c r="L259" s="289">
        <f>+K0kommunestruktur2020altern!L259</f>
        <v>107402</v>
      </c>
      <c r="M259" s="289">
        <f>+K0kommunestruktur2020altern!M259</f>
        <v>4045</v>
      </c>
      <c r="N259" s="289">
        <f>+K0kommunestruktur2020altern!N259</f>
        <v>109454</v>
      </c>
      <c r="O259" s="289">
        <f>+K0kommunestruktur2020altern!O259</f>
        <v>3977</v>
      </c>
      <c r="P259" s="289">
        <f>+K0kommunestruktur2020altern!P259</f>
        <v>107407</v>
      </c>
      <c r="Q259" s="289">
        <f>+'K21'!C259</f>
        <v>3918</v>
      </c>
      <c r="R259" s="289">
        <f>+'K21'!Z259</f>
        <v>118388.21799999999</v>
      </c>
      <c r="S259" s="517"/>
      <c r="T259" s="517"/>
    </row>
    <row r="260" spans="1:20" ht="13">
      <c r="A260" s="755">
        <v>4629</v>
      </c>
      <c r="B260" s="756" t="s">
        <v>46</v>
      </c>
      <c r="C260" s="289">
        <f>+K0kommunestruktur2020altern!C260</f>
        <v>372</v>
      </c>
      <c r="D260" s="289">
        <f>+K0kommunestruktur2020altern!D260</f>
        <v>23282</v>
      </c>
      <c r="E260" s="289">
        <f>+K0kommunestruktur2020altern!E260</f>
        <v>378</v>
      </c>
      <c r="F260" s="289">
        <f>+K0kommunestruktur2020altern!F260</f>
        <v>22663</v>
      </c>
      <c r="G260" s="289">
        <f>+K0kommunestruktur2020altern!G260</f>
        <v>381</v>
      </c>
      <c r="H260" s="289">
        <f>+K0kommunestruktur2020altern!H260</f>
        <v>24758</v>
      </c>
      <c r="I260" s="289">
        <f>+K0kommunestruktur2020altern!I260</f>
        <v>383</v>
      </c>
      <c r="J260" s="289">
        <f>+K0kommunestruktur2020altern!J260</f>
        <v>23712</v>
      </c>
      <c r="K260" s="289">
        <f>+K0kommunestruktur2020altern!K260</f>
        <v>380</v>
      </c>
      <c r="L260" s="289">
        <f>+K0kommunestruktur2020altern!L260</f>
        <v>24427</v>
      </c>
      <c r="M260" s="289">
        <f>+K0kommunestruktur2020altern!M260</f>
        <v>380</v>
      </c>
      <c r="N260" s="289">
        <f>+K0kommunestruktur2020altern!N260</f>
        <v>27481</v>
      </c>
      <c r="O260" s="289">
        <f>+K0kommunestruktur2020altern!O260</f>
        <v>388</v>
      </c>
      <c r="P260" s="289">
        <f>+K0kommunestruktur2020altern!P260</f>
        <v>27348</v>
      </c>
      <c r="Q260" s="289">
        <f>+'K21'!C260</f>
        <v>376</v>
      </c>
      <c r="R260" s="289">
        <f>+'K21'!Z260</f>
        <v>29904.151000000002</v>
      </c>
      <c r="S260" s="517"/>
      <c r="T260" s="517"/>
    </row>
    <row r="261" spans="1:20" ht="13">
      <c r="A261" s="755">
        <v>4630</v>
      </c>
      <c r="B261" s="756" t="s">
        <v>47</v>
      </c>
      <c r="C261" s="289">
        <f>+K0kommunestruktur2020altern!C261</f>
        <v>7786</v>
      </c>
      <c r="D261" s="289">
        <f>+K0kommunestruktur2020altern!D261</f>
        <v>159398</v>
      </c>
      <c r="E261" s="289">
        <f>+K0kommunestruktur2020altern!E261</f>
        <v>7842</v>
      </c>
      <c r="F261" s="289">
        <f>+K0kommunestruktur2020altern!F261</f>
        <v>166774</v>
      </c>
      <c r="G261" s="289">
        <f>+K0kommunestruktur2020altern!G261</f>
        <v>7957</v>
      </c>
      <c r="H261" s="289">
        <f>+K0kommunestruktur2020altern!H261</f>
        <v>179015</v>
      </c>
      <c r="I261" s="289">
        <f>+K0kommunestruktur2020altern!I261</f>
        <v>8026</v>
      </c>
      <c r="J261" s="289">
        <f>+K0kommunestruktur2020altern!J261</f>
        <v>190980</v>
      </c>
      <c r="K261" s="289">
        <f>+K0kommunestruktur2020altern!K261</f>
        <v>8125</v>
      </c>
      <c r="L261" s="289">
        <f>+K0kommunestruktur2020altern!L261</f>
        <v>194818</v>
      </c>
      <c r="M261" s="289">
        <f>+K0kommunestruktur2020altern!M261</f>
        <v>8120</v>
      </c>
      <c r="N261" s="289">
        <f>+K0kommunestruktur2020altern!N261</f>
        <v>204329</v>
      </c>
      <c r="O261" s="289">
        <f>+K0kommunestruktur2020altern!O261</f>
        <v>8098</v>
      </c>
      <c r="P261" s="289">
        <f>+K0kommunestruktur2020altern!P261</f>
        <v>202713</v>
      </c>
      <c r="Q261" s="289">
        <f>+'K21'!C261</f>
        <v>8080</v>
      </c>
      <c r="R261" s="289">
        <f>+'K21'!Z261</f>
        <v>228696.345</v>
      </c>
      <c r="S261" s="517"/>
      <c r="T261" s="517"/>
    </row>
    <row r="262" spans="1:20" ht="13">
      <c r="A262" s="755">
        <v>4631</v>
      </c>
      <c r="B262" s="756" t="s">
        <v>1636</v>
      </c>
      <c r="C262" s="289">
        <f>+K0kommunestruktur2020altern!C262</f>
        <v>27652</v>
      </c>
      <c r="D262" s="289">
        <f>+K0kommunestruktur2020altern!D262</f>
        <v>642806</v>
      </c>
      <c r="E262" s="289">
        <f>+K0kommunestruktur2020altern!E262</f>
        <v>28152</v>
      </c>
      <c r="F262" s="289">
        <f>+K0kommunestruktur2020altern!F262</f>
        <v>659754</v>
      </c>
      <c r="G262" s="289">
        <f>+K0kommunestruktur2020altern!G262</f>
        <v>28496</v>
      </c>
      <c r="H262" s="289">
        <f>+K0kommunestruktur2020altern!H262</f>
        <v>698232</v>
      </c>
      <c r="I262" s="289">
        <f>+K0kommunestruktur2020altern!I262</f>
        <v>28880</v>
      </c>
      <c r="J262" s="289">
        <f>+K0kommunestruktur2020altern!J262</f>
        <v>709290</v>
      </c>
      <c r="K262" s="289">
        <f>+K0kommunestruktur2020altern!K262</f>
        <v>28997</v>
      </c>
      <c r="L262" s="289">
        <f>+K0kommunestruktur2020altern!L262</f>
        <v>743913</v>
      </c>
      <c r="M262" s="289">
        <f>+K0kommunestruktur2020altern!M262</f>
        <v>29090</v>
      </c>
      <c r="N262" s="289">
        <f>+K0kommunestruktur2020altern!N262</f>
        <v>793379</v>
      </c>
      <c r="O262" s="289">
        <f>+K0kommunestruktur2020altern!O262</f>
        <v>29224</v>
      </c>
      <c r="P262" s="289">
        <f>+K0kommunestruktur2020altern!P262</f>
        <v>779977</v>
      </c>
      <c r="Q262" s="289">
        <f>+'K21'!C262</f>
        <v>29337</v>
      </c>
      <c r="R262" s="289">
        <f>+'K21'!Z262</f>
        <v>891135.897</v>
      </c>
      <c r="S262" s="517"/>
      <c r="T262" s="517"/>
    </row>
    <row r="263" spans="1:20" ht="13">
      <c r="A263" s="755">
        <v>4632</v>
      </c>
      <c r="B263" s="756" t="s">
        <v>55</v>
      </c>
      <c r="C263" s="289">
        <f>+K0kommunestruktur2020altern!C263</f>
        <v>2833</v>
      </c>
      <c r="D263" s="289">
        <f>+K0kommunestruktur2020altern!D263</f>
        <v>84590</v>
      </c>
      <c r="E263" s="289">
        <f>+K0kommunestruktur2020altern!E263</f>
        <v>2856</v>
      </c>
      <c r="F263" s="289">
        <f>+K0kommunestruktur2020altern!F263</f>
        <v>82871</v>
      </c>
      <c r="G263" s="289">
        <f>+K0kommunestruktur2020altern!G263</f>
        <v>2858</v>
      </c>
      <c r="H263" s="289">
        <f>+K0kommunestruktur2020altern!H263</f>
        <v>88559</v>
      </c>
      <c r="I263" s="289">
        <f>+K0kommunestruktur2020altern!I263</f>
        <v>2884</v>
      </c>
      <c r="J263" s="289">
        <f>+K0kommunestruktur2020altern!J263</f>
        <v>85690</v>
      </c>
      <c r="K263" s="289">
        <f>+K0kommunestruktur2020altern!K263</f>
        <v>2902</v>
      </c>
      <c r="L263" s="289">
        <f>+K0kommunestruktur2020altern!L263</f>
        <v>87553</v>
      </c>
      <c r="M263" s="289">
        <f>+K0kommunestruktur2020altern!M263</f>
        <v>2887</v>
      </c>
      <c r="N263" s="289">
        <f>+K0kommunestruktur2020altern!N263</f>
        <v>95029</v>
      </c>
      <c r="O263" s="289">
        <f>+K0kommunestruktur2020altern!O263</f>
        <v>2870</v>
      </c>
      <c r="P263" s="289">
        <f>+K0kommunestruktur2020altern!P263</f>
        <v>96979</v>
      </c>
      <c r="Q263" s="289">
        <f>+'K21'!C263</f>
        <v>2860</v>
      </c>
      <c r="R263" s="289">
        <f>+'K21'!Z263</f>
        <v>108953.39200000001</v>
      </c>
      <c r="S263" s="517"/>
      <c r="T263" s="517"/>
    </row>
    <row r="264" spans="1:20" ht="13">
      <c r="A264" s="755">
        <v>4633</v>
      </c>
      <c r="B264" s="756" t="s">
        <v>56</v>
      </c>
      <c r="C264" s="289">
        <f>+K0kommunestruktur2020altern!C264</f>
        <v>561</v>
      </c>
      <c r="D264" s="289">
        <f>+K0kommunestruktur2020altern!D264</f>
        <v>12698</v>
      </c>
      <c r="E264" s="289">
        <f>+K0kommunestruktur2020altern!E264</f>
        <v>563</v>
      </c>
      <c r="F264" s="289">
        <f>+K0kommunestruktur2020altern!F264</f>
        <v>12935</v>
      </c>
      <c r="G264" s="289">
        <f>+K0kommunestruktur2020altern!G264</f>
        <v>576</v>
      </c>
      <c r="H264" s="289">
        <f>+K0kommunestruktur2020altern!H264</f>
        <v>13743</v>
      </c>
      <c r="I264" s="289">
        <f>+K0kommunestruktur2020altern!I264</f>
        <v>587</v>
      </c>
      <c r="J264" s="289">
        <f>+K0kommunestruktur2020altern!J264</f>
        <v>13627</v>
      </c>
      <c r="K264" s="289">
        <f>+K0kommunestruktur2020altern!K264</f>
        <v>561</v>
      </c>
      <c r="L264" s="289">
        <f>+K0kommunestruktur2020altern!L264</f>
        <v>14691</v>
      </c>
      <c r="M264" s="289">
        <f>+K0kommunestruktur2020altern!M264</f>
        <v>562</v>
      </c>
      <c r="N264" s="289">
        <f>+K0kommunestruktur2020altern!N264</f>
        <v>14851</v>
      </c>
      <c r="O264" s="289">
        <f>+K0kommunestruktur2020altern!O264</f>
        <v>548</v>
      </c>
      <c r="P264" s="289">
        <f>+K0kommunestruktur2020altern!P264</f>
        <v>15842</v>
      </c>
      <c r="Q264" s="289">
        <f>+'K21'!C264</f>
        <v>525</v>
      </c>
      <c r="R264" s="289">
        <f>+'K21'!Z264</f>
        <v>16472.117999999999</v>
      </c>
      <c r="S264" s="517"/>
      <c r="T264" s="517"/>
    </row>
    <row r="265" spans="1:20" ht="13">
      <c r="A265" s="755">
        <v>4634</v>
      </c>
      <c r="B265" s="756" t="s">
        <v>57</v>
      </c>
      <c r="C265" s="289">
        <f>+K0kommunestruktur2020altern!C265</f>
        <v>1693</v>
      </c>
      <c r="D265" s="289">
        <f>+K0kommunestruktur2020altern!D265</f>
        <v>50840</v>
      </c>
      <c r="E265" s="289">
        <f>+K0kommunestruktur2020altern!E265</f>
        <v>1704</v>
      </c>
      <c r="F265" s="289">
        <f>+K0kommunestruktur2020altern!F265</f>
        <v>51991</v>
      </c>
      <c r="G265" s="289">
        <f>+K0kommunestruktur2020altern!G265</f>
        <v>1701</v>
      </c>
      <c r="H265" s="289">
        <f>+K0kommunestruktur2020altern!H265</f>
        <v>54093</v>
      </c>
      <c r="I265" s="289">
        <f>+K0kommunestruktur2020altern!I265</f>
        <v>1710</v>
      </c>
      <c r="J265" s="289">
        <f>+K0kommunestruktur2020altern!J265</f>
        <v>54844</v>
      </c>
      <c r="K265" s="289">
        <f>+K0kommunestruktur2020altern!K265</f>
        <v>1730</v>
      </c>
      <c r="L265" s="289">
        <f>+K0kommunestruktur2020altern!L265</f>
        <v>55228</v>
      </c>
      <c r="M265" s="289">
        <f>+K0kommunestruktur2020altern!M265</f>
        <v>1711</v>
      </c>
      <c r="N265" s="289">
        <f>+K0kommunestruktur2020altern!N265</f>
        <v>58980</v>
      </c>
      <c r="O265" s="289">
        <f>+K0kommunestruktur2020altern!O265</f>
        <v>1691</v>
      </c>
      <c r="P265" s="289">
        <f>+K0kommunestruktur2020altern!P265</f>
        <v>57444</v>
      </c>
      <c r="Q265" s="289">
        <f>+'K21'!C265</f>
        <v>1660</v>
      </c>
      <c r="R265" s="289">
        <f>+'K21'!Z265</f>
        <v>63301.815999999999</v>
      </c>
      <c r="S265" s="517"/>
      <c r="T265" s="517"/>
    </row>
    <row r="266" spans="1:20" ht="13">
      <c r="A266" s="755">
        <v>4635</v>
      </c>
      <c r="B266" s="756" t="s">
        <v>59</v>
      </c>
      <c r="C266" s="289">
        <f>+K0kommunestruktur2020altern!C266</f>
        <v>2315</v>
      </c>
      <c r="D266" s="289">
        <f>+K0kommunestruktur2020altern!D266</f>
        <v>61093</v>
      </c>
      <c r="E266" s="289">
        <f>+K0kommunestruktur2020altern!E266</f>
        <v>2335</v>
      </c>
      <c r="F266" s="289">
        <f>+K0kommunestruktur2020altern!F266</f>
        <v>62353</v>
      </c>
      <c r="G266" s="289">
        <f>+K0kommunestruktur2020altern!G266</f>
        <v>2370</v>
      </c>
      <c r="H266" s="289">
        <f>+K0kommunestruktur2020altern!H266</f>
        <v>71148</v>
      </c>
      <c r="I266" s="289">
        <f>+K0kommunestruktur2020altern!I266</f>
        <v>2371</v>
      </c>
      <c r="J266" s="289">
        <f>+K0kommunestruktur2020altern!J266</f>
        <v>70894</v>
      </c>
      <c r="K266" s="289">
        <f>+K0kommunestruktur2020altern!K266</f>
        <v>2345</v>
      </c>
      <c r="L266" s="289">
        <f>+K0kommunestruktur2020altern!L266</f>
        <v>66356</v>
      </c>
      <c r="M266" s="289">
        <f>+K0kommunestruktur2020altern!M266</f>
        <v>2322</v>
      </c>
      <c r="N266" s="289">
        <f>+K0kommunestruktur2020altern!N266</f>
        <v>75568</v>
      </c>
      <c r="O266" s="289">
        <f>+K0kommunestruktur2020altern!O266</f>
        <v>2297</v>
      </c>
      <c r="P266" s="289">
        <f>+K0kommunestruktur2020altern!P266</f>
        <v>81292</v>
      </c>
      <c r="Q266" s="289">
        <f>+'K21'!C266</f>
        <v>2272</v>
      </c>
      <c r="R266" s="289">
        <f>+'K21'!Z266</f>
        <v>87972.930999999997</v>
      </c>
      <c r="S266" s="517"/>
      <c r="T266" s="517"/>
    </row>
    <row r="267" spans="1:20" ht="13">
      <c r="A267" s="755">
        <v>4636</v>
      </c>
      <c r="B267" s="756" t="s">
        <v>60</v>
      </c>
      <c r="C267" s="289">
        <f>+K0kommunestruktur2020altern!C267</f>
        <v>815</v>
      </c>
      <c r="D267" s="289">
        <f>+K0kommunestruktur2020altern!D267</f>
        <v>18381</v>
      </c>
      <c r="E267" s="289">
        <f>+K0kommunestruktur2020altern!E267</f>
        <v>800</v>
      </c>
      <c r="F267" s="289">
        <f>+K0kommunestruktur2020altern!F267</f>
        <v>19212</v>
      </c>
      <c r="G267" s="289">
        <f>+K0kommunestruktur2020altern!G267</f>
        <v>785</v>
      </c>
      <c r="H267" s="289">
        <f>+K0kommunestruktur2020altern!H267</f>
        <v>20256</v>
      </c>
      <c r="I267" s="289">
        <f>+K0kommunestruktur2020altern!I267</f>
        <v>794</v>
      </c>
      <c r="J267" s="289">
        <f>+K0kommunestruktur2020altern!J267</f>
        <v>21810</v>
      </c>
      <c r="K267" s="289">
        <f>+K0kommunestruktur2020altern!K267</f>
        <v>807</v>
      </c>
      <c r="L267" s="289">
        <f>+K0kommunestruktur2020altern!L267</f>
        <v>22900</v>
      </c>
      <c r="M267" s="289">
        <f>+K0kommunestruktur2020altern!M267</f>
        <v>820</v>
      </c>
      <c r="N267" s="289">
        <f>+K0kommunestruktur2020altern!N267</f>
        <v>24412</v>
      </c>
      <c r="O267" s="289">
        <f>+K0kommunestruktur2020altern!O267</f>
        <v>802</v>
      </c>
      <c r="P267" s="289">
        <f>+K0kommunestruktur2020altern!P267</f>
        <v>24421</v>
      </c>
      <c r="Q267" s="289">
        <f>+'K21'!C267</f>
        <v>786</v>
      </c>
      <c r="R267" s="289">
        <f>+'K21'!Z267</f>
        <v>25116.300999999999</v>
      </c>
      <c r="S267" s="517"/>
      <c r="T267" s="517"/>
    </row>
    <row r="268" spans="1:20" ht="13">
      <c r="A268" s="755">
        <v>4637</v>
      </c>
      <c r="B268" s="756" t="s">
        <v>61</v>
      </c>
      <c r="C268" s="289">
        <f>+K0kommunestruktur2020altern!C268</f>
        <v>1391</v>
      </c>
      <c r="D268" s="289">
        <f>+K0kommunestruktur2020altern!D268</f>
        <v>34485</v>
      </c>
      <c r="E268" s="289">
        <f>+K0kommunestruktur2020altern!E268</f>
        <v>1405</v>
      </c>
      <c r="F268" s="289">
        <f>+K0kommunestruktur2020altern!F268</f>
        <v>36501</v>
      </c>
      <c r="G268" s="289">
        <f>+K0kommunestruktur2020altern!G268</f>
        <v>1395</v>
      </c>
      <c r="H268" s="289">
        <f>+K0kommunestruktur2020altern!H268</f>
        <v>35334</v>
      </c>
      <c r="I268" s="289">
        <f>+K0kommunestruktur2020altern!I268</f>
        <v>1438</v>
      </c>
      <c r="J268" s="289">
        <f>+K0kommunestruktur2020altern!J268</f>
        <v>34994</v>
      </c>
      <c r="K268" s="289">
        <f>+K0kommunestruktur2020altern!K268</f>
        <v>1378</v>
      </c>
      <c r="L268" s="289">
        <f>+K0kommunestruktur2020altern!L268</f>
        <v>35150</v>
      </c>
      <c r="M268" s="289">
        <f>+K0kommunestruktur2020altern!M268</f>
        <v>1366</v>
      </c>
      <c r="N268" s="289">
        <f>+K0kommunestruktur2020altern!N268</f>
        <v>38793</v>
      </c>
      <c r="O268" s="289">
        <f>+K0kommunestruktur2020altern!O268</f>
        <v>1328</v>
      </c>
      <c r="P268" s="289">
        <f>+K0kommunestruktur2020altern!P268</f>
        <v>42033</v>
      </c>
      <c r="Q268" s="289">
        <f>+'K21'!C268</f>
        <v>1294</v>
      </c>
      <c r="R268" s="289">
        <f>+'K21'!Z268</f>
        <v>47525.957000000002</v>
      </c>
      <c r="S268" s="517"/>
      <c r="T268" s="517"/>
    </row>
    <row r="269" spans="1:20" ht="13">
      <c r="A269" s="755">
        <v>4638</v>
      </c>
      <c r="B269" s="756" t="s">
        <v>62</v>
      </c>
      <c r="C269" s="289">
        <f>+K0kommunestruktur2020altern!C269</f>
        <v>4281.026583268178</v>
      </c>
      <c r="D269" s="289">
        <f>+K0kommunestruktur2020altern!D269</f>
        <v>104122.27148084441</v>
      </c>
      <c r="E269" s="289">
        <f>+K0kommunestruktur2020altern!E269</f>
        <v>4266.8764659890539</v>
      </c>
      <c r="F269" s="289">
        <f>+K0kommunestruktur2020altern!F269</f>
        <v>108516.6669022674</v>
      </c>
      <c r="G269" s="289">
        <f>+K0kommunestruktur2020altern!G269</f>
        <v>4258.1258795934327</v>
      </c>
      <c r="H269" s="289">
        <f>+K0kommunestruktur2020altern!H269</f>
        <v>112215.6669022674</v>
      </c>
      <c r="I269" s="289">
        <f>+K0kommunestruktur2020altern!I269</f>
        <v>4286.6755277560596</v>
      </c>
      <c r="J269" s="289">
        <f>+K0kommunestruktur2020altern!J269</f>
        <v>115612.57244096951</v>
      </c>
      <c r="K269" s="289">
        <f>+K0kommunestruktur2020altern!K269</f>
        <v>4248.7240031274432</v>
      </c>
      <c r="L269" s="289">
        <f>+K0kommunestruktur2020altern!L269</f>
        <v>125479.10555121189</v>
      </c>
      <c r="M269" s="289">
        <f>+K0kommunestruktur2020altern!M269</f>
        <v>4187</v>
      </c>
      <c r="N269" s="289">
        <f>+K0kommunestruktur2020altern!N269</f>
        <v>130273.26505082095</v>
      </c>
      <c r="O269" s="289">
        <f>+K0kommunestruktur2020altern!O269</f>
        <v>4101</v>
      </c>
      <c r="P269" s="289">
        <f>+K0kommunestruktur2020altern!P269</f>
        <v>122174</v>
      </c>
      <c r="Q269" s="289">
        <f>+'K21'!C269</f>
        <v>4049</v>
      </c>
      <c r="R269" s="289">
        <f>+'K21'!Z269</f>
        <v>141038.106</v>
      </c>
      <c r="S269" s="517"/>
      <c r="T269" s="517"/>
    </row>
    <row r="270" spans="1:20" ht="13">
      <c r="A270" s="755">
        <v>4639</v>
      </c>
      <c r="B270" s="756" t="s">
        <v>63</v>
      </c>
      <c r="C270" s="289">
        <f>+K0kommunestruktur2020altern!C270</f>
        <v>2688</v>
      </c>
      <c r="D270" s="289">
        <f>+K0kommunestruktur2020altern!D270</f>
        <v>68380</v>
      </c>
      <c r="E270" s="289">
        <f>+K0kommunestruktur2020altern!E270</f>
        <v>2678</v>
      </c>
      <c r="F270" s="289">
        <f>+K0kommunestruktur2020altern!F270</f>
        <v>70685</v>
      </c>
      <c r="G270" s="289">
        <f>+K0kommunestruktur2020altern!G270</f>
        <v>2689</v>
      </c>
      <c r="H270" s="289">
        <f>+K0kommunestruktur2020altern!H270</f>
        <v>77092</v>
      </c>
      <c r="I270" s="289">
        <f>+K0kommunestruktur2020altern!I270</f>
        <v>2722</v>
      </c>
      <c r="J270" s="289">
        <f>+K0kommunestruktur2020altern!J270</f>
        <v>79098</v>
      </c>
      <c r="K270" s="289">
        <f>+K0kommunestruktur2020altern!K270</f>
        <v>2674</v>
      </c>
      <c r="L270" s="289">
        <f>+K0kommunestruktur2020altern!L270</f>
        <v>82426</v>
      </c>
      <c r="M270" s="289">
        <f>+K0kommunestruktur2020altern!M270</f>
        <v>2672</v>
      </c>
      <c r="N270" s="289">
        <f>+K0kommunestruktur2020altern!N270</f>
        <v>83347</v>
      </c>
      <c r="O270" s="289">
        <f>+K0kommunestruktur2020altern!O270</f>
        <v>2635</v>
      </c>
      <c r="P270" s="289">
        <f>+K0kommunestruktur2020altern!P270</f>
        <v>81521</v>
      </c>
      <c r="Q270" s="289">
        <f>+'K21'!C270</f>
        <v>2611</v>
      </c>
      <c r="R270" s="289">
        <f>+'K21'!Z270</f>
        <v>91550.577999999994</v>
      </c>
      <c r="S270" s="517"/>
      <c r="T270" s="517"/>
    </row>
    <row r="271" spans="1:20" ht="13">
      <c r="A271" s="755">
        <v>4640</v>
      </c>
      <c r="B271" s="756" t="s">
        <v>1637</v>
      </c>
      <c r="C271" s="289">
        <f>+K0kommunestruktur2020altern!C271</f>
        <v>11098.973416731822</v>
      </c>
      <c r="D271" s="289">
        <f>+K0kommunestruktur2020altern!D271</f>
        <v>245882.72851915559</v>
      </c>
      <c r="E271" s="289">
        <f>+K0kommunestruktur2020altern!E271</f>
        <v>11159.123534010945</v>
      </c>
      <c r="F271" s="289">
        <f>+K0kommunestruktur2020altern!F271</f>
        <v>256555.3330977326</v>
      </c>
      <c r="G271" s="289">
        <f>+K0kommunestruktur2020altern!G271</f>
        <v>11333.874120406568</v>
      </c>
      <c r="H271" s="289">
        <f>+K0kommunestruktur2020altern!H271</f>
        <v>288966.33309773263</v>
      </c>
      <c r="I271" s="289">
        <f>+K0kommunestruktur2020altern!I271</f>
        <v>11464.324472243941</v>
      </c>
      <c r="J271" s="289">
        <f>+K0kommunestruktur2020altern!J271</f>
        <v>301778.42755903048</v>
      </c>
      <c r="K271" s="289">
        <f>+K0kommunestruktur2020altern!K271</f>
        <v>11571.275996872557</v>
      </c>
      <c r="L271" s="289">
        <f>+K0kommunestruktur2020altern!L271</f>
        <v>322322.89444878814</v>
      </c>
      <c r="M271" s="289">
        <f>+K0kommunestruktur2020altern!M271</f>
        <v>11705</v>
      </c>
      <c r="N271" s="289">
        <f>+K0kommunestruktur2020altern!N271</f>
        <v>322828.73494917905</v>
      </c>
      <c r="O271" s="289">
        <f>+K0kommunestruktur2020altern!O271</f>
        <v>11847</v>
      </c>
      <c r="P271" s="289">
        <f>+K0kommunestruktur2020altern!P271</f>
        <v>324061</v>
      </c>
      <c r="Q271" s="289">
        <f>+'K21'!C271</f>
        <v>11938</v>
      </c>
      <c r="R271" s="289">
        <f>+'K21'!Z271</f>
        <v>364326.19099999999</v>
      </c>
      <c r="S271" s="517"/>
      <c r="T271" s="517"/>
    </row>
    <row r="272" spans="1:20" ht="13">
      <c r="A272" s="755">
        <v>4641</v>
      </c>
      <c r="B272" s="756" t="s">
        <v>67</v>
      </c>
      <c r="C272" s="289">
        <f>+K0kommunestruktur2020altern!C272</f>
        <v>1715</v>
      </c>
      <c r="D272" s="289">
        <f>+K0kommunestruktur2020altern!D272</f>
        <v>71151</v>
      </c>
      <c r="E272" s="289">
        <f>+K0kommunestruktur2020altern!E272</f>
        <v>1738</v>
      </c>
      <c r="F272" s="289">
        <f>+K0kommunestruktur2020altern!F272</f>
        <v>72994</v>
      </c>
      <c r="G272" s="289">
        <f>+K0kommunestruktur2020altern!G272</f>
        <v>1764</v>
      </c>
      <c r="H272" s="289">
        <f>+K0kommunestruktur2020altern!H272</f>
        <v>77215</v>
      </c>
      <c r="I272" s="289">
        <f>+K0kommunestruktur2020altern!I272</f>
        <v>1787</v>
      </c>
      <c r="J272" s="289">
        <f>+K0kommunestruktur2020altern!J272</f>
        <v>81924</v>
      </c>
      <c r="K272" s="289">
        <f>+K0kommunestruktur2020altern!K272</f>
        <v>1778</v>
      </c>
      <c r="L272" s="289">
        <f>+K0kommunestruktur2020altern!L272</f>
        <v>85477</v>
      </c>
      <c r="M272" s="289">
        <f>+K0kommunestruktur2020altern!M272</f>
        <v>1764</v>
      </c>
      <c r="N272" s="289">
        <f>+K0kommunestruktur2020altern!N272</f>
        <v>85938</v>
      </c>
      <c r="O272" s="289">
        <f>+K0kommunestruktur2020altern!O272</f>
        <v>1781</v>
      </c>
      <c r="P272" s="289">
        <f>+K0kommunestruktur2020altern!P272</f>
        <v>82877</v>
      </c>
      <c r="Q272" s="289">
        <f>+'K21'!C272</f>
        <v>1777</v>
      </c>
      <c r="R272" s="289">
        <f>+'K21'!Z272</f>
        <v>87823.733999999997</v>
      </c>
      <c r="S272" s="517"/>
      <c r="T272" s="517"/>
    </row>
    <row r="273" spans="1:20" ht="13">
      <c r="A273" s="755">
        <v>4642</v>
      </c>
      <c r="B273" s="756" t="s">
        <v>68</v>
      </c>
      <c r="C273" s="289">
        <f>+K0kommunestruktur2020altern!C273</f>
        <v>2174</v>
      </c>
      <c r="D273" s="289">
        <f>+K0kommunestruktur2020altern!D273</f>
        <v>64615</v>
      </c>
      <c r="E273" s="289">
        <f>+K0kommunestruktur2020altern!E273</f>
        <v>2146</v>
      </c>
      <c r="F273" s="289">
        <f>+K0kommunestruktur2020altern!F273</f>
        <v>65981</v>
      </c>
      <c r="G273" s="289">
        <f>+K0kommunestruktur2020altern!G273</f>
        <v>2172</v>
      </c>
      <c r="H273" s="289">
        <f>+K0kommunestruktur2020altern!H273</f>
        <v>68720</v>
      </c>
      <c r="I273" s="289">
        <f>+K0kommunestruktur2020altern!I273</f>
        <v>2159</v>
      </c>
      <c r="J273" s="289">
        <f>+K0kommunestruktur2020altern!J273</f>
        <v>68552</v>
      </c>
      <c r="K273" s="289">
        <f>+K0kommunestruktur2020altern!K273</f>
        <v>2153</v>
      </c>
      <c r="L273" s="289">
        <f>+K0kommunestruktur2020altern!L273</f>
        <v>75278</v>
      </c>
      <c r="M273" s="289">
        <f>+K0kommunestruktur2020altern!M273</f>
        <v>2151</v>
      </c>
      <c r="N273" s="289">
        <f>+K0kommunestruktur2020altern!N273</f>
        <v>75203</v>
      </c>
      <c r="O273" s="289">
        <f>+K0kommunestruktur2020altern!O273</f>
        <v>2126</v>
      </c>
      <c r="P273" s="289">
        <f>+K0kommunestruktur2020altern!P273</f>
        <v>71408</v>
      </c>
      <c r="Q273" s="289">
        <f>+'K21'!C273</f>
        <v>2129</v>
      </c>
      <c r="R273" s="289">
        <f>+'K21'!Z273</f>
        <v>81046.403000000006</v>
      </c>
      <c r="S273" s="517"/>
      <c r="T273" s="517"/>
    </row>
    <row r="274" spans="1:20" ht="13">
      <c r="A274" s="755">
        <v>4643</v>
      </c>
      <c r="B274" s="756" t="s">
        <v>69</v>
      </c>
      <c r="C274" s="289">
        <f>+K0kommunestruktur2020altern!C274</f>
        <v>5496</v>
      </c>
      <c r="D274" s="289">
        <f>+K0kommunestruktur2020altern!D274</f>
        <v>145736</v>
      </c>
      <c r="E274" s="289">
        <f>+K0kommunestruktur2020altern!E274</f>
        <v>5429</v>
      </c>
      <c r="F274" s="289">
        <f>+K0kommunestruktur2020altern!F274</f>
        <v>151282</v>
      </c>
      <c r="G274" s="289">
        <f>+K0kommunestruktur2020altern!G274</f>
        <v>5359</v>
      </c>
      <c r="H274" s="289">
        <f>+K0kommunestruktur2020altern!H274</f>
        <v>163473</v>
      </c>
      <c r="I274" s="289">
        <f>+K0kommunestruktur2020altern!I274</f>
        <v>5363</v>
      </c>
      <c r="J274" s="289">
        <f>+K0kommunestruktur2020altern!J274</f>
        <v>168987</v>
      </c>
      <c r="K274" s="289">
        <f>+K0kommunestruktur2020altern!K274</f>
        <v>5277</v>
      </c>
      <c r="L274" s="289">
        <f>+K0kommunestruktur2020altern!L274</f>
        <v>176906</v>
      </c>
      <c r="M274" s="289">
        <f>+K0kommunestruktur2020altern!M274</f>
        <v>5245</v>
      </c>
      <c r="N274" s="289">
        <f>+K0kommunestruktur2020altern!N274</f>
        <v>182474</v>
      </c>
      <c r="O274" s="289">
        <f>+K0kommunestruktur2020altern!O274</f>
        <v>5193</v>
      </c>
      <c r="P274" s="289">
        <f>+K0kommunestruktur2020altern!P274</f>
        <v>176766</v>
      </c>
      <c r="Q274" s="289">
        <f>+'K21'!C274</f>
        <v>5170</v>
      </c>
      <c r="R274" s="289">
        <f>+'K21'!Z274</f>
        <v>200074.785</v>
      </c>
      <c r="S274" s="517"/>
      <c r="T274" s="517"/>
    </row>
    <row r="275" spans="1:20" ht="13">
      <c r="A275" s="755">
        <v>4644</v>
      </c>
      <c r="B275" s="756" t="s">
        <v>70</v>
      </c>
      <c r="C275" s="289">
        <f>+K0kommunestruktur2020altern!C275</f>
        <v>5089</v>
      </c>
      <c r="D275" s="289">
        <f>+K0kommunestruktur2020altern!D275</f>
        <v>136267</v>
      </c>
      <c r="E275" s="289">
        <f>+K0kommunestruktur2020altern!E275</f>
        <v>5118</v>
      </c>
      <c r="F275" s="289">
        <f>+K0kommunestruktur2020altern!F275</f>
        <v>137680</v>
      </c>
      <c r="G275" s="289">
        <f>+K0kommunestruktur2020altern!G275</f>
        <v>5093</v>
      </c>
      <c r="H275" s="289">
        <f>+K0kommunestruktur2020altern!H275</f>
        <v>149089</v>
      </c>
      <c r="I275" s="289">
        <f>+K0kommunestruktur2020altern!I275</f>
        <v>5151</v>
      </c>
      <c r="J275" s="289">
        <f>+K0kommunestruktur2020altern!J275</f>
        <v>154636</v>
      </c>
      <c r="K275" s="289">
        <f>+K0kommunestruktur2020altern!K275</f>
        <v>5223</v>
      </c>
      <c r="L275" s="289">
        <f>+K0kommunestruktur2020altern!L275</f>
        <v>159408</v>
      </c>
      <c r="M275" s="289">
        <f>+K0kommunestruktur2020altern!M275</f>
        <v>5195</v>
      </c>
      <c r="N275" s="289">
        <f>+K0kommunestruktur2020altern!N275</f>
        <v>160085</v>
      </c>
      <c r="O275" s="289">
        <f>+K0kommunestruktur2020altern!O275</f>
        <v>5174</v>
      </c>
      <c r="P275" s="289">
        <f>+K0kommunestruktur2020altern!P275</f>
        <v>160782</v>
      </c>
      <c r="Q275" s="289">
        <f>+'K21'!C275</f>
        <v>5189</v>
      </c>
      <c r="R275" s="289">
        <f>+'K21'!Z275</f>
        <v>176132.736</v>
      </c>
      <c r="S275" s="517"/>
      <c r="T275" s="517"/>
    </row>
    <row r="276" spans="1:20" ht="13">
      <c r="A276" s="755">
        <v>4645</v>
      </c>
      <c r="B276" s="756" t="s">
        <v>71</v>
      </c>
      <c r="C276" s="289">
        <f>+K0kommunestruktur2020altern!C276</f>
        <v>3011</v>
      </c>
      <c r="D276" s="289">
        <f>+K0kommunestruktur2020altern!D276</f>
        <v>59345</v>
      </c>
      <c r="E276" s="289">
        <f>+K0kommunestruktur2020altern!E276</f>
        <v>3008</v>
      </c>
      <c r="F276" s="289">
        <f>+K0kommunestruktur2020altern!F276</f>
        <v>64014</v>
      </c>
      <c r="G276" s="289">
        <f>+K0kommunestruktur2020altern!G276</f>
        <v>3023</v>
      </c>
      <c r="H276" s="289">
        <f>+K0kommunestruktur2020altern!H276</f>
        <v>71027</v>
      </c>
      <c r="I276" s="289">
        <f>+K0kommunestruktur2020altern!I276</f>
        <v>3065</v>
      </c>
      <c r="J276" s="289">
        <f>+K0kommunestruktur2020altern!J276</f>
        <v>72106</v>
      </c>
      <c r="K276" s="289">
        <f>+K0kommunestruktur2020altern!K276</f>
        <v>3052</v>
      </c>
      <c r="L276" s="289">
        <f>+K0kommunestruktur2020altern!L276</f>
        <v>73539</v>
      </c>
      <c r="M276" s="289">
        <f>+K0kommunestruktur2020altern!M276</f>
        <v>3038</v>
      </c>
      <c r="N276" s="289">
        <f>+K0kommunestruktur2020altern!N276</f>
        <v>79054</v>
      </c>
      <c r="O276" s="289">
        <f>+K0kommunestruktur2020altern!O276</f>
        <v>3011</v>
      </c>
      <c r="P276" s="289">
        <f>+K0kommunestruktur2020altern!P276</f>
        <v>80393</v>
      </c>
      <c r="Q276" s="289">
        <f>+'K21'!C276</f>
        <v>2991</v>
      </c>
      <c r="R276" s="289">
        <f>+'K21'!Z276</f>
        <v>93436.106</v>
      </c>
      <c r="S276" s="517"/>
      <c r="T276" s="517"/>
    </row>
    <row r="277" spans="1:20" ht="13">
      <c r="A277" s="755">
        <v>4646</v>
      </c>
      <c r="B277" s="756" t="s">
        <v>72</v>
      </c>
      <c r="C277" s="289">
        <f>+K0kommunestruktur2020altern!C277</f>
        <v>2853</v>
      </c>
      <c r="D277" s="289">
        <f>+K0kommunestruktur2020altern!D277</f>
        <v>54444</v>
      </c>
      <c r="E277" s="289">
        <f>+K0kommunestruktur2020altern!E277</f>
        <v>2823</v>
      </c>
      <c r="F277" s="289">
        <f>+K0kommunestruktur2020altern!F277</f>
        <v>56681</v>
      </c>
      <c r="G277" s="289">
        <f>+K0kommunestruktur2020altern!G277</f>
        <v>2830</v>
      </c>
      <c r="H277" s="289">
        <f>+K0kommunestruktur2020altern!H277</f>
        <v>64838</v>
      </c>
      <c r="I277" s="289">
        <f>+K0kommunestruktur2020altern!I277</f>
        <v>2862</v>
      </c>
      <c r="J277" s="289">
        <f>+K0kommunestruktur2020altern!J277</f>
        <v>65267</v>
      </c>
      <c r="K277" s="289">
        <f>+K0kommunestruktur2020altern!K277</f>
        <v>2846</v>
      </c>
      <c r="L277" s="289">
        <f>+K0kommunestruktur2020altern!L277</f>
        <v>63972</v>
      </c>
      <c r="M277" s="289">
        <f>+K0kommunestruktur2020altern!M277</f>
        <v>2770</v>
      </c>
      <c r="N277" s="289">
        <f>+K0kommunestruktur2020altern!N277</f>
        <v>67254</v>
      </c>
      <c r="O277" s="289">
        <f>+K0kommunestruktur2020altern!O277</f>
        <v>2802</v>
      </c>
      <c r="P277" s="289">
        <f>+K0kommunestruktur2020altern!P277</f>
        <v>66853</v>
      </c>
      <c r="Q277" s="289">
        <f>+'K21'!C277</f>
        <v>2885</v>
      </c>
      <c r="R277" s="289">
        <f>+'K21'!Z277</f>
        <v>82368.853000000003</v>
      </c>
      <c r="S277" s="517"/>
      <c r="T277" s="517"/>
    </row>
    <row r="278" spans="1:20" ht="13">
      <c r="A278" s="755">
        <v>4647</v>
      </c>
      <c r="B278" s="756" t="s">
        <v>1638</v>
      </c>
      <c r="C278" s="289">
        <f>+K0kommunestruktur2020altern!C278</f>
        <v>21459</v>
      </c>
      <c r="D278" s="289">
        <f>+K0kommunestruktur2020altern!D278</f>
        <v>487641</v>
      </c>
      <c r="E278" s="289">
        <f>+K0kommunestruktur2020altern!E278</f>
        <v>21564</v>
      </c>
      <c r="F278" s="289">
        <f>+K0kommunestruktur2020altern!F278</f>
        <v>516256</v>
      </c>
      <c r="G278" s="289">
        <f>+K0kommunestruktur2020altern!G278</f>
        <v>21702</v>
      </c>
      <c r="H278" s="289">
        <f>+K0kommunestruktur2020altern!H278</f>
        <v>572437</v>
      </c>
      <c r="I278" s="289">
        <f>+K0kommunestruktur2020altern!I278</f>
        <v>21872</v>
      </c>
      <c r="J278" s="289">
        <f>+K0kommunestruktur2020altern!J278</f>
        <v>591156</v>
      </c>
      <c r="K278" s="289">
        <f>+K0kommunestruktur2020altern!K278</f>
        <v>21963</v>
      </c>
      <c r="L278" s="289">
        <f>+K0kommunestruktur2020altern!L278</f>
        <v>609420</v>
      </c>
      <c r="M278" s="289">
        <f>+K0kommunestruktur2020altern!M278</f>
        <v>21959</v>
      </c>
      <c r="N278" s="289">
        <f>+K0kommunestruktur2020altern!N278</f>
        <v>641641</v>
      </c>
      <c r="O278" s="289">
        <f>+K0kommunestruktur2020altern!O278</f>
        <v>22030</v>
      </c>
      <c r="P278" s="289">
        <f>+K0kommunestruktur2020altern!P278</f>
        <v>635077</v>
      </c>
      <c r="Q278" s="289">
        <f>+'K21'!C278</f>
        <v>22020</v>
      </c>
      <c r="R278" s="289">
        <f>+'K21'!Z278</f>
        <v>730307.08600000001</v>
      </c>
      <c r="S278" s="517"/>
      <c r="T278" s="517"/>
    </row>
    <row r="279" spans="1:20" ht="13">
      <c r="A279" s="755">
        <v>4648</v>
      </c>
      <c r="B279" s="756" t="s">
        <v>77</v>
      </c>
      <c r="C279" s="289">
        <f>+K0kommunestruktur2020altern!C279</f>
        <v>3950</v>
      </c>
      <c r="D279" s="289">
        <f>+K0kommunestruktur2020altern!D279</f>
        <v>93322</v>
      </c>
      <c r="E279" s="289">
        <f>+K0kommunestruktur2020altern!E279</f>
        <v>3890</v>
      </c>
      <c r="F279" s="289">
        <f>+K0kommunestruktur2020altern!F279</f>
        <v>95883</v>
      </c>
      <c r="G279" s="289">
        <f>+K0kommunestruktur2020altern!G279</f>
        <v>3846</v>
      </c>
      <c r="H279" s="289">
        <f>+K0kommunestruktur2020altern!H279</f>
        <v>102127</v>
      </c>
      <c r="I279" s="289">
        <f>+K0kommunestruktur2020altern!I279</f>
        <v>3847</v>
      </c>
      <c r="J279" s="289">
        <f>+K0kommunestruktur2020altern!J279</f>
        <v>103184</v>
      </c>
      <c r="K279" s="289">
        <f>+K0kommunestruktur2020altern!K279</f>
        <v>3767</v>
      </c>
      <c r="L279" s="289">
        <f>+K0kommunestruktur2020altern!L279</f>
        <v>105303</v>
      </c>
      <c r="M279" s="289">
        <f>+K0kommunestruktur2020altern!M279</f>
        <v>3705</v>
      </c>
      <c r="N279" s="289">
        <f>+K0kommunestruktur2020altern!N279</f>
        <v>108267</v>
      </c>
      <c r="O279" s="289">
        <f>+K0kommunestruktur2020altern!O279</f>
        <v>3629</v>
      </c>
      <c r="P279" s="289">
        <f>+K0kommunestruktur2020altern!P279</f>
        <v>112230</v>
      </c>
      <c r="Q279" s="289">
        <f>+'K21'!C279</f>
        <v>3597</v>
      </c>
      <c r="R279" s="289">
        <f>+'K21'!Z279</f>
        <v>121858.333</v>
      </c>
      <c r="S279" s="517"/>
      <c r="T279" s="517"/>
    </row>
    <row r="280" spans="1:20" ht="13">
      <c r="A280" s="755">
        <v>4649</v>
      </c>
      <c r="B280" s="756" t="s">
        <v>1639</v>
      </c>
      <c r="C280" s="289">
        <f>+K0kommunestruktur2020altern!C280</f>
        <v>9233.4380234505861</v>
      </c>
      <c r="D280" s="289">
        <f>+K0kommunestruktur2020altern!D280</f>
        <v>194726.48241206032</v>
      </c>
      <c r="E280" s="289">
        <f>+K0kommunestruktur2020altern!E280</f>
        <v>9263.661641541039</v>
      </c>
      <c r="F280" s="289">
        <f>+K0kommunestruktur2020altern!F280</f>
        <v>204831.2596314908</v>
      </c>
      <c r="G280" s="289">
        <f>+K0kommunestruktur2020altern!G280</f>
        <v>9310.5561139028468</v>
      </c>
      <c r="H280" s="289">
        <f>+K0kommunestruktur2020altern!H280</f>
        <v>212942.70268006698</v>
      </c>
      <c r="I280" s="289">
        <f>+K0kommunestruktur2020altern!I280</f>
        <v>9375.2621440536022</v>
      </c>
      <c r="J280" s="289">
        <f>+K0kommunestruktur2020altern!J280</f>
        <v>224218.32663316582</v>
      </c>
      <c r="K280" s="289">
        <f>+K0kommunestruktur2020altern!K280</f>
        <v>9431.6742043551094</v>
      </c>
      <c r="L280" s="289">
        <f>+K0kommunestruktur2020altern!L280</f>
        <v>238563.00502512563</v>
      </c>
      <c r="M280" s="289">
        <f>+K0kommunestruktur2020altern!M280</f>
        <v>9413</v>
      </c>
      <c r="N280" s="289">
        <f>+K0kommunestruktur2020altern!N280</f>
        <v>251226.09212730319</v>
      </c>
      <c r="O280" s="289">
        <f>+K0kommunestruktur2020altern!O280</f>
        <v>9457</v>
      </c>
      <c r="P280" s="289">
        <f>+K0kommunestruktur2020altern!P280</f>
        <v>239118</v>
      </c>
      <c r="Q280" s="289">
        <f>+'K21'!C280</f>
        <v>9517</v>
      </c>
      <c r="R280" s="289">
        <f>+'K21'!Z280</f>
        <v>272226.07799999998</v>
      </c>
      <c r="S280" s="517"/>
      <c r="T280" s="517"/>
    </row>
    <row r="281" spans="1:20" ht="13">
      <c r="A281" s="755">
        <v>4650</v>
      </c>
      <c r="B281" s="756" t="s">
        <v>82</v>
      </c>
      <c r="C281" s="289">
        <f>+K0kommunestruktur2020altern!C281</f>
        <v>5694</v>
      </c>
      <c r="D281" s="289">
        <f>+K0kommunestruktur2020altern!D281</f>
        <v>123868</v>
      </c>
      <c r="E281" s="289">
        <f>+K0kommunestruktur2020altern!E281</f>
        <v>5751</v>
      </c>
      <c r="F281" s="289">
        <f>+K0kommunestruktur2020altern!F281</f>
        <v>128806</v>
      </c>
      <c r="G281" s="289">
        <f>+K0kommunestruktur2020altern!G281</f>
        <v>5784</v>
      </c>
      <c r="H281" s="289">
        <f>+K0kommunestruktur2020altern!H281</f>
        <v>136750</v>
      </c>
      <c r="I281" s="289">
        <f>+K0kommunestruktur2020altern!I281</f>
        <v>5783</v>
      </c>
      <c r="J281" s="289">
        <f>+K0kommunestruktur2020altern!J281</f>
        <v>147153</v>
      </c>
      <c r="K281" s="289">
        <f>+K0kommunestruktur2020altern!K281</f>
        <v>5874</v>
      </c>
      <c r="L281" s="289">
        <f>+K0kommunestruktur2020altern!L281</f>
        <v>169864</v>
      </c>
      <c r="M281" s="289">
        <f>+K0kommunestruktur2020altern!M281</f>
        <v>5836</v>
      </c>
      <c r="N281" s="289">
        <f>+K0kommunestruktur2020altern!N281</f>
        <v>156649</v>
      </c>
      <c r="O281" s="289">
        <f>+K0kommunestruktur2020altern!O281</f>
        <v>5854</v>
      </c>
      <c r="P281" s="289">
        <f>+K0kommunestruktur2020altern!P281</f>
        <v>145775</v>
      </c>
      <c r="Q281" s="289">
        <f>+'K21'!C281</f>
        <v>5885</v>
      </c>
      <c r="R281" s="289">
        <f>+'K21'!Z281</f>
        <v>169872.66200000001</v>
      </c>
      <c r="S281" s="517"/>
      <c r="T281" s="517"/>
    </row>
    <row r="282" spans="1:20" ht="13">
      <c r="A282" s="755">
        <v>4651</v>
      </c>
      <c r="B282" s="756" t="s">
        <v>83</v>
      </c>
      <c r="C282" s="289">
        <f>+K0kommunestruktur2020altern!C282</f>
        <v>7148</v>
      </c>
      <c r="D282" s="289">
        <f>+K0kommunestruktur2020altern!D282</f>
        <v>151200</v>
      </c>
      <c r="E282" s="289">
        <f>+K0kommunestruktur2020altern!E282</f>
        <v>7169</v>
      </c>
      <c r="F282" s="289">
        <f>+K0kommunestruktur2020altern!F282</f>
        <v>163009</v>
      </c>
      <c r="G282" s="289">
        <f>+K0kommunestruktur2020altern!G282</f>
        <v>7182</v>
      </c>
      <c r="H282" s="289">
        <f>+K0kommunestruktur2020altern!H282</f>
        <v>178833</v>
      </c>
      <c r="I282" s="289">
        <f>+K0kommunestruktur2020altern!I282</f>
        <v>7232</v>
      </c>
      <c r="J282" s="289">
        <f>+K0kommunestruktur2020altern!J282</f>
        <v>186231</v>
      </c>
      <c r="K282" s="289">
        <f>+K0kommunestruktur2020altern!K282</f>
        <v>7209</v>
      </c>
      <c r="L282" s="289">
        <f>+K0kommunestruktur2020altern!L282</f>
        <v>181528</v>
      </c>
      <c r="M282" s="289">
        <f>+K0kommunestruktur2020altern!M282</f>
        <v>7167</v>
      </c>
      <c r="N282" s="289">
        <f>+K0kommunestruktur2020altern!N282</f>
        <v>190496</v>
      </c>
      <c r="O282" s="289">
        <f>+K0kommunestruktur2020altern!O282</f>
        <v>7130</v>
      </c>
      <c r="P282" s="289">
        <f>+K0kommunestruktur2020altern!P282</f>
        <v>188692</v>
      </c>
      <c r="Q282" s="289">
        <f>+'K21'!C282</f>
        <v>7118</v>
      </c>
      <c r="R282" s="289">
        <f>+'K21'!Z282</f>
        <v>215489.829</v>
      </c>
      <c r="S282" s="517"/>
      <c r="T282" s="517"/>
    </row>
    <row r="283" spans="1:20" ht="13">
      <c r="A283" s="755">
        <v>5001</v>
      </c>
      <c r="B283" s="756" t="s">
        <v>118</v>
      </c>
      <c r="C283" s="289">
        <f>+K0kommunestruktur2020altern!C283</f>
        <v>188005</v>
      </c>
      <c r="D283" s="289">
        <f>+K0kommunestruktur2020altern!D283</f>
        <v>4691239</v>
      </c>
      <c r="E283" s="289">
        <f>+K0kommunestruktur2020altern!E283</f>
        <v>190955</v>
      </c>
      <c r="F283" s="289">
        <f>+K0kommunestruktur2020altern!F283</f>
        <v>4966134</v>
      </c>
      <c r="G283" s="289">
        <f>+K0kommunestruktur2020altern!G283</f>
        <v>193420</v>
      </c>
      <c r="H283" s="289">
        <f>+K0kommunestruktur2020altern!H283</f>
        <v>5523798</v>
      </c>
      <c r="I283" s="289">
        <f>+K0kommunestruktur2020altern!I283</f>
        <v>196514</v>
      </c>
      <c r="J283" s="289">
        <f>+K0kommunestruktur2020altern!J283</f>
        <v>5883227</v>
      </c>
      <c r="K283" s="289">
        <f>+K0kommunestruktur2020altern!K283</f>
        <v>199595</v>
      </c>
      <c r="L283" s="289">
        <f>+K0kommunestruktur2020altern!L283</f>
        <v>6181799</v>
      </c>
      <c r="M283" s="289">
        <f>+K0kommunestruktur2020altern!M283</f>
        <v>202235</v>
      </c>
      <c r="N283" s="289">
        <f>+K0kommunestruktur2020altern!N283</f>
        <v>6465972</v>
      </c>
      <c r="O283" s="289">
        <f>+K0kommunestruktur2020altern!O283</f>
        <v>205163</v>
      </c>
      <c r="P283" s="289">
        <f>+K0kommunestruktur2020altern!P283</f>
        <v>6382243</v>
      </c>
      <c r="Q283" s="289">
        <f>+'K21'!C283</f>
        <v>207595</v>
      </c>
      <c r="R283" s="289">
        <f>+'K21'!Z283</f>
        <v>7439942.034</v>
      </c>
      <c r="S283" s="517"/>
      <c r="T283" s="517"/>
    </row>
    <row r="284" spans="1:20" ht="13">
      <c r="A284" s="755">
        <v>5006</v>
      </c>
      <c r="B284" s="756" t="s">
        <v>1640</v>
      </c>
      <c r="C284" s="289">
        <f>+K0kommunestruktur2020altern!C284</f>
        <v>24046.90853409555</v>
      </c>
      <c r="D284" s="289">
        <f>+K0kommunestruktur2020altern!D284</f>
        <v>436534.13923274807</v>
      </c>
      <c r="E284" s="289">
        <f>+K0kommunestruktur2020altern!E284</f>
        <v>24127.318905675787</v>
      </c>
      <c r="F284" s="289">
        <f>+K0kommunestruktur2020altern!F284</f>
        <v>469494.90705757454</v>
      </c>
      <c r="G284" s="289">
        <f>+K0kommunestruktur2020altern!G284</f>
        <v>24238.866067782768</v>
      </c>
      <c r="H284" s="289">
        <f>+K0kommunestruktur2020altern!H284</f>
        <v>511362.55053491221</v>
      </c>
      <c r="I284" s="289">
        <f>+K0kommunestruktur2020altern!I284</f>
        <v>24418.194365046958</v>
      </c>
      <c r="J284" s="289">
        <f>+K0kommunestruktur2020altern!J284</f>
        <v>535184.47456839529</v>
      </c>
      <c r="K284" s="289">
        <f>+K0kommunestruktur2020altern!K284</f>
        <v>24501.34340547162</v>
      </c>
      <c r="L284" s="289">
        <f>+K0kommunestruktur2020altern!L284</f>
        <v>556784.64352797065</v>
      </c>
      <c r="M284" s="289">
        <f>+K0kommunestruktur2020altern!M284</f>
        <v>24472</v>
      </c>
      <c r="N284" s="289">
        <f>+K0kommunestruktur2020altern!N284</f>
        <v>573231.63046141283</v>
      </c>
      <c r="O284" s="289">
        <f>+K0kommunestruktur2020altern!O284</f>
        <v>24357</v>
      </c>
      <c r="P284" s="289">
        <f>+K0kommunestruktur2020altern!P284</f>
        <v>573972</v>
      </c>
      <c r="Q284" s="289">
        <f>+'K21'!C284</f>
        <v>24152</v>
      </c>
      <c r="R284" s="289">
        <f>+'K21'!Z284</f>
        <v>660267.09299999999</v>
      </c>
      <c r="S284" s="517"/>
      <c r="T284" s="517"/>
    </row>
    <row r="285" spans="1:20" ht="13">
      <c r="A285" s="755">
        <v>5007</v>
      </c>
      <c r="B285" s="756" t="s">
        <v>1641</v>
      </c>
      <c r="C285" s="289">
        <f>+K0kommunestruktur2020altern!C285</f>
        <v>15451.919558359621</v>
      </c>
      <c r="D285" s="289">
        <f>+K0kommunestruktur2020altern!D285</f>
        <v>292612.63052050472</v>
      </c>
      <c r="E285" s="289">
        <f>+K0kommunestruktur2020altern!E285</f>
        <v>15351.090496845425</v>
      </c>
      <c r="F285" s="289">
        <f>+K0kommunestruktur2020altern!F285</f>
        <v>306321.55717665615</v>
      </c>
      <c r="G285" s="289">
        <f>+K0kommunestruktur2020altern!G285</f>
        <v>15316.542981072555</v>
      </c>
      <c r="H285" s="289">
        <f>+K0kommunestruktur2020altern!H285</f>
        <v>339202.20977917983</v>
      </c>
      <c r="I285" s="289">
        <f>+K0kommunestruktur2020altern!I285</f>
        <v>15323.663643533124</v>
      </c>
      <c r="J285" s="289">
        <f>+K0kommunestruktur2020altern!J285</f>
        <v>352283.4089116719</v>
      </c>
      <c r="K285" s="289">
        <f>+K0kommunestruktur2020altern!K285</f>
        <v>15332.452484227129</v>
      </c>
      <c r="L285" s="289">
        <f>+K0kommunestruktur2020altern!L285</f>
        <v>364447.19518927444</v>
      </c>
      <c r="M285" s="289">
        <f>+K0kommunestruktur2020altern!M285</f>
        <v>15345</v>
      </c>
      <c r="N285" s="289">
        <f>+K0kommunestruktur2020altern!N285</f>
        <v>387821.6535883281</v>
      </c>
      <c r="O285" s="289">
        <f>+K0kommunestruktur2020altern!O285</f>
        <v>15230</v>
      </c>
      <c r="P285" s="289">
        <f>+K0kommunestruktur2020altern!P285</f>
        <v>379162</v>
      </c>
      <c r="Q285" s="289">
        <f>+'K21'!C285</f>
        <v>15096</v>
      </c>
      <c r="R285" s="289">
        <f>+'K21'!Z285</f>
        <v>420191.505</v>
      </c>
      <c r="S285" s="517"/>
      <c r="T285" s="517"/>
    </row>
    <row r="286" spans="1:20" ht="13">
      <c r="A286" s="755">
        <v>5014</v>
      </c>
      <c r="B286" s="756" t="s">
        <v>122</v>
      </c>
      <c r="C286" s="289">
        <f>+K0kommunestruktur2020altern!C286</f>
        <v>4547</v>
      </c>
      <c r="D286" s="289">
        <f>+K0kommunestruktur2020altern!D286</f>
        <v>128168</v>
      </c>
      <c r="E286" s="289">
        <f>+K0kommunestruktur2020altern!E286</f>
        <v>4634</v>
      </c>
      <c r="F286" s="289">
        <f>+K0kommunestruktur2020altern!F286</f>
        <v>126174</v>
      </c>
      <c r="G286" s="289">
        <f>+K0kommunestruktur2020altern!G286</f>
        <v>4799</v>
      </c>
      <c r="H286" s="289">
        <f>+K0kommunestruktur2020altern!H286</f>
        <v>215057</v>
      </c>
      <c r="I286" s="289">
        <f>+K0kommunestruktur2020altern!I286</f>
        <v>4937</v>
      </c>
      <c r="J286" s="289">
        <f>+K0kommunestruktur2020altern!J286</f>
        <v>283115</v>
      </c>
      <c r="K286" s="289">
        <f>+K0kommunestruktur2020altern!K286</f>
        <v>4962</v>
      </c>
      <c r="L286" s="289">
        <f>+K0kommunestruktur2020altern!L286</f>
        <v>199096</v>
      </c>
      <c r="M286" s="289">
        <f>+K0kommunestruktur2020altern!M286</f>
        <v>5068</v>
      </c>
      <c r="N286" s="289">
        <f>+K0kommunestruktur2020altern!N286</f>
        <v>198503</v>
      </c>
      <c r="O286" s="289">
        <f>+K0kommunestruktur2020altern!O286</f>
        <v>5151</v>
      </c>
      <c r="P286" s="289">
        <f>+K0kommunestruktur2020altern!P286</f>
        <v>389526</v>
      </c>
      <c r="Q286" s="289">
        <f>+'K21'!C286</f>
        <v>5204</v>
      </c>
      <c r="R286" s="289">
        <f>+'K21'!Z286</f>
        <v>469673.61300000001</v>
      </c>
      <c r="S286" s="517"/>
      <c r="T286" s="517"/>
    </row>
    <row r="287" spans="1:20" ht="13">
      <c r="A287" s="755">
        <v>5020</v>
      </c>
      <c r="B287" s="756" t="s">
        <v>129</v>
      </c>
      <c r="C287" s="289">
        <f>+K0kommunestruktur2020altern!C287</f>
        <v>997</v>
      </c>
      <c r="D287" s="289">
        <f>+K0kommunestruktur2020altern!D287</f>
        <v>16756</v>
      </c>
      <c r="E287" s="289">
        <f>+K0kommunestruktur2020altern!E287</f>
        <v>1010</v>
      </c>
      <c r="F287" s="289">
        <f>+K0kommunestruktur2020altern!F287</f>
        <v>18345</v>
      </c>
      <c r="G287" s="289">
        <f>+K0kommunestruktur2020altern!G287</f>
        <v>976</v>
      </c>
      <c r="H287" s="289">
        <f>+K0kommunestruktur2020altern!H287</f>
        <v>19657</v>
      </c>
      <c r="I287" s="289">
        <f>+K0kommunestruktur2020altern!I287</f>
        <v>978</v>
      </c>
      <c r="J287" s="289">
        <f>+K0kommunestruktur2020altern!J287</f>
        <v>21713</v>
      </c>
      <c r="K287" s="289">
        <f>+K0kommunestruktur2020altern!K287</f>
        <v>967</v>
      </c>
      <c r="L287" s="289">
        <f>+K0kommunestruktur2020altern!L287</f>
        <v>20690</v>
      </c>
      <c r="M287" s="289">
        <f>+K0kommunestruktur2020altern!M287</f>
        <v>947</v>
      </c>
      <c r="N287" s="289">
        <f>+K0kommunestruktur2020altern!N287</f>
        <v>22381</v>
      </c>
      <c r="O287" s="289">
        <f>+K0kommunestruktur2020altern!O287</f>
        <v>948</v>
      </c>
      <c r="P287" s="289">
        <f>+K0kommunestruktur2020altern!P287</f>
        <v>21980</v>
      </c>
      <c r="Q287" s="289">
        <f>+'K21'!C287</f>
        <v>925</v>
      </c>
      <c r="R287" s="289">
        <f>+'K21'!Z287</f>
        <v>24191.807000000001</v>
      </c>
      <c r="S287" s="517"/>
      <c r="T287" s="517"/>
    </row>
    <row r="288" spans="1:20" ht="13">
      <c r="A288" s="755">
        <v>5021</v>
      </c>
      <c r="B288" s="756" t="s">
        <v>130</v>
      </c>
      <c r="C288" s="289">
        <f>+K0kommunestruktur2020altern!C288</f>
        <v>6814</v>
      </c>
      <c r="D288" s="289">
        <f>+K0kommunestruktur2020altern!D288</f>
        <v>137555</v>
      </c>
      <c r="E288" s="289">
        <f>+K0kommunestruktur2020altern!E288</f>
        <v>6852</v>
      </c>
      <c r="F288" s="289">
        <f>+K0kommunestruktur2020altern!F288</f>
        <v>143069</v>
      </c>
      <c r="G288" s="289">
        <f>+K0kommunestruktur2020altern!G288</f>
        <v>6886</v>
      </c>
      <c r="H288" s="289">
        <f>+K0kommunestruktur2020altern!H288</f>
        <v>157388</v>
      </c>
      <c r="I288" s="289">
        <f>+K0kommunestruktur2020altern!I288</f>
        <v>6973</v>
      </c>
      <c r="J288" s="289">
        <f>+K0kommunestruktur2020altern!J288</f>
        <v>168825</v>
      </c>
      <c r="K288" s="289">
        <f>+K0kommunestruktur2020altern!K288</f>
        <v>6970</v>
      </c>
      <c r="L288" s="289">
        <f>+K0kommunestruktur2020altern!L288</f>
        <v>174333</v>
      </c>
      <c r="M288" s="289">
        <f>+K0kommunestruktur2020altern!M288</f>
        <v>6975</v>
      </c>
      <c r="N288" s="289">
        <f>+K0kommunestruktur2020altern!N288</f>
        <v>183551</v>
      </c>
      <c r="O288" s="289">
        <f>+K0kommunestruktur2020altern!O288</f>
        <v>7001</v>
      </c>
      <c r="P288" s="289">
        <f>+K0kommunestruktur2020altern!P288</f>
        <v>191241</v>
      </c>
      <c r="Q288" s="289">
        <f>+'K21'!C288</f>
        <v>6981</v>
      </c>
      <c r="R288" s="289">
        <f>+'K21'!Z288</f>
        <v>210812.68700000001</v>
      </c>
      <c r="S288" s="517"/>
      <c r="T288" s="517"/>
    </row>
    <row r="289" spans="1:20" ht="13">
      <c r="A289" s="755">
        <v>5022</v>
      </c>
      <c r="B289" s="756" t="s">
        <v>131</v>
      </c>
      <c r="C289" s="289">
        <f>+K0kommunestruktur2020altern!C289</f>
        <v>2556</v>
      </c>
      <c r="D289" s="289">
        <f>+K0kommunestruktur2020altern!D289</f>
        <v>51530</v>
      </c>
      <c r="E289" s="289">
        <f>+K0kommunestruktur2020altern!E289</f>
        <v>2567</v>
      </c>
      <c r="F289" s="289">
        <f>+K0kommunestruktur2020altern!F289</f>
        <v>52413</v>
      </c>
      <c r="G289" s="289">
        <f>+K0kommunestruktur2020altern!G289</f>
        <v>2562</v>
      </c>
      <c r="H289" s="289">
        <f>+K0kommunestruktur2020altern!H289</f>
        <v>57456</v>
      </c>
      <c r="I289" s="289">
        <f>+K0kommunestruktur2020altern!I289</f>
        <v>2556</v>
      </c>
      <c r="J289" s="289">
        <f>+K0kommunestruktur2020altern!J289</f>
        <v>58411</v>
      </c>
      <c r="K289" s="289">
        <f>+K0kommunestruktur2020altern!K289</f>
        <v>2541</v>
      </c>
      <c r="L289" s="289">
        <f>+K0kommunestruktur2020altern!L289</f>
        <v>60864</v>
      </c>
      <c r="M289" s="289">
        <f>+K0kommunestruktur2020altern!M289</f>
        <v>2501</v>
      </c>
      <c r="N289" s="289">
        <f>+K0kommunestruktur2020altern!N289</f>
        <v>60102</v>
      </c>
      <c r="O289" s="289">
        <f>+K0kommunestruktur2020altern!O289</f>
        <v>2486</v>
      </c>
      <c r="P289" s="289">
        <f>+K0kommunestruktur2020altern!P289</f>
        <v>58297</v>
      </c>
      <c r="Q289" s="289">
        <f>+'K21'!C289</f>
        <v>2454</v>
      </c>
      <c r="R289" s="289">
        <f>+'K21'!Z289</f>
        <v>67810.433000000005</v>
      </c>
      <c r="S289" s="517"/>
      <c r="T289" s="517"/>
    </row>
    <row r="290" spans="1:20" ht="13">
      <c r="A290" s="755">
        <v>5025</v>
      </c>
      <c r="B290" s="965" t="s">
        <v>134</v>
      </c>
      <c r="C290" s="289">
        <f>+K0kommunestruktur2020altern!C290</f>
        <v>5583</v>
      </c>
      <c r="D290" s="289">
        <f>+K0kommunestruktur2020altern!D290</f>
        <v>122917</v>
      </c>
      <c r="E290" s="289">
        <f>+K0kommunestruktur2020altern!E290</f>
        <v>5593</v>
      </c>
      <c r="F290" s="289">
        <f>+K0kommunestruktur2020altern!F290</f>
        <v>126206</v>
      </c>
      <c r="G290" s="289">
        <f>+K0kommunestruktur2020altern!G290</f>
        <v>5635</v>
      </c>
      <c r="H290" s="289">
        <f>+K0kommunestruktur2020altern!H290</f>
        <v>135849</v>
      </c>
      <c r="I290" s="289">
        <f>+K0kommunestruktur2020altern!I290</f>
        <v>5623</v>
      </c>
      <c r="J290" s="289">
        <f>+K0kommunestruktur2020altern!J290</f>
        <v>140005</v>
      </c>
      <c r="K290" s="289">
        <f>+K0kommunestruktur2020altern!K290</f>
        <v>5663</v>
      </c>
      <c r="L290" s="289">
        <f>+K0kommunestruktur2020altern!L290</f>
        <v>150634</v>
      </c>
      <c r="M290" s="289">
        <f>+K0kommunestruktur2020altern!M290</f>
        <v>5610</v>
      </c>
      <c r="N290" s="289">
        <f>+K0kommunestruktur2020altern!N290</f>
        <v>152303</v>
      </c>
      <c r="O290" s="289">
        <f>+K0kommunestruktur2020altern!O290</f>
        <v>5581</v>
      </c>
      <c r="P290" s="289">
        <f>+K0kommunestruktur2020altern!P290</f>
        <v>149195</v>
      </c>
      <c r="Q290" s="289">
        <f>+'K21'!C290</f>
        <v>5550</v>
      </c>
      <c r="R290" s="289">
        <f>+'K21'!Z290</f>
        <v>170572.24799999999</v>
      </c>
      <c r="S290" s="517"/>
      <c r="T290" s="517"/>
    </row>
    <row r="291" spans="1:20" ht="13">
      <c r="A291" s="755">
        <v>5026</v>
      </c>
      <c r="B291" s="756" t="s">
        <v>135</v>
      </c>
      <c r="C291" s="289">
        <f>+K0kommunestruktur2020altern!C291</f>
        <v>2024</v>
      </c>
      <c r="D291" s="289">
        <f>+K0kommunestruktur2020altern!D291</f>
        <v>36840</v>
      </c>
      <c r="E291" s="289">
        <f>+K0kommunestruktur2020altern!E291</f>
        <v>2014</v>
      </c>
      <c r="F291" s="289">
        <f>+K0kommunestruktur2020altern!F291</f>
        <v>38051</v>
      </c>
      <c r="G291" s="289">
        <f>+K0kommunestruktur2020altern!G291</f>
        <v>2031</v>
      </c>
      <c r="H291" s="289">
        <f>+K0kommunestruktur2020altern!H291</f>
        <v>40877</v>
      </c>
      <c r="I291" s="289">
        <f>+K0kommunestruktur2020altern!I291</f>
        <v>2046</v>
      </c>
      <c r="J291" s="289">
        <f>+K0kommunestruktur2020altern!J291</f>
        <v>41668</v>
      </c>
      <c r="K291" s="289">
        <f>+K0kommunestruktur2020altern!K291</f>
        <v>2028</v>
      </c>
      <c r="L291" s="289">
        <f>+K0kommunestruktur2020altern!L291</f>
        <v>42917</v>
      </c>
      <c r="M291" s="289">
        <f>+K0kommunestruktur2020altern!M291</f>
        <v>2025</v>
      </c>
      <c r="N291" s="289">
        <f>+K0kommunestruktur2020altern!N291</f>
        <v>44918</v>
      </c>
      <c r="O291" s="289">
        <f>+K0kommunestruktur2020altern!O291</f>
        <v>1981</v>
      </c>
      <c r="P291" s="289">
        <f>+K0kommunestruktur2020altern!P291</f>
        <v>45380</v>
      </c>
      <c r="Q291" s="289">
        <f>+'K21'!C291</f>
        <v>1968</v>
      </c>
      <c r="R291" s="289">
        <f>+'K21'!Z291</f>
        <v>50318.663999999997</v>
      </c>
      <c r="S291" s="517"/>
      <c r="T291" s="517"/>
    </row>
    <row r="292" spans="1:20" ht="13">
      <c r="A292" s="755">
        <v>5027</v>
      </c>
      <c r="B292" s="756" t="s">
        <v>136</v>
      </c>
      <c r="C292" s="289">
        <f>+K0kommunestruktur2020altern!C292</f>
        <v>6361</v>
      </c>
      <c r="D292" s="289">
        <f>+K0kommunestruktur2020altern!D292</f>
        <v>117036</v>
      </c>
      <c r="E292" s="289">
        <f>+K0kommunestruktur2020altern!E292</f>
        <v>6336</v>
      </c>
      <c r="F292" s="289">
        <f>+K0kommunestruktur2020altern!F292</f>
        <v>122762</v>
      </c>
      <c r="G292" s="289">
        <f>+K0kommunestruktur2020altern!G292</f>
        <v>6298</v>
      </c>
      <c r="H292" s="289">
        <f>+K0kommunestruktur2020altern!H292</f>
        <v>134262</v>
      </c>
      <c r="I292" s="289">
        <f>+K0kommunestruktur2020altern!I292</f>
        <v>6319</v>
      </c>
      <c r="J292" s="289">
        <f>+K0kommunestruktur2020altern!J292</f>
        <v>136088</v>
      </c>
      <c r="K292" s="289">
        <f>+K0kommunestruktur2020altern!K292</f>
        <v>6225</v>
      </c>
      <c r="L292" s="289">
        <f>+K0kommunestruktur2020altern!L292</f>
        <v>138350</v>
      </c>
      <c r="M292" s="289">
        <f>+K0kommunestruktur2020altern!M292</f>
        <v>6246</v>
      </c>
      <c r="N292" s="289">
        <f>+K0kommunestruktur2020altern!N292</f>
        <v>142650</v>
      </c>
      <c r="O292" s="289">
        <f>+K0kommunestruktur2020altern!O292</f>
        <v>6238</v>
      </c>
      <c r="P292" s="289">
        <f>+K0kommunestruktur2020altern!P292</f>
        <v>143443</v>
      </c>
      <c r="Q292" s="289">
        <f>+'K21'!C292</f>
        <v>6243</v>
      </c>
      <c r="R292" s="289">
        <f>+'K21'!Z292</f>
        <v>165635.58900000001</v>
      </c>
      <c r="S292" s="517"/>
      <c r="T292" s="517"/>
    </row>
    <row r="293" spans="1:20" ht="13">
      <c r="A293" s="755">
        <v>5028</v>
      </c>
      <c r="B293" s="756" t="s">
        <v>137</v>
      </c>
      <c r="C293" s="289">
        <f>+K0kommunestruktur2020altern!C293</f>
        <v>15844</v>
      </c>
      <c r="D293" s="289">
        <f>+K0kommunestruktur2020altern!D293</f>
        <v>325097</v>
      </c>
      <c r="E293" s="289">
        <f>+K0kommunestruktur2020altern!E293</f>
        <v>15916</v>
      </c>
      <c r="F293" s="289">
        <f>+K0kommunestruktur2020altern!F293</f>
        <v>336584</v>
      </c>
      <c r="G293" s="289">
        <f>+K0kommunestruktur2020altern!G293</f>
        <v>16096</v>
      </c>
      <c r="H293" s="289">
        <f>+K0kommunestruktur2020altern!H293</f>
        <v>363387</v>
      </c>
      <c r="I293" s="289">
        <f>+K0kommunestruktur2020altern!I293</f>
        <v>16213</v>
      </c>
      <c r="J293" s="289">
        <f>+K0kommunestruktur2020altern!J293</f>
        <v>384271</v>
      </c>
      <c r="K293" s="289">
        <f>+K0kommunestruktur2020altern!K293</f>
        <v>16424</v>
      </c>
      <c r="L293" s="289">
        <f>+K0kommunestruktur2020altern!L293</f>
        <v>405508</v>
      </c>
      <c r="M293" s="289">
        <f>+K0kommunestruktur2020altern!M293</f>
        <v>16562</v>
      </c>
      <c r="N293" s="289">
        <f>+K0kommunestruktur2020altern!N293</f>
        <v>424578</v>
      </c>
      <c r="O293" s="289">
        <f>+K0kommunestruktur2020altern!O293</f>
        <v>16733</v>
      </c>
      <c r="P293" s="289">
        <f>+K0kommunestruktur2020altern!P293</f>
        <v>413343</v>
      </c>
      <c r="Q293" s="289">
        <f>+'K21'!C293</f>
        <v>16949</v>
      </c>
      <c r="R293" s="289">
        <f>+'K21'!Z293</f>
        <v>485438.663</v>
      </c>
      <c r="S293" s="517"/>
      <c r="T293" s="517"/>
    </row>
    <row r="294" spans="1:20" ht="13">
      <c r="A294" s="755">
        <v>5029</v>
      </c>
      <c r="B294" s="756" t="s">
        <v>138</v>
      </c>
      <c r="C294" s="289">
        <f>+K0kommunestruktur2020altern!C294</f>
        <v>7392</v>
      </c>
      <c r="D294" s="289">
        <f>+K0kommunestruktur2020altern!D294</f>
        <v>141880</v>
      </c>
      <c r="E294" s="289">
        <f>+K0kommunestruktur2020altern!E294</f>
        <v>7668</v>
      </c>
      <c r="F294" s="289">
        <f>+K0kommunestruktur2020altern!F294</f>
        <v>154041</v>
      </c>
      <c r="G294" s="289">
        <f>+K0kommunestruktur2020altern!G294</f>
        <v>7755</v>
      </c>
      <c r="H294" s="289">
        <f>+K0kommunestruktur2020altern!H294</f>
        <v>170390</v>
      </c>
      <c r="I294" s="289">
        <f>+K0kommunestruktur2020altern!I294</f>
        <v>8000</v>
      </c>
      <c r="J294" s="289">
        <f>+K0kommunestruktur2020altern!J294</f>
        <v>185257</v>
      </c>
      <c r="K294" s="289">
        <f>+K0kommunestruktur2020altern!K294</f>
        <v>8142</v>
      </c>
      <c r="L294" s="289">
        <f>+K0kommunestruktur2020altern!L294</f>
        <v>194457</v>
      </c>
      <c r="M294" s="289">
        <f>+K0kommunestruktur2020altern!M294</f>
        <v>8231</v>
      </c>
      <c r="N294" s="289">
        <f>+K0kommunestruktur2020altern!N294</f>
        <v>202229</v>
      </c>
      <c r="O294" s="289">
        <f>+K0kommunestruktur2020altern!O294</f>
        <v>8325</v>
      </c>
      <c r="P294" s="289">
        <f>+K0kommunestruktur2020altern!P294</f>
        <v>203063</v>
      </c>
      <c r="Q294" s="289">
        <f>+'K21'!C294</f>
        <v>8367</v>
      </c>
      <c r="R294" s="289">
        <f>+'K21'!Z294</f>
        <v>235799.02499999999</v>
      </c>
      <c r="S294" s="517"/>
      <c r="T294" s="517"/>
    </row>
    <row r="295" spans="1:20" ht="13">
      <c r="A295" s="755">
        <v>5031</v>
      </c>
      <c r="B295" s="756" t="s">
        <v>141</v>
      </c>
      <c r="C295" s="289">
        <f>+K0kommunestruktur2020altern!C295</f>
        <v>13371</v>
      </c>
      <c r="D295" s="289">
        <f>+K0kommunestruktur2020altern!D295</f>
        <v>308238</v>
      </c>
      <c r="E295" s="289">
        <f>+K0kommunestruktur2020altern!E295</f>
        <v>13498</v>
      </c>
      <c r="F295" s="289">
        <f>+K0kommunestruktur2020altern!F295</f>
        <v>318663</v>
      </c>
      <c r="G295" s="289">
        <f>+K0kommunestruktur2020altern!G295</f>
        <v>13738</v>
      </c>
      <c r="H295" s="289">
        <f>+K0kommunestruktur2020altern!H295</f>
        <v>359450</v>
      </c>
      <c r="I295" s="289">
        <f>+K0kommunestruktur2020altern!I295</f>
        <v>13820</v>
      </c>
      <c r="J295" s="289">
        <f>+K0kommunestruktur2020altern!J295</f>
        <v>368227</v>
      </c>
      <c r="K295" s="289">
        <f>+K0kommunestruktur2020altern!K295</f>
        <v>13958</v>
      </c>
      <c r="L295" s="289">
        <f>+K0kommunestruktur2020altern!L295</f>
        <v>397644</v>
      </c>
      <c r="M295" s="289">
        <f>+K0kommunestruktur2020altern!M295</f>
        <v>14040</v>
      </c>
      <c r="N295" s="289">
        <f>+K0kommunestruktur2020altern!N295</f>
        <v>412157</v>
      </c>
      <c r="O295" s="289">
        <f>+K0kommunestruktur2020altern!O295</f>
        <v>14148</v>
      </c>
      <c r="P295" s="289">
        <f>+K0kommunestruktur2020altern!P295</f>
        <v>408135</v>
      </c>
      <c r="Q295" s="289">
        <f>+'K21'!C295</f>
        <v>14334</v>
      </c>
      <c r="R295" s="289">
        <f>+'K21'!Z295</f>
        <v>466120.27500000002</v>
      </c>
      <c r="S295" s="517"/>
      <c r="T295" s="517"/>
    </row>
    <row r="296" spans="1:20" ht="13">
      <c r="A296" s="755">
        <v>5032</v>
      </c>
      <c r="B296" s="756" t="s">
        <v>142</v>
      </c>
      <c r="C296" s="289">
        <f>+K0kommunestruktur2020altern!C296</f>
        <v>4030</v>
      </c>
      <c r="D296" s="289">
        <f>+K0kommunestruktur2020altern!D296</f>
        <v>79555</v>
      </c>
      <c r="E296" s="289">
        <f>+K0kommunestruktur2020altern!E296</f>
        <v>4078</v>
      </c>
      <c r="F296" s="289">
        <f>+K0kommunestruktur2020altern!F296</f>
        <v>84730</v>
      </c>
      <c r="G296" s="289">
        <f>+K0kommunestruktur2020altern!G296</f>
        <v>4132</v>
      </c>
      <c r="H296" s="289">
        <f>+K0kommunestruktur2020altern!H296</f>
        <v>91266</v>
      </c>
      <c r="I296" s="289">
        <f>+K0kommunestruktur2020altern!I296</f>
        <v>4098</v>
      </c>
      <c r="J296" s="289">
        <f>+K0kommunestruktur2020altern!J296</f>
        <v>94622</v>
      </c>
      <c r="K296" s="289">
        <f>+K0kommunestruktur2020altern!K296</f>
        <v>4093</v>
      </c>
      <c r="L296" s="289">
        <f>+K0kommunestruktur2020altern!L296</f>
        <v>97338</v>
      </c>
      <c r="M296" s="289">
        <f>+K0kommunestruktur2020altern!M296</f>
        <v>4088</v>
      </c>
      <c r="N296" s="289">
        <f>+K0kommunestruktur2020altern!N296</f>
        <v>100209</v>
      </c>
      <c r="O296" s="289">
        <f>+K0kommunestruktur2020altern!O296</f>
        <v>4062</v>
      </c>
      <c r="P296" s="289">
        <f>+K0kommunestruktur2020altern!P296</f>
        <v>102099</v>
      </c>
      <c r="Q296" s="289">
        <f>+'K21'!C296</f>
        <v>4069</v>
      </c>
      <c r="R296" s="289">
        <f>+'K21'!Z296</f>
        <v>114143.08</v>
      </c>
      <c r="S296" s="517"/>
      <c r="T296" s="517"/>
    </row>
    <row r="297" spans="1:20" ht="13">
      <c r="A297" s="755">
        <v>5033</v>
      </c>
      <c r="B297" s="756" t="s">
        <v>143</v>
      </c>
      <c r="C297" s="289">
        <f>+K0kommunestruktur2020altern!C297</f>
        <v>864</v>
      </c>
      <c r="D297" s="289">
        <f>+K0kommunestruktur2020altern!D297</f>
        <v>30854</v>
      </c>
      <c r="E297" s="289">
        <f>+K0kommunestruktur2020altern!E297</f>
        <v>863</v>
      </c>
      <c r="F297" s="289">
        <f>+K0kommunestruktur2020altern!F297</f>
        <v>32527</v>
      </c>
      <c r="G297" s="289">
        <f>+K0kommunestruktur2020altern!G297</f>
        <v>851</v>
      </c>
      <c r="H297" s="289">
        <f>+K0kommunestruktur2020altern!H297</f>
        <v>33235</v>
      </c>
      <c r="I297" s="289">
        <f>+K0kommunestruktur2020altern!I297</f>
        <v>861</v>
      </c>
      <c r="J297" s="289">
        <f>+K0kommunestruktur2020altern!J297</f>
        <v>33121</v>
      </c>
      <c r="K297" s="289">
        <f>+K0kommunestruktur2020altern!K297</f>
        <v>834</v>
      </c>
      <c r="L297" s="289">
        <f>+K0kommunestruktur2020altern!L297</f>
        <v>34850</v>
      </c>
      <c r="M297" s="289">
        <f>+K0kommunestruktur2020altern!M297</f>
        <v>794</v>
      </c>
      <c r="N297" s="289">
        <f>+K0kommunestruktur2020altern!N297</f>
        <v>35054</v>
      </c>
      <c r="O297" s="289">
        <f>+K0kommunestruktur2020altern!O297</f>
        <v>769</v>
      </c>
      <c r="P297" s="289">
        <f>+K0kommunestruktur2020altern!P297</f>
        <v>32995</v>
      </c>
      <c r="Q297" s="289">
        <f>+'K21'!C297</f>
        <v>759</v>
      </c>
      <c r="R297" s="289">
        <f>+'K21'!Z297</f>
        <v>35377.728999999999</v>
      </c>
      <c r="S297" s="517"/>
      <c r="T297" s="517"/>
    </row>
    <row r="298" spans="1:20" ht="13">
      <c r="A298" s="755">
        <v>5034</v>
      </c>
      <c r="B298" s="756" t="s">
        <v>146</v>
      </c>
      <c r="C298" s="289">
        <f>+K0kommunestruktur2020altern!C298</f>
        <v>2553</v>
      </c>
      <c r="D298" s="289">
        <f>+K0kommunestruktur2020altern!D298</f>
        <v>48534</v>
      </c>
      <c r="E298" s="289">
        <f>+K0kommunestruktur2020altern!E298</f>
        <v>2558</v>
      </c>
      <c r="F298" s="289">
        <f>+K0kommunestruktur2020altern!F298</f>
        <v>51352</v>
      </c>
      <c r="G298" s="289">
        <f>+K0kommunestruktur2020altern!G298</f>
        <v>2523</v>
      </c>
      <c r="H298" s="289">
        <f>+K0kommunestruktur2020altern!H298</f>
        <v>53590</v>
      </c>
      <c r="I298" s="289">
        <f>+K0kommunestruktur2020altern!I298</f>
        <v>2508</v>
      </c>
      <c r="J298" s="289">
        <f>+K0kommunestruktur2020altern!J298</f>
        <v>54417</v>
      </c>
      <c r="K298" s="289">
        <f>+K0kommunestruktur2020altern!K298</f>
        <v>2469</v>
      </c>
      <c r="L298" s="289">
        <f>+K0kommunestruktur2020altern!L298</f>
        <v>57823</v>
      </c>
      <c r="M298" s="289">
        <f>+K0kommunestruktur2020altern!M298</f>
        <v>2432</v>
      </c>
      <c r="N298" s="289">
        <f>+K0kommunestruktur2020altern!N298</f>
        <v>57334</v>
      </c>
      <c r="O298" s="289">
        <f>+K0kommunestruktur2020altern!O298</f>
        <v>2422</v>
      </c>
      <c r="P298" s="289">
        <f>+K0kommunestruktur2020altern!P298</f>
        <v>55743</v>
      </c>
      <c r="Q298" s="289">
        <f>+'K21'!C298</f>
        <v>2413</v>
      </c>
      <c r="R298" s="289">
        <f>+'K21'!Z298</f>
        <v>63651.06</v>
      </c>
      <c r="S298" s="517"/>
      <c r="T298" s="517"/>
    </row>
    <row r="299" spans="1:20" ht="13">
      <c r="A299" s="755">
        <v>5035</v>
      </c>
      <c r="B299" s="756" t="s">
        <v>147</v>
      </c>
      <c r="C299" s="289">
        <f>+K0kommunestruktur2020altern!C299</f>
        <v>22683</v>
      </c>
      <c r="D299" s="289">
        <f>+K0kommunestruktur2020altern!D299</f>
        <v>461772</v>
      </c>
      <c r="E299" s="289">
        <f>+K0kommunestruktur2020altern!E299</f>
        <v>22957</v>
      </c>
      <c r="F299" s="289">
        <f>+K0kommunestruktur2020altern!F299</f>
        <v>500584</v>
      </c>
      <c r="G299" s="289">
        <f>+K0kommunestruktur2020altern!G299</f>
        <v>23308</v>
      </c>
      <c r="H299" s="289">
        <f>+K0kommunestruktur2020altern!H299</f>
        <v>539672</v>
      </c>
      <c r="I299" s="289">
        <f>+K0kommunestruktur2020altern!I299</f>
        <v>23625</v>
      </c>
      <c r="J299" s="289">
        <f>+K0kommunestruktur2020altern!J299</f>
        <v>564472</v>
      </c>
      <c r="K299" s="289">
        <f>+K0kommunestruktur2020altern!K299</f>
        <v>23964</v>
      </c>
      <c r="L299" s="289">
        <f>+K0kommunestruktur2020altern!L299</f>
        <v>597732</v>
      </c>
      <c r="M299" s="289">
        <f>+K0kommunestruktur2020altern!M299</f>
        <v>24028</v>
      </c>
      <c r="N299" s="289">
        <f>+K0kommunestruktur2020altern!N299</f>
        <v>615174</v>
      </c>
      <c r="O299" s="289">
        <f>+K0kommunestruktur2020altern!O299</f>
        <v>24145</v>
      </c>
      <c r="P299" s="289">
        <f>+K0kommunestruktur2020altern!P299</f>
        <v>598173</v>
      </c>
      <c r="Q299" s="289">
        <f>+'K21'!C299</f>
        <v>24283</v>
      </c>
      <c r="R299" s="289">
        <f>+'K21'!Z299</f>
        <v>694242.41700000002</v>
      </c>
      <c r="S299" s="517"/>
      <c r="T299" s="517"/>
    </row>
    <row r="300" spans="1:20" ht="13">
      <c r="A300" s="755">
        <v>5036</v>
      </c>
      <c r="B300" s="756" t="s">
        <v>148</v>
      </c>
      <c r="C300" s="289">
        <f>+K0kommunestruktur2020altern!C300</f>
        <v>2653</v>
      </c>
      <c r="D300" s="289">
        <f>+K0kommunestruktur2020altern!D300</f>
        <v>43779</v>
      </c>
      <c r="E300" s="289">
        <f>+K0kommunestruktur2020altern!E300</f>
        <v>2624</v>
      </c>
      <c r="F300" s="289">
        <f>+K0kommunestruktur2020altern!F300</f>
        <v>45334</v>
      </c>
      <c r="G300" s="289">
        <f>+K0kommunestruktur2020altern!G300</f>
        <v>2631</v>
      </c>
      <c r="H300" s="289">
        <f>+K0kommunestruktur2020altern!H300</f>
        <v>48858</v>
      </c>
      <c r="I300" s="289">
        <f>+K0kommunestruktur2020altern!I300</f>
        <v>2630</v>
      </c>
      <c r="J300" s="289">
        <f>+K0kommunestruktur2020altern!J300</f>
        <v>55464</v>
      </c>
      <c r="K300" s="289">
        <f>+K0kommunestruktur2020altern!K300</f>
        <v>2616</v>
      </c>
      <c r="L300" s="289">
        <f>+K0kommunestruktur2020altern!L300</f>
        <v>57821</v>
      </c>
      <c r="M300" s="289">
        <f>+K0kommunestruktur2020altern!M300</f>
        <v>2632</v>
      </c>
      <c r="N300" s="289">
        <f>+K0kommunestruktur2020altern!N300</f>
        <v>57477</v>
      </c>
      <c r="O300" s="289">
        <f>+K0kommunestruktur2020altern!O300</f>
        <v>2627</v>
      </c>
      <c r="P300" s="289">
        <f>+K0kommunestruktur2020altern!P300</f>
        <v>60319</v>
      </c>
      <c r="Q300" s="289">
        <f>+'K21'!C300</f>
        <v>2609</v>
      </c>
      <c r="R300" s="289">
        <f>+'K21'!Z300</f>
        <v>70464.293000000005</v>
      </c>
      <c r="S300" s="517"/>
      <c r="T300" s="517"/>
    </row>
    <row r="301" spans="1:20" ht="13">
      <c r="A301" s="755">
        <v>5037</v>
      </c>
      <c r="B301" s="756" t="s">
        <v>150</v>
      </c>
      <c r="C301" s="289">
        <f>+K0kommunestruktur2020altern!C301</f>
        <v>19212</v>
      </c>
      <c r="D301" s="289">
        <f>+K0kommunestruktur2020altern!D301</f>
        <v>379690</v>
      </c>
      <c r="E301" s="289">
        <f>+K0kommunestruktur2020altern!E301</f>
        <v>19474</v>
      </c>
      <c r="F301" s="289">
        <f>+K0kommunestruktur2020altern!F301</f>
        <v>399602</v>
      </c>
      <c r="G301" s="289">
        <f>+K0kommunestruktur2020altern!G301</f>
        <v>19610</v>
      </c>
      <c r="H301" s="289">
        <f>+K0kommunestruktur2020altern!H301</f>
        <v>452141</v>
      </c>
      <c r="I301" s="289">
        <f>+K0kommunestruktur2020altern!I301</f>
        <v>19892</v>
      </c>
      <c r="J301" s="289">
        <f>+K0kommunestruktur2020altern!J301</f>
        <v>467325</v>
      </c>
      <c r="K301" s="289">
        <f>+K0kommunestruktur2020altern!K301</f>
        <v>20115</v>
      </c>
      <c r="L301" s="289">
        <f>+K0kommunestruktur2020altern!L301</f>
        <v>490350</v>
      </c>
      <c r="M301" s="289">
        <f>+K0kommunestruktur2020altern!M301</f>
        <v>20254</v>
      </c>
      <c r="N301" s="289">
        <f>+K0kommunestruktur2020altern!N301</f>
        <v>515645</v>
      </c>
      <c r="O301" s="289">
        <f>+K0kommunestruktur2020altern!O301</f>
        <v>20164</v>
      </c>
      <c r="P301" s="289">
        <f>+K0kommunestruktur2020altern!P301</f>
        <v>509280</v>
      </c>
      <c r="Q301" s="289">
        <f>+'K21'!C301</f>
        <v>20170</v>
      </c>
      <c r="R301" s="289">
        <f>+'K21'!Z301</f>
        <v>582620.89099999995</v>
      </c>
      <c r="S301" s="517"/>
      <c r="T301" s="517"/>
    </row>
    <row r="302" spans="1:20" ht="13">
      <c r="A302" s="755">
        <v>5038</v>
      </c>
      <c r="B302" s="756" t="s">
        <v>151</v>
      </c>
      <c r="C302" s="289">
        <f>+K0kommunestruktur2020altern!C302</f>
        <v>14788</v>
      </c>
      <c r="D302" s="289">
        <f>+K0kommunestruktur2020altern!D302</f>
        <v>279742</v>
      </c>
      <c r="E302" s="289">
        <f>+K0kommunestruktur2020altern!E302</f>
        <v>14809</v>
      </c>
      <c r="F302" s="289">
        <f>+K0kommunestruktur2020altern!F302</f>
        <v>280360</v>
      </c>
      <c r="G302" s="289">
        <f>+K0kommunestruktur2020altern!G302</f>
        <v>14885</v>
      </c>
      <c r="H302" s="289">
        <f>+K0kommunestruktur2020altern!H302</f>
        <v>303298</v>
      </c>
      <c r="I302" s="289">
        <f>+K0kommunestruktur2020altern!I302</f>
        <v>14849</v>
      </c>
      <c r="J302" s="289">
        <f>+K0kommunestruktur2020altern!J302</f>
        <v>319010</v>
      </c>
      <c r="K302" s="289">
        <f>+K0kommunestruktur2020altern!K302</f>
        <v>14943</v>
      </c>
      <c r="L302" s="289">
        <f>+K0kommunestruktur2020altern!L302</f>
        <v>334369</v>
      </c>
      <c r="M302" s="289">
        <f>+K0kommunestruktur2020altern!M302</f>
        <v>14933</v>
      </c>
      <c r="N302" s="289">
        <f>+K0kommunestruktur2020altern!N302</f>
        <v>344409</v>
      </c>
      <c r="O302" s="289">
        <f>+K0kommunestruktur2020altern!O302</f>
        <v>14948</v>
      </c>
      <c r="P302" s="289">
        <f>+K0kommunestruktur2020altern!P302</f>
        <v>346720</v>
      </c>
      <c r="Q302" s="289">
        <f>+'K21'!C302</f>
        <v>14986</v>
      </c>
      <c r="R302" s="289">
        <f>+'K21'!Z302</f>
        <v>400352.47899999999</v>
      </c>
      <c r="S302" s="517"/>
      <c r="T302" s="517"/>
    </row>
    <row r="303" spans="1:20" ht="13">
      <c r="A303" s="755">
        <v>5041</v>
      </c>
      <c r="B303" s="756" t="s">
        <v>156</v>
      </c>
      <c r="C303" s="289">
        <f>+K0kommunestruktur2020altern!C303</f>
        <v>2156</v>
      </c>
      <c r="D303" s="289">
        <f>+K0kommunestruktur2020altern!D303</f>
        <v>37914</v>
      </c>
      <c r="E303" s="289">
        <f>+K0kommunestruktur2020altern!E303</f>
        <v>2153</v>
      </c>
      <c r="F303" s="289">
        <f>+K0kommunestruktur2020altern!F303</f>
        <v>39394</v>
      </c>
      <c r="G303" s="289">
        <f>+K0kommunestruktur2020altern!G303</f>
        <v>2139</v>
      </c>
      <c r="H303" s="289">
        <f>+K0kommunestruktur2020altern!H303</f>
        <v>41094</v>
      </c>
      <c r="I303" s="289">
        <f>+K0kommunestruktur2020altern!I303</f>
        <v>2159</v>
      </c>
      <c r="J303" s="289">
        <f>+K0kommunestruktur2020altern!J303</f>
        <v>43422</v>
      </c>
      <c r="K303" s="289">
        <f>+K0kommunestruktur2020altern!K303</f>
        <v>2094</v>
      </c>
      <c r="L303" s="289">
        <f>+K0kommunestruktur2020altern!L303</f>
        <v>43014</v>
      </c>
      <c r="M303" s="289">
        <f>+K0kommunestruktur2020altern!M303</f>
        <v>2100</v>
      </c>
      <c r="N303" s="289">
        <f>+K0kommunestruktur2020altern!N303</f>
        <v>45037</v>
      </c>
      <c r="O303" s="289">
        <f>+K0kommunestruktur2020altern!O303</f>
        <v>2063</v>
      </c>
      <c r="P303" s="289">
        <f>+K0kommunestruktur2020altern!P303</f>
        <v>45906</v>
      </c>
      <c r="Q303" s="289">
        <f>+'K21'!C303</f>
        <v>2054</v>
      </c>
      <c r="R303" s="289">
        <f>+'K21'!Z303</f>
        <v>51492.535000000003</v>
      </c>
      <c r="S303" s="517"/>
      <c r="T303" s="517"/>
    </row>
    <row r="304" spans="1:20" ht="13">
      <c r="A304" s="755">
        <v>5042</v>
      </c>
      <c r="B304" s="756" t="s">
        <v>157</v>
      </c>
      <c r="C304" s="289">
        <f>+K0kommunestruktur2020altern!C304</f>
        <v>1385</v>
      </c>
      <c r="D304" s="289">
        <f>+K0kommunestruktur2020altern!D304</f>
        <v>30495</v>
      </c>
      <c r="E304" s="289">
        <f>+K0kommunestruktur2020altern!E304</f>
        <v>1394</v>
      </c>
      <c r="F304" s="289">
        <f>+K0kommunestruktur2020altern!F304</f>
        <v>30846</v>
      </c>
      <c r="G304" s="289">
        <f>+K0kommunestruktur2020altern!G304</f>
        <v>1375</v>
      </c>
      <c r="H304" s="289">
        <f>+K0kommunestruktur2020altern!H304</f>
        <v>30134</v>
      </c>
      <c r="I304" s="289">
        <f>+K0kommunestruktur2020altern!I304</f>
        <v>1389</v>
      </c>
      <c r="J304" s="289">
        <f>+K0kommunestruktur2020altern!J304</f>
        <v>30547</v>
      </c>
      <c r="K304" s="289">
        <f>+K0kommunestruktur2020altern!K304</f>
        <v>1379</v>
      </c>
      <c r="L304" s="289">
        <f>+K0kommunestruktur2020altern!L304</f>
        <v>31031</v>
      </c>
      <c r="M304" s="289">
        <f>+K0kommunestruktur2020altern!M304</f>
        <v>1386</v>
      </c>
      <c r="N304" s="289">
        <f>+K0kommunestruktur2020altern!N304</f>
        <v>33722</v>
      </c>
      <c r="O304" s="289">
        <f>+K0kommunestruktur2020altern!O304</f>
        <v>1355</v>
      </c>
      <c r="P304" s="289">
        <f>+K0kommunestruktur2020altern!P304</f>
        <v>33626</v>
      </c>
      <c r="Q304" s="289">
        <f>+'K21'!C304</f>
        <v>1328</v>
      </c>
      <c r="R304" s="289">
        <f>+'K21'!Z304</f>
        <v>35802.779000000002</v>
      </c>
      <c r="S304" s="517"/>
      <c r="T304" s="517"/>
    </row>
    <row r="305" spans="1:20" ht="13">
      <c r="A305" s="755">
        <v>5043</v>
      </c>
      <c r="B305" s="756" t="s">
        <v>164</v>
      </c>
      <c r="C305" s="289">
        <f>+K0kommunestruktur2020altern!C305</f>
        <v>498</v>
      </c>
      <c r="D305" s="289">
        <f>+K0kommunestruktur2020altern!D305</f>
        <v>12548</v>
      </c>
      <c r="E305" s="289">
        <f>+K0kommunestruktur2020altern!E305</f>
        <v>475</v>
      </c>
      <c r="F305" s="289">
        <f>+K0kommunestruktur2020altern!F305</f>
        <v>12235</v>
      </c>
      <c r="G305" s="289">
        <f>+K0kommunestruktur2020altern!G305</f>
        <v>469</v>
      </c>
      <c r="H305" s="289">
        <f>+K0kommunestruktur2020altern!H305</f>
        <v>12455</v>
      </c>
      <c r="I305" s="289">
        <f>+K0kommunestruktur2020altern!I305</f>
        <v>469</v>
      </c>
      <c r="J305" s="289">
        <f>+K0kommunestruktur2020altern!J305</f>
        <v>12378</v>
      </c>
      <c r="K305" s="289">
        <f>+K0kommunestruktur2020altern!K305</f>
        <v>474</v>
      </c>
      <c r="L305" s="289">
        <f>+K0kommunestruktur2020altern!L305</f>
        <v>13341</v>
      </c>
      <c r="M305" s="289">
        <f>+K0kommunestruktur2020altern!M305</f>
        <v>482</v>
      </c>
      <c r="N305" s="289">
        <f>+K0kommunestruktur2020altern!N305</f>
        <v>11848</v>
      </c>
      <c r="O305" s="289">
        <f>+K0kommunestruktur2020altern!O305</f>
        <v>461</v>
      </c>
      <c r="P305" s="289">
        <f>+K0kommunestruktur2020altern!P305</f>
        <v>12059</v>
      </c>
      <c r="Q305" s="289">
        <f>+'K21'!C305</f>
        <v>459</v>
      </c>
      <c r="R305" s="289">
        <f>+'K21'!Z305</f>
        <v>13437.659</v>
      </c>
      <c r="S305" s="517"/>
      <c r="T305" s="517"/>
    </row>
    <row r="306" spans="1:20" ht="13">
      <c r="A306" s="755">
        <v>5044</v>
      </c>
      <c r="B306" s="756" t="s">
        <v>165</v>
      </c>
      <c r="C306" s="289">
        <f>+K0kommunestruktur2020altern!C306</f>
        <v>922</v>
      </c>
      <c r="D306" s="289">
        <f>+K0kommunestruktur2020altern!D306</f>
        <v>25379</v>
      </c>
      <c r="E306" s="289">
        <f>+K0kommunestruktur2020altern!E306</f>
        <v>892</v>
      </c>
      <c r="F306" s="289">
        <f>+K0kommunestruktur2020altern!F306</f>
        <v>25338</v>
      </c>
      <c r="G306" s="289">
        <f>+K0kommunestruktur2020altern!G306</f>
        <v>867</v>
      </c>
      <c r="H306" s="289">
        <f>+K0kommunestruktur2020altern!H306</f>
        <v>27663</v>
      </c>
      <c r="I306" s="289">
        <f>+K0kommunestruktur2020altern!I306</f>
        <v>872</v>
      </c>
      <c r="J306" s="289">
        <f>+K0kommunestruktur2020altern!J306</f>
        <v>27937</v>
      </c>
      <c r="K306" s="289">
        <f>+K0kommunestruktur2020altern!K306</f>
        <v>902</v>
      </c>
      <c r="L306" s="289">
        <f>+K0kommunestruktur2020altern!L306</f>
        <v>29002</v>
      </c>
      <c r="M306" s="289">
        <f>+K0kommunestruktur2020altern!M306</f>
        <v>871</v>
      </c>
      <c r="N306" s="289">
        <f>+K0kommunestruktur2020altern!N306</f>
        <v>29273</v>
      </c>
      <c r="O306" s="289">
        <f>+K0kommunestruktur2020altern!O306</f>
        <v>843</v>
      </c>
      <c r="P306" s="289">
        <f>+K0kommunestruktur2020altern!P306</f>
        <v>28469</v>
      </c>
      <c r="Q306" s="289">
        <f>+'K21'!C306</f>
        <v>846</v>
      </c>
      <c r="R306" s="289">
        <f>+'K21'!Z306</f>
        <v>32661.99</v>
      </c>
      <c r="S306" s="517"/>
      <c r="T306" s="517"/>
    </row>
    <row r="307" spans="1:20" ht="13">
      <c r="A307" s="755">
        <v>5045</v>
      </c>
      <c r="B307" s="756" t="s">
        <v>166</v>
      </c>
      <c r="C307" s="289">
        <f>+K0kommunestruktur2020altern!C307</f>
        <v>2449</v>
      </c>
      <c r="D307" s="289">
        <f>+K0kommunestruktur2020altern!D307</f>
        <v>50196</v>
      </c>
      <c r="E307" s="289">
        <f>+K0kommunestruktur2020altern!E307</f>
        <v>2489</v>
      </c>
      <c r="F307" s="289">
        <f>+K0kommunestruktur2020altern!F307</f>
        <v>52821</v>
      </c>
      <c r="G307" s="289">
        <f>+K0kommunestruktur2020altern!G307</f>
        <v>2466</v>
      </c>
      <c r="H307" s="289">
        <f>+K0kommunestruktur2020altern!H307</f>
        <v>57612</v>
      </c>
      <c r="I307" s="289">
        <f>+K0kommunestruktur2020altern!I307</f>
        <v>2467</v>
      </c>
      <c r="J307" s="289">
        <f>+K0kommunestruktur2020altern!J307</f>
        <v>60456</v>
      </c>
      <c r="K307" s="289">
        <f>+K0kommunestruktur2020altern!K307</f>
        <v>2400</v>
      </c>
      <c r="L307" s="289">
        <f>+K0kommunestruktur2020altern!L307</f>
        <v>62432</v>
      </c>
      <c r="M307" s="289">
        <f>+K0kommunestruktur2020altern!M307</f>
        <v>2374</v>
      </c>
      <c r="N307" s="289">
        <f>+K0kommunestruktur2020altern!N307</f>
        <v>64293</v>
      </c>
      <c r="O307" s="289">
        <f>+K0kommunestruktur2020altern!O307</f>
        <v>2359</v>
      </c>
      <c r="P307" s="289">
        <f>+K0kommunestruktur2020altern!P307</f>
        <v>60632</v>
      </c>
      <c r="Q307" s="289">
        <f>+'K21'!C307</f>
        <v>2347</v>
      </c>
      <c r="R307" s="289">
        <f>+'K21'!Z307</f>
        <v>67677.910999999993</v>
      </c>
      <c r="S307" s="517"/>
      <c r="T307" s="517"/>
    </row>
    <row r="308" spans="1:20" ht="13">
      <c r="A308" s="755">
        <v>5046</v>
      </c>
      <c r="B308" s="756" t="s">
        <v>167</v>
      </c>
      <c r="C308" s="289">
        <f>+K0kommunestruktur2020altern!C308</f>
        <v>1257</v>
      </c>
      <c r="D308" s="289">
        <f>+K0kommunestruktur2020altern!D308</f>
        <v>22187</v>
      </c>
      <c r="E308" s="289">
        <f>+K0kommunestruktur2020altern!E308</f>
        <v>1252</v>
      </c>
      <c r="F308" s="289">
        <f>+K0kommunestruktur2020altern!F308</f>
        <v>23151</v>
      </c>
      <c r="G308" s="289">
        <f>+K0kommunestruktur2020altern!G308</f>
        <v>1250</v>
      </c>
      <c r="H308" s="289">
        <f>+K0kommunestruktur2020altern!H308</f>
        <v>26653</v>
      </c>
      <c r="I308" s="289">
        <f>+K0kommunestruktur2020altern!I308</f>
        <v>1264</v>
      </c>
      <c r="J308" s="289">
        <f>+K0kommunestruktur2020altern!J308</f>
        <v>27648</v>
      </c>
      <c r="K308" s="289">
        <f>+K0kommunestruktur2020altern!K308</f>
        <v>1268</v>
      </c>
      <c r="L308" s="289">
        <f>+K0kommunestruktur2020altern!L308</f>
        <v>26225</v>
      </c>
      <c r="M308" s="289">
        <f>+K0kommunestruktur2020altern!M308</f>
        <v>1254</v>
      </c>
      <c r="N308" s="289">
        <f>+K0kommunestruktur2020altern!N308</f>
        <v>27502</v>
      </c>
      <c r="O308" s="289">
        <f>+K0kommunestruktur2020altern!O308</f>
        <v>1231</v>
      </c>
      <c r="P308" s="289">
        <f>+K0kommunestruktur2020altern!P308</f>
        <v>27461</v>
      </c>
      <c r="Q308" s="289">
        <f>+'K21'!C308</f>
        <v>1215</v>
      </c>
      <c r="R308" s="289">
        <f>+'K21'!Z308</f>
        <v>29339.453000000001</v>
      </c>
      <c r="S308" s="517"/>
      <c r="T308" s="517"/>
    </row>
    <row r="309" spans="1:20" ht="13">
      <c r="A309" s="755">
        <v>5047</v>
      </c>
      <c r="B309" s="756" t="s">
        <v>168</v>
      </c>
      <c r="C309" s="289">
        <f>+K0kommunestruktur2020altern!C309</f>
        <v>3732</v>
      </c>
      <c r="D309" s="289">
        <f>+K0kommunestruktur2020altern!D309</f>
        <v>72891</v>
      </c>
      <c r="E309" s="289">
        <f>+K0kommunestruktur2020altern!E309</f>
        <v>3751</v>
      </c>
      <c r="F309" s="289">
        <f>+K0kommunestruktur2020altern!F309</f>
        <v>75389</v>
      </c>
      <c r="G309" s="289">
        <f>+K0kommunestruktur2020altern!G309</f>
        <v>3825</v>
      </c>
      <c r="H309" s="289">
        <f>+K0kommunestruktur2020altern!H309</f>
        <v>82123</v>
      </c>
      <c r="I309" s="289">
        <f>+K0kommunestruktur2020altern!I309</f>
        <v>3840</v>
      </c>
      <c r="J309" s="289">
        <f>+K0kommunestruktur2020altern!J309</f>
        <v>89306</v>
      </c>
      <c r="K309" s="289">
        <f>+K0kommunestruktur2020altern!K309</f>
        <v>3845</v>
      </c>
      <c r="L309" s="289">
        <f>+K0kommunestruktur2020altern!L309</f>
        <v>93345</v>
      </c>
      <c r="M309" s="289">
        <f>+K0kommunestruktur2020altern!M309</f>
        <v>3879</v>
      </c>
      <c r="N309" s="289">
        <f>+K0kommunestruktur2020altern!N309</f>
        <v>93413</v>
      </c>
      <c r="O309" s="289">
        <f>+K0kommunestruktur2020altern!O309</f>
        <v>3884</v>
      </c>
      <c r="P309" s="289">
        <f>+K0kommunestruktur2020altern!P309</f>
        <v>92418</v>
      </c>
      <c r="Q309" s="289">
        <f>+'K21'!C309</f>
        <v>3865</v>
      </c>
      <c r="R309" s="289">
        <f>+'K21'!Z309</f>
        <v>104067.85</v>
      </c>
      <c r="S309" s="517"/>
      <c r="T309" s="517"/>
    </row>
    <row r="310" spans="1:20" ht="13">
      <c r="A310" s="755">
        <v>5049</v>
      </c>
      <c r="B310" s="756" t="s">
        <v>170</v>
      </c>
      <c r="C310" s="289">
        <f>+K0kommunestruktur2020altern!C310</f>
        <v>1120</v>
      </c>
      <c r="D310" s="289">
        <f>+K0kommunestruktur2020altern!D310</f>
        <v>20942</v>
      </c>
      <c r="E310" s="289">
        <f>+K0kommunestruktur2020altern!E310</f>
        <v>1119</v>
      </c>
      <c r="F310" s="289">
        <f>+K0kommunestruktur2020altern!F310</f>
        <v>23043</v>
      </c>
      <c r="G310" s="289">
        <f>+K0kommunestruktur2020altern!G310</f>
        <v>1103</v>
      </c>
      <c r="H310" s="289">
        <f>+K0kommunestruktur2020altern!H310</f>
        <v>26366</v>
      </c>
      <c r="I310" s="289">
        <f>+K0kommunestruktur2020altern!I310</f>
        <v>1090</v>
      </c>
      <c r="J310" s="289">
        <f>+K0kommunestruktur2020altern!J310</f>
        <v>26376</v>
      </c>
      <c r="K310" s="289">
        <f>+K0kommunestruktur2020altern!K310</f>
        <v>1105</v>
      </c>
      <c r="L310" s="289">
        <f>+K0kommunestruktur2020altern!L310</f>
        <v>29062</v>
      </c>
      <c r="M310" s="289">
        <f>+K0kommunestruktur2020altern!M310</f>
        <v>1103</v>
      </c>
      <c r="N310" s="289">
        <f>+K0kommunestruktur2020altern!N310</f>
        <v>32722</v>
      </c>
      <c r="O310" s="289">
        <f>+K0kommunestruktur2020altern!O310</f>
        <v>1103</v>
      </c>
      <c r="P310" s="289">
        <f>+K0kommunestruktur2020altern!P310</f>
        <v>41284</v>
      </c>
      <c r="Q310" s="289">
        <f>+'K21'!C310</f>
        <v>1100</v>
      </c>
      <c r="R310" s="289">
        <f>+'K21'!Z310</f>
        <v>42474.544000000002</v>
      </c>
      <c r="S310" s="517"/>
      <c r="T310" s="517"/>
    </row>
    <row r="311" spans="1:20" ht="13">
      <c r="A311" s="755">
        <v>5052</v>
      </c>
      <c r="B311" s="756" t="s">
        <v>173</v>
      </c>
      <c r="C311" s="289">
        <f>+K0kommunestruktur2020altern!C311</f>
        <v>556</v>
      </c>
      <c r="D311" s="289">
        <f>+K0kommunestruktur2020altern!D311</f>
        <v>9934</v>
      </c>
      <c r="E311" s="289">
        <f>+K0kommunestruktur2020altern!E311</f>
        <v>574</v>
      </c>
      <c r="F311" s="289">
        <f>+K0kommunestruktur2020altern!F311</f>
        <v>10708</v>
      </c>
      <c r="G311" s="289">
        <f>+K0kommunestruktur2020altern!G311</f>
        <v>562</v>
      </c>
      <c r="H311" s="289">
        <f>+K0kommunestruktur2020altern!H311</f>
        <v>11579</v>
      </c>
      <c r="I311" s="289">
        <f>+K0kommunestruktur2020altern!I311</f>
        <v>584</v>
      </c>
      <c r="J311" s="289">
        <f>+K0kommunestruktur2020altern!J311</f>
        <v>12951</v>
      </c>
      <c r="K311" s="289">
        <f>+K0kommunestruktur2020altern!K311</f>
        <v>582</v>
      </c>
      <c r="L311" s="289">
        <f>+K0kommunestruktur2020altern!L311</f>
        <v>13678</v>
      </c>
      <c r="M311" s="289">
        <f>+K0kommunestruktur2020altern!M311</f>
        <v>567</v>
      </c>
      <c r="N311" s="289">
        <f>+K0kommunestruktur2020altern!N311</f>
        <v>13553</v>
      </c>
      <c r="O311" s="289">
        <f>+K0kommunestruktur2020altern!O311</f>
        <v>557</v>
      </c>
      <c r="P311" s="289">
        <f>+K0kommunestruktur2020altern!P311</f>
        <v>13835</v>
      </c>
      <c r="Q311" s="289">
        <f>+'K21'!C311</f>
        <v>563</v>
      </c>
      <c r="R311" s="289">
        <f>+'K21'!Z311</f>
        <v>16669.456999999999</v>
      </c>
      <c r="S311" s="517"/>
      <c r="T311" s="517"/>
    </row>
    <row r="312" spans="1:20" ht="13">
      <c r="A312" s="755">
        <v>5053</v>
      </c>
      <c r="B312" s="756" t="s">
        <v>155</v>
      </c>
      <c r="C312" s="289">
        <f>+K0kommunestruktur2020altern!C312</f>
        <v>6720</v>
      </c>
      <c r="D312" s="289">
        <f>+K0kommunestruktur2020altern!D312</f>
        <v>126853</v>
      </c>
      <c r="E312" s="289">
        <f>+K0kommunestruktur2020altern!E312</f>
        <v>6770</v>
      </c>
      <c r="F312" s="289">
        <f>+K0kommunestruktur2020altern!F312</f>
        <v>138028</v>
      </c>
      <c r="G312" s="289">
        <f>+K0kommunestruktur2020altern!G312</f>
        <v>6769</v>
      </c>
      <c r="H312" s="289">
        <f>+K0kommunestruktur2020altern!H312</f>
        <v>148799</v>
      </c>
      <c r="I312" s="289">
        <f>+K0kommunestruktur2020altern!I312</f>
        <v>6800</v>
      </c>
      <c r="J312" s="289">
        <f>+K0kommunestruktur2020altern!J312</f>
        <v>153528</v>
      </c>
      <c r="K312" s="289">
        <f>+K0kommunestruktur2020altern!K312</f>
        <v>6785</v>
      </c>
      <c r="L312" s="289">
        <f>+K0kommunestruktur2020altern!L312</f>
        <v>157899</v>
      </c>
      <c r="M312" s="289">
        <f>+K0kommunestruktur2020altern!M312</f>
        <v>6804</v>
      </c>
      <c r="N312" s="289">
        <f>+K0kommunestruktur2020altern!N312</f>
        <v>163239</v>
      </c>
      <c r="O312" s="289">
        <f>+K0kommunestruktur2020altern!O312</f>
        <v>6816</v>
      </c>
      <c r="P312" s="289">
        <f>+K0kommunestruktur2020altern!P312</f>
        <v>166507</v>
      </c>
      <c r="Q312" s="289">
        <f>+'K21'!C312</f>
        <v>6764</v>
      </c>
      <c r="R312" s="289">
        <f>+'K21'!Z312</f>
        <v>193708.14199999999</v>
      </c>
      <c r="S312" s="517"/>
      <c r="T312" s="517"/>
    </row>
    <row r="313" spans="1:20" ht="13">
      <c r="A313" s="755">
        <v>5054</v>
      </c>
      <c r="B313" s="756" t="s">
        <v>1234</v>
      </c>
      <c r="C313" s="289">
        <f>+K0kommunestruktur2020altern!C313</f>
        <v>10271.09146590445</v>
      </c>
      <c r="D313" s="289">
        <f>+K0kommunestruktur2020altern!D313</f>
        <v>182843.86076725193</v>
      </c>
      <c r="E313" s="289">
        <f>+K0kommunestruktur2020altern!E313</f>
        <v>10251.681094324214</v>
      </c>
      <c r="F313" s="289">
        <f>+K0kommunestruktur2020altern!F313</f>
        <v>193264.09294242549</v>
      </c>
      <c r="G313" s="289">
        <f>+K0kommunestruktur2020altern!G313</f>
        <v>10244.133932217232</v>
      </c>
      <c r="H313" s="289">
        <f>+K0kommunestruktur2020altern!H313</f>
        <v>207087.44946508779</v>
      </c>
      <c r="I313" s="289">
        <f>+K0kommunestruktur2020altern!I313</f>
        <v>10176.805634953042</v>
      </c>
      <c r="J313" s="289">
        <f>+K0kommunestruktur2020altern!J313</f>
        <v>217601.52543160474</v>
      </c>
      <c r="K313" s="289">
        <f>+K0kommunestruktur2020altern!K313</f>
        <v>10157.656594528378</v>
      </c>
      <c r="L313" s="289">
        <f>+K0kommunestruktur2020altern!L313</f>
        <v>229275.35647202941</v>
      </c>
      <c r="M313" s="289">
        <f>+K0kommunestruktur2020altern!M313</f>
        <v>10055</v>
      </c>
      <c r="N313" s="289">
        <f>+K0kommunestruktur2020altern!N313</f>
        <v>233250.36953858717</v>
      </c>
      <c r="O313" s="289">
        <f>+K0kommunestruktur2020altern!O313</f>
        <v>10084</v>
      </c>
      <c r="P313" s="289">
        <f>+K0kommunestruktur2020altern!P313</f>
        <v>228796</v>
      </c>
      <c r="Q313" s="289">
        <f>+'K21'!C313</f>
        <v>9948</v>
      </c>
      <c r="R313" s="289">
        <f>+'K21'!Z313</f>
        <v>256343.16699999999</v>
      </c>
      <c r="S313" s="517"/>
      <c r="T313" s="517"/>
    </row>
    <row r="314" spans="1:20" ht="13">
      <c r="A314" s="755">
        <v>5055</v>
      </c>
      <c r="B314" s="756" t="s">
        <v>1642</v>
      </c>
      <c r="C314" s="289">
        <f>+K0kommunestruktur2020altern!C314</f>
        <v>6009.0440440440443</v>
      </c>
      <c r="D314" s="289">
        <f>+K0kommunestruktur2020altern!D314</f>
        <v>126281.23223223223</v>
      </c>
      <c r="E314" s="289">
        <f>+K0kommunestruktur2020altern!E314</f>
        <v>6021.4604604604601</v>
      </c>
      <c r="F314" s="289">
        <f>+K0kommunestruktur2020altern!F314</f>
        <v>127238.24124124124</v>
      </c>
      <c r="G314" s="289">
        <f>+K0kommunestruktur2020altern!G314</f>
        <v>6010.6276276276276</v>
      </c>
      <c r="H314" s="289">
        <f>+K0kommunestruktur2020altern!H314</f>
        <v>137087.35835835835</v>
      </c>
      <c r="I314" s="289">
        <f>+K0kommunestruktur2020altern!I314</f>
        <v>6062.4604604604601</v>
      </c>
      <c r="J314" s="289">
        <f>+K0kommunestruktur2020altern!J314</f>
        <v>144857.22822822822</v>
      </c>
      <c r="K314" s="289">
        <f>+K0kommunestruktur2020altern!K314</f>
        <v>6001.5015015015015</v>
      </c>
      <c r="L314" s="289">
        <f>+K0kommunestruktur2020altern!L314</f>
        <v>153172.37637637637</v>
      </c>
      <c r="M314" s="289">
        <f>+K0kommunestruktur2020altern!M314</f>
        <v>6010</v>
      </c>
      <c r="N314" s="289">
        <f>+K0kommunestruktur2020altern!N314</f>
        <v>163996.97697697696</v>
      </c>
      <c r="O314" s="289">
        <f>+K0kommunestruktur2020altern!O314</f>
        <v>5963</v>
      </c>
      <c r="P314" s="289">
        <f>+K0kommunestruktur2020altern!P314</f>
        <v>158118</v>
      </c>
      <c r="Q314" s="289">
        <f>+'K21'!C314</f>
        <v>5941</v>
      </c>
      <c r="R314" s="289">
        <f>+'K21'!Z314</f>
        <v>176810.02900000001</v>
      </c>
      <c r="S314" s="517"/>
      <c r="T314" s="517"/>
    </row>
    <row r="315" spans="1:20" ht="13">
      <c r="A315" s="755">
        <v>5056</v>
      </c>
      <c r="B315" s="756" t="s">
        <v>1643</v>
      </c>
      <c r="C315" s="289">
        <f>+K0kommunestruktur2020altern!C315</f>
        <v>4839.8378378378375</v>
      </c>
      <c r="D315" s="289">
        <f>+K0kommunestruktur2020altern!D315</f>
        <v>96229.054054054053</v>
      </c>
      <c r="E315" s="289">
        <f>+K0kommunestruktur2020altern!E315</f>
        <v>4887.4864864864867</v>
      </c>
      <c r="F315" s="289">
        <f>+K0kommunestruktur2020altern!F315</f>
        <v>104673.70270270271</v>
      </c>
      <c r="G315" s="289">
        <f>+K0kommunestruktur2020altern!G315</f>
        <v>4939.1891891891892</v>
      </c>
      <c r="H315" s="289">
        <f>+K0kommunestruktur2020altern!H315</f>
        <v>113604.13513513513</v>
      </c>
      <c r="I315" s="289">
        <f>+K0kommunestruktur2020altern!I315</f>
        <v>4977.4864864864867</v>
      </c>
      <c r="J315" s="289">
        <f>+K0kommunestruktur2020altern!J315</f>
        <v>120301.43243243243</v>
      </c>
      <c r="K315" s="289">
        <f>+K0kommunestruktur2020altern!K315</f>
        <v>4968.1081081081084</v>
      </c>
      <c r="L315" s="289">
        <f>+K0kommunestruktur2020altern!L315</f>
        <v>123056.43243243243</v>
      </c>
      <c r="M315" s="289">
        <f>+K0kommunestruktur2020altern!M315</f>
        <v>5018</v>
      </c>
      <c r="N315" s="289">
        <f>+K0kommunestruktur2020altern!N315</f>
        <v>131903.67567567568</v>
      </c>
      <c r="O315" s="289">
        <f>+K0kommunestruktur2020altern!O315</f>
        <v>5050</v>
      </c>
      <c r="P315" s="289">
        <f>+K0kommunestruktur2020altern!P315</f>
        <v>145800</v>
      </c>
      <c r="Q315" s="289">
        <f>+'K21'!C315</f>
        <v>5140</v>
      </c>
      <c r="R315" s="289">
        <f>+'K21'!Z315</f>
        <v>161475.802</v>
      </c>
      <c r="S315" s="517"/>
      <c r="T315" s="517"/>
    </row>
    <row r="316" spans="1:20" ht="13">
      <c r="A316" s="755">
        <v>5057</v>
      </c>
      <c r="B316" s="756" t="s">
        <v>1644</v>
      </c>
      <c r="C316" s="289">
        <f>+K0kommunestruktur2020altern!C316</f>
        <v>9875</v>
      </c>
      <c r="D316" s="289">
        <f>+K0kommunestruktur2020altern!D316</f>
        <v>186904</v>
      </c>
      <c r="E316" s="289">
        <f>+K0kommunestruktur2020altern!E316</f>
        <v>9898</v>
      </c>
      <c r="F316" s="289">
        <f>+K0kommunestruktur2020altern!F316</f>
        <v>204730</v>
      </c>
      <c r="G316" s="289">
        <f>+K0kommunestruktur2020altern!G316</f>
        <v>9988</v>
      </c>
      <c r="H316" s="289">
        <f>+K0kommunestruktur2020altern!H316</f>
        <v>218140</v>
      </c>
      <c r="I316" s="289">
        <f>+K0kommunestruktur2020altern!I316</f>
        <v>10113</v>
      </c>
      <c r="J316" s="289">
        <f>+K0kommunestruktur2020altern!J316</f>
        <v>233349</v>
      </c>
      <c r="K316" s="289">
        <f>+K0kommunestruktur2020altern!K316</f>
        <v>10215</v>
      </c>
      <c r="L316" s="289">
        <f>+K0kommunestruktur2020altern!L316</f>
        <v>252402</v>
      </c>
      <c r="M316" s="289">
        <f>+K0kommunestruktur2020altern!M316</f>
        <v>10238</v>
      </c>
      <c r="N316" s="289">
        <f>+K0kommunestruktur2020altern!N316</f>
        <v>261440</v>
      </c>
      <c r="O316" s="289">
        <f>+K0kommunestruktur2020altern!O316</f>
        <v>10323</v>
      </c>
      <c r="P316" s="289">
        <f>+K0kommunestruktur2020altern!P316</f>
        <v>254501</v>
      </c>
      <c r="Q316" s="289">
        <f>+'K21'!C316</f>
        <v>10306</v>
      </c>
      <c r="R316" s="289">
        <f>+'K21'!Z316</f>
        <v>300234.18099999998</v>
      </c>
      <c r="S316" s="517"/>
      <c r="T316" s="517"/>
    </row>
    <row r="317" spans="1:20" ht="13">
      <c r="A317" s="755">
        <v>5058</v>
      </c>
      <c r="B317" s="756" t="s">
        <v>1645</v>
      </c>
      <c r="C317" s="289">
        <f>+K0kommunestruktur2020altern!C317</f>
        <v>4228</v>
      </c>
      <c r="D317" s="289">
        <f>+K0kommunestruktur2020altern!D317</f>
        <v>78911</v>
      </c>
      <c r="E317" s="289">
        <f>+K0kommunestruktur2020altern!E317</f>
        <v>4225</v>
      </c>
      <c r="F317" s="289">
        <f>+K0kommunestruktur2020altern!F317</f>
        <v>86982</v>
      </c>
      <c r="G317" s="289">
        <f>+K0kommunestruktur2020altern!G317</f>
        <v>4233</v>
      </c>
      <c r="H317" s="289">
        <f>+K0kommunestruktur2020altern!H317</f>
        <v>91758</v>
      </c>
      <c r="I317" s="289">
        <f>+K0kommunestruktur2020altern!I317</f>
        <v>4222</v>
      </c>
      <c r="J317" s="289">
        <f>+K0kommunestruktur2020altern!J317</f>
        <v>98377</v>
      </c>
      <c r="K317" s="289">
        <f>+K0kommunestruktur2020altern!K317</f>
        <v>4230</v>
      </c>
      <c r="L317" s="289">
        <f>+K0kommunestruktur2020altern!L317</f>
        <v>105726</v>
      </c>
      <c r="M317" s="289">
        <f>+K0kommunestruktur2020altern!M317</f>
        <v>4297</v>
      </c>
      <c r="N317" s="289">
        <f>+K0kommunestruktur2020altern!N317</f>
        <v>112012</v>
      </c>
      <c r="O317" s="289">
        <f>+K0kommunestruktur2020altern!O317</f>
        <v>4288</v>
      </c>
      <c r="P317" s="289">
        <f>+K0kommunestruktur2020altern!P317</f>
        <v>115391</v>
      </c>
      <c r="Q317" s="289">
        <f>+'K21'!C317</f>
        <v>4271</v>
      </c>
      <c r="R317" s="289">
        <f>+'K21'!Z317</f>
        <v>129736.989</v>
      </c>
      <c r="S317" s="517"/>
      <c r="T317" s="517"/>
    </row>
    <row r="318" spans="1:20" ht="13">
      <c r="A318" s="755">
        <v>5059</v>
      </c>
      <c r="B318" s="756" t="s">
        <v>1646</v>
      </c>
      <c r="C318" s="289">
        <f>+K0kommunestruktur2020altern!C318</f>
        <v>17792.118118118116</v>
      </c>
      <c r="D318" s="289">
        <f>+K0kommunestruktur2020altern!D318</f>
        <v>348805.71371371369</v>
      </c>
      <c r="E318" s="289">
        <f>+K0kommunestruktur2020altern!E318</f>
        <v>17918.053053053052</v>
      </c>
      <c r="F318" s="289">
        <f>+K0kommunestruktur2020altern!F318</f>
        <v>368963.05605605606</v>
      </c>
      <c r="G318" s="289">
        <f>+K0kommunestruktur2020altern!G318</f>
        <v>17923.183183183184</v>
      </c>
      <c r="H318" s="289">
        <f>+K0kommunestruktur2020altern!H318</f>
        <v>404094.50650650653</v>
      </c>
      <c r="I318" s="289">
        <f>+K0kommunestruktur2020altern!I318</f>
        <v>18021.053053053052</v>
      </c>
      <c r="J318" s="289">
        <f>+K0kommunestruktur2020altern!J318</f>
        <v>417935.33933933935</v>
      </c>
      <c r="K318" s="289">
        <f>+K0kommunestruktur2020altern!K318</f>
        <v>18008.390390390392</v>
      </c>
      <c r="L318" s="289">
        <f>+K0kommunestruktur2020altern!L318</f>
        <v>426122.1911911912</v>
      </c>
      <c r="M318" s="289">
        <f>+K0kommunestruktur2020altern!M318</f>
        <v>18151</v>
      </c>
      <c r="N318" s="289">
        <f>+K0kommunestruktur2020altern!N318</f>
        <v>456741.34734734736</v>
      </c>
      <c r="O318" s="289">
        <f>+K0kommunestruktur2020altern!O318</f>
        <v>18217</v>
      </c>
      <c r="P318" s="289">
        <f>+K0kommunestruktur2020altern!P318</f>
        <v>444283</v>
      </c>
      <c r="Q318" s="289">
        <f>+'K21'!C318</f>
        <v>18300</v>
      </c>
      <c r="R318" s="289">
        <f>+'K21'!Z318</f>
        <v>508653.462</v>
      </c>
      <c r="S318" s="517"/>
      <c r="T318" s="517"/>
    </row>
    <row r="319" spans="1:20" ht="13">
      <c r="A319" s="755">
        <v>5060</v>
      </c>
      <c r="B319" s="756" t="s">
        <v>1647</v>
      </c>
      <c r="C319" s="289">
        <f>+K0kommunestruktur2020altern!C319</f>
        <v>9334.0804416403789</v>
      </c>
      <c r="D319" s="289">
        <f>+K0kommunestruktur2020altern!D319</f>
        <v>183449.36947949528</v>
      </c>
      <c r="E319" s="289">
        <f>+K0kommunestruktur2020altern!E319</f>
        <v>9392.9095031545748</v>
      </c>
      <c r="F319" s="289">
        <f>+K0kommunestruktur2020altern!F319</f>
        <v>193576.44282334385</v>
      </c>
      <c r="G319" s="289">
        <f>+K0kommunestruktur2020altern!G319</f>
        <v>9461.4570189274455</v>
      </c>
      <c r="H319" s="289">
        <f>+K0kommunestruktur2020altern!H319</f>
        <v>216631.7902208202</v>
      </c>
      <c r="I319" s="289">
        <f>+K0kommunestruktur2020altern!I319</f>
        <v>9504.3363564668762</v>
      </c>
      <c r="J319" s="289">
        <f>+K0kommunestruktur2020altern!J319</f>
        <v>230585.59108832807</v>
      </c>
      <c r="K319" s="289">
        <f>+K0kommunestruktur2020altern!K319</f>
        <v>9557.5475157728706</v>
      </c>
      <c r="L319" s="289">
        <f>+K0kommunestruktur2020altern!L319</f>
        <v>251486.80481072556</v>
      </c>
      <c r="M319" s="289">
        <f>+K0kommunestruktur2020altern!M319</f>
        <v>9599</v>
      </c>
      <c r="N319" s="289">
        <f>+K0kommunestruktur2020altern!N319</f>
        <v>273993.3464116719</v>
      </c>
      <c r="O319" s="289">
        <f>+K0kommunestruktur2020altern!O319</f>
        <v>9623</v>
      </c>
      <c r="P319" s="289">
        <f>+K0kommunestruktur2020altern!P319</f>
        <v>278061</v>
      </c>
      <c r="Q319" s="289">
        <f>+'K21'!C319</f>
        <v>9581</v>
      </c>
      <c r="R319" s="289">
        <f>+'K21'!Z319</f>
        <v>331249.3</v>
      </c>
      <c r="S319" s="517"/>
      <c r="T319" s="517"/>
    </row>
    <row r="320" spans="1:20" ht="13">
      <c r="A320" s="755">
        <v>5061</v>
      </c>
      <c r="B320" s="756" t="s">
        <v>114</v>
      </c>
      <c r="C320" s="289">
        <f>+K0kommunestruktur2020altern!C320</f>
        <v>2046</v>
      </c>
      <c r="D320" s="289">
        <f>+K0kommunestruktur2020altern!D320</f>
        <v>42351</v>
      </c>
      <c r="E320" s="289">
        <f>+K0kommunestruktur2020altern!E320</f>
        <v>2038</v>
      </c>
      <c r="F320" s="289">
        <f>+K0kommunestruktur2020altern!F320</f>
        <v>43842</v>
      </c>
      <c r="G320" s="289">
        <f>+K0kommunestruktur2020altern!G320</f>
        <v>2036</v>
      </c>
      <c r="H320" s="289">
        <f>+K0kommunestruktur2020altern!H320</f>
        <v>45245</v>
      </c>
      <c r="I320" s="289">
        <f>+K0kommunestruktur2020altern!I320</f>
        <v>2026</v>
      </c>
      <c r="J320" s="289">
        <f>+K0kommunestruktur2020altern!J320</f>
        <v>47427</v>
      </c>
      <c r="K320" s="289">
        <f>+K0kommunestruktur2020altern!K320</f>
        <v>2039</v>
      </c>
      <c r="L320" s="289">
        <f>+K0kommunestruktur2020altern!L320</f>
        <v>50708</v>
      </c>
      <c r="M320" s="289">
        <f>+K0kommunestruktur2020altern!M320</f>
        <v>2028</v>
      </c>
      <c r="N320" s="289">
        <f>+K0kommunestruktur2020altern!N320</f>
        <v>50159</v>
      </c>
      <c r="O320" s="289">
        <f>+K0kommunestruktur2020altern!O320</f>
        <v>2003</v>
      </c>
      <c r="P320" s="289">
        <f>+K0kommunestruktur2020altern!P320</f>
        <v>48517</v>
      </c>
      <c r="Q320" s="289">
        <f>+'K21'!C320</f>
        <v>1989</v>
      </c>
      <c r="R320" s="289">
        <f>+'K21'!Z320</f>
        <v>53745.877</v>
      </c>
      <c r="S320" s="517"/>
      <c r="T320" s="517"/>
    </row>
    <row r="321" spans="1:20" ht="13">
      <c r="A321" s="755">
        <v>5401</v>
      </c>
      <c r="B321" s="756" t="s">
        <v>217</v>
      </c>
      <c r="C321" s="289">
        <f>+K0kommunestruktur2020altern!C321</f>
        <v>71590</v>
      </c>
      <c r="D321" s="289">
        <f>+K0kommunestruktur2020altern!D321</f>
        <v>1698963</v>
      </c>
      <c r="E321" s="289">
        <f>+K0kommunestruktur2020altern!E321</f>
        <v>72681</v>
      </c>
      <c r="F321" s="289">
        <f>+K0kommunestruktur2020altern!F321</f>
        <v>1840079</v>
      </c>
      <c r="G321" s="289">
        <f>+K0kommunestruktur2020altern!G321</f>
        <v>73480</v>
      </c>
      <c r="H321" s="289">
        <f>+K0kommunestruktur2020altern!H321</f>
        <v>2034480</v>
      </c>
      <c r="I321" s="289">
        <f>+K0kommunestruktur2020altern!I321</f>
        <v>74541</v>
      </c>
      <c r="J321" s="289">
        <f>+K0kommunestruktur2020altern!J321</f>
        <v>2166065</v>
      </c>
      <c r="K321" s="289">
        <f>+K0kommunestruktur2020altern!K321</f>
        <v>75638</v>
      </c>
      <c r="L321" s="289">
        <f>+K0kommunestruktur2020altern!L321</f>
        <v>2296830</v>
      </c>
      <c r="M321" s="289">
        <f>+K0kommunestruktur2020altern!M321</f>
        <v>76649</v>
      </c>
      <c r="N321" s="289">
        <f>+K0kommunestruktur2020altern!N321</f>
        <v>2383917</v>
      </c>
      <c r="O321" s="289">
        <f>+K0kommunestruktur2020altern!O321</f>
        <v>76974</v>
      </c>
      <c r="P321" s="289">
        <f>+K0kommunestruktur2020altern!P321</f>
        <v>2351318</v>
      </c>
      <c r="Q321" s="289">
        <f>+'K21'!C321</f>
        <v>77095</v>
      </c>
      <c r="R321" s="289">
        <f>+'K21'!Z321</f>
        <v>2721310.3429999999</v>
      </c>
      <c r="S321" s="517"/>
      <c r="T321" s="517"/>
    </row>
    <row r="322" spans="1:20" ht="13">
      <c r="A322" s="755">
        <v>5402</v>
      </c>
      <c r="B322" s="756" t="s">
        <v>216</v>
      </c>
      <c r="C322" s="289">
        <f>+K0kommunestruktur2020altern!C322</f>
        <v>24441</v>
      </c>
      <c r="D322" s="289">
        <f>+K0kommunestruktur2020altern!D322</f>
        <v>531842</v>
      </c>
      <c r="E322" s="289">
        <f>+K0kommunestruktur2020altern!E322</f>
        <v>24676</v>
      </c>
      <c r="F322" s="289">
        <f>+K0kommunestruktur2020altern!F322</f>
        <v>581441</v>
      </c>
      <c r="G322" s="289">
        <f>+K0kommunestruktur2020altern!G322</f>
        <v>24695</v>
      </c>
      <c r="H322" s="289">
        <f>+K0kommunestruktur2020altern!H322</f>
        <v>623987</v>
      </c>
      <c r="I322" s="289">
        <f>+K0kommunestruktur2020altern!I322</f>
        <v>24845</v>
      </c>
      <c r="J322" s="289">
        <f>+K0kommunestruktur2020altern!J322</f>
        <v>647002</v>
      </c>
      <c r="K322" s="289">
        <f>+K0kommunestruktur2020altern!K322</f>
        <v>24820</v>
      </c>
      <c r="L322" s="289">
        <f>+K0kommunestruktur2020altern!L322</f>
        <v>674405</v>
      </c>
      <c r="M322" s="289">
        <f>+K0kommunestruktur2020altern!M322</f>
        <v>24827</v>
      </c>
      <c r="N322" s="289">
        <f>+K0kommunestruktur2020altern!N322</f>
        <v>691142</v>
      </c>
      <c r="O322" s="289">
        <f>+K0kommunestruktur2020altern!O322</f>
        <v>24703</v>
      </c>
      <c r="P322" s="289">
        <f>+K0kommunestruktur2020altern!P322</f>
        <v>665390</v>
      </c>
      <c r="Q322" s="289">
        <f>+'K21'!C322</f>
        <v>24738</v>
      </c>
      <c r="R322" s="289">
        <f>+'K21'!Z322</f>
        <v>765812.473</v>
      </c>
      <c r="S322" s="517"/>
      <c r="T322" s="517"/>
    </row>
    <row r="323" spans="1:20" ht="13">
      <c r="A323" s="755">
        <v>5403</v>
      </c>
      <c r="B323" s="756" t="s">
        <v>245</v>
      </c>
      <c r="C323" s="289">
        <f>+K0kommunestruktur2020altern!C323</f>
        <v>19822</v>
      </c>
      <c r="D323" s="289">
        <f>+K0kommunestruktur2020altern!D323</f>
        <v>392331</v>
      </c>
      <c r="E323" s="289">
        <f>+K0kommunestruktur2020altern!E323</f>
        <v>19898</v>
      </c>
      <c r="F323" s="289">
        <f>+K0kommunestruktur2020altern!F323</f>
        <v>425132</v>
      </c>
      <c r="G323" s="289">
        <f>+K0kommunestruktur2020altern!G323</f>
        <v>20097</v>
      </c>
      <c r="H323" s="289">
        <f>+K0kommunestruktur2020altern!H323</f>
        <v>470693</v>
      </c>
      <c r="I323" s="289">
        <f>+K0kommunestruktur2020altern!I323</f>
        <v>20446</v>
      </c>
      <c r="J323" s="289">
        <f>+K0kommunestruktur2020altern!J323</f>
        <v>505393</v>
      </c>
      <c r="K323" s="289">
        <f>+K0kommunestruktur2020altern!K323</f>
        <v>20635</v>
      </c>
      <c r="L323" s="289">
        <f>+K0kommunestruktur2020altern!L323</f>
        <v>542406</v>
      </c>
      <c r="M323" s="289">
        <f>+K0kommunestruktur2020altern!M323</f>
        <v>20665</v>
      </c>
      <c r="N323" s="289">
        <f>+K0kommunestruktur2020altern!N323</f>
        <v>568373</v>
      </c>
      <c r="O323" s="289">
        <f>+K0kommunestruktur2020altern!O323</f>
        <v>20789</v>
      </c>
      <c r="P323" s="289">
        <f>+K0kommunestruktur2020altern!P323</f>
        <v>564534</v>
      </c>
      <c r="Q323" s="289">
        <f>+'K21'!C323</f>
        <v>20847</v>
      </c>
      <c r="R323" s="289">
        <f>+'K21'!Z323</f>
        <v>641505.68799999997</v>
      </c>
      <c r="S323" s="517"/>
      <c r="T323" s="517"/>
    </row>
    <row r="324" spans="1:20" ht="13">
      <c r="A324" s="755">
        <v>5404</v>
      </c>
      <c r="B324" s="756" t="s">
        <v>241</v>
      </c>
      <c r="C324" s="289">
        <f>+K0kommunestruktur2020altern!C324</f>
        <v>2119</v>
      </c>
      <c r="D324" s="289">
        <f>+K0kommunestruktur2020altern!D324</f>
        <v>39140</v>
      </c>
      <c r="E324" s="289">
        <f>+K0kommunestruktur2020altern!E324</f>
        <v>2128</v>
      </c>
      <c r="F324" s="289">
        <f>+K0kommunestruktur2020altern!F324</f>
        <v>41735</v>
      </c>
      <c r="G324" s="289">
        <f>+K0kommunestruktur2020altern!G324</f>
        <v>2137</v>
      </c>
      <c r="H324" s="289">
        <f>+K0kommunestruktur2020altern!H324</f>
        <v>46439</v>
      </c>
      <c r="I324" s="289">
        <f>+K0kommunestruktur2020altern!I324</f>
        <v>2104</v>
      </c>
      <c r="J324" s="289">
        <f>+K0kommunestruktur2020altern!J324</f>
        <v>46940</v>
      </c>
      <c r="K324" s="289">
        <f>+K0kommunestruktur2020altern!K324</f>
        <v>2110</v>
      </c>
      <c r="L324" s="289">
        <f>+K0kommunestruktur2020altern!L324</f>
        <v>46676</v>
      </c>
      <c r="M324" s="289">
        <f>+K0kommunestruktur2020altern!M324</f>
        <v>2081</v>
      </c>
      <c r="N324" s="289">
        <f>+K0kommunestruktur2020altern!N324</f>
        <v>47631</v>
      </c>
      <c r="O324" s="289">
        <f>+K0kommunestruktur2020altern!O324</f>
        <v>2029</v>
      </c>
      <c r="P324" s="289">
        <f>+K0kommunestruktur2020altern!P324</f>
        <v>45266</v>
      </c>
      <c r="Q324" s="289">
        <f>+'K21'!C324</f>
        <v>1959</v>
      </c>
      <c r="R324" s="289">
        <f>+'K21'!Z324</f>
        <v>50390.915000000001</v>
      </c>
      <c r="S324" s="517"/>
      <c r="T324" s="517"/>
    </row>
    <row r="325" spans="1:20" ht="13">
      <c r="A325" s="755">
        <v>5405</v>
      </c>
      <c r="B325" s="756" t="s">
        <v>242</v>
      </c>
      <c r="C325" s="289">
        <f>+K0kommunestruktur2020altern!C325</f>
        <v>6223</v>
      </c>
      <c r="D325" s="289">
        <f>+K0kommunestruktur2020altern!D325</f>
        <v>128264</v>
      </c>
      <c r="E325" s="289">
        <f>+K0kommunestruktur2020altern!E325</f>
        <v>6239</v>
      </c>
      <c r="F325" s="289">
        <f>+K0kommunestruktur2020altern!F325</f>
        <v>135985</v>
      </c>
      <c r="G325" s="289">
        <f>+K0kommunestruktur2020altern!G325</f>
        <v>6160</v>
      </c>
      <c r="H325" s="289">
        <f>+K0kommunestruktur2020altern!H325</f>
        <v>143163</v>
      </c>
      <c r="I325" s="289">
        <f>+K0kommunestruktur2020altern!I325</f>
        <v>6154</v>
      </c>
      <c r="J325" s="289">
        <f>+K0kommunestruktur2020altern!J325</f>
        <v>148082</v>
      </c>
      <c r="K325" s="289">
        <f>+K0kommunestruktur2020altern!K325</f>
        <v>6033</v>
      </c>
      <c r="L325" s="289">
        <f>+K0kommunestruktur2020altern!L325</f>
        <v>152909</v>
      </c>
      <c r="M325" s="289">
        <f>+K0kommunestruktur2020altern!M325</f>
        <v>5894</v>
      </c>
      <c r="N325" s="289">
        <f>+K0kommunestruktur2020altern!N325</f>
        <v>153202</v>
      </c>
      <c r="O325" s="289">
        <f>+K0kommunestruktur2020altern!O325</f>
        <v>5788</v>
      </c>
      <c r="P325" s="289">
        <f>+K0kommunestruktur2020altern!P325</f>
        <v>150625</v>
      </c>
      <c r="Q325" s="289">
        <f>+'K21'!C325</f>
        <v>5642</v>
      </c>
      <c r="R325" s="289">
        <f>+'K21'!Z325</f>
        <v>171792.18400000001</v>
      </c>
      <c r="S325" s="517"/>
      <c r="T325" s="517"/>
    </row>
    <row r="326" spans="1:20" ht="13">
      <c r="A326" s="755">
        <v>5406</v>
      </c>
      <c r="B326" s="756" t="s">
        <v>1648</v>
      </c>
      <c r="C326" s="289">
        <f>+K0kommunestruktur2020altern!C326</f>
        <v>11338</v>
      </c>
      <c r="D326" s="289">
        <f>+K0kommunestruktur2020altern!D326</f>
        <v>272569</v>
      </c>
      <c r="E326" s="289">
        <f>+K0kommunestruktur2020altern!E326</f>
        <v>11466</v>
      </c>
      <c r="F326" s="289">
        <f>+K0kommunestruktur2020altern!F326</f>
        <v>294108</v>
      </c>
      <c r="G326" s="289">
        <f>+K0kommunestruktur2020altern!G326</f>
        <v>11490</v>
      </c>
      <c r="H326" s="289">
        <f>+K0kommunestruktur2020altern!H326</f>
        <v>302629</v>
      </c>
      <c r="I326" s="289">
        <f>+K0kommunestruktur2020altern!I326</f>
        <v>11554</v>
      </c>
      <c r="J326" s="289">
        <f>+K0kommunestruktur2020altern!J326</f>
        <v>317821</v>
      </c>
      <c r="K326" s="289">
        <f>+K0kommunestruktur2020altern!K326</f>
        <v>11560</v>
      </c>
      <c r="L326" s="289">
        <f>+K0kommunestruktur2020altern!L326</f>
        <v>327526</v>
      </c>
      <c r="M326" s="289">
        <f>+K0kommunestruktur2020altern!M326</f>
        <v>11524</v>
      </c>
      <c r="N326" s="289">
        <f>+K0kommunestruktur2020altern!N326</f>
        <v>340580</v>
      </c>
      <c r="O326" s="289">
        <f>+K0kommunestruktur2020altern!O326</f>
        <v>11448</v>
      </c>
      <c r="P326" s="289">
        <f>+K0kommunestruktur2020altern!P326</f>
        <v>331008</v>
      </c>
      <c r="Q326" s="289">
        <f>+'K21'!C326</f>
        <v>11331</v>
      </c>
      <c r="R326" s="289">
        <f>+'K21'!Z326</f>
        <v>373038.78899999999</v>
      </c>
      <c r="S326" s="517"/>
      <c r="T326" s="517"/>
    </row>
    <row r="327" spans="1:20" ht="13">
      <c r="A327" s="755">
        <v>5411</v>
      </c>
      <c r="B327" s="756" t="s">
        <v>218</v>
      </c>
      <c r="C327" s="289">
        <f>+K0kommunestruktur2020altern!C327</f>
        <v>3107</v>
      </c>
      <c r="D327" s="289">
        <f>+K0kommunestruktur2020altern!D327</f>
        <v>53243</v>
      </c>
      <c r="E327" s="289">
        <f>+K0kommunestruktur2020altern!E327</f>
        <v>3076</v>
      </c>
      <c r="F327" s="289">
        <f>+K0kommunestruktur2020altern!F327</f>
        <v>56094</v>
      </c>
      <c r="G327" s="289">
        <f>+K0kommunestruktur2020altern!G327</f>
        <v>3029</v>
      </c>
      <c r="H327" s="289">
        <f>+K0kommunestruktur2020altern!H327</f>
        <v>60507</v>
      </c>
      <c r="I327" s="289">
        <f>+K0kommunestruktur2020altern!I327</f>
        <v>2986</v>
      </c>
      <c r="J327" s="289">
        <f>+K0kommunestruktur2020altern!J327</f>
        <v>65886</v>
      </c>
      <c r="K327" s="289">
        <f>+K0kommunestruktur2020altern!K327</f>
        <v>2928</v>
      </c>
      <c r="L327" s="289">
        <f>+K0kommunestruktur2020altern!L327</f>
        <v>68090</v>
      </c>
      <c r="M327" s="289">
        <f>+K0kommunestruktur2020altern!M327</f>
        <v>2858</v>
      </c>
      <c r="N327" s="289">
        <f>+K0kommunestruktur2020altern!N327</f>
        <v>63611</v>
      </c>
      <c r="O327" s="289">
        <f>+K0kommunestruktur2020altern!O327</f>
        <v>2839</v>
      </c>
      <c r="P327" s="289">
        <f>+K0kommunestruktur2020altern!P327</f>
        <v>61754</v>
      </c>
      <c r="Q327" s="289">
        <f>+'K21'!C327</f>
        <v>2822</v>
      </c>
      <c r="R327" s="289">
        <f>+'K21'!Z327</f>
        <v>73553.589000000007</v>
      </c>
      <c r="S327" s="517"/>
      <c r="T327" s="517"/>
    </row>
    <row r="328" spans="1:20" ht="13">
      <c r="A328" s="755">
        <v>5412</v>
      </c>
      <c r="B328" s="756" t="s">
        <v>1649</v>
      </c>
      <c r="C328" s="289">
        <f>+K0kommunestruktur2020altern!C328</f>
        <v>4207</v>
      </c>
      <c r="D328" s="289">
        <f>+K0kommunestruktur2020altern!D328</f>
        <v>78040</v>
      </c>
      <c r="E328" s="289">
        <f>+K0kommunestruktur2020altern!E328</f>
        <v>4268</v>
      </c>
      <c r="F328" s="289">
        <f>+K0kommunestruktur2020altern!F328</f>
        <v>85810</v>
      </c>
      <c r="G328" s="289">
        <f>+K0kommunestruktur2020altern!G328</f>
        <v>4324</v>
      </c>
      <c r="H328" s="289">
        <f>+K0kommunestruktur2020altern!H328</f>
        <v>92325</v>
      </c>
      <c r="I328" s="289">
        <f>+K0kommunestruktur2020altern!I328</f>
        <v>4300</v>
      </c>
      <c r="J328" s="289">
        <f>+K0kommunestruktur2020altern!J328</f>
        <v>96392</v>
      </c>
      <c r="K328" s="289">
        <f>+K0kommunestruktur2020altern!K328</f>
        <v>4253</v>
      </c>
      <c r="L328" s="289">
        <f>+K0kommunestruktur2020altern!L328</f>
        <v>96820</v>
      </c>
      <c r="M328" s="289">
        <f>+K0kommunestruktur2020altern!M328</f>
        <v>4268</v>
      </c>
      <c r="N328" s="289">
        <f>+K0kommunestruktur2020altern!N328</f>
        <v>100932</v>
      </c>
      <c r="O328" s="289">
        <f>+K0kommunestruktur2020altern!O328</f>
        <v>4216</v>
      </c>
      <c r="P328" s="289">
        <f>+K0kommunestruktur2020altern!P328</f>
        <v>101538</v>
      </c>
      <c r="Q328" s="289">
        <f>+'K21'!C328</f>
        <v>4209</v>
      </c>
      <c r="R328" s="289">
        <f>+'K21'!Z328</f>
        <v>112336.47500000001</v>
      </c>
      <c r="S328" s="517"/>
      <c r="T328" s="517"/>
    </row>
    <row r="329" spans="1:20" ht="13">
      <c r="A329" s="755">
        <v>5413</v>
      </c>
      <c r="B329" s="756" t="s">
        <v>221</v>
      </c>
      <c r="C329" s="289">
        <f>+K0kommunestruktur2020altern!C329</f>
        <v>1436</v>
      </c>
      <c r="D329" s="289">
        <f>+K0kommunestruktur2020altern!D329</f>
        <v>26022</v>
      </c>
      <c r="E329" s="289">
        <f>+K0kommunestruktur2020altern!E329</f>
        <v>1410</v>
      </c>
      <c r="F329" s="289">
        <f>+K0kommunestruktur2020altern!F329</f>
        <v>26855</v>
      </c>
      <c r="G329" s="289">
        <f>+K0kommunestruktur2020altern!G329</f>
        <v>1403</v>
      </c>
      <c r="H329" s="289">
        <f>+K0kommunestruktur2020altern!H329</f>
        <v>31656</v>
      </c>
      <c r="I329" s="289">
        <f>+K0kommunestruktur2020altern!I329</f>
        <v>1394</v>
      </c>
      <c r="J329" s="289">
        <f>+K0kommunestruktur2020altern!J329</f>
        <v>34562</v>
      </c>
      <c r="K329" s="289">
        <f>+K0kommunestruktur2020altern!K329</f>
        <v>1380</v>
      </c>
      <c r="L329" s="289">
        <f>+K0kommunestruktur2020altern!L329</f>
        <v>38050</v>
      </c>
      <c r="M329" s="289">
        <f>+K0kommunestruktur2020altern!M329</f>
        <v>1375</v>
      </c>
      <c r="N329" s="289">
        <f>+K0kommunestruktur2020altern!N329</f>
        <v>36128</v>
      </c>
      <c r="O329" s="289">
        <f>+K0kommunestruktur2020altern!O329</f>
        <v>1361</v>
      </c>
      <c r="P329" s="289">
        <f>+K0kommunestruktur2020altern!P329</f>
        <v>34850</v>
      </c>
      <c r="Q329" s="289">
        <f>+'K21'!C329</f>
        <v>1320</v>
      </c>
      <c r="R329" s="289">
        <f>+'K21'!Z329</f>
        <v>37922.93</v>
      </c>
      <c r="S329" s="517"/>
      <c r="T329" s="517"/>
    </row>
    <row r="330" spans="1:20" ht="13">
      <c r="A330" s="755">
        <v>5414</v>
      </c>
      <c r="B330" s="756" t="s">
        <v>222</v>
      </c>
      <c r="C330" s="289">
        <f>+K0kommunestruktur2020altern!C330</f>
        <v>1135</v>
      </c>
      <c r="D330" s="289">
        <f>+K0kommunestruktur2020altern!D330</f>
        <v>19557</v>
      </c>
      <c r="E330" s="289">
        <f>+K0kommunestruktur2020altern!E330</f>
        <v>1137</v>
      </c>
      <c r="F330" s="289">
        <f>+K0kommunestruktur2020altern!F330</f>
        <v>20678</v>
      </c>
      <c r="G330" s="289">
        <f>+K0kommunestruktur2020altern!G330</f>
        <v>1137</v>
      </c>
      <c r="H330" s="289">
        <f>+K0kommunestruktur2020altern!H330</f>
        <v>22524</v>
      </c>
      <c r="I330" s="289">
        <f>+K0kommunestruktur2020altern!I330</f>
        <v>1121</v>
      </c>
      <c r="J330" s="289">
        <f>+K0kommunestruktur2020altern!J330</f>
        <v>24726</v>
      </c>
      <c r="K330" s="289">
        <f>+K0kommunestruktur2020altern!K330</f>
        <v>1117</v>
      </c>
      <c r="L330" s="289">
        <f>+K0kommunestruktur2020altern!L330</f>
        <v>26493</v>
      </c>
      <c r="M330" s="289">
        <f>+K0kommunestruktur2020altern!M330</f>
        <v>1105</v>
      </c>
      <c r="N330" s="289">
        <f>+K0kommunestruktur2020altern!N330</f>
        <v>28318</v>
      </c>
      <c r="O330" s="289">
        <f>+K0kommunestruktur2020altern!O330</f>
        <v>1091</v>
      </c>
      <c r="P330" s="289">
        <f>+K0kommunestruktur2020altern!P330</f>
        <v>28544</v>
      </c>
      <c r="Q330" s="289">
        <f>+'K21'!C330</f>
        <v>1092</v>
      </c>
      <c r="R330" s="289">
        <f>+'K21'!Z330</f>
        <v>31520.68</v>
      </c>
      <c r="S330" s="517"/>
      <c r="T330" s="517"/>
    </row>
    <row r="331" spans="1:20" ht="13">
      <c r="A331" s="755">
        <v>5415</v>
      </c>
      <c r="B331" s="756" t="s">
        <v>223</v>
      </c>
      <c r="C331" s="289">
        <f>+K0kommunestruktur2020altern!C331</f>
        <v>1014</v>
      </c>
      <c r="D331" s="289">
        <f>+K0kommunestruktur2020altern!D331</f>
        <v>15717</v>
      </c>
      <c r="E331" s="289">
        <f>+K0kommunestruktur2020altern!E331</f>
        <v>1008</v>
      </c>
      <c r="F331" s="289">
        <f>+K0kommunestruktur2020altern!F331</f>
        <v>18284</v>
      </c>
      <c r="G331" s="289">
        <f>+K0kommunestruktur2020altern!G331</f>
        <v>1051</v>
      </c>
      <c r="H331" s="289">
        <f>+K0kommunestruktur2020altern!H331</f>
        <v>19351</v>
      </c>
      <c r="I331" s="289">
        <f>+K0kommunestruktur2020altern!I331</f>
        <v>1076</v>
      </c>
      <c r="J331" s="289">
        <f>+K0kommunestruktur2020altern!J331</f>
        <v>19972</v>
      </c>
      <c r="K331" s="289">
        <f>+K0kommunestruktur2020altern!K331</f>
        <v>1061</v>
      </c>
      <c r="L331" s="289">
        <f>+K0kommunestruktur2020altern!L331</f>
        <v>21842</v>
      </c>
      <c r="M331" s="289">
        <f>+K0kommunestruktur2020altern!M331</f>
        <v>1042</v>
      </c>
      <c r="N331" s="289">
        <f>+K0kommunestruktur2020altern!N331</f>
        <v>22320</v>
      </c>
      <c r="O331" s="289">
        <f>+K0kommunestruktur2020altern!O331</f>
        <v>1034</v>
      </c>
      <c r="P331" s="289">
        <f>+K0kommunestruktur2020altern!P331</f>
        <v>22101</v>
      </c>
      <c r="Q331" s="289">
        <f>+'K21'!C331</f>
        <v>1020</v>
      </c>
      <c r="R331" s="289">
        <f>+'K21'!Z331</f>
        <v>22751.856</v>
      </c>
      <c r="S331" s="517"/>
      <c r="T331" s="517"/>
    </row>
    <row r="332" spans="1:20" ht="13">
      <c r="A332" s="755">
        <v>5416</v>
      </c>
      <c r="B332" s="756" t="s">
        <v>224</v>
      </c>
      <c r="C332" s="289">
        <f>+K0kommunestruktur2020altern!C332</f>
        <v>3985</v>
      </c>
      <c r="D332" s="289">
        <f>+K0kommunestruktur2020altern!D332</f>
        <v>95072</v>
      </c>
      <c r="E332" s="289">
        <f>+K0kommunestruktur2020altern!E332</f>
        <v>4078</v>
      </c>
      <c r="F332" s="289">
        <f>+K0kommunestruktur2020altern!F332</f>
        <v>103643</v>
      </c>
      <c r="G332" s="289">
        <f>+K0kommunestruktur2020altern!G332</f>
        <v>4019</v>
      </c>
      <c r="H332" s="289">
        <f>+K0kommunestruktur2020altern!H332</f>
        <v>109015</v>
      </c>
      <c r="I332" s="289">
        <f>+K0kommunestruktur2020altern!I332</f>
        <v>3994</v>
      </c>
      <c r="J332" s="289">
        <f>+K0kommunestruktur2020altern!J332</f>
        <v>115085</v>
      </c>
      <c r="K332" s="289">
        <f>+K0kommunestruktur2020altern!K332</f>
        <v>3979</v>
      </c>
      <c r="L332" s="289">
        <f>+K0kommunestruktur2020altern!L332</f>
        <v>120113</v>
      </c>
      <c r="M332" s="289">
        <f>+K0kommunestruktur2020altern!M332</f>
        <v>4030</v>
      </c>
      <c r="N332" s="289">
        <f>+K0kommunestruktur2020altern!N332</f>
        <v>127207</v>
      </c>
      <c r="O332" s="289">
        <f>+K0kommunestruktur2020altern!O332</f>
        <v>4005</v>
      </c>
      <c r="P332" s="289">
        <f>+K0kommunestruktur2020altern!P332</f>
        <v>121816</v>
      </c>
      <c r="Q332" s="289">
        <f>+'K21'!C332</f>
        <v>3959</v>
      </c>
      <c r="R332" s="289">
        <f>+'K21'!Z332</f>
        <v>132708.57699999999</v>
      </c>
      <c r="S332" s="517"/>
      <c r="T332" s="517"/>
    </row>
    <row r="333" spans="1:20" ht="13">
      <c r="A333" s="755">
        <v>5417</v>
      </c>
      <c r="B333" s="756" t="s">
        <v>225</v>
      </c>
      <c r="C333" s="289">
        <f>+K0kommunestruktur2020altern!C333</f>
        <v>2223</v>
      </c>
      <c r="D333" s="289">
        <f>+K0kommunestruktur2020altern!D333</f>
        <v>38368</v>
      </c>
      <c r="E333" s="289">
        <f>+K0kommunestruktur2020altern!E333</f>
        <v>2219</v>
      </c>
      <c r="F333" s="289">
        <f>+K0kommunestruktur2020altern!F333</f>
        <v>42072</v>
      </c>
      <c r="G333" s="289">
        <f>+K0kommunestruktur2020altern!G333</f>
        <v>2230</v>
      </c>
      <c r="H333" s="289">
        <f>+K0kommunestruktur2020altern!H333</f>
        <v>46921</v>
      </c>
      <c r="I333" s="289">
        <f>+K0kommunestruktur2020altern!I333</f>
        <v>2220</v>
      </c>
      <c r="J333" s="289">
        <f>+K0kommunestruktur2020altern!J333</f>
        <v>51862</v>
      </c>
      <c r="K333" s="289">
        <f>+K0kommunestruktur2020altern!K333</f>
        <v>2226</v>
      </c>
      <c r="L333" s="289">
        <f>+K0kommunestruktur2020altern!L333</f>
        <v>52604</v>
      </c>
      <c r="M333" s="289">
        <f>+K0kommunestruktur2020altern!M333</f>
        <v>2183</v>
      </c>
      <c r="N333" s="289">
        <f>+K0kommunestruktur2020altern!N333</f>
        <v>56979</v>
      </c>
      <c r="O333" s="289">
        <f>+K0kommunestruktur2020altern!O333</f>
        <v>2146</v>
      </c>
      <c r="P333" s="289">
        <f>+K0kommunestruktur2020altern!P333</f>
        <v>56569</v>
      </c>
      <c r="Q333" s="289">
        <f>+'K21'!C333</f>
        <v>2089</v>
      </c>
      <c r="R333" s="289">
        <f>+'K21'!Z333</f>
        <v>55380.934000000001</v>
      </c>
      <c r="S333" s="517"/>
      <c r="T333" s="517"/>
    </row>
    <row r="334" spans="1:20" ht="13">
      <c r="A334" s="755">
        <v>5418</v>
      </c>
      <c r="B334" s="756" t="s">
        <v>226</v>
      </c>
      <c r="C334" s="289">
        <f>+K0kommunestruktur2020altern!C334</f>
        <v>6634</v>
      </c>
      <c r="D334" s="289">
        <f>+K0kommunestruktur2020altern!D334</f>
        <v>149063</v>
      </c>
      <c r="E334" s="289">
        <f>+K0kommunestruktur2020altern!E334</f>
        <v>6693</v>
      </c>
      <c r="F334" s="289">
        <f>+K0kommunestruktur2020altern!F334</f>
        <v>166088</v>
      </c>
      <c r="G334" s="289">
        <f>+K0kommunestruktur2020altern!G334</f>
        <v>6741</v>
      </c>
      <c r="H334" s="289">
        <f>+K0kommunestruktur2020altern!H334</f>
        <v>179331</v>
      </c>
      <c r="I334" s="289">
        <f>+K0kommunestruktur2020altern!I334</f>
        <v>6781</v>
      </c>
      <c r="J334" s="289">
        <f>+K0kommunestruktur2020altern!J334</f>
        <v>187236</v>
      </c>
      <c r="K334" s="289">
        <f>+K0kommunestruktur2020altern!K334</f>
        <v>6798</v>
      </c>
      <c r="L334" s="289">
        <f>+K0kommunestruktur2020altern!L334</f>
        <v>184693</v>
      </c>
      <c r="M334" s="289">
        <f>+K0kommunestruktur2020altern!M334</f>
        <v>6805</v>
      </c>
      <c r="N334" s="289">
        <f>+K0kommunestruktur2020altern!N334</f>
        <v>195569</v>
      </c>
      <c r="O334" s="289">
        <f>+K0kommunestruktur2020altern!O334</f>
        <v>6640</v>
      </c>
      <c r="P334" s="289">
        <f>+K0kommunestruktur2020altern!P334</f>
        <v>189438</v>
      </c>
      <c r="Q334" s="289">
        <f>+'K21'!C334</f>
        <v>6609</v>
      </c>
      <c r="R334" s="289">
        <f>+'K21'!Z334</f>
        <v>207409.057</v>
      </c>
      <c r="S334" s="517"/>
      <c r="T334" s="517"/>
    </row>
    <row r="335" spans="1:20" ht="13">
      <c r="A335" s="755">
        <v>5419</v>
      </c>
      <c r="B335" s="756" t="s">
        <v>227</v>
      </c>
      <c r="C335" s="289">
        <f>+K0kommunestruktur2020altern!C335</f>
        <v>3450</v>
      </c>
      <c r="D335" s="289">
        <f>+K0kommunestruktur2020altern!D335</f>
        <v>68185</v>
      </c>
      <c r="E335" s="289">
        <f>+K0kommunestruktur2020altern!E335</f>
        <v>3451</v>
      </c>
      <c r="F335" s="289">
        <f>+K0kommunestruktur2020altern!F335</f>
        <v>73491</v>
      </c>
      <c r="G335" s="289">
        <f>+K0kommunestruktur2020altern!G335</f>
        <v>3452</v>
      </c>
      <c r="H335" s="289">
        <f>+K0kommunestruktur2020altern!H335</f>
        <v>81156</v>
      </c>
      <c r="I335" s="289">
        <f>+K0kommunestruktur2020altern!I335</f>
        <v>3496</v>
      </c>
      <c r="J335" s="289">
        <f>+K0kommunestruktur2020altern!J335</f>
        <v>83904</v>
      </c>
      <c r="K335" s="289">
        <f>+K0kommunestruktur2020altern!K335</f>
        <v>3494</v>
      </c>
      <c r="L335" s="289">
        <f>+K0kommunestruktur2020altern!L335</f>
        <v>86393</v>
      </c>
      <c r="M335" s="289">
        <f>+K0kommunestruktur2020altern!M335</f>
        <v>3489</v>
      </c>
      <c r="N335" s="289">
        <f>+K0kommunestruktur2020altern!N335</f>
        <v>90759</v>
      </c>
      <c r="O335" s="289">
        <f>+K0kommunestruktur2020altern!O335</f>
        <v>3464</v>
      </c>
      <c r="P335" s="289">
        <f>+K0kommunestruktur2020altern!P335</f>
        <v>88223</v>
      </c>
      <c r="Q335" s="289">
        <f>+'K21'!C335</f>
        <v>3465</v>
      </c>
      <c r="R335" s="289">
        <f>+'K21'!Z335</f>
        <v>101330.74</v>
      </c>
      <c r="S335" s="517"/>
      <c r="T335" s="517"/>
    </row>
    <row r="336" spans="1:20" ht="13">
      <c r="A336" s="755">
        <v>5420</v>
      </c>
      <c r="B336" s="756" t="s">
        <v>228</v>
      </c>
      <c r="C336" s="289">
        <f>+K0kommunestruktur2020altern!C336</f>
        <v>1171</v>
      </c>
      <c r="D336" s="289">
        <f>+K0kommunestruktur2020altern!D336</f>
        <v>20896</v>
      </c>
      <c r="E336" s="289">
        <f>+K0kommunestruktur2020altern!E336</f>
        <v>1154</v>
      </c>
      <c r="F336" s="289">
        <f>+K0kommunestruktur2020altern!F336</f>
        <v>21773</v>
      </c>
      <c r="G336" s="289">
        <f>+K0kommunestruktur2020altern!G336</f>
        <v>1158</v>
      </c>
      <c r="H336" s="289">
        <f>+K0kommunestruktur2020altern!H336</f>
        <v>22702</v>
      </c>
      <c r="I336" s="289">
        <f>+K0kommunestruktur2020altern!I336</f>
        <v>1138</v>
      </c>
      <c r="J336" s="289">
        <f>+K0kommunestruktur2020altern!J336</f>
        <v>23986</v>
      </c>
      <c r="K336" s="289">
        <f>+K0kommunestruktur2020altern!K336</f>
        <v>1165</v>
      </c>
      <c r="L336" s="289">
        <f>+K0kommunestruktur2020altern!L336</f>
        <v>25457</v>
      </c>
      <c r="M336" s="289">
        <f>+K0kommunestruktur2020altern!M336</f>
        <v>1129</v>
      </c>
      <c r="N336" s="289">
        <f>+K0kommunestruktur2020altern!N336</f>
        <v>25128</v>
      </c>
      <c r="O336" s="289">
        <f>+K0kommunestruktur2020altern!O336</f>
        <v>1083</v>
      </c>
      <c r="P336" s="289">
        <f>+K0kommunestruktur2020altern!P336</f>
        <v>24841</v>
      </c>
      <c r="Q336" s="289">
        <f>+'K21'!C336</f>
        <v>1063</v>
      </c>
      <c r="R336" s="289">
        <f>+'K21'!Z336</f>
        <v>28130.851999999999</v>
      </c>
      <c r="S336" s="517"/>
      <c r="T336" s="517"/>
    </row>
    <row r="337" spans="1:20" ht="13">
      <c r="A337" s="755">
        <v>5421</v>
      </c>
      <c r="B337" s="756" t="s">
        <v>1650</v>
      </c>
      <c r="C337" s="289">
        <f>+K0kommunestruktur2020altern!C337</f>
        <v>14863</v>
      </c>
      <c r="D337" s="289">
        <f>+K0kommunestruktur2020altern!D337</f>
        <v>285329</v>
      </c>
      <c r="E337" s="289">
        <f>+K0kommunestruktur2020altern!E337</f>
        <v>14868</v>
      </c>
      <c r="F337" s="289">
        <f>+K0kommunestruktur2020altern!F337</f>
        <v>308178</v>
      </c>
      <c r="G337" s="289">
        <f>+K0kommunestruktur2020altern!G337</f>
        <v>14989</v>
      </c>
      <c r="H337" s="289">
        <f>+K0kommunestruktur2020altern!H337</f>
        <v>344771</v>
      </c>
      <c r="I337" s="289">
        <f>+K0kommunestruktur2020altern!I337</f>
        <v>15072</v>
      </c>
      <c r="J337" s="289">
        <f>+K0kommunestruktur2020altern!J337</f>
        <v>365421</v>
      </c>
      <c r="K337" s="289">
        <f>+K0kommunestruktur2020altern!K337</f>
        <v>15025</v>
      </c>
      <c r="L337" s="289">
        <f>+K0kommunestruktur2020altern!L337</f>
        <v>372209</v>
      </c>
      <c r="M337" s="289">
        <f>+K0kommunestruktur2020altern!M337</f>
        <v>15011</v>
      </c>
      <c r="N337" s="289">
        <f>+K0kommunestruktur2020altern!N337</f>
        <v>392512</v>
      </c>
      <c r="O337" s="289">
        <f>+K0kommunestruktur2020altern!O337</f>
        <v>14851</v>
      </c>
      <c r="P337" s="289">
        <f>+K0kommunestruktur2020altern!P337</f>
        <v>376058</v>
      </c>
      <c r="Q337" s="289">
        <f>+'K21'!C337</f>
        <v>14725</v>
      </c>
      <c r="R337" s="289">
        <f>+'K21'!Z337</f>
        <v>449655.02600000001</v>
      </c>
      <c r="S337" s="517"/>
      <c r="T337" s="517"/>
    </row>
    <row r="338" spans="1:20" ht="13">
      <c r="A338" s="755">
        <v>5422</v>
      </c>
      <c r="B338" s="756" t="s">
        <v>233</v>
      </c>
      <c r="C338" s="289">
        <f>+K0kommunestruktur2020altern!C338</f>
        <v>5593</v>
      </c>
      <c r="D338" s="289">
        <f>+K0kommunestruktur2020altern!D338</f>
        <v>99418</v>
      </c>
      <c r="E338" s="289">
        <f>+K0kommunestruktur2020altern!E338</f>
        <v>5720</v>
      </c>
      <c r="F338" s="289">
        <f>+K0kommunestruktur2020altern!F338</f>
        <v>108717</v>
      </c>
      <c r="G338" s="289">
        <f>+K0kommunestruktur2020altern!G338</f>
        <v>5701</v>
      </c>
      <c r="H338" s="289">
        <f>+K0kommunestruktur2020altern!H338</f>
        <v>117146</v>
      </c>
      <c r="I338" s="289">
        <f>+K0kommunestruktur2020altern!I338</f>
        <v>5685</v>
      </c>
      <c r="J338" s="289">
        <f>+K0kommunestruktur2020altern!J338</f>
        <v>120376</v>
      </c>
      <c r="K338" s="289">
        <f>+K0kommunestruktur2020altern!K338</f>
        <v>5653</v>
      </c>
      <c r="L338" s="289">
        <f>+K0kommunestruktur2020altern!L338</f>
        <v>123856</v>
      </c>
      <c r="M338" s="289">
        <f>+K0kommunestruktur2020altern!M338</f>
        <v>5625</v>
      </c>
      <c r="N338" s="289">
        <f>+K0kommunestruktur2020altern!N338</f>
        <v>127282</v>
      </c>
      <c r="O338" s="289">
        <f>+K0kommunestruktur2020altern!O338</f>
        <v>5559</v>
      </c>
      <c r="P338" s="289">
        <f>+K0kommunestruktur2020altern!P338</f>
        <v>127465</v>
      </c>
      <c r="Q338" s="289">
        <f>+'K21'!C338</f>
        <v>5559</v>
      </c>
      <c r="R338" s="289">
        <f>+'K21'!Z338</f>
        <v>148285.033</v>
      </c>
      <c r="S338" s="517"/>
      <c r="T338" s="517"/>
    </row>
    <row r="339" spans="1:20" ht="13">
      <c r="A339" s="755">
        <v>5423</v>
      </c>
      <c r="B339" s="756" t="s">
        <v>234</v>
      </c>
      <c r="C339" s="289">
        <f>+K0kommunestruktur2020altern!C339</f>
        <v>2334</v>
      </c>
      <c r="D339" s="289">
        <f>+K0kommunestruktur2020altern!D339</f>
        <v>41906</v>
      </c>
      <c r="E339" s="289">
        <f>+K0kommunestruktur2020altern!E339</f>
        <v>2289</v>
      </c>
      <c r="F339" s="289">
        <f>+K0kommunestruktur2020altern!F339</f>
        <v>46139</v>
      </c>
      <c r="G339" s="289">
        <f>+K0kommunestruktur2020altern!G339</f>
        <v>2282</v>
      </c>
      <c r="H339" s="289">
        <f>+K0kommunestruktur2020altern!H339</f>
        <v>49979</v>
      </c>
      <c r="I339" s="289">
        <f>+K0kommunestruktur2020altern!I339</f>
        <v>2273</v>
      </c>
      <c r="J339" s="289">
        <f>+K0kommunestruktur2020altern!J339</f>
        <v>53340</v>
      </c>
      <c r="K339" s="289">
        <f>+K0kommunestruktur2020altern!K339</f>
        <v>2263</v>
      </c>
      <c r="L339" s="289">
        <f>+K0kommunestruktur2020altern!L339</f>
        <v>57505</v>
      </c>
      <c r="M339" s="289">
        <f>+K0kommunestruktur2020altern!M339</f>
        <v>2252</v>
      </c>
      <c r="N339" s="289">
        <f>+K0kommunestruktur2020altern!N339</f>
        <v>59153</v>
      </c>
      <c r="O339" s="289">
        <f>+K0kommunestruktur2020altern!O339</f>
        <v>2200</v>
      </c>
      <c r="P339" s="289">
        <f>+K0kommunestruktur2020altern!P339</f>
        <v>56633</v>
      </c>
      <c r="Q339" s="289">
        <f>+'K21'!C339</f>
        <v>2172</v>
      </c>
      <c r="R339" s="289">
        <f>+'K21'!Z339</f>
        <v>63205.745999999999</v>
      </c>
      <c r="S339" s="517"/>
      <c r="T339" s="517"/>
    </row>
    <row r="340" spans="1:20" ht="13">
      <c r="A340" s="755">
        <v>5424</v>
      </c>
      <c r="B340" s="756" t="s">
        <v>235</v>
      </c>
      <c r="C340" s="289">
        <f>+K0kommunestruktur2020altern!C340</f>
        <v>2992</v>
      </c>
      <c r="D340" s="289">
        <f>+K0kommunestruktur2020altern!D340</f>
        <v>53448</v>
      </c>
      <c r="E340" s="289">
        <f>+K0kommunestruktur2020altern!E340</f>
        <v>2922</v>
      </c>
      <c r="F340" s="289">
        <f>+K0kommunestruktur2020altern!F340</f>
        <v>56189</v>
      </c>
      <c r="G340" s="289">
        <f>+K0kommunestruktur2020altern!G340</f>
        <v>2861</v>
      </c>
      <c r="H340" s="289">
        <f>+K0kommunestruktur2020altern!H340</f>
        <v>61736</v>
      </c>
      <c r="I340" s="289">
        <f>+K0kommunestruktur2020altern!I340</f>
        <v>2876</v>
      </c>
      <c r="J340" s="289">
        <f>+K0kommunestruktur2020altern!J340</f>
        <v>63968</v>
      </c>
      <c r="K340" s="289">
        <f>+K0kommunestruktur2020altern!K340</f>
        <v>2877</v>
      </c>
      <c r="L340" s="289">
        <f>+K0kommunestruktur2020altern!L340</f>
        <v>64289</v>
      </c>
      <c r="M340" s="289">
        <f>+K0kommunestruktur2020altern!M340</f>
        <v>2847</v>
      </c>
      <c r="N340" s="289">
        <f>+K0kommunestruktur2020altern!N340</f>
        <v>65153</v>
      </c>
      <c r="O340" s="289">
        <f>+K0kommunestruktur2020altern!O340</f>
        <v>2794</v>
      </c>
      <c r="P340" s="289">
        <f>+K0kommunestruktur2020altern!P340</f>
        <v>63654</v>
      </c>
      <c r="Q340" s="289">
        <f>+'K21'!C340</f>
        <v>2773</v>
      </c>
      <c r="R340" s="289">
        <f>+'K21'!Z340</f>
        <v>73805.577999999994</v>
      </c>
      <c r="S340" s="517"/>
      <c r="T340" s="517"/>
    </row>
    <row r="341" spans="1:20" ht="13">
      <c r="A341" s="755">
        <v>5425</v>
      </c>
      <c r="B341" s="756" t="s">
        <v>236</v>
      </c>
      <c r="C341" s="289">
        <f>+K0kommunestruktur2020altern!C341</f>
        <v>1941</v>
      </c>
      <c r="D341" s="289">
        <f>+K0kommunestruktur2020altern!D341</f>
        <v>38933</v>
      </c>
      <c r="E341" s="289">
        <f>+K0kommunestruktur2020altern!E341</f>
        <v>1898</v>
      </c>
      <c r="F341" s="289">
        <f>+K0kommunestruktur2020altern!F341</f>
        <v>45189</v>
      </c>
      <c r="G341" s="289">
        <f>+K0kommunestruktur2020altern!G341</f>
        <v>1865</v>
      </c>
      <c r="H341" s="289">
        <f>+K0kommunestruktur2020altern!H341</f>
        <v>43833</v>
      </c>
      <c r="I341" s="289">
        <f>+K0kommunestruktur2020altern!I341</f>
        <v>1890</v>
      </c>
      <c r="J341" s="289">
        <f>+K0kommunestruktur2020altern!J341</f>
        <v>47106</v>
      </c>
      <c r="K341" s="289">
        <f>+K0kommunestruktur2020altern!K341</f>
        <v>1856</v>
      </c>
      <c r="L341" s="289">
        <f>+K0kommunestruktur2020altern!L341</f>
        <v>51883</v>
      </c>
      <c r="M341" s="289">
        <f>+K0kommunestruktur2020altern!M341</f>
        <v>1841</v>
      </c>
      <c r="N341" s="289">
        <f>+K0kommunestruktur2020altern!N341</f>
        <v>50896</v>
      </c>
      <c r="O341" s="289">
        <f>+K0kommunestruktur2020altern!O341</f>
        <v>1829</v>
      </c>
      <c r="P341" s="289">
        <f>+K0kommunestruktur2020altern!P341</f>
        <v>53772</v>
      </c>
      <c r="Q341" s="289">
        <f>+'K21'!C341</f>
        <v>1831</v>
      </c>
      <c r="R341" s="289">
        <f>+'K21'!Z341</f>
        <v>53784.925999999999</v>
      </c>
      <c r="S341" s="517"/>
      <c r="T341" s="517"/>
    </row>
    <row r="342" spans="1:20" ht="13">
      <c r="A342" s="755">
        <v>5426</v>
      </c>
      <c r="B342" s="756" t="s">
        <v>237</v>
      </c>
      <c r="C342" s="289">
        <f>+K0kommunestruktur2020altern!C342</f>
        <v>2221</v>
      </c>
      <c r="D342" s="289">
        <f>+K0kommunestruktur2020altern!D342</f>
        <v>39815</v>
      </c>
      <c r="E342" s="289">
        <f>+K0kommunestruktur2020altern!E342</f>
        <v>2182</v>
      </c>
      <c r="F342" s="289">
        <f>+K0kommunestruktur2020altern!F342</f>
        <v>43608</v>
      </c>
      <c r="G342" s="289">
        <f>+K0kommunestruktur2020altern!G342</f>
        <v>2150</v>
      </c>
      <c r="H342" s="289">
        <f>+K0kommunestruktur2020altern!H342</f>
        <v>44224</v>
      </c>
      <c r="I342" s="289">
        <f>+K0kommunestruktur2020altern!I342</f>
        <v>2132</v>
      </c>
      <c r="J342" s="289">
        <f>+K0kommunestruktur2020altern!J342</f>
        <v>48957</v>
      </c>
      <c r="K342" s="289">
        <f>+K0kommunestruktur2020altern!K342</f>
        <v>2132</v>
      </c>
      <c r="L342" s="289">
        <f>+K0kommunestruktur2020altern!L342</f>
        <v>51110</v>
      </c>
      <c r="M342" s="289">
        <f>+K0kommunestruktur2020altern!M342</f>
        <v>2097</v>
      </c>
      <c r="N342" s="289">
        <f>+K0kommunestruktur2020altern!N342</f>
        <v>51415</v>
      </c>
      <c r="O342" s="289">
        <f>+K0kommunestruktur2020altern!O342</f>
        <v>2071</v>
      </c>
      <c r="P342" s="289">
        <f>+K0kommunestruktur2020altern!P342</f>
        <v>46178</v>
      </c>
      <c r="Q342" s="289">
        <f>+'K21'!C342</f>
        <v>2072</v>
      </c>
      <c r="R342" s="289">
        <f>+'K21'!Z342</f>
        <v>50359.462</v>
      </c>
      <c r="S342" s="517"/>
      <c r="T342" s="517"/>
    </row>
    <row r="343" spans="1:20" ht="13">
      <c r="A343" s="755">
        <v>5427</v>
      </c>
      <c r="B343" s="756" t="s">
        <v>238</v>
      </c>
      <c r="C343" s="289">
        <f>+K0kommunestruktur2020altern!C343</f>
        <v>2881</v>
      </c>
      <c r="D343" s="289">
        <f>+K0kommunestruktur2020altern!D343</f>
        <v>49091</v>
      </c>
      <c r="E343" s="289">
        <f>+K0kommunestruktur2020altern!E343</f>
        <v>2895</v>
      </c>
      <c r="F343" s="289">
        <f>+K0kommunestruktur2020altern!F343</f>
        <v>53859</v>
      </c>
      <c r="G343" s="289">
        <f>+K0kommunestruktur2020altern!G343</f>
        <v>2920</v>
      </c>
      <c r="H343" s="289">
        <f>+K0kommunestruktur2020altern!H343</f>
        <v>62594</v>
      </c>
      <c r="I343" s="289">
        <f>+K0kommunestruktur2020altern!I343</f>
        <v>2912</v>
      </c>
      <c r="J343" s="289">
        <f>+K0kommunestruktur2020altern!J343</f>
        <v>64296</v>
      </c>
      <c r="K343" s="289">
        <f>+K0kommunestruktur2020altern!K343</f>
        <v>2925</v>
      </c>
      <c r="L343" s="289">
        <f>+K0kommunestruktur2020altern!L343</f>
        <v>69371</v>
      </c>
      <c r="M343" s="289">
        <f>+K0kommunestruktur2020altern!M343</f>
        <v>2917</v>
      </c>
      <c r="N343" s="289">
        <f>+K0kommunestruktur2020altern!N343</f>
        <v>71052</v>
      </c>
      <c r="O343" s="289">
        <f>+K0kommunestruktur2020altern!O343</f>
        <v>2927</v>
      </c>
      <c r="P343" s="289">
        <f>+K0kommunestruktur2020altern!P343</f>
        <v>73085</v>
      </c>
      <c r="Q343" s="289">
        <f>+'K21'!C343</f>
        <v>2893</v>
      </c>
      <c r="R343" s="289">
        <f>+'K21'!Z343</f>
        <v>80576.759999999995</v>
      </c>
      <c r="S343" s="517"/>
      <c r="T343" s="517"/>
    </row>
    <row r="344" spans="1:20" ht="13">
      <c r="A344" s="755">
        <v>5428</v>
      </c>
      <c r="B344" s="756" t="s">
        <v>239</v>
      </c>
      <c r="C344" s="289">
        <f>+K0kommunestruktur2020altern!C344</f>
        <v>4854</v>
      </c>
      <c r="D344" s="289">
        <f>+K0kommunestruktur2020altern!D344</f>
        <v>86034</v>
      </c>
      <c r="E344" s="289">
        <f>+K0kommunestruktur2020altern!E344</f>
        <v>4882</v>
      </c>
      <c r="F344" s="289">
        <f>+K0kommunestruktur2020altern!F344</f>
        <v>93075</v>
      </c>
      <c r="G344" s="289">
        <f>+K0kommunestruktur2020altern!G344</f>
        <v>4895</v>
      </c>
      <c r="H344" s="289">
        <f>+K0kommunestruktur2020altern!H344</f>
        <v>104420</v>
      </c>
      <c r="I344" s="289">
        <f>+K0kommunestruktur2020altern!I344</f>
        <v>4919</v>
      </c>
      <c r="J344" s="289">
        <f>+K0kommunestruktur2020altern!J344</f>
        <v>109786</v>
      </c>
      <c r="K344" s="289">
        <f>+K0kommunestruktur2020altern!K344</f>
        <v>4944</v>
      </c>
      <c r="L344" s="289">
        <f>+K0kommunestruktur2020altern!L344</f>
        <v>111919</v>
      </c>
      <c r="M344" s="289">
        <f>+K0kommunestruktur2020altern!M344</f>
        <v>4909</v>
      </c>
      <c r="N344" s="289">
        <f>+K0kommunestruktur2020altern!N344</f>
        <v>116546</v>
      </c>
      <c r="O344" s="289">
        <f>+K0kommunestruktur2020altern!O344</f>
        <v>4861</v>
      </c>
      <c r="P344" s="289">
        <f>+K0kommunestruktur2020altern!P344</f>
        <v>126293</v>
      </c>
      <c r="Q344" s="289">
        <f>+'K21'!C344</f>
        <v>4812</v>
      </c>
      <c r="R344" s="289">
        <f>+'K21'!Z344</f>
        <v>138136.47899999999</v>
      </c>
      <c r="S344" s="517"/>
      <c r="T344" s="517"/>
    </row>
    <row r="345" spans="1:20" ht="13">
      <c r="A345" s="755">
        <v>5429</v>
      </c>
      <c r="B345" s="756" t="s">
        <v>240</v>
      </c>
      <c r="C345" s="289">
        <f>+K0kommunestruktur2020altern!C345</f>
        <v>1234</v>
      </c>
      <c r="D345" s="289">
        <f>+K0kommunestruktur2020altern!D345</f>
        <v>21009</v>
      </c>
      <c r="E345" s="289">
        <f>+K0kommunestruktur2020altern!E345</f>
        <v>1226</v>
      </c>
      <c r="F345" s="289">
        <f>+K0kommunestruktur2020altern!F345</f>
        <v>27192</v>
      </c>
      <c r="G345" s="289">
        <f>+K0kommunestruktur2020altern!G345</f>
        <v>1231</v>
      </c>
      <c r="H345" s="289">
        <f>+K0kommunestruktur2020altern!H345</f>
        <v>30668</v>
      </c>
      <c r="I345" s="289">
        <f>+K0kommunestruktur2020altern!I345</f>
        <v>1233</v>
      </c>
      <c r="J345" s="289">
        <f>+K0kommunestruktur2020altern!J345</f>
        <v>30275</v>
      </c>
      <c r="K345" s="289">
        <f>+K0kommunestruktur2020altern!K345</f>
        <v>1224</v>
      </c>
      <c r="L345" s="289">
        <f>+K0kommunestruktur2020altern!L345</f>
        <v>32637</v>
      </c>
      <c r="M345" s="289">
        <f>+K0kommunestruktur2020altern!M345</f>
        <v>1202</v>
      </c>
      <c r="N345" s="289">
        <f>+K0kommunestruktur2020altern!N345</f>
        <v>32765</v>
      </c>
      <c r="O345" s="289">
        <f>+K0kommunestruktur2020altern!O345</f>
        <v>1191</v>
      </c>
      <c r="P345" s="289">
        <f>+K0kommunestruktur2020altern!P345</f>
        <v>30284</v>
      </c>
      <c r="Q345" s="289">
        <f>+'K21'!C345</f>
        <v>1166</v>
      </c>
      <c r="R345" s="289">
        <f>+'K21'!Z345</f>
        <v>33890.608</v>
      </c>
      <c r="S345" s="517"/>
      <c r="T345" s="517"/>
    </row>
    <row r="346" spans="1:20" ht="13">
      <c r="A346" s="755">
        <v>5430</v>
      </c>
      <c r="B346" s="756" t="s">
        <v>244</v>
      </c>
      <c r="C346" s="289">
        <f>+K0kommunestruktur2020altern!C346</f>
        <v>2931</v>
      </c>
      <c r="D346" s="289">
        <f>+K0kommunestruktur2020altern!D346</f>
        <v>43023</v>
      </c>
      <c r="E346" s="289">
        <f>+K0kommunestruktur2020altern!E346</f>
        <v>2914</v>
      </c>
      <c r="F346" s="289">
        <f>+K0kommunestruktur2020altern!F346</f>
        <v>46407</v>
      </c>
      <c r="G346" s="289">
        <f>+K0kommunestruktur2020altern!G346</f>
        <v>2956</v>
      </c>
      <c r="H346" s="289">
        <f>+K0kommunestruktur2020altern!H346</f>
        <v>49253</v>
      </c>
      <c r="I346" s="289">
        <f>+K0kommunestruktur2020altern!I346</f>
        <v>2938</v>
      </c>
      <c r="J346" s="289">
        <f>+K0kommunestruktur2020altern!J346</f>
        <v>51161</v>
      </c>
      <c r="K346" s="289">
        <f>+K0kommunestruktur2020altern!K346</f>
        <v>2946</v>
      </c>
      <c r="L346" s="289">
        <f>+K0kommunestruktur2020altern!L346</f>
        <v>56500</v>
      </c>
      <c r="M346" s="289">
        <f>+K0kommunestruktur2020altern!M346</f>
        <v>2924</v>
      </c>
      <c r="N346" s="289">
        <f>+K0kommunestruktur2020altern!N346</f>
        <v>57512</v>
      </c>
      <c r="O346" s="289">
        <f>+K0kommunestruktur2020altern!O346</f>
        <v>2910</v>
      </c>
      <c r="P346" s="289">
        <f>+K0kommunestruktur2020altern!P346</f>
        <v>55560</v>
      </c>
      <c r="Q346" s="289">
        <f>+'K21'!C346</f>
        <v>2920</v>
      </c>
      <c r="R346" s="289">
        <f>+'K21'!Z346</f>
        <v>64492.858999999997</v>
      </c>
      <c r="S346" s="517"/>
      <c r="T346" s="517"/>
    </row>
    <row r="347" spans="1:20" ht="13">
      <c r="A347" s="755">
        <v>5432</v>
      </c>
      <c r="B347" s="756" t="s">
        <v>246</v>
      </c>
      <c r="C347" s="289">
        <f>+K0kommunestruktur2020altern!C347</f>
        <v>1027</v>
      </c>
      <c r="D347" s="289">
        <f>+K0kommunestruktur2020altern!D347</f>
        <v>18345</v>
      </c>
      <c r="E347" s="289">
        <f>+K0kommunestruktur2020altern!E347</f>
        <v>989</v>
      </c>
      <c r="F347" s="289">
        <f>+K0kommunestruktur2020altern!F347</f>
        <v>19096</v>
      </c>
      <c r="G347" s="289">
        <f>+K0kommunestruktur2020altern!G347</f>
        <v>951</v>
      </c>
      <c r="H347" s="289">
        <f>+K0kommunestruktur2020altern!H347</f>
        <v>20080</v>
      </c>
      <c r="I347" s="289">
        <f>+K0kommunestruktur2020altern!I347</f>
        <v>968</v>
      </c>
      <c r="J347" s="289">
        <f>+K0kommunestruktur2020altern!J347</f>
        <v>22235</v>
      </c>
      <c r="K347" s="289">
        <f>+K0kommunestruktur2020altern!K347</f>
        <v>941</v>
      </c>
      <c r="L347" s="289">
        <f>+K0kommunestruktur2020altern!L347</f>
        <v>21026</v>
      </c>
      <c r="M347" s="289">
        <f>+K0kommunestruktur2020altern!M347</f>
        <v>917</v>
      </c>
      <c r="N347" s="289">
        <f>+K0kommunestruktur2020altern!N347</f>
        <v>20523</v>
      </c>
      <c r="O347" s="289">
        <f>+K0kommunestruktur2020altern!O347</f>
        <v>888</v>
      </c>
      <c r="P347" s="289">
        <f>+K0kommunestruktur2020altern!P347</f>
        <v>21128</v>
      </c>
      <c r="Q347" s="289">
        <f>+'K21'!C347</f>
        <v>860</v>
      </c>
      <c r="R347" s="289">
        <f>+'K21'!Z347</f>
        <v>24362.409</v>
      </c>
      <c r="S347" s="517"/>
      <c r="T347" s="517"/>
    </row>
    <row r="348" spans="1:20" ht="13">
      <c r="A348" s="755">
        <v>5433</v>
      </c>
      <c r="B348" s="756" t="s">
        <v>247</v>
      </c>
      <c r="C348" s="289">
        <f>+K0kommunestruktur2020altern!C348</f>
        <v>1037</v>
      </c>
      <c r="D348" s="289">
        <f>+K0kommunestruktur2020altern!D348</f>
        <v>16494</v>
      </c>
      <c r="E348" s="289">
        <f>+K0kommunestruktur2020altern!E348</f>
        <v>1041</v>
      </c>
      <c r="F348" s="289">
        <f>+K0kommunestruktur2020altern!F348</f>
        <v>19180</v>
      </c>
      <c r="G348" s="289">
        <f>+K0kommunestruktur2020altern!G348</f>
        <v>1054</v>
      </c>
      <c r="H348" s="289">
        <f>+K0kommunestruktur2020altern!H348</f>
        <v>20250</v>
      </c>
      <c r="I348" s="289">
        <f>+K0kommunestruktur2020altern!I348</f>
        <v>1037</v>
      </c>
      <c r="J348" s="289">
        <f>+K0kommunestruktur2020altern!J348</f>
        <v>21765</v>
      </c>
      <c r="K348" s="289">
        <f>+K0kommunestruktur2020altern!K348</f>
        <v>1022</v>
      </c>
      <c r="L348" s="289">
        <f>+K0kommunestruktur2020altern!L348</f>
        <v>22383</v>
      </c>
      <c r="M348" s="289">
        <f>+K0kommunestruktur2020altern!M348</f>
        <v>1045</v>
      </c>
      <c r="N348" s="289">
        <f>+K0kommunestruktur2020altern!N348</f>
        <v>23442</v>
      </c>
      <c r="O348" s="289">
        <f>+K0kommunestruktur2020altern!O348</f>
        <v>1005</v>
      </c>
      <c r="P348" s="289">
        <f>+K0kommunestruktur2020altern!P348</f>
        <v>22343</v>
      </c>
      <c r="Q348" s="289">
        <f>+'K21'!C348</f>
        <v>983</v>
      </c>
      <c r="R348" s="289">
        <f>+'K21'!Z348</f>
        <v>25210.484</v>
      </c>
      <c r="S348" s="517"/>
      <c r="T348" s="517"/>
    </row>
    <row r="349" spans="1:20" ht="13">
      <c r="A349" s="755">
        <v>5434</v>
      </c>
      <c r="B349" s="756" t="s">
        <v>249</v>
      </c>
      <c r="C349" s="289">
        <f>+K0kommunestruktur2020altern!C349</f>
        <v>1241</v>
      </c>
      <c r="D349" s="289">
        <f>+K0kommunestruktur2020altern!D349</f>
        <v>26699</v>
      </c>
      <c r="E349" s="289">
        <f>+K0kommunestruktur2020altern!E349</f>
        <v>1241</v>
      </c>
      <c r="F349" s="289">
        <f>+K0kommunestruktur2020altern!F349</f>
        <v>27733</v>
      </c>
      <c r="G349" s="289">
        <f>+K0kommunestruktur2020altern!G349</f>
        <v>1215</v>
      </c>
      <c r="H349" s="289">
        <f>+K0kommunestruktur2020altern!H349</f>
        <v>28417</v>
      </c>
      <c r="I349" s="289">
        <f>+K0kommunestruktur2020altern!I349</f>
        <v>1204</v>
      </c>
      <c r="J349" s="289">
        <f>+K0kommunestruktur2020altern!J349</f>
        <v>31575</v>
      </c>
      <c r="K349" s="289">
        <f>+K0kommunestruktur2020altern!K349</f>
        <v>1231</v>
      </c>
      <c r="L349" s="289">
        <f>+K0kommunestruktur2020altern!L349</f>
        <v>34428</v>
      </c>
      <c r="M349" s="289">
        <f>+K0kommunestruktur2020altern!M349</f>
        <v>1235</v>
      </c>
      <c r="N349" s="289">
        <f>+K0kommunestruktur2020altern!N349</f>
        <v>33282</v>
      </c>
      <c r="O349" s="289">
        <f>+K0kommunestruktur2020altern!O349</f>
        <v>1225</v>
      </c>
      <c r="P349" s="289">
        <f>+K0kommunestruktur2020altern!P349</f>
        <v>36764</v>
      </c>
      <c r="Q349" s="289">
        <f>+'K21'!C349</f>
        <v>1197</v>
      </c>
      <c r="R349" s="289">
        <f>+'K21'!Z349</f>
        <v>36886.972000000002</v>
      </c>
      <c r="S349" s="517"/>
      <c r="T349" s="517"/>
    </row>
    <row r="350" spans="1:20" ht="13">
      <c r="A350" s="755">
        <v>5435</v>
      </c>
      <c r="B350" s="756" t="s">
        <v>250</v>
      </c>
      <c r="C350" s="289">
        <f>+K0kommunestruktur2020altern!C350</f>
        <v>3213</v>
      </c>
      <c r="D350" s="289">
        <f>+K0kommunestruktur2020altern!D350</f>
        <v>65401</v>
      </c>
      <c r="E350" s="289">
        <f>+K0kommunestruktur2020altern!E350</f>
        <v>3278</v>
      </c>
      <c r="F350" s="289">
        <f>+K0kommunestruktur2020altern!F350</f>
        <v>72134</v>
      </c>
      <c r="G350" s="289">
        <f>+K0kommunestruktur2020altern!G350</f>
        <v>3276</v>
      </c>
      <c r="H350" s="289">
        <f>+K0kommunestruktur2020altern!H350</f>
        <v>77401</v>
      </c>
      <c r="I350" s="289">
        <f>+K0kommunestruktur2020altern!I350</f>
        <v>3291</v>
      </c>
      <c r="J350" s="289">
        <f>+K0kommunestruktur2020altern!J350</f>
        <v>83829</v>
      </c>
      <c r="K350" s="289">
        <f>+K0kommunestruktur2020altern!K350</f>
        <v>3239</v>
      </c>
      <c r="L350" s="289">
        <f>+K0kommunestruktur2020altern!L350</f>
        <v>87685</v>
      </c>
      <c r="M350" s="289">
        <f>+K0kommunestruktur2020altern!M350</f>
        <v>3218</v>
      </c>
      <c r="N350" s="289">
        <f>+K0kommunestruktur2020altern!N350</f>
        <v>88642</v>
      </c>
      <c r="O350" s="289">
        <f>+K0kommunestruktur2020altern!O350</f>
        <v>3162</v>
      </c>
      <c r="P350" s="289">
        <f>+K0kommunestruktur2020altern!P350</f>
        <v>84073</v>
      </c>
      <c r="Q350" s="289">
        <f>+'K21'!C350</f>
        <v>3075</v>
      </c>
      <c r="R350" s="289">
        <f>+'K21'!Z350</f>
        <v>93426.260999999999</v>
      </c>
      <c r="S350" s="517"/>
      <c r="T350" s="517"/>
    </row>
    <row r="351" spans="1:20" ht="13">
      <c r="A351" s="755">
        <v>5436</v>
      </c>
      <c r="B351" s="756" t="s">
        <v>251</v>
      </c>
      <c r="C351" s="289">
        <f>+K0kommunestruktur2020altern!C351</f>
        <v>3963</v>
      </c>
      <c r="D351" s="289">
        <f>+K0kommunestruktur2020altern!D351</f>
        <v>76473</v>
      </c>
      <c r="E351" s="289">
        <f>+K0kommunestruktur2020altern!E351</f>
        <v>3925</v>
      </c>
      <c r="F351" s="289">
        <f>+K0kommunestruktur2020altern!F351</f>
        <v>83751</v>
      </c>
      <c r="G351" s="289">
        <f>+K0kommunestruktur2020altern!G351</f>
        <v>3978</v>
      </c>
      <c r="H351" s="289">
        <f>+K0kommunestruktur2020altern!H351</f>
        <v>90906</v>
      </c>
      <c r="I351" s="289">
        <f>+K0kommunestruktur2020altern!I351</f>
        <v>3971</v>
      </c>
      <c r="J351" s="289">
        <f>+K0kommunestruktur2020altern!J351</f>
        <v>92125</v>
      </c>
      <c r="K351" s="289">
        <f>+K0kommunestruktur2020altern!K351</f>
        <v>3964</v>
      </c>
      <c r="L351" s="289">
        <f>+K0kommunestruktur2020altern!L351</f>
        <v>95910</v>
      </c>
      <c r="M351" s="289">
        <f>+K0kommunestruktur2020altern!M351</f>
        <v>3944</v>
      </c>
      <c r="N351" s="289">
        <f>+K0kommunestruktur2020altern!N351</f>
        <v>100811</v>
      </c>
      <c r="O351" s="289">
        <f>+K0kommunestruktur2020altern!O351</f>
        <v>3998</v>
      </c>
      <c r="P351" s="289">
        <f>+K0kommunestruktur2020altern!P351</f>
        <v>99679</v>
      </c>
      <c r="Q351" s="289">
        <f>+'K21'!C351</f>
        <v>3921</v>
      </c>
      <c r="R351" s="289">
        <f>+'K21'!Z351</f>
        <v>110655.83199999999</v>
      </c>
      <c r="S351" s="517"/>
      <c r="T351" s="517"/>
    </row>
    <row r="352" spans="1:20" ht="13">
      <c r="A352" s="755">
        <v>5437</v>
      </c>
      <c r="B352" s="756" t="s">
        <v>252</v>
      </c>
      <c r="C352" s="289">
        <f>+K0kommunestruktur2020altern!C352</f>
        <v>2698</v>
      </c>
      <c r="D352" s="289">
        <f>+K0kommunestruktur2020altern!D352</f>
        <v>45269</v>
      </c>
      <c r="E352" s="289">
        <f>+K0kommunestruktur2020altern!E352</f>
        <v>2708</v>
      </c>
      <c r="F352" s="289">
        <f>+K0kommunestruktur2020altern!F352</f>
        <v>49630</v>
      </c>
      <c r="G352" s="289">
        <f>+K0kommunestruktur2020altern!G352</f>
        <v>2668</v>
      </c>
      <c r="H352" s="289">
        <f>+K0kommunestruktur2020altern!H352</f>
        <v>54018</v>
      </c>
      <c r="I352" s="289">
        <f>+K0kommunestruktur2020altern!I352</f>
        <v>2696</v>
      </c>
      <c r="J352" s="289">
        <f>+K0kommunestruktur2020altern!J352</f>
        <v>55305</v>
      </c>
      <c r="K352" s="289">
        <f>+K0kommunestruktur2020altern!K352</f>
        <v>2701</v>
      </c>
      <c r="L352" s="289">
        <f>+K0kommunestruktur2020altern!L352</f>
        <v>56961</v>
      </c>
      <c r="M352" s="289">
        <f>+K0kommunestruktur2020altern!M352</f>
        <v>2673</v>
      </c>
      <c r="N352" s="289">
        <f>+K0kommunestruktur2020altern!N352</f>
        <v>59811</v>
      </c>
      <c r="O352" s="289">
        <f>+K0kommunestruktur2020altern!O352</f>
        <v>2628</v>
      </c>
      <c r="P352" s="289">
        <f>+K0kommunestruktur2020altern!P352</f>
        <v>60130</v>
      </c>
      <c r="Q352" s="289">
        <f>+'K21'!C352</f>
        <v>2641</v>
      </c>
      <c r="R352" s="289">
        <f>+'K21'!Z352</f>
        <v>71752.275999999998</v>
      </c>
      <c r="S352" s="517"/>
      <c r="T352" s="517"/>
    </row>
    <row r="353" spans="1:20" ht="13">
      <c r="A353" s="755">
        <v>5438</v>
      </c>
      <c r="B353" s="756" t="s">
        <v>253</v>
      </c>
      <c r="C353" s="289">
        <f>+K0kommunestruktur2020altern!C353</f>
        <v>1341</v>
      </c>
      <c r="D353" s="289">
        <f>+K0kommunestruktur2020altern!D353</f>
        <v>24435</v>
      </c>
      <c r="E353" s="289">
        <f>+K0kommunestruktur2020altern!E353</f>
        <v>1343</v>
      </c>
      <c r="F353" s="289">
        <f>+K0kommunestruktur2020altern!F353</f>
        <v>26851</v>
      </c>
      <c r="G353" s="289">
        <f>+K0kommunestruktur2020altern!G353</f>
        <v>1318</v>
      </c>
      <c r="H353" s="289">
        <f>+K0kommunestruktur2020altern!H353</f>
        <v>29174</v>
      </c>
      <c r="I353" s="289">
        <f>+K0kommunestruktur2020altern!I353</f>
        <v>1330</v>
      </c>
      <c r="J353" s="289">
        <f>+K0kommunestruktur2020altern!J353</f>
        <v>31546</v>
      </c>
      <c r="K353" s="289">
        <f>+K0kommunestruktur2020altern!K353</f>
        <v>1349</v>
      </c>
      <c r="L353" s="289">
        <f>+K0kommunestruktur2020altern!L353</f>
        <v>33468</v>
      </c>
      <c r="M353" s="289">
        <f>+K0kommunestruktur2020altern!M353</f>
        <v>1328</v>
      </c>
      <c r="N353" s="289">
        <f>+K0kommunestruktur2020altern!N353</f>
        <v>35754</v>
      </c>
      <c r="O353" s="289">
        <f>+K0kommunestruktur2020altern!O353</f>
        <v>1290</v>
      </c>
      <c r="P353" s="289">
        <f>+K0kommunestruktur2020altern!P353</f>
        <v>37982</v>
      </c>
      <c r="Q353" s="289">
        <f>+'K21'!C353</f>
        <v>1271</v>
      </c>
      <c r="R353" s="289">
        <f>+'K21'!Z353</f>
        <v>39880.777000000002</v>
      </c>
      <c r="S353" s="517"/>
      <c r="T353" s="517"/>
    </row>
    <row r="354" spans="1:20" ht="13">
      <c r="A354" s="755">
        <v>5439</v>
      </c>
      <c r="B354" s="756" t="s">
        <v>254</v>
      </c>
      <c r="C354" s="289">
        <f>+K0kommunestruktur2020altern!C354</f>
        <v>1098</v>
      </c>
      <c r="D354" s="289">
        <f>+K0kommunestruktur2020altern!D354</f>
        <v>19365</v>
      </c>
      <c r="E354" s="289">
        <f>+K0kommunestruktur2020altern!E354</f>
        <v>1116</v>
      </c>
      <c r="F354" s="289">
        <f>+K0kommunestruktur2020altern!F354</f>
        <v>21577</v>
      </c>
      <c r="G354" s="289">
        <f>+K0kommunestruktur2020altern!G354</f>
        <v>1139</v>
      </c>
      <c r="H354" s="289">
        <f>+K0kommunestruktur2020altern!H354</f>
        <v>24178</v>
      </c>
      <c r="I354" s="289">
        <f>+K0kommunestruktur2020altern!I354</f>
        <v>1137</v>
      </c>
      <c r="J354" s="289">
        <f>+K0kommunestruktur2020altern!J354</f>
        <v>25362</v>
      </c>
      <c r="K354" s="289">
        <f>+K0kommunestruktur2020altern!K354</f>
        <v>1153</v>
      </c>
      <c r="L354" s="289">
        <f>+K0kommunestruktur2020altern!L354</f>
        <v>26285</v>
      </c>
      <c r="M354" s="289">
        <f>+K0kommunestruktur2020altern!M354</f>
        <v>1169</v>
      </c>
      <c r="N354" s="289">
        <f>+K0kommunestruktur2020altern!N354</f>
        <v>28086</v>
      </c>
      <c r="O354" s="289">
        <f>+K0kommunestruktur2020altern!O354</f>
        <v>1132</v>
      </c>
      <c r="P354" s="289">
        <f>+K0kommunestruktur2020altern!P354</f>
        <v>28849</v>
      </c>
      <c r="Q354" s="289">
        <f>+'K21'!C354</f>
        <v>1097</v>
      </c>
      <c r="R354" s="289">
        <f>+'K21'!Z354</f>
        <v>29754.233</v>
      </c>
      <c r="S354" s="517"/>
      <c r="T354" s="517"/>
    </row>
    <row r="355" spans="1:20" ht="13">
      <c r="A355" s="755">
        <v>5440</v>
      </c>
      <c r="B355" s="756" t="s">
        <v>255</v>
      </c>
      <c r="C355" s="289">
        <f>+K0kommunestruktur2020altern!C355</f>
        <v>1057</v>
      </c>
      <c r="D355" s="289">
        <f>+K0kommunestruktur2020altern!D355</f>
        <v>20462</v>
      </c>
      <c r="E355" s="289">
        <f>+K0kommunestruktur2020altern!E355</f>
        <v>1020</v>
      </c>
      <c r="F355" s="289">
        <f>+K0kommunestruktur2020altern!F355</f>
        <v>20445</v>
      </c>
      <c r="G355" s="289">
        <f>+K0kommunestruktur2020altern!G355</f>
        <v>1000</v>
      </c>
      <c r="H355" s="289">
        <f>+K0kommunestruktur2020altern!H355</f>
        <v>22785</v>
      </c>
      <c r="I355" s="289">
        <f>+K0kommunestruktur2020altern!I355</f>
        <v>991</v>
      </c>
      <c r="J355" s="289">
        <f>+K0kommunestruktur2020altern!J355</f>
        <v>25243</v>
      </c>
      <c r="K355" s="289">
        <f>+K0kommunestruktur2020altern!K355</f>
        <v>983</v>
      </c>
      <c r="L355" s="289">
        <f>+K0kommunestruktur2020altern!L355</f>
        <v>26464</v>
      </c>
      <c r="M355" s="289">
        <f>+K0kommunestruktur2020altern!M355</f>
        <v>981</v>
      </c>
      <c r="N355" s="289">
        <f>+K0kommunestruktur2020altern!N355</f>
        <v>26727</v>
      </c>
      <c r="O355" s="289">
        <f>+K0kommunestruktur2020altern!O355</f>
        <v>957</v>
      </c>
      <c r="P355" s="289">
        <f>+K0kommunestruktur2020altern!P355</f>
        <v>25531</v>
      </c>
      <c r="Q355" s="289">
        <f>+'K21'!C355</f>
        <v>928</v>
      </c>
      <c r="R355" s="289">
        <f>+'K21'!Z355</f>
        <v>29748.058000000001</v>
      </c>
      <c r="S355" s="517"/>
      <c r="T355" s="517"/>
    </row>
    <row r="356" spans="1:20" ht="13">
      <c r="A356" s="755">
        <v>5441</v>
      </c>
      <c r="B356" s="756" t="s">
        <v>256</v>
      </c>
      <c r="C356" s="289">
        <f>+K0kommunestruktur2020altern!C356</f>
        <v>2883</v>
      </c>
      <c r="D356" s="289">
        <f>+K0kommunestruktur2020altern!D356</f>
        <v>55367</v>
      </c>
      <c r="E356" s="289">
        <f>+K0kommunestruktur2020altern!E356</f>
        <v>2909</v>
      </c>
      <c r="F356" s="289">
        <f>+K0kommunestruktur2020altern!F356</f>
        <v>60979</v>
      </c>
      <c r="G356" s="289">
        <f>+K0kommunestruktur2020altern!G356</f>
        <v>2922</v>
      </c>
      <c r="H356" s="289">
        <f>+K0kommunestruktur2020altern!H356</f>
        <v>65869</v>
      </c>
      <c r="I356" s="289">
        <f>+K0kommunestruktur2020altern!I356</f>
        <v>2911</v>
      </c>
      <c r="J356" s="289">
        <f>+K0kommunestruktur2020altern!J356</f>
        <v>67666</v>
      </c>
      <c r="K356" s="289">
        <f>+K0kommunestruktur2020altern!K356</f>
        <v>2922</v>
      </c>
      <c r="L356" s="289">
        <f>+K0kommunestruktur2020altern!L356</f>
        <v>70134</v>
      </c>
      <c r="M356" s="289">
        <f>+K0kommunestruktur2020altern!M356</f>
        <v>2900</v>
      </c>
      <c r="N356" s="289">
        <f>+K0kommunestruktur2020altern!N356</f>
        <v>74703</v>
      </c>
      <c r="O356" s="289">
        <f>+K0kommunestruktur2020altern!O356</f>
        <v>2918</v>
      </c>
      <c r="P356" s="289">
        <f>+K0kommunestruktur2020altern!P356</f>
        <v>74459</v>
      </c>
      <c r="Q356" s="289">
        <f>+'K21'!C356</f>
        <v>2829</v>
      </c>
      <c r="R356" s="289">
        <f>+'K21'!Z356</f>
        <v>80674.240999999995</v>
      </c>
      <c r="S356" s="517"/>
      <c r="T356" s="517"/>
    </row>
    <row r="357" spans="1:20" ht="13">
      <c r="A357" s="755">
        <v>5442</v>
      </c>
      <c r="B357" s="756" t="s">
        <v>257</v>
      </c>
      <c r="C357" s="289">
        <f>+K0kommunestruktur2020altern!C357</f>
        <v>919</v>
      </c>
      <c r="D357" s="289">
        <f>+K0kommunestruktur2020altern!D357</f>
        <v>15241</v>
      </c>
      <c r="E357" s="289">
        <f>+K0kommunestruktur2020altern!E357</f>
        <v>934</v>
      </c>
      <c r="F357" s="289">
        <f>+K0kommunestruktur2020altern!F357</f>
        <v>16586</v>
      </c>
      <c r="G357" s="289">
        <f>+K0kommunestruktur2020altern!G357</f>
        <v>959</v>
      </c>
      <c r="H357" s="289">
        <f>+K0kommunestruktur2020altern!H357</f>
        <v>17469</v>
      </c>
      <c r="I357" s="289">
        <f>+K0kommunestruktur2020altern!I357</f>
        <v>951</v>
      </c>
      <c r="J357" s="289">
        <f>+K0kommunestruktur2020altern!J357</f>
        <v>19017</v>
      </c>
      <c r="K357" s="289">
        <f>+K0kommunestruktur2020altern!K357</f>
        <v>944</v>
      </c>
      <c r="L357" s="289">
        <f>+K0kommunestruktur2020altern!L357</f>
        <v>20492</v>
      </c>
      <c r="M357" s="289">
        <f>+K0kommunestruktur2020altern!M357</f>
        <v>941</v>
      </c>
      <c r="N357" s="289">
        <f>+K0kommunestruktur2020altern!N357</f>
        <v>19666</v>
      </c>
      <c r="O357" s="289">
        <f>+K0kommunestruktur2020altern!O357</f>
        <v>926</v>
      </c>
      <c r="P357" s="289">
        <f>+K0kommunestruktur2020altern!P357</f>
        <v>20196</v>
      </c>
      <c r="Q357" s="289">
        <f>+'K21'!C357</f>
        <v>880</v>
      </c>
      <c r="R357" s="289">
        <f>+'K21'!Z357</f>
        <v>24264.295999999998</v>
      </c>
      <c r="S357" s="517"/>
      <c r="T357" s="517"/>
    </row>
    <row r="358" spans="1:20" ht="13">
      <c r="A358" s="755">
        <v>5443</v>
      </c>
      <c r="B358" s="756" t="s">
        <v>258</v>
      </c>
      <c r="C358" s="289">
        <f>+K0kommunestruktur2020altern!C358</f>
        <v>2207</v>
      </c>
      <c r="D358" s="289">
        <f>+K0kommunestruktur2020altern!D358</f>
        <v>42381</v>
      </c>
      <c r="E358" s="289">
        <f>+K0kommunestruktur2020altern!E358</f>
        <v>2235</v>
      </c>
      <c r="F358" s="289">
        <f>+K0kommunestruktur2020altern!F358</f>
        <v>46263</v>
      </c>
      <c r="G358" s="289">
        <f>+K0kommunestruktur2020altern!G358</f>
        <v>2211</v>
      </c>
      <c r="H358" s="289">
        <f>+K0kommunestruktur2020altern!H358</f>
        <v>50872</v>
      </c>
      <c r="I358" s="289">
        <f>+K0kommunestruktur2020altern!I358</f>
        <v>2267</v>
      </c>
      <c r="J358" s="289">
        <f>+K0kommunestruktur2020altern!J358</f>
        <v>55272</v>
      </c>
      <c r="K358" s="289">
        <f>+K0kommunestruktur2020altern!K358</f>
        <v>2263</v>
      </c>
      <c r="L358" s="289">
        <f>+K0kommunestruktur2020altern!L358</f>
        <v>61493</v>
      </c>
      <c r="M358" s="289">
        <f>+K0kommunestruktur2020altern!M358</f>
        <v>2270</v>
      </c>
      <c r="N358" s="289">
        <f>+K0kommunestruktur2020altern!N358</f>
        <v>62027</v>
      </c>
      <c r="O358" s="289">
        <f>+K0kommunestruktur2020altern!O358</f>
        <v>2221</v>
      </c>
      <c r="P358" s="289">
        <f>+K0kommunestruktur2020altern!P358</f>
        <v>58016</v>
      </c>
      <c r="Q358" s="289">
        <f>+'K21'!C358</f>
        <v>2200</v>
      </c>
      <c r="R358" s="289">
        <f>+'K21'!Z358</f>
        <v>60652.347000000002</v>
      </c>
      <c r="S358" s="517"/>
      <c r="T358" s="517"/>
    </row>
    <row r="359" spans="1:20" ht="13">
      <c r="A359" s="755">
        <v>5444</v>
      </c>
      <c r="B359" s="756" t="s">
        <v>260</v>
      </c>
      <c r="C359" s="289">
        <f>+K0kommunestruktur2020altern!C359</f>
        <v>10090</v>
      </c>
      <c r="D359" s="289">
        <f>+K0kommunestruktur2020altern!D359</f>
        <v>236338</v>
      </c>
      <c r="E359" s="289">
        <f>+K0kommunestruktur2020altern!E359</f>
        <v>10221</v>
      </c>
      <c r="F359" s="289">
        <f>+K0kommunestruktur2020altern!F359</f>
        <v>244837</v>
      </c>
      <c r="G359" s="289">
        <f>+K0kommunestruktur2020altern!G359</f>
        <v>10227</v>
      </c>
      <c r="H359" s="289">
        <f>+K0kommunestruktur2020altern!H359</f>
        <v>252066</v>
      </c>
      <c r="I359" s="289">
        <f>+K0kommunestruktur2020altern!I359</f>
        <v>10199</v>
      </c>
      <c r="J359" s="289">
        <f>+K0kommunestruktur2020altern!J359</f>
        <v>260082</v>
      </c>
      <c r="K359" s="289">
        <f>+K0kommunestruktur2020altern!K359</f>
        <v>10171</v>
      </c>
      <c r="L359" s="289">
        <f>+K0kommunestruktur2020altern!L359</f>
        <v>262229</v>
      </c>
      <c r="M359" s="289">
        <f>+K0kommunestruktur2020altern!M359</f>
        <v>10156</v>
      </c>
      <c r="N359" s="289">
        <f>+K0kommunestruktur2020altern!N359</f>
        <v>271207</v>
      </c>
      <c r="O359" s="289">
        <f>+K0kommunestruktur2020altern!O359</f>
        <v>10158</v>
      </c>
      <c r="P359" s="289">
        <f>+K0kommunestruktur2020altern!P359</f>
        <v>266948</v>
      </c>
      <c r="Q359" s="289">
        <f>+'K21'!C359</f>
        <v>10103</v>
      </c>
      <c r="R359" s="289">
        <f>+'K21'!Z359</f>
        <v>305104.79599999997</v>
      </c>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R361" si="6">SUM(C4:C359)</f>
        <v>5109056</v>
      </c>
      <c r="D361" s="519">
        <f t="shared" si="6"/>
        <v>128883066</v>
      </c>
      <c r="E361" s="519">
        <f t="shared" si="6"/>
        <v>5165802</v>
      </c>
      <c r="F361" s="519">
        <f t="shared" si="6"/>
        <v>136597674</v>
      </c>
      <c r="G361" s="519">
        <f t="shared" si="6"/>
        <v>5213985</v>
      </c>
      <c r="H361" s="519">
        <f t="shared" si="6"/>
        <v>149813982</v>
      </c>
      <c r="I361" s="519">
        <f t="shared" si="6"/>
        <v>5258317</v>
      </c>
      <c r="J361" s="519">
        <f t="shared" si="6"/>
        <v>156585214.00000003</v>
      </c>
      <c r="K361" s="519">
        <f t="shared" si="6"/>
        <v>5295619</v>
      </c>
      <c r="L361" s="519">
        <f t="shared" si="6"/>
        <v>162536856.00000003</v>
      </c>
      <c r="M361" s="519">
        <f t="shared" si="6"/>
        <v>5328212</v>
      </c>
      <c r="N361" s="177">
        <f t="shared" si="6"/>
        <v>170121597.00000003</v>
      </c>
      <c r="O361" s="177">
        <f t="shared" si="6"/>
        <v>5367580</v>
      </c>
      <c r="P361" s="177">
        <f t="shared" si="6"/>
        <v>168892423</v>
      </c>
      <c r="Q361" s="177">
        <f t="shared" si="6"/>
        <v>5391369</v>
      </c>
      <c r="R361" s="177">
        <f t="shared" si="6"/>
        <v>195955452.35900015</v>
      </c>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5" spans="1:20"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0" ht="13">
      <c r="B366" s="894" t="s">
        <v>2061</v>
      </c>
      <c r="C366" s="289">
        <f>-C369</f>
        <v>412.17046063202997</v>
      </c>
      <c r="D366" s="289">
        <f t="shared" ref="D366:P366" si="7">-D369</f>
        <v>9348.9959445634704</v>
      </c>
      <c r="E366" s="289">
        <f t="shared" si="7"/>
        <v>411.72803963577934</v>
      </c>
      <c r="F366" s="289">
        <f t="shared" si="7"/>
        <v>9626.8673549812538</v>
      </c>
      <c r="G366" s="289">
        <f t="shared" si="7"/>
        <v>414.32726298875201</v>
      </c>
      <c r="H366" s="289">
        <f t="shared" si="7"/>
        <v>9990.4480448580598</v>
      </c>
      <c r="I366" s="289">
        <f t="shared" si="7"/>
        <v>414.93559185859669</v>
      </c>
      <c r="J366" s="289">
        <f t="shared" si="7"/>
        <v>10523.244313604713</v>
      </c>
      <c r="K366" s="289">
        <f t="shared" si="7"/>
        <v>415.15680235672204</v>
      </c>
      <c r="L366" s="289">
        <f t="shared" si="7"/>
        <v>11333.222147830746</v>
      </c>
      <c r="M366" s="289">
        <f t="shared" si="7"/>
        <v>414.05074986609532</v>
      </c>
      <c r="N366" s="289">
        <f t="shared" si="7"/>
        <v>11704.19215318693</v>
      </c>
      <c r="O366" s="289">
        <f t="shared" si="7"/>
        <v>413</v>
      </c>
      <c r="P366" s="289">
        <f t="shared" si="7"/>
        <v>11302.672321518829</v>
      </c>
    </row>
    <row r="367" spans="1:20">
      <c r="C367" s="5"/>
      <c r="E367" s="5"/>
      <c r="F367" s="5"/>
      <c r="G367" s="5"/>
      <c r="I367" s="5"/>
      <c r="K367" s="5"/>
      <c r="M367" s="5"/>
    </row>
    <row r="368" spans="1:20"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4" t="s">
        <v>2062</v>
      </c>
      <c r="C369" s="289">
        <f>C368*$O369/$O368</f>
        <v>-412.17046063202997</v>
      </c>
      <c r="D369" s="289">
        <f>D370*C369/C368</f>
        <v>-9348.9959445634704</v>
      </c>
      <c r="E369" s="289">
        <f>E368*$O369/$O368</f>
        <v>-411.72803963577934</v>
      </c>
      <c r="F369" s="289">
        <f>F370*E369/E368</f>
        <v>-9626.8673549812538</v>
      </c>
      <c r="G369" s="289">
        <f>G368*$O369/$O368</f>
        <v>-414.32726298875201</v>
      </c>
      <c r="H369" s="289">
        <f>H370*G369/G368</f>
        <v>-9990.4480448580598</v>
      </c>
      <c r="I369" s="289">
        <f>I368*$O369/$O368</f>
        <v>-414.93559185859669</v>
      </c>
      <c r="J369" s="289">
        <f>J370*I369/I368</f>
        <v>-10523.244313604713</v>
      </c>
      <c r="K369" s="289">
        <f>K368*$O369/$O368</f>
        <v>-415.15680235672204</v>
      </c>
      <c r="L369" s="289">
        <f>L370*K369/K368</f>
        <v>-11333.222147830746</v>
      </c>
      <c r="M369" s="289">
        <f>M368*$O369/$O368</f>
        <v>-414.05074986609532</v>
      </c>
      <c r="N369" s="289">
        <f>N370*M369/M368</f>
        <v>-11704.19215318693</v>
      </c>
      <c r="O369" s="289">
        <v>-413</v>
      </c>
      <c r="P369" s="289">
        <f>P370*O369/O368</f>
        <v>-11302.672321518829</v>
      </c>
    </row>
    <row r="370" spans="1:16" ht="13">
      <c r="B370" s="885" t="s">
        <v>1838</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1620</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4" t="s">
        <v>2092</v>
      </c>
      <c r="C373" s="289">
        <f>C372*$O373/$O372</f>
        <v>-4.7917038756920878</v>
      </c>
      <c r="D373" s="289">
        <f>D374*C373/C372</f>
        <v>-95.953166636899439</v>
      </c>
      <c r="E373" s="289">
        <f>E372*$O373/$O372</f>
        <v>-4.8275361671727097</v>
      </c>
      <c r="F373" s="289">
        <f>F374*E373/E372</f>
        <v>-102.4056194186462</v>
      </c>
      <c r="G373" s="289">
        <f>G372*$O373/$O372</f>
        <v>-4.8526522593320234</v>
      </c>
      <c r="H373" s="289">
        <f>H374*G373/G372</f>
        <v>-113.77709803089837</v>
      </c>
      <c r="I373" s="289">
        <f>I372*$O373/$O372</f>
        <v>-4.8909403464904448</v>
      </c>
      <c r="J373" s="289">
        <f>J374*I373/I372</f>
        <v>-119.07346814163243</v>
      </c>
      <c r="K373" s="289">
        <f>K372*$O373/$O372</f>
        <v>-4.9154983032684409</v>
      </c>
      <c r="L373" s="289">
        <f>L374*K373/K372</f>
        <v>-124.82273620289338</v>
      </c>
      <c r="M373" s="289">
        <f>M372*$O373/$O372</f>
        <v>-4.9473120200035723</v>
      </c>
      <c r="N373" s="289">
        <f>N374*M373/M372</f>
        <v>-130.6007769244508</v>
      </c>
      <c r="O373" s="289">
        <v>-5</v>
      </c>
      <c r="P373" s="289">
        <f>P374*O373/O372</f>
        <v>-128.5331490446174</v>
      </c>
    </row>
    <row r="374" spans="1:16" ht="13">
      <c r="B374" s="885" t="s">
        <v>1838</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796</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4" t="s">
        <v>2064</v>
      </c>
      <c r="C377" s="289">
        <f>-C373</f>
        <v>4.7917038756920878</v>
      </c>
      <c r="D377" s="289">
        <f t="shared" ref="D377:P377" si="8">-D373</f>
        <v>95.953166636899439</v>
      </c>
      <c r="E377" s="289">
        <f t="shared" si="8"/>
        <v>4.8275361671727097</v>
      </c>
      <c r="F377" s="289">
        <f t="shared" si="8"/>
        <v>102.4056194186462</v>
      </c>
      <c r="G377" s="289">
        <f t="shared" si="8"/>
        <v>4.8526522593320234</v>
      </c>
      <c r="H377" s="289">
        <f t="shared" si="8"/>
        <v>113.77709803089837</v>
      </c>
      <c r="I377" s="289">
        <f t="shared" si="8"/>
        <v>4.8909403464904448</v>
      </c>
      <c r="J377" s="289">
        <f>-J373</f>
        <v>119.07346814163243</v>
      </c>
      <c r="K377" s="289">
        <f t="shared" si="8"/>
        <v>4.9154983032684409</v>
      </c>
      <c r="L377" s="289">
        <f t="shared" si="8"/>
        <v>124.82273620289338</v>
      </c>
      <c r="M377" s="289">
        <f t="shared" si="8"/>
        <v>4.9473120200035723</v>
      </c>
      <c r="N377" s="289">
        <f t="shared" si="8"/>
        <v>130.6007769244508</v>
      </c>
      <c r="O377" s="289">
        <f t="shared" si="8"/>
        <v>5</v>
      </c>
      <c r="P377" s="289">
        <f t="shared" si="8"/>
        <v>128.5331490446174</v>
      </c>
    </row>
    <row r="378" spans="1:16">
      <c r="C378" s="5"/>
      <c r="E378" s="5"/>
      <c r="F378" s="5"/>
      <c r="G378" s="5"/>
      <c r="I378" s="5"/>
      <c r="K378" s="5"/>
      <c r="M378" s="5"/>
    </row>
    <row r="379" spans="1:16" ht="13">
      <c r="A379" s="1">
        <v>3452</v>
      </c>
      <c r="B379" s="2" t="s">
        <v>868</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4" t="s">
        <v>2065</v>
      </c>
      <c r="C380" s="289">
        <f>C379*$O380/$O379</f>
        <v>-12.350117647058823</v>
      </c>
      <c r="D380" s="289">
        <f>D381*C380/C379</f>
        <v>-265.09673223529416</v>
      </c>
      <c r="E380" s="289">
        <f>E379*$O380/$O379</f>
        <v>-12.310588235294118</v>
      </c>
      <c r="F380" s="289">
        <f>F381*E380/E379</f>
        <v>-279.37139011764702</v>
      </c>
      <c r="G380" s="289">
        <f>G379*$O380/$O379</f>
        <v>-12.242823529411766</v>
      </c>
      <c r="H380" s="289">
        <f>H381*G380/G379</f>
        <v>-298.56693458823531</v>
      </c>
      <c r="I380" s="289">
        <f>I379*$O380/$O379</f>
        <v>-11.937882352941177</v>
      </c>
      <c r="J380" s="289">
        <f>J381*I380/I379</f>
        <v>-310.88289882352944</v>
      </c>
      <c r="K380" s="289">
        <f>K379*$O380/$O379</f>
        <v>-12.079058823529412</v>
      </c>
      <c r="L380" s="289">
        <f>L381*K380/K379</f>
        <v>-338.12329411764705</v>
      </c>
      <c r="M380" s="289">
        <f>M379*$O380/$O379</f>
        <v>-12.056470588235294</v>
      </c>
      <c r="N380" s="289">
        <f>N381*M380/M379</f>
        <v>-374.46211764705885</v>
      </c>
      <c r="O380" s="289">
        <v>-12</v>
      </c>
      <c r="P380" s="289">
        <f>P381*O380/O379</f>
        <v>-344.40961126892188</v>
      </c>
    </row>
    <row r="381" spans="1:16" ht="13">
      <c r="B381" s="885" t="s">
        <v>1838</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869</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4" t="s">
        <v>2066</v>
      </c>
      <c r="C384" s="289">
        <f>-C380</f>
        <v>12.350117647058823</v>
      </c>
      <c r="D384" s="289">
        <f t="shared" ref="D384:P384" si="9">-D380</f>
        <v>265.09673223529416</v>
      </c>
      <c r="E384" s="289">
        <f t="shared" si="9"/>
        <v>12.310588235294118</v>
      </c>
      <c r="F384" s="289">
        <f t="shared" si="9"/>
        <v>279.37139011764702</v>
      </c>
      <c r="G384" s="289">
        <f t="shared" si="9"/>
        <v>12.242823529411766</v>
      </c>
      <c r="H384" s="289">
        <f t="shared" si="9"/>
        <v>298.56693458823531</v>
      </c>
      <c r="I384" s="289">
        <f t="shared" si="9"/>
        <v>11.937882352941177</v>
      </c>
      <c r="J384" s="289">
        <f t="shared" si="9"/>
        <v>310.88289882352944</v>
      </c>
      <c r="K384" s="289">
        <f t="shared" si="9"/>
        <v>12.079058823529412</v>
      </c>
      <c r="L384" s="289">
        <f t="shared" si="9"/>
        <v>338.12329411764705</v>
      </c>
      <c r="M384" s="289">
        <f t="shared" si="9"/>
        <v>12.056470588235294</v>
      </c>
      <c r="N384" s="289">
        <f t="shared" si="9"/>
        <v>374.46211764705885</v>
      </c>
      <c r="O384" s="289">
        <f t="shared" si="9"/>
        <v>12</v>
      </c>
      <c r="P384" s="289">
        <f t="shared" si="9"/>
        <v>344.40961126892188</v>
      </c>
    </row>
    <row r="385" spans="1:16">
      <c r="C385" s="5"/>
      <c r="E385" s="5"/>
      <c r="F385" s="5"/>
      <c r="G385" s="5"/>
      <c r="I385" s="5"/>
      <c r="K385" s="5"/>
      <c r="M385" s="5"/>
    </row>
    <row r="386" spans="1:16">
      <c r="C386" s="5"/>
      <c r="D386" s="5"/>
      <c r="E386" s="5"/>
      <c r="F386" s="5"/>
      <c r="G386" s="5"/>
      <c r="H386" s="5"/>
      <c r="I386" s="5"/>
      <c r="J386" s="5"/>
      <c r="K386" s="5"/>
      <c r="L386" s="5"/>
      <c r="M386" s="5"/>
      <c r="N386" s="5"/>
      <c r="O386" s="5"/>
      <c r="P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2067</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2068</v>
      </c>
      <c r="C391" s="290"/>
      <c r="D391" s="177"/>
      <c r="E391" s="289"/>
      <c r="F391" s="177"/>
      <c r="G391" s="289"/>
      <c r="H391" s="177">
        <f>+H366*1000/G366</f>
        <v>24112.456353443667</v>
      </c>
      <c r="I391" s="289"/>
      <c r="J391" s="177">
        <f>+J366*1000/I366</f>
        <v>25361.151272824201</v>
      </c>
      <c r="K391" s="289"/>
      <c r="L391" s="177">
        <f>+L366*1000/K366</f>
        <v>27298.65458905022</v>
      </c>
      <c r="M391" s="289"/>
      <c r="N391" s="177">
        <f>+N366*1000/M366</f>
        <v>28267.530386002403</v>
      </c>
      <c r="P391" s="177">
        <f>+P366*1000/O366</f>
        <v>27367.245330554066</v>
      </c>
    </row>
    <row r="392" spans="1:16" ht="13">
      <c r="A392" s="1"/>
      <c r="B392" s="2" t="s">
        <v>2069</v>
      </c>
      <c r="C392" s="290"/>
      <c r="D392" s="177"/>
      <c r="E392" s="289"/>
      <c r="F392" s="177"/>
      <c r="G392" s="289"/>
      <c r="H392" s="177">
        <f>+H390*G365/(G365+G366)+H391*G366/(G365+G366)</f>
        <v>23762.942535695696</v>
      </c>
      <c r="I392" s="289"/>
      <c r="J392" s="177">
        <f>+J390*I365/(I365+I366)+J391*I366/(I365+I366)</f>
        <v>24458.641254180369</v>
      </c>
      <c r="K392" s="289"/>
      <c r="L392" s="177">
        <f>+L390*K365/(K365+K366)+L391*K366/(K365+K366)</f>
        <v>26953.68450624861</v>
      </c>
      <c r="M392" s="289"/>
      <c r="N392" s="177">
        <f>+N390*M365/(M365+M366)+N391*M366/(M365+M366)</f>
        <v>29625.566713617729</v>
      </c>
      <c r="P392" s="177">
        <f>+P390*O365/(O365+O366)+P391*O366/(O365+O366)</f>
        <v>28700.744754718333</v>
      </c>
    </row>
    <row r="393" spans="1:16" ht="13">
      <c r="A393" s="1"/>
      <c r="B393" s="2" t="s">
        <v>2071</v>
      </c>
      <c r="C393" s="290"/>
      <c r="D393" s="177"/>
      <c r="E393" s="289"/>
      <c r="F393" s="177"/>
      <c r="G393" s="289"/>
      <c r="H393" s="914">
        <f>+H392/H390</f>
        <v>1.0009226585420017</v>
      </c>
      <c r="I393" s="289"/>
      <c r="J393" s="914">
        <f>+J392/J390</f>
        <v>1.002333376090375</v>
      </c>
      <c r="K393" s="289"/>
      <c r="L393" s="914">
        <f>+L392/L390</f>
        <v>1.0008107552760019</v>
      </c>
      <c r="M393" s="914"/>
      <c r="N393" s="914">
        <f>+N392/N390</f>
        <v>0.99710447766526156</v>
      </c>
      <c r="P393" s="914">
        <f>+P392/P390</f>
        <v>0.99707093103976163</v>
      </c>
    </row>
    <row r="394" spans="1:16" ht="13">
      <c r="A394" s="1"/>
      <c r="B394" s="2"/>
      <c r="C394" s="290"/>
      <c r="D394" s="177"/>
      <c r="E394" s="289"/>
      <c r="F394" s="177"/>
      <c r="G394" s="289"/>
      <c r="H394" s="177"/>
      <c r="I394" s="289"/>
      <c r="J394" s="177"/>
      <c r="K394" s="289"/>
      <c r="L394" s="177"/>
      <c r="M394" s="289"/>
      <c r="N394"/>
    </row>
    <row r="395" spans="1:16" ht="13">
      <c r="A395" s="1"/>
      <c r="B395" s="2"/>
      <c r="C395" s="290"/>
      <c r="D395" s="177"/>
      <c r="E395" s="289"/>
      <c r="F395" s="177"/>
      <c r="G395" s="289"/>
      <c r="H395" s="177"/>
      <c r="I395" s="289"/>
      <c r="J395" s="177"/>
      <c r="K395" s="289"/>
      <c r="L395" s="177"/>
      <c r="M395" s="289"/>
      <c r="N395"/>
    </row>
    <row r="396" spans="1:16" ht="13">
      <c r="A396" s="1"/>
      <c r="B396" s="2" t="s">
        <v>2068</v>
      </c>
      <c r="C396" s="290"/>
      <c r="D396" s="177"/>
      <c r="E396" s="289"/>
      <c r="F396" s="177"/>
      <c r="G396" s="289"/>
      <c r="H396" s="177">
        <f>+H368*1000/G368</f>
        <v>24481.580352375866</v>
      </c>
      <c r="I396" s="289"/>
      <c r="J396" s="177">
        <f>+J368*1000/I368</f>
        <v>25693.455950952954</v>
      </c>
      <c r="K396" s="289"/>
      <c r="L396" s="177">
        <f>+L368*1000/K368</f>
        <v>27688.424137471695</v>
      </c>
      <c r="M396" s="289"/>
      <c r="N396" s="177">
        <f>+N368*1000/M368</f>
        <v>28657.139041004408</v>
      </c>
      <c r="P396" s="177">
        <f>+P368*1000/O368</f>
        <v>27485.136582753079</v>
      </c>
    </row>
    <row r="397" spans="1:16" ht="13">
      <c r="A397" s="1"/>
      <c r="B397" s="2" t="s">
        <v>2067</v>
      </c>
      <c r="C397" s="290"/>
      <c r="D397" s="177"/>
      <c r="E397" s="289"/>
      <c r="F397" s="177"/>
      <c r="G397" s="289"/>
      <c r="H397" s="177">
        <f>+H369*1000/G369</f>
        <v>24112.456353443667</v>
      </c>
      <c r="I397" s="289"/>
      <c r="J397" s="177">
        <f>+J369*1000/I369</f>
        <v>25361.151272824201</v>
      </c>
      <c r="K397" s="289"/>
      <c r="L397" s="177">
        <f>+L369*1000/K369</f>
        <v>27298.65458905022</v>
      </c>
      <c r="M397" s="289"/>
      <c r="N397" s="177">
        <f>+N369*1000/M369</f>
        <v>28267.530386002403</v>
      </c>
      <c r="P397" s="177">
        <f>+P369*1000/O369</f>
        <v>27367.245330554066</v>
      </c>
    </row>
    <row r="398" spans="1:16" ht="13">
      <c r="A398" s="1"/>
      <c r="B398" s="2" t="s">
        <v>2070</v>
      </c>
      <c r="C398" s="290"/>
      <c r="D398" s="177"/>
      <c r="E398" s="289"/>
      <c r="F398" s="177"/>
      <c r="G398" s="289"/>
      <c r="H398" s="177">
        <f>+H396*G368/(G368+G369)+H397*G369/(G368+G369)</f>
        <v>24503.188886969634</v>
      </c>
      <c r="I398" s="289"/>
      <c r="J398" s="177">
        <f>+J396*I368/(I368+I369)+J397*I369/(I368+I369)</f>
        <v>25712.909080941212</v>
      </c>
      <c r="K398" s="289"/>
      <c r="L398" s="177">
        <f>+L396*K368/(K368+K369)+L397*K369/(K368+K369)</f>
        <v>27711.241263410473</v>
      </c>
      <c r="M398" s="289"/>
      <c r="N398" s="177">
        <f>+N396*M368/(M368+M369)+N397*M369/(M368+M369)</f>
        <v>28679.946748235569</v>
      </c>
      <c r="P398" s="177">
        <f>+P396*O368/(O368+O369)+P397*O369/(O368+O369)</f>
        <v>27492.037941669907</v>
      </c>
    </row>
    <row r="399" spans="1:16" ht="13">
      <c r="A399" s="1"/>
      <c r="B399" s="2" t="s">
        <v>2071</v>
      </c>
      <c r="C399" s="290"/>
      <c r="D399" s="177"/>
      <c r="E399" s="289"/>
      <c r="F399" s="177"/>
      <c r="G399" s="289"/>
      <c r="H399" s="914">
        <f>+H398/H396</f>
        <v>1.0008826445957633</v>
      </c>
      <c r="I399" s="289"/>
      <c r="J399" s="914">
        <f>+J398/J396</f>
        <v>1.0007571239161206</v>
      </c>
      <c r="K399" s="289"/>
      <c r="L399" s="914">
        <f>+L398/L396</f>
        <v>1.0008240673367863</v>
      </c>
      <c r="M399" s="914"/>
      <c r="N399" s="914">
        <f>+N398/N396</f>
        <v>1.0007958822127543</v>
      </c>
      <c r="P399" s="914">
        <f>+P398/P396</f>
        <v>1.0002510942194538</v>
      </c>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719</v>
      </c>
      <c r="N1" s="177"/>
    </row>
    <row r="2" spans="1:22" s="85" customFormat="1" ht="39">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1964</v>
      </c>
      <c r="O2" s="122" t="s">
        <v>2060</v>
      </c>
      <c r="P2" s="122" t="s">
        <v>2141</v>
      </c>
      <c r="Q2" s="122" t="s">
        <v>2190</v>
      </c>
      <c r="R2" s="122" t="s">
        <v>2367</v>
      </c>
      <c r="S2" s="122" t="s">
        <v>2537</v>
      </c>
      <c r="T2" s="122" t="s">
        <v>2237</v>
      </c>
      <c r="U2" s="122" t="s">
        <v>2238</v>
      </c>
      <c r="V2" s="122" t="s">
        <v>2539</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17</v>
      </c>
      <c r="T3" s="121">
        <v>18</v>
      </c>
      <c r="U3" s="121">
        <v>19</v>
      </c>
      <c r="V3" s="121">
        <v>20</v>
      </c>
    </row>
    <row r="4" spans="1:22" s="85" customFormat="1" ht="13">
      <c r="A4" s="755">
        <v>301</v>
      </c>
      <c r="B4" s="756" t="s">
        <v>823</v>
      </c>
      <c r="C4" s="289">
        <f>+K0kommunestruktur2021altern!C4</f>
        <v>634463</v>
      </c>
      <c r="D4" s="289">
        <f>+K0kommunestruktur2021altern!D4</f>
        <v>20917085</v>
      </c>
      <c r="E4" s="289">
        <f>+K0kommunestruktur2021altern!E4</f>
        <v>647676</v>
      </c>
      <c r="F4" s="289">
        <f>+K0kommunestruktur2021altern!F4</f>
        <v>22488171</v>
      </c>
      <c r="G4" s="289">
        <f>+K0kommunestruktur2021altern!G4</f>
        <v>658390</v>
      </c>
      <c r="H4" s="289">
        <f>+K0kommunestruktur2021altern!H4</f>
        <v>25522086</v>
      </c>
      <c r="I4" s="289">
        <f>+K0kommunestruktur2021altern!I4</f>
        <v>666759</v>
      </c>
      <c r="J4" s="289">
        <f>+K0kommunestruktur2021altern!J4</f>
        <v>27402999</v>
      </c>
      <c r="K4" s="289">
        <f>+K0kommunestruktur2021altern!K4</f>
        <v>673469</v>
      </c>
      <c r="L4" s="289">
        <f>+K0kommunestruktur2021altern!L4</f>
        <v>28170461</v>
      </c>
      <c r="M4" s="289">
        <f>+K0kommunestruktur2021altern!M4</f>
        <v>681071</v>
      </c>
      <c r="N4" s="289">
        <f>+K0kommunestruktur2021altern!N4</f>
        <v>29417306</v>
      </c>
      <c r="O4" s="289">
        <f>+K0kommunestruktur2021altern!O4</f>
        <v>693494</v>
      </c>
      <c r="P4" s="289">
        <f>+K0kommunestruktur2021altern!P4</f>
        <v>29485704</v>
      </c>
      <c r="Q4" s="289">
        <f>+K0kommunestruktur2021altern!Q4</f>
        <v>697010</v>
      </c>
      <c r="R4" s="289">
        <f>+K0kommunestruktur2021altern!R4</f>
        <v>34894706.472000003</v>
      </c>
      <c r="S4" s="289">
        <f>VLOOKUP(A4,'K22'!A4:CU359,3)</f>
        <v>699827</v>
      </c>
      <c r="T4" s="289">
        <f>VLOOKUP(A4,'K22'!$A$4:$BV$359,26)</f>
        <v>40372980.685327783</v>
      </c>
      <c r="U4" s="289">
        <f>VLOOKUP(A4,'Bef.fremskr. kommunenivå MMMM'!$A$5:$K$360,8)</f>
        <v>708667</v>
      </c>
      <c r="V4" s="289">
        <f>VLOOKUP(A4,'K23'!$A$4:$BV$359,26)</f>
        <v>35363742.188434847</v>
      </c>
    </row>
    <row r="5" spans="1:22" s="85" customFormat="1" ht="13">
      <c r="A5" s="755">
        <v>1101</v>
      </c>
      <c r="B5" s="756" t="s">
        <v>958</v>
      </c>
      <c r="C5" s="289">
        <f>+K0kommunestruktur2021altern!C5</f>
        <v>14811</v>
      </c>
      <c r="D5" s="289">
        <f>+K0kommunestruktur2021altern!D5</f>
        <v>406927</v>
      </c>
      <c r="E5" s="289">
        <f>+K0kommunestruktur2021altern!E5</f>
        <v>14916</v>
      </c>
      <c r="F5" s="289">
        <f>+K0kommunestruktur2021altern!F5</f>
        <v>402775</v>
      </c>
      <c r="G5" s="289">
        <f>+K0kommunestruktur2021altern!G5</f>
        <v>14942</v>
      </c>
      <c r="H5" s="289">
        <f>+K0kommunestruktur2021altern!H5</f>
        <v>418367</v>
      </c>
      <c r="I5" s="289">
        <f>+K0kommunestruktur2021altern!I5</f>
        <v>14899</v>
      </c>
      <c r="J5" s="289">
        <f>+K0kommunestruktur2021altern!J5</f>
        <v>420764</v>
      </c>
      <c r="K5" s="289">
        <f>+K0kommunestruktur2021altern!K5</f>
        <v>14898</v>
      </c>
      <c r="L5" s="289">
        <f>+K0kommunestruktur2021altern!L5</f>
        <v>421333</v>
      </c>
      <c r="M5" s="289">
        <f>+K0kommunestruktur2021altern!M5</f>
        <v>14830</v>
      </c>
      <c r="N5" s="289">
        <f>+K0kommunestruktur2021altern!N5</f>
        <v>455451</v>
      </c>
      <c r="O5" s="289">
        <f>+K0kommunestruktur2021altern!O5</f>
        <v>14811</v>
      </c>
      <c r="P5" s="289">
        <f>+K0kommunestruktur2021altern!P5</f>
        <v>500874</v>
      </c>
      <c r="Q5" s="289">
        <f>+K0kommunestruktur2021altern!Q5</f>
        <v>14787</v>
      </c>
      <c r="R5" s="289">
        <f>+K0kommunestruktur2021altern!R5</f>
        <v>536136.80000000005</v>
      </c>
      <c r="S5" s="289">
        <f>VLOOKUP(A5,'K22'!A5:CU360,3)</f>
        <v>14860</v>
      </c>
      <c r="T5" s="289">
        <f>VLOOKUP(A5,'K22'!$A$4:$BV$359,26)</f>
        <v>598831.17437071959</v>
      </c>
      <c r="U5" s="289">
        <f>VLOOKUP(A5,'Bef.fremskr. kommunenivå MMMM'!$A$5:$K$360,8)</f>
        <v>14837</v>
      </c>
      <c r="V5" s="289">
        <f>VLOOKUP(A5,'K23'!$A$4:$BV$359,26)</f>
        <v>550337.21480567323</v>
      </c>
    </row>
    <row r="6" spans="1:22" s="85" customFormat="1" ht="13">
      <c r="A6" s="755">
        <v>1103</v>
      </c>
      <c r="B6" s="756" t="s">
        <v>960</v>
      </c>
      <c r="C6" s="289">
        <f>+K0kommunestruktur2021altern!C6</f>
        <v>138644.87816691506</v>
      </c>
      <c r="D6" s="289">
        <f>+K0kommunestruktur2021altern!D6</f>
        <v>4991267.1122578243</v>
      </c>
      <c r="E6" s="289">
        <f>+K0kommunestruktur2021altern!E6</f>
        <v>140120.82228017884</v>
      </c>
      <c r="F6" s="289">
        <f>+K0kommunestruktur2021altern!F6</f>
        <v>5154093.0967213111</v>
      </c>
      <c r="G6" s="289">
        <f>+K0kommunestruktur2021altern!G6</f>
        <v>140797.48099850968</v>
      </c>
      <c r="H6" s="289">
        <f>+K0kommunestruktur2021altern!H6</f>
        <v>5299904.5139437411</v>
      </c>
      <c r="I6" s="289">
        <f>+K0kommunestruktur2021altern!I6</f>
        <v>140931.67064083458</v>
      </c>
      <c r="J6" s="289">
        <f>+K0kommunestruktur2021altern!J6</f>
        <v>5130242.1445696717</v>
      </c>
      <c r="K6" s="289">
        <f>+K0kommunestruktur2021altern!K6</f>
        <v>141262.08979135618</v>
      </c>
      <c r="L6" s="289">
        <f>+K0kommunestruktur2021altern!L6</f>
        <v>5191491.4601341281</v>
      </c>
      <c r="M6" s="289">
        <f>+K0kommunestruktur2021altern!M6</f>
        <v>142109</v>
      </c>
      <c r="N6" s="289">
        <f>+K0kommunestruktur2021altern!N6</f>
        <v>5568608.560357675</v>
      </c>
      <c r="O6" s="289">
        <f>+K0kommunestruktur2021altern!O6</f>
        <v>143574</v>
      </c>
      <c r="P6" s="289">
        <f>+K0kommunestruktur2021altern!P6</f>
        <v>5548455</v>
      </c>
      <c r="Q6" s="289">
        <f>+K0kommunestruktur2021altern!Q6</f>
        <v>144147</v>
      </c>
      <c r="R6" s="289">
        <f>+K0kommunestruktur2021altern!R6</f>
        <v>6300497.6940000001</v>
      </c>
      <c r="S6" s="289">
        <f>VLOOKUP(A6,'K22'!A6:CU361,3)</f>
        <v>144699</v>
      </c>
      <c r="T6" s="289">
        <f>VLOOKUP(A6,'K22'!$A$4:$BV$359,26)</f>
        <v>7122395.532857229</v>
      </c>
      <c r="U6" s="289">
        <f>VLOOKUP(A6,'Bef.fremskr. kommunenivå MMMM'!$A$5:$K$360,8)</f>
        <v>146023</v>
      </c>
      <c r="V6" s="289">
        <f>VLOOKUP(A6,'K23'!$A$4:$BV$359,26)</f>
        <v>6530940.1276575858</v>
      </c>
    </row>
    <row r="7" spans="1:22" s="85" customFormat="1" ht="13">
      <c r="A7" s="755">
        <v>1106</v>
      </c>
      <c r="B7" s="756" t="s">
        <v>961</v>
      </c>
      <c r="C7" s="289">
        <f>+K0kommunestruktur2021altern!C7</f>
        <v>36099</v>
      </c>
      <c r="D7" s="289">
        <f>+K0kommunestruktur2021altern!D7</f>
        <v>907569</v>
      </c>
      <c r="E7" s="289">
        <f>+K0kommunestruktur2021altern!E7</f>
        <v>36538</v>
      </c>
      <c r="F7" s="289">
        <f>+K0kommunestruktur2021altern!F7</f>
        <v>944562</v>
      </c>
      <c r="G7" s="289">
        <f>+K0kommunestruktur2021altern!G7</f>
        <v>36951</v>
      </c>
      <c r="H7" s="289">
        <f>+K0kommunestruktur2021altern!H7</f>
        <v>980578</v>
      </c>
      <c r="I7" s="289">
        <f>+K0kommunestruktur2021altern!I7</f>
        <v>37166</v>
      </c>
      <c r="J7" s="289">
        <f>+K0kommunestruktur2021altern!J7</f>
        <v>1015625</v>
      </c>
      <c r="K7" s="289">
        <f>+K0kommunestruktur2021altern!K7</f>
        <v>37167</v>
      </c>
      <c r="L7" s="289">
        <f>+K0kommunestruktur2021altern!L7</f>
        <v>1084225</v>
      </c>
      <c r="M7" s="289">
        <f>+K0kommunestruktur2021altern!M7</f>
        <v>37250</v>
      </c>
      <c r="N7" s="289">
        <f>+K0kommunestruktur2021altern!N7</f>
        <v>1152023</v>
      </c>
      <c r="O7" s="289">
        <f>+K0kommunestruktur2021altern!O7</f>
        <v>37357</v>
      </c>
      <c r="P7" s="289">
        <f>+K0kommunestruktur2021altern!P7</f>
        <v>1111347</v>
      </c>
      <c r="Q7" s="289">
        <f>+K0kommunestruktur2021altern!Q7</f>
        <v>37323</v>
      </c>
      <c r="R7" s="289">
        <f>+K0kommunestruktur2021altern!R7</f>
        <v>1275892.7209999999</v>
      </c>
      <c r="S7" s="289">
        <f>VLOOKUP(A7,'K22'!A7:CU362,3)</f>
        <v>37444</v>
      </c>
      <c r="T7" s="289">
        <f>VLOOKUP(A7,'K22'!$A$4:$BV$359,26)</f>
        <v>1422585.6997664364</v>
      </c>
      <c r="U7" s="289">
        <f>VLOOKUP(A7,'Bef.fremskr. kommunenivå MMMM'!$A$5:$K$360,8)</f>
        <v>37774</v>
      </c>
      <c r="V7" s="289">
        <f>VLOOKUP(A7,'K23'!$A$4:$BV$359,26)</f>
        <v>1318405.1262070213</v>
      </c>
    </row>
    <row r="8" spans="1:22" s="85" customFormat="1" ht="13">
      <c r="A8" s="755">
        <v>1108</v>
      </c>
      <c r="B8" s="756" t="s">
        <v>1610</v>
      </c>
      <c r="C8" s="289">
        <f>+K0kommunestruktur2021altern!C8</f>
        <v>72972.305113160095</v>
      </c>
      <c r="D8" s="289">
        <f>+K0kommunestruktur2021altern!D8</f>
        <v>2154787.7394526405</v>
      </c>
      <c r="E8" s="289">
        <f>+K0kommunestruktur2021altern!E8</f>
        <v>74666.950544844934</v>
      </c>
      <c r="F8" s="289">
        <f>+K0kommunestruktur2021altern!F8</f>
        <v>2217307.8634928749</v>
      </c>
      <c r="G8" s="289">
        <f>+K0kommunestruktur2021altern!G8</f>
        <v>75888.851634534789</v>
      </c>
      <c r="H8" s="289">
        <f>+K0kommunestruktur2021altern!H8</f>
        <v>2316665.9280108968</v>
      </c>
      <c r="I8" s="289">
        <f>+K0kommunestruktur2021altern!I8</f>
        <v>76571.895222129082</v>
      </c>
      <c r="J8" s="289">
        <f>+K0kommunestruktur2021altern!J8</f>
        <v>2316362.2990000001</v>
      </c>
      <c r="K8" s="289">
        <f>+K0kommunestruktur2021altern!K8</f>
        <v>77403.758591785416</v>
      </c>
      <c r="L8" s="289">
        <f>+K0kommunestruktur2021altern!L8</f>
        <v>2381061.0662196144</v>
      </c>
      <c r="M8" s="289">
        <f>+K0kommunestruktur2021altern!M8</f>
        <v>78276</v>
      </c>
      <c r="N8" s="289">
        <f>+K0kommunestruktur2021altern!N8</f>
        <v>2478665.5297569153</v>
      </c>
      <c r="O8" s="289">
        <f>+K0kommunestruktur2021altern!O8</f>
        <v>79537</v>
      </c>
      <c r="P8" s="289">
        <f>+K0kommunestruktur2021altern!P8</f>
        <v>2454234</v>
      </c>
      <c r="Q8" s="289">
        <f>+K0kommunestruktur2021altern!Q8</f>
        <v>80450</v>
      </c>
      <c r="R8" s="289">
        <f>+K0kommunestruktur2021altern!R8</f>
        <v>2853855.0589999999</v>
      </c>
      <c r="S8" s="289">
        <f>VLOOKUP(A8,'K22'!A8:CU363,3)</f>
        <v>81305</v>
      </c>
      <c r="T8" s="289">
        <f>VLOOKUP(A8,'K22'!$A$4:$BV$359,26)</f>
        <v>3182371.4257908831</v>
      </c>
      <c r="U8" s="289">
        <f>VLOOKUP(A8,'Bef.fremskr. kommunenivå MMMM'!$A$5:$K$360,8)</f>
        <v>82187</v>
      </c>
      <c r="V8" s="289">
        <f>VLOOKUP(A8,'K23'!$A$4:$BV$359,26)</f>
        <v>2959761.6480656667</v>
      </c>
    </row>
    <row r="9" spans="1:22" s="85" customFormat="1" ht="13">
      <c r="A9" s="755">
        <v>1111</v>
      </c>
      <c r="B9" s="756" t="s">
        <v>962</v>
      </c>
      <c r="C9" s="289">
        <f>+K0kommunestruktur2021altern!C9</f>
        <v>3303</v>
      </c>
      <c r="D9" s="289">
        <f>+K0kommunestruktur2021altern!D9</f>
        <v>74638</v>
      </c>
      <c r="E9" s="289">
        <f>+K0kommunestruktur2021altern!E9</f>
        <v>3309</v>
      </c>
      <c r="F9" s="289">
        <f>+K0kommunestruktur2021altern!F9</f>
        <v>77414</v>
      </c>
      <c r="G9" s="289">
        <f>+K0kommunestruktur2021altern!G9</f>
        <v>3313</v>
      </c>
      <c r="H9" s="289">
        <f>+K0kommunestruktur2021altern!H9</f>
        <v>81397</v>
      </c>
      <c r="I9" s="289">
        <f>+K0kommunestruktur2021altern!I9</f>
        <v>3316</v>
      </c>
      <c r="J9" s="289">
        <f>+K0kommunestruktur2021altern!J9</f>
        <v>81393</v>
      </c>
      <c r="K9" s="289">
        <f>+K0kommunestruktur2021altern!K9</f>
        <v>3331</v>
      </c>
      <c r="L9" s="289">
        <f>+K0kommunestruktur2021altern!L9</f>
        <v>84326</v>
      </c>
      <c r="M9" s="289">
        <f>+K0kommunestruktur2021altern!M9</f>
        <v>3305</v>
      </c>
      <c r="N9" s="289">
        <f>+K0kommunestruktur2021altern!N9</f>
        <v>85248</v>
      </c>
      <c r="O9" s="289">
        <f>+K0kommunestruktur2021altern!O9</f>
        <v>3280</v>
      </c>
      <c r="P9" s="289">
        <f>+K0kommunestruktur2021altern!P9</f>
        <v>84973</v>
      </c>
      <c r="Q9" s="289">
        <f>+K0kommunestruktur2021altern!Q9</f>
        <v>3257</v>
      </c>
      <c r="R9" s="289">
        <f>+K0kommunestruktur2021altern!R9</f>
        <v>97746.770999999993</v>
      </c>
      <c r="S9" s="289">
        <f>VLOOKUP(A9,'K22'!A9:CU364,3)</f>
        <v>3281</v>
      </c>
      <c r="T9" s="289">
        <f>VLOOKUP(A9,'K22'!$A$4:$BV$359,26)</f>
        <v>106057.89258825008</v>
      </c>
      <c r="U9" s="289">
        <f>VLOOKUP(A9,'Bef.fremskr. kommunenivå MMMM'!$A$5:$K$360,8)</f>
        <v>3284</v>
      </c>
      <c r="V9" s="289">
        <f>VLOOKUP(A9,'K23'!$A$4:$BV$359,26)</f>
        <v>98606.354431175292</v>
      </c>
    </row>
    <row r="10" spans="1:22" s="85" customFormat="1" ht="13">
      <c r="A10" s="755">
        <v>1112</v>
      </c>
      <c r="B10" s="756" t="s">
        <v>963</v>
      </c>
      <c r="C10" s="289">
        <f>+K0kommunestruktur2021altern!C10</f>
        <v>3225</v>
      </c>
      <c r="D10" s="289">
        <f>+K0kommunestruktur2021altern!D10</f>
        <v>66675</v>
      </c>
      <c r="E10" s="289">
        <f>+K0kommunestruktur2021altern!E10</f>
        <v>3247</v>
      </c>
      <c r="F10" s="289">
        <f>+K0kommunestruktur2021altern!F10</f>
        <v>68275</v>
      </c>
      <c r="G10" s="289">
        <f>+K0kommunestruktur2021altern!G10</f>
        <v>3243</v>
      </c>
      <c r="H10" s="289">
        <f>+K0kommunestruktur2021altern!H10</f>
        <v>71529</v>
      </c>
      <c r="I10" s="289">
        <f>+K0kommunestruktur2021altern!I10</f>
        <v>3259</v>
      </c>
      <c r="J10" s="289">
        <f>+K0kommunestruktur2021altern!J10</f>
        <v>79675</v>
      </c>
      <c r="K10" s="289">
        <f>+K0kommunestruktur2021altern!K10</f>
        <v>3237</v>
      </c>
      <c r="L10" s="289">
        <f>+K0kommunestruktur2021altern!L10</f>
        <v>78836</v>
      </c>
      <c r="M10" s="289">
        <f>+K0kommunestruktur2021altern!M10</f>
        <v>3213</v>
      </c>
      <c r="N10" s="289">
        <f>+K0kommunestruktur2021altern!N10</f>
        <v>82728</v>
      </c>
      <c r="O10" s="289">
        <f>+K0kommunestruktur2021altern!O10</f>
        <v>3202</v>
      </c>
      <c r="P10" s="289">
        <f>+K0kommunestruktur2021altern!P10</f>
        <v>80162</v>
      </c>
      <c r="Q10" s="289">
        <f>+K0kommunestruktur2021altern!Q10</f>
        <v>3174</v>
      </c>
      <c r="R10" s="289">
        <f>+K0kommunestruktur2021altern!R10</f>
        <v>90645.703999999998</v>
      </c>
      <c r="S10" s="289">
        <f>VLOOKUP(A10,'K22'!A10:CU365,3)</f>
        <v>3178</v>
      </c>
      <c r="T10" s="289">
        <f>VLOOKUP(A10,'K22'!$A$4:$BV$359,26)</f>
        <v>103577.502253196</v>
      </c>
      <c r="U10" s="289">
        <f>VLOOKUP(A10,'Bef.fremskr. kommunenivå MMMM'!$A$5:$K$360,8)</f>
        <v>3177</v>
      </c>
      <c r="V10" s="289">
        <f>VLOOKUP(A10,'K23'!$A$4:$BV$359,26)</f>
        <v>92620.659064089748</v>
      </c>
    </row>
    <row r="11" spans="1:22" ht="13">
      <c r="A11" s="755">
        <v>1114</v>
      </c>
      <c r="B11" s="756" t="s">
        <v>0</v>
      </c>
      <c r="C11" s="289">
        <f>+K0kommunestruktur2021altern!C11</f>
        <v>2820</v>
      </c>
      <c r="D11" s="289">
        <f>+K0kommunestruktur2021altern!D11</f>
        <v>64270</v>
      </c>
      <c r="E11" s="289">
        <f>+K0kommunestruktur2021altern!E11</f>
        <v>2861</v>
      </c>
      <c r="F11" s="289">
        <f>+K0kommunestruktur2021altern!F11</f>
        <v>66516</v>
      </c>
      <c r="G11" s="289">
        <f>+K0kommunestruktur2021altern!G11</f>
        <v>2825</v>
      </c>
      <c r="H11" s="289">
        <f>+K0kommunestruktur2021altern!H11</f>
        <v>73550</v>
      </c>
      <c r="I11" s="289">
        <f>+K0kommunestruktur2021altern!I11</f>
        <v>2826</v>
      </c>
      <c r="J11" s="289">
        <f>+K0kommunestruktur2021altern!J11</f>
        <v>76011</v>
      </c>
      <c r="K11" s="289">
        <f>+K0kommunestruktur2021altern!K11</f>
        <v>2826</v>
      </c>
      <c r="L11" s="289">
        <f>+K0kommunestruktur2021altern!L11</f>
        <v>71889</v>
      </c>
      <c r="M11" s="289">
        <f>+K0kommunestruktur2021altern!M11</f>
        <v>2807</v>
      </c>
      <c r="N11" s="289">
        <f>+K0kommunestruktur2021altern!N11</f>
        <v>73711</v>
      </c>
      <c r="O11" s="289">
        <f>+K0kommunestruktur2021altern!O11</f>
        <v>2787</v>
      </c>
      <c r="P11" s="289">
        <f>+K0kommunestruktur2021altern!P11</f>
        <v>72723</v>
      </c>
      <c r="Q11" s="289">
        <f>+K0kommunestruktur2021altern!Q11</f>
        <v>2791</v>
      </c>
      <c r="R11" s="289">
        <f>+K0kommunestruktur2021altern!R11</f>
        <v>90706.262000000002</v>
      </c>
      <c r="S11" s="289">
        <f>VLOOKUP(A11,'K22'!A11:CU366,3)</f>
        <v>2789</v>
      </c>
      <c r="T11" s="289">
        <f>VLOOKUP(A11,'K22'!$A$4:$BV$359,26)</f>
        <v>96051.075772796947</v>
      </c>
      <c r="U11" s="289">
        <f>VLOOKUP(A11,'Bef.fremskr. kommunenivå MMMM'!$A$5:$K$360,8)</f>
        <v>2793</v>
      </c>
      <c r="V11" s="289">
        <f>VLOOKUP(A11,'K23'!$A$4:$BV$359,26)</f>
        <v>86937.402946582632</v>
      </c>
    </row>
    <row r="12" spans="1:22" ht="13">
      <c r="A12" s="755">
        <v>1119</v>
      </c>
      <c r="B12" s="756" t="s">
        <v>1</v>
      </c>
      <c r="C12" s="289">
        <f>+K0kommunestruktur2021altern!C12</f>
        <v>18115</v>
      </c>
      <c r="D12" s="289">
        <f>+K0kommunestruktur2021altern!D12</f>
        <v>424970</v>
      </c>
      <c r="E12" s="289">
        <f>+K0kommunestruktur2021altern!E12</f>
        <v>18528</v>
      </c>
      <c r="F12" s="289">
        <f>+K0kommunestruktur2021altern!F12</f>
        <v>436779</v>
      </c>
      <c r="G12" s="289">
        <f>+K0kommunestruktur2021altern!G12</f>
        <v>18591</v>
      </c>
      <c r="H12" s="289">
        <f>+K0kommunestruktur2021altern!H12</f>
        <v>467975</v>
      </c>
      <c r="I12" s="289">
        <f>+K0kommunestruktur2021altern!I12</f>
        <v>18800</v>
      </c>
      <c r="J12" s="289">
        <f>+K0kommunestruktur2021altern!J12</f>
        <v>470013</v>
      </c>
      <c r="K12" s="289">
        <f>+K0kommunestruktur2021altern!K12</f>
        <v>18762</v>
      </c>
      <c r="L12" s="289">
        <f>+K0kommunestruktur2021altern!L12</f>
        <v>474998</v>
      </c>
      <c r="M12" s="289">
        <f>+K0kommunestruktur2021altern!M12</f>
        <v>18814</v>
      </c>
      <c r="N12" s="289">
        <f>+K0kommunestruktur2021altern!N12</f>
        <v>500305</v>
      </c>
      <c r="O12" s="289">
        <f>+K0kommunestruktur2021altern!O12</f>
        <v>18991</v>
      </c>
      <c r="P12" s="289">
        <f>+K0kommunestruktur2021altern!P12</f>
        <v>495345</v>
      </c>
      <c r="Q12" s="289">
        <f>+K0kommunestruktur2021altern!Q12</f>
        <v>19120</v>
      </c>
      <c r="R12" s="289">
        <f>+K0kommunestruktur2021altern!R12</f>
        <v>567615.44099999999</v>
      </c>
      <c r="S12" s="289">
        <f>VLOOKUP(A12,'K22'!A12:CU367,3)</f>
        <v>19296</v>
      </c>
      <c r="T12" s="289">
        <f>VLOOKUP(A12,'K22'!$A$4:$BV$359,26)</f>
        <v>640129.98950954678</v>
      </c>
      <c r="U12" s="289">
        <f>VLOOKUP(A12,'Bef.fremskr. kommunenivå MMMM'!$A$5:$K$360,8)</f>
        <v>19450</v>
      </c>
      <c r="V12" s="289">
        <f>VLOOKUP(A12,'K23'!$A$4:$BV$359,26)</f>
        <v>589428.29601852852</v>
      </c>
    </row>
    <row r="13" spans="1:22" ht="13">
      <c r="A13" s="755">
        <v>1120</v>
      </c>
      <c r="B13" s="756" t="s">
        <v>2</v>
      </c>
      <c r="C13" s="289">
        <f>+K0kommunestruktur2021altern!C13</f>
        <v>18485</v>
      </c>
      <c r="D13" s="289">
        <f>+K0kommunestruktur2021altern!D13</f>
        <v>490669</v>
      </c>
      <c r="E13" s="289">
        <f>+K0kommunestruktur2021altern!E13</f>
        <v>18741</v>
      </c>
      <c r="F13" s="289">
        <f>+K0kommunestruktur2021altern!F13</f>
        <v>496786</v>
      </c>
      <c r="G13" s="289">
        <f>+K0kommunestruktur2021altern!G13</f>
        <v>18970</v>
      </c>
      <c r="H13" s="289">
        <f>+K0kommunestruktur2021altern!H13</f>
        <v>534018</v>
      </c>
      <c r="I13" s="289">
        <f>+K0kommunestruktur2021altern!I13</f>
        <v>19042</v>
      </c>
      <c r="J13" s="289">
        <f>+K0kommunestruktur2021altern!J13</f>
        <v>526351</v>
      </c>
      <c r="K13" s="289">
        <f>+K0kommunestruktur2021altern!K13</f>
        <v>19217</v>
      </c>
      <c r="L13" s="289">
        <f>+K0kommunestruktur2021altern!L13</f>
        <v>545564</v>
      </c>
      <c r="M13" s="289">
        <f>+K0kommunestruktur2021altern!M13</f>
        <v>19354</v>
      </c>
      <c r="N13" s="289">
        <f>+K0kommunestruktur2021altern!N13</f>
        <v>568602</v>
      </c>
      <c r="O13" s="289">
        <f>+K0kommunestruktur2021altern!O13</f>
        <v>19588</v>
      </c>
      <c r="P13" s="289">
        <f>+K0kommunestruktur2021altern!P13</f>
        <v>571777</v>
      </c>
      <c r="Q13" s="289">
        <f>+K0kommunestruktur2021altern!Q13</f>
        <v>19848</v>
      </c>
      <c r="R13" s="289">
        <f>+K0kommunestruktur2021altern!R13</f>
        <v>659797.24600000004</v>
      </c>
      <c r="S13" s="289">
        <f>VLOOKUP(A13,'K22'!A13:CU368,3)</f>
        <v>20163</v>
      </c>
      <c r="T13" s="289">
        <f>VLOOKUP(A13,'K22'!$A$4:$BV$359,26)</f>
        <v>741300.83060371177</v>
      </c>
      <c r="U13" s="289">
        <f>VLOOKUP(A13,'Bef.fremskr. kommunenivå MMMM'!$A$5:$K$360,8)</f>
        <v>20565</v>
      </c>
      <c r="V13" s="289">
        <f>VLOOKUP(A13,'K23'!$A$4:$BV$359,26)</f>
        <v>694588.66912354808</v>
      </c>
    </row>
    <row r="14" spans="1:22" ht="13">
      <c r="A14" s="755">
        <v>1121</v>
      </c>
      <c r="B14" s="756" t="s">
        <v>3</v>
      </c>
      <c r="C14" s="289">
        <f>+K0kommunestruktur2021altern!C14</f>
        <v>17897</v>
      </c>
      <c r="D14" s="289">
        <f>+K0kommunestruktur2021altern!D14</f>
        <v>477840</v>
      </c>
      <c r="E14" s="289">
        <f>+K0kommunestruktur2021altern!E14</f>
        <v>18306</v>
      </c>
      <c r="F14" s="289">
        <f>+K0kommunestruktur2021altern!F14</f>
        <v>493393</v>
      </c>
      <c r="G14" s="289">
        <f>+K0kommunestruktur2021altern!G14</f>
        <v>18572</v>
      </c>
      <c r="H14" s="289">
        <f>+K0kommunestruktur2021altern!H14</f>
        <v>534004</v>
      </c>
      <c r="I14" s="289">
        <f>+K0kommunestruktur2021altern!I14</f>
        <v>18656</v>
      </c>
      <c r="J14" s="289">
        <f>+K0kommunestruktur2021altern!J14</f>
        <v>529636</v>
      </c>
      <c r="K14" s="289">
        <f>+K0kommunestruktur2021altern!K14</f>
        <v>18699</v>
      </c>
      <c r="L14" s="289">
        <f>+K0kommunestruktur2021altern!L14</f>
        <v>540548</v>
      </c>
      <c r="M14" s="289">
        <f>+K0kommunestruktur2021altern!M14</f>
        <v>18795</v>
      </c>
      <c r="N14" s="289">
        <f>+K0kommunestruktur2021altern!N14</f>
        <v>561432</v>
      </c>
      <c r="O14" s="289">
        <f>+K0kommunestruktur2021altern!O14</f>
        <v>18916</v>
      </c>
      <c r="P14" s="289">
        <f>+K0kommunestruktur2021altern!P14</f>
        <v>563308</v>
      </c>
      <c r="Q14" s="289">
        <f>+K0kommunestruktur2021altern!Q14</f>
        <v>19106</v>
      </c>
      <c r="R14" s="289">
        <f>+K0kommunestruktur2021altern!R14</f>
        <v>690436.44499999995</v>
      </c>
      <c r="S14" s="289">
        <f>VLOOKUP(A14,'K22'!A14:CU369,3)</f>
        <v>19353</v>
      </c>
      <c r="T14" s="289">
        <f>VLOOKUP(A14,'K22'!$A$4:$BV$359,26)</f>
        <v>750725.3701118126</v>
      </c>
      <c r="U14" s="289">
        <f>VLOOKUP(A14,'Bef.fremskr. kommunenivå MMMM'!$A$5:$K$360,8)</f>
        <v>19685</v>
      </c>
      <c r="V14" s="289">
        <f>VLOOKUP(A14,'K23'!$A$4:$BV$359,26)</f>
        <v>692241.37383604236</v>
      </c>
    </row>
    <row r="15" spans="1:22" ht="13">
      <c r="A15" s="755">
        <v>1122</v>
      </c>
      <c r="B15" s="756" t="s">
        <v>4</v>
      </c>
      <c r="C15" s="289">
        <f>+K0kommunestruktur2021altern!C15</f>
        <v>11317</v>
      </c>
      <c r="D15" s="289">
        <f>+K0kommunestruktur2021altern!D15</f>
        <v>281779</v>
      </c>
      <c r="E15" s="289">
        <f>+K0kommunestruktur2021altern!E15</f>
        <v>11600</v>
      </c>
      <c r="F15" s="289">
        <f>+K0kommunestruktur2021altern!F15</f>
        <v>293175</v>
      </c>
      <c r="G15" s="289">
        <f>+K0kommunestruktur2021altern!G15</f>
        <v>11853</v>
      </c>
      <c r="H15" s="289">
        <f>+K0kommunestruktur2021altern!H15</f>
        <v>310148</v>
      </c>
      <c r="I15" s="289">
        <f>+K0kommunestruktur2021altern!I15</f>
        <v>11902</v>
      </c>
      <c r="J15" s="289">
        <f>+K0kommunestruktur2021altern!J15</f>
        <v>305892</v>
      </c>
      <c r="K15" s="289">
        <f>+K0kommunestruktur2021altern!K15</f>
        <v>11866</v>
      </c>
      <c r="L15" s="289">
        <f>+K0kommunestruktur2021altern!L15</f>
        <v>315579</v>
      </c>
      <c r="M15" s="289">
        <f>+K0kommunestruktur2021altern!M15</f>
        <v>11899</v>
      </c>
      <c r="N15" s="289">
        <f>+K0kommunestruktur2021altern!N15</f>
        <v>328082</v>
      </c>
      <c r="O15" s="289">
        <f>+K0kommunestruktur2021altern!O15</f>
        <v>12002</v>
      </c>
      <c r="P15" s="289">
        <f>+K0kommunestruktur2021altern!P15</f>
        <v>324379</v>
      </c>
      <c r="Q15" s="289">
        <f>+K0kommunestruktur2021altern!Q15</f>
        <v>12064</v>
      </c>
      <c r="R15" s="289">
        <f>+K0kommunestruktur2021altern!R15</f>
        <v>371633.98</v>
      </c>
      <c r="S15" s="289">
        <f>VLOOKUP(A15,'K22'!A15:CU370,3)</f>
        <v>12131</v>
      </c>
      <c r="T15" s="289">
        <f>VLOOKUP(A15,'K22'!$A$4:$BV$359,26)</f>
        <v>412200.85335821175</v>
      </c>
      <c r="U15" s="289">
        <f>VLOOKUP(A15,'Bef.fremskr. kommunenivå MMMM'!$A$5:$K$360,8)</f>
        <v>12280</v>
      </c>
      <c r="V15" s="289">
        <f>VLOOKUP(A15,'K23'!$A$4:$BV$359,26)</f>
        <v>385412.83274138503</v>
      </c>
    </row>
    <row r="16" spans="1:22" ht="13">
      <c r="A16" s="755">
        <v>1124</v>
      </c>
      <c r="B16" s="756" t="s">
        <v>5</v>
      </c>
      <c r="C16" s="289">
        <f>+K0kommunestruktur2021altern!C16</f>
        <v>25083</v>
      </c>
      <c r="D16" s="289">
        <f>+K0kommunestruktur2021altern!D16</f>
        <v>894740</v>
      </c>
      <c r="E16" s="289">
        <f>+K0kommunestruktur2021altern!E16</f>
        <v>25708</v>
      </c>
      <c r="F16" s="289">
        <f>+K0kommunestruktur2021altern!F16</f>
        <v>961647</v>
      </c>
      <c r="G16" s="289">
        <f>+K0kommunestruktur2021altern!G16</f>
        <v>26096</v>
      </c>
      <c r="H16" s="289">
        <f>+K0kommunestruktur2021altern!H16</f>
        <v>986777</v>
      </c>
      <c r="I16" s="289">
        <f>+K0kommunestruktur2021altern!I16</f>
        <v>26016</v>
      </c>
      <c r="J16" s="289">
        <f>+K0kommunestruktur2021altern!J16</f>
        <v>945204</v>
      </c>
      <c r="K16" s="289">
        <f>+K0kommunestruktur2021altern!K16</f>
        <v>26265</v>
      </c>
      <c r="L16" s="289">
        <f>+K0kommunestruktur2021altern!L16</f>
        <v>971476</v>
      </c>
      <c r="M16" s="289">
        <f>+K0kommunestruktur2021altern!M16</f>
        <v>26582</v>
      </c>
      <c r="N16" s="289">
        <f>+K0kommunestruktur2021altern!N16</f>
        <v>1049894</v>
      </c>
      <c r="O16" s="289">
        <f>+K0kommunestruktur2021altern!O16</f>
        <v>27153</v>
      </c>
      <c r="P16" s="289">
        <f>+K0kommunestruktur2021altern!P16</f>
        <v>1057879</v>
      </c>
      <c r="Q16" s="289">
        <f>+K0kommunestruktur2021altern!Q16</f>
        <v>27457</v>
      </c>
      <c r="R16" s="289">
        <f>+K0kommunestruktur2021altern!R16</f>
        <v>1204713.132</v>
      </c>
      <c r="S16" s="289">
        <f>VLOOKUP(A16,'K22'!A16:CU371,3)</f>
        <v>27568</v>
      </c>
      <c r="T16" s="289">
        <f>VLOOKUP(A16,'K22'!$A$4:$BV$359,26)</f>
        <v>1365282.8819165947</v>
      </c>
      <c r="U16" s="289">
        <f>VLOOKUP(A16,'Bef.fremskr. kommunenivå MMMM'!$A$5:$K$360,8)</f>
        <v>27943</v>
      </c>
      <c r="V16" s="289">
        <f>VLOOKUP(A16,'K23'!$A$4:$BV$359,26)</f>
        <v>1258082.2765584805</v>
      </c>
    </row>
    <row r="17" spans="1:22" ht="13">
      <c r="A17" s="755">
        <v>1127</v>
      </c>
      <c r="B17" s="756" t="s">
        <v>6</v>
      </c>
      <c r="C17" s="289">
        <f>+K0kommunestruktur2021altern!C17</f>
        <v>10416</v>
      </c>
      <c r="D17" s="289">
        <f>+K0kommunestruktur2021altern!D17</f>
        <v>337979</v>
      </c>
      <c r="E17" s="289">
        <f>+K0kommunestruktur2021altern!E17</f>
        <v>10556</v>
      </c>
      <c r="F17" s="289">
        <f>+K0kommunestruktur2021altern!F17</f>
        <v>344173</v>
      </c>
      <c r="G17" s="289">
        <f>+K0kommunestruktur2021altern!G17</f>
        <v>10737</v>
      </c>
      <c r="H17" s="289">
        <f>+K0kommunestruktur2021altern!H17</f>
        <v>354504</v>
      </c>
      <c r="I17" s="289">
        <f>+K0kommunestruktur2021altern!I17</f>
        <v>10873</v>
      </c>
      <c r="J17" s="289">
        <f>+K0kommunestruktur2021altern!J17</f>
        <v>341416</v>
      </c>
      <c r="K17" s="289">
        <f>+K0kommunestruktur2021altern!K17</f>
        <v>10972</v>
      </c>
      <c r="L17" s="289">
        <f>+K0kommunestruktur2021altern!L17</f>
        <v>354189</v>
      </c>
      <c r="M17" s="289">
        <f>+K0kommunestruktur2021altern!M17</f>
        <v>11053</v>
      </c>
      <c r="N17" s="289">
        <f>+K0kommunestruktur2021altern!N17</f>
        <v>377149</v>
      </c>
      <c r="O17" s="289">
        <f>+K0kommunestruktur2021altern!O17</f>
        <v>11221</v>
      </c>
      <c r="P17" s="289">
        <f>+K0kommunestruktur2021altern!P17</f>
        <v>389630</v>
      </c>
      <c r="Q17" s="289">
        <f>+K0kommunestruktur2021altern!Q17</f>
        <v>11315</v>
      </c>
      <c r="R17" s="289">
        <f>+K0kommunestruktur2021altern!R17</f>
        <v>441758.745</v>
      </c>
      <c r="S17" s="289">
        <f>VLOOKUP(A17,'K22'!A17:CU372,3)</f>
        <v>11454</v>
      </c>
      <c r="T17" s="289">
        <f>VLOOKUP(A17,'K22'!$A$4:$BV$359,26)</f>
        <v>500712.29143816564</v>
      </c>
      <c r="U17" s="289">
        <f>VLOOKUP(A17,'Bef.fremskr. kommunenivå MMMM'!$A$5:$K$360,8)</f>
        <v>11602</v>
      </c>
      <c r="V17" s="289">
        <f>VLOOKUP(A17,'K23'!$A$4:$BV$359,26)</f>
        <v>460510.74804054195</v>
      </c>
    </row>
    <row r="18" spans="1:22" ht="13">
      <c r="A18" s="755">
        <v>1130</v>
      </c>
      <c r="B18" s="756" t="s">
        <v>12</v>
      </c>
      <c r="C18" s="289">
        <f>+K0kommunestruktur2021altern!C18</f>
        <v>12308.694886839899</v>
      </c>
      <c r="D18" s="289">
        <f>+K0kommunestruktur2021altern!D18</f>
        <v>297993.26054735959</v>
      </c>
      <c r="E18" s="289">
        <f>+K0kommunestruktur2021altern!E18</f>
        <v>12560.049455155071</v>
      </c>
      <c r="F18" s="289">
        <f>+K0kommunestruktur2021altern!F18</f>
        <v>303168.13650712487</v>
      </c>
      <c r="G18" s="289">
        <f>+K0kommunestruktur2021altern!G18</f>
        <v>12633.148365465213</v>
      </c>
      <c r="H18" s="289">
        <f>+K0kommunestruktur2021altern!H18</f>
        <v>331904.0719891031</v>
      </c>
      <c r="I18" s="289">
        <f>+K0kommunestruktur2021altern!I18</f>
        <v>12832.104777870914</v>
      </c>
      <c r="J18" s="289">
        <f>+K0kommunestruktur2021altern!J18</f>
        <v>337756.701</v>
      </c>
      <c r="K18" s="289">
        <f>+K0kommunestruktur2021altern!K18</f>
        <v>12808.241408214584</v>
      </c>
      <c r="L18" s="289">
        <f>+K0kommunestruktur2021altern!L18</f>
        <v>346084.93378038559</v>
      </c>
      <c r="M18" s="289">
        <f>+K0kommunestruktur2021altern!M18</f>
        <v>12883</v>
      </c>
      <c r="N18" s="289">
        <f>+K0kommunestruktur2021altern!N18</f>
        <v>363431.47024308465</v>
      </c>
      <c r="O18" s="289">
        <f>+K0kommunestruktur2021altern!O18</f>
        <v>12968</v>
      </c>
      <c r="P18" s="289">
        <f>+K0kommunestruktur2021altern!P18</f>
        <v>352943</v>
      </c>
      <c r="Q18" s="289">
        <f>+K0kommunestruktur2021altern!Q18</f>
        <v>13070</v>
      </c>
      <c r="R18" s="289">
        <f>+K0kommunestruktur2021altern!R18</f>
        <v>415521.48</v>
      </c>
      <c r="S18" s="289">
        <f>VLOOKUP(A18,'K22'!A18:CU373,3)</f>
        <v>13268</v>
      </c>
      <c r="T18" s="289">
        <f>VLOOKUP(A18,'K22'!$A$4:$BV$359,26)</f>
        <v>464838.83183582057</v>
      </c>
      <c r="U18" s="289">
        <f>VLOOKUP(A18,'Bef.fremskr. kommunenivå MMMM'!$A$5:$K$360,8)</f>
        <v>13386</v>
      </c>
      <c r="V18" s="289">
        <f>VLOOKUP(A18,'K23'!$A$4:$BV$359,26)</f>
        <v>429182.68057767284</v>
      </c>
    </row>
    <row r="19" spans="1:22" ht="13">
      <c r="A19" s="755">
        <v>1133</v>
      </c>
      <c r="B19" s="756" t="s">
        <v>13</v>
      </c>
      <c r="C19" s="289">
        <f>+K0kommunestruktur2021altern!C19</f>
        <v>2709.1218330849479</v>
      </c>
      <c r="D19" s="289">
        <f>+K0kommunestruktur2021altern!D19</f>
        <v>84612.887742175852</v>
      </c>
      <c r="E19" s="289">
        <f>+K0kommunestruktur2021altern!E19</f>
        <v>2707.1777198211626</v>
      </c>
      <c r="F19" s="289">
        <f>+K0kommunestruktur2021altern!F19</f>
        <v>89587.903278688522</v>
      </c>
      <c r="G19" s="289">
        <f>+K0kommunestruktur2021altern!G19</f>
        <v>2660.5190014903128</v>
      </c>
      <c r="H19" s="289">
        <f>+K0kommunestruktur2021altern!H19</f>
        <v>92345.486056259309</v>
      </c>
      <c r="I19" s="289">
        <f>+K0kommunestruktur2021altern!I19</f>
        <v>2632.3293591654246</v>
      </c>
      <c r="J19" s="289">
        <f>+K0kommunestruktur2021altern!J19</f>
        <v>93003.855430327865</v>
      </c>
      <c r="K19" s="289">
        <f>+K0kommunestruktur2021altern!K19</f>
        <v>2646.9102086438152</v>
      </c>
      <c r="L19" s="289">
        <f>+K0kommunestruktur2021altern!L19</f>
        <v>92689.539865871833</v>
      </c>
      <c r="M19" s="289">
        <f>+K0kommunestruktur2021altern!M19</f>
        <v>2609</v>
      </c>
      <c r="N19" s="289">
        <f>+K0kommunestruktur2021altern!N19</f>
        <v>93661.439642324884</v>
      </c>
      <c r="O19" s="289">
        <f>+K0kommunestruktur2021altern!O19</f>
        <v>2574</v>
      </c>
      <c r="P19" s="289">
        <f>+K0kommunestruktur2021altern!P19</f>
        <v>94093</v>
      </c>
      <c r="Q19" s="289">
        <f>+K0kommunestruktur2021altern!Q19</f>
        <v>2580</v>
      </c>
      <c r="R19" s="289">
        <f>+K0kommunestruktur2021altern!R19</f>
        <v>106916.879</v>
      </c>
      <c r="S19" s="289">
        <f>VLOOKUP(A19,'K22'!A19:CU374,3)</f>
        <v>2534</v>
      </c>
      <c r="T19" s="289">
        <f>VLOOKUP(A19,'K22'!$A$4:$BV$359,26)</f>
        <v>109581.72396093218</v>
      </c>
      <c r="U19" s="289">
        <f>VLOOKUP(A19,'Bef.fremskr. kommunenivå MMMM'!$A$5:$K$360,8)</f>
        <v>2540</v>
      </c>
      <c r="V19" s="289">
        <f>VLOOKUP(A19,'K23'!$A$4:$BV$359,26)</f>
        <v>104479.72657756608</v>
      </c>
    </row>
    <row r="20" spans="1:22" ht="13">
      <c r="A20" s="755">
        <v>1134</v>
      </c>
      <c r="B20" s="756" t="s">
        <v>14</v>
      </c>
      <c r="C20" s="289">
        <f>+K0kommunestruktur2021altern!C20</f>
        <v>3881</v>
      </c>
      <c r="D20" s="289">
        <f>+K0kommunestruktur2021altern!D20</f>
        <v>128925</v>
      </c>
      <c r="E20" s="289">
        <f>+K0kommunestruktur2021altern!E20</f>
        <v>3892</v>
      </c>
      <c r="F20" s="289">
        <f>+K0kommunestruktur2021altern!F20</f>
        <v>135306</v>
      </c>
      <c r="G20" s="289">
        <f>+K0kommunestruktur2021altern!G20</f>
        <v>3903</v>
      </c>
      <c r="H20" s="289">
        <f>+K0kommunestruktur2021altern!H20</f>
        <v>141024</v>
      </c>
      <c r="I20" s="289">
        <f>+K0kommunestruktur2021altern!I20</f>
        <v>3853</v>
      </c>
      <c r="J20" s="289">
        <f>+K0kommunestruktur2021altern!J20</f>
        <v>145448</v>
      </c>
      <c r="K20" s="289">
        <f>+K0kommunestruktur2021altern!K20</f>
        <v>3849</v>
      </c>
      <c r="L20" s="289">
        <f>+K0kommunestruktur2021altern!L20</f>
        <v>153606</v>
      </c>
      <c r="M20" s="289">
        <f>+K0kommunestruktur2021altern!M20</f>
        <v>3794</v>
      </c>
      <c r="N20" s="289">
        <f>+K0kommunestruktur2021altern!N20</f>
        <v>156911</v>
      </c>
      <c r="O20" s="289">
        <f>+K0kommunestruktur2021altern!O20</f>
        <v>3804</v>
      </c>
      <c r="P20" s="289">
        <f>+K0kommunestruktur2021altern!P20</f>
        <v>148300</v>
      </c>
      <c r="Q20" s="289">
        <f>+K0kommunestruktur2021altern!Q20</f>
        <v>3809</v>
      </c>
      <c r="R20" s="289">
        <f>+K0kommunestruktur2021altern!R20</f>
        <v>161349.04399999999</v>
      </c>
      <c r="S20" s="289">
        <f>VLOOKUP(A20,'K22'!A20:CU375,3)</f>
        <v>3784</v>
      </c>
      <c r="T20" s="289">
        <f>VLOOKUP(A20,'K22'!$A$4:$BV$359,26)</f>
        <v>172365.08798470479</v>
      </c>
      <c r="U20" s="289">
        <f>VLOOKUP(A20,'Bef.fremskr. kommunenivå MMMM'!$A$5:$K$360,8)</f>
        <v>3769</v>
      </c>
      <c r="V20" s="289">
        <f>VLOOKUP(A20,'K23'!$A$4:$BV$359,26)</f>
        <v>165382.86139418001</v>
      </c>
    </row>
    <row r="21" spans="1:22" ht="13">
      <c r="A21" s="755">
        <v>1135</v>
      </c>
      <c r="B21" s="756" t="s">
        <v>15</v>
      </c>
      <c r="C21" s="289">
        <f>+K0kommunestruktur2021altern!C21</f>
        <v>4760</v>
      </c>
      <c r="D21" s="289">
        <f>+K0kommunestruktur2021altern!D21</f>
        <v>127106</v>
      </c>
      <c r="E21" s="289">
        <f>+K0kommunestruktur2021altern!E21</f>
        <v>4756</v>
      </c>
      <c r="F21" s="289">
        <f>+K0kommunestruktur2021altern!F21</f>
        <v>134334</v>
      </c>
      <c r="G21" s="289">
        <f>+K0kommunestruktur2021altern!G21</f>
        <v>4710</v>
      </c>
      <c r="H21" s="289">
        <f>+K0kommunestruktur2021altern!H21</f>
        <v>112299</v>
      </c>
      <c r="I21" s="289">
        <f>+K0kommunestruktur2021altern!I21</f>
        <v>4760</v>
      </c>
      <c r="J21" s="289">
        <f>+K0kommunestruktur2021altern!J21</f>
        <v>154229</v>
      </c>
      <c r="K21" s="289">
        <f>+K0kommunestruktur2021altern!K21</f>
        <v>4663</v>
      </c>
      <c r="L21" s="289">
        <f>+K0kommunestruktur2021altern!L21</f>
        <v>132320</v>
      </c>
      <c r="M21" s="289">
        <f>+K0kommunestruktur2021altern!M21</f>
        <v>4597</v>
      </c>
      <c r="N21" s="289">
        <f>+K0kommunestruktur2021altern!N21</f>
        <v>152473</v>
      </c>
      <c r="O21" s="289">
        <f>+K0kommunestruktur2021altern!O21</f>
        <v>4595</v>
      </c>
      <c r="P21" s="289">
        <f>+K0kommunestruktur2021altern!P21</f>
        <v>146125</v>
      </c>
      <c r="Q21" s="289">
        <f>+K0kommunestruktur2021altern!Q21</f>
        <v>4561</v>
      </c>
      <c r="R21" s="289">
        <f>+K0kommunestruktur2021altern!R21</f>
        <v>157986.484</v>
      </c>
      <c r="S21" s="289">
        <f>VLOOKUP(A21,'K22'!A21:CU376,3)</f>
        <v>4525</v>
      </c>
      <c r="T21" s="289">
        <f>VLOOKUP(A21,'K22'!$A$4:$BV$359,26)</f>
        <v>172919.98921582819</v>
      </c>
      <c r="U21" s="289">
        <f>VLOOKUP(A21,'Bef.fremskr. kommunenivå MMMM'!$A$5:$K$360,8)</f>
        <v>4485</v>
      </c>
      <c r="V21" s="289">
        <f>VLOOKUP(A21,'K23'!$A$4:$BV$359,26)</f>
        <v>163103.62435919614</v>
      </c>
    </row>
    <row r="22" spans="1:22" ht="13">
      <c r="A22" s="755">
        <v>1144</v>
      </c>
      <c r="B22" s="756" t="s">
        <v>18</v>
      </c>
      <c r="C22" s="289">
        <f>+K0kommunestruktur2021altern!C22</f>
        <v>531</v>
      </c>
      <c r="D22" s="289">
        <f>+K0kommunestruktur2021altern!D22</f>
        <v>11917</v>
      </c>
      <c r="E22" s="289">
        <f>+K0kommunestruktur2021altern!E22</f>
        <v>534</v>
      </c>
      <c r="F22" s="289">
        <f>+K0kommunestruktur2021altern!F22</f>
        <v>12526</v>
      </c>
      <c r="G22" s="289">
        <f>+K0kommunestruktur2021altern!G22</f>
        <v>524</v>
      </c>
      <c r="H22" s="289">
        <f>+K0kommunestruktur2021altern!H22</f>
        <v>12573</v>
      </c>
      <c r="I22" s="289">
        <f>+K0kommunestruktur2021altern!I22</f>
        <v>534</v>
      </c>
      <c r="J22" s="289">
        <f>+K0kommunestruktur2021altern!J22</f>
        <v>15385</v>
      </c>
      <c r="K22" s="289">
        <f>+K0kommunestruktur2021altern!K22</f>
        <v>542</v>
      </c>
      <c r="L22" s="289">
        <f>+K0kommunestruktur2021altern!L22</f>
        <v>14773</v>
      </c>
      <c r="M22" s="289">
        <f>+K0kommunestruktur2021altern!M22</f>
        <v>516</v>
      </c>
      <c r="N22" s="289">
        <f>+K0kommunestruktur2021altern!N22</f>
        <v>14046</v>
      </c>
      <c r="O22" s="289">
        <f>+K0kommunestruktur2021altern!O22</f>
        <v>517</v>
      </c>
      <c r="P22" s="289">
        <f>+K0kommunestruktur2021altern!P22</f>
        <v>13557</v>
      </c>
      <c r="Q22" s="289">
        <f>+K0kommunestruktur2021altern!Q22</f>
        <v>507</v>
      </c>
      <c r="R22" s="289">
        <f>+K0kommunestruktur2021altern!R22</f>
        <v>15499.978999999999</v>
      </c>
      <c r="S22" s="289">
        <f>VLOOKUP(A22,'K22'!A22:CU377,3)</f>
        <v>523</v>
      </c>
      <c r="T22" s="289">
        <f>VLOOKUP(A22,'K22'!$A$4:$BV$359,26)</f>
        <v>17421.053612376672</v>
      </c>
      <c r="U22" s="289">
        <f>VLOOKUP(A22,'Bef.fremskr. kommunenivå MMMM'!$A$5:$K$360,8)</f>
        <v>531</v>
      </c>
      <c r="V22" s="289">
        <f>VLOOKUP(A22,'K23'!$A$4:$BV$359,26)</f>
        <v>16406.469307238709</v>
      </c>
    </row>
    <row r="23" spans="1:22" ht="13">
      <c r="A23" s="755">
        <v>1145</v>
      </c>
      <c r="B23" s="756" t="s">
        <v>19</v>
      </c>
      <c r="C23" s="289">
        <f>+K0kommunestruktur2021altern!C23</f>
        <v>868</v>
      </c>
      <c r="D23" s="289">
        <f>+K0kommunestruktur2021altern!D23</f>
        <v>19718</v>
      </c>
      <c r="E23" s="289">
        <f>+K0kommunestruktur2021altern!E23</f>
        <v>865</v>
      </c>
      <c r="F23" s="289">
        <f>+K0kommunestruktur2021altern!F23</f>
        <v>19578</v>
      </c>
      <c r="G23" s="289">
        <f>+K0kommunestruktur2021altern!G23</f>
        <v>865</v>
      </c>
      <c r="H23" s="289">
        <f>+K0kommunestruktur2021altern!H23</f>
        <v>20265</v>
      </c>
      <c r="I23" s="289">
        <f>+K0kommunestruktur2021altern!I23</f>
        <v>855</v>
      </c>
      <c r="J23" s="289">
        <f>+K0kommunestruktur2021altern!J23</f>
        <v>20969</v>
      </c>
      <c r="K23" s="289">
        <f>+K0kommunestruktur2021altern!K23</f>
        <v>844</v>
      </c>
      <c r="L23" s="289">
        <f>+K0kommunestruktur2021altern!L23</f>
        <v>21260</v>
      </c>
      <c r="M23" s="289">
        <f>+K0kommunestruktur2021altern!M23</f>
        <v>840</v>
      </c>
      <c r="N23" s="289">
        <f>+K0kommunestruktur2021altern!N23</f>
        <v>23216</v>
      </c>
      <c r="O23" s="289">
        <f>+K0kommunestruktur2021altern!O23</f>
        <v>852</v>
      </c>
      <c r="P23" s="289">
        <f>+K0kommunestruktur2021altern!P23</f>
        <v>23677</v>
      </c>
      <c r="Q23" s="289">
        <f>+K0kommunestruktur2021altern!Q23</f>
        <v>859</v>
      </c>
      <c r="R23" s="289">
        <f>+K0kommunestruktur2021altern!R23</f>
        <v>27882.303</v>
      </c>
      <c r="S23" s="289">
        <f>VLOOKUP(A23,'K22'!A23:CU378,3)</f>
        <v>855</v>
      </c>
      <c r="T23" s="289">
        <f>VLOOKUP(A23,'K22'!$A$4:$BV$359,26)</f>
        <v>29005.962967901927</v>
      </c>
      <c r="U23" s="289">
        <f>VLOOKUP(A23,'Bef.fremskr. kommunenivå MMMM'!$A$5:$K$360,8)</f>
        <v>846</v>
      </c>
      <c r="V23" s="289">
        <f>VLOOKUP(A23,'K23'!$A$4:$BV$359,26)</f>
        <v>27326.288347378995</v>
      </c>
    </row>
    <row r="24" spans="1:22" ht="13">
      <c r="A24" s="755">
        <v>1146</v>
      </c>
      <c r="B24" s="756" t="s">
        <v>20</v>
      </c>
      <c r="C24" s="289">
        <f>+K0kommunestruktur2021altern!C24</f>
        <v>10668</v>
      </c>
      <c r="D24" s="289">
        <f>+K0kommunestruktur2021altern!D24</f>
        <v>246736</v>
      </c>
      <c r="E24" s="289">
        <f>+K0kommunestruktur2021altern!E24</f>
        <v>10857</v>
      </c>
      <c r="F24" s="289">
        <f>+K0kommunestruktur2021altern!F24</f>
        <v>255555</v>
      </c>
      <c r="G24" s="289">
        <f>+K0kommunestruktur2021altern!G24</f>
        <v>10925</v>
      </c>
      <c r="H24" s="289">
        <f>+K0kommunestruktur2021altern!H24</f>
        <v>264000</v>
      </c>
      <c r="I24" s="289">
        <f>+K0kommunestruktur2021altern!I24</f>
        <v>11041</v>
      </c>
      <c r="J24" s="289">
        <f>+K0kommunestruktur2021altern!J24</f>
        <v>279974</v>
      </c>
      <c r="K24" s="289">
        <f>+K0kommunestruktur2021altern!K24</f>
        <v>11023</v>
      </c>
      <c r="L24" s="289">
        <f>+K0kommunestruktur2021altern!L24</f>
        <v>296653</v>
      </c>
      <c r="M24" s="289">
        <f>+K0kommunestruktur2021altern!M24</f>
        <v>11028</v>
      </c>
      <c r="N24" s="289">
        <f>+K0kommunestruktur2021altern!N24</f>
        <v>303352</v>
      </c>
      <c r="O24" s="289">
        <f>+K0kommunestruktur2021altern!O24</f>
        <v>11065</v>
      </c>
      <c r="P24" s="289">
        <f>+K0kommunestruktur2021altern!P24</f>
        <v>296200</v>
      </c>
      <c r="Q24" s="289">
        <f>+K0kommunestruktur2021altern!Q24</f>
        <v>11178</v>
      </c>
      <c r="R24" s="289">
        <f>+K0kommunestruktur2021altern!R24</f>
        <v>356276.337</v>
      </c>
      <c r="S24" s="289">
        <f>VLOOKUP(A24,'K22'!A24:CU379,3)</f>
        <v>11283</v>
      </c>
      <c r="T24" s="289">
        <f>VLOOKUP(A24,'K22'!$A$4:$BV$359,26)</f>
        <v>383659.23323855904</v>
      </c>
      <c r="U24" s="289">
        <f>VLOOKUP(A24,'Bef.fremskr. kommunenivå MMMM'!$A$5:$K$360,8)</f>
        <v>11391</v>
      </c>
      <c r="V24" s="289">
        <f>VLOOKUP(A24,'K23'!$A$4:$BV$359,26)</f>
        <v>360603.23699827457</v>
      </c>
    </row>
    <row r="25" spans="1:22" ht="13">
      <c r="A25" s="755">
        <v>1149</v>
      </c>
      <c r="B25" s="756" t="s">
        <v>21</v>
      </c>
      <c r="C25" s="289">
        <f>+K0kommunestruktur2021altern!C25</f>
        <v>41753</v>
      </c>
      <c r="D25" s="289">
        <f>+K0kommunestruktur2021altern!D25</f>
        <v>951724</v>
      </c>
      <c r="E25" s="289">
        <f>+K0kommunestruktur2021altern!E25</f>
        <v>42062</v>
      </c>
      <c r="F25" s="289">
        <f>+K0kommunestruktur2021altern!F25</f>
        <v>983888</v>
      </c>
      <c r="G25" s="289">
        <f>+K0kommunestruktur2021altern!G25</f>
        <v>42187</v>
      </c>
      <c r="H25" s="289">
        <f>+K0kommunestruktur2021altern!H25</f>
        <v>1031685</v>
      </c>
      <c r="I25" s="289">
        <f>+K0kommunestruktur2021altern!I25</f>
        <v>42229</v>
      </c>
      <c r="J25" s="289">
        <f>+K0kommunestruktur2021altern!J25</f>
        <v>1048090</v>
      </c>
      <c r="K25" s="289">
        <f>+K0kommunestruktur2021altern!K25</f>
        <v>42243</v>
      </c>
      <c r="L25" s="289">
        <f>+K0kommunestruktur2021altern!L25</f>
        <v>1089363</v>
      </c>
      <c r="M25" s="289">
        <f>+K0kommunestruktur2021altern!M25</f>
        <v>42161</v>
      </c>
      <c r="N25" s="289">
        <f>+K0kommunestruktur2021altern!N25</f>
        <v>1149890</v>
      </c>
      <c r="O25" s="289">
        <f>+K0kommunestruktur2021altern!O25</f>
        <v>42186</v>
      </c>
      <c r="P25" s="289">
        <f>+K0kommunestruktur2021altern!P25</f>
        <v>1125826</v>
      </c>
      <c r="Q25" s="289">
        <f>+K0kommunestruktur2021altern!Q25</f>
        <v>42345</v>
      </c>
      <c r="R25" s="289">
        <f>+K0kommunestruktur2021altern!R25</f>
        <v>1289099.81</v>
      </c>
      <c r="S25" s="289">
        <f>VLOOKUP(A25,'K22'!A25:CU380,3)</f>
        <v>42541</v>
      </c>
      <c r="T25" s="289">
        <f>VLOOKUP(A25,'K22'!$A$4:$BV$359,26)</f>
        <v>1434075.305013987</v>
      </c>
      <c r="U25" s="289">
        <f>VLOOKUP(A25,'Bef.fremskr. kommunenivå MMMM'!$A$5:$K$360,8)</f>
        <v>42596</v>
      </c>
      <c r="V25" s="289">
        <f>VLOOKUP(A25,'K23'!$A$4:$BV$359,26)</f>
        <v>1322809.1761158961</v>
      </c>
    </row>
    <row r="26" spans="1:22" ht="13">
      <c r="A26" s="755">
        <v>1151</v>
      </c>
      <c r="B26" s="756" t="s">
        <v>22</v>
      </c>
      <c r="C26" s="289">
        <f>+K0kommunestruktur2021altern!C26</f>
        <v>211</v>
      </c>
      <c r="D26" s="289">
        <f>+K0kommunestruktur2021altern!D26</f>
        <v>5164</v>
      </c>
      <c r="E26" s="289">
        <f>+K0kommunestruktur2021altern!E26</f>
        <v>206</v>
      </c>
      <c r="F26" s="289">
        <f>+K0kommunestruktur2021altern!F26</f>
        <v>5153</v>
      </c>
      <c r="G26" s="289">
        <f>+K0kommunestruktur2021altern!G26</f>
        <v>200</v>
      </c>
      <c r="H26" s="289">
        <f>+K0kommunestruktur2021altern!H26</f>
        <v>4581</v>
      </c>
      <c r="I26" s="289">
        <f>+K0kommunestruktur2021altern!I26</f>
        <v>201</v>
      </c>
      <c r="J26" s="289">
        <f>+K0kommunestruktur2021altern!J26</f>
        <v>4747</v>
      </c>
      <c r="K26" s="289">
        <f>+K0kommunestruktur2021altern!K26</f>
        <v>208</v>
      </c>
      <c r="L26" s="289">
        <f>+K0kommunestruktur2021altern!L26</f>
        <v>5467</v>
      </c>
      <c r="M26" s="289">
        <f>+K0kommunestruktur2021altern!M26</f>
        <v>196</v>
      </c>
      <c r="N26" s="289">
        <f>+K0kommunestruktur2021altern!N26</f>
        <v>5709</v>
      </c>
      <c r="O26" s="289">
        <f>+K0kommunestruktur2021altern!O26</f>
        <v>198</v>
      </c>
      <c r="P26" s="289">
        <f>+K0kommunestruktur2021altern!P26</f>
        <v>6085</v>
      </c>
      <c r="Q26" s="289">
        <f>+K0kommunestruktur2021altern!Q26</f>
        <v>192</v>
      </c>
      <c r="R26" s="289">
        <f>+K0kommunestruktur2021altern!R26</f>
        <v>6575.7209999999995</v>
      </c>
      <c r="S26" s="289">
        <f>VLOOKUP(A26,'K22'!A26:CU381,3)</f>
        <v>188</v>
      </c>
      <c r="T26" s="289">
        <f>VLOOKUP(A26,'K22'!$A$4:$BV$359,26)</f>
        <v>7107.6439500477181</v>
      </c>
      <c r="U26" s="289">
        <f>VLOOKUP(A26,'Bef.fremskr. kommunenivå MMMM'!$A$5:$K$360,8)</f>
        <v>189</v>
      </c>
      <c r="V26" s="289">
        <f>VLOOKUP(A26,'K23'!$A$4:$BV$359,26)</f>
        <v>6542.6184173718793</v>
      </c>
    </row>
    <row r="27" spans="1:22" ht="13">
      <c r="A27" s="755">
        <v>1160</v>
      </c>
      <c r="B27" s="756" t="s">
        <v>1543</v>
      </c>
      <c r="C27" s="289">
        <f>+K0kommunestruktur2021altern!C27</f>
        <v>8747</v>
      </c>
      <c r="D27" s="289">
        <f>+K0kommunestruktur2021altern!D27</f>
        <v>219287</v>
      </c>
      <c r="E27" s="289">
        <f>+K0kommunestruktur2021altern!E27</f>
        <v>8765</v>
      </c>
      <c r="F27" s="289">
        <f>+K0kommunestruktur2021altern!F27</f>
        <v>224845</v>
      </c>
      <c r="G27" s="289">
        <f>+K0kommunestruktur2021altern!G27</f>
        <v>8788</v>
      </c>
      <c r="H27" s="289">
        <f>+K0kommunestruktur2021altern!H27</f>
        <v>241047</v>
      </c>
      <c r="I27" s="289">
        <f>+K0kommunestruktur2021altern!I27</f>
        <v>8828</v>
      </c>
      <c r="J27" s="289">
        <f>+K0kommunestruktur2021altern!J27</f>
        <v>300936</v>
      </c>
      <c r="K27" s="289">
        <f>+K0kommunestruktur2021altern!K27</f>
        <v>8793</v>
      </c>
      <c r="L27" s="289">
        <f>+K0kommunestruktur2021altern!L27</f>
        <v>278332</v>
      </c>
      <c r="M27" s="289">
        <f>+K0kommunestruktur2021altern!M27</f>
        <v>8743</v>
      </c>
      <c r="N27" s="289">
        <f>+K0kommunestruktur2021altern!N27</f>
        <v>307150</v>
      </c>
      <c r="O27" s="289">
        <f>+K0kommunestruktur2021altern!O27</f>
        <v>8714</v>
      </c>
      <c r="P27" s="289">
        <f>+K0kommunestruktur2021altern!P27</f>
        <v>308048</v>
      </c>
      <c r="Q27" s="289">
        <f>+K0kommunestruktur2021altern!Q27</f>
        <v>8705</v>
      </c>
      <c r="R27" s="289">
        <f>+K0kommunestruktur2021altern!R27</f>
        <v>338882.98200000002</v>
      </c>
      <c r="S27" s="289">
        <f>VLOOKUP(A27,'K22'!A27:CU382,3)</f>
        <v>8775</v>
      </c>
      <c r="T27" s="289">
        <f>VLOOKUP(A27,'K22'!$A$4:$BV$359,26)</f>
        <v>403504.49020859157</v>
      </c>
      <c r="U27" s="289">
        <f>VLOOKUP(A27,'Bef.fremskr. kommunenivå MMMM'!$A$5:$K$360,8)</f>
        <v>8825</v>
      </c>
      <c r="V27" s="289">
        <f>VLOOKUP(A27,'K23'!$A$4:$BV$359,26)</f>
        <v>355516.81561209843</v>
      </c>
    </row>
    <row r="28" spans="1:22" ht="13">
      <c r="A28" s="755">
        <v>1505</v>
      </c>
      <c r="B28" s="756" t="s">
        <v>1654</v>
      </c>
      <c r="C28" s="289">
        <f>+K0kommunestruktur2021altern!C28</f>
        <v>24395</v>
      </c>
      <c r="D28" s="289">
        <f>+K0kommunestruktur2021altern!D28</f>
        <v>563921</v>
      </c>
      <c r="E28" s="289">
        <f>+K0kommunestruktur2021altern!E28</f>
        <v>24507</v>
      </c>
      <c r="F28" s="289">
        <f>+K0kommunestruktur2021altern!F28</f>
        <v>582836</v>
      </c>
      <c r="G28" s="289">
        <f>+K0kommunestruktur2021altern!G28</f>
        <v>24526</v>
      </c>
      <c r="H28" s="289">
        <f>+K0kommunestruktur2021altern!H28</f>
        <v>605657</v>
      </c>
      <c r="I28" s="289">
        <f>+K0kommunestruktur2021altern!I28</f>
        <v>24442</v>
      </c>
      <c r="J28" s="289">
        <f>+K0kommunestruktur2021altern!J28</f>
        <v>613661</v>
      </c>
      <c r="K28" s="289">
        <f>+K0kommunestruktur2021altern!K28</f>
        <v>24300</v>
      </c>
      <c r="L28" s="289">
        <f>+K0kommunestruktur2021altern!L28</f>
        <v>637871</v>
      </c>
      <c r="M28" s="289">
        <f>+K0kommunestruktur2021altern!M28</f>
        <v>24274</v>
      </c>
      <c r="N28" s="289">
        <f>+K0kommunestruktur2021altern!N28</f>
        <v>663317</v>
      </c>
      <c r="O28" s="289">
        <f>+K0kommunestruktur2021altern!O28</f>
        <v>24179</v>
      </c>
      <c r="P28" s="289">
        <f>+K0kommunestruktur2021altern!P28</f>
        <v>646563</v>
      </c>
      <c r="Q28" s="289">
        <f>+K0kommunestruktur2021altern!Q28</f>
        <v>24099</v>
      </c>
      <c r="R28" s="289">
        <f>+K0kommunestruktur2021altern!R28</f>
        <v>748812.223</v>
      </c>
      <c r="S28" s="289">
        <f>VLOOKUP(A28,'K22'!A28:CU383,3)</f>
        <v>24013</v>
      </c>
      <c r="T28" s="289">
        <f>VLOOKUP(A28,'K22'!$A$4:$BV$359,26)</f>
        <v>809806.27568547381</v>
      </c>
      <c r="U28" s="289">
        <f>VLOOKUP(A28,'Bef.fremskr. kommunenivå MMMM'!$A$5:$K$360,8)</f>
        <v>24043</v>
      </c>
      <c r="V28" s="289">
        <f>VLOOKUP(A28,'K23'!$A$4:$BV$359,26)</f>
        <v>752720.69268032839</v>
      </c>
    </row>
    <row r="29" spans="1:22" ht="13">
      <c r="A29" s="755">
        <v>1506</v>
      </c>
      <c r="B29" s="756" t="s">
        <v>1611</v>
      </c>
      <c r="C29" s="289">
        <f>+K0kommunestruktur2021altern!C29</f>
        <v>31085</v>
      </c>
      <c r="D29" s="289">
        <f>+K0kommunestruktur2021altern!D29</f>
        <v>758360</v>
      </c>
      <c r="E29" s="289">
        <f>+K0kommunestruktur2021altern!E29</f>
        <v>31435</v>
      </c>
      <c r="F29" s="289">
        <f>+K0kommunestruktur2021altern!F29</f>
        <v>807102</v>
      </c>
      <c r="G29" s="289">
        <f>+K0kommunestruktur2021altern!G29</f>
        <v>31790</v>
      </c>
      <c r="H29" s="289">
        <f>+K0kommunestruktur2021altern!H29</f>
        <v>848047</v>
      </c>
      <c r="I29" s="289">
        <f>+K0kommunestruktur2021altern!I29</f>
        <v>31870</v>
      </c>
      <c r="J29" s="289">
        <f>+K0kommunestruktur2021altern!J29</f>
        <v>878122</v>
      </c>
      <c r="K29" s="289">
        <f>+K0kommunestruktur2021altern!K29</f>
        <v>31895</v>
      </c>
      <c r="L29" s="289">
        <f>+K0kommunestruktur2021altern!L29</f>
        <v>913522</v>
      </c>
      <c r="M29" s="289">
        <f>+K0kommunestruktur2021altern!M29</f>
        <v>31976</v>
      </c>
      <c r="N29" s="289">
        <f>+K0kommunestruktur2021altern!N29</f>
        <v>946419</v>
      </c>
      <c r="O29" s="289">
        <f>+K0kommunestruktur2021altern!O29</f>
        <v>31967</v>
      </c>
      <c r="P29" s="289">
        <f>+K0kommunestruktur2021altern!P29</f>
        <v>940943</v>
      </c>
      <c r="Q29" s="289">
        <f>+K0kommunestruktur2021altern!Q29</f>
        <v>31870</v>
      </c>
      <c r="R29" s="289">
        <f>+K0kommunestruktur2021altern!R29</f>
        <v>1064962.554</v>
      </c>
      <c r="S29" s="289">
        <f>VLOOKUP(A29,'K22'!A29:CU384,3)</f>
        <v>32002</v>
      </c>
      <c r="T29" s="289">
        <f>VLOOKUP(A29,'K22'!$A$4:$BV$359,26)</f>
        <v>1184174.7462885373</v>
      </c>
      <c r="U29" s="289">
        <f>VLOOKUP(A29,'Bef.fremskr. kommunenivå MMMM'!$A$5:$K$360,8)</f>
        <v>32204</v>
      </c>
      <c r="V29" s="289">
        <f>VLOOKUP(A29,'K23'!$A$4:$BV$359,26)</f>
        <v>1094020.1738882915</v>
      </c>
    </row>
    <row r="30" spans="1:22" ht="13">
      <c r="A30" s="755">
        <v>1507</v>
      </c>
      <c r="B30" s="756" t="s">
        <v>1612</v>
      </c>
      <c r="C30" s="289">
        <f>+K0kommunestruktur2021altern!C30</f>
        <v>62791.544426494343</v>
      </c>
      <c r="D30" s="289">
        <f>+K0kommunestruktur2021altern!D30</f>
        <v>1568692.1373182551</v>
      </c>
      <c r="E30" s="289">
        <f>+K0kommunestruktur2021altern!E30</f>
        <v>63444.767366720516</v>
      </c>
      <c r="F30" s="289">
        <f>+K0kommunestruktur2021altern!F30</f>
        <v>1625550.5912762519</v>
      </c>
      <c r="G30" s="289">
        <f>+K0kommunestruktur2021altern!G30</f>
        <v>64134.689822294022</v>
      </c>
      <c r="H30" s="289">
        <f>+K0kommunestruktur2021altern!H30</f>
        <v>1736178.1728594508</v>
      </c>
      <c r="I30" s="289">
        <f>+K0kommunestruktur2021altern!I30</f>
        <v>64707.922455573505</v>
      </c>
      <c r="J30" s="289">
        <f>+K0kommunestruktur2021altern!J30</f>
        <v>1804681.5928917609</v>
      </c>
      <c r="K30" s="289">
        <f>+K0kommunestruktur2021altern!K30</f>
        <v>65052.757673667205</v>
      </c>
      <c r="L30" s="289">
        <f>+K0kommunestruktur2021altern!L30</f>
        <v>1924576.3069466881</v>
      </c>
      <c r="M30" s="289">
        <f>+K0kommunestruktur2021altern!M30</f>
        <v>65621</v>
      </c>
      <c r="N30" s="289">
        <f>+K0kommunestruktur2021altern!N30</f>
        <v>2059924.5605815833</v>
      </c>
      <c r="O30" s="289">
        <f>+K0kommunestruktur2021altern!O30</f>
        <v>66258</v>
      </c>
      <c r="P30" s="289">
        <f>+K0kommunestruktur2021altern!P30</f>
        <v>2040372</v>
      </c>
      <c r="Q30" s="289">
        <f>+K0kommunestruktur2021altern!Q30</f>
        <v>66670</v>
      </c>
      <c r="R30" s="289">
        <f>+K0kommunestruktur2021altern!R30</f>
        <v>2306453.946</v>
      </c>
      <c r="S30" s="289">
        <f>VLOOKUP(A30,'K22'!A30:CU385,3)</f>
        <v>67114</v>
      </c>
      <c r="T30" s="289">
        <f>VLOOKUP(A30,'K22'!$A$4:$BV$359,26)</f>
        <v>2650505.6484100474</v>
      </c>
      <c r="U30" s="289">
        <f>VLOOKUP(A30,'Bef.fremskr. kommunenivå MMMM'!$A$5:$K$360,8)</f>
        <v>67680</v>
      </c>
      <c r="V30" s="289">
        <f>VLOOKUP(A30,'K23'!$A$4:$BV$359,26)</f>
        <v>2411055.9497229662</v>
      </c>
    </row>
    <row r="31" spans="1:22" ht="13">
      <c r="A31" s="755">
        <v>1511</v>
      </c>
      <c r="B31" s="756" t="s">
        <v>86</v>
      </c>
      <c r="C31" s="289">
        <f>+K0kommunestruktur2021altern!C31</f>
        <v>3302</v>
      </c>
      <c r="D31" s="289">
        <f>+K0kommunestruktur2021altern!D31</f>
        <v>72479</v>
      </c>
      <c r="E31" s="289">
        <f>+K0kommunestruktur2021altern!E31</f>
        <v>3258</v>
      </c>
      <c r="F31" s="289">
        <f>+K0kommunestruktur2021altern!F31</f>
        <v>74410</v>
      </c>
      <c r="G31" s="289">
        <f>+K0kommunestruktur2021altern!G31</f>
        <v>3256</v>
      </c>
      <c r="H31" s="289">
        <f>+K0kommunestruktur2021altern!H31</f>
        <v>74821</v>
      </c>
      <c r="I31" s="289">
        <f>+K0kommunestruktur2021altern!I31</f>
        <v>3203</v>
      </c>
      <c r="J31" s="289">
        <f>+K0kommunestruktur2021altern!J31</f>
        <v>77373</v>
      </c>
      <c r="K31" s="289">
        <f>+K0kommunestruktur2021altern!K31</f>
        <v>3187</v>
      </c>
      <c r="L31" s="289">
        <f>+K0kommunestruktur2021altern!L31</f>
        <v>83683</v>
      </c>
      <c r="M31" s="289">
        <f>+K0kommunestruktur2021altern!M31</f>
        <v>3163</v>
      </c>
      <c r="N31" s="289">
        <f>+K0kommunestruktur2021altern!N31</f>
        <v>88973</v>
      </c>
      <c r="O31" s="289">
        <f>+K0kommunestruktur2021altern!O31</f>
        <v>3117</v>
      </c>
      <c r="P31" s="289">
        <f>+K0kommunestruktur2021altern!P31</f>
        <v>83290</v>
      </c>
      <c r="Q31" s="289">
        <f>+K0kommunestruktur2021altern!Q31</f>
        <v>3083</v>
      </c>
      <c r="R31" s="289">
        <f>+K0kommunestruktur2021altern!R31</f>
        <v>91773.392999999996</v>
      </c>
      <c r="S31" s="289">
        <f>VLOOKUP(A31,'K22'!A31:CU386,3)</f>
        <v>3045</v>
      </c>
      <c r="T31" s="289">
        <f>VLOOKUP(A31,'K22'!$A$4:$BV$359,26)</f>
        <v>102539.26432012422</v>
      </c>
      <c r="U31" s="289">
        <f>VLOOKUP(A31,'Bef.fremskr. kommunenivå MMMM'!$A$5:$K$360,8)</f>
        <v>3005</v>
      </c>
      <c r="V31" s="289">
        <f>VLOOKUP(A31,'K23'!$A$4:$BV$359,26)</f>
        <v>93636.883861548427</v>
      </c>
    </row>
    <row r="32" spans="1:22" ht="13">
      <c r="A32" s="755">
        <v>1514</v>
      </c>
      <c r="B32" s="756" t="s">
        <v>897</v>
      </c>
      <c r="C32" s="289">
        <f>+K0kommunestruktur2021altern!C32</f>
        <v>2636</v>
      </c>
      <c r="D32" s="289">
        <f>+K0kommunestruktur2021altern!D32</f>
        <v>55999</v>
      </c>
      <c r="E32" s="289">
        <f>+K0kommunestruktur2021altern!E32</f>
        <v>2635</v>
      </c>
      <c r="F32" s="289">
        <f>+K0kommunestruktur2021altern!F32</f>
        <v>62048</v>
      </c>
      <c r="G32" s="289">
        <f>+K0kommunestruktur2021altern!G32</f>
        <v>2559</v>
      </c>
      <c r="H32" s="289">
        <f>+K0kommunestruktur2021altern!H32</f>
        <v>63984</v>
      </c>
      <c r="I32" s="289">
        <f>+K0kommunestruktur2021altern!I32</f>
        <v>2540</v>
      </c>
      <c r="J32" s="289">
        <f>+K0kommunestruktur2021altern!J32</f>
        <v>61235</v>
      </c>
      <c r="K32" s="289">
        <f>+K0kommunestruktur2021altern!K32</f>
        <v>2522</v>
      </c>
      <c r="L32" s="289">
        <f>+K0kommunestruktur2021altern!L32</f>
        <v>68936</v>
      </c>
      <c r="M32" s="289">
        <f>+K0kommunestruktur2021altern!M32</f>
        <v>2493</v>
      </c>
      <c r="N32" s="289">
        <f>+K0kommunestruktur2021altern!N32</f>
        <v>75383</v>
      </c>
      <c r="O32" s="289">
        <f>+K0kommunestruktur2021altern!O32</f>
        <v>2461</v>
      </c>
      <c r="P32" s="289">
        <f>+K0kommunestruktur2021altern!P32</f>
        <v>73238</v>
      </c>
      <c r="Q32" s="289">
        <f>+K0kommunestruktur2021altern!Q32</f>
        <v>2445</v>
      </c>
      <c r="R32" s="289">
        <f>+K0kommunestruktur2021altern!R32</f>
        <v>83274.95</v>
      </c>
      <c r="S32" s="289">
        <f>VLOOKUP(A32,'K22'!A32:CU387,3)</f>
        <v>2422</v>
      </c>
      <c r="T32" s="289">
        <f>VLOOKUP(A32,'K22'!$A$4:$BV$359,26)</f>
        <v>91997.635512042994</v>
      </c>
      <c r="U32" s="289">
        <f>VLOOKUP(A32,'Bef.fremskr. kommunenivå MMMM'!$A$5:$K$360,8)</f>
        <v>2441</v>
      </c>
      <c r="V32" s="289">
        <f>VLOOKUP(A32,'K23'!$A$4:$BV$359,26)</f>
        <v>84458.929190024297</v>
      </c>
    </row>
    <row r="33" spans="1:22" ht="13">
      <c r="A33" s="755">
        <v>1515</v>
      </c>
      <c r="B33" s="756" t="s">
        <v>87</v>
      </c>
      <c r="C33" s="289">
        <f>+K0kommunestruktur2021altern!C33</f>
        <v>8847</v>
      </c>
      <c r="D33" s="289">
        <f>+K0kommunestruktur2021altern!D33</f>
        <v>231216</v>
      </c>
      <c r="E33" s="289">
        <f>+K0kommunestruktur2021altern!E33</f>
        <v>8934</v>
      </c>
      <c r="F33" s="289">
        <f>+K0kommunestruktur2021altern!F33</f>
        <v>248460</v>
      </c>
      <c r="G33" s="289">
        <f>+K0kommunestruktur2021altern!G33</f>
        <v>8972</v>
      </c>
      <c r="H33" s="289">
        <f>+K0kommunestruktur2021altern!H33</f>
        <v>260046</v>
      </c>
      <c r="I33" s="289">
        <f>+K0kommunestruktur2021altern!I33</f>
        <v>8957</v>
      </c>
      <c r="J33" s="289">
        <f>+K0kommunestruktur2021altern!J33</f>
        <v>261503</v>
      </c>
      <c r="K33" s="289">
        <f>+K0kommunestruktur2021altern!K33</f>
        <v>8965</v>
      </c>
      <c r="L33" s="289">
        <f>+K0kommunestruktur2021altern!L33</f>
        <v>270116</v>
      </c>
      <c r="M33" s="289">
        <f>+K0kommunestruktur2021altern!M33</f>
        <v>8927</v>
      </c>
      <c r="N33" s="289">
        <f>+K0kommunestruktur2021altern!N33</f>
        <v>303238</v>
      </c>
      <c r="O33" s="289">
        <f>+K0kommunestruktur2021altern!O33</f>
        <v>8900</v>
      </c>
      <c r="P33" s="289">
        <f>+K0kommunestruktur2021altern!P33</f>
        <v>308399</v>
      </c>
      <c r="Q33" s="289">
        <f>+K0kommunestruktur2021altern!Q33</f>
        <v>8858</v>
      </c>
      <c r="R33" s="289">
        <f>+K0kommunestruktur2021altern!R33</f>
        <v>311160.25699999998</v>
      </c>
      <c r="S33" s="289">
        <f>VLOOKUP(A33,'K22'!A33:CU388,3)</f>
        <v>8765</v>
      </c>
      <c r="T33" s="289">
        <f>VLOOKUP(A33,'K22'!$A$4:$BV$359,26)</f>
        <v>368916.85468570044</v>
      </c>
      <c r="U33" s="289">
        <f>VLOOKUP(A33,'Bef.fremskr. kommunenivå MMMM'!$A$5:$K$360,8)</f>
        <v>8703</v>
      </c>
      <c r="V33" s="289">
        <f>VLOOKUP(A33,'K23'!$A$4:$BV$359,26)</f>
        <v>333238.10949291574</v>
      </c>
    </row>
    <row r="34" spans="1:22" ht="13">
      <c r="A34" s="755">
        <v>1516</v>
      </c>
      <c r="B34" s="756" t="s">
        <v>88</v>
      </c>
      <c r="C34" s="289">
        <f>+K0kommunestruktur2021altern!C34</f>
        <v>8092</v>
      </c>
      <c r="D34" s="289">
        <f>+K0kommunestruktur2021altern!D34</f>
        <v>242269</v>
      </c>
      <c r="E34" s="289">
        <f>+K0kommunestruktur2021altern!E34</f>
        <v>8292</v>
      </c>
      <c r="F34" s="289">
        <f>+K0kommunestruktur2021altern!F34</f>
        <v>257483</v>
      </c>
      <c r="G34" s="289">
        <f>+K0kommunestruktur2021altern!G34</f>
        <v>8430</v>
      </c>
      <c r="H34" s="289">
        <f>+K0kommunestruktur2021altern!H34</f>
        <v>245408</v>
      </c>
      <c r="I34" s="289">
        <f>+K0kommunestruktur2021altern!I34</f>
        <v>8457</v>
      </c>
      <c r="J34" s="289">
        <f>+K0kommunestruktur2021altern!J34</f>
        <v>249381</v>
      </c>
      <c r="K34" s="289">
        <f>+K0kommunestruktur2021altern!K34</f>
        <v>8555</v>
      </c>
      <c r="L34" s="289">
        <f>+K0kommunestruktur2021altern!L34</f>
        <v>262420</v>
      </c>
      <c r="M34" s="289">
        <f>+K0kommunestruktur2021altern!M34</f>
        <v>8609</v>
      </c>
      <c r="N34" s="289">
        <f>+K0kommunestruktur2021altern!N34</f>
        <v>275729</v>
      </c>
      <c r="O34" s="289">
        <f>+K0kommunestruktur2021altern!O34</f>
        <v>8571</v>
      </c>
      <c r="P34" s="289">
        <f>+K0kommunestruktur2021altern!P34</f>
        <v>276618</v>
      </c>
      <c r="Q34" s="289">
        <f>+K0kommunestruktur2021altern!Q34</f>
        <v>8575</v>
      </c>
      <c r="R34" s="289">
        <f>+K0kommunestruktur2021altern!R34</f>
        <v>314138.39</v>
      </c>
      <c r="S34" s="289">
        <f>VLOOKUP(A34,'K22'!A34:CU389,3)</f>
        <v>8557</v>
      </c>
      <c r="T34" s="289">
        <f>VLOOKUP(A34,'K22'!$A$4:$BV$359,26)</f>
        <v>340183.71992275771</v>
      </c>
      <c r="U34" s="289">
        <f>VLOOKUP(A34,'Bef.fremskr. kommunenivå MMMM'!$A$5:$K$360,8)</f>
        <v>8591</v>
      </c>
      <c r="V34" s="289">
        <f>VLOOKUP(A34,'K23'!$A$4:$BV$359,26)</f>
        <v>318972.91177455033</v>
      </c>
    </row>
    <row r="35" spans="1:22" ht="13">
      <c r="A35" s="755">
        <v>1517</v>
      </c>
      <c r="B35" s="756" t="s">
        <v>89</v>
      </c>
      <c r="C35" s="289">
        <f>+K0kommunestruktur2021altern!C35</f>
        <v>5021</v>
      </c>
      <c r="D35" s="289">
        <f>+K0kommunestruktur2021altern!D35</f>
        <v>112102</v>
      </c>
      <c r="E35" s="289">
        <f>+K0kommunestruktur2021altern!E35</f>
        <v>5065</v>
      </c>
      <c r="F35" s="289">
        <f>+K0kommunestruktur2021altern!F35</f>
        <v>114254</v>
      </c>
      <c r="G35" s="289">
        <f>+K0kommunestruktur2021altern!G35</f>
        <v>5189</v>
      </c>
      <c r="H35" s="289">
        <f>+K0kommunestruktur2021altern!H35</f>
        <v>119524</v>
      </c>
      <c r="I35" s="289">
        <f>+K0kommunestruktur2021altern!I35</f>
        <v>5185</v>
      </c>
      <c r="J35" s="289">
        <f>+K0kommunestruktur2021altern!J35</f>
        <v>120422</v>
      </c>
      <c r="K35" s="289">
        <f>+K0kommunestruktur2021altern!K35</f>
        <v>5150</v>
      </c>
      <c r="L35" s="289">
        <f>+K0kommunestruktur2021altern!L35</f>
        <v>124236</v>
      </c>
      <c r="M35" s="289">
        <f>+K0kommunestruktur2021altern!M35</f>
        <v>5155</v>
      </c>
      <c r="N35" s="289">
        <f>+K0kommunestruktur2021altern!N35</f>
        <v>130558</v>
      </c>
      <c r="O35" s="289">
        <f>+K0kommunestruktur2021altern!O35</f>
        <v>5175</v>
      </c>
      <c r="P35" s="289">
        <f>+K0kommunestruktur2021altern!P35</f>
        <v>129502</v>
      </c>
      <c r="Q35" s="289">
        <f>+K0kommunestruktur2021altern!Q35</f>
        <v>5140</v>
      </c>
      <c r="R35" s="289">
        <f>+K0kommunestruktur2021altern!R35</f>
        <v>147452.75700000001</v>
      </c>
      <c r="S35" s="289">
        <f>VLOOKUP(A35,'K22'!A35:CU390,3)</f>
        <v>5126</v>
      </c>
      <c r="T35" s="289">
        <f>VLOOKUP(A35,'K22'!$A$4:$BV$359,26)</f>
        <v>161165.40451870748</v>
      </c>
      <c r="U35" s="289">
        <f>VLOOKUP(A35,'Bef.fremskr. kommunenivå MMMM'!$A$5:$K$360,8)</f>
        <v>5140</v>
      </c>
      <c r="V35" s="289">
        <f>VLOOKUP(A35,'K23'!$A$4:$BV$359,26)</f>
        <v>149432.27071713377</v>
      </c>
    </row>
    <row r="36" spans="1:22" ht="13">
      <c r="A36" s="755">
        <v>1520</v>
      </c>
      <c r="B36" s="756" t="s">
        <v>91</v>
      </c>
      <c r="C36" s="289">
        <f>+K0kommunestruktur2021altern!C36</f>
        <v>10434.104448742746</v>
      </c>
      <c r="D36" s="289">
        <f>+K0kommunestruktur2021altern!D36</f>
        <v>228731.38281431334</v>
      </c>
      <c r="E36" s="289">
        <f>+K0kommunestruktur2021altern!E36</f>
        <v>10486.591876208897</v>
      </c>
      <c r="F36" s="289">
        <f>+K0kommunestruktur2021altern!F36</f>
        <v>245702.6389845261</v>
      </c>
      <c r="G36" s="289">
        <f>+K0kommunestruktur2021altern!G36</f>
        <v>10573.74081237911</v>
      </c>
      <c r="H36" s="289">
        <f>+K0kommunestruktur2021altern!H36</f>
        <v>254947.38098646034</v>
      </c>
      <c r="I36" s="289">
        <f>+K0kommunestruktur2021altern!I36</f>
        <v>10640.092843326885</v>
      </c>
      <c r="J36" s="289">
        <f>+K0kommunestruktur2021altern!J36</f>
        <v>265898.59154738876</v>
      </c>
      <c r="K36" s="289">
        <f>+K0kommunestruktur2021altern!K36</f>
        <v>10707.435203094778</v>
      </c>
      <c r="L36" s="289">
        <f>+K0kommunestruktur2021altern!L36</f>
        <v>274459.37911025144</v>
      </c>
      <c r="M36" s="289">
        <f>+K0kommunestruktur2021altern!M36</f>
        <v>10752</v>
      </c>
      <c r="N36" s="289">
        <f>+K0kommunestruktur2021altern!N36</f>
        <v>283307.27079303673</v>
      </c>
      <c r="O36" s="289">
        <f>+K0kommunestruktur2021altern!O36</f>
        <v>10825</v>
      </c>
      <c r="P36" s="289">
        <f>+K0kommunestruktur2021altern!P36</f>
        <v>277419</v>
      </c>
      <c r="Q36" s="289">
        <f>+K0kommunestruktur2021altern!Q36</f>
        <v>10830</v>
      </c>
      <c r="R36" s="289">
        <f>+K0kommunestruktur2021altern!R36</f>
        <v>310709.30699999997</v>
      </c>
      <c r="S36" s="289">
        <f>VLOOKUP(A36,'K22'!A36:CU391,3)</f>
        <v>10833</v>
      </c>
      <c r="T36" s="289">
        <f>VLOOKUP(A36,'K22'!$A$4:$BV$359,26)</f>
        <v>350503.75821612991</v>
      </c>
      <c r="U36" s="289">
        <f>VLOOKUP(A36,'Bef.fremskr. kommunenivå MMMM'!$A$5:$K$360,8)</f>
        <v>10797</v>
      </c>
      <c r="V36" s="289">
        <f>VLOOKUP(A36,'K23'!$A$4:$BV$359,26)</f>
        <v>320429.56172677671</v>
      </c>
    </row>
    <row r="37" spans="1:22" ht="13">
      <c r="A37" s="755">
        <v>1525</v>
      </c>
      <c r="B37" s="756" t="s">
        <v>94</v>
      </c>
      <c r="C37" s="289">
        <f>+K0kommunestruktur2021altern!C37</f>
        <v>4616</v>
      </c>
      <c r="D37" s="289">
        <f>+K0kommunestruktur2021altern!D37</f>
        <v>102920</v>
      </c>
      <c r="E37" s="289">
        <f>+K0kommunestruktur2021altern!E37</f>
        <v>4605</v>
      </c>
      <c r="F37" s="289">
        <f>+K0kommunestruktur2021altern!F37</f>
        <v>104690</v>
      </c>
      <c r="G37" s="289">
        <f>+K0kommunestruktur2021altern!G37</f>
        <v>4598</v>
      </c>
      <c r="H37" s="289">
        <f>+K0kommunestruktur2021altern!H37</f>
        <v>117534</v>
      </c>
      <c r="I37" s="289">
        <f>+K0kommunestruktur2021altern!I37</f>
        <v>4623</v>
      </c>
      <c r="J37" s="289">
        <f>+K0kommunestruktur2021altern!J37</f>
        <v>121163</v>
      </c>
      <c r="K37" s="289">
        <f>+K0kommunestruktur2021altern!K37</f>
        <v>4587</v>
      </c>
      <c r="L37" s="289">
        <f>+K0kommunestruktur2021altern!L37</f>
        <v>127019</v>
      </c>
      <c r="M37" s="289">
        <f>+K0kommunestruktur2021altern!M37</f>
        <v>4565</v>
      </c>
      <c r="N37" s="289">
        <f>+K0kommunestruktur2021altern!N37</f>
        <v>128492</v>
      </c>
      <c r="O37" s="289">
        <f>+K0kommunestruktur2021altern!O37</f>
        <v>4523</v>
      </c>
      <c r="P37" s="289">
        <f>+K0kommunestruktur2021altern!P37</f>
        <v>129631</v>
      </c>
      <c r="Q37" s="289">
        <f>+K0kommunestruktur2021altern!Q37</f>
        <v>4482</v>
      </c>
      <c r="R37" s="289">
        <f>+K0kommunestruktur2021altern!R37</f>
        <v>148696.72700000001</v>
      </c>
      <c r="S37" s="289">
        <f>VLOOKUP(A37,'K22'!A37:CU392,3)</f>
        <v>4467</v>
      </c>
      <c r="T37" s="289">
        <f>VLOOKUP(A37,'K22'!$A$4:$BV$359,26)</f>
        <v>162559.60457048326</v>
      </c>
      <c r="U37" s="289">
        <f>VLOOKUP(A37,'Bef.fremskr. kommunenivå MMMM'!$A$5:$K$360,8)</f>
        <v>4485</v>
      </c>
      <c r="V37" s="289">
        <f>VLOOKUP(A37,'K23'!$A$4:$BV$359,26)</f>
        <v>148334.57114410633</v>
      </c>
    </row>
    <row r="38" spans="1:22" ht="13">
      <c r="A38" s="755">
        <v>1528</v>
      </c>
      <c r="B38" s="756" t="s">
        <v>96</v>
      </c>
      <c r="C38" s="289">
        <f>+K0kommunestruktur2021altern!C38</f>
        <v>7730</v>
      </c>
      <c r="D38" s="289">
        <f>+K0kommunestruktur2021altern!D38</f>
        <v>157880</v>
      </c>
      <c r="E38" s="289">
        <f>+K0kommunestruktur2021altern!E38</f>
        <v>7707</v>
      </c>
      <c r="F38" s="289">
        <f>+K0kommunestruktur2021altern!F38</f>
        <v>165427</v>
      </c>
      <c r="G38" s="289">
        <f>+K0kommunestruktur2021altern!G38</f>
        <v>7675</v>
      </c>
      <c r="H38" s="289">
        <f>+K0kommunestruktur2021altern!H38</f>
        <v>176372</v>
      </c>
      <c r="I38" s="289">
        <f>+K0kommunestruktur2021altern!I38</f>
        <v>7695</v>
      </c>
      <c r="J38" s="289">
        <f>+K0kommunestruktur2021altern!J38</f>
        <v>182002</v>
      </c>
      <c r="K38" s="289">
        <f>+K0kommunestruktur2021altern!K38</f>
        <v>7695</v>
      </c>
      <c r="L38" s="289">
        <f>+K0kommunestruktur2021altern!L38</f>
        <v>194273</v>
      </c>
      <c r="M38" s="289">
        <f>+K0kommunestruktur2021altern!M38</f>
        <v>7657</v>
      </c>
      <c r="N38" s="289">
        <f>+K0kommunestruktur2021altern!N38</f>
        <v>203942</v>
      </c>
      <c r="O38" s="289">
        <f>+K0kommunestruktur2021altern!O38</f>
        <v>7625</v>
      </c>
      <c r="P38" s="289">
        <f>+K0kommunestruktur2021altern!P38</f>
        <v>197295</v>
      </c>
      <c r="Q38" s="289">
        <f>+K0kommunestruktur2021altern!Q38</f>
        <v>7596</v>
      </c>
      <c r="R38" s="289">
        <f>+K0kommunestruktur2021altern!R38</f>
        <v>222362.87299999999</v>
      </c>
      <c r="S38" s="289">
        <f>VLOOKUP(A38,'K22'!A38:CU393,3)</f>
        <v>7558</v>
      </c>
      <c r="T38" s="289">
        <f>VLOOKUP(A38,'K22'!$A$4:$BV$359,26)</f>
        <v>243700.8894728951</v>
      </c>
      <c r="U38" s="289">
        <f>VLOOKUP(A38,'Bef.fremskr. kommunenivå MMMM'!$A$5:$K$360,8)</f>
        <v>7545</v>
      </c>
      <c r="V38" s="289">
        <f>VLOOKUP(A38,'K23'!$A$4:$BV$359,26)</f>
        <v>227113.37800523447</v>
      </c>
    </row>
    <row r="39" spans="1:22" ht="13">
      <c r="A39" s="755">
        <v>1531</v>
      </c>
      <c r="B39" s="756" t="s">
        <v>98</v>
      </c>
      <c r="C39" s="289">
        <f>+K0kommunestruktur2021altern!C39</f>
        <v>8651</v>
      </c>
      <c r="D39" s="289">
        <f>+K0kommunestruktur2021altern!D39</f>
        <v>178416</v>
      </c>
      <c r="E39" s="289">
        <f>+K0kommunestruktur2021altern!E39</f>
        <v>8855</v>
      </c>
      <c r="F39" s="289">
        <f>+K0kommunestruktur2021altern!F39</f>
        <v>190618</v>
      </c>
      <c r="G39" s="289">
        <f>+K0kommunestruktur2021altern!G39</f>
        <v>8952</v>
      </c>
      <c r="H39" s="289">
        <f>+K0kommunestruktur2021altern!H39</f>
        <v>205516</v>
      </c>
      <c r="I39" s="289">
        <f>+K0kommunestruktur2021altern!I39</f>
        <v>9007</v>
      </c>
      <c r="J39" s="289">
        <f>+K0kommunestruktur2021altern!J39</f>
        <v>218659</v>
      </c>
      <c r="K39" s="289">
        <f>+K0kommunestruktur2021altern!K39</f>
        <v>9131</v>
      </c>
      <c r="L39" s="289">
        <f>+K0kommunestruktur2021altern!L39</f>
        <v>225657</v>
      </c>
      <c r="M39" s="289">
        <f>+K0kommunestruktur2021altern!M39</f>
        <v>9271</v>
      </c>
      <c r="N39" s="289">
        <f>+K0kommunestruktur2021altern!N39</f>
        <v>242024</v>
      </c>
      <c r="O39" s="289">
        <f>+K0kommunestruktur2021altern!O39</f>
        <v>9310</v>
      </c>
      <c r="P39" s="289">
        <f>+K0kommunestruktur2021altern!P39</f>
        <v>236662</v>
      </c>
      <c r="Q39" s="289">
        <f>+K0kommunestruktur2021altern!Q39</f>
        <v>9409</v>
      </c>
      <c r="R39" s="289">
        <f>+K0kommunestruktur2021altern!R39</f>
        <v>273616.18300000002</v>
      </c>
      <c r="S39" s="289">
        <f>VLOOKUP(A39,'K22'!A39:CU394,3)</f>
        <v>9547</v>
      </c>
      <c r="T39" s="289">
        <f>VLOOKUP(A39,'K22'!$A$4:$BV$359,26)</f>
        <v>306303.54202516656</v>
      </c>
      <c r="U39" s="289">
        <f>VLOOKUP(A39,'Bef.fremskr. kommunenivå MMMM'!$A$5:$K$360,8)</f>
        <v>9678</v>
      </c>
      <c r="V39" s="289">
        <f>VLOOKUP(A39,'K23'!$A$4:$BV$359,26)</f>
        <v>287017.7173877607</v>
      </c>
    </row>
    <row r="40" spans="1:22" ht="13">
      <c r="A40" s="755">
        <v>1532</v>
      </c>
      <c r="B40" s="756" t="s">
        <v>99</v>
      </c>
      <c r="C40" s="289">
        <f>+K0kommunestruktur2021altern!C40</f>
        <v>7739</v>
      </c>
      <c r="D40" s="289">
        <f>+K0kommunestruktur2021altern!D40</f>
        <v>176985</v>
      </c>
      <c r="E40" s="289">
        <f>+K0kommunestruktur2021altern!E40</f>
        <v>7924</v>
      </c>
      <c r="F40" s="289">
        <f>+K0kommunestruktur2021altern!F40</f>
        <v>191013</v>
      </c>
      <c r="G40" s="289">
        <f>+K0kommunestruktur2021altern!G40</f>
        <v>8094</v>
      </c>
      <c r="H40" s="289">
        <f>+K0kommunestruktur2021altern!H40</f>
        <v>202891</v>
      </c>
      <c r="I40" s="289">
        <f>+K0kommunestruktur2021altern!I40</f>
        <v>8176</v>
      </c>
      <c r="J40" s="289">
        <f>+K0kommunestruktur2021altern!J40</f>
        <v>211132</v>
      </c>
      <c r="K40" s="289">
        <f>+K0kommunestruktur2021altern!K40</f>
        <v>8292</v>
      </c>
      <c r="L40" s="289">
        <f>+K0kommunestruktur2021altern!L40</f>
        <v>225895</v>
      </c>
      <c r="M40" s="289">
        <f>+K0kommunestruktur2021altern!M40</f>
        <v>8398</v>
      </c>
      <c r="N40" s="289">
        <f>+K0kommunestruktur2021altern!N40</f>
        <v>241624</v>
      </c>
      <c r="O40" s="289">
        <f>+K0kommunestruktur2021altern!O40</f>
        <v>8462</v>
      </c>
      <c r="P40" s="289">
        <f>+K0kommunestruktur2021altern!P40</f>
        <v>242967</v>
      </c>
      <c r="Q40" s="289">
        <f>+K0kommunestruktur2021altern!Q40</f>
        <v>8506</v>
      </c>
      <c r="R40" s="289">
        <f>+K0kommunestruktur2021altern!R40</f>
        <v>285156.16399999999</v>
      </c>
      <c r="S40" s="289">
        <f>VLOOKUP(A40,'K22'!A40:CU395,3)</f>
        <v>8597</v>
      </c>
      <c r="T40" s="289">
        <f>VLOOKUP(A40,'K22'!$A$4:$BV$359,26)</f>
        <v>310231.79723875888</v>
      </c>
      <c r="U40" s="289">
        <f>VLOOKUP(A40,'Bef.fremskr. kommunenivå MMMM'!$A$5:$K$360,8)</f>
        <v>8682</v>
      </c>
      <c r="V40" s="289">
        <f>VLOOKUP(A40,'K23'!$A$4:$BV$359,26)</f>
        <v>290427.23087434017</v>
      </c>
    </row>
    <row r="41" spans="1:22" s="657" customFormat="1" ht="13">
      <c r="A41" s="755">
        <v>1535</v>
      </c>
      <c r="B41" s="756" t="s">
        <v>101</v>
      </c>
      <c r="C41" s="289">
        <f>+K0kommunestruktur2021altern!C41</f>
        <v>7027.17046063203</v>
      </c>
      <c r="D41" s="289">
        <f>+K0kommunestruktur2021altern!D41</f>
        <v>157569.99594456347</v>
      </c>
      <c r="E41" s="289">
        <f>+K0kommunestruktur2021altern!E41</f>
        <v>7119.7280396357792</v>
      </c>
      <c r="F41" s="289">
        <f>+K0kommunestruktur2021altern!F41</f>
        <v>166385.86735498125</v>
      </c>
      <c r="G41" s="289">
        <f>+K0kommunestruktur2021altern!G41</f>
        <v>7025.3272629887524</v>
      </c>
      <c r="H41" s="289">
        <f>+K0kommunestruktur2021altern!H41</f>
        <v>166942.44804485806</v>
      </c>
      <c r="I41" s="289">
        <f>+K0kommunestruktur2021altern!I41</f>
        <v>6991.935591858597</v>
      </c>
      <c r="J41" s="289">
        <f>+K0kommunestruktur2021altern!J41</f>
        <v>171013.24431360472</v>
      </c>
      <c r="K41" s="289">
        <f>+K0kommunestruktur2021altern!K41</f>
        <v>6974.1568023567224</v>
      </c>
      <c r="L41" s="289">
        <f>+K0kommunestruktur2021altern!L41</f>
        <v>187979.22214783073</v>
      </c>
      <c r="M41" s="289">
        <f>+K0kommunestruktur2021altern!M41</f>
        <v>6950.0507498660954</v>
      </c>
      <c r="N41" s="289">
        <f>+K0kommunestruktur2021altern!N41</f>
        <v>205899.19215318694</v>
      </c>
      <c r="O41" s="289">
        <f>+K0kommunestruktur2021altern!O41</f>
        <v>6945</v>
      </c>
      <c r="P41" s="289">
        <f>+K0kommunestruktur2021altern!P41</f>
        <v>199326.67232151882</v>
      </c>
      <c r="Q41" s="289">
        <f>+K0kommunestruktur2021altern!Q41</f>
        <v>6958</v>
      </c>
      <c r="R41" s="289">
        <f>+K0kommunestruktur2021altern!R41</f>
        <v>211902.95300000001</v>
      </c>
      <c r="S41" s="289">
        <f>VLOOKUP(A41,'K22'!A41:CU396,3)</f>
        <v>6936</v>
      </c>
      <c r="T41" s="290">
        <f>VLOOKUP(A41,'K22'!$A$4:$BV$359,26)</f>
        <v>248807.46981176798</v>
      </c>
      <c r="U41" s="289">
        <f>VLOOKUP(A41,'Bef.fremskr. kommunenivå MMMM'!$A$5:$K$360,8)</f>
        <v>6951</v>
      </c>
      <c r="V41" s="289">
        <f>VLOOKUP(A41,'K23'!$A$4:$BV$359,26)</f>
        <v>228049.07362136539</v>
      </c>
    </row>
    <row r="42" spans="1:22" s="657" customFormat="1" ht="13">
      <c r="A42" s="755">
        <v>1539</v>
      </c>
      <c r="B42" s="756" t="s">
        <v>102</v>
      </c>
      <c r="C42" s="289">
        <f>+K0kommunestruktur2021altern!C42</f>
        <v>7040.82953936797</v>
      </c>
      <c r="D42" s="289">
        <f>+K0kommunestruktur2021altern!D42</f>
        <v>163667.00405543653</v>
      </c>
      <c r="E42" s="289">
        <f>+K0kommunestruktur2021altern!E42</f>
        <v>7033.2719603642208</v>
      </c>
      <c r="F42" s="289">
        <f>+K0kommunestruktur2021altern!F42</f>
        <v>168259.13264501875</v>
      </c>
      <c r="G42" s="289">
        <f>+K0kommunestruktur2021altern!G42</f>
        <v>7077.6727370112476</v>
      </c>
      <c r="H42" s="289">
        <f>+K0kommunestruktur2021altern!H42</f>
        <v>173425.55195514194</v>
      </c>
      <c r="I42" s="289">
        <f>+K0kommunestruktur2021altern!I42</f>
        <v>7088.064408141403</v>
      </c>
      <c r="J42" s="289">
        <f>+K0kommunestruktur2021altern!J42</f>
        <v>182254.75568639528</v>
      </c>
      <c r="K42" s="289">
        <f>+K0kommunestruktur2021altern!K42</f>
        <v>7091.8431976432776</v>
      </c>
      <c r="L42" s="289">
        <f>+K0kommunestruktur2021altern!L42</f>
        <v>196523.77785216927</v>
      </c>
      <c r="M42" s="289">
        <f>+K0kommunestruktur2021altern!M42</f>
        <v>7072.9492501339046</v>
      </c>
      <c r="N42" s="289">
        <f>+K0kommunestruktur2021altern!N42</f>
        <v>202851.80784681306</v>
      </c>
      <c r="O42" s="289">
        <f>+K0kommunestruktur2021altern!O42</f>
        <v>7055</v>
      </c>
      <c r="P42" s="289">
        <f>+K0kommunestruktur2021altern!P42</f>
        <v>193956.32767848118</v>
      </c>
      <c r="Q42" s="289">
        <f>+K0kommunestruktur2021altern!Q42</f>
        <v>7026</v>
      </c>
      <c r="R42" s="289">
        <f>+K0kommunestruktur2021altern!R42</f>
        <v>226776.769</v>
      </c>
      <c r="S42" s="289">
        <f>VLOOKUP(A42,'K22'!A42:CU397,3)</f>
        <v>7019</v>
      </c>
      <c r="T42" s="290">
        <f>VLOOKUP(A42,'K22'!$A$4:$BV$359,26)</f>
        <v>251054.68167852293</v>
      </c>
      <c r="U42" s="289">
        <f>VLOOKUP(A42,'Bef.fremskr. kommunenivå MMMM'!$A$5:$K$360,8)</f>
        <v>7017</v>
      </c>
      <c r="V42" s="289">
        <f>VLOOKUP(A42,'K23'!$A$4:$BV$359,26)</f>
        <v>227953.42592261473</v>
      </c>
    </row>
    <row r="43" spans="1:22" ht="13">
      <c r="A43" s="755">
        <v>1547</v>
      </c>
      <c r="B43" s="756" t="s">
        <v>106</v>
      </c>
      <c r="C43" s="289">
        <f>+K0kommunestruktur2021altern!C43</f>
        <v>3389.4555735056542</v>
      </c>
      <c r="D43" s="289">
        <f>+K0kommunestruktur2021altern!D43</f>
        <v>84567.862681744751</v>
      </c>
      <c r="E43" s="289">
        <f>+K0kommunestruktur2021altern!E43</f>
        <v>3478.2326332794833</v>
      </c>
      <c r="F43" s="289">
        <f>+K0kommunestruktur2021altern!F43</f>
        <v>91908.408723747983</v>
      </c>
      <c r="G43" s="289">
        <f>+K0kommunestruktur2021altern!G43</f>
        <v>3530.3101777059774</v>
      </c>
      <c r="H43" s="289">
        <f>+K0kommunestruktur2021altern!H43</f>
        <v>97658.827140549271</v>
      </c>
      <c r="I43" s="289">
        <f>+K0kommunestruktur2021altern!I43</f>
        <v>3559.0775444264946</v>
      </c>
      <c r="J43" s="289">
        <f>+K0kommunestruktur2021altern!J43</f>
        <v>102782.4071082391</v>
      </c>
      <c r="K43" s="289">
        <f>+K0kommunestruktur2021altern!K43</f>
        <v>3569.2423263327946</v>
      </c>
      <c r="L43" s="289">
        <f>+K0kommunestruktur2021altern!L43</f>
        <v>97447.693053311799</v>
      </c>
      <c r="M43" s="289">
        <f>+K0kommunestruktur2021altern!M43</f>
        <v>3551</v>
      </c>
      <c r="N43" s="289">
        <f>+K0kommunestruktur2021altern!N43</f>
        <v>106807.4394184168</v>
      </c>
      <c r="O43" s="289">
        <f>+K0kommunestruktur2021altern!O43</f>
        <v>3509</v>
      </c>
      <c r="P43" s="289">
        <f>+K0kommunestruktur2021altern!P43</f>
        <v>99585</v>
      </c>
      <c r="Q43" s="289">
        <f>+K0kommunestruktur2021altern!Q43</f>
        <v>3522</v>
      </c>
      <c r="R43" s="289">
        <f>+K0kommunestruktur2021altern!R43</f>
        <v>107765.298</v>
      </c>
      <c r="S43" s="289">
        <f>VLOOKUP(A43,'K22'!A43:CU398,3)</f>
        <v>3518</v>
      </c>
      <c r="T43" s="289">
        <f>VLOOKUP(A43,'K22'!$A$4:$BV$359,26)</f>
        <v>124493.99438440717</v>
      </c>
      <c r="U43" s="289">
        <f>VLOOKUP(A43,'Bef.fremskr. kommunenivå MMMM'!$A$5:$K$360,8)</f>
        <v>3575</v>
      </c>
      <c r="V43" s="289">
        <f>VLOOKUP(A43,'K23'!$A$4:$BV$359,26)</f>
        <v>117399.85213461758</v>
      </c>
    </row>
    <row r="44" spans="1:22" ht="13">
      <c r="A44" s="755">
        <v>1554</v>
      </c>
      <c r="B44" s="756" t="s">
        <v>109</v>
      </c>
      <c r="C44" s="289">
        <f>+K0kommunestruktur2021altern!C44</f>
        <v>5687</v>
      </c>
      <c r="D44" s="289">
        <f>+K0kommunestruktur2021altern!D44</f>
        <v>125329</v>
      </c>
      <c r="E44" s="289">
        <f>+K0kommunestruktur2021altern!E44</f>
        <v>5794</v>
      </c>
      <c r="F44" s="289">
        <f>+K0kommunestruktur2021altern!F44</f>
        <v>136191</v>
      </c>
      <c r="G44" s="289">
        <f>+K0kommunestruktur2021altern!G44</f>
        <v>5826</v>
      </c>
      <c r="H44" s="289">
        <f>+K0kommunestruktur2021altern!H44</f>
        <v>146606</v>
      </c>
      <c r="I44" s="289">
        <f>+K0kommunestruktur2021altern!I44</f>
        <v>5856</v>
      </c>
      <c r="J44" s="289">
        <f>+K0kommunestruktur2021altern!J44</f>
        <v>150786</v>
      </c>
      <c r="K44" s="289">
        <f>+K0kommunestruktur2021altern!K44</f>
        <v>5859</v>
      </c>
      <c r="L44" s="289">
        <f>+K0kommunestruktur2021altern!L44</f>
        <v>153466</v>
      </c>
      <c r="M44" s="289">
        <f>+K0kommunestruktur2021altern!M44</f>
        <v>5849</v>
      </c>
      <c r="N44" s="289">
        <f>+K0kommunestruktur2021altern!N44</f>
        <v>163113</v>
      </c>
      <c r="O44" s="289">
        <f>+K0kommunestruktur2021altern!O44</f>
        <v>5788</v>
      </c>
      <c r="P44" s="289">
        <f>+K0kommunestruktur2021altern!P44</f>
        <v>163759</v>
      </c>
      <c r="Q44" s="289">
        <f>+K0kommunestruktur2021altern!Q44</f>
        <v>5808</v>
      </c>
      <c r="R44" s="289">
        <f>+K0kommunestruktur2021altern!R44</f>
        <v>185263.12599999999</v>
      </c>
      <c r="S44" s="289">
        <f>VLOOKUP(A44,'K22'!A44:CU399,3)</f>
        <v>5828</v>
      </c>
      <c r="T44" s="289">
        <f>VLOOKUP(A44,'K22'!$A$4:$BV$359,26)</f>
        <v>205846.04528919084</v>
      </c>
      <c r="U44" s="289">
        <f>VLOOKUP(A44,'Bef.fremskr. kommunenivå MMMM'!$A$5:$K$360,8)</f>
        <v>5912</v>
      </c>
      <c r="V44" s="289">
        <f>VLOOKUP(A44,'K23'!$A$4:$BV$359,26)</f>
        <v>191566.85371985816</v>
      </c>
    </row>
    <row r="45" spans="1:22" ht="13">
      <c r="A45" s="755">
        <v>1557</v>
      </c>
      <c r="B45" s="756" t="s">
        <v>110</v>
      </c>
      <c r="C45" s="289">
        <f>+K0kommunestruktur2021altern!C45</f>
        <v>2565</v>
      </c>
      <c r="D45" s="289">
        <f>+K0kommunestruktur2021altern!D45</f>
        <v>54164</v>
      </c>
      <c r="E45" s="289">
        <f>+K0kommunestruktur2021altern!E45</f>
        <v>2580</v>
      </c>
      <c r="F45" s="289">
        <f>+K0kommunestruktur2021altern!F45</f>
        <v>59425</v>
      </c>
      <c r="G45" s="289">
        <f>+K0kommunestruktur2021altern!G45</f>
        <v>2593</v>
      </c>
      <c r="H45" s="289">
        <f>+K0kommunestruktur2021altern!H45</f>
        <v>59460</v>
      </c>
      <c r="I45" s="289">
        <f>+K0kommunestruktur2021altern!I45</f>
        <v>2611</v>
      </c>
      <c r="J45" s="289">
        <f>+K0kommunestruktur2021altern!J45</f>
        <v>60402</v>
      </c>
      <c r="K45" s="289">
        <f>+K0kommunestruktur2021altern!K45</f>
        <v>2623</v>
      </c>
      <c r="L45" s="289">
        <f>+K0kommunestruktur2021altern!L45</f>
        <v>63780</v>
      </c>
      <c r="M45" s="289">
        <f>+K0kommunestruktur2021altern!M45</f>
        <v>2641</v>
      </c>
      <c r="N45" s="289">
        <f>+K0kommunestruktur2021altern!N45</f>
        <v>65161</v>
      </c>
      <c r="O45" s="289">
        <f>+K0kommunestruktur2021altern!O45</f>
        <v>2629</v>
      </c>
      <c r="P45" s="289">
        <f>+K0kommunestruktur2021altern!P45</f>
        <v>63050</v>
      </c>
      <c r="Q45" s="289">
        <f>+K0kommunestruktur2021altern!Q45</f>
        <v>2658</v>
      </c>
      <c r="R45" s="289">
        <f>+K0kommunestruktur2021altern!R45</f>
        <v>71939.519</v>
      </c>
      <c r="S45" s="289">
        <f>VLOOKUP(A45,'K22'!A45:CU400,3)</f>
        <v>2669</v>
      </c>
      <c r="T45" s="289">
        <f>VLOOKUP(A45,'K22'!$A$4:$BV$359,26)</f>
        <v>79158.076976215089</v>
      </c>
      <c r="U45" s="289">
        <f>VLOOKUP(A45,'Bef.fremskr. kommunenivå MMMM'!$A$5:$K$360,8)</f>
        <v>2708</v>
      </c>
      <c r="V45" s="289">
        <f>VLOOKUP(A45,'K23'!$A$4:$BV$359,26)</f>
        <v>75476.848675578643</v>
      </c>
    </row>
    <row r="46" spans="1:22" ht="13">
      <c r="A46" s="755">
        <v>1560</v>
      </c>
      <c r="B46" s="756" t="s">
        <v>111</v>
      </c>
      <c r="C46" s="289">
        <f>+K0kommunestruktur2021altern!C46</f>
        <v>3064</v>
      </c>
      <c r="D46" s="289">
        <f>+K0kommunestruktur2021altern!D46</f>
        <v>56739</v>
      </c>
      <c r="E46" s="289">
        <f>+K0kommunestruktur2021altern!E46</f>
        <v>3090</v>
      </c>
      <c r="F46" s="289">
        <f>+K0kommunestruktur2021altern!F46</f>
        <v>60801</v>
      </c>
      <c r="G46" s="289">
        <f>+K0kommunestruktur2021altern!G46</f>
        <v>3103</v>
      </c>
      <c r="H46" s="289">
        <f>+K0kommunestruktur2021altern!H46</f>
        <v>68044</v>
      </c>
      <c r="I46" s="289">
        <f>+K0kommunestruktur2021altern!I46</f>
        <v>3109</v>
      </c>
      <c r="J46" s="289">
        <f>+K0kommunestruktur2021altern!J46</f>
        <v>68507</v>
      </c>
      <c r="K46" s="289">
        <f>+K0kommunestruktur2021altern!K46</f>
        <v>3078</v>
      </c>
      <c r="L46" s="289">
        <f>+K0kommunestruktur2021altern!L46</f>
        <v>70887</v>
      </c>
      <c r="M46" s="289">
        <f>+K0kommunestruktur2021altern!M46</f>
        <v>3045</v>
      </c>
      <c r="N46" s="289">
        <f>+K0kommunestruktur2021altern!N46</f>
        <v>75985</v>
      </c>
      <c r="O46" s="289">
        <f>+K0kommunestruktur2021altern!O46</f>
        <v>3025</v>
      </c>
      <c r="P46" s="289">
        <f>+K0kommunestruktur2021altern!P46</f>
        <v>75472</v>
      </c>
      <c r="Q46" s="289">
        <f>+K0kommunestruktur2021altern!Q46</f>
        <v>2985</v>
      </c>
      <c r="R46" s="289">
        <f>+K0kommunestruktur2021altern!R46</f>
        <v>81411.259000000005</v>
      </c>
      <c r="S46" s="289">
        <f>VLOOKUP(A46,'K22'!A46:CU401,3)</f>
        <v>2960</v>
      </c>
      <c r="T46" s="289">
        <f>VLOOKUP(A46,'K22'!$A$4:$BV$359,26)</f>
        <v>89889.778395161076</v>
      </c>
      <c r="U46" s="289">
        <f>VLOOKUP(A46,'Bef.fremskr. kommunenivå MMMM'!$A$5:$K$360,8)</f>
        <v>2975</v>
      </c>
      <c r="V46" s="289">
        <f>VLOOKUP(A46,'K23'!$A$4:$BV$359,26)</f>
        <v>84565.103671332836</v>
      </c>
    </row>
    <row r="47" spans="1:22" ht="13">
      <c r="A47" s="755">
        <v>1563</v>
      </c>
      <c r="B47" s="756" t="s">
        <v>112</v>
      </c>
      <c r="C47" s="289">
        <f>+K0kommunestruktur2021altern!C47</f>
        <v>7171</v>
      </c>
      <c r="D47" s="289">
        <f>+K0kommunestruktur2021altern!D47</f>
        <v>169264</v>
      </c>
      <c r="E47" s="289">
        <f>+K0kommunestruktur2021altern!E47</f>
        <v>7155</v>
      </c>
      <c r="F47" s="289">
        <f>+K0kommunestruktur2021altern!F47</f>
        <v>178481</v>
      </c>
      <c r="G47" s="289">
        <f>+K0kommunestruktur2021altern!G47</f>
        <v>7160</v>
      </c>
      <c r="H47" s="289">
        <f>+K0kommunestruktur2021altern!H47</f>
        <v>189734</v>
      </c>
      <c r="I47" s="289">
        <f>+K0kommunestruktur2021altern!I47</f>
        <v>7126</v>
      </c>
      <c r="J47" s="289">
        <f>+K0kommunestruktur2021altern!J47</f>
        <v>195106</v>
      </c>
      <c r="K47" s="289">
        <f>+K0kommunestruktur2021altern!K47</f>
        <v>7119</v>
      </c>
      <c r="L47" s="289">
        <f>+K0kommunestruktur2021altern!L47</f>
        <v>203672</v>
      </c>
      <c r="M47" s="289">
        <f>+K0kommunestruktur2021altern!M47</f>
        <v>7106</v>
      </c>
      <c r="N47" s="289">
        <f>+K0kommunestruktur2021altern!N47</f>
        <v>207823</v>
      </c>
      <c r="O47" s="289">
        <f>+K0kommunestruktur2021altern!O47</f>
        <v>7036</v>
      </c>
      <c r="P47" s="289">
        <f>+K0kommunestruktur2021altern!P47</f>
        <v>204475</v>
      </c>
      <c r="Q47" s="289">
        <f>+K0kommunestruktur2021altern!Q47</f>
        <v>6956</v>
      </c>
      <c r="R47" s="289">
        <f>+K0kommunestruktur2021altern!R47</f>
        <v>233349.353</v>
      </c>
      <c r="S47" s="289">
        <f>VLOOKUP(A47,'K22'!A47:CU402,3)</f>
        <v>6932</v>
      </c>
      <c r="T47" s="289">
        <f>VLOOKUP(A47,'K22'!$A$4:$BV$359,26)</f>
        <v>246099.74084493675</v>
      </c>
      <c r="U47" s="289">
        <f>VLOOKUP(A47,'Bef.fremskr. kommunenivå MMMM'!$A$5:$K$360,8)</f>
        <v>6894</v>
      </c>
      <c r="V47" s="289">
        <f>VLOOKUP(A47,'K23'!$A$4:$BV$359,26)</f>
        <v>231679.00298555216</v>
      </c>
    </row>
    <row r="48" spans="1:22" ht="13">
      <c r="A48" s="755">
        <v>1566</v>
      </c>
      <c r="B48" s="756" t="s">
        <v>113</v>
      </c>
      <c r="C48" s="289">
        <f>+K0kommunestruktur2021altern!C48</f>
        <v>5954</v>
      </c>
      <c r="D48" s="289">
        <f>+K0kommunestruktur2021altern!D48</f>
        <v>120188</v>
      </c>
      <c r="E48" s="289">
        <f>+K0kommunestruktur2021altern!E48</f>
        <v>5976</v>
      </c>
      <c r="F48" s="289">
        <f>+K0kommunestruktur2021altern!F48</f>
        <v>122573</v>
      </c>
      <c r="G48" s="289">
        <f>+K0kommunestruktur2021altern!G48</f>
        <v>5969</v>
      </c>
      <c r="H48" s="289">
        <f>+K0kommunestruktur2021altern!H48</f>
        <v>132821</v>
      </c>
      <c r="I48" s="289">
        <f>+K0kommunestruktur2021altern!I48</f>
        <v>5986</v>
      </c>
      <c r="J48" s="289">
        <f>+K0kommunestruktur2021altern!J48</f>
        <v>140387</v>
      </c>
      <c r="K48" s="289">
        <f>+K0kommunestruktur2021altern!K48</f>
        <v>5978</v>
      </c>
      <c r="L48" s="289">
        <f>+K0kommunestruktur2021altern!L48</f>
        <v>157123</v>
      </c>
      <c r="M48" s="289">
        <f>+K0kommunestruktur2021altern!M48</f>
        <v>5928</v>
      </c>
      <c r="N48" s="289">
        <f>+K0kommunestruktur2021altern!N48</f>
        <v>151417</v>
      </c>
      <c r="O48" s="289">
        <f>+K0kommunestruktur2021altern!O48</f>
        <v>5920</v>
      </c>
      <c r="P48" s="289">
        <f>+K0kommunestruktur2021altern!P48</f>
        <v>139829</v>
      </c>
      <c r="Q48" s="289">
        <f>+K0kommunestruktur2021altern!Q48</f>
        <v>5872</v>
      </c>
      <c r="R48" s="289">
        <f>+K0kommunestruktur2021altern!R48</f>
        <v>170499.11</v>
      </c>
      <c r="S48" s="289">
        <f>VLOOKUP(A48,'K22'!A48:CU403,3)</f>
        <v>5849</v>
      </c>
      <c r="T48" s="289">
        <f>VLOOKUP(A48,'K22'!$A$4:$BV$359,26)</f>
        <v>178646.46705184993</v>
      </c>
      <c r="U48" s="289">
        <f>VLOOKUP(A48,'Bef.fremskr. kommunenivå MMMM'!$A$5:$K$360,8)</f>
        <v>5790</v>
      </c>
      <c r="V48" s="289">
        <f>VLOOKUP(A48,'K23'!$A$4:$BV$359,26)</f>
        <v>165719.93755231038</v>
      </c>
    </row>
    <row r="49" spans="1:22" ht="13">
      <c r="A49" s="755">
        <v>1573</v>
      </c>
      <c r="B49" s="756" t="s">
        <v>116</v>
      </c>
      <c r="C49" s="289">
        <f>+K0kommunestruktur2021altern!C49</f>
        <v>2166</v>
      </c>
      <c r="D49" s="289">
        <f>+K0kommunestruktur2021altern!D49</f>
        <v>42888</v>
      </c>
      <c r="E49" s="289">
        <f>+K0kommunestruktur2021altern!E49</f>
        <v>2146</v>
      </c>
      <c r="F49" s="289">
        <f>+K0kommunestruktur2021altern!F49</f>
        <v>44088</v>
      </c>
      <c r="G49" s="289">
        <f>+K0kommunestruktur2021altern!G49</f>
        <v>2141</v>
      </c>
      <c r="H49" s="289">
        <f>+K0kommunestruktur2021altern!H49</f>
        <v>49763</v>
      </c>
      <c r="I49" s="289">
        <f>+K0kommunestruktur2021altern!I49</f>
        <v>2160</v>
      </c>
      <c r="J49" s="289">
        <f>+K0kommunestruktur2021altern!J49</f>
        <v>54812</v>
      </c>
      <c r="K49" s="289">
        <f>+K0kommunestruktur2021altern!K49</f>
        <v>2172</v>
      </c>
      <c r="L49" s="289">
        <f>+K0kommunestruktur2021altern!L49</f>
        <v>54874</v>
      </c>
      <c r="M49" s="289">
        <f>+K0kommunestruktur2021altern!M49</f>
        <v>2134</v>
      </c>
      <c r="N49" s="289">
        <f>+K0kommunestruktur2021altern!N49</f>
        <v>56072</v>
      </c>
      <c r="O49" s="289">
        <f>+K0kommunestruktur2021altern!O49</f>
        <v>2150</v>
      </c>
      <c r="P49" s="289">
        <f>+K0kommunestruktur2021altern!P49</f>
        <v>57258</v>
      </c>
      <c r="Q49" s="289">
        <f>+K0kommunestruktur2021altern!Q49</f>
        <v>2128</v>
      </c>
      <c r="R49" s="289">
        <f>+K0kommunestruktur2021altern!R49</f>
        <v>68450.55</v>
      </c>
      <c r="S49" s="289">
        <f>VLOOKUP(A49,'K22'!A49:CU404,3)</f>
        <v>2120</v>
      </c>
      <c r="T49" s="289">
        <f>VLOOKUP(A49,'K22'!$A$4:$BV$359,26)</f>
        <v>70153.023130177069</v>
      </c>
      <c r="U49" s="289">
        <f>VLOOKUP(A49,'Bef.fremskr. kommunenivå MMMM'!$A$5:$K$360,8)</f>
        <v>2126</v>
      </c>
      <c r="V49" s="289">
        <f>VLOOKUP(A49,'K23'!$A$4:$BV$359,26)</f>
        <v>66395.537610215673</v>
      </c>
    </row>
    <row r="50" spans="1:22" ht="13">
      <c r="A50" s="755">
        <v>1576</v>
      </c>
      <c r="B50" s="756" t="s">
        <v>1498</v>
      </c>
      <c r="C50" s="289">
        <f>+K0kommunestruktur2021altern!C50</f>
        <v>3577</v>
      </c>
      <c r="D50" s="289">
        <f>+K0kommunestruktur2021altern!D50</f>
        <v>72755</v>
      </c>
      <c r="E50" s="289">
        <f>+K0kommunestruktur2021altern!E50</f>
        <v>3549</v>
      </c>
      <c r="F50" s="289">
        <f>+K0kommunestruktur2021altern!F50</f>
        <v>76165</v>
      </c>
      <c r="G50" s="289">
        <f>+K0kommunestruktur2021altern!G50</f>
        <v>3536</v>
      </c>
      <c r="H50" s="289">
        <f>+K0kommunestruktur2021altern!H50</f>
        <v>85813</v>
      </c>
      <c r="I50" s="289">
        <f>+K0kommunestruktur2021altern!I50</f>
        <v>3590</v>
      </c>
      <c r="J50" s="289">
        <f>+K0kommunestruktur2021altern!J50</f>
        <v>89415</v>
      </c>
      <c r="K50" s="289">
        <f>+K0kommunestruktur2021altern!K50</f>
        <v>3593</v>
      </c>
      <c r="L50" s="289">
        <f>+K0kommunestruktur2021altern!L50</f>
        <v>90980</v>
      </c>
      <c r="M50" s="289">
        <f>+K0kommunestruktur2021altern!M50</f>
        <v>3553</v>
      </c>
      <c r="N50" s="289">
        <f>+K0kommunestruktur2021altern!N50</f>
        <v>94244</v>
      </c>
      <c r="O50" s="289">
        <f>+K0kommunestruktur2021altern!O50</f>
        <v>3507</v>
      </c>
      <c r="P50" s="289">
        <f>+K0kommunestruktur2021altern!P50</f>
        <v>95166</v>
      </c>
      <c r="Q50" s="289">
        <f>+K0kommunestruktur2021altern!Q50</f>
        <v>3468</v>
      </c>
      <c r="R50" s="289">
        <f>+K0kommunestruktur2021altern!R50</f>
        <v>108448.931</v>
      </c>
      <c r="S50" s="289">
        <f>VLOOKUP(A50,'K22'!A50:CU405,3)</f>
        <v>3384</v>
      </c>
      <c r="T50" s="289">
        <f>VLOOKUP(A50,'K22'!$A$4:$BV$359,26)</f>
        <v>112565.82364371736</v>
      </c>
      <c r="U50" s="289">
        <f>VLOOKUP(A50,'Bef.fremskr. kommunenivå MMMM'!$A$5:$K$360,8)</f>
        <v>3352</v>
      </c>
      <c r="V50" s="289">
        <f>VLOOKUP(A50,'K23'!$A$4:$BV$359,26)</f>
        <v>104652.62407836856</v>
      </c>
    </row>
    <row r="51" spans="1:22" ht="13">
      <c r="A51" s="755">
        <v>1577</v>
      </c>
      <c r="B51" s="756" t="s">
        <v>1613</v>
      </c>
      <c r="C51" s="289">
        <f>+K0kommunestruktur2021altern!C51</f>
        <v>10219.895551257254</v>
      </c>
      <c r="D51" s="289">
        <f>+K0kommunestruktur2021altern!D51</f>
        <v>208243.61718568666</v>
      </c>
      <c r="E51" s="289">
        <f>+K0kommunestruktur2021altern!E51</f>
        <v>10286.408123791103</v>
      </c>
      <c r="F51" s="289">
        <f>+K0kommunestruktur2021altern!F51</f>
        <v>219052.3610154739</v>
      </c>
      <c r="G51" s="289">
        <f>+K0kommunestruktur2021altern!G51</f>
        <v>10326.25918762089</v>
      </c>
      <c r="H51" s="289">
        <f>+K0kommunestruktur2021altern!H51</f>
        <v>233359.61901353966</v>
      </c>
      <c r="I51" s="289">
        <f>+K0kommunestruktur2021altern!I51</f>
        <v>10389.907156673115</v>
      </c>
      <c r="J51" s="289">
        <f>+K0kommunestruktur2021altern!J51</f>
        <v>236710.40845261121</v>
      </c>
      <c r="K51" s="289">
        <f>+K0kommunestruktur2021altern!K51</f>
        <v>10453.564796905222</v>
      </c>
      <c r="L51" s="289">
        <f>+K0kommunestruktur2021altern!L51</f>
        <v>251923.62088974856</v>
      </c>
      <c r="M51" s="289">
        <f>+K0kommunestruktur2021altern!M51</f>
        <v>10454</v>
      </c>
      <c r="N51" s="289">
        <f>+K0kommunestruktur2021altern!N51</f>
        <v>258159.72920696324</v>
      </c>
      <c r="O51" s="289">
        <f>+K0kommunestruktur2021altern!O51</f>
        <v>10473</v>
      </c>
      <c r="P51" s="289">
        <f>+K0kommunestruktur2021altern!P51</f>
        <v>252064</v>
      </c>
      <c r="Q51" s="289">
        <f>+K0kommunestruktur2021altern!Q51</f>
        <v>10781</v>
      </c>
      <c r="R51" s="289">
        <f>+K0kommunestruktur2021altern!R51</f>
        <v>294567.46100000001</v>
      </c>
      <c r="S51" s="289">
        <f>VLOOKUP(A51,'K22'!A51:CU406,3)</f>
        <v>10809</v>
      </c>
      <c r="T51" s="289">
        <f>VLOOKUP(A51,'K22'!$A$4:$BV$359,26)</f>
        <v>323642.49136831838</v>
      </c>
      <c r="U51" s="289">
        <f>VLOOKUP(A51,'Bef.fremskr. kommunenivå MMMM'!$A$5:$K$360,8)</f>
        <v>10999</v>
      </c>
      <c r="V51" s="289">
        <f>VLOOKUP(A51,'K23'!$A$4:$BV$359,26)</f>
        <v>307688.32642814511</v>
      </c>
    </row>
    <row r="52" spans="1:22" ht="13">
      <c r="A52" s="755">
        <v>1578</v>
      </c>
      <c r="B52" s="756" t="s">
        <v>1614</v>
      </c>
      <c r="C52" s="289">
        <f>+K0kommunestruktur2021altern!C52</f>
        <v>2720</v>
      </c>
      <c r="D52" s="289">
        <f>+K0kommunestruktur2021altern!D52</f>
        <v>61837</v>
      </c>
      <c r="E52" s="289">
        <f>+K0kommunestruktur2021altern!E52</f>
        <v>2719</v>
      </c>
      <c r="F52" s="289">
        <f>+K0kommunestruktur2021altern!F52</f>
        <v>62229</v>
      </c>
      <c r="G52" s="289">
        <f>+K0kommunestruktur2021altern!G52</f>
        <v>2672</v>
      </c>
      <c r="H52" s="289">
        <f>+K0kommunestruktur2021altern!H52</f>
        <v>66338</v>
      </c>
      <c r="I52" s="289">
        <f>+K0kommunestruktur2021altern!I52</f>
        <v>2668</v>
      </c>
      <c r="J52" s="289">
        <f>+K0kommunestruktur2021altern!J52</f>
        <v>71869</v>
      </c>
      <c r="K52" s="289">
        <f>+K0kommunestruktur2021altern!K52</f>
        <v>2642</v>
      </c>
      <c r="L52" s="289">
        <f>+K0kommunestruktur2021altern!L52</f>
        <v>70869</v>
      </c>
      <c r="M52" s="289">
        <f>+K0kommunestruktur2021altern!M52</f>
        <v>2592</v>
      </c>
      <c r="N52" s="289">
        <f>+K0kommunestruktur2021altern!N52</f>
        <v>68700</v>
      </c>
      <c r="O52" s="289">
        <f>+K0kommunestruktur2021altern!O52</f>
        <v>2549</v>
      </c>
      <c r="P52" s="289">
        <f>+K0kommunestruktur2021altern!P52</f>
        <v>68641</v>
      </c>
      <c r="Q52" s="289">
        <f>+K0kommunestruktur2021altern!Q52</f>
        <v>2502</v>
      </c>
      <c r="R52" s="289">
        <f>+K0kommunestruktur2021altern!R52</f>
        <v>77333.64</v>
      </c>
      <c r="S52" s="289">
        <f>VLOOKUP(A52,'K22'!A52:CU407,3)</f>
        <v>2491</v>
      </c>
      <c r="T52" s="289">
        <f>VLOOKUP(A52,'K22'!$A$4:$BV$359,26)</f>
        <v>81179.113141954018</v>
      </c>
      <c r="U52" s="289">
        <f>VLOOKUP(A52,'Bef.fremskr. kommunenivå MMMM'!$A$5:$K$360,8)</f>
        <v>2496</v>
      </c>
      <c r="V52" s="289">
        <f>VLOOKUP(A52,'K23'!$A$4:$BV$359,26)</f>
        <v>76596.065141737417</v>
      </c>
    </row>
    <row r="53" spans="1:22" ht="13">
      <c r="A53" s="755">
        <v>1579</v>
      </c>
      <c r="B53" s="756" t="s">
        <v>1615</v>
      </c>
      <c r="C53" s="289">
        <f>+K0kommunestruktur2021altern!C53</f>
        <v>13191</v>
      </c>
      <c r="D53" s="289">
        <f>+K0kommunestruktur2021altern!D53</f>
        <v>273471</v>
      </c>
      <c r="E53" s="289">
        <f>+K0kommunestruktur2021altern!E53</f>
        <v>13250</v>
      </c>
      <c r="F53" s="289">
        <f>+K0kommunestruktur2021altern!F53</f>
        <v>288365</v>
      </c>
      <c r="G53" s="289">
        <f>+K0kommunestruktur2021altern!G53</f>
        <v>13184</v>
      </c>
      <c r="H53" s="289">
        <f>+K0kommunestruktur2021altern!H53</f>
        <v>305060</v>
      </c>
      <c r="I53" s="289">
        <f>+K0kommunestruktur2021altern!I53</f>
        <v>13195</v>
      </c>
      <c r="J53" s="289">
        <f>+K0kommunestruktur2021altern!J53</f>
        <v>321679</v>
      </c>
      <c r="K53" s="289">
        <f>+K0kommunestruktur2021altern!K53</f>
        <v>13215</v>
      </c>
      <c r="L53" s="289">
        <f>+K0kommunestruktur2021altern!L53</f>
        <v>339908</v>
      </c>
      <c r="M53" s="289">
        <f>+K0kommunestruktur2021altern!M53</f>
        <v>13233</v>
      </c>
      <c r="N53" s="289">
        <f>+K0kommunestruktur2021altern!N53</f>
        <v>346385</v>
      </c>
      <c r="O53" s="289">
        <f>+K0kommunestruktur2021altern!O53</f>
        <v>13279</v>
      </c>
      <c r="P53" s="289">
        <f>+K0kommunestruktur2021altern!P53</f>
        <v>340418</v>
      </c>
      <c r="Q53" s="289">
        <f>+K0kommunestruktur2021altern!Q53</f>
        <v>13317</v>
      </c>
      <c r="R53" s="289">
        <f>+K0kommunestruktur2021altern!R53</f>
        <v>389167.47600000002</v>
      </c>
      <c r="S53" s="289">
        <f>VLOOKUP(A53,'K22'!A53:CU408,3)</f>
        <v>13287</v>
      </c>
      <c r="T53" s="289">
        <f>VLOOKUP(A53,'K22'!$A$4:$BV$359,26)</f>
        <v>421776.61895532976</v>
      </c>
      <c r="U53" s="289">
        <f>VLOOKUP(A53,'Bef.fremskr. kommunenivå MMMM'!$A$5:$K$360,8)</f>
        <v>13311</v>
      </c>
      <c r="V53" s="289">
        <f>VLOOKUP(A53,'K23'!$A$4:$BV$359,26)</f>
        <v>396875.17348354292</v>
      </c>
    </row>
    <row r="54" spans="1:22" ht="13">
      <c r="A54" s="755">
        <v>1804</v>
      </c>
      <c r="B54" s="756" t="s">
        <v>174</v>
      </c>
      <c r="C54" s="289">
        <f>+K0kommunestruktur2021altern!C54</f>
        <v>49731</v>
      </c>
      <c r="D54" s="289">
        <f>+K0kommunestruktur2021altern!D54</f>
        <v>1162903</v>
      </c>
      <c r="E54" s="289">
        <f>+K0kommunestruktur2021altern!E54</f>
        <v>50185</v>
      </c>
      <c r="F54" s="289">
        <f>+K0kommunestruktur2021altern!F54</f>
        <v>1244567</v>
      </c>
      <c r="G54" s="289">
        <f>+K0kommunestruktur2021altern!G54</f>
        <v>50488</v>
      </c>
      <c r="H54" s="289">
        <f>+K0kommunestruktur2021altern!H54</f>
        <v>1345148</v>
      </c>
      <c r="I54" s="289">
        <f>+K0kommunestruktur2021altern!I54</f>
        <v>51022</v>
      </c>
      <c r="J54" s="289">
        <f>+K0kommunestruktur2021altern!J54</f>
        <v>1417947</v>
      </c>
      <c r="K54" s="289">
        <f>+K0kommunestruktur2021altern!K54</f>
        <v>51558</v>
      </c>
      <c r="L54" s="289">
        <f>+K0kommunestruktur2021altern!L54</f>
        <v>1519251</v>
      </c>
      <c r="M54" s="289">
        <f>+K0kommunestruktur2021altern!M54</f>
        <v>52024</v>
      </c>
      <c r="N54" s="289">
        <f>+K0kommunestruktur2021altern!N54</f>
        <v>1602846</v>
      </c>
      <c r="O54" s="289">
        <f>+K0kommunestruktur2021altern!O54</f>
        <v>52357</v>
      </c>
      <c r="P54" s="289">
        <f>+K0kommunestruktur2021altern!P54</f>
        <v>1589017</v>
      </c>
      <c r="Q54" s="289">
        <f>+K0kommunestruktur2021altern!Q54</f>
        <v>52560</v>
      </c>
      <c r="R54" s="289">
        <f>+K0kommunestruktur2021altern!R54</f>
        <v>1841083.26</v>
      </c>
      <c r="S54" s="289">
        <f>VLOOKUP(A54,'K22'!A54:CU409,3)</f>
        <v>52803</v>
      </c>
      <c r="T54" s="289">
        <f>VLOOKUP(A54,'K22'!$A$4:$BV$359,26)</f>
        <v>2041003.0969496614</v>
      </c>
      <c r="U54" s="289">
        <f>VLOOKUP(A54,'Bef.fremskr. kommunenivå MMMM'!$A$5:$K$360,8)</f>
        <v>53148</v>
      </c>
      <c r="V54" s="289">
        <f>VLOOKUP(A54,'K23'!$A$4:$BV$359,26)</f>
        <v>1879909.3948167902</v>
      </c>
    </row>
    <row r="55" spans="1:22" ht="13">
      <c r="A55" s="755">
        <v>1806</v>
      </c>
      <c r="B55" s="756" t="s">
        <v>1616</v>
      </c>
      <c r="C55" s="289">
        <f>+K0kommunestruktur2021altern!C55</f>
        <v>22220.67532468</v>
      </c>
      <c r="D55" s="289">
        <f>+K0kommunestruktur2021altern!D55</f>
        <v>474310.8848051948</v>
      </c>
      <c r="E55" s="289">
        <f>+K0kommunestruktur2021altern!E55</f>
        <v>22356.825974029998</v>
      </c>
      <c r="F55" s="289">
        <f>+K0kommunestruktur2021altern!F55</f>
        <v>515143.91582337662</v>
      </c>
      <c r="G55" s="289">
        <f>+K0kommunestruktur2021altern!G55</f>
        <v>22255.654545450001</v>
      </c>
      <c r="H55" s="289">
        <f>+K0kommunestruktur2021altern!H55</f>
        <v>550619.43769870128</v>
      </c>
      <c r="I55" s="289">
        <f>+K0kommunestruktur2021altern!I55</f>
        <v>22216.181818180001</v>
      </c>
      <c r="J55" s="289">
        <f>+K0kommunestruktur2021altern!J55</f>
        <v>573584.7218025974</v>
      </c>
      <c r="K55" s="289">
        <f>+K0kommunestruktur2021altern!K55</f>
        <v>22062.945454550001</v>
      </c>
      <c r="L55" s="289">
        <f>+K0kommunestruktur2021altern!L55</f>
        <v>598271.44415584416</v>
      </c>
      <c r="M55" s="289">
        <f>+K0kommunestruktur2021altern!M55</f>
        <v>21990</v>
      </c>
      <c r="N55" s="289">
        <f>+K0kommunestruktur2021altern!N55</f>
        <v>597862.21038961038</v>
      </c>
      <c r="O55" s="289">
        <f>+K0kommunestruktur2021altern!O55</f>
        <v>21845</v>
      </c>
      <c r="P55" s="289">
        <f>+K0kommunestruktur2021altern!P55</f>
        <v>595353</v>
      </c>
      <c r="Q55" s="289">
        <f>+K0kommunestruktur2021altern!Q55</f>
        <v>21661</v>
      </c>
      <c r="R55" s="289">
        <f>+K0kommunestruktur2021altern!R55</f>
        <v>679205.41</v>
      </c>
      <c r="S55" s="289">
        <f>VLOOKUP(A55,'K22'!A55:CU410,3)</f>
        <v>21530</v>
      </c>
      <c r="T55" s="289">
        <f>VLOOKUP(A55,'K22'!$A$4:$BV$359,26)</f>
        <v>724694.33049844857</v>
      </c>
      <c r="U55" s="289">
        <f>VLOOKUP(A55,'Bef.fremskr. kommunenivå MMMM'!$A$5:$K$360,8)</f>
        <v>21534</v>
      </c>
      <c r="V55" s="289">
        <f>VLOOKUP(A55,'K23'!$A$4:$BV$359,26)</f>
        <v>677554.99724408111</v>
      </c>
    </row>
    <row r="56" spans="1:22" ht="13">
      <c r="A56" s="755">
        <v>1811</v>
      </c>
      <c r="B56" s="756" t="s">
        <v>176</v>
      </c>
      <c r="C56" s="289">
        <f>+K0kommunestruktur2021altern!C56</f>
        <v>1503</v>
      </c>
      <c r="D56" s="289">
        <f>+K0kommunestruktur2021altern!D56</f>
        <v>30493</v>
      </c>
      <c r="E56" s="289">
        <f>+K0kommunestruktur2021altern!E56</f>
        <v>1482</v>
      </c>
      <c r="F56" s="289">
        <f>+K0kommunestruktur2021altern!F56</f>
        <v>32052</v>
      </c>
      <c r="G56" s="289">
        <f>+K0kommunestruktur2021altern!G56</f>
        <v>1465</v>
      </c>
      <c r="H56" s="289">
        <f>+K0kommunestruktur2021altern!H56</f>
        <v>35427</v>
      </c>
      <c r="I56" s="289">
        <f>+K0kommunestruktur2021altern!I56</f>
        <v>1473</v>
      </c>
      <c r="J56" s="289">
        <f>+K0kommunestruktur2021altern!J56</f>
        <v>37248</v>
      </c>
      <c r="K56" s="289">
        <f>+K0kommunestruktur2021altern!K56</f>
        <v>1486</v>
      </c>
      <c r="L56" s="289">
        <f>+K0kommunestruktur2021altern!L56</f>
        <v>40198</v>
      </c>
      <c r="M56" s="289">
        <f>+K0kommunestruktur2021altern!M56</f>
        <v>1450</v>
      </c>
      <c r="N56" s="289">
        <f>+K0kommunestruktur2021altern!N56</f>
        <v>38970</v>
      </c>
      <c r="O56" s="289">
        <f>+K0kommunestruktur2021altern!O56</f>
        <v>1426</v>
      </c>
      <c r="P56" s="289">
        <f>+K0kommunestruktur2021altern!P56</f>
        <v>38311</v>
      </c>
      <c r="Q56" s="289">
        <f>+K0kommunestruktur2021altern!Q56</f>
        <v>1397</v>
      </c>
      <c r="R56" s="289">
        <f>+K0kommunestruktur2021altern!R56</f>
        <v>45529.815999999999</v>
      </c>
      <c r="S56" s="289">
        <f>VLOOKUP(A56,'K22'!A56:CU411,3)</f>
        <v>1406</v>
      </c>
      <c r="T56" s="289">
        <f>VLOOKUP(A56,'K22'!$A$4:$BV$359,26)</f>
        <v>49152.246725290657</v>
      </c>
      <c r="U56" s="289">
        <f>VLOOKUP(A56,'Bef.fremskr. kommunenivå MMMM'!$A$5:$K$360,8)</f>
        <v>1401</v>
      </c>
      <c r="V56" s="289">
        <f>VLOOKUP(A56,'K23'!$A$4:$BV$359,26)</f>
        <v>43840.150567998608</v>
      </c>
    </row>
    <row r="57" spans="1:22" ht="13">
      <c r="A57" s="755">
        <v>1812</v>
      </c>
      <c r="B57" s="756" t="s">
        <v>177</v>
      </c>
      <c r="C57" s="289">
        <f>+K0kommunestruktur2021altern!C57</f>
        <v>2047</v>
      </c>
      <c r="D57" s="289">
        <f>+K0kommunestruktur2021altern!D57</f>
        <v>38816</v>
      </c>
      <c r="E57" s="289">
        <f>+K0kommunestruktur2021altern!E57</f>
        <v>2063</v>
      </c>
      <c r="F57" s="289">
        <f>+K0kommunestruktur2021altern!F57</f>
        <v>39185</v>
      </c>
      <c r="G57" s="289">
        <f>+K0kommunestruktur2021altern!G57</f>
        <v>2031</v>
      </c>
      <c r="H57" s="289">
        <f>+K0kommunestruktur2021altern!H57</f>
        <v>39654</v>
      </c>
      <c r="I57" s="289">
        <f>+K0kommunestruktur2021altern!I57</f>
        <v>2047</v>
      </c>
      <c r="J57" s="289">
        <f>+K0kommunestruktur2021altern!J57</f>
        <v>41811</v>
      </c>
      <c r="K57" s="289">
        <f>+K0kommunestruktur2021altern!K57</f>
        <v>2020</v>
      </c>
      <c r="L57" s="289">
        <f>+K0kommunestruktur2021altern!L57</f>
        <v>44273</v>
      </c>
      <c r="M57" s="289">
        <f>+K0kommunestruktur2021altern!M57</f>
        <v>2014</v>
      </c>
      <c r="N57" s="289">
        <f>+K0kommunestruktur2021altern!N57</f>
        <v>46881</v>
      </c>
      <c r="O57" s="289">
        <f>+K0kommunestruktur2021altern!O57</f>
        <v>1975</v>
      </c>
      <c r="P57" s="289">
        <f>+K0kommunestruktur2021altern!P57</f>
        <v>45952</v>
      </c>
      <c r="Q57" s="289">
        <f>+K0kommunestruktur2021altern!Q57</f>
        <v>1990</v>
      </c>
      <c r="R57" s="289">
        <f>+K0kommunestruktur2021altern!R57</f>
        <v>53418.559999999998</v>
      </c>
      <c r="S57" s="289">
        <f>VLOOKUP(A57,'K22'!A57:CU412,3)</f>
        <v>1981</v>
      </c>
      <c r="T57" s="289">
        <f>VLOOKUP(A57,'K22'!$A$4:$BV$359,26)</f>
        <v>57152.003149044656</v>
      </c>
      <c r="U57" s="289">
        <f>VLOOKUP(A57,'Bef.fremskr. kommunenivå MMMM'!$A$5:$K$360,8)</f>
        <v>1968</v>
      </c>
      <c r="V57" s="289">
        <f>VLOOKUP(A57,'K23'!$A$4:$BV$359,26)</f>
        <v>53105.604652364527</v>
      </c>
    </row>
    <row r="58" spans="1:22" ht="13">
      <c r="A58" s="755">
        <v>1813</v>
      </c>
      <c r="B58" s="756" t="s">
        <v>178</v>
      </c>
      <c r="C58" s="289">
        <f>+K0kommunestruktur2021altern!C58</f>
        <v>7897</v>
      </c>
      <c r="D58" s="289">
        <f>+K0kommunestruktur2021altern!D58</f>
        <v>156213</v>
      </c>
      <c r="E58" s="289">
        <f>+K0kommunestruktur2021altern!E58</f>
        <v>7934</v>
      </c>
      <c r="F58" s="289">
        <f>+K0kommunestruktur2021altern!F58</f>
        <v>167225</v>
      </c>
      <c r="G58" s="289">
        <f>+K0kommunestruktur2021altern!G58</f>
        <v>7962</v>
      </c>
      <c r="H58" s="289">
        <f>+K0kommunestruktur2021altern!H58</f>
        <v>181445</v>
      </c>
      <c r="I58" s="289">
        <f>+K0kommunestruktur2021altern!I58</f>
        <v>7956</v>
      </c>
      <c r="J58" s="289">
        <f>+K0kommunestruktur2021altern!J58</f>
        <v>190059</v>
      </c>
      <c r="K58" s="289">
        <f>+K0kommunestruktur2021altern!K58</f>
        <v>7948</v>
      </c>
      <c r="L58" s="289">
        <f>+K0kommunestruktur2021altern!L58</f>
        <v>197077</v>
      </c>
      <c r="M58" s="289">
        <f>+K0kommunestruktur2021altern!M58</f>
        <v>7916</v>
      </c>
      <c r="N58" s="289">
        <f>+K0kommunestruktur2021altern!N58</f>
        <v>198525</v>
      </c>
      <c r="O58" s="289">
        <f>+K0kommunestruktur2021altern!O58</f>
        <v>7917</v>
      </c>
      <c r="P58" s="289">
        <f>+K0kommunestruktur2021altern!P58</f>
        <v>197511</v>
      </c>
      <c r="Q58" s="289">
        <f>+K0kommunestruktur2021altern!Q58</f>
        <v>7803</v>
      </c>
      <c r="R58" s="289">
        <f>+K0kommunestruktur2021altern!R58</f>
        <v>240172.03700000001</v>
      </c>
      <c r="S58" s="289">
        <f>VLOOKUP(A58,'K22'!A58:CU413,3)</f>
        <v>7777</v>
      </c>
      <c r="T58" s="289">
        <f>VLOOKUP(A58,'K22'!$A$4:$BV$359,26)</f>
        <v>256556.26409072871</v>
      </c>
      <c r="U58" s="289">
        <f>VLOOKUP(A58,'Bef.fremskr. kommunenivå MMMM'!$A$5:$K$360,8)</f>
        <v>7752</v>
      </c>
      <c r="V58" s="289">
        <f>VLOOKUP(A58,'K23'!$A$4:$BV$359,26)</f>
        <v>229842.8962845428</v>
      </c>
    </row>
    <row r="59" spans="1:22" ht="13">
      <c r="A59" s="755">
        <v>1815</v>
      </c>
      <c r="B59" s="756" t="s">
        <v>179</v>
      </c>
      <c r="C59" s="289">
        <f>+K0kommunestruktur2021altern!C59</f>
        <v>1223</v>
      </c>
      <c r="D59" s="289">
        <f>+K0kommunestruktur2021altern!D59</f>
        <v>21722</v>
      </c>
      <c r="E59" s="289">
        <f>+K0kommunestruktur2021altern!E59</f>
        <v>1225</v>
      </c>
      <c r="F59" s="289">
        <f>+K0kommunestruktur2021altern!F59</f>
        <v>22840</v>
      </c>
      <c r="G59" s="289">
        <f>+K0kommunestruktur2021altern!G59</f>
        <v>1244</v>
      </c>
      <c r="H59" s="289">
        <f>+K0kommunestruktur2021altern!H59</f>
        <v>24000</v>
      </c>
      <c r="I59" s="289">
        <f>+K0kommunestruktur2021altern!I59</f>
        <v>1234</v>
      </c>
      <c r="J59" s="289">
        <f>+K0kommunestruktur2021altern!J59</f>
        <v>24851</v>
      </c>
      <c r="K59" s="289">
        <f>+K0kommunestruktur2021altern!K59</f>
        <v>1221</v>
      </c>
      <c r="L59" s="289">
        <f>+K0kommunestruktur2021altern!L59</f>
        <v>26288</v>
      </c>
      <c r="M59" s="289">
        <f>+K0kommunestruktur2021altern!M59</f>
        <v>1232</v>
      </c>
      <c r="N59" s="289">
        <f>+K0kommunestruktur2021altern!N59</f>
        <v>27921</v>
      </c>
      <c r="O59" s="289">
        <f>+K0kommunestruktur2021altern!O59</f>
        <v>1200</v>
      </c>
      <c r="P59" s="289">
        <f>+K0kommunestruktur2021altern!P59</f>
        <v>27180</v>
      </c>
      <c r="Q59" s="289">
        <f>+K0kommunestruktur2021altern!Q59</f>
        <v>1182</v>
      </c>
      <c r="R59" s="289">
        <f>+K0kommunestruktur2021altern!R59</f>
        <v>32609.32</v>
      </c>
      <c r="S59" s="289">
        <f>VLOOKUP(A59,'K22'!A59:CU414,3)</f>
        <v>1175</v>
      </c>
      <c r="T59" s="289">
        <f>VLOOKUP(A59,'K22'!$A$4:$BV$359,26)</f>
        <v>35005.561623912785</v>
      </c>
      <c r="U59" s="289">
        <f>VLOOKUP(A59,'Bef.fremskr. kommunenivå MMMM'!$A$5:$K$360,8)</f>
        <v>1173</v>
      </c>
      <c r="V59" s="289">
        <f>VLOOKUP(A59,'K23'!$A$4:$BV$359,26)</f>
        <v>31389.000151124234</v>
      </c>
    </row>
    <row r="60" spans="1:22" ht="13">
      <c r="A60" s="755">
        <v>1816</v>
      </c>
      <c r="B60" s="756" t="s">
        <v>180</v>
      </c>
      <c r="C60" s="289">
        <f>+K0kommunestruktur2021altern!C60</f>
        <v>495</v>
      </c>
      <c r="D60" s="289">
        <f>+K0kommunestruktur2021altern!D60</f>
        <v>8703</v>
      </c>
      <c r="E60" s="289">
        <f>+K0kommunestruktur2021altern!E60</f>
        <v>510</v>
      </c>
      <c r="F60" s="289">
        <f>+K0kommunestruktur2021altern!F60</f>
        <v>9279</v>
      </c>
      <c r="G60" s="289">
        <f>+K0kommunestruktur2021altern!G60</f>
        <v>507</v>
      </c>
      <c r="H60" s="289">
        <f>+K0kommunestruktur2021altern!H60</f>
        <v>10195</v>
      </c>
      <c r="I60" s="289">
        <f>+K0kommunestruktur2021altern!I60</f>
        <v>528</v>
      </c>
      <c r="J60" s="289">
        <f>+K0kommunestruktur2021altern!J60</f>
        <v>10057</v>
      </c>
      <c r="K60" s="289">
        <f>+K0kommunestruktur2021altern!K60</f>
        <v>506</v>
      </c>
      <c r="L60" s="289">
        <f>+K0kommunestruktur2021altern!L60</f>
        <v>10264</v>
      </c>
      <c r="M60" s="289">
        <f>+K0kommunestruktur2021altern!M60</f>
        <v>497</v>
      </c>
      <c r="N60" s="289">
        <f>+K0kommunestruktur2021altern!N60</f>
        <v>13562</v>
      </c>
      <c r="O60" s="289">
        <f>+K0kommunestruktur2021altern!O60</f>
        <v>462</v>
      </c>
      <c r="P60" s="289">
        <f>+K0kommunestruktur2021altern!P60</f>
        <v>12272</v>
      </c>
      <c r="Q60" s="289">
        <f>+K0kommunestruktur2021altern!Q60</f>
        <v>465</v>
      </c>
      <c r="R60" s="289">
        <f>+K0kommunestruktur2021altern!R60</f>
        <v>11123.403</v>
      </c>
      <c r="S60" s="289">
        <f>VLOOKUP(A60,'K22'!A60:CU415,3)</f>
        <v>462</v>
      </c>
      <c r="T60" s="289">
        <f>VLOOKUP(A60,'K22'!$A$4:$BV$359,26)</f>
        <v>14177.924824839889</v>
      </c>
      <c r="U60" s="289">
        <f>VLOOKUP(A60,'Bef.fremskr. kommunenivå MMMM'!$A$5:$K$360,8)</f>
        <v>463</v>
      </c>
      <c r="V60" s="289">
        <f>VLOOKUP(A60,'K23'!$A$4:$BV$359,26)</f>
        <v>13343.353642725635</v>
      </c>
    </row>
    <row r="61" spans="1:22" ht="13">
      <c r="A61" s="755">
        <v>1818</v>
      </c>
      <c r="B61" s="756" t="s">
        <v>87</v>
      </c>
      <c r="C61" s="289">
        <f>+K0kommunestruktur2021altern!C61</f>
        <v>1733</v>
      </c>
      <c r="D61" s="289">
        <f>+K0kommunestruktur2021altern!D61</f>
        <v>33864</v>
      </c>
      <c r="E61" s="289">
        <f>+K0kommunestruktur2021altern!E61</f>
        <v>1737</v>
      </c>
      <c r="F61" s="289">
        <f>+K0kommunestruktur2021altern!F61</f>
        <v>38421</v>
      </c>
      <c r="G61" s="289">
        <f>+K0kommunestruktur2021altern!G61</f>
        <v>1743</v>
      </c>
      <c r="H61" s="289">
        <f>+K0kommunestruktur2021altern!H61</f>
        <v>41230</v>
      </c>
      <c r="I61" s="289">
        <f>+K0kommunestruktur2021altern!I61</f>
        <v>1788</v>
      </c>
      <c r="J61" s="289">
        <f>+K0kommunestruktur2021altern!J61</f>
        <v>46836</v>
      </c>
      <c r="K61" s="289">
        <f>+K0kommunestruktur2021altern!K61</f>
        <v>1790</v>
      </c>
      <c r="L61" s="289">
        <f>+K0kommunestruktur2021altern!L61</f>
        <v>51964</v>
      </c>
      <c r="M61" s="289">
        <f>+K0kommunestruktur2021altern!M61</f>
        <v>1780</v>
      </c>
      <c r="N61" s="289">
        <f>+K0kommunestruktur2021altern!N61</f>
        <v>51439</v>
      </c>
      <c r="O61" s="289">
        <f>+K0kommunestruktur2021altern!O61</f>
        <v>1777</v>
      </c>
      <c r="P61" s="289">
        <f>+K0kommunestruktur2021altern!P61</f>
        <v>50022</v>
      </c>
      <c r="Q61" s="289">
        <f>+K0kommunestruktur2021altern!Q61</f>
        <v>1793</v>
      </c>
      <c r="R61" s="289">
        <f>+K0kommunestruktur2021altern!R61</f>
        <v>58994.758999999998</v>
      </c>
      <c r="S61" s="289">
        <f>VLOOKUP(A61,'K22'!A61:CU416,3)</f>
        <v>1825</v>
      </c>
      <c r="T61" s="289">
        <f>VLOOKUP(A61,'K22'!$A$4:$BV$359,26)</f>
        <v>66573.048377637635</v>
      </c>
      <c r="U61" s="289">
        <f>VLOOKUP(A61,'Bef.fremskr. kommunenivå MMMM'!$A$5:$K$360,8)</f>
        <v>1857</v>
      </c>
      <c r="V61" s="289">
        <f>VLOOKUP(A61,'K23'!$A$4:$BV$359,26)</f>
        <v>61415.731669165179</v>
      </c>
    </row>
    <row r="62" spans="1:22" ht="13">
      <c r="A62" s="755">
        <v>1820</v>
      </c>
      <c r="B62" s="756" t="s">
        <v>181</v>
      </c>
      <c r="C62" s="289">
        <f>+K0kommunestruktur2021altern!C62</f>
        <v>7394</v>
      </c>
      <c r="D62" s="289">
        <f>+K0kommunestruktur2021altern!D62</f>
        <v>151380</v>
      </c>
      <c r="E62" s="289">
        <f>+K0kommunestruktur2021altern!E62</f>
        <v>7454</v>
      </c>
      <c r="F62" s="289">
        <f>+K0kommunestruktur2021altern!F62</f>
        <v>158275</v>
      </c>
      <c r="G62" s="289">
        <f>+K0kommunestruktur2021altern!G62</f>
        <v>7437</v>
      </c>
      <c r="H62" s="289">
        <f>+K0kommunestruktur2021altern!H62</f>
        <v>172927</v>
      </c>
      <c r="I62" s="289">
        <f>+K0kommunestruktur2021altern!I62</f>
        <v>7428</v>
      </c>
      <c r="J62" s="289">
        <f>+K0kommunestruktur2021altern!J62</f>
        <v>176287</v>
      </c>
      <c r="K62" s="289">
        <f>+K0kommunestruktur2021altern!K62</f>
        <v>7450</v>
      </c>
      <c r="L62" s="289">
        <f>+K0kommunestruktur2021altern!L62</f>
        <v>184472</v>
      </c>
      <c r="M62" s="289">
        <f>+K0kommunestruktur2021altern!M62</f>
        <v>7415</v>
      </c>
      <c r="N62" s="289">
        <f>+K0kommunestruktur2021altern!N62</f>
        <v>193762</v>
      </c>
      <c r="O62" s="289">
        <f>+K0kommunestruktur2021altern!O62</f>
        <v>7447</v>
      </c>
      <c r="P62" s="289">
        <f>+K0kommunestruktur2021altern!P62</f>
        <v>192056</v>
      </c>
      <c r="Q62" s="289">
        <f>+K0kommunestruktur2021altern!Q62</f>
        <v>7394</v>
      </c>
      <c r="R62" s="289">
        <f>+K0kommunestruktur2021altern!R62</f>
        <v>218618.37599999999</v>
      </c>
      <c r="S62" s="289">
        <f>VLOOKUP(A62,'K22'!A62:CU417,3)</f>
        <v>7333</v>
      </c>
      <c r="T62" s="289">
        <f>VLOOKUP(A62,'K22'!$A$4:$BV$359,26)</f>
        <v>236373.58978109865</v>
      </c>
      <c r="U62" s="289">
        <f>VLOOKUP(A62,'Bef.fremskr. kommunenivå MMMM'!$A$5:$K$360,8)</f>
        <v>7343</v>
      </c>
      <c r="V62" s="289">
        <f>VLOOKUP(A62,'K23'!$A$4:$BV$359,26)</f>
        <v>220097.28292145001</v>
      </c>
    </row>
    <row r="63" spans="1:22" ht="13">
      <c r="A63" s="755">
        <v>1822</v>
      </c>
      <c r="B63" s="756" t="s">
        <v>182</v>
      </c>
      <c r="C63" s="289">
        <f>+K0kommunestruktur2021altern!C63</f>
        <v>2188</v>
      </c>
      <c r="D63" s="289">
        <f>+K0kommunestruktur2021altern!D63</f>
        <v>37305</v>
      </c>
      <c r="E63" s="289">
        <f>+K0kommunestruktur2021altern!E63</f>
        <v>2188</v>
      </c>
      <c r="F63" s="289">
        <f>+K0kommunestruktur2021altern!F63</f>
        <v>38473</v>
      </c>
      <c r="G63" s="289">
        <f>+K0kommunestruktur2021altern!G63</f>
        <v>2216</v>
      </c>
      <c r="H63" s="289">
        <f>+K0kommunestruktur2021altern!H63</f>
        <v>42435</v>
      </c>
      <c r="I63" s="289">
        <f>+K0kommunestruktur2021altern!I63</f>
        <v>2278</v>
      </c>
      <c r="J63" s="289">
        <f>+K0kommunestruktur2021altern!J63</f>
        <v>43914</v>
      </c>
      <c r="K63" s="289">
        <f>+K0kommunestruktur2021altern!K63</f>
        <v>2307</v>
      </c>
      <c r="L63" s="289">
        <f>+K0kommunestruktur2021altern!L63</f>
        <v>47531</v>
      </c>
      <c r="M63" s="289">
        <f>+K0kommunestruktur2021altern!M63</f>
        <v>2320</v>
      </c>
      <c r="N63" s="289">
        <f>+K0kommunestruktur2021altern!N63</f>
        <v>50052</v>
      </c>
      <c r="O63" s="289">
        <f>+K0kommunestruktur2021altern!O63</f>
        <v>2294</v>
      </c>
      <c r="P63" s="289">
        <f>+K0kommunestruktur2021altern!P63</f>
        <v>50227</v>
      </c>
      <c r="Q63" s="289">
        <f>+K0kommunestruktur2021altern!Q63</f>
        <v>2278</v>
      </c>
      <c r="R63" s="289">
        <f>+K0kommunestruktur2021altern!R63</f>
        <v>56398.642999999996</v>
      </c>
      <c r="S63" s="289">
        <f>VLOOKUP(A63,'K22'!A63:CU418,3)</f>
        <v>2257</v>
      </c>
      <c r="T63" s="289">
        <f>VLOOKUP(A63,'K22'!$A$4:$BV$359,26)</f>
        <v>60568.840525895794</v>
      </c>
      <c r="U63" s="289">
        <f>VLOOKUP(A63,'Bef.fremskr. kommunenivå MMMM'!$A$5:$K$360,8)</f>
        <v>2266</v>
      </c>
      <c r="V63" s="289">
        <f>VLOOKUP(A63,'K23'!$A$4:$BV$359,26)</f>
        <v>56871.338237154254</v>
      </c>
    </row>
    <row r="64" spans="1:22" ht="13">
      <c r="A64" s="755">
        <v>1824</v>
      </c>
      <c r="B64" s="756" t="s">
        <v>183</v>
      </c>
      <c r="C64" s="289">
        <f>+K0kommunestruktur2021altern!C64</f>
        <v>13286</v>
      </c>
      <c r="D64" s="289">
        <f>+K0kommunestruktur2021altern!D64</f>
        <v>273516</v>
      </c>
      <c r="E64" s="289">
        <f>+K0kommunestruktur2021altern!E64</f>
        <v>13352</v>
      </c>
      <c r="F64" s="289">
        <f>+K0kommunestruktur2021altern!F64</f>
        <v>288336</v>
      </c>
      <c r="G64" s="289">
        <f>+K0kommunestruktur2021altern!G64</f>
        <v>13427</v>
      </c>
      <c r="H64" s="289">
        <f>+K0kommunestruktur2021altern!H64</f>
        <v>316667</v>
      </c>
      <c r="I64" s="289">
        <f>+K0kommunestruktur2021altern!I64</f>
        <v>13465</v>
      </c>
      <c r="J64" s="289">
        <f>+K0kommunestruktur2021altern!J64</f>
        <v>321672</v>
      </c>
      <c r="K64" s="289">
        <f>+K0kommunestruktur2021altern!K64</f>
        <v>13448</v>
      </c>
      <c r="L64" s="289">
        <f>+K0kommunestruktur2021altern!L64</f>
        <v>338074</v>
      </c>
      <c r="M64" s="289">
        <f>+K0kommunestruktur2021altern!M64</f>
        <v>13403</v>
      </c>
      <c r="N64" s="289">
        <f>+K0kommunestruktur2021altern!N64</f>
        <v>353905</v>
      </c>
      <c r="O64" s="289">
        <f>+K0kommunestruktur2021altern!O64</f>
        <v>13278</v>
      </c>
      <c r="P64" s="289">
        <f>+K0kommunestruktur2021altern!P64</f>
        <v>347307</v>
      </c>
      <c r="Q64" s="289">
        <f>+K0kommunestruktur2021altern!Q64</f>
        <v>13268</v>
      </c>
      <c r="R64" s="289">
        <f>+K0kommunestruktur2021altern!R64</f>
        <v>396161.47399999999</v>
      </c>
      <c r="S64" s="289">
        <f>VLOOKUP(A64,'K22'!A64:CU419,3)</f>
        <v>13233</v>
      </c>
      <c r="T64" s="289">
        <f>VLOOKUP(A64,'K22'!$A$4:$BV$359,26)</f>
        <v>432934.69638858037</v>
      </c>
      <c r="U64" s="289">
        <f>VLOOKUP(A64,'Bef.fremskr. kommunenivå MMMM'!$A$5:$K$360,8)</f>
        <v>13204</v>
      </c>
      <c r="V64" s="289">
        <f>VLOOKUP(A64,'K23'!$A$4:$BV$359,26)</f>
        <v>399986.84567051748</v>
      </c>
    </row>
    <row r="65" spans="1:22" ht="13">
      <c r="A65" s="755">
        <v>1825</v>
      </c>
      <c r="B65" s="756" t="s">
        <v>184</v>
      </c>
      <c r="C65" s="289">
        <f>+K0kommunestruktur2021altern!C65</f>
        <v>1465</v>
      </c>
      <c r="D65" s="289">
        <f>+K0kommunestruktur2021altern!D65</f>
        <v>28175</v>
      </c>
      <c r="E65" s="289">
        <f>+K0kommunestruktur2021altern!E65</f>
        <v>1458</v>
      </c>
      <c r="F65" s="289">
        <f>+K0kommunestruktur2021altern!F65</f>
        <v>30028</v>
      </c>
      <c r="G65" s="289">
        <f>+K0kommunestruktur2021altern!G65</f>
        <v>1462</v>
      </c>
      <c r="H65" s="289">
        <f>+K0kommunestruktur2021altern!H65</f>
        <v>31257</v>
      </c>
      <c r="I65" s="289">
        <f>+K0kommunestruktur2021altern!I65</f>
        <v>1469</v>
      </c>
      <c r="J65" s="289">
        <f>+K0kommunestruktur2021altern!J65</f>
        <v>32445</v>
      </c>
      <c r="K65" s="289">
        <f>+K0kommunestruktur2021altern!K65</f>
        <v>1463</v>
      </c>
      <c r="L65" s="289">
        <f>+K0kommunestruktur2021altern!L65</f>
        <v>35736</v>
      </c>
      <c r="M65" s="289">
        <f>+K0kommunestruktur2021altern!M65</f>
        <v>1493</v>
      </c>
      <c r="N65" s="289">
        <f>+K0kommunestruktur2021altern!N65</f>
        <v>35715</v>
      </c>
      <c r="O65" s="289">
        <f>+K0kommunestruktur2021altern!O65</f>
        <v>1482</v>
      </c>
      <c r="P65" s="289">
        <f>+K0kommunestruktur2021altern!P65</f>
        <v>34842</v>
      </c>
      <c r="Q65" s="289">
        <f>+K0kommunestruktur2021altern!Q65</f>
        <v>1453</v>
      </c>
      <c r="R65" s="289">
        <f>+K0kommunestruktur2021altern!R65</f>
        <v>38988.620999999999</v>
      </c>
      <c r="S65" s="289">
        <f>VLOOKUP(A65,'K22'!A65:CU420,3)</f>
        <v>1461</v>
      </c>
      <c r="T65" s="289">
        <f>VLOOKUP(A65,'K22'!$A$4:$BV$359,26)</f>
        <v>42382.855163579537</v>
      </c>
      <c r="U65" s="289">
        <f>VLOOKUP(A65,'Bef.fremskr. kommunenivå MMMM'!$A$5:$K$360,8)</f>
        <v>1453</v>
      </c>
      <c r="V65" s="289">
        <f>VLOOKUP(A65,'K23'!$A$4:$BV$359,26)</f>
        <v>39476.725288169502</v>
      </c>
    </row>
    <row r="66" spans="1:22" ht="13">
      <c r="A66" s="755">
        <v>1826</v>
      </c>
      <c r="B66" s="756" t="s">
        <v>185</v>
      </c>
      <c r="C66" s="289">
        <f>+K0kommunestruktur2021altern!C66</f>
        <v>1500</v>
      </c>
      <c r="D66" s="289">
        <f>+K0kommunestruktur2021altern!D66</f>
        <v>25086</v>
      </c>
      <c r="E66" s="289">
        <f>+K0kommunestruktur2021altern!E66</f>
        <v>1533</v>
      </c>
      <c r="F66" s="289">
        <f>+K0kommunestruktur2021altern!F66</f>
        <v>27288</v>
      </c>
      <c r="G66" s="289">
        <f>+K0kommunestruktur2021altern!G66</f>
        <v>1465</v>
      </c>
      <c r="H66" s="289">
        <f>+K0kommunestruktur2021altern!H66</f>
        <v>29443</v>
      </c>
      <c r="I66" s="289">
        <f>+K0kommunestruktur2021altern!I66</f>
        <v>1414</v>
      </c>
      <c r="J66" s="289">
        <f>+K0kommunestruktur2021altern!J66</f>
        <v>28941</v>
      </c>
      <c r="K66" s="289">
        <f>+K0kommunestruktur2021altern!K66</f>
        <v>1411</v>
      </c>
      <c r="L66" s="289">
        <f>+K0kommunestruktur2021altern!L66</f>
        <v>28471</v>
      </c>
      <c r="M66" s="289">
        <f>+K0kommunestruktur2021altern!M66</f>
        <v>1359</v>
      </c>
      <c r="N66" s="289">
        <f>+K0kommunestruktur2021altern!N66</f>
        <v>29557</v>
      </c>
      <c r="O66" s="289">
        <f>+K0kommunestruktur2021altern!O66</f>
        <v>1297</v>
      </c>
      <c r="P66" s="289">
        <f>+K0kommunestruktur2021altern!P66</f>
        <v>29543</v>
      </c>
      <c r="Q66" s="289">
        <f>+K0kommunestruktur2021altern!Q66</f>
        <v>1267</v>
      </c>
      <c r="R66" s="289">
        <f>+K0kommunestruktur2021altern!R66</f>
        <v>31786.625</v>
      </c>
      <c r="S66" s="289">
        <f>VLOOKUP(A66,'K22'!A66:CU421,3)</f>
        <v>1273</v>
      </c>
      <c r="T66" s="289">
        <f>VLOOKUP(A66,'K22'!$A$4:$BV$359,26)</f>
        <v>34145.295429893391</v>
      </c>
      <c r="U66" s="289">
        <f>VLOOKUP(A66,'Bef.fremskr. kommunenivå MMMM'!$A$5:$K$360,8)</f>
        <v>1272</v>
      </c>
      <c r="V66" s="289">
        <f>VLOOKUP(A66,'K23'!$A$4:$BV$359,26)</f>
        <v>32377.595544578639</v>
      </c>
    </row>
    <row r="67" spans="1:22" ht="13">
      <c r="A67" s="755">
        <v>1827</v>
      </c>
      <c r="B67" s="756" t="s">
        <v>186</v>
      </c>
      <c r="C67" s="289">
        <f>+K0kommunestruktur2021altern!C67</f>
        <v>1420</v>
      </c>
      <c r="D67" s="289">
        <f>+K0kommunestruktur2021altern!D67</f>
        <v>26092</v>
      </c>
      <c r="E67" s="289">
        <f>+K0kommunestruktur2021altern!E67</f>
        <v>1407</v>
      </c>
      <c r="F67" s="289">
        <f>+K0kommunestruktur2021altern!F67</f>
        <v>27767</v>
      </c>
      <c r="G67" s="289">
        <f>+K0kommunestruktur2021altern!G67</f>
        <v>1402</v>
      </c>
      <c r="H67" s="289">
        <f>+K0kommunestruktur2021altern!H67</f>
        <v>29285</v>
      </c>
      <c r="I67" s="289">
        <f>+K0kommunestruktur2021altern!I67</f>
        <v>1410</v>
      </c>
      <c r="J67" s="289">
        <f>+K0kommunestruktur2021altern!J67</f>
        <v>31550</v>
      </c>
      <c r="K67" s="289">
        <f>+K0kommunestruktur2021altern!K67</f>
        <v>1403</v>
      </c>
      <c r="L67" s="289">
        <f>+K0kommunestruktur2021altern!L67</f>
        <v>34700</v>
      </c>
      <c r="M67" s="289">
        <f>+K0kommunestruktur2021altern!M67</f>
        <v>1391</v>
      </c>
      <c r="N67" s="289">
        <f>+K0kommunestruktur2021altern!N67</f>
        <v>43441</v>
      </c>
      <c r="O67" s="289">
        <f>+K0kommunestruktur2021altern!O67</f>
        <v>1371</v>
      </c>
      <c r="P67" s="289">
        <f>+K0kommunestruktur2021altern!P67</f>
        <v>41165</v>
      </c>
      <c r="Q67" s="289">
        <f>+K0kommunestruktur2021altern!Q67</f>
        <v>1371</v>
      </c>
      <c r="R67" s="289">
        <f>+K0kommunestruktur2021altern!R67</f>
        <v>40253.826000000001</v>
      </c>
      <c r="S67" s="289">
        <f>VLOOKUP(A67,'K22'!A67:CU422,3)</f>
        <v>1369</v>
      </c>
      <c r="T67" s="289">
        <f>VLOOKUP(A67,'K22'!$A$4:$BV$359,26)</f>
        <v>51910.334909703728</v>
      </c>
      <c r="U67" s="289">
        <f>VLOOKUP(A67,'Bef.fremskr. kommunenivå MMMM'!$A$5:$K$360,8)</f>
        <v>1370</v>
      </c>
      <c r="V67" s="289">
        <f>VLOOKUP(A67,'K23'!$A$4:$BV$359,26)</f>
        <v>45901.030997471542</v>
      </c>
    </row>
    <row r="68" spans="1:22" ht="13">
      <c r="A68" s="755">
        <v>1828</v>
      </c>
      <c r="B68" s="756" t="s">
        <v>187</v>
      </c>
      <c r="C68" s="289">
        <f>+K0kommunestruktur2021altern!C68</f>
        <v>1902</v>
      </c>
      <c r="D68" s="289">
        <f>+K0kommunestruktur2021altern!D68</f>
        <v>29300</v>
      </c>
      <c r="E68" s="289">
        <f>+K0kommunestruktur2021altern!E68</f>
        <v>1871</v>
      </c>
      <c r="F68" s="289">
        <f>+K0kommunestruktur2021altern!F68</f>
        <v>33036</v>
      </c>
      <c r="G68" s="289">
        <f>+K0kommunestruktur2021altern!G68</f>
        <v>1838</v>
      </c>
      <c r="H68" s="289">
        <f>+K0kommunestruktur2021altern!H68</f>
        <v>35368</v>
      </c>
      <c r="I68" s="289">
        <f>+K0kommunestruktur2021altern!I68</f>
        <v>1837</v>
      </c>
      <c r="J68" s="289">
        <f>+K0kommunestruktur2021altern!J68</f>
        <v>37688</v>
      </c>
      <c r="K68" s="289">
        <f>+K0kommunestruktur2021altern!K68</f>
        <v>1805</v>
      </c>
      <c r="L68" s="289">
        <f>+K0kommunestruktur2021altern!L68</f>
        <v>44961</v>
      </c>
      <c r="M68" s="289">
        <f>+K0kommunestruktur2021altern!M68</f>
        <v>1792</v>
      </c>
      <c r="N68" s="289">
        <f>+K0kommunestruktur2021altern!N68</f>
        <v>43755</v>
      </c>
      <c r="O68" s="289">
        <f>+K0kommunestruktur2021altern!O68</f>
        <v>1761</v>
      </c>
      <c r="P68" s="289">
        <f>+K0kommunestruktur2021altern!P68</f>
        <v>39477</v>
      </c>
      <c r="Q68" s="289">
        <f>+K0kommunestruktur2021altern!Q68</f>
        <v>1701</v>
      </c>
      <c r="R68" s="289">
        <f>+K0kommunestruktur2021altern!R68</f>
        <v>49782.275000000001</v>
      </c>
      <c r="S68" s="289">
        <f>VLOOKUP(A68,'K22'!A68:CU423,3)</f>
        <v>1698</v>
      </c>
      <c r="T68" s="289">
        <f>VLOOKUP(A68,'K22'!$A$4:$BV$359,26)</f>
        <v>51700.921887663826</v>
      </c>
      <c r="U68" s="289">
        <f>VLOOKUP(A68,'Bef.fremskr. kommunenivå MMMM'!$A$5:$K$360,8)</f>
        <v>1731</v>
      </c>
      <c r="V68" s="289">
        <f>VLOOKUP(A68,'K23'!$A$4:$BV$359,26)</f>
        <v>48303.835814019534</v>
      </c>
    </row>
    <row r="69" spans="1:22" ht="13">
      <c r="A69" s="755">
        <v>1832</v>
      </c>
      <c r="B69" s="756" t="s">
        <v>188</v>
      </c>
      <c r="C69" s="289">
        <f>+K0kommunestruktur2021altern!C69</f>
        <v>4553</v>
      </c>
      <c r="D69" s="289">
        <f>+K0kommunestruktur2021altern!D69</f>
        <v>106976</v>
      </c>
      <c r="E69" s="289">
        <f>+K0kommunestruktur2021altern!E69</f>
        <v>4528</v>
      </c>
      <c r="F69" s="289">
        <f>+K0kommunestruktur2021altern!F69</f>
        <v>115881</v>
      </c>
      <c r="G69" s="289">
        <f>+K0kommunestruktur2021altern!G69</f>
        <v>4486</v>
      </c>
      <c r="H69" s="289">
        <f>+K0kommunestruktur2021altern!H69</f>
        <v>121742</v>
      </c>
      <c r="I69" s="289">
        <f>+K0kommunestruktur2021altern!I69</f>
        <v>4524</v>
      </c>
      <c r="J69" s="289">
        <f>+K0kommunestruktur2021altern!J69</f>
        <v>124876</v>
      </c>
      <c r="K69" s="289">
        <f>+K0kommunestruktur2021altern!K69</f>
        <v>4503</v>
      </c>
      <c r="L69" s="289">
        <f>+K0kommunestruktur2021altern!L69</f>
        <v>131134</v>
      </c>
      <c r="M69" s="289">
        <f>+K0kommunestruktur2021altern!M69</f>
        <v>4501</v>
      </c>
      <c r="N69" s="289">
        <f>+K0kommunestruktur2021altern!N69</f>
        <v>131414</v>
      </c>
      <c r="O69" s="289">
        <f>+K0kommunestruktur2021altern!O69</f>
        <v>4454</v>
      </c>
      <c r="P69" s="289">
        <f>+K0kommunestruktur2021altern!P69</f>
        <v>130776</v>
      </c>
      <c r="Q69" s="289">
        <f>+K0kommunestruktur2021altern!Q69</f>
        <v>4428</v>
      </c>
      <c r="R69" s="289">
        <f>+K0kommunestruktur2021altern!R69</f>
        <v>144714.84899999999</v>
      </c>
      <c r="S69" s="289">
        <f>VLOOKUP(A69,'K22'!A69:CU424,3)</f>
        <v>4420</v>
      </c>
      <c r="T69" s="289">
        <f>VLOOKUP(A69,'K22'!$A$4:$BV$359,26)</f>
        <v>152214.04055953759</v>
      </c>
      <c r="U69" s="289">
        <f>VLOOKUP(A69,'Bef.fremskr. kommunenivå MMMM'!$A$5:$K$360,8)</f>
        <v>4418</v>
      </c>
      <c r="V69" s="289">
        <f>VLOOKUP(A69,'K23'!$A$4:$BV$359,26)</f>
        <v>145191.42151723508</v>
      </c>
    </row>
    <row r="70" spans="1:22" ht="13">
      <c r="A70" s="755">
        <v>1833</v>
      </c>
      <c r="B70" s="756" t="s">
        <v>189</v>
      </c>
      <c r="C70" s="289">
        <f>+K0kommunestruktur2021altern!C70</f>
        <v>25943</v>
      </c>
      <c r="D70" s="289">
        <f>+K0kommunestruktur2021altern!D70</f>
        <v>551613</v>
      </c>
      <c r="E70" s="289">
        <f>+K0kommunestruktur2021altern!E70</f>
        <v>26078</v>
      </c>
      <c r="F70" s="289">
        <f>+K0kommunestruktur2021altern!F70</f>
        <v>589326</v>
      </c>
      <c r="G70" s="289">
        <f>+K0kommunestruktur2021altern!G70</f>
        <v>26039</v>
      </c>
      <c r="H70" s="289">
        <f>+K0kommunestruktur2021altern!H70</f>
        <v>638012</v>
      </c>
      <c r="I70" s="289">
        <f>+K0kommunestruktur2021altern!I70</f>
        <v>26101</v>
      </c>
      <c r="J70" s="289">
        <f>+K0kommunestruktur2021altern!J70</f>
        <v>666769</v>
      </c>
      <c r="K70" s="289">
        <f>+K0kommunestruktur2021altern!K70</f>
        <v>26230</v>
      </c>
      <c r="L70" s="289">
        <f>+K0kommunestruktur2021altern!L70</f>
        <v>691020</v>
      </c>
      <c r="M70" s="289">
        <f>+K0kommunestruktur2021altern!M70</f>
        <v>26315</v>
      </c>
      <c r="N70" s="289">
        <f>+K0kommunestruktur2021altern!N70</f>
        <v>712344</v>
      </c>
      <c r="O70" s="289">
        <f>+K0kommunestruktur2021altern!O70</f>
        <v>26184</v>
      </c>
      <c r="P70" s="289">
        <f>+K0kommunestruktur2021altern!P70</f>
        <v>715838</v>
      </c>
      <c r="Q70" s="289">
        <f>+K0kommunestruktur2021altern!Q70</f>
        <v>26083</v>
      </c>
      <c r="R70" s="289">
        <f>+K0kommunestruktur2021altern!R70</f>
        <v>813864.70799999998</v>
      </c>
      <c r="S70" s="289">
        <f>VLOOKUP(A70,'K22'!A70:CU425,3)</f>
        <v>26092</v>
      </c>
      <c r="T70" s="289">
        <f>VLOOKUP(A70,'K22'!$A$4:$BV$359,26)</f>
        <v>867530.46830040345</v>
      </c>
      <c r="U70" s="289">
        <f>VLOOKUP(A70,'Bef.fremskr. kommunenivå MMMM'!$A$5:$K$360,8)</f>
        <v>26036</v>
      </c>
      <c r="V70" s="289">
        <f>VLOOKUP(A70,'K23'!$A$4:$BV$359,26)</f>
        <v>816758.71950292483</v>
      </c>
    </row>
    <row r="71" spans="1:22" ht="13">
      <c r="A71" s="755">
        <v>1834</v>
      </c>
      <c r="B71" s="756" t="s">
        <v>190</v>
      </c>
      <c r="C71" s="289">
        <f>+K0kommunestruktur2021altern!C71</f>
        <v>1901</v>
      </c>
      <c r="D71" s="289">
        <f>+K0kommunestruktur2021altern!D71</f>
        <v>42293</v>
      </c>
      <c r="E71" s="289">
        <f>+K0kommunestruktur2021altern!E71</f>
        <v>1917</v>
      </c>
      <c r="F71" s="289">
        <f>+K0kommunestruktur2021altern!F71</f>
        <v>46055</v>
      </c>
      <c r="G71" s="289">
        <f>+K0kommunestruktur2021altern!G71</f>
        <v>1923</v>
      </c>
      <c r="H71" s="289">
        <f>+K0kommunestruktur2021altern!H71</f>
        <v>58139</v>
      </c>
      <c r="I71" s="289">
        <f>+K0kommunestruktur2021altern!I71</f>
        <v>1920</v>
      </c>
      <c r="J71" s="289">
        <f>+K0kommunestruktur2021altern!J71</f>
        <v>61482</v>
      </c>
      <c r="K71" s="289">
        <f>+K0kommunestruktur2021altern!K71</f>
        <v>1920</v>
      </c>
      <c r="L71" s="289">
        <f>+K0kommunestruktur2021altern!L71</f>
        <v>71323</v>
      </c>
      <c r="M71" s="289">
        <f>+K0kommunestruktur2021altern!M71</f>
        <v>1904</v>
      </c>
      <c r="N71" s="289">
        <f>+K0kommunestruktur2021altern!N71</f>
        <v>78651</v>
      </c>
      <c r="O71" s="289">
        <f>+K0kommunestruktur2021altern!O71</f>
        <v>1890</v>
      </c>
      <c r="P71" s="289">
        <f>+K0kommunestruktur2021altern!P71</f>
        <v>82254</v>
      </c>
      <c r="Q71" s="289">
        <f>+K0kommunestruktur2021altern!Q71</f>
        <v>1876</v>
      </c>
      <c r="R71" s="289">
        <f>+K0kommunestruktur2021altern!R71</f>
        <v>91881.135999999999</v>
      </c>
      <c r="S71" s="289">
        <f>VLOOKUP(A71,'K22'!A71:CU426,3)</f>
        <v>1869</v>
      </c>
      <c r="T71" s="289">
        <f>VLOOKUP(A71,'K22'!$A$4:$BV$359,26)</f>
        <v>106730.58451347786</v>
      </c>
      <c r="U71" s="289">
        <f>VLOOKUP(A71,'Bef.fremskr. kommunenivå MMMM'!$A$5:$K$360,8)</f>
        <v>1892</v>
      </c>
      <c r="V71" s="289">
        <f>VLOOKUP(A71,'K23'!$A$4:$BV$359,26)</f>
        <v>93095.050190377195</v>
      </c>
    </row>
    <row r="72" spans="1:22" ht="13">
      <c r="A72" s="755">
        <v>1835</v>
      </c>
      <c r="B72" s="756" t="s">
        <v>191</v>
      </c>
      <c r="C72" s="289">
        <f>+K0kommunestruktur2021altern!C72</f>
        <v>489</v>
      </c>
      <c r="D72" s="289">
        <f>+K0kommunestruktur2021altern!D72</f>
        <v>9796</v>
      </c>
      <c r="E72" s="289">
        <f>+K0kommunestruktur2021altern!E72</f>
        <v>486</v>
      </c>
      <c r="F72" s="289">
        <f>+K0kommunestruktur2021altern!F72</f>
        <v>10370</v>
      </c>
      <c r="G72" s="289">
        <f>+K0kommunestruktur2021altern!G72</f>
        <v>478</v>
      </c>
      <c r="H72" s="289">
        <f>+K0kommunestruktur2021altern!H72</f>
        <v>11735</v>
      </c>
      <c r="I72" s="289">
        <f>+K0kommunestruktur2021altern!I72</f>
        <v>465</v>
      </c>
      <c r="J72" s="289">
        <f>+K0kommunestruktur2021altern!J72</f>
        <v>11809</v>
      </c>
      <c r="K72" s="289">
        <f>+K0kommunestruktur2021altern!K72</f>
        <v>454</v>
      </c>
      <c r="L72" s="289">
        <f>+K0kommunestruktur2021altern!L72</f>
        <v>12509</v>
      </c>
      <c r="M72" s="289">
        <f>+K0kommunestruktur2021altern!M72</f>
        <v>456</v>
      </c>
      <c r="N72" s="289">
        <f>+K0kommunestruktur2021altern!N72</f>
        <v>12554</v>
      </c>
      <c r="O72" s="289">
        <f>+K0kommunestruktur2021altern!O72</f>
        <v>435</v>
      </c>
      <c r="P72" s="289">
        <f>+K0kommunestruktur2021altern!P72</f>
        <v>15251</v>
      </c>
      <c r="Q72" s="289">
        <f>+K0kommunestruktur2021altern!Q72</f>
        <v>442</v>
      </c>
      <c r="R72" s="289">
        <f>+K0kommunestruktur2021altern!R72</f>
        <v>15146.028</v>
      </c>
      <c r="S72" s="289">
        <f>VLOOKUP(A72,'K22'!A72:CU427,3)</f>
        <v>450</v>
      </c>
      <c r="T72" s="289">
        <f>VLOOKUP(A72,'K22'!$A$4:$BV$359,26)</f>
        <v>17466.935429990408</v>
      </c>
      <c r="U72" s="289">
        <f>VLOOKUP(A72,'Bef.fremskr. kommunenivå MMMM'!$A$5:$K$360,8)</f>
        <v>471</v>
      </c>
      <c r="V72" s="289">
        <f>VLOOKUP(A72,'K23'!$A$4:$BV$359,26)</f>
        <v>16811.425625005355</v>
      </c>
    </row>
    <row r="73" spans="1:22" ht="13">
      <c r="A73" s="755">
        <v>1836</v>
      </c>
      <c r="B73" s="756" t="s">
        <v>192</v>
      </c>
      <c r="C73" s="289">
        <f>+K0kommunestruktur2021altern!C73</f>
        <v>1305</v>
      </c>
      <c r="D73" s="289">
        <f>+K0kommunestruktur2021altern!D73</f>
        <v>22194</v>
      </c>
      <c r="E73" s="289">
        <f>+K0kommunestruktur2021altern!E73</f>
        <v>1269</v>
      </c>
      <c r="F73" s="289">
        <f>+K0kommunestruktur2021altern!F73</f>
        <v>23597</v>
      </c>
      <c r="G73" s="289">
        <f>+K0kommunestruktur2021altern!G73</f>
        <v>1268</v>
      </c>
      <c r="H73" s="289">
        <f>+K0kommunestruktur2021altern!H73</f>
        <v>26674</v>
      </c>
      <c r="I73" s="289">
        <f>+K0kommunestruktur2021altern!I73</f>
        <v>1267</v>
      </c>
      <c r="J73" s="289">
        <f>+K0kommunestruktur2021altern!J73</f>
        <v>27439</v>
      </c>
      <c r="K73" s="289">
        <f>+K0kommunestruktur2021altern!K73</f>
        <v>1249</v>
      </c>
      <c r="L73" s="289">
        <f>+K0kommunestruktur2021altern!L73</f>
        <v>28017</v>
      </c>
      <c r="M73" s="289">
        <f>+K0kommunestruktur2021altern!M73</f>
        <v>1238</v>
      </c>
      <c r="N73" s="289">
        <f>+K0kommunestruktur2021altern!N73</f>
        <v>30314</v>
      </c>
      <c r="O73" s="289">
        <f>+K0kommunestruktur2021altern!O73</f>
        <v>1213</v>
      </c>
      <c r="P73" s="289">
        <f>+K0kommunestruktur2021altern!P73</f>
        <v>31493</v>
      </c>
      <c r="Q73" s="289">
        <f>+K0kommunestruktur2021altern!Q73</f>
        <v>1206</v>
      </c>
      <c r="R73" s="289">
        <f>+K0kommunestruktur2021altern!R73</f>
        <v>35181.616999999998</v>
      </c>
      <c r="S73" s="289">
        <f>VLOOKUP(A73,'K22'!A73:CU428,3)</f>
        <v>1153</v>
      </c>
      <c r="T73" s="289">
        <f>VLOOKUP(A73,'K22'!$A$4:$BV$359,26)</f>
        <v>35805.248302567212</v>
      </c>
      <c r="U73" s="289">
        <f>VLOOKUP(A73,'Bef.fremskr. kommunenivå MMMM'!$A$5:$K$360,8)</f>
        <v>1134</v>
      </c>
      <c r="V73" s="289">
        <f>VLOOKUP(A73,'K23'!$A$4:$BV$359,26)</f>
        <v>33167.938435068827</v>
      </c>
    </row>
    <row r="74" spans="1:22" ht="13">
      <c r="A74" s="755">
        <v>1837</v>
      </c>
      <c r="B74" s="756" t="s">
        <v>193</v>
      </c>
      <c r="C74" s="289">
        <f>+K0kommunestruktur2021altern!C74</f>
        <v>6491</v>
      </c>
      <c r="D74" s="289">
        <f>+K0kommunestruktur2021altern!D74</f>
        <v>153531</v>
      </c>
      <c r="E74" s="289">
        <f>+K0kommunestruktur2021altern!E74</f>
        <v>6454</v>
      </c>
      <c r="F74" s="289">
        <f>+K0kommunestruktur2021altern!F74</f>
        <v>158459</v>
      </c>
      <c r="G74" s="289">
        <f>+K0kommunestruktur2021altern!G74</f>
        <v>6471</v>
      </c>
      <c r="H74" s="289">
        <f>+K0kommunestruktur2021altern!H74</f>
        <v>170747</v>
      </c>
      <c r="I74" s="289">
        <f>+K0kommunestruktur2021altern!I74</f>
        <v>6435</v>
      </c>
      <c r="J74" s="289">
        <f>+K0kommunestruktur2021altern!J74</f>
        <v>177983</v>
      </c>
      <c r="K74" s="289">
        <f>+K0kommunestruktur2021altern!K74</f>
        <v>6346</v>
      </c>
      <c r="L74" s="289">
        <f>+K0kommunestruktur2021altern!L74</f>
        <v>179660</v>
      </c>
      <c r="M74" s="289">
        <f>+K0kommunestruktur2021altern!M74</f>
        <v>6331</v>
      </c>
      <c r="N74" s="289">
        <f>+K0kommunestruktur2021altern!N74</f>
        <v>186474</v>
      </c>
      <c r="O74" s="289">
        <f>+K0kommunestruktur2021altern!O74</f>
        <v>6288</v>
      </c>
      <c r="P74" s="289">
        <f>+K0kommunestruktur2021altern!P74</f>
        <v>182883</v>
      </c>
      <c r="Q74" s="289">
        <f>+K0kommunestruktur2021altern!Q74</f>
        <v>6247</v>
      </c>
      <c r="R74" s="289">
        <f>+K0kommunestruktur2021altern!R74</f>
        <v>201930.747</v>
      </c>
      <c r="S74" s="289">
        <f>VLOOKUP(A74,'K22'!A74:CU429,3)</f>
        <v>6214</v>
      </c>
      <c r="T74" s="289">
        <f>VLOOKUP(A74,'K22'!$A$4:$BV$359,26)</f>
        <v>215507.26150461609</v>
      </c>
      <c r="U74" s="289">
        <f>VLOOKUP(A74,'Bef.fremskr. kommunenivå MMMM'!$A$5:$K$360,8)</f>
        <v>6155</v>
      </c>
      <c r="V74" s="289">
        <f>VLOOKUP(A74,'K23'!$A$4:$BV$359,26)</f>
        <v>204031.09211382162</v>
      </c>
    </row>
    <row r="75" spans="1:22" ht="13">
      <c r="A75" s="755">
        <v>1838</v>
      </c>
      <c r="B75" s="756" t="s">
        <v>194</v>
      </c>
      <c r="C75" s="289">
        <f>+K0kommunestruktur2021altern!C75</f>
        <v>2023</v>
      </c>
      <c r="D75" s="289">
        <f>+K0kommunestruktur2021altern!D75</f>
        <v>46197</v>
      </c>
      <c r="E75" s="289">
        <f>+K0kommunestruktur2021altern!E75</f>
        <v>2014</v>
      </c>
      <c r="F75" s="289">
        <f>+K0kommunestruktur2021altern!F75</f>
        <v>42627</v>
      </c>
      <c r="G75" s="289">
        <f>+K0kommunestruktur2021altern!G75</f>
        <v>2043</v>
      </c>
      <c r="H75" s="289">
        <f>+K0kommunestruktur2021altern!H75</f>
        <v>50208</v>
      </c>
      <c r="I75" s="289">
        <f>+K0kommunestruktur2021altern!I75</f>
        <v>2024</v>
      </c>
      <c r="J75" s="289">
        <f>+K0kommunestruktur2021altern!J75</f>
        <v>49108</v>
      </c>
      <c r="K75" s="289">
        <f>+K0kommunestruktur2021altern!K75</f>
        <v>1998</v>
      </c>
      <c r="L75" s="289">
        <f>+K0kommunestruktur2021altern!L75</f>
        <v>50262</v>
      </c>
      <c r="M75" s="289">
        <f>+K0kommunestruktur2021altern!M75</f>
        <v>1978</v>
      </c>
      <c r="N75" s="289">
        <f>+K0kommunestruktur2021altern!N75</f>
        <v>52828</v>
      </c>
      <c r="O75" s="289">
        <f>+K0kommunestruktur2021altern!O75</f>
        <v>1950</v>
      </c>
      <c r="P75" s="289">
        <f>+K0kommunestruktur2021altern!P75</f>
        <v>52335</v>
      </c>
      <c r="Q75" s="289">
        <f>+K0kommunestruktur2021altern!Q75</f>
        <v>1920</v>
      </c>
      <c r="R75" s="289">
        <f>+K0kommunestruktur2021altern!R75</f>
        <v>62965.311999999998</v>
      </c>
      <c r="S75" s="289">
        <f>VLOOKUP(A75,'K22'!A75:CU430,3)</f>
        <v>1894</v>
      </c>
      <c r="T75" s="289">
        <f>VLOOKUP(A75,'K22'!$A$4:$BV$359,26)</f>
        <v>62457.156957661806</v>
      </c>
      <c r="U75" s="289">
        <f>VLOOKUP(A75,'Bef.fremskr. kommunenivå MMMM'!$A$5:$K$360,8)</f>
        <v>1917</v>
      </c>
      <c r="V75" s="289">
        <f>VLOOKUP(A75,'K23'!$A$4:$BV$359,26)</f>
        <v>60430.718384119144</v>
      </c>
    </row>
    <row r="76" spans="1:22" ht="13">
      <c r="A76" s="755">
        <v>1839</v>
      </c>
      <c r="B76" s="756" t="s">
        <v>195</v>
      </c>
      <c r="C76" s="289">
        <f>+K0kommunestruktur2021altern!C76</f>
        <v>1088</v>
      </c>
      <c r="D76" s="289">
        <f>+K0kommunestruktur2021altern!D76</f>
        <v>27234</v>
      </c>
      <c r="E76" s="289">
        <f>+K0kommunestruktur2021altern!E76</f>
        <v>1058</v>
      </c>
      <c r="F76" s="289">
        <f>+K0kommunestruktur2021altern!F76</f>
        <v>25978</v>
      </c>
      <c r="G76" s="289">
        <f>+K0kommunestruktur2021altern!G76</f>
        <v>1034</v>
      </c>
      <c r="H76" s="289">
        <f>+K0kommunestruktur2021altern!H76</f>
        <v>25014</v>
      </c>
      <c r="I76" s="289">
        <f>+K0kommunestruktur2021altern!I76</f>
        <v>1043</v>
      </c>
      <c r="J76" s="289">
        <f>+K0kommunestruktur2021altern!J76</f>
        <v>26048</v>
      </c>
      <c r="K76" s="289">
        <f>+K0kommunestruktur2021altern!K76</f>
        <v>1029</v>
      </c>
      <c r="L76" s="289">
        <f>+K0kommunestruktur2021altern!L76</f>
        <v>26982</v>
      </c>
      <c r="M76" s="289">
        <f>+K0kommunestruktur2021altern!M76</f>
        <v>1022</v>
      </c>
      <c r="N76" s="289">
        <f>+K0kommunestruktur2021altern!N76</f>
        <v>27743</v>
      </c>
      <c r="O76" s="289">
        <f>+K0kommunestruktur2021altern!O76</f>
        <v>1017</v>
      </c>
      <c r="P76" s="289">
        <f>+K0kommunestruktur2021altern!P76</f>
        <v>28080</v>
      </c>
      <c r="Q76" s="289">
        <f>+K0kommunestruktur2021altern!Q76</f>
        <v>999</v>
      </c>
      <c r="R76" s="289">
        <f>+K0kommunestruktur2021altern!R76</f>
        <v>29700.504000000001</v>
      </c>
      <c r="S76" s="289">
        <f>VLOOKUP(A76,'K22'!A76:CU431,3)</f>
        <v>1012</v>
      </c>
      <c r="T76" s="289">
        <f>VLOOKUP(A76,'K22'!$A$4:$BV$359,26)</f>
        <v>31976.423392187953</v>
      </c>
      <c r="U76" s="289">
        <f>VLOOKUP(A76,'Bef.fremskr. kommunenivå MMMM'!$A$5:$K$360,8)</f>
        <v>1020</v>
      </c>
      <c r="V76" s="289">
        <f>VLOOKUP(A76,'K23'!$A$4:$BV$359,26)</f>
        <v>30925.755519239214</v>
      </c>
    </row>
    <row r="77" spans="1:22" ht="13">
      <c r="A77" s="755">
        <v>1840</v>
      </c>
      <c r="B77" s="756" t="s">
        <v>196</v>
      </c>
      <c r="C77" s="289">
        <f>+K0kommunestruktur2021altern!C77</f>
        <v>4690</v>
      </c>
      <c r="D77" s="289">
        <f>+K0kommunestruktur2021altern!D77</f>
        <v>89200</v>
      </c>
      <c r="E77" s="289">
        <f>+K0kommunestruktur2021altern!E77</f>
        <v>4734</v>
      </c>
      <c r="F77" s="289">
        <f>+K0kommunestruktur2021altern!F77</f>
        <v>97414</v>
      </c>
      <c r="G77" s="289">
        <f>+K0kommunestruktur2021altern!G77</f>
        <v>4700</v>
      </c>
      <c r="H77" s="289">
        <f>+K0kommunestruktur2021altern!H77</f>
        <v>108553</v>
      </c>
      <c r="I77" s="289">
        <f>+K0kommunestruktur2021altern!I77</f>
        <v>4702</v>
      </c>
      <c r="J77" s="289">
        <f>+K0kommunestruktur2021altern!J77</f>
        <v>111140</v>
      </c>
      <c r="K77" s="289">
        <f>+K0kommunestruktur2021altern!K77</f>
        <v>4691</v>
      </c>
      <c r="L77" s="289">
        <f>+K0kommunestruktur2021altern!L77</f>
        <v>110720</v>
      </c>
      <c r="M77" s="289">
        <f>+K0kommunestruktur2021altern!M77</f>
        <v>4657</v>
      </c>
      <c r="N77" s="289">
        <f>+K0kommunestruktur2021altern!N77</f>
        <v>111043</v>
      </c>
      <c r="O77" s="289">
        <f>+K0kommunestruktur2021altern!O77</f>
        <v>4671</v>
      </c>
      <c r="P77" s="289">
        <f>+K0kommunestruktur2021altern!P77</f>
        <v>111066</v>
      </c>
      <c r="Q77" s="289">
        <f>+K0kommunestruktur2021altern!Q77</f>
        <v>4632</v>
      </c>
      <c r="R77" s="289">
        <f>+K0kommunestruktur2021altern!R77</f>
        <v>127708.02800000001</v>
      </c>
      <c r="S77" s="289">
        <f>VLOOKUP(A77,'K22'!A77:CU432,3)</f>
        <v>4617</v>
      </c>
      <c r="T77" s="289">
        <f>VLOOKUP(A77,'K22'!$A$4:$BV$359,26)</f>
        <v>134944.05796631353</v>
      </c>
      <c r="U77" s="289">
        <f>VLOOKUP(A77,'Bef.fremskr. kommunenivå MMMM'!$A$5:$K$360,8)</f>
        <v>4602</v>
      </c>
      <c r="V77" s="289">
        <f>VLOOKUP(A77,'K23'!$A$4:$BV$359,26)</f>
        <v>127159.38000368561</v>
      </c>
    </row>
    <row r="78" spans="1:22" ht="13">
      <c r="A78" s="755">
        <v>1841</v>
      </c>
      <c r="B78" s="756" t="s">
        <v>197</v>
      </c>
      <c r="C78" s="289">
        <f>+K0kommunestruktur2021altern!C78</f>
        <v>9556</v>
      </c>
      <c r="D78" s="289">
        <f>+K0kommunestruktur2021altern!D78</f>
        <v>205253</v>
      </c>
      <c r="E78" s="289">
        <f>+K0kommunestruktur2021altern!E78</f>
        <v>9622</v>
      </c>
      <c r="F78" s="289">
        <f>+K0kommunestruktur2021altern!F78</f>
        <v>238903</v>
      </c>
      <c r="G78" s="289">
        <f>+K0kommunestruktur2021altern!G78</f>
        <v>9604</v>
      </c>
      <c r="H78" s="289">
        <f>+K0kommunestruktur2021altern!H78</f>
        <v>209670</v>
      </c>
      <c r="I78" s="289">
        <f>+K0kommunestruktur2021altern!I78</f>
        <v>9729</v>
      </c>
      <c r="J78" s="289">
        <f>+K0kommunestruktur2021altern!J78</f>
        <v>242289</v>
      </c>
      <c r="K78" s="289">
        <f>+K0kommunestruktur2021altern!K78</f>
        <v>9775</v>
      </c>
      <c r="L78" s="289">
        <f>+K0kommunestruktur2021altern!L78</f>
        <v>257308</v>
      </c>
      <c r="M78" s="289">
        <f>+K0kommunestruktur2021altern!M78</f>
        <v>9760</v>
      </c>
      <c r="N78" s="289">
        <f>+K0kommunestruktur2021altern!N78</f>
        <v>266024</v>
      </c>
      <c r="O78" s="289">
        <f>+K0kommunestruktur2021altern!O78</f>
        <v>9739</v>
      </c>
      <c r="P78" s="289">
        <f>+K0kommunestruktur2021altern!P78</f>
        <v>262631</v>
      </c>
      <c r="Q78" s="289">
        <f>+K0kommunestruktur2021altern!Q78</f>
        <v>9640</v>
      </c>
      <c r="R78" s="289">
        <f>+K0kommunestruktur2021altern!R78</f>
        <v>297010.72700000001</v>
      </c>
      <c r="S78" s="289">
        <f>VLOOKUP(A78,'K22'!A78:CU433,3)</f>
        <v>9603</v>
      </c>
      <c r="T78" s="289">
        <f>VLOOKUP(A78,'K22'!$A$4:$BV$359,26)</f>
        <v>321306.10580439569</v>
      </c>
      <c r="U78" s="289">
        <f>VLOOKUP(A78,'Bef.fremskr. kommunenivå MMMM'!$A$5:$K$360,8)</f>
        <v>9560</v>
      </c>
      <c r="V78" s="289">
        <f>VLOOKUP(A78,'K23'!$A$4:$BV$359,26)</f>
        <v>297891.68096200051</v>
      </c>
    </row>
    <row r="79" spans="1:22" ht="13">
      <c r="A79" s="755">
        <v>1845</v>
      </c>
      <c r="B79" s="756" t="s">
        <v>198</v>
      </c>
      <c r="C79" s="289">
        <f>+K0kommunestruktur2021altern!C79</f>
        <v>1987</v>
      </c>
      <c r="D79" s="289">
        <f>+K0kommunestruktur2021altern!D79</f>
        <v>52924</v>
      </c>
      <c r="E79" s="289">
        <f>+K0kommunestruktur2021altern!E79</f>
        <v>1953</v>
      </c>
      <c r="F79" s="289">
        <f>+K0kommunestruktur2021altern!F79</f>
        <v>53864</v>
      </c>
      <c r="G79" s="289">
        <f>+K0kommunestruktur2021altern!G79</f>
        <v>1963</v>
      </c>
      <c r="H79" s="289">
        <f>+K0kommunestruktur2021altern!H79</f>
        <v>55801</v>
      </c>
      <c r="I79" s="289">
        <f>+K0kommunestruktur2021altern!I79</f>
        <v>1958</v>
      </c>
      <c r="J79" s="289">
        <f>+K0kommunestruktur2021altern!J79</f>
        <v>57707</v>
      </c>
      <c r="K79" s="289">
        <f>+K0kommunestruktur2021altern!K79</f>
        <v>1979</v>
      </c>
      <c r="L79" s="289">
        <f>+K0kommunestruktur2021altern!L79</f>
        <v>58654</v>
      </c>
      <c r="M79" s="289">
        <f>+K0kommunestruktur2021altern!M79</f>
        <v>1975</v>
      </c>
      <c r="N79" s="289">
        <f>+K0kommunestruktur2021altern!N79</f>
        <v>60172</v>
      </c>
      <c r="O79" s="289">
        <f>+K0kommunestruktur2021altern!O79</f>
        <v>1926</v>
      </c>
      <c r="P79" s="289">
        <f>+K0kommunestruktur2021altern!P79</f>
        <v>59582</v>
      </c>
      <c r="Q79" s="289">
        <f>+K0kommunestruktur2021altern!Q79</f>
        <v>1912</v>
      </c>
      <c r="R79" s="289">
        <f>+K0kommunestruktur2021altern!R79</f>
        <v>65788.322</v>
      </c>
      <c r="S79" s="289">
        <f>VLOOKUP(A79,'K22'!A79:CU434,3)</f>
        <v>1869</v>
      </c>
      <c r="T79" s="289">
        <f>VLOOKUP(A79,'K22'!$A$4:$BV$359,26)</f>
        <v>67416.012500790326</v>
      </c>
      <c r="U79" s="289">
        <f>VLOOKUP(A79,'Bef.fremskr. kommunenivå MMMM'!$A$5:$K$360,8)</f>
        <v>1864</v>
      </c>
      <c r="V79" s="289">
        <f>VLOOKUP(A79,'K23'!$A$4:$BV$359,26)</f>
        <v>64690.86683159251</v>
      </c>
    </row>
    <row r="80" spans="1:22" ht="13">
      <c r="A80" s="755">
        <v>1848</v>
      </c>
      <c r="B80" s="756" t="s">
        <v>199</v>
      </c>
      <c r="C80" s="289">
        <f>+K0kommunestruktur2021altern!C80</f>
        <v>2579</v>
      </c>
      <c r="D80" s="289">
        <f>+K0kommunestruktur2021altern!D80</f>
        <v>46019</v>
      </c>
      <c r="E80" s="289">
        <f>+K0kommunestruktur2021altern!E80</f>
        <v>2507</v>
      </c>
      <c r="F80" s="289">
        <f>+K0kommunestruktur2021altern!F80</f>
        <v>49325</v>
      </c>
      <c r="G80" s="289">
        <f>+K0kommunestruktur2021altern!G80</f>
        <v>2543</v>
      </c>
      <c r="H80" s="289">
        <f>+K0kommunestruktur2021altern!H80</f>
        <v>55924</v>
      </c>
      <c r="I80" s="289">
        <f>+K0kommunestruktur2021altern!I80</f>
        <v>2543</v>
      </c>
      <c r="J80" s="289">
        <f>+K0kommunestruktur2021altern!J80</f>
        <v>60787</v>
      </c>
      <c r="K80" s="289">
        <f>+K0kommunestruktur2021altern!K80</f>
        <v>2534</v>
      </c>
      <c r="L80" s="289">
        <f>+K0kommunestruktur2021altern!L80</f>
        <v>63418</v>
      </c>
      <c r="M80" s="289">
        <f>+K0kommunestruktur2021altern!M80</f>
        <v>2576</v>
      </c>
      <c r="N80" s="289">
        <f>+K0kommunestruktur2021altern!N80</f>
        <v>66236</v>
      </c>
      <c r="O80" s="289">
        <f>+K0kommunestruktur2021altern!O80</f>
        <v>2608</v>
      </c>
      <c r="P80" s="289">
        <f>+K0kommunestruktur2021altern!P80</f>
        <v>68850</v>
      </c>
      <c r="Q80" s="289">
        <f>+K0kommunestruktur2021altern!Q80</f>
        <v>2586</v>
      </c>
      <c r="R80" s="289">
        <f>+K0kommunestruktur2021altern!R80</f>
        <v>77671.702999999994</v>
      </c>
      <c r="S80" s="289">
        <f>VLOOKUP(A80,'K22'!A80:CU435,3)</f>
        <v>2591</v>
      </c>
      <c r="T80" s="289">
        <f>VLOOKUP(A80,'K22'!$A$4:$BV$359,26)</f>
        <v>85404.629650780815</v>
      </c>
      <c r="U80" s="289">
        <f>VLOOKUP(A80,'Bef.fremskr. kommunenivå MMMM'!$A$5:$K$360,8)</f>
        <v>2632</v>
      </c>
      <c r="V80" s="289">
        <f>VLOOKUP(A80,'K23'!$A$4:$BV$359,26)</f>
        <v>79496.366661815016</v>
      </c>
    </row>
    <row r="81" spans="1:22" ht="13">
      <c r="A81" s="755">
        <v>1851</v>
      </c>
      <c r="B81" s="756" t="s">
        <v>202</v>
      </c>
      <c r="C81" s="289">
        <f>+K0kommunestruktur2021altern!C81</f>
        <v>2248</v>
      </c>
      <c r="D81" s="289">
        <f>+K0kommunestruktur2021altern!D81</f>
        <v>43646</v>
      </c>
      <c r="E81" s="289">
        <f>+K0kommunestruktur2021altern!E81</f>
        <v>2160</v>
      </c>
      <c r="F81" s="289">
        <f>+K0kommunestruktur2021altern!F81</f>
        <v>46553</v>
      </c>
      <c r="G81" s="289">
        <f>+K0kommunestruktur2021altern!G81</f>
        <v>2144</v>
      </c>
      <c r="H81" s="289">
        <f>+K0kommunestruktur2021altern!H81</f>
        <v>49484</v>
      </c>
      <c r="I81" s="289">
        <f>+K0kommunestruktur2021altern!I81</f>
        <v>2134</v>
      </c>
      <c r="J81" s="289">
        <f>+K0kommunestruktur2021altern!J81</f>
        <v>50467</v>
      </c>
      <c r="K81" s="289">
        <f>+K0kommunestruktur2021altern!K81</f>
        <v>2102</v>
      </c>
      <c r="L81" s="289">
        <f>+K0kommunestruktur2021altern!L81</f>
        <v>52437</v>
      </c>
      <c r="M81" s="289">
        <f>+K0kommunestruktur2021altern!M81</f>
        <v>2077</v>
      </c>
      <c r="N81" s="289">
        <f>+K0kommunestruktur2021altern!N81</f>
        <v>52472</v>
      </c>
      <c r="O81" s="289">
        <f>+K0kommunestruktur2021altern!O81</f>
        <v>2034</v>
      </c>
      <c r="P81" s="289">
        <f>+K0kommunestruktur2021altern!P81</f>
        <v>53127</v>
      </c>
      <c r="Q81" s="289">
        <f>+K0kommunestruktur2021altern!Q81</f>
        <v>2003</v>
      </c>
      <c r="R81" s="289">
        <f>+K0kommunestruktur2021altern!R81</f>
        <v>60382.305</v>
      </c>
      <c r="S81" s="289">
        <f>VLOOKUP(A81,'K22'!A81:CU436,3)</f>
        <v>1976</v>
      </c>
      <c r="T81" s="289">
        <f>VLOOKUP(A81,'K22'!$A$4:$BV$359,26)</f>
        <v>65087.092019869131</v>
      </c>
      <c r="U81" s="289">
        <f>VLOOKUP(A81,'Bef.fremskr. kommunenivå MMMM'!$A$5:$K$360,8)</f>
        <v>1979</v>
      </c>
      <c r="V81" s="289">
        <f>VLOOKUP(A81,'K23'!$A$4:$BV$359,26)</f>
        <v>59298.902528220162</v>
      </c>
    </row>
    <row r="82" spans="1:22" ht="13">
      <c r="A82" s="755">
        <v>1853</v>
      </c>
      <c r="B82" s="756" t="s">
        <v>204</v>
      </c>
      <c r="C82" s="289">
        <f>+K0kommunestruktur2021altern!C82</f>
        <v>1391</v>
      </c>
      <c r="D82" s="289">
        <f>+K0kommunestruktur2021altern!D82</f>
        <v>24670</v>
      </c>
      <c r="E82" s="289">
        <f>+K0kommunestruktur2021altern!E82</f>
        <v>1385</v>
      </c>
      <c r="F82" s="289">
        <f>+K0kommunestruktur2021altern!F82</f>
        <v>26418</v>
      </c>
      <c r="G82" s="289">
        <f>+K0kommunestruktur2021altern!G82</f>
        <v>1400</v>
      </c>
      <c r="H82" s="289">
        <f>+K0kommunestruktur2021altern!H82</f>
        <v>27912</v>
      </c>
      <c r="I82" s="289">
        <f>+K0kommunestruktur2021altern!I82</f>
        <v>1402</v>
      </c>
      <c r="J82" s="289">
        <f>+K0kommunestruktur2021altern!J82</f>
        <v>28976</v>
      </c>
      <c r="K82" s="289">
        <f>+K0kommunestruktur2021altern!K82</f>
        <v>1387</v>
      </c>
      <c r="L82" s="289">
        <f>+K0kommunestruktur2021altern!L82</f>
        <v>29781</v>
      </c>
      <c r="M82" s="289">
        <f>+K0kommunestruktur2021altern!M82</f>
        <v>1387</v>
      </c>
      <c r="N82" s="289">
        <f>+K0kommunestruktur2021altern!N82</f>
        <v>30761</v>
      </c>
      <c r="O82" s="289">
        <f>+K0kommunestruktur2021altern!O82</f>
        <v>1348</v>
      </c>
      <c r="P82" s="289">
        <f>+K0kommunestruktur2021altern!P82</f>
        <v>31152</v>
      </c>
      <c r="Q82" s="289">
        <f>+K0kommunestruktur2021altern!Q82</f>
        <v>1324</v>
      </c>
      <c r="R82" s="289">
        <f>+K0kommunestruktur2021altern!R82</f>
        <v>33557.152999999998</v>
      </c>
      <c r="S82" s="289">
        <f>VLOOKUP(A82,'K22'!A82:CU437,3)</f>
        <v>1334</v>
      </c>
      <c r="T82" s="289">
        <f>VLOOKUP(A82,'K22'!$A$4:$BV$359,26)</f>
        <v>36487.431623208649</v>
      </c>
      <c r="U82" s="289">
        <f>VLOOKUP(A82,'Bef.fremskr. kommunenivå MMMM'!$A$5:$K$360,8)</f>
        <v>1369</v>
      </c>
      <c r="V82" s="289">
        <f>VLOOKUP(A82,'K23'!$A$4:$BV$359,26)</f>
        <v>35500.095902719171</v>
      </c>
    </row>
    <row r="83" spans="1:22" ht="13">
      <c r="A83" s="755">
        <v>1856</v>
      </c>
      <c r="B83" s="756" t="s">
        <v>206</v>
      </c>
      <c r="C83" s="289">
        <f>+K0kommunestruktur2021altern!C83</f>
        <v>566</v>
      </c>
      <c r="D83" s="289">
        <f>+K0kommunestruktur2021altern!D83</f>
        <v>11661</v>
      </c>
      <c r="E83" s="289">
        <f>+K0kommunestruktur2021altern!E83</f>
        <v>545</v>
      </c>
      <c r="F83" s="289">
        <f>+K0kommunestruktur2021altern!F83</f>
        <v>13949</v>
      </c>
      <c r="G83" s="289">
        <f>+K0kommunestruktur2021altern!G83</f>
        <v>551</v>
      </c>
      <c r="H83" s="289">
        <f>+K0kommunestruktur2021altern!H83</f>
        <v>16165</v>
      </c>
      <c r="I83" s="289">
        <f>+K0kommunestruktur2021altern!I83</f>
        <v>535</v>
      </c>
      <c r="J83" s="289">
        <f>+K0kommunestruktur2021altern!J83</f>
        <v>17382</v>
      </c>
      <c r="K83" s="289">
        <f>+K0kommunestruktur2021altern!K83</f>
        <v>517</v>
      </c>
      <c r="L83" s="289">
        <f>+K0kommunestruktur2021altern!L83</f>
        <v>16310</v>
      </c>
      <c r="M83" s="289">
        <f>+K0kommunestruktur2021altern!M83</f>
        <v>508</v>
      </c>
      <c r="N83" s="289">
        <f>+K0kommunestruktur2021altern!N83</f>
        <v>18474</v>
      </c>
      <c r="O83" s="289">
        <f>+K0kommunestruktur2021altern!O83</f>
        <v>498</v>
      </c>
      <c r="P83" s="289">
        <f>+K0kommunestruktur2021altern!P83</f>
        <v>18270</v>
      </c>
      <c r="Q83" s="289">
        <f>+K0kommunestruktur2021altern!Q83</f>
        <v>488</v>
      </c>
      <c r="R83" s="289">
        <f>+K0kommunestruktur2021altern!R83</f>
        <v>19717.026999999998</v>
      </c>
      <c r="S83" s="289">
        <f>VLOOKUP(A83,'K22'!A83:CU438,3)</f>
        <v>469</v>
      </c>
      <c r="T83" s="289">
        <f>VLOOKUP(A83,'K22'!$A$4:$BV$359,26)</f>
        <v>21345.354059523732</v>
      </c>
      <c r="U83" s="289">
        <f>VLOOKUP(A83,'Bef.fremskr. kommunenivå MMMM'!$A$5:$K$360,8)</f>
        <v>461</v>
      </c>
      <c r="V83" s="289">
        <f>VLOOKUP(A83,'K23'!$A$4:$BV$359,26)</f>
        <v>19257.390437164104</v>
      </c>
    </row>
    <row r="84" spans="1:22" ht="13">
      <c r="A84" s="755">
        <v>1857</v>
      </c>
      <c r="B84" s="756" t="s">
        <v>207</v>
      </c>
      <c r="C84" s="289">
        <f>+K0kommunestruktur2021altern!C84</f>
        <v>777</v>
      </c>
      <c r="D84" s="289">
        <f>+K0kommunestruktur2021altern!D84</f>
        <v>16048</v>
      </c>
      <c r="E84" s="289">
        <f>+K0kommunestruktur2021altern!E84</f>
        <v>780</v>
      </c>
      <c r="F84" s="289">
        <f>+K0kommunestruktur2021altern!F84</f>
        <v>18594</v>
      </c>
      <c r="G84" s="289">
        <f>+K0kommunestruktur2021altern!G84</f>
        <v>765</v>
      </c>
      <c r="H84" s="289">
        <f>+K0kommunestruktur2021altern!H84</f>
        <v>20793</v>
      </c>
      <c r="I84" s="289">
        <f>+K0kommunestruktur2021altern!I84</f>
        <v>744</v>
      </c>
      <c r="J84" s="289">
        <f>+K0kommunestruktur2021altern!J84</f>
        <v>22080</v>
      </c>
      <c r="K84" s="289">
        <f>+K0kommunestruktur2021altern!K84</f>
        <v>746</v>
      </c>
      <c r="L84" s="289">
        <f>+K0kommunestruktur2021altern!L84</f>
        <v>21713</v>
      </c>
      <c r="M84" s="289">
        <f>+K0kommunestruktur2021altern!M84</f>
        <v>732</v>
      </c>
      <c r="N84" s="289">
        <f>+K0kommunestruktur2021altern!N84</f>
        <v>22943</v>
      </c>
      <c r="O84" s="289">
        <f>+K0kommunestruktur2021altern!O84</f>
        <v>728</v>
      </c>
      <c r="P84" s="289">
        <f>+K0kommunestruktur2021altern!P84</f>
        <v>24227</v>
      </c>
      <c r="Q84" s="289">
        <f>+K0kommunestruktur2021altern!Q84</f>
        <v>698</v>
      </c>
      <c r="R84" s="289">
        <f>+K0kommunestruktur2021altern!R84</f>
        <v>26622.635999999999</v>
      </c>
      <c r="S84" s="289">
        <f>VLOOKUP(A84,'K22'!A84:CU439,3)</f>
        <v>678</v>
      </c>
      <c r="T84" s="289">
        <f>VLOOKUP(A84,'K22'!$A$4:$BV$359,26)</f>
        <v>27525.720643418157</v>
      </c>
      <c r="U84" s="289">
        <f>VLOOKUP(A84,'Bef.fremskr. kommunenivå MMMM'!$A$5:$K$360,8)</f>
        <v>676</v>
      </c>
      <c r="V84" s="289">
        <f>VLOOKUP(A84,'K23'!$A$4:$BV$359,26)</f>
        <v>25528.29147352853</v>
      </c>
    </row>
    <row r="85" spans="1:22" ht="13">
      <c r="A85" s="755">
        <v>1859</v>
      </c>
      <c r="B85" s="756" t="s">
        <v>208</v>
      </c>
      <c r="C85" s="289">
        <f>+K0kommunestruktur2021altern!C85</f>
        <v>1368</v>
      </c>
      <c r="D85" s="289">
        <f>+K0kommunestruktur2021altern!D85</f>
        <v>26259</v>
      </c>
      <c r="E85" s="289">
        <f>+K0kommunestruktur2021altern!E85</f>
        <v>1358</v>
      </c>
      <c r="F85" s="289">
        <f>+K0kommunestruktur2021altern!F85</f>
        <v>28292</v>
      </c>
      <c r="G85" s="289">
        <f>+K0kommunestruktur2021altern!G85</f>
        <v>1336</v>
      </c>
      <c r="H85" s="289">
        <f>+K0kommunestruktur2021altern!H85</f>
        <v>32331</v>
      </c>
      <c r="I85" s="289">
        <f>+K0kommunestruktur2021altern!I85</f>
        <v>1349</v>
      </c>
      <c r="J85" s="289">
        <f>+K0kommunestruktur2021altern!J85</f>
        <v>35412</v>
      </c>
      <c r="K85" s="289">
        <f>+K0kommunestruktur2021altern!K85</f>
        <v>1301</v>
      </c>
      <c r="L85" s="289">
        <f>+K0kommunestruktur2021altern!L85</f>
        <v>37505</v>
      </c>
      <c r="M85" s="289">
        <f>+K0kommunestruktur2021altern!M85</f>
        <v>1292</v>
      </c>
      <c r="N85" s="289">
        <f>+K0kommunestruktur2021altern!N85</f>
        <v>40548</v>
      </c>
      <c r="O85" s="289">
        <f>+K0kommunestruktur2021altern!O85</f>
        <v>1272</v>
      </c>
      <c r="P85" s="289">
        <f>+K0kommunestruktur2021altern!P85</f>
        <v>40310</v>
      </c>
      <c r="Q85" s="289">
        <f>+K0kommunestruktur2021altern!Q85</f>
        <v>1238</v>
      </c>
      <c r="R85" s="289">
        <f>+K0kommunestruktur2021altern!R85</f>
        <v>39684.923000000003</v>
      </c>
      <c r="S85" s="289">
        <f>VLOOKUP(A85,'K22'!A85:CU440,3)</f>
        <v>1216</v>
      </c>
      <c r="T85" s="289">
        <f>VLOOKUP(A85,'K22'!$A$4:$BV$359,26)</f>
        <v>45048.027369757889</v>
      </c>
      <c r="U85" s="289">
        <f>VLOOKUP(A85,'Bef.fremskr. kommunenivå MMMM'!$A$5:$K$360,8)</f>
        <v>1226</v>
      </c>
      <c r="V85" s="289">
        <f>VLOOKUP(A85,'K23'!$A$4:$BV$359,26)</f>
        <v>43052.463107878029</v>
      </c>
    </row>
    <row r="86" spans="1:22" ht="13">
      <c r="A86" s="755">
        <v>1860</v>
      </c>
      <c r="B86" s="756" t="s">
        <v>209</v>
      </c>
      <c r="C86" s="289">
        <f>+K0kommunestruktur2021altern!C86</f>
        <v>10997</v>
      </c>
      <c r="D86" s="289">
        <f>+K0kommunestruktur2021altern!D86</f>
        <v>209102</v>
      </c>
      <c r="E86" s="289">
        <f>+K0kommunestruktur2021altern!E86</f>
        <v>11140</v>
      </c>
      <c r="F86" s="289">
        <f>+K0kommunestruktur2021altern!F86</f>
        <v>227662</v>
      </c>
      <c r="G86" s="289">
        <f>+K0kommunestruktur2021altern!G86</f>
        <v>11198</v>
      </c>
      <c r="H86" s="289">
        <f>+K0kommunestruktur2021altern!H86</f>
        <v>253493</v>
      </c>
      <c r="I86" s="289">
        <f>+K0kommunestruktur2021altern!I86</f>
        <v>11294</v>
      </c>
      <c r="J86" s="289">
        <f>+K0kommunestruktur2021altern!J86</f>
        <v>265381</v>
      </c>
      <c r="K86" s="289">
        <f>+K0kommunestruktur2021altern!K86</f>
        <v>11397</v>
      </c>
      <c r="L86" s="289">
        <f>+K0kommunestruktur2021altern!L86</f>
        <v>282252</v>
      </c>
      <c r="M86" s="289">
        <f>+K0kommunestruktur2021altern!M86</f>
        <v>11480</v>
      </c>
      <c r="N86" s="289">
        <f>+K0kommunestruktur2021altern!N86</f>
        <v>290256</v>
      </c>
      <c r="O86" s="289">
        <f>+K0kommunestruktur2021altern!O86</f>
        <v>11433</v>
      </c>
      <c r="P86" s="289">
        <f>+K0kommunestruktur2021altern!P86</f>
        <v>297869</v>
      </c>
      <c r="Q86" s="289">
        <f>+K0kommunestruktur2021altern!Q86</f>
        <v>11521</v>
      </c>
      <c r="R86" s="289">
        <f>+K0kommunestruktur2021altern!R86</f>
        <v>333941.76899999997</v>
      </c>
      <c r="S86" s="289">
        <f>VLOOKUP(A86,'K22'!A86:CU441,3)</f>
        <v>11566</v>
      </c>
      <c r="T86" s="289">
        <f>VLOOKUP(A86,'K22'!$A$4:$BV$359,26)</f>
        <v>371522.73393257626</v>
      </c>
      <c r="U86" s="289">
        <f>VLOOKUP(A86,'Bef.fremskr. kommunenivå MMMM'!$A$5:$K$360,8)</f>
        <v>11603</v>
      </c>
      <c r="V86" s="289">
        <f>VLOOKUP(A86,'K23'!$A$4:$BV$359,26)</f>
        <v>342940.11296989676</v>
      </c>
    </row>
    <row r="87" spans="1:22" ht="13">
      <c r="A87" s="755">
        <v>1865</v>
      </c>
      <c r="B87" s="756" t="s">
        <v>210</v>
      </c>
      <c r="C87" s="289">
        <f>+K0kommunestruktur2021altern!C87</f>
        <v>9223</v>
      </c>
      <c r="D87" s="289">
        <f>+K0kommunestruktur2021altern!D87</f>
        <v>176605</v>
      </c>
      <c r="E87" s="289">
        <f>+K0kommunestruktur2021altern!E87</f>
        <v>9285</v>
      </c>
      <c r="F87" s="289">
        <f>+K0kommunestruktur2021altern!F87</f>
        <v>202235</v>
      </c>
      <c r="G87" s="289">
        <f>+K0kommunestruktur2021altern!G87</f>
        <v>9350</v>
      </c>
      <c r="H87" s="289">
        <f>+K0kommunestruktur2021altern!H87</f>
        <v>224413</v>
      </c>
      <c r="I87" s="289">
        <f>+K0kommunestruktur2021altern!I87</f>
        <v>9444</v>
      </c>
      <c r="J87" s="289">
        <f>+K0kommunestruktur2021altern!J87</f>
        <v>240817</v>
      </c>
      <c r="K87" s="289">
        <f>+K0kommunestruktur2021altern!K87</f>
        <v>9611</v>
      </c>
      <c r="L87" s="289">
        <f>+K0kommunestruktur2021altern!L87</f>
        <v>268281</v>
      </c>
      <c r="M87" s="289">
        <f>+K0kommunestruktur2021altern!M87</f>
        <v>9595</v>
      </c>
      <c r="N87" s="289">
        <f>+K0kommunestruktur2021altern!N87</f>
        <v>278063</v>
      </c>
      <c r="O87" s="289">
        <f>+K0kommunestruktur2021altern!O87</f>
        <v>9608</v>
      </c>
      <c r="P87" s="289">
        <f>+K0kommunestruktur2021altern!P87</f>
        <v>274393</v>
      </c>
      <c r="Q87" s="289">
        <f>+K0kommunestruktur2021altern!Q87</f>
        <v>9670</v>
      </c>
      <c r="R87" s="289">
        <f>+K0kommunestruktur2021altern!R87</f>
        <v>306877.32699999999</v>
      </c>
      <c r="S87" s="289">
        <f>VLOOKUP(A87,'K22'!A87:CU442,3)</f>
        <v>9724</v>
      </c>
      <c r="T87" s="289">
        <f>VLOOKUP(A87,'K22'!$A$4:$BV$359,26)</f>
        <v>363475.2369889422</v>
      </c>
      <c r="U87" s="289">
        <f>VLOOKUP(A87,'Bef.fremskr. kommunenivå MMMM'!$A$5:$K$360,8)</f>
        <v>9850</v>
      </c>
      <c r="V87" s="289">
        <f>VLOOKUP(A87,'K23'!$A$4:$BV$359,26)</f>
        <v>323772.00758154341</v>
      </c>
    </row>
    <row r="88" spans="1:22" ht="13">
      <c r="A88" s="755">
        <v>1866</v>
      </c>
      <c r="B88" s="756" t="s">
        <v>211</v>
      </c>
      <c r="C88" s="289">
        <f>+K0kommunestruktur2021altern!C88</f>
        <v>8112</v>
      </c>
      <c r="D88" s="289">
        <f>+K0kommunestruktur2021altern!D88</f>
        <v>156987</v>
      </c>
      <c r="E88" s="289">
        <f>+K0kommunestruktur2021altern!E88</f>
        <v>8057</v>
      </c>
      <c r="F88" s="289">
        <f>+K0kommunestruktur2021altern!F88</f>
        <v>161270</v>
      </c>
      <c r="G88" s="289">
        <f>+K0kommunestruktur2021altern!G88</f>
        <v>8082</v>
      </c>
      <c r="H88" s="289">
        <f>+K0kommunestruktur2021altern!H88</f>
        <v>190925</v>
      </c>
      <c r="I88" s="289">
        <f>+K0kommunestruktur2021altern!I88</f>
        <v>8009</v>
      </c>
      <c r="J88" s="289">
        <f>+K0kommunestruktur2021altern!J88</f>
        <v>197825</v>
      </c>
      <c r="K88" s="289">
        <f>+K0kommunestruktur2021altern!K88</f>
        <v>8042</v>
      </c>
      <c r="L88" s="289">
        <f>+K0kommunestruktur2021altern!L88</f>
        <v>188411</v>
      </c>
      <c r="M88" s="289">
        <f>+K0kommunestruktur2021altern!M88</f>
        <v>8091</v>
      </c>
      <c r="N88" s="289">
        <f>+K0kommunestruktur2021altern!N88</f>
        <v>199930</v>
      </c>
      <c r="O88" s="289">
        <f>+K0kommunestruktur2021altern!O88</f>
        <v>8061</v>
      </c>
      <c r="P88" s="289">
        <f>+K0kommunestruktur2021altern!P88</f>
        <v>229795</v>
      </c>
      <c r="Q88" s="289">
        <f>+K0kommunestruktur2021altern!Q88</f>
        <v>8065</v>
      </c>
      <c r="R88" s="289">
        <f>+K0kommunestruktur2021altern!R88</f>
        <v>263924.96500000003</v>
      </c>
      <c r="S88" s="289">
        <f>VLOOKUP(A88,'K22'!A88:CU443,3)</f>
        <v>8107</v>
      </c>
      <c r="T88" s="289">
        <f>VLOOKUP(A88,'K22'!$A$4:$BV$359,26)</f>
        <v>301986.33960755821</v>
      </c>
      <c r="U88" s="289">
        <f>VLOOKUP(A88,'Bef.fremskr. kommunenivå MMMM'!$A$5:$K$360,8)</f>
        <v>8161</v>
      </c>
      <c r="V88" s="289">
        <f>VLOOKUP(A88,'K23'!$A$4:$BV$359,26)</f>
        <v>257455.58476063784</v>
      </c>
    </row>
    <row r="89" spans="1:22" ht="13">
      <c r="A89" s="755">
        <v>1867</v>
      </c>
      <c r="B89" s="756" t="s">
        <v>913</v>
      </c>
      <c r="C89" s="289">
        <f>+K0kommunestruktur2021altern!C89</f>
        <v>2642</v>
      </c>
      <c r="D89" s="289">
        <f>+K0kommunestruktur2021altern!D89</f>
        <v>42197</v>
      </c>
      <c r="E89" s="289">
        <f>+K0kommunestruktur2021altern!E89</f>
        <v>2642</v>
      </c>
      <c r="F89" s="289">
        <f>+K0kommunestruktur2021altern!F89</f>
        <v>45774</v>
      </c>
      <c r="G89" s="289">
        <f>+K0kommunestruktur2021altern!G89</f>
        <v>2632</v>
      </c>
      <c r="H89" s="289">
        <f>+K0kommunestruktur2021altern!H89</f>
        <v>52082</v>
      </c>
      <c r="I89" s="289">
        <f>+K0kommunestruktur2021altern!I89</f>
        <v>2624</v>
      </c>
      <c r="J89" s="289">
        <f>+K0kommunestruktur2021altern!J89</f>
        <v>54754</v>
      </c>
      <c r="K89" s="289">
        <f>+K0kommunestruktur2021altern!K89</f>
        <v>2623</v>
      </c>
      <c r="L89" s="289">
        <f>+K0kommunestruktur2021altern!L89</f>
        <v>61567</v>
      </c>
      <c r="M89" s="289">
        <f>+K0kommunestruktur2021altern!M89</f>
        <v>2616</v>
      </c>
      <c r="N89" s="289">
        <f>+K0kommunestruktur2021altern!N89</f>
        <v>64569</v>
      </c>
      <c r="O89" s="289">
        <f>+K0kommunestruktur2021altern!O89</f>
        <v>2569</v>
      </c>
      <c r="P89" s="289">
        <f>+K0kommunestruktur2021altern!P89</f>
        <v>63494</v>
      </c>
      <c r="Q89" s="289">
        <f>+K0kommunestruktur2021altern!Q89</f>
        <v>2576</v>
      </c>
      <c r="R89" s="289">
        <f>+K0kommunestruktur2021altern!R89</f>
        <v>96312</v>
      </c>
      <c r="S89" s="289">
        <f>VLOOKUP(A89,'K22'!A89:CU444,3)</f>
        <v>2565</v>
      </c>
      <c r="T89" s="289">
        <f>VLOOKUP(A89,'K22'!$A$4:$BV$359,26)</f>
        <v>102370.1132479362</v>
      </c>
      <c r="U89" s="289">
        <f>VLOOKUP(A89,'Bef.fremskr. kommunenivå MMMM'!$A$5:$K$360,8)</f>
        <v>2565</v>
      </c>
      <c r="V89" s="289">
        <f>VLOOKUP(A89,'K23'!$A$4:$BV$359,26)</f>
        <v>81131.465896519119</v>
      </c>
    </row>
    <row r="90" spans="1:22" ht="13">
      <c r="A90" s="755">
        <v>1868</v>
      </c>
      <c r="B90" s="756" t="s">
        <v>212</v>
      </c>
      <c r="C90" s="289">
        <f>+K0kommunestruktur2021altern!C90</f>
        <v>4562</v>
      </c>
      <c r="D90" s="289">
        <f>+K0kommunestruktur2021altern!D90</f>
        <v>88777</v>
      </c>
      <c r="E90" s="289">
        <f>+K0kommunestruktur2021altern!E90</f>
        <v>4563</v>
      </c>
      <c r="F90" s="289">
        <f>+K0kommunestruktur2021altern!F90</f>
        <v>96911</v>
      </c>
      <c r="G90" s="289">
        <f>+K0kommunestruktur2021altern!G90</f>
        <v>4529</v>
      </c>
      <c r="H90" s="289">
        <f>+K0kommunestruktur2021altern!H90</f>
        <v>105787</v>
      </c>
      <c r="I90" s="289">
        <f>+K0kommunestruktur2021altern!I90</f>
        <v>4580</v>
      </c>
      <c r="J90" s="289">
        <f>+K0kommunestruktur2021altern!J90</f>
        <v>109552</v>
      </c>
      <c r="K90" s="289">
        <f>+K0kommunestruktur2021altern!K90</f>
        <v>4541</v>
      </c>
      <c r="L90" s="289">
        <f>+K0kommunestruktur2021altern!L90</f>
        <v>122118</v>
      </c>
      <c r="M90" s="289">
        <f>+K0kommunestruktur2021altern!M90</f>
        <v>4449</v>
      </c>
      <c r="N90" s="289">
        <f>+K0kommunestruktur2021altern!N90</f>
        <v>126035</v>
      </c>
      <c r="O90" s="289">
        <f>+K0kommunestruktur2021altern!O90</f>
        <v>4410</v>
      </c>
      <c r="P90" s="289">
        <f>+K0kommunestruktur2021altern!P90</f>
        <v>120986</v>
      </c>
      <c r="Q90" s="289">
        <f>+K0kommunestruktur2021altern!Q90</f>
        <v>4416</v>
      </c>
      <c r="R90" s="289">
        <f>+K0kommunestruktur2021altern!R90</f>
        <v>135720.68900000001</v>
      </c>
      <c r="S90" s="289">
        <f>VLOOKUP(A90,'K22'!A90:CU445,3)</f>
        <v>4458</v>
      </c>
      <c r="T90" s="289">
        <f>VLOOKUP(A90,'K22'!$A$4:$BV$359,26)</f>
        <v>154050.10608374342</v>
      </c>
      <c r="U90" s="289">
        <f>VLOOKUP(A90,'Bef.fremskr. kommunenivå MMMM'!$A$5:$K$360,8)</f>
        <v>4509</v>
      </c>
      <c r="V90" s="289">
        <f>VLOOKUP(A90,'K23'!$A$4:$BV$359,26)</f>
        <v>143599.41841448774</v>
      </c>
    </row>
    <row r="91" spans="1:22" ht="13">
      <c r="A91" s="755">
        <v>1870</v>
      </c>
      <c r="B91" s="756" t="s">
        <v>213</v>
      </c>
      <c r="C91" s="289">
        <f>+K0kommunestruktur2021altern!C91</f>
        <v>10129</v>
      </c>
      <c r="D91" s="289">
        <f>+K0kommunestruktur2021altern!D91</f>
        <v>197249</v>
      </c>
      <c r="E91" s="289">
        <f>+K0kommunestruktur2021altern!E91</f>
        <v>10166</v>
      </c>
      <c r="F91" s="289">
        <f>+K0kommunestruktur2021altern!F91</f>
        <v>213192</v>
      </c>
      <c r="G91" s="289">
        <f>+K0kommunestruktur2021altern!G91</f>
        <v>10214</v>
      </c>
      <c r="H91" s="289">
        <f>+K0kommunestruktur2021altern!H91</f>
        <v>236542</v>
      </c>
      <c r="I91" s="289">
        <f>+K0kommunestruktur2021altern!I91</f>
        <v>10378</v>
      </c>
      <c r="J91" s="289">
        <f>+K0kommunestruktur2021altern!J91</f>
        <v>247240</v>
      </c>
      <c r="K91" s="289">
        <f>+K0kommunestruktur2021altern!K91</f>
        <v>10401</v>
      </c>
      <c r="L91" s="289">
        <f>+K0kommunestruktur2021altern!L91</f>
        <v>270129</v>
      </c>
      <c r="M91" s="289">
        <f>+K0kommunestruktur2021altern!M91</f>
        <v>10518</v>
      </c>
      <c r="N91" s="289">
        <f>+K0kommunestruktur2021altern!N91</f>
        <v>279319</v>
      </c>
      <c r="O91" s="289">
        <f>+K0kommunestruktur2021altern!O91</f>
        <v>10566</v>
      </c>
      <c r="P91" s="289">
        <f>+K0kommunestruktur2021altern!P91</f>
        <v>286545</v>
      </c>
      <c r="Q91" s="289">
        <f>+K0kommunestruktur2021altern!Q91</f>
        <v>10514</v>
      </c>
      <c r="R91" s="289">
        <f>+K0kommunestruktur2021altern!R91</f>
        <v>329937.85700000002</v>
      </c>
      <c r="S91" s="289">
        <f>VLOOKUP(A91,'K22'!A91:CU446,3)</f>
        <v>10468</v>
      </c>
      <c r="T91" s="289">
        <f>VLOOKUP(A91,'K22'!$A$4:$BV$359,26)</f>
        <v>367978.24441099877</v>
      </c>
      <c r="U91" s="289">
        <f>VLOOKUP(A91,'Bef.fremskr. kommunenivå MMMM'!$A$5:$K$360,8)</f>
        <v>10458</v>
      </c>
      <c r="V91" s="289">
        <f>VLOOKUP(A91,'K23'!$A$4:$BV$359,26)</f>
        <v>326951.1694623435</v>
      </c>
    </row>
    <row r="92" spans="1:22" ht="13">
      <c r="A92" s="755">
        <v>1871</v>
      </c>
      <c r="B92" s="756" t="s">
        <v>214</v>
      </c>
      <c r="C92" s="289">
        <f>+K0kommunestruktur2021altern!C92</f>
        <v>4993</v>
      </c>
      <c r="D92" s="289">
        <f>+K0kommunestruktur2021altern!D92</f>
        <v>97841</v>
      </c>
      <c r="E92" s="289">
        <f>+K0kommunestruktur2021altern!E92</f>
        <v>4991</v>
      </c>
      <c r="F92" s="289">
        <f>+K0kommunestruktur2021altern!F92</f>
        <v>105566</v>
      </c>
      <c r="G92" s="289">
        <f>+K0kommunestruktur2021altern!G92</f>
        <v>4980</v>
      </c>
      <c r="H92" s="289">
        <f>+K0kommunestruktur2021altern!H92</f>
        <v>110513</v>
      </c>
      <c r="I92" s="289">
        <f>+K0kommunestruktur2021altern!I92</f>
        <v>4908</v>
      </c>
      <c r="J92" s="289">
        <f>+K0kommunestruktur2021altern!J92</f>
        <v>114562</v>
      </c>
      <c r="K92" s="289">
        <f>+K0kommunestruktur2021altern!K92</f>
        <v>4902</v>
      </c>
      <c r="L92" s="289">
        <f>+K0kommunestruktur2021altern!L92</f>
        <v>134742</v>
      </c>
      <c r="M92" s="289">
        <f>+K0kommunestruktur2021altern!M92</f>
        <v>4771</v>
      </c>
      <c r="N92" s="289">
        <f>+K0kommunestruktur2021altern!N92</f>
        <v>127446</v>
      </c>
      <c r="O92" s="289">
        <f>+K0kommunestruktur2021altern!O92</f>
        <v>4663</v>
      </c>
      <c r="P92" s="289">
        <f>+K0kommunestruktur2021altern!P92</f>
        <v>118622</v>
      </c>
      <c r="Q92" s="289">
        <f>+K0kommunestruktur2021altern!Q92</f>
        <v>4588</v>
      </c>
      <c r="R92" s="289">
        <f>+K0kommunestruktur2021altern!R92</f>
        <v>143392.48000000001</v>
      </c>
      <c r="S92" s="289">
        <f>VLOOKUP(A92,'K22'!A92:CU447,3)</f>
        <v>4572</v>
      </c>
      <c r="T92" s="289">
        <f>VLOOKUP(A92,'K22'!$A$4:$BV$359,26)</f>
        <v>150063.63205356782</v>
      </c>
      <c r="U92" s="289">
        <f>VLOOKUP(A92,'Bef.fremskr. kommunenivå MMMM'!$A$5:$K$360,8)</f>
        <v>4598</v>
      </c>
      <c r="V92" s="289">
        <f>VLOOKUP(A92,'K23'!$A$4:$BV$359,26)</f>
        <v>140823.88883003523</v>
      </c>
    </row>
    <row r="93" spans="1:22" ht="13">
      <c r="A93" s="755">
        <v>1874</v>
      </c>
      <c r="B93" s="756" t="s">
        <v>215</v>
      </c>
      <c r="C93" s="289">
        <f>+K0kommunestruktur2021altern!C93</f>
        <v>1108</v>
      </c>
      <c r="D93" s="289">
        <f>+K0kommunestruktur2021altern!D93</f>
        <v>23459</v>
      </c>
      <c r="E93" s="289">
        <f>+K0kommunestruktur2021altern!E93</f>
        <v>1070</v>
      </c>
      <c r="F93" s="289">
        <f>+K0kommunestruktur2021altern!F93</f>
        <v>25475</v>
      </c>
      <c r="G93" s="289">
        <f>+K0kommunestruktur2021altern!G93</f>
        <v>1062</v>
      </c>
      <c r="H93" s="289">
        <f>+K0kommunestruktur2021altern!H93</f>
        <v>25619</v>
      </c>
      <c r="I93" s="289">
        <f>+K0kommunestruktur2021altern!I93</f>
        <v>1073</v>
      </c>
      <c r="J93" s="289">
        <f>+K0kommunestruktur2021altern!J93</f>
        <v>28995</v>
      </c>
      <c r="K93" s="289">
        <f>+K0kommunestruktur2021altern!K93</f>
        <v>1068</v>
      </c>
      <c r="L93" s="289">
        <f>+K0kommunestruktur2021altern!L93</f>
        <v>30852</v>
      </c>
      <c r="M93" s="289">
        <f>+K0kommunestruktur2021altern!M93</f>
        <v>1039</v>
      </c>
      <c r="N93" s="289">
        <f>+K0kommunestruktur2021altern!N93</f>
        <v>34001</v>
      </c>
      <c r="O93" s="289">
        <f>+K0kommunestruktur2021altern!O93</f>
        <v>1015</v>
      </c>
      <c r="P93" s="289">
        <f>+K0kommunestruktur2021altern!P93</f>
        <v>31448</v>
      </c>
      <c r="Q93" s="289">
        <f>+K0kommunestruktur2021altern!Q93</f>
        <v>989</v>
      </c>
      <c r="R93" s="289">
        <f>+K0kommunestruktur2021altern!R93</f>
        <v>34390.430999999997</v>
      </c>
      <c r="S93" s="289">
        <f>VLOOKUP(A93,'K22'!A93:CU448,3)</f>
        <v>982</v>
      </c>
      <c r="T93" s="289">
        <f>VLOOKUP(A93,'K22'!$A$4:$BV$359,26)</f>
        <v>39228.677469960094</v>
      </c>
      <c r="U93" s="289">
        <f>VLOOKUP(A93,'Bef.fremskr. kommunenivå MMMM'!$A$5:$K$360,8)</f>
        <v>1016</v>
      </c>
      <c r="V93" s="289">
        <f>VLOOKUP(A93,'K23'!$A$4:$BV$359,26)</f>
        <v>36848.564231202465</v>
      </c>
    </row>
    <row r="94" spans="1:22" ht="13">
      <c r="A94" s="755">
        <v>1875</v>
      </c>
      <c r="B94" s="756" t="s">
        <v>1617</v>
      </c>
      <c r="C94" s="289">
        <f>+K0kommunestruktur2021altern!C94</f>
        <v>2895.3246753200001</v>
      </c>
      <c r="D94" s="289">
        <f>+K0kommunestruktur2021altern!D94</f>
        <v>62711.115194805199</v>
      </c>
      <c r="E94" s="289">
        <f>+K0kommunestruktur2021altern!E94</f>
        <v>2884.17402597</v>
      </c>
      <c r="F94" s="289">
        <f>+K0kommunestruktur2021altern!F94</f>
        <v>66304.084176623379</v>
      </c>
      <c r="G94" s="289">
        <f>+K0kommunestruktur2021altern!G94</f>
        <v>2885.3454545499999</v>
      </c>
      <c r="H94" s="289">
        <f>+K0kommunestruktur2021altern!H94</f>
        <v>70995.562301298691</v>
      </c>
      <c r="I94" s="289">
        <f>+K0kommunestruktur2021altern!I94</f>
        <v>2863.8181818200001</v>
      </c>
      <c r="J94" s="289">
        <f>+K0kommunestruktur2021altern!J94</f>
        <v>71816.2781974026</v>
      </c>
      <c r="K94" s="289">
        <f>+K0kommunestruktur2021altern!K94</f>
        <v>2851.0545454499998</v>
      </c>
      <c r="L94" s="289">
        <f>+K0kommunestruktur2021altern!L94</f>
        <v>76201.555844155839</v>
      </c>
      <c r="M94" s="289">
        <f>+K0kommunestruktur2021altern!M94</f>
        <v>2782</v>
      </c>
      <c r="N94" s="289">
        <f>+K0kommunestruktur2021altern!N94</f>
        <v>78138.789610389606</v>
      </c>
      <c r="O94" s="289">
        <f>+K0kommunestruktur2021altern!O94</f>
        <v>2766</v>
      </c>
      <c r="P94" s="289">
        <f>+K0kommunestruktur2021altern!P94</f>
        <v>78376</v>
      </c>
      <c r="Q94" s="289">
        <f>+K0kommunestruktur2021altern!Q94</f>
        <v>2701</v>
      </c>
      <c r="R94" s="289">
        <f>+K0kommunestruktur2021altern!R94</f>
        <v>78912.789000000004</v>
      </c>
      <c r="S94" s="289">
        <f>VLOOKUP(A94,'K22'!A94:CU449,3)</f>
        <v>2708</v>
      </c>
      <c r="T94" s="289">
        <f>VLOOKUP(A94,'K22'!$A$4:$BV$359,26)</f>
        <v>89432.212067874876</v>
      </c>
      <c r="U94" s="289">
        <f>VLOOKUP(A94,'Bef.fremskr. kommunenivå MMMM'!$A$5:$K$360,8)</f>
        <v>2755</v>
      </c>
      <c r="V94" s="289">
        <f>VLOOKUP(A94,'K23'!$A$4:$BV$359,26)</f>
        <v>86131.303831645331</v>
      </c>
    </row>
    <row r="95" spans="1:22" ht="13">
      <c r="A95" s="755">
        <v>3001</v>
      </c>
      <c r="B95" s="756" t="s">
        <v>783</v>
      </c>
      <c r="C95" s="289">
        <f>+K0kommunestruktur2021altern!C95</f>
        <v>30132</v>
      </c>
      <c r="D95" s="289">
        <f>+K0kommunestruktur2021altern!D95</f>
        <v>578670</v>
      </c>
      <c r="E95" s="289">
        <f>+K0kommunestruktur2021altern!E95</f>
        <v>30328</v>
      </c>
      <c r="F95" s="289">
        <f>+K0kommunestruktur2021altern!F95</f>
        <v>622874</v>
      </c>
      <c r="G95" s="289">
        <f>+K0kommunestruktur2021altern!G95</f>
        <v>30544</v>
      </c>
      <c r="H95" s="289">
        <f>+K0kommunestruktur2021altern!H95</f>
        <v>694774</v>
      </c>
      <c r="I95" s="289">
        <f>+K0kommunestruktur2021altern!I95</f>
        <v>30790</v>
      </c>
      <c r="J95" s="289">
        <f>+K0kommunestruktur2021altern!J95</f>
        <v>718818</v>
      </c>
      <c r="K95" s="289">
        <f>+K0kommunestruktur2021altern!K95</f>
        <v>31037</v>
      </c>
      <c r="L95" s="289">
        <f>+K0kommunestruktur2021altern!L95</f>
        <v>758714</v>
      </c>
      <c r="M95" s="289">
        <f>+K0kommunestruktur2021altern!M95</f>
        <v>31177</v>
      </c>
      <c r="N95" s="289">
        <f>+K0kommunestruktur2021altern!N95</f>
        <v>767877</v>
      </c>
      <c r="O95" s="289">
        <f>+K0kommunestruktur2021altern!O95</f>
        <v>31373</v>
      </c>
      <c r="P95" s="289">
        <f>+K0kommunestruktur2021altern!P95</f>
        <v>771295</v>
      </c>
      <c r="Q95" s="289">
        <f>+K0kommunestruktur2021altern!Q95</f>
        <v>31387</v>
      </c>
      <c r="R95" s="289">
        <f>+K0kommunestruktur2021altern!R95</f>
        <v>876397.34100000001</v>
      </c>
      <c r="S95" s="289">
        <f>VLOOKUP(A95,'K22'!A95:CU450,3)</f>
        <v>31444</v>
      </c>
      <c r="T95" s="289">
        <f>VLOOKUP(A95,'K22'!$A$4:$BV$359,26)</f>
        <v>961053.67727851134</v>
      </c>
      <c r="U95" s="289">
        <f>VLOOKUP(A95,'Bef.fremskr. kommunenivå MMMM'!$A$5:$K$360,8)</f>
        <v>31512</v>
      </c>
      <c r="V95" s="289">
        <f>VLOOKUP(A95,'K23'!$A$4:$BV$359,26)</f>
        <v>894102.12977896642</v>
      </c>
    </row>
    <row r="96" spans="1:22" ht="13">
      <c r="A96" s="755">
        <v>3002</v>
      </c>
      <c r="B96" s="756" t="s">
        <v>1618</v>
      </c>
      <c r="C96" s="289">
        <f>+K0kommunestruktur2021altern!C96</f>
        <v>46409</v>
      </c>
      <c r="D96" s="289">
        <f>+K0kommunestruktur2021altern!D96</f>
        <v>988308</v>
      </c>
      <c r="E96" s="289">
        <f>+K0kommunestruktur2021altern!E96</f>
        <v>47044</v>
      </c>
      <c r="F96" s="289">
        <f>+K0kommunestruktur2021altern!F96</f>
        <v>1070939</v>
      </c>
      <c r="G96" s="289">
        <f>+K0kommunestruktur2021altern!G96</f>
        <v>47640</v>
      </c>
      <c r="H96" s="289">
        <f>+K0kommunestruktur2021altern!H96</f>
        <v>1188271</v>
      </c>
      <c r="I96" s="289">
        <f>+K0kommunestruktur2021altern!I96</f>
        <v>48154</v>
      </c>
      <c r="J96" s="289">
        <f>+K0kommunestruktur2021altern!J96</f>
        <v>1236874</v>
      </c>
      <c r="K96" s="289">
        <f>+K0kommunestruktur2021altern!K96</f>
        <v>48671</v>
      </c>
      <c r="L96" s="289">
        <f>+K0kommunestruktur2021altern!L96</f>
        <v>1317884</v>
      </c>
      <c r="M96" s="289">
        <f>+K0kommunestruktur2021altern!M96</f>
        <v>48871</v>
      </c>
      <c r="N96" s="289">
        <f>+K0kommunestruktur2021altern!N96</f>
        <v>1377561</v>
      </c>
      <c r="O96" s="289">
        <f>+K0kommunestruktur2021altern!O96</f>
        <v>49273</v>
      </c>
      <c r="P96" s="289">
        <f>+K0kommunestruktur2021altern!P96</f>
        <v>1373136</v>
      </c>
      <c r="Q96" s="289">
        <f>+K0kommunestruktur2021altern!Q96</f>
        <v>49668</v>
      </c>
      <c r="R96" s="289">
        <f>+K0kommunestruktur2021altern!R96</f>
        <v>1627223.1170000001</v>
      </c>
      <c r="S96" s="289">
        <f>VLOOKUP(A96,'K22'!A96:CU451,3)</f>
        <v>50290</v>
      </c>
      <c r="T96" s="289">
        <f>VLOOKUP(A96,'K22'!$A$4:$BV$359,26)</f>
        <v>1820799.0765454916</v>
      </c>
      <c r="U96" s="289">
        <f>VLOOKUP(A96,'Bef.fremskr. kommunenivå MMMM'!$A$5:$K$360,8)</f>
        <v>50862</v>
      </c>
      <c r="V96" s="289">
        <f>VLOOKUP(A96,'K23'!$A$4:$BV$359,26)</f>
        <v>1660309.2609549679</v>
      </c>
    </row>
    <row r="97" spans="1:22" ht="13">
      <c r="A97" s="755">
        <v>3003</v>
      </c>
      <c r="B97" s="756" t="s">
        <v>785</v>
      </c>
      <c r="C97" s="289">
        <f>+K0kommunestruktur2021altern!C97</f>
        <v>54059</v>
      </c>
      <c r="D97" s="289">
        <f>+K0kommunestruktur2021altern!D97</f>
        <v>1032285</v>
      </c>
      <c r="E97" s="289">
        <f>+K0kommunestruktur2021altern!E97</f>
        <v>54192</v>
      </c>
      <c r="F97" s="289">
        <f>+K0kommunestruktur2021altern!F97</f>
        <v>1110209</v>
      </c>
      <c r="G97" s="289">
        <f>+K0kommunestruktur2021altern!G97</f>
        <v>54678</v>
      </c>
      <c r="H97" s="289">
        <f>+K0kommunestruktur2021altern!H97</f>
        <v>1254916</v>
      </c>
      <c r="I97" s="289">
        <f>+K0kommunestruktur2021altern!I97</f>
        <v>55127</v>
      </c>
      <c r="J97" s="289">
        <f>+K0kommunestruktur2021altern!J97</f>
        <v>1290591</v>
      </c>
      <c r="K97" s="289">
        <f>+K0kommunestruktur2021altern!K97</f>
        <v>55543</v>
      </c>
      <c r="L97" s="289">
        <f>+K0kommunestruktur2021altern!L97</f>
        <v>1352585</v>
      </c>
      <c r="M97" s="289">
        <f>+K0kommunestruktur2021altern!M97</f>
        <v>55997</v>
      </c>
      <c r="N97" s="289">
        <f>+K0kommunestruktur2021altern!N97</f>
        <v>1416352</v>
      </c>
      <c r="O97" s="289">
        <f>+K0kommunestruktur2021altern!O97</f>
        <v>56732</v>
      </c>
      <c r="P97" s="289">
        <f>+K0kommunestruktur2021altern!P97</f>
        <v>1427126</v>
      </c>
      <c r="Q97" s="289">
        <f>+K0kommunestruktur2021altern!Q97</f>
        <v>57372</v>
      </c>
      <c r="R97" s="289">
        <f>+K0kommunestruktur2021altern!R97</f>
        <v>1652426.263</v>
      </c>
      <c r="S97" s="289">
        <f>VLOOKUP(A97,'K22'!A97:CU452,3)</f>
        <v>58182</v>
      </c>
      <c r="T97" s="289">
        <f>VLOOKUP(A97,'K22'!$A$4:$BV$359,26)</f>
        <v>1857711.7380336244</v>
      </c>
      <c r="U97" s="289">
        <f>VLOOKUP(A97,'Bef.fremskr. kommunenivå MMMM'!$A$5:$K$360,8)</f>
        <v>58847</v>
      </c>
      <c r="V97" s="289">
        <f>VLOOKUP(A97,'K23'!$A$4:$BV$359,26)</f>
        <v>1714019.0301113019</v>
      </c>
    </row>
    <row r="98" spans="1:22" ht="13">
      <c r="A98" s="755">
        <v>3004</v>
      </c>
      <c r="B98" s="756" t="s">
        <v>786</v>
      </c>
      <c r="C98" s="289">
        <f>+K0kommunestruktur2021altern!C98</f>
        <v>77591</v>
      </c>
      <c r="D98" s="289">
        <f>+K0kommunestruktur2021altern!D98</f>
        <v>1625623</v>
      </c>
      <c r="E98" s="289">
        <f>+K0kommunestruktur2021altern!E98</f>
        <v>78159</v>
      </c>
      <c r="F98" s="289">
        <f>+K0kommunestruktur2021altern!F98</f>
        <v>1719479</v>
      </c>
      <c r="G98" s="289">
        <f>+K0kommunestruktur2021altern!G98</f>
        <v>78967</v>
      </c>
      <c r="H98" s="289">
        <f>+K0kommunestruktur2021altern!H98</f>
        <v>1889857</v>
      </c>
      <c r="I98" s="289">
        <f>+K0kommunestruktur2021altern!I98</f>
        <v>80121</v>
      </c>
      <c r="J98" s="289">
        <f>+K0kommunestruktur2021altern!J98</f>
        <v>1991852</v>
      </c>
      <c r="K98" s="289">
        <f>+K0kommunestruktur2021altern!K98</f>
        <v>80977</v>
      </c>
      <c r="L98" s="289">
        <f>+K0kommunestruktur2021altern!L98</f>
        <v>2095333</v>
      </c>
      <c r="M98" s="289">
        <f>+K0kommunestruktur2021altern!M98</f>
        <v>81772</v>
      </c>
      <c r="N98" s="289">
        <f>+K0kommunestruktur2021altern!N98</f>
        <v>2241352</v>
      </c>
      <c r="O98" s="289">
        <f>+K0kommunestruktur2021altern!O98</f>
        <v>82385</v>
      </c>
      <c r="P98" s="289">
        <f>+K0kommunestruktur2021altern!P98</f>
        <v>2171553</v>
      </c>
      <c r="Q98" s="289">
        <f>+K0kommunestruktur2021altern!Q98</f>
        <v>83193</v>
      </c>
      <c r="R98" s="289">
        <f>+K0kommunestruktur2021altern!R98</f>
        <v>2531703.1839999999</v>
      </c>
      <c r="S98" s="289">
        <f>VLOOKUP(A98,'K22'!A98:CU453,3)</f>
        <v>83892</v>
      </c>
      <c r="T98" s="289">
        <f>VLOOKUP(A98,'K22'!$A$4:$BV$359,26)</f>
        <v>2860079.8970169686</v>
      </c>
      <c r="U98" s="289">
        <f>VLOOKUP(A98,'Bef.fremskr. kommunenivå MMMM'!$A$5:$K$360,8)</f>
        <v>84501</v>
      </c>
      <c r="V98" s="289">
        <f>VLOOKUP(A98,'K23'!$A$4:$BV$359,26)</f>
        <v>2617453.3684428693</v>
      </c>
    </row>
    <row r="99" spans="1:22" ht="13">
      <c r="A99" s="889">
        <v>3005</v>
      </c>
      <c r="B99" s="890" t="s">
        <v>1619</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3842161.1703858753</v>
      </c>
      <c r="U99" s="289">
        <f>VLOOKUP(A99,'Bef.fremskr. kommunenivå MMMM'!$A$5:$K$360,8)</f>
        <v>102898</v>
      </c>
      <c r="V99" s="289">
        <f>VLOOKUP(A99,'K23'!$A$4:$BV$359,26)</f>
        <v>3508215.3790989113</v>
      </c>
    </row>
    <row r="100" spans="1:22" ht="13">
      <c r="A100" s="755">
        <v>3006</v>
      </c>
      <c r="B100" s="756" t="s">
        <v>872</v>
      </c>
      <c r="C100" s="289">
        <f>+K0kommunestruktur2021altern!C100</f>
        <v>26406</v>
      </c>
      <c r="D100" s="289">
        <f>+K0kommunestruktur2021altern!D100</f>
        <v>752839</v>
      </c>
      <c r="E100" s="289">
        <f>+K0kommunestruktur2021altern!E100</f>
        <v>26711</v>
      </c>
      <c r="F100" s="289">
        <f>+K0kommunestruktur2021altern!F100</f>
        <v>781052</v>
      </c>
      <c r="G100" s="289">
        <f>+K0kommunestruktur2021altern!G100</f>
        <v>27013</v>
      </c>
      <c r="H100" s="289">
        <f>+K0kommunestruktur2021altern!H100</f>
        <v>820578</v>
      </c>
      <c r="I100" s="289">
        <f>+K0kommunestruktur2021altern!I100</f>
        <v>27216</v>
      </c>
      <c r="J100" s="289">
        <f>+K0kommunestruktur2021altern!J100</f>
        <v>824287</v>
      </c>
      <c r="K100" s="289">
        <f>+K0kommunestruktur2021altern!K100</f>
        <v>27410</v>
      </c>
      <c r="L100" s="289">
        <f>+K0kommunestruktur2021altern!L100</f>
        <v>875371</v>
      </c>
      <c r="M100" s="289">
        <f>+K0kommunestruktur2021altern!M100</f>
        <v>27481</v>
      </c>
      <c r="N100" s="289">
        <f>+K0kommunestruktur2021altern!N100</f>
        <v>895667</v>
      </c>
      <c r="O100" s="289">
        <f>+K0kommunestruktur2021altern!O100</f>
        <v>27723</v>
      </c>
      <c r="P100" s="289">
        <f>+K0kommunestruktur2021altern!P100</f>
        <v>897703</v>
      </c>
      <c r="Q100" s="289">
        <f>+K0kommunestruktur2021altern!Q100</f>
        <v>27694</v>
      </c>
      <c r="R100" s="289">
        <f>+K0kommunestruktur2021altern!R100</f>
        <v>1012188.798</v>
      </c>
      <c r="S100" s="289">
        <f>VLOOKUP(A100,'K22'!A100:CU455,3)</f>
        <v>27879</v>
      </c>
      <c r="T100" s="289">
        <f>VLOOKUP(A100,'K22'!$A$4:$BV$359,26)</f>
        <v>1122176.9140260424</v>
      </c>
      <c r="U100" s="289">
        <f>VLOOKUP(A100,'Bef.fremskr. kommunenivå MMMM'!$A$5:$K$360,8)</f>
        <v>28097</v>
      </c>
      <c r="V100" s="289">
        <f>VLOOKUP(A100,'K23'!$A$4:$BV$359,26)</f>
        <v>1048807.4278502199</v>
      </c>
    </row>
    <row r="101" spans="1:22" ht="13">
      <c r="A101" s="755">
        <v>3007</v>
      </c>
      <c r="B101" s="756" t="s">
        <v>873</v>
      </c>
      <c r="C101" s="289">
        <f>+K0kommunestruktur2021altern!C101</f>
        <v>29624</v>
      </c>
      <c r="D101" s="289">
        <f>+K0kommunestruktur2021altern!D101</f>
        <v>636695</v>
      </c>
      <c r="E101" s="289">
        <f>+K0kommunestruktur2021altern!E101</f>
        <v>29712</v>
      </c>
      <c r="F101" s="289">
        <f>+K0kommunestruktur2021altern!F101</f>
        <v>674660</v>
      </c>
      <c r="G101" s="289">
        <f>+K0kommunestruktur2021altern!G101</f>
        <v>29801</v>
      </c>
      <c r="H101" s="289">
        <f>+K0kommunestruktur2021altern!H101</f>
        <v>741381</v>
      </c>
      <c r="I101" s="289">
        <f>+K0kommunestruktur2021altern!I101</f>
        <v>30034</v>
      </c>
      <c r="J101" s="289">
        <f>+K0kommunestruktur2021altern!J101</f>
        <v>781819</v>
      </c>
      <c r="K101" s="289">
        <f>+K0kommunestruktur2021altern!K101</f>
        <v>30283</v>
      </c>
      <c r="L101" s="289">
        <f>+K0kommunestruktur2021altern!L101</f>
        <v>803489</v>
      </c>
      <c r="M101" s="289">
        <f>+K0kommunestruktur2021altern!M101</f>
        <v>30442</v>
      </c>
      <c r="N101" s="289">
        <f>+K0kommunestruktur2021altern!N101</f>
        <v>840146</v>
      </c>
      <c r="O101" s="289">
        <f>+K0kommunestruktur2021altern!O101</f>
        <v>30641</v>
      </c>
      <c r="P101" s="289">
        <f>+K0kommunestruktur2021altern!P101</f>
        <v>853860</v>
      </c>
      <c r="Q101" s="289">
        <f>+K0kommunestruktur2021altern!Q101</f>
        <v>30835</v>
      </c>
      <c r="R101" s="289">
        <f>+K0kommunestruktur2021altern!R101</f>
        <v>992976.7</v>
      </c>
      <c r="S101" s="289">
        <f>VLOOKUP(A101,'K22'!A101:CU456,3)</f>
        <v>31011</v>
      </c>
      <c r="T101" s="289">
        <f>VLOOKUP(A101,'K22'!$A$4:$BV$359,26)</f>
        <v>1106257.7970590417</v>
      </c>
      <c r="U101" s="289">
        <f>VLOOKUP(A101,'Bef.fremskr. kommunenivå MMMM'!$A$5:$K$360,8)</f>
        <v>31277</v>
      </c>
      <c r="V101" s="289">
        <f>VLOOKUP(A101,'K23'!$A$4:$BV$359,26)</f>
        <v>1007306.1294585143</v>
      </c>
    </row>
    <row r="102" spans="1:22" ht="13">
      <c r="A102" s="755">
        <v>3011</v>
      </c>
      <c r="B102" s="756" t="s">
        <v>787</v>
      </c>
      <c r="C102" s="289">
        <f>+K0kommunestruktur2021altern!C102</f>
        <v>4386</v>
      </c>
      <c r="D102" s="289">
        <f>+K0kommunestruktur2021altern!D102</f>
        <v>118250</v>
      </c>
      <c r="E102" s="289">
        <f>+K0kommunestruktur2021altern!E102</f>
        <v>4480</v>
      </c>
      <c r="F102" s="289">
        <f>+K0kommunestruktur2021altern!F102</f>
        <v>120496</v>
      </c>
      <c r="G102" s="289">
        <f>+K0kommunestruktur2021altern!G102</f>
        <v>4511</v>
      </c>
      <c r="H102" s="289">
        <f>+K0kommunestruktur2021altern!H102</f>
        <v>127169</v>
      </c>
      <c r="I102" s="289">
        <f>+K0kommunestruktur2021altern!I102</f>
        <v>4517</v>
      </c>
      <c r="J102" s="289">
        <f>+K0kommunestruktur2021altern!J102</f>
        <v>140962</v>
      </c>
      <c r="K102" s="289">
        <f>+K0kommunestruktur2021altern!K102</f>
        <v>4540</v>
      </c>
      <c r="L102" s="289">
        <f>+K0kommunestruktur2021altern!L102</f>
        <v>152833</v>
      </c>
      <c r="M102" s="289">
        <f>+K0kommunestruktur2021altern!M102</f>
        <v>4599</v>
      </c>
      <c r="N102" s="289">
        <f>+K0kommunestruktur2021altern!N102</f>
        <v>157813</v>
      </c>
      <c r="O102" s="289">
        <f>+K0kommunestruktur2021altern!O102</f>
        <v>4668</v>
      </c>
      <c r="P102" s="289">
        <f>+K0kommunestruktur2021altern!P102</f>
        <v>156132</v>
      </c>
      <c r="Q102" s="289">
        <f>+K0kommunestruktur2021altern!Q102</f>
        <v>4694</v>
      </c>
      <c r="R102" s="289">
        <f>+K0kommunestruktur2021altern!R102</f>
        <v>191214.36799999999</v>
      </c>
      <c r="S102" s="289">
        <f>VLOOKUP(A102,'K22'!A102:CU457,3)</f>
        <v>4741</v>
      </c>
      <c r="T102" s="289">
        <f>VLOOKUP(A102,'K22'!$A$4:$BV$359,26)</f>
        <v>210214.03972157289</v>
      </c>
      <c r="U102" s="289">
        <f>VLOOKUP(A102,'Bef.fremskr. kommunenivå MMMM'!$A$5:$K$360,8)</f>
        <v>4827</v>
      </c>
      <c r="V102" s="289">
        <f>VLOOKUP(A102,'K23'!$A$4:$BV$359,26)</f>
        <v>192305.91128527906</v>
      </c>
    </row>
    <row r="103" spans="1:22" ht="13">
      <c r="A103" s="755">
        <v>3012</v>
      </c>
      <c r="B103" s="756" t="s">
        <v>788</v>
      </c>
      <c r="C103" s="289">
        <f>+K0kommunestruktur2021altern!C103</f>
        <v>1408</v>
      </c>
      <c r="D103" s="289">
        <f>+K0kommunestruktur2021altern!D103</f>
        <v>27552</v>
      </c>
      <c r="E103" s="289">
        <f>+K0kommunestruktur2021altern!E103</f>
        <v>1406</v>
      </c>
      <c r="F103" s="289">
        <f>+K0kommunestruktur2021altern!F103</f>
        <v>29788</v>
      </c>
      <c r="G103" s="289">
        <f>+K0kommunestruktur2021altern!G103</f>
        <v>1404</v>
      </c>
      <c r="H103" s="289">
        <f>+K0kommunestruktur2021altern!H103</f>
        <v>32642</v>
      </c>
      <c r="I103" s="289">
        <f>+K0kommunestruktur2021altern!I103</f>
        <v>1398</v>
      </c>
      <c r="J103" s="289">
        <f>+K0kommunestruktur2021altern!J103</f>
        <v>34123</v>
      </c>
      <c r="K103" s="289">
        <f>+K0kommunestruktur2021altern!K103</f>
        <v>1399</v>
      </c>
      <c r="L103" s="289">
        <f>+K0kommunestruktur2021altern!L103</f>
        <v>33281</v>
      </c>
      <c r="M103" s="289">
        <f>+K0kommunestruktur2021altern!M103</f>
        <v>1357</v>
      </c>
      <c r="N103" s="289">
        <f>+K0kommunestruktur2021altern!N103</f>
        <v>36601</v>
      </c>
      <c r="O103" s="289">
        <f>+K0kommunestruktur2021altern!O103</f>
        <v>1325</v>
      </c>
      <c r="P103" s="289">
        <f>+K0kommunestruktur2021altern!P103</f>
        <v>34854</v>
      </c>
      <c r="Q103" s="289">
        <f>+K0kommunestruktur2021altern!Q103</f>
        <v>1325</v>
      </c>
      <c r="R103" s="289">
        <f>+K0kommunestruktur2021altern!R103</f>
        <v>39254.383000000002</v>
      </c>
      <c r="S103" s="289">
        <f>VLOOKUP(A103,'K22'!A103:CU458,3)</f>
        <v>1315</v>
      </c>
      <c r="T103" s="289">
        <f>VLOOKUP(A103,'K22'!$A$4:$BV$359,26)</f>
        <v>43667.839384965853</v>
      </c>
      <c r="U103" s="289">
        <f>VLOOKUP(A103,'Bef.fremskr. kommunenivå MMMM'!$A$5:$K$360,8)</f>
        <v>1319</v>
      </c>
      <c r="V103" s="289">
        <f>VLOOKUP(A103,'K23'!$A$4:$BV$359,26)</f>
        <v>40250.467865798651</v>
      </c>
    </row>
    <row r="104" spans="1:22" ht="13">
      <c r="A104" s="755">
        <v>3013</v>
      </c>
      <c r="B104" s="756" t="s">
        <v>789</v>
      </c>
      <c r="C104" s="289">
        <f>+K0kommunestruktur2021altern!C104</f>
        <v>3596</v>
      </c>
      <c r="D104" s="289">
        <f>+K0kommunestruktur2021altern!D104</f>
        <v>65789</v>
      </c>
      <c r="E104" s="289">
        <f>+K0kommunestruktur2021altern!E104</f>
        <v>3613</v>
      </c>
      <c r="F104" s="289">
        <f>+K0kommunestruktur2021altern!F104</f>
        <v>75060</v>
      </c>
      <c r="G104" s="289">
        <f>+K0kommunestruktur2021altern!G104</f>
        <v>3610</v>
      </c>
      <c r="H104" s="289">
        <f>+K0kommunestruktur2021altern!H104</f>
        <v>85887</v>
      </c>
      <c r="I104" s="289">
        <f>+K0kommunestruktur2021altern!I104</f>
        <v>3597</v>
      </c>
      <c r="J104" s="289">
        <f>+K0kommunestruktur2021altern!J104</f>
        <v>82436</v>
      </c>
      <c r="K104" s="289">
        <f>+K0kommunestruktur2021altern!K104</f>
        <v>3567</v>
      </c>
      <c r="L104" s="289">
        <f>+K0kommunestruktur2021altern!L104</f>
        <v>87199</v>
      </c>
      <c r="M104" s="289">
        <f>+K0kommunestruktur2021altern!M104</f>
        <v>3592</v>
      </c>
      <c r="N104" s="289">
        <f>+K0kommunestruktur2021altern!N104</f>
        <v>92254</v>
      </c>
      <c r="O104" s="289">
        <f>+K0kommunestruktur2021altern!O104</f>
        <v>3595</v>
      </c>
      <c r="P104" s="289">
        <f>+K0kommunestruktur2021altern!P104</f>
        <v>91448</v>
      </c>
      <c r="Q104" s="289">
        <f>+K0kommunestruktur2021altern!Q104</f>
        <v>3601</v>
      </c>
      <c r="R104" s="289">
        <f>+K0kommunestruktur2021altern!R104</f>
        <v>107407.899</v>
      </c>
      <c r="S104" s="289">
        <f>VLOOKUP(A104,'K22'!A104:CU459,3)</f>
        <v>3578</v>
      </c>
      <c r="T104" s="289">
        <f>VLOOKUP(A104,'K22'!$A$4:$BV$359,26)</f>
        <v>117189.60072072719</v>
      </c>
      <c r="U104" s="289">
        <f>VLOOKUP(A104,'Bef.fremskr. kommunenivå MMMM'!$A$5:$K$360,8)</f>
        <v>3583</v>
      </c>
      <c r="V104" s="289">
        <f>VLOOKUP(A104,'K23'!$A$4:$BV$359,26)</f>
        <v>106604.22957113388</v>
      </c>
    </row>
    <row r="105" spans="1:22" s="657" customFormat="1" ht="13">
      <c r="A105" s="755">
        <v>3014</v>
      </c>
      <c r="B105" s="756" t="s">
        <v>1620</v>
      </c>
      <c r="C105" s="289">
        <f>+K0kommunestruktur2021altern!C105</f>
        <v>42921.208296124307</v>
      </c>
      <c r="D105" s="289">
        <f>+K0kommunestruktur2021altern!D105</f>
        <v>893622.04683336313</v>
      </c>
      <c r="E105" s="289">
        <f>+K0kommunestruktur2021altern!E105</f>
        <v>43242.172463832831</v>
      </c>
      <c r="F105" s="289">
        <f>+K0kommunestruktur2021altern!F105</f>
        <v>951997.5943805814</v>
      </c>
      <c r="G105" s="289">
        <f>+K0kommunestruktur2021altern!G105</f>
        <v>43467.147347740669</v>
      </c>
      <c r="H105" s="289">
        <f>+K0kommunestruktur2021altern!H105</f>
        <v>1054053.2229019692</v>
      </c>
      <c r="I105" s="289">
        <f>+K0kommunestruktur2021altern!I105</f>
        <v>43810.109059653507</v>
      </c>
      <c r="J105" s="289">
        <f>+K0kommunestruktur2021altern!J105</f>
        <v>1101327.9265318583</v>
      </c>
      <c r="K105" s="289">
        <f>+K0kommunestruktur2021altern!K105</f>
        <v>44030.084501696729</v>
      </c>
      <c r="L105" s="289">
        <f>+K0kommunestruktur2021altern!L105</f>
        <v>1155879.177263797</v>
      </c>
      <c r="M105" s="289">
        <f>+K0kommunestruktur2021altern!M105</f>
        <v>44315.052687979995</v>
      </c>
      <c r="N105" s="289">
        <f>+K0kommunestruktur2021altern!N105</f>
        <v>1204231.3992230755</v>
      </c>
      <c r="O105" s="289">
        <f>+K0kommunestruktur2021altern!O105</f>
        <v>44787</v>
      </c>
      <c r="P105" s="289">
        <f>+K0kommunestruktur2021altern!P105</f>
        <v>1185671.4668509553</v>
      </c>
      <c r="Q105" s="289">
        <f>+K0kommunestruktur2021altern!Q105</f>
        <v>45201</v>
      </c>
      <c r="R105" s="289">
        <f>+K0kommunestruktur2021altern!R105</f>
        <v>1359926.6740000001</v>
      </c>
      <c r="S105" s="289">
        <f>VLOOKUP(A105,'K22'!A105:CU460,3)</f>
        <v>45608</v>
      </c>
      <c r="T105" s="290">
        <f>VLOOKUP(A105,'K22'!$A$4:$BV$359,26)</f>
        <v>1520153.887904526</v>
      </c>
      <c r="U105" s="289">
        <f>VLOOKUP(A105,'Bef.fremskr. kommunenivå MMMM'!$A$5:$K$360,8)</f>
        <v>46110</v>
      </c>
      <c r="V105" s="289">
        <f>VLOOKUP(A105,'K23'!$A$4:$BV$359,26)</f>
        <v>1415948.7235594317</v>
      </c>
    </row>
    <row r="106" spans="1:22" s="657" customFormat="1" ht="13">
      <c r="A106" s="755">
        <v>3015</v>
      </c>
      <c r="B106" s="756" t="s">
        <v>2369</v>
      </c>
      <c r="C106" s="289">
        <f>+K0kommunestruktur2021altern!C106</f>
        <v>3727</v>
      </c>
      <c r="D106" s="289">
        <f>+K0kommunestruktur2021altern!D106</f>
        <v>74341</v>
      </c>
      <c r="E106" s="289">
        <f>+K0kommunestruktur2021altern!E106</f>
        <v>3731</v>
      </c>
      <c r="F106" s="289">
        <f>+K0kommunestruktur2021altern!F106</f>
        <v>80910</v>
      </c>
      <c r="G106" s="289">
        <f>+K0kommunestruktur2021altern!G106</f>
        <v>3742</v>
      </c>
      <c r="H106" s="289">
        <f>+K0kommunestruktur2021altern!H106</f>
        <v>88702</v>
      </c>
      <c r="I106" s="289">
        <f>+K0kommunestruktur2021altern!I106</f>
        <v>3783</v>
      </c>
      <c r="J106" s="289">
        <f>+K0kommunestruktur2021altern!J106</f>
        <v>87806</v>
      </c>
      <c r="K106" s="289">
        <f>+K0kommunestruktur2021altern!K106</f>
        <v>3831</v>
      </c>
      <c r="L106" s="289">
        <f>+K0kommunestruktur2021altern!L106</f>
        <v>93552</v>
      </c>
      <c r="M106" s="289">
        <f>+K0kommunestruktur2021altern!M106</f>
        <v>3797</v>
      </c>
      <c r="N106" s="289">
        <f>+K0kommunestruktur2021altern!N106</f>
        <v>97504</v>
      </c>
      <c r="O106" s="289">
        <f>+K0kommunestruktur2021altern!O106</f>
        <v>3805</v>
      </c>
      <c r="P106" s="289">
        <f>+K0kommunestruktur2021altern!P106</f>
        <v>96557</v>
      </c>
      <c r="Q106" s="289">
        <f>+K0kommunestruktur2021altern!Q106</f>
        <v>3825</v>
      </c>
      <c r="R106" s="289">
        <f>+K0kommunestruktur2021altern!R106</f>
        <v>114468.924</v>
      </c>
      <c r="S106" s="289">
        <f>VLOOKUP(A106,'K22'!A106:CU461,3)</f>
        <v>3846</v>
      </c>
      <c r="T106" s="290">
        <f>VLOOKUP(A106,'K22'!$A$4:$BV$359,26)</f>
        <v>123672.45265250701</v>
      </c>
      <c r="U106" s="289">
        <f>VLOOKUP(A106,'Bef.fremskr. kommunenivå MMMM'!$A$5:$K$360,8)</f>
        <v>3906</v>
      </c>
      <c r="V106" s="289">
        <f>VLOOKUP(A106,'K23'!$A$4:$BV$359,26)</f>
        <v>115856.96290127463</v>
      </c>
    </row>
    <row r="107" spans="1:22" s="657" customFormat="1" ht="13">
      <c r="A107" s="755">
        <v>3016</v>
      </c>
      <c r="B107" s="756" t="s">
        <v>796</v>
      </c>
      <c r="C107" s="289">
        <f>+K0kommunestruktur2021altern!C107</f>
        <v>7978.7917038756923</v>
      </c>
      <c r="D107" s="289">
        <f>+K0kommunestruktur2021altern!D107</f>
        <v>157981.9531666369</v>
      </c>
      <c r="E107" s="289">
        <f>+K0kommunestruktur2021altern!E107</f>
        <v>8024.8275361671731</v>
      </c>
      <c r="F107" s="289">
        <f>+K0kommunestruktur2021altern!F107</f>
        <v>167197.40561941866</v>
      </c>
      <c r="G107" s="289">
        <f>+K0kommunestruktur2021altern!G107</f>
        <v>8088.852652259332</v>
      </c>
      <c r="H107" s="289">
        <f>+K0kommunestruktur2021altern!H107</f>
        <v>193397.7770980309</v>
      </c>
      <c r="I107" s="289">
        <f>+K0kommunestruktur2021altern!I107</f>
        <v>8177.8909403464904</v>
      </c>
      <c r="J107" s="289">
        <f>+K0kommunestruktur2021altern!J107</f>
        <v>194775.07346814164</v>
      </c>
      <c r="K107" s="289">
        <f>+K0kommunestruktur2021altern!K107</f>
        <v>8206.9154983032677</v>
      </c>
      <c r="L107" s="289">
        <f>+K0kommunestruktur2021altern!L107</f>
        <v>210424.82273620288</v>
      </c>
      <c r="M107" s="289">
        <f>+K0kommunestruktur2021altern!M107</f>
        <v>8234.9473120200037</v>
      </c>
      <c r="N107" s="289">
        <f>+K0kommunestruktur2021altern!N107</f>
        <v>215672.60077692446</v>
      </c>
      <c r="O107" s="289">
        <f>+K0kommunestruktur2021altern!O107</f>
        <v>8260</v>
      </c>
      <c r="P107" s="289">
        <f>+K0kommunestruktur2021altern!P107</f>
        <v>218853.53314904461</v>
      </c>
      <c r="Q107" s="289">
        <f>+K0kommunestruktur2021altern!Q107</f>
        <v>8222</v>
      </c>
      <c r="R107" s="289">
        <f>+K0kommunestruktur2021altern!R107</f>
        <v>234728.41800000001</v>
      </c>
      <c r="S107" s="289">
        <f>VLOOKUP(A107,'K22'!A107:CU462,3)</f>
        <v>8312</v>
      </c>
      <c r="T107" s="290">
        <f>VLOOKUP(A107,'K22'!$A$4:$BV$359,26)</f>
        <v>270166.81185311184</v>
      </c>
      <c r="U107" s="289">
        <f>VLOOKUP(A107,'Bef.fremskr. kommunenivå MMMM'!$A$5:$K$360,8)</f>
        <v>8414</v>
      </c>
      <c r="V107" s="289">
        <f>VLOOKUP(A107,'K23'!$A$4:$BV$359,26)</f>
        <v>251818.85761779308</v>
      </c>
    </row>
    <row r="108" spans="1:22" ht="13">
      <c r="A108" s="755">
        <v>3017</v>
      </c>
      <c r="B108" s="756" t="s">
        <v>797</v>
      </c>
      <c r="C108" s="289">
        <f>+K0kommunestruktur2021altern!C108</f>
        <v>7104</v>
      </c>
      <c r="D108" s="289">
        <f>+K0kommunestruktur2021altern!D108</f>
        <v>158348</v>
      </c>
      <c r="E108" s="289">
        <f>+K0kommunestruktur2021altern!E108</f>
        <v>7206</v>
      </c>
      <c r="F108" s="289">
        <f>+K0kommunestruktur2021altern!F108</f>
        <v>167440</v>
      </c>
      <c r="G108" s="289">
        <f>+K0kommunestruktur2021altern!G108</f>
        <v>7357</v>
      </c>
      <c r="H108" s="289">
        <f>+K0kommunestruktur2021altern!H108</f>
        <v>189397</v>
      </c>
      <c r="I108" s="289">
        <f>+K0kommunestruktur2021altern!I108</f>
        <v>7398</v>
      </c>
      <c r="J108" s="289">
        <f>+K0kommunestruktur2021altern!J108</f>
        <v>193812</v>
      </c>
      <c r="K108" s="289">
        <f>+K0kommunestruktur2021altern!K108</f>
        <v>7465</v>
      </c>
      <c r="L108" s="289">
        <f>+K0kommunestruktur2021altern!L108</f>
        <v>198782</v>
      </c>
      <c r="M108" s="289">
        <f>+K0kommunestruktur2021altern!M108</f>
        <v>7542</v>
      </c>
      <c r="N108" s="289">
        <f>+K0kommunestruktur2021altern!N108</f>
        <v>209112</v>
      </c>
      <c r="O108" s="289">
        <f>+K0kommunestruktur2021altern!O108</f>
        <v>7508</v>
      </c>
      <c r="P108" s="289">
        <f>+K0kommunestruktur2021altern!P108</f>
        <v>208011</v>
      </c>
      <c r="Q108" s="289">
        <f>+K0kommunestruktur2021altern!Q108</f>
        <v>7568</v>
      </c>
      <c r="R108" s="289">
        <f>+K0kommunestruktur2021altern!R108</f>
        <v>240957.899</v>
      </c>
      <c r="S108" s="289">
        <f>VLOOKUP(A108,'K22'!A108:CU463,3)</f>
        <v>7633</v>
      </c>
      <c r="T108" s="289">
        <f>VLOOKUP(A108,'K22'!$A$4:$BV$359,26)</f>
        <v>266408.42390147911</v>
      </c>
      <c r="U108" s="289">
        <f>VLOOKUP(A108,'Bef.fremskr. kommunenivå MMMM'!$A$5:$K$360,8)</f>
        <v>7779</v>
      </c>
      <c r="V108" s="289">
        <f>VLOOKUP(A108,'K23'!$A$4:$BV$359,26)</f>
        <v>249652.99187329999</v>
      </c>
    </row>
    <row r="109" spans="1:22" ht="13">
      <c r="A109" s="755">
        <v>3018</v>
      </c>
      <c r="B109" s="756" t="s">
        <v>799</v>
      </c>
      <c r="C109" s="289">
        <f>+K0kommunestruktur2021altern!C109</f>
        <v>4978</v>
      </c>
      <c r="D109" s="289">
        <f>+K0kommunestruktur2021altern!D109</f>
        <v>104906</v>
      </c>
      <c r="E109" s="289">
        <f>+K0kommunestruktur2021altern!E109</f>
        <v>5100</v>
      </c>
      <c r="F109" s="289">
        <f>+K0kommunestruktur2021altern!F109</f>
        <v>113132</v>
      </c>
      <c r="G109" s="289">
        <f>+K0kommunestruktur2021altern!G109</f>
        <v>5186</v>
      </c>
      <c r="H109" s="289">
        <f>+K0kommunestruktur2021altern!H109</f>
        <v>126383</v>
      </c>
      <c r="I109" s="289">
        <f>+K0kommunestruktur2021altern!I109</f>
        <v>5335</v>
      </c>
      <c r="J109" s="289">
        <f>+K0kommunestruktur2021altern!J109</f>
        <v>136309</v>
      </c>
      <c r="K109" s="289">
        <f>+K0kommunestruktur2021altern!K109</f>
        <v>5471</v>
      </c>
      <c r="L109" s="289">
        <f>+K0kommunestruktur2021altern!L109</f>
        <v>144788</v>
      </c>
      <c r="M109" s="289">
        <f>+K0kommunestruktur2021altern!M109</f>
        <v>5593</v>
      </c>
      <c r="N109" s="289">
        <f>+K0kommunestruktur2021altern!N109</f>
        <v>145443</v>
      </c>
      <c r="O109" s="289">
        <f>+K0kommunestruktur2021altern!O109</f>
        <v>5736</v>
      </c>
      <c r="P109" s="289">
        <f>+K0kommunestruktur2021altern!P109</f>
        <v>153904</v>
      </c>
      <c r="Q109" s="289">
        <f>+K0kommunestruktur2021altern!Q109</f>
        <v>5805</v>
      </c>
      <c r="R109" s="289">
        <f>+K0kommunestruktur2021altern!R109</f>
        <v>179852.071</v>
      </c>
      <c r="S109" s="289">
        <f>VLOOKUP(A109,'K22'!A109:CU464,3)</f>
        <v>5913</v>
      </c>
      <c r="T109" s="289">
        <f>VLOOKUP(A109,'K22'!$A$4:$BV$359,26)</f>
        <v>195430.50062069052</v>
      </c>
      <c r="U109" s="289">
        <f>VLOOKUP(A109,'Bef.fremskr. kommunenivå MMMM'!$A$5:$K$360,8)</f>
        <v>6128</v>
      </c>
      <c r="V109" s="289">
        <f>VLOOKUP(A109,'K23'!$A$4:$BV$359,26)</f>
        <v>188766.33267704074</v>
      </c>
    </row>
    <row r="110" spans="1:22" ht="13">
      <c r="A110" s="755">
        <v>3019</v>
      </c>
      <c r="B110" s="756" t="s">
        <v>801</v>
      </c>
      <c r="C110" s="289">
        <f>+K0kommunestruktur2021altern!C110</f>
        <v>15944</v>
      </c>
      <c r="D110" s="289">
        <f>+K0kommunestruktur2021altern!D110</f>
        <v>382877</v>
      </c>
      <c r="E110" s="289">
        <f>+K0kommunestruktur2021altern!E110</f>
        <v>16310</v>
      </c>
      <c r="F110" s="289">
        <f>+K0kommunestruktur2021altern!F110</f>
        <v>425131</v>
      </c>
      <c r="G110" s="289">
        <f>+K0kommunestruktur2021altern!G110</f>
        <v>16732</v>
      </c>
      <c r="H110" s="289">
        <f>+K0kommunestruktur2021altern!H110</f>
        <v>481457</v>
      </c>
      <c r="I110" s="289">
        <f>+K0kommunestruktur2021altern!I110</f>
        <v>17188</v>
      </c>
      <c r="J110" s="289">
        <f>+K0kommunestruktur2021altern!J110</f>
        <v>511136</v>
      </c>
      <c r="K110" s="289">
        <f>+K0kommunestruktur2021altern!K110</f>
        <v>17486</v>
      </c>
      <c r="L110" s="289">
        <f>+K0kommunestruktur2021altern!L110</f>
        <v>544775</v>
      </c>
      <c r="M110" s="289">
        <f>+K0kommunestruktur2021altern!M110</f>
        <v>17824</v>
      </c>
      <c r="N110" s="289">
        <f>+K0kommunestruktur2021altern!N110</f>
        <v>560651</v>
      </c>
      <c r="O110" s="289">
        <f>+K0kommunestruktur2021altern!O110</f>
        <v>18042</v>
      </c>
      <c r="P110" s="289">
        <f>+K0kommunestruktur2021altern!P110</f>
        <v>542945</v>
      </c>
      <c r="Q110" s="289">
        <f>+K0kommunestruktur2021altern!Q110</f>
        <v>18290</v>
      </c>
      <c r="R110" s="289">
        <f>+K0kommunestruktur2021altern!R110</f>
        <v>648063.12</v>
      </c>
      <c r="S110" s="289">
        <f>VLOOKUP(A110,'K22'!A110:CU465,3)</f>
        <v>18699</v>
      </c>
      <c r="T110" s="289">
        <f>VLOOKUP(A110,'K22'!$A$4:$BV$359,26)</f>
        <v>723589.91785368556</v>
      </c>
      <c r="U110" s="289">
        <f>VLOOKUP(A110,'Bef.fremskr. kommunenivå MMMM'!$A$5:$K$360,8)</f>
        <v>19051</v>
      </c>
      <c r="V110" s="289">
        <f>VLOOKUP(A110,'K23'!$A$4:$BV$359,26)</f>
        <v>679316.539128487</v>
      </c>
    </row>
    <row r="111" spans="1:22" ht="13">
      <c r="A111" s="755">
        <v>3020</v>
      </c>
      <c r="B111" s="756" t="s">
        <v>1621</v>
      </c>
      <c r="C111" s="289">
        <f>+K0kommunestruktur2021altern!C111</f>
        <v>55971.078829604128</v>
      </c>
      <c r="D111" s="289">
        <f>+K0kommunestruktur2021altern!D111</f>
        <v>1607080.5913941481</v>
      </c>
      <c r="E111" s="289">
        <f>+K0kommunestruktur2021altern!E111</f>
        <v>56534.252077698548</v>
      </c>
      <c r="F111" s="289">
        <f>+K0kommunestruktur2021altern!F111</f>
        <v>1686853.0015736416</v>
      </c>
      <c r="G111" s="289">
        <f>+K0kommunestruktur2021altern!G111</f>
        <v>57236.989377919839</v>
      </c>
      <c r="H111" s="289">
        <f>+K0kommunestruktur2021altern!H111</f>
        <v>1862244.1284976641</v>
      </c>
      <c r="I111" s="289">
        <f>+K0kommunestruktur2021altern!I111</f>
        <v>57872.856946151958</v>
      </c>
      <c r="J111" s="289">
        <f>+K0kommunestruktur2021altern!J111</f>
        <v>1974149.0404720923</v>
      </c>
      <c r="K111" s="289">
        <f>+K0kommunestruktur2021altern!K111</f>
        <v>58252.568379641016</v>
      </c>
      <c r="L111" s="289">
        <f>+K0kommunestruktur2021altern!L111</f>
        <v>2026302.5736415049</v>
      </c>
      <c r="M111" s="289">
        <f>+K0kommunestruktur2021altern!M111</f>
        <v>58434</v>
      </c>
      <c r="N111" s="289">
        <f>+K0kommunestruktur2021altern!N111</f>
        <v>2104356.226948611</v>
      </c>
      <c r="O111" s="289">
        <f>+K0kommunestruktur2021altern!O111</f>
        <v>59288</v>
      </c>
      <c r="P111" s="289">
        <f>+K0kommunestruktur2021altern!P111</f>
        <v>2090579</v>
      </c>
      <c r="Q111" s="289">
        <f>+K0kommunestruktur2021altern!Q111</f>
        <v>60034</v>
      </c>
      <c r="R111" s="289">
        <f>+K0kommunestruktur2021altern!R111</f>
        <v>2446438.3840000001</v>
      </c>
      <c r="S111" s="289">
        <f>VLOOKUP(A111,'K22'!A111:CU466,3)</f>
        <v>61032</v>
      </c>
      <c r="T111" s="289">
        <f>VLOOKUP(A111,'K22'!$A$4:$BV$359,26)</f>
        <v>2751233.3258229089</v>
      </c>
      <c r="U111" s="289">
        <f>VLOOKUP(A111,'Bef.fremskr. kommunenivå MMMM'!$A$5:$K$360,8)</f>
        <v>61852</v>
      </c>
      <c r="V111" s="289">
        <f>VLOOKUP(A111,'K23'!$A$4:$BV$359,26)</f>
        <v>2548320.6235703048</v>
      </c>
    </row>
    <row r="112" spans="1:22" ht="13">
      <c r="A112" s="755">
        <v>3021</v>
      </c>
      <c r="B112" s="756" t="s">
        <v>803</v>
      </c>
      <c r="C112" s="289">
        <f>+K0kommunestruktur2021altern!C112</f>
        <v>17794.921170395868</v>
      </c>
      <c r="D112" s="289">
        <f>+K0kommunestruktur2021altern!D112</f>
        <v>428887.40860585199</v>
      </c>
      <c r="E112" s="289">
        <f>+K0kommunestruktur2021altern!E112</f>
        <v>18323.747922301452</v>
      </c>
      <c r="F112" s="289">
        <f>+K0kommunestruktur2021altern!F112</f>
        <v>468591.99842635851</v>
      </c>
      <c r="G112" s="289">
        <f>+K0kommunestruktur2021altern!G112</f>
        <v>18808.010622080157</v>
      </c>
      <c r="H112" s="289">
        <f>+K0kommunestruktur2021altern!H112</f>
        <v>499680.87150233588</v>
      </c>
      <c r="I112" s="289">
        <f>+K0kommunestruktur2021altern!I112</f>
        <v>19101.143053848045</v>
      </c>
      <c r="J112" s="289">
        <f>+K0kommunestruktur2021altern!J112</f>
        <v>537698.95952790754</v>
      </c>
      <c r="K112" s="289">
        <f>+K0kommunestruktur2021altern!K112</f>
        <v>19889.431620358988</v>
      </c>
      <c r="L112" s="289">
        <f>+K0kommunestruktur2021altern!L112</f>
        <v>605016.42635849526</v>
      </c>
      <c r="M112" s="289">
        <f>+K0kommunestruktur2021altern!M112</f>
        <v>20138</v>
      </c>
      <c r="N112" s="289">
        <f>+K0kommunestruktur2021altern!N112</f>
        <v>605798.77305138926</v>
      </c>
      <c r="O112" s="289">
        <f>+K0kommunestruktur2021altern!O112</f>
        <v>20439</v>
      </c>
      <c r="P112" s="289">
        <f>+K0kommunestruktur2021altern!P112</f>
        <v>595384</v>
      </c>
      <c r="Q112" s="289">
        <f>+K0kommunestruktur2021altern!Q112</f>
        <v>20439</v>
      </c>
      <c r="R112" s="289">
        <f>+K0kommunestruktur2021altern!R112</f>
        <v>689005.86199999996</v>
      </c>
      <c r="S112" s="289">
        <f>VLOOKUP(A112,'K22'!A112:CU467,3)</f>
        <v>20780</v>
      </c>
      <c r="T112" s="289">
        <f>VLOOKUP(A112,'K22'!$A$4:$BV$359,26)</f>
        <v>767666.95194249391</v>
      </c>
      <c r="U112" s="289">
        <f>VLOOKUP(A112,'Bef.fremskr. kommunenivå MMMM'!$A$5:$K$360,8)</f>
        <v>21428</v>
      </c>
      <c r="V112" s="289">
        <f>VLOOKUP(A112,'K23'!$A$4:$BV$359,26)</f>
        <v>732377.50594284071</v>
      </c>
    </row>
    <row r="113" spans="1:22" ht="13">
      <c r="A113" s="755">
        <v>3022</v>
      </c>
      <c r="B113" s="756" t="s">
        <v>804</v>
      </c>
      <c r="C113" s="289">
        <f>+K0kommunestruktur2021altern!C113</f>
        <v>15671</v>
      </c>
      <c r="D113" s="289">
        <f>+K0kommunestruktur2021altern!D113</f>
        <v>458700</v>
      </c>
      <c r="E113" s="289">
        <f>+K0kommunestruktur2021altern!E113</f>
        <v>15656</v>
      </c>
      <c r="F113" s="289">
        <f>+K0kommunestruktur2021altern!F113</f>
        <v>488635</v>
      </c>
      <c r="G113" s="289">
        <f>+K0kommunestruktur2021altern!G113</f>
        <v>15695</v>
      </c>
      <c r="H113" s="289">
        <f>+K0kommunestruktur2021altern!H113</f>
        <v>552401</v>
      </c>
      <c r="I113" s="289">
        <f>+K0kommunestruktur2021altern!I113</f>
        <v>15743</v>
      </c>
      <c r="J113" s="289">
        <f>+K0kommunestruktur2021altern!J113</f>
        <v>572415</v>
      </c>
      <c r="K113" s="289">
        <f>+K0kommunestruktur2021altern!K113</f>
        <v>15735</v>
      </c>
      <c r="L113" s="289">
        <f>+K0kommunestruktur2021altern!L113</f>
        <v>586294</v>
      </c>
      <c r="M113" s="289">
        <f>+K0kommunestruktur2021altern!M113</f>
        <v>15761</v>
      </c>
      <c r="N113" s="289">
        <f>+K0kommunestruktur2021altern!N113</f>
        <v>611625</v>
      </c>
      <c r="O113" s="289">
        <f>+K0kommunestruktur2021altern!O113</f>
        <v>15877</v>
      </c>
      <c r="P113" s="289">
        <f>+K0kommunestruktur2021altern!P113</f>
        <v>595648</v>
      </c>
      <c r="Q113" s="289">
        <f>+K0kommunestruktur2021altern!Q113</f>
        <v>15953</v>
      </c>
      <c r="R113" s="289">
        <f>+K0kommunestruktur2021altern!R113</f>
        <v>696165.14800000004</v>
      </c>
      <c r="S113" s="289">
        <f>VLOOKUP(A113,'K22'!A113:CU468,3)</f>
        <v>16084</v>
      </c>
      <c r="T113" s="289">
        <f>VLOOKUP(A113,'K22'!$A$4:$BV$359,26)</f>
        <v>791677.43212994095</v>
      </c>
      <c r="U113" s="289">
        <f>VLOOKUP(A113,'Bef.fremskr. kommunenivå MMMM'!$A$5:$K$360,8)</f>
        <v>16217</v>
      </c>
      <c r="V113" s="289">
        <f>VLOOKUP(A113,'K23'!$A$4:$BV$359,26)</f>
        <v>715456.84761533409</v>
      </c>
    </row>
    <row r="114" spans="1:22" ht="13">
      <c r="A114" s="755">
        <v>3023</v>
      </c>
      <c r="B114" s="965" t="s">
        <v>805</v>
      </c>
      <c r="C114" s="289">
        <f>+K0kommunestruktur2021altern!C114</f>
        <v>18297</v>
      </c>
      <c r="D114" s="289">
        <f>+K0kommunestruktur2021altern!D114</f>
        <v>484633</v>
      </c>
      <c r="E114" s="289">
        <f>+K0kommunestruktur2021altern!E114</f>
        <v>18372</v>
      </c>
      <c r="F114" s="289">
        <f>+K0kommunestruktur2021altern!F114</f>
        <v>506316</v>
      </c>
      <c r="G114" s="289">
        <f>+K0kommunestruktur2021altern!G114</f>
        <v>18623</v>
      </c>
      <c r="H114" s="289">
        <f>+K0kommunestruktur2021altern!H114</f>
        <v>556056</v>
      </c>
      <c r="I114" s="289">
        <f>+K0kommunestruktur2021altern!I114</f>
        <v>18869</v>
      </c>
      <c r="J114" s="289">
        <f>+K0kommunestruktur2021altern!J114</f>
        <v>583891</v>
      </c>
      <c r="K114" s="289">
        <f>+K0kommunestruktur2021altern!K114</f>
        <v>19287</v>
      </c>
      <c r="L114" s="289">
        <f>+K0kommunestruktur2021altern!L114</f>
        <v>619346</v>
      </c>
      <c r="M114" s="289">
        <f>+K0kommunestruktur2021altern!M114</f>
        <v>19488</v>
      </c>
      <c r="N114" s="289">
        <f>+K0kommunestruktur2021altern!N114</f>
        <v>642751</v>
      </c>
      <c r="O114" s="289">
        <f>+K0kommunestruktur2021altern!O114</f>
        <v>19616</v>
      </c>
      <c r="P114" s="289">
        <f>+K0kommunestruktur2021altern!P114</f>
        <v>634158</v>
      </c>
      <c r="Q114" s="289">
        <f>+K0kommunestruktur2021altern!Q114</f>
        <v>19805</v>
      </c>
      <c r="R114" s="289">
        <f>+K0kommunestruktur2021altern!R114</f>
        <v>779999.44</v>
      </c>
      <c r="S114" s="289">
        <f>VLOOKUP(A114,'K22'!A114:CU469,3)</f>
        <v>19939</v>
      </c>
      <c r="T114" s="289">
        <f>VLOOKUP(A114,'K22'!$A$4:$BV$359,26)</f>
        <v>845917.4357947536</v>
      </c>
      <c r="U114" s="289">
        <f>VLOOKUP(A114,'Bef.fremskr. kommunenivå MMMM'!$A$5:$K$360,8)</f>
        <v>20068</v>
      </c>
      <c r="V114" s="289">
        <f>VLOOKUP(A114,'K23'!$A$4:$BV$359,26)</f>
        <v>771410.02339219418</v>
      </c>
    </row>
    <row r="115" spans="1:22" ht="13">
      <c r="A115" s="755">
        <v>3024</v>
      </c>
      <c r="B115" s="756" t="s">
        <v>807</v>
      </c>
      <c r="C115" s="289">
        <f>+K0kommunestruktur2021altern!C115</f>
        <v>118588</v>
      </c>
      <c r="D115" s="289">
        <f>+K0kommunestruktur2021altern!D115</f>
        <v>4694842</v>
      </c>
      <c r="E115" s="289">
        <f>+K0kommunestruktur2021altern!E115</f>
        <v>120685</v>
      </c>
      <c r="F115" s="289">
        <f>+K0kommunestruktur2021altern!F115</f>
        <v>5002876</v>
      </c>
      <c r="G115" s="289">
        <f>+K0kommunestruktur2021altern!G115</f>
        <v>122348</v>
      </c>
      <c r="H115" s="289">
        <f>+K0kommunestruktur2021altern!H115</f>
        <v>5817013</v>
      </c>
      <c r="I115" s="289">
        <f>+K0kommunestruktur2021altern!I115</f>
        <v>124008</v>
      </c>
      <c r="J115" s="289">
        <f>+K0kommunestruktur2021altern!J115</f>
        <v>6180068</v>
      </c>
      <c r="K115" s="289">
        <f>+K0kommunestruktur2021altern!K115</f>
        <v>125454</v>
      </c>
      <c r="L115" s="289">
        <f>+K0kommunestruktur2021altern!L115</f>
        <v>6345361</v>
      </c>
      <c r="M115" s="289">
        <f>+K0kommunestruktur2021altern!M115</f>
        <v>126841</v>
      </c>
      <c r="N115" s="289">
        <f>+K0kommunestruktur2021altern!N115</f>
        <v>6827068</v>
      </c>
      <c r="O115" s="289">
        <f>+K0kommunestruktur2021altern!O115</f>
        <v>127731</v>
      </c>
      <c r="P115" s="289">
        <f>+K0kommunestruktur2021altern!P115</f>
        <v>6525517</v>
      </c>
      <c r="Q115" s="289">
        <f>+K0kommunestruktur2021altern!Q115</f>
        <v>128233</v>
      </c>
      <c r="R115" s="289">
        <f>+K0kommunestruktur2021altern!R115</f>
        <v>7785767.4550000001</v>
      </c>
      <c r="S115" s="289">
        <f>VLOOKUP(A115,'K22'!A115:CU470,3)</f>
        <v>128982</v>
      </c>
      <c r="T115" s="289">
        <f>VLOOKUP(A115,'K22'!$A$4:$BV$359,26)</f>
        <v>8917399.4717350807</v>
      </c>
      <c r="U115" s="289">
        <f>VLOOKUP(A115,'Bef.fremskr. kommunenivå MMMM'!$A$5:$K$360,8)</f>
        <v>129923</v>
      </c>
      <c r="V115" s="289">
        <f>VLOOKUP(A115,'K23'!$A$4:$BV$359,26)</f>
        <v>7910554.4180557812</v>
      </c>
    </row>
    <row r="116" spans="1:22" ht="13">
      <c r="A116" s="755">
        <v>3025</v>
      </c>
      <c r="B116" s="756" t="s">
        <v>1622</v>
      </c>
      <c r="C116" s="289">
        <f>+K0kommunestruktur2021altern!C116</f>
        <v>88289</v>
      </c>
      <c r="D116" s="289">
        <f>+K0kommunestruktur2021altern!D116</f>
        <v>2948054</v>
      </c>
      <c r="E116" s="289">
        <f>+K0kommunestruktur2021altern!E116</f>
        <v>89974</v>
      </c>
      <c r="F116" s="289">
        <f>+K0kommunestruktur2021altern!F116</f>
        <v>3146906</v>
      </c>
      <c r="G116" s="289">
        <f>+K0kommunestruktur2021altern!G116</f>
        <v>91011</v>
      </c>
      <c r="H116" s="289">
        <f>+K0kommunestruktur2021altern!H116</f>
        <v>3565023</v>
      </c>
      <c r="I116" s="289">
        <f>+K0kommunestruktur2021altern!I116</f>
        <v>92174</v>
      </c>
      <c r="J116" s="289">
        <f>+K0kommunestruktur2021altern!J116</f>
        <v>3695221</v>
      </c>
      <c r="K116" s="289">
        <f>+K0kommunestruktur2021altern!K116</f>
        <v>92828</v>
      </c>
      <c r="L116" s="289">
        <f>+K0kommunestruktur2021altern!L116</f>
        <v>3849981</v>
      </c>
      <c r="M116" s="289">
        <f>+K0kommunestruktur2021altern!M116</f>
        <v>93679</v>
      </c>
      <c r="N116" s="289">
        <f>+K0kommunestruktur2021altern!N116</f>
        <v>4094169</v>
      </c>
      <c r="O116" s="289">
        <f>+K0kommunestruktur2021altern!O116</f>
        <v>94441</v>
      </c>
      <c r="P116" s="289">
        <f>+K0kommunestruktur2021altern!P116</f>
        <v>3964821</v>
      </c>
      <c r="Q116" s="289">
        <f>+K0kommunestruktur2021altern!Q116</f>
        <v>94915</v>
      </c>
      <c r="R116" s="289">
        <f>+K0kommunestruktur2021altern!R116</f>
        <v>4749022.1660000002</v>
      </c>
      <c r="S116" s="289">
        <f>VLOOKUP(A116,'K22'!A116:CU471,3)</f>
        <v>96088</v>
      </c>
      <c r="T116" s="289">
        <f>VLOOKUP(A116,'K22'!$A$4:$BV$359,26)</f>
        <v>5410734.9413420726</v>
      </c>
      <c r="U116" s="289">
        <f>VLOOKUP(A116,'Bef.fremskr. kommunenivå MMMM'!$A$5:$K$360,8)</f>
        <v>97083</v>
      </c>
      <c r="V116" s="289">
        <f>VLOOKUP(A116,'K23'!$A$4:$BV$359,26)</f>
        <v>4842482.0971346749</v>
      </c>
    </row>
    <row r="117" spans="1:22" ht="13">
      <c r="A117" s="755">
        <v>3026</v>
      </c>
      <c r="B117" s="756" t="s">
        <v>1623</v>
      </c>
      <c r="C117" s="289">
        <f>+K0kommunestruktur2021altern!C117</f>
        <v>16172</v>
      </c>
      <c r="D117" s="289">
        <f>+K0kommunestruktur2021altern!D117</f>
        <v>315781</v>
      </c>
      <c r="E117" s="289">
        <f>+K0kommunestruktur2021altern!E117</f>
        <v>16398</v>
      </c>
      <c r="F117" s="289">
        <f>+K0kommunestruktur2021altern!F117</f>
        <v>343893</v>
      </c>
      <c r="G117" s="289">
        <f>+K0kommunestruktur2021altern!G117</f>
        <v>16586</v>
      </c>
      <c r="H117" s="289">
        <f>+K0kommunestruktur2021altern!H117</f>
        <v>370963</v>
      </c>
      <c r="I117" s="289">
        <f>+K0kommunestruktur2021altern!I117</f>
        <v>16847</v>
      </c>
      <c r="J117" s="289">
        <f>+K0kommunestruktur2021altern!J117</f>
        <v>392835</v>
      </c>
      <c r="K117" s="289">
        <f>+K0kommunestruktur2021altern!K117</f>
        <v>17072</v>
      </c>
      <c r="L117" s="289">
        <f>+K0kommunestruktur2021altern!L117</f>
        <v>417440</v>
      </c>
      <c r="M117" s="289">
        <f>+K0kommunestruktur2021altern!M117</f>
        <v>17173</v>
      </c>
      <c r="N117" s="289">
        <f>+K0kommunestruktur2021altern!N117</f>
        <v>430456</v>
      </c>
      <c r="O117" s="289">
        <f>+K0kommunestruktur2021altern!O117</f>
        <v>17390</v>
      </c>
      <c r="P117" s="289">
        <f>+K0kommunestruktur2021altern!P117</f>
        <v>432758</v>
      </c>
      <c r="Q117" s="289">
        <f>+K0kommunestruktur2021altern!Q117</f>
        <v>17591</v>
      </c>
      <c r="R117" s="289">
        <f>+K0kommunestruktur2021altern!R117</f>
        <v>510864.28399999999</v>
      </c>
      <c r="S117" s="289">
        <f>VLOOKUP(A117,'K22'!A117:CU472,3)</f>
        <v>17754</v>
      </c>
      <c r="T117" s="289">
        <f>VLOOKUP(A117,'K22'!$A$4:$BV$359,26)</f>
        <v>557609.58627674251</v>
      </c>
      <c r="U117" s="289">
        <f>VLOOKUP(A117,'Bef.fremskr. kommunenivå MMMM'!$A$5:$K$360,8)</f>
        <v>17869</v>
      </c>
      <c r="V117" s="289">
        <f>VLOOKUP(A117,'K23'!$A$4:$BV$359,26)</f>
        <v>518870.46484503383</v>
      </c>
    </row>
    <row r="118" spans="1:22" ht="13">
      <c r="A118" s="755">
        <v>3027</v>
      </c>
      <c r="B118" s="756" t="s">
        <v>812</v>
      </c>
      <c r="C118" s="289">
        <f>+K0kommunestruktur2021altern!C118</f>
        <v>16806</v>
      </c>
      <c r="D118" s="289">
        <f>+K0kommunestruktur2021altern!D118</f>
        <v>418672</v>
      </c>
      <c r="E118" s="289">
        <f>+K0kommunestruktur2021altern!E118</f>
        <v>17185</v>
      </c>
      <c r="F118" s="289">
        <f>+K0kommunestruktur2021altern!F118</f>
        <v>443705</v>
      </c>
      <c r="G118" s="289">
        <f>+K0kommunestruktur2021altern!G118</f>
        <v>17426</v>
      </c>
      <c r="H118" s="289">
        <f>+K0kommunestruktur2021altern!H118</f>
        <v>489036</v>
      </c>
      <c r="I118" s="289">
        <f>+K0kommunestruktur2021altern!I118</f>
        <v>17730</v>
      </c>
      <c r="J118" s="289">
        <f>+K0kommunestruktur2021altern!J118</f>
        <v>519409</v>
      </c>
      <c r="K118" s="289">
        <f>+K0kommunestruktur2021altern!K118</f>
        <v>17874</v>
      </c>
      <c r="L118" s="289">
        <f>+K0kommunestruktur2021altern!L118</f>
        <v>553595</v>
      </c>
      <c r="M118" s="289">
        <f>+K0kommunestruktur2021altern!M118</f>
        <v>18161</v>
      </c>
      <c r="N118" s="289">
        <f>+K0kommunestruktur2021altern!N118</f>
        <v>579991</v>
      </c>
      <c r="O118" s="289">
        <f>+K0kommunestruktur2021altern!O118</f>
        <v>18530</v>
      </c>
      <c r="P118" s="289">
        <f>+K0kommunestruktur2021altern!P118</f>
        <v>586828</v>
      </c>
      <c r="Q118" s="289">
        <f>+K0kommunestruktur2021altern!Q118</f>
        <v>18730</v>
      </c>
      <c r="R118" s="289">
        <f>+K0kommunestruktur2021altern!R118</f>
        <v>680701.95400000003</v>
      </c>
      <c r="S118" s="289">
        <f>VLOOKUP(A118,'K22'!A118:CU473,3)</f>
        <v>19024</v>
      </c>
      <c r="T118" s="289">
        <f>VLOOKUP(A118,'K22'!$A$4:$BV$359,26)</f>
        <v>762568.48242971092</v>
      </c>
      <c r="U118" s="289">
        <f>VLOOKUP(A118,'Bef.fremskr. kommunenivå MMMM'!$A$5:$K$360,8)</f>
        <v>19531</v>
      </c>
      <c r="V118" s="289">
        <f>VLOOKUP(A118,'K23'!$A$4:$BV$359,26)</f>
        <v>717968.75286991347</v>
      </c>
    </row>
    <row r="119" spans="1:22" ht="13">
      <c r="A119" s="755">
        <v>3028</v>
      </c>
      <c r="B119" s="756" t="s">
        <v>813</v>
      </c>
      <c r="C119" s="289">
        <f>+K0kommunestruktur2021altern!C119</f>
        <v>10626</v>
      </c>
      <c r="D119" s="289">
        <f>+K0kommunestruktur2021altern!D119</f>
        <v>235399</v>
      </c>
      <c r="E119" s="289">
        <f>+K0kommunestruktur2021altern!E119</f>
        <v>10760</v>
      </c>
      <c r="F119" s="289">
        <f>+K0kommunestruktur2021altern!F119</f>
        <v>253577</v>
      </c>
      <c r="G119" s="289">
        <f>+K0kommunestruktur2021altern!G119</f>
        <v>10870</v>
      </c>
      <c r="H119" s="289">
        <f>+K0kommunestruktur2021altern!H119</f>
        <v>279337</v>
      </c>
      <c r="I119" s="289">
        <f>+K0kommunestruktur2021altern!I119</f>
        <v>10927</v>
      </c>
      <c r="J119" s="289">
        <f>+K0kommunestruktur2021altern!J119</f>
        <v>287943</v>
      </c>
      <c r="K119" s="289">
        <f>+K0kommunestruktur2021altern!K119</f>
        <v>10945</v>
      </c>
      <c r="L119" s="289">
        <f>+K0kommunestruktur2021altern!L119</f>
        <v>292839</v>
      </c>
      <c r="M119" s="289">
        <f>+K0kommunestruktur2021altern!M119</f>
        <v>11026</v>
      </c>
      <c r="N119" s="289">
        <f>+K0kommunestruktur2021altern!N119</f>
        <v>299078</v>
      </c>
      <c r="O119" s="289">
        <f>+K0kommunestruktur2021altern!O119</f>
        <v>11110</v>
      </c>
      <c r="P119" s="289">
        <f>+K0kommunestruktur2021altern!P119</f>
        <v>291255</v>
      </c>
      <c r="Q119" s="289">
        <f>+K0kommunestruktur2021altern!Q119</f>
        <v>11065</v>
      </c>
      <c r="R119" s="289">
        <f>+K0kommunestruktur2021altern!R119</f>
        <v>340035.891</v>
      </c>
      <c r="S119" s="289">
        <f>VLOOKUP(A119,'K22'!A119:CU474,3)</f>
        <v>11249</v>
      </c>
      <c r="T119" s="289">
        <f>VLOOKUP(A119,'K22'!$A$4:$BV$359,26)</f>
        <v>376376.91456936765</v>
      </c>
      <c r="U119" s="289">
        <f>VLOOKUP(A119,'Bef.fremskr. kommunenivå MMMM'!$A$5:$K$360,8)</f>
        <v>11427</v>
      </c>
      <c r="V119" s="289">
        <f>VLOOKUP(A119,'K23'!$A$4:$BV$359,26)</f>
        <v>353220.74199725076</v>
      </c>
    </row>
    <row r="120" spans="1:22" ht="13">
      <c r="A120" s="755">
        <v>3029</v>
      </c>
      <c r="B120" s="756" t="s">
        <v>814</v>
      </c>
      <c r="C120" s="289">
        <f>+K0kommunestruktur2021altern!C120</f>
        <v>34697</v>
      </c>
      <c r="D120" s="289">
        <f>+K0kommunestruktur2021altern!D120</f>
        <v>955054</v>
      </c>
      <c r="E120" s="289">
        <f>+K0kommunestruktur2021altern!E120</f>
        <v>35139</v>
      </c>
      <c r="F120" s="289">
        <f>+K0kommunestruktur2021altern!F120</f>
        <v>1000847</v>
      </c>
      <c r="G120" s="289">
        <f>+K0kommunestruktur2021altern!G120</f>
        <v>36368</v>
      </c>
      <c r="H120" s="289">
        <f>+K0kommunestruktur2021altern!H120</f>
        <v>1106763</v>
      </c>
      <c r="I120" s="289">
        <f>+K0kommunestruktur2021altern!I120</f>
        <v>37406</v>
      </c>
      <c r="J120" s="289">
        <f>+K0kommunestruktur2021altern!J120</f>
        <v>1186669</v>
      </c>
      <c r="K120" s="289">
        <f>+K0kommunestruktur2021altern!K120</f>
        <v>38670</v>
      </c>
      <c r="L120" s="289">
        <f>+K0kommunestruktur2021altern!L120</f>
        <v>1265826</v>
      </c>
      <c r="M120" s="289">
        <f>+K0kommunestruktur2021altern!M120</f>
        <v>40106</v>
      </c>
      <c r="N120" s="289">
        <f>+K0kommunestruktur2021altern!N120</f>
        <v>1334160</v>
      </c>
      <c r="O120" s="289">
        <f>+K0kommunestruktur2021altern!O120</f>
        <v>41460</v>
      </c>
      <c r="P120" s="289">
        <f>+K0kommunestruktur2021altern!P120</f>
        <v>1334722</v>
      </c>
      <c r="Q120" s="289">
        <f>+K0kommunestruktur2021altern!Q120</f>
        <v>42740</v>
      </c>
      <c r="R120" s="289">
        <f>+K0kommunestruktur2021altern!R120</f>
        <v>1577847.763</v>
      </c>
      <c r="S120" s="289">
        <f>VLOOKUP(A120,'K22'!A120:CU475,3)</f>
        <v>44693</v>
      </c>
      <c r="T120" s="289">
        <f>VLOOKUP(A120,'K22'!$A$4:$BV$359,26)</f>
        <v>1829188.4320349772</v>
      </c>
      <c r="U120" s="289">
        <f>VLOOKUP(A120,'Bef.fremskr. kommunenivå MMMM'!$A$5:$K$360,8)</f>
        <v>46438</v>
      </c>
      <c r="V120" s="289">
        <f>VLOOKUP(A120,'K23'!$A$4:$BV$359,26)</f>
        <v>1749169.4147155124</v>
      </c>
    </row>
    <row r="121" spans="1:22" ht="13">
      <c r="A121" s="755">
        <v>3030</v>
      </c>
      <c r="B121" s="756" t="s">
        <v>1624</v>
      </c>
      <c r="C121" s="289">
        <f>+K0kommunestruktur2021altern!C121</f>
        <v>78532.416579970435</v>
      </c>
      <c r="D121" s="289">
        <f>+K0kommunestruktur2021altern!D121</f>
        <v>2008907.4885035318</v>
      </c>
      <c r="E121" s="289">
        <f>+K0kommunestruktur2021altern!E121</f>
        <v>79385.133877238128</v>
      </c>
      <c r="F121" s="289">
        <f>+K0kommunestruktur2021altern!F121</f>
        <v>2089397.7724362782</v>
      </c>
      <c r="G121" s="289">
        <f>+K0kommunestruktur2021altern!G121</f>
        <v>80698.127580353714</v>
      </c>
      <c r="H121" s="289">
        <f>+K0kommunestruktur2021altern!H121</f>
        <v>2325082.7272264962</v>
      </c>
      <c r="I121" s="289">
        <f>+K0kommunestruktur2021altern!I121</f>
        <v>81846.971089087223</v>
      </c>
      <c r="J121" s="289">
        <f>+K0kommunestruktur2021altern!J121</f>
        <v>2466629.9739697063</v>
      </c>
      <c r="K121" s="289">
        <f>+K0kommunestruktur2021altern!K121</f>
        <v>83160.397689317193</v>
      </c>
      <c r="L121" s="289">
        <f>+K0kommunestruktur2021altern!L121</f>
        <v>2576111.5140447901</v>
      </c>
      <c r="M121" s="289">
        <f>+K0kommunestruktur2021altern!M121</f>
        <v>85086</v>
      </c>
      <c r="N121" s="289">
        <f>+K0kommunestruktur2021altern!N121</f>
        <v>2724189.8595247222</v>
      </c>
      <c r="O121" s="289">
        <f>+K0kommunestruktur2021altern!O121</f>
        <v>85983</v>
      </c>
      <c r="P121" s="289">
        <f>+K0kommunestruktur2021altern!P121</f>
        <v>2710030</v>
      </c>
      <c r="Q121" s="289">
        <f>+K0kommunestruktur2021altern!Q121</f>
        <v>86953</v>
      </c>
      <c r="R121" s="289">
        <f>+K0kommunestruktur2021altern!R121</f>
        <v>3190910.1150000002</v>
      </c>
      <c r="S121" s="289">
        <f>VLOOKUP(A121,'K22'!A121:CU476,3)</f>
        <v>89095</v>
      </c>
      <c r="T121" s="289">
        <f>VLOOKUP(A121,'K22'!$A$4:$BV$359,26)</f>
        <v>3544416.5795798958</v>
      </c>
      <c r="U121" s="289">
        <f>VLOOKUP(A121,'Bef.fremskr. kommunenivå MMMM'!$A$5:$K$360,8)</f>
        <v>90692</v>
      </c>
      <c r="V121" s="289">
        <f>VLOOKUP(A121,'K23'!$A$4:$BV$359,26)</f>
        <v>3341836.090555633</v>
      </c>
    </row>
    <row r="122" spans="1:22" ht="13">
      <c r="A122" s="755">
        <v>3031</v>
      </c>
      <c r="B122" s="756" t="s">
        <v>816</v>
      </c>
      <c r="C122" s="289">
        <f>+K0kommunestruktur2021altern!C122</f>
        <v>22385</v>
      </c>
      <c r="D122" s="289">
        <f>+K0kommunestruktur2021altern!D122</f>
        <v>602308</v>
      </c>
      <c r="E122" s="289">
        <f>+K0kommunestruktur2021altern!E122</f>
        <v>22706</v>
      </c>
      <c r="F122" s="289">
        <f>+K0kommunestruktur2021altern!F122</f>
        <v>644021</v>
      </c>
      <c r="G122" s="289">
        <f>+K0kommunestruktur2021altern!G122</f>
        <v>22857</v>
      </c>
      <c r="H122" s="289">
        <f>+K0kommunestruktur2021altern!H122</f>
        <v>703515</v>
      </c>
      <c r="I122" s="289">
        <f>+K0kommunestruktur2021altern!I122</f>
        <v>23213</v>
      </c>
      <c r="J122" s="289">
        <f>+K0kommunestruktur2021altern!J122</f>
        <v>740249</v>
      </c>
      <c r="K122" s="289">
        <f>+K0kommunestruktur2021altern!K122</f>
        <v>23545</v>
      </c>
      <c r="L122" s="289">
        <f>+K0kommunestruktur2021altern!L122</f>
        <v>775033</v>
      </c>
      <c r="M122" s="289">
        <f>+K0kommunestruktur2021altern!M122</f>
        <v>24089</v>
      </c>
      <c r="N122" s="289">
        <f>+K0kommunestruktur2021altern!N122</f>
        <v>808965</v>
      </c>
      <c r="O122" s="289">
        <f>+K0kommunestruktur2021altern!O122</f>
        <v>24249</v>
      </c>
      <c r="P122" s="289">
        <f>+K0kommunestruktur2021altern!P122</f>
        <v>791727</v>
      </c>
      <c r="Q122" s="289">
        <f>+K0kommunestruktur2021altern!Q122</f>
        <v>24454</v>
      </c>
      <c r="R122" s="289">
        <f>+K0kommunestruktur2021altern!R122</f>
        <v>946496.26399999997</v>
      </c>
      <c r="S122" s="289">
        <f>VLOOKUP(A122,'K22'!A122:CU477,3)</f>
        <v>24947</v>
      </c>
      <c r="T122" s="289">
        <f>VLOOKUP(A122,'K22'!$A$4:$BV$359,26)</f>
        <v>1041930.8272970963</v>
      </c>
      <c r="U122" s="289">
        <f>VLOOKUP(A122,'Bef.fremskr. kommunenivå MMMM'!$A$5:$K$360,8)</f>
        <v>25303</v>
      </c>
      <c r="V122" s="289">
        <f>VLOOKUP(A122,'K23'!$A$4:$BV$359,26)</f>
        <v>975849.47382401815</v>
      </c>
    </row>
    <row r="123" spans="1:22" ht="13">
      <c r="A123" s="755">
        <v>3032</v>
      </c>
      <c r="B123" s="756" t="s">
        <v>817</v>
      </c>
      <c r="C123" s="289">
        <f>+K0kommunestruktur2021altern!C123</f>
        <v>6292</v>
      </c>
      <c r="D123" s="289">
        <f>+K0kommunestruktur2021altern!D123</f>
        <v>172164</v>
      </c>
      <c r="E123" s="289">
        <f>+K0kommunestruktur2021altern!E123</f>
        <v>6326</v>
      </c>
      <c r="F123" s="289">
        <f>+K0kommunestruktur2021altern!F123</f>
        <v>183102</v>
      </c>
      <c r="G123" s="289">
        <f>+K0kommunestruktur2021altern!G123</f>
        <v>6323</v>
      </c>
      <c r="H123" s="289">
        <f>+K0kommunestruktur2021altern!H123</f>
        <v>203326</v>
      </c>
      <c r="I123" s="289">
        <f>+K0kommunestruktur2021altern!I123</f>
        <v>6546</v>
      </c>
      <c r="J123" s="289">
        <f>+K0kommunestruktur2021altern!J123</f>
        <v>234709</v>
      </c>
      <c r="K123" s="289">
        <f>+K0kommunestruktur2021altern!K123</f>
        <v>6704</v>
      </c>
      <c r="L123" s="289">
        <f>+K0kommunestruktur2021altern!L123</f>
        <v>242251</v>
      </c>
      <c r="M123" s="289">
        <f>+K0kommunestruktur2021altern!M123</f>
        <v>6823</v>
      </c>
      <c r="N123" s="289">
        <f>+K0kommunestruktur2021altern!N123</f>
        <v>249562</v>
      </c>
      <c r="O123" s="289">
        <f>+K0kommunestruktur2021altern!O123</f>
        <v>6890</v>
      </c>
      <c r="P123" s="289">
        <f>+K0kommunestruktur2021altern!P123</f>
        <v>233230</v>
      </c>
      <c r="Q123" s="289">
        <f>+K0kommunestruktur2021altern!Q123</f>
        <v>7043</v>
      </c>
      <c r="R123" s="289">
        <f>+K0kommunestruktur2021altern!R123</f>
        <v>275007.37</v>
      </c>
      <c r="S123" s="289">
        <f>VLOOKUP(A123,'K22'!A123:CU478,3)</f>
        <v>6989</v>
      </c>
      <c r="T123" s="289">
        <f>VLOOKUP(A123,'K22'!$A$4:$BV$359,26)</f>
        <v>308173.49425742938</v>
      </c>
      <c r="U123" s="289">
        <f>VLOOKUP(A123,'Bef.fremskr. kommunenivå MMMM'!$A$5:$K$360,8)</f>
        <v>7071</v>
      </c>
      <c r="V123" s="289">
        <f>VLOOKUP(A123,'K23'!$A$4:$BV$359,26)</f>
        <v>284927.20238344761</v>
      </c>
    </row>
    <row r="124" spans="1:22" ht="13">
      <c r="A124" s="755">
        <v>3033</v>
      </c>
      <c r="B124" s="756" t="s">
        <v>818</v>
      </c>
      <c r="C124" s="289">
        <f>+K0kommunestruktur2021altern!C124</f>
        <v>32438</v>
      </c>
      <c r="D124" s="289">
        <f>+K0kommunestruktur2021altern!D124</f>
        <v>785830</v>
      </c>
      <c r="E124" s="289">
        <f>+K0kommunestruktur2021altern!E124</f>
        <v>33310</v>
      </c>
      <c r="F124" s="289">
        <f>+K0kommunestruktur2021altern!F124</f>
        <v>825439</v>
      </c>
      <c r="G124" s="289">
        <f>+K0kommunestruktur2021altern!G124</f>
        <v>34189</v>
      </c>
      <c r="H124" s="289">
        <f>+K0kommunestruktur2021altern!H124</f>
        <v>917838</v>
      </c>
      <c r="I124" s="289">
        <f>+K0kommunestruktur2021altern!I124</f>
        <v>35102</v>
      </c>
      <c r="J124" s="289">
        <f>+K0kommunestruktur2021altern!J124</f>
        <v>996135</v>
      </c>
      <c r="K124" s="289">
        <f>+K0kommunestruktur2021altern!K124</f>
        <v>36576</v>
      </c>
      <c r="L124" s="289">
        <f>+K0kommunestruktur2021altern!L124</f>
        <v>1072566</v>
      </c>
      <c r="M124" s="289">
        <f>+K0kommunestruktur2021altern!M124</f>
        <v>38234</v>
      </c>
      <c r="N124" s="289">
        <f>+K0kommunestruktur2021altern!N124</f>
        <v>1141275</v>
      </c>
      <c r="O124" s="289">
        <f>+K0kommunestruktur2021altern!O124</f>
        <v>39625</v>
      </c>
      <c r="P124" s="289">
        <f>+K0kommunestruktur2021altern!P124</f>
        <v>1137725</v>
      </c>
      <c r="Q124" s="289">
        <f>+K0kommunestruktur2021altern!Q124</f>
        <v>40459</v>
      </c>
      <c r="R124" s="289">
        <f>+K0kommunestruktur2021altern!R124</f>
        <v>1340071.24</v>
      </c>
      <c r="S124" s="289">
        <f>VLOOKUP(A124,'K22'!A124:CU479,3)</f>
        <v>41565</v>
      </c>
      <c r="T124" s="289">
        <f>VLOOKUP(A124,'K22'!$A$4:$BV$359,26)</f>
        <v>1533999.0839422946</v>
      </c>
      <c r="U124" s="289">
        <f>VLOOKUP(A124,'Bef.fremskr. kommunenivå MMMM'!$A$5:$K$360,8)</f>
        <v>42778</v>
      </c>
      <c r="V124" s="289">
        <f>VLOOKUP(A124,'K23'!$A$4:$BV$359,26)</f>
        <v>1442870.2395534478</v>
      </c>
    </row>
    <row r="125" spans="1:22" ht="13">
      <c r="A125" s="755">
        <v>3034</v>
      </c>
      <c r="B125" s="756" t="s">
        <v>819</v>
      </c>
      <c r="C125" s="289">
        <f>+K0kommunestruktur2021altern!C125</f>
        <v>20785.583420029569</v>
      </c>
      <c r="D125" s="289">
        <f>+K0kommunestruktur2021altern!D125</f>
        <v>436004.51149646827</v>
      </c>
      <c r="E125" s="289">
        <f>+K0kommunestruktur2021altern!E125</f>
        <v>21037.866122761869</v>
      </c>
      <c r="F125" s="289">
        <f>+K0kommunestruktur2021altern!F125</f>
        <v>468651.22756372171</v>
      </c>
      <c r="G125" s="289">
        <f>+K0kommunestruktur2021altern!G125</f>
        <v>21423.872419646279</v>
      </c>
      <c r="H125" s="289">
        <f>+K0kommunestruktur2021altern!H125</f>
        <v>521092.27277350379</v>
      </c>
      <c r="I125" s="289">
        <f>+K0kommunestruktur2021altern!I125</f>
        <v>21890.028910912773</v>
      </c>
      <c r="J125" s="289">
        <f>+K0kommunestruktur2021altern!J125</f>
        <v>553690.02603029343</v>
      </c>
      <c r="K125" s="289">
        <f>+K0kommunestruktur2021altern!K125</f>
        <v>22341.6023106828</v>
      </c>
      <c r="L125" s="289">
        <f>+K0kommunestruktur2021altern!L125</f>
        <v>588907.48595520994</v>
      </c>
      <c r="M125" s="289">
        <f>+K0kommunestruktur2021altern!M125</f>
        <v>22556</v>
      </c>
      <c r="N125" s="289">
        <f>+K0kommunestruktur2021altern!N125</f>
        <v>615587.14047527791</v>
      </c>
      <c r="O125" s="289">
        <f>+K0kommunestruktur2021altern!O125</f>
        <v>23092</v>
      </c>
      <c r="P125" s="289">
        <f>+K0kommunestruktur2021altern!P125</f>
        <v>600621</v>
      </c>
      <c r="Q125" s="289">
        <f>+K0kommunestruktur2021altern!Q125</f>
        <v>23422</v>
      </c>
      <c r="R125" s="289">
        <f>+K0kommunestruktur2021altern!R125</f>
        <v>720878.89</v>
      </c>
      <c r="S125" s="289">
        <f>VLOOKUP(A125,'K22'!A125:CU480,3)</f>
        <v>23898</v>
      </c>
      <c r="T125" s="289">
        <f>VLOOKUP(A125,'K22'!$A$4:$BV$359,26)</f>
        <v>791469.08676740143</v>
      </c>
      <c r="U125" s="289">
        <f>VLOOKUP(A125,'Bef.fremskr. kommunenivå MMMM'!$A$5:$K$360,8)</f>
        <v>24337</v>
      </c>
      <c r="V125" s="289">
        <f>VLOOKUP(A125,'K23'!$A$4:$BV$359,26)</f>
        <v>750913.72039773921</v>
      </c>
    </row>
    <row r="126" spans="1:22" ht="13">
      <c r="A126" s="755">
        <v>3035</v>
      </c>
      <c r="B126" s="756" t="s">
        <v>820</v>
      </c>
      <c r="C126" s="289">
        <f>+K0kommunestruktur2021altern!C126</f>
        <v>22689</v>
      </c>
      <c r="D126" s="289">
        <f>+K0kommunestruktur2021altern!D126</f>
        <v>488216</v>
      </c>
      <c r="E126" s="289">
        <f>+K0kommunestruktur2021altern!E126</f>
        <v>23238</v>
      </c>
      <c r="F126" s="289">
        <f>+K0kommunestruktur2021altern!F126</f>
        <v>518464</v>
      </c>
      <c r="G126" s="289">
        <f>+K0kommunestruktur2021altern!G126</f>
        <v>23811</v>
      </c>
      <c r="H126" s="289">
        <f>+K0kommunestruktur2021altern!H126</f>
        <v>547726</v>
      </c>
      <c r="I126" s="289">
        <f>+K0kommunestruktur2021altern!I126</f>
        <v>24415</v>
      </c>
      <c r="J126" s="289">
        <f>+K0kommunestruktur2021altern!J126</f>
        <v>588642</v>
      </c>
      <c r="K126" s="289">
        <f>+K0kommunestruktur2021altern!K126</f>
        <v>24647</v>
      </c>
      <c r="L126" s="289">
        <f>+K0kommunestruktur2021altern!L126</f>
        <v>626457</v>
      </c>
      <c r="M126" s="289">
        <f>+K0kommunestruktur2021altern!M126</f>
        <v>24919</v>
      </c>
      <c r="N126" s="289">
        <f>+K0kommunestruktur2021altern!N126</f>
        <v>645346</v>
      </c>
      <c r="O126" s="289">
        <f>+K0kommunestruktur2021altern!O126</f>
        <v>25436</v>
      </c>
      <c r="P126" s="289">
        <f>+K0kommunestruktur2021altern!P126</f>
        <v>638025</v>
      </c>
      <c r="Q126" s="289">
        <f>+K0kommunestruktur2021altern!Q126</f>
        <v>26031</v>
      </c>
      <c r="R126" s="289">
        <f>+K0kommunestruktur2021altern!R126</f>
        <v>762822.91700000002</v>
      </c>
      <c r="S126" s="289">
        <f>VLOOKUP(A126,'K22'!A126:CU481,3)</f>
        <v>26716</v>
      </c>
      <c r="T126" s="289">
        <f>VLOOKUP(A126,'K22'!$A$4:$BV$359,26)</f>
        <v>843249.29102528887</v>
      </c>
      <c r="U126" s="289">
        <f>VLOOKUP(A126,'Bef.fremskr. kommunenivå MMMM'!$A$5:$K$360,8)</f>
        <v>27292</v>
      </c>
      <c r="V126" s="289">
        <f>VLOOKUP(A126,'K23'!$A$4:$BV$359,26)</f>
        <v>805562.23742699414</v>
      </c>
    </row>
    <row r="127" spans="1:22" ht="13">
      <c r="A127" s="755">
        <v>3036</v>
      </c>
      <c r="B127" s="756" t="s">
        <v>821</v>
      </c>
      <c r="C127" s="289">
        <f>+K0kommunestruktur2021altern!C127</f>
        <v>11707</v>
      </c>
      <c r="D127" s="289">
        <f>+K0kommunestruktur2021altern!D127</f>
        <v>256510</v>
      </c>
      <c r="E127" s="289">
        <f>+K0kommunestruktur2021altern!E127</f>
        <v>11882</v>
      </c>
      <c r="F127" s="289">
        <f>+K0kommunestruktur2021altern!F127</f>
        <v>273585</v>
      </c>
      <c r="G127" s="289">
        <f>+K0kommunestruktur2021altern!G127</f>
        <v>12267</v>
      </c>
      <c r="H127" s="289">
        <f>+K0kommunestruktur2021altern!H127</f>
        <v>306685</v>
      </c>
      <c r="I127" s="289">
        <f>+K0kommunestruktur2021altern!I127</f>
        <v>12657</v>
      </c>
      <c r="J127" s="289">
        <f>+K0kommunestruktur2021altern!J127</f>
        <v>327371</v>
      </c>
      <c r="K127" s="289">
        <f>+K0kommunestruktur2021altern!K127</f>
        <v>13240</v>
      </c>
      <c r="L127" s="289">
        <f>+K0kommunestruktur2021altern!L127</f>
        <v>355948</v>
      </c>
      <c r="M127" s="289">
        <f>+K0kommunestruktur2021altern!M127</f>
        <v>13682</v>
      </c>
      <c r="N127" s="289">
        <f>+K0kommunestruktur2021altern!N127</f>
        <v>376725</v>
      </c>
      <c r="O127" s="289">
        <f>+K0kommunestruktur2021altern!O127</f>
        <v>14139</v>
      </c>
      <c r="P127" s="289">
        <f>+K0kommunestruktur2021altern!P127</f>
        <v>367069</v>
      </c>
      <c r="Q127" s="289">
        <f>+K0kommunestruktur2021altern!Q127</f>
        <v>14637</v>
      </c>
      <c r="R127" s="289">
        <f>+K0kommunestruktur2021altern!R127</f>
        <v>432983.81699999998</v>
      </c>
      <c r="S127" s="289">
        <f>VLOOKUP(A127,'K22'!A127:CU482,3)</f>
        <v>15074</v>
      </c>
      <c r="T127" s="289">
        <f>VLOOKUP(A127,'K22'!$A$4:$BV$359,26)</f>
        <v>491156.65128403326</v>
      </c>
      <c r="U127" s="289">
        <f>VLOOKUP(A127,'Bef.fremskr. kommunenivå MMMM'!$A$5:$K$360,8)</f>
        <v>15541</v>
      </c>
      <c r="V127" s="289">
        <f>VLOOKUP(A127,'K23'!$A$4:$BV$359,26)</f>
        <v>475284.40559270204</v>
      </c>
    </row>
    <row r="128" spans="1:22" ht="13">
      <c r="A128" s="755">
        <v>3037</v>
      </c>
      <c r="B128" s="756" t="s">
        <v>822</v>
      </c>
      <c r="C128" s="289">
        <f>+K0kommunestruktur2021altern!C128</f>
        <v>2695</v>
      </c>
      <c r="D128" s="289">
        <f>+K0kommunestruktur2021altern!D128</f>
        <v>49896</v>
      </c>
      <c r="E128" s="289">
        <f>+K0kommunestruktur2021altern!E128</f>
        <v>2752</v>
      </c>
      <c r="F128" s="289">
        <f>+K0kommunestruktur2021altern!F128</f>
        <v>53872</v>
      </c>
      <c r="G128" s="289">
        <f>+K0kommunestruktur2021altern!G128</f>
        <v>2837</v>
      </c>
      <c r="H128" s="289">
        <f>+K0kommunestruktur2021altern!H128</f>
        <v>60073</v>
      </c>
      <c r="I128" s="289">
        <f>+K0kommunestruktur2021altern!I128</f>
        <v>2910</v>
      </c>
      <c r="J128" s="289">
        <f>+K0kommunestruktur2021altern!J128</f>
        <v>62531</v>
      </c>
      <c r="K128" s="289">
        <f>+K0kommunestruktur2021altern!K128</f>
        <v>2903</v>
      </c>
      <c r="L128" s="289">
        <f>+K0kommunestruktur2021altern!L128</f>
        <v>65315</v>
      </c>
      <c r="M128" s="289">
        <f>+K0kommunestruktur2021altern!M128</f>
        <v>2864</v>
      </c>
      <c r="N128" s="289">
        <f>+K0kommunestruktur2021altern!N128</f>
        <v>69523</v>
      </c>
      <c r="O128" s="289">
        <f>+K0kommunestruktur2021altern!O128</f>
        <v>2854</v>
      </c>
      <c r="P128" s="289">
        <f>+K0kommunestruktur2021altern!P128</f>
        <v>67644</v>
      </c>
      <c r="Q128" s="289">
        <f>+K0kommunestruktur2021altern!Q128</f>
        <v>2838</v>
      </c>
      <c r="R128" s="289">
        <f>+K0kommunestruktur2021altern!R128</f>
        <v>76393.837</v>
      </c>
      <c r="S128" s="289">
        <f>VLOOKUP(A128,'K22'!A128:CU483,3)</f>
        <v>2905</v>
      </c>
      <c r="T128" s="289">
        <f>VLOOKUP(A128,'K22'!$A$4:$BV$359,26)</f>
        <v>86577.752371973009</v>
      </c>
      <c r="U128" s="289">
        <f>VLOOKUP(A128,'Bef.fremskr. kommunenivå MMMM'!$A$5:$K$360,8)</f>
        <v>2988</v>
      </c>
      <c r="V128" s="289">
        <f>VLOOKUP(A128,'K23'!$A$4:$BV$359,26)</f>
        <v>82341.866239911382</v>
      </c>
    </row>
    <row r="129" spans="1:22" ht="13">
      <c r="A129" s="755">
        <v>3038</v>
      </c>
      <c r="B129" s="756" t="s">
        <v>874</v>
      </c>
      <c r="C129" s="289">
        <f>+K0kommunestruktur2021altern!C129</f>
        <v>6595</v>
      </c>
      <c r="D129" s="289">
        <f>+K0kommunestruktur2021altern!D129</f>
        <v>155090</v>
      </c>
      <c r="E129" s="289">
        <f>+K0kommunestruktur2021altern!E129</f>
        <v>6698</v>
      </c>
      <c r="F129" s="289">
        <f>+K0kommunestruktur2021altern!F129</f>
        <v>149683</v>
      </c>
      <c r="G129" s="289">
        <f>+K0kommunestruktur2021altern!G129</f>
        <v>6767</v>
      </c>
      <c r="H129" s="289">
        <f>+K0kommunestruktur2021altern!H129</f>
        <v>217126</v>
      </c>
      <c r="I129" s="289">
        <f>+K0kommunestruktur2021altern!I129</f>
        <v>6772</v>
      </c>
      <c r="J129" s="289">
        <f>+K0kommunestruktur2021altern!J129</f>
        <v>234181</v>
      </c>
      <c r="K129" s="289">
        <f>+K0kommunestruktur2021altern!K129</f>
        <v>6833</v>
      </c>
      <c r="L129" s="289">
        <f>+K0kommunestruktur2021altern!L129</f>
        <v>231734</v>
      </c>
      <c r="M129" s="289">
        <f>+K0kommunestruktur2021altern!M129</f>
        <v>6845</v>
      </c>
      <c r="N129" s="289">
        <f>+K0kommunestruktur2021altern!N129</f>
        <v>257243</v>
      </c>
      <c r="O129" s="289">
        <f>+K0kommunestruktur2021altern!O129</f>
        <v>6799</v>
      </c>
      <c r="P129" s="289">
        <f>+K0kommunestruktur2021altern!P129</f>
        <v>245135</v>
      </c>
      <c r="Q129" s="289">
        <f>+K0kommunestruktur2021altern!Q129</f>
        <v>6811</v>
      </c>
      <c r="R129" s="289">
        <f>+K0kommunestruktur2021altern!R129</f>
        <v>269566.239</v>
      </c>
      <c r="S129" s="289">
        <f>VLOOKUP(A129,'K22'!A129:CU484,3)</f>
        <v>6859</v>
      </c>
      <c r="T129" s="289">
        <f>VLOOKUP(A129,'K22'!$A$4:$BV$359,26)</f>
        <v>318555.90339370479</v>
      </c>
      <c r="U129" s="289">
        <f>VLOOKUP(A129,'Bef.fremskr. kommunenivå MMMM'!$A$5:$K$360,8)</f>
        <v>6976</v>
      </c>
      <c r="V129" s="289">
        <f>VLOOKUP(A129,'K23'!$A$4:$BV$359,26)</f>
        <v>290984.20273886941</v>
      </c>
    </row>
    <row r="130" spans="1:22" ht="13">
      <c r="A130" s="755">
        <v>3039</v>
      </c>
      <c r="B130" s="756" t="s">
        <v>875</v>
      </c>
      <c r="C130" s="289">
        <f>+K0kommunestruktur2021altern!C130</f>
        <v>1033</v>
      </c>
      <c r="D130" s="289">
        <f>+K0kommunestruktur2021altern!D130</f>
        <v>24901</v>
      </c>
      <c r="E130" s="289">
        <f>+K0kommunestruktur2021altern!E130</f>
        <v>1033</v>
      </c>
      <c r="F130" s="289">
        <f>+K0kommunestruktur2021altern!F130</f>
        <v>25335</v>
      </c>
      <c r="G130" s="289">
        <f>+K0kommunestruktur2021altern!G130</f>
        <v>1074</v>
      </c>
      <c r="H130" s="289">
        <f>+K0kommunestruktur2021altern!H130</f>
        <v>27039</v>
      </c>
      <c r="I130" s="289">
        <f>+K0kommunestruktur2021altern!I130</f>
        <v>1081</v>
      </c>
      <c r="J130" s="289">
        <f>+K0kommunestruktur2021altern!J130</f>
        <v>30416</v>
      </c>
      <c r="K130" s="289">
        <f>+K0kommunestruktur2021altern!K130</f>
        <v>1069</v>
      </c>
      <c r="L130" s="289">
        <f>+K0kommunestruktur2021altern!L130</f>
        <v>31909</v>
      </c>
      <c r="M130" s="289">
        <f>+K0kommunestruktur2021altern!M130</f>
        <v>1052</v>
      </c>
      <c r="N130" s="289">
        <f>+K0kommunestruktur2021altern!N130</f>
        <v>33020</v>
      </c>
      <c r="O130" s="289">
        <f>+K0kommunestruktur2021altern!O130</f>
        <v>1050</v>
      </c>
      <c r="P130" s="289">
        <f>+K0kommunestruktur2021altern!P130</f>
        <v>33281</v>
      </c>
      <c r="Q130" s="289">
        <f>+K0kommunestruktur2021altern!Q130</f>
        <v>1049</v>
      </c>
      <c r="R130" s="289">
        <f>+K0kommunestruktur2021altern!R130</f>
        <v>42241.775000000001</v>
      </c>
      <c r="S130" s="289">
        <f>VLOOKUP(A130,'K22'!A130:CU485,3)</f>
        <v>1057</v>
      </c>
      <c r="T130" s="289">
        <f>VLOOKUP(A130,'K22'!$A$4:$BV$359,26)</f>
        <v>43735.281434610966</v>
      </c>
      <c r="U130" s="289">
        <f>VLOOKUP(A130,'Bef.fremskr. kommunenivå MMMM'!$A$5:$K$360,8)</f>
        <v>1071</v>
      </c>
      <c r="V130" s="289">
        <f>VLOOKUP(A130,'K23'!$A$4:$BV$359,26)</f>
        <v>40558.741756694348</v>
      </c>
    </row>
    <row r="131" spans="1:22" ht="13">
      <c r="A131" s="755">
        <v>3040</v>
      </c>
      <c r="B131" s="756" t="s">
        <v>1966</v>
      </c>
      <c r="C131" s="289">
        <f>+K0kommunestruktur2021altern!C131</f>
        <v>3445</v>
      </c>
      <c r="D131" s="289">
        <f>+K0kommunestruktur2021altern!D131</f>
        <v>77187</v>
      </c>
      <c r="E131" s="289">
        <f>+K0kommunestruktur2021altern!E131</f>
        <v>3414</v>
      </c>
      <c r="F131" s="289">
        <f>+K0kommunestruktur2021altern!F131</f>
        <v>79354</v>
      </c>
      <c r="G131" s="289">
        <f>+K0kommunestruktur2021altern!G131</f>
        <v>3422</v>
      </c>
      <c r="H131" s="289">
        <f>+K0kommunestruktur2021altern!H131</f>
        <v>89949</v>
      </c>
      <c r="I131" s="289">
        <f>+K0kommunestruktur2021altern!I131</f>
        <v>3357</v>
      </c>
      <c r="J131" s="289">
        <f>+K0kommunestruktur2021altern!J131</f>
        <v>96441</v>
      </c>
      <c r="K131" s="289">
        <f>+K0kommunestruktur2021altern!K131</f>
        <v>3341</v>
      </c>
      <c r="L131" s="289">
        <f>+K0kommunestruktur2021altern!L131</f>
        <v>98315</v>
      </c>
      <c r="M131" s="289">
        <f>+K0kommunestruktur2021altern!M131</f>
        <v>3315</v>
      </c>
      <c r="N131" s="289">
        <f>+K0kommunestruktur2021altern!N131</f>
        <v>101815</v>
      </c>
      <c r="O131" s="289">
        <f>+K0kommunestruktur2021altern!O131</f>
        <v>3273</v>
      </c>
      <c r="P131" s="289">
        <f>+K0kommunestruktur2021altern!P131</f>
        <v>98036</v>
      </c>
      <c r="Q131" s="289">
        <f>+K0kommunestruktur2021altern!Q131</f>
        <v>3262</v>
      </c>
      <c r="R131" s="289">
        <f>+K0kommunestruktur2021altern!R131</f>
        <v>121501.198</v>
      </c>
      <c r="S131" s="289">
        <f>VLOOKUP(A131,'K22'!A131:CU486,3)</f>
        <v>3273</v>
      </c>
      <c r="T131" s="289">
        <f>VLOOKUP(A131,'K22'!$A$4:$BV$359,26)</f>
        <v>133323.47719757177</v>
      </c>
      <c r="U131" s="289">
        <f>VLOOKUP(A131,'Bef.fremskr. kommunenivå MMMM'!$A$5:$K$360,8)</f>
        <v>3282</v>
      </c>
      <c r="V131" s="289">
        <f>VLOOKUP(A131,'K23'!$A$4:$BV$359,26)</f>
        <v>117493.02787615545</v>
      </c>
    </row>
    <row r="132" spans="1:22" ht="13">
      <c r="A132" s="755">
        <v>3041</v>
      </c>
      <c r="B132" s="756" t="s">
        <v>876</v>
      </c>
      <c r="C132" s="289">
        <f>+K0kommunestruktur2021altern!C132</f>
        <v>4631</v>
      </c>
      <c r="D132" s="289">
        <f>+K0kommunestruktur2021altern!D132</f>
        <v>112440</v>
      </c>
      <c r="E132" s="289">
        <f>+K0kommunestruktur2021altern!E132</f>
        <v>4588</v>
      </c>
      <c r="F132" s="289">
        <f>+K0kommunestruktur2021altern!F132</f>
        <v>114168</v>
      </c>
      <c r="G132" s="289">
        <f>+K0kommunestruktur2021altern!G132</f>
        <v>4578</v>
      </c>
      <c r="H132" s="289">
        <f>+K0kommunestruktur2021altern!H132</f>
        <v>123586</v>
      </c>
      <c r="I132" s="289">
        <f>+K0kommunestruktur2021altern!I132</f>
        <v>4612</v>
      </c>
      <c r="J132" s="289">
        <f>+K0kommunestruktur2021altern!J132</f>
        <v>132260</v>
      </c>
      <c r="K132" s="289">
        <f>+K0kommunestruktur2021altern!K132</f>
        <v>4566</v>
      </c>
      <c r="L132" s="289">
        <f>+K0kommunestruktur2021altern!L132</f>
        <v>141637</v>
      </c>
      <c r="M132" s="289">
        <f>+K0kommunestruktur2021altern!M132</f>
        <v>4576</v>
      </c>
      <c r="N132" s="289">
        <f>+K0kommunestruktur2021altern!N132</f>
        <v>143094</v>
      </c>
      <c r="O132" s="289">
        <f>+K0kommunestruktur2021altern!O132</f>
        <v>4608</v>
      </c>
      <c r="P132" s="289">
        <f>+K0kommunestruktur2021altern!P132</f>
        <v>143937</v>
      </c>
      <c r="Q132" s="289">
        <f>+K0kommunestruktur2021altern!Q132</f>
        <v>4636</v>
      </c>
      <c r="R132" s="289">
        <f>+K0kommunestruktur2021altern!R132</f>
        <v>165340.489</v>
      </c>
      <c r="S132" s="289">
        <f>VLOOKUP(A132,'K22'!A132:CU487,3)</f>
        <v>4667</v>
      </c>
      <c r="T132" s="289">
        <f>VLOOKUP(A132,'K22'!$A$4:$BV$359,26)</f>
        <v>184555.09120522757</v>
      </c>
      <c r="U132" s="289">
        <f>VLOOKUP(A132,'Bef.fremskr. kommunenivå MMMM'!$A$5:$K$360,8)</f>
        <v>4750</v>
      </c>
      <c r="V132" s="289">
        <f>VLOOKUP(A132,'K23'!$A$4:$BV$359,26)</f>
        <v>170391.95224142383</v>
      </c>
    </row>
    <row r="133" spans="1:22" ht="13">
      <c r="A133" s="755">
        <v>3042</v>
      </c>
      <c r="B133" s="756" t="s">
        <v>877</v>
      </c>
      <c r="C133" s="289">
        <f>+K0kommunestruktur2021altern!C133</f>
        <v>2295</v>
      </c>
      <c r="D133" s="289">
        <f>+K0kommunestruktur2021altern!D133</f>
        <v>60492</v>
      </c>
      <c r="E133" s="289">
        <f>+K0kommunestruktur2021altern!E133</f>
        <v>2344</v>
      </c>
      <c r="F133" s="289">
        <f>+K0kommunestruktur2021altern!F133</f>
        <v>64349</v>
      </c>
      <c r="G133" s="289">
        <f>+K0kommunestruktur2021altern!G133</f>
        <v>2422</v>
      </c>
      <c r="H133" s="289">
        <f>+K0kommunestruktur2021altern!H133</f>
        <v>69719</v>
      </c>
      <c r="I133" s="289">
        <f>+K0kommunestruktur2021altern!I133</f>
        <v>2442</v>
      </c>
      <c r="J133" s="289">
        <f>+K0kommunestruktur2021altern!J133</f>
        <v>76758</v>
      </c>
      <c r="K133" s="289">
        <f>+K0kommunestruktur2021altern!K133</f>
        <v>2457</v>
      </c>
      <c r="L133" s="289">
        <f>+K0kommunestruktur2021altern!L133</f>
        <v>84916</v>
      </c>
      <c r="M133" s="289">
        <f>+K0kommunestruktur2021altern!M133</f>
        <v>2481</v>
      </c>
      <c r="N133" s="289">
        <f>+K0kommunestruktur2021altern!N133</f>
        <v>89794</v>
      </c>
      <c r="O133" s="289">
        <f>+K0kommunestruktur2021altern!O133</f>
        <v>2486</v>
      </c>
      <c r="P133" s="289">
        <f>+K0kommunestruktur2021altern!P133</f>
        <v>97800</v>
      </c>
      <c r="Q133" s="289">
        <f>+K0kommunestruktur2021altern!Q133</f>
        <v>2546</v>
      </c>
      <c r="R133" s="289">
        <f>+K0kommunestruktur2021altern!R133</f>
        <v>109594.95699999999</v>
      </c>
      <c r="S133" s="289">
        <f>VLOOKUP(A133,'K22'!A133:CU488,3)</f>
        <v>2611</v>
      </c>
      <c r="T133" s="289">
        <f>VLOOKUP(A133,'K22'!$A$4:$BV$359,26)</f>
        <v>127541.16170846933</v>
      </c>
      <c r="U133" s="289">
        <f>VLOOKUP(A133,'Bef.fremskr. kommunenivå MMMM'!$A$5:$K$360,8)</f>
        <v>2720</v>
      </c>
      <c r="V133" s="289">
        <f>VLOOKUP(A133,'K23'!$A$4:$BV$359,26)</f>
        <v>117736.21055028772</v>
      </c>
    </row>
    <row r="134" spans="1:22" ht="13">
      <c r="A134" s="755">
        <v>3043</v>
      </c>
      <c r="B134" s="756" t="s">
        <v>878</v>
      </c>
      <c r="C134" s="289">
        <f>+K0kommunestruktur2021altern!C134</f>
        <v>4713</v>
      </c>
      <c r="D134" s="289">
        <f>+K0kommunestruktur2021altern!D134</f>
        <v>112935</v>
      </c>
      <c r="E134" s="289">
        <f>+K0kommunestruktur2021altern!E134</f>
        <v>4716</v>
      </c>
      <c r="F134" s="289">
        <f>+K0kommunestruktur2021altern!F134</f>
        <v>119963</v>
      </c>
      <c r="G134" s="289">
        <f>+K0kommunestruktur2021altern!G134</f>
        <v>4711</v>
      </c>
      <c r="H134" s="289">
        <f>+K0kommunestruktur2021altern!H134</f>
        <v>129347</v>
      </c>
      <c r="I134" s="289">
        <f>+K0kommunestruktur2021altern!I134</f>
        <v>4719</v>
      </c>
      <c r="J134" s="289">
        <f>+K0kommunestruktur2021altern!J134</f>
        <v>138427</v>
      </c>
      <c r="K134" s="289">
        <f>+K0kommunestruktur2021altern!K134</f>
        <v>4626</v>
      </c>
      <c r="L134" s="289">
        <f>+K0kommunestruktur2021altern!L134</f>
        <v>141581</v>
      </c>
      <c r="M134" s="289">
        <f>+K0kommunestruktur2021altern!M134</f>
        <v>4671</v>
      </c>
      <c r="N134" s="289">
        <f>+K0kommunestruktur2021altern!N134</f>
        <v>146024</v>
      </c>
      <c r="O134" s="289">
        <f>+K0kommunestruktur2021altern!O134</f>
        <v>4674</v>
      </c>
      <c r="P134" s="289">
        <f>+K0kommunestruktur2021altern!P134</f>
        <v>145042</v>
      </c>
      <c r="Q134" s="289">
        <f>+K0kommunestruktur2021altern!Q134</f>
        <v>4648</v>
      </c>
      <c r="R134" s="289">
        <f>+K0kommunestruktur2021altern!R134</f>
        <v>161228.834</v>
      </c>
      <c r="S134" s="289">
        <f>VLOOKUP(A134,'K22'!A134:CU489,3)</f>
        <v>4650</v>
      </c>
      <c r="T134" s="289">
        <f>VLOOKUP(A134,'K22'!$A$4:$BV$359,26)</f>
        <v>178692.36400629857</v>
      </c>
      <c r="U134" s="289">
        <f>VLOOKUP(A134,'Bef.fremskr. kommunenivå MMMM'!$A$5:$K$360,8)</f>
        <v>4680</v>
      </c>
      <c r="V134" s="289">
        <f>VLOOKUP(A134,'K23'!$A$4:$BV$359,26)</f>
        <v>165653.20790114882</v>
      </c>
    </row>
    <row r="135" spans="1:22" ht="13">
      <c r="A135" s="755">
        <v>3044</v>
      </c>
      <c r="B135" s="756" t="s">
        <v>880</v>
      </c>
      <c r="C135" s="289">
        <f>+K0kommunestruktur2021altern!C135</f>
        <v>4452</v>
      </c>
      <c r="D135" s="289">
        <f>+K0kommunestruktur2021altern!D135</f>
        <v>141469</v>
      </c>
      <c r="E135" s="289">
        <f>+K0kommunestruktur2021altern!E135</f>
        <v>4471</v>
      </c>
      <c r="F135" s="289">
        <f>+K0kommunestruktur2021altern!F135</f>
        <v>150303</v>
      </c>
      <c r="G135" s="289">
        <f>+K0kommunestruktur2021altern!G135</f>
        <v>4497</v>
      </c>
      <c r="H135" s="289">
        <f>+K0kommunestruktur2021altern!H135</f>
        <v>163835</v>
      </c>
      <c r="I135" s="289">
        <f>+K0kommunestruktur2021altern!I135</f>
        <v>4535</v>
      </c>
      <c r="J135" s="289">
        <f>+K0kommunestruktur2021altern!J135</f>
        <v>174624</v>
      </c>
      <c r="K135" s="289">
        <f>+K0kommunestruktur2021altern!K135</f>
        <v>4520</v>
      </c>
      <c r="L135" s="289">
        <f>+K0kommunestruktur2021altern!L135</f>
        <v>178343</v>
      </c>
      <c r="M135" s="289">
        <f>+K0kommunestruktur2021altern!M135</f>
        <v>4473</v>
      </c>
      <c r="N135" s="289">
        <f>+K0kommunestruktur2021altern!N135</f>
        <v>199023</v>
      </c>
      <c r="O135" s="289">
        <f>+K0kommunestruktur2021altern!O135</f>
        <v>4441</v>
      </c>
      <c r="P135" s="289">
        <f>+K0kommunestruktur2021altern!P135</f>
        <v>194493</v>
      </c>
      <c r="Q135" s="289">
        <f>+K0kommunestruktur2021altern!Q135</f>
        <v>4434</v>
      </c>
      <c r="R135" s="289">
        <f>+K0kommunestruktur2021altern!R135</f>
        <v>218809.16</v>
      </c>
      <c r="S135" s="289">
        <f>VLOOKUP(A135,'K22'!A135:CU490,3)</f>
        <v>4504</v>
      </c>
      <c r="T135" s="289">
        <f>VLOOKUP(A135,'K22'!$A$4:$BV$359,26)</f>
        <v>242626.53683748117</v>
      </c>
      <c r="U135" s="289">
        <f>VLOOKUP(A135,'Bef.fremskr. kommunenivå MMMM'!$A$5:$K$360,8)</f>
        <v>4579</v>
      </c>
      <c r="V135" s="289">
        <f>VLOOKUP(A135,'K23'!$A$4:$BV$359,26)</f>
        <v>228577.79447540021</v>
      </c>
    </row>
    <row r="136" spans="1:22" ht="13">
      <c r="A136" s="755">
        <v>3045</v>
      </c>
      <c r="B136" s="756" t="s">
        <v>881</v>
      </c>
      <c r="C136" s="289">
        <f>+K0kommunestruktur2021altern!C136</f>
        <v>3509</v>
      </c>
      <c r="D136" s="289">
        <f>+K0kommunestruktur2021altern!D136</f>
        <v>84796</v>
      </c>
      <c r="E136" s="289">
        <f>+K0kommunestruktur2021altern!E136</f>
        <v>3520</v>
      </c>
      <c r="F136" s="289">
        <f>+K0kommunestruktur2021altern!F136</f>
        <v>87162</v>
      </c>
      <c r="G136" s="289">
        <f>+K0kommunestruktur2021altern!G136</f>
        <v>3512</v>
      </c>
      <c r="H136" s="289">
        <f>+K0kommunestruktur2021altern!H136</f>
        <v>106580</v>
      </c>
      <c r="I136" s="289">
        <f>+K0kommunestruktur2021altern!I136</f>
        <v>3502</v>
      </c>
      <c r="J136" s="289">
        <f>+K0kommunestruktur2021altern!J136</f>
        <v>102587</v>
      </c>
      <c r="K136" s="289">
        <f>+K0kommunestruktur2021altern!K136</f>
        <v>3488</v>
      </c>
      <c r="L136" s="289">
        <f>+K0kommunestruktur2021altern!L136</f>
        <v>98498</v>
      </c>
      <c r="M136" s="289">
        <f>+K0kommunestruktur2021altern!M136</f>
        <v>3490</v>
      </c>
      <c r="N136" s="289">
        <f>+K0kommunestruktur2021altern!N136</f>
        <v>106548</v>
      </c>
      <c r="O136" s="289">
        <f>+K0kommunestruktur2021altern!O136</f>
        <v>3467</v>
      </c>
      <c r="P136" s="289">
        <f>+K0kommunestruktur2021altern!P136</f>
        <v>105568</v>
      </c>
      <c r="Q136" s="289">
        <f>+K0kommunestruktur2021altern!Q136</f>
        <v>3465</v>
      </c>
      <c r="R136" s="289">
        <f>+K0kommunestruktur2021altern!R136</f>
        <v>116506.826</v>
      </c>
      <c r="S136" s="289">
        <f>VLOOKUP(A136,'K22'!A136:CU491,3)</f>
        <v>3492</v>
      </c>
      <c r="T136" s="289">
        <f>VLOOKUP(A136,'K22'!$A$4:$BV$359,26)</f>
        <v>132576.01989378865</v>
      </c>
      <c r="U136" s="289">
        <f>VLOOKUP(A136,'Bef.fremskr. kommunenivå MMMM'!$A$5:$K$360,8)</f>
        <v>3492</v>
      </c>
      <c r="V136" s="289">
        <f>VLOOKUP(A136,'K23'!$A$4:$BV$359,26)</f>
        <v>121614.80370255213</v>
      </c>
    </row>
    <row r="137" spans="1:22" ht="13">
      <c r="A137" s="755">
        <v>3046</v>
      </c>
      <c r="B137" s="756" t="s">
        <v>882</v>
      </c>
      <c r="C137" s="289">
        <f>+K0kommunestruktur2021altern!C137</f>
        <v>2265</v>
      </c>
      <c r="D137" s="289">
        <f>+K0kommunestruktur2021altern!D137</f>
        <v>56801</v>
      </c>
      <c r="E137" s="289">
        <f>+K0kommunestruktur2021altern!E137</f>
        <v>2268</v>
      </c>
      <c r="F137" s="289">
        <f>+K0kommunestruktur2021altern!F137</f>
        <v>62344</v>
      </c>
      <c r="G137" s="289">
        <f>+K0kommunestruktur2021altern!G137</f>
        <v>2275</v>
      </c>
      <c r="H137" s="289">
        <f>+K0kommunestruktur2021altern!H137</f>
        <v>67497</v>
      </c>
      <c r="I137" s="289">
        <f>+K0kommunestruktur2021altern!I137</f>
        <v>2257</v>
      </c>
      <c r="J137" s="289">
        <f>+K0kommunestruktur2021altern!J137</f>
        <v>71317</v>
      </c>
      <c r="K137" s="289">
        <f>+K0kommunestruktur2021altern!K137</f>
        <v>2277</v>
      </c>
      <c r="L137" s="289">
        <f>+K0kommunestruktur2021altern!L137</f>
        <v>72970</v>
      </c>
      <c r="M137" s="289">
        <f>+K0kommunestruktur2021altern!M137</f>
        <v>2239</v>
      </c>
      <c r="N137" s="289">
        <f>+K0kommunestruktur2021altern!N137</f>
        <v>75843</v>
      </c>
      <c r="O137" s="289">
        <f>+K0kommunestruktur2021altern!O137</f>
        <v>2212</v>
      </c>
      <c r="P137" s="289">
        <f>+K0kommunestruktur2021altern!P137</f>
        <v>74912</v>
      </c>
      <c r="Q137" s="289">
        <f>+K0kommunestruktur2021altern!Q137</f>
        <v>2219</v>
      </c>
      <c r="R137" s="289">
        <f>+K0kommunestruktur2021altern!R137</f>
        <v>88252.178</v>
      </c>
      <c r="S137" s="289">
        <f>VLOOKUP(A137,'K22'!A137:CU492,3)</f>
        <v>2189</v>
      </c>
      <c r="T137" s="289">
        <f>VLOOKUP(A137,'K22'!$A$4:$BV$359,26)</f>
        <v>104923.83663185035</v>
      </c>
      <c r="U137" s="289">
        <f>VLOOKUP(A137,'Bef.fremskr. kommunenivå MMMM'!$A$5:$K$360,8)</f>
        <v>2191</v>
      </c>
      <c r="V137" s="289">
        <f>VLOOKUP(A137,'K23'!$A$4:$BV$359,26)</f>
        <v>86520.767578955594</v>
      </c>
    </row>
    <row r="138" spans="1:22" ht="13">
      <c r="A138" s="755">
        <v>3047</v>
      </c>
      <c r="B138" s="756" t="s">
        <v>883</v>
      </c>
      <c r="C138" s="289">
        <f>+K0kommunestruktur2021altern!C138</f>
        <v>13581</v>
      </c>
      <c r="D138" s="289">
        <f>+K0kommunestruktur2021altern!D138</f>
        <v>292072</v>
      </c>
      <c r="E138" s="289">
        <f>+K0kommunestruktur2021altern!E138</f>
        <v>13685</v>
      </c>
      <c r="F138" s="289">
        <f>+K0kommunestruktur2021altern!F138</f>
        <v>305637</v>
      </c>
      <c r="G138" s="289">
        <f>+K0kommunestruktur2021altern!G138</f>
        <v>13794</v>
      </c>
      <c r="H138" s="289">
        <f>+K0kommunestruktur2021altern!H138</f>
        <v>341123</v>
      </c>
      <c r="I138" s="289">
        <f>+K0kommunestruktur2021altern!I138</f>
        <v>13786</v>
      </c>
      <c r="J138" s="289">
        <f>+K0kommunestruktur2021altern!J138</f>
        <v>349911</v>
      </c>
      <c r="K138" s="289">
        <f>+K0kommunestruktur2021altern!K138</f>
        <v>13880</v>
      </c>
      <c r="L138" s="289">
        <f>+K0kommunestruktur2021altern!L138</f>
        <v>373875</v>
      </c>
      <c r="M138" s="289">
        <f>+K0kommunestruktur2021altern!M138</f>
        <v>13980</v>
      </c>
      <c r="N138" s="289">
        <f>+K0kommunestruktur2021altern!N138</f>
        <v>389481</v>
      </c>
      <c r="O138" s="289">
        <f>+K0kommunestruktur2021altern!O138</f>
        <v>14115</v>
      </c>
      <c r="P138" s="289">
        <f>+K0kommunestruktur2021altern!P138</f>
        <v>366401</v>
      </c>
      <c r="Q138" s="289">
        <f>+K0kommunestruktur2021altern!Q138</f>
        <v>14166</v>
      </c>
      <c r="R138" s="289">
        <f>+K0kommunestruktur2021altern!R138</f>
        <v>415657.6</v>
      </c>
      <c r="S138" s="289">
        <f>VLOOKUP(A138,'K22'!A138:CU493,3)</f>
        <v>14273</v>
      </c>
      <c r="T138" s="289">
        <f>VLOOKUP(A138,'K22'!$A$4:$BV$359,26)</f>
        <v>475331.06545815535</v>
      </c>
      <c r="U138" s="289">
        <f>VLOOKUP(A138,'Bef.fremskr. kommunenivå MMMM'!$A$5:$K$360,8)</f>
        <v>14414</v>
      </c>
      <c r="V138" s="289">
        <f>VLOOKUP(A138,'K23'!$A$4:$BV$359,26)</f>
        <v>439612.42788878671</v>
      </c>
    </row>
    <row r="139" spans="1:22" ht="13">
      <c r="A139" s="889">
        <v>3048</v>
      </c>
      <c r="B139" s="890" t="s">
        <v>884</v>
      </c>
      <c r="C139" s="289">
        <f>+C383+C384</f>
        <v>17952.19466125</v>
      </c>
      <c r="D139" s="289">
        <f t="shared" ref="D139:R139" si="1">+D383+D384</f>
        <v>404937.56103050424</v>
      </c>
      <c r="E139" s="289">
        <f t="shared" si="1"/>
        <v>18072.595313130001</v>
      </c>
      <c r="F139" s="289">
        <f t="shared" si="1"/>
        <v>437100.99840959231</v>
      </c>
      <c r="G139" s="289">
        <f t="shared" si="1"/>
        <v>18238.993559719998</v>
      </c>
      <c r="H139" s="289">
        <f t="shared" si="1"/>
        <v>476383.41818579787</v>
      </c>
      <c r="I139" s="289">
        <f t="shared" si="1"/>
        <v>18596.26982397</v>
      </c>
      <c r="J139" s="289">
        <f t="shared" si="1"/>
        <v>513048.99130163586</v>
      </c>
      <c r="K139" s="289">
        <f t="shared" si="1"/>
        <v>18960.464995729999</v>
      </c>
      <c r="L139" s="289">
        <f t="shared" si="1"/>
        <v>526025.26888151036</v>
      </c>
      <c r="M139" s="289">
        <f t="shared" si="1"/>
        <v>19151.560863549999</v>
      </c>
      <c r="N139" s="289">
        <f t="shared" si="1"/>
        <v>557006.15899439435</v>
      </c>
      <c r="O139" s="289">
        <f t="shared" si="1"/>
        <v>19457.837471409999</v>
      </c>
      <c r="P139" s="289">
        <f t="shared" si="1"/>
        <v>574838.01543320029</v>
      </c>
      <c r="Q139" s="289">
        <f t="shared" si="1"/>
        <v>19744</v>
      </c>
      <c r="R139" s="289">
        <f t="shared" si="1"/>
        <v>656598.77438806591</v>
      </c>
      <c r="S139" s="289">
        <f>VLOOKUP(A139,'K22'!A139:CU494,3)</f>
        <v>20044</v>
      </c>
      <c r="T139" s="289">
        <f>VLOOKUP(A139,'K22'!$A$4:$BV$359,26)</f>
        <v>765314.91880260804</v>
      </c>
      <c r="U139" s="289">
        <f>VLOOKUP(A139,'Bef.fremskr. kommunenivå MMMM'!$A$5:$K$360,8)</f>
        <v>20321</v>
      </c>
      <c r="V139" s="289">
        <f>VLOOKUP(A139,'K23'!$A$4:$BV$359,26)</f>
        <v>686808.33139062859</v>
      </c>
    </row>
    <row r="140" spans="1:22" ht="13">
      <c r="A140" s="755">
        <v>3049</v>
      </c>
      <c r="B140" s="756" t="s">
        <v>886</v>
      </c>
      <c r="C140" s="289">
        <f>+K0kommunestruktur2021altern!C140</f>
        <v>25175</v>
      </c>
      <c r="D140" s="289">
        <f>+K0kommunestruktur2021altern!D140</f>
        <v>692154</v>
      </c>
      <c r="E140" s="289">
        <f>+K0kommunestruktur2021altern!E140</f>
        <v>25378</v>
      </c>
      <c r="F140" s="289">
        <f>+K0kommunestruktur2021altern!F140</f>
        <v>737381</v>
      </c>
      <c r="G140" s="289">
        <f>+K0kommunestruktur2021altern!G140</f>
        <v>25731</v>
      </c>
      <c r="H140" s="289">
        <f>+K0kommunestruktur2021altern!H140</f>
        <v>817486</v>
      </c>
      <c r="I140" s="289">
        <f>+K0kommunestruktur2021altern!I140</f>
        <v>25740</v>
      </c>
      <c r="J140" s="289">
        <f>+K0kommunestruktur2021altern!J140</f>
        <v>854427</v>
      </c>
      <c r="K140" s="289">
        <f>+K0kommunestruktur2021altern!K140</f>
        <v>25980</v>
      </c>
      <c r="L140" s="289">
        <f>+K0kommunestruktur2021altern!L140</f>
        <v>880691</v>
      </c>
      <c r="M140" s="289">
        <f>+K0kommunestruktur2021altern!M140</f>
        <v>26373</v>
      </c>
      <c r="N140" s="289">
        <f>+K0kommunestruktur2021altern!N140</f>
        <v>925263</v>
      </c>
      <c r="O140" s="289">
        <f>+K0kommunestruktur2021altern!O140</f>
        <v>26811</v>
      </c>
      <c r="P140" s="289">
        <f>+K0kommunestruktur2021altern!P140</f>
        <v>941550</v>
      </c>
      <c r="Q140" s="289">
        <f>+K0kommunestruktur2021altern!Q140</f>
        <v>27118</v>
      </c>
      <c r="R140" s="289">
        <f>+K0kommunestruktur2021altern!R140</f>
        <v>1090866.5589999999</v>
      </c>
      <c r="S140" s="289">
        <f>VLOOKUP(A140,'K22'!A140:CU495,3)</f>
        <v>27584</v>
      </c>
      <c r="T140" s="289">
        <f>VLOOKUP(A140,'K22'!$A$4:$BV$359,26)</f>
        <v>1241478.2032461769</v>
      </c>
      <c r="U140" s="289">
        <f>VLOOKUP(A140,'Bef.fremskr. kommunenivå MMMM'!$A$5:$K$360,8)</f>
        <v>28121</v>
      </c>
      <c r="V140" s="289">
        <f>VLOOKUP(A140,'K23'!$A$4:$BV$359,26)</f>
        <v>1142065.1700893526</v>
      </c>
    </row>
    <row r="141" spans="1:22" ht="13">
      <c r="A141" s="755">
        <v>3050</v>
      </c>
      <c r="B141" s="756" t="s">
        <v>889</v>
      </c>
      <c r="C141" s="289">
        <f>+K0kommunestruktur2021altern!C141</f>
        <v>2683</v>
      </c>
      <c r="D141" s="289">
        <f>+K0kommunestruktur2021altern!D141</f>
        <v>61223</v>
      </c>
      <c r="E141" s="289">
        <f>+K0kommunestruktur2021altern!E141</f>
        <v>2671</v>
      </c>
      <c r="F141" s="289">
        <f>+K0kommunestruktur2021altern!F141</f>
        <v>64103</v>
      </c>
      <c r="G141" s="289">
        <f>+K0kommunestruktur2021altern!G141</f>
        <v>2699</v>
      </c>
      <c r="H141" s="289">
        <f>+K0kommunestruktur2021altern!H141</f>
        <v>70327</v>
      </c>
      <c r="I141" s="289">
        <f>+K0kommunestruktur2021altern!I141</f>
        <v>2696</v>
      </c>
      <c r="J141" s="289">
        <f>+K0kommunestruktur2021altern!J141</f>
        <v>71305</v>
      </c>
      <c r="K141" s="289">
        <f>+K0kommunestruktur2021altern!K141</f>
        <v>2688</v>
      </c>
      <c r="L141" s="289">
        <f>+K0kommunestruktur2021altern!L141</f>
        <v>75809</v>
      </c>
      <c r="M141" s="289">
        <f>+K0kommunestruktur2021altern!M141</f>
        <v>2694</v>
      </c>
      <c r="N141" s="289">
        <f>+K0kommunestruktur2021altern!N141</f>
        <v>84542</v>
      </c>
      <c r="O141" s="289">
        <f>+K0kommunestruktur2021altern!O141</f>
        <v>2688</v>
      </c>
      <c r="P141" s="289">
        <f>+K0kommunestruktur2021altern!P141</f>
        <v>83208</v>
      </c>
      <c r="Q141" s="289">
        <f>+K0kommunestruktur2021altern!Q141</f>
        <v>2713</v>
      </c>
      <c r="R141" s="289">
        <f>+K0kommunestruktur2021altern!R141</f>
        <v>93630.758000000002</v>
      </c>
      <c r="S141" s="289">
        <f>VLOOKUP(A141,'K22'!A141:CU496,3)</f>
        <v>2720</v>
      </c>
      <c r="T141" s="289">
        <f>VLOOKUP(A141,'K22'!$A$4:$BV$359,26)</f>
        <v>102696.75152325412</v>
      </c>
      <c r="U141" s="289">
        <f>VLOOKUP(A141,'Bef.fremskr. kommunenivå MMMM'!$A$5:$K$360,8)</f>
        <v>2732</v>
      </c>
      <c r="V141" s="289">
        <f>VLOOKUP(A141,'K23'!$A$4:$BV$359,26)</f>
        <v>97240.194505253865</v>
      </c>
    </row>
    <row r="142" spans="1:22" ht="13">
      <c r="A142" s="755">
        <v>3051</v>
      </c>
      <c r="B142" s="756" t="s">
        <v>890</v>
      </c>
      <c r="C142" s="289">
        <f>+K0kommunestruktur2021altern!C142</f>
        <v>1369</v>
      </c>
      <c r="D142" s="289">
        <f>+K0kommunestruktur2021altern!D142</f>
        <v>33041</v>
      </c>
      <c r="E142" s="289">
        <f>+K0kommunestruktur2021altern!E142</f>
        <v>1375</v>
      </c>
      <c r="F142" s="289">
        <f>+K0kommunestruktur2021altern!F142</f>
        <v>33997</v>
      </c>
      <c r="G142" s="289">
        <f>+K0kommunestruktur2021altern!G142</f>
        <v>1404</v>
      </c>
      <c r="H142" s="289">
        <f>+K0kommunestruktur2021altern!H142</f>
        <v>35626</v>
      </c>
      <c r="I142" s="289">
        <f>+K0kommunestruktur2021altern!I142</f>
        <v>1399</v>
      </c>
      <c r="J142" s="289">
        <f>+K0kommunestruktur2021altern!J142</f>
        <v>38046</v>
      </c>
      <c r="K142" s="289">
        <f>+K0kommunestruktur2021altern!K142</f>
        <v>1411</v>
      </c>
      <c r="L142" s="289">
        <f>+K0kommunestruktur2021altern!L142</f>
        <v>41136</v>
      </c>
      <c r="M142" s="289">
        <f>+K0kommunestruktur2021altern!M142</f>
        <v>1419</v>
      </c>
      <c r="N142" s="289">
        <f>+K0kommunestruktur2021altern!N142</f>
        <v>41486</v>
      </c>
      <c r="O142" s="289">
        <f>+K0kommunestruktur2021altern!O142</f>
        <v>1390</v>
      </c>
      <c r="P142" s="289">
        <f>+K0kommunestruktur2021altern!P142</f>
        <v>39387</v>
      </c>
      <c r="Q142" s="289">
        <f>+K0kommunestruktur2021altern!Q142</f>
        <v>1386</v>
      </c>
      <c r="R142" s="289">
        <f>+K0kommunestruktur2021altern!R142</f>
        <v>47778.777999999998</v>
      </c>
      <c r="S142" s="289">
        <f>VLOOKUP(A142,'K22'!A142:CU497,3)</f>
        <v>1370</v>
      </c>
      <c r="T142" s="289">
        <f>VLOOKUP(A142,'K22'!$A$4:$BV$359,26)</f>
        <v>48448.340186282941</v>
      </c>
      <c r="U142" s="289">
        <f>VLOOKUP(A142,'Bef.fremskr. kommunenivå MMMM'!$A$5:$K$360,8)</f>
        <v>1350</v>
      </c>
      <c r="V142" s="289">
        <f>VLOOKUP(A142,'K23'!$A$4:$BV$359,26)</f>
        <v>45377.362530589162</v>
      </c>
    </row>
    <row r="143" spans="1:22" ht="13">
      <c r="A143" s="755">
        <v>3052</v>
      </c>
      <c r="B143" s="756" t="s">
        <v>891</v>
      </c>
      <c r="C143" s="289">
        <f>+K0kommunestruktur2021altern!C143</f>
        <v>2557</v>
      </c>
      <c r="D143" s="289">
        <f>+K0kommunestruktur2021altern!D143</f>
        <v>75781</v>
      </c>
      <c r="E143" s="289">
        <f>+K0kommunestruktur2021altern!E143</f>
        <v>2541</v>
      </c>
      <c r="F143" s="289">
        <f>+K0kommunestruktur2021altern!F143</f>
        <v>79807</v>
      </c>
      <c r="G143" s="289">
        <f>+K0kommunestruktur2021altern!G143</f>
        <v>2548</v>
      </c>
      <c r="H143" s="289">
        <f>+K0kommunestruktur2021altern!H143</f>
        <v>82403</v>
      </c>
      <c r="I143" s="289">
        <f>+K0kommunestruktur2021altern!I143</f>
        <v>2530</v>
      </c>
      <c r="J143" s="289">
        <f>+K0kommunestruktur2021altern!J143</f>
        <v>86626</v>
      </c>
      <c r="K143" s="289">
        <f>+K0kommunestruktur2021altern!K143</f>
        <v>2482</v>
      </c>
      <c r="L143" s="289">
        <f>+K0kommunestruktur2021altern!L143</f>
        <v>90032</v>
      </c>
      <c r="M143" s="289">
        <f>+K0kommunestruktur2021altern!M143</f>
        <v>2448</v>
      </c>
      <c r="N143" s="289">
        <f>+K0kommunestruktur2021altern!N143</f>
        <v>93992</v>
      </c>
      <c r="O143" s="289">
        <f>+K0kommunestruktur2021altern!O143</f>
        <v>2439</v>
      </c>
      <c r="P143" s="289">
        <f>+K0kommunestruktur2021altern!P143</f>
        <v>89296</v>
      </c>
      <c r="Q143" s="289">
        <f>+K0kommunestruktur2021altern!Q143</f>
        <v>2412</v>
      </c>
      <c r="R143" s="289">
        <f>+K0kommunestruktur2021altern!R143</f>
        <v>101777.68700000001</v>
      </c>
      <c r="S143" s="289">
        <f>VLOOKUP(A143,'K22'!A143:CU498,3)</f>
        <v>2455</v>
      </c>
      <c r="T143" s="289">
        <f>VLOOKUP(A143,'K22'!$A$4:$BV$359,26)</f>
        <v>108552.11834998631</v>
      </c>
      <c r="U143" s="289">
        <f>VLOOKUP(A143,'Bef.fremskr. kommunenivå MMMM'!$A$5:$K$360,8)</f>
        <v>2468</v>
      </c>
      <c r="V143" s="289">
        <f>VLOOKUP(A143,'K23'!$A$4:$BV$359,26)</f>
        <v>103467.60005730047</v>
      </c>
    </row>
    <row r="144" spans="1:22" ht="13">
      <c r="A144" s="755">
        <v>3053</v>
      </c>
      <c r="B144" s="756" t="s">
        <v>860</v>
      </c>
      <c r="C144" s="289">
        <f>+K0kommunestruktur2021altern!C144</f>
        <v>6516</v>
      </c>
      <c r="D144" s="289">
        <f>+K0kommunestruktur2021altern!D144</f>
        <v>126182</v>
      </c>
      <c r="E144" s="289">
        <f>+K0kommunestruktur2021altern!E144</f>
        <v>6599</v>
      </c>
      <c r="F144" s="289">
        <f>+K0kommunestruktur2021altern!F144</f>
        <v>133870</v>
      </c>
      <c r="G144" s="289">
        <f>+K0kommunestruktur2021altern!G144</f>
        <v>6629</v>
      </c>
      <c r="H144" s="289">
        <f>+K0kommunestruktur2021altern!H144</f>
        <v>147737</v>
      </c>
      <c r="I144" s="289">
        <f>+K0kommunestruktur2021altern!I144</f>
        <v>6696</v>
      </c>
      <c r="J144" s="289">
        <f>+K0kommunestruktur2021altern!J144</f>
        <v>157513</v>
      </c>
      <c r="K144" s="289">
        <f>+K0kommunestruktur2021altern!K144</f>
        <v>6777</v>
      </c>
      <c r="L144" s="289">
        <f>+K0kommunestruktur2021altern!L144</f>
        <v>167525</v>
      </c>
      <c r="M144" s="289">
        <f>+K0kommunestruktur2021altern!M144</f>
        <v>6846</v>
      </c>
      <c r="N144" s="289">
        <f>+K0kommunestruktur2021altern!N144</f>
        <v>172526</v>
      </c>
      <c r="O144" s="289">
        <f>+K0kommunestruktur2021altern!O144</f>
        <v>6852</v>
      </c>
      <c r="P144" s="289">
        <f>+K0kommunestruktur2021altern!P144</f>
        <v>178269</v>
      </c>
      <c r="Q144" s="289">
        <f>+K0kommunestruktur2021altern!Q144</f>
        <v>6867</v>
      </c>
      <c r="R144" s="289">
        <f>+K0kommunestruktur2021altern!R144</f>
        <v>209679.27900000001</v>
      </c>
      <c r="S144" s="289">
        <f>VLOOKUP(A144,'K22'!A144:CU499,3)</f>
        <v>6908</v>
      </c>
      <c r="T144" s="289">
        <f>VLOOKUP(A144,'K22'!$A$4:$BV$359,26)</f>
        <v>226119.03675411158</v>
      </c>
      <c r="U144" s="289">
        <f>VLOOKUP(A144,'Bef.fremskr. kommunenivå MMMM'!$A$5:$K$360,8)</f>
        <v>6965</v>
      </c>
      <c r="V144" s="289">
        <f>VLOOKUP(A144,'K23'!$A$4:$BV$359,26)</f>
        <v>209137.56445793316</v>
      </c>
    </row>
    <row r="145" spans="1:22" ht="13">
      <c r="A145" s="755">
        <v>3054</v>
      </c>
      <c r="B145" s="965" t="s">
        <v>861</v>
      </c>
      <c r="C145" s="289">
        <f>+K0kommunestruktur2021altern!C145</f>
        <v>8952</v>
      </c>
      <c r="D145" s="289">
        <f>+K0kommunestruktur2021altern!D145</f>
        <v>195426</v>
      </c>
      <c r="E145" s="289">
        <f>+K0kommunestruktur2021altern!E145</f>
        <v>9003</v>
      </c>
      <c r="F145" s="289">
        <f>+K0kommunestruktur2021altern!F145</f>
        <v>209542</v>
      </c>
      <c r="G145" s="289">
        <f>+K0kommunestruktur2021altern!G145</f>
        <v>9044</v>
      </c>
      <c r="H145" s="289">
        <f>+K0kommunestruktur2021altern!H145</f>
        <v>229314</v>
      </c>
      <c r="I145" s="289">
        <f>+K0kommunestruktur2021altern!I145</f>
        <v>9080</v>
      </c>
      <c r="J145" s="289">
        <f>+K0kommunestruktur2021altern!J145</f>
        <v>238287</v>
      </c>
      <c r="K145" s="289">
        <f>+K0kommunestruktur2021altern!K145</f>
        <v>9065</v>
      </c>
      <c r="L145" s="289">
        <f>+K0kommunestruktur2021altern!L145</f>
        <v>250417</v>
      </c>
      <c r="M145" s="289">
        <f>+K0kommunestruktur2021altern!M145</f>
        <v>9051</v>
      </c>
      <c r="N145" s="289">
        <f>+K0kommunestruktur2021altern!N145</f>
        <v>253205</v>
      </c>
      <c r="O145" s="289">
        <f>+K0kommunestruktur2021altern!O145</f>
        <v>9048</v>
      </c>
      <c r="P145" s="289">
        <f>+K0kommunestruktur2021altern!P145</f>
        <v>244716</v>
      </c>
      <c r="Q145" s="289">
        <f>+K0kommunestruktur2021altern!Q145</f>
        <v>9062</v>
      </c>
      <c r="R145" s="289">
        <f>+K0kommunestruktur2021altern!R145</f>
        <v>286568.37800000003</v>
      </c>
      <c r="S145" s="289">
        <f>VLOOKUP(A145,'K22'!A145:CU500,3)</f>
        <v>9144</v>
      </c>
      <c r="T145" s="289">
        <f>VLOOKUP(A145,'K22'!$A$4:$BV$359,26)</f>
        <v>311544.83052394324</v>
      </c>
      <c r="U145" s="289">
        <f>VLOOKUP(A145,'Bef.fremskr. kommunenivå MMMM'!$A$5:$K$360,8)</f>
        <v>9191</v>
      </c>
      <c r="V145" s="289">
        <f>VLOOKUP(A145,'K23'!$A$4:$BV$359,26)</f>
        <v>292824.3839356582</v>
      </c>
    </row>
    <row r="146" spans="1:22" ht="13">
      <c r="A146" s="755">
        <v>3401</v>
      </c>
      <c r="B146" s="756" t="s">
        <v>824</v>
      </c>
      <c r="C146" s="289">
        <f>+K0kommunestruktur2021altern!C146</f>
        <v>17825</v>
      </c>
      <c r="D146" s="289">
        <f>+K0kommunestruktur2021altern!D146</f>
        <v>346051</v>
      </c>
      <c r="E146" s="289">
        <f>+K0kommunestruktur2021altern!E146</f>
        <v>17881</v>
      </c>
      <c r="F146" s="289">
        <f>+K0kommunestruktur2021altern!F146</f>
        <v>377420</v>
      </c>
      <c r="G146" s="289">
        <f>+K0kommunestruktur2021altern!G146</f>
        <v>17835</v>
      </c>
      <c r="H146" s="289">
        <f>+K0kommunestruktur2021altern!H146</f>
        <v>418583</v>
      </c>
      <c r="I146" s="289">
        <f>+K0kommunestruktur2021altern!I146</f>
        <v>17857</v>
      </c>
      <c r="J146" s="289">
        <f>+K0kommunestruktur2021altern!J146</f>
        <v>438186</v>
      </c>
      <c r="K146" s="289">
        <f>+K0kommunestruktur2021altern!K146</f>
        <v>17934</v>
      </c>
      <c r="L146" s="289">
        <f>+K0kommunestruktur2021altern!L146</f>
        <v>464345</v>
      </c>
      <c r="M146" s="289">
        <f>+K0kommunestruktur2021altern!M146</f>
        <v>17823</v>
      </c>
      <c r="N146" s="289">
        <f>+K0kommunestruktur2021altern!N146</f>
        <v>472995</v>
      </c>
      <c r="O146" s="289">
        <f>+K0kommunestruktur2021altern!O146</f>
        <v>17829</v>
      </c>
      <c r="P146" s="289">
        <f>+K0kommunestruktur2021altern!P146</f>
        <v>488404</v>
      </c>
      <c r="Q146" s="289">
        <f>+K0kommunestruktur2021altern!Q146</f>
        <v>17851</v>
      </c>
      <c r="R146" s="289">
        <f>+K0kommunestruktur2021altern!R146</f>
        <v>548005.07400000002</v>
      </c>
      <c r="S146" s="289">
        <f>VLOOKUP(A146,'K22'!A146:CU501,3)</f>
        <v>17949</v>
      </c>
      <c r="T146" s="289">
        <f>VLOOKUP(A146,'K22'!$A$4:$BV$359,26)</f>
        <v>626872.54633975204</v>
      </c>
      <c r="U146" s="289">
        <f>VLOOKUP(A146,'Bef.fremskr. kommunenivå MMMM'!$A$5:$K$360,8)</f>
        <v>18041</v>
      </c>
      <c r="V146" s="289">
        <f>VLOOKUP(A146,'K23'!$A$4:$BV$359,26)</f>
        <v>561570.37326507852</v>
      </c>
    </row>
    <row r="147" spans="1:22" ht="13">
      <c r="A147" s="755">
        <v>3403</v>
      </c>
      <c r="B147" s="756" t="s">
        <v>825</v>
      </c>
      <c r="C147" s="289">
        <f>+K0kommunestruktur2021altern!C147</f>
        <v>29520</v>
      </c>
      <c r="D147" s="289">
        <f>+K0kommunestruktur2021altern!D147</f>
        <v>664070</v>
      </c>
      <c r="E147" s="289">
        <f>+K0kommunestruktur2021altern!E147</f>
        <v>29847</v>
      </c>
      <c r="F147" s="289">
        <f>+K0kommunestruktur2021altern!F147</f>
        <v>723558</v>
      </c>
      <c r="G147" s="289">
        <f>+K0kommunestruktur2021altern!G147</f>
        <v>30120</v>
      </c>
      <c r="H147" s="289">
        <f>+K0kommunestruktur2021altern!H147</f>
        <v>799127</v>
      </c>
      <c r="I147" s="289">
        <f>+K0kommunestruktur2021altern!I147</f>
        <v>30598</v>
      </c>
      <c r="J147" s="289">
        <f>+K0kommunestruktur2021altern!J147</f>
        <v>838185</v>
      </c>
      <c r="K147" s="289">
        <f>+K0kommunestruktur2021altern!K147</f>
        <v>30930</v>
      </c>
      <c r="L147" s="289">
        <f>+K0kommunestruktur2021altern!L147</f>
        <v>879991</v>
      </c>
      <c r="M147" s="289">
        <f>+K0kommunestruktur2021altern!M147</f>
        <v>31144</v>
      </c>
      <c r="N147" s="289">
        <f>+K0kommunestruktur2021altern!N147</f>
        <v>907828</v>
      </c>
      <c r="O147" s="289">
        <f>+K0kommunestruktur2021altern!O147</f>
        <v>31369</v>
      </c>
      <c r="P147" s="289">
        <f>+K0kommunestruktur2021altern!P147</f>
        <v>922933</v>
      </c>
      <c r="Q147" s="289">
        <f>+K0kommunestruktur2021altern!Q147</f>
        <v>31509</v>
      </c>
      <c r="R147" s="289">
        <f>+K0kommunestruktur2021altern!R147</f>
        <v>1065440.294</v>
      </c>
      <c r="S147" s="289">
        <f>VLOOKUP(A147,'K22'!A147:CU502,3)</f>
        <v>31999</v>
      </c>
      <c r="T147" s="289">
        <f>VLOOKUP(A147,'K22'!$A$4:$BV$359,26)</f>
        <v>1189581.9922373113</v>
      </c>
      <c r="U147" s="289">
        <f>VLOOKUP(A147,'Bef.fremskr. kommunenivå MMMM'!$A$5:$K$360,8)</f>
        <v>32436</v>
      </c>
      <c r="V147" s="289">
        <f>VLOOKUP(A147,'K23'!$A$4:$BV$359,26)</f>
        <v>1101809.4693468702</v>
      </c>
    </row>
    <row r="148" spans="1:22" ht="13">
      <c r="A148" s="889">
        <v>3405</v>
      </c>
      <c r="B148" s="890" t="s">
        <v>845</v>
      </c>
      <c r="C148" s="289">
        <f>+C365+C366</f>
        <v>27013.77124206</v>
      </c>
      <c r="D148" s="289">
        <f t="shared" ref="D148:R148" si="2">+D365+D366</f>
        <v>624520.83490683185</v>
      </c>
      <c r="E148" s="289">
        <f t="shared" si="2"/>
        <v>27285.628048989998</v>
      </c>
      <c r="F148" s="289">
        <f t="shared" si="2"/>
        <v>656936.21714094479</v>
      </c>
      <c r="G148" s="289">
        <f t="shared" si="2"/>
        <v>27461.535394660001</v>
      </c>
      <c r="H148" s="289">
        <f t="shared" si="2"/>
        <v>729327.08672309865</v>
      </c>
      <c r="I148" s="289">
        <f t="shared" si="2"/>
        <v>27766.37482891</v>
      </c>
      <c r="J148" s="289">
        <f t="shared" si="2"/>
        <v>769240.04734509019</v>
      </c>
      <c r="K148" s="289">
        <f t="shared" si="2"/>
        <v>27923.292177030002</v>
      </c>
      <c r="L148" s="289">
        <f t="shared" si="2"/>
        <v>804928.26009908819</v>
      </c>
      <c r="M148" s="289">
        <f t="shared" si="2"/>
        <v>28008.24742919</v>
      </c>
      <c r="N148" s="289">
        <f t="shared" si="2"/>
        <v>836093.8044781998</v>
      </c>
      <c r="O148" s="289">
        <f t="shared" si="2"/>
        <v>28330.077913870002</v>
      </c>
      <c r="P148" s="289">
        <f t="shared" si="2"/>
        <v>824698.79594977864</v>
      </c>
      <c r="Q148" s="289">
        <f t="shared" si="2"/>
        <v>28478</v>
      </c>
      <c r="R148" s="289">
        <f t="shared" si="2"/>
        <v>947828.72020503273</v>
      </c>
      <c r="S148" s="289">
        <f>VLOOKUP(A148,'K22'!A148:CU503,3)</f>
        <v>28425</v>
      </c>
      <c r="T148" s="289">
        <f>VLOOKUP(A148,'K22'!$A$4:$BV$359,26)</f>
        <v>1043648.4970206087</v>
      </c>
      <c r="U148" s="289">
        <f>VLOOKUP(A148,'Bef.fremskr. kommunenivå MMMM'!$A$5:$K$360,8)</f>
        <v>28681</v>
      </c>
      <c r="V148" s="289">
        <f>VLOOKUP(A148,'K23'!$A$4:$BV$359,26)</f>
        <v>972885.03667477251</v>
      </c>
    </row>
    <row r="149" spans="1:22" ht="13">
      <c r="A149" s="755">
        <v>3407</v>
      </c>
      <c r="B149" s="756" t="s">
        <v>846</v>
      </c>
      <c r="C149" s="289">
        <f>+K0kommunestruktur2021altern!C149</f>
        <v>29668</v>
      </c>
      <c r="D149" s="289">
        <f>+K0kommunestruktur2021altern!D149</f>
        <v>594011</v>
      </c>
      <c r="E149" s="289">
        <f>+K0kommunestruktur2021altern!E149</f>
        <v>30063</v>
      </c>
      <c r="F149" s="289">
        <f>+K0kommunestruktur2021altern!F149</f>
        <v>645070</v>
      </c>
      <c r="G149" s="289">
        <f>+K0kommunestruktur2021altern!G149</f>
        <v>30137</v>
      </c>
      <c r="H149" s="289">
        <f>+K0kommunestruktur2021altern!H149</f>
        <v>711172</v>
      </c>
      <c r="I149" s="289">
        <f>+K0kommunestruktur2021altern!I149</f>
        <v>30319</v>
      </c>
      <c r="J149" s="289">
        <f>+K0kommunestruktur2021altern!J149</f>
        <v>758212</v>
      </c>
      <c r="K149" s="289">
        <f>+K0kommunestruktur2021altern!K149</f>
        <v>30642</v>
      </c>
      <c r="L149" s="289">
        <f>+K0kommunestruktur2021altern!L149</f>
        <v>797745</v>
      </c>
      <c r="M149" s="289">
        <f>+K0kommunestruktur2021altern!M149</f>
        <v>30676</v>
      </c>
      <c r="N149" s="289">
        <f>+K0kommunestruktur2021altern!N149</f>
        <v>835680</v>
      </c>
      <c r="O149" s="289">
        <f>+K0kommunestruktur2021altern!O149</f>
        <v>30560</v>
      </c>
      <c r="P149" s="289">
        <f>+K0kommunestruktur2021altern!P149</f>
        <v>811206</v>
      </c>
      <c r="Q149" s="289">
        <f>+K0kommunestruktur2021altern!Q149</f>
        <v>30395</v>
      </c>
      <c r="R149" s="289">
        <f>+K0kommunestruktur2021altern!R149</f>
        <v>909888.27899999998</v>
      </c>
      <c r="S149" s="289">
        <f>VLOOKUP(A149,'K22'!A149:CU504,3)</f>
        <v>30267</v>
      </c>
      <c r="T149" s="289">
        <f>VLOOKUP(A149,'K22'!$A$4:$BV$359,26)</f>
        <v>1016016.3423628662</v>
      </c>
      <c r="U149" s="289">
        <f>VLOOKUP(A149,'Bef.fremskr. kommunenivå MMMM'!$A$5:$K$360,8)</f>
        <v>30399</v>
      </c>
      <c r="V149" s="289">
        <f>VLOOKUP(A149,'K23'!$A$4:$BV$359,26)</f>
        <v>936770.61680744565</v>
      </c>
    </row>
    <row r="150" spans="1:22" ht="13">
      <c r="A150" s="755">
        <v>3411</v>
      </c>
      <c r="B150" s="756" t="s">
        <v>826</v>
      </c>
      <c r="C150" s="289">
        <f>+K0kommunestruktur2021altern!C150</f>
        <v>33463</v>
      </c>
      <c r="D150" s="289">
        <f>+K0kommunestruktur2021altern!D150</f>
        <v>639220</v>
      </c>
      <c r="E150" s="289">
        <f>+K0kommunestruktur2021altern!E150</f>
        <v>33603</v>
      </c>
      <c r="F150" s="289">
        <f>+K0kommunestruktur2021altern!F150</f>
        <v>679590</v>
      </c>
      <c r="G150" s="289">
        <f>+K0kommunestruktur2021altern!G150</f>
        <v>33597</v>
      </c>
      <c r="H150" s="289">
        <f>+K0kommunestruktur2021altern!H150</f>
        <v>752571</v>
      </c>
      <c r="I150" s="289">
        <f>+K0kommunestruktur2021altern!I150</f>
        <v>33842</v>
      </c>
      <c r="J150" s="289">
        <f>+K0kommunestruktur2021altern!J150</f>
        <v>789183</v>
      </c>
      <c r="K150" s="289">
        <f>+K0kommunestruktur2021altern!K150</f>
        <v>34151</v>
      </c>
      <c r="L150" s="289">
        <f>+K0kommunestruktur2021altern!L150</f>
        <v>837000</v>
      </c>
      <c r="M150" s="289">
        <f>+K0kommunestruktur2021altern!M150</f>
        <v>34488</v>
      </c>
      <c r="N150" s="289">
        <f>+K0kommunestruktur2021altern!N150</f>
        <v>888971</v>
      </c>
      <c r="O150" s="289">
        <f>+K0kommunestruktur2021altern!O150</f>
        <v>34768</v>
      </c>
      <c r="P150" s="289">
        <f>+K0kommunestruktur2021altern!P150</f>
        <v>885530</v>
      </c>
      <c r="Q150" s="289">
        <f>+K0kommunestruktur2021altern!Q150</f>
        <v>34897</v>
      </c>
      <c r="R150" s="289">
        <f>+K0kommunestruktur2021altern!R150</f>
        <v>1013294.552</v>
      </c>
      <c r="S150" s="289">
        <f>VLOOKUP(A150,'K22'!A150:CU505,3)</f>
        <v>35073</v>
      </c>
      <c r="T150" s="289">
        <f>VLOOKUP(A150,'K22'!$A$4:$BV$359,26)</f>
        <v>1117233.052221908</v>
      </c>
      <c r="U150" s="289">
        <f>VLOOKUP(A150,'Bef.fremskr. kommunenivå MMMM'!$A$5:$K$360,8)</f>
        <v>35254</v>
      </c>
      <c r="V150" s="289">
        <f>VLOOKUP(A150,'K23'!$A$4:$BV$359,26)</f>
        <v>1041131.58297166</v>
      </c>
    </row>
    <row r="151" spans="1:22" ht="13">
      <c r="A151" s="755">
        <v>3412</v>
      </c>
      <c r="B151" s="756" t="s">
        <v>827</v>
      </c>
      <c r="C151" s="289">
        <f>+K0kommunestruktur2021altern!C151</f>
        <v>7546</v>
      </c>
      <c r="D151" s="289">
        <f>+K0kommunestruktur2021altern!D151</f>
        <v>135203</v>
      </c>
      <c r="E151" s="289">
        <f>+K0kommunestruktur2021altern!E151</f>
        <v>7552</v>
      </c>
      <c r="F151" s="289">
        <f>+K0kommunestruktur2021altern!F151</f>
        <v>143397</v>
      </c>
      <c r="G151" s="289">
        <f>+K0kommunestruktur2021altern!G151</f>
        <v>7588</v>
      </c>
      <c r="H151" s="289">
        <f>+K0kommunestruktur2021altern!H151</f>
        <v>154879</v>
      </c>
      <c r="I151" s="289">
        <f>+K0kommunestruktur2021altern!I151</f>
        <v>7633</v>
      </c>
      <c r="J151" s="289">
        <f>+K0kommunestruktur2021altern!J151</f>
        <v>162788</v>
      </c>
      <c r="K151" s="289">
        <f>+K0kommunestruktur2021altern!K151</f>
        <v>7615</v>
      </c>
      <c r="L151" s="289">
        <f>+K0kommunestruktur2021altern!L151</f>
        <v>169501</v>
      </c>
      <c r="M151" s="289">
        <f>+K0kommunestruktur2021altern!M151</f>
        <v>7663</v>
      </c>
      <c r="N151" s="289">
        <f>+K0kommunestruktur2021altern!N151</f>
        <v>172571</v>
      </c>
      <c r="O151" s="289">
        <f>+K0kommunestruktur2021altern!O151</f>
        <v>7674</v>
      </c>
      <c r="P151" s="289">
        <f>+K0kommunestruktur2021altern!P151</f>
        <v>173016</v>
      </c>
      <c r="Q151" s="289">
        <f>+K0kommunestruktur2021altern!Q151</f>
        <v>7625</v>
      </c>
      <c r="R151" s="289">
        <f>+K0kommunestruktur2021altern!R151</f>
        <v>204503.18400000001</v>
      </c>
      <c r="S151" s="289">
        <f>VLOOKUP(A151,'K22'!A151:CU506,3)</f>
        <v>7715</v>
      </c>
      <c r="T151" s="289">
        <f>VLOOKUP(A151,'K22'!$A$4:$BV$359,26)</f>
        <v>217147.0110722582</v>
      </c>
      <c r="U151" s="289">
        <f>VLOOKUP(A151,'Bef.fremskr. kommunenivå MMMM'!$A$5:$K$360,8)</f>
        <v>7776</v>
      </c>
      <c r="V151" s="289">
        <f>VLOOKUP(A151,'K23'!$A$4:$BV$359,26)</f>
        <v>205331.29176276733</v>
      </c>
    </row>
    <row r="152" spans="1:22" ht="13">
      <c r="A152" s="755">
        <v>3413</v>
      </c>
      <c r="B152" s="965" t="s">
        <v>828</v>
      </c>
      <c r="C152" s="289">
        <f>+K0kommunestruktur2021altern!C152</f>
        <v>19737</v>
      </c>
      <c r="D152" s="289">
        <f>+K0kommunestruktur2021altern!D152</f>
        <v>376955</v>
      </c>
      <c r="E152" s="289">
        <f>+K0kommunestruktur2021altern!E152</f>
        <v>20013</v>
      </c>
      <c r="F152" s="289">
        <f>+K0kommunestruktur2021altern!F152</f>
        <v>407797</v>
      </c>
      <c r="G152" s="289">
        <f>+K0kommunestruktur2021altern!G152</f>
        <v>20119</v>
      </c>
      <c r="H152" s="289">
        <f>+K0kommunestruktur2021altern!H152</f>
        <v>451307</v>
      </c>
      <c r="I152" s="289">
        <f>+K0kommunestruktur2021altern!I152</f>
        <v>20317</v>
      </c>
      <c r="J152" s="289">
        <f>+K0kommunestruktur2021altern!J152</f>
        <v>472002</v>
      </c>
      <c r="K152" s="289">
        <f>+K0kommunestruktur2021altern!K152</f>
        <v>20646</v>
      </c>
      <c r="L152" s="289">
        <f>+K0kommunestruktur2021altern!L152</f>
        <v>497212</v>
      </c>
      <c r="M152" s="289">
        <f>+K0kommunestruktur2021altern!M152</f>
        <v>20916</v>
      </c>
      <c r="N152" s="289">
        <f>+K0kommunestruktur2021altern!N152</f>
        <v>519985</v>
      </c>
      <c r="O152" s="289">
        <f>+K0kommunestruktur2021altern!O152</f>
        <v>21064</v>
      </c>
      <c r="P152" s="289">
        <f>+K0kommunestruktur2021altern!P152</f>
        <v>521960</v>
      </c>
      <c r="Q152" s="289">
        <f>+K0kommunestruktur2021altern!Q152</f>
        <v>21072</v>
      </c>
      <c r="R152" s="289">
        <f>+K0kommunestruktur2021altern!R152</f>
        <v>603684.37</v>
      </c>
      <c r="S152" s="289">
        <f>VLOOKUP(A152,'K22'!A152:CU507,3)</f>
        <v>21156</v>
      </c>
      <c r="T152" s="289">
        <f>VLOOKUP(A152,'K22'!$A$4:$BV$359,26)</f>
        <v>651005.42908947892</v>
      </c>
      <c r="U152" s="289">
        <f>VLOOKUP(A152,'Bef.fremskr. kommunenivå MMMM'!$A$5:$K$360,8)</f>
        <v>21286</v>
      </c>
      <c r="V152" s="289">
        <f>VLOOKUP(A152,'K23'!$A$4:$BV$359,26)</f>
        <v>612719.17867647076</v>
      </c>
    </row>
    <row r="153" spans="1:22" ht="13">
      <c r="A153" s="755">
        <v>3414</v>
      </c>
      <c r="B153" s="756" t="s">
        <v>829</v>
      </c>
      <c r="C153" s="289">
        <f>+K0kommunestruktur2021altern!C153</f>
        <v>5118</v>
      </c>
      <c r="D153" s="289">
        <f>+K0kommunestruktur2021altern!D153</f>
        <v>89305</v>
      </c>
      <c r="E153" s="289">
        <f>+K0kommunestruktur2021altern!E153</f>
        <v>5128</v>
      </c>
      <c r="F153" s="289">
        <f>+K0kommunestruktur2021altern!F153</f>
        <v>94709</v>
      </c>
      <c r="G153" s="289">
        <f>+K0kommunestruktur2021altern!G153</f>
        <v>5131</v>
      </c>
      <c r="H153" s="289">
        <f>+K0kommunestruktur2021altern!H153</f>
        <v>100053</v>
      </c>
      <c r="I153" s="289">
        <f>+K0kommunestruktur2021altern!I153</f>
        <v>5100</v>
      </c>
      <c r="J153" s="289">
        <f>+K0kommunestruktur2021altern!J153</f>
        <v>103182</v>
      </c>
      <c r="K153" s="289">
        <f>+K0kommunestruktur2021altern!K153</f>
        <v>5097</v>
      </c>
      <c r="L153" s="289">
        <f>+K0kommunestruktur2021altern!L153</f>
        <v>109633</v>
      </c>
      <c r="M153" s="289">
        <f>+K0kommunestruktur2021altern!M153</f>
        <v>5024</v>
      </c>
      <c r="N153" s="289">
        <f>+K0kommunestruktur2021altern!N153</f>
        <v>112330</v>
      </c>
      <c r="O153" s="289">
        <f>+K0kommunestruktur2021altern!O153</f>
        <v>5016</v>
      </c>
      <c r="P153" s="289">
        <f>+K0kommunestruktur2021altern!P153</f>
        <v>111733</v>
      </c>
      <c r="Q153" s="289">
        <f>+K0kommunestruktur2021altern!Q153</f>
        <v>5038</v>
      </c>
      <c r="R153" s="289">
        <f>+K0kommunestruktur2021altern!R153</f>
        <v>127141.67600000001</v>
      </c>
      <c r="S153" s="289">
        <f>VLOOKUP(A153,'K22'!A153:CU508,3)</f>
        <v>5016</v>
      </c>
      <c r="T153" s="289">
        <f>VLOOKUP(A153,'K22'!$A$4:$BV$359,26)</f>
        <v>136951.93530001451</v>
      </c>
      <c r="U153" s="289">
        <f>VLOOKUP(A153,'Bef.fremskr. kommunenivå MMMM'!$A$5:$K$360,8)</f>
        <v>4981</v>
      </c>
      <c r="V153" s="289">
        <f>VLOOKUP(A153,'K23'!$A$4:$BV$359,26)</f>
        <v>128046.17336718134</v>
      </c>
    </row>
    <row r="154" spans="1:22" ht="13">
      <c r="A154" s="755">
        <v>3415</v>
      </c>
      <c r="B154" s="756" t="s">
        <v>830</v>
      </c>
      <c r="C154" s="289">
        <f>+K0kommunestruktur2021altern!C154</f>
        <v>7847</v>
      </c>
      <c r="D154" s="289">
        <f>+K0kommunestruktur2021altern!D154</f>
        <v>154803</v>
      </c>
      <c r="E154" s="289">
        <f>+K0kommunestruktur2021altern!E154</f>
        <v>7800</v>
      </c>
      <c r="F154" s="289">
        <f>+K0kommunestruktur2021altern!F154</f>
        <v>164788</v>
      </c>
      <c r="G154" s="289">
        <f>+K0kommunestruktur2021altern!G154</f>
        <v>7901</v>
      </c>
      <c r="H154" s="289">
        <f>+K0kommunestruktur2021altern!H154</f>
        <v>181493</v>
      </c>
      <c r="I154" s="289">
        <f>+K0kommunestruktur2021altern!I154</f>
        <v>7866</v>
      </c>
      <c r="J154" s="289">
        <f>+K0kommunestruktur2021altern!J154</f>
        <v>184298</v>
      </c>
      <c r="K154" s="289">
        <f>+K0kommunestruktur2021altern!K154</f>
        <v>7884</v>
      </c>
      <c r="L154" s="289">
        <f>+K0kommunestruktur2021altern!L154</f>
        <v>192327</v>
      </c>
      <c r="M154" s="289">
        <f>+K0kommunestruktur2021altern!M154</f>
        <v>7879</v>
      </c>
      <c r="N154" s="289">
        <f>+K0kommunestruktur2021altern!N154</f>
        <v>200711</v>
      </c>
      <c r="O154" s="289">
        <f>+K0kommunestruktur2021altern!O154</f>
        <v>7905</v>
      </c>
      <c r="P154" s="289">
        <f>+K0kommunestruktur2021altern!P154</f>
        <v>194910</v>
      </c>
      <c r="Q154" s="289">
        <f>+K0kommunestruktur2021altern!Q154</f>
        <v>7914</v>
      </c>
      <c r="R154" s="289">
        <f>+K0kommunestruktur2021altern!R154</f>
        <v>229244.834</v>
      </c>
      <c r="S154" s="289">
        <f>VLOOKUP(A154,'K22'!A154:CU509,3)</f>
        <v>7978</v>
      </c>
      <c r="T154" s="289">
        <f>VLOOKUP(A154,'K22'!$A$4:$BV$359,26)</f>
        <v>249331.49480595614</v>
      </c>
      <c r="U154" s="289">
        <f>VLOOKUP(A154,'Bef.fremskr. kommunenivå MMMM'!$A$5:$K$360,8)</f>
        <v>8008</v>
      </c>
      <c r="V154" s="289">
        <f>VLOOKUP(A154,'K23'!$A$4:$BV$359,26)</f>
        <v>232755.67407903686</v>
      </c>
    </row>
    <row r="155" spans="1:22" ht="13">
      <c r="A155" s="755">
        <v>3416</v>
      </c>
      <c r="B155" s="756" t="s">
        <v>831</v>
      </c>
      <c r="C155" s="289">
        <f>+K0kommunestruktur2021altern!C155</f>
        <v>6253</v>
      </c>
      <c r="D155" s="289">
        <f>+K0kommunestruktur2021altern!D155</f>
        <v>99815</v>
      </c>
      <c r="E155" s="289">
        <f>+K0kommunestruktur2021altern!E155</f>
        <v>6219</v>
      </c>
      <c r="F155" s="289">
        <f>+K0kommunestruktur2021altern!F155</f>
        <v>110856</v>
      </c>
      <c r="G155" s="289">
        <f>+K0kommunestruktur2021altern!G155</f>
        <v>6142</v>
      </c>
      <c r="H155" s="289">
        <f>+K0kommunestruktur2021altern!H155</f>
        <v>122325</v>
      </c>
      <c r="I155" s="289">
        <f>+K0kommunestruktur2021altern!I155</f>
        <v>6127</v>
      </c>
      <c r="J155" s="289">
        <f>+K0kommunestruktur2021altern!J155</f>
        <v>125225</v>
      </c>
      <c r="K155" s="289">
        <f>+K0kommunestruktur2021altern!K155</f>
        <v>6142</v>
      </c>
      <c r="L155" s="289">
        <f>+K0kommunestruktur2021altern!L155</f>
        <v>129210</v>
      </c>
      <c r="M155" s="289">
        <f>+K0kommunestruktur2021altern!M155</f>
        <v>6114</v>
      </c>
      <c r="N155" s="289">
        <f>+K0kommunestruktur2021altern!N155</f>
        <v>133453</v>
      </c>
      <c r="O155" s="289">
        <f>+K0kommunestruktur2021altern!O155</f>
        <v>6106</v>
      </c>
      <c r="P155" s="289">
        <f>+K0kommunestruktur2021altern!P155</f>
        <v>135252</v>
      </c>
      <c r="Q155" s="289">
        <f>+K0kommunestruktur2021altern!Q155</f>
        <v>6099</v>
      </c>
      <c r="R155" s="289">
        <f>+K0kommunestruktur2021altern!R155</f>
        <v>154505.867</v>
      </c>
      <c r="S155" s="289">
        <f>VLOOKUP(A155,'K22'!A155:CU510,3)</f>
        <v>6032</v>
      </c>
      <c r="T155" s="289">
        <f>VLOOKUP(A155,'K22'!$A$4:$BV$359,26)</f>
        <v>167734.55471895781</v>
      </c>
      <c r="U155" s="289">
        <f>VLOOKUP(A155,'Bef.fremskr. kommunenivå MMMM'!$A$5:$K$360,8)</f>
        <v>5995</v>
      </c>
      <c r="V155" s="289">
        <f>VLOOKUP(A155,'K23'!$A$4:$BV$359,26)</f>
        <v>152796.72912791092</v>
      </c>
    </row>
    <row r="156" spans="1:22" ht="13">
      <c r="A156" s="755">
        <v>3417</v>
      </c>
      <c r="B156" s="756" t="s">
        <v>832</v>
      </c>
      <c r="C156" s="289">
        <f>+K0kommunestruktur2021altern!C156</f>
        <v>4948</v>
      </c>
      <c r="D156" s="289">
        <f>+K0kommunestruktur2021altern!D156</f>
        <v>88799</v>
      </c>
      <c r="E156" s="289">
        <f>+K0kommunestruktur2021altern!E156</f>
        <v>4853</v>
      </c>
      <c r="F156" s="289">
        <f>+K0kommunestruktur2021altern!F156</f>
        <v>94131</v>
      </c>
      <c r="G156" s="289">
        <f>+K0kommunestruktur2021altern!G156</f>
        <v>4763</v>
      </c>
      <c r="H156" s="289">
        <f>+K0kommunestruktur2021altern!H156</f>
        <v>100637</v>
      </c>
      <c r="I156" s="289">
        <f>+K0kommunestruktur2021altern!I156</f>
        <v>4777</v>
      </c>
      <c r="J156" s="289">
        <f>+K0kommunestruktur2021altern!J156</f>
        <v>100470</v>
      </c>
      <c r="K156" s="289">
        <f>+K0kommunestruktur2021altern!K156</f>
        <v>4740</v>
      </c>
      <c r="L156" s="289">
        <f>+K0kommunestruktur2021altern!L156</f>
        <v>105990</v>
      </c>
      <c r="M156" s="289">
        <f>+K0kommunestruktur2021altern!M156</f>
        <v>4646</v>
      </c>
      <c r="N156" s="289">
        <f>+K0kommunestruktur2021altern!N156</f>
        <v>108099</v>
      </c>
      <c r="O156" s="289">
        <f>+K0kommunestruktur2021altern!O156</f>
        <v>4612</v>
      </c>
      <c r="P156" s="289">
        <f>+K0kommunestruktur2021altern!P156</f>
        <v>113051</v>
      </c>
      <c r="Q156" s="289">
        <f>+K0kommunestruktur2021altern!Q156</f>
        <v>4545</v>
      </c>
      <c r="R156" s="289">
        <f>+K0kommunestruktur2021altern!R156</f>
        <v>151255.75399999999</v>
      </c>
      <c r="S156" s="289">
        <f>VLOOKUP(A156,'K22'!A156:CU511,3)</f>
        <v>4548</v>
      </c>
      <c r="T156" s="289">
        <f>VLOOKUP(A156,'K22'!$A$4:$BV$359,26)</f>
        <v>159170.82755931845</v>
      </c>
      <c r="U156" s="289">
        <f>VLOOKUP(A156,'Bef.fremskr. kommunenivå MMMM'!$A$5:$K$360,8)</f>
        <v>4556</v>
      </c>
      <c r="V156" s="289">
        <f>VLOOKUP(A156,'K23'!$A$4:$BV$359,26)</f>
        <v>134985.3788388363</v>
      </c>
    </row>
    <row r="157" spans="1:22" ht="13">
      <c r="A157" s="755">
        <v>3418</v>
      </c>
      <c r="B157" s="756" t="s">
        <v>833</v>
      </c>
      <c r="C157" s="289">
        <f>+K0kommunestruktur2021altern!C157</f>
        <v>7544</v>
      </c>
      <c r="D157" s="289">
        <f>+K0kommunestruktur2021altern!D157</f>
        <v>131663</v>
      </c>
      <c r="E157" s="289">
        <f>+K0kommunestruktur2021altern!E157</f>
        <v>7561</v>
      </c>
      <c r="F157" s="289">
        <f>+K0kommunestruktur2021altern!F157</f>
        <v>141663</v>
      </c>
      <c r="G157" s="289">
        <f>+K0kommunestruktur2021altern!G157</f>
        <v>7456</v>
      </c>
      <c r="H157" s="289">
        <f>+K0kommunestruktur2021altern!H157</f>
        <v>150457</v>
      </c>
      <c r="I157" s="289">
        <f>+K0kommunestruktur2021altern!I157</f>
        <v>7329</v>
      </c>
      <c r="J157" s="289">
        <f>+K0kommunestruktur2021altern!J157</f>
        <v>157341</v>
      </c>
      <c r="K157" s="289">
        <f>+K0kommunestruktur2021altern!K157</f>
        <v>7279</v>
      </c>
      <c r="L157" s="289">
        <f>+K0kommunestruktur2021altern!L157</f>
        <v>162251</v>
      </c>
      <c r="M157" s="289">
        <f>+K0kommunestruktur2021altern!M157</f>
        <v>7214</v>
      </c>
      <c r="N157" s="289">
        <f>+K0kommunestruktur2021altern!N157</f>
        <v>163873</v>
      </c>
      <c r="O157" s="289">
        <f>+K0kommunestruktur2021altern!O157</f>
        <v>7203</v>
      </c>
      <c r="P157" s="289">
        <f>+K0kommunestruktur2021altern!P157</f>
        <v>162820</v>
      </c>
      <c r="Q157" s="289">
        <f>+K0kommunestruktur2021altern!Q157</f>
        <v>7227</v>
      </c>
      <c r="R157" s="289">
        <f>+K0kommunestruktur2021altern!R157</f>
        <v>187185.606</v>
      </c>
      <c r="S157" s="289">
        <f>VLOOKUP(A157,'K22'!A157:CU512,3)</f>
        <v>7211</v>
      </c>
      <c r="T157" s="289">
        <f>VLOOKUP(A157,'K22'!$A$4:$BV$359,26)</f>
        <v>199923.7994973826</v>
      </c>
      <c r="U157" s="289">
        <f>VLOOKUP(A157,'Bef.fremskr. kommunenivå MMMM'!$A$5:$K$360,8)</f>
        <v>7215</v>
      </c>
      <c r="V157" s="289">
        <f>VLOOKUP(A157,'K23'!$A$4:$BV$359,26)</f>
        <v>188997.24128043567</v>
      </c>
    </row>
    <row r="158" spans="1:22" ht="13">
      <c r="A158" s="755">
        <v>3419</v>
      </c>
      <c r="B158" s="756" t="s">
        <v>799</v>
      </c>
      <c r="C158" s="289">
        <f>+K0kommunestruktur2021altern!C158</f>
        <v>3783</v>
      </c>
      <c r="D158" s="289">
        <f>+K0kommunestruktur2021altern!D158</f>
        <v>67464</v>
      </c>
      <c r="E158" s="289">
        <f>+K0kommunestruktur2021altern!E158</f>
        <v>3790</v>
      </c>
      <c r="F158" s="289">
        <f>+K0kommunestruktur2021altern!F158</f>
        <v>72785</v>
      </c>
      <c r="G158" s="289">
        <f>+K0kommunestruktur2021altern!G158</f>
        <v>3760</v>
      </c>
      <c r="H158" s="289">
        <f>+K0kommunestruktur2021altern!H158</f>
        <v>79771</v>
      </c>
      <c r="I158" s="289">
        <f>+K0kommunestruktur2021altern!I158</f>
        <v>3743</v>
      </c>
      <c r="J158" s="289">
        <f>+K0kommunestruktur2021altern!J158</f>
        <v>80622</v>
      </c>
      <c r="K158" s="289">
        <f>+K0kommunestruktur2021altern!K158</f>
        <v>3680</v>
      </c>
      <c r="L158" s="289">
        <f>+K0kommunestruktur2021altern!L158</f>
        <v>81489</v>
      </c>
      <c r="M158" s="289">
        <f>+K0kommunestruktur2021altern!M158</f>
        <v>3705</v>
      </c>
      <c r="N158" s="289">
        <f>+K0kommunestruktur2021altern!N158</f>
        <v>84330</v>
      </c>
      <c r="O158" s="289">
        <f>+K0kommunestruktur2021altern!O158</f>
        <v>3662</v>
      </c>
      <c r="P158" s="289">
        <f>+K0kommunestruktur2021altern!P158</f>
        <v>83140</v>
      </c>
      <c r="Q158" s="289">
        <f>+K0kommunestruktur2021altern!Q158</f>
        <v>3587</v>
      </c>
      <c r="R158" s="289">
        <f>+K0kommunestruktur2021altern!R158</f>
        <v>94110.138000000006</v>
      </c>
      <c r="S158" s="289">
        <f>VLOOKUP(A158,'K22'!A158:CU513,3)</f>
        <v>3597</v>
      </c>
      <c r="T158" s="289">
        <f>VLOOKUP(A158,'K22'!$A$4:$BV$359,26)</f>
        <v>102193.5439560548</v>
      </c>
      <c r="U158" s="289">
        <f>VLOOKUP(A158,'Bef.fremskr. kommunenivå MMMM'!$A$5:$K$360,8)</f>
        <v>3615</v>
      </c>
      <c r="V158" s="289">
        <f>VLOOKUP(A158,'K23'!$A$4:$BV$359,26)</f>
        <v>95179.3295973575</v>
      </c>
    </row>
    <row r="159" spans="1:22" ht="13">
      <c r="A159" s="755">
        <v>3420</v>
      </c>
      <c r="B159" s="756" t="s">
        <v>834</v>
      </c>
      <c r="C159" s="289">
        <f>+K0kommunestruktur2021altern!C159</f>
        <v>20563</v>
      </c>
      <c r="D159" s="289">
        <f>+K0kommunestruktur2021altern!D159</f>
        <v>413285</v>
      </c>
      <c r="E159" s="289">
        <f>+K0kommunestruktur2021altern!E159</f>
        <v>20794</v>
      </c>
      <c r="F159" s="289">
        <f>+K0kommunestruktur2021altern!F159</f>
        <v>442451</v>
      </c>
      <c r="G159" s="289">
        <f>+K0kommunestruktur2021altern!G159</f>
        <v>21030</v>
      </c>
      <c r="H159" s="289">
        <f>+K0kommunestruktur2021altern!H159</f>
        <v>469925</v>
      </c>
      <c r="I159" s="289">
        <f>+K0kommunestruktur2021altern!I159</f>
        <v>21086</v>
      </c>
      <c r="J159" s="289">
        <f>+K0kommunestruktur2021altern!J159</f>
        <v>490237</v>
      </c>
      <c r="K159" s="289">
        <f>+K0kommunestruktur2021altern!K159</f>
        <v>21123</v>
      </c>
      <c r="L159" s="289">
        <f>+K0kommunestruktur2021altern!L159</f>
        <v>510655</v>
      </c>
      <c r="M159" s="289">
        <f>+K0kommunestruktur2021altern!M159</f>
        <v>21191</v>
      </c>
      <c r="N159" s="289">
        <f>+K0kommunestruktur2021altern!N159</f>
        <v>535565</v>
      </c>
      <c r="O159" s="289">
        <f>+K0kommunestruktur2021altern!O159</f>
        <v>21254</v>
      </c>
      <c r="P159" s="289">
        <f>+K0kommunestruktur2021altern!P159</f>
        <v>533065</v>
      </c>
      <c r="Q159" s="289">
        <f>+K0kommunestruktur2021altern!Q159</f>
        <v>21292</v>
      </c>
      <c r="R159" s="289">
        <f>+K0kommunestruktur2021altern!R159</f>
        <v>618243.85</v>
      </c>
      <c r="S159" s="289">
        <f>VLOOKUP(A159,'K22'!A159:CU514,3)</f>
        <v>21435</v>
      </c>
      <c r="T159" s="289">
        <f>VLOOKUP(A159,'K22'!$A$4:$BV$359,26)</f>
        <v>677013.58849819726</v>
      </c>
      <c r="U159" s="289">
        <f>VLOOKUP(A159,'Bef.fremskr. kommunenivå MMMM'!$A$5:$K$360,8)</f>
        <v>21531</v>
      </c>
      <c r="V159" s="289">
        <f>VLOOKUP(A159,'K23'!$A$4:$BV$359,26)</f>
        <v>628149.95123300783</v>
      </c>
    </row>
    <row r="160" spans="1:22" ht="13">
      <c r="A160" s="755">
        <v>3421</v>
      </c>
      <c r="B160" s="756" t="s">
        <v>835</v>
      </c>
      <c r="C160" s="289">
        <f>+K0kommunestruktur2021altern!C160</f>
        <v>6621</v>
      </c>
      <c r="D160" s="289">
        <f>+K0kommunestruktur2021altern!D160</f>
        <v>123473</v>
      </c>
      <c r="E160" s="289">
        <f>+K0kommunestruktur2021altern!E160</f>
        <v>6569</v>
      </c>
      <c r="F160" s="289">
        <f>+K0kommunestruktur2021altern!F160</f>
        <v>128694</v>
      </c>
      <c r="G160" s="289">
        <f>+K0kommunestruktur2021altern!G160</f>
        <v>6525</v>
      </c>
      <c r="H160" s="289">
        <f>+K0kommunestruktur2021altern!H160</f>
        <v>143523</v>
      </c>
      <c r="I160" s="289">
        <f>+K0kommunestruktur2021altern!I160</f>
        <v>6550</v>
      </c>
      <c r="J160" s="289">
        <f>+K0kommunestruktur2021altern!J160</f>
        <v>155053</v>
      </c>
      <c r="K160" s="289">
        <f>+K0kommunestruktur2021altern!K160</f>
        <v>6567</v>
      </c>
      <c r="L160" s="289">
        <f>+K0kommunestruktur2021altern!L160</f>
        <v>169452</v>
      </c>
      <c r="M160" s="289">
        <f>+K0kommunestruktur2021altern!M160</f>
        <v>6607</v>
      </c>
      <c r="N160" s="289">
        <f>+K0kommunestruktur2021altern!N160</f>
        <v>174031</v>
      </c>
      <c r="O160" s="289">
        <f>+K0kommunestruktur2021altern!O160</f>
        <v>6627</v>
      </c>
      <c r="P160" s="289">
        <f>+K0kommunestruktur2021altern!P160</f>
        <v>172622</v>
      </c>
      <c r="Q160" s="289">
        <f>+K0kommunestruktur2021altern!Q160</f>
        <v>6580</v>
      </c>
      <c r="R160" s="289">
        <f>+K0kommunestruktur2021altern!R160</f>
        <v>195306.61600000001</v>
      </c>
      <c r="S160" s="289">
        <f>VLOOKUP(A160,'K22'!A160:CU515,3)</f>
        <v>6603</v>
      </c>
      <c r="T160" s="289">
        <f>VLOOKUP(A160,'K22'!$A$4:$BV$359,26)</f>
        <v>224098.49827140963</v>
      </c>
      <c r="U160" s="289">
        <f>VLOOKUP(A160,'Bef.fremskr. kommunenivå MMMM'!$A$5:$K$360,8)</f>
        <v>6614</v>
      </c>
      <c r="V160" s="289">
        <f>VLOOKUP(A160,'K23'!$A$4:$BV$359,26)</f>
        <v>199587.83084896306</v>
      </c>
    </row>
    <row r="161" spans="1:22" ht="13">
      <c r="A161" s="755">
        <v>3422</v>
      </c>
      <c r="B161" s="756" t="s">
        <v>836</v>
      </c>
      <c r="C161" s="289">
        <f>+K0kommunestruktur2021altern!C161</f>
        <v>4455</v>
      </c>
      <c r="D161" s="289">
        <f>+K0kommunestruktur2021altern!D161</f>
        <v>86844</v>
      </c>
      <c r="E161" s="289">
        <f>+K0kommunestruktur2021altern!E161</f>
        <v>4456</v>
      </c>
      <c r="F161" s="289">
        <f>+K0kommunestruktur2021altern!F161</f>
        <v>91773</v>
      </c>
      <c r="G161" s="289">
        <f>+K0kommunestruktur2021altern!G161</f>
        <v>4429</v>
      </c>
      <c r="H161" s="289">
        <f>+K0kommunestruktur2021altern!H161</f>
        <v>97563</v>
      </c>
      <c r="I161" s="289">
        <f>+K0kommunestruktur2021altern!I161</f>
        <v>4518</v>
      </c>
      <c r="J161" s="289">
        <f>+K0kommunestruktur2021altern!J161</f>
        <v>101766</v>
      </c>
      <c r="K161" s="289">
        <f>+K0kommunestruktur2021altern!K161</f>
        <v>4480</v>
      </c>
      <c r="L161" s="289">
        <f>+K0kommunestruktur2021altern!L161</f>
        <v>103252</v>
      </c>
      <c r="M161" s="289">
        <f>+K0kommunestruktur2021altern!M161</f>
        <v>4407</v>
      </c>
      <c r="N161" s="289">
        <f>+K0kommunestruktur2021altern!N161</f>
        <v>107897</v>
      </c>
      <c r="O161" s="289">
        <f>+K0kommunestruktur2021altern!O161</f>
        <v>4356</v>
      </c>
      <c r="P161" s="289">
        <f>+K0kommunestruktur2021altern!P161</f>
        <v>106391</v>
      </c>
      <c r="Q161" s="289">
        <f>+K0kommunestruktur2021altern!Q161</f>
        <v>4338</v>
      </c>
      <c r="R161" s="289">
        <f>+K0kommunestruktur2021altern!R161</f>
        <v>121169.05899999999</v>
      </c>
      <c r="S161" s="289">
        <f>VLOOKUP(A161,'K22'!A161:CU516,3)</f>
        <v>4195</v>
      </c>
      <c r="T161" s="289">
        <f>VLOOKUP(A161,'K22'!$A$4:$BV$359,26)</f>
        <v>125084.48275033133</v>
      </c>
      <c r="U161" s="289">
        <f>VLOOKUP(A161,'Bef.fremskr. kommunenivå MMMM'!$A$5:$K$360,8)</f>
        <v>4256</v>
      </c>
      <c r="V161" s="289">
        <f>VLOOKUP(A161,'K23'!$A$4:$BV$359,26)</f>
        <v>119855.71810993973</v>
      </c>
    </row>
    <row r="162" spans="1:22" ht="13">
      <c r="A162" s="755">
        <v>3423</v>
      </c>
      <c r="B162" s="756" t="s">
        <v>837</v>
      </c>
      <c r="C162" s="289">
        <f>+K0kommunestruktur2021altern!C162</f>
        <v>2699</v>
      </c>
      <c r="D162" s="289">
        <f>+K0kommunestruktur2021altern!D162</f>
        <v>45450</v>
      </c>
      <c r="E162" s="289">
        <f>+K0kommunestruktur2021altern!E162</f>
        <v>2619</v>
      </c>
      <c r="F162" s="289">
        <f>+K0kommunestruktur2021altern!F162</f>
        <v>46804</v>
      </c>
      <c r="G162" s="289">
        <f>+K0kommunestruktur2021altern!G162</f>
        <v>2600</v>
      </c>
      <c r="H162" s="289">
        <f>+K0kommunestruktur2021altern!H162</f>
        <v>51442</v>
      </c>
      <c r="I162" s="289">
        <f>+K0kommunestruktur2021altern!I162</f>
        <v>2530</v>
      </c>
      <c r="J162" s="289">
        <f>+K0kommunestruktur2021altern!J162</f>
        <v>55098</v>
      </c>
      <c r="K162" s="289">
        <f>+K0kommunestruktur2021altern!K162</f>
        <v>2490</v>
      </c>
      <c r="L162" s="289">
        <f>+K0kommunestruktur2021altern!L162</f>
        <v>52624</v>
      </c>
      <c r="M162" s="289">
        <f>+K0kommunestruktur2021altern!M162</f>
        <v>2459</v>
      </c>
      <c r="N162" s="289">
        <f>+K0kommunestruktur2021altern!N162</f>
        <v>53442</v>
      </c>
      <c r="O162" s="289">
        <f>+K0kommunestruktur2021altern!O162</f>
        <v>2419</v>
      </c>
      <c r="P162" s="289">
        <f>+K0kommunestruktur2021altern!P162</f>
        <v>53832</v>
      </c>
      <c r="Q162" s="289">
        <f>+K0kommunestruktur2021altern!Q162</f>
        <v>2378</v>
      </c>
      <c r="R162" s="289">
        <f>+K0kommunestruktur2021altern!R162</f>
        <v>59878.43</v>
      </c>
      <c r="S162" s="289">
        <f>VLOOKUP(A162,'K22'!A162:CU517,3)</f>
        <v>2318</v>
      </c>
      <c r="T162" s="289">
        <f>VLOOKUP(A162,'K22'!$A$4:$BV$359,26)</f>
        <v>64329.186664889639</v>
      </c>
      <c r="U162" s="289">
        <f>VLOOKUP(A162,'Bef.fremskr. kommunenivå MMMM'!$A$5:$K$360,8)</f>
        <v>2319</v>
      </c>
      <c r="V162" s="289">
        <f>VLOOKUP(A162,'K23'!$A$4:$BV$359,26)</f>
        <v>58933.389798056291</v>
      </c>
    </row>
    <row r="163" spans="1:22" ht="13">
      <c r="A163" s="755">
        <v>3424</v>
      </c>
      <c r="B163" s="756" t="s">
        <v>838</v>
      </c>
      <c r="C163" s="289">
        <f>+K0kommunestruktur2021altern!C163</f>
        <v>1883</v>
      </c>
      <c r="D163" s="289">
        <f>+K0kommunestruktur2021altern!D163</f>
        <v>37165</v>
      </c>
      <c r="E163" s="289">
        <f>+K0kommunestruktur2021altern!E163</f>
        <v>1885</v>
      </c>
      <c r="F163" s="289">
        <f>+K0kommunestruktur2021altern!F163</f>
        <v>39705</v>
      </c>
      <c r="G163" s="289">
        <f>+K0kommunestruktur2021altern!G163</f>
        <v>1881</v>
      </c>
      <c r="H163" s="289">
        <f>+K0kommunestruktur2021altern!H163</f>
        <v>41109</v>
      </c>
      <c r="I163" s="289">
        <f>+K0kommunestruktur2021altern!I163</f>
        <v>1858</v>
      </c>
      <c r="J163" s="289">
        <f>+K0kommunestruktur2021altern!J163</f>
        <v>41486</v>
      </c>
      <c r="K163" s="289">
        <f>+K0kommunestruktur2021altern!K163</f>
        <v>1827</v>
      </c>
      <c r="L163" s="289">
        <f>+K0kommunestruktur2021altern!L163</f>
        <v>42432</v>
      </c>
      <c r="M163" s="289">
        <f>+K0kommunestruktur2021altern!M163</f>
        <v>1791</v>
      </c>
      <c r="N163" s="289">
        <f>+K0kommunestruktur2021altern!N163</f>
        <v>42521</v>
      </c>
      <c r="O163" s="289">
        <f>+K0kommunestruktur2021altern!O163</f>
        <v>1780</v>
      </c>
      <c r="P163" s="289">
        <f>+K0kommunestruktur2021altern!P163</f>
        <v>41561</v>
      </c>
      <c r="Q163" s="289">
        <f>+K0kommunestruktur2021altern!Q163</f>
        <v>1741</v>
      </c>
      <c r="R163" s="289">
        <f>+K0kommunestruktur2021altern!R163</f>
        <v>47201.71</v>
      </c>
      <c r="S163" s="289">
        <f>VLOOKUP(A163,'K22'!A163:CU518,3)</f>
        <v>1722</v>
      </c>
      <c r="T163" s="289">
        <f>VLOOKUP(A163,'K22'!$A$4:$BV$359,26)</f>
        <v>49034.324058144579</v>
      </c>
      <c r="U163" s="289">
        <f>VLOOKUP(A163,'Bef.fremskr. kommunenivå MMMM'!$A$5:$K$360,8)</f>
        <v>1728</v>
      </c>
      <c r="V163" s="289">
        <f>VLOOKUP(A163,'K23'!$A$4:$BV$359,26)</f>
        <v>46710.892350868533</v>
      </c>
    </row>
    <row r="164" spans="1:22" ht="13">
      <c r="A164" s="755">
        <v>3425</v>
      </c>
      <c r="B164" s="756" t="s">
        <v>839</v>
      </c>
      <c r="C164" s="289">
        <f>+K0kommunestruktur2021altern!C164</f>
        <v>1345</v>
      </c>
      <c r="D164" s="289">
        <f>+K0kommunestruktur2021altern!D164</f>
        <v>21656</v>
      </c>
      <c r="E164" s="289">
        <f>+K0kommunestruktur2021altern!E164</f>
        <v>1359</v>
      </c>
      <c r="F164" s="289">
        <f>+K0kommunestruktur2021altern!F164</f>
        <v>23795</v>
      </c>
      <c r="G164" s="289">
        <f>+K0kommunestruktur2021altern!G164</f>
        <v>1305</v>
      </c>
      <c r="H164" s="289">
        <f>+K0kommunestruktur2021altern!H164</f>
        <v>24758</v>
      </c>
      <c r="I164" s="289">
        <f>+K0kommunestruktur2021altern!I164</f>
        <v>1274</v>
      </c>
      <c r="J164" s="289">
        <f>+K0kommunestruktur2021altern!J164</f>
        <v>26109</v>
      </c>
      <c r="K164" s="289">
        <f>+K0kommunestruktur2021altern!K164</f>
        <v>1294</v>
      </c>
      <c r="L164" s="289">
        <f>+K0kommunestruktur2021altern!L164</f>
        <v>27184</v>
      </c>
      <c r="M164" s="289">
        <f>+K0kommunestruktur2021altern!M164</f>
        <v>1286</v>
      </c>
      <c r="N164" s="289">
        <f>+K0kommunestruktur2021altern!N164</f>
        <v>29586</v>
      </c>
      <c r="O164" s="289">
        <f>+K0kommunestruktur2021altern!O164</f>
        <v>1268</v>
      </c>
      <c r="P164" s="289">
        <f>+K0kommunestruktur2021altern!P164</f>
        <v>28030</v>
      </c>
      <c r="Q164" s="289">
        <f>+K0kommunestruktur2021altern!Q164</f>
        <v>1250</v>
      </c>
      <c r="R164" s="289">
        <f>+K0kommunestruktur2021altern!R164</f>
        <v>31035.309000000001</v>
      </c>
      <c r="S164" s="289">
        <f>VLOOKUP(A164,'K22'!A164:CU519,3)</f>
        <v>1253</v>
      </c>
      <c r="T164" s="289">
        <f>VLOOKUP(A164,'K22'!$A$4:$BV$359,26)</f>
        <v>34329.711984352209</v>
      </c>
      <c r="U164" s="289">
        <f>VLOOKUP(A164,'Bef.fremskr. kommunenivå MMMM'!$A$5:$K$360,8)</f>
        <v>1258</v>
      </c>
      <c r="V164" s="289">
        <f>VLOOKUP(A164,'K23'!$A$4:$BV$359,26)</f>
        <v>32395.648876633768</v>
      </c>
    </row>
    <row r="165" spans="1:22" ht="13">
      <c r="A165" s="755">
        <v>3426</v>
      </c>
      <c r="B165" s="756" t="s">
        <v>840</v>
      </c>
      <c r="C165" s="289">
        <f>+K0kommunestruktur2021altern!C165</f>
        <v>1658</v>
      </c>
      <c r="D165" s="289">
        <f>+K0kommunestruktur2021altern!D165</f>
        <v>27453</v>
      </c>
      <c r="E165" s="289">
        <f>+K0kommunestruktur2021altern!E165</f>
        <v>1656</v>
      </c>
      <c r="F165" s="289">
        <f>+K0kommunestruktur2021altern!F165</f>
        <v>27218</v>
      </c>
      <c r="G165" s="289">
        <f>+K0kommunestruktur2021altern!G165</f>
        <v>1620</v>
      </c>
      <c r="H165" s="289">
        <f>+K0kommunestruktur2021altern!H165</f>
        <v>30445</v>
      </c>
      <c r="I165" s="289">
        <f>+K0kommunestruktur2021altern!I165</f>
        <v>1620</v>
      </c>
      <c r="J165" s="289">
        <f>+K0kommunestruktur2021altern!J165</f>
        <v>29844</v>
      </c>
      <c r="K165" s="289">
        <f>+K0kommunestruktur2021altern!K165</f>
        <v>1553</v>
      </c>
      <c r="L165" s="289">
        <f>+K0kommunestruktur2021altern!L165</f>
        <v>29834</v>
      </c>
      <c r="M165" s="289">
        <f>+K0kommunestruktur2021altern!M165</f>
        <v>1551</v>
      </c>
      <c r="N165" s="289">
        <f>+K0kommunestruktur2021altern!N165</f>
        <v>31981</v>
      </c>
      <c r="O165" s="289">
        <f>+K0kommunestruktur2021altern!O165</f>
        <v>1562</v>
      </c>
      <c r="P165" s="289">
        <f>+K0kommunestruktur2021altern!P165</f>
        <v>32457</v>
      </c>
      <c r="Q165" s="289">
        <f>+K0kommunestruktur2021altern!Q165</f>
        <v>1563</v>
      </c>
      <c r="R165" s="289">
        <f>+K0kommunestruktur2021altern!R165</f>
        <v>36633.373</v>
      </c>
      <c r="S165" s="289">
        <f>VLOOKUP(A165,'K22'!A165:CU520,3)</f>
        <v>1551</v>
      </c>
      <c r="T165" s="289">
        <f>VLOOKUP(A165,'K22'!$A$4:$BV$359,26)</f>
        <v>39327.368964781286</v>
      </c>
      <c r="U165" s="289">
        <f>VLOOKUP(A165,'Bef.fremskr. kommunenivå MMMM'!$A$5:$K$360,8)</f>
        <v>1548</v>
      </c>
      <c r="V165" s="289">
        <f>VLOOKUP(A165,'K23'!$A$4:$BV$359,26)</f>
        <v>36926.628432652695</v>
      </c>
    </row>
    <row r="166" spans="1:22" ht="13">
      <c r="A166" s="755">
        <v>3427</v>
      </c>
      <c r="B166" s="756" t="s">
        <v>841</v>
      </c>
      <c r="C166" s="289">
        <f>+K0kommunestruktur2021altern!C166</f>
        <v>5549</v>
      </c>
      <c r="D166" s="289">
        <f>+K0kommunestruktur2021altern!D166</f>
        <v>107680</v>
      </c>
      <c r="E166" s="289">
        <f>+K0kommunestruktur2021altern!E166</f>
        <v>5562</v>
      </c>
      <c r="F166" s="289">
        <f>+K0kommunestruktur2021altern!F166</f>
        <v>113932</v>
      </c>
      <c r="G166" s="289">
        <f>+K0kommunestruktur2021altern!G166</f>
        <v>5580</v>
      </c>
      <c r="H166" s="289">
        <f>+K0kommunestruktur2021altern!H166</f>
        <v>122027</v>
      </c>
      <c r="I166" s="289">
        <f>+K0kommunestruktur2021altern!I166</f>
        <v>5584</v>
      </c>
      <c r="J166" s="289">
        <f>+K0kommunestruktur2021altern!J166</f>
        <v>130470</v>
      </c>
      <c r="K166" s="289">
        <f>+K0kommunestruktur2021altern!K166</f>
        <v>5605</v>
      </c>
      <c r="L166" s="289">
        <f>+K0kommunestruktur2021altern!L166</f>
        <v>136219</v>
      </c>
      <c r="M166" s="289">
        <f>+K0kommunestruktur2021altern!M166</f>
        <v>5591</v>
      </c>
      <c r="N166" s="289">
        <f>+K0kommunestruktur2021altern!N166</f>
        <v>138237</v>
      </c>
      <c r="O166" s="289">
        <f>+K0kommunestruktur2021altern!O166</f>
        <v>5578</v>
      </c>
      <c r="P166" s="289">
        <f>+K0kommunestruktur2021altern!P166</f>
        <v>140883</v>
      </c>
      <c r="Q166" s="289">
        <f>+K0kommunestruktur2021altern!Q166</f>
        <v>5537</v>
      </c>
      <c r="R166" s="289">
        <f>+K0kommunestruktur2021altern!R166</f>
        <v>157024.72899999999</v>
      </c>
      <c r="S166" s="289">
        <f>VLOOKUP(A166,'K22'!A166:CU521,3)</f>
        <v>5581</v>
      </c>
      <c r="T166" s="289">
        <f>VLOOKUP(A166,'K22'!$A$4:$BV$359,26)</f>
        <v>171566.54555409704</v>
      </c>
      <c r="U166" s="289">
        <f>VLOOKUP(A166,'Bef.fremskr. kommunenivå MMMM'!$A$5:$K$360,8)</f>
        <v>5586</v>
      </c>
      <c r="V166" s="289">
        <f>VLOOKUP(A166,'K23'!$A$4:$BV$359,26)</f>
        <v>160604.92275564163</v>
      </c>
    </row>
    <row r="167" spans="1:22" ht="13">
      <c r="A167" s="755">
        <v>3428</v>
      </c>
      <c r="B167" s="756" t="s">
        <v>842</v>
      </c>
      <c r="C167" s="289">
        <f>+K0kommunestruktur2021altern!C167</f>
        <v>2432</v>
      </c>
      <c r="D167" s="289">
        <f>+K0kommunestruktur2021altern!D167</f>
        <v>48352</v>
      </c>
      <c r="E167" s="289">
        <f>+K0kommunestruktur2021altern!E167</f>
        <v>2418</v>
      </c>
      <c r="F167" s="289">
        <f>+K0kommunestruktur2021altern!F167</f>
        <v>49066</v>
      </c>
      <c r="G167" s="289">
        <f>+K0kommunestruktur2021altern!G167</f>
        <v>2426</v>
      </c>
      <c r="H167" s="289">
        <f>+K0kommunestruktur2021altern!H167</f>
        <v>52913</v>
      </c>
      <c r="I167" s="289">
        <f>+K0kommunestruktur2021altern!I167</f>
        <v>2441</v>
      </c>
      <c r="J167" s="289">
        <f>+K0kommunestruktur2021altern!J167</f>
        <v>59525</v>
      </c>
      <c r="K167" s="289">
        <f>+K0kommunestruktur2021altern!K167</f>
        <v>2424</v>
      </c>
      <c r="L167" s="289">
        <f>+K0kommunestruktur2021altern!L167</f>
        <v>59910</v>
      </c>
      <c r="M167" s="289">
        <f>+K0kommunestruktur2021altern!M167</f>
        <v>2418</v>
      </c>
      <c r="N167" s="289">
        <f>+K0kommunestruktur2021altern!N167</f>
        <v>59219</v>
      </c>
      <c r="O167" s="289">
        <f>+K0kommunestruktur2021altern!O167</f>
        <v>2432</v>
      </c>
      <c r="P167" s="289">
        <f>+K0kommunestruktur2021altern!P167</f>
        <v>59798</v>
      </c>
      <c r="Q167" s="289">
        <f>+K0kommunestruktur2021altern!Q167</f>
        <v>2405</v>
      </c>
      <c r="R167" s="289">
        <f>+K0kommunestruktur2021altern!R167</f>
        <v>69419.739000000001</v>
      </c>
      <c r="S167" s="289">
        <f>VLOOKUP(A167,'K22'!A167:CU522,3)</f>
        <v>2445</v>
      </c>
      <c r="T167" s="289">
        <f>VLOOKUP(A167,'K22'!$A$4:$BV$359,26)</f>
        <v>74779.524691692568</v>
      </c>
      <c r="U167" s="289">
        <f>VLOOKUP(A167,'Bef.fremskr. kommunenivå MMMM'!$A$5:$K$360,8)</f>
        <v>2449</v>
      </c>
      <c r="V167" s="289">
        <f>VLOOKUP(A167,'K23'!$A$4:$BV$359,26)</f>
        <v>69738.279576532383</v>
      </c>
    </row>
    <row r="168" spans="1:22" ht="13">
      <c r="A168" s="755">
        <v>3429</v>
      </c>
      <c r="B168" s="756" t="s">
        <v>843</v>
      </c>
      <c r="C168" s="289">
        <f>+K0kommunestruktur2021altern!C168</f>
        <v>1631</v>
      </c>
      <c r="D168" s="289">
        <f>+K0kommunestruktur2021altern!D168</f>
        <v>28026</v>
      </c>
      <c r="E168" s="289">
        <f>+K0kommunestruktur2021altern!E168</f>
        <v>1597</v>
      </c>
      <c r="F168" s="289">
        <f>+K0kommunestruktur2021altern!F168</f>
        <v>29300</v>
      </c>
      <c r="G168" s="289">
        <f>+K0kommunestruktur2021altern!G168</f>
        <v>1592</v>
      </c>
      <c r="H168" s="289">
        <f>+K0kommunestruktur2021altern!H168</f>
        <v>31621</v>
      </c>
      <c r="I168" s="289">
        <f>+K0kommunestruktur2021altern!I168</f>
        <v>1577</v>
      </c>
      <c r="J168" s="289">
        <f>+K0kommunestruktur2021altern!J168</f>
        <v>31809</v>
      </c>
      <c r="K168" s="289">
        <f>+K0kommunestruktur2021altern!K168</f>
        <v>1569</v>
      </c>
      <c r="L168" s="289">
        <f>+K0kommunestruktur2021altern!L168</f>
        <v>32557</v>
      </c>
      <c r="M168" s="289">
        <f>+K0kommunestruktur2021altern!M168</f>
        <v>1577</v>
      </c>
      <c r="N168" s="289">
        <f>+K0kommunestruktur2021altern!N168</f>
        <v>35614</v>
      </c>
      <c r="O168" s="289">
        <f>+K0kommunestruktur2021altern!O168</f>
        <v>1545</v>
      </c>
      <c r="P168" s="289">
        <f>+K0kommunestruktur2021altern!P168</f>
        <v>35491</v>
      </c>
      <c r="Q168" s="289">
        <f>+K0kommunestruktur2021altern!Q168</f>
        <v>1518</v>
      </c>
      <c r="R168" s="289">
        <f>+K0kommunestruktur2021altern!R168</f>
        <v>38539.900999999998</v>
      </c>
      <c r="S168" s="289">
        <f>VLOOKUP(A168,'K22'!A168:CU523,3)</f>
        <v>1530</v>
      </c>
      <c r="T168" s="289">
        <f>VLOOKUP(A168,'K22'!$A$4:$BV$359,26)</f>
        <v>43336.656285180288</v>
      </c>
      <c r="U168" s="289">
        <f>VLOOKUP(A168,'Bef.fremskr. kommunenivå MMMM'!$A$5:$K$360,8)</f>
        <v>1534</v>
      </c>
      <c r="V168" s="289">
        <f>VLOOKUP(A168,'K23'!$A$4:$BV$359,26)</f>
        <v>39976.135093176068</v>
      </c>
    </row>
    <row r="169" spans="1:22" ht="13">
      <c r="A169" s="755">
        <v>3430</v>
      </c>
      <c r="B169" s="756" t="s">
        <v>844</v>
      </c>
      <c r="C169" s="289">
        <f>+K0kommunestruktur2021altern!C169</f>
        <v>2013</v>
      </c>
      <c r="D169" s="289">
        <f>+K0kommunestruktur2021altern!D169</f>
        <v>35911</v>
      </c>
      <c r="E169" s="289">
        <f>+K0kommunestruktur2021altern!E169</f>
        <v>1991</v>
      </c>
      <c r="F169" s="289">
        <f>+K0kommunestruktur2021altern!F169</f>
        <v>38018</v>
      </c>
      <c r="G169" s="289">
        <f>+K0kommunestruktur2021altern!G169</f>
        <v>1956</v>
      </c>
      <c r="H169" s="289">
        <f>+K0kommunestruktur2021altern!H169</f>
        <v>40273</v>
      </c>
      <c r="I169" s="289">
        <f>+K0kommunestruktur2021altern!I169</f>
        <v>1963</v>
      </c>
      <c r="J169" s="289">
        <f>+K0kommunestruktur2021altern!J169</f>
        <v>40847</v>
      </c>
      <c r="K169" s="289">
        <f>+K0kommunestruktur2021altern!K169</f>
        <v>1936</v>
      </c>
      <c r="L169" s="289">
        <f>+K0kommunestruktur2021altern!L169</f>
        <v>42580</v>
      </c>
      <c r="M169" s="289">
        <f>+K0kommunestruktur2021altern!M169</f>
        <v>1912</v>
      </c>
      <c r="N169" s="289">
        <f>+K0kommunestruktur2021altern!N169</f>
        <v>46734</v>
      </c>
      <c r="O169" s="289">
        <f>+K0kommunestruktur2021altern!O169</f>
        <v>1891</v>
      </c>
      <c r="P169" s="289">
        <f>+K0kommunestruktur2021altern!P169</f>
        <v>68420</v>
      </c>
      <c r="Q169" s="289">
        <f>+K0kommunestruktur2021altern!Q169</f>
        <v>1870</v>
      </c>
      <c r="R169" s="289">
        <f>+K0kommunestruktur2021altern!R169</f>
        <v>58126.245999999999</v>
      </c>
      <c r="S169" s="289">
        <f>VLOOKUP(A169,'K22'!A169:CU524,3)</f>
        <v>1855</v>
      </c>
      <c r="T169" s="289">
        <f>VLOOKUP(A169,'K22'!$A$4:$BV$359,26)</f>
        <v>67299.252906402049</v>
      </c>
      <c r="U169" s="289">
        <f>VLOOKUP(A169,'Bef.fremskr. kommunenivå MMMM'!$A$5:$K$360,8)</f>
        <v>1836</v>
      </c>
      <c r="V169" s="289">
        <f>VLOOKUP(A169,'K23'!$A$4:$BV$359,26)</f>
        <v>62196.359816701734</v>
      </c>
    </row>
    <row r="170" spans="1:22" ht="13">
      <c r="A170" s="755">
        <v>3431</v>
      </c>
      <c r="B170" s="756" t="s">
        <v>847</v>
      </c>
      <c r="C170" s="289">
        <f>+K0kommunestruktur2021altern!C170</f>
        <v>2704</v>
      </c>
      <c r="D170" s="289">
        <f>+K0kommunestruktur2021altern!D170</f>
        <v>50086</v>
      </c>
      <c r="E170" s="289">
        <f>+K0kommunestruktur2021altern!E170</f>
        <v>2745</v>
      </c>
      <c r="F170" s="289">
        <f>+K0kommunestruktur2021altern!F170</f>
        <v>54394</v>
      </c>
      <c r="G170" s="289">
        <f>+K0kommunestruktur2021altern!G170</f>
        <v>2701</v>
      </c>
      <c r="H170" s="289">
        <f>+K0kommunestruktur2021altern!H170</f>
        <v>59477</v>
      </c>
      <c r="I170" s="289">
        <f>+K0kommunestruktur2021altern!I170</f>
        <v>2675</v>
      </c>
      <c r="J170" s="289">
        <f>+K0kommunestruktur2021altern!J170</f>
        <v>58760</v>
      </c>
      <c r="K170" s="289">
        <f>+K0kommunestruktur2021altern!K170</f>
        <v>2642</v>
      </c>
      <c r="L170" s="289">
        <f>+K0kommunestruktur2021altern!L170</f>
        <v>61104</v>
      </c>
      <c r="M170" s="289">
        <f>+K0kommunestruktur2021altern!M170</f>
        <v>2615</v>
      </c>
      <c r="N170" s="289">
        <f>+K0kommunestruktur2021altern!N170</f>
        <v>62336</v>
      </c>
      <c r="O170" s="289">
        <f>+K0kommunestruktur2021altern!O170</f>
        <v>2553</v>
      </c>
      <c r="P170" s="289">
        <f>+K0kommunestruktur2021altern!P170</f>
        <v>58865</v>
      </c>
      <c r="Q170" s="289">
        <f>+K0kommunestruktur2021altern!Q170</f>
        <v>2512</v>
      </c>
      <c r="R170" s="289">
        <f>+K0kommunestruktur2021altern!R170</f>
        <v>65512.31</v>
      </c>
      <c r="S170" s="289">
        <f>VLOOKUP(A170,'K22'!A170:CU525,3)</f>
        <v>2498</v>
      </c>
      <c r="T170" s="289">
        <f>VLOOKUP(A170,'K22'!$A$4:$BV$359,26)</f>
        <v>71688.528951443135</v>
      </c>
      <c r="U170" s="289">
        <f>VLOOKUP(A170,'Bef.fremskr. kommunenivå MMMM'!$A$5:$K$360,8)</f>
        <v>2483</v>
      </c>
      <c r="V170" s="289">
        <f>VLOOKUP(A170,'K23'!$A$4:$BV$359,26)</f>
        <v>66694.049804484908</v>
      </c>
    </row>
    <row r="171" spans="1:22" ht="13">
      <c r="A171" s="755">
        <v>3432</v>
      </c>
      <c r="B171" s="756" t="s">
        <v>848</v>
      </c>
      <c r="C171" s="289">
        <f>+K0kommunestruktur2021altern!C171</f>
        <v>2076</v>
      </c>
      <c r="D171" s="289">
        <f>+K0kommunestruktur2021altern!D171</f>
        <v>38506</v>
      </c>
      <c r="E171" s="289">
        <f>+K0kommunestruktur2021altern!E171</f>
        <v>2059</v>
      </c>
      <c r="F171" s="289">
        <f>+K0kommunestruktur2021altern!F171</f>
        <v>41423</v>
      </c>
      <c r="G171" s="289">
        <f>+K0kommunestruktur2021altern!G171</f>
        <v>2055</v>
      </c>
      <c r="H171" s="289">
        <f>+K0kommunestruktur2021altern!H171</f>
        <v>46978</v>
      </c>
      <c r="I171" s="289">
        <f>+K0kommunestruktur2021altern!I171</f>
        <v>2048</v>
      </c>
      <c r="J171" s="289">
        <f>+K0kommunestruktur2021altern!J171</f>
        <v>48600</v>
      </c>
      <c r="K171" s="289">
        <f>+K0kommunestruktur2021altern!K171</f>
        <v>2038</v>
      </c>
      <c r="L171" s="289">
        <f>+K0kommunestruktur2021altern!L171</f>
        <v>49147</v>
      </c>
      <c r="M171" s="289">
        <f>+K0kommunestruktur2021altern!M171</f>
        <v>2009</v>
      </c>
      <c r="N171" s="289">
        <f>+K0kommunestruktur2021altern!N171</f>
        <v>49891</v>
      </c>
      <c r="O171" s="289">
        <f>+K0kommunestruktur2021altern!O171</f>
        <v>1975</v>
      </c>
      <c r="P171" s="289">
        <f>+K0kommunestruktur2021altern!P171</f>
        <v>48613</v>
      </c>
      <c r="Q171" s="289">
        <f>+K0kommunestruktur2021altern!Q171</f>
        <v>1980</v>
      </c>
      <c r="R171" s="289">
        <f>+K0kommunestruktur2021altern!R171</f>
        <v>52668.099000000002</v>
      </c>
      <c r="S171" s="289">
        <f>VLOOKUP(A171,'K22'!A171:CU526,3)</f>
        <v>1986</v>
      </c>
      <c r="T171" s="289">
        <f>VLOOKUP(A171,'K22'!$A$4:$BV$359,26)</f>
        <v>59186.780391926637</v>
      </c>
      <c r="U171" s="289">
        <f>VLOOKUP(A171,'Bef.fremskr. kommunenivå MMMM'!$A$5:$K$360,8)</f>
        <v>1965</v>
      </c>
      <c r="V171" s="289">
        <f>VLOOKUP(A171,'K23'!$A$4:$BV$359,26)</f>
        <v>54918.664346500984</v>
      </c>
    </row>
    <row r="172" spans="1:22" ht="13">
      <c r="A172" s="755">
        <v>3433</v>
      </c>
      <c r="B172" s="756" t="s">
        <v>849</v>
      </c>
      <c r="C172" s="289">
        <f>+K0kommunestruktur2021altern!C172</f>
        <v>2264</v>
      </c>
      <c r="D172" s="289">
        <f>+K0kommunestruktur2021altern!D172</f>
        <v>54288</v>
      </c>
      <c r="E172" s="289">
        <f>+K0kommunestruktur2021altern!E172</f>
        <v>2245</v>
      </c>
      <c r="F172" s="289">
        <f>+K0kommunestruktur2021altern!F172</f>
        <v>57843</v>
      </c>
      <c r="G172" s="289">
        <f>+K0kommunestruktur2021altern!G172</f>
        <v>2204</v>
      </c>
      <c r="H172" s="289">
        <f>+K0kommunestruktur2021altern!H172</f>
        <v>56347</v>
      </c>
      <c r="I172" s="289">
        <f>+K0kommunestruktur2021altern!I172</f>
        <v>2202</v>
      </c>
      <c r="J172" s="289">
        <f>+K0kommunestruktur2021altern!J172</f>
        <v>57765</v>
      </c>
      <c r="K172" s="289">
        <f>+K0kommunestruktur2021altern!K172</f>
        <v>2179</v>
      </c>
      <c r="L172" s="289">
        <f>+K0kommunestruktur2021altern!L172</f>
        <v>59712</v>
      </c>
      <c r="M172" s="289">
        <f>+K0kommunestruktur2021altern!M172</f>
        <v>2204</v>
      </c>
      <c r="N172" s="289">
        <f>+K0kommunestruktur2021altern!N172</f>
        <v>61022</v>
      </c>
      <c r="O172" s="289">
        <f>+K0kommunestruktur2021altern!O172</f>
        <v>2197</v>
      </c>
      <c r="P172" s="289">
        <f>+K0kommunestruktur2021altern!P172</f>
        <v>62348</v>
      </c>
      <c r="Q172" s="289">
        <f>+K0kommunestruktur2021altern!Q172</f>
        <v>2183</v>
      </c>
      <c r="R172" s="289">
        <f>+K0kommunestruktur2021altern!R172</f>
        <v>67408.353000000003</v>
      </c>
      <c r="S172" s="289">
        <f>VLOOKUP(A172,'K22'!A172:CU527,3)</f>
        <v>2151</v>
      </c>
      <c r="T172" s="289">
        <f>VLOOKUP(A172,'K22'!$A$4:$BV$359,26)</f>
        <v>71779.66540455744</v>
      </c>
      <c r="U172" s="289">
        <f>VLOOKUP(A172,'Bef.fremskr. kommunenivå MMMM'!$A$5:$K$360,8)</f>
        <v>2125</v>
      </c>
      <c r="V172" s="289">
        <f>VLOOKUP(A172,'K23'!$A$4:$BV$359,26)</f>
        <v>67167.740513942801</v>
      </c>
    </row>
    <row r="173" spans="1:22" ht="13">
      <c r="A173" s="755">
        <v>3434</v>
      </c>
      <c r="B173" s="756" t="s">
        <v>850</v>
      </c>
      <c r="C173" s="289">
        <f>+K0kommunestruktur2021altern!C173</f>
        <v>2361</v>
      </c>
      <c r="D173" s="289">
        <f>+K0kommunestruktur2021altern!D173</f>
        <v>45505</v>
      </c>
      <c r="E173" s="289">
        <f>+K0kommunestruktur2021altern!E173</f>
        <v>2356</v>
      </c>
      <c r="F173" s="289">
        <f>+K0kommunestruktur2021altern!F173</f>
        <v>48209</v>
      </c>
      <c r="G173" s="289">
        <f>+K0kommunestruktur2021altern!G173</f>
        <v>2347</v>
      </c>
      <c r="H173" s="289">
        <f>+K0kommunestruktur2021altern!H173</f>
        <v>50742</v>
      </c>
      <c r="I173" s="289">
        <f>+K0kommunestruktur2021altern!I173</f>
        <v>2360</v>
      </c>
      <c r="J173" s="289">
        <f>+K0kommunestruktur2021altern!J173</f>
        <v>52717</v>
      </c>
      <c r="K173" s="289">
        <f>+K0kommunestruktur2021altern!K173</f>
        <v>2331</v>
      </c>
      <c r="L173" s="289">
        <f>+K0kommunestruktur2021altern!L173</f>
        <v>53712</v>
      </c>
      <c r="M173" s="289">
        <f>+K0kommunestruktur2021altern!M173</f>
        <v>2293</v>
      </c>
      <c r="N173" s="289">
        <f>+K0kommunestruktur2021altern!N173</f>
        <v>55282</v>
      </c>
      <c r="O173" s="289">
        <f>+K0kommunestruktur2021altern!O173</f>
        <v>2228</v>
      </c>
      <c r="P173" s="289">
        <f>+K0kommunestruktur2021altern!P173</f>
        <v>53756</v>
      </c>
      <c r="Q173" s="289">
        <f>+K0kommunestruktur2021altern!Q173</f>
        <v>2204</v>
      </c>
      <c r="R173" s="289">
        <f>+K0kommunestruktur2021altern!R173</f>
        <v>59656.925999999999</v>
      </c>
      <c r="S173" s="289">
        <f>VLOOKUP(A173,'K22'!A173:CU528,3)</f>
        <v>2211</v>
      </c>
      <c r="T173" s="289">
        <f>VLOOKUP(A173,'K22'!$A$4:$BV$359,26)</f>
        <v>64186.412316734808</v>
      </c>
      <c r="U173" s="289">
        <f>VLOOKUP(A173,'Bef.fremskr. kommunenivå MMMM'!$A$5:$K$360,8)</f>
        <v>2186</v>
      </c>
      <c r="V173" s="289">
        <f>VLOOKUP(A173,'K23'!$A$4:$BV$359,26)</f>
        <v>60417.319249286047</v>
      </c>
    </row>
    <row r="174" spans="1:22" ht="13">
      <c r="A174" s="755">
        <v>3435</v>
      </c>
      <c r="B174" s="756" t="s">
        <v>851</v>
      </c>
      <c r="C174" s="289">
        <f>+K0kommunestruktur2021altern!C174</f>
        <v>3686</v>
      </c>
      <c r="D174" s="289">
        <f>+K0kommunestruktur2021altern!D174</f>
        <v>67094</v>
      </c>
      <c r="E174" s="289">
        <f>+K0kommunestruktur2021altern!E174</f>
        <v>3675</v>
      </c>
      <c r="F174" s="289">
        <f>+K0kommunestruktur2021altern!F174</f>
        <v>69739</v>
      </c>
      <c r="G174" s="289">
        <f>+K0kommunestruktur2021altern!G174</f>
        <v>3664</v>
      </c>
      <c r="H174" s="289">
        <f>+K0kommunestruktur2021altern!H174</f>
        <v>75013</v>
      </c>
      <c r="I174" s="289">
        <f>+K0kommunestruktur2021altern!I174</f>
        <v>3640</v>
      </c>
      <c r="J174" s="289">
        <f>+K0kommunestruktur2021altern!J174</f>
        <v>75847</v>
      </c>
      <c r="K174" s="289">
        <f>+K0kommunestruktur2021altern!K174</f>
        <v>3638</v>
      </c>
      <c r="L174" s="289">
        <f>+K0kommunestruktur2021altern!L174</f>
        <v>88200</v>
      </c>
      <c r="M174" s="289">
        <f>+K0kommunestruktur2021altern!M174</f>
        <v>3589</v>
      </c>
      <c r="N174" s="289">
        <f>+K0kommunestruktur2021altern!N174</f>
        <v>89927</v>
      </c>
      <c r="O174" s="289">
        <f>+K0kommunestruktur2021altern!O174</f>
        <v>3570</v>
      </c>
      <c r="P174" s="289">
        <f>+K0kommunestruktur2021altern!P174</f>
        <v>85608</v>
      </c>
      <c r="Q174" s="289">
        <f>+K0kommunestruktur2021altern!Q174</f>
        <v>3564</v>
      </c>
      <c r="R174" s="289">
        <f>+K0kommunestruktur2021altern!R174</f>
        <v>94632.794999999998</v>
      </c>
      <c r="S174" s="289">
        <f>VLOOKUP(A174,'K22'!A174:CU529,3)</f>
        <v>3591</v>
      </c>
      <c r="T174" s="289">
        <f>VLOOKUP(A174,'K22'!$A$4:$BV$359,26)</f>
        <v>105654.7417666681</v>
      </c>
      <c r="U174" s="289">
        <f>VLOOKUP(A174,'Bef.fremskr. kommunenivå MMMM'!$A$5:$K$360,8)</f>
        <v>3565</v>
      </c>
      <c r="V174" s="289">
        <f>VLOOKUP(A174,'K23'!$A$4:$BV$359,26)</f>
        <v>98928.123028813148</v>
      </c>
    </row>
    <row r="175" spans="1:22" ht="13">
      <c r="A175" s="755">
        <v>3436</v>
      </c>
      <c r="B175" s="756" t="s">
        <v>852</v>
      </c>
      <c r="C175" s="289">
        <f>+K0kommunestruktur2021altern!C175</f>
        <v>5765</v>
      </c>
      <c r="D175" s="289">
        <f>+K0kommunestruktur2021altern!D175</f>
        <v>135027</v>
      </c>
      <c r="E175" s="289">
        <f>+K0kommunestruktur2021altern!E175</f>
        <v>5754</v>
      </c>
      <c r="F175" s="289">
        <f>+K0kommunestruktur2021altern!F175</f>
        <v>147197</v>
      </c>
      <c r="G175" s="289">
        <f>+K0kommunestruktur2021altern!G175</f>
        <v>5741</v>
      </c>
      <c r="H175" s="289">
        <f>+K0kommunestruktur2021altern!H175</f>
        <v>156680</v>
      </c>
      <c r="I175" s="289">
        <f>+K0kommunestruktur2021altern!I175</f>
        <v>5723</v>
      </c>
      <c r="J175" s="289">
        <f>+K0kommunestruktur2021altern!J175</f>
        <v>157240</v>
      </c>
      <c r="K175" s="289">
        <f>+K0kommunestruktur2021altern!K175</f>
        <v>5728</v>
      </c>
      <c r="L175" s="289">
        <f>+K0kommunestruktur2021altern!L175</f>
        <v>163384</v>
      </c>
      <c r="M175" s="289">
        <f>+K0kommunestruktur2021altern!M175</f>
        <v>5742</v>
      </c>
      <c r="N175" s="289">
        <f>+K0kommunestruktur2021altern!N175</f>
        <v>163393</v>
      </c>
      <c r="O175" s="289">
        <f>+K0kommunestruktur2021altern!O175</f>
        <v>5723</v>
      </c>
      <c r="P175" s="289">
        <f>+K0kommunestruktur2021altern!P175</f>
        <v>161716</v>
      </c>
      <c r="Q175" s="289">
        <f>+K0kommunestruktur2021altern!Q175</f>
        <v>5705</v>
      </c>
      <c r="R175" s="289">
        <f>+K0kommunestruktur2021altern!R175</f>
        <v>176175.57399999999</v>
      </c>
      <c r="S175" s="289">
        <f>VLOOKUP(A175,'K22'!A175:CU530,3)</f>
        <v>5628</v>
      </c>
      <c r="T175" s="289">
        <f>VLOOKUP(A175,'K22'!$A$4:$BV$359,26)</f>
        <v>195336.12909134358</v>
      </c>
      <c r="U175" s="289">
        <f>VLOOKUP(A175,'Bef.fremskr. kommunenivå MMMM'!$A$5:$K$360,8)</f>
        <v>5600</v>
      </c>
      <c r="V175" s="289">
        <f>VLOOKUP(A175,'K23'!$A$4:$BV$359,26)</f>
        <v>179159.9685417343</v>
      </c>
    </row>
    <row r="176" spans="1:22" ht="13">
      <c r="A176" s="755">
        <v>3437</v>
      </c>
      <c r="B176" s="756" t="s">
        <v>853</v>
      </c>
      <c r="C176" s="289">
        <f>+K0kommunestruktur2021altern!C176</f>
        <v>5974</v>
      </c>
      <c r="D176" s="289">
        <f>+K0kommunestruktur2021altern!D176</f>
        <v>99876</v>
      </c>
      <c r="E176" s="289">
        <f>+K0kommunestruktur2021altern!E176</f>
        <v>5965</v>
      </c>
      <c r="F176" s="289">
        <f>+K0kommunestruktur2021altern!F176</f>
        <v>106162</v>
      </c>
      <c r="G176" s="289">
        <f>+K0kommunestruktur2021altern!G176</f>
        <v>5935</v>
      </c>
      <c r="H176" s="289">
        <f>+K0kommunestruktur2021altern!H176</f>
        <v>113135</v>
      </c>
      <c r="I176" s="289">
        <f>+K0kommunestruktur2021altern!I176</f>
        <v>5916</v>
      </c>
      <c r="J176" s="289">
        <f>+K0kommunestruktur2021altern!J176</f>
        <v>115631</v>
      </c>
      <c r="K176" s="289">
        <f>+K0kommunestruktur2021altern!K176</f>
        <v>5872</v>
      </c>
      <c r="L176" s="289">
        <f>+K0kommunestruktur2021altern!L176</f>
        <v>120218</v>
      </c>
      <c r="M176" s="289">
        <f>+K0kommunestruktur2021altern!M176</f>
        <v>5789</v>
      </c>
      <c r="N176" s="289">
        <f>+K0kommunestruktur2021altern!N176</f>
        <v>121998</v>
      </c>
      <c r="O176" s="289">
        <f>+K0kommunestruktur2021altern!O176</f>
        <v>5739</v>
      </c>
      <c r="P176" s="289">
        <f>+K0kommunestruktur2021altern!P176</f>
        <v>121296</v>
      </c>
      <c r="Q176" s="289">
        <f>+K0kommunestruktur2021altern!Q176</f>
        <v>5592</v>
      </c>
      <c r="R176" s="289">
        <f>+K0kommunestruktur2021altern!R176</f>
        <v>138306.56099999999</v>
      </c>
      <c r="S176" s="289">
        <f>VLOOKUP(A176,'K22'!A176:CU531,3)</f>
        <v>5531</v>
      </c>
      <c r="T176" s="289">
        <f>VLOOKUP(A176,'K22'!$A$4:$BV$359,26)</f>
        <v>143663.84231176722</v>
      </c>
      <c r="U176" s="289">
        <f>VLOOKUP(A176,'Bef.fremskr. kommunenivå MMMM'!$A$5:$K$360,8)</f>
        <v>5465</v>
      </c>
      <c r="V176" s="289">
        <f>VLOOKUP(A176,'K23'!$A$4:$BV$359,26)</f>
        <v>134433.02435989139</v>
      </c>
    </row>
    <row r="177" spans="1:22" ht="13">
      <c r="A177" s="755">
        <v>3438</v>
      </c>
      <c r="B177" s="756" t="s">
        <v>854</v>
      </c>
      <c r="C177" s="289">
        <f>+K0kommunestruktur2021altern!C177</f>
        <v>3191</v>
      </c>
      <c r="D177" s="289">
        <f>+K0kommunestruktur2021altern!D177</f>
        <v>71560</v>
      </c>
      <c r="E177" s="289">
        <f>+K0kommunestruktur2021altern!E177</f>
        <v>3204</v>
      </c>
      <c r="F177" s="289">
        <f>+K0kommunestruktur2021altern!F177</f>
        <v>72836</v>
      </c>
      <c r="G177" s="289">
        <f>+K0kommunestruktur2021altern!G177</f>
        <v>3154</v>
      </c>
      <c r="H177" s="289">
        <f>+K0kommunestruktur2021altern!H177</f>
        <v>80249</v>
      </c>
      <c r="I177" s="289">
        <f>+K0kommunestruktur2021altern!I177</f>
        <v>3163</v>
      </c>
      <c r="J177" s="289">
        <f>+K0kommunestruktur2021altern!J177</f>
        <v>81548</v>
      </c>
      <c r="K177" s="289">
        <f>+K0kommunestruktur2021altern!K177</f>
        <v>3146</v>
      </c>
      <c r="L177" s="289">
        <f>+K0kommunestruktur2021altern!L177</f>
        <v>85416</v>
      </c>
      <c r="M177" s="289">
        <f>+K0kommunestruktur2021altern!M177</f>
        <v>3127</v>
      </c>
      <c r="N177" s="289">
        <f>+K0kommunestruktur2021altern!N177</f>
        <v>86652</v>
      </c>
      <c r="O177" s="289">
        <f>+K0kommunestruktur2021altern!O177</f>
        <v>3119</v>
      </c>
      <c r="P177" s="289">
        <f>+K0kommunestruktur2021altern!P177</f>
        <v>83331</v>
      </c>
      <c r="Q177" s="289">
        <f>+K0kommunestruktur2021altern!Q177</f>
        <v>3064</v>
      </c>
      <c r="R177" s="289">
        <f>+K0kommunestruktur2021altern!R177</f>
        <v>91462.100999999995</v>
      </c>
      <c r="S177" s="289">
        <f>VLOOKUP(A177,'K22'!A177:CU532,3)</f>
        <v>3064</v>
      </c>
      <c r="T177" s="289">
        <f>VLOOKUP(A177,'K22'!$A$4:$BV$359,26)</f>
        <v>102877.75238761633</v>
      </c>
      <c r="U177" s="289">
        <f>VLOOKUP(A177,'Bef.fremskr. kommunenivå MMMM'!$A$5:$K$360,8)</f>
        <v>3068</v>
      </c>
      <c r="V177" s="289">
        <f>VLOOKUP(A177,'K23'!$A$4:$BV$359,26)</f>
        <v>94635.689568996517</v>
      </c>
    </row>
    <row r="178" spans="1:22" ht="13">
      <c r="A178" s="755">
        <v>3439</v>
      </c>
      <c r="B178" s="756" t="s">
        <v>855</v>
      </c>
      <c r="C178" s="289">
        <f>+K0kommunestruktur2021altern!C178</f>
        <v>4495</v>
      </c>
      <c r="D178" s="289">
        <f>+K0kommunestruktur2021altern!D178</f>
        <v>88613</v>
      </c>
      <c r="E178" s="289">
        <f>+K0kommunestruktur2021altern!E178</f>
        <v>4459</v>
      </c>
      <c r="F178" s="289">
        <f>+K0kommunestruktur2021altern!F178</f>
        <v>96151</v>
      </c>
      <c r="G178" s="289">
        <f>+K0kommunestruktur2021altern!G178</f>
        <v>4462</v>
      </c>
      <c r="H178" s="289">
        <f>+K0kommunestruktur2021altern!H178</f>
        <v>103553</v>
      </c>
      <c r="I178" s="289">
        <f>+K0kommunestruktur2021altern!I178</f>
        <v>4502</v>
      </c>
      <c r="J178" s="289">
        <f>+K0kommunestruktur2021altern!J178</f>
        <v>106336</v>
      </c>
      <c r="K178" s="289">
        <f>+K0kommunestruktur2021altern!K178</f>
        <v>4454</v>
      </c>
      <c r="L178" s="289">
        <f>+K0kommunestruktur2021altern!L178</f>
        <v>110978</v>
      </c>
      <c r="M178" s="289">
        <f>+K0kommunestruktur2021altern!M178</f>
        <v>4425</v>
      </c>
      <c r="N178" s="289">
        <f>+K0kommunestruktur2021altern!N178</f>
        <v>118676</v>
      </c>
      <c r="O178" s="289">
        <f>+K0kommunestruktur2021altern!O178</f>
        <v>4392</v>
      </c>
      <c r="P178" s="289">
        <f>+K0kommunestruktur2021altern!P178</f>
        <v>121117</v>
      </c>
      <c r="Q178" s="289">
        <f>+K0kommunestruktur2021altern!Q178</f>
        <v>4408</v>
      </c>
      <c r="R178" s="289">
        <f>+K0kommunestruktur2021altern!R178</f>
        <v>130433.122</v>
      </c>
      <c r="S178" s="289">
        <f>VLOOKUP(A178,'K22'!A178:CU533,3)</f>
        <v>4385</v>
      </c>
      <c r="T178" s="289">
        <f>VLOOKUP(A178,'K22'!$A$4:$BV$359,26)</f>
        <v>145361.88651834914</v>
      </c>
      <c r="U178" s="289">
        <f>VLOOKUP(A178,'Bef.fremskr. kommunenivå MMMM'!$A$5:$K$360,8)</f>
        <v>4378</v>
      </c>
      <c r="V178" s="289">
        <f>VLOOKUP(A178,'K23'!$A$4:$BV$359,26)</f>
        <v>135454.61855564592</v>
      </c>
    </row>
    <row r="179" spans="1:22" ht="13">
      <c r="A179" s="889">
        <v>3440</v>
      </c>
      <c r="B179" s="890" t="s">
        <v>856</v>
      </c>
      <c r="C179" s="289">
        <f>+C369+C370</f>
        <v>5104.2287579399999</v>
      </c>
      <c r="D179" s="289">
        <f t="shared" ref="D179:R179" si="3">+D369+D370</f>
        <v>116422.16509316821</v>
      </c>
      <c r="E179" s="289">
        <f t="shared" si="3"/>
        <v>5079.37195101</v>
      </c>
      <c r="F179" s="289">
        <f t="shared" si="3"/>
        <v>116435.78285905521</v>
      </c>
      <c r="G179" s="289">
        <f t="shared" si="3"/>
        <v>5086.4646053400002</v>
      </c>
      <c r="H179" s="289">
        <f t="shared" si="3"/>
        <v>131699.91327690132</v>
      </c>
      <c r="I179" s="289">
        <f t="shared" si="3"/>
        <v>5096.6251710899996</v>
      </c>
      <c r="J179" s="289">
        <f t="shared" si="3"/>
        <v>140756.95265490984</v>
      </c>
      <c r="K179" s="289">
        <f t="shared" si="3"/>
        <v>5144.7078229700001</v>
      </c>
      <c r="L179" s="289">
        <f t="shared" si="3"/>
        <v>149727.73990091181</v>
      </c>
      <c r="M179" s="289">
        <f t="shared" si="3"/>
        <v>5133.7525708100002</v>
      </c>
      <c r="N179" s="289">
        <f t="shared" si="3"/>
        <v>156275.1955218002</v>
      </c>
      <c r="O179" s="289">
        <f t="shared" si="3"/>
        <v>5114.92208613</v>
      </c>
      <c r="P179" s="289">
        <f t="shared" si="3"/>
        <v>154518.20405022136</v>
      </c>
      <c r="Q179" s="289">
        <f t="shared" si="3"/>
        <v>5108</v>
      </c>
      <c r="R179" s="289">
        <f t="shared" si="3"/>
        <v>172295.19079496717</v>
      </c>
      <c r="S179" s="289">
        <f>VLOOKUP(A179,'K22'!A179:CU534,3)</f>
        <v>5082</v>
      </c>
      <c r="T179" s="289">
        <f>VLOOKUP(A179,'K22'!$A$4:$BV$359,26)</f>
        <v>187372.48512964067</v>
      </c>
      <c r="U179" s="289">
        <f>VLOOKUP(A179,'Bef.fremskr. kommunenivå MMMM'!$A$5:$K$360,8)</f>
        <v>5105</v>
      </c>
      <c r="V179" s="289">
        <f>VLOOKUP(A179,'K23'!$A$4:$BV$359,26)</f>
        <v>177003.31245149305</v>
      </c>
    </row>
    <row r="180" spans="1:22" ht="13">
      <c r="A180" s="755">
        <v>3441</v>
      </c>
      <c r="B180" s="756" t="s">
        <v>857</v>
      </c>
      <c r="C180" s="289">
        <f>+K0kommunestruktur2021altern!C180</f>
        <v>6237</v>
      </c>
      <c r="D180" s="289">
        <f>+K0kommunestruktur2021altern!D180</f>
        <v>121697</v>
      </c>
      <c r="E180" s="289">
        <f>+K0kommunestruktur2021altern!E180</f>
        <v>6210</v>
      </c>
      <c r="F180" s="289">
        <f>+K0kommunestruktur2021altern!F180</f>
        <v>129805</v>
      </c>
      <c r="G180" s="289">
        <f>+K0kommunestruktur2021altern!G180</f>
        <v>6227</v>
      </c>
      <c r="H180" s="289">
        <f>+K0kommunestruktur2021altern!H180</f>
        <v>141000</v>
      </c>
      <c r="I180" s="289">
        <f>+K0kommunestruktur2021altern!I180</f>
        <v>6204</v>
      </c>
      <c r="J180" s="289">
        <f>+K0kommunestruktur2021altern!J180</f>
        <v>148052</v>
      </c>
      <c r="K180" s="289">
        <f>+K0kommunestruktur2021altern!K180</f>
        <v>6148</v>
      </c>
      <c r="L180" s="289">
        <f>+K0kommunestruktur2021altern!L180</f>
        <v>156210</v>
      </c>
      <c r="M180" s="289">
        <f>+K0kommunestruktur2021altern!M180</f>
        <v>6112</v>
      </c>
      <c r="N180" s="289">
        <f>+K0kommunestruktur2021altern!N180</f>
        <v>158541</v>
      </c>
      <c r="O180" s="289">
        <f>+K0kommunestruktur2021altern!O180</f>
        <v>6106</v>
      </c>
      <c r="P180" s="289">
        <f>+K0kommunestruktur2021altern!P180</f>
        <v>158330</v>
      </c>
      <c r="Q180" s="289">
        <f>+K0kommunestruktur2021altern!Q180</f>
        <v>6023</v>
      </c>
      <c r="R180" s="289">
        <f>+K0kommunestruktur2021altern!R180</f>
        <v>183324.886</v>
      </c>
      <c r="S180" s="289">
        <f>VLOOKUP(A180,'K22'!A180:CU535,3)</f>
        <v>6079</v>
      </c>
      <c r="T180" s="289">
        <f>VLOOKUP(A180,'K22'!$A$4:$BV$359,26)</f>
        <v>196309.42578320668</v>
      </c>
      <c r="U180" s="289">
        <f>VLOOKUP(A180,'Bef.fremskr. kommunenivå MMMM'!$A$5:$K$360,8)</f>
        <v>6076</v>
      </c>
      <c r="V180" s="289">
        <f>VLOOKUP(A180,'K23'!$A$4:$BV$359,26)</f>
        <v>183675.2852534251</v>
      </c>
    </row>
    <row r="181" spans="1:22" ht="13">
      <c r="A181" s="755">
        <v>3442</v>
      </c>
      <c r="B181" s="756" t="s">
        <v>858</v>
      </c>
      <c r="C181" s="289">
        <f>+K0kommunestruktur2021altern!C181</f>
        <v>14777</v>
      </c>
      <c r="D181" s="289">
        <f>+K0kommunestruktur2021altern!D181</f>
        <v>281403</v>
      </c>
      <c r="E181" s="289">
        <f>+K0kommunestruktur2021altern!E181</f>
        <v>14796</v>
      </c>
      <c r="F181" s="289">
        <f>+K0kommunestruktur2021altern!F181</f>
        <v>298093</v>
      </c>
      <c r="G181" s="289">
        <f>+K0kommunestruktur2021altern!G181</f>
        <v>14906</v>
      </c>
      <c r="H181" s="289">
        <f>+K0kommunestruktur2021altern!H181</f>
        <v>331237</v>
      </c>
      <c r="I181" s="289">
        <f>+K0kommunestruktur2021altern!I181</f>
        <v>14887</v>
      </c>
      <c r="J181" s="289">
        <f>+K0kommunestruktur2021altern!J181</f>
        <v>349805</v>
      </c>
      <c r="K181" s="289">
        <f>+K0kommunestruktur2021altern!K181</f>
        <v>14888</v>
      </c>
      <c r="L181" s="289">
        <f>+K0kommunestruktur2021altern!L181</f>
        <v>375056</v>
      </c>
      <c r="M181" s="289">
        <f>+K0kommunestruktur2021altern!M181</f>
        <v>14948</v>
      </c>
      <c r="N181" s="289">
        <f>+K0kommunestruktur2021altern!N181</f>
        <v>387332</v>
      </c>
      <c r="O181" s="289">
        <f>+K0kommunestruktur2021altern!O181</f>
        <v>14973</v>
      </c>
      <c r="P181" s="289">
        <f>+K0kommunestruktur2021altern!P181</f>
        <v>373661</v>
      </c>
      <c r="Q181" s="289">
        <f>+K0kommunestruktur2021altern!Q181</f>
        <v>14871</v>
      </c>
      <c r="R181" s="289">
        <f>+K0kommunestruktur2021altern!R181</f>
        <v>439690.75199999998</v>
      </c>
      <c r="S181" s="289">
        <f>VLOOKUP(A181,'K22'!A181:CU536,3)</f>
        <v>14827</v>
      </c>
      <c r="T181" s="289">
        <f>VLOOKUP(A181,'K22'!$A$4:$BV$359,26)</f>
        <v>475486.11376062763</v>
      </c>
      <c r="U181" s="289">
        <f>VLOOKUP(A181,'Bef.fremskr. kommunenivå MMMM'!$A$5:$K$360,8)</f>
        <v>14825</v>
      </c>
      <c r="V181" s="289">
        <f>VLOOKUP(A181,'K23'!$A$4:$BV$359,26)</f>
        <v>438302.73184615484</v>
      </c>
    </row>
    <row r="182" spans="1:22" ht="13">
      <c r="A182" s="755">
        <v>3443</v>
      </c>
      <c r="B182" s="756" t="s">
        <v>859</v>
      </c>
      <c r="C182" s="289">
        <f>+K0kommunestruktur2021altern!C182</f>
        <v>13075</v>
      </c>
      <c r="D182" s="289">
        <f>+K0kommunestruktur2021altern!D182</f>
        <v>248655</v>
      </c>
      <c r="E182" s="289">
        <f>+K0kommunestruktur2021altern!E182</f>
        <v>13152</v>
      </c>
      <c r="F182" s="289">
        <f>+K0kommunestruktur2021altern!F182</f>
        <v>268292</v>
      </c>
      <c r="G182" s="289">
        <f>+K0kommunestruktur2021altern!G182</f>
        <v>13180</v>
      </c>
      <c r="H182" s="289">
        <f>+K0kommunestruktur2021altern!H182</f>
        <v>289291</v>
      </c>
      <c r="I182" s="289">
        <f>+K0kommunestruktur2021altern!I182</f>
        <v>13179</v>
      </c>
      <c r="J182" s="289">
        <f>+K0kommunestruktur2021altern!J182</f>
        <v>298912</v>
      </c>
      <c r="K182" s="289">
        <f>+K0kommunestruktur2021altern!K182</f>
        <v>13314</v>
      </c>
      <c r="L182" s="289">
        <f>+K0kommunestruktur2021altern!L182</f>
        <v>319630</v>
      </c>
      <c r="M182" s="289">
        <f>+K0kommunestruktur2021altern!M182</f>
        <v>13384</v>
      </c>
      <c r="N182" s="289">
        <f>+K0kommunestruktur2021altern!N182</f>
        <v>330293</v>
      </c>
      <c r="O182" s="289">
        <f>+K0kommunestruktur2021altern!O182</f>
        <v>13427</v>
      </c>
      <c r="P182" s="289">
        <f>+K0kommunestruktur2021altern!P182</f>
        <v>322511</v>
      </c>
      <c r="Q182" s="289">
        <f>+K0kommunestruktur2021altern!Q182</f>
        <v>13459</v>
      </c>
      <c r="R182" s="289">
        <f>+K0kommunestruktur2021altern!R182</f>
        <v>372074.12</v>
      </c>
      <c r="S182" s="289">
        <f>VLOOKUP(A182,'K22'!A182:CU537,3)</f>
        <v>13572</v>
      </c>
      <c r="T182" s="289">
        <f>VLOOKUP(A182,'K22'!$A$4:$BV$359,26)</f>
        <v>405416.37383892463</v>
      </c>
      <c r="U182" s="289">
        <f>VLOOKUP(A182,'Bef.fremskr. kommunenivå MMMM'!$A$5:$K$360,8)</f>
        <v>13660</v>
      </c>
      <c r="V182" s="289">
        <f>VLOOKUP(A182,'K23'!$A$4:$BV$359,26)</f>
        <v>383609.50185554335</v>
      </c>
    </row>
    <row r="183" spans="1:22" ht="13">
      <c r="A183" s="755">
        <v>3446</v>
      </c>
      <c r="B183" s="756" t="s">
        <v>862</v>
      </c>
      <c r="C183" s="289">
        <f>+K0kommunestruktur2021altern!C183</f>
        <v>13607</v>
      </c>
      <c r="D183" s="289">
        <f>+K0kommunestruktur2021altern!D183</f>
        <v>275643</v>
      </c>
      <c r="E183" s="289">
        <f>+K0kommunestruktur2021altern!E183</f>
        <v>13685</v>
      </c>
      <c r="F183" s="289">
        <f>+K0kommunestruktur2021altern!F183</f>
        <v>299360</v>
      </c>
      <c r="G183" s="289">
        <f>+K0kommunestruktur2021altern!G183</f>
        <v>13695</v>
      </c>
      <c r="H183" s="289">
        <f>+K0kommunestruktur2021altern!H183</f>
        <v>330694</v>
      </c>
      <c r="I183" s="289">
        <f>+K0kommunestruktur2021altern!I183</f>
        <v>13707</v>
      </c>
      <c r="J183" s="289">
        <f>+K0kommunestruktur2021altern!J183</f>
        <v>341304</v>
      </c>
      <c r="K183" s="289">
        <f>+K0kommunestruktur2021altern!K183</f>
        <v>13770</v>
      </c>
      <c r="L183" s="289">
        <f>+K0kommunestruktur2021altern!L183</f>
        <v>356430</v>
      </c>
      <c r="M183" s="289">
        <f>+K0kommunestruktur2021altern!M183</f>
        <v>13642</v>
      </c>
      <c r="N183" s="289">
        <f>+K0kommunestruktur2021altern!N183</f>
        <v>362027</v>
      </c>
      <c r="O183" s="289">
        <f>+K0kommunestruktur2021altern!O183</f>
        <v>13630</v>
      </c>
      <c r="P183" s="289">
        <f>+K0kommunestruktur2021altern!P183</f>
        <v>358274</v>
      </c>
      <c r="Q183" s="289">
        <f>+K0kommunestruktur2021altern!Q183</f>
        <v>13611</v>
      </c>
      <c r="R183" s="289">
        <f>+K0kommunestruktur2021altern!R183</f>
        <v>427907.10100000002</v>
      </c>
      <c r="S183" s="289">
        <f>VLOOKUP(A183,'K22'!A183:CU538,3)</f>
        <v>13633</v>
      </c>
      <c r="T183" s="289">
        <f>VLOOKUP(A183,'K22'!$A$4:$BV$359,26)</f>
        <v>455948.37346934009</v>
      </c>
      <c r="U183" s="289">
        <f>VLOOKUP(A183,'Bef.fremskr. kommunenivå MMMM'!$A$5:$K$360,8)</f>
        <v>13605</v>
      </c>
      <c r="V183" s="289">
        <f>VLOOKUP(A183,'K23'!$A$4:$BV$359,26)</f>
        <v>421086.21833609411</v>
      </c>
    </row>
    <row r="184" spans="1:22" ht="13">
      <c r="A184" s="755">
        <v>3447</v>
      </c>
      <c r="B184" s="756" t="s">
        <v>863</v>
      </c>
      <c r="C184" s="289">
        <f>+K0kommunestruktur2021altern!C184</f>
        <v>5701</v>
      </c>
      <c r="D184" s="289">
        <f>+K0kommunestruktur2021altern!D184</f>
        <v>93534</v>
      </c>
      <c r="E184" s="289">
        <f>+K0kommunestruktur2021altern!E184</f>
        <v>5772</v>
      </c>
      <c r="F184" s="289">
        <f>+K0kommunestruktur2021altern!F184</f>
        <v>99452</v>
      </c>
      <c r="G184" s="289">
        <f>+K0kommunestruktur2021altern!G184</f>
        <v>5758</v>
      </c>
      <c r="H184" s="289">
        <f>+K0kommunestruktur2021altern!H184</f>
        <v>111262</v>
      </c>
      <c r="I184" s="289">
        <f>+K0kommunestruktur2021altern!I184</f>
        <v>5717</v>
      </c>
      <c r="J184" s="289">
        <f>+K0kommunestruktur2021altern!J184</f>
        <v>114902</v>
      </c>
      <c r="K184" s="289">
        <f>+K0kommunestruktur2021altern!K184</f>
        <v>5650</v>
      </c>
      <c r="L184" s="289">
        <f>+K0kommunestruktur2021altern!L184</f>
        <v>118346</v>
      </c>
      <c r="M184" s="289">
        <f>+K0kommunestruktur2021altern!M184</f>
        <v>5623</v>
      </c>
      <c r="N184" s="289">
        <f>+K0kommunestruktur2021altern!N184</f>
        <v>123933</v>
      </c>
      <c r="O184" s="289">
        <f>+K0kommunestruktur2021altern!O184</f>
        <v>5617</v>
      </c>
      <c r="P184" s="289">
        <f>+K0kommunestruktur2021altern!P184</f>
        <v>121468</v>
      </c>
      <c r="Q184" s="289">
        <f>+K0kommunestruktur2021altern!Q184</f>
        <v>5579</v>
      </c>
      <c r="R184" s="289">
        <f>+K0kommunestruktur2021altern!R184</f>
        <v>139649.82</v>
      </c>
      <c r="S184" s="289">
        <f>VLOOKUP(A184,'K22'!A184:CU539,3)</f>
        <v>5535</v>
      </c>
      <c r="T184" s="289">
        <f>VLOOKUP(A184,'K22'!$A$4:$BV$359,26)</f>
        <v>151342.38284391418</v>
      </c>
      <c r="U184" s="289">
        <f>VLOOKUP(A184,'Bef.fremskr. kommunenivå MMMM'!$A$5:$K$360,8)</f>
        <v>5542</v>
      </c>
      <c r="V184" s="289">
        <f>VLOOKUP(A184,'K23'!$A$4:$BV$359,26)</f>
        <v>139993.0295167208</v>
      </c>
    </row>
    <row r="185" spans="1:22" ht="13">
      <c r="A185" s="755">
        <v>3448</v>
      </c>
      <c r="B185" s="756" t="s">
        <v>864</v>
      </c>
      <c r="C185" s="289">
        <f>+K0kommunestruktur2021altern!C185</f>
        <v>6700</v>
      </c>
      <c r="D185" s="289">
        <f>+K0kommunestruktur2021altern!D185</f>
        <v>119053</v>
      </c>
      <c r="E185" s="289">
        <f>+K0kommunestruktur2021altern!E185</f>
        <v>6740</v>
      </c>
      <c r="F185" s="289">
        <f>+K0kommunestruktur2021altern!F185</f>
        <v>130066</v>
      </c>
      <c r="G185" s="289">
        <f>+K0kommunestruktur2021altern!G185</f>
        <v>6751</v>
      </c>
      <c r="H185" s="289">
        <f>+K0kommunestruktur2021altern!H185</f>
        <v>140247</v>
      </c>
      <c r="I185" s="289">
        <f>+K0kommunestruktur2021altern!I185</f>
        <v>6773</v>
      </c>
      <c r="J185" s="289">
        <f>+K0kommunestruktur2021altern!J185</f>
        <v>144949</v>
      </c>
      <c r="K185" s="289">
        <f>+K0kommunestruktur2021altern!K185</f>
        <v>6750</v>
      </c>
      <c r="L185" s="289">
        <f>+K0kommunestruktur2021altern!L185</f>
        <v>148417</v>
      </c>
      <c r="M185" s="289">
        <f>+K0kommunestruktur2021altern!M185</f>
        <v>6671</v>
      </c>
      <c r="N185" s="289">
        <f>+K0kommunestruktur2021altern!N185</f>
        <v>155140</v>
      </c>
      <c r="O185" s="289">
        <f>+K0kommunestruktur2021altern!O185</f>
        <v>6633</v>
      </c>
      <c r="P185" s="289">
        <f>+K0kommunestruktur2021altern!P185</f>
        <v>152361</v>
      </c>
      <c r="Q185" s="289">
        <f>+K0kommunestruktur2021altern!Q185</f>
        <v>6581</v>
      </c>
      <c r="R185" s="289">
        <f>+K0kommunestruktur2021altern!R185</f>
        <v>162206.125</v>
      </c>
      <c r="S185" s="289">
        <f>VLOOKUP(A185,'K22'!A185:CU540,3)</f>
        <v>6577</v>
      </c>
      <c r="T185" s="289">
        <f>VLOOKUP(A185,'K22'!$A$4:$BV$359,26)</f>
        <v>181502.47676777741</v>
      </c>
      <c r="U185" s="289">
        <f>VLOOKUP(A185,'Bef.fremskr. kommunenivå MMMM'!$A$5:$K$360,8)</f>
        <v>6574</v>
      </c>
      <c r="V185" s="289">
        <f>VLOOKUP(A185,'K23'!$A$4:$BV$359,26)</f>
        <v>171019.59658615338</v>
      </c>
    </row>
    <row r="186" spans="1:22" ht="13">
      <c r="A186" s="755">
        <v>3449</v>
      </c>
      <c r="B186" s="756" t="s">
        <v>865</v>
      </c>
      <c r="C186" s="289">
        <f>+K0kommunestruktur2021altern!C186</f>
        <v>3133</v>
      </c>
      <c r="D186" s="289">
        <f>+K0kommunestruktur2021altern!D186</f>
        <v>62100</v>
      </c>
      <c r="E186" s="289">
        <f>+K0kommunestruktur2021altern!E186</f>
        <v>3094</v>
      </c>
      <c r="F186" s="289">
        <f>+K0kommunestruktur2021altern!F186</f>
        <v>64195</v>
      </c>
      <c r="G186" s="289">
        <f>+K0kommunestruktur2021altern!G186</f>
        <v>3058</v>
      </c>
      <c r="H186" s="289">
        <f>+K0kommunestruktur2021altern!H186</f>
        <v>66787</v>
      </c>
      <c r="I186" s="289">
        <f>+K0kommunestruktur2021altern!I186</f>
        <v>3026</v>
      </c>
      <c r="J186" s="289">
        <f>+K0kommunestruktur2021altern!J186</f>
        <v>67880</v>
      </c>
      <c r="K186" s="289">
        <f>+K0kommunestruktur2021altern!K186</f>
        <v>3014</v>
      </c>
      <c r="L186" s="289">
        <f>+K0kommunestruktur2021altern!L186</f>
        <v>73595</v>
      </c>
      <c r="M186" s="289">
        <f>+K0kommunestruktur2021altern!M186</f>
        <v>2981</v>
      </c>
      <c r="N186" s="289">
        <f>+K0kommunestruktur2021altern!N186</f>
        <v>74443</v>
      </c>
      <c r="O186" s="289">
        <f>+K0kommunestruktur2021altern!O186</f>
        <v>2954</v>
      </c>
      <c r="P186" s="289">
        <f>+K0kommunestruktur2021altern!P186</f>
        <v>72905</v>
      </c>
      <c r="Q186" s="289">
        <f>+K0kommunestruktur2021altern!Q186</f>
        <v>2904</v>
      </c>
      <c r="R186" s="289">
        <f>+K0kommunestruktur2021altern!R186</f>
        <v>92272.346000000005</v>
      </c>
      <c r="S186" s="289">
        <f>VLOOKUP(A186,'K22'!A186:CU541,3)</f>
        <v>2889</v>
      </c>
      <c r="T186" s="289">
        <f>VLOOKUP(A186,'K22'!$A$4:$BV$359,26)</f>
        <v>92149.360527042954</v>
      </c>
      <c r="U186" s="289">
        <f>VLOOKUP(A186,'Bef.fremskr. kommunenivå MMMM'!$A$5:$K$360,8)</f>
        <v>2889</v>
      </c>
      <c r="V186" s="289">
        <f>VLOOKUP(A186,'K23'!$A$4:$BV$359,26)</f>
        <v>85851.126895935929</v>
      </c>
    </row>
    <row r="187" spans="1:22" ht="13">
      <c r="A187" s="755">
        <v>3450</v>
      </c>
      <c r="B187" s="756" t="s">
        <v>866</v>
      </c>
      <c r="C187" s="289">
        <f>+K0kommunestruktur2021altern!C187</f>
        <v>1408</v>
      </c>
      <c r="D187" s="289">
        <f>+K0kommunestruktur2021altern!D187</f>
        <v>23718</v>
      </c>
      <c r="E187" s="289">
        <f>+K0kommunestruktur2021altern!E187</f>
        <v>1402</v>
      </c>
      <c r="F187" s="289">
        <f>+K0kommunestruktur2021altern!F187</f>
        <v>24754</v>
      </c>
      <c r="G187" s="289">
        <f>+K0kommunestruktur2021altern!G187</f>
        <v>1321</v>
      </c>
      <c r="H187" s="289">
        <f>+K0kommunestruktur2021altern!H187</f>
        <v>28197</v>
      </c>
      <c r="I187" s="289">
        <f>+K0kommunestruktur2021altern!I187</f>
        <v>1351</v>
      </c>
      <c r="J187" s="289">
        <f>+K0kommunestruktur2021altern!J187</f>
        <v>32167</v>
      </c>
      <c r="K187" s="289">
        <f>+K0kommunestruktur2021altern!K187</f>
        <v>1352</v>
      </c>
      <c r="L187" s="289">
        <f>+K0kommunestruktur2021altern!L187</f>
        <v>32388</v>
      </c>
      <c r="M187" s="289">
        <f>+K0kommunestruktur2021altern!M187</f>
        <v>1305</v>
      </c>
      <c r="N187" s="289">
        <f>+K0kommunestruktur2021altern!N187</f>
        <v>30753</v>
      </c>
      <c r="O187" s="289">
        <f>+K0kommunestruktur2021altern!O187</f>
        <v>1279</v>
      </c>
      <c r="P187" s="289">
        <f>+K0kommunestruktur2021altern!P187</f>
        <v>30806</v>
      </c>
      <c r="Q187" s="289">
        <f>+K0kommunestruktur2021altern!Q187</f>
        <v>1257</v>
      </c>
      <c r="R187" s="289">
        <f>+K0kommunestruktur2021altern!R187</f>
        <v>34234.07</v>
      </c>
      <c r="S187" s="289">
        <f>VLOOKUP(A187,'K22'!A187:CU542,3)</f>
        <v>1256</v>
      </c>
      <c r="T187" s="289">
        <f>VLOOKUP(A187,'K22'!$A$4:$BV$359,26)</f>
        <v>37086.251225899105</v>
      </c>
      <c r="U187" s="289">
        <f>VLOOKUP(A187,'Bef.fremskr. kommunenivå MMMM'!$A$5:$K$360,8)</f>
        <v>1277</v>
      </c>
      <c r="V187" s="289">
        <f>VLOOKUP(A187,'K23'!$A$4:$BV$359,26)</f>
        <v>35174.58212769121</v>
      </c>
    </row>
    <row r="188" spans="1:22" ht="13">
      <c r="A188" s="755">
        <v>3451</v>
      </c>
      <c r="B188" s="756" t="s">
        <v>867</v>
      </c>
      <c r="C188" s="289">
        <f>+K0kommunestruktur2021altern!C188</f>
        <v>6417</v>
      </c>
      <c r="D188" s="289">
        <f>+K0kommunestruktur2021altern!D188</f>
        <v>138198</v>
      </c>
      <c r="E188" s="289">
        <f>+K0kommunestruktur2021altern!E188</f>
        <v>6466</v>
      </c>
      <c r="F188" s="289">
        <f>+K0kommunestruktur2021altern!F188</f>
        <v>144388</v>
      </c>
      <c r="G188" s="289">
        <f>+K0kommunestruktur2021altern!G188</f>
        <v>6458</v>
      </c>
      <c r="H188" s="289">
        <f>+K0kommunestruktur2021altern!H188</f>
        <v>160812</v>
      </c>
      <c r="I188" s="289">
        <f>+K0kommunestruktur2021altern!I188</f>
        <v>6490</v>
      </c>
      <c r="J188" s="289">
        <f>+K0kommunestruktur2021altern!J188</f>
        <v>168668</v>
      </c>
      <c r="K188" s="289">
        <f>+K0kommunestruktur2021altern!K188</f>
        <v>6443</v>
      </c>
      <c r="L188" s="289">
        <f>+K0kommunestruktur2021altern!L188</f>
        <v>174124</v>
      </c>
      <c r="M188" s="289">
        <f>+K0kommunestruktur2021altern!M188</f>
        <v>6418</v>
      </c>
      <c r="N188" s="289">
        <f>+K0kommunestruktur2021altern!N188</f>
        <v>177318</v>
      </c>
      <c r="O188" s="289">
        <f>+K0kommunestruktur2021altern!O188</f>
        <v>6413</v>
      </c>
      <c r="P188" s="289">
        <f>+K0kommunestruktur2021altern!P188</f>
        <v>172307</v>
      </c>
      <c r="Q188" s="289">
        <f>+K0kommunestruktur2021altern!Q188</f>
        <v>6360</v>
      </c>
      <c r="R188" s="289">
        <f>+K0kommunestruktur2021altern!R188</f>
        <v>199208.80600000001</v>
      </c>
      <c r="S188" s="289">
        <f>VLOOKUP(A188,'K22'!A188:CU543,3)</f>
        <v>6354</v>
      </c>
      <c r="T188" s="289">
        <f>VLOOKUP(A188,'K22'!$A$4:$BV$359,26)</f>
        <v>214906.42438056346</v>
      </c>
      <c r="U188" s="289">
        <f>VLOOKUP(A188,'Bef.fremskr. kommunenivå MMMM'!$A$5:$K$360,8)</f>
        <v>6373</v>
      </c>
      <c r="V188" s="289">
        <f>VLOOKUP(A188,'K23'!$A$4:$BV$359,26)</f>
        <v>200420.48987232373</v>
      </c>
    </row>
    <row r="189" spans="1:22" s="657" customFormat="1" ht="13">
      <c r="A189" s="755">
        <v>3452</v>
      </c>
      <c r="B189" s="756" t="s">
        <v>868</v>
      </c>
      <c r="C189" s="289">
        <f>+K0kommunestruktur2021altern!C189</f>
        <v>2174.6498823529409</v>
      </c>
      <c r="D189" s="289">
        <f>+K0kommunestruktur2021altern!D189</f>
        <v>48071.903267764705</v>
      </c>
      <c r="E189" s="289">
        <f>+K0kommunestruktur2021altern!E189</f>
        <v>2167.6894117647057</v>
      </c>
      <c r="F189" s="289">
        <f>+K0kommunestruktur2021altern!F189</f>
        <v>50594.628609882355</v>
      </c>
      <c r="G189" s="289">
        <f>+K0kommunestruktur2021altern!G189</f>
        <v>2155.7571764705881</v>
      </c>
      <c r="H189" s="289">
        <f>+K0kommunestruktur2021altern!H189</f>
        <v>53950.433065411766</v>
      </c>
      <c r="I189" s="289">
        <f>+K0kommunestruktur2021altern!I189</f>
        <v>2102.062117647059</v>
      </c>
      <c r="J189" s="289">
        <f>+K0kommunestruktur2021altern!J189</f>
        <v>56134.117101176467</v>
      </c>
      <c r="K189" s="289">
        <f>+K0kommunestruktur2021altern!K189</f>
        <v>2126.9209411764705</v>
      </c>
      <c r="L189" s="289">
        <f>+K0kommunestruktur2021altern!L189</f>
        <v>60937.876705882351</v>
      </c>
      <c r="M189" s="289">
        <f>+K0kommunestruktur2021altern!M189</f>
        <v>2122.9435294117648</v>
      </c>
      <c r="N189" s="289">
        <f>+K0kommunestruktur2021altern!N189</f>
        <v>67325.537882352946</v>
      </c>
      <c r="O189" s="289">
        <f>+K0kommunestruktur2021altern!O189</f>
        <v>2113</v>
      </c>
      <c r="P189" s="289">
        <f>+K0kommunestruktur2021altern!P189</f>
        <v>64276.590388731078</v>
      </c>
      <c r="Q189" s="289">
        <f>+K0kommunestruktur2021altern!Q189</f>
        <v>2120</v>
      </c>
      <c r="R189" s="289">
        <f>+K0kommunestruktur2021altern!R189</f>
        <v>75961.975000000006</v>
      </c>
      <c r="S189" s="289">
        <f>VLOOKUP(A189,'K22'!A189:CU544,3)</f>
        <v>2111</v>
      </c>
      <c r="T189" s="290">
        <f>VLOOKUP(A189,'K22'!$A$4:$BV$359,26)</f>
        <v>83369.095473872294</v>
      </c>
      <c r="U189" s="289">
        <f>VLOOKUP(A189,'Bef.fremskr. kommunenivå MMMM'!$A$5:$K$360,8)</f>
        <v>2121</v>
      </c>
      <c r="V189" s="289">
        <f>VLOOKUP(A189,'K23'!$A$4:$BV$359,26)</f>
        <v>76238.206953294808</v>
      </c>
    </row>
    <row r="190" spans="1:22" s="657" customFormat="1" ht="13">
      <c r="A190" s="755">
        <v>3453</v>
      </c>
      <c r="B190" s="756" t="s">
        <v>869</v>
      </c>
      <c r="C190" s="289">
        <f>+K0kommunestruktur2021altern!C190</f>
        <v>3218.3501176470591</v>
      </c>
      <c r="D190" s="289">
        <f>+K0kommunestruktur2021altern!D190</f>
        <v>74199.096732235295</v>
      </c>
      <c r="E190" s="289">
        <f>+K0kommunestruktur2021altern!E190</f>
        <v>3211.3105882352943</v>
      </c>
      <c r="F190" s="289">
        <f>+K0kommunestruktur2021altern!F190</f>
        <v>80606.371390117652</v>
      </c>
      <c r="G190" s="289">
        <f>+K0kommunestruktur2021altern!G190</f>
        <v>3232.2428235294119</v>
      </c>
      <c r="H190" s="289">
        <f>+K0kommunestruktur2021altern!H190</f>
        <v>82136.566934588234</v>
      </c>
      <c r="I190" s="289">
        <f>+K0kommunestruktur2021altern!I190</f>
        <v>3259.937882352941</v>
      </c>
      <c r="J190" s="289">
        <f>+K0kommunestruktur2021altern!J190</f>
        <v>90734.882898823533</v>
      </c>
      <c r="K190" s="289">
        <f>+K0kommunestruktur2021altern!K190</f>
        <v>3233.0790588235295</v>
      </c>
      <c r="L190" s="289">
        <f>+K0kommunestruktur2021altern!L190</f>
        <v>97204.123294117642</v>
      </c>
      <c r="M190" s="289">
        <f>+K0kommunestruktur2021altern!M190</f>
        <v>3220.0564705882352</v>
      </c>
      <c r="N190" s="289">
        <f>+K0kommunestruktur2021altern!N190</f>
        <v>101963.46211764705</v>
      </c>
      <c r="O190" s="289">
        <f>+K0kommunestruktur2021altern!O190</f>
        <v>3241</v>
      </c>
      <c r="P190" s="289">
        <f>+K0kommunestruktur2021altern!P190</f>
        <v>101827.40961126891</v>
      </c>
      <c r="Q190" s="289">
        <f>+K0kommunestruktur2021altern!Q190</f>
        <v>3236</v>
      </c>
      <c r="R190" s="289">
        <f>+K0kommunestruktur2021altern!R190</f>
        <v>111780.192</v>
      </c>
      <c r="S190" s="289">
        <f>VLOOKUP(A190,'K22'!A190:CU545,3)</f>
        <v>3252</v>
      </c>
      <c r="T190" s="290">
        <f>VLOOKUP(A190,'K22'!$A$4:$BV$359,26)</f>
        <v>125780.38858091326</v>
      </c>
      <c r="U190" s="289">
        <f>VLOOKUP(A190,'Bef.fremskr. kommunenivå MMMM'!$A$5:$K$360,8)</f>
        <v>3277</v>
      </c>
      <c r="V190" s="289">
        <f>VLOOKUP(A190,'K23'!$A$4:$BV$359,26)</f>
        <v>117658.4767232751</v>
      </c>
    </row>
    <row r="191" spans="1:22" ht="13">
      <c r="A191" s="755">
        <v>3454</v>
      </c>
      <c r="B191" s="756" t="s">
        <v>870</v>
      </c>
      <c r="C191" s="289">
        <f>+K0kommunestruktur2021altern!C191</f>
        <v>1602</v>
      </c>
      <c r="D191" s="289">
        <f>+K0kommunestruktur2021altern!D191</f>
        <v>38293</v>
      </c>
      <c r="E191" s="289">
        <f>+K0kommunestruktur2021altern!E191</f>
        <v>1619</v>
      </c>
      <c r="F191" s="289">
        <f>+K0kommunestruktur2021altern!F191</f>
        <v>37972</v>
      </c>
      <c r="G191" s="289">
        <f>+K0kommunestruktur2021altern!G191</f>
        <v>1590</v>
      </c>
      <c r="H191" s="289">
        <f>+K0kommunestruktur2021altern!H191</f>
        <v>44551</v>
      </c>
      <c r="I191" s="289">
        <f>+K0kommunestruktur2021altern!I191</f>
        <v>1596</v>
      </c>
      <c r="J191" s="289">
        <f>+K0kommunestruktur2021altern!J191</f>
        <v>45896</v>
      </c>
      <c r="K191" s="289">
        <f>+K0kommunestruktur2021altern!K191</f>
        <v>1601</v>
      </c>
      <c r="L191" s="289">
        <f>+K0kommunestruktur2021altern!L191</f>
        <v>47228</v>
      </c>
      <c r="M191" s="289">
        <f>+K0kommunestruktur2021altern!M191</f>
        <v>1610</v>
      </c>
      <c r="N191" s="289">
        <f>+K0kommunestruktur2021altern!N191</f>
        <v>49799</v>
      </c>
      <c r="O191" s="289">
        <f>+K0kommunestruktur2021altern!O191</f>
        <v>1578</v>
      </c>
      <c r="P191" s="289">
        <f>+K0kommunestruktur2021altern!P191</f>
        <v>45794</v>
      </c>
      <c r="Q191" s="289">
        <f>+K0kommunestruktur2021altern!Q191</f>
        <v>1573</v>
      </c>
      <c r="R191" s="289">
        <f>+K0kommunestruktur2021altern!R191</f>
        <v>49770.035000000003</v>
      </c>
      <c r="S191" s="289">
        <f>VLOOKUP(A191,'K22'!A191:CU546,3)</f>
        <v>1587</v>
      </c>
      <c r="T191" s="289">
        <f>VLOOKUP(A191,'K22'!$A$4:$BV$359,26)</f>
        <v>56039.661634245727</v>
      </c>
      <c r="U191" s="289">
        <f>VLOOKUP(A191,'Bef.fremskr. kommunenivå MMMM'!$A$5:$K$360,8)</f>
        <v>1641</v>
      </c>
      <c r="V191" s="289">
        <f>VLOOKUP(A191,'K23'!$A$4:$BV$359,26)</f>
        <v>54472.024756178507</v>
      </c>
    </row>
    <row r="192" spans="1:22" ht="13">
      <c r="A192" s="755">
        <v>3801</v>
      </c>
      <c r="B192" s="756" t="s">
        <v>346</v>
      </c>
      <c r="C192" s="289">
        <f>+K0kommunestruktur2021altern!C192</f>
        <v>26763.217060637206</v>
      </c>
      <c r="D192" s="289">
        <f>+K0kommunestruktur2021altern!D192</f>
        <v>552789.5082219938</v>
      </c>
      <c r="E192" s="289">
        <f>+K0kommunestruktur2021altern!E192</f>
        <v>26915.36269270298</v>
      </c>
      <c r="F192" s="289">
        <f>+K0kommunestruktur2021altern!F192</f>
        <v>580098.76988694759</v>
      </c>
      <c r="G192" s="289">
        <f>+K0kommunestruktur2021altern!G192</f>
        <v>27190.506988694757</v>
      </c>
      <c r="H192" s="289">
        <f>+K0kommunestruktur2021altern!H192</f>
        <v>637630.25149023638</v>
      </c>
      <c r="I192" s="289">
        <f>+K0kommunestruktur2021altern!I192</f>
        <v>27214.673997944501</v>
      </c>
      <c r="J192" s="289">
        <f>+K0kommunestruktur2021altern!J192</f>
        <v>663824.53463514906</v>
      </c>
      <c r="K192" s="289">
        <f>+K0kommunestruktur2021altern!K192</f>
        <v>27329.854367934226</v>
      </c>
      <c r="L192" s="289">
        <f>+K0kommunestruktur2021altern!L192</f>
        <v>672724.71654676262</v>
      </c>
      <c r="M192" s="289">
        <f>+K0kommunestruktur2021altern!M192</f>
        <v>27347</v>
      </c>
      <c r="N192" s="289">
        <f>+K0kommunestruktur2021altern!N192</f>
        <v>692614.48437821167</v>
      </c>
      <c r="O192" s="289">
        <f>+K0kommunestruktur2021altern!O192</f>
        <v>27351</v>
      </c>
      <c r="P192" s="289">
        <f>+K0kommunestruktur2021altern!P192</f>
        <v>688211</v>
      </c>
      <c r="Q192" s="289">
        <f>+K0kommunestruktur2021altern!Q192</f>
        <v>27510</v>
      </c>
      <c r="R192" s="289">
        <f>+K0kommunestruktur2021altern!R192</f>
        <v>808471.49399999995</v>
      </c>
      <c r="S192" s="289">
        <f>VLOOKUP(A192,'K22'!A192:CU547,3)</f>
        <v>27502</v>
      </c>
      <c r="T192" s="289">
        <f>VLOOKUP(A192,'K22'!$A$4:$BV$359,26)</f>
        <v>866858.73495297797</v>
      </c>
      <c r="U192" s="289">
        <f>VLOOKUP(A192,'Bef.fremskr. kommunenivå MMMM'!$A$5:$K$360,8)</f>
        <v>27611</v>
      </c>
      <c r="V192" s="289">
        <f>VLOOKUP(A192,'K23'!$A$4:$BV$359,26)</f>
        <v>810705.557980048</v>
      </c>
    </row>
    <row r="193" spans="1:22" ht="13">
      <c r="A193" s="755">
        <v>3802</v>
      </c>
      <c r="B193" s="756" t="s">
        <v>1625</v>
      </c>
      <c r="C193" s="289">
        <f>+K0kommunestruktur2021altern!C193</f>
        <v>22699.531963001027</v>
      </c>
      <c r="D193" s="289">
        <f>+K0kommunestruktur2021altern!D193</f>
        <v>493543.23227132577</v>
      </c>
      <c r="E193" s="289">
        <f>+K0kommunestruktur2021altern!E193</f>
        <v>23041.921068859199</v>
      </c>
      <c r="F193" s="289">
        <f>+K0kommunestruktur2021altern!F193</f>
        <v>529454.57430626929</v>
      </c>
      <c r="G193" s="289">
        <f>+K0kommunestruktur2021altern!G193</f>
        <v>23320.297430626928</v>
      </c>
      <c r="H193" s="289">
        <f>+K0kommunestruktur2021altern!H193</f>
        <v>589247.62959917774</v>
      </c>
      <c r="I193" s="289">
        <f>+K0kommunestruktur2021altern!I193</f>
        <v>23653.89044193217</v>
      </c>
      <c r="J193" s="289">
        <f>+K0kommunestruktur2021altern!J193</f>
        <v>624032.25344295986</v>
      </c>
      <c r="K193" s="289">
        <f>+K0kommunestruktur2021altern!K193</f>
        <v>24060.610894141828</v>
      </c>
      <c r="L193" s="289">
        <f>+K0kommunestruktur2021altern!L193</f>
        <v>652520.1424460432</v>
      </c>
      <c r="M193" s="289">
        <f>+K0kommunestruktur2021altern!M193</f>
        <v>24399</v>
      </c>
      <c r="N193" s="289">
        <f>+K0kommunestruktur2021altern!N193</f>
        <v>675321.15868448094</v>
      </c>
      <c r="O193" s="289">
        <f>+K0kommunestruktur2021altern!O193</f>
        <v>24699</v>
      </c>
      <c r="P193" s="289">
        <f>+K0kommunestruktur2021altern!P193</f>
        <v>685619</v>
      </c>
      <c r="Q193" s="289">
        <f>+K0kommunestruktur2021altern!Q193</f>
        <v>25011</v>
      </c>
      <c r="R193" s="289">
        <f>+K0kommunestruktur2021altern!R193</f>
        <v>814470.78500000003</v>
      </c>
      <c r="S193" s="289">
        <f>VLOOKUP(A193,'K22'!A193:CU548,3)</f>
        <v>25681</v>
      </c>
      <c r="T193" s="289">
        <f>VLOOKUP(A193,'K22'!$A$4:$BV$359,26)</f>
        <v>904559.92735247139</v>
      </c>
      <c r="U193" s="289">
        <f>VLOOKUP(A193,'Bef.fremskr. kommunenivå MMMM'!$A$5:$K$360,8)</f>
        <v>26322</v>
      </c>
      <c r="V193" s="289">
        <f>VLOOKUP(A193,'K23'!$A$4:$BV$359,26)</f>
        <v>851240.52998027462</v>
      </c>
    </row>
    <row r="194" spans="1:22" ht="13">
      <c r="A194" s="755">
        <v>3803</v>
      </c>
      <c r="B194" s="756" t="s">
        <v>1626</v>
      </c>
      <c r="C194" s="289">
        <f>+K0kommunestruktur2021altern!C194</f>
        <v>52767.250976361771</v>
      </c>
      <c r="D194" s="289">
        <f>+K0kommunestruktur2021altern!D194</f>
        <v>1237170.1760068105</v>
      </c>
      <c r="E194" s="289">
        <f>+K0kommunestruktur2021altern!E194</f>
        <v>53244.716238437824</v>
      </c>
      <c r="F194" s="289">
        <f>+K0kommunestruktur2021altern!F194</f>
        <v>1324902.7820018118</v>
      </c>
      <c r="G194" s="289">
        <f>+K0kommunestruktur2021altern!G194</f>
        <v>53707.195580678315</v>
      </c>
      <c r="H194" s="289">
        <f>+K0kommunestruktur2021altern!H194</f>
        <v>1448421.6524097708</v>
      </c>
      <c r="I194" s="289">
        <f>+K0kommunestruktur2021altern!I194</f>
        <v>54274.435560123333</v>
      </c>
      <c r="J194" s="289">
        <f>+K0kommunestruktur2021altern!J194</f>
        <v>1536795.211921891</v>
      </c>
      <c r="K194" s="289">
        <f>+K0kommunestruktur2021altern!K194</f>
        <v>54845.534737923947</v>
      </c>
      <c r="L194" s="289">
        <f>+K0kommunestruktur2021altern!L194</f>
        <v>1606111.1410071943</v>
      </c>
      <c r="M194" s="289">
        <f>+K0kommunestruktur2021altern!M194</f>
        <v>55569</v>
      </c>
      <c r="N194" s="289">
        <f>+K0kommunestruktur2021altern!N194</f>
        <v>1681201.3569373074</v>
      </c>
      <c r="O194" s="289">
        <f>+K0kommunestruktur2021altern!O194</f>
        <v>56293</v>
      </c>
      <c r="P194" s="289">
        <f>+K0kommunestruktur2021altern!P194</f>
        <v>1690855</v>
      </c>
      <c r="Q194" s="289">
        <f>+K0kommunestruktur2021altern!Q194</f>
        <v>57026</v>
      </c>
      <c r="R194" s="289">
        <f>+K0kommunestruktur2021altern!R194</f>
        <v>2001609.365</v>
      </c>
      <c r="S194" s="289">
        <f>VLOOKUP(A194,'K22'!A194:CU549,3)</f>
        <v>57794</v>
      </c>
      <c r="T194" s="289">
        <f>VLOOKUP(A194,'K22'!$A$4:$BV$359,26)</f>
        <v>2242430.7220241679</v>
      </c>
      <c r="U194" s="289">
        <f>VLOOKUP(A194,'Bef.fremskr. kommunenivå MMMM'!$A$5:$K$360,8)</f>
        <v>58525</v>
      </c>
      <c r="V194" s="289">
        <f>VLOOKUP(A194,'K23'!$A$4:$BV$359,26)</f>
        <v>2052119.9376504277</v>
      </c>
    </row>
    <row r="195" spans="1:22" ht="13">
      <c r="A195" s="755">
        <v>3804</v>
      </c>
      <c r="B195" s="756" t="s">
        <v>1153</v>
      </c>
      <c r="C195" s="289">
        <f>+K0kommunestruktur2021altern!C195</f>
        <v>60002</v>
      </c>
      <c r="D195" s="289">
        <f>+K0kommunestruktur2021altern!D195</f>
        <v>1328826.0834998698</v>
      </c>
      <c r="E195" s="289">
        <f>+K0kommunestruktur2021altern!E195</f>
        <v>60445</v>
      </c>
      <c r="F195" s="289">
        <f>+K0kommunestruktur2021altern!F195</f>
        <v>1401206.8738049713</v>
      </c>
      <c r="G195" s="289">
        <f>+K0kommunestruktur2021altern!G195</f>
        <v>61212</v>
      </c>
      <c r="H195" s="289">
        <f>+K0kommunestruktur2021altern!H195</f>
        <v>1565068.466500815</v>
      </c>
      <c r="I195" s="289">
        <f>+K0kommunestruktur2021altern!I195</f>
        <v>62019</v>
      </c>
      <c r="J195" s="289">
        <f>+K0kommunestruktur2021altern!J195</f>
        <v>1617614</v>
      </c>
      <c r="K195" s="289">
        <f>+K0kommunestruktur2021altern!K195</f>
        <v>62615</v>
      </c>
      <c r="L195" s="289">
        <f>+K0kommunestruktur2021altern!L195</f>
        <v>1650021</v>
      </c>
      <c r="M195" s="289">
        <f>+K0kommunestruktur2021altern!M195</f>
        <v>63271</v>
      </c>
      <c r="N195" s="289">
        <f>+K0kommunestruktur2021altern!N195</f>
        <v>1778055</v>
      </c>
      <c r="O195" s="289">
        <f>+K0kommunestruktur2021altern!O195</f>
        <v>63764</v>
      </c>
      <c r="P195" s="289">
        <f>+K0kommunestruktur2021altern!P195</f>
        <v>1781351</v>
      </c>
      <c r="Q195" s="289">
        <f>+K0kommunestruktur2021altern!Q195</f>
        <v>64345</v>
      </c>
      <c r="R195" s="289">
        <f>+K0kommunestruktur2021altern!R195</f>
        <v>2082816.142</v>
      </c>
      <c r="S195" s="289">
        <f>VLOOKUP(A195,'K22'!A195:CU550,3)</f>
        <v>64943</v>
      </c>
      <c r="T195" s="289">
        <f>VLOOKUP(A195,'K22'!$A$4:$BV$359,26)</f>
        <v>2346797.7855095649</v>
      </c>
      <c r="U195" s="289">
        <f>VLOOKUP(A195,'Bef.fremskr. kommunenivå MMMM'!$A$5:$K$360,8)</f>
        <v>65511</v>
      </c>
      <c r="V195" s="289">
        <f>VLOOKUP(A195,'K23'!$A$4:$BV$359,26)</f>
        <v>2129463.7023192397</v>
      </c>
    </row>
    <row r="196" spans="1:22" ht="13">
      <c r="A196" s="755">
        <v>3805</v>
      </c>
      <c r="B196" s="965" t="s">
        <v>1235</v>
      </c>
      <c r="C196" s="289">
        <f>+K0kommunestruktur2021altern!C196</f>
        <v>45718</v>
      </c>
      <c r="D196" s="289">
        <f>+K0kommunestruktur2021altern!D196</f>
        <v>967685</v>
      </c>
      <c r="E196" s="289">
        <f>+K0kommunestruktur2021altern!E196</f>
        <v>45969</v>
      </c>
      <c r="F196" s="289">
        <f>+K0kommunestruktur2021altern!F196</f>
        <v>1066695</v>
      </c>
      <c r="G196" s="289">
        <f>+K0kommunestruktur2021altern!G196</f>
        <v>46341</v>
      </c>
      <c r="H196" s="289">
        <f>+K0kommunestruktur2021altern!H196</f>
        <v>1143575</v>
      </c>
      <c r="I196" s="289">
        <f>+K0kommunestruktur2021altern!I196</f>
        <v>46557</v>
      </c>
      <c r="J196" s="289">
        <f>+K0kommunestruktur2021altern!J196</f>
        <v>1204992</v>
      </c>
      <c r="K196" s="289">
        <f>+K0kommunestruktur2021altern!K196</f>
        <v>46801</v>
      </c>
      <c r="L196" s="289">
        <f>+K0kommunestruktur2021altern!L196</f>
        <v>1250980</v>
      </c>
      <c r="M196" s="289">
        <f>+K0kommunestruktur2021altern!M196</f>
        <v>47107</v>
      </c>
      <c r="N196" s="289">
        <f>+K0kommunestruktur2021altern!N196</f>
        <v>1285032</v>
      </c>
      <c r="O196" s="289">
        <f>+K0kommunestruktur2021altern!O196</f>
        <v>47204</v>
      </c>
      <c r="P196" s="289">
        <f>+K0kommunestruktur2021altern!P196</f>
        <v>1280124</v>
      </c>
      <c r="Q196" s="289">
        <f>+K0kommunestruktur2021altern!Q196</f>
        <v>47499</v>
      </c>
      <c r="R196" s="289">
        <f>+K0kommunestruktur2021altern!R196</f>
        <v>1502871.6910000001</v>
      </c>
      <c r="S196" s="289">
        <f>VLOOKUP(A196,'K22'!A196:CU551,3)</f>
        <v>47777</v>
      </c>
      <c r="T196" s="289">
        <f>VLOOKUP(A196,'K22'!$A$4:$BV$359,26)</f>
        <v>1665811.0418653502</v>
      </c>
      <c r="U196" s="289">
        <f>VLOOKUP(A196,'Bef.fremskr. kommunenivå MMMM'!$A$5:$K$360,8)</f>
        <v>48051</v>
      </c>
      <c r="V196" s="289">
        <f>VLOOKUP(A196,'K23'!$A$4:$BV$359,26)</f>
        <v>1519709.498378678</v>
      </c>
    </row>
    <row r="197" spans="1:22" ht="13">
      <c r="A197" s="755">
        <v>3806</v>
      </c>
      <c r="B197" s="756" t="s">
        <v>904</v>
      </c>
      <c r="C197" s="289">
        <f>+K0kommunestruktur2021altern!C197</f>
        <v>35516</v>
      </c>
      <c r="D197" s="289">
        <f>+K0kommunestruktur2021altern!D197</f>
        <v>786648</v>
      </c>
      <c r="E197" s="289">
        <f>+K0kommunestruktur2021altern!E197</f>
        <v>35755</v>
      </c>
      <c r="F197" s="289">
        <f>+K0kommunestruktur2021altern!F197</f>
        <v>832456</v>
      </c>
      <c r="G197" s="289">
        <f>+K0kommunestruktur2021altern!G197</f>
        <v>35955</v>
      </c>
      <c r="H197" s="289">
        <f>+K0kommunestruktur2021altern!H197</f>
        <v>899390</v>
      </c>
      <c r="I197" s="289">
        <f>+K0kommunestruktur2021altern!I197</f>
        <v>36198</v>
      </c>
      <c r="J197" s="289">
        <f>+K0kommunestruktur2021altern!J197</f>
        <v>954527</v>
      </c>
      <c r="K197" s="289">
        <f>+K0kommunestruktur2021altern!K197</f>
        <v>36091</v>
      </c>
      <c r="L197" s="289">
        <f>+K0kommunestruktur2021altern!L197</f>
        <v>994677</v>
      </c>
      <c r="M197" s="289">
        <f>+K0kommunestruktur2021altern!M197</f>
        <v>36224</v>
      </c>
      <c r="N197" s="289">
        <f>+K0kommunestruktur2021altern!N197</f>
        <v>1030160</v>
      </c>
      <c r="O197" s="289">
        <f>+K0kommunestruktur2021altern!O197</f>
        <v>36397</v>
      </c>
      <c r="P197" s="289">
        <f>+K0kommunestruktur2021altern!P197</f>
        <v>997575</v>
      </c>
      <c r="Q197" s="289">
        <f>+K0kommunestruktur2021altern!Q197</f>
        <v>36526</v>
      </c>
      <c r="R197" s="289">
        <f>+K0kommunestruktur2021altern!R197</f>
        <v>1164383.0649999999</v>
      </c>
      <c r="S197" s="289">
        <f>VLOOKUP(A197,'K22'!A197:CU552,3)</f>
        <v>36624</v>
      </c>
      <c r="T197" s="289">
        <f>VLOOKUP(A197,'K22'!$A$4:$BV$359,26)</f>
        <v>1285192.0509767064</v>
      </c>
      <c r="U197" s="289">
        <f>VLOOKUP(A197,'Bef.fremskr. kommunenivå MMMM'!$A$5:$K$360,8)</f>
        <v>36858</v>
      </c>
      <c r="V197" s="289">
        <f>VLOOKUP(A197,'K23'!$A$4:$BV$359,26)</f>
        <v>1189177.2774663491</v>
      </c>
    </row>
    <row r="198" spans="1:22" ht="13">
      <c r="A198" s="755">
        <v>3807</v>
      </c>
      <c r="B198" s="756" t="s">
        <v>905</v>
      </c>
      <c r="C198" s="289">
        <f>+K0kommunestruktur2021altern!C198</f>
        <v>53439</v>
      </c>
      <c r="D198" s="289">
        <f>+K0kommunestruktur2021altern!D198</f>
        <v>1111721</v>
      </c>
      <c r="E198" s="289">
        <f>+K0kommunestruktur2021altern!E198</f>
        <v>53745</v>
      </c>
      <c r="F198" s="289">
        <f>+K0kommunestruktur2021altern!F198</f>
        <v>1204597</v>
      </c>
      <c r="G198" s="289">
        <f>+K0kommunestruktur2021altern!G198</f>
        <v>53952</v>
      </c>
      <c r="H198" s="289">
        <f>+K0kommunestruktur2021altern!H198</f>
        <v>1297835</v>
      </c>
      <c r="I198" s="289">
        <f>+K0kommunestruktur2021altern!I198</f>
        <v>54316</v>
      </c>
      <c r="J198" s="289">
        <f>+K0kommunestruktur2021altern!J198</f>
        <v>1350527</v>
      </c>
      <c r="K198" s="289">
        <f>+K0kommunestruktur2021altern!K198</f>
        <v>54510</v>
      </c>
      <c r="L198" s="289">
        <f>+K0kommunestruktur2021altern!L198</f>
        <v>1395616</v>
      </c>
      <c r="M198" s="289">
        <f>+K0kommunestruktur2021altern!M198</f>
        <v>54645</v>
      </c>
      <c r="N198" s="289">
        <f>+K0kommunestruktur2021altern!N198</f>
        <v>1431339</v>
      </c>
      <c r="O198" s="289">
        <f>+K0kommunestruktur2021altern!O198</f>
        <v>54942</v>
      </c>
      <c r="P198" s="289">
        <f>+K0kommunestruktur2021altern!P198</f>
        <v>1416501</v>
      </c>
      <c r="Q198" s="289">
        <f>+K0kommunestruktur2021altern!Q198</f>
        <v>55144</v>
      </c>
      <c r="R198" s="289">
        <f>+K0kommunestruktur2021altern!R198</f>
        <v>1648435.71</v>
      </c>
      <c r="S198" s="289">
        <f>VLOOKUP(A198,'K22'!A198:CU553,3)</f>
        <v>55513</v>
      </c>
      <c r="T198" s="289">
        <f>VLOOKUP(A198,'K22'!$A$4:$BV$359,26)</f>
        <v>1818860.8582132764</v>
      </c>
      <c r="U198" s="289">
        <f>VLOOKUP(A198,'Bef.fremskr. kommunenivå MMMM'!$A$5:$K$360,8)</f>
        <v>55862</v>
      </c>
      <c r="V198" s="289">
        <f>VLOOKUP(A198,'K23'!$A$4:$BV$359,26)</f>
        <v>1681398.3848895733</v>
      </c>
    </row>
    <row r="199" spans="1:22" ht="13">
      <c r="A199" s="755">
        <v>3808</v>
      </c>
      <c r="B199" s="756" t="s">
        <v>906</v>
      </c>
      <c r="C199" s="289">
        <f>+K0kommunestruktur2021altern!C199</f>
        <v>13060.33938970417</v>
      </c>
      <c r="D199" s="289">
        <f>+K0kommunestruktur2021altern!D199</f>
        <v>269913.75145585835</v>
      </c>
      <c r="E199" s="289">
        <f>+K0kommunestruktur2021altern!E199</f>
        <v>13052.530864197532</v>
      </c>
      <c r="F199" s="289">
        <f>+K0kommunestruktur2021altern!F199</f>
        <v>287425.77870952716</v>
      </c>
      <c r="G199" s="289">
        <f>+K0kommunestruktur2021altern!G199</f>
        <v>13169.696016771488</v>
      </c>
      <c r="H199" s="289">
        <f>+K0kommunestruktur2021altern!H199</f>
        <v>311265.78173771256</v>
      </c>
      <c r="I199" s="289">
        <f>+K0kommunestruktur2021altern!I199</f>
        <v>13206.043559282552</v>
      </c>
      <c r="J199" s="289">
        <f>+K0kommunestruktur2021altern!J199</f>
        <v>314350.34032145352</v>
      </c>
      <c r="K199" s="289">
        <f>+K0kommunestruktur2021altern!K199</f>
        <v>13118.88749126485</v>
      </c>
      <c r="L199" s="289">
        <f>+K0kommunestruktur2021altern!L199</f>
        <v>322222.82739343116</v>
      </c>
      <c r="M199" s="289">
        <f>+K0kommunestruktur2021altern!M199</f>
        <v>13130</v>
      </c>
      <c r="N199" s="289">
        <f>+K0kommunestruktur2021altern!N199</f>
        <v>341773.44211507106</v>
      </c>
      <c r="O199" s="289">
        <f>+K0kommunestruktur2021altern!O199</f>
        <v>13049</v>
      </c>
      <c r="P199" s="289">
        <f>+K0kommunestruktur2021altern!P199</f>
        <v>340724</v>
      </c>
      <c r="Q199" s="289">
        <f>+K0kommunestruktur2021altern!Q199</f>
        <v>12994</v>
      </c>
      <c r="R199" s="289">
        <f>+K0kommunestruktur2021altern!R199</f>
        <v>386292.53200000001</v>
      </c>
      <c r="S199" s="289">
        <f>VLOOKUP(A199,'K22'!A199:CU554,3)</f>
        <v>13029</v>
      </c>
      <c r="T199" s="289">
        <f>VLOOKUP(A199,'K22'!$A$4:$BV$359,26)</f>
        <v>426477.04519038316</v>
      </c>
      <c r="U199" s="289">
        <f>VLOOKUP(A199,'Bef.fremskr. kommunenivå MMMM'!$A$5:$K$360,8)</f>
        <v>13069</v>
      </c>
      <c r="V199" s="289">
        <f>VLOOKUP(A199,'K23'!$A$4:$BV$359,26)</f>
        <v>392310.92565602408</v>
      </c>
    </row>
    <row r="200" spans="1:22" ht="13">
      <c r="A200" s="755">
        <v>3811</v>
      </c>
      <c r="B200" s="756" t="s">
        <v>1241</v>
      </c>
      <c r="C200" s="289">
        <f>+K0kommunestruktur2021altern!C200</f>
        <v>26330</v>
      </c>
      <c r="D200" s="289">
        <f>+K0kommunestruktur2021altern!D200</f>
        <v>669429</v>
      </c>
      <c r="E200" s="289">
        <f>+K0kommunestruktur2021altern!E200</f>
        <v>26445</v>
      </c>
      <c r="F200" s="289">
        <f>+K0kommunestruktur2021altern!F200</f>
        <v>711078</v>
      </c>
      <c r="G200" s="289">
        <f>+K0kommunestruktur2021altern!G200</f>
        <v>26592</v>
      </c>
      <c r="H200" s="289">
        <f>+K0kommunestruktur2021altern!H200</f>
        <v>787439</v>
      </c>
      <c r="I200" s="289">
        <f>+K0kommunestruktur2021altern!I200</f>
        <v>26676</v>
      </c>
      <c r="J200" s="289">
        <f>+K0kommunestruktur2021altern!J200</f>
        <v>818629</v>
      </c>
      <c r="K200" s="289">
        <f>+K0kommunestruktur2021altern!K200</f>
        <v>26734</v>
      </c>
      <c r="L200" s="289">
        <f>+K0kommunestruktur2021altern!L200</f>
        <v>826128</v>
      </c>
      <c r="M200" s="289">
        <f>+K0kommunestruktur2021altern!M200</f>
        <v>26700</v>
      </c>
      <c r="N200" s="289">
        <f>+K0kommunestruktur2021altern!N200</f>
        <v>861791</v>
      </c>
      <c r="O200" s="289">
        <f>+K0kommunestruktur2021altern!O200</f>
        <v>26730</v>
      </c>
      <c r="P200" s="289">
        <f>+K0kommunestruktur2021altern!P200</f>
        <v>859253</v>
      </c>
      <c r="Q200" s="289">
        <f>+K0kommunestruktur2021altern!Q200</f>
        <v>26957</v>
      </c>
      <c r="R200" s="289">
        <f>+K0kommunestruktur2021altern!R200</f>
        <v>999557.24</v>
      </c>
      <c r="S200" s="289">
        <f>VLOOKUP(A200,'K22'!A200:CU555,3)</f>
        <v>27165</v>
      </c>
      <c r="T200" s="289">
        <f>VLOOKUP(A200,'K22'!$A$4:$BV$359,26)</f>
        <v>1124017.0853263633</v>
      </c>
      <c r="U200" s="289">
        <f>VLOOKUP(A200,'Bef.fremskr. kommunenivå MMMM'!$A$5:$K$360,8)</f>
        <v>27437</v>
      </c>
      <c r="V200" s="289">
        <f>VLOOKUP(A200,'K23'!$A$4:$BV$359,26)</f>
        <v>1024059.286711027</v>
      </c>
    </row>
    <row r="201" spans="1:22" ht="13">
      <c r="A201" s="755">
        <v>3812</v>
      </c>
      <c r="B201" s="756" t="s">
        <v>907</v>
      </c>
      <c r="C201" s="289">
        <f>+K0kommunestruktur2021altern!C201</f>
        <v>2404</v>
      </c>
      <c r="D201" s="289">
        <f>+K0kommunestruktur2021altern!D201</f>
        <v>48534</v>
      </c>
      <c r="E201" s="289">
        <f>+K0kommunestruktur2021altern!E201</f>
        <v>2361</v>
      </c>
      <c r="F201" s="289">
        <f>+K0kommunestruktur2021altern!F201</f>
        <v>49972</v>
      </c>
      <c r="G201" s="289">
        <f>+K0kommunestruktur2021altern!G201</f>
        <v>2335</v>
      </c>
      <c r="H201" s="289">
        <f>+K0kommunestruktur2021altern!H201</f>
        <v>54288</v>
      </c>
      <c r="I201" s="289">
        <f>+K0kommunestruktur2021altern!I201</f>
        <v>2357</v>
      </c>
      <c r="J201" s="289">
        <f>+K0kommunestruktur2021altern!J201</f>
        <v>58101</v>
      </c>
      <c r="K201" s="289">
        <f>+K0kommunestruktur2021altern!K201</f>
        <v>2351</v>
      </c>
      <c r="L201" s="289">
        <f>+K0kommunestruktur2021altern!L201</f>
        <v>59881</v>
      </c>
      <c r="M201" s="289">
        <f>+K0kommunestruktur2021altern!M201</f>
        <v>2329</v>
      </c>
      <c r="N201" s="289">
        <f>+K0kommunestruktur2021altern!N201</f>
        <v>61369</v>
      </c>
      <c r="O201" s="289">
        <f>+K0kommunestruktur2021altern!O201</f>
        <v>2340</v>
      </c>
      <c r="P201" s="289">
        <f>+K0kommunestruktur2021altern!P201</f>
        <v>60081</v>
      </c>
      <c r="Q201" s="289">
        <f>+K0kommunestruktur2021altern!Q201</f>
        <v>2347</v>
      </c>
      <c r="R201" s="289">
        <f>+K0kommunestruktur2021altern!R201</f>
        <v>66355.051999999996</v>
      </c>
      <c r="S201" s="289">
        <f>VLOOKUP(A201,'K22'!A201:CU556,3)</f>
        <v>2349</v>
      </c>
      <c r="T201" s="289">
        <f>VLOOKUP(A201,'K22'!$A$4:$BV$359,26)</f>
        <v>74003.557322347813</v>
      </c>
      <c r="U201" s="289">
        <f>VLOOKUP(A201,'Bef.fremskr. kommunenivå MMMM'!$A$5:$K$360,8)</f>
        <v>2373</v>
      </c>
      <c r="V201" s="289">
        <f>VLOOKUP(A201,'K23'!$A$4:$BV$359,26)</f>
        <v>70141.206503338966</v>
      </c>
    </row>
    <row r="202" spans="1:22" ht="13">
      <c r="A202" s="755">
        <v>3813</v>
      </c>
      <c r="B202" s="756" t="s">
        <v>908</v>
      </c>
      <c r="C202" s="289">
        <f>+K0kommunestruktur2021altern!C202</f>
        <v>14193</v>
      </c>
      <c r="D202" s="289">
        <f>+K0kommunestruktur2021altern!D202</f>
        <v>315740</v>
      </c>
      <c r="E202" s="289">
        <f>+K0kommunestruktur2021altern!E202</f>
        <v>14140</v>
      </c>
      <c r="F202" s="289">
        <f>+K0kommunestruktur2021altern!F202</f>
        <v>322952</v>
      </c>
      <c r="G202" s="289">
        <f>+K0kommunestruktur2021altern!G202</f>
        <v>14088</v>
      </c>
      <c r="H202" s="289">
        <f>+K0kommunestruktur2021altern!H202</f>
        <v>355108</v>
      </c>
      <c r="I202" s="289">
        <f>+K0kommunestruktur2021altern!I202</f>
        <v>14138</v>
      </c>
      <c r="J202" s="289">
        <f>+K0kommunestruktur2021altern!J202</f>
        <v>367084</v>
      </c>
      <c r="K202" s="289">
        <f>+K0kommunestruktur2021altern!K202</f>
        <v>14183</v>
      </c>
      <c r="L202" s="289">
        <f>+K0kommunestruktur2021altern!L202</f>
        <v>382036</v>
      </c>
      <c r="M202" s="289">
        <f>+K0kommunestruktur2021altern!M202</f>
        <v>14089</v>
      </c>
      <c r="N202" s="289">
        <f>+K0kommunestruktur2021altern!N202</f>
        <v>395478</v>
      </c>
      <c r="O202" s="289">
        <f>+K0kommunestruktur2021altern!O202</f>
        <v>14061</v>
      </c>
      <c r="P202" s="289">
        <f>+K0kommunestruktur2021altern!P202</f>
        <v>392430</v>
      </c>
      <c r="Q202" s="289">
        <f>+K0kommunestruktur2021altern!Q202</f>
        <v>14014</v>
      </c>
      <c r="R202" s="289">
        <f>+K0kommunestruktur2021altern!R202</f>
        <v>464590.26500000001</v>
      </c>
      <c r="S202" s="289">
        <f>VLOOKUP(A202,'K22'!A202:CU557,3)</f>
        <v>14056</v>
      </c>
      <c r="T202" s="289">
        <f>VLOOKUP(A202,'K22'!$A$4:$BV$359,26)</f>
        <v>505729.20095184335</v>
      </c>
      <c r="U202" s="289">
        <f>VLOOKUP(A202,'Bef.fremskr. kommunenivå MMMM'!$A$5:$K$360,8)</f>
        <v>14089</v>
      </c>
      <c r="V202" s="289">
        <f>VLOOKUP(A202,'K23'!$A$4:$BV$359,26)</f>
        <v>461349.52000644983</v>
      </c>
    </row>
    <row r="203" spans="1:22" ht="13">
      <c r="A203" s="755">
        <v>3814</v>
      </c>
      <c r="B203" s="756" t="s">
        <v>910</v>
      </c>
      <c r="C203" s="289">
        <f>+K0kommunestruktur2021altern!C203</f>
        <v>10621</v>
      </c>
      <c r="D203" s="289">
        <f>+K0kommunestruktur2021altern!D203</f>
        <v>208570</v>
      </c>
      <c r="E203" s="289">
        <f>+K0kommunestruktur2021altern!E203</f>
        <v>10636</v>
      </c>
      <c r="F203" s="289">
        <f>+K0kommunestruktur2021altern!F203</f>
        <v>222964</v>
      </c>
      <c r="G203" s="289">
        <f>+K0kommunestruktur2021altern!G203</f>
        <v>10607</v>
      </c>
      <c r="H203" s="289">
        <f>+K0kommunestruktur2021altern!H203</f>
        <v>238907</v>
      </c>
      <c r="I203" s="289">
        <f>+K0kommunestruktur2021altern!I203</f>
        <v>10586</v>
      </c>
      <c r="J203" s="289">
        <f>+K0kommunestruktur2021altern!J203</f>
        <v>246804</v>
      </c>
      <c r="K203" s="289">
        <f>+K0kommunestruktur2021altern!K203</f>
        <v>10506</v>
      </c>
      <c r="L203" s="289">
        <f>+K0kommunestruktur2021altern!L203</f>
        <v>262062</v>
      </c>
      <c r="M203" s="289">
        <f>+K0kommunestruktur2021altern!M203</f>
        <v>10406</v>
      </c>
      <c r="N203" s="289">
        <f>+K0kommunestruktur2021altern!N203</f>
        <v>268676</v>
      </c>
      <c r="O203" s="289">
        <f>+K0kommunestruktur2021altern!O203</f>
        <v>10380</v>
      </c>
      <c r="P203" s="289">
        <f>+K0kommunestruktur2021altern!P203</f>
        <v>269045</v>
      </c>
      <c r="Q203" s="289">
        <f>+K0kommunestruktur2021altern!Q203</f>
        <v>10416</v>
      </c>
      <c r="R203" s="289">
        <f>+K0kommunestruktur2021altern!R203</f>
        <v>309402.73300000001</v>
      </c>
      <c r="S203" s="289">
        <f>VLOOKUP(A203,'K22'!A203:CU558,3)</f>
        <v>10351</v>
      </c>
      <c r="T203" s="289">
        <f>VLOOKUP(A203,'K22'!$A$4:$BV$359,26)</f>
        <v>362475.58972376789</v>
      </c>
      <c r="U203" s="289">
        <f>VLOOKUP(A203,'Bef.fremskr. kommunenivå MMMM'!$A$5:$K$360,8)</f>
        <v>10324</v>
      </c>
      <c r="V203" s="289">
        <f>VLOOKUP(A203,'K23'!$A$4:$BV$359,26)</f>
        <v>309214.74655896152</v>
      </c>
    </row>
    <row r="204" spans="1:22" ht="13">
      <c r="A204" s="755">
        <v>3815</v>
      </c>
      <c r="B204" s="756" t="s">
        <v>911</v>
      </c>
      <c r="C204" s="289">
        <f>+K0kommunestruktur2021altern!C204</f>
        <v>4135</v>
      </c>
      <c r="D204" s="289">
        <f>+K0kommunestruktur2021altern!D204</f>
        <v>74397</v>
      </c>
      <c r="E204" s="289">
        <f>+K0kommunestruktur2021altern!E204</f>
        <v>4111</v>
      </c>
      <c r="F204" s="289">
        <f>+K0kommunestruktur2021altern!F204</f>
        <v>77737</v>
      </c>
      <c r="G204" s="289">
        <f>+K0kommunestruktur2021altern!G204</f>
        <v>4136</v>
      </c>
      <c r="H204" s="289">
        <f>+K0kommunestruktur2021altern!H204</f>
        <v>83380</v>
      </c>
      <c r="I204" s="289">
        <f>+K0kommunestruktur2021altern!I204</f>
        <v>4148</v>
      </c>
      <c r="J204" s="289">
        <f>+K0kommunestruktur2021altern!J204</f>
        <v>85856</v>
      </c>
      <c r="K204" s="289">
        <f>+K0kommunestruktur2021altern!K204</f>
        <v>4105</v>
      </c>
      <c r="L204" s="289">
        <f>+K0kommunestruktur2021altern!L204</f>
        <v>89506</v>
      </c>
      <c r="M204" s="289">
        <f>+K0kommunestruktur2021altern!M204</f>
        <v>4080</v>
      </c>
      <c r="N204" s="289">
        <f>+K0kommunestruktur2021altern!N204</f>
        <v>91475</v>
      </c>
      <c r="O204" s="289">
        <f>+K0kommunestruktur2021altern!O204</f>
        <v>4060</v>
      </c>
      <c r="P204" s="289">
        <f>+K0kommunestruktur2021altern!P204</f>
        <v>94071</v>
      </c>
      <c r="Q204" s="289">
        <f>+K0kommunestruktur2021altern!Q204</f>
        <v>4071</v>
      </c>
      <c r="R204" s="289">
        <f>+K0kommunestruktur2021altern!R204</f>
        <v>106553.28200000001</v>
      </c>
      <c r="S204" s="289">
        <f>VLOOKUP(A204,'K22'!A204:CU559,3)</f>
        <v>4093</v>
      </c>
      <c r="T204" s="289">
        <f>VLOOKUP(A204,'K22'!$A$4:$BV$359,26)</f>
        <v>114824.77109789854</v>
      </c>
      <c r="U204" s="289">
        <f>VLOOKUP(A204,'Bef.fremskr. kommunenivå MMMM'!$A$5:$K$360,8)</f>
        <v>4092</v>
      </c>
      <c r="V204" s="289">
        <f>VLOOKUP(A204,'K23'!$A$4:$BV$359,26)</f>
        <v>108001.64864530695</v>
      </c>
    </row>
    <row r="205" spans="1:22" ht="13">
      <c r="A205" s="755">
        <v>3816</v>
      </c>
      <c r="B205" s="756" t="s">
        <v>912</v>
      </c>
      <c r="C205" s="289">
        <f>+K0kommunestruktur2021altern!C205</f>
        <v>6643</v>
      </c>
      <c r="D205" s="289">
        <f>+K0kommunestruktur2021altern!D205</f>
        <v>133614</v>
      </c>
      <c r="E205" s="289">
        <f>+K0kommunestruktur2021altern!E205</f>
        <v>6630</v>
      </c>
      <c r="F205" s="289">
        <f>+K0kommunestruktur2021altern!F205</f>
        <v>140747</v>
      </c>
      <c r="G205" s="289">
        <f>+K0kommunestruktur2021altern!G205</f>
        <v>6534</v>
      </c>
      <c r="H205" s="289">
        <f>+K0kommunestruktur2021altern!H205</f>
        <v>142744</v>
      </c>
      <c r="I205" s="289">
        <f>+K0kommunestruktur2021altern!I205</f>
        <v>6585</v>
      </c>
      <c r="J205" s="289">
        <f>+K0kommunestruktur2021altern!J205</f>
        <v>146101</v>
      </c>
      <c r="K205" s="289">
        <f>+K0kommunestruktur2021altern!K205</f>
        <v>6609</v>
      </c>
      <c r="L205" s="289">
        <f>+K0kommunestruktur2021altern!L205</f>
        <v>155467</v>
      </c>
      <c r="M205" s="289">
        <f>+K0kommunestruktur2021altern!M205</f>
        <v>6538</v>
      </c>
      <c r="N205" s="289">
        <f>+K0kommunestruktur2021altern!N205</f>
        <v>161297</v>
      </c>
      <c r="O205" s="289">
        <f>+K0kommunestruktur2021altern!O205</f>
        <v>6515</v>
      </c>
      <c r="P205" s="289">
        <f>+K0kommunestruktur2021altern!P205</f>
        <v>158065</v>
      </c>
      <c r="Q205" s="289">
        <f>+K0kommunestruktur2021altern!Q205</f>
        <v>6488</v>
      </c>
      <c r="R205" s="289">
        <f>+K0kommunestruktur2021altern!R205</f>
        <v>175956.23499999999</v>
      </c>
      <c r="S205" s="289">
        <f>VLOOKUP(A205,'K22'!A205:CU560,3)</f>
        <v>6494</v>
      </c>
      <c r="T205" s="289">
        <f>VLOOKUP(A205,'K22'!$A$4:$BV$359,26)</f>
        <v>198150.37565376773</v>
      </c>
      <c r="U205" s="289">
        <f>VLOOKUP(A205,'Bef.fremskr. kommunenivå MMMM'!$A$5:$K$360,8)</f>
        <v>6523</v>
      </c>
      <c r="V205" s="289">
        <f>VLOOKUP(A205,'K23'!$A$4:$BV$359,26)</f>
        <v>182244.05674047783</v>
      </c>
    </row>
    <row r="206" spans="1:22" ht="13">
      <c r="A206" s="755">
        <v>3817</v>
      </c>
      <c r="B206" s="756" t="s">
        <v>1627</v>
      </c>
      <c r="C206" s="289">
        <f>+K0kommunestruktur2021altern!C206</f>
        <v>9707.6606102958303</v>
      </c>
      <c r="D206" s="289">
        <f>+K0kommunestruktur2021altern!D206</f>
        <v>189910.24854414162</v>
      </c>
      <c r="E206" s="289">
        <f>+K0kommunestruktur2021altern!E206</f>
        <v>9869.4691358024684</v>
      </c>
      <c r="F206" s="289">
        <f>+K0kommunestruktur2021altern!F206</f>
        <v>202086.22129047287</v>
      </c>
      <c r="G206" s="289">
        <f>+K0kommunestruktur2021altern!G206</f>
        <v>9986.3039832285122</v>
      </c>
      <c r="H206" s="289">
        <f>+K0kommunestruktur2021altern!H206</f>
        <v>218920.21826228744</v>
      </c>
      <c r="I206" s="289">
        <f>+K0kommunestruktur2021altern!I206</f>
        <v>10115.956440717448</v>
      </c>
      <c r="J206" s="289">
        <f>+K0kommunestruktur2021altern!J206</f>
        <v>233707.65967854648</v>
      </c>
      <c r="K206" s="289">
        <f>+K0kommunestruktur2021altern!K206</f>
        <v>10364.11250873515</v>
      </c>
      <c r="L206" s="289">
        <f>+K0kommunestruktur2021altern!L206</f>
        <v>247007.17260656884</v>
      </c>
      <c r="M206" s="289">
        <f>+K0kommunestruktur2021altern!M206</f>
        <v>10475</v>
      </c>
      <c r="N206" s="289">
        <f>+K0kommunestruktur2021altern!N206</f>
        <v>254373.55788492894</v>
      </c>
      <c r="O206" s="289">
        <f>+K0kommunestruktur2021altern!O206</f>
        <v>10444</v>
      </c>
      <c r="P206" s="289">
        <f>+K0kommunestruktur2021altern!P206</f>
        <v>250588</v>
      </c>
      <c r="Q206" s="289">
        <f>+K0kommunestruktur2021altern!Q206</f>
        <v>10461</v>
      </c>
      <c r="R206" s="289">
        <f>+K0kommunestruktur2021altern!R206</f>
        <v>281774.505</v>
      </c>
      <c r="S206" s="289">
        <f>VLOOKUP(A206,'K22'!A206:CU561,3)</f>
        <v>10539</v>
      </c>
      <c r="T206" s="289">
        <f>VLOOKUP(A206,'K22'!$A$4:$BV$359,26)</f>
        <v>317083.45271746273</v>
      </c>
      <c r="U206" s="289">
        <f>VLOOKUP(A206,'Bef.fremskr. kommunenivå MMMM'!$A$5:$K$360,8)</f>
        <v>10717</v>
      </c>
      <c r="V206" s="289">
        <f>VLOOKUP(A206,'K23'!$A$4:$BV$359,26)</f>
        <v>296683.64641840575</v>
      </c>
    </row>
    <row r="207" spans="1:22" ht="13">
      <c r="A207" s="755">
        <v>3818</v>
      </c>
      <c r="B207" s="756" t="s">
        <v>920</v>
      </c>
      <c r="C207" s="289">
        <f>+K0kommunestruktur2021altern!C207</f>
        <v>5957</v>
      </c>
      <c r="D207" s="289">
        <f>+K0kommunestruktur2021altern!D207</f>
        <v>171332</v>
      </c>
      <c r="E207" s="289">
        <f>+K0kommunestruktur2021altern!E207</f>
        <v>5913</v>
      </c>
      <c r="F207" s="289">
        <f>+K0kommunestruktur2021altern!F207</f>
        <v>175352</v>
      </c>
      <c r="G207" s="289">
        <f>+K0kommunestruktur2021altern!G207</f>
        <v>5940</v>
      </c>
      <c r="H207" s="289">
        <f>+K0kommunestruktur2021altern!H207</f>
        <v>186961</v>
      </c>
      <c r="I207" s="289">
        <f>+K0kommunestruktur2021altern!I207</f>
        <v>5894</v>
      </c>
      <c r="J207" s="289">
        <f>+K0kommunestruktur2021altern!J207</f>
        <v>193683</v>
      </c>
      <c r="K207" s="289">
        <f>+K0kommunestruktur2021altern!K207</f>
        <v>5856</v>
      </c>
      <c r="L207" s="289">
        <f>+K0kommunestruktur2021altern!L207</f>
        <v>199842</v>
      </c>
      <c r="M207" s="289">
        <f>+K0kommunestruktur2021altern!M207</f>
        <v>5780</v>
      </c>
      <c r="N207" s="289">
        <f>+K0kommunestruktur2021altern!N207</f>
        <v>205109</v>
      </c>
      <c r="O207" s="289">
        <f>+K0kommunestruktur2021altern!O207</f>
        <v>5691</v>
      </c>
      <c r="P207" s="289">
        <f>+K0kommunestruktur2021altern!P207</f>
        <v>204259</v>
      </c>
      <c r="Q207" s="289">
        <f>+K0kommunestruktur2021altern!Q207</f>
        <v>5604</v>
      </c>
      <c r="R207" s="289">
        <f>+K0kommunestruktur2021altern!R207</f>
        <v>223349.69099999999</v>
      </c>
      <c r="S207" s="289">
        <f>VLOOKUP(A207,'K22'!A207:CU562,3)</f>
        <v>5512</v>
      </c>
      <c r="T207" s="289">
        <f>VLOOKUP(A207,'K22'!$A$4:$BV$359,26)</f>
        <v>233906.85028119583</v>
      </c>
      <c r="U207" s="289">
        <f>VLOOKUP(A207,'Bef.fremskr. kommunenivå MMMM'!$A$5:$K$360,8)</f>
        <v>5455</v>
      </c>
      <c r="V207" s="289">
        <f>VLOOKUP(A207,'K23'!$A$4:$BV$359,26)</f>
        <v>220426.23999350163</v>
      </c>
    </row>
    <row r="208" spans="1:22" ht="13">
      <c r="A208" s="755">
        <v>3819</v>
      </c>
      <c r="B208" s="756" t="s">
        <v>921</v>
      </c>
      <c r="C208" s="289">
        <f>+K0kommunestruktur2021altern!C208</f>
        <v>1602</v>
      </c>
      <c r="D208" s="289">
        <f>+K0kommunestruktur2021altern!D208</f>
        <v>39542</v>
      </c>
      <c r="E208" s="289">
        <f>+K0kommunestruktur2021altern!E208</f>
        <v>1594</v>
      </c>
      <c r="F208" s="289">
        <f>+K0kommunestruktur2021altern!F208</f>
        <v>42830</v>
      </c>
      <c r="G208" s="289">
        <f>+K0kommunestruktur2021altern!G208</f>
        <v>1613</v>
      </c>
      <c r="H208" s="289">
        <f>+K0kommunestruktur2021altern!H208</f>
        <v>40643</v>
      </c>
      <c r="I208" s="289">
        <f>+K0kommunestruktur2021altern!I208</f>
        <v>1593</v>
      </c>
      <c r="J208" s="289">
        <f>+K0kommunestruktur2021altern!J208</f>
        <v>43632</v>
      </c>
      <c r="K208" s="289">
        <f>+K0kommunestruktur2021altern!K208</f>
        <v>1587</v>
      </c>
      <c r="L208" s="289">
        <f>+K0kommunestruktur2021altern!L208</f>
        <v>47373</v>
      </c>
      <c r="M208" s="289">
        <f>+K0kommunestruktur2021altern!M208</f>
        <v>1572</v>
      </c>
      <c r="N208" s="289">
        <f>+K0kommunestruktur2021altern!N208</f>
        <v>48046</v>
      </c>
      <c r="O208" s="289">
        <f>+K0kommunestruktur2021altern!O208</f>
        <v>1573</v>
      </c>
      <c r="P208" s="289">
        <f>+K0kommunestruktur2021altern!P208</f>
        <v>47993</v>
      </c>
      <c r="Q208" s="289">
        <f>+K0kommunestruktur2021altern!Q208</f>
        <v>1561</v>
      </c>
      <c r="R208" s="289">
        <f>+K0kommunestruktur2021altern!R208</f>
        <v>54653.358999999997</v>
      </c>
      <c r="S208" s="289">
        <f>VLOOKUP(A208,'K22'!A208:CU563,3)</f>
        <v>1562</v>
      </c>
      <c r="T208" s="289">
        <f>VLOOKUP(A208,'K22'!$A$4:$BV$359,26)</f>
        <v>59850.705798924857</v>
      </c>
      <c r="U208" s="289">
        <f>VLOOKUP(A208,'Bef.fremskr. kommunenivå MMMM'!$A$5:$K$360,8)</f>
        <v>1558</v>
      </c>
      <c r="V208" s="289">
        <f>VLOOKUP(A208,'K23'!$A$4:$BV$359,26)</f>
        <v>54517.139236855219</v>
      </c>
    </row>
    <row r="209" spans="1:22" ht="13">
      <c r="A209" s="755">
        <v>3820</v>
      </c>
      <c r="B209" s="756" t="s">
        <v>922</v>
      </c>
      <c r="C209" s="289">
        <f>+K0kommunestruktur2021altern!C209</f>
        <v>2989</v>
      </c>
      <c r="D209" s="289">
        <f>+K0kommunestruktur2021altern!D209</f>
        <v>65047</v>
      </c>
      <c r="E209" s="289">
        <f>+K0kommunestruktur2021altern!E209</f>
        <v>3002</v>
      </c>
      <c r="F209" s="289">
        <f>+K0kommunestruktur2021altern!F209</f>
        <v>68192</v>
      </c>
      <c r="G209" s="289">
        <f>+K0kommunestruktur2021altern!G209</f>
        <v>2991</v>
      </c>
      <c r="H209" s="289">
        <f>+K0kommunestruktur2021altern!H209</f>
        <v>77709</v>
      </c>
      <c r="I209" s="289">
        <f>+K0kommunestruktur2021altern!I209</f>
        <v>2979</v>
      </c>
      <c r="J209" s="289">
        <f>+K0kommunestruktur2021altern!J209</f>
        <v>76975</v>
      </c>
      <c r="K209" s="289">
        <f>+K0kommunestruktur2021altern!K209</f>
        <v>2959</v>
      </c>
      <c r="L209" s="289">
        <f>+K0kommunestruktur2021altern!L209</f>
        <v>79022</v>
      </c>
      <c r="M209" s="289">
        <f>+K0kommunestruktur2021altern!M209</f>
        <v>2934</v>
      </c>
      <c r="N209" s="289">
        <f>+K0kommunestruktur2021altern!N209</f>
        <v>79899</v>
      </c>
      <c r="O209" s="289">
        <f>+K0kommunestruktur2021altern!O209</f>
        <v>2888</v>
      </c>
      <c r="P209" s="289">
        <f>+K0kommunestruktur2021altern!P209</f>
        <v>81485</v>
      </c>
      <c r="Q209" s="289">
        <f>+K0kommunestruktur2021altern!Q209</f>
        <v>2900</v>
      </c>
      <c r="R209" s="289">
        <f>+K0kommunestruktur2021altern!R209</f>
        <v>91555.714999999997</v>
      </c>
      <c r="S209" s="289">
        <f>VLOOKUP(A209,'K22'!A209:CU564,3)</f>
        <v>2889</v>
      </c>
      <c r="T209" s="289">
        <f>VLOOKUP(A209,'K22'!$A$4:$BV$359,26)</f>
        <v>101152.08050186736</v>
      </c>
      <c r="U209" s="289">
        <f>VLOOKUP(A209,'Bef.fremskr. kommunenivå MMMM'!$A$5:$K$360,8)</f>
        <v>2893</v>
      </c>
      <c r="V209" s="289">
        <f>VLOOKUP(A209,'K23'!$A$4:$BV$359,26)</f>
        <v>92154.43853713735</v>
      </c>
    </row>
    <row r="210" spans="1:22" ht="13">
      <c r="A210" s="755">
        <v>3821</v>
      </c>
      <c r="B210" s="756" t="s">
        <v>923</v>
      </c>
      <c r="C210" s="289">
        <f>+K0kommunestruktur2021altern!C210</f>
        <v>2468</v>
      </c>
      <c r="D210" s="289">
        <f>+K0kommunestruktur2021altern!D210</f>
        <v>50957</v>
      </c>
      <c r="E210" s="289">
        <f>+K0kommunestruktur2021altern!E210</f>
        <v>2466</v>
      </c>
      <c r="F210" s="289">
        <f>+K0kommunestruktur2021altern!F210</f>
        <v>53676</v>
      </c>
      <c r="G210" s="289">
        <f>+K0kommunestruktur2021altern!G210</f>
        <v>2448</v>
      </c>
      <c r="H210" s="289">
        <f>+K0kommunestruktur2021altern!H210</f>
        <v>59167</v>
      </c>
      <c r="I210" s="289">
        <f>+K0kommunestruktur2021altern!I210</f>
        <v>2442</v>
      </c>
      <c r="J210" s="289">
        <f>+K0kommunestruktur2021altern!J210</f>
        <v>59446</v>
      </c>
      <c r="K210" s="289">
        <f>+K0kommunestruktur2021altern!K210</f>
        <v>2397</v>
      </c>
      <c r="L210" s="289">
        <f>+K0kommunestruktur2021altern!L210</f>
        <v>63971</v>
      </c>
      <c r="M210" s="289">
        <f>+K0kommunestruktur2021altern!M210</f>
        <v>2403</v>
      </c>
      <c r="N210" s="289">
        <f>+K0kommunestruktur2021altern!N210</f>
        <v>65310</v>
      </c>
      <c r="O210" s="289">
        <f>+K0kommunestruktur2021altern!O210</f>
        <v>2403</v>
      </c>
      <c r="P210" s="289">
        <f>+K0kommunestruktur2021altern!P210</f>
        <v>67377</v>
      </c>
      <c r="Q210" s="289">
        <f>+K0kommunestruktur2021altern!Q210</f>
        <v>2430</v>
      </c>
      <c r="R210" s="289">
        <f>+K0kommunestruktur2021altern!R210</f>
        <v>75949.521999999997</v>
      </c>
      <c r="S210" s="289">
        <f>VLOOKUP(A210,'K22'!A210:CU565,3)</f>
        <v>2452</v>
      </c>
      <c r="T210" s="289">
        <f>VLOOKUP(A210,'K22'!$A$4:$BV$359,26)</f>
        <v>83912.535732809105</v>
      </c>
      <c r="U210" s="289">
        <f>VLOOKUP(A210,'Bef.fremskr. kommunenivå MMMM'!$A$5:$K$360,8)</f>
        <v>2470</v>
      </c>
      <c r="V210" s="289">
        <f>VLOOKUP(A210,'K23'!$A$4:$BV$359,26)</f>
        <v>78406.492709641272</v>
      </c>
    </row>
    <row r="211" spans="1:22" ht="13">
      <c r="A211" s="755">
        <v>3822</v>
      </c>
      <c r="B211" s="756" t="s">
        <v>924</v>
      </c>
      <c r="C211" s="289">
        <f>+K0kommunestruktur2021altern!C211</f>
        <v>1451</v>
      </c>
      <c r="D211" s="289">
        <f>+K0kommunestruktur2021altern!D211</f>
        <v>36611</v>
      </c>
      <c r="E211" s="289">
        <f>+K0kommunestruktur2021altern!E211</f>
        <v>1439</v>
      </c>
      <c r="F211" s="289">
        <f>+K0kommunestruktur2021altern!F211</f>
        <v>37410</v>
      </c>
      <c r="G211" s="289">
        <f>+K0kommunestruktur2021altern!G211</f>
        <v>1443</v>
      </c>
      <c r="H211" s="289">
        <f>+K0kommunestruktur2021altern!H211</f>
        <v>39677</v>
      </c>
      <c r="I211" s="289">
        <f>+K0kommunestruktur2021altern!I211</f>
        <v>1476</v>
      </c>
      <c r="J211" s="289">
        <f>+K0kommunestruktur2021altern!J211</f>
        <v>41801</v>
      </c>
      <c r="K211" s="289">
        <f>+K0kommunestruktur2021altern!K211</f>
        <v>1489</v>
      </c>
      <c r="L211" s="289">
        <f>+K0kommunestruktur2021altern!L211</f>
        <v>43371</v>
      </c>
      <c r="M211" s="289">
        <f>+K0kommunestruktur2021altern!M211</f>
        <v>1476</v>
      </c>
      <c r="N211" s="289">
        <f>+K0kommunestruktur2021altern!N211</f>
        <v>43819</v>
      </c>
      <c r="O211" s="289">
        <f>+K0kommunestruktur2021altern!O211</f>
        <v>1448</v>
      </c>
      <c r="P211" s="289">
        <f>+K0kommunestruktur2021altern!P211</f>
        <v>42926</v>
      </c>
      <c r="Q211" s="289">
        <f>+K0kommunestruktur2021altern!Q211</f>
        <v>1430</v>
      </c>
      <c r="R211" s="289">
        <f>+K0kommunestruktur2021altern!R211</f>
        <v>47756.73</v>
      </c>
      <c r="S211" s="289">
        <f>VLOOKUP(A211,'K22'!A211:CU566,3)</f>
        <v>1414</v>
      </c>
      <c r="T211" s="289">
        <f>VLOOKUP(A211,'K22'!$A$4:$BV$359,26)</f>
        <v>50416.747992196411</v>
      </c>
      <c r="U211" s="289">
        <f>VLOOKUP(A211,'Bef.fremskr. kommunenivå MMMM'!$A$5:$K$360,8)</f>
        <v>1421</v>
      </c>
      <c r="V211" s="289">
        <f>VLOOKUP(A211,'K23'!$A$4:$BV$359,26)</f>
        <v>47966.663328987415</v>
      </c>
    </row>
    <row r="212" spans="1:22" ht="13">
      <c r="A212" s="755">
        <v>3823</v>
      </c>
      <c r="B212" s="756" t="s">
        <v>925</v>
      </c>
      <c r="C212" s="289">
        <f>+K0kommunestruktur2021altern!C212</f>
        <v>1303</v>
      </c>
      <c r="D212" s="289">
        <f>+K0kommunestruktur2021altern!D212</f>
        <v>28797</v>
      </c>
      <c r="E212" s="289">
        <f>+K0kommunestruktur2021altern!E212</f>
        <v>1298</v>
      </c>
      <c r="F212" s="289">
        <f>+K0kommunestruktur2021altern!F212</f>
        <v>30134</v>
      </c>
      <c r="G212" s="289">
        <f>+K0kommunestruktur2021altern!G212</f>
        <v>1323</v>
      </c>
      <c r="H212" s="289">
        <f>+K0kommunestruktur2021altern!H212</f>
        <v>31376</v>
      </c>
      <c r="I212" s="289">
        <f>+K0kommunestruktur2021altern!I212</f>
        <v>1319</v>
      </c>
      <c r="J212" s="289">
        <f>+K0kommunestruktur2021altern!J212</f>
        <v>31788</v>
      </c>
      <c r="K212" s="289">
        <f>+K0kommunestruktur2021altern!K212</f>
        <v>1320</v>
      </c>
      <c r="L212" s="289">
        <f>+K0kommunestruktur2021altern!L212</f>
        <v>35116</v>
      </c>
      <c r="M212" s="289">
        <f>+K0kommunestruktur2021altern!M212</f>
        <v>1286</v>
      </c>
      <c r="N212" s="289">
        <f>+K0kommunestruktur2021altern!N212</f>
        <v>35476</v>
      </c>
      <c r="O212" s="289">
        <f>+K0kommunestruktur2021altern!O212</f>
        <v>1287</v>
      </c>
      <c r="P212" s="289">
        <f>+K0kommunestruktur2021altern!P212</f>
        <v>35369</v>
      </c>
      <c r="Q212" s="289">
        <f>+K0kommunestruktur2021altern!Q212</f>
        <v>1228</v>
      </c>
      <c r="R212" s="289">
        <f>+K0kommunestruktur2021altern!R212</f>
        <v>39973.891000000003</v>
      </c>
      <c r="S212" s="289">
        <f>VLOOKUP(A212,'K22'!A212:CU567,3)</f>
        <v>1198</v>
      </c>
      <c r="T212" s="289">
        <f>VLOOKUP(A212,'K22'!$A$4:$BV$359,26)</f>
        <v>40227.118971756339</v>
      </c>
      <c r="U212" s="289">
        <f>VLOOKUP(A212,'Bef.fremskr. kommunenivå MMMM'!$A$5:$K$360,8)</f>
        <v>1199</v>
      </c>
      <c r="V212" s="289">
        <f>VLOOKUP(A212,'K23'!$A$4:$BV$359,26)</f>
        <v>38338.253599883596</v>
      </c>
    </row>
    <row r="213" spans="1:22" ht="13">
      <c r="A213" s="755">
        <v>3824</v>
      </c>
      <c r="B213" s="756" t="s">
        <v>926</v>
      </c>
      <c r="C213" s="289">
        <f>+K0kommunestruktur2021altern!C213</f>
        <v>2257</v>
      </c>
      <c r="D213" s="289">
        <f>+K0kommunestruktur2021altern!D213</f>
        <v>71072</v>
      </c>
      <c r="E213" s="289">
        <f>+K0kommunestruktur2021altern!E213</f>
        <v>2252</v>
      </c>
      <c r="F213" s="289">
        <f>+K0kommunestruktur2021altern!F213</f>
        <v>73784</v>
      </c>
      <c r="G213" s="289">
        <f>+K0kommunestruktur2021altern!G213</f>
        <v>2246</v>
      </c>
      <c r="H213" s="289">
        <f>+K0kommunestruktur2021altern!H213</f>
        <v>75679</v>
      </c>
      <c r="I213" s="289">
        <f>+K0kommunestruktur2021altern!I213</f>
        <v>2228</v>
      </c>
      <c r="J213" s="289">
        <f>+K0kommunestruktur2021altern!J213</f>
        <v>75885</v>
      </c>
      <c r="K213" s="289">
        <f>+K0kommunestruktur2021altern!K213</f>
        <v>2236</v>
      </c>
      <c r="L213" s="289">
        <f>+K0kommunestruktur2021altern!L213</f>
        <v>78415</v>
      </c>
      <c r="M213" s="289">
        <f>+K0kommunestruktur2021altern!M213</f>
        <v>2228</v>
      </c>
      <c r="N213" s="289">
        <f>+K0kommunestruktur2021altern!N213</f>
        <v>83047</v>
      </c>
      <c r="O213" s="289">
        <f>+K0kommunestruktur2021altern!O213</f>
        <v>2201</v>
      </c>
      <c r="P213" s="289">
        <f>+K0kommunestruktur2021altern!P213</f>
        <v>84882</v>
      </c>
      <c r="Q213" s="289">
        <f>+K0kommunestruktur2021altern!Q213</f>
        <v>2164</v>
      </c>
      <c r="R213" s="289">
        <f>+K0kommunestruktur2021altern!R213</f>
        <v>94526.759000000005</v>
      </c>
      <c r="S213" s="289">
        <f>VLOOKUP(A213,'K22'!A213:CU568,3)</f>
        <v>2140</v>
      </c>
      <c r="T213" s="289">
        <f>VLOOKUP(A213,'K22'!$A$4:$BV$359,26)</f>
        <v>95991.261679949996</v>
      </c>
      <c r="U213" s="289">
        <f>VLOOKUP(A213,'Bef.fremskr. kommunenivå MMMM'!$A$5:$K$360,8)</f>
        <v>2119</v>
      </c>
      <c r="V213" s="289">
        <f>VLOOKUP(A213,'K23'!$A$4:$BV$359,26)</f>
        <v>91569.011840336767</v>
      </c>
    </row>
    <row r="214" spans="1:22" ht="13">
      <c r="A214" s="755">
        <v>3825</v>
      </c>
      <c r="B214" s="756" t="s">
        <v>927</v>
      </c>
      <c r="C214" s="289">
        <f>+K0kommunestruktur2021altern!C214</f>
        <v>3723</v>
      </c>
      <c r="D214" s="289">
        <f>+K0kommunestruktur2021altern!D214</f>
        <v>126108</v>
      </c>
      <c r="E214" s="289">
        <f>+K0kommunestruktur2021altern!E214</f>
        <v>3689</v>
      </c>
      <c r="F214" s="289">
        <f>+K0kommunestruktur2021altern!F214</f>
        <v>128208</v>
      </c>
      <c r="G214" s="289">
        <f>+K0kommunestruktur2021altern!G214</f>
        <v>3727</v>
      </c>
      <c r="H214" s="289">
        <f>+K0kommunestruktur2021altern!H214</f>
        <v>139735</v>
      </c>
      <c r="I214" s="289">
        <f>+K0kommunestruktur2021altern!I214</f>
        <v>3726</v>
      </c>
      <c r="J214" s="289">
        <f>+K0kommunestruktur2021altern!J214</f>
        <v>147661</v>
      </c>
      <c r="K214" s="289">
        <f>+K0kommunestruktur2021altern!K214</f>
        <v>3709</v>
      </c>
      <c r="L214" s="289">
        <f>+K0kommunestruktur2021altern!L214</f>
        <v>151716</v>
      </c>
      <c r="M214" s="289">
        <f>+K0kommunestruktur2021altern!M214</f>
        <v>3723</v>
      </c>
      <c r="N214" s="289">
        <f>+K0kommunestruktur2021altern!N214</f>
        <v>154659</v>
      </c>
      <c r="O214" s="289">
        <f>+K0kommunestruktur2021altern!O214</f>
        <v>3676</v>
      </c>
      <c r="P214" s="289">
        <f>+K0kommunestruktur2021altern!P214</f>
        <v>150015</v>
      </c>
      <c r="Q214" s="289">
        <f>+K0kommunestruktur2021altern!Q214</f>
        <v>3756</v>
      </c>
      <c r="R214" s="289">
        <f>+K0kommunestruktur2021altern!R214</f>
        <v>172555.34</v>
      </c>
      <c r="S214" s="289">
        <f>VLOOKUP(A214,'K22'!A214:CU569,3)</f>
        <v>3755</v>
      </c>
      <c r="T214" s="289">
        <f>VLOOKUP(A214,'K22'!$A$4:$BV$359,26)</f>
        <v>184220.84569381451</v>
      </c>
      <c r="U214" s="289">
        <f>VLOOKUP(A214,'Bef.fremskr. kommunenivå MMMM'!$A$5:$K$360,8)</f>
        <v>3779</v>
      </c>
      <c r="V214" s="289">
        <f>VLOOKUP(A214,'K23'!$A$4:$BV$359,26)</f>
        <v>173462.61248571609</v>
      </c>
    </row>
    <row r="215" spans="1:22" ht="13">
      <c r="A215" s="755">
        <v>4201</v>
      </c>
      <c r="B215" s="756" t="s">
        <v>928</v>
      </c>
      <c r="C215" s="289">
        <f>+K0kommunestruktur2021altern!C215</f>
        <v>6899</v>
      </c>
      <c r="D215" s="289">
        <f>+K0kommunestruktur2021altern!D215</f>
        <v>134355</v>
      </c>
      <c r="E215" s="289">
        <f>+K0kommunestruktur2021altern!E215</f>
        <v>6909</v>
      </c>
      <c r="F215" s="289">
        <f>+K0kommunestruktur2021altern!F215</f>
        <v>147885</v>
      </c>
      <c r="G215" s="289">
        <f>+K0kommunestruktur2021altern!G215</f>
        <v>6920</v>
      </c>
      <c r="H215" s="289">
        <f>+K0kommunestruktur2021altern!H215</f>
        <v>167375</v>
      </c>
      <c r="I215" s="289">
        <f>+K0kommunestruktur2021altern!I215</f>
        <v>6936</v>
      </c>
      <c r="J215" s="289">
        <f>+K0kommunestruktur2021altern!J215</f>
        <v>169353</v>
      </c>
      <c r="K215" s="289">
        <f>+K0kommunestruktur2021altern!K215</f>
        <v>6882</v>
      </c>
      <c r="L215" s="289">
        <f>+K0kommunestruktur2021altern!L215</f>
        <v>167642</v>
      </c>
      <c r="M215" s="289">
        <f>+K0kommunestruktur2021altern!M215</f>
        <v>6848</v>
      </c>
      <c r="N215" s="289">
        <f>+K0kommunestruktur2021altern!N215</f>
        <v>177519</v>
      </c>
      <c r="O215" s="289">
        <f>+K0kommunestruktur2021altern!O215</f>
        <v>6809</v>
      </c>
      <c r="P215" s="289">
        <f>+K0kommunestruktur2021altern!P215</f>
        <v>180186</v>
      </c>
      <c r="Q215" s="289">
        <f>+K0kommunestruktur2021altern!Q215</f>
        <v>6762</v>
      </c>
      <c r="R215" s="289">
        <f>+K0kommunestruktur2021altern!R215</f>
        <v>199212.78400000001</v>
      </c>
      <c r="S215" s="289">
        <f>VLOOKUP(A215,'K22'!A215:CU570,3)</f>
        <v>6735</v>
      </c>
      <c r="T215" s="289">
        <f>VLOOKUP(A215,'K22'!$A$4:$BV$359,26)</f>
        <v>226442.22710573251</v>
      </c>
      <c r="U215" s="289">
        <f>VLOOKUP(A215,'Bef.fremskr. kommunenivå MMMM'!$A$5:$K$360,8)</f>
        <v>6716</v>
      </c>
      <c r="V215" s="289">
        <f>VLOOKUP(A215,'K23'!$A$4:$BV$359,26)</f>
        <v>202285.17036892948</v>
      </c>
    </row>
    <row r="216" spans="1:22" ht="13">
      <c r="A216" s="755">
        <v>4202</v>
      </c>
      <c r="B216" s="756" t="s">
        <v>929</v>
      </c>
      <c r="C216" s="289">
        <f>+K0kommunestruktur2021altern!C216</f>
        <v>21783</v>
      </c>
      <c r="D216" s="289">
        <f>+K0kommunestruktur2021altern!D216</f>
        <v>553534</v>
      </c>
      <c r="E216" s="289">
        <f>+K0kommunestruktur2021altern!E216</f>
        <v>22098</v>
      </c>
      <c r="F216" s="289">
        <f>+K0kommunestruktur2021altern!F216</f>
        <v>543922</v>
      </c>
      <c r="G216" s="289">
        <f>+K0kommunestruktur2021altern!G216</f>
        <v>22550</v>
      </c>
      <c r="H216" s="289">
        <f>+K0kommunestruktur2021altern!H216</f>
        <v>604347</v>
      </c>
      <c r="I216" s="289">
        <f>+K0kommunestruktur2021altern!I216</f>
        <v>22692</v>
      </c>
      <c r="J216" s="289">
        <f>+K0kommunestruktur2021altern!J216</f>
        <v>697878</v>
      </c>
      <c r="K216" s="289">
        <f>+K0kommunestruktur2021altern!K216</f>
        <v>23017</v>
      </c>
      <c r="L216" s="289">
        <f>+K0kommunestruktur2021altern!L216</f>
        <v>637254</v>
      </c>
      <c r="M216" s="289">
        <f>+K0kommunestruktur2021altern!M216</f>
        <v>23246</v>
      </c>
      <c r="N216" s="289">
        <f>+K0kommunestruktur2021altern!N216</f>
        <v>551458</v>
      </c>
      <c r="O216" s="289">
        <f>+K0kommunestruktur2021altern!O216</f>
        <v>23544</v>
      </c>
      <c r="P216" s="289">
        <f>+K0kommunestruktur2021altern!P216</f>
        <v>635058</v>
      </c>
      <c r="Q216" s="289">
        <f>+K0kommunestruktur2021altern!Q216</f>
        <v>23891</v>
      </c>
      <c r="R216" s="289">
        <f>+K0kommunestruktur2021altern!R216</f>
        <v>732951.91099999996</v>
      </c>
      <c r="S216" s="289">
        <f>VLOOKUP(A216,'K22'!A216:CU571,3)</f>
        <v>24017</v>
      </c>
      <c r="T216" s="289">
        <f>VLOOKUP(A216,'K22'!$A$4:$BV$359,26)</f>
        <v>797288.99315951567</v>
      </c>
      <c r="U216" s="289">
        <f>VLOOKUP(A216,'Bef.fremskr. kommunenivå MMMM'!$A$5:$K$360,8)</f>
        <v>24289</v>
      </c>
      <c r="V216" s="289">
        <f>VLOOKUP(A216,'K23'!$A$4:$BV$359,26)</f>
        <v>725602.88176312635</v>
      </c>
    </row>
    <row r="217" spans="1:22" ht="13">
      <c r="A217" s="755">
        <v>4203</v>
      </c>
      <c r="B217" s="756" t="s">
        <v>930</v>
      </c>
      <c r="C217" s="289">
        <f>+K0kommunestruktur2021altern!C217</f>
        <v>43841</v>
      </c>
      <c r="D217" s="289">
        <f>+K0kommunestruktur2021altern!D217</f>
        <v>938268</v>
      </c>
      <c r="E217" s="289">
        <f>+K0kommunestruktur2021altern!E217</f>
        <v>44219</v>
      </c>
      <c r="F217" s="289">
        <f>+K0kommunestruktur2021altern!F217</f>
        <v>1003175</v>
      </c>
      <c r="G217" s="289">
        <f>+K0kommunestruktur2021altern!G217</f>
        <v>44313</v>
      </c>
      <c r="H217" s="289">
        <f>+K0kommunestruktur2021altern!H217</f>
        <v>1080289</v>
      </c>
      <c r="I217" s="289">
        <f>+K0kommunestruktur2021altern!I217</f>
        <v>44576</v>
      </c>
      <c r="J217" s="289">
        <f>+K0kommunestruktur2021altern!J217</f>
        <v>1108406</v>
      </c>
      <c r="K217" s="289">
        <f>+K0kommunestruktur2021altern!K217</f>
        <v>44645</v>
      </c>
      <c r="L217" s="289">
        <f>+K0kommunestruktur2021altern!L217</f>
        <v>1138206</v>
      </c>
      <c r="M217" s="289">
        <f>+K0kommunestruktur2021altern!M217</f>
        <v>44785</v>
      </c>
      <c r="N217" s="289">
        <f>+K0kommunestruktur2021altern!N217</f>
        <v>1184748</v>
      </c>
      <c r="O217" s="289">
        <f>+K0kommunestruktur2021altern!O217</f>
        <v>44999</v>
      </c>
      <c r="P217" s="289">
        <f>+K0kommunestruktur2021altern!P217</f>
        <v>1167063</v>
      </c>
      <c r="Q217" s="289">
        <f>+K0kommunestruktur2021altern!Q217</f>
        <v>45065</v>
      </c>
      <c r="R217" s="289">
        <f>+K0kommunestruktur2021altern!R217</f>
        <v>1363662.236</v>
      </c>
      <c r="S217" s="289">
        <f>VLOOKUP(A217,'K22'!A217:CU572,3)</f>
        <v>45509</v>
      </c>
      <c r="T217" s="289">
        <f>VLOOKUP(A217,'K22'!$A$4:$BV$359,26)</f>
        <v>1505098.6323856148</v>
      </c>
      <c r="U217" s="289">
        <f>VLOOKUP(A217,'Bef.fremskr. kommunenivå MMMM'!$A$5:$K$360,8)</f>
        <v>45720</v>
      </c>
      <c r="V217" s="289">
        <f>VLOOKUP(A217,'K23'!$A$4:$BV$359,26)</f>
        <v>1389132.4331632908</v>
      </c>
    </row>
    <row r="218" spans="1:22" ht="13">
      <c r="A218" s="755">
        <v>4204</v>
      </c>
      <c r="B218" s="756" t="s">
        <v>1628</v>
      </c>
      <c r="C218" s="289">
        <f>+K0kommunestruktur2021altern!C218</f>
        <v>103291</v>
      </c>
      <c r="D218" s="289">
        <f>+K0kommunestruktur2021altern!D218</f>
        <v>2405171</v>
      </c>
      <c r="E218" s="289">
        <f>+K0kommunestruktur2021altern!E218</f>
        <v>105017</v>
      </c>
      <c r="F218" s="289">
        <f>+K0kommunestruktur2021altern!F218</f>
        <v>2540754</v>
      </c>
      <c r="G218" s="289">
        <f>+K0kommunestruktur2021altern!G218</f>
        <v>106126</v>
      </c>
      <c r="H218" s="289">
        <f>+K0kommunestruktur2021altern!H218</f>
        <v>2745531</v>
      </c>
      <c r="I218" s="289">
        <f>+K0kommunestruktur2021altern!I218</f>
        <v>107157</v>
      </c>
      <c r="J218" s="289">
        <f>+K0kommunestruktur2021altern!J218</f>
        <v>2802164</v>
      </c>
      <c r="K218" s="289">
        <f>+K0kommunestruktur2021altern!K218</f>
        <v>109438</v>
      </c>
      <c r="L218" s="289">
        <f>+K0kommunestruktur2021altern!L218</f>
        <v>2968176</v>
      </c>
      <c r="M218" s="289">
        <f>+K0kommunestruktur2021altern!M218</f>
        <v>110391</v>
      </c>
      <c r="N218" s="289">
        <f>+K0kommunestruktur2021altern!N218</f>
        <v>3051787</v>
      </c>
      <c r="O218" s="289">
        <f>+K0kommunestruktur2021altern!O218</f>
        <v>111633</v>
      </c>
      <c r="P218" s="289">
        <f>+K0kommunestruktur2021altern!P218</f>
        <v>3039670</v>
      </c>
      <c r="Q218" s="289">
        <f>+K0kommunestruktur2021altern!Q218</f>
        <v>112588</v>
      </c>
      <c r="R218" s="289">
        <f>+K0kommunestruktur2021altern!R218</f>
        <v>3521880.56</v>
      </c>
      <c r="S218" s="289">
        <f>VLOOKUP(A218,'K22'!A218:CU573,3)</f>
        <v>113737</v>
      </c>
      <c r="T218" s="289">
        <f>VLOOKUP(A218,'K22'!$A$4:$BV$359,26)</f>
        <v>3977290.0129548102</v>
      </c>
      <c r="U218" s="289">
        <f>VLOOKUP(A218,'Bef.fremskr. kommunenivå MMMM'!$A$5:$K$360,8)</f>
        <v>115247</v>
      </c>
      <c r="V218" s="289">
        <f>VLOOKUP(A218,'K23'!$A$4:$BV$359,26)</f>
        <v>3652123.8416874614</v>
      </c>
    </row>
    <row r="219" spans="1:22" ht="13">
      <c r="A219" s="755">
        <v>4205</v>
      </c>
      <c r="B219" s="756" t="s">
        <v>1629</v>
      </c>
      <c r="C219" s="289">
        <f>+K0kommunestruktur2021altern!C219</f>
        <v>22492</v>
      </c>
      <c r="D219" s="289">
        <f>+K0kommunestruktur2021altern!D219</f>
        <v>447051</v>
      </c>
      <c r="E219" s="289">
        <f>+K0kommunestruktur2021altern!E219</f>
        <v>22611</v>
      </c>
      <c r="F219" s="289">
        <f>+K0kommunestruktur2021altern!F219</f>
        <v>480798</v>
      </c>
      <c r="G219" s="289">
        <f>+K0kommunestruktur2021altern!G219</f>
        <v>22762</v>
      </c>
      <c r="H219" s="289">
        <f>+K0kommunestruktur2021altern!H219</f>
        <v>526541</v>
      </c>
      <c r="I219" s="289">
        <f>+K0kommunestruktur2021altern!I219</f>
        <v>22859</v>
      </c>
      <c r="J219" s="289">
        <f>+K0kommunestruktur2021altern!J219</f>
        <v>551941</v>
      </c>
      <c r="K219" s="289">
        <f>+K0kommunestruktur2021altern!K219</f>
        <v>22905</v>
      </c>
      <c r="L219" s="289">
        <f>+K0kommunestruktur2021altern!L219</f>
        <v>566314</v>
      </c>
      <c r="M219" s="289">
        <f>+K0kommunestruktur2021altern!M219</f>
        <v>22909</v>
      </c>
      <c r="N219" s="289">
        <f>+K0kommunestruktur2021altern!N219</f>
        <v>595597</v>
      </c>
      <c r="O219" s="289">
        <f>+K0kommunestruktur2021altern!O219</f>
        <v>23046</v>
      </c>
      <c r="P219" s="289">
        <f>+K0kommunestruktur2021altern!P219</f>
        <v>591163</v>
      </c>
      <c r="Q219" s="289">
        <f>+K0kommunestruktur2021altern!Q219</f>
        <v>23055</v>
      </c>
      <c r="R219" s="289">
        <f>+K0kommunestruktur2021altern!R219</f>
        <v>662637.62300000002</v>
      </c>
      <c r="S219" s="289">
        <f>VLOOKUP(A219,'K22'!A219:CU574,3)</f>
        <v>23147</v>
      </c>
      <c r="T219" s="289">
        <f>VLOOKUP(A219,'K22'!$A$4:$BV$359,26)</f>
        <v>746013.8789243541</v>
      </c>
      <c r="U219" s="289">
        <f>VLOOKUP(A219,'Bef.fremskr. kommunenivå MMMM'!$A$5:$K$360,8)</f>
        <v>23180</v>
      </c>
      <c r="V219" s="289">
        <f>VLOOKUP(A219,'K23'!$A$4:$BV$359,26)</f>
        <v>685471.56850973319</v>
      </c>
    </row>
    <row r="220" spans="1:22" ht="13">
      <c r="A220" s="755">
        <v>4206</v>
      </c>
      <c r="B220" s="756" t="s">
        <v>944</v>
      </c>
      <c r="C220" s="289">
        <f>+K0kommunestruktur2021altern!C220</f>
        <v>9516</v>
      </c>
      <c r="D220" s="289">
        <f>+K0kommunestruktur2021altern!D220</f>
        <v>213055</v>
      </c>
      <c r="E220" s="289">
        <f>+K0kommunestruktur2021altern!E220</f>
        <v>9596</v>
      </c>
      <c r="F220" s="289">
        <f>+K0kommunestruktur2021altern!F220</f>
        <v>220937</v>
      </c>
      <c r="G220" s="289">
        <f>+K0kommunestruktur2021altern!G220</f>
        <v>9705</v>
      </c>
      <c r="H220" s="289">
        <f>+K0kommunestruktur2021altern!H220</f>
        <v>232824</v>
      </c>
      <c r="I220" s="289">
        <f>+K0kommunestruktur2021altern!I220</f>
        <v>9769</v>
      </c>
      <c r="J220" s="289">
        <f>+K0kommunestruktur2021altern!J220</f>
        <v>236747</v>
      </c>
      <c r="K220" s="289">
        <f>+K0kommunestruktur2021altern!K220</f>
        <v>9726</v>
      </c>
      <c r="L220" s="289">
        <f>+K0kommunestruktur2021altern!L220</f>
        <v>246461</v>
      </c>
      <c r="M220" s="289">
        <f>+K0kommunestruktur2021altern!M220</f>
        <v>9695</v>
      </c>
      <c r="N220" s="289">
        <f>+K0kommunestruktur2021altern!N220</f>
        <v>255900</v>
      </c>
      <c r="O220" s="289">
        <f>+K0kommunestruktur2021altern!O220</f>
        <v>9691</v>
      </c>
      <c r="P220" s="289">
        <f>+K0kommunestruktur2021altern!P220</f>
        <v>247224</v>
      </c>
      <c r="Q220" s="289">
        <f>+K0kommunestruktur2021altern!Q220</f>
        <v>9645</v>
      </c>
      <c r="R220" s="289">
        <f>+K0kommunestruktur2021altern!R220</f>
        <v>282688.32199999999</v>
      </c>
      <c r="S220" s="289">
        <f>VLOOKUP(A220,'K22'!A220:CU575,3)</f>
        <v>9622</v>
      </c>
      <c r="T220" s="289">
        <f>VLOOKUP(A220,'K22'!$A$4:$BV$359,26)</f>
        <v>308342.21462547942</v>
      </c>
      <c r="U220" s="289">
        <f>VLOOKUP(A220,'Bef.fremskr. kommunenivå MMMM'!$A$5:$K$360,8)</f>
        <v>9575</v>
      </c>
      <c r="V220" s="289">
        <f>VLOOKUP(A220,'K23'!$A$4:$BV$359,26)</f>
        <v>286099.15855350444</v>
      </c>
    </row>
    <row r="221" spans="1:22" ht="13">
      <c r="A221" s="755">
        <v>4207</v>
      </c>
      <c r="B221" s="756" t="s">
        <v>946</v>
      </c>
      <c r="C221" s="289">
        <f>+K0kommunestruktur2021altern!C221</f>
        <v>9013</v>
      </c>
      <c r="D221" s="289">
        <f>+K0kommunestruktur2021altern!D221</f>
        <v>207629</v>
      </c>
      <c r="E221" s="289">
        <f>+K0kommunestruktur2021altern!E221</f>
        <v>9069</v>
      </c>
      <c r="F221" s="289">
        <f>+K0kommunestruktur2021altern!F221</f>
        <v>221234</v>
      </c>
      <c r="G221" s="289">
        <f>+K0kommunestruktur2021altern!G221</f>
        <v>9096</v>
      </c>
      <c r="H221" s="289">
        <f>+K0kommunestruktur2021altern!H221</f>
        <v>234968</v>
      </c>
      <c r="I221" s="289">
        <f>+K0kommunestruktur2021altern!I221</f>
        <v>9090</v>
      </c>
      <c r="J221" s="289">
        <f>+K0kommunestruktur2021altern!J221</f>
        <v>235474</v>
      </c>
      <c r="K221" s="289">
        <f>+K0kommunestruktur2021altern!K221</f>
        <v>9066</v>
      </c>
      <c r="L221" s="289">
        <f>+K0kommunestruktur2021altern!L221</f>
        <v>241314</v>
      </c>
      <c r="M221" s="289">
        <f>+K0kommunestruktur2021altern!M221</f>
        <v>9066</v>
      </c>
      <c r="N221" s="289">
        <f>+K0kommunestruktur2021altern!N221</f>
        <v>248272</v>
      </c>
      <c r="O221" s="289">
        <f>+K0kommunestruktur2021altern!O221</f>
        <v>9028</v>
      </c>
      <c r="P221" s="289">
        <f>+K0kommunestruktur2021altern!P221</f>
        <v>244980</v>
      </c>
      <c r="Q221" s="289">
        <f>+K0kommunestruktur2021altern!Q221</f>
        <v>9027</v>
      </c>
      <c r="R221" s="289">
        <f>+K0kommunestruktur2021altern!R221</f>
        <v>274161.28899999999</v>
      </c>
      <c r="S221" s="289">
        <f>VLOOKUP(A221,'K22'!A221:CU576,3)</f>
        <v>9048</v>
      </c>
      <c r="T221" s="289">
        <f>VLOOKUP(A221,'K22'!$A$4:$BV$359,26)</f>
        <v>305468.80383243592</v>
      </c>
      <c r="U221" s="289">
        <f>VLOOKUP(A221,'Bef.fremskr. kommunenivå MMMM'!$A$5:$K$360,8)</f>
        <v>9031</v>
      </c>
      <c r="V221" s="289">
        <f>VLOOKUP(A221,'K23'!$A$4:$BV$359,26)</f>
        <v>281949.71191666496</v>
      </c>
    </row>
    <row r="222" spans="1:22" ht="13">
      <c r="A222" s="755">
        <v>4211</v>
      </c>
      <c r="B222" s="756" t="s">
        <v>931</v>
      </c>
      <c r="C222" s="289">
        <f>+K0kommunestruktur2021altern!C222</f>
        <v>2489</v>
      </c>
      <c r="D222" s="289">
        <f>+K0kommunestruktur2021altern!D222</f>
        <v>42217</v>
      </c>
      <c r="E222" s="289">
        <f>+K0kommunestruktur2021altern!E222</f>
        <v>2481</v>
      </c>
      <c r="F222" s="289">
        <f>+K0kommunestruktur2021altern!F222</f>
        <v>45870</v>
      </c>
      <c r="G222" s="289">
        <f>+K0kommunestruktur2021altern!G222</f>
        <v>2473</v>
      </c>
      <c r="H222" s="289">
        <f>+K0kommunestruktur2021altern!H222</f>
        <v>50912</v>
      </c>
      <c r="I222" s="289">
        <f>+K0kommunestruktur2021altern!I222</f>
        <v>2511</v>
      </c>
      <c r="J222" s="289">
        <f>+K0kommunestruktur2021altern!J222</f>
        <v>47795</v>
      </c>
      <c r="K222" s="289">
        <f>+K0kommunestruktur2021altern!K222</f>
        <v>2467</v>
      </c>
      <c r="L222" s="289">
        <f>+K0kommunestruktur2021altern!L222</f>
        <v>49187</v>
      </c>
      <c r="M222" s="289">
        <f>+K0kommunestruktur2021altern!M222</f>
        <v>2454</v>
      </c>
      <c r="N222" s="289">
        <f>+K0kommunestruktur2021altern!N222</f>
        <v>53222</v>
      </c>
      <c r="O222" s="289">
        <f>+K0kommunestruktur2021altern!O222</f>
        <v>2428</v>
      </c>
      <c r="P222" s="289">
        <f>+K0kommunestruktur2021altern!P222</f>
        <v>52631</v>
      </c>
      <c r="Q222" s="289">
        <f>+K0kommunestruktur2021altern!Q222</f>
        <v>2430</v>
      </c>
      <c r="R222" s="289">
        <f>+K0kommunestruktur2021altern!R222</f>
        <v>60138.071000000004</v>
      </c>
      <c r="S222" s="289">
        <f>VLOOKUP(A222,'K22'!A222:CU577,3)</f>
        <v>2427</v>
      </c>
      <c r="T222" s="289">
        <f>VLOOKUP(A222,'K22'!$A$4:$BV$359,26)</f>
        <v>64710.451605177215</v>
      </c>
      <c r="U222" s="289">
        <f>VLOOKUP(A222,'Bef.fremskr. kommunenivå MMMM'!$A$5:$K$360,8)</f>
        <v>2421</v>
      </c>
      <c r="V222" s="289">
        <f>VLOOKUP(A222,'K23'!$A$4:$BV$359,26)</f>
        <v>60653.448843375707</v>
      </c>
    </row>
    <row r="223" spans="1:22" ht="13">
      <c r="A223" s="755">
        <v>4212</v>
      </c>
      <c r="B223" s="756" t="s">
        <v>706</v>
      </c>
      <c r="C223" s="289">
        <f>+K0kommunestruktur2021altern!C223</f>
        <v>2000</v>
      </c>
      <c r="D223" s="289">
        <f>+K0kommunestruktur2021altern!D223</f>
        <v>33620</v>
      </c>
      <c r="E223" s="289">
        <f>+K0kommunestruktur2021altern!E223</f>
        <v>2018</v>
      </c>
      <c r="F223" s="289">
        <f>+K0kommunestruktur2021altern!F223</f>
        <v>35967</v>
      </c>
      <c r="G223" s="289">
        <f>+K0kommunestruktur2021altern!G223</f>
        <v>2036</v>
      </c>
      <c r="H223" s="289">
        <f>+K0kommunestruktur2021altern!H223</f>
        <v>38688</v>
      </c>
      <c r="I223" s="289">
        <f>+K0kommunestruktur2021altern!I223</f>
        <v>2104</v>
      </c>
      <c r="J223" s="289">
        <f>+K0kommunestruktur2021altern!J223</f>
        <v>43056</v>
      </c>
      <c r="K223" s="289">
        <f>+K0kommunestruktur2021altern!K223</f>
        <v>2087</v>
      </c>
      <c r="L223" s="289">
        <f>+K0kommunestruktur2021altern!L223</f>
        <v>44994</v>
      </c>
      <c r="M223" s="289">
        <f>+K0kommunestruktur2021altern!M223</f>
        <v>2093</v>
      </c>
      <c r="N223" s="289">
        <f>+K0kommunestruktur2021altern!N223</f>
        <v>46962</v>
      </c>
      <c r="O223" s="289">
        <f>+K0kommunestruktur2021altern!O223</f>
        <v>2097</v>
      </c>
      <c r="P223" s="289">
        <f>+K0kommunestruktur2021altern!P223</f>
        <v>47456</v>
      </c>
      <c r="Q223" s="289">
        <f>+K0kommunestruktur2021altern!Q223</f>
        <v>2128</v>
      </c>
      <c r="R223" s="289">
        <f>+K0kommunestruktur2021altern!R223</f>
        <v>53853.637999999999</v>
      </c>
      <c r="S223" s="289">
        <f>VLOOKUP(A223,'K22'!A223:CU578,3)</f>
        <v>2131</v>
      </c>
      <c r="T223" s="289">
        <f>VLOOKUP(A223,'K22'!$A$4:$BV$359,26)</f>
        <v>58595.14670841051</v>
      </c>
      <c r="U223" s="289">
        <f>VLOOKUP(A223,'Bef.fremskr. kommunenivå MMMM'!$A$5:$K$360,8)</f>
        <v>2137</v>
      </c>
      <c r="V223" s="289">
        <f>VLOOKUP(A223,'K23'!$A$4:$BV$359,26)</f>
        <v>55346.115704702235</v>
      </c>
    </row>
    <row r="224" spans="1:22" ht="13">
      <c r="A224" s="755">
        <v>4213</v>
      </c>
      <c r="B224" s="756" t="s">
        <v>932</v>
      </c>
      <c r="C224" s="289">
        <f>+K0kommunestruktur2021altern!C224</f>
        <v>6059</v>
      </c>
      <c r="D224" s="289">
        <f>+K0kommunestruktur2021altern!D224</f>
        <v>123581</v>
      </c>
      <c r="E224" s="289">
        <f>+K0kommunestruktur2021altern!E224</f>
        <v>6048</v>
      </c>
      <c r="F224" s="289">
        <f>+K0kommunestruktur2021altern!F224</f>
        <v>126293</v>
      </c>
      <c r="G224" s="289">
        <f>+K0kommunestruktur2021altern!G224</f>
        <v>6014</v>
      </c>
      <c r="H224" s="289">
        <f>+K0kommunestruktur2021altern!H224</f>
        <v>139825</v>
      </c>
      <c r="I224" s="289">
        <f>+K0kommunestruktur2021altern!I224</f>
        <v>6051</v>
      </c>
      <c r="J224" s="289">
        <f>+K0kommunestruktur2021altern!J224</f>
        <v>140112</v>
      </c>
      <c r="K224" s="289">
        <f>+K0kommunestruktur2021altern!K224</f>
        <v>6086</v>
      </c>
      <c r="L224" s="289">
        <f>+K0kommunestruktur2021altern!L224</f>
        <v>145870</v>
      </c>
      <c r="M224" s="289">
        <f>+K0kommunestruktur2021altern!M224</f>
        <v>6069</v>
      </c>
      <c r="N224" s="289">
        <f>+K0kommunestruktur2021altern!N224</f>
        <v>160923</v>
      </c>
      <c r="O224" s="289">
        <f>+K0kommunestruktur2021altern!O224</f>
        <v>6053</v>
      </c>
      <c r="P224" s="289">
        <f>+K0kommunestruktur2021altern!P224</f>
        <v>157539</v>
      </c>
      <c r="Q224" s="289">
        <f>+K0kommunestruktur2021altern!Q224</f>
        <v>6067</v>
      </c>
      <c r="R224" s="289">
        <f>+K0kommunestruktur2021altern!R224</f>
        <v>179389.15</v>
      </c>
      <c r="S224" s="289">
        <f>VLOOKUP(A224,'K22'!A224:CU579,3)</f>
        <v>6115</v>
      </c>
      <c r="T224" s="289">
        <f>VLOOKUP(A224,'K22'!$A$4:$BV$359,26)</f>
        <v>198920.23943756573</v>
      </c>
      <c r="U224" s="289">
        <f>VLOOKUP(A224,'Bef.fremskr. kommunenivå MMMM'!$A$5:$K$360,8)</f>
        <v>6162</v>
      </c>
      <c r="V224" s="289">
        <f>VLOOKUP(A224,'K23'!$A$4:$BV$359,26)</f>
        <v>186175.45316591821</v>
      </c>
    </row>
    <row r="225" spans="1:22" ht="13">
      <c r="A225" s="755">
        <v>4214</v>
      </c>
      <c r="B225" s="756" t="s">
        <v>933</v>
      </c>
      <c r="C225" s="289">
        <f>+K0kommunestruktur2021altern!C225</f>
        <v>5486</v>
      </c>
      <c r="D225" s="289">
        <f>+K0kommunestruktur2021altern!D225</f>
        <v>106068</v>
      </c>
      <c r="E225" s="289">
        <f>+K0kommunestruktur2021altern!E225</f>
        <v>5532</v>
      </c>
      <c r="F225" s="289">
        <f>+K0kommunestruktur2021altern!F225</f>
        <v>112002</v>
      </c>
      <c r="G225" s="289">
        <f>+K0kommunestruktur2021altern!G225</f>
        <v>5618</v>
      </c>
      <c r="H225" s="289">
        <f>+K0kommunestruktur2021altern!H225</f>
        <v>118832</v>
      </c>
      <c r="I225" s="289">
        <f>+K0kommunestruktur2021altern!I225</f>
        <v>5713</v>
      </c>
      <c r="J225" s="289">
        <f>+K0kommunestruktur2021altern!J225</f>
        <v>126994</v>
      </c>
      <c r="K225" s="289">
        <f>+K0kommunestruktur2021altern!K225</f>
        <v>5790</v>
      </c>
      <c r="L225" s="289">
        <f>+K0kommunestruktur2021altern!L225</f>
        <v>133413</v>
      </c>
      <c r="M225" s="289">
        <f>+K0kommunestruktur2021altern!M225</f>
        <v>5845</v>
      </c>
      <c r="N225" s="289">
        <f>+K0kommunestruktur2021altern!N225</f>
        <v>137039</v>
      </c>
      <c r="O225" s="289">
        <f>+K0kommunestruktur2021altern!O225</f>
        <v>5951</v>
      </c>
      <c r="P225" s="289">
        <f>+K0kommunestruktur2021altern!P225</f>
        <v>137823</v>
      </c>
      <c r="Q225" s="289">
        <f>+K0kommunestruktur2021altern!Q225</f>
        <v>6004</v>
      </c>
      <c r="R225" s="289">
        <f>+K0kommunestruktur2021altern!R225</f>
        <v>164590.89499999999</v>
      </c>
      <c r="S225" s="289">
        <f>VLOOKUP(A225,'K22'!A225:CU580,3)</f>
        <v>6098</v>
      </c>
      <c r="T225" s="289">
        <f>VLOOKUP(A225,'K22'!$A$4:$BV$359,26)</f>
        <v>177706.60778855349</v>
      </c>
      <c r="U225" s="289">
        <f>VLOOKUP(A225,'Bef.fremskr. kommunenivå MMMM'!$A$5:$K$360,8)</f>
        <v>6224</v>
      </c>
      <c r="V225" s="289">
        <f>VLOOKUP(A225,'K23'!$A$4:$BV$359,26)</f>
        <v>168360.35890010436</v>
      </c>
    </row>
    <row r="226" spans="1:22" ht="13">
      <c r="A226" s="755">
        <v>4215</v>
      </c>
      <c r="B226" s="756" t="s">
        <v>934</v>
      </c>
      <c r="C226" s="289">
        <f>+K0kommunestruktur2021altern!C226</f>
        <v>10106</v>
      </c>
      <c r="D226" s="289">
        <f>+K0kommunestruktur2021altern!D226</f>
        <v>235481</v>
      </c>
      <c r="E226" s="289">
        <f>+K0kommunestruktur2021altern!E226</f>
        <v>10340</v>
      </c>
      <c r="F226" s="289">
        <f>+K0kommunestruktur2021altern!F226</f>
        <v>247000</v>
      </c>
      <c r="G226" s="289">
        <f>+K0kommunestruktur2021altern!G226</f>
        <v>10577</v>
      </c>
      <c r="H226" s="289">
        <f>+K0kommunestruktur2021altern!H226</f>
        <v>278121</v>
      </c>
      <c r="I226" s="289">
        <f>+K0kommunestruktur2021altern!I226</f>
        <v>10702</v>
      </c>
      <c r="J226" s="289">
        <f>+K0kommunestruktur2021altern!J226</f>
        <v>288478</v>
      </c>
      <c r="K226" s="289">
        <f>+K0kommunestruktur2021altern!K226</f>
        <v>10871</v>
      </c>
      <c r="L226" s="289">
        <f>+K0kommunestruktur2021altern!L226</f>
        <v>300378</v>
      </c>
      <c r="M226" s="289">
        <f>+K0kommunestruktur2021altern!M226</f>
        <v>10990</v>
      </c>
      <c r="N226" s="289">
        <f>+K0kommunestruktur2021altern!N226</f>
        <v>311373</v>
      </c>
      <c r="O226" s="289">
        <f>+K0kommunestruktur2021altern!O226</f>
        <v>11074</v>
      </c>
      <c r="P226" s="289">
        <f>+K0kommunestruktur2021altern!P226</f>
        <v>306882</v>
      </c>
      <c r="Q226" s="289">
        <f>+K0kommunestruktur2021altern!Q226</f>
        <v>11180</v>
      </c>
      <c r="R226" s="289">
        <f>+K0kommunestruktur2021altern!R226</f>
        <v>363857.75599999999</v>
      </c>
      <c r="S226" s="289">
        <f>VLOOKUP(A226,'K22'!A226:CU581,3)</f>
        <v>11279</v>
      </c>
      <c r="T226" s="289">
        <f>VLOOKUP(A226,'K22'!$A$4:$BV$359,26)</f>
        <v>409304.59342403105</v>
      </c>
      <c r="U226" s="289">
        <f>VLOOKUP(A226,'Bef.fremskr. kommunenivå MMMM'!$A$5:$K$360,8)</f>
        <v>11413</v>
      </c>
      <c r="V226" s="289">
        <f>VLOOKUP(A226,'K23'!$A$4:$BV$359,26)</f>
        <v>371669.15007896803</v>
      </c>
    </row>
    <row r="227" spans="1:22" ht="13">
      <c r="A227" s="755">
        <v>4216</v>
      </c>
      <c r="B227" s="756" t="s">
        <v>935</v>
      </c>
      <c r="C227" s="289">
        <f>+K0kommunestruktur2021altern!C227</f>
        <v>4966</v>
      </c>
      <c r="D227" s="289">
        <f>+K0kommunestruktur2021altern!D227</f>
        <v>89117</v>
      </c>
      <c r="E227" s="289">
        <f>+K0kommunestruktur2021altern!E227</f>
        <v>5008</v>
      </c>
      <c r="F227" s="289">
        <f>+K0kommunestruktur2021altern!F227</f>
        <v>92381</v>
      </c>
      <c r="G227" s="289">
        <f>+K0kommunestruktur2021altern!G227</f>
        <v>5120</v>
      </c>
      <c r="H227" s="289">
        <f>+K0kommunestruktur2021altern!H227</f>
        <v>100305</v>
      </c>
      <c r="I227" s="289">
        <f>+K0kommunestruktur2021altern!I227</f>
        <v>5151</v>
      </c>
      <c r="J227" s="289">
        <f>+K0kommunestruktur2021altern!J227</f>
        <v>106505</v>
      </c>
      <c r="K227" s="289">
        <f>+K0kommunestruktur2021altern!K227</f>
        <v>5160</v>
      </c>
      <c r="L227" s="289">
        <f>+K0kommunestruktur2021altern!L227</f>
        <v>116344</v>
      </c>
      <c r="M227" s="289">
        <f>+K0kommunestruktur2021altern!M227</f>
        <v>5212</v>
      </c>
      <c r="N227" s="289">
        <f>+K0kommunestruktur2021altern!N227</f>
        <v>121884</v>
      </c>
      <c r="O227" s="289">
        <f>+K0kommunestruktur2021altern!O227</f>
        <v>5226</v>
      </c>
      <c r="P227" s="289">
        <f>+K0kommunestruktur2021altern!P227</f>
        <v>118038</v>
      </c>
      <c r="Q227" s="289">
        <f>+K0kommunestruktur2021altern!Q227</f>
        <v>5274</v>
      </c>
      <c r="R227" s="289">
        <f>+K0kommunestruktur2021altern!R227</f>
        <v>134213.856</v>
      </c>
      <c r="S227" s="289">
        <f>VLOOKUP(A227,'K22'!A227:CU582,3)</f>
        <v>5342</v>
      </c>
      <c r="T227" s="289">
        <f>VLOOKUP(A227,'K22'!$A$4:$BV$359,26)</f>
        <v>151390.31917355387</v>
      </c>
      <c r="U227" s="289">
        <f>VLOOKUP(A227,'Bef.fremskr. kommunenivå MMMM'!$A$5:$K$360,8)</f>
        <v>5405</v>
      </c>
      <c r="V227" s="289">
        <f>VLOOKUP(A227,'K23'!$A$4:$BV$359,26)</f>
        <v>141987.53100546208</v>
      </c>
    </row>
    <row r="228" spans="1:22" ht="13">
      <c r="A228" s="755">
        <v>4217</v>
      </c>
      <c r="B228" s="756" t="s">
        <v>936</v>
      </c>
      <c r="C228" s="289">
        <f>+K0kommunestruktur2021altern!C228</f>
        <v>1810</v>
      </c>
      <c r="D228" s="289">
        <f>+K0kommunestruktur2021altern!D228</f>
        <v>36347</v>
      </c>
      <c r="E228" s="289">
        <f>+K0kommunestruktur2021altern!E228</f>
        <v>1832</v>
      </c>
      <c r="F228" s="289">
        <f>+K0kommunestruktur2021altern!F228</f>
        <v>40277</v>
      </c>
      <c r="G228" s="289">
        <f>+K0kommunestruktur2021altern!G228</f>
        <v>1847</v>
      </c>
      <c r="H228" s="289">
        <f>+K0kommunestruktur2021altern!H228</f>
        <v>44122</v>
      </c>
      <c r="I228" s="289">
        <f>+K0kommunestruktur2021altern!I228</f>
        <v>1856</v>
      </c>
      <c r="J228" s="289">
        <f>+K0kommunestruktur2021altern!J228</f>
        <v>47046</v>
      </c>
      <c r="K228" s="289">
        <f>+K0kommunestruktur2021altern!K228</f>
        <v>1845</v>
      </c>
      <c r="L228" s="289">
        <f>+K0kommunestruktur2021altern!L228</f>
        <v>42219</v>
      </c>
      <c r="M228" s="289">
        <f>+K0kommunestruktur2021altern!M228</f>
        <v>1848</v>
      </c>
      <c r="N228" s="289">
        <f>+K0kommunestruktur2021altern!N228</f>
        <v>44108</v>
      </c>
      <c r="O228" s="289">
        <f>+K0kommunestruktur2021altern!O228</f>
        <v>1836</v>
      </c>
      <c r="P228" s="289">
        <f>+K0kommunestruktur2021altern!P228</f>
        <v>44751</v>
      </c>
      <c r="Q228" s="289">
        <f>+K0kommunestruktur2021altern!Q228</f>
        <v>1822</v>
      </c>
      <c r="R228" s="289">
        <f>+K0kommunestruktur2021altern!R228</f>
        <v>51760.203999999998</v>
      </c>
      <c r="S228" s="289">
        <f>VLOOKUP(A228,'K22'!A228:CU583,3)</f>
        <v>1801</v>
      </c>
      <c r="T228" s="289">
        <f>VLOOKUP(A228,'K22'!$A$4:$BV$359,26)</f>
        <v>54744.071532264636</v>
      </c>
      <c r="U228" s="289">
        <f>VLOOKUP(A228,'Bef.fremskr. kommunenivå MMMM'!$A$5:$K$360,8)</f>
        <v>1810</v>
      </c>
      <c r="V228" s="289">
        <f>VLOOKUP(A228,'K23'!$A$4:$BV$359,26)</f>
        <v>50680.687873814932</v>
      </c>
    </row>
    <row r="229" spans="1:22" ht="13">
      <c r="A229" s="755">
        <v>4218</v>
      </c>
      <c r="B229" s="756" t="s">
        <v>937</v>
      </c>
      <c r="C229" s="289">
        <f>+K0kommunestruktur2021altern!C229</f>
        <v>1314</v>
      </c>
      <c r="D229" s="289">
        <f>+K0kommunestruktur2021altern!D229</f>
        <v>24646</v>
      </c>
      <c r="E229" s="289">
        <f>+K0kommunestruktur2021altern!E229</f>
        <v>1315</v>
      </c>
      <c r="F229" s="289">
        <f>+K0kommunestruktur2021altern!F229</f>
        <v>26726</v>
      </c>
      <c r="G229" s="289">
        <f>+K0kommunestruktur2021altern!G229</f>
        <v>1317</v>
      </c>
      <c r="H229" s="289">
        <f>+K0kommunestruktur2021altern!H229</f>
        <v>27581</v>
      </c>
      <c r="I229" s="289">
        <f>+K0kommunestruktur2021altern!I229</f>
        <v>1342</v>
      </c>
      <c r="J229" s="289">
        <f>+K0kommunestruktur2021altern!J229</f>
        <v>29311</v>
      </c>
      <c r="K229" s="289">
        <f>+K0kommunestruktur2021altern!K229</f>
        <v>1330</v>
      </c>
      <c r="L229" s="289">
        <f>+K0kommunestruktur2021altern!L229</f>
        <v>31104</v>
      </c>
      <c r="M229" s="289">
        <f>+K0kommunestruktur2021altern!M229</f>
        <v>1326</v>
      </c>
      <c r="N229" s="289">
        <f>+K0kommunestruktur2021altern!N229</f>
        <v>32415</v>
      </c>
      <c r="O229" s="289">
        <f>+K0kommunestruktur2021altern!O229</f>
        <v>1331</v>
      </c>
      <c r="P229" s="289">
        <f>+K0kommunestruktur2021altern!P229</f>
        <v>31898</v>
      </c>
      <c r="Q229" s="289">
        <f>+K0kommunestruktur2021altern!Q229</f>
        <v>1335</v>
      </c>
      <c r="R229" s="289">
        <f>+K0kommunestruktur2021altern!R229</f>
        <v>35599.732000000004</v>
      </c>
      <c r="S229" s="289">
        <f>VLOOKUP(A229,'K22'!A229:CU584,3)</f>
        <v>1323</v>
      </c>
      <c r="T229" s="289">
        <f>VLOOKUP(A229,'K22'!$A$4:$BV$359,26)</f>
        <v>37778.166008091604</v>
      </c>
      <c r="U229" s="289">
        <f>VLOOKUP(A229,'Bef.fremskr. kommunenivå MMMM'!$A$5:$K$360,8)</f>
        <v>1341</v>
      </c>
      <c r="V229" s="289">
        <f>VLOOKUP(A229,'K23'!$A$4:$BV$359,26)</f>
        <v>36489.970131896356</v>
      </c>
    </row>
    <row r="230" spans="1:22" ht="13">
      <c r="A230" s="755">
        <v>4219</v>
      </c>
      <c r="B230" s="756" t="s">
        <v>938</v>
      </c>
      <c r="C230" s="289">
        <f>+K0kommunestruktur2021altern!C230</f>
        <v>3576</v>
      </c>
      <c r="D230" s="289">
        <f>+K0kommunestruktur2021altern!D230</f>
        <v>68186</v>
      </c>
      <c r="E230" s="289">
        <f>+K0kommunestruktur2021altern!E230</f>
        <v>3594</v>
      </c>
      <c r="F230" s="289">
        <f>+K0kommunestruktur2021altern!F230</f>
        <v>71580</v>
      </c>
      <c r="G230" s="289">
        <f>+K0kommunestruktur2021altern!G230</f>
        <v>3609</v>
      </c>
      <c r="H230" s="289">
        <f>+K0kommunestruktur2021altern!H230</f>
        <v>74820</v>
      </c>
      <c r="I230" s="289">
        <f>+K0kommunestruktur2021altern!I230</f>
        <v>3641</v>
      </c>
      <c r="J230" s="289">
        <f>+K0kommunestruktur2021altern!J230</f>
        <v>78942</v>
      </c>
      <c r="K230" s="289">
        <f>+K0kommunestruktur2021altern!K230</f>
        <v>3652</v>
      </c>
      <c r="L230" s="289">
        <f>+K0kommunestruktur2021altern!L230</f>
        <v>81464</v>
      </c>
      <c r="M230" s="289">
        <f>+K0kommunestruktur2021altern!M230</f>
        <v>3638</v>
      </c>
      <c r="N230" s="289">
        <f>+K0kommunestruktur2021altern!N230</f>
        <v>83690</v>
      </c>
      <c r="O230" s="289">
        <f>+K0kommunestruktur2021altern!O230</f>
        <v>3634</v>
      </c>
      <c r="P230" s="289">
        <f>+K0kommunestruktur2021altern!P230</f>
        <v>87736</v>
      </c>
      <c r="Q230" s="289">
        <f>+K0kommunestruktur2021altern!Q230</f>
        <v>3619</v>
      </c>
      <c r="R230" s="289">
        <f>+K0kommunestruktur2021altern!R230</f>
        <v>96303.792000000001</v>
      </c>
      <c r="S230" s="289">
        <f>VLOOKUP(A230,'K22'!A230:CU585,3)</f>
        <v>3653</v>
      </c>
      <c r="T230" s="289">
        <f>VLOOKUP(A230,'K22'!$A$4:$BV$359,26)</f>
        <v>108043.3149560809</v>
      </c>
      <c r="U230" s="289">
        <f>VLOOKUP(A230,'Bef.fremskr. kommunenivå MMMM'!$A$5:$K$360,8)</f>
        <v>3681</v>
      </c>
      <c r="V230" s="289">
        <f>VLOOKUP(A230,'K23'!$A$4:$BV$359,26)</f>
        <v>99784.641849458509</v>
      </c>
    </row>
    <row r="231" spans="1:22" ht="13">
      <c r="A231" s="755">
        <v>4220</v>
      </c>
      <c r="B231" s="756" t="s">
        <v>939</v>
      </c>
      <c r="C231" s="289">
        <f>+K0kommunestruktur2021altern!C231</f>
        <v>1200</v>
      </c>
      <c r="D231" s="289">
        <f>+K0kommunestruktur2021altern!D231</f>
        <v>26132</v>
      </c>
      <c r="E231" s="289">
        <f>+K0kommunestruktur2021altern!E231</f>
        <v>1189</v>
      </c>
      <c r="F231" s="289">
        <f>+K0kommunestruktur2021altern!F231</f>
        <v>27176</v>
      </c>
      <c r="G231" s="289">
        <f>+K0kommunestruktur2021altern!G231</f>
        <v>1204</v>
      </c>
      <c r="H231" s="289">
        <f>+K0kommunestruktur2021altern!H231</f>
        <v>28977</v>
      </c>
      <c r="I231" s="289">
        <f>+K0kommunestruktur2021altern!I231</f>
        <v>1200</v>
      </c>
      <c r="J231" s="289">
        <f>+K0kommunestruktur2021altern!J231</f>
        <v>28833</v>
      </c>
      <c r="K231" s="289">
        <f>+K0kommunestruktur2021altern!K231</f>
        <v>1207</v>
      </c>
      <c r="L231" s="289">
        <f>+K0kommunestruktur2021altern!L231</f>
        <v>30970</v>
      </c>
      <c r="M231" s="289">
        <f>+K0kommunestruktur2021altern!M231</f>
        <v>1192</v>
      </c>
      <c r="N231" s="289">
        <f>+K0kommunestruktur2021altern!N231</f>
        <v>31274</v>
      </c>
      <c r="O231" s="289">
        <f>+K0kommunestruktur2021altern!O231</f>
        <v>1162</v>
      </c>
      <c r="P231" s="289">
        <f>+K0kommunestruktur2021altern!P231</f>
        <v>31184</v>
      </c>
      <c r="Q231" s="289">
        <f>+K0kommunestruktur2021altern!Q231</f>
        <v>1142</v>
      </c>
      <c r="R231" s="289">
        <f>+K0kommunestruktur2021altern!R231</f>
        <v>34807.694000000003</v>
      </c>
      <c r="S231" s="289">
        <f>VLOOKUP(A231,'K22'!A231:CU586,3)</f>
        <v>1134</v>
      </c>
      <c r="T231" s="289">
        <f>VLOOKUP(A231,'K22'!$A$4:$BV$359,26)</f>
        <v>36750.718774240588</v>
      </c>
      <c r="U231" s="289">
        <f>VLOOKUP(A231,'Bef.fremskr. kommunenivå MMMM'!$A$5:$K$360,8)</f>
        <v>1146</v>
      </c>
      <c r="V231" s="289">
        <f>VLOOKUP(A231,'K23'!$A$4:$BV$359,26)</f>
        <v>34886.584403721805</v>
      </c>
    </row>
    <row r="232" spans="1:22" ht="13">
      <c r="A232" s="755">
        <v>4221</v>
      </c>
      <c r="B232" s="756" t="s">
        <v>940</v>
      </c>
      <c r="C232" s="289">
        <f>+K0kommunestruktur2021altern!C232</f>
        <v>1270</v>
      </c>
      <c r="D232" s="289">
        <f>+K0kommunestruktur2021altern!D232</f>
        <v>41121</v>
      </c>
      <c r="E232" s="289">
        <f>+K0kommunestruktur2021altern!E232</f>
        <v>1251</v>
      </c>
      <c r="F232" s="289">
        <f>+K0kommunestruktur2021altern!F232</f>
        <v>43384</v>
      </c>
      <c r="G232" s="289">
        <f>+K0kommunestruktur2021altern!G232</f>
        <v>1242</v>
      </c>
      <c r="H232" s="289">
        <f>+K0kommunestruktur2021altern!H232</f>
        <v>44213</v>
      </c>
      <c r="I232" s="289">
        <f>+K0kommunestruktur2021altern!I232</f>
        <v>1246</v>
      </c>
      <c r="J232" s="289">
        <f>+K0kommunestruktur2021altern!J232</f>
        <v>45044</v>
      </c>
      <c r="K232" s="289">
        <f>+K0kommunestruktur2021altern!K232</f>
        <v>1225</v>
      </c>
      <c r="L232" s="289">
        <f>+K0kommunestruktur2021altern!L232</f>
        <v>45304</v>
      </c>
      <c r="M232" s="289">
        <f>+K0kommunestruktur2021altern!M232</f>
        <v>1156</v>
      </c>
      <c r="N232" s="289">
        <f>+K0kommunestruktur2021altern!N232</f>
        <v>47669</v>
      </c>
      <c r="O232" s="289">
        <f>+K0kommunestruktur2021altern!O232</f>
        <v>1164</v>
      </c>
      <c r="P232" s="289">
        <f>+K0kommunestruktur2021altern!P232</f>
        <v>48861</v>
      </c>
      <c r="Q232" s="289">
        <f>+K0kommunestruktur2021altern!Q232</f>
        <v>1169</v>
      </c>
      <c r="R232" s="289">
        <f>+K0kommunestruktur2021altern!R232</f>
        <v>52379.277999999998</v>
      </c>
      <c r="S232" s="289">
        <f>VLOOKUP(A232,'K22'!A232:CU587,3)</f>
        <v>1169</v>
      </c>
      <c r="T232" s="289">
        <f>VLOOKUP(A232,'K22'!$A$4:$BV$359,26)</f>
        <v>55806.865208857322</v>
      </c>
      <c r="U232" s="289">
        <f>VLOOKUP(A232,'Bef.fremskr. kommunenivå MMMM'!$A$5:$K$360,8)</f>
        <v>1173</v>
      </c>
      <c r="V232" s="289">
        <f>VLOOKUP(A232,'K23'!$A$4:$BV$359,26)</f>
        <v>53580.290313153513</v>
      </c>
    </row>
    <row r="233" spans="1:22" ht="13">
      <c r="A233" s="755">
        <v>4222</v>
      </c>
      <c r="B233" s="756" t="s">
        <v>941</v>
      </c>
      <c r="C233" s="289">
        <f>+K0kommunestruktur2021altern!C233</f>
        <v>948</v>
      </c>
      <c r="D233" s="289">
        <f>+K0kommunestruktur2021altern!D233</f>
        <v>67140</v>
      </c>
      <c r="E233" s="289">
        <f>+K0kommunestruktur2021altern!E233</f>
        <v>933</v>
      </c>
      <c r="F233" s="289">
        <f>+K0kommunestruktur2021altern!F233</f>
        <v>67630</v>
      </c>
      <c r="G233" s="289">
        <f>+K0kommunestruktur2021altern!G233</f>
        <v>945</v>
      </c>
      <c r="H233" s="289">
        <f>+K0kommunestruktur2021altern!H233</f>
        <v>69604</v>
      </c>
      <c r="I233" s="289">
        <f>+K0kommunestruktur2021altern!I233</f>
        <v>952</v>
      </c>
      <c r="J233" s="289">
        <f>+K0kommunestruktur2021altern!J233</f>
        <v>71358</v>
      </c>
      <c r="K233" s="289">
        <f>+K0kommunestruktur2021altern!K233</f>
        <v>958</v>
      </c>
      <c r="L233" s="289">
        <f>+K0kommunestruktur2021altern!L233</f>
        <v>79195</v>
      </c>
      <c r="M233" s="289">
        <f>+K0kommunestruktur2021altern!M233</f>
        <v>953</v>
      </c>
      <c r="N233" s="289">
        <f>+K0kommunestruktur2021altern!N233</f>
        <v>84301</v>
      </c>
      <c r="O233" s="289">
        <f>+K0kommunestruktur2021altern!O233</f>
        <v>965</v>
      </c>
      <c r="P233" s="289">
        <f>+K0kommunestruktur2021altern!P233</f>
        <v>76582</v>
      </c>
      <c r="Q233" s="289">
        <f>+K0kommunestruktur2021altern!Q233</f>
        <v>930</v>
      </c>
      <c r="R233" s="289">
        <f>+K0kommunestruktur2021altern!R233</f>
        <v>84385.437000000005</v>
      </c>
      <c r="S233" s="289">
        <f>VLOOKUP(A233,'K22'!A233:CU588,3)</f>
        <v>935</v>
      </c>
      <c r="T233" s="289">
        <f>VLOOKUP(A233,'K22'!$A$4:$BV$359,26)</f>
        <v>89916.272123363306</v>
      </c>
      <c r="U233" s="289">
        <f>VLOOKUP(A233,'Bef.fremskr. kommunenivå MMMM'!$A$5:$K$360,8)</f>
        <v>974</v>
      </c>
      <c r="V233" s="289">
        <f>VLOOKUP(A233,'K23'!$A$4:$BV$359,26)</f>
        <v>87415.75426033065</v>
      </c>
    </row>
    <row r="234" spans="1:22" ht="13">
      <c r="A234" s="755">
        <v>4223</v>
      </c>
      <c r="B234" s="756" t="s">
        <v>947</v>
      </c>
      <c r="C234" s="289">
        <f>+K0kommunestruktur2021altern!C234</f>
        <v>13986</v>
      </c>
      <c r="D234" s="289">
        <f>+K0kommunestruktur2021altern!D234</f>
        <v>254819</v>
      </c>
      <c r="E234" s="289">
        <f>+K0kommunestruktur2021altern!E234</f>
        <v>14095</v>
      </c>
      <c r="F234" s="289">
        <f>+K0kommunestruktur2021altern!F234</f>
        <v>267675</v>
      </c>
      <c r="G234" s="289">
        <f>+K0kommunestruktur2021altern!G234</f>
        <v>14308</v>
      </c>
      <c r="H234" s="289">
        <f>+K0kommunestruktur2021altern!H234</f>
        <v>289237</v>
      </c>
      <c r="I234" s="289">
        <f>+K0kommunestruktur2021altern!I234</f>
        <v>14425</v>
      </c>
      <c r="J234" s="289">
        <f>+K0kommunestruktur2021altern!J234</f>
        <v>303650</v>
      </c>
      <c r="K234" s="289">
        <f>+K0kommunestruktur2021altern!K234</f>
        <v>14532</v>
      </c>
      <c r="L234" s="289">
        <f>+K0kommunestruktur2021altern!L234</f>
        <v>327486</v>
      </c>
      <c r="M234" s="289">
        <f>+K0kommunestruktur2021altern!M234</f>
        <v>14630</v>
      </c>
      <c r="N234" s="289">
        <f>+K0kommunestruktur2021altern!N234</f>
        <v>335821</v>
      </c>
      <c r="O234" s="289">
        <f>+K0kommunestruktur2021altern!O234</f>
        <v>14774</v>
      </c>
      <c r="P234" s="289">
        <f>+K0kommunestruktur2021altern!P234</f>
        <v>335283</v>
      </c>
      <c r="Q234" s="289">
        <f>+K0kommunestruktur2021altern!Q234</f>
        <v>14935</v>
      </c>
      <c r="R234" s="289">
        <f>+K0kommunestruktur2021altern!R234</f>
        <v>393674.56699999998</v>
      </c>
      <c r="S234" s="289">
        <f>VLOOKUP(A234,'K22'!A234:CU589,3)</f>
        <v>15123</v>
      </c>
      <c r="T234" s="289">
        <f>VLOOKUP(A234,'K22'!$A$4:$BV$359,26)</f>
        <v>427407.76890008699</v>
      </c>
      <c r="U234" s="289">
        <f>VLOOKUP(A234,'Bef.fremskr. kommunenivå MMMM'!$A$5:$K$360,8)</f>
        <v>15252</v>
      </c>
      <c r="V234" s="289">
        <f>VLOOKUP(A234,'K23'!$A$4:$BV$359,26)</f>
        <v>402518.3307100269</v>
      </c>
    </row>
    <row r="235" spans="1:22" ht="13">
      <c r="A235" s="755">
        <v>4224</v>
      </c>
      <c r="B235" s="756" t="s">
        <v>951</v>
      </c>
      <c r="C235" s="289">
        <f>+K0kommunestruktur2021altern!C235</f>
        <v>923</v>
      </c>
      <c r="D235" s="289">
        <f>+K0kommunestruktur2021altern!D235</f>
        <v>31841</v>
      </c>
      <c r="E235" s="289">
        <f>+K0kommunestruktur2021altern!E235</f>
        <v>925</v>
      </c>
      <c r="F235" s="289">
        <f>+K0kommunestruktur2021altern!F235</f>
        <v>31791</v>
      </c>
      <c r="G235" s="289">
        <f>+K0kommunestruktur2021altern!G235</f>
        <v>942</v>
      </c>
      <c r="H235" s="289">
        <f>+K0kommunestruktur2021altern!H235</f>
        <v>34080</v>
      </c>
      <c r="I235" s="289">
        <f>+K0kommunestruktur2021altern!I235</f>
        <v>937</v>
      </c>
      <c r="J235" s="289">
        <f>+K0kommunestruktur2021altern!J235</f>
        <v>36584</v>
      </c>
      <c r="K235" s="289">
        <f>+K0kommunestruktur2021altern!K235</f>
        <v>943</v>
      </c>
      <c r="L235" s="289">
        <f>+K0kommunestruktur2021altern!L235</f>
        <v>39045</v>
      </c>
      <c r="M235" s="289">
        <f>+K0kommunestruktur2021altern!M235</f>
        <v>939</v>
      </c>
      <c r="N235" s="289">
        <f>+K0kommunestruktur2021altern!N235</f>
        <v>41061</v>
      </c>
      <c r="O235" s="289">
        <f>+K0kommunestruktur2021altern!O235</f>
        <v>932</v>
      </c>
      <c r="P235" s="289">
        <f>+K0kommunestruktur2021altern!P235</f>
        <v>40365</v>
      </c>
      <c r="Q235" s="289">
        <f>+K0kommunestruktur2021altern!Q235</f>
        <v>927</v>
      </c>
      <c r="R235" s="289">
        <f>+K0kommunestruktur2021altern!R235</f>
        <v>43509.752</v>
      </c>
      <c r="S235" s="289">
        <f>VLOOKUP(A235,'K22'!A235:CU590,3)</f>
        <v>912</v>
      </c>
      <c r="T235" s="289">
        <f>VLOOKUP(A235,'K22'!$A$4:$BV$359,26)</f>
        <v>45716.471789529285</v>
      </c>
      <c r="U235" s="289">
        <f>VLOOKUP(A235,'Bef.fremskr. kommunenivå MMMM'!$A$5:$K$360,8)</f>
        <v>898</v>
      </c>
      <c r="V235" s="289">
        <f>VLOOKUP(A235,'K23'!$A$4:$BV$359,26)</f>
        <v>43333.782271730233</v>
      </c>
    </row>
    <row r="236" spans="1:22" ht="13">
      <c r="A236" s="755">
        <v>4225</v>
      </c>
      <c r="B236" s="756" t="s">
        <v>1630</v>
      </c>
      <c r="C236" s="289">
        <f>+K0kommunestruktur2021altern!C236</f>
        <v>9845</v>
      </c>
      <c r="D236" s="289">
        <f>+K0kommunestruktur2021altern!D236</f>
        <v>190192</v>
      </c>
      <c r="E236" s="289">
        <f>+K0kommunestruktur2021altern!E236</f>
        <v>10085</v>
      </c>
      <c r="F236" s="289">
        <f>+K0kommunestruktur2021altern!F236</f>
        <v>199485</v>
      </c>
      <c r="G236" s="289">
        <f>+K0kommunestruktur2021altern!G236</f>
        <v>10247</v>
      </c>
      <c r="H236" s="289">
        <f>+K0kommunestruktur2021altern!H236</f>
        <v>217366</v>
      </c>
      <c r="I236" s="289">
        <f>+K0kommunestruktur2021altern!I236</f>
        <v>10353</v>
      </c>
      <c r="J236" s="289">
        <f>+K0kommunestruktur2021altern!J236</f>
        <v>229321</v>
      </c>
      <c r="K236" s="289">
        <f>+K0kommunestruktur2021altern!K236</f>
        <v>10357</v>
      </c>
      <c r="L236" s="289">
        <f>+K0kommunestruktur2021altern!L236</f>
        <v>236168</v>
      </c>
      <c r="M236" s="289">
        <f>+K0kommunestruktur2021altern!M236</f>
        <v>10389</v>
      </c>
      <c r="N236" s="289">
        <f>+K0kommunestruktur2021altern!N236</f>
        <v>242283</v>
      </c>
      <c r="O236" s="289">
        <f>+K0kommunestruktur2021altern!O236</f>
        <v>10365</v>
      </c>
      <c r="P236" s="289">
        <f>+K0kommunestruktur2021altern!P236</f>
        <v>243390</v>
      </c>
      <c r="Q236" s="289">
        <f>+K0kommunestruktur2021altern!Q236</f>
        <v>10464</v>
      </c>
      <c r="R236" s="289">
        <f>+K0kommunestruktur2021altern!R236</f>
        <v>278743.41700000002</v>
      </c>
      <c r="S236" s="289">
        <f>VLOOKUP(A236,'K22'!A236:CU591,3)</f>
        <v>10480</v>
      </c>
      <c r="T236" s="289">
        <f>VLOOKUP(A236,'K22'!$A$4:$BV$359,26)</f>
        <v>308036.17769951333</v>
      </c>
      <c r="U236" s="289">
        <f>VLOOKUP(A236,'Bef.fremskr. kommunenivå MMMM'!$A$5:$K$360,8)</f>
        <v>10489</v>
      </c>
      <c r="V236" s="289">
        <f>VLOOKUP(A236,'K23'!$A$4:$BV$359,26)</f>
        <v>283307.89134183008</v>
      </c>
    </row>
    <row r="237" spans="1:22" ht="13">
      <c r="A237" s="755">
        <v>4226</v>
      </c>
      <c r="B237" s="756" t="s">
        <v>955</v>
      </c>
      <c r="C237" s="289">
        <f>+K0kommunestruktur2021altern!C237</f>
        <v>1690</v>
      </c>
      <c r="D237" s="289">
        <f>+K0kommunestruktur2021altern!D237</f>
        <v>35232</v>
      </c>
      <c r="E237" s="289">
        <f>+K0kommunestruktur2021altern!E237</f>
        <v>1693</v>
      </c>
      <c r="F237" s="289">
        <f>+K0kommunestruktur2021altern!F237</f>
        <v>34679</v>
      </c>
      <c r="G237" s="289">
        <f>+K0kommunestruktur2021altern!G237</f>
        <v>1702</v>
      </c>
      <c r="H237" s="289">
        <f>+K0kommunestruktur2021altern!H237</f>
        <v>38210</v>
      </c>
      <c r="I237" s="289">
        <f>+K0kommunestruktur2021altern!I237</f>
        <v>1702</v>
      </c>
      <c r="J237" s="289">
        <f>+K0kommunestruktur2021altern!J237</f>
        <v>39047</v>
      </c>
      <c r="K237" s="289">
        <f>+K0kommunestruktur2021altern!K237</f>
        <v>1699</v>
      </c>
      <c r="L237" s="289">
        <f>+K0kommunestruktur2021altern!L237</f>
        <v>40812</v>
      </c>
      <c r="M237" s="289">
        <f>+K0kommunestruktur2021altern!M237</f>
        <v>1683</v>
      </c>
      <c r="N237" s="289">
        <f>+K0kommunestruktur2021altern!N237</f>
        <v>42575</v>
      </c>
      <c r="O237" s="289">
        <f>+K0kommunestruktur2021altern!O237</f>
        <v>1680</v>
      </c>
      <c r="P237" s="289">
        <f>+K0kommunestruktur2021altern!P237</f>
        <v>40509</v>
      </c>
      <c r="Q237" s="289">
        <f>+K0kommunestruktur2021altern!Q237</f>
        <v>1690</v>
      </c>
      <c r="R237" s="289">
        <f>+K0kommunestruktur2021altern!R237</f>
        <v>46254.45</v>
      </c>
      <c r="S237" s="289">
        <f>VLOOKUP(A237,'K22'!A237:CU592,3)</f>
        <v>1704</v>
      </c>
      <c r="T237" s="289">
        <f>VLOOKUP(A237,'K22'!$A$4:$BV$359,26)</f>
        <v>51952.837484471929</v>
      </c>
      <c r="U237" s="289">
        <f>VLOOKUP(A237,'Bef.fremskr. kommunenivå MMMM'!$A$5:$K$360,8)</f>
        <v>1687</v>
      </c>
      <c r="V237" s="289">
        <f>VLOOKUP(A237,'K23'!$A$4:$BV$359,26)</f>
        <v>47680.67189191081</v>
      </c>
    </row>
    <row r="238" spans="1:22" ht="13">
      <c r="A238" s="755">
        <v>4227</v>
      </c>
      <c r="B238" s="756" t="s">
        <v>956</v>
      </c>
      <c r="C238" s="289">
        <f>+K0kommunestruktur2021altern!C238</f>
        <v>5891</v>
      </c>
      <c r="D238" s="289">
        <f>+K0kommunestruktur2021altern!D238</f>
        <v>142597</v>
      </c>
      <c r="E238" s="289">
        <f>+K0kommunestruktur2021altern!E238</f>
        <v>5948</v>
      </c>
      <c r="F238" s="289">
        <f>+K0kommunestruktur2021altern!F238</f>
        <v>147426</v>
      </c>
      <c r="G238" s="289">
        <f>+K0kommunestruktur2021altern!G238</f>
        <v>5981</v>
      </c>
      <c r="H238" s="289">
        <f>+K0kommunestruktur2021altern!H238</f>
        <v>155451</v>
      </c>
      <c r="I238" s="289">
        <f>+K0kommunestruktur2021altern!I238</f>
        <v>5988</v>
      </c>
      <c r="J238" s="289">
        <f>+K0kommunestruktur2021altern!J238</f>
        <v>159751</v>
      </c>
      <c r="K238" s="289">
        <f>+K0kommunestruktur2021altern!K238</f>
        <v>6024</v>
      </c>
      <c r="L238" s="289">
        <f>+K0kommunestruktur2021altern!L238</f>
        <v>166149</v>
      </c>
      <c r="M238" s="289">
        <f>+K0kommunestruktur2021altern!M238</f>
        <v>6048</v>
      </c>
      <c r="N238" s="289">
        <f>+K0kommunestruktur2021altern!N238</f>
        <v>177102</v>
      </c>
      <c r="O238" s="289">
        <f>+K0kommunestruktur2021altern!O238</f>
        <v>5987</v>
      </c>
      <c r="P238" s="289">
        <f>+K0kommunestruktur2021altern!P238</f>
        <v>170527</v>
      </c>
      <c r="Q238" s="289">
        <f>+K0kommunestruktur2021altern!Q238</f>
        <v>5922</v>
      </c>
      <c r="R238" s="289">
        <f>+K0kommunestruktur2021altern!R238</f>
        <v>187963.50099999999</v>
      </c>
      <c r="S238" s="289">
        <f>VLOOKUP(A238,'K22'!A238:CU593,3)</f>
        <v>5883</v>
      </c>
      <c r="T238" s="289">
        <f>VLOOKUP(A238,'K22'!$A$4:$BV$359,26)</f>
        <v>204724.973775694</v>
      </c>
      <c r="U238" s="289">
        <f>VLOOKUP(A238,'Bef.fremskr. kommunenivå MMMM'!$A$5:$K$360,8)</f>
        <v>5843</v>
      </c>
      <c r="V238" s="289">
        <f>VLOOKUP(A238,'K23'!$A$4:$BV$359,26)</f>
        <v>190517.04752243435</v>
      </c>
    </row>
    <row r="239" spans="1:22" ht="13">
      <c r="A239" s="755">
        <v>4228</v>
      </c>
      <c r="B239" s="756" t="s">
        <v>957</v>
      </c>
      <c r="C239" s="289">
        <f>+K0kommunestruktur2021altern!C239</f>
        <v>1831</v>
      </c>
      <c r="D239" s="289">
        <f>+K0kommunestruktur2021altern!D239</f>
        <v>85268</v>
      </c>
      <c r="E239" s="289">
        <f>+K0kommunestruktur2021altern!E239</f>
        <v>1838</v>
      </c>
      <c r="F239" s="289">
        <f>+K0kommunestruktur2021altern!F239</f>
        <v>91757</v>
      </c>
      <c r="G239" s="289">
        <f>+K0kommunestruktur2021altern!G239</f>
        <v>1832</v>
      </c>
      <c r="H239" s="289">
        <f>+K0kommunestruktur2021altern!H239</f>
        <v>91636</v>
      </c>
      <c r="I239" s="289">
        <f>+K0kommunestruktur2021altern!I239</f>
        <v>1836</v>
      </c>
      <c r="J239" s="289">
        <f>+K0kommunestruktur2021altern!J239</f>
        <v>97913</v>
      </c>
      <c r="K239" s="289">
        <f>+K0kommunestruktur2021altern!K239</f>
        <v>1842</v>
      </c>
      <c r="L239" s="289">
        <f>+K0kommunestruktur2021altern!L239</f>
        <v>105701</v>
      </c>
      <c r="M239" s="289">
        <f>+K0kommunestruktur2021altern!M239</f>
        <v>1839</v>
      </c>
      <c r="N239" s="289">
        <f>+K0kommunestruktur2021altern!N239</f>
        <v>112920</v>
      </c>
      <c r="O239" s="289">
        <f>+K0kommunestruktur2021altern!O239</f>
        <v>1822</v>
      </c>
      <c r="P239" s="289">
        <f>+K0kommunestruktur2021altern!P239</f>
        <v>106256</v>
      </c>
      <c r="Q239" s="289">
        <f>+K0kommunestruktur2021altern!Q239</f>
        <v>1772</v>
      </c>
      <c r="R239" s="289">
        <f>+K0kommunestruktur2021altern!R239</f>
        <v>109126.65399999999</v>
      </c>
      <c r="S239" s="289">
        <f>VLOOKUP(A239,'K22'!A239:CU594,3)</f>
        <v>1810</v>
      </c>
      <c r="T239" s="289">
        <f>VLOOKUP(A239,'K22'!$A$4:$BV$359,26)</f>
        <v>121488.10920750386</v>
      </c>
      <c r="U239" s="289">
        <f>VLOOKUP(A239,'Bef.fremskr. kommunenivå MMMM'!$A$5:$K$360,8)</f>
        <v>1823</v>
      </c>
      <c r="V239" s="289">
        <f>VLOOKUP(A239,'K23'!$A$4:$BV$359,26)</f>
        <v>117373.54052772591</v>
      </c>
    </row>
    <row r="240" spans="1:22" ht="13">
      <c r="A240" s="755">
        <v>4601</v>
      </c>
      <c r="B240" s="756" t="s">
        <v>23</v>
      </c>
      <c r="C240" s="289">
        <f>+K0kommunestruktur2021altern!C240</f>
        <v>271949</v>
      </c>
      <c r="D240" s="289">
        <f>+K0kommunestruktur2021altern!D240</f>
        <v>7561489</v>
      </c>
      <c r="E240" s="289">
        <f>+K0kommunestruktur2021altern!E240</f>
        <v>275112</v>
      </c>
      <c r="F240" s="289">
        <f>+K0kommunestruktur2021altern!F240</f>
        <v>7970433</v>
      </c>
      <c r="G240" s="289">
        <f>+K0kommunestruktur2021altern!G240</f>
        <v>277391</v>
      </c>
      <c r="H240" s="289">
        <f>+K0kommunestruktur2021altern!H240</f>
        <v>8707661</v>
      </c>
      <c r="I240" s="289">
        <f>+K0kommunestruktur2021altern!I240</f>
        <v>278556</v>
      </c>
      <c r="J240" s="289">
        <f>+K0kommunestruktur2021altern!J240</f>
        <v>8795464</v>
      </c>
      <c r="K240" s="289">
        <f>+K0kommunestruktur2021altern!K240</f>
        <v>279792</v>
      </c>
      <c r="L240" s="289">
        <f>+K0kommunestruktur2021altern!L240</f>
        <v>9126725</v>
      </c>
      <c r="M240" s="289">
        <f>+K0kommunestruktur2021altern!M240</f>
        <v>281190</v>
      </c>
      <c r="N240" s="289">
        <f>+K0kommunestruktur2021altern!N240</f>
        <v>9648534</v>
      </c>
      <c r="O240" s="289">
        <f>+K0kommunestruktur2021altern!O240</f>
        <v>283929</v>
      </c>
      <c r="P240" s="289">
        <f>+K0kommunestruktur2021altern!P240</f>
        <v>9404048</v>
      </c>
      <c r="Q240" s="289">
        <f>+K0kommunestruktur2021altern!Q240</f>
        <v>285601</v>
      </c>
      <c r="R240" s="289">
        <f>+K0kommunestruktur2021altern!R240</f>
        <v>10807543.196</v>
      </c>
      <c r="S240" s="289">
        <f>VLOOKUP(A240,'K22'!A240:CU595,3)</f>
        <v>286930</v>
      </c>
      <c r="T240" s="289">
        <f>VLOOKUP(A240,'K22'!$A$4:$BV$359,26)</f>
        <v>12280834.018142296</v>
      </c>
      <c r="U240" s="289">
        <f>VLOOKUP(A240,'Bef.fremskr. kommunenivå MMMM'!$A$5:$K$360,8)</f>
        <v>290032</v>
      </c>
      <c r="V240" s="289">
        <f>VLOOKUP(A240,'K23'!$A$4:$BV$359,26)</f>
        <v>11235659.973589228</v>
      </c>
    </row>
    <row r="241" spans="1:22" ht="13">
      <c r="A241" s="755">
        <v>4602</v>
      </c>
      <c r="B241" s="756" t="s">
        <v>1631</v>
      </c>
      <c r="C241" s="289">
        <f>+K0kommunestruktur2021altern!C241</f>
        <v>17344.561976549412</v>
      </c>
      <c r="D241" s="289">
        <f>+K0kommunestruktur2021altern!D241</f>
        <v>416064.51758793968</v>
      </c>
      <c r="E241" s="289">
        <f>+K0kommunestruktur2021altern!E241</f>
        <v>17419.338358458961</v>
      </c>
      <c r="F241" s="289">
        <f>+K0kommunestruktur2021altern!F241</f>
        <v>431649.7403685092</v>
      </c>
      <c r="G241" s="289">
        <f>+K0kommunestruktur2021altern!G241</f>
        <v>17447.443886097153</v>
      </c>
      <c r="H241" s="289">
        <f>+K0kommunestruktur2021altern!H241</f>
        <v>467547.29731993302</v>
      </c>
      <c r="I241" s="289">
        <f>+K0kommunestruktur2021altern!I241</f>
        <v>17509.737855946398</v>
      </c>
      <c r="J241" s="289">
        <f>+K0kommunestruktur2021altern!J241</f>
        <v>473421.67336683418</v>
      </c>
      <c r="K241" s="289">
        <f>+K0kommunestruktur2021altern!K241</f>
        <v>17471.325795644891</v>
      </c>
      <c r="L241" s="289">
        <f>+K0kommunestruktur2021altern!L241</f>
        <v>488145.99497487437</v>
      </c>
      <c r="M241" s="289">
        <f>+K0kommunestruktur2021altern!M241</f>
        <v>17307</v>
      </c>
      <c r="N241" s="289">
        <f>+K0kommunestruktur2021altern!N241</f>
        <v>531529.90787269687</v>
      </c>
      <c r="O241" s="289">
        <f>+K0kommunestruktur2021altern!O241</f>
        <v>17207</v>
      </c>
      <c r="P241" s="289">
        <f>+K0kommunestruktur2021altern!P241</f>
        <v>549252</v>
      </c>
      <c r="Q241" s="289">
        <f>+K0kommunestruktur2021altern!Q241</f>
        <v>17160</v>
      </c>
      <c r="R241" s="289">
        <f>+K0kommunestruktur2021altern!R241</f>
        <v>592638.42599999998</v>
      </c>
      <c r="S241" s="289">
        <f>VLOOKUP(A241,'K22'!A241:CU596,3)</f>
        <v>17131</v>
      </c>
      <c r="T241" s="289">
        <f>VLOOKUP(A241,'K22'!$A$4:$BV$359,26)</f>
        <v>673192.73072622775</v>
      </c>
      <c r="U241" s="289">
        <f>VLOOKUP(A241,'Bef.fremskr. kommunenivå MMMM'!$A$5:$K$360,8)</f>
        <v>17098</v>
      </c>
      <c r="V241" s="289">
        <f>VLOOKUP(A241,'K23'!$A$4:$BV$359,26)</f>
        <v>611718.68299116229</v>
      </c>
    </row>
    <row r="242" spans="1:22" ht="13">
      <c r="A242" s="755">
        <v>4611</v>
      </c>
      <c r="B242" s="756" t="s">
        <v>24</v>
      </c>
      <c r="C242" s="289">
        <f>+K0kommunestruktur2021altern!C242</f>
        <v>4057</v>
      </c>
      <c r="D242" s="289">
        <f>+K0kommunestruktur2021altern!D242</f>
        <v>90137</v>
      </c>
      <c r="E242" s="289">
        <f>+K0kommunestruktur2021altern!E242</f>
        <v>4103</v>
      </c>
      <c r="F242" s="289">
        <f>+K0kommunestruktur2021altern!F242</f>
        <v>90573</v>
      </c>
      <c r="G242" s="289">
        <f>+K0kommunestruktur2021altern!G242</f>
        <v>4106</v>
      </c>
      <c r="H242" s="289">
        <f>+K0kommunestruktur2021altern!H242</f>
        <v>100476</v>
      </c>
      <c r="I242" s="289">
        <f>+K0kommunestruktur2021altern!I242</f>
        <v>4135</v>
      </c>
      <c r="J242" s="289">
        <f>+K0kommunestruktur2021altern!J242</f>
        <v>101892</v>
      </c>
      <c r="K242" s="289">
        <f>+K0kommunestruktur2021altern!K242</f>
        <v>4083</v>
      </c>
      <c r="L242" s="289">
        <f>+K0kommunestruktur2021altern!L242</f>
        <v>106064</v>
      </c>
      <c r="M242" s="289">
        <f>+K0kommunestruktur2021altern!M242</f>
        <v>4077</v>
      </c>
      <c r="N242" s="289">
        <f>+K0kommunestruktur2021altern!N242</f>
        <v>114533</v>
      </c>
      <c r="O242" s="289">
        <f>+K0kommunestruktur2021altern!O242</f>
        <v>4062</v>
      </c>
      <c r="P242" s="289">
        <f>+K0kommunestruktur2021altern!P242</f>
        <v>110596</v>
      </c>
      <c r="Q242" s="289">
        <f>+K0kommunestruktur2021altern!Q242</f>
        <v>4053</v>
      </c>
      <c r="R242" s="289">
        <f>+K0kommunestruktur2021altern!R242</f>
        <v>134847.43700000001</v>
      </c>
      <c r="S242" s="289">
        <f>VLOOKUP(A242,'K22'!A242:CU597,3)</f>
        <v>4043</v>
      </c>
      <c r="T242" s="289">
        <f>VLOOKUP(A242,'K22'!$A$4:$BV$359,26)</f>
        <v>140390.59136957629</v>
      </c>
      <c r="U242" s="289">
        <f>VLOOKUP(A242,'Bef.fremskr. kommunenivå MMMM'!$A$5:$K$360,8)</f>
        <v>4031</v>
      </c>
      <c r="V242" s="289">
        <f>VLOOKUP(A242,'K23'!$A$4:$BV$359,26)</f>
        <v>130811.8111288721</v>
      </c>
    </row>
    <row r="243" spans="1:22" ht="13">
      <c r="A243" s="755">
        <v>4612</v>
      </c>
      <c r="B243" s="756" t="s">
        <v>25</v>
      </c>
      <c r="C243" s="289">
        <f>+K0kommunestruktur2021altern!C243</f>
        <v>5463</v>
      </c>
      <c r="D243" s="289">
        <f>+K0kommunestruktur2021altern!D243</f>
        <v>117446</v>
      </c>
      <c r="E243" s="289">
        <f>+K0kommunestruktur2021altern!E243</f>
        <v>5509</v>
      </c>
      <c r="F243" s="289">
        <f>+K0kommunestruktur2021altern!F243</f>
        <v>121337</v>
      </c>
      <c r="G243" s="289">
        <f>+K0kommunestruktur2021altern!G243</f>
        <v>5593</v>
      </c>
      <c r="H243" s="289">
        <f>+K0kommunestruktur2021altern!H243</f>
        <v>130903</v>
      </c>
      <c r="I243" s="289">
        <f>+K0kommunestruktur2021altern!I243</f>
        <v>5656</v>
      </c>
      <c r="J243" s="289">
        <f>+K0kommunestruktur2021altern!J243</f>
        <v>160876</v>
      </c>
      <c r="K243" s="289">
        <f>+K0kommunestruktur2021altern!K243</f>
        <v>5721</v>
      </c>
      <c r="L243" s="289">
        <f>+K0kommunestruktur2021altern!L243</f>
        <v>140486</v>
      </c>
      <c r="M243" s="289">
        <f>+K0kommunestruktur2021altern!M243</f>
        <v>5721</v>
      </c>
      <c r="N243" s="289">
        <f>+K0kommunestruktur2021altern!N243</f>
        <v>141649</v>
      </c>
      <c r="O243" s="289">
        <f>+K0kommunestruktur2021altern!O243</f>
        <v>5766</v>
      </c>
      <c r="P243" s="289">
        <f>+K0kommunestruktur2021altern!P243</f>
        <v>146291</v>
      </c>
      <c r="Q243" s="289">
        <f>+K0kommunestruktur2021altern!Q243</f>
        <v>5798</v>
      </c>
      <c r="R243" s="289">
        <f>+K0kommunestruktur2021altern!R243</f>
        <v>191979.33600000001</v>
      </c>
      <c r="S243" s="289">
        <f>VLOOKUP(A243,'K22'!A243:CU598,3)</f>
        <v>5775</v>
      </c>
      <c r="T243" s="289">
        <f>VLOOKUP(A243,'K22'!$A$4:$BV$359,26)</f>
        <v>189392.54230765029</v>
      </c>
      <c r="U243" s="289">
        <f>VLOOKUP(A243,'Bef.fremskr. kommunenivå MMMM'!$A$5:$K$360,8)</f>
        <v>5796</v>
      </c>
      <c r="V243" s="289">
        <f>VLOOKUP(A243,'K23'!$A$4:$BV$359,26)</f>
        <v>176644.91743044765</v>
      </c>
    </row>
    <row r="244" spans="1:22" ht="13">
      <c r="A244" s="755">
        <v>4613</v>
      </c>
      <c r="B244" s="756" t="s">
        <v>26</v>
      </c>
      <c r="C244" s="289">
        <f>+K0kommunestruktur2021altern!C244</f>
        <v>11749</v>
      </c>
      <c r="D244" s="289">
        <f>+K0kommunestruktur2021altern!D244</f>
        <v>283646</v>
      </c>
      <c r="E244" s="289">
        <f>+K0kommunestruktur2021altern!E244</f>
        <v>11761</v>
      </c>
      <c r="F244" s="289">
        <f>+K0kommunestruktur2021altern!F244</f>
        <v>291741</v>
      </c>
      <c r="G244" s="289">
        <f>+K0kommunestruktur2021altern!G244</f>
        <v>11778</v>
      </c>
      <c r="H244" s="289">
        <f>+K0kommunestruktur2021altern!H244</f>
        <v>340199</v>
      </c>
      <c r="I244" s="289">
        <f>+K0kommunestruktur2021altern!I244</f>
        <v>11806</v>
      </c>
      <c r="J244" s="289">
        <f>+K0kommunestruktur2021altern!J244</f>
        <v>315438</v>
      </c>
      <c r="K244" s="289">
        <f>+K0kommunestruktur2021altern!K244</f>
        <v>11902</v>
      </c>
      <c r="L244" s="289">
        <f>+K0kommunestruktur2021altern!L244</f>
        <v>295857</v>
      </c>
      <c r="M244" s="289">
        <f>+K0kommunestruktur2021altern!M244</f>
        <v>11960</v>
      </c>
      <c r="N244" s="289">
        <f>+K0kommunestruktur2021altern!N244</f>
        <v>332334</v>
      </c>
      <c r="O244" s="289">
        <f>+K0kommunestruktur2021altern!O244</f>
        <v>11957</v>
      </c>
      <c r="P244" s="289">
        <f>+K0kommunestruktur2021altern!P244</f>
        <v>334069</v>
      </c>
      <c r="Q244" s="289">
        <f>+K0kommunestruktur2021altern!Q244</f>
        <v>11953</v>
      </c>
      <c r="R244" s="289">
        <f>+K0kommunestruktur2021altern!R244</f>
        <v>395792.70500000002</v>
      </c>
      <c r="S244" s="289">
        <f>VLOOKUP(A244,'K22'!A244:CU599,3)</f>
        <v>12061</v>
      </c>
      <c r="T244" s="289">
        <f>VLOOKUP(A244,'K22'!$A$4:$BV$359,26)</f>
        <v>427931.10588349227</v>
      </c>
      <c r="U244" s="289">
        <f>VLOOKUP(A244,'Bef.fremskr. kommunenivå MMMM'!$A$5:$K$360,8)</f>
        <v>12084</v>
      </c>
      <c r="V244" s="289">
        <f>VLOOKUP(A244,'K23'!$A$4:$BV$359,26)</f>
        <v>394366.84691253811</v>
      </c>
    </row>
    <row r="245" spans="1:22" ht="13">
      <c r="A245" s="755">
        <v>4614</v>
      </c>
      <c r="B245" s="756" t="s">
        <v>27</v>
      </c>
      <c r="C245" s="289">
        <f>+K0kommunestruktur2021altern!C245</f>
        <v>18425</v>
      </c>
      <c r="D245" s="289">
        <f>+K0kommunestruktur2021altern!D245</f>
        <v>450121</v>
      </c>
      <c r="E245" s="289">
        <f>+K0kommunestruktur2021altern!E245</f>
        <v>18685</v>
      </c>
      <c r="F245" s="289">
        <f>+K0kommunestruktur2021altern!F245</f>
        <v>484243</v>
      </c>
      <c r="G245" s="289">
        <f>+K0kommunestruktur2021altern!G245</f>
        <v>18775</v>
      </c>
      <c r="H245" s="289">
        <f>+K0kommunestruktur2021altern!H245</f>
        <v>488716</v>
      </c>
      <c r="I245" s="289">
        <f>+K0kommunestruktur2021altern!I245</f>
        <v>18821</v>
      </c>
      <c r="J245" s="289">
        <f>+K0kommunestruktur2021altern!J245</f>
        <v>497783</v>
      </c>
      <c r="K245" s="289">
        <f>+K0kommunestruktur2021altern!K245</f>
        <v>18780</v>
      </c>
      <c r="L245" s="289">
        <f>+K0kommunestruktur2021altern!L245</f>
        <v>517096</v>
      </c>
      <c r="M245" s="289">
        <f>+K0kommunestruktur2021altern!M245</f>
        <v>18699</v>
      </c>
      <c r="N245" s="289">
        <f>+K0kommunestruktur2021altern!N245</f>
        <v>540530</v>
      </c>
      <c r="O245" s="289">
        <f>+K0kommunestruktur2021altern!O245</f>
        <v>18759</v>
      </c>
      <c r="P245" s="289">
        <f>+K0kommunestruktur2021altern!P245</f>
        <v>543385</v>
      </c>
      <c r="Q245" s="289">
        <f>+K0kommunestruktur2021altern!Q245</f>
        <v>18861</v>
      </c>
      <c r="R245" s="289">
        <f>+K0kommunestruktur2021altern!R245</f>
        <v>624235.36199999996</v>
      </c>
      <c r="S245" s="289">
        <f>VLOOKUP(A245,'K22'!A245:CU600,3)</f>
        <v>18919</v>
      </c>
      <c r="T245" s="289">
        <f>VLOOKUP(A245,'K22'!$A$4:$BV$359,26)</f>
        <v>679737.64080376877</v>
      </c>
      <c r="U245" s="289">
        <f>VLOOKUP(A245,'Bef.fremskr. kommunenivå MMMM'!$A$5:$K$360,8)</f>
        <v>18980</v>
      </c>
      <c r="V245" s="289">
        <f>VLOOKUP(A245,'K23'!$A$4:$BV$359,26)</f>
        <v>635041.82614571776</v>
      </c>
    </row>
    <row r="246" spans="1:22" ht="13">
      <c r="A246" s="755">
        <v>4615</v>
      </c>
      <c r="B246" s="756" t="s">
        <v>28</v>
      </c>
      <c r="C246" s="289">
        <f>+K0kommunestruktur2021altern!C246</f>
        <v>3009</v>
      </c>
      <c r="D246" s="289">
        <f>+K0kommunestruktur2021altern!D246</f>
        <v>74296</v>
      </c>
      <c r="E246" s="289">
        <f>+K0kommunestruktur2021altern!E246</f>
        <v>3093</v>
      </c>
      <c r="F246" s="289">
        <f>+K0kommunestruktur2021altern!F246</f>
        <v>78879</v>
      </c>
      <c r="G246" s="289">
        <f>+K0kommunestruktur2021altern!G246</f>
        <v>3140</v>
      </c>
      <c r="H246" s="289">
        <f>+K0kommunestruktur2021altern!H246</f>
        <v>84396</v>
      </c>
      <c r="I246" s="289">
        <f>+K0kommunestruktur2021altern!I246</f>
        <v>3189</v>
      </c>
      <c r="J246" s="289">
        <f>+K0kommunestruktur2021altern!J246</f>
        <v>80561</v>
      </c>
      <c r="K246" s="289">
        <f>+K0kommunestruktur2021altern!K246</f>
        <v>3194</v>
      </c>
      <c r="L246" s="289">
        <f>+K0kommunestruktur2021altern!L246</f>
        <v>81638</v>
      </c>
      <c r="M246" s="289">
        <f>+K0kommunestruktur2021altern!M246</f>
        <v>3201</v>
      </c>
      <c r="N246" s="289">
        <f>+K0kommunestruktur2021altern!N246</f>
        <v>90564</v>
      </c>
      <c r="O246" s="289">
        <f>+K0kommunestruktur2021altern!O246</f>
        <v>3189</v>
      </c>
      <c r="P246" s="289">
        <f>+K0kommunestruktur2021altern!P246</f>
        <v>87982</v>
      </c>
      <c r="Q246" s="289">
        <f>+K0kommunestruktur2021altern!Q246</f>
        <v>3147</v>
      </c>
      <c r="R246" s="289">
        <f>+K0kommunestruktur2021altern!R246</f>
        <v>99743.555999999997</v>
      </c>
      <c r="S246" s="289">
        <f>VLOOKUP(A246,'K22'!A246:CU601,3)</f>
        <v>3117</v>
      </c>
      <c r="T246" s="289">
        <f>VLOOKUP(A246,'K22'!$A$4:$BV$359,26)</f>
        <v>109193.78272535867</v>
      </c>
      <c r="U246" s="289">
        <f>VLOOKUP(A246,'Bef.fremskr. kommunenivå MMMM'!$A$5:$K$360,8)</f>
        <v>3107</v>
      </c>
      <c r="V246" s="289">
        <f>VLOOKUP(A246,'K23'!$A$4:$BV$359,26)</f>
        <v>100096.72087654447</v>
      </c>
    </row>
    <row r="247" spans="1:22" ht="13">
      <c r="A247" s="755">
        <v>4616</v>
      </c>
      <c r="B247" s="756" t="s">
        <v>29</v>
      </c>
      <c r="C247" s="289">
        <f>+K0kommunestruktur2021altern!C247</f>
        <v>2745</v>
      </c>
      <c r="D247" s="289">
        <f>+K0kommunestruktur2021altern!D247</f>
        <v>65397</v>
      </c>
      <c r="E247" s="289">
        <f>+K0kommunestruktur2021altern!E247</f>
        <v>2782</v>
      </c>
      <c r="F247" s="289">
        <f>+K0kommunestruktur2021altern!F247</f>
        <v>71019</v>
      </c>
      <c r="G247" s="289">
        <f>+K0kommunestruktur2021altern!G247</f>
        <v>2797</v>
      </c>
      <c r="H247" s="289">
        <f>+K0kommunestruktur2021altern!H247</f>
        <v>76308</v>
      </c>
      <c r="I247" s="289">
        <f>+K0kommunestruktur2021altern!I247</f>
        <v>2847</v>
      </c>
      <c r="J247" s="289">
        <f>+K0kommunestruktur2021altern!J247</f>
        <v>83729</v>
      </c>
      <c r="K247" s="289">
        <f>+K0kommunestruktur2021altern!K247</f>
        <v>2857</v>
      </c>
      <c r="L247" s="289">
        <f>+K0kommunestruktur2021altern!L247</f>
        <v>90837</v>
      </c>
      <c r="M247" s="289">
        <f>+K0kommunestruktur2021altern!M247</f>
        <v>2846</v>
      </c>
      <c r="N247" s="289">
        <f>+K0kommunestruktur2021altern!N247</f>
        <v>105762</v>
      </c>
      <c r="O247" s="289">
        <f>+K0kommunestruktur2021altern!O247</f>
        <v>2869</v>
      </c>
      <c r="P247" s="289">
        <f>+K0kommunestruktur2021altern!P247</f>
        <v>94659</v>
      </c>
      <c r="Q247" s="289">
        <f>+K0kommunestruktur2021altern!Q247</f>
        <v>2924</v>
      </c>
      <c r="R247" s="289">
        <f>+K0kommunestruktur2021altern!R247</f>
        <v>125323.236</v>
      </c>
      <c r="S247" s="289">
        <f>VLOOKUP(A247,'K22'!A247:CU602,3)</f>
        <v>2883</v>
      </c>
      <c r="T247" s="289">
        <f>VLOOKUP(A247,'K22'!$A$4:$BV$359,26)</f>
        <v>142611.20723191139</v>
      </c>
      <c r="U247" s="289">
        <f>VLOOKUP(A247,'Bef.fremskr. kommunenivå MMMM'!$A$5:$K$360,8)</f>
        <v>2857</v>
      </c>
      <c r="V247" s="289">
        <f>VLOOKUP(A247,'K23'!$A$4:$BV$359,26)</f>
        <v>118474.26503794064</v>
      </c>
    </row>
    <row r="248" spans="1:22" ht="13">
      <c r="A248" s="755">
        <v>4617</v>
      </c>
      <c r="B248" s="756" t="s">
        <v>30</v>
      </c>
      <c r="C248" s="289">
        <f>+K0kommunestruktur2021altern!C248</f>
        <v>13232</v>
      </c>
      <c r="D248" s="289">
        <f>+K0kommunestruktur2021altern!D248</f>
        <v>317340</v>
      </c>
      <c r="E248" s="289">
        <f>+K0kommunestruktur2021altern!E248</f>
        <v>13234</v>
      </c>
      <c r="F248" s="289">
        <f>+K0kommunestruktur2021altern!F248</f>
        <v>323502</v>
      </c>
      <c r="G248" s="289">
        <f>+K0kommunestruktur2021altern!G248</f>
        <v>13271</v>
      </c>
      <c r="H248" s="289">
        <f>+K0kommunestruktur2021altern!H248</f>
        <v>335516</v>
      </c>
      <c r="I248" s="289">
        <f>+K0kommunestruktur2021altern!I248</f>
        <v>13241</v>
      </c>
      <c r="J248" s="289">
        <f>+K0kommunestruktur2021altern!J248</f>
        <v>343907</v>
      </c>
      <c r="K248" s="289">
        <f>+K0kommunestruktur2021altern!K248</f>
        <v>13180</v>
      </c>
      <c r="L248" s="289">
        <f>+K0kommunestruktur2021altern!L248</f>
        <v>358088</v>
      </c>
      <c r="M248" s="289">
        <f>+K0kommunestruktur2021altern!M248</f>
        <v>13137</v>
      </c>
      <c r="N248" s="289">
        <f>+K0kommunestruktur2021altern!N248</f>
        <v>374901</v>
      </c>
      <c r="O248" s="289">
        <f>+K0kommunestruktur2021altern!O248</f>
        <v>13071</v>
      </c>
      <c r="P248" s="289">
        <f>+K0kommunestruktur2021altern!P248</f>
        <v>371702</v>
      </c>
      <c r="Q248" s="289">
        <f>+K0kommunestruktur2021altern!Q248</f>
        <v>13039</v>
      </c>
      <c r="R248" s="289">
        <f>+K0kommunestruktur2021altern!R248</f>
        <v>433092.84700000001</v>
      </c>
      <c r="S248" s="289">
        <f>VLOOKUP(A248,'K22'!A248:CU603,3)</f>
        <v>13017</v>
      </c>
      <c r="T248" s="289">
        <f>VLOOKUP(A248,'K22'!$A$4:$BV$359,26)</f>
        <v>479885.22539702797</v>
      </c>
      <c r="U248" s="289">
        <f>VLOOKUP(A248,'Bef.fremskr. kommunenivå MMMM'!$A$5:$K$360,8)</f>
        <v>12923</v>
      </c>
      <c r="V248" s="289">
        <f>VLOOKUP(A248,'K23'!$A$4:$BV$359,26)</f>
        <v>425905.04078123777</v>
      </c>
    </row>
    <row r="249" spans="1:22" ht="13">
      <c r="A249" s="889">
        <v>4618</v>
      </c>
      <c r="B249" s="890" t="s">
        <v>1632</v>
      </c>
      <c r="C249" s="289">
        <f>+C372+C373</f>
        <v>11378.236712382168</v>
      </c>
      <c r="D249" s="289">
        <f t="shared" ref="D249:R249" si="4">+D372+D373</f>
        <v>290476.73539014597</v>
      </c>
      <c r="E249" s="289">
        <f t="shared" si="4"/>
        <v>11371.389565858313</v>
      </c>
      <c r="F249" s="289">
        <f t="shared" si="4"/>
        <v>306444.2164268776</v>
      </c>
      <c r="G249" s="289">
        <f t="shared" si="4"/>
        <v>11343.647439015422</v>
      </c>
      <c r="H249" s="289">
        <f t="shared" si="4"/>
        <v>313752.84404771583</v>
      </c>
      <c r="I249" s="289">
        <f t="shared" si="4"/>
        <v>11418.994911220483</v>
      </c>
      <c r="J249" s="289">
        <f t="shared" si="4"/>
        <v>326008.20612479374</v>
      </c>
      <c r="K249" s="289">
        <f t="shared" si="4"/>
        <v>11203.693399558433</v>
      </c>
      <c r="L249" s="289">
        <f t="shared" si="4"/>
        <v>333625.62827517674</v>
      </c>
      <c r="M249" s="289">
        <f t="shared" si="4"/>
        <v>11062.843483000001</v>
      </c>
      <c r="N249" s="289">
        <f t="shared" si="4"/>
        <v>346776.31329684221</v>
      </c>
      <c r="O249" s="289">
        <f t="shared" si="4"/>
        <v>11026.91219778</v>
      </c>
      <c r="P249" s="289">
        <f t="shared" si="4"/>
        <v>348075.93782942521</v>
      </c>
      <c r="Q249" s="289">
        <f t="shared" si="4"/>
        <v>10981</v>
      </c>
      <c r="R249" s="289">
        <f t="shared" si="4"/>
        <v>392518.27449727326</v>
      </c>
      <c r="S249" s="289">
        <f>VLOOKUP(A249,'K22'!A249:CU604,3)</f>
        <v>10881</v>
      </c>
      <c r="T249" s="289">
        <f>VLOOKUP(A249,'K22'!$A$4:$BV$359,26)</f>
        <v>412213.36873148941</v>
      </c>
      <c r="U249" s="289">
        <f>VLOOKUP(A249,'Bef.fremskr. kommunenivå MMMM'!$A$5:$K$360,8)</f>
        <v>10803</v>
      </c>
      <c r="V249" s="289">
        <f>VLOOKUP(A249,'K23'!$A$4:$BV$359,26)</f>
        <v>387887.67145340727</v>
      </c>
    </row>
    <row r="250" spans="1:22" ht="13">
      <c r="A250" s="889">
        <v>4619</v>
      </c>
      <c r="B250" s="890" t="s">
        <v>34</v>
      </c>
      <c r="C250" s="289">
        <f>+C376+C377</f>
        <v>971.75967316000003</v>
      </c>
      <c r="D250" s="289">
        <f t="shared" ref="D250:R250" si="5">+D376+D377</f>
        <v>49967.826209854073</v>
      </c>
      <c r="E250" s="289">
        <f t="shared" si="5"/>
        <v>971.74657872</v>
      </c>
      <c r="F250" s="289">
        <f t="shared" si="5"/>
        <v>50339.847151435708</v>
      </c>
      <c r="G250" s="289">
        <f t="shared" si="5"/>
        <v>946.69352484000001</v>
      </c>
      <c r="H250" s="289">
        <f t="shared" si="5"/>
        <v>53302.109717344392</v>
      </c>
      <c r="I250" s="289">
        <f t="shared" si="5"/>
        <v>942.83761890000005</v>
      </c>
      <c r="J250" s="289">
        <f t="shared" si="5"/>
        <v>55778.915671591792</v>
      </c>
      <c r="K250" s="289">
        <f t="shared" si="5"/>
        <v>952.42587755</v>
      </c>
      <c r="L250" s="289">
        <f t="shared" si="5"/>
        <v>57257.703050124488</v>
      </c>
      <c r="M250" s="289">
        <f t="shared" si="5"/>
        <v>927.15651700000001</v>
      </c>
      <c r="N250" s="289">
        <f t="shared" si="5"/>
        <v>56708.314414001186</v>
      </c>
      <c r="O250" s="289">
        <f t="shared" si="5"/>
        <v>927.08780221999996</v>
      </c>
      <c r="P250" s="289">
        <f t="shared" si="5"/>
        <v>53712.06217057482</v>
      </c>
      <c r="Q250" s="289">
        <f t="shared" si="5"/>
        <v>924</v>
      </c>
      <c r="R250" s="289">
        <f t="shared" si="5"/>
        <v>58672.92950272678</v>
      </c>
      <c r="S250" s="289">
        <f>VLOOKUP(A250,'K22'!A250:CU605,3)</f>
        <v>937</v>
      </c>
      <c r="T250" s="289">
        <f>VLOOKUP(A250,'K22'!$A$4:$BV$359,26)</f>
        <v>62462.745823367579</v>
      </c>
      <c r="U250" s="289">
        <f>VLOOKUP(A250,'Bef.fremskr. kommunenivå MMMM'!$A$5:$K$360,8)</f>
        <v>947</v>
      </c>
      <c r="V250" s="289">
        <f>VLOOKUP(A250,'K23'!$A$4:$BV$359,26)</f>
        <v>60410.661217718138</v>
      </c>
    </row>
    <row r="251" spans="1:22" ht="13">
      <c r="A251" s="755">
        <v>4620</v>
      </c>
      <c r="B251" s="756" t="s">
        <v>35</v>
      </c>
      <c r="C251" s="289">
        <f>+K0kommunestruktur2021altern!C251</f>
        <v>1094</v>
      </c>
      <c r="D251" s="289">
        <f>+K0kommunestruktur2021altern!D251</f>
        <v>32828</v>
      </c>
      <c r="E251" s="289">
        <f>+K0kommunestruktur2021altern!E251</f>
        <v>1107</v>
      </c>
      <c r="F251" s="289">
        <f>+K0kommunestruktur2021altern!F251</f>
        <v>32883</v>
      </c>
      <c r="G251" s="289">
        <f>+K0kommunestruktur2021altern!G251</f>
        <v>1116</v>
      </c>
      <c r="H251" s="289">
        <f>+K0kommunestruktur2021altern!H251</f>
        <v>34173</v>
      </c>
      <c r="I251" s="289">
        <f>+K0kommunestruktur2021altern!I251</f>
        <v>1131</v>
      </c>
      <c r="J251" s="289">
        <f>+K0kommunestruktur2021altern!J251</f>
        <v>34103</v>
      </c>
      <c r="K251" s="289">
        <f>+K0kommunestruktur2021altern!K251</f>
        <v>1117</v>
      </c>
      <c r="L251" s="289">
        <f>+K0kommunestruktur2021altern!L251</f>
        <v>35225</v>
      </c>
      <c r="M251" s="289">
        <f>+K0kommunestruktur2021altern!M251</f>
        <v>1093</v>
      </c>
      <c r="N251" s="289">
        <f>+K0kommunestruktur2021altern!N251</f>
        <v>35916</v>
      </c>
      <c r="O251" s="289">
        <f>+K0kommunestruktur2021altern!O251</f>
        <v>1080</v>
      </c>
      <c r="P251" s="289">
        <f>+K0kommunestruktur2021altern!P251</f>
        <v>34950</v>
      </c>
      <c r="Q251" s="289">
        <f>+K0kommunestruktur2021altern!Q251</f>
        <v>1061</v>
      </c>
      <c r="R251" s="289">
        <f>+K0kommunestruktur2021altern!R251</f>
        <v>38123.357000000004</v>
      </c>
      <c r="S251" s="289">
        <f>VLOOKUP(A251,'K22'!A251:CU606,3)</f>
        <v>1051</v>
      </c>
      <c r="T251" s="289">
        <f>VLOOKUP(A251,'K22'!$A$4:$BV$359,26)</f>
        <v>39913.591247035649</v>
      </c>
      <c r="U251" s="289">
        <f>VLOOKUP(A251,'Bef.fremskr. kommunenivå MMMM'!$A$5:$K$360,8)</f>
        <v>1051</v>
      </c>
      <c r="V251" s="289">
        <f>VLOOKUP(A251,'K23'!$A$4:$BV$359,26)</f>
        <v>38332.239331622564</v>
      </c>
    </row>
    <row r="252" spans="1:22" ht="13">
      <c r="A252" s="755">
        <v>4621</v>
      </c>
      <c r="B252" s="756" t="s">
        <v>1633</v>
      </c>
      <c r="C252" s="289">
        <f>+K0kommunestruktur2021altern!C252</f>
        <v>15148.003614457832</v>
      </c>
      <c r="D252" s="289">
        <f>+K0kommunestruktur2021altern!D252</f>
        <v>347890.43839999998</v>
      </c>
      <c r="E252" s="289">
        <f>+K0kommunestruktur2021altern!E252</f>
        <v>15337.863855421687</v>
      </c>
      <c r="F252" s="289">
        <f>+K0kommunestruktur2021altern!F252</f>
        <v>360573.93642168673</v>
      </c>
      <c r="G252" s="289">
        <f>+K0kommunestruktur2021altern!G252</f>
        <v>15414.659036144578</v>
      </c>
      <c r="H252" s="289">
        <f>+K0kommunestruktur2021altern!H252</f>
        <v>385610.04623493977</v>
      </c>
      <c r="I252" s="289">
        <f>+K0kommunestruktur2021altern!I252</f>
        <v>15516.167469879518</v>
      </c>
      <c r="J252" s="289">
        <f>+K0kommunestruktur2021altern!J252</f>
        <v>405969.87820361444</v>
      </c>
      <c r="K252" s="289">
        <f>+K0kommunestruktur2021altern!K252</f>
        <v>15576.880722891567</v>
      </c>
      <c r="L252" s="289">
        <f>+K0kommunestruktur2021altern!L252</f>
        <v>427868.6686746988</v>
      </c>
      <c r="M252" s="289">
        <f>+K0kommunestruktur2021altern!M252</f>
        <v>15611</v>
      </c>
      <c r="N252" s="289">
        <f>+K0kommunestruktur2021altern!N252</f>
        <v>452847.3722891566</v>
      </c>
      <c r="O252" s="289">
        <f>+K0kommunestruktur2021altern!O252</f>
        <v>15740</v>
      </c>
      <c r="P252" s="289">
        <f>+K0kommunestruktur2021altern!P252</f>
        <v>443958</v>
      </c>
      <c r="Q252" s="289">
        <f>+K0kommunestruktur2021altern!Q252</f>
        <v>15787</v>
      </c>
      <c r="R252" s="289">
        <f>+K0kommunestruktur2021altern!R252</f>
        <v>489349.63799999998</v>
      </c>
      <c r="S252" s="289">
        <f>VLOOKUP(A252,'K22'!A252:CU607,3)</f>
        <v>15875</v>
      </c>
      <c r="T252" s="289">
        <f>VLOOKUP(A252,'K22'!$A$4:$BV$359,26)</f>
        <v>554967.34972716647</v>
      </c>
      <c r="U252" s="289">
        <f>VLOOKUP(A252,'Bef.fremskr. kommunenivå MMMM'!$A$5:$K$360,8)</f>
        <v>15923</v>
      </c>
      <c r="V252" s="289">
        <f>VLOOKUP(A252,'K23'!$A$4:$BV$359,26)</f>
        <v>515914.11129063973</v>
      </c>
    </row>
    <row r="253" spans="1:22" ht="13">
      <c r="A253" s="755">
        <v>4622</v>
      </c>
      <c r="B253" s="756" t="s">
        <v>38</v>
      </c>
      <c r="C253" s="289">
        <f>+K0kommunestruktur2021altern!C253</f>
        <v>8584</v>
      </c>
      <c r="D253" s="289">
        <f>+K0kommunestruktur2021altern!D253</f>
        <v>191886</v>
      </c>
      <c r="E253" s="289">
        <f>+K0kommunestruktur2021altern!E253</f>
        <v>8539</v>
      </c>
      <c r="F253" s="289">
        <f>+K0kommunestruktur2021altern!F253</f>
        <v>198344</v>
      </c>
      <c r="G253" s="289">
        <f>+K0kommunestruktur2021altern!G253</f>
        <v>8475</v>
      </c>
      <c r="H253" s="289">
        <f>+K0kommunestruktur2021altern!H253</f>
        <v>212701</v>
      </c>
      <c r="I253" s="289">
        <f>+K0kommunestruktur2021altern!I253</f>
        <v>8423</v>
      </c>
      <c r="J253" s="289">
        <f>+K0kommunestruktur2021altern!J253</f>
        <v>216753</v>
      </c>
      <c r="K253" s="289">
        <f>+K0kommunestruktur2021altern!K253</f>
        <v>8455</v>
      </c>
      <c r="L253" s="289">
        <f>+K0kommunestruktur2021altern!L253</f>
        <v>232403</v>
      </c>
      <c r="M253" s="289">
        <f>+K0kommunestruktur2021altern!M253</f>
        <v>8441</v>
      </c>
      <c r="N253" s="289">
        <f>+K0kommunestruktur2021altern!N253</f>
        <v>234746</v>
      </c>
      <c r="O253" s="289">
        <f>+K0kommunestruktur2021altern!O253</f>
        <v>8457</v>
      </c>
      <c r="P253" s="289">
        <f>+K0kommunestruktur2021altern!P253</f>
        <v>233626</v>
      </c>
      <c r="Q253" s="289">
        <f>+K0kommunestruktur2021altern!Q253</f>
        <v>8461</v>
      </c>
      <c r="R253" s="289">
        <f>+K0kommunestruktur2021altern!R253</f>
        <v>267315.22600000002</v>
      </c>
      <c r="S253" s="289">
        <f>VLOOKUP(A253,'K22'!A253:CU608,3)</f>
        <v>8497</v>
      </c>
      <c r="T253" s="289">
        <f>VLOOKUP(A253,'K22'!$A$4:$BV$359,26)</f>
        <v>291054.92946909729</v>
      </c>
      <c r="U253" s="289">
        <f>VLOOKUP(A253,'Bef.fremskr. kommunenivå MMMM'!$A$5:$K$360,8)</f>
        <v>8462</v>
      </c>
      <c r="V253" s="289">
        <f>VLOOKUP(A253,'K23'!$A$4:$BV$359,26)</f>
        <v>270150.52702434763</v>
      </c>
    </row>
    <row r="254" spans="1:22" ht="13">
      <c r="A254" s="755">
        <v>4623</v>
      </c>
      <c r="B254" s="756" t="s">
        <v>40</v>
      </c>
      <c r="C254" s="289">
        <f>+K0kommunestruktur2021altern!C254</f>
        <v>2436</v>
      </c>
      <c r="D254" s="289">
        <f>+K0kommunestruktur2021altern!D254</f>
        <v>57433</v>
      </c>
      <c r="E254" s="289">
        <f>+K0kommunestruktur2021altern!E254</f>
        <v>2443</v>
      </c>
      <c r="F254" s="289">
        <f>+K0kommunestruktur2021altern!F254</f>
        <v>62067</v>
      </c>
      <c r="G254" s="289">
        <f>+K0kommunestruktur2021altern!G254</f>
        <v>2443</v>
      </c>
      <c r="H254" s="289">
        <f>+K0kommunestruktur2021altern!H254</f>
        <v>65531</v>
      </c>
      <c r="I254" s="289">
        <f>+K0kommunestruktur2021altern!I254</f>
        <v>2488</v>
      </c>
      <c r="J254" s="289">
        <f>+K0kommunestruktur2021altern!J254</f>
        <v>66651</v>
      </c>
      <c r="K254" s="289">
        <f>+K0kommunestruktur2021altern!K254</f>
        <v>2463</v>
      </c>
      <c r="L254" s="289">
        <f>+K0kommunestruktur2021altern!L254</f>
        <v>65455</v>
      </c>
      <c r="M254" s="289">
        <f>+K0kommunestruktur2021altern!M254</f>
        <v>2465</v>
      </c>
      <c r="N254" s="289">
        <f>+K0kommunestruktur2021altern!N254</f>
        <v>67380</v>
      </c>
      <c r="O254" s="289">
        <f>+K0kommunestruktur2021altern!O254</f>
        <v>2485</v>
      </c>
      <c r="P254" s="289">
        <f>+K0kommunestruktur2021altern!P254</f>
        <v>67747</v>
      </c>
      <c r="Q254" s="289">
        <f>+K0kommunestruktur2021altern!Q254</f>
        <v>2504</v>
      </c>
      <c r="R254" s="289">
        <f>+K0kommunestruktur2021altern!R254</f>
        <v>76737.937999999995</v>
      </c>
      <c r="S254" s="289">
        <f>VLOOKUP(A254,'K22'!A254:CU609,3)</f>
        <v>2501</v>
      </c>
      <c r="T254" s="289">
        <f>VLOOKUP(A254,'K22'!$A$4:$BV$359,26)</f>
        <v>82389.545174626954</v>
      </c>
      <c r="U254" s="289">
        <f>VLOOKUP(A254,'Bef.fremskr. kommunenivå MMMM'!$A$5:$K$360,8)</f>
        <v>2490</v>
      </c>
      <c r="V254" s="289">
        <f>VLOOKUP(A254,'K23'!$A$4:$BV$359,26)</f>
        <v>77611.029265090649</v>
      </c>
    </row>
    <row r="255" spans="1:22" ht="13">
      <c r="A255" s="755">
        <v>4624</v>
      </c>
      <c r="B255" s="756" t="s">
        <v>1634</v>
      </c>
      <c r="C255" s="289">
        <f>+K0kommunestruktur2021altern!C255</f>
        <v>22507</v>
      </c>
      <c r="D255" s="289">
        <f>+K0kommunestruktur2021altern!D255</f>
        <v>534800</v>
      </c>
      <c r="E255" s="289">
        <f>+K0kommunestruktur2021altern!E255</f>
        <v>22935</v>
      </c>
      <c r="F255" s="289">
        <f>+K0kommunestruktur2021altern!F255</f>
        <v>569139</v>
      </c>
      <c r="G255" s="289">
        <f>+K0kommunestruktur2021altern!G255</f>
        <v>23618</v>
      </c>
      <c r="H255" s="289">
        <f>+K0kommunestruktur2021altern!H255</f>
        <v>626543</v>
      </c>
      <c r="I255" s="289">
        <f>+K0kommunestruktur2021altern!I255</f>
        <v>24047</v>
      </c>
      <c r="J255" s="289">
        <f>+K0kommunestruktur2021altern!J255</f>
        <v>657084</v>
      </c>
      <c r="K255" s="289">
        <f>+K0kommunestruktur2021altern!K255</f>
        <v>24493</v>
      </c>
      <c r="L255" s="289">
        <f>+K0kommunestruktur2021altern!L255</f>
        <v>677975</v>
      </c>
      <c r="M255" s="289">
        <f>+K0kommunestruktur2021altern!M255</f>
        <v>24665</v>
      </c>
      <c r="N255" s="289">
        <f>+K0kommunestruktur2021altern!N255</f>
        <v>706159</v>
      </c>
      <c r="O255" s="289">
        <f>+K0kommunestruktur2021altern!O255</f>
        <v>24908</v>
      </c>
      <c r="P255" s="289">
        <f>+K0kommunestruktur2021altern!P255</f>
        <v>702109</v>
      </c>
      <c r="Q255" s="289">
        <f>+K0kommunestruktur2021altern!Q255</f>
        <v>25049</v>
      </c>
      <c r="R255" s="289">
        <f>+K0kommunestruktur2021altern!R255</f>
        <v>809661.46299999999</v>
      </c>
      <c r="S255" s="289">
        <f>VLOOKUP(A255,'K22'!A255:CU610,3)</f>
        <v>25213</v>
      </c>
      <c r="T255" s="289">
        <f>VLOOKUP(A255,'K22'!$A$4:$BV$359,26)</f>
        <v>896902.35955817648</v>
      </c>
      <c r="U255" s="289">
        <f>VLOOKUP(A255,'Bef.fremskr. kommunenivå MMMM'!$A$5:$K$360,8)</f>
        <v>25354</v>
      </c>
      <c r="V255" s="289">
        <f>VLOOKUP(A255,'K23'!$A$4:$BV$359,26)</f>
        <v>831212.16272590123</v>
      </c>
    </row>
    <row r="256" spans="1:22" ht="13">
      <c r="A256" s="755">
        <v>4625</v>
      </c>
      <c r="B256" s="756" t="s">
        <v>41</v>
      </c>
      <c r="C256" s="289">
        <f>+K0kommunestruktur2021altern!C256</f>
        <v>4924</v>
      </c>
      <c r="D256" s="289">
        <f>+K0kommunestruktur2021altern!D256</f>
        <v>167181</v>
      </c>
      <c r="E256" s="289">
        <f>+K0kommunestruktur2021altern!E256</f>
        <v>5012</v>
      </c>
      <c r="F256" s="289">
        <f>+K0kommunestruktur2021altern!F256</f>
        <v>185918</v>
      </c>
      <c r="G256" s="289">
        <f>+K0kommunestruktur2021altern!G256</f>
        <v>5118</v>
      </c>
      <c r="H256" s="289">
        <f>+K0kommunestruktur2021altern!H256</f>
        <v>200516</v>
      </c>
      <c r="I256" s="289">
        <f>+K0kommunestruktur2021altern!I256</f>
        <v>5156</v>
      </c>
      <c r="J256" s="289">
        <f>+K0kommunestruktur2021altern!J256</f>
        <v>219330</v>
      </c>
      <c r="K256" s="289">
        <f>+K0kommunestruktur2021altern!K256</f>
        <v>5189</v>
      </c>
      <c r="L256" s="289">
        <f>+K0kommunestruktur2021altern!L256</f>
        <v>202389</v>
      </c>
      <c r="M256" s="289">
        <f>+K0kommunestruktur2021altern!M256</f>
        <v>5212</v>
      </c>
      <c r="N256" s="289">
        <f>+K0kommunestruktur2021altern!N256</f>
        <v>259138</v>
      </c>
      <c r="O256" s="289">
        <f>+K0kommunestruktur2021altern!O256</f>
        <v>5236</v>
      </c>
      <c r="P256" s="289">
        <f>+K0kommunestruktur2021altern!P256</f>
        <v>264097</v>
      </c>
      <c r="Q256" s="289">
        <f>+K0kommunestruktur2021altern!Q256</f>
        <v>5276</v>
      </c>
      <c r="R256" s="289">
        <f>+K0kommunestruktur2021altern!R256</f>
        <v>286098.10200000001</v>
      </c>
      <c r="S256" s="289">
        <f>VLOOKUP(A256,'K22'!A256:CU611,3)</f>
        <v>5283</v>
      </c>
      <c r="T256" s="289">
        <f>VLOOKUP(A256,'K22'!$A$4:$BV$359,26)</f>
        <v>343522.14314632391</v>
      </c>
      <c r="U256" s="289">
        <f>VLOOKUP(A256,'Bef.fremskr. kommunenivå MMMM'!$A$5:$K$360,8)</f>
        <v>5285</v>
      </c>
      <c r="V256" s="289">
        <f>VLOOKUP(A256,'K23'!$A$4:$BV$359,26)</f>
        <v>300612.84401917597</v>
      </c>
    </row>
    <row r="257" spans="1:22" ht="13">
      <c r="A257" s="755">
        <v>4626</v>
      </c>
      <c r="B257" s="756" t="s">
        <v>1635</v>
      </c>
      <c r="C257" s="289">
        <f>+K0kommunestruktur2021altern!C257</f>
        <v>35191</v>
      </c>
      <c r="D257" s="289">
        <f>+K0kommunestruktur2021altern!D257</f>
        <v>869349</v>
      </c>
      <c r="E257" s="289">
        <f>+K0kommunestruktur2021altern!E257</f>
        <v>35912</v>
      </c>
      <c r="F257" s="289">
        <f>+K0kommunestruktur2021altern!F257</f>
        <v>900925</v>
      </c>
      <c r="G257" s="289">
        <f>+K0kommunestruktur2021altern!G257</f>
        <v>36697</v>
      </c>
      <c r="H257" s="289">
        <f>+K0kommunestruktur2021altern!H257</f>
        <v>969029</v>
      </c>
      <c r="I257" s="289">
        <f>+K0kommunestruktur2021altern!I257</f>
        <v>37175</v>
      </c>
      <c r="J257" s="289">
        <f>+K0kommunestruktur2021altern!J257</f>
        <v>993064</v>
      </c>
      <c r="K257" s="289">
        <f>+K0kommunestruktur2021altern!K257</f>
        <v>37687</v>
      </c>
      <c r="L257" s="289">
        <f>+K0kommunestruktur2021altern!L257</f>
        <v>1041433</v>
      </c>
      <c r="M257" s="289">
        <f>+K0kommunestruktur2021altern!M257</f>
        <v>38117</v>
      </c>
      <c r="N257" s="289">
        <f>+K0kommunestruktur2021altern!N257</f>
        <v>1088369</v>
      </c>
      <c r="O257" s="289">
        <f>+K0kommunestruktur2021altern!O257</f>
        <v>38316</v>
      </c>
      <c r="P257" s="289">
        <f>+K0kommunestruktur2021altern!P257</f>
        <v>1073322</v>
      </c>
      <c r="Q257" s="289">
        <f>+K0kommunestruktur2021altern!Q257</f>
        <v>38664</v>
      </c>
      <c r="R257" s="289">
        <f>+K0kommunestruktur2021altern!R257</f>
        <v>1234238.007</v>
      </c>
      <c r="S257" s="289">
        <f>VLOOKUP(A257,'K22'!A257:CU612,3)</f>
        <v>39032</v>
      </c>
      <c r="T257" s="289">
        <f>VLOOKUP(A257,'K22'!$A$4:$BV$359,26)</f>
        <v>1381011.12277896</v>
      </c>
      <c r="U257" s="289">
        <f>VLOOKUP(A257,'Bef.fremskr. kommunenivå MMMM'!$A$5:$K$360,8)</f>
        <v>39329</v>
      </c>
      <c r="V257" s="289">
        <f>VLOOKUP(A257,'K23'!$A$4:$BV$359,26)</f>
        <v>1280447.8375771819</v>
      </c>
    </row>
    <row r="258" spans="1:22" ht="13">
      <c r="A258" s="755">
        <v>4627</v>
      </c>
      <c r="B258" s="965" t="s">
        <v>44</v>
      </c>
      <c r="C258" s="289">
        <f>+K0kommunestruktur2021altern!C258</f>
        <v>27346</v>
      </c>
      <c r="D258" s="289">
        <f>+K0kommunestruktur2021altern!D258</f>
        <v>612963</v>
      </c>
      <c r="E258" s="289">
        <f>+K0kommunestruktur2021altern!E258</f>
        <v>27858</v>
      </c>
      <c r="F258" s="289">
        <f>+K0kommunestruktur2021altern!F258</f>
        <v>641304</v>
      </c>
      <c r="G258" s="289">
        <f>+K0kommunestruktur2021altern!G258</f>
        <v>28380</v>
      </c>
      <c r="H258" s="289">
        <f>+K0kommunestruktur2021altern!H258</f>
        <v>684373</v>
      </c>
      <c r="I258" s="289">
        <f>+K0kommunestruktur2021altern!I258</f>
        <v>28821</v>
      </c>
      <c r="J258" s="289">
        <f>+K0kommunestruktur2021altern!J258</f>
        <v>715328</v>
      </c>
      <c r="K258" s="289">
        <f>+K0kommunestruktur2021altern!K258</f>
        <v>29071</v>
      </c>
      <c r="L258" s="289">
        <f>+K0kommunestruktur2021altern!L258</f>
        <v>745203</v>
      </c>
      <c r="M258" s="289">
        <f>+K0kommunestruktur2021altern!M258</f>
        <v>29275</v>
      </c>
      <c r="N258" s="289">
        <f>+K0kommunestruktur2021altern!N258</f>
        <v>770143</v>
      </c>
      <c r="O258" s="289">
        <f>+K0kommunestruktur2021altern!O258</f>
        <v>29553</v>
      </c>
      <c r="P258" s="289">
        <f>+K0kommunestruktur2021altern!P258</f>
        <v>758102</v>
      </c>
      <c r="Q258" s="289">
        <f>+K0kommunestruktur2021altern!Q258</f>
        <v>29594</v>
      </c>
      <c r="R258" s="289">
        <f>+K0kommunestruktur2021altern!R258</f>
        <v>891286.87600000005</v>
      </c>
      <c r="S258" s="289">
        <f>VLOOKUP(A258,'K22'!A258:CU613,3)</f>
        <v>29816</v>
      </c>
      <c r="T258" s="289">
        <f>VLOOKUP(A258,'K22'!$A$4:$BV$359,26)</f>
        <v>968273.93143772567</v>
      </c>
      <c r="U258" s="289">
        <f>VLOOKUP(A258,'Bef.fremskr. kommunenivå MMMM'!$A$5:$K$360,8)</f>
        <v>29979</v>
      </c>
      <c r="V258" s="289">
        <f>VLOOKUP(A258,'K23'!$A$4:$BV$359,26)</f>
        <v>904548.80433479068</v>
      </c>
    </row>
    <row r="259" spans="1:22" ht="13">
      <c r="A259" s="755">
        <v>4628</v>
      </c>
      <c r="B259" s="756" t="s">
        <v>45</v>
      </c>
      <c r="C259" s="289">
        <f>+K0kommunestruktur2021altern!C259</f>
        <v>4140</v>
      </c>
      <c r="D259" s="289">
        <f>+K0kommunestruktur2021altern!D259</f>
        <v>91771</v>
      </c>
      <c r="E259" s="289">
        <f>+K0kommunestruktur2021altern!E259</f>
        <v>4096</v>
      </c>
      <c r="F259" s="289">
        <f>+K0kommunestruktur2021altern!F259</f>
        <v>95145</v>
      </c>
      <c r="G259" s="289">
        <f>+K0kommunestruktur2021altern!G259</f>
        <v>4125</v>
      </c>
      <c r="H259" s="289">
        <f>+K0kommunestruktur2021altern!H259</f>
        <v>100840</v>
      </c>
      <c r="I259" s="289">
        <f>+K0kommunestruktur2021altern!I259</f>
        <v>4123</v>
      </c>
      <c r="J259" s="289">
        <f>+K0kommunestruktur2021altern!J259</f>
        <v>103284</v>
      </c>
      <c r="K259" s="289">
        <f>+K0kommunestruktur2021altern!K259</f>
        <v>4127</v>
      </c>
      <c r="L259" s="289">
        <f>+K0kommunestruktur2021altern!L259</f>
        <v>107402</v>
      </c>
      <c r="M259" s="289">
        <f>+K0kommunestruktur2021altern!M259</f>
        <v>4045</v>
      </c>
      <c r="N259" s="289">
        <f>+K0kommunestruktur2021altern!N259</f>
        <v>109454</v>
      </c>
      <c r="O259" s="289">
        <f>+K0kommunestruktur2021altern!O259</f>
        <v>3977</v>
      </c>
      <c r="P259" s="289">
        <f>+K0kommunestruktur2021altern!P259</f>
        <v>107407</v>
      </c>
      <c r="Q259" s="289">
        <f>+K0kommunestruktur2021altern!Q259</f>
        <v>3918</v>
      </c>
      <c r="R259" s="289">
        <f>+K0kommunestruktur2021altern!R259</f>
        <v>118388.21799999999</v>
      </c>
      <c r="S259" s="289">
        <f>VLOOKUP(A259,'K22'!A259:CU614,3)</f>
        <v>3867</v>
      </c>
      <c r="T259" s="289">
        <f>VLOOKUP(A259,'K22'!$A$4:$BV$359,26)</f>
        <v>124050.02724674008</v>
      </c>
      <c r="U259" s="289">
        <f>VLOOKUP(A259,'Bef.fremskr. kommunenivå MMMM'!$A$5:$K$360,8)</f>
        <v>3839</v>
      </c>
      <c r="V259" s="289">
        <f>VLOOKUP(A259,'K23'!$A$4:$BV$359,26)</f>
        <v>117989.52118165948</v>
      </c>
    </row>
    <row r="260" spans="1:22" ht="13">
      <c r="A260" s="755">
        <v>4629</v>
      </c>
      <c r="B260" s="756" t="s">
        <v>46</v>
      </c>
      <c r="C260" s="289">
        <f>+K0kommunestruktur2021altern!C260</f>
        <v>372</v>
      </c>
      <c r="D260" s="289">
        <f>+K0kommunestruktur2021altern!D260</f>
        <v>23282</v>
      </c>
      <c r="E260" s="289">
        <f>+K0kommunestruktur2021altern!E260</f>
        <v>378</v>
      </c>
      <c r="F260" s="289">
        <f>+K0kommunestruktur2021altern!F260</f>
        <v>22663</v>
      </c>
      <c r="G260" s="289">
        <f>+K0kommunestruktur2021altern!G260</f>
        <v>381</v>
      </c>
      <c r="H260" s="289">
        <f>+K0kommunestruktur2021altern!H260</f>
        <v>24758</v>
      </c>
      <c r="I260" s="289">
        <f>+K0kommunestruktur2021altern!I260</f>
        <v>383</v>
      </c>
      <c r="J260" s="289">
        <f>+K0kommunestruktur2021altern!J260</f>
        <v>23712</v>
      </c>
      <c r="K260" s="289">
        <f>+K0kommunestruktur2021altern!K260</f>
        <v>380</v>
      </c>
      <c r="L260" s="289">
        <f>+K0kommunestruktur2021altern!L260</f>
        <v>24427</v>
      </c>
      <c r="M260" s="289">
        <f>+K0kommunestruktur2021altern!M260</f>
        <v>380</v>
      </c>
      <c r="N260" s="289">
        <f>+K0kommunestruktur2021altern!N260</f>
        <v>27481</v>
      </c>
      <c r="O260" s="289">
        <f>+K0kommunestruktur2021altern!O260</f>
        <v>388</v>
      </c>
      <c r="P260" s="289">
        <f>+K0kommunestruktur2021altern!P260</f>
        <v>27348</v>
      </c>
      <c r="Q260" s="289">
        <f>+K0kommunestruktur2021altern!Q260</f>
        <v>376</v>
      </c>
      <c r="R260" s="289">
        <f>+K0kommunestruktur2021altern!R260</f>
        <v>29904.151000000002</v>
      </c>
      <c r="S260" s="289">
        <f>VLOOKUP(A260,'K22'!A260:CU615,3)</f>
        <v>378</v>
      </c>
      <c r="T260" s="289">
        <f>VLOOKUP(A260,'K22'!$A$4:$BV$359,26)</f>
        <v>33889.223069822481</v>
      </c>
      <c r="U260" s="289">
        <f>VLOOKUP(A260,'Bef.fremskr. kommunenivå MMMM'!$A$5:$K$360,8)</f>
        <v>375</v>
      </c>
      <c r="V260" s="289">
        <f>VLOOKUP(A260,'K23'!$A$4:$BV$359,26)</f>
        <v>29300.449755860089</v>
      </c>
    </row>
    <row r="261" spans="1:22" ht="13">
      <c r="A261" s="755">
        <v>4630</v>
      </c>
      <c r="B261" s="756" t="s">
        <v>47</v>
      </c>
      <c r="C261" s="289">
        <f>+K0kommunestruktur2021altern!C261</f>
        <v>7786</v>
      </c>
      <c r="D261" s="289">
        <f>+K0kommunestruktur2021altern!D261</f>
        <v>159398</v>
      </c>
      <c r="E261" s="289">
        <f>+K0kommunestruktur2021altern!E261</f>
        <v>7842</v>
      </c>
      <c r="F261" s="289">
        <f>+K0kommunestruktur2021altern!F261</f>
        <v>166774</v>
      </c>
      <c r="G261" s="289">
        <f>+K0kommunestruktur2021altern!G261</f>
        <v>7957</v>
      </c>
      <c r="H261" s="289">
        <f>+K0kommunestruktur2021altern!H261</f>
        <v>179015</v>
      </c>
      <c r="I261" s="289">
        <f>+K0kommunestruktur2021altern!I261</f>
        <v>8026</v>
      </c>
      <c r="J261" s="289">
        <f>+K0kommunestruktur2021altern!J261</f>
        <v>190980</v>
      </c>
      <c r="K261" s="289">
        <f>+K0kommunestruktur2021altern!K261</f>
        <v>8125</v>
      </c>
      <c r="L261" s="289">
        <f>+K0kommunestruktur2021altern!L261</f>
        <v>194818</v>
      </c>
      <c r="M261" s="289">
        <f>+K0kommunestruktur2021altern!M261</f>
        <v>8120</v>
      </c>
      <c r="N261" s="289">
        <f>+K0kommunestruktur2021altern!N261</f>
        <v>204329</v>
      </c>
      <c r="O261" s="289">
        <f>+K0kommunestruktur2021altern!O261</f>
        <v>8098</v>
      </c>
      <c r="P261" s="289">
        <f>+K0kommunestruktur2021altern!P261</f>
        <v>202713</v>
      </c>
      <c r="Q261" s="289">
        <f>+K0kommunestruktur2021altern!Q261</f>
        <v>8080</v>
      </c>
      <c r="R261" s="289">
        <f>+K0kommunestruktur2021altern!R261</f>
        <v>228696.345</v>
      </c>
      <c r="S261" s="289">
        <f>VLOOKUP(A261,'K22'!A261:CU616,3)</f>
        <v>8131</v>
      </c>
      <c r="T261" s="289">
        <f>VLOOKUP(A261,'K22'!$A$4:$BV$359,26)</f>
        <v>257468.07980354808</v>
      </c>
      <c r="U261" s="289">
        <f>VLOOKUP(A261,'Bef.fremskr. kommunenivå MMMM'!$A$5:$K$360,8)</f>
        <v>8126</v>
      </c>
      <c r="V261" s="289">
        <f>VLOOKUP(A261,'K23'!$A$4:$BV$359,26)</f>
        <v>234651.33201789547</v>
      </c>
    </row>
    <row r="262" spans="1:22" ht="13">
      <c r="A262" s="755">
        <v>4631</v>
      </c>
      <c r="B262" s="756" t="s">
        <v>1636</v>
      </c>
      <c r="C262" s="289">
        <f>+K0kommunestruktur2021altern!C262</f>
        <v>27652</v>
      </c>
      <c r="D262" s="289">
        <f>+K0kommunestruktur2021altern!D262</f>
        <v>642806</v>
      </c>
      <c r="E262" s="289">
        <f>+K0kommunestruktur2021altern!E262</f>
        <v>28152</v>
      </c>
      <c r="F262" s="289">
        <f>+K0kommunestruktur2021altern!F262</f>
        <v>659754</v>
      </c>
      <c r="G262" s="289">
        <f>+K0kommunestruktur2021altern!G262</f>
        <v>28496</v>
      </c>
      <c r="H262" s="289">
        <f>+K0kommunestruktur2021altern!H262</f>
        <v>698232</v>
      </c>
      <c r="I262" s="289">
        <f>+K0kommunestruktur2021altern!I262</f>
        <v>28880</v>
      </c>
      <c r="J262" s="289">
        <f>+K0kommunestruktur2021altern!J262</f>
        <v>709290</v>
      </c>
      <c r="K262" s="289">
        <f>+K0kommunestruktur2021altern!K262</f>
        <v>28997</v>
      </c>
      <c r="L262" s="289">
        <f>+K0kommunestruktur2021altern!L262</f>
        <v>743913</v>
      </c>
      <c r="M262" s="289">
        <f>+K0kommunestruktur2021altern!M262</f>
        <v>29090</v>
      </c>
      <c r="N262" s="289">
        <f>+K0kommunestruktur2021altern!N262</f>
        <v>793379</v>
      </c>
      <c r="O262" s="289">
        <f>+K0kommunestruktur2021altern!O262</f>
        <v>29224</v>
      </c>
      <c r="P262" s="289">
        <f>+K0kommunestruktur2021altern!P262</f>
        <v>779977</v>
      </c>
      <c r="Q262" s="289">
        <f>+K0kommunestruktur2021altern!Q262</f>
        <v>29337</v>
      </c>
      <c r="R262" s="289">
        <f>+K0kommunestruktur2021altern!R262</f>
        <v>891135.897</v>
      </c>
      <c r="S262" s="289">
        <f>VLOOKUP(A262,'K22'!A262:CU617,3)</f>
        <v>29593</v>
      </c>
      <c r="T262" s="289">
        <f>VLOOKUP(A262,'K22'!$A$4:$BV$359,26)</f>
        <v>987396.18855133175</v>
      </c>
      <c r="U262" s="289">
        <f>VLOOKUP(A262,'Bef.fremskr. kommunenivå MMMM'!$A$5:$K$360,8)</f>
        <v>29727</v>
      </c>
      <c r="V262" s="289">
        <f>VLOOKUP(A262,'K23'!$A$4:$BV$359,26)</f>
        <v>922507.21509287588</v>
      </c>
    </row>
    <row r="263" spans="1:22" ht="13">
      <c r="A263" s="755">
        <v>4632</v>
      </c>
      <c r="B263" s="756" t="s">
        <v>55</v>
      </c>
      <c r="C263" s="289">
        <f>+K0kommunestruktur2021altern!C263</f>
        <v>2833</v>
      </c>
      <c r="D263" s="289">
        <f>+K0kommunestruktur2021altern!D263</f>
        <v>84590</v>
      </c>
      <c r="E263" s="289">
        <f>+K0kommunestruktur2021altern!E263</f>
        <v>2856</v>
      </c>
      <c r="F263" s="289">
        <f>+K0kommunestruktur2021altern!F263</f>
        <v>82871</v>
      </c>
      <c r="G263" s="289">
        <f>+K0kommunestruktur2021altern!G263</f>
        <v>2858</v>
      </c>
      <c r="H263" s="289">
        <f>+K0kommunestruktur2021altern!H263</f>
        <v>88559</v>
      </c>
      <c r="I263" s="289">
        <f>+K0kommunestruktur2021altern!I263</f>
        <v>2884</v>
      </c>
      <c r="J263" s="289">
        <f>+K0kommunestruktur2021altern!J263</f>
        <v>85690</v>
      </c>
      <c r="K263" s="289">
        <f>+K0kommunestruktur2021altern!K263</f>
        <v>2902</v>
      </c>
      <c r="L263" s="289">
        <f>+K0kommunestruktur2021altern!L263</f>
        <v>87553</v>
      </c>
      <c r="M263" s="289">
        <f>+K0kommunestruktur2021altern!M263</f>
        <v>2887</v>
      </c>
      <c r="N263" s="289">
        <f>+K0kommunestruktur2021altern!N263</f>
        <v>95029</v>
      </c>
      <c r="O263" s="289">
        <f>+K0kommunestruktur2021altern!O263</f>
        <v>2870</v>
      </c>
      <c r="P263" s="289">
        <f>+K0kommunestruktur2021altern!P263</f>
        <v>96979</v>
      </c>
      <c r="Q263" s="289">
        <f>+K0kommunestruktur2021altern!Q263</f>
        <v>2860</v>
      </c>
      <c r="R263" s="289">
        <f>+K0kommunestruktur2021altern!R263</f>
        <v>108953.39200000001</v>
      </c>
      <c r="S263" s="289">
        <f>VLOOKUP(A263,'K22'!A263:CU618,3)</f>
        <v>2889</v>
      </c>
      <c r="T263" s="289">
        <f>VLOOKUP(A263,'K22'!$A$4:$BV$359,26)</f>
        <v>118971.03721028806</v>
      </c>
      <c r="U263" s="289">
        <f>VLOOKUP(A263,'Bef.fremskr. kommunenivå MMMM'!$A$5:$K$360,8)</f>
        <v>2937</v>
      </c>
      <c r="V263" s="289">
        <f>VLOOKUP(A263,'K23'!$A$4:$BV$359,26)</f>
        <v>113220.73564844146</v>
      </c>
    </row>
    <row r="264" spans="1:22" ht="13">
      <c r="A264" s="755">
        <v>4633</v>
      </c>
      <c r="B264" s="756" t="s">
        <v>56</v>
      </c>
      <c r="C264" s="289">
        <f>+K0kommunestruktur2021altern!C264</f>
        <v>561</v>
      </c>
      <c r="D264" s="289">
        <f>+K0kommunestruktur2021altern!D264</f>
        <v>12698</v>
      </c>
      <c r="E264" s="289">
        <f>+K0kommunestruktur2021altern!E264</f>
        <v>563</v>
      </c>
      <c r="F264" s="289">
        <f>+K0kommunestruktur2021altern!F264</f>
        <v>12935</v>
      </c>
      <c r="G264" s="289">
        <f>+K0kommunestruktur2021altern!G264</f>
        <v>576</v>
      </c>
      <c r="H264" s="289">
        <f>+K0kommunestruktur2021altern!H264</f>
        <v>13743</v>
      </c>
      <c r="I264" s="289">
        <f>+K0kommunestruktur2021altern!I264</f>
        <v>587</v>
      </c>
      <c r="J264" s="289">
        <f>+K0kommunestruktur2021altern!J264</f>
        <v>13627</v>
      </c>
      <c r="K264" s="289">
        <f>+K0kommunestruktur2021altern!K264</f>
        <v>561</v>
      </c>
      <c r="L264" s="289">
        <f>+K0kommunestruktur2021altern!L264</f>
        <v>14691</v>
      </c>
      <c r="M264" s="289">
        <f>+K0kommunestruktur2021altern!M264</f>
        <v>562</v>
      </c>
      <c r="N264" s="289">
        <f>+K0kommunestruktur2021altern!N264</f>
        <v>14851</v>
      </c>
      <c r="O264" s="289">
        <f>+K0kommunestruktur2021altern!O264</f>
        <v>548</v>
      </c>
      <c r="P264" s="289">
        <f>+K0kommunestruktur2021altern!P264</f>
        <v>15842</v>
      </c>
      <c r="Q264" s="289">
        <f>+K0kommunestruktur2021altern!Q264</f>
        <v>525</v>
      </c>
      <c r="R264" s="289">
        <f>+K0kommunestruktur2021altern!R264</f>
        <v>16472.117999999999</v>
      </c>
      <c r="S264" s="289">
        <f>VLOOKUP(A264,'K22'!A264:CU619,3)</f>
        <v>502</v>
      </c>
      <c r="T264" s="289">
        <f>VLOOKUP(A264,'K22'!$A$4:$BV$359,26)</f>
        <v>17703.971661063955</v>
      </c>
      <c r="U264" s="289">
        <f>VLOOKUP(A264,'Bef.fremskr. kommunenivå MMMM'!$A$5:$K$360,8)</f>
        <v>495</v>
      </c>
      <c r="V264" s="289">
        <f>VLOOKUP(A264,'K23'!$A$4:$BV$359,26)</f>
        <v>15793.794500131049</v>
      </c>
    </row>
    <row r="265" spans="1:22" ht="13">
      <c r="A265" s="755">
        <v>4634</v>
      </c>
      <c r="B265" s="756" t="s">
        <v>57</v>
      </c>
      <c r="C265" s="289">
        <f>+K0kommunestruktur2021altern!C265</f>
        <v>1693</v>
      </c>
      <c r="D265" s="289">
        <f>+K0kommunestruktur2021altern!D265</f>
        <v>50840</v>
      </c>
      <c r="E265" s="289">
        <f>+K0kommunestruktur2021altern!E265</f>
        <v>1704</v>
      </c>
      <c r="F265" s="289">
        <f>+K0kommunestruktur2021altern!F265</f>
        <v>51991</v>
      </c>
      <c r="G265" s="289">
        <f>+K0kommunestruktur2021altern!G265</f>
        <v>1701</v>
      </c>
      <c r="H265" s="289">
        <f>+K0kommunestruktur2021altern!H265</f>
        <v>54093</v>
      </c>
      <c r="I265" s="289">
        <f>+K0kommunestruktur2021altern!I265</f>
        <v>1710</v>
      </c>
      <c r="J265" s="289">
        <f>+K0kommunestruktur2021altern!J265</f>
        <v>54844</v>
      </c>
      <c r="K265" s="289">
        <f>+K0kommunestruktur2021altern!K265</f>
        <v>1730</v>
      </c>
      <c r="L265" s="289">
        <f>+K0kommunestruktur2021altern!L265</f>
        <v>55228</v>
      </c>
      <c r="M265" s="289">
        <f>+K0kommunestruktur2021altern!M265</f>
        <v>1711</v>
      </c>
      <c r="N265" s="289">
        <f>+K0kommunestruktur2021altern!N265</f>
        <v>58980</v>
      </c>
      <c r="O265" s="289">
        <f>+K0kommunestruktur2021altern!O265</f>
        <v>1691</v>
      </c>
      <c r="P265" s="289">
        <f>+K0kommunestruktur2021altern!P265</f>
        <v>57444</v>
      </c>
      <c r="Q265" s="289">
        <f>+K0kommunestruktur2021altern!Q265</f>
        <v>1660</v>
      </c>
      <c r="R265" s="289">
        <f>+K0kommunestruktur2021altern!R265</f>
        <v>63301.815999999999</v>
      </c>
      <c r="S265" s="289">
        <f>VLOOKUP(A265,'K22'!A265:CU620,3)</f>
        <v>1629</v>
      </c>
      <c r="T265" s="289">
        <f>VLOOKUP(A265,'K22'!$A$4:$BV$359,26)</f>
        <v>69238.320351759467</v>
      </c>
      <c r="U265" s="289">
        <f>VLOOKUP(A265,'Bef.fremskr. kommunenivå MMMM'!$A$5:$K$360,8)</f>
        <v>1617</v>
      </c>
      <c r="V265" s="289">
        <f>VLOOKUP(A265,'K23'!$A$4:$BV$359,26)</f>
        <v>62715.805503666117</v>
      </c>
    </row>
    <row r="266" spans="1:22" ht="13">
      <c r="A266" s="755">
        <v>4635</v>
      </c>
      <c r="B266" s="756" t="s">
        <v>59</v>
      </c>
      <c r="C266" s="289">
        <f>+K0kommunestruktur2021altern!C266</f>
        <v>2315</v>
      </c>
      <c r="D266" s="289">
        <f>+K0kommunestruktur2021altern!D266</f>
        <v>61093</v>
      </c>
      <c r="E266" s="289">
        <f>+K0kommunestruktur2021altern!E266</f>
        <v>2335</v>
      </c>
      <c r="F266" s="289">
        <f>+K0kommunestruktur2021altern!F266</f>
        <v>62353</v>
      </c>
      <c r="G266" s="289">
        <f>+K0kommunestruktur2021altern!G266</f>
        <v>2370</v>
      </c>
      <c r="H266" s="289">
        <f>+K0kommunestruktur2021altern!H266</f>
        <v>71148</v>
      </c>
      <c r="I266" s="289">
        <f>+K0kommunestruktur2021altern!I266</f>
        <v>2371</v>
      </c>
      <c r="J266" s="289">
        <f>+K0kommunestruktur2021altern!J266</f>
        <v>70894</v>
      </c>
      <c r="K266" s="289">
        <f>+K0kommunestruktur2021altern!K266</f>
        <v>2345</v>
      </c>
      <c r="L266" s="289">
        <f>+K0kommunestruktur2021altern!L266</f>
        <v>66356</v>
      </c>
      <c r="M266" s="289">
        <f>+K0kommunestruktur2021altern!M266</f>
        <v>2322</v>
      </c>
      <c r="N266" s="289">
        <f>+K0kommunestruktur2021altern!N266</f>
        <v>75568</v>
      </c>
      <c r="O266" s="289">
        <f>+K0kommunestruktur2021altern!O266</f>
        <v>2297</v>
      </c>
      <c r="P266" s="289">
        <f>+K0kommunestruktur2021altern!P266</f>
        <v>81292</v>
      </c>
      <c r="Q266" s="289">
        <f>+K0kommunestruktur2021altern!Q266</f>
        <v>2272</v>
      </c>
      <c r="R266" s="289">
        <f>+K0kommunestruktur2021altern!R266</f>
        <v>87972.930999999997</v>
      </c>
      <c r="S266" s="289">
        <f>VLOOKUP(A266,'K22'!A266:CU621,3)</f>
        <v>2230</v>
      </c>
      <c r="T266" s="289">
        <f>VLOOKUP(A266,'K22'!$A$4:$BV$359,26)</f>
        <v>95410.232089757352</v>
      </c>
      <c r="U266" s="289">
        <f>VLOOKUP(A266,'Bef.fremskr. kommunenivå MMMM'!$A$5:$K$360,8)</f>
        <v>2235</v>
      </c>
      <c r="V266" s="289">
        <f>VLOOKUP(A266,'K23'!$A$4:$BV$359,26)</f>
        <v>87682.848526276895</v>
      </c>
    </row>
    <row r="267" spans="1:22" ht="13">
      <c r="A267" s="755">
        <v>4636</v>
      </c>
      <c r="B267" s="756" t="s">
        <v>60</v>
      </c>
      <c r="C267" s="289">
        <f>+K0kommunestruktur2021altern!C267</f>
        <v>815</v>
      </c>
      <c r="D267" s="289">
        <f>+K0kommunestruktur2021altern!D267</f>
        <v>18381</v>
      </c>
      <c r="E267" s="289">
        <f>+K0kommunestruktur2021altern!E267</f>
        <v>800</v>
      </c>
      <c r="F267" s="289">
        <f>+K0kommunestruktur2021altern!F267</f>
        <v>19212</v>
      </c>
      <c r="G267" s="289">
        <f>+K0kommunestruktur2021altern!G267</f>
        <v>785</v>
      </c>
      <c r="H267" s="289">
        <f>+K0kommunestruktur2021altern!H267</f>
        <v>20256</v>
      </c>
      <c r="I267" s="289">
        <f>+K0kommunestruktur2021altern!I267</f>
        <v>794</v>
      </c>
      <c r="J267" s="289">
        <f>+K0kommunestruktur2021altern!J267</f>
        <v>21810</v>
      </c>
      <c r="K267" s="289">
        <f>+K0kommunestruktur2021altern!K267</f>
        <v>807</v>
      </c>
      <c r="L267" s="289">
        <f>+K0kommunestruktur2021altern!L267</f>
        <v>22900</v>
      </c>
      <c r="M267" s="289">
        <f>+K0kommunestruktur2021altern!M267</f>
        <v>820</v>
      </c>
      <c r="N267" s="289">
        <f>+K0kommunestruktur2021altern!N267</f>
        <v>24412</v>
      </c>
      <c r="O267" s="289">
        <f>+K0kommunestruktur2021altern!O267</f>
        <v>802</v>
      </c>
      <c r="P267" s="289">
        <f>+K0kommunestruktur2021altern!P267</f>
        <v>24421</v>
      </c>
      <c r="Q267" s="289">
        <f>+K0kommunestruktur2021altern!Q267</f>
        <v>786</v>
      </c>
      <c r="R267" s="289">
        <f>+K0kommunestruktur2021altern!R267</f>
        <v>25116.300999999999</v>
      </c>
      <c r="S267" s="289">
        <f>VLOOKUP(A267,'K22'!A267:CU622,3)</f>
        <v>768</v>
      </c>
      <c r="T267" s="289">
        <f>VLOOKUP(A267,'K22'!$A$4:$BV$359,26)</f>
        <v>27934.080142665345</v>
      </c>
      <c r="U267" s="289">
        <f>VLOOKUP(A267,'Bef.fremskr. kommunenivå MMMM'!$A$5:$K$360,8)</f>
        <v>771</v>
      </c>
      <c r="V267" s="289">
        <f>VLOOKUP(A267,'K23'!$A$4:$BV$359,26)</f>
        <v>26200.148367040289</v>
      </c>
    </row>
    <row r="268" spans="1:22" ht="13">
      <c r="A268" s="755">
        <v>4637</v>
      </c>
      <c r="B268" s="756" t="s">
        <v>61</v>
      </c>
      <c r="C268" s="289">
        <f>+K0kommunestruktur2021altern!C268</f>
        <v>1391</v>
      </c>
      <c r="D268" s="289">
        <f>+K0kommunestruktur2021altern!D268</f>
        <v>34485</v>
      </c>
      <c r="E268" s="289">
        <f>+K0kommunestruktur2021altern!E268</f>
        <v>1405</v>
      </c>
      <c r="F268" s="289">
        <f>+K0kommunestruktur2021altern!F268</f>
        <v>36501</v>
      </c>
      <c r="G268" s="289">
        <f>+K0kommunestruktur2021altern!G268</f>
        <v>1395</v>
      </c>
      <c r="H268" s="289">
        <f>+K0kommunestruktur2021altern!H268</f>
        <v>35334</v>
      </c>
      <c r="I268" s="289">
        <f>+K0kommunestruktur2021altern!I268</f>
        <v>1438</v>
      </c>
      <c r="J268" s="289">
        <f>+K0kommunestruktur2021altern!J268</f>
        <v>34994</v>
      </c>
      <c r="K268" s="289">
        <f>+K0kommunestruktur2021altern!K268</f>
        <v>1378</v>
      </c>
      <c r="L268" s="289">
        <f>+K0kommunestruktur2021altern!L268</f>
        <v>35150</v>
      </c>
      <c r="M268" s="289">
        <f>+K0kommunestruktur2021altern!M268</f>
        <v>1366</v>
      </c>
      <c r="N268" s="289">
        <f>+K0kommunestruktur2021altern!N268</f>
        <v>38793</v>
      </c>
      <c r="O268" s="289">
        <f>+K0kommunestruktur2021altern!O268</f>
        <v>1328</v>
      </c>
      <c r="P268" s="289">
        <f>+K0kommunestruktur2021altern!P268</f>
        <v>42033</v>
      </c>
      <c r="Q268" s="289">
        <f>+K0kommunestruktur2021altern!Q268</f>
        <v>1294</v>
      </c>
      <c r="R268" s="289">
        <f>+K0kommunestruktur2021altern!R268</f>
        <v>47525.957000000002</v>
      </c>
      <c r="S268" s="289">
        <f>VLOOKUP(A268,'K22'!A268:CU623,3)</f>
        <v>1290</v>
      </c>
      <c r="T268" s="289">
        <f>VLOOKUP(A268,'K22'!$A$4:$BV$359,26)</f>
        <v>48483.556791151328</v>
      </c>
      <c r="U268" s="289">
        <f>VLOOKUP(A268,'Bef.fremskr. kommunenivå MMMM'!$A$5:$K$360,8)</f>
        <v>1287</v>
      </c>
      <c r="V268" s="289">
        <f>VLOOKUP(A268,'K23'!$A$4:$BV$359,26)</f>
        <v>45695.655279597537</v>
      </c>
    </row>
    <row r="269" spans="1:22" ht="13">
      <c r="A269" s="755">
        <v>4638</v>
      </c>
      <c r="B269" s="756" t="s">
        <v>62</v>
      </c>
      <c r="C269" s="289">
        <f>+K0kommunestruktur2021altern!C269</f>
        <v>4281.026583268178</v>
      </c>
      <c r="D269" s="289">
        <f>+K0kommunestruktur2021altern!D269</f>
        <v>104122.27148084441</v>
      </c>
      <c r="E269" s="289">
        <f>+K0kommunestruktur2021altern!E269</f>
        <v>4266.8764659890539</v>
      </c>
      <c r="F269" s="289">
        <f>+K0kommunestruktur2021altern!F269</f>
        <v>108516.6669022674</v>
      </c>
      <c r="G269" s="289">
        <f>+K0kommunestruktur2021altern!G269</f>
        <v>4258.1258795934327</v>
      </c>
      <c r="H269" s="289">
        <f>+K0kommunestruktur2021altern!H269</f>
        <v>112215.6669022674</v>
      </c>
      <c r="I269" s="289">
        <f>+K0kommunestruktur2021altern!I269</f>
        <v>4286.6755277560596</v>
      </c>
      <c r="J269" s="289">
        <f>+K0kommunestruktur2021altern!J269</f>
        <v>115612.57244096951</v>
      </c>
      <c r="K269" s="289">
        <f>+K0kommunestruktur2021altern!K269</f>
        <v>4248.7240031274432</v>
      </c>
      <c r="L269" s="289">
        <f>+K0kommunestruktur2021altern!L269</f>
        <v>125479.10555121189</v>
      </c>
      <c r="M269" s="289">
        <f>+K0kommunestruktur2021altern!M269</f>
        <v>4187</v>
      </c>
      <c r="N269" s="289">
        <f>+K0kommunestruktur2021altern!N269</f>
        <v>130273.26505082095</v>
      </c>
      <c r="O269" s="289">
        <f>+K0kommunestruktur2021altern!O269</f>
        <v>4101</v>
      </c>
      <c r="P269" s="289">
        <f>+K0kommunestruktur2021altern!P269</f>
        <v>122174</v>
      </c>
      <c r="Q269" s="289">
        <f>+K0kommunestruktur2021altern!Q269</f>
        <v>4049</v>
      </c>
      <c r="R269" s="289">
        <f>+K0kommunestruktur2021altern!R269</f>
        <v>141038.106</v>
      </c>
      <c r="S269" s="289">
        <f>VLOOKUP(A269,'K22'!A269:CU624,3)</f>
        <v>3965</v>
      </c>
      <c r="T269" s="289">
        <f>VLOOKUP(A269,'K22'!$A$4:$BV$359,26)</f>
        <v>146721.3762587588</v>
      </c>
      <c r="U269" s="289">
        <f>VLOOKUP(A269,'Bef.fremskr. kommunenivå MMMM'!$A$5:$K$360,8)</f>
        <v>3912</v>
      </c>
      <c r="V269" s="289">
        <f>VLOOKUP(A269,'K23'!$A$4:$BV$359,26)</f>
        <v>136906.66884795314</v>
      </c>
    </row>
    <row r="270" spans="1:22" ht="13">
      <c r="A270" s="755">
        <v>4639</v>
      </c>
      <c r="B270" s="756" t="s">
        <v>63</v>
      </c>
      <c r="C270" s="289">
        <f>+K0kommunestruktur2021altern!C270</f>
        <v>2688</v>
      </c>
      <c r="D270" s="289">
        <f>+K0kommunestruktur2021altern!D270</f>
        <v>68380</v>
      </c>
      <c r="E270" s="289">
        <f>+K0kommunestruktur2021altern!E270</f>
        <v>2678</v>
      </c>
      <c r="F270" s="289">
        <f>+K0kommunestruktur2021altern!F270</f>
        <v>70685</v>
      </c>
      <c r="G270" s="289">
        <f>+K0kommunestruktur2021altern!G270</f>
        <v>2689</v>
      </c>
      <c r="H270" s="289">
        <f>+K0kommunestruktur2021altern!H270</f>
        <v>77092</v>
      </c>
      <c r="I270" s="289">
        <f>+K0kommunestruktur2021altern!I270</f>
        <v>2722</v>
      </c>
      <c r="J270" s="289">
        <f>+K0kommunestruktur2021altern!J270</f>
        <v>79098</v>
      </c>
      <c r="K270" s="289">
        <f>+K0kommunestruktur2021altern!K270</f>
        <v>2674</v>
      </c>
      <c r="L270" s="289">
        <f>+K0kommunestruktur2021altern!L270</f>
        <v>82426</v>
      </c>
      <c r="M270" s="289">
        <f>+K0kommunestruktur2021altern!M270</f>
        <v>2672</v>
      </c>
      <c r="N270" s="289">
        <f>+K0kommunestruktur2021altern!N270</f>
        <v>83347</v>
      </c>
      <c r="O270" s="289">
        <f>+K0kommunestruktur2021altern!O270</f>
        <v>2635</v>
      </c>
      <c r="P270" s="289">
        <f>+K0kommunestruktur2021altern!P270</f>
        <v>81521</v>
      </c>
      <c r="Q270" s="289">
        <f>+K0kommunestruktur2021altern!Q270</f>
        <v>2611</v>
      </c>
      <c r="R270" s="289">
        <f>+K0kommunestruktur2021altern!R270</f>
        <v>91550.577999999994</v>
      </c>
      <c r="S270" s="289">
        <f>VLOOKUP(A270,'K22'!A270:CU625,3)</f>
        <v>2560</v>
      </c>
      <c r="T270" s="289">
        <f>VLOOKUP(A270,'K22'!$A$4:$BV$359,26)</f>
        <v>98847.182377269492</v>
      </c>
      <c r="U270" s="289">
        <f>VLOOKUP(A270,'Bef.fremskr. kommunenivå MMMM'!$A$5:$K$360,8)</f>
        <v>2525</v>
      </c>
      <c r="V270" s="289">
        <f>VLOOKUP(A270,'K23'!$A$4:$BV$359,26)</f>
        <v>89633.448696577092</v>
      </c>
    </row>
    <row r="271" spans="1:22" ht="13">
      <c r="A271" s="755">
        <v>4640</v>
      </c>
      <c r="B271" s="756" t="s">
        <v>1637</v>
      </c>
      <c r="C271" s="289">
        <f>+K0kommunestruktur2021altern!C271</f>
        <v>11098.973416731822</v>
      </c>
      <c r="D271" s="289">
        <f>+K0kommunestruktur2021altern!D271</f>
        <v>245882.72851915559</v>
      </c>
      <c r="E271" s="289">
        <f>+K0kommunestruktur2021altern!E271</f>
        <v>11159.123534010945</v>
      </c>
      <c r="F271" s="289">
        <f>+K0kommunestruktur2021altern!F271</f>
        <v>256555.3330977326</v>
      </c>
      <c r="G271" s="289">
        <f>+K0kommunestruktur2021altern!G271</f>
        <v>11333.874120406568</v>
      </c>
      <c r="H271" s="289">
        <f>+K0kommunestruktur2021altern!H271</f>
        <v>288966.33309773263</v>
      </c>
      <c r="I271" s="289">
        <f>+K0kommunestruktur2021altern!I271</f>
        <v>11464.324472243941</v>
      </c>
      <c r="J271" s="289">
        <f>+K0kommunestruktur2021altern!J271</f>
        <v>301778.42755903048</v>
      </c>
      <c r="K271" s="289">
        <f>+K0kommunestruktur2021altern!K271</f>
        <v>11571.275996872557</v>
      </c>
      <c r="L271" s="289">
        <f>+K0kommunestruktur2021altern!L271</f>
        <v>322322.89444878814</v>
      </c>
      <c r="M271" s="289">
        <f>+K0kommunestruktur2021altern!M271</f>
        <v>11705</v>
      </c>
      <c r="N271" s="289">
        <f>+K0kommunestruktur2021altern!N271</f>
        <v>322828.73494917905</v>
      </c>
      <c r="O271" s="289">
        <f>+K0kommunestruktur2021altern!O271</f>
        <v>11847</v>
      </c>
      <c r="P271" s="289">
        <f>+K0kommunestruktur2021altern!P271</f>
        <v>324061</v>
      </c>
      <c r="Q271" s="289">
        <f>+K0kommunestruktur2021altern!Q271</f>
        <v>11938</v>
      </c>
      <c r="R271" s="289">
        <f>+K0kommunestruktur2021altern!R271</f>
        <v>364326.19099999999</v>
      </c>
      <c r="S271" s="289">
        <f>VLOOKUP(A271,'K22'!A271:CU626,3)</f>
        <v>12097</v>
      </c>
      <c r="T271" s="289">
        <f>VLOOKUP(A271,'K22'!$A$4:$BV$359,26)</f>
        <v>410126.32002038363</v>
      </c>
      <c r="U271" s="289">
        <f>VLOOKUP(A271,'Bef.fremskr. kommunenivå MMMM'!$A$5:$K$360,8)</f>
        <v>12301</v>
      </c>
      <c r="V271" s="289">
        <f>VLOOKUP(A271,'K23'!$A$4:$BV$359,26)</f>
        <v>386057.18062809051</v>
      </c>
    </row>
    <row r="272" spans="1:22" ht="13">
      <c r="A272" s="755">
        <v>4641</v>
      </c>
      <c r="B272" s="756" t="s">
        <v>67</v>
      </c>
      <c r="C272" s="289">
        <f>+K0kommunestruktur2021altern!C272</f>
        <v>1715</v>
      </c>
      <c r="D272" s="289">
        <f>+K0kommunestruktur2021altern!D272</f>
        <v>71151</v>
      </c>
      <c r="E272" s="289">
        <f>+K0kommunestruktur2021altern!E272</f>
        <v>1738</v>
      </c>
      <c r="F272" s="289">
        <f>+K0kommunestruktur2021altern!F272</f>
        <v>72994</v>
      </c>
      <c r="G272" s="289">
        <f>+K0kommunestruktur2021altern!G272</f>
        <v>1764</v>
      </c>
      <c r="H272" s="289">
        <f>+K0kommunestruktur2021altern!H272</f>
        <v>77215</v>
      </c>
      <c r="I272" s="289">
        <f>+K0kommunestruktur2021altern!I272</f>
        <v>1787</v>
      </c>
      <c r="J272" s="289">
        <f>+K0kommunestruktur2021altern!J272</f>
        <v>81924</v>
      </c>
      <c r="K272" s="289">
        <f>+K0kommunestruktur2021altern!K272</f>
        <v>1778</v>
      </c>
      <c r="L272" s="289">
        <f>+K0kommunestruktur2021altern!L272</f>
        <v>85477</v>
      </c>
      <c r="M272" s="289">
        <f>+K0kommunestruktur2021altern!M272</f>
        <v>1764</v>
      </c>
      <c r="N272" s="289">
        <f>+K0kommunestruktur2021altern!N272</f>
        <v>85938</v>
      </c>
      <c r="O272" s="289">
        <f>+K0kommunestruktur2021altern!O272</f>
        <v>1781</v>
      </c>
      <c r="P272" s="289">
        <f>+K0kommunestruktur2021altern!P272</f>
        <v>82877</v>
      </c>
      <c r="Q272" s="289">
        <f>+K0kommunestruktur2021altern!Q272</f>
        <v>1777</v>
      </c>
      <c r="R272" s="289">
        <f>+K0kommunestruktur2021altern!R272</f>
        <v>87823.733999999997</v>
      </c>
      <c r="S272" s="289">
        <f>VLOOKUP(A272,'K22'!A272:CU627,3)</f>
        <v>1766</v>
      </c>
      <c r="T272" s="289">
        <f>VLOOKUP(A272,'K22'!$A$4:$BV$359,26)</f>
        <v>95862.700645336125</v>
      </c>
      <c r="U272" s="289">
        <f>VLOOKUP(A272,'Bef.fremskr. kommunenivå MMMM'!$A$5:$K$360,8)</f>
        <v>1777</v>
      </c>
      <c r="V272" s="289">
        <f>VLOOKUP(A272,'K23'!$A$4:$BV$359,26)</f>
        <v>91333.896629162758</v>
      </c>
    </row>
    <row r="273" spans="1:22" ht="13">
      <c r="A273" s="755">
        <v>4642</v>
      </c>
      <c r="B273" s="756" t="s">
        <v>68</v>
      </c>
      <c r="C273" s="289">
        <f>+K0kommunestruktur2021altern!C273</f>
        <v>2174</v>
      </c>
      <c r="D273" s="289">
        <f>+K0kommunestruktur2021altern!D273</f>
        <v>64615</v>
      </c>
      <c r="E273" s="289">
        <f>+K0kommunestruktur2021altern!E273</f>
        <v>2146</v>
      </c>
      <c r="F273" s="289">
        <f>+K0kommunestruktur2021altern!F273</f>
        <v>65981</v>
      </c>
      <c r="G273" s="289">
        <f>+K0kommunestruktur2021altern!G273</f>
        <v>2172</v>
      </c>
      <c r="H273" s="289">
        <f>+K0kommunestruktur2021altern!H273</f>
        <v>68720</v>
      </c>
      <c r="I273" s="289">
        <f>+K0kommunestruktur2021altern!I273</f>
        <v>2159</v>
      </c>
      <c r="J273" s="289">
        <f>+K0kommunestruktur2021altern!J273</f>
        <v>68552</v>
      </c>
      <c r="K273" s="289">
        <f>+K0kommunestruktur2021altern!K273</f>
        <v>2153</v>
      </c>
      <c r="L273" s="289">
        <f>+K0kommunestruktur2021altern!L273</f>
        <v>75278</v>
      </c>
      <c r="M273" s="289">
        <f>+K0kommunestruktur2021altern!M273</f>
        <v>2151</v>
      </c>
      <c r="N273" s="289">
        <f>+K0kommunestruktur2021altern!N273</f>
        <v>75203</v>
      </c>
      <c r="O273" s="289">
        <f>+K0kommunestruktur2021altern!O273</f>
        <v>2126</v>
      </c>
      <c r="P273" s="289">
        <f>+K0kommunestruktur2021altern!P273</f>
        <v>71408</v>
      </c>
      <c r="Q273" s="289">
        <f>+K0kommunestruktur2021altern!Q273</f>
        <v>2129</v>
      </c>
      <c r="R273" s="289">
        <f>+K0kommunestruktur2021altern!R273</f>
        <v>81046.403000000006</v>
      </c>
      <c r="S273" s="289">
        <f>VLOOKUP(A273,'K22'!A273:CU628,3)</f>
        <v>2117</v>
      </c>
      <c r="T273" s="289">
        <f>VLOOKUP(A273,'K22'!$A$4:$BV$359,26)</f>
        <v>87084.306414405903</v>
      </c>
      <c r="U273" s="289">
        <f>VLOOKUP(A273,'Bef.fremskr. kommunenivå MMMM'!$A$5:$K$360,8)</f>
        <v>2113</v>
      </c>
      <c r="V273" s="289">
        <f>VLOOKUP(A273,'K23'!$A$4:$BV$359,26)</f>
        <v>81606.718431921574</v>
      </c>
    </row>
    <row r="274" spans="1:22" ht="13">
      <c r="A274" s="755">
        <v>4643</v>
      </c>
      <c r="B274" s="756" t="s">
        <v>69</v>
      </c>
      <c r="C274" s="289">
        <f>+K0kommunestruktur2021altern!C274</f>
        <v>5496</v>
      </c>
      <c r="D274" s="289">
        <f>+K0kommunestruktur2021altern!D274</f>
        <v>145736</v>
      </c>
      <c r="E274" s="289">
        <f>+K0kommunestruktur2021altern!E274</f>
        <v>5429</v>
      </c>
      <c r="F274" s="289">
        <f>+K0kommunestruktur2021altern!F274</f>
        <v>151282</v>
      </c>
      <c r="G274" s="289">
        <f>+K0kommunestruktur2021altern!G274</f>
        <v>5359</v>
      </c>
      <c r="H274" s="289">
        <f>+K0kommunestruktur2021altern!H274</f>
        <v>163473</v>
      </c>
      <c r="I274" s="289">
        <f>+K0kommunestruktur2021altern!I274</f>
        <v>5363</v>
      </c>
      <c r="J274" s="289">
        <f>+K0kommunestruktur2021altern!J274</f>
        <v>168987</v>
      </c>
      <c r="K274" s="289">
        <f>+K0kommunestruktur2021altern!K274</f>
        <v>5277</v>
      </c>
      <c r="L274" s="289">
        <f>+K0kommunestruktur2021altern!L274</f>
        <v>176906</v>
      </c>
      <c r="M274" s="289">
        <f>+K0kommunestruktur2021altern!M274</f>
        <v>5245</v>
      </c>
      <c r="N274" s="289">
        <f>+K0kommunestruktur2021altern!N274</f>
        <v>182474</v>
      </c>
      <c r="O274" s="289">
        <f>+K0kommunestruktur2021altern!O274</f>
        <v>5193</v>
      </c>
      <c r="P274" s="289">
        <f>+K0kommunestruktur2021altern!P274</f>
        <v>176766</v>
      </c>
      <c r="Q274" s="289">
        <f>+K0kommunestruktur2021altern!Q274</f>
        <v>5170</v>
      </c>
      <c r="R274" s="289">
        <f>+K0kommunestruktur2021altern!R274</f>
        <v>200074.785</v>
      </c>
      <c r="S274" s="289">
        <f>VLOOKUP(A274,'K22'!A274:CU629,3)</f>
        <v>5204</v>
      </c>
      <c r="T274" s="289">
        <f>VLOOKUP(A274,'K22'!$A$4:$BV$359,26)</f>
        <v>214608.44894638861</v>
      </c>
      <c r="U274" s="289">
        <f>VLOOKUP(A274,'Bef.fremskr. kommunenivå MMMM'!$A$5:$K$360,8)</f>
        <v>5169</v>
      </c>
      <c r="V274" s="289">
        <f>VLOOKUP(A274,'K23'!$A$4:$BV$359,26)</f>
        <v>202345.82638075325</v>
      </c>
    </row>
    <row r="275" spans="1:22" ht="13">
      <c r="A275" s="755">
        <v>4644</v>
      </c>
      <c r="B275" s="756" t="s">
        <v>70</v>
      </c>
      <c r="C275" s="289">
        <f>+K0kommunestruktur2021altern!C275</f>
        <v>5089</v>
      </c>
      <c r="D275" s="289">
        <f>+K0kommunestruktur2021altern!D275</f>
        <v>136267</v>
      </c>
      <c r="E275" s="289">
        <f>+K0kommunestruktur2021altern!E275</f>
        <v>5118</v>
      </c>
      <c r="F275" s="289">
        <f>+K0kommunestruktur2021altern!F275</f>
        <v>137680</v>
      </c>
      <c r="G275" s="289">
        <f>+K0kommunestruktur2021altern!G275</f>
        <v>5093</v>
      </c>
      <c r="H275" s="289">
        <f>+K0kommunestruktur2021altern!H275</f>
        <v>149089</v>
      </c>
      <c r="I275" s="289">
        <f>+K0kommunestruktur2021altern!I275</f>
        <v>5151</v>
      </c>
      <c r="J275" s="289">
        <f>+K0kommunestruktur2021altern!J275</f>
        <v>154636</v>
      </c>
      <c r="K275" s="289">
        <f>+K0kommunestruktur2021altern!K275</f>
        <v>5223</v>
      </c>
      <c r="L275" s="289">
        <f>+K0kommunestruktur2021altern!L275</f>
        <v>159408</v>
      </c>
      <c r="M275" s="289">
        <f>+K0kommunestruktur2021altern!M275</f>
        <v>5195</v>
      </c>
      <c r="N275" s="289">
        <f>+K0kommunestruktur2021altern!N275</f>
        <v>160085</v>
      </c>
      <c r="O275" s="289">
        <f>+K0kommunestruktur2021altern!O275</f>
        <v>5174</v>
      </c>
      <c r="P275" s="289">
        <f>+K0kommunestruktur2021altern!P275</f>
        <v>160782</v>
      </c>
      <c r="Q275" s="289">
        <f>+K0kommunestruktur2021altern!Q275</f>
        <v>5189</v>
      </c>
      <c r="R275" s="289">
        <f>+K0kommunestruktur2021altern!R275</f>
        <v>176132.736</v>
      </c>
      <c r="S275" s="289">
        <f>VLOOKUP(A275,'K22'!A275:CU630,3)</f>
        <v>5246</v>
      </c>
      <c r="T275" s="289">
        <f>VLOOKUP(A275,'K22'!$A$4:$BV$359,26)</f>
        <v>190754.56138503423</v>
      </c>
      <c r="U275" s="289">
        <f>VLOOKUP(A275,'Bef.fremskr. kommunenivå MMMM'!$A$5:$K$360,8)</f>
        <v>5256</v>
      </c>
      <c r="V275" s="289">
        <f>VLOOKUP(A275,'K23'!$A$4:$BV$359,26)</f>
        <v>181260.96690863231</v>
      </c>
    </row>
    <row r="276" spans="1:22" ht="13">
      <c r="A276" s="755">
        <v>4645</v>
      </c>
      <c r="B276" s="756" t="s">
        <v>71</v>
      </c>
      <c r="C276" s="289">
        <f>+K0kommunestruktur2021altern!C276</f>
        <v>3011</v>
      </c>
      <c r="D276" s="289">
        <f>+K0kommunestruktur2021altern!D276</f>
        <v>59345</v>
      </c>
      <c r="E276" s="289">
        <f>+K0kommunestruktur2021altern!E276</f>
        <v>3008</v>
      </c>
      <c r="F276" s="289">
        <f>+K0kommunestruktur2021altern!F276</f>
        <v>64014</v>
      </c>
      <c r="G276" s="289">
        <f>+K0kommunestruktur2021altern!G276</f>
        <v>3023</v>
      </c>
      <c r="H276" s="289">
        <f>+K0kommunestruktur2021altern!H276</f>
        <v>71027</v>
      </c>
      <c r="I276" s="289">
        <f>+K0kommunestruktur2021altern!I276</f>
        <v>3065</v>
      </c>
      <c r="J276" s="289">
        <f>+K0kommunestruktur2021altern!J276</f>
        <v>72106</v>
      </c>
      <c r="K276" s="289">
        <f>+K0kommunestruktur2021altern!K276</f>
        <v>3052</v>
      </c>
      <c r="L276" s="289">
        <f>+K0kommunestruktur2021altern!L276</f>
        <v>73539</v>
      </c>
      <c r="M276" s="289">
        <f>+K0kommunestruktur2021altern!M276</f>
        <v>3038</v>
      </c>
      <c r="N276" s="289">
        <f>+K0kommunestruktur2021altern!N276</f>
        <v>79054</v>
      </c>
      <c r="O276" s="289">
        <f>+K0kommunestruktur2021altern!O276</f>
        <v>3011</v>
      </c>
      <c r="P276" s="289">
        <f>+K0kommunestruktur2021altern!P276</f>
        <v>80393</v>
      </c>
      <c r="Q276" s="289">
        <f>+K0kommunestruktur2021altern!Q276</f>
        <v>2991</v>
      </c>
      <c r="R276" s="289">
        <f>+K0kommunestruktur2021altern!R276</f>
        <v>93436.106</v>
      </c>
      <c r="S276" s="289">
        <f>VLOOKUP(A276,'K22'!A276:CU631,3)</f>
        <v>2951</v>
      </c>
      <c r="T276" s="289">
        <f>VLOOKUP(A276,'K22'!$A$4:$BV$359,26)</f>
        <v>106987.06055725775</v>
      </c>
      <c r="U276" s="289">
        <f>VLOOKUP(A276,'Bef.fremskr. kommunenivå MMMM'!$A$5:$K$360,8)</f>
        <v>2925</v>
      </c>
      <c r="V276" s="289">
        <f>VLOOKUP(A276,'K23'!$A$4:$BV$359,26)</f>
        <v>90229.382953553286</v>
      </c>
    </row>
    <row r="277" spans="1:22" ht="13">
      <c r="A277" s="755">
        <v>4646</v>
      </c>
      <c r="B277" s="756" t="s">
        <v>72</v>
      </c>
      <c r="C277" s="289">
        <f>+K0kommunestruktur2021altern!C277</f>
        <v>2853</v>
      </c>
      <c r="D277" s="289">
        <f>+K0kommunestruktur2021altern!D277</f>
        <v>54444</v>
      </c>
      <c r="E277" s="289">
        <f>+K0kommunestruktur2021altern!E277</f>
        <v>2823</v>
      </c>
      <c r="F277" s="289">
        <f>+K0kommunestruktur2021altern!F277</f>
        <v>56681</v>
      </c>
      <c r="G277" s="289">
        <f>+K0kommunestruktur2021altern!G277</f>
        <v>2830</v>
      </c>
      <c r="H277" s="289">
        <f>+K0kommunestruktur2021altern!H277</f>
        <v>64838</v>
      </c>
      <c r="I277" s="289">
        <f>+K0kommunestruktur2021altern!I277</f>
        <v>2862</v>
      </c>
      <c r="J277" s="289">
        <f>+K0kommunestruktur2021altern!J277</f>
        <v>65267</v>
      </c>
      <c r="K277" s="289">
        <f>+K0kommunestruktur2021altern!K277</f>
        <v>2846</v>
      </c>
      <c r="L277" s="289">
        <f>+K0kommunestruktur2021altern!L277</f>
        <v>63972</v>
      </c>
      <c r="M277" s="289">
        <f>+K0kommunestruktur2021altern!M277</f>
        <v>2770</v>
      </c>
      <c r="N277" s="289">
        <f>+K0kommunestruktur2021altern!N277</f>
        <v>67254</v>
      </c>
      <c r="O277" s="289">
        <f>+K0kommunestruktur2021altern!O277</f>
        <v>2802</v>
      </c>
      <c r="P277" s="289">
        <f>+K0kommunestruktur2021altern!P277</f>
        <v>66853</v>
      </c>
      <c r="Q277" s="289">
        <f>+K0kommunestruktur2021altern!Q277</f>
        <v>2885</v>
      </c>
      <c r="R277" s="289">
        <f>+K0kommunestruktur2021altern!R277</f>
        <v>82368.853000000003</v>
      </c>
      <c r="S277" s="289">
        <f>VLOOKUP(A277,'K22'!A277:CU632,3)</f>
        <v>2901</v>
      </c>
      <c r="T277" s="289">
        <f>VLOOKUP(A277,'K22'!$A$4:$BV$359,26)</f>
        <v>109457.34342078181</v>
      </c>
      <c r="U277" s="289">
        <f>VLOOKUP(A277,'Bef.fremskr. kommunenivå MMMM'!$A$5:$K$360,8)</f>
        <v>2972</v>
      </c>
      <c r="V277" s="289">
        <f>VLOOKUP(A277,'K23'!$A$4:$BV$359,26)</f>
        <v>83728.257014121031</v>
      </c>
    </row>
    <row r="278" spans="1:22" ht="13">
      <c r="A278" s="755">
        <v>4647</v>
      </c>
      <c r="B278" s="756" t="s">
        <v>1638</v>
      </c>
      <c r="C278" s="289">
        <f>+K0kommunestruktur2021altern!C278</f>
        <v>21459</v>
      </c>
      <c r="D278" s="289">
        <f>+K0kommunestruktur2021altern!D278</f>
        <v>487641</v>
      </c>
      <c r="E278" s="289">
        <f>+K0kommunestruktur2021altern!E278</f>
        <v>21564</v>
      </c>
      <c r="F278" s="289">
        <f>+K0kommunestruktur2021altern!F278</f>
        <v>516256</v>
      </c>
      <c r="G278" s="289">
        <f>+K0kommunestruktur2021altern!G278</f>
        <v>21702</v>
      </c>
      <c r="H278" s="289">
        <f>+K0kommunestruktur2021altern!H278</f>
        <v>572437</v>
      </c>
      <c r="I278" s="289">
        <f>+K0kommunestruktur2021altern!I278</f>
        <v>21872</v>
      </c>
      <c r="J278" s="289">
        <f>+K0kommunestruktur2021altern!J278</f>
        <v>591156</v>
      </c>
      <c r="K278" s="289">
        <f>+K0kommunestruktur2021altern!K278</f>
        <v>21963</v>
      </c>
      <c r="L278" s="289">
        <f>+K0kommunestruktur2021altern!L278</f>
        <v>609420</v>
      </c>
      <c r="M278" s="289">
        <f>+K0kommunestruktur2021altern!M278</f>
        <v>21959</v>
      </c>
      <c r="N278" s="289">
        <f>+K0kommunestruktur2021altern!N278</f>
        <v>641641</v>
      </c>
      <c r="O278" s="289">
        <f>+K0kommunestruktur2021altern!O278</f>
        <v>22030</v>
      </c>
      <c r="P278" s="289">
        <f>+K0kommunestruktur2021altern!P278</f>
        <v>635077</v>
      </c>
      <c r="Q278" s="289">
        <f>+K0kommunestruktur2021altern!Q278</f>
        <v>22020</v>
      </c>
      <c r="R278" s="289">
        <f>+K0kommunestruktur2021altern!R278</f>
        <v>730307.08600000001</v>
      </c>
      <c r="S278" s="289">
        <f>VLOOKUP(A278,'K22'!A278:CU633,3)</f>
        <v>22116</v>
      </c>
      <c r="T278" s="289">
        <f>VLOOKUP(A278,'K22'!$A$4:$BV$359,26)</f>
        <v>812560.99575445999</v>
      </c>
      <c r="U278" s="289">
        <f>VLOOKUP(A278,'Bef.fremskr. kommunenivå MMMM'!$A$5:$K$360,8)</f>
        <v>22175</v>
      </c>
      <c r="V278" s="289">
        <f>VLOOKUP(A278,'K23'!$A$4:$BV$359,26)</f>
        <v>743335.39592644142</v>
      </c>
    </row>
    <row r="279" spans="1:22" ht="13">
      <c r="A279" s="755">
        <v>4648</v>
      </c>
      <c r="B279" s="756" t="s">
        <v>77</v>
      </c>
      <c r="C279" s="289">
        <f>+K0kommunestruktur2021altern!C279</f>
        <v>3950</v>
      </c>
      <c r="D279" s="289">
        <f>+K0kommunestruktur2021altern!D279</f>
        <v>93322</v>
      </c>
      <c r="E279" s="289">
        <f>+K0kommunestruktur2021altern!E279</f>
        <v>3890</v>
      </c>
      <c r="F279" s="289">
        <f>+K0kommunestruktur2021altern!F279</f>
        <v>95883</v>
      </c>
      <c r="G279" s="289">
        <f>+K0kommunestruktur2021altern!G279</f>
        <v>3846</v>
      </c>
      <c r="H279" s="289">
        <f>+K0kommunestruktur2021altern!H279</f>
        <v>102127</v>
      </c>
      <c r="I279" s="289">
        <f>+K0kommunestruktur2021altern!I279</f>
        <v>3847</v>
      </c>
      <c r="J279" s="289">
        <f>+K0kommunestruktur2021altern!J279</f>
        <v>103184</v>
      </c>
      <c r="K279" s="289">
        <f>+K0kommunestruktur2021altern!K279</f>
        <v>3767</v>
      </c>
      <c r="L279" s="289">
        <f>+K0kommunestruktur2021altern!L279</f>
        <v>105303</v>
      </c>
      <c r="M279" s="289">
        <f>+K0kommunestruktur2021altern!M279</f>
        <v>3705</v>
      </c>
      <c r="N279" s="289">
        <f>+K0kommunestruktur2021altern!N279</f>
        <v>108267</v>
      </c>
      <c r="O279" s="289">
        <f>+K0kommunestruktur2021altern!O279</f>
        <v>3629</v>
      </c>
      <c r="P279" s="289">
        <f>+K0kommunestruktur2021altern!P279</f>
        <v>112230</v>
      </c>
      <c r="Q279" s="289">
        <f>+K0kommunestruktur2021altern!Q279</f>
        <v>3597</v>
      </c>
      <c r="R279" s="289">
        <f>+K0kommunestruktur2021altern!R279</f>
        <v>121858.333</v>
      </c>
      <c r="S279" s="289">
        <f>VLOOKUP(A279,'K22'!A279:CU634,3)</f>
        <v>3521</v>
      </c>
      <c r="T279" s="289">
        <f>VLOOKUP(A279,'K22'!$A$4:$BV$359,26)</f>
        <v>129232.02717081967</v>
      </c>
      <c r="U279" s="289">
        <f>VLOOKUP(A279,'Bef.fremskr. kommunenivå MMMM'!$A$5:$K$360,8)</f>
        <v>3482</v>
      </c>
      <c r="V279" s="289">
        <f>VLOOKUP(A279,'K23'!$A$4:$BV$359,26)</f>
        <v>119626.96474676191</v>
      </c>
    </row>
    <row r="280" spans="1:22" ht="13">
      <c r="A280" s="755">
        <v>4649</v>
      </c>
      <c r="B280" s="756" t="s">
        <v>1639</v>
      </c>
      <c r="C280" s="289">
        <f>+K0kommunestruktur2021altern!C280</f>
        <v>9233.4380234505861</v>
      </c>
      <c r="D280" s="289">
        <f>+K0kommunestruktur2021altern!D280</f>
        <v>194726.48241206032</v>
      </c>
      <c r="E280" s="289">
        <f>+K0kommunestruktur2021altern!E280</f>
        <v>9263.661641541039</v>
      </c>
      <c r="F280" s="289">
        <f>+K0kommunestruktur2021altern!F280</f>
        <v>204831.2596314908</v>
      </c>
      <c r="G280" s="289">
        <f>+K0kommunestruktur2021altern!G280</f>
        <v>9310.5561139028468</v>
      </c>
      <c r="H280" s="289">
        <f>+K0kommunestruktur2021altern!H280</f>
        <v>212942.70268006698</v>
      </c>
      <c r="I280" s="289">
        <f>+K0kommunestruktur2021altern!I280</f>
        <v>9375.2621440536022</v>
      </c>
      <c r="J280" s="289">
        <f>+K0kommunestruktur2021altern!J280</f>
        <v>224218.32663316582</v>
      </c>
      <c r="K280" s="289">
        <f>+K0kommunestruktur2021altern!K280</f>
        <v>9431.6742043551094</v>
      </c>
      <c r="L280" s="289">
        <f>+K0kommunestruktur2021altern!L280</f>
        <v>238563.00502512563</v>
      </c>
      <c r="M280" s="289">
        <f>+K0kommunestruktur2021altern!M280</f>
        <v>9413</v>
      </c>
      <c r="N280" s="289">
        <f>+K0kommunestruktur2021altern!N280</f>
        <v>251226.09212730319</v>
      </c>
      <c r="O280" s="289">
        <f>+K0kommunestruktur2021altern!O280</f>
        <v>9457</v>
      </c>
      <c r="P280" s="289">
        <f>+K0kommunestruktur2021altern!P280</f>
        <v>239118</v>
      </c>
      <c r="Q280" s="289">
        <f>+K0kommunestruktur2021altern!Q280</f>
        <v>9517</v>
      </c>
      <c r="R280" s="289">
        <f>+K0kommunestruktur2021altern!R280</f>
        <v>272226.07799999998</v>
      </c>
      <c r="S280" s="289">
        <f>VLOOKUP(A280,'K22'!A280:CU635,3)</f>
        <v>9527</v>
      </c>
      <c r="T280" s="289">
        <f>VLOOKUP(A280,'K22'!$A$4:$BV$359,26)</f>
        <v>305895.73266172106</v>
      </c>
      <c r="U280" s="289">
        <f>VLOOKUP(A280,'Bef.fremskr. kommunenivå MMMM'!$A$5:$K$360,8)</f>
        <v>9548</v>
      </c>
      <c r="V280" s="289">
        <f>VLOOKUP(A280,'K23'!$A$4:$BV$359,26)</f>
        <v>283261.84345102089</v>
      </c>
    </row>
    <row r="281" spans="1:22" ht="13">
      <c r="A281" s="755">
        <v>4650</v>
      </c>
      <c r="B281" s="756" t="s">
        <v>82</v>
      </c>
      <c r="C281" s="289">
        <f>+K0kommunestruktur2021altern!C281</f>
        <v>5694</v>
      </c>
      <c r="D281" s="289">
        <f>+K0kommunestruktur2021altern!D281</f>
        <v>123868</v>
      </c>
      <c r="E281" s="289">
        <f>+K0kommunestruktur2021altern!E281</f>
        <v>5751</v>
      </c>
      <c r="F281" s="289">
        <f>+K0kommunestruktur2021altern!F281</f>
        <v>128806</v>
      </c>
      <c r="G281" s="289">
        <f>+K0kommunestruktur2021altern!G281</f>
        <v>5784</v>
      </c>
      <c r="H281" s="289">
        <f>+K0kommunestruktur2021altern!H281</f>
        <v>136750</v>
      </c>
      <c r="I281" s="289">
        <f>+K0kommunestruktur2021altern!I281</f>
        <v>5783</v>
      </c>
      <c r="J281" s="289">
        <f>+K0kommunestruktur2021altern!J281</f>
        <v>147153</v>
      </c>
      <c r="K281" s="289">
        <f>+K0kommunestruktur2021altern!K281</f>
        <v>5874</v>
      </c>
      <c r="L281" s="289">
        <f>+K0kommunestruktur2021altern!L281</f>
        <v>169864</v>
      </c>
      <c r="M281" s="289">
        <f>+K0kommunestruktur2021altern!M281</f>
        <v>5836</v>
      </c>
      <c r="N281" s="289">
        <f>+K0kommunestruktur2021altern!N281</f>
        <v>156649</v>
      </c>
      <c r="O281" s="289">
        <f>+K0kommunestruktur2021altern!O281</f>
        <v>5854</v>
      </c>
      <c r="P281" s="289">
        <f>+K0kommunestruktur2021altern!P281</f>
        <v>145775</v>
      </c>
      <c r="Q281" s="289">
        <f>+K0kommunestruktur2021altern!Q281</f>
        <v>5885</v>
      </c>
      <c r="R281" s="289">
        <f>+K0kommunestruktur2021altern!R281</f>
        <v>169872.66200000001</v>
      </c>
      <c r="S281" s="289">
        <f>VLOOKUP(A281,'K22'!A281:CU636,3)</f>
        <v>5875</v>
      </c>
      <c r="T281" s="289">
        <f>VLOOKUP(A281,'K22'!$A$4:$BV$359,26)</f>
        <v>189362.9589416408</v>
      </c>
      <c r="U281" s="289">
        <f>VLOOKUP(A281,'Bef.fremskr. kommunenivå MMMM'!$A$5:$K$360,8)</f>
        <v>5853</v>
      </c>
      <c r="V281" s="289">
        <f>VLOOKUP(A281,'K23'!$A$4:$BV$359,26)</f>
        <v>173577.0703294265</v>
      </c>
    </row>
    <row r="282" spans="1:22" ht="13">
      <c r="A282" s="755">
        <v>4651</v>
      </c>
      <c r="B282" s="756" t="s">
        <v>83</v>
      </c>
      <c r="C282" s="289">
        <f>+K0kommunestruktur2021altern!C282</f>
        <v>7148</v>
      </c>
      <c r="D282" s="289">
        <f>+K0kommunestruktur2021altern!D282</f>
        <v>151200</v>
      </c>
      <c r="E282" s="289">
        <f>+K0kommunestruktur2021altern!E282</f>
        <v>7169</v>
      </c>
      <c r="F282" s="289">
        <f>+K0kommunestruktur2021altern!F282</f>
        <v>163009</v>
      </c>
      <c r="G282" s="289">
        <f>+K0kommunestruktur2021altern!G282</f>
        <v>7182</v>
      </c>
      <c r="H282" s="289">
        <f>+K0kommunestruktur2021altern!H282</f>
        <v>178833</v>
      </c>
      <c r="I282" s="289">
        <f>+K0kommunestruktur2021altern!I282</f>
        <v>7232</v>
      </c>
      <c r="J282" s="289">
        <f>+K0kommunestruktur2021altern!J282</f>
        <v>186231</v>
      </c>
      <c r="K282" s="289">
        <f>+K0kommunestruktur2021altern!K282</f>
        <v>7209</v>
      </c>
      <c r="L282" s="289">
        <f>+K0kommunestruktur2021altern!L282</f>
        <v>181528</v>
      </c>
      <c r="M282" s="289">
        <f>+K0kommunestruktur2021altern!M282</f>
        <v>7167</v>
      </c>
      <c r="N282" s="289">
        <f>+K0kommunestruktur2021altern!N282</f>
        <v>190496</v>
      </c>
      <c r="O282" s="289">
        <f>+K0kommunestruktur2021altern!O282</f>
        <v>7130</v>
      </c>
      <c r="P282" s="289">
        <f>+K0kommunestruktur2021altern!P282</f>
        <v>188692</v>
      </c>
      <c r="Q282" s="289">
        <f>+K0kommunestruktur2021altern!Q282</f>
        <v>7118</v>
      </c>
      <c r="R282" s="289">
        <f>+K0kommunestruktur2021altern!R282</f>
        <v>215489.829</v>
      </c>
      <c r="S282" s="289">
        <f>VLOOKUP(A282,'K22'!A282:CU637,3)</f>
        <v>7207</v>
      </c>
      <c r="T282" s="289">
        <f>VLOOKUP(A282,'K22'!$A$4:$BV$359,26)</f>
        <v>249803.62829192798</v>
      </c>
      <c r="U282" s="289">
        <f>VLOOKUP(A282,'Bef.fremskr. kommunenivå MMMM'!$A$5:$K$360,8)</f>
        <v>7276</v>
      </c>
      <c r="V282" s="289">
        <f>VLOOKUP(A282,'K23'!$A$4:$BV$359,26)</f>
        <v>222914.94927938457</v>
      </c>
    </row>
    <row r="283" spans="1:22" ht="13">
      <c r="A283" s="755">
        <v>5001</v>
      </c>
      <c r="B283" s="756" t="s">
        <v>118</v>
      </c>
      <c r="C283" s="289">
        <f>+K0kommunestruktur2021altern!C283</f>
        <v>188005</v>
      </c>
      <c r="D283" s="289">
        <f>+K0kommunestruktur2021altern!D283</f>
        <v>4691239</v>
      </c>
      <c r="E283" s="289">
        <f>+K0kommunestruktur2021altern!E283</f>
        <v>190955</v>
      </c>
      <c r="F283" s="289">
        <f>+K0kommunestruktur2021altern!F283</f>
        <v>4966134</v>
      </c>
      <c r="G283" s="289">
        <f>+K0kommunestruktur2021altern!G283</f>
        <v>193420</v>
      </c>
      <c r="H283" s="289">
        <f>+K0kommunestruktur2021altern!H283</f>
        <v>5523798</v>
      </c>
      <c r="I283" s="289">
        <f>+K0kommunestruktur2021altern!I283</f>
        <v>196514</v>
      </c>
      <c r="J283" s="289">
        <f>+K0kommunestruktur2021altern!J283</f>
        <v>5883227</v>
      </c>
      <c r="K283" s="289">
        <f>+K0kommunestruktur2021altern!K283</f>
        <v>199595</v>
      </c>
      <c r="L283" s="289">
        <f>+K0kommunestruktur2021altern!L283</f>
        <v>6181799</v>
      </c>
      <c r="M283" s="289">
        <f>+K0kommunestruktur2021altern!M283</f>
        <v>202235</v>
      </c>
      <c r="N283" s="289">
        <f>+K0kommunestruktur2021altern!N283</f>
        <v>6465972</v>
      </c>
      <c r="O283" s="289">
        <f>+K0kommunestruktur2021altern!O283</f>
        <v>205163</v>
      </c>
      <c r="P283" s="289">
        <f>+K0kommunestruktur2021altern!P283</f>
        <v>6382243</v>
      </c>
      <c r="Q283" s="289">
        <f>+K0kommunestruktur2021altern!Q283</f>
        <v>207595</v>
      </c>
      <c r="R283" s="289">
        <f>+K0kommunestruktur2021altern!R283</f>
        <v>7439942.034</v>
      </c>
      <c r="S283" s="289">
        <f>VLOOKUP(A283,'K22'!A283:CU638,3)</f>
        <v>210496</v>
      </c>
      <c r="T283" s="289">
        <f>VLOOKUP(A283,'K22'!$A$4:$BV$359,26)</f>
        <v>8411204.3168864436</v>
      </c>
      <c r="U283" s="289">
        <f>VLOOKUP(A283,'Bef.fremskr. kommunenivå MMMM'!$A$5:$K$360,8)</f>
        <v>214695</v>
      </c>
      <c r="V283" s="289">
        <f>VLOOKUP(A283,'K23'!$A$4:$BV$359,26)</f>
        <v>7810621.661834769</v>
      </c>
    </row>
    <row r="284" spans="1:22" ht="13">
      <c r="A284" s="755">
        <v>5006</v>
      </c>
      <c r="B284" s="756" t="s">
        <v>1640</v>
      </c>
      <c r="C284" s="289">
        <f>+K0kommunestruktur2021altern!C284</f>
        <v>24046.90853409555</v>
      </c>
      <c r="D284" s="289">
        <f>+K0kommunestruktur2021altern!D284</f>
        <v>436534.13923274807</v>
      </c>
      <c r="E284" s="289">
        <f>+K0kommunestruktur2021altern!E284</f>
        <v>24127.318905675787</v>
      </c>
      <c r="F284" s="289">
        <f>+K0kommunestruktur2021altern!F284</f>
        <v>469494.90705757454</v>
      </c>
      <c r="G284" s="289">
        <f>+K0kommunestruktur2021altern!G284</f>
        <v>24238.866067782768</v>
      </c>
      <c r="H284" s="289">
        <f>+K0kommunestruktur2021altern!H284</f>
        <v>511362.55053491221</v>
      </c>
      <c r="I284" s="289">
        <f>+K0kommunestruktur2021altern!I284</f>
        <v>24418.194365046958</v>
      </c>
      <c r="J284" s="289">
        <f>+K0kommunestruktur2021altern!J284</f>
        <v>535184.47456839529</v>
      </c>
      <c r="K284" s="289">
        <f>+K0kommunestruktur2021altern!K284</f>
        <v>24501.34340547162</v>
      </c>
      <c r="L284" s="289">
        <f>+K0kommunestruktur2021altern!L284</f>
        <v>556784.64352797065</v>
      </c>
      <c r="M284" s="289">
        <f>+K0kommunestruktur2021altern!M284</f>
        <v>24472</v>
      </c>
      <c r="N284" s="289">
        <f>+K0kommunestruktur2021altern!N284</f>
        <v>573231.63046141283</v>
      </c>
      <c r="O284" s="289">
        <f>+K0kommunestruktur2021altern!O284</f>
        <v>24357</v>
      </c>
      <c r="P284" s="289">
        <f>+K0kommunestruktur2021altern!P284</f>
        <v>573972</v>
      </c>
      <c r="Q284" s="289">
        <f>+K0kommunestruktur2021altern!Q284</f>
        <v>24152</v>
      </c>
      <c r="R284" s="289">
        <f>+K0kommunestruktur2021altern!R284</f>
        <v>660267.09299999999</v>
      </c>
      <c r="S284" s="289">
        <f>VLOOKUP(A284,'K22'!A284:CU639,3)</f>
        <v>24004</v>
      </c>
      <c r="T284" s="289">
        <f>VLOOKUP(A284,'K22'!$A$4:$BV$359,26)</f>
        <v>706231.66069211438</v>
      </c>
      <c r="U284" s="289">
        <f>VLOOKUP(A284,'Bef.fremskr. kommunenivå MMMM'!$A$5:$K$360,8)</f>
        <v>23894</v>
      </c>
      <c r="V284" s="289">
        <f>VLOOKUP(A284,'K23'!$A$4:$BV$359,26)</f>
        <v>652529.94663150946</v>
      </c>
    </row>
    <row r="285" spans="1:22" ht="13">
      <c r="A285" s="755">
        <v>5007</v>
      </c>
      <c r="B285" s="756" t="s">
        <v>1641</v>
      </c>
      <c r="C285" s="289">
        <f>+K0kommunestruktur2021altern!C285</f>
        <v>15451.919558359621</v>
      </c>
      <c r="D285" s="289">
        <f>+K0kommunestruktur2021altern!D285</f>
        <v>292612.63052050472</v>
      </c>
      <c r="E285" s="289">
        <f>+K0kommunestruktur2021altern!E285</f>
        <v>15351.090496845425</v>
      </c>
      <c r="F285" s="289">
        <f>+K0kommunestruktur2021altern!F285</f>
        <v>306321.55717665615</v>
      </c>
      <c r="G285" s="289">
        <f>+K0kommunestruktur2021altern!G285</f>
        <v>15316.542981072555</v>
      </c>
      <c r="H285" s="289">
        <f>+K0kommunestruktur2021altern!H285</f>
        <v>339202.20977917983</v>
      </c>
      <c r="I285" s="289">
        <f>+K0kommunestruktur2021altern!I285</f>
        <v>15323.663643533124</v>
      </c>
      <c r="J285" s="289">
        <f>+K0kommunestruktur2021altern!J285</f>
        <v>352283.4089116719</v>
      </c>
      <c r="K285" s="289">
        <f>+K0kommunestruktur2021altern!K285</f>
        <v>15332.452484227129</v>
      </c>
      <c r="L285" s="289">
        <f>+K0kommunestruktur2021altern!L285</f>
        <v>364447.19518927444</v>
      </c>
      <c r="M285" s="289">
        <f>+K0kommunestruktur2021altern!M285</f>
        <v>15345</v>
      </c>
      <c r="N285" s="289">
        <f>+K0kommunestruktur2021altern!N285</f>
        <v>387821.6535883281</v>
      </c>
      <c r="O285" s="289">
        <f>+K0kommunestruktur2021altern!O285</f>
        <v>15230</v>
      </c>
      <c r="P285" s="289">
        <f>+K0kommunestruktur2021altern!P285</f>
        <v>379162</v>
      </c>
      <c r="Q285" s="289">
        <f>+K0kommunestruktur2021altern!Q285</f>
        <v>15096</v>
      </c>
      <c r="R285" s="289">
        <f>+K0kommunestruktur2021altern!R285</f>
        <v>420191.505</v>
      </c>
      <c r="S285" s="289">
        <f>VLOOKUP(A285,'K22'!A285:CU640,3)</f>
        <v>15001</v>
      </c>
      <c r="T285" s="289">
        <f>VLOOKUP(A285,'K22'!$A$4:$BV$359,26)</f>
        <v>464282.93003310979</v>
      </c>
      <c r="U285" s="289">
        <f>VLOOKUP(A285,'Bef.fremskr. kommunenivå MMMM'!$A$5:$K$360,8)</f>
        <v>14930</v>
      </c>
      <c r="V285" s="289">
        <f>VLOOKUP(A285,'K23'!$A$4:$BV$359,26)</f>
        <v>428681.60413464432</v>
      </c>
    </row>
    <row r="286" spans="1:22" ht="13">
      <c r="A286" s="755">
        <v>5014</v>
      </c>
      <c r="B286" s="756" t="s">
        <v>122</v>
      </c>
      <c r="C286" s="289">
        <f>+K0kommunestruktur2021altern!C286</f>
        <v>4547</v>
      </c>
      <c r="D286" s="289">
        <f>+K0kommunestruktur2021altern!D286</f>
        <v>128168</v>
      </c>
      <c r="E286" s="289">
        <f>+K0kommunestruktur2021altern!E286</f>
        <v>4634</v>
      </c>
      <c r="F286" s="289">
        <f>+K0kommunestruktur2021altern!F286</f>
        <v>126174</v>
      </c>
      <c r="G286" s="289">
        <f>+K0kommunestruktur2021altern!G286</f>
        <v>4799</v>
      </c>
      <c r="H286" s="289">
        <f>+K0kommunestruktur2021altern!H286</f>
        <v>215057</v>
      </c>
      <c r="I286" s="289">
        <f>+K0kommunestruktur2021altern!I286</f>
        <v>4937</v>
      </c>
      <c r="J286" s="289">
        <f>+K0kommunestruktur2021altern!J286</f>
        <v>283115</v>
      </c>
      <c r="K286" s="289">
        <f>+K0kommunestruktur2021altern!K286</f>
        <v>4962</v>
      </c>
      <c r="L286" s="289">
        <f>+K0kommunestruktur2021altern!L286</f>
        <v>199096</v>
      </c>
      <c r="M286" s="289">
        <f>+K0kommunestruktur2021altern!M286</f>
        <v>5068</v>
      </c>
      <c r="N286" s="289">
        <f>+K0kommunestruktur2021altern!N286</f>
        <v>198503</v>
      </c>
      <c r="O286" s="289">
        <f>+K0kommunestruktur2021altern!O286</f>
        <v>5151</v>
      </c>
      <c r="P286" s="289">
        <f>+K0kommunestruktur2021altern!P286</f>
        <v>389526</v>
      </c>
      <c r="Q286" s="289">
        <f>+K0kommunestruktur2021altern!Q286</f>
        <v>5204</v>
      </c>
      <c r="R286" s="289">
        <f>+K0kommunestruktur2021altern!R286</f>
        <v>469673.61300000001</v>
      </c>
      <c r="S286" s="289">
        <f>VLOOKUP(A286,'K22'!A286:CU641,3)</f>
        <v>5265</v>
      </c>
      <c r="T286" s="289">
        <f>VLOOKUP(A286,'K22'!$A$4:$BV$359,26)</f>
        <v>535425.52034064557</v>
      </c>
      <c r="U286" s="289">
        <f>VLOOKUP(A286,'Bef.fremskr. kommunenivå MMMM'!$A$5:$K$360,8)</f>
        <v>5449</v>
      </c>
      <c r="V286" s="289">
        <f>VLOOKUP(A286,'K23'!$A$4:$BV$359,26)</f>
        <v>407238.24820271163</v>
      </c>
    </row>
    <row r="287" spans="1:22" ht="13">
      <c r="A287" s="755">
        <v>5020</v>
      </c>
      <c r="B287" s="756" t="s">
        <v>129</v>
      </c>
      <c r="C287" s="289">
        <f>+K0kommunestruktur2021altern!C287</f>
        <v>997</v>
      </c>
      <c r="D287" s="289">
        <f>+K0kommunestruktur2021altern!D287</f>
        <v>16756</v>
      </c>
      <c r="E287" s="289">
        <f>+K0kommunestruktur2021altern!E287</f>
        <v>1010</v>
      </c>
      <c r="F287" s="289">
        <f>+K0kommunestruktur2021altern!F287</f>
        <v>18345</v>
      </c>
      <c r="G287" s="289">
        <f>+K0kommunestruktur2021altern!G287</f>
        <v>976</v>
      </c>
      <c r="H287" s="289">
        <f>+K0kommunestruktur2021altern!H287</f>
        <v>19657</v>
      </c>
      <c r="I287" s="289">
        <f>+K0kommunestruktur2021altern!I287</f>
        <v>978</v>
      </c>
      <c r="J287" s="289">
        <f>+K0kommunestruktur2021altern!J287</f>
        <v>21713</v>
      </c>
      <c r="K287" s="289">
        <f>+K0kommunestruktur2021altern!K287</f>
        <v>967</v>
      </c>
      <c r="L287" s="289">
        <f>+K0kommunestruktur2021altern!L287</f>
        <v>20690</v>
      </c>
      <c r="M287" s="289">
        <f>+K0kommunestruktur2021altern!M287</f>
        <v>947</v>
      </c>
      <c r="N287" s="289">
        <f>+K0kommunestruktur2021altern!N287</f>
        <v>22381</v>
      </c>
      <c r="O287" s="289">
        <f>+K0kommunestruktur2021altern!O287</f>
        <v>948</v>
      </c>
      <c r="P287" s="289">
        <f>+K0kommunestruktur2021altern!P287</f>
        <v>21980</v>
      </c>
      <c r="Q287" s="289">
        <f>+K0kommunestruktur2021altern!Q287</f>
        <v>925</v>
      </c>
      <c r="R287" s="289">
        <f>+K0kommunestruktur2021altern!R287</f>
        <v>24191.807000000001</v>
      </c>
      <c r="S287" s="289">
        <f>VLOOKUP(A287,'K22'!A287:CU642,3)</f>
        <v>904</v>
      </c>
      <c r="T287" s="289">
        <f>VLOOKUP(A287,'K22'!$A$4:$BV$359,26)</f>
        <v>25774.824193144552</v>
      </c>
      <c r="U287" s="289">
        <f>VLOOKUP(A287,'Bef.fremskr. kommunenivå MMMM'!$A$5:$K$360,8)</f>
        <v>901</v>
      </c>
      <c r="V287" s="289">
        <f>VLOOKUP(A287,'K23'!$A$4:$BV$359,26)</f>
        <v>24198.506412069521</v>
      </c>
    </row>
    <row r="288" spans="1:22" ht="13">
      <c r="A288" s="755">
        <v>5021</v>
      </c>
      <c r="B288" s="756" t="s">
        <v>130</v>
      </c>
      <c r="C288" s="289">
        <f>+K0kommunestruktur2021altern!C288</f>
        <v>6814</v>
      </c>
      <c r="D288" s="289">
        <f>+K0kommunestruktur2021altern!D288</f>
        <v>137555</v>
      </c>
      <c r="E288" s="289">
        <f>+K0kommunestruktur2021altern!E288</f>
        <v>6852</v>
      </c>
      <c r="F288" s="289">
        <f>+K0kommunestruktur2021altern!F288</f>
        <v>143069</v>
      </c>
      <c r="G288" s="289">
        <f>+K0kommunestruktur2021altern!G288</f>
        <v>6886</v>
      </c>
      <c r="H288" s="289">
        <f>+K0kommunestruktur2021altern!H288</f>
        <v>157388</v>
      </c>
      <c r="I288" s="289">
        <f>+K0kommunestruktur2021altern!I288</f>
        <v>6973</v>
      </c>
      <c r="J288" s="289">
        <f>+K0kommunestruktur2021altern!J288</f>
        <v>168825</v>
      </c>
      <c r="K288" s="289">
        <f>+K0kommunestruktur2021altern!K288</f>
        <v>6970</v>
      </c>
      <c r="L288" s="289">
        <f>+K0kommunestruktur2021altern!L288</f>
        <v>174333</v>
      </c>
      <c r="M288" s="289">
        <f>+K0kommunestruktur2021altern!M288</f>
        <v>6975</v>
      </c>
      <c r="N288" s="289">
        <f>+K0kommunestruktur2021altern!N288</f>
        <v>183551</v>
      </c>
      <c r="O288" s="289">
        <f>+K0kommunestruktur2021altern!O288</f>
        <v>7001</v>
      </c>
      <c r="P288" s="289">
        <f>+K0kommunestruktur2021altern!P288</f>
        <v>191241</v>
      </c>
      <c r="Q288" s="289">
        <f>+K0kommunestruktur2021altern!Q288</f>
        <v>6981</v>
      </c>
      <c r="R288" s="289">
        <f>+K0kommunestruktur2021altern!R288</f>
        <v>210812.68700000001</v>
      </c>
      <c r="S288" s="289">
        <f>VLOOKUP(A288,'K22'!A288:CU643,3)</f>
        <v>7066</v>
      </c>
      <c r="T288" s="289">
        <f>VLOOKUP(A288,'K22'!$A$4:$BV$359,26)</f>
        <v>234286.68437820624</v>
      </c>
      <c r="U288" s="289">
        <f>VLOOKUP(A288,'Bef.fremskr. kommunenivå MMMM'!$A$5:$K$360,8)</f>
        <v>7099</v>
      </c>
      <c r="V288" s="289">
        <f>VLOOKUP(A288,'K23'!$A$4:$BV$359,26)</f>
        <v>218560.30860199328</v>
      </c>
    </row>
    <row r="289" spans="1:22" ht="13">
      <c r="A289" s="755">
        <v>5022</v>
      </c>
      <c r="B289" s="756" t="s">
        <v>131</v>
      </c>
      <c r="C289" s="289">
        <f>+K0kommunestruktur2021altern!C289</f>
        <v>2556</v>
      </c>
      <c r="D289" s="289">
        <f>+K0kommunestruktur2021altern!D289</f>
        <v>51530</v>
      </c>
      <c r="E289" s="289">
        <f>+K0kommunestruktur2021altern!E289</f>
        <v>2567</v>
      </c>
      <c r="F289" s="289">
        <f>+K0kommunestruktur2021altern!F289</f>
        <v>52413</v>
      </c>
      <c r="G289" s="289">
        <f>+K0kommunestruktur2021altern!G289</f>
        <v>2562</v>
      </c>
      <c r="H289" s="289">
        <f>+K0kommunestruktur2021altern!H289</f>
        <v>57456</v>
      </c>
      <c r="I289" s="289">
        <f>+K0kommunestruktur2021altern!I289</f>
        <v>2556</v>
      </c>
      <c r="J289" s="289">
        <f>+K0kommunestruktur2021altern!J289</f>
        <v>58411</v>
      </c>
      <c r="K289" s="289">
        <f>+K0kommunestruktur2021altern!K289</f>
        <v>2541</v>
      </c>
      <c r="L289" s="289">
        <f>+K0kommunestruktur2021altern!L289</f>
        <v>60864</v>
      </c>
      <c r="M289" s="289">
        <f>+K0kommunestruktur2021altern!M289</f>
        <v>2501</v>
      </c>
      <c r="N289" s="289">
        <f>+K0kommunestruktur2021altern!N289</f>
        <v>60102</v>
      </c>
      <c r="O289" s="289">
        <f>+K0kommunestruktur2021altern!O289</f>
        <v>2486</v>
      </c>
      <c r="P289" s="289">
        <f>+K0kommunestruktur2021altern!P289</f>
        <v>58297</v>
      </c>
      <c r="Q289" s="289">
        <f>+K0kommunestruktur2021altern!Q289</f>
        <v>2454</v>
      </c>
      <c r="R289" s="289">
        <f>+K0kommunestruktur2021altern!R289</f>
        <v>67810.433000000005</v>
      </c>
      <c r="S289" s="289">
        <f>VLOOKUP(A289,'K22'!A289:CU644,3)</f>
        <v>2443</v>
      </c>
      <c r="T289" s="289">
        <f>VLOOKUP(A289,'K22'!$A$4:$BV$359,26)</f>
        <v>70438.470071357719</v>
      </c>
      <c r="U289" s="289">
        <f>VLOOKUP(A289,'Bef.fremskr. kommunenivå MMMM'!$A$5:$K$360,8)</f>
        <v>2438</v>
      </c>
      <c r="V289" s="289">
        <f>VLOOKUP(A289,'K23'!$A$4:$BV$359,26)</f>
        <v>66770.142700043245</v>
      </c>
    </row>
    <row r="290" spans="1:22" ht="13">
      <c r="A290" s="755">
        <v>5025</v>
      </c>
      <c r="B290" s="965" t="s">
        <v>134</v>
      </c>
      <c r="C290" s="289">
        <f>+K0kommunestruktur2021altern!C290</f>
        <v>5583</v>
      </c>
      <c r="D290" s="289">
        <f>+K0kommunestruktur2021altern!D290</f>
        <v>122917</v>
      </c>
      <c r="E290" s="289">
        <f>+K0kommunestruktur2021altern!E290</f>
        <v>5593</v>
      </c>
      <c r="F290" s="289">
        <f>+K0kommunestruktur2021altern!F290</f>
        <v>126206</v>
      </c>
      <c r="G290" s="289">
        <f>+K0kommunestruktur2021altern!G290</f>
        <v>5635</v>
      </c>
      <c r="H290" s="289">
        <f>+K0kommunestruktur2021altern!H290</f>
        <v>135849</v>
      </c>
      <c r="I290" s="289">
        <f>+K0kommunestruktur2021altern!I290</f>
        <v>5623</v>
      </c>
      <c r="J290" s="289">
        <f>+K0kommunestruktur2021altern!J290</f>
        <v>140005</v>
      </c>
      <c r="K290" s="289">
        <f>+K0kommunestruktur2021altern!K290</f>
        <v>5663</v>
      </c>
      <c r="L290" s="289">
        <f>+K0kommunestruktur2021altern!L290</f>
        <v>150634</v>
      </c>
      <c r="M290" s="289">
        <f>+K0kommunestruktur2021altern!M290</f>
        <v>5610</v>
      </c>
      <c r="N290" s="289">
        <f>+K0kommunestruktur2021altern!N290</f>
        <v>152303</v>
      </c>
      <c r="O290" s="289">
        <f>+K0kommunestruktur2021altern!O290</f>
        <v>5581</v>
      </c>
      <c r="P290" s="289">
        <f>+K0kommunestruktur2021altern!P290</f>
        <v>149195</v>
      </c>
      <c r="Q290" s="289">
        <f>+K0kommunestruktur2021altern!Q290</f>
        <v>5550</v>
      </c>
      <c r="R290" s="289">
        <f>+K0kommunestruktur2021altern!R290</f>
        <v>170572.24799999999</v>
      </c>
      <c r="S290" s="289">
        <f>VLOOKUP(A290,'K22'!A290:CU645,3)</f>
        <v>5572</v>
      </c>
      <c r="T290" s="289">
        <f>VLOOKUP(A290,'K22'!$A$4:$BV$359,26)</f>
        <v>187418.64053531512</v>
      </c>
      <c r="U290" s="289">
        <f>VLOOKUP(A290,'Bef.fremskr. kommunenivå MMMM'!$A$5:$K$360,8)</f>
        <v>5605</v>
      </c>
      <c r="V290" s="289">
        <f>VLOOKUP(A290,'K23'!$A$4:$BV$359,26)</f>
        <v>174279.64337059195</v>
      </c>
    </row>
    <row r="291" spans="1:22" ht="13">
      <c r="A291" s="755">
        <v>5026</v>
      </c>
      <c r="B291" s="756" t="s">
        <v>135</v>
      </c>
      <c r="C291" s="289">
        <f>+K0kommunestruktur2021altern!C291</f>
        <v>2024</v>
      </c>
      <c r="D291" s="289">
        <f>+K0kommunestruktur2021altern!D291</f>
        <v>36840</v>
      </c>
      <c r="E291" s="289">
        <f>+K0kommunestruktur2021altern!E291</f>
        <v>2014</v>
      </c>
      <c r="F291" s="289">
        <f>+K0kommunestruktur2021altern!F291</f>
        <v>38051</v>
      </c>
      <c r="G291" s="289">
        <f>+K0kommunestruktur2021altern!G291</f>
        <v>2031</v>
      </c>
      <c r="H291" s="289">
        <f>+K0kommunestruktur2021altern!H291</f>
        <v>40877</v>
      </c>
      <c r="I291" s="289">
        <f>+K0kommunestruktur2021altern!I291</f>
        <v>2046</v>
      </c>
      <c r="J291" s="289">
        <f>+K0kommunestruktur2021altern!J291</f>
        <v>41668</v>
      </c>
      <c r="K291" s="289">
        <f>+K0kommunestruktur2021altern!K291</f>
        <v>2028</v>
      </c>
      <c r="L291" s="289">
        <f>+K0kommunestruktur2021altern!L291</f>
        <v>42917</v>
      </c>
      <c r="M291" s="289">
        <f>+K0kommunestruktur2021altern!M291</f>
        <v>2025</v>
      </c>
      <c r="N291" s="289">
        <f>+K0kommunestruktur2021altern!N291</f>
        <v>44918</v>
      </c>
      <c r="O291" s="289">
        <f>+K0kommunestruktur2021altern!O291</f>
        <v>1981</v>
      </c>
      <c r="P291" s="289">
        <f>+K0kommunestruktur2021altern!P291</f>
        <v>45380</v>
      </c>
      <c r="Q291" s="289">
        <f>+K0kommunestruktur2021altern!Q291</f>
        <v>1968</v>
      </c>
      <c r="R291" s="289">
        <f>+K0kommunestruktur2021altern!R291</f>
        <v>50318.663999999997</v>
      </c>
      <c r="S291" s="289">
        <f>VLOOKUP(A291,'K22'!A291:CU646,3)</f>
        <v>1953</v>
      </c>
      <c r="T291" s="289">
        <f>VLOOKUP(A291,'K22'!$A$4:$BV$359,26)</f>
        <v>54091.33728959065</v>
      </c>
      <c r="U291" s="289">
        <f>VLOOKUP(A291,'Bef.fremskr. kommunenivå MMMM'!$A$5:$K$360,8)</f>
        <v>1940</v>
      </c>
      <c r="V291" s="289">
        <f>VLOOKUP(A291,'K23'!$A$4:$BV$359,26)</f>
        <v>50433.215210665803</v>
      </c>
    </row>
    <row r="292" spans="1:22" ht="13">
      <c r="A292" s="755">
        <v>5027</v>
      </c>
      <c r="B292" s="756" t="s">
        <v>136</v>
      </c>
      <c r="C292" s="289">
        <f>+K0kommunestruktur2021altern!C292</f>
        <v>6361</v>
      </c>
      <c r="D292" s="289">
        <f>+K0kommunestruktur2021altern!D292</f>
        <v>117036</v>
      </c>
      <c r="E292" s="289">
        <f>+K0kommunestruktur2021altern!E292</f>
        <v>6336</v>
      </c>
      <c r="F292" s="289">
        <f>+K0kommunestruktur2021altern!F292</f>
        <v>122762</v>
      </c>
      <c r="G292" s="289">
        <f>+K0kommunestruktur2021altern!G292</f>
        <v>6298</v>
      </c>
      <c r="H292" s="289">
        <f>+K0kommunestruktur2021altern!H292</f>
        <v>134262</v>
      </c>
      <c r="I292" s="289">
        <f>+K0kommunestruktur2021altern!I292</f>
        <v>6319</v>
      </c>
      <c r="J292" s="289">
        <f>+K0kommunestruktur2021altern!J292</f>
        <v>136088</v>
      </c>
      <c r="K292" s="289">
        <f>+K0kommunestruktur2021altern!K292</f>
        <v>6225</v>
      </c>
      <c r="L292" s="289">
        <f>+K0kommunestruktur2021altern!L292</f>
        <v>138350</v>
      </c>
      <c r="M292" s="289">
        <f>+K0kommunestruktur2021altern!M292</f>
        <v>6246</v>
      </c>
      <c r="N292" s="289">
        <f>+K0kommunestruktur2021altern!N292</f>
        <v>142650</v>
      </c>
      <c r="O292" s="289">
        <f>+K0kommunestruktur2021altern!O292</f>
        <v>6238</v>
      </c>
      <c r="P292" s="289">
        <f>+K0kommunestruktur2021altern!P292</f>
        <v>143443</v>
      </c>
      <c r="Q292" s="289">
        <f>+K0kommunestruktur2021altern!Q292</f>
        <v>6243</v>
      </c>
      <c r="R292" s="289">
        <f>+K0kommunestruktur2021altern!R292</f>
        <v>165635.58900000001</v>
      </c>
      <c r="S292" s="289">
        <f>VLOOKUP(A292,'K22'!A292:CU647,3)</f>
        <v>6120</v>
      </c>
      <c r="T292" s="289">
        <f>VLOOKUP(A292,'K22'!$A$4:$BV$359,26)</f>
        <v>172926.41608938519</v>
      </c>
      <c r="U292" s="289">
        <f>VLOOKUP(A292,'Bef.fremskr. kommunenivå MMMM'!$A$5:$K$360,8)</f>
        <v>6098</v>
      </c>
      <c r="V292" s="289">
        <f>VLOOKUP(A292,'K23'!$A$4:$BV$359,26)</f>
        <v>162143.83024456326</v>
      </c>
    </row>
    <row r="293" spans="1:22" ht="13">
      <c r="A293" s="755">
        <v>5028</v>
      </c>
      <c r="B293" s="756" t="s">
        <v>137</v>
      </c>
      <c r="C293" s="289">
        <f>+K0kommunestruktur2021altern!C293</f>
        <v>15844</v>
      </c>
      <c r="D293" s="289">
        <f>+K0kommunestruktur2021altern!D293</f>
        <v>325097</v>
      </c>
      <c r="E293" s="289">
        <f>+K0kommunestruktur2021altern!E293</f>
        <v>15916</v>
      </c>
      <c r="F293" s="289">
        <f>+K0kommunestruktur2021altern!F293</f>
        <v>336584</v>
      </c>
      <c r="G293" s="289">
        <f>+K0kommunestruktur2021altern!G293</f>
        <v>16096</v>
      </c>
      <c r="H293" s="289">
        <f>+K0kommunestruktur2021altern!H293</f>
        <v>363387</v>
      </c>
      <c r="I293" s="289">
        <f>+K0kommunestruktur2021altern!I293</f>
        <v>16213</v>
      </c>
      <c r="J293" s="289">
        <f>+K0kommunestruktur2021altern!J293</f>
        <v>384271</v>
      </c>
      <c r="K293" s="289">
        <f>+K0kommunestruktur2021altern!K293</f>
        <v>16424</v>
      </c>
      <c r="L293" s="289">
        <f>+K0kommunestruktur2021altern!L293</f>
        <v>405508</v>
      </c>
      <c r="M293" s="289">
        <f>+K0kommunestruktur2021altern!M293</f>
        <v>16562</v>
      </c>
      <c r="N293" s="289">
        <f>+K0kommunestruktur2021altern!N293</f>
        <v>424578</v>
      </c>
      <c r="O293" s="289">
        <f>+K0kommunestruktur2021altern!O293</f>
        <v>16733</v>
      </c>
      <c r="P293" s="289">
        <f>+K0kommunestruktur2021altern!P293</f>
        <v>413343</v>
      </c>
      <c r="Q293" s="289">
        <f>+K0kommunestruktur2021altern!Q293</f>
        <v>16949</v>
      </c>
      <c r="R293" s="289">
        <f>+K0kommunestruktur2021altern!R293</f>
        <v>485438.663</v>
      </c>
      <c r="S293" s="289">
        <f>VLOOKUP(A293,'K22'!A293:CU648,3)</f>
        <v>17123</v>
      </c>
      <c r="T293" s="289">
        <f>VLOOKUP(A293,'K22'!$A$4:$BV$359,26)</f>
        <v>534819.55133295327</v>
      </c>
      <c r="U293" s="289">
        <f>VLOOKUP(A293,'Bef.fremskr. kommunenivå MMMM'!$A$5:$K$360,8)</f>
        <v>17268</v>
      </c>
      <c r="V293" s="289">
        <f>VLOOKUP(A293,'K23'!$A$4:$BV$359,26)</f>
        <v>501384.32375427597</v>
      </c>
    </row>
    <row r="294" spans="1:22" ht="13">
      <c r="A294" s="755">
        <v>5029</v>
      </c>
      <c r="B294" s="756" t="s">
        <v>138</v>
      </c>
      <c r="C294" s="289">
        <f>+K0kommunestruktur2021altern!C294</f>
        <v>7392</v>
      </c>
      <c r="D294" s="289">
        <f>+K0kommunestruktur2021altern!D294</f>
        <v>141880</v>
      </c>
      <c r="E294" s="289">
        <f>+K0kommunestruktur2021altern!E294</f>
        <v>7668</v>
      </c>
      <c r="F294" s="289">
        <f>+K0kommunestruktur2021altern!F294</f>
        <v>154041</v>
      </c>
      <c r="G294" s="289">
        <f>+K0kommunestruktur2021altern!G294</f>
        <v>7755</v>
      </c>
      <c r="H294" s="289">
        <f>+K0kommunestruktur2021altern!H294</f>
        <v>170390</v>
      </c>
      <c r="I294" s="289">
        <f>+K0kommunestruktur2021altern!I294</f>
        <v>8000</v>
      </c>
      <c r="J294" s="289">
        <f>+K0kommunestruktur2021altern!J294</f>
        <v>185257</v>
      </c>
      <c r="K294" s="289">
        <f>+K0kommunestruktur2021altern!K294</f>
        <v>8142</v>
      </c>
      <c r="L294" s="289">
        <f>+K0kommunestruktur2021altern!L294</f>
        <v>194457</v>
      </c>
      <c r="M294" s="289">
        <f>+K0kommunestruktur2021altern!M294</f>
        <v>8231</v>
      </c>
      <c r="N294" s="289">
        <f>+K0kommunestruktur2021altern!N294</f>
        <v>202229</v>
      </c>
      <c r="O294" s="289">
        <f>+K0kommunestruktur2021altern!O294</f>
        <v>8325</v>
      </c>
      <c r="P294" s="289">
        <f>+K0kommunestruktur2021altern!P294</f>
        <v>203063</v>
      </c>
      <c r="Q294" s="289">
        <f>+K0kommunestruktur2021altern!Q294</f>
        <v>8367</v>
      </c>
      <c r="R294" s="289">
        <f>+K0kommunestruktur2021altern!R294</f>
        <v>235799.02499999999</v>
      </c>
      <c r="S294" s="289">
        <f>VLOOKUP(A294,'K22'!A294:CU649,3)</f>
        <v>8360</v>
      </c>
      <c r="T294" s="289">
        <f>VLOOKUP(A294,'K22'!$A$4:$BV$359,26)</f>
        <v>252372.80051190857</v>
      </c>
      <c r="U294" s="289">
        <f>VLOOKUP(A294,'Bef.fremskr. kommunenivå MMMM'!$A$5:$K$360,8)</f>
        <v>8415</v>
      </c>
      <c r="V294" s="289">
        <f>VLOOKUP(A294,'K23'!$A$4:$BV$359,26)</f>
        <v>238704.63099970305</v>
      </c>
    </row>
    <row r="295" spans="1:22" ht="13">
      <c r="A295" s="755">
        <v>5031</v>
      </c>
      <c r="B295" s="756" t="s">
        <v>141</v>
      </c>
      <c r="C295" s="289">
        <f>+K0kommunestruktur2021altern!C295</f>
        <v>13371</v>
      </c>
      <c r="D295" s="289">
        <f>+K0kommunestruktur2021altern!D295</f>
        <v>308238</v>
      </c>
      <c r="E295" s="289">
        <f>+K0kommunestruktur2021altern!E295</f>
        <v>13498</v>
      </c>
      <c r="F295" s="289">
        <f>+K0kommunestruktur2021altern!F295</f>
        <v>318663</v>
      </c>
      <c r="G295" s="289">
        <f>+K0kommunestruktur2021altern!G295</f>
        <v>13738</v>
      </c>
      <c r="H295" s="289">
        <f>+K0kommunestruktur2021altern!H295</f>
        <v>359450</v>
      </c>
      <c r="I295" s="289">
        <f>+K0kommunestruktur2021altern!I295</f>
        <v>13820</v>
      </c>
      <c r="J295" s="289">
        <f>+K0kommunestruktur2021altern!J295</f>
        <v>368227</v>
      </c>
      <c r="K295" s="289">
        <f>+K0kommunestruktur2021altern!K295</f>
        <v>13958</v>
      </c>
      <c r="L295" s="289">
        <f>+K0kommunestruktur2021altern!L295</f>
        <v>397644</v>
      </c>
      <c r="M295" s="289">
        <f>+K0kommunestruktur2021altern!M295</f>
        <v>14040</v>
      </c>
      <c r="N295" s="289">
        <f>+K0kommunestruktur2021altern!N295</f>
        <v>412157</v>
      </c>
      <c r="O295" s="289">
        <f>+K0kommunestruktur2021altern!O295</f>
        <v>14148</v>
      </c>
      <c r="P295" s="289">
        <f>+K0kommunestruktur2021altern!P295</f>
        <v>408135</v>
      </c>
      <c r="Q295" s="289">
        <f>+K0kommunestruktur2021altern!Q295</f>
        <v>14334</v>
      </c>
      <c r="R295" s="289">
        <f>+K0kommunestruktur2021altern!R295</f>
        <v>466120.27500000002</v>
      </c>
      <c r="S295" s="289">
        <f>VLOOKUP(A295,'K22'!A295:CU650,3)</f>
        <v>14425</v>
      </c>
      <c r="T295" s="289">
        <f>VLOOKUP(A295,'K22'!$A$4:$BV$359,26)</f>
        <v>522130.92439672112</v>
      </c>
      <c r="U295" s="289">
        <f>VLOOKUP(A295,'Bef.fremskr. kommunenivå MMMM'!$A$5:$K$360,8)</f>
        <v>14587</v>
      </c>
      <c r="V295" s="289">
        <f>VLOOKUP(A295,'K23'!$A$4:$BV$359,26)</f>
        <v>487057.30481925519</v>
      </c>
    </row>
    <row r="296" spans="1:22" ht="13">
      <c r="A296" s="755">
        <v>5032</v>
      </c>
      <c r="B296" s="756" t="s">
        <v>142</v>
      </c>
      <c r="C296" s="289">
        <f>+K0kommunestruktur2021altern!C296</f>
        <v>4030</v>
      </c>
      <c r="D296" s="289">
        <f>+K0kommunestruktur2021altern!D296</f>
        <v>79555</v>
      </c>
      <c r="E296" s="289">
        <f>+K0kommunestruktur2021altern!E296</f>
        <v>4078</v>
      </c>
      <c r="F296" s="289">
        <f>+K0kommunestruktur2021altern!F296</f>
        <v>84730</v>
      </c>
      <c r="G296" s="289">
        <f>+K0kommunestruktur2021altern!G296</f>
        <v>4132</v>
      </c>
      <c r="H296" s="289">
        <f>+K0kommunestruktur2021altern!H296</f>
        <v>91266</v>
      </c>
      <c r="I296" s="289">
        <f>+K0kommunestruktur2021altern!I296</f>
        <v>4098</v>
      </c>
      <c r="J296" s="289">
        <f>+K0kommunestruktur2021altern!J296</f>
        <v>94622</v>
      </c>
      <c r="K296" s="289">
        <f>+K0kommunestruktur2021altern!K296</f>
        <v>4093</v>
      </c>
      <c r="L296" s="289">
        <f>+K0kommunestruktur2021altern!L296</f>
        <v>97338</v>
      </c>
      <c r="M296" s="289">
        <f>+K0kommunestruktur2021altern!M296</f>
        <v>4088</v>
      </c>
      <c r="N296" s="289">
        <f>+K0kommunestruktur2021altern!N296</f>
        <v>100209</v>
      </c>
      <c r="O296" s="289">
        <f>+K0kommunestruktur2021altern!O296</f>
        <v>4062</v>
      </c>
      <c r="P296" s="289">
        <f>+K0kommunestruktur2021altern!P296</f>
        <v>102099</v>
      </c>
      <c r="Q296" s="289">
        <f>+K0kommunestruktur2021altern!Q296</f>
        <v>4069</v>
      </c>
      <c r="R296" s="289">
        <f>+K0kommunestruktur2021altern!R296</f>
        <v>114143.08</v>
      </c>
      <c r="S296" s="289">
        <f>VLOOKUP(A296,'K22'!A296:CU651,3)</f>
        <v>4090</v>
      </c>
      <c r="T296" s="289">
        <f>VLOOKUP(A296,'K22'!$A$4:$BV$359,26)</f>
        <v>123801.48672100369</v>
      </c>
      <c r="U296" s="289">
        <f>VLOOKUP(A296,'Bef.fremskr. kommunenivå MMMM'!$A$5:$K$360,8)</f>
        <v>4105</v>
      </c>
      <c r="V296" s="289">
        <f>VLOOKUP(A296,'K23'!$A$4:$BV$359,26)</f>
        <v>116899.69387548757</v>
      </c>
    </row>
    <row r="297" spans="1:22" ht="13">
      <c r="A297" s="755">
        <v>5033</v>
      </c>
      <c r="B297" s="756" t="s">
        <v>143</v>
      </c>
      <c r="C297" s="289">
        <f>+K0kommunestruktur2021altern!C297</f>
        <v>864</v>
      </c>
      <c r="D297" s="289">
        <f>+K0kommunestruktur2021altern!D297</f>
        <v>30854</v>
      </c>
      <c r="E297" s="289">
        <f>+K0kommunestruktur2021altern!E297</f>
        <v>863</v>
      </c>
      <c r="F297" s="289">
        <f>+K0kommunestruktur2021altern!F297</f>
        <v>32527</v>
      </c>
      <c r="G297" s="289">
        <f>+K0kommunestruktur2021altern!G297</f>
        <v>851</v>
      </c>
      <c r="H297" s="289">
        <f>+K0kommunestruktur2021altern!H297</f>
        <v>33235</v>
      </c>
      <c r="I297" s="289">
        <f>+K0kommunestruktur2021altern!I297</f>
        <v>861</v>
      </c>
      <c r="J297" s="289">
        <f>+K0kommunestruktur2021altern!J297</f>
        <v>33121</v>
      </c>
      <c r="K297" s="289">
        <f>+K0kommunestruktur2021altern!K297</f>
        <v>834</v>
      </c>
      <c r="L297" s="289">
        <f>+K0kommunestruktur2021altern!L297</f>
        <v>34850</v>
      </c>
      <c r="M297" s="289">
        <f>+K0kommunestruktur2021altern!M297</f>
        <v>794</v>
      </c>
      <c r="N297" s="289">
        <f>+K0kommunestruktur2021altern!N297</f>
        <v>35054</v>
      </c>
      <c r="O297" s="289">
        <f>+K0kommunestruktur2021altern!O297</f>
        <v>769</v>
      </c>
      <c r="P297" s="289">
        <f>+K0kommunestruktur2021altern!P297</f>
        <v>32995</v>
      </c>
      <c r="Q297" s="289">
        <f>+K0kommunestruktur2021altern!Q297</f>
        <v>759</v>
      </c>
      <c r="R297" s="289">
        <f>+K0kommunestruktur2021altern!R297</f>
        <v>35377.728999999999</v>
      </c>
      <c r="S297" s="289">
        <f>VLOOKUP(A297,'K22'!A297:CU652,3)</f>
        <v>750</v>
      </c>
      <c r="T297" s="289">
        <f>VLOOKUP(A297,'K22'!$A$4:$BV$359,26)</f>
        <v>37276.790118774137</v>
      </c>
      <c r="U297" s="289">
        <f>VLOOKUP(A297,'Bef.fremskr. kommunenivå MMMM'!$A$5:$K$360,8)</f>
        <v>742</v>
      </c>
      <c r="V297" s="289">
        <f>VLOOKUP(A297,'K23'!$A$4:$BV$359,26)</f>
        <v>35715.678718177813</v>
      </c>
    </row>
    <row r="298" spans="1:22" ht="13">
      <c r="A298" s="755">
        <v>5034</v>
      </c>
      <c r="B298" s="756" t="s">
        <v>146</v>
      </c>
      <c r="C298" s="289">
        <f>+K0kommunestruktur2021altern!C298</f>
        <v>2553</v>
      </c>
      <c r="D298" s="289">
        <f>+K0kommunestruktur2021altern!D298</f>
        <v>48534</v>
      </c>
      <c r="E298" s="289">
        <f>+K0kommunestruktur2021altern!E298</f>
        <v>2558</v>
      </c>
      <c r="F298" s="289">
        <f>+K0kommunestruktur2021altern!F298</f>
        <v>51352</v>
      </c>
      <c r="G298" s="289">
        <f>+K0kommunestruktur2021altern!G298</f>
        <v>2523</v>
      </c>
      <c r="H298" s="289">
        <f>+K0kommunestruktur2021altern!H298</f>
        <v>53590</v>
      </c>
      <c r="I298" s="289">
        <f>+K0kommunestruktur2021altern!I298</f>
        <v>2508</v>
      </c>
      <c r="J298" s="289">
        <f>+K0kommunestruktur2021altern!J298</f>
        <v>54417</v>
      </c>
      <c r="K298" s="289">
        <f>+K0kommunestruktur2021altern!K298</f>
        <v>2469</v>
      </c>
      <c r="L298" s="289">
        <f>+K0kommunestruktur2021altern!L298</f>
        <v>57823</v>
      </c>
      <c r="M298" s="289">
        <f>+K0kommunestruktur2021altern!M298</f>
        <v>2432</v>
      </c>
      <c r="N298" s="289">
        <f>+K0kommunestruktur2021altern!N298</f>
        <v>57334</v>
      </c>
      <c r="O298" s="289">
        <f>+K0kommunestruktur2021altern!O298</f>
        <v>2422</v>
      </c>
      <c r="P298" s="289">
        <f>+K0kommunestruktur2021altern!P298</f>
        <v>55743</v>
      </c>
      <c r="Q298" s="289">
        <f>+K0kommunestruktur2021altern!Q298</f>
        <v>2413</v>
      </c>
      <c r="R298" s="289">
        <f>+K0kommunestruktur2021altern!R298</f>
        <v>63651.06</v>
      </c>
      <c r="S298" s="289">
        <f>VLOOKUP(A298,'K22'!A298:CU653,3)</f>
        <v>2399</v>
      </c>
      <c r="T298" s="289">
        <f>VLOOKUP(A298,'K22'!$A$4:$BV$359,26)</f>
        <v>67727.139623412353</v>
      </c>
      <c r="U298" s="289">
        <f>VLOOKUP(A298,'Bef.fremskr. kommunenivå MMMM'!$A$5:$K$360,8)</f>
        <v>2427</v>
      </c>
      <c r="V298" s="289">
        <f>VLOOKUP(A298,'K23'!$A$4:$BV$359,26)</f>
        <v>64424.394751840075</v>
      </c>
    </row>
    <row r="299" spans="1:22" ht="13">
      <c r="A299" s="755">
        <v>5035</v>
      </c>
      <c r="B299" s="756" t="s">
        <v>147</v>
      </c>
      <c r="C299" s="289">
        <f>+K0kommunestruktur2021altern!C299</f>
        <v>22683</v>
      </c>
      <c r="D299" s="289">
        <f>+K0kommunestruktur2021altern!D299</f>
        <v>461772</v>
      </c>
      <c r="E299" s="289">
        <f>+K0kommunestruktur2021altern!E299</f>
        <v>22957</v>
      </c>
      <c r="F299" s="289">
        <f>+K0kommunestruktur2021altern!F299</f>
        <v>500584</v>
      </c>
      <c r="G299" s="289">
        <f>+K0kommunestruktur2021altern!G299</f>
        <v>23308</v>
      </c>
      <c r="H299" s="289">
        <f>+K0kommunestruktur2021altern!H299</f>
        <v>539672</v>
      </c>
      <c r="I299" s="289">
        <f>+K0kommunestruktur2021altern!I299</f>
        <v>23625</v>
      </c>
      <c r="J299" s="289">
        <f>+K0kommunestruktur2021altern!J299</f>
        <v>564472</v>
      </c>
      <c r="K299" s="289">
        <f>+K0kommunestruktur2021altern!K299</f>
        <v>23964</v>
      </c>
      <c r="L299" s="289">
        <f>+K0kommunestruktur2021altern!L299</f>
        <v>597732</v>
      </c>
      <c r="M299" s="289">
        <f>+K0kommunestruktur2021altern!M299</f>
        <v>24028</v>
      </c>
      <c r="N299" s="289">
        <f>+K0kommunestruktur2021altern!N299</f>
        <v>615174</v>
      </c>
      <c r="O299" s="289">
        <f>+K0kommunestruktur2021altern!O299</f>
        <v>24145</v>
      </c>
      <c r="P299" s="289">
        <f>+K0kommunestruktur2021altern!P299</f>
        <v>598173</v>
      </c>
      <c r="Q299" s="289">
        <f>+K0kommunestruktur2021altern!Q299</f>
        <v>24283</v>
      </c>
      <c r="R299" s="289">
        <f>+K0kommunestruktur2021altern!R299</f>
        <v>694242.41700000002</v>
      </c>
      <c r="S299" s="289">
        <f>VLOOKUP(A299,'K22'!A299:CU654,3)</f>
        <v>24287</v>
      </c>
      <c r="T299" s="289">
        <f>VLOOKUP(A299,'K22'!$A$4:$BV$359,26)</f>
        <v>757170.9415781023</v>
      </c>
      <c r="U299" s="289">
        <f>VLOOKUP(A299,'Bef.fremskr. kommunenivå MMMM'!$A$5:$K$360,8)</f>
        <v>24331</v>
      </c>
      <c r="V299" s="289">
        <f>VLOOKUP(A299,'K23'!$A$4:$BV$359,26)</f>
        <v>706766.09197995416</v>
      </c>
    </row>
    <row r="300" spans="1:22" ht="13">
      <c r="A300" s="755">
        <v>5036</v>
      </c>
      <c r="B300" s="756" t="s">
        <v>148</v>
      </c>
      <c r="C300" s="289">
        <f>+K0kommunestruktur2021altern!C300</f>
        <v>2653</v>
      </c>
      <c r="D300" s="289">
        <f>+K0kommunestruktur2021altern!D300</f>
        <v>43779</v>
      </c>
      <c r="E300" s="289">
        <f>+K0kommunestruktur2021altern!E300</f>
        <v>2624</v>
      </c>
      <c r="F300" s="289">
        <f>+K0kommunestruktur2021altern!F300</f>
        <v>45334</v>
      </c>
      <c r="G300" s="289">
        <f>+K0kommunestruktur2021altern!G300</f>
        <v>2631</v>
      </c>
      <c r="H300" s="289">
        <f>+K0kommunestruktur2021altern!H300</f>
        <v>48858</v>
      </c>
      <c r="I300" s="289">
        <f>+K0kommunestruktur2021altern!I300</f>
        <v>2630</v>
      </c>
      <c r="J300" s="289">
        <f>+K0kommunestruktur2021altern!J300</f>
        <v>55464</v>
      </c>
      <c r="K300" s="289">
        <f>+K0kommunestruktur2021altern!K300</f>
        <v>2616</v>
      </c>
      <c r="L300" s="289">
        <f>+K0kommunestruktur2021altern!L300</f>
        <v>57821</v>
      </c>
      <c r="M300" s="289">
        <f>+K0kommunestruktur2021altern!M300</f>
        <v>2632</v>
      </c>
      <c r="N300" s="289">
        <f>+K0kommunestruktur2021altern!N300</f>
        <v>57477</v>
      </c>
      <c r="O300" s="289">
        <f>+K0kommunestruktur2021altern!O300</f>
        <v>2627</v>
      </c>
      <c r="P300" s="289">
        <f>+K0kommunestruktur2021altern!P300</f>
        <v>60319</v>
      </c>
      <c r="Q300" s="289">
        <f>+K0kommunestruktur2021altern!Q300</f>
        <v>2609</v>
      </c>
      <c r="R300" s="289">
        <f>+K0kommunestruktur2021altern!R300</f>
        <v>70464.293000000005</v>
      </c>
      <c r="S300" s="289">
        <f>VLOOKUP(A300,'K22'!A300:CU655,3)</f>
        <v>2608</v>
      </c>
      <c r="T300" s="289">
        <f>VLOOKUP(A300,'K22'!$A$4:$BV$359,26)</f>
        <v>74340.203159450524</v>
      </c>
      <c r="U300" s="289">
        <f>VLOOKUP(A300,'Bef.fremskr. kommunenivå MMMM'!$A$5:$K$360,8)</f>
        <v>2648</v>
      </c>
      <c r="V300" s="289">
        <f>VLOOKUP(A300,'K23'!$A$4:$BV$359,26)</f>
        <v>69826.172158476242</v>
      </c>
    </row>
    <row r="301" spans="1:22" ht="13">
      <c r="A301" s="755">
        <v>5037</v>
      </c>
      <c r="B301" s="756" t="s">
        <v>150</v>
      </c>
      <c r="C301" s="289">
        <f>+K0kommunestruktur2021altern!C301</f>
        <v>19212</v>
      </c>
      <c r="D301" s="289">
        <f>+K0kommunestruktur2021altern!D301</f>
        <v>379690</v>
      </c>
      <c r="E301" s="289">
        <f>+K0kommunestruktur2021altern!E301</f>
        <v>19474</v>
      </c>
      <c r="F301" s="289">
        <f>+K0kommunestruktur2021altern!F301</f>
        <v>399602</v>
      </c>
      <c r="G301" s="289">
        <f>+K0kommunestruktur2021altern!G301</f>
        <v>19610</v>
      </c>
      <c r="H301" s="289">
        <f>+K0kommunestruktur2021altern!H301</f>
        <v>452141</v>
      </c>
      <c r="I301" s="289">
        <f>+K0kommunestruktur2021altern!I301</f>
        <v>19892</v>
      </c>
      <c r="J301" s="289">
        <f>+K0kommunestruktur2021altern!J301</f>
        <v>467325</v>
      </c>
      <c r="K301" s="289">
        <f>+K0kommunestruktur2021altern!K301</f>
        <v>20115</v>
      </c>
      <c r="L301" s="289">
        <f>+K0kommunestruktur2021altern!L301</f>
        <v>490350</v>
      </c>
      <c r="M301" s="289">
        <f>+K0kommunestruktur2021altern!M301</f>
        <v>20254</v>
      </c>
      <c r="N301" s="289">
        <f>+K0kommunestruktur2021altern!N301</f>
        <v>515645</v>
      </c>
      <c r="O301" s="289">
        <f>+K0kommunestruktur2021altern!O301</f>
        <v>20164</v>
      </c>
      <c r="P301" s="289">
        <f>+K0kommunestruktur2021altern!P301</f>
        <v>509280</v>
      </c>
      <c r="Q301" s="289">
        <f>+K0kommunestruktur2021altern!Q301</f>
        <v>20170</v>
      </c>
      <c r="R301" s="289">
        <f>+K0kommunestruktur2021altern!R301</f>
        <v>582620.89099999995</v>
      </c>
      <c r="S301" s="289">
        <f>VLOOKUP(A301,'K22'!A301:CU656,3)</f>
        <v>20171</v>
      </c>
      <c r="T301" s="289">
        <f>VLOOKUP(A301,'K22'!$A$4:$BV$359,26)</f>
        <v>634393.66123361432</v>
      </c>
      <c r="U301" s="289">
        <f>VLOOKUP(A301,'Bef.fremskr. kommunenivå MMMM'!$A$5:$K$360,8)</f>
        <v>20222</v>
      </c>
      <c r="V301" s="289">
        <f>VLOOKUP(A301,'K23'!$A$4:$BV$359,26)</f>
        <v>592102.01377686323</v>
      </c>
    </row>
    <row r="302" spans="1:22" ht="13">
      <c r="A302" s="755">
        <v>5038</v>
      </c>
      <c r="B302" s="756" t="s">
        <v>151</v>
      </c>
      <c r="C302" s="289">
        <f>+K0kommunestruktur2021altern!C302</f>
        <v>14788</v>
      </c>
      <c r="D302" s="289">
        <f>+K0kommunestruktur2021altern!D302</f>
        <v>279742</v>
      </c>
      <c r="E302" s="289">
        <f>+K0kommunestruktur2021altern!E302</f>
        <v>14809</v>
      </c>
      <c r="F302" s="289">
        <f>+K0kommunestruktur2021altern!F302</f>
        <v>280360</v>
      </c>
      <c r="G302" s="289">
        <f>+K0kommunestruktur2021altern!G302</f>
        <v>14885</v>
      </c>
      <c r="H302" s="289">
        <f>+K0kommunestruktur2021altern!H302</f>
        <v>303298</v>
      </c>
      <c r="I302" s="289">
        <f>+K0kommunestruktur2021altern!I302</f>
        <v>14849</v>
      </c>
      <c r="J302" s="289">
        <f>+K0kommunestruktur2021altern!J302</f>
        <v>319010</v>
      </c>
      <c r="K302" s="289">
        <f>+K0kommunestruktur2021altern!K302</f>
        <v>14943</v>
      </c>
      <c r="L302" s="289">
        <f>+K0kommunestruktur2021altern!L302</f>
        <v>334369</v>
      </c>
      <c r="M302" s="289">
        <f>+K0kommunestruktur2021altern!M302</f>
        <v>14933</v>
      </c>
      <c r="N302" s="289">
        <f>+K0kommunestruktur2021altern!N302</f>
        <v>344409</v>
      </c>
      <c r="O302" s="289">
        <f>+K0kommunestruktur2021altern!O302</f>
        <v>14948</v>
      </c>
      <c r="P302" s="289">
        <f>+K0kommunestruktur2021altern!P302</f>
        <v>346720</v>
      </c>
      <c r="Q302" s="289">
        <f>+K0kommunestruktur2021altern!Q302</f>
        <v>14986</v>
      </c>
      <c r="R302" s="289">
        <f>+K0kommunestruktur2021altern!R302</f>
        <v>400352.47899999999</v>
      </c>
      <c r="S302" s="289">
        <f>VLOOKUP(A302,'K22'!A302:CU657,3)</f>
        <v>14955</v>
      </c>
      <c r="T302" s="289">
        <f>VLOOKUP(A302,'K22'!$A$4:$BV$359,26)</f>
        <v>431862.91094950848</v>
      </c>
      <c r="U302" s="289">
        <f>VLOOKUP(A302,'Bef.fremskr. kommunenivå MMMM'!$A$5:$K$360,8)</f>
        <v>14915</v>
      </c>
      <c r="V302" s="289">
        <f>VLOOKUP(A302,'K23'!$A$4:$BV$359,26)</f>
        <v>400191.19671105262</v>
      </c>
    </row>
    <row r="303" spans="1:22" ht="13">
      <c r="A303" s="755">
        <v>5041</v>
      </c>
      <c r="B303" s="756" t="s">
        <v>156</v>
      </c>
      <c r="C303" s="289">
        <f>+K0kommunestruktur2021altern!C303</f>
        <v>2156</v>
      </c>
      <c r="D303" s="289">
        <f>+K0kommunestruktur2021altern!D303</f>
        <v>37914</v>
      </c>
      <c r="E303" s="289">
        <f>+K0kommunestruktur2021altern!E303</f>
        <v>2153</v>
      </c>
      <c r="F303" s="289">
        <f>+K0kommunestruktur2021altern!F303</f>
        <v>39394</v>
      </c>
      <c r="G303" s="289">
        <f>+K0kommunestruktur2021altern!G303</f>
        <v>2139</v>
      </c>
      <c r="H303" s="289">
        <f>+K0kommunestruktur2021altern!H303</f>
        <v>41094</v>
      </c>
      <c r="I303" s="289">
        <f>+K0kommunestruktur2021altern!I303</f>
        <v>2159</v>
      </c>
      <c r="J303" s="289">
        <f>+K0kommunestruktur2021altern!J303</f>
        <v>43422</v>
      </c>
      <c r="K303" s="289">
        <f>+K0kommunestruktur2021altern!K303</f>
        <v>2094</v>
      </c>
      <c r="L303" s="289">
        <f>+K0kommunestruktur2021altern!L303</f>
        <v>43014</v>
      </c>
      <c r="M303" s="289">
        <f>+K0kommunestruktur2021altern!M303</f>
        <v>2100</v>
      </c>
      <c r="N303" s="289">
        <f>+K0kommunestruktur2021altern!N303</f>
        <v>45037</v>
      </c>
      <c r="O303" s="289">
        <f>+K0kommunestruktur2021altern!O303</f>
        <v>2063</v>
      </c>
      <c r="P303" s="289">
        <f>+K0kommunestruktur2021altern!P303</f>
        <v>45906</v>
      </c>
      <c r="Q303" s="289">
        <f>+K0kommunestruktur2021altern!Q303</f>
        <v>2054</v>
      </c>
      <c r="R303" s="289">
        <f>+K0kommunestruktur2021altern!R303</f>
        <v>51492.535000000003</v>
      </c>
      <c r="S303" s="289">
        <f>VLOOKUP(A303,'K22'!A303:CU658,3)</f>
        <v>2033</v>
      </c>
      <c r="T303" s="289">
        <f>VLOOKUP(A303,'K22'!$A$4:$BV$359,26)</f>
        <v>53986.220735915114</v>
      </c>
      <c r="U303" s="289">
        <f>VLOOKUP(A303,'Bef.fremskr. kommunenivå MMMM'!$A$5:$K$360,8)</f>
        <v>1998</v>
      </c>
      <c r="V303" s="289">
        <f>VLOOKUP(A303,'K23'!$A$4:$BV$359,26)</f>
        <v>50485.857311700485</v>
      </c>
    </row>
    <row r="304" spans="1:22" ht="13">
      <c r="A304" s="755">
        <v>5042</v>
      </c>
      <c r="B304" s="756" t="s">
        <v>157</v>
      </c>
      <c r="C304" s="289">
        <f>+K0kommunestruktur2021altern!C304</f>
        <v>1385</v>
      </c>
      <c r="D304" s="289">
        <f>+K0kommunestruktur2021altern!D304</f>
        <v>30495</v>
      </c>
      <c r="E304" s="289">
        <f>+K0kommunestruktur2021altern!E304</f>
        <v>1394</v>
      </c>
      <c r="F304" s="289">
        <f>+K0kommunestruktur2021altern!F304</f>
        <v>30846</v>
      </c>
      <c r="G304" s="289">
        <f>+K0kommunestruktur2021altern!G304</f>
        <v>1375</v>
      </c>
      <c r="H304" s="289">
        <f>+K0kommunestruktur2021altern!H304</f>
        <v>30134</v>
      </c>
      <c r="I304" s="289">
        <f>+K0kommunestruktur2021altern!I304</f>
        <v>1389</v>
      </c>
      <c r="J304" s="289">
        <f>+K0kommunestruktur2021altern!J304</f>
        <v>30547</v>
      </c>
      <c r="K304" s="289">
        <f>+K0kommunestruktur2021altern!K304</f>
        <v>1379</v>
      </c>
      <c r="L304" s="289">
        <f>+K0kommunestruktur2021altern!L304</f>
        <v>31031</v>
      </c>
      <c r="M304" s="289">
        <f>+K0kommunestruktur2021altern!M304</f>
        <v>1386</v>
      </c>
      <c r="N304" s="289">
        <f>+K0kommunestruktur2021altern!N304</f>
        <v>33722</v>
      </c>
      <c r="O304" s="289">
        <f>+K0kommunestruktur2021altern!O304</f>
        <v>1355</v>
      </c>
      <c r="P304" s="289">
        <f>+K0kommunestruktur2021altern!P304</f>
        <v>33626</v>
      </c>
      <c r="Q304" s="289">
        <f>+K0kommunestruktur2021altern!Q304</f>
        <v>1328</v>
      </c>
      <c r="R304" s="289">
        <f>+K0kommunestruktur2021altern!R304</f>
        <v>35802.779000000002</v>
      </c>
      <c r="S304" s="289">
        <f>VLOOKUP(A304,'K22'!A304:CU659,3)</f>
        <v>1309</v>
      </c>
      <c r="T304" s="289">
        <f>VLOOKUP(A304,'K22'!$A$4:$BV$359,26)</f>
        <v>39248.409785182987</v>
      </c>
      <c r="U304" s="289">
        <f>VLOOKUP(A304,'Bef.fremskr. kommunenivå MMMM'!$A$5:$K$360,8)</f>
        <v>1282</v>
      </c>
      <c r="V304" s="289">
        <f>VLOOKUP(A304,'K23'!$A$4:$BV$359,26)</f>
        <v>35848.857934969419</v>
      </c>
    </row>
    <row r="305" spans="1:22" ht="13">
      <c r="A305" s="755">
        <v>5043</v>
      </c>
      <c r="B305" s="756" t="s">
        <v>164</v>
      </c>
      <c r="C305" s="289">
        <f>+K0kommunestruktur2021altern!C305</f>
        <v>498</v>
      </c>
      <c r="D305" s="289">
        <f>+K0kommunestruktur2021altern!D305</f>
        <v>12548</v>
      </c>
      <c r="E305" s="289">
        <f>+K0kommunestruktur2021altern!E305</f>
        <v>475</v>
      </c>
      <c r="F305" s="289">
        <f>+K0kommunestruktur2021altern!F305</f>
        <v>12235</v>
      </c>
      <c r="G305" s="289">
        <f>+K0kommunestruktur2021altern!G305</f>
        <v>469</v>
      </c>
      <c r="H305" s="289">
        <f>+K0kommunestruktur2021altern!H305</f>
        <v>12455</v>
      </c>
      <c r="I305" s="289">
        <f>+K0kommunestruktur2021altern!I305</f>
        <v>469</v>
      </c>
      <c r="J305" s="289">
        <f>+K0kommunestruktur2021altern!J305</f>
        <v>12378</v>
      </c>
      <c r="K305" s="289">
        <f>+K0kommunestruktur2021altern!K305</f>
        <v>474</v>
      </c>
      <c r="L305" s="289">
        <f>+K0kommunestruktur2021altern!L305</f>
        <v>13341</v>
      </c>
      <c r="M305" s="289">
        <f>+K0kommunestruktur2021altern!M305</f>
        <v>482</v>
      </c>
      <c r="N305" s="289">
        <f>+K0kommunestruktur2021altern!N305</f>
        <v>11848</v>
      </c>
      <c r="O305" s="289">
        <f>+K0kommunestruktur2021altern!O305</f>
        <v>461</v>
      </c>
      <c r="P305" s="289">
        <f>+K0kommunestruktur2021altern!P305</f>
        <v>12059</v>
      </c>
      <c r="Q305" s="289">
        <f>+K0kommunestruktur2021altern!Q305</f>
        <v>459</v>
      </c>
      <c r="R305" s="289">
        <f>+K0kommunestruktur2021altern!R305</f>
        <v>13437.659</v>
      </c>
      <c r="S305" s="289">
        <f>VLOOKUP(A305,'K22'!A305:CU660,3)</f>
        <v>441</v>
      </c>
      <c r="T305" s="289">
        <f>VLOOKUP(A305,'K22'!$A$4:$BV$359,26)</f>
        <v>13304.819606085463</v>
      </c>
      <c r="U305" s="289">
        <f>VLOOKUP(A305,'Bef.fremskr. kommunenivå MMMM'!$A$5:$K$360,8)</f>
        <v>437</v>
      </c>
      <c r="V305" s="289">
        <f>VLOOKUP(A305,'K23'!$A$4:$BV$359,26)</f>
        <v>12752.083957851992</v>
      </c>
    </row>
    <row r="306" spans="1:22" ht="13">
      <c r="A306" s="755">
        <v>5044</v>
      </c>
      <c r="B306" s="756" t="s">
        <v>165</v>
      </c>
      <c r="C306" s="289">
        <f>+K0kommunestruktur2021altern!C306</f>
        <v>922</v>
      </c>
      <c r="D306" s="289">
        <f>+K0kommunestruktur2021altern!D306</f>
        <v>25379</v>
      </c>
      <c r="E306" s="289">
        <f>+K0kommunestruktur2021altern!E306</f>
        <v>892</v>
      </c>
      <c r="F306" s="289">
        <f>+K0kommunestruktur2021altern!F306</f>
        <v>25338</v>
      </c>
      <c r="G306" s="289">
        <f>+K0kommunestruktur2021altern!G306</f>
        <v>867</v>
      </c>
      <c r="H306" s="289">
        <f>+K0kommunestruktur2021altern!H306</f>
        <v>27663</v>
      </c>
      <c r="I306" s="289">
        <f>+K0kommunestruktur2021altern!I306</f>
        <v>872</v>
      </c>
      <c r="J306" s="289">
        <f>+K0kommunestruktur2021altern!J306</f>
        <v>27937</v>
      </c>
      <c r="K306" s="289">
        <f>+K0kommunestruktur2021altern!K306</f>
        <v>902</v>
      </c>
      <c r="L306" s="289">
        <f>+K0kommunestruktur2021altern!L306</f>
        <v>29002</v>
      </c>
      <c r="M306" s="289">
        <f>+K0kommunestruktur2021altern!M306</f>
        <v>871</v>
      </c>
      <c r="N306" s="289">
        <f>+K0kommunestruktur2021altern!N306</f>
        <v>29273</v>
      </c>
      <c r="O306" s="289">
        <f>+K0kommunestruktur2021altern!O306</f>
        <v>843</v>
      </c>
      <c r="P306" s="289">
        <f>+K0kommunestruktur2021altern!P306</f>
        <v>28469</v>
      </c>
      <c r="Q306" s="289">
        <f>+K0kommunestruktur2021altern!Q306</f>
        <v>846</v>
      </c>
      <c r="R306" s="289">
        <f>+K0kommunestruktur2021altern!R306</f>
        <v>32661.99</v>
      </c>
      <c r="S306" s="289">
        <f>VLOOKUP(A306,'K22'!A306:CU661,3)</f>
        <v>818</v>
      </c>
      <c r="T306" s="289">
        <f>VLOOKUP(A306,'K22'!$A$4:$BV$359,26)</f>
        <v>33066.403237495586</v>
      </c>
      <c r="U306" s="289">
        <f>VLOOKUP(A306,'Bef.fremskr. kommunenivå MMMM'!$A$5:$K$360,8)</f>
        <v>814</v>
      </c>
      <c r="V306" s="289">
        <f>VLOOKUP(A306,'K23'!$A$4:$BV$359,26)</f>
        <v>31219.24497308629</v>
      </c>
    </row>
    <row r="307" spans="1:22" ht="13">
      <c r="A307" s="755">
        <v>5045</v>
      </c>
      <c r="B307" s="756" t="s">
        <v>166</v>
      </c>
      <c r="C307" s="289">
        <f>+K0kommunestruktur2021altern!C307</f>
        <v>2449</v>
      </c>
      <c r="D307" s="289">
        <f>+K0kommunestruktur2021altern!D307</f>
        <v>50196</v>
      </c>
      <c r="E307" s="289">
        <f>+K0kommunestruktur2021altern!E307</f>
        <v>2489</v>
      </c>
      <c r="F307" s="289">
        <f>+K0kommunestruktur2021altern!F307</f>
        <v>52821</v>
      </c>
      <c r="G307" s="289">
        <f>+K0kommunestruktur2021altern!G307</f>
        <v>2466</v>
      </c>
      <c r="H307" s="289">
        <f>+K0kommunestruktur2021altern!H307</f>
        <v>57612</v>
      </c>
      <c r="I307" s="289">
        <f>+K0kommunestruktur2021altern!I307</f>
        <v>2467</v>
      </c>
      <c r="J307" s="289">
        <f>+K0kommunestruktur2021altern!J307</f>
        <v>60456</v>
      </c>
      <c r="K307" s="289">
        <f>+K0kommunestruktur2021altern!K307</f>
        <v>2400</v>
      </c>
      <c r="L307" s="289">
        <f>+K0kommunestruktur2021altern!L307</f>
        <v>62432</v>
      </c>
      <c r="M307" s="289">
        <f>+K0kommunestruktur2021altern!M307</f>
        <v>2374</v>
      </c>
      <c r="N307" s="289">
        <f>+K0kommunestruktur2021altern!N307</f>
        <v>64293</v>
      </c>
      <c r="O307" s="289">
        <f>+K0kommunestruktur2021altern!O307</f>
        <v>2359</v>
      </c>
      <c r="P307" s="289">
        <f>+K0kommunestruktur2021altern!P307</f>
        <v>60632</v>
      </c>
      <c r="Q307" s="289">
        <f>+K0kommunestruktur2021altern!Q307</f>
        <v>2347</v>
      </c>
      <c r="R307" s="289">
        <f>+K0kommunestruktur2021altern!R307</f>
        <v>67677.910999999993</v>
      </c>
      <c r="S307" s="289">
        <f>VLOOKUP(A307,'K22'!A307:CU662,3)</f>
        <v>2287</v>
      </c>
      <c r="T307" s="289">
        <f>VLOOKUP(A307,'K22'!$A$4:$BV$359,26)</f>
        <v>71993.094319875803</v>
      </c>
      <c r="U307" s="289">
        <f>VLOOKUP(A307,'Bef.fremskr. kommunenivå MMMM'!$A$5:$K$360,8)</f>
        <v>2286</v>
      </c>
      <c r="V307" s="289">
        <f>VLOOKUP(A307,'K23'!$A$4:$BV$359,26)</f>
        <v>68330.081053287533</v>
      </c>
    </row>
    <row r="308" spans="1:22" ht="13">
      <c r="A308" s="755">
        <v>5046</v>
      </c>
      <c r="B308" s="756" t="s">
        <v>167</v>
      </c>
      <c r="C308" s="289">
        <f>+K0kommunestruktur2021altern!C308</f>
        <v>1257</v>
      </c>
      <c r="D308" s="289">
        <f>+K0kommunestruktur2021altern!D308</f>
        <v>22187</v>
      </c>
      <c r="E308" s="289">
        <f>+K0kommunestruktur2021altern!E308</f>
        <v>1252</v>
      </c>
      <c r="F308" s="289">
        <f>+K0kommunestruktur2021altern!F308</f>
        <v>23151</v>
      </c>
      <c r="G308" s="289">
        <f>+K0kommunestruktur2021altern!G308</f>
        <v>1250</v>
      </c>
      <c r="H308" s="289">
        <f>+K0kommunestruktur2021altern!H308</f>
        <v>26653</v>
      </c>
      <c r="I308" s="289">
        <f>+K0kommunestruktur2021altern!I308</f>
        <v>1264</v>
      </c>
      <c r="J308" s="289">
        <f>+K0kommunestruktur2021altern!J308</f>
        <v>27648</v>
      </c>
      <c r="K308" s="289">
        <f>+K0kommunestruktur2021altern!K308</f>
        <v>1268</v>
      </c>
      <c r="L308" s="289">
        <f>+K0kommunestruktur2021altern!L308</f>
        <v>26225</v>
      </c>
      <c r="M308" s="289">
        <f>+K0kommunestruktur2021altern!M308</f>
        <v>1254</v>
      </c>
      <c r="N308" s="289">
        <f>+K0kommunestruktur2021altern!N308</f>
        <v>27502</v>
      </c>
      <c r="O308" s="289">
        <f>+K0kommunestruktur2021altern!O308</f>
        <v>1231</v>
      </c>
      <c r="P308" s="289">
        <f>+K0kommunestruktur2021altern!P308</f>
        <v>27461</v>
      </c>
      <c r="Q308" s="289">
        <f>+K0kommunestruktur2021altern!Q308</f>
        <v>1215</v>
      </c>
      <c r="R308" s="289">
        <f>+K0kommunestruktur2021altern!R308</f>
        <v>29339.453000000001</v>
      </c>
      <c r="S308" s="289">
        <f>VLOOKUP(A308,'K22'!A308:CU663,3)</f>
        <v>1193</v>
      </c>
      <c r="T308" s="289">
        <f>VLOOKUP(A308,'K22'!$A$4:$BV$359,26)</f>
        <v>31909.971494418252</v>
      </c>
      <c r="U308" s="289">
        <f>VLOOKUP(A308,'Bef.fremskr. kommunenivå MMMM'!$A$5:$K$360,8)</f>
        <v>1181</v>
      </c>
      <c r="V308" s="289">
        <f>VLOOKUP(A308,'K23'!$A$4:$BV$359,26)</f>
        <v>29749.091779239378</v>
      </c>
    </row>
    <row r="309" spans="1:22" ht="13">
      <c r="A309" s="755">
        <v>5047</v>
      </c>
      <c r="B309" s="756" t="s">
        <v>168</v>
      </c>
      <c r="C309" s="289">
        <f>+K0kommunestruktur2021altern!C309</f>
        <v>3732</v>
      </c>
      <c r="D309" s="289">
        <f>+K0kommunestruktur2021altern!D309</f>
        <v>72891</v>
      </c>
      <c r="E309" s="289">
        <f>+K0kommunestruktur2021altern!E309</f>
        <v>3751</v>
      </c>
      <c r="F309" s="289">
        <f>+K0kommunestruktur2021altern!F309</f>
        <v>75389</v>
      </c>
      <c r="G309" s="289">
        <f>+K0kommunestruktur2021altern!G309</f>
        <v>3825</v>
      </c>
      <c r="H309" s="289">
        <f>+K0kommunestruktur2021altern!H309</f>
        <v>82123</v>
      </c>
      <c r="I309" s="289">
        <f>+K0kommunestruktur2021altern!I309</f>
        <v>3840</v>
      </c>
      <c r="J309" s="289">
        <f>+K0kommunestruktur2021altern!J309</f>
        <v>89306</v>
      </c>
      <c r="K309" s="289">
        <f>+K0kommunestruktur2021altern!K309</f>
        <v>3845</v>
      </c>
      <c r="L309" s="289">
        <f>+K0kommunestruktur2021altern!L309</f>
        <v>93345</v>
      </c>
      <c r="M309" s="289">
        <f>+K0kommunestruktur2021altern!M309</f>
        <v>3879</v>
      </c>
      <c r="N309" s="289">
        <f>+K0kommunestruktur2021altern!N309</f>
        <v>93413</v>
      </c>
      <c r="O309" s="289">
        <f>+K0kommunestruktur2021altern!O309</f>
        <v>3884</v>
      </c>
      <c r="P309" s="289">
        <f>+K0kommunestruktur2021altern!P309</f>
        <v>92418</v>
      </c>
      <c r="Q309" s="289">
        <f>+K0kommunestruktur2021altern!Q309</f>
        <v>3865</v>
      </c>
      <c r="R309" s="289">
        <f>+K0kommunestruktur2021altern!R309</f>
        <v>104067.85</v>
      </c>
      <c r="S309" s="289">
        <f>VLOOKUP(A309,'K22'!A309:CU664,3)</f>
        <v>3817</v>
      </c>
      <c r="T309" s="289">
        <f>VLOOKUP(A309,'K22'!$A$4:$BV$359,26)</f>
        <v>112800.58424278154</v>
      </c>
      <c r="U309" s="289">
        <f>VLOOKUP(A309,'Bef.fremskr. kommunenivå MMMM'!$A$5:$K$360,8)</f>
        <v>3809</v>
      </c>
      <c r="V309" s="289">
        <f>VLOOKUP(A309,'K23'!$A$4:$BV$359,26)</f>
        <v>104834.94166032557</v>
      </c>
    </row>
    <row r="310" spans="1:22" ht="13">
      <c r="A310" s="755">
        <v>5049</v>
      </c>
      <c r="B310" s="756" t="s">
        <v>170</v>
      </c>
      <c r="C310" s="289">
        <f>+K0kommunestruktur2021altern!C310</f>
        <v>1120</v>
      </c>
      <c r="D310" s="289">
        <f>+K0kommunestruktur2021altern!D310</f>
        <v>20942</v>
      </c>
      <c r="E310" s="289">
        <f>+K0kommunestruktur2021altern!E310</f>
        <v>1119</v>
      </c>
      <c r="F310" s="289">
        <f>+K0kommunestruktur2021altern!F310</f>
        <v>23043</v>
      </c>
      <c r="G310" s="289">
        <f>+K0kommunestruktur2021altern!G310</f>
        <v>1103</v>
      </c>
      <c r="H310" s="289">
        <f>+K0kommunestruktur2021altern!H310</f>
        <v>26366</v>
      </c>
      <c r="I310" s="289">
        <f>+K0kommunestruktur2021altern!I310</f>
        <v>1090</v>
      </c>
      <c r="J310" s="289">
        <f>+K0kommunestruktur2021altern!J310</f>
        <v>26376</v>
      </c>
      <c r="K310" s="289">
        <f>+K0kommunestruktur2021altern!K310</f>
        <v>1105</v>
      </c>
      <c r="L310" s="289">
        <f>+K0kommunestruktur2021altern!L310</f>
        <v>29062</v>
      </c>
      <c r="M310" s="289">
        <f>+K0kommunestruktur2021altern!M310</f>
        <v>1103</v>
      </c>
      <c r="N310" s="289">
        <f>+K0kommunestruktur2021altern!N310</f>
        <v>32722</v>
      </c>
      <c r="O310" s="289">
        <f>+K0kommunestruktur2021altern!O310</f>
        <v>1103</v>
      </c>
      <c r="P310" s="289">
        <f>+K0kommunestruktur2021altern!P310</f>
        <v>41284</v>
      </c>
      <c r="Q310" s="289">
        <f>+K0kommunestruktur2021altern!Q310</f>
        <v>1100</v>
      </c>
      <c r="R310" s="289">
        <f>+K0kommunestruktur2021altern!R310</f>
        <v>42474.544000000002</v>
      </c>
      <c r="S310" s="289">
        <f>VLOOKUP(A310,'K22'!A310:CU665,3)</f>
        <v>1101</v>
      </c>
      <c r="T310" s="289">
        <f>VLOOKUP(A310,'K22'!$A$4:$BV$359,26)</f>
        <v>50114.912833941416</v>
      </c>
      <c r="U310" s="289">
        <f>VLOOKUP(A310,'Bef.fremskr. kommunenivå MMMM'!$A$5:$K$360,8)</f>
        <v>1102</v>
      </c>
      <c r="V310" s="289">
        <f>VLOOKUP(A310,'K23'!$A$4:$BV$359,26)</f>
        <v>42860.246688584732</v>
      </c>
    </row>
    <row r="311" spans="1:22" ht="13">
      <c r="A311" s="755">
        <v>5052</v>
      </c>
      <c r="B311" s="756" t="s">
        <v>173</v>
      </c>
      <c r="C311" s="289">
        <f>+K0kommunestruktur2021altern!C311</f>
        <v>556</v>
      </c>
      <c r="D311" s="289">
        <f>+K0kommunestruktur2021altern!D311</f>
        <v>9934</v>
      </c>
      <c r="E311" s="289">
        <f>+K0kommunestruktur2021altern!E311</f>
        <v>574</v>
      </c>
      <c r="F311" s="289">
        <f>+K0kommunestruktur2021altern!F311</f>
        <v>10708</v>
      </c>
      <c r="G311" s="289">
        <f>+K0kommunestruktur2021altern!G311</f>
        <v>562</v>
      </c>
      <c r="H311" s="289">
        <f>+K0kommunestruktur2021altern!H311</f>
        <v>11579</v>
      </c>
      <c r="I311" s="289">
        <f>+K0kommunestruktur2021altern!I311</f>
        <v>584</v>
      </c>
      <c r="J311" s="289">
        <f>+K0kommunestruktur2021altern!J311</f>
        <v>12951</v>
      </c>
      <c r="K311" s="289">
        <f>+K0kommunestruktur2021altern!K311</f>
        <v>582</v>
      </c>
      <c r="L311" s="289">
        <f>+K0kommunestruktur2021altern!L311</f>
        <v>13678</v>
      </c>
      <c r="M311" s="289">
        <f>+K0kommunestruktur2021altern!M311</f>
        <v>567</v>
      </c>
      <c r="N311" s="289">
        <f>+K0kommunestruktur2021altern!N311</f>
        <v>13553</v>
      </c>
      <c r="O311" s="289">
        <f>+K0kommunestruktur2021altern!O311</f>
        <v>557</v>
      </c>
      <c r="P311" s="289">
        <f>+K0kommunestruktur2021altern!P311</f>
        <v>13835</v>
      </c>
      <c r="Q311" s="289">
        <f>+K0kommunestruktur2021altern!Q311</f>
        <v>563</v>
      </c>
      <c r="R311" s="289">
        <f>+K0kommunestruktur2021altern!R311</f>
        <v>16669.456999999999</v>
      </c>
      <c r="S311" s="289">
        <f>VLOOKUP(A311,'K22'!A311:CU666,3)</f>
        <v>570</v>
      </c>
      <c r="T311" s="289">
        <f>VLOOKUP(A311,'K22'!$A$4:$BV$359,26)</f>
        <v>17213.788952183353</v>
      </c>
      <c r="U311" s="289">
        <f>VLOOKUP(A311,'Bef.fremskr. kommunenivå MMMM'!$A$5:$K$360,8)</f>
        <v>578</v>
      </c>
      <c r="V311" s="289">
        <f>VLOOKUP(A311,'K23'!$A$4:$BV$359,26)</f>
        <v>16625.609572759662</v>
      </c>
    </row>
    <row r="312" spans="1:22" ht="13">
      <c r="A312" s="755">
        <v>5053</v>
      </c>
      <c r="B312" s="756" t="s">
        <v>155</v>
      </c>
      <c r="C312" s="289">
        <f>+K0kommunestruktur2021altern!C312</f>
        <v>6720</v>
      </c>
      <c r="D312" s="289">
        <f>+K0kommunestruktur2021altern!D312</f>
        <v>126853</v>
      </c>
      <c r="E312" s="289">
        <f>+K0kommunestruktur2021altern!E312</f>
        <v>6770</v>
      </c>
      <c r="F312" s="289">
        <f>+K0kommunestruktur2021altern!F312</f>
        <v>138028</v>
      </c>
      <c r="G312" s="289">
        <f>+K0kommunestruktur2021altern!G312</f>
        <v>6769</v>
      </c>
      <c r="H312" s="289">
        <f>+K0kommunestruktur2021altern!H312</f>
        <v>148799</v>
      </c>
      <c r="I312" s="289">
        <f>+K0kommunestruktur2021altern!I312</f>
        <v>6800</v>
      </c>
      <c r="J312" s="289">
        <f>+K0kommunestruktur2021altern!J312</f>
        <v>153528</v>
      </c>
      <c r="K312" s="289">
        <f>+K0kommunestruktur2021altern!K312</f>
        <v>6785</v>
      </c>
      <c r="L312" s="289">
        <f>+K0kommunestruktur2021altern!L312</f>
        <v>157899</v>
      </c>
      <c r="M312" s="289">
        <f>+K0kommunestruktur2021altern!M312</f>
        <v>6804</v>
      </c>
      <c r="N312" s="289">
        <f>+K0kommunestruktur2021altern!N312</f>
        <v>163239</v>
      </c>
      <c r="O312" s="289">
        <f>+K0kommunestruktur2021altern!O312</f>
        <v>6816</v>
      </c>
      <c r="P312" s="289">
        <f>+K0kommunestruktur2021altern!P312</f>
        <v>166507</v>
      </c>
      <c r="Q312" s="289">
        <f>+K0kommunestruktur2021altern!Q312</f>
        <v>6764</v>
      </c>
      <c r="R312" s="289">
        <f>+K0kommunestruktur2021altern!R312</f>
        <v>193708.14199999999</v>
      </c>
      <c r="S312" s="289">
        <f>VLOOKUP(A312,'K22'!A312:CU667,3)</f>
        <v>6794</v>
      </c>
      <c r="T312" s="289">
        <f>VLOOKUP(A312,'K22'!$A$4:$BV$359,26)</f>
        <v>213244.21295569828</v>
      </c>
      <c r="U312" s="289">
        <f>VLOOKUP(A312,'Bef.fremskr. kommunenivå MMMM'!$A$5:$K$360,8)</f>
        <v>6852</v>
      </c>
      <c r="V312" s="289">
        <f>VLOOKUP(A312,'K23'!$A$4:$BV$359,26)</f>
        <v>193913.27002919401</v>
      </c>
    </row>
    <row r="313" spans="1:22" ht="13">
      <c r="A313" s="755">
        <v>5054</v>
      </c>
      <c r="B313" s="756" t="s">
        <v>1234</v>
      </c>
      <c r="C313" s="289">
        <f>+K0kommunestruktur2021altern!C313</f>
        <v>10271.09146590445</v>
      </c>
      <c r="D313" s="289">
        <f>+K0kommunestruktur2021altern!D313</f>
        <v>182843.86076725193</v>
      </c>
      <c r="E313" s="289">
        <f>+K0kommunestruktur2021altern!E313</f>
        <v>10251.681094324214</v>
      </c>
      <c r="F313" s="289">
        <f>+K0kommunestruktur2021altern!F313</f>
        <v>193264.09294242549</v>
      </c>
      <c r="G313" s="289">
        <f>+K0kommunestruktur2021altern!G313</f>
        <v>10244.133932217232</v>
      </c>
      <c r="H313" s="289">
        <f>+K0kommunestruktur2021altern!H313</f>
        <v>207087.44946508779</v>
      </c>
      <c r="I313" s="289">
        <f>+K0kommunestruktur2021altern!I313</f>
        <v>10176.805634953042</v>
      </c>
      <c r="J313" s="289">
        <f>+K0kommunestruktur2021altern!J313</f>
        <v>217601.52543160474</v>
      </c>
      <c r="K313" s="289">
        <f>+K0kommunestruktur2021altern!K313</f>
        <v>10157.656594528378</v>
      </c>
      <c r="L313" s="289">
        <f>+K0kommunestruktur2021altern!L313</f>
        <v>229275.35647202941</v>
      </c>
      <c r="M313" s="289">
        <f>+K0kommunestruktur2021altern!M313</f>
        <v>10055</v>
      </c>
      <c r="N313" s="289">
        <f>+K0kommunestruktur2021altern!N313</f>
        <v>233250.36953858717</v>
      </c>
      <c r="O313" s="289">
        <f>+K0kommunestruktur2021altern!O313</f>
        <v>10084</v>
      </c>
      <c r="P313" s="289">
        <f>+K0kommunestruktur2021altern!P313</f>
        <v>228796</v>
      </c>
      <c r="Q313" s="289">
        <f>+K0kommunestruktur2021altern!Q313</f>
        <v>9948</v>
      </c>
      <c r="R313" s="289">
        <f>+K0kommunestruktur2021altern!R313</f>
        <v>256343.16699999999</v>
      </c>
      <c r="S313" s="289">
        <f>VLOOKUP(A313,'K22'!A313:CU668,3)</f>
        <v>9899</v>
      </c>
      <c r="T313" s="289">
        <f>VLOOKUP(A313,'K22'!$A$4:$BV$359,26)</f>
        <v>278819.59480205592</v>
      </c>
      <c r="U313" s="289">
        <f>VLOOKUP(A313,'Bef.fremskr. kommunenivå MMMM'!$A$5:$K$360,8)</f>
        <v>9843</v>
      </c>
      <c r="V313" s="289">
        <f>VLOOKUP(A313,'K23'!$A$4:$BV$359,26)</f>
        <v>259487.78609124737</v>
      </c>
    </row>
    <row r="314" spans="1:22" ht="13">
      <c r="A314" s="755">
        <v>5055</v>
      </c>
      <c r="B314" s="756" t="s">
        <v>1642</v>
      </c>
      <c r="C314" s="289">
        <f>+K0kommunestruktur2021altern!C314</f>
        <v>6009.0440440440443</v>
      </c>
      <c r="D314" s="289">
        <f>+K0kommunestruktur2021altern!D314</f>
        <v>126281.23223223223</v>
      </c>
      <c r="E314" s="289">
        <f>+K0kommunestruktur2021altern!E314</f>
        <v>6021.4604604604601</v>
      </c>
      <c r="F314" s="289">
        <f>+K0kommunestruktur2021altern!F314</f>
        <v>127238.24124124124</v>
      </c>
      <c r="G314" s="289">
        <f>+K0kommunestruktur2021altern!G314</f>
        <v>6010.6276276276276</v>
      </c>
      <c r="H314" s="289">
        <f>+K0kommunestruktur2021altern!H314</f>
        <v>137087.35835835835</v>
      </c>
      <c r="I314" s="289">
        <f>+K0kommunestruktur2021altern!I314</f>
        <v>6062.4604604604601</v>
      </c>
      <c r="J314" s="289">
        <f>+K0kommunestruktur2021altern!J314</f>
        <v>144857.22822822822</v>
      </c>
      <c r="K314" s="289">
        <f>+K0kommunestruktur2021altern!K314</f>
        <v>6001.5015015015015</v>
      </c>
      <c r="L314" s="289">
        <f>+K0kommunestruktur2021altern!L314</f>
        <v>153172.37637637637</v>
      </c>
      <c r="M314" s="289">
        <f>+K0kommunestruktur2021altern!M314</f>
        <v>6010</v>
      </c>
      <c r="N314" s="289">
        <f>+K0kommunestruktur2021altern!N314</f>
        <v>163996.97697697696</v>
      </c>
      <c r="O314" s="289">
        <f>+K0kommunestruktur2021altern!O314</f>
        <v>5963</v>
      </c>
      <c r="P314" s="289">
        <f>+K0kommunestruktur2021altern!P314</f>
        <v>158118</v>
      </c>
      <c r="Q314" s="289">
        <f>+K0kommunestruktur2021altern!Q314</f>
        <v>5941</v>
      </c>
      <c r="R314" s="289">
        <f>+K0kommunestruktur2021altern!R314</f>
        <v>176810.02900000001</v>
      </c>
      <c r="S314" s="289">
        <f>VLOOKUP(A314,'K22'!A314:CU669,3)</f>
        <v>5884</v>
      </c>
      <c r="T314" s="289">
        <f>VLOOKUP(A314,'K22'!$A$4:$BV$359,26)</f>
        <v>196667.09050514281</v>
      </c>
      <c r="U314" s="289">
        <f>VLOOKUP(A314,'Bef.fremskr. kommunenivå MMMM'!$A$5:$K$360,8)</f>
        <v>5839</v>
      </c>
      <c r="V314" s="289">
        <f>VLOOKUP(A314,'K23'!$A$4:$BV$359,26)</f>
        <v>179482.67958791932</v>
      </c>
    </row>
    <row r="315" spans="1:22" ht="13">
      <c r="A315" s="755">
        <v>5056</v>
      </c>
      <c r="B315" s="756" t="s">
        <v>1643</v>
      </c>
      <c r="C315" s="289">
        <f>+K0kommunestruktur2021altern!C315</f>
        <v>4839.8378378378375</v>
      </c>
      <c r="D315" s="289">
        <f>+K0kommunestruktur2021altern!D315</f>
        <v>96229.054054054053</v>
      </c>
      <c r="E315" s="289">
        <f>+K0kommunestruktur2021altern!E315</f>
        <v>4887.4864864864867</v>
      </c>
      <c r="F315" s="289">
        <f>+K0kommunestruktur2021altern!F315</f>
        <v>104673.70270270271</v>
      </c>
      <c r="G315" s="289">
        <f>+K0kommunestruktur2021altern!G315</f>
        <v>4939.1891891891892</v>
      </c>
      <c r="H315" s="289">
        <f>+K0kommunestruktur2021altern!H315</f>
        <v>113604.13513513513</v>
      </c>
      <c r="I315" s="289">
        <f>+K0kommunestruktur2021altern!I315</f>
        <v>4977.4864864864867</v>
      </c>
      <c r="J315" s="289">
        <f>+K0kommunestruktur2021altern!J315</f>
        <v>120301.43243243243</v>
      </c>
      <c r="K315" s="289">
        <f>+K0kommunestruktur2021altern!K315</f>
        <v>4968.1081081081084</v>
      </c>
      <c r="L315" s="289">
        <f>+K0kommunestruktur2021altern!L315</f>
        <v>123056.43243243243</v>
      </c>
      <c r="M315" s="289">
        <f>+K0kommunestruktur2021altern!M315</f>
        <v>5018</v>
      </c>
      <c r="N315" s="289">
        <f>+K0kommunestruktur2021altern!N315</f>
        <v>131903.67567567568</v>
      </c>
      <c r="O315" s="289">
        <f>+K0kommunestruktur2021altern!O315</f>
        <v>5050</v>
      </c>
      <c r="P315" s="289">
        <f>+K0kommunestruktur2021altern!P315</f>
        <v>145800</v>
      </c>
      <c r="Q315" s="289">
        <f>+K0kommunestruktur2021altern!Q315</f>
        <v>5140</v>
      </c>
      <c r="R315" s="289">
        <f>+K0kommunestruktur2021altern!R315</f>
        <v>161475.802</v>
      </c>
      <c r="S315" s="289">
        <f>VLOOKUP(A315,'K22'!A315:CU670,3)</f>
        <v>5156</v>
      </c>
      <c r="T315" s="289">
        <f>VLOOKUP(A315,'K22'!$A$4:$BV$359,26)</f>
        <v>176257.72651107205</v>
      </c>
      <c r="U315" s="289">
        <f>VLOOKUP(A315,'Bef.fremskr. kommunenivå MMMM'!$A$5:$K$360,8)</f>
        <v>5258</v>
      </c>
      <c r="V315" s="289">
        <f>VLOOKUP(A315,'K23'!$A$4:$BV$359,26)</f>
        <v>167479.56555777186</v>
      </c>
    </row>
    <row r="316" spans="1:22" ht="13">
      <c r="A316" s="755">
        <v>5057</v>
      </c>
      <c r="B316" s="756" t="s">
        <v>1644</v>
      </c>
      <c r="C316" s="289">
        <f>+K0kommunestruktur2021altern!C316</f>
        <v>9875</v>
      </c>
      <c r="D316" s="289">
        <f>+K0kommunestruktur2021altern!D316</f>
        <v>186904</v>
      </c>
      <c r="E316" s="289">
        <f>+K0kommunestruktur2021altern!E316</f>
        <v>9898</v>
      </c>
      <c r="F316" s="289">
        <f>+K0kommunestruktur2021altern!F316</f>
        <v>204730</v>
      </c>
      <c r="G316" s="289">
        <f>+K0kommunestruktur2021altern!G316</f>
        <v>9988</v>
      </c>
      <c r="H316" s="289">
        <f>+K0kommunestruktur2021altern!H316</f>
        <v>218140</v>
      </c>
      <c r="I316" s="289">
        <f>+K0kommunestruktur2021altern!I316</f>
        <v>10113</v>
      </c>
      <c r="J316" s="289">
        <f>+K0kommunestruktur2021altern!J316</f>
        <v>233349</v>
      </c>
      <c r="K316" s="289">
        <f>+K0kommunestruktur2021altern!K316</f>
        <v>10215</v>
      </c>
      <c r="L316" s="289">
        <f>+K0kommunestruktur2021altern!L316</f>
        <v>252402</v>
      </c>
      <c r="M316" s="289">
        <f>+K0kommunestruktur2021altern!M316</f>
        <v>10238</v>
      </c>
      <c r="N316" s="289">
        <f>+K0kommunestruktur2021altern!N316</f>
        <v>261440</v>
      </c>
      <c r="O316" s="289">
        <f>+K0kommunestruktur2021altern!O316</f>
        <v>10323</v>
      </c>
      <c r="P316" s="289">
        <f>+K0kommunestruktur2021altern!P316</f>
        <v>254501</v>
      </c>
      <c r="Q316" s="289">
        <f>+K0kommunestruktur2021altern!Q316</f>
        <v>10306</v>
      </c>
      <c r="R316" s="289">
        <f>+K0kommunestruktur2021altern!R316</f>
        <v>300234.18099999998</v>
      </c>
      <c r="S316" s="289">
        <f>VLOOKUP(A316,'K22'!A316:CU671,3)</f>
        <v>10371</v>
      </c>
      <c r="T316" s="289">
        <f>VLOOKUP(A316,'K22'!$A$4:$BV$359,26)</f>
        <v>320996.08227548294</v>
      </c>
      <c r="U316" s="289">
        <f>VLOOKUP(A316,'Bef.fremskr. kommunenivå MMMM'!$A$5:$K$360,8)</f>
        <v>10424</v>
      </c>
      <c r="V316" s="289">
        <f>VLOOKUP(A316,'K23'!$A$4:$BV$359,26)</f>
        <v>303944.25686166855</v>
      </c>
    </row>
    <row r="317" spans="1:22" ht="13">
      <c r="A317" s="755">
        <v>5058</v>
      </c>
      <c r="B317" s="756" t="s">
        <v>1645</v>
      </c>
      <c r="C317" s="289">
        <f>+K0kommunestruktur2021altern!C317</f>
        <v>4228</v>
      </c>
      <c r="D317" s="289">
        <f>+K0kommunestruktur2021altern!D317</f>
        <v>78911</v>
      </c>
      <c r="E317" s="289">
        <f>+K0kommunestruktur2021altern!E317</f>
        <v>4225</v>
      </c>
      <c r="F317" s="289">
        <f>+K0kommunestruktur2021altern!F317</f>
        <v>86982</v>
      </c>
      <c r="G317" s="289">
        <f>+K0kommunestruktur2021altern!G317</f>
        <v>4233</v>
      </c>
      <c r="H317" s="289">
        <f>+K0kommunestruktur2021altern!H317</f>
        <v>91758</v>
      </c>
      <c r="I317" s="289">
        <f>+K0kommunestruktur2021altern!I317</f>
        <v>4222</v>
      </c>
      <c r="J317" s="289">
        <f>+K0kommunestruktur2021altern!J317</f>
        <v>98377</v>
      </c>
      <c r="K317" s="289">
        <f>+K0kommunestruktur2021altern!K317</f>
        <v>4230</v>
      </c>
      <c r="L317" s="289">
        <f>+K0kommunestruktur2021altern!L317</f>
        <v>105726</v>
      </c>
      <c r="M317" s="289">
        <f>+K0kommunestruktur2021altern!M317</f>
        <v>4297</v>
      </c>
      <c r="N317" s="289">
        <f>+K0kommunestruktur2021altern!N317</f>
        <v>112012</v>
      </c>
      <c r="O317" s="289">
        <f>+K0kommunestruktur2021altern!O317</f>
        <v>4288</v>
      </c>
      <c r="P317" s="289">
        <f>+K0kommunestruktur2021altern!P317</f>
        <v>115391</v>
      </c>
      <c r="Q317" s="289">
        <f>+K0kommunestruktur2021altern!Q317</f>
        <v>4271</v>
      </c>
      <c r="R317" s="289">
        <f>+K0kommunestruktur2021altern!R317</f>
        <v>129736.989</v>
      </c>
      <c r="S317" s="289">
        <f>VLOOKUP(A317,'K22'!A317:CU672,3)</f>
        <v>4252</v>
      </c>
      <c r="T317" s="289">
        <f>VLOOKUP(A317,'K22'!$A$4:$BV$359,26)</f>
        <v>141910.26102931268</v>
      </c>
      <c r="U317" s="289">
        <f>VLOOKUP(A317,'Bef.fremskr. kommunenivå MMMM'!$A$5:$K$360,8)</f>
        <v>4245</v>
      </c>
      <c r="V317" s="289">
        <f>VLOOKUP(A317,'K23'!$A$4:$BV$359,26)</f>
        <v>130082.69719954063</v>
      </c>
    </row>
    <row r="318" spans="1:22" ht="13">
      <c r="A318" s="755">
        <v>5059</v>
      </c>
      <c r="B318" s="756" t="s">
        <v>1646</v>
      </c>
      <c r="C318" s="289">
        <f>+K0kommunestruktur2021altern!C318</f>
        <v>17792.118118118116</v>
      </c>
      <c r="D318" s="289">
        <f>+K0kommunestruktur2021altern!D318</f>
        <v>348805.71371371369</v>
      </c>
      <c r="E318" s="289">
        <f>+K0kommunestruktur2021altern!E318</f>
        <v>17918.053053053052</v>
      </c>
      <c r="F318" s="289">
        <f>+K0kommunestruktur2021altern!F318</f>
        <v>368963.05605605606</v>
      </c>
      <c r="G318" s="289">
        <f>+K0kommunestruktur2021altern!G318</f>
        <v>17923.183183183184</v>
      </c>
      <c r="H318" s="289">
        <f>+K0kommunestruktur2021altern!H318</f>
        <v>404094.50650650653</v>
      </c>
      <c r="I318" s="289">
        <f>+K0kommunestruktur2021altern!I318</f>
        <v>18021.053053053052</v>
      </c>
      <c r="J318" s="289">
        <f>+K0kommunestruktur2021altern!J318</f>
        <v>417935.33933933935</v>
      </c>
      <c r="K318" s="289">
        <f>+K0kommunestruktur2021altern!K318</f>
        <v>18008.390390390392</v>
      </c>
      <c r="L318" s="289">
        <f>+K0kommunestruktur2021altern!L318</f>
        <v>426122.1911911912</v>
      </c>
      <c r="M318" s="289">
        <f>+K0kommunestruktur2021altern!M318</f>
        <v>18151</v>
      </c>
      <c r="N318" s="289">
        <f>+K0kommunestruktur2021altern!N318</f>
        <v>456741.34734734736</v>
      </c>
      <c r="O318" s="289">
        <f>+K0kommunestruktur2021altern!O318</f>
        <v>18217</v>
      </c>
      <c r="P318" s="289">
        <f>+K0kommunestruktur2021altern!P318</f>
        <v>444283</v>
      </c>
      <c r="Q318" s="289">
        <f>+K0kommunestruktur2021altern!Q318</f>
        <v>18300</v>
      </c>
      <c r="R318" s="289">
        <f>+K0kommunestruktur2021altern!R318</f>
        <v>508653.462</v>
      </c>
      <c r="S318" s="289">
        <f>VLOOKUP(A318,'K22'!A318:CU673,3)</f>
        <v>18502</v>
      </c>
      <c r="T318" s="289">
        <f>VLOOKUP(A318,'K22'!$A$4:$BV$359,26)</f>
        <v>562353.28283040808</v>
      </c>
      <c r="U318" s="289">
        <f>VLOOKUP(A318,'Bef.fremskr. kommunenivå MMMM'!$A$5:$K$360,8)</f>
        <v>18621</v>
      </c>
      <c r="V318" s="289">
        <f>VLOOKUP(A318,'K23'!$A$4:$BV$359,26)</f>
        <v>529700.66683417524</v>
      </c>
    </row>
    <row r="319" spans="1:22" ht="13">
      <c r="A319" s="755">
        <v>5060</v>
      </c>
      <c r="B319" s="756" t="s">
        <v>1647</v>
      </c>
      <c r="C319" s="289">
        <f>+K0kommunestruktur2021altern!C319</f>
        <v>9334.0804416403789</v>
      </c>
      <c r="D319" s="289">
        <f>+K0kommunestruktur2021altern!D319</f>
        <v>183449.36947949528</v>
      </c>
      <c r="E319" s="289">
        <f>+K0kommunestruktur2021altern!E319</f>
        <v>9392.9095031545748</v>
      </c>
      <c r="F319" s="289">
        <f>+K0kommunestruktur2021altern!F319</f>
        <v>193576.44282334385</v>
      </c>
      <c r="G319" s="289">
        <f>+K0kommunestruktur2021altern!G319</f>
        <v>9461.4570189274455</v>
      </c>
      <c r="H319" s="289">
        <f>+K0kommunestruktur2021altern!H319</f>
        <v>216631.7902208202</v>
      </c>
      <c r="I319" s="289">
        <f>+K0kommunestruktur2021altern!I319</f>
        <v>9504.3363564668762</v>
      </c>
      <c r="J319" s="289">
        <f>+K0kommunestruktur2021altern!J319</f>
        <v>230585.59108832807</v>
      </c>
      <c r="K319" s="289">
        <f>+K0kommunestruktur2021altern!K319</f>
        <v>9557.5475157728706</v>
      </c>
      <c r="L319" s="289">
        <f>+K0kommunestruktur2021altern!L319</f>
        <v>251486.80481072556</v>
      </c>
      <c r="M319" s="289">
        <f>+K0kommunestruktur2021altern!M319</f>
        <v>9599</v>
      </c>
      <c r="N319" s="289">
        <f>+K0kommunestruktur2021altern!N319</f>
        <v>273993.3464116719</v>
      </c>
      <c r="O319" s="289">
        <f>+K0kommunestruktur2021altern!O319</f>
        <v>9623</v>
      </c>
      <c r="P319" s="289">
        <f>+K0kommunestruktur2021altern!P319</f>
        <v>278061</v>
      </c>
      <c r="Q319" s="289">
        <f>+K0kommunestruktur2021altern!Q319</f>
        <v>9581</v>
      </c>
      <c r="R319" s="289">
        <f>+K0kommunestruktur2021altern!R319</f>
        <v>331249.3</v>
      </c>
      <c r="S319" s="289">
        <f>VLOOKUP(A319,'K22'!A319:CU674,3)</f>
        <v>9732</v>
      </c>
      <c r="T319" s="289">
        <f>VLOOKUP(A319,'K22'!$A$4:$BV$359,26)</f>
        <v>375915.82106530562</v>
      </c>
      <c r="U319" s="289">
        <f>VLOOKUP(A319,'Bef.fremskr. kommunenivå MMMM'!$A$5:$K$360,8)</f>
        <v>9781</v>
      </c>
      <c r="V319" s="289">
        <f>VLOOKUP(A319,'K23'!$A$4:$BV$359,26)</f>
        <v>330482.55627872905</v>
      </c>
    </row>
    <row r="320" spans="1:22" ht="13">
      <c r="A320" s="755">
        <v>5061</v>
      </c>
      <c r="B320" s="756" t="s">
        <v>114</v>
      </c>
      <c r="C320" s="289">
        <f>+K0kommunestruktur2021altern!C320</f>
        <v>2046</v>
      </c>
      <c r="D320" s="289">
        <f>+K0kommunestruktur2021altern!D320</f>
        <v>42351</v>
      </c>
      <c r="E320" s="289">
        <f>+K0kommunestruktur2021altern!E320</f>
        <v>2038</v>
      </c>
      <c r="F320" s="289">
        <f>+K0kommunestruktur2021altern!F320</f>
        <v>43842</v>
      </c>
      <c r="G320" s="289">
        <f>+K0kommunestruktur2021altern!G320</f>
        <v>2036</v>
      </c>
      <c r="H320" s="289">
        <f>+K0kommunestruktur2021altern!H320</f>
        <v>45245</v>
      </c>
      <c r="I320" s="289">
        <f>+K0kommunestruktur2021altern!I320</f>
        <v>2026</v>
      </c>
      <c r="J320" s="289">
        <f>+K0kommunestruktur2021altern!J320</f>
        <v>47427</v>
      </c>
      <c r="K320" s="289">
        <f>+K0kommunestruktur2021altern!K320</f>
        <v>2039</v>
      </c>
      <c r="L320" s="289">
        <f>+K0kommunestruktur2021altern!L320</f>
        <v>50708</v>
      </c>
      <c r="M320" s="289">
        <f>+K0kommunestruktur2021altern!M320</f>
        <v>2028</v>
      </c>
      <c r="N320" s="289">
        <f>+K0kommunestruktur2021altern!N320</f>
        <v>50159</v>
      </c>
      <c r="O320" s="289">
        <f>+K0kommunestruktur2021altern!O320</f>
        <v>2003</v>
      </c>
      <c r="P320" s="289">
        <f>+K0kommunestruktur2021altern!P320</f>
        <v>48517</v>
      </c>
      <c r="Q320" s="289">
        <f>+K0kommunestruktur2021altern!Q320</f>
        <v>1989</v>
      </c>
      <c r="R320" s="289">
        <f>+K0kommunestruktur2021altern!R320</f>
        <v>53745.877</v>
      </c>
      <c r="S320" s="289">
        <f>VLOOKUP(A320,'K22'!A320:CU675,3)</f>
        <v>1980</v>
      </c>
      <c r="T320" s="289">
        <f>VLOOKUP(A320,'K22'!$A$4:$BV$359,26)</f>
        <v>58129.885878069828</v>
      </c>
      <c r="U320" s="289">
        <f>VLOOKUP(A320,'Bef.fremskr. kommunenivå MMMM'!$A$5:$K$360,8)</f>
        <v>1949</v>
      </c>
      <c r="V320" s="289">
        <f>VLOOKUP(A320,'K23'!$A$4:$BV$359,26)</f>
        <v>54255.164253809344</v>
      </c>
    </row>
    <row r="321" spans="1:22" ht="13">
      <c r="A321" s="755">
        <v>5401</v>
      </c>
      <c r="B321" s="756" t="s">
        <v>217</v>
      </c>
      <c r="C321" s="289">
        <f>+K0kommunestruktur2021altern!C321</f>
        <v>71590</v>
      </c>
      <c r="D321" s="289">
        <f>+K0kommunestruktur2021altern!D321</f>
        <v>1698963</v>
      </c>
      <c r="E321" s="289">
        <f>+K0kommunestruktur2021altern!E321</f>
        <v>72681</v>
      </c>
      <c r="F321" s="289">
        <f>+K0kommunestruktur2021altern!F321</f>
        <v>1840079</v>
      </c>
      <c r="G321" s="289">
        <f>+K0kommunestruktur2021altern!G321</f>
        <v>73480</v>
      </c>
      <c r="H321" s="289">
        <f>+K0kommunestruktur2021altern!H321</f>
        <v>2034480</v>
      </c>
      <c r="I321" s="289">
        <f>+K0kommunestruktur2021altern!I321</f>
        <v>74541</v>
      </c>
      <c r="J321" s="289">
        <f>+K0kommunestruktur2021altern!J321</f>
        <v>2166065</v>
      </c>
      <c r="K321" s="289">
        <f>+K0kommunestruktur2021altern!K321</f>
        <v>75638</v>
      </c>
      <c r="L321" s="289">
        <f>+K0kommunestruktur2021altern!L321</f>
        <v>2296830</v>
      </c>
      <c r="M321" s="289">
        <f>+K0kommunestruktur2021altern!M321</f>
        <v>76649</v>
      </c>
      <c r="N321" s="289">
        <f>+K0kommunestruktur2021altern!N321</f>
        <v>2383917</v>
      </c>
      <c r="O321" s="289">
        <f>+K0kommunestruktur2021altern!O321</f>
        <v>76974</v>
      </c>
      <c r="P321" s="289">
        <f>+K0kommunestruktur2021altern!P321</f>
        <v>2351318</v>
      </c>
      <c r="Q321" s="289">
        <f>+K0kommunestruktur2021altern!Q321</f>
        <v>77095</v>
      </c>
      <c r="R321" s="289">
        <f>+K0kommunestruktur2021altern!R321</f>
        <v>2721310.3429999999</v>
      </c>
      <c r="S321" s="289">
        <f>VLOOKUP(A321,'K22'!A321:CU676,3)</f>
        <v>77544</v>
      </c>
      <c r="T321" s="289">
        <f>VLOOKUP(A321,'K22'!$A$4:$BV$359,26)</f>
        <v>2969902.3540833951</v>
      </c>
      <c r="U321" s="289">
        <f>VLOOKUP(A321,'Bef.fremskr. kommunenivå MMMM'!$A$5:$K$360,8)</f>
        <v>78284</v>
      </c>
      <c r="V321" s="289">
        <f>VLOOKUP(A321,'K23'!$A$4:$BV$359,26)</f>
        <v>2791105.4192272392</v>
      </c>
    </row>
    <row r="322" spans="1:22" ht="13">
      <c r="A322" s="755">
        <v>5402</v>
      </c>
      <c r="B322" s="756" t="s">
        <v>216</v>
      </c>
      <c r="C322" s="289">
        <f>+K0kommunestruktur2021altern!C322</f>
        <v>24441</v>
      </c>
      <c r="D322" s="289">
        <f>+K0kommunestruktur2021altern!D322</f>
        <v>531842</v>
      </c>
      <c r="E322" s="289">
        <f>+K0kommunestruktur2021altern!E322</f>
        <v>24676</v>
      </c>
      <c r="F322" s="289">
        <f>+K0kommunestruktur2021altern!F322</f>
        <v>581441</v>
      </c>
      <c r="G322" s="289">
        <f>+K0kommunestruktur2021altern!G322</f>
        <v>24695</v>
      </c>
      <c r="H322" s="289">
        <f>+K0kommunestruktur2021altern!H322</f>
        <v>623987</v>
      </c>
      <c r="I322" s="289">
        <f>+K0kommunestruktur2021altern!I322</f>
        <v>24845</v>
      </c>
      <c r="J322" s="289">
        <f>+K0kommunestruktur2021altern!J322</f>
        <v>647002</v>
      </c>
      <c r="K322" s="289">
        <f>+K0kommunestruktur2021altern!K322</f>
        <v>24820</v>
      </c>
      <c r="L322" s="289">
        <f>+K0kommunestruktur2021altern!L322</f>
        <v>674405</v>
      </c>
      <c r="M322" s="289">
        <f>+K0kommunestruktur2021altern!M322</f>
        <v>24827</v>
      </c>
      <c r="N322" s="289">
        <f>+K0kommunestruktur2021altern!N322</f>
        <v>691142</v>
      </c>
      <c r="O322" s="289">
        <f>+K0kommunestruktur2021altern!O322</f>
        <v>24703</v>
      </c>
      <c r="P322" s="289">
        <f>+K0kommunestruktur2021altern!P322</f>
        <v>665390</v>
      </c>
      <c r="Q322" s="289">
        <f>+K0kommunestruktur2021altern!Q322</f>
        <v>24738</v>
      </c>
      <c r="R322" s="289">
        <f>+K0kommunestruktur2021altern!R322</f>
        <v>765812.473</v>
      </c>
      <c r="S322" s="289">
        <f>VLOOKUP(A322,'K22'!A322:CU677,3)</f>
        <v>24804</v>
      </c>
      <c r="T322" s="289">
        <f>VLOOKUP(A322,'K22'!$A$4:$BV$359,26)</f>
        <v>855120.85259790067</v>
      </c>
      <c r="U322" s="289">
        <f>VLOOKUP(A322,'Bef.fremskr. kommunenivå MMMM'!$A$5:$K$360,8)</f>
        <v>24811</v>
      </c>
      <c r="V322" s="289">
        <f>VLOOKUP(A322,'K23'!$A$4:$BV$359,26)</f>
        <v>782548.87565830036</v>
      </c>
    </row>
    <row r="323" spans="1:22" ht="13">
      <c r="A323" s="755">
        <v>5403</v>
      </c>
      <c r="B323" s="756" t="s">
        <v>245</v>
      </c>
      <c r="C323" s="289">
        <f>+K0kommunestruktur2021altern!C323</f>
        <v>19822</v>
      </c>
      <c r="D323" s="289">
        <f>+K0kommunestruktur2021altern!D323</f>
        <v>392331</v>
      </c>
      <c r="E323" s="289">
        <f>+K0kommunestruktur2021altern!E323</f>
        <v>19898</v>
      </c>
      <c r="F323" s="289">
        <f>+K0kommunestruktur2021altern!F323</f>
        <v>425132</v>
      </c>
      <c r="G323" s="289">
        <f>+K0kommunestruktur2021altern!G323</f>
        <v>20097</v>
      </c>
      <c r="H323" s="289">
        <f>+K0kommunestruktur2021altern!H323</f>
        <v>470693</v>
      </c>
      <c r="I323" s="289">
        <f>+K0kommunestruktur2021altern!I323</f>
        <v>20446</v>
      </c>
      <c r="J323" s="289">
        <f>+K0kommunestruktur2021altern!J323</f>
        <v>505393</v>
      </c>
      <c r="K323" s="289">
        <f>+K0kommunestruktur2021altern!K323</f>
        <v>20635</v>
      </c>
      <c r="L323" s="289">
        <f>+K0kommunestruktur2021altern!L323</f>
        <v>542406</v>
      </c>
      <c r="M323" s="289">
        <f>+K0kommunestruktur2021altern!M323</f>
        <v>20665</v>
      </c>
      <c r="N323" s="289">
        <f>+K0kommunestruktur2021altern!N323</f>
        <v>568373</v>
      </c>
      <c r="O323" s="289">
        <f>+K0kommunestruktur2021altern!O323</f>
        <v>20789</v>
      </c>
      <c r="P323" s="289">
        <f>+K0kommunestruktur2021altern!P323</f>
        <v>564534</v>
      </c>
      <c r="Q323" s="289">
        <f>+K0kommunestruktur2021altern!Q323</f>
        <v>20847</v>
      </c>
      <c r="R323" s="289">
        <f>+K0kommunestruktur2021altern!R323</f>
        <v>641505.68799999997</v>
      </c>
      <c r="S323" s="289">
        <f>VLOOKUP(A323,'K22'!A323:CU678,3)</f>
        <v>21144</v>
      </c>
      <c r="T323" s="289">
        <f>VLOOKUP(A323,'K22'!$A$4:$BV$359,26)</f>
        <v>712439.12575229653</v>
      </c>
      <c r="U323" s="289">
        <f>VLOOKUP(A323,'Bef.fremskr. kommunenivå MMMM'!$A$5:$K$360,8)</f>
        <v>21305</v>
      </c>
      <c r="V323" s="289">
        <f>VLOOKUP(A323,'K23'!$A$4:$BV$359,26)</f>
        <v>668826.72165493644</v>
      </c>
    </row>
    <row r="324" spans="1:22" ht="13">
      <c r="A324" s="755">
        <v>5404</v>
      </c>
      <c r="B324" s="756" t="s">
        <v>241</v>
      </c>
      <c r="C324" s="289">
        <f>+K0kommunestruktur2021altern!C324</f>
        <v>2119</v>
      </c>
      <c r="D324" s="289">
        <f>+K0kommunestruktur2021altern!D324</f>
        <v>39140</v>
      </c>
      <c r="E324" s="289">
        <f>+K0kommunestruktur2021altern!E324</f>
        <v>2128</v>
      </c>
      <c r="F324" s="289">
        <f>+K0kommunestruktur2021altern!F324</f>
        <v>41735</v>
      </c>
      <c r="G324" s="289">
        <f>+K0kommunestruktur2021altern!G324</f>
        <v>2137</v>
      </c>
      <c r="H324" s="289">
        <f>+K0kommunestruktur2021altern!H324</f>
        <v>46439</v>
      </c>
      <c r="I324" s="289">
        <f>+K0kommunestruktur2021altern!I324</f>
        <v>2104</v>
      </c>
      <c r="J324" s="289">
        <f>+K0kommunestruktur2021altern!J324</f>
        <v>46940</v>
      </c>
      <c r="K324" s="289">
        <f>+K0kommunestruktur2021altern!K324</f>
        <v>2110</v>
      </c>
      <c r="L324" s="289">
        <f>+K0kommunestruktur2021altern!L324</f>
        <v>46676</v>
      </c>
      <c r="M324" s="289">
        <f>+K0kommunestruktur2021altern!M324</f>
        <v>2081</v>
      </c>
      <c r="N324" s="289">
        <f>+K0kommunestruktur2021altern!N324</f>
        <v>47631</v>
      </c>
      <c r="O324" s="289">
        <f>+K0kommunestruktur2021altern!O324</f>
        <v>2029</v>
      </c>
      <c r="P324" s="289">
        <f>+K0kommunestruktur2021altern!P324</f>
        <v>45266</v>
      </c>
      <c r="Q324" s="289">
        <f>+K0kommunestruktur2021altern!Q324</f>
        <v>1959</v>
      </c>
      <c r="R324" s="289">
        <f>+K0kommunestruktur2021altern!R324</f>
        <v>50390.915000000001</v>
      </c>
      <c r="S324" s="289">
        <f>VLOOKUP(A324,'K22'!A324:CU679,3)</f>
        <v>1897</v>
      </c>
      <c r="T324" s="289">
        <f>VLOOKUP(A324,'K22'!$A$4:$BV$359,26)</f>
        <v>51757.70466955976</v>
      </c>
      <c r="U324" s="289">
        <f>VLOOKUP(A324,'Bef.fremskr. kommunenivå MMMM'!$A$5:$K$360,8)</f>
        <v>1912</v>
      </c>
      <c r="V324" s="289">
        <f>VLOOKUP(A324,'K23'!$A$4:$BV$359,26)</f>
        <v>49877.631336385159</v>
      </c>
    </row>
    <row r="325" spans="1:22" ht="13">
      <c r="A325" s="755">
        <v>5405</v>
      </c>
      <c r="B325" s="756" t="s">
        <v>242</v>
      </c>
      <c r="C325" s="289">
        <f>+K0kommunestruktur2021altern!C325</f>
        <v>6223</v>
      </c>
      <c r="D325" s="289">
        <f>+K0kommunestruktur2021altern!D325</f>
        <v>128264</v>
      </c>
      <c r="E325" s="289">
        <f>+K0kommunestruktur2021altern!E325</f>
        <v>6239</v>
      </c>
      <c r="F325" s="289">
        <f>+K0kommunestruktur2021altern!F325</f>
        <v>135985</v>
      </c>
      <c r="G325" s="289">
        <f>+K0kommunestruktur2021altern!G325</f>
        <v>6160</v>
      </c>
      <c r="H325" s="289">
        <f>+K0kommunestruktur2021altern!H325</f>
        <v>143163</v>
      </c>
      <c r="I325" s="289">
        <f>+K0kommunestruktur2021altern!I325</f>
        <v>6154</v>
      </c>
      <c r="J325" s="289">
        <f>+K0kommunestruktur2021altern!J325</f>
        <v>148082</v>
      </c>
      <c r="K325" s="289">
        <f>+K0kommunestruktur2021altern!K325</f>
        <v>6033</v>
      </c>
      <c r="L325" s="289">
        <f>+K0kommunestruktur2021altern!L325</f>
        <v>152909</v>
      </c>
      <c r="M325" s="289">
        <f>+K0kommunestruktur2021altern!M325</f>
        <v>5894</v>
      </c>
      <c r="N325" s="289">
        <f>+K0kommunestruktur2021altern!N325</f>
        <v>153202</v>
      </c>
      <c r="O325" s="289">
        <f>+K0kommunestruktur2021altern!O325</f>
        <v>5788</v>
      </c>
      <c r="P325" s="289">
        <f>+K0kommunestruktur2021altern!P325</f>
        <v>150625</v>
      </c>
      <c r="Q325" s="289">
        <f>+K0kommunestruktur2021altern!Q325</f>
        <v>5642</v>
      </c>
      <c r="R325" s="289">
        <f>+K0kommunestruktur2021altern!R325</f>
        <v>171792.18400000001</v>
      </c>
      <c r="S325" s="289">
        <f>VLOOKUP(A325,'K22'!A325:CU680,3)</f>
        <v>5568</v>
      </c>
      <c r="T325" s="289">
        <f>VLOOKUP(A325,'K22'!$A$4:$BV$359,26)</f>
        <v>178197.93239957368</v>
      </c>
      <c r="U325" s="289">
        <f>VLOOKUP(A325,'Bef.fremskr. kommunenivå MMMM'!$A$5:$K$360,8)</f>
        <v>5556</v>
      </c>
      <c r="V325" s="289">
        <f>VLOOKUP(A325,'K23'!$A$4:$BV$359,26)</f>
        <v>168392.14373063418</v>
      </c>
    </row>
    <row r="326" spans="1:22" ht="13">
      <c r="A326" s="755">
        <v>5406</v>
      </c>
      <c r="B326" s="756" t="s">
        <v>1648</v>
      </c>
      <c r="C326" s="289">
        <f>+K0kommunestruktur2021altern!C326</f>
        <v>11338</v>
      </c>
      <c r="D326" s="289">
        <f>+K0kommunestruktur2021altern!D326</f>
        <v>272569</v>
      </c>
      <c r="E326" s="289">
        <f>+K0kommunestruktur2021altern!E326</f>
        <v>11466</v>
      </c>
      <c r="F326" s="289">
        <f>+K0kommunestruktur2021altern!F326</f>
        <v>294108</v>
      </c>
      <c r="G326" s="289">
        <f>+K0kommunestruktur2021altern!G326</f>
        <v>11490</v>
      </c>
      <c r="H326" s="289">
        <f>+K0kommunestruktur2021altern!H326</f>
        <v>302629</v>
      </c>
      <c r="I326" s="289">
        <f>+K0kommunestruktur2021altern!I326</f>
        <v>11554</v>
      </c>
      <c r="J326" s="289">
        <f>+K0kommunestruktur2021altern!J326</f>
        <v>317821</v>
      </c>
      <c r="K326" s="289">
        <f>+K0kommunestruktur2021altern!K326</f>
        <v>11560</v>
      </c>
      <c r="L326" s="289">
        <f>+K0kommunestruktur2021altern!L326</f>
        <v>327526</v>
      </c>
      <c r="M326" s="289">
        <f>+K0kommunestruktur2021altern!M326</f>
        <v>11524</v>
      </c>
      <c r="N326" s="289">
        <f>+K0kommunestruktur2021altern!N326</f>
        <v>340580</v>
      </c>
      <c r="O326" s="289">
        <f>+K0kommunestruktur2021altern!O326</f>
        <v>11448</v>
      </c>
      <c r="P326" s="289">
        <f>+K0kommunestruktur2021altern!P326</f>
        <v>331008</v>
      </c>
      <c r="Q326" s="289">
        <f>+K0kommunestruktur2021altern!Q326</f>
        <v>11331</v>
      </c>
      <c r="R326" s="289">
        <f>+K0kommunestruktur2021altern!R326</f>
        <v>373038.78899999999</v>
      </c>
      <c r="S326" s="289">
        <f>VLOOKUP(A326,'K22'!A326:CU681,3)</f>
        <v>11274</v>
      </c>
      <c r="T326" s="289">
        <f>VLOOKUP(A326,'K22'!$A$4:$BV$359,26)</f>
        <v>398638.93551450275</v>
      </c>
      <c r="U326" s="289">
        <f>VLOOKUP(A326,'Bef.fremskr. kommunenivå MMMM'!$A$5:$K$360,8)</f>
        <v>11309</v>
      </c>
      <c r="V326" s="289">
        <f>VLOOKUP(A326,'K23'!$A$4:$BV$359,26)</f>
        <v>380237.48298838263</v>
      </c>
    </row>
    <row r="327" spans="1:22" ht="13">
      <c r="A327" s="755">
        <v>5411</v>
      </c>
      <c r="B327" s="756" t="s">
        <v>218</v>
      </c>
      <c r="C327" s="289">
        <f>+K0kommunestruktur2021altern!C327</f>
        <v>3107</v>
      </c>
      <c r="D327" s="289">
        <f>+K0kommunestruktur2021altern!D327</f>
        <v>53243</v>
      </c>
      <c r="E327" s="289">
        <f>+K0kommunestruktur2021altern!E327</f>
        <v>3076</v>
      </c>
      <c r="F327" s="289">
        <f>+K0kommunestruktur2021altern!F327</f>
        <v>56094</v>
      </c>
      <c r="G327" s="289">
        <f>+K0kommunestruktur2021altern!G327</f>
        <v>3029</v>
      </c>
      <c r="H327" s="289">
        <f>+K0kommunestruktur2021altern!H327</f>
        <v>60507</v>
      </c>
      <c r="I327" s="289">
        <f>+K0kommunestruktur2021altern!I327</f>
        <v>2986</v>
      </c>
      <c r="J327" s="289">
        <f>+K0kommunestruktur2021altern!J327</f>
        <v>65886</v>
      </c>
      <c r="K327" s="289">
        <f>+K0kommunestruktur2021altern!K327</f>
        <v>2928</v>
      </c>
      <c r="L327" s="289">
        <f>+K0kommunestruktur2021altern!L327</f>
        <v>68090</v>
      </c>
      <c r="M327" s="289">
        <f>+K0kommunestruktur2021altern!M327</f>
        <v>2858</v>
      </c>
      <c r="N327" s="289">
        <f>+K0kommunestruktur2021altern!N327</f>
        <v>63611</v>
      </c>
      <c r="O327" s="289">
        <f>+K0kommunestruktur2021altern!O327</f>
        <v>2839</v>
      </c>
      <c r="P327" s="289">
        <f>+K0kommunestruktur2021altern!P327</f>
        <v>61754</v>
      </c>
      <c r="Q327" s="289">
        <f>+K0kommunestruktur2021altern!Q327</f>
        <v>2822</v>
      </c>
      <c r="R327" s="289">
        <f>+K0kommunestruktur2021altern!R327</f>
        <v>73553.589000000007</v>
      </c>
      <c r="S327" s="289">
        <f>VLOOKUP(A327,'K22'!A327:CU682,3)</f>
        <v>2789</v>
      </c>
      <c r="T327" s="289">
        <f>VLOOKUP(A327,'K22'!$A$4:$BV$359,26)</f>
        <v>76156.190480627149</v>
      </c>
      <c r="U327" s="289">
        <f>VLOOKUP(A327,'Bef.fremskr. kommunenivå MMMM'!$A$5:$K$360,8)</f>
        <v>2811</v>
      </c>
      <c r="V327" s="289">
        <f>VLOOKUP(A327,'K23'!$A$4:$BV$359,26)</f>
        <v>72363.340885465979</v>
      </c>
    </row>
    <row r="328" spans="1:22" ht="13">
      <c r="A328" s="755">
        <v>5412</v>
      </c>
      <c r="B328" s="756" t="s">
        <v>1649</v>
      </c>
      <c r="C328" s="289">
        <f>+K0kommunestruktur2021altern!C328</f>
        <v>4207</v>
      </c>
      <c r="D328" s="289">
        <f>+K0kommunestruktur2021altern!D328</f>
        <v>78040</v>
      </c>
      <c r="E328" s="289">
        <f>+K0kommunestruktur2021altern!E328</f>
        <v>4268</v>
      </c>
      <c r="F328" s="289">
        <f>+K0kommunestruktur2021altern!F328</f>
        <v>85810</v>
      </c>
      <c r="G328" s="289">
        <f>+K0kommunestruktur2021altern!G328</f>
        <v>4324</v>
      </c>
      <c r="H328" s="289">
        <f>+K0kommunestruktur2021altern!H328</f>
        <v>92325</v>
      </c>
      <c r="I328" s="289">
        <f>+K0kommunestruktur2021altern!I328</f>
        <v>4300</v>
      </c>
      <c r="J328" s="289">
        <f>+K0kommunestruktur2021altern!J328</f>
        <v>96392</v>
      </c>
      <c r="K328" s="289">
        <f>+K0kommunestruktur2021altern!K328</f>
        <v>4253</v>
      </c>
      <c r="L328" s="289">
        <f>+K0kommunestruktur2021altern!L328</f>
        <v>96820</v>
      </c>
      <c r="M328" s="289">
        <f>+K0kommunestruktur2021altern!M328</f>
        <v>4268</v>
      </c>
      <c r="N328" s="289">
        <f>+K0kommunestruktur2021altern!N328</f>
        <v>100932</v>
      </c>
      <c r="O328" s="289">
        <f>+K0kommunestruktur2021altern!O328</f>
        <v>4216</v>
      </c>
      <c r="P328" s="289">
        <f>+K0kommunestruktur2021altern!P328</f>
        <v>101538</v>
      </c>
      <c r="Q328" s="289">
        <f>+K0kommunestruktur2021altern!Q328</f>
        <v>4209</v>
      </c>
      <c r="R328" s="289">
        <f>+K0kommunestruktur2021altern!R328</f>
        <v>112336.47500000001</v>
      </c>
      <c r="S328" s="289">
        <f>VLOOKUP(A328,'K22'!A328:CU683,3)</f>
        <v>4201</v>
      </c>
      <c r="T328" s="289">
        <f>VLOOKUP(A328,'K22'!$A$4:$BV$359,26)</f>
        <v>124701.38785920531</v>
      </c>
      <c r="U328" s="289">
        <f>VLOOKUP(A328,'Bef.fremskr. kommunenivå MMMM'!$A$5:$K$360,8)</f>
        <v>4255</v>
      </c>
      <c r="V328" s="289">
        <f>VLOOKUP(A328,'K23'!$A$4:$BV$359,26)</f>
        <v>116544.07541029927</v>
      </c>
    </row>
    <row r="329" spans="1:22" ht="13">
      <c r="A329" s="755">
        <v>5413</v>
      </c>
      <c r="B329" s="756" t="s">
        <v>221</v>
      </c>
      <c r="C329" s="289">
        <f>+K0kommunestruktur2021altern!C329</f>
        <v>1436</v>
      </c>
      <c r="D329" s="289">
        <f>+K0kommunestruktur2021altern!D329</f>
        <v>26022</v>
      </c>
      <c r="E329" s="289">
        <f>+K0kommunestruktur2021altern!E329</f>
        <v>1410</v>
      </c>
      <c r="F329" s="289">
        <f>+K0kommunestruktur2021altern!F329</f>
        <v>26855</v>
      </c>
      <c r="G329" s="289">
        <f>+K0kommunestruktur2021altern!G329</f>
        <v>1403</v>
      </c>
      <c r="H329" s="289">
        <f>+K0kommunestruktur2021altern!H329</f>
        <v>31656</v>
      </c>
      <c r="I329" s="289">
        <f>+K0kommunestruktur2021altern!I329</f>
        <v>1394</v>
      </c>
      <c r="J329" s="289">
        <f>+K0kommunestruktur2021altern!J329</f>
        <v>34562</v>
      </c>
      <c r="K329" s="289">
        <f>+K0kommunestruktur2021altern!K329</f>
        <v>1380</v>
      </c>
      <c r="L329" s="289">
        <f>+K0kommunestruktur2021altern!L329</f>
        <v>38050</v>
      </c>
      <c r="M329" s="289">
        <f>+K0kommunestruktur2021altern!M329</f>
        <v>1375</v>
      </c>
      <c r="N329" s="289">
        <f>+K0kommunestruktur2021altern!N329</f>
        <v>36128</v>
      </c>
      <c r="O329" s="289">
        <f>+K0kommunestruktur2021altern!O329</f>
        <v>1361</v>
      </c>
      <c r="P329" s="289">
        <f>+K0kommunestruktur2021altern!P329</f>
        <v>34850</v>
      </c>
      <c r="Q329" s="289">
        <f>+K0kommunestruktur2021altern!Q329</f>
        <v>1320</v>
      </c>
      <c r="R329" s="289">
        <f>+K0kommunestruktur2021altern!R329</f>
        <v>37922.93</v>
      </c>
      <c r="S329" s="289">
        <f>VLOOKUP(A329,'K22'!A329:CU684,3)</f>
        <v>1289</v>
      </c>
      <c r="T329" s="289">
        <f>VLOOKUP(A329,'K22'!$A$4:$BV$359,26)</f>
        <v>44867.84563795499</v>
      </c>
      <c r="U329" s="289">
        <f>VLOOKUP(A329,'Bef.fremskr. kommunenivå MMMM'!$A$5:$K$360,8)</f>
        <v>1282</v>
      </c>
      <c r="V329" s="289">
        <f>VLOOKUP(A329,'K23'!$A$4:$BV$359,26)</f>
        <v>38044.669172596645</v>
      </c>
    </row>
    <row r="330" spans="1:22" ht="13">
      <c r="A330" s="755">
        <v>5414</v>
      </c>
      <c r="B330" s="756" t="s">
        <v>222</v>
      </c>
      <c r="C330" s="289">
        <f>+K0kommunestruktur2021altern!C330</f>
        <v>1135</v>
      </c>
      <c r="D330" s="289">
        <f>+K0kommunestruktur2021altern!D330</f>
        <v>19557</v>
      </c>
      <c r="E330" s="289">
        <f>+K0kommunestruktur2021altern!E330</f>
        <v>1137</v>
      </c>
      <c r="F330" s="289">
        <f>+K0kommunestruktur2021altern!F330</f>
        <v>20678</v>
      </c>
      <c r="G330" s="289">
        <f>+K0kommunestruktur2021altern!G330</f>
        <v>1137</v>
      </c>
      <c r="H330" s="289">
        <f>+K0kommunestruktur2021altern!H330</f>
        <v>22524</v>
      </c>
      <c r="I330" s="289">
        <f>+K0kommunestruktur2021altern!I330</f>
        <v>1121</v>
      </c>
      <c r="J330" s="289">
        <f>+K0kommunestruktur2021altern!J330</f>
        <v>24726</v>
      </c>
      <c r="K330" s="289">
        <f>+K0kommunestruktur2021altern!K330</f>
        <v>1117</v>
      </c>
      <c r="L330" s="289">
        <f>+K0kommunestruktur2021altern!L330</f>
        <v>26493</v>
      </c>
      <c r="M330" s="289">
        <f>+K0kommunestruktur2021altern!M330</f>
        <v>1105</v>
      </c>
      <c r="N330" s="289">
        <f>+K0kommunestruktur2021altern!N330</f>
        <v>28318</v>
      </c>
      <c r="O330" s="289">
        <f>+K0kommunestruktur2021altern!O330</f>
        <v>1091</v>
      </c>
      <c r="P330" s="289">
        <f>+K0kommunestruktur2021altern!P330</f>
        <v>28544</v>
      </c>
      <c r="Q330" s="289">
        <f>+K0kommunestruktur2021altern!Q330</f>
        <v>1092</v>
      </c>
      <c r="R330" s="289">
        <f>+K0kommunestruktur2021altern!R330</f>
        <v>31520.68</v>
      </c>
      <c r="S330" s="289">
        <f>VLOOKUP(A330,'K22'!A330:CU685,3)</f>
        <v>1070</v>
      </c>
      <c r="T330" s="289">
        <f>VLOOKUP(A330,'K22'!$A$4:$BV$359,26)</f>
        <v>34827.494051708796</v>
      </c>
      <c r="U330" s="289">
        <f>VLOOKUP(A330,'Bef.fremskr. kommunenivå MMMM'!$A$5:$K$360,8)</f>
        <v>1080</v>
      </c>
      <c r="V330" s="289">
        <f>VLOOKUP(A330,'K23'!$A$4:$BV$359,26)</f>
        <v>32065.233237860553</v>
      </c>
    </row>
    <row r="331" spans="1:22" ht="13">
      <c r="A331" s="755">
        <v>5415</v>
      </c>
      <c r="B331" s="756" t="s">
        <v>223</v>
      </c>
      <c r="C331" s="289">
        <f>+K0kommunestruktur2021altern!C331</f>
        <v>1014</v>
      </c>
      <c r="D331" s="289">
        <f>+K0kommunestruktur2021altern!D331</f>
        <v>15717</v>
      </c>
      <c r="E331" s="289">
        <f>+K0kommunestruktur2021altern!E331</f>
        <v>1008</v>
      </c>
      <c r="F331" s="289">
        <f>+K0kommunestruktur2021altern!F331</f>
        <v>18284</v>
      </c>
      <c r="G331" s="289">
        <f>+K0kommunestruktur2021altern!G331</f>
        <v>1051</v>
      </c>
      <c r="H331" s="289">
        <f>+K0kommunestruktur2021altern!H331</f>
        <v>19351</v>
      </c>
      <c r="I331" s="289">
        <f>+K0kommunestruktur2021altern!I331</f>
        <v>1076</v>
      </c>
      <c r="J331" s="289">
        <f>+K0kommunestruktur2021altern!J331</f>
        <v>19972</v>
      </c>
      <c r="K331" s="289">
        <f>+K0kommunestruktur2021altern!K331</f>
        <v>1061</v>
      </c>
      <c r="L331" s="289">
        <f>+K0kommunestruktur2021altern!L331</f>
        <v>21842</v>
      </c>
      <c r="M331" s="289">
        <f>+K0kommunestruktur2021altern!M331</f>
        <v>1042</v>
      </c>
      <c r="N331" s="289">
        <f>+K0kommunestruktur2021altern!N331</f>
        <v>22320</v>
      </c>
      <c r="O331" s="289">
        <f>+K0kommunestruktur2021altern!O331</f>
        <v>1034</v>
      </c>
      <c r="P331" s="289">
        <f>+K0kommunestruktur2021altern!P331</f>
        <v>22101</v>
      </c>
      <c r="Q331" s="289">
        <f>+K0kommunestruktur2021altern!Q331</f>
        <v>1020</v>
      </c>
      <c r="R331" s="289">
        <f>+K0kommunestruktur2021altern!R331</f>
        <v>22751.856</v>
      </c>
      <c r="S331" s="289">
        <f>VLOOKUP(A331,'K22'!A331:CU686,3)</f>
        <v>970</v>
      </c>
      <c r="T331" s="289">
        <f>VLOOKUP(A331,'K22'!$A$4:$BV$359,26)</f>
        <v>24628.760642770343</v>
      </c>
      <c r="U331" s="289">
        <f>VLOOKUP(A331,'Bef.fremskr. kommunenivå MMMM'!$A$5:$K$360,8)</f>
        <v>953</v>
      </c>
      <c r="V331" s="289">
        <f>VLOOKUP(A331,'K23'!$A$4:$BV$359,26)</f>
        <v>22883.518767420799</v>
      </c>
    </row>
    <row r="332" spans="1:22" ht="13">
      <c r="A332" s="755">
        <v>5416</v>
      </c>
      <c r="B332" s="756" t="s">
        <v>224</v>
      </c>
      <c r="C332" s="289">
        <f>+K0kommunestruktur2021altern!C332</f>
        <v>3985</v>
      </c>
      <c r="D332" s="289">
        <f>+K0kommunestruktur2021altern!D332</f>
        <v>95072</v>
      </c>
      <c r="E332" s="289">
        <f>+K0kommunestruktur2021altern!E332</f>
        <v>4078</v>
      </c>
      <c r="F332" s="289">
        <f>+K0kommunestruktur2021altern!F332</f>
        <v>103643</v>
      </c>
      <c r="G332" s="289">
        <f>+K0kommunestruktur2021altern!G332</f>
        <v>4019</v>
      </c>
      <c r="H332" s="289">
        <f>+K0kommunestruktur2021altern!H332</f>
        <v>109015</v>
      </c>
      <c r="I332" s="289">
        <f>+K0kommunestruktur2021altern!I332</f>
        <v>3994</v>
      </c>
      <c r="J332" s="289">
        <f>+K0kommunestruktur2021altern!J332</f>
        <v>115085</v>
      </c>
      <c r="K332" s="289">
        <f>+K0kommunestruktur2021altern!K332</f>
        <v>3979</v>
      </c>
      <c r="L332" s="289">
        <f>+K0kommunestruktur2021altern!L332</f>
        <v>120113</v>
      </c>
      <c r="M332" s="289">
        <f>+K0kommunestruktur2021altern!M332</f>
        <v>4030</v>
      </c>
      <c r="N332" s="289">
        <f>+K0kommunestruktur2021altern!N332</f>
        <v>127207</v>
      </c>
      <c r="O332" s="289">
        <f>+K0kommunestruktur2021altern!O332</f>
        <v>4005</v>
      </c>
      <c r="P332" s="289">
        <f>+K0kommunestruktur2021altern!P332</f>
        <v>121816</v>
      </c>
      <c r="Q332" s="289">
        <f>+K0kommunestruktur2021altern!Q332</f>
        <v>3959</v>
      </c>
      <c r="R332" s="289">
        <f>+K0kommunestruktur2021altern!R332</f>
        <v>132708.57699999999</v>
      </c>
      <c r="S332" s="289">
        <f>VLOOKUP(A332,'K22'!A332:CU687,3)</f>
        <v>3993</v>
      </c>
      <c r="T332" s="289">
        <f>VLOOKUP(A332,'K22'!$A$4:$BV$359,26)</f>
        <v>145326.71190507311</v>
      </c>
      <c r="U332" s="289">
        <f>VLOOKUP(A332,'Bef.fremskr. kommunenivå MMMM'!$A$5:$K$360,8)</f>
        <v>4089</v>
      </c>
      <c r="V332" s="289">
        <f>VLOOKUP(A332,'K23'!$A$4:$BV$359,26)</f>
        <v>142233.58432614006</v>
      </c>
    </row>
    <row r="333" spans="1:22" ht="13">
      <c r="A333" s="755">
        <v>5417</v>
      </c>
      <c r="B333" s="756" t="s">
        <v>225</v>
      </c>
      <c r="C333" s="289">
        <f>+K0kommunestruktur2021altern!C333</f>
        <v>2223</v>
      </c>
      <c r="D333" s="289">
        <f>+K0kommunestruktur2021altern!D333</f>
        <v>38368</v>
      </c>
      <c r="E333" s="289">
        <f>+K0kommunestruktur2021altern!E333</f>
        <v>2219</v>
      </c>
      <c r="F333" s="289">
        <f>+K0kommunestruktur2021altern!F333</f>
        <v>42072</v>
      </c>
      <c r="G333" s="289">
        <f>+K0kommunestruktur2021altern!G333</f>
        <v>2230</v>
      </c>
      <c r="H333" s="289">
        <f>+K0kommunestruktur2021altern!H333</f>
        <v>46921</v>
      </c>
      <c r="I333" s="289">
        <f>+K0kommunestruktur2021altern!I333</f>
        <v>2220</v>
      </c>
      <c r="J333" s="289">
        <f>+K0kommunestruktur2021altern!J333</f>
        <v>51862</v>
      </c>
      <c r="K333" s="289">
        <f>+K0kommunestruktur2021altern!K333</f>
        <v>2226</v>
      </c>
      <c r="L333" s="289">
        <f>+K0kommunestruktur2021altern!L333</f>
        <v>52604</v>
      </c>
      <c r="M333" s="289">
        <f>+K0kommunestruktur2021altern!M333</f>
        <v>2183</v>
      </c>
      <c r="N333" s="289">
        <f>+K0kommunestruktur2021altern!N333</f>
        <v>56979</v>
      </c>
      <c r="O333" s="289">
        <f>+K0kommunestruktur2021altern!O333</f>
        <v>2146</v>
      </c>
      <c r="P333" s="289">
        <f>+K0kommunestruktur2021altern!P333</f>
        <v>56569</v>
      </c>
      <c r="Q333" s="289">
        <f>+K0kommunestruktur2021altern!Q333</f>
        <v>2089</v>
      </c>
      <c r="R333" s="289">
        <f>+K0kommunestruktur2021altern!R333</f>
        <v>55380.934000000001</v>
      </c>
      <c r="S333" s="289">
        <f>VLOOKUP(A333,'K22'!A333:CU688,3)</f>
        <v>2087</v>
      </c>
      <c r="T333" s="289">
        <f>VLOOKUP(A333,'K22'!$A$4:$BV$359,26)</f>
        <v>65430.127637025958</v>
      </c>
      <c r="U333" s="289">
        <f>VLOOKUP(A333,'Bef.fremskr. kommunenivå MMMM'!$A$5:$K$360,8)</f>
        <v>2113</v>
      </c>
      <c r="V333" s="289">
        <f>VLOOKUP(A333,'K23'!$A$4:$BV$359,26)</f>
        <v>61608.257518784711</v>
      </c>
    </row>
    <row r="334" spans="1:22" ht="13">
      <c r="A334" s="755">
        <v>5418</v>
      </c>
      <c r="B334" s="756" t="s">
        <v>226</v>
      </c>
      <c r="C334" s="289">
        <f>+K0kommunestruktur2021altern!C334</f>
        <v>6634</v>
      </c>
      <c r="D334" s="289">
        <f>+K0kommunestruktur2021altern!D334</f>
        <v>149063</v>
      </c>
      <c r="E334" s="289">
        <f>+K0kommunestruktur2021altern!E334</f>
        <v>6693</v>
      </c>
      <c r="F334" s="289">
        <f>+K0kommunestruktur2021altern!F334</f>
        <v>166088</v>
      </c>
      <c r="G334" s="289">
        <f>+K0kommunestruktur2021altern!G334</f>
        <v>6741</v>
      </c>
      <c r="H334" s="289">
        <f>+K0kommunestruktur2021altern!H334</f>
        <v>179331</v>
      </c>
      <c r="I334" s="289">
        <f>+K0kommunestruktur2021altern!I334</f>
        <v>6781</v>
      </c>
      <c r="J334" s="289">
        <f>+K0kommunestruktur2021altern!J334</f>
        <v>187236</v>
      </c>
      <c r="K334" s="289">
        <f>+K0kommunestruktur2021altern!K334</f>
        <v>6798</v>
      </c>
      <c r="L334" s="289">
        <f>+K0kommunestruktur2021altern!L334</f>
        <v>184693</v>
      </c>
      <c r="M334" s="289">
        <f>+K0kommunestruktur2021altern!M334</f>
        <v>6805</v>
      </c>
      <c r="N334" s="289">
        <f>+K0kommunestruktur2021altern!N334</f>
        <v>195569</v>
      </c>
      <c r="O334" s="289">
        <f>+K0kommunestruktur2021altern!O334</f>
        <v>6640</v>
      </c>
      <c r="P334" s="289">
        <f>+K0kommunestruktur2021altern!P334</f>
        <v>189438</v>
      </c>
      <c r="Q334" s="289">
        <f>+K0kommunestruktur2021altern!Q334</f>
        <v>6609</v>
      </c>
      <c r="R334" s="289">
        <f>+K0kommunestruktur2021altern!R334</f>
        <v>207409.057</v>
      </c>
      <c r="S334" s="289">
        <f>VLOOKUP(A334,'K22'!A334:CU689,3)</f>
        <v>6599</v>
      </c>
      <c r="T334" s="289">
        <f>VLOOKUP(A334,'K22'!$A$4:$BV$359,26)</f>
        <v>229214.1937602642</v>
      </c>
      <c r="U334" s="289">
        <f>VLOOKUP(A334,'Bef.fremskr. kommunenivå MMMM'!$A$5:$K$360,8)</f>
        <v>6692</v>
      </c>
      <c r="V334" s="289">
        <f>VLOOKUP(A334,'K23'!$A$4:$BV$359,26)</f>
        <v>218011.35604089085</v>
      </c>
    </row>
    <row r="335" spans="1:22" ht="13">
      <c r="A335" s="755">
        <v>5419</v>
      </c>
      <c r="B335" s="756" t="s">
        <v>227</v>
      </c>
      <c r="C335" s="289">
        <f>+K0kommunestruktur2021altern!C335</f>
        <v>3450</v>
      </c>
      <c r="D335" s="289">
        <f>+K0kommunestruktur2021altern!D335</f>
        <v>68185</v>
      </c>
      <c r="E335" s="289">
        <f>+K0kommunestruktur2021altern!E335</f>
        <v>3451</v>
      </c>
      <c r="F335" s="289">
        <f>+K0kommunestruktur2021altern!F335</f>
        <v>73491</v>
      </c>
      <c r="G335" s="289">
        <f>+K0kommunestruktur2021altern!G335</f>
        <v>3452</v>
      </c>
      <c r="H335" s="289">
        <f>+K0kommunestruktur2021altern!H335</f>
        <v>81156</v>
      </c>
      <c r="I335" s="289">
        <f>+K0kommunestruktur2021altern!I335</f>
        <v>3496</v>
      </c>
      <c r="J335" s="289">
        <f>+K0kommunestruktur2021altern!J335</f>
        <v>83904</v>
      </c>
      <c r="K335" s="289">
        <f>+K0kommunestruktur2021altern!K335</f>
        <v>3494</v>
      </c>
      <c r="L335" s="289">
        <f>+K0kommunestruktur2021altern!L335</f>
        <v>86393</v>
      </c>
      <c r="M335" s="289">
        <f>+K0kommunestruktur2021altern!M335</f>
        <v>3489</v>
      </c>
      <c r="N335" s="289">
        <f>+K0kommunestruktur2021altern!N335</f>
        <v>90759</v>
      </c>
      <c r="O335" s="289">
        <f>+K0kommunestruktur2021altern!O335</f>
        <v>3464</v>
      </c>
      <c r="P335" s="289">
        <f>+K0kommunestruktur2021altern!P335</f>
        <v>88223</v>
      </c>
      <c r="Q335" s="289">
        <f>+K0kommunestruktur2021altern!Q335</f>
        <v>3465</v>
      </c>
      <c r="R335" s="289">
        <f>+K0kommunestruktur2021altern!R335</f>
        <v>101330.74</v>
      </c>
      <c r="S335" s="289">
        <f>VLOOKUP(A335,'K22'!A335:CU690,3)</f>
        <v>3414</v>
      </c>
      <c r="T335" s="289">
        <f>VLOOKUP(A335,'K22'!$A$4:$BV$359,26)</f>
        <v>109071.80812050533</v>
      </c>
      <c r="U335" s="289">
        <f>VLOOKUP(A335,'Bef.fremskr. kommunenivå MMMM'!$A$5:$K$360,8)</f>
        <v>3424</v>
      </c>
      <c r="V335" s="289">
        <f>VLOOKUP(A335,'K23'!$A$4:$BV$359,26)</f>
        <v>101676.13617586107</v>
      </c>
    </row>
    <row r="336" spans="1:22" ht="13">
      <c r="A336" s="755">
        <v>5420</v>
      </c>
      <c r="B336" s="756" t="s">
        <v>228</v>
      </c>
      <c r="C336" s="289">
        <f>+K0kommunestruktur2021altern!C336</f>
        <v>1171</v>
      </c>
      <c r="D336" s="289">
        <f>+K0kommunestruktur2021altern!D336</f>
        <v>20896</v>
      </c>
      <c r="E336" s="289">
        <f>+K0kommunestruktur2021altern!E336</f>
        <v>1154</v>
      </c>
      <c r="F336" s="289">
        <f>+K0kommunestruktur2021altern!F336</f>
        <v>21773</v>
      </c>
      <c r="G336" s="289">
        <f>+K0kommunestruktur2021altern!G336</f>
        <v>1158</v>
      </c>
      <c r="H336" s="289">
        <f>+K0kommunestruktur2021altern!H336</f>
        <v>22702</v>
      </c>
      <c r="I336" s="289">
        <f>+K0kommunestruktur2021altern!I336</f>
        <v>1138</v>
      </c>
      <c r="J336" s="289">
        <f>+K0kommunestruktur2021altern!J336</f>
        <v>23986</v>
      </c>
      <c r="K336" s="289">
        <f>+K0kommunestruktur2021altern!K336</f>
        <v>1165</v>
      </c>
      <c r="L336" s="289">
        <f>+K0kommunestruktur2021altern!L336</f>
        <v>25457</v>
      </c>
      <c r="M336" s="289">
        <f>+K0kommunestruktur2021altern!M336</f>
        <v>1129</v>
      </c>
      <c r="N336" s="289">
        <f>+K0kommunestruktur2021altern!N336</f>
        <v>25128</v>
      </c>
      <c r="O336" s="289">
        <f>+K0kommunestruktur2021altern!O336</f>
        <v>1083</v>
      </c>
      <c r="P336" s="289">
        <f>+K0kommunestruktur2021altern!P336</f>
        <v>24841</v>
      </c>
      <c r="Q336" s="289">
        <f>+K0kommunestruktur2021altern!Q336</f>
        <v>1063</v>
      </c>
      <c r="R336" s="289">
        <f>+K0kommunestruktur2021altern!R336</f>
        <v>28130.851999999999</v>
      </c>
      <c r="S336" s="289">
        <f>VLOOKUP(A336,'K22'!A336:CU691,3)</f>
        <v>1068</v>
      </c>
      <c r="T336" s="289">
        <f>VLOOKUP(A336,'K22'!$A$4:$BV$359,26)</f>
        <v>29860.920484060669</v>
      </c>
      <c r="U336" s="289">
        <f>VLOOKUP(A336,'Bef.fremskr. kommunenivå MMMM'!$A$5:$K$360,8)</f>
        <v>1073</v>
      </c>
      <c r="V336" s="289">
        <f>VLOOKUP(A336,'K23'!$A$4:$BV$359,26)</f>
        <v>28260.345588817461</v>
      </c>
    </row>
    <row r="337" spans="1:22" ht="13">
      <c r="A337" s="755">
        <v>5421</v>
      </c>
      <c r="B337" s="756" t="s">
        <v>1650</v>
      </c>
      <c r="C337" s="289">
        <f>+K0kommunestruktur2021altern!C337</f>
        <v>14863</v>
      </c>
      <c r="D337" s="289">
        <f>+K0kommunestruktur2021altern!D337</f>
        <v>285329</v>
      </c>
      <c r="E337" s="289">
        <f>+K0kommunestruktur2021altern!E337</f>
        <v>14868</v>
      </c>
      <c r="F337" s="289">
        <f>+K0kommunestruktur2021altern!F337</f>
        <v>308178</v>
      </c>
      <c r="G337" s="289">
        <f>+K0kommunestruktur2021altern!G337</f>
        <v>14989</v>
      </c>
      <c r="H337" s="289">
        <f>+K0kommunestruktur2021altern!H337</f>
        <v>344771</v>
      </c>
      <c r="I337" s="289">
        <f>+K0kommunestruktur2021altern!I337</f>
        <v>15072</v>
      </c>
      <c r="J337" s="289">
        <f>+K0kommunestruktur2021altern!J337</f>
        <v>365421</v>
      </c>
      <c r="K337" s="289">
        <f>+K0kommunestruktur2021altern!K337</f>
        <v>15025</v>
      </c>
      <c r="L337" s="289">
        <f>+K0kommunestruktur2021altern!L337</f>
        <v>372209</v>
      </c>
      <c r="M337" s="289">
        <f>+K0kommunestruktur2021altern!M337</f>
        <v>15011</v>
      </c>
      <c r="N337" s="289">
        <f>+K0kommunestruktur2021altern!N337</f>
        <v>392512</v>
      </c>
      <c r="O337" s="289">
        <f>+K0kommunestruktur2021altern!O337</f>
        <v>14851</v>
      </c>
      <c r="P337" s="289">
        <f>+K0kommunestruktur2021altern!P337</f>
        <v>376058</v>
      </c>
      <c r="Q337" s="289">
        <f>+K0kommunestruktur2021altern!Q337</f>
        <v>14725</v>
      </c>
      <c r="R337" s="289">
        <f>+K0kommunestruktur2021altern!R337</f>
        <v>449655.02600000001</v>
      </c>
      <c r="S337" s="289">
        <f>VLOOKUP(A337,'K22'!A337:CU692,3)</f>
        <v>14738</v>
      </c>
      <c r="T337" s="289">
        <f>VLOOKUP(A337,'K22'!$A$4:$BV$359,26)</f>
        <v>491204.83845638845</v>
      </c>
      <c r="U337" s="289">
        <f>VLOOKUP(A337,'Bef.fremskr. kommunenivå MMMM'!$A$5:$K$360,8)</f>
        <v>14789</v>
      </c>
      <c r="V337" s="289">
        <f>VLOOKUP(A337,'K23'!$A$4:$BV$359,26)</f>
        <v>445482.93222824129</v>
      </c>
    </row>
    <row r="338" spans="1:22" ht="13">
      <c r="A338" s="755">
        <v>5422</v>
      </c>
      <c r="B338" s="756" t="s">
        <v>233</v>
      </c>
      <c r="C338" s="289">
        <f>+K0kommunestruktur2021altern!C338</f>
        <v>5593</v>
      </c>
      <c r="D338" s="289">
        <f>+K0kommunestruktur2021altern!D338</f>
        <v>99418</v>
      </c>
      <c r="E338" s="289">
        <f>+K0kommunestruktur2021altern!E338</f>
        <v>5720</v>
      </c>
      <c r="F338" s="289">
        <f>+K0kommunestruktur2021altern!F338</f>
        <v>108717</v>
      </c>
      <c r="G338" s="289">
        <f>+K0kommunestruktur2021altern!G338</f>
        <v>5701</v>
      </c>
      <c r="H338" s="289">
        <f>+K0kommunestruktur2021altern!H338</f>
        <v>117146</v>
      </c>
      <c r="I338" s="289">
        <f>+K0kommunestruktur2021altern!I338</f>
        <v>5685</v>
      </c>
      <c r="J338" s="289">
        <f>+K0kommunestruktur2021altern!J338</f>
        <v>120376</v>
      </c>
      <c r="K338" s="289">
        <f>+K0kommunestruktur2021altern!K338</f>
        <v>5653</v>
      </c>
      <c r="L338" s="289">
        <f>+K0kommunestruktur2021altern!L338</f>
        <v>123856</v>
      </c>
      <c r="M338" s="289">
        <f>+K0kommunestruktur2021altern!M338</f>
        <v>5625</v>
      </c>
      <c r="N338" s="289">
        <f>+K0kommunestruktur2021altern!N338</f>
        <v>127282</v>
      </c>
      <c r="O338" s="289">
        <f>+K0kommunestruktur2021altern!O338</f>
        <v>5559</v>
      </c>
      <c r="P338" s="289">
        <f>+K0kommunestruktur2021altern!P338</f>
        <v>127465</v>
      </c>
      <c r="Q338" s="289">
        <f>+K0kommunestruktur2021altern!Q338</f>
        <v>5559</v>
      </c>
      <c r="R338" s="289">
        <f>+K0kommunestruktur2021altern!R338</f>
        <v>148285.033</v>
      </c>
      <c r="S338" s="289">
        <f>VLOOKUP(A338,'K22'!A338:CU693,3)</f>
        <v>5576</v>
      </c>
      <c r="T338" s="289">
        <f>VLOOKUP(A338,'K22'!$A$4:$BV$359,26)</f>
        <v>157646.55800312097</v>
      </c>
      <c r="U338" s="289">
        <f>VLOOKUP(A338,'Bef.fremskr. kommunenivå MMMM'!$A$5:$K$360,8)</f>
        <v>5594</v>
      </c>
      <c r="V338" s="289">
        <f>VLOOKUP(A338,'K23'!$A$4:$BV$359,26)</f>
        <v>148508.14749622811</v>
      </c>
    </row>
    <row r="339" spans="1:22" ht="13">
      <c r="A339" s="755">
        <v>5423</v>
      </c>
      <c r="B339" s="756" t="s">
        <v>234</v>
      </c>
      <c r="C339" s="289">
        <f>+K0kommunestruktur2021altern!C339</f>
        <v>2334</v>
      </c>
      <c r="D339" s="289">
        <f>+K0kommunestruktur2021altern!D339</f>
        <v>41906</v>
      </c>
      <c r="E339" s="289">
        <f>+K0kommunestruktur2021altern!E339</f>
        <v>2289</v>
      </c>
      <c r="F339" s="289">
        <f>+K0kommunestruktur2021altern!F339</f>
        <v>46139</v>
      </c>
      <c r="G339" s="289">
        <f>+K0kommunestruktur2021altern!G339</f>
        <v>2282</v>
      </c>
      <c r="H339" s="289">
        <f>+K0kommunestruktur2021altern!H339</f>
        <v>49979</v>
      </c>
      <c r="I339" s="289">
        <f>+K0kommunestruktur2021altern!I339</f>
        <v>2273</v>
      </c>
      <c r="J339" s="289">
        <f>+K0kommunestruktur2021altern!J339</f>
        <v>53340</v>
      </c>
      <c r="K339" s="289">
        <f>+K0kommunestruktur2021altern!K339</f>
        <v>2263</v>
      </c>
      <c r="L339" s="289">
        <f>+K0kommunestruktur2021altern!L339</f>
        <v>57505</v>
      </c>
      <c r="M339" s="289">
        <f>+K0kommunestruktur2021altern!M339</f>
        <v>2252</v>
      </c>
      <c r="N339" s="289">
        <f>+K0kommunestruktur2021altern!N339</f>
        <v>59153</v>
      </c>
      <c r="O339" s="289">
        <f>+K0kommunestruktur2021altern!O339</f>
        <v>2200</v>
      </c>
      <c r="P339" s="289">
        <f>+K0kommunestruktur2021altern!P339</f>
        <v>56633</v>
      </c>
      <c r="Q339" s="289">
        <f>+K0kommunestruktur2021altern!Q339</f>
        <v>2172</v>
      </c>
      <c r="R339" s="289">
        <f>+K0kommunestruktur2021altern!R339</f>
        <v>63205.745999999999</v>
      </c>
      <c r="S339" s="289">
        <f>VLOOKUP(A339,'K22'!A339:CU694,3)</f>
        <v>2179</v>
      </c>
      <c r="T339" s="289">
        <f>VLOOKUP(A339,'K22'!$A$4:$BV$359,26)</f>
        <v>70818.562017647782</v>
      </c>
      <c r="U339" s="289">
        <f>VLOOKUP(A339,'Bef.fremskr. kommunenivå MMMM'!$A$5:$K$360,8)</f>
        <v>2234</v>
      </c>
      <c r="V339" s="289">
        <f>VLOOKUP(A339,'K23'!$A$4:$BV$359,26)</f>
        <v>66686.017947705244</v>
      </c>
    </row>
    <row r="340" spans="1:22" ht="13">
      <c r="A340" s="755">
        <v>5424</v>
      </c>
      <c r="B340" s="756" t="s">
        <v>235</v>
      </c>
      <c r="C340" s="289">
        <f>+K0kommunestruktur2021altern!C340</f>
        <v>2992</v>
      </c>
      <c r="D340" s="289">
        <f>+K0kommunestruktur2021altern!D340</f>
        <v>53448</v>
      </c>
      <c r="E340" s="289">
        <f>+K0kommunestruktur2021altern!E340</f>
        <v>2922</v>
      </c>
      <c r="F340" s="289">
        <f>+K0kommunestruktur2021altern!F340</f>
        <v>56189</v>
      </c>
      <c r="G340" s="289">
        <f>+K0kommunestruktur2021altern!G340</f>
        <v>2861</v>
      </c>
      <c r="H340" s="289">
        <f>+K0kommunestruktur2021altern!H340</f>
        <v>61736</v>
      </c>
      <c r="I340" s="289">
        <f>+K0kommunestruktur2021altern!I340</f>
        <v>2876</v>
      </c>
      <c r="J340" s="289">
        <f>+K0kommunestruktur2021altern!J340</f>
        <v>63968</v>
      </c>
      <c r="K340" s="289">
        <f>+K0kommunestruktur2021altern!K340</f>
        <v>2877</v>
      </c>
      <c r="L340" s="289">
        <f>+K0kommunestruktur2021altern!L340</f>
        <v>64289</v>
      </c>
      <c r="M340" s="289">
        <f>+K0kommunestruktur2021altern!M340</f>
        <v>2847</v>
      </c>
      <c r="N340" s="289">
        <f>+K0kommunestruktur2021altern!N340</f>
        <v>65153</v>
      </c>
      <c r="O340" s="289">
        <f>+K0kommunestruktur2021altern!O340</f>
        <v>2794</v>
      </c>
      <c r="P340" s="289">
        <f>+K0kommunestruktur2021altern!P340</f>
        <v>63654</v>
      </c>
      <c r="Q340" s="289">
        <f>+K0kommunestruktur2021altern!Q340</f>
        <v>2773</v>
      </c>
      <c r="R340" s="289">
        <f>+K0kommunestruktur2021altern!R340</f>
        <v>73805.577999999994</v>
      </c>
      <c r="S340" s="289">
        <f>VLOOKUP(A340,'K22'!A340:CU695,3)</f>
        <v>2729</v>
      </c>
      <c r="T340" s="289">
        <f>VLOOKUP(A340,'K22'!$A$4:$BV$359,26)</f>
        <v>77460.342752569748</v>
      </c>
      <c r="U340" s="289">
        <f>VLOOKUP(A340,'Bef.fremskr. kommunenivå MMMM'!$A$5:$K$360,8)</f>
        <v>2716</v>
      </c>
      <c r="V340" s="289">
        <f>VLOOKUP(A340,'K23'!$A$4:$BV$359,26)</f>
        <v>72162.000048013331</v>
      </c>
    </row>
    <row r="341" spans="1:22" ht="13">
      <c r="A341" s="755">
        <v>5425</v>
      </c>
      <c r="B341" s="756" t="s">
        <v>236</v>
      </c>
      <c r="C341" s="289">
        <f>+K0kommunestruktur2021altern!C341</f>
        <v>1941</v>
      </c>
      <c r="D341" s="289">
        <f>+K0kommunestruktur2021altern!D341</f>
        <v>38933</v>
      </c>
      <c r="E341" s="289">
        <f>+K0kommunestruktur2021altern!E341</f>
        <v>1898</v>
      </c>
      <c r="F341" s="289">
        <f>+K0kommunestruktur2021altern!F341</f>
        <v>45189</v>
      </c>
      <c r="G341" s="289">
        <f>+K0kommunestruktur2021altern!G341</f>
        <v>1865</v>
      </c>
      <c r="H341" s="289">
        <f>+K0kommunestruktur2021altern!H341</f>
        <v>43833</v>
      </c>
      <c r="I341" s="289">
        <f>+K0kommunestruktur2021altern!I341</f>
        <v>1890</v>
      </c>
      <c r="J341" s="289">
        <f>+K0kommunestruktur2021altern!J341</f>
        <v>47106</v>
      </c>
      <c r="K341" s="289">
        <f>+K0kommunestruktur2021altern!K341</f>
        <v>1856</v>
      </c>
      <c r="L341" s="289">
        <f>+K0kommunestruktur2021altern!L341</f>
        <v>51883</v>
      </c>
      <c r="M341" s="289">
        <f>+K0kommunestruktur2021altern!M341</f>
        <v>1841</v>
      </c>
      <c r="N341" s="289">
        <f>+K0kommunestruktur2021altern!N341</f>
        <v>50896</v>
      </c>
      <c r="O341" s="289">
        <f>+K0kommunestruktur2021altern!O341</f>
        <v>1829</v>
      </c>
      <c r="P341" s="289">
        <f>+K0kommunestruktur2021altern!P341</f>
        <v>53772</v>
      </c>
      <c r="Q341" s="289">
        <f>+K0kommunestruktur2021altern!Q341</f>
        <v>1831</v>
      </c>
      <c r="R341" s="289">
        <f>+K0kommunestruktur2021altern!R341</f>
        <v>53784.925999999999</v>
      </c>
      <c r="S341" s="289">
        <f>VLOOKUP(A341,'K22'!A341:CU696,3)</f>
        <v>1836</v>
      </c>
      <c r="T341" s="289">
        <f>VLOOKUP(A341,'K22'!$A$4:$BV$359,26)</f>
        <v>60674.772629522413</v>
      </c>
      <c r="U341" s="289">
        <f>VLOOKUP(A341,'Bef.fremskr. kommunenivå MMMM'!$A$5:$K$360,8)</f>
        <v>1858</v>
      </c>
      <c r="V341" s="289">
        <f>VLOOKUP(A341,'K23'!$A$4:$BV$359,26)</f>
        <v>58715.288809939935</v>
      </c>
    </row>
    <row r="342" spans="1:22" ht="13">
      <c r="A342" s="755">
        <v>5426</v>
      </c>
      <c r="B342" s="756" t="s">
        <v>237</v>
      </c>
      <c r="C342" s="289">
        <f>+K0kommunestruktur2021altern!C342</f>
        <v>2221</v>
      </c>
      <c r="D342" s="289">
        <f>+K0kommunestruktur2021altern!D342</f>
        <v>39815</v>
      </c>
      <c r="E342" s="289">
        <f>+K0kommunestruktur2021altern!E342</f>
        <v>2182</v>
      </c>
      <c r="F342" s="289">
        <f>+K0kommunestruktur2021altern!F342</f>
        <v>43608</v>
      </c>
      <c r="G342" s="289">
        <f>+K0kommunestruktur2021altern!G342</f>
        <v>2150</v>
      </c>
      <c r="H342" s="289">
        <f>+K0kommunestruktur2021altern!H342</f>
        <v>44224</v>
      </c>
      <c r="I342" s="289">
        <f>+K0kommunestruktur2021altern!I342</f>
        <v>2132</v>
      </c>
      <c r="J342" s="289">
        <f>+K0kommunestruktur2021altern!J342</f>
        <v>48957</v>
      </c>
      <c r="K342" s="289">
        <f>+K0kommunestruktur2021altern!K342</f>
        <v>2132</v>
      </c>
      <c r="L342" s="289">
        <f>+K0kommunestruktur2021altern!L342</f>
        <v>51110</v>
      </c>
      <c r="M342" s="289">
        <f>+K0kommunestruktur2021altern!M342</f>
        <v>2097</v>
      </c>
      <c r="N342" s="289">
        <f>+K0kommunestruktur2021altern!N342</f>
        <v>51415</v>
      </c>
      <c r="O342" s="289">
        <f>+K0kommunestruktur2021altern!O342</f>
        <v>2071</v>
      </c>
      <c r="P342" s="289">
        <f>+K0kommunestruktur2021altern!P342</f>
        <v>46178</v>
      </c>
      <c r="Q342" s="289">
        <f>+K0kommunestruktur2021altern!Q342</f>
        <v>2072</v>
      </c>
      <c r="R342" s="289">
        <f>+K0kommunestruktur2021altern!R342</f>
        <v>50359.462</v>
      </c>
      <c r="S342" s="289">
        <f>VLOOKUP(A342,'K22'!A342:CU697,3)</f>
        <v>2012</v>
      </c>
      <c r="T342" s="289">
        <f>VLOOKUP(A342,'K22'!$A$4:$BV$359,26)</f>
        <v>54744.795631448607</v>
      </c>
      <c r="U342" s="289">
        <f>VLOOKUP(A342,'Bef.fremskr. kommunenivå MMMM'!$A$5:$K$360,8)</f>
        <v>1991</v>
      </c>
      <c r="V342" s="289">
        <f>VLOOKUP(A342,'K23'!$A$4:$BV$359,26)</f>
        <v>52014.350170838014</v>
      </c>
    </row>
    <row r="343" spans="1:22" ht="13">
      <c r="A343" s="755">
        <v>5427</v>
      </c>
      <c r="B343" s="756" t="s">
        <v>238</v>
      </c>
      <c r="C343" s="289">
        <f>+K0kommunestruktur2021altern!C343</f>
        <v>2881</v>
      </c>
      <c r="D343" s="289">
        <f>+K0kommunestruktur2021altern!D343</f>
        <v>49091</v>
      </c>
      <c r="E343" s="289">
        <f>+K0kommunestruktur2021altern!E343</f>
        <v>2895</v>
      </c>
      <c r="F343" s="289">
        <f>+K0kommunestruktur2021altern!F343</f>
        <v>53859</v>
      </c>
      <c r="G343" s="289">
        <f>+K0kommunestruktur2021altern!G343</f>
        <v>2920</v>
      </c>
      <c r="H343" s="289">
        <f>+K0kommunestruktur2021altern!H343</f>
        <v>62594</v>
      </c>
      <c r="I343" s="289">
        <f>+K0kommunestruktur2021altern!I343</f>
        <v>2912</v>
      </c>
      <c r="J343" s="289">
        <f>+K0kommunestruktur2021altern!J343</f>
        <v>64296</v>
      </c>
      <c r="K343" s="289">
        <f>+K0kommunestruktur2021altern!K343</f>
        <v>2925</v>
      </c>
      <c r="L343" s="289">
        <f>+K0kommunestruktur2021altern!L343</f>
        <v>69371</v>
      </c>
      <c r="M343" s="289">
        <f>+K0kommunestruktur2021altern!M343</f>
        <v>2917</v>
      </c>
      <c r="N343" s="289">
        <f>+K0kommunestruktur2021altern!N343</f>
        <v>71052</v>
      </c>
      <c r="O343" s="289">
        <f>+K0kommunestruktur2021altern!O343</f>
        <v>2927</v>
      </c>
      <c r="P343" s="289">
        <f>+K0kommunestruktur2021altern!P343</f>
        <v>73085</v>
      </c>
      <c r="Q343" s="289">
        <f>+K0kommunestruktur2021altern!Q343</f>
        <v>2893</v>
      </c>
      <c r="R343" s="289">
        <f>+K0kommunestruktur2021altern!R343</f>
        <v>80576.759999999995</v>
      </c>
      <c r="S343" s="289">
        <f>VLOOKUP(A343,'K22'!A343:CU698,3)</f>
        <v>2804</v>
      </c>
      <c r="T343" s="289">
        <f>VLOOKUP(A343,'K22'!$A$4:$BV$359,26)</f>
        <v>84461.767718893505</v>
      </c>
      <c r="U343" s="289">
        <f>VLOOKUP(A343,'Bef.fremskr. kommunenivå MMMM'!$A$5:$K$360,8)</f>
        <v>2796</v>
      </c>
      <c r="V343" s="289">
        <f>VLOOKUP(A343,'K23'!$A$4:$BV$359,26)</f>
        <v>79404.206787512376</v>
      </c>
    </row>
    <row r="344" spans="1:22" ht="13">
      <c r="A344" s="755">
        <v>5428</v>
      </c>
      <c r="B344" s="756" t="s">
        <v>239</v>
      </c>
      <c r="C344" s="289">
        <f>+K0kommunestruktur2021altern!C344</f>
        <v>4854</v>
      </c>
      <c r="D344" s="289">
        <f>+K0kommunestruktur2021altern!D344</f>
        <v>86034</v>
      </c>
      <c r="E344" s="289">
        <f>+K0kommunestruktur2021altern!E344</f>
        <v>4882</v>
      </c>
      <c r="F344" s="289">
        <f>+K0kommunestruktur2021altern!F344</f>
        <v>93075</v>
      </c>
      <c r="G344" s="289">
        <f>+K0kommunestruktur2021altern!G344</f>
        <v>4895</v>
      </c>
      <c r="H344" s="289">
        <f>+K0kommunestruktur2021altern!H344</f>
        <v>104420</v>
      </c>
      <c r="I344" s="289">
        <f>+K0kommunestruktur2021altern!I344</f>
        <v>4919</v>
      </c>
      <c r="J344" s="289">
        <f>+K0kommunestruktur2021altern!J344</f>
        <v>109786</v>
      </c>
      <c r="K344" s="289">
        <f>+K0kommunestruktur2021altern!K344</f>
        <v>4944</v>
      </c>
      <c r="L344" s="289">
        <f>+K0kommunestruktur2021altern!L344</f>
        <v>111919</v>
      </c>
      <c r="M344" s="289">
        <f>+K0kommunestruktur2021altern!M344</f>
        <v>4909</v>
      </c>
      <c r="N344" s="289">
        <f>+K0kommunestruktur2021altern!N344</f>
        <v>116546</v>
      </c>
      <c r="O344" s="289">
        <f>+K0kommunestruktur2021altern!O344</f>
        <v>4861</v>
      </c>
      <c r="P344" s="289">
        <f>+K0kommunestruktur2021altern!P344</f>
        <v>126293</v>
      </c>
      <c r="Q344" s="289">
        <f>+K0kommunestruktur2021altern!Q344</f>
        <v>4812</v>
      </c>
      <c r="R344" s="289">
        <f>+K0kommunestruktur2021altern!R344</f>
        <v>138136.47899999999</v>
      </c>
      <c r="S344" s="289">
        <f>VLOOKUP(A344,'K22'!A344:CU699,3)</f>
        <v>4746</v>
      </c>
      <c r="T344" s="289">
        <f>VLOOKUP(A344,'K22'!$A$4:$BV$359,26)</f>
        <v>145265.28797190075</v>
      </c>
      <c r="U344" s="289">
        <f>VLOOKUP(A344,'Bef.fremskr. kommunenivå MMMM'!$A$5:$K$360,8)</f>
        <v>4715</v>
      </c>
      <c r="V344" s="289">
        <f>VLOOKUP(A344,'K23'!$A$4:$BV$359,26)</f>
        <v>135980.69156481008</v>
      </c>
    </row>
    <row r="345" spans="1:22" ht="13">
      <c r="A345" s="755">
        <v>5429</v>
      </c>
      <c r="B345" s="756" t="s">
        <v>240</v>
      </c>
      <c r="C345" s="289">
        <f>+K0kommunestruktur2021altern!C345</f>
        <v>1234</v>
      </c>
      <c r="D345" s="289">
        <f>+K0kommunestruktur2021altern!D345</f>
        <v>21009</v>
      </c>
      <c r="E345" s="289">
        <f>+K0kommunestruktur2021altern!E345</f>
        <v>1226</v>
      </c>
      <c r="F345" s="289">
        <f>+K0kommunestruktur2021altern!F345</f>
        <v>27192</v>
      </c>
      <c r="G345" s="289">
        <f>+K0kommunestruktur2021altern!G345</f>
        <v>1231</v>
      </c>
      <c r="H345" s="289">
        <f>+K0kommunestruktur2021altern!H345</f>
        <v>30668</v>
      </c>
      <c r="I345" s="289">
        <f>+K0kommunestruktur2021altern!I345</f>
        <v>1233</v>
      </c>
      <c r="J345" s="289">
        <f>+K0kommunestruktur2021altern!J345</f>
        <v>30275</v>
      </c>
      <c r="K345" s="289">
        <f>+K0kommunestruktur2021altern!K345</f>
        <v>1224</v>
      </c>
      <c r="L345" s="289">
        <f>+K0kommunestruktur2021altern!L345</f>
        <v>32637</v>
      </c>
      <c r="M345" s="289">
        <f>+K0kommunestruktur2021altern!M345</f>
        <v>1202</v>
      </c>
      <c r="N345" s="289">
        <f>+K0kommunestruktur2021altern!N345</f>
        <v>32765</v>
      </c>
      <c r="O345" s="289">
        <f>+K0kommunestruktur2021altern!O345</f>
        <v>1191</v>
      </c>
      <c r="P345" s="289">
        <f>+K0kommunestruktur2021altern!P345</f>
        <v>30284</v>
      </c>
      <c r="Q345" s="289">
        <f>+K0kommunestruktur2021altern!Q345</f>
        <v>1166</v>
      </c>
      <c r="R345" s="289">
        <f>+K0kommunestruktur2021altern!R345</f>
        <v>33890.608</v>
      </c>
      <c r="S345" s="289">
        <f>VLOOKUP(A345,'K22'!A345:CU700,3)</f>
        <v>1159</v>
      </c>
      <c r="T345" s="289">
        <f>VLOOKUP(A345,'K22'!$A$4:$BV$359,26)</f>
        <v>36175.428724240068</v>
      </c>
      <c r="U345" s="289">
        <f>VLOOKUP(A345,'Bef.fremskr. kommunenivå MMMM'!$A$5:$K$360,8)</f>
        <v>1162</v>
      </c>
      <c r="V345" s="289">
        <f>VLOOKUP(A345,'K23'!$A$4:$BV$359,26)</f>
        <v>34737.151585310567</v>
      </c>
    </row>
    <row r="346" spans="1:22" ht="13">
      <c r="A346" s="755">
        <v>5430</v>
      </c>
      <c r="B346" s="756" t="s">
        <v>244</v>
      </c>
      <c r="C346" s="289">
        <f>+K0kommunestruktur2021altern!C346</f>
        <v>2931</v>
      </c>
      <c r="D346" s="289">
        <f>+K0kommunestruktur2021altern!D346</f>
        <v>43023</v>
      </c>
      <c r="E346" s="289">
        <f>+K0kommunestruktur2021altern!E346</f>
        <v>2914</v>
      </c>
      <c r="F346" s="289">
        <f>+K0kommunestruktur2021altern!F346</f>
        <v>46407</v>
      </c>
      <c r="G346" s="289">
        <f>+K0kommunestruktur2021altern!G346</f>
        <v>2956</v>
      </c>
      <c r="H346" s="289">
        <f>+K0kommunestruktur2021altern!H346</f>
        <v>49253</v>
      </c>
      <c r="I346" s="289">
        <f>+K0kommunestruktur2021altern!I346</f>
        <v>2938</v>
      </c>
      <c r="J346" s="289">
        <f>+K0kommunestruktur2021altern!J346</f>
        <v>51161</v>
      </c>
      <c r="K346" s="289">
        <f>+K0kommunestruktur2021altern!K346</f>
        <v>2946</v>
      </c>
      <c r="L346" s="289">
        <f>+K0kommunestruktur2021altern!L346</f>
        <v>56500</v>
      </c>
      <c r="M346" s="289">
        <f>+K0kommunestruktur2021altern!M346</f>
        <v>2924</v>
      </c>
      <c r="N346" s="289">
        <f>+K0kommunestruktur2021altern!N346</f>
        <v>57512</v>
      </c>
      <c r="O346" s="289">
        <f>+K0kommunestruktur2021altern!O346</f>
        <v>2910</v>
      </c>
      <c r="P346" s="289">
        <f>+K0kommunestruktur2021altern!P346</f>
        <v>55560</v>
      </c>
      <c r="Q346" s="289">
        <f>+K0kommunestruktur2021altern!Q346</f>
        <v>2920</v>
      </c>
      <c r="R346" s="289">
        <f>+K0kommunestruktur2021altern!R346</f>
        <v>64492.858999999997</v>
      </c>
      <c r="S346" s="289">
        <f>VLOOKUP(A346,'K22'!A346:CU701,3)</f>
        <v>2877</v>
      </c>
      <c r="T346" s="289">
        <f>VLOOKUP(A346,'K22'!$A$4:$BV$359,26)</f>
        <v>67116.029487415013</v>
      </c>
      <c r="U346" s="289">
        <f>VLOOKUP(A346,'Bef.fremskr. kommunenivå MMMM'!$A$5:$K$360,8)</f>
        <v>2851</v>
      </c>
      <c r="V346" s="289">
        <f>VLOOKUP(A346,'K23'!$A$4:$BV$359,26)</f>
        <v>63676.3815055382</v>
      </c>
    </row>
    <row r="347" spans="1:22" ht="13">
      <c r="A347" s="755">
        <v>5432</v>
      </c>
      <c r="B347" s="756" t="s">
        <v>246</v>
      </c>
      <c r="C347" s="289">
        <f>+K0kommunestruktur2021altern!C347</f>
        <v>1027</v>
      </c>
      <c r="D347" s="289">
        <f>+K0kommunestruktur2021altern!D347</f>
        <v>18345</v>
      </c>
      <c r="E347" s="289">
        <f>+K0kommunestruktur2021altern!E347</f>
        <v>989</v>
      </c>
      <c r="F347" s="289">
        <f>+K0kommunestruktur2021altern!F347</f>
        <v>19096</v>
      </c>
      <c r="G347" s="289">
        <f>+K0kommunestruktur2021altern!G347</f>
        <v>951</v>
      </c>
      <c r="H347" s="289">
        <f>+K0kommunestruktur2021altern!H347</f>
        <v>20080</v>
      </c>
      <c r="I347" s="289">
        <f>+K0kommunestruktur2021altern!I347</f>
        <v>968</v>
      </c>
      <c r="J347" s="289">
        <f>+K0kommunestruktur2021altern!J347</f>
        <v>22235</v>
      </c>
      <c r="K347" s="289">
        <f>+K0kommunestruktur2021altern!K347</f>
        <v>941</v>
      </c>
      <c r="L347" s="289">
        <f>+K0kommunestruktur2021altern!L347</f>
        <v>21026</v>
      </c>
      <c r="M347" s="289">
        <f>+K0kommunestruktur2021altern!M347</f>
        <v>917</v>
      </c>
      <c r="N347" s="289">
        <f>+K0kommunestruktur2021altern!N347</f>
        <v>20523</v>
      </c>
      <c r="O347" s="289">
        <f>+K0kommunestruktur2021altern!O347</f>
        <v>888</v>
      </c>
      <c r="P347" s="289">
        <f>+K0kommunestruktur2021altern!P347</f>
        <v>21128</v>
      </c>
      <c r="Q347" s="289">
        <f>+K0kommunestruktur2021altern!Q347</f>
        <v>860</v>
      </c>
      <c r="R347" s="289">
        <f>+K0kommunestruktur2021altern!R347</f>
        <v>24362.409</v>
      </c>
      <c r="S347" s="289">
        <f>VLOOKUP(A347,'K22'!A347:CU702,3)</f>
        <v>859</v>
      </c>
      <c r="T347" s="289">
        <f>VLOOKUP(A347,'K22'!$A$4:$BV$359,26)</f>
        <v>24704.050693506819</v>
      </c>
      <c r="U347" s="289">
        <f>VLOOKUP(A347,'Bef.fremskr. kommunenivå MMMM'!$A$5:$K$360,8)</f>
        <v>881</v>
      </c>
      <c r="V347" s="289">
        <f>VLOOKUP(A347,'K23'!$A$4:$BV$359,26)</f>
        <v>24090.291512742842</v>
      </c>
    </row>
    <row r="348" spans="1:22" ht="13">
      <c r="A348" s="755">
        <v>5433</v>
      </c>
      <c r="B348" s="756" t="s">
        <v>247</v>
      </c>
      <c r="C348" s="289">
        <f>+K0kommunestruktur2021altern!C348</f>
        <v>1037</v>
      </c>
      <c r="D348" s="289">
        <f>+K0kommunestruktur2021altern!D348</f>
        <v>16494</v>
      </c>
      <c r="E348" s="289">
        <f>+K0kommunestruktur2021altern!E348</f>
        <v>1041</v>
      </c>
      <c r="F348" s="289">
        <f>+K0kommunestruktur2021altern!F348</f>
        <v>19180</v>
      </c>
      <c r="G348" s="289">
        <f>+K0kommunestruktur2021altern!G348</f>
        <v>1054</v>
      </c>
      <c r="H348" s="289">
        <f>+K0kommunestruktur2021altern!H348</f>
        <v>20250</v>
      </c>
      <c r="I348" s="289">
        <f>+K0kommunestruktur2021altern!I348</f>
        <v>1037</v>
      </c>
      <c r="J348" s="289">
        <f>+K0kommunestruktur2021altern!J348</f>
        <v>21765</v>
      </c>
      <c r="K348" s="289">
        <f>+K0kommunestruktur2021altern!K348</f>
        <v>1022</v>
      </c>
      <c r="L348" s="289">
        <f>+K0kommunestruktur2021altern!L348</f>
        <v>22383</v>
      </c>
      <c r="M348" s="289">
        <f>+K0kommunestruktur2021altern!M348</f>
        <v>1045</v>
      </c>
      <c r="N348" s="289">
        <f>+K0kommunestruktur2021altern!N348</f>
        <v>23442</v>
      </c>
      <c r="O348" s="289">
        <f>+K0kommunestruktur2021altern!O348</f>
        <v>1005</v>
      </c>
      <c r="P348" s="289">
        <f>+K0kommunestruktur2021altern!P348</f>
        <v>22343</v>
      </c>
      <c r="Q348" s="289">
        <f>+K0kommunestruktur2021altern!Q348</f>
        <v>983</v>
      </c>
      <c r="R348" s="289">
        <f>+K0kommunestruktur2021altern!R348</f>
        <v>25210.484</v>
      </c>
      <c r="S348" s="289">
        <f>VLOOKUP(A348,'K22'!A348:CU703,3)</f>
        <v>964</v>
      </c>
      <c r="T348" s="289">
        <f>VLOOKUP(A348,'K22'!$A$4:$BV$359,26)</f>
        <v>26059.338399872588</v>
      </c>
      <c r="U348" s="289">
        <f>VLOOKUP(A348,'Bef.fremskr. kommunenivå MMMM'!$A$5:$K$360,8)</f>
        <v>971</v>
      </c>
      <c r="V348" s="289">
        <f>VLOOKUP(A348,'K23'!$A$4:$BV$359,26)</f>
        <v>25106.102235210157</v>
      </c>
    </row>
    <row r="349" spans="1:22" ht="13">
      <c r="A349" s="755">
        <v>5434</v>
      </c>
      <c r="B349" s="756" t="s">
        <v>249</v>
      </c>
      <c r="C349" s="289">
        <f>+K0kommunestruktur2021altern!C349</f>
        <v>1241</v>
      </c>
      <c r="D349" s="289">
        <f>+K0kommunestruktur2021altern!D349</f>
        <v>26699</v>
      </c>
      <c r="E349" s="289">
        <f>+K0kommunestruktur2021altern!E349</f>
        <v>1241</v>
      </c>
      <c r="F349" s="289">
        <f>+K0kommunestruktur2021altern!F349</f>
        <v>27733</v>
      </c>
      <c r="G349" s="289">
        <f>+K0kommunestruktur2021altern!G349</f>
        <v>1215</v>
      </c>
      <c r="H349" s="289">
        <f>+K0kommunestruktur2021altern!H349</f>
        <v>28417</v>
      </c>
      <c r="I349" s="289">
        <f>+K0kommunestruktur2021altern!I349</f>
        <v>1204</v>
      </c>
      <c r="J349" s="289">
        <f>+K0kommunestruktur2021altern!J349</f>
        <v>31575</v>
      </c>
      <c r="K349" s="289">
        <f>+K0kommunestruktur2021altern!K349</f>
        <v>1231</v>
      </c>
      <c r="L349" s="289">
        <f>+K0kommunestruktur2021altern!L349</f>
        <v>34428</v>
      </c>
      <c r="M349" s="289">
        <f>+K0kommunestruktur2021altern!M349</f>
        <v>1235</v>
      </c>
      <c r="N349" s="289">
        <f>+K0kommunestruktur2021altern!N349</f>
        <v>33282</v>
      </c>
      <c r="O349" s="289">
        <f>+K0kommunestruktur2021altern!O349</f>
        <v>1225</v>
      </c>
      <c r="P349" s="289">
        <f>+K0kommunestruktur2021altern!P349</f>
        <v>36764</v>
      </c>
      <c r="Q349" s="289">
        <f>+K0kommunestruktur2021altern!Q349</f>
        <v>1197</v>
      </c>
      <c r="R349" s="289">
        <f>+K0kommunestruktur2021altern!R349</f>
        <v>36886.972000000002</v>
      </c>
      <c r="S349" s="289">
        <f>VLOOKUP(A349,'K22'!A349:CU704,3)</f>
        <v>1162</v>
      </c>
      <c r="T349" s="289">
        <f>VLOOKUP(A349,'K22'!$A$4:$BV$359,26)</f>
        <v>39710.072180878939</v>
      </c>
      <c r="U349" s="289">
        <f>VLOOKUP(A349,'Bef.fremskr. kommunenivå MMMM'!$A$5:$K$360,8)</f>
        <v>1181</v>
      </c>
      <c r="V349" s="289">
        <f>VLOOKUP(A349,'K23'!$A$4:$BV$359,26)</f>
        <v>38202.970736034738</v>
      </c>
    </row>
    <row r="350" spans="1:22" ht="13">
      <c r="A350" s="755">
        <v>5435</v>
      </c>
      <c r="B350" s="756" t="s">
        <v>250</v>
      </c>
      <c r="C350" s="289">
        <f>+K0kommunestruktur2021altern!C350</f>
        <v>3213</v>
      </c>
      <c r="D350" s="289">
        <f>+K0kommunestruktur2021altern!D350</f>
        <v>65401</v>
      </c>
      <c r="E350" s="289">
        <f>+K0kommunestruktur2021altern!E350</f>
        <v>3278</v>
      </c>
      <c r="F350" s="289">
        <f>+K0kommunestruktur2021altern!F350</f>
        <v>72134</v>
      </c>
      <c r="G350" s="289">
        <f>+K0kommunestruktur2021altern!G350</f>
        <v>3276</v>
      </c>
      <c r="H350" s="289">
        <f>+K0kommunestruktur2021altern!H350</f>
        <v>77401</v>
      </c>
      <c r="I350" s="289">
        <f>+K0kommunestruktur2021altern!I350</f>
        <v>3291</v>
      </c>
      <c r="J350" s="289">
        <f>+K0kommunestruktur2021altern!J350</f>
        <v>83829</v>
      </c>
      <c r="K350" s="289">
        <f>+K0kommunestruktur2021altern!K350</f>
        <v>3239</v>
      </c>
      <c r="L350" s="289">
        <f>+K0kommunestruktur2021altern!L350</f>
        <v>87685</v>
      </c>
      <c r="M350" s="289">
        <f>+K0kommunestruktur2021altern!M350</f>
        <v>3218</v>
      </c>
      <c r="N350" s="289">
        <f>+K0kommunestruktur2021altern!N350</f>
        <v>88642</v>
      </c>
      <c r="O350" s="289">
        <f>+K0kommunestruktur2021altern!O350</f>
        <v>3162</v>
      </c>
      <c r="P350" s="289">
        <f>+K0kommunestruktur2021altern!P350</f>
        <v>84073</v>
      </c>
      <c r="Q350" s="289">
        <f>+K0kommunestruktur2021altern!Q350</f>
        <v>3075</v>
      </c>
      <c r="R350" s="289">
        <f>+K0kommunestruktur2021altern!R350</f>
        <v>93426.260999999999</v>
      </c>
      <c r="S350" s="289">
        <f>VLOOKUP(A350,'K22'!A350:CU705,3)</f>
        <v>2947</v>
      </c>
      <c r="T350" s="289">
        <f>VLOOKUP(A350,'K22'!$A$4:$BV$359,26)</f>
        <v>96555.435684288037</v>
      </c>
      <c r="U350" s="289">
        <f>VLOOKUP(A350,'Bef.fremskr. kommunenivå MMMM'!$A$5:$K$360,8)</f>
        <v>2920</v>
      </c>
      <c r="V350" s="289">
        <f>VLOOKUP(A350,'K23'!$A$4:$BV$359,26)</f>
        <v>90812.901561199455</v>
      </c>
    </row>
    <row r="351" spans="1:22" ht="13">
      <c r="A351" s="755">
        <v>5436</v>
      </c>
      <c r="B351" s="756" t="s">
        <v>251</v>
      </c>
      <c r="C351" s="289">
        <f>+K0kommunestruktur2021altern!C351</f>
        <v>3963</v>
      </c>
      <c r="D351" s="289">
        <f>+K0kommunestruktur2021altern!D351</f>
        <v>76473</v>
      </c>
      <c r="E351" s="289">
        <f>+K0kommunestruktur2021altern!E351</f>
        <v>3925</v>
      </c>
      <c r="F351" s="289">
        <f>+K0kommunestruktur2021altern!F351</f>
        <v>83751</v>
      </c>
      <c r="G351" s="289">
        <f>+K0kommunestruktur2021altern!G351</f>
        <v>3978</v>
      </c>
      <c r="H351" s="289">
        <f>+K0kommunestruktur2021altern!H351</f>
        <v>90906</v>
      </c>
      <c r="I351" s="289">
        <f>+K0kommunestruktur2021altern!I351</f>
        <v>3971</v>
      </c>
      <c r="J351" s="289">
        <f>+K0kommunestruktur2021altern!J351</f>
        <v>92125</v>
      </c>
      <c r="K351" s="289">
        <f>+K0kommunestruktur2021altern!K351</f>
        <v>3964</v>
      </c>
      <c r="L351" s="289">
        <f>+K0kommunestruktur2021altern!L351</f>
        <v>95910</v>
      </c>
      <c r="M351" s="289">
        <f>+K0kommunestruktur2021altern!M351</f>
        <v>3944</v>
      </c>
      <c r="N351" s="289">
        <f>+K0kommunestruktur2021altern!N351</f>
        <v>100811</v>
      </c>
      <c r="O351" s="289">
        <f>+K0kommunestruktur2021altern!O351</f>
        <v>3998</v>
      </c>
      <c r="P351" s="289">
        <f>+K0kommunestruktur2021altern!P351</f>
        <v>99679</v>
      </c>
      <c r="Q351" s="289">
        <f>+K0kommunestruktur2021altern!Q351</f>
        <v>3921</v>
      </c>
      <c r="R351" s="289">
        <f>+K0kommunestruktur2021altern!R351</f>
        <v>110655.83199999999</v>
      </c>
      <c r="S351" s="289">
        <f>VLOOKUP(A351,'K22'!A351:CU706,3)</f>
        <v>3904</v>
      </c>
      <c r="T351" s="289">
        <f>VLOOKUP(A351,'K22'!$A$4:$BV$359,26)</f>
        <v>119006.63293241114</v>
      </c>
      <c r="U351" s="289">
        <f>VLOOKUP(A351,'Bef.fremskr. kommunenivå MMMM'!$A$5:$K$360,8)</f>
        <v>3887</v>
      </c>
      <c r="V351" s="289">
        <f>VLOOKUP(A351,'K23'!$A$4:$BV$359,26)</f>
        <v>112604.82057229101</v>
      </c>
    </row>
    <row r="352" spans="1:22" ht="13">
      <c r="A352" s="755">
        <v>5437</v>
      </c>
      <c r="B352" s="756" t="s">
        <v>252</v>
      </c>
      <c r="C352" s="289">
        <f>+K0kommunestruktur2021altern!C352</f>
        <v>2698</v>
      </c>
      <c r="D352" s="289">
        <f>+K0kommunestruktur2021altern!D352</f>
        <v>45269</v>
      </c>
      <c r="E352" s="289">
        <f>+K0kommunestruktur2021altern!E352</f>
        <v>2708</v>
      </c>
      <c r="F352" s="289">
        <f>+K0kommunestruktur2021altern!F352</f>
        <v>49630</v>
      </c>
      <c r="G352" s="289">
        <f>+K0kommunestruktur2021altern!G352</f>
        <v>2668</v>
      </c>
      <c r="H352" s="289">
        <f>+K0kommunestruktur2021altern!H352</f>
        <v>54018</v>
      </c>
      <c r="I352" s="289">
        <f>+K0kommunestruktur2021altern!I352</f>
        <v>2696</v>
      </c>
      <c r="J352" s="289">
        <f>+K0kommunestruktur2021altern!J352</f>
        <v>55305</v>
      </c>
      <c r="K352" s="289">
        <f>+K0kommunestruktur2021altern!K352</f>
        <v>2701</v>
      </c>
      <c r="L352" s="289">
        <f>+K0kommunestruktur2021altern!L352</f>
        <v>56961</v>
      </c>
      <c r="M352" s="289">
        <f>+K0kommunestruktur2021altern!M352</f>
        <v>2673</v>
      </c>
      <c r="N352" s="289">
        <f>+K0kommunestruktur2021altern!N352</f>
        <v>59811</v>
      </c>
      <c r="O352" s="289">
        <f>+K0kommunestruktur2021altern!O352</f>
        <v>2628</v>
      </c>
      <c r="P352" s="289">
        <f>+K0kommunestruktur2021altern!P352</f>
        <v>60130</v>
      </c>
      <c r="Q352" s="289">
        <f>+K0kommunestruktur2021altern!Q352</f>
        <v>2641</v>
      </c>
      <c r="R352" s="289">
        <f>+K0kommunestruktur2021altern!R352</f>
        <v>71752.275999999998</v>
      </c>
      <c r="S352" s="289">
        <f>VLOOKUP(A352,'K22'!A352:CU707,3)</f>
        <v>2584</v>
      </c>
      <c r="T352" s="289">
        <f>VLOOKUP(A352,'K22'!$A$4:$BV$359,26)</f>
        <v>72056.107592533022</v>
      </c>
      <c r="U352" s="289">
        <f>VLOOKUP(A352,'Bef.fremskr. kommunenivå MMMM'!$A$5:$K$360,8)</f>
        <v>2554</v>
      </c>
      <c r="V352" s="289">
        <f>VLOOKUP(A352,'K23'!$A$4:$BV$359,26)</f>
        <v>67931.73263005745</v>
      </c>
    </row>
    <row r="353" spans="1:22" ht="13">
      <c r="A353" s="755">
        <v>5438</v>
      </c>
      <c r="B353" s="756" t="s">
        <v>253</v>
      </c>
      <c r="C353" s="289">
        <f>+K0kommunestruktur2021altern!C353</f>
        <v>1341</v>
      </c>
      <c r="D353" s="289">
        <f>+K0kommunestruktur2021altern!D353</f>
        <v>24435</v>
      </c>
      <c r="E353" s="289">
        <f>+K0kommunestruktur2021altern!E353</f>
        <v>1343</v>
      </c>
      <c r="F353" s="289">
        <f>+K0kommunestruktur2021altern!F353</f>
        <v>26851</v>
      </c>
      <c r="G353" s="289">
        <f>+K0kommunestruktur2021altern!G353</f>
        <v>1318</v>
      </c>
      <c r="H353" s="289">
        <f>+K0kommunestruktur2021altern!H353</f>
        <v>29174</v>
      </c>
      <c r="I353" s="289">
        <f>+K0kommunestruktur2021altern!I353</f>
        <v>1330</v>
      </c>
      <c r="J353" s="289">
        <f>+K0kommunestruktur2021altern!J353</f>
        <v>31546</v>
      </c>
      <c r="K353" s="289">
        <f>+K0kommunestruktur2021altern!K353</f>
        <v>1349</v>
      </c>
      <c r="L353" s="289">
        <f>+K0kommunestruktur2021altern!L353</f>
        <v>33468</v>
      </c>
      <c r="M353" s="289">
        <f>+K0kommunestruktur2021altern!M353</f>
        <v>1328</v>
      </c>
      <c r="N353" s="289">
        <f>+K0kommunestruktur2021altern!N353</f>
        <v>35754</v>
      </c>
      <c r="O353" s="289">
        <f>+K0kommunestruktur2021altern!O353</f>
        <v>1290</v>
      </c>
      <c r="P353" s="289">
        <f>+K0kommunestruktur2021altern!P353</f>
        <v>37982</v>
      </c>
      <c r="Q353" s="289">
        <f>+K0kommunestruktur2021altern!Q353</f>
        <v>1271</v>
      </c>
      <c r="R353" s="289">
        <f>+K0kommunestruktur2021altern!R353</f>
        <v>39880.777000000002</v>
      </c>
      <c r="S353" s="289">
        <f>VLOOKUP(A353,'K22'!A353:CU708,3)</f>
        <v>1221</v>
      </c>
      <c r="T353" s="289">
        <f>VLOOKUP(A353,'K22'!$A$4:$BV$359,26)</f>
        <v>41980.837773836894</v>
      </c>
      <c r="U353" s="289">
        <f>VLOOKUP(A353,'Bef.fremskr. kommunenivå MMMM'!$A$5:$K$360,8)</f>
        <v>1225</v>
      </c>
      <c r="V353" s="289">
        <f>VLOOKUP(A353,'K23'!$A$4:$BV$359,26)</f>
        <v>39475.508575940185</v>
      </c>
    </row>
    <row r="354" spans="1:22" ht="13">
      <c r="A354" s="755">
        <v>5439</v>
      </c>
      <c r="B354" s="756" t="s">
        <v>254</v>
      </c>
      <c r="C354" s="289">
        <f>+K0kommunestruktur2021altern!C354</f>
        <v>1098</v>
      </c>
      <c r="D354" s="289">
        <f>+K0kommunestruktur2021altern!D354</f>
        <v>19365</v>
      </c>
      <c r="E354" s="289">
        <f>+K0kommunestruktur2021altern!E354</f>
        <v>1116</v>
      </c>
      <c r="F354" s="289">
        <f>+K0kommunestruktur2021altern!F354</f>
        <v>21577</v>
      </c>
      <c r="G354" s="289">
        <f>+K0kommunestruktur2021altern!G354</f>
        <v>1139</v>
      </c>
      <c r="H354" s="289">
        <f>+K0kommunestruktur2021altern!H354</f>
        <v>24178</v>
      </c>
      <c r="I354" s="289">
        <f>+K0kommunestruktur2021altern!I354</f>
        <v>1137</v>
      </c>
      <c r="J354" s="289">
        <f>+K0kommunestruktur2021altern!J354</f>
        <v>25362</v>
      </c>
      <c r="K354" s="289">
        <f>+K0kommunestruktur2021altern!K354</f>
        <v>1153</v>
      </c>
      <c r="L354" s="289">
        <f>+K0kommunestruktur2021altern!L354</f>
        <v>26285</v>
      </c>
      <c r="M354" s="289">
        <f>+K0kommunestruktur2021altern!M354</f>
        <v>1169</v>
      </c>
      <c r="N354" s="289">
        <f>+K0kommunestruktur2021altern!N354</f>
        <v>28086</v>
      </c>
      <c r="O354" s="289">
        <f>+K0kommunestruktur2021altern!O354</f>
        <v>1132</v>
      </c>
      <c r="P354" s="289">
        <f>+K0kommunestruktur2021altern!P354</f>
        <v>28849</v>
      </c>
      <c r="Q354" s="289">
        <f>+K0kommunestruktur2021altern!Q354</f>
        <v>1097</v>
      </c>
      <c r="R354" s="289">
        <f>+K0kommunestruktur2021altern!R354</f>
        <v>29754.233</v>
      </c>
      <c r="S354" s="289">
        <f>VLOOKUP(A354,'K22'!A354:CU709,3)</f>
        <v>1057</v>
      </c>
      <c r="T354" s="289">
        <f>VLOOKUP(A354,'K22'!$A$4:$BV$359,26)</f>
        <v>31178.227012427375</v>
      </c>
      <c r="U354" s="289">
        <f>VLOOKUP(A354,'Bef.fremskr. kommunenivå MMMM'!$A$5:$K$360,8)</f>
        <v>1078</v>
      </c>
      <c r="V354" s="289">
        <f>VLOOKUP(A354,'K23'!$A$4:$BV$359,26)</f>
        <v>30428.964167251339</v>
      </c>
    </row>
    <row r="355" spans="1:22" ht="13">
      <c r="A355" s="755">
        <v>5440</v>
      </c>
      <c r="B355" s="756" t="s">
        <v>255</v>
      </c>
      <c r="C355" s="289">
        <f>+K0kommunestruktur2021altern!C355</f>
        <v>1057</v>
      </c>
      <c r="D355" s="289">
        <f>+K0kommunestruktur2021altern!D355</f>
        <v>20462</v>
      </c>
      <c r="E355" s="289">
        <f>+K0kommunestruktur2021altern!E355</f>
        <v>1020</v>
      </c>
      <c r="F355" s="289">
        <f>+K0kommunestruktur2021altern!F355</f>
        <v>20445</v>
      </c>
      <c r="G355" s="289">
        <f>+K0kommunestruktur2021altern!G355</f>
        <v>1000</v>
      </c>
      <c r="H355" s="289">
        <f>+K0kommunestruktur2021altern!H355</f>
        <v>22785</v>
      </c>
      <c r="I355" s="289">
        <f>+K0kommunestruktur2021altern!I355</f>
        <v>991</v>
      </c>
      <c r="J355" s="289">
        <f>+K0kommunestruktur2021altern!J355</f>
        <v>25243</v>
      </c>
      <c r="K355" s="289">
        <f>+K0kommunestruktur2021altern!K355</f>
        <v>983</v>
      </c>
      <c r="L355" s="289">
        <f>+K0kommunestruktur2021altern!L355</f>
        <v>26464</v>
      </c>
      <c r="M355" s="289">
        <f>+K0kommunestruktur2021altern!M355</f>
        <v>981</v>
      </c>
      <c r="N355" s="289">
        <f>+K0kommunestruktur2021altern!N355</f>
        <v>26727</v>
      </c>
      <c r="O355" s="289">
        <f>+K0kommunestruktur2021altern!O355</f>
        <v>957</v>
      </c>
      <c r="P355" s="289">
        <f>+K0kommunestruktur2021altern!P355</f>
        <v>25531</v>
      </c>
      <c r="Q355" s="289">
        <f>+K0kommunestruktur2021altern!Q355</f>
        <v>928</v>
      </c>
      <c r="R355" s="289">
        <f>+K0kommunestruktur2021altern!R355</f>
        <v>29748.058000000001</v>
      </c>
      <c r="S355" s="289">
        <f>VLOOKUP(A355,'K22'!A355:CU710,3)</f>
        <v>906</v>
      </c>
      <c r="T355" s="289">
        <f>VLOOKUP(A355,'K22'!$A$4:$BV$359,26)</f>
        <v>30007.497475918011</v>
      </c>
      <c r="U355" s="289">
        <f>VLOOKUP(A355,'Bef.fremskr. kommunenivå MMMM'!$A$5:$K$360,8)</f>
        <v>907</v>
      </c>
      <c r="V355" s="289">
        <f>VLOOKUP(A355,'K23'!$A$4:$BV$359,26)</f>
        <v>28645.21305118053</v>
      </c>
    </row>
    <row r="356" spans="1:22" ht="13">
      <c r="A356" s="755">
        <v>5441</v>
      </c>
      <c r="B356" s="756" t="s">
        <v>256</v>
      </c>
      <c r="C356" s="289">
        <f>+K0kommunestruktur2021altern!C356</f>
        <v>2883</v>
      </c>
      <c r="D356" s="289">
        <f>+K0kommunestruktur2021altern!D356</f>
        <v>55367</v>
      </c>
      <c r="E356" s="289">
        <f>+K0kommunestruktur2021altern!E356</f>
        <v>2909</v>
      </c>
      <c r="F356" s="289">
        <f>+K0kommunestruktur2021altern!F356</f>
        <v>60979</v>
      </c>
      <c r="G356" s="289">
        <f>+K0kommunestruktur2021altern!G356</f>
        <v>2922</v>
      </c>
      <c r="H356" s="289">
        <f>+K0kommunestruktur2021altern!H356</f>
        <v>65869</v>
      </c>
      <c r="I356" s="289">
        <f>+K0kommunestruktur2021altern!I356</f>
        <v>2911</v>
      </c>
      <c r="J356" s="289">
        <f>+K0kommunestruktur2021altern!J356</f>
        <v>67666</v>
      </c>
      <c r="K356" s="289">
        <f>+K0kommunestruktur2021altern!K356</f>
        <v>2922</v>
      </c>
      <c r="L356" s="289">
        <f>+K0kommunestruktur2021altern!L356</f>
        <v>70134</v>
      </c>
      <c r="M356" s="289">
        <f>+K0kommunestruktur2021altern!M356</f>
        <v>2900</v>
      </c>
      <c r="N356" s="289">
        <f>+K0kommunestruktur2021altern!N356</f>
        <v>74703</v>
      </c>
      <c r="O356" s="289">
        <f>+K0kommunestruktur2021altern!O356</f>
        <v>2918</v>
      </c>
      <c r="P356" s="289">
        <f>+K0kommunestruktur2021altern!P356</f>
        <v>74459</v>
      </c>
      <c r="Q356" s="289">
        <f>+K0kommunestruktur2021altern!Q356</f>
        <v>2829</v>
      </c>
      <c r="R356" s="289">
        <f>+K0kommunestruktur2021altern!R356</f>
        <v>80674.240999999995</v>
      </c>
      <c r="S356" s="289">
        <f>VLOOKUP(A356,'K22'!A356:CU711,3)</f>
        <v>2821</v>
      </c>
      <c r="T356" s="289">
        <f>VLOOKUP(A356,'K22'!$A$4:$BV$359,26)</f>
        <v>88229.788800529437</v>
      </c>
      <c r="U356" s="289">
        <f>VLOOKUP(A356,'Bef.fremskr. kommunenivå MMMM'!$A$5:$K$360,8)</f>
        <v>2823</v>
      </c>
      <c r="V356" s="289">
        <f>VLOOKUP(A356,'K23'!$A$4:$BV$359,26)</f>
        <v>82918.602405646176</v>
      </c>
    </row>
    <row r="357" spans="1:22" ht="13">
      <c r="A357" s="755">
        <v>5442</v>
      </c>
      <c r="B357" s="756" t="s">
        <v>257</v>
      </c>
      <c r="C357" s="289">
        <f>+K0kommunestruktur2021altern!C357</f>
        <v>919</v>
      </c>
      <c r="D357" s="289">
        <f>+K0kommunestruktur2021altern!D357</f>
        <v>15241</v>
      </c>
      <c r="E357" s="289">
        <f>+K0kommunestruktur2021altern!E357</f>
        <v>934</v>
      </c>
      <c r="F357" s="289">
        <f>+K0kommunestruktur2021altern!F357</f>
        <v>16586</v>
      </c>
      <c r="G357" s="289">
        <f>+K0kommunestruktur2021altern!G357</f>
        <v>959</v>
      </c>
      <c r="H357" s="289">
        <f>+K0kommunestruktur2021altern!H357</f>
        <v>17469</v>
      </c>
      <c r="I357" s="289">
        <f>+K0kommunestruktur2021altern!I357</f>
        <v>951</v>
      </c>
      <c r="J357" s="289">
        <f>+K0kommunestruktur2021altern!J357</f>
        <v>19017</v>
      </c>
      <c r="K357" s="289">
        <f>+K0kommunestruktur2021altern!K357</f>
        <v>944</v>
      </c>
      <c r="L357" s="289">
        <f>+K0kommunestruktur2021altern!L357</f>
        <v>20492</v>
      </c>
      <c r="M357" s="289">
        <f>+K0kommunestruktur2021altern!M357</f>
        <v>941</v>
      </c>
      <c r="N357" s="289">
        <f>+K0kommunestruktur2021altern!N357</f>
        <v>19666</v>
      </c>
      <c r="O357" s="289">
        <f>+K0kommunestruktur2021altern!O357</f>
        <v>926</v>
      </c>
      <c r="P357" s="289">
        <f>+K0kommunestruktur2021altern!P357</f>
        <v>20196</v>
      </c>
      <c r="Q357" s="289">
        <f>+K0kommunestruktur2021altern!Q357</f>
        <v>880</v>
      </c>
      <c r="R357" s="289">
        <f>+K0kommunestruktur2021altern!R357</f>
        <v>24264.295999999998</v>
      </c>
      <c r="S357" s="289">
        <f>VLOOKUP(A357,'K22'!A357:CU712,3)</f>
        <v>854</v>
      </c>
      <c r="T357" s="289">
        <f>VLOOKUP(A357,'K22'!$A$4:$BV$359,26)</f>
        <v>23310.917268421759</v>
      </c>
      <c r="U357" s="289">
        <f>VLOOKUP(A357,'Bef.fremskr. kommunenivå MMMM'!$A$5:$K$360,8)</f>
        <v>847</v>
      </c>
      <c r="V357" s="289">
        <f>VLOOKUP(A357,'K23'!$A$4:$BV$359,26)</f>
        <v>21812.032176318946</v>
      </c>
    </row>
    <row r="358" spans="1:22" ht="13">
      <c r="A358" s="755">
        <v>5443</v>
      </c>
      <c r="B358" s="756" t="s">
        <v>258</v>
      </c>
      <c r="C358" s="289">
        <f>+K0kommunestruktur2021altern!C358</f>
        <v>2207</v>
      </c>
      <c r="D358" s="289">
        <f>+K0kommunestruktur2021altern!D358</f>
        <v>42381</v>
      </c>
      <c r="E358" s="289">
        <f>+K0kommunestruktur2021altern!E358</f>
        <v>2235</v>
      </c>
      <c r="F358" s="289">
        <f>+K0kommunestruktur2021altern!F358</f>
        <v>46263</v>
      </c>
      <c r="G358" s="289">
        <f>+K0kommunestruktur2021altern!G358</f>
        <v>2211</v>
      </c>
      <c r="H358" s="289">
        <f>+K0kommunestruktur2021altern!H358</f>
        <v>50872</v>
      </c>
      <c r="I358" s="289">
        <f>+K0kommunestruktur2021altern!I358</f>
        <v>2267</v>
      </c>
      <c r="J358" s="289">
        <f>+K0kommunestruktur2021altern!J358</f>
        <v>55272</v>
      </c>
      <c r="K358" s="289">
        <f>+K0kommunestruktur2021altern!K358</f>
        <v>2263</v>
      </c>
      <c r="L358" s="289">
        <f>+K0kommunestruktur2021altern!L358</f>
        <v>61493</v>
      </c>
      <c r="M358" s="289">
        <f>+K0kommunestruktur2021altern!M358</f>
        <v>2270</v>
      </c>
      <c r="N358" s="289">
        <f>+K0kommunestruktur2021altern!N358</f>
        <v>62027</v>
      </c>
      <c r="O358" s="289">
        <f>+K0kommunestruktur2021altern!O358</f>
        <v>2221</v>
      </c>
      <c r="P358" s="289">
        <f>+K0kommunestruktur2021altern!P358</f>
        <v>58016</v>
      </c>
      <c r="Q358" s="289">
        <f>+K0kommunestruktur2021altern!Q358</f>
        <v>2200</v>
      </c>
      <c r="R358" s="289">
        <f>+K0kommunestruktur2021altern!R358</f>
        <v>60652.347000000002</v>
      </c>
      <c r="S358" s="289">
        <f>VLOOKUP(A358,'K22'!A358:CU713,3)</f>
        <v>2165</v>
      </c>
      <c r="T358" s="289">
        <f>VLOOKUP(A358,'K22'!$A$4:$BV$359,26)</f>
        <v>68429.646964603933</v>
      </c>
      <c r="U358" s="289">
        <f>VLOOKUP(A358,'Bef.fremskr. kommunenivå MMMM'!$A$5:$K$360,8)</f>
        <v>2180</v>
      </c>
      <c r="V358" s="289">
        <f>VLOOKUP(A358,'K23'!$A$4:$BV$359,26)</f>
        <v>65156.822175402282</v>
      </c>
    </row>
    <row r="359" spans="1:22" ht="13">
      <c r="A359" s="755">
        <v>5444</v>
      </c>
      <c r="B359" s="756" t="s">
        <v>260</v>
      </c>
      <c r="C359" s="289">
        <f>+K0kommunestruktur2021altern!C359</f>
        <v>10090</v>
      </c>
      <c r="D359" s="289">
        <f>+K0kommunestruktur2021altern!D359</f>
        <v>236338</v>
      </c>
      <c r="E359" s="289">
        <f>+K0kommunestruktur2021altern!E359</f>
        <v>10221</v>
      </c>
      <c r="F359" s="289">
        <f>+K0kommunestruktur2021altern!F359</f>
        <v>244837</v>
      </c>
      <c r="G359" s="289">
        <f>+K0kommunestruktur2021altern!G359</f>
        <v>10227</v>
      </c>
      <c r="H359" s="289">
        <f>+K0kommunestruktur2021altern!H359</f>
        <v>252066</v>
      </c>
      <c r="I359" s="289">
        <f>+K0kommunestruktur2021altern!I359</f>
        <v>10199</v>
      </c>
      <c r="J359" s="289">
        <f>+K0kommunestruktur2021altern!J359</f>
        <v>260082</v>
      </c>
      <c r="K359" s="289">
        <f>+K0kommunestruktur2021altern!K359</f>
        <v>10171</v>
      </c>
      <c r="L359" s="289">
        <f>+K0kommunestruktur2021altern!L359</f>
        <v>262229</v>
      </c>
      <c r="M359" s="289">
        <f>+K0kommunestruktur2021altern!M359</f>
        <v>10156</v>
      </c>
      <c r="N359" s="289">
        <f>+K0kommunestruktur2021altern!N359</f>
        <v>271207</v>
      </c>
      <c r="O359" s="289">
        <f>+K0kommunestruktur2021altern!O359</f>
        <v>10158</v>
      </c>
      <c r="P359" s="289">
        <f>+K0kommunestruktur2021altern!P359</f>
        <v>266948</v>
      </c>
      <c r="Q359" s="289">
        <f>+K0kommunestruktur2021altern!Q359</f>
        <v>10103</v>
      </c>
      <c r="R359" s="289">
        <f>+K0kommunestruktur2021altern!R359</f>
        <v>305104.79599999997</v>
      </c>
      <c r="S359" s="289">
        <f>VLOOKUP(A359,'K22'!A359:CU714,3)</f>
        <v>9925</v>
      </c>
      <c r="T359" s="289">
        <f>VLOOKUP(A359,'K22'!$A$4:$BV$359,26)</f>
        <v>319708.8474111117</v>
      </c>
      <c r="U359" s="289">
        <f>VLOOKUP(A359,'Bef.fremskr. kommunenivå MMMM'!$A$5:$K$360,8)</f>
        <v>9909</v>
      </c>
      <c r="V359" s="289">
        <f>VLOOKUP(A359,'K23'!$A$4:$BV$359,26)</f>
        <v>302811.26259231038</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SUM(C4:C359)</f>
        <v>5109056</v>
      </c>
      <c r="D361" s="519">
        <f t="shared" ref="D361:T361" si="6">SUM(D4:D359)</f>
        <v>128883066</v>
      </c>
      <c r="E361" s="519">
        <f t="shared" si="6"/>
        <v>5165802</v>
      </c>
      <c r="F361" s="519">
        <f t="shared" si="6"/>
        <v>136597674</v>
      </c>
      <c r="G361" s="519">
        <f t="shared" si="6"/>
        <v>5213985</v>
      </c>
      <c r="H361" s="519">
        <f t="shared" si="6"/>
        <v>149813982</v>
      </c>
      <c r="I361" s="519">
        <f t="shared" si="6"/>
        <v>5258317.0000000009</v>
      </c>
      <c r="J361" s="519">
        <f t="shared" si="6"/>
        <v>156585214.00000003</v>
      </c>
      <c r="K361" s="519">
        <f t="shared" si="6"/>
        <v>5295619</v>
      </c>
      <c r="L361" s="519">
        <f t="shared" si="6"/>
        <v>162536856.00000009</v>
      </c>
      <c r="M361" s="519">
        <f t="shared" si="6"/>
        <v>5328212</v>
      </c>
      <c r="N361" s="177">
        <f t="shared" si="6"/>
        <v>170121597.00000003</v>
      </c>
      <c r="O361" s="177">
        <f t="shared" si="6"/>
        <v>5367580</v>
      </c>
      <c r="P361" s="177">
        <f t="shared" si="6"/>
        <v>168892423</v>
      </c>
      <c r="Q361" s="177">
        <f t="shared" si="6"/>
        <v>5391369</v>
      </c>
      <c r="R361" s="177">
        <f t="shared" si="6"/>
        <v>195955452.35900012</v>
      </c>
      <c r="S361" s="177">
        <f t="shared" si="6"/>
        <v>5425270</v>
      </c>
      <c r="T361" s="177">
        <f t="shared" si="6"/>
        <v>220000000.00000003</v>
      </c>
      <c r="U361" s="177">
        <f t="shared" ref="U361:V361" si="7">SUM(U4:U359)</f>
        <v>5474886</v>
      </c>
      <c r="V361" s="177">
        <f t="shared" si="7"/>
        <v>200884999.99999997</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845</v>
      </c>
      <c r="C365" s="289">
        <f>VLOOKUP($A365,K0kommunestruktur2021altern!$A$4:$CC$359,3)</f>
        <v>27028</v>
      </c>
      <c r="D365" s="289">
        <f>VLOOKUP($A365,K0kommunestruktur2021altern!$A$4:$CC$359,4)</f>
        <v>624848</v>
      </c>
      <c r="E365" s="289">
        <f>VLOOKUP($A365,K0kommunestruktur2021altern!$A$4:$CC$359,5)</f>
        <v>27300</v>
      </c>
      <c r="F365" s="289">
        <f>VLOOKUP($A365,K0kommunestruktur2021altern!$A$4:$CC$359,6)</f>
        <v>657280</v>
      </c>
      <c r="G365" s="289">
        <f>VLOOKUP($A365,K0kommunestruktur2021altern!$A$4:$CC$359,7)</f>
        <v>27476</v>
      </c>
      <c r="H365" s="289">
        <f>VLOOKUP($A365,K0kommunestruktur2021altern!$A$4:$CC$359,8)</f>
        <v>729709</v>
      </c>
      <c r="I365" s="289">
        <f>VLOOKUP($A365,K0kommunestruktur2021altern!$A$4:$CC$359,9)</f>
        <v>27781</v>
      </c>
      <c r="J365" s="289">
        <f>VLOOKUP($A365,K0kommunestruktur2021altern!$A$4:$CC$359,10)</f>
        <v>769643</v>
      </c>
      <c r="K365" s="289">
        <f>VLOOKUP($A365,K0kommunestruktur2021altern!$A$4:$CC$359,11)</f>
        <v>27938</v>
      </c>
      <c r="L365" s="289">
        <f>VLOOKUP($A365,K0kommunestruktur2021altern!$A$4:$CC$359,12)</f>
        <v>805350</v>
      </c>
      <c r="M365" s="289">
        <f>VLOOKUP($A365,K0kommunestruktur2021altern!$A$4:$CC$359,13)</f>
        <v>28023</v>
      </c>
      <c r="N365" s="289">
        <f>VLOOKUP($A365,K0kommunestruktur2021altern!$A$4:$CC$359,14)</f>
        <v>836532</v>
      </c>
      <c r="O365" s="289">
        <f>VLOOKUP($A365,K0kommunestruktur2021altern!$A$4:$CC$359,15)</f>
        <v>28345</v>
      </c>
      <c r="P365" s="289">
        <f>VLOOKUP($A365,K0kommunestruktur2021altern!$A$4:$CC$359,16)</f>
        <v>825131</v>
      </c>
      <c r="Q365" s="289">
        <f>VLOOKUP($A365,K0kommunestruktur2021altern!$A$4:$CC$359,17)</f>
        <v>28493</v>
      </c>
      <c r="R365" s="289">
        <f>VLOOKUP($A365,K0kommunestruktur2021altern!$A$4:$CC$359,18)</f>
        <v>948325.75899999996</v>
      </c>
    </row>
    <row r="366" spans="1:22" ht="13">
      <c r="B366" s="894" t="s">
        <v>2239</v>
      </c>
      <c r="C366" s="289">
        <f>ROUND(C365*$Q366/$Q365,8)</f>
        <v>-14.228757939999999</v>
      </c>
      <c r="D366" s="289">
        <f>C366*D367/C365</f>
        <v>-327.1650931682085</v>
      </c>
      <c r="E366" s="289">
        <f>ROUND(E365*$Q366/$Q365,8)</f>
        <v>-14.37195101</v>
      </c>
      <c r="F366" s="289">
        <f>E366*F367/E365</f>
        <v>-343.78285905521136</v>
      </c>
      <c r="G366" s="289">
        <f>ROUND(G365*$Q366/$Q365,8)</f>
        <v>-14.46460534</v>
      </c>
      <c r="H366" s="289">
        <f>G366*H367/G365</f>
        <v>-381.91327690130953</v>
      </c>
      <c r="I366" s="289">
        <f>ROUND(I365*$Q366/$Q365,8)</f>
        <v>-14.62517109</v>
      </c>
      <c r="J366" s="289">
        <f>I366*J367/I365</f>
        <v>-402.95265490982979</v>
      </c>
      <c r="K366" s="289">
        <f>ROUND(K365*$Q366/$Q365,8)</f>
        <v>-14.70782297</v>
      </c>
      <c r="L366" s="289">
        <f>K366*L367/K365</f>
        <v>-421.73990091179502</v>
      </c>
      <c r="M366" s="289">
        <f>ROUND(M365*$Q366/$Q365,8)</f>
        <v>-14.75257081</v>
      </c>
      <c r="N366" s="289">
        <f>M366*N367/M365</f>
        <v>-438.19552180020946</v>
      </c>
      <c r="O366" s="289">
        <f>ROUND(O365*$Q366/$Q365,8)</f>
        <v>-14.92208613</v>
      </c>
      <c r="P366" s="289">
        <f>O366*P367/O365</f>
        <v>-432.20405022135049</v>
      </c>
      <c r="Q366" s="289">
        <v>-15</v>
      </c>
      <c r="R366" s="289">
        <f>Q366*R367/Q365</f>
        <v>-497.03879496718491</v>
      </c>
    </row>
    <row r="367" spans="1:22" ht="13">
      <c r="B367" s="885" t="s">
        <v>1838</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856</v>
      </c>
      <c r="C369" s="289">
        <f>VLOOKUP($A369,K0kommunestruktur2021altern!$A$4:$CC$359,3)</f>
        <v>5090</v>
      </c>
      <c r="D369" s="289">
        <f>VLOOKUP($A369,K0kommunestruktur2021altern!$A$4:$CC$359,4)</f>
        <v>116095</v>
      </c>
      <c r="E369" s="289">
        <f>VLOOKUP($A369,K0kommunestruktur2021altern!$A$4:$CC$359,5)</f>
        <v>5065</v>
      </c>
      <c r="F369" s="289">
        <f>VLOOKUP($A369,K0kommunestruktur2021altern!$A$4:$CC$359,6)</f>
        <v>116092</v>
      </c>
      <c r="G369" s="289">
        <f>VLOOKUP($A369,K0kommunestruktur2021altern!$A$4:$CC$359,7)</f>
        <v>5072</v>
      </c>
      <c r="H369" s="289">
        <f>VLOOKUP($A369,K0kommunestruktur2021altern!$A$4:$CC$359,8)</f>
        <v>131318</v>
      </c>
      <c r="I369" s="289">
        <f>VLOOKUP($A369,K0kommunestruktur2021altern!$A$4:$CC$359,9)</f>
        <v>5082</v>
      </c>
      <c r="J369" s="289">
        <f>VLOOKUP($A369,K0kommunestruktur2021altern!$A$4:$CC$359,10)</f>
        <v>140354</v>
      </c>
      <c r="K369" s="289">
        <f>VLOOKUP($A369,K0kommunestruktur2021altern!$A$4:$CC$359,11)</f>
        <v>5130</v>
      </c>
      <c r="L369" s="289">
        <f>VLOOKUP($A369,K0kommunestruktur2021altern!$A$4:$CC$359,12)</f>
        <v>149306</v>
      </c>
      <c r="M369" s="289">
        <f>VLOOKUP($A369,K0kommunestruktur2021altern!$A$4:$CC$359,13)</f>
        <v>5119</v>
      </c>
      <c r="N369" s="289">
        <f>VLOOKUP($A369,K0kommunestruktur2021altern!$A$4:$CC$359,14)</f>
        <v>155837</v>
      </c>
      <c r="O369" s="289">
        <f>VLOOKUP($A369,K0kommunestruktur2021altern!$A$4:$CC$359,15)</f>
        <v>5100</v>
      </c>
      <c r="P369" s="289">
        <f>VLOOKUP($A369,K0kommunestruktur2021altern!$A$4:$CC$359,16)</f>
        <v>154086</v>
      </c>
      <c r="Q369" s="289">
        <f>VLOOKUP($A369,K0kommunestruktur2021altern!$A$4:$CC$359,17)</f>
        <v>5093</v>
      </c>
      <c r="R369" s="289">
        <f>VLOOKUP($A369,K0kommunestruktur2021altern!$A$4:$CC$359,18)</f>
        <v>171798.152</v>
      </c>
    </row>
    <row r="370" spans="1:18" ht="13">
      <c r="B370" s="894" t="s">
        <v>2240</v>
      </c>
      <c r="C370" s="289">
        <f>-C366</f>
        <v>14.228757939999999</v>
      </c>
      <c r="D370" s="289">
        <f t="shared" ref="D370:R370" si="8">-D366</f>
        <v>327.1650931682085</v>
      </c>
      <c r="E370" s="289">
        <f t="shared" si="8"/>
        <v>14.37195101</v>
      </c>
      <c r="F370" s="289">
        <f t="shared" si="8"/>
        <v>343.78285905521136</v>
      </c>
      <c r="G370" s="289">
        <f t="shared" si="8"/>
        <v>14.46460534</v>
      </c>
      <c r="H370" s="289">
        <f t="shared" si="8"/>
        <v>381.91327690130953</v>
      </c>
      <c r="I370" s="289">
        <f t="shared" si="8"/>
        <v>14.62517109</v>
      </c>
      <c r="J370" s="289">
        <f t="shared" si="8"/>
        <v>402.95265490982979</v>
      </c>
      <c r="K370" s="289">
        <f t="shared" si="8"/>
        <v>14.70782297</v>
      </c>
      <c r="L370" s="289">
        <f t="shared" si="8"/>
        <v>421.73990091179502</v>
      </c>
      <c r="M370" s="289">
        <f t="shared" si="8"/>
        <v>14.75257081</v>
      </c>
      <c r="N370" s="289">
        <f t="shared" si="8"/>
        <v>438.19552180020946</v>
      </c>
      <c r="O370" s="289">
        <f t="shared" si="8"/>
        <v>14.92208613</v>
      </c>
      <c r="P370" s="289">
        <f t="shared" si="8"/>
        <v>432.20405022135049</v>
      </c>
      <c r="Q370" s="289">
        <f>-Q366</f>
        <v>15</v>
      </c>
      <c r="R370" s="289">
        <f t="shared" si="8"/>
        <v>497.03879496718491</v>
      </c>
    </row>
    <row r="372" spans="1:18" ht="13">
      <c r="A372" s="1">
        <v>4618</v>
      </c>
      <c r="B372" s="2" t="s">
        <v>1632</v>
      </c>
      <c r="C372" s="289">
        <f>VLOOKUP($A372,K0kommunestruktur2021altern!$A$4:$CC$359,3)</f>
        <v>11399.996385542168</v>
      </c>
      <c r="D372" s="289">
        <f>VLOOKUP($A372,K0kommunestruktur2021altern!$A$4:$CC$359,4)</f>
        <v>290946.56160000002</v>
      </c>
      <c r="E372" s="289">
        <f>VLOOKUP($A372,K0kommunestruktur2021altern!$A$4:$CC$359,5)</f>
        <v>11393.136144578313</v>
      </c>
      <c r="F372" s="289">
        <f>VLOOKUP($A372,K0kommunestruktur2021altern!$A$4:$CC$359,6)</f>
        <v>306945.06357831327</v>
      </c>
      <c r="G372" s="289">
        <f>VLOOKUP($A372,K0kommunestruktur2021altern!$A$4:$CC$359,7)</f>
        <v>11365.340963855422</v>
      </c>
      <c r="H372" s="289">
        <f>VLOOKUP($A372,K0kommunestruktur2021altern!$A$4:$CC$359,8)</f>
        <v>314267.95376506023</v>
      </c>
      <c r="I372" s="289">
        <f>VLOOKUP($A372,K0kommunestruktur2021altern!$A$4:$CC$359,9)</f>
        <v>11440.832530120482</v>
      </c>
      <c r="J372" s="289">
        <f>VLOOKUP($A372,K0kommunestruktur2021altern!$A$4:$CC$359,10)</f>
        <v>326542.12179638556</v>
      </c>
      <c r="K372" s="289">
        <f>VLOOKUP($A372,K0kommunestruktur2021altern!$A$4:$CC$359,11)</f>
        <v>11225.119277108433</v>
      </c>
      <c r="L372" s="289">
        <f>VLOOKUP($A372,K0kommunestruktur2021altern!$A$4:$CC$359,12)</f>
        <v>334172.3313253012</v>
      </c>
      <c r="M372" s="289">
        <f>VLOOKUP($A372,K0kommunestruktur2021altern!$A$4:$CC$359,13)</f>
        <v>11084</v>
      </c>
      <c r="N372" s="289">
        <f>VLOOKUP($A372,K0kommunestruktur2021altern!$A$4:$CC$359,14)</f>
        <v>347344.6277108434</v>
      </c>
      <c r="O372" s="289">
        <f>VLOOKUP($A372,K0kommunestruktur2021altern!$A$4:$CC$359,15)</f>
        <v>11048</v>
      </c>
      <c r="P372" s="289">
        <f>VLOOKUP($A372,K0kommunestruktur2021altern!$A$4:$CC$359,16)</f>
        <v>348649</v>
      </c>
      <c r="Q372" s="289">
        <f>VLOOKUP($A372,K0kommunestruktur2021altern!$A$4:$CC$359,17)</f>
        <v>11002</v>
      </c>
      <c r="R372" s="289">
        <f>VLOOKUP($A372,K0kommunestruktur2021altern!$A$4:$CC$359,18)</f>
        <v>393175.99900000001</v>
      </c>
    </row>
    <row r="373" spans="1:18" ht="13">
      <c r="B373" s="894" t="s">
        <v>2241</v>
      </c>
      <c r="C373" s="289">
        <f>ROUND(C372*$Q373/$Q372,8)</f>
        <v>-21.759673159999998</v>
      </c>
      <c r="D373" s="289">
        <f>C373*D374/C372</f>
        <v>-469.82620985407209</v>
      </c>
      <c r="E373" s="289">
        <f>ROUND(E372*$Q373/$Q372,8)</f>
        <v>-21.746578719999999</v>
      </c>
      <c r="F373" s="289">
        <f>E373*F374/E372</f>
        <v>-500.84715143570781</v>
      </c>
      <c r="G373" s="289">
        <f>ROUND(G372*$Q373/$Q372,8)</f>
        <v>-21.693524839999998</v>
      </c>
      <c r="H373" s="289">
        <f>G373*H374/G372</f>
        <v>-515.10971734439386</v>
      </c>
      <c r="I373" s="289">
        <f>ROUND(I372*$Q373/$Q372,8)</f>
        <v>-21.837618899999999</v>
      </c>
      <c r="J373" s="289">
        <f>I373*J374/I372</f>
        <v>-533.91567159179613</v>
      </c>
      <c r="K373" s="289">
        <f>ROUND(K372*$Q373/$Q372,8)</f>
        <v>-21.425877549999999</v>
      </c>
      <c r="L373" s="289">
        <f>K373*L374/K372</f>
        <v>-546.70305012448478</v>
      </c>
      <c r="M373" s="289">
        <f>ROUND(M372*$Q373/$Q372,8)</f>
        <v>-21.156517000000001</v>
      </c>
      <c r="N373" s="289">
        <f>M373*N374/M372</f>
        <v>-568.31441400118456</v>
      </c>
      <c r="O373" s="289">
        <f>ROUND(O372*$Q373/$Q372,8)</f>
        <v>-21.08780222</v>
      </c>
      <c r="P373" s="289">
        <f>O373*P374/O372</f>
        <v>-573.06217057481899</v>
      </c>
      <c r="Q373" s="289">
        <v>-21</v>
      </c>
      <c r="R373" s="289">
        <f>Q373*R374/Q372</f>
        <v>-657.72450272677702</v>
      </c>
    </row>
    <row r="374" spans="1:18" ht="13">
      <c r="B374" s="885" t="s">
        <v>1838</v>
      </c>
      <c r="C374" s="289"/>
      <c r="D374" s="289">
        <f>+D372-3329.172-36713.017-4760.184</f>
        <v>246144.18859999999</v>
      </c>
      <c r="E374" s="289"/>
      <c r="F374" s="289">
        <f>+F372-3284.567-36460.479-4803.81</f>
        <v>262396.2075783133</v>
      </c>
      <c r="G374" s="289"/>
      <c r="H374" s="289">
        <f>+H372-3192.277-36599.618-4607.625</f>
        <v>269868.43376506021</v>
      </c>
      <c r="I374" s="289"/>
      <c r="J374" s="289">
        <f>+J372-3300.396-38788.64-4732.123</f>
        <v>279720.96279638552</v>
      </c>
      <c r="K374" s="289"/>
      <c r="L374" s="289">
        <f>+L372-47752</f>
        <v>286420.3313253012</v>
      </c>
      <c r="M374" s="289"/>
      <c r="N374" s="289">
        <f>+N372-49602</f>
        <v>297742.6277108434</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VLOOKUP($A376,K0kommunestruktur2021altern!$A$4:$CC$359,3)</f>
        <v>950</v>
      </c>
      <c r="D376" s="289">
        <f>VLOOKUP($A376,K0kommunestruktur2021altern!$A$4:$CC$359,4)</f>
        <v>49498</v>
      </c>
      <c r="E376" s="289">
        <f>VLOOKUP($A376,K0kommunestruktur2021altern!$A$4:$CC$359,5)</f>
        <v>950</v>
      </c>
      <c r="F376" s="289">
        <f>VLOOKUP($A376,K0kommunestruktur2021altern!$A$4:$CC$359,6)</f>
        <v>49839</v>
      </c>
      <c r="G376" s="289">
        <f>VLOOKUP($A376,K0kommunestruktur2021altern!$A$4:$CC$359,7)</f>
        <v>925</v>
      </c>
      <c r="H376" s="289">
        <f>VLOOKUP($A376,K0kommunestruktur2021altern!$A$4:$CC$359,8)</f>
        <v>52787</v>
      </c>
      <c r="I376" s="289">
        <f>VLOOKUP($A376,K0kommunestruktur2021altern!$A$4:$CC$359,9)</f>
        <v>921</v>
      </c>
      <c r="J376" s="289">
        <f>VLOOKUP($A376,K0kommunestruktur2021altern!$A$4:$CC$359,10)</f>
        <v>55245</v>
      </c>
      <c r="K376" s="289">
        <f>VLOOKUP($A376,K0kommunestruktur2021altern!$A$4:$CC$359,11)</f>
        <v>931</v>
      </c>
      <c r="L376" s="289">
        <f>VLOOKUP($A376,K0kommunestruktur2021altern!$A$4:$CC$359,12)</f>
        <v>56711</v>
      </c>
      <c r="M376" s="289">
        <f>VLOOKUP($A376,K0kommunestruktur2021altern!$A$4:$CC$359,13)</f>
        <v>906</v>
      </c>
      <c r="N376" s="289">
        <f>VLOOKUP($A376,K0kommunestruktur2021altern!$A$4:$CC$359,14)</f>
        <v>56140</v>
      </c>
      <c r="O376" s="289">
        <f>VLOOKUP($A376,K0kommunestruktur2021altern!$A$4:$CC$359,15)</f>
        <v>906</v>
      </c>
      <c r="P376" s="289">
        <f>VLOOKUP($A376,K0kommunestruktur2021altern!$A$4:$CC$359,16)</f>
        <v>53139</v>
      </c>
      <c r="Q376" s="289">
        <f>VLOOKUP($A376,K0kommunestruktur2021altern!$A$4:$CC$359,17)</f>
        <v>903</v>
      </c>
      <c r="R376" s="289">
        <f>VLOOKUP($A376,K0kommunestruktur2021altern!$A$4:$CC$359,18)</f>
        <v>58015.205000000002</v>
      </c>
    </row>
    <row r="377" spans="1:18" ht="13">
      <c r="B377" s="894" t="s">
        <v>2242</v>
      </c>
      <c r="C377" s="289">
        <f>-C373</f>
        <v>21.759673159999998</v>
      </c>
      <c r="D377" s="289">
        <f t="shared" ref="D377:R377" si="9">-D373</f>
        <v>469.82620985407209</v>
      </c>
      <c r="E377" s="289">
        <f t="shared" si="9"/>
        <v>21.746578719999999</v>
      </c>
      <c r="F377" s="289">
        <f t="shared" si="9"/>
        <v>500.84715143570781</v>
      </c>
      <c r="G377" s="289">
        <f t="shared" si="9"/>
        <v>21.693524839999998</v>
      </c>
      <c r="H377" s="289">
        <f t="shared" si="9"/>
        <v>515.10971734439386</v>
      </c>
      <c r="I377" s="289">
        <f t="shared" si="9"/>
        <v>21.837618899999999</v>
      </c>
      <c r="J377" s="289">
        <f t="shared" si="9"/>
        <v>533.91567159179613</v>
      </c>
      <c r="K377" s="289">
        <f t="shared" si="9"/>
        <v>21.425877549999999</v>
      </c>
      <c r="L377" s="289">
        <f t="shared" si="9"/>
        <v>546.70305012448478</v>
      </c>
      <c r="M377" s="289">
        <f t="shared" si="9"/>
        <v>21.156517000000001</v>
      </c>
      <c r="N377" s="289">
        <f t="shared" si="9"/>
        <v>568.31441400118456</v>
      </c>
      <c r="O377" s="289">
        <f t="shared" si="9"/>
        <v>21.08780222</v>
      </c>
      <c r="P377" s="289">
        <f t="shared" si="9"/>
        <v>573.06217057481899</v>
      </c>
      <c r="Q377" s="289">
        <f t="shared" si="9"/>
        <v>21</v>
      </c>
      <c r="R377" s="289">
        <f t="shared" si="9"/>
        <v>657.72450272677702</v>
      </c>
    </row>
    <row r="378" spans="1:18">
      <c r="C378" s="5"/>
      <c r="E378" s="5"/>
      <c r="F378" s="5"/>
      <c r="G378" s="5"/>
      <c r="I378" s="5"/>
      <c r="K378" s="5"/>
      <c r="M378" s="5"/>
    </row>
    <row r="379" spans="1:18" ht="13">
      <c r="A379" s="1">
        <v>3005</v>
      </c>
      <c r="B379" s="2" t="s">
        <v>871</v>
      </c>
      <c r="C379" s="289">
        <f>VLOOKUP($A379,K0kommunestruktur2021altern!$A$4:$CC$359,3)</f>
        <v>96605</v>
      </c>
      <c r="D379" s="289">
        <f>VLOOKUP($A379,K0kommunestruktur2021altern!$A$4:$CC$359,4)</f>
        <v>2245441</v>
      </c>
      <c r="E379" s="289">
        <f>VLOOKUP($A379,K0kommunestruktur2021altern!$A$4:$CC$359,5)</f>
        <v>97771</v>
      </c>
      <c r="F379" s="289">
        <f>VLOOKUP($A379,K0kommunestruktur2021altern!$A$4:$CC$359,6)</f>
        <v>2395137</v>
      </c>
      <c r="G379" s="289">
        <f>VLOOKUP($A379,K0kommunestruktur2021altern!$A$4:$CC$359,7)</f>
        <v>98930</v>
      </c>
      <c r="H379" s="289">
        <f>VLOOKUP($A379,K0kommunestruktur2021altern!$A$4:$CC$359,8)</f>
        <v>2637910</v>
      </c>
      <c r="I379" s="289">
        <f>VLOOKUP($A379,K0kommunestruktur2021altern!$A$4:$CC$359,9)</f>
        <v>99734</v>
      </c>
      <c r="J379" s="289">
        <f>VLOOKUP($A379,K0kommunestruktur2021altern!$A$4:$CC$359,10)</f>
        <v>2776360</v>
      </c>
      <c r="K379" s="289">
        <f>VLOOKUP($A379,K0kommunestruktur2021altern!$A$4:$CC$359,11)</f>
        <v>100302</v>
      </c>
      <c r="L379" s="289">
        <f>VLOOKUP($A379,K0kommunestruktur2021altern!$A$4:$CC$359,12)</f>
        <v>2847014</v>
      </c>
      <c r="M379" s="289">
        <f>VLOOKUP($A379,K0kommunestruktur2021altern!$A$4:$CC$359,13)</f>
        <v>100581</v>
      </c>
      <c r="N379" s="289">
        <f>VLOOKUP($A379,K0kommunestruktur2021altern!$A$4:$CC$359,14)</f>
        <v>2968925</v>
      </c>
      <c r="O379" s="289">
        <f>VLOOKUP($A379,K0kommunestruktur2021altern!$A$4:$CC$359,15)</f>
        <v>101386</v>
      </c>
      <c r="P379" s="289">
        <f>VLOOKUP($A379,K0kommunestruktur2021altern!$A$4:$CC$359,16)</f>
        <v>2988879</v>
      </c>
      <c r="Q379" s="289">
        <f>VLOOKUP($A379,K0kommunestruktur2021altern!$A$4:$CC$359,17)</f>
        <v>101859</v>
      </c>
      <c r="R379" s="289">
        <f>VLOOKUP($A379,K0kommunestruktur2021altern!$A$4:$CC$359,18)</f>
        <v>3432396.2370000002</v>
      </c>
    </row>
    <row r="380" spans="1:18" ht="13">
      <c r="B380" s="894" t="s">
        <v>2251</v>
      </c>
      <c r="C380" s="289">
        <f>ROUND(C379*$Q380/$Q379,8)</f>
        <v>-33.194661250000003</v>
      </c>
      <c r="D380" s="289">
        <f>C380*D381/C379</f>
        <v>-771.56103050423121</v>
      </c>
      <c r="E380" s="289">
        <f>ROUND(E379*$Q380/$Q379,8)</f>
        <v>-33.595313130000001</v>
      </c>
      <c r="F380" s="289">
        <f>E380*F381/E379</f>
        <v>-822.9984095923005</v>
      </c>
      <c r="G380" s="289">
        <f>ROUND(G379*$Q380/$Q379,8)</f>
        <v>-33.99355972</v>
      </c>
      <c r="H380" s="289">
        <f>G380*H381/G379</f>
        <v>-906.41818579788935</v>
      </c>
      <c r="I380" s="289">
        <f>ROUND(I379*$Q380/$Q379,8)</f>
        <v>-34.269823969999997</v>
      </c>
      <c r="J380" s="289">
        <f>I380*J381/I379</f>
        <v>-953.99130163584323</v>
      </c>
      <c r="K380" s="289">
        <f>ROUND(K379*$Q380/$Q379,8)</f>
        <v>-34.464995729999998</v>
      </c>
      <c r="L380" s="289">
        <f>K380*L381/K379</f>
        <v>-978.26888151034098</v>
      </c>
      <c r="M380" s="289">
        <f>ROUND(M379*$Q380/$Q379,8)</f>
        <v>-34.560863550000001</v>
      </c>
      <c r="N380" s="289">
        <f>M380*N381/M379</f>
        <v>-1020.1589943944061</v>
      </c>
      <c r="O380" s="289">
        <f>ROUND(O379*$Q380/$Q379,8)</f>
        <v>-34.837471409999999</v>
      </c>
      <c r="P380" s="289">
        <f>O380*P381/O379</f>
        <v>-1027.0154332003372</v>
      </c>
      <c r="Q380" s="289">
        <v>-35</v>
      </c>
      <c r="R380" s="289">
        <f>Q380*R381/Q379</f>
        <v>-1179.4133880658558</v>
      </c>
    </row>
    <row r="381" spans="1:18" ht="13">
      <c r="B381" s="885" t="s">
        <v>1838</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89"/>
      <c r="D382" s="289"/>
      <c r="E382" s="289"/>
      <c r="F382" s="289"/>
      <c r="G382" s="289"/>
      <c r="H382" s="289"/>
      <c r="I382" s="289"/>
      <c r="J382" s="289"/>
      <c r="K382" s="289"/>
      <c r="L382" s="289"/>
      <c r="M382" s="289"/>
      <c r="N382" s="289"/>
      <c r="O382" s="289"/>
      <c r="P382" s="289"/>
      <c r="Q382" s="289"/>
      <c r="R382" s="289"/>
    </row>
    <row r="383" spans="1:18" ht="13">
      <c r="A383" s="1">
        <v>3048</v>
      </c>
      <c r="B383" s="2" t="s">
        <v>884</v>
      </c>
      <c r="C383" s="289">
        <f>VLOOKUP($A383,K0kommunestruktur2021altern!$A$4:$CC$359,3)</f>
        <v>17919</v>
      </c>
      <c r="D383" s="289">
        <f>VLOOKUP($A383,K0kommunestruktur2021altern!$A$4:$CC$359,4)</f>
        <v>404166</v>
      </c>
      <c r="E383" s="289">
        <f>VLOOKUP($A383,K0kommunestruktur2021altern!$A$4:$CC$359,5)</f>
        <v>18039</v>
      </c>
      <c r="F383" s="289">
        <f>VLOOKUP($A383,K0kommunestruktur2021altern!$A$4:$CC$359,6)</f>
        <v>436278</v>
      </c>
      <c r="G383" s="289">
        <f>VLOOKUP($A383,K0kommunestruktur2021altern!$A$4:$CC$359,7)</f>
        <v>18205</v>
      </c>
      <c r="H383" s="289">
        <f>VLOOKUP($A383,K0kommunestruktur2021altern!$A$4:$CC$359,8)</f>
        <v>475477</v>
      </c>
      <c r="I383" s="289">
        <f>VLOOKUP($A383,K0kommunestruktur2021altern!$A$4:$CC$359,9)</f>
        <v>18562</v>
      </c>
      <c r="J383" s="289">
        <f>VLOOKUP($A383,K0kommunestruktur2021altern!$A$4:$CC$359,10)</f>
        <v>512095</v>
      </c>
      <c r="K383" s="289">
        <f>VLOOKUP($A383,K0kommunestruktur2021altern!$A$4:$CC$359,11)</f>
        <v>18926</v>
      </c>
      <c r="L383" s="289">
        <f>VLOOKUP($A383,K0kommunestruktur2021altern!$A$4:$CC$359,12)</f>
        <v>525047</v>
      </c>
      <c r="M383" s="289">
        <f>VLOOKUP($A383,K0kommunestruktur2021altern!$A$4:$CC$359,13)</f>
        <v>19117</v>
      </c>
      <c r="N383" s="289">
        <f>VLOOKUP($A383,K0kommunestruktur2021altern!$A$4:$CC$359,14)</f>
        <v>555986</v>
      </c>
      <c r="O383" s="289">
        <f>VLOOKUP($A383,K0kommunestruktur2021altern!$A$4:$CC$359,15)</f>
        <v>19423</v>
      </c>
      <c r="P383" s="289">
        <f>VLOOKUP($A383,K0kommunestruktur2021altern!$A$4:$CC$359,16)</f>
        <v>573811</v>
      </c>
      <c r="Q383" s="289">
        <f>VLOOKUP($A383,K0kommunestruktur2021altern!$A$4:$CC$359,17)</f>
        <v>19709</v>
      </c>
      <c r="R383" s="289">
        <f>VLOOKUP($A383,K0kommunestruktur2021altern!$A$4:$CC$359,18)</f>
        <v>655419.36100000003</v>
      </c>
    </row>
    <row r="384" spans="1:18" ht="13">
      <c r="B384" s="894" t="s">
        <v>2252</v>
      </c>
      <c r="C384" s="289">
        <f>-C380</f>
        <v>33.194661250000003</v>
      </c>
      <c r="D384" s="289">
        <f t="shared" ref="D384:R384" si="10">-D380</f>
        <v>771.56103050423121</v>
      </c>
      <c r="E384" s="289">
        <f t="shared" si="10"/>
        <v>33.595313130000001</v>
      </c>
      <c r="F384" s="289">
        <f t="shared" si="10"/>
        <v>822.9984095923005</v>
      </c>
      <c r="G384" s="289">
        <f t="shared" si="10"/>
        <v>33.99355972</v>
      </c>
      <c r="H384" s="289">
        <f t="shared" si="10"/>
        <v>906.41818579788935</v>
      </c>
      <c r="I384" s="289">
        <f t="shared" si="10"/>
        <v>34.269823969999997</v>
      </c>
      <c r="J384" s="289">
        <f t="shared" si="10"/>
        <v>953.99130163584323</v>
      </c>
      <c r="K384" s="289">
        <f t="shared" si="10"/>
        <v>34.464995729999998</v>
      </c>
      <c r="L384" s="289">
        <f t="shared" si="10"/>
        <v>978.26888151034098</v>
      </c>
      <c r="M384" s="289">
        <f t="shared" si="10"/>
        <v>34.560863550000001</v>
      </c>
      <c r="N384" s="289">
        <f t="shared" si="10"/>
        <v>1020.1589943944061</v>
      </c>
      <c r="O384" s="289">
        <f t="shared" si="10"/>
        <v>34.837471409999999</v>
      </c>
      <c r="P384" s="289">
        <f t="shared" si="10"/>
        <v>1027.0154332003372</v>
      </c>
      <c r="Q384" s="289">
        <f>-Q380</f>
        <v>35</v>
      </c>
      <c r="R384" s="289">
        <f t="shared" si="10"/>
        <v>1179.4133880658558</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s>
  <sheetData>
    <row r="1" spans="1:19" s="85" customFormat="1">
      <c r="A1"/>
      <c r="B1" s="74" t="s">
        <v>719</v>
      </c>
      <c r="N1" s="177"/>
    </row>
    <row r="2" spans="1:19" s="85" customFormat="1" ht="26">
      <c r="A2" s="120" t="s">
        <v>775</v>
      </c>
      <c r="B2" s="120" t="s">
        <v>776</v>
      </c>
      <c r="C2" s="122" t="s">
        <v>1146</v>
      </c>
      <c r="D2" s="122" t="s">
        <v>1147</v>
      </c>
      <c r="E2" s="122" t="s">
        <v>1148</v>
      </c>
      <c r="F2" s="122" t="s">
        <v>1149</v>
      </c>
      <c r="G2" s="122" t="s">
        <v>1154</v>
      </c>
      <c r="H2" s="122" t="s">
        <v>1175</v>
      </c>
      <c r="I2" s="122" t="s">
        <v>1186</v>
      </c>
      <c r="J2" s="122" t="s">
        <v>1317</v>
      </c>
      <c r="K2" s="122" t="s">
        <v>1273</v>
      </c>
      <c r="L2" s="122" t="s">
        <v>1443</v>
      </c>
      <c r="M2" s="122" t="s">
        <v>1455</v>
      </c>
      <c r="N2" s="122" t="s">
        <v>1401</v>
      </c>
    </row>
    <row r="3" spans="1:19"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9" s="85" customFormat="1" ht="13">
      <c r="A4" s="865">
        <v>301</v>
      </c>
      <c r="B4" s="866" t="s">
        <v>823</v>
      </c>
      <c r="C4" s="289">
        <v>634463</v>
      </c>
      <c r="D4" s="177">
        <v>20917085</v>
      </c>
      <c r="E4" s="289">
        <v>647676</v>
      </c>
      <c r="F4" s="177">
        <v>22488171</v>
      </c>
      <c r="G4" s="289">
        <v>658390</v>
      </c>
      <c r="H4" s="177">
        <v>25522086</v>
      </c>
      <c r="I4" s="289">
        <v>666759</v>
      </c>
      <c r="J4" s="177">
        <v>27402999</v>
      </c>
      <c r="K4" s="289">
        <v>673469</v>
      </c>
      <c r="L4" s="177">
        <v>28170461</v>
      </c>
      <c r="M4" s="289">
        <v>681071</v>
      </c>
      <c r="N4" s="177">
        <v>28660755.550051365</v>
      </c>
      <c r="P4" s="517"/>
      <c r="S4" s="177"/>
    </row>
    <row r="5" spans="1:19" s="85" customFormat="1" ht="13">
      <c r="A5" s="865">
        <v>1101</v>
      </c>
      <c r="B5" s="866" t="s">
        <v>958</v>
      </c>
      <c r="C5" s="289">
        <v>14811</v>
      </c>
      <c r="D5" s="177">
        <v>406927</v>
      </c>
      <c r="E5" s="289">
        <v>14916</v>
      </c>
      <c r="F5" s="177">
        <v>402775</v>
      </c>
      <c r="G5" s="289">
        <v>14942</v>
      </c>
      <c r="H5" s="177">
        <v>418367</v>
      </c>
      <c r="I5" s="289">
        <v>14899</v>
      </c>
      <c r="J5" s="177">
        <v>420764</v>
      </c>
      <c r="K5" s="289">
        <v>14898</v>
      </c>
      <c r="L5" s="177">
        <v>421333</v>
      </c>
      <c r="M5" s="289">
        <v>14830</v>
      </c>
      <c r="N5" s="177">
        <v>433750.15785992384</v>
      </c>
      <c r="P5" s="517"/>
      <c r="S5" s="177"/>
    </row>
    <row r="6" spans="1:19" s="85" customFormat="1" ht="13">
      <c r="A6" s="884">
        <v>1103</v>
      </c>
      <c r="B6" s="885" t="s">
        <v>960</v>
      </c>
      <c r="C6" s="289">
        <v>138642</v>
      </c>
      <c r="D6" s="177">
        <v>4991741.8299246505</v>
      </c>
      <c r="E6" s="289">
        <v>140118</v>
      </c>
      <c r="F6" s="177">
        <v>5154572.1131059248</v>
      </c>
      <c r="G6" s="289">
        <v>140796</v>
      </c>
      <c r="H6" s="177">
        <v>5300417.3218852757</v>
      </c>
      <c r="I6" s="289">
        <v>140931</v>
      </c>
      <c r="J6" s="177">
        <v>5130806.1148449043</v>
      </c>
      <c r="K6" s="289">
        <v>141261</v>
      </c>
      <c r="L6" s="177">
        <v>5192040.7135512298</v>
      </c>
      <c r="M6" s="289">
        <v>142109</v>
      </c>
      <c r="N6" s="177">
        <v>5452790.2295098109</v>
      </c>
      <c r="P6" s="517"/>
      <c r="S6" s="177"/>
    </row>
    <row r="7" spans="1:19" s="85" customFormat="1" ht="13">
      <c r="A7" s="865">
        <v>1106</v>
      </c>
      <c r="B7" s="866" t="s">
        <v>961</v>
      </c>
      <c r="C7" s="289">
        <v>36099</v>
      </c>
      <c r="D7" s="177">
        <v>907569</v>
      </c>
      <c r="E7" s="289">
        <v>36538</v>
      </c>
      <c r="F7" s="177">
        <v>944562</v>
      </c>
      <c r="G7" s="289">
        <v>36951</v>
      </c>
      <c r="H7" s="177">
        <v>980578</v>
      </c>
      <c r="I7" s="289">
        <v>37166</v>
      </c>
      <c r="J7" s="177">
        <v>1015625</v>
      </c>
      <c r="K7" s="289">
        <v>37167</v>
      </c>
      <c r="L7" s="177">
        <v>1084225</v>
      </c>
      <c r="M7" s="289">
        <v>37250</v>
      </c>
      <c r="N7" s="177">
        <v>1069404.9475025111</v>
      </c>
      <c r="P7" s="517"/>
      <c r="S7" s="177"/>
    </row>
    <row r="8" spans="1:19" s="85" customFormat="1" ht="13">
      <c r="A8" s="878">
        <v>1108</v>
      </c>
      <c r="B8" s="883" t="s">
        <v>1610</v>
      </c>
      <c r="C8" s="289">
        <v>72979</v>
      </c>
      <c r="D8" s="177">
        <v>2152495.6739130435</v>
      </c>
      <c r="E8" s="289">
        <v>74669</v>
      </c>
      <c r="F8" s="177">
        <v>2214821.0546357618</v>
      </c>
      <c r="G8" s="289">
        <v>75895</v>
      </c>
      <c r="H8" s="177">
        <v>2314406.4579967689</v>
      </c>
      <c r="I8" s="289">
        <v>76579</v>
      </c>
      <c r="J8" s="177">
        <v>2314068.4</v>
      </c>
      <c r="K8" s="289">
        <v>77411</v>
      </c>
      <c r="L8" s="177">
        <v>2378695.0393258426</v>
      </c>
      <c r="M8" s="289">
        <v>78276</v>
      </c>
      <c r="N8" s="177">
        <v>2476243.6868347544</v>
      </c>
      <c r="P8" s="517"/>
      <c r="S8" s="177"/>
    </row>
    <row r="9" spans="1:19" s="85" customFormat="1" ht="13">
      <c r="A9" s="865">
        <v>1111</v>
      </c>
      <c r="B9" s="866" t="s">
        <v>962</v>
      </c>
      <c r="C9" s="289">
        <v>3303</v>
      </c>
      <c r="D9" s="177">
        <v>74638</v>
      </c>
      <c r="E9" s="289">
        <v>3309</v>
      </c>
      <c r="F9" s="177">
        <v>77414</v>
      </c>
      <c r="G9" s="289">
        <v>3313</v>
      </c>
      <c r="H9" s="177">
        <v>81397</v>
      </c>
      <c r="I9" s="289">
        <v>3316</v>
      </c>
      <c r="J9" s="177">
        <v>81393</v>
      </c>
      <c r="K9" s="289">
        <v>3331</v>
      </c>
      <c r="L9" s="177">
        <v>84326</v>
      </c>
      <c r="M9" s="289">
        <v>3305</v>
      </c>
      <c r="N9" s="177">
        <v>85098.226325442229</v>
      </c>
      <c r="P9" s="517"/>
      <c r="S9" s="177"/>
    </row>
    <row r="10" spans="1:19" s="85" customFormat="1" ht="13">
      <c r="A10" s="865">
        <v>1112</v>
      </c>
      <c r="B10" s="866" t="s">
        <v>963</v>
      </c>
      <c r="C10" s="289">
        <v>3225</v>
      </c>
      <c r="D10" s="177">
        <v>66675</v>
      </c>
      <c r="E10" s="289">
        <v>3247</v>
      </c>
      <c r="F10" s="177">
        <v>68275</v>
      </c>
      <c r="G10" s="289">
        <v>3243</v>
      </c>
      <c r="H10" s="177">
        <v>71529</v>
      </c>
      <c r="I10" s="289">
        <v>3259</v>
      </c>
      <c r="J10" s="177">
        <v>79675</v>
      </c>
      <c r="K10" s="289">
        <v>3237</v>
      </c>
      <c r="L10" s="177">
        <v>78836</v>
      </c>
      <c r="M10" s="289">
        <v>3213</v>
      </c>
      <c r="N10" s="177">
        <v>78674.738803882123</v>
      </c>
      <c r="P10" s="517"/>
      <c r="S10" s="177"/>
    </row>
    <row r="11" spans="1:19" ht="13">
      <c r="A11" s="865">
        <v>1114</v>
      </c>
      <c r="B11" s="866" t="s">
        <v>0</v>
      </c>
      <c r="C11" s="289">
        <v>2820</v>
      </c>
      <c r="D11" s="177">
        <v>64270</v>
      </c>
      <c r="E11" s="289">
        <v>2861</v>
      </c>
      <c r="F11" s="177">
        <v>66516</v>
      </c>
      <c r="G11" s="289">
        <v>2825</v>
      </c>
      <c r="H11" s="177">
        <v>73550</v>
      </c>
      <c r="I11" s="289">
        <v>2826</v>
      </c>
      <c r="J11" s="177">
        <v>76011</v>
      </c>
      <c r="K11" s="289">
        <v>2826</v>
      </c>
      <c r="L11" s="177">
        <v>71889</v>
      </c>
      <c r="M11" s="289">
        <v>2807</v>
      </c>
      <c r="N11" s="177">
        <v>76154.348310857036</v>
      </c>
      <c r="P11" s="517"/>
      <c r="S11" s="177"/>
    </row>
    <row r="12" spans="1:19" ht="13">
      <c r="A12" s="865">
        <v>1119</v>
      </c>
      <c r="B12" s="866" t="s">
        <v>1</v>
      </c>
      <c r="C12" s="289">
        <v>18115</v>
      </c>
      <c r="D12" s="177">
        <v>424970</v>
      </c>
      <c r="E12" s="289">
        <v>18528</v>
      </c>
      <c r="F12" s="177">
        <v>436779</v>
      </c>
      <c r="G12" s="289">
        <v>18591</v>
      </c>
      <c r="H12" s="177">
        <v>467975</v>
      </c>
      <c r="I12" s="289">
        <v>18800</v>
      </c>
      <c r="J12" s="177">
        <v>470013</v>
      </c>
      <c r="K12" s="289">
        <v>18762</v>
      </c>
      <c r="L12" s="177">
        <v>474998</v>
      </c>
      <c r="M12" s="289">
        <v>18814</v>
      </c>
      <c r="N12" s="177">
        <v>491527.22598705528</v>
      </c>
      <c r="P12" s="517"/>
      <c r="S12" s="177"/>
    </row>
    <row r="13" spans="1:19" ht="13">
      <c r="A13" s="865">
        <v>1120</v>
      </c>
      <c r="B13" s="866" t="s">
        <v>2</v>
      </c>
      <c r="C13" s="289">
        <v>18485</v>
      </c>
      <c r="D13" s="177">
        <v>490669</v>
      </c>
      <c r="E13" s="289">
        <v>18741</v>
      </c>
      <c r="F13" s="177">
        <v>496786</v>
      </c>
      <c r="G13" s="289">
        <v>18970</v>
      </c>
      <c r="H13" s="177">
        <v>534018</v>
      </c>
      <c r="I13" s="289">
        <v>19042</v>
      </c>
      <c r="J13" s="177">
        <v>526351</v>
      </c>
      <c r="K13" s="289">
        <v>19217</v>
      </c>
      <c r="L13" s="177">
        <v>545564</v>
      </c>
      <c r="M13" s="289">
        <v>19354</v>
      </c>
      <c r="N13" s="177">
        <v>563843.05656518438</v>
      </c>
      <c r="P13" s="517"/>
      <c r="S13" s="177"/>
    </row>
    <row r="14" spans="1:19" ht="13">
      <c r="A14" s="865">
        <v>1121</v>
      </c>
      <c r="B14" s="866" t="s">
        <v>3</v>
      </c>
      <c r="C14" s="289">
        <v>17897</v>
      </c>
      <c r="D14" s="177">
        <v>477840</v>
      </c>
      <c r="E14" s="289">
        <v>18306</v>
      </c>
      <c r="F14" s="177">
        <v>493393</v>
      </c>
      <c r="G14" s="289">
        <v>18572</v>
      </c>
      <c r="H14" s="177">
        <v>534004</v>
      </c>
      <c r="I14" s="289">
        <v>18656</v>
      </c>
      <c r="J14" s="177">
        <v>529636</v>
      </c>
      <c r="K14" s="289">
        <v>18699</v>
      </c>
      <c r="L14" s="177">
        <v>540548</v>
      </c>
      <c r="M14" s="289">
        <v>18795</v>
      </c>
      <c r="N14" s="177">
        <v>559729.01973047981</v>
      </c>
      <c r="P14" s="517"/>
      <c r="S14" s="177"/>
    </row>
    <row r="15" spans="1:19" ht="13">
      <c r="A15" s="865">
        <v>1122</v>
      </c>
      <c r="B15" s="866" t="s">
        <v>4</v>
      </c>
      <c r="C15" s="289">
        <v>11317</v>
      </c>
      <c r="D15" s="177">
        <v>281779</v>
      </c>
      <c r="E15" s="289">
        <v>11600</v>
      </c>
      <c r="F15" s="177">
        <v>293175</v>
      </c>
      <c r="G15" s="289">
        <v>11853</v>
      </c>
      <c r="H15" s="177">
        <v>310148</v>
      </c>
      <c r="I15" s="289">
        <v>11902</v>
      </c>
      <c r="J15" s="177">
        <v>305892</v>
      </c>
      <c r="K15" s="289">
        <v>11866</v>
      </c>
      <c r="L15" s="177">
        <v>315579</v>
      </c>
      <c r="M15" s="289">
        <v>11899</v>
      </c>
      <c r="N15" s="177">
        <v>322945.97815733589</v>
      </c>
      <c r="P15" s="517"/>
      <c r="S15" s="177"/>
    </row>
    <row r="16" spans="1:19" ht="13">
      <c r="A16" s="865">
        <v>1124</v>
      </c>
      <c r="B16" s="866" t="s">
        <v>5</v>
      </c>
      <c r="C16" s="289">
        <v>25083</v>
      </c>
      <c r="D16" s="177">
        <v>894740</v>
      </c>
      <c r="E16" s="289">
        <v>25708</v>
      </c>
      <c r="F16" s="177">
        <v>961647</v>
      </c>
      <c r="G16" s="289">
        <v>26096</v>
      </c>
      <c r="H16" s="177">
        <v>986777</v>
      </c>
      <c r="I16" s="289">
        <v>26016</v>
      </c>
      <c r="J16" s="177">
        <v>945204</v>
      </c>
      <c r="K16" s="289">
        <v>26265</v>
      </c>
      <c r="L16" s="177">
        <v>971476</v>
      </c>
      <c r="M16" s="289">
        <v>26582</v>
      </c>
      <c r="N16" s="177">
        <v>1022698.1786932413</v>
      </c>
      <c r="P16" s="517"/>
      <c r="S16" s="177"/>
    </row>
    <row r="17" spans="1:19" ht="13">
      <c r="A17" s="865">
        <v>1127</v>
      </c>
      <c r="B17" s="866" t="s">
        <v>6</v>
      </c>
      <c r="C17" s="289">
        <v>10416</v>
      </c>
      <c r="D17" s="177">
        <v>337979</v>
      </c>
      <c r="E17" s="289">
        <v>10556</v>
      </c>
      <c r="F17" s="177">
        <v>344173</v>
      </c>
      <c r="G17" s="289">
        <v>10737</v>
      </c>
      <c r="H17" s="177">
        <v>354504</v>
      </c>
      <c r="I17" s="289">
        <v>10873</v>
      </c>
      <c r="J17" s="177">
        <v>341416</v>
      </c>
      <c r="K17" s="289">
        <v>10972</v>
      </c>
      <c r="L17" s="177">
        <v>354189</v>
      </c>
      <c r="M17" s="289">
        <v>11053</v>
      </c>
      <c r="N17" s="177">
        <v>370019.73112529516</v>
      </c>
      <c r="P17" s="517"/>
      <c r="S17" s="177"/>
    </row>
    <row r="18" spans="1:19" ht="13">
      <c r="A18" s="889">
        <v>1130</v>
      </c>
      <c r="B18" s="890" t="s">
        <v>12</v>
      </c>
      <c r="C18" s="289">
        <v>12302</v>
      </c>
      <c r="D18" s="177">
        <v>300285.32608695654</v>
      </c>
      <c r="E18" s="289">
        <v>12558</v>
      </c>
      <c r="F18" s="177">
        <v>305654.9453642384</v>
      </c>
      <c r="G18" s="289">
        <v>12627</v>
      </c>
      <c r="H18" s="177">
        <v>334163.54200323101</v>
      </c>
      <c r="I18" s="289">
        <v>12825</v>
      </c>
      <c r="J18" s="177">
        <v>340050.6</v>
      </c>
      <c r="K18" s="289">
        <v>12801</v>
      </c>
      <c r="L18" s="177">
        <v>348450.96067415731</v>
      </c>
      <c r="M18" s="289">
        <v>12883</v>
      </c>
      <c r="N18" s="177">
        <v>357426.70882890408</v>
      </c>
      <c r="P18" s="517"/>
      <c r="S18" s="177"/>
    </row>
    <row r="19" spans="1:19" ht="13">
      <c r="A19" s="889">
        <v>1133</v>
      </c>
      <c r="B19" s="890" t="s">
        <v>13</v>
      </c>
      <c r="C19" s="289">
        <v>2712</v>
      </c>
      <c r="D19" s="177">
        <v>84138.170075349844</v>
      </c>
      <c r="E19" s="289">
        <v>2710</v>
      </c>
      <c r="F19" s="177">
        <v>89108.886894075404</v>
      </c>
      <c r="G19" s="289">
        <v>2662</v>
      </c>
      <c r="H19" s="177">
        <v>91832.678114724156</v>
      </c>
      <c r="I19" s="289">
        <v>2633</v>
      </c>
      <c r="J19" s="177">
        <v>92439.88515509601</v>
      </c>
      <c r="K19" s="289">
        <v>2648</v>
      </c>
      <c r="L19" s="177">
        <v>92140.286448769737</v>
      </c>
      <c r="M19" s="289">
        <v>2609</v>
      </c>
      <c r="N19" s="177">
        <v>93796.680316020531</v>
      </c>
      <c r="P19" s="517"/>
      <c r="S19" s="177"/>
    </row>
    <row r="20" spans="1:19" ht="13">
      <c r="A20" s="865">
        <v>1134</v>
      </c>
      <c r="B20" s="866" t="s">
        <v>14</v>
      </c>
      <c r="C20" s="289">
        <v>3881</v>
      </c>
      <c r="D20" s="177">
        <v>128925</v>
      </c>
      <c r="E20" s="289">
        <v>3892</v>
      </c>
      <c r="F20" s="177">
        <v>135306</v>
      </c>
      <c r="G20" s="289">
        <v>3903</v>
      </c>
      <c r="H20" s="177">
        <v>141024</v>
      </c>
      <c r="I20" s="289">
        <v>3853</v>
      </c>
      <c r="J20" s="177">
        <v>145448</v>
      </c>
      <c r="K20" s="289">
        <v>3849</v>
      </c>
      <c r="L20" s="177">
        <v>153606</v>
      </c>
      <c r="M20" s="289">
        <v>3794</v>
      </c>
      <c r="N20" s="177">
        <v>148402.18677291434</v>
      </c>
      <c r="P20" s="517"/>
      <c r="S20" s="177"/>
    </row>
    <row r="21" spans="1:19" ht="13">
      <c r="A21" s="865">
        <v>1135</v>
      </c>
      <c r="B21" s="866" t="s">
        <v>15</v>
      </c>
      <c r="C21" s="289">
        <v>4760</v>
      </c>
      <c r="D21" s="177">
        <v>127106</v>
      </c>
      <c r="E21" s="289">
        <v>4756</v>
      </c>
      <c r="F21" s="177">
        <v>134334</v>
      </c>
      <c r="G21" s="289">
        <v>4710</v>
      </c>
      <c r="H21" s="177">
        <v>112299</v>
      </c>
      <c r="I21" s="289">
        <v>4760</v>
      </c>
      <c r="J21" s="177">
        <v>154229</v>
      </c>
      <c r="K21" s="289">
        <v>4663</v>
      </c>
      <c r="L21" s="177">
        <v>132320</v>
      </c>
      <c r="M21" s="289">
        <v>4597</v>
      </c>
      <c r="N21" s="177">
        <v>134132.10928925395</v>
      </c>
      <c r="P21" s="517"/>
      <c r="S21" s="177"/>
    </row>
    <row r="22" spans="1:19" ht="13">
      <c r="A22" s="865">
        <v>1144</v>
      </c>
      <c r="B22" s="866" t="s">
        <v>18</v>
      </c>
      <c r="C22" s="289">
        <v>531</v>
      </c>
      <c r="D22" s="177">
        <v>11917</v>
      </c>
      <c r="E22" s="289">
        <v>534</v>
      </c>
      <c r="F22" s="177">
        <v>12526</v>
      </c>
      <c r="G22" s="289">
        <v>524</v>
      </c>
      <c r="H22" s="177">
        <v>12573</v>
      </c>
      <c r="I22" s="289">
        <v>534</v>
      </c>
      <c r="J22" s="177">
        <v>15385</v>
      </c>
      <c r="K22" s="289">
        <v>542</v>
      </c>
      <c r="L22" s="177">
        <v>14773</v>
      </c>
      <c r="M22" s="289">
        <v>516</v>
      </c>
      <c r="N22" s="177">
        <v>14277.424999577102</v>
      </c>
      <c r="P22" s="517"/>
      <c r="S22" s="177"/>
    </row>
    <row r="23" spans="1:19" ht="13">
      <c r="A23" s="865">
        <v>1145</v>
      </c>
      <c r="B23" s="866" t="s">
        <v>19</v>
      </c>
      <c r="C23" s="289">
        <v>868</v>
      </c>
      <c r="D23" s="177">
        <v>19718</v>
      </c>
      <c r="E23" s="289">
        <v>865</v>
      </c>
      <c r="F23" s="177">
        <v>19578</v>
      </c>
      <c r="G23" s="289">
        <v>865</v>
      </c>
      <c r="H23" s="177">
        <v>20265</v>
      </c>
      <c r="I23" s="289">
        <v>855</v>
      </c>
      <c r="J23" s="177">
        <v>20969</v>
      </c>
      <c r="K23" s="289">
        <v>844</v>
      </c>
      <c r="L23" s="177">
        <v>21260</v>
      </c>
      <c r="M23" s="289">
        <v>840</v>
      </c>
      <c r="N23" s="177">
        <v>21247.171696689482</v>
      </c>
      <c r="P23" s="517"/>
      <c r="S23" s="177"/>
    </row>
    <row r="24" spans="1:19" ht="13">
      <c r="A24" s="865">
        <v>1146</v>
      </c>
      <c r="B24" s="866" t="s">
        <v>20</v>
      </c>
      <c r="C24" s="289">
        <v>10668</v>
      </c>
      <c r="D24" s="177">
        <v>246736</v>
      </c>
      <c r="E24" s="289">
        <v>10857</v>
      </c>
      <c r="F24" s="177">
        <v>255555</v>
      </c>
      <c r="G24" s="289">
        <v>10925</v>
      </c>
      <c r="H24" s="177">
        <v>264000</v>
      </c>
      <c r="I24" s="289">
        <v>11041</v>
      </c>
      <c r="J24" s="177">
        <v>279974</v>
      </c>
      <c r="K24" s="289">
        <v>11023</v>
      </c>
      <c r="L24" s="177">
        <v>296653</v>
      </c>
      <c r="M24" s="289">
        <v>11028</v>
      </c>
      <c r="N24" s="177">
        <v>291389.02441482386</v>
      </c>
      <c r="P24" s="517"/>
      <c r="S24" s="177"/>
    </row>
    <row r="25" spans="1:19" ht="13">
      <c r="A25" s="865">
        <v>1149</v>
      </c>
      <c r="B25" s="866" t="s">
        <v>21</v>
      </c>
      <c r="C25" s="289">
        <v>41753</v>
      </c>
      <c r="D25" s="177">
        <v>951724</v>
      </c>
      <c r="E25" s="289">
        <v>42062</v>
      </c>
      <c r="F25" s="177">
        <v>983888</v>
      </c>
      <c r="G25" s="289">
        <v>42187</v>
      </c>
      <c r="H25" s="177">
        <v>1031685</v>
      </c>
      <c r="I25" s="289">
        <v>42229</v>
      </c>
      <c r="J25" s="177">
        <v>1048090</v>
      </c>
      <c r="K25" s="289">
        <v>42243</v>
      </c>
      <c r="L25" s="177">
        <v>1089363</v>
      </c>
      <c r="M25" s="289">
        <v>42161</v>
      </c>
      <c r="N25" s="177">
        <v>1094669.1411341305</v>
      </c>
      <c r="P25" s="517"/>
      <c r="S25" s="177"/>
    </row>
    <row r="26" spans="1:19" ht="13">
      <c r="A26" s="865">
        <v>1151</v>
      </c>
      <c r="B26" s="866" t="s">
        <v>22</v>
      </c>
      <c r="C26" s="289">
        <v>211</v>
      </c>
      <c r="D26" s="177">
        <v>5164</v>
      </c>
      <c r="E26" s="289">
        <v>206</v>
      </c>
      <c r="F26" s="177">
        <v>5153</v>
      </c>
      <c r="G26" s="289">
        <v>200</v>
      </c>
      <c r="H26" s="177">
        <v>4581</v>
      </c>
      <c r="I26" s="289">
        <v>201</v>
      </c>
      <c r="J26" s="177">
        <v>4747</v>
      </c>
      <c r="K26" s="289">
        <v>208</v>
      </c>
      <c r="L26" s="177">
        <v>5467</v>
      </c>
      <c r="M26" s="289">
        <v>196</v>
      </c>
      <c r="N26" s="177">
        <v>4931.3616739067538</v>
      </c>
      <c r="P26" s="517"/>
      <c r="S26" s="177"/>
    </row>
    <row r="27" spans="1:19" ht="13">
      <c r="A27" s="865">
        <v>1160</v>
      </c>
      <c r="B27" s="866" t="s">
        <v>1543</v>
      </c>
      <c r="C27" s="289">
        <v>8747</v>
      </c>
      <c r="D27" s="177">
        <v>219287</v>
      </c>
      <c r="E27" s="289">
        <v>8765</v>
      </c>
      <c r="F27" s="177">
        <v>224845</v>
      </c>
      <c r="G27" s="289">
        <v>8788</v>
      </c>
      <c r="H27" s="177">
        <v>241047</v>
      </c>
      <c r="I27" s="289">
        <v>8828</v>
      </c>
      <c r="J27" s="177">
        <v>300936</v>
      </c>
      <c r="K27" s="289">
        <v>8793</v>
      </c>
      <c r="L27" s="177">
        <v>278332</v>
      </c>
      <c r="M27" s="289">
        <v>8743</v>
      </c>
      <c r="N27" s="177">
        <v>281478.63561291987</v>
      </c>
      <c r="P27" s="517"/>
      <c r="S27" s="177"/>
    </row>
    <row r="28" spans="1:19" ht="13">
      <c r="A28" s="865">
        <v>1505</v>
      </c>
      <c r="B28" s="866" t="s">
        <v>1654</v>
      </c>
      <c r="C28" s="289">
        <v>24395</v>
      </c>
      <c r="D28" s="177">
        <v>563921</v>
      </c>
      <c r="E28" s="289">
        <v>24507</v>
      </c>
      <c r="F28" s="177">
        <v>582836</v>
      </c>
      <c r="G28" s="289">
        <v>24526</v>
      </c>
      <c r="H28" s="177">
        <v>605657</v>
      </c>
      <c r="I28" s="289">
        <v>24442</v>
      </c>
      <c r="J28" s="177">
        <v>613661</v>
      </c>
      <c r="K28" s="289">
        <v>24300</v>
      </c>
      <c r="L28" s="177">
        <v>637871</v>
      </c>
      <c r="M28" s="289">
        <v>24274</v>
      </c>
      <c r="N28" s="177">
        <v>638497.76718141104</v>
      </c>
      <c r="P28" s="517"/>
      <c r="S28" s="177"/>
    </row>
    <row r="29" spans="1:19" ht="13">
      <c r="A29" s="878">
        <v>1506</v>
      </c>
      <c r="B29" s="883" t="s">
        <v>1611</v>
      </c>
      <c r="C29" s="289">
        <v>31085</v>
      </c>
      <c r="D29" s="177">
        <v>758360</v>
      </c>
      <c r="E29" s="289">
        <v>31435</v>
      </c>
      <c r="F29" s="177">
        <v>807102</v>
      </c>
      <c r="G29" s="289">
        <v>31790</v>
      </c>
      <c r="H29" s="177">
        <v>848047</v>
      </c>
      <c r="I29" s="289">
        <v>31870</v>
      </c>
      <c r="J29" s="177">
        <v>878122</v>
      </c>
      <c r="K29" s="289">
        <v>31895</v>
      </c>
      <c r="L29" s="177">
        <v>913522</v>
      </c>
      <c r="M29" s="289">
        <v>31976</v>
      </c>
      <c r="N29" s="177">
        <v>916233.05983983632</v>
      </c>
      <c r="P29" s="517"/>
      <c r="S29" s="177"/>
    </row>
    <row r="30" spans="1:19" ht="13">
      <c r="A30" s="878">
        <v>1507</v>
      </c>
      <c r="B30" s="883" t="s">
        <v>1612</v>
      </c>
      <c r="C30" s="289">
        <v>62792</v>
      </c>
      <c r="D30" s="177">
        <v>1568704.6778210117</v>
      </c>
      <c r="E30" s="289">
        <v>63445</v>
      </c>
      <c r="F30" s="177">
        <v>1625557.3122028527</v>
      </c>
      <c r="G30" s="289">
        <v>64135</v>
      </c>
      <c r="H30" s="177">
        <v>1736187.8188976378</v>
      </c>
      <c r="I30" s="289">
        <v>64708</v>
      </c>
      <c r="J30" s="177">
        <v>1804683.9454253612</v>
      </c>
      <c r="K30" s="289">
        <v>65053</v>
      </c>
      <c r="L30" s="177">
        <v>1924583.8622327792</v>
      </c>
      <c r="M30" s="289">
        <v>65621</v>
      </c>
      <c r="N30" s="177">
        <v>1918501.1501202213</v>
      </c>
      <c r="P30" s="517"/>
      <c r="S30" s="177"/>
    </row>
    <row r="31" spans="1:19" ht="13">
      <c r="A31" s="865">
        <v>1511</v>
      </c>
      <c r="B31" s="866" t="s">
        <v>86</v>
      </c>
      <c r="C31" s="289">
        <v>3302</v>
      </c>
      <c r="D31" s="177">
        <v>72479</v>
      </c>
      <c r="E31" s="289">
        <v>3258</v>
      </c>
      <c r="F31" s="177">
        <v>74410</v>
      </c>
      <c r="G31" s="289">
        <v>3256</v>
      </c>
      <c r="H31" s="177">
        <v>74821</v>
      </c>
      <c r="I31" s="289">
        <v>3203</v>
      </c>
      <c r="J31" s="177">
        <v>77373</v>
      </c>
      <c r="K31" s="289">
        <v>3187</v>
      </c>
      <c r="L31" s="177">
        <v>83683</v>
      </c>
      <c r="M31" s="289">
        <v>3163</v>
      </c>
      <c r="N31" s="177">
        <v>80219.096951081781</v>
      </c>
      <c r="P31" s="517"/>
      <c r="S31" s="177"/>
    </row>
    <row r="32" spans="1:19" ht="13">
      <c r="A32" s="865">
        <v>1514</v>
      </c>
      <c r="B32" s="866" t="s">
        <v>897</v>
      </c>
      <c r="C32" s="289">
        <v>2636</v>
      </c>
      <c r="D32" s="177">
        <v>55999</v>
      </c>
      <c r="E32" s="289">
        <v>2635</v>
      </c>
      <c r="F32" s="177">
        <v>62048</v>
      </c>
      <c r="G32" s="289">
        <v>2559</v>
      </c>
      <c r="H32" s="177">
        <v>63984</v>
      </c>
      <c r="I32" s="289">
        <v>2540</v>
      </c>
      <c r="J32" s="177">
        <v>61235</v>
      </c>
      <c r="K32" s="289">
        <v>2522</v>
      </c>
      <c r="L32" s="177">
        <v>68936</v>
      </c>
      <c r="M32" s="289">
        <v>2493</v>
      </c>
      <c r="N32" s="177">
        <v>65896.780100651711</v>
      </c>
      <c r="P32" s="517"/>
      <c r="S32" s="177"/>
    </row>
    <row r="33" spans="1:19" ht="13">
      <c r="A33" s="865">
        <v>1515</v>
      </c>
      <c r="B33" s="866" t="s">
        <v>87</v>
      </c>
      <c r="C33" s="289">
        <v>8847</v>
      </c>
      <c r="D33" s="177">
        <v>231216</v>
      </c>
      <c r="E33" s="289">
        <v>8934</v>
      </c>
      <c r="F33" s="177">
        <v>248460</v>
      </c>
      <c r="G33" s="289">
        <v>8972</v>
      </c>
      <c r="H33" s="177">
        <v>260046</v>
      </c>
      <c r="I33" s="289">
        <v>8957</v>
      </c>
      <c r="J33" s="177">
        <v>261503</v>
      </c>
      <c r="K33" s="289">
        <v>8965</v>
      </c>
      <c r="L33" s="177">
        <v>270116</v>
      </c>
      <c r="M33" s="289">
        <v>8927</v>
      </c>
      <c r="N33" s="177">
        <v>272729.98610526929</v>
      </c>
      <c r="P33" s="517"/>
      <c r="S33" s="177"/>
    </row>
    <row r="34" spans="1:19" ht="13">
      <c r="A34" s="865">
        <v>1516</v>
      </c>
      <c r="B34" s="866" t="s">
        <v>88</v>
      </c>
      <c r="C34" s="289">
        <v>8092</v>
      </c>
      <c r="D34" s="177">
        <v>242269</v>
      </c>
      <c r="E34" s="289">
        <v>8292</v>
      </c>
      <c r="F34" s="177">
        <v>257483</v>
      </c>
      <c r="G34" s="289">
        <v>8430</v>
      </c>
      <c r="H34" s="177">
        <v>245408</v>
      </c>
      <c r="I34" s="289">
        <v>8457</v>
      </c>
      <c r="J34" s="177">
        <v>249381</v>
      </c>
      <c r="K34" s="289">
        <v>8555</v>
      </c>
      <c r="L34" s="177">
        <v>262420</v>
      </c>
      <c r="M34" s="289">
        <v>8609</v>
      </c>
      <c r="N34" s="177">
        <v>265846.75815175148</v>
      </c>
      <c r="P34" s="517"/>
      <c r="S34" s="177"/>
    </row>
    <row r="35" spans="1:19" ht="13">
      <c r="A35" s="865">
        <v>1517</v>
      </c>
      <c r="B35" s="866" t="s">
        <v>89</v>
      </c>
      <c r="C35" s="289">
        <v>5021</v>
      </c>
      <c r="D35" s="177">
        <v>112102</v>
      </c>
      <c r="E35" s="289">
        <v>5065</v>
      </c>
      <c r="F35" s="177">
        <v>114254</v>
      </c>
      <c r="G35" s="289">
        <v>5189</v>
      </c>
      <c r="H35" s="177">
        <v>119524</v>
      </c>
      <c r="I35" s="289">
        <v>5185</v>
      </c>
      <c r="J35" s="177">
        <v>120422</v>
      </c>
      <c r="K35" s="289">
        <v>5150</v>
      </c>
      <c r="L35" s="177">
        <v>124236</v>
      </c>
      <c r="M35" s="289">
        <v>5155</v>
      </c>
      <c r="N35" s="177">
        <v>125510.09577882788</v>
      </c>
      <c r="P35" s="517"/>
      <c r="S35" s="177"/>
    </row>
    <row r="36" spans="1:19" ht="13">
      <c r="A36" s="889">
        <v>1520</v>
      </c>
      <c r="B36" s="890" t="s">
        <v>91</v>
      </c>
      <c r="C36" s="289">
        <v>10431</v>
      </c>
      <c r="D36" s="177">
        <v>228637.50085421413</v>
      </c>
      <c r="E36" s="289">
        <v>10484</v>
      </c>
      <c r="F36" s="177">
        <v>245617.08074416849</v>
      </c>
      <c r="G36" s="289">
        <v>10572</v>
      </c>
      <c r="H36" s="177">
        <v>254882.53329586962</v>
      </c>
      <c r="I36" s="289">
        <v>10639</v>
      </c>
      <c r="J36" s="177">
        <v>265848.25093075202</v>
      </c>
      <c r="K36" s="289">
        <v>10707</v>
      </c>
      <c r="L36" s="177">
        <v>274425.79716981133</v>
      </c>
      <c r="M36" s="289">
        <v>10752</v>
      </c>
      <c r="N36" s="177">
        <v>277778.0245294809</v>
      </c>
      <c r="P36" s="517"/>
      <c r="S36" s="177"/>
    </row>
    <row r="37" spans="1:19" ht="13">
      <c r="A37" s="865">
        <v>1525</v>
      </c>
      <c r="B37" s="866" t="s">
        <v>94</v>
      </c>
      <c r="C37" s="289">
        <v>4616</v>
      </c>
      <c r="D37" s="177">
        <v>102920</v>
      </c>
      <c r="E37" s="289">
        <v>4605</v>
      </c>
      <c r="F37" s="177">
        <v>104690</v>
      </c>
      <c r="G37" s="289">
        <v>4598</v>
      </c>
      <c r="H37" s="177">
        <v>117534</v>
      </c>
      <c r="I37" s="289">
        <v>4623</v>
      </c>
      <c r="J37" s="177">
        <v>121163</v>
      </c>
      <c r="K37" s="289">
        <v>4587</v>
      </c>
      <c r="L37" s="177">
        <v>127019</v>
      </c>
      <c r="M37" s="289">
        <v>4565</v>
      </c>
      <c r="N37" s="177">
        <v>125433.14197123368</v>
      </c>
      <c r="P37" s="517"/>
      <c r="S37" s="177"/>
    </row>
    <row r="38" spans="1:19" ht="13">
      <c r="A38" s="865">
        <v>1528</v>
      </c>
      <c r="B38" s="866" t="s">
        <v>96</v>
      </c>
      <c r="C38" s="289">
        <v>7730</v>
      </c>
      <c r="D38" s="177">
        <v>157880</v>
      </c>
      <c r="E38" s="289">
        <v>7707</v>
      </c>
      <c r="F38" s="177">
        <v>165427</v>
      </c>
      <c r="G38" s="289">
        <v>7675</v>
      </c>
      <c r="H38" s="177">
        <v>176372</v>
      </c>
      <c r="I38" s="289">
        <v>7695</v>
      </c>
      <c r="J38" s="177">
        <v>182002</v>
      </c>
      <c r="K38" s="289">
        <v>7695</v>
      </c>
      <c r="L38" s="177">
        <v>194273</v>
      </c>
      <c r="M38" s="289">
        <v>7657</v>
      </c>
      <c r="N38" s="177">
        <v>190288.63236263115</v>
      </c>
      <c r="P38" s="517"/>
      <c r="S38" s="177"/>
    </row>
    <row r="39" spans="1:19" ht="13">
      <c r="A39" s="865">
        <v>1531</v>
      </c>
      <c r="B39" s="866" t="s">
        <v>98</v>
      </c>
      <c r="C39" s="289">
        <v>8651</v>
      </c>
      <c r="D39" s="177">
        <v>178416</v>
      </c>
      <c r="E39" s="289">
        <v>8855</v>
      </c>
      <c r="F39" s="177">
        <v>190618</v>
      </c>
      <c r="G39" s="289">
        <v>8952</v>
      </c>
      <c r="H39" s="177">
        <v>205516</v>
      </c>
      <c r="I39" s="289">
        <v>9007</v>
      </c>
      <c r="J39" s="177">
        <v>218659</v>
      </c>
      <c r="K39" s="289">
        <v>9131</v>
      </c>
      <c r="L39" s="177">
        <v>225657</v>
      </c>
      <c r="M39" s="289">
        <v>9271</v>
      </c>
      <c r="N39" s="177">
        <v>230667.43174956273</v>
      </c>
      <c r="P39" s="517"/>
      <c r="S39" s="177"/>
    </row>
    <row r="40" spans="1:19" ht="13">
      <c r="A40" s="865">
        <v>1532</v>
      </c>
      <c r="B40" s="866" t="s">
        <v>99</v>
      </c>
      <c r="C40" s="289">
        <v>7739</v>
      </c>
      <c r="D40" s="177">
        <v>176985</v>
      </c>
      <c r="E40" s="289">
        <v>7924</v>
      </c>
      <c r="F40" s="177">
        <v>191013</v>
      </c>
      <c r="G40" s="289">
        <v>8094</v>
      </c>
      <c r="H40" s="177">
        <v>202891</v>
      </c>
      <c r="I40" s="289">
        <v>8176</v>
      </c>
      <c r="J40" s="177">
        <v>211132</v>
      </c>
      <c r="K40" s="289">
        <v>8292</v>
      </c>
      <c r="L40" s="177">
        <v>225895</v>
      </c>
      <c r="M40" s="289">
        <v>8398</v>
      </c>
      <c r="N40" s="177">
        <v>226889.3046055774</v>
      </c>
      <c r="P40" s="517"/>
      <c r="S40" s="177"/>
    </row>
    <row r="41" spans="1:19" ht="13">
      <c r="A41" s="865">
        <v>1535</v>
      </c>
      <c r="B41" s="866" t="s">
        <v>101</v>
      </c>
      <c r="C41" s="289">
        <v>6615</v>
      </c>
      <c r="D41" s="177">
        <v>148221</v>
      </c>
      <c r="E41" s="289">
        <v>6708</v>
      </c>
      <c r="F41" s="177">
        <v>156759</v>
      </c>
      <c r="G41" s="289">
        <v>6611</v>
      </c>
      <c r="H41" s="177">
        <v>156952</v>
      </c>
      <c r="I41" s="289">
        <v>6577</v>
      </c>
      <c r="J41" s="177">
        <v>160490</v>
      </c>
      <c r="K41" s="289">
        <v>6559</v>
      </c>
      <c r="L41" s="177">
        <v>176646</v>
      </c>
      <c r="M41" s="289">
        <v>6536</v>
      </c>
      <c r="N41" s="177">
        <v>169592.48429083367</v>
      </c>
      <c r="P41" s="517"/>
      <c r="S41" s="177"/>
    </row>
    <row r="42" spans="1:19" ht="13">
      <c r="A42" s="865">
        <v>1539</v>
      </c>
      <c r="B42" s="866" t="s">
        <v>102</v>
      </c>
      <c r="C42" s="289">
        <v>7453</v>
      </c>
      <c r="D42" s="177">
        <v>173016</v>
      </c>
      <c r="E42" s="289">
        <v>7445</v>
      </c>
      <c r="F42" s="177">
        <v>177886</v>
      </c>
      <c r="G42" s="289">
        <v>7492</v>
      </c>
      <c r="H42" s="177">
        <v>183416</v>
      </c>
      <c r="I42" s="289">
        <v>7503</v>
      </c>
      <c r="J42" s="177">
        <v>192778</v>
      </c>
      <c r="K42" s="289">
        <v>7507</v>
      </c>
      <c r="L42" s="177">
        <v>207857</v>
      </c>
      <c r="M42" s="289">
        <v>7487</v>
      </c>
      <c r="N42" s="177">
        <v>201392.82234593085</v>
      </c>
      <c r="P42" s="517"/>
      <c r="S42" s="177"/>
    </row>
    <row r="43" spans="1:19" ht="13">
      <c r="A43" s="889">
        <v>1547</v>
      </c>
      <c r="B43" s="890" t="s">
        <v>106</v>
      </c>
      <c r="C43" s="289">
        <v>3389</v>
      </c>
      <c r="D43" s="177">
        <v>84555.322178988325</v>
      </c>
      <c r="E43" s="289">
        <v>3478</v>
      </c>
      <c r="F43" s="177">
        <v>91901.687797147388</v>
      </c>
      <c r="G43" s="289">
        <v>3530</v>
      </c>
      <c r="H43" s="177">
        <v>97649.181102362199</v>
      </c>
      <c r="I43" s="289">
        <v>3559</v>
      </c>
      <c r="J43" s="177">
        <v>102780.05457463884</v>
      </c>
      <c r="K43" s="289">
        <v>3569</v>
      </c>
      <c r="L43" s="177">
        <v>97440.137767220906</v>
      </c>
      <c r="M43" s="289">
        <v>3551</v>
      </c>
      <c r="N43" s="177">
        <v>103054.67091195319</v>
      </c>
      <c r="P43" s="517"/>
      <c r="S43" s="177"/>
    </row>
    <row r="44" spans="1:19" ht="13">
      <c r="A44" s="865">
        <v>1554</v>
      </c>
      <c r="B44" s="866" t="s">
        <v>109</v>
      </c>
      <c r="C44" s="289">
        <v>5687</v>
      </c>
      <c r="D44" s="177">
        <v>125329</v>
      </c>
      <c r="E44" s="289">
        <v>5794</v>
      </c>
      <c r="F44" s="177">
        <v>136191</v>
      </c>
      <c r="G44" s="289">
        <v>5826</v>
      </c>
      <c r="H44" s="177">
        <v>146606</v>
      </c>
      <c r="I44" s="289">
        <v>5856</v>
      </c>
      <c r="J44" s="177">
        <v>150786</v>
      </c>
      <c r="K44" s="289">
        <v>5859</v>
      </c>
      <c r="L44" s="177">
        <v>153466</v>
      </c>
      <c r="M44" s="289">
        <v>5849</v>
      </c>
      <c r="N44" s="177">
        <v>156020.07702174655</v>
      </c>
      <c r="P44" s="517"/>
      <c r="S44" s="177"/>
    </row>
    <row r="45" spans="1:19" ht="13">
      <c r="A45" s="865">
        <v>1557</v>
      </c>
      <c r="B45" s="866" t="s">
        <v>110</v>
      </c>
      <c r="C45" s="289">
        <v>2565</v>
      </c>
      <c r="D45" s="177">
        <v>54164</v>
      </c>
      <c r="E45" s="289">
        <v>2580</v>
      </c>
      <c r="F45" s="177">
        <v>59425</v>
      </c>
      <c r="G45" s="289">
        <v>2593</v>
      </c>
      <c r="H45" s="177">
        <v>59460</v>
      </c>
      <c r="I45" s="289">
        <v>2611</v>
      </c>
      <c r="J45" s="177">
        <v>60402</v>
      </c>
      <c r="K45" s="289">
        <v>2623</v>
      </c>
      <c r="L45" s="177">
        <v>63780</v>
      </c>
      <c r="M45" s="289">
        <v>2641</v>
      </c>
      <c r="N45" s="177">
        <v>64290.24753346917</v>
      </c>
      <c r="P45" s="517"/>
      <c r="S45" s="177"/>
    </row>
    <row r="46" spans="1:19" ht="13">
      <c r="A46" s="865">
        <v>1560</v>
      </c>
      <c r="B46" s="866" t="s">
        <v>111</v>
      </c>
      <c r="C46" s="289">
        <v>3064</v>
      </c>
      <c r="D46" s="177">
        <v>56739</v>
      </c>
      <c r="E46" s="289">
        <v>3090</v>
      </c>
      <c r="F46" s="177">
        <v>60801</v>
      </c>
      <c r="G46" s="289">
        <v>3103</v>
      </c>
      <c r="H46" s="177">
        <v>68044</v>
      </c>
      <c r="I46" s="289">
        <v>3109</v>
      </c>
      <c r="J46" s="177">
        <v>68507</v>
      </c>
      <c r="K46" s="289">
        <v>3078</v>
      </c>
      <c r="L46" s="177">
        <v>70887</v>
      </c>
      <c r="M46" s="289">
        <v>3045</v>
      </c>
      <c r="N46" s="177">
        <v>70565.637998857434</v>
      </c>
      <c r="P46" s="517"/>
      <c r="S46" s="177"/>
    </row>
    <row r="47" spans="1:19" ht="13">
      <c r="A47" s="865">
        <v>1563</v>
      </c>
      <c r="B47" s="866" t="s">
        <v>112</v>
      </c>
      <c r="C47" s="289">
        <v>7171</v>
      </c>
      <c r="D47" s="177">
        <v>169264</v>
      </c>
      <c r="E47" s="289">
        <v>7155</v>
      </c>
      <c r="F47" s="177">
        <v>178481</v>
      </c>
      <c r="G47" s="289">
        <v>7160</v>
      </c>
      <c r="H47" s="177">
        <v>189734</v>
      </c>
      <c r="I47" s="289">
        <v>7126</v>
      </c>
      <c r="J47" s="177">
        <v>195106</v>
      </c>
      <c r="K47" s="289">
        <v>7119</v>
      </c>
      <c r="L47" s="177">
        <v>203672</v>
      </c>
      <c r="M47" s="289">
        <v>7106</v>
      </c>
      <c r="N47" s="177">
        <v>202243.90975467447</v>
      </c>
      <c r="P47" s="517"/>
      <c r="S47" s="177"/>
    </row>
    <row r="48" spans="1:19" ht="13">
      <c r="A48" s="865">
        <v>1566</v>
      </c>
      <c r="B48" s="866" t="s">
        <v>113</v>
      </c>
      <c r="C48" s="289">
        <v>5954</v>
      </c>
      <c r="D48" s="177">
        <v>120188</v>
      </c>
      <c r="E48" s="289">
        <v>5976</v>
      </c>
      <c r="F48" s="177">
        <v>122573</v>
      </c>
      <c r="G48" s="289">
        <v>5969</v>
      </c>
      <c r="H48" s="177">
        <v>132821</v>
      </c>
      <c r="I48" s="289">
        <v>5986</v>
      </c>
      <c r="J48" s="177">
        <v>140387</v>
      </c>
      <c r="K48" s="289">
        <v>5978</v>
      </c>
      <c r="L48" s="177">
        <v>157123</v>
      </c>
      <c r="M48" s="289">
        <v>5928</v>
      </c>
      <c r="N48" s="177">
        <v>147222.32570726867</v>
      </c>
      <c r="P48" s="517"/>
      <c r="S48" s="177"/>
    </row>
    <row r="49" spans="1:19" ht="13">
      <c r="A49" s="865">
        <v>1573</v>
      </c>
      <c r="B49" s="866" t="s">
        <v>116</v>
      </c>
      <c r="C49" s="289">
        <v>2166</v>
      </c>
      <c r="D49" s="177">
        <v>42888</v>
      </c>
      <c r="E49" s="289">
        <v>2146</v>
      </c>
      <c r="F49" s="177">
        <v>44088</v>
      </c>
      <c r="G49" s="289">
        <v>2141</v>
      </c>
      <c r="H49" s="177">
        <v>49763</v>
      </c>
      <c r="I49" s="289">
        <v>2160</v>
      </c>
      <c r="J49" s="177">
        <v>54812</v>
      </c>
      <c r="K49" s="289">
        <v>2172</v>
      </c>
      <c r="L49" s="177">
        <v>54874</v>
      </c>
      <c r="M49" s="289">
        <v>2134</v>
      </c>
      <c r="N49" s="177">
        <v>54517.069379998677</v>
      </c>
      <c r="P49" s="517"/>
      <c r="S49" s="177"/>
    </row>
    <row r="50" spans="1:19" ht="13">
      <c r="A50" s="865">
        <v>1576</v>
      </c>
      <c r="B50" s="866" t="s">
        <v>1498</v>
      </c>
      <c r="C50" s="289">
        <v>3577</v>
      </c>
      <c r="D50" s="177">
        <v>72755</v>
      </c>
      <c r="E50" s="289">
        <v>3549</v>
      </c>
      <c r="F50" s="177">
        <v>76165</v>
      </c>
      <c r="G50" s="289">
        <v>3536</v>
      </c>
      <c r="H50" s="177">
        <v>85813</v>
      </c>
      <c r="I50" s="289">
        <v>3590</v>
      </c>
      <c r="J50" s="177">
        <v>89415</v>
      </c>
      <c r="K50" s="289">
        <v>3593</v>
      </c>
      <c r="L50" s="177">
        <v>90980</v>
      </c>
      <c r="M50" s="289">
        <v>3553</v>
      </c>
      <c r="N50" s="177">
        <v>91564.772716266656</v>
      </c>
      <c r="P50" s="517"/>
      <c r="S50" s="177"/>
    </row>
    <row r="51" spans="1:19" ht="13">
      <c r="A51" s="878">
        <v>1577</v>
      </c>
      <c r="B51" s="883" t="s">
        <v>1613</v>
      </c>
      <c r="C51" s="289">
        <v>10223</v>
      </c>
      <c r="D51" s="177">
        <v>208088.69293155856</v>
      </c>
      <c r="E51" s="289">
        <v>10289</v>
      </c>
      <c r="F51" s="177">
        <v>218877.53760144985</v>
      </c>
      <c r="G51" s="289">
        <v>10328</v>
      </c>
      <c r="H51" s="177">
        <v>233142.85670413039</v>
      </c>
      <c r="I51" s="289">
        <v>10391</v>
      </c>
      <c r="J51" s="177">
        <v>236471.04957008266</v>
      </c>
      <c r="K51" s="289">
        <v>10454</v>
      </c>
      <c r="L51" s="177">
        <v>251638.6581493376</v>
      </c>
      <c r="M51" s="289">
        <v>10454</v>
      </c>
      <c r="N51" s="177">
        <v>250962.20871775207</v>
      </c>
      <c r="P51" s="517"/>
      <c r="S51" s="177"/>
    </row>
    <row r="52" spans="1:19" ht="13">
      <c r="A52" s="878">
        <v>1578</v>
      </c>
      <c r="B52" s="883" t="s">
        <v>1614</v>
      </c>
      <c r="C52" s="289">
        <v>2720</v>
      </c>
      <c r="D52" s="177">
        <v>61837</v>
      </c>
      <c r="E52" s="289">
        <v>2719</v>
      </c>
      <c r="F52" s="177">
        <v>62229</v>
      </c>
      <c r="G52" s="289">
        <v>2672</v>
      </c>
      <c r="H52" s="177">
        <v>66338</v>
      </c>
      <c r="I52" s="289">
        <v>2668</v>
      </c>
      <c r="J52" s="177">
        <v>71869</v>
      </c>
      <c r="K52" s="289">
        <v>2642</v>
      </c>
      <c r="L52" s="177">
        <v>70869</v>
      </c>
      <c r="M52" s="289">
        <v>2592</v>
      </c>
      <c r="N52" s="177">
        <v>70407.596878102777</v>
      </c>
      <c r="P52" s="517"/>
      <c r="S52" s="177"/>
    </row>
    <row r="53" spans="1:19" ht="13">
      <c r="A53" s="878">
        <v>1579</v>
      </c>
      <c r="B53" s="883" t="s">
        <v>1615</v>
      </c>
      <c r="C53" s="289">
        <v>13191</v>
      </c>
      <c r="D53" s="177">
        <v>273471</v>
      </c>
      <c r="E53" s="289">
        <v>13250</v>
      </c>
      <c r="F53" s="177">
        <v>288365</v>
      </c>
      <c r="G53" s="289">
        <v>13184</v>
      </c>
      <c r="H53" s="177">
        <v>305060</v>
      </c>
      <c r="I53" s="289">
        <v>13195</v>
      </c>
      <c r="J53" s="177">
        <v>321679</v>
      </c>
      <c r="K53" s="289">
        <v>13215</v>
      </c>
      <c r="L53" s="177">
        <v>339908</v>
      </c>
      <c r="M53" s="289">
        <v>13233</v>
      </c>
      <c r="N53" s="177">
        <v>335030.26541340828</v>
      </c>
      <c r="P53" s="517"/>
      <c r="S53" s="177"/>
    </row>
    <row r="54" spans="1:19" ht="13">
      <c r="A54" s="865">
        <v>1804</v>
      </c>
      <c r="B54" s="866" t="s">
        <v>174</v>
      </c>
      <c r="C54" s="289">
        <v>49731</v>
      </c>
      <c r="D54" s="177">
        <v>1162903</v>
      </c>
      <c r="E54" s="289">
        <v>50185</v>
      </c>
      <c r="F54" s="177">
        <v>1244567</v>
      </c>
      <c r="G54" s="289">
        <v>50488</v>
      </c>
      <c r="H54" s="177">
        <v>1345148</v>
      </c>
      <c r="I54" s="289">
        <v>51022</v>
      </c>
      <c r="J54" s="177">
        <v>1417947</v>
      </c>
      <c r="K54" s="289">
        <v>51558</v>
      </c>
      <c r="L54" s="177">
        <v>1519251</v>
      </c>
      <c r="M54" s="289">
        <v>52024</v>
      </c>
      <c r="N54" s="177">
        <v>1508927.6694490321</v>
      </c>
      <c r="P54" s="517"/>
      <c r="S54" s="177"/>
    </row>
    <row r="55" spans="1:19" ht="13">
      <c r="A55" s="878">
        <v>1806</v>
      </c>
      <c r="B55" s="883" t="s">
        <v>1616</v>
      </c>
      <c r="C55" s="289">
        <v>22220.675324675325</v>
      </c>
      <c r="D55" s="177">
        <v>475891.65194805193</v>
      </c>
      <c r="E55" s="289">
        <v>22356.825974025975</v>
      </c>
      <c r="F55" s="177">
        <v>516688.83376623376</v>
      </c>
      <c r="G55" s="289">
        <v>22255.654545454545</v>
      </c>
      <c r="H55" s="177">
        <v>552195.587012987</v>
      </c>
      <c r="I55" s="289">
        <v>22216.18181818182</v>
      </c>
      <c r="J55" s="177">
        <v>575137.42597402597</v>
      </c>
      <c r="K55" s="289">
        <v>22062.945454545454</v>
      </c>
      <c r="L55" s="177">
        <v>599857.26233766228</v>
      </c>
      <c r="M55" s="289">
        <v>21990</v>
      </c>
      <c r="N55" s="177">
        <v>591965.70512038062</v>
      </c>
      <c r="P55" s="517"/>
      <c r="S55" s="177"/>
    </row>
    <row r="56" spans="1:19" ht="13">
      <c r="A56" s="865">
        <v>1811</v>
      </c>
      <c r="B56" s="866" t="s">
        <v>176</v>
      </c>
      <c r="C56" s="289">
        <v>1503</v>
      </c>
      <c r="D56" s="177">
        <v>30493</v>
      </c>
      <c r="E56" s="289">
        <v>1482</v>
      </c>
      <c r="F56" s="177">
        <v>32052</v>
      </c>
      <c r="G56" s="289">
        <v>1465</v>
      </c>
      <c r="H56" s="177">
        <v>35427</v>
      </c>
      <c r="I56" s="289">
        <v>1473</v>
      </c>
      <c r="J56" s="177">
        <v>37248</v>
      </c>
      <c r="K56" s="289">
        <v>1486</v>
      </c>
      <c r="L56" s="177">
        <v>40198</v>
      </c>
      <c r="M56" s="289">
        <v>1450</v>
      </c>
      <c r="N56" s="177">
        <v>38227.59696787646</v>
      </c>
      <c r="P56" s="517"/>
      <c r="S56" s="177"/>
    </row>
    <row r="57" spans="1:19" ht="13">
      <c r="A57" s="865">
        <v>1812</v>
      </c>
      <c r="B57" s="866" t="s">
        <v>177</v>
      </c>
      <c r="C57" s="289">
        <v>2047</v>
      </c>
      <c r="D57" s="177">
        <v>38816</v>
      </c>
      <c r="E57" s="289">
        <v>2063</v>
      </c>
      <c r="F57" s="177">
        <v>39185</v>
      </c>
      <c r="G57" s="289">
        <v>2031</v>
      </c>
      <c r="H57" s="177">
        <v>39654</v>
      </c>
      <c r="I57" s="289">
        <v>2047</v>
      </c>
      <c r="J57" s="177">
        <v>41811</v>
      </c>
      <c r="K57" s="289">
        <v>2020</v>
      </c>
      <c r="L57" s="177">
        <v>44273</v>
      </c>
      <c r="M57" s="289">
        <v>2014</v>
      </c>
      <c r="N57" s="177">
        <v>43069.437222003085</v>
      </c>
      <c r="P57" s="517"/>
      <c r="S57" s="177"/>
    </row>
    <row r="58" spans="1:19" ht="13">
      <c r="A58" s="865">
        <v>1813</v>
      </c>
      <c r="B58" s="866" t="s">
        <v>178</v>
      </c>
      <c r="C58" s="289">
        <v>7897</v>
      </c>
      <c r="D58" s="177">
        <v>156213</v>
      </c>
      <c r="E58" s="289">
        <v>7934</v>
      </c>
      <c r="F58" s="177">
        <v>167225</v>
      </c>
      <c r="G58" s="289">
        <v>7962</v>
      </c>
      <c r="H58" s="177">
        <v>181445</v>
      </c>
      <c r="I58" s="289">
        <v>7956</v>
      </c>
      <c r="J58" s="177">
        <v>190059</v>
      </c>
      <c r="K58" s="289">
        <v>7948</v>
      </c>
      <c r="L58" s="177">
        <v>197077</v>
      </c>
      <c r="M58" s="289">
        <v>7916</v>
      </c>
      <c r="N58" s="177">
        <v>195635.03307525819</v>
      </c>
      <c r="P58" s="517"/>
      <c r="S58" s="177"/>
    </row>
    <row r="59" spans="1:19" ht="13">
      <c r="A59" s="865">
        <v>1815</v>
      </c>
      <c r="B59" s="866" t="s">
        <v>179</v>
      </c>
      <c r="C59" s="289">
        <v>1223</v>
      </c>
      <c r="D59" s="177">
        <v>21722</v>
      </c>
      <c r="E59" s="289">
        <v>1225</v>
      </c>
      <c r="F59" s="177">
        <v>22840</v>
      </c>
      <c r="G59" s="289">
        <v>1244</v>
      </c>
      <c r="H59" s="177">
        <v>24000</v>
      </c>
      <c r="I59" s="289">
        <v>1234</v>
      </c>
      <c r="J59" s="177">
        <v>24851</v>
      </c>
      <c r="K59" s="289">
        <v>1221</v>
      </c>
      <c r="L59" s="177">
        <v>26288</v>
      </c>
      <c r="M59" s="289">
        <v>1232</v>
      </c>
      <c r="N59" s="177">
        <v>25962.160615063069</v>
      </c>
      <c r="P59" s="517"/>
      <c r="S59" s="177"/>
    </row>
    <row r="60" spans="1:19" ht="13">
      <c r="A60" s="865">
        <v>1816</v>
      </c>
      <c r="B60" s="866" t="s">
        <v>180</v>
      </c>
      <c r="C60" s="289">
        <v>495</v>
      </c>
      <c r="D60" s="177">
        <v>8703</v>
      </c>
      <c r="E60" s="289">
        <v>510</v>
      </c>
      <c r="F60" s="177">
        <v>9279</v>
      </c>
      <c r="G60" s="289">
        <v>507</v>
      </c>
      <c r="H60" s="177">
        <v>10195</v>
      </c>
      <c r="I60" s="289">
        <v>528</v>
      </c>
      <c r="J60" s="177">
        <v>10057</v>
      </c>
      <c r="K60" s="289">
        <v>506</v>
      </c>
      <c r="L60" s="177">
        <v>10264</v>
      </c>
      <c r="M60" s="289">
        <v>497</v>
      </c>
      <c r="N60" s="177">
        <v>10223.904892803925</v>
      </c>
      <c r="P60" s="517"/>
      <c r="S60" s="177"/>
    </row>
    <row r="61" spans="1:19" ht="13">
      <c r="A61" s="865">
        <v>1818</v>
      </c>
      <c r="B61" s="866" t="s">
        <v>87</v>
      </c>
      <c r="C61" s="289">
        <v>1733</v>
      </c>
      <c r="D61" s="177">
        <v>33864</v>
      </c>
      <c r="E61" s="289">
        <v>1737</v>
      </c>
      <c r="F61" s="177">
        <v>38421</v>
      </c>
      <c r="G61" s="289">
        <v>1743</v>
      </c>
      <c r="H61" s="177">
        <v>41230</v>
      </c>
      <c r="I61" s="289">
        <v>1788</v>
      </c>
      <c r="J61" s="177">
        <v>46836</v>
      </c>
      <c r="K61" s="289">
        <v>1790</v>
      </c>
      <c r="L61" s="177">
        <v>51964</v>
      </c>
      <c r="M61" s="289">
        <v>1780</v>
      </c>
      <c r="N61" s="177">
        <v>48484.691631552945</v>
      </c>
      <c r="P61" s="517"/>
      <c r="S61" s="177"/>
    </row>
    <row r="62" spans="1:19" ht="13">
      <c r="A62" s="865">
        <v>1820</v>
      </c>
      <c r="B62" s="866" t="s">
        <v>181</v>
      </c>
      <c r="C62" s="289">
        <v>7394</v>
      </c>
      <c r="D62" s="177">
        <v>151380</v>
      </c>
      <c r="E62" s="289">
        <v>7454</v>
      </c>
      <c r="F62" s="177">
        <v>158275</v>
      </c>
      <c r="G62" s="289">
        <v>7437</v>
      </c>
      <c r="H62" s="177">
        <v>172927</v>
      </c>
      <c r="I62" s="289">
        <v>7428</v>
      </c>
      <c r="J62" s="177">
        <v>176287</v>
      </c>
      <c r="K62" s="289">
        <v>7450</v>
      </c>
      <c r="L62" s="177">
        <v>184472</v>
      </c>
      <c r="M62" s="289">
        <v>7415</v>
      </c>
      <c r="N62" s="177">
        <v>183998.35885187361</v>
      </c>
      <c r="P62" s="517"/>
      <c r="S62" s="177"/>
    </row>
    <row r="63" spans="1:19" ht="13">
      <c r="A63" s="865">
        <v>1822</v>
      </c>
      <c r="B63" s="866" t="s">
        <v>182</v>
      </c>
      <c r="C63" s="289">
        <v>2188</v>
      </c>
      <c r="D63" s="177">
        <v>37305</v>
      </c>
      <c r="E63" s="289">
        <v>2188</v>
      </c>
      <c r="F63" s="177">
        <v>38473</v>
      </c>
      <c r="G63" s="289">
        <v>2216</v>
      </c>
      <c r="H63" s="177">
        <v>42435</v>
      </c>
      <c r="I63" s="289">
        <v>2278</v>
      </c>
      <c r="J63" s="177">
        <v>43914</v>
      </c>
      <c r="K63" s="289">
        <v>2307</v>
      </c>
      <c r="L63" s="177">
        <v>47531</v>
      </c>
      <c r="M63" s="289">
        <v>2320</v>
      </c>
      <c r="N63" s="177">
        <v>47360.49422056719</v>
      </c>
      <c r="P63" s="517"/>
      <c r="S63" s="177"/>
    </row>
    <row r="64" spans="1:19" ht="13">
      <c r="A64" s="865">
        <v>1824</v>
      </c>
      <c r="B64" s="866" t="s">
        <v>183</v>
      </c>
      <c r="C64" s="289">
        <v>13286</v>
      </c>
      <c r="D64" s="177">
        <v>273516</v>
      </c>
      <c r="E64" s="289">
        <v>13352</v>
      </c>
      <c r="F64" s="177">
        <v>288336</v>
      </c>
      <c r="G64" s="289">
        <v>13427</v>
      </c>
      <c r="H64" s="177">
        <v>316667</v>
      </c>
      <c r="I64" s="289">
        <v>13465</v>
      </c>
      <c r="J64" s="177">
        <v>321672</v>
      </c>
      <c r="K64" s="289">
        <v>13448</v>
      </c>
      <c r="L64" s="177">
        <v>338074</v>
      </c>
      <c r="M64" s="289">
        <v>13403</v>
      </c>
      <c r="N64" s="177">
        <v>336480.35623754101</v>
      </c>
      <c r="P64" s="517"/>
      <c r="S64" s="177"/>
    </row>
    <row r="65" spans="1:19" ht="13">
      <c r="A65" s="865">
        <v>1825</v>
      </c>
      <c r="B65" s="866" t="s">
        <v>184</v>
      </c>
      <c r="C65" s="289">
        <v>1465</v>
      </c>
      <c r="D65" s="177">
        <v>28175</v>
      </c>
      <c r="E65" s="289">
        <v>1458</v>
      </c>
      <c r="F65" s="177">
        <v>30028</v>
      </c>
      <c r="G65" s="289">
        <v>1462</v>
      </c>
      <c r="H65" s="177">
        <v>31257</v>
      </c>
      <c r="I65" s="289">
        <v>1469</v>
      </c>
      <c r="J65" s="177">
        <v>32445</v>
      </c>
      <c r="K65" s="289">
        <v>1463</v>
      </c>
      <c r="L65" s="177">
        <v>35736</v>
      </c>
      <c r="M65" s="289">
        <v>1493</v>
      </c>
      <c r="N65" s="177">
        <v>34896.619804836715</v>
      </c>
      <c r="P65" s="517"/>
      <c r="S65" s="177"/>
    </row>
    <row r="66" spans="1:19" ht="13">
      <c r="A66" s="865">
        <v>1826</v>
      </c>
      <c r="B66" s="866" t="s">
        <v>185</v>
      </c>
      <c r="C66" s="289">
        <v>1500</v>
      </c>
      <c r="D66" s="177">
        <v>25086</v>
      </c>
      <c r="E66" s="289">
        <v>1533</v>
      </c>
      <c r="F66" s="177">
        <v>27288</v>
      </c>
      <c r="G66" s="289">
        <v>1465</v>
      </c>
      <c r="H66" s="177">
        <v>29443</v>
      </c>
      <c r="I66" s="289">
        <v>1414</v>
      </c>
      <c r="J66" s="177">
        <v>28941</v>
      </c>
      <c r="K66" s="289">
        <v>1411</v>
      </c>
      <c r="L66" s="177">
        <v>28471</v>
      </c>
      <c r="M66" s="289">
        <v>1359</v>
      </c>
      <c r="N66" s="177">
        <v>28603.258113900654</v>
      </c>
      <c r="P66" s="517"/>
      <c r="S66" s="177"/>
    </row>
    <row r="67" spans="1:19" ht="13">
      <c r="A67" s="865">
        <v>1827</v>
      </c>
      <c r="B67" s="866" t="s">
        <v>186</v>
      </c>
      <c r="C67" s="289">
        <v>1420</v>
      </c>
      <c r="D67" s="177">
        <v>26092</v>
      </c>
      <c r="E67" s="289">
        <v>1407</v>
      </c>
      <c r="F67" s="177">
        <v>27767</v>
      </c>
      <c r="G67" s="289">
        <v>1402</v>
      </c>
      <c r="H67" s="177">
        <v>29285</v>
      </c>
      <c r="I67" s="289">
        <v>1410</v>
      </c>
      <c r="J67" s="177">
        <v>31550</v>
      </c>
      <c r="K67" s="289">
        <v>1403</v>
      </c>
      <c r="L67" s="177">
        <v>34700</v>
      </c>
      <c r="M67" s="289">
        <v>1391</v>
      </c>
      <c r="N67" s="177">
        <v>32674.385676790294</v>
      </c>
      <c r="P67" s="517"/>
      <c r="S67" s="177"/>
    </row>
    <row r="68" spans="1:19" ht="13">
      <c r="A68" s="865">
        <v>1828</v>
      </c>
      <c r="B68" s="866" t="s">
        <v>187</v>
      </c>
      <c r="C68" s="289">
        <v>1902</v>
      </c>
      <c r="D68" s="177">
        <v>29300</v>
      </c>
      <c r="E68" s="289">
        <v>1871</v>
      </c>
      <c r="F68" s="177">
        <v>33036</v>
      </c>
      <c r="G68" s="289">
        <v>1838</v>
      </c>
      <c r="H68" s="177">
        <v>35368</v>
      </c>
      <c r="I68" s="289">
        <v>1837</v>
      </c>
      <c r="J68" s="177">
        <v>37688</v>
      </c>
      <c r="K68" s="289">
        <v>1805</v>
      </c>
      <c r="L68" s="177">
        <v>44961</v>
      </c>
      <c r="M68" s="289">
        <v>1792</v>
      </c>
      <c r="N68" s="177">
        <v>39993.34470870097</v>
      </c>
      <c r="P68" s="517"/>
      <c r="S68" s="177"/>
    </row>
    <row r="69" spans="1:19" ht="13">
      <c r="A69" s="865">
        <v>1832</v>
      </c>
      <c r="B69" s="866" t="s">
        <v>188</v>
      </c>
      <c r="C69" s="289">
        <v>4553</v>
      </c>
      <c r="D69" s="177">
        <v>106976</v>
      </c>
      <c r="E69" s="289">
        <v>4528</v>
      </c>
      <c r="F69" s="177">
        <v>115881</v>
      </c>
      <c r="G69" s="289">
        <v>4486</v>
      </c>
      <c r="H69" s="177">
        <v>121742</v>
      </c>
      <c r="I69" s="289">
        <v>4524</v>
      </c>
      <c r="J69" s="177">
        <v>124876</v>
      </c>
      <c r="K69" s="289">
        <v>4503</v>
      </c>
      <c r="L69" s="177">
        <v>131134</v>
      </c>
      <c r="M69" s="289">
        <v>4501</v>
      </c>
      <c r="N69" s="177">
        <v>129413.71556394573</v>
      </c>
      <c r="P69" s="517"/>
      <c r="S69" s="177"/>
    </row>
    <row r="70" spans="1:19" ht="13">
      <c r="A70" s="865">
        <v>1833</v>
      </c>
      <c r="B70" s="866" t="s">
        <v>189</v>
      </c>
      <c r="C70" s="289">
        <v>25943</v>
      </c>
      <c r="D70" s="177">
        <v>551613</v>
      </c>
      <c r="E70" s="289">
        <v>26078</v>
      </c>
      <c r="F70" s="177">
        <v>589326</v>
      </c>
      <c r="G70" s="289">
        <v>26039</v>
      </c>
      <c r="H70" s="177">
        <v>638012</v>
      </c>
      <c r="I70" s="289">
        <v>26101</v>
      </c>
      <c r="J70" s="177">
        <v>666769</v>
      </c>
      <c r="K70" s="289">
        <v>26230</v>
      </c>
      <c r="L70" s="177">
        <v>691020</v>
      </c>
      <c r="M70" s="289">
        <v>26315</v>
      </c>
      <c r="N70" s="177">
        <v>693919.89224513783</v>
      </c>
      <c r="P70" s="517"/>
      <c r="S70" s="177"/>
    </row>
    <row r="71" spans="1:19" ht="13">
      <c r="A71" s="865">
        <v>1834</v>
      </c>
      <c r="B71" s="866" t="s">
        <v>190</v>
      </c>
      <c r="C71" s="289">
        <v>1901</v>
      </c>
      <c r="D71" s="177">
        <v>42293</v>
      </c>
      <c r="E71" s="289">
        <v>1917</v>
      </c>
      <c r="F71" s="177">
        <v>46055</v>
      </c>
      <c r="G71" s="289">
        <v>1923</v>
      </c>
      <c r="H71" s="177">
        <v>58139</v>
      </c>
      <c r="I71" s="289">
        <v>1920</v>
      </c>
      <c r="J71" s="177">
        <v>61482</v>
      </c>
      <c r="K71" s="289">
        <v>1920</v>
      </c>
      <c r="L71" s="177">
        <v>71323</v>
      </c>
      <c r="M71" s="289">
        <v>1904</v>
      </c>
      <c r="N71" s="177">
        <v>65355.267075251752</v>
      </c>
      <c r="P71" s="517"/>
      <c r="S71" s="177"/>
    </row>
    <row r="72" spans="1:19" ht="13">
      <c r="A72" s="865">
        <v>1835</v>
      </c>
      <c r="B72" s="866" t="s">
        <v>191</v>
      </c>
      <c r="C72" s="289">
        <v>489</v>
      </c>
      <c r="D72" s="177">
        <v>9796</v>
      </c>
      <c r="E72" s="289">
        <v>486</v>
      </c>
      <c r="F72" s="177">
        <v>10370</v>
      </c>
      <c r="G72" s="289">
        <v>478</v>
      </c>
      <c r="H72" s="177">
        <v>11735</v>
      </c>
      <c r="I72" s="289">
        <v>465</v>
      </c>
      <c r="J72" s="177">
        <v>11809</v>
      </c>
      <c r="K72" s="289">
        <v>454</v>
      </c>
      <c r="L72" s="177">
        <v>12509</v>
      </c>
      <c r="M72" s="289">
        <v>456</v>
      </c>
      <c r="N72" s="177">
        <v>12215.509472899923</v>
      </c>
      <c r="P72" s="517"/>
      <c r="S72" s="177"/>
    </row>
    <row r="73" spans="1:19" ht="13">
      <c r="A73" s="865">
        <v>1836</v>
      </c>
      <c r="B73" s="866" t="s">
        <v>192</v>
      </c>
      <c r="C73" s="289">
        <v>1305</v>
      </c>
      <c r="D73" s="177">
        <v>22194</v>
      </c>
      <c r="E73" s="289">
        <v>1269</v>
      </c>
      <c r="F73" s="177">
        <v>23597</v>
      </c>
      <c r="G73" s="289">
        <v>1268</v>
      </c>
      <c r="H73" s="177">
        <v>26674</v>
      </c>
      <c r="I73" s="289">
        <v>1267</v>
      </c>
      <c r="J73" s="177">
        <v>27439</v>
      </c>
      <c r="K73" s="289">
        <v>1249</v>
      </c>
      <c r="L73" s="177">
        <v>28017</v>
      </c>
      <c r="M73" s="289">
        <v>1238</v>
      </c>
      <c r="N73" s="177">
        <v>27864.479637645396</v>
      </c>
      <c r="P73" s="517"/>
      <c r="S73" s="177"/>
    </row>
    <row r="74" spans="1:19" ht="13">
      <c r="A74" s="865">
        <v>1837</v>
      </c>
      <c r="B74" s="866" t="s">
        <v>193</v>
      </c>
      <c r="C74" s="289">
        <v>6491</v>
      </c>
      <c r="D74" s="177">
        <v>153531</v>
      </c>
      <c r="E74" s="289">
        <v>6454</v>
      </c>
      <c r="F74" s="177">
        <v>158459</v>
      </c>
      <c r="G74" s="289">
        <v>6471</v>
      </c>
      <c r="H74" s="177">
        <v>170747</v>
      </c>
      <c r="I74" s="289">
        <v>6435</v>
      </c>
      <c r="J74" s="177">
        <v>177983</v>
      </c>
      <c r="K74" s="289">
        <v>6346</v>
      </c>
      <c r="L74" s="177">
        <v>179660</v>
      </c>
      <c r="M74" s="289">
        <v>6331</v>
      </c>
      <c r="N74" s="177">
        <v>179832.18439907065</v>
      </c>
      <c r="P74" s="517"/>
      <c r="S74" s="177"/>
    </row>
    <row r="75" spans="1:19" ht="13">
      <c r="A75" s="865">
        <v>1838</v>
      </c>
      <c r="B75" s="866" t="s">
        <v>194</v>
      </c>
      <c r="C75" s="289">
        <v>2023</v>
      </c>
      <c r="D75" s="177">
        <v>46197</v>
      </c>
      <c r="E75" s="289">
        <v>2014</v>
      </c>
      <c r="F75" s="177">
        <v>42627</v>
      </c>
      <c r="G75" s="289">
        <v>2043</v>
      </c>
      <c r="H75" s="177">
        <v>50208</v>
      </c>
      <c r="I75" s="289">
        <v>2024</v>
      </c>
      <c r="J75" s="177">
        <v>49108</v>
      </c>
      <c r="K75" s="289">
        <v>1998</v>
      </c>
      <c r="L75" s="177">
        <v>50262</v>
      </c>
      <c r="M75" s="289">
        <v>1978</v>
      </c>
      <c r="N75" s="177">
        <v>50582.99793592572</v>
      </c>
      <c r="P75" s="517"/>
      <c r="S75" s="177"/>
    </row>
    <row r="76" spans="1:19" ht="13">
      <c r="A76" s="865">
        <v>1839</v>
      </c>
      <c r="B76" s="866" t="s">
        <v>195</v>
      </c>
      <c r="C76" s="289">
        <v>1088</v>
      </c>
      <c r="D76" s="177">
        <v>27234</v>
      </c>
      <c r="E76" s="289">
        <v>1058</v>
      </c>
      <c r="F76" s="177">
        <v>25978</v>
      </c>
      <c r="G76" s="289">
        <v>1034</v>
      </c>
      <c r="H76" s="177">
        <v>25014</v>
      </c>
      <c r="I76" s="289">
        <v>1043</v>
      </c>
      <c r="J76" s="177">
        <v>26048</v>
      </c>
      <c r="K76" s="289">
        <v>1029</v>
      </c>
      <c r="L76" s="177">
        <v>26982</v>
      </c>
      <c r="M76" s="289">
        <v>1022</v>
      </c>
      <c r="N76" s="177">
        <v>26482.814819359191</v>
      </c>
      <c r="P76" s="517"/>
      <c r="S76" s="177"/>
    </row>
    <row r="77" spans="1:19" ht="13">
      <c r="A77" s="865">
        <v>1840</v>
      </c>
      <c r="B77" s="866" t="s">
        <v>196</v>
      </c>
      <c r="C77" s="289">
        <v>4690</v>
      </c>
      <c r="D77" s="177">
        <v>89200</v>
      </c>
      <c r="E77" s="289">
        <v>4734</v>
      </c>
      <c r="F77" s="177">
        <v>97414</v>
      </c>
      <c r="G77" s="289">
        <v>4700</v>
      </c>
      <c r="H77" s="177">
        <v>108553</v>
      </c>
      <c r="I77" s="289">
        <v>4702</v>
      </c>
      <c r="J77" s="177">
        <v>111140</v>
      </c>
      <c r="K77" s="289">
        <v>4691</v>
      </c>
      <c r="L77" s="177">
        <v>110720</v>
      </c>
      <c r="M77" s="289">
        <v>4657</v>
      </c>
      <c r="N77" s="177">
        <v>113320.20170723673</v>
      </c>
      <c r="P77" s="517"/>
      <c r="S77" s="177"/>
    </row>
    <row r="78" spans="1:19" ht="13">
      <c r="A78" s="865">
        <v>1841</v>
      </c>
      <c r="B78" s="866" t="s">
        <v>197</v>
      </c>
      <c r="C78" s="289">
        <v>9556</v>
      </c>
      <c r="D78" s="177">
        <v>205253</v>
      </c>
      <c r="E78" s="289">
        <v>9622</v>
      </c>
      <c r="F78" s="177">
        <v>238903</v>
      </c>
      <c r="G78" s="289">
        <v>9604</v>
      </c>
      <c r="H78" s="177">
        <v>209670</v>
      </c>
      <c r="I78" s="289">
        <v>9729</v>
      </c>
      <c r="J78" s="177">
        <v>242289</v>
      </c>
      <c r="K78" s="289">
        <v>9775</v>
      </c>
      <c r="L78" s="177">
        <v>257308</v>
      </c>
      <c r="M78" s="289">
        <v>9760</v>
      </c>
      <c r="N78" s="177">
        <v>245736.27131568696</v>
      </c>
      <c r="P78" s="517"/>
      <c r="S78" s="177"/>
    </row>
    <row r="79" spans="1:19" ht="13">
      <c r="A79" s="865">
        <v>1845</v>
      </c>
      <c r="B79" s="866" t="s">
        <v>198</v>
      </c>
      <c r="C79" s="289">
        <v>1987</v>
      </c>
      <c r="D79" s="177">
        <v>52924</v>
      </c>
      <c r="E79" s="289">
        <v>1953</v>
      </c>
      <c r="F79" s="177">
        <v>53864</v>
      </c>
      <c r="G79" s="289">
        <v>1963</v>
      </c>
      <c r="H79" s="177">
        <v>55801</v>
      </c>
      <c r="I79" s="289">
        <v>1958</v>
      </c>
      <c r="J79" s="177">
        <v>57707</v>
      </c>
      <c r="K79" s="289">
        <v>1979</v>
      </c>
      <c r="L79" s="177">
        <v>58654</v>
      </c>
      <c r="M79" s="289">
        <v>1975</v>
      </c>
      <c r="N79" s="177">
        <v>59159.701135139352</v>
      </c>
      <c r="P79" s="517"/>
      <c r="S79" s="177"/>
    </row>
    <row r="80" spans="1:19" ht="13">
      <c r="A80" s="865">
        <v>1848</v>
      </c>
      <c r="B80" s="866" t="s">
        <v>199</v>
      </c>
      <c r="C80" s="289">
        <v>2579</v>
      </c>
      <c r="D80" s="177">
        <v>46019</v>
      </c>
      <c r="E80" s="289">
        <v>2507</v>
      </c>
      <c r="F80" s="177">
        <v>49325</v>
      </c>
      <c r="G80" s="289">
        <v>2543</v>
      </c>
      <c r="H80" s="177">
        <v>55924</v>
      </c>
      <c r="I80" s="289">
        <v>2543</v>
      </c>
      <c r="J80" s="177">
        <v>60787</v>
      </c>
      <c r="K80" s="289">
        <v>2534</v>
      </c>
      <c r="L80" s="177">
        <v>63418</v>
      </c>
      <c r="M80" s="289">
        <v>2576</v>
      </c>
      <c r="N80" s="177">
        <v>63133.01965739952</v>
      </c>
      <c r="P80" s="517"/>
      <c r="S80" s="177"/>
    </row>
    <row r="81" spans="1:19" ht="13">
      <c r="A81" s="865">
        <v>1851</v>
      </c>
      <c r="B81" s="866" t="s">
        <v>202</v>
      </c>
      <c r="C81" s="289">
        <v>2248</v>
      </c>
      <c r="D81" s="177">
        <v>43646</v>
      </c>
      <c r="E81" s="289">
        <v>2160</v>
      </c>
      <c r="F81" s="177">
        <v>46553</v>
      </c>
      <c r="G81" s="289">
        <v>2144</v>
      </c>
      <c r="H81" s="177">
        <v>49484</v>
      </c>
      <c r="I81" s="289">
        <v>2134</v>
      </c>
      <c r="J81" s="177">
        <v>50467</v>
      </c>
      <c r="K81" s="289">
        <v>2102</v>
      </c>
      <c r="L81" s="177">
        <v>52437</v>
      </c>
      <c r="M81" s="289">
        <v>2077</v>
      </c>
      <c r="N81" s="177">
        <v>51480.069621065457</v>
      </c>
      <c r="P81" s="517"/>
      <c r="S81" s="177"/>
    </row>
    <row r="82" spans="1:19" ht="13">
      <c r="A82" s="865">
        <v>1853</v>
      </c>
      <c r="B82" s="866" t="s">
        <v>204</v>
      </c>
      <c r="C82" s="289">
        <v>1391</v>
      </c>
      <c r="D82" s="177">
        <v>24670</v>
      </c>
      <c r="E82" s="289">
        <v>1385</v>
      </c>
      <c r="F82" s="177">
        <v>26418</v>
      </c>
      <c r="G82" s="289">
        <v>1400</v>
      </c>
      <c r="H82" s="177">
        <v>27912</v>
      </c>
      <c r="I82" s="289">
        <v>1402</v>
      </c>
      <c r="J82" s="177">
        <v>28976</v>
      </c>
      <c r="K82" s="289">
        <v>1387</v>
      </c>
      <c r="L82" s="177">
        <v>29781</v>
      </c>
      <c r="M82" s="289">
        <v>1387</v>
      </c>
      <c r="N82" s="177">
        <v>29751.582858116482</v>
      </c>
      <c r="P82" s="517"/>
      <c r="S82" s="177"/>
    </row>
    <row r="83" spans="1:19" ht="13">
      <c r="A83" s="865">
        <v>1856</v>
      </c>
      <c r="B83" s="866" t="s">
        <v>206</v>
      </c>
      <c r="C83" s="289">
        <v>566</v>
      </c>
      <c r="D83" s="177">
        <v>11661</v>
      </c>
      <c r="E83" s="289">
        <v>545</v>
      </c>
      <c r="F83" s="177">
        <v>13949</v>
      </c>
      <c r="G83" s="289">
        <v>551</v>
      </c>
      <c r="H83" s="177">
        <v>16165</v>
      </c>
      <c r="I83" s="289">
        <v>535</v>
      </c>
      <c r="J83" s="177">
        <v>17382</v>
      </c>
      <c r="K83" s="289">
        <v>517</v>
      </c>
      <c r="L83" s="177">
        <v>16310</v>
      </c>
      <c r="M83" s="289">
        <v>508</v>
      </c>
      <c r="N83" s="177">
        <v>16403.353769224683</v>
      </c>
      <c r="P83" s="517"/>
      <c r="S83" s="177"/>
    </row>
    <row r="84" spans="1:19" ht="13">
      <c r="A84" s="865">
        <v>1857</v>
      </c>
      <c r="B84" s="866" t="s">
        <v>207</v>
      </c>
      <c r="C84" s="289">
        <v>777</v>
      </c>
      <c r="D84" s="177">
        <v>16048</v>
      </c>
      <c r="E84" s="289">
        <v>780</v>
      </c>
      <c r="F84" s="177">
        <v>18594</v>
      </c>
      <c r="G84" s="289">
        <v>765</v>
      </c>
      <c r="H84" s="177">
        <v>20793</v>
      </c>
      <c r="I84" s="289">
        <v>744</v>
      </c>
      <c r="J84" s="177">
        <v>22080</v>
      </c>
      <c r="K84" s="289">
        <v>746</v>
      </c>
      <c r="L84" s="177">
        <v>21713</v>
      </c>
      <c r="M84" s="289">
        <v>732</v>
      </c>
      <c r="N84" s="177">
        <v>21761.47418768553</v>
      </c>
      <c r="P84" s="517"/>
      <c r="S84" s="177"/>
    </row>
    <row r="85" spans="1:19" ht="13">
      <c r="A85" s="865">
        <v>1859</v>
      </c>
      <c r="B85" s="866" t="s">
        <v>208</v>
      </c>
      <c r="C85" s="289">
        <v>1368</v>
      </c>
      <c r="D85" s="177">
        <v>26259</v>
      </c>
      <c r="E85" s="289">
        <v>1358</v>
      </c>
      <c r="F85" s="177">
        <v>28292</v>
      </c>
      <c r="G85" s="289">
        <v>1336</v>
      </c>
      <c r="H85" s="177">
        <v>32331</v>
      </c>
      <c r="I85" s="289">
        <v>1349</v>
      </c>
      <c r="J85" s="177">
        <v>35412</v>
      </c>
      <c r="K85" s="289">
        <v>1301</v>
      </c>
      <c r="L85" s="177">
        <v>37505</v>
      </c>
      <c r="M85" s="289">
        <v>1292</v>
      </c>
      <c r="N85" s="177">
        <v>35381.803618067948</v>
      </c>
      <c r="P85" s="517"/>
      <c r="S85" s="177"/>
    </row>
    <row r="86" spans="1:19" ht="13">
      <c r="A86" s="865">
        <v>1860</v>
      </c>
      <c r="B86" s="866" t="s">
        <v>209</v>
      </c>
      <c r="C86" s="289">
        <v>10997</v>
      </c>
      <c r="D86" s="177">
        <v>209102</v>
      </c>
      <c r="E86" s="289">
        <v>11140</v>
      </c>
      <c r="F86" s="177">
        <v>227662</v>
      </c>
      <c r="G86" s="289">
        <v>11198</v>
      </c>
      <c r="H86" s="177">
        <v>253493</v>
      </c>
      <c r="I86" s="289">
        <v>11294</v>
      </c>
      <c r="J86" s="177">
        <v>265381</v>
      </c>
      <c r="K86" s="289">
        <v>11397</v>
      </c>
      <c r="L86" s="177">
        <v>282252</v>
      </c>
      <c r="M86" s="289">
        <v>11480</v>
      </c>
      <c r="N86" s="177">
        <v>281424.9358015387</v>
      </c>
      <c r="P86" s="517"/>
      <c r="S86" s="177"/>
    </row>
    <row r="87" spans="1:19" ht="13">
      <c r="A87" s="865">
        <v>1865</v>
      </c>
      <c r="B87" s="866" t="s">
        <v>210</v>
      </c>
      <c r="C87" s="289">
        <v>9223</v>
      </c>
      <c r="D87" s="177">
        <v>176605</v>
      </c>
      <c r="E87" s="289">
        <v>9285</v>
      </c>
      <c r="F87" s="177">
        <v>202235</v>
      </c>
      <c r="G87" s="289">
        <v>9350</v>
      </c>
      <c r="H87" s="177">
        <v>224413</v>
      </c>
      <c r="I87" s="289">
        <v>9444</v>
      </c>
      <c r="J87" s="177">
        <v>240817</v>
      </c>
      <c r="K87" s="289">
        <v>9611</v>
      </c>
      <c r="L87" s="177">
        <v>268281</v>
      </c>
      <c r="M87" s="289">
        <v>9595</v>
      </c>
      <c r="N87" s="177">
        <v>256654.1168855094</v>
      </c>
      <c r="P87" s="517"/>
      <c r="S87" s="177"/>
    </row>
    <row r="88" spans="1:19" ht="13">
      <c r="A88" s="865">
        <v>1866</v>
      </c>
      <c r="B88" s="866" t="s">
        <v>211</v>
      </c>
      <c r="C88" s="289">
        <v>8112</v>
      </c>
      <c r="D88" s="177">
        <v>156987</v>
      </c>
      <c r="E88" s="289">
        <v>8057</v>
      </c>
      <c r="F88" s="177">
        <v>161270</v>
      </c>
      <c r="G88" s="289">
        <v>8082</v>
      </c>
      <c r="H88" s="177">
        <v>190925</v>
      </c>
      <c r="I88" s="289">
        <v>8009</v>
      </c>
      <c r="J88" s="177">
        <v>197825</v>
      </c>
      <c r="K88" s="289">
        <v>8042</v>
      </c>
      <c r="L88" s="177">
        <v>188411</v>
      </c>
      <c r="M88" s="289">
        <v>8091</v>
      </c>
      <c r="N88" s="177">
        <v>200938.46905683482</v>
      </c>
      <c r="P88" s="517"/>
      <c r="S88" s="177"/>
    </row>
    <row r="89" spans="1:19" ht="13">
      <c r="A89" s="865">
        <v>1867</v>
      </c>
      <c r="B89" s="866" t="s">
        <v>913</v>
      </c>
      <c r="C89" s="289">
        <v>2642</v>
      </c>
      <c r="D89" s="177">
        <v>42197</v>
      </c>
      <c r="E89" s="289">
        <v>2642</v>
      </c>
      <c r="F89" s="177">
        <v>45774</v>
      </c>
      <c r="G89" s="289">
        <v>2632</v>
      </c>
      <c r="H89" s="177">
        <v>52082</v>
      </c>
      <c r="I89" s="289">
        <v>2624</v>
      </c>
      <c r="J89" s="177">
        <v>54754</v>
      </c>
      <c r="K89" s="289">
        <v>2623</v>
      </c>
      <c r="L89" s="177">
        <v>61567</v>
      </c>
      <c r="M89" s="289">
        <v>2616</v>
      </c>
      <c r="N89" s="177">
        <v>57951.029493078357</v>
      </c>
      <c r="P89" s="517"/>
      <c r="S89" s="177"/>
    </row>
    <row r="90" spans="1:19" ht="13">
      <c r="A90" s="865">
        <v>1868</v>
      </c>
      <c r="B90" s="866" t="s">
        <v>212</v>
      </c>
      <c r="C90" s="289">
        <v>4562</v>
      </c>
      <c r="D90" s="177">
        <v>88777</v>
      </c>
      <c r="E90" s="289">
        <v>4563</v>
      </c>
      <c r="F90" s="177">
        <v>96911</v>
      </c>
      <c r="G90" s="289">
        <v>4529</v>
      </c>
      <c r="H90" s="177">
        <v>105787</v>
      </c>
      <c r="I90" s="289">
        <v>4580</v>
      </c>
      <c r="J90" s="177">
        <v>109552</v>
      </c>
      <c r="K90" s="289">
        <v>4541</v>
      </c>
      <c r="L90" s="177">
        <v>122118</v>
      </c>
      <c r="M90" s="289">
        <v>4449</v>
      </c>
      <c r="N90" s="177">
        <v>114030.12504183271</v>
      </c>
      <c r="P90" s="517"/>
      <c r="S90" s="177"/>
    </row>
    <row r="91" spans="1:19" ht="13">
      <c r="A91" s="865">
        <v>1870</v>
      </c>
      <c r="B91" s="866" t="s">
        <v>213</v>
      </c>
      <c r="C91" s="289">
        <v>10129</v>
      </c>
      <c r="D91" s="177">
        <v>197249</v>
      </c>
      <c r="E91" s="289">
        <v>10166</v>
      </c>
      <c r="F91" s="177">
        <v>213192</v>
      </c>
      <c r="G91" s="289">
        <v>10214</v>
      </c>
      <c r="H91" s="177">
        <v>236542</v>
      </c>
      <c r="I91" s="289">
        <v>10378</v>
      </c>
      <c r="J91" s="177">
        <v>247240</v>
      </c>
      <c r="K91" s="289">
        <v>10401</v>
      </c>
      <c r="L91" s="177">
        <v>270129</v>
      </c>
      <c r="M91" s="289">
        <v>10518</v>
      </c>
      <c r="N91" s="177">
        <v>265237.99493365263</v>
      </c>
      <c r="P91" s="517"/>
      <c r="S91" s="177"/>
    </row>
    <row r="92" spans="1:19" ht="13">
      <c r="A92" s="865">
        <v>1871</v>
      </c>
      <c r="B92" s="866" t="s">
        <v>214</v>
      </c>
      <c r="C92" s="289">
        <v>4993</v>
      </c>
      <c r="D92" s="177">
        <v>97841</v>
      </c>
      <c r="E92" s="289">
        <v>4991</v>
      </c>
      <c r="F92" s="177">
        <v>105566</v>
      </c>
      <c r="G92" s="289">
        <v>4980</v>
      </c>
      <c r="H92" s="177">
        <v>110513</v>
      </c>
      <c r="I92" s="289">
        <v>4908</v>
      </c>
      <c r="J92" s="177">
        <v>114562</v>
      </c>
      <c r="K92" s="289">
        <v>4902</v>
      </c>
      <c r="L92" s="177">
        <v>134742</v>
      </c>
      <c r="M92" s="289">
        <v>4771</v>
      </c>
      <c r="N92" s="177">
        <v>120290.01560400521</v>
      </c>
      <c r="P92" s="517"/>
      <c r="S92" s="177"/>
    </row>
    <row r="93" spans="1:19" ht="13">
      <c r="A93" s="865">
        <v>1874</v>
      </c>
      <c r="B93" s="866" t="s">
        <v>215</v>
      </c>
      <c r="C93" s="289">
        <v>1108</v>
      </c>
      <c r="D93" s="177">
        <v>23459</v>
      </c>
      <c r="E93" s="289">
        <v>1070</v>
      </c>
      <c r="F93" s="177">
        <v>25475</v>
      </c>
      <c r="G93" s="289">
        <v>1062</v>
      </c>
      <c r="H93" s="177">
        <v>25619</v>
      </c>
      <c r="I93" s="289">
        <v>1073</v>
      </c>
      <c r="J93" s="177">
        <v>28995</v>
      </c>
      <c r="K93" s="289">
        <v>1068</v>
      </c>
      <c r="L93" s="177">
        <v>30852</v>
      </c>
      <c r="M93" s="289">
        <v>1039</v>
      </c>
      <c r="N93" s="177">
        <v>28722.61049235375</v>
      </c>
      <c r="P93" s="517"/>
      <c r="S93" s="177"/>
    </row>
    <row r="94" spans="1:19" ht="13">
      <c r="A94" s="878">
        <v>1875</v>
      </c>
      <c r="B94" s="883" t="s">
        <v>1617</v>
      </c>
      <c r="C94" s="289">
        <v>2895.3246753246749</v>
      </c>
      <c r="D94" s="177">
        <v>61130.348051948051</v>
      </c>
      <c r="E94" s="289">
        <v>2884.1740259740259</v>
      </c>
      <c r="F94" s="177">
        <v>64759.166233766227</v>
      </c>
      <c r="G94" s="289">
        <v>2885.3454545454542</v>
      </c>
      <c r="H94" s="177">
        <v>69419.412987012984</v>
      </c>
      <c r="I94" s="289">
        <v>2863.818181818182</v>
      </c>
      <c r="J94" s="177">
        <v>70263.574025974027</v>
      </c>
      <c r="K94" s="289">
        <v>2851.0545454545454</v>
      </c>
      <c r="L94" s="177">
        <v>74615.737662337662</v>
      </c>
      <c r="M94" s="289">
        <v>2782</v>
      </c>
      <c r="N94" s="177">
        <v>71842.479641362559</v>
      </c>
      <c r="P94" s="517"/>
      <c r="S94" s="177"/>
    </row>
    <row r="95" spans="1:19" ht="13">
      <c r="A95" s="865">
        <v>3001</v>
      </c>
      <c r="B95" s="866" t="s">
        <v>783</v>
      </c>
      <c r="C95" s="289">
        <v>30132</v>
      </c>
      <c r="D95" s="177">
        <v>578670</v>
      </c>
      <c r="E95" s="289">
        <v>30328</v>
      </c>
      <c r="F95" s="177">
        <v>622874</v>
      </c>
      <c r="G95" s="289">
        <v>30544</v>
      </c>
      <c r="H95" s="177">
        <v>694774</v>
      </c>
      <c r="I95" s="289">
        <v>30790</v>
      </c>
      <c r="J95" s="177">
        <v>718818</v>
      </c>
      <c r="K95" s="289">
        <v>31037</v>
      </c>
      <c r="L95" s="177">
        <v>758714</v>
      </c>
      <c r="M95" s="289">
        <v>31177</v>
      </c>
      <c r="N95" s="177">
        <v>760469.34946588974</v>
      </c>
      <c r="P95" s="517"/>
      <c r="S95" s="177"/>
    </row>
    <row r="96" spans="1:19" ht="13">
      <c r="A96" s="878">
        <v>3002</v>
      </c>
      <c r="B96" s="883" t="s">
        <v>1618</v>
      </c>
      <c r="C96" s="289">
        <v>46409</v>
      </c>
      <c r="D96" s="177">
        <v>988308</v>
      </c>
      <c r="E96" s="289">
        <v>47044</v>
      </c>
      <c r="F96" s="177">
        <v>1070939</v>
      </c>
      <c r="G96" s="289">
        <v>47640</v>
      </c>
      <c r="H96" s="177">
        <v>1188271</v>
      </c>
      <c r="I96" s="289">
        <v>48154</v>
      </c>
      <c r="J96" s="177">
        <v>1236874</v>
      </c>
      <c r="K96" s="289">
        <v>48671</v>
      </c>
      <c r="L96" s="177">
        <v>1317884</v>
      </c>
      <c r="M96" s="289">
        <v>48871</v>
      </c>
      <c r="N96" s="177">
        <v>1313514.9864179261</v>
      </c>
      <c r="P96" s="517"/>
      <c r="S96" s="177"/>
    </row>
    <row r="97" spans="1:19" ht="13">
      <c r="A97" s="865">
        <v>3003</v>
      </c>
      <c r="B97" s="866" t="s">
        <v>785</v>
      </c>
      <c r="C97" s="289">
        <v>54059</v>
      </c>
      <c r="D97" s="177">
        <v>1032285</v>
      </c>
      <c r="E97" s="289">
        <v>54192</v>
      </c>
      <c r="F97" s="177">
        <v>1110209</v>
      </c>
      <c r="G97" s="289">
        <v>54678</v>
      </c>
      <c r="H97" s="177">
        <v>1254916</v>
      </c>
      <c r="I97" s="289">
        <v>55127</v>
      </c>
      <c r="J97" s="177">
        <v>1290591</v>
      </c>
      <c r="K97" s="289">
        <v>55543</v>
      </c>
      <c r="L97" s="177">
        <v>1352585</v>
      </c>
      <c r="M97" s="289">
        <v>55997</v>
      </c>
      <c r="N97" s="177">
        <v>1369127.2000980042</v>
      </c>
      <c r="P97" s="517"/>
      <c r="S97" s="177"/>
    </row>
    <row r="98" spans="1:19" ht="13">
      <c r="A98" s="865">
        <v>3004</v>
      </c>
      <c r="B98" s="866" t="s">
        <v>786</v>
      </c>
      <c r="C98" s="289">
        <v>77591</v>
      </c>
      <c r="D98" s="177">
        <v>1625623</v>
      </c>
      <c r="E98" s="289">
        <v>78159</v>
      </c>
      <c r="F98" s="177">
        <v>1719479</v>
      </c>
      <c r="G98" s="289">
        <v>78967</v>
      </c>
      <c r="H98" s="177">
        <v>1889857</v>
      </c>
      <c r="I98" s="289">
        <v>80121</v>
      </c>
      <c r="J98" s="177">
        <v>1991852</v>
      </c>
      <c r="K98" s="289">
        <v>80977</v>
      </c>
      <c r="L98" s="177">
        <v>2095333</v>
      </c>
      <c r="M98" s="289">
        <v>81772</v>
      </c>
      <c r="N98" s="177">
        <v>2111394.7161571193</v>
      </c>
      <c r="P98" s="517"/>
      <c r="S98" s="177"/>
    </row>
    <row r="99" spans="1:19" ht="13">
      <c r="A99" s="878">
        <v>3005</v>
      </c>
      <c r="B99" s="883" t="s">
        <v>1619</v>
      </c>
      <c r="C99" s="289">
        <v>96605</v>
      </c>
      <c r="D99" s="177">
        <v>2245441</v>
      </c>
      <c r="E99" s="289">
        <v>97771</v>
      </c>
      <c r="F99" s="177">
        <v>2395137</v>
      </c>
      <c r="G99" s="289">
        <v>98930</v>
      </c>
      <c r="H99" s="177">
        <v>2637910</v>
      </c>
      <c r="I99" s="289">
        <v>99734</v>
      </c>
      <c r="J99" s="177">
        <v>2776360</v>
      </c>
      <c r="K99" s="289">
        <v>100302</v>
      </c>
      <c r="L99" s="177">
        <v>2847014</v>
      </c>
      <c r="M99" s="289">
        <v>100581</v>
      </c>
      <c r="N99" s="177">
        <v>2883246.6352700596</v>
      </c>
      <c r="P99" s="517"/>
      <c r="S99" s="177"/>
    </row>
    <row r="100" spans="1:19" ht="13">
      <c r="A100" s="865">
        <v>3006</v>
      </c>
      <c r="B100" s="866" t="s">
        <v>872</v>
      </c>
      <c r="C100" s="289">
        <v>26406</v>
      </c>
      <c r="D100" s="177">
        <v>752839</v>
      </c>
      <c r="E100" s="289">
        <v>26711</v>
      </c>
      <c r="F100" s="177">
        <v>781052</v>
      </c>
      <c r="G100" s="289">
        <v>27013</v>
      </c>
      <c r="H100" s="177">
        <v>820578</v>
      </c>
      <c r="I100" s="289">
        <v>27216</v>
      </c>
      <c r="J100" s="177">
        <v>824287</v>
      </c>
      <c r="K100" s="289">
        <v>27410</v>
      </c>
      <c r="L100" s="177">
        <v>875371</v>
      </c>
      <c r="M100" s="289">
        <v>27481</v>
      </c>
      <c r="N100" s="177">
        <v>879941.73332807492</v>
      </c>
      <c r="P100" s="517"/>
      <c r="S100" s="177"/>
    </row>
    <row r="101" spans="1:19" ht="13">
      <c r="A101" s="865">
        <v>3007</v>
      </c>
      <c r="B101" s="866" t="s">
        <v>873</v>
      </c>
      <c r="C101" s="289">
        <v>29624</v>
      </c>
      <c r="D101" s="177">
        <v>636695</v>
      </c>
      <c r="E101" s="289">
        <v>29712</v>
      </c>
      <c r="F101" s="177">
        <v>674660</v>
      </c>
      <c r="G101" s="289">
        <v>29801</v>
      </c>
      <c r="H101" s="177">
        <v>741381</v>
      </c>
      <c r="I101" s="289">
        <v>30034</v>
      </c>
      <c r="J101" s="177">
        <v>781819</v>
      </c>
      <c r="K101" s="289">
        <v>30283</v>
      </c>
      <c r="L101" s="177">
        <v>803489</v>
      </c>
      <c r="M101" s="289">
        <v>30442</v>
      </c>
      <c r="N101" s="177">
        <v>815043.50014977518</v>
      </c>
      <c r="P101" s="517"/>
      <c r="S101" s="177"/>
    </row>
    <row r="102" spans="1:19" ht="13">
      <c r="A102" s="865">
        <v>3011</v>
      </c>
      <c r="B102" s="866" t="s">
        <v>787</v>
      </c>
      <c r="C102" s="289">
        <v>4386</v>
      </c>
      <c r="D102" s="177">
        <v>118250</v>
      </c>
      <c r="E102" s="289">
        <v>4480</v>
      </c>
      <c r="F102" s="177">
        <v>120496</v>
      </c>
      <c r="G102" s="289">
        <v>4511</v>
      </c>
      <c r="H102" s="177">
        <v>127169</v>
      </c>
      <c r="I102" s="289">
        <v>4517</v>
      </c>
      <c r="J102" s="177">
        <v>140962</v>
      </c>
      <c r="K102" s="289">
        <v>4540</v>
      </c>
      <c r="L102" s="177">
        <v>152833</v>
      </c>
      <c r="M102" s="289">
        <v>4599</v>
      </c>
      <c r="N102" s="177">
        <v>147837.5083169904</v>
      </c>
      <c r="P102" s="517"/>
      <c r="S102" s="177"/>
    </row>
    <row r="103" spans="1:19" ht="13">
      <c r="A103" s="865">
        <v>3012</v>
      </c>
      <c r="B103" s="866" t="s">
        <v>788</v>
      </c>
      <c r="C103" s="289">
        <v>1408</v>
      </c>
      <c r="D103" s="177">
        <v>27552</v>
      </c>
      <c r="E103" s="289">
        <v>1406</v>
      </c>
      <c r="F103" s="177">
        <v>29788</v>
      </c>
      <c r="G103" s="289">
        <v>1404</v>
      </c>
      <c r="H103" s="177">
        <v>32642</v>
      </c>
      <c r="I103" s="289">
        <v>1398</v>
      </c>
      <c r="J103" s="177">
        <v>34123</v>
      </c>
      <c r="K103" s="289">
        <v>1399</v>
      </c>
      <c r="L103" s="177">
        <v>33281</v>
      </c>
      <c r="M103" s="289">
        <v>1357</v>
      </c>
      <c r="N103" s="177">
        <v>33546.283263190693</v>
      </c>
      <c r="P103" s="517"/>
      <c r="S103" s="177"/>
    </row>
    <row r="104" spans="1:19" ht="13">
      <c r="A104" s="865">
        <v>3013</v>
      </c>
      <c r="B104" s="866" t="s">
        <v>789</v>
      </c>
      <c r="C104" s="289">
        <v>3596</v>
      </c>
      <c r="D104" s="177">
        <v>65789</v>
      </c>
      <c r="E104" s="289">
        <v>3613</v>
      </c>
      <c r="F104" s="177">
        <v>75060</v>
      </c>
      <c r="G104" s="289">
        <v>3610</v>
      </c>
      <c r="H104" s="177">
        <v>85887</v>
      </c>
      <c r="I104" s="289">
        <v>3597</v>
      </c>
      <c r="J104" s="177">
        <v>82436</v>
      </c>
      <c r="K104" s="289">
        <v>3567</v>
      </c>
      <c r="L104" s="177">
        <v>87199</v>
      </c>
      <c r="M104" s="289">
        <v>3592</v>
      </c>
      <c r="N104" s="177">
        <v>88436.321422654728</v>
      </c>
      <c r="P104" s="517"/>
      <c r="S104" s="177"/>
    </row>
    <row r="105" spans="1:19" ht="13">
      <c r="A105" s="878">
        <v>3014</v>
      </c>
      <c r="B105" s="883" t="s">
        <v>1620</v>
      </c>
      <c r="C105" s="289">
        <v>42926</v>
      </c>
      <c r="D105" s="177">
        <v>893718</v>
      </c>
      <c r="E105" s="289">
        <v>43247</v>
      </c>
      <c r="F105" s="177">
        <v>952100</v>
      </c>
      <c r="G105" s="289">
        <v>43472</v>
      </c>
      <c r="H105" s="177">
        <v>1054167</v>
      </c>
      <c r="I105" s="289">
        <v>43815</v>
      </c>
      <c r="J105" s="177">
        <v>1101447</v>
      </c>
      <c r="K105" s="289">
        <v>44035</v>
      </c>
      <c r="L105" s="177">
        <v>1156004</v>
      </c>
      <c r="M105" s="289">
        <v>44320</v>
      </c>
      <c r="N105" s="177">
        <v>1157800.0852341955</v>
      </c>
      <c r="P105" s="517"/>
      <c r="S105" s="177"/>
    </row>
    <row r="106" spans="1:19" ht="13">
      <c r="A106" s="865">
        <v>3015</v>
      </c>
      <c r="B106" s="866" t="s">
        <v>2369</v>
      </c>
      <c r="C106" s="289">
        <v>3727</v>
      </c>
      <c r="D106" s="177">
        <v>74341</v>
      </c>
      <c r="E106" s="289">
        <v>3731</v>
      </c>
      <c r="F106" s="177">
        <v>80910</v>
      </c>
      <c r="G106" s="289">
        <v>3742</v>
      </c>
      <c r="H106" s="177">
        <v>88702</v>
      </c>
      <c r="I106" s="289">
        <v>3783</v>
      </c>
      <c r="J106" s="177">
        <v>87806</v>
      </c>
      <c r="K106" s="289">
        <v>3831</v>
      </c>
      <c r="L106" s="177">
        <v>93552</v>
      </c>
      <c r="M106" s="289">
        <v>3797</v>
      </c>
      <c r="N106" s="177">
        <v>93591.757269274196</v>
      </c>
      <c r="P106" s="517"/>
      <c r="S106" s="177"/>
    </row>
    <row r="107" spans="1:19" ht="13">
      <c r="A107" s="865">
        <v>3016</v>
      </c>
      <c r="B107" s="866" t="s">
        <v>796</v>
      </c>
      <c r="C107" s="289">
        <v>7974</v>
      </c>
      <c r="D107" s="177">
        <v>157886</v>
      </c>
      <c r="E107" s="289">
        <v>8020</v>
      </c>
      <c r="F107" s="177">
        <v>167095</v>
      </c>
      <c r="G107" s="289">
        <v>8084</v>
      </c>
      <c r="H107" s="177">
        <v>193284</v>
      </c>
      <c r="I107" s="289">
        <v>8173</v>
      </c>
      <c r="J107" s="177">
        <v>194656</v>
      </c>
      <c r="K107" s="289">
        <v>8202</v>
      </c>
      <c r="L107" s="177">
        <v>210300</v>
      </c>
      <c r="M107" s="289">
        <v>8230</v>
      </c>
      <c r="N107" s="177">
        <v>208820.28139950128</v>
      </c>
      <c r="P107" s="517"/>
      <c r="S107" s="177"/>
    </row>
    <row r="108" spans="1:19" ht="13">
      <c r="A108" s="865">
        <v>3017</v>
      </c>
      <c r="B108" s="866" t="s">
        <v>797</v>
      </c>
      <c r="C108" s="289">
        <v>7104</v>
      </c>
      <c r="D108" s="177">
        <v>158348</v>
      </c>
      <c r="E108" s="289">
        <v>7206</v>
      </c>
      <c r="F108" s="177">
        <v>167440</v>
      </c>
      <c r="G108" s="289">
        <v>7357</v>
      </c>
      <c r="H108" s="177">
        <v>189397</v>
      </c>
      <c r="I108" s="289">
        <v>7398</v>
      </c>
      <c r="J108" s="177">
        <v>193812</v>
      </c>
      <c r="K108" s="289">
        <v>7465</v>
      </c>
      <c r="L108" s="177">
        <v>198782</v>
      </c>
      <c r="M108" s="289">
        <v>7542</v>
      </c>
      <c r="N108" s="177">
        <v>205014.41013847195</v>
      </c>
      <c r="P108" s="517"/>
      <c r="S108" s="177"/>
    </row>
    <row r="109" spans="1:19" ht="13">
      <c r="A109" s="865">
        <v>3018</v>
      </c>
      <c r="B109" s="866" t="s">
        <v>799</v>
      </c>
      <c r="C109" s="289">
        <v>4978</v>
      </c>
      <c r="D109" s="177">
        <v>104906</v>
      </c>
      <c r="E109" s="289">
        <v>5100</v>
      </c>
      <c r="F109" s="177">
        <v>113132</v>
      </c>
      <c r="G109" s="289">
        <v>5186</v>
      </c>
      <c r="H109" s="177">
        <v>126383</v>
      </c>
      <c r="I109" s="289">
        <v>5335</v>
      </c>
      <c r="J109" s="177">
        <v>136309</v>
      </c>
      <c r="K109" s="289">
        <v>5471</v>
      </c>
      <c r="L109" s="177">
        <v>144788</v>
      </c>
      <c r="M109" s="289">
        <v>5593</v>
      </c>
      <c r="N109" s="177">
        <v>147725.70952400571</v>
      </c>
      <c r="P109" s="517"/>
      <c r="S109" s="177"/>
    </row>
    <row r="110" spans="1:19" ht="13">
      <c r="A110" s="865">
        <v>3019</v>
      </c>
      <c r="B110" s="866" t="s">
        <v>801</v>
      </c>
      <c r="C110" s="289">
        <v>15944</v>
      </c>
      <c r="D110" s="177">
        <v>382877</v>
      </c>
      <c r="E110" s="289">
        <v>16310</v>
      </c>
      <c r="F110" s="177">
        <v>425131</v>
      </c>
      <c r="G110" s="289">
        <v>16732</v>
      </c>
      <c r="H110" s="177">
        <v>481457</v>
      </c>
      <c r="I110" s="289">
        <v>17188</v>
      </c>
      <c r="J110" s="177">
        <v>511136</v>
      </c>
      <c r="K110" s="289">
        <v>17486</v>
      </c>
      <c r="L110" s="177">
        <v>544775</v>
      </c>
      <c r="M110" s="289">
        <v>17824</v>
      </c>
      <c r="N110" s="177">
        <v>552665.55248834717</v>
      </c>
      <c r="P110" s="517"/>
      <c r="S110" s="177"/>
    </row>
    <row r="111" spans="1:19" ht="13">
      <c r="A111" s="878">
        <v>3020</v>
      </c>
      <c r="B111" s="883" t="s">
        <v>1621</v>
      </c>
      <c r="C111" s="289">
        <v>55994</v>
      </c>
      <c r="D111" s="177">
        <v>1607633.0299961043</v>
      </c>
      <c r="E111" s="289">
        <v>56552</v>
      </c>
      <c r="F111" s="177">
        <v>1687306.868021402</v>
      </c>
      <c r="G111" s="289">
        <v>57250</v>
      </c>
      <c r="H111" s="177">
        <v>1862589.7875421231</v>
      </c>
      <c r="I111" s="289">
        <v>57883</v>
      </c>
      <c r="J111" s="177">
        <v>1974434.5683844876</v>
      </c>
      <c r="K111" s="289">
        <v>58255</v>
      </c>
      <c r="L111" s="177">
        <v>2026376.5410774746</v>
      </c>
      <c r="M111" s="289">
        <v>58434</v>
      </c>
      <c r="N111" s="177">
        <v>2050450.6847722053</v>
      </c>
      <c r="P111" s="517"/>
      <c r="S111" s="177"/>
    </row>
    <row r="112" spans="1:19" ht="13">
      <c r="A112" s="889">
        <v>3021</v>
      </c>
      <c r="B112" s="890" t="s">
        <v>803</v>
      </c>
      <c r="C112" s="289">
        <v>17772</v>
      </c>
      <c r="D112" s="177">
        <v>428334.97000389558</v>
      </c>
      <c r="E112" s="289">
        <v>18306</v>
      </c>
      <c r="F112" s="177">
        <v>468138.13197859807</v>
      </c>
      <c r="G112" s="289">
        <v>18795</v>
      </c>
      <c r="H112" s="177">
        <v>499335.212457877</v>
      </c>
      <c r="I112" s="289">
        <v>19091</v>
      </c>
      <c r="J112" s="177">
        <v>537413.43161551224</v>
      </c>
      <c r="K112" s="289">
        <v>19887</v>
      </c>
      <c r="L112" s="177">
        <v>604942.4589225254</v>
      </c>
      <c r="M112" s="289">
        <v>20138</v>
      </c>
      <c r="N112" s="177">
        <v>592496.99851412722</v>
      </c>
      <c r="P112" s="517"/>
      <c r="S112" s="177"/>
    </row>
    <row r="113" spans="1:19" ht="13">
      <c r="A113" s="865">
        <v>3022</v>
      </c>
      <c r="B113" s="866" t="s">
        <v>804</v>
      </c>
      <c r="C113" s="289">
        <v>15671</v>
      </c>
      <c r="D113" s="177">
        <v>458700</v>
      </c>
      <c r="E113" s="289">
        <v>15656</v>
      </c>
      <c r="F113" s="177">
        <v>488635</v>
      </c>
      <c r="G113" s="289">
        <v>15695</v>
      </c>
      <c r="H113" s="177">
        <v>552401</v>
      </c>
      <c r="I113" s="289">
        <v>15743</v>
      </c>
      <c r="J113" s="177">
        <v>572415</v>
      </c>
      <c r="K113" s="289">
        <v>15735</v>
      </c>
      <c r="L113" s="177">
        <v>586294</v>
      </c>
      <c r="M113" s="289">
        <v>15761</v>
      </c>
      <c r="N113" s="177">
        <v>593206.74723710108</v>
      </c>
      <c r="P113" s="517"/>
      <c r="S113" s="177"/>
    </row>
    <row r="114" spans="1:19" ht="13">
      <c r="A114" s="865">
        <v>3023</v>
      </c>
      <c r="B114" s="876" t="s">
        <v>805</v>
      </c>
      <c r="C114" s="289">
        <v>18297</v>
      </c>
      <c r="D114" s="177">
        <v>484633</v>
      </c>
      <c r="E114" s="289">
        <v>18372</v>
      </c>
      <c r="F114" s="177">
        <v>506316</v>
      </c>
      <c r="G114" s="289">
        <v>18623</v>
      </c>
      <c r="H114" s="177">
        <v>556056</v>
      </c>
      <c r="I114" s="289">
        <v>18869</v>
      </c>
      <c r="J114" s="177">
        <v>583891</v>
      </c>
      <c r="K114" s="289">
        <v>19287</v>
      </c>
      <c r="L114" s="177">
        <v>619346</v>
      </c>
      <c r="M114" s="289">
        <v>19488</v>
      </c>
      <c r="N114" s="177">
        <v>626190.99510405108</v>
      </c>
      <c r="P114" s="517"/>
      <c r="S114" s="177"/>
    </row>
    <row r="115" spans="1:19" ht="13">
      <c r="A115" s="865">
        <v>3024</v>
      </c>
      <c r="B115" s="866" t="s">
        <v>807</v>
      </c>
      <c r="C115" s="290">
        <v>118588</v>
      </c>
      <c r="D115" s="182">
        <v>4694842</v>
      </c>
      <c r="E115" s="290">
        <v>120685</v>
      </c>
      <c r="F115" s="182">
        <v>5002876</v>
      </c>
      <c r="G115" s="290">
        <v>122348</v>
      </c>
      <c r="H115" s="182">
        <v>5817013</v>
      </c>
      <c r="I115" s="290">
        <v>124008</v>
      </c>
      <c r="J115" s="182">
        <v>6180068</v>
      </c>
      <c r="K115" s="289">
        <v>125454</v>
      </c>
      <c r="L115" s="177">
        <v>6345361</v>
      </c>
      <c r="M115" s="289">
        <v>126841</v>
      </c>
      <c r="N115" s="177">
        <v>6490912.6564082513</v>
      </c>
      <c r="P115" s="517"/>
      <c r="S115" s="177"/>
    </row>
    <row r="116" spans="1:19" ht="13">
      <c r="A116" s="878">
        <v>3025</v>
      </c>
      <c r="B116" s="883" t="s">
        <v>1622</v>
      </c>
      <c r="C116" s="290">
        <v>88289</v>
      </c>
      <c r="D116" s="182">
        <v>2948054</v>
      </c>
      <c r="E116" s="290">
        <v>89974</v>
      </c>
      <c r="F116" s="182">
        <v>3146906</v>
      </c>
      <c r="G116" s="290">
        <v>91011</v>
      </c>
      <c r="H116" s="182">
        <v>3565023</v>
      </c>
      <c r="I116" s="290">
        <v>92174</v>
      </c>
      <c r="J116" s="182">
        <v>3695221</v>
      </c>
      <c r="K116" s="289">
        <v>92828</v>
      </c>
      <c r="L116" s="177">
        <v>3849981</v>
      </c>
      <c r="M116" s="289">
        <v>93679</v>
      </c>
      <c r="N116" s="177">
        <v>3909263.1029443834</v>
      </c>
      <c r="P116" s="517"/>
      <c r="S116" s="177"/>
    </row>
    <row r="117" spans="1:19" ht="13">
      <c r="A117" s="878">
        <v>3026</v>
      </c>
      <c r="B117" s="883" t="s">
        <v>1623</v>
      </c>
      <c r="C117" s="289">
        <v>16172</v>
      </c>
      <c r="D117" s="177">
        <v>315781</v>
      </c>
      <c r="E117" s="289">
        <v>16398</v>
      </c>
      <c r="F117" s="177">
        <v>343893</v>
      </c>
      <c r="G117" s="289">
        <v>16586</v>
      </c>
      <c r="H117" s="177">
        <v>370963</v>
      </c>
      <c r="I117" s="289">
        <v>16847</v>
      </c>
      <c r="J117" s="177">
        <v>392835</v>
      </c>
      <c r="K117" s="289">
        <v>17072</v>
      </c>
      <c r="L117" s="177">
        <v>417440</v>
      </c>
      <c r="M117" s="289">
        <v>17173</v>
      </c>
      <c r="N117" s="177">
        <v>416346.7132227621</v>
      </c>
      <c r="P117" s="517"/>
      <c r="S117" s="177"/>
    </row>
    <row r="118" spans="1:19" ht="13">
      <c r="A118" s="865">
        <v>3027</v>
      </c>
      <c r="B118" s="866" t="s">
        <v>812</v>
      </c>
      <c r="C118" s="289">
        <v>16806</v>
      </c>
      <c r="D118" s="177">
        <v>418672</v>
      </c>
      <c r="E118" s="289">
        <v>17185</v>
      </c>
      <c r="F118" s="177">
        <v>443705</v>
      </c>
      <c r="G118" s="289">
        <v>17426</v>
      </c>
      <c r="H118" s="177">
        <v>489036</v>
      </c>
      <c r="I118" s="289">
        <v>17730</v>
      </c>
      <c r="J118" s="177">
        <v>519409</v>
      </c>
      <c r="K118" s="289">
        <v>17874</v>
      </c>
      <c r="L118" s="177">
        <v>553595</v>
      </c>
      <c r="M118" s="289">
        <v>18161</v>
      </c>
      <c r="N118" s="177">
        <v>554604.0617153924</v>
      </c>
      <c r="P118" s="517"/>
      <c r="S118" s="177"/>
    </row>
    <row r="119" spans="1:19" ht="13">
      <c r="A119" s="865">
        <v>3028</v>
      </c>
      <c r="B119" s="866" t="s">
        <v>813</v>
      </c>
      <c r="C119" s="289">
        <v>10626</v>
      </c>
      <c r="D119" s="177">
        <v>235399</v>
      </c>
      <c r="E119" s="289">
        <v>10760</v>
      </c>
      <c r="F119" s="177">
        <v>253577</v>
      </c>
      <c r="G119" s="289">
        <v>10870</v>
      </c>
      <c r="H119" s="177">
        <v>279337</v>
      </c>
      <c r="I119" s="289">
        <v>10927</v>
      </c>
      <c r="J119" s="177">
        <v>287943</v>
      </c>
      <c r="K119" s="289">
        <v>10945</v>
      </c>
      <c r="L119" s="177">
        <v>292839</v>
      </c>
      <c r="M119" s="289">
        <v>11026</v>
      </c>
      <c r="N119" s="177">
        <v>300592.76297686307</v>
      </c>
      <c r="P119" s="517"/>
      <c r="S119" s="177"/>
    </row>
    <row r="120" spans="1:19" ht="13">
      <c r="A120" s="865">
        <v>3029</v>
      </c>
      <c r="B120" s="866" t="s">
        <v>814</v>
      </c>
      <c r="C120" s="289">
        <v>34697</v>
      </c>
      <c r="D120" s="177">
        <v>955054</v>
      </c>
      <c r="E120" s="289">
        <v>35139</v>
      </c>
      <c r="F120" s="177">
        <v>1000847</v>
      </c>
      <c r="G120" s="289">
        <v>36368</v>
      </c>
      <c r="H120" s="177">
        <v>1106763</v>
      </c>
      <c r="I120" s="289">
        <v>37406</v>
      </c>
      <c r="J120" s="177">
        <v>1186669</v>
      </c>
      <c r="K120" s="289">
        <v>38670</v>
      </c>
      <c r="L120" s="177">
        <v>1265826</v>
      </c>
      <c r="M120" s="289">
        <v>40106</v>
      </c>
      <c r="N120" s="177">
        <v>1316081.9978617092</v>
      </c>
      <c r="P120" s="517"/>
      <c r="S120" s="177"/>
    </row>
    <row r="121" spans="1:19" ht="13">
      <c r="A121" s="878">
        <v>3030</v>
      </c>
      <c r="B121" s="883" t="s">
        <v>1624</v>
      </c>
      <c r="C121" s="289">
        <v>78483</v>
      </c>
      <c r="D121" s="177">
        <v>2012023.5470813471</v>
      </c>
      <c r="E121" s="289">
        <v>79342</v>
      </c>
      <c r="F121" s="177">
        <v>2092528.8441565973</v>
      </c>
      <c r="G121" s="289">
        <v>80668</v>
      </c>
      <c r="H121" s="177">
        <v>2328540.7196032139</v>
      </c>
      <c r="I121" s="289">
        <v>81825</v>
      </c>
      <c r="J121" s="177">
        <v>2470055.5606839852</v>
      </c>
      <c r="K121" s="289">
        <v>83150</v>
      </c>
      <c r="L121" s="177">
        <v>2579878.053361143</v>
      </c>
      <c r="M121" s="289">
        <v>85086</v>
      </c>
      <c r="N121" s="177">
        <v>2650395.2086837436</v>
      </c>
      <c r="P121" s="517"/>
      <c r="S121" s="177"/>
    </row>
    <row r="122" spans="1:19" ht="13">
      <c r="A122" s="865">
        <v>3031</v>
      </c>
      <c r="B122" s="866" t="s">
        <v>816</v>
      </c>
      <c r="C122" s="289">
        <v>22385</v>
      </c>
      <c r="D122" s="177">
        <v>602308</v>
      </c>
      <c r="E122" s="289">
        <v>22706</v>
      </c>
      <c r="F122" s="177">
        <v>644021</v>
      </c>
      <c r="G122" s="289">
        <v>22857</v>
      </c>
      <c r="H122" s="177">
        <v>703515</v>
      </c>
      <c r="I122" s="289">
        <v>23213</v>
      </c>
      <c r="J122" s="177">
        <v>740249</v>
      </c>
      <c r="K122" s="289">
        <v>23545</v>
      </c>
      <c r="L122" s="177">
        <v>775033</v>
      </c>
      <c r="M122" s="289">
        <v>24089</v>
      </c>
      <c r="N122" s="177">
        <v>796324.76052866154</v>
      </c>
      <c r="P122" s="517"/>
      <c r="S122" s="177"/>
    </row>
    <row r="123" spans="1:19" ht="13">
      <c r="A123" s="865">
        <v>3032</v>
      </c>
      <c r="B123" s="866" t="s">
        <v>817</v>
      </c>
      <c r="C123" s="289">
        <v>6292</v>
      </c>
      <c r="D123" s="177">
        <v>172164</v>
      </c>
      <c r="E123" s="289">
        <v>6326</v>
      </c>
      <c r="F123" s="177">
        <v>183102</v>
      </c>
      <c r="G123" s="289">
        <v>6323</v>
      </c>
      <c r="H123" s="177">
        <v>203326</v>
      </c>
      <c r="I123" s="289">
        <v>6546</v>
      </c>
      <c r="J123" s="177">
        <v>234709</v>
      </c>
      <c r="K123" s="289">
        <v>6704</v>
      </c>
      <c r="L123" s="177">
        <v>242251</v>
      </c>
      <c r="M123" s="289">
        <v>6823</v>
      </c>
      <c r="N123" s="177">
        <v>245616.99682072477</v>
      </c>
      <c r="P123" s="517"/>
      <c r="S123" s="177"/>
    </row>
    <row r="124" spans="1:19" ht="13">
      <c r="A124" s="865">
        <v>3033</v>
      </c>
      <c r="B124" s="866" t="s">
        <v>818</v>
      </c>
      <c r="C124" s="289">
        <v>32438</v>
      </c>
      <c r="D124" s="177">
        <v>785830</v>
      </c>
      <c r="E124" s="289">
        <v>33310</v>
      </c>
      <c r="F124" s="177">
        <v>825439</v>
      </c>
      <c r="G124" s="289">
        <v>34189</v>
      </c>
      <c r="H124" s="177">
        <v>917838</v>
      </c>
      <c r="I124" s="289">
        <v>35102</v>
      </c>
      <c r="J124" s="177">
        <v>996135</v>
      </c>
      <c r="K124" s="289">
        <v>36576</v>
      </c>
      <c r="L124" s="177">
        <v>1072566</v>
      </c>
      <c r="M124" s="289">
        <v>38234</v>
      </c>
      <c r="N124" s="177">
        <v>1117718.9138245115</v>
      </c>
      <c r="P124" s="517"/>
      <c r="S124" s="177"/>
    </row>
    <row r="125" spans="1:19" ht="13">
      <c r="A125" s="889">
        <v>3034</v>
      </c>
      <c r="B125" s="890" t="s">
        <v>819</v>
      </c>
      <c r="C125" s="289">
        <v>20835</v>
      </c>
      <c r="D125" s="177">
        <v>432888.45291865279</v>
      </c>
      <c r="E125" s="289">
        <v>21081</v>
      </c>
      <c r="F125" s="177">
        <v>465520.15584340261</v>
      </c>
      <c r="G125" s="289">
        <v>21454</v>
      </c>
      <c r="H125" s="177">
        <v>517634.28039678611</v>
      </c>
      <c r="I125" s="289">
        <v>21912</v>
      </c>
      <c r="J125" s="177">
        <v>550264.43931601476</v>
      </c>
      <c r="K125" s="289">
        <v>22352</v>
      </c>
      <c r="L125" s="177">
        <v>585140.94663885713</v>
      </c>
      <c r="M125" s="289">
        <v>22556</v>
      </c>
      <c r="N125" s="177">
        <v>587935.08200928359</v>
      </c>
      <c r="P125" s="517"/>
      <c r="S125" s="177"/>
    </row>
    <row r="126" spans="1:19" ht="13">
      <c r="A126" s="865">
        <v>3035</v>
      </c>
      <c r="B126" s="866" t="s">
        <v>820</v>
      </c>
      <c r="C126" s="289">
        <v>22689</v>
      </c>
      <c r="D126" s="177">
        <v>488216</v>
      </c>
      <c r="E126" s="289">
        <v>23238</v>
      </c>
      <c r="F126" s="177">
        <v>518464</v>
      </c>
      <c r="G126" s="289">
        <v>23811</v>
      </c>
      <c r="H126" s="177">
        <v>547726</v>
      </c>
      <c r="I126" s="289">
        <v>24415</v>
      </c>
      <c r="J126" s="177">
        <v>588642</v>
      </c>
      <c r="K126" s="289">
        <v>24647</v>
      </c>
      <c r="L126" s="177">
        <v>626457</v>
      </c>
      <c r="M126" s="289">
        <v>24919</v>
      </c>
      <c r="N126" s="177">
        <v>624781.76730495458</v>
      </c>
      <c r="P126" s="517"/>
      <c r="S126" s="177"/>
    </row>
    <row r="127" spans="1:19" ht="13">
      <c r="A127" s="865">
        <v>3036</v>
      </c>
      <c r="B127" s="866" t="s">
        <v>821</v>
      </c>
      <c r="C127" s="289">
        <v>11707</v>
      </c>
      <c r="D127" s="177">
        <v>256510</v>
      </c>
      <c r="E127" s="289">
        <v>11882</v>
      </c>
      <c r="F127" s="177">
        <v>273585</v>
      </c>
      <c r="G127" s="289">
        <v>12267</v>
      </c>
      <c r="H127" s="177">
        <v>306685</v>
      </c>
      <c r="I127" s="289">
        <v>12657</v>
      </c>
      <c r="J127" s="177">
        <v>327371</v>
      </c>
      <c r="K127" s="289">
        <v>13240</v>
      </c>
      <c r="L127" s="177">
        <v>355948</v>
      </c>
      <c r="M127" s="289">
        <v>13682</v>
      </c>
      <c r="N127" s="177">
        <v>367874.66834147176</v>
      </c>
      <c r="P127" s="517"/>
      <c r="S127" s="177"/>
    </row>
    <row r="128" spans="1:19" ht="13">
      <c r="A128" s="865">
        <v>3037</v>
      </c>
      <c r="B128" s="866" t="s">
        <v>822</v>
      </c>
      <c r="C128" s="289">
        <v>2695</v>
      </c>
      <c r="D128" s="177">
        <v>49896</v>
      </c>
      <c r="E128" s="289">
        <v>2752</v>
      </c>
      <c r="F128" s="177">
        <v>53872</v>
      </c>
      <c r="G128" s="289">
        <v>2837</v>
      </c>
      <c r="H128" s="177">
        <v>60073</v>
      </c>
      <c r="I128" s="289">
        <v>2910</v>
      </c>
      <c r="J128" s="177">
        <v>62531</v>
      </c>
      <c r="K128" s="289">
        <v>2903</v>
      </c>
      <c r="L128" s="177">
        <v>65315</v>
      </c>
      <c r="M128" s="289">
        <v>2864</v>
      </c>
      <c r="N128" s="177">
        <v>64546.251353848951</v>
      </c>
      <c r="P128" s="517"/>
      <c r="S128" s="177"/>
    </row>
    <row r="129" spans="1:19" ht="13">
      <c r="A129" s="865">
        <v>3038</v>
      </c>
      <c r="B129" s="866" t="s">
        <v>874</v>
      </c>
      <c r="C129" s="289">
        <v>6595</v>
      </c>
      <c r="D129" s="177">
        <v>155090</v>
      </c>
      <c r="E129" s="289">
        <v>6698</v>
      </c>
      <c r="F129" s="177">
        <v>149683</v>
      </c>
      <c r="G129" s="289">
        <v>6767</v>
      </c>
      <c r="H129" s="177">
        <v>217126</v>
      </c>
      <c r="I129" s="289">
        <v>6772</v>
      </c>
      <c r="J129" s="177">
        <v>234181</v>
      </c>
      <c r="K129" s="289">
        <v>6833</v>
      </c>
      <c r="L129" s="177">
        <v>231734</v>
      </c>
      <c r="M129" s="289">
        <v>6845</v>
      </c>
      <c r="N129" s="177">
        <v>238121.70393646153</v>
      </c>
      <c r="P129" s="517"/>
      <c r="S129" s="177"/>
    </row>
    <row r="130" spans="1:19" ht="13">
      <c r="A130" s="865">
        <v>3039</v>
      </c>
      <c r="B130" s="866" t="s">
        <v>875</v>
      </c>
      <c r="C130" s="289">
        <v>1033</v>
      </c>
      <c r="D130" s="177">
        <v>24901</v>
      </c>
      <c r="E130" s="289">
        <v>1033</v>
      </c>
      <c r="F130" s="177">
        <v>25335</v>
      </c>
      <c r="G130" s="289">
        <v>1074</v>
      </c>
      <c r="H130" s="177">
        <v>27039</v>
      </c>
      <c r="I130" s="289">
        <v>1081</v>
      </c>
      <c r="J130" s="177">
        <v>30416</v>
      </c>
      <c r="K130" s="289">
        <v>1069</v>
      </c>
      <c r="L130" s="177">
        <v>31909</v>
      </c>
      <c r="M130" s="289">
        <v>1052</v>
      </c>
      <c r="N130" s="177">
        <v>30220.855734625606</v>
      </c>
      <c r="P130" s="517"/>
      <c r="S130" s="177"/>
    </row>
    <row r="131" spans="1:19" ht="13">
      <c r="A131" s="865">
        <v>3040</v>
      </c>
      <c r="B131" s="866" t="s">
        <v>1966</v>
      </c>
      <c r="C131" s="289">
        <v>3445</v>
      </c>
      <c r="D131" s="177">
        <v>77187</v>
      </c>
      <c r="E131" s="289">
        <v>3414</v>
      </c>
      <c r="F131" s="177">
        <v>79354</v>
      </c>
      <c r="G131" s="289">
        <v>3422</v>
      </c>
      <c r="H131" s="177">
        <v>89949</v>
      </c>
      <c r="I131" s="289">
        <v>3357</v>
      </c>
      <c r="J131" s="177">
        <v>96441</v>
      </c>
      <c r="K131" s="289">
        <v>3341</v>
      </c>
      <c r="L131" s="177">
        <v>98315</v>
      </c>
      <c r="M131" s="289">
        <v>3315</v>
      </c>
      <c r="N131" s="177">
        <v>96680.263922903818</v>
      </c>
      <c r="P131" s="517"/>
      <c r="S131" s="177"/>
    </row>
    <row r="132" spans="1:19" ht="13">
      <c r="A132" s="865">
        <v>3041</v>
      </c>
      <c r="B132" s="866" t="s">
        <v>876</v>
      </c>
      <c r="C132" s="289">
        <v>4631</v>
      </c>
      <c r="D132" s="177">
        <v>112440</v>
      </c>
      <c r="E132" s="289">
        <v>4588</v>
      </c>
      <c r="F132" s="177">
        <v>114168</v>
      </c>
      <c r="G132" s="289">
        <v>4578</v>
      </c>
      <c r="H132" s="177">
        <v>123586</v>
      </c>
      <c r="I132" s="289">
        <v>4612</v>
      </c>
      <c r="J132" s="177">
        <v>132260</v>
      </c>
      <c r="K132" s="289">
        <v>4566</v>
      </c>
      <c r="L132" s="177">
        <v>141637</v>
      </c>
      <c r="M132" s="289">
        <v>4576</v>
      </c>
      <c r="N132" s="177">
        <v>136803.1804412872</v>
      </c>
      <c r="P132" s="517"/>
      <c r="S132" s="177"/>
    </row>
    <row r="133" spans="1:19" ht="13">
      <c r="A133" s="865">
        <v>3042</v>
      </c>
      <c r="B133" s="866" t="s">
        <v>877</v>
      </c>
      <c r="C133" s="289">
        <v>2295</v>
      </c>
      <c r="D133" s="177">
        <v>60492</v>
      </c>
      <c r="E133" s="289">
        <v>2344</v>
      </c>
      <c r="F133" s="177">
        <v>64349</v>
      </c>
      <c r="G133" s="289">
        <v>2422</v>
      </c>
      <c r="H133" s="177">
        <v>69719</v>
      </c>
      <c r="I133" s="289">
        <v>2442</v>
      </c>
      <c r="J133" s="177">
        <v>76758</v>
      </c>
      <c r="K133" s="289">
        <v>2457</v>
      </c>
      <c r="L133" s="177">
        <v>84916</v>
      </c>
      <c r="M133" s="289">
        <v>2481</v>
      </c>
      <c r="N133" s="177">
        <v>80963.679663800387</v>
      </c>
      <c r="P133" s="517"/>
      <c r="S133" s="177"/>
    </row>
    <row r="134" spans="1:19" ht="13">
      <c r="A134" s="865">
        <v>3043</v>
      </c>
      <c r="B134" s="866" t="s">
        <v>878</v>
      </c>
      <c r="C134" s="289">
        <v>4713</v>
      </c>
      <c r="D134" s="177">
        <v>112935</v>
      </c>
      <c r="E134" s="289">
        <v>4716</v>
      </c>
      <c r="F134" s="177">
        <v>119963</v>
      </c>
      <c r="G134" s="289">
        <v>4711</v>
      </c>
      <c r="H134" s="177">
        <v>129347</v>
      </c>
      <c r="I134" s="289">
        <v>4719</v>
      </c>
      <c r="J134" s="177">
        <v>138427</v>
      </c>
      <c r="K134" s="289">
        <v>4626</v>
      </c>
      <c r="L134" s="177">
        <v>141581</v>
      </c>
      <c r="M134" s="289">
        <v>4671</v>
      </c>
      <c r="N134" s="177">
        <v>140681.72409981603</v>
      </c>
      <c r="P134" s="517"/>
      <c r="S134" s="177"/>
    </row>
    <row r="135" spans="1:19" ht="13">
      <c r="A135" s="865">
        <v>3044</v>
      </c>
      <c r="B135" s="866" t="s">
        <v>880</v>
      </c>
      <c r="C135" s="289">
        <v>4452</v>
      </c>
      <c r="D135" s="177">
        <v>141469</v>
      </c>
      <c r="E135" s="289">
        <v>4471</v>
      </c>
      <c r="F135" s="177">
        <v>150303</v>
      </c>
      <c r="G135" s="289">
        <v>4497</v>
      </c>
      <c r="H135" s="177">
        <v>163835</v>
      </c>
      <c r="I135" s="289">
        <v>4535</v>
      </c>
      <c r="J135" s="177">
        <v>174624</v>
      </c>
      <c r="K135" s="289">
        <v>4520</v>
      </c>
      <c r="L135" s="177">
        <v>178343</v>
      </c>
      <c r="M135" s="289">
        <v>4473</v>
      </c>
      <c r="N135" s="177">
        <v>176289.3455142139</v>
      </c>
      <c r="P135" s="517"/>
      <c r="S135" s="177"/>
    </row>
    <row r="136" spans="1:19" ht="13">
      <c r="A136" s="865">
        <v>3045</v>
      </c>
      <c r="B136" s="866" t="s">
        <v>881</v>
      </c>
      <c r="C136" s="289">
        <v>3509</v>
      </c>
      <c r="D136" s="177">
        <v>84796</v>
      </c>
      <c r="E136" s="289">
        <v>3520</v>
      </c>
      <c r="F136" s="177">
        <v>87162</v>
      </c>
      <c r="G136" s="289">
        <v>3512</v>
      </c>
      <c r="H136" s="177">
        <v>106580</v>
      </c>
      <c r="I136" s="289">
        <v>3502</v>
      </c>
      <c r="J136" s="177">
        <v>102587</v>
      </c>
      <c r="K136" s="289">
        <v>3488</v>
      </c>
      <c r="L136" s="177">
        <v>98498</v>
      </c>
      <c r="M136" s="289">
        <v>3490</v>
      </c>
      <c r="N136" s="177">
        <v>106226.74504551926</v>
      </c>
      <c r="P136" s="517"/>
      <c r="S136" s="177"/>
    </row>
    <row r="137" spans="1:19" ht="13">
      <c r="A137" s="865">
        <v>3046</v>
      </c>
      <c r="B137" s="866" t="s">
        <v>882</v>
      </c>
      <c r="C137" s="289">
        <v>2265</v>
      </c>
      <c r="D137" s="177">
        <v>56801</v>
      </c>
      <c r="E137" s="289">
        <v>2268</v>
      </c>
      <c r="F137" s="177">
        <v>62344</v>
      </c>
      <c r="G137" s="289">
        <v>2275</v>
      </c>
      <c r="H137" s="177">
        <v>67497</v>
      </c>
      <c r="I137" s="289">
        <v>2257</v>
      </c>
      <c r="J137" s="177">
        <v>71317</v>
      </c>
      <c r="K137" s="289">
        <v>2277</v>
      </c>
      <c r="L137" s="177">
        <v>72970</v>
      </c>
      <c r="M137" s="289">
        <v>2239</v>
      </c>
      <c r="N137" s="177">
        <v>72236.852335092306</v>
      </c>
      <c r="P137" s="517"/>
      <c r="S137" s="177"/>
    </row>
    <row r="138" spans="1:19" ht="13">
      <c r="A138" s="865">
        <v>3047</v>
      </c>
      <c r="B138" s="866" t="s">
        <v>883</v>
      </c>
      <c r="C138" s="289">
        <v>13581</v>
      </c>
      <c r="D138" s="177">
        <v>292072</v>
      </c>
      <c r="E138" s="289">
        <v>13685</v>
      </c>
      <c r="F138" s="177">
        <v>305637</v>
      </c>
      <c r="G138" s="289">
        <v>13794</v>
      </c>
      <c r="H138" s="177">
        <v>341123</v>
      </c>
      <c r="I138" s="289">
        <v>13786</v>
      </c>
      <c r="J138" s="177">
        <v>349911</v>
      </c>
      <c r="K138" s="289">
        <v>13880</v>
      </c>
      <c r="L138" s="177">
        <v>373875</v>
      </c>
      <c r="M138" s="289">
        <v>13980</v>
      </c>
      <c r="N138" s="177">
        <v>371789.23638901429</v>
      </c>
      <c r="P138" s="517"/>
      <c r="S138" s="177"/>
    </row>
    <row r="139" spans="1:19" ht="13">
      <c r="A139" s="865">
        <v>3048</v>
      </c>
      <c r="B139" s="866" t="s">
        <v>884</v>
      </c>
      <c r="C139" s="289">
        <v>17919</v>
      </c>
      <c r="D139" s="177">
        <v>404166</v>
      </c>
      <c r="E139" s="289">
        <v>18039</v>
      </c>
      <c r="F139" s="177">
        <v>436278</v>
      </c>
      <c r="G139" s="289">
        <v>18205</v>
      </c>
      <c r="H139" s="177">
        <v>475477</v>
      </c>
      <c r="I139" s="289">
        <v>18562</v>
      </c>
      <c r="J139" s="177">
        <v>512095</v>
      </c>
      <c r="K139" s="289">
        <v>18926</v>
      </c>
      <c r="L139" s="177">
        <v>525047</v>
      </c>
      <c r="M139" s="289">
        <v>19117</v>
      </c>
      <c r="N139" s="177">
        <v>538469.71471675008</v>
      </c>
      <c r="P139" s="517"/>
      <c r="S139" s="177"/>
    </row>
    <row r="140" spans="1:19" ht="13">
      <c r="A140" s="865">
        <v>3049</v>
      </c>
      <c r="B140" s="866" t="s">
        <v>886</v>
      </c>
      <c r="C140" s="289">
        <v>25175</v>
      </c>
      <c r="D140" s="177">
        <v>692154</v>
      </c>
      <c r="E140" s="289">
        <v>25378</v>
      </c>
      <c r="F140" s="177">
        <v>737381</v>
      </c>
      <c r="G140" s="289">
        <v>25731</v>
      </c>
      <c r="H140" s="177">
        <v>817486</v>
      </c>
      <c r="I140" s="289">
        <v>25740</v>
      </c>
      <c r="J140" s="177">
        <v>854427</v>
      </c>
      <c r="K140" s="289">
        <v>25980</v>
      </c>
      <c r="L140" s="177">
        <v>880691</v>
      </c>
      <c r="M140" s="289">
        <v>26373</v>
      </c>
      <c r="N140" s="177">
        <v>901748.30175461061</v>
      </c>
      <c r="P140" s="517"/>
      <c r="S140" s="177"/>
    </row>
    <row r="141" spans="1:19" ht="13">
      <c r="A141" s="865">
        <v>3050</v>
      </c>
      <c r="B141" s="866" t="s">
        <v>889</v>
      </c>
      <c r="C141" s="289">
        <v>2683</v>
      </c>
      <c r="D141" s="177">
        <v>61223</v>
      </c>
      <c r="E141" s="289">
        <v>2671</v>
      </c>
      <c r="F141" s="177">
        <v>64103</v>
      </c>
      <c r="G141" s="289">
        <v>2699</v>
      </c>
      <c r="H141" s="177">
        <v>70327</v>
      </c>
      <c r="I141" s="289">
        <v>2696</v>
      </c>
      <c r="J141" s="177">
        <v>71305</v>
      </c>
      <c r="K141" s="289">
        <v>2688</v>
      </c>
      <c r="L141" s="177">
        <v>75809</v>
      </c>
      <c r="M141" s="289">
        <v>2694</v>
      </c>
      <c r="N141" s="177">
        <v>75132.122029671533</v>
      </c>
      <c r="P141" s="517"/>
      <c r="S141" s="177"/>
    </row>
    <row r="142" spans="1:19" ht="13">
      <c r="A142" s="865">
        <v>3051</v>
      </c>
      <c r="B142" s="866" t="s">
        <v>890</v>
      </c>
      <c r="C142" s="289">
        <v>1369</v>
      </c>
      <c r="D142" s="177">
        <v>33041</v>
      </c>
      <c r="E142" s="289">
        <v>1375</v>
      </c>
      <c r="F142" s="177">
        <v>33997</v>
      </c>
      <c r="G142" s="289">
        <v>1404</v>
      </c>
      <c r="H142" s="177">
        <v>35626</v>
      </c>
      <c r="I142" s="289">
        <v>1399</v>
      </c>
      <c r="J142" s="177">
        <v>38046</v>
      </c>
      <c r="K142" s="289">
        <v>1411</v>
      </c>
      <c r="L142" s="177">
        <v>41136</v>
      </c>
      <c r="M142" s="289">
        <v>1419</v>
      </c>
      <c r="N142" s="177">
        <v>39894.143706265015</v>
      </c>
      <c r="P142" s="517"/>
      <c r="S142" s="177"/>
    </row>
    <row r="143" spans="1:19" ht="13">
      <c r="A143" s="865">
        <v>3052</v>
      </c>
      <c r="B143" s="866" t="s">
        <v>891</v>
      </c>
      <c r="C143" s="289">
        <v>2557</v>
      </c>
      <c r="D143" s="177">
        <v>75781</v>
      </c>
      <c r="E143" s="289">
        <v>2541</v>
      </c>
      <c r="F143" s="177">
        <v>79807</v>
      </c>
      <c r="G143" s="289">
        <v>2548</v>
      </c>
      <c r="H143" s="177">
        <v>82403</v>
      </c>
      <c r="I143" s="289">
        <v>2530</v>
      </c>
      <c r="J143" s="177">
        <v>86626</v>
      </c>
      <c r="K143" s="289">
        <v>2482</v>
      </c>
      <c r="L143" s="177">
        <v>90032</v>
      </c>
      <c r="M143" s="289">
        <v>2448</v>
      </c>
      <c r="N143" s="177">
        <v>86837.261079503282</v>
      </c>
      <c r="P143" s="517"/>
      <c r="S143" s="177"/>
    </row>
    <row r="144" spans="1:19" ht="13">
      <c r="A144" s="865">
        <v>3053</v>
      </c>
      <c r="B144" s="866" t="s">
        <v>860</v>
      </c>
      <c r="C144" s="289">
        <v>6516</v>
      </c>
      <c r="D144" s="177">
        <v>126182</v>
      </c>
      <c r="E144" s="289">
        <v>6599</v>
      </c>
      <c r="F144" s="177">
        <v>133870</v>
      </c>
      <c r="G144" s="289">
        <v>6629</v>
      </c>
      <c r="H144" s="177">
        <v>147737</v>
      </c>
      <c r="I144" s="289">
        <v>6696</v>
      </c>
      <c r="J144" s="177">
        <v>157513</v>
      </c>
      <c r="K144" s="289">
        <v>6777</v>
      </c>
      <c r="L144" s="177">
        <v>167525</v>
      </c>
      <c r="M144" s="289">
        <v>6846</v>
      </c>
      <c r="N144" s="177">
        <v>166908.24630141459</v>
      </c>
      <c r="P144" s="517"/>
      <c r="S144" s="177"/>
    </row>
    <row r="145" spans="1:19" ht="13">
      <c r="A145" s="865">
        <v>3054</v>
      </c>
      <c r="B145" s="876" t="s">
        <v>861</v>
      </c>
      <c r="C145" s="289">
        <v>8952</v>
      </c>
      <c r="D145" s="177">
        <v>195426</v>
      </c>
      <c r="E145" s="289">
        <v>9003</v>
      </c>
      <c r="F145" s="177">
        <v>209542</v>
      </c>
      <c r="G145" s="289">
        <v>9044</v>
      </c>
      <c r="H145" s="177">
        <v>229314</v>
      </c>
      <c r="I145" s="289">
        <v>9080</v>
      </c>
      <c r="J145" s="177">
        <v>238287</v>
      </c>
      <c r="K145" s="289">
        <v>9065</v>
      </c>
      <c r="L145" s="177">
        <v>250417</v>
      </c>
      <c r="M145" s="289">
        <v>9051</v>
      </c>
      <c r="N145" s="177">
        <v>247936.51754508837</v>
      </c>
      <c r="P145" s="517"/>
      <c r="S145" s="177"/>
    </row>
    <row r="146" spans="1:19" ht="13">
      <c r="A146" s="865">
        <v>3401</v>
      </c>
      <c r="B146" s="866" t="s">
        <v>824</v>
      </c>
      <c r="C146" s="289">
        <v>17825</v>
      </c>
      <c r="D146" s="177">
        <v>346051</v>
      </c>
      <c r="E146" s="289">
        <v>17881</v>
      </c>
      <c r="F146" s="177">
        <v>377420</v>
      </c>
      <c r="G146" s="289">
        <v>17835</v>
      </c>
      <c r="H146" s="177">
        <v>418583</v>
      </c>
      <c r="I146" s="289">
        <v>17857</v>
      </c>
      <c r="J146" s="177">
        <v>438186</v>
      </c>
      <c r="K146" s="289">
        <v>17934</v>
      </c>
      <c r="L146" s="177">
        <v>464345</v>
      </c>
      <c r="M146" s="289">
        <v>17823</v>
      </c>
      <c r="N146" s="177">
        <v>455331.98819545936</v>
      </c>
      <c r="P146" s="517"/>
      <c r="S146" s="177"/>
    </row>
    <row r="147" spans="1:19" ht="13">
      <c r="A147" s="865">
        <v>3403</v>
      </c>
      <c r="B147" s="866" t="s">
        <v>825</v>
      </c>
      <c r="C147" s="289">
        <v>29520</v>
      </c>
      <c r="D147" s="177">
        <v>664070</v>
      </c>
      <c r="E147" s="289">
        <v>29847</v>
      </c>
      <c r="F147" s="177">
        <v>723558</v>
      </c>
      <c r="G147" s="289">
        <v>30120</v>
      </c>
      <c r="H147" s="177">
        <v>799127</v>
      </c>
      <c r="I147" s="289">
        <v>30598</v>
      </c>
      <c r="J147" s="177">
        <v>838185</v>
      </c>
      <c r="K147" s="289">
        <v>30930</v>
      </c>
      <c r="L147" s="177">
        <v>879991</v>
      </c>
      <c r="M147" s="289">
        <v>31144</v>
      </c>
      <c r="N147" s="177">
        <v>887233.51777346991</v>
      </c>
      <c r="P147" s="517"/>
      <c r="S147" s="177"/>
    </row>
    <row r="148" spans="1:19" ht="13">
      <c r="A148" s="865">
        <v>3405</v>
      </c>
      <c r="B148" s="866" t="s">
        <v>845</v>
      </c>
      <c r="C148" s="289">
        <v>27028</v>
      </c>
      <c r="D148" s="177">
        <v>624848</v>
      </c>
      <c r="E148" s="289">
        <v>27300</v>
      </c>
      <c r="F148" s="177">
        <v>657280</v>
      </c>
      <c r="G148" s="289">
        <v>27476</v>
      </c>
      <c r="H148" s="177">
        <v>729709</v>
      </c>
      <c r="I148" s="289">
        <v>27781</v>
      </c>
      <c r="J148" s="177">
        <v>769643</v>
      </c>
      <c r="K148" s="289">
        <v>27938</v>
      </c>
      <c r="L148" s="177">
        <v>805350</v>
      </c>
      <c r="M148" s="289">
        <v>28023</v>
      </c>
      <c r="N148" s="177">
        <v>804915.09130819608</v>
      </c>
      <c r="P148" s="517"/>
      <c r="S148" s="177"/>
    </row>
    <row r="149" spans="1:19" ht="13">
      <c r="A149" s="865">
        <v>3407</v>
      </c>
      <c r="B149" s="866" t="s">
        <v>846</v>
      </c>
      <c r="C149" s="289">
        <v>29668</v>
      </c>
      <c r="D149" s="177">
        <v>594011</v>
      </c>
      <c r="E149" s="289">
        <v>30063</v>
      </c>
      <c r="F149" s="177">
        <v>645070</v>
      </c>
      <c r="G149" s="289">
        <v>30137</v>
      </c>
      <c r="H149" s="177">
        <v>711172</v>
      </c>
      <c r="I149" s="289">
        <v>30319</v>
      </c>
      <c r="J149" s="177">
        <v>758212</v>
      </c>
      <c r="K149" s="289">
        <v>30642</v>
      </c>
      <c r="L149" s="177">
        <v>797745</v>
      </c>
      <c r="M149" s="289">
        <v>30676</v>
      </c>
      <c r="N149" s="177">
        <v>791576.43658691656</v>
      </c>
      <c r="O149" s="5"/>
      <c r="P149" s="517"/>
      <c r="S149" s="177"/>
    </row>
    <row r="150" spans="1:19" ht="13">
      <c r="A150" s="865">
        <v>3411</v>
      </c>
      <c r="B150" s="866" t="s">
        <v>826</v>
      </c>
      <c r="C150" s="289">
        <v>33463</v>
      </c>
      <c r="D150" s="177">
        <v>639220</v>
      </c>
      <c r="E150" s="289">
        <v>33603</v>
      </c>
      <c r="F150" s="177">
        <v>679590</v>
      </c>
      <c r="G150" s="289">
        <v>33597</v>
      </c>
      <c r="H150" s="177">
        <v>752571</v>
      </c>
      <c r="I150" s="289">
        <v>33842</v>
      </c>
      <c r="J150" s="177">
        <v>789183</v>
      </c>
      <c r="K150" s="289">
        <v>34151</v>
      </c>
      <c r="L150" s="177">
        <v>837000</v>
      </c>
      <c r="M150" s="289">
        <v>34488</v>
      </c>
      <c r="N150" s="177">
        <v>837387.45470935339</v>
      </c>
      <c r="P150" s="517"/>
      <c r="S150" s="177"/>
    </row>
    <row r="151" spans="1:19" ht="13">
      <c r="A151" s="865">
        <v>3412</v>
      </c>
      <c r="B151" s="866" t="s">
        <v>827</v>
      </c>
      <c r="C151" s="289">
        <v>7546</v>
      </c>
      <c r="D151" s="177">
        <v>135203</v>
      </c>
      <c r="E151" s="289">
        <v>7552</v>
      </c>
      <c r="F151" s="177">
        <v>143397</v>
      </c>
      <c r="G151" s="289">
        <v>7588</v>
      </c>
      <c r="H151" s="177">
        <v>154879</v>
      </c>
      <c r="I151" s="289">
        <v>7633</v>
      </c>
      <c r="J151" s="177">
        <v>162788</v>
      </c>
      <c r="K151" s="289">
        <v>7615</v>
      </c>
      <c r="L151" s="177">
        <v>169501</v>
      </c>
      <c r="M151" s="289">
        <v>7663</v>
      </c>
      <c r="N151" s="177">
        <v>169566.6244355464</v>
      </c>
      <c r="P151" s="517"/>
      <c r="S151" s="177"/>
    </row>
    <row r="152" spans="1:19" ht="13">
      <c r="A152" s="865">
        <v>3413</v>
      </c>
      <c r="B152" s="876" t="s">
        <v>828</v>
      </c>
      <c r="C152" s="289">
        <v>19737</v>
      </c>
      <c r="D152" s="177">
        <v>376955</v>
      </c>
      <c r="E152" s="289">
        <v>20013</v>
      </c>
      <c r="F152" s="177">
        <v>407797</v>
      </c>
      <c r="G152" s="289">
        <v>20119</v>
      </c>
      <c r="H152" s="177">
        <v>451307</v>
      </c>
      <c r="I152" s="289">
        <v>20317</v>
      </c>
      <c r="J152" s="177">
        <v>472002</v>
      </c>
      <c r="K152" s="289">
        <v>20646</v>
      </c>
      <c r="L152" s="177">
        <v>497212</v>
      </c>
      <c r="M152" s="289">
        <v>20916</v>
      </c>
      <c r="N152" s="177">
        <v>504492.87240573182</v>
      </c>
      <c r="P152" s="517"/>
      <c r="S152" s="177"/>
    </row>
    <row r="153" spans="1:19" ht="13">
      <c r="A153" s="865">
        <v>3414</v>
      </c>
      <c r="B153" s="866" t="s">
        <v>829</v>
      </c>
      <c r="C153" s="289">
        <v>5118</v>
      </c>
      <c r="D153" s="177">
        <v>89305</v>
      </c>
      <c r="E153" s="289">
        <v>5128</v>
      </c>
      <c r="F153" s="177">
        <v>94709</v>
      </c>
      <c r="G153" s="289">
        <v>5131</v>
      </c>
      <c r="H153" s="177">
        <v>100053</v>
      </c>
      <c r="I153" s="289">
        <v>5100</v>
      </c>
      <c r="J153" s="177">
        <v>103182</v>
      </c>
      <c r="K153" s="289">
        <v>5097</v>
      </c>
      <c r="L153" s="177">
        <v>109633</v>
      </c>
      <c r="M153" s="289">
        <v>5024</v>
      </c>
      <c r="N153" s="177">
        <v>106371.18595222131</v>
      </c>
      <c r="P153" s="517"/>
      <c r="S153" s="177"/>
    </row>
    <row r="154" spans="1:19" ht="13">
      <c r="A154" s="865">
        <v>3415</v>
      </c>
      <c r="B154" s="866" t="s">
        <v>830</v>
      </c>
      <c r="C154" s="289">
        <v>7847</v>
      </c>
      <c r="D154" s="177">
        <v>154803</v>
      </c>
      <c r="E154" s="289">
        <v>7800</v>
      </c>
      <c r="F154" s="177">
        <v>164788</v>
      </c>
      <c r="G154" s="289">
        <v>7901</v>
      </c>
      <c r="H154" s="177">
        <v>181493</v>
      </c>
      <c r="I154" s="289">
        <v>7866</v>
      </c>
      <c r="J154" s="177">
        <v>184298</v>
      </c>
      <c r="K154" s="289">
        <v>7884</v>
      </c>
      <c r="L154" s="177">
        <v>192327</v>
      </c>
      <c r="M154" s="289">
        <v>7879</v>
      </c>
      <c r="N154" s="177">
        <v>192892.10166082814</v>
      </c>
      <c r="P154" s="517"/>
      <c r="S154" s="177"/>
    </row>
    <row r="155" spans="1:19" ht="13">
      <c r="A155" s="865">
        <v>3416</v>
      </c>
      <c r="B155" s="866" t="s">
        <v>831</v>
      </c>
      <c r="C155" s="289">
        <v>6253</v>
      </c>
      <c r="D155" s="177">
        <v>99815</v>
      </c>
      <c r="E155" s="289">
        <v>6219</v>
      </c>
      <c r="F155" s="177">
        <v>110856</v>
      </c>
      <c r="G155" s="289">
        <v>6142</v>
      </c>
      <c r="H155" s="177">
        <v>122325</v>
      </c>
      <c r="I155" s="289">
        <v>6127</v>
      </c>
      <c r="J155" s="177">
        <v>125225</v>
      </c>
      <c r="K155" s="289">
        <v>6142</v>
      </c>
      <c r="L155" s="177">
        <v>129210</v>
      </c>
      <c r="M155" s="289">
        <v>6114</v>
      </c>
      <c r="N155" s="177">
        <v>129829.5226880847</v>
      </c>
      <c r="P155" s="517"/>
      <c r="S155" s="177"/>
    </row>
    <row r="156" spans="1:19" ht="13">
      <c r="A156" s="865">
        <v>3417</v>
      </c>
      <c r="B156" s="866" t="s">
        <v>832</v>
      </c>
      <c r="C156" s="289">
        <v>4948</v>
      </c>
      <c r="D156" s="177">
        <v>88799</v>
      </c>
      <c r="E156" s="289">
        <v>4853</v>
      </c>
      <c r="F156" s="177">
        <v>94131</v>
      </c>
      <c r="G156" s="289">
        <v>4763</v>
      </c>
      <c r="H156" s="177">
        <v>100637</v>
      </c>
      <c r="I156" s="289">
        <v>4777</v>
      </c>
      <c r="J156" s="177">
        <v>100470</v>
      </c>
      <c r="K156" s="289">
        <v>4740</v>
      </c>
      <c r="L156" s="177">
        <v>105990</v>
      </c>
      <c r="M156" s="289">
        <v>4646</v>
      </c>
      <c r="N156" s="177">
        <v>103686.67648112499</v>
      </c>
      <c r="P156" s="517"/>
      <c r="S156" s="177"/>
    </row>
    <row r="157" spans="1:19" ht="13">
      <c r="A157" s="865">
        <v>3418</v>
      </c>
      <c r="B157" s="866" t="s">
        <v>833</v>
      </c>
      <c r="C157" s="289">
        <v>7544</v>
      </c>
      <c r="D157" s="177">
        <v>131663</v>
      </c>
      <c r="E157" s="289">
        <v>7561</v>
      </c>
      <c r="F157" s="177">
        <v>141663</v>
      </c>
      <c r="G157" s="289">
        <v>7456</v>
      </c>
      <c r="H157" s="177">
        <v>150457</v>
      </c>
      <c r="I157" s="289">
        <v>7329</v>
      </c>
      <c r="J157" s="177">
        <v>157341</v>
      </c>
      <c r="K157" s="289">
        <v>7279</v>
      </c>
      <c r="L157" s="177">
        <v>162251</v>
      </c>
      <c r="M157" s="289">
        <v>7214</v>
      </c>
      <c r="N157" s="177">
        <v>159461.98082945924</v>
      </c>
      <c r="P157" s="517"/>
      <c r="S157" s="177"/>
    </row>
    <row r="158" spans="1:19" ht="13">
      <c r="A158" s="865">
        <v>3419</v>
      </c>
      <c r="B158" s="866" t="s">
        <v>799</v>
      </c>
      <c r="C158" s="289">
        <v>3783</v>
      </c>
      <c r="D158" s="177">
        <v>67464</v>
      </c>
      <c r="E158" s="289">
        <v>3790</v>
      </c>
      <c r="F158" s="177">
        <v>72785</v>
      </c>
      <c r="G158" s="289">
        <v>3760</v>
      </c>
      <c r="H158" s="177">
        <v>79771</v>
      </c>
      <c r="I158" s="289">
        <v>3743</v>
      </c>
      <c r="J158" s="177">
        <v>80622</v>
      </c>
      <c r="K158" s="289">
        <v>3680</v>
      </c>
      <c r="L158" s="177">
        <v>81489</v>
      </c>
      <c r="M158" s="289">
        <v>3705</v>
      </c>
      <c r="N158" s="177">
        <v>83140.812221779663</v>
      </c>
      <c r="P158" s="517"/>
      <c r="S158" s="177"/>
    </row>
    <row r="159" spans="1:19" ht="13">
      <c r="A159" s="865">
        <v>3420</v>
      </c>
      <c r="B159" s="866" t="s">
        <v>834</v>
      </c>
      <c r="C159" s="289">
        <v>20563</v>
      </c>
      <c r="D159" s="177">
        <v>413285</v>
      </c>
      <c r="E159" s="289">
        <v>20794</v>
      </c>
      <c r="F159" s="177">
        <v>442451</v>
      </c>
      <c r="G159" s="289">
        <v>21030</v>
      </c>
      <c r="H159" s="177">
        <v>469925</v>
      </c>
      <c r="I159" s="289">
        <v>21086</v>
      </c>
      <c r="J159" s="177">
        <v>490237</v>
      </c>
      <c r="K159" s="289">
        <v>21123</v>
      </c>
      <c r="L159" s="177">
        <v>510655</v>
      </c>
      <c r="M159" s="289">
        <v>21191</v>
      </c>
      <c r="N159" s="177">
        <v>511132.4792328637</v>
      </c>
      <c r="P159" s="517"/>
      <c r="S159" s="177"/>
    </row>
    <row r="160" spans="1:19" ht="13">
      <c r="A160" s="865">
        <v>3421</v>
      </c>
      <c r="B160" s="866" t="s">
        <v>835</v>
      </c>
      <c r="C160" s="289">
        <v>6621</v>
      </c>
      <c r="D160" s="177">
        <v>123473</v>
      </c>
      <c r="E160" s="289">
        <v>6569</v>
      </c>
      <c r="F160" s="177">
        <v>128694</v>
      </c>
      <c r="G160" s="289">
        <v>6525</v>
      </c>
      <c r="H160" s="177">
        <v>143523</v>
      </c>
      <c r="I160" s="289">
        <v>6550</v>
      </c>
      <c r="J160" s="177">
        <v>155053</v>
      </c>
      <c r="K160" s="289">
        <v>6567</v>
      </c>
      <c r="L160" s="177">
        <v>169452</v>
      </c>
      <c r="M160" s="289">
        <v>6607</v>
      </c>
      <c r="N160" s="177">
        <v>163094.75660952582</v>
      </c>
      <c r="P160" s="517"/>
      <c r="S160" s="177"/>
    </row>
    <row r="161" spans="1:19" ht="13">
      <c r="A161" s="865">
        <v>3422</v>
      </c>
      <c r="B161" s="866" t="s">
        <v>836</v>
      </c>
      <c r="C161" s="289">
        <v>4455</v>
      </c>
      <c r="D161" s="177">
        <v>86844</v>
      </c>
      <c r="E161" s="289">
        <v>4456</v>
      </c>
      <c r="F161" s="177">
        <v>91773</v>
      </c>
      <c r="G161" s="289">
        <v>4429</v>
      </c>
      <c r="H161" s="177">
        <v>97563</v>
      </c>
      <c r="I161" s="289">
        <v>4518</v>
      </c>
      <c r="J161" s="177">
        <v>101766</v>
      </c>
      <c r="K161" s="289">
        <v>4480</v>
      </c>
      <c r="L161" s="177">
        <v>103252</v>
      </c>
      <c r="M161" s="289">
        <v>4407</v>
      </c>
      <c r="N161" s="177">
        <v>102928.40958692122</v>
      </c>
      <c r="P161" s="517"/>
      <c r="S161" s="177"/>
    </row>
    <row r="162" spans="1:19" ht="13">
      <c r="A162" s="865">
        <v>3423</v>
      </c>
      <c r="B162" s="866" t="s">
        <v>837</v>
      </c>
      <c r="C162" s="289">
        <v>2699</v>
      </c>
      <c r="D162" s="177">
        <v>45450</v>
      </c>
      <c r="E162" s="289">
        <v>2619</v>
      </c>
      <c r="F162" s="177">
        <v>46804</v>
      </c>
      <c r="G162" s="289">
        <v>2600</v>
      </c>
      <c r="H162" s="177">
        <v>51442</v>
      </c>
      <c r="I162" s="289">
        <v>2530</v>
      </c>
      <c r="J162" s="177">
        <v>55098</v>
      </c>
      <c r="K162" s="289">
        <v>2490</v>
      </c>
      <c r="L162" s="177">
        <v>52624</v>
      </c>
      <c r="M162" s="289">
        <v>2459</v>
      </c>
      <c r="N162" s="177">
        <v>53313.877258187393</v>
      </c>
      <c r="P162" s="517"/>
      <c r="S162" s="177"/>
    </row>
    <row r="163" spans="1:19" ht="13">
      <c r="A163" s="865">
        <v>3424</v>
      </c>
      <c r="B163" s="866" t="s">
        <v>838</v>
      </c>
      <c r="C163" s="289">
        <v>1883</v>
      </c>
      <c r="D163" s="177">
        <v>37165</v>
      </c>
      <c r="E163" s="289">
        <v>1885</v>
      </c>
      <c r="F163" s="177">
        <v>39705</v>
      </c>
      <c r="G163" s="289">
        <v>1881</v>
      </c>
      <c r="H163" s="177">
        <v>41109</v>
      </c>
      <c r="I163" s="289">
        <v>1858</v>
      </c>
      <c r="J163" s="177">
        <v>41486</v>
      </c>
      <c r="K163" s="289">
        <v>1827</v>
      </c>
      <c r="L163" s="177">
        <v>42432</v>
      </c>
      <c r="M163" s="289">
        <v>1791</v>
      </c>
      <c r="N163" s="177">
        <v>41745.682950192109</v>
      </c>
      <c r="P163" s="517"/>
      <c r="S163" s="177"/>
    </row>
    <row r="164" spans="1:19" ht="13">
      <c r="A164" s="865">
        <v>3425</v>
      </c>
      <c r="B164" s="866" t="s">
        <v>839</v>
      </c>
      <c r="C164" s="289">
        <v>1345</v>
      </c>
      <c r="D164" s="177">
        <v>21656</v>
      </c>
      <c r="E164" s="289">
        <v>1359</v>
      </c>
      <c r="F164" s="177">
        <v>23795</v>
      </c>
      <c r="G164" s="289">
        <v>1305</v>
      </c>
      <c r="H164" s="177">
        <v>24758</v>
      </c>
      <c r="I164" s="289">
        <v>1274</v>
      </c>
      <c r="J164" s="177">
        <v>26109</v>
      </c>
      <c r="K164" s="289">
        <v>1294</v>
      </c>
      <c r="L164" s="177">
        <v>27184</v>
      </c>
      <c r="M164" s="289">
        <v>1286</v>
      </c>
      <c r="N164" s="177">
        <v>26885.117866464112</v>
      </c>
      <c r="P164" s="517"/>
      <c r="S164" s="177"/>
    </row>
    <row r="165" spans="1:19" ht="13">
      <c r="A165" s="865">
        <v>3426</v>
      </c>
      <c r="B165" s="866" t="s">
        <v>840</v>
      </c>
      <c r="C165" s="289">
        <v>1658</v>
      </c>
      <c r="D165" s="177">
        <v>27453</v>
      </c>
      <c r="E165" s="289">
        <v>1656</v>
      </c>
      <c r="F165" s="177">
        <v>27218</v>
      </c>
      <c r="G165" s="289">
        <v>1620</v>
      </c>
      <c r="H165" s="177">
        <v>30445</v>
      </c>
      <c r="I165" s="289">
        <v>1620</v>
      </c>
      <c r="J165" s="177">
        <v>29844</v>
      </c>
      <c r="K165" s="289">
        <v>1553</v>
      </c>
      <c r="L165" s="177">
        <v>29834</v>
      </c>
      <c r="M165" s="289">
        <v>1551</v>
      </c>
      <c r="N165" s="177">
        <v>30282.856765778273</v>
      </c>
      <c r="P165" s="517"/>
      <c r="S165" s="177"/>
    </row>
    <row r="166" spans="1:19" ht="13">
      <c r="A166" s="865">
        <v>3427</v>
      </c>
      <c r="B166" s="866" t="s">
        <v>841</v>
      </c>
      <c r="C166" s="289">
        <v>5549</v>
      </c>
      <c r="D166" s="177">
        <v>107680</v>
      </c>
      <c r="E166" s="289">
        <v>5562</v>
      </c>
      <c r="F166" s="177">
        <v>113932</v>
      </c>
      <c r="G166" s="289">
        <v>5580</v>
      </c>
      <c r="H166" s="177">
        <v>122027</v>
      </c>
      <c r="I166" s="289">
        <v>5584</v>
      </c>
      <c r="J166" s="177">
        <v>130470</v>
      </c>
      <c r="K166" s="289">
        <v>5605</v>
      </c>
      <c r="L166" s="177">
        <v>136219</v>
      </c>
      <c r="M166" s="289">
        <v>5591</v>
      </c>
      <c r="N166" s="177">
        <v>134251.13613935767</v>
      </c>
      <c r="P166" s="517"/>
      <c r="S166" s="177"/>
    </row>
    <row r="167" spans="1:19" ht="13">
      <c r="A167" s="865">
        <v>3428</v>
      </c>
      <c r="B167" s="866" t="s">
        <v>842</v>
      </c>
      <c r="C167" s="289">
        <v>2432</v>
      </c>
      <c r="D167" s="177">
        <v>48352</v>
      </c>
      <c r="E167" s="289">
        <v>2418</v>
      </c>
      <c r="F167" s="177">
        <v>49066</v>
      </c>
      <c r="G167" s="289">
        <v>2426</v>
      </c>
      <c r="H167" s="177">
        <v>52913</v>
      </c>
      <c r="I167" s="289">
        <v>2441</v>
      </c>
      <c r="J167" s="177">
        <v>59525</v>
      </c>
      <c r="K167" s="289">
        <v>2424</v>
      </c>
      <c r="L167" s="177">
        <v>59910</v>
      </c>
      <c r="M167" s="289">
        <v>2418</v>
      </c>
      <c r="N167" s="177">
        <v>59147.559731764675</v>
      </c>
      <c r="P167" s="517"/>
      <c r="S167" s="177"/>
    </row>
    <row r="168" spans="1:19" ht="13">
      <c r="A168" s="865">
        <v>3429</v>
      </c>
      <c r="B168" s="866" t="s">
        <v>843</v>
      </c>
      <c r="C168" s="289">
        <v>1631</v>
      </c>
      <c r="D168" s="177">
        <v>28026</v>
      </c>
      <c r="E168" s="289">
        <v>1597</v>
      </c>
      <c r="F168" s="177">
        <v>29300</v>
      </c>
      <c r="G168" s="289">
        <v>1592</v>
      </c>
      <c r="H168" s="177">
        <v>31621</v>
      </c>
      <c r="I168" s="289">
        <v>1577</v>
      </c>
      <c r="J168" s="177">
        <v>31809</v>
      </c>
      <c r="K168" s="289">
        <v>1569</v>
      </c>
      <c r="L168" s="177">
        <v>32557</v>
      </c>
      <c r="M168" s="289">
        <v>1577</v>
      </c>
      <c r="N168" s="177">
        <v>33124.943058128665</v>
      </c>
      <c r="P168" s="517"/>
      <c r="S168" s="177"/>
    </row>
    <row r="169" spans="1:19" ht="13">
      <c r="A169" s="865">
        <v>3430</v>
      </c>
      <c r="B169" s="866" t="s">
        <v>844</v>
      </c>
      <c r="C169" s="289">
        <v>2013</v>
      </c>
      <c r="D169" s="177">
        <v>35911</v>
      </c>
      <c r="E169" s="289">
        <v>1991</v>
      </c>
      <c r="F169" s="177">
        <v>38018</v>
      </c>
      <c r="G169" s="289">
        <v>1956</v>
      </c>
      <c r="H169" s="177">
        <v>40273</v>
      </c>
      <c r="I169" s="289">
        <v>1963</v>
      </c>
      <c r="J169" s="177">
        <v>40847</v>
      </c>
      <c r="K169" s="289">
        <v>1936</v>
      </c>
      <c r="L169" s="177">
        <v>42580</v>
      </c>
      <c r="M169" s="289">
        <v>1912</v>
      </c>
      <c r="N169" s="177">
        <v>41919.002056547462</v>
      </c>
      <c r="P169" s="517"/>
      <c r="S169" s="177"/>
    </row>
    <row r="170" spans="1:19" ht="13">
      <c r="A170" s="865">
        <v>3431</v>
      </c>
      <c r="B170" s="866" t="s">
        <v>847</v>
      </c>
      <c r="C170" s="289">
        <v>2704</v>
      </c>
      <c r="D170" s="177">
        <v>50086</v>
      </c>
      <c r="E170" s="289">
        <v>2745</v>
      </c>
      <c r="F170" s="177">
        <v>54394</v>
      </c>
      <c r="G170" s="289">
        <v>2701</v>
      </c>
      <c r="H170" s="177">
        <v>59477</v>
      </c>
      <c r="I170" s="289">
        <v>2675</v>
      </c>
      <c r="J170" s="177">
        <v>58760</v>
      </c>
      <c r="K170" s="289">
        <v>2642</v>
      </c>
      <c r="L170" s="177">
        <v>61104</v>
      </c>
      <c r="M170" s="289">
        <v>2615</v>
      </c>
      <c r="N170" s="177">
        <v>60710.301421804143</v>
      </c>
      <c r="P170" s="517"/>
      <c r="S170" s="177"/>
    </row>
    <row r="171" spans="1:19" ht="13">
      <c r="A171" s="865">
        <v>3432</v>
      </c>
      <c r="B171" s="866" t="s">
        <v>848</v>
      </c>
      <c r="C171" s="289">
        <v>2076</v>
      </c>
      <c r="D171" s="177">
        <v>38506</v>
      </c>
      <c r="E171" s="289">
        <v>2059</v>
      </c>
      <c r="F171" s="177">
        <v>41423</v>
      </c>
      <c r="G171" s="289">
        <v>2055</v>
      </c>
      <c r="H171" s="177">
        <v>46978</v>
      </c>
      <c r="I171" s="289">
        <v>2048</v>
      </c>
      <c r="J171" s="177">
        <v>48600</v>
      </c>
      <c r="K171" s="289">
        <v>2038</v>
      </c>
      <c r="L171" s="177">
        <v>49147</v>
      </c>
      <c r="M171" s="289">
        <v>2009</v>
      </c>
      <c r="N171" s="177">
        <v>49106.033216519259</v>
      </c>
      <c r="P171" s="517"/>
      <c r="S171" s="177"/>
    </row>
    <row r="172" spans="1:19" ht="13">
      <c r="A172" s="865">
        <v>3433</v>
      </c>
      <c r="B172" s="866" t="s">
        <v>849</v>
      </c>
      <c r="C172" s="289">
        <v>2264</v>
      </c>
      <c r="D172" s="177">
        <v>54288</v>
      </c>
      <c r="E172" s="289">
        <v>2245</v>
      </c>
      <c r="F172" s="177">
        <v>57843</v>
      </c>
      <c r="G172" s="289">
        <v>2204</v>
      </c>
      <c r="H172" s="177">
        <v>56347</v>
      </c>
      <c r="I172" s="289">
        <v>2202</v>
      </c>
      <c r="J172" s="177">
        <v>57765</v>
      </c>
      <c r="K172" s="289">
        <v>2179</v>
      </c>
      <c r="L172" s="177">
        <v>59712</v>
      </c>
      <c r="M172" s="289">
        <v>2204</v>
      </c>
      <c r="N172" s="177">
        <v>59868.681824367544</v>
      </c>
      <c r="P172" s="517"/>
      <c r="S172" s="177"/>
    </row>
    <row r="173" spans="1:19" ht="13">
      <c r="A173" s="865">
        <v>3434</v>
      </c>
      <c r="B173" s="866" t="s">
        <v>850</v>
      </c>
      <c r="C173" s="289">
        <v>2361</v>
      </c>
      <c r="D173" s="177">
        <v>45505</v>
      </c>
      <c r="E173" s="289">
        <v>2356</v>
      </c>
      <c r="F173" s="177">
        <v>48209</v>
      </c>
      <c r="G173" s="289">
        <v>2347</v>
      </c>
      <c r="H173" s="177">
        <v>50742</v>
      </c>
      <c r="I173" s="289">
        <v>2360</v>
      </c>
      <c r="J173" s="177">
        <v>52717</v>
      </c>
      <c r="K173" s="289">
        <v>2331</v>
      </c>
      <c r="L173" s="177">
        <v>53712</v>
      </c>
      <c r="M173" s="289">
        <v>2293</v>
      </c>
      <c r="N173" s="177">
        <v>53103.390050672715</v>
      </c>
      <c r="P173" s="517"/>
      <c r="S173" s="177"/>
    </row>
    <row r="174" spans="1:19" ht="13">
      <c r="A174" s="865">
        <v>3435</v>
      </c>
      <c r="B174" s="866" t="s">
        <v>851</v>
      </c>
      <c r="C174" s="289">
        <v>3686</v>
      </c>
      <c r="D174" s="177">
        <v>67094</v>
      </c>
      <c r="E174" s="289">
        <v>3675</v>
      </c>
      <c r="F174" s="177">
        <v>69739</v>
      </c>
      <c r="G174" s="289">
        <v>3664</v>
      </c>
      <c r="H174" s="177">
        <v>75013</v>
      </c>
      <c r="I174" s="289">
        <v>3640</v>
      </c>
      <c r="J174" s="177">
        <v>75847</v>
      </c>
      <c r="K174" s="289">
        <v>3638</v>
      </c>
      <c r="L174" s="177">
        <v>88200</v>
      </c>
      <c r="M174" s="289">
        <v>3589</v>
      </c>
      <c r="N174" s="177">
        <v>81214.694525744053</v>
      </c>
      <c r="P174" s="517"/>
      <c r="S174" s="177"/>
    </row>
    <row r="175" spans="1:19" ht="13">
      <c r="A175" s="865">
        <v>3436</v>
      </c>
      <c r="B175" s="866" t="s">
        <v>852</v>
      </c>
      <c r="C175" s="289">
        <v>5765</v>
      </c>
      <c r="D175" s="177">
        <v>135027</v>
      </c>
      <c r="E175" s="289">
        <v>5754</v>
      </c>
      <c r="F175" s="177">
        <v>147197</v>
      </c>
      <c r="G175" s="289">
        <v>5741</v>
      </c>
      <c r="H175" s="177">
        <v>156680</v>
      </c>
      <c r="I175" s="289">
        <v>5723</v>
      </c>
      <c r="J175" s="177">
        <v>157240</v>
      </c>
      <c r="K175" s="289">
        <v>5728</v>
      </c>
      <c r="L175" s="177">
        <v>163384</v>
      </c>
      <c r="M175" s="289">
        <v>5742</v>
      </c>
      <c r="N175" s="177">
        <v>164681.76842274584</v>
      </c>
      <c r="P175" s="517"/>
      <c r="S175" s="177"/>
    </row>
    <row r="176" spans="1:19" ht="13">
      <c r="A176" s="865">
        <v>3437</v>
      </c>
      <c r="B176" s="866" t="s">
        <v>853</v>
      </c>
      <c r="C176" s="289">
        <v>5974</v>
      </c>
      <c r="D176" s="177">
        <v>99876</v>
      </c>
      <c r="E176" s="289">
        <v>5965</v>
      </c>
      <c r="F176" s="177">
        <v>106162</v>
      </c>
      <c r="G176" s="289">
        <v>5935</v>
      </c>
      <c r="H176" s="177">
        <v>113135</v>
      </c>
      <c r="I176" s="289">
        <v>5916</v>
      </c>
      <c r="J176" s="177">
        <v>115631</v>
      </c>
      <c r="K176" s="289">
        <v>5872</v>
      </c>
      <c r="L176" s="177">
        <v>120218</v>
      </c>
      <c r="M176" s="289">
        <v>5789</v>
      </c>
      <c r="N176" s="177">
        <v>118275.51727634839</v>
      </c>
      <c r="P176" s="517"/>
      <c r="S176" s="177"/>
    </row>
    <row r="177" spans="1:19" ht="13">
      <c r="A177" s="865">
        <v>3438</v>
      </c>
      <c r="B177" s="866" t="s">
        <v>854</v>
      </c>
      <c r="C177" s="289">
        <v>3191</v>
      </c>
      <c r="D177" s="177">
        <v>71560</v>
      </c>
      <c r="E177" s="289">
        <v>3204</v>
      </c>
      <c r="F177" s="177">
        <v>72836</v>
      </c>
      <c r="G177" s="289">
        <v>3154</v>
      </c>
      <c r="H177" s="177">
        <v>80249</v>
      </c>
      <c r="I177" s="289">
        <v>3163</v>
      </c>
      <c r="J177" s="177">
        <v>81548</v>
      </c>
      <c r="K177" s="289">
        <v>3146</v>
      </c>
      <c r="L177" s="177">
        <v>85416</v>
      </c>
      <c r="M177" s="289">
        <v>3127</v>
      </c>
      <c r="N177" s="177">
        <v>84579.993284713448</v>
      </c>
      <c r="P177" s="517"/>
      <c r="S177" s="177"/>
    </row>
    <row r="178" spans="1:19" ht="13">
      <c r="A178" s="865">
        <v>3439</v>
      </c>
      <c r="B178" s="866" t="s">
        <v>855</v>
      </c>
      <c r="C178" s="289">
        <v>4495</v>
      </c>
      <c r="D178" s="177">
        <v>88613</v>
      </c>
      <c r="E178" s="289">
        <v>4459</v>
      </c>
      <c r="F178" s="177">
        <v>96151</v>
      </c>
      <c r="G178" s="289">
        <v>4462</v>
      </c>
      <c r="H178" s="177">
        <v>103553</v>
      </c>
      <c r="I178" s="289">
        <v>4502</v>
      </c>
      <c r="J178" s="177">
        <v>106336</v>
      </c>
      <c r="K178" s="289">
        <v>4454</v>
      </c>
      <c r="L178" s="177">
        <v>110978</v>
      </c>
      <c r="M178" s="289">
        <v>4425</v>
      </c>
      <c r="N178" s="177">
        <v>109790.22153864011</v>
      </c>
      <c r="P178" s="517"/>
      <c r="S178" s="177"/>
    </row>
    <row r="179" spans="1:19" ht="13">
      <c r="A179" s="865">
        <v>3440</v>
      </c>
      <c r="B179" s="866" t="s">
        <v>856</v>
      </c>
      <c r="C179" s="289">
        <v>5090</v>
      </c>
      <c r="D179" s="177">
        <v>116095</v>
      </c>
      <c r="E179" s="289">
        <v>5065</v>
      </c>
      <c r="F179" s="177">
        <v>116092</v>
      </c>
      <c r="G179" s="289">
        <v>5072</v>
      </c>
      <c r="H179" s="177">
        <v>131318</v>
      </c>
      <c r="I179" s="289">
        <v>5082</v>
      </c>
      <c r="J179" s="177">
        <v>140354</v>
      </c>
      <c r="K179" s="289">
        <v>5130</v>
      </c>
      <c r="L179" s="177">
        <v>149306</v>
      </c>
      <c r="M179" s="289">
        <v>5119</v>
      </c>
      <c r="N179" s="177">
        <v>146024.336354083</v>
      </c>
      <c r="P179" s="517"/>
      <c r="S179" s="177"/>
    </row>
    <row r="180" spans="1:19" ht="13">
      <c r="A180" s="865">
        <v>3441</v>
      </c>
      <c r="B180" s="866" t="s">
        <v>857</v>
      </c>
      <c r="C180" s="289">
        <v>6237</v>
      </c>
      <c r="D180" s="177">
        <v>121697</v>
      </c>
      <c r="E180" s="289">
        <v>6210</v>
      </c>
      <c r="F180" s="177">
        <v>129805</v>
      </c>
      <c r="G180" s="289">
        <v>6227</v>
      </c>
      <c r="H180" s="177">
        <v>141000</v>
      </c>
      <c r="I180" s="289">
        <v>6204</v>
      </c>
      <c r="J180" s="177">
        <v>148052</v>
      </c>
      <c r="K180" s="289">
        <v>6148</v>
      </c>
      <c r="L180" s="177">
        <v>156210</v>
      </c>
      <c r="M180" s="289">
        <v>6112</v>
      </c>
      <c r="N180" s="177">
        <v>151909.04961356657</v>
      </c>
      <c r="P180" s="517"/>
      <c r="S180" s="177"/>
    </row>
    <row r="181" spans="1:19" ht="13">
      <c r="A181" s="865">
        <v>3442</v>
      </c>
      <c r="B181" s="866" t="s">
        <v>858</v>
      </c>
      <c r="C181" s="289">
        <v>14777</v>
      </c>
      <c r="D181" s="177">
        <v>281403</v>
      </c>
      <c r="E181" s="289">
        <v>14796</v>
      </c>
      <c r="F181" s="177">
        <v>298093</v>
      </c>
      <c r="G181" s="289">
        <v>14906</v>
      </c>
      <c r="H181" s="177">
        <v>331237</v>
      </c>
      <c r="I181" s="289">
        <v>14887</v>
      </c>
      <c r="J181" s="177">
        <v>349805</v>
      </c>
      <c r="K181" s="289">
        <v>14888</v>
      </c>
      <c r="L181" s="177">
        <v>375056</v>
      </c>
      <c r="M181" s="289">
        <v>14948</v>
      </c>
      <c r="N181" s="177">
        <v>366347.47332154715</v>
      </c>
      <c r="P181" s="517"/>
      <c r="S181" s="177"/>
    </row>
    <row r="182" spans="1:19" ht="13">
      <c r="A182" s="865">
        <v>3443</v>
      </c>
      <c r="B182" s="866" t="s">
        <v>859</v>
      </c>
      <c r="C182" s="289">
        <v>13075</v>
      </c>
      <c r="D182" s="177">
        <v>248655</v>
      </c>
      <c r="E182" s="289">
        <v>13152</v>
      </c>
      <c r="F182" s="177">
        <v>268292</v>
      </c>
      <c r="G182" s="289">
        <v>13180</v>
      </c>
      <c r="H182" s="177">
        <v>289291</v>
      </c>
      <c r="I182" s="289">
        <v>13179</v>
      </c>
      <c r="J182" s="177">
        <v>298912</v>
      </c>
      <c r="K182" s="289">
        <v>13314</v>
      </c>
      <c r="L182" s="177">
        <v>319630</v>
      </c>
      <c r="M182" s="289">
        <v>13384</v>
      </c>
      <c r="N182" s="177">
        <v>317626.78800067824</v>
      </c>
      <c r="P182" s="517"/>
      <c r="S182" s="177"/>
    </row>
    <row r="183" spans="1:19" ht="13">
      <c r="A183" s="865">
        <v>3446</v>
      </c>
      <c r="B183" s="866" t="s">
        <v>862</v>
      </c>
      <c r="C183" s="289">
        <v>13607</v>
      </c>
      <c r="D183" s="177">
        <v>275643</v>
      </c>
      <c r="E183" s="289">
        <v>13685</v>
      </c>
      <c r="F183" s="177">
        <v>299360</v>
      </c>
      <c r="G183" s="289">
        <v>13695</v>
      </c>
      <c r="H183" s="177">
        <v>330694</v>
      </c>
      <c r="I183" s="289">
        <v>13707</v>
      </c>
      <c r="J183" s="177">
        <v>341304</v>
      </c>
      <c r="K183" s="289">
        <v>13770</v>
      </c>
      <c r="L183" s="177">
        <v>356430</v>
      </c>
      <c r="M183" s="289">
        <v>13642</v>
      </c>
      <c r="N183" s="177">
        <v>353516.79376865627</v>
      </c>
      <c r="P183" s="517"/>
      <c r="S183" s="177"/>
    </row>
    <row r="184" spans="1:19" ht="13">
      <c r="A184" s="865">
        <v>3447</v>
      </c>
      <c r="B184" s="866" t="s">
        <v>863</v>
      </c>
      <c r="C184" s="289">
        <v>5701</v>
      </c>
      <c r="D184" s="177">
        <v>93534</v>
      </c>
      <c r="E184" s="289">
        <v>5772</v>
      </c>
      <c r="F184" s="177">
        <v>99452</v>
      </c>
      <c r="G184" s="289">
        <v>5758</v>
      </c>
      <c r="H184" s="177">
        <v>111262</v>
      </c>
      <c r="I184" s="289">
        <v>5717</v>
      </c>
      <c r="J184" s="177">
        <v>114902</v>
      </c>
      <c r="K184" s="289">
        <v>5650</v>
      </c>
      <c r="L184" s="177">
        <v>118346</v>
      </c>
      <c r="M184" s="289">
        <v>5623</v>
      </c>
      <c r="N184" s="177">
        <v>117374.38194009676</v>
      </c>
      <c r="P184" s="517"/>
      <c r="S184" s="177"/>
    </row>
    <row r="185" spans="1:19" ht="13">
      <c r="A185" s="865">
        <v>3448</v>
      </c>
      <c r="B185" s="866" t="s">
        <v>864</v>
      </c>
      <c r="C185" s="289">
        <v>6700</v>
      </c>
      <c r="D185" s="177">
        <v>119053</v>
      </c>
      <c r="E185" s="289">
        <v>6740</v>
      </c>
      <c r="F185" s="177">
        <v>130066</v>
      </c>
      <c r="G185" s="289">
        <v>6751</v>
      </c>
      <c r="H185" s="177">
        <v>140247</v>
      </c>
      <c r="I185" s="289">
        <v>6773</v>
      </c>
      <c r="J185" s="177">
        <v>144949</v>
      </c>
      <c r="K185" s="289">
        <v>6750</v>
      </c>
      <c r="L185" s="177">
        <v>148417</v>
      </c>
      <c r="M185" s="289">
        <v>6671</v>
      </c>
      <c r="N185" s="177">
        <v>147859.906947098</v>
      </c>
      <c r="P185" s="517"/>
      <c r="S185" s="177"/>
    </row>
    <row r="186" spans="1:19" ht="13">
      <c r="A186" s="865">
        <v>3449</v>
      </c>
      <c r="B186" s="866" t="s">
        <v>865</v>
      </c>
      <c r="C186" s="289">
        <v>3133</v>
      </c>
      <c r="D186" s="177">
        <v>62100</v>
      </c>
      <c r="E186" s="289">
        <v>3094</v>
      </c>
      <c r="F186" s="177">
        <v>64195</v>
      </c>
      <c r="G186" s="289">
        <v>3058</v>
      </c>
      <c r="H186" s="177">
        <v>66787</v>
      </c>
      <c r="I186" s="289">
        <v>3026</v>
      </c>
      <c r="J186" s="177">
        <v>67880</v>
      </c>
      <c r="K186" s="289">
        <v>3014</v>
      </c>
      <c r="L186" s="177">
        <v>73595</v>
      </c>
      <c r="M186" s="289">
        <v>2981</v>
      </c>
      <c r="N186" s="177">
        <v>70702.288682232509</v>
      </c>
      <c r="P186" s="517"/>
      <c r="S186" s="177"/>
    </row>
    <row r="187" spans="1:19" ht="13">
      <c r="A187" s="865">
        <v>3450</v>
      </c>
      <c r="B187" s="866" t="s">
        <v>866</v>
      </c>
      <c r="C187" s="289">
        <v>1408</v>
      </c>
      <c r="D187" s="177">
        <v>23718</v>
      </c>
      <c r="E187" s="289">
        <v>1402</v>
      </c>
      <c r="F187" s="177">
        <v>24754</v>
      </c>
      <c r="G187" s="289">
        <v>1321</v>
      </c>
      <c r="H187" s="177">
        <v>28197</v>
      </c>
      <c r="I187" s="289">
        <v>1351</v>
      </c>
      <c r="J187" s="177">
        <v>32167</v>
      </c>
      <c r="K187" s="289">
        <v>1352</v>
      </c>
      <c r="L187" s="177">
        <v>32388</v>
      </c>
      <c r="M187" s="289">
        <v>1305</v>
      </c>
      <c r="N187" s="177">
        <v>31174.278847216381</v>
      </c>
      <c r="P187" s="517"/>
      <c r="S187" s="177"/>
    </row>
    <row r="188" spans="1:19" ht="13">
      <c r="A188" s="865">
        <v>3451</v>
      </c>
      <c r="B188" s="866" t="s">
        <v>867</v>
      </c>
      <c r="C188" s="289">
        <v>6417</v>
      </c>
      <c r="D188" s="177">
        <v>138198</v>
      </c>
      <c r="E188" s="289">
        <v>6466</v>
      </c>
      <c r="F188" s="177">
        <v>144388</v>
      </c>
      <c r="G188" s="289">
        <v>6458</v>
      </c>
      <c r="H188" s="177">
        <v>160812</v>
      </c>
      <c r="I188" s="289">
        <v>6490</v>
      </c>
      <c r="J188" s="177">
        <v>168668</v>
      </c>
      <c r="K188" s="289">
        <v>6443</v>
      </c>
      <c r="L188" s="177">
        <v>174124</v>
      </c>
      <c r="M188" s="289">
        <v>6418</v>
      </c>
      <c r="N188" s="177">
        <v>172715.78282956031</v>
      </c>
      <c r="P188" s="517"/>
      <c r="S188" s="177"/>
    </row>
    <row r="189" spans="1:19" ht="13">
      <c r="A189" s="865">
        <v>3452</v>
      </c>
      <c r="B189" s="866" t="s">
        <v>868</v>
      </c>
      <c r="C189" s="289">
        <v>2187</v>
      </c>
      <c r="D189" s="177">
        <v>48337</v>
      </c>
      <c r="E189" s="289">
        <v>2180</v>
      </c>
      <c r="F189" s="177">
        <v>50874</v>
      </c>
      <c r="G189" s="289">
        <v>2168</v>
      </c>
      <c r="H189" s="177">
        <v>54249</v>
      </c>
      <c r="I189" s="289">
        <v>2114</v>
      </c>
      <c r="J189" s="177">
        <v>56445</v>
      </c>
      <c r="K189" s="289">
        <v>2139</v>
      </c>
      <c r="L189" s="177">
        <v>61276</v>
      </c>
      <c r="M189" s="289">
        <v>2135</v>
      </c>
      <c r="N189" s="177">
        <v>59249.505249342568</v>
      </c>
      <c r="P189" s="517"/>
      <c r="S189" s="177"/>
    </row>
    <row r="190" spans="1:19" ht="13">
      <c r="A190" s="865">
        <v>3453</v>
      </c>
      <c r="B190" s="866" t="s">
        <v>869</v>
      </c>
      <c r="C190" s="289">
        <v>3206</v>
      </c>
      <c r="D190" s="177">
        <v>73934</v>
      </c>
      <c r="E190" s="289">
        <v>3199</v>
      </c>
      <c r="F190" s="177">
        <v>80327</v>
      </c>
      <c r="G190" s="289">
        <v>3220</v>
      </c>
      <c r="H190" s="177">
        <v>81838</v>
      </c>
      <c r="I190" s="289">
        <v>3248</v>
      </c>
      <c r="J190" s="177">
        <v>90424</v>
      </c>
      <c r="K190" s="289">
        <v>3221</v>
      </c>
      <c r="L190" s="177">
        <v>96866</v>
      </c>
      <c r="M190" s="289">
        <v>3208</v>
      </c>
      <c r="N190" s="177">
        <v>92301.161983815982</v>
      </c>
      <c r="P190" s="517"/>
      <c r="S190" s="177"/>
    </row>
    <row r="191" spans="1:19" ht="13">
      <c r="A191" s="865">
        <v>3454</v>
      </c>
      <c r="B191" s="866" t="s">
        <v>870</v>
      </c>
      <c r="C191" s="289">
        <v>1602</v>
      </c>
      <c r="D191" s="177">
        <v>38293</v>
      </c>
      <c r="E191" s="289">
        <v>1619</v>
      </c>
      <c r="F191" s="177">
        <v>37972</v>
      </c>
      <c r="G191" s="289">
        <v>1590</v>
      </c>
      <c r="H191" s="177">
        <v>44551</v>
      </c>
      <c r="I191" s="289">
        <v>1596</v>
      </c>
      <c r="J191" s="177">
        <v>45896</v>
      </c>
      <c r="K191" s="289">
        <v>1601</v>
      </c>
      <c r="L191" s="177">
        <v>47228</v>
      </c>
      <c r="M191" s="289">
        <v>1610</v>
      </c>
      <c r="N191" s="177">
        <v>47744.418241724976</v>
      </c>
      <c r="P191" s="517"/>
      <c r="S191" s="177"/>
    </row>
    <row r="192" spans="1:19" ht="13">
      <c r="A192" s="889">
        <v>3801</v>
      </c>
      <c r="B192" s="890" t="s">
        <v>346</v>
      </c>
      <c r="C192" s="289">
        <v>26764</v>
      </c>
      <c r="D192" s="177">
        <v>552806.01082677161</v>
      </c>
      <c r="E192" s="289">
        <v>26916</v>
      </c>
      <c r="F192" s="177">
        <v>580113.19226196909</v>
      </c>
      <c r="G192" s="289">
        <v>27191</v>
      </c>
      <c r="H192" s="177">
        <v>637642.28415767546</v>
      </c>
      <c r="I192" s="289">
        <v>27215</v>
      </c>
      <c r="J192" s="177">
        <v>663833.01096352516</v>
      </c>
      <c r="K192" s="289">
        <v>27330</v>
      </c>
      <c r="L192" s="177">
        <v>672728.49734954792</v>
      </c>
      <c r="M192" s="289">
        <v>27347</v>
      </c>
      <c r="N192" s="177">
        <v>685425.0985262366</v>
      </c>
      <c r="P192" s="517"/>
      <c r="S192" s="177"/>
    </row>
    <row r="193" spans="1:19" ht="13">
      <c r="A193" s="878">
        <v>3802</v>
      </c>
      <c r="B193" s="883" t="s">
        <v>1625</v>
      </c>
      <c r="C193" s="289">
        <v>22707</v>
      </c>
      <c r="D193" s="177">
        <v>493700.64173228346</v>
      </c>
      <c r="E193" s="289">
        <v>23048</v>
      </c>
      <c r="F193" s="177">
        <v>529592.14157570514</v>
      </c>
      <c r="G193" s="289">
        <v>23325</v>
      </c>
      <c r="H193" s="177">
        <v>589362.40273475053</v>
      </c>
      <c r="I193" s="289">
        <v>23657</v>
      </c>
      <c r="J193" s="177">
        <v>624113.10457516345</v>
      </c>
      <c r="K193" s="289">
        <v>24062</v>
      </c>
      <c r="L193" s="177">
        <v>652556.20548799506</v>
      </c>
      <c r="M193" s="289">
        <v>24399</v>
      </c>
      <c r="N193" s="177">
        <v>664879.23184805585</v>
      </c>
      <c r="P193" s="517"/>
      <c r="S193" s="177"/>
    </row>
    <row r="194" spans="1:19" ht="13">
      <c r="A194" s="878">
        <v>3803</v>
      </c>
      <c r="B194" s="883" t="s">
        <v>1626</v>
      </c>
      <c r="C194" s="289">
        <v>52759</v>
      </c>
      <c r="D194" s="177">
        <v>1236996.2639410752</v>
      </c>
      <c r="E194" s="289">
        <v>53238</v>
      </c>
      <c r="F194" s="177">
        <v>1324750.7923573544</v>
      </c>
      <c r="G194" s="289">
        <v>53702</v>
      </c>
      <c r="H194" s="177">
        <v>1448295.3131075739</v>
      </c>
      <c r="I194" s="289">
        <v>54271</v>
      </c>
      <c r="J194" s="177">
        <v>1536705.8844613114</v>
      </c>
      <c r="K194" s="289">
        <v>54844</v>
      </c>
      <c r="L194" s="177">
        <v>1606071.2971624571</v>
      </c>
      <c r="M194" s="289">
        <v>55569</v>
      </c>
      <c r="N194" s="177">
        <v>1624931.3479037308</v>
      </c>
      <c r="P194" s="517"/>
      <c r="S194" s="177"/>
    </row>
    <row r="195" spans="1:19" ht="13">
      <c r="A195" s="865">
        <v>3804</v>
      </c>
      <c r="B195" s="866" t="s">
        <v>1153</v>
      </c>
      <c r="C195" s="289">
        <v>60002</v>
      </c>
      <c r="D195" s="177">
        <v>1328826.0834998698</v>
      </c>
      <c r="E195" s="289">
        <v>60445</v>
      </c>
      <c r="F195" s="177">
        <v>1401206.8738049713</v>
      </c>
      <c r="G195" s="289">
        <v>61212</v>
      </c>
      <c r="H195" s="177">
        <v>1565068</v>
      </c>
      <c r="I195" s="289">
        <v>62019</v>
      </c>
      <c r="J195" s="177">
        <v>1617614</v>
      </c>
      <c r="K195" s="289">
        <v>62615</v>
      </c>
      <c r="L195" s="177">
        <v>1650021</v>
      </c>
      <c r="M195" s="289">
        <v>63271</v>
      </c>
      <c r="N195" s="177">
        <v>1707531.3946840975</v>
      </c>
      <c r="P195" s="517"/>
      <c r="S195" s="177"/>
    </row>
    <row r="196" spans="1:19" ht="13">
      <c r="A196" s="865">
        <v>3805</v>
      </c>
      <c r="B196" s="876" t="s">
        <v>1235</v>
      </c>
      <c r="C196" s="289">
        <v>45718</v>
      </c>
      <c r="D196" s="177">
        <v>967685</v>
      </c>
      <c r="E196" s="289">
        <v>45969</v>
      </c>
      <c r="F196" s="177">
        <v>1066695</v>
      </c>
      <c r="G196" s="289">
        <v>46341</v>
      </c>
      <c r="H196" s="177">
        <v>1143575</v>
      </c>
      <c r="I196" s="289">
        <v>46557</v>
      </c>
      <c r="J196" s="177">
        <v>1204992</v>
      </c>
      <c r="K196" s="289">
        <v>46801</v>
      </c>
      <c r="L196" s="177">
        <v>1250980</v>
      </c>
      <c r="M196" s="289">
        <v>47107</v>
      </c>
      <c r="N196" s="177">
        <v>1258987.7058479465</v>
      </c>
      <c r="P196" s="517"/>
      <c r="S196" s="177"/>
    </row>
    <row r="197" spans="1:19" ht="13">
      <c r="A197" s="865">
        <v>3806</v>
      </c>
      <c r="B197" s="866" t="s">
        <v>904</v>
      </c>
      <c r="C197" s="289">
        <v>35516</v>
      </c>
      <c r="D197" s="177">
        <v>786648</v>
      </c>
      <c r="E197" s="289">
        <v>35755</v>
      </c>
      <c r="F197" s="177">
        <v>832456</v>
      </c>
      <c r="G197" s="289">
        <v>35955</v>
      </c>
      <c r="H197" s="177">
        <v>899390</v>
      </c>
      <c r="I197" s="289">
        <v>36198</v>
      </c>
      <c r="J197" s="177">
        <v>954527</v>
      </c>
      <c r="K197" s="289">
        <v>36091</v>
      </c>
      <c r="L197" s="177">
        <v>994677</v>
      </c>
      <c r="M197" s="289">
        <v>36224</v>
      </c>
      <c r="N197" s="177">
        <v>988673.49391965964</v>
      </c>
      <c r="P197" s="517"/>
      <c r="S197" s="177"/>
    </row>
    <row r="198" spans="1:19" ht="13">
      <c r="A198" s="865">
        <v>3807</v>
      </c>
      <c r="B198" s="866" t="s">
        <v>905</v>
      </c>
      <c r="C198" s="289">
        <v>53439</v>
      </c>
      <c r="D198" s="177">
        <v>1111721</v>
      </c>
      <c r="E198" s="289">
        <v>53745</v>
      </c>
      <c r="F198" s="177">
        <v>1204597</v>
      </c>
      <c r="G198" s="289">
        <v>53952</v>
      </c>
      <c r="H198" s="177">
        <v>1297835</v>
      </c>
      <c r="I198" s="289">
        <v>54316</v>
      </c>
      <c r="J198" s="177">
        <v>1350527</v>
      </c>
      <c r="K198" s="289">
        <v>54510</v>
      </c>
      <c r="L198" s="177">
        <v>1395616</v>
      </c>
      <c r="M198" s="289">
        <v>54645</v>
      </c>
      <c r="N198" s="177">
        <v>1408346.2695811526</v>
      </c>
      <c r="P198" s="517"/>
      <c r="S198" s="177"/>
    </row>
    <row r="199" spans="1:19" ht="13">
      <c r="A199" s="889">
        <v>3808</v>
      </c>
      <c r="B199" s="890" t="s">
        <v>906</v>
      </c>
      <c r="C199" s="289">
        <v>13057</v>
      </c>
      <c r="D199" s="177">
        <v>269847.11190751445</v>
      </c>
      <c r="E199" s="289">
        <v>13047</v>
      </c>
      <c r="F199" s="177">
        <v>287310.29360331339</v>
      </c>
      <c r="G199" s="289">
        <v>13165</v>
      </c>
      <c r="H199" s="177">
        <v>311161.3337943753</v>
      </c>
      <c r="I199" s="289">
        <v>13205</v>
      </c>
      <c r="J199" s="177">
        <v>314325.31745293981</v>
      </c>
      <c r="K199" s="289">
        <v>13112</v>
      </c>
      <c r="L199" s="177">
        <v>322054.68823124567</v>
      </c>
      <c r="M199" s="289">
        <v>13130</v>
      </c>
      <c r="N199" s="177">
        <v>326652.01148470101</v>
      </c>
      <c r="P199" s="517"/>
      <c r="S199" s="177"/>
    </row>
    <row r="200" spans="1:19" ht="13">
      <c r="A200" s="865">
        <v>3811</v>
      </c>
      <c r="B200" s="866" t="s">
        <v>1241</v>
      </c>
      <c r="C200" s="289">
        <v>26330</v>
      </c>
      <c r="D200" s="177">
        <v>669429</v>
      </c>
      <c r="E200" s="289">
        <v>26445</v>
      </c>
      <c r="F200" s="177">
        <v>711078</v>
      </c>
      <c r="G200" s="289">
        <v>26592</v>
      </c>
      <c r="H200" s="177">
        <v>787439</v>
      </c>
      <c r="I200" s="289">
        <v>26676</v>
      </c>
      <c r="J200" s="177">
        <v>818629</v>
      </c>
      <c r="K200" s="289">
        <v>26734</v>
      </c>
      <c r="L200" s="177">
        <v>826128</v>
      </c>
      <c r="M200" s="289">
        <v>26700</v>
      </c>
      <c r="N200" s="177">
        <v>842378.28339408082</v>
      </c>
      <c r="P200" s="517"/>
      <c r="S200" s="177"/>
    </row>
    <row r="201" spans="1:19" ht="13">
      <c r="A201" s="865">
        <v>3812</v>
      </c>
      <c r="B201" s="866" t="s">
        <v>907</v>
      </c>
      <c r="C201" s="289">
        <v>2404</v>
      </c>
      <c r="D201" s="177">
        <v>48534</v>
      </c>
      <c r="E201" s="289">
        <v>2361</v>
      </c>
      <c r="F201" s="177">
        <v>49972</v>
      </c>
      <c r="G201" s="289">
        <v>2335</v>
      </c>
      <c r="H201" s="177">
        <v>54288</v>
      </c>
      <c r="I201" s="289">
        <v>2357</v>
      </c>
      <c r="J201" s="177">
        <v>58101</v>
      </c>
      <c r="K201" s="289">
        <v>2351</v>
      </c>
      <c r="L201" s="177">
        <v>59881</v>
      </c>
      <c r="M201" s="289">
        <v>2329</v>
      </c>
      <c r="N201" s="177">
        <v>59069.476869907121</v>
      </c>
      <c r="P201" s="517"/>
      <c r="S201" s="177"/>
    </row>
    <row r="202" spans="1:19" ht="13">
      <c r="A202" s="865">
        <v>3813</v>
      </c>
      <c r="B202" s="866" t="s">
        <v>908</v>
      </c>
      <c r="C202" s="289">
        <v>14193</v>
      </c>
      <c r="D202" s="177">
        <v>315740</v>
      </c>
      <c r="E202" s="289">
        <v>14140</v>
      </c>
      <c r="F202" s="177">
        <v>322952</v>
      </c>
      <c r="G202" s="289">
        <v>14088</v>
      </c>
      <c r="H202" s="177">
        <v>355108</v>
      </c>
      <c r="I202" s="289">
        <v>14138</v>
      </c>
      <c r="J202" s="177">
        <v>367084</v>
      </c>
      <c r="K202" s="289">
        <v>14183</v>
      </c>
      <c r="L202" s="177">
        <v>382036</v>
      </c>
      <c r="M202" s="289">
        <v>14089</v>
      </c>
      <c r="N202" s="177">
        <v>380587.37020160211</v>
      </c>
      <c r="P202" s="517"/>
      <c r="S202" s="177"/>
    </row>
    <row r="203" spans="1:19" ht="13">
      <c r="A203" s="865">
        <v>3814</v>
      </c>
      <c r="B203" s="866" t="s">
        <v>910</v>
      </c>
      <c r="C203" s="289">
        <v>10621</v>
      </c>
      <c r="D203" s="177">
        <v>208570</v>
      </c>
      <c r="E203" s="289">
        <v>10636</v>
      </c>
      <c r="F203" s="177">
        <v>222964</v>
      </c>
      <c r="G203" s="289">
        <v>10607</v>
      </c>
      <c r="H203" s="177">
        <v>238907</v>
      </c>
      <c r="I203" s="289">
        <v>10586</v>
      </c>
      <c r="J203" s="177">
        <v>246804</v>
      </c>
      <c r="K203" s="289">
        <v>10506</v>
      </c>
      <c r="L203" s="177">
        <v>262062</v>
      </c>
      <c r="M203" s="289">
        <v>10406</v>
      </c>
      <c r="N203" s="177">
        <v>254636.2015732966</v>
      </c>
      <c r="P203" s="517"/>
      <c r="S203" s="177"/>
    </row>
    <row r="204" spans="1:19" ht="13">
      <c r="A204" s="865">
        <v>3815</v>
      </c>
      <c r="B204" s="866" t="s">
        <v>911</v>
      </c>
      <c r="C204" s="289">
        <v>4135</v>
      </c>
      <c r="D204" s="177">
        <v>74397</v>
      </c>
      <c r="E204" s="289">
        <v>4111</v>
      </c>
      <c r="F204" s="177">
        <v>77737</v>
      </c>
      <c r="G204" s="289">
        <v>4136</v>
      </c>
      <c r="H204" s="177">
        <v>83380</v>
      </c>
      <c r="I204" s="289">
        <v>4148</v>
      </c>
      <c r="J204" s="177">
        <v>85856</v>
      </c>
      <c r="K204" s="289">
        <v>4105</v>
      </c>
      <c r="L204" s="177">
        <v>89506</v>
      </c>
      <c r="M204" s="289">
        <v>4080</v>
      </c>
      <c r="N204" s="177">
        <v>88408.095784216843</v>
      </c>
      <c r="P204" s="517"/>
      <c r="S204" s="177"/>
    </row>
    <row r="205" spans="1:19" ht="13">
      <c r="A205" s="865">
        <v>3816</v>
      </c>
      <c r="B205" s="866" t="s">
        <v>912</v>
      </c>
      <c r="C205" s="289">
        <v>6643</v>
      </c>
      <c r="D205" s="177">
        <v>133614</v>
      </c>
      <c r="E205" s="289">
        <v>6630</v>
      </c>
      <c r="F205" s="177">
        <v>140747</v>
      </c>
      <c r="G205" s="289">
        <v>6534</v>
      </c>
      <c r="H205" s="177">
        <v>142744</v>
      </c>
      <c r="I205" s="289">
        <v>6585</v>
      </c>
      <c r="J205" s="177">
        <v>146101</v>
      </c>
      <c r="K205" s="289">
        <v>6609</v>
      </c>
      <c r="L205" s="177">
        <v>155467</v>
      </c>
      <c r="M205" s="289">
        <v>6538</v>
      </c>
      <c r="N205" s="177">
        <v>152630.34037171677</v>
      </c>
      <c r="P205" s="517"/>
      <c r="S205" s="177"/>
    </row>
    <row r="206" spans="1:19" ht="13">
      <c r="A206" s="878">
        <v>3817</v>
      </c>
      <c r="B206" s="883" t="s">
        <v>1627</v>
      </c>
      <c r="C206" s="289">
        <v>9711</v>
      </c>
      <c r="D206" s="177">
        <v>189976.88809248555</v>
      </c>
      <c r="E206" s="289">
        <v>9875</v>
      </c>
      <c r="F206" s="177">
        <v>202201.70639668661</v>
      </c>
      <c r="G206" s="289">
        <v>9991</v>
      </c>
      <c r="H206" s="177">
        <v>219024.6662056247</v>
      </c>
      <c r="I206" s="289">
        <v>10117</v>
      </c>
      <c r="J206" s="177">
        <v>233732.68254706019</v>
      </c>
      <c r="K206" s="289">
        <v>10371</v>
      </c>
      <c r="L206" s="177">
        <v>247175.3117687543</v>
      </c>
      <c r="M206" s="289">
        <v>10475</v>
      </c>
      <c r="N206" s="177">
        <v>249260.049451236</v>
      </c>
      <c r="P206" s="517"/>
      <c r="S206" s="177"/>
    </row>
    <row r="207" spans="1:19" ht="13">
      <c r="A207" s="865">
        <v>3818</v>
      </c>
      <c r="B207" s="866" t="s">
        <v>920</v>
      </c>
      <c r="C207" s="289">
        <v>5957</v>
      </c>
      <c r="D207" s="177">
        <v>171332</v>
      </c>
      <c r="E207" s="289">
        <v>5913</v>
      </c>
      <c r="F207" s="177">
        <v>175352</v>
      </c>
      <c r="G207" s="289">
        <v>5940</v>
      </c>
      <c r="H207" s="177">
        <v>186961</v>
      </c>
      <c r="I207" s="289">
        <v>5894</v>
      </c>
      <c r="J207" s="177">
        <v>193683</v>
      </c>
      <c r="K207" s="289">
        <v>5856</v>
      </c>
      <c r="L207" s="177">
        <v>199842</v>
      </c>
      <c r="M207" s="289">
        <v>5780</v>
      </c>
      <c r="N207" s="177">
        <v>196011.69958999011</v>
      </c>
      <c r="P207" s="517"/>
      <c r="S207" s="177"/>
    </row>
    <row r="208" spans="1:19" ht="13">
      <c r="A208" s="865">
        <v>3819</v>
      </c>
      <c r="B208" s="866" t="s">
        <v>921</v>
      </c>
      <c r="C208" s="289">
        <v>1602</v>
      </c>
      <c r="D208" s="177">
        <v>39542</v>
      </c>
      <c r="E208" s="289">
        <v>1594</v>
      </c>
      <c r="F208" s="177">
        <v>42830</v>
      </c>
      <c r="G208" s="289">
        <v>1613</v>
      </c>
      <c r="H208" s="177">
        <v>40643</v>
      </c>
      <c r="I208" s="289">
        <v>1593</v>
      </c>
      <c r="J208" s="177">
        <v>43632</v>
      </c>
      <c r="K208" s="289">
        <v>1587</v>
      </c>
      <c r="L208" s="177">
        <v>47373</v>
      </c>
      <c r="M208" s="289">
        <v>1572</v>
      </c>
      <c r="N208" s="177">
        <v>44653.378999881832</v>
      </c>
      <c r="P208" s="517"/>
      <c r="S208" s="177"/>
    </row>
    <row r="209" spans="1:19" ht="13">
      <c r="A209" s="865">
        <v>3820</v>
      </c>
      <c r="B209" s="866" t="s">
        <v>922</v>
      </c>
      <c r="C209" s="289">
        <v>2989</v>
      </c>
      <c r="D209" s="177">
        <v>65047</v>
      </c>
      <c r="E209" s="289">
        <v>3002</v>
      </c>
      <c r="F209" s="177">
        <v>68192</v>
      </c>
      <c r="G209" s="289">
        <v>2991</v>
      </c>
      <c r="H209" s="177">
        <v>77709</v>
      </c>
      <c r="I209" s="289">
        <v>2979</v>
      </c>
      <c r="J209" s="177">
        <v>76975</v>
      </c>
      <c r="K209" s="289">
        <v>2959</v>
      </c>
      <c r="L209" s="177">
        <v>79022</v>
      </c>
      <c r="M209" s="289">
        <v>2934</v>
      </c>
      <c r="N209" s="177">
        <v>79613.402134586999</v>
      </c>
      <c r="P209" s="517"/>
      <c r="S209" s="177"/>
    </row>
    <row r="210" spans="1:19" ht="13">
      <c r="A210" s="865">
        <v>3821</v>
      </c>
      <c r="B210" s="866" t="s">
        <v>923</v>
      </c>
      <c r="C210" s="289">
        <v>2468</v>
      </c>
      <c r="D210" s="177">
        <v>50957</v>
      </c>
      <c r="E210" s="289">
        <v>2466</v>
      </c>
      <c r="F210" s="177">
        <v>53676</v>
      </c>
      <c r="G210" s="289">
        <v>2448</v>
      </c>
      <c r="H210" s="177">
        <v>59167</v>
      </c>
      <c r="I210" s="289">
        <v>2442</v>
      </c>
      <c r="J210" s="177">
        <v>59446</v>
      </c>
      <c r="K210" s="289">
        <v>2397</v>
      </c>
      <c r="L210" s="177">
        <v>63971</v>
      </c>
      <c r="M210" s="289">
        <v>2403</v>
      </c>
      <c r="N210" s="177">
        <v>62438.927162138709</v>
      </c>
      <c r="P210" s="517"/>
      <c r="S210" s="177"/>
    </row>
    <row r="211" spans="1:19" ht="13">
      <c r="A211" s="865">
        <v>3822</v>
      </c>
      <c r="B211" s="866" t="s">
        <v>924</v>
      </c>
      <c r="C211" s="289">
        <v>1451</v>
      </c>
      <c r="D211" s="177">
        <v>36611</v>
      </c>
      <c r="E211" s="289">
        <v>1439</v>
      </c>
      <c r="F211" s="177">
        <v>37410</v>
      </c>
      <c r="G211" s="289">
        <v>1443</v>
      </c>
      <c r="H211" s="177">
        <v>39677</v>
      </c>
      <c r="I211" s="289">
        <v>1476</v>
      </c>
      <c r="J211" s="177">
        <v>41801</v>
      </c>
      <c r="K211" s="289">
        <v>1489</v>
      </c>
      <c r="L211" s="177">
        <v>43371</v>
      </c>
      <c r="M211" s="289">
        <v>1476</v>
      </c>
      <c r="N211" s="177">
        <v>43101.739526924321</v>
      </c>
      <c r="P211" s="517"/>
      <c r="S211" s="177"/>
    </row>
    <row r="212" spans="1:19" ht="13">
      <c r="A212" s="865">
        <v>3823</v>
      </c>
      <c r="B212" s="866" t="s">
        <v>925</v>
      </c>
      <c r="C212" s="289">
        <v>1303</v>
      </c>
      <c r="D212" s="177">
        <v>28797</v>
      </c>
      <c r="E212" s="289">
        <v>1298</v>
      </c>
      <c r="F212" s="177">
        <v>30134</v>
      </c>
      <c r="G212" s="289">
        <v>1323</v>
      </c>
      <c r="H212" s="177">
        <v>31376</v>
      </c>
      <c r="I212" s="289">
        <v>1319</v>
      </c>
      <c r="J212" s="177">
        <v>31788</v>
      </c>
      <c r="K212" s="289">
        <v>1320</v>
      </c>
      <c r="L212" s="177">
        <v>35116</v>
      </c>
      <c r="M212" s="289">
        <v>1286</v>
      </c>
      <c r="N212" s="177">
        <v>33024.577166382238</v>
      </c>
      <c r="P212" s="517"/>
      <c r="S212" s="177"/>
    </row>
    <row r="213" spans="1:19" ht="13">
      <c r="A213" s="865">
        <v>3824</v>
      </c>
      <c r="B213" s="866" t="s">
        <v>926</v>
      </c>
      <c r="C213" s="289">
        <v>2257</v>
      </c>
      <c r="D213" s="177">
        <v>71072</v>
      </c>
      <c r="E213" s="289">
        <v>2252</v>
      </c>
      <c r="F213" s="177">
        <v>73784</v>
      </c>
      <c r="G213" s="289">
        <v>2246</v>
      </c>
      <c r="H213" s="177">
        <v>75679</v>
      </c>
      <c r="I213" s="289">
        <v>2228</v>
      </c>
      <c r="J213" s="177">
        <v>75885</v>
      </c>
      <c r="K213" s="289">
        <v>2236</v>
      </c>
      <c r="L213" s="177">
        <v>78415</v>
      </c>
      <c r="M213" s="289">
        <v>2228</v>
      </c>
      <c r="N213" s="177">
        <v>78463.54970715876</v>
      </c>
      <c r="P213" s="517"/>
      <c r="S213" s="177"/>
    </row>
    <row r="214" spans="1:19" ht="13">
      <c r="A214" s="865">
        <v>3825</v>
      </c>
      <c r="B214" s="866" t="s">
        <v>927</v>
      </c>
      <c r="C214" s="289">
        <v>3723</v>
      </c>
      <c r="D214" s="177">
        <v>126108</v>
      </c>
      <c r="E214" s="289">
        <v>3689</v>
      </c>
      <c r="F214" s="177">
        <v>128208</v>
      </c>
      <c r="G214" s="289">
        <v>3727</v>
      </c>
      <c r="H214" s="177">
        <v>139735</v>
      </c>
      <c r="I214" s="289">
        <v>3726</v>
      </c>
      <c r="J214" s="177">
        <v>147661</v>
      </c>
      <c r="K214" s="289">
        <v>3709</v>
      </c>
      <c r="L214" s="177">
        <v>151716</v>
      </c>
      <c r="M214" s="289">
        <v>3723</v>
      </c>
      <c r="N214" s="177">
        <v>150497.27338623902</v>
      </c>
      <c r="P214" s="517"/>
      <c r="S214" s="177"/>
    </row>
    <row r="215" spans="1:19" ht="13">
      <c r="A215" s="865">
        <v>4201</v>
      </c>
      <c r="B215" s="866" t="s">
        <v>928</v>
      </c>
      <c r="C215" s="289">
        <v>6899</v>
      </c>
      <c r="D215" s="177">
        <v>134355</v>
      </c>
      <c r="E215" s="289">
        <v>6909</v>
      </c>
      <c r="F215" s="177">
        <v>147885</v>
      </c>
      <c r="G215" s="289">
        <v>6920</v>
      </c>
      <c r="H215" s="177">
        <v>167375</v>
      </c>
      <c r="I215" s="289">
        <v>6936</v>
      </c>
      <c r="J215" s="177">
        <v>169353</v>
      </c>
      <c r="K215" s="289">
        <v>6882</v>
      </c>
      <c r="L215" s="177">
        <v>167642</v>
      </c>
      <c r="M215" s="289">
        <v>6848</v>
      </c>
      <c r="N215" s="177">
        <v>172915.45343483405</v>
      </c>
      <c r="P215" s="517"/>
      <c r="S215" s="177"/>
    </row>
    <row r="216" spans="1:19" ht="13">
      <c r="A216" s="865">
        <v>4202</v>
      </c>
      <c r="B216" s="866" t="s">
        <v>929</v>
      </c>
      <c r="C216" s="289">
        <v>21783</v>
      </c>
      <c r="D216" s="177">
        <v>553534</v>
      </c>
      <c r="E216" s="289">
        <v>22098</v>
      </c>
      <c r="F216" s="177">
        <v>543922</v>
      </c>
      <c r="G216" s="289">
        <v>22550</v>
      </c>
      <c r="H216" s="177">
        <v>604347</v>
      </c>
      <c r="I216" s="289">
        <v>22692</v>
      </c>
      <c r="J216" s="177">
        <v>697878</v>
      </c>
      <c r="K216" s="289">
        <v>23017</v>
      </c>
      <c r="L216" s="177">
        <v>637254</v>
      </c>
      <c r="M216" s="289">
        <v>23246</v>
      </c>
      <c r="N216" s="177">
        <v>685392.62864866946</v>
      </c>
      <c r="P216" s="517"/>
      <c r="S216" s="177"/>
    </row>
    <row r="217" spans="1:19" ht="13">
      <c r="A217" s="865">
        <v>4203</v>
      </c>
      <c r="B217" s="866" t="s">
        <v>930</v>
      </c>
      <c r="C217" s="289">
        <v>43841</v>
      </c>
      <c r="D217" s="177">
        <v>938268</v>
      </c>
      <c r="E217" s="289">
        <v>44219</v>
      </c>
      <c r="F217" s="177">
        <v>1003175</v>
      </c>
      <c r="G217" s="289">
        <v>44313</v>
      </c>
      <c r="H217" s="177">
        <v>1080289</v>
      </c>
      <c r="I217" s="289">
        <v>44576</v>
      </c>
      <c r="J217" s="177">
        <v>1108406</v>
      </c>
      <c r="K217" s="289">
        <v>44645</v>
      </c>
      <c r="L217" s="177">
        <v>1138206</v>
      </c>
      <c r="M217" s="289">
        <v>44785</v>
      </c>
      <c r="N217" s="177">
        <v>1157833.4649162258</v>
      </c>
      <c r="P217" s="517"/>
      <c r="S217" s="177"/>
    </row>
    <row r="218" spans="1:19" ht="13">
      <c r="A218" s="878">
        <v>4204</v>
      </c>
      <c r="B218" s="883" t="s">
        <v>1628</v>
      </c>
      <c r="C218" s="289">
        <v>103291</v>
      </c>
      <c r="D218" s="177">
        <v>2405171</v>
      </c>
      <c r="E218" s="289">
        <v>105017</v>
      </c>
      <c r="F218" s="177">
        <v>2540754</v>
      </c>
      <c r="G218" s="289">
        <v>106126</v>
      </c>
      <c r="H218" s="177">
        <v>2745531</v>
      </c>
      <c r="I218" s="289">
        <v>107157</v>
      </c>
      <c r="J218" s="177">
        <v>2802164</v>
      </c>
      <c r="K218" s="289">
        <v>109438</v>
      </c>
      <c r="L218" s="177">
        <v>2968176</v>
      </c>
      <c r="M218" s="289">
        <v>110391</v>
      </c>
      <c r="N218" s="177">
        <v>3022602.9584083841</v>
      </c>
      <c r="P218" s="517"/>
      <c r="S218" s="177"/>
    </row>
    <row r="219" spans="1:19" ht="13">
      <c r="A219" s="878">
        <v>4205</v>
      </c>
      <c r="B219" s="883" t="s">
        <v>1629</v>
      </c>
      <c r="C219" s="289">
        <v>22492</v>
      </c>
      <c r="D219" s="177">
        <v>447051</v>
      </c>
      <c r="E219" s="289">
        <v>22611</v>
      </c>
      <c r="F219" s="177">
        <v>480798</v>
      </c>
      <c r="G219" s="289">
        <v>22762</v>
      </c>
      <c r="H219" s="177">
        <v>526541</v>
      </c>
      <c r="I219" s="289">
        <v>22859</v>
      </c>
      <c r="J219" s="177">
        <v>551941</v>
      </c>
      <c r="K219" s="289">
        <v>22905</v>
      </c>
      <c r="L219" s="177">
        <v>566314</v>
      </c>
      <c r="M219" s="289">
        <v>22909</v>
      </c>
      <c r="N219" s="177">
        <v>570358.00490458764</v>
      </c>
      <c r="P219" s="517"/>
      <c r="S219" s="177"/>
    </row>
    <row r="220" spans="1:19" ht="13">
      <c r="A220" s="865">
        <v>4206</v>
      </c>
      <c r="B220" s="866" t="s">
        <v>944</v>
      </c>
      <c r="C220" s="289">
        <v>9516</v>
      </c>
      <c r="D220" s="177">
        <v>213055</v>
      </c>
      <c r="E220" s="289">
        <v>9596</v>
      </c>
      <c r="F220" s="177">
        <v>220937</v>
      </c>
      <c r="G220" s="289">
        <v>9705</v>
      </c>
      <c r="H220" s="177">
        <v>232824</v>
      </c>
      <c r="I220" s="289">
        <v>9769</v>
      </c>
      <c r="J220" s="177">
        <v>236747</v>
      </c>
      <c r="K220" s="289">
        <v>9726</v>
      </c>
      <c r="L220" s="177">
        <v>246461</v>
      </c>
      <c r="M220" s="289">
        <v>9695</v>
      </c>
      <c r="N220" s="177">
        <v>246696.44149290511</v>
      </c>
      <c r="P220" s="517"/>
      <c r="S220" s="177"/>
    </row>
    <row r="221" spans="1:19" ht="13">
      <c r="A221" s="865">
        <v>4207</v>
      </c>
      <c r="B221" s="866" t="s">
        <v>946</v>
      </c>
      <c r="C221" s="289">
        <v>9013</v>
      </c>
      <c r="D221" s="177">
        <v>207629</v>
      </c>
      <c r="E221" s="289">
        <v>9069</v>
      </c>
      <c r="F221" s="177">
        <v>221234</v>
      </c>
      <c r="G221" s="289">
        <v>9096</v>
      </c>
      <c r="H221" s="177">
        <v>234968</v>
      </c>
      <c r="I221" s="289">
        <v>9090</v>
      </c>
      <c r="J221" s="177">
        <v>235474</v>
      </c>
      <c r="K221" s="289">
        <v>9066</v>
      </c>
      <c r="L221" s="177">
        <v>241314</v>
      </c>
      <c r="M221" s="289">
        <v>9066</v>
      </c>
      <c r="N221" s="177">
        <v>245696.84265045237</v>
      </c>
      <c r="P221" s="517"/>
      <c r="S221" s="177"/>
    </row>
    <row r="222" spans="1:19" ht="13">
      <c r="A222" s="865">
        <v>4211</v>
      </c>
      <c r="B222" s="866" t="s">
        <v>931</v>
      </c>
      <c r="C222" s="289">
        <v>2489</v>
      </c>
      <c r="D222" s="177">
        <v>42217</v>
      </c>
      <c r="E222" s="289">
        <v>2481</v>
      </c>
      <c r="F222" s="177">
        <v>45870</v>
      </c>
      <c r="G222" s="289">
        <v>2473</v>
      </c>
      <c r="H222" s="177">
        <v>50912</v>
      </c>
      <c r="I222" s="289">
        <v>2511</v>
      </c>
      <c r="J222" s="177">
        <v>47795</v>
      </c>
      <c r="K222" s="289">
        <v>2467</v>
      </c>
      <c r="L222" s="177">
        <v>49187</v>
      </c>
      <c r="M222" s="289">
        <v>2454</v>
      </c>
      <c r="N222" s="177">
        <v>50606.262072987673</v>
      </c>
      <c r="P222" s="517"/>
      <c r="S222" s="177"/>
    </row>
    <row r="223" spans="1:19" ht="13">
      <c r="A223" s="865">
        <v>4212</v>
      </c>
      <c r="B223" s="866" t="s">
        <v>706</v>
      </c>
      <c r="C223" s="289">
        <v>2000</v>
      </c>
      <c r="D223" s="177">
        <v>33620</v>
      </c>
      <c r="E223" s="289">
        <v>2018</v>
      </c>
      <c r="F223" s="177">
        <v>35967</v>
      </c>
      <c r="G223" s="289">
        <v>2036</v>
      </c>
      <c r="H223" s="177">
        <v>38688</v>
      </c>
      <c r="I223" s="289">
        <v>2104</v>
      </c>
      <c r="J223" s="177">
        <v>43056</v>
      </c>
      <c r="K223" s="289">
        <v>2087</v>
      </c>
      <c r="L223" s="177">
        <v>44994</v>
      </c>
      <c r="M223" s="289">
        <v>2093</v>
      </c>
      <c r="N223" s="177">
        <v>44144.06098284066</v>
      </c>
      <c r="P223" s="517"/>
      <c r="S223" s="177"/>
    </row>
    <row r="224" spans="1:19" ht="13">
      <c r="A224" s="865">
        <v>4213</v>
      </c>
      <c r="B224" s="866" t="s">
        <v>932</v>
      </c>
      <c r="C224" s="289">
        <v>6059</v>
      </c>
      <c r="D224" s="177">
        <v>123581</v>
      </c>
      <c r="E224" s="289">
        <v>6048</v>
      </c>
      <c r="F224" s="177">
        <v>126293</v>
      </c>
      <c r="G224" s="289">
        <v>6014</v>
      </c>
      <c r="H224" s="177">
        <v>139825</v>
      </c>
      <c r="I224" s="289">
        <v>6051</v>
      </c>
      <c r="J224" s="177">
        <v>140112</v>
      </c>
      <c r="K224" s="289">
        <v>6086</v>
      </c>
      <c r="L224" s="177">
        <v>145870</v>
      </c>
      <c r="M224" s="289">
        <v>6069</v>
      </c>
      <c r="N224" s="177">
        <v>147769.96843856026</v>
      </c>
      <c r="P224" s="517"/>
      <c r="S224" s="177"/>
    </row>
    <row r="225" spans="1:19" ht="13">
      <c r="A225" s="865">
        <v>4214</v>
      </c>
      <c r="B225" s="866" t="s">
        <v>933</v>
      </c>
      <c r="C225" s="289">
        <v>5486</v>
      </c>
      <c r="D225" s="177">
        <v>106068</v>
      </c>
      <c r="E225" s="289">
        <v>5532</v>
      </c>
      <c r="F225" s="177">
        <v>112002</v>
      </c>
      <c r="G225" s="289">
        <v>5618</v>
      </c>
      <c r="H225" s="177">
        <v>118832</v>
      </c>
      <c r="I225" s="289">
        <v>5713</v>
      </c>
      <c r="J225" s="177">
        <v>126994</v>
      </c>
      <c r="K225" s="289">
        <v>5790</v>
      </c>
      <c r="L225" s="177">
        <v>133413</v>
      </c>
      <c r="M225" s="289">
        <v>5845</v>
      </c>
      <c r="N225" s="177">
        <v>133888.77273105673</v>
      </c>
      <c r="P225" s="517"/>
      <c r="S225" s="177"/>
    </row>
    <row r="226" spans="1:19" ht="13">
      <c r="A226" s="865">
        <v>4215</v>
      </c>
      <c r="B226" s="866" t="s">
        <v>934</v>
      </c>
      <c r="C226" s="289">
        <v>10106</v>
      </c>
      <c r="D226" s="177">
        <v>235481</v>
      </c>
      <c r="E226" s="289">
        <v>10340</v>
      </c>
      <c r="F226" s="177">
        <v>247000</v>
      </c>
      <c r="G226" s="289">
        <v>10577</v>
      </c>
      <c r="H226" s="177">
        <v>278121</v>
      </c>
      <c r="I226" s="289">
        <v>10702</v>
      </c>
      <c r="J226" s="177">
        <v>288478</v>
      </c>
      <c r="K226" s="289">
        <v>10871</v>
      </c>
      <c r="L226" s="177">
        <v>300378</v>
      </c>
      <c r="M226" s="289">
        <v>10990</v>
      </c>
      <c r="N226" s="177">
        <v>307476.15162412258</v>
      </c>
      <c r="P226" s="517"/>
      <c r="S226" s="177"/>
    </row>
    <row r="227" spans="1:19" ht="13">
      <c r="A227" s="865">
        <v>4216</v>
      </c>
      <c r="B227" s="866" t="s">
        <v>935</v>
      </c>
      <c r="C227" s="289">
        <v>4966</v>
      </c>
      <c r="D227" s="177">
        <v>88635.093530943326</v>
      </c>
      <c r="E227" s="289">
        <v>5008</v>
      </c>
      <c r="F227" s="177">
        <v>91885.610327706061</v>
      </c>
      <c r="G227" s="289">
        <v>5120</v>
      </c>
      <c r="H227" s="177">
        <v>99778.822615115598</v>
      </c>
      <c r="I227" s="289">
        <v>5151</v>
      </c>
      <c r="J227" s="177">
        <v>105949.64368482039</v>
      </c>
      <c r="K227" s="289">
        <v>5160</v>
      </c>
      <c r="L227" s="177">
        <v>115738.3921341816</v>
      </c>
      <c r="M227" s="289">
        <v>5212</v>
      </c>
      <c r="N227" s="177">
        <v>112505.98962036296</v>
      </c>
      <c r="P227" s="517"/>
      <c r="S227" s="177"/>
    </row>
    <row r="228" spans="1:19" ht="13">
      <c r="A228" s="865">
        <v>4217</v>
      </c>
      <c r="B228" s="866" t="s">
        <v>936</v>
      </c>
      <c r="C228" s="289">
        <v>1810</v>
      </c>
      <c r="D228" s="177">
        <v>36347</v>
      </c>
      <c r="E228" s="289">
        <v>1832</v>
      </c>
      <c r="F228" s="177">
        <v>40277</v>
      </c>
      <c r="G228" s="289">
        <v>1847</v>
      </c>
      <c r="H228" s="177">
        <v>44122</v>
      </c>
      <c r="I228" s="289">
        <v>1856</v>
      </c>
      <c r="J228" s="177">
        <v>47046</v>
      </c>
      <c r="K228" s="289">
        <v>1845</v>
      </c>
      <c r="L228" s="177">
        <v>42219</v>
      </c>
      <c r="M228" s="289">
        <v>1848</v>
      </c>
      <c r="N228" s="177">
        <v>46028.314363842721</v>
      </c>
      <c r="P228" s="517"/>
      <c r="S228" s="177"/>
    </row>
    <row r="229" spans="1:19" ht="13">
      <c r="A229" s="865">
        <v>4218</v>
      </c>
      <c r="B229" s="866" t="s">
        <v>937</v>
      </c>
      <c r="C229" s="289">
        <v>1314</v>
      </c>
      <c r="D229" s="177">
        <v>24646</v>
      </c>
      <c r="E229" s="289">
        <v>1315</v>
      </c>
      <c r="F229" s="177">
        <v>26726</v>
      </c>
      <c r="G229" s="289">
        <v>1317</v>
      </c>
      <c r="H229" s="177">
        <v>27581</v>
      </c>
      <c r="I229" s="289">
        <v>1342</v>
      </c>
      <c r="J229" s="177">
        <v>29311</v>
      </c>
      <c r="K229" s="289">
        <v>1330</v>
      </c>
      <c r="L229" s="177">
        <v>31104</v>
      </c>
      <c r="M229" s="289">
        <v>1326</v>
      </c>
      <c r="N229" s="177">
        <v>30172.742208796775</v>
      </c>
      <c r="P229" s="517"/>
      <c r="S229" s="177"/>
    </row>
    <row r="230" spans="1:19" ht="13">
      <c r="A230" s="865">
        <v>4219</v>
      </c>
      <c r="B230" s="866" t="s">
        <v>938</v>
      </c>
      <c r="C230" s="289">
        <v>3576</v>
      </c>
      <c r="D230" s="177">
        <v>68667.906469056674</v>
      </c>
      <c r="E230" s="289">
        <v>3594</v>
      </c>
      <c r="F230" s="177">
        <v>72075.389672293939</v>
      </c>
      <c r="G230" s="289">
        <v>3609</v>
      </c>
      <c r="H230" s="177">
        <v>75346.177384884402</v>
      </c>
      <c r="I230" s="289">
        <v>3641</v>
      </c>
      <c r="J230" s="177">
        <v>79497.356315179612</v>
      </c>
      <c r="K230" s="289">
        <v>3652</v>
      </c>
      <c r="L230" s="177">
        <v>82069.607865818398</v>
      </c>
      <c r="M230" s="289">
        <v>3638</v>
      </c>
      <c r="N230" s="177">
        <v>81987.565859928523</v>
      </c>
      <c r="P230" s="517"/>
      <c r="S230" s="177"/>
    </row>
    <row r="231" spans="1:19" ht="13">
      <c r="A231" s="865">
        <v>4220</v>
      </c>
      <c r="B231" s="866" t="s">
        <v>939</v>
      </c>
      <c r="C231" s="289">
        <v>1200</v>
      </c>
      <c r="D231" s="177">
        <v>26132</v>
      </c>
      <c r="E231" s="289">
        <v>1189</v>
      </c>
      <c r="F231" s="177">
        <v>27176</v>
      </c>
      <c r="G231" s="289">
        <v>1204</v>
      </c>
      <c r="H231" s="177">
        <v>28977</v>
      </c>
      <c r="I231" s="289">
        <v>1200</v>
      </c>
      <c r="J231" s="177">
        <v>28833</v>
      </c>
      <c r="K231" s="289">
        <v>1207</v>
      </c>
      <c r="L231" s="177">
        <v>30970</v>
      </c>
      <c r="M231" s="289">
        <v>1192</v>
      </c>
      <c r="N231" s="177">
        <v>30311.018607120208</v>
      </c>
      <c r="P231" s="517"/>
      <c r="S231" s="177"/>
    </row>
    <row r="232" spans="1:19" ht="13">
      <c r="A232" s="865">
        <v>4221</v>
      </c>
      <c r="B232" s="866" t="s">
        <v>940</v>
      </c>
      <c r="C232" s="289">
        <v>1270</v>
      </c>
      <c r="D232" s="177">
        <v>41121</v>
      </c>
      <c r="E232" s="289">
        <v>1251</v>
      </c>
      <c r="F232" s="177">
        <v>43384</v>
      </c>
      <c r="G232" s="289">
        <v>1242</v>
      </c>
      <c r="H232" s="177">
        <v>44213</v>
      </c>
      <c r="I232" s="289">
        <v>1246</v>
      </c>
      <c r="J232" s="177">
        <v>45044</v>
      </c>
      <c r="K232" s="289">
        <v>1225</v>
      </c>
      <c r="L232" s="177">
        <v>45304</v>
      </c>
      <c r="M232" s="289">
        <v>1156</v>
      </c>
      <c r="N232" s="177">
        <v>43913.808639280913</v>
      </c>
      <c r="P232" s="517"/>
      <c r="S232" s="177"/>
    </row>
    <row r="233" spans="1:19" ht="13">
      <c r="A233" s="865">
        <v>4222</v>
      </c>
      <c r="B233" s="866" t="s">
        <v>941</v>
      </c>
      <c r="C233" s="289">
        <v>948</v>
      </c>
      <c r="D233" s="177">
        <v>67140</v>
      </c>
      <c r="E233" s="289">
        <v>933</v>
      </c>
      <c r="F233" s="177">
        <v>67630</v>
      </c>
      <c r="G233" s="289">
        <v>945</v>
      </c>
      <c r="H233" s="177">
        <v>69604</v>
      </c>
      <c r="I233" s="289">
        <v>952</v>
      </c>
      <c r="J233" s="177">
        <v>71358</v>
      </c>
      <c r="K233" s="289">
        <v>958</v>
      </c>
      <c r="L233" s="177">
        <v>79195</v>
      </c>
      <c r="M233" s="289">
        <v>953</v>
      </c>
      <c r="N233" s="177">
        <v>74778.041627209299</v>
      </c>
      <c r="P233" s="517"/>
      <c r="S233" s="177"/>
    </row>
    <row r="234" spans="1:19" ht="13">
      <c r="A234" s="865">
        <v>4223</v>
      </c>
      <c r="B234" s="866" t="s">
        <v>947</v>
      </c>
      <c r="C234" s="289">
        <v>13986</v>
      </c>
      <c r="D234" s="177">
        <v>254819</v>
      </c>
      <c r="E234" s="289">
        <v>14095</v>
      </c>
      <c r="F234" s="177">
        <v>267675</v>
      </c>
      <c r="G234" s="289">
        <v>14308</v>
      </c>
      <c r="H234" s="177">
        <v>289237</v>
      </c>
      <c r="I234" s="289">
        <v>14425</v>
      </c>
      <c r="J234" s="177">
        <v>303650</v>
      </c>
      <c r="K234" s="289">
        <v>14532</v>
      </c>
      <c r="L234" s="177">
        <v>327486</v>
      </c>
      <c r="M234" s="289">
        <v>14630</v>
      </c>
      <c r="N234" s="177">
        <v>322216.85835681472</v>
      </c>
      <c r="P234" s="517"/>
      <c r="S234" s="177"/>
    </row>
    <row r="235" spans="1:19" ht="13">
      <c r="A235" s="865">
        <v>4224</v>
      </c>
      <c r="B235" s="866" t="s">
        <v>951</v>
      </c>
      <c r="C235" s="289">
        <v>923</v>
      </c>
      <c r="D235" s="177">
        <v>31841</v>
      </c>
      <c r="E235" s="289">
        <v>925</v>
      </c>
      <c r="F235" s="177">
        <v>31791</v>
      </c>
      <c r="G235" s="289">
        <v>942</v>
      </c>
      <c r="H235" s="177">
        <v>34080</v>
      </c>
      <c r="I235" s="289">
        <v>937</v>
      </c>
      <c r="J235" s="177">
        <v>36584</v>
      </c>
      <c r="K235" s="289">
        <v>943</v>
      </c>
      <c r="L235" s="177">
        <v>39045</v>
      </c>
      <c r="M235" s="289">
        <v>939</v>
      </c>
      <c r="N235" s="177">
        <v>37325.491343548259</v>
      </c>
      <c r="P235" s="517"/>
      <c r="S235" s="177"/>
    </row>
    <row r="236" spans="1:19" ht="13">
      <c r="A236" s="878">
        <v>4225</v>
      </c>
      <c r="B236" s="883" t="s">
        <v>1630</v>
      </c>
      <c r="C236" s="289">
        <v>9845</v>
      </c>
      <c r="D236" s="177">
        <v>190192</v>
      </c>
      <c r="E236" s="289">
        <v>10085</v>
      </c>
      <c r="F236" s="177">
        <v>199485</v>
      </c>
      <c r="G236" s="289">
        <v>10247</v>
      </c>
      <c r="H236" s="177">
        <v>217366</v>
      </c>
      <c r="I236" s="289">
        <v>10353</v>
      </c>
      <c r="J236" s="177">
        <v>229321</v>
      </c>
      <c r="K236" s="289">
        <v>10357</v>
      </c>
      <c r="L236" s="177">
        <v>236168</v>
      </c>
      <c r="M236" s="289">
        <v>10389</v>
      </c>
      <c r="N236" s="177">
        <v>237693.31494270285</v>
      </c>
      <c r="P236" s="517"/>
      <c r="S236" s="177"/>
    </row>
    <row r="237" spans="1:19" ht="13">
      <c r="A237" s="865">
        <v>4226</v>
      </c>
      <c r="B237" s="866" t="s">
        <v>955</v>
      </c>
      <c r="C237" s="289">
        <v>1690</v>
      </c>
      <c r="D237" s="177">
        <v>35232</v>
      </c>
      <c r="E237" s="289">
        <v>1693</v>
      </c>
      <c r="F237" s="177">
        <v>34679</v>
      </c>
      <c r="G237" s="289">
        <v>1702</v>
      </c>
      <c r="H237" s="177">
        <v>38210</v>
      </c>
      <c r="I237" s="289">
        <v>1702</v>
      </c>
      <c r="J237" s="177">
        <v>39047</v>
      </c>
      <c r="K237" s="289">
        <v>1699</v>
      </c>
      <c r="L237" s="177">
        <v>40812</v>
      </c>
      <c r="M237" s="289">
        <v>1683</v>
      </c>
      <c r="N237" s="177">
        <v>40402.259852205854</v>
      </c>
      <c r="P237" s="517"/>
      <c r="S237" s="177"/>
    </row>
    <row r="238" spans="1:19" ht="13">
      <c r="A238" s="865">
        <v>4227</v>
      </c>
      <c r="B238" s="866" t="s">
        <v>956</v>
      </c>
      <c r="C238" s="289">
        <v>5891</v>
      </c>
      <c r="D238" s="177">
        <v>142597</v>
      </c>
      <c r="E238" s="289">
        <v>5948</v>
      </c>
      <c r="F238" s="177">
        <v>147426</v>
      </c>
      <c r="G238" s="289">
        <v>5981</v>
      </c>
      <c r="H238" s="177">
        <v>155451</v>
      </c>
      <c r="I238" s="289">
        <v>5988</v>
      </c>
      <c r="J238" s="177">
        <v>159751</v>
      </c>
      <c r="K238" s="289">
        <v>6024</v>
      </c>
      <c r="L238" s="177">
        <v>166149</v>
      </c>
      <c r="M238" s="289">
        <v>6048</v>
      </c>
      <c r="N238" s="177">
        <v>166758.68536079201</v>
      </c>
      <c r="P238" s="517"/>
      <c r="S238" s="177"/>
    </row>
    <row r="239" spans="1:19" ht="13">
      <c r="A239" s="865">
        <v>4228</v>
      </c>
      <c r="B239" s="866" t="s">
        <v>957</v>
      </c>
      <c r="C239" s="289">
        <v>1831</v>
      </c>
      <c r="D239" s="177">
        <v>85268</v>
      </c>
      <c r="E239" s="289">
        <v>1838</v>
      </c>
      <c r="F239" s="177">
        <v>91757</v>
      </c>
      <c r="G239" s="289">
        <v>1832</v>
      </c>
      <c r="H239" s="177">
        <v>91636</v>
      </c>
      <c r="I239" s="289">
        <v>1836</v>
      </c>
      <c r="J239" s="177">
        <v>97913</v>
      </c>
      <c r="K239" s="289">
        <v>1842</v>
      </c>
      <c r="L239" s="177">
        <v>105701</v>
      </c>
      <c r="M239" s="289">
        <v>1839</v>
      </c>
      <c r="N239" s="177">
        <v>100678.17702238713</v>
      </c>
      <c r="P239" s="517"/>
      <c r="S239" s="177"/>
    </row>
    <row r="240" spans="1:19" ht="13">
      <c r="A240" s="865">
        <v>4601</v>
      </c>
      <c r="B240" s="866" t="s">
        <v>23</v>
      </c>
      <c r="C240" s="289">
        <v>271949</v>
      </c>
      <c r="D240" s="177">
        <v>7561489</v>
      </c>
      <c r="E240" s="289">
        <v>275112</v>
      </c>
      <c r="F240" s="177">
        <v>7970433</v>
      </c>
      <c r="G240" s="289">
        <v>277391</v>
      </c>
      <c r="H240" s="177">
        <v>8707661</v>
      </c>
      <c r="I240" s="289">
        <v>278556</v>
      </c>
      <c r="J240" s="177">
        <v>8795464</v>
      </c>
      <c r="K240" s="289">
        <v>279792</v>
      </c>
      <c r="L240" s="177">
        <v>9126725</v>
      </c>
      <c r="M240" s="289">
        <v>281190</v>
      </c>
      <c r="N240" s="177">
        <v>9298577.8488447461</v>
      </c>
      <c r="P240" s="517"/>
      <c r="S240" s="177"/>
    </row>
    <row r="241" spans="1:19" ht="13">
      <c r="A241" s="878">
        <v>4602</v>
      </c>
      <c r="B241" s="883" t="s">
        <v>1631</v>
      </c>
      <c r="C241" s="289">
        <v>17355</v>
      </c>
      <c r="D241" s="177">
        <v>416303.90494171728</v>
      </c>
      <c r="E241" s="289">
        <v>17429</v>
      </c>
      <c r="F241" s="177">
        <v>431877.85169352189</v>
      </c>
      <c r="G241" s="289">
        <v>17454</v>
      </c>
      <c r="H241" s="177">
        <v>467715.53440291103</v>
      </c>
      <c r="I241" s="289">
        <v>17515</v>
      </c>
      <c r="J241" s="177">
        <v>473562.56027192838</v>
      </c>
      <c r="K241" s="289">
        <v>17474</v>
      </c>
      <c r="L241" s="177">
        <v>488221.32277953677</v>
      </c>
      <c r="M241" s="289">
        <v>17307</v>
      </c>
      <c r="N241" s="177">
        <v>489598.48347264796</v>
      </c>
      <c r="P241" s="517"/>
      <c r="S241" s="177"/>
    </row>
    <row r="242" spans="1:19" ht="13">
      <c r="A242" s="865">
        <v>4611</v>
      </c>
      <c r="B242" s="866" t="s">
        <v>24</v>
      </c>
      <c r="C242" s="289">
        <v>4057</v>
      </c>
      <c r="D242" s="177">
        <v>90137</v>
      </c>
      <c r="E242" s="289">
        <v>4103</v>
      </c>
      <c r="F242" s="177">
        <v>90573</v>
      </c>
      <c r="G242" s="289">
        <v>4106</v>
      </c>
      <c r="H242" s="177">
        <v>100476</v>
      </c>
      <c r="I242" s="289">
        <v>4135</v>
      </c>
      <c r="J242" s="177">
        <v>101892</v>
      </c>
      <c r="K242" s="289">
        <v>4083</v>
      </c>
      <c r="L242" s="177">
        <v>106064</v>
      </c>
      <c r="M242" s="289">
        <v>4077</v>
      </c>
      <c r="N242" s="177">
        <v>105794.58103280103</v>
      </c>
      <c r="P242" s="517"/>
      <c r="S242" s="177"/>
    </row>
    <row r="243" spans="1:19" ht="13">
      <c r="A243" s="865">
        <v>4612</v>
      </c>
      <c r="B243" s="866" t="s">
        <v>25</v>
      </c>
      <c r="C243" s="289">
        <v>5463</v>
      </c>
      <c r="D243" s="177">
        <v>117446</v>
      </c>
      <c r="E243" s="289">
        <v>5509</v>
      </c>
      <c r="F243" s="177">
        <v>121337</v>
      </c>
      <c r="G243" s="289">
        <v>5593</v>
      </c>
      <c r="H243" s="177">
        <v>130903</v>
      </c>
      <c r="I243" s="289">
        <v>5656</v>
      </c>
      <c r="J243" s="177">
        <v>160876</v>
      </c>
      <c r="K243" s="289">
        <v>5721</v>
      </c>
      <c r="L243" s="177">
        <v>140486</v>
      </c>
      <c r="M243" s="289">
        <v>5721</v>
      </c>
      <c r="N243" s="177">
        <v>151188.4496386926</v>
      </c>
      <c r="P243" s="517"/>
      <c r="S243" s="177"/>
    </row>
    <row r="244" spans="1:19" ht="13">
      <c r="A244" s="865">
        <v>4613</v>
      </c>
      <c r="B244" s="866" t="s">
        <v>26</v>
      </c>
      <c r="C244" s="289">
        <v>11749</v>
      </c>
      <c r="D244" s="177">
        <v>283646</v>
      </c>
      <c r="E244" s="289">
        <v>11761</v>
      </c>
      <c r="F244" s="177">
        <v>291741</v>
      </c>
      <c r="G244" s="289">
        <v>11778</v>
      </c>
      <c r="H244" s="177">
        <v>340199</v>
      </c>
      <c r="I244" s="289">
        <v>11806</v>
      </c>
      <c r="J244" s="177">
        <v>315438</v>
      </c>
      <c r="K244" s="289">
        <v>11902</v>
      </c>
      <c r="L244" s="177">
        <v>295857</v>
      </c>
      <c r="M244" s="289">
        <v>11960</v>
      </c>
      <c r="N244" s="177">
        <v>333609.75924966647</v>
      </c>
      <c r="P244" s="517"/>
      <c r="S244" s="177"/>
    </row>
    <row r="245" spans="1:19" ht="13">
      <c r="A245" s="865">
        <v>4614</v>
      </c>
      <c r="B245" s="866" t="s">
        <v>27</v>
      </c>
      <c r="C245" s="289">
        <v>18425</v>
      </c>
      <c r="D245" s="177">
        <v>450121</v>
      </c>
      <c r="E245" s="289">
        <v>18685</v>
      </c>
      <c r="F245" s="177">
        <v>484243</v>
      </c>
      <c r="G245" s="289">
        <v>18775</v>
      </c>
      <c r="H245" s="177">
        <v>488716</v>
      </c>
      <c r="I245" s="289">
        <v>18821</v>
      </c>
      <c r="J245" s="177">
        <v>497783</v>
      </c>
      <c r="K245" s="289">
        <v>18780</v>
      </c>
      <c r="L245" s="177">
        <v>517096</v>
      </c>
      <c r="M245" s="289">
        <v>18699</v>
      </c>
      <c r="N245" s="177">
        <v>517503.6624294346</v>
      </c>
      <c r="P245" s="517"/>
      <c r="S245" s="177"/>
    </row>
    <row r="246" spans="1:19" ht="13">
      <c r="A246" s="865">
        <v>4615</v>
      </c>
      <c r="B246" s="866" t="s">
        <v>28</v>
      </c>
      <c r="C246" s="289">
        <v>3009</v>
      </c>
      <c r="D246" s="177">
        <v>74296</v>
      </c>
      <c r="E246" s="289">
        <v>3093</v>
      </c>
      <c r="F246" s="177">
        <v>78879</v>
      </c>
      <c r="G246" s="289">
        <v>3140</v>
      </c>
      <c r="H246" s="177">
        <v>84396</v>
      </c>
      <c r="I246" s="289">
        <v>3189</v>
      </c>
      <c r="J246" s="177">
        <v>80561</v>
      </c>
      <c r="K246" s="289">
        <v>3194</v>
      </c>
      <c r="L246" s="177">
        <v>81638</v>
      </c>
      <c r="M246" s="289">
        <v>3201</v>
      </c>
      <c r="N246" s="177">
        <v>86131.816623511753</v>
      </c>
      <c r="P246" s="517"/>
      <c r="S246" s="177"/>
    </row>
    <row r="247" spans="1:19" ht="13">
      <c r="A247" s="865">
        <v>4616</v>
      </c>
      <c r="B247" s="866" t="s">
        <v>29</v>
      </c>
      <c r="C247" s="289">
        <v>2745</v>
      </c>
      <c r="D247" s="177">
        <v>65397</v>
      </c>
      <c r="E247" s="289">
        <v>2782</v>
      </c>
      <c r="F247" s="177">
        <v>71019</v>
      </c>
      <c r="G247" s="289">
        <v>2797</v>
      </c>
      <c r="H247" s="177">
        <v>76308</v>
      </c>
      <c r="I247" s="289">
        <v>2847</v>
      </c>
      <c r="J247" s="177">
        <v>83729</v>
      </c>
      <c r="K247" s="289">
        <v>2857</v>
      </c>
      <c r="L247" s="177">
        <v>90837</v>
      </c>
      <c r="M247" s="289">
        <v>2846</v>
      </c>
      <c r="N247" s="177">
        <v>87011.888451893945</v>
      </c>
      <c r="P247" s="517"/>
      <c r="S247" s="177"/>
    </row>
    <row r="248" spans="1:19" ht="13">
      <c r="A248" s="865">
        <v>4617</v>
      </c>
      <c r="B248" s="866" t="s">
        <v>30</v>
      </c>
      <c r="C248" s="289">
        <v>13232</v>
      </c>
      <c r="D248" s="177">
        <v>317340</v>
      </c>
      <c r="E248" s="289">
        <v>13234</v>
      </c>
      <c r="F248" s="177">
        <v>323502</v>
      </c>
      <c r="G248" s="289">
        <v>13271</v>
      </c>
      <c r="H248" s="177">
        <v>335516</v>
      </c>
      <c r="I248" s="289">
        <v>13241</v>
      </c>
      <c r="J248" s="177">
        <v>343907</v>
      </c>
      <c r="K248" s="289">
        <v>13180</v>
      </c>
      <c r="L248" s="177">
        <v>358088</v>
      </c>
      <c r="M248" s="289">
        <v>13137</v>
      </c>
      <c r="N248" s="177">
        <v>355511.60125822958</v>
      </c>
      <c r="P248" s="517"/>
      <c r="S248" s="177"/>
    </row>
    <row r="249" spans="1:19" ht="13">
      <c r="A249" s="878">
        <v>4618</v>
      </c>
      <c r="B249" s="883" t="s">
        <v>1632</v>
      </c>
      <c r="C249" s="289">
        <v>11401</v>
      </c>
      <c r="D249" s="177">
        <v>290872.1303057287</v>
      </c>
      <c r="E249" s="289">
        <v>11395</v>
      </c>
      <c r="F249" s="177">
        <v>306889.76663734973</v>
      </c>
      <c r="G249" s="289">
        <v>11367</v>
      </c>
      <c r="H249" s="177">
        <v>314213.1975889444</v>
      </c>
      <c r="I249" s="289">
        <v>11442</v>
      </c>
      <c r="J249" s="177">
        <v>326473.53509031684</v>
      </c>
      <c r="K249" s="289">
        <v>11226</v>
      </c>
      <c r="L249" s="177">
        <v>334096.61552185548</v>
      </c>
      <c r="M249" s="289">
        <v>11084</v>
      </c>
      <c r="N249" s="177">
        <v>328689.52073446522</v>
      </c>
      <c r="P249" s="517"/>
      <c r="S249" s="177"/>
    </row>
    <row r="250" spans="1:19" ht="13">
      <c r="A250" s="865">
        <v>4619</v>
      </c>
      <c r="B250" s="866" t="s">
        <v>34</v>
      </c>
      <c r="C250" s="289">
        <v>950</v>
      </c>
      <c r="D250" s="177">
        <v>49498</v>
      </c>
      <c r="E250" s="289">
        <v>950</v>
      </c>
      <c r="F250" s="177">
        <v>49839</v>
      </c>
      <c r="G250" s="289">
        <v>925</v>
      </c>
      <c r="H250" s="177">
        <v>52787</v>
      </c>
      <c r="I250" s="289">
        <v>921</v>
      </c>
      <c r="J250" s="177">
        <v>55245</v>
      </c>
      <c r="K250" s="289">
        <v>931</v>
      </c>
      <c r="L250" s="177">
        <v>56711</v>
      </c>
      <c r="M250" s="289">
        <v>906</v>
      </c>
      <c r="N250" s="177">
        <v>55375.735001707857</v>
      </c>
      <c r="P250" s="517"/>
      <c r="S250" s="177"/>
    </row>
    <row r="251" spans="1:19" ht="13">
      <c r="A251" s="865">
        <v>4620</v>
      </c>
      <c r="B251" s="866" t="s">
        <v>35</v>
      </c>
      <c r="C251" s="289">
        <v>1094</v>
      </c>
      <c r="D251" s="177">
        <v>32828</v>
      </c>
      <c r="E251" s="289">
        <v>1107</v>
      </c>
      <c r="F251" s="177">
        <v>32883</v>
      </c>
      <c r="G251" s="289">
        <v>1116</v>
      </c>
      <c r="H251" s="177">
        <v>34173</v>
      </c>
      <c r="I251" s="289">
        <v>1131</v>
      </c>
      <c r="J251" s="177">
        <v>34103</v>
      </c>
      <c r="K251" s="289">
        <v>1117</v>
      </c>
      <c r="L251" s="177">
        <v>35225</v>
      </c>
      <c r="M251" s="289">
        <v>1093</v>
      </c>
      <c r="N251" s="177">
        <v>34794.051024017397</v>
      </c>
      <c r="P251" s="517"/>
      <c r="S251" s="177"/>
    </row>
    <row r="252" spans="1:19" ht="13">
      <c r="A252" s="878">
        <v>4621</v>
      </c>
      <c r="B252" s="883" t="s">
        <v>1633</v>
      </c>
      <c r="C252" s="289">
        <v>15147</v>
      </c>
      <c r="D252" s="177">
        <v>347964.8696942713</v>
      </c>
      <c r="E252" s="289">
        <v>15336</v>
      </c>
      <c r="F252" s="177">
        <v>360629.23336265027</v>
      </c>
      <c r="G252" s="289">
        <v>15413</v>
      </c>
      <c r="H252" s="177">
        <v>385664.8024110556</v>
      </c>
      <c r="I252" s="289">
        <v>15515</v>
      </c>
      <c r="J252" s="177">
        <v>406038.46490968316</v>
      </c>
      <c r="K252" s="289">
        <v>15576</v>
      </c>
      <c r="L252" s="177">
        <v>427944.38447814452</v>
      </c>
      <c r="M252" s="289">
        <v>15611</v>
      </c>
      <c r="N252" s="177">
        <v>424054.93337503838</v>
      </c>
      <c r="P252" s="517"/>
      <c r="S252" s="177"/>
    </row>
    <row r="253" spans="1:19" ht="13">
      <c r="A253" s="865">
        <v>4622</v>
      </c>
      <c r="B253" s="866" t="s">
        <v>38</v>
      </c>
      <c r="C253" s="289">
        <v>8584</v>
      </c>
      <c r="D253" s="177">
        <v>191886</v>
      </c>
      <c r="E253" s="289">
        <v>8539</v>
      </c>
      <c r="F253" s="177">
        <v>198344</v>
      </c>
      <c r="G253" s="289">
        <v>8475</v>
      </c>
      <c r="H253" s="177">
        <v>212701</v>
      </c>
      <c r="I253" s="289">
        <v>8423</v>
      </c>
      <c r="J253" s="177">
        <v>216753</v>
      </c>
      <c r="K253" s="289">
        <v>8455</v>
      </c>
      <c r="L253" s="177">
        <v>232403</v>
      </c>
      <c r="M253" s="289">
        <v>8441</v>
      </c>
      <c r="N253" s="177">
        <v>228334.97773692544</v>
      </c>
      <c r="O253" s="5"/>
      <c r="P253" s="517"/>
      <c r="S253" s="177"/>
    </row>
    <row r="254" spans="1:19" ht="13">
      <c r="A254" s="865">
        <v>4623</v>
      </c>
      <c r="B254" s="866" t="s">
        <v>40</v>
      </c>
      <c r="C254" s="289">
        <v>2436</v>
      </c>
      <c r="D254" s="177">
        <v>57433</v>
      </c>
      <c r="E254" s="289">
        <v>2443</v>
      </c>
      <c r="F254" s="177">
        <v>62067</v>
      </c>
      <c r="G254" s="289">
        <v>2443</v>
      </c>
      <c r="H254" s="177">
        <v>65531</v>
      </c>
      <c r="I254" s="289">
        <v>2488</v>
      </c>
      <c r="J254" s="177">
        <v>66651</v>
      </c>
      <c r="K254" s="289">
        <v>2463</v>
      </c>
      <c r="L254" s="177">
        <v>65455</v>
      </c>
      <c r="M254" s="289">
        <v>2465</v>
      </c>
      <c r="N254" s="177">
        <v>68248.60157017273</v>
      </c>
      <c r="P254" s="517"/>
      <c r="S254" s="177"/>
    </row>
    <row r="255" spans="1:19" ht="13">
      <c r="A255" s="878">
        <v>4624</v>
      </c>
      <c r="B255" s="883" t="s">
        <v>1634</v>
      </c>
      <c r="C255" s="289">
        <v>22507</v>
      </c>
      <c r="D255" s="177">
        <v>534800</v>
      </c>
      <c r="E255" s="289">
        <v>22935</v>
      </c>
      <c r="F255" s="177">
        <v>569139</v>
      </c>
      <c r="G255" s="289">
        <v>23618</v>
      </c>
      <c r="H255" s="177">
        <v>626543</v>
      </c>
      <c r="I255" s="289">
        <v>24047</v>
      </c>
      <c r="J255" s="177">
        <v>657084</v>
      </c>
      <c r="K255" s="289">
        <v>24493</v>
      </c>
      <c r="L255" s="177">
        <v>677975</v>
      </c>
      <c r="M255" s="289">
        <v>24665</v>
      </c>
      <c r="N255" s="177">
        <v>695555.81989387202</v>
      </c>
      <c r="P255" s="517"/>
      <c r="S255" s="177"/>
    </row>
    <row r="256" spans="1:19" ht="13">
      <c r="A256" s="865">
        <v>4625</v>
      </c>
      <c r="B256" s="866" t="s">
        <v>41</v>
      </c>
      <c r="C256" s="289">
        <v>4924</v>
      </c>
      <c r="D256" s="177">
        <v>167181</v>
      </c>
      <c r="E256" s="289">
        <v>5012</v>
      </c>
      <c r="F256" s="177">
        <v>185918</v>
      </c>
      <c r="G256" s="289">
        <v>5118</v>
      </c>
      <c r="H256" s="177">
        <v>200516</v>
      </c>
      <c r="I256" s="289">
        <v>5156</v>
      </c>
      <c r="J256" s="177">
        <v>219330</v>
      </c>
      <c r="K256" s="289">
        <v>5189</v>
      </c>
      <c r="L256" s="177">
        <v>202389</v>
      </c>
      <c r="M256" s="289">
        <v>5212</v>
      </c>
      <c r="N256" s="177">
        <v>217762.04532355731</v>
      </c>
      <c r="P256" s="517"/>
      <c r="S256" s="177"/>
    </row>
    <row r="257" spans="1:19" ht="13">
      <c r="A257" s="878">
        <v>4626</v>
      </c>
      <c r="B257" s="883" t="s">
        <v>1635</v>
      </c>
      <c r="C257" s="289">
        <v>35191</v>
      </c>
      <c r="D257" s="177">
        <v>869349</v>
      </c>
      <c r="E257" s="289">
        <v>35912</v>
      </c>
      <c r="F257" s="177">
        <v>900925</v>
      </c>
      <c r="G257" s="289">
        <v>36697</v>
      </c>
      <c r="H257" s="177">
        <v>969029</v>
      </c>
      <c r="I257" s="289">
        <v>37175</v>
      </c>
      <c r="J257" s="177">
        <v>993064</v>
      </c>
      <c r="K257" s="289">
        <v>37687</v>
      </c>
      <c r="L257" s="177">
        <v>1041433</v>
      </c>
      <c r="M257" s="289">
        <v>38117</v>
      </c>
      <c r="N257" s="177">
        <v>1065841.5826247695</v>
      </c>
      <c r="P257" s="517"/>
      <c r="S257" s="177"/>
    </row>
    <row r="258" spans="1:19" ht="13">
      <c r="A258" s="865">
        <v>4627</v>
      </c>
      <c r="B258" s="876" t="s">
        <v>44</v>
      </c>
      <c r="C258" s="289">
        <v>27346</v>
      </c>
      <c r="D258" s="177">
        <v>612963</v>
      </c>
      <c r="E258" s="289">
        <v>27858</v>
      </c>
      <c r="F258" s="177">
        <v>641304</v>
      </c>
      <c r="G258" s="289">
        <v>28380</v>
      </c>
      <c r="H258" s="177">
        <v>684373</v>
      </c>
      <c r="I258" s="289">
        <v>28821</v>
      </c>
      <c r="J258" s="177">
        <v>715328</v>
      </c>
      <c r="K258" s="289">
        <v>29071</v>
      </c>
      <c r="L258" s="177">
        <v>745203</v>
      </c>
      <c r="M258" s="289">
        <v>29275</v>
      </c>
      <c r="N258" s="177">
        <v>755022.62578016461</v>
      </c>
      <c r="P258" s="517"/>
      <c r="S258" s="177"/>
    </row>
    <row r="259" spans="1:19" ht="13">
      <c r="A259" s="865">
        <v>4628</v>
      </c>
      <c r="B259" s="866" t="s">
        <v>45</v>
      </c>
      <c r="C259" s="289">
        <v>4140</v>
      </c>
      <c r="D259" s="177">
        <v>91771</v>
      </c>
      <c r="E259" s="289">
        <v>4096</v>
      </c>
      <c r="F259" s="177">
        <v>95145</v>
      </c>
      <c r="G259" s="289">
        <v>4125</v>
      </c>
      <c r="H259" s="177">
        <v>100840</v>
      </c>
      <c r="I259" s="289">
        <v>4123</v>
      </c>
      <c r="J259" s="177">
        <v>103284</v>
      </c>
      <c r="K259" s="289">
        <v>4127</v>
      </c>
      <c r="L259" s="177">
        <v>107402</v>
      </c>
      <c r="M259" s="289">
        <v>4045</v>
      </c>
      <c r="N259" s="177">
        <v>105376.40979093582</v>
      </c>
      <c r="P259" s="517"/>
      <c r="S259" s="177"/>
    </row>
    <row r="260" spans="1:19" ht="13">
      <c r="A260" s="865">
        <v>4629</v>
      </c>
      <c r="B260" s="866" t="s">
        <v>46</v>
      </c>
      <c r="C260" s="289">
        <v>372</v>
      </c>
      <c r="D260" s="177">
        <v>23282</v>
      </c>
      <c r="E260" s="289">
        <v>378</v>
      </c>
      <c r="F260" s="177">
        <v>22663</v>
      </c>
      <c r="G260" s="289">
        <v>381</v>
      </c>
      <c r="H260" s="177">
        <v>24758</v>
      </c>
      <c r="I260" s="289">
        <v>383</v>
      </c>
      <c r="J260" s="177">
        <v>23712</v>
      </c>
      <c r="K260" s="289">
        <v>380</v>
      </c>
      <c r="L260" s="177">
        <v>24427</v>
      </c>
      <c r="M260" s="289">
        <v>380</v>
      </c>
      <c r="N260" s="177">
        <v>24639.308741899466</v>
      </c>
      <c r="P260" s="517"/>
      <c r="S260" s="177"/>
    </row>
    <row r="261" spans="1:19" ht="13">
      <c r="A261" s="865">
        <v>4630</v>
      </c>
      <c r="B261" s="866" t="s">
        <v>47</v>
      </c>
      <c r="C261" s="289">
        <v>7786</v>
      </c>
      <c r="D261" s="177">
        <v>159398</v>
      </c>
      <c r="E261" s="289">
        <v>7842</v>
      </c>
      <c r="F261" s="177">
        <v>166774</v>
      </c>
      <c r="G261" s="289">
        <v>7957</v>
      </c>
      <c r="H261" s="177">
        <v>179015</v>
      </c>
      <c r="I261" s="289">
        <v>8026</v>
      </c>
      <c r="J261" s="177">
        <v>190980</v>
      </c>
      <c r="K261" s="289">
        <v>8125</v>
      </c>
      <c r="L261" s="177">
        <v>194818</v>
      </c>
      <c r="M261" s="289">
        <v>8120</v>
      </c>
      <c r="N261" s="177">
        <v>197316.64413224603</v>
      </c>
      <c r="P261" s="517"/>
      <c r="S261" s="177"/>
    </row>
    <row r="262" spans="1:19" ht="13">
      <c r="A262" s="878">
        <v>4631</v>
      </c>
      <c r="B262" s="883" t="s">
        <v>1636</v>
      </c>
      <c r="C262" s="289">
        <v>27652</v>
      </c>
      <c r="D262" s="177">
        <v>642806</v>
      </c>
      <c r="E262" s="289">
        <v>28152</v>
      </c>
      <c r="F262" s="177">
        <v>659754</v>
      </c>
      <c r="G262" s="289">
        <v>28496</v>
      </c>
      <c r="H262" s="177">
        <v>698232</v>
      </c>
      <c r="I262" s="289">
        <v>28880</v>
      </c>
      <c r="J262" s="177">
        <v>709290</v>
      </c>
      <c r="K262" s="289">
        <v>28997</v>
      </c>
      <c r="L262" s="177">
        <v>743913</v>
      </c>
      <c r="M262" s="289">
        <v>29090</v>
      </c>
      <c r="N262" s="177">
        <v>751893.92860350199</v>
      </c>
      <c r="P262" s="517"/>
      <c r="S262" s="177"/>
    </row>
    <row r="263" spans="1:19" ht="13">
      <c r="A263" s="865">
        <v>4632</v>
      </c>
      <c r="B263" s="866" t="s">
        <v>55</v>
      </c>
      <c r="C263" s="289">
        <v>2833</v>
      </c>
      <c r="D263" s="177">
        <v>84590</v>
      </c>
      <c r="E263" s="289">
        <v>2856</v>
      </c>
      <c r="F263" s="177">
        <v>82871</v>
      </c>
      <c r="G263" s="289">
        <v>2858</v>
      </c>
      <c r="H263" s="177">
        <v>88559</v>
      </c>
      <c r="I263" s="289">
        <v>2884</v>
      </c>
      <c r="J263" s="177">
        <v>85690</v>
      </c>
      <c r="K263" s="289">
        <v>2902</v>
      </c>
      <c r="L263" s="177">
        <v>87553</v>
      </c>
      <c r="M263" s="289">
        <v>2887</v>
      </c>
      <c r="N263" s="177">
        <v>90824.094023186335</v>
      </c>
      <c r="P263" s="517"/>
      <c r="S263" s="177"/>
    </row>
    <row r="264" spans="1:19" ht="13">
      <c r="A264" s="865">
        <v>4633</v>
      </c>
      <c r="B264" s="866" t="s">
        <v>56</v>
      </c>
      <c r="C264" s="289">
        <v>561</v>
      </c>
      <c r="D264" s="177">
        <v>12698</v>
      </c>
      <c r="E264" s="289">
        <v>563</v>
      </c>
      <c r="F264" s="177">
        <v>12935</v>
      </c>
      <c r="G264" s="289">
        <v>576</v>
      </c>
      <c r="H264" s="177">
        <v>13743</v>
      </c>
      <c r="I264" s="289">
        <v>587</v>
      </c>
      <c r="J264" s="177">
        <v>13627</v>
      </c>
      <c r="K264" s="289">
        <v>561</v>
      </c>
      <c r="L264" s="177">
        <v>14691</v>
      </c>
      <c r="M264" s="289">
        <v>562</v>
      </c>
      <c r="N264" s="177">
        <v>14235.69343904889</v>
      </c>
      <c r="P264" s="517"/>
      <c r="S264" s="177"/>
    </row>
    <row r="265" spans="1:19" ht="13">
      <c r="A265" s="865">
        <v>4634</v>
      </c>
      <c r="B265" s="866" t="s">
        <v>57</v>
      </c>
      <c r="C265" s="289">
        <v>1693</v>
      </c>
      <c r="D265" s="177">
        <v>50840</v>
      </c>
      <c r="E265" s="289">
        <v>1704</v>
      </c>
      <c r="F265" s="177">
        <v>51991</v>
      </c>
      <c r="G265" s="289">
        <v>1701</v>
      </c>
      <c r="H265" s="177">
        <v>54093</v>
      </c>
      <c r="I265" s="289">
        <v>1710</v>
      </c>
      <c r="J265" s="177">
        <v>54844</v>
      </c>
      <c r="K265" s="289">
        <v>1730</v>
      </c>
      <c r="L265" s="177">
        <v>55228</v>
      </c>
      <c r="M265" s="289">
        <v>1711</v>
      </c>
      <c r="N265" s="177">
        <v>56315.71561654815</v>
      </c>
      <c r="P265" s="517"/>
      <c r="S265" s="177"/>
    </row>
    <row r="266" spans="1:19" ht="13">
      <c r="A266" s="865">
        <v>4635</v>
      </c>
      <c r="B266" s="866" t="s">
        <v>59</v>
      </c>
      <c r="C266" s="289">
        <v>2315</v>
      </c>
      <c r="D266" s="177">
        <v>61093</v>
      </c>
      <c r="E266" s="289">
        <v>2335</v>
      </c>
      <c r="F266" s="177">
        <v>62353</v>
      </c>
      <c r="G266" s="289">
        <v>2370</v>
      </c>
      <c r="H266" s="177">
        <v>71148</v>
      </c>
      <c r="I266" s="289">
        <v>2371</v>
      </c>
      <c r="J266" s="177">
        <v>70894</v>
      </c>
      <c r="K266" s="289">
        <v>2345</v>
      </c>
      <c r="L266" s="177">
        <v>66356</v>
      </c>
      <c r="M266" s="289">
        <v>2322</v>
      </c>
      <c r="N266" s="177">
        <v>70935.904398267099</v>
      </c>
      <c r="P266" s="517"/>
      <c r="S266" s="177"/>
    </row>
    <row r="267" spans="1:19" ht="13">
      <c r="A267" s="865">
        <v>4636</v>
      </c>
      <c r="B267" s="866" t="s">
        <v>60</v>
      </c>
      <c r="C267" s="289">
        <v>815</v>
      </c>
      <c r="D267" s="177">
        <v>18381</v>
      </c>
      <c r="E267" s="289">
        <v>800</v>
      </c>
      <c r="F267" s="177">
        <v>19212</v>
      </c>
      <c r="G267" s="289">
        <v>785</v>
      </c>
      <c r="H267" s="177">
        <v>20256</v>
      </c>
      <c r="I267" s="289">
        <v>794</v>
      </c>
      <c r="J267" s="177">
        <v>21810</v>
      </c>
      <c r="K267" s="289">
        <v>807</v>
      </c>
      <c r="L267" s="177">
        <v>22900</v>
      </c>
      <c r="M267" s="289">
        <v>820</v>
      </c>
      <c r="N267" s="177">
        <v>23147.732168857878</v>
      </c>
      <c r="P267" s="517"/>
      <c r="S267" s="177"/>
    </row>
    <row r="268" spans="1:19" ht="13">
      <c r="A268" s="865">
        <v>4637</v>
      </c>
      <c r="B268" s="866" t="s">
        <v>61</v>
      </c>
      <c r="C268" s="289">
        <v>1391</v>
      </c>
      <c r="D268" s="177">
        <v>34485</v>
      </c>
      <c r="E268" s="289">
        <v>1405</v>
      </c>
      <c r="F268" s="177">
        <v>36501</v>
      </c>
      <c r="G268" s="289">
        <v>1395</v>
      </c>
      <c r="H268" s="177">
        <v>35334</v>
      </c>
      <c r="I268" s="289">
        <v>1438</v>
      </c>
      <c r="J268" s="177">
        <v>34994</v>
      </c>
      <c r="K268" s="289">
        <v>1378</v>
      </c>
      <c r="L268" s="177">
        <v>35150</v>
      </c>
      <c r="M268" s="289">
        <v>1366</v>
      </c>
      <c r="N268" s="177">
        <v>35533.507265423672</v>
      </c>
      <c r="P268" s="517"/>
      <c r="S268" s="177"/>
    </row>
    <row r="269" spans="1:19" ht="13">
      <c r="A269" s="889">
        <v>4638</v>
      </c>
      <c r="B269" s="890" t="s">
        <v>62</v>
      </c>
      <c r="C269" s="289">
        <v>4279</v>
      </c>
      <c r="D269" s="177">
        <v>104267.14701378254</v>
      </c>
      <c r="E269" s="289">
        <v>4265</v>
      </c>
      <c r="F269" s="177">
        <v>108516.17791411043</v>
      </c>
      <c r="G269" s="289">
        <v>4257</v>
      </c>
      <c r="H269" s="177">
        <v>112370.44513137559</v>
      </c>
      <c r="I269" s="289">
        <v>4286</v>
      </c>
      <c r="J269" s="177">
        <v>115779.93167701863</v>
      </c>
      <c r="K269" s="289">
        <v>4250</v>
      </c>
      <c r="L269" s="177">
        <v>125706.92868462758</v>
      </c>
      <c r="M269" s="289">
        <v>4187</v>
      </c>
      <c r="N269" s="177">
        <v>119851.50941524394</v>
      </c>
      <c r="P269" s="517"/>
      <c r="S269" s="177"/>
    </row>
    <row r="270" spans="1:19" ht="13">
      <c r="A270" s="865">
        <v>4639</v>
      </c>
      <c r="B270" s="866" t="s">
        <v>63</v>
      </c>
      <c r="C270" s="289">
        <v>2688</v>
      </c>
      <c r="D270" s="177">
        <v>68380</v>
      </c>
      <c r="E270" s="289">
        <v>2678</v>
      </c>
      <c r="F270" s="177">
        <v>70685</v>
      </c>
      <c r="G270" s="289">
        <v>2689</v>
      </c>
      <c r="H270" s="177">
        <v>77092</v>
      </c>
      <c r="I270" s="289">
        <v>2722</v>
      </c>
      <c r="J270" s="177">
        <v>79098</v>
      </c>
      <c r="K270" s="289">
        <v>2674</v>
      </c>
      <c r="L270" s="177">
        <v>82426</v>
      </c>
      <c r="M270" s="289">
        <v>2672</v>
      </c>
      <c r="N270" s="177">
        <v>81516.722098592843</v>
      </c>
      <c r="P270" s="517"/>
      <c r="S270" s="177"/>
    </row>
    <row r="271" spans="1:19" ht="13">
      <c r="A271" s="878">
        <v>4640</v>
      </c>
      <c r="B271" s="883" t="s">
        <v>1637</v>
      </c>
      <c r="C271" s="289">
        <v>11101</v>
      </c>
      <c r="D271" s="177">
        <v>245737.85298621745</v>
      </c>
      <c r="E271" s="289">
        <v>11161</v>
      </c>
      <c r="F271" s="177">
        <v>256555.82208588958</v>
      </c>
      <c r="G271" s="289">
        <v>11335</v>
      </c>
      <c r="H271" s="177">
        <v>288811.55486862443</v>
      </c>
      <c r="I271" s="289">
        <v>11465</v>
      </c>
      <c r="J271" s="177">
        <v>301611.06832298136</v>
      </c>
      <c r="K271" s="289">
        <v>11570</v>
      </c>
      <c r="L271" s="177">
        <v>322095.07131537242</v>
      </c>
      <c r="M271" s="289">
        <v>11705</v>
      </c>
      <c r="N271" s="177">
        <v>321886.34313170071</v>
      </c>
      <c r="P271" s="517"/>
      <c r="S271" s="177"/>
    </row>
    <row r="272" spans="1:19" ht="13">
      <c r="A272" s="865">
        <v>4641</v>
      </c>
      <c r="B272" s="866" t="s">
        <v>67</v>
      </c>
      <c r="C272" s="289">
        <v>1715</v>
      </c>
      <c r="D272" s="177">
        <v>71151</v>
      </c>
      <c r="E272" s="289">
        <v>1738</v>
      </c>
      <c r="F272" s="177">
        <v>72994</v>
      </c>
      <c r="G272" s="289">
        <v>1764</v>
      </c>
      <c r="H272" s="177">
        <v>77215</v>
      </c>
      <c r="I272" s="289">
        <v>1787</v>
      </c>
      <c r="J272" s="177">
        <v>81924</v>
      </c>
      <c r="K272" s="289">
        <v>1778</v>
      </c>
      <c r="L272" s="177">
        <v>85477</v>
      </c>
      <c r="M272" s="289">
        <v>1764</v>
      </c>
      <c r="N272" s="177">
        <v>83047.580434410425</v>
      </c>
      <c r="P272" s="517"/>
      <c r="S272" s="177"/>
    </row>
    <row r="273" spans="1:19" ht="13">
      <c r="A273" s="865">
        <v>4642</v>
      </c>
      <c r="B273" s="866" t="s">
        <v>68</v>
      </c>
      <c r="C273" s="289">
        <v>2174</v>
      </c>
      <c r="D273" s="177">
        <v>64615</v>
      </c>
      <c r="E273" s="289">
        <v>2146</v>
      </c>
      <c r="F273" s="177">
        <v>65981</v>
      </c>
      <c r="G273" s="289">
        <v>2172</v>
      </c>
      <c r="H273" s="177">
        <v>68720</v>
      </c>
      <c r="I273" s="289">
        <v>2159</v>
      </c>
      <c r="J273" s="177">
        <v>68552</v>
      </c>
      <c r="K273" s="289">
        <v>2153</v>
      </c>
      <c r="L273" s="177">
        <v>75278</v>
      </c>
      <c r="M273" s="289">
        <v>2151</v>
      </c>
      <c r="N273" s="177">
        <v>72692.877131885311</v>
      </c>
      <c r="P273" s="517"/>
      <c r="S273" s="177"/>
    </row>
    <row r="274" spans="1:19" ht="13">
      <c r="A274" s="865">
        <v>4643</v>
      </c>
      <c r="B274" s="866" t="s">
        <v>69</v>
      </c>
      <c r="C274" s="289">
        <v>5496</v>
      </c>
      <c r="D274" s="177">
        <v>145736</v>
      </c>
      <c r="E274" s="289">
        <v>5429</v>
      </c>
      <c r="F274" s="177">
        <v>151282</v>
      </c>
      <c r="G274" s="289">
        <v>5359</v>
      </c>
      <c r="H274" s="177">
        <v>163473</v>
      </c>
      <c r="I274" s="289">
        <v>5363</v>
      </c>
      <c r="J274" s="177">
        <v>168987</v>
      </c>
      <c r="K274" s="289">
        <v>5277</v>
      </c>
      <c r="L274" s="177">
        <v>176906</v>
      </c>
      <c r="M274" s="289">
        <v>5245</v>
      </c>
      <c r="N274" s="177">
        <v>172826.7111469112</v>
      </c>
      <c r="P274" s="517"/>
      <c r="S274" s="177"/>
    </row>
    <row r="275" spans="1:19" ht="13">
      <c r="A275" s="865">
        <v>4644</v>
      </c>
      <c r="B275" s="866" t="s">
        <v>70</v>
      </c>
      <c r="C275" s="289">
        <v>5089</v>
      </c>
      <c r="D275" s="177">
        <v>136267</v>
      </c>
      <c r="E275" s="289">
        <v>5118</v>
      </c>
      <c r="F275" s="177">
        <v>137680</v>
      </c>
      <c r="G275" s="289">
        <v>5093</v>
      </c>
      <c r="H275" s="177">
        <v>149089</v>
      </c>
      <c r="I275" s="289">
        <v>5151</v>
      </c>
      <c r="J275" s="177">
        <v>154636</v>
      </c>
      <c r="K275" s="289">
        <v>5223</v>
      </c>
      <c r="L275" s="177">
        <v>159408</v>
      </c>
      <c r="M275" s="289">
        <v>5195</v>
      </c>
      <c r="N275" s="177">
        <v>159845.56980242312</v>
      </c>
      <c r="P275" s="517"/>
      <c r="S275" s="177"/>
    </row>
    <row r="276" spans="1:19" ht="13">
      <c r="A276" s="865">
        <v>4645</v>
      </c>
      <c r="B276" s="866" t="s">
        <v>71</v>
      </c>
      <c r="C276" s="289">
        <v>3011</v>
      </c>
      <c r="D276" s="177">
        <v>59345</v>
      </c>
      <c r="E276" s="289">
        <v>3008</v>
      </c>
      <c r="F276" s="177">
        <v>64014</v>
      </c>
      <c r="G276" s="289">
        <v>3023</v>
      </c>
      <c r="H276" s="177">
        <v>71027</v>
      </c>
      <c r="I276" s="289">
        <v>3065</v>
      </c>
      <c r="J276" s="177">
        <v>72106</v>
      </c>
      <c r="K276" s="289">
        <v>3052</v>
      </c>
      <c r="L276" s="177">
        <v>73539</v>
      </c>
      <c r="M276" s="289">
        <v>3038</v>
      </c>
      <c r="N276" s="177">
        <v>74755.416558910263</v>
      </c>
      <c r="P276" s="517"/>
      <c r="S276" s="177"/>
    </row>
    <row r="277" spans="1:19" ht="13">
      <c r="A277" s="865">
        <v>4646</v>
      </c>
      <c r="B277" s="866" t="s">
        <v>72</v>
      </c>
      <c r="C277" s="289">
        <v>2853</v>
      </c>
      <c r="D277" s="177">
        <v>54444</v>
      </c>
      <c r="E277" s="289">
        <v>2823</v>
      </c>
      <c r="F277" s="177">
        <v>56681</v>
      </c>
      <c r="G277" s="289">
        <v>2830</v>
      </c>
      <c r="H277" s="177">
        <v>64838</v>
      </c>
      <c r="I277" s="289">
        <v>2862</v>
      </c>
      <c r="J277" s="177">
        <v>65267</v>
      </c>
      <c r="K277" s="289">
        <v>2846</v>
      </c>
      <c r="L277" s="177">
        <v>63972</v>
      </c>
      <c r="M277" s="289">
        <v>2770</v>
      </c>
      <c r="N277" s="177">
        <v>65390.572452678134</v>
      </c>
      <c r="P277" s="517"/>
      <c r="S277" s="177"/>
    </row>
    <row r="278" spans="1:19" ht="13">
      <c r="A278" s="878">
        <v>4647</v>
      </c>
      <c r="B278" s="883" t="s">
        <v>1638</v>
      </c>
      <c r="C278" s="289">
        <v>21459</v>
      </c>
      <c r="D278" s="177">
        <v>487641</v>
      </c>
      <c r="E278" s="289">
        <v>21564</v>
      </c>
      <c r="F278" s="177">
        <v>516256</v>
      </c>
      <c r="G278" s="289">
        <v>21702</v>
      </c>
      <c r="H278" s="177">
        <v>572437</v>
      </c>
      <c r="I278" s="289">
        <v>21872</v>
      </c>
      <c r="J278" s="177">
        <v>591156</v>
      </c>
      <c r="K278" s="289">
        <v>21963</v>
      </c>
      <c r="L278" s="177">
        <v>609420</v>
      </c>
      <c r="M278" s="289">
        <v>21959</v>
      </c>
      <c r="N278" s="177">
        <v>616330.58500322141</v>
      </c>
      <c r="P278" s="517"/>
      <c r="S278" s="177"/>
    </row>
    <row r="279" spans="1:19" ht="13">
      <c r="A279" s="865">
        <v>4648</v>
      </c>
      <c r="B279" s="866" t="s">
        <v>77</v>
      </c>
      <c r="C279" s="289">
        <v>3950</v>
      </c>
      <c r="D279" s="177">
        <v>93322</v>
      </c>
      <c r="E279" s="289">
        <v>3890</v>
      </c>
      <c r="F279" s="177">
        <v>95883</v>
      </c>
      <c r="G279" s="289">
        <v>3846</v>
      </c>
      <c r="H279" s="177">
        <v>102127</v>
      </c>
      <c r="I279" s="289">
        <v>3847</v>
      </c>
      <c r="J279" s="177">
        <v>103184</v>
      </c>
      <c r="K279" s="289">
        <v>3767</v>
      </c>
      <c r="L279" s="177">
        <v>105303</v>
      </c>
      <c r="M279" s="289">
        <v>3705</v>
      </c>
      <c r="N279" s="177">
        <v>104133.05626868682</v>
      </c>
      <c r="P279" s="517"/>
      <c r="S279" s="177"/>
    </row>
    <row r="280" spans="1:19" ht="13">
      <c r="A280" s="878">
        <v>4649</v>
      </c>
      <c r="B280" s="883" t="s">
        <v>1639</v>
      </c>
      <c r="C280" s="289">
        <v>9223</v>
      </c>
      <c r="D280" s="177">
        <v>194487.09505828272</v>
      </c>
      <c r="E280" s="289">
        <v>9254</v>
      </c>
      <c r="F280" s="177">
        <v>204603.14830647814</v>
      </c>
      <c r="G280" s="289">
        <v>9304</v>
      </c>
      <c r="H280" s="177">
        <v>212774.46559708897</v>
      </c>
      <c r="I280" s="289">
        <v>9370</v>
      </c>
      <c r="J280" s="177">
        <v>224077.43972807162</v>
      </c>
      <c r="K280" s="289">
        <v>9429</v>
      </c>
      <c r="L280" s="177">
        <v>238487.67722046326</v>
      </c>
      <c r="M280" s="289">
        <v>9413</v>
      </c>
      <c r="N280" s="177">
        <v>234545.49492531898</v>
      </c>
      <c r="P280" s="517"/>
      <c r="S280" s="177"/>
    </row>
    <row r="281" spans="1:19" ht="13">
      <c r="A281" s="865">
        <v>4650</v>
      </c>
      <c r="B281" s="866" t="s">
        <v>82</v>
      </c>
      <c r="C281" s="289">
        <v>5694</v>
      </c>
      <c r="D281" s="177">
        <v>123868</v>
      </c>
      <c r="E281" s="289">
        <v>5751</v>
      </c>
      <c r="F281" s="177">
        <v>128806</v>
      </c>
      <c r="G281" s="289">
        <v>5784</v>
      </c>
      <c r="H281" s="177">
        <v>136750</v>
      </c>
      <c r="I281" s="289">
        <v>5783</v>
      </c>
      <c r="J281" s="177">
        <v>147153</v>
      </c>
      <c r="K281" s="289">
        <v>5874</v>
      </c>
      <c r="L281" s="177">
        <v>169864</v>
      </c>
      <c r="M281" s="289">
        <v>5836</v>
      </c>
      <c r="N281" s="177">
        <v>157175.06621390313</v>
      </c>
      <c r="P281" s="517"/>
      <c r="S281" s="177"/>
    </row>
    <row r="282" spans="1:19" ht="13">
      <c r="A282" s="865">
        <v>4651</v>
      </c>
      <c r="B282" s="866" t="s">
        <v>83</v>
      </c>
      <c r="C282" s="289">
        <v>7148</v>
      </c>
      <c r="D282" s="177">
        <v>151448.80621422731</v>
      </c>
      <c r="E282" s="289">
        <v>7169</v>
      </c>
      <c r="F282" s="177">
        <v>163269.38165438166</v>
      </c>
      <c r="G282" s="289">
        <v>7182</v>
      </c>
      <c r="H282" s="177">
        <v>179114.61</v>
      </c>
      <c r="I282" s="289">
        <v>7232</v>
      </c>
      <c r="J282" s="177">
        <v>186520.69949916529</v>
      </c>
      <c r="K282" s="289">
        <v>7209</v>
      </c>
      <c r="L282" s="177">
        <v>181846.54468085108</v>
      </c>
      <c r="M282" s="289">
        <v>7167</v>
      </c>
      <c r="N282" s="177">
        <v>188423.73187808821</v>
      </c>
      <c r="P282" s="517"/>
      <c r="S282" s="177"/>
    </row>
    <row r="283" spans="1:19" ht="13">
      <c r="A283" s="878">
        <v>5001</v>
      </c>
      <c r="B283" s="883" t="s">
        <v>118</v>
      </c>
      <c r="C283" s="289">
        <v>188005</v>
      </c>
      <c r="D283" s="177">
        <v>4691239</v>
      </c>
      <c r="E283" s="289">
        <v>190955</v>
      </c>
      <c r="F283" s="177">
        <v>4966134</v>
      </c>
      <c r="G283" s="289">
        <v>193420</v>
      </c>
      <c r="H283" s="177">
        <v>5523798</v>
      </c>
      <c r="I283" s="289">
        <v>196514</v>
      </c>
      <c r="J283" s="177">
        <v>5883227</v>
      </c>
      <c r="K283" s="289">
        <v>199595</v>
      </c>
      <c r="L283" s="177">
        <v>6181799</v>
      </c>
      <c r="M283" s="289">
        <v>202235</v>
      </c>
      <c r="N283" s="177">
        <v>6257085.5306773577</v>
      </c>
      <c r="P283" s="517"/>
      <c r="S283" s="177"/>
    </row>
    <row r="284" spans="1:19" ht="13">
      <c r="A284" s="878">
        <v>5006</v>
      </c>
      <c r="B284" s="883" t="s">
        <v>1640</v>
      </c>
      <c r="C284" s="289">
        <v>24050</v>
      </c>
      <c r="D284" s="177">
        <v>436489.44496487122</v>
      </c>
      <c r="E284" s="289">
        <v>24130</v>
      </c>
      <c r="F284" s="177">
        <v>469460.21554770321</v>
      </c>
      <c r="G284" s="289">
        <v>24241</v>
      </c>
      <c r="H284" s="177">
        <v>511315.06687772064</v>
      </c>
      <c r="I284" s="289">
        <v>24420</v>
      </c>
      <c r="J284" s="177">
        <v>535133.76222664013</v>
      </c>
      <c r="K284" s="289">
        <v>24502</v>
      </c>
      <c r="L284" s="177">
        <v>556707.73716134252</v>
      </c>
      <c r="M284" s="289">
        <v>24472</v>
      </c>
      <c r="N284" s="177">
        <v>556413.45751455973</v>
      </c>
      <c r="P284" s="517"/>
      <c r="S284" s="177"/>
    </row>
    <row r="285" spans="1:19" ht="13">
      <c r="A285" s="878">
        <v>5007</v>
      </c>
      <c r="B285" s="883" t="s">
        <v>1641</v>
      </c>
      <c r="C285" s="289">
        <v>15452</v>
      </c>
      <c r="D285" s="177">
        <v>292614.15284360189</v>
      </c>
      <c r="E285" s="289">
        <v>15351</v>
      </c>
      <c r="F285" s="177">
        <v>306319.7707144263</v>
      </c>
      <c r="G285" s="289">
        <v>15316</v>
      </c>
      <c r="H285" s="177">
        <v>339190.52477565355</v>
      </c>
      <c r="I285" s="289">
        <v>15323</v>
      </c>
      <c r="J285" s="177">
        <v>352268.55430128454</v>
      </c>
      <c r="K285" s="289">
        <v>15332</v>
      </c>
      <c r="L285" s="177">
        <v>364436.08637873753</v>
      </c>
      <c r="M285" s="289">
        <v>15345</v>
      </c>
      <c r="N285" s="177">
        <v>365864.16503258882</v>
      </c>
      <c r="P285" s="517"/>
      <c r="S285" s="177"/>
    </row>
    <row r="286" spans="1:19" ht="13">
      <c r="A286" s="865">
        <v>5014</v>
      </c>
      <c r="B286" s="866" t="s">
        <v>122</v>
      </c>
      <c r="C286" s="289">
        <v>4547</v>
      </c>
      <c r="D286" s="177">
        <v>128168</v>
      </c>
      <c r="E286" s="289">
        <v>4634</v>
      </c>
      <c r="F286" s="177">
        <v>126174</v>
      </c>
      <c r="G286" s="289">
        <v>4799</v>
      </c>
      <c r="H286" s="177">
        <v>215057</v>
      </c>
      <c r="I286" s="289">
        <v>4937</v>
      </c>
      <c r="J286" s="177">
        <v>283115</v>
      </c>
      <c r="K286" s="289">
        <v>4962</v>
      </c>
      <c r="L286" s="177">
        <v>199096</v>
      </c>
      <c r="M286" s="289">
        <v>5068</v>
      </c>
      <c r="N286" s="177">
        <v>249783.45206958661</v>
      </c>
      <c r="P286" s="517"/>
      <c r="S286" s="177"/>
    </row>
    <row r="287" spans="1:19" ht="13">
      <c r="A287" s="865">
        <v>5020</v>
      </c>
      <c r="B287" s="866" t="s">
        <v>129</v>
      </c>
      <c r="C287" s="289">
        <v>997</v>
      </c>
      <c r="D287" s="177">
        <v>16756</v>
      </c>
      <c r="E287" s="289">
        <v>1010</v>
      </c>
      <c r="F287" s="177">
        <v>18345</v>
      </c>
      <c r="G287" s="289">
        <v>976</v>
      </c>
      <c r="H287" s="177">
        <v>19657</v>
      </c>
      <c r="I287" s="289">
        <v>978</v>
      </c>
      <c r="J287" s="177">
        <v>21713</v>
      </c>
      <c r="K287" s="289">
        <v>967</v>
      </c>
      <c r="L287" s="177">
        <v>20690</v>
      </c>
      <c r="M287" s="289">
        <v>947</v>
      </c>
      <c r="N287" s="177">
        <v>20875.842144120772</v>
      </c>
      <c r="P287" s="517"/>
      <c r="S287" s="177"/>
    </row>
    <row r="288" spans="1:19" ht="13">
      <c r="A288" s="865">
        <v>5021</v>
      </c>
      <c r="B288" s="866" t="s">
        <v>130</v>
      </c>
      <c r="C288" s="289">
        <v>6814</v>
      </c>
      <c r="D288" s="177">
        <v>137555</v>
      </c>
      <c r="E288" s="289">
        <v>6852</v>
      </c>
      <c r="F288" s="177">
        <v>143069</v>
      </c>
      <c r="G288" s="289">
        <v>6886</v>
      </c>
      <c r="H288" s="177">
        <v>157388</v>
      </c>
      <c r="I288" s="289">
        <v>6973</v>
      </c>
      <c r="J288" s="177">
        <v>168825</v>
      </c>
      <c r="K288" s="289">
        <v>6970</v>
      </c>
      <c r="L288" s="177">
        <v>174333</v>
      </c>
      <c r="M288" s="289">
        <v>6975</v>
      </c>
      <c r="N288" s="177">
        <v>173672.71537705135</v>
      </c>
      <c r="P288" s="517"/>
      <c r="S288" s="177"/>
    </row>
    <row r="289" spans="1:19" ht="13">
      <c r="A289" s="865">
        <v>5022</v>
      </c>
      <c r="B289" s="866" t="s">
        <v>131</v>
      </c>
      <c r="C289" s="289">
        <v>2556</v>
      </c>
      <c r="D289" s="177">
        <v>51530</v>
      </c>
      <c r="E289" s="289">
        <v>2567</v>
      </c>
      <c r="F289" s="177">
        <v>52413</v>
      </c>
      <c r="G289" s="289">
        <v>2562</v>
      </c>
      <c r="H289" s="177">
        <v>57456</v>
      </c>
      <c r="I289" s="289">
        <v>2556</v>
      </c>
      <c r="J289" s="177">
        <v>58411</v>
      </c>
      <c r="K289" s="289">
        <v>2541</v>
      </c>
      <c r="L289" s="177">
        <v>60864</v>
      </c>
      <c r="M289" s="289">
        <v>2501</v>
      </c>
      <c r="N289" s="177">
        <v>59774.558036421331</v>
      </c>
      <c r="P289" s="517"/>
      <c r="S289" s="177"/>
    </row>
    <row r="290" spans="1:19" ht="13">
      <c r="A290" s="865">
        <v>5025</v>
      </c>
      <c r="B290" s="876" t="s">
        <v>134</v>
      </c>
      <c r="C290" s="289">
        <v>5583</v>
      </c>
      <c r="D290" s="177">
        <v>122917</v>
      </c>
      <c r="E290" s="289">
        <v>5593</v>
      </c>
      <c r="F290" s="177">
        <v>126206</v>
      </c>
      <c r="G290" s="289">
        <v>5635</v>
      </c>
      <c r="H290" s="177">
        <v>135849</v>
      </c>
      <c r="I290" s="289">
        <v>5623</v>
      </c>
      <c r="J290" s="177">
        <v>140005</v>
      </c>
      <c r="K290" s="289">
        <v>5663</v>
      </c>
      <c r="L290" s="177">
        <v>150634</v>
      </c>
      <c r="M290" s="289">
        <v>5610</v>
      </c>
      <c r="N290" s="177">
        <v>146592.72067156667</v>
      </c>
      <c r="P290" s="517"/>
      <c r="S290" s="177"/>
    </row>
    <row r="291" spans="1:19" ht="13">
      <c r="A291" s="865">
        <v>5026</v>
      </c>
      <c r="B291" s="866" t="s">
        <v>135</v>
      </c>
      <c r="C291" s="289">
        <v>2024</v>
      </c>
      <c r="D291" s="177">
        <v>36840</v>
      </c>
      <c r="E291" s="289">
        <v>2014</v>
      </c>
      <c r="F291" s="177">
        <v>38051</v>
      </c>
      <c r="G291" s="289">
        <v>2031</v>
      </c>
      <c r="H291" s="177">
        <v>40877</v>
      </c>
      <c r="I291" s="289">
        <v>2046</v>
      </c>
      <c r="J291" s="177">
        <v>41668</v>
      </c>
      <c r="K291" s="289">
        <v>2028</v>
      </c>
      <c r="L291" s="177">
        <v>42917</v>
      </c>
      <c r="M291" s="289">
        <v>2025</v>
      </c>
      <c r="N291" s="177">
        <v>43187.044699710903</v>
      </c>
      <c r="P291" s="517"/>
      <c r="S291" s="177"/>
    </row>
    <row r="292" spans="1:19" ht="13">
      <c r="A292" s="865">
        <v>5027</v>
      </c>
      <c r="B292" s="866" t="s">
        <v>136</v>
      </c>
      <c r="C292" s="289">
        <v>6361</v>
      </c>
      <c r="D292" s="177">
        <v>117036</v>
      </c>
      <c r="E292" s="289">
        <v>6336</v>
      </c>
      <c r="F292" s="177">
        <v>122762</v>
      </c>
      <c r="G292" s="289">
        <v>6298</v>
      </c>
      <c r="H292" s="177">
        <v>134262</v>
      </c>
      <c r="I292" s="289">
        <v>6319</v>
      </c>
      <c r="J292" s="177">
        <v>136088</v>
      </c>
      <c r="K292" s="289">
        <v>6225</v>
      </c>
      <c r="L292" s="177">
        <v>138350</v>
      </c>
      <c r="M292" s="289">
        <v>6246</v>
      </c>
      <c r="N292" s="177">
        <v>140581.60593642708</v>
      </c>
      <c r="P292" s="517"/>
      <c r="S292" s="177"/>
    </row>
    <row r="293" spans="1:19" ht="13">
      <c r="A293" s="865">
        <v>5028</v>
      </c>
      <c r="B293" s="866" t="s">
        <v>137</v>
      </c>
      <c r="C293" s="289">
        <v>15844</v>
      </c>
      <c r="D293" s="177">
        <v>325097</v>
      </c>
      <c r="E293" s="289">
        <v>15916</v>
      </c>
      <c r="F293" s="177">
        <v>336584</v>
      </c>
      <c r="G293" s="289">
        <v>16096</v>
      </c>
      <c r="H293" s="177">
        <v>363387</v>
      </c>
      <c r="I293" s="289">
        <v>16213</v>
      </c>
      <c r="J293" s="177">
        <v>384271</v>
      </c>
      <c r="K293" s="289">
        <v>16424</v>
      </c>
      <c r="L293" s="177">
        <v>405508</v>
      </c>
      <c r="M293" s="289">
        <v>16562</v>
      </c>
      <c r="N293" s="177">
        <v>406286.38369606505</v>
      </c>
      <c r="P293" s="517"/>
      <c r="S293" s="177"/>
    </row>
    <row r="294" spans="1:19" ht="13">
      <c r="A294" s="865">
        <v>5029</v>
      </c>
      <c r="B294" s="866" t="s">
        <v>138</v>
      </c>
      <c r="C294" s="289">
        <v>7392</v>
      </c>
      <c r="D294" s="177">
        <v>141880</v>
      </c>
      <c r="E294" s="289">
        <v>7668</v>
      </c>
      <c r="F294" s="177">
        <v>154041</v>
      </c>
      <c r="G294" s="289">
        <v>7755</v>
      </c>
      <c r="H294" s="177">
        <v>170390</v>
      </c>
      <c r="I294" s="289">
        <v>8000</v>
      </c>
      <c r="J294" s="177">
        <v>185257</v>
      </c>
      <c r="K294" s="289">
        <v>8142</v>
      </c>
      <c r="L294" s="177">
        <v>194457</v>
      </c>
      <c r="M294" s="289">
        <v>8231</v>
      </c>
      <c r="N294" s="177">
        <v>196415.93541483034</v>
      </c>
      <c r="P294" s="517"/>
      <c r="S294" s="177"/>
    </row>
    <row r="295" spans="1:19" ht="13">
      <c r="A295" s="865">
        <v>5031</v>
      </c>
      <c r="B295" s="866" t="s">
        <v>141</v>
      </c>
      <c r="C295" s="289">
        <v>13371</v>
      </c>
      <c r="D295" s="177">
        <v>308238</v>
      </c>
      <c r="E295" s="289">
        <v>13498</v>
      </c>
      <c r="F295" s="177">
        <v>318663</v>
      </c>
      <c r="G295" s="289">
        <v>13738</v>
      </c>
      <c r="H295" s="177">
        <v>359450</v>
      </c>
      <c r="I295" s="289">
        <v>13820</v>
      </c>
      <c r="J295" s="177">
        <v>368227</v>
      </c>
      <c r="K295" s="289">
        <v>13958</v>
      </c>
      <c r="L295" s="177">
        <v>397644</v>
      </c>
      <c r="M295" s="289">
        <v>14040</v>
      </c>
      <c r="N295" s="177">
        <v>394678.78903372231</v>
      </c>
      <c r="P295" s="517"/>
      <c r="S295" s="177"/>
    </row>
    <row r="296" spans="1:19" ht="13">
      <c r="A296" s="865">
        <v>5032</v>
      </c>
      <c r="B296" s="866" t="s">
        <v>142</v>
      </c>
      <c r="C296" s="289">
        <v>4030</v>
      </c>
      <c r="D296" s="177">
        <v>79555</v>
      </c>
      <c r="E296" s="289">
        <v>4078</v>
      </c>
      <c r="F296" s="177">
        <v>84730</v>
      </c>
      <c r="G296" s="289">
        <v>4132</v>
      </c>
      <c r="H296" s="177">
        <v>91266</v>
      </c>
      <c r="I296" s="289">
        <v>4098</v>
      </c>
      <c r="J296" s="177">
        <v>94622</v>
      </c>
      <c r="K296" s="289">
        <v>4093</v>
      </c>
      <c r="L296" s="177">
        <v>97338</v>
      </c>
      <c r="M296" s="289">
        <v>4088</v>
      </c>
      <c r="N296" s="177">
        <v>97349.364230283463</v>
      </c>
      <c r="P296" s="517"/>
      <c r="S296" s="177"/>
    </row>
    <row r="297" spans="1:19" ht="13">
      <c r="A297" s="865">
        <v>5033</v>
      </c>
      <c r="B297" s="866" t="s">
        <v>143</v>
      </c>
      <c r="C297" s="289">
        <v>864</v>
      </c>
      <c r="D297" s="177">
        <v>30854</v>
      </c>
      <c r="E297" s="289">
        <v>863</v>
      </c>
      <c r="F297" s="177">
        <v>32527</v>
      </c>
      <c r="G297" s="289">
        <v>851</v>
      </c>
      <c r="H297" s="177">
        <v>33235</v>
      </c>
      <c r="I297" s="289">
        <v>861</v>
      </c>
      <c r="J297" s="177">
        <v>33121</v>
      </c>
      <c r="K297" s="289">
        <v>834</v>
      </c>
      <c r="L297" s="177">
        <v>34850</v>
      </c>
      <c r="M297" s="289">
        <v>794</v>
      </c>
      <c r="N297" s="177">
        <v>33162.395621102129</v>
      </c>
      <c r="P297" s="517"/>
      <c r="S297" s="177"/>
    </row>
    <row r="298" spans="1:19" ht="13">
      <c r="A298" s="865">
        <v>5034</v>
      </c>
      <c r="B298" s="866" t="s">
        <v>146</v>
      </c>
      <c r="C298" s="289">
        <v>2553</v>
      </c>
      <c r="D298" s="177">
        <v>48534</v>
      </c>
      <c r="E298" s="289">
        <v>2558</v>
      </c>
      <c r="F298" s="177">
        <v>51352</v>
      </c>
      <c r="G298" s="289">
        <v>2523</v>
      </c>
      <c r="H298" s="177">
        <v>53590</v>
      </c>
      <c r="I298" s="289">
        <v>2508</v>
      </c>
      <c r="J298" s="177">
        <v>54417</v>
      </c>
      <c r="K298" s="289">
        <v>2469</v>
      </c>
      <c r="L298" s="177">
        <v>57823</v>
      </c>
      <c r="M298" s="289">
        <v>2432</v>
      </c>
      <c r="N298" s="177">
        <v>55730.157725682853</v>
      </c>
      <c r="P298" s="517"/>
      <c r="S298" s="177"/>
    </row>
    <row r="299" spans="1:19" ht="13">
      <c r="A299" s="865">
        <v>5035</v>
      </c>
      <c r="B299" s="866" t="s">
        <v>147</v>
      </c>
      <c r="C299" s="289">
        <v>22683</v>
      </c>
      <c r="D299" s="177">
        <v>461772</v>
      </c>
      <c r="E299" s="289">
        <v>22957</v>
      </c>
      <c r="F299" s="177">
        <v>500584</v>
      </c>
      <c r="G299" s="289">
        <v>23308</v>
      </c>
      <c r="H299" s="177">
        <v>539672</v>
      </c>
      <c r="I299" s="289">
        <v>23625</v>
      </c>
      <c r="J299" s="177">
        <v>564472</v>
      </c>
      <c r="K299" s="289">
        <v>23964</v>
      </c>
      <c r="L299" s="177">
        <v>597732</v>
      </c>
      <c r="M299" s="289">
        <v>24028</v>
      </c>
      <c r="N299" s="177">
        <v>598184.44344392745</v>
      </c>
      <c r="P299" s="517"/>
      <c r="S299" s="177"/>
    </row>
    <row r="300" spans="1:19" ht="13">
      <c r="A300" s="865">
        <v>5036</v>
      </c>
      <c r="B300" s="866" t="s">
        <v>148</v>
      </c>
      <c r="C300" s="289">
        <v>2653</v>
      </c>
      <c r="D300" s="177">
        <v>43779</v>
      </c>
      <c r="E300" s="289">
        <v>2624</v>
      </c>
      <c r="F300" s="177">
        <v>45334</v>
      </c>
      <c r="G300" s="289">
        <v>2631</v>
      </c>
      <c r="H300" s="177">
        <v>48858</v>
      </c>
      <c r="I300" s="289">
        <v>2630</v>
      </c>
      <c r="J300" s="177">
        <v>55464</v>
      </c>
      <c r="K300" s="289">
        <v>2616</v>
      </c>
      <c r="L300" s="177">
        <v>57821</v>
      </c>
      <c r="M300" s="289">
        <v>2632</v>
      </c>
      <c r="N300" s="177">
        <v>56152.887903352595</v>
      </c>
      <c r="P300" s="517"/>
      <c r="S300" s="177"/>
    </row>
    <row r="301" spans="1:19" ht="13">
      <c r="A301" s="865">
        <v>5037</v>
      </c>
      <c r="B301" s="866" t="s">
        <v>150</v>
      </c>
      <c r="C301" s="289">
        <v>19212</v>
      </c>
      <c r="D301" s="177">
        <v>379690</v>
      </c>
      <c r="E301" s="289">
        <v>19474</v>
      </c>
      <c r="F301" s="177">
        <v>399602</v>
      </c>
      <c r="G301" s="289">
        <v>19610</v>
      </c>
      <c r="H301" s="177">
        <v>452141</v>
      </c>
      <c r="I301" s="289">
        <v>19892</v>
      </c>
      <c r="J301" s="177">
        <v>467325</v>
      </c>
      <c r="K301" s="289">
        <v>20115</v>
      </c>
      <c r="L301" s="177">
        <v>490350</v>
      </c>
      <c r="M301" s="289">
        <v>20254</v>
      </c>
      <c r="N301" s="177">
        <v>496889.78012865997</v>
      </c>
      <c r="P301" s="517"/>
      <c r="S301" s="177"/>
    </row>
    <row r="302" spans="1:19" ht="13">
      <c r="A302" s="865">
        <v>5038</v>
      </c>
      <c r="B302" s="866" t="s">
        <v>151</v>
      </c>
      <c r="C302" s="289">
        <v>14788</v>
      </c>
      <c r="D302" s="177">
        <v>279742</v>
      </c>
      <c r="E302" s="289">
        <v>14809</v>
      </c>
      <c r="F302" s="177">
        <v>280360</v>
      </c>
      <c r="G302" s="289">
        <v>14885</v>
      </c>
      <c r="H302" s="177">
        <v>303298</v>
      </c>
      <c r="I302" s="289">
        <v>14849</v>
      </c>
      <c r="J302" s="177">
        <v>319010</v>
      </c>
      <c r="K302" s="289">
        <v>14943</v>
      </c>
      <c r="L302" s="177">
        <v>334369</v>
      </c>
      <c r="M302" s="289">
        <v>14933</v>
      </c>
      <c r="N302" s="177">
        <v>331647.87234606722</v>
      </c>
      <c r="P302" s="517"/>
      <c r="S302" s="177"/>
    </row>
    <row r="303" spans="1:19" ht="13">
      <c r="A303" s="865">
        <v>5041</v>
      </c>
      <c r="B303" s="866" t="s">
        <v>156</v>
      </c>
      <c r="C303" s="289">
        <v>2156</v>
      </c>
      <c r="D303" s="177">
        <v>37914</v>
      </c>
      <c r="E303" s="289">
        <v>2153</v>
      </c>
      <c r="F303" s="177">
        <v>39394</v>
      </c>
      <c r="G303" s="289">
        <v>2139</v>
      </c>
      <c r="H303" s="177">
        <v>41094</v>
      </c>
      <c r="I303" s="289">
        <v>2159</v>
      </c>
      <c r="J303" s="177">
        <v>43422</v>
      </c>
      <c r="K303" s="289">
        <v>2094</v>
      </c>
      <c r="L303" s="177">
        <v>43014</v>
      </c>
      <c r="M303" s="289">
        <v>2100</v>
      </c>
      <c r="N303" s="177">
        <v>43464.519780864219</v>
      </c>
      <c r="P303" s="517"/>
      <c r="S303" s="177"/>
    </row>
    <row r="304" spans="1:19" ht="13">
      <c r="A304" s="865">
        <v>5042</v>
      </c>
      <c r="B304" s="866" t="s">
        <v>157</v>
      </c>
      <c r="C304" s="289">
        <v>1385</v>
      </c>
      <c r="D304" s="177">
        <v>30495</v>
      </c>
      <c r="E304" s="289">
        <v>1394</v>
      </c>
      <c r="F304" s="177">
        <v>30846</v>
      </c>
      <c r="G304" s="289">
        <v>1375</v>
      </c>
      <c r="H304" s="177">
        <v>30134</v>
      </c>
      <c r="I304" s="289">
        <v>1389</v>
      </c>
      <c r="J304" s="177">
        <v>30547</v>
      </c>
      <c r="K304" s="289">
        <v>1379</v>
      </c>
      <c r="L304" s="177">
        <v>31031</v>
      </c>
      <c r="M304" s="289">
        <v>1386</v>
      </c>
      <c r="N304" s="177">
        <v>31770.639860171552</v>
      </c>
      <c r="P304" s="517"/>
      <c r="S304" s="177"/>
    </row>
    <row r="305" spans="1:19" ht="13">
      <c r="A305" s="865">
        <v>5043</v>
      </c>
      <c r="B305" s="866" t="s">
        <v>164</v>
      </c>
      <c r="C305" s="289">
        <v>498</v>
      </c>
      <c r="D305" s="177">
        <v>12548</v>
      </c>
      <c r="E305" s="289">
        <v>475</v>
      </c>
      <c r="F305" s="177">
        <v>12235</v>
      </c>
      <c r="G305" s="289">
        <v>469</v>
      </c>
      <c r="H305" s="177">
        <v>12455</v>
      </c>
      <c r="I305" s="289">
        <v>469</v>
      </c>
      <c r="J305" s="177">
        <v>12378</v>
      </c>
      <c r="K305" s="289">
        <v>474</v>
      </c>
      <c r="L305" s="177">
        <v>13341</v>
      </c>
      <c r="M305" s="289">
        <v>482</v>
      </c>
      <c r="N305" s="177">
        <v>13331.642376943984</v>
      </c>
      <c r="P305" s="517"/>
      <c r="S305" s="177"/>
    </row>
    <row r="306" spans="1:19" ht="13">
      <c r="A306" s="865">
        <v>5044</v>
      </c>
      <c r="B306" s="866" t="s">
        <v>165</v>
      </c>
      <c r="C306" s="289">
        <v>922</v>
      </c>
      <c r="D306" s="177">
        <v>25379</v>
      </c>
      <c r="E306" s="289">
        <v>892</v>
      </c>
      <c r="F306" s="177">
        <v>25338</v>
      </c>
      <c r="G306" s="289">
        <v>867</v>
      </c>
      <c r="H306" s="177">
        <v>27663</v>
      </c>
      <c r="I306" s="289">
        <v>872</v>
      </c>
      <c r="J306" s="177">
        <v>27937</v>
      </c>
      <c r="K306" s="289">
        <v>902</v>
      </c>
      <c r="L306" s="177">
        <v>29002</v>
      </c>
      <c r="M306" s="289">
        <v>871</v>
      </c>
      <c r="N306" s="177">
        <v>28721.587358938792</v>
      </c>
      <c r="P306" s="517"/>
      <c r="S306" s="177"/>
    </row>
    <row r="307" spans="1:19" ht="13">
      <c r="A307" s="865">
        <v>5045</v>
      </c>
      <c r="B307" s="866" t="s">
        <v>166</v>
      </c>
      <c r="C307" s="289">
        <v>2449</v>
      </c>
      <c r="D307" s="177">
        <v>50196</v>
      </c>
      <c r="E307" s="289">
        <v>2489</v>
      </c>
      <c r="F307" s="177">
        <v>52821</v>
      </c>
      <c r="G307" s="289">
        <v>2466</v>
      </c>
      <c r="H307" s="177">
        <v>57612</v>
      </c>
      <c r="I307" s="289">
        <v>2467</v>
      </c>
      <c r="J307" s="177">
        <v>60456</v>
      </c>
      <c r="K307" s="289">
        <v>2400</v>
      </c>
      <c r="L307" s="177">
        <v>62432</v>
      </c>
      <c r="M307" s="289">
        <v>2374</v>
      </c>
      <c r="N307" s="177">
        <v>60589.778313970499</v>
      </c>
      <c r="P307" s="517"/>
      <c r="S307" s="177"/>
    </row>
    <row r="308" spans="1:19" ht="13">
      <c r="A308" s="865">
        <v>5046</v>
      </c>
      <c r="B308" s="866" t="s">
        <v>167</v>
      </c>
      <c r="C308" s="289">
        <v>1257</v>
      </c>
      <c r="D308" s="177">
        <v>22187</v>
      </c>
      <c r="E308" s="289">
        <v>1252</v>
      </c>
      <c r="F308" s="177">
        <v>23151</v>
      </c>
      <c r="G308" s="289">
        <v>1250</v>
      </c>
      <c r="H308" s="177">
        <v>26653</v>
      </c>
      <c r="I308" s="289">
        <v>1264</v>
      </c>
      <c r="J308" s="177">
        <v>27648</v>
      </c>
      <c r="K308" s="289">
        <v>1268</v>
      </c>
      <c r="L308" s="177">
        <v>26225</v>
      </c>
      <c r="M308" s="289">
        <v>1254</v>
      </c>
      <c r="N308" s="177">
        <v>27732.076775057922</v>
      </c>
      <c r="P308" s="517"/>
      <c r="S308" s="177"/>
    </row>
    <row r="309" spans="1:19" ht="13">
      <c r="A309" s="865">
        <v>5047</v>
      </c>
      <c r="B309" s="866" t="s">
        <v>168</v>
      </c>
      <c r="C309" s="289">
        <v>3732</v>
      </c>
      <c r="D309" s="177">
        <v>72891</v>
      </c>
      <c r="E309" s="289">
        <v>3751</v>
      </c>
      <c r="F309" s="177">
        <v>75389</v>
      </c>
      <c r="G309" s="289">
        <v>3825</v>
      </c>
      <c r="H309" s="177">
        <v>82123</v>
      </c>
      <c r="I309" s="289">
        <v>3840</v>
      </c>
      <c r="J309" s="177">
        <v>89306</v>
      </c>
      <c r="K309" s="289">
        <v>3845</v>
      </c>
      <c r="L309" s="177">
        <v>93345</v>
      </c>
      <c r="M309" s="289">
        <v>3879</v>
      </c>
      <c r="N309" s="177">
        <v>92508.205449457309</v>
      </c>
      <c r="P309" s="517"/>
      <c r="S309" s="177"/>
    </row>
    <row r="310" spans="1:19" ht="13">
      <c r="A310" s="865">
        <v>5049</v>
      </c>
      <c r="B310" s="866" t="s">
        <v>170</v>
      </c>
      <c r="C310" s="289">
        <v>1120</v>
      </c>
      <c r="D310" s="177">
        <v>20942</v>
      </c>
      <c r="E310" s="289">
        <v>1119</v>
      </c>
      <c r="F310" s="177">
        <v>23043</v>
      </c>
      <c r="G310" s="289">
        <v>1103</v>
      </c>
      <c r="H310" s="177">
        <v>26366</v>
      </c>
      <c r="I310" s="289">
        <v>1090</v>
      </c>
      <c r="J310" s="177">
        <v>26376</v>
      </c>
      <c r="K310" s="289">
        <v>1105</v>
      </c>
      <c r="L310" s="177">
        <v>29062</v>
      </c>
      <c r="M310" s="289">
        <v>1103</v>
      </c>
      <c r="N310" s="177">
        <v>28373.501648956862</v>
      </c>
      <c r="P310" s="517"/>
      <c r="S310" s="177"/>
    </row>
    <row r="311" spans="1:19" ht="13">
      <c r="A311" s="865">
        <v>5052</v>
      </c>
      <c r="B311" s="866" t="s">
        <v>173</v>
      </c>
      <c r="C311" s="289">
        <v>556</v>
      </c>
      <c r="D311" s="177">
        <v>9934</v>
      </c>
      <c r="E311" s="289">
        <v>574</v>
      </c>
      <c r="F311" s="177">
        <v>10708</v>
      </c>
      <c r="G311" s="289">
        <v>562</v>
      </c>
      <c r="H311" s="177">
        <v>11579</v>
      </c>
      <c r="I311" s="289">
        <v>584</v>
      </c>
      <c r="J311" s="177">
        <v>12951</v>
      </c>
      <c r="K311" s="289">
        <v>582</v>
      </c>
      <c r="L311" s="177">
        <v>13678</v>
      </c>
      <c r="M311" s="289">
        <v>567</v>
      </c>
      <c r="N311" s="177">
        <v>12988.048409096313</v>
      </c>
      <c r="P311" s="517"/>
      <c r="S311" s="177"/>
    </row>
    <row r="312" spans="1:19" ht="13">
      <c r="A312" s="865">
        <v>5053</v>
      </c>
      <c r="B312" s="866" t="s">
        <v>155</v>
      </c>
      <c r="C312" s="289">
        <v>6720</v>
      </c>
      <c r="D312" s="177">
        <v>126853</v>
      </c>
      <c r="E312" s="289">
        <v>6770</v>
      </c>
      <c r="F312" s="177">
        <v>138028</v>
      </c>
      <c r="G312" s="289">
        <v>6769</v>
      </c>
      <c r="H312" s="177">
        <v>148799</v>
      </c>
      <c r="I312" s="289">
        <v>6800</v>
      </c>
      <c r="J312" s="177">
        <v>153528</v>
      </c>
      <c r="K312" s="289">
        <v>6785</v>
      </c>
      <c r="L312" s="177">
        <v>157899</v>
      </c>
      <c r="M312" s="289">
        <v>6804</v>
      </c>
      <c r="N312" s="177">
        <v>159604.69077252192</v>
      </c>
      <c r="P312" s="517"/>
      <c r="S312" s="177"/>
    </row>
    <row r="313" spans="1:19" ht="13">
      <c r="A313" s="889">
        <v>5054</v>
      </c>
      <c r="B313" s="890" t="s">
        <v>1234</v>
      </c>
      <c r="C313" s="289">
        <v>10268</v>
      </c>
      <c r="D313" s="177">
        <v>182888.55503512881</v>
      </c>
      <c r="E313" s="289">
        <v>10249</v>
      </c>
      <c r="F313" s="177">
        <v>193298.78445229682</v>
      </c>
      <c r="G313" s="289">
        <v>10242</v>
      </c>
      <c r="H313" s="177">
        <v>207134.93312227938</v>
      </c>
      <c r="I313" s="289">
        <v>10175</v>
      </c>
      <c r="J313" s="177">
        <v>217652.23777335984</v>
      </c>
      <c r="K313" s="289">
        <v>10157</v>
      </c>
      <c r="L313" s="177">
        <v>229352.26283865751</v>
      </c>
      <c r="M313" s="289">
        <v>10055</v>
      </c>
      <c r="N313" s="177">
        <v>223114.25593747909</v>
      </c>
      <c r="P313" s="517"/>
      <c r="S313" s="177"/>
    </row>
    <row r="314" spans="1:19" ht="13">
      <c r="A314" s="878">
        <v>5055</v>
      </c>
      <c r="B314" s="883" t="s">
        <v>1642</v>
      </c>
      <c r="C314" s="289">
        <v>6009.0440440440443</v>
      </c>
      <c r="D314" s="177">
        <v>126281.23223223223</v>
      </c>
      <c r="E314" s="289">
        <v>6021.4604604604601</v>
      </c>
      <c r="F314" s="177">
        <v>127238.24124124124</v>
      </c>
      <c r="G314" s="289">
        <v>6010.6276276276276</v>
      </c>
      <c r="H314" s="177">
        <v>137087.35835835835</v>
      </c>
      <c r="I314" s="289">
        <v>6062.4604604604601</v>
      </c>
      <c r="J314" s="177">
        <v>144857.22822822822</v>
      </c>
      <c r="K314" s="289">
        <v>6001.5015015015015</v>
      </c>
      <c r="L314" s="177">
        <v>153172.37637637637</v>
      </c>
      <c r="M314" s="289">
        <v>6010</v>
      </c>
      <c r="N314" s="177">
        <v>149982.39421585816</v>
      </c>
      <c r="P314" s="517"/>
      <c r="S314" s="177"/>
    </row>
    <row r="315" spans="1:19" ht="13">
      <c r="A315" s="878">
        <v>5056</v>
      </c>
      <c r="B315" s="883" t="s">
        <v>1643</v>
      </c>
      <c r="C315" s="289">
        <v>4839.8378378378375</v>
      </c>
      <c r="D315" s="177">
        <v>96229.054054054053</v>
      </c>
      <c r="E315" s="289">
        <v>4887.4864864864867</v>
      </c>
      <c r="F315" s="177">
        <v>104673.70270270271</v>
      </c>
      <c r="G315" s="289">
        <v>4939.1891891891892</v>
      </c>
      <c r="H315" s="177">
        <v>113604.13513513513</v>
      </c>
      <c r="I315" s="289">
        <v>4977.4864864864867</v>
      </c>
      <c r="J315" s="177">
        <v>120301.43243243243</v>
      </c>
      <c r="K315" s="289">
        <v>4968.1081081081084</v>
      </c>
      <c r="L315" s="177">
        <v>123056.43243243243</v>
      </c>
      <c r="M315" s="289">
        <v>5018</v>
      </c>
      <c r="N315" s="177">
        <v>124836.65270466695</v>
      </c>
      <c r="P315" s="517"/>
      <c r="S315" s="177"/>
    </row>
    <row r="316" spans="1:19" ht="13">
      <c r="A316" s="878">
        <v>5057</v>
      </c>
      <c r="B316" s="883" t="s">
        <v>1644</v>
      </c>
      <c r="C316" s="289">
        <v>9875</v>
      </c>
      <c r="D316" s="177">
        <v>186904</v>
      </c>
      <c r="E316" s="289">
        <v>9898</v>
      </c>
      <c r="F316" s="177">
        <v>204730</v>
      </c>
      <c r="G316" s="289">
        <v>9988</v>
      </c>
      <c r="H316" s="177">
        <v>218140</v>
      </c>
      <c r="I316" s="289">
        <v>10113</v>
      </c>
      <c r="J316" s="177">
        <v>233349</v>
      </c>
      <c r="K316" s="289">
        <v>10215</v>
      </c>
      <c r="L316" s="177">
        <v>252402</v>
      </c>
      <c r="M316" s="289">
        <v>10238</v>
      </c>
      <c r="N316" s="177">
        <v>246303.06685574839</v>
      </c>
      <c r="P316" s="517"/>
      <c r="S316" s="177"/>
    </row>
    <row r="317" spans="1:19" ht="13">
      <c r="A317" s="878">
        <v>5058</v>
      </c>
      <c r="B317" s="883" t="s">
        <v>1645</v>
      </c>
      <c r="C317" s="289">
        <v>4228</v>
      </c>
      <c r="D317" s="177">
        <v>78911</v>
      </c>
      <c r="E317" s="289">
        <v>4225</v>
      </c>
      <c r="F317" s="177">
        <v>86982</v>
      </c>
      <c r="G317" s="289">
        <v>4233</v>
      </c>
      <c r="H317" s="177">
        <v>91758</v>
      </c>
      <c r="I317" s="289">
        <v>4222</v>
      </c>
      <c r="J317" s="177">
        <v>98377</v>
      </c>
      <c r="K317" s="289">
        <v>4230</v>
      </c>
      <c r="L317" s="177">
        <v>105726</v>
      </c>
      <c r="M317" s="289">
        <v>4297</v>
      </c>
      <c r="N317" s="177">
        <v>103901.2684018648</v>
      </c>
      <c r="P317" s="517"/>
      <c r="S317" s="177"/>
    </row>
    <row r="318" spans="1:19" ht="13">
      <c r="A318" s="878">
        <v>5059</v>
      </c>
      <c r="B318" s="883" t="s">
        <v>1646</v>
      </c>
      <c r="C318" s="289">
        <v>17792.118118118116</v>
      </c>
      <c r="D318" s="177">
        <v>348805.71371371369</v>
      </c>
      <c r="E318" s="289">
        <v>17918.053053053052</v>
      </c>
      <c r="F318" s="177">
        <v>368963.05605605606</v>
      </c>
      <c r="G318" s="289">
        <v>17923.183183183184</v>
      </c>
      <c r="H318" s="177">
        <v>404094.50650650653</v>
      </c>
      <c r="I318" s="289">
        <v>18021.053053053052</v>
      </c>
      <c r="J318" s="177">
        <v>417935.33933933935</v>
      </c>
      <c r="K318" s="289">
        <v>18008.390390390392</v>
      </c>
      <c r="L318" s="177">
        <v>426122.1911911912</v>
      </c>
      <c r="M318" s="289">
        <v>18151</v>
      </c>
      <c r="N318" s="177">
        <v>435797.39067419682</v>
      </c>
      <c r="P318" s="517"/>
      <c r="S318" s="177"/>
    </row>
    <row r="319" spans="1:19" ht="13">
      <c r="A319" s="878">
        <v>5060</v>
      </c>
      <c r="B319" s="883" t="s">
        <v>1647</v>
      </c>
      <c r="C319" s="289">
        <v>9334</v>
      </c>
      <c r="D319" s="177">
        <v>183447.84715639811</v>
      </c>
      <c r="E319" s="289">
        <v>9393</v>
      </c>
      <c r="F319" s="177">
        <v>193578.2292855737</v>
      </c>
      <c r="G319" s="289">
        <v>9462</v>
      </c>
      <c r="H319" s="177">
        <v>216643.47522434648</v>
      </c>
      <c r="I319" s="289">
        <v>9505</v>
      </c>
      <c r="J319" s="177">
        <v>230600.44569871546</v>
      </c>
      <c r="K319" s="289">
        <v>9558</v>
      </c>
      <c r="L319" s="177">
        <v>251497.91362126247</v>
      </c>
      <c r="M319" s="289">
        <v>9599</v>
      </c>
      <c r="N319" s="177">
        <v>244090.69383896061</v>
      </c>
      <c r="P319" s="517"/>
      <c r="S319" s="177"/>
    </row>
    <row r="320" spans="1:19" ht="13">
      <c r="A320" s="865">
        <v>5061</v>
      </c>
      <c r="B320" s="866" t="s">
        <v>114</v>
      </c>
      <c r="C320" s="289">
        <v>2046</v>
      </c>
      <c r="D320" s="177">
        <v>42351</v>
      </c>
      <c r="E320" s="289">
        <v>2038</v>
      </c>
      <c r="F320" s="177">
        <v>43842</v>
      </c>
      <c r="G320" s="289">
        <v>2036</v>
      </c>
      <c r="H320" s="177">
        <v>45245</v>
      </c>
      <c r="I320" s="289">
        <v>2026</v>
      </c>
      <c r="J320" s="177">
        <v>47427</v>
      </c>
      <c r="K320" s="289">
        <v>2039</v>
      </c>
      <c r="L320" s="177">
        <v>50708</v>
      </c>
      <c r="M320" s="289">
        <v>2028</v>
      </c>
      <c r="N320" s="177">
        <v>49302.574848741031</v>
      </c>
      <c r="P320" s="517"/>
      <c r="S320" s="177"/>
    </row>
    <row r="321" spans="1:19" ht="13">
      <c r="A321" s="865">
        <v>5401</v>
      </c>
      <c r="B321" s="866" t="s">
        <v>217</v>
      </c>
      <c r="C321" s="289">
        <v>71590</v>
      </c>
      <c r="D321" s="177">
        <v>1698963</v>
      </c>
      <c r="E321" s="289">
        <v>72681</v>
      </c>
      <c r="F321" s="177">
        <v>1840079</v>
      </c>
      <c r="G321" s="289">
        <v>73480</v>
      </c>
      <c r="H321" s="177">
        <v>2034480</v>
      </c>
      <c r="I321" s="289">
        <v>74541</v>
      </c>
      <c r="J321" s="177">
        <v>2166065</v>
      </c>
      <c r="K321" s="289">
        <v>75638</v>
      </c>
      <c r="L321" s="177">
        <v>2296830</v>
      </c>
      <c r="M321" s="289">
        <v>76649</v>
      </c>
      <c r="N321" s="177">
        <v>2308579.2775812037</v>
      </c>
      <c r="P321" s="517"/>
      <c r="S321" s="177"/>
    </row>
    <row r="322" spans="1:19" ht="13">
      <c r="A322" s="865">
        <v>5402</v>
      </c>
      <c r="B322" s="866" t="s">
        <v>216</v>
      </c>
      <c r="C322" s="289">
        <v>24441</v>
      </c>
      <c r="D322" s="177">
        <v>531842</v>
      </c>
      <c r="E322" s="289">
        <v>24676</v>
      </c>
      <c r="F322" s="177">
        <v>581441</v>
      </c>
      <c r="G322" s="289">
        <v>24695</v>
      </c>
      <c r="H322" s="177">
        <v>623987</v>
      </c>
      <c r="I322" s="289">
        <v>24845</v>
      </c>
      <c r="J322" s="177">
        <v>647002</v>
      </c>
      <c r="K322" s="289">
        <v>24820</v>
      </c>
      <c r="L322" s="177">
        <v>674405</v>
      </c>
      <c r="M322" s="289">
        <v>24827</v>
      </c>
      <c r="N322" s="177">
        <v>673820.4613921569</v>
      </c>
      <c r="P322" s="517"/>
      <c r="S322" s="177"/>
    </row>
    <row r="323" spans="1:19" ht="13">
      <c r="A323" s="865">
        <v>5403</v>
      </c>
      <c r="B323" s="866" t="s">
        <v>245</v>
      </c>
      <c r="C323" s="289">
        <v>19822</v>
      </c>
      <c r="D323" s="177">
        <v>392331</v>
      </c>
      <c r="E323" s="289">
        <v>19898</v>
      </c>
      <c r="F323" s="177">
        <v>425132</v>
      </c>
      <c r="G323" s="289">
        <v>20097</v>
      </c>
      <c r="H323" s="177">
        <v>470693</v>
      </c>
      <c r="I323" s="289">
        <v>20446</v>
      </c>
      <c r="J323" s="177">
        <v>505393</v>
      </c>
      <c r="K323" s="289">
        <v>20635</v>
      </c>
      <c r="L323" s="177">
        <v>542406</v>
      </c>
      <c r="M323" s="289">
        <v>20665</v>
      </c>
      <c r="N323" s="177">
        <v>531287.58968653402</v>
      </c>
      <c r="P323" s="517"/>
      <c r="S323" s="177"/>
    </row>
    <row r="324" spans="1:19" ht="13">
      <c r="A324" s="865">
        <v>5404</v>
      </c>
      <c r="B324" s="866" t="s">
        <v>241</v>
      </c>
      <c r="C324" s="289">
        <v>2119</v>
      </c>
      <c r="D324" s="177">
        <v>39140</v>
      </c>
      <c r="E324" s="289">
        <v>2128</v>
      </c>
      <c r="F324" s="177">
        <v>41735</v>
      </c>
      <c r="G324" s="289">
        <v>2137</v>
      </c>
      <c r="H324" s="177">
        <v>46439</v>
      </c>
      <c r="I324" s="289">
        <v>2104</v>
      </c>
      <c r="J324" s="177">
        <v>46940</v>
      </c>
      <c r="K324" s="289">
        <v>2110</v>
      </c>
      <c r="L324" s="177">
        <v>46676</v>
      </c>
      <c r="M324" s="289">
        <v>2081</v>
      </c>
      <c r="N324" s="177">
        <v>47642.373270307311</v>
      </c>
      <c r="P324" s="517"/>
      <c r="S324" s="177"/>
    </row>
    <row r="325" spans="1:19" ht="13">
      <c r="A325" s="865">
        <v>5405</v>
      </c>
      <c r="B325" s="866" t="s">
        <v>242</v>
      </c>
      <c r="C325" s="289">
        <v>6223</v>
      </c>
      <c r="D325" s="177">
        <v>128264</v>
      </c>
      <c r="E325" s="289">
        <v>6239</v>
      </c>
      <c r="F325" s="177">
        <v>135985</v>
      </c>
      <c r="G325" s="289">
        <v>6160</v>
      </c>
      <c r="H325" s="177">
        <v>143163</v>
      </c>
      <c r="I325" s="289">
        <v>6154</v>
      </c>
      <c r="J325" s="177">
        <v>148082</v>
      </c>
      <c r="K325" s="289">
        <v>6033</v>
      </c>
      <c r="L325" s="177">
        <v>152909</v>
      </c>
      <c r="M325" s="289">
        <v>5894</v>
      </c>
      <c r="N325" s="177">
        <v>148056.33090614175</v>
      </c>
      <c r="P325" s="517"/>
      <c r="S325" s="177"/>
    </row>
    <row r="326" spans="1:19" ht="13">
      <c r="A326" s="878">
        <v>5406</v>
      </c>
      <c r="B326" s="883" t="s">
        <v>1648</v>
      </c>
      <c r="C326" s="289">
        <v>11338</v>
      </c>
      <c r="D326" s="177">
        <v>272569</v>
      </c>
      <c r="E326" s="289">
        <v>11466</v>
      </c>
      <c r="F326" s="177">
        <v>294108</v>
      </c>
      <c r="G326" s="289">
        <v>11490</v>
      </c>
      <c r="H326" s="177">
        <v>302629</v>
      </c>
      <c r="I326" s="289">
        <v>11554</v>
      </c>
      <c r="J326" s="177">
        <v>317821</v>
      </c>
      <c r="K326" s="289">
        <v>11560</v>
      </c>
      <c r="L326" s="177">
        <v>327526</v>
      </c>
      <c r="M326" s="289">
        <v>11524</v>
      </c>
      <c r="N326" s="177">
        <v>327699.84253588918</v>
      </c>
      <c r="P326" s="517"/>
      <c r="S326" s="177"/>
    </row>
    <row r="327" spans="1:19" ht="13">
      <c r="A327" s="865">
        <v>5411</v>
      </c>
      <c r="B327" s="866" t="s">
        <v>218</v>
      </c>
      <c r="C327" s="289">
        <v>3107</v>
      </c>
      <c r="D327" s="177">
        <v>53243</v>
      </c>
      <c r="E327" s="289">
        <v>3076</v>
      </c>
      <c r="F327" s="177">
        <v>56094</v>
      </c>
      <c r="G327" s="289">
        <v>3029</v>
      </c>
      <c r="H327" s="177">
        <v>60507</v>
      </c>
      <c r="I327" s="289">
        <v>2986</v>
      </c>
      <c r="J327" s="177">
        <v>65886</v>
      </c>
      <c r="K327" s="289">
        <v>2928</v>
      </c>
      <c r="L327" s="177">
        <v>68090</v>
      </c>
      <c r="M327" s="289">
        <v>2858</v>
      </c>
      <c r="N327" s="177">
        <v>64478.933495482641</v>
      </c>
      <c r="P327" s="517"/>
      <c r="S327" s="177"/>
    </row>
    <row r="328" spans="1:19" ht="13">
      <c r="A328" s="878">
        <v>5412</v>
      </c>
      <c r="B328" s="883" t="s">
        <v>1649</v>
      </c>
      <c r="C328" s="289">
        <v>4207</v>
      </c>
      <c r="D328" s="177">
        <v>78040</v>
      </c>
      <c r="E328" s="289">
        <v>4268</v>
      </c>
      <c r="F328" s="177">
        <v>85810</v>
      </c>
      <c r="G328" s="289">
        <v>4324</v>
      </c>
      <c r="H328" s="177">
        <v>92325</v>
      </c>
      <c r="I328" s="289">
        <v>4300</v>
      </c>
      <c r="J328" s="177">
        <v>96392</v>
      </c>
      <c r="K328" s="289">
        <v>4253</v>
      </c>
      <c r="L328" s="177">
        <v>96820</v>
      </c>
      <c r="M328" s="289">
        <v>4268</v>
      </c>
      <c r="N328" s="177">
        <v>98200.490594671035</v>
      </c>
      <c r="P328" s="517"/>
      <c r="S328" s="177"/>
    </row>
    <row r="329" spans="1:19" ht="13">
      <c r="A329" s="865">
        <v>5413</v>
      </c>
      <c r="B329" s="866" t="s">
        <v>221</v>
      </c>
      <c r="C329" s="289">
        <v>1436</v>
      </c>
      <c r="D329" s="177">
        <v>26022</v>
      </c>
      <c r="E329" s="289">
        <v>1410</v>
      </c>
      <c r="F329" s="177">
        <v>26855</v>
      </c>
      <c r="G329" s="289">
        <v>1403</v>
      </c>
      <c r="H329" s="177">
        <v>31656</v>
      </c>
      <c r="I329" s="289">
        <v>1394</v>
      </c>
      <c r="J329" s="177">
        <v>34562</v>
      </c>
      <c r="K329" s="289">
        <v>1380</v>
      </c>
      <c r="L329" s="177">
        <v>38050</v>
      </c>
      <c r="M329" s="289">
        <v>1375</v>
      </c>
      <c r="N329" s="177">
        <v>35578.995706042471</v>
      </c>
      <c r="P329" s="517"/>
      <c r="S329" s="177"/>
    </row>
    <row r="330" spans="1:19" ht="13">
      <c r="A330" s="865">
        <v>5414</v>
      </c>
      <c r="B330" s="866" t="s">
        <v>222</v>
      </c>
      <c r="C330" s="289">
        <v>1135</v>
      </c>
      <c r="D330" s="177">
        <v>19557</v>
      </c>
      <c r="E330" s="289">
        <v>1137</v>
      </c>
      <c r="F330" s="177">
        <v>20678</v>
      </c>
      <c r="G330" s="289">
        <v>1137</v>
      </c>
      <c r="H330" s="177">
        <v>22524</v>
      </c>
      <c r="I330" s="289">
        <v>1121</v>
      </c>
      <c r="J330" s="177">
        <v>24726</v>
      </c>
      <c r="K330" s="289">
        <v>1117</v>
      </c>
      <c r="L330" s="177">
        <v>26493</v>
      </c>
      <c r="M330" s="289">
        <v>1105</v>
      </c>
      <c r="N330" s="177">
        <v>25032.600820118758</v>
      </c>
      <c r="P330" s="517"/>
      <c r="S330" s="177"/>
    </row>
    <row r="331" spans="1:19" ht="13">
      <c r="A331" s="865">
        <v>5415</v>
      </c>
      <c r="B331" s="866" t="s">
        <v>223</v>
      </c>
      <c r="C331" s="289">
        <v>1014</v>
      </c>
      <c r="D331" s="177">
        <v>15717</v>
      </c>
      <c r="E331" s="289">
        <v>1008</v>
      </c>
      <c r="F331" s="177">
        <v>18284</v>
      </c>
      <c r="G331" s="289">
        <v>1051</v>
      </c>
      <c r="H331" s="177">
        <v>19351</v>
      </c>
      <c r="I331" s="289">
        <v>1076</v>
      </c>
      <c r="J331" s="177">
        <v>19972</v>
      </c>
      <c r="K331" s="289">
        <v>1061</v>
      </c>
      <c r="L331" s="177">
        <v>21842</v>
      </c>
      <c r="M331" s="289">
        <v>1042</v>
      </c>
      <c r="N331" s="177">
        <v>20732.840259466906</v>
      </c>
      <c r="P331" s="517"/>
      <c r="S331" s="177"/>
    </row>
    <row r="332" spans="1:19" ht="13">
      <c r="A332" s="865">
        <v>5416</v>
      </c>
      <c r="B332" s="866" t="s">
        <v>224</v>
      </c>
      <c r="C332" s="289">
        <v>3985</v>
      </c>
      <c r="D332" s="177">
        <v>95072</v>
      </c>
      <c r="E332" s="289">
        <v>4078</v>
      </c>
      <c r="F332" s="177">
        <v>103643</v>
      </c>
      <c r="G332" s="289">
        <v>4019</v>
      </c>
      <c r="H332" s="177">
        <v>109015</v>
      </c>
      <c r="I332" s="289">
        <v>3994</v>
      </c>
      <c r="J332" s="177">
        <v>115085</v>
      </c>
      <c r="K332" s="289">
        <v>3979</v>
      </c>
      <c r="L332" s="177">
        <v>120113</v>
      </c>
      <c r="M332" s="289">
        <v>4030</v>
      </c>
      <c r="N332" s="177">
        <v>119450.97715523839</v>
      </c>
      <c r="P332" s="517"/>
      <c r="S332" s="177"/>
    </row>
    <row r="333" spans="1:19" ht="13">
      <c r="A333" s="865">
        <v>5417</v>
      </c>
      <c r="B333" s="866" t="s">
        <v>225</v>
      </c>
      <c r="C333" s="289">
        <v>2223</v>
      </c>
      <c r="D333" s="177">
        <v>38368</v>
      </c>
      <c r="E333" s="289">
        <v>2219</v>
      </c>
      <c r="F333" s="177">
        <v>42072</v>
      </c>
      <c r="G333" s="289">
        <v>2230</v>
      </c>
      <c r="H333" s="177">
        <v>46921</v>
      </c>
      <c r="I333" s="289">
        <v>2220</v>
      </c>
      <c r="J333" s="177">
        <v>51862</v>
      </c>
      <c r="K333" s="289">
        <v>2226</v>
      </c>
      <c r="L333" s="177">
        <v>52604</v>
      </c>
      <c r="M333" s="289">
        <v>2183</v>
      </c>
      <c r="N333" s="177">
        <v>51335.326276651831</v>
      </c>
      <c r="P333" s="517"/>
      <c r="S333" s="177"/>
    </row>
    <row r="334" spans="1:19" ht="13">
      <c r="A334" s="865">
        <v>5418</v>
      </c>
      <c r="B334" s="866" t="s">
        <v>226</v>
      </c>
      <c r="C334" s="289">
        <v>6634</v>
      </c>
      <c r="D334" s="177">
        <v>149063</v>
      </c>
      <c r="E334" s="289">
        <v>6693</v>
      </c>
      <c r="F334" s="177">
        <v>166088</v>
      </c>
      <c r="G334" s="289">
        <v>6741</v>
      </c>
      <c r="H334" s="177">
        <v>179331</v>
      </c>
      <c r="I334" s="289">
        <v>6781</v>
      </c>
      <c r="J334" s="177">
        <v>187236</v>
      </c>
      <c r="K334" s="289">
        <v>6798</v>
      </c>
      <c r="L334" s="177">
        <v>184693</v>
      </c>
      <c r="M334" s="289">
        <v>6805</v>
      </c>
      <c r="N334" s="177">
        <v>191445.53616133728</v>
      </c>
      <c r="P334" s="517"/>
      <c r="S334" s="177"/>
    </row>
    <row r="335" spans="1:19" ht="13">
      <c r="A335" s="865">
        <v>5419</v>
      </c>
      <c r="B335" s="866" t="s">
        <v>227</v>
      </c>
      <c r="C335" s="289">
        <v>3450</v>
      </c>
      <c r="D335" s="177">
        <v>68185</v>
      </c>
      <c r="E335" s="289">
        <v>3451</v>
      </c>
      <c r="F335" s="177">
        <v>73491</v>
      </c>
      <c r="G335" s="289">
        <v>3452</v>
      </c>
      <c r="H335" s="177">
        <v>81156</v>
      </c>
      <c r="I335" s="289">
        <v>3496</v>
      </c>
      <c r="J335" s="177">
        <v>83904</v>
      </c>
      <c r="K335" s="289">
        <v>3494</v>
      </c>
      <c r="L335" s="177">
        <v>86393</v>
      </c>
      <c r="M335" s="289">
        <v>3489</v>
      </c>
      <c r="N335" s="177">
        <v>87179.758390718693</v>
      </c>
      <c r="P335" s="517"/>
      <c r="S335" s="177"/>
    </row>
    <row r="336" spans="1:19" ht="13">
      <c r="A336" s="865">
        <v>5420</v>
      </c>
      <c r="B336" s="866" t="s">
        <v>228</v>
      </c>
      <c r="C336" s="289">
        <v>1171</v>
      </c>
      <c r="D336" s="177">
        <v>20896</v>
      </c>
      <c r="E336" s="289">
        <v>1154</v>
      </c>
      <c r="F336" s="177">
        <v>21773</v>
      </c>
      <c r="G336" s="289">
        <v>1158</v>
      </c>
      <c r="H336" s="177">
        <v>22702</v>
      </c>
      <c r="I336" s="289">
        <v>1138</v>
      </c>
      <c r="J336" s="177">
        <v>23986</v>
      </c>
      <c r="K336" s="289">
        <v>1165</v>
      </c>
      <c r="L336" s="177">
        <v>25457</v>
      </c>
      <c r="M336" s="289">
        <v>1129</v>
      </c>
      <c r="N336" s="177">
        <v>24405.304197633148</v>
      </c>
      <c r="P336" s="517"/>
      <c r="S336" s="177"/>
    </row>
    <row r="337" spans="1:19" ht="13">
      <c r="A337" s="878">
        <v>5421</v>
      </c>
      <c r="B337" s="883" t="s">
        <v>1650</v>
      </c>
      <c r="C337" s="289">
        <v>14863</v>
      </c>
      <c r="D337" s="177">
        <v>285329</v>
      </c>
      <c r="E337" s="289">
        <v>14868</v>
      </c>
      <c r="F337" s="177">
        <v>308178</v>
      </c>
      <c r="G337" s="289">
        <v>14989</v>
      </c>
      <c r="H337" s="177">
        <v>344771</v>
      </c>
      <c r="I337" s="289">
        <v>15072</v>
      </c>
      <c r="J337" s="177">
        <v>365421</v>
      </c>
      <c r="K337" s="289">
        <v>15025</v>
      </c>
      <c r="L337" s="177">
        <v>372209</v>
      </c>
      <c r="M337" s="289">
        <v>15011</v>
      </c>
      <c r="N337" s="177">
        <v>373925.67653452227</v>
      </c>
      <c r="P337" s="517"/>
      <c r="S337" s="177"/>
    </row>
    <row r="338" spans="1:19" ht="13">
      <c r="A338" s="865">
        <v>5422</v>
      </c>
      <c r="B338" s="866" t="s">
        <v>233</v>
      </c>
      <c r="C338" s="289">
        <v>5593</v>
      </c>
      <c r="D338" s="177">
        <v>99418</v>
      </c>
      <c r="E338" s="289">
        <v>5720</v>
      </c>
      <c r="F338" s="177">
        <v>108717</v>
      </c>
      <c r="G338" s="289">
        <v>5701</v>
      </c>
      <c r="H338" s="177">
        <v>117146</v>
      </c>
      <c r="I338" s="289">
        <v>5685</v>
      </c>
      <c r="J338" s="177">
        <v>120376</v>
      </c>
      <c r="K338" s="289">
        <v>5653</v>
      </c>
      <c r="L338" s="177">
        <v>123856</v>
      </c>
      <c r="M338" s="289">
        <v>5625</v>
      </c>
      <c r="N338" s="177">
        <v>123792.9196510826</v>
      </c>
      <c r="P338" s="517"/>
      <c r="S338" s="177"/>
    </row>
    <row r="339" spans="1:19" ht="13">
      <c r="A339" s="865">
        <v>5423</v>
      </c>
      <c r="B339" s="866" t="s">
        <v>234</v>
      </c>
      <c r="C339" s="289">
        <v>2334</v>
      </c>
      <c r="D339" s="177">
        <v>41906</v>
      </c>
      <c r="E339" s="289">
        <v>2289</v>
      </c>
      <c r="F339" s="177">
        <v>46139</v>
      </c>
      <c r="G339" s="289">
        <v>2282</v>
      </c>
      <c r="H339" s="177">
        <v>49979</v>
      </c>
      <c r="I339" s="289">
        <v>2273</v>
      </c>
      <c r="J339" s="177">
        <v>53340</v>
      </c>
      <c r="K339" s="289">
        <v>2263</v>
      </c>
      <c r="L339" s="177">
        <v>57505</v>
      </c>
      <c r="M339" s="289">
        <v>2252</v>
      </c>
      <c r="N339" s="177">
        <v>55076.142209710815</v>
      </c>
      <c r="P339" s="517"/>
      <c r="S339" s="177"/>
    </row>
    <row r="340" spans="1:19" ht="13">
      <c r="A340" s="865">
        <v>5424</v>
      </c>
      <c r="B340" s="866" t="s">
        <v>235</v>
      </c>
      <c r="C340" s="289">
        <v>2992</v>
      </c>
      <c r="D340" s="177">
        <v>53448</v>
      </c>
      <c r="E340" s="289">
        <v>2922</v>
      </c>
      <c r="F340" s="177">
        <v>56189</v>
      </c>
      <c r="G340" s="289">
        <v>2861</v>
      </c>
      <c r="H340" s="177">
        <v>61736</v>
      </c>
      <c r="I340" s="289">
        <v>2876</v>
      </c>
      <c r="J340" s="177">
        <v>63968</v>
      </c>
      <c r="K340" s="289">
        <v>2877</v>
      </c>
      <c r="L340" s="177">
        <v>64289</v>
      </c>
      <c r="M340" s="289">
        <v>2847</v>
      </c>
      <c r="N340" s="177">
        <v>65171.177484021959</v>
      </c>
      <c r="P340" s="517"/>
      <c r="S340" s="177"/>
    </row>
    <row r="341" spans="1:19" ht="13">
      <c r="A341" s="865">
        <v>5425</v>
      </c>
      <c r="B341" s="866" t="s">
        <v>236</v>
      </c>
      <c r="C341" s="289">
        <v>1941</v>
      </c>
      <c r="D341" s="177">
        <v>38933</v>
      </c>
      <c r="E341" s="289">
        <v>1898</v>
      </c>
      <c r="F341" s="177">
        <v>45189</v>
      </c>
      <c r="G341" s="289">
        <v>1865</v>
      </c>
      <c r="H341" s="177">
        <v>43833</v>
      </c>
      <c r="I341" s="289">
        <v>1890</v>
      </c>
      <c r="J341" s="177">
        <v>47106</v>
      </c>
      <c r="K341" s="289">
        <v>1856</v>
      </c>
      <c r="L341" s="177">
        <v>51883</v>
      </c>
      <c r="M341" s="289">
        <v>1841</v>
      </c>
      <c r="N341" s="177">
        <v>48479.289796333578</v>
      </c>
      <c r="P341" s="517"/>
      <c r="S341" s="177"/>
    </row>
    <row r="342" spans="1:19" ht="13">
      <c r="A342" s="865">
        <v>5426</v>
      </c>
      <c r="B342" s="866" t="s">
        <v>237</v>
      </c>
      <c r="C342" s="289">
        <v>2221</v>
      </c>
      <c r="D342" s="177">
        <v>39815</v>
      </c>
      <c r="E342" s="289">
        <v>2182</v>
      </c>
      <c r="F342" s="177">
        <v>43608</v>
      </c>
      <c r="G342" s="289">
        <v>2150</v>
      </c>
      <c r="H342" s="177">
        <v>44224</v>
      </c>
      <c r="I342" s="289">
        <v>2132</v>
      </c>
      <c r="J342" s="177">
        <v>48957</v>
      </c>
      <c r="K342" s="289">
        <v>2132</v>
      </c>
      <c r="L342" s="177">
        <v>51110</v>
      </c>
      <c r="M342" s="289">
        <v>2097</v>
      </c>
      <c r="N342" s="177">
        <v>48847.516697354666</v>
      </c>
      <c r="P342" s="517"/>
      <c r="S342" s="177"/>
    </row>
    <row r="343" spans="1:19" ht="13">
      <c r="A343" s="865">
        <v>5427</v>
      </c>
      <c r="B343" s="866" t="s">
        <v>238</v>
      </c>
      <c r="C343" s="289">
        <v>2881</v>
      </c>
      <c r="D343" s="177">
        <v>49091</v>
      </c>
      <c r="E343" s="289">
        <v>2895</v>
      </c>
      <c r="F343" s="177">
        <v>53859</v>
      </c>
      <c r="G343" s="289">
        <v>2920</v>
      </c>
      <c r="H343" s="177">
        <v>62594</v>
      </c>
      <c r="I343" s="289">
        <v>2912</v>
      </c>
      <c r="J343" s="177">
        <v>64296</v>
      </c>
      <c r="K343" s="289">
        <v>2925</v>
      </c>
      <c r="L343" s="177">
        <v>69371</v>
      </c>
      <c r="M343" s="289">
        <v>2917</v>
      </c>
      <c r="N343" s="177">
        <v>67801.074784632176</v>
      </c>
      <c r="P343" s="517"/>
      <c r="S343" s="177"/>
    </row>
    <row r="344" spans="1:19" ht="13">
      <c r="A344" s="865">
        <v>5428</v>
      </c>
      <c r="B344" s="866" t="s">
        <v>239</v>
      </c>
      <c r="C344" s="289">
        <v>4854</v>
      </c>
      <c r="D344" s="177">
        <v>86034</v>
      </c>
      <c r="E344" s="289">
        <v>4882</v>
      </c>
      <c r="F344" s="177">
        <v>93075</v>
      </c>
      <c r="G344" s="289">
        <v>4895</v>
      </c>
      <c r="H344" s="177">
        <v>104420</v>
      </c>
      <c r="I344" s="289">
        <v>4919</v>
      </c>
      <c r="J344" s="177">
        <v>109786</v>
      </c>
      <c r="K344" s="289">
        <v>4944</v>
      </c>
      <c r="L344" s="177">
        <v>111919</v>
      </c>
      <c r="M344" s="289">
        <v>4909</v>
      </c>
      <c r="N344" s="177">
        <v>112543.62672109631</v>
      </c>
      <c r="P344" s="517"/>
      <c r="S344" s="177"/>
    </row>
    <row r="345" spans="1:19" ht="13">
      <c r="A345" s="865">
        <v>5429</v>
      </c>
      <c r="B345" s="866" t="s">
        <v>240</v>
      </c>
      <c r="C345" s="289">
        <v>1234</v>
      </c>
      <c r="D345" s="177">
        <v>21009</v>
      </c>
      <c r="E345" s="289">
        <v>1226</v>
      </c>
      <c r="F345" s="177">
        <v>27192</v>
      </c>
      <c r="G345" s="289">
        <v>1231</v>
      </c>
      <c r="H345" s="177">
        <v>30668</v>
      </c>
      <c r="I345" s="289">
        <v>1233</v>
      </c>
      <c r="J345" s="177">
        <v>30275</v>
      </c>
      <c r="K345" s="289">
        <v>1224</v>
      </c>
      <c r="L345" s="177">
        <v>32637</v>
      </c>
      <c r="M345" s="289">
        <v>1202</v>
      </c>
      <c r="N345" s="177">
        <v>31607.489768112868</v>
      </c>
      <c r="P345" s="517"/>
      <c r="S345" s="177"/>
    </row>
    <row r="346" spans="1:19" ht="13">
      <c r="A346" s="865">
        <v>5430</v>
      </c>
      <c r="B346" s="866" t="s">
        <v>244</v>
      </c>
      <c r="C346" s="289">
        <v>2931</v>
      </c>
      <c r="D346" s="177">
        <v>43023</v>
      </c>
      <c r="E346" s="289">
        <v>2914</v>
      </c>
      <c r="F346" s="177">
        <v>46407</v>
      </c>
      <c r="G346" s="289">
        <v>2956</v>
      </c>
      <c r="H346" s="177">
        <v>49253</v>
      </c>
      <c r="I346" s="289">
        <v>2938</v>
      </c>
      <c r="J346" s="177">
        <v>51161</v>
      </c>
      <c r="K346" s="289">
        <v>2946</v>
      </c>
      <c r="L346" s="177">
        <v>56500</v>
      </c>
      <c r="M346" s="289">
        <v>2924</v>
      </c>
      <c r="N346" s="177">
        <v>53763.688946217815</v>
      </c>
      <c r="P346" s="517"/>
      <c r="S346" s="177"/>
    </row>
    <row r="347" spans="1:19" ht="13">
      <c r="A347" s="865">
        <v>5432</v>
      </c>
      <c r="B347" s="866" t="s">
        <v>246</v>
      </c>
      <c r="C347" s="289">
        <v>1027</v>
      </c>
      <c r="D347" s="177">
        <v>18345</v>
      </c>
      <c r="E347" s="289">
        <v>989</v>
      </c>
      <c r="F347" s="177">
        <v>19096</v>
      </c>
      <c r="G347" s="289">
        <v>951</v>
      </c>
      <c r="H347" s="177">
        <v>20080</v>
      </c>
      <c r="I347" s="289">
        <v>968</v>
      </c>
      <c r="J347" s="177">
        <v>22235</v>
      </c>
      <c r="K347" s="289">
        <v>941</v>
      </c>
      <c r="L347" s="177">
        <v>21026</v>
      </c>
      <c r="M347" s="289">
        <v>917</v>
      </c>
      <c r="N347" s="177">
        <v>21069.014162604275</v>
      </c>
      <c r="P347" s="517"/>
      <c r="S347" s="177"/>
    </row>
    <row r="348" spans="1:19" ht="13">
      <c r="A348" s="865">
        <v>5433</v>
      </c>
      <c r="B348" s="866" t="s">
        <v>247</v>
      </c>
      <c r="C348" s="289">
        <v>1037</v>
      </c>
      <c r="D348" s="177">
        <v>16494</v>
      </c>
      <c r="E348" s="289">
        <v>1041</v>
      </c>
      <c r="F348" s="177">
        <v>19180</v>
      </c>
      <c r="G348" s="289">
        <v>1054</v>
      </c>
      <c r="H348" s="177">
        <v>20250</v>
      </c>
      <c r="I348" s="289">
        <v>1037</v>
      </c>
      <c r="J348" s="177">
        <v>21765</v>
      </c>
      <c r="K348" s="289">
        <v>1022</v>
      </c>
      <c r="L348" s="177">
        <v>22383</v>
      </c>
      <c r="M348" s="289">
        <v>1045</v>
      </c>
      <c r="N348" s="177">
        <v>22428.177413127822</v>
      </c>
      <c r="P348" s="517"/>
      <c r="S348" s="177"/>
    </row>
    <row r="349" spans="1:19" ht="13">
      <c r="A349" s="865">
        <v>5434</v>
      </c>
      <c r="B349" s="866" t="s">
        <v>249</v>
      </c>
      <c r="C349" s="289">
        <v>1241</v>
      </c>
      <c r="D349" s="177">
        <v>26699</v>
      </c>
      <c r="E349" s="289">
        <v>1241</v>
      </c>
      <c r="F349" s="177">
        <v>27733</v>
      </c>
      <c r="G349" s="289">
        <v>1215</v>
      </c>
      <c r="H349" s="177">
        <v>28417</v>
      </c>
      <c r="I349" s="289">
        <v>1204</v>
      </c>
      <c r="J349" s="177">
        <v>31575</v>
      </c>
      <c r="K349" s="289">
        <v>1231</v>
      </c>
      <c r="L349" s="177">
        <v>34428</v>
      </c>
      <c r="M349" s="289">
        <v>1235</v>
      </c>
      <c r="N349" s="177">
        <v>33095.332377291452</v>
      </c>
      <c r="P349" s="517"/>
      <c r="S349" s="177"/>
    </row>
    <row r="350" spans="1:19" ht="13">
      <c r="A350" s="865">
        <v>5435</v>
      </c>
      <c r="B350" s="866" t="s">
        <v>250</v>
      </c>
      <c r="C350" s="289">
        <v>3213</v>
      </c>
      <c r="D350" s="177">
        <v>65401</v>
      </c>
      <c r="E350" s="289">
        <v>3278</v>
      </c>
      <c r="F350" s="177">
        <v>72134</v>
      </c>
      <c r="G350" s="289">
        <v>3276</v>
      </c>
      <c r="H350" s="177">
        <v>77401</v>
      </c>
      <c r="I350" s="289">
        <v>3291</v>
      </c>
      <c r="J350" s="177">
        <v>83829</v>
      </c>
      <c r="K350" s="289">
        <v>3239</v>
      </c>
      <c r="L350" s="177">
        <v>87685</v>
      </c>
      <c r="M350" s="289">
        <v>3218</v>
      </c>
      <c r="N350" s="177">
        <v>84707.408268064231</v>
      </c>
      <c r="P350" s="517"/>
      <c r="S350" s="177"/>
    </row>
    <row r="351" spans="1:19" ht="13">
      <c r="A351" s="865">
        <v>5436</v>
      </c>
      <c r="B351" s="866" t="s">
        <v>251</v>
      </c>
      <c r="C351" s="289">
        <v>3963</v>
      </c>
      <c r="D351" s="177">
        <v>76473</v>
      </c>
      <c r="E351" s="289">
        <v>3925</v>
      </c>
      <c r="F351" s="177">
        <v>83751</v>
      </c>
      <c r="G351" s="289">
        <v>3978</v>
      </c>
      <c r="H351" s="177">
        <v>90906</v>
      </c>
      <c r="I351" s="289">
        <v>3971</v>
      </c>
      <c r="J351" s="177">
        <v>92125</v>
      </c>
      <c r="K351" s="289">
        <v>3964</v>
      </c>
      <c r="L351" s="177">
        <v>95910</v>
      </c>
      <c r="M351" s="289">
        <v>3944</v>
      </c>
      <c r="N351" s="177">
        <v>95828.635403479813</v>
      </c>
      <c r="P351" s="517"/>
      <c r="S351" s="177"/>
    </row>
    <row r="352" spans="1:19" ht="13">
      <c r="A352" s="865">
        <v>5437</v>
      </c>
      <c r="B352" s="866" t="s">
        <v>252</v>
      </c>
      <c r="C352" s="289">
        <v>2698</v>
      </c>
      <c r="D352" s="177">
        <v>45269</v>
      </c>
      <c r="E352" s="289">
        <v>2708</v>
      </c>
      <c r="F352" s="177">
        <v>49630</v>
      </c>
      <c r="G352" s="289">
        <v>2668</v>
      </c>
      <c r="H352" s="177">
        <v>54018</v>
      </c>
      <c r="I352" s="289">
        <v>2696</v>
      </c>
      <c r="J352" s="177">
        <v>55305</v>
      </c>
      <c r="K352" s="289">
        <v>2701</v>
      </c>
      <c r="L352" s="177">
        <v>56961</v>
      </c>
      <c r="M352" s="289">
        <v>2673</v>
      </c>
      <c r="N352" s="177">
        <v>57192.838621857409</v>
      </c>
      <c r="P352" s="517"/>
      <c r="S352" s="177"/>
    </row>
    <row r="353" spans="1:19" ht="13">
      <c r="A353" s="865">
        <v>5438</v>
      </c>
      <c r="B353" s="866" t="s">
        <v>253</v>
      </c>
      <c r="C353" s="289">
        <v>1341</v>
      </c>
      <c r="D353" s="177">
        <v>24435</v>
      </c>
      <c r="E353" s="289">
        <v>1343</v>
      </c>
      <c r="F353" s="177">
        <v>26851</v>
      </c>
      <c r="G353" s="289">
        <v>1318</v>
      </c>
      <c r="H353" s="177">
        <v>29174</v>
      </c>
      <c r="I353" s="289">
        <v>1330</v>
      </c>
      <c r="J353" s="177">
        <v>31546</v>
      </c>
      <c r="K353" s="289">
        <v>1349</v>
      </c>
      <c r="L353" s="177">
        <v>33468</v>
      </c>
      <c r="M353" s="289">
        <v>1328</v>
      </c>
      <c r="N353" s="177">
        <v>32366.744666715971</v>
      </c>
      <c r="P353" s="517"/>
      <c r="S353" s="177"/>
    </row>
    <row r="354" spans="1:19" ht="13">
      <c r="A354" s="865">
        <v>5439</v>
      </c>
      <c r="B354" s="866" t="s">
        <v>254</v>
      </c>
      <c r="C354" s="289">
        <v>1098</v>
      </c>
      <c r="D354" s="177">
        <v>19365</v>
      </c>
      <c r="E354" s="289">
        <v>1116</v>
      </c>
      <c r="F354" s="177">
        <v>21577</v>
      </c>
      <c r="G354" s="289">
        <v>1139</v>
      </c>
      <c r="H354" s="177">
        <v>24178</v>
      </c>
      <c r="I354" s="289">
        <v>1137</v>
      </c>
      <c r="J354" s="177">
        <v>25362</v>
      </c>
      <c r="K354" s="289">
        <v>1153</v>
      </c>
      <c r="L354" s="177">
        <v>26285</v>
      </c>
      <c r="M354" s="289">
        <v>1169</v>
      </c>
      <c r="N354" s="177">
        <v>26815.431057536116</v>
      </c>
      <c r="P354" s="517"/>
      <c r="S354" s="177"/>
    </row>
    <row r="355" spans="1:19" ht="13">
      <c r="A355" s="865">
        <v>5440</v>
      </c>
      <c r="B355" s="866" t="s">
        <v>255</v>
      </c>
      <c r="C355" s="289">
        <v>1057</v>
      </c>
      <c r="D355" s="177">
        <v>20462</v>
      </c>
      <c r="E355" s="289">
        <v>1020</v>
      </c>
      <c r="F355" s="177">
        <v>20445</v>
      </c>
      <c r="G355" s="289">
        <v>1000</v>
      </c>
      <c r="H355" s="177">
        <v>22785</v>
      </c>
      <c r="I355" s="289">
        <v>991</v>
      </c>
      <c r="J355" s="177">
        <v>25243</v>
      </c>
      <c r="K355" s="289">
        <v>983</v>
      </c>
      <c r="L355" s="177">
        <v>26464</v>
      </c>
      <c r="M355" s="289">
        <v>981</v>
      </c>
      <c r="N355" s="177">
        <v>25478.021992479789</v>
      </c>
      <c r="P355" s="517"/>
      <c r="S355" s="177"/>
    </row>
    <row r="356" spans="1:19" ht="13">
      <c r="A356" s="865">
        <v>5441</v>
      </c>
      <c r="B356" s="866" t="s">
        <v>256</v>
      </c>
      <c r="C356" s="289">
        <v>2883</v>
      </c>
      <c r="D356" s="177">
        <v>55367</v>
      </c>
      <c r="E356" s="289">
        <v>2909</v>
      </c>
      <c r="F356" s="177">
        <v>60979</v>
      </c>
      <c r="G356" s="289">
        <v>2922</v>
      </c>
      <c r="H356" s="177">
        <v>65869</v>
      </c>
      <c r="I356" s="289">
        <v>2911</v>
      </c>
      <c r="J356" s="177">
        <v>67666</v>
      </c>
      <c r="K356" s="289">
        <v>2922</v>
      </c>
      <c r="L356" s="177">
        <v>70134</v>
      </c>
      <c r="M356" s="289">
        <v>2900</v>
      </c>
      <c r="N356" s="177">
        <v>69998.524846746077</v>
      </c>
      <c r="P356" s="517"/>
      <c r="S356" s="177"/>
    </row>
    <row r="357" spans="1:19" ht="13">
      <c r="A357" s="865">
        <v>5442</v>
      </c>
      <c r="B357" s="866" t="s">
        <v>257</v>
      </c>
      <c r="C357" s="289">
        <v>919</v>
      </c>
      <c r="D357" s="177">
        <v>15241</v>
      </c>
      <c r="E357" s="289">
        <v>934</v>
      </c>
      <c r="F357" s="177">
        <v>16586</v>
      </c>
      <c r="G357" s="289">
        <v>959</v>
      </c>
      <c r="H357" s="177">
        <v>17469</v>
      </c>
      <c r="I357" s="289">
        <v>951</v>
      </c>
      <c r="J357" s="177">
        <v>19017</v>
      </c>
      <c r="K357" s="289">
        <v>944</v>
      </c>
      <c r="L357" s="177">
        <v>20492</v>
      </c>
      <c r="M357" s="289">
        <v>941</v>
      </c>
      <c r="N357" s="177">
        <v>19477.128791789404</v>
      </c>
      <c r="P357" s="517"/>
      <c r="S357" s="177"/>
    </row>
    <row r="358" spans="1:19" ht="13">
      <c r="A358" s="865">
        <v>5443</v>
      </c>
      <c r="B358" s="866" t="s">
        <v>258</v>
      </c>
      <c r="C358" s="289">
        <v>2207</v>
      </c>
      <c r="D358" s="177">
        <v>42381</v>
      </c>
      <c r="E358" s="289">
        <v>2235</v>
      </c>
      <c r="F358" s="177">
        <v>46263</v>
      </c>
      <c r="G358" s="289">
        <v>2211</v>
      </c>
      <c r="H358" s="177">
        <v>50872</v>
      </c>
      <c r="I358" s="289">
        <v>2267</v>
      </c>
      <c r="J358" s="177">
        <v>55272</v>
      </c>
      <c r="K358" s="289">
        <v>2263</v>
      </c>
      <c r="L358" s="177">
        <v>61493</v>
      </c>
      <c r="M358" s="289">
        <v>2270</v>
      </c>
      <c r="N358" s="177">
        <v>58472.926811933678</v>
      </c>
      <c r="P358" s="517"/>
      <c r="S358" s="177"/>
    </row>
    <row r="359" spans="1:19" ht="13">
      <c r="A359" s="865">
        <v>5444</v>
      </c>
      <c r="B359" s="866" t="s">
        <v>260</v>
      </c>
      <c r="C359" s="289">
        <v>10090</v>
      </c>
      <c r="D359" s="177">
        <v>236338</v>
      </c>
      <c r="E359" s="289">
        <v>10221</v>
      </c>
      <c r="F359" s="177">
        <v>244837</v>
      </c>
      <c r="G359" s="289">
        <v>10227</v>
      </c>
      <c r="H359" s="177">
        <v>252066</v>
      </c>
      <c r="I359" s="289">
        <v>10199</v>
      </c>
      <c r="J359" s="177">
        <v>260082</v>
      </c>
      <c r="K359" s="289">
        <v>10171</v>
      </c>
      <c r="L359" s="177">
        <v>262229</v>
      </c>
      <c r="M359" s="289">
        <v>10156</v>
      </c>
      <c r="N359" s="177">
        <v>266615.01020363776</v>
      </c>
      <c r="P359" s="517"/>
      <c r="S359" s="177"/>
    </row>
    <row r="360" spans="1:19" ht="13">
      <c r="A360" s="1"/>
      <c r="B360" s="2"/>
      <c r="C360" s="179"/>
      <c r="D360" s="175"/>
      <c r="E360" s="179"/>
      <c r="F360" s="175"/>
      <c r="G360" s="179"/>
      <c r="H360" s="175"/>
      <c r="I360" s="179"/>
      <c r="J360" s="175"/>
      <c r="K360" s="179"/>
      <c r="L360" s="175"/>
      <c r="M360" s="179"/>
    </row>
    <row r="361" spans="1:19" ht="13">
      <c r="A361" s="1"/>
      <c r="B361" s="2" t="s">
        <v>261</v>
      </c>
      <c r="C361" s="519">
        <v>5109056</v>
      </c>
      <c r="D361" s="519">
        <v>128883066</v>
      </c>
      <c r="E361" s="519">
        <v>5165802</v>
      </c>
      <c r="F361" s="519">
        <v>136597674</v>
      </c>
      <c r="G361" s="519">
        <v>5213985</v>
      </c>
      <c r="H361" s="519">
        <v>149813982</v>
      </c>
      <c r="I361" s="519">
        <v>5258317</v>
      </c>
      <c r="J361" s="519">
        <v>156585214.00000006</v>
      </c>
      <c r="K361" s="519">
        <v>5295619</v>
      </c>
      <c r="L361" s="519">
        <v>162536856.00000006</v>
      </c>
      <c r="M361" s="519">
        <v>5328212</v>
      </c>
      <c r="N361" s="177">
        <v>164520000.0000003</v>
      </c>
    </row>
    <row r="362" spans="1:19">
      <c r="C362" s="5"/>
      <c r="D362" s="5"/>
      <c r="E362" s="5"/>
      <c r="F362" s="5"/>
      <c r="G362" s="5"/>
      <c r="H362" s="5"/>
      <c r="I362" s="5"/>
      <c r="J362" s="5"/>
      <c r="K362" s="5"/>
      <c r="L362" s="5"/>
      <c r="M362" s="5"/>
      <c r="N362" s="5"/>
    </row>
    <row r="363" spans="1:19">
      <c r="C363" s="5"/>
      <c r="E363" s="5"/>
      <c r="G363" s="5"/>
      <c r="I363" s="5"/>
      <c r="K363" s="5"/>
      <c r="M363" s="5"/>
    </row>
    <row r="364" spans="1:19">
      <c r="C364" s="5"/>
      <c r="E364" s="5"/>
      <c r="G364" s="5"/>
      <c r="I364" s="5"/>
      <c r="K364" s="5"/>
      <c r="M364" s="5"/>
    </row>
    <row r="366" spans="1:19" ht="13">
      <c r="A366" s="1"/>
      <c r="B366" s="2" t="s">
        <v>1655</v>
      </c>
      <c r="C366" s="289">
        <v>130754</v>
      </c>
      <c r="D366" s="177">
        <v>4775553</v>
      </c>
      <c r="E366" s="289">
        <v>132102</v>
      </c>
      <c r="F366" s="177">
        <v>4930488</v>
      </c>
      <c r="G366" s="289">
        <v>132644</v>
      </c>
      <c r="H366" s="177">
        <v>5058581</v>
      </c>
      <c r="I366" s="289">
        <v>132729</v>
      </c>
      <c r="J366" s="177">
        <v>4887726</v>
      </c>
      <c r="K366" s="289">
        <v>133140</v>
      </c>
      <c r="L366" s="177">
        <v>4944822</v>
      </c>
      <c r="M366" s="289">
        <v>134037</v>
      </c>
      <c r="N366" s="177">
        <v>5202035.6922564218</v>
      </c>
    </row>
    <row r="367" spans="1:19" ht="13">
      <c r="B367" s="2" t="s">
        <v>1656</v>
      </c>
      <c r="C367" s="289">
        <v>3058</v>
      </c>
      <c r="D367" s="289">
        <v>79397</v>
      </c>
      <c r="E367" s="289">
        <v>3147</v>
      </c>
      <c r="F367" s="289">
        <v>79791</v>
      </c>
      <c r="G367" s="289">
        <v>3221</v>
      </c>
      <c r="H367" s="289">
        <v>86133</v>
      </c>
      <c r="I367" s="289">
        <v>3235</v>
      </c>
      <c r="J367" s="289">
        <v>93755</v>
      </c>
      <c r="K367" s="289">
        <v>3197</v>
      </c>
      <c r="L367" s="289">
        <v>90278</v>
      </c>
      <c r="M367" s="289">
        <v>3150</v>
      </c>
      <c r="N367" s="177">
        <v>91477.761810289681</v>
      </c>
    </row>
    <row r="368" spans="1:19" ht="13">
      <c r="B368" s="2" t="s">
        <v>1657</v>
      </c>
      <c r="C368" s="289">
        <v>4755</v>
      </c>
      <c r="D368" s="289">
        <v>134465</v>
      </c>
      <c r="E368" s="289">
        <v>4794</v>
      </c>
      <c r="F368" s="289">
        <v>141827</v>
      </c>
      <c r="G368" s="289">
        <v>4856</v>
      </c>
      <c r="H368" s="289">
        <v>153116</v>
      </c>
      <c r="I368" s="289">
        <v>4892</v>
      </c>
      <c r="J368" s="289">
        <v>146692</v>
      </c>
      <c r="K368" s="289">
        <v>4849</v>
      </c>
      <c r="L368" s="289">
        <v>154331</v>
      </c>
      <c r="M368" s="289">
        <v>4847</v>
      </c>
      <c r="N368" s="177">
        <v>156580.43545701308</v>
      </c>
    </row>
    <row r="369" spans="1:14" ht="13">
      <c r="B369" s="2" t="s">
        <v>1662</v>
      </c>
      <c r="C369" s="290">
        <v>75</v>
      </c>
      <c r="D369" s="289">
        <v>2326.8299246501615</v>
      </c>
      <c r="E369" s="289">
        <v>75</v>
      </c>
      <c r="F369" s="289">
        <v>2466.1131059245959</v>
      </c>
      <c r="G369" s="289">
        <v>75</v>
      </c>
      <c r="H369" s="289">
        <v>2587.3218852758496</v>
      </c>
      <c r="I369" s="289">
        <v>75</v>
      </c>
      <c r="J369" s="289">
        <v>2633.1148449039883</v>
      </c>
      <c r="K369" s="289">
        <v>75</v>
      </c>
      <c r="L369" s="289">
        <v>2609.7135512302607</v>
      </c>
      <c r="M369" s="289">
        <v>75</v>
      </c>
      <c r="N369" s="177">
        <v>2696.3399860872132</v>
      </c>
    </row>
    <row r="370" spans="1:14">
      <c r="C370" s="657"/>
      <c r="E370" s="5"/>
      <c r="K370" s="5"/>
      <c r="M370" s="5"/>
    </row>
    <row r="371" spans="1:14" ht="13">
      <c r="A371" s="1"/>
      <c r="B371" s="2" t="s">
        <v>1658</v>
      </c>
      <c r="C371" s="290">
        <v>71900</v>
      </c>
      <c r="D371" s="177">
        <v>2112127</v>
      </c>
      <c r="E371" s="289">
        <v>73624</v>
      </c>
      <c r="F371" s="177">
        <v>2173483</v>
      </c>
      <c r="G371" s="289">
        <v>74820</v>
      </c>
      <c r="H371" s="177">
        <v>2268290</v>
      </c>
      <c r="I371" s="289">
        <v>75497</v>
      </c>
      <c r="J371" s="177">
        <v>2267326</v>
      </c>
      <c r="K371" s="289">
        <v>76328</v>
      </c>
      <c r="L371" s="177">
        <v>2335661</v>
      </c>
      <c r="M371" s="289">
        <v>77246</v>
      </c>
      <c r="N371" s="177">
        <v>2431284.1436760789</v>
      </c>
    </row>
    <row r="372" spans="1:14" ht="13">
      <c r="A372" s="1"/>
      <c r="B372" s="2" t="s">
        <v>1659</v>
      </c>
      <c r="C372" s="290">
        <v>1242</v>
      </c>
      <c r="D372" s="177">
        <v>46467</v>
      </c>
      <c r="E372" s="289">
        <v>1208</v>
      </c>
      <c r="F372" s="177">
        <v>47786</v>
      </c>
      <c r="G372" s="289">
        <v>1238</v>
      </c>
      <c r="H372" s="177">
        <v>53109</v>
      </c>
      <c r="I372" s="289">
        <v>1245</v>
      </c>
      <c r="J372" s="177">
        <v>53784</v>
      </c>
      <c r="K372" s="289">
        <v>1246</v>
      </c>
      <c r="L372" s="177">
        <v>49511</v>
      </c>
      <c r="M372" s="289">
        <v>1193</v>
      </c>
      <c r="N372" s="177">
        <v>52074.499988640615</v>
      </c>
    </row>
    <row r="373" spans="1:14" ht="13">
      <c r="A373" s="1"/>
      <c r="B373" s="2" t="s">
        <v>1660</v>
      </c>
      <c r="C373" s="290">
        <v>-163</v>
      </c>
      <c r="D373" s="177">
        <v>-6098.326086956522</v>
      </c>
      <c r="E373" s="289">
        <v>-163</v>
      </c>
      <c r="F373" s="177">
        <v>-6447.9453642384105</v>
      </c>
      <c r="G373" s="289">
        <v>-163</v>
      </c>
      <c r="H373" s="177">
        <v>-6992.5420032310176</v>
      </c>
      <c r="I373" s="289">
        <v>-163</v>
      </c>
      <c r="J373" s="177">
        <v>-7041.6</v>
      </c>
      <c r="K373" s="289">
        <v>-163</v>
      </c>
      <c r="L373" s="177">
        <v>-6476.9606741573034</v>
      </c>
      <c r="M373" s="289">
        <v>-163</v>
      </c>
      <c r="N373" s="177">
        <v>-7114.9568299651473</v>
      </c>
    </row>
    <row r="374" spans="1:14" ht="13">
      <c r="A374" s="1"/>
      <c r="B374" s="2"/>
      <c r="C374" s="290"/>
      <c r="D374" s="177"/>
      <c r="E374" s="289"/>
      <c r="F374" s="177"/>
      <c r="G374" s="289"/>
      <c r="H374" s="177"/>
      <c r="I374" s="289"/>
      <c r="J374" s="177"/>
      <c r="K374" s="289"/>
      <c r="L374" s="177"/>
      <c r="M374" s="289"/>
    </row>
    <row r="375" spans="1:14" ht="13">
      <c r="A375" s="1"/>
      <c r="B375" s="2" t="s">
        <v>1661</v>
      </c>
      <c r="C375" s="290">
        <v>12139</v>
      </c>
      <c r="D375" s="177">
        <v>294187</v>
      </c>
      <c r="E375" s="289">
        <v>12395</v>
      </c>
      <c r="F375" s="177">
        <v>299207</v>
      </c>
      <c r="G375" s="289">
        <v>12464</v>
      </c>
      <c r="H375" s="177">
        <v>327171</v>
      </c>
      <c r="I375" s="289">
        <v>12662</v>
      </c>
      <c r="J375" s="177">
        <v>333009</v>
      </c>
      <c r="K375" s="289">
        <v>12638</v>
      </c>
      <c r="L375" s="177">
        <v>341974</v>
      </c>
      <c r="M375" s="289">
        <v>12720</v>
      </c>
      <c r="N375" s="177">
        <v>350311.75199893891</v>
      </c>
    </row>
    <row r="376" spans="1:14" ht="13">
      <c r="A376" s="1"/>
      <c r="B376" s="2" t="s">
        <v>1660</v>
      </c>
      <c r="C376" s="290">
        <v>163</v>
      </c>
      <c r="D376" s="177">
        <v>6098.326086956522</v>
      </c>
      <c r="E376" s="289">
        <v>163</v>
      </c>
      <c r="F376" s="177">
        <v>6447.9453642384105</v>
      </c>
      <c r="G376" s="289">
        <v>163</v>
      </c>
      <c r="H376" s="177">
        <v>6992.5420032310176</v>
      </c>
      <c r="I376" s="289">
        <v>163</v>
      </c>
      <c r="J376" s="177">
        <v>7041.6</v>
      </c>
      <c r="K376" s="289">
        <v>163</v>
      </c>
      <c r="L376" s="177">
        <v>6476.9606741573034</v>
      </c>
      <c r="M376" s="289">
        <v>163</v>
      </c>
      <c r="N376" s="177">
        <v>7114.9568299651473</v>
      </c>
    </row>
    <row r="377" spans="1:14" ht="13">
      <c r="A377" s="1"/>
      <c r="B377" s="2"/>
      <c r="C377" s="290"/>
      <c r="D377" s="177"/>
      <c r="E377" s="289"/>
      <c r="F377" s="177"/>
      <c r="G377" s="289"/>
      <c r="H377" s="177"/>
      <c r="I377" s="289"/>
      <c r="J377" s="177"/>
      <c r="K377" s="289"/>
      <c r="L377" s="177"/>
      <c r="M377" s="289"/>
    </row>
    <row r="378" spans="1:14" ht="13">
      <c r="A378" s="1"/>
      <c r="B378" s="2" t="s">
        <v>1663</v>
      </c>
      <c r="C378" s="290">
        <v>2787</v>
      </c>
      <c r="D378" s="177">
        <v>86465</v>
      </c>
      <c r="E378" s="289">
        <v>2785</v>
      </c>
      <c r="F378" s="177">
        <v>91575</v>
      </c>
      <c r="G378" s="289">
        <v>2737</v>
      </c>
      <c r="H378" s="177">
        <v>94420</v>
      </c>
      <c r="I378" s="289">
        <v>2708</v>
      </c>
      <c r="J378" s="177">
        <v>95073</v>
      </c>
      <c r="K378" s="289">
        <v>2723</v>
      </c>
      <c r="L378" s="177">
        <v>94750</v>
      </c>
      <c r="M378" s="289">
        <v>2684</v>
      </c>
      <c r="N378" s="177">
        <v>96493.020302107747</v>
      </c>
    </row>
    <row r="379" spans="1:14" ht="13">
      <c r="A379" s="1"/>
      <c r="B379" s="2" t="s">
        <v>1664</v>
      </c>
      <c r="C379" s="290">
        <v>-75</v>
      </c>
      <c r="D379" s="177">
        <v>-2326.8299246501615</v>
      </c>
      <c r="E379" s="289">
        <v>-75</v>
      </c>
      <c r="F379" s="177">
        <v>-2466.1131059245959</v>
      </c>
      <c r="G379" s="289">
        <v>-75</v>
      </c>
      <c r="H379" s="177">
        <v>-2587.3218852758496</v>
      </c>
      <c r="I379" s="289">
        <v>-75</v>
      </c>
      <c r="J379" s="177">
        <v>-2633.1148449039883</v>
      </c>
      <c r="K379" s="289">
        <v>-75</v>
      </c>
      <c r="L379" s="177">
        <v>-2609.7135512302607</v>
      </c>
      <c r="M379" s="289">
        <v>-75</v>
      </c>
      <c r="N379" s="177">
        <v>-2696.3399860872132</v>
      </c>
    </row>
    <row r="380" spans="1:14" ht="13">
      <c r="A380" s="1"/>
      <c r="B380" s="2"/>
      <c r="C380" s="290"/>
      <c r="D380" s="177"/>
      <c r="E380" s="289"/>
      <c r="F380" s="177"/>
      <c r="G380" s="289"/>
      <c r="H380" s="177"/>
      <c r="I380" s="289"/>
      <c r="J380" s="177"/>
      <c r="K380" s="289"/>
      <c r="L380" s="177"/>
      <c r="M380" s="289"/>
    </row>
    <row r="381" spans="1:14" ht="13">
      <c r="A381" s="1"/>
      <c r="B381" s="2" t="s">
        <v>1665</v>
      </c>
      <c r="C381" s="290">
        <v>26048</v>
      </c>
      <c r="D381" s="177">
        <v>643728</v>
      </c>
      <c r="E381" s="289">
        <v>26392</v>
      </c>
      <c r="F381" s="177">
        <v>684093</v>
      </c>
      <c r="G381" s="289">
        <v>26732</v>
      </c>
      <c r="H381" s="177">
        <v>721890</v>
      </c>
      <c r="I381" s="289">
        <v>26822</v>
      </c>
      <c r="J381" s="177">
        <v>749627</v>
      </c>
      <c r="K381" s="289">
        <v>26900</v>
      </c>
      <c r="L381" s="177">
        <v>776989</v>
      </c>
      <c r="M381" s="289">
        <v>27001</v>
      </c>
      <c r="N381" s="177">
        <v>782881.72763150954</v>
      </c>
    </row>
    <row r="382" spans="1:14" ht="13">
      <c r="A382" s="1"/>
      <c r="B382" s="2" t="s">
        <v>1666</v>
      </c>
      <c r="C382" s="290">
        <v>3001</v>
      </c>
      <c r="D382" s="177">
        <v>70816</v>
      </c>
      <c r="E382" s="289">
        <v>2975</v>
      </c>
      <c r="F382" s="177">
        <v>75819</v>
      </c>
      <c r="G382" s="289">
        <v>2970</v>
      </c>
      <c r="H382" s="177">
        <v>75915</v>
      </c>
      <c r="I382" s="289">
        <v>2963</v>
      </c>
      <c r="J382" s="177">
        <v>76676</v>
      </c>
      <c r="K382" s="289">
        <v>2946</v>
      </c>
      <c r="L382" s="177">
        <v>81794</v>
      </c>
      <c r="M382" s="289">
        <v>2956</v>
      </c>
      <c r="N382" s="177">
        <v>80563.14968774149</v>
      </c>
    </row>
    <row r="383" spans="1:14" ht="13">
      <c r="A383" s="1"/>
      <c r="B383" s="2" t="s">
        <v>1667</v>
      </c>
      <c r="C383" s="290">
        <v>2036</v>
      </c>
      <c r="D383" s="177">
        <v>43816</v>
      </c>
      <c r="E383" s="289">
        <v>2068</v>
      </c>
      <c r="F383" s="177">
        <v>47190</v>
      </c>
      <c r="G383" s="289">
        <v>2088</v>
      </c>
      <c r="H383" s="177">
        <v>50242</v>
      </c>
      <c r="I383" s="289">
        <v>2085</v>
      </c>
      <c r="J383" s="177">
        <v>51819</v>
      </c>
      <c r="K383" s="289">
        <v>2049</v>
      </c>
      <c r="L383" s="177">
        <v>54739</v>
      </c>
      <c r="M383" s="289">
        <v>2019</v>
      </c>
      <c r="N383" s="177">
        <v>52788.182520585229</v>
      </c>
    </row>
    <row r="384" spans="1:14" ht="13">
      <c r="A384" s="1"/>
      <c r="B384" s="2"/>
      <c r="C384" s="290"/>
      <c r="D384" s="177"/>
      <c r="E384" s="289"/>
      <c r="F384" s="177"/>
      <c r="G384" s="289"/>
      <c r="H384" s="177"/>
      <c r="I384" s="289"/>
      <c r="J384" s="177"/>
      <c r="K384" s="289"/>
      <c r="L384" s="177"/>
      <c r="M384" s="289"/>
    </row>
    <row r="385" spans="1:14" ht="13">
      <c r="A385" s="1"/>
      <c r="B385" s="2" t="s">
        <v>1668</v>
      </c>
      <c r="C385" s="290">
        <v>45747</v>
      </c>
      <c r="D385" s="177">
        <v>1174309</v>
      </c>
      <c r="E385" s="289">
        <v>46316</v>
      </c>
      <c r="F385" s="177">
        <v>1213350</v>
      </c>
      <c r="G385" s="289">
        <v>46747</v>
      </c>
      <c r="H385" s="177">
        <v>1296676</v>
      </c>
      <c r="I385" s="289">
        <v>47199</v>
      </c>
      <c r="J385" s="177">
        <v>1363237</v>
      </c>
      <c r="K385" s="289">
        <v>47510</v>
      </c>
      <c r="L385" s="177">
        <v>1459532</v>
      </c>
      <c r="M385" s="289">
        <v>47998</v>
      </c>
      <c r="N385" s="177">
        <v>1449296.9537786723</v>
      </c>
    </row>
    <row r="386" spans="1:14" ht="13">
      <c r="A386" s="1"/>
      <c r="B386" s="2" t="s">
        <v>1669</v>
      </c>
      <c r="C386" s="290">
        <v>2301</v>
      </c>
      <c r="D386" s="177">
        <v>49948</v>
      </c>
      <c r="E386" s="289">
        <v>2294</v>
      </c>
      <c r="F386" s="177">
        <v>57694</v>
      </c>
      <c r="G386" s="289">
        <v>2310</v>
      </c>
      <c r="H386" s="177">
        <v>57007</v>
      </c>
      <c r="I386" s="289">
        <v>2296</v>
      </c>
      <c r="J386" s="177">
        <v>52710</v>
      </c>
      <c r="K386" s="289">
        <v>2267</v>
      </c>
      <c r="L386" s="177">
        <v>60208</v>
      </c>
      <c r="M386" s="289">
        <v>2250</v>
      </c>
      <c r="N386" s="177">
        <v>57732.989793593413</v>
      </c>
    </row>
    <row r="387" spans="1:14" ht="13">
      <c r="A387" s="1"/>
      <c r="B387" s="2" t="s">
        <v>1670</v>
      </c>
      <c r="C387" s="290">
        <v>4387</v>
      </c>
      <c r="D387" s="177">
        <v>93598</v>
      </c>
      <c r="E387" s="289">
        <v>4465</v>
      </c>
      <c r="F387" s="177">
        <v>99262</v>
      </c>
      <c r="G387" s="289">
        <v>4620</v>
      </c>
      <c r="H387" s="177">
        <v>111556</v>
      </c>
      <c r="I387" s="289">
        <v>4667</v>
      </c>
      <c r="J387" s="177">
        <v>114146</v>
      </c>
      <c r="K387" s="289">
        <v>4680</v>
      </c>
      <c r="L387" s="177">
        <v>116891</v>
      </c>
      <c r="M387" s="289">
        <v>4764</v>
      </c>
      <c r="N387" s="177">
        <v>121277.26443789611</v>
      </c>
    </row>
    <row r="388" spans="1:14" ht="13">
      <c r="A388" s="1"/>
      <c r="B388" s="2" t="s">
        <v>1671</v>
      </c>
      <c r="C388" s="290">
        <v>9084</v>
      </c>
      <c r="D388" s="177">
        <v>215808</v>
      </c>
      <c r="E388" s="289">
        <v>9120</v>
      </c>
      <c r="F388" s="177">
        <v>219138</v>
      </c>
      <c r="G388" s="289">
        <v>9200</v>
      </c>
      <c r="H388" s="177">
        <v>231827</v>
      </c>
      <c r="I388" s="289">
        <v>9312</v>
      </c>
      <c r="J388" s="177">
        <v>237154</v>
      </c>
      <c r="K388" s="289">
        <v>9345</v>
      </c>
      <c r="L388" s="177">
        <v>248949</v>
      </c>
      <c r="M388" s="289">
        <v>9383</v>
      </c>
      <c r="N388" s="177">
        <v>250896.19108219395</v>
      </c>
    </row>
    <row r="389" spans="1:14" ht="13">
      <c r="A389" s="1"/>
      <c r="B389" s="2" t="s">
        <v>1672</v>
      </c>
      <c r="C389" s="290">
        <v>1285</v>
      </c>
      <c r="D389" s="177">
        <v>35372</v>
      </c>
      <c r="E389" s="289">
        <v>1262</v>
      </c>
      <c r="F389" s="177">
        <v>36460</v>
      </c>
      <c r="G389" s="289">
        <v>1270</v>
      </c>
      <c r="H389" s="177">
        <v>39495</v>
      </c>
      <c r="I389" s="289">
        <v>1246</v>
      </c>
      <c r="J389" s="177">
        <v>37801</v>
      </c>
      <c r="K389" s="289">
        <v>1263</v>
      </c>
      <c r="L389" s="177">
        <v>39378</v>
      </c>
      <c r="M389" s="289">
        <v>1238</v>
      </c>
      <c r="N389" s="177">
        <v>39682.394594206889</v>
      </c>
    </row>
    <row r="390" spans="1:14" ht="13">
      <c r="A390" s="1"/>
      <c r="B390" s="2" t="s">
        <v>1673</v>
      </c>
      <c r="C390" s="290">
        <v>-12</v>
      </c>
      <c r="D390" s="177">
        <v>-330.32217898832687</v>
      </c>
      <c r="E390" s="289">
        <v>-12</v>
      </c>
      <c r="F390" s="177">
        <v>-346.68779714738508</v>
      </c>
      <c r="G390" s="289">
        <v>-12</v>
      </c>
      <c r="H390" s="177">
        <v>-373.18110236220474</v>
      </c>
      <c r="I390" s="289">
        <v>-12</v>
      </c>
      <c r="J390" s="177">
        <v>-364.05457463884431</v>
      </c>
      <c r="K390" s="289">
        <v>-12</v>
      </c>
      <c r="L390" s="177">
        <v>-374.13776722090262</v>
      </c>
      <c r="M390" s="289">
        <v>-12</v>
      </c>
      <c r="N390" s="177">
        <v>-384.64356634126227</v>
      </c>
    </row>
    <row r="391" spans="1:14" ht="13">
      <c r="A391" s="1"/>
      <c r="B391" s="2"/>
      <c r="C391" s="290"/>
      <c r="D391" s="177"/>
      <c r="E391" s="289"/>
      <c r="F391" s="177"/>
      <c r="G391" s="289"/>
      <c r="H391" s="177"/>
      <c r="I391" s="289"/>
      <c r="J391" s="177"/>
      <c r="K391" s="289"/>
      <c r="L391" s="177"/>
      <c r="M391" s="289"/>
    </row>
    <row r="392" spans="1:14" ht="13">
      <c r="A392" s="1"/>
      <c r="B392" s="2" t="s">
        <v>1674</v>
      </c>
      <c r="C392" s="290">
        <v>10536</v>
      </c>
      <c r="D392" s="177">
        <v>230939</v>
      </c>
      <c r="E392" s="289">
        <v>10589</v>
      </c>
      <c r="F392" s="177">
        <v>248077</v>
      </c>
      <c r="G392" s="289">
        <v>10677</v>
      </c>
      <c r="H392" s="177">
        <v>257414</v>
      </c>
      <c r="I392" s="289">
        <v>10744</v>
      </c>
      <c r="J392" s="177">
        <v>268472</v>
      </c>
      <c r="K392" s="289">
        <v>10812</v>
      </c>
      <c r="L392" s="177">
        <v>277117</v>
      </c>
      <c r="M392" s="289">
        <v>10857</v>
      </c>
      <c r="N392" s="177">
        <v>280490.70055027661</v>
      </c>
    </row>
    <row r="393" spans="1:14" ht="13">
      <c r="A393" s="1"/>
      <c r="B393" s="2" t="s">
        <v>1678</v>
      </c>
      <c r="C393" s="290">
        <v>-105</v>
      </c>
      <c r="D393" s="177">
        <v>-2301.4991457858769</v>
      </c>
      <c r="E393" s="289">
        <v>-105</v>
      </c>
      <c r="F393" s="177">
        <v>-2459.9192558315231</v>
      </c>
      <c r="G393" s="289">
        <v>-105</v>
      </c>
      <c r="H393" s="177">
        <v>-2531.4667041303737</v>
      </c>
      <c r="I393" s="289">
        <v>-105</v>
      </c>
      <c r="J393" s="177">
        <v>-2623.7490692479523</v>
      </c>
      <c r="K393" s="289">
        <v>-105</v>
      </c>
      <c r="L393" s="177">
        <v>-2691.2028301886794</v>
      </c>
      <c r="M393" s="289">
        <v>-105</v>
      </c>
      <c r="N393" s="177">
        <v>-2712.6760207957118</v>
      </c>
    </row>
    <row r="394" spans="1:14" ht="13">
      <c r="A394" s="1"/>
      <c r="B394" s="2"/>
      <c r="C394" s="290"/>
      <c r="D394" s="177"/>
      <c r="E394" s="289"/>
      <c r="F394" s="177"/>
      <c r="G394" s="289"/>
      <c r="H394" s="177"/>
      <c r="I394" s="289"/>
      <c r="J394" s="177"/>
      <c r="K394" s="289"/>
      <c r="L394" s="177"/>
      <c r="M394" s="289"/>
    </row>
    <row r="395" spans="1:14" ht="13">
      <c r="A395" s="1"/>
      <c r="B395" s="2" t="s">
        <v>1675</v>
      </c>
      <c r="C395" s="290">
        <v>3377</v>
      </c>
      <c r="D395" s="177">
        <v>84225</v>
      </c>
      <c r="E395" s="289">
        <v>3466</v>
      </c>
      <c r="F395" s="177">
        <v>91555</v>
      </c>
      <c r="G395" s="289">
        <v>3518</v>
      </c>
      <c r="H395" s="177">
        <v>97276</v>
      </c>
      <c r="I395" s="289">
        <v>3547</v>
      </c>
      <c r="J395" s="177">
        <v>102416</v>
      </c>
      <c r="K395" s="289">
        <v>3557</v>
      </c>
      <c r="L395" s="177">
        <v>97066</v>
      </c>
      <c r="M395" s="289">
        <v>3539</v>
      </c>
      <c r="N395" s="177">
        <v>102670.02734561193</v>
      </c>
    </row>
    <row r="396" spans="1:14" ht="13">
      <c r="A396" s="1"/>
      <c r="B396" s="2" t="s">
        <v>1673</v>
      </c>
      <c r="C396" s="290">
        <v>12</v>
      </c>
      <c r="D396" s="177">
        <v>330.32217898832687</v>
      </c>
      <c r="E396" s="289">
        <v>12</v>
      </c>
      <c r="F396" s="177">
        <v>346.68779714738508</v>
      </c>
      <c r="G396" s="289">
        <v>12</v>
      </c>
      <c r="H396" s="177">
        <v>373.18110236220474</v>
      </c>
      <c r="I396" s="289">
        <v>12</v>
      </c>
      <c r="J396" s="177">
        <v>364.05457463884431</v>
      </c>
      <c r="K396" s="289">
        <v>12</v>
      </c>
      <c r="L396" s="177">
        <v>374.13776722090262</v>
      </c>
      <c r="M396" s="289">
        <v>12</v>
      </c>
      <c r="N396" s="177">
        <v>384.64356634126227</v>
      </c>
    </row>
    <row r="397" spans="1:14" ht="13">
      <c r="A397" s="1"/>
      <c r="B397" s="2"/>
      <c r="C397" s="290"/>
      <c r="D397" s="177"/>
      <c r="E397" s="289"/>
      <c r="F397" s="177"/>
      <c r="G397" s="289"/>
      <c r="H397" s="177"/>
      <c r="I397" s="289"/>
      <c r="J397" s="177"/>
      <c r="K397" s="289"/>
      <c r="L397" s="177"/>
      <c r="M397" s="289"/>
    </row>
    <row r="398" spans="1:14" ht="13">
      <c r="A398" s="1"/>
      <c r="B398" s="2" t="s">
        <v>1676</v>
      </c>
      <c r="C398" s="290">
        <v>1209</v>
      </c>
      <c r="D398" s="177">
        <v>21486.193785772692</v>
      </c>
      <c r="E398" s="289">
        <v>1207</v>
      </c>
      <c r="F398" s="177">
        <v>22448.618345618346</v>
      </c>
      <c r="G398" s="289">
        <v>1186</v>
      </c>
      <c r="H398" s="177">
        <v>23856.39</v>
      </c>
      <c r="I398" s="289">
        <v>1184</v>
      </c>
      <c r="J398" s="177">
        <v>24500.300500834725</v>
      </c>
      <c r="K398" s="289">
        <v>1161</v>
      </c>
      <c r="L398" s="177">
        <v>26416.455319148936</v>
      </c>
      <c r="M398" s="289">
        <v>1152</v>
      </c>
      <c r="N398" s="177">
        <v>25305.582834818819</v>
      </c>
    </row>
    <row r="399" spans="1:14" ht="13">
      <c r="A399" s="1"/>
      <c r="B399" s="2" t="s">
        <v>1677</v>
      </c>
      <c r="C399" s="290">
        <v>8909</v>
      </c>
      <c r="D399" s="177">
        <v>184301</v>
      </c>
      <c r="E399" s="289">
        <v>8977</v>
      </c>
      <c r="F399" s="177">
        <v>193969</v>
      </c>
      <c r="G399" s="289">
        <v>9037</v>
      </c>
      <c r="H399" s="177">
        <v>206755</v>
      </c>
      <c r="I399" s="289">
        <v>9102</v>
      </c>
      <c r="J399" s="177">
        <v>209347</v>
      </c>
      <c r="K399" s="289">
        <v>9188</v>
      </c>
      <c r="L399" s="177">
        <v>222531</v>
      </c>
      <c r="M399" s="289">
        <v>9197</v>
      </c>
      <c r="N399" s="177">
        <v>222943.94986213755</v>
      </c>
    </row>
    <row r="400" spans="1:14" ht="13">
      <c r="A400" s="1"/>
      <c r="B400" s="2" t="s">
        <v>1678</v>
      </c>
      <c r="C400" s="290">
        <v>105</v>
      </c>
      <c r="D400" s="177">
        <v>2301.4991457858769</v>
      </c>
      <c r="E400" s="289">
        <v>105</v>
      </c>
      <c r="F400" s="177">
        <v>2459.9192558315231</v>
      </c>
      <c r="G400" s="289">
        <v>105</v>
      </c>
      <c r="H400" s="177">
        <v>2531.4667041303737</v>
      </c>
      <c r="I400" s="289">
        <v>105</v>
      </c>
      <c r="J400" s="177">
        <v>2623.7490692479523</v>
      </c>
      <c r="K400" s="289">
        <v>105</v>
      </c>
      <c r="L400" s="177">
        <v>2691.2028301886794</v>
      </c>
      <c r="M400" s="289">
        <v>105</v>
      </c>
      <c r="N400" s="177">
        <v>2712.6760207957118</v>
      </c>
    </row>
    <row r="401" spans="1:14" ht="13">
      <c r="A401" s="1"/>
      <c r="B401" s="2"/>
      <c r="C401" s="290"/>
      <c r="D401" s="177"/>
      <c r="E401" s="289"/>
      <c r="F401" s="177"/>
      <c r="G401" s="289"/>
      <c r="H401" s="177"/>
      <c r="I401" s="289"/>
      <c r="J401" s="177"/>
      <c r="K401" s="289"/>
      <c r="L401" s="177"/>
      <c r="M401" s="289"/>
    </row>
    <row r="402" spans="1:14" ht="13">
      <c r="A402" s="1"/>
      <c r="B402" s="2" t="s">
        <v>1679</v>
      </c>
      <c r="C402" s="290">
        <v>1685</v>
      </c>
      <c r="D402" s="177">
        <v>43261</v>
      </c>
      <c r="E402" s="289">
        <v>1676</v>
      </c>
      <c r="F402" s="177">
        <v>43658</v>
      </c>
      <c r="G402" s="289">
        <v>1652</v>
      </c>
      <c r="H402" s="177">
        <v>45958</v>
      </c>
      <c r="I402" s="289">
        <v>1663</v>
      </c>
      <c r="J402" s="177">
        <v>50740</v>
      </c>
      <c r="K402" s="289">
        <v>1670</v>
      </c>
      <c r="L402" s="177">
        <v>48307</v>
      </c>
      <c r="M402" s="289">
        <v>1645</v>
      </c>
      <c r="N402" s="177">
        <v>49394.993108445153</v>
      </c>
    </row>
    <row r="403" spans="1:14" ht="13">
      <c r="A403" s="1"/>
      <c r="B403" s="2" t="s">
        <v>1680</v>
      </c>
      <c r="C403" s="290">
        <v>1035</v>
      </c>
      <c r="D403" s="177">
        <v>18576</v>
      </c>
      <c r="E403" s="289">
        <v>1043</v>
      </c>
      <c r="F403" s="177">
        <v>18571</v>
      </c>
      <c r="G403" s="289">
        <v>1020</v>
      </c>
      <c r="H403" s="177">
        <v>20380</v>
      </c>
      <c r="I403" s="289">
        <v>1005</v>
      </c>
      <c r="J403" s="177">
        <v>21129</v>
      </c>
      <c r="K403" s="289">
        <v>972</v>
      </c>
      <c r="L403" s="177">
        <v>22562</v>
      </c>
      <c r="M403" s="289">
        <v>947</v>
      </c>
      <c r="N403" s="177">
        <v>21012.603769657628</v>
      </c>
    </row>
    <row r="404" spans="1:14" ht="13">
      <c r="A404" s="1"/>
      <c r="B404" s="2"/>
      <c r="C404" s="290"/>
      <c r="D404" s="177"/>
      <c r="E404" s="289"/>
      <c r="F404" s="177"/>
      <c r="G404" s="289"/>
      <c r="H404" s="177"/>
      <c r="I404" s="289"/>
      <c r="J404" s="177"/>
      <c r="K404" s="289"/>
      <c r="L404" s="177"/>
      <c r="M404" s="289"/>
    </row>
    <row r="405" spans="1:14" ht="13">
      <c r="A405" s="1"/>
      <c r="B405" s="2" t="s">
        <v>1681</v>
      </c>
      <c r="C405" s="290">
        <v>9720</v>
      </c>
      <c r="D405" s="177">
        <v>202953</v>
      </c>
      <c r="E405" s="289">
        <v>9787</v>
      </c>
      <c r="F405" s="177">
        <v>211898</v>
      </c>
      <c r="G405" s="289">
        <v>9717</v>
      </c>
      <c r="H405" s="177">
        <v>222394</v>
      </c>
      <c r="I405" s="289">
        <v>9741</v>
      </c>
      <c r="J405" s="177">
        <v>238648</v>
      </c>
      <c r="K405" s="289">
        <v>9775</v>
      </c>
      <c r="L405" s="177">
        <v>253366</v>
      </c>
      <c r="M405" s="289">
        <v>9800</v>
      </c>
      <c r="N405" s="177">
        <v>248297.00252055278</v>
      </c>
    </row>
    <row r="406" spans="1:14" ht="13">
      <c r="A406" s="1"/>
      <c r="B406" s="2" t="s">
        <v>1682</v>
      </c>
      <c r="C406" s="290">
        <v>3471</v>
      </c>
      <c r="D406" s="177">
        <v>70518</v>
      </c>
      <c r="E406" s="289">
        <v>3463</v>
      </c>
      <c r="F406" s="177">
        <v>76467</v>
      </c>
      <c r="G406" s="289">
        <v>3467</v>
      </c>
      <c r="H406" s="177">
        <v>82666</v>
      </c>
      <c r="I406" s="289">
        <v>3454</v>
      </c>
      <c r="J406" s="177">
        <v>83031</v>
      </c>
      <c r="K406" s="289">
        <v>3440</v>
      </c>
      <c r="L406" s="177">
        <v>86542</v>
      </c>
      <c r="M406" s="289">
        <v>3433</v>
      </c>
      <c r="N406" s="177">
        <v>86733.26289285552</v>
      </c>
    </row>
    <row r="407" spans="1:14" ht="13">
      <c r="A407" s="1"/>
      <c r="B407" s="2"/>
      <c r="C407" s="290"/>
      <c r="D407" s="177"/>
      <c r="E407" s="289"/>
      <c r="F407" s="177"/>
      <c r="G407" s="289"/>
      <c r="H407" s="177"/>
      <c r="I407" s="289"/>
      <c r="J407" s="177"/>
      <c r="K407" s="289"/>
      <c r="L407" s="177"/>
      <c r="M407" s="289"/>
    </row>
    <row r="408" spans="1:14" ht="13">
      <c r="A408" s="1"/>
      <c r="B408" s="2" t="s">
        <v>1683</v>
      </c>
      <c r="C408" s="290">
        <v>18705</v>
      </c>
      <c r="D408" s="289">
        <v>414485</v>
      </c>
      <c r="E408" s="289">
        <v>18853</v>
      </c>
      <c r="F408" s="289">
        <v>450486</v>
      </c>
      <c r="G408" s="289">
        <v>18787</v>
      </c>
      <c r="H408" s="289">
        <v>482286</v>
      </c>
      <c r="I408" s="289">
        <v>18756</v>
      </c>
      <c r="J408" s="289">
        <v>503411</v>
      </c>
      <c r="K408" s="289">
        <v>18638</v>
      </c>
      <c r="L408" s="289">
        <v>525327</v>
      </c>
      <c r="M408" s="289">
        <v>18630</v>
      </c>
      <c r="N408" s="289">
        <v>519190.73075064173</v>
      </c>
    </row>
    <row r="409" spans="1:14" ht="13">
      <c r="A409" s="1"/>
      <c r="B409" s="2" t="s">
        <v>1684</v>
      </c>
      <c r="C409" s="290">
        <v>2591</v>
      </c>
      <c r="D409" s="289">
        <v>43185</v>
      </c>
      <c r="E409" s="289">
        <v>2581</v>
      </c>
      <c r="F409" s="289">
        <v>46719</v>
      </c>
      <c r="G409" s="289">
        <v>2556</v>
      </c>
      <c r="H409" s="289">
        <v>49901</v>
      </c>
      <c r="I409" s="289">
        <v>2554</v>
      </c>
      <c r="J409" s="289">
        <v>51010</v>
      </c>
      <c r="K409" s="289">
        <v>2522</v>
      </c>
      <c r="L409" s="289">
        <v>53063</v>
      </c>
      <c r="M409" s="289">
        <v>2470</v>
      </c>
      <c r="N409" s="289">
        <v>51704.479117476279</v>
      </c>
    </row>
    <row r="410" spans="1:14" ht="13">
      <c r="A410" s="1"/>
      <c r="B410" s="2" t="s">
        <v>1685</v>
      </c>
      <c r="C410" s="290">
        <v>924.67532467532465</v>
      </c>
      <c r="D410" s="177">
        <v>18221.651948051949</v>
      </c>
      <c r="E410" s="289">
        <v>922.82597402597401</v>
      </c>
      <c r="F410" s="177">
        <v>19483.833766233765</v>
      </c>
      <c r="G410" s="289">
        <v>912.65454545454543</v>
      </c>
      <c r="H410" s="177">
        <v>20008.587012987013</v>
      </c>
      <c r="I410" s="289">
        <v>906.18181818181813</v>
      </c>
      <c r="J410" s="177">
        <v>20716.425974025973</v>
      </c>
      <c r="K410" s="289">
        <v>902.94545454545448</v>
      </c>
      <c r="L410" s="177">
        <v>21467.262337662338</v>
      </c>
      <c r="M410" s="289">
        <v>890</v>
      </c>
      <c r="N410" s="177">
        <v>21070.495252262608</v>
      </c>
    </row>
    <row r="411" spans="1:14" ht="13">
      <c r="A411" s="1"/>
      <c r="B411" s="2"/>
      <c r="C411" s="290"/>
      <c r="D411" s="177"/>
      <c r="E411" s="289"/>
      <c r="F411" s="177"/>
      <c r="G411" s="289"/>
      <c r="H411" s="177"/>
      <c r="I411" s="289"/>
      <c r="J411" s="177"/>
      <c r="K411" s="289"/>
      <c r="L411" s="177"/>
      <c r="M411" s="289"/>
    </row>
    <row r="412" spans="1:14" ht="13">
      <c r="A412" s="1"/>
      <c r="B412" s="2" t="s">
        <v>1686</v>
      </c>
      <c r="C412" s="290">
        <v>1820</v>
      </c>
      <c r="D412" s="177">
        <v>39940</v>
      </c>
      <c r="E412" s="289">
        <v>1811</v>
      </c>
      <c r="F412" s="177">
        <v>42101</v>
      </c>
      <c r="G412" s="289">
        <v>1824</v>
      </c>
      <c r="H412" s="177">
        <v>46151</v>
      </c>
      <c r="I412" s="289">
        <v>1810</v>
      </c>
      <c r="J412" s="177">
        <v>46172</v>
      </c>
      <c r="K412" s="289">
        <v>1801</v>
      </c>
      <c r="L412" s="177">
        <v>49651</v>
      </c>
      <c r="M412" s="289">
        <v>1747</v>
      </c>
      <c r="N412" s="177">
        <v>47339.15089294481</v>
      </c>
    </row>
    <row r="413" spans="1:14" ht="13">
      <c r="A413" s="1"/>
      <c r="B413" s="2" t="s">
        <v>1685</v>
      </c>
      <c r="C413" s="290">
        <v>1075.3246753246751</v>
      </c>
      <c r="D413" s="177">
        <v>21190.348051948051</v>
      </c>
      <c r="E413" s="289">
        <v>1073.1740259740259</v>
      </c>
      <c r="F413" s="177">
        <v>22658.166233766231</v>
      </c>
      <c r="G413" s="289">
        <v>1061.3454545454545</v>
      </c>
      <c r="H413" s="177">
        <v>23268.412987012984</v>
      </c>
      <c r="I413" s="289">
        <v>1053.8181818181818</v>
      </c>
      <c r="J413" s="177">
        <v>24091.574025974023</v>
      </c>
      <c r="K413" s="289">
        <v>1050.0545454545454</v>
      </c>
      <c r="L413" s="177">
        <v>24964.737662337659</v>
      </c>
      <c r="M413" s="289">
        <v>1035</v>
      </c>
      <c r="N413" s="177">
        <v>24503.328748417749</v>
      </c>
    </row>
    <row r="414" spans="1:14" ht="13">
      <c r="A414" s="1"/>
      <c r="B414" s="2"/>
      <c r="C414" s="290"/>
      <c r="D414" s="177"/>
      <c r="E414" s="289"/>
      <c r="F414" s="177"/>
      <c r="G414" s="289"/>
      <c r="H414" s="177"/>
      <c r="I414" s="289"/>
      <c r="J414" s="177"/>
      <c r="K414" s="289"/>
      <c r="L414" s="177"/>
      <c r="M414" s="289"/>
    </row>
    <row r="415" spans="1:14" ht="13">
      <c r="A415" s="1"/>
      <c r="B415" s="2" t="s">
        <v>1687</v>
      </c>
      <c r="C415" s="290">
        <v>31308</v>
      </c>
      <c r="D415" s="177">
        <v>654723</v>
      </c>
      <c r="E415" s="289">
        <v>31802</v>
      </c>
      <c r="F415" s="177">
        <v>706367</v>
      </c>
      <c r="G415" s="289">
        <v>32182</v>
      </c>
      <c r="H415" s="177">
        <v>780688</v>
      </c>
      <c r="I415" s="289">
        <v>32407</v>
      </c>
      <c r="J415" s="177">
        <v>804643</v>
      </c>
      <c r="K415" s="289">
        <v>32588</v>
      </c>
      <c r="L415" s="177">
        <v>850407</v>
      </c>
      <c r="M415" s="289">
        <v>32726</v>
      </c>
      <c r="N415" s="177">
        <v>850883.87554780219</v>
      </c>
    </row>
    <row r="416" spans="1:14" ht="13">
      <c r="A416" s="1"/>
      <c r="B416" s="2" t="s">
        <v>1688</v>
      </c>
      <c r="C416" s="290">
        <v>15101</v>
      </c>
      <c r="D416" s="177">
        <v>333585</v>
      </c>
      <c r="E416" s="289">
        <v>15242</v>
      </c>
      <c r="F416" s="177">
        <v>364572</v>
      </c>
      <c r="G416" s="289">
        <v>15458</v>
      </c>
      <c r="H416" s="177">
        <v>407583</v>
      </c>
      <c r="I416" s="289">
        <v>15747</v>
      </c>
      <c r="J416" s="177">
        <v>432231</v>
      </c>
      <c r="K416" s="289">
        <v>16083</v>
      </c>
      <c r="L416" s="177">
        <v>467477</v>
      </c>
      <c r="M416" s="289">
        <v>16145</v>
      </c>
      <c r="N416" s="177">
        <v>462631.11087012402</v>
      </c>
    </row>
    <row r="417" spans="1:14" ht="13">
      <c r="A417" s="1"/>
      <c r="B417" s="2"/>
      <c r="C417" s="290"/>
      <c r="D417" s="177"/>
      <c r="E417" s="289"/>
      <c r="F417" s="177"/>
      <c r="G417" s="289"/>
      <c r="H417" s="177"/>
      <c r="I417" s="289"/>
      <c r="J417" s="177"/>
      <c r="K417" s="289"/>
      <c r="L417" s="177"/>
      <c r="M417" s="289"/>
    </row>
    <row r="418" spans="1:14" ht="13">
      <c r="A418" s="1"/>
      <c r="B418" s="2" t="s">
        <v>1689</v>
      </c>
      <c r="C418" s="290">
        <v>66214</v>
      </c>
      <c r="D418" s="177">
        <v>1613484</v>
      </c>
      <c r="E418" s="289">
        <v>67016</v>
      </c>
      <c r="F418" s="177">
        <v>1706967</v>
      </c>
      <c r="G418" s="289">
        <v>67895</v>
      </c>
      <c r="H418" s="177">
        <v>1893427</v>
      </c>
      <c r="I418" s="289">
        <v>68363</v>
      </c>
      <c r="J418" s="177">
        <v>2001966</v>
      </c>
      <c r="K418" s="289">
        <v>68713</v>
      </c>
      <c r="L418" s="177">
        <v>2041109</v>
      </c>
      <c r="M418" s="289">
        <v>68933</v>
      </c>
      <c r="N418" s="177">
        <v>2071219.9694811394</v>
      </c>
    </row>
    <row r="419" spans="1:14" ht="13">
      <c r="A419" s="1"/>
      <c r="B419" s="2" t="s">
        <v>1690</v>
      </c>
      <c r="C419" s="290">
        <v>23811</v>
      </c>
      <c r="D419" s="177">
        <v>493252</v>
      </c>
      <c r="E419" s="289">
        <v>24154</v>
      </c>
      <c r="F419" s="177">
        <v>541773</v>
      </c>
      <c r="G419" s="289">
        <v>24431</v>
      </c>
      <c r="H419" s="177">
        <v>584271</v>
      </c>
      <c r="I419" s="289">
        <v>24718</v>
      </c>
      <c r="J419" s="177">
        <v>609858</v>
      </c>
      <c r="K419" s="289">
        <v>24917</v>
      </c>
      <c r="L419" s="177">
        <v>633764</v>
      </c>
      <c r="M419" s="289">
        <v>24963</v>
      </c>
      <c r="N419" s="177">
        <v>639099.70313263079</v>
      </c>
    </row>
    <row r="420" spans="1:14" ht="13">
      <c r="A420" s="1"/>
      <c r="B420" s="2" t="s">
        <v>1691</v>
      </c>
      <c r="C420" s="290">
        <v>6580</v>
      </c>
      <c r="D420" s="177">
        <v>138705</v>
      </c>
      <c r="E420" s="289">
        <v>6601</v>
      </c>
      <c r="F420" s="177">
        <v>146397</v>
      </c>
      <c r="G420" s="289">
        <v>6604</v>
      </c>
      <c r="H420" s="177">
        <v>160212</v>
      </c>
      <c r="I420" s="289">
        <v>6653</v>
      </c>
      <c r="J420" s="177">
        <v>164536</v>
      </c>
      <c r="K420" s="289">
        <v>6672</v>
      </c>
      <c r="L420" s="177">
        <v>172141</v>
      </c>
      <c r="M420" s="289">
        <v>6685</v>
      </c>
      <c r="N420" s="177">
        <v>172926.96265628931</v>
      </c>
    </row>
    <row r="421" spans="1:14" ht="13">
      <c r="A421" s="1"/>
      <c r="B421" s="2"/>
      <c r="C421" s="290"/>
      <c r="D421" s="177"/>
      <c r="E421" s="289"/>
      <c r="F421" s="177"/>
      <c r="G421" s="289"/>
      <c r="H421" s="177"/>
      <c r="I421" s="289"/>
      <c r="J421" s="177"/>
      <c r="K421" s="289"/>
      <c r="L421" s="177"/>
      <c r="M421" s="289"/>
    </row>
    <row r="422" spans="1:14" ht="13">
      <c r="A422" s="1"/>
      <c r="B422" s="2" t="s">
        <v>1692</v>
      </c>
      <c r="C422" s="290">
        <v>5366</v>
      </c>
      <c r="D422" s="177">
        <v>106758</v>
      </c>
      <c r="E422" s="289">
        <v>5346</v>
      </c>
      <c r="F422" s="177">
        <v>114965</v>
      </c>
      <c r="G422" s="289">
        <v>5343</v>
      </c>
      <c r="H422" s="177">
        <v>125619</v>
      </c>
      <c r="I422" s="289">
        <v>5367</v>
      </c>
      <c r="J422" s="177">
        <v>132106</v>
      </c>
      <c r="K422" s="289">
        <v>5337</v>
      </c>
      <c r="L422" s="177">
        <v>136209</v>
      </c>
      <c r="M422" s="289">
        <v>5347</v>
      </c>
      <c r="N422" s="177">
        <v>136134.52793579522</v>
      </c>
    </row>
    <row r="423" spans="1:14" ht="13">
      <c r="A423" s="1"/>
      <c r="B423" s="2" t="s">
        <v>1693</v>
      </c>
      <c r="C423" s="290">
        <v>5620</v>
      </c>
      <c r="D423" s="177">
        <v>124611</v>
      </c>
      <c r="E423" s="289">
        <v>5692</v>
      </c>
      <c r="F423" s="177">
        <v>131932</v>
      </c>
      <c r="G423" s="289">
        <v>5736</v>
      </c>
      <c r="H423" s="177">
        <v>148475</v>
      </c>
      <c r="I423" s="289">
        <v>5765</v>
      </c>
      <c r="J423" s="177">
        <v>152464</v>
      </c>
      <c r="K423" s="289">
        <v>5853</v>
      </c>
      <c r="L423" s="177">
        <v>162032</v>
      </c>
      <c r="M423" s="289">
        <v>6042</v>
      </c>
      <c r="N423" s="177">
        <v>166616.25091143267</v>
      </c>
    </row>
    <row r="424" spans="1:14" ht="13">
      <c r="A424" s="1"/>
      <c r="B424" s="2" t="s">
        <v>1694</v>
      </c>
      <c r="C424" s="290">
        <v>15430</v>
      </c>
      <c r="D424" s="177">
        <v>329976</v>
      </c>
      <c r="E424" s="289">
        <v>15513</v>
      </c>
      <c r="F424" s="177">
        <v>348072</v>
      </c>
      <c r="G424" s="289">
        <v>15615</v>
      </c>
      <c r="H424" s="177">
        <v>381956</v>
      </c>
      <c r="I424" s="289">
        <v>15720</v>
      </c>
      <c r="J424" s="177">
        <v>406616</v>
      </c>
      <c r="K424" s="289">
        <v>15810</v>
      </c>
      <c r="L424" s="177">
        <v>423469</v>
      </c>
      <c r="M424" s="289">
        <v>15865</v>
      </c>
      <c r="N424" s="177">
        <v>421674.05966815911</v>
      </c>
    </row>
    <row r="425" spans="1:14" ht="13">
      <c r="A425" s="1"/>
      <c r="B425" s="2" t="s">
        <v>1695</v>
      </c>
      <c r="C425" s="290">
        <v>11323</v>
      </c>
      <c r="D425" s="177">
        <v>224909</v>
      </c>
      <c r="E425" s="289">
        <v>11353</v>
      </c>
      <c r="F425" s="177">
        <v>237494</v>
      </c>
      <c r="G425" s="289">
        <v>11396</v>
      </c>
      <c r="H425" s="177">
        <v>263678</v>
      </c>
      <c r="I425" s="289">
        <v>11406</v>
      </c>
      <c r="J425" s="177">
        <v>272231</v>
      </c>
      <c r="K425" s="289">
        <v>11414</v>
      </c>
      <c r="L425" s="177">
        <v>287718</v>
      </c>
      <c r="M425" s="289">
        <v>11424</v>
      </c>
      <c r="N425" s="177">
        <v>285243.5181321972</v>
      </c>
    </row>
    <row r="426" spans="1:14" ht="13">
      <c r="A426" s="1"/>
      <c r="B426" s="2" t="s">
        <v>1696</v>
      </c>
      <c r="C426" s="290">
        <v>5187</v>
      </c>
      <c r="D426" s="177">
        <v>107464</v>
      </c>
      <c r="E426" s="289">
        <v>5343</v>
      </c>
      <c r="F426" s="177">
        <v>119637</v>
      </c>
      <c r="G426" s="289">
        <v>5382</v>
      </c>
      <c r="H426" s="177">
        <v>134439</v>
      </c>
      <c r="I426" s="289">
        <v>5557</v>
      </c>
      <c r="J426" s="177">
        <v>138030</v>
      </c>
      <c r="K426" s="289">
        <v>5621</v>
      </c>
      <c r="L426" s="177">
        <v>146576</v>
      </c>
      <c r="M426" s="289">
        <v>5642</v>
      </c>
      <c r="N426" s="177">
        <v>148131.72858661122</v>
      </c>
    </row>
    <row r="427" spans="1:14" ht="13">
      <c r="A427" s="1"/>
      <c r="B427" s="2"/>
      <c r="C427" s="290"/>
      <c r="D427" s="177"/>
      <c r="E427" s="289"/>
      <c r="F427" s="177"/>
      <c r="G427" s="289"/>
      <c r="H427" s="177"/>
      <c r="I427" s="289"/>
      <c r="J427" s="177"/>
      <c r="K427" s="289"/>
      <c r="L427" s="177"/>
      <c r="M427" s="289"/>
    </row>
    <row r="428" spans="1:14" ht="13">
      <c r="A428" s="1"/>
      <c r="B428" s="2" t="s">
        <v>1697</v>
      </c>
      <c r="C428" s="290">
        <v>29542</v>
      </c>
      <c r="D428" s="177">
        <v>770043</v>
      </c>
      <c r="E428" s="289">
        <v>29775</v>
      </c>
      <c r="F428" s="177">
        <v>808395</v>
      </c>
      <c r="G428" s="289">
        <v>30261</v>
      </c>
      <c r="H428" s="177">
        <v>898881</v>
      </c>
      <c r="I428" s="289">
        <v>30698</v>
      </c>
      <c r="J428" s="177">
        <v>958294</v>
      </c>
      <c r="K428" s="289">
        <v>30880</v>
      </c>
      <c r="L428" s="177">
        <v>999458</v>
      </c>
      <c r="M428" s="289">
        <v>30843</v>
      </c>
      <c r="N428" s="177">
        <v>994870.83308724931</v>
      </c>
    </row>
    <row r="429" spans="1:14" ht="13">
      <c r="A429" s="1"/>
      <c r="B429" s="2" t="s">
        <v>1698</v>
      </c>
      <c r="C429" s="290">
        <v>26255</v>
      </c>
      <c r="D429" s="177">
        <v>832842</v>
      </c>
      <c r="E429" s="289">
        <v>26580</v>
      </c>
      <c r="F429" s="177">
        <v>873874</v>
      </c>
      <c r="G429" s="289">
        <v>26792</v>
      </c>
      <c r="H429" s="177">
        <v>958475</v>
      </c>
      <c r="I429" s="289">
        <v>26988</v>
      </c>
      <c r="J429" s="177">
        <v>1010595</v>
      </c>
      <c r="K429" s="289">
        <v>27178</v>
      </c>
      <c r="L429" s="177">
        <v>1020926</v>
      </c>
      <c r="M429" s="289">
        <v>27394</v>
      </c>
      <c r="N429" s="177">
        <v>1049783.749355664</v>
      </c>
    </row>
    <row r="430" spans="1:14" ht="13">
      <c r="A430" s="1"/>
      <c r="B430" s="2" t="s">
        <v>1699</v>
      </c>
      <c r="C430" s="290">
        <v>197</v>
      </c>
      <c r="D430" s="177">
        <v>4748.029996104402</v>
      </c>
      <c r="E430" s="289">
        <v>197</v>
      </c>
      <c r="F430" s="177">
        <v>5037.868021401935</v>
      </c>
      <c r="G430" s="289">
        <v>197</v>
      </c>
      <c r="H430" s="177">
        <v>5233.7875421229992</v>
      </c>
      <c r="I430" s="289">
        <v>197</v>
      </c>
      <c r="J430" s="177">
        <v>5545.568384487764</v>
      </c>
      <c r="K430" s="289">
        <v>197</v>
      </c>
      <c r="L430" s="177">
        <v>5992.5410774746069</v>
      </c>
      <c r="M430" s="289">
        <v>197</v>
      </c>
      <c r="N430" s="177">
        <v>5796.1023292920372</v>
      </c>
    </row>
    <row r="431" spans="1:14" ht="13">
      <c r="A431" s="1"/>
      <c r="B431" s="2"/>
      <c r="C431" s="290"/>
      <c r="D431" s="177"/>
      <c r="E431" s="289"/>
      <c r="F431" s="177"/>
      <c r="G431" s="289"/>
      <c r="H431" s="177"/>
      <c r="I431" s="289"/>
      <c r="J431" s="177"/>
      <c r="K431" s="289"/>
      <c r="L431" s="177"/>
      <c r="M431" s="289"/>
    </row>
    <row r="432" spans="1:14" ht="13">
      <c r="A432" s="1"/>
      <c r="B432" s="2" t="s">
        <v>1700</v>
      </c>
      <c r="C432" s="290">
        <v>17969</v>
      </c>
      <c r="D432" s="177">
        <v>433083</v>
      </c>
      <c r="E432" s="289">
        <v>18503</v>
      </c>
      <c r="F432" s="177">
        <v>473176</v>
      </c>
      <c r="G432" s="289">
        <v>18992</v>
      </c>
      <c r="H432" s="177">
        <v>504569</v>
      </c>
      <c r="I432" s="289">
        <v>19288</v>
      </c>
      <c r="J432" s="177">
        <v>542959</v>
      </c>
      <c r="K432" s="289">
        <v>20084</v>
      </c>
      <c r="L432" s="177">
        <v>610935</v>
      </c>
      <c r="M432" s="289">
        <v>20335</v>
      </c>
      <c r="N432" s="177">
        <v>598293.1008434192</v>
      </c>
    </row>
    <row r="433" spans="1:14" ht="13">
      <c r="A433" s="1"/>
      <c r="B433" s="2" t="s">
        <v>1699</v>
      </c>
      <c r="C433" s="290">
        <v>-197</v>
      </c>
      <c r="D433" s="177">
        <v>-4748.029996104402</v>
      </c>
      <c r="E433" s="289">
        <v>-197</v>
      </c>
      <c r="F433" s="177">
        <v>-5037.868021401935</v>
      </c>
      <c r="G433" s="289">
        <v>-197</v>
      </c>
      <c r="H433" s="177">
        <v>-5233.7875421229992</v>
      </c>
      <c r="I433" s="289">
        <v>-197</v>
      </c>
      <c r="J433" s="177">
        <v>-5545.568384487764</v>
      </c>
      <c r="K433" s="289">
        <v>-197</v>
      </c>
      <c r="L433" s="177">
        <v>-5992.5410774746069</v>
      </c>
      <c r="M433" s="289">
        <v>-197</v>
      </c>
      <c r="N433" s="177">
        <v>-5796.1023292920372</v>
      </c>
    </row>
    <row r="434" spans="1:14" ht="13">
      <c r="A434" s="1"/>
      <c r="B434" s="2"/>
      <c r="C434" s="290"/>
      <c r="D434" s="177"/>
      <c r="E434" s="289"/>
      <c r="F434" s="177"/>
      <c r="G434" s="289"/>
      <c r="H434" s="177"/>
      <c r="I434" s="289"/>
      <c r="J434" s="177"/>
      <c r="K434" s="289"/>
      <c r="L434" s="177"/>
      <c r="M434" s="289"/>
    </row>
    <row r="435" spans="1:14" ht="13">
      <c r="A435" s="1"/>
      <c r="B435" s="2" t="s">
        <v>1701</v>
      </c>
      <c r="C435" s="290">
        <v>58338</v>
      </c>
      <c r="D435" s="177">
        <v>2199038</v>
      </c>
      <c r="E435" s="289">
        <v>59571</v>
      </c>
      <c r="F435" s="177">
        <v>2358793</v>
      </c>
      <c r="G435" s="289">
        <v>60106</v>
      </c>
      <c r="H435" s="177">
        <v>2702018</v>
      </c>
      <c r="I435" s="289">
        <v>60781</v>
      </c>
      <c r="J435" s="177">
        <v>2777270</v>
      </c>
      <c r="K435" s="289">
        <v>60926</v>
      </c>
      <c r="L435" s="177">
        <v>2889909</v>
      </c>
      <c r="M435" s="289">
        <v>61523</v>
      </c>
      <c r="N435" s="177">
        <v>2938438.5855219709</v>
      </c>
    </row>
    <row r="436" spans="1:14" ht="13">
      <c r="A436" s="1"/>
      <c r="B436" s="2" t="s">
        <v>1702</v>
      </c>
      <c r="C436" s="290">
        <v>20621</v>
      </c>
      <c r="D436" s="177">
        <v>528310</v>
      </c>
      <c r="E436" s="289">
        <v>21038</v>
      </c>
      <c r="F436" s="177">
        <v>562478</v>
      </c>
      <c r="G436" s="289">
        <v>21492</v>
      </c>
      <c r="H436" s="177">
        <v>620312</v>
      </c>
      <c r="I436" s="289">
        <v>21931</v>
      </c>
      <c r="J436" s="177">
        <v>663245</v>
      </c>
      <c r="K436" s="289">
        <v>22452</v>
      </c>
      <c r="L436" s="177">
        <v>699523</v>
      </c>
      <c r="M436" s="289">
        <v>22635</v>
      </c>
      <c r="N436" s="177">
        <v>706504.66248250613</v>
      </c>
    </row>
    <row r="437" spans="1:14" ht="13">
      <c r="A437" s="1"/>
      <c r="B437" s="2" t="s">
        <v>1703</v>
      </c>
      <c r="C437" s="290">
        <v>9330</v>
      </c>
      <c r="D437" s="177">
        <v>220706</v>
      </c>
      <c r="E437" s="289">
        <v>9365</v>
      </c>
      <c r="F437" s="177">
        <v>225635</v>
      </c>
      <c r="G437" s="289">
        <v>9413</v>
      </c>
      <c r="H437" s="177">
        <v>242693</v>
      </c>
      <c r="I437" s="289">
        <v>9462</v>
      </c>
      <c r="J437" s="177">
        <v>254706</v>
      </c>
      <c r="K437" s="289">
        <v>9450</v>
      </c>
      <c r="L437" s="177">
        <v>260549</v>
      </c>
      <c r="M437" s="289">
        <v>9521</v>
      </c>
      <c r="N437" s="177">
        <v>264319.85493990622</v>
      </c>
    </row>
    <row r="438" spans="1:14" ht="13">
      <c r="A438" s="1"/>
      <c r="B438" s="2"/>
      <c r="C438" s="290"/>
      <c r="D438" s="177"/>
      <c r="E438" s="289"/>
      <c r="F438" s="177"/>
      <c r="G438" s="289"/>
      <c r="H438" s="177"/>
      <c r="I438" s="289"/>
      <c r="J438" s="177"/>
      <c r="K438" s="289"/>
      <c r="L438" s="177"/>
      <c r="M438" s="289"/>
    </row>
    <row r="439" spans="1:14" ht="13">
      <c r="A439" s="1"/>
      <c r="B439" s="2" t="s">
        <v>1704</v>
      </c>
      <c r="C439" s="290">
        <v>672</v>
      </c>
      <c r="D439" s="177">
        <v>13656</v>
      </c>
      <c r="E439" s="289">
        <v>672</v>
      </c>
      <c r="F439" s="177">
        <v>14750</v>
      </c>
      <c r="G439" s="289">
        <v>672</v>
      </c>
      <c r="H439" s="177">
        <v>20035</v>
      </c>
      <c r="I439" s="289">
        <v>685</v>
      </c>
      <c r="J439" s="177">
        <v>18554</v>
      </c>
      <c r="K439" s="289">
        <v>682</v>
      </c>
      <c r="L439" s="177">
        <v>17031</v>
      </c>
      <c r="M439" s="289">
        <v>673</v>
      </c>
      <c r="N439" s="177">
        <v>19107.745784555362</v>
      </c>
    </row>
    <row r="440" spans="1:14" ht="13">
      <c r="A440" s="1"/>
      <c r="B440" s="2" t="s">
        <v>1705</v>
      </c>
      <c r="C440" s="290">
        <v>15500</v>
      </c>
      <c r="D440" s="177">
        <v>302125</v>
      </c>
      <c r="E440" s="289">
        <v>15726</v>
      </c>
      <c r="F440" s="177">
        <v>329143</v>
      </c>
      <c r="G440" s="289">
        <v>15914</v>
      </c>
      <c r="H440" s="177">
        <v>350928</v>
      </c>
      <c r="I440" s="289">
        <v>16162</v>
      </c>
      <c r="J440" s="177">
        <v>374281</v>
      </c>
      <c r="K440" s="289">
        <v>16390</v>
      </c>
      <c r="L440" s="177">
        <v>400409</v>
      </c>
      <c r="M440" s="289">
        <v>16500</v>
      </c>
      <c r="N440" s="177">
        <v>397238.96743820672</v>
      </c>
    </row>
    <row r="441" spans="1:14" ht="13">
      <c r="A441" s="1"/>
      <c r="B441" s="2"/>
      <c r="C441" s="290"/>
      <c r="D441" s="177"/>
      <c r="E441" s="289"/>
      <c r="F441" s="177"/>
      <c r="G441" s="289"/>
      <c r="H441" s="177"/>
      <c r="I441" s="289"/>
      <c r="J441" s="177"/>
      <c r="K441" s="289"/>
      <c r="L441" s="177"/>
      <c r="M441" s="289"/>
    </row>
    <row r="442" spans="1:14" ht="13">
      <c r="A442" s="1"/>
      <c r="B442" s="2" t="s">
        <v>1706</v>
      </c>
      <c r="C442" s="290">
        <v>16918</v>
      </c>
      <c r="D442" s="177">
        <v>421597</v>
      </c>
      <c r="E442" s="289">
        <v>17089</v>
      </c>
      <c r="F442" s="177">
        <v>436963</v>
      </c>
      <c r="G442" s="289">
        <v>17443</v>
      </c>
      <c r="H442" s="177">
        <v>486909</v>
      </c>
      <c r="I442" s="289">
        <v>17665</v>
      </c>
      <c r="J442" s="177">
        <v>514762</v>
      </c>
      <c r="K442" s="289">
        <v>17980</v>
      </c>
      <c r="L442" s="177">
        <v>535693</v>
      </c>
      <c r="M442" s="289">
        <v>18263</v>
      </c>
      <c r="N442" s="177">
        <v>548032.12699749239</v>
      </c>
    </row>
    <row r="443" spans="1:14" ht="13">
      <c r="A443" s="1"/>
      <c r="B443" s="2" t="s">
        <v>1707</v>
      </c>
      <c r="C443" s="290">
        <v>11048</v>
      </c>
      <c r="D443" s="177">
        <v>273412</v>
      </c>
      <c r="E443" s="289">
        <v>11199</v>
      </c>
      <c r="F443" s="177">
        <v>281509</v>
      </c>
      <c r="G443" s="289">
        <v>11374</v>
      </c>
      <c r="H443" s="177">
        <v>325799</v>
      </c>
      <c r="I443" s="289">
        <v>11555</v>
      </c>
      <c r="J443" s="177">
        <v>336499</v>
      </c>
      <c r="K443" s="289">
        <v>11663</v>
      </c>
      <c r="L443" s="177">
        <v>358041</v>
      </c>
      <c r="M443" s="289">
        <v>11842</v>
      </c>
      <c r="N443" s="177">
        <v>362296.18065331958</v>
      </c>
    </row>
    <row r="444" spans="1:14" ht="13">
      <c r="A444" s="1"/>
      <c r="B444" s="2" t="s">
        <v>1708</v>
      </c>
      <c r="C444" s="290">
        <v>51188</v>
      </c>
      <c r="D444" s="177">
        <v>1334508</v>
      </c>
      <c r="E444" s="289">
        <v>51725</v>
      </c>
      <c r="F444" s="177">
        <v>1392116</v>
      </c>
      <c r="G444" s="289">
        <v>52522</v>
      </c>
      <c r="H444" s="177">
        <v>1535449</v>
      </c>
      <c r="I444" s="289">
        <v>53276</v>
      </c>
      <c r="J444" s="177">
        <v>1639443</v>
      </c>
      <c r="K444" s="289">
        <v>54178</v>
      </c>
      <c r="L444" s="177">
        <v>1707289</v>
      </c>
      <c r="M444" s="289">
        <v>55652</v>
      </c>
      <c r="N444" s="177">
        <v>1761303.0533508798</v>
      </c>
    </row>
    <row r="445" spans="1:14" ht="13">
      <c r="A445" s="1"/>
      <c r="B445" s="2" t="s">
        <v>1709</v>
      </c>
      <c r="C445" s="290">
        <v>-671</v>
      </c>
      <c r="D445" s="177">
        <v>-17493.452918652809</v>
      </c>
      <c r="E445" s="289">
        <v>-671</v>
      </c>
      <c r="F445" s="177">
        <v>-18059.155843402608</v>
      </c>
      <c r="G445" s="289">
        <v>-671</v>
      </c>
      <c r="H445" s="177">
        <v>-19616.280396786107</v>
      </c>
      <c r="I445" s="289">
        <v>-671</v>
      </c>
      <c r="J445" s="177">
        <v>-20648.439316014716</v>
      </c>
      <c r="K445" s="289">
        <v>-671</v>
      </c>
      <c r="L445" s="177">
        <v>-21144.946638857102</v>
      </c>
      <c r="M445" s="289">
        <v>-671</v>
      </c>
      <c r="N445" s="177">
        <v>-21236.15231794797</v>
      </c>
    </row>
    <row r="446" spans="1:14" ht="13">
      <c r="A446" s="1"/>
      <c r="B446" s="2"/>
      <c r="C446" s="290"/>
      <c r="D446" s="177"/>
      <c r="E446" s="289"/>
      <c r="F446" s="177"/>
      <c r="G446" s="289"/>
      <c r="H446" s="177"/>
      <c r="I446" s="289"/>
      <c r="J446" s="177"/>
      <c r="K446" s="289"/>
      <c r="L446" s="177"/>
      <c r="M446" s="289"/>
    </row>
    <row r="447" spans="1:14" ht="13">
      <c r="A447" s="1"/>
      <c r="B447" s="2" t="s">
        <v>1710</v>
      </c>
      <c r="C447" s="290">
        <v>20164</v>
      </c>
      <c r="D447" s="177">
        <v>415395</v>
      </c>
      <c r="E447" s="289">
        <v>20410</v>
      </c>
      <c r="F447" s="177">
        <v>447461</v>
      </c>
      <c r="G447" s="289">
        <v>20783</v>
      </c>
      <c r="H447" s="177">
        <v>498018</v>
      </c>
      <c r="I447" s="289">
        <v>21241</v>
      </c>
      <c r="J447" s="177">
        <v>529616</v>
      </c>
      <c r="K447" s="289">
        <v>21681</v>
      </c>
      <c r="L447" s="177">
        <v>563996</v>
      </c>
      <c r="M447" s="289">
        <v>21885</v>
      </c>
      <c r="N447" s="177">
        <v>566698.92969133565</v>
      </c>
    </row>
    <row r="448" spans="1:14" ht="13">
      <c r="A448" s="1"/>
      <c r="B448" s="2" t="s">
        <v>1709</v>
      </c>
      <c r="C448" s="290">
        <v>671</v>
      </c>
      <c r="D448" s="177">
        <v>17493.452918652809</v>
      </c>
      <c r="E448" s="289">
        <v>671</v>
      </c>
      <c r="F448" s="177">
        <v>18059.155843402608</v>
      </c>
      <c r="G448" s="289">
        <v>671</v>
      </c>
      <c r="H448" s="177">
        <v>19616.280396786107</v>
      </c>
      <c r="I448" s="289">
        <v>671</v>
      </c>
      <c r="J448" s="177">
        <v>20648.439316014716</v>
      </c>
      <c r="K448" s="289">
        <v>671</v>
      </c>
      <c r="L448" s="177">
        <v>21144.946638857102</v>
      </c>
      <c r="M448" s="289">
        <v>671</v>
      </c>
      <c r="N448" s="177">
        <v>21236.15231794797</v>
      </c>
    </row>
    <row r="449" spans="1:14" ht="13">
      <c r="A449" s="1"/>
      <c r="B449" s="2"/>
      <c r="C449" s="290"/>
      <c r="D449" s="177"/>
      <c r="E449" s="289"/>
      <c r="F449" s="177"/>
      <c r="G449" s="289"/>
      <c r="H449" s="177"/>
      <c r="I449" s="289"/>
      <c r="J449" s="177"/>
      <c r="K449" s="289"/>
      <c r="L449" s="177"/>
      <c r="M449" s="289"/>
    </row>
    <row r="450" spans="1:14" ht="13">
      <c r="A450" s="1"/>
      <c r="B450" s="2" t="s">
        <v>1711</v>
      </c>
      <c r="C450" s="290">
        <v>26751</v>
      </c>
      <c r="D450" s="177">
        <v>552532</v>
      </c>
      <c r="E450" s="289">
        <v>26903</v>
      </c>
      <c r="F450" s="177">
        <v>579819</v>
      </c>
      <c r="G450" s="289">
        <v>27178</v>
      </c>
      <c r="H450" s="177">
        <v>637325</v>
      </c>
      <c r="I450" s="289">
        <v>27202</v>
      </c>
      <c r="J450" s="177">
        <v>663495</v>
      </c>
      <c r="K450" s="289">
        <v>27317</v>
      </c>
      <c r="L450" s="177">
        <v>672391</v>
      </c>
      <c r="M450" s="289">
        <v>27334</v>
      </c>
      <c r="N450" s="177">
        <v>685081.73280044668</v>
      </c>
    </row>
    <row r="451" spans="1:14" ht="13">
      <c r="A451" s="1"/>
      <c r="B451" s="2" t="s">
        <v>1714</v>
      </c>
      <c r="C451" s="290">
        <v>13</v>
      </c>
      <c r="D451" s="177">
        <v>274.01082677165357</v>
      </c>
      <c r="E451" s="289">
        <v>13</v>
      </c>
      <c r="F451" s="177">
        <v>294.19226196909108</v>
      </c>
      <c r="G451" s="289">
        <v>13</v>
      </c>
      <c r="H451" s="177">
        <v>317.28415767546204</v>
      </c>
      <c r="I451" s="289">
        <v>13</v>
      </c>
      <c r="J451" s="177">
        <v>338.010963525195</v>
      </c>
      <c r="K451" s="289">
        <v>13</v>
      </c>
      <c r="L451" s="177">
        <v>337.49734954786402</v>
      </c>
      <c r="M451" s="289">
        <v>13</v>
      </c>
      <c r="N451" s="177">
        <v>343.36572578990189</v>
      </c>
    </row>
    <row r="452" spans="1:14" ht="13">
      <c r="A452" s="1"/>
      <c r="B452" s="2"/>
      <c r="C452" s="290"/>
      <c r="D452" s="177"/>
      <c r="E452" s="289"/>
      <c r="F452" s="177"/>
      <c r="G452" s="289"/>
      <c r="H452" s="177"/>
      <c r="I452" s="289"/>
      <c r="J452" s="177"/>
      <c r="K452" s="289"/>
      <c r="L452" s="177"/>
      <c r="M452" s="289"/>
    </row>
    <row r="453" spans="1:14" ht="13">
      <c r="A453" s="1"/>
      <c r="B453" s="2" t="s">
        <v>1713</v>
      </c>
      <c r="C453" s="290">
        <v>9036</v>
      </c>
      <c r="D453" s="177">
        <v>200826</v>
      </c>
      <c r="E453" s="289">
        <v>9149</v>
      </c>
      <c r="F453" s="177">
        <v>216349</v>
      </c>
      <c r="G453" s="289">
        <v>9297</v>
      </c>
      <c r="H453" s="177">
        <v>247645</v>
      </c>
      <c r="I453" s="289">
        <v>9496</v>
      </c>
      <c r="J453" s="177">
        <v>261519</v>
      </c>
      <c r="K453" s="289">
        <v>9726</v>
      </c>
      <c r="L453" s="177">
        <v>270984</v>
      </c>
      <c r="M453" s="289">
        <v>9904</v>
      </c>
      <c r="N453" s="177">
        <v>281069.53196135629</v>
      </c>
    </row>
    <row r="454" spans="1:14" ht="13">
      <c r="A454" s="1"/>
      <c r="B454" s="2" t="s">
        <v>1712</v>
      </c>
      <c r="C454" s="290">
        <v>13547</v>
      </c>
      <c r="D454" s="177">
        <v>290261</v>
      </c>
      <c r="E454" s="289">
        <v>13775</v>
      </c>
      <c r="F454" s="177">
        <v>310437</v>
      </c>
      <c r="G454" s="289">
        <v>13904</v>
      </c>
      <c r="H454" s="177">
        <v>338691</v>
      </c>
      <c r="I454" s="289">
        <v>14037</v>
      </c>
      <c r="J454" s="177">
        <v>359370</v>
      </c>
      <c r="K454" s="289">
        <v>14212</v>
      </c>
      <c r="L454" s="177">
        <v>378353</v>
      </c>
      <c r="M454" s="289">
        <v>14371</v>
      </c>
      <c r="N454" s="177">
        <v>380534.51911762659</v>
      </c>
    </row>
    <row r="455" spans="1:14" ht="13">
      <c r="A455" s="1"/>
      <c r="B455" s="2" t="s">
        <v>1715</v>
      </c>
      <c r="C455" s="290">
        <v>124</v>
      </c>
      <c r="D455" s="177">
        <v>2613.6417322834645</v>
      </c>
      <c r="E455" s="289">
        <v>124</v>
      </c>
      <c r="F455" s="177">
        <v>2806.1415757051768</v>
      </c>
      <c r="G455" s="289">
        <v>124</v>
      </c>
      <c r="H455" s="177">
        <v>3026.4027347505612</v>
      </c>
      <c r="I455" s="289">
        <v>124</v>
      </c>
      <c r="J455" s="177">
        <v>3224.1045751633987</v>
      </c>
      <c r="K455" s="289">
        <v>124</v>
      </c>
      <c r="L455" s="177">
        <v>3219.2054879950106</v>
      </c>
      <c r="M455" s="289">
        <v>124</v>
      </c>
      <c r="N455" s="177">
        <v>3275.1807690729106</v>
      </c>
    </row>
    <row r="456" spans="1:14" ht="13">
      <c r="A456" s="1"/>
      <c r="B456" s="2"/>
      <c r="C456" s="290"/>
      <c r="D456" s="177"/>
      <c r="E456" s="289"/>
      <c r="F456" s="177"/>
      <c r="G456" s="289"/>
      <c r="H456" s="177"/>
      <c r="I456" s="289"/>
      <c r="J456" s="177"/>
      <c r="K456" s="289"/>
      <c r="L456" s="177"/>
      <c r="M456" s="289"/>
    </row>
    <row r="457" spans="1:14" ht="13">
      <c r="A457" s="1"/>
      <c r="B457" s="2" t="s">
        <v>1716</v>
      </c>
      <c r="C457" s="290">
        <v>43752</v>
      </c>
      <c r="D457" s="177">
        <v>1047148.9165001303</v>
      </c>
      <c r="E457" s="289">
        <v>44122</v>
      </c>
      <c r="F457" s="177">
        <v>1118454.1261950287</v>
      </c>
      <c r="G457" s="289">
        <v>44478</v>
      </c>
      <c r="H457" s="177">
        <v>1223170</v>
      </c>
      <c r="I457" s="289">
        <v>44922</v>
      </c>
      <c r="J457" s="177">
        <v>1293624</v>
      </c>
      <c r="K457" s="289">
        <v>45360</v>
      </c>
      <c r="L457" s="177">
        <v>1359854</v>
      </c>
      <c r="M457" s="289">
        <v>45976</v>
      </c>
      <c r="N457" s="177">
        <v>1371553.8550189207</v>
      </c>
    </row>
    <row r="458" spans="1:14" ht="13">
      <c r="A458" s="1"/>
      <c r="B458" s="2" t="s">
        <v>1717</v>
      </c>
      <c r="C458" s="290">
        <v>9144</v>
      </c>
      <c r="D458" s="177">
        <v>192735</v>
      </c>
      <c r="E458" s="289">
        <v>9253</v>
      </c>
      <c r="F458" s="177">
        <v>209397</v>
      </c>
      <c r="G458" s="289">
        <v>9361</v>
      </c>
      <c r="H458" s="177">
        <v>228469</v>
      </c>
      <c r="I458" s="289">
        <v>9486</v>
      </c>
      <c r="J458" s="177">
        <v>246644</v>
      </c>
      <c r="K458" s="289">
        <v>9621</v>
      </c>
      <c r="L458" s="177">
        <v>249774</v>
      </c>
      <c r="M458" s="289">
        <v>9730</v>
      </c>
      <c r="N458" s="177">
        <v>256996.03937967276</v>
      </c>
    </row>
    <row r="459" spans="1:14" ht="13">
      <c r="A459" s="1"/>
      <c r="B459" s="2" t="s">
        <v>1718</v>
      </c>
      <c r="C459" s="290">
        <v>-137</v>
      </c>
      <c r="D459" s="177">
        <v>-2887.6525590551182</v>
      </c>
      <c r="E459" s="289">
        <v>-137</v>
      </c>
      <c r="F459" s="177">
        <v>-3100.3338376742677</v>
      </c>
      <c r="G459" s="289">
        <v>-137</v>
      </c>
      <c r="H459" s="177">
        <v>-3343.686892426023</v>
      </c>
      <c r="I459" s="289">
        <v>-137</v>
      </c>
      <c r="J459" s="177">
        <v>-3562.1155386885939</v>
      </c>
      <c r="K459" s="289">
        <v>-137</v>
      </c>
      <c r="L459" s="177">
        <v>-3556.7028375428749</v>
      </c>
      <c r="M459" s="289">
        <v>-137</v>
      </c>
      <c r="N459" s="177">
        <v>-3618.5464948628123</v>
      </c>
    </row>
    <row r="460" spans="1:14" ht="13">
      <c r="A460" s="1"/>
      <c r="B460" s="2"/>
      <c r="C460" s="290"/>
      <c r="D460" s="177"/>
      <c r="E460" s="289"/>
      <c r="F460" s="177"/>
      <c r="G460" s="289"/>
      <c r="H460" s="177"/>
      <c r="I460" s="289"/>
      <c r="J460" s="177"/>
      <c r="K460" s="289"/>
      <c r="L460" s="177"/>
      <c r="M460" s="289"/>
    </row>
    <row r="461" spans="1:14" ht="13">
      <c r="A461" s="1"/>
      <c r="B461" s="2" t="s">
        <v>1719</v>
      </c>
      <c r="C461" s="290">
        <v>12609</v>
      </c>
      <c r="D461" s="177">
        <v>260907</v>
      </c>
      <c r="E461" s="289">
        <v>12599</v>
      </c>
      <c r="F461" s="177">
        <v>277956</v>
      </c>
      <c r="G461" s="289">
        <v>12717</v>
      </c>
      <c r="H461" s="177">
        <v>301197</v>
      </c>
      <c r="I461" s="289">
        <v>12757</v>
      </c>
      <c r="J461" s="177">
        <v>303583</v>
      </c>
      <c r="K461" s="289">
        <v>12664</v>
      </c>
      <c r="L461" s="177">
        <v>311118</v>
      </c>
      <c r="M461" s="289">
        <v>12682</v>
      </c>
      <c r="N461" s="177">
        <v>315711.62545075687</v>
      </c>
    </row>
    <row r="462" spans="1:14" ht="13">
      <c r="A462" s="1"/>
      <c r="B462" s="2" t="s">
        <v>1720</v>
      </c>
      <c r="C462" s="290">
        <v>448</v>
      </c>
      <c r="D462" s="177">
        <v>8940.1119075144506</v>
      </c>
      <c r="E462" s="289">
        <v>448</v>
      </c>
      <c r="F462" s="177">
        <v>9354.2936033133919</v>
      </c>
      <c r="G462" s="289">
        <v>448</v>
      </c>
      <c r="H462" s="177">
        <v>9964.3337943752886</v>
      </c>
      <c r="I462" s="289">
        <v>448</v>
      </c>
      <c r="J462" s="177">
        <v>10742.317452939809</v>
      </c>
      <c r="K462" s="289">
        <v>448</v>
      </c>
      <c r="L462" s="177">
        <v>10936.688231245698</v>
      </c>
      <c r="M462" s="289">
        <v>448</v>
      </c>
      <c r="N462" s="177">
        <v>10940.386033944133</v>
      </c>
    </row>
    <row r="463" spans="1:14" ht="13">
      <c r="A463" s="1"/>
      <c r="B463" s="2"/>
      <c r="C463" s="290"/>
      <c r="D463" s="177"/>
      <c r="E463" s="289"/>
      <c r="F463" s="177"/>
      <c r="G463" s="289"/>
      <c r="H463" s="177"/>
      <c r="I463" s="289"/>
      <c r="J463" s="177"/>
      <c r="K463" s="289"/>
      <c r="L463" s="177"/>
      <c r="M463" s="289"/>
    </row>
    <row r="464" spans="1:14" ht="13">
      <c r="A464" s="1"/>
      <c r="B464" s="2" t="s">
        <v>1721</v>
      </c>
      <c r="C464" s="290">
        <v>5834</v>
      </c>
      <c r="D464" s="177">
        <v>112609</v>
      </c>
      <c r="E464" s="289">
        <v>5977</v>
      </c>
      <c r="F464" s="177">
        <v>120811</v>
      </c>
      <c r="G464" s="289">
        <v>6101</v>
      </c>
      <c r="H464" s="177">
        <v>132504</v>
      </c>
      <c r="I464" s="289">
        <v>6262</v>
      </c>
      <c r="J464" s="177">
        <v>141296</v>
      </c>
      <c r="K464" s="289">
        <v>6460</v>
      </c>
      <c r="L464" s="177">
        <v>151699</v>
      </c>
      <c r="M464" s="289">
        <v>6630</v>
      </c>
      <c r="N464" s="177">
        <v>155363.20949472889</v>
      </c>
    </row>
    <row r="465" spans="1:14" ht="13">
      <c r="A465" s="1"/>
      <c r="B465" s="2" t="s">
        <v>1722</v>
      </c>
      <c r="C465" s="290">
        <v>4325</v>
      </c>
      <c r="D465" s="177">
        <v>86308</v>
      </c>
      <c r="E465" s="289">
        <v>4346</v>
      </c>
      <c r="F465" s="177">
        <v>90745</v>
      </c>
      <c r="G465" s="289">
        <v>4338</v>
      </c>
      <c r="H465" s="177">
        <v>96485</v>
      </c>
      <c r="I465" s="289">
        <v>4303</v>
      </c>
      <c r="J465" s="177">
        <v>103179</v>
      </c>
      <c r="K465" s="289">
        <v>4359</v>
      </c>
      <c r="L465" s="177">
        <v>106413</v>
      </c>
      <c r="M465" s="289">
        <v>4293</v>
      </c>
      <c r="N465" s="177">
        <v>104837.22599045126</v>
      </c>
    </row>
    <row r="466" spans="1:14" ht="13">
      <c r="A466" s="1"/>
      <c r="B466" s="2" t="s">
        <v>1720</v>
      </c>
      <c r="C466" s="290">
        <v>-448</v>
      </c>
      <c r="D466" s="177">
        <v>-8940.1119075144506</v>
      </c>
      <c r="E466" s="289">
        <v>-448</v>
      </c>
      <c r="F466" s="177">
        <v>-9354.2936033133919</v>
      </c>
      <c r="G466" s="289">
        <v>-448</v>
      </c>
      <c r="H466" s="177">
        <v>-9964.3337943752886</v>
      </c>
      <c r="I466" s="289">
        <v>-448</v>
      </c>
      <c r="J466" s="177">
        <v>-10742.317452939809</v>
      </c>
      <c r="K466" s="289">
        <v>-448</v>
      </c>
      <c r="L466" s="177">
        <v>-10936.688231245698</v>
      </c>
      <c r="M466" s="289">
        <v>-448</v>
      </c>
      <c r="N466" s="177">
        <v>-10940.386033944133</v>
      </c>
    </row>
    <row r="467" spans="1:14" ht="13">
      <c r="A467" s="1"/>
      <c r="B467" s="2"/>
      <c r="C467" s="290"/>
      <c r="D467" s="177"/>
      <c r="E467" s="289"/>
      <c r="F467" s="177"/>
      <c r="G467" s="289"/>
      <c r="H467" s="177"/>
      <c r="I467" s="289"/>
      <c r="J467" s="177"/>
      <c r="K467" s="289"/>
      <c r="L467" s="177"/>
      <c r="M467" s="289"/>
    </row>
    <row r="468" spans="1:14" ht="13">
      <c r="A468" s="1"/>
      <c r="B468" s="2" t="s">
        <v>1723</v>
      </c>
      <c r="C468" s="290">
        <v>85983</v>
      </c>
      <c r="D468" s="177">
        <v>2050436</v>
      </c>
      <c r="E468" s="289">
        <v>87446</v>
      </c>
      <c r="F468" s="177">
        <v>2163880</v>
      </c>
      <c r="G468" s="289">
        <v>88447</v>
      </c>
      <c r="H468" s="177">
        <v>2332419</v>
      </c>
      <c r="I468" s="289">
        <v>89268</v>
      </c>
      <c r="J468" s="177">
        <v>2385821</v>
      </c>
      <c r="K468" s="289">
        <v>91440</v>
      </c>
      <c r="L468" s="177">
        <v>2526244</v>
      </c>
      <c r="M468" s="289">
        <v>92282</v>
      </c>
      <c r="N468" s="177">
        <v>2576941.0793780163</v>
      </c>
    </row>
    <row r="469" spans="1:14" ht="13">
      <c r="A469" s="1"/>
      <c r="B469" s="2" t="s">
        <v>1724</v>
      </c>
      <c r="C469" s="290">
        <v>6303</v>
      </c>
      <c r="D469" s="177">
        <v>112742</v>
      </c>
      <c r="E469" s="289">
        <v>6354</v>
      </c>
      <c r="F469" s="177">
        <v>118509</v>
      </c>
      <c r="G469" s="289">
        <v>6419</v>
      </c>
      <c r="H469" s="177">
        <v>131403</v>
      </c>
      <c r="I469" s="289">
        <v>6568</v>
      </c>
      <c r="J469" s="177">
        <v>133870</v>
      </c>
      <c r="K469" s="289">
        <v>6656</v>
      </c>
      <c r="L469" s="177">
        <v>137623</v>
      </c>
      <c r="M469" s="289">
        <v>6706</v>
      </c>
      <c r="N469" s="177">
        <v>142792.43436553911</v>
      </c>
    </row>
    <row r="470" spans="1:14" ht="13">
      <c r="A470" s="1"/>
      <c r="B470" s="2" t="s">
        <v>1725</v>
      </c>
      <c r="C470" s="290">
        <v>11005</v>
      </c>
      <c r="D470" s="177">
        <v>241993</v>
      </c>
      <c r="E470" s="289">
        <v>11217</v>
      </c>
      <c r="F470" s="177">
        <v>258365</v>
      </c>
      <c r="G470" s="289">
        <v>11260</v>
      </c>
      <c r="H470" s="177">
        <v>281709</v>
      </c>
      <c r="I470" s="289">
        <v>11321</v>
      </c>
      <c r="J470" s="177">
        <v>282473</v>
      </c>
      <c r="K470" s="289">
        <v>11342</v>
      </c>
      <c r="L470" s="177">
        <v>304309</v>
      </c>
      <c r="M470" s="289">
        <v>11403</v>
      </c>
      <c r="N470" s="177">
        <v>302869.44466482877</v>
      </c>
    </row>
    <row r="471" spans="1:14" ht="13">
      <c r="A471" s="1"/>
      <c r="B471" s="2"/>
      <c r="C471" s="290"/>
      <c r="D471" s="177"/>
      <c r="E471" s="289"/>
      <c r="F471" s="177"/>
      <c r="G471" s="289"/>
      <c r="H471" s="177"/>
      <c r="I471" s="289"/>
      <c r="J471" s="177"/>
      <c r="K471" s="289"/>
      <c r="L471" s="177"/>
      <c r="M471" s="289"/>
    </row>
    <row r="472" spans="1:14" ht="13">
      <c r="A472" s="1"/>
      <c r="B472" s="2" t="s">
        <v>1726</v>
      </c>
      <c r="C472" s="290">
        <v>15349</v>
      </c>
      <c r="D472" s="177">
        <v>313328</v>
      </c>
      <c r="E472" s="289">
        <v>15437</v>
      </c>
      <c r="F472" s="177">
        <v>334306</v>
      </c>
      <c r="G472" s="289">
        <v>15529</v>
      </c>
      <c r="H472" s="177">
        <v>365513</v>
      </c>
      <c r="I472" s="289">
        <v>15600</v>
      </c>
      <c r="J472" s="177">
        <v>384424</v>
      </c>
      <c r="K472" s="289">
        <v>15659</v>
      </c>
      <c r="L472" s="177">
        <v>398288</v>
      </c>
      <c r="M472" s="289">
        <v>15659</v>
      </c>
      <c r="N472" s="177">
        <v>398620.45913992048</v>
      </c>
    </row>
    <row r="473" spans="1:14" ht="13">
      <c r="A473" s="1"/>
      <c r="B473" s="2" t="s">
        <v>1727</v>
      </c>
      <c r="C473" s="290">
        <v>2290</v>
      </c>
      <c r="D473" s="177">
        <v>43815</v>
      </c>
      <c r="E473" s="289">
        <v>2294</v>
      </c>
      <c r="F473" s="177">
        <v>45348</v>
      </c>
      <c r="G473" s="289">
        <v>2290</v>
      </c>
      <c r="H473" s="177">
        <v>49083</v>
      </c>
      <c r="I473" s="289">
        <v>2309</v>
      </c>
      <c r="J473" s="177">
        <v>51262</v>
      </c>
      <c r="K473" s="289">
        <v>2308</v>
      </c>
      <c r="L473" s="177">
        <v>54166</v>
      </c>
      <c r="M473" s="289">
        <v>2297</v>
      </c>
      <c r="N473" s="177">
        <v>53153.680242880968</v>
      </c>
    </row>
    <row r="474" spans="1:14" ht="13">
      <c r="A474" s="1"/>
      <c r="B474" s="2" t="s">
        <v>1728</v>
      </c>
      <c r="C474" s="290">
        <v>4853</v>
      </c>
      <c r="D474" s="177">
        <v>89908</v>
      </c>
      <c r="E474" s="289">
        <v>4880</v>
      </c>
      <c r="F474" s="177">
        <v>101144</v>
      </c>
      <c r="G474" s="289">
        <v>4943</v>
      </c>
      <c r="H474" s="177">
        <v>111945</v>
      </c>
      <c r="I474" s="289">
        <v>4950</v>
      </c>
      <c r="J474" s="177">
        <v>116255</v>
      </c>
      <c r="K474" s="289">
        <v>4938</v>
      </c>
      <c r="L474" s="177">
        <v>113860</v>
      </c>
      <c r="M474" s="289">
        <v>4953</v>
      </c>
      <c r="N474" s="177">
        <v>118583.86552178624</v>
      </c>
    </row>
    <row r="475" spans="1:14" ht="13">
      <c r="A475" s="1"/>
      <c r="B475" s="2"/>
      <c r="C475" s="290"/>
      <c r="D475" s="177"/>
      <c r="E475" s="289"/>
      <c r="F475" s="177"/>
      <c r="G475" s="289"/>
      <c r="H475" s="177"/>
      <c r="I475" s="289"/>
      <c r="J475" s="177"/>
      <c r="K475" s="289"/>
      <c r="L475" s="177"/>
      <c r="M475" s="289"/>
    </row>
    <row r="476" spans="1:14" ht="13">
      <c r="A476" s="1"/>
      <c r="B476" s="2" t="s">
        <v>1729</v>
      </c>
      <c r="C476" s="290">
        <v>1743</v>
      </c>
      <c r="D476" s="177">
        <v>33183</v>
      </c>
      <c r="E476" s="289">
        <v>1750</v>
      </c>
      <c r="F476" s="177">
        <v>34621</v>
      </c>
      <c r="G476" s="289">
        <v>1750</v>
      </c>
      <c r="H476" s="177">
        <v>36874</v>
      </c>
      <c r="I476" s="289">
        <v>1765</v>
      </c>
      <c r="J476" s="177">
        <v>38548</v>
      </c>
      <c r="K476" s="289">
        <v>1786</v>
      </c>
      <c r="L476" s="177">
        <v>40485</v>
      </c>
      <c r="M476" s="289">
        <v>1780</v>
      </c>
      <c r="N476" s="177">
        <v>40345.416221826483</v>
      </c>
    </row>
    <row r="477" spans="1:14" ht="13">
      <c r="A477" s="1"/>
      <c r="B477" s="2" t="s">
        <v>1730</v>
      </c>
      <c r="C477" s="290">
        <v>8102</v>
      </c>
      <c r="D477" s="177">
        <v>157009</v>
      </c>
      <c r="E477" s="289">
        <v>8335</v>
      </c>
      <c r="F477" s="177">
        <v>164864</v>
      </c>
      <c r="G477" s="289">
        <v>8497</v>
      </c>
      <c r="H477" s="177">
        <v>180492</v>
      </c>
      <c r="I477" s="289">
        <v>8588</v>
      </c>
      <c r="J477" s="177">
        <v>190773</v>
      </c>
      <c r="K477" s="289">
        <v>8571</v>
      </c>
      <c r="L477" s="177">
        <v>195683</v>
      </c>
      <c r="M477" s="289">
        <v>8609</v>
      </c>
      <c r="N477" s="177">
        <v>197347.89872087637</v>
      </c>
    </row>
    <row r="478" spans="1:14" ht="13">
      <c r="A478" s="1"/>
      <c r="B478" s="2"/>
      <c r="C478" s="290"/>
      <c r="D478" s="177"/>
      <c r="E478" s="289"/>
      <c r="F478" s="177"/>
      <c r="G478" s="289"/>
      <c r="H478" s="177"/>
      <c r="I478" s="289"/>
      <c r="J478" s="177"/>
      <c r="K478" s="289"/>
      <c r="L478" s="177"/>
      <c r="M478" s="289"/>
    </row>
    <row r="479" spans="1:14" ht="13">
      <c r="A479" s="1"/>
      <c r="B479" s="2" t="s">
        <v>1731</v>
      </c>
      <c r="C479" s="290">
        <v>11779</v>
      </c>
      <c r="D479" s="177">
        <v>288423</v>
      </c>
      <c r="E479" s="289">
        <v>11862</v>
      </c>
      <c r="F479" s="177">
        <v>300441</v>
      </c>
      <c r="G479" s="289">
        <v>11923</v>
      </c>
      <c r="H479" s="177">
        <v>325784</v>
      </c>
      <c r="I479" s="289">
        <v>11999</v>
      </c>
      <c r="J479" s="177">
        <v>325879</v>
      </c>
      <c r="K479" s="289">
        <v>11988</v>
      </c>
      <c r="L479" s="177">
        <v>333690</v>
      </c>
      <c r="M479" s="289">
        <v>11852</v>
      </c>
      <c r="N479" s="177">
        <v>337578.0546854813</v>
      </c>
    </row>
    <row r="480" spans="1:14" ht="13">
      <c r="A480" s="1"/>
      <c r="B480" s="2" t="s">
        <v>1732</v>
      </c>
      <c r="C480" s="290">
        <v>6091</v>
      </c>
      <c r="D480" s="177">
        <v>139692</v>
      </c>
      <c r="E480" s="289">
        <v>6082</v>
      </c>
      <c r="F480" s="177">
        <v>143596</v>
      </c>
      <c r="G480" s="289">
        <v>6046</v>
      </c>
      <c r="H480" s="177">
        <v>155147</v>
      </c>
      <c r="I480" s="289">
        <v>6031</v>
      </c>
      <c r="J480" s="177">
        <v>161472</v>
      </c>
      <c r="K480" s="289">
        <v>6001</v>
      </c>
      <c r="L480" s="177">
        <v>169038</v>
      </c>
      <c r="M480" s="289">
        <v>5970</v>
      </c>
      <c r="N480" s="177">
        <v>166372.49493297614</v>
      </c>
    </row>
    <row r="481" spans="1:14" ht="13">
      <c r="A481" s="1"/>
      <c r="B481" s="2" t="s">
        <v>1733</v>
      </c>
      <c r="C481" s="290">
        <v>-515</v>
      </c>
      <c r="D481" s="177">
        <v>-11811.095058282712</v>
      </c>
      <c r="E481" s="289">
        <v>-515</v>
      </c>
      <c r="F481" s="177">
        <v>-12159.148306478131</v>
      </c>
      <c r="G481" s="289">
        <v>-515</v>
      </c>
      <c r="H481" s="177">
        <v>-13215.465597088985</v>
      </c>
      <c r="I481" s="289">
        <v>-515</v>
      </c>
      <c r="J481" s="177">
        <v>-13788.439728071629</v>
      </c>
      <c r="K481" s="289">
        <v>-515</v>
      </c>
      <c r="L481" s="177">
        <v>-14506.677220463256</v>
      </c>
      <c r="M481" s="289">
        <v>-515</v>
      </c>
      <c r="N481" s="177">
        <v>-14352.066145809498</v>
      </c>
    </row>
    <row r="482" spans="1:14" ht="13">
      <c r="A482" s="1"/>
      <c r="B482" s="2"/>
      <c r="C482" s="290"/>
      <c r="D482" s="177"/>
      <c r="E482" s="289"/>
      <c r="F482" s="177"/>
      <c r="G482" s="289"/>
      <c r="H482" s="177"/>
      <c r="I482" s="289"/>
      <c r="J482" s="177"/>
      <c r="K482" s="289"/>
      <c r="L482" s="177"/>
      <c r="M482" s="289"/>
    </row>
    <row r="483" spans="1:14" ht="13">
      <c r="A483" s="1"/>
      <c r="B483" s="2" t="s">
        <v>1734</v>
      </c>
      <c r="C483" s="290">
        <v>1094</v>
      </c>
      <c r="D483" s="177">
        <v>24740</v>
      </c>
      <c r="E483" s="289">
        <v>1100</v>
      </c>
      <c r="F483" s="177">
        <v>26495</v>
      </c>
      <c r="G483" s="289">
        <v>1104</v>
      </c>
      <c r="H483" s="177">
        <v>25475</v>
      </c>
      <c r="I483" s="289">
        <v>1108</v>
      </c>
      <c r="J483" s="177">
        <v>28232</v>
      </c>
      <c r="K483" s="289">
        <v>1096</v>
      </c>
      <c r="L483" s="177">
        <v>29975</v>
      </c>
      <c r="M483" s="289">
        <v>1087</v>
      </c>
      <c r="N483" s="177">
        <v>28427.290891655477</v>
      </c>
    </row>
    <row r="484" spans="1:14" ht="13">
      <c r="A484" s="1"/>
      <c r="B484" s="2" t="s">
        <v>1735</v>
      </c>
      <c r="C484" s="290">
        <v>7006</v>
      </c>
      <c r="D484" s="177">
        <v>190264</v>
      </c>
      <c r="E484" s="289">
        <v>6952</v>
      </c>
      <c r="F484" s="177">
        <v>203101</v>
      </c>
      <c r="G484" s="289">
        <v>6930</v>
      </c>
      <c r="H484" s="177">
        <v>209148</v>
      </c>
      <c r="I484" s="289">
        <v>7025</v>
      </c>
      <c r="J484" s="177">
        <v>217927</v>
      </c>
      <c r="K484" s="289">
        <v>6835</v>
      </c>
      <c r="L484" s="177">
        <v>218966</v>
      </c>
      <c r="M484" s="289">
        <v>6745</v>
      </c>
      <c r="N484" s="177">
        <v>217140.43257757073</v>
      </c>
    </row>
    <row r="485" spans="1:14" ht="13">
      <c r="A485" s="1"/>
      <c r="B485" s="2" t="s">
        <v>1736</v>
      </c>
      <c r="C485" s="290">
        <v>3369</v>
      </c>
      <c r="D485" s="177">
        <v>77431</v>
      </c>
      <c r="E485" s="289">
        <v>3411</v>
      </c>
      <c r="F485" s="177">
        <v>78866</v>
      </c>
      <c r="G485" s="289">
        <v>3401</v>
      </c>
      <c r="H485" s="177">
        <v>81214</v>
      </c>
      <c r="I485" s="289">
        <v>3377</v>
      </c>
      <c r="J485" s="177">
        <v>81965</v>
      </c>
      <c r="K485" s="289">
        <v>3363</v>
      </c>
      <c r="L485" s="177">
        <v>86913</v>
      </c>
      <c r="M485" s="289">
        <v>3320</v>
      </c>
      <c r="N485" s="177">
        <v>84859.891426996808</v>
      </c>
    </row>
    <row r="486" spans="1:14" ht="13">
      <c r="A486" s="1"/>
      <c r="B486" s="2" t="s">
        <v>1737</v>
      </c>
      <c r="C486" s="290">
        <v>-68</v>
      </c>
      <c r="D486" s="177">
        <v>-1562.869694271297</v>
      </c>
      <c r="E486" s="289">
        <v>-68</v>
      </c>
      <c r="F486" s="177">
        <v>-1572.2333626502491</v>
      </c>
      <c r="G486" s="289">
        <v>-68</v>
      </c>
      <c r="H486" s="177">
        <v>-1623.8024110555718</v>
      </c>
      <c r="I486" s="289">
        <v>-68</v>
      </c>
      <c r="J486" s="177">
        <v>-1650.4649096831508</v>
      </c>
      <c r="K486" s="289">
        <v>-68</v>
      </c>
      <c r="L486" s="177">
        <v>-1757.3844781445139</v>
      </c>
      <c r="M486" s="289">
        <v>-68</v>
      </c>
      <c r="N486" s="177">
        <v>-1738.094161757766</v>
      </c>
    </row>
    <row r="487" spans="1:14" ht="13">
      <c r="A487" s="1"/>
      <c r="B487" s="2"/>
      <c r="C487" s="290"/>
      <c r="D487" s="177"/>
      <c r="E487" s="289"/>
      <c r="F487" s="177"/>
      <c r="G487" s="289"/>
      <c r="H487" s="177"/>
      <c r="I487" s="289"/>
      <c r="J487" s="177"/>
      <c r="K487" s="289"/>
      <c r="L487" s="177"/>
      <c r="M487" s="289"/>
    </row>
    <row r="488" spans="1:14" ht="13">
      <c r="A488" s="1"/>
      <c r="B488" s="2" t="s">
        <v>36</v>
      </c>
      <c r="C488" s="290">
        <v>911</v>
      </c>
      <c r="D488" s="177">
        <v>18684</v>
      </c>
      <c r="E488" s="289">
        <v>921</v>
      </c>
      <c r="F488" s="177">
        <v>20189</v>
      </c>
      <c r="G488" s="289">
        <v>920</v>
      </c>
      <c r="H488" s="177">
        <v>20978</v>
      </c>
      <c r="I488" s="289">
        <v>933</v>
      </c>
      <c r="J488" s="177">
        <v>23163</v>
      </c>
      <c r="K488" s="289">
        <v>931</v>
      </c>
      <c r="L488" s="177">
        <v>22248</v>
      </c>
      <c r="M488" s="289">
        <v>937</v>
      </c>
      <c r="N488" s="177">
        <v>23182.576645485304</v>
      </c>
    </row>
    <row r="489" spans="1:14" ht="13">
      <c r="A489" s="1"/>
      <c r="B489" s="2" t="s">
        <v>37</v>
      </c>
      <c r="C489" s="290">
        <v>14168</v>
      </c>
      <c r="D489" s="177">
        <v>327718</v>
      </c>
      <c r="E489" s="289">
        <v>14347</v>
      </c>
      <c r="F489" s="177">
        <v>338868</v>
      </c>
      <c r="G489" s="289">
        <v>14425</v>
      </c>
      <c r="H489" s="177">
        <v>363063</v>
      </c>
      <c r="I489" s="289">
        <v>14514</v>
      </c>
      <c r="J489" s="177">
        <v>381225</v>
      </c>
      <c r="K489" s="289">
        <v>14577</v>
      </c>
      <c r="L489" s="177">
        <v>403939</v>
      </c>
      <c r="M489" s="289">
        <v>14606</v>
      </c>
      <c r="N489" s="177">
        <v>399134.26256779529</v>
      </c>
    </row>
    <row r="490" spans="1:14" ht="13">
      <c r="A490" s="1"/>
      <c r="B490" s="2" t="s">
        <v>1737</v>
      </c>
      <c r="C490" s="290">
        <v>68</v>
      </c>
      <c r="D490" s="177">
        <v>1562.869694271297</v>
      </c>
      <c r="E490" s="289">
        <v>68</v>
      </c>
      <c r="F490" s="177">
        <v>1572.2333626502491</v>
      </c>
      <c r="G490" s="289">
        <v>68</v>
      </c>
      <c r="H490" s="177">
        <v>1623.8024110555718</v>
      </c>
      <c r="I490" s="289">
        <v>68</v>
      </c>
      <c r="J490" s="177">
        <v>1650.4649096831508</v>
      </c>
      <c r="K490" s="289">
        <v>68</v>
      </c>
      <c r="L490" s="177">
        <v>1757.3844781445139</v>
      </c>
      <c r="M490" s="289">
        <v>68</v>
      </c>
      <c r="N490" s="177">
        <v>1738.094161757766</v>
      </c>
    </row>
    <row r="491" spans="1:14" ht="13">
      <c r="A491" s="1"/>
      <c r="B491" s="2"/>
      <c r="C491" s="290"/>
      <c r="D491" s="177"/>
      <c r="E491" s="289"/>
      <c r="F491" s="177"/>
      <c r="G491" s="289"/>
      <c r="H491" s="177"/>
      <c r="I491" s="289"/>
      <c r="J491" s="177"/>
      <c r="K491" s="289"/>
      <c r="L491" s="177"/>
      <c r="M491" s="289"/>
    </row>
    <row r="492" spans="1:14" ht="13">
      <c r="A492" s="1"/>
      <c r="B492" s="2" t="s">
        <v>1738</v>
      </c>
      <c r="C492" s="290">
        <v>3829</v>
      </c>
      <c r="D492" s="177">
        <v>89922</v>
      </c>
      <c r="E492" s="289">
        <v>3838</v>
      </c>
      <c r="F492" s="177">
        <v>95486</v>
      </c>
      <c r="G492" s="289">
        <v>3876</v>
      </c>
      <c r="H492" s="177">
        <v>102650</v>
      </c>
      <c r="I492" s="289">
        <v>3895</v>
      </c>
      <c r="J492" s="177">
        <v>111546</v>
      </c>
      <c r="K492" s="289">
        <v>3920</v>
      </c>
      <c r="L492" s="177">
        <v>112231</v>
      </c>
      <c r="M492" s="289">
        <v>3861</v>
      </c>
      <c r="N492" s="177">
        <v>111790.20298529031</v>
      </c>
    </row>
    <row r="493" spans="1:14" ht="13">
      <c r="A493" s="1"/>
      <c r="B493" s="2" t="s">
        <v>1739</v>
      </c>
      <c r="C493" s="290">
        <v>18678</v>
      </c>
      <c r="D493" s="177">
        <v>444878</v>
      </c>
      <c r="E493" s="289">
        <v>19097</v>
      </c>
      <c r="F493" s="177">
        <v>473653</v>
      </c>
      <c r="G493" s="289">
        <v>19742</v>
      </c>
      <c r="H493" s="177">
        <v>523893</v>
      </c>
      <c r="I493" s="289">
        <v>20152</v>
      </c>
      <c r="J493" s="177">
        <v>545538</v>
      </c>
      <c r="K493" s="289">
        <v>20573</v>
      </c>
      <c r="L493" s="177">
        <v>565744</v>
      </c>
      <c r="M493" s="289">
        <v>20804</v>
      </c>
      <c r="N493" s="177">
        <v>583765.61690858169</v>
      </c>
    </row>
    <row r="494" spans="1:14" ht="13">
      <c r="A494" s="1"/>
      <c r="B494" s="2"/>
      <c r="C494" s="290"/>
      <c r="D494" s="177"/>
      <c r="E494" s="289"/>
      <c r="F494" s="177"/>
      <c r="G494" s="289"/>
      <c r="H494" s="177"/>
      <c r="I494" s="289"/>
      <c r="J494" s="177"/>
      <c r="K494" s="289"/>
      <c r="L494" s="177"/>
      <c r="M494" s="289"/>
    </row>
    <row r="495" spans="1:14" ht="13">
      <c r="A495" s="1"/>
      <c r="B495" s="2" t="s">
        <v>1740</v>
      </c>
      <c r="C495" s="290">
        <v>6635</v>
      </c>
      <c r="D495" s="177">
        <v>151086</v>
      </c>
      <c r="E495" s="289">
        <v>6752</v>
      </c>
      <c r="F495" s="177">
        <v>156703</v>
      </c>
      <c r="G495" s="289">
        <v>6975</v>
      </c>
      <c r="H495" s="177">
        <v>168072</v>
      </c>
      <c r="I495" s="289">
        <v>7058</v>
      </c>
      <c r="J495" s="177">
        <v>172226</v>
      </c>
      <c r="K495" s="289">
        <v>7085</v>
      </c>
      <c r="L495" s="177">
        <v>181153</v>
      </c>
      <c r="M495" s="289">
        <v>7062</v>
      </c>
      <c r="N495" s="177">
        <v>180913.2978723858</v>
      </c>
    </row>
    <row r="496" spans="1:14" ht="13">
      <c r="A496" s="1"/>
      <c r="B496" s="2" t="s">
        <v>1741</v>
      </c>
      <c r="C496" s="290">
        <v>23852</v>
      </c>
      <c r="D496" s="177">
        <v>612157</v>
      </c>
      <c r="E496" s="289">
        <v>24427</v>
      </c>
      <c r="F496" s="177">
        <v>637454</v>
      </c>
      <c r="G496" s="289">
        <v>24870</v>
      </c>
      <c r="H496" s="177">
        <v>684024</v>
      </c>
      <c r="I496" s="289">
        <v>25204</v>
      </c>
      <c r="J496" s="177">
        <v>705797</v>
      </c>
      <c r="K496" s="289">
        <v>25725</v>
      </c>
      <c r="L496" s="177">
        <v>743530</v>
      </c>
      <c r="M496" s="289">
        <v>26166</v>
      </c>
      <c r="N496" s="177">
        <v>764009.79662682756</v>
      </c>
    </row>
    <row r="497" spans="1:14" ht="13">
      <c r="A497" s="1"/>
      <c r="B497" s="2" t="s">
        <v>1742</v>
      </c>
      <c r="C497" s="290">
        <v>4704</v>
      </c>
      <c r="D497" s="177">
        <v>106106</v>
      </c>
      <c r="E497" s="289">
        <v>4733</v>
      </c>
      <c r="F497" s="177">
        <v>106768</v>
      </c>
      <c r="G497" s="289">
        <v>4852</v>
      </c>
      <c r="H497" s="177">
        <v>116933</v>
      </c>
      <c r="I497" s="289">
        <v>4913</v>
      </c>
      <c r="J497" s="177">
        <v>115041</v>
      </c>
      <c r="K497" s="289">
        <v>4877</v>
      </c>
      <c r="L497" s="177">
        <v>116750</v>
      </c>
      <c r="M497" s="289">
        <v>4889</v>
      </c>
      <c r="N497" s="177">
        <v>120918.48812555616</v>
      </c>
    </row>
    <row r="498" spans="1:14" ht="13">
      <c r="A498" s="1"/>
      <c r="B498" s="2"/>
      <c r="C498" s="290"/>
      <c r="D498" s="177"/>
      <c r="E498" s="289"/>
      <c r="F498" s="177"/>
      <c r="G498" s="289"/>
      <c r="H498" s="177"/>
      <c r="I498" s="289"/>
      <c r="J498" s="177"/>
      <c r="K498" s="289"/>
      <c r="L498" s="177"/>
      <c r="M498" s="289"/>
    </row>
    <row r="499" spans="1:14" ht="13">
      <c r="A499" s="1"/>
      <c r="B499" s="2" t="s">
        <v>1744</v>
      </c>
      <c r="C499" s="290">
        <v>7544</v>
      </c>
      <c r="D499" s="177">
        <v>160894</v>
      </c>
      <c r="E499" s="289">
        <v>7736</v>
      </c>
      <c r="F499" s="177">
        <v>173698</v>
      </c>
      <c r="G499" s="289">
        <v>7812</v>
      </c>
      <c r="H499" s="177">
        <v>185566</v>
      </c>
      <c r="I499" s="289">
        <v>8021</v>
      </c>
      <c r="J499" s="177">
        <v>193046</v>
      </c>
      <c r="K499" s="289">
        <v>8079</v>
      </c>
      <c r="L499" s="177">
        <v>207938</v>
      </c>
      <c r="M499" s="289">
        <v>8187</v>
      </c>
      <c r="N499" s="177">
        <v>208250.8676638811</v>
      </c>
    </row>
    <row r="500" spans="1:14" ht="13">
      <c r="A500" s="1"/>
      <c r="B500" s="2" t="s">
        <v>1745</v>
      </c>
      <c r="C500" s="290">
        <v>5039</v>
      </c>
      <c r="D500" s="177">
        <v>110958</v>
      </c>
      <c r="E500" s="289">
        <v>5014</v>
      </c>
      <c r="F500" s="177">
        <v>111389</v>
      </c>
      <c r="G500" s="289">
        <v>5077</v>
      </c>
      <c r="H500" s="177">
        <v>115873</v>
      </c>
      <c r="I500" s="289">
        <v>5128</v>
      </c>
      <c r="J500" s="177">
        <v>119973</v>
      </c>
      <c r="K500" s="289">
        <v>5129</v>
      </c>
      <c r="L500" s="177">
        <v>116817</v>
      </c>
      <c r="M500" s="289">
        <v>5091</v>
      </c>
      <c r="N500" s="177">
        <v>121568.75763646327</v>
      </c>
    </row>
    <row r="501" spans="1:14" ht="13">
      <c r="A501" s="1"/>
      <c r="B501" s="2" t="s">
        <v>1743</v>
      </c>
      <c r="C501" s="290">
        <v>15069</v>
      </c>
      <c r="D501" s="177">
        <v>370954</v>
      </c>
      <c r="E501" s="289">
        <v>15402</v>
      </c>
      <c r="F501" s="177">
        <v>374667</v>
      </c>
      <c r="G501" s="289">
        <v>15607</v>
      </c>
      <c r="H501" s="177">
        <v>396793</v>
      </c>
      <c r="I501" s="289">
        <v>15731</v>
      </c>
      <c r="J501" s="177">
        <v>396271</v>
      </c>
      <c r="K501" s="289">
        <v>15789</v>
      </c>
      <c r="L501" s="177">
        <v>419158</v>
      </c>
      <c r="M501" s="289">
        <v>15812</v>
      </c>
      <c r="N501" s="177">
        <v>422074.30330315762</v>
      </c>
    </row>
    <row r="502" spans="1:14" ht="13">
      <c r="A502" s="1"/>
      <c r="B502" s="2"/>
      <c r="C502" s="290"/>
      <c r="D502" s="177"/>
      <c r="E502" s="289"/>
      <c r="F502" s="177"/>
      <c r="G502" s="289"/>
      <c r="H502" s="177"/>
      <c r="I502" s="289"/>
      <c r="J502" s="177"/>
      <c r="K502" s="289"/>
      <c r="L502" s="177"/>
      <c r="M502" s="289"/>
    </row>
    <row r="503" spans="1:14" ht="13">
      <c r="A503" s="1"/>
      <c r="B503" s="2" t="s">
        <v>1746</v>
      </c>
      <c r="C503" s="290">
        <v>4183</v>
      </c>
      <c r="D503" s="177">
        <v>102203</v>
      </c>
      <c r="E503" s="289">
        <v>4169</v>
      </c>
      <c r="F503" s="177">
        <v>106367</v>
      </c>
      <c r="G503" s="289">
        <v>4161</v>
      </c>
      <c r="H503" s="177">
        <v>110066</v>
      </c>
      <c r="I503" s="289">
        <v>4190</v>
      </c>
      <c r="J503" s="177">
        <v>113409</v>
      </c>
      <c r="K503" s="289">
        <v>4154</v>
      </c>
      <c r="L503" s="177">
        <v>123136</v>
      </c>
      <c r="M503" s="289">
        <v>4091</v>
      </c>
      <c r="N503" s="177">
        <v>117353.25266505613</v>
      </c>
    </row>
    <row r="504" spans="1:14" ht="13">
      <c r="A504" s="1"/>
      <c r="B504" s="2" t="s">
        <v>1747</v>
      </c>
      <c r="C504" s="290">
        <v>96</v>
      </c>
      <c r="D504" s="177">
        <v>2064.1470137825422</v>
      </c>
      <c r="E504" s="289">
        <v>96</v>
      </c>
      <c r="F504" s="177">
        <v>2149.1779141104294</v>
      </c>
      <c r="G504" s="289">
        <v>96</v>
      </c>
      <c r="H504" s="177">
        <v>2304.4451313755794</v>
      </c>
      <c r="I504" s="289">
        <v>96</v>
      </c>
      <c r="J504" s="177">
        <v>2370.9316770186338</v>
      </c>
      <c r="K504" s="289">
        <v>96</v>
      </c>
      <c r="L504" s="177">
        <v>2570.9286846275754</v>
      </c>
      <c r="M504" s="289">
        <v>96</v>
      </c>
      <c r="N504" s="177">
        <v>2498.2567501878048</v>
      </c>
    </row>
    <row r="505" spans="1:14" ht="13">
      <c r="A505" s="1"/>
      <c r="B505" s="2"/>
      <c r="C505" s="290"/>
      <c r="D505" s="177"/>
      <c r="E505" s="289"/>
      <c r="F505" s="177"/>
      <c r="G505" s="289"/>
      <c r="H505" s="177"/>
      <c r="I505" s="289"/>
      <c r="J505" s="177"/>
      <c r="K505" s="289"/>
      <c r="L505" s="177"/>
      <c r="M505" s="289"/>
    </row>
    <row r="506" spans="1:14" ht="13">
      <c r="A506" s="1"/>
      <c r="B506" s="2" t="s">
        <v>1748</v>
      </c>
      <c r="C506" s="290">
        <v>1306</v>
      </c>
      <c r="D506" s="177">
        <v>28081</v>
      </c>
      <c r="E506" s="289">
        <v>1304</v>
      </c>
      <c r="F506" s="177">
        <v>29193</v>
      </c>
      <c r="G506" s="289">
        <v>1294</v>
      </c>
      <c r="H506" s="177">
        <v>31062</v>
      </c>
      <c r="I506" s="289">
        <v>1288</v>
      </c>
      <c r="J506" s="177">
        <v>31810</v>
      </c>
      <c r="K506" s="289">
        <v>1262</v>
      </c>
      <c r="L506" s="177">
        <v>33797</v>
      </c>
      <c r="M506" s="289">
        <v>1279</v>
      </c>
      <c r="N506" s="177">
        <v>33284.066494689607</v>
      </c>
    </row>
    <row r="507" spans="1:14" ht="13">
      <c r="A507" s="1"/>
      <c r="B507" s="2" t="s">
        <v>1749</v>
      </c>
      <c r="C507" s="290">
        <v>2268</v>
      </c>
      <c r="D507" s="177">
        <v>54210</v>
      </c>
      <c r="E507" s="289">
        <v>2276</v>
      </c>
      <c r="F507" s="177">
        <v>55791</v>
      </c>
      <c r="G507" s="289">
        <v>2298</v>
      </c>
      <c r="H507" s="177">
        <v>61486</v>
      </c>
      <c r="I507" s="289">
        <v>2332</v>
      </c>
      <c r="J507" s="177">
        <v>65897</v>
      </c>
      <c r="K507" s="289">
        <v>2345</v>
      </c>
      <c r="L507" s="177">
        <v>72179</v>
      </c>
      <c r="M507" s="289">
        <v>2331</v>
      </c>
      <c r="N507" s="177">
        <v>69108.409284249516</v>
      </c>
    </row>
    <row r="508" spans="1:14" ht="13">
      <c r="A508" s="1"/>
      <c r="B508" s="2" t="s">
        <v>1750</v>
      </c>
      <c r="C508" s="290">
        <v>7623</v>
      </c>
      <c r="D508" s="177">
        <v>165511</v>
      </c>
      <c r="E508" s="289">
        <v>7677</v>
      </c>
      <c r="F508" s="177">
        <v>173721</v>
      </c>
      <c r="G508" s="289">
        <v>7839</v>
      </c>
      <c r="H508" s="177">
        <v>198568</v>
      </c>
      <c r="I508" s="289">
        <v>7941</v>
      </c>
      <c r="J508" s="177">
        <v>206275</v>
      </c>
      <c r="K508" s="289">
        <v>8059</v>
      </c>
      <c r="L508" s="177">
        <v>218690</v>
      </c>
      <c r="M508" s="289">
        <v>8191</v>
      </c>
      <c r="N508" s="177">
        <v>221992.12410294937</v>
      </c>
    </row>
    <row r="509" spans="1:14" ht="13">
      <c r="A509" s="1"/>
      <c r="B509" s="2" t="s">
        <v>1747</v>
      </c>
      <c r="C509" s="290">
        <v>-96</v>
      </c>
      <c r="D509" s="177">
        <v>-2064.1470137825422</v>
      </c>
      <c r="E509" s="289">
        <v>-96</v>
      </c>
      <c r="F509" s="177">
        <v>-2149.1779141104294</v>
      </c>
      <c r="G509" s="289">
        <v>-96</v>
      </c>
      <c r="H509" s="177">
        <v>-2304.4451313755794</v>
      </c>
      <c r="I509" s="289">
        <v>-96</v>
      </c>
      <c r="J509" s="177">
        <v>-2370.9316770186338</v>
      </c>
      <c r="K509" s="289">
        <v>-96</v>
      </c>
      <c r="L509" s="177">
        <v>-2570.9286846275754</v>
      </c>
      <c r="M509" s="289">
        <v>-96</v>
      </c>
      <c r="N509" s="177">
        <v>-2498.2567501878048</v>
      </c>
    </row>
    <row r="510" spans="1:14" ht="13">
      <c r="A510" s="1"/>
      <c r="B510" s="2"/>
      <c r="C510" s="290"/>
      <c r="D510" s="177"/>
      <c r="E510" s="289"/>
      <c r="F510" s="177"/>
      <c r="G510" s="289"/>
      <c r="H510" s="177"/>
      <c r="I510" s="289"/>
      <c r="J510" s="177"/>
      <c r="K510" s="289"/>
      <c r="L510" s="177"/>
      <c r="M510" s="289"/>
    </row>
    <row r="511" spans="1:14" ht="13">
      <c r="A511" s="1"/>
      <c r="B511" s="2" t="s">
        <v>1751</v>
      </c>
      <c r="C511" s="290">
        <v>2928</v>
      </c>
      <c r="D511" s="177">
        <v>56494</v>
      </c>
      <c r="E511" s="289">
        <v>2960</v>
      </c>
      <c r="F511" s="177">
        <v>61188</v>
      </c>
      <c r="G511" s="289">
        <v>2942</v>
      </c>
      <c r="H511" s="177">
        <v>65337</v>
      </c>
      <c r="I511" s="289">
        <v>2966</v>
      </c>
      <c r="J511" s="177">
        <v>68625</v>
      </c>
      <c r="K511" s="289">
        <v>3006</v>
      </c>
      <c r="L511" s="177">
        <v>74545</v>
      </c>
      <c r="M511" s="289">
        <v>3027</v>
      </c>
      <c r="N511" s="177">
        <v>73397.266345023192</v>
      </c>
    </row>
    <row r="512" spans="1:14" ht="13">
      <c r="A512" s="1"/>
      <c r="B512" s="2" t="s">
        <v>1752</v>
      </c>
      <c r="C512" s="290">
        <v>3070</v>
      </c>
      <c r="D512" s="177">
        <v>68883</v>
      </c>
      <c r="E512" s="289">
        <v>3026</v>
      </c>
      <c r="F512" s="177">
        <v>66273</v>
      </c>
      <c r="G512" s="289">
        <v>3020</v>
      </c>
      <c r="H512" s="177">
        <v>71117</v>
      </c>
      <c r="I512" s="289">
        <v>3049</v>
      </c>
      <c r="J512" s="177">
        <v>78085</v>
      </c>
      <c r="K512" s="289">
        <v>3043</v>
      </c>
      <c r="L512" s="177">
        <v>80458</v>
      </c>
      <c r="M512" s="289">
        <v>3047</v>
      </c>
      <c r="N512" s="177">
        <v>79486.916217952545</v>
      </c>
    </row>
    <row r="513" spans="1:14" ht="13">
      <c r="A513" s="1"/>
      <c r="B513" s="2" t="s">
        <v>1753</v>
      </c>
      <c r="C513" s="290">
        <v>12685</v>
      </c>
      <c r="D513" s="177">
        <v>306432</v>
      </c>
      <c r="E513" s="289">
        <v>12801</v>
      </c>
      <c r="F513" s="177">
        <v>329023</v>
      </c>
      <c r="G513" s="289">
        <v>12900</v>
      </c>
      <c r="H513" s="177">
        <v>368164</v>
      </c>
      <c r="I513" s="289">
        <v>13009</v>
      </c>
      <c r="J513" s="177">
        <v>376559</v>
      </c>
      <c r="K513" s="289">
        <v>13089</v>
      </c>
      <c r="L513" s="177">
        <v>388465</v>
      </c>
      <c r="M513" s="289">
        <v>13092</v>
      </c>
      <c r="N513" s="177">
        <v>394736.53878984577</v>
      </c>
    </row>
    <row r="514" spans="1:14" ht="13">
      <c r="A514" s="1"/>
      <c r="B514" s="2" t="s">
        <v>1754</v>
      </c>
      <c r="C514" s="290">
        <v>2776</v>
      </c>
      <c r="D514" s="177">
        <v>55832</v>
      </c>
      <c r="E514" s="289">
        <v>2777</v>
      </c>
      <c r="F514" s="177">
        <v>59772</v>
      </c>
      <c r="G514" s="289">
        <v>2840</v>
      </c>
      <c r="H514" s="177">
        <v>67819</v>
      </c>
      <c r="I514" s="289">
        <v>2848</v>
      </c>
      <c r="J514" s="177">
        <v>67887</v>
      </c>
      <c r="K514" s="289">
        <v>2825</v>
      </c>
      <c r="L514" s="177">
        <v>65952</v>
      </c>
      <c r="M514" s="289">
        <v>2793</v>
      </c>
      <c r="N514" s="177">
        <v>68709.863650399973</v>
      </c>
    </row>
    <row r="515" spans="1:14" ht="13">
      <c r="A515" s="1"/>
      <c r="B515" s="2"/>
      <c r="C515" s="290"/>
      <c r="D515" s="177"/>
      <c r="E515" s="289"/>
      <c r="F515" s="177"/>
      <c r="G515" s="289"/>
      <c r="H515" s="177"/>
      <c r="I515" s="289"/>
      <c r="J515" s="177"/>
      <c r="K515" s="289"/>
      <c r="L515" s="177"/>
      <c r="M515" s="289"/>
    </row>
    <row r="516" spans="1:14" ht="13">
      <c r="A516" s="1"/>
      <c r="B516" s="2" t="s">
        <v>1755</v>
      </c>
      <c r="C516" s="290">
        <v>2782</v>
      </c>
      <c r="D516" s="177">
        <v>58242</v>
      </c>
      <c r="E516" s="289">
        <v>2752</v>
      </c>
      <c r="F516" s="177">
        <v>61846</v>
      </c>
      <c r="G516" s="289">
        <v>2774</v>
      </c>
      <c r="H516" s="177">
        <v>63415</v>
      </c>
      <c r="I516" s="289">
        <v>2791</v>
      </c>
      <c r="J516" s="177">
        <v>65535</v>
      </c>
      <c r="K516" s="289">
        <v>2757</v>
      </c>
      <c r="L516" s="177">
        <v>69577</v>
      </c>
      <c r="M516" s="289">
        <v>2747</v>
      </c>
      <c r="N516" s="177">
        <v>67978.027262527932</v>
      </c>
    </row>
    <row r="517" spans="1:14" ht="13">
      <c r="A517" s="1"/>
      <c r="B517" s="2" t="s">
        <v>1756</v>
      </c>
      <c r="C517" s="290">
        <v>5926</v>
      </c>
      <c r="D517" s="177">
        <v>124434</v>
      </c>
      <c r="E517" s="289">
        <v>5987</v>
      </c>
      <c r="F517" s="177">
        <v>130598</v>
      </c>
      <c r="G517" s="289">
        <v>6015</v>
      </c>
      <c r="H517" s="177">
        <v>136144</v>
      </c>
      <c r="I517" s="289">
        <v>6064</v>
      </c>
      <c r="J517" s="177">
        <v>144754</v>
      </c>
      <c r="K517" s="289">
        <v>6157</v>
      </c>
      <c r="L517" s="177">
        <v>154404</v>
      </c>
      <c r="M517" s="289">
        <v>6151</v>
      </c>
      <c r="N517" s="177">
        <v>152215.40151698154</v>
      </c>
    </row>
    <row r="518" spans="1:14" ht="13">
      <c r="A518" s="1"/>
      <c r="B518" s="2" t="s">
        <v>1733</v>
      </c>
      <c r="C518" s="290">
        <v>515</v>
      </c>
      <c r="D518" s="177">
        <v>11811.095058282712</v>
      </c>
      <c r="E518" s="289">
        <v>515</v>
      </c>
      <c r="F518" s="177">
        <v>12159.148306478131</v>
      </c>
      <c r="G518" s="289">
        <v>515</v>
      </c>
      <c r="H518" s="177">
        <v>13215.465597088985</v>
      </c>
      <c r="I518" s="289">
        <v>515</v>
      </c>
      <c r="J518" s="177">
        <v>13788.439728071629</v>
      </c>
      <c r="K518" s="289">
        <v>515</v>
      </c>
      <c r="L518" s="177">
        <v>14506.677220463256</v>
      </c>
      <c r="M518" s="289">
        <v>515</v>
      </c>
      <c r="N518" s="177">
        <v>14352.066145809498</v>
      </c>
    </row>
    <row r="519" spans="1:14" ht="13">
      <c r="A519" s="1"/>
      <c r="B519" s="2"/>
      <c r="C519" s="290"/>
      <c r="D519" s="177"/>
      <c r="E519" s="289"/>
      <c r="F519" s="177"/>
      <c r="G519" s="289"/>
      <c r="H519" s="177"/>
      <c r="I519" s="289"/>
      <c r="J519" s="177"/>
      <c r="K519" s="289"/>
      <c r="L519" s="177"/>
      <c r="M519" s="289"/>
    </row>
    <row r="520" spans="1:14" ht="13">
      <c r="A520" s="1"/>
      <c r="B520" s="2" t="s">
        <v>1757</v>
      </c>
      <c r="C520" s="290">
        <v>182035</v>
      </c>
      <c r="D520" s="177">
        <v>4562406</v>
      </c>
      <c r="E520" s="289">
        <v>184960</v>
      </c>
      <c r="F520" s="177">
        <v>4834604</v>
      </c>
      <c r="G520" s="289">
        <v>187353</v>
      </c>
      <c r="H520" s="177">
        <v>5378471</v>
      </c>
      <c r="I520" s="289">
        <v>190464</v>
      </c>
      <c r="J520" s="177">
        <v>5733673</v>
      </c>
      <c r="K520" s="289">
        <v>193501</v>
      </c>
      <c r="L520" s="177">
        <v>6030359</v>
      </c>
      <c r="M520" s="289">
        <v>196159</v>
      </c>
      <c r="N520" s="177">
        <v>6102720.4659421211</v>
      </c>
    </row>
    <row r="521" spans="1:14" ht="13">
      <c r="A521" s="1"/>
      <c r="B521" s="2" t="s">
        <v>1758</v>
      </c>
      <c r="C521" s="290">
        <v>5970</v>
      </c>
      <c r="D521" s="177">
        <v>128833</v>
      </c>
      <c r="E521" s="289">
        <v>5995</v>
      </c>
      <c r="F521" s="177">
        <v>131530</v>
      </c>
      <c r="G521" s="289">
        <v>6067</v>
      </c>
      <c r="H521" s="177">
        <v>145327</v>
      </c>
      <c r="I521" s="289">
        <v>6050</v>
      </c>
      <c r="J521" s="177">
        <v>149554</v>
      </c>
      <c r="K521" s="289">
        <v>6094</v>
      </c>
      <c r="L521" s="177">
        <v>151440</v>
      </c>
      <c r="M521" s="289">
        <v>6076</v>
      </c>
      <c r="N521" s="177">
        <v>154365.06473523634</v>
      </c>
    </row>
    <row r="522" spans="1:14" ht="13">
      <c r="A522" s="1"/>
      <c r="B522" s="2"/>
      <c r="C522" s="290"/>
      <c r="D522" s="177"/>
      <c r="E522" s="289"/>
      <c r="F522" s="177"/>
      <c r="G522" s="289"/>
      <c r="H522" s="177"/>
      <c r="I522" s="289"/>
      <c r="J522" s="177"/>
      <c r="K522" s="289"/>
      <c r="L522" s="177"/>
      <c r="M522" s="289"/>
    </row>
    <row r="523" spans="1:14" ht="13">
      <c r="A523" s="1"/>
      <c r="B523" s="2" t="s">
        <v>1759</v>
      </c>
      <c r="C523" s="290">
        <v>21555</v>
      </c>
      <c r="D523" s="177">
        <v>403289</v>
      </c>
      <c r="E523" s="289">
        <v>21650</v>
      </c>
      <c r="F523" s="177">
        <v>426827</v>
      </c>
      <c r="G523" s="289">
        <v>21781</v>
      </c>
      <c r="H523" s="177">
        <v>467882</v>
      </c>
      <c r="I523" s="289">
        <v>21972</v>
      </c>
      <c r="J523" s="177">
        <v>488540</v>
      </c>
      <c r="K523" s="289">
        <v>22096</v>
      </c>
      <c r="L523" s="177">
        <v>507896</v>
      </c>
      <c r="M523" s="289">
        <v>22090</v>
      </c>
      <c r="N523" s="177">
        <v>509558.31288829359</v>
      </c>
    </row>
    <row r="524" spans="1:14" ht="13">
      <c r="A524" s="1"/>
      <c r="B524" s="2" t="s">
        <v>1760</v>
      </c>
      <c r="C524" s="290">
        <v>2562</v>
      </c>
      <c r="D524" s="177">
        <v>34092</v>
      </c>
      <c r="E524" s="289">
        <v>2547</v>
      </c>
      <c r="F524" s="177">
        <v>43785</v>
      </c>
      <c r="G524" s="289">
        <v>2527</v>
      </c>
      <c r="H524" s="177">
        <v>44616</v>
      </c>
      <c r="I524" s="289">
        <v>2515</v>
      </c>
      <c r="J524" s="177">
        <v>47869</v>
      </c>
      <c r="K524" s="289">
        <v>2473</v>
      </c>
      <c r="L524" s="177">
        <v>50171</v>
      </c>
      <c r="M524" s="289">
        <v>2449</v>
      </c>
      <c r="N524" s="177">
        <v>48173.068509540717</v>
      </c>
    </row>
    <row r="525" spans="1:14" ht="13">
      <c r="A525" s="1"/>
      <c r="B525" s="2" t="s">
        <v>1761</v>
      </c>
      <c r="C525" s="290">
        <v>-67</v>
      </c>
      <c r="D525" s="177">
        <v>-891.55503512880557</v>
      </c>
      <c r="E525" s="289">
        <v>-67</v>
      </c>
      <c r="F525" s="177">
        <v>-1151.7844522968198</v>
      </c>
      <c r="G525" s="289">
        <v>-67</v>
      </c>
      <c r="H525" s="177">
        <v>-1182.9331222793826</v>
      </c>
      <c r="I525" s="289">
        <v>-67</v>
      </c>
      <c r="J525" s="177">
        <v>-1275.237773359841</v>
      </c>
      <c r="K525" s="289">
        <v>-67</v>
      </c>
      <c r="L525" s="177">
        <v>-1359.2628386575011</v>
      </c>
      <c r="M525" s="289">
        <v>-67</v>
      </c>
      <c r="N525" s="177">
        <v>-1317.9238832744909</v>
      </c>
    </row>
    <row r="526" spans="1:14" ht="13">
      <c r="A526" s="1"/>
      <c r="B526" s="2"/>
      <c r="C526" s="290"/>
      <c r="D526" s="177"/>
      <c r="E526" s="289"/>
      <c r="F526" s="177"/>
      <c r="G526" s="289"/>
      <c r="H526" s="177"/>
      <c r="I526" s="289"/>
      <c r="J526" s="177"/>
      <c r="K526" s="289"/>
      <c r="L526" s="177"/>
      <c r="M526" s="289"/>
    </row>
    <row r="527" spans="1:14" ht="13">
      <c r="A527" s="1"/>
      <c r="B527" s="2" t="s">
        <v>1762</v>
      </c>
      <c r="C527" s="290">
        <v>13083</v>
      </c>
      <c r="D527" s="177">
        <v>253179</v>
      </c>
      <c r="E527" s="289">
        <v>13026</v>
      </c>
      <c r="F527" s="177">
        <v>267385</v>
      </c>
      <c r="G527" s="289">
        <v>13010</v>
      </c>
      <c r="H527" s="177">
        <v>296053</v>
      </c>
      <c r="I527" s="289">
        <v>13051</v>
      </c>
      <c r="J527" s="177">
        <v>308334</v>
      </c>
      <c r="K527" s="289">
        <v>13078</v>
      </c>
      <c r="L527" s="177">
        <v>318589</v>
      </c>
      <c r="M527" s="289">
        <v>13113</v>
      </c>
      <c r="N527" s="177">
        <v>320793.93591065763</v>
      </c>
    </row>
    <row r="528" spans="1:14" ht="13">
      <c r="A528" s="1"/>
      <c r="B528" s="2" t="s">
        <v>1763</v>
      </c>
      <c r="C528" s="290">
        <v>1676</v>
      </c>
      <c r="D528" s="177">
        <v>28132</v>
      </c>
      <c r="E528" s="289">
        <v>1644</v>
      </c>
      <c r="F528" s="177">
        <v>27277</v>
      </c>
      <c r="G528" s="289">
        <v>1622</v>
      </c>
      <c r="H528" s="177">
        <v>30725</v>
      </c>
      <c r="I528" s="289">
        <v>1593</v>
      </c>
      <c r="J528" s="177">
        <v>31111</v>
      </c>
      <c r="K528" s="289">
        <v>1585</v>
      </c>
      <c r="L528" s="177">
        <v>32121</v>
      </c>
      <c r="M528" s="289">
        <v>1576</v>
      </c>
      <c r="N528" s="177">
        <v>32015.111480016953</v>
      </c>
    </row>
    <row r="529" spans="1:14" ht="13">
      <c r="A529" s="1"/>
      <c r="B529" s="2" t="s">
        <v>1764</v>
      </c>
      <c r="C529" s="290">
        <v>642</v>
      </c>
      <c r="D529" s="177">
        <v>10338</v>
      </c>
      <c r="E529" s="289">
        <v>630</v>
      </c>
      <c r="F529" s="177">
        <v>10651</v>
      </c>
      <c r="G529" s="289">
        <v>633</v>
      </c>
      <c r="H529" s="177">
        <v>11315</v>
      </c>
      <c r="I529" s="289">
        <v>628</v>
      </c>
      <c r="J529" s="177">
        <v>11682</v>
      </c>
      <c r="K529" s="289">
        <v>618</v>
      </c>
      <c r="L529" s="177">
        <v>12474</v>
      </c>
      <c r="M529" s="289">
        <v>605</v>
      </c>
      <c r="N529" s="177">
        <v>11848.572392071797</v>
      </c>
    </row>
    <row r="530" spans="1:14" ht="13">
      <c r="A530" s="1"/>
      <c r="B530" s="2" t="s">
        <v>1765</v>
      </c>
      <c r="C530" s="290">
        <v>51</v>
      </c>
      <c r="D530" s="177">
        <v>965.15284360189571</v>
      </c>
      <c r="E530" s="289">
        <v>51</v>
      </c>
      <c r="F530" s="177">
        <v>1006.770714426294</v>
      </c>
      <c r="G530" s="289">
        <v>51</v>
      </c>
      <c r="H530" s="177">
        <v>1097.5247756535309</v>
      </c>
      <c r="I530" s="289">
        <v>51</v>
      </c>
      <c r="J530" s="177">
        <v>1141.5543012845465</v>
      </c>
      <c r="K530" s="289">
        <v>51</v>
      </c>
      <c r="L530" s="177">
        <v>1252.0863787375415</v>
      </c>
      <c r="M530" s="289">
        <v>51</v>
      </c>
      <c r="N530" s="177">
        <v>1206.5452498424615</v>
      </c>
    </row>
    <row r="531" spans="1:14" ht="13">
      <c r="A531" s="1"/>
      <c r="B531" s="2"/>
      <c r="C531" s="290"/>
      <c r="D531" s="177"/>
      <c r="E531" s="289"/>
      <c r="F531" s="177"/>
      <c r="G531" s="289"/>
      <c r="H531" s="177"/>
      <c r="I531" s="289"/>
      <c r="J531" s="177"/>
      <c r="K531" s="289"/>
      <c r="L531" s="177"/>
      <c r="M531" s="289"/>
    </row>
    <row r="532" spans="1:14" ht="13">
      <c r="A532" s="1"/>
      <c r="B532" s="2" t="s">
        <v>1766</v>
      </c>
      <c r="C532" s="290">
        <v>1581</v>
      </c>
      <c r="D532" s="177">
        <v>33613</v>
      </c>
      <c r="E532" s="289">
        <v>1563</v>
      </c>
      <c r="F532" s="177">
        <v>32045</v>
      </c>
      <c r="G532" s="289">
        <v>1547</v>
      </c>
      <c r="H532" s="177">
        <v>34151</v>
      </c>
      <c r="I532" s="289">
        <v>1599</v>
      </c>
      <c r="J532" s="177">
        <v>35422</v>
      </c>
      <c r="K532" s="289">
        <v>1571</v>
      </c>
      <c r="L532" s="177">
        <v>36197</v>
      </c>
      <c r="M532" s="289">
        <v>1574</v>
      </c>
      <c r="N532" s="177">
        <v>36628.653857591416</v>
      </c>
    </row>
    <row r="533" spans="1:14" ht="13">
      <c r="A533" s="1"/>
      <c r="B533" s="2" t="s">
        <v>1767</v>
      </c>
      <c r="C533" s="290">
        <v>4224</v>
      </c>
      <c r="D533" s="177">
        <v>88756</v>
      </c>
      <c r="E533" s="289">
        <v>4254</v>
      </c>
      <c r="F533" s="177">
        <v>90880</v>
      </c>
      <c r="G533" s="289">
        <v>4260</v>
      </c>
      <c r="H533" s="177">
        <v>98194</v>
      </c>
      <c r="I533" s="289">
        <v>4259</v>
      </c>
      <c r="J533" s="177">
        <v>104407</v>
      </c>
      <c r="K533" s="289">
        <v>4225</v>
      </c>
      <c r="L533" s="177">
        <v>111639</v>
      </c>
      <c r="M533" s="289">
        <v>4228</v>
      </c>
      <c r="N533" s="177">
        <v>108043.7777093778</v>
      </c>
    </row>
    <row r="534" spans="1:14" ht="13">
      <c r="A534" s="1"/>
      <c r="B534" s="2" t="s">
        <v>1768</v>
      </c>
      <c r="C534" s="290">
        <v>204.04404404404403</v>
      </c>
      <c r="D534" s="177">
        <v>3912.232232232232</v>
      </c>
      <c r="E534" s="289">
        <v>204.46046046046047</v>
      </c>
      <c r="F534" s="177">
        <v>4313.2412412412414</v>
      </c>
      <c r="G534" s="289">
        <v>203.62762762762762</v>
      </c>
      <c r="H534" s="177">
        <v>4742.3583583583586</v>
      </c>
      <c r="I534" s="289">
        <v>204.46046046046047</v>
      </c>
      <c r="J534" s="177">
        <v>5028.2282282282285</v>
      </c>
      <c r="K534" s="289">
        <v>205.50150150150151</v>
      </c>
      <c r="L534" s="177">
        <v>5336.3763763763764</v>
      </c>
      <c r="M534" s="289">
        <v>208</v>
      </c>
      <c r="N534" s="177">
        <v>5309.9626488889489</v>
      </c>
    </row>
    <row r="535" spans="1:14" ht="13">
      <c r="A535" s="1"/>
      <c r="B535" s="2"/>
      <c r="C535" s="290"/>
      <c r="D535" s="177"/>
      <c r="E535" s="289"/>
      <c r="F535" s="177"/>
      <c r="G535" s="289"/>
      <c r="H535" s="177"/>
      <c r="I535" s="289"/>
      <c r="J535" s="177"/>
      <c r="K535" s="289"/>
      <c r="L535" s="177"/>
      <c r="M535" s="289"/>
    </row>
    <row r="536" spans="1:14" ht="13">
      <c r="A536" s="1"/>
      <c r="B536" s="2" t="s">
        <v>1769</v>
      </c>
      <c r="C536" s="290">
        <v>4522</v>
      </c>
      <c r="D536" s="177">
        <v>90135</v>
      </c>
      <c r="E536" s="289">
        <v>4569</v>
      </c>
      <c r="F536" s="177">
        <v>97955</v>
      </c>
      <c r="G536" s="289">
        <v>4622</v>
      </c>
      <c r="H536" s="177">
        <v>106217</v>
      </c>
      <c r="I536" s="289">
        <v>4659</v>
      </c>
      <c r="J536" s="177">
        <v>112469</v>
      </c>
      <c r="K536" s="289">
        <v>4648</v>
      </c>
      <c r="L536" s="177">
        <v>114744</v>
      </c>
      <c r="M536" s="289">
        <v>4694</v>
      </c>
      <c r="N536" s="177">
        <v>116565.36473235917</v>
      </c>
    </row>
    <row r="537" spans="1:14" ht="13">
      <c r="A537" s="1"/>
      <c r="B537" s="2" t="s">
        <v>1768</v>
      </c>
      <c r="C537" s="290">
        <v>317.83783783783787</v>
      </c>
      <c r="D537" s="177">
        <v>6094.0540540540542</v>
      </c>
      <c r="E537" s="289">
        <v>318.48648648648651</v>
      </c>
      <c r="F537" s="177">
        <v>6718.7027027027034</v>
      </c>
      <c r="G537" s="289">
        <v>317.18918918918922</v>
      </c>
      <c r="H537" s="177">
        <v>7387.1351351351359</v>
      </c>
      <c r="I537" s="289">
        <v>318.48648648648651</v>
      </c>
      <c r="J537" s="177">
        <v>7832.4324324324325</v>
      </c>
      <c r="K537" s="289">
        <v>320.10810810810813</v>
      </c>
      <c r="L537" s="177">
        <v>8312.4324324324334</v>
      </c>
      <c r="M537" s="289">
        <v>324</v>
      </c>
      <c r="N537" s="177">
        <v>8271.2879723077858</v>
      </c>
    </row>
    <row r="538" spans="1:14" ht="13">
      <c r="A538" s="1"/>
      <c r="B538" s="2"/>
      <c r="C538" s="290"/>
      <c r="D538" s="177"/>
      <c r="E538" s="289"/>
      <c r="F538" s="177"/>
      <c r="G538" s="289"/>
      <c r="H538" s="177"/>
      <c r="I538" s="289"/>
      <c r="J538" s="177"/>
      <c r="K538" s="289"/>
      <c r="L538" s="177"/>
      <c r="M538" s="289"/>
    </row>
    <row r="539" spans="1:14" ht="13">
      <c r="A539" s="1"/>
      <c r="B539" s="2" t="s">
        <v>1770</v>
      </c>
      <c r="C539" s="290">
        <v>5164</v>
      </c>
      <c r="D539" s="177">
        <v>102720</v>
      </c>
      <c r="E539" s="289">
        <v>5183</v>
      </c>
      <c r="F539" s="177">
        <v>115049</v>
      </c>
      <c r="G539" s="289">
        <v>5209</v>
      </c>
      <c r="H539" s="177">
        <v>119246</v>
      </c>
      <c r="I539" s="289">
        <v>5291</v>
      </c>
      <c r="J539" s="177">
        <v>131001</v>
      </c>
      <c r="K539" s="289">
        <v>5351</v>
      </c>
      <c r="L539" s="177">
        <v>140446</v>
      </c>
      <c r="M539" s="289">
        <v>5334</v>
      </c>
      <c r="N539" s="177">
        <v>136217.24155167438</v>
      </c>
    </row>
    <row r="540" spans="1:14" ht="13">
      <c r="A540" s="1"/>
      <c r="B540" s="2" t="s">
        <v>1771</v>
      </c>
      <c r="C540" s="290">
        <v>4711</v>
      </c>
      <c r="D540" s="177">
        <v>84184</v>
      </c>
      <c r="E540" s="289">
        <v>4715</v>
      </c>
      <c r="F540" s="177">
        <v>89681</v>
      </c>
      <c r="G540" s="289">
        <v>4779</v>
      </c>
      <c r="H540" s="177">
        <v>98894</v>
      </c>
      <c r="I540" s="289">
        <v>4822</v>
      </c>
      <c r="J540" s="177">
        <v>102348</v>
      </c>
      <c r="K540" s="289">
        <v>4864</v>
      </c>
      <c r="L540" s="177">
        <v>111956</v>
      </c>
      <c r="M540" s="289">
        <v>4904</v>
      </c>
      <c r="N540" s="177">
        <v>110085.82530407401</v>
      </c>
    </row>
    <row r="541" spans="1:14" ht="13">
      <c r="A541" s="1"/>
      <c r="B541" s="2"/>
      <c r="C541" s="290"/>
      <c r="D541" s="177"/>
      <c r="E541" s="289"/>
      <c r="F541" s="177"/>
      <c r="G541" s="289"/>
      <c r="H541" s="177"/>
      <c r="I541" s="289"/>
      <c r="J541" s="177"/>
      <c r="K541" s="289"/>
      <c r="L541" s="177"/>
      <c r="M541" s="289"/>
    </row>
    <row r="542" spans="1:14" ht="13">
      <c r="A542" s="1"/>
      <c r="B542" s="2" t="s">
        <v>1772</v>
      </c>
      <c r="C542" s="290">
        <v>3242</v>
      </c>
      <c r="D542" s="177">
        <v>62502</v>
      </c>
      <c r="E542" s="289">
        <v>3248</v>
      </c>
      <c r="F542" s="177">
        <v>69024</v>
      </c>
      <c r="G542" s="289">
        <v>3272</v>
      </c>
      <c r="H542" s="177">
        <v>71526</v>
      </c>
      <c r="I542" s="289">
        <v>3263</v>
      </c>
      <c r="J542" s="177">
        <v>77982</v>
      </c>
      <c r="K542" s="289">
        <v>3277</v>
      </c>
      <c r="L542" s="177">
        <v>84883</v>
      </c>
      <c r="M542" s="289">
        <v>3340</v>
      </c>
      <c r="N542" s="177">
        <v>82648.893896610462</v>
      </c>
    </row>
    <row r="543" spans="1:14" ht="13">
      <c r="A543" s="1"/>
      <c r="B543" s="2" t="s">
        <v>1773</v>
      </c>
      <c r="C543" s="290">
        <v>986</v>
      </c>
      <c r="D543" s="177">
        <v>16409</v>
      </c>
      <c r="E543" s="289">
        <v>977</v>
      </c>
      <c r="F543" s="177">
        <v>17958</v>
      </c>
      <c r="G543" s="289">
        <v>961</v>
      </c>
      <c r="H543" s="177">
        <v>20232</v>
      </c>
      <c r="I543" s="289">
        <v>959</v>
      </c>
      <c r="J543" s="177">
        <v>20395</v>
      </c>
      <c r="K543" s="289">
        <v>953</v>
      </c>
      <c r="L543" s="177">
        <v>20843</v>
      </c>
      <c r="M543" s="289">
        <v>957</v>
      </c>
      <c r="N543" s="177">
        <v>21252.374505254342</v>
      </c>
    </row>
    <row r="544" spans="1:14" ht="13">
      <c r="A544" s="1"/>
      <c r="B544" s="2"/>
      <c r="C544" s="290"/>
      <c r="D544" s="177"/>
      <c r="E544" s="289"/>
      <c r="F544" s="177"/>
      <c r="G544" s="289"/>
      <c r="H544" s="177"/>
      <c r="I544" s="289"/>
      <c r="J544" s="177"/>
      <c r="K544" s="289"/>
      <c r="L544" s="177"/>
      <c r="M544" s="289"/>
    </row>
    <row r="545" spans="1:14" ht="13">
      <c r="A545" s="1"/>
      <c r="B545" s="2" t="s">
        <v>1776</v>
      </c>
      <c r="C545" s="290">
        <v>1744</v>
      </c>
      <c r="D545" s="177">
        <v>32042</v>
      </c>
      <c r="E545" s="289">
        <v>1770</v>
      </c>
      <c r="F545" s="177">
        <v>32908</v>
      </c>
      <c r="G545" s="289">
        <v>1733</v>
      </c>
      <c r="H545" s="177">
        <v>34554</v>
      </c>
      <c r="I545" s="289">
        <v>1711</v>
      </c>
      <c r="J545" s="177">
        <v>37227</v>
      </c>
      <c r="K545" s="289">
        <v>1684</v>
      </c>
      <c r="L545" s="177">
        <v>36630</v>
      </c>
      <c r="M545" s="289">
        <v>1693</v>
      </c>
      <c r="N545" s="177">
        <v>37140.842799246457</v>
      </c>
    </row>
    <row r="546" spans="1:14" ht="13">
      <c r="A546" s="1"/>
      <c r="B546" s="2" t="s">
        <v>1774</v>
      </c>
      <c r="C546" s="290">
        <v>3962</v>
      </c>
      <c r="D546" s="177">
        <v>73276</v>
      </c>
      <c r="E546" s="289">
        <v>3967</v>
      </c>
      <c r="F546" s="177">
        <v>76287</v>
      </c>
      <c r="G546" s="289">
        <v>3954</v>
      </c>
      <c r="H546" s="177">
        <v>89225</v>
      </c>
      <c r="I546" s="289">
        <v>3960</v>
      </c>
      <c r="J546" s="177">
        <v>89846</v>
      </c>
      <c r="K546" s="289">
        <v>3930</v>
      </c>
      <c r="L546" s="177">
        <v>88373</v>
      </c>
      <c r="M546" s="289">
        <v>3905</v>
      </c>
      <c r="N546" s="177">
        <v>91525.079652128159</v>
      </c>
    </row>
    <row r="547" spans="1:14" ht="13">
      <c r="A547" s="1"/>
      <c r="B547" s="2" t="s">
        <v>1775</v>
      </c>
      <c r="C547" s="290">
        <v>11628</v>
      </c>
      <c r="D547" s="177">
        <v>234704</v>
      </c>
      <c r="E547" s="289">
        <v>11722</v>
      </c>
      <c r="F547" s="177">
        <v>250084</v>
      </c>
      <c r="G547" s="289">
        <v>11779</v>
      </c>
      <c r="H547" s="177">
        <v>269668</v>
      </c>
      <c r="I547" s="289">
        <v>11891</v>
      </c>
      <c r="J547" s="177">
        <v>279573</v>
      </c>
      <c r="K547" s="289">
        <v>11933</v>
      </c>
      <c r="L547" s="177">
        <v>289138</v>
      </c>
      <c r="M547" s="289">
        <v>12086</v>
      </c>
      <c r="N547" s="177">
        <v>295209.58092940331</v>
      </c>
    </row>
    <row r="548" spans="1:14" ht="13">
      <c r="A548" s="1"/>
      <c r="B548" s="2" t="s">
        <v>1768</v>
      </c>
      <c r="C548" s="290">
        <v>458.1181181181181</v>
      </c>
      <c r="D548" s="177">
        <v>8783.7137137137142</v>
      </c>
      <c r="E548" s="289">
        <v>459.05305305305308</v>
      </c>
      <c r="F548" s="177">
        <v>9684.0560560560571</v>
      </c>
      <c r="G548" s="289">
        <v>457.18318318318319</v>
      </c>
      <c r="H548" s="177">
        <v>10647.506506506506</v>
      </c>
      <c r="I548" s="289">
        <v>459.05305305305308</v>
      </c>
      <c r="J548" s="177">
        <v>11289.33933933934</v>
      </c>
      <c r="K548" s="289">
        <v>461.39039039039039</v>
      </c>
      <c r="L548" s="177">
        <v>11981.191191191192</v>
      </c>
      <c r="M548" s="289">
        <v>467</v>
      </c>
      <c r="N548" s="177">
        <v>11921.887293418938</v>
      </c>
    </row>
    <row r="549" spans="1:14" ht="13">
      <c r="A549" s="1"/>
      <c r="B549" s="2"/>
      <c r="C549" s="290"/>
      <c r="D549" s="177"/>
      <c r="E549" s="289"/>
      <c r="F549" s="177"/>
      <c r="G549" s="289"/>
      <c r="H549" s="177"/>
      <c r="I549" s="289"/>
      <c r="J549" s="177"/>
      <c r="K549" s="289"/>
      <c r="L549" s="177"/>
      <c r="M549" s="289"/>
    </row>
    <row r="550" spans="1:14" ht="13">
      <c r="A550" s="1"/>
      <c r="B550" s="2" t="s">
        <v>1777</v>
      </c>
      <c r="C550" s="290">
        <v>4321</v>
      </c>
      <c r="D550" s="177">
        <v>88579</v>
      </c>
      <c r="E550" s="289">
        <v>4363</v>
      </c>
      <c r="F550" s="177">
        <v>94283</v>
      </c>
      <c r="G550" s="289">
        <v>4387</v>
      </c>
      <c r="H550" s="177">
        <v>107429</v>
      </c>
      <c r="I550" s="289">
        <v>4418</v>
      </c>
      <c r="J550" s="177">
        <v>116736</v>
      </c>
      <c r="K550" s="289">
        <v>4492</v>
      </c>
      <c r="L550" s="177">
        <v>127124</v>
      </c>
      <c r="M550" s="289">
        <v>4578</v>
      </c>
      <c r="N550" s="177">
        <v>125305.13110447043</v>
      </c>
    </row>
    <row r="551" spans="1:14" ht="13">
      <c r="A551" s="1"/>
      <c r="B551" s="2" t="s">
        <v>1778</v>
      </c>
      <c r="C551" s="290">
        <v>5064</v>
      </c>
      <c r="D551" s="177">
        <v>95834</v>
      </c>
      <c r="E551" s="289">
        <v>5081</v>
      </c>
      <c r="F551" s="177">
        <v>100302</v>
      </c>
      <c r="G551" s="289">
        <v>5126</v>
      </c>
      <c r="H551" s="177">
        <v>110312</v>
      </c>
      <c r="I551" s="289">
        <v>5138</v>
      </c>
      <c r="J551" s="177">
        <v>115006</v>
      </c>
      <c r="K551" s="289">
        <v>5117</v>
      </c>
      <c r="L551" s="177">
        <v>125626</v>
      </c>
      <c r="M551" s="289">
        <v>5072</v>
      </c>
      <c r="N551" s="177">
        <v>119992.10798433264</v>
      </c>
    </row>
    <row r="552" spans="1:14" ht="13">
      <c r="A552" s="1"/>
      <c r="B552" s="2" t="s">
        <v>1765</v>
      </c>
      <c r="C552" s="290">
        <v>-51</v>
      </c>
      <c r="D552" s="177">
        <v>-965.15284360189571</v>
      </c>
      <c r="E552" s="289">
        <v>-51</v>
      </c>
      <c r="F552" s="177">
        <v>-1006.770714426294</v>
      </c>
      <c r="G552" s="289">
        <v>-51</v>
      </c>
      <c r="H552" s="177">
        <v>-1097.5247756535309</v>
      </c>
      <c r="I552" s="289">
        <v>-51</v>
      </c>
      <c r="J552" s="177">
        <v>-1141.5543012845465</v>
      </c>
      <c r="K552" s="289">
        <v>-51</v>
      </c>
      <c r="L552" s="177">
        <v>-1252.0863787375415</v>
      </c>
      <c r="M552" s="289">
        <v>-51</v>
      </c>
      <c r="N552" s="177">
        <v>-1206.5452498424615</v>
      </c>
    </row>
    <row r="553" spans="1:14" ht="13">
      <c r="A553" s="1"/>
      <c r="B553" s="2"/>
      <c r="C553" s="290"/>
      <c r="D553" s="177"/>
      <c r="E553" s="289"/>
      <c r="F553" s="177"/>
      <c r="G553" s="289"/>
      <c r="H553" s="177"/>
      <c r="I553" s="289"/>
      <c r="J553" s="177"/>
      <c r="K553" s="289"/>
      <c r="L553" s="177"/>
      <c r="M553" s="289"/>
    </row>
    <row r="554" spans="1:14" ht="13">
      <c r="A554" s="1"/>
      <c r="B554" s="2" t="s">
        <v>1787</v>
      </c>
      <c r="C554" s="290">
        <v>10201</v>
      </c>
      <c r="D554" s="177">
        <v>181997</v>
      </c>
      <c r="E554" s="289">
        <v>10182</v>
      </c>
      <c r="F554" s="177">
        <v>192147</v>
      </c>
      <c r="G554" s="289">
        <v>10175</v>
      </c>
      <c r="H554" s="177">
        <v>205952</v>
      </c>
      <c r="I554" s="289">
        <v>10108</v>
      </c>
      <c r="J554" s="177">
        <v>216377</v>
      </c>
      <c r="K554" s="289">
        <v>10090</v>
      </c>
      <c r="L554" s="177">
        <v>227993</v>
      </c>
      <c r="M554" s="289">
        <v>9988</v>
      </c>
      <c r="N554" s="177">
        <v>221796.3320542046</v>
      </c>
    </row>
    <row r="555" spans="1:14" ht="13">
      <c r="A555" s="1"/>
      <c r="B555" s="2" t="s">
        <v>1761</v>
      </c>
      <c r="C555" s="290">
        <v>67</v>
      </c>
      <c r="D555" s="177">
        <v>891.55503512880557</v>
      </c>
      <c r="E555" s="289">
        <v>67</v>
      </c>
      <c r="F555" s="177">
        <v>1151.7844522968198</v>
      </c>
      <c r="G555" s="289">
        <v>67</v>
      </c>
      <c r="H555" s="177">
        <v>1182.9331222793826</v>
      </c>
      <c r="I555" s="289">
        <v>67</v>
      </c>
      <c r="J555" s="177">
        <v>1275.237773359841</v>
      </c>
      <c r="K555" s="289">
        <v>67</v>
      </c>
      <c r="L555" s="177">
        <v>1359.2628386575011</v>
      </c>
      <c r="M555" s="289">
        <v>67</v>
      </c>
      <c r="N555" s="177">
        <v>1317.9238832744909</v>
      </c>
    </row>
    <row r="556" spans="1:14" ht="13">
      <c r="A556" s="1"/>
      <c r="B556" s="2"/>
      <c r="C556" s="290"/>
      <c r="D556" s="177"/>
      <c r="E556" s="289"/>
      <c r="F556" s="177"/>
      <c r="G556" s="289"/>
      <c r="H556" s="177"/>
      <c r="I556" s="289"/>
      <c r="J556" s="177"/>
      <c r="K556" s="289"/>
      <c r="L556" s="177"/>
      <c r="M556" s="289"/>
    </row>
    <row r="557" spans="1:14" ht="13">
      <c r="A557" s="1"/>
      <c r="B557" s="2" t="s">
        <v>1785</v>
      </c>
      <c r="C557" s="290">
        <v>10287</v>
      </c>
      <c r="D557" s="177">
        <v>251640</v>
      </c>
      <c r="E557" s="289">
        <v>10417</v>
      </c>
      <c r="F557" s="177">
        <v>271230</v>
      </c>
      <c r="G557" s="289">
        <v>10455</v>
      </c>
      <c r="H557" s="177">
        <v>280198</v>
      </c>
      <c r="I557" s="289">
        <v>10527</v>
      </c>
      <c r="J557" s="177">
        <v>292967</v>
      </c>
      <c r="K557" s="289">
        <v>10533</v>
      </c>
      <c r="L557" s="177">
        <v>303061</v>
      </c>
      <c r="M557" s="289">
        <v>10536</v>
      </c>
      <c r="N557" s="177">
        <v>303891.27877819171</v>
      </c>
    </row>
    <row r="558" spans="1:14" ht="13">
      <c r="A558" s="1"/>
      <c r="B558" s="2" t="s">
        <v>1786</v>
      </c>
      <c r="C558" s="290">
        <v>1051</v>
      </c>
      <c r="D558" s="177">
        <v>20929</v>
      </c>
      <c r="E558" s="289">
        <v>1049</v>
      </c>
      <c r="F558" s="177">
        <v>22878</v>
      </c>
      <c r="G558" s="289">
        <v>1035</v>
      </c>
      <c r="H558" s="177">
        <v>22431</v>
      </c>
      <c r="I558" s="289">
        <v>1027</v>
      </c>
      <c r="J558" s="177">
        <v>24854</v>
      </c>
      <c r="K558" s="289">
        <v>1027</v>
      </c>
      <c r="L558" s="177">
        <v>24465</v>
      </c>
      <c r="M558" s="289">
        <v>988</v>
      </c>
      <c r="N558" s="177">
        <v>23808.563757697488</v>
      </c>
    </row>
    <row r="559" spans="1:14" ht="13">
      <c r="A559" s="1"/>
      <c r="B559" s="2"/>
      <c r="C559" s="290"/>
      <c r="D559" s="177"/>
      <c r="E559" s="289"/>
      <c r="F559" s="177"/>
      <c r="G559" s="289"/>
      <c r="H559" s="177"/>
      <c r="I559" s="289"/>
      <c r="J559" s="177"/>
      <c r="K559" s="289"/>
      <c r="L559" s="177"/>
      <c r="M559" s="289"/>
    </row>
    <row r="560" spans="1:14" ht="13">
      <c r="A560" s="1"/>
      <c r="B560" s="2" t="s">
        <v>1779</v>
      </c>
      <c r="C560" s="290">
        <v>1256</v>
      </c>
      <c r="D560" s="177">
        <v>22423</v>
      </c>
      <c r="E560" s="289">
        <v>1280</v>
      </c>
      <c r="F560" s="177">
        <v>24602</v>
      </c>
      <c r="G560" s="289">
        <v>1283</v>
      </c>
      <c r="H560" s="177">
        <v>26174</v>
      </c>
      <c r="I560" s="289">
        <v>1252</v>
      </c>
      <c r="J560" s="177">
        <v>26001</v>
      </c>
      <c r="K560" s="289">
        <v>1259</v>
      </c>
      <c r="L560" s="177">
        <v>26955</v>
      </c>
      <c r="M560" s="289">
        <v>1259</v>
      </c>
      <c r="N560" s="177">
        <v>27251.888948962209</v>
      </c>
    </row>
    <row r="561" spans="1:14" ht="13">
      <c r="A561" s="1"/>
      <c r="B561" s="2" t="s">
        <v>1780</v>
      </c>
      <c r="C561" s="290">
        <v>2951</v>
      </c>
      <c r="D561" s="177">
        <v>55617</v>
      </c>
      <c r="E561" s="289">
        <v>2988</v>
      </c>
      <c r="F561" s="177">
        <v>61208</v>
      </c>
      <c r="G561" s="289">
        <v>3041</v>
      </c>
      <c r="H561" s="177">
        <v>66151</v>
      </c>
      <c r="I561" s="289">
        <v>3048</v>
      </c>
      <c r="J561" s="177">
        <v>70391</v>
      </c>
      <c r="K561" s="289">
        <v>2994</v>
      </c>
      <c r="L561" s="177">
        <v>69865</v>
      </c>
      <c r="M561" s="289">
        <v>3009</v>
      </c>
      <c r="N561" s="177">
        <v>70948.601645708826</v>
      </c>
    </row>
    <row r="562" spans="1:14" ht="13">
      <c r="A562" s="1"/>
      <c r="B562" s="2"/>
      <c r="C562" s="290"/>
      <c r="D562" s="177"/>
      <c r="E562" s="289"/>
      <c r="F562" s="177"/>
      <c r="G562" s="289"/>
      <c r="H562" s="177"/>
      <c r="I562" s="289"/>
      <c r="J562" s="177"/>
      <c r="K562" s="289"/>
      <c r="L562" s="177"/>
      <c r="M562" s="289"/>
    </row>
    <row r="563" spans="1:14" ht="13">
      <c r="A563" s="1"/>
      <c r="B563" s="2" t="s">
        <v>1781</v>
      </c>
      <c r="C563" s="290">
        <v>1510</v>
      </c>
      <c r="D563" s="177">
        <v>26039</v>
      </c>
      <c r="E563" s="289">
        <v>1544</v>
      </c>
      <c r="F563" s="177">
        <v>27648</v>
      </c>
      <c r="G563" s="289">
        <v>1543</v>
      </c>
      <c r="H563" s="177">
        <v>30589</v>
      </c>
      <c r="I563" s="289">
        <v>1540</v>
      </c>
      <c r="J563" s="177">
        <v>31694</v>
      </c>
      <c r="K563" s="289">
        <v>1536</v>
      </c>
      <c r="L563" s="177">
        <v>32458</v>
      </c>
      <c r="M563" s="289">
        <v>1513</v>
      </c>
      <c r="N563" s="177">
        <v>32200.717947549081</v>
      </c>
    </row>
    <row r="564" spans="1:14" ht="13">
      <c r="A564" s="1"/>
      <c r="B564" s="2" t="s">
        <v>1782</v>
      </c>
      <c r="C564" s="290">
        <v>878</v>
      </c>
      <c r="D564" s="177">
        <v>16199</v>
      </c>
      <c r="E564" s="289">
        <v>884</v>
      </c>
      <c r="F564" s="177">
        <v>17440</v>
      </c>
      <c r="G564" s="289">
        <v>913</v>
      </c>
      <c r="H564" s="177">
        <v>18571</v>
      </c>
      <c r="I564" s="289">
        <v>921</v>
      </c>
      <c r="J564" s="177">
        <v>19159</v>
      </c>
      <c r="K564" s="289">
        <v>943</v>
      </c>
      <c r="L564" s="177">
        <v>21406</v>
      </c>
      <c r="M564" s="289">
        <v>931</v>
      </c>
      <c r="N564" s="177">
        <v>20546.738038318534</v>
      </c>
    </row>
    <row r="565" spans="1:14" ht="13">
      <c r="A565" s="1"/>
      <c r="B565" s="2" t="s">
        <v>1783</v>
      </c>
      <c r="C565" s="290">
        <v>918</v>
      </c>
      <c r="D565" s="177">
        <v>18134</v>
      </c>
      <c r="E565" s="289">
        <v>905</v>
      </c>
      <c r="F565" s="177">
        <v>20611</v>
      </c>
      <c r="G565" s="289">
        <v>915</v>
      </c>
      <c r="H565" s="177">
        <v>21381</v>
      </c>
      <c r="I565" s="289">
        <v>914</v>
      </c>
      <c r="J565" s="177">
        <v>22587</v>
      </c>
      <c r="K565" s="289">
        <v>902</v>
      </c>
      <c r="L565" s="177">
        <v>23708</v>
      </c>
      <c r="M565" s="289">
        <v>888</v>
      </c>
      <c r="N565" s="177">
        <v>22821.449363305495</v>
      </c>
    </row>
    <row r="566" spans="1:14" ht="13">
      <c r="A566" s="1"/>
      <c r="B566" s="2" t="s">
        <v>1784</v>
      </c>
      <c r="C566" s="290">
        <v>11557</v>
      </c>
      <c r="D566" s="177">
        <v>224957</v>
      </c>
      <c r="E566" s="289">
        <v>11535</v>
      </c>
      <c r="F566" s="177">
        <v>242479</v>
      </c>
      <c r="G566" s="289">
        <v>11618</v>
      </c>
      <c r="H566" s="177">
        <v>274230</v>
      </c>
      <c r="I566" s="289">
        <v>11697</v>
      </c>
      <c r="J566" s="177">
        <v>291981</v>
      </c>
      <c r="K566" s="289">
        <v>11644</v>
      </c>
      <c r="L566" s="177">
        <v>294637</v>
      </c>
      <c r="M566" s="289">
        <v>11679</v>
      </c>
      <c r="N566" s="177">
        <v>298356.77118534915</v>
      </c>
    </row>
    <row r="567" spans="1:14" ht="13">
      <c r="A567" s="1"/>
      <c r="B567" s="2"/>
      <c r="C567" s="290"/>
      <c r="D567" s="177"/>
      <c r="E567" s="289"/>
      <c r="F567" s="177"/>
      <c r="G567" s="289"/>
      <c r="H567" s="177"/>
      <c r="I567" s="289"/>
      <c r="J567" s="177"/>
      <c r="K567" s="289"/>
      <c r="L567" s="177"/>
      <c r="M567" s="289"/>
    </row>
    <row r="568" spans="1:14" ht="13">
      <c r="A568" s="1"/>
      <c r="B568" s="2"/>
      <c r="C568" s="290"/>
      <c r="D568" s="177"/>
      <c r="E568" s="289"/>
      <c r="F568" s="177"/>
      <c r="G568" s="289"/>
      <c r="H568" s="177"/>
      <c r="I568" s="289"/>
      <c r="J568" s="177"/>
      <c r="K568" s="289"/>
      <c r="L568" s="177"/>
      <c r="M568" s="289"/>
    </row>
    <row r="569" spans="1:14" ht="13">
      <c r="A569" s="1"/>
      <c r="B569" s="2"/>
      <c r="C569" s="290"/>
      <c r="D569" s="177"/>
      <c r="E569" s="289"/>
      <c r="F569" s="177"/>
      <c r="G569" s="289"/>
      <c r="H569" s="177"/>
      <c r="I569" s="289"/>
      <c r="J569" s="177"/>
      <c r="K569" s="289"/>
      <c r="L569" s="177"/>
      <c r="M569" s="289"/>
    </row>
    <row r="570" spans="1:14" ht="13">
      <c r="A570" s="1"/>
      <c r="B570" s="2"/>
      <c r="C570" s="290"/>
      <c r="D570" s="177"/>
      <c r="E570" s="289"/>
      <c r="F570" s="177"/>
      <c r="G570" s="289"/>
      <c r="H570" s="177"/>
      <c r="I570" s="289"/>
      <c r="J570" s="177"/>
      <c r="K570" s="289"/>
      <c r="L570" s="177"/>
      <c r="M570" s="289"/>
    </row>
    <row r="571" spans="1:14" ht="13">
      <c r="A571" s="1"/>
      <c r="B571" s="2"/>
      <c r="C571" s="290"/>
      <c r="D571" s="177"/>
      <c r="E571" s="289"/>
      <c r="F571" s="177"/>
      <c r="G571" s="289"/>
      <c r="H571" s="177"/>
      <c r="I571" s="289"/>
      <c r="J571" s="177"/>
      <c r="K571" s="289"/>
      <c r="L571" s="177"/>
      <c r="M571" s="289"/>
    </row>
    <row r="572" spans="1:14" ht="13">
      <c r="A572" s="1"/>
      <c r="B572" s="2"/>
      <c r="C572" s="290"/>
      <c r="D572" s="177"/>
      <c r="E572" s="289"/>
      <c r="F572" s="177"/>
      <c r="G572" s="289"/>
      <c r="H572" s="177"/>
      <c r="I572" s="289"/>
      <c r="J572" s="177"/>
      <c r="K572" s="289"/>
      <c r="L572" s="177"/>
      <c r="M572" s="289"/>
    </row>
    <row r="573" spans="1:14" ht="13">
      <c r="A573" s="1"/>
      <c r="B573" s="2"/>
      <c r="C573" s="290"/>
      <c r="D573" s="177"/>
      <c r="E573" s="289"/>
      <c r="F573" s="177"/>
      <c r="G573" s="289"/>
      <c r="H573" s="177"/>
      <c r="I573" s="289"/>
      <c r="J573" s="177"/>
      <c r="K573" s="289"/>
      <c r="L573" s="177"/>
      <c r="M573" s="289"/>
    </row>
    <row r="574" spans="1:14" ht="13">
      <c r="A574" s="1"/>
      <c r="B574" s="2"/>
      <c r="C574" s="290"/>
      <c r="D574" s="177"/>
      <c r="E574" s="289"/>
      <c r="F574" s="177"/>
      <c r="G574" s="289"/>
      <c r="H574" s="177"/>
      <c r="I574" s="289"/>
      <c r="J574" s="177"/>
      <c r="K574" s="289"/>
      <c r="L574" s="177"/>
      <c r="M574" s="289"/>
    </row>
    <row r="575" spans="1:14" ht="13">
      <c r="A575" s="1"/>
      <c r="B575" s="2"/>
      <c r="C575" s="290"/>
      <c r="D575" s="177"/>
      <c r="E575" s="289"/>
      <c r="F575" s="177"/>
      <c r="G575" s="289"/>
      <c r="H575" s="177"/>
      <c r="I575" s="289"/>
      <c r="J575" s="177"/>
      <c r="K575" s="289"/>
      <c r="L575" s="177"/>
      <c r="M575" s="289"/>
    </row>
    <row r="576" spans="1:14" ht="13">
      <c r="A576" s="1"/>
      <c r="B576" s="2"/>
      <c r="C576" s="290"/>
      <c r="D576" s="177"/>
      <c r="E576" s="289"/>
      <c r="F576" s="177"/>
      <c r="G576" s="289"/>
      <c r="H576" s="177"/>
      <c r="I576" s="289"/>
      <c r="J576" s="177"/>
      <c r="K576" s="289"/>
      <c r="L576" s="177"/>
      <c r="M576" s="289"/>
    </row>
    <row r="577" spans="1:13" ht="13">
      <c r="A577" s="1"/>
      <c r="B577" s="2"/>
      <c r="C577" s="290"/>
      <c r="D577" s="177"/>
      <c r="E577" s="289"/>
      <c r="F577" s="177"/>
      <c r="G577" s="289"/>
      <c r="H577" s="177"/>
      <c r="I577" s="289"/>
      <c r="J577" s="177"/>
      <c r="K577" s="289"/>
      <c r="L577" s="177"/>
      <c r="M577" s="289"/>
    </row>
    <row r="578" spans="1:13" ht="13">
      <c r="A578" s="1"/>
      <c r="B578" s="2"/>
      <c r="C578" s="290"/>
      <c r="D578" s="177"/>
      <c r="E578" s="289"/>
      <c r="F578" s="177"/>
      <c r="G578" s="289"/>
      <c r="H578" s="177"/>
      <c r="I578" s="289"/>
      <c r="J578" s="177"/>
      <c r="K578" s="289"/>
      <c r="L578" s="177"/>
      <c r="M578" s="289"/>
    </row>
    <row r="579" spans="1:13" ht="13">
      <c r="A579" s="1"/>
      <c r="B579" s="2"/>
      <c r="C579" s="290"/>
      <c r="D579" s="177"/>
      <c r="E579" s="289"/>
      <c r="F579" s="177"/>
      <c r="G579" s="289"/>
      <c r="H579" s="177"/>
      <c r="I579" s="289"/>
      <c r="J579" s="177"/>
      <c r="K579" s="289"/>
      <c r="L579" s="177"/>
      <c r="M579" s="289"/>
    </row>
    <row r="580" spans="1:13" ht="13">
      <c r="A580" s="1"/>
      <c r="B580" s="2"/>
      <c r="C580" s="290"/>
      <c r="D580" s="177"/>
      <c r="E580" s="289"/>
      <c r="F580" s="177"/>
      <c r="G580" s="289"/>
      <c r="H580" s="177"/>
      <c r="I580" s="289"/>
      <c r="J580" s="177"/>
      <c r="K580" s="289"/>
      <c r="L580" s="177"/>
      <c r="M580" s="289"/>
    </row>
    <row r="581" spans="1:13" ht="13">
      <c r="A581" s="1"/>
      <c r="B581" s="2"/>
      <c r="C581" s="290"/>
      <c r="D581" s="177"/>
      <c r="E581" s="289"/>
      <c r="F581" s="177"/>
      <c r="G581" s="289"/>
      <c r="H581" s="177"/>
      <c r="I581" s="289"/>
      <c r="J581" s="177"/>
      <c r="K581" s="289"/>
      <c r="L581" s="177"/>
      <c r="M581" s="289"/>
    </row>
    <row r="582" spans="1:13" ht="13">
      <c r="A582" s="1"/>
      <c r="B582" s="2"/>
      <c r="C582" s="290"/>
      <c r="D582" s="177"/>
      <c r="E582" s="289"/>
      <c r="F582" s="177"/>
      <c r="G582" s="289"/>
      <c r="H582" s="177"/>
      <c r="I582" s="289"/>
      <c r="J582" s="177"/>
      <c r="K582" s="289"/>
      <c r="L582" s="177"/>
      <c r="M582" s="289"/>
    </row>
    <row r="583" spans="1:13" ht="13">
      <c r="A583" s="1"/>
      <c r="B583" s="2"/>
      <c r="C583" s="290"/>
      <c r="D583" s="177"/>
      <c r="E583" s="289"/>
      <c r="F583" s="177"/>
      <c r="G583" s="289"/>
      <c r="H583" s="177"/>
      <c r="I583" s="289"/>
      <c r="J583" s="177"/>
      <c r="K583" s="289"/>
      <c r="L583" s="177"/>
      <c r="M583" s="289"/>
    </row>
    <row r="584" spans="1:13" ht="13">
      <c r="A584" s="1"/>
      <c r="B584" s="2"/>
      <c r="C584" s="290"/>
      <c r="D584" s="177"/>
      <c r="E584" s="289"/>
      <c r="F584" s="177"/>
      <c r="G584" s="289"/>
      <c r="H584" s="177"/>
      <c r="I584" s="289"/>
      <c r="J584" s="177"/>
      <c r="K584" s="289"/>
      <c r="L584" s="177"/>
      <c r="M584" s="289"/>
    </row>
    <row r="585" spans="1:13" ht="13">
      <c r="A585" s="1"/>
      <c r="B585" s="2"/>
      <c r="C585" s="290"/>
      <c r="D585" s="177"/>
      <c r="E585" s="289"/>
      <c r="F585" s="177"/>
      <c r="G585" s="289"/>
      <c r="H585" s="177"/>
      <c r="I585" s="289"/>
      <c r="J585" s="177"/>
      <c r="K585" s="289"/>
      <c r="L585" s="177"/>
      <c r="M585" s="289"/>
    </row>
    <row r="586" spans="1:13" ht="13">
      <c r="A586" s="1"/>
      <c r="B586" s="2"/>
      <c r="C586" s="290"/>
      <c r="D586" s="177"/>
      <c r="E586" s="289"/>
      <c r="F586" s="177"/>
      <c r="G586" s="289"/>
      <c r="H586" s="177"/>
      <c r="I586" s="289"/>
      <c r="J586" s="177"/>
      <c r="K586" s="289"/>
      <c r="L586" s="177"/>
      <c r="M586" s="289"/>
    </row>
    <row r="587" spans="1:13" ht="13">
      <c r="A587" s="1"/>
      <c r="B587" s="2"/>
      <c r="C587" s="290"/>
      <c r="D587" s="177"/>
      <c r="E587" s="289"/>
      <c r="F587" s="177"/>
      <c r="G587" s="289"/>
      <c r="H587" s="177"/>
      <c r="I587" s="289"/>
      <c r="J587" s="177"/>
      <c r="K587" s="289"/>
      <c r="L587" s="177"/>
      <c r="M587" s="289"/>
    </row>
    <row r="588" spans="1:13" ht="13">
      <c r="A588" s="1"/>
      <c r="B588" s="2"/>
      <c r="C588" s="290"/>
      <c r="D588" s="177"/>
      <c r="E588" s="289"/>
      <c r="F588" s="177"/>
      <c r="G588" s="289"/>
      <c r="H588" s="177"/>
      <c r="I588" s="289"/>
      <c r="J588" s="177"/>
      <c r="K588" s="289"/>
      <c r="L588" s="177"/>
      <c r="M588" s="289"/>
    </row>
    <row r="589" spans="1:13" ht="13">
      <c r="A589" s="1"/>
      <c r="B589" s="2"/>
      <c r="C589" s="290"/>
      <c r="D589" s="177"/>
      <c r="E589" s="289"/>
      <c r="F589" s="177"/>
      <c r="G589" s="289"/>
      <c r="H589" s="177"/>
      <c r="I589" s="289"/>
      <c r="J589" s="177"/>
      <c r="K589" s="289"/>
      <c r="L589" s="177"/>
      <c r="M589" s="289"/>
    </row>
    <row r="590" spans="1:13" ht="13">
      <c r="A590" s="1"/>
      <c r="B590" s="2"/>
      <c r="C590" s="290"/>
      <c r="D590" s="177"/>
      <c r="E590" s="289"/>
      <c r="F590" s="177"/>
      <c r="G590" s="289"/>
      <c r="H590" s="177"/>
      <c r="I590" s="289"/>
      <c r="J590" s="177"/>
      <c r="K590" s="289"/>
      <c r="L590" s="177"/>
      <c r="M590" s="289"/>
    </row>
    <row r="591" spans="1:13" ht="13">
      <c r="A591" s="1"/>
      <c r="B591" s="2"/>
      <c r="C591" s="290"/>
      <c r="D591" s="177"/>
      <c r="E591" s="289"/>
      <c r="F591" s="177"/>
      <c r="G591" s="289"/>
      <c r="H591" s="177"/>
      <c r="I591" s="289"/>
      <c r="J591" s="177"/>
      <c r="K591" s="289"/>
      <c r="L591" s="177"/>
      <c r="M591" s="289"/>
    </row>
    <row r="592" spans="1:13" ht="13">
      <c r="A592" s="1"/>
      <c r="B592" s="2"/>
      <c r="C592" s="290"/>
      <c r="D592" s="177"/>
      <c r="E592" s="289"/>
      <c r="F592" s="177"/>
      <c r="G592" s="289"/>
      <c r="H592" s="177"/>
      <c r="I592" s="289"/>
      <c r="J592" s="177"/>
      <c r="K592" s="289"/>
      <c r="L592" s="177"/>
      <c r="M592" s="289"/>
    </row>
    <row r="593" spans="1:13" ht="13">
      <c r="A593" s="1"/>
      <c r="B593" s="2"/>
      <c r="C593" s="290"/>
      <c r="D593" s="177"/>
      <c r="E593" s="289"/>
      <c r="F593" s="177"/>
      <c r="G593" s="289"/>
      <c r="H593" s="177"/>
      <c r="I593" s="289"/>
      <c r="J593" s="177"/>
      <c r="K593" s="289"/>
      <c r="L593" s="177"/>
      <c r="M593" s="289"/>
    </row>
    <row r="594" spans="1:13" ht="13">
      <c r="A594" s="1"/>
      <c r="B594" s="2"/>
      <c r="C594" s="290"/>
      <c r="D594" s="177"/>
      <c r="E594" s="289"/>
      <c r="F594" s="177"/>
      <c r="G594" s="289"/>
      <c r="H594" s="177"/>
      <c r="I594" s="289"/>
      <c r="J594" s="177"/>
      <c r="K594" s="289"/>
      <c r="L594" s="177"/>
      <c r="M594" s="289"/>
    </row>
    <row r="595" spans="1:13" ht="13">
      <c r="A595" s="1"/>
      <c r="B595" s="2"/>
      <c r="C595" s="290"/>
      <c r="D595" s="177"/>
      <c r="E595" s="289"/>
      <c r="F595" s="177"/>
      <c r="G595" s="289"/>
      <c r="H595" s="177"/>
      <c r="I595" s="289"/>
      <c r="J595" s="177"/>
      <c r="K595" s="289"/>
      <c r="L595" s="177"/>
      <c r="M595" s="289"/>
    </row>
    <row r="596" spans="1:13" ht="13">
      <c r="A596" s="1"/>
      <c r="B596" s="2"/>
      <c r="C596" s="290"/>
      <c r="D596" s="177"/>
      <c r="E596" s="289"/>
      <c r="F596" s="177"/>
      <c r="G596" s="289"/>
      <c r="H596" s="177"/>
      <c r="I596" s="289"/>
      <c r="J596" s="177"/>
      <c r="K596" s="289"/>
      <c r="L596" s="177"/>
      <c r="M596" s="289"/>
    </row>
    <row r="597" spans="1:13" ht="13">
      <c r="A597" s="1"/>
      <c r="B597" s="2"/>
      <c r="C597" s="290"/>
      <c r="D597" s="177"/>
      <c r="E597" s="289"/>
      <c r="F597" s="177"/>
      <c r="G597" s="289"/>
      <c r="H597" s="177"/>
      <c r="I597" s="289"/>
      <c r="J597" s="177"/>
      <c r="K597" s="289"/>
      <c r="L597" s="177"/>
      <c r="M597" s="289"/>
    </row>
    <row r="598" spans="1:13" ht="13">
      <c r="A598" s="1"/>
      <c r="B598" s="2"/>
      <c r="C598" s="290"/>
      <c r="D598" s="177"/>
      <c r="E598" s="289"/>
      <c r="F598" s="177"/>
      <c r="G598" s="289"/>
      <c r="H598" s="177"/>
      <c r="I598" s="289"/>
      <c r="J598" s="177"/>
      <c r="K598" s="289"/>
      <c r="L598" s="177"/>
      <c r="M598" s="289"/>
    </row>
    <row r="599" spans="1:13" ht="13">
      <c r="A599" s="1"/>
      <c r="B599" s="2"/>
      <c r="C599" s="290"/>
      <c r="D599" s="177"/>
      <c r="E599" s="289"/>
      <c r="F599" s="177"/>
      <c r="G599" s="289"/>
      <c r="H599" s="177"/>
      <c r="I599" s="289"/>
      <c r="J599" s="177"/>
      <c r="K599" s="289"/>
      <c r="L599" s="177"/>
      <c r="M599" s="289"/>
    </row>
    <row r="600" spans="1:13" ht="13">
      <c r="A600" s="1"/>
      <c r="B600" s="2"/>
      <c r="C600" s="290"/>
      <c r="D600" s="177"/>
      <c r="E600" s="289"/>
      <c r="F600" s="177"/>
      <c r="G600" s="289"/>
      <c r="H600" s="177"/>
      <c r="I600" s="289"/>
      <c r="J600" s="177"/>
      <c r="K600" s="289"/>
      <c r="L600" s="177"/>
      <c r="M600" s="289"/>
    </row>
    <row r="601" spans="1:13" ht="13">
      <c r="A601" s="1"/>
      <c r="B601" s="2"/>
      <c r="C601" s="290"/>
      <c r="D601" s="177"/>
      <c r="E601" s="289"/>
      <c r="F601" s="177"/>
      <c r="G601" s="289"/>
      <c r="H601" s="177"/>
      <c r="I601" s="289"/>
      <c r="J601" s="177"/>
      <c r="K601" s="289"/>
      <c r="L601" s="177"/>
      <c r="M601" s="289"/>
    </row>
    <row r="602" spans="1:13" ht="13">
      <c r="A602" s="1"/>
      <c r="B602" s="2"/>
      <c r="C602" s="290"/>
      <c r="D602" s="177"/>
      <c r="E602" s="289"/>
      <c r="F602" s="177"/>
      <c r="G602" s="289"/>
      <c r="H602" s="177"/>
      <c r="I602" s="289"/>
      <c r="J602" s="177"/>
      <c r="K602" s="289"/>
      <c r="L602" s="177"/>
      <c r="M602" s="289"/>
    </row>
    <row r="603" spans="1:13" ht="13">
      <c r="A603" s="1"/>
      <c r="B603" s="2"/>
      <c r="C603" s="290"/>
      <c r="D603" s="177"/>
      <c r="E603" s="289"/>
      <c r="F603" s="177"/>
      <c r="G603" s="289"/>
      <c r="H603" s="177"/>
      <c r="I603" s="289"/>
      <c r="J603" s="177"/>
      <c r="K603" s="289"/>
      <c r="L603" s="177"/>
      <c r="M603" s="289"/>
    </row>
    <row r="604" spans="1:13" ht="13">
      <c r="A604" s="1"/>
      <c r="B604" s="2"/>
      <c r="C604" s="290"/>
      <c r="D604" s="177"/>
      <c r="E604" s="289"/>
      <c r="F604" s="177"/>
      <c r="G604" s="289"/>
      <c r="H604" s="177"/>
      <c r="I604" s="289"/>
      <c r="J604" s="177"/>
      <c r="K604" s="289"/>
      <c r="L604" s="177"/>
      <c r="M604" s="289"/>
    </row>
    <row r="605" spans="1:13" ht="13">
      <c r="A605" s="1"/>
      <c r="B605" s="2"/>
      <c r="C605" s="290"/>
      <c r="D605" s="177"/>
      <c r="E605" s="289"/>
      <c r="F605" s="177"/>
      <c r="G605" s="289"/>
      <c r="H605" s="177"/>
      <c r="I605" s="289"/>
      <c r="J605" s="177"/>
      <c r="K605" s="289"/>
      <c r="L605" s="177"/>
      <c r="M605" s="289"/>
    </row>
    <row r="606" spans="1:13" ht="13">
      <c r="A606" s="1"/>
      <c r="B606" s="2"/>
      <c r="C606" s="290"/>
      <c r="D606" s="177"/>
      <c r="E606" s="289"/>
      <c r="F606" s="177"/>
      <c r="G606" s="289"/>
      <c r="H606" s="177"/>
      <c r="I606" s="289"/>
      <c r="J606" s="177"/>
      <c r="K606" s="289"/>
      <c r="L606" s="177"/>
      <c r="M606" s="289"/>
    </row>
    <row r="607" spans="1:13" ht="13">
      <c r="A607" s="1"/>
      <c r="B607" s="2"/>
      <c r="C607" s="290"/>
      <c r="D607" s="177"/>
      <c r="E607" s="289"/>
      <c r="F607" s="177"/>
      <c r="G607" s="289"/>
      <c r="H607" s="177"/>
      <c r="I607" s="289"/>
      <c r="J607" s="177"/>
      <c r="K607" s="289"/>
      <c r="L607" s="177"/>
      <c r="M607" s="289"/>
    </row>
    <row r="608" spans="1:13" ht="13">
      <c r="A608" s="1"/>
      <c r="B608" s="2"/>
      <c r="C608" s="290"/>
      <c r="D608" s="177"/>
      <c r="E608" s="289"/>
      <c r="F608" s="177"/>
      <c r="G608" s="289"/>
      <c r="H608" s="177"/>
      <c r="I608" s="289"/>
      <c r="J608" s="177"/>
      <c r="K608" s="289"/>
      <c r="L608" s="177"/>
      <c r="M608" s="289"/>
    </row>
    <row r="609" spans="1:13" ht="13">
      <c r="A609" s="1"/>
      <c r="B609" s="2"/>
      <c r="C609" s="290"/>
      <c r="D609" s="177"/>
      <c r="E609" s="289"/>
      <c r="F609" s="177"/>
      <c r="G609" s="289"/>
      <c r="H609" s="177"/>
      <c r="I609" s="289"/>
      <c r="J609" s="177"/>
      <c r="K609" s="289"/>
      <c r="L609" s="177"/>
      <c r="M609" s="289"/>
    </row>
    <row r="610" spans="1:13" ht="13">
      <c r="A610" s="1"/>
      <c r="B610" s="2"/>
      <c r="C610" s="290"/>
      <c r="D610" s="177"/>
      <c r="E610" s="289"/>
      <c r="F610" s="177"/>
      <c r="G610" s="289"/>
      <c r="H610" s="177"/>
      <c r="I610" s="289"/>
      <c r="J610" s="177"/>
      <c r="K610" s="289"/>
      <c r="L610" s="177"/>
      <c r="M610" s="289"/>
    </row>
    <row r="611" spans="1:13" ht="13">
      <c r="A611" s="1"/>
      <c r="B611" s="2"/>
      <c r="C611" s="290"/>
      <c r="D611" s="177"/>
      <c r="E611" s="289"/>
      <c r="F611" s="177"/>
      <c r="G611" s="289"/>
      <c r="H611" s="177"/>
      <c r="I611" s="289"/>
      <c r="J611" s="177"/>
      <c r="K611" s="289"/>
      <c r="L611" s="177"/>
      <c r="M611" s="289"/>
    </row>
    <row r="612" spans="1:13" ht="13">
      <c r="A612" s="1"/>
      <c r="B612" s="2"/>
      <c r="C612" s="290"/>
      <c r="D612" s="177"/>
      <c r="E612" s="289"/>
      <c r="F612" s="177"/>
      <c r="G612" s="289"/>
      <c r="H612" s="177"/>
      <c r="I612" s="289"/>
      <c r="J612" s="177"/>
      <c r="K612" s="289"/>
      <c r="L612" s="177"/>
      <c r="M612" s="289"/>
    </row>
    <row r="613" spans="1:13" ht="13">
      <c r="A613" s="1"/>
      <c r="B613" s="2"/>
      <c r="C613" s="290"/>
      <c r="D613" s="177"/>
      <c r="E613" s="289"/>
      <c r="F613" s="177"/>
      <c r="G613" s="289"/>
      <c r="H613" s="177"/>
      <c r="I613" s="289"/>
      <c r="J613" s="177"/>
      <c r="K613" s="289"/>
      <c r="L613" s="177"/>
      <c r="M613" s="289"/>
    </row>
    <row r="614" spans="1:13" ht="13">
      <c r="A614" s="1"/>
      <c r="B614" s="2"/>
      <c r="C614" s="290"/>
      <c r="D614" s="177"/>
      <c r="E614" s="289"/>
      <c r="F614" s="177"/>
      <c r="G614" s="289"/>
      <c r="H614" s="177"/>
      <c r="I614" s="289"/>
      <c r="J614" s="177"/>
      <c r="K614" s="289"/>
      <c r="L614" s="177"/>
      <c r="M614" s="289"/>
    </row>
    <row r="615" spans="1:13" ht="13">
      <c r="A615" s="1"/>
      <c r="B615" s="2"/>
      <c r="C615" s="290"/>
      <c r="D615" s="177"/>
      <c r="E615" s="289"/>
      <c r="F615" s="177"/>
      <c r="G615" s="289"/>
      <c r="H615" s="177"/>
      <c r="I615" s="289"/>
      <c r="J615" s="177"/>
      <c r="K615" s="289"/>
      <c r="L615" s="177"/>
      <c r="M615" s="289"/>
    </row>
    <row r="616" spans="1:13" ht="13">
      <c r="A616" s="1"/>
      <c r="B616" s="2"/>
      <c r="C616" s="290"/>
      <c r="D616" s="177"/>
      <c r="E616" s="289"/>
      <c r="F616" s="177"/>
      <c r="G616" s="289"/>
      <c r="H616" s="177"/>
      <c r="I616" s="289"/>
      <c r="J616" s="177"/>
      <c r="K616" s="289"/>
      <c r="L616" s="177"/>
      <c r="M616" s="289"/>
    </row>
    <row r="617" spans="1:13" ht="13">
      <c r="A617" s="1"/>
      <c r="B617" s="2"/>
      <c r="C617" s="290"/>
      <c r="D617" s="177"/>
      <c r="E617" s="289"/>
      <c r="F617" s="177"/>
      <c r="G617" s="289"/>
      <c r="H617" s="177"/>
      <c r="I617" s="289"/>
      <c r="J617" s="177"/>
      <c r="K617" s="289"/>
      <c r="L617" s="177"/>
      <c r="M617" s="289"/>
    </row>
    <row r="618" spans="1:13" ht="13">
      <c r="A618" s="1"/>
      <c r="B618" s="2"/>
      <c r="C618" s="290"/>
      <c r="D618" s="177"/>
      <c r="E618" s="289"/>
      <c r="F618" s="177"/>
      <c r="G618" s="289"/>
      <c r="H618" s="177"/>
      <c r="I618" s="289"/>
      <c r="J618" s="177"/>
      <c r="K618" s="289"/>
      <c r="L618" s="177"/>
      <c r="M618" s="289"/>
    </row>
    <row r="619" spans="1:13" ht="13">
      <c r="A619" s="1"/>
      <c r="B619" s="2"/>
      <c r="C619" s="290"/>
      <c r="D619" s="177"/>
      <c r="E619" s="289"/>
      <c r="F619" s="177"/>
      <c r="G619" s="289"/>
      <c r="H619" s="177"/>
      <c r="I619" s="289"/>
      <c r="J619" s="177"/>
      <c r="K619" s="289"/>
      <c r="L619" s="177"/>
      <c r="M619" s="289"/>
    </row>
    <row r="620" spans="1:13" ht="13">
      <c r="A620" s="1"/>
      <c r="B620" s="2"/>
      <c r="C620" s="290"/>
      <c r="D620" s="177"/>
      <c r="E620" s="289"/>
      <c r="F620" s="177"/>
      <c r="G620" s="289"/>
      <c r="H620" s="177"/>
      <c r="I620" s="289"/>
      <c r="J620" s="177"/>
      <c r="K620" s="289"/>
      <c r="L620" s="177"/>
      <c r="M620" s="289"/>
    </row>
    <row r="621" spans="1:13" ht="13">
      <c r="A621" s="1"/>
      <c r="B621" s="2"/>
      <c r="C621" s="290"/>
      <c r="D621" s="177"/>
      <c r="E621" s="289"/>
      <c r="F621" s="177"/>
      <c r="G621" s="289"/>
      <c r="H621" s="177"/>
      <c r="I621" s="289"/>
      <c r="J621" s="177"/>
      <c r="K621" s="289"/>
      <c r="L621" s="177"/>
      <c r="M621" s="289"/>
    </row>
    <row r="622" spans="1:13" ht="13">
      <c r="A622" s="1"/>
      <c r="B622" s="2"/>
      <c r="C622" s="290"/>
      <c r="D622" s="177"/>
      <c r="E622" s="289"/>
      <c r="F622" s="177"/>
      <c r="G622" s="289"/>
      <c r="H622" s="177"/>
      <c r="I622" s="289"/>
      <c r="J622" s="177"/>
      <c r="K622" s="289"/>
      <c r="L622" s="177"/>
      <c r="M622" s="289"/>
    </row>
    <row r="623" spans="1:13" ht="13">
      <c r="A623" s="1"/>
      <c r="B623" s="2"/>
      <c r="C623" s="290"/>
      <c r="D623" s="177"/>
      <c r="E623" s="289"/>
      <c r="F623" s="177"/>
      <c r="G623" s="289"/>
      <c r="H623" s="177"/>
      <c r="I623" s="289"/>
      <c r="J623" s="177"/>
      <c r="K623" s="289"/>
      <c r="L623" s="177"/>
      <c r="M623" s="289"/>
    </row>
    <row r="624" spans="1:13" ht="13">
      <c r="A624" s="1"/>
      <c r="B624" s="2"/>
      <c r="C624" s="290"/>
      <c r="D624" s="177"/>
      <c r="E624" s="289"/>
      <c r="F624" s="177"/>
      <c r="G624" s="289"/>
      <c r="H624" s="177"/>
      <c r="I624" s="289"/>
      <c r="J624" s="177"/>
      <c r="K624" s="289"/>
      <c r="L624" s="177"/>
      <c r="M624" s="289"/>
    </row>
    <row r="625" spans="1:13" ht="13">
      <c r="A625" s="1"/>
      <c r="B625" s="2"/>
      <c r="C625" s="290"/>
      <c r="D625" s="177"/>
      <c r="E625" s="289"/>
      <c r="F625" s="177"/>
      <c r="G625" s="289"/>
      <c r="H625" s="177"/>
      <c r="I625" s="289"/>
      <c r="J625" s="177"/>
      <c r="K625" s="289"/>
      <c r="L625" s="177"/>
      <c r="M625" s="289"/>
    </row>
    <row r="626" spans="1:13" ht="13">
      <c r="A626" s="1"/>
      <c r="B626" s="2"/>
      <c r="C626" s="290"/>
      <c r="D626" s="177"/>
      <c r="E626" s="289"/>
      <c r="F626" s="177"/>
      <c r="G626" s="289"/>
      <c r="H626" s="177"/>
      <c r="I626" s="289"/>
      <c r="J626" s="177"/>
      <c r="K626" s="289"/>
      <c r="L626" s="177"/>
      <c r="M626" s="289"/>
    </row>
    <row r="627" spans="1:13" ht="13">
      <c r="A627" s="1"/>
      <c r="B627" s="2"/>
      <c r="C627" s="290"/>
      <c r="D627" s="177"/>
      <c r="E627" s="289"/>
      <c r="F627" s="177"/>
      <c r="G627" s="289"/>
      <c r="H627" s="177"/>
      <c r="I627" s="289"/>
      <c r="J627" s="177"/>
      <c r="K627" s="289"/>
      <c r="L627" s="177"/>
      <c r="M627" s="289"/>
    </row>
    <row r="628" spans="1:13" ht="13">
      <c r="A628" s="1"/>
      <c r="B628" s="2"/>
      <c r="C628" s="290"/>
      <c r="D628" s="177"/>
      <c r="E628" s="289"/>
      <c r="F628" s="177"/>
      <c r="G628" s="289"/>
      <c r="H628" s="177"/>
      <c r="I628" s="289"/>
      <c r="J628" s="177"/>
      <c r="K628" s="289"/>
      <c r="L628" s="177"/>
      <c r="M628" s="289"/>
    </row>
    <row r="629" spans="1:13" ht="13">
      <c r="A629" s="1"/>
      <c r="B629" s="2"/>
      <c r="C629" s="290"/>
      <c r="D629" s="177"/>
      <c r="E629" s="289"/>
      <c r="F629" s="177"/>
      <c r="G629" s="289"/>
      <c r="H629" s="177"/>
      <c r="I629" s="289"/>
      <c r="J629" s="177"/>
      <c r="K629" s="289"/>
      <c r="L629" s="177"/>
      <c r="M629" s="289"/>
    </row>
    <row r="630" spans="1:13" ht="13">
      <c r="A630" s="1"/>
      <c r="B630" s="2"/>
      <c r="C630" s="290"/>
      <c r="D630" s="177"/>
      <c r="E630" s="289"/>
      <c r="F630" s="177"/>
      <c r="G630" s="289"/>
      <c r="H630" s="177"/>
      <c r="I630" s="289"/>
      <c r="J630" s="177"/>
      <c r="K630" s="289"/>
      <c r="L630" s="177"/>
      <c r="M630" s="289"/>
    </row>
    <row r="631" spans="1:13" ht="13">
      <c r="A631" s="1"/>
      <c r="B631" s="2"/>
      <c r="C631" s="290"/>
      <c r="D631" s="177"/>
      <c r="E631" s="289"/>
      <c r="F631" s="177"/>
      <c r="G631" s="289"/>
      <c r="H631" s="177"/>
      <c r="I631" s="289"/>
      <c r="J631" s="177"/>
      <c r="K631" s="289"/>
      <c r="L631" s="177"/>
      <c r="M631" s="289"/>
    </row>
    <row r="632" spans="1:13" ht="13">
      <c r="A632" s="1"/>
      <c r="B632" s="2"/>
      <c r="C632" s="290"/>
      <c r="D632" s="177"/>
      <c r="E632" s="289"/>
      <c r="F632" s="177"/>
      <c r="G632" s="289"/>
      <c r="H632" s="177"/>
      <c r="I632" s="289"/>
      <c r="J632" s="177"/>
      <c r="K632" s="289"/>
      <c r="L632" s="177"/>
      <c r="M632" s="289"/>
    </row>
    <row r="633" spans="1:13" ht="13">
      <c r="A633" s="1"/>
      <c r="B633" s="2"/>
      <c r="C633" s="290"/>
      <c r="D633" s="177"/>
      <c r="E633" s="289"/>
      <c r="F633" s="177"/>
      <c r="G633" s="289"/>
      <c r="H633" s="177"/>
      <c r="I633" s="289"/>
      <c r="J633" s="177"/>
      <c r="K633" s="289"/>
      <c r="L633" s="177"/>
      <c r="M633" s="289"/>
    </row>
    <row r="634" spans="1:13" ht="13">
      <c r="A634" s="1"/>
      <c r="B634" s="2"/>
      <c r="C634" s="290"/>
      <c r="D634" s="177"/>
      <c r="E634" s="289"/>
      <c r="F634" s="177"/>
      <c r="G634" s="289"/>
      <c r="H634" s="177"/>
      <c r="I634" s="289"/>
      <c r="J634" s="177"/>
      <c r="K634" s="289"/>
      <c r="L634" s="177"/>
      <c r="M634" s="289"/>
    </row>
    <row r="635" spans="1:13" ht="13">
      <c r="A635" s="1"/>
      <c r="B635" s="2"/>
      <c r="C635" s="290"/>
      <c r="D635" s="177"/>
      <c r="E635" s="289"/>
      <c r="F635" s="177"/>
      <c r="G635" s="289"/>
      <c r="H635" s="177"/>
      <c r="I635" s="289"/>
      <c r="J635" s="177"/>
      <c r="K635" s="289"/>
      <c r="L635" s="177"/>
      <c r="M635" s="289"/>
    </row>
    <row r="636" spans="1:13" ht="13">
      <c r="A636" s="1"/>
      <c r="B636" s="2"/>
      <c r="C636" s="290"/>
      <c r="D636" s="177"/>
      <c r="E636" s="289"/>
      <c r="F636" s="177"/>
      <c r="G636" s="289"/>
      <c r="H636" s="177"/>
      <c r="I636" s="289"/>
      <c r="J636" s="177"/>
      <c r="K636" s="289"/>
      <c r="L636" s="177"/>
      <c r="M636" s="289"/>
    </row>
    <row r="637" spans="1:13" ht="13">
      <c r="A637" s="1"/>
      <c r="B637" s="2"/>
      <c r="C637" s="290"/>
      <c r="D637" s="177"/>
      <c r="E637" s="289"/>
      <c r="F637" s="177"/>
      <c r="G637" s="289"/>
      <c r="H637" s="177"/>
      <c r="I637" s="289"/>
      <c r="J637" s="177"/>
      <c r="K637" s="289"/>
      <c r="L637" s="177"/>
      <c r="M637" s="289"/>
    </row>
    <row r="638" spans="1:13" ht="13">
      <c r="A638" s="1"/>
      <c r="B638" s="2"/>
      <c r="C638" s="290"/>
      <c r="D638" s="177"/>
      <c r="E638" s="289"/>
      <c r="F638" s="177"/>
      <c r="G638" s="289"/>
      <c r="H638" s="177"/>
      <c r="I638" s="289"/>
      <c r="J638" s="177"/>
      <c r="K638" s="289"/>
      <c r="L638" s="177"/>
      <c r="M638" s="289"/>
    </row>
    <row r="639" spans="1:13" ht="13">
      <c r="A639" s="1"/>
      <c r="B639" s="2"/>
      <c r="C639" s="290"/>
      <c r="D639" s="177"/>
      <c r="E639" s="289"/>
      <c r="F639" s="177"/>
      <c r="G639" s="289"/>
      <c r="H639" s="177"/>
      <c r="I639" s="289"/>
      <c r="J639" s="177"/>
      <c r="K639" s="289"/>
      <c r="L639" s="177"/>
      <c r="M639" s="289"/>
    </row>
    <row r="640" spans="1:13" ht="13">
      <c r="A640" s="1"/>
      <c r="B640" s="2"/>
      <c r="C640" s="290"/>
      <c r="D640" s="177"/>
      <c r="E640" s="289"/>
      <c r="F640" s="177"/>
      <c r="G640" s="289"/>
      <c r="H640" s="177"/>
      <c r="I640" s="289"/>
      <c r="J640" s="177"/>
      <c r="K640" s="289"/>
      <c r="L640" s="177"/>
      <c r="M640" s="289"/>
    </row>
    <row r="641" spans="1:13" ht="13">
      <c r="A641" s="1"/>
      <c r="B641" s="2"/>
      <c r="C641" s="290"/>
      <c r="D641" s="177"/>
      <c r="E641" s="289"/>
      <c r="F641" s="177"/>
      <c r="G641" s="289"/>
      <c r="H641" s="177"/>
      <c r="I641" s="289"/>
      <c r="J641" s="177"/>
      <c r="K641" s="289"/>
      <c r="L641" s="177"/>
      <c r="M641" s="289"/>
    </row>
    <row r="642" spans="1:13" ht="13">
      <c r="A642" s="1"/>
      <c r="B642" s="2"/>
      <c r="C642" s="290"/>
      <c r="D642" s="177"/>
      <c r="E642" s="289"/>
      <c r="F642" s="177"/>
      <c r="G642" s="289"/>
      <c r="H642" s="177"/>
      <c r="I642" s="289"/>
      <c r="J642" s="177"/>
      <c r="K642" s="289"/>
      <c r="L642" s="177"/>
      <c r="M642" s="289"/>
    </row>
    <row r="643" spans="1:13" ht="13">
      <c r="A643" s="1"/>
      <c r="B643" s="2"/>
      <c r="C643" s="290"/>
      <c r="D643" s="177"/>
      <c r="E643" s="289"/>
      <c r="F643" s="177"/>
      <c r="G643" s="289"/>
      <c r="H643" s="177"/>
      <c r="I643" s="289"/>
      <c r="J643" s="177"/>
      <c r="K643" s="289"/>
      <c r="L643" s="177"/>
      <c r="M643" s="289"/>
    </row>
    <row r="644" spans="1:13" ht="13">
      <c r="A644" s="1"/>
      <c r="B644" s="2"/>
      <c r="C644" s="290"/>
      <c r="D644" s="177"/>
      <c r="E644" s="289"/>
      <c r="F644" s="177"/>
      <c r="G644" s="289"/>
      <c r="H644" s="177"/>
      <c r="I644" s="289"/>
      <c r="J644" s="177"/>
      <c r="K644" s="289"/>
      <c r="L644" s="177"/>
      <c r="M644" s="289"/>
    </row>
    <row r="645" spans="1:13" ht="13">
      <c r="A645" s="1"/>
      <c r="B645" s="2"/>
      <c r="C645" s="290"/>
      <c r="D645" s="177"/>
      <c r="E645" s="289"/>
      <c r="F645" s="177"/>
      <c r="G645" s="289"/>
      <c r="H645" s="177"/>
      <c r="I645" s="289"/>
      <c r="J645" s="177"/>
      <c r="K645" s="289"/>
      <c r="L645" s="177"/>
      <c r="M645" s="289"/>
    </row>
    <row r="646" spans="1:13" ht="13">
      <c r="A646" s="1"/>
      <c r="B646" s="2"/>
      <c r="C646" s="290"/>
      <c r="D646" s="177"/>
      <c r="E646" s="289"/>
      <c r="F646" s="177"/>
      <c r="G646" s="289"/>
      <c r="H646" s="177"/>
      <c r="I646" s="289"/>
      <c r="J646" s="177"/>
      <c r="K646" s="289"/>
      <c r="L646" s="177"/>
      <c r="M646" s="289"/>
    </row>
    <row r="647" spans="1:13" ht="13">
      <c r="A647" s="1"/>
      <c r="B647" s="2"/>
      <c r="C647" s="290"/>
      <c r="D647" s="177"/>
      <c r="E647" s="289"/>
      <c r="F647" s="177"/>
      <c r="G647" s="289"/>
      <c r="H647" s="177"/>
      <c r="I647" s="289"/>
      <c r="J647" s="177"/>
      <c r="K647" s="289"/>
      <c r="L647" s="177"/>
      <c r="M647" s="289"/>
    </row>
    <row r="648" spans="1:13" ht="13">
      <c r="A648" s="1"/>
      <c r="B648" s="2"/>
      <c r="C648" s="290"/>
      <c r="D648" s="177"/>
      <c r="E648" s="289"/>
      <c r="F648" s="177"/>
      <c r="G648" s="289"/>
      <c r="H648" s="177"/>
      <c r="I648" s="289"/>
      <c r="J648" s="177"/>
      <c r="K648" s="289"/>
      <c r="L648" s="177"/>
      <c r="M648" s="289"/>
    </row>
    <row r="649" spans="1:13" ht="13">
      <c r="A649" s="1"/>
      <c r="B649" s="2"/>
      <c r="C649" s="290"/>
      <c r="D649" s="177"/>
      <c r="E649" s="289"/>
      <c r="F649" s="177"/>
      <c r="G649" s="289"/>
      <c r="H649" s="177"/>
      <c r="I649" s="289"/>
      <c r="J649" s="177"/>
      <c r="K649" s="289"/>
      <c r="L649" s="177"/>
      <c r="M649" s="289"/>
    </row>
    <row r="650" spans="1:13" ht="13">
      <c r="A650" s="1"/>
      <c r="B650" s="2"/>
      <c r="C650" s="290"/>
      <c r="D650" s="177"/>
      <c r="E650" s="289"/>
      <c r="F650" s="177"/>
      <c r="G650" s="289"/>
      <c r="H650" s="177"/>
      <c r="I650" s="289"/>
      <c r="J650" s="177"/>
      <c r="K650" s="289"/>
      <c r="L650" s="177"/>
      <c r="M650" s="289"/>
    </row>
    <row r="651" spans="1:13" ht="13">
      <c r="A651" s="1"/>
      <c r="B651" s="2"/>
      <c r="C651" s="290"/>
      <c r="D651" s="177"/>
      <c r="E651" s="289"/>
      <c r="F651" s="177"/>
      <c r="G651" s="289"/>
      <c r="H651" s="177"/>
      <c r="I651" s="289"/>
      <c r="J651" s="177"/>
      <c r="K651" s="289"/>
      <c r="L651" s="177"/>
      <c r="M651" s="289"/>
    </row>
    <row r="652" spans="1:13" ht="13">
      <c r="A652" s="1"/>
      <c r="B652" s="2"/>
      <c r="C652" s="289"/>
      <c r="D652" s="177"/>
      <c r="E652" s="289"/>
      <c r="F652" s="177"/>
      <c r="G652" s="289"/>
      <c r="H652" s="177"/>
      <c r="I652" s="289"/>
      <c r="J652" s="177"/>
      <c r="K652" s="289"/>
      <c r="L652" s="177"/>
      <c r="M652" s="289"/>
    </row>
    <row r="653" spans="1:13" ht="13">
      <c r="A653" s="1"/>
      <c r="B653" s="2"/>
      <c r="C653" s="289"/>
      <c r="D653" s="177"/>
      <c r="E653" s="289"/>
      <c r="F653" s="177"/>
      <c r="G653" s="289"/>
      <c r="H653" s="177"/>
      <c r="I653" s="289"/>
      <c r="J653" s="177"/>
      <c r="K653" s="289"/>
      <c r="L653" s="177"/>
      <c r="M653" s="289"/>
    </row>
    <row r="654" spans="1:13" ht="13">
      <c r="A654" s="1"/>
      <c r="B654" s="2"/>
      <c r="C654" s="289"/>
      <c r="D654" s="177"/>
      <c r="E654" s="289"/>
      <c r="F654" s="177"/>
      <c r="G654" s="289"/>
      <c r="H654" s="177"/>
      <c r="I654" s="289"/>
      <c r="J654" s="177"/>
      <c r="K654" s="289"/>
      <c r="L654" s="177"/>
      <c r="M654" s="289"/>
    </row>
    <row r="655" spans="1:13" ht="13">
      <c r="A655" s="1"/>
      <c r="B655" s="2"/>
      <c r="C655" s="289"/>
      <c r="D655" s="177"/>
      <c r="E655" s="289"/>
      <c r="F655" s="177"/>
      <c r="G655" s="289"/>
      <c r="H655" s="177"/>
      <c r="I655" s="289"/>
      <c r="J655" s="177"/>
      <c r="K655" s="289"/>
      <c r="L655" s="177"/>
      <c r="M655" s="289"/>
    </row>
    <row r="656" spans="1:13" ht="13">
      <c r="A656" s="1"/>
      <c r="B656" s="2"/>
      <c r="C656" s="289"/>
      <c r="D656" s="177"/>
      <c r="E656" s="289"/>
      <c r="F656" s="177"/>
      <c r="G656" s="289"/>
      <c r="H656" s="177"/>
      <c r="I656" s="289"/>
      <c r="J656" s="177"/>
      <c r="K656" s="289"/>
      <c r="L656" s="177"/>
      <c r="M656" s="289"/>
    </row>
    <row r="657" spans="1:13" ht="13">
      <c r="A657" s="1"/>
      <c r="B657" s="2"/>
      <c r="C657" s="289"/>
      <c r="D657" s="177"/>
      <c r="E657" s="289"/>
      <c r="F657" s="177"/>
      <c r="G657" s="289"/>
      <c r="H657" s="177"/>
      <c r="I657" s="289"/>
      <c r="J657" s="177"/>
      <c r="K657" s="289"/>
      <c r="L657" s="177"/>
      <c r="M657" s="289"/>
    </row>
    <row r="658" spans="1:13" ht="13">
      <c r="A658" s="1"/>
      <c r="B658" s="2"/>
      <c r="C658" s="289"/>
      <c r="D658" s="177"/>
      <c r="E658" s="289"/>
      <c r="F658" s="177"/>
      <c r="G658" s="289"/>
      <c r="H658" s="177"/>
      <c r="I658" s="289"/>
      <c r="J658" s="177"/>
      <c r="K658" s="289"/>
      <c r="L658" s="177"/>
      <c r="M658" s="289"/>
    </row>
    <row r="659" spans="1:13" ht="13">
      <c r="A659" s="1"/>
      <c r="B659" s="2"/>
      <c r="C659" s="289"/>
      <c r="D659" s="177"/>
      <c r="E659" s="289"/>
      <c r="F659" s="177"/>
      <c r="G659" s="289"/>
      <c r="H659" s="177"/>
      <c r="I659" s="289"/>
      <c r="J659" s="177"/>
      <c r="K659" s="289"/>
      <c r="L659" s="177"/>
      <c r="M659" s="289"/>
    </row>
    <row r="660" spans="1:13" ht="13">
      <c r="A660" s="1"/>
      <c r="B660" s="2"/>
      <c r="C660" s="289"/>
      <c r="D660" s="177"/>
      <c r="E660" s="289"/>
      <c r="F660" s="177"/>
      <c r="G660" s="289"/>
      <c r="H660" s="177"/>
      <c r="I660" s="289"/>
      <c r="J660" s="177"/>
      <c r="K660" s="289"/>
      <c r="L660" s="177"/>
      <c r="M660" s="289"/>
    </row>
    <row r="661" spans="1:13" ht="13">
      <c r="A661" s="1"/>
      <c r="B661" s="2"/>
      <c r="C661" s="289"/>
      <c r="D661" s="177"/>
      <c r="E661" s="289"/>
      <c r="F661" s="177"/>
      <c r="G661" s="289"/>
      <c r="H661" s="177"/>
      <c r="I661" s="289"/>
      <c r="J661" s="177"/>
      <c r="K661" s="289"/>
      <c r="L661" s="177"/>
      <c r="M661" s="289"/>
    </row>
    <row r="662" spans="1:13" ht="13">
      <c r="A662" s="1"/>
      <c r="B662" s="2"/>
      <c r="C662" s="289"/>
      <c r="D662" s="177"/>
      <c r="E662" s="289"/>
      <c r="F662" s="177"/>
      <c r="G662" s="289"/>
      <c r="H662" s="177"/>
      <c r="I662" s="289"/>
      <c r="J662" s="177"/>
      <c r="K662" s="289"/>
      <c r="L662" s="177"/>
      <c r="M662" s="289"/>
    </row>
    <row r="663" spans="1:13" ht="13">
      <c r="A663" s="1"/>
      <c r="B663" s="2"/>
      <c r="C663" s="289"/>
      <c r="D663" s="177"/>
      <c r="E663" s="289"/>
      <c r="F663" s="177"/>
      <c r="G663" s="289"/>
      <c r="H663" s="177"/>
      <c r="I663" s="289"/>
      <c r="J663" s="177"/>
      <c r="K663" s="289"/>
      <c r="L663" s="177"/>
      <c r="M663" s="289"/>
    </row>
    <row r="664" spans="1:13" ht="13">
      <c r="A664" s="1"/>
      <c r="B664" s="2"/>
      <c r="C664" s="289"/>
      <c r="D664" s="177"/>
      <c r="E664" s="289"/>
      <c r="F664" s="177"/>
      <c r="G664" s="289"/>
      <c r="H664" s="177"/>
      <c r="I664" s="289"/>
      <c r="J664" s="177"/>
      <c r="K664" s="289"/>
      <c r="L664" s="177"/>
      <c r="M664" s="289"/>
    </row>
    <row r="665" spans="1:13" ht="13">
      <c r="A665" s="1"/>
      <c r="B665" s="2"/>
      <c r="C665" s="289"/>
      <c r="D665" s="177"/>
      <c r="E665" s="289"/>
      <c r="F665" s="177"/>
      <c r="G665" s="289"/>
      <c r="H665" s="177"/>
      <c r="I665" s="289"/>
      <c r="J665" s="177"/>
      <c r="K665" s="289"/>
      <c r="L665" s="177"/>
      <c r="M665" s="289"/>
    </row>
    <row r="666" spans="1:13" ht="13">
      <c r="A666" s="1"/>
      <c r="B666" s="2"/>
      <c r="C666" s="289"/>
      <c r="D666" s="177"/>
      <c r="E666" s="289"/>
      <c r="F666" s="177"/>
      <c r="G666" s="289"/>
      <c r="H666" s="177"/>
      <c r="I666" s="289"/>
      <c r="J666" s="177"/>
      <c r="K666" s="289"/>
      <c r="L666" s="177"/>
      <c r="M666" s="289"/>
    </row>
    <row r="667" spans="1:13" ht="13">
      <c r="A667" s="1"/>
      <c r="B667" s="2"/>
      <c r="C667" s="289"/>
      <c r="D667" s="177"/>
      <c r="E667" s="289"/>
      <c r="F667" s="177"/>
      <c r="G667" s="289"/>
      <c r="H667" s="177"/>
      <c r="I667" s="289"/>
      <c r="J667" s="177"/>
      <c r="K667" s="289"/>
      <c r="L667" s="177"/>
      <c r="M667" s="289"/>
    </row>
    <row r="668" spans="1:13" ht="13">
      <c r="A668" s="1"/>
      <c r="B668" s="2"/>
      <c r="C668" s="289"/>
      <c r="D668" s="177"/>
      <c r="E668" s="289"/>
      <c r="F668" s="177"/>
      <c r="G668" s="289"/>
      <c r="H668" s="177"/>
      <c r="I668" s="289"/>
      <c r="J668" s="177"/>
      <c r="K668" s="289"/>
      <c r="L668" s="177"/>
      <c r="M668" s="289"/>
    </row>
    <row r="669" spans="1:13" ht="13">
      <c r="A669" s="1"/>
      <c r="B669" s="2"/>
      <c r="C669" s="289"/>
      <c r="D669" s="177"/>
      <c r="E669" s="289"/>
      <c r="F669" s="177"/>
      <c r="G669" s="289"/>
      <c r="H669" s="177"/>
      <c r="I669" s="289"/>
      <c r="J669" s="177"/>
      <c r="K669" s="289"/>
      <c r="L669" s="177"/>
      <c r="M669" s="289"/>
    </row>
    <row r="670" spans="1:13" ht="13">
      <c r="A670" s="1"/>
      <c r="B670" s="2"/>
      <c r="C670" s="289"/>
      <c r="D670" s="177"/>
      <c r="E670" s="289"/>
      <c r="F670" s="177"/>
      <c r="G670" s="289"/>
      <c r="H670" s="177"/>
      <c r="I670" s="289"/>
      <c r="J670" s="177"/>
      <c r="K670" s="289"/>
      <c r="L670" s="177"/>
      <c r="M670" s="289"/>
    </row>
    <row r="671" spans="1:13" ht="13">
      <c r="A671" s="1"/>
      <c r="B671" s="2"/>
      <c r="C671" s="289"/>
      <c r="D671" s="177"/>
      <c r="E671" s="289"/>
      <c r="F671" s="177"/>
      <c r="G671" s="289"/>
      <c r="H671" s="177"/>
      <c r="I671" s="289"/>
      <c r="J671" s="177"/>
      <c r="K671" s="289"/>
      <c r="L671" s="177"/>
      <c r="M671" s="289"/>
    </row>
    <row r="672" spans="1:13" ht="13">
      <c r="A672" s="1"/>
      <c r="B672" s="2"/>
      <c r="C672" s="289"/>
      <c r="D672" s="177"/>
      <c r="E672" s="289"/>
      <c r="F672" s="177"/>
      <c r="G672" s="289"/>
      <c r="H672" s="177"/>
      <c r="I672" s="289"/>
      <c r="J672" s="177"/>
      <c r="K672" s="289"/>
      <c r="L672" s="177"/>
      <c r="M672" s="289"/>
    </row>
    <row r="673" spans="1:13" ht="13">
      <c r="A673" s="1"/>
      <c r="B673" s="2"/>
      <c r="C673" s="289"/>
      <c r="D673" s="177"/>
      <c r="E673" s="289"/>
      <c r="F673" s="177"/>
      <c r="G673" s="289"/>
      <c r="H673" s="177"/>
      <c r="I673" s="289"/>
      <c r="J673" s="177"/>
      <c r="K673" s="289"/>
      <c r="L673" s="177"/>
      <c r="M673" s="289"/>
    </row>
    <row r="674" spans="1:13" ht="13">
      <c r="A674" s="1"/>
      <c r="B674" s="2"/>
      <c r="C674" s="289"/>
      <c r="D674" s="177"/>
      <c r="E674" s="289"/>
      <c r="F674" s="177"/>
      <c r="G674" s="289"/>
      <c r="H674" s="177"/>
      <c r="I674" s="289"/>
      <c r="J674" s="177"/>
      <c r="K674" s="289"/>
      <c r="L674" s="177"/>
      <c r="M674" s="289"/>
    </row>
    <row r="675" spans="1:13" ht="13">
      <c r="A675" s="1"/>
      <c r="B675" s="2"/>
      <c r="C675" s="289"/>
      <c r="D675" s="177"/>
      <c r="E675" s="289"/>
      <c r="F675" s="177"/>
      <c r="G675" s="289"/>
      <c r="H675" s="177"/>
      <c r="I675" s="289"/>
      <c r="J675" s="177"/>
      <c r="K675" s="289"/>
      <c r="L675" s="177"/>
      <c r="M675" s="289"/>
    </row>
    <row r="676" spans="1:13" ht="13">
      <c r="A676" s="1"/>
      <c r="B676" s="2"/>
      <c r="C676" s="289"/>
      <c r="D676" s="177"/>
      <c r="E676" s="289"/>
      <c r="F676" s="177"/>
      <c r="G676" s="289"/>
      <c r="H676" s="177"/>
      <c r="I676" s="289"/>
      <c r="J676" s="177"/>
      <c r="K676" s="289"/>
      <c r="L676" s="177"/>
      <c r="M676" s="289"/>
    </row>
    <row r="677" spans="1:13" ht="13">
      <c r="A677" s="1"/>
      <c r="B677" s="2"/>
      <c r="C677" s="289"/>
      <c r="D677" s="177"/>
      <c r="E677" s="289"/>
      <c r="F677" s="177"/>
      <c r="G677" s="289"/>
      <c r="H677" s="177"/>
      <c r="I677" s="289"/>
      <c r="J677" s="177"/>
      <c r="K677" s="289"/>
      <c r="L677" s="177"/>
      <c r="M677" s="289"/>
    </row>
    <row r="678" spans="1:13" ht="13">
      <c r="A678" s="1"/>
      <c r="B678" s="2"/>
      <c r="C678" s="289"/>
      <c r="D678" s="177"/>
      <c r="E678" s="289"/>
      <c r="F678" s="177"/>
      <c r="G678" s="289"/>
      <c r="H678" s="177"/>
      <c r="I678" s="289"/>
      <c r="J678" s="177"/>
      <c r="K678" s="289"/>
      <c r="L678" s="177"/>
      <c r="M678" s="289"/>
    </row>
    <row r="679" spans="1:13" ht="13">
      <c r="A679" s="1"/>
      <c r="B679" s="2"/>
      <c r="C679" s="289"/>
      <c r="D679" s="177"/>
      <c r="E679" s="289"/>
      <c r="F679" s="177"/>
      <c r="G679" s="289"/>
      <c r="H679" s="177"/>
      <c r="I679" s="289"/>
      <c r="J679" s="177"/>
      <c r="K679" s="289"/>
      <c r="L679" s="177"/>
      <c r="M679" s="289"/>
    </row>
    <row r="680" spans="1:13" ht="13">
      <c r="A680" s="1"/>
      <c r="B680" s="2"/>
      <c r="C680" s="289"/>
      <c r="D680" s="177"/>
      <c r="E680" s="289"/>
      <c r="F680" s="177"/>
      <c r="G680" s="289"/>
      <c r="H680" s="177"/>
      <c r="I680" s="289"/>
      <c r="J680" s="177"/>
      <c r="K680" s="289"/>
      <c r="L680" s="177"/>
      <c r="M680" s="289"/>
    </row>
    <row r="681" spans="1:13" ht="13">
      <c r="A681" s="1"/>
      <c r="B681" s="2"/>
      <c r="C681" s="289"/>
      <c r="D681" s="177"/>
      <c r="E681" s="289"/>
      <c r="F681" s="177"/>
      <c r="G681" s="289"/>
      <c r="H681" s="177"/>
      <c r="I681" s="289"/>
      <c r="J681" s="177"/>
      <c r="K681" s="289"/>
      <c r="L681" s="177"/>
      <c r="M681" s="289"/>
    </row>
    <row r="682" spans="1:13" ht="13">
      <c r="A682" s="1"/>
      <c r="B682" s="2"/>
      <c r="C682" s="289"/>
      <c r="D682" s="177"/>
      <c r="E682" s="289"/>
      <c r="F682" s="177"/>
      <c r="G682" s="289"/>
      <c r="H682" s="177"/>
      <c r="I682" s="289"/>
      <c r="J682" s="177"/>
      <c r="K682" s="289"/>
      <c r="L682" s="177"/>
      <c r="M682" s="289"/>
    </row>
    <row r="683" spans="1:13" ht="13">
      <c r="A683" s="1"/>
      <c r="B683" s="2"/>
      <c r="C683" s="289"/>
      <c r="D683" s="177"/>
      <c r="E683" s="289"/>
      <c r="F683" s="177"/>
      <c r="G683" s="289"/>
      <c r="H683" s="177"/>
      <c r="I683" s="289"/>
      <c r="J683" s="177"/>
      <c r="K683" s="289"/>
      <c r="L683" s="177"/>
      <c r="M683" s="289"/>
    </row>
    <row r="684" spans="1:13" ht="13">
      <c r="A684" s="1"/>
      <c r="B684" s="2"/>
      <c r="C684" s="289"/>
      <c r="D684" s="177"/>
      <c r="E684" s="289"/>
      <c r="F684" s="177"/>
      <c r="G684" s="289"/>
      <c r="H684" s="177"/>
      <c r="I684" s="289"/>
      <c r="J684" s="177"/>
      <c r="K684" s="289"/>
      <c r="L684" s="177"/>
      <c r="M684" s="289"/>
    </row>
    <row r="685" spans="1:13" ht="13">
      <c r="A685" s="1"/>
      <c r="B685" s="2"/>
      <c r="C685" s="289"/>
      <c r="D685" s="177"/>
      <c r="E685" s="289"/>
      <c r="F685" s="177"/>
      <c r="G685" s="289"/>
      <c r="H685" s="177"/>
      <c r="I685" s="289"/>
      <c r="J685" s="177"/>
      <c r="K685" s="289"/>
      <c r="L685" s="177"/>
      <c r="M685" s="289"/>
    </row>
    <row r="686" spans="1:13" ht="13">
      <c r="A686" s="1"/>
      <c r="B686" s="2"/>
      <c r="C686" s="289"/>
      <c r="D686" s="177"/>
      <c r="E686" s="289"/>
      <c r="F686" s="177"/>
      <c r="G686" s="289"/>
      <c r="H686" s="177"/>
      <c r="I686" s="289"/>
      <c r="J686" s="177"/>
      <c r="K686" s="289"/>
      <c r="L686" s="177"/>
      <c r="M686" s="289"/>
    </row>
    <row r="687" spans="1:13" ht="13">
      <c r="A687" s="1"/>
      <c r="B687" s="2"/>
      <c r="C687" s="289"/>
      <c r="D687" s="177"/>
      <c r="E687" s="289"/>
      <c r="F687" s="177"/>
      <c r="G687" s="289"/>
      <c r="H687" s="177"/>
      <c r="I687" s="289"/>
      <c r="J687" s="177"/>
      <c r="K687" s="289"/>
      <c r="L687" s="177"/>
      <c r="M687" s="289"/>
    </row>
    <row r="688" spans="1:13" ht="13">
      <c r="A688" s="1"/>
      <c r="B688" s="2"/>
      <c r="C688" s="289"/>
      <c r="D688" s="177"/>
      <c r="E688" s="289"/>
      <c r="F688" s="177"/>
      <c r="G688" s="289"/>
      <c r="H688" s="177"/>
      <c r="I688" s="289"/>
      <c r="J688" s="177"/>
      <c r="K688" s="289"/>
      <c r="L688" s="177"/>
      <c r="M688" s="289"/>
    </row>
    <row r="689" spans="1:13" ht="13">
      <c r="A689" s="1"/>
      <c r="B689" s="2"/>
      <c r="C689" s="289"/>
      <c r="D689" s="177"/>
      <c r="E689" s="289"/>
      <c r="F689" s="177"/>
      <c r="G689" s="289"/>
      <c r="H689" s="177"/>
      <c r="I689" s="289"/>
      <c r="J689" s="177"/>
      <c r="K689" s="289"/>
      <c r="L689" s="177"/>
      <c r="M689" s="289"/>
    </row>
    <row r="690" spans="1:13" ht="13">
      <c r="A690" s="1"/>
      <c r="B690" s="2"/>
      <c r="C690" s="289"/>
      <c r="D690" s="177"/>
      <c r="E690" s="289"/>
      <c r="F690" s="177"/>
      <c r="G690" s="289"/>
      <c r="H690" s="177"/>
      <c r="I690" s="289"/>
      <c r="J690" s="177"/>
      <c r="K690" s="289"/>
      <c r="L690" s="177"/>
      <c r="M690" s="289"/>
    </row>
    <row r="691" spans="1:13" ht="13">
      <c r="A691" s="1"/>
      <c r="B691" s="2"/>
      <c r="C691" s="289"/>
      <c r="D691" s="177"/>
      <c r="E691" s="289"/>
      <c r="F691" s="177"/>
      <c r="G691" s="289"/>
      <c r="H691" s="177"/>
      <c r="I691" s="289"/>
      <c r="J691" s="177"/>
      <c r="K691" s="289"/>
      <c r="L691" s="177"/>
      <c r="M691" s="289"/>
    </row>
    <row r="692" spans="1:13" ht="13">
      <c r="A692" s="1"/>
      <c r="B692" s="2"/>
      <c r="C692" s="289"/>
      <c r="D692" s="177"/>
      <c r="E692" s="289"/>
      <c r="F692" s="177"/>
      <c r="G692" s="289"/>
      <c r="H692" s="177"/>
      <c r="I692" s="289"/>
      <c r="J692" s="177"/>
      <c r="K692" s="289"/>
      <c r="L692" s="177"/>
      <c r="M692" s="289"/>
    </row>
    <row r="693" spans="1:13" ht="13">
      <c r="A693" s="1"/>
      <c r="B693" s="2"/>
      <c r="C693" s="289"/>
      <c r="D693" s="177"/>
      <c r="E693" s="289"/>
      <c r="F693" s="177"/>
      <c r="G693" s="289"/>
      <c r="H693" s="177"/>
      <c r="I693" s="289"/>
      <c r="J693" s="177"/>
      <c r="K693" s="289"/>
      <c r="L693" s="177"/>
      <c r="M693" s="289"/>
    </row>
    <row r="694" spans="1:13" ht="13">
      <c r="A694" s="1"/>
      <c r="B694" s="2"/>
      <c r="C694" s="289"/>
      <c r="D694" s="177"/>
      <c r="E694" s="289"/>
      <c r="F694" s="177"/>
      <c r="G694" s="289"/>
      <c r="H694" s="177"/>
      <c r="I694" s="289"/>
      <c r="J694" s="177"/>
      <c r="K694" s="289"/>
      <c r="L694" s="177"/>
      <c r="M694" s="289"/>
    </row>
    <row r="695" spans="1:13" ht="13">
      <c r="A695" s="1"/>
      <c r="B695" s="2"/>
      <c r="C695" s="289"/>
      <c r="D695" s="177"/>
      <c r="E695" s="289"/>
      <c r="F695" s="177"/>
      <c r="G695" s="289"/>
      <c r="H695" s="177"/>
      <c r="I695" s="289"/>
      <c r="J695" s="177"/>
      <c r="K695" s="289"/>
      <c r="L695" s="177"/>
      <c r="M695" s="289"/>
    </row>
    <row r="696" spans="1:13" ht="13">
      <c r="A696" s="1"/>
      <c r="B696" s="2"/>
      <c r="C696" s="289"/>
      <c r="D696" s="177"/>
      <c r="E696" s="289"/>
      <c r="F696" s="177"/>
      <c r="G696" s="289"/>
      <c r="H696" s="177"/>
      <c r="I696" s="289"/>
      <c r="J696" s="177"/>
      <c r="K696" s="289"/>
      <c r="L696" s="177"/>
      <c r="M696" s="289"/>
    </row>
    <row r="697" spans="1:13" ht="13">
      <c r="A697" s="1"/>
      <c r="B697" s="2"/>
      <c r="C697" s="289"/>
      <c r="D697" s="177"/>
      <c r="E697" s="289"/>
      <c r="F697" s="177"/>
      <c r="G697" s="289"/>
      <c r="H697" s="177"/>
      <c r="I697" s="289"/>
      <c r="J697" s="177"/>
      <c r="K697" s="289"/>
      <c r="L697" s="177"/>
      <c r="M697" s="289"/>
    </row>
    <row r="698" spans="1:13" ht="13">
      <c r="A698" s="1"/>
      <c r="B698" s="2"/>
      <c r="C698" s="289"/>
      <c r="D698" s="177"/>
      <c r="E698" s="289"/>
      <c r="F698" s="177"/>
      <c r="G698" s="289"/>
      <c r="H698" s="177"/>
      <c r="I698" s="289"/>
      <c r="J698" s="177"/>
      <c r="K698" s="289"/>
      <c r="L698" s="177"/>
      <c r="M698" s="289"/>
    </row>
    <row r="699" spans="1:13" ht="13">
      <c r="A699" s="1"/>
      <c r="B699" s="2"/>
      <c r="C699" s="289"/>
      <c r="D699" s="177"/>
      <c r="E699" s="289"/>
      <c r="F699" s="177"/>
      <c r="G699" s="289"/>
      <c r="H699" s="177"/>
      <c r="I699" s="289"/>
      <c r="J699" s="177"/>
      <c r="K699" s="289"/>
      <c r="L699" s="177"/>
      <c r="M699" s="289"/>
    </row>
    <row r="700" spans="1:13" ht="13">
      <c r="A700" s="1"/>
      <c r="B700" s="2"/>
      <c r="C700" s="289"/>
      <c r="D700" s="177"/>
      <c r="E700" s="289"/>
      <c r="F700" s="177"/>
      <c r="G700" s="289"/>
      <c r="H700" s="177"/>
      <c r="I700" s="289"/>
      <c r="J700" s="177"/>
      <c r="K700" s="289"/>
      <c r="L700" s="177"/>
      <c r="M700" s="289"/>
    </row>
    <row r="701" spans="1:13" ht="13">
      <c r="A701" s="1"/>
      <c r="B701" s="2"/>
      <c r="C701" s="289"/>
      <c r="D701" s="177"/>
      <c r="E701" s="289"/>
      <c r="F701" s="177"/>
      <c r="G701" s="289"/>
      <c r="H701" s="177"/>
      <c r="I701" s="289"/>
      <c r="J701" s="177"/>
      <c r="K701" s="289"/>
      <c r="L701" s="177"/>
      <c r="M701" s="289"/>
    </row>
    <row r="702" spans="1:13" ht="13">
      <c r="A702" s="1"/>
      <c r="B702" s="2"/>
      <c r="C702" s="289"/>
      <c r="D702" s="177"/>
      <c r="E702" s="289"/>
      <c r="F702" s="177"/>
      <c r="G702" s="289"/>
      <c r="H702" s="177"/>
      <c r="I702" s="289"/>
      <c r="J702" s="177"/>
      <c r="K702" s="289"/>
      <c r="L702" s="177"/>
      <c r="M702" s="289"/>
    </row>
    <row r="703" spans="1:13" ht="13">
      <c r="A703" s="1"/>
      <c r="B703" s="2"/>
      <c r="C703" s="289"/>
      <c r="D703" s="177"/>
      <c r="E703" s="289"/>
      <c r="F703" s="177"/>
      <c r="G703" s="289"/>
      <c r="H703" s="177"/>
      <c r="I703" s="289"/>
      <c r="J703" s="177"/>
      <c r="K703" s="289"/>
      <c r="L703" s="177"/>
      <c r="M703" s="289"/>
    </row>
    <row r="704" spans="1:13" ht="13">
      <c r="A704" s="1"/>
      <c r="B704" s="2"/>
      <c r="C704" s="289"/>
      <c r="D704" s="177"/>
      <c r="E704" s="289"/>
      <c r="F704" s="177"/>
      <c r="G704" s="289"/>
      <c r="H704" s="177"/>
      <c r="I704" s="289"/>
      <c r="J704" s="177"/>
      <c r="K704" s="289"/>
      <c r="L704" s="177"/>
      <c r="M704" s="289"/>
    </row>
    <row r="705" spans="1:13" ht="13">
      <c r="A705" s="1"/>
      <c r="B705" s="2"/>
      <c r="C705" s="289"/>
      <c r="D705" s="177"/>
      <c r="E705" s="289"/>
      <c r="F705" s="177"/>
      <c r="G705" s="289"/>
      <c r="H705" s="177"/>
      <c r="I705" s="289"/>
      <c r="J705" s="177"/>
      <c r="K705" s="289"/>
      <c r="L705" s="177"/>
      <c r="M705" s="289"/>
    </row>
    <row r="706" spans="1:13" ht="13">
      <c r="A706" s="1"/>
      <c r="B706" s="2"/>
      <c r="C706" s="289"/>
      <c r="D706" s="177"/>
      <c r="E706" s="289"/>
      <c r="F706" s="177"/>
      <c r="G706" s="289"/>
      <c r="H706" s="177"/>
      <c r="I706" s="289"/>
      <c r="J706" s="177"/>
      <c r="K706" s="289"/>
      <c r="L706" s="177"/>
      <c r="M706" s="289"/>
    </row>
    <row r="707" spans="1:13" ht="13">
      <c r="A707" s="1"/>
      <c r="B707" s="2"/>
      <c r="C707" s="289"/>
      <c r="D707" s="177"/>
      <c r="E707" s="289"/>
      <c r="F707" s="177"/>
      <c r="G707" s="289"/>
      <c r="H707" s="177"/>
      <c r="I707" s="289"/>
      <c r="J707" s="177"/>
      <c r="K707" s="289"/>
      <c r="L707" s="177"/>
      <c r="M707" s="289"/>
    </row>
    <row r="708" spans="1:13" ht="13">
      <c r="A708" s="1"/>
      <c r="B708" s="2"/>
      <c r="C708" s="289"/>
      <c r="D708" s="177"/>
      <c r="E708" s="289"/>
      <c r="F708" s="177"/>
      <c r="G708" s="289"/>
      <c r="H708" s="177"/>
      <c r="I708" s="289"/>
      <c r="J708" s="177"/>
      <c r="K708" s="289"/>
      <c r="L708" s="177"/>
      <c r="M708" s="289"/>
    </row>
    <row r="709" spans="1:13" ht="13">
      <c r="A709" s="1"/>
      <c r="B709" s="2"/>
      <c r="C709" s="289"/>
      <c r="D709" s="177"/>
      <c r="E709" s="289"/>
      <c r="F709" s="177"/>
      <c r="G709" s="289"/>
      <c r="H709" s="177"/>
      <c r="I709" s="289"/>
      <c r="J709" s="177"/>
      <c r="K709" s="289"/>
      <c r="L709" s="177"/>
      <c r="M709" s="289"/>
    </row>
    <row r="710" spans="1:13" ht="13">
      <c r="A710" s="1"/>
      <c r="B710" s="2"/>
      <c r="C710" s="289"/>
      <c r="D710" s="177"/>
      <c r="E710" s="289"/>
      <c r="F710" s="177"/>
      <c r="G710" s="289"/>
      <c r="H710" s="177"/>
      <c r="I710" s="289"/>
      <c r="J710" s="177"/>
      <c r="K710" s="289"/>
      <c r="L710" s="177"/>
      <c r="M710" s="289"/>
    </row>
    <row r="711" spans="1:13" ht="13">
      <c r="A711" s="1"/>
      <c r="B711" s="2"/>
      <c r="C711" s="289"/>
      <c r="D711" s="177"/>
      <c r="E711" s="289"/>
      <c r="F711" s="177"/>
      <c r="G711" s="289"/>
      <c r="H711" s="177"/>
      <c r="I711" s="289"/>
      <c r="J711" s="177"/>
      <c r="K711" s="289"/>
      <c r="L711" s="177"/>
      <c r="M711" s="289"/>
    </row>
    <row r="712" spans="1:13" ht="13">
      <c r="A712" s="1"/>
      <c r="B712" s="2"/>
      <c r="C712" s="289"/>
      <c r="D712" s="177"/>
      <c r="E712" s="289"/>
      <c r="F712" s="177"/>
      <c r="G712" s="289"/>
      <c r="H712" s="177"/>
      <c r="I712" s="289"/>
      <c r="J712" s="177"/>
      <c r="K712" s="289"/>
      <c r="L712" s="177"/>
      <c r="M712" s="289"/>
    </row>
    <row r="713" spans="1:13" ht="13">
      <c r="A713" s="1"/>
      <c r="B713" s="2"/>
      <c r="C713" s="289"/>
      <c r="D713" s="177"/>
      <c r="E713" s="289"/>
      <c r="F713" s="177"/>
      <c r="G713" s="289"/>
      <c r="H713" s="177"/>
      <c r="I713" s="289"/>
      <c r="J713" s="177"/>
      <c r="K713" s="289"/>
      <c r="L713" s="177"/>
      <c r="M713" s="289"/>
    </row>
    <row r="714" spans="1:13" ht="13">
      <c r="A714" s="1"/>
      <c r="B714" s="2"/>
      <c r="C714" s="289"/>
      <c r="D714" s="177"/>
      <c r="E714" s="289"/>
      <c r="F714" s="177"/>
      <c r="G714" s="289"/>
      <c r="H714" s="177"/>
      <c r="I714" s="289"/>
      <c r="J714" s="177"/>
      <c r="K714" s="289"/>
      <c r="L714" s="177"/>
      <c r="M714" s="289"/>
    </row>
    <row r="715" spans="1:13" ht="13">
      <c r="A715" s="1"/>
      <c r="B715" s="2"/>
      <c r="C715" s="289"/>
      <c r="D715" s="177"/>
      <c r="E715" s="289"/>
      <c r="F715" s="177"/>
      <c r="G715" s="289"/>
      <c r="H715" s="177"/>
      <c r="I715" s="289"/>
      <c r="J715" s="177"/>
      <c r="K715" s="289"/>
      <c r="L715" s="177"/>
      <c r="M715" s="289"/>
    </row>
    <row r="716" spans="1:13" ht="13">
      <c r="A716" s="1"/>
      <c r="B716" s="2"/>
      <c r="C716" s="289"/>
      <c r="D716" s="177"/>
      <c r="E716" s="289"/>
      <c r="F716" s="177"/>
      <c r="G716" s="289"/>
      <c r="H716" s="177"/>
      <c r="I716" s="289"/>
      <c r="J716" s="177"/>
      <c r="K716" s="289"/>
      <c r="L716" s="177"/>
      <c r="M716" s="289"/>
    </row>
    <row r="717" spans="1:13" ht="13">
      <c r="A717" s="1"/>
      <c r="B717" s="2"/>
      <c r="C717" s="289"/>
      <c r="D717" s="177"/>
      <c r="E717" s="289"/>
      <c r="F717" s="177"/>
      <c r="G717" s="289"/>
      <c r="H717" s="177"/>
      <c r="I717" s="289"/>
      <c r="J717" s="177"/>
      <c r="K717" s="289"/>
      <c r="L717" s="177"/>
      <c r="M717" s="289"/>
    </row>
    <row r="718" spans="1:13" ht="13">
      <c r="A718" s="1"/>
      <c r="B718" s="2"/>
      <c r="C718" s="289"/>
      <c r="D718" s="177"/>
      <c r="E718" s="289"/>
      <c r="F718" s="177"/>
      <c r="G718" s="289"/>
      <c r="H718" s="177"/>
      <c r="I718" s="289"/>
      <c r="J718" s="177"/>
      <c r="K718" s="289"/>
      <c r="L718" s="177"/>
      <c r="M718" s="289"/>
    </row>
    <row r="719" spans="1:13" ht="13">
      <c r="A719" s="1"/>
      <c r="B719" s="2"/>
      <c r="C719" s="289"/>
      <c r="D719" s="177"/>
      <c r="E719" s="289"/>
      <c r="F719" s="177"/>
      <c r="G719" s="289"/>
      <c r="H719" s="177"/>
      <c r="I719" s="289"/>
      <c r="J719" s="177"/>
      <c r="K719" s="289"/>
      <c r="L719" s="177"/>
      <c r="M719" s="289"/>
    </row>
    <row r="720" spans="1:13" ht="13">
      <c r="A720" s="1"/>
      <c r="B720" s="2"/>
      <c r="C720" s="289"/>
      <c r="D720" s="177"/>
      <c r="E720" s="289"/>
      <c r="F720" s="177"/>
      <c r="G720" s="289"/>
      <c r="H720" s="177"/>
      <c r="I720" s="289"/>
      <c r="J720" s="177"/>
      <c r="K720" s="289"/>
      <c r="L720" s="177"/>
      <c r="M720" s="289"/>
    </row>
    <row r="721" spans="1:13" ht="13">
      <c r="A721" s="1"/>
      <c r="B721" s="2"/>
      <c r="C721" s="289"/>
      <c r="D721" s="177"/>
      <c r="E721" s="289"/>
      <c r="F721" s="177"/>
      <c r="G721" s="289"/>
      <c r="H721" s="177"/>
      <c r="I721" s="289"/>
      <c r="J721" s="177"/>
      <c r="K721" s="289"/>
      <c r="L721" s="177"/>
      <c r="M721" s="289"/>
    </row>
    <row r="722" spans="1:13" ht="13">
      <c r="A722" s="1"/>
      <c r="B722" s="2"/>
      <c r="C722" s="289"/>
      <c r="D722" s="177"/>
      <c r="E722" s="289"/>
      <c r="F722" s="177"/>
      <c r="G722" s="289"/>
      <c r="H722" s="177"/>
      <c r="I722" s="289"/>
      <c r="J722" s="177"/>
      <c r="K722" s="289"/>
      <c r="L722" s="177"/>
      <c r="M722" s="289"/>
    </row>
    <row r="723" spans="1:13" ht="13">
      <c r="A723" s="1"/>
      <c r="B723" s="2"/>
      <c r="C723" s="289"/>
      <c r="D723" s="177"/>
      <c r="E723" s="289"/>
      <c r="F723" s="177"/>
      <c r="G723" s="289"/>
      <c r="H723" s="177"/>
      <c r="I723" s="289"/>
      <c r="J723" s="177"/>
      <c r="K723" s="289"/>
      <c r="L723" s="177"/>
      <c r="M723" s="289"/>
    </row>
    <row r="724" spans="1:13" ht="13">
      <c r="A724" s="1"/>
      <c r="B724" s="2"/>
      <c r="C724" s="289"/>
      <c r="D724" s="177"/>
      <c r="E724" s="289"/>
      <c r="F724" s="177"/>
      <c r="G724" s="289"/>
      <c r="H724" s="177"/>
      <c r="I724" s="289"/>
      <c r="J724" s="177"/>
      <c r="K724" s="289"/>
      <c r="L724" s="177"/>
      <c r="M724" s="289"/>
    </row>
    <row r="725" spans="1:13" ht="13">
      <c r="A725" s="1"/>
      <c r="B725" s="2"/>
      <c r="C725" s="289"/>
      <c r="D725" s="177"/>
      <c r="E725" s="289"/>
      <c r="F725" s="177"/>
      <c r="G725" s="289"/>
      <c r="H725" s="177"/>
      <c r="I725" s="289"/>
      <c r="J725" s="177"/>
      <c r="K725" s="289"/>
      <c r="L725" s="177"/>
      <c r="M725" s="289"/>
    </row>
    <row r="726" spans="1:13" ht="13">
      <c r="A726" s="1"/>
      <c r="B726" s="2"/>
      <c r="C726" s="289"/>
      <c r="D726" s="177"/>
      <c r="E726" s="289"/>
      <c r="F726" s="177"/>
      <c r="G726" s="289"/>
      <c r="H726" s="177"/>
      <c r="I726" s="289"/>
      <c r="J726" s="177"/>
      <c r="K726" s="289"/>
      <c r="L726" s="177"/>
      <c r="M726" s="289"/>
    </row>
    <row r="727" spans="1:13" ht="13">
      <c r="A727" s="1"/>
      <c r="B727" s="2"/>
      <c r="C727" s="289"/>
      <c r="D727" s="177"/>
      <c r="E727" s="289"/>
      <c r="F727" s="177"/>
      <c r="G727" s="289"/>
      <c r="H727" s="177"/>
      <c r="I727" s="289"/>
      <c r="J727" s="177"/>
      <c r="K727" s="289"/>
      <c r="L727" s="177"/>
      <c r="M727" s="289"/>
    </row>
    <row r="728" spans="1:13" ht="13">
      <c r="A728" s="1"/>
      <c r="B728" s="2"/>
      <c r="C728" s="289"/>
      <c r="D728" s="177"/>
      <c r="E728" s="289"/>
      <c r="F728" s="177"/>
      <c r="G728" s="289"/>
      <c r="H728" s="177"/>
      <c r="I728" s="289"/>
      <c r="J728" s="177"/>
      <c r="K728" s="289"/>
      <c r="L728" s="177"/>
      <c r="M728" s="289"/>
    </row>
    <row r="729" spans="1:13" ht="13">
      <c r="A729" s="1"/>
      <c r="B729" s="2"/>
      <c r="C729" s="289"/>
      <c r="D729" s="177"/>
      <c r="E729" s="289"/>
      <c r="F729" s="177"/>
      <c r="G729" s="289"/>
      <c r="H729" s="177"/>
      <c r="I729" s="289"/>
      <c r="J729" s="177"/>
      <c r="K729" s="289"/>
      <c r="L729" s="177"/>
      <c r="M729" s="289"/>
    </row>
    <row r="730" spans="1:13" ht="13">
      <c r="A730" s="1"/>
      <c r="B730" s="2"/>
      <c r="C730" s="289"/>
      <c r="D730" s="177"/>
      <c r="E730" s="289"/>
      <c r="F730" s="177"/>
      <c r="G730" s="289"/>
      <c r="H730" s="177"/>
      <c r="I730" s="289"/>
      <c r="J730" s="177"/>
      <c r="K730" s="289"/>
      <c r="L730" s="177"/>
      <c r="M730" s="289"/>
    </row>
    <row r="731" spans="1:13" ht="13">
      <c r="A731" s="1"/>
      <c r="B731" s="2"/>
      <c r="C731" s="289"/>
      <c r="D731" s="177"/>
      <c r="E731" s="289"/>
      <c r="F731" s="177"/>
      <c r="G731" s="289"/>
      <c r="H731" s="177"/>
      <c r="I731" s="289"/>
      <c r="J731" s="177"/>
      <c r="K731" s="289"/>
      <c r="L731" s="177"/>
      <c r="M731" s="289"/>
    </row>
    <row r="732" spans="1:13" ht="13">
      <c r="A732" s="1"/>
      <c r="B732" s="2"/>
      <c r="C732" s="289"/>
      <c r="D732" s="177"/>
      <c r="E732" s="289"/>
      <c r="F732" s="177"/>
      <c r="G732" s="289"/>
      <c r="H732" s="177"/>
      <c r="I732" s="289"/>
      <c r="J732" s="177"/>
      <c r="K732" s="289"/>
      <c r="L732" s="177"/>
      <c r="M732" s="289"/>
    </row>
    <row r="733" spans="1:13" ht="13">
      <c r="A733" s="1"/>
      <c r="B733" s="2"/>
      <c r="C733" s="289"/>
      <c r="D733" s="177"/>
      <c r="E733" s="289"/>
      <c r="F733" s="177"/>
      <c r="G733" s="289"/>
      <c r="H733" s="177"/>
      <c r="I733" s="289"/>
      <c r="J733" s="177"/>
      <c r="K733" s="289"/>
      <c r="L733" s="177"/>
      <c r="M733" s="289"/>
    </row>
    <row r="734" spans="1:13" ht="13">
      <c r="A734" s="1"/>
      <c r="B734" s="2"/>
      <c r="C734" s="289"/>
      <c r="D734" s="177"/>
      <c r="E734" s="289"/>
      <c r="F734" s="177"/>
      <c r="G734" s="289"/>
      <c r="H734" s="177"/>
      <c r="I734" s="289"/>
      <c r="J734" s="177"/>
      <c r="K734" s="289"/>
      <c r="L734" s="177"/>
      <c r="M734" s="289"/>
    </row>
    <row r="735" spans="1:13" ht="13">
      <c r="A735" s="1"/>
      <c r="B735" s="2"/>
      <c r="C735" s="289"/>
      <c r="D735" s="177"/>
      <c r="E735" s="289"/>
      <c r="F735" s="177"/>
      <c r="G735" s="289"/>
      <c r="H735" s="177"/>
      <c r="I735" s="289"/>
      <c r="J735" s="177"/>
      <c r="K735" s="289"/>
      <c r="L735" s="177"/>
      <c r="M735" s="289"/>
    </row>
    <row r="736" spans="1:13" ht="13">
      <c r="A736" s="1"/>
      <c r="B736" s="2"/>
      <c r="C736" s="289"/>
      <c r="D736" s="177"/>
      <c r="E736" s="289"/>
      <c r="F736" s="177"/>
      <c r="G736" s="289"/>
      <c r="H736" s="177"/>
      <c r="I736" s="289"/>
      <c r="J736" s="177"/>
      <c r="K736" s="289"/>
      <c r="L736" s="177"/>
      <c r="M736" s="289"/>
    </row>
    <row r="737" spans="1:13" ht="13">
      <c r="A737" s="1"/>
      <c r="B737" s="2"/>
      <c r="C737" s="289"/>
      <c r="D737" s="177"/>
      <c r="E737" s="289"/>
      <c r="F737" s="177"/>
      <c r="G737" s="289"/>
      <c r="H737" s="177"/>
      <c r="I737" s="289"/>
      <c r="J737" s="177"/>
      <c r="K737" s="289"/>
      <c r="L737" s="177"/>
      <c r="M737" s="289"/>
    </row>
    <row r="738" spans="1:13" ht="13">
      <c r="A738" s="1"/>
      <c r="B738" s="2"/>
      <c r="C738" s="289"/>
      <c r="D738" s="177"/>
      <c r="E738" s="289"/>
      <c r="F738" s="177"/>
      <c r="G738" s="289"/>
      <c r="H738" s="177"/>
      <c r="I738" s="289"/>
      <c r="J738" s="177"/>
      <c r="K738" s="289"/>
      <c r="L738" s="177"/>
      <c r="M738" s="289"/>
    </row>
    <row r="739" spans="1:13" ht="13">
      <c r="A739" s="1"/>
      <c r="B739" s="2"/>
      <c r="C739" s="289"/>
      <c r="D739" s="177"/>
      <c r="E739" s="289"/>
      <c r="F739" s="177"/>
      <c r="G739" s="289"/>
      <c r="H739" s="177"/>
      <c r="I739" s="289"/>
      <c r="J739" s="177"/>
      <c r="K739" s="289"/>
      <c r="L739" s="177"/>
      <c r="M739" s="289"/>
    </row>
    <row r="740" spans="1:13" ht="13">
      <c r="A740" s="1"/>
      <c r="B740" s="2"/>
      <c r="C740" s="289"/>
      <c r="D740" s="177"/>
      <c r="E740" s="289"/>
      <c r="F740" s="177"/>
      <c r="G740" s="289"/>
      <c r="H740" s="177"/>
      <c r="I740" s="289"/>
      <c r="J740" s="177"/>
      <c r="K740" s="289"/>
      <c r="L740" s="177"/>
      <c r="M740" s="289"/>
    </row>
    <row r="741" spans="1:13" ht="13">
      <c r="A741" s="1"/>
      <c r="B741" s="2"/>
      <c r="C741" s="289"/>
      <c r="D741" s="177"/>
      <c r="E741" s="289"/>
      <c r="F741" s="177"/>
      <c r="G741" s="289"/>
      <c r="H741" s="177"/>
      <c r="I741" s="289"/>
      <c r="J741" s="177"/>
      <c r="K741" s="289"/>
      <c r="L741" s="177"/>
      <c r="M741" s="289"/>
    </row>
    <row r="742" spans="1:13" ht="13">
      <c r="A742" s="1"/>
      <c r="B742" s="2"/>
      <c r="C742" s="289"/>
      <c r="D742" s="177"/>
      <c r="E742" s="289"/>
      <c r="F742" s="177"/>
      <c r="G742" s="289"/>
      <c r="H742" s="177"/>
      <c r="I742" s="289"/>
      <c r="J742" s="177"/>
      <c r="K742" s="289"/>
      <c r="L742" s="177"/>
      <c r="M742" s="289"/>
    </row>
    <row r="743" spans="1:13" ht="13">
      <c r="A743" s="1"/>
      <c r="B743" s="2"/>
      <c r="C743" s="289"/>
      <c r="D743" s="177"/>
      <c r="E743" s="289"/>
      <c r="F743" s="177"/>
      <c r="G743" s="289"/>
      <c r="H743" s="177"/>
      <c r="I743" s="289"/>
      <c r="J743" s="177"/>
      <c r="K743" s="289"/>
      <c r="L743" s="177"/>
      <c r="M743" s="289"/>
    </row>
    <row r="744" spans="1:13" ht="13">
      <c r="A744" s="1"/>
      <c r="B744" s="2"/>
      <c r="C744" s="289"/>
      <c r="D744" s="177"/>
      <c r="E744" s="289"/>
      <c r="F744" s="177"/>
      <c r="G744" s="289"/>
      <c r="H744" s="177"/>
      <c r="I744" s="289"/>
      <c r="J744" s="177"/>
      <c r="K744" s="289"/>
      <c r="L744" s="177"/>
      <c r="M744" s="289"/>
    </row>
    <row r="745" spans="1:13" ht="13">
      <c r="A745" s="1"/>
      <c r="B745" s="2"/>
      <c r="C745" s="289"/>
      <c r="D745" s="177"/>
      <c r="E745" s="289"/>
      <c r="F745" s="177"/>
      <c r="G745" s="289"/>
      <c r="H745" s="177"/>
      <c r="I745" s="289"/>
      <c r="J745" s="177"/>
      <c r="K745" s="289"/>
      <c r="L745" s="177"/>
      <c r="M745" s="289"/>
    </row>
    <row r="746" spans="1:13" ht="13">
      <c r="A746" s="1"/>
      <c r="B746" s="2"/>
      <c r="C746" s="289"/>
      <c r="D746" s="177"/>
      <c r="E746" s="289"/>
      <c r="F746" s="177"/>
      <c r="G746" s="289"/>
      <c r="H746" s="177"/>
      <c r="I746" s="289"/>
      <c r="J746" s="177"/>
      <c r="K746" s="289"/>
      <c r="L746" s="177"/>
      <c r="M746" s="289"/>
    </row>
    <row r="747" spans="1:13" ht="13">
      <c r="A747" s="1"/>
      <c r="B747" s="2"/>
      <c r="C747" s="289"/>
      <c r="D747" s="177"/>
      <c r="E747" s="289"/>
      <c r="F747" s="177"/>
      <c r="G747" s="289"/>
      <c r="H747" s="177"/>
      <c r="I747" s="289"/>
      <c r="J747" s="177"/>
      <c r="K747" s="289"/>
      <c r="L747" s="177"/>
      <c r="M747" s="289"/>
    </row>
    <row r="748" spans="1:13" ht="13">
      <c r="A748" s="1"/>
      <c r="B748" s="2"/>
      <c r="C748" s="289"/>
      <c r="D748" s="177"/>
      <c r="E748" s="289"/>
      <c r="F748" s="177"/>
      <c r="G748" s="289"/>
      <c r="H748" s="177"/>
      <c r="I748" s="289"/>
      <c r="J748" s="177"/>
      <c r="K748" s="289"/>
      <c r="L748" s="177"/>
      <c r="M748" s="289"/>
    </row>
    <row r="749" spans="1:13" ht="13">
      <c r="A749" s="1"/>
      <c r="B749" s="2"/>
      <c r="C749" s="289"/>
      <c r="D749" s="177"/>
      <c r="E749" s="289"/>
      <c r="F749" s="177"/>
      <c r="G749" s="289"/>
      <c r="H749" s="177"/>
      <c r="I749" s="289"/>
      <c r="J749" s="177"/>
      <c r="K749" s="289"/>
      <c r="L749" s="177"/>
      <c r="M749" s="289"/>
    </row>
    <row r="750" spans="1:13" ht="13">
      <c r="A750" s="1"/>
      <c r="B750" s="2"/>
      <c r="C750" s="289"/>
      <c r="D750" s="177"/>
      <c r="E750" s="289"/>
      <c r="F750" s="177"/>
      <c r="G750" s="289"/>
      <c r="H750" s="177"/>
      <c r="I750" s="289"/>
      <c r="J750" s="177"/>
      <c r="K750" s="289"/>
      <c r="L750" s="177"/>
      <c r="M750" s="289"/>
    </row>
    <row r="751" spans="1:13" ht="13">
      <c r="A751" s="1"/>
      <c r="B751" s="2"/>
      <c r="C751" s="289"/>
      <c r="D751" s="177"/>
      <c r="E751" s="289"/>
      <c r="F751" s="177"/>
      <c r="G751" s="289"/>
      <c r="H751" s="177"/>
      <c r="I751" s="289"/>
      <c r="J751" s="177"/>
      <c r="K751" s="289"/>
      <c r="L751" s="177"/>
      <c r="M751" s="289"/>
    </row>
    <row r="752" spans="1:13" ht="13">
      <c r="A752" s="1"/>
      <c r="B752" s="2"/>
      <c r="C752" s="289"/>
      <c r="D752" s="177"/>
      <c r="E752" s="289"/>
      <c r="F752" s="177"/>
      <c r="G752" s="289"/>
      <c r="H752" s="177"/>
      <c r="I752" s="289"/>
      <c r="J752" s="177"/>
      <c r="K752" s="289"/>
      <c r="L752" s="177"/>
      <c r="M752" s="289"/>
    </row>
    <row r="753" spans="1:13" ht="13">
      <c r="A753" s="1"/>
      <c r="B753" s="2"/>
      <c r="C753" s="289"/>
      <c r="D753" s="177"/>
      <c r="E753" s="289"/>
      <c r="F753" s="177"/>
      <c r="G753" s="289"/>
      <c r="H753" s="177"/>
      <c r="I753" s="289"/>
      <c r="J753" s="177"/>
      <c r="K753" s="289"/>
      <c r="L753" s="177"/>
      <c r="M753" s="289"/>
    </row>
    <row r="754" spans="1:13" ht="13">
      <c r="A754" s="1"/>
      <c r="B754" s="2"/>
      <c r="C754" s="289"/>
      <c r="D754" s="177"/>
      <c r="E754" s="289"/>
      <c r="F754" s="177"/>
      <c r="G754" s="289"/>
      <c r="H754" s="177"/>
      <c r="I754" s="289"/>
      <c r="J754" s="177"/>
      <c r="K754" s="289"/>
      <c r="L754" s="177"/>
      <c r="M754" s="289"/>
    </row>
    <row r="755" spans="1:13" ht="13">
      <c r="A755" s="1"/>
      <c r="B755" s="2"/>
      <c r="C755" s="289"/>
      <c r="D755" s="177"/>
      <c r="E755" s="289"/>
      <c r="F755" s="177"/>
      <c r="G755" s="289"/>
      <c r="H755" s="177"/>
      <c r="I755" s="289"/>
      <c r="J755" s="177"/>
      <c r="K755" s="289"/>
      <c r="L755" s="177"/>
      <c r="M755" s="289"/>
    </row>
    <row r="756" spans="1:13" ht="13">
      <c r="A756" s="1"/>
      <c r="B756" s="2"/>
      <c r="C756" s="289"/>
      <c r="D756" s="177"/>
      <c r="E756" s="289"/>
      <c r="F756" s="177"/>
      <c r="G756" s="289"/>
      <c r="H756" s="177"/>
      <c r="I756" s="289"/>
      <c r="J756" s="177"/>
      <c r="K756" s="289"/>
      <c r="L756" s="177"/>
      <c r="M756" s="289"/>
    </row>
    <row r="757" spans="1:13" ht="13">
      <c r="A757" s="1"/>
      <c r="B757" s="2"/>
      <c r="C757" s="289"/>
      <c r="D757" s="177"/>
      <c r="E757" s="289"/>
      <c r="F757" s="177"/>
      <c r="G757" s="289"/>
      <c r="H757" s="177"/>
      <c r="I757" s="289"/>
      <c r="J757" s="177"/>
      <c r="K757" s="289"/>
      <c r="L757" s="177"/>
      <c r="M757" s="289"/>
    </row>
    <row r="758" spans="1:13" ht="13">
      <c r="A758" s="1"/>
      <c r="B758" s="2"/>
      <c r="C758" s="289"/>
      <c r="D758" s="177"/>
      <c r="E758" s="289"/>
      <c r="F758" s="177"/>
      <c r="G758" s="289"/>
      <c r="H758" s="177"/>
      <c r="I758" s="289"/>
      <c r="J758" s="177"/>
      <c r="K758" s="289"/>
      <c r="L758" s="177"/>
      <c r="M758" s="289"/>
    </row>
    <row r="759" spans="1:13" ht="13">
      <c r="A759" s="1"/>
      <c r="B759" s="2"/>
      <c r="C759" s="289"/>
      <c r="D759" s="177"/>
      <c r="E759" s="289"/>
      <c r="F759" s="177"/>
      <c r="G759" s="289"/>
      <c r="H759" s="177"/>
      <c r="I759" s="289"/>
      <c r="J759" s="177"/>
      <c r="K759" s="289"/>
      <c r="L759" s="177"/>
      <c r="M759" s="289"/>
    </row>
    <row r="760" spans="1:13" ht="13">
      <c r="A760" s="1"/>
      <c r="B760" s="2"/>
      <c r="C760" s="289"/>
      <c r="D760" s="177"/>
      <c r="E760" s="289"/>
      <c r="F760" s="177"/>
      <c r="G760" s="289"/>
      <c r="H760" s="177"/>
      <c r="I760" s="289"/>
      <c r="J760" s="177"/>
      <c r="K760" s="289"/>
      <c r="L760" s="177"/>
      <c r="M760" s="289"/>
    </row>
    <row r="761" spans="1:13" ht="13">
      <c r="A761" s="1"/>
      <c r="B761" s="2"/>
      <c r="C761" s="289"/>
      <c r="D761" s="177"/>
      <c r="E761" s="289"/>
      <c r="F761" s="177"/>
      <c r="G761" s="289"/>
      <c r="H761" s="177"/>
      <c r="I761" s="289"/>
      <c r="J761" s="177"/>
      <c r="K761" s="289"/>
      <c r="L761" s="177"/>
      <c r="M761" s="289"/>
    </row>
    <row r="762" spans="1:13" ht="13">
      <c r="A762" s="1"/>
      <c r="B762" s="2"/>
      <c r="C762" s="289"/>
      <c r="D762" s="177"/>
      <c r="E762" s="289"/>
      <c r="F762" s="177"/>
      <c r="G762" s="289"/>
      <c r="H762" s="177"/>
      <c r="I762" s="289"/>
      <c r="J762" s="177"/>
      <c r="K762" s="289"/>
      <c r="L762" s="177"/>
      <c r="M762" s="289"/>
    </row>
    <row r="763" spans="1:13" ht="13">
      <c r="A763" s="1"/>
      <c r="B763" s="2"/>
      <c r="C763" s="289"/>
      <c r="D763" s="177"/>
      <c r="E763" s="289"/>
      <c r="F763" s="177"/>
      <c r="G763" s="289"/>
      <c r="H763" s="177"/>
      <c r="I763" s="289"/>
      <c r="J763" s="177"/>
      <c r="K763" s="289"/>
      <c r="L763" s="177"/>
      <c r="M763" s="289"/>
    </row>
    <row r="764" spans="1:13" ht="13">
      <c r="A764" s="1"/>
      <c r="B764" s="2"/>
      <c r="C764" s="289"/>
      <c r="D764" s="177"/>
      <c r="E764" s="289"/>
      <c r="F764" s="177"/>
      <c r="G764" s="289"/>
      <c r="H764" s="177"/>
      <c r="I764" s="289"/>
      <c r="J764" s="177"/>
      <c r="K764" s="289"/>
      <c r="L764" s="177"/>
      <c r="M764" s="289"/>
    </row>
    <row r="765" spans="1:13" ht="13">
      <c r="A765" s="1"/>
      <c r="B765" s="2"/>
      <c r="C765" s="289"/>
      <c r="D765" s="177"/>
      <c r="E765" s="289"/>
      <c r="F765" s="177"/>
      <c r="G765" s="289"/>
      <c r="H765" s="177"/>
      <c r="I765" s="289"/>
      <c r="J765" s="177"/>
      <c r="K765" s="289"/>
      <c r="L765" s="177"/>
      <c r="M765" s="289"/>
    </row>
    <row r="766" spans="1:13" ht="13">
      <c r="A766" s="1"/>
      <c r="B766" s="2"/>
      <c r="C766" s="289"/>
      <c r="D766" s="177"/>
      <c r="E766" s="289"/>
      <c r="F766" s="177"/>
      <c r="G766" s="289"/>
      <c r="H766" s="177"/>
      <c r="I766" s="289"/>
      <c r="J766" s="177"/>
      <c r="K766" s="289"/>
      <c r="L766" s="177"/>
      <c r="M766" s="289"/>
    </row>
    <row r="767" spans="1:13" ht="13">
      <c r="A767" s="1"/>
      <c r="B767" s="2"/>
      <c r="C767" s="289"/>
      <c r="D767" s="177"/>
      <c r="E767" s="289"/>
      <c r="F767" s="177"/>
      <c r="G767" s="289"/>
      <c r="H767" s="177"/>
      <c r="I767" s="289"/>
      <c r="J767" s="177"/>
      <c r="K767" s="289"/>
      <c r="L767" s="177"/>
      <c r="M767" s="289"/>
    </row>
    <row r="768" spans="1:13" ht="13">
      <c r="A768" s="1"/>
      <c r="B768" s="2"/>
      <c r="C768" s="289"/>
      <c r="D768" s="177"/>
      <c r="E768" s="289"/>
      <c r="F768" s="177"/>
      <c r="G768" s="289"/>
      <c r="H768" s="177"/>
      <c r="I768" s="289"/>
      <c r="J768" s="177"/>
      <c r="K768" s="289"/>
      <c r="L768" s="177"/>
      <c r="M768" s="289"/>
    </row>
    <row r="769" spans="1:13" ht="13">
      <c r="A769" s="1"/>
      <c r="B769" s="2"/>
      <c r="C769" s="289"/>
      <c r="D769" s="177"/>
      <c r="E769" s="289"/>
      <c r="F769" s="177"/>
      <c r="G769" s="289"/>
      <c r="H769" s="177"/>
      <c r="I769" s="289"/>
      <c r="J769" s="177"/>
      <c r="K769" s="289"/>
      <c r="L769" s="177"/>
      <c r="M769" s="289"/>
    </row>
    <row r="770" spans="1:13" ht="13">
      <c r="A770" s="1"/>
      <c r="B770" s="2"/>
      <c r="C770" s="289"/>
      <c r="D770" s="177"/>
      <c r="E770" s="289"/>
      <c r="F770" s="177"/>
      <c r="G770" s="289"/>
      <c r="H770" s="177"/>
      <c r="I770" s="289"/>
      <c r="J770" s="177"/>
      <c r="K770" s="289"/>
      <c r="L770" s="177"/>
      <c r="M770" s="289"/>
    </row>
    <row r="771" spans="1:13" ht="13">
      <c r="A771" s="1"/>
      <c r="B771" s="2"/>
      <c r="C771" s="289"/>
      <c r="D771" s="177"/>
      <c r="E771" s="289"/>
      <c r="F771" s="177"/>
      <c r="G771" s="289"/>
      <c r="H771" s="177"/>
      <c r="I771" s="289"/>
      <c r="J771" s="177"/>
      <c r="K771" s="289"/>
      <c r="L771" s="177"/>
      <c r="M771" s="289"/>
    </row>
    <row r="772" spans="1:13" ht="13">
      <c r="A772" s="1"/>
      <c r="B772" s="2"/>
      <c r="C772" s="289"/>
      <c r="D772" s="177"/>
      <c r="E772" s="289"/>
      <c r="F772" s="177"/>
      <c r="G772" s="289"/>
      <c r="H772" s="177"/>
      <c r="I772" s="289"/>
      <c r="J772" s="177"/>
      <c r="K772" s="289"/>
      <c r="L772" s="177"/>
      <c r="M772" s="289"/>
    </row>
    <row r="773" spans="1:13" ht="13">
      <c r="A773" s="1"/>
      <c r="B773" s="2"/>
      <c r="C773" s="289"/>
      <c r="D773" s="177"/>
      <c r="E773" s="289"/>
      <c r="F773" s="177"/>
      <c r="G773" s="289"/>
      <c r="H773" s="177"/>
      <c r="I773" s="289"/>
      <c r="J773" s="177"/>
      <c r="K773" s="289"/>
      <c r="L773" s="177"/>
      <c r="M773" s="289"/>
    </row>
    <row r="774" spans="1:13" ht="13">
      <c r="A774" s="1"/>
      <c r="B774" s="2"/>
      <c r="C774" s="289"/>
      <c r="D774" s="177"/>
      <c r="E774" s="289"/>
      <c r="F774" s="177"/>
      <c r="G774" s="289"/>
      <c r="H774" s="177"/>
      <c r="I774" s="289"/>
      <c r="J774" s="177"/>
      <c r="K774" s="289"/>
      <c r="L774" s="177"/>
      <c r="M774" s="289"/>
    </row>
    <row r="775" spans="1:13" ht="13">
      <c r="A775" s="1"/>
      <c r="B775" s="2"/>
      <c r="C775" s="289"/>
      <c r="D775" s="177"/>
      <c r="E775" s="289"/>
      <c r="F775" s="177"/>
      <c r="G775" s="289"/>
      <c r="H775" s="177"/>
      <c r="I775" s="289"/>
      <c r="J775" s="177"/>
      <c r="K775" s="289"/>
      <c r="L775" s="177"/>
      <c r="M775" s="289"/>
    </row>
    <row r="776" spans="1:13" ht="13">
      <c r="A776" s="1"/>
      <c r="B776" s="2"/>
      <c r="C776" s="289"/>
      <c r="D776" s="177"/>
      <c r="E776" s="289"/>
      <c r="F776" s="177"/>
      <c r="G776" s="289"/>
      <c r="H776" s="177"/>
      <c r="I776" s="289"/>
      <c r="J776" s="177"/>
      <c r="K776" s="289"/>
      <c r="L776" s="177"/>
      <c r="M776" s="289"/>
    </row>
    <row r="777" spans="1:13" ht="13">
      <c r="A777" s="1"/>
      <c r="B777" s="2"/>
      <c r="C777" s="289"/>
      <c r="D777" s="177"/>
      <c r="E777" s="289"/>
      <c r="F777" s="177"/>
      <c r="G777" s="289"/>
      <c r="H777" s="177"/>
      <c r="I777" s="289"/>
      <c r="J777" s="177"/>
      <c r="K777" s="289"/>
      <c r="L777" s="177"/>
      <c r="M777" s="289"/>
    </row>
    <row r="778" spans="1:13" ht="13">
      <c r="A778" s="1"/>
      <c r="B778" s="2"/>
      <c r="C778" s="289"/>
      <c r="D778" s="177"/>
      <c r="E778" s="289"/>
      <c r="F778" s="177"/>
      <c r="G778" s="289"/>
      <c r="H778" s="177"/>
      <c r="I778" s="289"/>
      <c r="J778" s="177"/>
      <c r="K778" s="289"/>
      <c r="L778" s="177"/>
      <c r="M778" s="289"/>
    </row>
    <row r="779" spans="1:13" ht="13">
      <c r="A779" s="1"/>
      <c r="B779" s="2"/>
      <c r="C779" s="289"/>
      <c r="D779" s="177"/>
      <c r="E779" s="289"/>
      <c r="F779" s="177"/>
      <c r="G779" s="289"/>
      <c r="H779" s="177"/>
      <c r="I779" s="289"/>
      <c r="J779" s="177"/>
      <c r="K779" s="289"/>
      <c r="L779" s="177"/>
      <c r="M779" s="289"/>
    </row>
    <row r="780" spans="1:13" ht="13">
      <c r="A780" s="1"/>
      <c r="B780" s="2"/>
      <c r="C780" s="289"/>
      <c r="D780" s="177"/>
      <c r="E780" s="289"/>
      <c r="F780" s="177"/>
      <c r="G780" s="289"/>
      <c r="H780" s="177"/>
      <c r="I780" s="289"/>
      <c r="J780" s="177"/>
      <c r="K780" s="289"/>
      <c r="L780" s="177"/>
      <c r="M780" s="289"/>
    </row>
    <row r="781" spans="1:13" ht="13">
      <c r="A781" s="1"/>
      <c r="B781" s="2"/>
      <c r="C781" s="289"/>
      <c r="D781" s="177"/>
      <c r="E781" s="289"/>
      <c r="F781" s="177"/>
      <c r="G781" s="289"/>
      <c r="H781" s="177"/>
      <c r="I781" s="289"/>
      <c r="J781" s="177"/>
      <c r="K781" s="289"/>
      <c r="L781" s="177"/>
      <c r="M781" s="289"/>
    </row>
    <row r="782" spans="1:13" ht="13">
      <c r="A782" s="1"/>
      <c r="B782" s="2"/>
      <c r="C782" s="289"/>
      <c r="D782" s="177"/>
      <c r="E782" s="289"/>
      <c r="F782" s="177"/>
      <c r="G782" s="289"/>
      <c r="H782" s="177"/>
      <c r="I782" s="289"/>
      <c r="J782" s="177"/>
      <c r="K782" s="289"/>
      <c r="L782" s="177"/>
      <c r="M782" s="289"/>
    </row>
    <row r="783" spans="1:13" ht="13">
      <c r="A783" s="1"/>
      <c r="B783" s="2"/>
      <c r="C783" s="289"/>
      <c r="D783" s="177"/>
      <c r="E783" s="289"/>
      <c r="F783" s="177"/>
      <c r="G783" s="289"/>
      <c r="H783" s="177"/>
      <c r="I783" s="289"/>
      <c r="J783" s="177"/>
      <c r="K783" s="289"/>
      <c r="L783" s="177"/>
      <c r="M783" s="289"/>
    </row>
    <row r="784" spans="1:13" ht="13">
      <c r="A784" s="1"/>
      <c r="B784" s="2"/>
      <c r="C784" s="289"/>
      <c r="D784" s="177"/>
      <c r="E784" s="289"/>
      <c r="F784" s="177"/>
      <c r="G784" s="289"/>
      <c r="H784" s="177"/>
      <c r="I784" s="289"/>
      <c r="J784" s="177"/>
      <c r="K784" s="289"/>
      <c r="L784" s="177"/>
      <c r="M784" s="289"/>
    </row>
    <row r="785" spans="1:13" ht="13">
      <c r="A785" s="1"/>
      <c r="B785" s="2"/>
      <c r="C785" s="289"/>
      <c r="D785" s="177"/>
      <c r="E785" s="289"/>
      <c r="F785" s="177"/>
      <c r="G785" s="289"/>
      <c r="H785" s="177"/>
      <c r="I785" s="289"/>
      <c r="J785" s="177"/>
      <c r="K785" s="289"/>
      <c r="L785" s="177"/>
      <c r="M785" s="289"/>
    </row>
    <row r="786" spans="1:13" ht="13">
      <c r="A786" s="1"/>
      <c r="B786" s="2"/>
      <c r="C786" s="289"/>
      <c r="D786" s="177"/>
      <c r="E786" s="289"/>
      <c r="F786" s="177"/>
      <c r="G786" s="289"/>
      <c r="H786" s="177"/>
      <c r="I786" s="289"/>
      <c r="J786" s="177"/>
      <c r="K786" s="289"/>
      <c r="L786" s="177"/>
      <c r="M786" s="289"/>
    </row>
    <row r="787" spans="1:13" ht="13">
      <c r="A787" s="1"/>
      <c r="B787" s="2"/>
      <c r="C787" s="289"/>
      <c r="D787" s="177"/>
      <c r="E787" s="289"/>
      <c r="F787" s="177"/>
      <c r="G787" s="289"/>
      <c r="H787" s="177"/>
      <c r="I787" s="289"/>
      <c r="J787" s="177"/>
      <c r="K787" s="289"/>
      <c r="L787" s="177"/>
      <c r="M787" s="289"/>
    </row>
    <row r="788" spans="1:13" ht="13">
      <c r="A788" s="1"/>
      <c r="B788" s="2"/>
      <c r="C788" s="289"/>
      <c r="D788" s="177"/>
      <c r="E788" s="289"/>
      <c r="F788" s="177"/>
      <c r="G788" s="289"/>
      <c r="H788" s="177"/>
      <c r="I788" s="289"/>
      <c r="J788" s="177"/>
      <c r="K788" s="289"/>
      <c r="L788" s="177"/>
      <c r="M788" s="289"/>
    </row>
    <row r="789" spans="1:13" ht="13">
      <c r="A789" s="1"/>
      <c r="B789" s="2"/>
      <c r="C789" s="289"/>
      <c r="D789" s="177"/>
      <c r="E789" s="289"/>
      <c r="F789" s="177"/>
      <c r="G789" s="289"/>
      <c r="H789" s="177"/>
      <c r="I789" s="289"/>
      <c r="J789" s="177"/>
      <c r="K789" s="289"/>
      <c r="L789" s="177"/>
      <c r="M789" s="289"/>
    </row>
    <row r="790" spans="1:13" ht="13">
      <c r="A790" s="1"/>
      <c r="B790" s="2"/>
      <c r="C790" s="289"/>
      <c r="D790" s="177"/>
      <c r="E790" s="289"/>
      <c r="F790" s="177"/>
      <c r="G790" s="289"/>
      <c r="H790" s="177"/>
      <c r="I790" s="289"/>
      <c r="J790" s="177"/>
      <c r="K790" s="289"/>
      <c r="L790" s="177"/>
      <c r="M790" s="289"/>
    </row>
    <row r="791" spans="1:13" ht="13">
      <c r="A791" s="1"/>
      <c r="B791" s="2"/>
      <c r="C791" s="289"/>
      <c r="D791" s="177"/>
      <c r="E791" s="289"/>
      <c r="F791" s="177"/>
      <c r="G791" s="289"/>
      <c r="H791" s="177"/>
      <c r="I791" s="289"/>
      <c r="J791" s="177"/>
      <c r="K791" s="289"/>
      <c r="L791" s="177"/>
      <c r="M791" s="289"/>
    </row>
    <row r="792" spans="1:13" ht="13">
      <c r="A792" s="1"/>
      <c r="B792" s="2"/>
      <c r="C792" s="289"/>
      <c r="D792" s="177"/>
      <c r="E792" s="289"/>
      <c r="F792" s="177"/>
      <c r="G792" s="289"/>
      <c r="H792" s="177"/>
      <c r="I792" s="289"/>
      <c r="J792" s="177"/>
      <c r="K792" s="289"/>
      <c r="L792" s="177"/>
      <c r="M792" s="289"/>
    </row>
    <row r="793" spans="1:13" ht="13">
      <c r="A793" s="1"/>
      <c r="B793" s="2"/>
      <c r="C793" s="289"/>
      <c r="D793" s="177"/>
      <c r="E793" s="289"/>
      <c r="F793" s="177"/>
      <c r="G793" s="289"/>
      <c r="H793" s="177"/>
      <c r="I793" s="289"/>
      <c r="J793" s="177"/>
      <c r="K793" s="289"/>
      <c r="L793" s="177"/>
      <c r="M793" s="289"/>
    </row>
    <row r="794" spans="1:13" ht="13">
      <c r="A794" s="1"/>
      <c r="B794" s="2"/>
      <c r="C794" s="289"/>
      <c r="D794" s="177"/>
      <c r="E794" s="289"/>
      <c r="F794" s="177"/>
      <c r="G794" s="289"/>
      <c r="H794" s="177"/>
      <c r="I794" s="289"/>
      <c r="J794" s="177"/>
      <c r="K794" s="289"/>
      <c r="L794" s="177"/>
      <c r="M794" s="289"/>
    </row>
    <row r="795" spans="1:13" ht="13">
      <c r="A795" s="1"/>
      <c r="B795" s="2"/>
      <c r="C795" s="289"/>
      <c r="D795" s="177"/>
      <c r="E795" s="289"/>
      <c r="F795" s="177"/>
      <c r="G795" s="289"/>
      <c r="H795" s="177"/>
      <c r="I795" s="289"/>
      <c r="J795" s="177"/>
      <c r="K795" s="289"/>
      <c r="L795" s="177"/>
      <c r="M795" s="289"/>
    </row>
    <row r="796" spans="1:13" ht="13">
      <c r="A796" s="1"/>
      <c r="B796" s="2"/>
      <c r="C796" s="289"/>
      <c r="D796" s="177"/>
      <c r="E796" s="289"/>
      <c r="F796" s="177"/>
      <c r="G796" s="289"/>
      <c r="H796" s="177"/>
      <c r="I796" s="289"/>
      <c r="J796" s="177"/>
      <c r="K796" s="289"/>
      <c r="L796" s="177"/>
      <c r="M796" s="289"/>
    </row>
    <row r="797" spans="1:13" ht="13">
      <c r="A797" s="1"/>
      <c r="B797" s="2"/>
      <c r="C797" s="289"/>
      <c r="D797" s="177"/>
      <c r="E797" s="289"/>
      <c r="F797" s="177"/>
      <c r="G797" s="289"/>
      <c r="H797" s="177"/>
      <c r="I797" s="289"/>
      <c r="J797" s="177"/>
      <c r="K797" s="289"/>
      <c r="L797" s="177"/>
      <c r="M797" s="289"/>
    </row>
    <row r="798" spans="1:13" ht="13">
      <c r="A798" s="1"/>
      <c r="B798" s="2"/>
      <c r="C798" s="289"/>
      <c r="D798" s="177"/>
      <c r="E798" s="289"/>
      <c r="F798" s="177"/>
      <c r="G798" s="289"/>
      <c r="H798" s="177"/>
      <c r="I798" s="289"/>
      <c r="J798" s="177"/>
      <c r="K798" s="289"/>
      <c r="L798" s="177"/>
      <c r="M798" s="289"/>
    </row>
    <row r="799" spans="1:13" ht="13">
      <c r="A799" s="1"/>
      <c r="B799" s="2"/>
      <c r="C799" s="289"/>
      <c r="D799" s="177"/>
      <c r="E799" s="289"/>
      <c r="F799" s="177"/>
      <c r="G799" s="289"/>
      <c r="H799" s="177"/>
      <c r="I799" s="289"/>
      <c r="J799" s="177"/>
      <c r="K799" s="289"/>
      <c r="L799" s="177"/>
      <c r="M799" s="289"/>
    </row>
    <row r="800" spans="1:13" ht="13">
      <c r="A800" s="1"/>
      <c r="B800" s="2"/>
      <c r="C800" s="289"/>
      <c r="D800" s="177"/>
      <c r="E800" s="289"/>
      <c r="F800" s="177"/>
      <c r="G800" s="289"/>
      <c r="H800" s="177"/>
      <c r="I800" s="289"/>
      <c r="J800" s="177"/>
      <c r="K800" s="289"/>
      <c r="L800" s="177"/>
      <c r="M800" s="289"/>
    </row>
    <row r="801" spans="1:13" ht="13">
      <c r="A801" s="1"/>
      <c r="B801" s="2"/>
      <c r="C801" s="289"/>
      <c r="D801" s="177"/>
      <c r="E801" s="289"/>
      <c r="F801" s="177"/>
      <c r="G801" s="289"/>
      <c r="H801" s="177"/>
      <c r="I801" s="289"/>
      <c r="J801" s="177"/>
      <c r="K801" s="289"/>
      <c r="L801" s="177"/>
      <c r="M801" s="289"/>
    </row>
    <row r="802" spans="1:13" ht="13">
      <c r="A802" s="1"/>
      <c r="B802" s="2"/>
      <c r="C802" s="289"/>
      <c r="D802" s="177"/>
      <c r="E802" s="289"/>
      <c r="F802" s="177"/>
      <c r="G802" s="289"/>
      <c r="H802" s="177"/>
      <c r="I802" s="289"/>
      <c r="J802" s="177"/>
      <c r="K802" s="289"/>
      <c r="L802" s="177"/>
      <c r="M802" s="289"/>
    </row>
    <row r="803" spans="1:13" ht="13">
      <c r="A803" s="1"/>
      <c r="B803" s="2"/>
      <c r="C803" s="289"/>
      <c r="D803" s="177"/>
      <c r="E803" s="289"/>
      <c r="F803" s="177"/>
      <c r="G803" s="289"/>
      <c r="H803" s="177"/>
      <c r="I803" s="289"/>
      <c r="J803" s="177"/>
      <c r="K803" s="289"/>
      <c r="L803" s="177"/>
      <c r="M803" s="289"/>
    </row>
    <row r="804" spans="1:13" ht="13">
      <c r="A804" s="1"/>
      <c r="B804" s="2"/>
      <c r="C804" s="289"/>
      <c r="D804" s="177"/>
      <c r="E804" s="289"/>
      <c r="F804" s="177"/>
      <c r="G804" s="289"/>
      <c r="H804" s="177"/>
      <c r="I804" s="289"/>
      <c r="J804" s="177"/>
      <c r="K804" s="289"/>
      <c r="L804" s="177"/>
      <c r="M804" s="289"/>
    </row>
    <row r="805" spans="1:13" ht="13">
      <c r="A805" s="1"/>
      <c r="B805" s="2"/>
      <c r="C805" s="289"/>
      <c r="D805" s="177"/>
      <c r="E805" s="289"/>
      <c r="F805" s="177"/>
      <c r="G805" s="289"/>
      <c r="H805" s="177"/>
      <c r="I805" s="289"/>
      <c r="J805" s="177"/>
      <c r="K805" s="289"/>
      <c r="L805" s="177"/>
      <c r="M805" s="289"/>
    </row>
    <row r="806" spans="1:13" ht="13">
      <c r="A806" s="1"/>
      <c r="B806" s="2"/>
      <c r="C806" s="289"/>
      <c r="D806" s="177"/>
      <c r="E806" s="289"/>
      <c r="F806" s="177"/>
      <c r="G806" s="289"/>
      <c r="H806" s="177"/>
      <c r="I806" s="289"/>
      <c r="J806" s="177"/>
      <c r="K806" s="289"/>
      <c r="L806" s="177"/>
      <c r="M806" s="289"/>
    </row>
    <row r="807" spans="1:13" ht="13">
      <c r="A807" s="1"/>
      <c r="B807" s="2"/>
      <c r="C807" s="289"/>
      <c r="D807" s="177"/>
      <c r="E807" s="289"/>
      <c r="F807" s="177"/>
      <c r="G807" s="289"/>
      <c r="H807" s="177"/>
      <c r="I807" s="289"/>
      <c r="J807" s="177"/>
      <c r="K807" s="289"/>
      <c r="L807" s="177"/>
      <c r="M807" s="289"/>
    </row>
    <row r="808" spans="1:13" ht="13">
      <c r="A808" s="1"/>
      <c r="B808" s="2"/>
      <c r="C808" s="289"/>
      <c r="D808" s="177"/>
      <c r="E808" s="289"/>
      <c r="F808" s="177"/>
      <c r="G808" s="289"/>
      <c r="H808" s="177"/>
      <c r="I808" s="289"/>
      <c r="J808" s="177"/>
      <c r="K808" s="289"/>
      <c r="L808" s="177"/>
      <c r="M808" s="289"/>
    </row>
    <row r="809" spans="1:13" ht="13">
      <c r="A809" s="1"/>
      <c r="B809" s="2"/>
      <c r="C809" s="289"/>
      <c r="D809" s="177"/>
      <c r="E809" s="289"/>
      <c r="F809" s="177"/>
      <c r="G809" s="289"/>
      <c r="H809" s="177"/>
      <c r="I809" s="289"/>
      <c r="J809" s="177"/>
      <c r="K809" s="289"/>
      <c r="L809" s="177"/>
      <c r="M809" s="289"/>
    </row>
    <row r="810" spans="1:13" ht="13">
      <c r="A810" s="1"/>
      <c r="B810" s="2"/>
      <c r="C810" s="289"/>
      <c r="D810" s="177"/>
      <c r="E810" s="289"/>
      <c r="F810" s="177"/>
      <c r="G810" s="289"/>
      <c r="H810" s="177"/>
      <c r="I810" s="289"/>
      <c r="J810" s="177"/>
      <c r="K810" s="289"/>
      <c r="L810" s="177"/>
      <c r="M810" s="289"/>
    </row>
    <row r="811" spans="1:13" ht="13">
      <c r="A811" s="1"/>
      <c r="B811" s="2"/>
      <c r="C811" s="289"/>
      <c r="D811" s="177"/>
      <c r="E811" s="289"/>
      <c r="F811" s="177"/>
      <c r="G811" s="289"/>
      <c r="H811" s="177"/>
      <c r="I811" s="289"/>
      <c r="J811" s="177"/>
      <c r="K811" s="289"/>
      <c r="L811" s="177"/>
      <c r="M811" s="289"/>
    </row>
    <row r="812" spans="1:13" ht="13">
      <c r="A812" s="1"/>
      <c r="B812" s="2"/>
      <c r="C812" s="289"/>
      <c r="D812" s="177"/>
      <c r="E812" s="289"/>
      <c r="F812" s="177"/>
      <c r="G812" s="289"/>
      <c r="H812" s="177"/>
      <c r="I812" s="289"/>
      <c r="J812" s="177"/>
      <c r="K812" s="289"/>
      <c r="L812" s="177"/>
      <c r="M812" s="289"/>
    </row>
    <row r="813" spans="1:13" ht="13">
      <c r="A813" s="1"/>
      <c r="B813" s="2"/>
      <c r="C813" s="289"/>
      <c r="D813" s="177"/>
      <c r="E813" s="289"/>
      <c r="F813" s="177"/>
      <c r="G813" s="289"/>
      <c r="H813" s="177"/>
      <c r="I813" s="289"/>
      <c r="J813" s="177"/>
      <c r="K813" s="289"/>
      <c r="L813" s="177"/>
      <c r="M813" s="289"/>
    </row>
    <row r="814" spans="1:13" ht="13">
      <c r="A814" s="1"/>
      <c r="B814" s="2"/>
      <c r="C814" s="289"/>
      <c r="D814" s="177"/>
      <c r="E814" s="289"/>
      <c r="F814" s="177"/>
      <c r="G814" s="289"/>
      <c r="H814" s="177"/>
      <c r="I814" s="289"/>
      <c r="J814" s="177"/>
      <c r="K814" s="289"/>
      <c r="L814" s="177"/>
      <c r="M814" s="289"/>
    </row>
    <row r="815" spans="1:13" ht="13">
      <c r="A815" s="1"/>
      <c r="B815" s="2"/>
      <c r="C815" s="289"/>
      <c r="D815" s="177"/>
      <c r="E815" s="289"/>
      <c r="F815" s="177"/>
      <c r="G815" s="289"/>
      <c r="H815" s="177"/>
      <c r="I815" s="289"/>
      <c r="J815" s="177"/>
      <c r="K815" s="289"/>
      <c r="L815" s="177"/>
      <c r="M815" s="289"/>
    </row>
    <row r="816" spans="1:13" ht="13">
      <c r="A816" s="1"/>
      <c r="B816" s="2"/>
      <c r="C816" s="289"/>
      <c r="D816" s="177"/>
      <c r="E816" s="289"/>
      <c r="F816" s="177"/>
      <c r="G816" s="289"/>
      <c r="H816" s="177"/>
      <c r="I816" s="289"/>
      <c r="J816" s="177"/>
      <c r="K816" s="289"/>
      <c r="L816" s="177"/>
      <c r="M816" s="289"/>
    </row>
    <row r="817" spans="1:13" ht="13">
      <c r="A817" s="1"/>
      <c r="B817" s="2"/>
      <c r="C817" s="289"/>
      <c r="D817" s="177"/>
      <c r="E817" s="289"/>
      <c r="F817" s="177"/>
      <c r="G817" s="289"/>
      <c r="H817" s="177"/>
      <c r="I817" s="289"/>
      <c r="J817" s="177"/>
      <c r="K817" s="289"/>
      <c r="L817" s="177"/>
      <c r="M817" s="289"/>
    </row>
    <row r="818" spans="1:13" ht="13">
      <c r="A818" s="1"/>
      <c r="B818" s="2"/>
      <c r="C818" s="289"/>
      <c r="D818" s="177"/>
      <c r="E818" s="289"/>
      <c r="F818" s="177"/>
      <c r="G818" s="289"/>
      <c r="H818" s="177"/>
      <c r="I818" s="289"/>
      <c r="J818" s="177"/>
      <c r="K818" s="289"/>
      <c r="L818" s="177"/>
      <c r="M818" s="289"/>
    </row>
    <row r="819" spans="1:13" ht="13">
      <c r="A819" s="1"/>
      <c r="B819" s="2"/>
      <c r="C819" s="289"/>
      <c r="D819" s="177"/>
      <c r="E819" s="289"/>
      <c r="F819" s="177"/>
      <c r="G819" s="289"/>
      <c r="H819" s="177"/>
      <c r="I819" s="289"/>
      <c r="J819" s="177"/>
      <c r="K819" s="289"/>
      <c r="L819" s="177"/>
      <c r="M819" s="289"/>
    </row>
    <row r="820" spans="1:13" ht="13">
      <c r="A820" s="1"/>
      <c r="B820" s="2"/>
      <c r="C820" s="289"/>
      <c r="D820" s="177"/>
      <c r="E820" s="289"/>
      <c r="F820" s="177"/>
      <c r="G820" s="289"/>
      <c r="H820" s="177"/>
      <c r="I820" s="289"/>
      <c r="J820" s="177"/>
      <c r="K820" s="289"/>
      <c r="L820" s="177"/>
      <c r="M820" s="289"/>
    </row>
    <row r="821" spans="1:13" ht="13">
      <c r="A821" s="1"/>
      <c r="B821" s="2"/>
      <c r="C821" s="289"/>
      <c r="D821" s="177"/>
      <c r="E821" s="289"/>
      <c r="F821" s="177"/>
      <c r="G821" s="289"/>
      <c r="H821" s="177"/>
      <c r="I821" s="289"/>
      <c r="J821" s="177"/>
      <c r="K821" s="289"/>
      <c r="L821" s="177"/>
      <c r="M821" s="289"/>
    </row>
    <row r="822" spans="1:13" ht="13">
      <c r="A822" s="1"/>
      <c r="B822" s="2"/>
      <c r="C822" s="289"/>
      <c r="D822" s="177"/>
      <c r="E822" s="289"/>
      <c r="F822" s="177"/>
      <c r="G822" s="289"/>
      <c r="H822" s="177"/>
      <c r="I822" s="289"/>
      <c r="J822" s="177"/>
      <c r="K822" s="289"/>
      <c r="L822" s="177"/>
      <c r="M822" s="289"/>
    </row>
    <row r="823" spans="1:13" ht="13">
      <c r="A823" s="1"/>
      <c r="B823" s="2"/>
      <c r="C823" s="289"/>
      <c r="D823" s="177"/>
      <c r="E823" s="289"/>
      <c r="F823" s="177"/>
      <c r="G823" s="289"/>
      <c r="H823" s="177"/>
      <c r="I823" s="289"/>
      <c r="J823" s="177"/>
      <c r="K823" s="289"/>
      <c r="L823" s="177"/>
      <c r="M823" s="289"/>
    </row>
    <row r="824" spans="1:13" ht="13">
      <c r="A824" s="1"/>
      <c r="B824" s="2"/>
      <c r="C824" s="289"/>
      <c r="D824" s="177"/>
      <c r="E824" s="289"/>
      <c r="F824" s="177"/>
      <c r="G824" s="289"/>
      <c r="H824" s="177"/>
      <c r="I824" s="289"/>
      <c r="J824" s="177"/>
      <c r="K824" s="289"/>
      <c r="L824" s="177"/>
      <c r="M824" s="289"/>
    </row>
    <row r="825" spans="1:13" ht="13">
      <c r="A825" s="1"/>
      <c r="B825" s="2"/>
      <c r="C825" s="289"/>
      <c r="D825" s="177"/>
      <c r="E825" s="289"/>
      <c r="F825" s="177"/>
      <c r="G825" s="289"/>
      <c r="H825" s="177"/>
      <c r="I825" s="289"/>
      <c r="J825" s="177"/>
      <c r="K825" s="289"/>
      <c r="L825" s="177"/>
      <c r="M825" s="289"/>
    </row>
    <row r="826" spans="1:13" ht="13">
      <c r="A826" s="1"/>
      <c r="B826" s="2"/>
      <c r="C826" s="289"/>
      <c r="D826" s="177"/>
      <c r="E826" s="289"/>
      <c r="F826" s="177"/>
      <c r="G826" s="289"/>
      <c r="H826" s="177"/>
      <c r="I826" s="289"/>
      <c r="J826" s="177"/>
      <c r="K826" s="289"/>
      <c r="L826" s="177"/>
      <c r="M826" s="289"/>
    </row>
    <row r="827" spans="1:13" ht="13">
      <c r="A827" s="1"/>
      <c r="B827" s="2"/>
      <c r="C827" s="289"/>
      <c r="D827" s="177"/>
      <c r="E827" s="289"/>
      <c r="F827" s="177"/>
      <c r="G827" s="289"/>
      <c r="H827" s="177"/>
      <c r="I827" s="289"/>
      <c r="J827" s="177"/>
      <c r="K827" s="289"/>
      <c r="L827" s="177"/>
      <c r="M827" s="289"/>
    </row>
    <row r="828" spans="1:13" ht="13">
      <c r="A828" s="1"/>
      <c r="B828" s="2"/>
      <c r="C828" s="289"/>
      <c r="D828" s="177"/>
      <c r="E828" s="289"/>
      <c r="F828" s="177"/>
      <c r="G828" s="289"/>
      <c r="H828" s="177"/>
      <c r="I828" s="289"/>
      <c r="J828" s="177"/>
      <c r="K828" s="289"/>
      <c r="L828" s="177"/>
      <c r="M828" s="289"/>
    </row>
    <row r="829" spans="1:13" ht="13">
      <c r="A829" s="1"/>
      <c r="B829" s="2"/>
      <c r="C829" s="289"/>
      <c r="D829" s="177"/>
      <c r="E829" s="289"/>
      <c r="F829" s="177"/>
      <c r="G829" s="289"/>
      <c r="H829" s="177"/>
      <c r="I829" s="289"/>
      <c r="J829" s="177"/>
      <c r="K829" s="289"/>
      <c r="L829" s="177"/>
      <c r="M829" s="289"/>
    </row>
    <row r="830" spans="1:13" ht="13">
      <c r="A830" s="1"/>
      <c r="B830" s="2"/>
      <c r="C830" s="289"/>
      <c r="D830" s="177"/>
      <c r="E830" s="289"/>
      <c r="F830" s="177"/>
      <c r="G830" s="289"/>
      <c r="H830" s="177"/>
      <c r="I830" s="289"/>
      <c r="J830" s="177"/>
      <c r="K830" s="289"/>
      <c r="L830" s="177"/>
      <c r="M830" s="289"/>
    </row>
    <row r="831" spans="1:13" ht="13">
      <c r="A831" s="1"/>
      <c r="B831" s="2"/>
      <c r="C831" s="289"/>
      <c r="D831" s="177"/>
      <c r="E831" s="289"/>
      <c r="F831" s="177"/>
      <c r="G831" s="289"/>
      <c r="H831" s="177"/>
      <c r="I831" s="289"/>
      <c r="J831" s="177"/>
      <c r="K831" s="289"/>
      <c r="L831" s="177"/>
      <c r="M831" s="289"/>
    </row>
    <row r="832" spans="1:13" ht="13">
      <c r="A832" s="1"/>
      <c r="B832" s="2"/>
      <c r="C832" s="289"/>
      <c r="D832" s="177"/>
      <c r="E832" s="289"/>
      <c r="F832" s="177"/>
      <c r="G832" s="289"/>
      <c r="H832" s="177"/>
      <c r="I832" s="289"/>
      <c r="J832" s="177"/>
      <c r="K832" s="289"/>
      <c r="L832" s="177"/>
      <c r="M832" s="289"/>
    </row>
    <row r="833" spans="1:13" ht="13">
      <c r="A833" s="1"/>
      <c r="B833" s="2"/>
      <c r="C833" s="289"/>
      <c r="D833" s="177"/>
      <c r="E833" s="289"/>
      <c r="F833" s="177"/>
      <c r="G833" s="289"/>
      <c r="H833" s="177"/>
      <c r="I833" s="289"/>
      <c r="J833" s="177"/>
      <c r="K833" s="289"/>
      <c r="L833" s="177"/>
      <c r="M833" s="289"/>
    </row>
    <row r="834" spans="1:13" ht="13">
      <c r="A834" s="1"/>
      <c r="B834" s="2"/>
      <c r="C834" s="289"/>
      <c r="D834" s="177"/>
      <c r="E834" s="289"/>
      <c r="F834" s="177"/>
      <c r="G834" s="289"/>
      <c r="H834" s="177"/>
      <c r="I834" s="289"/>
      <c r="J834" s="177"/>
      <c r="K834" s="289"/>
      <c r="L834" s="177"/>
      <c r="M834" s="289"/>
    </row>
    <row r="835" spans="1:13" ht="13">
      <c r="A835" s="1"/>
      <c r="B835" s="2"/>
      <c r="C835" s="289"/>
      <c r="D835" s="177"/>
      <c r="E835" s="289"/>
      <c r="F835" s="177"/>
      <c r="G835" s="289"/>
      <c r="H835" s="177"/>
      <c r="I835" s="289"/>
      <c r="J835" s="177"/>
      <c r="K835" s="289"/>
      <c r="L835" s="177"/>
      <c r="M835" s="289"/>
    </row>
    <row r="836" spans="1:13" ht="13">
      <c r="A836" s="1"/>
      <c r="B836" s="2"/>
      <c r="C836" s="289"/>
      <c r="D836" s="177"/>
      <c r="E836" s="289"/>
      <c r="F836" s="177"/>
      <c r="G836" s="289"/>
      <c r="H836" s="177"/>
      <c r="I836" s="289"/>
      <c r="J836" s="177"/>
      <c r="K836" s="289"/>
      <c r="L836" s="177"/>
      <c r="M836" s="289"/>
    </row>
    <row r="837" spans="1:13" ht="13">
      <c r="A837" s="1"/>
      <c r="B837" s="2"/>
      <c r="C837" s="289"/>
      <c r="D837" s="177"/>
      <c r="E837" s="289"/>
      <c r="F837" s="177"/>
      <c r="G837" s="289"/>
      <c r="H837" s="177"/>
      <c r="I837" s="289"/>
      <c r="J837" s="177"/>
      <c r="K837" s="289"/>
      <c r="L837" s="177"/>
      <c r="M837" s="289"/>
    </row>
    <row r="838" spans="1:13" ht="13">
      <c r="A838" s="1"/>
      <c r="B838" s="2"/>
      <c r="C838" s="289"/>
      <c r="D838" s="177"/>
      <c r="E838" s="289"/>
      <c r="F838" s="177"/>
      <c r="G838" s="289"/>
      <c r="H838" s="177"/>
      <c r="I838" s="289"/>
      <c r="J838" s="177"/>
      <c r="K838" s="289"/>
      <c r="L838" s="177"/>
      <c r="M838" s="289"/>
    </row>
    <row r="839" spans="1:13" ht="13">
      <c r="A839" s="1"/>
      <c r="B839" s="2"/>
      <c r="C839" s="289"/>
      <c r="D839" s="177"/>
      <c r="E839" s="289"/>
      <c r="F839" s="177"/>
      <c r="G839" s="289"/>
      <c r="H839" s="177"/>
      <c r="I839" s="289"/>
      <c r="J839" s="177"/>
      <c r="K839" s="289"/>
      <c r="L839" s="177"/>
      <c r="M839" s="289"/>
    </row>
    <row r="840" spans="1:13" ht="13">
      <c r="A840" s="1"/>
      <c r="B840" s="2"/>
      <c r="C840" s="289"/>
      <c r="D840" s="177"/>
      <c r="E840" s="289"/>
      <c r="F840" s="177"/>
      <c r="G840" s="289"/>
      <c r="H840" s="177"/>
      <c r="I840" s="289"/>
      <c r="J840" s="177"/>
      <c r="K840" s="289"/>
      <c r="L840" s="177"/>
      <c r="M840" s="289"/>
    </row>
    <row r="841" spans="1:13" ht="13">
      <c r="A841" s="1"/>
      <c r="B841" s="2"/>
      <c r="C841" s="289"/>
      <c r="D841" s="177"/>
      <c r="E841" s="289"/>
      <c r="F841" s="177"/>
      <c r="G841" s="289"/>
      <c r="H841" s="177"/>
      <c r="I841" s="289"/>
      <c r="J841" s="177"/>
      <c r="K841" s="289"/>
      <c r="L841" s="177"/>
      <c r="M841" s="289"/>
    </row>
    <row r="842" spans="1:13" ht="13">
      <c r="A842" s="1"/>
      <c r="B842" s="2"/>
      <c r="C842" s="289"/>
      <c r="D842" s="177"/>
      <c r="E842" s="289"/>
      <c r="F842" s="177"/>
      <c r="G842" s="289"/>
      <c r="H842" s="177"/>
      <c r="I842" s="289"/>
      <c r="J842" s="177"/>
      <c r="K842" s="289"/>
      <c r="L842" s="177"/>
      <c r="M842" s="289"/>
    </row>
    <row r="843" spans="1:13" ht="13">
      <c r="A843" s="1"/>
      <c r="B843" s="2"/>
      <c r="C843" s="289"/>
      <c r="D843" s="177"/>
      <c r="E843" s="289"/>
      <c r="F843" s="177"/>
      <c r="G843" s="289"/>
      <c r="H843" s="177"/>
      <c r="I843" s="289"/>
      <c r="J843" s="177"/>
      <c r="K843" s="289"/>
      <c r="L843" s="177"/>
      <c r="M843" s="289"/>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2.5"/>
  <cols>
    <col min="1" max="1" width="5" bestFit="1" customWidth="1"/>
    <col min="2" max="2" width="24.81640625" customWidth="1"/>
    <col min="4" max="12" width="12.7265625" customWidth="1"/>
    <col min="13" max="13" width="16.1796875" customWidth="1"/>
  </cols>
  <sheetData>
    <row r="1" spans="1:19" s="85" customFormat="1">
      <c r="A1"/>
      <c r="B1" s="74" t="s">
        <v>719</v>
      </c>
    </row>
    <row r="2" spans="1:19" s="85" customFormat="1" ht="39">
      <c r="A2" s="120" t="s">
        <v>775</v>
      </c>
      <c r="B2" s="120" t="s">
        <v>776</v>
      </c>
      <c r="C2" s="122" t="s">
        <v>1040</v>
      </c>
      <c r="D2" s="122" t="s">
        <v>1052</v>
      </c>
      <c r="E2" s="122" t="s">
        <v>1079</v>
      </c>
      <c r="F2" s="122" t="s">
        <v>1108</v>
      </c>
      <c r="G2" s="122" t="s">
        <v>1183</v>
      </c>
      <c r="H2" s="122" t="s">
        <v>1244</v>
      </c>
      <c r="I2" s="122" t="s">
        <v>1652</v>
      </c>
      <c r="J2" s="122" t="s">
        <v>2072</v>
      </c>
      <c r="K2" s="122" t="s">
        <v>2235</v>
      </c>
      <c r="L2" s="122" t="s">
        <v>2235</v>
      </c>
      <c r="M2" s="122" t="s">
        <v>1058</v>
      </c>
    </row>
    <row r="3" spans="1:19" s="85" customFormat="1" ht="13">
      <c r="A3" s="121">
        <v>1</v>
      </c>
      <c r="B3" s="121">
        <v>2</v>
      </c>
      <c r="C3" s="121">
        <v>3</v>
      </c>
      <c r="D3" s="121">
        <v>4</v>
      </c>
      <c r="E3" s="121">
        <v>5</v>
      </c>
      <c r="F3" s="121">
        <v>6</v>
      </c>
      <c r="G3" s="121">
        <v>7</v>
      </c>
      <c r="H3" s="121">
        <v>8</v>
      </c>
      <c r="I3" s="121">
        <v>9</v>
      </c>
      <c r="J3" s="121">
        <v>10</v>
      </c>
      <c r="K3" s="121">
        <v>11</v>
      </c>
      <c r="L3" s="121">
        <v>11</v>
      </c>
      <c r="M3" s="121">
        <v>12</v>
      </c>
    </row>
    <row r="4" spans="1:19" s="85" customFormat="1" ht="13">
      <c r="A4" s="857">
        <v>100</v>
      </c>
      <c r="B4" s="858" t="s">
        <v>1653</v>
      </c>
      <c r="C4" s="872" t="s">
        <v>1041</v>
      </c>
      <c r="D4" s="873"/>
      <c r="E4" s="873"/>
      <c r="F4" s="873"/>
      <c r="G4" s="873"/>
      <c r="H4" s="873"/>
      <c r="I4" s="873"/>
      <c r="J4" s="873"/>
      <c r="K4" s="873"/>
      <c r="L4" s="873"/>
      <c r="M4" s="864"/>
      <c r="O4" s="690"/>
      <c r="S4" s="690"/>
    </row>
    <row r="5" spans="1:19" s="85" customFormat="1" ht="13">
      <c r="A5" s="857">
        <v>104</v>
      </c>
      <c r="B5" s="858" t="s">
        <v>1499</v>
      </c>
      <c r="C5" s="872" t="s">
        <v>1041</v>
      </c>
      <c r="D5" s="873">
        <v>68</v>
      </c>
      <c r="E5" s="873">
        <v>64</v>
      </c>
      <c r="F5" s="873">
        <v>64</v>
      </c>
      <c r="G5" s="873">
        <v>63</v>
      </c>
      <c r="H5" s="873">
        <v>62</v>
      </c>
      <c r="I5" s="873"/>
      <c r="J5" s="873"/>
      <c r="K5" s="873"/>
      <c r="L5" s="873"/>
      <c r="M5" s="864">
        <v>2500</v>
      </c>
      <c r="O5" s="690"/>
      <c r="S5" s="690"/>
    </row>
    <row r="6" spans="1:19" ht="13">
      <c r="A6" s="857">
        <v>121</v>
      </c>
      <c r="B6" s="858" t="s">
        <v>1500</v>
      </c>
      <c r="C6" s="859" t="s">
        <v>1042</v>
      </c>
      <c r="D6" s="860">
        <v>62</v>
      </c>
      <c r="E6" s="860">
        <v>57</v>
      </c>
      <c r="F6" s="860">
        <v>55</v>
      </c>
      <c r="G6" s="860">
        <v>55</v>
      </c>
      <c r="H6" s="860">
        <v>64</v>
      </c>
      <c r="I6" s="860"/>
      <c r="J6" s="860"/>
      <c r="K6" s="860"/>
      <c r="L6" s="860"/>
      <c r="M6" s="864"/>
      <c r="O6" s="690"/>
      <c r="R6" s="85"/>
      <c r="S6" s="690"/>
    </row>
    <row r="7" spans="1:19" ht="13">
      <c r="A7" s="857">
        <v>122</v>
      </c>
      <c r="B7" s="858" t="s">
        <v>1501</v>
      </c>
      <c r="C7" s="859" t="s">
        <v>1041</v>
      </c>
      <c r="D7" s="860">
        <v>54</v>
      </c>
      <c r="E7" s="860">
        <v>55</v>
      </c>
      <c r="F7" s="860">
        <v>55</v>
      </c>
      <c r="G7" s="860">
        <v>53</v>
      </c>
      <c r="H7" s="860">
        <v>53</v>
      </c>
      <c r="I7" s="860"/>
      <c r="J7" s="860"/>
      <c r="K7" s="860"/>
      <c r="L7" s="860"/>
      <c r="M7" s="864">
        <v>200</v>
      </c>
      <c r="O7" s="690"/>
      <c r="R7" s="85"/>
      <c r="S7" s="690"/>
    </row>
    <row r="8" spans="1:19" ht="13">
      <c r="A8" s="857">
        <v>123</v>
      </c>
      <c r="B8" s="858" t="s">
        <v>1502</v>
      </c>
      <c r="C8" s="859" t="s">
        <v>1041</v>
      </c>
      <c r="D8" s="860">
        <v>81</v>
      </c>
      <c r="E8" s="860">
        <v>80</v>
      </c>
      <c r="F8" s="860">
        <v>76</v>
      </c>
      <c r="G8" s="860">
        <v>76</v>
      </c>
      <c r="H8" s="860">
        <v>72</v>
      </c>
      <c r="I8" s="860"/>
      <c r="J8" s="860"/>
      <c r="K8" s="860"/>
      <c r="L8" s="860"/>
      <c r="M8" s="864">
        <v>200</v>
      </c>
      <c r="O8" s="690"/>
      <c r="R8" s="85"/>
      <c r="S8" s="690"/>
    </row>
    <row r="9" spans="1:19" ht="13">
      <c r="A9" s="857">
        <v>124</v>
      </c>
      <c r="B9" s="858" t="s">
        <v>1503</v>
      </c>
      <c r="C9" s="859" t="s">
        <v>1041</v>
      </c>
      <c r="D9" s="860">
        <v>63</v>
      </c>
      <c r="E9" s="860">
        <v>62</v>
      </c>
      <c r="F9" s="860">
        <v>61</v>
      </c>
      <c r="G9" s="860">
        <v>59</v>
      </c>
      <c r="H9" s="860">
        <v>59</v>
      </c>
      <c r="I9" s="860"/>
      <c r="J9" s="860"/>
      <c r="K9" s="860"/>
      <c r="L9" s="860"/>
      <c r="M9" s="864">
        <v>400</v>
      </c>
      <c r="O9" s="690"/>
      <c r="R9" s="85"/>
      <c r="S9" s="690"/>
    </row>
    <row r="10" spans="1:19" ht="13">
      <c r="A10" s="857">
        <v>125</v>
      </c>
      <c r="B10" s="858" t="s">
        <v>1504</v>
      </c>
      <c r="C10" s="859" t="s">
        <v>1041</v>
      </c>
      <c r="D10" s="860">
        <v>58</v>
      </c>
      <c r="E10" s="860">
        <v>54</v>
      </c>
      <c r="F10" s="860">
        <v>52</v>
      </c>
      <c r="G10" s="860">
        <v>52</v>
      </c>
      <c r="H10" s="860">
        <v>50</v>
      </c>
      <c r="I10" s="860"/>
      <c r="J10" s="860"/>
      <c r="K10" s="860"/>
      <c r="L10" s="860"/>
      <c r="M10" s="864">
        <v>700</v>
      </c>
      <c r="O10" s="690"/>
      <c r="R10" s="85"/>
      <c r="S10" s="690"/>
    </row>
    <row r="11" spans="1:19" ht="13">
      <c r="A11" s="857">
        <v>136</v>
      </c>
      <c r="B11" s="858" t="s">
        <v>1505</v>
      </c>
      <c r="C11" s="859" t="s">
        <v>1041</v>
      </c>
      <c r="D11" s="860">
        <v>70</v>
      </c>
      <c r="E11" s="860">
        <v>72</v>
      </c>
      <c r="F11" s="860">
        <v>73</v>
      </c>
      <c r="G11" s="860">
        <v>73</v>
      </c>
      <c r="H11" s="860">
        <v>74</v>
      </c>
      <c r="I11" s="860"/>
      <c r="J11" s="860"/>
      <c r="K11" s="860"/>
      <c r="L11" s="860"/>
      <c r="M11" s="864">
        <v>1100</v>
      </c>
      <c r="O11" s="690"/>
      <c r="R11" s="85"/>
      <c r="S11" s="690"/>
    </row>
    <row r="12" spans="1:19" ht="13">
      <c r="A12" s="857">
        <v>138</v>
      </c>
      <c r="B12" s="858" t="s">
        <v>1506</v>
      </c>
      <c r="C12" s="859" t="s">
        <v>1041</v>
      </c>
      <c r="D12" s="860">
        <v>73</v>
      </c>
      <c r="E12" s="860">
        <v>77</v>
      </c>
      <c r="F12" s="860">
        <v>77</v>
      </c>
      <c r="G12" s="860">
        <v>77</v>
      </c>
      <c r="H12" s="860">
        <v>79</v>
      </c>
      <c r="I12" s="860"/>
      <c r="J12" s="860"/>
      <c r="K12" s="860"/>
      <c r="L12" s="860"/>
      <c r="M12" s="864">
        <v>200</v>
      </c>
      <c r="O12" s="690"/>
      <c r="R12" s="85"/>
      <c r="S12" s="690"/>
    </row>
    <row r="13" spans="1:19" ht="13">
      <c r="A13" s="857">
        <v>213</v>
      </c>
      <c r="B13" s="858" t="s">
        <v>1507</v>
      </c>
      <c r="C13" s="859" t="s">
        <v>1041</v>
      </c>
      <c r="D13" s="860">
        <v>90</v>
      </c>
      <c r="E13" s="860">
        <v>88</v>
      </c>
      <c r="F13" s="860">
        <v>86</v>
      </c>
      <c r="G13" s="860">
        <v>88</v>
      </c>
      <c r="H13" s="860">
        <v>89</v>
      </c>
      <c r="I13" s="860"/>
      <c r="J13" s="860"/>
      <c r="K13" s="860"/>
      <c r="L13" s="860"/>
      <c r="M13" s="864"/>
      <c r="O13" s="690"/>
      <c r="R13" s="85"/>
      <c r="S13" s="690"/>
    </row>
    <row r="14" spans="1:19" ht="13">
      <c r="A14" s="857">
        <v>217</v>
      </c>
      <c r="B14" s="858" t="s">
        <v>1508</v>
      </c>
      <c r="C14" s="859" t="s">
        <v>1041</v>
      </c>
      <c r="D14" s="860">
        <v>81</v>
      </c>
      <c r="E14" s="860">
        <v>81</v>
      </c>
      <c r="F14" s="860">
        <v>83</v>
      </c>
      <c r="G14" s="860">
        <v>84</v>
      </c>
      <c r="H14" s="860">
        <v>84</v>
      </c>
      <c r="I14" s="860"/>
      <c r="J14" s="860"/>
      <c r="K14" s="860"/>
      <c r="L14" s="860"/>
      <c r="M14" s="864"/>
      <c r="O14" s="690"/>
      <c r="R14" s="85"/>
      <c r="S14" s="690"/>
    </row>
    <row r="15" spans="1:19" ht="13">
      <c r="A15" s="857">
        <v>220</v>
      </c>
      <c r="B15" s="858" t="s">
        <v>1509</v>
      </c>
      <c r="C15" s="859" t="s">
        <v>1041</v>
      </c>
      <c r="D15" s="860">
        <v>88</v>
      </c>
      <c r="E15" s="860">
        <v>89</v>
      </c>
      <c r="F15" s="860">
        <v>90</v>
      </c>
      <c r="G15" s="860">
        <v>90</v>
      </c>
      <c r="H15" s="860">
        <v>89</v>
      </c>
      <c r="I15" s="860"/>
      <c r="J15" s="860"/>
      <c r="K15" s="860"/>
      <c r="L15" s="860"/>
      <c r="M15" s="864"/>
      <c r="O15" s="690"/>
      <c r="R15" s="85"/>
      <c r="S15" s="690"/>
    </row>
    <row r="16" spans="1:19" ht="13">
      <c r="A16" s="857">
        <v>221</v>
      </c>
      <c r="B16" s="858" t="s">
        <v>1510</v>
      </c>
      <c r="C16" s="859" t="s">
        <v>1041</v>
      </c>
      <c r="D16" s="860">
        <v>72</v>
      </c>
      <c r="E16" s="860">
        <v>72</v>
      </c>
      <c r="F16" s="860">
        <v>71</v>
      </c>
      <c r="G16" s="860">
        <v>72</v>
      </c>
      <c r="H16" s="860">
        <v>72</v>
      </c>
      <c r="I16" s="860"/>
      <c r="J16" s="860"/>
      <c r="K16" s="860"/>
      <c r="L16" s="860"/>
      <c r="M16" s="864"/>
      <c r="O16" s="690"/>
      <c r="R16" s="85"/>
      <c r="S16" s="690"/>
    </row>
    <row r="17" spans="1:19" ht="13">
      <c r="A17" s="857">
        <v>226</v>
      </c>
      <c r="B17" s="858" t="s">
        <v>1511</v>
      </c>
      <c r="C17" s="859" t="s">
        <v>1041</v>
      </c>
      <c r="D17" s="860">
        <v>90</v>
      </c>
      <c r="E17" s="860">
        <v>90</v>
      </c>
      <c r="F17" s="860">
        <v>90</v>
      </c>
      <c r="G17" s="860">
        <v>90</v>
      </c>
      <c r="H17" s="860">
        <v>91</v>
      </c>
      <c r="I17" s="860"/>
      <c r="J17" s="860"/>
      <c r="K17" s="860"/>
      <c r="L17" s="860"/>
      <c r="M17" s="864"/>
      <c r="O17" s="690"/>
      <c r="R17" s="85"/>
      <c r="S17" s="690"/>
    </row>
    <row r="18" spans="1:19" ht="13">
      <c r="A18" s="857">
        <v>227</v>
      </c>
      <c r="B18" s="858" t="s">
        <v>1512</v>
      </c>
      <c r="C18" s="859" t="s">
        <v>1041</v>
      </c>
      <c r="D18" s="860">
        <v>84</v>
      </c>
      <c r="E18" s="860">
        <v>87</v>
      </c>
      <c r="F18" s="860">
        <v>85</v>
      </c>
      <c r="G18" s="860">
        <v>87</v>
      </c>
      <c r="H18" s="860">
        <v>88</v>
      </c>
      <c r="I18" s="860"/>
      <c r="J18" s="860"/>
      <c r="K18" s="860"/>
      <c r="L18" s="860"/>
      <c r="M18" s="864">
        <v>300</v>
      </c>
      <c r="O18" s="690"/>
      <c r="R18" s="85"/>
      <c r="S18" s="690"/>
    </row>
    <row r="19" spans="1:19" ht="13">
      <c r="A19" s="857">
        <v>231</v>
      </c>
      <c r="B19" s="858" t="s">
        <v>1513</v>
      </c>
      <c r="C19" s="859" t="s">
        <v>1041</v>
      </c>
      <c r="D19" s="860">
        <v>92</v>
      </c>
      <c r="E19" s="860">
        <v>92</v>
      </c>
      <c r="F19" s="860">
        <v>92</v>
      </c>
      <c r="G19" s="860">
        <v>92</v>
      </c>
      <c r="H19" s="860">
        <v>93</v>
      </c>
      <c r="I19" s="860"/>
      <c r="J19" s="860"/>
      <c r="K19" s="860"/>
      <c r="L19" s="860"/>
      <c r="M19" s="864"/>
      <c r="O19" s="690"/>
      <c r="R19" s="85"/>
      <c r="S19" s="690"/>
    </row>
    <row r="20" spans="1:19" ht="13">
      <c r="A20" s="865">
        <v>301</v>
      </c>
      <c r="B20" s="877" t="s">
        <v>823</v>
      </c>
      <c r="C20" s="867" t="s">
        <v>1041</v>
      </c>
      <c r="D20" s="868">
        <v>85</v>
      </c>
      <c r="E20" s="868">
        <v>88</v>
      </c>
      <c r="F20" s="868">
        <v>88</v>
      </c>
      <c r="G20" s="868">
        <v>88</v>
      </c>
      <c r="H20" s="868">
        <v>88</v>
      </c>
      <c r="I20" s="868">
        <v>88</v>
      </c>
      <c r="J20" s="868">
        <v>88</v>
      </c>
      <c r="K20" s="868">
        <v>88</v>
      </c>
      <c r="L20" s="868">
        <v>88</v>
      </c>
      <c r="M20" s="869"/>
      <c r="O20" s="690"/>
      <c r="R20" s="85"/>
      <c r="S20" s="690"/>
    </row>
    <row r="21" spans="1:19" ht="13">
      <c r="A21" s="857">
        <v>602</v>
      </c>
      <c r="B21" s="858" t="s">
        <v>1514</v>
      </c>
      <c r="C21" s="859" t="s">
        <v>1041</v>
      </c>
      <c r="D21" s="860">
        <v>82</v>
      </c>
      <c r="E21" s="860">
        <v>82</v>
      </c>
      <c r="F21" s="860">
        <v>81</v>
      </c>
      <c r="G21" s="860">
        <v>81</v>
      </c>
      <c r="H21" s="860">
        <v>81</v>
      </c>
      <c r="I21" s="860"/>
      <c r="J21" s="860"/>
      <c r="K21" s="860"/>
      <c r="L21" s="860"/>
      <c r="M21" s="864"/>
      <c r="O21" s="690"/>
      <c r="R21" s="85"/>
      <c r="S21" s="690"/>
    </row>
    <row r="22" spans="1:19" ht="13">
      <c r="A22" s="857">
        <v>625</v>
      </c>
      <c r="B22" s="858" t="s">
        <v>1515</v>
      </c>
      <c r="C22" s="859" t="s">
        <v>1041</v>
      </c>
      <c r="D22" s="860">
        <v>82</v>
      </c>
      <c r="E22" s="860">
        <v>81</v>
      </c>
      <c r="F22" s="860">
        <v>79</v>
      </c>
      <c r="G22" s="860">
        <v>79</v>
      </c>
      <c r="H22" s="860">
        <v>79</v>
      </c>
      <c r="I22" s="860"/>
      <c r="J22" s="860"/>
      <c r="K22" s="860"/>
      <c r="L22" s="860"/>
      <c r="M22" s="864">
        <v>1800</v>
      </c>
      <c r="O22" s="690"/>
      <c r="R22" s="85"/>
      <c r="S22" s="690"/>
    </row>
    <row r="23" spans="1:19" ht="13">
      <c r="A23" s="857">
        <v>627</v>
      </c>
      <c r="B23" s="858" t="s">
        <v>1516</v>
      </c>
      <c r="C23" s="859" t="s">
        <v>1041</v>
      </c>
      <c r="D23" s="860">
        <v>92</v>
      </c>
      <c r="E23" s="860">
        <v>93</v>
      </c>
      <c r="F23" s="860">
        <v>92</v>
      </c>
      <c r="G23" s="860">
        <v>93</v>
      </c>
      <c r="H23" s="860">
        <v>95</v>
      </c>
      <c r="I23" s="860"/>
      <c r="J23" s="860"/>
      <c r="K23" s="860"/>
      <c r="L23" s="860"/>
      <c r="M23" s="864"/>
      <c r="O23" s="690"/>
      <c r="R23" s="85"/>
      <c r="S23" s="690"/>
    </row>
    <row r="24" spans="1:19" ht="13">
      <c r="A24" s="857">
        <v>628</v>
      </c>
      <c r="B24" s="858" t="s">
        <v>1517</v>
      </c>
      <c r="C24" s="859" t="s">
        <v>1041</v>
      </c>
      <c r="D24" s="860">
        <v>71</v>
      </c>
      <c r="E24" s="860">
        <v>66</v>
      </c>
      <c r="F24" s="860">
        <v>60</v>
      </c>
      <c r="G24" s="860">
        <v>59</v>
      </c>
      <c r="H24" s="860">
        <v>58</v>
      </c>
      <c r="I24" s="860"/>
      <c r="J24" s="860"/>
      <c r="K24" s="860"/>
      <c r="L24" s="860"/>
      <c r="M24" s="864">
        <v>700</v>
      </c>
      <c r="O24" s="690"/>
      <c r="R24" s="85"/>
      <c r="S24" s="690"/>
    </row>
    <row r="25" spans="1:19" ht="13">
      <c r="A25" s="857">
        <v>702</v>
      </c>
      <c r="B25" s="858" t="s">
        <v>1236</v>
      </c>
      <c r="C25" s="859" t="s">
        <v>1041</v>
      </c>
      <c r="D25" s="860">
        <v>66</v>
      </c>
      <c r="E25" s="860">
        <v>65</v>
      </c>
      <c r="F25" s="860">
        <v>66</v>
      </c>
      <c r="G25" s="860"/>
      <c r="H25" s="860"/>
      <c r="I25" s="860"/>
      <c r="J25" s="860"/>
      <c r="K25" s="860"/>
      <c r="L25" s="860"/>
      <c r="M25" s="864">
        <v>527</v>
      </c>
      <c r="O25" s="690"/>
      <c r="R25" s="85"/>
      <c r="S25" s="690"/>
    </row>
    <row r="26" spans="1:19" ht="13">
      <c r="A26" s="857">
        <v>704</v>
      </c>
      <c r="B26" s="858" t="s">
        <v>1518</v>
      </c>
      <c r="C26" s="859" t="s">
        <v>1041</v>
      </c>
      <c r="D26" s="860">
        <v>79</v>
      </c>
      <c r="E26" s="860">
        <v>79</v>
      </c>
      <c r="F26" s="860">
        <v>78</v>
      </c>
      <c r="G26" s="860">
        <v>78</v>
      </c>
      <c r="H26" s="860">
        <v>81</v>
      </c>
      <c r="I26" s="860"/>
      <c r="J26" s="860"/>
      <c r="K26" s="860"/>
      <c r="L26" s="860"/>
      <c r="M26" s="864">
        <v>2110</v>
      </c>
      <c r="O26" s="690"/>
      <c r="R26" s="85"/>
      <c r="S26" s="690"/>
    </row>
    <row r="27" spans="1:19" ht="13">
      <c r="A27" s="857">
        <v>706</v>
      </c>
      <c r="B27" s="858" t="s">
        <v>1150</v>
      </c>
      <c r="C27" s="859" t="s">
        <v>1041</v>
      </c>
      <c r="D27" s="860">
        <v>69</v>
      </c>
      <c r="E27" s="860">
        <v>67</v>
      </c>
      <c r="F27" s="861"/>
      <c r="G27" s="861"/>
      <c r="H27" s="861"/>
      <c r="I27" s="861"/>
      <c r="J27" s="861"/>
      <c r="K27" s="861"/>
      <c r="L27" s="861"/>
      <c r="M27" s="864">
        <v>2293</v>
      </c>
      <c r="O27" s="690"/>
      <c r="R27" s="85"/>
      <c r="S27" s="690"/>
    </row>
    <row r="28" spans="1:19" ht="13">
      <c r="A28" s="857">
        <v>709</v>
      </c>
      <c r="B28" s="858" t="s">
        <v>1240</v>
      </c>
      <c r="C28" s="859" t="s">
        <v>1041</v>
      </c>
      <c r="D28" s="860">
        <v>57</v>
      </c>
      <c r="E28" s="860">
        <v>54</v>
      </c>
      <c r="F28" s="860">
        <v>53</v>
      </c>
      <c r="G28" s="860"/>
      <c r="H28" s="860"/>
      <c r="I28" s="860"/>
      <c r="J28" s="860"/>
      <c r="K28" s="860"/>
      <c r="L28" s="860"/>
      <c r="M28" s="864">
        <v>2259</v>
      </c>
      <c r="O28" s="690"/>
      <c r="R28" s="85"/>
      <c r="S28" s="690"/>
    </row>
    <row r="29" spans="1:19" ht="13">
      <c r="A29" s="857">
        <v>711</v>
      </c>
      <c r="B29" s="858" t="s">
        <v>1519</v>
      </c>
      <c r="C29" s="859" t="s">
        <v>1041</v>
      </c>
      <c r="D29" s="860">
        <v>61</v>
      </c>
      <c r="E29" s="860">
        <v>63</v>
      </c>
      <c r="F29" s="860">
        <v>61</v>
      </c>
      <c r="G29" s="860">
        <v>59</v>
      </c>
      <c r="H29" s="860">
        <v>58</v>
      </c>
      <c r="I29" s="860"/>
      <c r="J29" s="860"/>
      <c r="K29" s="860"/>
      <c r="L29" s="860"/>
      <c r="M29" s="864">
        <v>352</v>
      </c>
      <c r="O29" s="690"/>
      <c r="R29" s="85"/>
      <c r="S29" s="690"/>
    </row>
    <row r="30" spans="1:19" ht="13">
      <c r="A30" s="857">
        <v>713</v>
      </c>
      <c r="B30" s="858" t="s">
        <v>1520</v>
      </c>
      <c r="C30" s="859" t="s">
        <v>1041</v>
      </c>
      <c r="D30" s="860">
        <v>75</v>
      </c>
      <c r="E30" s="860">
        <v>81</v>
      </c>
      <c r="F30" s="860">
        <v>77</v>
      </c>
      <c r="G30" s="860">
        <v>78</v>
      </c>
      <c r="H30" s="860">
        <v>80</v>
      </c>
      <c r="I30" s="860"/>
      <c r="J30" s="860"/>
      <c r="K30" s="860"/>
      <c r="L30" s="860"/>
      <c r="M30" s="864">
        <v>441</v>
      </c>
      <c r="O30" s="690"/>
      <c r="R30" s="85"/>
      <c r="S30" s="690"/>
    </row>
    <row r="31" spans="1:19" ht="13">
      <c r="A31" s="857">
        <v>714</v>
      </c>
      <c r="B31" s="858" t="s">
        <v>1237</v>
      </c>
      <c r="C31" s="859" t="s">
        <v>1041</v>
      </c>
      <c r="D31" s="860">
        <v>60</v>
      </c>
      <c r="E31" s="860">
        <v>62</v>
      </c>
      <c r="F31" s="860">
        <v>59</v>
      </c>
      <c r="G31" s="860"/>
      <c r="H31" s="860"/>
      <c r="I31" s="860"/>
      <c r="J31" s="860"/>
      <c r="K31" s="860"/>
      <c r="L31" s="860"/>
      <c r="M31" s="864"/>
      <c r="O31" s="690"/>
      <c r="R31" s="85"/>
      <c r="S31" s="690"/>
    </row>
    <row r="32" spans="1:19" ht="13">
      <c r="A32" s="857">
        <v>715</v>
      </c>
      <c r="B32" s="858" t="s">
        <v>1651</v>
      </c>
      <c r="C32" s="859"/>
      <c r="D32" s="860"/>
      <c r="E32" s="860"/>
      <c r="F32" s="860"/>
      <c r="G32" s="860">
        <v>67</v>
      </c>
      <c r="H32" s="860">
        <v>65</v>
      </c>
      <c r="I32" s="860"/>
      <c r="J32" s="860"/>
      <c r="K32" s="860"/>
      <c r="L32" s="860"/>
      <c r="M32" s="864"/>
      <c r="O32" s="690"/>
      <c r="R32" s="85"/>
      <c r="S32" s="690"/>
    </row>
    <row r="33" spans="1:19" ht="13">
      <c r="A33" s="857">
        <v>716</v>
      </c>
      <c r="B33" s="863" t="s">
        <v>1521</v>
      </c>
      <c r="C33" s="859" t="s">
        <v>1041</v>
      </c>
      <c r="D33" s="860">
        <v>74</v>
      </c>
      <c r="E33" s="860">
        <v>76</v>
      </c>
      <c r="F33" s="860">
        <v>77</v>
      </c>
      <c r="G33" s="860">
        <v>76</v>
      </c>
      <c r="H33" s="860">
        <v>76</v>
      </c>
      <c r="I33" s="860"/>
      <c r="J33" s="860"/>
      <c r="K33" s="860"/>
      <c r="L33" s="860"/>
      <c r="M33" s="864">
        <v>477</v>
      </c>
      <c r="O33" s="690"/>
      <c r="R33" s="85"/>
      <c r="S33" s="690"/>
    </row>
    <row r="34" spans="1:19" ht="13">
      <c r="A34" s="857">
        <v>719</v>
      </c>
      <c r="B34" s="858" t="s">
        <v>1151</v>
      </c>
      <c r="C34" s="859" t="s">
        <v>1041</v>
      </c>
      <c r="D34" s="860">
        <v>74</v>
      </c>
      <c r="E34" s="860">
        <v>73</v>
      </c>
      <c r="F34" s="861"/>
      <c r="G34" s="861"/>
      <c r="H34" s="861"/>
      <c r="I34" s="861"/>
      <c r="J34" s="861"/>
      <c r="K34" s="861"/>
      <c r="L34" s="861"/>
      <c r="M34" s="864">
        <v>287</v>
      </c>
      <c r="O34" s="690"/>
      <c r="R34" s="85"/>
      <c r="S34" s="690"/>
    </row>
    <row r="35" spans="1:19" ht="13">
      <c r="A35" s="857">
        <v>720</v>
      </c>
      <c r="B35" s="858" t="s">
        <v>1152</v>
      </c>
      <c r="C35" s="859" t="s">
        <v>1041</v>
      </c>
      <c r="D35" s="860">
        <v>80</v>
      </c>
      <c r="E35" s="860">
        <v>80</v>
      </c>
      <c r="F35" s="861"/>
      <c r="G35" s="861"/>
      <c r="H35" s="861"/>
      <c r="I35" s="861"/>
      <c r="J35" s="861"/>
      <c r="K35" s="861"/>
      <c r="L35" s="861"/>
      <c r="M35" s="864">
        <v>555</v>
      </c>
      <c r="O35" s="690"/>
      <c r="R35" s="85"/>
      <c r="S35" s="690"/>
    </row>
    <row r="36" spans="1:19" ht="13">
      <c r="A36" s="857">
        <v>722</v>
      </c>
      <c r="B36" s="858" t="s">
        <v>1242</v>
      </c>
      <c r="C36" s="859" t="s">
        <v>1041</v>
      </c>
      <c r="D36" s="860">
        <v>75</v>
      </c>
      <c r="E36" s="860">
        <v>74</v>
      </c>
      <c r="F36" s="860">
        <v>76</v>
      </c>
      <c r="G36" s="860"/>
      <c r="H36" s="860"/>
      <c r="I36" s="860"/>
      <c r="J36" s="860"/>
      <c r="K36" s="860"/>
      <c r="L36" s="860"/>
      <c r="M36" s="864">
        <v>1110</v>
      </c>
      <c r="O36" s="690"/>
      <c r="R36" s="85"/>
      <c r="S36" s="690"/>
    </row>
    <row r="37" spans="1:19" ht="13">
      <c r="A37" s="857">
        <v>723</v>
      </c>
      <c r="B37" s="858" t="s">
        <v>1243</v>
      </c>
      <c r="C37" s="859" t="s">
        <v>1041</v>
      </c>
      <c r="D37" s="860">
        <v>63</v>
      </c>
      <c r="E37" s="860">
        <v>63</v>
      </c>
      <c r="F37" s="860">
        <v>64</v>
      </c>
      <c r="G37" s="860"/>
      <c r="H37" s="860"/>
      <c r="I37" s="860"/>
      <c r="J37" s="860"/>
      <c r="K37" s="860"/>
      <c r="L37" s="860"/>
      <c r="M37" s="864">
        <v>255</v>
      </c>
      <c r="O37" s="690"/>
      <c r="R37" s="85"/>
      <c r="S37" s="690"/>
    </row>
    <row r="38" spans="1:19" ht="13">
      <c r="A38" s="857">
        <v>728</v>
      </c>
      <c r="B38" s="858" t="s">
        <v>1239</v>
      </c>
      <c r="C38" s="859" t="s">
        <v>1041</v>
      </c>
      <c r="D38" s="860">
        <v>55</v>
      </c>
      <c r="E38" s="860">
        <v>55</v>
      </c>
      <c r="F38" s="860">
        <v>55</v>
      </c>
      <c r="G38" s="860"/>
      <c r="H38" s="860"/>
      <c r="I38" s="860"/>
      <c r="J38" s="860"/>
      <c r="K38" s="860"/>
      <c r="L38" s="860"/>
      <c r="M38" s="864"/>
      <c r="O38" s="690"/>
      <c r="R38" s="85"/>
      <c r="S38" s="690"/>
    </row>
    <row r="39" spans="1:19" ht="13">
      <c r="A39" s="857">
        <v>821</v>
      </c>
      <c r="B39" s="858" t="s">
        <v>1522</v>
      </c>
      <c r="C39" s="859" t="s">
        <v>1042</v>
      </c>
      <c r="D39" s="860">
        <v>57</v>
      </c>
      <c r="E39" s="860">
        <v>54</v>
      </c>
      <c r="F39" s="860">
        <v>53</v>
      </c>
      <c r="G39" s="860">
        <v>55</v>
      </c>
      <c r="H39" s="860">
        <v>58</v>
      </c>
      <c r="I39" s="860"/>
      <c r="J39" s="860"/>
      <c r="K39" s="860"/>
      <c r="L39" s="860"/>
      <c r="M39" s="864">
        <v>2500</v>
      </c>
      <c r="O39" s="690"/>
      <c r="R39" s="85"/>
      <c r="S39" s="690"/>
    </row>
    <row r="40" spans="1:19" ht="13">
      <c r="A40" s="857">
        <v>822</v>
      </c>
      <c r="B40" s="858" t="s">
        <v>1523</v>
      </c>
      <c r="C40" s="859" t="s">
        <v>1042</v>
      </c>
      <c r="D40" s="860">
        <v>39</v>
      </c>
      <c r="E40" s="860">
        <v>40</v>
      </c>
      <c r="F40" s="860">
        <v>40</v>
      </c>
      <c r="G40" s="860">
        <v>40</v>
      </c>
      <c r="H40" s="860">
        <v>34</v>
      </c>
      <c r="I40" s="860"/>
      <c r="J40" s="860"/>
      <c r="K40" s="860"/>
      <c r="L40" s="860"/>
      <c r="M40" s="864">
        <v>1000</v>
      </c>
      <c r="O40" s="690"/>
      <c r="R40" s="85"/>
      <c r="S40" s="690"/>
    </row>
    <row r="41" spans="1:19" ht="13">
      <c r="A41" s="857">
        <v>1001</v>
      </c>
      <c r="B41" s="858" t="s">
        <v>1524</v>
      </c>
      <c r="C41" s="859" t="s">
        <v>1041</v>
      </c>
      <c r="D41" s="860">
        <v>80</v>
      </c>
      <c r="E41" s="860">
        <v>79</v>
      </c>
      <c r="F41" s="860">
        <v>78</v>
      </c>
      <c r="G41" s="860">
        <v>77</v>
      </c>
      <c r="H41" s="860">
        <v>75</v>
      </c>
      <c r="I41" s="860"/>
      <c r="J41" s="860"/>
      <c r="K41" s="860"/>
      <c r="L41" s="860"/>
      <c r="M41" s="864">
        <v>2000</v>
      </c>
      <c r="O41" s="690"/>
      <c r="R41" s="85"/>
      <c r="S41" s="690"/>
    </row>
    <row r="42" spans="1:19" ht="13">
      <c r="A42" s="857">
        <v>1002</v>
      </c>
      <c r="B42" s="858" t="s">
        <v>1525</v>
      </c>
      <c r="C42" s="859" t="s">
        <v>1041</v>
      </c>
      <c r="D42" s="860">
        <v>62</v>
      </c>
      <c r="E42" s="860">
        <v>57</v>
      </c>
      <c r="F42" s="860">
        <v>54</v>
      </c>
      <c r="G42" s="860">
        <v>53</v>
      </c>
      <c r="H42" s="860">
        <v>53</v>
      </c>
      <c r="I42" s="860"/>
      <c r="J42" s="860"/>
      <c r="K42" s="860"/>
      <c r="L42" s="860"/>
      <c r="M42" s="864">
        <v>600</v>
      </c>
      <c r="O42" s="690"/>
      <c r="R42" s="85"/>
      <c r="S42" s="690"/>
    </row>
    <row r="43" spans="1:19" ht="13">
      <c r="A43" s="857">
        <v>1017</v>
      </c>
      <c r="B43" s="858" t="s">
        <v>1526</v>
      </c>
      <c r="C43" s="859" t="s">
        <v>1041</v>
      </c>
      <c r="D43" s="860">
        <v>68</v>
      </c>
      <c r="E43" s="860">
        <v>68</v>
      </c>
      <c r="F43" s="860">
        <v>66</v>
      </c>
      <c r="G43" s="860">
        <v>66</v>
      </c>
      <c r="H43" s="860">
        <v>66</v>
      </c>
      <c r="I43" s="860"/>
      <c r="J43" s="860"/>
      <c r="K43" s="860"/>
      <c r="L43" s="860"/>
      <c r="M43" s="864">
        <v>400</v>
      </c>
      <c r="O43" s="690"/>
      <c r="R43" s="85"/>
      <c r="S43" s="690"/>
    </row>
    <row r="44" spans="1:19" ht="13">
      <c r="A44" s="857">
        <v>1018</v>
      </c>
      <c r="B44" s="858" t="s">
        <v>1527</v>
      </c>
      <c r="C44" s="859" t="s">
        <v>1041</v>
      </c>
      <c r="D44" s="860">
        <v>81</v>
      </c>
      <c r="E44" s="860">
        <v>78</v>
      </c>
      <c r="F44" s="860">
        <v>77</v>
      </c>
      <c r="G44" s="860">
        <v>74</v>
      </c>
      <c r="H44" s="860">
        <v>70</v>
      </c>
      <c r="I44" s="860"/>
      <c r="J44" s="860"/>
      <c r="K44" s="860"/>
      <c r="L44" s="860"/>
      <c r="M44" s="864">
        <v>200</v>
      </c>
      <c r="O44" s="690"/>
      <c r="R44" s="85"/>
      <c r="S44" s="690"/>
    </row>
    <row r="45" spans="1:19" ht="13">
      <c r="A45" s="857">
        <v>1021</v>
      </c>
      <c r="B45" s="858" t="s">
        <v>1528</v>
      </c>
      <c r="C45" s="859" t="s">
        <v>1044</v>
      </c>
      <c r="D45" s="860">
        <v>40</v>
      </c>
      <c r="E45" s="860">
        <v>39</v>
      </c>
      <c r="F45" s="860">
        <v>42</v>
      </c>
      <c r="G45" s="860">
        <v>40</v>
      </c>
      <c r="H45" s="860">
        <v>40</v>
      </c>
      <c r="I45" s="860"/>
      <c r="J45" s="860"/>
      <c r="K45" s="860"/>
      <c r="L45" s="860"/>
      <c r="M45" s="864"/>
      <c r="O45" s="690"/>
      <c r="R45" s="85"/>
      <c r="S45" s="690"/>
    </row>
    <row r="46" spans="1:19" ht="13">
      <c r="A46" s="857">
        <v>1027</v>
      </c>
      <c r="B46" s="858" t="s">
        <v>1529</v>
      </c>
      <c r="C46" s="859" t="s">
        <v>1042</v>
      </c>
      <c r="D46" s="860">
        <v>57</v>
      </c>
      <c r="E46" s="860">
        <v>58</v>
      </c>
      <c r="F46" s="860">
        <v>56</v>
      </c>
      <c r="G46" s="860">
        <v>55</v>
      </c>
      <c r="H46" s="860">
        <v>52</v>
      </c>
      <c r="I46" s="860"/>
      <c r="J46" s="860"/>
      <c r="K46" s="860"/>
      <c r="L46" s="860"/>
      <c r="M46" s="864"/>
      <c r="O46" s="690"/>
      <c r="R46" s="85"/>
      <c r="S46" s="690"/>
    </row>
    <row r="47" spans="1:19" ht="13">
      <c r="A47" s="857">
        <v>1029</v>
      </c>
      <c r="B47" s="858" t="s">
        <v>1530</v>
      </c>
      <c r="C47" s="859" t="s">
        <v>1044</v>
      </c>
      <c r="D47" s="860">
        <v>50</v>
      </c>
      <c r="E47" s="860">
        <v>45</v>
      </c>
      <c r="F47" s="860">
        <v>47</v>
      </c>
      <c r="G47" s="860">
        <v>48</v>
      </c>
      <c r="H47" s="860">
        <v>47</v>
      </c>
      <c r="I47" s="860"/>
      <c r="J47" s="860"/>
      <c r="K47" s="860"/>
      <c r="L47" s="860"/>
      <c r="M47" s="864">
        <v>300</v>
      </c>
      <c r="O47" s="690"/>
      <c r="R47" s="85"/>
      <c r="S47" s="690"/>
    </row>
    <row r="48" spans="1:19" ht="13">
      <c r="A48" s="857">
        <v>1032</v>
      </c>
      <c r="B48" s="858" t="s">
        <v>1531</v>
      </c>
      <c r="C48" s="859" t="s">
        <v>1044</v>
      </c>
      <c r="D48" s="860">
        <v>58</v>
      </c>
      <c r="E48" s="860">
        <v>60</v>
      </c>
      <c r="F48" s="860">
        <v>58</v>
      </c>
      <c r="G48" s="860">
        <v>58</v>
      </c>
      <c r="H48" s="860">
        <v>59</v>
      </c>
      <c r="I48" s="860"/>
      <c r="J48" s="860"/>
      <c r="K48" s="860"/>
      <c r="L48" s="860"/>
      <c r="M48" s="864">
        <v>500</v>
      </c>
      <c r="O48" s="690"/>
      <c r="R48" s="85"/>
      <c r="S48" s="690"/>
    </row>
    <row r="49" spans="1:19" ht="13">
      <c r="A49" s="865">
        <v>1101</v>
      </c>
      <c r="B49" s="866" t="s">
        <v>958</v>
      </c>
      <c r="C49" s="867" t="s">
        <v>1041</v>
      </c>
      <c r="D49" s="868">
        <v>61</v>
      </c>
      <c r="E49" s="868">
        <v>64</v>
      </c>
      <c r="F49" s="868">
        <v>63</v>
      </c>
      <c r="G49" s="868">
        <v>61</v>
      </c>
      <c r="H49" s="868">
        <v>57</v>
      </c>
      <c r="I49" s="868">
        <v>57</v>
      </c>
      <c r="J49" s="868">
        <v>57</v>
      </c>
      <c r="K49" s="868">
        <v>57</v>
      </c>
      <c r="L49" s="868">
        <v>57</v>
      </c>
      <c r="M49" s="869"/>
      <c r="O49" s="690"/>
      <c r="R49" s="85"/>
      <c r="S49" s="690"/>
    </row>
    <row r="50" spans="1:19" ht="13">
      <c r="A50" s="857">
        <v>1102</v>
      </c>
      <c r="B50" s="858" t="s">
        <v>1532</v>
      </c>
      <c r="C50" s="859" t="s">
        <v>1041</v>
      </c>
      <c r="D50" s="860">
        <v>89</v>
      </c>
      <c r="E50" s="860">
        <v>88</v>
      </c>
      <c r="F50" s="860">
        <v>88</v>
      </c>
      <c r="G50" s="860">
        <v>87</v>
      </c>
      <c r="H50" s="860">
        <v>84</v>
      </c>
      <c r="I50" s="860"/>
      <c r="J50" s="860"/>
      <c r="K50" s="860"/>
      <c r="L50" s="860"/>
      <c r="M50" s="864"/>
      <c r="O50" s="690"/>
      <c r="R50" s="85"/>
      <c r="S50" s="690"/>
    </row>
    <row r="51" spans="1:19" ht="13">
      <c r="A51" s="884">
        <v>1103</v>
      </c>
      <c r="B51" s="885" t="s">
        <v>960</v>
      </c>
      <c r="C51" s="886" t="s">
        <v>1041</v>
      </c>
      <c r="D51" s="887">
        <v>86</v>
      </c>
      <c r="E51" s="887">
        <v>86</v>
      </c>
      <c r="F51" s="887">
        <v>85</v>
      </c>
      <c r="G51" s="887">
        <v>81</v>
      </c>
      <c r="H51" s="887">
        <v>75</v>
      </c>
      <c r="I51" s="887">
        <v>75</v>
      </c>
      <c r="J51" s="887">
        <v>75</v>
      </c>
      <c r="K51" s="887">
        <v>75</v>
      </c>
      <c r="L51" s="887">
        <v>75</v>
      </c>
      <c r="M51" s="888"/>
      <c r="O51" s="690"/>
      <c r="R51" s="85"/>
      <c r="S51" s="690"/>
    </row>
    <row r="52" spans="1:19" ht="13">
      <c r="A52" s="865">
        <v>1106</v>
      </c>
      <c r="B52" s="866" t="s">
        <v>961</v>
      </c>
      <c r="C52" s="867" t="s">
        <v>1041</v>
      </c>
      <c r="D52" s="868">
        <v>77</v>
      </c>
      <c r="E52" s="868">
        <v>77</v>
      </c>
      <c r="F52" s="868">
        <v>75</v>
      </c>
      <c r="G52" s="868">
        <v>74</v>
      </c>
      <c r="H52" s="868">
        <v>70</v>
      </c>
      <c r="I52" s="868">
        <v>70</v>
      </c>
      <c r="J52" s="868">
        <v>70</v>
      </c>
      <c r="K52" s="868">
        <v>70</v>
      </c>
      <c r="L52" s="868">
        <v>70</v>
      </c>
      <c r="M52" s="869"/>
      <c r="O52" s="690"/>
      <c r="R52" s="85"/>
      <c r="S52" s="690"/>
    </row>
    <row r="53" spans="1:19" ht="13">
      <c r="A53" s="878">
        <v>1108</v>
      </c>
      <c r="B53" s="883" t="s">
        <v>1610</v>
      </c>
      <c r="C53" s="880"/>
      <c r="D53" s="881"/>
      <c r="E53" s="881"/>
      <c r="F53" s="881"/>
      <c r="G53" s="881"/>
      <c r="H53" s="881"/>
      <c r="I53" s="881">
        <v>84</v>
      </c>
      <c r="J53" s="881">
        <v>84</v>
      </c>
      <c r="K53" s="881">
        <v>84</v>
      </c>
      <c r="L53" s="881">
        <v>84</v>
      </c>
      <c r="M53" s="882"/>
      <c r="O53" s="690"/>
      <c r="R53" s="85"/>
      <c r="S53" s="690"/>
    </row>
    <row r="54" spans="1:19" ht="13">
      <c r="A54" s="865">
        <v>1111</v>
      </c>
      <c r="B54" s="866" t="s">
        <v>962</v>
      </c>
      <c r="C54" s="867" t="s">
        <v>1042</v>
      </c>
      <c r="D54" s="868">
        <v>41</v>
      </c>
      <c r="E54" s="868">
        <v>45</v>
      </c>
      <c r="F54" s="868">
        <v>47</v>
      </c>
      <c r="G54" s="868">
        <v>48</v>
      </c>
      <c r="H54" s="868">
        <v>43</v>
      </c>
      <c r="I54" s="868">
        <v>43</v>
      </c>
      <c r="J54" s="868">
        <v>43</v>
      </c>
      <c r="K54" s="868">
        <v>43</v>
      </c>
      <c r="L54" s="868">
        <v>43</v>
      </c>
      <c r="M54" s="869"/>
      <c r="O54" s="690"/>
      <c r="R54" s="85"/>
      <c r="S54" s="690"/>
    </row>
    <row r="55" spans="1:19" ht="13">
      <c r="A55" s="865">
        <v>1112</v>
      </c>
      <c r="B55" s="866" t="s">
        <v>963</v>
      </c>
      <c r="C55" s="867" t="s">
        <v>1042</v>
      </c>
      <c r="D55" s="868">
        <v>47</v>
      </c>
      <c r="E55" s="868">
        <v>43</v>
      </c>
      <c r="F55" s="868">
        <v>40</v>
      </c>
      <c r="G55" s="868">
        <v>44</v>
      </c>
      <c r="H55" s="868">
        <v>39</v>
      </c>
      <c r="I55" s="868">
        <v>39</v>
      </c>
      <c r="J55" s="868">
        <v>39</v>
      </c>
      <c r="K55" s="868">
        <v>39</v>
      </c>
      <c r="L55" s="868">
        <v>39</v>
      </c>
      <c r="M55" s="869"/>
      <c r="O55" s="690"/>
      <c r="R55" s="85"/>
      <c r="S55" s="690"/>
    </row>
    <row r="56" spans="1:19" ht="13">
      <c r="A56" s="865">
        <v>1114</v>
      </c>
      <c r="B56" s="866" t="s">
        <v>0</v>
      </c>
      <c r="C56" s="867" t="s">
        <v>1041</v>
      </c>
      <c r="D56" s="868">
        <v>74</v>
      </c>
      <c r="E56" s="868">
        <v>75</v>
      </c>
      <c r="F56" s="868">
        <v>75</v>
      </c>
      <c r="G56" s="868">
        <v>73</v>
      </c>
      <c r="H56" s="868">
        <v>71</v>
      </c>
      <c r="I56" s="868">
        <v>71</v>
      </c>
      <c r="J56" s="868">
        <v>71</v>
      </c>
      <c r="K56" s="868">
        <v>71</v>
      </c>
      <c r="L56" s="868">
        <v>71</v>
      </c>
      <c r="M56" s="869"/>
      <c r="O56" s="690"/>
      <c r="R56" s="85"/>
      <c r="S56" s="690"/>
    </row>
    <row r="57" spans="1:19" ht="13">
      <c r="A57" s="865">
        <v>1119</v>
      </c>
      <c r="B57" s="866" t="s">
        <v>1</v>
      </c>
      <c r="C57" s="867" t="s">
        <v>1041</v>
      </c>
      <c r="D57" s="868">
        <v>87</v>
      </c>
      <c r="E57" s="868">
        <v>87</v>
      </c>
      <c r="F57" s="868">
        <v>86</v>
      </c>
      <c r="G57" s="868">
        <v>85</v>
      </c>
      <c r="H57" s="868">
        <v>86</v>
      </c>
      <c r="I57" s="868">
        <v>86</v>
      </c>
      <c r="J57" s="868">
        <v>86</v>
      </c>
      <c r="K57" s="868">
        <v>86</v>
      </c>
      <c r="L57" s="868">
        <v>86</v>
      </c>
      <c r="M57" s="869"/>
      <c r="O57" s="690"/>
      <c r="R57" s="85"/>
      <c r="S57" s="690"/>
    </row>
    <row r="58" spans="1:19" ht="13">
      <c r="A58" s="865">
        <v>1120</v>
      </c>
      <c r="B58" s="866" t="s">
        <v>2</v>
      </c>
      <c r="C58" s="867" t="s">
        <v>1041</v>
      </c>
      <c r="D58" s="868">
        <v>92</v>
      </c>
      <c r="E58" s="868">
        <v>93</v>
      </c>
      <c r="F58" s="868">
        <v>93</v>
      </c>
      <c r="G58" s="868">
        <v>91</v>
      </c>
      <c r="H58" s="868">
        <v>90</v>
      </c>
      <c r="I58" s="868">
        <v>90</v>
      </c>
      <c r="J58" s="868">
        <v>90</v>
      </c>
      <c r="K58" s="868">
        <v>90</v>
      </c>
      <c r="L58" s="868">
        <v>90</v>
      </c>
      <c r="M58" s="869"/>
      <c r="O58" s="690"/>
      <c r="R58" s="85"/>
      <c r="S58" s="690"/>
    </row>
    <row r="59" spans="1:19" ht="13">
      <c r="A59" s="865">
        <v>1121</v>
      </c>
      <c r="B59" s="866" t="s">
        <v>3</v>
      </c>
      <c r="C59" s="867" t="s">
        <v>1041</v>
      </c>
      <c r="D59" s="868">
        <v>88</v>
      </c>
      <c r="E59" s="868">
        <v>88</v>
      </c>
      <c r="F59" s="868">
        <v>87</v>
      </c>
      <c r="G59" s="868">
        <v>84</v>
      </c>
      <c r="H59" s="868">
        <v>84</v>
      </c>
      <c r="I59" s="868">
        <v>84</v>
      </c>
      <c r="J59" s="868">
        <v>84</v>
      </c>
      <c r="K59" s="868">
        <v>84</v>
      </c>
      <c r="L59" s="868">
        <v>84</v>
      </c>
      <c r="M59" s="869"/>
      <c r="O59" s="690"/>
      <c r="R59" s="85"/>
      <c r="S59" s="690"/>
    </row>
    <row r="60" spans="1:19" ht="13">
      <c r="A60" s="865">
        <v>1122</v>
      </c>
      <c r="B60" s="866" t="s">
        <v>4</v>
      </c>
      <c r="C60" s="867" t="s">
        <v>1041</v>
      </c>
      <c r="D60" s="868">
        <v>83</v>
      </c>
      <c r="E60" s="868">
        <v>83</v>
      </c>
      <c r="F60" s="868">
        <v>82</v>
      </c>
      <c r="G60" s="868">
        <v>81</v>
      </c>
      <c r="H60" s="868">
        <v>81</v>
      </c>
      <c r="I60" s="868">
        <v>81</v>
      </c>
      <c r="J60" s="868">
        <v>81</v>
      </c>
      <c r="K60" s="868">
        <v>81</v>
      </c>
      <c r="L60" s="868">
        <v>81</v>
      </c>
      <c r="M60" s="869"/>
      <c r="O60" s="690"/>
      <c r="R60" s="85"/>
      <c r="S60" s="690"/>
    </row>
    <row r="61" spans="1:19" ht="13">
      <c r="A61" s="865">
        <v>1124</v>
      </c>
      <c r="B61" s="866" t="s">
        <v>5</v>
      </c>
      <c r="C61" s="867" t="s">
        <v>1041</v>
      </c>
      <c r="D61" s="868">
        <v>91</v>
      </c>
      <c r="E61" s="868">
        <v>90</v>
      </c>
      <c r="F61" s="868">
        <v>90</v>
      </c>
      <c r="G61" s="868">
        <v>87</v>
      </c>
      <c r="H61" s="868">
        <v>86</v>
      </c>
      <c r="I61" s="868">
        <v>86</v>
      </c>
      <c r="J61" s="868">
        <v>86</v>
      </c>
      <c r="K61" s="868">
        <v>86</v>
      </c>
      <c r="L61" s="868">
        <v>86</v>
      </c>
      <c r="M61" s="869"/>
      <c r="O61" s="690"/>
      <c r="R61" s="85"/>
      <c r="S61" s="690"/>
    </row>
    <row r="62" spans="1:19" ht="13">
      <c r="A62" s="865">
        <v>1127</v>
      </c>
      <c r="B62" s="866" t="s">
        <v>6</v>
      </c>
      <c r="C62" s="867" t="s">
        <v>1041</v>
      </c>
      <c r="D62" s="868">
        <v>90</v>
      </c>
      <c r="E62" s="868">
        <v>88</v>
      </c>
      <c r="F62" s="868">
        <v>88</v>
      </c>
      <c r="G62" s="868">
        <v>83</v>
      </c>
      <c r="H62" s="868">
        <v>76</v>
      </c>
      <c r="I62" s="868">
        <v>76</v>
      </c>
      <c r="J62" s="868">
        <v>76</v>
      </c>
      <c r="K62" s="868">
        <v>76</v>
      </c>
      <c r="L62" s="868">
        <v>76</v>
      </c>
      <c r="M62" s="869"/>
      <c r="O62" s="690"/>
      <c r="R62" s="85"/>
      <c r="S62" s="690"/>
    </row>
    <row r="63" spans="1:19" ht="13">
      <c r="A63" s="857">
        <v>1129</v>
      </c>
      <c r="B63" s="858" t="s">
        <v>1533</v>
      </c>
      <c r="C63" s="859" t="s">
        <v>1044</v>
      </c>
      <c r="D63" s="860">
        <v>68</v>
      </c>
      <c r="E63" s="860">
        <v>71</v>
      </c>
      <c r="F63" s="860">
        <v>67</v>
      </c>
      <c r="G63" s="860">
        <v>66</v>
      </c>
      <c r="H63" s="860">
        <v>69</v>
      </c>
      <c r="I63" s="860"/>
      <c r="J63" s="860"/>
      <c r="K63" s="860"/>
      <c r="L63" s="860"/>
      <c r="M63" s="864"/>
      <c r="O63" s="690"/>
      <c r="R63" s="85"/>
      <c r="S63" s="690"/>
    </row>
    <row r="64" spans="1:19" ht="13">
      <c r="A64" s="865">
        <v>1130</v>
      </c>
      <c r="B64" s="866" t="s">
        <v>12</v>
      </c>
      <c r="C64" s="867" t="s">
        <v>1041</v>
      </c>
      <c r="D64" s="868">
        <v>80</v>
      </c>
      <c r="E64" s="868">
        <v>81</v>
      </c>
      <c r="F64" s="868">
        <v>80</v>
      </c>
      <c r="G64" s="868">
        <v>78</v>
      </c>
      <c r="H64" s="868">
        <v>76</v>
      </c>
      <c r="I64" s="868">
        <v>76</v>
      </c>
      <c r="J64" s="868">
        <v>76</v>
      </c>
      <c r="K64" s="868">
        <v>76</v>
      </c>
      <c r="L64" s="868">
        <v>76</v>
      </c>
      <c r="M64" s="869">
        <v>500</v>
      </c>
      <c r="O64" s="690"/>
      <c r="R64" s="85"/>
      <c r="S64" s="690"/>
    </row>
    <row r="65" spans="1:19" ht="13">
      <c r="A65" s="865">
        <v>1133</v>
      </c>
      <c r="B65" s="866" t="s">
        <v>13</v>
      </c>
      <c r="C65" s="867" t="s">
        <v>1042</v>
      </c>
      <c r="D65" s="868">
        <v>41</v>
      </c>
      <c r="E65" s="868">
        <v>34</v>
      </c>
      <c r="F65" s="868">
        <v>34</v>
      </c>
      <c r="G65" s="868">
        <v>32</v>
      </c>
      <c r="H65" s="868">
        <v>31</v>
      </c>
      <c r="I65" s="868">
        <v>31</v>
      </c>
      <c r="J65" s="868">
        <v>31</v>
      </c>
      <c r="K65" s="868">
        <v>31</v>
      </c>
      <c r="L65" s="868">
        <v>31</v>
      </c>
      <c r="M65" s="869"/>
      <c r="O65" s="690"/>
      <c r="R65" s="85"/>
      <c r="S65" s="690"/>
    </row>
    <row r="66" spans="1:19" ht="13">
      <c r="A66" s="865">
        <v>1134</v>
      </c>
      <c r="B66" s="866" t="s">
        <v>14</v>
      </c>
      <c r="C66" s="867" t="s">
        <v>1042</v>
      </c>
      <c r="D66" s="868">
        <v>34</v>
      </c>
      <c r="E66" s="868">
        <v>36</v>
      </c>
      <c r="F66" s="868">
        <v>36</v>
      </c>
      <c r="G66" s="868">
        <v>39</v>
      </c>
      <c r="H66" s="868">
        <v>38</v>
      </c>
      <c r="I66" s="868">
        <v>38</v>
      </c>
      <c r="J66" s="868">
        <v>38</v>
      </c>
      <c r="K66" s="868">
        <v>38</v>
      </c>
      <c r="L66" s="868">
        <v>38</v>
      </c>
      <c r="M66" s="869"/>
      <c r="O66" s="690"/>
      <c r="R66" s="85"/>
      <c r="S66" s="690"/>
    </row>
    <row r="67" spans="1:19" ht="13">
      <c r="A67" s="865">
        <v>1135</v>
      </c>
      <c r="B67" s="866" t="s">
        <v>15</v>
      </c>
      <c r="C67" s="867" t="s">
        <v>1042</v>
      </c>
      <c r="D67" s="868">
        <v>30</v>
      </c>
      <c r="E67" s="868">
        <v>29</v>
      </c>
      <c r="F67" s="868">
        <v>30</v>
      </c>
      <c r="G67" s="868">
        <v>29</v>
      </c>
      <c r="H67" s="868">
        <v>28</v>
      </c>
      <c r="I67" s="868">
        <v>28</v>
      </c>
      <c r="J67" s="868">
        <v>28</v>
      </c>
      <c r="K67" s="868">
        <v>28</v>
      </c>
      <c r="L67" s="868">
        <v>28</v>
      </c>
      <c r="M67" s="869"/>
      <c r="O67" s="690"/>
      <c r="R67" s="85"/>
      <c r="S67" s="690"/>
    </row>
    <row r="68" spans="1:19" ht="13">
      <c r="A68" s="857">
        <v>1141</v>
      </c>
      <c r="B68" s="858" t="s">
        <v>1534</v>
      </c>
      <c r="C68" s="859" t="s">
        <v>1042</v>
      </c>
      <c r="D68" s="860">
        <v>69</v>
      </c>
      <c r="E68" s="860">
        <v>72</v>
      </c>
      <c r="F68" s="860">
        <v>77</v>
      </c>
      <c r="G68" s="860">
        <v>80</v>
      </c>
      <c r="H68" s="860">
        <v>79</v>
      </c>
      <c r="I68" s="860"/>
      <c r="J68" s="860"/>
      <c r="K68" s="860"/>
      <c r="L68" s="860"/>
      <c r="M68" s="864"/>
      <c r="O68" s="690"/>
      <c r="R68" s="85"/>
      <c r="S68" s="690"/>
    </row>
    <row r="69" spans="1:19" ht="13">
      <c r="A69" s="857">
        <v>1142</v>
      </c>
      <c r="B69" s="858" t="s">
        <v>1535</v>
      </c>
      <c r="C69" s="859" t="s">
        <v>1041</v>
      </c>
      <c r="D69" s="860">
        <v>85</v>
      </c>
      <c r="E69" s="860">
        <v>85</v>
      </c>
      <c r="F69" s="860">
        <v>82</v>
      </c>
      <c r="G69" s="860">
        <v>83</v>
      </c>
      <c r="H69" s="860">
        <v>84</v>
      </c>
      <c r="I69" s="860"/>
      <c r="J69" s="860"/>
      <c r="K69" s="860"/>
      <c r="L69" s="860"/>
      <c r="M69" s="864"/>
      <c r="O69" s="690"/>
      <c r="R69" s="85"/>
      <c r="S69" s="690"/>
    </row>
    <row r="70" spans="1:19" ht="13">
      <c r="A70" s="865">
        <v>1144</v>
      </c>
      <c r="B70" s="866" t="s">
        <v>18</v>
      </c>
      <c r="C70" s="867" t="s">
        <v>1042</v>
      </c>
      <c r="D70" s="868">
        <v>62</v>
      </c>
      <c r="E70" s="868">
        <v>61</v>
      </c>
      <c r="F70" s="868">
        <v>61</v>
      </c>
      <c r="G70" s="868">
        <v>63</v>
      </c>
      <c r="H70" s="868">
        <v>64</v>
      </c>
      <c r="I70" s="868">
        <v>64</v>
      </c>
      <c r="J70" s="868">
        <v>64</v>
      </c>
      <c r="K70" s="868">
        <v>64</v>
      </c>
      <c r="L70" s="868">
        <v>64</v>
      </c>
      <c r="M70" s="869"/>
      <c r="O70" s="690"/>
      <c r="R70" s="85"/>
      <c r="S70" s="690"/>
    </row>
    <row r="71" spans="1:19" ht="13">
      <c r="A71" s="865">
        <v>1145</v>
      </c>
      <c r="B71" s="866" t="s">
        <v>19</v>
      </c>
      <c r="C71" s="867" t="s">
        <v>1041</v>
      </c>
      <c r="D71" s="868">
        <v>58</v>
      </c>
      <c r="E71" s="868">
        <v>59</v>
      </c>
      <c r="F71" s="868">
        <v>62</v>
      </c>
      <c r="G71" s="868">
        <v>60</v>
      </c>
      <c r="H71" s="868">
        <v>54</v>
      </c>
      <c r="I71" s="868">
        <v>54</v>
      </c>
      <c r="J71" s="868">
        <v>54</v>
      </c>
      <c r="K71" s="868">
        <v>54</v>
      </c>
      <c r="L71" s="868">
        <v>54</v>
      </c>
      <c r="M71" s="869"/>
      <c r="O71" s="690"/>
      <c r="R71" s="85"/>
      <c r="S71" s="690"/>
    </row>
    <row r="72" spans="1:19" ht="13">
      <c r="A72" s="865">
        <v>1146</v>
      </c>
      <c r="B72" s="866" t="s">
        <v>20</v>
      </c>
      <c r="C72" s="867" t="s">
        <v>1041</v>
      </c>
      <c r="D72" s="868">
        <v>79</v>
      </c>
      <c r="E72" s="868">
        <v>74</v>
      </c>
      <c r="F72" s="868">
        <v>73</v>
      </c>
      <c r="G72" s="868">
        <v>74</v>
      </c>
      <c r="H72" s="868">
        <v>71</v>
      </c>
      <c r="I72" s="868">
        <v>71</v>
      </c>
      <c r="J72" s="868">
        <v>71</v>
      </c>
      <c r="K72" s="868">
        <v>71</v>
      </c>
      <c r="L72" s="868">
        <v>71</v>
      </c>
      <c r="M72" s="869"/>
      <c r="O72" s="690"/>
      <c r="R72" s="85"/>
      <c r="S72" s="690"/>
    </row>
    <row r="73" spans="1:19" ht="13">
      <c r="A73" s="865">
        <v>1149</v>
      </c>
      <c r="B73" s="866" t="s">
        <v>21</v>
      </c>
      <c r="C73" s="867" t="s">
        <v>1041</v>
      </c>
      <c r="D73" s="868">
        <v>70</v>
      </c>
      <c r="E73" s="868">
        <v>71</v>
      </c>
      <c r="F73" s="868">
        <v>70</v>
      </c>
      <c r="G73" s="868">
        <v>68</v>
      </c>
      <c r="H73" s="868">
        <v>66</v>
      </c>
      <c r="I73" s="868">
        <v>66</v>
      </c>
      <c r="J73" s="868">
        <v>66</v>
      </c>
      <c r="K73" s="868">
        <v>66</v>
      </c>
      <c r="L73" s="868">
        <v>66</v>
      </c>
      <c r="M73" s="869">
        <v>3500</v>
      </c>
      <c r="O73" s="690"/>
      <c r="R73" s="85"/>
      <c r="S73" s="690"/>
    </row>
    <row r="74" spans="1:19" ht="13">
      <c r="A74" s="865">
        <v>1151</v>
      </c>
      <c r="B74" s="866" t="s">
        <v>22</v>
      </c>
      <c r="C74" s="867" t="s">
        <v>1043</v>
      </c>
      <c r="D74" s="868">
        <v>30</v>
      </c>
      <c r="E74" s="868">
        <v>42</v>
      </c>
      <c r="F74" s="868">
        <v>42</v>
      </c>
      <c r="G74" s="868">
        <v>33</v>
      </c>
      <c r="H74" s="868">
        <v>29</v>
      </c>
      <c r="I74" s="868">
        <v>29</v>
      </c>
      <c r="J74" s="868">
        <v>29</v>
      </c>
      <c r="K74" s="868">
        <v>29</v>
      </c>
      <c r="L74" s="868">
        <v>29</v>
      </c>
      <c r="M74" s="869"/>
      <c r="O74" s="690"/>
      <c r="R74" s="85"/>
      <c r="S74" s="690"/>
    </row>
    <row r="75" spans="1:19" ht="13">
      <c r="A75" s="865">
        <v>1160</v>
      </c>
      <c r="B75" s="876" t="s">
        <v>1543</v>
      </c>
      <c r="C75" s="867"/>
      <c r="D75" s="868">
        <v>63</v>
      </c>
      <c r="E75" s="868">
        <v>64</v>
      </c>
      <c r="F75" s="868">
        <v>65</v>
      </c>
      <c r="G75" s="868">
        <v>65</v>
      </c>
      <c r="H75" s="868">
        <v>66</v>
      </c>
      <c r="I75" s="868">
        <v>66</v>
      </c>
      <c r="J75" s="868">
        <v>66</v>
      </c>
      <c r="K75" s="868">
        <v>66</v>
      </c>
      <c r="L75" s="868">
        <v>66</v>
      </c>
      <c r="M75" s="869"/>
      <c r="O75" s="690"/>
      <c r="R75" s="85"/>
      <c r="S75" s="690"/>
    </row>
    <row r="76" spans="1:19" ht="13">
      <c r="A76" s="857">
        <v>1227</v>
      </c>
      <c r="B76" s="858" t="s">
        <v>1536</v>
      </c>
      <c r="C76" s="859" t="s">
        <v>1042</v>
      </c>
      <c r="D76" s="860">
        <v>23</v>
      </c>
      <c r="E76" s="860">
        <v>27</v>
      </c>
      <c r="F76" s="860">
        <v>25</v>
      </c>
      <c r="G76" s="860">
        <v>28</v>
      </c>
      <c r="H76" s="860">
        <v>27</v>
      </c>
      <c r="I76" s="860"/>
      <c r="J76" s="860"/>
      <c r="K76" s="860"/>
      <c r="L76" s="860"/>
      <c r="M76" s="864"/>
      <c r="O76" s="690"/>
      <c r="R76" s="85"/>
      <c r="S76" s="690"/>
    </row>
    <row r="77" spans="1:19" ht="13">
      <c r="A77" s="857">
        <v>1228</v>
      </c>
      <c r="B77" s="858" t="s">
        <v>1537</v>
      </c>
      <c r="C77" s="859" t="s">
        <v>1042</v>
      </c>
      <c r="D77" s="860">
        <v>23</v>
      </c>
      <c r="E77" s="860">
        <v>23</v>
      </c>
      <c r="F77" s="860">
        <v>23</v>
      </c>
      <c r="G77" s="860">
        <v>25</v>
      </c>
      <c r="H77" s="860">
        <v>27</v>
      </c>
      <c r="I77" s="860"/>
      <c r="J77" s="860"/>
      <c r="K77" s="860"/>
      <c r="L77" s="860"/>
      <c r="M77" s="864"/>
      <c r="O77" s="690"/>
      <c r="R77" s="85"/>
      <c r="S77" s="690"/>
    </row>
    <row r="78" spans="1:19" ht="13">
      <c r="A78" s="857">
        <v>1231</v>
      </c>
      <c r="B78" s="858" t="s">
        <v>1538</v>
      </c>
      <c r="C78" s="859" t="s">
        <v>1042</v>
      </c>
      <c r="D78" s="860">
        <v>33</v>
      </c>
      <c r="E78" s="860">
        <v>29</v>
      </c>
      <c r="F78" s="860">
        <v>30</v>
      </c>
      <c r="G78" s="860">
        <v>31</v>
      </c>
      <c r="H78" s="860">
        <v>26</v>
      </c>
      <c r="I78" s="860"/>
      <c r="J78" s="860"/>
      <c r="K78" s="860"/>
      <c r="L78" s="860"/>
      <c r="M78" s="864"/>
      <c r="O78" s="690"/>
      <c r="R78" s="85"/>
      <c r="S78" s="690"/>
    </row>
    <row r="79" spans="1:19" ht="13">
      <c r="A79" s="857">
        <v>1234</v>
      </c>
      <c r="B79" s="858" t="s">
        <v>1539</v>
      </c>
      <c r="C79" s="859" t="s">
        <v>1042</v>
      </c>
      <c r="D79" s="860">
        <v>22</v>
      </c>
      <c r="E79" s="860">
        <v>24</v>
      </c>
      <c r="F79" s="860">
        <v>26</v>
      </c>
      <c r="G79" s="860">
        <v>27</v>
      </c>
      <c r="H79" s="860">
        <v>28</v>
      </c>
      <c r="I79" s="860"/>
      <c r="J79" s="860"/>
      <c r="K79" s="860"/>
      <c r="L79" s="860"/>
      <c r="M79" s="864"/>
      <c r="O79" s="690"/>
      <c r="R79" s="85"/>
      <c r="S79" s="690"/>
    </row>
    <row r="80" spans="1:19" ht="13">
      <c r="A80" s="857">
        <v>1235</v>
      </c>
      <c r="B80" s="858" t="s">
        <v>1540</v>
      </c>
      <c r="C80" s="859" t="s">
        <v>1042</v>
      </c>
      <c r="D80" s="860">
        <v>44</v>
      </c>
      <c r="E80" s="860">
        <v>45</v>
      </c>
      <c r="F80" s="860">
        <v>46</v>
      </c>
      <c r="G80" s="860">
        <v>46</v>
      </c>
      <c r="H80" s="860">
        <v>49</v>
      </c>
      <c r="I80" s="860"/>
      <c r="J80" s="860"/>
      <c r="K80" s="860"/>
      <c r="L80" s="860"/>
      <c r="M80" s="864"/>
      <c r="O80" s="690"/>
      <c r="R80" s="85"/>
      <c r="S80" s="690"/>
    </row>
    <row r="81" spans="1:19" ht="13">
      <c r="A81" s="857">
        <v>1241</v>
      </c>
      <c r="B81" s="858" t="s">
        <v>1541</v>
      </c>
      <c r="C81" s="859" t="s">
        <v>1044</v>
      </c>
      <c r="D81" s="860">
        <v>57</v>
      </c>
      <c r="E81" s="860">
        <v>55</v>
      </c>
      <c r="F81" s="860">
        <v>59</v>
      </c>
      <c r="G81" s="860">
        <v>60</v>
      </c>
      <c r="H81" s="860">
        <v>59</v>
      </c>
      <c r="I81" s="860"/>
      <c r="J81" s="860"/>
      <c r="K81" s="860"/>
      <c r="L81" s="860"/>
      <c r="M81" s="864">
        <v>300</v>
      </c>
      <c r="O81" s="690"/>
      <c r="R81" s="85"/>
      <c r="S81" s="690"/>
    </row>
    <row r="82" spans="1:19" ht="13">
      <c r="A82" s="857">
        <v>1243</v>
      </c>
      <c r="B82" s="858" t="s">
        <v>1542</v>
      </c>
      <c r="C82" s="859" t="s">
        <v>1041</v>
      </c>
      <c r="D82" s="860">
        <v>90</v>
      </c>
      <c r="E82" s="860">
        <v>89</v>
      </c>
      <c r="F82" s="860">
        <v>89</v>
      </c>
      <c r="G82" s="860">
        <v>87</v>
      </c>
      <c r="H82" s="860">
        <v>86</v>
      </c>
      <c r="I82" s="860"/>
      <c r="J82" s="860"/>
      <c r="K82" s="860"/>
      <c r="L82" s="860"/>
      <c r="M82" s="864"/>
      <c r="O82" s="690"/>
      <c r="R82" s="85"/>
      <c r="S82" s="690"/>
    </row>
    <row r="83" spans="1:19" ht="13">
      <c r="A83" s="857">
        <v>1245</v>
      </c>
      <c r="B83" s="858" t="s">
        <v>1544</v>
      </c>
      <c r="C83" s="859" t="s">
        <v>1041</v>
      </c>
      <c r="D83" s="860">
        <v>75</v>
      </c>
      <c r="E83" s="860">
        <v>77</v>
      </c>
      <c r="F83" s="860">
        <v>79</v>
      </c>
      <c r="G83" s="860">
        <v>78</v>
      </c>
      <c r="H83" s="860">
        <v>77</v>
      </c>
      <c r="I83" s="860"/>
      <c r="J83" s="860"/>
      <c r="K83" s="860"/>
      <c r="L83" s="860"/>
      <c r="M83" s="864">
        <v>460</v>
      </c>
      <c r="O83" s="690"/>
      <c r="R83" s="85"/>
      <c r="S83" s="690"/>
    </row>
    <row r="84" spans="1:19" ht="13">
      <c r="A84" s="857">
        <v>1246</v>
      </c>
      <c r="B84" s="858" t="s">
        <v>1545</v>
      </c>
      <c r="C84" s="859" t="s">
        <v>1041</v>
      </c>
      <c r="D84" s="860">
        <v>90</v>
      </c>
      <c r="E84" s="860">
        <v>90</v>
      </c>
      <c r="F84" s="860">
        <v>90</v>
      </c>
      <c r="G84" s="860">
        <v>89</v>
      </c>
      <c r="H84" s="860">
        <v>88</v>
      </c>
      <c r="I84" s="860"/>
      <c r="J84" s="860"/>
      <c r="K84" s="860"/>
      <c r="L84" s="860"/>
      <c r="M84" s="864"/>
      <c r="O84" s="690"/>
      <c r="R84" s="85"/>
      <c r="S84" s="690"/>
    </row>
    <row r="85" spans="1:19" ht="13">
      <c r="A85" s="857">
        <v>1256</v>
      </c>
      <c r="B85" s="858" t="s">
        <v>1546</v>
      </c>
      <c r="C85" s="859" t="s">
        <v>1041</v>
      </c>
      <c r="D85" s="860">
        <v>83</v>
      </c>
      <c r="E85" s="860">
        <v>83</v>
      </c>
      <c r="F85" s="860">
        <v>84</v>
      </c>
      <c r="G85" s="860">
        <v>83</v>
      </c>
      <c r="H85" s="860">
        <v>84</v>
      </c>
      <c r="I85" s="860"/>
      <c r="J85" s="860"/>
      <c r="K85" s="860"/>
      <c r="L85" s="860"/>
      <c r="M85" s="864"/>
      <c r="O85" s="690"/>
      <c r="R85" s="85"/>
      <c r="S85" s="690"/>
    </row>
    <row r="86" spans="1:19" ht="13">
      <c r="A86" s="857">
        <v>1259</v>
      </c>
      <c r="B86" s="858" t="s">
        <v>1547</v>
      </c>
      <c r="C86" s="859" t="s">
        <v>1041</v>
      </c>
      <c r="D86" s="860">
        <v>77</v>
      </c>
      <c r="E86" s="860">
        <v>77</v>
      </c>
      <c r="F86" s="860">
        <v>75</v>
      </c>
      <c r="G86" s="860">
        <v>76</v>
      </c>
      <c r="H86" s="860">
        <v>76</v>
      </c>
      <c r="I86" s="860"/>
      <c r="J86" s="860"/>
      <c r="K86" s="860"/>
      <c r="L86" s="860"/>
      <c r="M86" s="864"/>
      <c r="O86" s="690"/>
      <c r="R86" s="85"/>
      <c r="S86" s="690"/>
    </row>
    <row r="87" spans="1:19" ht="13">
      <c r="A87" s="857">
        <v>1260</v>
      </c>
      <c r="B87" s="858" t="s">
        <v>1548</v>
      </c>
      <c r="C87" s="859" t="s">
        <v>1041</v>
      </c>
      <c r="D87" s="860">
        <v>60</v>
      </c>
      <c r="E87" s="860">
        <v>60</v>
      </c>
      <c r="F87" s="860">
        <v>58</v>
      </c>
      <c r="G87" s="860">
        <v>59</v>
      </c>
      <c r="H87" s="860">
        <v>56</v>
      </c>
      <c r="I87" s="860"/>
      <c r="J87" s="860"/>
      <c r="K87" s="860"/>
      <c r="L87" s="860"/>
      <c r="M87" s="864">
        <v>380</v>
      </c>
      <c r="O87" s="690"/>
      <c r="R87" s="85"/>
      <c r="S87" s="690"/>
    </row>
    <row r="88" spans="1:19" ht="13">
      <c r="A88" s="857">
        <v>1263</v>
      </c>
      <c r="B88" s="858" t="s">
        <v>1549</v>
      </c>
      <c r="C88" s="859" t="s">
        <v>1041</v>
      </c>
      <c r="D88" s="860">
        <v>80</v>
      </c>
      <c r="E88" s="860">
        <v>79</v>
      </c>
      <c r="F88" s="860">
        <v>78</v>
      </c>
      <c r="G88" s="860">
        <v>77</v>
      </c>
      <c r="H88" s="860">
        <v>75</v>
      </c>
      <c r="I88" s="860"/>
      <c r="J88" s="860"/>
      <c r="K88" s="860"/>
      <c r="L88" s="860"/>
      <c r="M88" s="864"/>
      <c r="O88" s="690"/>
      <c r="R88" s="85"/>
      <c r="S88" s="690"/>
    </row>
    <row r="89" spans="1:19" ht="13">
      <c r="A89" s="857">
        <v>1401</v>
      </c>
      <c r="B89" s="858" t="s">
        <v>1550</v>
      </c>
      <c r="C89" s="859" t="s">
        <v>1044</v>
      </c>
      <c r="D89" s="860">
        <v>50</v>
      </c>
      <c r="E89" s="860">
        <v>51</v>
      </c>
      <c r="F89" s="860">
        <v>54</v>
      </c>
      <c r="G89" s="860">
        <v>50</v>
      </c>
      <c r="H89" s="860">
        <v>52</v>
      </c>
      <c r="I89" s="860"/>
      <c r="J89" s="860"/>
      <c r="K89" s="860"/>
      <c r="L89" s="860"/>
      <c r="M89" s="864"/>
      <c r="O89" s="690"/>
      <c r="R89" s="85"/>
      <c r="S89" s="690"/>
    </row>
    <row r="90" spans="1:19" ht="13">
      <c r="A90" s="857">
        <v>1418</v>
      </c>
      <c r="B90" s="858" t="s">
        <v>1551</v>
      </c>
      <c r="C90" s="859" t="s">
        <v>1042</v>
      </c>
      <c r="D90" s="860">
        <v>26</v>
      </c>
      <c r="E90" s="860">
        <v>24</v>
      </c>
      <c r="F90" s="860">
        <v>25</v>
      </c>
      <c r="G90" s="860">
        <v>19</v>
      </c>
      <c r="H90" s="860">
        <v>24</v>
      </c>
      <c r="I90" s="860"/>
      <c r="J90" s="860"/>
      <c r="K90" s="860"/>
      <c r="L90" s="860"/>
      <c r="M90" s="864"/>
      <c r="O90" s="690"/>
      <c r="R90" s="85"/>
      <c r="S90" s="690"/>
    </row>
    <row r="91" spans="1:19" ht="13">
      <c r="A91" s="857">
        <v>1419</v>
      </c>
      <c r="B91" s="858" t="s">
        <v>1552</v>
      </c>
      <c r="C91" s="859" t="s">
        <v>1042</v>
      </c>
      <c r="D91" s="860">
        <v>46</v>
      </c>
      <c r="E91" s="860">
        <v>49</v>
      </c>
      <c r="F91" s="860">
        <v>49</v>
      </c>
      <c r="G91" s="860">
        <v>55</v>
      </c>
      <c r="H91" s="860">
        <v>56</v>
      </c>
      <c r="I91" s="860"/>
      <c r="J91" s="860"/>
      <c r="K91" s="860"/>
      <c r="L91" s="860"/>
      <c r="M91" s="864"/>
      <c r="O91" s="690"/>
      <c r="R91" s="85"/>
      <c r="S91" s="690"/>
    </row>
    <row r="92" spans="1:19" ht="13">
      <c r="A92" s="857">
        <v>1420</v>
      </c>
      <c r="B92" s="858" t="s">
        <v>1553</v>
      </c>
      <c r="C92" s="859" t="s">
        <v>1042</v>
      </c>
      <c r="D92" s="860">
        <v>59</v>
      </c>
      <c r="E92" s="860">
        <v>58</v>
      </c>
      <c r="F92" s="860">
        <v>58</v>
      </c>
      <c r="G92" s="860">
        <v>60</v>
      </c>
      <c r="H92" s="860">
        <v>63</v>
      </c>
      <c r="I92" s="860"/>
      <c r="J92" s="860"/>
      <c r="K92" s="860"/>
      <c r="L92" s="860"/>
      <c r="M92" s="864"/>
      <c r="O92" s="690"/>
      <c r="R92" s="85"/>
      <c r="S92" s="690"/>
    </row>
    <row r="93" spans="1:19" ht="13">
      <c r="A93" s="857">
        <v>1430</v>
      </c>
      <c r="B93" s="858" t="s">
        <v>1554</v>
      </c>
      <c r="C93" s="859" t="s">
        <v>1042</v>
      </c>
      <c r="D93" s="860">
        <v>46</v>
      </c>
      <c r="E93" s="860">
        <v>47</v>
      </c>
      <c r="F93" s="860">
        <v>51</v>
      </c>
      <c r="G93" s="860">
        <v>50</v>
      </c>
      <c r="H93" s="860">
        <v>53</v>
      </c>
      <c r="I93" s="860"/>
      <c r="J93" s="860"/>
      <c r="K93" s="860"/>
      <c r="L93" s="860"/>
      <c r="M93" s="864"/>
      <c r="O93" s="690"/>
      <c r="R93" s="85"/>
      <c r="S93" s="690"/>
    </row>
    <row r="94" spans="1:19" ht="13">
      <c r="A94" s="857">
        <v>1431</v>
      </c>
      <c r="B94" s="858" t="s">
        <v>1555</v>
      </c>
      <c r="C94" s="859" t="s">
        <v>1042</v>
      </c>
      <c r="D94" s="860">
        <v>47</v>
      </c>
      <c r="E94" s="860">
        <v>50</v>
      </c>
      <c r="F94" s="860">
        <v>44</v>
      </c>
      <c r="G94" s="860">
        <v>45</v>
      </c>
      <c r="H94" s="860">
        <v>47</v>
      </c>
      <c r="I94" s="860"/>
      <c r="J94" s="860"/>
      <c r="K94" s="860"/>
      <c r="L94" s="860"/>
      <c r="M94" s="864"/>
      <c r="O94" s="690"/>
      <c r="R94" s="85"/>
      <c r="S94" s="690"/>
    </row>
    <row r="95" spans="1:19" ht="13">
      <c r="A95" s="857">
        <v>1432</v>
      </c>
      <c r="B95" s="858" t="s">
        <v>1556</v>
      </c>
      <c r="C95" s="859" t="s">
        <v>1044</v>
      </c>
      <c r="D95" s="860">
        <v>72</v>
      </c>
      <c r="E95" s="860">
        <v>71</v>
      </c>
      <c r="F95" s="860">
        <v>71</v>
      </c>
      <c r="G95" s="860">
        <v>69</v>
      </c>
      <c r="H95" s="860">
        <v>69</v>
      </c>
      <c r="I95" s="860"/>
      <c r="J95" s="860"/>
      <c r="K95" s="860"/>
      <c r="L95" s="860"/>
      <c r="M95" s="864"/>
      <c r="O95" s="690"/>
      <c r="R95" s="85"/>
      <c r="S95" s="690"/>
    </row>
    <row r="96" spans="1:19" ht="13">
      <c r="A96" s="857">
        <v>1433</v>
      </c>
      <c r="B96" s="858" t="s">
        <v>1557</v>
      </c>
      <c r="C96" s="859" t="s">
        <v>1044</v>
      </c>
      <c r="D96" s="860">
        <v>43</v>
      </c>
      <c r="E96" s="860">
        <v>45</v>
      </c>
      <c r="F96" s="860">
        <v>47</v>
      </c>
      <c r="G96" s="860">
        <v>47</v>
      </c>
      <c r="H96" s="860">
        <v>51</v>
      </c>
      <c r="I96" s="860"/>
      <c r="J96" s="860"/>
      <c r="K96" s="860"/>
      <c r="L96" s="860"/>
      <c r="M96" s="864"/>
      <c r="O96" s="690"/>
      <c r="R96" s="85"/>
      <c r="S96" s="690"/>
    </row>
    <row r="97" spans="1:19" ht="13">
      <c r="A97" s="857">
        <v>1439</v>
      </c>
      <c r="B97" s="858" t="s">
        <v>1558</v>
      </c>
      <c r="C97" s="859" t="s">
        <v>1042</v>
      </c>
      <c r="D97" s="860">
        <v>31</v>
      </c>
      <c r="E97" s="860">
        <v>29</v>
      </c>
      <c r="F97" s="860">
        <v>29</v>
      </c>
      <c r="G97" s="860">
        <v>33</v>
      </c>
      <c r="H97" s="860">
        <v>37</v>
      </c>
      <c r="I97" s="860"/>
      <c r="J97" s="860"/>
      <c r="K97" s="860"/>
      <c r="L97" s="860"/>
      <c r="M97" s="864"/>
      <c r="O97" s="690"/>
      <c r="R97" s="85"/>
      <c r="S97" s="690"/>
    </row>
    <row r="98" spans="1:19" ht="13">
      <c r="A98" s="857">
        <v>1441</v>
      </c>
      <c r="B98" s="858" t="s">
        <v>1559</v>
      </c>
      <c r="C98" s="859" t="s">
        <v>1042</v>
      </c>
      <c r="D98" s="860">
        <v>24</v>
      </c>
      <c r="E98" s="860">
        <v>28</v>
      </c>
      <c r="F98" s="860">
        <v>28</v>
      </c>
      <c r="G98" s="860">
        <v>27</v>
      </c>
      <c r="H98" s="860">
        <v>27</v>
      </c>
      <c r="I98" s="860"/>
      <c r="J98" s="860"/>
      <c r="K98" s="860"/>
      <c r="L98" s="860"/>
      <c r="M98" s="864"/>
      <c r="O98" s="690"/>
      <c r="R98" s="85"/>
      <c r="S98" s="690"/>
    </row>
    <row r="99" spans="1:19" ht="13">
      <c r="A99" s="857">
        <v>1443</v>
      </c>
      <c r="B99" s="858" t="s">
        <v>1560</v>
      </c>
      <c r="C99" s="859" t="s">
        <v>1042</v>
      </c>
      <c r="D99" s="860">
        <v>45</v>
      </c>
      <c r="E99" s="860">
        <v>45</v>
      </c>
      <c r="F99" s="860">
        <v>45</v>
      </c>
      <c r="G99" s="860">
        <v>43</v>
      </c>
      <c r="H99" s="860">
        <v>43</v>
      </c>
      <c r="I99" s="860"/>
      <c r="J99" s="860"/>
      <c r="K99" s="860"/>
      <c r="L99" s="860"/>
      <c r="M99" s="864"/>
      <c r="O99" s="690"/>
      <c r="R99" s="85"/>
      <c r="S99" s="690"/>
    </row>
    <row r="100" spans="1:19" ht="13">
      <c r="A100" s="857">
        <v>1444</v>
      </c>
      <c r="B100" s="858" t="s">
        <v>1561</v>
      </c>
      <c r="C100" s="859" t="s">
        <v>1042</v>
      </c>
      <c r="D100" s="860">
        <v>34</v>
      </c>
      <c r="E100" s="860">
        <v>36</v>
      </c>
      <c r="F100" s="860">
        <v>32</v>
      </c>
      <c r="G100" s="860">
        <v>32</v>
      </c>
      <c r="H100" s="860">
        <v>30</v>
      </c>
      <c r="I100" s="860"/>
      <c r="J100" s="860"/>
      <c r="K100" s="860"/>
      <c r="L100" s="860"/>
      <c r="M100" s="864"/>
      <c r="O100" s="690"/>
      <c r="R100" s="85"/>
      <c r="S100" s="690"/>
    </row>
    <row r="101" spans="1:19" ht="13">
      <c r="A101" s="857">
        <v>1502</v>
      </c>
      <c r="B101" s="858" t="s">
        <v>1562</v>
      </c>
      <c r="C101" s="859" t="s">
        <v>1041</v>
      </c>
      <c r="D101" s="860">
        <v>68</v>
      </c>
      <c r="E101" s="860">
        <v>67</v>
      </c>
      <c r="F101" s="860">
        <v>70</v>
      </c>
      <c r="G101" s="860">
        <v>71</v>
      </c>
      <c r="H101" s="860">
        <v>68</v>
      </c>
      <c r="I101" s="860"/>
      <c r="J101" s="860"/>
      <c r="K101" s="860"/>
      <c r="L101" s="860"/>
      <c r="M101" s="864"/>
      <c r="O101" s="690"/>
      <c r="R101" s="85"/>
      <c r="S101" s="690"/>
    </row>
    <row r="102" spans="1:19" ht="13">
      <c r="A102" s="857">
        <v>1504</v>
      </c>
      <c r="B102" s="858" t="s">
        <v>1563</v>
      </c>
      <c r="C102" s="859"/>
      <c r="D102" s="860">
        <v>81</v>
      </c>
      <c r="E102" s="860">
        <v>80</v>
      </c>
      <c r="F102" s="860">
        <v>79</v>
      </c>
      <c r="G102" s="860">
        <v>78</v>
      </c>
      <c r="H102" s="860">
        <v>78</v>
      </c>
      <c r="I102" s="860"/>
      <c r="J102" s="860"/>
      <c r="K102" s="860"/>
      <c r="L102" s="860"/>
      <c r="M102" s="864"/>
      <c r="O102" s="690"/>
      <c r="R102" s="85"/>
      <c r="S102" s="690"/>
    </row>
    <row r="103" spans="1:19" ht="13">
      <c r="A103" s="865">
        <v>1505</v>
      </c>
      <c r="B103" s="876" t="s">
        <v>1654</v>
      </c>
      <c r="C103" s="867" t="s">
        <v>1042</v>
      </c>
      <c r="D103" s="868">
        <v>65</v>
      </c>
      <c r="E103" s="868">
        <v>67</v>
      </c>
      <c r="F103" s="868">
        <v>66</v>
      </c>
      <c r="G103" s="868">
        <v>63</v>
      </c>
      <c r="H103" s="868">
        <v>58</v>
      </c>
      <c r="I103" s="868">
        <v>58</v>
      </c>
      <c r="J103" s="868">
        <v>58</v>
      </c>
      <c r="K103" s="868">
        <v>58</v>
      </c>
      <c r="L103" s="868">
        <v>58</v>
      </c>
      <c r="M103" s="869">
        <v>200</v>
      </c>
      <c r="O103" s="690"/>
      <c r="R103" s="85"/>
      <c r="S103" s="690"/>
    </row>
    <row r="104" spans="1:19" ht="13">
      <c r="A104" s="878">
        <v>1506</v>
      </c>
      <c r="B104" s="879" t="s">
        <v>1611</v>
      </c>
      <c r="C104" s="880"/>
      <c r="D104" s="881"/>
      <c r="E104" s="881"/>
      <c r="F104" s="881"/>
      <c r="G104" s="881"/>
      <c r="H104" s="881"/>
      <c r="I104" s="881">
        <v>64</v>
      </c>
      <c r="J104" s="881">
        <v>64</v>
      </c>
      <c r="K104" s="881">
        <v>64</v>
      </c>
      <c r="L104" s="881">
        <v>64</v>
      </c>
      <c r="M104" s="882"/>
      <c r="O104" s="690"/>
      <c r="R104" s="85"/>
      <c r="S104" s="690"/>
    </row>
    <row r="105" spans="1:19" ht="13">
      <c r="A105" s="878">
        <v>1507</v>
      </c>
      <c r="B105" s="879" t="s">
        <v>1612</v>
      </c>
      <c r="C105" s="880"/>
      <c r="D105" s="881"/>
      <c r="E105" s="881"/>
      <c r="F105" s="881"/>
      <c r="G105" s="881"/>
      <c r="H105" s="881"/>
      <c r="I105" s="881">
        <v>73</v>
      </c>
      <c r="J105" s="881">
        <v>73</v>
      </c>
      <c r="K105" s="881">
        <v>73</v>
      </c>
      <c r="L105" s="881">
        <v>73</v>
      </c>
      <c r="M105" s="882"/>
      <c r="O105" s="690"/>
      <c r="R105" s="85"/>
      <c r="S105" s="690"/>
    </row>
    <row r="106" spans="1:19" ht="13">
      <c r="A106" s="865">
        <v>1511</v>
      </c>
      <c r="B106" s="866" t="s">
        <v>86</v>
      </c>
      <c r="C106" s="867" t="s">
        <v>1042</v>
      </c>
      <c r="D106" s="868">
        <v>14</v>
      </c>
      <c r="E106" s="868">
        <v>18</v>
      </c>
      <c r="F106" s="868">
        <v>18</v>
      </c>
      <c r="G106" s="868">
        <v>16</v>
      </c>
      <c r="H106" s="868">
        <v>16</v>
      </c>
      <c r="I106" s="868">
        <v>16</v>
      </c>
      <c r="J106" s="868">
        <v>16</v>
      </c>
      <c r="K106" s="868">
        <v>16</v>
      </c>
      <c r="L106" s="868">
        <v>16</v>
      </c>
      <c r="M106" s="869"/>
      <c r="O106" s="690"/>
      <c r="R106" s="85"/>
      <c r="S106" s="690"/>
    </row>
    <row r="107" spans="1:19" ht="13">
      <c r="A107" s="865">
        <v>1514</v>
      </c>
      <c r="B107" s="866" t="s">
        <v>897</v>
      </c>
      <c r="C107" s="867" t="s">
        <v>1042</v>
      </c>
      <c r="D107" s="868">
        <v>38</v>
      </c>
      <c r="E107" s="868">
        <v>45</v>
      </c>
      <c r="F107" s="868">
        <v>47</v>
      </c>
      <c r="G107" s="868">
        <v>40</v>
      </c>
      <c r="H107" s="868">
        <v>40</v>
      </c>
      <c r="I107" s="868">
        <v>40</v>
      </c>
      <c r="J107" s="868">
        <v>40</v>
      </c>
      <c r="K107" s="868">
        <v>40</v>
      </c>
      <c r="L107" s="868">
        <v>40</v>
      </c>
      <c r="M107" s="869"/>
      <c r="O107" s="690"/>
      <c r="R107" s="85"/>
      <c r="S107" s="690"/>
    </row>
    <row r="108" spans="1:19" ht="13">
      <c r="A108" s="865">
        <v>1515</v>
      </c>
      <c r="B108" s="866" t="s">
        <v>87</v>
      </c>
      <c r="C108" s="867" t="s">
        <v>1044</v>
      </c>
      <c r="D108" s="868">
        <v>58</v>
      </c>
      <c r="E108" s="868">
        <v>60</v>
      </c>
      <c r="F108" s="868">
        <v>60</v>
      </c>
      <c r="G108" s="868">
        <v>59</v>
      </c>
      <c r="H108" s="868">
        <v>57</v>
      </c>
      <c r="I108" s="868">
        <v>57</v>
      </c>
      <c r="J108" s="868">
        <v>57</v>
      </c>
      <c r="K108" s="868">
        <v>57</v>
      </c>
      <c r="L108" s="868">
        <v>57</v>
      </c>
      <c r="M108" s="869"/>
      <c r="O108" s="690"/>
      <c r="R108" s="85"/>
      <c r="S108" s="690"/>
    </row>
    <row r="109" spans="1:19" ht="13">
      <c r="A109" s="865">
        <v>1516</v>
      </c>
      <c r="B109" s="866" t="s">
        <v>88</v>
      </c>
      <c r="C109" s="867" t="s">
        <v>1044</v>
      </c>
      <c r="D109" s="868">
        <v>77</v>
      </c>
      <c r="E109" s="868">
        <v>78</v>
      </c>
      <c r="F109" s="868">
        <v>78</v>
      </c>
      <c r="G109" s="868">
        <v>75</v>
      </c>
      <c r="H109" s="868">
        <v>75</v>
      </c>
      <c r="I109" s="868">
        <v>75</v>
      </c>
      <c r="J109" s="868">
        <v>75</v>
      </c>
      <c r="K109" s="868">
        <v>75</v>
      </c>
      <c r="L109" s="868">
        <v>75</v>
      </c>
      <c r="M109" s="869"/>
      <c r="O109" s="690"/>
      <c r="R109" s="85"/>
      <c r="S109" s="690"/>
    </row>
    <row r="110" spans="1:19" ht="13">
      <c r="A110" s="865">
        <v>1517</v>
      </c>
      <c r="B110" s="866" t="s">
        <v>89</v>
      </c>
      <c r="C110" s="867" t="s">
        <v>1044</v>
      </c>
      <c r="D110" s="868">
        <v>53</v>
      </c>
      <c r="E110" s="868">
        <v>57</v>
      </c>
      <c r="F110" s="868">
        <v>62</v>
      </c>
      <c r="G110" s="868">
        <v>61</v>
      </c>
      <c r="H110" s="868">
        <v>54</v>
      </c>
      <c r="I110" s="868">
        <v>54</v>
      </c>
      <c r="J110" s="868">
        <v>54</v>
      </c>
      <c r="K110" s="868">
        <v>54</v>
      </c>
      <c r="L110" s="868">
        <v>54</v>
      </c>
      <c r="M110" s="869">
        <v>900</v>
      </c>
      <c r="O110" s="690"/>
      <c r="R110" s="85"/>
      <c r="S110" s="690"/>
    </row>
    <row r="111" spans="1:19" ht="13">
      <c r="A111" s="857">
        <v>1519</v>
      </c>
      <c r="B111" s="858" t="s">
        <v>1564</v>
      </c>
      <c r="C111" s="859" t="s">
        <v>1044</v>
      </c>
      <c r="D111" s="860">
        <v>48</v>
      </c>
      <c r="E111" s="860">
        <v>51</v>
      </c>
      <c r="F111" s="860">
        <v>48</v>
      </c>
      <c r="G111" s="860">
        <v>51</v>
      </c>
      <c r="H111" s="860">
        <v>51</v>
      </c>
      <c r="I111" s="860"/>
      <c r="J111" s="860"/>
      <c r="K111" s="860"/>
      <c r="L111" s="860"/>
      <c r="M111" s="864">
        <v>1000</v>
      </c>
      <c r="O111" s="690"/>
      <c r="R111" s="85"/>
      <c r="S111" s="690"/>
    </row>
    <row r="112" spans="1:19" ht="13">
      <c r="A112" s="865">
        <v>1520</v>
      </c>
      <c r="B112" s="866" t="s">
        <v>91</v>
      </c>
      <c r="C112" s="867" t="s">
        <v>1044</v>
      </c>
      <c r="D112" s="868">
        <v>47</v>
      </c>
      <c r="E112" s="868">
        <v>47</v>
      </c>
      <c r="F112" s="868">
        <v>49</v>
      </c>
      <c r="G112" s="868">
        <v>49</v>
      </c>
      <c r="H112" s="868">
        <v>48</v>
      </c>
      <c r="I112" s="868">
        <v>48</v>
      </c>
      <c r="J112" s="868">
        <v>48</v>
      </c>
      <c r="K112" s="868">
        <v>48</v>
      </c>
      <c r="L112" s="868">
        <v>48</v>
      </c>
      <c r="M112" s="869"/>
      <c r="O112" s="690"/>
      <c r="R112" s="85"/>
      <c r="S112" s="690"/>
    </row>
    <row r="113" spans="1:19" ht="13">
      <c r="A113" s="857">
        <v>1523</v>
      </c>
      <c r="B113" s="858" t="s">
        <v>1565</v>
      </c>
      <c r="C113" s="859" t="s">
        <v>1041</v>
      </c>
      <c r="D113" s="860">
        <v>59</v>
      </c>
      <c r="E113" s="860">
        <v>62</v>
      </c>
      <c r="F113" s="860">
        <v>60</v>
      </c>
      <c r="G113" s="860">
        <v>59</v>
      </c>
      <c r="H113" s="860">
        <v>57</v>
      </c>
      <c r="I113" s="860"/>
      <c r="J113" s="860"/>
      <c r="K113" s="860"/>
      <c r="L113" s="860"/>
      <c r="M113" s="864"/>
      <c r="O113" s="690"/>
      <c r="R113" s="85"/>
      <c r="S113" s="690"/>
    </row>
    <row r="114" spans="1:19" ht="13">
      <c r="A114" s="857">
        <v>1524</v>
      </c>
      <c r="B114" s="858" t="s">
        <v>1566</v>
      </c>
      <c r="C114" s="859" t="s">
        <v>1042</v>
      </c>
      <c r="D114" s="860">
        <v>25</v>
      </c>
      <c r="E114" s="860">
        <v>22</v>
      </c>
      <c r="F114" s="860">
        <v>21</v>
      </c>
      <c r="G114" s="860">
        <v>20</v>
      </c>
      <c r="H114" s="860">
        <v>21</v>
      </c>
      <c r="I114" s="860"/>
      <c r="J114" s="860"/>
      <c r="K114" s="860"/>
      <c r="L114" s="860"/>
      <c r="M114" s="864"/>
      <c r="O114" s="690"/>
      <c r="R114" s="85"/>
      <c r="S114" s="690"/>
    </row>
    <row r="115" spans="1:19" ht="13">
      <c r="A115" s="865">
        <v>1525</v>
      </c>
      <c r="B115" s="866" t="s">
        <v>94</v>
      </c>
      <c r="C115" s="867" t="s">
        <v>1042</v>
      </c>
      <c r="D115" s="868">
        <v>40</v>
      </c>
      <c r="E115" s="868">
        <v>41</v>
      </c>
      <c r="F115" s="868">
        <v>41</v>
      </c>
      <c r="G115" s="868">
        <v>42</v>
      </c>
      <c r="H115" s="868">
        <v>44</v>
      </c>
      <c r="I115" s="868">
        <v>44</v>
      </c>
      <c r="J115" s="868">
        <v>44</v>
      </c>
      <c r="K115" s="868">
        <v>44</v>
      </c>
      <c r="L115" s="868">
        <v>44</v>
      </c>
      <c r="M115" s="869"/>
      <c r="O115" s="690"/>
      <c r="R115" s="85"/>
      <c r="S115" s="690"/>
    </row>
    <row r="116" spans="1:19" ht="13">
      <c r="A116" s="857">
        <v>1526</v>
      </c>
      <c r="B116" s="858" t="s">
        <v>1567</v>
      </c>
      <c r="C116" s="859" t="s">
        <v>1042</v>
      </c>
      <c r="D116" s="860">
        <v>40</v>
      </c>
      <c r="E116" s="860">
        <v>40</v>
      </c>
      <c r="F116" s="860">
        <v>33</v>
      </c>
      <c r="G116" s="860">
        <v>34</v>
      </c>
      <c r="H116" s="860">
        <v>35</v>
      </c>
      <c r="I116" s="860"/>
      <c r="J116" s="860"/>
      <c r="K116" s="860"/>
      <c r="L116" s="860"/>
      <c r="M116" s="864"/>
      <c r="O116" s="690"/>
      <c r="R116" s="85"/>
      <c r="S116" s="690"/>
    </row>
    <row r="117" spans="1:19" ht="13">
      <c r="A117" s="865">
        <v>1528</v>
      </c>
      <c r="B117" s="866" t="s">
        <v>96</v>
      </c>
      <c r="C117" s="867" t="s">
        <v>1044</v>
      </c>
      <c r="D117" s="868">
        <v>54</v>
      </c>
      <c r="E117" s="868">
        <v>52</v>
      </c>
      <c r="F117" s="868">
        <v>49</v>
      </c>
      <c r="G117" s="868">
        <v>47</v>
      </c>
      <c r="H117" s="868">
        <v>46</v>
      </c>
      <c r="I117" s="868">
        <v>46</v>
      </c>
      <c r="J117" s="868">
        <v>46</v>
      </c>
      <c r="K117" s="868">
        <v>46</v>
      </c>
      <c r="L117" s="868">
        <v>46</v>
      </c>
      <c r="M117" s="869">
        <v>200</v>
      </c>
      <c r="O117" s="690"/>
      <c r="R117" s="85"/>
      <c r="S117" s="690"/>
    </row>
    <row r="118" spans="1:19" ht="13">
      <c r="A118" s="857">
        <v>1529</v>
      </c>
      <c r="B118" s="858" t="s">
        <v>1568</v>
      </c>
      <c r="C118" s="859" t="s">
        <v>1041</v>
      </c>
      <c r="D118" s="860">
        <v>71</v>
      </c>
      <c r="E118" s="860">
        <v>75</v>
      </c>
      <c r="F118" s="860">
        <v>74</v>
      </c>
      <c r="G118" s="860">
        <v>73</v>
      </c>
      <c r="H118" s="860">
        <v>75</v>
      </c>
      <c r="I118" s="860"/>
      <c r="J118" s="860"/>
      <c r="K118" s="860"/>
      <c r="L118" s="860"/>
      <c r="M118" s="864">
        <v>1000</v>
      </c>
      <c r="O118" s="690"/>
      <c r="R118" s="85"/>
      <c r="S118" s="690"/>
    </row>
    <row r="119" spans="1:19" ht="13">
      <c r="A119" s="865">
        <v>1531</v>
      </c>
      <c r="B119" s="866" t="s">
        <v>98</v>
      </c>
      <c r="C119" s="867" t="s">
        <v>1041</v>
      </c>
      <c r="D119" s="868">
        <v>72</v>
      </c>
      <c r="E119" s="868">
        <v>75</v>
      </c>
      <c r="F119" s="868">
        <v>77</v>
      </c>
      <c r="G119" s="868">
        <v>78</v>
      </c>
      <c r="H119" s="868">
        <v>80</v>
      </c>
      <c r="I119" s="868">
        <v>80</v>
      </c>
      <c r="J119" s="868">
        <v>80</v>
      </c>
      <c r="K119" s="868">
        <v>80</v>
      </c>
      <c r="L119" s="868">
        <v>80</v>
      </c>
      <c r="M119" s="869">
        <v>1000</v>
      </c>
      <c r="O119" s="690"/>
      <c r="R119" s="85"/>
      <c r="S119" s="690"/>
    </row>
    <row r="120" spans="1:19" ht="13">
      <c r="A120" s="865">
        <v>1532</v>
      </c>
      <c r="B120" s="866" t="s">
        <v>99</v>
      </c>
      <c r="C120" s="867" t="s">
        <v>1041</v>
      </c>
      <c r="D120" s="868">
        <v>76</v>
      </c>
      <c r="E120" s="868">
        <v>80</v>
      </c>
      <c r="F120" s="868">
        <v>81</v>
      </c>
      <c r="G120" s="868">
        <v>82</v>
      </c>
      <c r="H120" s="868">
        <v>81</v>
      </c>
      <c r="I120" s="868">
        <v>81</v>
      </c>
      <c r="J120" s="868">
        <v>81</v>
      </c>
      <c r="K120" s="868">
        <v>81</v>
      </c>
      <c r="L120" s="868">
        <v>81</v>
      </c>
      <c r="M120" s="869">
        <v>200</v>
      </c>
      <c r="O120" s="690"/>
      <c r="R120" s="85"/>
      <c r="S120" s="690"/>
    </row>
    <row r="121" spans="1:19" ht="13">
      <c r="A121" s="857">
        <v>1534</v>
      </c>
      <c r="B121" s="858" t="s">
        <v>1569</v>
      </c>
      <c r="C121" s="859" t="s">
        <v>1044</v>
      </c>
      <c r="D121" s="860">
        <v>52</v>
      </c>
      <c r="E121" s="860">
        <v>55</v>
      </c>
      <c r="F121" s="860">
        <v>55</v>
      </c>
      <c r="G121" s="860">
        <v>55</v>
      </c>
      <c r="H121" s="860">
        <v>53</v>
      </c>
      <c r="I121" s="860"/>
      <c r="J121" s="860"/>
      <c r="K121" s="860"/>
      <c r="L121" s="860"/>
      <c r="M121" s="864"/>
      <c r="O121" s="690"/>
      <c r="R121" s="85"/>
      <c r="S121" s="690"/>
    </row>
    <row r="122" spans="1:19" ht="13">
      <c r="A122" s="865">
        <v>1535</v>
      </c>
      <c r="B122" s="866" t="s">
        <v>101</v>
      </c>
      <c r="C122" s="867" t="s">
        <v>1044</v>
      </c>
      <c r="D122" s="868">
        <v>41</v>
      </c>
      <c r="E122" s="868">
        <v>45</v>
      </c>
      <c r="F122" s="868">
        <v>44</v>
      </c>
      <c r="G122" s="868">
        <v>41</v>
      </c>
      <c r="H122" s="868">
        <v>41</v>
      </c>
      <c r="I122" s="868">
        <v>41</v>
      </c>
      <c r="J122" s="868">
        <v>41</v>
      </c>
      <c r="K122" s="868">
        <v>41</v>
      </c>
      <c r="L122" s="868">
        <v>41</v>
      </c>
      <c r="M122" s="869"/>
      <c r="O122" s="690"/>
      <c r="R122" s="85"/>
      <c r="S122" s="690"/>
    </row>
    <row r="123" spans="1:19" ht="13">
      <c r="A123" s="865">
        <v>1539</v>
      </c>
      <c r="B123" s="866" t="s">
        <v>102</v>
      </c>
      <c r="C123" s="867" t="s">
        <v>1042</v>
      </c>
      <c r="D123" s="868">
        <v>43</v>
      </c>
      <c r="E123" s="868">
        <v>45</v>
      </c>
      <c r="F123" s="868">
        <v>44</v>
      </c>
      <c r="G123" s="868">
        <v>41</v>
      </c>
      <c r="H123" s="868">
        <v>40</v>
      </c>
      <c r="I123" s="868">
        <v>40</v>
      </c>
      <c r="J123" s="868">
        <v>40</v>
      </c>
      <c r="K123" s="868">
        <v>40</v>
      </c>
      <c r="L123" s="868">
        <v>40</v>
      </c>
      <c r="M123" s="869"/>
      <c r="O123" s="690"/>
      <c r="R123" s="85"/>
      <c r="S123" s="690"/>
    </row>
    <row r="124" spans="1:19" ht="13">
      <c r="A124" s="857">
        <v>1543</v>
      </c>
      <c r="B124" s="858" t="s">
        <v>1570</v>
      </c>
      <c r="C124" s="859" t="s">
        <v>1042</v>
      </c>
      <c r="D124" s="860">
        <v>32</v>
      </c>
      <c r="E124" s="860">
        <v>34</v>
      </c>
      <c r="F124" s="860">
        <v>32</v>
      </c>
      <c r="G124" s="860">
        <v>32</v>
      </c>
      <c r="H124" s="860">
        <v>29</v>
      </c>
      <c r="I124" s="860"/>
      <c r="J124" s="860"/>
      <c r="K124" s="860"/>
      <c r="L124" s="860"/>
      <c r="M124" s="864"/>
      <c r="O124" s="690"/>
      <c r="R124" s="85"/>
      <c r="S124" s="690"/>
    </row>
    <row r="125" spans="1:19" ht="13">
      <c r="A125" s="857">
        <v>1545</v>
      </c>
      <c r="B125" s="858" t="s">
        <v>1571</v>
      </c>
      <c r="C125" s="859" t="s">
        <v>1042</v>
      </c>
      <c r="D125" s="860">
        <v>49</v>
      </c>
      <c r="E125" s="860">
        <v>55</v>
      </c>
      <c r="F125" s="860">
        <v>56</v>
      </c>
      <c r="G125" s="860">
        <v>57</v>
      </c>
      <c r="H125" s="860">
        <v>55</v>
      </c>
      <c r="I125" s="860"/>
      <c r="J125" s="860"/>
      <c r="K125" s="860"/>
      <c r="L125" s="860"/>
      <c r="M125" s="864"/>
      <c r="O125" s="690"/>
      <c r="R125" s="85"/>
      <c r="S125" s="690"/>
    </row>
    <row r="126" spans="1:19" ht="13">
      <c r="A126" s="857">
        <v>1546</v>
      </c>
      <c r="B126" s="858" t="s">
        <v>1572</v>
      </c>
      <c r="C126" s="859" t="s">
        <v>1042</v>
      </c>
      <c r="D126" s="860">
        <v>39</v>
      </c>
      <c r="E126" s="860">
        <v>41</v>
      </c>
      <c r="F126" s="860">
        <v>36</v>
      </c>
      <c r="G126" s="860">
        <v>38</v>
      </c>
      <c r="H126" s="860">
        <v>34</v>
      </c>
      <c r="I126" s="860"/>
      <c r="J126" s="860"/>
      <c r="K126" s="860"/>
      <c r="L126" s="860"/>
      <c r="M126" s="864"/>
      <c r="O126" s="690"/>
      <c r="R126" s="85"/>
      <c r="S126" s="690"/>
    </row>
    <row r="127" spans="1:19" ht="13">
      <c r="A127" s="865">
        <v>1547</v>
      </c>
      <c r="B127" s="866" t="s">
        <v>106</v>
      </c>
      <c r="C127" s="867" t="s">
        <v>1044</v>
      </c>
      <c r="D127" s="868">
        <v>66</v>
      </c>
      <c r="E127" s="868">
        <v>70</v>
      </c>
      <c r="F127" s="868">
        <v>73</v>
      </c>
      <c r="G127" s="868">
        <v>71</v>
      </c>
      <c r="H127" s="868">
        <v>66</v>
      </c>
      <c r="I127" s="868">
        <v>66</v>
      </c>
      <c r="J127" s="868">
        <v>66</v>
      </c>
      <c r="K127" s="868">
        <v>66</v>
      </c>
      <c r="L127" s="868">
        <v>66</v>
      </c>
      <c r="M127" s="869"/>
      <c r="O127" s="690"/>
      <c r="R127" s="85"/>
      <c r="S127" s="690"/>
    </row>
    <row r="128" spans="1:19" ht="13">
      <c r="A128" s="857">
        <v>1548</v>
      </c>
      <c r="B128" s="858" t="s">
        <v>1573</v>
      </c>
      <c r="C128" s="859" t="s">
        <v>1044</v>
      </c>
      <c r="D128" s="860">
        <v>57</v>
      </c>
      <c r="E128" s="860">
        <v>59</v>
      </c>
      <c r="F128" s="860">
        <v>59</v>
      </c>
      <c r="G128" s="860">
        <v>57</v>
      </c>
      <c r="H128" s="860">
        <v>55</v>
      </c>
      <c r="I128" s="860"/>
      <c r="J128" s="860"/>
      <c r="K128" s="860"/>
      <c r="L128" s="860"/>
      <c r="M128" s="864">
        <v>900</v>
      </c>
      <c r="O128" s="690"/>
      <c r="R128" s="85"/>
      <c r="S128" s="690"/>
    </row>
    <row r="129" spans="1:19" ht="13">
      <c r="A129" s="857">
        <v>1551</v>
      </c>
      <c r="B129" s="858" t="s">
        <v>1574</v>
      </c>
      <c r="C129" s="859" t="s">
        <v>1042</v>
      </c>
      <c r="D129" s="860">
        <v>56</v>
      </c>
      <c r="E129" s="860">
        <v>55</v>
      </c>
      <c r="F129" s="860">
        <v>53</v>
      </c>
      <c r="G129" s="860">
        <v>50</v>
      </c>
      <c r="H129" s="860">
        <v>48</v>
      </c>
      <c r="I129" s="860"/>
      <c r="J129" s="860"/>
      <c r="K129" s="860"/>
      <c r="L129" s="860"/>
      <c r="M129" s="864"/>
      <c r="O129" s="690"/>
      <c r="R129" s="85"/>
      <c r="S129" s="690"/>
    </row>
    <row r="130" spans="1:19" ht="13">
      <c r="A130" s="865">
        <v>1554</v>
      </c>
      <c r="B130" s="866" t="s">
        <v>109</v>
      </c>
      <c r="C130" s="867" t="s">
        <v>1042</v>
      </c>
      <c r="D130" s="868">
        <v>50</v>
      </c>
      <c r="E130" s="868">
        <v>52</v>
      </c>
      <c r="F130" s="868">
        <v>54</v>
      </c>
      <c r="G130" s="868">
        <v>56</v>
      </c>
      <c r="H130" s="868">
        <v>56</v>
      </c>
      <c r="I130" s="868">
        <v>56</v>
      </c>
      <c r="J130" s="868">
        <v>56</v>
      </c>
      <c r="K130" s="868">
        <v>56</v>
      </c>
      <c r="L130" s="868">
        <v>56</v>
      </c>
      <c r="M130" s="869">
        <v>600</v>
      </c>
      <c r="O130" s="690"/>
      <c r="R130" s="85"/>
      <c r="S130" s="690"/>
    </row>
    <row r="131" spans="1:19" ht="13">
      <c r="A131" s="865">
        <v>1557</v>
      </c>
      <c r="B131" s="866" t="s">
        <v>110</v>
      </c>
      <c r="C131" s="867" t="s">
        <v>1042</v>
      </c>
      <c r="D131" s="868">
        <v>54</v>
      </c>
      <c r="E131" s="868">
        <v>44</v>
      </c>
      <c r="F131" s="868">
        <v>43</v>
      </c>
      <c r="G131" s="868">
        <v>45</v>
      </c>
      <c r="H131" s="868">
        <v>44</v>
      </c>
      <c r="I131" s="868">
        <v>44</v>
      </c>
      <c r="J131" s="868">
        <v>44</v>
      </c>
      <c r="K131" s="868">
        <v>44</v>
      </c>
      <c r="L131" s="868">
        <v>44</v>
      </c>
      <c r="M131" s="869"/>
      <c r="O131" s="690"/>
      <c r="R131" s="85"/>
      <c r="S131" s="690"/>
    </row>
    <row r="132" spans="1:19" ht="13">
      <c r="A132" s="865">
        <v>1560</v>
      </c>
      <c r="B132" s="866" t="s">
        <v>111</v>
      </c>
      <c r="C132" s="867" t="s">
        <v>1042</v>
      </c>
      <c r="D132" s="868">
        <v>32</v>
      </c>
      <c r="E132" s="868">
        <v>29</v>
      </c>
      <c r="F132" s="868">
        <v>29</v>
      </c>
      <c r="G132" s="868">
        <v>30</v>
      </c>
      <c r="H132" s="868">
        <v>30</v>
      </c>
      <c r="I132" s="868">
        <v>30</v>
      </c>
      <c r="J132" s="868">
        <v>30</v>
      </c>
      <c r="K132" s="868">
        <v>30</v>
      </c>
      <c r="L132" s="868">
        <v>30</v>
      </c>
      <c r="M132" s="869"/>
      <c r="O132" s="690"/>
      <c r="R132" s="85"/>
      <c r="S132" s="690"/>
    </row>
    <row r="133" spans="1:19" ht="13">
      <c r="A133" s="865">
        <v>1563</v>
      </c>
      <c r="B133" s="866" t="s">
        <v>112</v>
      </c>
      <c r="C133" s="867" t="s">
        <v>1042</v>
      </c>
      <c r="D133" s="868">
        <v>27</v>
      </c>
      <c r="E133" s="868">
        <v>21</v>
      </c>
      <c r="F133" s="868">
        <v>18</v>
      </c>
      <c r="G133" s="868">
        <v>22</v>
      </c>
      <c r="H133" s="868">
        <v>23</v>
      </c>
      <c r="I133" s="868">
        <v>23</v>
      </c>
      <c r="J133" s="868">
        <v>23</v>
      </c>
      <c r="K133" s="868">
        <v>23</v>
      </c>
      <c r="L133" s="868">
        <v>23</v>
      </c>
      <c r="M133" s="869"/>
      <c r="O133" s="690"/>
      <c r="R133" s="85"/>
      <c r="S133" s="690"/>
    </row>
    <row r="134" spans="1:19" ht="13">
      <c r="A134" s="865">
        <v>1566</v>
      </c>
      <c r="B134" s="866" t="s">
        <v>113</v>
      </c>
      <c r="C134" s="867" t="s">
        <v>1043</v>
      </c>
      <c r="D134" s="868">
        <v>24</v>
      </c>
      <c r="E134" s="868">
        <v>23</v>
      </c>
      <c r="F134" s="868">
        <v>23</v>
      </c>
      <c r="G134" s="868">
        <v>26</v>
      </c>
      <c r="H134" s="868">
        <v>28</v>
      </c>
      <c r="I134" s="868">
        <v>28</v>
      </c>
      <c r="J134" s="868">
        <v>28</v>
      </c>
      <c r="K134" s="868">
        <v>28</v>
      </c>
      <c r="L134" s="868">
        <v>28</v>
      </c>
      <c r="M134" s="869"/>
      <c r="O134" s="690"/>
      <c r="R134" s="85"/>
      <c r="S134" s="690"/>
    </row>
    <row r="135" spans="1:19" ht="13">
      <c r="A135" s="857">
        <v>1571</v>
      </c>
      <c r="B135" s="858" t="s">
        <v>1575</v>
      </c>
      <c r="C135" s="859" t="s">
        <v>1043</v>
      </c>
      <c r="D135" s="860">
        <v>16</v>
      </c>
      <c r="E135" s="860">
        <v>17</v>
      </c>
      <c r="F135" s="860">
        <v>17</v>
      </c>
      <c r="G135" s="860">
        <v>14</v>
      </c>
      <c r="H135" s="860">
        <v>14</v>
      </c>
      <c r="I135" s="860"/>
      <c r="J135" s="860"/>
      <c r="K135" s="860"/>
      <c r="L135" s="860"/>
      <c r="M135" s="864"/>
      <c r="O135" s="690"/>
      <c r="R135" s="85"/>
      <c r="S135" s="690"/>
    </row>
    <row r="136" spans="1:19" ht="13">
      <c r="A136" s="865">
        <v>1573</v>
      </c>
      <c r="B136" s="866" t="s">
        <v>116</v>
      </c>
      <c r="C136" s="867" t="s">
        <v>1043</v>
      </c>
      <c r="D136" s="868">
        <v>19</v>
      </c>
      <c r="E136" s="868">
        <v>23</v>
      </c>
      <c r="F136" s="868">
        <v>25</v>
      </c>
      <c r="G136" s="868">
        <v>28</v>
      </c>
      <c r="H136" s="868">
        <v>28</v>
      </c>
      <c r="I136" s="868">
        <v>28</v>
      </c>
      <c r="J136" s="868">
        <v>28</v>
      </c>
      <c r="K136" s="868">
        <v>28</v>
      </c>
      <c r="L136" s="868">
        <v>28</v>
      </c>
      <c r="M136" s="869"/>
      <c r="O136" s="690"/>
      <c r="R136" s="85"/>
      <c r="S136" s="690"/>
    </row>
    <row r="137" spans="1:19" ht="13">
      <c r="A137" s="865">
        <v>1576</v>
      </c>
      <c r="B137" s="876" t="s">
        <v>1498</v>
      </c>
      <c r="C137" s="867"/>
      <c r="D137" s="868">
        <v>18</v>
      </c>
      <c r="E137" s="868">
        <v>20</v>
      </c>
      <c r="F137" s="868">
        <v>22</v>
      </c>
      <c r="G137" s="868">
        <v>21</v>
      </c>
      <c r="H137" s="868">
        <v>27</v>
      </c>
      <c r="I137" s="868">
        <v>27</v>
      </c>
      <c r="J137" s="868">
        <v>27</v>
      </c>
      <c r="K137" s="868">
        <v>27</v>
      </c>
      <c r="L137" s="868">
        <v>27</v>
      </c>
      <c r="M137" s="869"/>
      <c r="O137" s="690"/>
      <c r="R137" s="85"/>
      <c r="S137" s="690"/>
    </row>
    <row r="138" spans="1:19" ht="13">
      <c r="A138" s="878">
        <v>1577</v>
      </c>
      <c r="B138" s="879" t="s">
        <v>1613</v>
      </c>
      <c r="C138" s="880"/>
      <c r="D138" s="881"/>
      <c r="E138" s="881"/>
      <c r="F138" s="881"/>
      <c r="G138" s="881"/>
      <c r="H138" s="881"/>
      <c r="I138" s="881">
        <v>49</v>
      </c>
      <c r="J138" s="881">
        <v>49</v>
      </c>
      <c r="K138" s="881">
        <v>49</v>
      </c>
      <c r="L138" s="881">
        <v>49</v>
      </c>
      <c r="M138" s="882"/>
      <c r="O138" s="690"/>
      <c r="R138" s="85"/>
      <c r="S138" s="690"/>
    </row>
    <row r="139" spans="1:19" ht="13">
      <c r="A139" s="878">
        <v>1578</v>
      </c>
      <c r="B139" s="879" t="s">
        <v>1614</v>
      </c>
      <c r="C139" s="880"/>
      <c r="D139" s="881"/>
      <c r="E139" s="881"/>
      <c r="F139" s="881"/>
      <c r="G139" s="881"/>
      <c r="H139" s="881"/>
      <c r="I139" s="881">
        <v>26</v>
      </c>
      <c r="J139" s="881">
        <v>26</v>
      </c>
      <c r="K139" s="881">
        <v>26</v>
      </c>
      <c r="L139" s="881">
        <v>26</v>
      </c>
      <c r="M139" s="882"/>
      <c r="O139" s="690"/>
      <c r="R139" s="85"/>
      <c r="S139" s="690"/>
    </row>
    <row r="140" spans="1:19" ht="13">
      <c r="A140" s="878">
        <v>1579</v>
      </c>
      <c r="B140" s="879" t="s">
        <v>1615</v>
      </c>
      <c r="C140" s="880"/>
      <c r="D140" s="881"/>
      <c r="E140" s="881"/>
      <c r="F140" s="881"/>
      <c r="G140" s="881"/>
      <c r="H140" s="881"/>
      <c r="I140" s="881">
        <v>53</v>
      </c>
      <c r="J140" s="881">
        <v>53</v>
      </c>
      <c r="K140" s="881">
        <v>53</v>
      </c>
      <c r="L140" s="881">
        <v>53</v>
      </c>
      <c r="M140" s="882"/>
      <c r="O140" s="690"/>
      <c r="R140" s="85"/>
      <c r="S140" s="690"/>
    </row>
    <row r="141" spans="1:19" ht="13">
      <c r="A141" s="857">
        <v>1624</v>
      </c>
      <c r="B141" s="858" t="s">
        <v>1270</v>
      </c>
      <c r="C141" s="859" t="s">
        <v>1042</v>
      </c>
      <c r="D141" s="860">
        <v>41</v>
      </c>
      <c r="E141" s="860">
        <v>47</v>
      </c>
      <c r="F141" s="860">
        <v>45</v>
      </c>
      <c r="G141" s="860">
        <v>40</v>
      </c>
      <c r="H141" s="860"/>
      <c r="I141" s="860"/>
      <c r="J141" s="860"/>
      <c r="K141" s="860"/>
      <c r="L141" s="860"/>
      <c r="M141" s="864"/>
      <c r="O141" s="690"/>
      <c r="R141" s="85"/>
      <c r="S141" s="690"/>
    </row>
    <row r="142" spans="1:19" ht="13">
      <c r="A142" s="857">
        <v>1718</v>
      </c>
      <c r="B142" s="858" t="s">
        <v>1271</v>
      </c>
      <c r="C142" s="859" t="s">
        <v>1042</v>
      </c>
      <c r="D142" s="860">
        <v>40</v>
      </c>
      <c r="E142" s="860">
        <v>40</v>
      </c>
      <c r="F142" s="860">
        <v>38</v>
      </c>
      <c r="G142" s="860">
        <v>40</v>
      </c>
      <c r="H142" s="860"/>
      <c r="I142" s="860"/>
      <c r="J142" s="860"/>
      <c r="K142" s="860"/>
      <c r="L142" s="860"/>
      <c r="M142" s="864"/>
      <c r="O142" s="690"/>
      <c r="R142" s="85"/>
      <c r="S142" s="690"/>
    </row>
    <row r="143" spans="1:19" ht="13">
      <c r="A143" s="857">
        <v>1723</v>
      </c>
      <c r="B143" s="858" t="s">
        <v>1577</v>
      </c>
      <c r="C143" s="859" t="s">
        <v>1043</v>
      </c>
      <c r="D143" s="862"/>
      <c r="E143" s="862"/>
      <c r="F143" s="862"/>
      <c r="G143" s="862"/>
      <c r="H143" s="862"/>
      <c r="I143" s="862"/>
      <c r="J143" s="862"/>
      <c r="K143" s="862"/>
      <c r="L143" s="862"/>
      <c r="M143" s="864"/>
    </row>
    <row r="144" spans="1:19" ht="13">
      <c r="A144" s="857">
        <v>1729</v>
      </c>
      <c r="B144" s="858" t="s">
        <v>1576</v>
      </c>
      <c r="C144" s="859" t="s">
        <v>1042</v>
      </c>
      <c r="D144" s="862"/>
      <c r="E144" s="862"/>
      <c r="F144" s="862"/>
      <c r="G144" s="862"/>
      <c r="H144" s="862"/>
      <c r="I144" s="862"/>
      <c r="J144" s="862"/>
      <c r="K144" s="862"/>
      <c r="L144" s="862"/>
      <c r="M144" s="864"/>
    </row>
    <row r="145" spans="1:19" ht="13">
      <c r="A145" s="865">
        <v>1804</v>
      </c>
      <c r="B145" s="866" t="s">
        <v>174</v>
      </c>
      <c r="C145" s="867" t="s">
        <v>1042</v>
      </c>
      <c r="D145" s="868">
        <v>69</v>
      </c>
      <c r="E145" s="868">
        <v>67</v>
      </c>
      <c r="F145" s="868">
        <v>66</v>
      </c>
      <c r="G145" s="868">
        <v>65</v>
      </c>
      <c r="H145" s="868">
        <v>66</v>
      </c>
      <c r="I145" s="868">
        <v>66</v>
      </c>
      <c r="J145" s="868">
        <v>66</v>
      </c>
      <c r="K145" s="868">
        <v>66</v>
      </c>
      <c r="L145" s="868">
        <v>66</v>
      </c>
      <c r="M145" s="869"/>
      <c r="O145" s="690"/>
      <c r="R145" s="85"/>
      <c r="S145" s="690"/>
    </row>
    <row r="146" spans="1:19" ht="13">
      <c r="A146" s="857">
        <v>1805</v>
      </c>
      <c r="B146" s="858" t="s">
        <v>1578</v>
      </c>
      <c r="C146" s="859" t="s">
        <v>1043</v>
      </c>
      <c r="D146" s="860">
        <v>40</v>
      </c>
      <c r="E146" s="860">
        <v>38</v>
      </c>
      <c r="F146" s="860">
        <v>38</v>
      </c>
      <c r="G146" s="860">
        <v>39</v>
      </c>
      <c r="H146" s="860">
        <v>38</v>
      </c>
      <c r="I146" s="860"/>
      <c r="J146" s="860"/>
      <c r="K146" s="860"/>
      <c r="L146" s="860"/>
      <c r="M146" s="864"/>
      <c r="O146" s="690"/>
      <c r="R146" s="85"/>
      <c r="S146" s="690"/>
    </row>
    <row r="147" spans="1:19" ht="13">
      <c r="A147" s="878">
        <v>1806</v>
      </c>
      <c r="B147" s="883" t="s">
        <v>1616</v>
      </c>
      <c r="C147" s="880"/>
      <c r="D147" s="881"/>
      <c r="E147" s="881"/>
      <c r="F147" s="881"/>
      <c r="G147" s="881"/>
      <c r="H147" s="881"/>
      <c r="I147" s="881">
        <v>34</v>
      </c>
      <c r="J147" s="881">
        <v>34</v>
      </c>
      <c r="K147" s="881">
        <v>34</v>
      </c>
      <c r="L147" s="881">
        <v>34</v>
      </c>
      <c r="M147" s="882"/>
      <c r="O147" s="690"/>
      <c r="R147" s="85"/>
      <c r="S147" s="690"/>
    </row>
    <row r="148" spans="1:19" ht="13">
      <c r="A148" s="865">
        <v>1811</v>
      </c>
      <c r="B148" s="866" t="s">
        <v>176</v>
      </c>
      <c r="C148" s="867" t="s">
        <v>1043</v>
      </c>
      <c r="D148" s="868">
        <v>0</v>
      </c>
      <c r="E148" s="868">
        <v>0</v>
      </c>
      <c r="F148" s="868">
        <v>2</v>
      </c>
      <c r="G148" s="868">
        <v>4</v>
      </c>
      <c r="H148" s="868">
        <v>4</v>
      </c>
      <c r="I148" s="868">
        <v>4</v>
      </c>
      <c r="J148" s="868">
        <v>4</v>
      </c>
      <c r="K148" s="868">
        <v>4</v>
      </c>
      <c r="L148" s="868">
        <v>4</v>
      </c>
      <c r="M148" s="869"/>
      <c r="O148" s="690"/>
      <c r="R148" s="85"/>
      <c r="S148" s="690"/>
    </row>
    <row r="149" spans="1:19" ht="13">
      <c r="A149" s="865">
        <v>1812</v>
      </c>
      <c r="B149" s="866" t="s">
        <v>177</v>
      </c>
      <c r="C149" s="867" t="s">
        <v>1043</v>
      </c>
      <c r="D149" s="868">
        <v>31</v>
      </c>
      <c r="E149" s="868">
        <v>27</v>
      </c>
      <c r="F149" s="868">
        <v>32</v>
      </c>
      <c r="G149" s="868">
        <v>30</v>
      </c>
      <c r="H149" s="868">
        <v>27</v>
      </c>
      <c r="I149" s="868">
        <v>27</v>
      </c>
      <c r="J149" s="868">
        <v>27</v>
      </c>
      <c r="K149" s="868">
        <v>27</v>
      </c>
      <c r="L149" s="868">
        <v>27</v>
      </c>
      <c r="M149" s="869"/>
      <c r="O149" s="690"/>
      <c r="R149" s="85"/>
      <c r="S149" s="690"/>
    </row>
    <row r="150" spans="1:19" ht="13">
      <c r="A150" s="865">
        <v>1813</v>
      </c>
      <c r="B150" s="866" t="s">
        <v>178</v>
      </c>
      <c r="C150" s="867" t="s">
        <v>1043</v>
      </c>
      <c r="D150" s="868">
        <v>44</v>
      </c>
      <c r="E150" s="868">
        <v>44</v>
      </c>
      <c r="F150" s="868">
        <v>44</v>
      </c>
      <c r="G150" s="868">
        <v>41</v>
      </c>
      <c r="H150" s="868">
        <v>42</v>
      </c>
      <c r="I150" s="868">
        <v>42</v>
      </c>
      <c r="J150" s="868">
        <v>42</v>
      </c>
      <c r="K150" s="868">
        <v>42</v>
      </c>
      <c r="L150" s="868">
        <v>42</v>
      </c>
      <c r="M150" s="869"/>
      <c r="O150" s="690"/>
      <c r="R150" s="85"/>
      <c r="S150" s="690"/>
    </row>
    <row r="151" spans="1:19" ht="13">
      <c r="A151" s="865">
        <v>1815</v>
      </c>
      <c r="B151" s="866" t="s">
        <v>179</v>
      </c>
      <c r="C151" s="867" t="s">
        <v>1043</v>
      </c>
      <c r="D151" s="868">
        <v>19</v>
      </c>
      <c r="E151" s="868">
        <v>16</v>
      </c>
      <c r="F151" s="868">
        <v>16</v>
      </c>
      <c r="G151" s="868">
        <v>12</v>
      </c>
      <c r="H151" s="868">
        <v>10</v>
      </c>
      <c r="I151" s="868">
        <v>10</v>
      </c>
      <c r="J151" s="868">
        <v>10</v>
      </c>
      <c r="K151" s="868">
        <v>10</v>
      </c>
      <c r="L151" s="868">
        <v>10</v>
      </c>
      <c r="M151" s="869"/>
      <c r="O151" s="690"/>
      <c r="R151" s="85"/>
      <c r="S151" s="690"/>
    </row>
    <row r="152" spans="1:19" ht="13">
      <c r="A152" s="865">
        <v>1816</v>
      </c>
      <c r="B152" s="866" t="s">
        <v>180</v>
      </c>
      <c r="C152" s="867" t="s">
        <v>1043</v>
      </c>
      <c r="D152" s="868">
        <v>20</v>
      </c>
      <c r="E152" s="868">
        <v>22</v>
      </c>
      <c r="F152" s="868">
        <v>21</v>
      </c>
      <c r="G152" s="868">
        <v>23</v>
      </c>
      <c r="H152" s="868">
        <v>28</v>
      </c>
      <c r="I152" s="868">
        <v>28</v>
      </c>
      <c r="J152" s="868">
        <v>28</v>
      </c>
      <c r="K152" s="868">
        <v>28</v>
      </c>
      <c r="L152" s="868">
        <v>28</v>
      </c>
      <c r="M152" s="869"/>
      <c r="O152" s="690"/>
      <c r="R152" s="85"/>
      <c r="S152" s="690"/>
    </row>
    <row r="153" spans="1:19" ht="13">
      <c r="A153" s="865">
        <v>1818</v>
      </c>
      <c r="B153" s="866" t="s">
        <v>87</v>
      </c>
      <c r="C153" s="867" t="s">
        <v>1043</v>
      </c>
      <c r="D153" s="868">
        <v>17</v>
      </c>
      <c r="E153" s="868">
        <v>21</v>
      </c>
      <c r="F153" s="868">
        <v>22</v>
      </c>
      <c r="G153" s="868">
        <v>22</v>
      </c>
      <c r="H153" s="868">
        <v>29</v>
      </c>
      <c r="I153" s="868">
        <v>29</v>
      </c>
      <c r="J153" s="868">
        <v>29</v>
      </c>
      <c r="K153" s="868">
        <v>29</v>
      </c>
      <c r="L153" s="868">
        <v>29</v>
      </c>
      <c r="M153" s="869"/>
      <c r="O153" s="690"/>
      <c r="R153" s="85"/>
      <c r="S153" s="690"/>
    </row>
    <row r="154" spans="1:19" ht="13">
      <c r="A154" s="865">
        <v>1820</v>
      </c>
      <c r="B154" s="866" t="s">
        <v>181</v>
      </c>
      <c r="C154" s="867" t="s">
        <v>1043</v>
      </c>
      <c r="D154" s="868">
        <v>40</v>
      </c>
      <c r="E154" s="868">
        <v>41</v>
      </c>
      <c r="F154" s="868">
        <v>39</v>
      </c>
      <c r="G154" s="868">
        <v>39</v>
      </c>
      <c r="H154" s="868">
        <v>43</v>
      </c>
      <c r="I154" s="868">
        <v>43</v>
      </c>
      <c r="J154" s="868">
        <v>43</v>
      </c>
      <c r="K154" s="868">
        <v>43</v>
      </c>
      <c r="L154" s="868">
        <v>43</v>
      </c>
      <c r="M154" s="869"/>
      <c r="O154" s="690"/>
      <c r="R154" s="85"/>
      <c r="S154" s="690"/>
    </row>
    <row r="155" spans="1:19" ht="13">
      <c r="A155" s="865">
        <v>1822</v>
      </c>
      <c r="B155" s="866" t="s">
        <v>182</v>
      </c>
      <c r="C155" s="867" t="s">
        <v>1043</v>
      </c>
      <c r="D155" s="868">
        <v>19</v>
      </c>
      <c r="E155" s="868">
        <v>24</v>
      </c>
      <c r="F155" s="868">
        <v>25</v>
      </c>
      <c r="G155" s="868">
        <v>25</v>
      </c>
      <c r="H155" s="868">
        <v>30</v>
      </c>
      <c r="I155" s="868">
        <v>30</v>
      </c>
      <c r="J155" s="868">
        <v>30</v>
      </c>
      <c r="K155" s="868">
        <v>30</v>
      </c>
      <c r="L155" s="868">
        <v>30</v>
      </c>
      <c r="M155" s="869"/>
      <c r="O155" s="690"/>
      <c r="R155" s="85"/>
      <c r="S155" s="690"/>
    </row>
    <row r="156" spans="1:19" ht="13">
      <c r="A156" s="865">
        <v>1824</v>
      </c>
      <c r="B156" s="866" t="s">
        <v>183</v>
      </c>
      <c r="C156" s="867" t="s">
        <v>1043</v>
      </c>
      <c r="D156" s="868">
        <v>35</v>
      </c>
      <c r="E156" s="868">
        <v>34</v>
      </c>
      <c r="F156" s="868">
        <v>34</v>
      </c>
      <c r="G156" s="868">
        <v>36</v>
      </c>
      <c r="H156" s="868">
        <v>37</v>
      </c>
      <c r="I156" s="868">
        <v>37</v>
      </c>
      <c r="J156" s="868">
        <v>37</v>
      </c>
      <c r="K156" s="868">
        <v>37</v>
      </c>
      <c r="L156" s="868">
        <v>37</v>
      </c>
      <c r="M156" s="869"/>
      <c r="O156" s="690"/>
      <c r="R156" s="85"/>
      <c r="S156" s="690"/>
    </row>
    <row r="157" spans="1:19" ht="13">
      <c r="A157" s="865">
        <v>1825</v>
      </c>
      <c r="B157" s="866" t="s">
        <v>184</v>
      </c>
      <c r="C157" s="867" t="s">
        <v>1043</v>
      </c>
      <c r="D157" s="868">
        <v>17</v>
      </c>
      <c r="E157" s="868">
        <v>20</v>
      </c>
      <c r="F157" s="868">
        <v>22</v>
      </c>
      <c r="G157" s="868">
        <v>21</v>
      </c>
      <c r="H157" s="868">
        <v>25</v>
      </c>
      <c r="I157" s="868">
        <v>25</v>
      </c>
      <c r="J157" s="868">
        <v>25</v>
      </c>
      <c r="K157" s="868">
        <v>25</v>
      </c>
      <c r="L157" s="868">
        <v>25</v>
      </c>
      <c r="M157" s="869"/>
      <c r="O157" s="690"/>
      <c r="R157" s="85"/>
      <c r="S157" s="690"/>
    </row>
    <row r="158" spans="1:19" ht="13">
      <c r="A158" s="865">
        <v>1826</v>
      </c>
      <c r="B158" s="866" t="s">
        <v>185</v>
      </c>
      <c r="C158" s="867" t="s">
        <v>1043</v>
      </c>
      <c r="D158" s="868">
        <v>11</v>
      </c>
      <c r="E158" s="868">
        <v>12</v>
      </c>
      <c r="F158" s="868">
        <v>12</v>
      </c>
      <c r="G158" s="868">
        <v>16</v>
      </c>
      <c r="H158" s="868">
        <v>13</v>
      </c>
      <c r="I158" s="868">
        <v>13</v>
      </c>
      <c r="J158" s="868">
        <v>13</v>
      </c>
      <c r="K158" s="868">
        <v>13</v>
      </c>
      <c r="L158" s="868">
        <v>13</v>
      </c>
      <c r="M158" s="869"/>
      <c r="O158" s="690"/>
      <c r="R158" s="85"/>
      <c r="S158" s="690"/>
    </row>
    <row r="159" spans="1:19" ht="13">
      <c r="A159" s="865">
        <v>1827</v>
      </c>
      <c r="B159" s="866" t="s">
        <v>186</v>
      </c>
      <c r="C159" s="867" t="s">
        <v>1043</v>
      </c>
      <c r="D159" s="868">
        <v>17</v>
      </c>
      <c r="E159" s="868">
        <v>13</v>
      </c>
      <c r="F159" s="868">
        <v>16</v>
      </c>
      <c r="G159" s="868">
        <v>16</v>
      </c>
      <c r="H159" s="868">
        <v>18</v>
      </c>
      <c r="I159" s="868">
        <v>18</v>
      </c>
      <c r="J159" s="868">
        <v>18</v>
      </c>
      <c r="K159" s="868">
        <v>18</v>
      </c>
      <c r="L159" s="868">
        <v>18</v>
      </c>
      <c r="M159" s="869"/>
      <c r="O159" s="690"/>
      <c r="R159" s="85"/>
      <c r="S159" s="690"/>
    </row>
    <row r="160" spans="1:19" ht="13">
      <c r="A160" s="865">
        <v>1828</v>
      </c>
      <c r="B160" s="866" t="s">
        <v>187</v>
      </c>
      <c r="C160" s="867" t="s">
        <v>1043</v>
      </c>
      <c r="D160" s="868">
        <v>27</v>
      </c>
      <c r="E160" s="868">
        <v>33</v>
      </c>
      <c r="F160" s="868">
        <v>33</v>
      </c>
      <c r="G160" s="868">
        <v>34</v>
      </c>
      <c r="H160" s="868">
        <v>34</v>
      </c>
      <c r="I160" s="868">
        <v>34</v>
      </c>
      <c r="J160" s="868">
        <v>34</v>
      </c>
      <c r="K160" s="868">
        <v>34</v>
      </c>
      <c r="L160" s="868">
        <v>34</v>
      </c>
      <c r="M160" s="869"/>
      <c r="O160" s="690"/>
      <c r="R160" s="85"/>
      <c r="S160" s="690"/>
    </row>
    <row r="161" spans="1:19" ht="13">
      <c r="A161" s="865">
        <v>1832</v>
      </c>
      <c r="B161" s="866" t="s">
        <v>188</v>
      </c>
      <c r="C161" s="867" t="s">
        <v>1043</v>
      </c>
      <c r="D161" s="868">
        <v>32</v>
      </c>
      <c r="E161" s="868">
        <v>29</v>
      </c>
      <c r="F161" s="868">
        <v>26</v>
      </c>
      <c r="G161" s="868">
        <v>32</v>
      </c>
      <c r="H161" s="868">
        <v>37</v>
      </c>
      <c r="I161" s="868">
        <v>37</v>
      </c>
      <c r="J161" s="868">
        <v>37</v>
      </c>
      <c r="K161" s="868">
        <v>37</v>
      </c>
      <c r="L161" s="868">
        <v>37</v>
      </c>
      <c r="M161" s="869"/>
      <c r="O161" s="690"/>
      <c r="R161" s="85"/>
      <c r="S161" s="690"/>
    </row>
    <row r="162" spans="1:19" ht="13">
      <c r="A162" s="865">
        <v>1833</v>
      </c>
      <c r="B162" s="866" t="s">
        <v>189</v>
      </c>
      <c r="C162" s="867" t="s">
        <v>1043</v>
      </c>
      <c r="D162" s="868">
        <v>42</v>
      </c>
      <c r="E162" s="868">
        <v>41</v>
      </c>
      <c r="F162" s="868">
        <v>42</v>
      </c>
      <c r="G162" s="868">
        <v>42</v>
      </c>
      <c r="H162" s="868">
        <v>45</v>
      </c>
      <c r="I162" s="868">
        <v>45</v>
      </c>
      <c r="J162" s="868">
        <v>45</v>
      </c>
      <c r="K162" s="868">
        <v>45</v>
      </c>
      <c r="L162" s="868">
        <v>45</v>
      </c>
      <c r="M162" s="869"/>
      <c r="O162" s="690"/>
      <c r="R162" s="85"/>
      <c r="S162" s="690"/>
    </row>
    <row r="163" spans="1:19" ht="13">
      <c r="A163" s="865">
        <v>1834</v>
      </c>
      <c r="B163" s="866" t="s">
        <v>190</v>
      </c>
      <c r="C163" s="867" t="s">
        <v>1043</v>
      </c>
      <c r="D163" s="868">
        <v>19</v>
      </c>
      <c r="E163" s="868">
        <v>17</v>
      </c>
      <c r="F163" s="868">
        <v>18</v>
      </c>
      <c r="G163" s="868">
        <v>25</v>
      </c>
      <c r="H163" s="868">
        <v>20</v>
      </c>
      <c r="I163" s="868">
        <v>20</v>
      </c>
      <c r="J163" s="868">
        <v>20</v>
      </c>
      <c r="K163" s="868">
        <v>20</v>
      </c>
      <c r="L163" s="868">
        <v>20</v>
      </c>
      <c r="M163" s="869"/>
      <c r="O163" s="690"/>
      <c r="R163" s="85"/>
      <c r="S163" s="690"/>
    </row>
    <row r="164" spans="1:19" ht="13">
      <c r="A164" s="865">
        <v>1835</v>
      </c>
      <c r="B164" s="866" t="s">
        <v>191</v>
      </c>
      <c r="C164" s="867" t="s">
        <v>1043</v>
      </c>
      <c r="D164" s="868">
        <v>37</v>
      </c>
      <c r="E164" s="868">
        <v>42</v>
      </c>
      <c r="F164" s="868">
        <v>30</v>
      </c>
      <c r="G164" s="868">
        <v>32</v>
      </c>
      <c r="H164" s="868">
        <v>30</v>
      </c>
      <c r="I164" s="868">
        <v>30</v>
      </c>
      <c r="J164" s="868">
        <v>30</v>
      </c>
      <c r="K164" s="868">
        <v>30</v>
      </c>
      <c r="L164" s="868">
        <v>30</v>
      </c>
      <c r="M164" s="869"/>
      <c r="O164" s="690"/>
      <c r="R164" s="85"/>
      <c r="S164" s="690"/>
    </row>
    <row r="165" spans="1:19" ht="13">
      <c r="A165" s="865">
        <v>1836</v>
      </c>
      <c r="B165" s="866" t="s">
        <v>192</v>
      </c>
      <c r="C165" s="867" t="s">
        <v>1043</v>
      </c>
      <c r="D165" s="868">
        <v>15</v>
      </c>
      <c r="E165" s="868">
        <v>15</v>
      </c>
      <c r="F165" s="868">
        <v>12</v>
      </c>
      <c r="G165" s="868">
        <v>13</v>
      </c>
      <c r="H165" s="868">
        <v>13</v>
      </c>
      <c r="I165" s="868">
        <v>13</v>
      </c>
      <c r="J165" s="868">
        <v>13</v>
      </c>
      <c r="K165" s="868">
        <v>13</v>
      </c>
      <c r="L165" s="868">
        <v>13</v>
      </c>
      <c r="M165" s="869"/>
      <c r="O165" s="690"/>
      <c r="R165" s="85"/>
      <c r="S165" s="690"/>
    </row>
    <row r="166" spans="1:19" ht="13">
      <c r="A166" s="865">
        <v>1837</v>
      </c>
      <c r="B166" s="866" t="s">
        <v>193</v>
      </c>
      <c r="C166" s="867" t="s">
        <v>1043</v>
      </c>
      <c r="D166" s="868">
        <v>29</v>
      </c>
      <c r="E166" s="868">
        <v>20</v>
      </c>
      <c r="F166" s="868">
        <v>19</v>
      </c>
      <c r="G166" s="868">
        <v>20</v>
      </c>
      <c r="H166" s="868">
        <v>20</v>
      </c>
      <c r="I166" s="868">
        <v>20</v>
      </c>
      <c r="J166" s="868">
        <v>20</v>
      </c>
      <c r="K166" s="868">
        <v>20</v>
      </c>
      <c r="L166" s="868">
        <v>20</v>
      </c>
      <c r="M166" s="869"/>
      <c r="O166" s="690"/>
      <c r="R166" s="85"/>
      <c r="S166" s="690"/>
    </row>
    <row r="167" spans="1:19" ht="13">
      <c r="A167" s="865">
        <v>1838</v>
      </c>
      <c r="B167" s="866" t="s">
        <v>194</v>
      </c>
      <c r="C167" s="867" t="s">
        <v>1043</v>
      </c>
      <c r="D167" s="868">
        <v>16</v>
      </c>
      <c r="E167" s="868">
        <v>15</v>
      </c>
      <c r="F167" s="868">
        <v>18</v>
      </c>
      <c r="G167" s="868">
        <v>21</v>
      </c>
      <c r="H167" s="868">
        <v>21</v>
      </c>
      <c r="I167" s="868">
        <v>21</v>
      </c>
      <c r="J167" s="868">
        <v>21</v>
      </c>
      <c r="K167" s="868">
        <v>21</v>
      </c>
      <c r="L167" s="868">
        <v>21</v>
      </c>
      <c r="M167" s="869"/>
      <c r="O167" s="690"/>
      <c r="R167" s="85"/>
      <c r="S167" s="690"/>
    </row>
    <row r="168" spans="1:19" ht="13">
      <c r="A168" s="865">
        <v>1839</v>
      </c>
      <c r="B168" s="866" t="s">
        <v>195</v>
      </c>
      <c r="C168" s="867" t="s">
        <v>1043</v>
      </c>
      <c r="D168" s="868">
        <v>12</v>
      </c>
      <c r="E168" s="868">
        <v>10</v>
      </c>
      <c r="F168" s="868">
        <v>12</v>
      </c>
      <c r="G168" s="868">
        <v>11</v>
      </c>
      <c r="H168" s="868">
        <v>9</v>
      </c>
      <c r="I168" s="868">
        <v>9</v>
      </c>
      <c r="J168" s="868">
        <v>9</v>
      </c>
      <c r="K168" s="868">
        <v>9</v>
      </c>
      <c r="L168" s="868">
        <v>9</v>
      </c>
      <c r="M168" s="869"/>
      <c r="O168" s="690"/>
      <c r="R168" s="85"/>
      <c r="S168" s="690"/>
    </row>
    <row r="169" spans="1:19" ht="13">
      <c r="A169" s="865">
        <v>1840</v>
      </c>
      <c r="B169" s="866" t="s">
        <v>196</v>
      </c>
      <c r="C169" s="867" t="s">
        <v>1043</v>
      </c>
      <c r="D169" s="868">
        <v>26</v>
      </c>
      <c r="E169" s="868">
        <v>23</v>
      </c>
      <c r="F169" s="868">
        <v>26</v>
      </c>
      <c r="G169" s="868">
        <v>27</v>
      </c>
      <c r="H169" s="868">
        <v>28</v>
      </c>
      <c r="I169" s="868">
        <v>28</v>
      </c>
      <c r="J169" s="868">
        <v>28</v>
      </c>
      <c r="K169" s="868">
        <v>28</v>
      </c>
      <c r="L169" s="868">
        <v>28</v>
      </c>
      <c r="M169" s="869"/>
      <c r="O169" s="690"/>
      <c r="R169" s="85"/>
      <c r="S169" s="690"/>
    </row>
    <row r="170" spans="1:19" ht="13">
      <c r="A170" s="865">
        <v>1841</v>
      </c>
      <c r="B170" s="866" t="s">
        <v>197</v>
      </c>
      <c r="C170" s="867" t="s">
        <v>1043</v>
      </c>
      <c r="D170" s="868">
        <v>37</v>
      </c>
      <c r="E170" s="868">
        <v>37</v>
      </c>
      <c r="F170" s="868">
        <v>39</v>
      </c>
      <c r="G170" s="868">
        <v>40</v>
      </c>
      <c r="H170" s="868">
        <v>43</v>
      </c>
      <c r="I170" s="868">
        <v>43</v>
      </c>
      <c r="J170" s="868">
        <v>43</v>
      </c>
      <c r="K170" s="868">
        <v>43</v>
      </c>
      <c r="L170" s="868">
        <v>43</v>
      </c>
      <c r="M170" s="869"/>
      <c r="O170" s="690"/>
      <c r="R170" s="85"/>
      <c r="S170" s="690"/>
    </row>
    <row r="171" spans="1:19" ht="13">
      <c r="A171" s="865">
        <v>1845</v>
      </c>
      <c r="B171" s="866" t="s">
        <v>198</v>
      </c>
      <c r="C171" s="867" t="s">
        <v>1043</v>
      </c>
      <c r="D171" s="868">
        <v>17</v>
      </c>
      <c r="E171" s="868">
        <v>18</v>
      </c>
      <c r="F171" s="868">
        <v>17</v>
      </c>
      <c r="G171" s="868">
        <v>22</v>
      </c>
      <c r="H171" s="868">
        <v>25</v>
      </c>
      <c r="I171" s="868">
        <v>25</v>
      </c>
      <c r="J171" s="868">
        <v>25</v>
      </c>
      <c r="K171" s="868">
        <v>25</v>
      </c>
      <c r="L171" s="868">
        <v>25</v>
      </c>
      <c r="M171" s="869"/>
      <c r="O171" s="690"/>
      <c r="R171" s="85"/>
      <c r="S171" s="690"/>
    </row>
    <row r="172" spans="1:19" ht="13">
      <c r="A172" s="865">
        <v>1848</v>
      </c>
      <c r="B172" s="866" t="s">
        <v>199</v>
      </c>
      <c r="C172" s="867" t="s">
        <v>1043</v>
      </c>
      <c r="D172" s="868">
        <v>8</v>
      </c>
      <c r="E172" s="868">
        <v>8</v>
      </c>
      <c r="F172" s="868">
        <v>6</v>
      </c>
      <c r="G172" s="868">
        <v>9</v>
      </c>
      <c r="H172" s="868">
        <v>16</v>
      </c>
      <c r="I172" s="868">
        <v>16</v>
      </c>
      <c r="J172" s="868">
        <v>16</v>
      </c>
      <c r="K172" s="868">
        <v>16</v>
      </c>
      <c r="L172" s="868">
        <v>16</v>
      </c>
      <c r="M172" s="869"/>
      <c r="O172" s="690"/>
      <c r="R172" s="85"/>
      <c r="S172" s="690"/>
    </row>
    <row r="173" spans="1:19" ht="13">
      <c r="A173" s="857">
        <v>1849</v>
      </c>
      <c r="B173" s="858" t="s">
        <v>1579</v>
      </c>
      <c r="C173" s="859" t="s">
        <v>1043</v>
      </c>
      <c r="D173" s="860">
        <v>16</v>
      </c>
      <c r="E173" s="860">
        <v>17</v>
      </c>
      <c r="F173" s="860">
        <v>19</v>
      </c>
      <c r="G173" s="860">
        <v>20</v>
      </c>
      <c r="H173" s="860">
        <v>20</v>
      </c>
      <c r="I173" s="860"/>
      <c r="J173" s="860"/>
      <c r="K173" s="860"/>
      <c r="L173" s="860"/>
      <c r="M173" s="864"/>
      <c r="O173" s="690"/>
      <c r="R173" s="85"/>
      <c r="S173" s="690"/>
    </row>
    <row r="174" spans="1:19" ht="13">
      <c r="A174" s="857">
        <v>1850</v>
      </c>
      <c r="B174" s="858" t="s">
        <v>1580</v>
      </c>
      <c r="C174" s="859" t="s">
        <v>1043</v>
      </c>
      <c r="D174" s="860">
        <v>3</v>
      </c>
      <c r="E174" s="860">
        <v>3</v>
      </c>
      <c r="F174" s="860">
        <v>5</v>
      </c>
      <c r="G174" s="860">
        <v>4</v>
      </c>
      <c r="H174" s="860">
        <v>3</v>
      </c>
      <c r="I174" s="860"/>
      <c r="J174" s="860"/>
      <c r="K174" s="860"/>
      <c r="L174" s="860"/>
      <c r="M174" s="864"/>
      <c r="O174" s="690"/>
      <c r="R174" s="85"/>
      <c r="S174" s="690"/>
    </row>
    <row r="175" spans="1:19" ht="13">
      <c r="A175" s="865">
        <v>1851</v>
      </c>
      <c r="B175" s="866" t="s">
        <v>202</v>
      </c>
      <c r="C175" s="867" t="s">
        <v>1043</v>
      </c>
      <c r="D175" s="868">
        <v>10</v>
      </c>
      <c r="E175" s="868">
        <v>5</v>
      </c>
      <c r="F175" s="868">
        <v>3</v>
      </c>
      <c r="G175" s="868">
        <v>6</v>
      </c>
      <c r="H175" s="868">
        <v>7</v>
      </c>
      <c r="I175" s="868">
        <v>7</v>
      </c>
      <c r="J175" s="868">
        <v>7</v>
      </c>
      <c r="K175" s="868">
        <v>7</v>
      </c>
      <c r="L175" s="868">
        <v>7</v>
      </c>
      <c r="M175" s="869"/>
      <c r="O175" s="690"/>
      <c r="R175" s="85"/>
      <c r="S175" s="690"/>
    </row>
    <row r="176" spans="1:19" ht="13">
      <c r="A176" s="857">
        <v>1852</v>
      </c>
      <c r="B176" s="858" t="s">
        <v>1581</v>
      </c>
      <c r="C176" s="859" t="s">
        <v>1043</v>
      </c>
      <c r="D176" s="860">
        <v>22</v>
      </c>
      <c r="E176" s="860">
        <v>19</v>
      </c>
      <c r="F176" s="860">
        <v>23</v>
      </c>
      <c r="G176" s="860">
        <v>25</v>
      </c>
      <c r="H176" s="860">
        <v>24</v>
      </c>
      <c r="I176" s="860"/>
      <c r="J176" s="860"/>
      <c r="K176" s="860"/>
      <c r="L176" s="860"/>
      <c r="M176" s="864"/>
      <c r="O176" s="690"/>
      <c r="R176" s="85"/>
      <c r="S176" s="690"/>
    </row>
    <row r="177" spans="1:19" ht="13">
      <c r="A177" s="865">
        <v>1853</v>
      </c>
      <c r="B177" s="866" t="s">
        <v>204</v>
      </c>
      <c r="C177" s="867" t="s">
        <v>1043</v>
      </c>
      <c r="D177" s="868">
        <v>16</v>
      </c>
      <c r="E177" s="868">
        <v>21</v>
      </c>
      <c r="F177" s="868">
        <v>23</v>
      </c>
      <c r="G177" s="868">
        <v>27</v>
      </c>
      <c r="H177" s="868">
        <v>25</v>
      </c>
      <c r="I177" s="868">
        <v>25</v>
      </c>
      <c r="J177" s="868">
        <v>25</v>
      </c>
      <c r="K177" s="868">
        <v>25</v>
      </c>
      <c r="L177" s="868">
        <v>25</v>
      </c>
      <c r="M177" s="869"/>
      <c r="O177" s="690"/>
      <c r="R177" s="85"/>
      <c r="S177" s="690"/>
    </row>
    <row r="178" spans="1:19" ht="13">
      <c r="A178" s="857">
        <v>1854</v>
      </c>
      <c r="B178" s="858" t="s">
        <v>1582</v>
      </c>
      <c r="C178" s="859" t="s">
        <v>1043</v>
      </c>
      <c r="D178" s="860">
        <v>19</v>
      </c>
      <c r="E178" s="860">
        <v>17</v>
      </c>
      <c r="F178" s="860">
        <v>15</v>
      </c>
      <c r="G178" s="860">
        <v>15</v>
      </c>
      <c r="H178" s="860">
        <v>15</v>
      </c>
      <c r="I178" s="860"/>
      <c r="J178" s="860"/>
      <c r="K178" s="860"/>
      <c r="L178" s="860"/>
      <c r="M178" s="864"/>
      <c r="O178" s="690"/>
      <c r="R178" s="85"/>
      <c r="S178" s="690"/>
    </row>
    <row r="179" spans="1:19" ht="13">
      <c r="A179" s="865">
        <v>1856</v>
      </c>
      <c r="B179" s="866" t="s">
        <v>206</v>
      </c>
      <c r="C179" s="867" t="s">
        <v>1043</v>
      </c>
      <c r="D179" s="868">
        <v>21</v>
      </c>
      <c r="E179" s="868">
        <v>18</v>
      </c>
      <c r="F179" s="868">
        <v>15</v>
      </c>
      <c r="G179" s="868">
        <v>18</v>
      </c>
      <c r="H179" s="868">
        <v>20</v>
      </c>
      <c r="I179" s="868">
        <v>20</v>
      </c>
      <c r="J179" s="868">
        <v>20</v>
      </c>
      <c r="K179" s="868">
        <v>20</v>
      </c>
      <c r="L179" s="868">
        <v>20</v>
      </c>
      <c r="M179" s="869"/>
      <c r="O179" s="690"/>
      <c r="R179" s="85"/>
      <c r="S179" s="690"/>
    </row>
    <row r="180" spans="1:19" ht="13">
      <c r="A180" s="865">
        <v>1857</v>
      </c>
      <c r="B180" s="866" t="s">
        <v>207</v>
      </c>
      <c r="C180" s="867" t="s">
        <v>1043</v>
      </c>
      <c r="D180" s="868">
        <v>26</v>
      </c>
      <c r="E180" s="868">
        <v>33</v>
      </c>
      <c r="F180" s="868">
        <v>35</v>
      </c>
      <c r="G180" s="868">
        <v>23</v>
      </c>
      <c r="H180" s="868">
        <v>27</v>
      </c>
      <c r="I180" s="868">
        <v>27</v>
      </c>
      <c r="J180" s="868">
        <v>27</v>
      </c>
      <c r="K180" s="868">
        <v>27</v>
      </c>
      <c r="L180" s="868">
        <v>27</v>
      </c>
      <c r="M180" s="869"/>
      <c r="O180" s="690"/>
      <c r="R180" s="85"/>
      <c r="S180" s="690"/>
    </row>
    <row r="181" spans="1:19" ht="13">
      <c r="A181" s="865">
        <v>1859</v>
      </c>
      <c r="B181" s="866" t="s">
        <v>208</v>
      </c>
      <c r="C181" s="867" t="s">
        <v>1043</v>
      </c>
      <c r="D181" s="868">
        <v>17</v>
      </c>
      <c r="E181" s="868">
        <v>11</v>
      </c>
      <c r="F181" s="868">
        <v>11</v>
      </c>
      <c r="G181" s="868">
        <v>16</v>
      </c>
      <c r="H181" s="868">
        <v>16</v>
      </c>
      <c r="I181" s="868">
        <v>16</v>
      </c>
      <c r="J181" s="868">
        <v>16</v>
      </c>
      <c r="K181" s="868">
        <v>16</v>
      </c>
      <c r="L181" s="868">
        <v>16</v>
      </c>
      <c r="M181" s="869"/>
      <c r="O181" s="690"/>
      <c r="R181" s="85"/>
      <c r="S181" s="690"/>
    </row>
    <row r="182" spans="1:19" ht="13">
      <c r="A182" s="865">
        <v>1860</v>
      </c>
      <c r="B182" s="866" t="s">
        <v>209</v>
      </c>
      <c r="C182" s="867" t="s">
        <v>1043</v>
      </c>
      <c r="D182" s="868">
        <v>36</v>
      </c>
      <c r="E182" s="868">
        <v>37</v>
      </c>
      <c r="F182" s="868">
        <v>37</v>
      </c>
      <c r="G182" s="868">
        <v>35</v>
      </c>
      <c r="H182" s="868">
        <v>38</v>
      </c>
      <c r="I182" s="868">
        <v>38</v>
      </c>
      <c r="J182" s="868">
        <v>38</v>
      </c>
      <c r="K182" s="868">
        <v>38</v>
      </c>
      <c r="L182" s="868">
        <v>38</v>
      </c>
      <c r="M182" s="869"/>
      <c r="O182" s="690"/>
      <c r="R182" s="85"/>
      <c r="S182" s="690"/>
    </row>
    <row r="183" spans="1:19" ht="13">
      <c r="A183" s="865">
        <v>1865</v>
      </c>
      <c r="B183" s="866" t="s">
        <v>210</v>
      </c>
      <c r="C183" s="867" t="s">
        <v>1043</v>
      </c>
      <c r="D183" s="868">
        <v>36</v>
      </c>
      <c r="E183" s="868">
        <v>36</v>
      </c>
      <c r="F183" s="868">
        <v>38</v>
      </c>
      <c r="G183" s="868">
        <v>40</v>
      </c>
      <c r="H183" s="868">
        <v>40</v>
      </c>
      <c r="I183" s="868">
        <v>40</v>
      </c>
      <c r="J183" s="868">
        <v>40</v>
      </c>
      <c r="K183" s="868">
        <v>40</v>
      </c>
      <c r="L183" s="868">
        <v>40</v>
      </c>
      <c r="M183" s="869"/>
      <c r="O183" s="690"/>
      <c r="R183" s="85"/>
      <c r="S183" s="690"/>
    </row>
    <row r="184" spans="1:19" ht="13">
      <c r="A184" s="865">
        <v>1866</v>
      </c>
      <c r="B184" s="866" t="s">
        <v>211</v>
      </c>
      <c r="C184" s="867" t="s">
        <v>1043</v>
      </c>
      <c r="D184" s="868">
        <v>31</v>
      </c>
      <c r="E184" s="868">
        <v>29</v>
      </c>
      <c r="F184" s="868">
        <v>28</v>
      </c>
      <c r="G184" s="868">
        <v>27</v>
      </c>
      <c r="H184" s="868">
        <v>26</v>
      </c>
      <c r="I184" s="868">
        <v>26</v>
      </c>
      <c r="J184" s="868">
        <v>26</v>
      </c>
      <c r="K184" s="868">
        <v>26</v>
      </c>
      <c r="L184" s="868">
        <v>26</v>
      </c>
      <c r="M184" s="869"/>
      <c r="O184" s="690"/>
      <c r="R184" s="85"/>
      <c r="S184" s="690"/>
    </row>
    <row r="185" spans="1:19" ht="13">
      <c r="A185" s="865">
        <v>1867</v>
      </c>
      <c r="B185" s="866" t="s">
        <v>913</v>
      </c>
      <c r="C185" s="867" t="s">
        <v>1043</v>
      </c>
      <c r="D185" s="868">
        <v>7</v>
      </c>
      <c r="E185" s="868">
        <v>7</v>
      </c>
      <c r="F185" s="868">
        <v>7</v>
      </c>
      <c r="G185" s="868">
        <v>7</v>
      </c>
      <c r="H185" s="868">
        <v>7</v>
      </c>
      <c r="I185" s="868">
        <v>7</v>
      </c>
      <c r="J185" s="868">
        <v>7</v>
      </c>
      <c r="K185" s="868">
        <v>7</v>
      </c>
      <c r="L185" s="868">
        <v>7</v>
      </c>
      <c r="M185" s="869"/>
      <c r="O185" s="690"/>
      <c r="R185" s="85"/>
      <c r="S185" s="690"/>
    </row>
    <row r="186" spans="1:19" ht="13">
      <c r="A186" s="865">
        <v>1868</v>
      </c>
      <c r="B186" s="866" t="s">
        <v>212</v>
      </c>
      <c r="C186" s="867" t="s">
        <v>1043</v>
      </c>
      <c r="D186" s="868">
        <v>27</v>
      </c>
      <c r="E186" s="868">
        <v>25</v>
      </c>
      <c r="F186" s="868">
        <v>25</v>
      </c>
      <c r="G186" s="868">
        <v>23</v>
      </c>
      <c r="H186" s="868">
        <v>25</v>
      </c>
      <c r="I186" s="868">
        <v>25</v>
      </c>
      <c r="J186" s="868">
        <v>25</v>
      </c>
      <c r="K186" s="868">
        <v>25</v>
      </c>
      <c r="L186" s="868">
        <v>25</v>
      </c>
      <c r="M186" s="869"/>
      <c r="O186" s="690"/>
      <c r="R186" s="85"/>
      <c r="S186" s="690"/>
    </row>
    <row r="187" spans="1:19" ht="13">
      <c r="A187" s="865">
        <v>1870</v>
      </c>
      <c r="B187" s="866" t="s">
        <v>213</v>
      </c>
      <c r="C187" s="867" t="s">
        <v>1043</v>
      </c>
      <c r="D187" s="868">
        <v>39</v>
      </c>
      <c r="E187" s="868">
        <v>38</v>
      </c>
      <c r="F187" s="868">
        <v>35</v>
      </c>
      <c r="G187" s="868">
        <v>37</v>
      </c>
      <c r="H187" s="868">
        <v>37</v>
      </c>
      <c r="I187" s="868">
        <v>37</v>
      </c>
      <c r="J187" s="868">
        <v>37</v>
      </c>
      <c r="K187" s="868">
        <v>37</v>
      </c>
      <c r="L187" s="868">
        <v>37</v>
      </c>
      <c r="M187" s="869"/>
      <c r="O187" s="690"/>
      <c r="R187" s="85"/>
      <c r="S187" s="690"/>
    </row>
    <row r="188" spans="1:19" ht="13">
      <c r="A188" s="865">
        <v>1871</v>
      </c>
      <c r="B188" s="866" t="s">
        <v>214</v>
      </c>
      <c r="C188" s="867" t="s">
        <v>1043</v>
      </c>
      <c r="D188" s="868">
        <v>14</v>
      </c>
      <c r="E188" s="868">
        <v>14</v>
      </c>
      <c r="F188" s="868">
        <v>16</v>
      </c>
      <c r="G188" s="868">
        <v>15</v>
      </c>
      <c r="H188" s="868">
        <v>12</v>
      </c>
      <c r="I188" s="868">
        <v>12</v>
      </c>
      <c r="J188" s="868">
        <v>12</v>
      </c>
      <c r="K188" s="868">
        <v>12</v>
      </c>
      <c r="L188" s="868">
        <v>12</v>
      </c>
      <c r="M188" s="869"/>
      <c r="O188" s="690"/>
      <c r="R188" s="85"/>
      <c r="S188" s="690"/>
    </row>
    <row r="189" spans="1:19" ht="13">
      <c r="A189" s="865">
        <v>1874</v>
      </c>
      <c r="B189" s="866" t="s">
        <v>215</v>
      </c>
      <c r="C189" s="867" t="s">
        <v>1043</v>
      </c>
      <c r="D189" s="868">
        <v>9</v>
      </c>
      <c r="E189" s="868">
        <v>11</v>
      </c>
      <c r="F189" s="868">
        <v>9</v>
      </c>
      <c r="G189" s="868">
        <v>11</v>
      </c>
      <c r="H189" s="868">
        <v>7</v>
      </c>
      <c r="I189" s="868">
        <v>7</v>
      </c>
      <c r="J189" s="868">
        <v>7</v>
      </c>
      <c r="K189" s="868">
        <v>7</v>
      </c>
      <c r="L189" s="868">
        <v>7</v>
      </c>
      <c r="M189" s="869"/>
      <c r="O189" s="690"/>
      <c r="R189" s="85"/>
      <c r="S189" s="690"/>
    </row>
    <row r="190" spans="1:19" ht="13">
      <c r="A190" s="878">
        <v>1875</v>
      </c>
      <c r="B190" s="883" t="s">
        <v>1617</v>
      </c>
      <c r="C190" s="880"/>
      <c r="D190" s="881"/>
      <c r="E190" s="881"/>
      <c r="F190" s="881"/>
      <c r="G190" s="881"/>
      <c r="H190" s="881"/>
      <c r="I190" s="881">
        <v>14</v>
      </c>
      <c r="J190" s="881">
        <v>14</v>
      </c>
      <c r="K190" s="881">
        <v>14</v>
      </c>
      <c r="L190" s="881">
        <v>14</v>
      </c>
      <c r="M190" s="882"/>
      <c r="O190" s="690"/>
      <c r="R190" s="85"/>
      <c r="S190" s="690"/>
    </row>
    <row r="191" spans="1:19" ht="13">
      <c r="A191" s="857">
        <v>1901</v>
      </c>
      <c r="B191" s="858" t="s">
        <v>1583</v>
      </c>
      <c r="C191" s="859" t="s">
        <v>1043</v>
      </c>
      <c r="D191" s="862"/>
      <c r="E191" s="862"/>
      <c r="F191" s="862"/>
      <c r="G191" s="862"/>
      <c r="H191" s="862"/>
      <c r="I191" s="862"/>
      <c r="J191" s="862"/>
      <c r="K191" s="862"/>
      <c r="L191" s="862"/>
      <c r="M191" s="864"/>
      <c r="O191" s="690"/>
      <c r="R191" s="85"/>
      <c r="S191" s="690"/>
    </row>
    <row r="192" spans="1:19" ht="13">
      <c r="A192" s="857">
        <v>1913</v>
      </c>
      <c r="B192" s="858" t="s">
        <v>1584</v>
      </c>
      <c r="C192" s="859" t="s">
        <v>1043</v>
      </c>
      <c r="D192" s="860">
        <v>26</v>
      </c>
      <c r="E192" s="860">
        <v>26</v>
      </c>
      <c r="F192" s="860">
        <v>29</v>
      </c>
      <c r="G192" s="860">
        <v>33</v>
      </c>
      <c r="H192" s="860">
        <v>36</v>
      </c>
      <c r="I192" s="860"/>
      <c r="J192" s="860"/>
      <c r="K192" s="860"/>
      <c r="L192" s="860"/>
      <c r="M192" s="864"/>
      <c r="O192" s="690"/>
      <c r="R192" s="85"/>
      <c r="S192" s="690"/>
    </row>
    <row r="193" spans="1:19" ht="13">
      <c r="A193" s="857">
        <v>1915</v>
      </c>
      <c r="B193" s="858" t="s">
        <v>1585</v>
      </c>
      <c r="C193" s="859" t="s">
        <v>1043</v>
      </c>
      <c r="D193" s="860"/>
      <c r="E193" s="860"/>
      <c r="F193" s="860"/>
      <c r="G193" s="860"/>
      <c r="H193" s="860"/>
      <c r="I193" s="860"/>
      <c r="J193" s="860"/>
      <c r="K193" s="860"/>
      <c r="L193" s="860"/>
      <c r="M193" s="864"/>
    </row>
    <row r="194" spans="1:19" ht="13">
      <c r="A194" s="857">
        <v>1927</v>
      </c>
      <c r="B194" s="858" t="s">
        <v>1586</v>
      </c>
      <c r="C194" s="859" t="s">
        <v>1043</v>
      </c>
      <c r="D194" s="860">
        <v>8</v>
      </c>
      <c r="E194" s="860">
        <v>11</v>
      </c>
      <c r="F194" s="860">
        <v>16</v>
      </c>
      <c r="G194" s="860">
        <v>15</v>
      </c>
      <c r="H194" s="860">
        <v>14</v>
      </c>
      <c r="I194" s="860"/>
      <c r="J194" s="860"/>
      <c r="K194" s="860"/>
      <c r="L194" s="860"/>
      <c r="M194" s="864"/>
      <c r="O194" s="690"/>
      <c r="R194" s="85"/>
      <c r="S194" s="690"/>
    </row>
    <row r="195" spans="1:19" ht="13">
      <c r="A195" s="857">
        <v>1928</v>
      </c>
      <c r="B195" s="858" t="s">
        <v>1587</v>
      </c>
      <c r="C195" s="859" t="s">
        <v>1043</v>
      </c>
      <c r="D195" s="860">
        <v>4</v>
      </c>
      <c r="E195" s="860">
        <v>5</v>
      </c>
      <c r="F195" s="860">
        <v>3</v>
      </c>
      <c r="G195" s="860">
        <v>1</v>
      </c>
      <c r="H195" s="860">
        <v>5</v>
      </c>
      <c r="I195" s="860"/>
      <c r="J195" s="860"/>
      <c r="K195" s="860"/>
      <c r="L195" s="860"/>
      <c r="M195" s="864"/>
      <c r="O195" s="690"/>
      <c r="R195" s="85"/>
      <c r="S195" s="690"/>
    </row>
    <row r="196" spans="1:19" ht="13">
      <c r="A196" s="857">
        <v>1929</v>
      </c>
      <c r="B196" s="858" t="s">
        <v>1588</v>
      </c>
      <c r="C196" s="859" t="s">
        <v>1043</v>
      </c>
      <c r="D196" s="860">
        <v>16</v>
      </c>
      <c r="E196" s="860">
        <v>15</v>
      </c>
      <c r="F196" s="860">
        <v>16</v>
      </c>
      <c r="G196" s="860">
        <v>14</v>
      </c>
      <c r="H196" s="860">
        <v>17</v>
      </c>
      <c r="I196" s="860"/>
      <c r="J196" s="860"/>
      <c r="K196" s="860"/>
      <c r="L196" s="860"/>
      <c r="M196" s="864"/>
      <c r="O196" s="690"/>
      <c r="R196" s="85"/>
      <c r="S196" s="690"/>
    </row>
    <row r="197" spans="1:19" ht="13">
      <c r="A197" s="857">
        <v>1931</v>
      </c>
      <c r="B197" s="858" t="s">
        <v>1589</v>
      </c>
      <c r="C197" s="859" t="s">
        <v>1043</v>
      </c>
      <c r="D197" s="860">
        <v>36</v>
      </c>
      <c r="E197" s="860">
        <v>37</v>
      </c>
      <c r="F197" s="860">
        <v>35</v>
      </c>
      <c r="G197" s="860">
        <v>39</v>
      </c>
      <c r="H197" s="860">
        <v>42</v>
      </c>
      <c r="I197" s="860"/>
      <c r="J197" s="860"/>
      <c r="K197" s="860"/>
      <c r="L197" s="860"/>
      <c r="M197" s="864"/>
      <c r="O197" s="690"/>
      <c r="R197" s="85"/>
      <c r="S197" s="690"/>
    </row>
    <row r="198" spans="1:19" ht="13">
      <c r="A198" s="857">
        <v>2004</v>
      </c>
      <c r="B198" s="858" t="s">
        <v>1590</v>
      </c>
      <c r="C198" s="859" t="s">
        <v>1045</v>
      </c>
      <c r="D198" s="860">
        <v>60</v>
      </c>
      <c r="E198" s="860">
        <v>59</v>
      </c>
      <c r="F198" s="860">
        <v>56</v>
      </c>
      <c r="G198" s="860">
        <v>55</v>
      </c>
      <c r="H198" s="860">
        <v>55</v>
      </c>
      <c r="I198" s="860"/>
      <c r="J198" s="860"/>
      <c r="K198" s="860"/>
      <c r="L198" s="860"/>
      <c r="M198" s="864"/>
      <c r="O198" s="690"/>
      <c r="R198" s="85"/>
      <c r="S198" s="690"/>
    </row>
    <row r="199" spans="1:19" ht="13">
      <c r="A199" s="857">
        <v>2017</v>
      </c>
      <c r="B199" s="858" t="s">
        <v>1591</v>
      </c>
      <c r="C199" s="859" t="s">
        <v>1045</v>
      </c>
      <c r="D199" s="860">
        <v>16</v>
      </c>
      <c r="E199" s="860">
        <v>18</v>
      </c>
      <c r="F199" s="860">
        <v>21</v>
      </c>
      <c r="G199" s="860">
        <v>27</v>
      </c>
      <c r="H199" s="860">
        <v>25</v>
      </c>
      <c r="I199" s="860"/>
      <c r="J199" s="860"/>
      <c r="K199" s="860"/>
      <c r="L199" s="860"/>
      <c r="M199" s="864"/>
      <c r="O199" s="690"/>
      <c r="R199" s="85"/>
      <c r="S199" s="690"/>
    </row>
    <row r="200" spans="1:19" ht="13">
      <c r="A200" s="865">
        <v>3001</v>
      </c>
      <c r="B200" s="866" t="s">
        <v>783</v>
      </c>
      <c r="C200" s="874" t="s">
        <v>1041</v>
      </c>
      <c r="D200" s="875">
        <v>53</v>
      </c>
      <c r="E200" s="875">
        <v>52</v>
      </c>
      <c r="F200" s="875">
        <v>53</v>
      </c>
      <c r="G200" s="875">
        <v>52</v>
      </c>
      <c r="H200" s="875">
        <v>52</v>
      </c>
      <c r="I200" s="875">
        <v>52</v>
      </c>
      <c r="J200" s="875">
        <v>52</v>
      </c>
      <c r="K200" s="875">
        <v>52</v>
      </c>
      <c r="L200" s="875">
        <v>52</v>
      </c>
      <c r="M200" s="869">
        <v>2500</v>
      </c>
      <c r="O200" s="690"/>
      <c r="R200" s="85"/>
      <c r="S200" s="690"/>
    </row>
    <row r="201" spans="1:19" ht="13">
      <c r="A201" s="878">
        <v>3002</v>
      </c>
      <c r="B201" s="879" t="s">
        <v>1618</v>
      </c>
      <c r="C201" s="880"/>
      <c r="D201" s="881"/>
      <c r="E201" s="881"/>
      <c r="F201" s="881"/>
      <c r="G201" s="881"/>
      <c r="H201" s="881"/>
      <c r="I201" s="881">
        <v>66</v>
      </c>
      <c r="J201" s="881">
        <v>66</v>
      </c>
      <c r="K201" s="881">
        <v>66</v>
      </c>
      <c r="L201" s="881">
        <v>66</v>
      </c>
      <c r="M201" s="882"/>
      <c r="O201" s="690"/>
      <c r="R201" s="85"/>
      <c r="S201" s="690"/>
    </row>
    <row r="202" spans="1:19" ht="13">
      <c r="A202" s="865">
        <v>3003</v>
      </c>
      <c r="B202" s="876" t="s">
        <v>785</v>
      </c>
      <c r="C202" s="867" t="s">
        <v>1041</v>
      </c>
      <c r="D202" s="868">
        <v>68</v>
      </c>
      <c r="E202" s="868">
        <v>66</v>
      </c>
      <c r="F202" s="868">
        <v>65</v>
      </c>
      <c r="G202" s="868">
        <v>70</v>
      </c>
      <c r="H202" s="868">
        <v>70</v>
      </c>
      <c r="I202" s="868">
        <v>70</v>
      </c>
      <c r="J202" s="868">
        <v>70</v>
      </c>
      <c r="K202" s="868">
        <v>70</v>
      </c>
      <c r="L202" s="868">
        <v>70</v>
      </c>
      <c r="M202" s="869">
        <v>4000</v>
      </c>
      <c r="O202" s="690"/>
      <c r="R202" s="85"/>
      <c r="S202" s="690"/>
    </row>
    <row r="203" spans="1:19" ht="13">
      <c r="A203" s="865">
        <v>3004</v>
      </c>
      <c r="B203" s="876" t="s">
        <v>786</v>
      </c>
      <c r="C203" s="867" t="s">
        <v>1041</v>
      </c>
      <c r="D203" s="868">
        <v>69</v>
      </c>
      <c r="E203" s="868">
        <v>69</v>
      </c>
      <c r="F203" s="868">
        <v>68</v>
      </c>
      <c r="G203" s="868">
        <v>65</v>
      </c>
      <c r="H203" s="868">
        <v>66</v>
      </c>
      <c r="I203" s="868">
        <v>66</v>
      </c>
      <c r="J203" s="868">
        <v>66</v>
      </c>
      <c r="K203" s="868">
        <v>66</v>
      </c>
      <c r="L203" s="868">
        <v>66</v>
      </c>
      <c r="M203" s="869">
        <v>6500</v>
      </c>
      <c r="O203" s="690"/>
      <c r="R203" s="85"/>
      <c r="S203" s="690"/>
    </row>
    <row r="204" spans="1:19" ht="13">
      <c r="A204" s="878">
        <v>3005</v>
      </c>
      <c r="B204" s="879" t="s">
        <v>1619</v>
      </c>
      <c r="C204" s="880"/>
      <c r="D204" s="881"/>
      <c r="E204" s="881"/>
      <c r="F204" s="881"/>
      <c r="G204" s="881"/>
      <c r="H204" s="881"/>
      <c r="I204" s="881">
        <v>79</v>
      </c>
      <c r="J204" s="881">
        <v>79</v>
      </c>
      <c r="K204" s="881">
        <v>79</v>
      </c>
      <c r="L204" s="881">
        <v>79</v>
      </c>
      <c r="M204" s="882"/>
      <c r="O204" s="690"/>
      <c r="R204" s="85"/>
      <c r="S204" s="690"/>
    </row>
    <row r="205" spans="1:19" ht="13">
      <c r="A205" s="865">
        <v>3006</v>
      </c>
      <c r="B205" s="866" t="s">
        <v>872</v>
      </c>
      <c r="C205" s="867" t="s">
        <v>1041</v>
      </c>
      <c r="D205" s="868">
        <v>75</v>
      </c>
      <c r="E205" s="868">
        <v>75</v>
      </c>
      <c r="F205" s="868">
        <v>74</v>
      </c>
      <c r="G205" s="868">
        <v>74</v>
      </c>
      <c r="H205" s="868">
        <v>70</v>
      </c>
      <c r="I205" s="868">
        <v>70</v>
      </c>
      <c r="J205" s="868">
        <v>70</v>
      </c>
      <c r="K205" s="868">
        <v>70</v>
      </c>
      <c r="L205" s="868">
        <v>70</v>
      </c>
      <c r="M205" s="869"/>
      <c r="O205" s="690"/>
      <c r="R205" s="85"/>
      <c r="S205" s="690"/>
    </row>
    <row r="206" spans="1:19" ht="13">
      <c r="A206" s="865">
        <v>3007</v>
      </c>
      <c r="B206" s="866" t="s">
        <v>873</v>
      </c>
      <c r="C206" s="867" t="s">
        <v>1041</v>
      </c>
      <c r="D206" s="868">
        <v>52</v>
      </c>
      <c r="E206" s="868">
        <v>50</v>
      </c>
      <c r="F206" s="868">
        <v>49</v>
      </c>
      <c r="G206" s="868">
        <v>49</v>
      </c>
      <c r="H206" s="868">
        <v>50</v>
      </c>
      <c r="I206" s="868">
        <v>50</v>
      </c>
      <c r="J206" s="868">
        <v>50</v>
      </c>
      <c r="K206" s="868">
        <v>50</v>
      </c>
      <c r="L206" s="868">
        <v>50</v>
      </c>
      <c r="M206" s="869">
        <v>2200</v>
      </c>
      <c r="O206" s="690"/>
      <c r="R206" s="85"/>
      <c r="S206" s="690"/>
    </row>
    <row r="207" spans="1:19" ht="13">
      <c r="A207" s="865">
        <v>3011</v>
      </c>
      <c r="B207" s="866" t="s">
        <v>787</v>
      </c>
      <c r="C207" s="874" t="s">
        <v>1041</v>
      </c>
      <c r="D207" s="875">
        <v>69</v>
      </c>
      <c r="E207" s="875">
        <v>70</v>
      </c>
      <c r="F207" s="875">
        <v>69</v>
      </c>
      <c r="G207" s="875">
        <v>68</v>
      </c>
      <c r="H207" s="875">
        <v>67</v>
      </c>
      <c r="I207" s="875">
        <v>67</v>
      </c>
      <c r="J207" s="875">
        <v>67</v>
      </c>
      <c r="K207" s="875">
        <v>67</v>
      </c>
      <c r="L207" s="875">
        <v>67</v>
      </c>
      <c r="M207" s="869">
        <v>200</v>
      </c>
      <c r="O207" s="690"/>
      <c r="R207" s="85"/>
      <c r="S207" s="690"/>
    </row>
    <row r="208" spans="1:19" ht="13">
      <c r="A208" s="865">
        <v>3012</v>
      </c>
      <c r="B208" s="866" t="s">
        <v>788</v>
      </c>
      <c r="C208" s="874" t="s">
        <v>1042</v>
      </c>
      <c r="D208" s="875">
        <v>38</v>
      </c>
      <c r="E208" s="875">
        <v>36</v>
      </c>
      <c r="F208" s="875">
        <v>37</v>
      </c>
      <c r="G208" s="875">
        <v>34</v>
      </c>
      <c r="H208" s="875">
        <v>33</v>
      </c>
      <c r="I208" s="875">
        <v>33</v>
      </c>
      <c r="J208" s="875">
        <v>33</v>
      </c>
      <c r="K208" s="875">
        <v>33</v>
      </c>
      <c r="L208" s="875">
        <v>33</v>
      </c>
      <c r="M208" s="869">
        <v>0</v>
      </c>
      <c r="O208" s="690"/>
      <c r="R208" s="85"/>
      <c r="S208" s="690"/>
    </row>
    <row r="209" spans="1:19" ht="13">
      <c r="A209" s="865">
        <v>3013</v>
      </c>
      <c r="B209" s="866" t="s">
        <v>789</v>
      </c>
      <c r="C209" s="874" t="s">
        <v>1042</v>
      </c>
      <c r="D209" s="875">
        <v>43</v>
      </c>
      <c r="E209" s="875">
        <v>41</v>
      </c>
      <c r="F209" s="875">
        <v>40</v>
      </c>
      <c r="G209" s="875">
        <v>36</v>
      </c>
      <c r="H209" s="875">
        <v>34</v>
      </c>
      <c r="I209" s="875">
        <v>34</v>
      </c>
      <c r="J209" s="875">
        <v>34</v>
      </c>
      <c r="K209" s="875">
        <v>34</v>
      </c>
      <c r="L209" s="875">
        <v>34</v>
      </c>
      <c r="M209" s="869">
        <v>200</v>
      </c>
      <c r="O209" s="690"/>
      <c r="R209" s="85"/>
      <c r="S209" s="690"/>
    </row>
    <row r="210" spans="1:19" ht="13">
      <c r="A210" s="878">
        <v>3014</v>
      </c>
      <c r="B210" s="879" t="s">
        <v>1620</v>
      </c>
      <c r="C210" s="880"/>
      <c r="D210" s="881"/>
      <c r="E210" s="881"/>
      <c r="F210" s="881"/>
      <c r="G210" s="881"/>
      <c r="H210" s="881"/>
      <c r="I210" s="881">
        <v>60</v>
      </c>
      <c r="J210" s="881">
        <v>60</v>
      </c>
      <c r="K210" s="881">
        <v>60</v>
      </c>
      <c r="L210" s="881">
        <v>60</v>
      </c>
      <c r="M210" s="882"/>
      <c r="O210" s="690"/>
      <c r="R210" s="85"/>
      <c r="S210" s="690"/>
    </row>
    <row r="211" spans="1:19" ht="13">
      <c r="A211" s="865">
        <v>3015</v>
      </c>
      <c r="B211" s="876" t="s">
        <v>2369</v>
      </c>
      <c r="C211" s="867" t="s">
        <v>1041</v>
      </c>
      <c r="D211" s="868">
        <v>67</v>
      </c>
      <c r="E211" s="868">
        <v>64</v>
      </c>
      <c r="F211" s="868">
        <v>58</v>
      </c>
      <c r="G211" s="868">
        <v>59</v>
      </c>
      <c r="H211" s="868">
        <v>61</v>
      </c>
      <c r="I211" s="868">
        <v>61</v>
      </c>
      <c r="J211" s="868">
        <v>61</v>
      </c>
      <c r="K211" s="868">
        <v>61</v>
      </c>
      <c r="L211" s="868">
        <v>61</v>
      </c>
      <c r="M211" s="869">
        <v>100</v>
      </c>
      <c r="O211" s="690"/>
      <c r="R211" s="85"/>
      <c r="S211" s="690"/>
    </row>
    <row r="212" spans="1:19" ht="13">
      <c r="A212" s="865">
        <v>3016</v>
      </c>
      <c r="B212" s="876" t="s">
        <v>796</v>
      </c>
      <c r="C212" s="867" t="s">
        <v>1041</v>
      </c>
      <c r="D212" s="868">
        <v>62</v>
      </c>
      <c r="E212" s="868">
        <v>63</v>
      </c>
      <c r="F212" s="868">
        <v>59</v>
      </c>
      <c r="G212" s="868">
        <v>56</v>
      </c>
      <c r="H212" s="868">
        <v>58</v>
      </c>
      <c r="I212" s="868">
        <v>58</v>
      </c>
      <c r="J212" s="868">
        <v>58</v>
      </c>
      <c r="K212" s="868">
        <v>58</v>
      </c>
      <c r="L212" s="868">
        <v>58</v>
      </c>
      <c r="M212" s="869">
        <v>500</v>
      </c>
      <c r="O212" s="690"/>
      <c r="R212" s="85"/>
      <c r="S212" s="690"/>
    </row>
    <row r="213" spans="1:19" ht="13">
      <c r="A213" s="865">
        <v>3017</v>
      </c>
      <c r="B213" s="876" t="s">
        <v>797</v>
      </c>
      <c r="C213" s="867" t="s">
        <v>1041</v>
      </c>
      <c r="D213" s="868">
        <v>74</v>
      </c>
      <c r="E213" s="868">
        <v>73</v>
      </c>
      <c r="F213" s="868">
        <v>72</v>
      </c>
      <c r="G213" s="868">
        <v>72</v>
      </c>
      <c r="H213" s="868">
        <v>71</v>
      </c>
      <c r="I213" s="868">
        <v>71</v>
      </c>
      <c r="J213" s="868">
        <v>71</v>
      </c>
      <c r="K213" s="868">
        <v>71</v>
      </c>
      <c r="L213" s="868">
        <v>71</v>
      </c>
      <c r="M213" s="869">
        <v>500</v>
      </c>
      <c r="O213" s="690"/>
      <c r="R213" s="85"/>
      <c r="S213" s="690"/>
    </row>
    <row r="214" spans="1:19" ht="13">
      <c r="A214" s="865">
        <v>3018</v>
      </c>
      <c r="B214" s="866" t="s">
        <v>799</v>
      </c>
      <c r="C214" s="867" t="s">
        <v>1041</v>
      </c>
      <c r="D214" s="868">
        <v>74</v>
      </c>
      <c r="E214" s="868">
        <v>75</v>
      </c>
      <c r="F214" s="868">
        <v>76</v>
      </c>
      <c r="G214" s="868">
        <v>76</v>
      </c>
      <c r="H214" s="868">
        <v>77</v>
      </c>
      <c r="I214" s="868">
        <v>77</v>
      </c>
      <c r="J214" s="868">
        <v>77</v>
      </c>
      <c r="K214" s="868">
        <v>77</v>
      </c>
      <c r="L214" s="868">
        <v>77</v>
      </c>
      <c r="M214" s="869">
        <v>200</v>
      </c>
      <c r="O214" s="690"/>
      <c r="R214" s="85"/>
      <c r="S214" s="690"/>
    </row>
    <row r="215" spans="1:19" ht="13">
      <c r="A215" s="865">
        <v>3019</v>
      </c>
      <c r="B215" s="876" t="s">
        <v>801</v>
      </c>
      <c r="C215" s="867" t="s">
        <v>1041</v>
      </c>
      <c r="D215" s="868">
        <v>93</v>
      </c>
      <c r="E215" s="868">
        <v>92</v>
      </c>
      <c r="F215" s="868">
        <v>93</v>
      </c>
      <c r="G215" s="868">
        <v>92</v>
      </c>
      <c r="H215" s="868">
        <v>93</v>
      </c>
      <c r="I215" s="868">
        <v>93</v>
      </c>
      <c r="J215" s="868">
        <v>93</v>
      </c>
      <c r="K215" s="868">
        <v>93</v>
      </c>
      <c r="L215" s="868">
        <v>93</v>
      </c>
      <c r="M215" s="869"/>
      <c r="O215" s="690"/>
      <c r="R215" s="85"/>
      <c r="S215" s="690"/>
    </row>
    <row r="216" spans="1:19" ht="13">
      <c r="A216" s="878">
        <v>3020</v>
      </c>
      <c r="B216" s="879" t="s">
        <v>1621</v>
      </c>
      <c r="C216" s="880"/>
      <c r="D216" s="881"/>
      <c r="E216" s="881"/>
      <c r="F216" s="881"/>
      <c r="G216" s="881"/>
      <c r="H216" s="881"/>
      <c r="I216" s="881">
        <v>87</v>
      </c>
      <c r="J216" s="881">
        <v>87</v>
      </c>
      <c r="K216" s="881">
        <v>87</v>
      </c>
      <c r="L216" s="881">
        <v>87</v>
      </c>
      <c r="M216" s="882"/>
      <c r="O216" s="690"/>
      <c r="R216" s="85"/>
      <c r="S216" s="690"/>
    </row>
    <row r="217" spans="1:19" ht="13">
      <c r="A217" s="865">
        <v>3021</v>
      </c>
      <c r="B217" s="876" t="s">
        <v>803</v>
      </c>
      <c r="C217" s="867" t="s">
        <v>1041</v>
      </c>
      <c r="D217" s="868">
        <v>90</v>
      </c>
      <c r="E217" s="868">
        <v>90</v>
      </c>
      <c r="F217" s="868">
        <v>90</v>
      </c>
      <c r="G217" s="868">
        <v>90</v>
      </c>
      <c r="H217" s="868">
        <v>90</v>
      </c>
      <c r="I217" s="868">
        <v>90</v>
      </c>
      <c r="J217" s="868">
        <v>90</v>
      </c>
      <c r="K217" s="868">
        <v>90</v>
      </c>
      <c r="L217" s="868">
        <v>90</v>
      </c>
      <c r="M217" s="869"/>
      <c r="O217" s="690"/>
      <c r="R217" s="85"/>
      <c r="S217" s="690"/>
    </row>
    <row r="218" spans="1:19" ht="13">
      <c r="A218" s="865">
        <v>3022</v>
      </c>
      <c r="B218" s="876" t="s">
        <v>804</v>
      </c>
      <c r="C218" s="867" t="s">
        <v>1041</v>
      </c>
      <c r="D218" s="868">
        <v>88</v>
      </c>
      <c r="E218" s="868">
        <v>89</v>
      </c>
      <c r="F218" s="868">
        <v>89</v>
      </c>
      <c r="G218" s="868">
        <v>88</v>
      </c>
      <c r="H218" s="868">
        <v>85</v>
      </c>
      <c r="I218" s="868">
        <v>85</v>
      </c>
      <c r="J218" s="868">
        <v>85</v>
      </c>
      <c r="K218" s="868">
        <v>85</v>
      </c>
      <c r="L218" s="868">
        <v>85</v>
      </c>
      <c r="M218" s="869"/>
      <c r="O218" s="690"/>
      <c r="R218" s="85"/>
      <c r="S218" s="690"/>
    </row>
    <row r="219" spans="1:19" ht="13">
      <c r="A219" s="865">
        <v>3023</v>
      </c>
      <c r="B219" s="876" t="s">
        <v>805</v>
      </c>
      <c r="C219" s="867" t="s">
        <v>1041</v>
      </c>
      <c r="D219" s="868">
        <v>85</v>
      </c>
      <c r="E219" s="868">
        <v>85</v>
      </c>
      <c r="F219" s="868">
        <v>84</v>
      </c>
      <c r="G219" s="868">
        <v>85</v>
      </c>
      <c r="H219" s="868">
        <v>84</v>
      </c>
      <c r="I219" s="868">
        <v>84</v>
      </c>
      <c r="J219" s="868">
        <v>84</v>
      </c>
      <c r="K219" s="868">
        <v>84</v>
      </c>
      <c r="L219" s="868">
        <v>84</v>
      </c>
      <c r="M219" s="869">
        <v>600</v>
      </c>
      <c r="O219" s="690"/>
      <c r="R219" s="85"/>
      <c r="S219" s="690"/>
    </row>
    <row r="220" spans="1:19" ht="13">
      <c r="A220" s="865">
        <v>3024</v>
      </c>
      <c r="B220" s="866" t="s">
        <v>807</v>
      </c>
      <c r="C220" s="867" t="s">
        <v>1041</v>
      </c>
      <c r="D220" s="868">
        <v>90</v>
      </c>
      <c r="E220" s="868">
        <v>89</v>
      </c>
      <c r="F220" s="868">
        <v>89</v>
      </c>
      <c r="G220" s="868">
        <v>89</v>
      </c>
      <c r="H220" s="868">
        <v>89</v>
      </c>
      <c r="I220" s="868">
        <v>89</v>
      </c>
      <c r="J220" s="868">
        <v>89</v>
      </c>
      <c r="K220" s="868">
        <v>89</v>
      </c>
      <c r="L220" s="868">
        <v>89</v>
      </c>
      <c r="M220" s="869"/>
      <c r="O220" s="690"/>
      <c r="R220" s="85"/>
      <c r="S220" s="690"/>
    </row>
    <row r="221" spans="1:19" ht="13">
      <c r="A221" s="878">
        <v>3025</v>
      </c>
      <c r="B221" s="879" t="s">
        <v>1622</v>
      </c>
      <c r="C221" s="880"/>
      <c r="D221" s="881"/>
      <c r="E221" s="881"/>
      <c r="F221" s="881"/>
      <c r="G221" s="881"/>
      <c r="H221" s="881"/>
      <c r="I221" s="881">
        <v>87</v>
      </c>
      <c r="J221" s="881">
        <v>87</v>
      </c>
      <c r="K221" s="881">
        <v>87</v>
      </c>
      <c r="L221" s="881">
        <v>87</v>
      </c>
      <c r="M221" s="882"/>
      <c r="O221" s="690"/>
      <c r="R221" s="85"/>
      <c r="S221" s="690"/>
    </row>
    <row r="222" spans="1:19" ht="13">
      <c r="A222" s="878">
        <v>3026</v>
      </c>
      <c r="B222" s="879" t="s">
        <v>1623</v>
      </c>
      <c r="C222" s="880"/>
      <c r="D222" s="881"/>
      <c r="E222" s="881"/>
      <c r="F222" s="881"/>
      <c r="G222" s="881"/>
      <c r="H222" s="881"/>
      <c r="I222" s="881">
        <v>72</v>
      </c>
      <c r="J222" s="881">
        <v>72</v>
      </c>
      <c r="K222" s="881">
        <v>72</v>
      </c>
      <c r="L222" s="881">
        <v>72</v>
      </c>
      <c r="M222" s="882"/>
      <c r="O222" s="690"/>
      <c r="R222" s="85"/>
      <c r="S222" s="690"/>
    </row>
    <row r="223" spans="1:19" ht="13">
      <c r="A223" s="865">
        <v>3027</v>
      </c>
      <c r="B223" s="866" t="s">
        <v>812</v>
      </c>
      <c r="C223" s="867" t="s">
        <v>1041</v>
      </c>
      <c r="D223" s="868">
        <v>89</v>
      </c>
      <c r="E223" s="868">
        <v>92</v>
      </c>
      <c r="F223" s="868">
        <v>93</v>
      </c>
      <c r="G223" s="868">
        <v>94</v>
      </c>
      <c r="H223" s="868">
        <v>95</v>
      </c>
      <c r="I223" s="868">
        <v>95</v>
      </c>
      <c r="J223" s="868">
        <v>95</v>
      </c>
      <c r="K223" s="868">
        <v>95</v>
      </c>
      <c r="L223" s="868">
        <v>95</v>
      </c>
      <c r="M223" s="869">
        <v>400</v>
      </c>
      <c r="O223" s="690"/>
      <c r="R223" s="85"/>
      <c r="S223" s="690"/>
    </row>
    <row r="224" spans="1:19" ht="13">
      <c r="A224" s="865">
        <v>3028</v>
      </c>
      <c r="B224" s="866" t="s">
        <v>813</v>
      </c>
      <c r="C224" s="867" t="s">
        <v>1041</v>
      </c>
      <c r="D224" s="868">
        <v>87</v>
      </c>
      <c r="E224" s="868">
        <v>84</v>
      </c>
      <c r="F224" s="868">
        <v>83</v>
      </c>
      <c r="G224" s="868">
        <v>83</v>
      </c>
      <c r="H224" s="868">
        <v>81</v>
      </c>
      <c r="I224" s="868">
        <v>81</v>
      </c>
      <c r="J224" s="868">
        <v>81</v>
      </c>
      <c r="K224" s="868">
        <v>81</v>
      </c>
      <c r="L224" s="868">
        <v>81</v>
      </c>
      <c r="M224" s="869"/>
      <c r="O224" s="690"/>
      <c r="R224" s="85"/>
      <c r="S224" s="690"/>
    </row>
    <row r="225" spans="1:19" ht="13">
      <c r="A225" s="865">
        <v>3029</v>
      </c>
      <c r="B225" s="866" t="s">
        <v>814</v>
      </c>
      <c r="C225" s="867" t="s">
        <v>1041</v>
      </c>
      <c r="D225" s="868">
        <v>91</v>
      </c>
      <c r="E225" s="868">
        <v>89</v>
      </c>
      <c r="F225" s="868">
        <v>89</v>
      </c>
      <c r="G225" s="868">
        <v>92</v>
      </c>
      <c r="H225" s="868">
        <v>93</v>
      </c>
      <c r="I225" s="868">
        <v>93</v>
      </c>
      <c r="J225" s="868">
        <v>93</v>
      </c>
      <c r="K225" s="868">
        <v>93</v>
      </c>
      <c r="L225" s="868">
        <v>93</v>
      </c>
      <c r="M225" s="869"/>
      <c r="O225" s="690"/>
      <c r="R225" s="85"/>
      <c r="S225" s="690"/>
    </row>
    <row r="226" spans="1:19" ht="13">
      <c r="A226" s="878">
        <v>3030</v>
      </c>
      <c r="B226" s="879" t="s">
        <v>1624</v>
      </c>
      <c r="C226" s="880"/>
      <c r="D226" s="881"/>
      <c r="E226" s="881"/>
      <c r="F226" s="881"/>
      <c r="G226" s="881"/>
      <c r="H226" s="881"/>
      <c r="I226" s="881">
        <v>92</v>
      </c>
      <c r="J226" s="881">
        <v>92</v>
      </c>
      <c r="K226" s="881">
        <v>92</v>
      </c>
      <c r="L226" s="881">
        <v>92</v>
      </c>
      <c r="M226" s="882"/>
      <c r="O226" s="690"/>
      <c r="R226" s="85"/>
      <c r="S226" s="690"/>
    </row>
    <row r="227" spans="1:19" ht="13">
      <c r="A227" s="865">
        <v>3031</v>
      </c>
      <c r="B227" s="866" t="s">
        <v>816</v>
      </c>
      <c r="C227" s="867" t="s">
        <v>1041</v>
      </c>
      <c r="D227" s="868">
        <v>88</v>
      </c>
      <c r="E227" s="868">
        <v>91</v>
      </c>
      <c r="F227" s="868">
        <v>89</v>
      </c>
      <c r="G227" s="868">
        <v>90</v>
      </c>
      <c r="H227" s="868">
        <v>90</v>
      </c>
      <c r="I227" s="868">
        <v>90</v>
      </c>
      <c r="J227" s="868">
        <v>90</v>
      </c>
      <c r="K227" s="868">
        <v>90</v>
      </c>
      <c r="L227" s="868">
        <v>90</v>
      </c>
      <c r="M227" s="869"/>
      <c r="O227" s="690"/>
      <c r="R227" s="85"/>
      <c r="S227" s="690"/>
    </row>
    <row r="228" spans="1:19" ht="13">
      <c r="A228" s="865">
        <v>3032</v>
      </c>
      <c r="B228" s="866" t="s">
        <v>817</v>
      </c>
      <c r="C228" s="867" t="s">
        <v>1041</v>
      </c>
      <c r="D228" s="868">
        <v>91</v>
      </c>
      <c r="E228" s="868">
        <v>90</v>
      </c>
      <c r="F228" s="868">
        <v>89</v>
      </c>
      <c r="G228" s="868">
        <v>91</v>
      </c>
      <c r="H228" s="868">
        <v>91</v>
      </c>
      <c r="I228" s="868">
        <v>91</v>
      </c>
      <c r="J228" s="868">
        <v>91</v>
      </c>
      <c r="K228" s="868">
        <v>91</v>
      </c>
      <c r="L228" s="868">
        <v>91</v>
      </c>
      <c r="M228" s="869"/>
      <c r="O228" s="690"/>
      <c r="R228" s="85"/>
      <c r="S228" s="690"/>
    </row>
    <row r="229" spans="1:19" ht="13">
      <c r="A229" s="865">
        <v>3033</v>
      </c>
      <c r="B229" s="866" t="s">
        <v>818</v>
      </c>
      <c r="C229" s="867" t="s">
        <v>1041</v>
      </c>
      <c r="D229" s="868">
        <v>91</v>
      </c>
      <c r="E229" s="868">
        <v>93</v>
      </c>
      <c r="F229" s="868">
        <v>92</v>
      </c>
      <c r="G229" s="868">
        <v>93</v>
      </c>
      <c r="H229" s="868">
        <v>93</v>
      </c>
      <c r="I229" s="868">
        <v>93</v>
      </c>
      <c r="J229" s="868">
        <v>93</v>
      </c>
      <c r="K229" s="868">
        <v>93</v>
      </c>
      <c r="L229" s="868">
        <v>93</v>
      </c>
      <c r="M229" s="869"/>
      <c r="O229" s="690"/>
      <c r="R229" s="85"/>
      <c r="S229" s="690"/>
    </row>
    <row r="230" spans="1:19" ht="13">
      <c r="A230" s="865">
        <v>3034</v>
      </c>
      <c r="B230" s="866" t="s">
        <v>819</v>
      </c>
      <c r="C230" s="867" t="s">
        <v>1041</v>
      </c>
      <c r="D230" s="868">
        <v>72</v>
      </c>
      <c r="E230" s="868">
        <v>73</v>
      </c>
      <c r="F230" s="868">
        <v>73</v>
      </c>
      <c r="G230" s="868">
        <v>75</v>
      </c>
      <c r="H230" s="868">
        <v>78</v>
      </c>
      <c r="I230" s="868">
        <v>78</v>
      </c>
      <c r="J230" s="868">
        <v>78</v>
      </c>
      <c r="K230" s="868">
        <v>78</v>
      </c>
      <c r="L230" s="868">
        <v>78</v>
      </c>
      <c r="M230" s="869">
        <v>700</v>
      </c>
      <c r="O230" s="690"/>
      <c r="R230" s="85"/>
      <c r="S230" s="690"/>
    </row>
    <row r="231" spans="1:19" ht="13">
      <c r="A231" s="865">
        <v>3035</v>
      </c>
      <c r="B231" s="866" t="s">
        <v>820</v>
      </c>
      <c r="C231" s="867" t="s">
        <v>1041</v>
      </c>
      <c r="D231" s="868">
        <v>75</v>
      </c>
      <c r="E231" s="868">
        <v>75</v>
      </c>
      <c r="F231" s="868">
        <v>74</v>
      </c>
      <c r="G231" s="868">
        <v>77</v>
      </c>
      <c r="H231" s="868">
        <v>78</v>
      </c>
      <c r="I231" s="868">
        <v>78</v>
      </c>
      <c r="J231" s="868">
        <v>78</v>
      </c>
      <c r="K231" s="868">
        <v>78</v>
      </c>
      <c r="L231" s="868">
        <v>78</v>
      </c>
      <c r="M231" s="869"/>
      <c r="O231" s="690"/>
      <c r="R231" s="85"/>
      <c r="S231" s="690"/>
    </row>
    <row r="232" spans="1:19" ht="13">
      <c r="A232" s="865">
        <v>3036</v>
      </c>
      <c r="B232" s="866" t="s">
        <v>821</v>
      </c>
      <c r="C232" s="867" t="s">
        <v>1041</v>
      </c>
      <c r="D232" s="868">
        <v>85</v>
      </c>
      <c r="E232" s="868">
        <v>83</v>
      </c>
      <c r="F232" s="868">
        <v>82</v>
      </c>
      <c r="G232" s="868">
        <v>82</v>
      </c>
      <c r="H232" s="868">
        <v>84</v>
      </c>
      <c r="I232" s="868">
        <v>84</v>
      </c>
      <c r="J232" s="868">
        <v>84</v>
      </c>
      <c r="K232" s="868">
        <v>84</v>
      </c>
      <c r="L232" s="868">
        <v>84</v>
      </c>
      <c r="M232" s="869"/>
      <c r="O232" s="690"/>
      <c r="R232" s="85"/>
      <c r="S232" s="690"/>
    </row>
    <row r="233" spans="1:19" ht="13">
      <c r="A233" s="865">
        <v>3037</v>
      </c>
      <c r="B233" s="866" t="s">
        <v>822</v>
      </c>
      <c r="C233" s="867" t="s">
        <v>1041</v>
      </c>
      <c r="D233" s="868">
        <v>49</v>
      </c>
      <c r="E233" s="868">
        <v>47</v>
      </c>
      <c r="F233" s="868">
        <v>50</v>
      </c>
      <c r="G233" s="868">
        <v>54</v>
      </c>
      <c r="H233" s="868">
        <v>57</v>
      </c>
      <c r="I233" s="868">
        <v>57</v>
      </c>
      <c r="J233" s="868">
        <v>57</v>
      </c>
      <c r="K233" s="868">
        <v>57</v>
      </c>
      <c r="L233" s="868">
        <v>57</v>
      </c>
      <c r="M233" s="869"/>
      <c r="O233" s="690"/>
      <c r="R233" s="85"/>
      <c r="S233" s="690"/>
    </row>
    <row r="234" spans="1:19" ht="13">
      <c r="A234" s="865">
        <v>3038</v>
      </c>
      <c r="B234" s="866" t="s">
        <v>874</v>
      </c>
      <c r="C234" s="867" t="s">
        <v>1041</v>
      </c>
      <c r="D234" s="868">
        <v>74</v>
      </c>
      <c r="E234" s="868">
        <v>75</v>
      </c>
      <c r="F234" s="868">
        <v>76</v>
      </c>
      <c r="G234" s="868">
        <v>77</v>
      </c>
      <c r="H234" s="868">
        <v>77</v>
      </c>
      <c r="I234" s="868">
        <v>77</v>
      </c>
      <c r="J234" s="868">
        <v>77</v>
      </c>
      <c r="K234" s="868">
        <v>77</v>
      </c>
      <c r="L234" s="868">
        <v>77</v>
      </c>
      <c r="M234" s="869"/>
      <c r="O234" s="690"/>
      <c r="R234" s="85"/>
      <c r="S234" s="690"/>
    </row>
    <row r="235" spans="1:19" ht="13">
      <c r="A235" s="865">
        <v>3039</v>
      </c>
      <c r="B235" s="866" t="s">
        <v>875</v>
      </c>
      <c r="C235" s="867" t="s">
        <v>1042</v>
      </c>
      <c r="D235" s="868">
        <v>42</v>
      </c>
      <c r="E235" s="868">
        <v>42</v>
      </c>
      <c r="F235" s="868">
        <v>43</v>
      </c>
      <c r="G235" s="868">
        <v>50</v>
      </c>
      <c r="H235" s="868">
        <v>48</v>
      </c>
      <c r="I235" s="868">
        <v>48</v>
      </c>
      <c r="J235" s="868">
        <v>48</v>
      </c>
      <c r="K235" s="868">
        <v>48</v>
      </c>
      <c r="L235" s="868">
        <v>48</v>
      </c>
      <c r="M235" s="869"/>
      <c r="O235" s="690"/>
      <c r="R235" s="85"/>
      <c r="S235" s="690"/>
    </row>
    <row r="236" spans="1:19" ht="13">
      <c r="A236" s="865">
        <v>3040</v>
      </c>
      <c r="B236" s="866" t="s">
        <v>1966</v>
      </c>
      <c r="C236" s="867" t="s">
        <v>1042</v>
      </c>
      <c r="D236" s="868">
        <v>36</v>
      </c>
      <c r="E236" s="868">
        <v>31</v>
      </c>
      <c r="F236" s="868">
        <v>28</v>
      </c>
      <c r="G236" s="868">
        <v>27</v>
      </c>
      <c r="H236" s="868">
        <v>30</v>
      </c>
      <c r="I236" s="868">
        <v>30</v>
      </c>
      <c r="J236" s="868">
        <v>30</v>
      </c>
      <c r="K236" s="868">
        <v>30</v>
      </c>
      <c r="L236" s="868">
        <v>30</v>
      </c>
      <c r="M236" s="869"/>
      <c r="O236" s="690"/>
      <c r="R236" s="85"/>
      <c r="S236" s="690"/>
    </row>
    <row r="237" spans="1:19" ht="13">
      <c r="A237" s="865">
        <v>3041</v>
      </c>
      <c r="B237" s="866" t="s">
        <v>876</v>
      </c>
      <c r="C237" s="867" t="s">
        <v>1042</v>
      </c>
      <c r="D237" s="868">
        <v>44</v>
      </c>
      <c r="E237" s="868">
        <v>46</v>
      </c>
      <c r="F237" s="868">
        <v>45</v>
      </c>
      <c r="G237" s="868">
        <v>44</v>
      </c>
      <c r="H237" s="868">
        <v>42</v>
      </c>
      <c r="I237" s="868">
        <v>42</v>
      </c>
      <c r="J237" s="868">
        <v>42</v>
      </c>
      <c r="K237" s="868">
        <v>42</v>
      </c>
      <c r="L237" s="868">
        <v>42</v>
      </c>
      <c r="M237" s="869"/>
      <c r="O237" s="690"/>
      <c r="R237" s="85"/>
      <c r="S237" s="690"/>
    </row>
    <row r="238" spans="1:19" ht="13">
      <c r="A238" s="865">
        <v>3042</v>
      </c>
      <c r="B238" s="866" t="s">
        <v>877</v>
      </c>
      <c r="C238" s="867" t="s">
        <v>1042</v>
      </c>
      <c r="D238" s="868">
        <v>61</v>
      </c>
      <c r="E238" s="868">
        <v>60</v>
      </c>
      <c r="F238" s="868">
        <v>62</v>
      </c>
      <c r="G238" s="868">
        <v>57</v>
      </c>
      <c r="H238" s="868">
        <v>59</v>
      </c>
      <c r="I238" s="868">
        <v>59</v>
      </c>
      <c r="J238" s="868">
        <v>59</v>
      </c>
      <c r="K238" s="868">
        <v>59</v>
      </c>
      <c r="L238" s="868">
        <v>59</v>
      </c>
      <c r="M238" s="869"/>
      <c r="O238" s="690"/>
      <c r="R238" s="85"/>
      <c r="S238" s="690"/>
    </row>
    <row r="239" spans="1:19" ht="13">
      <c r="A239" s="865">
        <v>3043</v>
      </c>
      <c r="B239" s="866" t="s">
        <v>878</v>
      </c>
      <c r="C239" s="867" t="s">
        <v>1042</v>
      </c>
      <c r="D239" s="868">
        <v>39</v>
      </c>
      <c r="E239" s="868">
        <v>39</v>
      </c>
      <c r="F239" s="868">
        <v>38</v>
      </c>
      <c r="G239" s="868">
        <v>37</v>
      </c>
      <c r="H239" s="868">
        <v>41</v>
      </c>
      <c r="I239" s="868">
        <v>41</v>
      </c>
      <c r="J239" s="868">
        <v>41</v>
      </c>
      <c r="K239" s="868">
        <v>41</v>
      </c>
      <c r="L239" s="868">
        <v>41</v>
      </c>
      <c r="M239" s="869"/>
      <c r="O239" s="690"/>
      <c r="R239" s="85"/>
      <c r="S239" s="690"/>
    </row>
    <row r="240" spans="1:19" ht="13">
      <c r="A240" s="865">
        <v>3044</v>
      </c>
      <c r="B240" s="866" t="s">
        <v>880</v>
      </c>
      <c r="C240" s="867" t="s">
        <v>1042</v>
      </c>
      <c r="D240" s="868">
        <v>39</v>
      </c>
      <c r="E240" s="868">
        <v>39</v>
      </c>
      <c r="F240" s="868">
        <v>40</v>
      </c>
      <c r="G240" s="868">
        <v>41</v>
      </c>
      <c r="H240" s="868">
        <v>43</v>
      </c>
      <c r="I240" s="868">
        <v>43</v>
      </c>
      <c r="J240" s="868">
        <v>43</v>
      </c>
      <c r="K240" s="868">
        <v>43</v>
      </c>
      <c r="L240" s="868">
        <v>43</v>
      </c>
      <c r="M240" s="869"/>
      <c r="O240" s="690"/>
      <c r="R240" s="85"/>
      <c r="S240" s="690"/>
    </row>
    <row r="241" spans="1:19" ht="13">
      <c r="A241" s="865">
        <v>3045</v>
      </c>
      <c r="B241" s="866" t="s">
        <v>881</v>
      </c>
      <c r="C241" s="867" t="s">
        <v>1042</v>
      </c>
      <c r="D241" s="868">
        <v>59</v>
      </c>
      <c r="E241" s="868">
        <v>56</v>
      </c>
      <c r="F241" s="868">
        <v>55</v>
      </c>
      <c r="G241" s="868">
        <v>54</v>
      </c>
      <c r="H241" s="868">
        <v>57</v>
      </c>
      <c r="I241" s="868">
        <v>57</v>
      </c>
      <c r="J241" s="868">
        <v>57</v>
      </c>
      <c r="K241" s="868">
        <v>57</v>
      </c>
      <c r="L241" s="868">
        <v>57</v>
      </c>
      <c r="M241" s="869"/>
      <c r="O241" s="690"/>
      <c r="R241" s="85"/>
      <c r="S241" s="690"/>
    </row>
    <row r="242" spans="1:19" ht="13">
      <c r="A242" s="865">
        <v>3046</v>
      </c>
      <c r="B242" s="866" t="s">
        <v>882</v>
      </c>
      <c r="C242" s="867" t="s">
        <v>1044</v>
      </c>
      <c r="D242" s="868">
        <v>49</v>
      </c>
      <c r="E242" s="868">
        <v>56</v>
      </c>
      <c r="F242" s="868">
        <v>58</v>
      </c>
      <c r="G242" s="868">
        <v>59</v>
      </c>
      <c r="H242" s="868">
        <v>60</v>
      </c>
      <c r="I242" s="868">
        <v>60</v>
      </c>
      <c r="J242" s="868">
        <v>60</v>
      </c>
      <c r="K242" s="868">
        <v>60</v>
      </c>
      <c r="L242" s="868">
        <v>60</v>
      </c>
      <c r="M242" s="869"/>
      <c r="O242" s="690"/>
      <c r="R242" s="85"/>
      <c r="S242" s="690"/>
    </row>
    <row r="243" spans="1:19" ht="13">
      <c r="A243" s="865">
        <v>3047</v>
      </c>
      <c r="B243" s="866" t="s">
        <v>883</v>
      </c>
      <c r="C243" s="867" t="s">
        <v>1041</v>
      </c>
      <c r="D243" s="868">
        <v>57</v>
      </c>
      <c r="E243" s="868">
        <v>58</v>
      </c>
      <c r="F243" s="868">
        <v>56</v>
      </c>
      <c r="G243" s="868">
        <v>57</v>
      </c>
      <c r="H243" s="868">
        <v>59</v>
      </c>
      <c r="I243" s="868">
        <v>59</v>
      </c>
      <c r="J243" s="868">
        <v>59</v>
      </c>
      <c r="K243" s="868">
        <v>59</v>
      </c>
      <c r="L243" s="868">
        <v>59</v>
      </c>
      <c r="M243" s="869">
        <v>1000</v>
      </c>
      <c r="O243" s="690"/>
      <c r="R243" s="85"/>
      <c r="S243" s="690"/>
    </row>
    <row r="244" spans="1:19" ht="13">
      <c r="A244" s="865">
        <v>3048</v>
      </c>
      <c r="B244" s="866" t="s">
        <v>884</v>
      </c>
      <c r="C244" s="867" t="s">
        <v>1041</v>
      </c>
      <c r="D244" s="868">
        <v>75</v>
      </c>
      <c r="E244" s="868">
        <v>78</v>
      </c>
      <c r="F244" s="868">
        <v>75</v>
      </c>
      <c r="G244" s="868">
        <v>74</v>
      </c>
      <c r="H244" s="868">
        <v>78</v>
      </c>
      <c r="I244" s="868">
        <v>78</v>
      </c>
      <c r="J244" s="868">
        <v>78</v>
      </c>
      <c r="K244" s="868">
        <v>78</v>
      </c>
      <c r="L244" s="868">
        <v>78</v>
      </c>
      <c r="M244" s="869">
        <v>1300</v>
      </c>
      <c r="O244" s="690"/>
      <c r="R244" s="85"/>
      <c r="S244" s="690"/>
    </row>
    <row r="245" spans="1:19" ht="13">
      <c r="A245" s="865">
        <v>3049</v>
      </c>
      <c r="B245" s="876" t="s">
        <v>886</v>
      </c>
      <c r="C245" s="867" t="s">
        <v>1041</v>
      </c>
      <c r="D245" s="868">
        <v>83</v>
      </c>
      <c r="E245" s="868">
        <v>87</v>
      </c>
      <c r="F245" s="868">
        <v>87</v>
      </c>
      <c r="G245" s="868">
        <v>87</v>
      </c>
      <c r="H245" s="868">
        <v>86</v>
      </c>
      <c r="I245" s="868">
        <v>86</v>
      </c>
      <c r="J245" s="868">
        <v>86</v>
      </c>
      <c r="K245" s="868">
        <v>86</v>
      </c>
      <c r="L245" s="868">
        <v>86</v>
      </c>
      <c r="M245" s="869"/>
      <c r="O245" s="690"/>
      <c r="R245" s="85"/>
      <c r="S245" s="690"/>
    </row>
    <row r="246" spans="1:19" ht="13">
      <c r="A246" s="865">
        <v>3050</v>
      </c>
      <c r="B246" s="866" t="s">
        <v>889</v>
      </c>
      <c r="C246" s="867" t="s">
        <v>1044</v>
      </c>
      <c r="D246" s="868">
        <v>55</v>
      </c>
      <c r="E246" s="868">
        <v>58</v>
      </c>
      <c r="F246" s="868">
        <v>55</v>
      </c>
      <c r="G246" s="868">
        <v>57</v>
      </c>
      <c r="H246" s="868">
        <v>56</v>
      </c>
      <c r="I246" s="868">
        <v>56</v>
      </c>
      <c r="J246" s="868">
        <v>56</v>
      </c>
      <c r="K246" s="868">
        <v>56</v>
      </c>
      <c r="L246" s="868">
        <v>56</v>
      </c>
      <c r="M246" s="869"/>
      <c r="O246" s="690"/>
      <c r="R246" s="85"/>
      <c r="S246" s="690"/>
    </row>
    <row r="247" spans="1:19" ht="13">
      <c r="A247" s="865">
        <v>3051</v>
      </c>
      <c r="B247" s="866" t="s">
        <v>890</v>
      </c>
      <c r="C247" s="867" t="s">
        <v>1042</v>
      </c>
      <c r="D247" s="868">
        <v>39</v>
      </c>
      <c r="E247" s="868">
        <v>37</v>
      </c>
      <c r="F247" s="868">
        <v>40</v>
      </c>
      <c r="G247" s="868">
        <v>47</v>
      </c>
      <c r="H247" s="868">
        <v>45</v>
      </c>
      <c r="I247" s="868">
        <v>45</v>
      </c>
      <c r="J247" s="868">
        <v>45</v>
      </c>
      <c r="K247" s="868">
        <v>45</v>
      </c>
      <c r="L247" s="868">
        <v>45</v>
      </c>
      <c r="M247" s="869"/>
      <c r="O247" s="690"/>
      <c r="R247" s="85"/>
      <c r="S247" s="690"/>
    </row>
    <row r="248" spans="1:19" ht="13">
      <c r="A248" s="865">
        <v>3052</v>
      </c>
      <c r="B248" s="866" t="s">
        <v>891</v>
      </c>
      <c r="C248" s="867" t="s">
        <v>1042</v>
      </c>
      <c r="D248" s="868">
        <v>27</v>
      </c>
      <c r="E248" s="868">
        <v>28</v>
      </c>
      <c r="F248" s="868">
        <v>29</v>
      </c>
      <c r="G248" s="868">
        <v>27</v>
      </c>
      <c r="H248" s="868">
        <v>28</v>
      </c>
      <c r="I248" s="868">
        <v>28</v>
      </c>
      <c r="J248" s="868">
        <v>28</v>
      </c>
      <c r="K248" s="868">
        <v>28</v>
      </c>
      <c r="L248" s="868">
        <v>28</v>
      </c>
      <c r="M248" s="869"/>
      <c r="O248" s="690"/>
      <c r="R248" s="85"/>
      <c r="S248" s="690"/>
    </row>
    <row r="249" spans="1:19" ht="13">
      <c r="A249" s="865">
        <v>3053</v>
      </c>
      <c r="B249" s="866" t="s">
        <v>860</v>
      </c>
      <c r="C249" s="867" t="s">
        <v>1041</v>
      </c>
      <c r="D249" s="868">
        <v>52</v>
      </c>
      <c r="E249" s="868">
        <v>45</v>
      </c>
      <c r="F249" s="868">
        <v>44</v>
      </c>
      <c r="G249" s="868">
        <v>45</v>
      </c>
      <c r="H249" s="868">
        <v>50</v>
      </c>
      <c r="I249" s="868">
        <v>50</v>
      </c>
      <c r="J249" s="868">
        <v>50</v>
      </c>
      <c r="K249" s="868">
        <v>50</v>
      </c>
      <c r="L249" s="868">
        <v>50</v>
      </c>
      <c r="M249" s="869">
        <v>602</v>
      </c>
      <c r="O249" s="690"/>
      <c r="R249" s="85"/>
      <c r="S249" s="690"/>
    </row>
    <row r="250" spans="1:19" ht="13">
      <c r="A250" s="865">
        <v>3054</v>
      </c>
      <c r="B250" s="866" t="s">
        <v>861</v>
      </c>
      <c r="C250" s="867" t="s">
        <v>1041</v>
      </c>
      <c r="D250" s="868">
        <v>64</v>
      </c>
      <c r="E250" s="868">
        <v>64</v>
      </c>
      <c r="F250" s="868">
        <v>63</v>
      </c>
      <c r="G250" s="868">
        <v>65</v>
      </c>
      <c r="H250" s="868">
        <v>63</v>
      </c>
      <c r="I250" s="868">
        <v>63</v>
      </c>
      <c r="J250" s="868">
        <v>63</v>
      </c>
      <c r="K250" s="868">
        <v>63</v>
      </c>
      <c r="L250" s="868">
        <v>63</v>
      </c>
      <c r="M250" s="869">
        <v>825</v>
      </c>
      <c r="O250" s="690"/>
      <c r="R250" s="85"/>
      <c r="S250" s="690"/>
    </row>
    <row r="251" spans="1:19" ht="13">
      <c r="A251" s="865">
        <v>3401</v>
      </c>
      <c r="B251" s="866" t="s">
        <v>824</v>
      </c>
      <c r="C251" s="867" t="s">
        <v>1042</v>
      </c>
      <c r="D251" s="868">
        <v>39</v>
      </c>
      <c r="E251" s="868">
        <v>39</v>
      </c>
      <c r="F251" s="868">
        <v>38</v>
      </c>
      <c r="G251" s="868">
        <v>38</v>
      </c>
      <c r="H251" s="868">
        <v>38</v>
      </c>
      <c r="I251" s="868">
        <v>38</v>
      </c>
      <c r="J251" s="868">
        <v>38</v>
      </c>
      <c r="K251" s="868">
        <v>38</v>
      </c>
      <c r="L251" s="868">
        <v>38</v>
      </c>
      <c r="M251" s="869">
        <v>2000</v>
      </c>
      <c r="O251" s="690"/>
      <c r="R251" s="85"/>
      <c r="S251" s="690"/>
    </row>
    <row r="252" spans="1:19" ht="13">
      <c r="A252" s="865">
        <v>3403</v>
      </c>
      <c r="B252" s="866" t="s">
        <v>825</v>
      </c>
      <c r="C252" s="867" t="s">
        <v>1041</v>
      </c>
      <c r="D252" s="868">
        <v>64</v>
      </c>
      <c r="E252" s="868">
        <v>63</v>
      </c>
      <c r="F252" s="868">
        <v>62</v>
      </c>
      <c r="G252" s="868">
        <v>65</v>
      </c>
      <c r="H252" s="868">
        <v>65</v>
      </c>
      <c r="I252" s="868">
        <v>65</v>
      </c>
      <c r="J252" s="868">
        <v>65</v>
      </c>
      <c r="K252" s="868">
        <v>65</v>
      </c>
      <c r="L252" s="868">
        <v>65</v>
      </c>
      <c r="M252" s="869">
        <v>1000</v>
      </c>
      <c r="O252" s="690"/>
      <c r="R252" s="85"/>
      <c r="S252" s="690"/>
    </row>
    <row r="253" spans="1:19" ht="13">
      <c r="A253" s="865">
        <v>3405</v>
      </c>
      <c r="B253" s="866" t="s">
        <v>845</v>
      </c>
      <c r="C253" s="867" t="s">
        <v>1041</v>
      </c>
      <c r="D253" s="868">
        <v>63</v>
      </c>
      <c r="E253" s="868">
        <v>61</v>
      </c>
      <c r="F253" s="868">
        <v>61</v>
      </c>
      <c r="G253" s="868">
        <v>63</v>
      </c>
      <c r="H253" s="868">
        <v>64</v>
      </c>
      <c r="I253" s="868">
        <v>64</v>
      </c>
      <c r="J253" s="868">
        <v>64</v>
      </c>
      <c r="K253" s="868">
        <v>64</v>
      </c>
      <c r="L253" s="868">
        <v>64</v>
      </c>
      <c r="M253" s="869">
        <v>2485</v>
      </c>
      <c r="O253" s="690"/>
      <c r="R253" s="85"/>
      <c r="S253" s="690"/>
    </row>
    <row r="254" spans="1:19" ht="13">
      <c r="A254" s="865">
        <v>3407</v>
      </c>
      <c r="B254" s="866" t="s">
        <v>846</v>
      </c>
      <c r="C254" s="867" t="s">
        <v>1041</v>
      </c>
      <c r="D254" s="868">
        <v>57</v>
      </c>
      <c r="E254" s="868">
        <v>55</v>
      </c>
      <c r="F254" s="868">
        <v>55</v>
      </c>
      <c r="G254" s="868">
        <v>56</v>
      </c>
      <c r="H254" s="868">
        <v>56</v>
      </c>
      <c r="I254" s="868">
        <v>56</v>
      </c>
      <c r="J254" s="868">
        <v>56</v>
      </c>
      <c r="K254" s="868">
        <v>56</v>
      </c>
      <c r="L254" s="868">
        <v>56</v>
      </c>
      <c r="M254" s="869">
        <v>2735</v>
      </c>
      <c r="O254" s="690"/>
      <c r="R254" s="85"/>
      <c r="S254" s="690"/>
    </row>
    <row r="255" spans="1:19" ht="13">
      <c r="A255" s="865">
        <v>3411</v>
      </c>
      <c r="B255" s="866" t="s">
        <v>826</v>
      </c>
      <c r="C255" s="867" t="s">
        <v>1041</v>
      </c>
      <c r="D255" s="868">
        <v>49</v>
      </c>
      <c r="E255" s="868">
        <v>50</v>
      </c>
      <c r="F255" s="868">
        <v>52</v>
      </c>
      <c r="G255" s="868">
        <v>53</v>
      </c>
      <c r="H255" s="868">
        <v>54</v>
      </c>
      <c r="I255" s="868">
        <v>54</v>
      </c>
      <c r="J255" s="868">
        <v>54</v>
      </c>
      <c r="K255" s="868">
        <v>54</v>
      </c>
      <c r="L255" s="868">
        <v>54</v>
      </c>
      <c r="M255" s="869">
        <v>2000</v>
      </c>
      <c r="O255" s="690"/>
      <c r="R255" s="85"/>
      <c r="S255" s="690"/>
    </row>
    <row r="256" spans="1:19" ht="13">
      <c r="A256" s="865">
        <v>3412</v>
      </c>
      <c r="B256" s="866" t="s">
        <v>827</v>
      </c>
      <c r="C256" s="867" t="s">
        <v>1041</v>
      </c>
      <c r="D256" s="868">
        <v>44</v>
      </c>
      <c r="E256" s="868">
        <v>45</v>
      </c>
      <c r="F256" s="868">
        <v>46</v>
      </c>
      <c r="G256" s="868">
        <v>48</v>
      </c>
      <c r="H256" s="868">
        <v>48</v>
      </c>
      <c r="I256" s="868">
        <v>48</v>
      </c>
      <c r="J256" s="868">
        <v>48</v>
      </c>
      <c r="K256" s="868">
        <v>48</v>
      </c>
      <c r="L256" s="868">
        <v>48</v>
      </c>
      <c r="M256" s="869">
        <v>2000</v>
      </c>
      <c r="O256" s="690"/>
      <c r="R256" s="85"/>
      <c r="S256" s="690"/>
    </row>
    <row r="257" spans="1:19" ht="13">
      <c r="A257" s="865">
        <v>3413</v>
      </c>
      <c r="B257" s="866" t="s">
        <v>828</v>
      </c>
      <c r="C257" s="867" t="s">
        <v>1041</v>
      </c>
      <c r="D257" s="868">
        <v>53</v>
      </c>
      <c r="E257" s="868">
        <v>55</v>
      </c>
      <c r="F257" s="868">
        <v>53</v>
      </c>
      <c r="G257" s="868">
        <v>56</v>
      </c>
      <c r="H257" s="868">
        <v>57</v>
      </c>
      <c r="I257" s="868">
        <v>57</v>
      </c>
      <c r="J257" s="868">
        <v>57</v>
      </c>
      <c r="K257" s="868">
        <v>57</v>
      </c>
      <c r="L257" s="868">
        <v>57</v>
      </c>
      <c r="M257" s="869">
        <v>2000</v>
      </c>
      <c r="O257" s="690"/>
      <c r="R257" s="85"/>
      <c r="S257" s="690"/>
    </row>
    <row r="258" spans="1:19" ht="13">
      <c r="A258" s="865">
        <v>3414</v>
      </c>
      <c r="B258" s="866" t="s">
        <v>829</v>
      </c>
      <c r="C258" s="867" t="s">
        <v>1041</v>
      </c>
      <c r="D258" s="868">
        <v>38</v>
      </c>
      <c r="E258" s="868">
        <v>35</v>
      </c>
      <c r="F258" s="868">
        <v>35</v>
      </c>
      <c r="G258" s="868">
        <v>38</v>
      </c>
      <c r="H258" s="868">
        <v>36</v>
      </c>
      <c r="I258" s="868">
        <v>36</v>
      </c>
      <c r="J258" s="868">
        <v>36</v>
      </c>
      <c r="K258" s="868">
        <v>36</v>
      </c>
      <c r="L258" s="868">
        <v>36</v>
      </c>
      <c r="M258" s="869">
        <v>1000</v>
      </c>
      <c r="O258" s="690"/>
      <c r="R258" s="85"/>
      <c r="S258" s="690"/>
    </row>
    <row r="259" spans="1:19" ht="13">
      <c r="A259" s="865">
        <v>3415</v>
      </c>
      <c r="B259" s="866" t="s">
        <v>830</v>
      </c>
      <c r="C259" s="867" t="s">
        <v>1041</v>
      </c>
      <c r="D259" s="868">
        <v>43</v>
      </c>
      <c r="E259" s="868">
        <v>41</v>
      </c>
      <c r="F259" s="868">
        <v>42</v>
      </c>
      <c r="G259" s="868">
        <v>44</v>
      </c>
      <c r="H259" s="868">
        <v>43</v>
      </c>
      <c r="I259" s="868">
        <v>43</v>
      </c>
      <c r="J259" s="868">
        <v>43</v>
      </c>
      <c r="K259" s="868">
        <v>43</v>
      </c>
      <c r="L259" s="868">
        <v>43</v>
      </c>
      <c r="M259" s="869">
        <v>500</v>
      </c>
      <c r="O259" s="690"/>
      <c r="R259" s="85"/>
      <c r="S259" s="690"/>
    </row>
    <row r="260" spans="1:19" ht="13">
      <c r="A260" s="865">
        <v>3416</v>
      </c>
      <c r="B260" s="866" t="s">
        <v>831</v>
      </c>
      <c r="C260" s="867" t="s">
        <v>1042</v>
      </c>
      <c r="D260" s="868">
        <v>32</v>
      </c>
      <c r="E260" s="868">
        <v>30</v>
      </c>
      <c r="F260" s="868">
        <v>27</v>
      </c>
      <c r="G260" s="868">
        <v>26</v>
      </c>
      <c r="H260" s="868">
        <v>24</v>
      </c>
      <c r="I260" s="868">
        <v>24</v>
      </c>
      <c r="J260" s="868">
        <v>24</v>
      </c>
      <c r="K260" s="868">
        <v>24</v>
      </c>
      <c r="L260" s="868">
        <v>24</v>
      </c>
      <c r="M260" s="869"/>
      <c r="O260" s="690"/>
      <c r="R260" s="85"/>
      <c r="S260" s="690"/>
    </row>
    <row r="261" spans="1:19" ht="13">
      <c r="A261" s="865">
        <v>3417</v>
      </c>
      <c r="B261" s="866" t="s">
        <v>832</v>
      </c>
      <c r="C261" s="867" t="s">
        <v>1042</v>
      </c>
      <c r="D261" s="868">
        <v>22</v>
      </c>
      <c r="E261" s="868">
        <v>20</v>
      </c>
      <c r="F261" s="868">
        <v>19</v>
      </c>
      <c r="G261" s="868">
        <v>20</v>
      </c>
      <c r="H261" s="868">
        <v>21</v>
      </c>
      <c r="I261" s="868">
        <v>21</v>
      </c>
      <c r="J261" s="868">
        <v>21</v>
      </c>
      <c r="K261" s="868">
        <v>21</v>
      </c>
      <c r="L261" s="868">
        <v>21</v>
      </c>
      <c r="M261" s="869"/>
      <c r="O261" s="690"/>
      <c r="R261" s="85"/>
      <c r="S261" s="690"/>
    </row>
    <row r="262" spans="1:19" ht="13">
      <c r="A262" s="865">
        <v>3418</v>
      </c>
      <c r="B262" s="866" t="s">
        <v>833</v>
      </c>
      <c r="C262" s="867" t="s">
        <v>1042</v>
      </c>
      <c r="D262" s="868">
        <v>26</v>
      </c>
      <c r="E262" s="868">
        <v>25</v>
      </c>
      <c r="F262" s="868">
        <v>27</v>
      </c>
      <c r="G262" s="868">
        <v>25</v>
      </c>
      <c r="H262" s="868">
        <v>24</v>
      </c>
      <c r="I262" s="868">
        <v>24</v>
      </c>
      <c r="J262" s="868">
        <v>24</v>
      </c>
      <c r="K262" s="868">
        <v>24</v>
      </c>
      <c r="L262" s="868">
        <v>24</v>
      </c>
      <c r="M262" s="869"/>
      <c r="O262" s="690"/>
      <c r="R262" s="85"/>
      <c r="S262" s="690"/>
    </row>
    <row r="263" spans="1:19" ht="13">
      <c r="A263" s="865">
        <v>3419</v>
      </c>
      <c r="B263" s="866" t="s">
        <v>799</v>
      </c>
      <c r="C263" s="867" t="s">
        <v>1042</v>
      </c>
      <c r="D263" s="868">
        <v>24</v>
      </c>
      <c r="E263" s="868">
        <v>24</v>
      </c>
      <c r="F263" s="868">
        <v>25</v>
      </c>
      <c r="G263" s="868">
        <v>28</v>
      </c>
      <c r="H263" s="868">
        <v>24</v>
      </c>
      <c r="I263" s="868">
        <v>24</v>
      </c>
      <c r="J263" s="868">
        <v>24</v>
      </c>
      <c r="K263" s="868">
        <v>24</v>
      </c>
      <c r="L263" s="868">
        <v>24</v>
      </c>
      <c r="M263" s="869"/>
      <c r="O263" s="690"/>
      <c r="R263" s="85"/>
      <c r="S263" s="690"/>
    </row>
    <row r="264" spans="1:19" ht="13">
      <c r="A264" s="865">
        <v>3420</v>
      </c>
      <c r="B264" s="866" t="s">
        <v>834</v>
      </c>
      <c r="C264" s="867" t="s">
        <v>1041</v>
      </c>
      <c r="D264" s="868">
        <v>56</v>
      </c>
      <c r="E264" s="868">
        <v>57</v>
      </c>
      <c r="F264" s="868">
        <v>55</v>
      </c>
      <c r="G264" s="868">
        <v>55</v>
      </c>
      <c r="H264" s="868">
        <v>55</v>
      </c>
      <c r="I264" s="868">
        <v>55</v>
      </c>
      <c r="J264" s="868">
        <v>55</v>
      </c>
      <c r="K264" s="868">
        <v>55</v>
      </c>
      <c r="L264" s="868">
        <v>55</v>
      </c>
      <c r="M264" s="869">
        <v>1500</v>
      </c>
      <c r="O264" s="690"/>
      <c r="R264" s="85"/>
      <c r="S264" s="690"/>
    </row>
    <row r="265" spans="1:19" ht="13">
      <c r="A265" s="865">
        <v>3421</v>
      </c>
      <c r="B265" s="866" t="s">
        <v>835</v>
      </c>
      <c r="C265" s="867" t="s">
        <v>1043</v>
      </c>
      <c r="D265" s="868">
        <v>18</v>
      </c>
      <c r="E265" s="868">
        <v>15</v>
      </c>
      <c r="F265" s="868">
        <v>14</v>
      </c>
      <c r="G265" s="868">
        <v>17</v>
      </c>
      <c r="H265" s="868">
        <v>18</v>
      </c>
      <c r="I265" s="868">
        <v>18</v>
      </c>
      <c r="J265" s="868">
        <v>18</v>
      </c>
      <c r="K265" s="868">
        <v>18</v>
      </c>
      <c r="L265" s="868">
        <v>18</v>
      </c>
      <c r="M265" s="869"/>
      <c r="O265" s="690"/>
      <c r="R265" s="85"/>
      <c r="S265" s="690"/>
    </row>
    <row r="266" spans="1:19" ht="13">
      <c r="A266" s="865">
        <v>3422</v>
      </c>
      <c r="B266" s="866" t="s">
        <v>836</v>
      </c>
      <c r="C266" s="867" t="s">
        <v>1043</v>
      </c>
      <c r="D266" s="868">
        <v>36</v>
      </c>
      <c r="E266" s="868">
        <v>39</v>
      </c>
      <c r="F266" s="868">
        <v>36</v>
      </c>
      <c r="G266" s="868">
        <v>40</v>
      </c>
      <c r="H266" s="868">
        <v>42</v>
      </c>
      <c r="I266" s="868">
        <v>42</v>
      </c>
      <c r="J266" s="868">
        <v>42</v>
      </c>
      <c r="K266" s="868">
        <v>42</v>
      </c>
      <c r="L266" s="868">
        <v>42</v>
      </c>
      <c r="M266" s="869"/>
      <c r="O266" s="690"/>
      <c r="R266" s="85"/>
      <c r="S266" s="690"/>
    </row>
    <row r="267" spans="1:19" ht="13">
      <c r="A267" s="865">
        <v>3423</v>
      </c>
      <c r="B267" s="866" t="s">
        <v>837</v>
      </c>
      <c r="C267" s="867" t="s">
        <v>1043</v>
      </c>
      <c r="D267" s="868">
        <v>8</v>
      </c>
      <c r="E267" s="868">
        <v>11</v>
      </c>
      <c r="F267" s="868">
        <v>7</v>
      </c>
      <c r="G267" s="868">
        <v>8</v>
      </c>
      <c r="H267" s="868">
        <v>7</v>
      </c>
      <c r="I267" s="868">
        <v>7</v>
      </c>
      <c r="J267" s="868">
        <v>7</v>
      </c>
      <c r="K267" s="868">
        <v>7</v>
      </c>
      <c r="L267" s="868">
        <v>7</v>
      </c>
      <c r="M267" s="869"/>
      <c r="O267" s="690"/>
      <c r="R267" s="85"/>
      <c r="S267" s="690"/>
    </row>
    <row r="268" spans="1:19" ht="13">
      <c r="A268" s="865">
        <v>3424</v>
      </c>
      <c r="B268" s="866" t="s">
        <v>838</v>
      </c>
      <c r="C268" s="867" t="s">
        <v>1043</v>
      </c>
      <c r="D268" s="868">
        <v>18</v>
      </c>
      <c r="E268" s="868">
        <v>19</v>
      </c>
      <c r="F268" s="868">
        <v>17</v>
      </c>
      <c r="G268" s="868">
        <v>14</v>
      </c>
      <c r="H268" s="868">
        <v>15</v>
      </c>
      <c r="I268" s="868">
        <v>15</v>
      </c>
      <c r="J268" s="868">
        <v>15</v>
      </c>
      <c r="K268" s="868">
        <v>15</v>
      </c>
      <c r="L268" s="868">
        <v>15</v>
      </c>
      <c r="M268" s="869"/>
      <c r="O268" s="690"/>
      <c r="R268" s="85"/>
      <c r="S268" s="690"/>
    </row>
    <row r="269" spans="1:19" ht="13">
      <c r="A269" s="865">
        <v>3425</v>
      </c>
      <c r="B269" s="866" t="s">
        <v>839</v>
      </c>
      <c r="C269" s="867" t="s">
        <v>1043</v>
      </c>
      <c r="D269" s="868">
        <v>16</v>
      </c>
      <c r="E269" s="868">
        <v>14</v>
      </c>
      <c r="F269" s="868">
        <v>14</v>
      </c>
      <c r="G269" s="868">
        <v>18</v>
      </c>
      <c r="H269" s="868">
        <v>17</v>
      </c>
      <c r="I269" s="868">
        <v>17</v>
      </c>
      <c r="J269" s="868">
        <v>17</v>
      </c>
      <c r="K269" s="868">
        <v>17</v>
      </c>
      <c r="L269" s="868">
        <v>17</v>
      </c>
      <c r="M269" s="869"/>
      <c r="O269" s="690"/>
      <c r="R269" s="85"/>
      <c r="S269" s="690"/>
    </row>
    <row r="270" spans="1:19" ht="13">
      <c r="A270" s="865">
        <v>3426</v>
      </c>
      <c r="B270" s="866" t="s">
        <v>840</v>
      </c>
      <c r="C270" s="867" t="s">
        <v>1043</v>
      </c>
      <c r="D270" s="868">
        <v>26</v>
      </c>
      <c r="E270" s="868">
        <v>23</v>
      </c>
      <c r="F270" s="868">
        <v>22</v>
      </c>
      <c r="G270" s="868">
        <v>26</v>
      </c>
      <c r="H270" s="868">
        <v>25</v>
      </c>
      <c r="I270" s="868">
        <v>25</v>
      </c>
      <c r="J270" s="868">
        <v>25</v>
      </c>
      <c r="K270" s="868">
        <v>25</v>
      </c>
      <c r="L270" s="868">
        <v>25</v>
      </c>
      <c r="M270" s="869"/>
      <c r="O270" s="690"/>
      <c r="R270" s="85"/>
      <c r="S270" s="690"/>
    </row>
    <row r="271" spans="1:19" ht="13">
      <c r="A271" s="865">
        <v>3427</v>
      </c>
      <c r="B271" s="866" t="s">
        <v>841</v>
      </c>
      <c r="C271" s="867" t="s">
        <v>1043</v>
      </c>
      <c r="D271" s="868">
        <v>43</v>
      </c>
      <c r="E271" s="868">
        <v>39</v>
      </c>
      <c r="F271" s="868">
        <v>37</v>
      </c>
      <c r="G271" s="868">
        <v>37</v>
      </c>
      <c r="H271" s="868">
        <v>38</v>
      </c>
      <c r="I271" s="868">
        <v>38</v>
      </c>
      <c r="J271" s="868">
        <v>38</v>
      </c>
      <c r="K271" s="868">
        <v>38</v>
      </c>
      <c r="L271" s="868">
        <v>38</v>
      </c>
      <c r="M271" s="869"/>
      <c r="O271" s="690"/>
      <c r="R271" s="85"/>
      <c r="S271" s="690"/>
    </row>
    <row r="272" spans="1:19" ht="13">
      <c r="A272" s="865">
        <v>3428</v>
      </c>
      <c r="B272" s="866" t="s">
        <v>842</v>
      </c>
      <c r="C272" s="867" t="s">
        <v>1043</v>
      </c>
      <c r="D272" s="868">
        <v>41</v>
      </c>
      <c r="E272" s="868">
        <v>42</v>
      </c>
      <c r="F272" s="868">
        <v>38</v>
      </c>
      <c r="G272" s="868">
        <v>41</v>
      </c>
      <c r="H272" s="868">
        <v>39</v>
      </c>
      <c r="I272" s="868">
        <v>39</v>
      </c>
      <c r="J272" s="868">
        <v>39</v>
      </c>
      <c r="K272" s="868">
        <v>39</v>
      </c>
      <c r="L272" s="868">
        <v>39</v>
      </c>
      <c r="M272" s="869"/>
      <c r="O272" s="690"/>
      <c r="R272" s="85"/>
      <c r="S272" s="690"/>
    </row>
    <row r="273" spans="1:19" ht="13">
      <c r="A273" s="865">
        <v>3429</v>
      </c>
      <c r="B273" s="866" t="s">
        <v>843</v>
      </c>
      <c r="C273" s="867" t="s">
        <v>1043</v>
      </c>
      <c r="D273" s="868">
        <v>20</v>
      </c>
      <c r="E273" s="868">
        <v>19</v>
      </c>
      <c r="F273" s="868">
        <v>19</v>
      </c>
      <c r="G273" s="868">
        <v>18</v>
      </c>
      <c r="H273" s="868">
        <v>18</v>
      </c>
      <c r="I273" s="868">
        <v>18</v>
      </c>
      <c r="J273" s="868">
        <v>18</v>
      </c>
      <c r="K273" s="868">
        <v>18</v>
      </c>
      <c r="L273" s="868">
        <v>18</v>
      </c>
      <c r="M273" s="869"/>
      <c r="O273" s="690"/>
      <c r="R273" s="85"/>
      <c r="S273" s="690"/>
    </row>
    <row r="274" spans="1:19" ht="13">
      <c r="A274" s="865">
        <v>3430</v>
      </c>
      <c r="B274" s="866" t="s">
        <v>844</v>
      </c>
      <c r="C274" s="867" t="s">
        <v>1043</v>
      </c>
      <c r="D274" s="868">
        <v>27</v>
      </c>
      <c r="E274" s="868">
        <v>24</v>
      </c>
      <c r="F274" s="868">
        <v>25</v>
      </c>
      <c r="G274" s="868">
        <v>25</v>
      </c>
      <c r="H274" s="868">
        <v>23</v>
      </c>
      <c r="I274" s="868">
        <v>23</v>
      </c>
      <c r="J274" s="868">
        <v>23</v>
      </c>
      <c r="K274" s="868">
        <v>23</v>
      </c>
      <c r="L274" s="868">
        <v>23</v>
      </c>
      <c r="M274" s="869"/>
      <c r="O274" s="690"/>
      <c r="R274" s="85"/>
      <c r="S274" s="690"/>
    </row>
    <row r="275" spans="1:19" ht="13">
      <c r="A275" s="865">
        <v>3431</v>
      </c>
      <c r="B275" s="866" t="s">
        <v>847</v>
      </c>
      <c r="C275" s="867" t="s">
        <v>1043</v>
      </c>
      <c r="D275" s="868">
        <v>17</v>
      </c>
      <c r="E275" s="868">
        <v>12</v>
      </c>
      <c r="F275" s="868">
        <v>16</v>
      </c>
      <c r="G275" s="868">
        <v>13</v>
      </c>
      <c r="H275" s="868">
        <v>12</v>
      </c>
      <c r="I275" s="868">
        <v>12</v>
      </c>
      <c r="J275" s="868">
        <v>12</v>
      </c>
      <c r="K275" s="868">
        <v>12</v>
      </c>
      <c r="L275" s="868">
        <v>12</v>
      </c>
      <c r="M275" s="869"/>
      <c r="O275" s="690"/>
      <c r="R275" s="85"/>
      <c r="S275" s="690"/>
    </row>
    <row r="276" spans="1:19" ht="13">
      <c r="A276" s="865">
        <v>3432</v>
      </c>
      <c r="B276" s="866" t="s">
        <v>848</v>
      </c>
      <c r="C276" s="867" t="s">
        <v>1043</v>
      </c>
      <c r="D276" s="868">
        <v>24</v>
      </c>
      <c r="E276" s="868">
        <v>17</v>
      </c>
      <c r="F276" s="868">
        <v>18</v>
      </c>
      <c r="G276" s="868">
        <v>18</v>
      </c>
      <c r="H276" s="868">
        <v>19</v>
      </c>
      <c r="I276" s="868">
        <v>19</v>
      </c>
      <c r="J276" s="868">
        <v>19</v>
      </c>
      <c r="K276" s="868">
        <v>19</v>
      </c>
      <c r="L276" s="868">
        <v>19</v>
      </c>
      <c r="M276" s="869"/>
      <c r="O276" s="690"/>
      <c r="R276" s="85"/>
      <c r="S276" s="690"/>
    </row>
    <row r="277" spans="1:19" ht="13">
      <c r="A277" s="865">
        <v>3433</v>
      </c>
      <c r="B277" s="866" t="s">
        <v>849</v>
      </c>
      <c r="C277" s="867" t="s">
        <v>1043</v>
      </c>
      <c r="D277" s="868">
        <v>21</v>
      </c>
      <c r="E277" s="868">
        <v>15</v>
      </c>
      <c r="F277" s="868">
        <v>18</v>
      </c>
      <c r="G277" s="868">
        <v>15</v>
      </c>
      <c r="H277" s="868">
        <v>12</v>
      </c>
      <c r="I277" s="868">
        <v>12</v>
      </c>
      <c r="J277" s="868">
        <v>12</v>
      </c>
      <c r="K277" s="868">
        <v>12</v>
      </c>
      <c r="L277" s="868">
        <v>12</v>
      </c>
      <c r="M277" s="869"/>
      <c r="O277" s="690"/>
      <c r="R277" s="85"/>
      <c r="S277" s="690"/>
    </row>
    <row r="278" spans="1:19" ht="13">
      <c r="A278" s="865">
        <v>3434</v>
      </c>
      <c r="B278" s="866" t="s">
        <v>850</v>
      </c>
      <c r="C278" s="867" t="s">
        <v>1043</v>
      </c>
      <c r="D278" s="868">
        <v>19</v>
      </c>
      <c r="E278" s="868">
        <v>15</v>
      </c>
      <c r="F278" s="868">
        <v>18</v>
      </c>
      <c r="G278" s="868">
        <v>18</v>
      </c>
      <c r="H278" s="868">
        <v>16</v>
      </c>
      <c r="I278" s="868">
        <v>16</v>
      </c>
      <c r="J278" s="868">
        <v>16</v>
      </c>
      <c r="K278" s="868">
        <v>16</v>
      </c>
      <c r="L278" s="868">
        <v>16</v>
      </c>
      <c r="M278" s="869"/>
      <c r="O278" s="690"/>
      <c r="R278" s="85"/>
      <c r="S278" s="690"/>
    </row>
    <row r="279" spans="1:19" ht="13">
      <c r="A279" s="865">
        <v>3435</v>
      </c>
      <c r="B279" s="866" t="s">
        <v>851</v>
      </c>
      <c r="C279" s="867" t="s">
        <v>1043</v>
      </c>
      <c r="D279" s="868">
        <v>23</v>
      </c>
      <c r="E279" s="868">
        <v>22</v>
      </c>
      <c r="F279" s="868">
        <v>21</v>
      </c>
      <c r="G279" s="868">
        <v>21</v>
      </c>
      <c r="H279" s="868">
        <v>21</v>
      </c>
      <c r="I279" s="868">
        <v>21</v>
      </c>
      <c r="J279" s="868">
        <v>21</v>
      </c>
      <c r="K279" s="868">
        <v>21</v>
      </c>
      <c r="L279" s="868">
        <v>21</v>
      </c>
      <c r="M279" s="869"/>
      <c r="O279" s="690"/>
      <c r="R279" s="85"/>
      <c r="S279" s="690"/>
    </row>
    <row r="280" spans="1:19" ht="13">
      <c r="A280" s="865">
        <v>3436</v>
      </c>
      <c r="B280" s="866" t="s">
        <v>852</v>
      </c>
      <c r="C280" s="867" t="s">
        <v>1043</v>
      </c>
      <c r="D280" s="868">
        <v>34</v>
      </c>
      <c r="E280" s="868">
        <v>29</v>
      </c>
      <c r="F280" s="868">
        <v>28</v>
      </c>
      <c r="G280" s="868">
        <v>31</v>
      </c>
      <c r="H280" s="868">
        <v>27</v>
      </c>
      <c r="I280" s="868">
        <v>27</v>
      </c>
      <c r="J280" s="868">
        <v>27</v>
      </c>
      <c r="K280" s="868">
        <v>27</v>
      </c>
      <c r="L280" s="868">
        <v>27</v>
      </c>
      <c r="M280" s="869"/>
      <c r="O280" s="690"/>
      <c r="R280" s="85"/>
      <c r="S280" s="690"/>
    </row>
    <row r="281" spans="1:19" ht="13">
      <c r="A281" s="865">
        <v>3437</v>
      </c>
      <c r="B281" s="866" t="s">
        <v>853</v>
      </c>
      <c r="C281" s="867" t="s">
        <v>1043</v>
      </c>
      <c r="D281" s="868">
        <v>17</v>
      </c>
      <c r="E281" s="868">
        <v>18</v>
      </c>
      <c r="F281" s="868">
        <v>17</v>
      </c>
      <c r="G281" s="868">
        <v>16</v>
      </c>
      <c r="H281" s="868">
        <v>15</v>
      </c>
      <c r="I281" s="868">
        <v>15</v>
      </c>
      <c r="J281" s="868">
        <v>15</v>
      </c>
      <c r="K281" s="868">
        <v>15</v>
      </c>
      <c r="L281" s="868">
        <v>15</v>
      </c>
      <c r="M281" s="869"/>
      <c r="O281" s="690"/>
      <c r="R281" s="85"/>
      <c r="S281" s="690"/>
    </row>
    <row r="282" spans="1:19" ht="13">
      <c r="A282" s="865">
        <v>3438</v>
      </c>
      <c r="B282" s="866" t="s">
        <v>854</v>
      </c>
      <c r="C282" s="867" t="s">
        <v>1043</v>
      </c>
      <c r="D282" s="868">
        <v>29</v>
      </c>
      <c r="E282" s="868">
        <v>28</v>
      </c>
      <c r="F282" s="868">
        <v>34</v>
      </c>
      <c r="G282" s="868">
        <v>32</v>
      </c>
      <c r="H282" s="868">
        <v>36</v>
      </c>
      <c r="I282" s="868">
        <v>36</v>
      </c>
      <c r="J282" s="868">
        <v>36</v>
      </c>
      <c r="K282" s="868">
        <v>36</v>
      </c>
      <c r="L282" s="868">
        <v>36</v>
      </c>
      <c r="M282" s="869"/>
      <c r="O282" s="690"/>
      <c r="R282" s="85"/>
      <c r="S282" s="690"/>
    </row>
    <row r="283" spans="1:19" ht="13">
      <c r="A283" s="865">
        <v>3439</v>
      </c>
      <c r="B283" s="866" t="s">
        <v>855</v>
      </c>
      <c r="C283" s="867" t="s">
        <v>1042</v>
      </c>
      <c r="D283" s="868">
        <v>33</v>
      </c>
      <c r="E283" s="868">
        <v>32</v>
      </c>
      <c r="F283" s="868">
        <v>32</v>
      </c>
      <c r="G283" s="868">
        <v>30</v>
      </c>
      <c r="H283" s="868">
        <v>31</v>
      </c>
      <c r="I283" s="868">
        <v>31</v>
      </c>
      <c r="J283" s="868">
        <v>31</v>
      </c>
      <c r="K283" s="868">
        <v>31</v>
      </c>
      <c r="L283" s="868">
        <v>31</v>
      </c>
      <c r="M283" s="869"/>
      <c r="O283" s="690"/>
      <c r="R283" s="85"/>
      <c r="S283" s="690"/>
    </row>
    <row r="284" spans="1:19" ht="13">
      <c r="A284" s="865">
        <v>3440</v>
      </c>
      <c r="B284" s="866" t="s">
        <v>856</v>
      </c>
      <c r="C284" s="867" t="s">
        <v>1044</v>
      </c>
      <c r="D284" s="868">
        <v>48</v>
      </c>
      <c r="E284" s="868">
        <v>45</v>
      </c>
      <c r="F284" s="868">
        <v>44</v>
      </c>
      <c r="G284" s="868">
        <v>46</v>
      </c>
      <c r="H284" s="868">
        <v>45</v>
      </c>
      <c r="I284" s="868">
        <v>45</v>
      </c>
      <c r="J284" s="868">
        <v>45</v>
      </c>
      <c r="K284" s="868">
        <v>45</v>
      </c>
      <c r="L284" s="868">
        <v>45</v>
      </c>
      <c r="M284" s="869">
        <v>472</v>
      </c>
      <c r="O284" s="690"/>
      <c r="R284" s="85"/>
      <c r="S284" s="690"/>
    </row>
    <row r="285" spans="1:19" ht="13">
      <c r="A285" s="865">
        <v>3441</v>
      </c>
      <c r="B285" s="866" t="s">
        <v>857</v>
      </c>
      <c r="C285" s="867" t="s">
        <v>1042</v>
      </c>
      <c r="D285" s="868">
        <v>43</v>
      </c>
      <c r="E285" s="868">
        <v>46</v>
      </c>
      <c r="F285" s="868">
        <v>47</v>
      </c>
      <c r="G285" s="868">
        <v>46</v>
      </c>
      <c r="H285" s="868">
        <v>44</v>
      </c>
      <c r="I285" s="868">
        <v>44</v>
      </c>
      <c r="J285" s="868">
        <v>44</v>
      </c>
      <c r="K285" s="868">
        <v>44</v>
      </c>
      <c r="L285" s="868">
        <v>44</v>
      </c>
      <c r="M285" s="869"/>
      <c r="O285" s="690"/>
      <c r="R285" s="85"/>
      <c r="S285" s="690"/>
    </row>
    <row r="286" spans="1:19" ht="13">
      <c r="A286" s="865">
        <v>3442</v>
      </c>
      <c r="B286" s="866" t="s">
        <v>858</v>
      </c>
      <c r="C286" s="867" t="s">
        <v>1041</v>
      </c>
      <c r="D286" s="868">
        <v>53</v>
      </c>
      <c r="E286" s="868">
        <v>48</v>
      </c>
      <c r="F286" s="868">
        <v>46</v>
      </c>
      <c r="G286" s="868">
        <v>48</v>
      </c>
      <c r="H286" s="868">
        <v>49</v>
      </c>
      <c r="I286" s="868">
        <v>49</v>
      </c>
      <c r="J286" s="868">
        <v>49</v>
      </c>
      <c r="K286" s="868">
        <v>49</v>
      </c>
      <c r="L286" s="868">
        <v>49</v>
      </c>
      <c r="M286" s="869">
        <v>1389</v>
      </c>
      <c r="O286" s="690"/>
      <c r="R286" s="85"/>
      <c r="S286" s="690"/>
    </row>
    <row r="287" spans="1:19" ht="13">
      <c r="A287" s="865">
        <v>3443</v>
      </c>
      <c r="B287" s="866" t="s">
        <v>859</v>
      </c>
      <c r="C287" s="867" t="s">
        <v>1041</v>
      </c>
      <c r="D287" s="868">
        <v>42</v>
      </c>
      <c r="E287" s="868">
        <v>46</v>
      </c>
      <c r="F287" s="868">
        <v>48</v>
      </c>
      <c r="G287" s="868">
        <v>52</v>
      </c>
      <c r="H287" s="868">
        <v>49</v>
      </c>
      <c r="I287" s="868">
        <v>49</v>
      </c>
      <c r="J287" s="868">
        <v>49</v>
      </c>
      <c r="K287" s="868">
        <v>49</v>
      </c>
      <c r="L287" s="868">
        <v>49</v>
      </c>
      <c r="M287" s="869">
        <v>1220</v>
      </c>
      <c r="O287" s="690"/>
      <c r="R287" s="85"/>
      <c r="S287" s="690"/>
    </row>
    <row r="288" spans="1:19" ht="13">
      <c r="A288" s="865">
        <v>3446</v>
      </c>
      <c r="B288" s="866" t="s">
        <v>862</v>
      </c>
      <c r="C288" s="867" t="s">
        <v>1041</v>
      </c>
      <c r="D288" s="868">
        <v>62</v>
      </c>
      <c r="E288" s="868">
        <v>59</v>
      </c>
      <c r="F288" s="868">
        <v>59</v>
      </c>
      <c r="G288" s="868">
        <v>59</v>
      </c>
      <c r="H288" s="868">
        <v>57</v>
      </c>
      <c r="I288" s="868">
        <v>57</v>
      </c>
      <c r="J288" s="868">
        <v>57</v>
      </c>
      <c r="K288" s="868">
        <v>57</v>
      </c>
      <c r="L288" s="868">
        <v>57</v>
      </c>
      <c r="M288" s="869">
        <v>1272</v>
      </c>
      <c r="O288" s="690"/>
      <c r="R288" s="85"/>
      <c r="S288" s="690"/>
    </row>
    <row r="289" spans="1:19" ht="13">
      <c r="A289" s="865">
        <v>3447</v>
      </c>
      <c r="B289" s="866" t="s">
        <v>863</v>
      </c>
      <c r="C289" s="867" t="s">
        <v>1042</v>
      </c>
      <c r="D289" s="868">
        <v>29</v>
      </c>
      <c r="E289" s="868">
        <v>27</v>
      </c>
      <c r="F289" s="868">
        <v>28</v>
      </c>
      <c r="G289" s="868">
        <v>28</v>
      </c>
      <c r="H289" s="868">
        <v>27</v>
      </c>
      <c r="I289" s="868">
        <v>27</v>
      </c>
      <c r="J289" s="868">
        <v>27</v>
      </c>
      <c r="K289" s="868">
        <v>27</v>
      </c>
      <c r="L289" s="868">
        <v>27</v>
      </c>
      <c r="M289" s="869"/>
      <c r="O289" s="690"/>
      <c r="R289" s="85"/>
      <c r="S289" s="690"/>
    </row>
    <row r="290" spans="1:19" ht="13">
      <c r="A290" s="865">
        <v>3448</v>
      </c>
      <c r="B290" s="866" t="s">
        <v>864</v>
      </c>
      <c r="C290" s="867" t="s">
        <v>1042</v>
      </c>
      <c r="D290" s="868">
        <v>37</v>
      </c>
      <c r="E290" s="868">
        <v>35</v>
      </c>
      <c r="F290" s="868">
        <v>36</v>
      </c>
      <c r="G290" s="868">
        <v>40</v>
      </c>
      <c r="H290" s="868">
        <v>39</v>
      </c>
      <c r="I290" s="868">
        <v>39</v>
      </c>
      <c r="J290" s="868">
        <v>39</v>
      </c>
      <c r="K290" s="868">
        <v>39</v>
      </c>
      <c r="L290" s="868">
        <v>39</v>
      </c>
      <c r="M290" s="869"/>
      <c r="O290" s="690"/>
      <c r="R290" s="85"/>
      <c r="S290" s="690"/>
    </row>
    <row r="291" spans="1:19" ht="13">
      <c r="A291" s="865">
        <v>3449</v>
      </c>
      <c r="B291" s="866" t="s">
        <v>865</v>
      </c>
      <c r="C291" s="867" t="s">
        <v>1042</v>
      </c>
      <c r="D291" s="868">
        <v>24</v>
      </c>
      <c r="E291" s="868">
        <v>25</v>
      </c>
      <c r="F291" s="868">
        <v>25</v>
      </c>
      <c r="G291" s="868">
        <v>23</v>
      </c>
      <c r="H291" s="868">
        <v>21</v>
      </c>
      <c r="I291" s="868">
        <v>21</v>
      </c>
      <c r="J291" s="868">
        <v>21</v>
      </c>
      <c r="K291" s="868">
        <v>21</v>
      </c>
      <c r="L291" s="868">
        <v>21</v>
      </c>
      <c r="M291" s="869"/>
      <c r="O291" s="690"/>
      <c r="R291" s="85"/>
      <c r="S291" s="690"/>
    </row>
    <row r="292" spans="1:19" ht="13">
      <c r="A292" s="865">
        <v>3450</v>
      </c>
      <c r="B292" s="866" t="s">
        <v>866</v>
      </c>
      <c r="C292" s="867" t="s">
        <v>1042</v>
      </c>
      <c r="D292" s="868">
        <v>28</v>
      </c>
      <c r="E292" s="868">
        <v>26</v>
      </c>
      <c r="F292" s="868">
        <v>25</v>
      </c>
      <c r="G292" s="868">
        <v>31</v>
      </c>
      <c r="H292" s="868">
        <v>32</v>
      </c>
      <c r="I292" s="868">
        <v>32</v>
      </c>
      <c r="J292" s="868">
        <v>32</v>
      </c>
      <c r="K292" s="868">
        <v>32</v>
      </c>
      <c r="L292" s="868">
        <v>32</v>
      </c>
      <c r="M292" s="869"/>
      <c r="O292" s="690"/>
      <c r="R292" s="85"/>
      <c r="S292" s="690"/>
    </row>
    <row r="293" spans="1:19" ht="13">
      <c r="A293" s="865">
        <v>3451</v>
      </c>
      <c r="B293" s="866" t="s">
        <v>867</v>
      </c>
      <c r="C293" s="867" t="s">
        <v>1042</v>
      </c>
      <c r="D293" s="868">
        <v>32</v>
      </c>
      <c r="E293" s="868">
        <v>29</v>
      </c>
      <c r="F293" s="868">
        <v>33</v>
      </c>
      <c r="G293" s="868">
        <v>33</v>
      </c>
      <c r="H293" s="868">
        <v>33</v>
      </c>
      <c r="I293" s="868">
        <v>33</v>
      </c>
      <c r="J293" s="868">
        <v>33</v>
      </c>
      <c r="K293" s="868">
        <v>33</v>
      </c>
      <c r="L293" s="868">
        <v>33</v>
      </c>
      <c r="M293" s="869"/>
      <c r="O293" s="690"/>
      <c r="R293" s="85"/>
      <c r="S293" s="690"/>
    </row>
    <row r="294" spans="1:19" ht="13">
      <c r="A294" s="865">
        <v>3452</v>
      </c>
      <c r="B294" s="866" t="s">
        <v>868</v>
      </c>
      <c r="C294" s="867" t="s">
        <v>1042</v>
      </c>
      <c r="D294" s="868">
        <v>29</v>
      </c>
      <c r="E294" s="868">
        <v>25</v>
      </c>
      <c r="F294" s="868">
        <v>28</v>
      </c>
      <c r="G294" s="868">
        <v>27</v>
      </c>
      <c r="H294" s="868">
        <v>24</v>
      </c>
      <c r="I294" s="868">
        <v>24</v>
      </c>
      <c r="J294" s="868">
        <v>24</v>
      </c>
      <c r="K294" s="868">
        <v>24</v>
      </c>
      <c r="L294" s="868">
        <v>24</v>
      </c>
      <c r="M294" s="869"/>
      <c r="O294" s="690"/>
      <c r="R294" s="85"/>
      <c r="S294" s="690"/>
    </row>
    <row r="295" spans="1:19" ht="13">
      <c r="A295" s="865">
        <v>3453</v>
      </c>
      <c r="B295" s="866" t="s">
        <v>869</v>
      </c>
      <c r="C295" s="867" t="s">
        <v>1042</v>
      </c>
      <c r="D295" s="868">
        <v>39</v>
      </c>
      <c r="E295" s="868">
        <v>38</v>
      </c>
      <c r="F295" s="868">
        <v>36</v>
      </c>
      <c r="G295" s="868">
        <v>38</v>
      </c>
      <c r="H295" s="868">
        <v>37</v>
      </c>
      <c r="I295" s="868">
        <v>37</v>
      </c>
      <c r="J295" s="868">
        <v>37</v>
      </c>
      <c r="K295" s="868">
        <v>37</v>
      </c>
      <c r="L295" s="868">
        <v>37</v>
      </c>
      <c r="M295" s="869"/>
      <c r="O295" s="690"/>
      <c r="R295" s="85"/>
      <c r="S295" s="690"/>
    </row>
    <row r="296" spans="1:19" ht="13">
      <c r="A296" s="865">
        <v>3454</v>
      </c>
      <c r="B296" s="866" t="s">
        <v>870</v>
      </c>
      <c r="C296" s="867" t="s">
        <v>1042</v>
      </c>
      <c r="D296" s="868">
        <v>31</v>
      </c>
      <c r="E296" s="868">
        <v>31</v>
      </c>
      <c r="F296" s="868">
        <v>27</v>
      </c>
      <c r="G296" s="868">
        <v>29</v>
      </c>
      <c r="H296" s="868">
        <v>28</v>
      </c>
      <c r="I296" s="868">
        <v>28</v>
      </c>
      <c r="J296" s="868">
        <v>28</v>
      </c>
      <c r="K296" s="868">
        <v>28</v>
      </c>
      <c r="L296" s="868">
        <v>28</v>
      </c>
      <c r="M296" s="869"/>
      <c r="O296" s="690"/>
      <c r="R296" s="85"/>
      <c r="S296" s="690"/>
    </row>
    <row r="297" spans="1:19" ht="13">
      <c r="A297" s="865">
        <v>3801</v>
      </c>
      <c r="B297" s="876" t="s">
        <v>346</v>
      </c>
      <c r="C297" s="867" t="s">
        <v>1041</v>
      </c>
      <c r="D297" s="868">
        <v>69</v>
      </c>
      <c r="E297" s="868">
        <v>69</v>
      </c>
      <c r="F297" s="868">
        <v>68</v>
      </c>
      <c r="G297" s="868">
        <v>68</v>
      </c>
      <c r="H297" s="868">
        <v>66</v>
      </c>
      <c r="I297" s="868">
        <v>66</v>
      </c>
      <c r="J297" s="868">
        <v>66</v>
      </c>
      <c r="K297" s="868">
        <v>66</v>
      </c>
      <c r="L297" s="868">
        <v>66</v>
      </c>
      <c r="M297" s="869">
        <v>1334</v>
      </c>
      <c r="O297" s="690"/>
      <c r="R297" s="85"/>
      <c r="S297" s="690"/>
    </row>
    <row r="298" spans="1:19" ht="13">
      <c r="A298" s="878">
        <v>3802</v>
      </c>
      <c r="B298" s="879" t="s">
        <v>1625</v>
      </c>
      <c r="C298" s="880"/>
      <c r="D298" s="881"/>
      <c r="E298" s="881"/>
      <c r="F298" s="881"/>
      <c r="G298" s="881"/>
      <c r="H298" s="881"/>
      <c r="I298" s="881">
        <v>71</v>
      </c>
      <c r="J298" s="881">
        <v>71</v>
      </c>
      <c r="K298" s="881">
        <v>71</v>
      </c>
      <c r="L298" s="881">
        <v>71</v>
      </c>
      <c r="M298" s="882"/>
      <c r="O298" s="690"/>
      <c r="R298" s="85"/>
      <c r="S298" s="690"/>
    </row>
    <row r="299" spans="1:19" ht="13">
      <c r="A299" s="878">
        <v>3803</v>
      </c>
      <c r="B299" s="879" t="s">
        <v>1626</v>
      </c>
      <c r="C299" s="880"/>
      <c r="D299" s="881"/>
      <c r="E299" s="881"/>
      <c r="F299" s="881"/>
      <c r="G299" s="881"/>
      <c r="H299" s="881"/>
      <c r="I299" s="881">
        <v>80</v>
      </c>
      <c r="J299" s="881">
        <v>80</v>
      </c>
      <c r="K299" s="881">
        <v>80</v>
      </c>
      <c r="L299" s="881">
        <v>80</v>
      </c>
      <c r="M299" s="882"/>
      <c r="O299" s="690"/>
      <c r="R299" s="85"/>
      <c r="S299" s="690"/>
    </row>
    <row r="300" spans="1:19" ht="13">
      <c r="A300" s="865">
        <v>3804</v>
      </c>
      <c r="B300" s="876" t="s">
        <v>1153</v>
      </c>
      <c r="C300" s="867"/>
      <c r="D300" s="868"/>
      <c r="E300" s="868"/>
      <c r="F300" s="868">
        <v>69</v>
      </c>
      <c r="G300" s="868">
        <v>68.275278915026959</v>
      </c>
      <c r="H300" s="868">
        <v>68</v>
      </c>
      <c r="I300" s="868">
        <v>68</v>
      </c>
      <c r="J300" s="868">
        <v>68</v>
      </c>
      <c r="K300" s="868">
        <v>68</v>
      </c>
      <c r="L300" s="868">
        <v>68</v>
      </c>
      <c r="M300" s="869"/>
      <c r="O300" s="690"/>
      <c r="R300" s="85"/>
      <c r="S300" s="690"/>
    </row>
    <row r="301" spans="1:19" ht="13">
      <c r="A301" s="865">
        <v>3805</v>
      </c>
      <c r="B301" s="876" t="s">
        <v>1235</v>
      </c>
      <c r="C301" s="867"/>
      <c r="D301" s="868"/>
      <c r="E301" s="868"/>
      <c r="F301" s="868"/>
      <c r="G301" s="868">
        <v>53</v>
      </c>
      <c r="H301" s="868">
        <v>54</v>
      </c>
      <c r="I301" s="868">
        <v>54</v>
      </c>
      <c r="J301" s="868">
        <v>54</v>
      </c>
      <c r="K301" s="868">
        <v>54</v>
      </c>
      <c r="L301" s="868">
        <v>54</v>
      </c>
      <c r="M301" s="869"/>
      <c r="O301" s="690"/>
      <c r="R301" s="85"/>
      <c r="S301" s="690"/>
    </row>
    <row r="302" spans="1:19" ht="13">
      <c r="A302" s="865">
        <v>3806</v>
      </c>
      <c r="B302" s="876" t="s">
        <v>904</v>
      </c>
      <c r="C302" s="867" t="s">
        <v>1041</v>
      </c>
      <c r="D302" s="868">
        <v>62</v>
      </c>
      <c r="E302" s="868">
        <v>62</v>
      </c>
      <c r="F302" s="868">
        <v>60</v>
      </c>
      <c r="G302" s="868">
        <v>58</v>
      </c>
      <c r="H302" s="868">
        <v>57</v>
      </c>
      <c r="I302" s="868">
        <v>57</v>
      </c>
      <c r="J302" s="868">
        <v>57</v>
      </c>
      <c r="K302" s="868">
        <v>57</v>
      </c>
      <c r="L302" s="868">
        <v>57</v>
      </c>
      <c r="M302" s="869"/>
      <c r="O302" s="690"/>
      <c r="R302" s="85"/>
      <c r="S302" s="690"/>
    </row>
    <row r="303" spans="1:19" ht="13">
      <c r="A303" s="865">
        <v>3807</v>
      </c>
      <c r="B303" s="876" t="s">
        <v>905</v>
      </c>
      <c r="C303" s="867" t="s">
        <v>1041</v>
      </c>
      <c r="D303" s="868">
        <v>57</v>
      </c>
      <c r="E303" s="868">
        <v>55</v>
      </c>
      <c r="F303" s="868">
        <v>55</v>
      </c>
      <c r="G303" s="868">
        <v>55</v>
      </c>
      <c r="H303" s="868">
        <v>55</v>
      </c>
      <c r="I303" s="868">
        <v>55</v>
      </c>
      <c r="J303" s="868">
        <v>55</v>
      </c>
      <c r="K303" s="868">
        <v>55</v>
      </c>
      <c r="L303" s="868">
        <v>55</v>
      </c>
      <c r="M303" s="869"/>
      <c r="O303" s="690"/>
      <c r="R303" s="85"/>
      <c r="S303" s="690"/>
    </row>
    <row r="304" spans="1:19" ht="13">
      <c r="A304" s="865">
        <v>3808</v>
      </c>
      <c r="B304" s="876" t="s">
        <v>906</v>
      </c>
      <c r="C304" s="867" t="s">
        <v>1042</v>
      </c>
      <c r="D304" s="868">
        <v>41</v>
      </c>
      <c r="E304" s="868">
        <v>40</v>
      </c>
      <c r="F304" s="868">
        <v>39</v>
      </c>
      <c r="G304" s="868">
        <v>41</v>
      </c>
      <c r="H304" s="868">
        <v>42</v>
      </c>
      <c r="I304" s="868">
        <v>42</v>
      </c>
      <c r="J304" s="868">
        <v>42</v>
      </c>
      <c r="K304" s="868">
        <v>42</v>
      </c>
      <c r="L304" s="868">
        <v>42</v>
      </c>
      <c r="M304" s="869">
        <v>2500</v>
      </c>
      <c r="O304" s="690"/>
      <c r="R304" s="85"/>
      <c r="S304" s="690"/>
    </row>
    <row r="305" spans="1:19" ht="13">
      <c r="A305" s="865">
        <v>3811</v>
      </c>
      <c r="B305" s="876" t="s">
        <v>1241</v>
      </c>
      <c r="C305" s="867"/>
      <c r="D305" s="868"/>
      <c r="E305" s="868"/>
      <c r="F305" s="868"/>
      <c r="G305" s="868">
        <v>73</v>
      </c>
      <c r="H305" s="868">
        <v>71</v>
      </c>
      <c r="I305" s="868">
        <v>71</v>
      </c>
      <c r="J305" s="868">
        <v>71</v>
      </c>
      <c r="K305" s="868">
        <v>71</v>
      </c>
      <c r="L305" s="868">
        <v>71</v>
      </c>
      <c r="M305" s="869"/>
      <c r="O305" s="690"/>
      <c r="R305" s="85"/>
      <c r="S305" s="690"/>
    </row>
    <row r="306" spans="1:19" ht="13">
      <c r="A306" s="865">
        <v>3812</v>
      </c>
      <c r="B306" s="876" t="s">
        <v>907</v>
      </c>
      <c r="C306" s="867" t="s">
        <v>1041</v>
      </c>
      <c r="D306" s="868">
        <v>57</v>
      </c>
      <c r="E306" s="868">
        <v>51</v>
      </c>
      <c r="F306" s="868">
        <v>50</v>
      </c>
      <c r="G306" s="868">
        <v>49</v>
      </c>
      <c r="H306" s="868">
        <v>47</v>
      </c>
      <c r="I306" s="868">
        <v>47</v>
      </c>
      <c r="J306" s="868">
        <v>47</v>
      </c>
      <c r="K306" s="868">
        <v>47</v>
      </c>
      <c r="L306" s="868">
        <v>47</v>
      </c>
      <c r="M306" s="869"/>
      <c r="O306" s="690"/>
      <c r="R306" s="85"/>
      <c r="S306" s="690"/>
    </row>
    <row r="307" spans="1:19" ht="13">
      <c r="A307" s="865">
        <v>3813</v>
      </c>
      <c r="B307" s="876" t="s">
        <v>908</v>
      </c>
      <c r="C307" s="867" t="s">
        <v>1041</v>
      </c>
      <c r="D307" s="868">
        <v>46</v>
      </c>
      <c r="E307" s="868">
        <v>45</v>
      </c>
      <c r="F307" s="868">
        <v>44</v>
      </c>
      <c r="G307" s="868">
        <v>43</v>
      </c>
      <c r="H307" s="868">
        <v>42</v>
      </c>
      <c r="I307" s="868">
        <v>42</v>
      </c>
      <c r="J307" s="868">
        <v>42</v>
      </c>
      <c r="K307" s="868">
        <v>42</v>
      </c>
      <c r="L307" s="868">
        <v>42</v>
      </c>
      <c r="M307" s="869">
        <v>1000</v>
      </c>
      <c r="O307" s="690"/>
      <c r="R307" s="85"/>
      <c r="S307" s="690"/>
    </row>
    <row r="308" spans="1:19" ht="13">
      <c r="A308" s="865">
        <v>3814</v>
      </c>
      <c r="B308" s="876" t="s">
        <v>910</v>
      </c>
      <c r="C308" s="867" t="s">
        <v>1044</v>
      </c>
      <c r="D308" s="868">
        <v>42</v>
      </c>
      <c r="E308" s="868">
        <v>40</v>
      </c>
      <c r="F308" s="868">
        <v>38</v>
      </c>
      <c r="G308" s="868">
        <v>36</v>
      </c>
      <c r="H308" s="868">
        <v>34</v>
      </c>
      <c r="I308" s="868">
        <v>34</v>
      </c>
      <c r="J308" s="868">
        <v>34</v>
      </c>
      <c r="K308" s="868">
        <v>34</v>
      </c>
      <c r="L308" s="868">
        <v>34</v>
      </c>
      <c r="M308" s="869"/>
      <c r="O308" s="690"/>
      <c r="R308" s="85"/>
      <c r="S308" s="690"/>
    </row>
    <row r="309" spans="1:19" ht="13">
      <c r="A309" s="865">
        <v>3815</v>
      </c>
      <c r="B309" s="876" t="s">
        <v>911</v>
      </c>
      <c r="C309" s="867" t="s">
        <v>1042</v>
      </c>
      <c r="D309" s="868">
        <v>35</v>
      </c>
      <c r="E309" s="868">
        <v>36</v>
      </c>
      <c r="F309" s="868">
        <v>37</v>
      </c>
      <c r="G309" s="868">
        <v>38</v>
      </c>
      <c r="H309" s="868">
        <v>36</v>
      </c>
      <c r="I309" s="868">
        <v>36</v>
      </c>
      <c r="J309" s="868">
        <v>36</v>
      </c>
      <c r="K309" s="868">
        <v>36</v>
      </c>
      <c r="L309" s="868">
        <v>36</v>
      </c>
      <c r="M309" s="869"/>
      <c r="O309" s="690"/>
      <c r="R309" s="85"/>
      <c r="S309" s="690"/>
    </row>
    <row r="310" spans="1:19" ht="13">
      <c r="A310" s="865">
        <v>3816</v>
      </c>
      <c r="B310" s="876" t="s">
        <v>912</v>
      </c>
      <c r="C310" s="867" t="s">
        <v>1042</v>
      </c>
      <c r="D310" s="868">
        <v>39</v>
      </c>
      <c r="E310" s="868">
        <v>37</v>
      </c>
      <c r="F310" s="868">
        <v>38</v>
      </c>
      <c r="G310" s="868">
        <v>37</v>
      </c>
      <c r="H310" s="868">
        <v>36</v>
      </c>
      <c r="I310" s="868">
        <v>36</v>
      </c>
      <c r="J310" s="868">
        <v>36</v>
      </c>
      <c r="K310" s="868">
        <v>36</v>
      </c>
      <c r="L310" s="868">
        <v>36</v>
      </c>
      <c r="M310" s="869"/>
      <c r="O310" s="690"/>
      <c r="R310" s="85"/>
      <c r="S310" s="690"/>
    </row>
    <row r="311" spans="1:19" ht="13">
      <c r="A311" s="878">
        <v>3817</v>
      </c>
      <c r="B311" s="879" t="s">
        <v>1627</v>
      </c>
      <c r="C311" s="880"/>
      <c r="D311" s="881"/>
      <c r="E311" s="881"/>
      <c r="F311" s="881"/>
      <c r="G311" s="881"/>
      <c r="H311" s="881"/>
      <c r="I311" s="881">
        <v>49</v>
      </c>
      <c r="J311" s="881">
        <v>49</v>
      </c>
      <c r="K311" s="881">
        <v>49</v>
      </c>
      <c r="L311" s="881">
        <v>49</v>
      </c>
      <c r="M311" s="882"/>
      <c r="O311" s="690"/>
      <c r="R311" s="85"/>
      <c r="S311" s="690"/>
    </row>
    <row r="312" spans="1:19" ht="13">
      <c r="A312" s="865">
        <v>3818</v>
      </c>
      <c r="B312" s="876" t="s">
        <v>920</v>
      </c>
      <c r="C312" s="867" t="s">
        <v>1043</v>
      </c>
      <c r="D312" s="868">
        <v>22</v>
      </c>
      <c r="E312" s="868">
        <v>21</v>
      </c>
      <c r="F312" s="868">
        <v>24</v>
      </c>
      <c r="G312" s="868">
        <v>23</v>
      </c>
      <c r="H312" s="868">
        <v>24</v>
      </c>
      <c r="I312" s="868">
        <v>24</v>
      </c>
      <c r="J312" s="868">
        <v>24</v>
      </c>
      <c r="K312" s="868">
        <v>24</v>
      </c>
      <c r="L312" s="868">
        <v>24</v>
      </c>
      <c r="M312" s="869"/>
      <c r="O312" s="690"/>
      <c r="R312" s="85"/>
      <c r="S312" s="690"/>
    </row>
    <row r="313" spans="1:19" ht="13">
      <c r="A313" s="865">
        <v>3819</v>
      </c>
      <c r="B313" s="876" t="s">
        <v>921</v>
      </c>
      <c r="C313" s="867" t="s">
        <v>1042</v>
      </c>
      <c r="D313" s="868">
        <v>40</v>
      </c>
      <c r="E313" s="868">
        <v>41</v>
      </c>
      <c r="F313" s="868">
        <v>43</v>
      </c>
      <c r="G313" s="868">
        <v>49</v>
      </c>
      <c r="H313" s="868">
        <v>45</v>
      </c>
      <c r="I313" s="868">
        <v>45</v>
      </c>
      <c r="J313" s="868">
        <v>45</v>
      </c>
      <c r="K313" s="868">
        <v>45</v>
      </c>
      <c r="L313" s="868">
        <v>45</v>
      </c>
      <c r="M313" s="869"/>
      <c r="O313" s="690"/>
      <c r="R313" s="85"/>
      <c r="S313" s="690"/>
    </row>
    <row r="314" spans="1:19" ht="13">
      <c r="A314" s="865">
        <v>3820</v>
      </c>
      <c r="B314" s="876" t="s">
        <v>922</v>
      </c>
      <c r="C314" s="867" t="s">
        <v>1043</v>
      </c>
      <c r="D314" s="868">
        <v>34</v>
      </c>
      <c r="E314" s="868">
        <v>37</v>
      </c>
      <c r="F314" s="868">
        <v>35</v>
      </c>
      <c r="G314" s="868">
        <v>33</v>
      </c>
      <c r="H314" s="868">
        <v>31</v>
      </c>
      <c r="I314" s="868">
        <v>31</v>
      </c>
      <c r="J314" s="868">
        <v>31</v>
      </c>
      <c r="K314" s="868">
        <v>31</v>
      </c>
      <c r="L314" s="868">
        <v>31</v>
      </c>
      <c r="M314" s="869"/>
      <c r="O314" s="690"/>
      <c r="R314" s="85"/>
      <c r="S314" s="690"/>
    </row>
    <row r="315" spans="1:19" ht="13">
      <c r="A315" s="865">
        <v>3821</v>
      </c>
      <c r="B315" s="876" t="s">
        <v>923</v>
      </c>
      <c r="C315" s="867" t="s">
        <v>1043</v>
      </c>
      <c r="D315" s="868">
        <v>26</v>
      </c>
      <c r="E315" s="868">
        <v>27</v>
      </c>
      <c r="F315" s="868">
        <v>27</v>
      </c>
      <c r="G315" s="868">
        <v>26</v>
      </c>
      <c r="H315" s="868">
        <v>22</v>
      </c>
      <c r="I315" s="868">
        <v>22</v>
      </c>
      <c r="J315" s="868">
        <v>22</v>
      </c>
      <c r="K315" s="868">
        <v>22</v>
      </c>
      <c r="L315" s="868">
        <v>22</v>
      </c>
      <c r="M315" s="869"/>
      <c r="O315" s="690"/>
      <c r="R315" s="85"/>
      <c r="S315" s="690"/>
    </row>
    <row r="316" spans="1:19" ht="13">
      <c r="A316" s="865">
        <v>3822</v>
      </c>
      <c r="B316" s="876" t="s">
        <v>924</v>
      </c>
      <c r="C316" s="867" t="s">
        <v>1043</v>
      </c>
      <c r="D316" s="868">
        <v>35</v>
      </c>
      <c r="E316" s="868">
        <v>38</v>
      </c>
      <c r="F316" s="868">
        <v>36</v>
      </c>
      <c r="G316" s="868">
        <v>32</v>
      </c>
      <c r="H316" s="868">
        <v>36</v>
      </c>
      <c r="I316" s="868">
        <v>36</v>
      </c>
      <c r="J316" s="868">
        <v>36</v>
      </c>
      <c r="K316" s="868">
        <v>36</v>
      </c>
      <c r="L316" s="868">
        <v>36</v>
      </c>
      <c r="M316" s="869"/>
      <c r="O316" s="690"/>
      <c r="R316" s="85"/>
      <c r="S316" s="690"/>
    </row>
    <row r="317" spans="1:19" ht="13">
      <c r="A317" s="865">
        <v>3823</v>
      </c>
      <c r="B317" s="876" t="s">
        <v>925</v>
      </c>
      <c r="C317" s="867" t="s">
        <v>1043</v>
      </c>
      <c r="D317" s="868">
        <v>28</v>
      </c>
      <c r="E317" s="868">
        <v>20</v>
      </c>
      <c r="F317" s="868">
        <v>18</v>
      </c>
      <c r="G317" s="868">
        <v>21</v>
      </c>
      <c r="H317" s="868">
        <v>15</v>
      </c>
      <c r="I317" s="868">
        <v>15</v>
      </c>
      <c r="J317" s="868">
        <v>15</v>
      </c>
      <c r="K317" s="868">
        <v>15</v>
      </c>
      <c r="L317" s="868">
        <v>15</v>
      </c>
      <c r="M317" s="869"/>
      <c r="O317" s="690"/>
      <c r="R317" s="85"/>
      <c r="S317" s="690"/>
    </row>
    <row r="318" spans="1:19" ht="13">
      <c r="A318" s="865">
        <v>3824</v>
      </c>
      <c r="B318" s="876" t="s">
        <v>926</v>
      </c>
      <c r="C318" s="867" t="s">
        <v>1043</v>
      </c>
      <c r="D318" s="868">
        <v>23</v>
      </c>
      <c r="E318" s="868">
        <v>27</v>
      </c>
      <c r="F318" s="868">
        <v>23</v>
      </c>
      <c r="G318" s="868">
        <v>25</v>
      </c>
      <c r="H318" s="868">
        <v>22</v>
      </c>
      <c r="I318" s="868">
        <v>22</v>
      </c>
      <c r="J318" s="868">
        <v>22</v>
      </c>
      <c r="K318" s="868">
        <v>22</v>
      </c>
      <c r="L318" s="868">
        <v>22</v>
      </c>
      <c r="M318" s="869"/>
      <c r="O318" s="690"/>
      <c r="R318" s="85"/>
      <c r="S318" s="690"/>
    </row>
    <row r="319" spans="1:19" ht="13">
      <c r="A319" s="865">
        <v>3825</v>
      </c>
      <c r="B319" s="876" t="s">
        <v>927</v>
      </c>
      <c r="C319" s="867" t="s">
        <v>1043</v>
      </c>
      <c r="D319" s="868">
        <v>35</v>
      </c>
      <c r="E319" s="868">
        <v>35</v>
      </c>
      <c r="F319" s="868">
        <v>34</v>
      </c>
      <c r="G319" s="868">
        <v>40</v>
      </c>
      <c r="H319" s="868">
        <v>40</v>
      </c>
      <c r="I319" s="868">
        <v>40</v>
      </c>
      <c r="J319" s="868">
        <v>40</v>
      </c>
      <c r="K319" s="868">
        <v>40</v>
      </c>
      <c r="L319" s="868">
        <v>40</v>
      </c>
      <c r="M319" s="869"/>
      <c r="O319" s="690"/>
      <c r="R319" s="85"/>
      <c r="S319" s="690"/>
    </row>
    <row r="320" spans="1:19" ht="13">
      <c r="A320" s="865">
        <v>4201</v>
      </c>
      <c r="B320" s="876" t="s">
        <v>928</v>
      </c>
      <c r="C320" s="867" t="s">
        <v>1044</v>
      </c>
      <c r="D320" s="868">
        <v>34</v>
      </c>
      <c r="E320" s="868">
        <v>35</v>
      </c>
      <c r="F320" s="868">
        <v>37</v>
      </c>
      <c r="G320" s="868">
        <v>36</v>
      </c>
      <c r="H320" s="868">
        <v>35</v>
      </c>
      <c r="I320" s="868">
        <v>35</v>
      </c>
      <c r="J320" s="868">
        <v>35</v>
      </c>
      <c r="K320" s="868">
        <v>35</v>
      </c>
      <c r="L320" s="868">
        <v>35</v>
      </c>
      <c r="M320" s="869"/>
      <c r="O320" s="690"/>
      <c r="R320" s="85"/>
      <c r="S320" s="690"/>
    </row>
    <row r="321" spans="1:19" ht="13">
      <c r="A321" s="865">
        <v>4202</v>
      </c>
      <c r="B321" s="876" t="s">
        <v>929</v>
      </c>
      <c r="C321" s="867" t="s">
        <v>1041</v>
      </c>
      <c r="D321" s="868">
        <v>65</v>
      </c>
      <c r="E321" s="868">
        <v>65</v>
      </c>
      <c r="F321" s="868">
        <v>66</v>
      </c>
      <c r="G321" s="868">
        <v>66</v>
      </c>
      <c r="H321" s="868">
        <v>65</v>
      </c>
      <c r="I321" s="868">
        <v>65</v>
      </c>
      <c r="J321" s="868">
        <v>65</v>
      </c>
      <c r="K321" s="868">
        <v>65</v>
      </c>
      <c r="L321" s="868">
        <v>65</v>
      </c>
      <c r="M321" s="869">
        <v>900</v>
      </c>
      <c r="O321" s="690"/>
      <c r="R321" s="85"/>
      <c r="S321" s="690"/>
    </row>
    <row r="322" spans="1:19" ht="13">
      <c r="A322" s="865">
        <v>4203</v>
      </c>
      <c r="B322" s="876" t="s">
        <v>930</v>
      </c>
      <c r="C322" s="867" t="s">
        <v>1041</v>
      </c>
      <c r="D322" s="868">
        <v>61</v>
      </c>
      <c r="E322" s="868">
        <v>65</v>
      </c>
      <c r="F322" s="868">
        <v>64</v>
      </c>
      <c r="G322" s="868">
        <v>63</v>
      </c>
      <c r="H322" s="868">
        <v>61</v>
      </c>
      <c r="I322" s="868">
        <v>61</v>
      </c>
      <c r="J322" s="868">
        <v>61</v>
      </c>
      <c r="K322" s="868">
        <v>61</v>
      </c>
      <c r="L322" s="868">
        <v>61</v>
      </c>
      <c r="M322" s="869">
        <v>2000</v>
      </c>
      <c r="O322" s="690"/>
      <c r="R322" s="85"/>
      <c r="S322" s="690"/>
    </row>
    <row r="323" spans="1:19" ht="13">
      <c r="A323" s="878">
        <v>4204</v>
      </c>
      <c r="B323" s="879" t="s">
        <v>1628</v>
      </c>
      <c r="C323" s="880"/>
      <c r="D323" s="881"/>
      <c r="E323" s="881"/>
      <c r="F323" s="881"/>
      <c r="G323" s="881"/>
      <c r="H323" s="881"/>
      <c r="I323" s="881">
        <v>74</v>
      </c>
      <c r="J323" s="881">
        <v>74</v>
      </c>
      <c r="K323" s="881">
        <v>74</v>
      </c>
      <c r="L323" s="881">
        <v>74</v>
      </c>
      <c r="M323" s="882"/>
      <c r="O323" s="690"/>
      <c r="R323" s="85"/>
      <c r="S323" s="690"/>
    </row>
    <row r="324" spans="1:19" ht="13">
      <c r="A324" s="878">
        <v>4205</v>
      </c>
      <c r="B324" s="879" t="s">
        <v>1629</v>
      </c>
      <c r="C324" s="880"/>
      <c r="D324" s="881"/>
      <c r="E324" s="881"/>
      <c r="F324" s="881"/>
      <c r="G324" s="881"/>
      <c r="H324" s="881"/>
      <c r="I324" s="881">
        <v>50</v>
      </c>
      <c r="J324" s="881">
        <v>50</v>
      </c>
      <c r="K324" s="881">
        <v>50</v>
      </c>
      <c r="L324" s="881">
        <v>50</v>
      </c>
      <c r="M324" s="882"/>
      <c r="O324" s="690"/>
      <c r="R324" s="85"/>
      <c r="S324" s="690"/>
    </row>
    <row r="325" spans="1:19" ht="13">
      <c r="A325" s="865">
        <v>4206</v>
      </c>
      <c r="B325" s="876" t="s">
        <v>944</v>
      </c>
      <c r="C325" s="867" t="s">
        <v>1044</v>
      </c>
      <c r="D325" s="868">
        <v>38</v>
      </c>
      <c r="E325" s="868">
        <v>42</v>
      </c>
      <c r="F325" s="868">
        <v>42</v>
      </c>
      <c r="G325" s="868">
        <v>44</v>
      </c>
      <c r="H325" s="868">
        <v>46</v>
      </c>
      <c r="I325" s="868">
        <v>46</v>
      </c>
      <c r="J325" s="868">
        <v>46</v>
      </c>
      <c r="K325" s="868">
        <v>46</v>
      </c>
      <c r="L325" s="868">
        <v>46</v>
      </c>
      <c r="M325" s="869">
        <v>400</v>
      </c>
      <c r="O325" s="690"/>
      <c r="R325" s="85"/>
      <c r="S325" s="690"/>
    </row>
    <row r="326" spans="1:19" ht="13">
      <c r="A326" s="865">
        <v>4207</v>
      </c>
      <c r="B326" s="876" t="s">
        <v>946</v>
      </c>
      <c r="C326" s="867" t="s">
        <v>1044</v>
      </c>
      <c r="D326" s="868">
        <v>42</v>
      </c>
      <c r="E326" s="868">
        <v>39</v>
      </c>
      <c r="F326" s="868">
        <v>42</v>
      </c>
      <c r="G326" s="868">
        <v>41</v>
      </c>
      <c r="H326" s="868">
        <v>40</v>
      </c>
      <c r="I326" s="868">
        <v>40</v>
      </c>
      <c r="J326" s="868">
        <v>40</v>
      </c>
      <c r="K326" s="868">
        <v>40</v>
      </c>
      <c r="L326" s="868">
        <v>40</v>
      </c>
      <c r="M326" s="869"/>
      <c r="O326" s="690"/>
      <c r="R326" s="85"/>
      <c r="S326" s="690"/>
    </row>
    <row r="327" spans="1:19" ht="13">
      <c r="A327" s="865">
        <v>4211</v>
      </c>
      <c r="B327" s="876" t="s">
        <v>931</v>
      </c>
      <c r="C327" s="867" t="s">
        <v>1042</v>
      </c>
      <c r="D327" s="868">
        <v>36</v>
      </c>
      <c r="E327" s="868">
        <v>31</v>
      </c>
      <c r="F327" s="868">
        <v>28</v>
      </c>
      <c r="G327" s="868">
        <v>28</v>
      </c>
      <c r="H327" s="868">
        <v>28</v>
      </c>
      <c r="I327" s="868">
        <v>28</v>
      </c>
      <c r="J327" s="868">
        <v>28</v>
      </c>
      <c r="K327" s="868">
        <v>28</v>
      </c>
      <c r="L327" s="868">
        <v>28</v>
      </c>
      <c r="M327" s="869"/>
      <c r="O327" s="690"/>
      <c r="R327" s="85"/>
      <c r="S327" s="690"/>
    </row>
    <row r="328" spans="1:19" ht="13">
      <c r="A328" s="865">
        <v>4212</v>
      </c>
      <c r="B328" s="876" t="s">
        <v>706</v>
      </c>
      <c r="C328" s="867" t="s">
        <v>1042</v>
      </c>
      <c r="D328" s="868">
        <v>53</v>
      </c>
      <c r="E328" s="868">
        <v>46</v>
      </c>
      <c r="F328" s="868">
        <v>42</v>
      </c>
      <c r="G328" s="868">
        <v>48</v>
      </c>
      <c r="H328" s="868">
        <v>44</v>
      </c>
      <c r="I328" s="868">
        <v>44</v>
      </c>
      <c r="J328" s="868">
        <v>44</v>
      </c>
      <c r="K328" s="868">
        <v>44</v>
      </c>
      <c r="L328" s="868">
        <v>44</v>
      </c>
      <c r="M328" s="869"/>
      <c r="O328" s="690"/>
      <c r="R328" s="85"/>
      <c r="S328" s="690"/>
    </row>
    <row r="329" spans="1:19" ht="13">
      <c r="A329" s="865">
        <v>4213</v>
      </c>
      <c r="B329" s="876" t="s">
        <v>932</v>
      </c>
      <c r="C329" s="867" t="s">
        <v>1044</v>
      </c>
      <c r="D329" s="868">
        <v>48</v>
      </c>
      <c r="E329" s="868">
        <v>45</v>
      </c>
      <c r="F329" s="868">
        <v>43</v>
      </c>
      <c r="G329" s="868">
        <v>41</v>
      </c>
      <c r="H329" s="868">
        <v>40</v>
      </c>
      <c r="I329" s="868">
        <v>40</v>
      </c>
      <c r="J329" s="868">
        <v>40</v>
      </c>
      <c r="K329" s="868">
        <v>40</v>
      </c>
      <c r="L329" s="868">
        <v>40</v>
      </c>
      <c r="M329" s="869">
        <v>700</v>
      </c>
      <c r="O329" s="690"/>
      <c r="R329" s="85"/>
      <c r="S329" s="690"/>
    </row>
    <row r="330" spans="1:19" ht="13">
      <c r="A330" s="865">
        <v>4214</v>
      </c>
      <c r="B330" s="876" t="s">
        <v>933</v>
      </c>
      <c r="C330" s="867" t="s">
        <v>1041</v>
      </c>
      <c r="D330" s="868">
        <v>62</v>
      </c>
      <c r="E330" s="868">
        <v>59</v>
      </c>
      <c r="F330" s="868">
        <v>60</v>
      </c>
      <c r="G330" s="868">
        <v>60</v>
      </c>
      <c r="H330" s="868">
        <v>59</v>
      </c>
      <c r="I330" s="868">
        <v>59</v>
      </c>
      <c r="J330" s="868">
        <v>59</v>
      </c>
      <c r="K330" s="868">
        <v>59</v>
      </c>
      <c r="L330" s="868">
        <v>59</v>
      </c>
      <c r="M330" s="869">
        <v>300</v>
      </c>
      <c r="O330" s="690"/>
      <c r="R330" s="85"/>
      <c r="S330" s="690"/>
    </row>
    <row r="331" spans="1:19" ht="13">
      <c r="A331" s="865">
        <v>4215</v>
      </c>
      <c r="B331" s="876" t="s">
        <v>934</v>
      </c>
      <c r="C331" s="867" t="s">
        <v>1041</v>
      </c>
      <c r="D331" s="868">
        <v>74</v>
      </c>
      <c r="E331" s="868">
        <v>74</v>
      </c>
      <c r="F331" s="868">
        <v>74</v>
      </c>
      <c r="G331" s="868">
        <v>76</v>
      </c>
      <c r="H331" s="868">
        <v>76</v>
      </c>
      <c r="I331" s="868">
        <v>76</v>
      </c>
      <c r="J331" s="868">
        <v>76</v>
      </c>
      <c r="K331" s="868">
        <v>76</v>
      </c>
      <c r="L331" s="868">
        <v>76</v>
      </c>
      <c r="M331" s="869">
        <v>700</v>
      </c>
      <c r="O331" s="690"/>
      <c r="R331" s="85"/>
      <c r="S331" s="690"/>
    </row>
    <row r="332" spans="1:19" ht="13">
      <c r="A332" s="865">
        <v>4216</v>
      </c>
      <c r="B332" s="876" t="s">
        <v>935</v>
      </c>
      <c r="C332" s="867" t="s">
        <v>1041</v>
      </c>
      <c r="D332" s="868">
        <v>64</v>
      </c>
      <c r="E332" s="868">
        <v>65</v>
      </c>
      <c r="F332" s="868">
        <v>64</v>
      </c>
      <c r="G332" s="868">
        <v>62</v>
      </c>
      <c r="H332" s="868">
        <v>64</v>
      </c>
      <c r="I332" s="868">
        <v>64</v>
      </c>
      <c r="J332" s="868">
        <v>64</v>
      </c>
      <c r="K332" s="868">
        <v>64</v>
      </c>
      <c r="L332" s="868">
        <v>64</v>
      </c>
      <c r="M332" s="869">
        <v>400</v>
      </c>
      <c r="O332" s="690"/>
      <c r="R332" s="85"/>
      <c r="S332" s="690"/>
    </row>
    <row r="333" spans="1:19" ht="13">
      <c r="A333" s="865">
        <v>4217</v>
      </c>
      <c r="B333" s="876" t="s">
        <v>936</v>
      </c>
      <c r="C333" s="867" t="s">
        <v>1043</v>
      </c>
      <c r="D333" s="868">
        <v>30</v>
      </c>
      <c r="E333" s="868">
        <v>30</v>
      </c>
      <c r="F333" s="868">
        <v>31</v>
      </c>
      <c r="G333" s="868">
        <v>37</v>
      </c>
      <c r="H333" s="868">
        <v>39</v>
      </c>
      <c r="I333" s="868">
        <v>39</v>
      </c>
      <c r="J333" s="868">
        <v>39</v>
      </c>
      <c r="K333" s="868">
        <v>39</v>
      </c>
      <c r="L333" s="868">
        <v>39</v>
      </c>
      <c r="M333" s="869"/>
      <c r="O333" s="690"/>
      <c r="R333" s="85"/>
      <c r="S333" s="690"/>
    </row>
    <row r="334" spans="1:19" ht="13">
      <c r="A334" s="865">
        <v>4218</v>
      </c>
      <c r="B334" s="876" t="s">
        <v>937</v>
      </c>
      <c r="C334" s="867" t="s">
        <v>1044</v>
      </c>
      <c r="D334" s="868">
        <v>64</v>
      </c>
      <c r="E334" s="868">
        <v>64</v>
      </c>
      <c r="F334" s="868">
        <v>63</v>
      </c>
      <c r="G334" s="868">
        <v>62</v>
      </c>
      <c r="H334" s="868">
        <v>60</v>
      </c>
      <c r="I334" s="868">
        <v>60</v>
      </c>
      <c r="J334" s="868">
        <v>60</v>
      </c>
      <c r="K334" s="868">
        <v>60</v>
      </c>
      <c r="L334" s="868">
        <v>60</v>
      </c>
      <c r="M334" s="869"/>
      <c r="O334" s="690"/>
      <c r="R334" s="85"/>
      <c r="S334" s="690"/>
    </row>
    <row r="335" spans="1:19" ht="13">
      <c r="A335" s="865">
        <v>4219</v>
      </c>
      <c r="B335" s="876" t="s">
        <v>938</v>
      </c>
      <c r="C335" s="867" t="s">
        <v>1044</v>
      </c>
      <c r="D335" s="868">
        <v>52</v>
      </c>
      <c r="E335" s="868">
        <v>51</v>
      </c>
      <c r="F335" s="868">
        <v>49</v>
      </c>
      <c r="G335" s="868">
        <v>48</v>
      </c>
      <c r="H335" s="868">
        <v>47</v>
      </c>
      <c r="I335" s="868">
        <v>47</v>
      </c>
      <c r="J335" s="868">
        <v>47</v>
      </c>
      <c r="K335" s="868">
        <v>47</v>
      </c>
      <c r="L335" s="868">
        <v>47</v>
      </c>
      <c r="M335" s="869"/>
      <c r="O335" s="690"/>
      <c r="R335" s="85"/>
      <c r="S335" s="690"/>
    </row>
    <row r="336" spans="1:19" ht="13">
      <c r="A336" s="865">
        <v>4220</v>
      </c>
      <c r="B336" s="876" t="s">
        <v>939</v>
      </c>
      <c r="C336" s="867" t="s">
        <v>1042</v>
      </c>
      <c r="D336" s="868">
        <v>23</v>
      </c>
      <c r="E336" s="868">
        <v>25</v>
      </c>
      <c r="F336" s="868">
        <v>21</v>
      </c>
      <c r="G336" s="868">
        <v>24</v>
      </c>
      <c r="H336" s="868">
        <v>23</v>
      </c>
      <c r="I336" s="868">
        <v>23</v>
      </c>
      <c r="J336" s="868">
        <v>23</v>
      </c>
      <c r="K336" s="868">
        <v>23</v>
      </c>
      <c r="L336" s="868">
        <v>23</v>
      </c>
      <c r="M336" s="869"/>
      <c r="O336" s="690"/>
      <c r="R336" s="85"/>
      <c r="S336" s="690"/>
    </row>
    <row r="337" spans="1:19" ht="13">
      <c r="A337" s="865">
        <v>4221</v>
      </c>
      <c r="B337" s="876" t="s">
        <v>940</v>
      </c>
      <c r="C337" s="867" t="s">
        <v>1042</v>
      </c>
      <c r="D337" s="868">
        <v>24</v>
      </c>
      <c r="E337" s="868">
        <v>23</v>
      </c>
      <c r="F337" s="868">
        <v>23</v>
      </c>
      <c r="G337" s="868">
        <v>21</v>
      </c>
      <c r="H337" s="868">
        <v>21</v>
      </c>
      <c r="I337" s="868">
        <v>21</v>
      </c>
      <c r="J337" s="868">
        <v>21</v>
      </c>
      <c r="K337" s="868">
        <v>21</v>
      </c>
      <c r="L337" s="868">
        <v>21</v>
      </c>
      <c r="M337" s="869"/>
      <c r="O337" s="690"/>
      <c r="R337" s="85"/>
      <c r="S337" s="690"/>
    </row>
    <row r="338" spans="1:19" ht="13">
      <c r="A338" s="865">
        <v>4222</v>
      </c>
      <c r="B338" s="876" t="s">
        <v>941</v>
      </c>
      <c r="C338" s="867" t="s">
        <v>1042</v>
      </c>
      <c r="D338" s="868">
        <v>61</v>
      </c>
      <c r="E338" s="868">
        <v>53</v>
      </c>
      <c r="F338" s="868">
        <v>53</v>
      </c>
      <c r="G338" s="868">
        <v>55</v>
      </c>
      <c r="H338" s="868">
        <v>51</v>
      </c>
      <c r="I338" s="868">
        <v>51</v>
      </c>
      <c r="J338" s="868">
        <v>51</v>
      </c>
      <c r="K338" s="868">
        <v>51</v>
      </c>
      <c r="L338" s="868">
        <v>51</v>
      </c>
      <c r="M338" s="869"/>
      <c r="O338" s="690"/>
      <c r="R338" s="85"/>
      <c r="S338" s="690"/>
    </row>
    <row r="339" spans="1:19" ht="13">
      <c r="A339" s="865">
        <v>4223</v>
      </c>
      <c r="B339" s="876" t="s">
        <v>947</v>
      </c>
      <c r="C339" s="867" t="s">
        <v>1041</v>
      </c>
      <c r="D339" s="868">
        <v>64</v>
      </c>
      <c r="E339" s="868">
        <v>64</v>
      </c>
      <c r="F339" s="868">
        <v>62</v>
      </c>
      <c r="G339" s="868">
        <v>62</v>
      </c>
      <c r="H339" s="868">
        <v>63</v>
      </c>
      <c r="I339" s="868">
        <v>63</v>
      </c>
      <c r="J339" s="868">
        <v>63</v>
      </c>
      <c r="K339" s="868">
        <v>63</v>
      </c>
      <c r="L339" s="868">
        <v>63</v>
      </c>
      <c r="M339" s="869">
        <v>600</v>
      </c>
      <c r="O339" s="690"/>
      <c r="R339" s="85"/>
      <c r="S339" s="690"/>
    </row>
    <row r="340" spans="1:19" ht="13">
      <c r="A340" s="865">
        <v>4224</v>
      </c>
      <c r="B340" s="876" t="s">
        <v>951</v>
      </c>
      <c r="C340" s="867" t="s">
        <v>1042</v>
      </c>
      <c r="D340" s="868">
        <v>52</v>
      </c>
      <c r="E340" s="868">
        <v>51</v>
      </c>
      <c r="F340" s="868">
        <v>47</v>
      </c>
      <c r="G340" s="868">
        <v>51</v>
      </c>
      <c r="H340" s="868">
        <v>51</v>
      </c>
      <c r="I340" s="868">
        <v>51</v>
      </c>
      <c r="J340" s="868">
        <v>51</v>
      </c>
      <c r="K340" s="868">
        <v>51</v>
      </c>
      <c r="L340" s="868">
        <v>51</v>
      </c>
      <c r="M340" s="869"/>
      <c r="O340" s="690"/>
      <c r="R340" s="85"/>
      <c r="S340" s="690"/>
    </row>
    <row r="341" spans="1:19" ht="13">
      <c r="A341" s="878">
        <v>4225</v>
      </c>
      <c r="B341" s="879" t="s">
        <v>1630</v>
      </c>
      <c r="C341" s="880"/>
      <c r="D341" s="881"/>
      <c r="E341" s="881"/>
      <c r="F341" s="881"/>
      <c r="G341" s="881"/>
      <c r="H341" s="881"/>
      <c r="I341" s="881">
        <v>58</v>
      </c>
      <c r="J341" s="881">
        <v>58</v>
      </c>
      <c r="K341" s="881">
        <v>58</v>
      </c>
      <c r="L341" s="881">
        <v>58</v>
      </c>
      <c r="M341" s="882"/>
      <c r="O341" s="690"/>
      <c r="R341" s="85"/>
      <c r="S341" s="690"/>
    </row>
    <row r="342" spans="1:19" ht="13">
      <c r="A342" s="865">
        <v>4226</v>
      </c>
      <c r="B342" s="866" t="s">
        <v>955</v>
      </c>
      <c r="C342" s="867" t="s">
        <v>1042</v>
      </c>
      <c r="D342" s="868">
        <v>56</v>
      </c>
      <c r="E342" s="868">
        <v>54</v>
      </c>
      <c r="F342" s="868">
        <v>57</v>
      </c>
      <c r="G342" s="868">
        <v>56</v>
      </c>
      <c r="H342" s="868">
        <v>58</v>
      </c>
      <c r="I342" s="868">
        <v>58</v>
      </c>
      <c r="J342" s="868">
        <v>58</v>
      </c>
      <c r="K342" s="868">
        <v>58</v>
      </c>
      <c r="L342" s="868">
        <v>58</v>
      </c>
      <c r="M342" s="869"/>
      <c r="O342" s="690"/>
      <c r="R342" s="85"/>
      <c r="S342" s="690"/>
    </row>
    <row r="343" spans="1:19" ht="13">
      <c r="A343" s="865">
        <v>4227</v>
      </c>
      <c r="B343" s="866" t="s">
        <v>956</v>
      </c>
      <c r="C343" s="867" t="s">
        <v>1042</v>
      </c>
      <c r="D343" s="868">
        <v>41</v>
      </c>
      <c r="E343" s="868">
        <v>40</v>
      </c>
      <c r="F343" s="868">
        <v>40</v>
      </c>
      <c r="G343" s="868">
        <v>40</v>
      </c>
      <c r="H343" s="868">
        <v>38</v>
      </c>
      <c r="I343" s="868">
        <v>38</v>
      </c>
      <c r="J343" s="868">
        <v>38</v>
      </c>
      <c r="K343" s="868">
        <v>38</v>
      </c>
      <c r="L343" s="868">
        <v>38</v>
      </c>
      <c r="M343" s="869"/>
      <c r="O343" s="690"/>
      <c r="R343" s="85"/>
      <c r="S343" s="690"/>
    </row>
    <row r="344" spans="1:19" ht="13">
      <c r="A344" s="865">
        <v>4228</v>
      </c>
      <c r="B344" s="866" t="s">
        <v>957</v>
      </c>
      <c r="C344" s="867" t="s">
        <v>1042</v>
      </c>
      <c r="D344" s="868">
        <v>54</v>
      </c>
      <c r="E344" s="868">
        <v>51</v>
      </c>
      <c r="F344" s="868">
        <v>52</v>
      </c>
      <c r="G344" s="868">
        <v>52</v>
      </c>
      <c r="H344" s="868">
        <v>50</v>
      </c>
      <c r="I344" s="868">
        <v>50</v>
      </c>
      <c r="J344" s="868">
        <v>50</v>
      </c>
      <c r="K344" s="868">
        <v>50</v>
      </c>
      <c r="L344" s="868">
        <v>50</v>
      </c>
      <c r="M344" s="869"/>
      <c r="O344" s="690"/>
      <c r="R344" s="85"/>
      <c r="S344" s="690"/>
    </row>
    <row r="345" spans="1:19" ht="13">
      <c r="A345" s="865">
        <v>4601</v>
      </c>
      <c r="B345" s="876" t="s">
        <v>23</v>
      </c>
      <c r="C345" s="867" t="s">
        <v>1041</v>
      </c>
      <c r="D345" s="868">
        <v>84</v>
      </c>
      <c r="E345" s="868">
        <v>85</v>
      </c>
      <c r="F345" s="868">
        <v>84</v>
      </c>
      <c r="G345" s="868">
        <v>82</v>
      </c>
      <c r="H345" s="868">
        <v>80</v>
      </c>
      <c r="I345" s="868">
        <v>80</v>
      </c>
      <c r="J345" s="868">
        <v>80</v>
      </c>
      <c r="K345" s="868">
        <v>80</v>
      </c>
      <c r="L345" s="868">
        <v>80</v>
      </c>
      <c r="M345" s="869"/>
      <c r="O345" s="690"/>
      <c r="R345" s="85"/>
      <c r="S345" s="690"/>
    </row>
    <row r="346" spans="1:19" ht="13">
      <c r="A346" s="878">
        <v>4602</v>
      </c>
      <c r="B346" s="879" t="s">
        <v>1631</v>
      </c>
      <c r="C346" s="880"/>
      <c r="D346" s="881"/>
      <c r="E346" s="881"/>
      <c r="F346" s="881"/>
      <c r="G346" s="881"/>
      <c r="H346" s="881"/>
      <c r="I346" s="881">
        <v>47</v>
      </c>
      <c r="J346" s="881">
        <v>47</v>
      </c>
      <c r="K346" s="881">
        <v>47</v>
      </c>
      <c r="L346" s="881">
        <v>47</v>
      </c>
      <c r="M346" s="882"/>
      <c r="O346" s="690"/>
      <c r="R346" s="85"/>
      <c r="S346" s="690"/>
    </row>
    <row r="347" spans="1:19" ht="13">
      <c r="A347" s="865">
        <v>4611</v>
      </c>
      <c r="B347" s="876" t="s">
        <v>24</v>
      </c>
      <c r="C347" s="867" t="s">
        <v>1042</v>
      </c>
      <c r="D347" s="868">
        <v>45</v>
      </c>
      <c r="E347" s="868">
        <v>45</v>
      </c>
      <c r="F347" s="868">
        <v>46</v>
      </c>
      <c r="G347" s="868">
        <v>47</v>
      </c>
      <c r="H347" s="868">
        <v>45</v>
      </c>
      <c r="I347" s="868">
        <v>45</v>
      </c>
      <c r="J347" s="868">
        <v>45</v>
      </c>
      <c r="K347" s="868">
        <v>45</v>
      </c>
      <c r="L347" s="868">
        <v>45</v>
      </c>
      <c r="M347" s="869"/>
      <c r="O347" s="690"/>
      <c r="R347" s="85"/>
      <c r="S347" s="690"/>
    </row>
    <row r="348" spans="1:19" ht="13">
      <c r="A348" s="865">
        <v>4612</v>
      </c>
      <c r="B348" s="876" t="s">
        <v>25</v>
      </c>
      <c r="C348" s="867" t="s">
        <v>1041</v>
      </c>
      <c r="D348" s="868">
        <v>68</v>
      </c>
      <c r="E348" s="868">
        <v>72</v>
      </c>
      <c r="F348" s="868">
        <v>71</v>
      </c>
      <c r="G348" s="868">
        <v>72</v>
      </c>
      <c r="H348" s="868">
        <v>71</v>
      </c>
      <c r="I348" s="868">
        <v>71</v>
      </c>
      <c r="J348" s="868">
        <v>71</v>
      </c>
      <c r="K348" s="868">
        <v>71</v>
      </c>
      <c r="L348" s="868">
        <v>71</v>
      </c>
      <c r="M348" s="869">
        <v>190</v>
      </c>
      <c r="O348" s="690"/>
      <c r="R348" s="85"/>
      <c r="S348" s="690"/>
    </row>
    <row r="349" spans="1:19" ht="13">
      <c r="A349" s="865">
        <v>4613</v>
      </c>
      <c r="B349" s="876" t="s">
        <v>26</v>
      </c>
      <c r="C349" s="867" t="s">
        <v>1044</v>
      </c>
      <c r="D349" s="868">
        <v>59</v>
      </c>
      <c r="E349" s="868">
        <v>61</v>
      </c>
      <c r="F349" s="868">
        <v>60</v>
      </c>
      <c r="G349" s="868">
        <v>59</v>
      </c>
      <c r="H349" s="868">
        <v>56</v>
      </c>
      <c r="I349" s="868">
        <v>56</v>
      </c>
      <c r="J349" s="868">
        <v>56</v>
      </c>
      <c r="K349" s="868">
        <v>56</v>
      </c>
      <c r="L349" s="868">
        <v>56</v>
      </c>
      <c r="M349" s="869">
        <v>430</v>
      </c>
      <c r="O349" s="690"/>
      <c r="R349" s="85"/>
      <c r="S349" s="690"/>
    </row>
    <row r="350" spans="1:19" ht="13">
      <c r="A350" s="865">
        <v>4614</v>
      </c>
      <c r="B350" s="876" t="s">
        <v>27</v>
      </c>
      <c r="C350" s="867" t="s">
        <v>1041</v>
      </c>
      <c r="D350" s="868">
        <v>71</v>
      </c>
      <c r="E350" s="868">
        <v>71</v>
      </c>
      <c r="F350" s="868">
        <v>71</v>
      </c>
      <c r="G350" s="868">
        <v>70</v>
      </c>
      <c r="H350" s="868">
        <v>65</v>
      </c>
      <c r="I350" s="868">
        <v>65</v>
      </c>
      <c r="J350" s="868">
        <v>65</v>
      </c>
      <c r="K350" s="868">
        <v>65</v>
      </c>
      <c r="L350" s="868">
        <v>65</v>
      </c>
      <c r="M350" s="869">
        <v>670</v>
      </c>
      <c r="O350" s="690"/>
      <c r="R350" s="85"/>
      <c r="S350" s="690"/>
    </row>
    <row r="351" spans="1:19" ht="13">
      <c r="A351" s="865">
        <v>4615</v>
      </c>
      <c r="B351" s="876" t="s">
        <v>28</v>
      </c>
      <c r="C351" s="867" t="s">
        <v>1044</v>
      </c>
      <c r="D351" s="868">
        <v>55</v>
      </c>
      <c r="E351" s="868">
        <v>57</v>
      </c>
      <c r="F351" s="868">
        <v>56</v>
      </c>
      <c r="G351" s="868">
        <v>56</v>
      </c>
      <c r="H351" s="868">
        <v>61</v>
      </c>
      <c r="I351" s="868">
        <v>61</v>
      </c>
      <c r="J351" s="868">
        <v>61</v>
      </c>
      <c r="K351" s="868">
        <v>61</v>
      </c>
      <c r="L351" s="868">
        <v>61</v>
      </c>
      <c r="M351" s="869"/>
      <c r="O351" s="690"/>
      <c r="R351" s="85"/>
      <c r="S351" s="690"/>
    </row>
    <row r="352" spans="1:19" ht="13">
      <c r="A352" s="865">
        <v>4616</v>
      </c>
      <c r="B352" s="876" t="s">
        <v>29</v>
      </c>
      <c r="C352" s="867" t="s">
        <v>1044</v>
      </c>
      <c r="D352" s="868">
        <v>37</v>
      </c>
      <c r="E352" s="868">
        <v>38</v>
      </c>
      <c r="F352" s="868">
        <v>38</v>
      </c>
      <c r="G352" s="868">
        <v>43</v>
      </c>
      <c r="H352" s="868">
        <v>47</v>
      </c>
      <c r="I352" s="868">
        <v>47</v>
      </c>
      <c r="J352" s="868">
        <v>47</v>
      </c>
      <c r="K352" s="868">
        <v>47</v>
      </c>
      <c r="L352" s="868">
        <v>47</v>
      </c>
      <c r="M352" s="869"/>
      <c r="O352" s="690"/>
      <c r="R352" s="85"/>
      <c r="S352" s="690"/>
    </row>
    <row r="353" spans="1:19" ht="13">
      <c r="A353" s="865">
        <v>4617</v>
      </c>
      <c r="B353" s="876" t="s">
        <v>30</v>
      </c>
      <c r="C353" s="867" t="s">
        <v>1042</v>
      </c>
      <c r="D353" s="868">
        <v>37</v>
      </c>
      <c r="E353" s="868">
        <v>33</v>
      </c>
      <c r="F353" s="868">
        <v>34</v>
      </c>
      <c r="G353" s="868">
        <v>33</v>
      </c>
      <c r="H353" s="868">
        <v>29</v>
      </c>
      <c r="I353" s="868">
        <v>29</v>
      </c>
      <c r="J353" s="868">
        <v>29</v>
      </c>
      <c r="K353" s="868">
        <v>29</v>
      </c>
      <c r="L353" s="868">
        <v>29</v>
      </c>
      <c r="M353" s="869"/>
      <c r="O353" s="690"/>
      <c r="R353" s="85"/>
      <c r="S353" s="690"/>
    </row>
    <row r="354" spans="1:19" ht="13">
      <c r="A354" s="878">
        <v>4618</v>
      </c>
      <c r="B354" s="879" t="s">
        <v>1632</v>
      </c>
      <c r="C354" s="880"/>
      <c r="D354" s="881"/>
      <c r="E354" s="881"/>
      <c r="F354" s="881"/>
      <c r="G354" s="881"/>
      <c r="H354" s="881"/>
      <c r="I354" s="881">
        <v>27</v>
      </c>
      <c r="J354" s="881">
        <v>27</v>
      </c>
      <c r="K354" s="881">
        <v>27</v>
      </c>
      <c r="L354" s="881">
        <v>27</v>
      </c>
      <c r="M354" s="882"/>
      <c r="O354" s="690"/>
      <c r="R354" s="85"/>
      <c r="S354" s="690"/>
    </row>
    <row r="355" spans="1:19" ht="13">
      <c r="A355" s="865">
        <v>4619</v>
      </c>
      <c r="B355" s="876" t="s">
        <v>34</v>
      </c>
      <c r="C355" s="867" t="s">
        <v>1042</v>
      </c>
      <c r="D355" s="868">
        <v>34</v>
      </c>
      <c r="E355" s="868">
        <v>40</v>
      </c>
      <c r="F355" s="868">
        <v>41</v>
      </c>
      <c r="G355" s="868">
        <v>41</v>
      </c>
      <c r="H355" s="868">
        <v>36</v>
      </c>
      <c r="I355" s="868">
        <v>36</v>
      </c>
      <c r="J355" s="868">
        <v>36</v>
      </c>
      <c r="K355" s="868">
        <v>36</v>
      </c>
      <c r="L355" s="868">
        <v>36</v>
      </c>
      <c r="M355" s="869"/>
      <c r="O355" s="690"/>
      <c r="R355" s="85"/>
      <c r="S355" s="690"/>
    </row>
    <row r="356" spans="1:19" ht="13">
      <c r="A356" s="865">
        <v>4620</v>
      </c>
      <c r="B356" s="876" t="s">
        <v>35</v>
      </c>
      <c r="C356" s="867" t="s">
        <v>1042</v>
      </c>
      <c r="D356" s="868">
        <v>24</v>
      </c>
      <c r="E356" s="868">
        <v>23</v>
      </c>
      <c r="F356" s="868">
        <v>25</v>
      </c>
      <c r="G356" s="868">
        <v>26</v>
      </c>
      <c r="H356" s="868">
        <v>24</v>
      </c>
      <c r="I356" s="868">
        <v>24</v>
      </c>
      <c r="J356" s="868">
        <v>24</v>
      </c>
      <c r="K356" s="868">
        <v>24</v>
      </c>
      <c r="L356" s="868">
        <v>24</v>
      </c>
      <c r="M356" s="869"/>
      <c r="O356" s="690"/>
      <c r="R356" s="85"/>
      <c r="S356" s="690"/>
    </row>
    <row r="357" spans="1:19" ht="13">
      <c r="A357" s="878">
        <v>4621</v>
      </c>
      <c r="B357" s="879" t="s">
        <v>1633</v>
      </c>
      <c r="C357" s="880"/>
      <c r="D357" s="881"/>
      <c r="E357" s="881"/>
      <c r="F357" s="881"/>
      <c r="G357" s="881"/>
      <c r="H357" s="881"/>
      <c r="I357" s="881">
        <v>48</v>
      </c>
      <c r="J357" s="881">
        <v>48</v>
      </c>
      <c r="K357" s="881">
        <v>48</v>
      </c>
      <c r="L357" s="881">
        <v>48</v>
      </c>
      <c r="M357" s="882"/>
      <c r="O357" s="690"/>
      <c r="R357" s="85"/>
      <c r="S357" s="690"/>
    </row>
    <row r="358" spans="1:19" ht="13">
      <c r="A358" s="865">
        <v>4622</v>
      </c>
      <c r="B358" s="876" t="s">
        <v>38</v>
      </c>
      <c r="C358" s="867" t="s">
        <v>1042</v>
      </c>
      <c r="D358" s="868">
        <v>42</v>
      </c>
      <c r="E358" s="868">
        <v>41</v>
      </c>
      <c r="F358" s="868">
        <v>42</v>
      </c>
      <c r="G358" s="868">
        <v>41</v>
      </c>
      <c r="H358" s="868">
        <v>40</v>
      </c>
      <c r="I358" s="868">
        <v>40</v>
      </c>
      <c r="J358" s="868">
        <v>40</v>
      </c>
      <c r="K358" s="868">
        <v>40</v>
      </c>
      <c r="L358" s="868">
        <v>40</v>
      </c>
      <c r="M358" s="869"/>
      <c r="O358" s="690"/>
      <c r="R358" s="85"/>
      <c r="S358" s="690"/>
    </row>
    <row r="359" spans="1:19" ht="13">
      <c r="A359" s="865">
        <v>4623</v>
      </c>
      <c r="B359" s="876" t="s">
        <v>40</v>
      </c>
      <c r="C359" s="867" t="s">
        <v>1044</v>
      </c>
      <c r="D359" s="868">
        <v>53</v>
      </c>
      <c r="E359" s="868">
        <v>56</v>
      </c>
      <c r="F359" s="868">
        <v>54</v>
      </c>
      <c r="G359" s="868">
        <v>56</v>
      </c>
      <c r="H359" s="868">
        <v>56</v>
      </c>
      <c r="I359" s="868">
        <v>56</v>
      </c>
      <c r="J359" s="868">
        <v>56</v>
      </c>
      <c r="K359" s="868">
        <v>56</v>
      </c>
      <c r="L359" s="868">
        <v>56</v>
      </c>
      <c r="M359" s="869"/>
      <c r="O359" s="690"/>
      <c r="R359" s="85"/>
      <c r="S359" s="690"/>
    </row>
    <row r="360" spans="1:19" ht="13">
      <c r="A360" s="878">
        <v>4624</v>
      </c>
      <c r="B360" s="879" t="s">
        <v>1634</v>
      </c>
      <c r="C360" s="880"/>
      <c r="D360" s="881"/>
      <c r="E360" s="881"/>
      <c r="F360" s="881"/>
      <c r="G360" s="881"/>
      <c r="H360" s="881"/>
      <c r="I360" s="881">
        <v>82</v>
      </c>
      <c r="J360" s="881">
        <v>82</v>
      </c>
      <c r="K360" s="881">
        <v>82</v>
      </c>
      <c r="L360" s="881">
        <v>82</v>
      </c>
      <c r="M360" s="882"/>
      <c r="O360" s="690"/>
      <c r="R360" s="85"/>
      <c r="S360" s="690"/>
    </row>
    <row r="361" spans="1:19" ht="13">
      <c r="A361" s="865">
        <v>4625</v>
      </c>
      <c r="B361" s="876" t="s">
        <v>41</v>
      </c>
      <c r="C361" s="867" t="s">
        <v>1044</v>
      </c>
      <c r="D361" s="868">
        <v>69</v>
      </c>
      <c r="E361" s="868">
        <v>71</v>
      </c>
      <c r="F361" s="868">
        <v>72</v>
      </c>
      <c r="G361" s="868">
        <v>74</v>
      </c>
      <c r="H361" s="868">
        <v>76</v>
      </c>
      <c r="I361" s="868">
        <v>76</v>
      </c>
      <c r="J361" s="868">
        <v>76</v>
      </c>
      <c r="K361" s="868">
        <v>76</v>
      </c>
      <c r="L361" s="868">
        <v>76</v>
      </c>
      <c r="M361" s="869"/>
      <c r="O361" s="690"/>
      <c r="R361" s="85"/>
      <c r="S361" s="690"/>
    </row>
    <row r="362" spans="1:19" ht="13">
      <c r="A362" s="878">
        <v>4626</v>
      </c>
      <c r="B362" s="879" t="s">
        <v>1635</v>
      </c>
      <c r="C362" s="880"/>
      <c r="D362" s="881"/>
      <c r="E362" s="881"/>
      <c r="F362" s="881"/>
      <c r="G362" s="881"/>
      <c r="H362" s="881"/>
      <c r="I362" s="881">
        <v>84</v>
      </c>
      <c r="J362" s="881">
        <v>84</v>
      </c>
      <c r="K362" s="881">
        <v>84</v>
      </c>
      <c r="L362" s="881">
        <v>84</v>
      </c>
      <c r="M362" s="882"/>
      <c r="O362" s="690"/>
      <c r="R362" s="85"/>
      <c r="S362" s="690"/>
    </row>
    <row r="363" spans="1:19" ht="13">
      <c r="A363" s="865">
        <v>4627</v>
      </c>
      <c r="B363" s="876" t="s">
        <v>44</v>
      </c>
      <c r="C363" s="867" t="s">
        <v>1041</v>
      </c>
      <c r="D363" s="868">
        <v>89</v>
      </c>
      <c r="E363" s="868">
        <v>89</v>
      </c>
      <c r="F363" s="868">
        <v>89</v>
      </c>
      <c r="G363" s="868">
        <v>88</v>
      </c>
      <c r="H363" s="868">
        <v>88</v>
      </c>
      <c r="I363" s="868">
        <v>88</v>
      </c>
      <c r="J363" s="868">
        <v>88</v>
      </c>
      <c r="K363" s="868">
        <v>88</v>
      </c>
      <c r="L363" s="868">
        <v>88</v>
      </c>
      <c r="M363" s="869"/>
      <c r="O363" s="690"/>
      <c r="R363" s="85"/>
      <c r="S363" s="690"/>
    </row>
    <row r="364" spans="1:19" ht="13">
      <c r="A364" s="865">
        <v>4628</v>
      </c>
      <c r="B364" s="876" t="s">
        <v>45</v>
      </c>
      <c r="C364" s="867" t="s">
        <v>1044</v>
      </c>
      <c r="D364" s="868">
        <v>39</v>
      </c>
      <c r="E364" s="868">
        <v>38</v>
      </c>
      <c r="F364" s="868">
        <v>36</v>
      </c>
      <c r="G364" s="868">
        <v>38</v>
      </c>
      <c r="H364" s="868">
        <v>37</v>
      </c>
      <c r="I364" s="868">
        <v>37</v>
      </c>
      <c r="J364" s="868">
        <v>37</v>
      </c>
      <c r="K364" s="868">
        <v>37</v>
      </c>
      <c r="L364" s="868">
        <v>37</v>
      </c>
      <c r="M364" s="869"/>
      <c r="O364" s="690"/>
      <c r="R364" s="85"/>
      <c r="S364" s="690"/>
    </row>
    <row r="365" spans="1:19" ht="13">
      <c r="A365" s="865">
        <v>4629</v>
      </c>
      <c r="B365" s="876" t="s">
        <v>46</v>
      </c>
      <c r="C365" s="867" t="s">
        <v>1042</v>
      </c>
      <c r="D365" s="868">
        <v>46</v>
      </c>
      <c r="E365" s="868">
        <v>42</v>
      </c>
      <c r="F365" s="868">
        <v>46</v>
      </c>
      <c r="G365" s="868">
        <v>45</v>
      </c>
      <c r="H365" s="868">
        <v>50</v>
      </c>
      <c r="I365" s="868">
        <v>50</v>
      </c>
      <c r="J365" s="868">
        <v>50</v>
      </c>
      <c r="K365" s="868">
        <v>50</v>
      </c>
      <c r="L365" s="868">
        <v>50</v>
      </c>
      <c r="M365" s="869"/>
      <c r="O365" s="690"/>
      <c r="R365" s="85"/>
      <c r="S365" s="690"/>
    </row>
    <row r="366" spans="1:19" ht="13">
      <c r="A366" s="865">
        <v>4630</v>
      </c>
      <c r="B366" s="876" t="s">
        <v>47</v>
      </c>
      <c r="C366" s="867" t="s">
        <v>1041</v>
      </c>
      <c r="D366" s="868">
        <v>61</v>
      </c>
      <c r="E366" s="868">
        <v>66</v>
      </c>
      <c r="F366" s="868">
        <v>64</v>
      </c>
      <c r="G366" s="868">
        <v>66</v>
      </c>
      <c r="H366" s="868">
        <v>66</v>
      </c>
      <c r="I366" s="868">
        <v>66</v>
      </c>
      <c r="J366" s="868">
        <v>66</v>
      </c>
      <c r="K366" s="868">
        <v>66</v>
      </c>
      <c r="L366" s="868">
        <v>66</v>
      </c>
      <c r="M366" s="869">
        <v>570</v>
      </c>
      <c r="O366" s="690"/>
      <c r="R366" s="85"/>
      <c r="S366" s="690"/>
    </row>
    <row r="367" spans="1:19" ht="13">
      <c r="A367" s="878">
        <v>4631</v>
      </c>
      <c r="B367" s="879" t="s">
        <v>1636</v>
      </c>
      <c r="C367" s="880"/>
      <c r="D367" s="881"/>
      <c r="E367" s="881"/>
      <c r="F367" s="881"/>
      <c r="G367" s="881"/>
      <c r="H367" s="881"/>
      <c r="I367" s="881">
        <v>74</v>
      </c>
      <c r="J367" s="881">
        <v>74</v>
      </c>
      <c r="K367" s="881">
        <v>74</v>
      </c>
      <c r="L367" s="881">
        <v>74</v>
      </c>
      <c r="M367" s="882"/>
      <c r="O367" s="690"/>
      <c r="R367" s="85"/>
      <c r="S367" s="690"/>
    </row>
    <row r="368" spans="1:19" ht="13">
      <c r="A368" s="865">
        <v>4632</v>
      </c>
      <c r="B368" s="876" t="s">
        <v>55</v>
      </c>
      <c r="C368" s="867" t="s">
        <v>1041</v>
      </c>
      <c r="D368" s="868">
        <v>72</v>
      </c>
      <c r="E368" s="868">
        <v>73</v>
      </c>
      <c r="F368" s="868">
        <v>73</v>
      </c>
      <c r="G368" s="868">
        <v>71</v>
      </c>
      <c r="H368" s="868">
        <v>69</v>
      </c>
      <c r="I368" s="868">
        <v>69</v>
      </c>
      <c r="J368" s="868">
        <v>69</v>
      </c>
      <c r="K368" s="868">
        <v>69</v>
      </c>
      <c r="L368" s="868">
        <v>69</v>
      </c>
      <c r="M368" s="869"/>
      <c r="O368" s="690"/>
      <c r="R368" s="85"/>
      <c r="S368" s="690"/>
    </row>
    <row r="369" spans="1:19" ht="13">
      <c r="A369" s="865">
        <v>4633</v>
      </c>
      <c r="B369" s="876" t="s">
        <v>56</v>
      </c>
      <c r="C369" s="867" t="s">
        <v>1042</v>
      </c>
      <c r="D369" s="868">
        <v>20</v>
      </c>
      <c r="E369" s="868">
        <v>24</v>
      </c>
      <c r="F369" s="868">
        <v>20</v>
      </c>
      <c r="G369" s="868">
        <v>18</v>
      </c>
      <c r="H369" s="868">
        <v>15</v>
      </c>
      <c r="I369" s="868">
        <v>15</v>
      </c>
      <c r="J369" s="868">
        <v>15</v>
      </c>
      <c r="K369" s="868">
        <v>15</v>
      </c>
      <c r="L369" s="868">
        <v>15</v>
      </c>
      <c r="M369" s="869"/>
      <c r="O369" s="690"/>
      <c r="R369" s="85"/>
      <c r="S369" s="690"/>
    </row>
    <row r="370" spans="1:19" ht="13">
      <c r="A370" s="865">
        <v>4634</v>
      </c>
      <c r="B370" s="876" t="s">
        <v>57</v>
      </c>
      <c r="C370" s="867" t="s">
        <v>1042</v>
      </c>
      <c r="D370" s="868">
        <v>36</v>
      </c>
      <c r="E370" s="868">
        <v>43</v>
      </c>
      <c r="F370" s="868">
        <v>45</v>
      </c>
      <c r="G370" s="868">
        <v>45</v>
      </c>
      <c r="H370" s="868">
        <v>49</v>
      </c>
      <c r="I370" s="868">
        <v>49</v>
      </c>
      <c r="J370" s="868">
        <v>49</v>
      </c>
      <c r="K370" s="868">
        <v>49</v>
      </c>
      <c r="L370" s="868">
        <v>49</v>
      </c>
      <c r="M370" s="869"/>
      <c r="O370" s="690"/>
      <c r="R370" s="85"/>
      <c r="S370" s="690"/>
    </row>
    <row r="371" spans="1:19" ht="13">
      <c r="A371" s="865">
        <v>4635</v>
      </c>
      <c r="B371" s="876" t="s">
        <v>59</v>
      </c>
      <c r="C371" s="867" t="s">
        <v>1042</v>
      </c>
      <c r="D371" s="868">
        <v>28</v>
      </c>
      <c r="E371" s="868">
        <v>31</v>
      </c>
      <c r="F371" s="868">
        <v>29</v>
      </c>
      <c r="G371" s="868">
        <v>31</v>
      </c>
      <c r="H371" s="868">
        <v>33</v>
      </c>
      <c r="I371" s="868">
        <v>33</v>
      </c>
      <c r="J371" s="868">
        <v>33</v>
      </c>
      <c r="K371" s="868">
        <v>33</v>
      </c>
      <c r="L371" s="868">
        <v>33</v>
      </c>
      <c r="M371" s="869"/>
      <c r="O371" s="690"/>
      <c r="R371" s="85"/>
      <c r="S371" s="690"/>
    </row>
    <row r="372" spans="1:19" ht="13">
      <c r="A372" s="865">
        <v>4636</v>
      </c>
      <c r="B372" s="876" t="s">
        <v>60</v>
      </c>
      <c r="C372" s="867" t="s">
        <v>1042</v>
      </c>
      <c r="D372" s="868">
        <v>16</v>
      </c>
      <c r="E372" s="868">
        <v>16</v>
      </c>
      <c r="F372" s="868">
        <v>15</v>
      </c>
      <c r="G372" s="868">
        <v>12</v>
      </c>
      <c r="H372" s="868">
        <v>13</v>
      </c>
      <c r="I372" s="868">
        <v>13</v>
      </c>
      <c r="J372" s="868">
        <v>13</v>
      </c>
      <c r="K372" s="868">
        <v>13</v>
      </c>
      <c r="L372" s="868">
        <v>13</v>
      </c>
      <c r="M372" s="869"/>
      <c r="O372" s="690"/>
      <c r="R372" s="85"/>
      <c r="S372" s="690"/>
    </row>
    <row r="373" spans="1:19" ht="13">
      <c r="A373" s="865">
        <v>4637</v>
      </c>
      <c r="B373" s="876" t="s">
        <v>61</v>
      </c>
      <c r="C373" s="867" t="s">
        <v>1042</v>
      </c>
      <c r="D373" s="868">
        <v>18</v>
      </c>
      <c r="E373" s="868">
        <v>17</v>
      </c>
      <c r="F373" s="868">
        <v>26</v>
      </c>
      <c r="G373" s="868">
        <v>20</v>
      </c>
      <c r="H373" s="868">
        <v>21</v>
      </c>
      <c r="I373" s="868">
        <v>21</v>
      </c>
      <c r="J373" s="868">
        <v>21</v>
      </c>
      <c r="K373" s="868">
        <v>21</v>
      </c>
      <c r="L373" s="868">
        <v>21</v>
      </c>
      <c r="M373" s="869"/>
      <c r="O373" s="690"/>
      <c r="R373" s="85"/>
      <c r="S373" s="690"/>
    </row>
    <row r="374" spans="1:19" ht="13">
      <c r="A374" s="865">
        <v>4638</v>
      </c>
      <c r="B374" s="876" t="s">
        <v>62</v>
      </c>
      <c r="C374" s="867" t="s">
        <v>1042</v>
      </c>
      <c r="D374" s="868">
        <v>20</v>
      </c>
      <c r="E374" s="868">
        <v>19</v>
      </c>
      <c r="F374" s="868">
        <v>19</v>
      </c>
      <c r="G374" s="868">
        <v>19</v>
      </c>
      <c r="H374" s="868">
        <v>17</v>
      </c>
      <c r="I374" s="868">
        <v>17</v>
      </c>
      <c r="J374" s="868">
        <v>17</v>
      </c>
      <c r="K374" s="868">
        <v>17</v>
      </c>
      <c r="L374" s="868">
        <v>17</v>
      </c>
      <c r="M374" s="869"/>
      <c r="O374" s="690"/>
      <c r="R374" s="85"/>
      <c r="S374" s="690"/>
    </row>
    <row r="375" spans="1:19" ht="13">
      <c r="A375" s="865">
        <v>4639</v>
      </c>
      <c r="B375" s="876" t="s">
        <v>63</v>
      </c>
      <c r="C375" s="867" t="s">
        <v>1042</v>
      </c>
      <c r="D375" s="868">
        <v>23</v>
      </c>
      <c r="E375" s="868">
        <v>21</v>
      </c>
      <c r="F375" s="868">
        <v>19</v>
      </c>
      <c r="G375" s="868">
        <v>22</v>
      </c>
      <c r="H375" s="868">
        <v>24</v>
      </c>
      <c r="I375" s="868">
        <v>24</v>
      </c>
      <c r="J375" s="868">
        <v>24</v>
      </c>
      <c r="K375" s="868">
        <v>24</v>
      </c>
      <c r="L375" s="868">
        <v>24</v>
      </c>
      <c r="M375" s="869"/>
      <c r="O375" s="690"/>
      <c r="R375" s="85"/>
      <c r="S375" s="690"/>
    </row>
    <row r="376" spans="1:19" ht="13">
      <c r="A376" s="878">
        <v>4640</v>
      </c>
      <c r="B376" s="879" t="s">
        <v>1637</v>
      </c>
      <c r="C376" s="880"/>
      <c r="D376" s="881"/>
      <c r="E376" s="881"/>
      <c r="F376" s="881"/>
      <c r="G376" s="881"/>
      <c r="H376" s="881"/>
      <c r="I376" s="881">
        <v>57</v>
      </c>
      <c r="J376" s="881">
        <v>57</v>
      </c>
      <c r="K376" s="881">
        <v>57</v>
      </c>
      <c r="L376" s="881">
        <v>57</v>
      </c>
      <c r="M376" s="882"/>
      <c r="O376" s="690"/>
      <c r="R376" s="85"/>
      <c r="S376" s="690"/>
    </row>
    <row r="377" spans="1:19" ht="13">
      <c r="A377" s="865">
        <v>4641</v>
      </c>
      <c r="B377" s="876" t="s">
        <v>67</v>
      </c>
      <c r="C377" s="867" t="s">
        <v>1042</v>
      </c>
      <c r="D377" s="868">
        <v>27</v>
      </c>
      <c r="E377" s="868">
        <v>22</v>
      </c>
      <c r="F377" s="868">
        <v>29</v>
      </c>
      <c r="G377" s="868">
        <v>32</v>
      </c>
      <c r="H377" s="868">
        <v>38</v>
      </c>
      <c r="I377" s="868">
        <v>38</v>
      </c>
      <c r="J377" s="868">
        <v>38</v>
      </c>
      <c r="K377" s="868">
        <v>38</v>
      </c>
      <c r="L377" s="868">
        <v>38</v>
      </c>
      <c r="M377" s="869"/>
      <c r="O377" s="690"/>
      <c r="R377" s="85"/>
      <c r="S377" s="690"/>
    </row>
    <row r="378" spans="1:19" ht="13">
      <c r="A378" s="865">
        <v>4642</v>
      </c>
      <c r="B378" s="876" t="s">
        <v>68</v>
      </c>
      <c r="C378" s="867" t="s">
        <v>1042</v>
      </c>
      <c r="D378" s="868">
        <v>36</v>
      </c>
      <c r="E378" s="868">
        <v>30</v>
      </c>
      <c r="F378" s="868">
        <v>33</v>
      </c>
      <c r="G378" s="868">
        <v>35</v>
      </c>
      <c r="H378" s="868">
        <v>33</v>
      </c>
      <c r="I378" s="868">
        <v>33</v>
      </c>
      <c r="J378" s="868">
        <v>33</v>
      </c>
      <c r="K378" s="868">
        <v>33</v>
      </c>
      <c r="L378" s="868">
        <v>33</v>
      </c>
      <c r="M378" s="869"/>
      <c r="O378" s="690"/>
      <c r="R378" s="85"/>
      <c r="S378" s="690"/>
    </row>
    <row r="379" spans="1:19" ht="13">
      <c r="A379" s="865">
        <v>4643</v>
      </c>
      <c r="B379" s="876" t="s">
        <v>69</v>
      </c>
      <c r="C379" s="867" t="s">
        <v>1042</v>
      </c>
      <c r="D379" s="868">
        <v>32</v>
      </c>
      <c r="E379" s="868">
        <v>23</v>
      </c>
      <c r="F379" s="868">
        <v>21</v>
      </c>
      <c r="G379" s="868">
        <v>25</v>
      </c>
      <c r="H379" s="868">
        <v>26</v>
      </c>
      <c r="I379" s="868">
        <v>26</v>
      </c>
      <c r="J379" s="868">
        <v>26</v>
      </c>
      <c r="K379" s="868">
        <v>26</v>
      </c>
      <c r="L379" s="868">
        <v>26</v>
      </c>
      <c r="M379" s="869"/>
      <c r="O379" s="690"/>
      <c r="R379" s="85"/>
      <c r="S379" s="690"/>
    </row>
    <row r="380" spans="1:19" ht="13">
      <c r="A380" s="865">
        <v>4644</v>
      </c>
      <c r="B380" s="876" t="s">
        <v>70</v>
      </c>
      <c r="C380" s="867" t="s">
        <v>1042</v>
      </c>
      <c r="D380" s="868">
        <v>38</v>
      </c>
      <c r="E380" s="868">
        <v>43</v>
      </c>
      <c r="F380" s="868">
        <v>42</v>
      </c>
      <c r="G380" s="868">
        <v>42</v>
      </c>
      <c r="H380" s="868">
        <v>42</v>
      </c>
      <c r="I380" s="868">
        <v>42</v>
      </c>
      <c r="J380" s="868">
        <v>42</v>
      </c>
      <c r="K380" s="868">
        <v>42</v>
      </c>
      <c r="L380" s="868">
        <v>42</v>
      </c>
      <c r="M380" s="869"/>
      <c r="O380" s="690"/>
      <c r="R380" s="85"/>
      <c r="S380" s="690"/>
    </row>
    <row r="381" spans="1:19" ht="13">
      <c r="A381" s="865">
        <v>4645</v>
      </c>
      <c r="B381" s="876" t="s">
        <v>71</v>
      </c>
      <c r="C381" s="867" t="s">
        <v>1042</v>
      </c>
      <c r="D381" s="868">
        <v>23</v>
      </c>
      <c r="E381" s="868">
        <v>21</v>
      </c>
      <c r="F381" s="868">
        <v>22</v>
      </c>
      <c r="G381" s="868">
        <v>25</v>
      </c>
      <c r="H381" s="868">
        <v>28</v>
      </c>
      <c r="I381" s="868">
        <v>28</v>
      </c>
      <c r="J381" s="868">
        <v>28</v>
      </c>
      <c r="K381" s="868">
        <v>28</v>
      </c>
      <c r="L381" s="868">
        <v>28</v>
      </c>
      <c r="M381" s="869"/>
      <c r="O381" s="690"/>
      <c r="R381" s="85"/>
      <c r="S381" s="690"/>
    </row>
    <row r="382" spans="1:19" ht="13">
      <c r="A382" s="865">
        <v>4646</v>
      </c>
      <c r="B382" s="876" t="s">
        <v>72</v>
      </c>
      <c r="C382" s="867" t="s">
        <v>1042</v>
      </c>
      <c r="D382" s="868">
        <v>32</v>
      </c>
      <c r="E382" s="868">
        <v>38</v>
      </c>
      <c r="F382" s="868">
        <v>33</v>
      </c>
      <c r="G382" s="868">
        <v>39</v>
      </c>
      <c r="H382" s="868">
        <v>44</v>
      </c>
      <c r="I382" s="868">
        <v>44</v>
      </c>
      <c r="J382" s="868">
        <v>44</v>
      </c>
      <c r="K382" s="868">
        <v>44</v>
      </c>
      <c r="L382" s="868">
        <v>44</v>
      </c>
      <c r="M382" s="869"/>
      <c r="O382" s="690"/>
      <c r="R382" s="85"/>
      <c r="S382" s="690"/>
    </row>
    <row r="383" spans="1:19" ht="13">
      <c r="A383" s="878">
        <v>4647</v>
      </c>
      <c r="B383" s="879" t="s">
        <v>1638</v>
      </c>
      <c r="C383" s="880"/>
      <c r="D383" s="881"/>
      <c r="E383" s="881"/>
      <c r="F383" s="881"/>
      <c r="G383" s="881"/>
      <c r="H383" s="881"/>
      <c r="I383" s="881">
        <v>61</v>
      </c>
      <c r="J383" s="881">
        <v>61</v>
      </c>
      <c r="K383" s="881">
        <v>61</v>
      </c>
      <c r="L383" s="881">
        <v>61</v>
      </c>
      <c r="M383" s="882"/>
      <c r="O383" s="690"/>
      <c r="R383" s="85"/>
      <c r="S383" s="690"/>
    </row>
    <row r="384" spans="1:19" ht="13">
      <c r="A384" s="865">
        <v>4648</v>
      </c>
      <c r="B384" s="876" t="s">
        <v>77</v>
      </c>
      <c r="C384" s="867" t="s">
        <v>1042</v>
      </c>
      <c r="D384" s="868">
        <v>17</v>
      </c>
      <c r="E384" s="868">
        <v>17</v>
      </c>
      <c r="F384" s="868">
        <v>16</v>
      </c>
      <c r="G384" s="868">
        <v>18</v>
      </c>
      <c r="H384" s="868">
        <v>20</v>
      </c>
      <c r="I384" s="868">
        <v>20</v>
      </c>
      <c r="J384" s="868">
        <v>20</v>
      </c>
      <c r="K384" s="868">
        <v>20</v>
      </c>
      <c r="L384" s="868">
        <v>20</v>
      </c>
      <c r="M384" s="869"/>
      <c r="O384" s="690"/>
      <c r="R384" s="85"/>
      <c r="S384" s="690"/>
    </row>
    <row r="385" spans="1:19" ht="13">
      <c r="A385" s="878">
        <v>4649</v>
      </c>
      <c r="B385" s="879" t="s">
        <v>1639</v>
      </c>
      <c r="C385" s="880"/>
      <c r="D385" s="881"/>
      <c r="E385" s="881"/>
      <c r="F385" s="881"/>
      <c r="G385" s="881"/>
      <c r="H385" s="881"/>
      <c r="I385" s="881">
        <v>38</v>
      </c>
      <c r="J385" s="881">
        <v>38</v>
      </c>
      <c r="K385" s="881">
        <v>38</v>
      </c>
      <c r="L385" s="881">
        <v>38</v>
      </c>
      <c r="M385" s="882"/>
      <c r="O385" s="690"/>
      <c r="R385" s="85"/>
      <c r="S385" s="690"/>
    </row>
    <row r="386" spans="1:19" ht="13">
      <c r="A386" s="865">
        <v>4650</v>
      </c>
      <c r="B386" s="876" t="s">
        <v>82</v>
      </c>
      <c r="C386" s="867" t="s">
        <v>1042</v>
      </c>
      <c r="D386" s="868">
        <v>38</v>
      </c>
      <c r="E386" s="868">
        <v>36</v>
      </c>
      <c r="F386" s="868">
        <v>36</v>
      </c>
      <c r="G386" s="868">
        <v>36</v>
      </c>
      <c r="H386" s="868">
        <v>38</v>
      </c>
      <c r="I386" s="868">
        <v>38</v>
      </c>
      <c r="J386" s="868">
        <v>38</v>
      </c>
      <c r="K386" s="868">
        <v>38</v>
      </c>
      <c r="L386" s="868">
        <v>38</v>
      </c>
      <c r="M386" s="869"/>
      <c r="O386" s="690"/>
      <c r="R386" s="85"/>
      <c r="S386" s="690"/>
    </row>
    <row r="387" spans="1:19" ht="13">
      <c r="A387" s="865">
        <v>4651</v>
      </c>
      <c r="B387" s="876" t="s">
        <v>83</v>
      </c>
      <c r="C387" s="867" t="s">
        <v>1042</v>
      </c>
      <c r="D387" s="868">
        <v>43</v>
      </c>
      <c r="E387" s="868">
        <v>41</v>
      </c>
      <c r="F387" s="868">
        <v>40</v>
      </c>
      <c r="G387" s="868">
        <v>41</v>
      </c>
      <c r="H387" s="868">
        <v>47</v>
      </c>
      <c r="I387" s="868">
        <v>47</v>
      </c>
      <c r="J387" s="868">
        <v>47</v>
      </c>
      <c r="K387" s="868">
        <v>47</v>
      </c>
      <c r="L387" s="868">
        <v>47</v>
      </c>
      <c r="M387" s="869"/>
      <c r="O387" s="690"/>
      <c r="R387" s="85"/>
      <c r="S387" s="690"/>
    </row>
    <row r="388" spans="1:19" ht="13">
      <c r="A388" s="884">
        <v>5001</v>
      </c>
      <c r="B388" s="885" t="s">
        <v>118</v>
      </c>
      <c r="C388" s="886"/>
      <c r="D388" s="887">
        <v>81</v>
      </c>
      <c r="E388" s="887">
        <v>81</v>
      </c>
      <c r="F388" s="887">
        <v>81</v>
      </c>
      <c r="G388" s="887">
        <v>81</v>
      </c>
      <c r="H388" s="887">
        <v>81</v>
      </c>
      <c r="I388" s="887">
        <v>81</v>
      </c>
      <c r="J388" s="887">
        <v>81</v>
      </c>
      <c r="K388" s="887">
        <v>81</v>
      </c>
      <c r="L388" s="887">
        <v>81</v>
      </c>
      <c r="M388" s="888"/>
      <c r="O388" s="690"/>
      <c r="R388" s="85"/>
      <c r="S388" s="690"/>
    </row>
    <row r="389" spans="1:19" ht="13">
      <c r="A389" s="857">
        <v>5004</v>
      </c>
      <c r="B389" s="858" t="s">
        <v>1592</v>
      </c>
      <c r="C389" s="859" t="s">
        <v>1042</v>
      </c>
      <c r="D389" s="860">
        <v>40</v>
      </c>
      <c r="E389" s="860">
        <v>40</v>
      </c>
      <c r="F389" s="860">
        <v>39</v>
      </c>
      <c r="G389" s="860">
        <v>42</v>
      </c>
      <c r="H389" s="860">
        <v>42</v>
      </c>
      <c r="I389" s="860"/>
      <c r="J389" s="860"/>
      <c r="K389" s="860"/>
      <c r="L389" s="860"/>
      <c r="M389" s="864"/>
      <c r="O389" s="690"/>
      <c r="R389" s="85"/>
      <c r="S389" s="690"/>
    </row>
    <row r="390" spans="1:19" ht="13">
      <c r="A390" s="857">
        <v>5005</v>
      </c>
      <c r="B390" s="858" t="s">
        <v>1593</v>
      </c>
      <c r="C390" s="859" t="s">
        <v>1043</v>
      </c>
      <c r="D390" s="860">
        <v>50</v>
      </c>
      <c r="E390" s="860">
        <v>48</v>
      </c>
      <c r="F390" s="860">
        <v>44</v>
      </c>
      <c r="G390" s="860">
        <v>43</v>
      </c>
      <c r="H390" s="860">
        <v>45</v>
      </c>
      <c r="I390" s="860"/>
      <c r="J390" s="860"/>
      <c r="K390" s="860"/>
      <c r="L390" s="860"/>
      <c r="M390" s="864"/>
      <c r="O390" s="690"/>
      <c r="R390" s="85"/>
      <c r="S390" s="690"/>
    </row>
    <row r="391" spans="1:19" s="657" customFormat="1" ht="13">
      <c r="A391" s="878">
        <v>5006</v>
      </c>
      <c r="B391" s="883" t="s">
        <v>1640</v>
      </c>
      <c r="C391" s="880"/>
      <c r="D391" s="881"/>
      <c r="E391" s="881"/>
      <c r="F391" s="881"/>
      <c r="G391" s="881"/>
      <c r="H391" s="881"/>
      <c r="I391" s="881">
        <v>40</v>
      </c>
      <c r="J391" s="881">
        <v>40</v>
      </c>
      <c r="K391" s="881">
        <v>40</v>
      </c>
      <c r="L391" s="881">
        <v>40</v>
      </c>
      <c r="M391" s="882"/>
      <c r="O391" s="870"/>
      <c r="R391" s="871"/>
      <c r="S391" s="870"/>
    </row>
    <row r="392" spans="1:19" s="657" customFormat="1" ht="13">
      <c r="A392" s="878">
        <v>5007</v>
      </c>
      <c r="B392" s="883" t="s">
        <v>1641</v>
      </c>
      <c r="C392" s="880"/>
      <c r="D392" s="881"/>
      <c r="E392" s="881"/>
      <c r="F392" s="881"/>
      <c r="G392" s="881"/>
      <c r="H392" s="881"/>
      <c r="I392" s="881">
        <v>42</v>
      </c>
      <c r="J392" s="881">
        <v>42</v>
      </c>
      <c r="K392" s="881">
        <v>42</v>
      </c>
      <c r="L392" s="881">
        <v>42</v>
      </c>
      <c r="M392" s="882"/>
      <c r="O392" s="870"/>
      <c r="R392" s="871"/>
      <c r="S392" s="870"/>
    </row>
    <row r="393" spans="1:19" ht="13">
      <c r="A393" s="857">
        <v>5011</v>
      </c>
      <c r="B393" s="858" t="s">
        <v>1594</v>
      </c>
      <c r="C393" s="859" t="s">
        <v>1043</v>
      </c>
      <c r="D393" s="860">
        <v>30</v>
      </c>
      <c r="E393" s="860">
        <v>31</v>
      </c>
      <c r="F393" s="860">
        <v>31</v>
      </c>
      <c r="G393" s="860">
        <v>31</v>
      </c>
      <c r="H393" s="860">
        <v>32</v>
      </c>
      <c r="I393" s="860"/>
      <c r="J393" s="860"/>
      <c r="K393" s="860"/>
      <c r="L393" s="860"/>
      <c r="M393" s="864"/>
      <c r="O393" s="690"/>
      <c r="R393" s="85"/>
      <c r="S393" s="690"/>
    </row>
    <row r="394" spans="1:19" ht="13">
      <c r="A394" s="857">
        <v>5012</v>
      </c>
      <c r="B394" s="858" t="s">
        <v>1595</v>
      </c>
      <c r="C394" s="859" t="s">
        <v>1043</v>
      </c>
      <c r="D394" s="860">
        <v>29</v>
      </c>
      <c r="E394" s="860">
        <v>31</v>
      </c>
      <c r="F394" s="860">
        <v>28</v>
      </c>
      <c r="G394" s="860">
        <v>27</v>
      </c>
      <c r="H394" s="860">
        <v>30</v>
      </c>
      <c r="I394" s="860"/>
      <c r="J394" s="860"/>
      <c r="K394" s="860"/>
      <c r="L394" s="860"/>
      <c r="M394" s="864"/>
      <c r="O394" s="690"/>
      <c r="R394" s="85"/>
      <c r="S394" s="690"/>
    </row>
    <row r="395" spans="1:19" ht="13">
      <c r="A395" s="857">
        <v>5013</v>
      </c>
      <c r="B395" s="858" t="s">
        <v>1596</v>
      </c>
      <c r="C395" s="859" t="s">
        <v>1043</v>
      </c>
      <c r="D395" s="860">
        <v>38</v>
      </c>
      <c r="E395" s="860">
        <v>38</v>
      </c>
      <c r="F395" s="860">
        <v>44</v>
      </c>
      <c r="G395" s="860">
        <v>44</v>
      </c>
      <c r="H395" s="860">
        <v>45</v>
      </c>
      <c r="I395" s="860"/>
      <c r="J395" s="860"/>
      <c r="K395" s="860"/>
      <c r="L395" s="860"/>
      <c r="M395" s="864"/>
      <c r="O395" s="690"/>
      <c r="R395" s="85"/>
      <c r="S395" s="690"/>
    </row>
    <row r="396" spans="1:19" ht="13">
      <c r="A396" s="865">
        <v>5014</v>
      </c>
      <c r="B396" s="866" t="s">
        <v>122</v>
      </c>
      <c r="C396" s="867" t="s">
        <v>1043</v>
      </c>
      <c r="D396" s="868">
        <v>33</v>
      </c>
      <c r="E396" s="868">
        <v>44</v>
      </c>
      <c r="F396" s="868">
        <v>49</v>
      </c>
      <c r="G396" s="868">
        <v>54</v>
      </c>
      <c r="H396" s="868">
        <v>57</v>
      </c>
      <c r="I396" s="868">
        <v>57</v>
      </c>
      <c r="J396" s="868">
        <v>57</v>
      </c>
      <c r="K396" s="868">
        <v>57</v>
      </c>
      <c r="L396" s="868">
        <v>57</v>
      </c>
      <c r="M396" s="869"/>
      <c r="O396" s="690"/>
      <c r="R396" s="85"/>
      <c r="S396" s="690"/>
    </row>
    <row r="397" spans="1:19" ht="13">
      <c r="A397" s="857">
        <v>5015</v>
      </c>
      <c r="B397" s="858" t="s">
        <v>1597</v>
      </c>
      <c r="C397" s="859" t="s">
        <v>1042</v>
      </c>
      <c r="D397" s="860">
        <v>38</v>
      </c>
      <c r="E397" s="860">
        <v>34</v>
      </c>
      <c r="F397" s="860">
        <v>31</v>
      </c>
      <c r="G397" s="860">
        <v>32</v>
      </c>
      <c r="H397" s="860">
        <v>36</v>
      </c>
      <c r="I397" s="860"/>
      <c r="J397" s="860"/>
      <c r="K397" s="860"/>
      <c r="L397" s="860"/>
      <c r="M397" s="864">
        <v>603</v>
      </c>
      <c r="O397" s="690"/>
      <c r="R397" s="85"/>
      <c r="S397" s="690"/>
    </row>
    <row r="398" spans="1:19" ht="13">
      <c r="A398" s="857">
        <v>5016</v>
      </c>
      <c r="B398" s="858" t="s">
        <v>1598</v>
      </c>
      <c r="C398" s="859" t="s">
        <v>1043</v>
      </c>
      <c r="D398" s="860">
        <v>30</v>
      </c>
      <c r="E398" s="860">
        <v>29</v>
      </c>
      <c r="F398" s="860">
        <v>30</v>
      </c>
      <c r="G398" s="860">
        <v>25</v>
      </c>
      <c r="H398" s="860">
        <v>24</v>
      </c>
      <c r="I398" s="860"/>
      <c r="J398" s="860"/>
      <c r="K398" s="860"/>
      <c r="L398" s="860"/>
      <c r="M398" s="864"/>
      <c r="O398" s="690"/>
      <c r="R398" s="85"/>
      <c r="S398" s="690"/>
    </row>
    <row r="399" spans="1:19" ht="13">
      <c r="A399" s="857">
        <v>5017</v>
      </c>
      <c r="B399" s="858" t="s">
        <v>1599</v>
      </c>
      <c r="C399" s="859" t="s">
        <v>1043</v>
      </c>
      <c r="D399" s="860">
        <v>21</v>
      </c>
      <c r="E399" s="860">
        <v>25</v>
      </c>
      <c r="F399" s="860">
        <v>24</v>
      </c>
      <c r="G399" s="860">
        <v>27</v>
      </c>
      <c r="H399" s="860">
        <v>28</v>
      </c>
      <c r="I399" s="860"/>
      <c r="J399" s="860"/>
      <c r="K399" s="860"/>
      <c r="L399" s="860"/>
      <c r="M399" s="864"/>
      <c r="O399" s="690"/>
      <c r="R399" s="85"/>
      <c r="S399" s="690"/>
    </row>
    <row r="400" spans="1:19" ht="13">
      <c r="A400" s="857">
        <v>5018</v>
      </c>
      <c r="B400" s="858" t="s">
        <v>1600</v>
      </c>
      <c r="C400" s="859" t="s">
        <v>1043</v>
      </c>
      <c r="D400" s="860">
        <v>20</v>
      </c>
      <c r="E400" s="860">
        <v>24</v>
      </c>
      <c r="F400" s="860">
        <v>23</v>
      </c>
      <c r="G400" s="860">
        <v>24</v>
      </c>
      <c r="H400" s="860">
        <v>25</v>
      </c>
      <c r="I400" s="860"/>
      <c r="J400" s="860"/>
      <c r="K400" s="860"/>
      <c r="L400" s="860"/>
      <c r="M400" s="864"/>
      <c r="O400" s="690"/>
      <c r="R400" s="85"/>
      <c r="S400" s="690"/>
    </row>
    <row r="401" spans="1:19" ht="13">
      <c r="A401" s="857">
        <v>5019</v>
      </c>
      <c r="B401" s="858" t="s">
        <v>1601</v>
      </c>
      <c r="C401" s="859" t="s">
        <v>1043</v>
      </c>
      <c r="D401" s="860">
        <v>14</v>
      </c>
      <c r="E401" s="860">
        <v>20</v>
      </c>
      <c r="F401" s="860">
        <v>13</v>
      </c>
      <c r="G401" s="860">
        <v>15</v>
      </c>
      <c r="H401" s="860">
        <v>16</v>
      </c>
      <c r="I401" s="860"/>
      <c r="J401" s="860"/>
      <c r="K401" s="860"/>
      <c r="L401" s="860"/>
      <c r="M401" s="864"/>
      <c r="O401" s="690"/>
      <c r="R401" s="85"/>
      <c r="S401" s="690"/>
    </row>
    <row r="402" spans="1:19" ht="13">
      <c r="A402" s="865">
        <v>5020</v>
      </c>
      <c r="B402" s="866" t="s">
        <v>129</v>
      </c>
      <c r="C402" s="867" t="s">
        <v>1043</v>
      </c>
      <c r="D402" s="868">
        <v>10</v>
      </c>
      <c r="E402" s="868">
        <v>13</v>
      </c>
      <c r="F402" s="868">
        <v>17</v>
      </c>
      <c r="G402" s="868">
        <v>8</v>
      </c>
      <c r="H402" s="868">
        <v>9</v>
      </c>
      <c r="I402" s="868">
        <v>9</v>
      </c>
      <c r="J402" s="868">
        <v>9</v>
      </c>
      <c r="K402" s="868">
        <v>9</v>
      </c>
      <c r="L402" s="868">
        <v>9</v>
      </c>
      <c r="M402" s="869"/>
      <c r="O402" s="690"/>
      <c r="R402" s="85"/>
      <c r="S402" s="690"/>
    </row>
    <row r="403" spans="1:19" ht="13">
      <c r="A403" s="865">
        <v>5021</v>
      </c>
      <c r="B403" s="866" t="s">
        <v>130</v>
      </c>
      <c r="C403" s="867" t="s">
        <v>1043</v>
      </c>
      <c r="D403" s="868">
        <v>36</v>
      </c>
      <c r="E403" s="868">
        <v>31</v>
      </c>
      <c r="F403" s="868">
        <v>32</v>
      </c>
      <c r="G403" s="868">
        <v>32</v>
      </c>
      <c r="H403" s="868">
        <v>32</v>
      </c>
      <c r="I403" s="868">
        <v>32</v>
      </c>
      <c r="J403" s="868">
        <v>32</v>
      </c>
      <c r="K403" s="868">
        <v>32</v>
      </c>
      <c r="L403" s="868">
        <v>32</v>
      </c>
      <c r="M403" s="869"/>
      <c r="O403" s="690"/>
      <c r="R403" s="85"/>
      <c r="S403" s="690"/>
    </row>
    <row r="404" spans="1:19" ht="13">
      <c r="A404" s="865">
        <v>5022</v>
      </c>
      <c r="B404" s="866" t="s">
        <v>131</v>
      </c>
      <c r="C404" s="867" t="s">
        <v>1043</v>
      </c>
      <c r="D404" s="868">
        <v>29</v>
      </c>
      <c r="E404" s="868">
        <v>29</v>
      </c>
      <c r="F404" s="868">
        <v>28</v>
      </c>
      <c r="G404" s="868">
        <v>27</v>
      </c>
      <c r="H404" s="868">
        <v>25</v>
      </c>
      <c r="I404" s="868">
        <v>25</v>
      </c>
      <c r="J404" s="868">
        <v>25</v>
      </c>
      <c r="K404" s="868">
        <v>25</v>
      </c>
      <c r="L404" s="868">
        <v>25</v>
      </c>
      <c r="M404" s="869"/>
      <c r="O404" s="690"/>
      <c r="R404" s="85"/>
      <c r="S404" s="690"/>
    </row>
    <row r="405" spans="1:19" ht="13">
      <c r="A405" s="857">
        <v>5023</v>
      </c>
      <c r="B405" s="858" t="s">
        <v>1602</v>
      </c>
      <c r="C405" s="859" t="s">
        <v>1043</v>
      </c>
      <c r="D405" s="860">
        <v>29</v>
      </c>
      <c r="E405" s="860">
        <v>29</v>
      </c>
      <c r="F405" s="860">
        <v>26</v>
      </c>
      <c r="G405" s="860">
        <v>32</v>
      </c>
      <c r="H405" s="860">
        <v>34</v>
      </c>
      <c r="I405" s="860"/>
      <c r="J405" s="860"/>
      <c r="K405" s="860"/>
      <c r="L405" s="860"/>
      <c r="M405" s="864"/>
      <c r="O405" s="690"/>
      <c r="R405" s="85"/>
      <c r="S405" s="690"/>
    </row>
    <row r="406" spans="1:19" ht="13">
      <c r="A406" s="857">
        <v>5024</v>
      </c>
      <c r="B406" s="858" t="s">
        <v>1603</v>
      </c>
      <c r="C406" s="859" t="s">
        <v>1044</v>
      </c>
      <c r="D406" s="860">
        <v>54</v>
      </c>
      <c r="E406" s="860">
        <v>54</v>
      </c>
      <c r="F406" s="860">
        <v>51</v>
      </c>
      <c r="G406" s="860">
        <v>53</v>
      </c>
      <c r="H406" s="860">
        <v>52</v>
      </c>
      <c r="I406" s="860"/>
      <c r="J406" s="860"/>
      <c r="K406" s="860"/>
      <c r="L406" s="860"/>
      <c r="M406" s="864">
        <v>848</v>
      </c>
      <c r="O406" s="690"/>
      <c r="R406" s="85"/>
      <c r="S406" s="690"/>
    </row>
    <row r="407" spans="1:19" ht="13">
      <c r="A407" s="865">
        <v>5025</v>
      </c>
      <c r="B407" s="866" t="s">
        <v>134</v>
      </c>
      <c r="C407" s="867" t="s">
        <v>1043</v>
      </c>
      <c r="D407" s="868">
        <v>39</v>
      </c>
      <c r="E407" s="868">
        <v>36</v>
      </c>
      <c r="F407" s="868">
        <v>34</v>
      </c>
      <c r="G407" s="868">
        <v>35</v>
      </c>
      <c r="H407" s="868">
        <v>32</v>
      </c>
      <c r="I407" s="868">
        <v>32</v>
      </c>
      <c r="J407" s="868">
        <v>32</v>
      </c>
      <c r="K407" s="868">
        <v>32</v>
      </c>
      <c r="L407" s="868">
        <v>32</v>
      </c>
      <c r="M407" s="869"/>
      <c r="O407" s="690"/>
      <c r="R407" s="85"/>
      <c r="S407" s="690"/>
    </row>
    <row r="408" spans="1:19" ht="13">
      <c r="A408" s="865">
        <v>5026</v>
      </c>
      <c r="B408" s="866" t="s">
        <v>135</v>
      </c>
      <c r="C408" s="867" t="s">
        <v>1043</v>
      </c>
      <c r="D408" s="868">
        <v>19</v>
      </c>
      <c r="E408" s="868">
        <v>19</v>
      </c>
      <c r="F408" s="868">
        <v>20</v>
      </c>
      <c r="G408" s="868">
        <v>21</v>
      </c>
      <c r="H408" s="868">
        <v>24</v>
      </c>
      <c r="I408" s="868">
        <v>24</v>
      </c>
      <c r="J408" s="868">
        <v>24</v>
      </c>
      <c r="K408" s="868">
        <v>24</v>
      </c>
      <c r="L408" s="868">
        <v>24</v>
      </c>
      <c r="M408" s="869"/>
      <c r="O408" s="690"/>
      <c r="R408" s="85"/>
      <c r="S408" s="690"/>
    </row>
    <row r="409" spans="1:19" ht="13">
      <c r="A409" s="865">
        <v>5027</v>
      </c>
      <c r="B409" s="866" t="s">
        <v>136</v>
      </c>
      <c r="C409" s="867" t="s">
        <v>1042</v>
      </c>
      <c r="D409" s="868">
        <v>54</v>
      </c>
      <c r="E409" s="868">
        <v>60</v>
      </c>
      <c r="F409" s="868">
        <v>59</v>
      </c>
      <c r="G409" s="868">
        <v>56</v>
      </c>
      <c r="H409" s="868">
        <v>59</v>
      </c>
      <c r="I409" s="868">
        <v>59</v>
      </c>
      <c r="J409" s="868">
        <v>59</v>
      </c>
      <c r="K409" s="868">
        <v>59</v>
      </c>
      <c r="L409" s="868">
        <v>59</v>
      </c>
      <c r="M409" s="869"/>
      <c r="O409" s="690"/>
      <c r="R409" s="85"/>
      <c r="S409" s="690"/>
    </row>
    <row r="410" spans="1:19" ht="13">
      <c r="A410" s="865">
        <v>5028</v>
      </c>
      <c r="B410" s="866" t="s">
        <v>137</v>
      </c>
      <c r="C410" s="867" t="s">
        <v>1041</v>
      </c>
      <c r="D410" s="868">
        <v>69</v>
      </c>
      <c r="E410" s="868">
        <v>69</v>
      </c>
      <c r="F410" s="868">
        <v>67</v>
      </c>
      <c r="G410" s="868">
        <v>69</v>
      </c>
      <c r="H410" s="868">
        <v>69</v>
      </c>
      <c r="I410" s="868">
        <v>69</v>
      </c>
      <c r="J410" s="868">
        <v>69</v>
      </c>
      <c r="K410" s="868">
        <v>69</v>
      </c>
      <c r="L410" s="868">
        <v>69</v>
      </c>
      <c r="M410" s="869">
        <v>987</v>
      </c>
      <c r="O410" s="690"/>
      <c r="R410" s="85"/>
      <c r="S410" s="690"/>
    </row>
    <row r="411" spans="1:19" ht="13">
      <c r="A411" s="865">
        <v>5029</v>
      </c>
      <c r="B411" s="866" t="s">
        <v>138</v>
      </c>
      <c r="C411" s="867" t="s">
        <v>1041</v>
      </c>
      <c r="D411" s="868">
        <v>71</v>
      </c>
      <c r="E411" s="868">
        <v>73</v>
      </c>
      <c r="F411" s="868">
        <v>75</v>
      </c>
      <c r="G411" s="868">
        <v>76</v>
      </c>
      <c r="H411" s="868">
        <v>77</v>
      </c>
      <c r="I411" s="868">
        <v>77</v>
      </c>
      <c r="J411" s="868">
        <v>77</v>
      </c>
      <c r="K411" s="868">
        <v>77</v>
      </c>
      <c r="L411" s="868">
        <v>77</v>
      </c>
      <c r="M411" s="869">
        <v>657</v>
      </c>
      <c r="O411" s="690"/>
      <c r="R411" s="85"/>
      <c r="S411" s="690"/>
    </row>
    <row r="412" spans="1:19" ht="13">
      <c r="A412" s="857">
        <v>5030</v>
      </c>
      <c r="B412" s="858" t="s">
        <v>1604</v>
      </c>
      <c r="C412" s="859" t="s">
        <v>1041</v>
      </c>
      <c r="D412" s="860">
        <v>71</v>
      </c>
      <c r="E412" s="860">
        <v>68</v>
      </c>
      <c r="F412" s="860">
        <v>69</v>
      </c>
      <c r="G412" s="860">
        <v>68</v>
      </c>
      <c r="H412" s="860">
        <v>65</v>
      </c>
      <c r="I412" s="860"/>
      <c r="J412" s="860"/>
      <c r="K412" s="860"/>
      <c r="L412" s="860"/>
      <c r="M412" s="864"/>
      <c r="O412" s="690"/>
      <c r="R412" s="85"/>
      <c r="S412" s="690"/>
    </row>
    <row r="413" spans="1:19" ht="13">
      <c r="A413" s="865">
        <v>5031</v>
      </c>
      <c r="B413" s="866" t="s">
        <v>141</v>
      </c>
      <c r="C413" s="867" t="s">
        <v>1041</v>
      </c>
      <c r="D413" s="868">
        <v>79</v>
      </c>
      <c r="E413" s="868">
        <v>79</v>
      </c>
      <c r="F413" s="868">
        <v>76</v>
      </c>
      <c r="G413" s="868">
        <v>78</v>
      </c>
      <c r="H413" s="868">
        <v>78</v>
      </c>
      <c r="I413" s="868">
        <v>78</v>
      </c>
      <c r="J413" s="868">
        <v>78</v>
      </c>
      <c r="K413" s="868">
        <v>78</v>
      </c>
      <c r="L413" s="868">
        <v>78</v>
      </c>
      <c r="M413" s="869">
        <v>904</v>
      </c>
      <c r="O413" s="690"/>
      <c r="R413" s="85"/>
      <c r="S413" s="690"/>
    </row>
    <row r="414" spans="1:19" ht="13">
      <c r="A414" s="865">
        <v>5032</v>
      </c>
      <c r="B414" s="866" t="s">
        <v>142</v>
      </c>
      <c r="C414" s="867" t="s">
        <v>1042</v>
      </c>
      <c r="D414" s="868">
        <v>49</v>
      </c>
      <c r="E414" s="868">
        <v>49</v>
      </c>
      <c r="F414" s="868">
        <v>47</v>
      </c>
      <c r="G414" s="868">
        <v>49</v>
      </c>
      <c r="H414" s="868">
        <v>46</v>
      </c>
      <c r="I414" s="868">
        <v>46</v>
      </c>
      <c r="J414" s="868">
        <v>46</v>
      </c>
      <c r="K414" s="868">
        <v>46</v>
      </c>
      <c r="L414" s="868">
        <v>46</v>
      </c>
      <c r="M414" s="869"/>
      <c r="O414" s="690"/>
      <c r="R414" s="85"/>
      <c r="S414" s="690"/>
    </row>
    <row r="415" spans="1:19" ht="13">
      <c r="A415" s="865">
        <v>5033</v>
      </c>
      <c r="B415" s="866" t="s">
        <v>143</v>
      </c>
      <c r="C415" s="867" t="s">
        <v>1043</v>
      </c>
      <c r="D415" s="868">
        <v>21</v>
      </c>
      <c r="E415" s="868">
        <v>21</v>
      </c>
      <c r="F415" s="868">
        <v>21</v>
      </c>
      <c r="G415" s="868">
        <v>24</v>
      </c>
      <c r="H415" s="868">
        <v>24</v>
      </c>
      <c r="I415" s="868">
        <v>24</v>
      </c>
      <c r="J415" s="868">
        <v>24</v>
      </c>
      <c r="K415" s="868">
        <v>24</v>
      </c>
      <c r="L415" s="868">
        <v>24</v>
      </c>
      <c r="M415" s="869"/>
      <c r="O415" s="690"/>
      <c r="R415" s="85"/>
      <c r="S415" s="690"/>
    </row>
    <row r="416" spans="1:19" ht="13">
      <c r="A416" s="865">
        <v>5034</v>
      </c>
      <c r="B416" s="866" t="s">
        <v>146</v>
      </c>
      <c r="C416" s="867" t="s">
        <v>1043</v>
      </c>
      <c r="D416" s="868">
        <v>25</v>
      </c>
      <c r="E416" s="868">
        <v>27</v>
      </c>
      <c r="F416" s="868">
        <v>26</v>
      </c>
      <c r="G416" s="868">
        <v>27</v>
      </c>
      <c r="H416" s="868">
        <v>30</v>
      </c>
      <c r="I416" s="868">
        <v>30</v>
      </c>
      <c r="J416" s="868">
        <v>30</v>
      </c>
      <c r="K416" s="868">
        <v>30</v>
      </c>
      <c r="L416" s="868">
        <v>30</v>
      </c>
      <c r="M416" s="869"/>
      <c r="O416" s="690"/>
      <c r="R416" s="85"/>
      <c r="S416" s="690"/>
    </row>
    <row r="417" spans="1:19" ht="13">
      <c r="A417" s="865">
        <v>5035</v>
      </c>
      <c r="B417" s="866" t="s">
        <v>147</v>
      </c>
      <c r="C417" s="867" t="s">
        <v>1041</v>
      </c>
      <c r="D417" s="868">
        <v>73</v>
      </c>
      <c r="E417" s="868">
        <v>74</v>
      </c>
      <c r="F417" s="868">
        <v>73</v>
      </c>
      <c r="G417" s="868">
        <v>72</v>
      </c>
      <c r="H417" s="868">
        <v>71</v>
      </c>
      <c r="I417" s="868">
        <v>71</v>
      </c>
      <c r="J417" s="868">
        <v>71</v>
      </c>
      <c r="K417" s="868">
        <v>71</v>
      </c>
      <c r="L417" s="868">
        <v>71</v>
      </c>
      <c r="M417" s="869">
        <v>516</v>
      </c>
      <c r="O417" s="690"/>
      <c r="R417" s="85"/>
      <c r="S417" s="690"/>
    </row>
    <row r="418" spans="1:19" ht="13">
      <c r="A418" s="865">
        <v>5036</v>
      </c>
      <c r="B418" s="866" t="s">
        <v>148</v>
      </c>
      <c r="C418" s="867" t="s">
        <v>1044</v>
      </c>
      <c r="D418" s="868">
        <v>42</v>
      </c>
      <c r="E418" s="868">
        <v>42</v>
      </c>
      <c r="F418" s="868">
        <v>40</v>
      </c>
      <c r="G418" s="868">
        <v>39</v>
      </c>
      <c r="H418" s="868">
        <v>41</v>
      </c>
      <c r="I418" s="868">
        <v>41</v>
      </c>
      <c r="J418" s="868">
        <v>41</v>
      </c>
      <c r="K418" s="868">
        <v>41</v>
      </c>
      <c r="L418" s="868">
        <v>41</v>
      </c>
      <c r="M418" s="869"/>
      <c r="O418" s="690"/>
      <c r="R418" s="85"/>
      <c r="S418" s="690"/>
    </row>
    <row r="419" spans="1:19" ht="13">
      <c r="A419" s="865">
        <v>5037</v>
      </c>
      <c r="B419" s="866" t="s">
        <v>150</v>
      </c>
      <c r="C419" s="867" t="s">
        <v>1044</v>
      </c>
      <c r="D419" s="868">
        <v>55</v>
      </c>
      <c r="E419" s="868">
        <v>52</v>
      </c>
      <c r="F419" s="868">
        <v>51</v>
      </c>
      <c r="G419" s="868">
        <v>55</v>
      </c>
      <c r="H419" s="868">
        <v>56</v>
      </c>
      <c r="I419" s="868">
        <v>56</v>
      </c>
      <c r="J419" s="868">
        <v>56</v>
      </c>
      <c r="K419" s="868">
        <v>56</v>
      </c>
      <c r="L419" s="868">
        <v>56</v>
      </c>
      <c r="M419" s="869">
        <v>1484</v>
      </c>
      <c r="O419" s="690"/>
      <c r="R419" s="85"/>
      <c r="S419" s="690"/>
    </row>
    <row r="420" spans="1:19" ht="13">
      <c r="A420" s="865">
        <v>5038</v>
      </c>
      <c r="B420" s="866" t="s">
        <v>151</v>
      </c>
      <c r="C420" s="867" t="s">
        <v>1042</v>
      </c>
      <c r="D420" s="868">
        <v>46</v>
      </c>
      <c r="E420" s="868">
        <v>49</v>
      </c>
      <c r="F420" s="868">
        <v>46</v>
      </c>
      <c r="G420" s="868">
        <v>46</v>
      </c>
      <c r="H420" s="868">
        <v>44</v>
      </c>
      <c r="I420" s="868">
        <v>44</v>
      </c>
      <c r="J420" s="868">
        <v>44</v>
      </c>
      <c r="K420" s="868">
        <v>44</v>
      </c>
      <c r="L420" s="868">
        <v>44</v>
      </c>
      <c r="M420" s="869"/>
      <c r="O420" s="690"/>
      <c r="R420" s="85"/>
      <c r="S420" s="690"/>
    </row>
    <row r="421" spans="1:19" ht="13">
      <c r="A421" s="857">
        <v>5039</v>
      </c>
      <c r="B421" s="858" t="s">
        <v>1605</v>
      </c>
      <c r="C421" s="859" t="s">
        <v>1043</v>
      </c>
      <c r="D421" s="860">
        <v>30</v>
      </c>
      <c r="E421" s="860">
        <v>22</v>
      </c>
      <c r="F421" s="860">
        <v>20</v>
      </c>
      <c r="G421" s="860">
        <v>20</v>
      </c>
      <c r="H421" s="860">
        <v>20</v>
      </c>
      <c r="I421" s="860"/>
      <c r="J421" s="860"/>
      <c r="K421" s="860"/>
      <c r="L421" s="860"/>
      <c r="M421" s="864"/>
      <c r="O421" s="690"/>
      <c r="R421" s="85"/>
      <c r="S421" s="690"/>
    </row>
    <row r="422" spans="1:19" ht="13">
      <c r="A422" s="857">
        <v>5040</v>
      </c>
      <c r="B422" s="858" t="s">
        <v>1606</v>
      </c>
      <c r="C422" s="859" t="s">
        <v>1043</v>
      </c>
      <c r="D422" s="860">
        <v>22</v>
      </c>
      <c r="E422" s="860">
        <v>23</v>
      </c>
      <c r="F422" s="860">
        <v>21</v>
      </c>
      <c r="G422" s="860">
        <v>23</v>
      </c>
      <c r="H422" s="860">
        <v>24</v>
      </c>
      <c r="I422" s="860"/>
      <c r="J422" s="860"/>
      <c r="K422" s="860"/>
      <c r="L422" s="860"/>
      <c r="M422" s="864"/>
      <c r="O422" s="690"/>
      <c r="R422" s="85"/>
      <c r="S422" s="690"/>
    </row>
    <row r="423" spans="1:19" ht="13">
      <c r="A423" s="865">
        <v>5041</v>
      </c>
      <c r="B423" s="866" t="s">
        <v>156</v>
      </c>
      <c r="C423" s="867" t="s">
        <v>1043</v>
      </c>
      <c r="D423" s="868">
        <v>26</v>
      </c>
      <c r="E423" s="868">
        <v>24</v>
      </c>
      <c r="F423" s="868">
        <v>24</v>
      </c>
      <c r="G423" s="868">
        <v>24</v>
      </c>
      <c r="H423" s="868">
        <v>26</v>
      </c>
      <c r="I423" s="868">
        <v>26</v>
      </c>
      <c r="J423" s="868">
        <v>26</v>
      </c>
      <c r="K423" s="868">
        <v>26</v>
      </c>
      <c r="L423" s="868">
        <v>26</v>
      </c>
      <c r="M423" s="869"/>
      <c r="O423" s="690"/>
      <c r="R423" s="85"/>
      <c r="S423" s="690"/>
    </row>
    <row r="424" spans="1:19" ht="13">
      <c r="A424" s="865">
        <v>5042</v>
      </c>
      <c r="B424" s="866" t="s">
        <v>157</v>
      </c>
      <c r="C424" s="867" t="s">
        <v>1043</v>
      </c>
      <c r="D424" s="868">
        <v>15</v>
      </c>
      <c r="E424" s="868">
        <v>14</v>
      </c>
      <c r="F424" s="868">
        <v>14</v>
      </c>
      <c r="G424" s="868">
        <v>13</v>
      </c>
      <c r="H424" s="868">
        <v>13</v>
      </c>
      <c r="I424" s="868">
        <v>13</v>
      </c>
      <c r="J424" s="868">
        <v>13</v>
      </c>
      <c r="K424" s="868">
        <v>13</v>
      </c>
      <c r="L424" s="868">
        <v>13</v>
      </c>
      <c r="M424" s="869"/>
      <c r="O424" s="690"/>
      <c r="R424" s="85"/>
      <c r="S424" s="690"/>
    </row>
    <row r="425" spans="1:19" ht="13">
      <c r="A425" s="865">
        <v>5043</v>
      </c>
      <c r="B425" s="866" t="s">
        <v>164</v>
      </c>
      <c r="C425" s="867" t="s">
        <v>1043</v>
      </c>
      <c r="D425" s="868">
        <v>12</v>
      </c>
      <c r="E425" s="868">
        <v>15</v>
      </c>
      <c r="F425" s="868">
        <v>13</v>
      </c>
      <c r="G425" s="868">
        <v>12</v>
      </c>
      <c r="H425" s="868">
        <v>11</v>
      </c>
      <c r="I425" s="868">
        <v>11</v>
      </c>
      <c r="J425" s="868">
        <v>11</v>
      </c>
      <c r="K425" s="868">
        <v>11</v>
      </c>
      <c r="L425" s="868">
        <v>11</v>
      </c>
      <c r="M425" s="869"/>
      <c r="O425" s="690"/>
      <c r="R425" s="85"/>
      <c r="S425" s="690"/>
    </row>
    <row r="426" spans="1:19" ht="13">
      <c r="A426" s="865">
        <v>5044</v>
      </c>
      <c r="B426" s="866" t="s">
        <v>165</v>
      </c>
      <c r="C426" s="867" t="s">
        <v>1043</v>
      </c>
      <c r="D426" s="868">
        <v>15</v>
      </c>
      <c r="E426" s="868">
        <v>13</v>
      </c>
      <c r="F426" s="868">
        <v>15</v>
      </c>
      <c r="G426" s="868">
        <v>11</v>
      </c>
      <c r="H426" s="868">
        <v>11</v>
      </c>
      <c r="I426" s="868">
        <v>11</v>
      </c>
      <c r="J426" s="868">
        <v>11</v>
      </c>
      <c r="K426" s="868">
        <v>11</v>
      </c>
      <c r="L426" s="868">
        <v>11</v>
      </c>
      <c r="M426" s="869"/>
      <c r="O426" s="690"/>
      <c r="R426" s="85"/>
      <c r="S426" s="690"/>
    </row>
    <row r="427" spans="1:19" ht="13">
      <c r="A427" s="865">
        <v>5045</v>
      </c>
      <c r="B427" s="866" t="s">
        <v>166</v>
      </c>
      <c r="C427" s="867" t="s">
        <v>1043</v>
      </c>
      <c r="D427" s="868">
        <v>27</v>
      </c>
      <c r="E427" s="868">
        <v>23</v>
      </c>
      <c r="F427" s="868">
        <v>22</v>
      </c>
      <c r="G427" s="868">
        <v>28</v>
      </c>
      <c r="H427" s="868">
        <v>32</v>
      </c>
      <c r="I427" s="868">
        <v>32</v>
      </c>
      <c r="J427" s="868">
        <v>32</v>
      </c>
      <c r="K427" s="868">
        <v>32</v>
      </c>
      <c r="L427" s="868">
        <v>32</v>
      </c>
      <c r="M427" s="869"/>
      <c r="O427" s="690"/>
      <c r="R427" s="85"/>
      <c r="S427" s="690"/>
    </row>
    <row r="428" spans="1:19" ht="13">
      <c r="A428" s="865">
        <v>5046</v>
      </c>
      <c r="B428" s="866" t="s">
        <v>167</v>
      </c>
      <c r="C428" s="867" t="s">
        <v>1043</v>
      </c>
      <c r="D428" s="868">
        <v>35</v>
      </c>
      <c r="E428" s="868">
        <v>42</v>
      </c>
      <c r="F428" s="868">
        <v>39</v>
      </c>
      <c r="G428" s="868">
        <v>35</v>
      </c>
      <c r="H428" s="868">
        <v>38</v>
      </c>
      <c r="I428" s="868">
        <v>38</v>
      </c>
      <c r="J428" s="868">
        <v>38</v>
      </c>
      <c r="K428" s="868">
        <v>38</v>
      </c>
      <c r="L428" s="868">
        <v>38</v>
      </c>
      <c r="M428" s="869"/>
      <c r="O428" s="690"/>
      <c r="R428" s="85"/>
      <c r="S428" s="690"/>
    </row>
    <row r="429" spans="1:19" ht="13">
      <c r="A429" s="865">
        <v>5047</v>
      </c>
      <c r="B429" s="866" t="s">
        <v>168</v>
      </c>
      <c r="C429" s="867" t="s">
        <v>1043</v>
      </c>
      <c r="D429" s="868">
        <v>48</v>
      </c>
      <c r="E429" s="868">
        <v>48</v>
      </c>
      <c r="F429" s="868">
        <v>51</v>
      </c>
      <c r="G429" s="868">
        <v>50</v>
      </c>
      <c r="H429" s="868">
        <v>57</v>
      </c>
      <c r="I429" s="868">
        <v>57</v>
      </c>
      <c r="J429" s="868">
        <v>57</v>
      </c>
      <c r="K429" s="868">
        <v>57</v>
      </c>
      <c r="L429" s="868">
        <v>57</v>
      </c>
      <c r="M429" s="869"/>
      <c r="O429" s="690"/>
      <c r="R429" s="85"/>
      <c r="S429" s="690"/>
    </row>
    <row r="430" spans="1:19" ht="13">
      <c r="A430" s="857">
        <v>5048</v>
      </c>
      <c r="B430" s="858" t="s">
        <v>1607</v>
      </c>
      <c r="C430" s="859" t="s">
        <v>1043</v>
      </c>
      <c r="D430" s="860">
        <v>17</v>
      </c>
      <c r="E430" s="860">
        <v>16</v>
      </c>
      <c r="F430" s="860">
        <v>15</v>
      </c>
      <c r="G430" s="860">
        <v>18</v>
      </c>
      <c r="H430" s="860">
        <v>18</v>
      </c>
      <c r="I430" s="860"/>
      <c r="J430" s="860"/>
      <c r="K430" s="860"/>
      <c r="L430" s="860"/>
      <c r="M430" s="864"/>
      <c r="O430" s="690"/>
      <c r="R430" s="85"/>
      <c r="S430" s="690"/>
    </row>
    <row r="431" spans="1:19" ht="13">
      <c r="A431" s="865">
        <v>5049</v>
      </c>
      <c r="B431" s="866" t="s">
        <v>170</v>
      </c>
      <c r="C431" s="867" t="s">
        <v>1043</v>
      </c>
      <c r="D431" s="868">
        <v>17</v>
      </c>
      <c r="E431" s="868">
        <v>18</v>
      </c>
      <c r="F431" s="868">
        <v>20</v>
      </c>
      <c r="G431" s="868">
        <v>23</v>
      </c>
      <c r="H431" s="868">
        <v>24</v>
      </c>
      <c r="I431" s="868">
        <v>24</v>
      </c>
      <c r="J431" s="868">
        <v>24</v>
      </c>
      <c r="K431" s="868">
        <v>24</v>
      </c>
      <c r="L431" s="868">
        <v>24</v>
      </c>
      <c r="M431" s="869"/>
      <c r="O431" s="690"/>
      <c r="R431" s="85"/>
      <c r="S431" s="690"/>
    </row>
    <row r="432" spans="1:19" ht="13">
      <c r="A432" s="857">
        <v>5050</v>
      </c>
      <c r="B432" s="858" t="s">
        <v>1608</v>
      </c>
      <c r="C432" s="859" t="s">
        <v>1043</v>
      </c>
      <c r="D432" s="860">
        <v>50</v>
      </c>
      <c r="E432" s="860">
        <v>48</v>
      </c>
      <c r="F432" s="860">
        <v>46</v>
      </c>
      <c r="G432" s="860">
        <v>46</v>
      </c>
      <c r="H432" s="860">
        <v>49</v>
      </c>
      <c r="I432" s="860"/>
      <c r="J432" s="860"/>
      <c r="K432" s="860"/>
      <c r="L432" s="860"/>
      <c r="M432" s="864"/>
      <c r="O432" s="690"/>
      <c r="R432" s="85"/>
      <c r="S432" s="690"/>
    </row>
    <row r="433" spans="1:19" ht="13">
      <c r="A433" s="857">
        <v>5051</v>
      </c>
      <c r="B433" s="858" t="s">
        <v>1609</v>
      </c>
      <c r="C433" s="859" t="s">
        <v>1043</v>
      </c>
      <c r="D433" s="860">
        <v>21</v>
      </c>
      <c r="E433" s="860">
        <v>21</v>
      </c>
      <c r="F433" s="860">
        <v>25</v>
      </c>
      <c r="G433" s="860">
        <v>28</v>
      </c>
      <c r="H433" s="860">
        <v>28</v>
      </c>
      <c r="I433" s="860"/>
      <c r="J433" s="860"/>
      <c r="K433" s="860"/>
      <c r="L433" s="860"/>
      <c r="M433" s="864"/>
      <c r="O433" s="690"/>
      <c r="R433" s="85"/>
      <c r="S433" s="690"/>
    </row>
    <row r="434" spans="1:19" ht="13">
      <c r="A434" s="865">
        <v>5052</v>
      </c>
      <c r="B434" s="866" t="s">
        <v>173</v>
      </c>
      <c r="C434" s="867" t="s">
        <v>1043</v>
      </c>
      <c r="D434" s="868">
        <v>14</v>
      </c>
      <c r="E434" s="868">
        <v>15</v>
      </c>
      <c r="F434" s="868">
        <v>18</v>
      </c>
      <c r="G434" s="868">
        <v>12</v>
      </c>
      <c r="H434" s="868">
        <v>14</v>
      </c>
      <c r="I434" s="868">
        <v>14</v>
      </c>
      <c r="J434" s="868">
        <v>14</v>
      </c>
      <c r="K434" s="868">
        <v>14</v>
      </c>
      <c r="L434" s="868">
        <v>14</v>
      </c>
      <c r="M434" s="869"/>
      <c r="O434" s="690"/>
      <c r="R434" s="85"/>
      <c r="S434" s="690"/>
    </row>
    <row r="435" spans="1:19" ht="13">
      <c r="A435" s="865">
        <v>5053</v>
      </c>
      <c r="B435" s="866" t="s">
        <v>155</v>
      </c>
      <c r="C435" s="867"/>
      <c r="D435" s="868">
        <v>38</v>
      </c>
      <c r="E435" s="868">
        <v>38</v>
      </c>
      <c r="F435" s="868">
        <v>36</v>
      </c>
      <c r="G435" s="868">
        <v>36</v>
      </c>
      <c r="H435" s="868">
        <v>38</v>
      </c>
      <c r="I435" s="868">
        <v>38</v>
      </c>
      <c r="J435" s="868">
        <v>38</v>
      </c>
      <c r="K435" s="868">
        <v>38</v>
      </c>
      <c r="L435" s="868">
        <v>38</v>
      </c>
      <c r="M435" s="869"/>
      <c r="O435" s="690"/>
      <c r="R435" s="85"/>
      <c r="S435" s="690"/>
    </row>
    <row r="436" spans="1:19" ht="13">
      <c r="A436" s="865">
        <v>5054</v>
      </c>
      <c r="B436" s="866" t="s">
        <v>1234</v>
      </c>
      <c r="C436" s="867"/>
      <c r="D436" s="868"/>
      <c r="E436" s="868"/>
      <c r="F436" s="868"/>
      <c r="G436" s="868">
        <v>40</v>
      </c>
      <c r="H436" s="868">
        <v>41</v>
      </c>
      <c r="I436" s="868">
        <v>41</v>
      </c>
      <c r="J436" s="868">
        <v>41</v>
      </c>
      <c r="K436" s="868">
        <v>41</v>
      </c>
      <c r="L436" s="868">
        <v>41</v>
      </c>
      <c r="M436" s="869"/>
      <c r="O436" s="690"/>
      <c r="R436" s="85"/>
      <c r="S436" s="690"/>
    </row>
    <row r="437" spans="1:19" ht="13">
      <c r="A437" s="878">
        <v>5055</v>
      </c>
      <c r="B437" s="883" t="s">
        <v>1642</v>
      </c>
      <c r="C437" s="880"/>
      <c r="D437" s="881"/>
      <c r="E437" s="881"/>
      <c r="F437" s="881"/>
      <c r="G437" s="881"/>
      <c r="H437" s="881"/>
      <c r="I437" s="881">
        <v>27</v>
      </c>
      <c r="J437" s="881">
        <v>27</v>
      </c>
      <c r="K437" s="881">
        <v>27</v>
      </c>
      <c r="L437" s="881">
        <v>27</v>
      </c>
      <c r="M437" s="882"/>
      <c r="O437" s="690"/>
      <c r="R437" s="85"/>
      <c r="S437" s="690"/>
    </row>
    <row r="438" spans="1:19" ht="13">
      <c r="A438" s="878">
        <v>5056</v>
      </c>
      <c r="B438" s="883" t="s">
        <v>1643</v>
      </c>
      <c r="C438" s="880"/>
      <c r="D438" s="881"/>
      <c r="E438" s="881"/>
      <c r="F438" s="881"/>
      <c r="G438" s="881"/>
      <c r="H438" s="881"/>
      <c r="I438" s="881">
        <v>44</v>
      </c>
      <c r="J438" s="881">
        <v>44</v>
      </c>
      <c r="K438" s="881">
        <v>44</v>
      </c>
      <c r="L438" s="881">
        <v>44</v>
      </c>
      <c r="M438" s="882"/>
      <c r="O438" s="690"/>
      <c r="R438" s="85"/>
      <c r="S438" s="690"/>
    </row>
    <row r="439" spans="1:19" ht="13">
      <c r="A439" s="878">
        <v>5057</v>
      </c>
      <c r="B439" s="883" t="s">
        <v>1644</v>
      </c>
      <c r="C439" s="880"/>
      <c r="D439" s="881"/>
      <c r="E439" s="881"/>
      <c r="F439" s="881"/>
      <c r="G439" s="881"/>
      <c r="H439" s="881"/>
      <c r="I439" s="881">
        <v>32</v>
      </c>
      <c r="J439" s="881">
        <v>32</v>
      </c>
      <c r="K439" s="881">
        <v>32</v>
      </c>
      <c r="L439" s="881">
        <v>32</v>
      </c>
      <c r="M439" s="882"/>
      <c r="O439" s="690"/>
      <c r="R439" s="85"/>
      <c r="S439" s="690"/>
    </row>
    <row r="440" spans="1:19" ht="13">
      <c r="A440" s="878">
        <v>5058</v>
      </c>
      <c r="B440" s="883" t="s">
        <v>1645</v>
      </c>
      <c r="C440" s="880"/>
      <c r="D440" s="881"/>
      <c r="E440" s="881"/>
      <c r="F440" s="881"/>
      <c r="G440" s="881"/>
      <c r="H440" s="881"/>
      <c r="I440" s="881">
        <v>23</v>
      </c>
      <c r="J440" s="881">
        <v>23</v>
      </c>
      <c r="K440" s="881">
        <v>23</v>
      </c>
      <c r="L440" s="881">
        <v>23</v>
      </c>
      <c r="M440" s="882"/>
      <c r="O440" s="690"/>
      <c r="R440" s="85"/>
      <c r="S440" s="690"/>
    </row>
    <row r="441" spans="1:19" ht="13">
      <c r="A441" s="878">
        <v>5059</v>
      </c>
      <c r="B441" s="883" t="s">
        <v>1646</v>
      </c>
      <c r="C441" s="880"/>
      <c r="D441" s="881"/>
      <c r="E441" s="881"/>
      <c r="F441" s="881"/>
      <c r="G441" s="881"/>
      <c r="H441" s="881"/>
      <c r="I441" s="881">
        <v>45</v>
      </c>
      <c r="J441" s="881">
        <v>45</v>
      </c>
      <c r="K441" s="881">
        <v>45</v>
      </c>
      <c r="L441" s="881">
        <v>45</v>
      </c>
      <c r="M441" s="882"/>
      <c r="O441" s="690"/>
      <c r="R441" s="85"/>
      <c r="S441" s="690"/>
    </row>
    <row r="442" spans="1:19" ht="13">
      <c r="A442" s="878">
        <v>5060</v>
      </c>
      <c r="B442" s="883" t="s">
        <v>1647</v>
      </c>
      <c r="C442" s="880"/>
      <c r="D442" s="881"/>
      <c r="E442" s="881"/>
      <c r="F442" s="881"/>
      <c r="G442" s="881"/>
      <c r="H442" s="881"/>
      <c r="I442" s="881">
        <v>38</v>
      </c>
      <c r="J442" s="881">
        <v>38</v>
      </c>
      <c r="K442" s="881">
        <v>38</v>
      </c>
      <c r="L442" s="881">
        <v>38</v>
      </c>
      <c r="M442" s="882"/>
      <c r="O442" s="690"/>
      <c r="R442" s="85"/>
      <c r="S442" s="690"/>
    </row>
    <row r="443" spans="1:19" ht="13">
      <c r="A443" s="865">
        <v>5061</v>
      </c>
      <c r="B443" s="866" t="s">
        <v>114</v>
      </c>
      <c r="C443" s="867" t="s">
        <v>1043</v>
      </c>
      <c r="D443" s="868">
        <v>23</v>
      </c>
      <c r="E443" s="868">
        <v>24</v>
      </c>
      <c r="F443" s="868">
        <v>24</v>
      </c>
      <c r="G443" s="868">
        <v>24</v>
      </c>
      <c r="H443" s="868">
        <v>25</v>
      </c>
      <c r="I443" s="868">
        <v>25</v>
      </c>
      <c r="J443" s="868">
        <v>25</v>
      </c>
      <c r="K443" s="868">
        <v>25</v>
      </c>
      <c r="L443" s="868">
        <v>25</v>
      </c>
      <c r="M443" s="869"/>
      <c r="O443" s="690"/>
      <c r="R443" s="85"/>
      <c r="S443" s="690"/>
    </row>
    <row r="444" spans="1:19" ht="13">
      <c r="A444" s="865">
        <v>5401</v>
      </c>
      <c r="B444" s="866" t="s">
        <v>217</v>
      </c>
      <c r="C444" s="867" t="s">
        <v>1042</v>
      </c>
      <c r="D444" s="868">
        <v>67</v>
      </c>
      <c r="E444" s="868">
        <v>67</v>
      </c>
      <c r="F444" s="868">
        <v>66</v>
      </c>
      <c r="G444" s="868">
        <v>67</v>
      </c>
      <c r="H444" s="868">
        <v>69</v>
      </c>
      <c r="I444" s="868">
        <v>69</v>
      </c>
      <c r="J444" s="868">
        <v>69</v>
      </c>
      <c r="K444" s="868">
        <v>69</v>
      </c>
      <c r="L444" s="868">
        <v>69</v>
      </c>
      <c r="M444" s="869"/>
      <c r="O444" s="690"/>
      <c r="R444" s="85"/>
      <c r="S444" s="690"/>
    </row>
    <row r="445" spans="1:19" ht="13">
      <c r="A445" s="865">
        <v>5402</v>
      </c>
      <c r="B445" s="866" t="s">
        <v>216</v>
      </c>
      <c r="C445" s="867"/>
      <c r="D445" s="868">
        <v>49</v>
      </c>
      <c r="E445" s="868">
        <v>48</v>
      </c>
      <c r="F445" s="868">
        <v>47</v>
      </c>
      <c r="G445" s="868">
        <v>49</v>
      </c>
      <c r="H445" s="868">
        <v>49</v>
      </c>
      <c r="I445" s="868">
        <v>49</v>
      </c>
      <c r="J445" s="868">
        <v>49</v>
      </c>
      <c r="K445" s="868">
        <v>49</v>
      </c>
      <c r="L445" s="868">
        <v>49</v>
      </c>
      <c r="M445" s="869"/>
      <c r="O445" s="690"/>
      <c r="R445" s="85"/>
      <c r="S445" s="690"/>
    </row>
    <row r="446" spans="1:19" ht="13">
      <c r="A446" s="865">
        <v>5403</v>
      </c>
      <c r="B446" s="866" t="s">
        <v>245</v>
      </c>
      <c r="C446" s="867" t="s">
        <v>1045</v>
      </c>
      <c r="D446" s="868">
        <v>59</v>
      </c>
      <c r="E446" s="868">
        <v>56</v>
      </c>
      <c r="F446" s="868">
        <v>54</v>
      </c>
      <c r="G446" s="868">
        <v>53</v>
      </c>
      <c r="H446" s="868">
        <v>56</v>
      </c>
      <c r="I446" s="868">
        <v>56</v>
      </c>
      <c r="J446" s="868">
        <v>56</v>
      </c>
      <c r="K446" s="868">
        <v>56</v>
      </c>
      <c r="L446" s="868">
        <v>56</v>
      </c>
      <c r="M446" s="869"/>
      <c r="O446" s="690"/>
      <c r="R446" s="85"/>
      <c r="S446" s="690"/>
    </row>
    <row r="447" spans="1:19" ht="13">
      <c r="A447" s="865">
        <v>5404</v>
      </c>
      <c r="B447" s="866" t="s">
        <v>241</v>
      </c>
      <c r="C447" s="867" t="s">
        <v>1045</v>
      </c>
      <c r="D447" s="868">
        <v>5</v>
      </c>
      <c r="E447" s="868">
        <v>6</v>
      </c>
      <c r="F447" s="868">
        <v>6</v>
      </c>
      <c r="G447" s="868">
        <v>4</v>
      </c>
      <c r="H447" s="868">
        <v>6</v>
      </c>
      <c r="I447" s="868">
        <v>6</v>
      </c>
      <c r="J447" s="868">
        <v>6</v>
      </c>
      <c r="K447" s="868">
        <v>6</v>
      </c>
      <c r="L447" s="868">
        <v>6</v>
      </c>
      <c r="M447" s="869"/>
      <c r="O447" s="690"/>
      <c r="R447" s="85"/>
      <c r="S447" s="690"/>
    </row>
    <row r="448" spans="1:19" ht="13">
      <c r="A448" s="865">
        <v>5405</v>
      </c>
      <c r="B448" s="866" t="s">
        <v>242</v>
      </c>
      <c r="C448" s="867" t="s">
        <v>1045</v>
      </c>
      <c r="D448" s="868">
        <v>40</v>
      </c>
      <c r="E448" s="868">
        <v>30</v>
      </c>
      <c r="F448" s="868">
        <v>26</v>
      </c>
      <c r="G448" s="868">
        <v>28</v>
      </c>
      <c r="H448" s="868">
        <v>27</v>
      </c>
      <c r="I448" s="868">
        <v>27</v>
      </c>
      <c r="J448" s="868">
        <v>27</v>
      </c>
      <c r="K448" s="868">
        <v>27</v>
      </c>
      <c r="L448" s="868">
        <v>27</v>
      </c>
      <c r="M448" s="869"/>
      <c r="O448" s="690"/>
      <c r="R448" s="85"/>
      <c r="S448" s="690"/>
    </row>
    <row r="449" spans="1:19" ht="13">
      <c r="A449" s="878">
        <v>5406</v>
      </c>
      <c r="B449" s="883" t="s">
        <v>1648</v>
      </c>
      <c r="C449" s="880"/>
      <c r="D449" s="881"/>
      <c r="E449" s="881"/>
      <c r="F449" s="881"/>
      <c r="G449" s="881"/>
      <c r="H449" s="881"/>
      <c r="I449" s="881">
        <v>52</v>
      </c>
      <c r="J449" s="881">
        <v>52</v>
      </c>
      <c r="K449" s="881">
        <v>52</v>
      </c>
      <c r="L449" s="881">
        <v>52</v>
      </c>
      <c r="M449" s="882"/>
      <c r="O449" s="690"/>
      <c r="R449" s="85"/>
      <c r="S449" s="690"/>
    </row>
    <row r="450" spans="1:19" ht="13">
      <c r="A450" s="865">
        <v>5411</v>
      </c>
      <c r="B450" s="866" t="s">
        <v>218</v>
      </c>
      <c r="C450" s="867" t="s">
        <v>1043</v>
      </c>
      <c r="D450" s="868">
        <v>25</v>
      </c>
      <c r="E450" s="868">
        <v>27</v>
      </c>
      <c r="F450" s="868">
        <v>25</v>
      </c>
      <c r="G450" s="868">
        <v>25</v>
      </c>
      <c r="H450" s="868">
        <v>24</v>
      </c>
      <c r="I450" s="868">
        <v>24</v>
      </c>
      <c r="J450" s="868">
        <v>24</v>
      </c>
      <c r="K450" s="868">
        <v>24</v>
      </c>
      <c r="L450" s="868">
        <v>24</v>
      </c>
      <c r="M450" s="869"/>
      <c r="O450" s="690"/>
      <c r="R450" s="85"/>
      <c r="S450" s="690"/>
    </row>
    <row r="451" spans="1:19" ht="13">
      <c r="A451" s="878">
        <v>5412</v>
      </c>
      <c r="B451" s="883" t="s">
        <v>1649</v>
      </c>
      <c r="C451" s="880"/>
      <c r="D451" s="881"/>
      <c r="E451" s="881"/>
      <c r="F451" s="881"/>
      <c r="G451" s="881"/>
      <c r="H451" s="881"/>
      <c r="I451" s="881">
        <v>32</v>
      </c>
      <c r="J451" s="881">
        <v>32</v>
      </c>
      <c r="K451" s="881">
        <v>32</v>
      </c>
      <c r="L451" s="881">
        <v>32</v>
      </c>
      <c r="M451" s="882"/>
      <c r="O451" s="690"/>
      <c r="R451" s="85"/>
      <c r="S451" s="690"/>
    </row>
    <row r="452" spans="1:19" ht="13">
      <c r="A452" s="865">
        <v>5413</v>
      </c>
      <c r="B452" s="866" t="s">
        <v>221</v>
      </c>
      <c r="C452" s="867" t="s">
        <v>1043</v>
      </c>
      <c r="D452" s="868">
        <v>4</v>
      </c>
      <c r="E452" s="868">
        <v>5</v>
      </c>
      <c r="F452" s="868">
        <v>11</v>
      </c>
      <c r="G452" s="868">
        <v>9</v>
      </c>
      <c r="H452" s="868">
        <v>9</v>
      </c>
      <c r="I452" s="868">
        <v>9</v>
      </c>
      <c r="J452" s="868">
        <v>9</v>
      </c>
      <c r="K452" s="868">
        <v>9</v>
      </c>
      <c r="L452" s="868">
        <v>9</v>
      </c>
      <c r="M452" s="869"/>
      <c r="O452" s="690"/>
      <c r="R452" s="85"/>
      <c r="S452" s="690"/>
    </row>
    <row r="453" spans="1:19" ht="13">
      <c r="A453" s="865">
        <v>5414</v>
      </c>
      <c r="B453" s="866" t="s">
        <v>222</v>
      </c>
      <c r="C453" s="867" t="s">
        <v>1043</v>
      </c>
      <c r="D453" s="868">
        <v>15</v>
      </c>
      <c r="E453" s="868">
        <v>18</v>
      </c>
      <c r="F453" s="868">
        <v>16</v>
      </c>
      <c r="G453" s="868">
        <v>21</v>
      </c>
      <c r="H453" s="868">
        <v>25</v>
      </c>
      <c r="I453" s="868">
        <v>25</v>
      </c>
      <c r="J453" s="868">
        <v>25</v>
      </c>
      <c r="K453" s="868">
        <v>25</v>
      </c>
      <c r="L453" s="868">
        <v>25</v>
      </c>
      <c r="M453" s="869"/>
      <c r="O453" s="690"/>
      <c r="R453" s="85"/>
      <c r="S453" s="690"/>
    </row>
    <row r="454" spans="1:19" ht="13">
      <c r="A454" s="865">
        <v>5415</v>
      </c>
      <c r="B454" s="866" t="s">
        <v>223</v>
      </c>
      <c r="C454" s="867" t="s">
        <v>1043</v>
      </c>
      <c r="D454" s="868">
        <v>11</v>
      </c>
      <c r="E454" s="868">
        <v>7</v>
      </c>
      <c r="F454" s="868">
        <v>15</v>
      </c>
      <c r="G454" s="868">
        <v>13</v>
      </c>
      <c r="H454" s="868">
        <v>17</v>
      </c>
      <c r="I454" s="868">
        <v>17</v>
      </c>
      <c r="J454" s="868">
        <v>17</v>
      </c>
      <c r="K454" s="868">
        <v>17</v>
      </c>
      <c r="L454" s="868">
        <v>17</v>
      </c>
      <c r="M454" s="869"/>
      <c r="O454" s="690"/>
      <c r="R454" s="85"/>
      <c r="S454" s="690"/>
    </row>
    <row r="455" spans="1:19" ht="13">
      <c r="A455" s="865">
        <v>5416</v>
      </c>
      <c r="B455" s="866" t="s">
        <v>224</v>
      </c>
      <c r="C455" s="867" t="s">
        <v>1043</v>
      </c>
      <c r="D455" s="868">
        <v>42</v>
      </c>
      <c r="E455" s="868">
        <v>41</v>
      </c>
      <c r="F455" s="868">
        <v>41</v>
      </c>
      <c r="G455" s="868">
        <v>45</v>
      </c>
      <c r="H455" s="868">
        <v>40</v>
      </c>
      <c r="I455" s="868">
        <v>40</v>
      </c>
      <c r="J455" s="868">
        <v>40</v>
      </c>
      <c r="K455" s="868">
        <v>40</v>
      </c>
      <c r="L455" s="868">
        <v>40</v>
      </c>
      <c r="M455" s="869"/>
      <c r="O455" s="690"/>
      <c r="R455" s="85"/>
      <c r="S455" s="690"/>
    </row>
    <row r="456" spans="1:19" ht="13">
      <c r="A456" s="865">
        <v>5417</v>
      </c>
      <c r="B456" s="866" t="s">
        <v>225</v>
      </c>
      <c r="C456" s="867" t="s">
        <v>1043</v>
      </c>
      <c r="D456" s="868">
        <v>20</v>
      </c>
      <c r="E456" s="868">
        <v>19</v>
      </c>
      <c r="F456" s="868">
        <v>17</v>
      </c>
      <c r="G456" s="868">
        <v>17</v>
      </c>
      <c r="H456" s="868">
        <v>18</v>
      </c>
      <c r="I456" s="868">
        <v>18</v>
      </c>
      <c r="J456" s="868">
        <v>18</v>
      </c>
      <c r="K456" s="868">
        <v>18</v>
      </c>
      <c r="L456" s="868">
        <v>18</v>
      </c>
      <c r="M456" s="869"/>
      <c r="O456" s="690"/>
      <c r="R456" s="85"/>
      <c r="S456" s="690"/>
    </row>
    <row r="457" spans="1:19" ht="13">
      <c r="A457" s="865">
        <v>5418</v>
      </c>
      <c r="B457" s="866" t="s">
        <v>226</v>
      </c>
      <c r="C457" s="867" t="s">
        <v>1043</v>
      </c>
      <c r="D457" s="868">
        <v>34</v>
      </c>
      <c r="E457" s="868">
        <v>33</v>
      </c>
      <c r="F457" s="868">
        <v>34</v>
      </c>
      <c r="G457" s="868">
        <v>40</v>
      </c>
      <c r="H457" s="868">
        <v>41</v>
      </c>
      <c r="I457" s="868">
        <v>41</v>
      </c>
      <c r="J457" s="868">
        <v>41</v>
      </c>
      <c r="K457" s="868">
        <v>41</v>
      </c>
      <c r="L457" s="868">
        <v>41</v>
      </c>
      <c r="M457" s="869"/>
      <c r="O457" s="690"/>
      <c r="R457" s="85"/>
      <c r="S457" s="690"/>
    </row>
    <row r="458" spans="1:19" ht="13">
      <c r="A458" s="865">
        <v>5419</v>
      </c>
      <c r="B458" s="866" t="s">
        <v>227</v>
      </c>
      <c r="C458" s="867" t="s">
        <v>1043</v>
      </c>
      <c r="D458" s="868">
        <v>31</v>
      </c>
      <c r="E458" s="868">
        <v>32</v>
      </c>
      <c r="F458" s="868">
        <v>30</v>
      </c>
      <c r="G458" s="868">
        <v>34</v>
      </c>
      <c r="H458" s="868">
        <v>36</v>
      </c>
      <c r="I458" s="868">
        <v>36</v>
      </c>
      <c r="J458" s="868">
        <v>36</v>
      </c>
      <c r="K458" s="868">
        <v>36</v>
      </c>
      <c r="L458" s="868">
        <v>36</v>
      </c>
      <c r="M458" s="869"/>
      <c r="O458" s="690"/>
      <c r="R458" s="85"/>
      <c r="S458" s="690"/>
    </row>
    <row r="459" spans="1:19" ht="13">
      <c r="A459" s="865">
        <v>5420</v>
      </c>
      <c r="B459" s="866" t="s">
        <v>228</v>
      </c>
      <c r="C459" s="867" t="s">
        <v>1043</v>
      </c>
      <c r="D459" s="868">
        <v>13</v>
      </c>
      <c r="E459" s="868">
        <v>9</v>
      </c>
      <c r="F459" s="868">
        <v>8</v>
      </c>
      <c r="G459" s="868">
        <v>9</v>
      </c>
      <c r="H459" s="868">
        <v>9</v>
      </c>
      <c r="I459" s="868">
        <v>9</v>
      </c>
      <c r="J459" s="868">
        <v>9</v>
      </c>
      <c r="K459" s="868">
        <v>9</v>
      </c>
      <c r="L459" s="868">
        <v>9</v>
      </c>
      <c r="M459" s="869"/>
      <c r="O459" s="690"/>
      <c r="R459" s="85"/>
      <c r="S459" s="690"/>
    </row>
    <row r="460" spans="1:19" ht="13">
      <c r="A460" s="878">
        <v>5421</v>
      </c>
      <c r="B460" s="883" t="s">
        <v>1650</v>
      </c>
      <c r="C460" s="880"/>
      <c r="D460" s="881"/>
      <c r="E460" s="881"/>
      <c r="F460" s="881"/>
      <c r="G460" s="881"/>
      <c r="H460" s="881"/>
      <c r="I460" s="881">
        <v>35</v>
      </c>
      <c r="J460" s="881">
        <v>35</v>
      </c>
      <c r="K460" s="881">
        <v>35</v>
      </c>
      <c r="L460" s="881">
        <v>35</v>
      </c>
      <c r="M460" s="882"/>
      <c r="O460" s="690"/>
      <c r="R460" s="85"/>
      <c r="S460" s="690"/>
    </row>
    <row r="461" spans="1:19" ht="13">
      <c r="A461" s="865">
        <v>5422</v>
      </c>
      <c r="B461" s="866" t="s">
        <v>233</v>
      </c>
      <c r="C461" s="867" t="s">
        <v>1043</v>
      </c>
      <c r="D461" s="868">
        <v>28</v>
      </c>
      <c r="E461" s="868">
        <v>31</v>
      </c>
      <c r="F461" s="868">
        <v>32</v>
      </c>
      <c r="G461" s="868">
        <v>33</v>
      </c>
      <c r="H461" s="868">
        <v>34</v>
      </c>
      <c r="I461" s="868">
        <v>34</v>
      </c>
      <c r="J461" s="868">
        <v>34</v>
      </c>
      <c r="K461" s="868">
        <v>34</v>
      </c>
      <c r="L461" s="868">
        <v>34</v>
      </c>
      <c r="M461" s="869"/>
      <c r="O461" s="690"/>
      <c r="R461" s="85"/>
      <c r="S461" s="690"/>
    </row>
    <row r="462" spans="1:19" ht="13">
      <c r="A462" s="865">
        <v>5423</v>
      </c>
      <c r="B462" s="866" t="s">
        <v>234</v>
      </c>
      <c r="C462" s="867" t="s">
        <v>1045</v>
      </c>
      <c r="D462" s="868">
        <v>24</v>
      </c>
      <c r="E462" s="868">
        <v>28</v>
      </c>
      <c r="F462" s="868">
        <v>25</v>
      </c>
      <c r="G462" s="868">
        <v>26</v>
      </c>
      <c r="H462" s="868">
        <v>26</v>
      </c>
      <c r="I462" s="868">
        <v>26</v>
      </c>
      <c r="J462" s="868">
        <v>26</v>
      </c>
      <c r="K462" s="868">
        <v>26</v>
      </c>
      <c r="L462" s="868">
        <v>26</v>
      </c>
      <c r="M462" s="869"/>
      <c r="O462" s="690"/>
      <c r="R462" s="85"/>
      <c r="S462" s="690"/>
    </row>
    <row r="463" spans="1:19" ht="13">
      <c r="A463" s="865">
        <v>5424</v>
      </c>
      <c r="B463" s="866" t="s">
        <v>235</v>
      </c>
      <c r="C463" s="867" t="s">
        <v>1045</v>
      </c>
      <c r="D463" s="868">
        <v>14</v>
      </c>
      <c r="E463" s="868">
        <v>12</v>
      </c>
      <c r="F463" s="868">
        <v>10</v>
      </c>
      <c r="G463" s="868">
        <v>9</v>
      </c>
      <c r="H463" s="868">
        <v>8</v>
      </c>
      <c r="I463" s="868">
        <v>8</v>
      </c>
      <c r="J463" s="868">
        <v>8</v>
      </c>
      <c r="K463" s="868">
        <v>8</v>
      </c>
      <c r="L463" s="868">
        <v>8</v>
      </c>
      <c r="M463" s="869"/>
      <c r="O463" s="690"/>
      <c r="R463" s="85"/>
      <c r="S463" s="690"/>
    </row>
    <row r="464" spans="1:19" ht="13">
      <c r="A464" s="865">
        <v>5425</v>
      </c>
      <c r="B464" s="866" t="s">
        <v>236</v>
      </c>
      <c r="C464" s="867" t="s">
        <v>1045</v>
      </c>
      <c r="D464" s="868">
        <v>27</v>
      </c>
      <c r="E464" s="868">
        <v>22</v>
      </c>
      <c r="F464" s="868">
        <v>19</v>
      </c>
      <c r="G464" s="868">
        <v>18</v>
      </c>
      <c r="H464" s="868">
        <v>19</v>
      </c>
      <c r="I464" s="868">
        <v>19</v>
      </c>
      <c r="J464" s="868">
        <v>19</v>
      </c>
      <c r="K464" s="868">
        <v>19</v>
      </c>
      <c r="L464" s="868">
        <v>19</v>
      </c>
      <c r="M464" s="869"/>
      <c r="O464" s="690"/>
      <c r="R464" s="85"/>
      <c r="S464" s="690"/>
    </row>
    <row r="465" spans="1:19" ht="13">
      <c r="A465" s="865">
        <v>5426</v>
      </c>
      <c r="B465" s="866" t="s">
        <v>237</v>
      </c>
      <c r="C465" s="867" t="s">
        <v>1045</v>
      </c>
      <c r="D465" s="868">
        <v>7</v>
      </c>
      <c r="E465" s="868">
        <v>8</v>
      </c>
      <c r="F465" s="868">
        <v>9</v>
      </c>
      <c r="G465" s="868">
        <v>10</v>
      </c>
      <c r="H465" s="868">
        <v>11</v>
      </c>
      <c r="I465" s="868">
        <v>11</v>
      </c>
      <c r="J465" s="868">
        <v>11</v>
      </c>
      <c r="K465" s="868">
        <v>11</v>
      </c>
      <c r="L465" s="868">
        <v>11</v>
      </c>
      <c r="M465" s="869"/>
      <c r="O465" s="690"/>
      <c r="R465" s="85"/>
      <c r="S465" s="690"/>
    </row>
    <row r="466" spans="1:19" ht="13">
      <c r="A466" s="865">
        <v>5427</v>
      </c>
      <c r="B466" s="866" t="s">
        <v>238</v>
      </c>
      <c r="C466" s="867" t="s">
        <v>1045</v>
      </c>
      <c r="D466" s="868">
        <v>20</v>
      </c>
      <c r="E466" s="868">
        <v>18</v>
      </c>
      <c r="F466" s="868">
        <v>18</v>
      </c>
      <c r="G466" s="868">
        <v>21</v>
      </c>
      <c r="H466" s="868">
        <v>23</v>
      </c>
      <c r="I466" s="868">
        <v>23</v>
      </c>
      <c r="J466" s="868">
        <v>23</v>
      </c>
      <c r="K466" s="868">
        <v>23</v>
      </c>
      <c r="L466" s="868">
        <v>23</v>
      </c>
      <c r="M466" s="869"/>
      <c r="O466" s="690"/>
      <c r="R466" s="85"/>
      <c r="S466" s="690"/>
    </row>
    <row r="467" spans="1:19" ht="13">
      <c r="A467" s="865">
        <v>5428</v>
      </c>
      <c r="B467" s="866" t="s">
        <v>239</v>
      </c>
      <c r="C467" s="867" t="s">
        <v>1045</v>
      </c>
      <c r="D467" s="868">
        <v>29</v>
      </c>
      <c r="E467" s="868">
        <v>26</v>
      </c>
      <c r="F467" s="868">
        <v>31</v>
      </c>
      <c r="G467" s="868">
        <v>24</v>
      </c>
      <c r="H467" s="868">
        <v>26</v>
      </c>
      <c r="I467" s="868">
        <v>26</v>
      </c>
      <c r="J467" s="868">
        <v>26</v>
      </c>
      <c r="K467" s="868">
        <v>26</v>
      </c>
      <c r="L467" s="868">
        <v>26</v>
      </c>
      <c r="M467" s="869"/>
      <c r="O467" s="690"/>
      <c r="R467" s="85"/>
      <c r="S467" s="690"/>
    </row>
    <row r="468" spans="1:19" ht="13">
      <c r="A468" s="865">
        <v>5429</v>
      </c>
      <c r="B468" s="866" t="s">
        <v>240</v>
      </c>
      <c r="C468" s="867" t="s">
        <v>1045</v>
      </c>
      <c r="D468" s="868">
        <v>5</v>
      </c>
      <c r="E468" s="868">
        <v>3</v>
      </c>
      <c r="F468" s="868">
        <v>0</v>
      </c>
      <c r="G468" s="868">
        <v>1</v>
      </c>
      <c r="H468" s="868">
        <v>3</v>
      </c>
      <c r="I468" s="868">
        <v>3</v>
      </c>
      <c r="J468" s="868">
        <v>3</v>
      </c>
      <c r="K468" s="868">
        <v>3</v>
      </c>
      <c r="L468" s="868">
        <v>3</v>
      </c>
      <c r="M468" s="869"/>
      <c r="O468" s="690"/>
      <c r="R468" s="85"/>
      <c r="S468" s="690"/>
    </row>
    <row r="469" spans="1:19" ht="13">
      <c r="A469" s="865">
        <v>5430</v>
      </c>
      <c r="B469" s="866" t="s">
        <v>244</v>
      </c>
      <c r="C469" s="867" t="s">
        <v>1045</v>
      </c>
      <c r="D469" s="868">
        <v>22</v>
      </c>
      <c r="E469" s="868">
        <v>18</v>
      </c>
      <c r="F469" s="868">
        <v>17</v>
      </c>
      <c r="G469" s="868">
        <v>16</v>
      </c>
      <c r="H469" s="868">
        <v>17</v>
      </c>
      <c r="I469" s="868">
        <v>17</v>
      </c>
      <c r="J469" s="868">
        <v>17</v>
      </c>
      <c r="K469" s="868">
        <v>17</v>
      </c>
      <c r="L469" s="868">
        <v>17</v>
      </c>
      <c r="M469" s="869"/>
      <c r="O469" s="690"/>
      <c r="R469" s="85"/>
      <c r="S469" s="690"/>
    </row>
    <row r="470" spans="1:19" ht="13">
      <c r="A470" s="865">
        <v>5432</v>
      </c>
      <c r="B470" s="866" t="s">
        <v>246</v>
      </c>
      <c r="C470" s="867" t="s">
        <v>1045</v>
      </c>
      <c r="D470" s="868">
        <v>3</v>
      </c>
      <c r="E470" s="868">
        <v>1</v>
      </c>
      <c r="F470" s="868">
        <v>3</v>
      </c>
      <c r="G470" s="868">
        <v>5</v>
      </c>
      <c r="H470" s="868">
        <v>1</v>
      </c>
      <c r="I470" s="868">
        <v>1</v>
      </c>
      <c r="J470" s="868">
        <v>1</v>
      </c>
      <c r="K470" s="868">
        <v>1</v>
      </c>
      <c r="L470" s="868">
        <v>1</v>
      </c>
      <c r="M470" s="869"/>
      <c r="O470" s="690"/>
      <c r="R470" s="85"/>
      <c r="S470" s="690"/>
    </row>
    <row r="471" spans="1:19" ht="13">
      <c r="A471" s="865">
        <v>5433</v>
      </c>
      <c r="B471" s="866" t="s">
        <v>247</v>
      </c>
      <c r="C471" s="867" t="s">
        <v>1045</v>
      </c>
      <c r="D471" s="868">
        <v>6</v>
      </c>
      <c r="E471" s="868">
        <v>9</v>
      </c>
      <c r="F471" s="868">
        <v>14</v>
      </c>
      <c r="G471" s="868">
        <v>14</v>
      </c>
      <c r="H471" s="868">
        <v>17</v>
      </c>
      <c r="I471" s="868">
        <v>17</v>
      </c>
      <c r="J471" s="868">
        <v>17</v>
      </c>
      <c r="K471" s="868">
        <v>17</v>
      </c>
      <c r="L471" s="868">
        <v>17</v>
      </c>
      <c r="M471" s="869"/>
      <c r="O471" s="690"/>
      <c r="R471" s="85"/>
      <c r="S471" s="690"/>
    </row>
    <row r="472" spans="1:19" ht="13">
      <c r="A472" s="865">
        <v>5434</v>
      </c>
      <c r="B472" s="866" t="s">
        <v>249</v>
      </c>
      <c r="C472" s="867" t="s">
        <v>1045</v>
      </c>
      <c r="D472" s="868">
        <v>2</v>
      </c>
      <c r="E472" s="868">
        <v>3</v>
      </c>
      <c r="F472" s="868">
        <v>2</v>
      </c>
      <c r="G472" s="868">
        <v>4</v>
      </c>
      <c r="H472" s="868">
        <v>2</v>
      </c>
      <c r="I472" s="868">
        <v>2</v>
      </c>
      <c r="J472" s="868">
        <v>2</v>
      </c>
      <c r="K472" s="868">
        <v>2</v>
      </c>
      <c r="L472" s="868">
        <v>2</v>
      </c>
      <c r="M472" s="869"/>
      <c r="O472" s="690"/>
      <c r="R472" s="85"/>
      <c r="S472" s="690"/>
    </row>
    <row r="473" spans="1:19" ht="13">
      <c r="A473" s="865">
        <v>5435</v>
      </c>
      <c r="B473" s="866" t="s">
        <v>250</v>
      </c>
      <c r="C473" s="867" t="s">
        <v>1045</v>
      </c>
      <c r="D473" s="868">
        <v>15</v>
      </c>
      <c r="E473" s="868">
        <v>16</v>
      </c>
      <c r="F473" s="868">
        <v>19</v>
      </c>
      <c r="G473" s="868">
        <v>24</v>
      </c>
      <c r="H473" s="868">
        <v>23</v>
      </c>
      <c r="I473" s="868">
        <v>23</v>
      </c>
      <c r="J473" s="868">
        <v>23</v>
      </c>
      <c r="K473" s="868">
        <v>23</v>
      </c>
      <c r="L473" s="868">
        <v>23</v>
      </c>
      <c r="M473" s="869"/>
      <c r="O473" s="690"/>
      <c r="R473" s="85"/>
      <c r="S473" s="690"/>
    </row>
    <row r="474" spans="1:19" ht="13">
      <c r="A474" s="865">
        <v>5436</v>
      </c>
      <c r="B474" s="866" t="s">
        <v>251</v>
      </c>
      <c r="C474" s="867" t="s">
        <v>1045</v>
      </c>
      <c r="D474" s="868">
        <v>19</v>
      </c>
      <c r="E474" s="868">
        <v>15</v>
      </c>
      <c r="F474" s="868">
        <v>15</v>
      </c>
      <c r="G474" s="868">
        <v>17</v>
      </c>
      <c r="H474" s="868">
        <v>15</v>
      </c>
      <c r="I474" s="868">
        <v>15</v>
      </c>
      <c r="J474" s="868">
        <v>15</v>
      </c>
      <c r="K474" s="868">
        <v>15</v>
      </c>
      <c r="L474" s="868">
        <v>15</v>
      </c>
      <c r="M474" s="869"/>
      <c r="O474" s="690"/>
      <c r="R474" s="85"/>
      <c r="S474" s="690"/>
    </row>
    <row r="475" spans="1:19" ht="13">
      <c r="A475" s="865">
        <v>5437</v>
      </c>
      <c r="B475" s="866" t="s">
        <v>252</v>
      </c>
      <c r="C475" s="867" t="s">
        <v>1045</v>
      </c>
      <c r="D475" s="868">
        <v>23</v>
      </c>
      <c r="E475" s="868">
        <v>16</v>
      </c>
      <c r="F475" s="868">
        <v>15</v>
      </c>
      <c r="G475" s="868">
        <v>14</v>
      </c>
      <c r="H475" s="868">
        <v>15</v>
      </c>
      <c r="I475" s="868">
        <v>15</v>
      </c>
      <c r="J475" s="868">
        <v>15</v>
      </c>
      <c r="K475" s="868">
        <v>15</v>
      </c>
      <c r="L475" s="868">
        <v>15</v>
      </c>
      <c r="M475" s="869"/>
      <c r="O475" s="690"/>
      <c r="R475" s="85"/>
      <c r="S475" s="690"/>
    </row>
    <row r="476" spans="1:19" ht="13">
      <c r="A476" s="865">
        <v>5438</v>
      </c>
      <c r="B476" s="866" t="s">
        <v>253</v>
      </c>
      <c r="C476" s="867" t="s">
        <v>1045</v>
      </c>
      <c r="D476" s="868">
        <v>4</v>
      </c>
      <c r="E476" s="868">
        <v>5</v>
      </c>
      <c r="F476" s="868">
        <v>6</v>
      </c>
      <c r="G476" s="868">
        <v>6</v>
      </c>
      <c r="H476" s="868">
        <v>7</v>
      </c>
      <c r="I476" s="868">
        <v>7</v>
      </c>
      <c r="J476" s="868">
        <v>7</v>
      </c>
      <c r="K476" s="868">
        <v>7</v>
      </c>
      <c r="L476" s="868">
        <v>7</v>
      </c>
      <c r="M476" s="869"/>
      <c r="O476" s="690"/>
      <c r="R476" s="85"/>
      <c r="S476" s="690"/>
    </row>
    <row r="477" spans="1:19" ht="13">
      <c r="A477" s="865">
        <v>5439</v>
      </c>
      <c r="B477" s="866" t="s">
        <v>254</v>
      </c>
      <c r="C477" s="867" t="s">
        <v>1045</v>
      </c>
      <c r="D477" s="868">
        <v>6</v>
      </c>
      <c r="E477" s="868">
        <v>13</v>
      </c>
      <c r="F477" s="868">
        <v>17</v>
      </c>
      <c r="G477" s="868">
        <v>21</v>
      </c>
      <c r="H477" s="868">
        <v>26</v>
      </c>
      <c r="I477" s="868">
        <v>26</v>
      </c>
      <c r="J477" s="868">
        <v>26</v>
      </c>
      <c r="K477" s="868">
        <v>26</v>
      </c>
      <c r="L477" s="868">
        <v>26</v>
      </c>
      <c r="M477" s="869"/>
      <c r="O477" s="690"/>
      <c r="R477" s="85"/>
      <c r="S477" s="690"/>
    </row>
    <row r="478" spans="1:19" ht="13">
      <c r="A478" s="865">
        <v>5440</v>
      </c>
      <c r="B478" s="866" t="s">
        <v>255</v>
      </c>
      <c r="C478" s="867" t="s">
        <v>1045</v>
      </c>
      <c r="D478" s="868">
        <v>4</v>
      </c>
      <c r="E478" s="868">
        <v>12</v>
      </c>
      <c r="F478" s="868">
        <v>8</v>
      </c>
      <c r="G478" s="868">
        <v>9</v>
      </c>
      <c r="H478" s="868">
        <v>8</v>
      </c>
      <c r="I478" s="868">
        <v>8</v>
      </c>
      <c r="J478" s="868">
        <v>8</v>
      </c>
      <c r="K478" s="868">
        <v>8</v>
      </c>
      <c r="L478" s="868">
        <v>8</v>
      </c>
      <c r="M478" s="869"/>
      <c r="O478" s="690"/>
      <c r="R478" s="85"/>
      <c r="S478" s="690"/>
    </row>
    <row r="479" spans="1:19" ht="13">
      <c r="A479" s="865">
        <v>5441</v>
      </c>
      <c r="B479" s="866" t="s">
        <v>256</v>
      </c>
      <c r="C479" s="867" t="s">
        <v>1045</v>
      </c>
      <c r="D479" s="868">
        <v>18</v>
      </c>
      <c r="E479" s="868">
        <v>17</v>
      </c>
      <c r="F479" s="868">
        <v>18</v>
      </c>
      <c r="G479" s="868">
        <v>21</v>
      </c>
      <c r="H479" s="868">
        <v>19</v>
      </c>
      <c r="I479" s="868">
        <v>19</v>
      </c>
      <c r="J479" s="868">
        <v>19</v>
      </c>
      <c r="K479" s="868">
        <v>19</v>
      </c>
      <c r="L479" s="868">
        <v>19</v>
      </c>
      <c r="M479" s="869"/>
      <c r="O479" s="690"/>
      <c r="R479" s="85"/>
      <c r="S479" s="690"/>
    </row>
    <row r="480" spans="1:19" ht="13">
      <c r="A480" s="865">
        <v>5442</v>
      </c>
      <c r="B480" s="866" t="s">
        <v>257</v>
      </c>
      <c r="C480" s="867" t="s">
        <v>1045</v>
      </c>
      <c r="D480" s="868">
        <v>14</v>
      </c>
      <c r="E480" s="868">
        <v>29</v>
      </c>
      <c r="F480" s="868">
        <v>28</v>
      </c>
      <c r="G480" s="868">
        <v>27</v>
      </c>
      <c r="H480" s="868">
        <v>22</v>
      </c>
      <c r="I480" s="868">
        <v>22</v>
      </c>
      <c r="J480" s="868">
        <v>22</v>
      </c>
      <c r="K480" s="868">
        <v>22</v>
      </c>
      <c r="L480" s="868">
        <v>22</v>
      </c>
      <c r="M480" s="869"/>
      <c r="O480" s="690"/>
      <c r="R480" s="85"/>
      <c r="S480" s="690"/>
    </row>
    <row r="481" spans="1:19" ht="13">
      <c r="A481" s="865">
        <v>5443</v>
      </c>
      <c r="B481" s="866" t="s">
        <v>258</v>
      </c>
      <c r="C481" s="867" t="s">
        <v>1045</v>
      </c>
      <c r="D481" s="868">
        <v>16</v>
      </c>
      <c r="E481" s="868">
        <v>21</v>
      </c>
      <c r="F481" s="868">
        <v>26</v>
      </c>
      <c r="G481" s="868">
        <v>27</v>
      </c>
      <c r="H481" s="868">
        <v>39</v>
      </c>
      <c r="I481" s="868">
        <v>39</v>
      </c>
      <c r="J481" s="868">
        <v>39</v>
      </c>
      <c r="K481" s="868">
        <v>39</v>
      </c>
      <c r="L481" s="868">
        <v>39</v>
      </c>
      <c r="M481" s="869"/>
      <c r="O481" s="690"/>
      <c r="R481" s="85"/>
      <c r="S481" s="690"/>
    </row>
    <row r="482" spans="1:19" ht="13">
      <c r="A482" s="865">
        <v>5444</v>
      </c>
      <c r="B482" s="866" t="s">
        <v>260</v>
      </c>
      <c r="C482" s="867" t="s">
        <v>1045</v>
      </c>
      <c r="D482" s="868">
        <v>46</v>
      </c>
      <c r="E482" s="868">
        <v>47</v>
      </c>
      <c r="F482" s="868">
        <v>47</v>
      </c>
      <c r="G482" s="868">
        <v>42</v>
      </c>
      <c r="H482" s="868">
        <v>43</v>
      </c>
      <c r="I482" s="868">
        <v>43</v>
      </c>
      <c r="J482" s="868">
        <v>43</v>
      </c>
      <c r="K482" s="868">
        <v>43</v>
      </c>
      <c r="L482" s="868">
        <v>43</v>
      </c>
      <c r="M482" s="869"/>
      <c r="O482" s="690"/>
      <c r="R482" s="85"/>
      <c r="S482" s="690"/>
    </row>
    <row r="483" spans="1:19" ht="13">
      <c r="A483" s="1"/>
      <c r="B483" s="2"/>
    </row>
    <row r="484" spans="1:19" ht="13">
      <c r="A484" s="1"/>
      <c r="B484" s="2" t="s">
        <v>261</v>
      </c>
      <c r="M484" s="178">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6" max="6" width="12.26953125" bestFit="1" customWidth="1"/>
    <col min="9" max="9" width="11.7265625" bestFit="1" customWidth="1"/>
  </cols>
  <sheetData>
    <row r="1" spans="1:10" s="85" customFormat="1">
      <c r="A1"/>
      <c r="B1" s="74" t="s">
        <v>719</v>
      </c>
      <c r="C1"/>
      <c r="D1" s="520"/>
      <c r="E1" s="520"/>
      <c r="F1" s="320"/>
      <c r="G1" s="320"/>
      <c r="H1" s="320"/>
      <c r="I1" s="320"/>
    </row>
    <row r="2" spans="1:10" s="85" customFormat="1" ht="65.25" customHeight="1">
      <c r="A2" s="120" t="s">
        <v>775</v>
      </c>
      <c r="B2" s="120" t="s">
        <v>776</v>
      </c>
      <c r="C2" s="122" t="s">
        <v>1144</v>
      </c>
      <c r="D2" s="122" t="s">
        <v>269</v>
      </c>
      <c r="E2" s="122" t="s">
        <v>1262</v>
      </c>
      <c r="F2" s="122" t="s">
        <v>1254</v>
      </c>
      <c r="G2" s="122" t="s">
        <v>917</v>
      </c>
      <c r="H2" s="122" t="s">
        <v>1178</v>
      </c>
      <c r="I2" s="122" t="s">
        <v>1255</v>
      </c>
    </row>
    <row r="3" spans="1:10" s="85" customFormat="1" ht="13">
      <c r="A3" s="121">
        <v>1</v>
      </c>
      <c r="B3" s="121">
        <v>2</v>
      </c>
      <c r="C3" s="552">
        <v>3</v>
      </c>
      <c r="D3" s="552">
        <v>4</v>
      </c>
      <c r="E3" s="552">
        <v>5</v>
      </c>
      <c r="F3" s="623">
        <v>6</v>
      </c>
      <c r="G3" s="623">
        <v>7</v>
      </c>
      <c r="H3" s="741">
        <v>8</v>
      </c>
      <c r="I3" s="741">
        <v>9</v>
      </c>
    </row>
    <row r="4" spans="1:10" s="85" customFormat="1" ht="13">
      <c r="A4" s="1">
        <v>104</v>
      </c>
      <c r="B4" s="2" t="s">
        <v>784</v>
      </c>
      <c r="C4" s="289">
        <v>32407</v>
      </c>
      <c r="D4" s="289">
        <v>2800</v>
      </c>
      <c r="E4" s="289">
        <v>9559</v>
      </c>
      <c r="F4" s="289">
        <v>804643</v>
      </c>
      <c r="G4" s="289">
        <v>0</v>
      </c>
      <c r="H4" s="289">
        <v>0</v>
      </c>
      <c r="I4" s="289">
        <v>780688</v>
      </c>
      <c r="J4" s="517"/>
    </row>
    <row r="5" spans="1:10" s="85" customFormat="1" ht="13">
      <c r="A5" s="1">
        <v>121</v>
      </c>
      <c r="B5" s="2" t="s">
        <v>790</v>
      </c>
      <c r="C5" s="289">
        <v>685</v>
      </c>
      <c r="D5" s="289">
        <v>100</v>
      </c>
      <c r="E5" s="289">
        <v>306</v>
      </c>
      <c r="F5" s="289">
        <v>18554</v>
      </c>
      <c r="G5" s="289">
        <v>0</v>
      </c>
      <c r="H5" s="289">
        <v>0</v>
      </c>
      <c r="I5" s="289">
        <v>20035</v>
      </c>
      <c r="J5" s="517"/>
    </row>
    <row r="6" spans="1:10" s="85" customFormat="1" ht="13">
      <c r="A6" s="1">
        <v>122</v>
      </c>
      <c r="B6" s="2" t="s">
        <v>791</v>
      </c>
      <c r="C6" s="289">
        <v>5367</v>
      </c>
      <c r="D6" s="289">
        <v>800</v>
      </c>
      <c r="E6" s="289">
        <v>3806</v>
      </c>
      <c r="F6" s="289">
        <v>132106</v>
      </c>
      <c r="G6" s="289">
        <v>0</v>
      </c>
      <c r="H6" s="289">
        <v>0</v>
      </c>
      <c r="I6" s="289">
        <v>125619</v>
      </c>
      <c r="J6" s="517"/>
    </row>
    <row r="7" spans="1:10" s="85" customFormat="1" ht="13">
      <c r="A7" s="1">
        <v>123</v>
      </c>
      <c r="B7" s="2" t="s">
        <v>792</v>
      </c>
      <c r="C7" s="289">
        <v>5765</v>
      </c>
      <c r="D7" s="289">
        <v>500</v>
      </c>
      <c r="E7" s="289">
        <v>4905</v>
      </c>
      <c r="F7" s="289">
        <v>152464</v>
      </c>
      <c r="G7" s="289">
        <v>560</v>
      </c>
      <c r="H7" s="289">
        <v>0</v>
      </c>
      <c r="I7" s="289">
        <v>148475</v>
      </c>
      <c r="J7" s="517"/>
    </row>
    <row r="8" spans="1:10" s="85" customFormat="1" ht="13">
      <c r="A8" s="1">
        <v>124</v>
      </c>
      <c r="B8" s="2" t="s">
        <v>793</v>
      </c>
      <c r="C8" s="289">
        <v>15720</v>
      </c>
      <c r="D8" s="289">
        <v>1700</v>
      </c>
      <c r="E8" s="289">
        <v>5434</v>
      </c>
      <c r="F8" s="289">
        <v>406616</v>
      </c>
      <c r="G8" s="289">
        <v>0</v>
      </c>
      <c r="H8" s="289">
        <v>0</v>
      </c>
      <c r="I8" s="289">
        <v>381956</v>
      </c>
      <c r="J8" s="517"/>
    </row>
    <row r="9" spans="1:10" s="85" customFormat="1" ht="13">
      <c r="A9" s="1">
        <v>125</v>
      </c>
      <c r="B9" s="2" t="s">
        <v>794</v>
      </c>
      <c r="C9" s="289">
        <v>11406</v>
      </c>
      <c r="D9" s="289">
        <v>2100</v>
      </c>
      <c r="E9" s="289">
        <v>4879</v>
      </c>
      <c r="F9" s="289">
        <v>272232</v>
      </c>
      <c r="G9" s="289">
        <v>0</v>
      </c>
      <c r="H9" s="289">
        <v>0</v>
      </c>
      <c r="I9" s="289">
        <v>263678</v>
      </c>
      <c r="J9" s="517"/>
    </row>
    <row r="10" spans="1:10" s="85" customFormat="1" ht="13">
      <c r="A10" s="1">
        <v>136</v>
      </c>
      <c r="B10" s="2" t="s">
        <v>798</v>
      </c>
      <c r="C10" s="289">
        <v>15747</v>
      </c>
      <c r="D10" s="289">
        <v>1000</v>
      </c>
      <c r="E10" s="289">
        <v>4204</v>
      </c>
      <c r="F10" s="289">
        <v>432230</v>
      </c>
      <c r="G10" s="289">
        <v>0</v>
      </c>
      <c r="H10" s="289">
        <v>0</v>
      </c>
      <c r="I10" s="289">
        <v>407583</v>
      </c>
      <c r="J10" s="517"/>
    </row>
    <row r="11" spans="1:10" ht="13">
      <c r="A11" s="1">
        <v>138</v>
      </c>
      <c r="B11" s="2" t="s">
        <v>800</v>
      </c>
      <c r="C11" s="289">
        <v>5557</v>
      </c>
      <c r="D11" s="289">
        <v>0</v>
      </c>
      <c r="E11" s="289">
        <v>9244</v>
      </c>
      <c r="F11" s="289">
        <v>138030</v>
      </c>
      <c r="G11" s="289">
        <v>3760</v>
      </c>
      <c r="H11" s="289">
        <v>0</v>
      </c>
      <c r="I11" s="289">
        <v>134439</v>
      </c>
      <c r="J11" s="517"/>
    </row>
    <row r="12" spans="1:10" ht="13">
      <c r="A12" s="1">
        <v>213</v>
      </c>
      <c r="B12" s="2" t="s">
        <v>802</v>
      </c>
      <c r="C12" s="289">
        <v>30698</v>
      </c>
      <c r="D12" s="289">
        <v>0</v>
      </c>
      <c r="E12" s="289">
        <v>5301</v>
      </c>
      <c r="F12" s="289">
        <v>958293</v>
      </c>
      <c r="G12" s="289">
        <v>0</v>
      </c>
      <c r="H12" s="289">
        <v>0</v>
      </c>
      <c r="I12" s="289">
        <v>898881</v>
      </c>
      <c r="J12" s="517"/>
    </row>
    <row r="13" spans="1:10" ht="13">
      <c r="A13" s="1">
        <v>217</v>
      </c>
      <c r="B13" s="2" t="s">
        <v>806</v>
      </c>
      <c r="C13" s="289">
        <v>26988</v>
      </c>
      <c r="D13" s="289">
        <v>0</v>
      </c>
      <c r="E13" s="289">
        <v>9494</v>
      </c>
      <c r="F13" s="289">
        <v>1010595</v>
      </c>
      <c r="G13" s="289">
        <v>0</v>
      </c>
      <c r="H13" s="289">
        <v>0</v>
      </c>
      <c r="I13" s="289">
        <v>958475</v>
      </c>
      <c r="J13" s="517"/>
    </row>
    <row r="14" spans="1:10" ht="13">
      <c r="A14" s="1">
        <v>220</v>
      </c>
      <c r="B14" s="2" t="s">
        <v>808</v>
      </c>
      <c r="C14" s="289">
        <v>60781</v>
      </c>
      <c r="D14" s="289">
        <v>0</v>
      </c>
      <c r="E14" s="289">
        <v>5395</v>
      </c>
      <c r="F14" s="289">
        <v>2777270</v>
      </c>
      <c r="G14" s="289">
        <v>0</v>
      </c>
      <c r="H14" s="289">
        <v>0</v>
      </c>
      <c r="I14" s="289">
        <v>2702018</v>
      </c>
      <c r="J14" s="517"/>
    </row>
    <row r="15" spans="1:10" ht="13">
      <c r="A15" s="1">
        <v>221</v>
      </c>
      <c r="B15" s="2" t="s">
        <v>809</v>
      </c>
      <c r="C15" s="289">
        <v>16162</v>
      </c>
      <c r="D15" s="289">
        <v>3300</v>
      </c>
      <c r="E15" s="289">
        <v>5448</v>
      </c>
      <c r="F15" s="289">
        <v>374281</v>
      </c>
      <c r="G15" s="289">
        <v>79</v>
      </c>
      <c r="H15" s="289">
        <v>0</v>
      </c>
      <c r="I15" s="289">
        <v>350928</v>
      </c>
      <c r="J15" s="517"/>
    </row>
    <row r="16" spans="1:10" ht="13">
      <c r="A16" s="1">
        <v>226</v>
      </c>
      <c r="B16" s="2" t="s">
        <v>810</v>
      </c>
      <c r="C16" s="289">
        <v>17665</v>
      </c>
      <c r="D16" s="289">
        <v>2700</v>
      </c>
      <c r="E16" s="289">
        <v>4826</v>
      </c>
      <c r="F16" s="289">
        <v>514762</v>
      </c>
      <c r="G16" s="289">
        <v>7516</v>
      </c>
      <c r="H16" s="289">
        <v>0</v>
      </c>
      <c r="I16" s="289">
        <v>486909</v>
      </c>
      <c r="J16" s="517"/>
    </row>
    <row r="17" spans="1:10" ht="13">
      <c r="A17" s="1">
        <v>227</v>
      </c>
      <c r="B17" s="2" t="s">
        <v>811</v>
      </c>
      <c r="C17" s="289">
        <v>11555</v>
      </c>
      <c r="D17" s="289">
        <v>2600</v>
      </c>
      <c r="E17" s="289">
        <v>4753</v>
      </c>
      <c r="F17" s="289">
        <v>336498</v>
      </c>
      <c r="G17" s="289">
        <v>2015</v>
      </c>
      <c r="H17" s="289">
        <v>0</v>
      </c>
      <c r="I17" s="289">
        <v>325799</v>
      </c>
      <c r="J17" s="517"/>
    </row>
    <row r="18" spans="1:10" ht="13">
      <c r="A18" s="1">
        <v>231</v>
      </c>
      <c r="B18" s="2" t="s">
        <v>815</v>
      </c>
      <c r="C18" s="289">
        <v>53276</v>
      </c>
      <c r="D18" s="289">
        <v>0</v>
      </c>
      <c r="E18" s="289">
        <v>9581</v>
      </c>
      <c r="F18" s="289">
        <v>1639443</v>
      </c>
      <c r="G18" s="289">
        <v>0</v>
      </c>
      <c r="H18" s="289">
        <v>0</v>
      </c>
      <c r="I18" s="289">
        <v>1535449</v>
      </c>
      <c r="J18" s="517"/>
    </row>
    <row r="19" spans="1:10" ht="13">
      <c r="A19" s="1">
        <v>301</v>
      </c>
      <c r="B19" s="3" t="s">
        <v>823</v>
      </c>
      <c r="C19" s="289">
        <v>666759</v>
      </c>
      <c r="D19" s="289">
        <v>0</v>
      </c>
      <c r="E19" s="289">
        <v>0</v>
      </c>
      <c r="F19" s="289">
        <v>27403000</v>
      </c>
      <c r="G19" s="289">
        <v>152939</v>
      </c>
      <c r="H19" s="289">
        <v>0</v>
      </c>
      <c r="I19" s="289">
        <v>25522086</v>
      </c>
      <c r="J19" s="517"/>
    </row>
    <row r="20" spans="1:10" ht="13">
      <c r="A20" s="1">
        <v>602</v>
      </c>
      <c r="B20" s="2" t="s">
        <v>871</v>
      </c>
      <c r="C20" s="289">
        <v>68363</v>
      </c>
      <c r="D20" s="289">
        <v>2000</v>
      </c>
      <c r="E20" s="289">
        <v>9096</v>
      </c>
      <c r="F20" s="289">
        <v>2001966</v>
      </c>
      <c r="G20" s="289">
        <v>0</v>
      </c>
      <c r="H20" s="289">
        <v>0</v>
      </c>
      <c r="I20" s="289">
        <v>1893427</v>
      </c>
      <c r="J20" s="517"/>
    </row>
    <row r="21" spans="1:10" ht="13">
      <c r="A21" s="1">
        <v>625</v>
      </c>
      <c r="B21" s="2" t="s">
        <v>885</v>
      </c>
      <c r="C21" s="289">
        <v>24718</v>
      </c>
      <c r="D21" s="289">
        <v>3560</v>
      </c>
      <c r="E21" s="289">
        <v>5380</v>
      </c>
      <c r="F21" s="289">
        <v>609858</v>
      </c>
      <c r="G21" s="289">
        <v>0</v>
      </c>
      <c r="H21" s="289">
        <v>0</v>
      </c>
      <c r="I21" s="289">
        <v>584271</v>
      </c>
      <c r="J21" s="517"/>
    </row>
    <row r="22" spans="1:10" ht="13">
      <c r="A22" s="1">
        <v>627</v>
      </c>
      <c r="B22" s="2" t="s">
        <v>887</v>
      </c>
      <c r="C22" s="289">
        <v>21931</v>
      </c>
      <c r="D22" s="289">
        <v>0</v>
      </c>
      <c r="E22" s="289">
        <v>5034</v>
      </c>
      <c r="F22" s="289">
        <v>663245</v>
      </c>
      <c r="G22" s="289">
        <v>10994</v>
      </c>
      <c r="H22" s="289">
        <v>0</v>
      </c>
      <c r="I22" s="289">
        <v>620312</v>
      </c>
      <c r="J22" s="517"/>
    </row>
    <row r="23" spans="1:10" ht="13">
      <c r="A23" s="1">
        <v>628</v>
      </c>
      <c r="B23" s="2" t="s">
        <v>888</v>
      </c>
      <c r="C23" s="289">
        <v>9462</v>
      </c>
      <c r="D23" s="289">
        <v>1380</v>
      </c>
      <c r="E23" s="289">
        <v>4081</v>
      </c>
      <c r="F23" s="289">
        <v>254707</v>
      </c>
      <c r="G23" s="289">
        <v>0</v>
      </c>
      <c r="H23" s="289">
        <v>0</v>
      </c>
      <c r="I23" s="289">
        <v>242693</v>
      </c>
      <c r="J23" s="517"/>
    </row>
    <row r="24" spans="1:10" ht="13">
      <c r="A24" s="1">
        <v>704</v>
      </c>
      <c r="B24" s="2" t="s">
        <v>893</v>
      </c>
      <c r="C24" s="289">
        <v>44922</v>
      </c>
      <c r="D24" s="289">
        <v>2715</v>
      </c>
      <c r="E24" s="289">
        <v>5416</v>
      </c>
      <c r="F24" s="289">
        <v>1293624</v>
      </c>
      <c r="G24" s="289">
        <v>0</v>
      </c>
      <c r="H24" s="289">
        <v>0</v>
      </c>
      <c r="I24" s="289">
        <v>1223170</v>
      </c>
      <c r="J24" s="517"/>
    </row>
    <row r="25" spans="1:10" ht="13">
      <c r="A25" s="1">
        <v>711</v>
      </c>
      <c r="B25" s="2" t="s">
        <v>896</v>
      </c>
      <c r="C25" s="289">
        <v>6653</v>
      </c>
      <c r="D25" s="289">
        <v>586</v>
      </c>
      <c r="E25" s="289">
        <v>457</v>
      </c>
      <c r="F25" s="289">
        <v>164536</v>
      </c>
      <c r="G25" s="289">
        <v>0</v>
      </c>
      <c r="H25" s="289">
        <v>0</v>
      </c>
      <c r="I25" s="289">
        <v>160212</v>
      </c>
      <c r="J25" s="517"/>
    </row>
    <row r="26" spans="1:10" ht="13">
      <c r="A26" s="1">
        <v>713</v>
      </c>
      <c r="B26" s="2" t="s">
        <v>897</v>
      </c>
      <c r="C26" s="289">
        <v>9496</v>
      </c>
      <c r="D26" s="289">
        <v>1147</v>
      </c>
      <c r="E26" s="289">
        <v>2992</v>
      </c>
      <c r="F26" s="289">
        <v>261520</v>
      </c>
      <c r="G26" s="289">
        <v>1667</v>
      </c>
      <c r="H26" s="289">
        <v>0</v>
      </c>
      <c r="I26" s="289">
        <v>247645</v>
      </c>
      <c r="J26" s="517"/>
    </row>
    <row r="27" spans="1:10" ht="13">
      <c r="A27" s="1">
        <v>715</v>
      </c>
      <c r="B27" s="2" t="s">
        <v>1238</v>
      </c>
      <c r="C27" s="289">
        <v>14037</v>
      </c>
      <c r="D27" s="289">
        <v>2367</v>
      </c>
      <c r="E27" s="289">
        <v>6421</v>
      </c>
      <c r="F27" s="289">
        <v>359369</v>
      </c>
      <c r="G27" s="289">
        <v>0</v>
      </c>
      <c r="H27" s="289">
        <v>0</v>
      </c>
      <c r="I27" s="289">
        <v>338691</v>
      </c>
      <c r="J27" s="517"/>
    </row>
    <row r="28" spans="1:10" ht="13">
      <c r="A28" s="1">
        <v>716</v>
      </c>
      <c r="B28" s="4" t="s">
        <v>350</v>
      </c>
      <c r="C28" s="289">
        <v>9486</v>
      </c>
      <c r="D28" s="289">
        <v>2007</v>
      </c>
      <c r="E28" s="289">
        <v>7440</v>
      </c>
      <c r="F28" s="289">
        <v>246644</v>
      </c>
      <c r="G28" s="289">
        <v>0</v>
      </c>
      <c r="H28" s="289">
        <v>7137.5344275199996</v>
      </c>
      <c r="I28" s="289">
        <v>228469</v>
      </c>
      <c r="J28" s="517"/>
    </row>
    <row r="29" spans="1:10" ht="13">
      <c r="A29" s="1">
        <v>821</v>
      </c>
      <c r="B29" s="2" t="s">
        <v>913</v>
      </c>
      <c r="C29" s="289">
        <v>6262</v>
      </c>
      <c r="D29" s="289">
        <v>3500</v>
      </c>
      <c r="E29" s="289">
        <v>2926</v>
      </c>
      <c r="F29" s="289">
        <v>141296</v>
      </c>
      <c r="G29" s="289">
        <v>1233</v>
      </c>
      <c r="H29" s="289">
        <v>0</v>
      </c>
      <c r="I29" s="289">
        <v>132504</v>
      </c>
      <c r="J29" s="517"/>
    </row>
    <row r="30" spans="1:10" ht="13">
      <c r="A30" s="1">
        <v>822</v>
      </c>
      <c r="B30" s="2" t="s">
        <v>914</v>
      </c>
      <c r="C30" s="289">
        <v>4303</v>
      </c>
      <c r="D30" s="289">
        <v>3500</v>
      </c>
      <c r="E30" s="289">
        <v>4297</v>
      </c>
      <c r="F30" s="289">
        <v>103179</v>
      </c>
      <c r="G30" s="289">
        <v>0</v>
      </c>
      <c r="H30" s="289">
        <v>0</v>
      </c>
      <c r="I30" s="289">
        <v>96485</v>
      </c>
      <c r="J30" s="517"/>
    </row>
    <row r="31" spans="1:10" ht="13">
      <c r="A31" s="1">
        <v>1001</v>
      </c>
      <c r="B31" s="2" t="s">
        <v>942</v>
      </c>
      <c r="C31" s="289">
        <v>89268</v>
      </c>
      <c r="D31" s="289">
        <v>9050</v>
      </c>
      <c r="E31" s="289">
        <v>9360</v>
      </c>
      <c r="F31" s="289">
        <v>2385821</v>
      </c>
      <c r="G31" s="289">
        <v>7233</v>
      </c>
      <c r="H31" s="289">
        <v>0</v>
      </c>
      <c r="I31" s="289">
        <v>2332419</v>
      </c>
      <c r="J31" s="517"/>
    </row>
    <row r="32" spans="1:10" ht="13">
      <c r="A32" s="1">
        <v>1002</v>
      </c>
      <c r="B32" s="2" t="s">
        <v>943</v>
      </c>
      <c r="C32" s="289">
        <v>15600</v>
      </c>
      <c r="D32" s="289">
        <v>2300</v>
      </c>
      <c r="E32" s="289">
        <v>4981</v>
      </c>
      <c r="F32" s="289">
        <v>384424</v>
      </c>
      <c r="G32" s="289">
        <v>0</v>
      </c>
      <c r="H32" s="289">
        <v>0</v>
      </c>
      <c r="I32" s="289">
        <v>365513</v>
      </c>
      <c r="J32" s="517"/>
    </row>
    <row r="33" spans="1:10" ht="13">
      <c r="A33" s="1">
        <v>1017</v>
      </c>
      <c r="B33" s="2" t="s">
        <v>948</v>
      </c>
      <c r="C33" s="289">
        <v>6568</v>
      </c>
      <c r="D33" s="289">
        <v>1450</v>
      </c>
      <c r="E33" s="289">
        <v>4119</v>
      </c>
      <c r="F33" s="289">
        <v>133870</v>
      </c>
      <c r="G33" s="289">
        <v>0</v>
      </c>
      <c r="H33" s="289">
        <v>0</v>
      </c>
      <c r="I33" s="289">
        <v>131403</v>
      </c>
      <c r="J33" s="517"/>
    </row>
    <row r="34" spans="1:10" ht="13">
      <c r="A34" s="1">
        <v>1018</v>
      </c>
      <c r="B34" s="2" t="s">
        <v>949</v>
      </c>
      <c r="C34" s="289">
        <v>11321</v>
      </c>
      <c r="D34" s="289">
        <v>2300</v>
      </c>
      <c r="E34" s="289">
        <v>4990</v>
      </c>
      <c r="F34" s="289">
        <v>282474</v>
      </c>
      <c r="G34" s="289">
        <v>0</v>
      </c>
      <c r="H34" s="289">
        <v>0</v>
      </c>
      <c r="I34" s="289">
        <v>281709</v>
      </c>
      <c r="J34" s="517"/>
    </row>
    <row r="35" spans="1:10" ht="13">
      <c r="A35" s="1">
        <v>1021</v>
      </c>
      <c r="B35" s="2" t="s">
        <v>950</v>
      </c>
      <c r="C35" s="289">
        <v>2309</v>
      </c>
      <c r="D35" s="289">
        <v>300</v>
      </c>
      <c r="E35" s="289">
        <v>159</v>
      </c>
      <c r="F35" s="289">
        <v>51263</v>
      </c>
      <c r="G35" s="289">
        <v>0</v>
      </c>
      <c r="H35" s="289">
        <v>0</v>
      </c>
      <c r="I35" s="289">
        <v>49083</v>
      </c>
      <c r="J35" s="517"/>
    </row>
    <row r="36" spans="1:10" ht="13">
      <c r="A36" s="1">
        <v>1027</v>
      </c>
      <c r="B36" s="2" t="s">
        <v>952</v>
      </c>
      <c r="C36" s="289">
        <v>1765</v>
      </c>
      <c r="D36" s="289">
        <v>1550</v>
      </c>
      <c r="E36" s="289">
        <v>4121</v>
      </c>
      <c r="F36" s="289">
        <v>38548</v>
      </c>
      <c r="G36" s="289">
        <v>0</v>
      </c>
      <c r="H36" s="289">
        <v>0</v>
      </c>
      <c r="I36" s="289">
        <v>36874</v>
      </c>
      <c r="J36" s="517"/>
    </row>
    <row r="37" spans="1:10" ht="13">
      <c r="A37" s="1">
        <v>1029</v>
      </c>
      <c r="B37" s="2" t="s">
        <v>953</v>
      </c>
      <c r="C37" s="289">
        <v>4950</v>
      </c>
      <c r="D37" s="289">
        <v>1100</v>
      </c>
      <c r="E37" s="289">
        <v>4343</v>
      </c>
      <c r="F37" s="289">
        <v>116255</v>
      </c>
      <c r="G37" s="289">
        <v>0</v>
      </c>
      <c r="H37" s="289">
        <v>0</v>
      </c>
      <c r="I37" s="289">
        <v>111945</v>
      </c>
      <c r="J37" s="517"/>
    </row>
    <row r="38" spans="1:10" ht="13">
      <c r="A38" s="1">
        <v>1032</v>
      </c>
      <c r="B38" s="2" t="s">
        <v>954</v>
      </c>
      <c r="C38" s="289">
        <v>8588</v>
      </c>
      <c r="D38" s="289">
        <v>1100</v>
      </c>
      <c r="E38" s="289">
        <v>4145</v>
      </c>
      <c r="F38" s="289">
        <v>190773</v>
      </c>
      <c r="G38" s="289">
        <v>2831</v>
      </c>
      <c r="H38" s="289">
        <v>0</v>
      </c>
      <c r="I38" s="289">
        <v>180492</v>
      </c>
      <c r="J38" s="517"/>
    </row>
    <row r="39" spans="1:10" ht="13">
      <c r="A39" s="1">
        <v>1101</v>
      </c>
      <c r="B39" s="2" t="s">
        <v>958</v>
      </c>
      <c r="C39" s="289">
        <v>14899</v>
      </c>
      <c r="D39" s="289">
        <v>1800</v>
      </c>
      <c r="E39" s="289">
        <v>1948</v>
      </c>
      <c r="F39" s="289">
        <v>420763</v>
      </c>
      <c r="G39" s="289">
        <v>0</v>
      </c>
      <c r="H39" s="289">
        <v>0</v>
      </c>
      <c r="I39" s="289">
        <v>418367</v>
      </c>
      <c r="J39" s="517"/>
    </row>
    <row r="40" spans="1:10" ht="13">
      <c r="A40" s="1">
        <v>1102</v>
      </c>
      <c r="B40" s="2" t="s">
        <v>959</v>
      </c>
      <c r="C40" s="289">
        <v>75497</v>
      </c>
      <c r="D40" s="289">
        <v>0</v>
      </c>
      <c r="E40" s="289">
        <v>9433</v>
      </c>
      <c r="F40" s="289">
        <v>2267326</v>
      </c>
      <c r="G40" s="289">
        <v>35178</v>
      </c>
      <c r="H40" s="289">
        <v>0</v>
      </c>
      <c r="I40" s="289">
        <v>2268290</v>
      </c>
      <c r="J40" s="517"/>
    </row>
    <row r="41" spans="1:10" ht="13">
      <c r="A41" s="1">
        <v>1103</v>
      </c>
      <c r="B41" s="2" t="s">
        <v>960</v>
      </c>
      <c r="C41" s="289">
        <v>132729</v>
      </c>
      <c r="D41" s="289">
        <v>0</v>
      </c>
      <c r="E41" s="289">
        <v>9604</v>
      </c>
      <c r="F41" s="289">
        <v>4887726</v>
      </c>
      <c r="G41" s="289">
        <v>0</v>
      </c>
      <c r="H41" s="289">
        <v>0</v>
      </c>
      <c r="I41" s="289">
        <v>5058581</v>
      </c>
      <c r="J41" s="517"/>
    </row>
    <row r="42" spans="1:10" ht="13">
      <c r="A42" s="1">
        <v>1106</v>
      </c>
      <c r="B42" s="2" t="s">
        <v>961</v>
      </c>
      <c r="C42" s="289">
        <v>37166</v>
      </c>
      <c r="D42" s="289">
        <v>6000</v>
      </c>
      <c r="E42" s="289">
        <v>0</v>
      </c>
      <c r="F42" s="289">
        <v>1015625</v>
      </c>
      <c r="G42" s="289">
        <v>0</v>
      </c>
      <c r="H42" s="289">
        <v>0</v>
      </c>
      <c r="I42" s="289">
        <v>980578</v>
      </c>
      <c r="J42" s="517"/>
    </row>
    <row r="43" spans="1:10" ht="13">
      <c r="A43" s="1">
        <v>1111</v>
      </c>
      <c r="B43" s="2" t="s">
        <v>962</v>
      </c>
      <c r="C43" s="289">
        <v>3316</v>
      </c>
      <c r="D43" s="289">
        <v>800</v>
      </c>
      <c r="E43" s="289">
        <v>0</v>
      </c>
      <c r="F43" s="289">
        <v>81393</v>
      </c>
      <c r="G43" s="289">
        <v>0</v>
      </c>
      <c r="H43" s="289">
        <v>0</v>
      </c>
      <c r="I43" s="289">
        <v>81397</v>
      </c>
      <c r="J43" s="517"/>
    </row>
    <row r="44" spans="1:10" ht="13">
      <c r="A44" s="1">
        <v>1112</v>
      </c>
      <c r="B44" s="2" t="s">
        <v>963</v>
      </c>
      <c r="C44" s="289">
        <v>3259</v>
      </c>
      <c r="D44" s="289">
        <v>1000</v>
      </c>
      <c r="E44" s="289">
        <v>0</v>
      </c>
      <c r="F44" s="289">
        <v>79675</v>
      </c>
      <c r="G44" s="289">
        <v>0</v>
      </c>
      <c r="H44" s="289">
        <v>0</v>
      </c>
      <c r="I44" s="289">
        <v>71529</v>
      </c>
      <c r="J44" s="517"/>
    </row>
    <row r="45" spans="1:10" ht="13">
      <c r="A45" s="1">
        <v>1114</v>
      </c>
      <c r="B45" s="2" t="s">
        <v>0</v>
      </c>
      <c r="C45" s="289">
        <v>2826</v>
      </c>
      <c r="D45" s="289">
        <v>0</v>
      </c>
      <c r="E45" s="289">
        <v>0</v>
      </c>
      <c r="F45" s="289">
        <v>76011</v>
      </c>
      <c r="G45" s="289">
        <v>0</v>
      </c>
      <c r="H45" s="289">
        <v>0</v>
      </c>
      <c r="I45" s="289">
        <v>73550</v>
      </c>
      <c r="J45" s="517"/>
    </row>
    <row r="46" spans="1:10" ht="13">
      <c r="A46" s="1">
        <v>1119</v>
      </c>
      <c r="B46" s="2" t="s">
        <v>1</v>
      </c>
      <c r="C46" s="289">
        <v>18800</v>
      </c>
      <c r="D46" s="289">
        <v>0</v>
      </c>
      <c r="E46" s="289">
        <v>0</v>
      </c>
      <c r="F46" s="289">
        <v>470012</v>
      </c>
      <c r="G46" s="289">
        <v>3990</v>
      </c>
      <c r="H46" s="289">
        <v>0</v>
      </c>
      <c r="I46" s="289">
        <v>467975</v>
      </c>
      <c r="J46" s="517"/>
    </row>
    <row r="47" spans="1:10" ht="13">
      <c r="A47" s="1">
        <v>1120</v>
      </c>
      <c r="B47" s="2" t="s">
        <v>2</v>
      </c>
      <c r="C47" s="289">
        <v>19042</v>
      </c>
      <c r="D47" s="289">
        <v>0</v>
      </c>
      <c r="E47" s="289">
        <v>0</v>
      </c>
      <c r="F47" s="289">
        <v>526351</v>
      </c>
      <c r="G47" s="289">
        <v>0</v>
      </c>
      <c r="H47" s="289">
        <v>0</v>
      </c>
      <c r="I47" s="289">
        <v>534018</v>
      </c>
      <c r="J47" s="517"/>
    </row>
    <row r="48" spans="1:10" ht="13">
      <c r="A48" s="1">
        <v>1121</v>
      </c>
      <c r="B48" s="2" t="s">
        <v>3</v>
      </c>
      <c r="C48" s="289">
        <v>18656</v>
      </c>
      <c r="D48" s="289">
        <v>0</v>
      </c>
      <c r="E48" s="289">
        <v>2624</v>
      </c>
      <c r="F48" s="289">
        <v>529636</v>
      </c>
      <c r="G48" s="289">
        <v>7693</v>
      </c>
      <c r="H48" s="289">
        <v>0</v>
      </c>
      <c r="I48" s="289">
        <v>534004</v>
      </c>
      <c r="J48" s="517"/>
    </row>
    <row r="49" spans="1:10" ht="13">
      <c r="A49" s="1">
        <v>1122</v>
      </c>
      <c r="B49" s="2" t="s">
        <v>4</v>
      </c>
      <c r="C49" s="289">
        <v>11902</v>
      </c>
      <c r="D49" s="289">
        <v>600</v>
      </c>
      <c r="E49" s="289">
        <v>2204</v>
      </c>
      <c r="F49" s="289">
        <v>305892</v>
      </c>
      <c r="G49" s="289">
        <v>6778</v>
      </c>
      <c r="H49" s="289">
        <v>0</v>
      </c>
      <c r="I49" s="289">
        <v>310148</v>
      </c>
      <c r="J49" s="517"/>
    </row>
    <row r="50" spans="1:10" ht="13">
      <c r="A50" s="1">
        <v>1124</v>
      </c>
      <c r="B50" s="2" t="s">
        <v>5</v>
      </c>
      <c r="C50" s="289">
        <v>26016</v>
      </c>
      <c r="D50" s="289">
        <v>0</v>
      </c>
      <c r="E50" s="289">
        <v>0</v>
      </c>
      <c r="F50" s="289">
        <v>945204</v>
      </c>
      <c r="G50" s="289">
        <v>0</v>
      </c>
      <c r="H50" s="289">
        <v>0</v>
      </c>
      <c r="I50" s="289">
        <v>986777</v>
      </c>
      <c r="J50" s="517"/>
    </row>
    <row r="51" spans="1:10" ht="13">
      <c r="A51" s="1">
        <v>1127</v>
      </c>
      <c r="B51" s="2" t="s">
        <v>6</v>
      </c>
      <c r="C51" s="289">
        <v>10873</v>
      </c>
      <c r="D51" s="289">
        <v>5000</v>
      </c>
      <c r="E51" s="289">
        <v>0</v>
      </c>
      <c r="F51" s="289">
        <v>341416</v>
      </c>
      <c r="G51" s="289">
        <v>0</v>
      </c>
      <c r="H51" s="289">
        <v>0</v>
      </c>
      <c r="I51" s="289">
        <v>354504</v>
      </c>
      <c r="J51" s="517"/>
    </row>
    <row r="52" spans="1:10" ht="13">
      <c r="A52" s="1">
        <v>1129</v>
      </c>
      <c r="B52" s="2" t="s">
        <v>7</v>
      </c>
      <c r="C52" s="289">
        <v>1245</v>
      </c>
      <c r="D52" s="289">
        <v>0</v>
      </c>
      <c r="E52" s="289">
        <v>819</v>
      </c>
      <c r="F52" s="289">
        <v>53783</v>
      </c>
      <c r="G52" s="289">
        <v>0</v>
      </c>
      <c r="H52" s="289">
        <v>0</v>
      </c>
      <c r="I52" s="289">
        <v>53109</v>
      </c>
      <c r="J52" s="517"/>
    </row>
    <row r="53" spans="1:10" ht="13">
      <c r="A53" s="1">
        <v>1130</v>
      </c>
      <c r="B53" s="2" t="s">
        <v>12</v>
      </c>
      <c r="C53" s="289">
        <v>12662</v>
      </c>
      <c r="D53" s="289">
        <v>2600</v>
      </c>
      <c r="E53" s="289">
        <v>2404</v>
      </c>
      <c r="F53" s="289">
        <v>333009</v>
      </c>
      <c r="G53" s="289">
        <v>1474</v>
      </c>
      <c r="H53" s="289">
        <v>0</v>
      </c>
      <c r="I53" s="289">
        <v>327171</v>
      </c>
      <c r="J53" s="517"/>
    </row>
    <row r="54" spans="1:10" ht="13">
      <c r="A54" s="1">
        <v>1133</v>
      </c>
      <c r="B54" s="2" t="s">
        <v>13</v>
      </c>
      <c r="C54" s="289">
        <v>2708</v>
      </c>
      <c r="D54" s="289">
        <v>1000</v>
      </c>
      <c r="E54" s="289">
        <v>0</v>
      </c>
      <c r="F54" s="289">
        <v>95073</v>
      </c>
      <c r="G54" s="289">
        <v>0</v>
      </c>
      <c r="H54" s="289">
        <v>0</v>
      </c>
      <c r="I54" s="289">
        <v>94420</v>
      </c>
      <c r="J54" s="517"/>
    </row>
    <row r="55" spans="1:10" ht="13">
      <c r="A55" s="1">
        <v>1134</v>
      </c>
      <c r="B55" s="2" t="s">
        <v>14</v>
      </c>
      <c r="C55" s="289">
        <v>3853</v>
      </c>
      <c r="D55" s="289">
        <v>0</v>
      </c>
      <c r="E55" s="289">
        <v>0</v>
      </c>
      <c r="F55" s="289">
        <v>145448</v>
      </c>
      <c r="G55" s="289">
        <v>0</v>
      </c>
      <c r="H55" s="289">
        <v>0</v>
      </c>
      <c r="I55" s="289">
        <v>141024</v>
      </c>
      <c r="J55" s="517"/>
    </row>
    <row r="56" spans="1:10" ht="13">
      <c r="A56" s="1">
        <v>1135</v>
      </c>
      <c r="B56" s="2" t="s">
        <v>15</v>
      </c>
      <c r="C56" s="289">
        <v>4760</v>
      </c>
      <c r="D56" s="289">
        <v>6600</v>
      </c>
      <c r="E56" s="289">
        <v>0</v>
      </c>
      <c r="F56" s="289">
        <v>154229</v>
      </c>
      <c r="G56" s="289">
        <v>0</v>
      </c>
      <c r="H56" s="289">
        <v>0</v>
      </c>
      <c r="I56" s="289">
        <v>112299</v>
      </c>
      <c r="J56" s="517"/>
    </row>
    <row r="57" spans="1:10" ht="13">
      <c r="A57" s="1">
        <v>1141</v>
      </c>
      <c r="B57" s="2" t="s">
        <v>16</v>
      </c>
      <c r="C57" s="289">
        <v>3235</v>
      </c>
      <c r="D57" s="289">
        <v>6600</v>
      </c>
      <c r="E57" s="289">
        <v>222</v>
      </c>
      <c r="F57" s="289">
        <v>93755</v>
      </c>
      <c r="G57" s="289">
        <v>1524</v>
      </c>
      <c r="H57" s="289">
        <v>0</v>
      </c>
      <c r="I57" s="289">
        <v>86133</v>
      </c>
      <c r="J57" s="517"/>
    </row>
    <row r="58" spans="1:10" ht="13">
      <c r="A58" s="1">
        <v>1142</v>
      </c>
      <c r="B58" s="2" t="s">
        <v>17</v>
      </c>
      <c r="C58" s="289">
        <v>4892</v>
      </c>
      <c r="D58" s="289">
        <v>1000</v>
      </c>
      <c r="E58" s="289">
        <v>337</v>
      </c>
      <c r="F58" s="289">
        <v>146692</v>
      </c>
      <c r="G58" s="289">
        <v>783</v>
      </c>
      <c r="H58" s="289">
        <v>0</v>
      </c>
      <c r="I58" s="289">
        <v>153116</v>
      </c>
      <c r="J58" s="517"/>
    </row>
    <row r="59" spans="1:10" ht="13">
      <c r="A59" s="1">
        <v>1144</v>
      </c>
      <c r="B59" s="2" t="s">
        <v>18</v>
      </c>
      <c r="C59" s="289">
        <v>534</v>
      </c>
      <c r="D59" s="289">
        <v>1600</v>
      </c>
      <c r="E59" s="289">
        <v>0</v>
      </c>
      <c r="F59" s="289">
        <v>15384</v>
      </c>
      <c r="G59" s="289">
        <v>0</v>
      </c>
      <c r="H59" s="289">
        <v>0</v>
      </c>
      <c r="I59" s="289">
        <v>12573</v>
      </c>
      <c r="J59" s="517"/>
    </row>
    <row r="60" spans="1:10" ht="13">
      <c r="A60" s="1">
        <v>1145</v>
      </c>
      <c r="B60" s="2" t="s">
        <v>19</v>
      </c>
      <c r="C60" s="289">
        <v>855</v>
      </c>
      <c r="D60" s="289">
        <v>1500</v>
      </c>
      <c r="E60" s="289">
        <v>0</v>
      </c>
      <c r="F60" s="289">
        <v>20969</v>
      </c>
      <c r="G60" s="289">
        <v>0</v>
      </c>
      <c r="H60" s="289">
        <v>0</v>
      </c>
      <c r="I60" s="289">
        <v>20265</v>
      </c>
      <c r="J60" s="517"/>
    </row>
    <row r="61" spans="1:10" ht="13">
      <c r="A61" s="1">
        <v>1146</v>
      </c>
      <c r="B61" s="2" t="s">
        <v>20</v>
      </c>
      <c r="C61" s="289">
        <v>11041</v>
      </c>
      <c r="D61" s="289">
        <v>3500</v>
      </c>
      <c r="E61" s="289">
        <v>827</v>
      </c>
      <c r="F61" s="289">
        <v>279974</v>
      </c>
      <c r="G61" s="289">
        <v>0</v>
      </c>
      <c r="H61" s="289">
        <v>0</v>
      </c>
      <c r="I61" s="289">
        <v>264000</v>
      </c>
      <c r="J61" s="517"/>
    </row>
    <row r="62" spans="1:10" ht="13">
      <c r="A62" s="1">
        <v>1149</v>
      </c>
      <c r="B62" s="2" t="s">
        <v>21</v>
      </c>
      <c r="C62" s="289">
        <v>42229</v>
      </c>
      <c r="D62" s="289">
        <v>2500</v>
      </c>
      <c r="E62" s="289">
        <v>0</v>
      </c>
      <c r="F62" s="289">
        <v>1048090</v>
      </c>
      <c r="G62" s="289">
        <v>0</v>
      </c>
      <c r="H62" s="289">
        <v>0</v>
      </c>
      <c r="I62" s="289">
        <v>1031685</v>
      </c>
      <c r="J62" s="517"/>
    </row>
    <row r="63" spans="1:10" ht="13">
      <c r="A63" s="1">
        <v>1151</v>
      </c>
      <c r="B63" s="2" t="s">
        <v>22</v>
      </c>
      <c r="C63" s="289">
        <v>201</v>
      </c>
      <c r="D63" s="289">
        <v>1500</v>
      </c>
      <c r="E63" s="289">
        <v>0</v>
      </c>
      <c r="F63" s="289">
        <v>4747</v>
      </c>
      <c r="G63" s="289">
        <v>0</v>
      </c>
      <c r="H63" s="289">
        <v>0</v>
      </c>
      <c r="I63" s="289">
        <v>4581</v>
      </c>
      <c r="J63" s="517"/>
    </row>
    <row r="64" spans="1:10" ht="13">
      <c r="A64" s="1">
        <v>1160</v>
      </c>
      <c r="B64" s="4" t="s">
        <v>711</v>
      </c>
      <c r="C64" s="289">
        <v>8828</v>
      </c>
      <c r="D64" s="289">
        <v>8000</v>
      </c>
      <c r="E64" s="289">
        <v>0</v>
      </c>
      <c r="F64" s="289">
        <v>300936</v>
      </c>
      <c r="G64" s="289">
        <v>0</v>
      </c>
      <c r="H64" s="289">
        <v>9862.7993923800004</v>
      </c>
      <c r="I64" s="289">
        <v>241047</v>
      </c>
      <c r="J64" s="517"/>
    </row>
    <row r="65" spans="1:10" ht="13">
      <c r="A65" s="1">
        <v>1227</v>
      </c>
      <c r="B65" s="2" t="s">
        <v>31</v>
      </c>
      <c r="C65" s="289">
        <v>1108</v>
      </c>
      <c r="D65" s="289">
        <v>1700</v>
      </c>
      <c r="E65" s="289">
        <v>0</v>
      </c>
      <c r="F65" s="289">
        <v>28232</v>
      </c>
      <c r="G65" s="289">
        <v>262</v>
      </c>
      <c r="H65" s="289">
        <v>0</v>
      </c>
      <c r="I65" s="289">
        <v>25475</v>
      </c>
      <c r="J65" s="517"/>
    </row>
    <row r="66" spans="1:10" ht="13">
      <c r="A66" s="1">
        <v>1228</v>
      </c>
      <c r="B66" s="2" t="s">
        <v>32</v>
      </c>
      <c r="C66" s="289">
        <v>7025</v>
      </c>
      <c r="D66" s="289">
        <v>0</v>
      </c>
      <c r="E66" s="289">
        <v>4480</v>
      </c>
      <c r="F66" s="289">
        <v>217928</v>
      </c>
      <c r="G66" s="289">
        <v>0</v>
      </c>
      <c r="H66" s="289">
        <v>0</v>
      </c>
      <c r="I66" s="289">
        <v>209148</v>
      </c>
      <c r="J66" s="517"/>
    </row>
    <row r="67" spans="1:10" ht="13">
      <c r="A67" s="1">
        <v>1231</v>
      </c>
      <c r="B67" s="2" t="s">
        <v>33</v>
      </c>
      <c r="C67" s="289">
        <v>3377</v>
      </c>
      <c r="D67" s="289">
        <v>2600</v>
      </c>
      <c r="E67" s="289">
        <v>0</v>
      </c>
      <c r="F67" s="289">
        <v>81965</v>
      </c>
      <c r="G67" s="289">
        <v>0</v>
      </c>
      <c r="H67" s="289">
        <v>0</v>
      </c>
      <c r="I67" s="289">
        <v>81214</v>
      </c>
      <c r="J67" s="517"/>
    </row>
    <row r="68" spans="1:10" ht="13">
      <c r="A68" s="1">
        <v>1234</v>
      </c>
      <c r="B68" s="2" t="s">
        <v>36</v>
      </c>
      <c r="C68" s="289">
        <v>933</v>
      </c>
      <c r="D68" s="289">
        <v>1700</v>
      </c>
      <c r="E68" s="289">
        <v>404</v>
      </c>
      <c r="F68" s="289">
        <v>23162</v>
      </c>
      <c r="G68" s="289">
        <v>0</v>
      </c>
      <c r="H68" s="289">
        <v>0</v>
      </c>
      <c r="I68" s="289">
        <v>20978</v>
      </c>
      <c r="J68" s="517"/>
    </row>
    <row r="69" spans="1:10" ht="13">
      <c r="A69" s="1">
        <v>1235</v>
      </c>
      <c r="B69" s="2" t="s">
        <v>37</v>
      </c>
      <c r="C69" s="289">
        <v>14514</v>
      </c>
      <c r="D69" s="289">
        <v>5500</v>
      </c>
      <c r="E69" s="289">
        <v>8125</v>
      </c>
      <c r="F69" s="289">
        <v>381225</v>
      </c>
      <c r="G69" s="289">
        <v>0</v>
      </c>
      <c r="H69" s="289">
        <v>0</v>
      </c>
      <c r="I69" s="289">
        <v>363063</v>
      </c>
      <c r="J69" s="517"/>
    </row>
    <row r="70" spans="1:10" ht="13">
      <c r="A70" s="1">
        <v>1241</v>
      </c>
      <c r="B70" s="2" t="s">
        <v>39</v>
      </c>
      <c r="C70" s="289">
        <v>3895</v>
      </c>
      <c r="D70" s="289">
        <v>5100</v>
      </c>
      <c r="E70" s="289">
        <v>194</v>
      </c>
      <c r="F70" s="289">
        <v>111547</v>
      </c>
      <c r="G70" s="289">
        <v>0</v>
      </c>
      <c r="H70" s="289">
        <v>0</v>
      </c>
      <c r="I70" s="289">
        <v>102650</v>
      </c>
      <c r="J70" s="517"/>
    </row>
    <row r="71" spans="1:10" ht="13">
      <c r="A71" s="1">
        <v>1243</v>
      </c>
      <c r="B71" s="2" t="s">
        <v>844</v>
      </c>
      <c r="C71" s="289">
        <v>20152</v>
      </c>
      <c r="D71" s="289">
        <v>1100</v>
      </c>
      <c r="E71" s="289">
        <v>8780</v>
      </c>
      <c r="F71" s="289">
        <v>545538</v>
      </c>
      <c r="G71" s="289">
        <v>16454</v>
      </c>
      <c r="H71" s="289">
        <v>0</v>
      </c>
      <c r="I71" s="289">
        <v>523893</v>
      </c>
      <c r="J71" s="517"/>
    </row>
    <row r="72" spans="1:10" ht="13">
      <c r="A72" s="1">
        <v>1245</v>
      </c>
      <c r="B72" s="2" t="s">
        <v>42</v>
      </c>
      <c r="C72" s="289">
        <v>7058</v>
      </c>
      <c r="D72" s="289">
        <v>1200</v>
      </c>
      <c r="E72" s="289">
        <v>3666</v>
      </c>
      <c r="F72" s="289">
        <v>172226</v>
      </c>
      <c r="G72" s="289">
        <v>3612</v>
      </c>
      <c r="H72" s="289">
        <v>0</v>
      </c>
      <c r="I72" s="289">
        <v>168072</v>
      </c>
      <c r="J72" s="517"/>
    </row>
    <row r="73" spans="1:10" ht="13">
      <c r="A73" s="1">
        <v>1246</v>
      </c>
      <c r="B73" s="2" t="s">
        <v>43</v>
      </c>
      <c r="C73" s="289">
        <v>25204</v>
      </c>
      <c r="D73" s="289">
        <v>1800</v>
      </c>
      <c r="E73" s="289">
        <v>7793</v>
      </c>
      <c r="F73" s="289">
        <v>705797</v>
      </c>
      <c r="G73" s="289">
        <v>11821</v>
      </c>
      <c r="H73" s="289">
        <v>0</v>
      </c>
      <c r="I73" s="289">
        <v>684024</v>
      </c>
      <c r="J73" s="517"/>
    </row>
    <row r="74" spans="1:10" ht="13">
      <c r="A74" s="1">
        <v>1256</v>
      </c>
      <c r="B74" s="2" t="s">
        <v>48</v>
      </c>
      <c r="C74" s="289">
        <v>8021</v>
      </c>
      <c r="D74" s="289">
        <v>4100</v>
      </c>
      <c r="E74" s="289">
        <v>3548</v>
      </c>
      <c r="F74" s="289">
        <v>193046</v>
      </c>
      <c r="G74" s="289">
        <v>2979</v>
      </c>
      <c r="H74" s="289">
        <v>0</v>
      </c>
      <c r="I74" s="289">
        <v>185566</v>
      </c>
      <c r="J74" s="517"/>
    </row>
    <row r="75" spans="1:10" ht="13">
      <c r="A75" s="1">
        <v>1259</v>
      </c>
      <c r="B75" s="2" t="s">
        <v>49</v>
      </c>
      <c r="C75" s="289">
        <v>4913</v>
      </c>
      <c r="D75" s="289">
        <v>0</v>
      </c>
      <c r="E75" s="289">
        <v>2869</v>
      </c>
      <c r="F75" s="289">
        <v>115040</v>
      </c>
      <c r="G75" s="289">
        <v>1854</v>
      </c>
      <c r="H75" s="289">
        <v>0</v>
      </c>
      <c r="I75" s="289">
        <v>116933</v>
      </c>
      <c r="J75" s="517"/>
    </row>
    <row r="76" spans="1:10" ht="13">
      <c r="A76" s="1">
        <v>1260</v>
      </c>
      <c r="B76" s="2" t="s">
        <v>53</v>
      </c>
      <c r="C76" s="289">
        <v>5128</v>
      </c>
      <c r="D76" s="289">
        <v>3700</v>
      </c>
      <c r="E76" s="289">
        <v>2284</v>
      </c>
      <c r="F76" s="289">
        <v>119973</v>
      </c>
      <c r="G76" s="289">
        <v>0</v>
      </c>
      <c r="H76" s="289">
        <v>0</v>
      </c>
      <c r="I76" s="289">
        <v>115873</v>
      </c>
      <c r="J76" s="517"/>
    </row>
    <row r="77" spans="1:10" ht="13">
      <c r="A77" s="1">
        <v>1263</v>
      </c>
      <c r="B77" s="2" t="s">
        <v>54</v>
      </c>
      <c r="C77" s="289">
        <v>15731</v>
      </c>
      <c r="D77" s="289">
        <v>0</v>
      </c>
      <c r="E77" s="289">
        <v>1082</v>
      </c>
      <c r="F77" s="289">
        <v>396272</v>
      </c>
      <c r="G77" s="289">
        <v>3032</v>
      </c>
      <c r="H77" s="289">
        <v>0</v>
      </c>
      <c r="I77" s="289">
        <v>396793</v>
      </c>
      <c r="J77" s="517"/>
    </row>
    <row r="78" spans="1:10" ht="13">
      <c r="A78" s="1">
        <v>1401</v>
      </c>
      <c r="B78" s="2" t="s">
        <v>58</v>
      </c>
      <c r="C78" s="289">
        <v>11999</v>
      </c>
      <c r="D78" s="289">
        <v>14850</v>
      </c>
      <c r="E78" s="289">
        <v>4211</v>
      </c>
      <c r="F78" s="289">
        <v>325879</v>
      </c>
      <c r="G78" s="289">
        <v>0</v>
      </c>
      <c r="H78" s="289">
        <v>0</v>
      </c>
      <c r="I78" s="289">
        <v>325784</v>
      </c>
      <c r="J78" s="517"/>
    </row>
    <row r="79" spans="1:10" ht="13">
      <c r="A79" s="1">
        <v>1418</v>
      </c>
      <c r="B79" s="2" t="s">
        <v>64</v>
      </c>
      <c r="C79" s="289">
        <v>1288</v>
      </c>
      <c r="D79" s="289">
        <v>1300</v>
      </c>
      <c r="E79" s="289">
        <v>4000</v>
      </c>
      <c r="F79" s="289">
        <v>31810</v>
      </c>
      <c r="G79" s="289">
        <v>0</v>
      </c>
      <c r="H79" s="289">
        <v>0</v>
      </c>
      <c r="I79" s="289">
        <v>31062</v>
      </c>
      <c r="J79" s="517"/>
    </row>
    <row r="80" spans="1:10" ht="13">
      <c r="A80" s="1">
        <v>1419</v>
      </c>
      <c r="B80" s="2" t="s">
        <v>65</v>
      </c>
      <c r="C80" s="289">
        <v>2332</v>
      </c>
      <c r="D80" s="289">
        <v>0</v>
      </c>
      <c r="E80" s="289">
        <v>4382</v>
      </c>
      <c r="F80" s="289">
        <v>65896</v>
      </c>
      <c r="G80" s="289">
        <v>0</v>
      </c>
      <c r="H80" s="289">
        <v>0</v>
      </c>
      <c r="I80" s="289">
        <v>61486</v>
      </c>
      <c r="J80" s="517"/>
    </row>
    <row r="81" spans="1:10" ht="13">
      <c r="A81" s="1">
        <v>1420</v>
      </c>
      <c r="B81" s="2" t="s">
        <v>66</v>
      </c>
      <c r="C81" s="289">
        <v>7941</v>
      </c>
      <c r="D81" s="289">
        <v>7250</v>
      </c>
      <c r="E81" s="289">
        <v>2633</v>
      </c>
      <c r="F81" s="289">
        <v>206275</v>
      </c>
      <c r="G81" s="289">
        <v>845</v>
      </c>
      <c r="H81" s="289">
        <v>0</v>
      </c>
      <c r="I81" s="289">
        <v>198568</v>
      </c>
      <c r="J81" s="517"/>
    </row>
    <row r="82" spans="1:10" ht="13">
      <c r="A82" s="1">
        <v>1430</v>
      </c>
      <c r="B82" s="2" t="s">
        <v>73</v>
      </c>
      <c r="C82" s="289">
        <v>2966</v>
      </c>
      <c r="D82" s="289">
        <v>1400</v>
      </c>
      <c r="E82" s="289">
        <v>3542</v>
      </c>
      <c r="F82" s="289">
        <v>68624</v>
      </c>
      <c r="G82" s="289">
        <v>0</v>
      </c>
      <c r="H82" s="289">
        <v>0</v>
      </c>
      <c r="I82" s="289">
        <v>65337</v>
      </c>
      <c r="J82" s="517"/>
    </row>
    <row r="83" spans="1:10" ht="13">
      <c r="A83" s="1">
        <v>1431</v>
      </c>
      <c r="B83" s="2" t="s">
        <v>74</v>
      </c>
      <c r="C83" s="289">
        <v>3049</v>
      </c>
      <c r="D83" s="289">
        <v>1200</v>
      </c>
      <c r="E83" s="289">
        <v>208</v>
      </c>
      <c r="F83" s="289">
        <v>78085</v>
      </c>
      <c r="G83" s="289">
        <v>0</v>
      </c>
      <c r="H83" s="289">
        <v>0</v>
      </c>
      <c r="I83" s="289">
        <v>71117</v>
      </c>
      <c r="J83" s="517"/>
    </row>
    <row r="84" spans="1:10" ht="13">
      <c r="A84" s="1">
        <v>1432</v>
      </c>
      <c r="B84" s="2" t="s">
        <v>75</v>
      </c>
      <c r="C84" s="289">
        <v>13009</v>
      </c>
      <c r="D84" s="289">
        <v>11800</v>
      </c>
      <c r="E84" s="289">
        <v>4772</v>
      </c>
      <c r="F84" s="289">
        <v>376559</v>
      </c>
      <c r="G84" s="289">
        <v>0</v>
      </c>
      <c r="H84" s="289">
        <v>0</v>
      </c>
      <c r="I84" s="289">
        <v>368164</v>
      </c>
      <c r="J84" s="517"/>
    </row>
    <row r="85" spans="1:10" ht="13">
      <c r="A85" s="1">
        <v>1433</v>
      </c>
      <c r="B85" s="2" t="s">
        <v>76</v>
      </c>
      <c r="C85" s="289">
        <v>2848</v>
      </c>
      <c r="D85" s="289">
        <v>1500</v>
      </c>
      <c r="E85" s="289">
        <v>4585</v>
      </c>
      <c r="F85" s="289">
        <v>67887</v>
      </c>
      <c r="G85" s="289">
        <v>222</v>
      </c>
      <c r="H85" s="289">
        <v>0</v>
      </c>
      <c r="I85" s="289">
        <v>67819</v>
      </c>
      <c r="J85" s="517"/>
    </row>
    <row r="86" spans="1:10" ht="13">
      <c r="A86" s="1">
        <v>1439</v>
      </c>
      <c r="B86" s="2" t="s">
        <v>78</v>
      </c>
      <c r="C86" s="289">
        <v>6031</v>
      </c>
      <c r="D86" s="289">
        <v>1800</v>
      </c>
      <c r="E86" s="289">
        <v>7366</v>
      </c>
      <c r="F86" s="289">
        <v>161472</v>
      </c>
      <c r="G86" s="289">
        <v>0</v>
      </c>
      <c r="H86" s="289">
        <v>0</v>
      </c>
      <c r="I86" s="289">
        <v>155147</v>
      </c>
      <c r="J86" s="517"/>
    </row>
    <row r="87" spans="1:10" ht="13">
      <c r="A87" s="1">
        <v>1441</v>
      </c>
      <c r="B87" s="2" t="s">
        <v>79</v>
      </c>
      <c r="C87" s="289">
        <v>2791</v>
      </c>
      <c r="D87" s="289">
        <v>2200</v>
      </c>
      <c r="E87" s="289">
        <v>0</v>
      </c>
      <c r="F87" s="289">
        <v>65535</v>
      </c>
      <c r="G87" s="289">
        <v>0</v>
      </c>
      <c r="H87" s="289">
        <v>0</v>
      </c>
      <c r="I87" s="289">
        <v>63415</v>
      </c>
      <c r="J87" s="517"/>
    </row>
    <row r="88" spans="1:10" ht="13">
      <c r="A88" s="1">
        <v>1443</v>
      </c>
      <c r="B88" s="2" t="s">
        <v>80</v>
      </c>
      <c r="C88" s="289">
        <v>6064</v>
      </c>
      <c r="D88" s="289">
        <v>600</v>
      </c>
      <c r="E88" s="289">
        <v>7127</v>
      </c>
      <c r="F88" s="289">
        <v>144754</v>
      </c>
      <c r="G88" s="289">
        <v>0</v>
      </c>
      <c r="H88" s="289">
        <v>0</v>
      </c>
      <c r="I88" s="289">
        <v>136144</v>
      </c>
      <c r="J88" s="517"/>
    </row>
    <row r="89" spans="1:10" ht="13">
      <c r="A89" s="1">
        <v>1444</v>
      </c>
      <c r="B89" s="2" t="s">
        <v>81</v>
      </c>
      <c r="C89" s="289">
        <v>1198</v>
      </c>
      <c r="D89" s="289">
        <v>100</v>
      </c>
      <c r="E89" s="289">
        <v>83</v>
      </c>
      <c r="F89" s="289">
        <v>24790</v>
      </c>
      <c r="G89" s="289">
        <v>0</v>
      </c>
      <c r="H89" s="289">
        <v>0</v>
      </c>
      <c r="I89" s="289">
        <v>24138</v>
      </c>
      <c r="J89" s="517"/>
    </row>
    <row r="90" spans="1:10" ht="13">
      <c r="A90" s="1">
        <v>1502</v>
      </c>
      <c r="B90" s="2" t="s">
        <v>84</v>
      </c>
      <c r="C90" s="289">
        <v>26822</v>
      </c>
      <c r="D90" s="289">
        <v>0</v>
      </c>
      <c r="E90" s="289">
        <v>4771</v>
      </c>
      <c r="F90" s="289">
        <v>749627</v>
      </c>
      <c r="G90" s="289">
        <v>0</v>
      </c>
      <c r="H90" s="289">
        <v>0</v>
      </c>
      <c r="I90" s="289">
        <v>721890</v>
      </c>
      <c r="J90" s="517"/>
    </row>
    <row r="91" spans="1:10" ht="13">
      <c r="A91" s="1">
        <v>1504</v>
      </c>
      <c r="B91" s="2" t="s">
        <v>85</v>
      </c>
      <c r="C91" s="289">
        <v>47199</v>
      </c>
      <c r="D91" s="289">
        <v>2150</v>
      </c>
      <c r="E91" s="289">
        <v>10309</v>
      </c>
      <c r="F91" s="289">
        <v>1363236</v>
      </c>
      <c r="G91" s="289">
        <v>0</v>
      </c>
      <c r="H91" s="289">
        <v>0</v>
      </c>
      <c r="I91" s="289">
        <v>1296676</v>
      </c>
      <c r="J91" s="517"/>
    </row>
    <row r="92" spans="1:10" ht="13">
      <c r="A92" s="1">
        <v>1505</v>
      </c>
      <c r="B92" s="4" t="s">
        <v>680</v>
      </c>
      <c r="C92" s="289">
        <v>24442</v>
      </c>
      <c r="D92" s="289">
        <v>1400</v>
      </c>
      <c r="E92" s="289">
        <v>0</v>
      </c>
      <c r="F92" s="289">
        <v>613661</v>
      </c>
      <c r="G92" s="289">
        <v>0</v>
      </c>
      <c r="H92" s="289">
        <v>9815.9724344599999</v>
      </c>
      <c r="I92" s="289">
        <v>605657</v>
      </c>
      <c r="J92" s="517"/>
    </row>
    <row r="93" spans="1:10" ht="13">
      <c r="A93" s="1">
        <v>1511</v>
      </c>
      <c r="B93" s="2" t="s">
        <v>86</v>
      </c>
      <c r="C93" s="289">
        <v>3203</v>
      </c>
      <c r="D93" s="289">
        <v>1734</v>
      </c>
      <c r="E93" s="289">
        <v>0</v>
      </c>
      <c r="F93" s="289">
        <v>77374</v>
      </c>
      <c r="G93" s="289">
        <v>0</v>
      </c>
      <c r="H93" s="289">
        <v>0</v>
      </c>
      <c r="I93" s="289">
        <v>74821</v>
      </c>
      <c r="J93" s="517"/>
    </row>
    <row r="94" spans="1:10" ht="13">
      <c r="A94" s="1">
        <v>1514</v>
      </c>
      <c r="B94" s="2" t="s">
        <v>897</v>
      </c>
      <c r="C94" s="289">
        <v>2540</v>
      </c>
      <c r="D94" s="289">
        <v>2237</v>
      </c>
      <c r="E94" s="289">
        <v>337</v>
      </c>
      <c r="F94" s="289">
        <v>61235</v>
      </c>
      <c r="G94" s="289">
        <v>0</v>
      </c>
      <c r="H94" s="289">
        <v>0</v>
      </c>
      <c r="I94" s="289">
        <v>63984</v>
      </c>
      <c r="J94" s="517"/>
    </row>
    <row r="95" spans="1:10" ht="13">
      <c r="A95" s="1">
        <v>1515</v>
      </c>
      <c r="B95" s="2" t="s">
        <v>87</v>
      </c>
      <c r="C95" s="289">
        <v>8957</v>
      </c>
      <c r="D95" s="289">
        <v>3522</v>
      </c>
      <c r="E95" s="289">
        <v>0</v>
      </c>
      <c r="F95" s="289">
        <v>261504</v>
      </c>
      <c r="G95" s="289">
        <v>0</v>
      </c>
      <c r="H95" s="289">
        <v>0</v>
      </c>
      <c r="I95" s="289">
        <v>260046</v>
      </c>
      <c r="J95" s="517"/>
    </row>
    <row r="96" spans="1:10" ht="13">
      <c r="A96" s="1">
        <v>1516</v>
      </c>
      <c r="B96" s="2" t="s">
        <v>88</v>
      </c>
      <c r="C96" s="289">
        <v>8457</v>
      </c>
      <c r="D96" s="289">
        <v>0</v>
      </c>
      <c r="E96" s="289">
        <v>2078</v>
      </c>
      <c r="F96" s="289">
        <v>249381</v>
      </c>
      <c r="G96" s="289">
        <v>3239</v>
      </c>
      <c r="H96" s="289">
        <v>0</v>
      </c>
      <c r="I96" s="289">
        <v>245408</v>
      </c>
      <c r="J96" s="517"/>
    </row>
    <row r="97" spans="1:10" ht="13">
      <c r="A97" s="1">
        <v>1517</v>
      </c>
      <c r="B97" s="2" t="s">
        <v>89</v>
      </c>
      <c r="C97" s="289">
        <v>5185</v>
      </c>
      <c r="D97" s="289">
        <v>650</v>
      </c>
      <c r="E97" s="289">
        <v>0</v>
      </c>
      <c r="F97" s="289">
        <v>120422</v>
      </c>
      <c r="G97" s="289">
        <v>0</v>
      </c>
      <c r="H97" s="289">
        <v>0</v>
      </c>
      <c r="I97" s="289">
        <v>119524</v>
      </c>
      <c r="J97" s="517"/>
    </row>
    <row r="98" spans="1:10" ht="13">
      <c r="A98" s="1">
        <v>1519</v>
      </c>
      <c r="B98" s="2" t="s">
        <v>90</v>
      </c>
      <c r="C98" s="289">
        <v>9102</v>
      </c>
      <c r="D98" s="289">
        <v>0</v>
      </c>
      <c r="E98" s="289">
        <v>4624</v>
      </c>
      <c r="F98" s="289">
        <v>209348</v>
      </c>
      <c r="G98" s="289">
        <v>0</v>
      </c>
      <c r="H98" s="289">
        <v>0</v>
      </c>
      <c r="I98" s="289">
        <v>206755</v>
      </c>
      <c r="J98" s="517"/>
    </row>
    <row r="99" spans="1:10" ht="13">
      <c r="A99" s="1">
        <v>1520</v>
      </c>
      <c r="B99" s="2" t="s">
        <v>91</v>
      </c>
      <c r="C99" s="289">
        <v>10744</v>
      </c>
      <c r="D99" s="289">
        <v>150</v>
      </c>
      <c r="E99" s="289">
        <v>0</v>
      </c>
      <c r="F99" s="289">
        <v>268472</v>
      </c>
      <c r="G99" s="289">
        <v>0</v>
      </c>
      <c r="H99" s="289">
        <v>0</v>
      </c>
      <c r="I99" s="289">
        <v>257414</v>
      </c>
      <c r="J99" s="517"/>
    </row>
    <row r="100" spans="1:10" ht="13">
      <c r="A100" s="1">
        <v>1523</v>
      </c>
      <c r="B100" s="2" t="s">
        <v>92</v>
      </c>
      <c r="C100" s="289">
        <v>2296</v>
      </c>
      <c r="D100" s="289">
        <v>0</v>
      </c>
      <c r="E100" s="289">
        <v>160</v>
      </c>
      <c r="F100" s="289">
        <v>52711</v>
      </c>
      <c r="G100" s="289">
        <v>0</v>
      </c>
      <c r="H100" s="289">
        <v>0</v>
      </c>
      <c r="I100" s="289">
        <v>57007</v>
      </c>
      <c r="J100" s="517"/>
    </row>
    <row r="101" spans="1:10" ht="13">
      <c r="A101" s="1">
        <v>1524</v>
      </c>
      <c r="B101" s="2" t="s">
        <v>93</v>
      </c>
      <c r="C101" s="289">
        <v>1663</v>
      </c>
      <c r="D101" s="289">
        <v>30</v>
      </c>
      <c r="E101" s="289">
        <v>4000</v>
      </c>
      <c r="F101" s="289">
        <v>50741</v>
      </c>
      <c r="G101" s="289">
        <v>0</v>
      </c>
      <c r="H101" s="289">
        <v>0</v>
      </c>
      <c r="I101" s="289">
        <v>45958</v>
      </c>
      <c r="J101" s="517"/>
    </row>
    <row r="102" spans="1:10" ht="13">
      <c r="A102" s="1">
        <v>1525</v>
      </c>
      <c r="B102" s="2" t="s">
        <v>94</v>
      </c>
      <c r="C102" s="289">
        <v>4623</v>
      </c>
      <c r="D102" s="289">
        <v>0</v>
      </c>
      <c r="E102" s="289">
        <v>0</v>
      </c>
      <c r="F102" s="289">
        <v>121164</v>
      </c>
      <c r="G102" s="289">
        <v>0</v>
      </c>
      <c r="H102" s="289">
        <v>0</v>
      </c>
      <c r="I102" s="289">
        <v>117534</v>
      </c>
      <c r="J102" s="517"/>
    </row>
    <row r="103" spans="1:10" ht="13">
      <c r="A103" s="1">
        <v>1526</v>
      </c>
      <c r="B103" s="2" t="s">
        <v>95</v>
      </c>
      <c r="C103" s="289">
        <v>1005</v>
      </c>
      <c r="D103" s="289">
        <v>523</v>
      </c>
      <c r="E103" s="289">
        <v>69</v>
      </c>
      <c r="F103" s="289">
        <v>21129</v>
      </c>
      <c r="G103" s="289">
        <v>0</v>
      </c>
      <c r="H103" s="289">
        <v>0</v>
      </c>
      <c r="I103" s="289">
        <v>20380</v>
      </c>
      <c r="J103" s="517"/>
    </row>
    <row r="104" spans="1:10" ht="13">
      <c r="A104" s="1">
        <v>1528</v>
      </c>
      <c r="B104" s="2" t="s">
        <v>96</v>
      </c>
      <c r="C104" s="289">
        <v>7695</v>
      </c>
      <c r="D104" s="289">
        <v>0</v>
      </c>
      <c r="E104" s="289">
        <v>0</v>
      </c>
      <c r="F104" s="289">
        <v>182002</v>
      </c>
      <c r="G104" s="289">
        <v>0</v>
      </c>
      <c r="H104" s="289">
        <v>0</v>
      </c>
      <c r="I104" s="289">
        <v>176372</v>
      </c>
      <c r="J104" s="517"/>
    </row>
    <row r="105" spans="1:10" ht="13">
      <c r="A105" s="1">
        <v>1529</v>
      </c>
      <c r="B105" s="2" t="s">
        <v>97</v>
      </c>
      <c r="C105" s="289">
        <v>4667</v>
      </c>
      <c r="D105" s="289">
        <v>250</v>
      </c>
      <c r="E105" s="289">
        <v>319</v>
      </c>
      <c r="F105" s="289">
        <v>114146</v>
      </c>
      <c r="G105" s="289">
        <v>3078</v>
      </c>
      <c r="H105" s="289">
        <v>0</v>
      </c>
      <c r="I105" s="289">
        <v>111556</v>
      </c>
      <c r="J105" s="517"/>
    </row>
    <row r="106" spans="1:10" ht="13">
      <c r="A106" s="1">
        <v>1531</v>
      </c>
      <c r="B106" s="2" t="s">
        <v>98</v>
      </c>
      <c r="C106" s="289">
        <v>9007</v>
      </c>
      <c r="D106" s="289">
        <v>400</v>
      </c>
      <c r="E106" s="289">
        <v>0</v>
      </c>
      <c r="F106" s="289">
        <v>218658</v>
      </c>
      <c r="G106" s="289">
        <v>3872</v>
      </c>
      <c r="H106" s="289">
        <v>0</v>
      </c>
      <c r="I106" s="289">
        <v>205516</v>
      </c>
      <c r="J106" s="517"/>
    </row>
    <row r="107" spans="1:10" ht="13">
      <c r="A107" s="1">
        <v>1532</v>
      </c>
      <c r="B107" s="2" t="s">
        <v>99</v>
      </c>
      <c r="C107" s="289">
        <v>8176</v>
      </c>
      <c r="D107" s="289">
        <v>0</v>
      </c>
      <c r="E107" s="289">
        <v>0</v>
      </c>
      <c r="F107" s="289">
        <v>211132</v>
      </c>
      <c r="G107" s="289">
        <v>4569</v>
      </c>
      <c r="H107" s="289">
        <v>0</v>
      </c>
      <c r="I107" s="289">
        <v>202891</v>
      </c>
      <c r="J107" s="517"/>
    </row>
    <row r="108" spans="1:10" ht="13">
      <c r="A108" s="1">
        <v>1534</v>
      </c>
      <c r="B108" s="2" t="s">
        <v>100</v>
      </c>
      <c r="C108" s="289">
        <v>9312</v>
      </c>
      <c r="D108" s="289">
        <v>3711</v>
      </c>
      <c r="E108" s="289">
        <v>1896</v>
      </c>
      <c r="F108" s="289">
        <v>237154</v>
      </c>
      <c r="G108" s="289">
        <v>0</v>
      </c>
      <c r="H108" s="289">
        <v>0</v>
      </c>
      <c r="I108" s="289">
        <v>231827</v>
      </c>
      <c r="J108" s="517"/>
    </row>
    <row r="109" spans="1:10" ht="13">
      <c r="A109" s="1">
        <v>1535</v>
      </c>
      <c r="B109" s="2" t="s">
        <v>101</v>
      </c>
      <c r="C109" s="289">
        <v>6577</v>
      </c>
      <c r="D109" s="289">
        <v>1200</v>
      </c>
      <c r="E109" s="289">
        <v>0</v>
      </c>
      <c r="F109" s="289">
        <v>160490</v>
      </c>
      <c r="G109" s="289">
        <v>0</v>
      </c>
      <c r="H109" s="289">
        <v>0</v>
      </c>
      <c r="I109" s="289">
        <v>156952</v>
      </c>
      <c r="J109" s="517"/>
    </row>
    <row r="110" spans="1:10" ht="13">
      <c r="A110" s="1">
        <v>1539</v>
      </c>
      <c r="B110" s="2" t="s">
        <v>102</v>
      </c>
      <c r="C110" s="289">
        <v>7503</v>
      </c>
      <c r="D110" s="289">
        <v>30</v>
      </c>
      <c r="E110" s="289">
        <v>0</v>
      </c>
      <c r="F110" s="289">
        <v>192778</v>
      </c>
      <c r="G110" s="289">
        <v>0</v>
      </c>
      <c r="H110" s="289">
        <v>0</v>
      </c>
      <c r="I110" s="289">
        <v>183416</v>
      </c>
      <c r="J110" s="517"/>
    </row>
    <row r="111" spans="1:10" ht="13">
      <c r="A111" s="1">
        <v>1543</v>
      </c>
      <c r="B111" s="2" t="s">
        <v>103</v>
      </c>
      <c r="C111" s="289">
        <v>2963</v>
      </c>
      <c r="D111" s="289">
        <v>1744</v>
      </c>
      <c r="E111" s="289">
        <v>4000</v>
      </c>
      <c r="F111" s="289">
        <v>76676</v>
      </c>
      <c r="G111" s="289">
        <v>0</v>
      </c>
      <c r="H111" s="289">
        <v>0</v>
      </c>
      <c r="I111" s="289">
        <v>75915</v>
      </c>
      <c r="J111" s="517"/>
    </row>
    <row r="112" spans="1:10" ht="13">
      <c r="A112" s="1">
        <v>1545</v>
      </c>
      <c r="B112" s="2" t="s">
        <v>104</v>
      </c>
      <c r="C112" s="289">
        <v>2085</v>
      </c>
      <c r="D112" s="289">
        <v>1340</v>
      </c>
      <c r="E112" s="289">
        <v>258</v>
      </c>
      <c r="F112" s="289">
        <v>51819</v>
      </c>
      <c r="G112" s="289">
        <v>0</v>
      </c>
      <c r="H112" s="289">
        <v>0</v>
      </c>
      <c r="I112" s="289">
        <v>50242</v>
      </c>
      <c r="J112" s="517"/>
    </row>
    <row r="113" spans="1:10" ht="13">
      <c r="A113" s="1">
        <v>1546</v>
      </c>
      <c r="B113" s="2" t="s">
        <v>105</v>
      </c>
      <c r="C113" s="289">
        <v>1246</v>
      </c>
      <c r="D113" s="289">
        <v>450</v>
      </c>
      <c r="E113" s="289">
        <v>0</v>
      </c>
      <c r="F113" s="289">
        <v>37801</v>
      </c>
      <c r="G113" s="289">
        <v>0</v>
      </c>
      <c r="H113" s="289">
        <v>0</v>
      </c>
      <c r="I113" s="289">
        <v>39495</v>
      </c>
      <c r="J113" s="517"/>
    </row>
    <row r="114" spans="1:10" ht="13">
      <c r="A114" s="1">
        <v>1547</v>
      </c>
      <c r="B114" s="2" t="s">
        <v>106</v>
      </c>
      <c r="C114" s="289">
        <v>3547</v>
      </c>
      <c r="D114" s="289">
        <v>0</v>
      </c>
      <c r="E114" s="289">
        <v>0</v>
      </c>
      <c r="F114" s="289">
        <v>102416</v>
      </c>
      <c r="G114" s="289">
        <v>716</v>
      </c>
      <c r="H114" s="289">
        <v>0</v>
      </c>
      <c r="I114" s="289">
        <v>97276</v>
      </c>
      <c r="J114" s="517"/>
    </row>
    <row r="115" spans="1:10" ht="13">
      <c r="A115" s="1">
        <v>1548</v>
      </c>
      <c r="B115" s="2" t="s">
        <v>107</v>
      </c>
      <c r="C115" s="289">
        <v>9741</v>
      </c>
      <c r="D115" s="289">
        <v>2400</v>
      </c>
      <c r="E115" s="289">
        <v>4672</v>
      </c>
      <c r="F115" s="289">
        <v>238648</v>
      </c>
      <c r="G115" s="289">
        <v>0</v>
      </c>
      <c r="H115" s="289">
        <v>0</v>
      </c>
      <c r="I115" s="289">
        <v>222394</v>
      </c>
      <c r="J115" s="517"/>
    </row>
    <row r="116" spans="1:10" s="657" customFormat="1" ht="13">
      <c r="A116" s="1">
        <v>1551</v>
      </c>
      <c r="B116" s="2" t="s">
        <v>108</v>
      </c>
      <c r="C116" s="289">
        <v>3454</v>
      </c>
      <c r="D116" s="289">
        <v>1478</v>
      </c>
      <c r="E116" s="289">
        <v>239</v>
      </c>
      <c r="F116" s="289">
        <v>83031</v>
      </c>
      <c r="G116" s="289">
        <v>0</v>
      </c>
      <c r="H116" s="289">
        <v>0</v>
      </c>
      <c r="I116" s="289">
        <v>82666</v>
      </c>
      <c r="J116" s="800"/>
    </row>
    <row r="117" spans="1:10" ht="13">
      <c r="A117" s="1">
        <v>1554</v>
      </c>
      <c r="B117" s="2" t="s">
        <v>109</v>
      </c>
      <c r="C117" s="289">
        <v>5856</v>
      </c>
      <c r="D117" s="289">
        <v>700</v>
      </c>
      <c r="E117" s="289">
        <v>0</v>
      </c>
      <c r="F117" s="289">
        <v>150785</v>
      </c>
      <c r="G117" s="289">
        <v>0</v>
      </c>
      <c r="H117" s="289">
        <v>0</v>
      </c>
      <c r="I117" s="289">
        <v>146606</v>
      </c>
      <c r="J117" s="517"/>
    </row>
    <row r="118" spans="1:10" ht="13">
      <c r="A118" s="1">
        <v>1557</v>
      </c>
      <c r="B118" s="2" t="s">
        <v>110</v>
      </c>
      <c r="C118" s="289">
        <v>2611</v>
      </c>
      <c r="D118" s="289">
        <v>1765</v>
      </c>
      <c r="E118" s="289">
        <v>0</v>
      </c>
      <c r="F118" s="289">
        <v>60403</v>
      </c>
      <c r="G118" s="289">
        <v>0</v>
      </c>
      <c r="H118" s="289">
        <v>0</v>
      </c>
      <c r="I118" s="289">
        <v>59460</v>
      </c>
      <c r="J118" s="517"/>
    </row>
    <row r="119" spans="1:10" ht="13">
      <c r="A119" s="1">
        <v>1560</v>
      </c>
      <c r="B119" s="2" t="s">
        <v>111</v>
      </c>
      <c r="C119" s="289">
        <v>3109</v>
      </c>
      <c r="D119" s="289">
        <v>0</v>
      </c>
      <c r="E119" s="289">
        <v>0</v>
      </c>
      <c r="F119" s="289">
        <v>68507</v>
      </c>
      <c r="G119" s="289">
        <v>0</v>
      </c>
      <c r="H119" s="289">
        <v>0</v>
      </c>
      <c r="I119" s="289">
        <v>68044</v>
      </c>
      <c r="J119" s="517"/>
    </row>
    <row r="120" spans="1:10" ht="13">
      <c r="A120" s="1">
        <v>1563</v>
      </c>
      <c r="B120" s="2" t="s">
        <v>112</v>
      </c>
      <c r="C120" s="289">
        <v>7126</v>
      </c>
      <c r="D120" s="289">
        <v>30</v>
      </c>
      <c r="E120" s="289">
        <v>0</v>
      </c>
      <c r="F120" s="289">
        <v>195107</v>
      </c>
      <c r="G120" s="289">
        <v>0</v>
      </c>
      <c r="H120" s="289">
        <v>0</v>
      </c>
      <c r="I120" s="289">
        <v>189734</v>
      </c>
      <c r="J120" s="517"/>
    </row>
    <row r="121" spans="1:10" ht="13">
      <c r="A121" s="1">
        <v>1566</v>
      </c>
      <c r="B121" s="2" t="s">
        <v>113</v>
      </c>
      <c r="C121" s="289">
        <v>5986</v>
      </c>
      <c r="D121" s="289">
        <v>880</v>
      </c>
      <c r="E121" s="289">
        <v>0</v>
      </c>
      <c r="F121" s="289">
        <v>140387</v>
      </c>
      <c r="G121" s="289">
        <v>0</v>
      </c>
      <c r="H121" s="289">
        <v>0</v>
      </c>
      <c r="I121" s="289">
        <v>132821</v>
      </c>
      <c r="J121" s="517"/>
    </row>
    <row r="122" spans="1:10" ht="13">
      <c r="A122" s="1">
        <v>1571</v>
      </c>
      <c r="B122" s="2" t="s">
        <v>115</v>
      </c>
      <c r="C122" s="289">
        <v>1599</v>
      </c>
      <c r="D122" s="289">
        <v>250</v>
      </c>
      <c r="E122" s="289">
        <v>0</v>
      </c>
      <c r="F122" s="289">
        <v>35422</v>
      </c>
      <c r="G122" s="289">
        <v>0</v>
      </c>
      <c r="H122" s="289">
        <v>0</v>
      </c>
      <c r="I122" s="289">
        <v>34151</v>
      </c>
      <c r="J122" s="517"/>
    </row>
    <row r="123" spans="1:10" ht="13">
      <c r="A123" s="1">
        <v>1573</v>
      </c>
      <c r="B123" s="2" t="s">
        <v>116</v>
      </c>
      <c r="C123" s="289">
        <v>2160</v>
      </c>
      <c r="D123" s="289">
        <v>700</v>
      </c>
      <c r="E123" s="289">
        <v>0</v>
      </c>
      <c r="F123" s="289">
        <v>54812</v>
      </c>
      <c r="G123" s="289">
        <v>0</v>
      </c>
      <c r="H123" s="289">
        <v>0</v>
      </c>
      <c r="I123" s="289">
        <v>49763</v>
      </c>
      <c r="J123" s="517"/>
    </row>
    <row r="124" spans="1:10" ht="13">
      <c r="A124" s="1">
        <v>1576</v>
      </c>
      <c r="B124" s="4" t="s">
        <v>710</v>
      </c>
      <c r="C124" s="289">
        <v>3590</v>
      </c>
      <c r="D124" s="289">
        <v>250</v>
      </c>
      <c r="E124" s="289">
        <v>0</v>
      </c>
      <c r="F124" s="289">
        <v>89415</v>
      </c>
      <c r="G124" s="289">
        <v>0</v>
      </c>
      <c r="H124" s="289">
        <v>23837.265000259998</v>
      </c>
      <c r="I124" s="289">
        <v>85813</v>
      </c>
      <c r="J124" s="517"/>
    </row>
    <row r="125" spans="1:10" ht="13">
      <c r="A125" s="1">
        <v>1804</v>
      </c>
      <c r="B125" s="2" t="s">
        <v>174</v>
      </c>
      <c r="C125" s="289">
        <v>51022</v>
      </c>
      <c r="D125" s="289">
        <v>32742</v>
      </c>
      <c r="E125" s="289">
        <v>0</v>
      </c>
      <c r="F125" s="289">
        <v>1417947</v>
      </c>
      <c r="G125" s="289">
        <v>0</v>
      </c>
      <c r="H125" s="289">
        <v>14305.783654839999</v>
      </c>
      <c r="I125" s="289">
        <v>1345148</v>
      </c>
      <c r="J125" s="517"/>
    </row>
    <row r="126" spans="1:10" ht="13">
      <c r="A126" s="1">
        <v>1805</v>
      </c>
      <c r="B126" s="2" t="s">
        <v>175</v>
      </c>
      <c r="C126" s="289">
        <v>18756</v>
      </c>
      <c r="D126" s="289">
        <v>599</v>
      </c>
      <c r="E126" s="289">
        <v>6122</v>
      </c>
      <c r="F126" s="289">
        <v>503411</v>
      </c>
      <c r="G126" s="289">
        <v>0</v>
      </c>
      <c r="H126" s="289">
        <v>0</v>
      </c>
      <c r="I126" s="289">
        <v>482286</v>
      </c>
      <c r="J126" s="517"/>
    </row>
    <row r="127" spans="1:10" ht="13">
      <c r="A127" s="1">
        <v>1811</v>
      </c>
      <c r="B127" s="2" t="s">
        <v>176</v>
      </c>
      <c r="C127" s="289">
        <v>1473</v>
      </c>
      <c r="D127" s="289">
        <v>1250</v>
      </c>
      <c r="E127" s="289">
        <v>0</v>
      </c>
      <c r="F127" s="289">
        <v>37248</v>
      </c>
      <c r="G127" s="289">
        <v>0</v>
      </c>
      <c r="H127" s="289">
        <v>0</v>
      </c>
      <c r="I127" s="289">
        <v>35427</v>
      </c>
      <c r="J127" s="517"/>
    </row>
    <row r="128" spans="1:10" ht="13">
      <c r="A128" s="1">
        <v>1812</v>
      </c>
      <c r="B128" s="2" t="s">
        <v>177</v>
      </c>
      <c r="C128" s="289">
        <v>2047</v>
      </c>
      <c r="D128" s="289">
        <v>0</v>
      </c>
      <c r="E128" s="289">
        <v>0</v>
      </c>
      <c r="F128" s="289">
        <v>41810</v>
      </c>
      <c r="G128" s="289">
        <v>0</v>
      </c>
      <c r="H128" s="289">
        <v>0</v>
      </c>
      <c r="I128" s="289">
        <v>39654</v>
      </c>
      <c r="J128" s="517"/>
    </row>
    <row r="129" spans="1:10" ht="13">
      <c r="A129" s="1">
        <v>1813</v>
      </c>
      <c r="B129" s="2" t="s">
        <v>178</v>
      </c>
      <c r="C129" s="289">
        <v>7956</v>
      </c>
      <c r="D129" s="289">
        <v>3474</v>
      </c>
      <c r="E129" s="289">
        <v>0</v>
      </c>
      <c r="F129" s="289">
        <v>190059</v>
      </c>
      <c r="G129" s="289">
        <v>0</v>
      </c>
      <c r="H129" s="289">
        <v>0</v>
      </c>
      <c r="I129" s="289">
        <v>181445</v>
      </c>
      <c r="J129" s="517"/>
    </row>
    <row r="130" spans="1:10" ht="13">
      <c r="A130" s="1">
        <v>1815</v>
      </c>
      <c r="B130" s="2" t="s">
        <v>179</v>
      </c>
      <c r="C130" s="289">
        <v>1234</v>
      </c>
      <c r="D130" s="289">
        <v>334</v>
      </c>
      <c r="E130" s="289">
        <v>0</v>
      </c>
      <c r="F130" s="289">
        <v>24851</v>
      </c>
      <c r="G130" s="289">
        <v>0</v>
      </c>
      <c r="H130" s="289">
        <v>0</v>
      </c>
      <c r="I130" s="289">
        <v>24000</v>
      </c>
      <c r="J130" s="517"/>
    </row>
    <row r="131" spans="1:10" ht="13">
      <c r="A131" s="1">
        <v>1816</v>
      </c>
      <c r="B131" s="2" t="s">
        <v>180</v>
      </c>
      <c r="C131" s="289">
        <v>528</v>
      </c>
      <c r="D131" s="289">
        <v>168</v>
      </c>
      <c r="E131" s="289">
        <v>0</v>
      </c>
      <c r="F131" s="289">
        <v>10057</v>
      </c>
      <c r="G131" s="289">
        <v>0</v>
      </c>
      <c r="H131" s="289">
        <v>0</v>
      </c>
      <c r="I131" s="289">
        <v>10195</v>
      </c>
      <c r="J131" s="517"/>
    </row>
    <row r="132" spans="1:10" ht="13">
      <c r="A132" s="1">
        <v>1818</v>
      </c>
      <c r="B132" s="2" t="s">
        <v>87</v>
      </c>
      <c r="C132" s="289">
        <v>1788</v>
      </c>
      <c r="D132" s="289">
        <v>111</v>
      </c>
      <c r="E132" s="289">
        <v>0</v>
      </c>
      <c r="F132" s="289">
        <v>46836</v>
      </c>
      <c r="G132" s="289">
        <v>0</v>
      </c>
      <c r="H132" s="289">
        <v>0</v>
      </c>
      <c r="I132" s="289">
        <v>41230</v>
      </c>
      <c r="J132" s="517"/>
    </row>
    <row r="133" spans="1:10" ht="13">
      <c r="A133" s="1">
        <v>1820</v>
      </c>
      <c r="B133" s="2" t="s">
        <v>181</v>
      </c>
      <c r="C133" s="289">
        <v>7428</v>
      </c>
      <c r="D133" s="289">
        <v>1759</v>
      </c>
      <c r="E133" s="289">
        <v>2176</v>
      </c>
      <c r="F133" s="289">
        <v>176287</v>
      </c>
      <c r="G133" s="289">
        <v>0</v>
      </c>
      <c r="H133" s="289">
        <v>0</v>
      </c>
      <c r="I133" s="289">
        <v>172927</v>
      </c>
      <c r="J133" s="517"/>
    </row>
    <row r="134" spans="1:10" ht="13">
      <c r="A134" s="1">
        <v>1822</v>
      </c>
      <c r="B134" s="2" t="s">
        <v>182</v>
      </c>
      <c r="C134" s="289">
        <v>2278</v>
      </c>
      <c r="D134" s="289">
        <v>1747</v>
      </c>
      <c r="E134" s="289">
        <v>0</v>
      </c>
      <c r="F134" s="289">
        <v>43914</v>
      </c>
      <c r="G134" s="289">
        <v>0</v>
      </c>
      <c r="H134" s="289">
        <v>0</v>
      </c>
      <c r="I134" s="289">
        <v>42435</v>
      </c>
      <c r="J134" s="517"/>
    </row>
    <row r="135" spans="1:10" ht="13">
      <c r="A135" s="1">
        <v>1824</v>
      </c>
      <c r="B135" s="2" t="s">
        <v>183</v>
      </c>
      <c r="C135" s="289">
        <v>13465</v>
      </c>
      <c r="D135" s="289">
        <v>715</v>
      </c>
      <c r="E135" s="289">
        <v>2261</v>
      </c>
      <c r="F135" s="289">
        <v>321672</v>
      </c>
      <c r="G135" s="289">
        <v>0</v>
      </c>
      <c r="H135" s="289">
        <v>0</v>
      </c>
      <c r="I135" s="289">
        <v>316667</v>
      </c>
      <c r="J135" s="517"/>
    </row>
    <row r="136" spans="1:10" ht="13">
      <c r="A136" s="1">
        <v>1825</v>
      </c>
      <c r="B136" s="2" t="s">
        <v>184</v>
      </c>
      <c r="C136" s="289">
        <v>1469</v>
      </c>
      <c r="D136" s="289">
        <v>0</v>
      </c>
      <c r="E136" s="289">
        <v>0</v>
      </c>
      <c r="F136" s="289">
        <v>32444</v>
      </c>
      <c r="G136" s="289">
        <v>0</v>
      </c>
      <c r="H136" s="289">
        <v>0</v>
      </c>
      <c r="I136" s="289">
        <v>31257</v>
      </c>
      <c r="J136" s="517"/>
    </row>
    <row r="137" spans="1:10" ht="13">
      <c r="A137" s="1">
        <v>1826</v>
      </c>
      <c r="B137" s="2" t="s">
        <v>185</v>
      </c>
      <c r="C137" s="289">
        <v>1414</v>
      </c>
      <c r="D137" s="289">
        <v>111</v>
      </c>
      <c r="E137" s="289">
        <v>0</v>
      </c>
      <c r="F137" s="289">
        <v>28941</v>
      </c>
      <c r="G137" s="289">
        <v>0</v>
      </c>
      <c r="H137" s="289">
        <v>0</v>
      </c>
      <c r="I137" s="289">
        <v>29443</v>
      </c>
      <c r="J137" s="517"/>
    </row>
    <row r="138" spans="1:10" ht="13">
      <c r="A138" s="1">
        <v>1827</v>
      </c>
      <c r="B138" s="2" t="s">
        <v>186</v>
      </c>
      <c r="C138" s="289">
        <v>1410</v>
      </c>
      <c r="D138" s="289">
        <v>604</v>
      </c>
      <c r="E138" s="289">
        <v>0</v>
      </c>
      <c r="F138" s="289">
        <v>31550</v>
      </c>
      <c r="G138" s="289">
        <v>0</v>
      </c>
      <c r="H138" s="289">
        <v>0</v>
      </c>
      <c r="I138" s="289">
        <v>29285</v>
      </c>
      <c r="J138" s="517"/>
    </row>
    <row r="139" spans="1:10" ht="13">
      <c r="A139" s="1">
        <v>1828</v>
      </c>
      <c r="B139" s="2" t="s">
        <v>187</v>
      </c>
      <c r="C139" s="289">
        <v>1837</v>
      </c>
      <c r="D139" s="289">
        <v>1956</v>
      </c>
      <c r="E139" s="289">
        <v>0</v>
      </c>
      <c r="F139" s="289">
        <v>37689</v>
      </c>
      <c r="G139" s="289">
        <v>0</v>
      </c>
      <c r="H139" s="289">
        <v>0</v>
      </c>
      <c r="I139" s="289">
        <v>35368</v>
      </c>
      <c r="J139" s="517"/>
    </row>
    <row r="140" spans="1:10" ht="13">
      <c r="A140" s="1">
        <v>1832</v>
      </c>
      <c r="B140" s="2" t="s">
        <v>188</v>
      </c>
      <c r="C140" s="289">
        <v>4524</v>
      </c>
      <c r="D140" s="289">
        <v>1486</v>
      </c>
      <c r="E140" s="289">
        <v>0</v>
      </c>
      <c r="F140" s="289">
        <v>124876</v>
      </c>
      <c r="G140" s="289">
        <v>0</v>
      </c>
      <c r="H140" s="289">
        <v>0</v>
      </c>
      <c r="I140" s="289">
        <v>121742</v>
      </c>
      <c r="J140" s="517"/>
    </row>
    <row r="141" spans="1:10" ht="13">
      <c r="A141" s="1">
        <v>1833</v>
      </c>
      <c r="B141" s="2" t="s">
        <v>189</v>
      </c>
      <c r="C141" s="289">
        <v>26101</v>
      </c>
      <c r="D141" s="289">
        <v>1933</v>
      </c>
      <c r="E141" s="289">
        <v>0</v>
      </c>
      <c r="F141" s="289">
        <v>666770</v>
      </c>
      <c r="G141" s="289">
        <v>0</v>
      </c>
      <c r="H141" s="289">
        <v>0</v>
      </c>
      <c r="I141" s="289">
        <v>638012</v>
      </c>
      <c r="J141" s="517"/>
    </row>
    <row r="142" spans="1:10" ht="13">
      <c r="A142" s="1">
        <v>1834</v>
      </c>
      <c r="B142" s="2" t="s">
        <v>190</v>
      </c>
      <c r="C142" s="289">
        <v>1920</v>
      </c>
      <c r="D142" s="289">
        <v>144</v>
      </c>
      <c r="E142" s="289">
        <v>0</v>
      </c>
      <c r="F142" s="289">
        <v>61483</v>
      </c>
      <c r="G142" s="289">
        <v>0</v>
      </c>
      <c r="H142" s="289">
        <v>0</v>
      </c>
      <c r="I142" s="289">
        <v>58139</v>
      </c>
      <c r="J142" s="517"/>
    </row>
    <row r="143" spans="1:10" ht="13">
      <c r="A143" s="1">
        <v>1835</v>
      </c>
      <c r="B143" s="2" t="s">
        <v>191</v>
      </c>
      <c r="C143" s="289">
        <v>465</v>
      </c>
      <c r="D143" s="289">
        <v>851</v>
      </c>
      <c r="E143" s="289">
        <v>0</v>
      </c>
      <c r="F143" s="289">
        <v>11809</v>
      </c>
      <c r="G143" s="289">
        <v>0</v>
      </c>
      <c r="H143" s="289">
        <v>0</v>
      </c>
      <c r="I143" s="289">
        <v>11735</v>
      </c>
      <c r="J143" s="517"/>
    </row>
    <row r="144" spans="1:10" ht="13">
      <c r="A144" s="1">
        <v>1836</v>
      </c>
      <c r="B144" s="2" t="s">
        <v>192</v>
      </c>
      <c r="C144" s="289">
        <v>1267</v>
      </c>
      <c r="D144" s="289">
        <v>1700</v>
      </c>
      <c r="E144" s="289">
        <v>0</v>
      </c>
      <c r="F144" s="289">
        <v>27439</v>
      </c>
      <c r="G144" s="289">
        <v>0</v>
      </c>
      <c r="H144" s="289">
        <v>0</v>
      </c>
      <c r="I144" s="289">
        <v>26674</v>
      </c>
      <c r="J144" s="517"/>
    </row>
    <row r="145" spans="1:10" ht="13">
      <c r="A145" s="1">
        <v>1837</v>
      </c>
      <c r="B145" s="2" t="s">
        <v>193</v>
      </c>
      <c r="C145" s="289">
        <v>6435</v>
      </c>
      <c r="D145" s="289">
        <v>1602</v>
      </c>
      <c r="E145" s="289">
        <v>0</v>
      </c>
      <c r="F145" s="289">
        <v>177983</v>
      </c>
      <c r="G145" s="289">
        <v>0</v>
      </c>
      <c r="H145" s="289">
        <v>0</v>
      </c>
      <c r="I145" s="289">
        <v>170747</v>
      </c>
      <c r="J145" s="517"/>
    </row>
    <row r="146" spans="1:10" ht="13">
      <c r="A146" s="1">
        <v>1838</v>
      </c>
      <c r="B146" s="2" t="s">
        <v>194</v>
      </c>
      <c r="C146" s="289">
        <v>2024</v>
      </c>
      <c r="D146" s="289">
        <v>646</v>
      </c>
      <c r="E146" s="289">
        <v>0</v>
      </c>
      <c r="F146" s="289">
        <v>49108</v>
      </c>
      <c r="G146" s="289">
        <v>0</v>
      </c>
      <c r="H146" s="289">
        <v>0</v>
      </c>
      <c r="I146" s="289">
        <v>50208</v>
      </c>
      <c r="J146" s="517"/>
    </row>
    <row r="147" spans="1:10" ht="13">
      <c r="A147" s="1">
        <v>1839</v>
      </c>
      <c r="B147" s="2" t="s">
        <v>195</v>
      </c>
      <c r="C147" s="289">
        <v>1043</v>
      </c>
      <c r="D147" s="289">
        <v>122</v>
      </c>
      <c r="E147" s="289">
        <v>0</v>
      </c>
      <c r="F147" s="289">
        <v>26048</v>
      </c>
      <c r="G147" s="289">
        <v>0</v>
      </c>
      <c r="H147" s="289">
        <v>0</v>
      </c>
      <c r="I147" s="289">
        <v>25014</v>
      </c>
      <c r="J147" s="517"/>
    </row>
    <row r="148" spans="1:10" ht="13">
      <c r="A148" s="1">
        <v>1840</v>
      </c>
      <c r="B148" s="2" t="s">
        <v>196</v>
      </c>
      <c r="C148" s="289">
        <v>4702</v>
      </c>
      <c r="D148" s="289">
        <v>1071</v>
      </c>
      <c r="E148" s="289">
        <v>0</v>
      </c>
      <c r="F148" s="289">
        <v>111140</v>
      </c>
      <c r="G148" s="289">
        <v>0</v>
      </c>
      <c r="H148" s="289">
        <v>0</v>
      </c>
      <c r="I148" s="289">
        <v>108553</v>
      </c>
      <c r="J148" s="517"/>
    </row>
    <row r="149" spans="1:10" ht="13">
      <c r="A149" s="1">
        <v>1841</v>
      </c>
      <c r="B149" s="2" t="s">
        <v>197</v>
      </c>
      <c r="C149" s="289">
        <v>9729</v>
      </c>
      <c r="D149" s="289">
        <v>711</v>
      </c>
      <c r="E149" s="289">
        <v>0</v>
      </c>
      <c r="F149" s="289">
        <v>242290</v>
      </c>
      <c r="G149" s="289">
        <v>0</v>
      </c>
      <c r="H149" s="289">
        <v>0</v>
      </c>
      <c r="I149" s="289">
        <v>209670</v>
      </c>
      <c r="J149" s="517"/>
    </row>
    <row r="150" spans="1:10" ht="13">
      <c r="A150" s="1">
        <v>1845</v>
      </c>
      <c r="B150" s="2" t="s">
        <v>198</v>
      </c>
      <c r="C150" s="289">
        <v>1958</v>
      </c>
      <c r="D150" s="289">
        <v>0</v>
      </c>
      <c r="E150" s="289">
        <v>0</v>
      </c>
      <c r="F150" s="289">
        <v>57707</v>
      </c>
      <c r="G150" s="289">
        <v>0</v>
      </c>
      <c r="H150" s="289">
        <v>0</v>
      </c>
      <c r="I150" s="289">
        <v>55801</v>
      </c>
      <c r="J150" s="517"/>
    </row>
    <row r="151" spans="1:10" ht="13">
      <c r="A151" s="1">
        <v>1848</v>
      </c>
      <c r="B151" s="2" t="s">
        <v>199</v>
      </c>
      <c r="C151" s="289">
        <v>2543</v>
      </c>
      <c r="D151" s="289">
        <v>2242</v>
      </c>
      <c r="E151" s="289">
        <v>0</v>
      </c>
      <c r="F151" s="289">
        <v>60788</v>
      </c>
      <c r="G151" s="289">
        <v>0</v>
      </c>
      <c r="H151" s="289">
        <v>0</v>
      </c>
      <c r="I151" s="289">
        <v>55924</v>
      </c>
      <c r="J151" s="517"/>
    </row>
    <row r="152" spans="1:10" ht="13">
      <c r="A152" s="1">
        <v>1849</v>
      </c>
      <c r="B152" s="2" t="s">
        <v>200</v>
      </c>
      <c r="C152" s="289">
        <v>1810</v>
      </c>
      <c r="D152" s="289">
        <v>3204</v>
      </c>
      <c r="E152" s="289">
        <v>2000</v>
      </c>
      <c r="F152" s="289">
        <v>46173</v>
      </c>
      <c r="G152" s="289">
        <v>0</v>
      </c>
      <c r="H152" s="289">
        <v>0</v>
      </c>
      <c r="I152" s="289">
        <v>46151</v>
      </c>
      <c r="J152" s="517"/>
    </row>
    <row r="153" spans="1:10" ht="13">
      <c r="A153" s="1">
        <v>1850</v>
      </c>
      <c r="B153" s="2" t="s">
        <v>201</v>
      </c>
      <c r="C153" s="289">
        <v>1960</v>
      </c>
      <c r="D153" s="289">
        <v>444</v>
      </c>
      <c r="E153" s="289">
        <v>0</v>
      </c>
      <c r="F153" s="289">
        <v>44807</v>
      </c>
      <c r="G153" s="289">
        <v>0</v>
      </c>
      <c r="H153" s="289">
        <v>0</v>
      </c>
      <c r="I153" s="289">
        <v>43277</v>
      </c>
      <c r="J153" s="517"/>
    </row>
    <row r="154" spans="1:10" ht="13">
      <c r="A154" s="1">
        <v>1851</v>
      </c>
      <c r="B154" s="2" t="s">
        <v>202</v>
      </c>
      <c r="C154" s="289">
        <v>2134</v>
      </c>
      <c r="D154" s="289">
        <v>685</v>
      </c>
      <c r="E154" s="289">
        <v>0</v>
      </c>
      <c r="F154" s="289">
        <v>50467</v>
      </c>
      <c r="G154" s="289">
        <v>0</v>
      </c>
      <c r="H154" s="289">
        <v>0</v>
      </c>
      <c r="I154" s="289">
        <v>49484</v>
      </c>
      <c r="J154" s="517"/>
    </row>
    <row r="155" spans="1:10" ht="13">
      <c r="A155" s="1">
        <v>1852</v>
      </c>
      <c r="B155" s="2" t="s">
        <v>203</v>
      </c>
      <c r="C155" s="289">
        <v>1252</v>
      </c>
      <c r="D155" s="289">
        <v>592</v>
      </c>
      <c r="E155" s="289">
        <v>0</v>
      </c>
      <c r="F155" s="289">
        <v>26000</v>
      </c>
      <c r="G155" s="289">
        <v>0</v>
      </c>
      <c r="H155" s="289">
        <v>0</v>
      </c>
      <c r="I155" s="289">
        <v>26174</v>
      </c>
      <c r="J155" s="517"/>
    </row>
    <row r="156" spans="1:10" ht="13">
      <c r="A156" s="1">
        <v>1853</v>
      </c>
      <c r="B156" s="2" t="s">
        <v>204</v>
      </c>
      <c r="C156" s="289">
        <v>1402</v>
      </c>
      <c r="D156" s="289">
        <v>2661</v>
      </c>
      <c r="E156" s="289">
        <v>0</v>
      </c>
      <c r="F156" s="289">
        <v>28976</v>
      </c>
      <c r="G156" s="289">
        <v>0</v>
      </c>
      <c r="H156" s="289">
        <v>0</v>
      </c>
      <c r="I156" s="289">
        <v>27912</v>
      </c>
      <c r="J156" s="517"/>
    </row>
    <row r="157" spans="1:10" ht="13">
      <c r="A157" s="1">
        <v>1854</v>
      </c>
      <c r="B157" s="2" t="s">
        <v>205</v>
      </c>
      <c r="C157" s="289">
        <v>2554</v>
      </c>
      <c r="D157" s="289">
        <v>674</v>
      </c>
      <c r="E157" s="289">
        <v>0</v>
      </c>
      <c r="F157" s="289">
        <v>51010</v>
      </c>
      <c r="G157" s="289">
        <v>0</v>
      </c>
      <c r="H157" s="289">
        <v>0</v>
      </c>
      <c r="I157" s="289">
        <v>49901</v>
      </c>
      <c r="J157" s="517"/>
    </row>
    <row r="158" spans="1:10" ht="13">
      <c r="A158" s="1">
        <v>1856</v>
      </c>
      <c r="B158" s="2" t="s">
        <v>206</v>
      </c>
      <c r="C158" s="289">
        <v>535</v>
      </c>
      <c r="D158" s="289">
        <v>1150</v>
      </c>
      <c r="E158" s="289">
        <v>0</v>
      </c>
      <c r="F158" s="289">
        <v>17381</v>
      </c>
      <c r="G158" s="289">
        <v>0</v>
      </c>
      <c r="H158" s="289">
        <v>0</v>
      </c>
      <c r="I158" s="289">
        <v>16165</v>
      </c>
      <c r="J158" s="517"/>
    </row>
    <row r="159" spans="1:10" ht="13">
      <c r="A159" s="1">
        <v>1857</v>
      </c>
      <c r="B159" s="2" t="s">
        <v>207</v>
      </c>
      <c r="C159" s="289">
        <v>744</v>
      </c>
      <c r="D159" s="289">
        <v>119</v>
      </c>
      <c r="E159" s="289">
        <v>0</v>
      </c>
      <c r="F159" s="289">
        <v>22080</v>
      </c>
      <c r="G159" s="289">
        <v>0</v>
      </c>
      <c r="H159" s="289">
        <v>0</v>
      </c>
      <c r="I159" s="289">
        <v>20793</v>
      </c>
      <c r="J159" s="517"/>
    </row>
    <row r="160" spans="1:10" ht="13">
      <c r="A160" s="1">
        <v>1859</v>
      </c>
      <c r="B160" s="2" t="s">
        <v>208</v>
      </c>
      <c r="C160" s="289">
        <v>1349</v>
      </c>
      <c r="D160" s="289">
        <v>760</v>
      </c>
      <c r="E160" s="289">
        <v>0</v>
      </c>
      <c r="F160" s="289">
        <v>35412</v>
      </c>
      <c r="G160" s="289">
        <v>0</v>
      </c>
      <c r="H160" s="289">
        <v>0</v>
      </c>
      <c r="I160" s="289">
        <v>32331</v>
      </c>
      <c r="J160" s="517"/>
    </row>
    <row r="161" spans="1:10" ht="13">
      <c r="A161" s="1">
        <v>1860</v>
      </c>
      <c r="B161" s="2" t="s">
        <v>209</v>
      </c>
      <c r="C161" s="289">
        <v>11294</v>
      </c>
      <c r="D161" s="289">
        <v>813</v>
      </c>
      <c r="E161" s="289">
        <v>1634</v>
      </c>
      <c r="F161" s="289">
        <v>265381</v>
      </c>
      <c r="G161" s="289">
        <v>0</v>
      </c>
      <c r="H161" s="289">
        <v>0</v>
      </c>
      <c r="I161" s="289">
        <v>253493</v>
      </c>
      <c r="J161" s="517"/>
    </row>
    <row r="162" spans="1:10" ht="13">
      <c r="A162" s="1">
        <v>1865</v>
      </c>
      <c r="B162" s="2" t="s">
        <v>210</v>
      </c>
      <c r="C162" s="289">
        <v>9444</v>
      </c>
      <c r="D162" s="289">
        <v>2633</v>
      </c>
      <c r="E162" s="289">
        <v>0</v>
      </c>
      <c r="F162" s="289">
        <v>240817</v>
      </c>
      <c r="G162" s="289">
        <v>0</v>
      </c>
      <c r="H162" s="289">
        <v>0</v>
      </c>
      <c r="I162" s="289">
        <v>224413</v>
      </c>
      <c r="J162" s="517"/>
    </row>
    <row r="163" spans="1:10" ht="13">
      <c r="A163" s="1">
        <v>1866</v>
      </c>
      <c r="B163" s="2" t="s">
        <v>211</v>
      </c>
      <c r="C163" s="289">
        <v>8009</v>
      </c>
      <c r="D163" s="289">
        <v>256</v>
      </c>
      <c r="E163" s="289">
        <v>0</v>
      </c>
      <c r="F163" s="289">
        <v>197825</v>
      </c>
      <c r="G163" s="289">
        <v>0</v>
      </c>
      <c r="H163" s="289">
        <v>0</v>
      </c>
      <c r="I163" s="289">
        <v>190925</v>
      </c>
      <c r="J163" s="517"/>
    </row>
    <row r="164" spans="1:10" ht="13">
      <c r="A164" s="1">
        <v>1867</v>
      </c>
      <c r="B164" s="2" t="s">
        <v>913</v>
      </c>
      <c r="C164" s="289">
        <v>2624</v>
      </c>
      <c r="D164" s="289">
        <v>1160</v>
      </c>
      <c r="E164" s="289">
        <v>0</v>
      </c>
      <c r="F164" s="289">
        <v>54754</v>
      </c>
      <c r="G164" s="289">
        <v>0</v>
      </c>
      <c r="H164" s="289">
        <v>0</v>
      </c>
      <c r="I164" s="289">
        <v>52082</v>
      </c>
      <c r="J164" s="517"/>
    </row>
    <row r="165" spans="1:10" ht="13">
      <c r="A165" s="1">
        <v>1868</v>
      </c>
      <c r="B165" s="2" t="s">
        <v>212</v>
      </c>
      <c r="C165" s="289">
        <v>4580</v>
      </c>
      <c r="D165" s="289">
        <v>222</v>
      </c>
      <c r="E165" s="289">
        <v>0</v>
      </c>
      <c r="F165" s="289">
        <v>109553</v>
      </c>
      <c r="G165" s="289">
        <v>0</v>
      </c>
      <c r="H165" s="289">
        <v>0</v>
      </c>
      <c r="I165" s="289">
        <v>105787</v>
      </c>
      <c r="J165" s="517"/>
    </row>
    <row r="166" spans="1:10" ht="13">
      <c r="A166" s="1">
        <v>1870</v>
      </c>
      <c r="B166" s="2" t="s">
        <v>213</v>
      </c>
      <c r="C166" s="289">
        <v>10378</v>
      </c>
      <c r="D166" s="289">
        <v>1971</v>
      </c>
      <c r="E166" s="289">
        <v>0</v>
      </c>
      <c r="F166" s="289">
        <v>247240</v>
      </c>
      <c r="G166" s="289">
        <v>0</v>
      </c>
      <c r="H166" s="289">
        <v>0</v>
      </c>
      <c r="I166" s="289">
        <v>236542</v>
      </c>
      <c r="J166" s="517"/>
    </row>
    <row r="167" spans="1:10" ht="13">
      <c r="A167" s="1">
        <v>1871</v>
      </c>
      <c r="B167" s="2" t="s">
        <v>214</v>
      </c>
      <c r="C167" s="289">
        <v>4908</v>
      </c>
      <c r="D167" s="289">
        <v>1178</v>
      </c>
      <c r="E167" s="289">
        <v>0</v>
      </c>
      <c r="F167" s="289">
        <v>114562</v>
      </c>
      <c r="G167" s="289">
        <v>0</v>
      </c>
      <c r="H167" s="289">
        <v>0</v>
      </c>
      <c r="I167" s="289">
        <v>110513</v>
      </c>
      <c r="J167" s="517"/>
    </row>
    <row r="168" spans="1:10" ht="13">
      <c r="A168" s="1">
        <v>1874</v>
      </c>
      <c r="B168" s="2" t="s">
        <v>215</v>
      </c>
      <c r="C168" s="289">
        <v>1073</v>
      </c>
      <c r="D168" s="289">
        <v>0</v>
      </c>
      <c r="E168" s="289">
        <v>0</v>
      </c>
      <c r="F168" s="289">
        <v>28995</v>
      </c>
      <c r="G168" s="289">
        <v>0</v>
      </c>
      <c r="H168" s="289">
        <v>0</v>
      </c>
      <c r="I168" s="289">
        <v>25619</v>
      </c>
      <c r="J168" s="517"/>
    </row>
    <row r="169" spans="1:10" ht="13">
      <c r="A169" s="1">
        <v>1913</v>
      </c>
      <c r="B169" s="2" t="s">
        <v>219</v>
      </c>
      <c r="C169" s="289">
        <v>3048</v>
      </c>
      <c r="D169" s="289">
        <v>1737</v>
      </c>
      <c r="E169" s="289">
        <v>4291</v>
      </c>
      <c r="F169" s="289">
        <v>70391</v>
      </c>
      <c r="G169" s="289">
        <v>0</v>
      </c>
      <c r="H169" s="289">
        <v>0</v>
      </c>
      <c r="I169" s="289">
        <v>66151</v>
      </c>
      <c r="J169" s="517"/>
    </row>
    <row r="170" spans="1:10" ht="13">
      <c r="A170" s="1">
        <v>1927</v>
      </c>
      <c r="B170" s="2" t="s">
        <v>229</v>
      </c>
      <c r="C170" s="289">
        <v>1540</v>
      </c>
      <c r="D170" s="289">
        <v>2830</v>
      </c>
      <c r="E170" s="289">
        <v>4000</v>
      </c>
      <c r="F170" s="289">
        <v>31693</v>
      </c>
      <c r="G170" s="289">
        <v>0</v>
      </c>
      <c r="H170" s="289">
        <v>0</v>
      </c>
      <c r="I170" s="289">
        <v>30589</v>
      </c>
      <c r="J170" s="517"/>
    </row>
    <row r="171" spans="1:10" ht="13">
      <c r="A171" s="1">
        <v>1928</v>
      </c>
      <c r="B171" s="2" t="s">
        <v>230</v>
      </c>
      <c r="C171" s="289">
        <v>921</v>
      </c>
      <c r="D171" s="289">
        <v>1921</v>
      </c>
      <c r="E171" s="289">
        <v>0</v>
      </c>
      <c r="F171" s="289">
        <v>19159</v>
      </c>
      <c r="G171" s="289">
        <v>0</v>
      </c>
      <c r="H171" s="289">
        <v>0</v>
      </c>
      <c r="I171" s="289">
        <v>18571</v>
      </c>
      <c r="J171" s="517"/>
    </row>
    <row r="172" spans="1:10" ht="13">
      <c r="A172" s="1">
        <v>1929</v>
      </c>
      <c r="B172" s="2" t="s">
        <v>231</v>
      </c>
      <c r="C172" s="289">
        <v>914</v>
      </c>
      <c r="D172" s="289">
        <v>951</v>
      </c>
      <c r="E172" s="289">
        <v>0</v>
      </c>
      <c r="F172" s="289">
        <v>22586</v>
      </c>
      <c r="G172" s="289">
        <v>0</v>
      </c>
      <c r="H172" s="289">
        <v>0</v>
      </c>
      <c r="I172" s="289">
        <v>21381</v>
      </c>
      <c r="J172" s="517"/>
    </row>
    <row r="173" spans="1:10" ht="13">
      <c r="A173" s="1">
        <v>1931</v>
      </c>
      <c r="B173" s="2" t="s">
        <v>232</v>
      </c>
      <c r="C173" s="289">
        <v>11697</v>
      </c>
      <c r="D173" s="289">
        <v>1977</v>
      </c>
      <c r="E173" s="289">
        <v>802</v>
      </c>
      <c r="F173" s="289">
        <v>291981</v>
      </c>
      <c r="G173" s="289">
        <v>0</v>
      </c>
      <c r="H173" s="289">
        <v>0</v>
      </c>
      <c r="I173" s="289">
        <v>274230</v>
      </c>
      <c r="J173" s="517"/>
    </row>
    <row r="174" spans="1:10" ht="13">
      <c r="A174" s="1">
        <v>2004</v>
      </c>
      <c r="B174" s="2" t="s">
        <v>243</v>
      </c>
      <c r="C174" s="289">
        <v>10527</v>
      </c>
      <c r="D174" s="289">
        <v>0</v>
      </c>
      <c r="E174" s="289">
        <v>9156</v>
      </c>
      <c r="F174" s="289">
        <v>292967</v>
      </c>
      <c r="G174" s="289">
        <v>0</v>
      </c>
      <c r="H174" s="289">
        <v>0</v>
      </c>
      <c r="I174" s="289">
        <v>280198</v>
      </c>
      <c r="J174" s="517"/>
    </row>
    <row r="175" spans="1:10" ht="13">
      <c r="A175" s="1">
        <v>2017</v>
      </c>
      <c r="B175" s="2" t="s">
        <v>248</v>
      </c>
      <c r="C175" s="289">
        <v>1027</v>
      </c>
      <c r="D175" s="289">
        <v>1900</v>
      </c>
      <c r="E175" s="289">
        <v>0</v>
      </c>
      <c r="F175" s="289">
        <v>24854</v>
      </c>
      <c r="G175" s="289">
        <v>0</v>
      </c>
      <c r="H175" s="289">
        <v>0</v>
      </c>
      <c r="I175" s="289">
        <v>22431</v>
      </c>
      <c r="J175" s="517"/>
    </row>
    <row r="176" spans="1:10" ht="13">
      <c r="A176" s="1">
        <v>3001</v>
      </c>
      <c r="B176" s="2" t="s">
        <v>783</v>
      </c>
      <c r="C176" s="289">
        <v>30790</v>
      </c>
      <c r="D176" s="289">
        <v>2800</v>
      </c>
      <c r="E176" s="289">
        <v>0</v>
      </c>
      <c r="F176" s="289">
        <v>718818</v>
      </c>
      <c r="G176" s="289">
        <v>0</v>
      </c>
      <c r="H176" s="289">
        <v>0</v>
      </c>
      <c r="I176" s="289">
        <v>694774</v>
      </c>
      <c r="J176" s="517"/>
    </row>
    <row r="177" spans="1:10" ht="13">
      <c r="A177" s="1">
        <v>3003</v>
      </c>
      <c r="B177" s="2" t="s">
        <v>785</v>
      </c>
      <c r="C177" s="289">
        <v>55127</v>
      </c>
      <c r="D177" s="289">
        <v>5400</v>
      </c>
      <c r="E177" s="289">
        <v>0</v>
      </c>
      <c r="F177" s="289">
        <v>1290590</v>
      </c>
      <c r="G177" s="289">
        <v>0</v>
      </c>
      <c r="H177" s="289">
        <v>0</v>
      </c>
      <c r="I177" s="289">
        <v>1254916</v>
      </c>
      <c r="J177" s="517"/>
    </row>
    <row r="178" spans="1:10" ht="13">
      <c r="A178" s="1">
        <v>3004</v>
      </c>
      <c r="B178" s="2" t="s">
        <v>786</v>
      </c>
      <c r="C178" s="289">
        <v>80121</v>
      </c>
      <c r="D178" s="289">
        <v>10300</v>
      </c>
      <c r="E178" s="289">
        <v>0</v>
      </c>
      <c r="F178" s="289">
        <v>1991851</v>
      </c>
      <c r="G178" s="289">
        <v>0</v>
      </c>
      <c r="H178" s="289">
        <v>0</v>
      </c>
      <c r="I178" s="289">
        <v>1889857</v>
      </c>
      <c r="J178" s="517"/>
    </row>
    <row r="179" spans="1:10" ht="13">
      <c r="A179" s="1">
        <v>3006</v>
      </c>
      <c r="B179" s="2" t="s">
        <v>872</v>
      </c>
      <c r="C179" s="289">
        <v>27216</v>
      </c>
      <c r="D179" s="289">
        <v>0</v>
      </c>
      <c r="E179" s="289">
        <v>0</v>
      </c>
      <c r="F179" s="289">
        <v>824286</v>
      </c>
      <c r="G179" s="289">
        <v>454</v>
      </c>
      <c r="H179" s="289">
        <v>0</v>
      </c>
      <c r="I179" s="289">
        <v>820578</v>
      </c>
      <c r="J179" s="517"/>
    </row>
    <row r="180" spans="1:10" ht="13">
      <c r="A180" s="1">
        <v>3007</v>
      </c>
      <c r="B180" s="2" t="s">
        <v>873</v>
      </c>
      <c r="C180" s="289">
        <v>30034</v>
      </c>
      <c r="D180" s="289">
        <v>4380</v>
      </c>
      <c r="E180" s="289">
        <v>0</v>
      </c>
      <c r="F180" s="289">
        <v>781820</v>
      </c>
      <c r="G180" s="289">
        <v>0</v>
      </c>
      <c r="H180" s="289">
        <v>0</v>
      </c>
      <c r="I180" s="289">
        <v>741381</v>
      </c>
      <c r="J180" s="517"/>
    </row>
    <row r="181" spans="1:10" ht="13">
      <c r="A181" s="1">
        <v>3011</v>
      </c>
      <c r="B181" s="2" t="s">
        <v>787</v>
      </c>
      <c r="C181" s="289">
        <v>4517</v>
      </c>
      <c r="D181" s="289">
        <v>200</v>
      </c>
      <c r="E181" s="289">
        <v>0</v>
      </c>
      <c r="F181" s="289">
        <v>140962</v>
      </c>
      <c r="G181" s="289">
        <v>867</v>
      </c>
      <c r="H181" s="289">
        <v>0</v>
      </c>
      <c r="I181" s="289">
        <v>127169</v>
      </c>
      <c r="J181" s="517"/>
    </row>
    <row r="182" spans="1:10" ht="13">
      <c r="A182" s="1">
        <v>3012</v>
      </c>
      <c r="B182" s="2" t="s">
        <v>788</v>
      </c>
      <c r="C182" s="289">
        <v>1398</v>
      </c>
      <c r="D182" s="289">
        <v>400</v>
      </c>
      <c r="E182" s="289">
        <v>0</v>
      </c>
      <c r="F182" s="289">
        <v>34123</v>
      </c>
      <c r="G182" s="289">
        <v>0</v>
      </c>
      <c r="H182" s="289">
        <v>0</v>
      </c>
      <c r="I182" s="289">
        <v>32642</v>
      </c>
      <c r="J182" s="517"/>
    </row>
    <row r="183" spans="1:10" ht="13">
      <c r="A183" s="1">
        <v>3013</v>
      </c>
      <c r="B183" s="2" t="s">
        <v>789</v>
      </c>
      <c r="C183" s="289">
        <v>3597</v>
      </c>
      <c r="D183" s="289">
        <v>300</v>
      </c>
      <c r="E183" s="289">
        <v>0</v>
      </c>
      <c r="F183" s="289">
        <v>82436</v>
      </c>
      <c r="G183" s="289">
        <v>0</v>
      </c>
      <c r="H183" s="289">
        <v>0</v>
      </c>
      <c r="I183" s="289">
        <v>85887</v>
      </c>
      <c r="J183" s="517"/>
    </row>
    <row r="184" spans="1:10" ht="13">
      <c r="A184" s="1">
        <v>3015</v>
      </c>
      <c r="B184" s="2" t="s">
        <v>2369</v>
      </c>
      <c r="C184" s="289">
        <v>3783</v>
      </c>
      <c r="D184" s="289">
        <v>600</v>
      </c>
      <c r="E184" s="289">
        <v>0</v>
      </c>
      <c r="F184" s="289">
        <v>87806</v>
      </c>
      <c r="G184" s="289">
        <v>0</v>
      </c>
      <c r="H184" s="289">
        <v>0</v>
      </c>
      <c r="I184" s="289">
        <v>88702</v>
      </c>
      <c r="J184" s="517"/>
    </row>
    <row r="185" spans="1:10" ht="13">
      <c r="A185" s="1">
        <v>3016</v>
      </c>
      <c r="B185" s="2" t="s">
        <v>796</v>
      </c>
      <c r="C185" s="289">
        <v>8173</v>
      </c>
      <c r="D185" s="289">
        <v>600</v>
      </c>
      <c r="E185" s="289">
        <v>0</v>
      </c>
      <c r="F185" s="289">
        <v>194657</v>
      </c>
      <c r="G185" s="289">
        <v>0</v>
      </c>
      <c r="H185" s="289">
        <v>0</v>
      </c>
      <c r="I185" s="289">
        <v>193284</v>
      </c>
      <c r="J185" s="517"/>
    </row>
    <row r="186" spans="1:10" ht="13">
      <c r="A186" s="1">
        <v>3017</v>
      </c>
      <c r="B186" s="2" t="s">
        <v>797</v>
      </c>
      <c r="C186" s="289">
        <v>7398</v>
      </c>
      <c r="D186" s="289">
        <v>400</v>
      </c>
      <c r="E186" s="289">
        <v>0</v>
      </c>
      <c r="F186" s="289">
        <v>193812</v>
      </c>
      <c r="G186" s="289">
        <v>70</v>
      </c>
      <c r="H186" s="289">
        <v>0</v>
      </c>
      <c r="I186" s="289">
        <v>189397</v>
      </c>
      <c r="J186" s="517"/>
    </row>
    <row r="187" spans="1:10" ht="13">
      <c r="A187" s="1">
        <v>3018</v>
      </c>
      <c r="B187" s="2" t="s">
        <v>799</v>
      </c>
      <c r="C187" s="289">
        <v>5335</v>
      </c>
      <c r="D187" s="289">
        <v>100</v>
      </c>
      <c r="E187" s="289">
        <v>0</v>
      </c>
      <c r="F187" s="289">
        <v>136309</v>
      </c>
      <c r="G187" s="289">
        <v>2399</v>
      </c>
      <c r="H187" s="289">
        <v>0</v>
      </c>
      <c r="I187" s="289">
        <v>126383</v>
      </c>
      <c r="J187" s="517"/>
    </row>
    <row r="188" spans="1:10" ht="13">
      <c r="A188" s="1">
        <v>3019</v>
      </c>
      <c r="B188" s="2" t="s">
        <v>801</v>
      </c>
      <c r="C188" s="289">
        <v>17188</v>
      </c>
      <c r="D188" s="289">
        <v>2700</v>
      </c>
      <c r="E188" s="289">
        <v>0</v>
      </c>
      <c r="F188" s="289">
        <v>511136</v>
      </c>
      <c r="G188" s="289">
        <v>9106</v>
      </c>
      <c r="H188" s="289">
        <v>0</v>
      </c>
      <c r="I188" s="289">
        <v>481457</v>
      </c>
      <c r="J188" s="517"/>
    </row>
    <row r="189" spans="1:10" ht="13">
      <c r="A189" s="1">
        <v>3021</v>
      </c>
      <c r="B189" s="2" t="s">
        <v>803</v>
      </c>
      <c r="C189" s="289">
        <v>19288</v>
      </c>
      <c r="D189" s="289">
        <v>3300</v>
      </c>
      <c r="E189" s="289">
        <v>0</v>
      </c>
      <c r="F189" s="289">
        <v>542959</v>
      </c>
      <c r="G189" s="289">
        <v>13382</v>
      </c>
      <c r="H189" s="289">
        <v>0</v>
      </c>
      <c r="I189" s="289">
        <v>504569</v>
      </c>
      <c r="J189" s="517"/>
    </row>
    <row r="190" spans="1:10" ht="13">
      <c r="A190" s="1">
        <v>3022</v>
      </c>
      <c r="B190" s="2" t="s">
        <v>804</v>
      </c>
      <c r="C190" s="289">
        <v>15743</v>
      </c>
      <c r="D190" s="289">
        <v>1800</v>
      </c>
      <c r="E190" s="289">
        <v>0</v>
      </c>
      <c r="F190" s="289">
        <v>572415</v>
      </c>
      <c r="G190" s="289">
        <v>0</v>
      </c>
      <c r="H190" s="289">
        <v>0</v>
      </c>
      <c r="I190" s="289">
        <v>552401</v>
      </c>
      <c r="J190" s="517"/>
    </row>
    <row r="191" spans="1:10" ht="13">
      <c r="A191" s="1">
        <v>3023</v>
      </c>
      <c r="B191" s="2" t="s">
        <v>805</v>
      </c>
      <c r="C191" s="289">
        <v>18869</v>
      </c>
      <c r="D191" s="289">
        <v>2900</v>
      </c>
      <c r="E191" s="289">
        <v>0</v>
      </c>
      <c r="F191" s="289">
        <v>583891</v>
      </c>
      <c r="G191" s="289">
        <v>0</v>
      </c>
      <c r="H191" s="289">
        <v>0</v>
      </c>
      <c r="I191" s="289">
        <v>556056</v>
      </c>
      <c r="J191" s="517"/>
    </row>
    <row r="192" spans="1:10" ht="13">
      <c r="A192" s="1">
        <v>3024</v>
      </c>
      <c r="B192" s="2" t="s">
        <v>807</v>
      </c>
      <c r="C192" s="289">
        <v>124008</v>
      </c>
      <c r="D192" s="289">
        <v>0</v>
      </c>
      <c r="E192" s="289">
        <v>0</v>
      </c>
      <c r="F192" s="289">
        <v>6180069</v>
      </c>
      <c r="G192" s="289">
        <v>0</v>
      </c>
      <c r="H192" s="289">
        <v>0</v>
      </c>
      <c r="I192" s="289">
        <v>5817013</v>
      </c>
      <c r="J192" s="517"/>
    </row>
    <row r="193" spans="1:10" ht="13">
      <c r="A193" s="1">
        <v>3027</v>
      </c>
      <c r="B193" s="2" t="s">
        <v>812</v>
      </c>
      <c r="C193" s="289">
        <v>17730</v>
      </c>
      <c r="D193" s="289">
        <v>3200</v>
      </c>
      <c r="E193" s="289">
        <v>0</v>
      </c>
      <c r="F193" s="289">
        <v>519409</v>
      </c>
      <c r="G193" s="289">
        <v>5998</v>
      </c>
      <c r="H193" s="289">
        <v>0</v>
      </c>
      <c r="I193" s="289">
        <v>489036</v>
      </c>
      <c r="J193" s="517"/>
    </row>
    <row r="194" spans="1:10" ht="13">
      <c r="A194" s="1">
        <v>3028</v>
      </c>
      <c r="B194" s="2" t="s">
        <v>813</v>
      </c>
      <c r="C194" s="289">
        <v>10927</v>
      </c>
      <c r="D194" s="289">
        <v>2900</v>
      </c>
      <c r="E194" s="289">
        <v>0</v>
      </c>
      <c r="F194" s="289">
        <v>287943</v>
      </c>
      <c r="G194" s="289">
        <v>0</v>
      </c>
      <c r="H194" s="289">
        <v>0</v>
      </c>
      <c r="I194" s="289">
        <v>279337</v>
      </c>
      <c r="J194" s="517"/>
    </row>
    <row r="195" spans="1:10" ht="13">
      <c r="A195" s="1">
        <v>3029</v>
      </c>
      <c r="B195" s="2" t="s">
        <v>814</v>
      </c>
      <c r="C195" s="289">
        <v>37406</v>
      </c>
      <c r="D195" s="289">
        <v>0</v>
      </c>
      <c r="E195" s="289">
        <v>0</v>
      </c>
      <c r="F195" s="289">
        <v>1186669</v>
      </c>
      <c r="G195" s="289">
        <v>11457</v>
      </c>
      <c r="H195" s="289">
        <v>0</v>
      </c>
      <c r="I195" s="289">
        <v>1106763</v>
      </c>
      <c r="J195" s="517"/>
    </row>
    <row r="196" spans="1:10" ht="13">
      <c r="A196" s="1">
        <v>3031</v>
      </c>
      <c r="B196" s="2" t="s">
        <v>816</v>
      </c>
      <c r="C196" s="289">
        <v>23213</v>
      </c>
      <c r="D196" s="289">
        <v>3100</v>
      </c>
      <c r="E196" s="289">
        <v>0</v>
      </c>
      <c r="F196" s="289">
        <v>740248</v>
      </c>
      <c r="G196" s="289">
        <v>0</v>
      </c>
      <c r="H196" s="289">
        <v>0</v>
      </c>
      <c r="I196" s="289">
        <v>703515</v>
      </c>
      <c r="J196" s="517"/>
    </row>
    <row r="197" spans="1:10" ht="13">
      <c r="A197" s="1">
        <v>3032</v>
      </c>
      <c r="B197" s="2" t="s">
        <v>817</v>
      </c>
      <c r="C197" s="289">
        <v>6546</v>
      </c>
      <c r="D197" s="289">
        <v>1300</v>
      </c>
      <c r="E197" s="289">
        <v>0</v>
      </c>
      <c r="F197" s="289">
        <v>234709</v>
      </c>
      <c r="G197" s="289">
        <v>0</v>
      </c>
      <c r="H197" s="289">
        <v>0</v>
      </c>
      <c r="I197" s="289">
        <v>203326</v>
      </c>
      <c r="J197" s="517"/>
    </row>
    <row r="198" spans="1:10" ht="13">
      <c r="A198" s="1">
        <v>3033</v>
      </c>
      <c r="B198" s="2" t="s">
        <v>818</v>
      </c>
      <c r="C198" s="289">
        <v>35102</v>
      </c>
      <c r="D198" s="289">
        <v>5400</v>
      </c>
      <c r="E198" s="289">
        <v>0</v>
      </c>
      <c r="F198" s="289">
        <v>996135</v>
      </c>
      <c r="G198" s="289">
        <v>21611</v>
      </c>
      <c r="H198" s="289">
        <v>-11920</v>
      </c>
      <c r="I198" s="289">
        <v>917838</v>
      </c>
      <c r="J198" s="517"/>
    </row>
    <row r="199" spans="1:10" ht="13">
      <c r="A199" s="1">
        <v>3034</v>
      </c>
      <c r="B199" s="2" t="s">
        <v>819</v>
      </c>
      <c r="C199" s="289">
        <v>21241</v>
      </c>
      <c r="D199" s="289">
        <v>3800</v>
      </c>
      <c r="E199" s="289">
        <v>0</v>
      </c>
      <c r="F199" s="289">
        <v>529616</v>
      </c>
      <c r="G199" s="289">
        <v>2327</v>
      </c>
      <c r="H199" s="289">
        <v>0</v>
      </c>
      <c r="I199" s="289">
        <v>498018</v>
      </c>
      <c r="J199" s="517"/>
    </row>
    <row r="200" spans="1:10" ht="13">
      <c r="A200" s="1">
        <v>3035</v>
      </c>
      <c r="B200" s="2" t="s">
        <v>820</v>
      </c>
      <c r="C200" s="289">
        <v>24415</v>
      </c>
      <c r="D200" s="289">
        <v>3900</v>
      </c>
      <c r="E200" s="289">
        <v>0</v>
      </c>
      <c r="F200" s="289">
        <v>588642</v>
      </c>
      <c r="G200" s="289">
        <v>14325</v>
      </c>
      <c r="H200" s="289">
        <v>0</v>
      </c>
      <c r="I200" s="289">
        <v>547726</v>
      </c>
      <c r="J200" s="517"/>
    </row>
    <row r="201" spans="1:10" ht="13">
      <c r="A201" s="1">
        <v>3036</v>
      </c>
      <c r="B201" s="2" t="s">
        <v>821</v>
      </c>
      <c r="C201" s="289">
        <v>12657</v>
      </c>
      <c r="D201" s="289">
        <v>4900</v>
      </c>
      <c r="E201" s="289">
        <v>0</v>
      </c>
      <c r="F201" s="289">
        <v>327372</v>
      </c>
      <c r="G201" s="289">
        <v>5337</v>
      </c>
      <c r="H201" s="289">
        <v>-7430</v>
      </c>
      <c r="I201" s="289">
        <v>306685</v>
      </c>
      <c r="J201" s="517"/>
    </row>
    <row r="202" spans="1:10" ht="13">
      <c r="A202" s="1">
        <v>3037</v>
      </c>
      <c r="B202" s="2" t="s">
        <v>822</v>
      </c>
      <c r="C202" s="289">
        <v>2910</v>
      </c>
      <c r="D202" s="289">
        <v>1500</v>
      </c>
      <c r="E202" s="289">
        <v>0</v>
      </c>
      <c r="F202" s="289">
        <v>62531</v>
      </c>
      <c r="G202" s="289">
        <v>734</v>
      </c>
      <c r="H202" s="289">
        <v>0</v>
      </c>
      <c r="I202" s="289">
        <v>60073</v>
      </c>
      <c r="J202" s="517"/>
    </row>
    <row r="203" spans="1:10" ht="13">
      <c r="A203" s="1">
        <v>3038</v>
      </c>
      <c r="B203" s="2" t="s">
        <v>874</v>
      </c>
      <c r="C203" s="289">
        <v>6772</v>
      </c>
      <c r="D203" s="289">
        <v>1000</v>
      </c>
      <c r="E203" s="289">
        <v>0</v>
      </c>
      <c r="F203" s="289">
        <v>234181</v>
      </c>
      <c r="G203" s="289">
        <v>557</v>
      </c>
      <c r="H203" s="289">
        <v>0</v>
      </c>
      <c r="I203" s="289">
        <v>217126</v>
      </c>
      <c r="J203" s="517"/>
    </row>
    <row r="204" spans="1:10" ht="13">
      <c r="A204" s="1">
        <v>3039</v>
      </c>
      <c r="B204" s="2" t="s">
        <v>875</v>
      </c>
      <c r="C204" s="289">
        <v>1081</v>
      </c>
      <c r="D204" s="289">
        <v>0</v>
      </c>
      <c r="E204" s="289">
        <v>0</v>
      </c>
      <c r="F204" s="289">
        <v>30416</v>
      </c>
      <c r="G204" s="289">
        <v>0</v>
      </c>
      <c r="H204" s="289">
        <v>0</v>
      </c>
      <c r="I204" s="289">
        <v>27039</v>
      </c>
      <c r="J204" s="517"/>
    </row>
    <row r="205" spans="1:10" ht="13">
      <c r="A205" s="1">
        <v>3040</v>
      </c>
      <c r="B205" s="2" t="s">
        <v>1966</v>
      </c>
      <c r="C205" s="289">
        <v>3357</v>
      </c>
      <c r="D205" s="289">
        <v>0</v>
      </c>
      <c r="E205" s="289">
        <v>0</v>
      </c>
      <c r="F205" s="289">
        <v>96440</v>
      </c>
      <c r="G205" s="289">
        <v>0</v>
      </c>
      <c r="H205" s="289">
        <v>0</v>
      </c>
      <c r="I205" s="289">
        <v>89949</v>
      </c>
      <c r="J205" s="517"/>
    </row>
    <row r="206" spans="1:10" ht="13">
      <c r="A206" s="1">
        <v>3041</v>
      </c>
      <c r="B206" s="2" t="s">
        <v>876</v>
      </c>
      <c r="C206" s="289">
        <v>4612</v>
      </c>
      <c r="D206" s="289">
        <v>0</v>
      </c>
      <c r="E206" s="289">
        <v>342</v>
      </c>
      <c r="F206" s="289">
        <v>132260</v>
      </c>
      <c r="G206" s="289">
        <v>0</v>
      </c>
      <c r="H206" s="289">
        <v>0</v>
      </c>
      <c r="I206" s="289">
        <v>123586</v>
      </c>
      <c r="J206" s="517"/>
    </row>
    <row r="207" spans="1:10" ht="13">
      <c r="A207" s="1">
        <v>3042</v>
      </c>
      <c r="B207" s="2" t="s">
        <v>877</v>
      </c>
      <c r="C207" s="289">
        <v>2442</v>
      </c>
      <c r="D207" s="289">
        <v>0</v>
      </c>
      <c r="E207" s="289">
        <v>0</v>
      </c>
      <c r="F207" s="289">
        <v>76757</v>
      </c>
      <c r="G207" s="289">
        <v>2055</v>
      </c>
      <c r="H207" s="289">
        <v>0</v>
      </c>
      <c r="I207" s="289">
        <v>69719</v>
      </c>
      <c r="J207" s="517"/>
    </row>
    <row r="208" spans="1:10" ht="13">
      <c r="A208" s="1">
        <v>3043</v>
      </c>
      <c r="B208" s="2" t="s">
        <v>878</v>
      </c>
      <c r="C208" s="289">
        <v>4719</v>
      </c>
      <c r="D208" s="289">
        <v>0</v>
      </c>
      <c r="E208" s="289">
        <v>0</v>
      </c>
      <c r="F208" s="289">
        <v>138427</v>
      </c>
      <c r="G208" s="289">
        <v>0</v>
      </c>
      <c r="H208" s="289">
        <v>0</v>
      </c>
      <c r="I208" s="289">
        <v>129347</v>
      </c>
      <c r="J208" s="517"/>
    </row>
    <row r="209" spans="1:10" ht="13">
      <c r="A209" s="1">
        <v>3044</v>
      </c>
      <c r="B209" s="2" t="s">
        <v>880</v>
      </c>
      <c r="C209" s="289">
        <v>4535</v>
      </c>
      <c r="D209" s="289">
        <v>0</v>
      </c>
      <c r="E209" s="289">
        <v>0</v>
      </c>
      <c r="F209" s="289">
        <v>174624</v>
      </c>
      <c r="G209" s="289">
        <v>0</v>
      </c>
      <c r="H209" s="289">
        <v>0</v>
      </c>
      <c r="I209" s="289">
        <v>163835</v>
      </c>
      <c r="J209" s="517"/>
    </row>
    <row r="210" spans="1:10" ht="13">
      <c r="A210" s="1">
        <v>3045</v>
      </c>
      <c r="B210" s="2" t="s">
        <v>881</v>
      </c>
      <c r="C210" s="289">
        <v>3502</v>
      </c>
      <c r="D210" s="289">
        <v>1800</v>
      </c>
      <c r="E210" s="289">
        <v>0</v>
      </c>
      <c r="F210" s="289">
        <v>102587</v>
      </c>
      <c r="G210" s="289">
        <v>0</v>
      </c>
      <c r="H210" s="289">
        <v>0</v>
      </c>
      <c r="I210" s="289">
        <v>106580</v>
      </c>
      <c r="J210" s="517"/>
    </row>
    <row r="211" spans="1:10" ht="13">
      <c r="A211" s="1">
        <v>3046</v>
      </c>
      <c r="B211" s="2" t="s">
        <v>882</v>
      </c>
      <c r="C211" s="289">
        <v>2257</v>
      </c>
      <c r="D211" s="289">
        <v>0</v>
      </c>
      <c r="E211" s="289">
        <v>0</v>
      </c>
      <c r="F211" s="289">
        <v>71317</v>
      </c>
      <c r="G211" s="289">
        <v>0</v>
      </c>
      <c r="H211" s="289">
        <v>0</v>
      </c>
      <c r="I211" s="289">
        <v>67497</v>
      </c>
      <c r="J211" s="517"/>
    </row>
    <row r="212" spans="1:10" ht="13">
      <c r="A212" s="1">
        <v>3047</v>
      </c>
      <c r="B212" s="2" t="s">
        <v>883</v>
      </c>
      <c r="C212" s="289">
        <v>13786</v>
      </c>
      <c r="D212" s="289">
        <v>2020</v>
      </c>
      <c r="E212" s="289">
        <v>0</v>
      </c>
      <c r="F212" s="289">
        <v>349911</v>
      </c>
      <c r="G212" s="289">
        <v>0</v>
      </c>
      <c r="H212" s="289">
        <v>0</v>
      </c>
      <c r="I212" s="289">
        <v>341123</v>
      </c>
      <c r="J212" s="517"/>
    </row>
    <row r="213" spans="1:10" ht="13">
      <c r="A213" s="1">
        <v>3048</v>
      </c>
      <c r="B213" s="2" t="s">
        <v>884</v>
      </c>
      <c r="C213" s="289">
        <v>18562</v>
      </c>
      <c r="D213" s="289">
        <v>2660</v>
      </c>
      <c r="E213" s="289">
        <v>0</v>
      </c>
      <c r="F213" s="289">
        <v>512095</v>
      </c>
      <c r="G213" s="289">
        <v>0</v>
      </c>
      <c r="H213" s="289">
        <v>0</v>
      </c>
      <c r="I213" s="289">
        <v>475477</v>
      </c>
      <c r="J213" s="517"/>
    </row>
    <row r="214" spans="1:10" ht="13">
      <c r="A214" s="1">
        <v>3049</v>
      </c>
      <c r="B214" s="2" t="s">
        <v>886</v>
      </c>
      <c r="C214" s="289">
        <v>25740</v>
      </c>
      <c r="D214" s="289">
        <v>0</v>
      </c>
      <c r="E214" s="289">
        <v>0</v>
      </c>
      <c r="F214" s="289">
        <v>854427</v>
      </c>
      <c r="G214" s="289">
        <v>0</v>
      </c>
      <c r="H214" s="289">
        <v>0</v>
      </c>
      <c r="I214" s="289">
        <v>817486</v>
      </c>
      <c r="J214" s="517"/>
    </row>
    <row r="215" spans="1:10" ht="13">
      <c r="A215" s="1">
        <v>3050</v>
      </c>
      <c r="B215" s="2" t="s">
        <v>889</v>
      </c>
      <c r="C215" s="289">
        <v>2696</v>
      </c>
      <c r="D215" s="289">
        <v>0</v>
      </c>
      <c r="E215" s="289">
        <v>0</v>
      </c>
      <c r="F215" s="289">
        <v>71305</v>
      </c>
      <c r="G215" s="289">
        <v>0</v>
      </c>
      <c r="H215" s="289">
        <v>0</v>
      </c>
      <c r="I215" s="289">
        <v>70327</v>
      </c>
      <c r="J215" s="517"/>
    </row>
    <row r="216" spans="1:10" ht="13">
      <c r="A216" s="1">
        <v>3051</v>
      </c>
      <c r="B216" s="2" t="s">
        <v>890</v>
      </c>
      <c r="C216" s="289">
        <v>1399</v>
      </c>
      <c r="D216" s="289">
        <v>1440</v>
      </c>
      <c r="E216" s="289">
        <v>0</v>
      </c>
      <c r="F216" s="289">
        <v>38046</v>
      </c>
      <c r="G216" s="289">
        <v>0</v>
      </c>
      <c r="H216" s="289">
        <v>0</v>
      </c>
      <c r="I216" s="289">
        <v>35626</v>
      </c>
      <c r="J216" s="517"/>
    </row>
    <row r="217" spans="1:10" ht="13">
      <c r="A217" s="1">
        <v>3052</v>
      </c>
      <c r="B217" s="2" t="s">
        <v>891</v>
      </c>
      <c r="C217" s="289">
        <v>2530</v>
      </c>
      <c r="D217" s="289">
        <v>0</v>
      </c>
      <c r="E217" s="289">
        <v>0</v>
      </c>
      <c r="F217" s="289">
        <v>86626</v>
      </c>
      <c r="G217" s="289">
        <v>0</v>
      </c>
      <c r="H217" s="289">
        <v>0</v>
      </c>
      <c r="I217" s="289">
        <v>82403</v>
      </c>
      <c r="J217" s="517"/>
    </row>
    <row r="218" spans="1:10" ht="13">
      <c r="A218" s="1">
        <v>3053</v>
      </c>
      <c r="B218" s="2" t="s">
        <v>860</v>
      </c>
      <c r="C218" s="289">
        <v>6696</v>
      </c>
      <c r="D218" s="289">
        <v>400</v>
      </c>
      <c r="E218" s="289">
        <v>0</v>
      </c>
      <c r="F218" s="289">
        <v>157513</v>
      </c>
      <c r="G218" s="289">
        <v>0</v>
      </c>
      <c r="H218" s="289">
        <v>0</v>
      </c>
      <c r="I218" s="289">
        <v>147737</v>
      </c>
      <c r="J218" s="517"/>
    </row>
    <row r="219" spans="1:10" ht="13">
      <c r="A219" s="1">
        <v>3054</v>
      </c>
      <c r="B219" s="2" t="s">
        <v>861</v>
      </c>
      <c r="C219" s="289">
        <v>9080</v>
      </c>
      <c r="D219" s="289">
        <v>600</v>
      </c>
      <c r="E219" s="289">
        <v>0</v>
      </c>
      <c r="F219" s="289">
        <v>238288</v>
      </c>
      <c r="G219" s="289">
        <v>0</v>
      </c>
      <c r="H219" s="289">
        <v>0</v>
      </c>
      <c r="I219" s="289">
        <v>229314</v>
      </c>
      <c r="J219" s="517"/>
    </row>
    <row r="220" spans="1:10" ht="13">
      <c r="A220" s="1">
        <v>3401</v>
      </c>
      <c r="B220" s="2" t="s">
        <v>824</v>
      </c>
      <c r="C220" s="289">
        <v>17857</v>
      </c>
      <c r="D220" s="289">
        <v>2100</v>
      </c>
      <c r="E220" s="289">
        <v>0</v>
      </c>
      <c r="F220" s="289">
        <v>438186</v>
      </c>
      <c r="G220" s="289">
        <v>0</v>
      </c>
      <c r="H220" s="289">
        <v>0</v>
      </c>
      <c r="I220" s="289">
        <v>418583</v>
      </c>
      <c r="J220" s="517"/>
    </row>
    <row r="221" spans="1:10" ht="13">
      <c r="A221" s="1">
        <v>3403</v>
      </c>
      <c r="B221" s="2" t="s">
        <v>825</v>
      </c>
      <c r="C221" s="289">
        <v>30598</v>
      </c>
      <c r="D221" s="289">
        <v>1000</v>
      </c>
      <c r="E221" s="289">
        <v>0</v>
      </c>
      <c r="F221" s="289">
        <v>838184</v>
      </c>
      <c r="G221" s="289">
        <v>0</v>
      </c>
      <c r="H221" s="289">
        <v>0</v>
      </c>
      <c r="I221" s="289">
        <v>799127</v>
      </c>
      <c r="J221" s="517"/>
    </row>
    <row r="222" spans="1:10" ht="13">
      <c r="A222" s="1">
        <v>3405</v>
      </c>
      <c r="B222" s="2" t="s">
        <v>845</v>
      </c>
      <c r="C222" s="289">
        <v>27781</v>
      </c>
      <c r="D222" s="289">
        <v>2050</v>
      </c>
      <c r="E222" s="289">
        <v>0</v>
      </c>
      <c r="F222" s="289">
        <v>769643</v>
      </c>
      <c r="G222" s="289">
        <v>0</v>
      </c>
      <c r="H222" s="289">
        <v>0</v>
      </c>
      <c r="I222" s="289">
        <v>729709</v>
      </c>
      <c r="J222" s="517"/>
    </row>
    <row r="223" spans="1:10" ht="13">
      <c r="A223" s="1">
        <v>3407</v>
      </c>
      <c r="B223" s="2" t="s">
        <v>846</v>
      </c>
      <c r="C223" s="289">
        <v>30319</v>
      </c>
      <c r="D223" s="289">
        <v>4750</v>
      </c>
      <c r="E223" s="289">
        <v>0</v>
      </c>
      <c r="F223" s="289">
        <v>758212</v>
      </c>
      <c r="G223" s="289">
        <v>0</v>
      </c>
      <c r="H223" s="289">
        <v>0</v>
      </c>
      <c r="I223" s="289">
        <v>711172</v>
      </c>
      <c r="J223" s="517"/>
    </row>
    <row r="224" spans="1:10" ht="13">
      <c r="A224" s="1">
        <v>3411</v>
      </c>
      <c r="B224" s="2" t="s">
        <v>826</v>
      </c>
      <c r="C224" s="289">
        <v>33842</v>
      </c>
      <c r="D224" s="289">
        <v>3500</v>
      </c>
      <c r="E224" s="289">
        <v>0</v>
      </c>
      <c r="F224" s="289">
        <v>789183</v>
      </c>
      <c r="G224" s="289">
        <v>0</v>
      </c>
      <c r="H224" s="289">
        <v>0</v>
      </c>
      <c r="I224" s="289">
        <v>752571</v>
      </c>
      <c r="J224" s="517"/>
    </row>
    <row r="225" spans="1:10" ht="13">
      <c r="A225" s="1">
        <v>3412</v>
      </c>
      <c r="B225" s="2" t="s">
        <v>827</v>
      </c>
      <c r="C225" s="289">
        <v>7633</v>
      </c>
      <c r="D225" s="289">
        <v>2000</v>
      </c>
      <c r="E225" s="289">
        <v>0</v>
      </c>
      <c r="F225" s="289">
        <v>162788</v>
      </c>
      <c r="G225" s="289">
        <v>0</v>
      </c>
      <c r="H225" s="289">
        <v>0</v>
      </c>
      <c r="I225" s="289">
        <v>154879</v>
      </c>
      <c r="J225" s="517"/>
    </row>
    <row r="226" spans="1:10" ht="13">
      <c r="A226" s="1">
        <v>3413</v>
      </c>
      <c r="B226" s="2" t="s">
        <v>828</v>
      </c>
      <c r="C226" s="289">
        <v>20317</v>
      </c>
      <c r="D226" s="289">
        <v>3600</v>
      </c>
      <c r="E226" s="289">
        <v>0</v>
      </c>
      <c r="F226" s="289">
        <v>472002</v>
      </c>
      <c r="G226" s="289">
        <v>0</v>
      </c>
      <c r="H226" s="289">
        <v>0</v>
      </c>
      <c r="I226" s="289">
        <v>451307</v>
      </c>
      <c r="J226" s="517"/>
    </row>
    <row r="227" spans="1:10" ht="13">
      <c r="A227" s="1">
        <v>3414</v>
      </c>
      <c r="B227" s="2" t="s">
        <v>829</v>
      </c>
      <c r="C227" s="289">
        <v>5100</v>
      </c>
      <c r="D227" s="289">
        <v>4200</v>
      </c>
      <c r="E227" s="289">
        <v>0</v>
      </c>
      <c r="F227" s="289">
        <v>103182</v>
      </c>
      <c r="G227" s="289">
        <v>0</v>
      </c>
      <c r="H227" s="289">
        <v>0</v>
      </c>
      <c r="I227" s="289">
        <v>100053</v>
      </c>
      <c r="J227" s="517"/>
    </row>
    <row r="228" spans="1:10" ht="13">
      <c r="A228" s="1">
        <v>3415</v>
      </c>
      <c r="B228" s="2" t="s">
        <v>830</v>
      </c>
      <c r="C228" s="289">
        <v>7866</v>
      </c>
      <c r="D228" s="289">
        <v>1700</v>
      </c>
      <c r="E228" s="289">
        <v>0</v>
      </c>
      <c r="F228" s="289">
        <v>184299</v>
      </c>
      <c r="G228" s="289">
        <v>0</v>
      </c>
      <c r="H228" s="289">
        <v>0</v>
      </c>
      <c r="I228" s="289">
        <v>181493</v>
      </c>
      <c r="J228" s="517"/>
    </row>
    <row r="229" spans="1:10" ht="13">
      <c r="A229" s="1">
        <v>3416</v>
      </c>
      <c r="B229" s="2" t="s">
        <v>831</v>
      </c>
      <c r="C229" s="289">
        <v>6127</v>
      </c>
      <c r="D229" s="289">
        <v>6200</v>
      </c>
      <c r="E229" s="289">
        <v>0</v>
      </c>
      <c r="F229" s="289">
        <v>125225</v>
      </c>
      <c r="G229" s="289">
        <v>0</v>
      </c>
      <c r="H229" s="289">
        <v>0</v>
      </c>
      <c r="I229" s="289">
        <v>122325</v>
      </c>
      <c r="J229" s="517"/>
    </row>
    <row r="230" spans="1:10" ht="13">
      <c r="A230" s="1">
        <v>3417</v>
      </c>
      <c r="B230" s="2" t="s">
        <v>832</v>
      </c>
      <c r="C230" s="289">
        <v>4777</v>
      </c>
      <c r="D230" s="289">
        <v>3180</v>
      </c>
      <c r="E230" s="289">
        <v>0</v>
      </c>
      <c r="F230" s="289">
        <v>100470</v>
      </c>
      <c r="G230" s="289">
        <v>0</v>
      </c>
      <c r="H230" s="289">
        <v>0</v>
      </c>
      <c r="I230" s="289">
        <v>100637</v>
      </c>
      <c r="J230" s="517"/>
    </row>
    <row r="231" spans="1:10" ht="13">
      <c r="A231" s="1">
        <v>3418</v>
      </c>
      <c r="B231" s="2" t="s">
        <v>833</v>
      </c>
      <c r="C231" s="289">
        <v>7329</v>
      </c>
      <c r="D231" s="289">
        <v>4260</v>
      </c>
      <c r="E231" s="289">
        <v>1366</v>
      </c>
      <c r="F231" s="289">
        <v>157341</v>
      </c>
      <c r="G231" s="289">
        <v>0</v>
      </c>
      <c r="H231" s="289">
        <v>0</v>
      </c>
      <c r="I231" s="289">
        <v>150457</v>
      </c>
      <c r="J231" s="517"/>
    </row>
    <row r="232" spans="1:10" ht="13">
      <c r="A232" s="1">
        <v>3419</v>
      </c>
      <c r="B232" s="2" t="s">
        <v>799</v>
      </c>
      <c r="C232" s="289">
        <v>3743</v>
      </c>
      <c r="D232" s="289">
        <v>4000</v>
      </c>
      <c r="E232" s="289">
        <v>0</v>
      </c>
      <c r="F232" s="289">
        <v>80622</v>
      </c>
      <c r="G232" s="289">
        <v>0</v>
      </c>
      <c r="H232" s="289">
        <v>0</v>
      </c>
      <c r="I232" s="289">
        <v>79771</v>
      </c>
      <c r="J232" s="517"/>
    </row>
    <row r="233" spans="1:10" ht="13">
      <c r="A233" s="1">
        <v>3420</v>
      </c>
      <c r="B233" s="2" t="s">
        <v>834</v>
      </c>
      <c r="C233" s="289">
        <v>21086</v>
      </c>
      <c r="D233" s="289">
        <v>3000</v>
      </c>
      <c r="E233" s="289">
        <v>0</v>
      </c>
      <c r="F233" s="289">
        <v>490237</v>
      </c>
      <c r="G233" s="289">
        <v>0</v>
      </c>
      <c r="H233" s="289">
        <v>0</v>
      </c>
      <c r="I233" s="289">
        <v>469925</v>
      </c>
      <c r="J233" s="517"/>
    </row>
    <row r="234" spans="1:10" ht="13">
      <c r="A234" s="1">
        <v>3421</v>
      </c>
      <c r="B234" s="2" t="s">
        <v>835</v>
      </c>
      <c r="C234" s="289">
        <v>6550</v>
      </c>
      <c r="D234" s="289">
        <v>2300</v>
      </c>
      <c r="E234" s="289">
        <v>0</v>
      </c>
      <c r="F234" s="289">
        <v>155053</v>
      </c>
      <c r="G234" s="289">
        <v>0</v>
      </c>
      <c r="H234" s="289">
        <v>0</v>
      </c>
      <c r="I234" s="289">
        <v>143523</v>
      </c>
      <c r="J234" s="517"/>
    </row>
    <row r="235" spans="1:10" ht="13">
      <c r="A235" s="1">
        <v>3422</v>
      </c>
      <c r="B235" s="2" t="s">
        <v>836</v>
      </c>
      <c r="C235" s="289">
        <v>4518</v>
      </c>
      <c r="D235" s="289">
        <v>4600</v>
      </c>
      <c r="E235" s="289">
        <v>0</v>
      </c>
      <c r="F235" s="289">
        <v>101766</v>
      </c>
      <c r="G235" s="289">
        <v>0</v>
      </c>
      <c r="H235" s="289">
        <v>0</v>
      </c>
      <c r="I235" s="289">
        <v>97563</v>
      </c>
      <c r="J235" s="517"/>
    </row>
    <row r="236" spans="1:10" ht="13">
      <c r="A236" s="1">
        <v>3423</v>
      </c>
      <c r="B236" s="2" t="s">
        <v>837</v>
      </c>
      <c r="C236" s="289">
        <v>2530</v>
      </c>
      <c r="D236" s="289">
        <v>2000</v>
      </c>
      <c r="E236" s="289">
        <v>0</v>
      </c>
      <c r="F236" s="289">
        <v>55098</v>
      </c>
      <c r="G236" s="289">
        <v>0</v>
      </c>
      <c r="H236" s="289">
        <v>0</v>
      </c>
      <c r="I236" s="289">
        <v>51442</v>
      </c>
      <c r="J236" s="517"/>
    </row>
    <row r="237" spans="1:10" ht="13">
      <c r="A237" s="1">
        <v>3424</v>
      </c>
      <c r="B237" s="2" t="s">
        <v>838</v>
      </c>
      <c r="C237" s="289">
        <v>1858</v>
      </c>
      <c r="D237" s="289">
        <v>1000</v>
      </c>
      <c r="E237" s="289">
        <v>0</v>
      </c>
      <c r="F237" s="289">
        <v>41486</v>
      </c>
      <c r="G237" s="289">
        <v>0</v>
      </c>
      <c r="H237" s="289">
        <v>0</v>
      </c>
      <c r="I237" s="289">
        <v>41109</v>
      </c>
      <c r="J237" s="517"/>
    </row>
    <row r="238" spans="1:10" ht="13">
      <c r="A238" s="1">
        <v>3425</v>
      </c>
      <c r="B238" s="2" t="s">
        <v>839</v>
      </c>
      <c r="C238" s="289">
        <v>1274</v>
      </c>
      <c r="D238" s="289">
        <v>1500</v>
      </c>
      <c r="E238" s="289">
        <v>0</v>
      </c>
      <c r="F238" s="289">
        <v>26110</v>
      </c>
      <c r="G238" s="289">
        <v>0</v>
      </c>
      <c r="H238" s="289">
        <v>0</v>
      </c>
      <c r="I238" s="289">
        <v>24758</v>
      </c>
      <c r="J238" s="517"/>
    </row>
    <row r="239" spans="1:10" ht="13">
      <c r="A239" s="1">
        <v>3426</v>
      </c>
      <c r="B239" s="2" t="s">
        <v>840</v>
      </c>
      <c r="C239" s="289">
        <v>1620</v>
      </c>
      <c r="D239" s="289">
        <v>1000</v>
      </c>
      <c r="E239" s="289">
        <v>0</v>
      </c>
      <c r="F239" s="289">
        <v>29844</v>
      </c>
      <c r="G239" s="289">
        <v>0</v>
      </c>
      <c r="H239" s="289">
        <v>0</v>
      </c>
      <c r="I239" s="289">
        <v>30445</v>
      </c>
      <c r="J239" s="517"/>
    </row>
    <row r="240" spans="1:10" ht="13">
      <c r="A240" s="1">
        <v>3427</v>
      </c>
      <c r="B240" s="2" t="s">
        <v>841</v>
      </c>
      <c r="C240" s="289">
        <v>5584</v>
      </c>
      <c r="D240" s="289">
        <v>1500</v>
      </c>
      <c r="E240" s="289">
        <v>0</v>
      </c>
      <c r="F240" s="289">
        <v>130470</v>
      </c>
      <c r="G240" s="289">
        <v>0</v>
      </c>
      <c r="H240" s="289">
        <v>0</v>
      </c>
      <c r="I240" s="289">
        <v>122027</v>
      </c>
      <c r="J240" s="517"/>
    </row>
    <row r="241" spans="1:10" ht="13">
      <c r="A241" s="1">
        <v>3428</v>
      </c>
      <c r="B241" s="2" t="s">
        <v>842</v>
      </c>
      <c r="C241" s="289">
        <v>2441</v>
      </c>
      <c r="D241" s="289">
        <v>1000</v>
      </c>
      <c r="E241" s="289">
        <v>0</v>
      </c>
      <c r="F241" s="289">
        <v>59525</v>
      </c>
      <c r="G241" s="289">
        <v>0</v>
      </c>
      <c r="H241" s="289">
        <v>0</v>
      </c>
      <c r="I241" s="289">
        <v>52913</v>
      </c>
      <c r="J241" s="517"/>
    </row>
    <row r="242" spans="1:10" ht="13">
      <c r="A242" s="1">
        <v>3429</v>
      </c>
      <c r="B242" s="2" t="s">
        <v>843</v>
      </c>
      <c r="C242" s="289">
        <v>1577</v>
      </c>
      <c r="D242" s="289">
        <v>1200</v>
      </c>
      <c r="E242" s="289">
        <v>0</v>
      </c>
      <c r="F242" s="289">
        <v>31809</v>
      </c>
      <c r="G242" s="289">
        <v>0</v>
      </c>
      <c r="H242" s="289">
        <v>0</v>
      </c>
      <c r="I242" s="289">
        <v>31621</v>
      </c>
      <c r="J242" s="517"/>
    </row>
    <row r="243" spans="1:10" ht="13">
      <c r="A243" s="1">
        <v>3430</v>
      </c>
      <c r="B243" s="2" t="s">
        <v>844</v>
      </c>
      <c r="C243" s="289">
        <v>1963</v>
      </c>
      <c r="D243" s="289">
        <v>1900</v>
      </c>
      <c r="E243" s="289">
        <v>0</v>
      </c>
      <c r="F243" s="289">
        <v>40847</v>
      </c>
      <c r="G243" s="289">
        <v>0</v>
      </c>
      <c r="H243" s="289">
        <v>0</v>
      </c>
      <c r="I243" s="289">
        <v>40273</v>
      </c>
      <c r="J243" s="517"/>
    </row>
    <row r="244" spans="1:10" ht="13">
      <c r="A244" s="1">
        <v>3431</v>
      </c>
      <c r="B244" s="2" t="s">
        <v>847</v>
      </c>
      <c r="C244" s="289">
        <v>2675</v>
      </c>
      <c r="D244" s="289">
        <v>1250</v>
      </c>
      <c r="E244" s="289">
        <v>332</v>
      </c>
      <c r="F244" s="289">
        <v>58761</v>
      </c>
      <c r="G244" s="289">
        <v>0</v>
      </c>
      <c r="H244" s="289">
        <v>0</v>
      </c>
      <c r="I244" s="289">
        <v>59477</v>
      </c>
      <c r="J244" s="517"/>
    </row>
    <row r="245" spans="1:10" ht="13">
      <c r="A245" s="1">
        <v>3432</v>
      </c>
      <c r="B245" s="2" t="s">
        <v>848</v>
      </c>
      <c r="C245" s="289">
        <v>2048</v>
      </c>
      <c r="D245" s="289">
        <v>300</v>
      </c>
      <c r="E245" s="289">
        <v>0</v>
      </c>
      <c r="F245" s="289">
        <v>48600</v>
      </c>
      <c r="G245" s="289">
        <v>0</v>
      </c>
      <c r="H245" s="289">
        <v>0</v>
      </c>
      <c r="I245" s="289">
        <v>46978</v>
      </c>
      <c r="J245" s="517"/>
    </row>
    <row r="246" spans="1:10" ht="13">
      <c r="A246" s="1">
        <v>3433</v>
      </c>
      <c r="B246" s="2" t="s">
        <v>849</v>
      </c>
      <c r="C246" s="289">
        <v>2202</v>
      </c>
      <c r="D246" s="289">
        <v>850</v>
      </c>
      <c r="E246" s="289">
        <v>0</v>
      </c>
      <c r="F246" s="289">
        <v>57765</v>
      </c>
      <c r="G246" s="289">
        <v>0</v>
      </c>
      <c r="H246" s="289">
        <v>0</v>
      </c>
      <c r="I246" s="289">
        <v>56347</v>
      </c>
      <c r="J246" s="517"/>
    </row>
    <row r="247" spans="1:10" ht="13">
      <c r="A247" s="1">
        <v>3434</v>
      </c>
      <c r="B247" s="2" t="s">
        <v>850</v>
      </c>
      <c r="C247" s="289">
        <v>2360</v>
      </c>
      <c r="D247" s="289">
        <v>1200</v>
      </c>
      <c r="E247" s="289">
        <v>0</v>
      </c>
      <c r="F247" s="289">
        <v>52717</v>
      </c>
      <c r="G247" s="289">
        <v>0</v>
      </c>
      <c r="H247" s="289">
        <v>0</v>
      </c>
      <c r="I247" s="289">
        <v>50742</v>
      </c>
      <c r="J247" s="517"/>
    </row>
    <row r="248" spans="1:10" ht="13">
      <c r="A248" s="1">
        <v>3435</v>
      </c>
      <c r="B248" s="2" t="s">
        <v>851</v>
      </c>
      <c r="C248" s="289">
        <v>3640</v>
      </c>
      <c r="D248" s="289">
        <v>4800</v>
      </c>
      <c r="E248" s="289">
        <v>0</v>
      </c>
      <c r="F248" s="289">
        <v>75847</v>
      </c>
      <c r="G248" s="289">
        <v>0</v>
      </c>
      <c r="H248" s="289">
        <v>0</v>
      </c>
      <c r="I248" s="289">
        <v>75013</v>
      </c>
      <c r="J248" s="517"/>
    </row>
    <row r="249" spans="1:10" ht="13">
      <c r="A249" s="1">
        <v>3436</v>
      </c>
      <c r="B249" s="2" t="s">
        <v>852</v>
      </c>
      <c r="C249" s="289">
        <v>5723</v>
      </c>
      <c r="D249" s="289">
        <v>1300</v>
      </c>
      <c r="E249" s="289">
        <v>0</v>
      </c>
      <c r="F249" s="289">
        <v>157240</v>
      </c>
      <c r="G249" s="289">
        <v>0</v>
      </c>
      <c r="H249" s="289">
        <v>0</v>
      </c>
      <c r="I249" s="289">
        <v>156680</v>
      </c>
      <c r="J249" s="517"/>
    </row>
    <row r="250" spans="1:10" ht="13">
      <c r="A250" s="1">
        <v>3437</v>
      </c>
      <c r="B250" s="2" t="s">
        <v>853</v>
      </c>
      <c r="C250" s="289">
        <v>5916</v>
      </c>
      <c r="D250" s="289">
        <v>1000</v>
      </c>
      <c r="E250" s="289">
        <v>0</v>
      </c>
      <c r="F250" s="289">
        <v>115631</v>
      </c>
      <c r="G250" s="289">
        <v>0</v>
      </c>
      <c r="H250" s="289">
        <v>0</v>
      </c>
      <c r="I250" s="289">
        <v>113135</v>
      </c>
      <c r="J250" s="517"/>
    </row>
    <row r="251" spans="1:10" ht="13">
      <c r="A251" s="1">
        <v>3438</v>
      </c>
      <c r="B251" s="2" t="s">
        <v>854</v>
      </c>
      <c r="C251" s="289">
        <v>3163</v>
      </c>
      <c r="D251" s="289">
        <v>900</v>
      </c>
      <c r="E251" s="289">
        <v>1514</v>
      </c>
      <c r="F251" s="289">
        <v>81548</v>
      </c>
      <c r="G251" s="289">
        <v>0</v>
      </c>
      <c r="H251" s="289">
        <v>0</v>
      </c>
      <c r="I251" s="289">
        <v>80249</v>
      </c>
      <c r="J251" s="517"/>
    </row>
    <row r="252" spans="1:10" ht="13">
      <c r="A252" s="1">
        <v>3439</v>
      </c>
      <c r="B252" s="2" t="s">
        <v>855</v>
      </c>
      <c r="C252" s="289">
        <v>4502</v>
      </c>
      <c r="D252" s="289">
        <v>550</v>
      </c>
      <c r="E252" s="289">
        <v>0</v>
      </c>
      <c r="F252" s="289">
        <v>106336</v>
      </c>
      <c r="G252" s="289">
        <v>0</v>
      </c>
      <c r="H252" s="289">
        <v>0</v>
      </c>
      <c r="I252" s="289">
        <v>103553</v>
      </c>
      <c r="J252" s="517"/>
    </row>
    <row r="253" spans="1:10" ht="13">
      <c r="A253" s="1">
        <v>3440</v>
      </c>
      <c r="B253" s="2" t="s">
        <v>856</v>
      </c>
      <c r="C253" s="289">
        <v>5082</v>
      </c>
      <c r="D253" s="289">
        <v>900</v>
      </c>
      <c r="E253" s="289">
        <v>0</v>
      </c>
      <c r="F253" s="289">
        <v>140354</v>
      </c>
      <c r="G253" s="289">
        <v>0</v>
      </c>
      <c r="H253" s="289">
        <v>0</v>
      </c>
      <c r="I253" s="289">
        <v>131318</v>
      </c>
      <c r="J253" s="517"/>
    </row>
    <row r="254" spans="1:10" ht="13">
      <c r="A254" s="1">
        <v>3441</v>
      </c>
      <c r="B254" s="2" t="s">
        <v>857</v>
      </c>
      <c r="C254" s="289">
        <v>6204</v>
      </c>
      <c r="D254" s="289">
        <v>2800</v>
      </c>
      <c r="E254" s="289">
        <v>0</v>
      </c>
      <c r="F254" s="289">
        <v>148052</v>
      </c>
      <c r="G254" s="289">
        <v>0</v>
      </c>
      <c r="H254" s="289">
        <v>0</v>
      </c>
      <c r="I254" s="289">
        <v>141000</v>
      </c>
      <c r="J254" s="517"/>
    </row>
    <row r="255" spans="1:10" ht="13">
      <c r="A255" s="1">
        <v>3442</v>
      </c>
      <c r="B255" s="2" t="s">
        <v>858</v>
      </c>
      <c r="C255" s="289">
        <v>14887</v>
      </c>
      <c r="D255" s="289">
        <v>1100</v>
      </c>
      <c r="E255" s="289">
        <v>0</v>
      </c>
      <c r="F255" s="289">
        <v>349805</v>
      </c>
      <c r="G255" s="289">
        <v>0</v>
      </c>
      <c r="H255" s="289">
        <v>0</v>
      </c>
      <c r="I255" s="289">
        <v>331237</v>
      </c>
      <c r="J255" s="517"/>
    </row>
    <row r="256" spans="1:10" ht="13">
      <c r="A256" s="1">
        <v>3443</v>
      </c>
      <c r="B256" s="2" t="s">
        <v>859</v>
      </c>
      <c r="C256" s="289">
        <v>13179</v>
      </c>
      <c r="D256" s="289">
        <v>1000</v>
      </c>
      <c r="E256" s="289">
        <v>0</v>
      </c>
      <c r="F256" s="289">
        <v>298912</v>
      </c>
      <c r="G256" s="289">
        <v>0</v>
      </c>
      <c r="H256" s="289">
        <v>0</v>
      </c>
      <c r="I256" s="289">
        <v>289291</v>
      </c>
      <c r="J256" s="517"/>
    </row>
    <row r="257" spans="1:10" ht="13">
      <c r="A257" s="1">
        <v>3446</v>
      </c>
      <c r="B257" s="2" t="s">
        <v>862</v>
      </c>
      <c r="C257" s="289">
        <v>13707</v>
      </c>
      <c r="D257" s="289">
        <v>3100</v>
      </c>
      <c r="E257" s="289">
        <v>0</v>
      </c>
      <c r="F257" s="289">
        <v>341304</v>
      </c>
      <c r="G257" s="289">
        <v>0</v>
      </c>
      <c r="H257" s="289">
        <v>0</v>
      </c>
      <c r="I257" s="289">
        <v>330694</v>
      </c>
      <c r="J257" s="517"/>
    </row>
    <row r="258" spans="1:10" ht="13">
      <c r="A258" s="1">
        <v>3447</v>
      </c>
      <c r="B258" s="2" t="s">
        <v>863</v>
      </c>
      <c r="C258" s="289">
        <v>5717</v>
      </c>
      <c r="D258" s="289">
        <v>4400</v>
      </c>
      <c r="E258" s="289">
        <v>0</v>
      </c>
      <c r="F258" s="289">
        <v>114902</v>
      </c>
      <c r="G258" s="289">
        <v>0</v>
      </c>
      <c r="H258" s="289">
        <v>0</v>
      </c>
      <c r="I258" s="289">
        <v>111262</v>
      </c>
      <c r="J258" s="517"/>
    </row>
    <row r="259" spans="1:10" ht="13">
      <c r="A259" s="1">
        <v>3448</v>
      </c>
      <c r="B259" s="2" t="s">
        <v>864</v>
      </c>
      <c r="C259" s="289">
        <v>6773</v>
      </c>
      <c r="D259" s="289">
        <v>4300</v>
      </c>
      <c r="E259" s="289">
        <v>0</v>
      </c>
      <c r="F259" s="289">
        <v>144950</v>
      </c>
      <c r="G259" s="289">
        <v>0</v>
      </c>
      <c r="H259" s="289">
        <v>0</v>
      </c>
      <c r="I259" s="289">
        <v>140247</v>
      </c>
      <c r="J259" s="517"/>
    </row>
    <row r="260" spans="1:10" ht="13">
      <c r="A260" s="1">
        <v>3449</v>
      </c>
      <c r="B260" s="2" t="s">
        <v>865</v>
      </c>
      <c r="C260" s="289">
        <v>3026</v>
      </c>
      <c r="D260" s="289">
        <v>900</v>
      </c>
      <c r="E260" s="289">
        <v>0</v>
      </c>
      <c r="F260" s="289">
        <v>67880</v>
      </c>
      <c r="G260" s="289">
        <v>0</v>
      </c>
      <c r="H260" s="289">
        <v>0</v>
      </c>
      <c r="I260" s="289">
        <v>66787</v>
      </c>
      <c r="J260" s="517"/>
    </row>
    <row r="261" spans="1:10" ht="13">
      <c r="A261" s="1">
        <v>3450</v>
      </c>
      <c r="B261" s="2" t="s">
        <v>866</v>
      </c>
      <c r="C261" s="289">
        <v>1351</v>
      </c>
      <c r="D261" s="289">
        <v>550</v>
      </c>
      <c r="E261" s="289">
        <v>0</v>
      </c>
      <c r="F261" s="289">
        <v>32167</v>
      </c>
      <c r="G261" s="289">
        <v>0</v>
      </c>
      <c r="H261" s="289">
        <v>0</v>
      </c>
      <c r="I261" s="289">
        <v>28197</v>
      </c>
      <c r="J261" s="517"/>
    </row>
    <row r="262" spans="1:10" ht="13">
      <c r="A262" s="1">
        <v>3451</v>
      </c>
      <c r="B262" s="2" t="s">
        <v>867</v>
      </c>
      <c r="C262" s="289">
        <v>6490</v>
      </c>
      <c r="D262" s="289">
        <v>600</v>
      </c>
      <c r="E262" s="289">
        <v>954</v>
      </c>
      <c r="F262" s="289">
        <v>168668</v>
      </c>
      <c r="G262" s="289">
        <v>0</v>
      </c>
      <c r="H262" s="289">
        <v>0</v>
      </c>
      <c r="I262" s="289">
        <v>160812</v>
      </c>
      <c r="J262" s="517"/>
    </row>
    <row r="263" spans="1:10" ht="13">
      <c r="A263" s="1">
        <v>3452</v>
      </c>
      <c r="B263" s="2" t="s">
        <v>868</v>
      </c>
      <c r="C263" s="289">
        <v>2114</v>
      </c>
      <c r="D263" s="289">
        <v>600</v>
      </c>
      <c r="E263" s="289">
        <v>0</v>
      </c>
      <c r="F263" s="289">
        <v>56445</v>
      </c>
      <c r="G263" s="289">
        <v>0</v>
      </c>
      <c r="H263" s="289">
        <v>0</v>
      </c>
      <c r="I263" s="289">
        <v>54249</v>
      </c>
      <c r="J263" s="517"/>
    </row>
    <row r="264" spans="1:10" ht="13">
      <c r="A264" s="1">
        <v>3453</v>
      </c>
      <c r="B264" s="2" t="s">
        <v>869</v>
      </c>
      <c r="C264" s="289">
        <v>3248</v>
      </c>
      <c r="D264" s="289">
        <v>0</v>
      </c>
      <c r="E264" s="289">
        <v>0</v>
      </c>
      <c r="F264" s="289">
        <v>90424</v>
      </c>
      <c r="G264" s="289">
        <v>0</v>
      </c>
      <c r="H264" s="289">
        <v>0</v>
      </c>
      <c r="I264" s="289">
        <v>81838</v>
      </c>
      <c r="J264" s="517"/>
    </row>
    <row r="265" spans="1:10" ht="13">
      <c r="A265" s="1">
        <v>3454</v>
      </c>
      <c r="B265" s="2" t="s">
        <v>870</v>
      </c>
      <c r="C265" s="289">
        <v>1596</v>
      </c>
      <c r="D265" s="289">
        <v>0</v>
      </c>
      <c r="E265" s="289">
        <v>0</v>
      </c>
      <c r="F265" s="289">
        <v>45896</v>
      </c>
      <c r="G265" s="289">
        <v>0</v>
      </c>
      <c r="H265" s="289">
        <v>0</v>
      </c>
      <c r="I265" s="289">
        <v>44551</v>
      </c>
      <c r="J265" s="517"/>
    </row>
    <row r="266" spans="1:10" ht="13">
      <c r="A266" s="1">
        <v>3801</v>
      </c>
      <c r="B266" s="4" t="s">
        <v>346</v>
      </c>
      <c r="C266" s="289">
        <v>27202</v>
      </c>
      <c r="D266" s="289">
        <v>2050</v>
      </c>
      <c r="E266" s="289">
        <v>0</v>
      </c>
      <c r="F266" s="289">
        <v>663495</v>
      </c>
      <c r="G266" s="289">
        <v>0</v>
      </c>
      <c r="H266" s="289">
        <v>0</v>
      </c>
      <c r="I266" s="289">
        <v>637325</v>
      </c>
      <c r="J266" s="517"/>
    </row>
    <row r="267" spans="1:10" ht="13">
      <c r="A267" s="755">
        <v>3804</v>
      </c>
      <c r="B267" s="756" t="s">
        <v>1153</v>
      </c>
      <c r="C267" s="290">
        <v>62019</v>
      </c>
      <c r="D267" s="290">
        <v>4897</v>
      </c>
      <c r="E267" s="290">
        <v>0</v>
      </c>
      <c r="F267" s="289">
        <v>1617614</v>
      </c>
      <c r="G267" s="290">
        <v>0</v>
      </c>
      <c r="H267" s="290">
        <v>27018</v>
      </c>
      <c r="I267" s="290">
        <v>1565068</v>
      </c>
      <c r="J267" s="517"/>
    </row>
    <row r="268" spans="1:10" ht="13">
      <c r="A268" s="1">
        <v>3805</v>
      </c>
      <c r="B268" s="2" t="s">
        <v>1235</v>
      </c>
      <c r="C268" s="289">
        <v>46557</v>
      </c>
      <c r="D268" s="289">
        <v>3882</v>
      </c>
      <c r="E268" s="289">
        <v>6209</v>
      </c>
      <c r="F268" s="289">
        <v>1204992</v>
      </c>
      <c r="G268" s="289">
        <v>0</v>
      </c>
      <c r="H268" s="289">
        <v>0</v>
      </c>
      <c r="I268" s="289">
        <v>1143575</v>
      </c>
      <c r="J268" s="517"/>
    </row>
    <row r="269" spans="1:10" ht="13">
      <c r="A269" s="1">
        <v>3806</v>
      </c>
      <c r="B269" s="2" t="s">
        <v>904</v>
      </c>
      <c r="C269" s="289">
        <v>36198</v>
      </c>
      <c r="D269" s="289">
        <v>0</v>
      </c>
      <c r="E269" s="289">
        <v>0</v>
      </c>
      <c r="F269" s="289">
        <v>954527</v>
      </c>
      <c r="G269" s="289">
        <v>0</v>
      </c>
      <c r="H269" s="289">
        <v>0</v>
      </c>
      <c r="I269" s="289">
        <v>899390</v>
      </c>
      <c r="J269" s="517"/>
    </row>
    <row r="270" spans="1:10" ht="13">
      <c r="A270" s="1">
        <v>3807</v>
      </c>
      <c r="B270" s="2" t="s">
        <v>905</v>
      </c>
      <c r="C270" s="289">
        <v>54316</v>
      </c>
      <c r="D270" s="289">
        <v>0</v>
      </c>
      <c r="E270" s="289">
        <v>0</v>
      </c>
      <c r="F270" s="289">
        <v>1350528</v>
      </c>
      <c r="G270" s="289">
        <v>0</v>
      </c>
      <c r="H270" s="289">
        <v>0</v>
      </c>
      <c r="I270" s="289">
        <v>1297835</v>
      </c>
      <c r="J270" s="517"/>
    </row>
    <row r="271" spans="1:10" ht="13">
      <c r="A271" s="1">
        <v>3808</v>
      </c>
      <c r="B271" s="2" t="s">
        <v>906</v>
      </c>
      <c r="C271" s="289">
        <v>12757</v>
      </c>
      <c r="D271" s="289">
        <v>3500</v>
      </c>
      <c r="E271" s="289">
        <v>0</v>
      </c>
      <c r="F271" s="289">
        <v>303582</v>
      </c>
      <c r="G271" s="289">
        <v>0</v>
      </c>
      <c r="H271" s="289">
        <v>0</v>
      </c>
      <c r="I271" s="289">
        <v>301197</v>
      </c>
      <c r="J271" s="517"/>
    </row>
    <row r="272" spans="1:10" ht="13">
      <c r="A272" s="1">
        <v>3811</v>
      </c>
      <c r="B272" s="2" t="s">
        <v>1241</v>
      </c>
      <c r="C272" s="289">
        <v>26676</v>
      </c>
      <c r="D272" s="289">
        <v>1963</v>
      </c>
      <c r="E272" s="289">
        <v>9723</v>
      </c>
      <c r="F272" s="289">
        <v>818629</v>
      </c>
      <c r="G272" s="289">
        <v>0</v>
      </c>
      <c r="H272" s="289">
        <v>0</v>
      </c>
      <c r="I272" s="289">
        <v>787439</v>
      </c>
      <c r="J272" s="517"/>
    </row>
    <row r="273" spans="1:10" ht="13">
      <c r="A273" s="1">
        <v>3812</v>
      </c>
      <c r="B273" s="2" t="s">
        <v>907</v>
      </c>
      <c r="C273" s="289">
        <v>2357</v>
      </c>
      <c r="D273" s="289">
        <v>0</v>
      </c>
      <c r="E273" s="289">
        <v>0</v>
      </c>
      <c r="F273" s="289">
        <v>58101</v>
      </c>
      <c r="G273" s="289">
        <v>0</v>
      </c>
      <c r="H273" s="289">
        <v>0</v>
      </c>
      <c r="I273" s="289">
        <v>54288</v>
      </c>
      <c r="J273" s="517"/>
    </row>
    <row r="274" spans="1:10" ht="13">
      <c r="A274" s="1">
        <v>3813</v>
      </c>
      <c r="B274" s="2" t="s">
        <v>908</v>
      </c>
      <c r="C274" s="289">
        <v>14138</v>
      </c>
      <c r="D274" s="289">
        <v>0</v>
      </c>
      <c r="E274" s="289">
        <v>0</v>
      </c>
      <c r="F274" s="289">
        <v>367083</v>
      </c>
      <c r="G274" s="289">
        <v>0</v>
      </c>
      <c r="H274" s="289">
        <v>0</v>
      </c>
      <c r="I274" s="289">
        <v>355108</v>
      </c>
      <c r="J274" s="517"/>
    </row>
    <row r="275" spans="1:10" ht="13">
      <c r="A275" s="1">
        <v>3814</v>
      </c>
      <c r="B275" s="2" t="s">
        <v>910</v>
      </c>
      <c r="C275" s="289">
        <v>10586</v>
      </c>
      <c r="D275" s="289">
        <v>2500</v>
      </c>
      <c r="E275" s="289">
        <v>0</v>
      </c>
      <c r="F275" s="289">
        <v>246804</v>
      </c>
      <c r="G275" s="289">
        <v>0</v>
      </c>
      <c r="H275" s="289">
        <v>0</v>
      </c>
      <c r="I275" s="289">
        <v>238907</v>
      </c>
      <c r="J275" s="517"/>
    </row>
    <row r="276" spans="1:10" ht="13">
      <c r="A276" s="1">
        <v>3815</v>
      </c>
      <c r="B276" s="2" t="s">
        <v>911</v>
      </c>
      <c r="C276" s="289">
        <v>4148</v>
      </c>
      <c r="D276" s="289">
        <v>4000</v>
      </c>
      <c r="E276" s="289">
        <v>0</v>
      </c>
      <c r="F276" s="289">
        <v>85856</v>
      </c>
      <c r="G276" s="289">
        <v>0</v>
      </c>
      <c r="H276" s="289">
        <v>0</v>
      </c>
      <c r="I276" s="289">
        <v>83380</v>
      </c>
      <c r="J276" s="517"/>
    </row>
    <row r="277" spans="1:10" ht="13">
      <c r="A277" s="1">
        <v>3816</v>
      </c>
      <c r="B277" s="2" t="s">
        <v>912</v>
      </c>
      <c r="C277" s="289">
        <v>6585</v>
      </c>
      <c r="D277" s="289">
        <v>9000</v>
      </c>
      <c r="E277" s="289">
        <v>0</v>
      </c>
      <c r="F277" s="289">
        <v>146102</v>
      </c>
      <c r="G277" s="289">
        <v>0</v>
      </c>
      <c r="H277" s="289">
        <v>0</v>
      </c>
      <c r="I277" s="289">
        <v>142744</v>
      </c>
      <c r="J277" s="517"/>
    </row>
    <row r="278" spans="1:10" ht="13">
      <c r="A278" s="1">
        <v>3818</v>
      </c>
      <c r="B278" s="2" t="s">
        <v>920</v>
      </c>
      <c r="C278" s="289">
        <v>5894</v>
      </c>
      <c r="D278" s="289">
        <v>0</v>
      </c>
      <c r="E278" s="289">
        <v>0</v>
      </c>
      <c r="F278" s="289">
        <v>193683</v>
      </c>
      <c r="G278" s="289">
        <v>0</v>
      </c>
      <c r="H278" s="289">
        <v>0</v>
      </c>
      <c r="I278" s="289">
        <v>186961</v>
      </c>
      <c r="J278" s="517"/>
    </row>
    <row r="279" spans="1:10" ht="13">
      <c r="A279" s="1">
        <v>3819</v>
      </c>
      <c r="B279" s="2" t="s">
        <v>921</v>
      </c>
      <c r="C279" s="289">
        <v>1593</v>
      </c>
      <c r="D279" s="289">
        <v>1700</v>
      </c>
      <c r="E279" s="289">
        <v>0</v>
      </c>
      <c r="F279" s="289">
        <v>43631</v>
      </c>
      <c r="G279" s="289">
        <v>0</v>
      </c>
      <c r="H279" s="289">
        <v>0</v>
      </c>
      <c r="I279" s="289">
        <v>40643</v>
      </c>
      <c r="J279" s="517"/>
    </row>
    <row r="280" spans="1:10" ht="13">
      <c r="A280" s="1">
        <v>3820</v>
      </c>
      <c r="B280" s="2" t="s">
        <v>922</v>
      </c>
      <c r="C280" s="289">
        <v>2979</v>
      </c>
      <c r="D280" s="289">
        <v>1000</v>
      </c>
      <c r="E280" s="289">
        <v>0</v>
      </c>
      <c r="F280" s="289">
        <v>76975</v>
      </c>
      <c r="G280" s="289">
        <v>0</v>
      </c>
      <c r="H280" s="289">
        <v>0</v>
      </c>
      <c r="I280" s="289">
        <v>77709</v>
      </c>
      <c r="J280" s="517"/>
    </row>
    <row r="281" spans="1:10" ht="13">
      <c r="A281" s="1">
        <v>3821</v>
      </c>
      <c r="B281" s="2" t="s">
        <v>923</v>
      </c>
      <c r="C281" s="289">
        <v>2442</v>
      </c>
      <c r="D281" s="289">
        <v>0</v>
      </c>
      <c r="E281" s="289">
        <v>0</v>
      </c>
      <c r="F281" s="289">
        <v>59445</v>
      </c>
      <c r="G281" s="289">
        <v>0</v>
      </c>
      <c r="H281" s="289">
        <v>0</v>
      </c>
      <c r="I281" s="289">
        <v>59167</v>
      </c>
      <c r="J281" s="517"/>
    </row>
    <row r="282" spans="1:10" ht="13">
      <c r="A282" s="1">
        <v>3822</v>
      </c>
      <c r="B282" s="2" t="s">
        <v>924</v>
      </c>
      <c r="C282" s="289">
        <v>1476</v>
      </c>
      <c r="D282" s="289">
        <v>0</v>
      </c>
      <c r="E282" s="289">
        <v>0</v>
      </c>
      <c r="F282" s="289">
        <v>41800</v>
      </c>
      <c r="G282" s="289">
        <v>0</v>
      </c>
      <c r="H282" s="289">
        <v>0</v>
      </c>
      <c r="I282" s="289">
        <v>39677</v>
      </c>
      <c r="J282" s="517"/>
    </row>
    <row r="283" spans="1:10" ht="13">
      <c r="A283" s="1">
        <v>3823</v>
      </c>
      <c r="B283" s="2" t="s">
        <v>925</v>
      </c>
      <c r="C283" s="289">
        <v>1319</v>
      </c>
      <c r="D283" s="289">
        <v>0</v>
      </c>
      <c r="E283" s="289">
        <v>0</v>
      </c>
      <c r="F283" s="289">
        <v>31788</v>
      </c>
      <c r="G283" s="289">
        <v>0</v>
      </c>
      <c r="H283" s="289">
        <v>0</v>
      </c>
      <c r="I283" s="289">
        <v>31376</v>
      </c>
      <c r="J283" s="517"/>
    </row>
    <row r="284" spans="1:10" ht="13">
      <c r="A284" s="1">
        <v>3824</v>
      </c>
      <c r="B284" s="2" t="s">
        <v>926</v>
      </c>
      <c r="C284" s="289">
        <v>2228</v>
      </c>
      <c r="D284" s="289">
        <v>0</v>
      </c>
      <c r="E284" s="289">
        <v>0</v>
      </c>
      <c r="F284" s="289">
        <v>75885</v>
      </c>
      <c r="G284" s="289">
        <v>0</v>
      </c>
      <c r="H284" s="289">
        <v>0</v>
      </c>
      <c r="I284" s="289">
        <v>75679</v>
      </c>
      <c r="J284" s="517"/>
    </row>
    <row r="285" spans="1:10" ht="13">
      <c r="A285" s="1">
        <v>3825</v>
      </c>
      <c r="B285" s="2" t="s">
        <v>927</v>
      </c>
      <c r="C285" s="289">
        <v>3726</v>
      </c>
      <c r="D285" s="289">
        <v>0</v>
      </c>
      <c r="E285" s="289">
        <v>0</v>
      </c>
      <c r="F285" s="289">
        <v>147662</v>
      </c>
      <c r="G285" s="289">
        <v>0</v>
      </c>
      <c r="H285" s="289">
        <v>0</v>
      </c>
      <c r="I285" s="289">
        <v>139735</v>
      </c>
      <c r="J285" s="517"/>
    </row>
    <row r="286" spans="1:10" ht="13">
      <c r="A286" s="1">
        <v>4201</v>
      </c>
      <c r="B286" s="2" t="s">
        <v>928</v>
      </c>
      <c r="C286" s="289">
        <v>6936</v>
      </c>
      <c r="D286" s="289">
        <v>1150</v>
      </c>
      <c r="E286" s="289">
        <v>0</v>
      </c>
      <c r="F286" s="289">
        <v>169353</v>
      </c>
      <c r="G286" s="289">
        <v>0</v>
      </c>
      <c r="H286" s="289">
        <v>0</v>
      </c>
      <c r="I286" s="289">
        <v>167375</v>
      </c>
      <c r="J286" s="517"/>
    </row>
    <row r="287" spans="1:10" ht="13">
      <c r="A287" s="1">
        <v>4202</v>
      </c>
      <c r="B287" s="2" t="s">
        <v>929</v>
      </c>
      <c r="C287" s="289">
        <v>22692</v>
      </c>
      <c r="D287" s="289">
        <v>1600</v>
      </c>
      <c r="E287" s="289">
        <v>0</v>
      </c>
      <c r="F287" s="289">
        <v>697877</v>
      </c>
      <c r="G287" s="289">
        <v>702</v>
      </c>
      <c r="H287" s="289">
        <v>0</v>
      </c>
      <c r="I287" s="289">
        <v>604347</v>
      </c>
      <c r="J287" s="517"/>
    </row>
    <row r="288" spans="1:10" ht="13">
      <c r="A288" s="1">
        <v>4203</v>
      </c>
      <c r="B288" s="2" t="s">
        <v>930</v>
      </c>
      <c r="C288" s="289">
        <v>44576</v>
      </c>
      <c r="D288" s="289">
        <v>5000</v>
      </c>
      <c r="E288" s="289">
        <v>0</v>
      </c>
      <c r="F288" s="289">
        <v>1108405</v>
      </c>
      <c r="G288" s="289">
        <v>0</v>
      </c>
      <c r="H288" s="289">
        <v>0</v>
      </c>
      <c r="I288" s="289">
        <v>1080289</v>
      </c>
      <c r="J288" s="517"/>
    </row>
    <row r="289" spans="1:10" ht="13">
      <c r="A289" s="1">
        <v>4206</v>
      </c>
      <c r="B289" s="2" t="s">
        <v>944</v>
      </c>
      <c r="C289" s="289">
        <v>9769</v>
      </c>
      <c r="D289" s="289">
        <v>1500</v>
      </c>
      <c r="E289" s="289">
        <v>1986</v>
      </c>
      <c r="F289" s="289">
        <v>236748</v>
      </c>
      <c r="G289" s="289">
        <v>0</v>
      </c>
      <c r="H289" s="289">
        <v>0</v>
      </c>
      <c r="I289" s="289">
        <v>232824</v>
      </c>
      <c r="J289" s="517"/>
    </row>
    <row r="290" spans="1:10" ht="13">
      <c r="A290" s="1">
        <v>4207</v>
      </c>
      <c r="B290" s="2" t="s">
        <v>946</v>
      </c>
      <c r="C290" s="289">
        <v>9090</v>
      </c>
      <c r="D290" s="289">
        <v>900</v>
      </c>
      <c r="E290" s="289">
        <v>0</v>
      </c>
      <c r="F290" s="289">
        <v>235474</v>
      </c>
      <c r="G290" s="289">
        <v>0</v>
      </c>
      <c r="H290" s="289">
        <v>0</v>
      </c>
      <c r="I290" s="289">
        <v>234968</v>
      </c>
      <c r="J290" s="517"/>
    </row>
    <row r="291" spans="1:10" ht="13">
      <c r="A291" s="1">
        <v>4211</v>
      </c>
      <c r="B291" s="2" t="s">
        <v>931</v>
      </c>
      <c r="C291" s="289">
        <v>2511</v>
      </c>
      <c r="D291" s="289">
        <v>2100</v>
      </c>
      <c r="E291" s="289">
        <v>0</v>
      </c>
      <c r="F291" s="289">
        <v>47795</v>
      </c>
      <c r="G291" s="289">
        <v>0</v>
      </c>
      <c r="H291" s="289">
        <v>0</v>
      </c>
      <c r="I291" s="289">
        <v>50912</v>
      </c>
      <c r="J291" s="517"/>
    </row>
    <row r="292" spans="1:10" ht="13">
      <c r="A292" s="1">
        <v>4212</v>
      </c>
      <c r="B292" s="4" t="s">
        <v>706</v>
      </c>
      <c r="C292" s="289">
        <v>2104</v>
      </c>
      <c r="D292" s="289">
        <v>2300</v>
      </c>
      <c r="E292" s="289">
        <v>0</v>
      </c>
      <c r="F292" s="289">
        <v>43057</v>
      </c>
      <c r="G292" s="289">
        <v>0</v>
      </c>
      <c r="H292" s="289">
        <v>0</v>
      </c>
      <c r="I292" s="289">
        <v>38688</v>
      </c>
      <c r="J292" s="517"/>
    </row>
    <row r="293" spans="1:10" ht="13">
      <c r="A293" s="1">
        <v>4213</v>
      </c>
      <c r="B293" s="2" t="s">
        <v>932</v>
      </c>
      <c r="C293" s="289">
        <v>6051</v>
      </c>
      <c r="D293" s="289">
        <v>0</v>
      </c>
      <c r="E293" s="289">
        <v>0</v>
      </c>
      <c r="F293" s="289">
        <v>140112</v>
      </c>
      <c r="G293" s="289">
        <v>0</v>
      </c>
      <c r="H293" s="289">
        <v>0</v>
      </c>
      <c r="I293" s="289">
        <v>139825</v>
      </c>
      <c r="J293" s="517"/>
    </row>
    <row r="294" spans="1:10" ht="13">
      <c r="A294" s="1">
        <v>4214</v>
      </c>
      <c r="B294" s="2" t="s">
        <v>933</v>
      </c>
      <c r="C294" s="289">
        <v>5713</v>
      </c>
      <c r="D294" s="289">
        <v>300</v>
      </c>
      <c r="E294" s="289">
        <v>0</v>
      </c>
      <c r="F294" s="289">
        <v>126994</v>
      </c>
      <c r="G294" s="289">
        <v>0</v>
      </c>
      <c r="H294" s="289">
        <v>0</v>
      </c>
      <c r="I294" s="289">
        <v>118832</v>
      </c>
      <c r="J294" s="517"/>
    </row>
    <row r="295" spans="1:10" ht="13">
      <c r="A295" s="1">
        <v>4215</v>
      </c>
      <c r="B295" s="2" t="s">
        <v>934</v>
      </c>
      <c r="C295" s="289">
        <v>10702</v>
      </c>
      <c r="D295" s="289">
        <v>1850</v>
      </c>
      <c r="E295" s="289">
        <v>0</v>
      </c>
      <c r="F295" s="289">
        <v>288478</v>
      </c>
      <c r="G295" s="289">
        <v>2293</v>
      </c>
      <c r="H295" s="289">
        <v>0</v>
      </c>
      <c r="I295" s="289">
        <v>278121</v>
      </c>
      <c r="J295" s="517"/>
    </row>
    <row r="296" spans="1:10" ht="13">
      <c r="A296" s="1">
        <v>4216</v>
      </c>
      <c r="B296" s="2" t="s">
        <v>935</v>
      </c>
      <c r="C296" s="289">
        <v>5178</v>
      </c>
      <c r="D296" s="289">
        <v>0</v>
      </c>
      <c r="E296" s="289">
        <v>1602</v>
      </c>
      <c r="F296" s="289">
        <v>106505</v>
      </c>
      <c r="G296" s="289">
        <v>15</v>
      </c>
      <c r="H296" s="289">
        <v>0</v>
      </c>
      <c r="I296" s="289">
        <v>100305</v>
      </c>
      <c r="J296" s="517"/>
    </row>
    <row r="297" spans="1:10" ht="13">
      <c r="A297" s="1">
        <v>4217</v>
      </c>
      <c r="B297" s="2" t="s">
        <v>936</v>
      </c>
      <c r="C297" s="289">
        <v>1856</v>
      </c>
      <c r="D297" s="289">
        <v>2050</v>
      </c>
      <c r="E297" s="289">
        <v>0</v>
      </c>
      <c r="F297" s="289">
        <v>47046</v>
      </c>
      <c r="G297" s="289">
        <v>0</v>
      </c>
      <c r="H297" s="289">
        <v>0</v>
      </c>
      <c r="I297" s="289">
        <v>44122</v>
      </c>
      <c r="J297" s="517"/>
    </row>
    <row r="298" spans="1:10" ht="13">
      <c r="A298" s="1">
        <v>4218</v>
      </c>
      <c r="B298" s="2" t="s">
        <v>937</v>
      </c>
      <c r="C298" s="289">
        <v>1342</v>
      </c>
      <c r="D298" s="289">
        <v>850</v>
      </c>
      <c r="E298" s="289">
        <v>0</v>
      </c>
      <c r="F298" s="289">
        <v>29311</v>
      </c>
      <c r="G298" s="289">
        <v>0</v>
      </c>
      <c r="H298" s="289">
        <v>0</v>
      </c>
      <c r="I298" s="289">
        <v>27581</v>
      </c>
      <c r="J298" s="517"/>
    </row>
    <row r="299" spans="1:10" ht="13">
      <c r="A299" s="1">
        <v>4219</v>
      </c>
      <c r="B299" s="4" t="s">
        <v>938</v>
      </c>
      <c r="C299" s="289">
        <v>3614</v>
      </c>
      <c r="D299" s="289">
        <v>300</v>
      </c>
      <c r="E299" s="289">
        <v>1140</v>
      </c>
      <c r="F299" s="289">
        <v>78942</v>
      </c>
      <c r="G299" s="289">
        <v>0</v>
      </c>
      <c r="H299" s="289">
        <v>0</v>
      </c>
      <c r="I299" s="289">
        <v>74820</v>
      </c>
      <c r="J299" s="517"/>
    </row>
    <row r="300" spans="1:10" ht="13">
      <c r="A300" s="1">
        <v>4220</v>
      </c>
      <c r="B300" s="2" t="s">
        <v>939</v>
      </c>
      <c r="C300" s="289">
        <v>1200</v>
      </c>
      <c r="D300" s="289">
        <v>800</v>
      </c>
      <c r="E300" s="289">
        <v>0</v>
      </c>
      <c r="F300" s="289">
        <v>28833</v>
      </c>
      <c r="G300" s="289">
        <v>0</v>
      </c>
      <c r="H300" s="289">
        <v>0</v>
      </c>
      <c r="I300" s="289">
        <v>28977</v>
      </c>
      <c r="J300" s="517"/>
    </row>
    <row r="301" spans="1:10" ht="13">
      <c r="A301" s="1">
        <v>4221</v>
      </c>
      <c r="B301" s="2" t="s">
        <v>940</v>
      </c>
      <c r="C301" s="289">
        <v>1246</v>
      </c>
      <c r="D301" s="289">
        <v>0</v>
      </c>
      <c r="E301" s="289">
        <v>0</v>
      </c>
      <c r="F301" s="289">
        <v>45044</v>
      </c>
      <c r="G301" s="289">
        <v>0</v>
      </c>
      <c r="H301" s="289">
        <v>0</v>
      </c>
      <c r="I301" s="289">
        <v>44213</v>
      </c>
      <c r="J301" s="517"/>
    </row>
    <row r="302" spans="1:10" ht="13">
      <c r="A302" s="1">
        <v>4222</v>
      </c>
      <c r="B302" s="2" t="s">
        <v>941</v>
      </c>
      <c r="C302" s="289">
        <v>952</v>
      </c>
      <c r="D302" s="289">
        <v>0</v>
      </c>
      <c r="E302" s="289">
        <v>0</v>
      </c>
      <c r="F302" s="289">
        <v>71358</v>
      </c>
      <c r="G302" s="289">
        <v>0</v>
      </c>
      <c r="H302" s="289">
        <v>0</v>
      </c>
      <c r="I302" s="289">
        <v>69604</v>
      </c>
      <c r="J302" s="517"/>
    </row>
    <row r="303" spans="1:10" ht="13">
      <c r="A303" s="1">
        <v>4223</v>
      </c>
      <c r="B303" s="2" t="s">
        <v>947</v>
      </c>
      <c r="C303" s="289">
        <v>14425</v>
      </c>
      <c r="D303" s="289">
        <v>2400</v>
      </c>
      <c r="E303" s="289">
        <v>2311</v>
      </c>
      <c r="F303" s="289">
        <v>303650</v>
      </c>
      <c r="G303" s="289">
        <v>0</v>
      </c>
      <c r="H303" s="289">
        <v>0</v>
      </c>
      <c r="I303" s="289">
        <v>289237</v>
      </c>
      <c r="J303" s="517"/>
    </row>
    <row r="304" spans="1:10" ht="13">
      <c r="A304" s="1">
        <v>4224</v>
      </c>
      <c r="B304" s="2" t="s">
        <v>951</v>
      </c>
      <c r="C304" s="289">
        <v>937</v>
      </c>
      <c r="D304" s="289">
        <v>0</v>
      </c>
      <c r="E304" s="289">
        <v>0</v>
      </c>
      <c r="F304" s="289">
        <v>36585</v>
      </c>
      <c r="G304" s="289">
        <v>0</v>
      </c>
      <c r="H304" s="289">
        <v>0</v>
      </c>
      <c r="I304" s="289">
        <v>34080</v>
      </c>
      <c r="J304" s="517"/>
    </row>
    <row r="305" spans="1:10" ht="13">
      <c r="A305" s="1">
        <v>4226</v>
      </c>
      <c r="B305" s="2" t="s">
        <v>955</v>
      </c>
      <c r="C305" s="289">
        <v>1702</v>
      </c>
      <c r="D305" s="289">
        <v>1550</v>
      </c>
      <c r="E305" s="289">
        <v>0</v>
      </c>
      <c r="F305" s="289">
        <v>39047</v>
      </c>
      <c r="G305" s="289">
        <v>0</v>
      </c>
      <c r="H305" s="289">
        <v>0</v>
      </c>
      <c r="I305" s="289">
        <v>38210</v>
      </c>
      <c r="J305" s="517"/>
    </row>
    <row r="306" spans="1:10" ht="13">
      <c r="A306" s="1">
        <v>4227</v>
      </c>
      <c r="B306" s="2" t="s">
        <v>956</v>
      </c>
      <c r="C306" s="289">
        <v>5988</v>
      </c>
      <c r="D306" s="289">
        <v>0</v>
      </c>
      <c r="E306" s="289">
        <v>0</v>
      </c>
      <c r="F306" s="289">
        <v>159751</v>
      </c>
      <c r="G306" s="289">
        <v>0</v>
      </c>
      <c r="H306" s="289">
        <v>0</v>
      </c>
      <c r="I306" s="289">
        <v>155451</v>
      </c>
      <c r="J306" s="517"/>
    </row>
    <row r="307" spans="1:10" ht="13">
      <c r="A307" s="1">
        <v>4228</v>
      </c>
      <c r="B307" s="2" t="s">
        <v>957</v>
      </c>
      <c r="C307" s="289">
        <v>1836</v>
      </c>
      <c r="D307" s="289">
        <v>0</v>
      </c>
      <c r="E307" s="289">
        <v>0</v>
      </c>
      <c r="F307" s="289">
        <v>97913</v>
      </c>
      <c r="G307" s="289">
        <v>0</v>
      </c>
      <c r="H307" s="289">
        <v>0</v>
      </c>
      <c r="I307" s="289">
        <v>91636</v>
      </c>
      <c r="J307" s="517"/>
    </row>
    <row r="308" spans="1:10" ht="13">
      <c r="A308" s="1">
        <v>4601</v>
      </c>
      <c r="B308" s="2" t="s">
        <v>23</v>
      </c>
      <c r="C308" s="289">
        <v>278556</v>
      </c>
      <c r="D308" s="289">
        <v>16700</v>
      </c>
      <c r="E308" s="289">
        <v>0</v>
      </c>
      <c r="F308" s="289">
        <v>8795465</v>
      </c>
      <c r="G308" s="289">
        <v>0</v>
      </c>
      <c r="H308" s="289">
        <v>0</v>
      </c>
      <c r="I308" s="289">
        <v>8707661</v>
      </c>
      <c r="J308" s="517"/>
    </row>
    <row r="309" spans="1:10" ht="13">
      <c r="A309" s="1">
        <v>4611</v>
      </c>
      <c r="B309" s="2" t="s">
        <v>24</v>
      </c>
      <c r="C309" s="289">
        <v>4135</v>
      </c>
      <c r="D309" s="289">
        <v>3600</v>
      </c>
      <c r="E309" s="289">
        <v>0</v>
      </c>
      <c r="F309" s="289">
        <v>101891</v>
      </c>
      <c r="G309" s="289">
        <v>0</v>
      </c>
      <c r="H309" s="289">
        <v>0</v>
      </c>
      <c r="I309" s="289">
        <v>100476</v>
      </c>
      <c r="J309" s="517"/>
    </row>
    <row r="310" spans="1:10" ht="13">
      <c r="A310" s="1">
        <v>4612</v>
      </c>
      <c r="B310" s="2" t="s">
        <v>25</v>
      </c>
      <c r="C310" s="289">
        <v>5656</v>
      </c>
      <c r="D310" s="289">
        <v>3800</v>
      </c>
      <c r="E310" s="289">
        <v>0</v>
      </c>
      <c r="F310" s="289">
        <v>160876</v>
      </c>
      <c r="G310" s="289">
        <v>0</v>
      </c>
      <c r="H310" s="289">
        <v>0</v>
      </c>
      <c r="I310" s="289">
        <v>130903</v>
      </c>
      <c r="J310" s="517"/>
    </row>
    <row r="311" spans="1:10" ht="13">
      <c r="A311" s="1">
        <v>4613</v>
      </c>
      <c r="B311" s="2" t="s">
        <v>26</v>
      </c>
      <c r="C311" s="289">
        <v>11806</v>
      </c>
      <c r="D311" s="289">
        <v>9700</v>
      </c>
      <c r="E311" s="289">
        <v>0</v>
      </c>
      <c r="F311" s="289">
        <v>315438</v>
      </c>
      <c r="G311" s="289">
        <v>0</v>
      </c>
      <c r="H311" s="289">
        <v>0</v>
      </c>
      <c r="I311" s="289">
        <v>340199</v>
      </c>
      <c r="J311" s="517"/>
    </row>
    <row r="312" spans="1:10" ht="13">
      <c r="A312" s="1">
        <v>4614</v>
      </c>
      <c r="B312" s="2" t="s">
        <v>27</v>
      </c>
      <c r="C312" s="289">
        <v>18821</v>
      </c>
      <c r="D312" s="289">
        <v>2300</v>
      </c>
      <c r="E312" s="289">
        <v>2578</v>
      </c>
      <c r="F312" s="289">
        <v>497783</v>
      </c>
      <c r="G312" s="289">
        <v>0</v>
      </c>
      <c r="H312" s="289">
        <v>0</v>
      </c>
      <c r="I312" s="289">
        <v>488716</v>
      </c>
      <c r="J312" s="517"/>
    </row>
    <row r="313" spans="1:10" ht="13">
      <c r="A313" s="1">
        <v>4615</v>
      </c>
      <c r="B313" s="2" t="s">
        <v>28</v>
      </c>
      <c r="C313" s="289">
        <v>3189</v>
      </c>
      <c r="D313" s="289">
        <v>3100</v>
      </c>
      <c r="E313" s="289">
        <v>0</v>
      </c>
      <c r="F313" s="289">
        <v>80561</v>
      </c>
      <c r="G313" s="289">
        <v>644</v>
      </c>
      <c r="H313" s="289">
        <v>0</v>
      </c>
      <c r="I313" s="289">
        <v>84396</v>
      </c>
      <c r="J313" s="517"/>
    </row>
    <row r="314" spans="1:10" ht="13">
      <c r="A314" s="1">
        <v>4616</v>
      </c>
      <c r="B314" s="2" t="s">
        <v>29</v>
      </c>
      <c r="C314" s="289">
        <v>2847</v>
      </c>
      <c r="D314" s="289">
        <v>4000</v>
      </c>
      <c r="E314" s="289">
        <v>0</v>
      </c>
      <c r="F314" s="289">
        <v>83729</v>
      </c>
      <c r="G314" s="289">
        <v>0</v>
      </c>
      <c r="H314" s="289">
        <v>0</v>
      </c>
      <c r="I314" s="289">
        <v>76308</v>
      </c>
      <c r="J314" s="517"/>
    </row>
    <row r="315" spans="1:10" ht="13">
      <c r="A315" s="1">
        <v>4617</v>
      </c>
      <c r="B315" s="2" t="s">
        <v>30</v>
      </c>
      <c r="C315" s="289">
        <v>13241</v>
      </c>
      <c r="D315" s="289">
        <v>0</v>
      </c>
      <c r="E315" s="289">
        <v>0</v>
      </c>
      <c r="F315" s="289">
        <v>343907</v>
      </c>
      <c r="G315" s="289">
        <v>0</v>
      </c>
      <c r="H315" s="289">
        <v>0</v>
      </c>
      <c r="I315" s="289">
        <v>335516</v>
      </c>
      <c r="J315" s="517"/>
    </row>
    <row r="316" spans="1:10" ht="13">
      <c r="A316" s="1">
        <v>4619</v>
      </c>
      <c r="B316" s="2" t="s">
        <v>34</v>
      </c>
      <c r="C316" s="289">
        <v>921</v>
      </c>
      <c r="D316" s="289">
        <v>0</v>
      </c>
      <c r="E316" s="289">
        <v>0</v>
      </c>
      <c r="F316" s="289">
        <v>55245</v>
      </c>
      <c r="G316" s="289">
        <v>0</v>
      </c>
      <c r="H316" s="289">
        <v>0</v>
      </c>
      <c r="I316" s="289">
        <v>52787</v>
      </c>
      <c r="J316" s="517"/>
    </row>
    <row r="317" spans="1:10" ht="13">
      <c r="A317" s="1">
        <v>4620</v>
      </c>
      <c r="B317" s="2" t="s">
        <v>35</v>
      </c>
      <c r="C317" s="289">
        <v>1131</v>
      </c>
      <c r="D317" s="289">
        <v>0</v>
      </c>
      <c r="E317" s="289">
        <v>0</v>
      </c>
      <c r="F317" s="289">
        <v>34103</v>
      </c>
      <c r="G317" s="289">
        <v>0</v>
      </c>
      <c r="H317" s="289">
        <v>0</v>
      </c>
      <c r="I317" s="289">
        <v>34173</v>
      </c>
      <c r="J317" s="517"/>
    </row>
    <row r="318" spans="1:10" ht="13">
      <c r="A318" s="1">
        <v>4622</v>
      </c>
      <c r="B318" s="2" t="s">
        <v>38</v>
      </c>
      <c r="C318" s="289">
        <v>8423</v>
      </c>
      <c r="D318" s="289">
        <v>8800</v>
      </c>
      <c r="E318" s="289">
        <v>0</v>
      </c>
      <c r="F318" s="289">
        <v>216753</v>
      </c>
      <c r="G318" s="289">
        <v>0</v>
      </c>
      <c r="H318" s="289">
        <v>0</v>
      </c>
      <c r="I318" s="289">
        <v>212701</v>
      </c>
      <c r="J318" s="517"/>
    </row>
    <row r="319" spans="1:10" ht="13">
      <c r="A319" s="1">
        <v>4623</v>
      </c>
      <c r="B319" s="2" t="s">
        <v>40</v>
      </c>
      <c r="C319" s="289">
        <v>2488</v>
      </c>
      <c r="D319" s="289">
        <v>2400</v>
      </c>
      <c r="E319" s="289">
        <v>0</v>
      </c>
      <c r="F319" s="289">
        <v>66651</v>
      </c>
      <c r="G319" s="289">
        <v>0</v>
      </c>
      <c r="H319" s="289">
        <v>0</v>
      </c>
      <c r="I319" s="289">
        <v>65531</v>
      </c>
      <c r="J319" s="517"/>
    </row>
    <row r="320" spans="1:10" ht="13">
      <c r="A320" s="1">
        <v>4625</v>
      </c>
      <c r="B320" s="2" t="s">
        <v>41</v>
      </c>
      <c r="C320" s="289">
        <v>5156</v>
      </c>
      <c r="D320" s="289">
        <v>1700</v>
      </c>
      <c r="E320" s="289">
        <v>0</v>
      </c>
      <c r="F320" s="289">
        <v>219330</v>
      </c>
      <c r="G320" s="289">
        <v>1443</v>
      </c>
      <c r="H320" s="289">
        <v>0</v>
      </c>
      <c r="I320" s="289">
        <v>200516</v>
      </c>
      <c r="J320" s="517"/>
    </row>
    <row r="321" spans="1:10" ht="13">
      <c r="A321" s="1">
        <v>4627</v>
      </c>
      <c r="B321" s="2" t="s">
        <v>44</v>
      </c>
      <c r="C321" s="289">
        <v>28821</v>
      </c>
      <c r="D321" s="289">
        <v>1800</v>
      </c>
      <c r="E321" s="289">
        <v>0</v>
      </c>
      <c r="F321" s="289">
        <v>715328</v>
      </c>
      <c r="G321" s="289">
        <v>7929</v>
      </c>
      <c r="H321" s="289">
        <v>0</v>
      </c>
      <c r="I321" s="289">
        <v>684373</v>
      </c>
      <c r="J321" s="517"/>
    </row>
    <row r="322" spans="1:10" ht="13">
      <c r="A322" s="1">
        <v>4628</v>
      </c>
      <c r="B322" s="2" t="s">
        <v>45</v>
      </c>
      <c r="C322" s="289">
        <v>4123</v>
      </c>
      <c r="D322" s="289">
        <v>1000</v>
      </c>
      <c r="E322" s="289">
        <v>0</v>
      </c>
      <c r="F322" s="289">
        <v>103284</v>
      </c>
      <c r="G322" s="289">
        <v>0</v>
      </c>
      <c r="H322" s="289">
        <v>0</v>
      </c>
      <c r="I322" s="289">
        <v>100840</v>
      </c>
      <c r="J322" s="517"/>
    </row>
    <row r="323" spans="1:10" ht="13">
      <c r="A323" s="1">
        <v>4629</v>
      </c>
      <c r="B323" s="2" t="s">
        <v>46</v>
      </c>
      <c r="C323" s="289">
        <v>383</v>
      </c>
      <c r="D323" s="289">
        <v>0</v>
      </c>
      <c r="E323" s="289">
        <v>0</v>
      </c>
      <c r="F323" s="289">
        <v>23713</v>
      </c>
      <c r="G323" s="289">
        <v>0</v>
      </c>
      <c r="H323" s="289">
        <v>0</v>
      </c>
      <c r="I323" s="289">
        <v>24758</v>
      </c>
      <c r="J323" s="517"/>
    </row>
    <row r="324" spans="1:10" ht="13">
      <c r="A324" s="1">
        <v>4630</v>
      </c>
      <c r="B324" s="2" t="s">
        <v>47</v>
      </c>
      <c r="C324" s="289">
        <v>8026</v>
      </c>
      <c r="D324" s="289">
        <v>4400</v>
      </c>
      <c r="E324" s="289">
        <v>0</v>
      </c>
      <c r="F324" s="289">
        <v>190980</v>
      </c>
      <c r="G324" s="289">
        <v>0</v>
      </c>
      <c r="H324" s="289">
        <v>0</v>
      </c>
      <c r="I324" s="289">
        <v>179015</v>
      </c>
      <c r="J324" s="517"/>
    </row>
    <row r="325" spans="1:10" ht="13">
      <c r="A325" s="1">
        <v>4632</v>
      </c>
      <c r="B325" s="2" t="s">
        <v>55</v>
      </c>
      <c r="C325" s="289">
        <v>2884</v>
      </c>
      <c r="D325" s="289">
        <v>2000</v>
      </c>
      <c r="E325" s="289">
        <v>0</v>
      </c>
      <c r="F325" s="289">
        <v>85691</v>
      </c>
      <c r="G325" s="289">
        <v>0</v>
      </c>
      <c r="H325" s="289">
        <v>0</v>
      </c>
      <c r="I325" s="289">
        <v>88559</v>
      </c>
      <c r="J325" s="517"/>
    </row>
    <row r="326" spans="1:10" ht="13">
      <c r="A326" s="1">
        <v>4633</v>
      </c>
      <c r="B326" s="2" t="s">
        <v>56</v>
      </c>
      <c r="C326" s="289">
        <v>587</v>
      </c>
      <c r="D326" s="289">
        <v>1500</v>
      </c>
      <c r="E326" s="289">
        <v>0</v>
      </c>
      <c r="F326" s="289">
        <v>13627</v>
      </c>
      <c r="G326" s="289">
        <v>0</v>
      </c>
      <c r="H326" s="289">
        <v>0</v>
      </c>
      <c r="I326" s="289">
        <v>13743</v>
      </c>
      <c r="J326" s="517"/>
    </row>
    <row r="327" spans="1:10" ht="13">
      <c r="A327" s="1">
        <v>4634</v>
      </c>
      <c r="B327" s="2" t="s">
        <v>57</v>
      </c>
      <c r="C327" s="289">
        <v>1710</v>
      </c>
      <c r="D327" s="289">
        <v>0</v>
      </c>
      <c r="E327" s="289">
        <v>0</v>
      </c>
      <c r="F327" s="289">
        <v>54844</v>
      </c>
      <c r="G327" s="289">
        <v>0</v>
      </c>
      <c r="H327" s="289">
        <v>0</v>
      </c>
      <c r="I327" s="289">
        <v>54093</v>
      </c>
      <c r="J327" s="517"/>
    </row>
    <row r="328" spans="1:10" ht="13">
      <c r="A328" s="1">
        <v>4635</v>
      </c>
      <c r="B328" s="2" t="s">
        <v>59</v>
      </c>
      <c r="C328" s="289">
        <v>2371</v>
      </c>
      <c r="D328" s="289">
        <v>1000</v>
      </c>
      <c r="E328" s="289">
        <v>0</v>
      </c>
      <c r="F328" s="289">
        <v>70894</v>
      </c>
      <c r="G328" s="289">
        <v>0</v>
      </c>
      <c r="H328" s="289">
        <v>0</v>
      </c>
      <c r="I328" s="289">
        <v>71148</v>
      </c>
      <c r="J328" s="517"/>
    </row>
    <row r="329" spans="1:10" ht="13">
      <c r="A329" s="1">
        <v>4636</v>
      </c>
      <c r="B329" s="2" t="s">
        <v>60</v>
      </c>
      <c r="C329" s="289">
        <v>794</v>
      </c>
      <c r="D329" s="289">
        <v>2650</v>
      </c>
      <c r="E329" s="289">
        <v>0</v>
      </c>
      <c r="F329" s="289">
        <v>21810</v>
      </c>
      <c r="G329" s="289">
        <v>0</v>
      </c>
      <c r="H329" s="289">
        <v>0</v>
      </c>
      <c r="I329" s="289">
        <v>20256</v>
      </c>
      <c r="J329" s="517"/>
    </row>
    <row r="330" spans="1:10" ht="13">
      <c r="A330" s="1">
        <v>4637</v>
      </c>
      <c r="B330" s="2" t="s">
        <v>61</v>
      </c>
      <c r="C330" s="289">
        <v>1438</v>
      </c>
      <c r="D330" s="289">
        <v>2000</v>
      </c>
      <c r="E330" s="289">
        <v>0</v>
      </c>
      <c r="F330" s="289">
        <v>34993</v>
      </c>
      <c r="G330" s="289">
        <v>0</v>
      </c>
      <c r="H330" s="289">
        <v>0</v>
      </c>
      <c r="I330" s="289">
        <v>35334</v>
      </c>
      <c r="J330" s="517"/>
    </row>
    <row r="331" spans="1:10" ht="13">
      <c r="A331" s="1">
        <v>4638</v>
      </c>
      <c r="B331" s="2" t="s">
        <v>62</v>
      </c>
      <c r="C331" s="289">
        <v>4190</v>
      </c>
      <c r="D331" s="289">
        <v>0</v>
      </c>
      <c r="E331" s="289">
        <v>0</v>
      </c>
      <c r="F331" s="289">
        <v>113409</v>
      </c>
      <c r="G331" s="289">
        <v>0</v>
      </c>
      <c r="H331" s="289">
        <v>0</v>
      </c>
      <c r="I331" s="289">
        <v>110066</v>
      </c>
      <c r="J331" s="517"/>
    </row>
    <row r="332" spans="1:10" ht="13">
      <c r="A332" s="1">
        <v>4639</v>
      </c>
      <c r="B332" s="2" t="s">
        <v>63</v>
      </c>
      <c r="C332" s="289">
        <v>2722</v>
      </c>
      <c r="D332" s="289">
        <v>0</v>
      </c>
      <c r="E332" s="289">
        <v>0</v>
      </c>
      <c r="F332" s="289">
        <v>79097</v>
      </c>
      <c r="G332" s="289">
        <v>0</v>
      </c>
      <c r="H332" s="289">
        <v>0</v>
      </c>
      <c r="I332" s="289">
        <v>77092</v>
      </c>
      <c r="J332" s="517"/>
    </row>
    <row r="333" spans="1:10" ht="13">
      <c r="A333" s="1">
        <v>4641</v>
      </c>
      <c r="B333" s="2" t="s">
        <v>67</v>
      </c>
      <c r="C333" s="289">
        <v>1787</v>
      </c>
      <c r="D333" s="289">
        <v>0</v>
      </c>
      <c r="E333" s="289">
        <v>0</v>
      </c>
      <c r="F333" s="289">
        <v>81924</v>
      </c>
      <c r="G333" s="289">
        <v>0</v>
      </c>
      <c r="H333" s="289">
        <v>0</v>
      </c>
      <c r="I333" s="289">
        <v>77215</v>
      </c>
      <c r="J333" s="517"/>
    </row>
    <row r="334" spans="1:10" ht="13">
      <c r="A334" s="1">
        <v>4642</v>
      </c>
      <c r="B334" s="2" t="s">
        <v>68</v>
      </c>
      <c r="C334" s="289">
        <v>2159</v>
      </c>
      <c r="D334" s="289">
        <v>0</v>
      </c>
      <c r="E334" s="289">
        <v>0</v>
      </c>
      <c r="F334" s="289">
        <v>68552</v>
      </c>
      <c r="G334" s="289">
        <v>0</v>
      </c>
      <c r="H334" s="289">
        <v>0</v>
      </c>
      <c r="I334" s="289">
        <v>68720</v>
      </c>
      <c r="J334" s="517"/>
    </row>
    <row r="335" spans="1:10" ht="13">
      <c r="A335" s="1">
        <v>4643</v>
      </c>
      <c r="B335" s="2" t="s">
        <v>69</v>
      </c>
      <c r="C335" s="289">
        <v>5363</v>
      </c>
      <c r="D335" s="289">
        <v>0</v>
      </c>
      <c r="E335" s="289">
        <v>0</v>
      </c>
      <c r="F335" s="289">
        <v>168987</v>
      </c>
      <c r="G335" s="289">
        <v>0</v>
      </c>
      <c r="H335" s="289">
        <v>0</v>
      </c>
      <c r="I335" s="289">
        <v>163473</v>
      </c>
      <c r="J335" s="517"/>
    </row>
    <row r="336" spans="1:10" ht="13">
      <c r="A336" s="1">
        <v>4644</v>
      </c>
      <c r="B336" s="2" t="s">
        <v>70</v>
      </c>
      <c r="C336" s="289">
        <v>5151</v>
      </c>
      <c r="D336" s="289">
        <v>0</v>
      </c>
      <c r="E336" s="289">
        <v>0</v>
      </c>
      <c r="F336" s="289">
        <v>154636</v>
      </c>
      <c r="G336" s="289">
        <v>0</v>
      </c>
      <c r="H336" s="289">
        <v>0</v>
      </c>
      <c r="I336" s="289">
        <v>149089</v>
      </c>
      <c r="J336" s="517"/>
    </row>
    <row r="337" spans="1:10" ht="13">
      <c r="A337" s="1">
        <v>4645</v>
      </c>
      <c r="B337" s="2" t="s">
        <v>71</v>
      </c>
      <c r="C337" s="289">
        <v>3065</v>
      </c>
      <c r="D337" s="289">
        <v>2200</v>
      </c>
      <c r="E337" s="289">
        <v>0</v>
      </c>
      <c r="F337" s="289">
        <v>72106</v>
      </c>
      <c r="G337" s="289">
        <v>0</v>
      </c>
      <c r="H337" s="289">
        <v>0</v>
      </c>
      <c r="I337" s="289">
        <v>71027</v>
      </c>
      <c r="J337" s="517"/>
    </row>
    <row r="338" spans="1:10" ht="13">
      <c r="A338" s="1">
        <v>4646</v>
      </c>
      <c r="B338" s="2" t="s">
        <v>72</v>
      </c>
      <c r="C338" s="289">
        <v>2862</v>
      </c>
      <c r="D338" s="289">
        <v>2600</v>
      </c>
      <c r="E338" s="289">
        <v>0</v>
      </c>
      <c r="F338" s="289">
        <v>65267</v>
      </c>
      <c r="G338" s="289">
        <v>0</v>
      </c>
      <c r="H338" s="289">
        <v>0</v>
      </c>
      <c r="I338" s="289">
        <v>64838</v>
      </c>
      <c r="J338" s="517"/>
    </row>
    <row r="339" spans="1:10" ht="13">
      <c r="A339" s="1">
        <v>4648</v>
      </c>
      <c r="B339" s="2" t="s">
        <v>77</v>
      </c>
      <c r="C339" s="289">
        <v>3847</v>
      </c>
      <c r="D339" s="289">
        <v>0</v>
      </c>
      <c r="E339" s="289">
        <v>0</v>
      </c>
      <c r="F339" s="289">
        <v>103184</v>
      </c>
      <c r="G339" s="289">
        <v>0</v>
      </c>
      <c r="H339" s="289">
        <v>0</v>
      </c>
      <c r="I339" s="289">
        <v>102127</v>
      </c>
      <c r="J339" s="517"/>
    </row>
    <row r="340" spans="1:10" ht="13">
      <c r="A340" s="1">
        <v>4650</v>
      </c>
      <c r="B340" s="2" t="s">
        <v>82</v>
      </c>
      <c r="C340" s="289">
        <v>5783</v>
      </c>
      <c r="D340" s="289">
        <v>700</v>
      </c>
      <c r="E340" s="289">
        <v>0</v>
      </c>
      <c r="F340" s="289">
        <v>147153</v>
      </c>
      <c r="G340" s="289">
        <v>0</v>
      </c>
      <c r="H340" s="289">
        <v>0</v>
      </c>
      <c r="I340" s="289">
        <v>136750</v>
      </c>
      <c r="J340" s="517"/>
    </row>
    <row r="341" spans="1:10" ht="13">
      <c r="A341" s="1">
        <v>4651</v>
      </c>
      <c r="B341" s="2" t="s">
        <v>83</v>
      </c>
      <c r="C341" s="289">
        <v>7218</v>
      </c>
      <c r="D341" s="289">
        <v>600</v>
      </c>
      <c r="E341" s="289">
        <v>781</v>
      </c>
      <c r="F341" s="289">
        <v>186231</v>
      </c>
      <c r="G341" s="289">
        <v>0</v>
      </c>
      <c r="H341" s="289">
        <v>0</v>
      </c>
      <c r="I341" s="289">
        <v>178833</v>
      </c>
      <c r="J341" s="517"/>
    </row>
    <row r="342" spans="1:10" ht="13">
      <c r="A342" s="1">
        <v>5001</v>
      </c>
      <c r="B342" s="2" t="s">
        <v>118</v>
      </c>
      <c r="C342" s="289">
        <v>190464</v>
      </c>
      <c r="D342" s="289">
        <v>12200</v>
      </c>
      <c r="E342" s="289">
        <v>9044</v>
      </c>
      <c r="F342" s="289">
        <v>5733673</v>
      </c>
      <c r="G342" s="289">
        <v>150</v>
      </c>
      <c r="H342" s="289">
        <v>0</v>
      </c>
      <c r="I342" s="289">
        <v>5378471</v>
      </c>
      <c r="J342" s="517"/>
    </row>
    <row r="343" spans="1:10" ht="13">
      <c r="A343" s="1">
        <v>5004</v>
      </c>
      <c r="B343" s="2" t="s">
        <v>144</v>
      </c>
      <c r="C343" s="289">
        <v>21972</v>
      </c>
      <c r="D343" s="289">
        <v>2800</v>
      </c>
      <c r="E343" s="289">
        <v>7336</v>
      </c>
      <c r="F343" s="289">
        <v>488540</v>
      </c>
      <c r="G343" s="289">
        <v>0</v>
      </c>
      <c r="H343" s="289">
        <v>0</v>
      </c>
      <c r="I343" s="289">
        <v>467882</v>
      </c>
      <c r="J343" s="517"/>
    </row>
    <row r="344" spans="1:10" ht="13">
      <c r="A344" s="1">
        <v>5005</v>
      </c>
      <c r="B344" s="2" t="s">
        <v>145</v>
      </c>
      <c r="C344" s="289">
        <v>13051</v>
      </c>
      <c r="D344" s="289">
        <v>900</v>
      </c>
      <c r="E344" s="289">
        <v>6383</v>
      </c>
      <c r="F344" s="289">
        <v>308333</v>
      </c>
      <c r="G344" s="289">
        <v>0</v>
      </c>
      <c r="H344" s="289">
        <v>0</v>
      </c>
      <c r="I344" s="289">
        <v>296053</v>
      </c>
      <c r="J344" s="517"/>
    </row>
    <row r="345" spans="1:10" ht="13">
      <c r="A345" s="1">
        <v>5011</v>
      </c>
      <c r="B345" s="2" t="s">
        <v>119</v>
      </c>
      <c r="C345" s="289">
        <v>4259</v>
      </c>
      <c r="D345" s="289">
        <v>400</v>
      </c>
      <c r="E345" s="289">
        <v>5119</v>
      </c>
      <c r="F345" s="289">
        <v>104407</v>
      </c>
      <c r="G345" s="289">
        <v>0</v>
      </c>
      <c r="H345" s="289">
        <v>0</v>
      </c>
      <c r="I345" s="289">
        <v>98194</v>
      </c>
      <c r="J345" s="517"/>
    </row>
    <row r="346" spans="1:10" ht="13">
      <c r="A346" s="1">
        <v>5012</v>
      </c>
      <c r="B346" s="2" t="s">
        <v>120</v>
      </c>
      <c r="C346" s="289">
        <v>982</v>
      </c>
      <c r="D346" s="289">
        <v>200</v>
      </c>
      <c r="E346" s="289">
        <v>0</v>
      </c>
      <c r="F346" s="289">
        <v>24149</v>
      </c>
      <c r="G346" s="289">
        <v>0</v>
      </c>
      <c r="H346" s="289">
        <v>0</v>
      </c>
      <c r="I346" s="289">
        <v>22777</v>
      </c>
      <c r="J346" s="517"/>
    </row>
    <row r="347" spans="1:10" ht="13">
      <c r="A347" s="1">
        <v>5013</v>
      </c>
      <c r="B347" s="2" t="s">
        <v>121</v>
      </c>
      <c r="C347" s="289">
        <v>4659</v>
      </c>
      <c r="D347" s="289">
        <v>500</v>
      </c>
      <c r="E347" s="289">
        <v>2000</v>
      </c>
      <c r="F347" s="289">
        <v>112470</v>
      </c>
      <c r="G347" s="289">
        <v>0</v>
      </c>
      <c r="H347" s="289">
        <v>0</v>
      </c>
      <c r="I347" s="289">
        <v>106217</v>
      </c>
      <c r="J347" s="517"/>
    </row>
    <row r="348" spans="1:10" ht="13">
      <c r="A348" s="1">
        <v>5014</v>
      </c>
      <c r="B348" s="2" t="s">
        <v>122</v>
      </c>
      <c r="C348" s="289">
        <v>4937</v>
      </c>
      <c r="D348" s="289">
        <v>500</v>
      </c>
      <c r="E348" s="289">
        <v>0</v>
      </c>
      <c r="F348" s="289">
        <v>283114</v>
      </c>
      <c r="G348" s="289">
        <v>1982</v>
      </c>
      <c r="H348" s="289">
        <v>0</v>
      </c>
      <c r="I348" s="289">
        <v>215057</v>
      </c>
      <c r="J348" s="517"/>
    </row>
    <row r="349" spans="1:10" ht="13">
      <c r="A349" s="1">
        <v>5015</v>
      </c>
      <c r="B349" s="2" t="s">
        <v>123</v>
      </c>
      <c r="C349" s="289">
        <v>5291</v>
      </c>
      <c r="D349" s="289">
        <v>3700</v>
      </c>
      <c r="E349" s="289">
        <v>3794</v>
      </c>
      <c r="F349" s="289">
        <v>131001</v>
      </c>
      <c r="G349" s="289">
        <v>0</v>
      </c>
      <c r="H349" s="289">
        <v>0</v>
      </c>
      <c r="I349" s="289">
        <v>119246</v>
      </c>
      <c r="J349" s="517"/>
    </row>
    <row r="350" spans="1:10" ht="13">
      <c r="A350" s="1">
        <v>5016</v>
      </c>
      <c r="B350" s="2" t="s">
        <v>124</v>
      </c>
      <c r="C350" s="289">
        <v>1711</v>
      </c>
      <c r="D350" s="289">
        <v>1600</v>
      </c>
      <c r="E350" s="289">
        <v>0</v>
      </c>
      <c r="F350" s="289">
        <v>37227</v>
      </c>
      <c r="G350" s="289">
        <v>0</v>
      </c>
      <c r="H350" s="289">
        <v>0</v>
      </c>
      <c r="I350" s="289">
        <v>34554</v>
      </c>
      <c r="J350" s="517"/>
    </row>
    <row r="351" spans="1:10" ht="13">
      <c r="A351" s="1">
        <v>5017</v>
      </c>
      <c r="B351" s="2" t="s">
        <v>126</v>
      </c>
      <c r="C351" s="289">
        <v>4822</v>
      </c>
      <c r="D351" s="289">
        <v>3700</v>
      </c>
      <c r="E351" s="289">
        <v>6551</v>
      </c>
      <c r="F351" s="289">
        <v>102348</v>
      </c>
      <c r="G351" s="289">
        <v>0</v>
      </c>
      <c r="H351" s="289">
        <v>0</v>
      </c>
      <c r="I351" s="289">
        <v>98894</v>
      </c>
      <c r="J351" s="517"/>
    </row>
    <row r="352" spans="1:10" ht="13">
      <c r="A352" s="1">
        <v>5018</v>
      </c>
      <c r="B352" s="2" t="s">
        <v>127</v>
      </c>
      <c r="C352" s="289">
        <v>3263</v>
      </c>
      <c r="D352" s="289">
        <v>400</v>
      </c>
      <c r="E352" s="289">
        <v>0</v>
      </c>
      <c r="F352" s="289">
        <v>77983</v>
      </c>
      <c r="G352" s="289">
        <v>0</v>
      </c>
      <c r="H352" s="289">
        <v>0</v>
      </c>
      <c r="I352" s="289">
        <v>71526</v>
      </c>
      <c r="J352" s="517"/>
    </row>
    <row r="353" spans="1:10" ht="13">
      <c r="A353" s="1">
        <v>5019</v>
      </c>
      <c r="B353" s="2" t="s">
        <v>128</v>
      </c>
      <c r="C353" s="289">
        <v>959</v>
      </c>
      <c r="D353" s="289">
        <v>200</v>
      </c>
      <c r="E353" s="289">
        <v>0</v>
      </c>
      <c r="F353" s="289">
        <v>20395</v>
      </c>
      <c r="G353" s="289">
        <v>0</v>
      </c>
      <c r="H353" s="289">
        <v>0</v>
      </c>
      <c r="I353" s="289">
        <v>20232</v>
      </c>
      <c r="J353" s="517"/>
    </row>
    <row r="354" spans="1:10" ht="13">
      <c r="A354" s="1">
        <v>5020</v>
      </c>
      <c r="B354" s="2" t="s">
        <v>129</v>
      </c>
      <c r="C354" s="289">
        <v>978</v>
      </c>
      <c r="D354" s="289">
        <v>100</v>
      </c>
      <c r="E354" s="289">
        <v>0</v>
      </c>
      <c r="F354" s="289">
        <v>21713</v>
      </c>
      <c r="G354" s="289">
        <v>0</v>
      </c>
      <c r="H354" s="289">
        <v>0</v>
      </c>
      <c r="I354" s="289">
        <v>19657</v>
      </c>
      <c r="J354" s="517"/>
    </row>
    <row r="355" spans="1:10" ht="13">
      <c r="A355" s="1">
        <v>5021</v>
      </c>
      <c r="B355" s="2" t="s">
        <v>130</v>
      </c>
      <c r="C355" s="289">
        <v>6973</v>
      </c>
      <c r="D355" s="289">
        <v>800</v>
      </c>
      <c r="E355" s="289">
        <v>2194</v>
      </c>
      <c r="F355" s="289">
        <v>168824</v>
      </c>
      <c r="G355" s="289">
        <v>0</v>
      </c>
      <c r="H355" s="289">
        <v>0</v>
      </c>
      <c r="I355" s="289">
        <v>157388</v>
      </c>
      <c r="J355" s="517"/>
    </row>
    <row r="356" spans="1:10" ht="13">
      <c r="A356" s="1">
        <v>5022</v>
      </c>
      <c r="B356" s="2" t="s">
        <v>131</v>
      </c>
      <c r="C356" s="289">
        <v>2556</v>
      </c>
      <c r="D356" s="289">
        <v>400</v>
      </c>
      <c r="E356" s="289">
        <v>0</v>
      </c>
      <c r="F356" s="289">
        <v>58411</v>
      </c>
      <c r="G356" s="289">
        <v>0</v>
      </c>
      <c r="H356" s="289">
        <v>0</v>
      </c>
      <c r="I356" s="289">
        <v>57456</v>
      </c>
      <c r="J356" s="517"/>
    </row>
    <row r="357" spans="1:10" ht="13">
      <c r="A357" s="1">
        <v>5023</v>
      </c>
      <c r="B357" s="2" t="s">
        <v>132</v>
      </c>
      <c r="C357" s="289">
        <v>3960</v>
      </c>
      <c r="D357" s="289">
        <v>3500</v>
      </c>
      <c r="E357" s="289">
        <v>274</v>
      </c>
      <c r="F357" s="289">
        <v>89845</v>
      </c>
      <c r="G357" s="289">
        <v>0</v>
      </c>
      <c r="H357" s="289">
        <v>0</v>
      </c>
      <c r="I357" s="289">
        <v>89225</v>
      </c>
      <c r="J357" s="517"/>
    </row>
    <row r="358" spans="1:10" ht="13">
      <c r="A358" s="1">
        <v>5024</v>
      </c>
      <c r="B358" s="2" t="s">
        <v>133</v>
      </c>
      <c r="C358" s="289">
        <v>11891</v>
      </c>
      <c r="D358" s="289">
        <v>1000</v>
      </c>
      <c r="E358" s="289">
        <v>4657</v>
      </c>
      <c r="F358" s="289">
        <v>279574</v>
      </c>
      <c r="G358" s="289">
        <v>0</v>
      </c>
      <c r="H358" s="289">
        <v>0</v>
      </c>
      <c r="I358" s="289">
        <v>269668</v>
      </c>
      <c r="J358" s="517"/>
    </row>
    <row r="359" spans="1:10" ht="13">
      <c r="A359" s="1">
        <v>5025</v>
      </c>
      <c r="B359" s="2" t="s">
        <v>134</v>
      </c>
      <c r="C359" s="289">
        <v>5623</v>
      </c>
      <c r="D359" s="289">
        <v>1100</v>
      </c>
      <c r="E359" s="289">
        <v>0</v>
      </c>
      <c r="F359" s="289">
        <v>140006</v>
      </c>
      <c r="G359" s="289">
        <v>0</v>
      </c>
      <c r="H359" s="289">
        <v>0</v>
      </c>
      <c r="I359" s="289">
        <v>135849</v>
      </c>
      <c r="J359" s="517"/>
    </row>
    <row r="360" spans="1:10" ht="13">
      <c r="A360" s="1">
        <v>5026</v>
      </c>
      <c r="B360" s="2" t="s">
        <v>135</v>
      </c>
      <c r="C360" s="289">
        <v>2046</v>
      </c>
      <c r="D360" s="289">
        <v>300</v>
      </c>
      <c r="E360" s="289">
        <v>0</v>
      </c>
      <c r="F360" s="289">
        <v>41668</v>
      </c>
      <c r="G360" s="289">
        <v>0</v>
      </c>
      <c r="H360" s="289">
        <v>0</v>
      </c>
      <c r="I360" s="289">
        <v>40877</v>
      </c>
      <c r="J360" s="517"/>
    </row>
    <row r="361" spans="1:10" ht="13">
      <c r="A361" s="1">
        <v>5027</v>
      </c>
      <c r="B361" s="2" t="s">
        <v>136</v>
      </c>
      <c r="C361" s="289">
        <v>6319</v>
      </c>
      <c r="D361" s="289">
        <v>4900</v>
      </c>
      <c r="E361" s="289">
        <v>0</v>
      </c>
      <c r="F361" s="289">
        <v>136088</v>
      </c>
      <c r="G361" s="289">
        <v>0</v>
      </c>
      <c r="H361" s="289">
        <v>0</v>
      </c>
      <c r="I361" s="289">
        <v>134262</v>
      </c>
      <c r="J361" s="517"/>
    </row>
    <row r="362" spans="1:10" ht="13">
      <c r="A362" s="1">
        <v>5028</v>
      </c>
      <c r="B362" s="2" t="s">
        <v>137</v>
      </c>
      <c r="C362" s="289">
        <v>16213</v>
      </c>
      <c r="D362" s="289">
        <v>1300</v>
      </c>
      <c r="E362" s="289">
        <v>0</v>
      </c>
      <c r="F362" s="289">
        <v>384271</v>
      </c>
      <c r="G362" s="289">
        <v>0</v>
      </c>
      <c r="H362" s="289">
        <v>0</v>
      </c>
      <c r="I362" s="289">
        <v>363387</v>
      </c>
      <c r="J362" s="517"/>
    </row>
    <row r="363" spans="1:10" ht="13">
      <c r="A363" s="1">
        <v>5029</v>
      </c>
      <c r="B363" s="2" t="s">
        <v>138</v>
      </c>
      <c r="C363" s="289">
        <v>8000</v>
      </c>
      <c r="D363" s="289">
        <v>600</v>
      </c>
      <c r="E363" s="289">
        <v>0</v>
      </c>
      <c r="F363" s="289">
        <v>185257</v>
      </c>
      <c r="G363" s="289">
        <v>6112</v>
      </c>
      <c r="H363" s="289">
        <v>0</v>
      </c>
      <c r="I363" s="289">
        <v>170390</v>
      </c>
      <c r="J363" s="517"/>
    </row>
    <row r="364" spans="1:10" ht="13">
      <c r="A364" s="1">
        <v>5030</v>
      </c>
      <c r="B364" s="2" t="s">
        <v>139</v>
      </c>
      <c r="C364" s="289">
        <v>6050</v>
      </c>
      <c r="D364" s="289">
        <v>500</v>
      </c>
      <c r="E364" s="289">
        <v>3417</v>
      </c>
      <c r="F364" s="289">
        <v>149554</v>
      </c>
      <c r="G364" s="289">
        <v>0</v>
      </c>
      <c r="H364" s="289">
        <v>0</v>
      </c>
      <c r="I364" s="289">
        <v>145327</v>
      </c>
      <c r="J364" s="517"/>
    </row>
    <row r="365" spans="1:10" ht="13">
      <c r="A365" s="1">
        <v>5031</v>
      </c>
      <c r="B365" s="2" t="s">
        <v>141</v>
      </c>
      <c r="C365" s="289">
        <v>13820</v>
      </c>
      <c r="D365" s="289">
        <v>900</v>
      </c>
      <c r="E365" s="289">
        <v>0</v>
      </c>
      <c r="F365" s="289">
        <v>368228</v>
      </c>
      <c r="G365" s="289">
        <v>1859</v>
      </c>
      <c r="H365" s="289">
        <v>0</v>
      </c>
      <c r="I365" s="289">
        <v>359450</v>
      </c>
      <c r="J365" s="517"/>
    </row>
    <row r="366" spans="1:10" ht="13">
      <c r="A366" s="1">
        <v>5032</v>
      </c>
      <c r="B366" s="2" t="s">
        <v>142</v>
      </c>
      <c r="C366" s="289">
        <v>4098</v>
      </c>
      <c r="D366" s="289">
        <v>3600</v>
      </c>
      <c r="E366" s="289">
        <v>0</v>
      </c>
      <c r="F366" s="289">
        <v>94622</v>
      </c>
      <c r="G366" s="289">
        <v>0</v>
      </c>
      <c r="H366" s="289">
        <v>0</v>
      </c>
      <c r="I366" s="289">
        <v>91266</v>
      </c>
      <c r="J366" s="517"/>
    </row>
    <row r="367" spans="1:10" ht="13">
      <c r="A367" s="1">
        <v>5033</v>
      </c>
      <c r="B367" s="2" t="s">
        <v>143</v>
      </c>
      <c r="C367" s="289">
        <v>861</v>
      </c>
      <c r="D367" s="289">
        <v>200</v>
      </c>
      <c r="E367" s="289">
        <v>0</v>
      </c>
      <c r="F367" s="289">
        <v>33121</v>
      </c>
      <c r="G367" s="289">
        <v>0</v>
      </c>
      <c r="H367" s="289">
        <v>0</v>
      </c>
      <c r="I367" s="289">
        <v>33235</v>
      </c>
      <c r="J367" s="517"/>
    </row>
    <row r="368" spans="1:10" ht="13">
      <c r="A368" s="1">
        <v>5034</v>
      </c>
      <c r="B368" s="2" t="s">
        <v>146</v>
      </c>
      <c r="C368" s="289">
        <v>2508</v>
      </c>
      <c r="D368" s="289">
        <v>1300</v>
      </c>
      <c r="E368" s="289">
        <v>0</v>
      </c>
      <c r="F368" s="289">
        <v>54417</v>
      </c>
      <c r="G368" s="289">
        <v>0</v>
      </c>
      <c r="H368" s="289">
        <v>0</v>
      </c>
      <c r="I368" s="289">
        <v>53590</v>
      </c>
      <c r="J368" s="517"/>
    </row>
    <row r="369" spans="1:10" ht="13">
      <c r="A369" s="1">
        <v>5035</v>
      </c>
      <c r="B369" s="2" t="s">
        <v>147</v>
      </c>
      <c r="C369" s="289">
        <v>23625</v>
      </c>
      <c r="D369" s="289">
        <v>1600</v>
      </c>
      <c r="E369" s="289">
        <v>0</v>
      </c>
      <c r="F369" s="289">
        <v>564472</v>
      </c>
      <c r="G369" s="289">
        <v>0</v>
      </c>
      <c r="H369" s="289">
        <v>0</v>
      </c>
      <c r="I369" s="289">
        <v>539672</v>
      </c>
      <c r="J369" s="517"/>
    </row>
    <row r="370" spans="1:10" ht="13">
      <c r="A370" s="1">
        <v>5036</v>
      </c>
      <c r="B370" s="2" t="s">
        <v>148</v>
      </c>
      <c r="C370" s="289">
        <v>2630</v>
      </c>
      <c r="D370" s="289">
        <v>1500</v>
      </c>
      <c r="E370" s="289">
        <v>0</v>
      </c>
      <c r="F370" s="289">
        <v>55464</v>
      </c>
      <c r="G370" s="289">
        <v>0</v>
      </c>
      <c r="H370" s="289">
        <v>0</v>
      </c>
      <c r="I370" s="289">
        <v>48858</v>
      </c>
      <c r="J370" s="517"/>
    </row>
    <row r="371" spans="1:10" ht="13">
      <c r="A371" s="1">
        <v>5037</v>
      </c>
      <c r="B371" s="2" t="s">
        <v>150</v>
      </c>
      <c r="C371" s="289">
        <v>19892</v>
      </c>
      <c r="D371" s="289">
        <v>2200</v>
      </c>
      <c r="E371" s="289">
        <v>0</v>
      </c>
      <c r="F371" s="289">
        <v>467325</v>
      </c>
      <c r="G371" s="289">
        <v>0</v>
      </c>
      <c r="H371" s="289">
        <v>0</v>
      </c>
      <c r="I371" s="289">
        <v>452141</v>
      </c>
      <c r="J371" s="517"/>
    </row>
    <row r="372" spans="1:10" ht="13">
      <c r="A372" s="1">
        <v>5038</v>
      </c>
      <c r="B372" s="2" t="s">
        <v>151</v>
      </c>
      <c r="C372" s="289">
        <v>14849</v>
      </c>
      <c r="D372" s="289">
        <v>1800</v>
      </c>
      <c r="E372" s="289">
        <v>0</v>
      </c>
      <c r="F372" s="289">
        <v>319010</v>
      </c>
      <c r="G372" s="289">
        <v>0</v>
      </c>
      <c r="H372" s="289">
        <v>0</v>
      </c>
      <c r="I372" s="289">
        <v>303298</v>
      </c>
      <c r="J372" s="517"/>
    </row>
    <row r="373" spans="1:10" ht="13">
      <c r="A373" s="1">
        <v>5039</v>
      </c>
      <c r="B373" s="2" t="s">
        <v>153</v>
      </c>
      <c r="C373" s="289">
        <v>2515</v>
      </c>
      <c r="D373" s="289">
        <v>300</v>
      </c>
      <c r="E373" s="289">
        <v>175</v>
      </c>
      <c r="F373" s="289">
        <v>47869</v>
      </c>
      <c r="G373" s="289">
        <v>0</v>
      </c>
      <c r="H373" s="289">
        <v>0</v>
      </c>
      <c r="I373" s="289">
        <v>44616</v>
      </c>
      <c r="J373" s="517"/>
    </row>
    <row r="374" spans="1:10" ht="13">
      <c r="A374" s="1">
        <v>5040</v>
      </c>
      <c r="B374" s="2" t="s">
        <v>154</v>
      </c>
      <c r="C374" s="289">
        <v>1593</v>
      </c>
      <c r="D374" s="289">
        <v>1100</v>
      </c>
      <c r="E374" s="289">
        <v>0</v>
      </c>
      <c r="F374" s="289">
        <v>31111</v>
      </c>
      <c r="G374" s="289">
        <v>0</v>
      </c>
      <c r="H374" s="289">
        <v>0</v>
      </c>
      <c r="I374" s="289">
        <v>30725</v>
      </c>
      <c r="J374" s="517"/>
    </row>
    <row r="375" spans="1:10" ht="13">
      <c r="A375" s="1">
        <v>5041</v>
      </c>
      <c r="B375" s="2" t="s">
        <v>156</v>
      </c>
      <c r="C375" s="289">
        <v>2159</v>
      </c>
      <c r="D375" s="289">
        <v>500</v>
      </c>
      <c r="E375" s="289">
        <v>0</v>
      </c>
      <c r="F375" s="289">
        <v>43422</v>
      </c>
      <c r="G375" s="289">
        <v>0</v>
      </c>
      <c r="H375" s="289">
        <v>0</v>
      </c>
      <c r="I375" s="289">
        <v>41094</v>
      </c>
      <c r="J375" s="517"/>
    </row>
    <row r="376" spans="1:10" ht="13">
      <c r="A376" s="1">
        <v>5042</v>
      </c>
      <c r="B376" s="2" t="s">
        <v>157</v>
      </c>
      <c r="C376" s="289">
        <v>1389</v>
      </c>
      <c r="D376" s="289">
        <v>1200</v>
      </c>
      <c r="E376" s="289">
        <v>0</v>
      </c>
      <c r="F376" s="289">
        <v>30547</v>
      </c>
      <c r="G376" s="289">
        <v>0</v>
      </c>
      <c r="H376" s="289">
        <v>0</v>
      </c>
      <c r="I376" s="289">
        <v>30134</v>
      </c>
      <c r="J376" s="517"/>
    </row>
    <row r="377" spans="1:10" ht="13">
      <c r="A377" s="1">
        <v>5043</v>
      </c>
      <c r="B377" s="2" t="s">
        <v>164</v>
      </c>
      <c r="C377" s="289">
        <v>469</v>
      </c>
      <c r="D377" s="289">
        <v>500</v>
      </c>
      <c r="E377" s="289">
        <v>0</v>
      </c>
      <c r="F377" s="289">
        <v>12378</v>
      </c>
      <c r="G377" s="289">
        <v>0</v>
      </c>
      <c r="H377" s="289">
        <v>0</v>
      </c>
      <c r="I377" s="289">
        <v>12455</v>
      </c>
      <c r="J377" s="517"/>
    </row>
    <row r="378" spans="1:10" ht="13">
      <c r="A378" s="1">
        <v>5044</v>
      </c>
      <c r="B378" s="2" t="s">
        <v>165</v>
      </c>
      <c r="C378" s="289">
        <v>872</v>
      </c>
      <c r="D378" s="289">
        <v>600</v>
      </c>
      <c r="E378" s="289">
        <v>0</v>
      </c>
      <c r="F378" s="289">
        <v>27937</v>
      </c>
      <c r="G378" s="289">
        <v>0</v>
      </c>
      <c r="H378" s="289">
        <v>0</v>
      </c>
      <c r="I378" s="289">
        <v>27663</v>
      </c>
      <c r="J378" s="517"/>
    </row>
    <row r="379" spans="1:10" ht="13">
      <c r="A379" s="1">
        <v>5045</v>
      </c>
      <c r="B379" s="2" t="s">
        <v>166</v>
      </c>
      <c r="C379" s="289">
        <v>2467</v>
      </c>
      <c r="D379" s="289">
        <v>5100</v>
      </c>
      <c r="E379" s="289">
        <v>286</v>
      </c>
      <c r="F379" s="289">
        <v>60456</v>
      </c>
      <c r="G379" s="289">
        <v>0</v>
      </c>
      <c r="H379" s="289">
        <v>0</v>
      </c>
      <c r="I379" s="289">
        <v>57612</v>
      </c>
      <c r="J379" s="517"/>
    </row>
    <row r="380" spans="1:10" ht="13">
      <c r="A380" s="1">
        <v>5046</v>
      </c>
      <c r="B380" s="2" t="s">
        <v>167</v>
      </c>
      <c r="C380" s="289">
        <v>1264</v>
      </c>
      <c r="D380" s="289">
        <v>500</v>
      </c>
      <c r="E380" s="289">
        <v>0</v>
      </c>
      <c r="F380" s="289">
        <v>27648</v>
      </c>
      <c r="G380" s="289">
        <v>0</v>
      </c>
      <c r="H380" s="289">
        <v>0</v>
      </c>
      <c r="I380" s="289">
        <v>26653</v>
      </c>
      <c r="J380" s="517"/>
    </row>
    <row r="381" spans="1:10" ht="13">
      <c r="A381" s="1">
        <v>5047</v>
      </c>
      <c r="B381" s="2" t="s">
        <v>168</v>
      </c>
      <c r="C381" s="289">
        <v>3840</v>
      </c>
      <c r="D381" s="289">
        <v>300</v>
      </c>
      <c r="E381" s="289">
        <v>0</v>
      </c>
      <c r="F381" s="289">
        <v>89306</v>
      </c>
      <c r="G381" s="289">
        <v>0</v>
      </c>
      <c r="H381" s="289">
        <v>0</v>
      </c>
      <c r="I381" s="289">
        <v>82123</v>
      </c>
      <c r="J381" s="517"/>
    </row>
    <row r="382" spans="1:10" ht="13">
      <c r="A382" s="1">
        <v>5048</v>
      </c>
      <c r="B382" s="2" t="s">
        <v>169</v>
      </c>
      <c r="C382" s="289">
        <v>628</v>
      </c>
      <c r="D382" s="289">
        <v>1500</v>
      </c>
      <c r="E382" s="289">
        <v>0</v>
      </c>
      <c r="F382" s="289">
        <v>11682</v>
      </c>
      <c r="G382" s="289">
        <v>0</v>
      </c>
      <c r="H382" s="289">
        <v>0</v>
      </c>
      <c r="I382" s="289">
        <v>11315</v>
      </c>
      <c r="J382" s="517"/>
    </row>
    <row r="383" spans="1:10" ht="13">
      <c r="A383" s="1">
        <v>5049</v>
      </c>
      <c r="B383" s="2" t="s">
        <v>170</v>
      </c>
      <c r="C383" s="289">
        <v>1090</v>
      </c>
      <c r="D383" s="289">
        <v>800</v>
      </c>
      <c r="E383" s="289">
        <v>0</v>
      </c>
      <c r="F383" s="289">
        <v>26376</v>
      </c>
      <c r="G383" s="289">
        <v>0</v>
      </c>
      <c r="H383" s="289">
        <v>0</v>
      </c>
      <c r="I383" s="289">
        <v>26366</v>
      </c>
      <c r="J383" s="517"/>
    </row>
    <row r="384" spans="1:10" ht="13">
      <c r="A384" s="1">
        <v>5050</v>
      </c>
      <c r="B384" s="2" t="s">
        <v>171</v>
      </c>
      <c r="C384" s="289">
        <v>4418</v>
      </c>
      <c r="D384" s="289">
        <v>400</v>
      </c>
      <c r="E384" s="289">
        <v>6944</v>
      </c>
      <c r="F384" s="289">
        <v>116736</v>
      </c>
      <c r="G384" s="289">
        <v>0</v>
      </c>
      <c r="H384" s="289">
        <v>0</v>
      </c>
      <c r="I384" s="289">
        <v>107429</v>
      </c>
      <c r="J384" s="517"/>
    </row>
    <row r="385" spans="1:10" ht="13">
      <c r="A385" s="1">
        <v>5051</v>
      </c>
      <c r="B385" s="2" t="s">
        <v>172</v>
      </c>
      <c r="C385" s="289">
        <v>5138</v>
      </c>
      <c r="D385" s="289">
        <v>700</v>
      </c>
      <c r="E385" s="289">
        <v>316</v>
      </c>
      <c r="F385" s="289">
        <v>115006</v>
      </c>
      <c r="G385" s="289">
        <v>0</v>
      </c>
      <c r="H385" s="289">
        <v>0</v>
      </c>
      <c r="I385" s="289">
        <v>110312</v>
      </c>
      <c r="J385" s="517"/>
    </row>
    <row r="386" spans="1:10" ht="13">
      <c r="A386" s="1">
        <v>5052</v>
      </c>
      <c r="B386" s="2" t="s">
        <v>173</v>
      </c>
      <c r="C386" s="289">
        <v>584</v>
      </c>
      <c r="D386" s="289">
        <v>1500</v>
      </c>
      <c r="E386" s="289">
        <v>0</v>
      </c>
      <c r="F386" s="289">
        <v>12951</v>
      </c>
      <c r="G386" s="289">
        <v>0</v>
      </c>
      <c r="H386" s="289">
        <v>0</v>
      </c>
      <c r="I386" s="289">
        <v>11579</v>
      </c>
      <c r="J386" s="517"/>
    </row>
    <row r="387" spans="1:10" ht="13">
      <c r="A387" s="1">
        <v>5053</v>
      </c>
      <c r="B387" s="2" t="s">
        <v>155</v>
      </c>
      <c r="C387" s="289">
        <v>6800</v>
      </c>
      <c r="D387" s="289">
        <v>100</v>
      </c>
      <c r="E387" s="289">
        <v>0</v>
      </c>
      <c r="F387" s="289">
        <v>153529</v>
      </c>
      <c r="G387" s="289">
        <v>0</v>
      </c>
      <c r="H387" s="289">
        <v>18688.716444000002</v>
      </c>
      <c r="I387" s="289">
        <v>148799</v>
      </c>
      <c r="J387" s="517"/>
    </row>
    <row r="388" spans="1:10" ht="13">
      <c r="A388" s="1">
        <v>5054</v>
      </c>
      <c r="B388" s="2" t="s">
        <v>1245</v>
      </c>
      <c r="C388" s="289">
        <v>10108</v>
      </c>
      <c r="D388" s="289">
        <v>5800</v>
      </c>
      <c r="E388" s="289">
        <v>699</v>
      </c>
      <c r="F388" s="289">
        <v>216377</v>
      </c>
      <c r="G388" s="289">
        <v>0</v>
      </c>
      <c r="H388" s="289">
        <v>0</v>
      </c>
      <c r="I388" s="289">
        <v>205952</v>
      </c>
      <c r="J388" s="517"/>
    </row>
    <row r="389" spans="1:10" ht="13">
      <c r="A389" s="1">
        <v>5061</v>
      </c>
      <c r="B389" s="2" t="s">
        <v>114</v>
      </c>
      <c r="C389" s="289">
        <v>2026</v>
      </c>
      <c r="D389" s="289">
        <v>30</v>
      </c>
      <c r="E389" s="289">
        <v>0</v>
      </c>
      <c r="F389" s="289">
        <v>47427</v>
      </c>
      <c r="G389" s="289">
        <v>0</v>
      </c>
      <c r="H389" s="289">
        <v>0</v>
      </c>
      <c r="I389" s="289">
        <v>45245</v>
      </c>
      <c r="J389" s="517"/>
    </row>
    <row r="390" spans="1:10" ht="13">
      <c r="A390" s="1">
        <v>5401</v>
      </c>
      <c r="B390" s="2" t="s">
        <v>217</v>
      </c>
      <c r="C390" s="289">
        <v>74541</v>
      </c>
      <c r="D390" s="289">
        <v>49153</v>
      </c>
      <c r="E390" s="289">
        <v>0</v>
      </c>
      <c r="F390" s="289">
        <v>2166065</v>
      </c>
      <c r="G390" s="289">
        <v>2427</v>
      </c>
      <c r="H390" s="289">
        <v>0</v>
      </c>
      <c r="I390" s="289">
        <v>2034480</v>
      </c>
      <c r="J390" s="517"/>
    </row>
    <row r="391" spans="1:10" ht="13">
      <c r="A391" s="1">
        <v>5402</v>
      </c>
      <c r="B391" s="2" t="s">
        <v>216</v>
      </c>
      <c r="C391" s="289">
        <v>24845</v>
      </c>
      <c r="D391" s="289">
        <v>3692</v>
      </c>
      <c r="E391" s="289">
        <v>0</v>
      </c>
      <c r="F391" s="289">
        <v>647002</v>
      </c>
      <c r="G391" s="289">
        <v>0</v>
      </c>
      <c r="H391" s="289">
        <v>19090.410597530001</v>
      </c>
      <c r="I391" s="289">
        <v>623987</v>
      </c>
      <c r="J391" s="517"/>
    </row>
    <row r="392" spans="1:10" ht="13">
      <c r="A392" s="1">
        <v>5403</v>
      </c>
      <c r="B392" s="2" t="s">
        <v>245</v>
      </c>
      <c r="C392" s="289">
        <v>20446</v>
      </c>
      <c r="D392" s="289">
        <v>0</v>
      </c>
      <c r="E392" s="289">
        <v>0</v>
      </c>
      <c r="F392" s="289">
        <v>505393</v>
      </c>
      <c r="G392" s="289">
        <v>0</v>
      </c>
      <c r="H392" s="289">
        <v>0</v>
      </c>
      <c r="I392" s="289">
        <v>470693</v>
      </c>
      <c r="J392" s="517"/>
    </row>
    <row r="393" spans="1:10" ht="13">
      <c r="A393" s="1">
        <v>5404</v>
      </c>
      <c r="B393" s="2" t="s">
        <v>241</v>
      </c>
      <c r="C393" s="289">
        <v>2104</v>
      </c>
      <c r="D393" s="289">
        <v>2800</v>
      </c>
      <c r="E393" s="289">
        <v>0</v>
      </c>
      <c r="F393" s="289">
        <v>46940</v>
      </c>
      <c r="G393" s="289">
        <v>0</v>
      </c>
      <c r="H393" s="289">
        <v>0</v>
      </c>
      <c r="I393" s="289">
        <v>46439</v>
      </c>
      <c r="J393" s="517"/>
    </row>
    <row r="394" spans="1:10" ht="13">
      <c r="A394" s="1">
        <v>5405</v>
      </c>
      <c r="B394" s="2" t="s">
        <v>242</v>
      </c>
      <c r="C394" s="289">
        <v>6154</v>
      </c>
      <c r="D394" s="289">
        <v>1000</v>
      </c>
      <c r="E394" s="289">
        <v>0</v>
      </c>
      <c r="F394" s="289">
        <v>148082</v>
      </c>
      <c r="G394" s="289">
        <v>0</v>
      </c>
      <c r="H394" s="289">
        <v>0</v>
      </c>
      <c r="I394" s="289">
        <v>143163</v>
      </c>
      <c r="J394" s="517"/>
    </row>
    <row r="395" spans="1:10" ht="13">
      <c r="A395" s="1">
        <v>5411</v>
      </c>
      <c r="B395" s="2" t="s">
        <v>218</v>
      </c>
      <c r="C395" s="289">
        <v>2986</v>
      </c>
      <c r="D395" s="289">
        <v>1836</v>
      </c>
      <c r="E395" s="289">
        <v>0</v>
      </c>
      <c r="F395" s="289">
        <v>65886</v>
      </c>
      <c r="G395" s="289">
        <v>0</v>
      </c>
      <c r="H395" s="289">
        <v>0</v>
      </c>
      <c r="I395" s="289">
        <v>60507</v>
      </c>
      <c r="J395" s="517"/>
    </row>
    <row r="396" spans="1:10" ht="13">
      <c r="A396" s="1">
        <v>5413</v>
      </c>
      <c r="B396" s="2" t="s">
        <v>221</v>
      </c>
      <c r="C396" s="289">
        <v>1394</v>
      </c>
      <c r="D396" s="289">
        <v>2018</v>
      </c>
      <c r="E396" s="289">
        <v>0</v>
      </c>
      <c r="F396" s="289">
        <v>34562</v>
      </c>
      <c r="G396" s="289">
        <v>0</v>
      </c>
      <c r="H396" s="289">
        <v>0</v>
      </c>
      <c r="I396" s="289">
        <v>31656</v>
      </c>
      <c r="J396" s="517"/>
    </row>
    <row r="397" spans="1:10" ht="13">
      <c r="A397" s="1">
        <v>5414</v>
      </c>
      <c r="B397" s="2" t="s">
        <v>222</v>
      </c>
      <c r="C397" s="289">
        <v>1121</v>
      </c>
      <c r="D397" s="289">
        <v>2635</v>
      </c>
      <c r="E397" s="289">
        <v>0</v>
      </c>
      <c r="F397" s="289">
        <v>24726</v>
      </c>
      <c r="G397" s="289">
        <v>0</v>
      </c>
      <c r="H397" s="289">
        <v>0</v>
      </c>
      <c r="I397" s="289">
        <v>22524</v>
      </c>
      <c r="J397" s="517"/>
    </row>
    <row r="398" spans="1:10" ht="13">
      <c r="A398" s="1">
        <v>5415</v>
      </c>
      <c r="B398" s="2" t="s">
        <v>223</v>
      </c>
      <c r="C398" s="289">
        <v>1076</v>
      </c>
      <c r="D398" s="289">
        <v>2094</v>
      </c>
      <c r="E398" s="289">
        <v>0</v>
      </c>
      <c r="F398" s="289">
        <v>19972</v>
      </c>
      <c r="G398" s="289">
        <v>0</v>
      </c>
      <c r="H398" s="289">
        <v>0</v>
      </c>
      <c r="I398" s="289">
        <v>19351</v>
      </c>
      <c r="J398" s="517"/>
    </row>
    <row r="399" spans="1:10" ht="13">
      <c r="A399" s="1">
        <v>5416</v>
      </c>
      <c r="B399" s="2" t="s">
        <v>224</v>
      </c>
      <c r="C399" s="289">
        <v>3994</v>
      </c>
      <c r="D399" s="289">
        <v>1941</v>
      </c>
      <c r="E399" s="289">
        <v>0</v>
      </c>
      <c r="F399" s="289">
        <v>115084</v>
      </c>
      <c r="G399" s="289">
        <v>0</v>
      </c>
      <c r="H399" s="289">
        <v>0</v>
      </c>
      <c r="I399" s="289">
        <v>109015</v>
      </c>
      <c r="J399" s="517"/>
    </row>
    <row r="400" spans="1:10" ht="13">
      <c r="A400" s="1">
        <v>5417</v>
      </c>
      <c r="B400" s="2" t="s">
        <v>225</v>
      </c>
      <c r="C400" s="289">
        <v>2220</v>
      </c>
      <c r="D400" s="289">
        <v>2145</v>
      </c>
      <c r="E400" s="289">
        <v>0</v>
      </c>
      <c r="F400" s="289">
        <v>51863</v>
      </c>
      <c r="G400" s="289">
        <v>0</v>
      </c>
      <c r="H400" s="289">
        <v>0</v>
      </c>
      <c r="I400" s="289">
        <v>46921</v>
      </c>
      <c r="J400" s="517"/>
    </row>
    <row r="401" spans="1:10" ht="13">
      <c r="A401" s="1">
        <v>5418</v>
      </c>
      <c r="B401" s="2" t="s">
        <v>226</v>
      </c>
      <c r="C401" s="289">
        <v>6781</v>
      </c>
      <c r="D401" s="289">
        <v>2221</v>
      </c>
      <c r="E401" s="289">
        <v>0</v>
      </c>
      <c r="F401" s="289">
        <v>187236</v>
      </c>
      <c r="G401" s="289">
        <v>0</v>
      </c>
      <c r="H401" s="289">
        <v>0</v>
      </c>
      <c r="I401" s="289">
        <v>179331</v>
      </c>
      <c r="J401" s="517"/>
    </row>
    <row r="402" spans="1:10" ht="13">
      <c r="A402" s="1">
        <v>5419</v>
      </c>
      <c r="B402" s="2" t="s">
        <v>227</v>
      </c>
      <c r="C402" s="289">
        <v>3496</v>
      </c>
      <c r="D402" s="289">
        <v>1579</v>
      </c>
      <c r="E402" s="289">
        <v>0</v>
      </c>
      <c r="F402" s="289">
        <v>83904</v>
      </c>
      <c r="G402" s="289">
        <v>0</v>
      </c>
      <c r="H402" s="289">
        <v>0</v>
      </c>
      <c r="I402" s="289">
        <v>81156</v>
      </c>
      <c r="J402" s="517"/>
    </row>
    <row r="403" spans="1:10" ht="13">
      <c r="A403" s="1">
        <v>5420</v>
      </c>
      <c r="B403" s="2" t="s">
        <v>228</v>
      </c>
      <c r="C403" s="289">
        <v>1138</v>
      </c>
      <c r="D403" s="289">
        <v>3592</v>
      </c>
      <c r="E403" s="289">
        <v>0</v>
      </c>
      <c r="F403" s="289">
        <v>23986</v>
      </c>
      <c r="G403" s="289">
        <v>0</v>
      </c>
      <c r="H403" s="289">
        <v>0</v>
      </c>
      <c r="I403" s="289">
        <v>22702</v>
      </c>
      <c r="J403" s="517"/>
    </row>
    <row r="404" spans="1:10" ht="13">
      <c r="A404" s="1">
        <v>5422</v>
      </c>
      <c r="B404" s="2" t="s">
        <v>233</v>
      </c>
      <c r="C404" s="289">
        <v>5685</v>
      </c>
      <c r="D404" s="289">
        <v>1939</v>
      </c>
      <c r="E404" s="289">
        <v>0</v>
      </c>
      <c r="F404" s="289">
        <v>120376</v>
      </c>
      <c r="G404" s="289">
        <v>0</v>
      </c>
      <c r="H404" s="289">
        <v>0</v>
      </c>
      <c r="I404" s="289">
        <v>117146</v>
      </c>
      <c r="J404" s="517"/>
    </row>
    <row r="405" spans="1:10" ht="13">
      <c r="A405" s="1">
        <v>5423</v>
      </c>
      <c r="B405" s="2" t="s">
        <v>234</v>
      </c>
      <c r="C405" s="289">
        <v>2273</v>
      </c>
      <c r="D405" s="289">
        <v>1709</v>
      </c>
      <c r="E405" s="289">
        <v>0</v>
      </c>
      <c r="F405" s="289">
        <v>53340</v>
      </c>
      <c r="G405" s="289">
        <v>0</v>
      </c>
      <c r="H405" s="289">
        <v>0</v>
      </c>
      <c r="I405" s="289">
        <v>49979</v>
      </c>
      <c r="J405" s="517"/>
    </row>
    <row r="406" spans="1:10" ht="13">
      <c r="A406" s="1">
        <v>5424</v>
      </c>
      <c r="B406" s="2" t="s">
        <v>235</v>
      </c>
      <c r="C406" s="289">
        <v>2876</v>
      </c>
      <c r="D406" s="289">
        <v>3308</v>
      </c>
      <c r="E406" s="289">
        <v>0</v>
      </c>
      <c r="F406" s="289">
        <v>63967</v>
      </c>
      <c r="G406" s="289">
        <v>0</v>
      </c>
      <c r="H406" s="289">
        <v>0</v>
      </c>
      <c r="I406" s="289">
        <v>61736</v>
      </c>
      <c r="J406" s="517"/>
    </row>
    <row r="407" spans="1:10" ht="13">
      <c r="A407" s="1">
        <v>5425</v>
      </c>
      <c r="B407" s="2" t="s">
        <v>236</v>
      </c>
      <c r="C407" s="289">
        <v>1890</v>
      </c>
      <c r="D407" s="289">
        <v>2283</v>
      </c>
      <c r="E407" s="289">
        <v>0</v>
      </c>
      <c r="F407" s="289">
        <v>47106</v>
      </c>
      <c r="G407" s="289">
        <v>0</v>
      </c>
      <c r="H407" s="289">
        <v>0</v>
      </c>
      <c r="I407" s="289">
        <v>43833</v>
      </c>
      <c r="J407" s="517"/>
    </row>
    <row r="408" spans="1:10" ht="13">
      <c r="A408" s="1">
        <v>5426</v>
      </c>
      <c r="B408" s="2" t="s">
        <v>237</v>
      </c>
      <c r="C408" s="289">
        <v>2132</v>
      </c>
      <c r="D408" s="289">
        <v>2112</v>
      </c>
      <c r="E408" s="289">
        <v>0</v>
      </c>
      <c r="F408" s="289">
        <v>48956</v>
      </c>
      <c r="G408" s="289">
        <v>0</v>
      </c>
      <c r="H408" s="289">
        <v>0</v>
      </c>
      <c r="I408" s="289">
        <v>44224</v>
      </c>
      <c r="J408" s="517"/>
    </row>
    <row r="409" spans="1:10" ht="13">
      <c r="A409" s="1">
        <v>5427</v>
      </c>
      <c r="B409" s="2" t="s">
        <v>238</v>
      </c>
      <c r="C409" s="289">
        <v>2912</v>
      </c>
      <c r="D409" s="289">
        <v>1967</v>
      </c>
      <c r="E409" s="289">
        <v>0</v>
      </c>
      <c r="F409" s="289">
        <v>64296</v>
      </c>
      <c r="G409" s="289">
        <v>0</v>
      </c>
      <c r="H409" s="289">
        <v>0</v>
      </c>
      <c r="I409" s="289">
        <v>62594</v>
      </c>
      <c r="J409" s="517"/>
    </row>
    <row r="410" spans="1:10" ht="13">
      <c r="A410" s="1">
        <v>5428</v>
      </c>
      <c r="B410" s="2" t="s">
        <v>239</v>
      </c>
      <c r="C410" s="289">
        <v>4919</v>
      </c>
      <c r="D410" s="289">
        <v>2491</v>
      </c>
      <c r="E410" s="289">
        <v>0</v>
      </c>
      <c r="F410" s="289">
        <v>109786</v>
      </c>
      <c r="G410" s="289">
        <v>0</v>
      </c>
      <c r="H410" s="289">
        <v>0</v>
      </c>
      <c r="I410" s="289">
        <v>104420</v>
      </c>
      <c r="J410" s="517"/>
    </row>
    <row r="411" spans="1:10" ht="13">
      <c r="A411" s="1">
        <v>5429</v>
      </c>
      <c r="B411" s="2" t="s">
        <v>240</v>
      </c>
      <c r="C411" s="289">
        <v>1233</v>
      </c>
      <c r="D411" s="289">
        <v>3459</v>
      </c>
      <c r="E411" s="289">
        <v>0</v>
      </c>
      <c r="F411" s="289">
        <v>30275</v>
      </c>
      <c r="G411" s="289">
        <v>0</v>
      </c>
      <c r="H411" s="289">
        <v>0</v>
      </c>
      <c r="I411" s="289">
        <v>30668</v>
      </c>
      <c r="J411" s="517"/>
    </row>
    <row r="412" spans="1:10" ht="13">
      <c r="A412" s="1">
        <v>5430</v>
      </c>
      <c r="B412" s="2" t="s">
        <v>244</v>
      </c>
      <c r="C412" s="289">
        <v>2938</v>
      </c>
      <c r="D412" s="289">
        <v>4500</v>
      </c>
      <c r="E412" s="289">
        <v>0</v>
      </c>
      <c r="F412" s="289">
        <v>51161</v>
      </c>
      <c r="G412" s="289">
        <v>0</v>
      </c>
      <c r="H412" s="289">
        <v>0</v>
      </c>
      <c r="I412" s="289">
        <v>49253</v>
      </c>
      <c r="J412" s="517"/>
    </row>
    <row r="413" spans="1:10" ht="13">
      <c r="A413" s="1">
        <v>5432</v>
      </c>
      <c r="B413" s="2" t="s">
        <v>246</v>
      </c>
      <c r="C413" s="289">
        <v>968</v>
      </c>
      <c r="D413" s="289">
        <v>4300</v>
      </c>
      <c r="E413" s="289">
        <v>0</v>
      </c>
      <c r="F413" s="289">
        <v>22235</v>
      </c>
      <c r="G413" s="289">
        <v>0</v>
      </c>
      <c r="H413" s="289">
        <v>0</v>
      </c>
      <c r="I413" s="289">
        <v>20080</v>
      </c>
      <c r="J413" s="517"/>
    </row>
    <row r="414" spans="1:10" ht="13">
      <c r="A414" s="1">
        <v>5433</v>
      </c>
      <c r="B414" s="2" t="s">
        <v>247</v>
      </c>
      <c r="C414" s="289">
        <v>1037</v>
      </c>
      <c r="D414" s="289">
        <v>2900</v>
      </c>
      <c r="E414" s="289">
        <v>0</v>
      </c>
      <c r="F414" s="289">
        <v>21765</v>
      </c>
      <c r="G414" s="289">
        <v>0</v>
      </c>
      <c r="H414" s="289">
        <v>0</v>
      </c>
      <c r="I414" s="289">
        <v>20250</v>
      </c>
      <c r="J414" s="517"/>
    </row>
    <row r="415" spans="1:10" ht="13">
      <c r="A415" s="1">
        <v>5434</v>
      </c>
      <c r="B415" s="2" t="s">
        <v>249</v>
      </c>
      <c r="C415" s="289">
        <v>1204</v>
      </c>
      <c r="D415" s="289">
        <v>3700</v>
      </c>
      <c r="E415" s="289">
        <v>0</v>
      </c>
      <c r="F415" s="289">
        <v>31575</v>
      </c>
      <c r="G415" s="289">
        <v>0</v>
      </c>
      <c r="H415" s="289">
        <v>0</v>
      </c>
      <c r="I415" s="289">
        <v>28417</v>
      </c>
      <c r="J415" s="517"/>
    </row>
    <row r="416" spans="1:10" ht="13">
      <c r="A416" s="1">
        <v>5435</v>
      </c>
      <c r="B416" s="2" t="s">
        <v>250</v>
      </c>
      <c r="C416" s="289">
        <v>3291</v>
      </c>
      <c r="D416" s="289">
        <v>2800</v>
      </c>
      <c r="E416" s="289">
        <v>0</v>
      </c>
      <c r="F416" s="289">
        <v>83829</v>
      </c>
      <c r="G416" s="289">
        <v>0</v>
      </c>
      <c r="H416" s="289">
        <v>0</v>
      </c>
      <c r="I416" s="289">
        <v>77401</v>
      </c>
      <c r="J416" s="517"/>
    </row>
    <row r="417" spans="1:10" ht="13">
      <c r="A417" s="1">
        <v>5436</v>
      </c>
      <c r="B417" s="2" t="s">
        <v>251</v>
      </c>
      <c r="C417" s="289">
        <v>3971</v>
      </c>
      <c r="D417" s="289">
        <v>3800</v>
      </c>
      <c r="E417" s="289">
        <v>0</v>
      </c>
      <c r="F417" s="289">
        <v>92125</v>
      </c>
      <c r="G417" s="289">
        <v>0</v>
      </c>
      <c r="H417" s="289">
        <v>0</v>
      </c>
      <c r="I417" s="289">
        <v>90906</v>
      </c>
      <c r="J417" s="517"/>
    </row>
    <row r="418" spans="1:10" ht="13">
      <c r="A418" s="1">
        <v>5437</v>
      </c>
      <c r="B418" s="2" t="s">
        <v>252</v>
      </c>
      <c r="C418" s="289">
        <v>2696</v>
      </c>
      <c r="D418" s="289">
        <v>3700</v>
      </c>
      <c r="E418" s="289">
        <v>0</v>
      </c>
      <c r="F418" s="289">
        <v>55306</v>
      </c>
      <c r="G418" s="289">
        <v>0</v>
      </c>
      <c r="H418" s="289">
        <v>0</v>
      </c>
      <c r="I418" s="289">
        <v>54018</v>
      </c>
      <c r="J418" s="517"/>
    </row>
    <row r="419" spans="1:10" ht="13">
      <c r="A419" s="1">
        <v>5438</v>
      </c>
      <c r="B419" s="2" t="s">
        <v>253</v>
      </c>
      <c r="C419" s="289">
        <v>1330</v>
      </c>
      <c r="D419" s="289">
        <v>2600</v>
      </c>
      <c r="E419" s="289">
        <v>0</v>
      </c>
      <c r="F419" s="289">
        <v>31546</v>
      </c>
      <c r="G419" s="289">
        <v>0</v>
      </c>
      <c r="H419" s="289">
        <v>0</v>
      </c>
      <c r="I419" s="289">
        <v>29174</v>
      </c>
      <c r="J419" s="517"/>
    </row>
    <row r="420" spans="1:10" ht="13">
      <c r="A420" s="1">
        <v>5439</v>
      </c>
      <c r="B420" s="2" t="s">
        <v>254</v>
      </c>
      <c r="C420" s="289">
        <v>1137</v>
      </c>
      <c r="D420" s="289">
        <v>4400</v>
      </c>
      <c r="E420" s="289">
        <v>0</v>
      </c>
      <c r="F420" s="289">
        <v>25363</v>
      </c>
      <c r="G420" s="289">
        <v>605</v>
      </c>
      <c r="H420" s="289">
        <v>0</v>
      </c>
      <c r="I420" s="289">
        <v>24178</v>
      </c>
      <c r="J420" s="517"/>
    </row>
    <row r="421" spans="1:10" ht="13">
      <c r="A421" s="1">
        <v>5440</v>
      </c>
      <c r="B421" s="2" t="s">
        <v>255</v>
      </c>
      <c r="C421" s="289">
        <v>991</v>
      </c>
      <c r="D421" s="289">
        <v>2800</v>
      </c>
      <c r="E421" s="289">
        <v>0</v>
      </c>
      <c r="F421" s="289">
        <v>25243</v>
      </c>
      <c r="G421" s="289">
        <v>0</v>
      </c>
      <c r="H421" s="289">
        <v>0</v>
      </c>
      <c r="I421" s="289">
        <v>22785</v>
      </c>
      <c r="J421" s="517"/>
    </row>
    <row r="422" spans="1:10" ht="13">
      <c r="A422" s="1">
        <v>5441</v>
      </c>
      <c r="B422" s="2" t="s">
        <v>256</v>
      </c>
      <c r="C422" s="289">
        <v>2911</v>
      </c>
      <c r="D422" s="289">
        <v>3500</v>
      </c>
      <c r="E422" s="289">
        <v>0</v>
      </c>
      <c r="F422" s="289">
        <v>67667</v>
      </c>
      <c r="G422" s="289">
        <v>0</v>
      </c>
      <c r="H422" s="289">
        <v>0</v>
      </c>
      <c r="I422" s="289">
        <v>65869</v>
      </c>
      <c r="J422" s="517"/>
    </row>
    <row r="423" spans="1:10" ht="13">
      <c r="A423" s="1">
        <v>5442</v>
      </c>
      <c r="B423" s="2" t="s">
        <v>257</v>
      </c>
      <c r="C423" s="289">
        <v>951</v>
      </c>
      <c r="D423" s="289">
        <v>2200</v>
      </c>
      <c r="E423" s="289">
        <v>0</v>
      </c>
      <c r="F423" s="289">
        <v>19017</v>
      </c>
      <c r="G423" s="289">
        <v>784</v>
      </c>
      <c r="H423" s="289">
        <v>0</v>
      </c>
      <c r="I423" s="289">
        <v>17469</v>
      </c>
      <c r="J423" s="517"/>
    </row>
    <row r="424" spans="1:10" ht="13">
      <c r="A424" s="1">
        <v>5443</v>
      </c>
      <c r="B424" s="2" t="s">
        <v>258</v>
      </c>
      <c r="C424" s="289">
        <v>2267</v>
      </c>
      <c r="D424" s="289">
        <v>3000</v>
      </c>
      <c r="E424" s="289">
        <v>0</v>
      </c>
      <c r="F424" s="289">
        <v>55272</v>
      </c>
      <c r="G424" s="289">
        <v>0</v>
      </c>
      <c r="H424" s="289">
        <v>0</v>
      </c>
      <c r="I424" s="289">
        <v>50872</v>
      </c>
      <c r="J424" s="517"/>
    </row>
    <row r="425" spans="1:10" ht="13">
      <c r="A425" s="1">
        <v>5444</v>
      </c>
      <c r="B425" s="4" t="s">
        <v>260</v>
      </c>
      <c r="C425" s="289">
        <v>10199</v>
      </c>
      <c r="D425" s="289">
        <v>1200</v>
      </c>
      <c r="E425" s="289">
        <v>0</v>
      </c>
      <c r="F425" s="289">
        <v>260081</v>
      </c>
      <c r="G425" s="289">
        <v>0</v>
      </c>
      <c r="H425" s="289">
        <v>0</v>
      </c>
      <c r="I425" s="289">
        <v>252066</v>
      </c>
      <c r="J425" s="517"/>
    </row>
    <row r="426" spans="1:10" ht="13">
      <c r="A426" s="1"/>
      <c r="B426" s="2"/>
      <c r="C426" s="179"/>
      <c r="D426" s="289"/>
      <c r="E426" s="289"/>
      <c r="F426" s="289"/>
      <c r="G426" s="289"/>
      <c r="H426" s="289"/>
    </row>
    <row r="427" spans="1:10" ht="13">
      <c r="A427" s="1"/>
      <c r="B427" s="2" t="s">
        <v>261</v>
      </c>
      <c r="C427" s="289">
        <f>SUM(C4:C425)</f>
        <v>5258317</v>
      </c>
      <c r="D427" s="289">
        <f t="shared" ref="D427:H427" si="0">SUM(D4:D425)</f>
        <v>828238</v>
      </c>
      <c r="E427" s="289">
        <f t="shared" si="0"/>
        <v>453650</v>
      </c>
      <c r="F427" s="289">
        <f>SUM(F4:F425)</f>
        <v>156585218</v>
      </c>
      <c r="G427" s="289">
        <f t="shared" si="0"/>
        <v>422426</v>
      </c>
      <c r="H427" s="289">
        <f t="shared" si="0"/>
        <v>110406.48195099001</v>
      </c>
      <c r="I427" s="289">
        <f>SUM(I4:I425)</f>
        <v>149813982</v>
      </c>
    </row>
    <row r="428" spans="1:10">
      <c r="D428" s="5"/>
    </row>
    <row r="430" spans="1:10" ht="13">
      <c r="A430" s="1">
        <v>702</v>
      </c>
      <c r="B430" s="2" t="s">
        <v>1236</v>
      </c>
      <c r="C430" s="289">
        <v>10861</v>
      </c>
      <c r="D430" s="289"/>
      <c r="E430" s="289"/>
      <c r="F430" s="289">
        <v>280085</v>
      </c>
      <c r="G430" s="289"/>
      <c r="H430" s="289"/>
      <c r="I430" s="289">
        <v>265507</v>
      </c>
      <c r="J430" s="517"/>
    </row>
    <row r="431" spans="1:10" ht="13">
      <c r="A431" s="1">
        <v>706</v>
      </c>
      <c r="B431" s="2" t="s">
        <v>1150</v>
      </c>
      <c r="C431" s="289"/>
      <c r="D431" s="289"/>
      <c r="E431" s="289"/>
      <c r="F431" s="289"/>
      <c r="G431" s="289"/>
      <c r="H431" s="289"/>
      <c r="I431" s="289">
        <v>1204452</v>
      </c>
      <c r="J431" s="517"/>
    </row>
    <row r="432" spans="1:10" ht="13">
      <c r="A432" s="1">
        <v>709</v>
      </c>
      <c r="B432" s="2" t="s">
        <v>1240</v>
      </c>
      <c r="C432" s="289">
        <v>44082</v>
      </c>
      <c r="D432" s="289"/>
      <c r="E432" s="289"/>
      <c r="F432" s="289">
        <v>1144822</v>
      </c>
      <c r="G432" s="289"/>
      <c r="H432" s="289"/>
      <c r="I432" s="289">
        <v>1084798</v>
      </c>
      <c r="J432" s="517"/>
    </row>
    <row r="433" spans="1:10" ht="13">
      <c r="A433" s="1">
        <v>714</v>
      </c>
      <c r="B433" s="2" t="s">
        <v>1237</v>
      </c>
      <c r="C433" s="289">
        <v>3176</v>
      </c>
      <c r="D433" s="289"/>
      <c r="E433" s="289"/>
      <c r="F433" s="289">
        <v>79284</v>
      </c>
      <c r="G433" s="289"/>
      <c r="H433" s="289"/>
      <c r="I433" s="289">
        <v>73184</v>
      </c>
      <c r="J433" s="517"/>
    </row>
    <row r="434" spans="1:10" ht="13">
      <c r="A434" s="1">
        <v>719</v>
      </c>
      <c r="B434" s="2" t="s">
        <v>1151</v>
      </c>
      <c r="C434" s="289"/>
      <c r="D434" s="289"/>
      <c r="E434" s="289"/>
      <c r="F434" s="289"/>
      <c r="G434" s="289"/>
      <c r="H434" s="289"/>
      <c r="I434" s="289">
        <v>131105</v>
      </c>
      <c r="J434" s="517"/>
    </row>
    <row r="435" spans="1:10" ht="13">
      <c r="A435" s="1">
        <v>720</v>
      </c>
      <c r="B435" s="2" t="s">
        <v>1152</v>
      </c>
      <c r="C435" s="289"/>
      <c r="D435" s="289"/>
      <c r="E435" s="289"/>
      <c r="F435" s="289"/>
      <c r="G435" s="289"/>
      <c r="H435" s="289"/>
      <c r="I435" s="289">
        <v>282963</v>
      </c>
      <c r="J435" s="517"/>
    </row>
    <row r="436" spans="1:10" ht="13">
      <c r="A436" s="1">
        <v>722</v>
      </c>
      <c r="B436" s="2" t="s">
        <v>1268</v>
      </c>
      <c r="C436" s="289">
        <v>21748</v>
      </c>
      <c r="D436" s="289"/>
      <c r="E436" s="289"/>
      <c r="F436" s="289">
        <v>663809</v>
      </c>
      <c r="G436" s="289"/>
      <c r="H436" s="289"/>
      <c r="I436" s="289">
        <v>645403</v>
      </c>
      <c r="J436" s="517"/>
    </row>
    <row r="437" spans="1:10" ht="13">
      <c r="A437" s="1">
        <v>723</v>
      </c>
      <c r="B437" s="2" t="s">
        <v>1269</v>
      </c>
      <c r="C437" s="289">
        <v>4928</v>
      </c>
      <c r="D437" s="289"/>
      <c r="E437" s="289"/>
      <c r="F437" s="289">
        <v>154820</v>
      </c>
      <c r="G437" s="289"/>
      <c r="H437" s="289"/>
      <c r="I437" s="289">
        <v>142036</v>
      </c>
      <c r="J437" s="517"/>
    </row>
    <row r="438" spans="1:10" ht="13">
      <c r="A438" s="1">
        <v>728</v>
      </c>
      <c r="B438" s="2" t="s">
        <v>1239</v>
      </c>
      <c r="C438" s="289">
        <v>2475</v>
      </c>
      <c r="D438" s="289"/>
      <c r="E438" s="289"/>
      <c r="F438" s="289">
        <v>60170</v>
      </c>
      <c r="G438" s="289"/>
      <c r="H438" s="289"/>
      <c r="I438" s="289">
        <v>58777</v>
      </c>
      <c r="J438" s="517"/>
    </row>
    <row r="439" spans="1:10" ht="13">
      <c r="A439" s="1">
        <v>1624</v>
      </c>
      <c r="B439" s="2" t="s">
        <v>1270</v>
      </c>
      <c r="C439" s="289">
        <v>6628</v>
      </c>
      <c r="D439" s="289"/>
      <c r="E439" s="289"/>
      <c r="F439" s="289">
        <v>138472</v>
      </c>
      <c r="G439" s="289"/>
      <c r="H439" s="289"/>
      <c r="I439" s="289">
        <v>134502</v>
      </c>
      <c r="J439" s="517"/>
    </row>
    <row r="440" spans="1:10" ht="13">
      <c r="A440" s="1">
        <v>1718</v>
      </c>
      <c r="B440" s="2" t="s">
        <v>1271</v>
      </c>
      <c r="C440" s="289">
        <v>3480</v>
      </c>
      <c r="D440" s="289"/>
      <c r="E440" s="289"/>
      <c r="F440" s="289">
        <v>77905</v>
      </c>
      <c r="G440" s="289"/>
      <c r="H440" s="289"/>
      <c r="I440" s="289">
        <v>71450</v>
      </c>
      <c r="J440" s="517"/>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3" customWidth="1"/>
    <col min="59" max="59" width="18.81640625" customWidth="1"/>
    <col min="60" max="62" width="21.453125" customWidth="1"/>
    <col min="63" max="63" width="21" customWidth="1"/>
    <col min="64" max="64" width="17" customWidth="1"/>
    <col min="65" max="66" width="18.26953125" customWidth="1"/>
    <col min="67" max="67" width="15" customWidth="1"/>
    <col min="68" max="72" width="18.26953125" customWidth="1"/>
    <col min="73" max="73" width="17" customWidth="1"/>
    <col min="74" max="76" width="18.26953125" customWidth="1"/>
  </cols>
  <sheetData>
    <row r="1" spans="1:83"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3" s="85" customFormat="1" ht="80.25" customHeight="1">
      <c r="A2" s="120" t="s">
        <v>775</v>
      </c>
      <c r="B2" s="120" t="s">
        <v>776</v>
      </c>
      <c r="C2" s="122" t="s">
        <v>1257</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t="s">
        <v>1402</v>
      </c>
      <c r="T2" s="122" t="s">
        <v>1120</v>
      </c>
      <c r="U2" s="122" t="s">
        <v>747</v>
      </c>
      <c r="V2" s="122" t="s">
        <v>768</v>
      </c>
      <c r="W2" s="122" t="s">
        <v>1145</v>
      </c>
      <c r="X2" s="122" t="s">
        <v>269</v>
      </c>
      <c r="Y2" s="122" t="s">
        <v>1182</v>
      </c>
      <c r="Z2" s="122" t="s">
        <v>1442</v>
      </c>
      <c r="AA2" s="122" t="s">
        <v>1062</v>
      </c>
      <c r="AB2" s="122" t="s">
        <v>759</v>
      </c>
      <c r="AC2" s="120" t="s">
        <v>1232</v>
      </c>
      <c r="AD2" s="120" t="s">
        <v>1309</v>
      </c>
      <c r="AE2" s="122" t="s">
        <v>917</v>
      </c>
      <c r="AF2" s="122" t="s">
        <v>1064</v>
      </c>
      <c r="AG2" s="122" t="s">
        <v>1256</v>
      </c>
      <c r="AH2" s="122" t="s">
        <v>1024</v>
      </c>
      <c r="AI2" s="122" t="s">
        <v>259</v>
      </c>
      <c r="AJ2" s="122" t="s">
        <v>1313</v>
      </c>
      <c r="AK2" s="122" t="s">
        <v>1303</v>
      </c>
      <c r="AL2" s="122" t="s">
        <v>1168</v>
      </c>
      <c r="AM2" s="120" t="s">
        <v>758</v>
      </c>
      <c r="AN2" s="122" t="s">
        <v>1112</v>
      </c>
      <c r="AO2" s="122" t="s">
        <v>1296</v>
      </c>
      <c r="AP2" s="122" t="s">
        <v>11</v>
      </c>
      <c r="AQ2" s="122" t="s">
        <v>1179</v>
      </c>
      <c r="AR2" s="122" t="s">
        <v>1170</v>
      </c>
      <c r="AS2" s="122" t="s">
        <v>1305</v>
      </c>
      <c r="AT2" s="122" t="s">
        <v>977</v>
      </c>
      <c r="AU2" s="122" t="s">
        <v>978</v>
      </c>
      <c r="AV2" s="122" t="s">
        <v>1155</v>
      </c>
      <c r="AW2" s="122" t="s">
        <v>1307</v>
      </c>
      <c r="AX2" s="120" t="s">
        <v>1002</v>
      </c>
      <c r="AY2" s="122" t="s">
        <v>161</v>
      </c>
      <c r="AZ2" s="122" t="s">
        <v>975</v>
      </c>
      <c r="BA2" s="122" t="s">
        <v>159</v>
      </c>
      <c r="BB2" s="122" t="s">
        <v>698</v>
      </c>
      <c r="BC2" s="122" t="s">
        <v>1259</v>
      </c>
      <c r="BD2" s="122" t="s">
        <v>1308</v>
      </c>
      <c r="BE2" s="122" t="s">
        <v>1297</v>
      </c>
      <c r="BF2" s="122" t="s">
        <v>1169</v>
      </c>
      <c r="BG2" s="122" t="s">
        <v>1304</v>
      </c>
      <c r="BH2" s="122" t="s">
        <v>1439</v>
      </c>
      <c r="BI2" s="122" t="s">
        <v>1298</v>
      </c>
      <c r="BJ2" s="122" t="s">
        <v>1310</v>
      </c>
      <c r="BK2" s="122" t="s">
        <v>1311</v>
      </c>
      <c r="BL2" s="122" t="s">
        <v>1375</v>
      </c>
      <c r="BM2" s="122" t="s">
        <v>1272</v>
      </c>
      <c r="BN2" s="122" t="s">
        <v>1312</v>
      </c>
      <c r="BO2" s="122" t="s">
        <v>1314</v>
      </c>
      <c r="BP2" s="122" t="s">
        <v>1365</v>
      </c>
      <c r="BQ2" s="122" t="s">
        <v>1358</v>
      </c>
      <c r="BR2" s="122" t="s">
        <v>1356</v>
      </c>
      <c r="BS2" s="122" t="s">
        <v>1357</v>
      </c>
      <c r="BT2" s="122" t="s">
        <v>1368</v>
      </c>
      <c r="BU2" s="122" t="s">
        <v>1376</v>
      </c>
      <c r="BV2" s="122" t="s">
        <v>1441</v>
      </c>
      <c r="BW2" s="122" t="s">
        <v>1448</v>
      </c>
      <c r="BX2" s="122" t="s">
        <v>1449</v>
      </c>
    </row>
    <row r="3" spans="1:83"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817">
        <v>19</v>
      </c>
      <c r="T3" s="121">
        <v>20</v>
      </c>
      <c r="U3" s="121">
        <v>21</v>
      </c>
      <c r="V3" s="121">
        <v>22</v>
      </c>
      <c r="W3" s="121">
        <v>23</v>
      </c>
      <c r="X3" s="121">
        <v>24</v>
      </c>
      <c r="Y3" s="121">
        <v>25</v>
      </c>
      <c r="Z3" s="121">
        <v>26</v>
      </c>
      <c r="AA3" s="121">
        <v>27</v>
      </c>
      <c r="AB3" s="121">
        <v>28</v>
      </c>
      <c r="AC3" s="121">
        <v>29</v>
      </c>
      <c r="AD3" s="121">
        <v>30</v>
      </c>
      <c r="AE3" s="803">
        <v>31</v>
      </c>
      <c r="AF3" s="803">
        <v>32</v>
      </c>
      <c r="AG3" s="803">
        <v>33</v>
      </c>
      <c r="AH3" s="803">
        <v>34</v>
      </c>
      <c r="AI3" s="803">
        <v>35</v>
      </c>
      <c r="AJ3" s="803">
        <v>36</v>
      </c>
      <c r="AK3" s="817">
        <v>37</v>
      </c>
      <c r="AL3" s="803">
        <v>38</v>
      </c>
      <c r="AM3" s="803">
        <v>39</v>
      </c>
      <c r="AN3" s="803">
        <v>40</v>
      </c>
      <c r="AO3" s="803">
        <v>41</v>
      </c>
      <c r="AP3" s="803">
        <v>42</v>
      </c>
      <c r="AQ3" s="803">
        <v>43</v>
      </c>
      <c r="AR3" s="803">
        <v>44</v>
      </c>
      <c r="AS3" s="817">
        <v>45</v>
      </c>
      <c r="AT3" s="803">
        <v>46</v>
      </c>
      <c r="AU3" s="803">
        <v>47</v>
      </c>
      <c r="AV3" s="803">
        <v>48</v>
      </c>
      <c r="AW3" s="817">
        <v>49</v>
      </c>
      <c r="AX3" s="803">
        <v>50</v>
      </c>
      <c r="AY3" s="803">
        <v>51</v>
      </c>
      <c r="AZ3" s="803">
        <v>52</v>
      </c>
      <c r="BA3" s="803">
        <v>53</v>
      </c>
      <c r="BB3" s="803">
        <v>54</v>
      </c>
      <c r="BC3" s="803">
        <v>55</v>
      </c>
      <c r="BD3" s="817">
        <v>56</v>
      </c>
      <c r="BE3" s="803">
        <v>57</v>
      </c>
      <c r="BF3" s="803">
        <v>58</v>
      </c>
      <c r="BG3" s="817">
        <v>59</v>
      </c>
      <c r="BH3" s="817">
        <v>60</v>
      </c>
      <c r="BI3" s="803">
        <v>61</v>
      </c>
      <c r="BJ3" s="817">
        <v>62</v>
      </c>
      <c r="BK3" s="817">
        <v>63</v>
      </c>
      <c r="BL3" s="803">
        <v>64</v>
      </c>
      <c r="BM3" s="803">
        <v>65</v>
      </c>
      <c r="BN3" s="630">
        <v>66</v>
      </c>
      <c r="BO3" s="630">
        <v>67</v>
      </c>
      <c r="BP3" s="630">
        <v>68</v>
      </c>
      <c r="BQ3" s="630">
        <v>69</v>
      </c>
      <c r="BR3" s="630">
        <v>70</v>
      </c>
      <c r="BS3" s="630">
        <v>71</v>
      </c>
      <c r="BT3" s="630">
        <v>72</v>
      </c>
      <c r="BU3" s="803">
        <v>73</v>
      </c>
      <c r="BV3" s="630">
        <v>74</v>
      </c>
      <c r="BW3" s="803">
        <v>75</v>
      </c>
      <c r="BX3" s="803">
        <v>76</v>
      </c>
    </row>
    <row r="4" spans="1:83" s="85" customFormat="1" ht="13">
      <c r="A4" s="1">
        <v>104</v>
      </c>
      <c r="B4" s="2" t="s">
        <v>784</v>
      </c>
      <c r="C4" s="289">
        <v>32588</v>
      </c>
      <c r="D4" s="289">
        <v>585</v>
      </c>
      <c r="E4" s="289">
        <v>1407</v>
      </c>
      <c r="F4" s="289">
        <v>3835</v>
      </c>
      <c r="G4" s="289">
        <v>2759</v>
      </c>
      <c r="H4" s="289">
        <v>18312</v>
      </c>
      <c r="I4" s="289">
        <v>4141</v>
      </c>
      <c r="J4" s="289">
        <v>1226</v>
      </c>
      <c r="K4" s="289">
        <v>264</v>
      </c>
      <c r="L4" s="289">
        <v>279</v>
      </c>
      <c r="M4" s="289">
        <v>2521</v>
      </c>
      <c r="N4" s="290">
        <v>1306</v>
      </c>
      <c r="O4" s="290">
        <v>357</v>
      </c>
      <c r="P4" s="624">
        <v>43494.011666669998</v>
      </c>
      <c r="Q4" s="624">
        <v>19599.990333329999</v>
      </c>
      <c r="R4" s="624">
        <v>123</v>
      </c>
      <c r="S4" s="289">
        <v>0</v>
      </c>
      <c r="T4" s="289">
        <v>3187</v>
      </c>
      <c r="U4" s="716">
        <v>3.3828335702105013E-4</v>
      </c>
      <c r="V4" s="289">
        <v>-16231.216552989999</v>
      </c>
      <c r="W4" s="743">
        <v>0.52797253</v>
      </c>
      <c r="X4" s="289">
        <v>5400</v>
      </c>
      <c r="Y4" s="289">
        <v>392</v>
      </c>
      <c r="Z4" s="289">
        <v>850407</v>
      </c>
      <c r="AA4" s="289">
        <v>0</v>
      </c>
      <c r="AB4" s="290">
        <v>907</v>
      </c>
      <c r="AC4" s="289">
        <v>0</v>
      </c>
      <c r="AD4" s="289">
        <v>5703.5339999999997</v>
      </c>
      <c r="AE4" s="289">
        <v>0</v>
      </c>
      <c r="AF4" s="289">
        <v>0</v>
      </c>
      <c r="AG4" s="289">
        <v>32529</v>
      </c>
      <c r="AH4" s="289">
        <v>4445</v>
      </c>
      <c r="AI4" s="289">
        <v>600</v>
      </c>
      <c r="AJ4" s="289">
        <v>0</v>
      </c>
      <c r="AK4" s="289">
        <v>138.9136</v>
      </c>
      <c r="AL4" s="289"/>
      <c r="AM4" s="622">
        <v>2.39779995</v>
      </c>
      <c r="AN4" s="289">
        <v>0</v>
      </c>
      <c r="AO4" s="289">
        <v>-1591.94167584</v>
      </c>
      <c r="AP4" s="289">
        <v>0</v>
      </c>
      <c r="AQ4" s="289">
        <v>0</v>
      </c>
      <c r="AR4" s="289">
        <v>-2324.9841330099998</v>
      </c>
      <c r="AS4" s="289">
        <v>597.9873</v>
      </c>
      <c r="AT4" s="289">
        <v>2368</v>
      </c>
      <c r="AU4" s="289">
        <v>551</v>
      </c>
      <c r="AV4" s="625">
        <v>740816</v>
      </c>
      <c r="AW4" s="289">
        <v>-16.5181</v>
      </c>
      <c r="AX4" s="625">
        <v>196.375</v>
      </c>
      <c r="AY4" s="289">
        <v>7386</v>
      </c>
      <c r="AZ4" s="289">
        <v>1930</v>
      </c>
      <c r="BA4" s="290">
        <v>910</v>
      </c>
      <c r="BB4" s="289">
        <v>0</v>
      </c>
      <c r="BC4" s="289">
        <v>4692</v>
      </c>
      <c r="BD4" s="289">
        <v>589.92780000000005</v>
      </c>
      <c r="BE4" s="289">
        <v>780746.92435097997</v>
      </c>
      <c r="BF4" s="289">
        <v>0</v>
      </c>
      <c r="BG4" s="289">
        <v>11</v>
      </c>
      <c r="BH4" s="289">
        <v>-265.02370000000002</v>
      </c>
      <c r="BI4" s="289">
        <v>10540.534</v>
      </c>
      <c r="BJ4" s="289">
        <v>-210.9879</v>
      </c>
      <c r="BK4" s="289">
        <v>0</v>
      </c>
      <c r="BL4" s="289">
        <v>0</v>
      </c>
      <c r="BM4" s="289">
        <v>4267</v>
      </c>
      <c r="BN4" s="289">
        <v>0</v>
      </c>
      <c r="BO4" s="517">
        <v>0</v>
      </c>
      <c r="BP4" s="517">
        <v>0</v>
      </c>
      <c r="BQ4" s="289">
        <f t="shared" ref="BQ4:BQ67" si="0">-1.0264974*AG4/1000</f>
        <v>-33.390933924599999</v>
      </c>
      <c r="BR4" s="289">
        <v>5525.9369999999999</v>
      </c>
      <c r="BS4" s="289">
        <f t="shared" ref="BS4:BS67" si="1">+BR4-AD4</f>
        <v>-177.59699999999975</v>
      </c>
      <c r="BT4" s="289">
        <v>80</v>
      </c>
      <c r="BU4" s="289">
        <v>0</v>
      </c>
      <c r="BV4" s="289">
        <v>294</v>
      </c>
      <c r="BW4" s="289">
        <v>230.535</v>
      </c>
      <c r="BX4" s="289">
        <v>679.57799999999997</v>
      </c>
      <c r="CC4" s="517"/>
      <c r="CE4" s="517"/>
    </row>
    <row r="5" spans="1:83" s="85" customFormat="1" ht="13">
      <c r="A5" s="1">
        <v>121</v>
      </c>
      <c r="B5" s="2" t="s">
        <v>790</v>
      </c>
      <c r="C5" s="289">
        <v>682</v>
      </c>
      <c r="D5" s="289">
        <v>7</v>
      </c>
      <c r="E5" s="289">
        <v>25</v>
      </c>
      <c r="F5" s="289">
        <v>74</v>
      </c>
      <c r="G5" s="289">
        <v>64</v>
      </c>
      <c r="H5" s="289">
        <v>371</v>
      </c>
      <c r="I5" s="289">
        <v>83</v>
      </c>
      <c r="J5" s="289">
        <v>50</v>
      </c>
      <c r="K5" s="289">
        <v>9</v>
      </c>
      <c r="L5" s="289">
        <v>4</v>
      </c>
      <c r="M5" s="289">
        <v>56</v>
      </c>
      <c r="N5" s="290">
        <v>1.5</v>
      </c>
      <c r="O5" s="290">
        <v>9</v>
      </c>
      <c r="P5" s="624">
        <v>1597.1433333299999</v>
      </c>
      <c r="Q5" s="624">
        <v>2147.701</v>
      </c>
      <c r="R5" s="624">
        <v>4</v>
      </c>
      <c r="S5" s="289">
        <v>0</v>
      </c>
      <c r="T5" s="289">
        <v>53</v>
      </c>
      <c r="U5" s="716">
        <v>4.0383110627155411E-4</v>
      </c>
      <c r="V5" s="289">
        <v>352.60117336000002</v>
      </c>
      <c r="W5" s="743">
        <v>1</v>
      </c>
      <c r="X5" s="289">
        <v>0</v>
      </c>
      <c r="Y5" s="289">
        <v>244</v>
      </c>
      <c r="Z5" s="289">
        <v>17031</v>
      </c>
      <c r="AA5" s="289">
        <v>0</v>
      </c>
      <c r="AB5" s="290">
        <v>18</v>
      </c>
      <c r="AC5" s="289">
        <v>0</v>
      </c>
      <c r="AD5" s="289">
        <v>313.95600000000002</v>
      </c>
      <c r="AE5" s="289">
        <v>0</v>
      </c>
      <c r="AF5" s="289">
        <v>0</v>
      </c>
      <c r="AG5" s="289">
        <v>683</v>
      </c>
      <c r="AH5" s="289">
        <v>100</v>
      </c>
      <c r="AI5" s="289">
        <v>0</v>
      </c>
      <c r="AJ5" s="289">
        <v>0</v>
      </c>
      <c r="AK5" s="289">
        <v>2.2959999999999998</v>
      </c>
      <c r="AL5" s="289"/>
      <c r="AM5" s="622">
        <v>2.8643000000000002E-3</v>
      </c>
      <c r="AN5" s="289">
        <v>0</v>
      </c>
      <c r="AO5" s="289">
        <v>-49.042541640000003</v>
      </c>
      <c r="AP5" s="289">
        <v>0</v>
      </c>
      <c r="AQ5" s="289">
        <v>0</v>
      </c>
      <c r="AR5" s="289">
        <v>-48.816876110000003</v>
      </c>
      <c r="AS5" s="289">
        <v>7.0838999999999999</v>
      </c>
      <c r="AT5" s="289">
        <v>28</v>
      </c>
      <c r="AU5" s="289">
        <v>3</v>
      </c>
      <c r="AV5" s="625">
        <v>35387</v>
      </c>
      <c r="AW5" s="289">
        <v>-0.3468</v>
      </c>
      <c r="AX5" s="625">
        <v>1.8333333300000001</v>
      </c>
      <c r="AY5" s="289">
        <v>100</v>
      </c>
      <c r="AZ5" s="289">
        <v>16</v>
      </c>
      <c r="BA5" s="290">
        <v>2</v>
      </c>
      <c r="BB5" s="289">
        <v>2772</v>
      </c>
      <c r="BC5" s="289">
        <v>310</v>
      </c>
      <c r="BD5" s="289">
        <v>13.271699999999999</v>
      </c>
      <c r="BE5" s="289">
        <v>36323.869986969999</v>
      </c>
      <c r="BF5" s="289">
        <v>0</v>
      </c>
      <c r="BG5" s="289">
        <v>13</v>
      </c>
      <c r="BH5" s="289">
        <v>-5.5646000000000004</v>
      </c>
      <c r="BI5" s="289">
        <v>657.95600000000002</v>
      </c>
      <c r="BJ5" s="289">
        <v>-96.695099999999996</v>
      </c>
      <c r="BK5" s="289">
        <v>0</v>
      </c>
      <c r="BL5" s="289">
        <v>0</v>
      </c>
      <c r="BM5" s="289">
        <v>174</v>
      </c>
      <c r="BN5" s="289">
        <v>0</v>
      </c>
      <c r="BO5" s="517">
        <v>0</v>
      </c>
      <c r="BP5" s="289">
        <v>271.60000000000002</v>
      </c>
      <c r="BQ5" s="289">
        <f t="shared" si="0"/>
        <v>-0.70109772420000005</v>
      </c>
      <c r="BR5" s="289">
        <v>217.96199999999999</v>
      </c>
      <c r="BS5" s="289">
        <f t="shared" si="1"/>
        <v>-95.994000000000028</v>
      </c>
      <c r="BT5" s="289">
        <v>1</v>
      </c>
      <c r="BU5" s="289">
        <v>0</v>
      </c>
      <c r="BV5" s="289">
        <v>15</v>
      </c>
      <c r="BW5" s="289">
        <v>0</v>
      </c>
      <c r="BX5" s="289">
        <v>14.146000000000001</v>
      </c>
      <c r="BY5"/>
      <c r="BZ5"/>
      <c r="CA5"/>
      <c r="CB5"/>
      <c r="CC5" s="517"/>
      <c r="CE5" s="517"/>
    </row>
    <row r="6" spans="1:83" s="85" customFormat="1" ht="13">
      <c r="A6" s="1">
        <v>122</v>
      </c>
      <c r="B6" s="2" t="s">
        <v>791</v>
      </c>
      <c r="C6" s="289">
        <v>5337</v>
      </c>
      <c r="D6" s="289">
        <v>94</v>
      </c>
      <c r="E6" s="289">
        <v>233</v>
      </c>
      <c r="F6" s="289">
        <v>635</v>
      </c>
      <c r="G6" s="289">
        <v>436</v>
      </c>
      <c r="H6" s="289">
        <v>3038</v>
      </c>
      <c r="I6" s="289">
        <v>652</v>
      </c>
      <c r="J6" s="289">
        <v>182</v>
      </c>
      <c r="K6" s="289">
        <v>60</v>
      </c>
      <c r="L6" s="289">
        <v>45</v>
      </c>
      <c r="M6" s="289">
        <v>425</v>
      </c>
      <c r="N6" s="290">
        <v>36</v>
      </c>
      <c r="O6" s="290">
        <v>44</v>
      </c>
      <c r="P6" s="624">
        <v>19252.947666669999</v>
      </c>
      <c r="Q6" s="624">
        <v>13054.989</v>
      </c>
      <c r="R6" s="624">
        <v>35</v>
      </c>
      <c r="S6" s="289">
        <v>0</v>
      </c>
      <c r="T6" s="289">
        <v>466</v>
      </c>
      <c r="U6" s="716">
        <v>3.1132360493175142E-3</v>
      </c>
      <c r="V6" s="289">
        <v>1211.50312128</v>
      </c>
      <c r="W6" s="743">
        <v>0.64257158999999997</v>
      </c>
      <c r="X6" s="289">
        <v>500</v>
      </c>
      <c r="Y6" s="289">
        <v>392</v>
      </c>
      <c r="Z6" s="289">
        <v>136209</v>
      </c>
      <c r="AA6" s="289">
        <v>0</v>
      </c>
      <c r="AB6" s="290">
        <v>151</v>
      </c>
      <c r="AC6" s="289">
        <v>0</v>
      </c>
      <c r="AD6" s="289">
        <v>3904.9560000000001</v>
      </c>
      <c r="AE6" s="289">
        <v>0</v>
      </c>
      <c r="AF6" s="289">
        <v>0</v>
      </c>
      <c r="AG6" s="289">
        <v>5330</v>
      </c>
      <c r="AH6" s="289">
        <v>740</v>
      </c>
      <c r="AI6" s="289">
        <v>0</v>
      </c>
      <c r="AJ6" s="289">
        <v>0</v>
      </c>
      <c r="AK6" s="289">
        <v>21.998899999999999</v>
      </c>
      <c r="AL6" s="289"/>
      <c r="AM6" s="622">
        <v>9.1453960000000001E-2</v>
      </c>
      <c r="AN6" s="289">
        <v>0</v>
      </c>
      <c r="AO6" s="289">
        <v>-275.90901642</v>
      </c>
      <c r="AP6" s="289">
        <v>0</v>
      </c>
      <c r="AQ6" s="289">
        <v>0</v>
      </c>
      <c r="AR6" s="289">
        <v>1204.6084452</v>
      </c>
      <c r="AS6" s="289">
        <v>65.215500000000006</v>
      </c>
      <c r="AT6" s="289">
        <v>357</v>
      </c>
      <c r="AU6" s="289">
        <v>47</v>
      </c>
      <c r="AV6" s="625">
        <v>146482</v>
      </c>
      <c r="AW6" s="289">
        <v>265.30470000000003</v>
      </c>
      <c r="AX6" s="625">
        <v>32.291666669999998</v>
      </c>
      <c r="AY6" s="289">
        <v>761</v>
      </c>
      <c r="AZ6" s="289">
        <v>157</v>
      </c>
      <c r="BA6" s="290">
        <v>130</v>
      </c>
      <c r="BB6" s="289">
        <v>0</v>
      </c>
      <c r="BC6" s="289">
        <v>725</v>
      </c>
      <c r="BD6" s="289">
        <v>98.210700000000003</v>
      </c>
      <c r="BE6" s="289">
        <v>150254.61255553001</v>
      </c>
      <c r="BF6" s="289">
        <v>0</v>
      </c>
      <c r="BG6" s="289">
        <v>11</v>
      </c>
      <c r="BH6" s="289">
        <v>-43.4251</v>
      </c>
      <c r="BI6" s="289">
        <v>5036.9560000000001</v>
      </c>
      <c r="BJ6" s="289">
        <v>-194.25020000000001</v>
      </c>
      <c r="BK6" s="289">
        <v>0</v>
      </c>
      <c r="BL6" s="289">
        <v>0</v>
      </c>
      <c r="BM6" s="289">
        <v>741</v>
      </c>
      <c r="BN6" s="289">
        <v>0</v>
      </c>
      <c r="BO6" s="517">
        <v>0</v>
      </c>
      <c r="BP6" s="517">
        <v>0</v>
      </c>
      <c r="BQ6" s="289">
        <f t="shared" si="0"/>
        <v>-5.4712311419999997</v>
      </c>
      <c r="BR6" s="289">
        <v>3716.1770000000001</v>
      </c>
      <c r="BS6" s="289">
        <f t="shared" si="1"/>
        <v>-188.779</v>
      </c>
      <c r="BT6" s="289">
        <v>13</v>
      </c>
      <c r="BU6" s="289">
        <v>0</v>
      </c>
      <c r="BV6" s="289">
        <v>55</v>
      </c>
      <c r="BW6" s="289">
        <v>0</v>
      </c>
      <c r="BX6" s="289">
        <v>110.905</v>
      </c>
      <c r="BY6"/>
      <c r="BZ6"/>
      <c r="CA6"/>
      <c r="CB6"/>
      <c r="CC6" s="517"/>
      <c r="CE6" s="517"/>
    </row>
    <row r="7" spans="1:83" s="85" customFormat="1" ht="13">
      <c r="A7" s="1">
        <v>123</v>
      </c>
      <c r="B7" s="2" t="s">
        <v>792</v>
      </c>
      <c r="C7" s="289">
        <v>5853</v>
      </c>
      <c r="D7" s="289">
        <v>127</v>
      </c>
      <c r="E7" s="289">
        <v>285</v>
      </c>
      <c r="F7" s="289">
        <v>718</v>
      </c>
      <c r="G7" s="289">
        <v>483</v>
      </c>
      <c r="H7" s="289">
        <v>3252</v>
      </c>
      <c r="I7" s="289">
        <v>720</v>
      </c>
      <c r="J7" s="289">
        <v>187</v>
      </c>
      <c r="K7" s="289">
        <v>40</v>
      </c>
      <c r="L7" s="289">
        <v>48</v>
      </c>
      <c r="M7" s="289">
        <v>373</v>
      </c>
      <c r="N7" s="290">
        <v>122</v>
      </c>
      <c r="O7" s="290">
        <v>47</v>
      </c>
      <c r="P7" s="624">
        <v>17970.658666669999</v>
      </c>
      <c r="Q7" s="624">
        <v>11487.393666669999</v>
      </c>
      <c r="R7" s="624">
        <v>24</v>
      </c>
      <c r="S7" s="289">
        <v>0</v>
      </c>
      <c r="T7" s="289">
        <v>392</v>
      </c>
      <c r="U7" s="716">
        <v>2.0010390073030215E-3</v>
      </c>
      <c r="V7" s="289">
        <v>196.73089622000001</v>
      </c>
      <c r="W7" s="743">
        <v>0.56989020999999995</v>
      </c>
      <c r="X7" s="289">
        <v>500</v>
      </c>
      <c r="Y7" s="289">
        <v>392</v>
      </c>
      <c r="Z7" s="289">
        <v>162032</v>
      </c>
      <c r="AA7" s="289">
        <v>0</v>
      </c>
      <c r="AB7" s="290">
        <v>149</v>
      </c>
      <c r="AC7" s="289">
        <v>0</v>
      </c>
      <c r="AD7" s="289">
        <v>5032.53</v>
      </c>
      <c r="AE7" s="289">
        <v>0</v>
      </c>
      <c r="AF7" s="289">
        <v>0</v>
      </c>
      <c r="AG7" s="289">
        <v>5812</v>
      </c>
      <c r="AH7" s="289">
        <v>851</v>
      </c>
      <c r="AI7" s="289">
        <v>0</v>
      </c>
      <c r="AJ7" s="289">
        <v>0</v>
      </c>
      <c r="AK7" s="289">
        <v>27.7425</v>
      </c>
      <c r="AL7" s="289"/>
      <c r="AM7" s="622">
        <v>0.21299856</v>
      </c>
      <c r="AN7" s="289">
        <v>0</v>
      </c>
      <c r="AO7" s="289">
        <v>-289.90511801000002</v>
      </c>
      <c r="AP7" s="289">
        <v>0</v>
      </c>
      <c r="AQ7" s="289">
        <v>0</v>
      </c>
      <c r="AR7" s="289">
        <v>-415.40802917000002</v>
      </c>
      <c r="AS7" s="289">
        <v>75.325000000000003</v>
      </c>
      <c r="AT7" s="289">
        <v>345</v>
      </c>
      <c r="AU7" s="289">
        <v>71</v>
      </c>
      <c r="AV7" s="625">
        <v>31772</v>
      </c>
      <c r="AW7" s="289">
        <v>-2.9512999999999998</v>
      </c>
      <c r="AX7" s="625">
        <v>49.375</v>
      </c>
      <c r="AY7" s="289">
        <v>1027</v>
      </c>
      <c r="AZ7" s="289">
        <v>289</v>
      </c>
      <c r="BA7" s="290">
        <v>155</v>
      </c>
      <c r="BB7" s="289">
        <v>0</v>
      </c>
      <c r="BC7" s="289">
        <v>-107772.615435</v>
      </c>
      <c r="BD7" s="289">
        <v>112.9423</v>
      </c>
      <c r="BE7" s="289">
        <v>39523.154800420001</v>
      </c>
      <c r="BF7" s="289">
        <v>0</v>
      </c>
      <c r="BG7" s="289">
        <v>11</v>
      </c>
      <c r="BH7" s="289">
        <v>-47.3521</v>
      </c>
      <c r="BI7" s="289">
        <v>-106381.3435</v>
      </c>
      <c r="BJ7" s="289">
        <v>-174.86500000000001</v>
      </c>
      <c r="BK7" s="289">
        <v>0</v>
      </c>
      <c r="BL7" s="289">
        <v>-112656.8735</v>
      </c>
      <c r="BM7" s="289">
        <v>796</v>
      </c>
      <c r="BN7" s="289">
        <v>110.605</v>
      </c>
      <c r="BO7" s="517">
        <v>0</v>
      </c>
      <c r="BP7" s="517">
        <v>0</v>
      </c>
      <c r="BQ7" s="289">
        <f t="shared" si="0"/>
        <v>-5.9660028887999994</v>
      </c>
      <c r="BR7" s="289">
        <v>4863.6310000000003</v>
      </c>
      <c r="BS7" s="289">
        <f t="shared" si="1"/>
        <v>-168.89899999999943</v>
      </c>
      <c r="BT7" s="289">
        <v>16</v>
      </c>
      <c r="BU7" s="289">
        <v>0</v>
      </c>
      <c r="BV7" s="289">
        <v>58</v>
      </c>
      <c r="BW7" s="289">
        <v>303.887</v>
      </c>
      <c r="BX7" s="289">
        <v>124.221</v>
      </c>
      <c r="BY7"/>
      <c r="BZ7"/>
      <c r="CA7"/>
      <c r="CB7"/>
      <c r="CC7" s="517"/>
      <c r="CE7" s="517"/>
    </row>
    <row r="8" spans="1:83" s="85" customFormat="1" ht="13">
      <c r="A8" s="1">
        <v>124</v>
      </c>
      <c r="B8" s="2" t="s">
        <v>793</v>
      </c>
      <c r="C8" s="289">
        <v>15810</v>
      </c>
      <c r="D8" s="289">
        <v>295</v>
      </c>
      <c r="E8" s="289">
        <v>695</v>
      </c>
      <c r="F8" s="289">
        <v>1976</v>
      </c>
      <c r="G8" s="289">
        <v>1383</v>
      </c>
      <c r="H8" s="289">
        <v>8903</v>
      </c>
      <c r="I8" s="289">
        <v>1887</v>
      </c>
      <c r="J8" s="289">
        <v>491</v>
      </c>
      <c r="K8" s="289">
        <v>139</v>
      </c>
      <c r="L8" s="289">
        <v>148</v>
      </c>
      <c r="M8" s="289">
        <v>1128</v>
      </c>
      <c r="N8" s="290">
        <v>851</v>
      </c>
      <c r="O8" s="290">
        <v>160</v>
      </c>
      <c r="P8" s="624">
        <v>20383.349333329999</v>
      </c>
      <c r="Q8" s="624">
        <v>24158.93466667</v>
      </c>
      <c r="R8" s="624">
        <v>51</v>
      </c>
      <c r="S8" s="289">
        <v>0</v>
      </c>
      <c r="T8" s="289">
        <v>1337</v>
      </c>
      <c r="U8" s="716">
        <v>1.6897116866047572E-3</v>
      </c>
      <c r="V8" s="289">
        <v>169.77461943</v>
      </c>
      <c r="W8" s="743">
        <v>0.53617391000000003</v>
      </c>
      <c r="X8" s="289">
        <v>1700</v>
      </c>
      <c r="Y8" s="289">
        <v>392</v>
      </c>
      <c r="Z8" s="289">
        <v>423469</v>
      </c>
      <c r="AA8" s="289">
        <v>0</v>
      </c>
      <c r="AB8" s="290">
        <v>393</v>
      </c>
      <c r="AC8" s="289">
        <v>0</v>
      </c>
      <c r="AD8" s="289">
        <v>5575.2839999999997</v>
      </c>
      <c r="AE8" s="289">
        <v>0</v>
      </c>
      <c r="AF8" s="289">
        <v>0</v>
      </c>
      <c r="AG8" s="289">
        <v>15769</v>
      </c>
      <c r="AH8" s="289">
        <v>2253</v>
      </c>
      <c r="AI8" s="289">
        <v>0</v>
      </c>
      <c r="AJ8" s="289">
        <v>0</v>
      </c>
      <c r="AK8" s="289">
        <v>66.081699999999998</v>
      </c>
      <c r="AL8" s="289"/>
      <c r="AM8" s="622">
        <v>1.1479779699999999</v>
      </c>
      <c r="AN8" s="289">
        <v>0</v>
      </c>
      <c r="AO8" s="289">
        <v>-775.43909123000003</v>
      </c>
      <c r="AP8" s="289">
        <v>0</v>
      </c>
      <c r="AQ8" s="289">
        <v>0</v>
      </c>
      <c r="AR8" s="289">
        <v>-1127.0766022099999</v>
      </c>
      <c r="AS8" s="289">
        <v>289.69779999999997</v>
      </c>
      <c r="AT8" s="289">
        <v>1122</v>
      </c>
      <c r="AU8" s="289">
        <v>294</v>
      </c>
      <c r="AV8" s="625">
        <v>377211</v>
      </c>
      <c r="AW8" s="289">
        <v>-8.0075000000000003</v>
      </c>
      <c r="AX8" s="625">
        <v>93.208333330000002</v>
      </c>
      <c r="AY8" s="289">
        <v>2578</v>
      </c>
      <c r="AZ8" s="289">
        <v>860</v>
      </c>
      <c r="BA8" s="290">
        <v>492</v>
      </c>
      <c r="BB8" s="289">
        <v>0</v>
      </c>
      <c r="BC8" s="289">
        <v>2581</v>
      </c>
      <c r="BD8" s="289">
        <v>299.01179999999999</v>
      </c>
      <c r="BE8" s="289">
        <v>392637.65012106998</v>
      </c>
      <c r="BF8" s="289">
        <v>0</v>
      </c>
      <c r="BG8" s="289">
        <v>11</v>
      </c>
      <c r="BH8" s="289">
        <v>-128.47489999999999</v>
      </c>
      <c r="BI8" s="289">
        <v>8220.2839999999997</v>
      </c>
      <c r="BJ8" s="289">
        <v>-195.0598</v>
      </c>
      <c r="BK8" s="289">
        <v>0</v>
      </c>
      <c r="BL8" s="289">
        <v>0</v>
      </c>
      <c r="BM8" s="289">
        <v>2172</v>
      </c>
      <c r="BN8" s="289">
        <v>0</v>
      </c>
      <c r="BO8" s="517">
        <v>0</v>
      </c>
      <c r="BP8" s="517">
        <v>0</v>
      </c>
      <c r="BQ8" s="289">
        <f t="shared" si="0"/>
        <v>-16.186837500599999</v>
      </c>
      <c r="BR8" s="289">
        <v>5396.4110000000001</v>
      </c>
      <c r="BS8" s="289">
        <f t="shared" si="1"/>
        <v>-178.87299999999959</v>
      </c>
      <c r="BT8" s="289">
        <v>38</v>
      </c>
      <c r="BU8" s="289">
        <v>0</v>
      </c>
      <c r="BV8" s="289">
        <v>145</v>
      </c>
      <c r="BW8" s="289">
        <v>303.887</v>
      </c>
      <c r="BX8" s="289">
        <v>330.09899999999999</v>
      </c>
      <c r="BY8"/>
      <c r="BZ8"/>
      <c r="CA8"/>
      <c r="CB8"/>
      <c r="CC8" s="517"/>
      <c r="CE8" s="517"/>
    </row>
    <row r="9" spans="1:83" s="85" customFormat="1" ht="13">
      <c r="A9" s="1">
        <v>125</v>
      </c>
      <c r="B9" s="2" t="s">
        <v>794</v>
      </c>
      <c r="C9" s="289">
        <v>11414</v>
      </c>
      <c r="D9" s="289">
        <v>190</v>
      </c>
      <c r="E9" s="289">
        <v>478</v>
      </c>
      <c r="F9" s="289">
        <v>1376</v>
      </c>
      <c r="G9" s="289">
        <v>985</v>
      </c>
      <c r="H9" s="289">
        <v>6433</v>
      </c>
      <c r="I9" s="289">
        <v>1370</v>
      </c>
      <c r="J9" s="289">
        <v>440</v>
      </c>
      <c r="K9" s="289">
        <v>120</v>
      </c>
      <c r="L9" s="289">
        <v>90</v>
      </c>
      <c r="M9" s="289">
        <v>844</v>
      </c>
      <c r="N9" s="290">
        <v>411</v>
      </c>
      <c r="O9" s="290">
        <v>149</v>
      </c>
      <c r="P9" s="624">
        <v>44945.301333329997</v>
      </c>
      <c r="Q9" s="624">
        <v>19080.408666669999</v>
      </c>
      <c r="R9" s="624">
        <v>51</v>
      </c>
      <c r="S9" s="289">
        <v>0</v>
      </c>
      <c r="T9" s="289">
        <v>967</v>
      </c>
      <c r="U9" s="716">
        <v>4.4577309612841938E-3</v>
      </c>
      <c r="V9" s="289">
        <v>1974.3203243400001</v>
      </c>
      <c r="W9" s="743">
        <v>0.57226527000000005</v>
      </c>
      <c r="X9" s="289">
        <v>1900</v>
      </c>
      <c r="Y9" s="289">
        <v>392</v>
      </c>
      <c r="Z9" s="289">
        <v>287718</v>
      </c>
      <c r="AA9" s="289">
        <v>0</v>
      </c>
      <c r="AB9" s="290">
        <v>318</v>
      </c>
      <c r="AC9" s="289">
        <v>0</v>
      </c>
      <c r="AD9" s="289">
        <v>5005.8540000000003</v>
      </c>
      <c r="AE9" s="289">
        <v>0</v>
      </c>
      <c r="AF9" s="289">
        <v>0</v>
      </c>
      <c r="AG9" s="289">
        <v>11392</v>
      </c>
      <c r="AH9" s="289">
        <v>1589</v>
      </c>
      <c r="AI9" s="289">
        <v>0</v>
      </c>
      <c r="AJ9" s="289">
        <v>0</v>
      </c>
      <c r="AK9" s="289">
        <v>44.490200000000002</v>
      </c>
      <c r="AL9" s="289"/>
      <c r="AM9" s="622">
        <v>0.71312260000000005</v>
      </c>
      <c r="AN9" s="289">
        <v>0</v>
      </c>
      <c r="AO9" s="289">
        <v>-572.94743696</v>
      </c>
      <c r="AP9" s="289">
        <v>0</v>
      </c>
      <c r="AQ9" s="289">
        <v>0</v>
      </c>
      <c r="AR9" s="289">
        <v>-814.23404479999999</v>
      </c>
      <c r="AS9" s="289">
        <v>190.7876</v>
      </c>
      <c r="AT9" s="289">
        <v>834</v>
      </c>
      <c r="AU9" s="289">
        <v>199</v>
      </c>
      <c r="AV9" s="625">
        <v>292771</v>
      </c>
      <c r="AW9" s="289">
        <v>173.81039999999999</v>
      </c>
      <c r="AX9" s="625">
        <v>47.708333330000002</v>
      </c>
      <c r="AY9" s="289">
        <v>1812</v>
      </c>
      <c r="AZ9" s="289">
        <v>559</v>
      </c>
      <c r="BA9" s="290">
        <v>347</v>
      </c>
      <c r="BB9" s="289">
        <v>0</v>
      </c>
      <c r="BC9" s="289">
        <v>2500</v>
      </c>
      <c r="BD9" s="289">
        <v>210.88759999999999</v>
      </c>
      <c r="BE9" s="289">
        <v>300338.50429433997</v>
      </c>
      <c r="BF9" s="289">
        <v>0</v>
      </c>
      <c r="BG9" s="289">
        <v>11</v>
      </c>
      <c r="BH9" s="289">
        <v>-92.814099999999996</v>
      </c>
      <c r="BI9" s="289">
        <v>6986.8540000000003</v>
      </c>
      <c r="BJ9" s="289">
        <v>-191.16489999999999</v>
      </c>
      <c r="BK9" s="289">
        <v>0</v>
      </c>
      <c r="BL9" s="289">
        <v>0</v>
      </c>
      <c r="BM9" s="289">
        <v>1576</v>
      </c>
      <c r="BN9" s="289">
        <v>0</v>
      </c>
      <c r="BO9" s="517">
        <v>0</v>
      </c>
      <c r="BP9" s="517">
        <v>0</v>
      </c>
      <c r="BQ9" s="289">
        <f t="shared" si="0"/>
        <v>-11.6938583808</v>
      </c>
      <c r="BR9" s="289">
        <v>4826.3829999999998</v>
      </c>
      <c r="BS9" s="289">
        <f t="shared" si="1"/>
        <v>-179.47100000000046</v>
      </c>
      <c r="BT9" s="289">
        <v>25</v>
      </c>
      <c r="BU9" s="289">
        <v>0</v>
      </c>
      <c r="BV9" s="289">
        <v>110</v>
      </c>
      <c r="BW9" s="289">
        <v>272.45</v>
      </c>
      <c r="BX9" s="289">
        <v>237.01599999999999</v>
      </c>
      <c r="BY9"/>
      <c r="BZ9"/>
      <c r="CA9"/>
      <c r="CB9"/>
      <c r="CC9" s="517"/>
      <c r="CE9" s="517"/>
    </row>
    <row r="10" spans="1:83" s="85" customFormat="1" ht="13">
      <c r="A10" s="1">
        <v>136</v>
      </c>
      <c r="B10" s="2" t="s">
        <v>798</v>
      </c>
      <c r="C10" s="289">
        <v>16083</v>
      </c>
      <c r="D10" s="289">
        <v>293</v>
      </c>
      <c r="E10" s="289">
        <v>639</v>
      </c>
      <c r="F10" s="289">
        <v>1904</v>
      </c>
      <c r="G10" s="289">
        <v>1502</v>
      </c>
      <c r="H10" s="289">
        <v>8972</v>
      </c>
      <c r="I10" s="289">
        <v>1858</v>
      </c>
      <c r="J10" s="289">
        <v>620</v>
      </c>
      <c r="K10" s="289">
        <v>119</v>
      </c>
      <c r="L10" s="289">
        <v>127</v>
      </c>
      <c r="M10" s="289">
        <v>1063</v>
      </c>
      <c r="N10" s="290">
        <v>285</v>
      </c>
      <c r="O10" s="290">
        <v>97</v>
      </c>
      <c r="P10" s="624">
        <v>42581.834666670002</v>
      </c>
      <c r="Q10" s="624">
        <v>17970.721333329999</v>
      </c>
      <c r="R10" s="624">
        <v>57</v>
      </c>
      <c r="S10" s="289">
        <v>0</v>
      </c>
      <c r="T10" s="289">
        <v>1135</v>
      </c>
      <c r="U10" s="716">
        <v>1.5844412391817372E-3</v>
      </c>
      <c r="V10" s="289">
        <v>-2791.1539670400002</v>
      </c>
      <c r="W10" s="743">
        <v>0.55448728000000003</v>
      </c>
      <c r="X10" s="289">
        <v>1000</v>
      </c>
      <c r="Y10" s="289">
        <v>392</v>
      </c>
      <c r="Z10" s="289">
        <v>467477</v>
      </c>
      <c r="AA10" s="289">
        <v>0</v>
      </c>
      <c r="AB10" s="290">
        <v>408</v>
      </c>
      <c r="AC10" s="289">
        <v>0</v>
      </c>
      <c r="AD10" s="289">
        <v>4313.3040000000001</v>
      </c>
      <c r="AE10" s="289">
        <v>55</v>
      </c>
      <c r="AF10" s="289">
        <v>0</v>
      </c>
      <c r="AG10" s="289">
        <v>15907</v>
      </c>
      <c r="AH10" s="289">
        <v>2226</v>
      </c>
      <c r="AI10" s="289">
        <v>0</v>
      </c>
      <c r="AJ10" s="289">
        <v>0</v>
      </c>
      <c r="AK10" s="289">
        <v>64.425700000000006</v>
      </c>
      <c r="AL10" s="289"/>
      <c r="AM10" s="622">
        <v>0.44894226999999998</v>
      </c>
      <c r="AN10" s="289">
        <v>0</v>
      </c>
      <c r="AO10" s="289">
        <v>-745.48949955000001</v>
      </c>
      <c r="AP10" s="289">
        <v>0</v>
      </c>
      <c r="AQ10" s="289">
        <v>0</v>
      </c>
      <c r="AR10" s="289">
        <v>-1136.94004131</v>
      </c>
      <c r="AS10" s="289">
        <v>199.89160000000001</v>
      </c>
      <c r="AT10" s="289">
        <v>1047</v>
      </c>
      <c r="AU10" s="289">
        <v>198</v>
      </c>
      <c r="AV10" s="625">
        <v>338572</v>
      </c>
      <c r="AW10" s="289">
        <v>-8.0775000000000006</v>
      </c>
      <c r="AX10" s="625">
        <v>111.75</v>
      </c>
      <c r="AY10" s="289">
        <v>3309</v>
      </c>
      <c r="AZ10" s="289">
        <v>537</v>
      </c>
      <c r="BA10" s="290">
        <v>398</v>
      </c>
      <c r="BB10" s="289">
        <v>0</v>
      </c>
      <c r="BC10" s="289">
        <v>2706</v>
      </c>
      <c r="BD10" s="289">
        <v>295.42840000000001</v>
      </c>
      <c r="BE10" s="289">
        <v>353200.32361879997</v>
      </c>
      <c r="BF10" s="289">
        <v>0</v>
      </c>
      <c r="BG10" s="289">
        <v>11</v>
      </c>
      <c r="BH10" s="289">
        <v>-129.5992</v>
      </c>
      <c r="BI10" s="289">
        <v>6931.3040000000001</v>
      </c>
      <c r="BJ10" s="289">
        <v>215.6814</v>
      </c>
      <c r="BK10" s="289">
        <v>562</v>
      </c>
      <c r="BL10" s="289">
        <v>0</v>
      </c>
      <c r="BM10" s="289">
        <v>2073</v>
      </c>
      <c r="BN10" s="289">
        <v>0</v>
      </c>
      <c r="BO10" s="517">
        <v>0</v>
      </c>
      <c r="BP10" s="517">
        <v>0</v>
      </c>
      <c r="BQ10" s="289">
        <f t="shared" si="0"/>
        <v>-16.3284941418</v>
      </c>
      <c r="BR10" s="289">
        <v>5107.0540000000001</v>
      </c>
      <c r="BS10" s="289">
        <f t="shared" si="1"/>
        <v>793.75</v>
      </c>
      <c r="BT10" s="289">
        <v>37</v>
      </c>
      <c r="BU10" s="289">
        <v>0</v>
      </c>
      <c r="BV10" s="289">
        <v>147</v>
      </c>
      <c r="BW10" s="289">
        <v>261.971</v>
      </c>
      <c r="BX10" s="289">
        <v>335.02199999999999</v>
      </c>
      <c r="BY10"/>
      <c r="BZ10"/>
      <c r="CA10"/>
      <c r="CB10"/>
      <c r="CC10" s="517"/>
      <c r="CE10" s="517"/>
    </row>
    <row r="11" spans="1:83" ht="13">
      <c r="A11" s="1">
        <v>138</v>
      </c>
      <c r="B11" s="2" t="s">
        <v>800</v>
      </c>
      <c r="C11" s="289">
        <v>5621</v>
      </c>
      <c r="D11" s="289">
        <v>146</v>
      </c>
      <c r="E11" s="289">
        <v>307</v>
      </c>
      <c r="F11" s="289">
        <v>605</v>
      </c>
      <c r="G11" s="289">
        <v>473</v>
      </c>
      <c r="H11" s="289">
        <v>3373</v>
      </c>
      <c r="I11" s="289">
        <v>551</v>
      </c>
      <c r="J11" s="289">
        <v>157</v>
      </c>
      <c r="K11" s="289">
        <v>26</v>
      </c>
      <c r="L11" s="289">
        <v>41</v>
      </c>
      <c r="M11" s="289">
        <v>286</v>
      </c>
      <c r="N11" s="290">
        <v>87</v>
      </c>
      <c r="O11" s="290">
        <v>50</v>
      </c>
      <c r="P11" s="624">
        <v>21642.261666670001</v>
      </c>
      <c r="Q11" s="624">
        <v>12544.843999999999</v>
      </c>
      <c r="R11" s="624">
        <v>21</v>
      </c>
      <c r="S11" s="289">
        <v>0</v>
      </c>
      <c r="T11" s="289">
        <v>394</v>
      </c>
      <c r="U11" s="716">
        <v>1.5587635433255175E-3</v>
      </c>
      <c r="V11" s="289">
        <v>143.22975649</v>
      </c>
      <c r="W11" s="743">
        <v>0.61232768999999998</v>
      </c>
      <c r="X11" s="289">
        <v>800</v>
      </c>
      <c r="Y11" s="289">
        <v>392</v>
      </c>
      <c r="Z11" s="289">
        <v>146576</v>
      </c>
      <c r="AA11" s="289">
        <v>0</v>
      </c>
      <c r="AB11" s="290">
        <v>131</v>
      </c>
      <c r="AC11" s="289">
        <v>0</v>
      </c>
      <c r="AD11" s="289">
        <v>4354.3440000000001</v>
      </c>
      <c r="AE11" s="289">
        <v>2934</v>
      </c>
      <c r="AF11" s="289">
        <v>0</v>
      </c>
      <c r="AG11" s="289">
        <v>5638</v>
      </c>
      <c r="AH11" s="289">
        <v>800</v>
      </c>
      <c r="AI11" s="289">
        <v>1000</v>
      </c>
      <c r="AJ11" s="289">
        <v>0</v>
      </c>
      <c r="AK11" s="289">
        <v>29.502600000000001</v>
      </c>
      <c r="AL11" s="289"/>
      <c r="AM11" s="622">
        <v>0.18579836999999999</v>
      </c>
      <c r="AN11" s="289">
        <v>0</v>
      </c>
      <c r="AO11" s="289">
        <v>-263.71471597999999</v>
      </c>
      <c r="AP11" s="289">
        <v>0</v>
      </c>
      <c r="AQ11" s="289">
        <v>0</v>
      </c>
      <c r="AR11" s="289">
        <v>-402.97151901000001</v>
      </c>
      <c r="AS11" s="289">
        <v>70.296999999999997</v>
      </c>
      <c r="AT11" s="289">
        <v>340</v>
      </c>
      <c r="AU11" s="289">
        <v>75</v>
      </c>
      <c r="AV11" s="625">
        <v>35555</v>
      </c>
      <c r="AW11" s="289">
        <v>-2.863</v>
      </c>
      <c r="AX11" s="625">
        <v>50.5</v>
      </c>
      <c r="AY11" s="289">
        <v>1008</v>
      </c>
      <c r="AZ11" s="289">
        <v>225</v>
      </c>
      <c r="BA11" s="290">
        <v>141</v>
      </c>
      <c r="BB11" s="289">
        <v>0</v>
      </c>
      <c r="BC11" s="289">
        <v>-88303.131095000004</v>
      </c>
      <c r="BD11" s="289">
        <v>106.1737</v>
      </c>
      <c r="BE11" s="289">
        <v>39833.686146270004</v>
      </c>
      <c r="BF11" s="289">
        <v>0</v>
      </c>
      <c r="BG11" s="289">
        <v>11</v>
      </c>
      <c r="BH11" s="289">
        <v>-45.9345</v>
      </c>
      <c r="BI11" s="289">
        <v>-86894.623800000001</v>
      </c>
      <c r="BJ11" s="289">
        <v>-166.9854</v>
      </c>
      <c r="BK11" s="289">
        <v>0</v>
      </c>
      <c r="BL11" s="289">
        <v>-92440.967799999999</v>
      </c>
      <c r="BM11" s="289">
        <v>768</v>
      </c>
      <c r="BN11" s="289">
        <v>-478.60090000000002</v>
      </c>
      <c r="BO11" s="517">
        <v>0</v>
      </c>
      <c r="BP11" s="517">
        <v>0</v>
      </c>
      <c r="BQ11" s="289">
        <f t="shared" si="0"/>
        <v>-5.7873923412000003</v>
      </c>
      <c r="BR11" s="289">
        <v>4193.1459999999997</v>
      </c>
      <c r="BS11" s="289">
        <f t="shared" si="1"/>
        <v>-161.19800000000032</v>
      </c>
      <c r="BT11" s="289">
        <v>17</v>
      </c>
      <c r="BU11" s="289">
        <v>0</v>
      </c>
      <c r="BV11" s="289">
        <v>54</v>
      </c>
      <c r="BW11" s="289">
        <v>303.887</v>
      </c>
      <c r="BX11" s="289">
        <v>116.514</v>
      </c>
      <c r="CC11" s="517"/>
      <c r="CD11" s="85"/>
      <c r="CE11" s="517"/>
    </row>
    <row r="12" spans="1:83" ht="13">
      <c r="A12" s="1">
        <v>213</v>
      </c>
      <c r="B12" s="2" t="s">
        <v>802</v>
      </c>
      <c r="C12" s="289">
        <v>30880</v>
      </c>
      <c r="D12" s="289">
        <v>650</v>
      </c>
      <c r="E12" s="289">
        <v>1598</v>
      </c>
      <c r="F12" s="289">
        <v>4417</v>
      </c>
      <c r="G12" s="289">
        <v>2779</v>
      </c>
      <c r="H12" s="289">
        <v>17155</v>
      </c>
      <c r="I12" s="289">
        <v>3124</v>
      </c>
      <c r="J12" s="289">
        <v>910</v>
      </c>
      <c r="K12" s="289">
        <v>178</v>
      </c>
      <c r="L12" s="289">
        <v>222</v>
      </c>
      <c r="M12" s="289">
        <v>1629</v>
      </c>
      <c r="N12" s="290">
        <v>1182</v>
      </c>
      <c r="O12" s="290">
        <v>311</v>
      </c>
      <c r="P12" s="624">
        <v>56284.290999999997</v>
      </c>
      <c r="Q12" s="624">
        <v>32481.98466667</v>
      </c>
      <c r="R12" s="624">
        <v>90</v>
      </c>
      <c r="S12" s="289">
        <v>0</v>
      </c>
      <c r="T12" s="289">
        <v>1939</v>
      </c>
      <c r="U12" s="716">
        <v>1.88462850361591E-3</v>
      </c>
      <c r="V12" s="289">
        <v>7033.05224473</v>
      </c>
      <c r="W12" s="743">
        <v>0.54456705000000005</v>
      </c>
      <c r="X12" s="289">
        <v>0</v>
      </c>
      <c r="Y12" s="289">
        <v>299</v>
      </c>
      <c r="Z12" s="289">
        <v>999458</v>
      </c>
      <c r="AA12" s="289">
        <v>0</v>
      </c>
      <c r="AB12" s="290">
        <v>378</v>
      </c>
      <c r="AC12" s="289">
        <v>0</v>
      </c>
      <c r="AD12" s="289">
        <v>5438.826</v>
      </c>
      <c r="AE12" s="289">
        <v>0</v>
      </c>
      <c r="AF12" s="289">
        <v>0</v>
      </c>
      <c r="AG12" s="289">
        <v>30811</v>
      </c>
      <c r="AH12" s="289">
        <v>4992</v>
      </c>
      <c r="AI12" s="289">
        <v>600</v>
      </c>
      <c r="AJ12" s="289">
        <v>0</v>
      </c>
      <c r="AK12" s="289">
        <v>158.79</v>
      </c>
      <c r="AL12" s="289"/>
      <c r="AM12" s="622">
        <v>0.82595874000000002</v>
      </c>
      <c r="AN12" s="289">
        <v>0</v>
      </c>
      <c r="AO12" s="289">
        <v>-1484.54760145</v>
      </c>
      <c r="AP12" s="289">
        <v>0</v>
      </c>
      <c r="AQ12" s="289">
        <v>0</v>
      </c>
      <c r="AR12" s="289">
        <v>-2202.1914636800002</v>
      </c>
      <c r="AS12" s="289">
        <v>378.15600000000001</v>
      </c>
      <c r="AT12" s="289">
        <v>1767</v>
      </c>
      <c r="AU12" s="289">
        <v>336</v>
      </c>
      <c r="AV12" s="625">
        <v>697059</v>
      </c>
      <c r="AW12" s="289">
        <v>-15.6457</v>
      </c>
      <c r="AX12" s="625">
        <v>244.75</v>
      </c>
      <c r="AY12" s="289">
        <v>8220</v>
      </c>
      <c r="AZ12" s="289">
        <v>1311</v>
      </c>
      <c r="BA12" s="290">
        <v>734</v>
      </c>
      <c r="BB12" s="289">
        <v>0</v>
      </c>
      <c r="BC12" s="289">
        <v>5285</v>
      </c>
      <c r="BD12" s="289">
        <v>662.52409999999998</v>
      </c>
      <c r="BE12" s="289">
        <v>733243.31963117002</v>
      </c>
      <c r="BF12" s="289">
        <v>0</v>
      </c>
      <c r="BG12" s="289">
        <v>11</v>
      </c>
      <c r="BH12" s="289">
        <v>-251.02670000000001</v>
      </c>
      <c r="BI12" s="289">
        <v>10729.825999999999</v>
      </c>
      <c r="BJ12" s="289">
        <v>-206.69839999999999</v>
      </c>
      <c r="BK12" s="289">
        <v>0</v>
      </c>
      <c r="BL12" s="289">
        <v>0</v>
      </c>
      <c r="BM12" s="289">
        <v>3709</v>
      </c>
      <c r="BN12" s="289">
        <v>0</v>
      </c>
      <c r="BO12" s="517">
        <v>0</v>
      </c>
      <c r="BP12" s="517">
        <v>0</v>
      </c>
      <c r="BQ12" s="289">
        <f t="shared" si="0"/>
        <v>-31.627411391400003</v>
      </c>
      <c r="BR12" s="289">
        <v>5263.7550000000001</v>
      </c>
      <c r="BS12" s="289">
        <f t="shared" si="1"/>
        <v>-175.07099999999991</v>
      </c>
      <c r="BT12" s="289">
        <v>91</v>
      </c>
      <c r="BU12" s="289">
        <v>0</v>
      </c>
      <c r="BV12" s="289">
        <v>272</v>
      </c>
      <c r="BW12" s="289">
        <v>0</v>
      </c>
      <c r="BX12" s="289">
        <v>640.19299999999998</v>
      </c>
      <c r="CC12" s="517"/>
      <c r="CD12" s="85"/>
      <c r="CE12" s="517"/>
    </row>
    <row r="13" spans="1:83" ht="13">
      <c r="A13" s="1">
        <v>217</v>
      </c>
      <c r="B13" s="2" t="s">
        <v>806</v>
      </c>
      <c r="C13" s="289">
        <v>27178</v>
      </c>
      <c r="D13" s="289">
        <v>551</v>
      </c>
      <c r="E13" s="289">
        <v>1308</v>
      </c>
      <c r="F13" s="289">
        <v>3801</v>
      </c>
      <c r="G13" s="289">
        <v>2371</v>
      </c>
      <c r="H13" s="289">
        <v>14888</v>
      </c>
      <c r="I13" s="289">
        <v>3033</v>
      </c>
      <c r="J13" s="289">
        <v>995</v>
      </c>
      <c r="K13" s="289">
        <v>191</v>
      </c>
      <c r="L13" s="289">
        <v>177</v>
      </c>
      <c r="M13" s="289">
        <v>1639</v>
      </c>
      <c r="N13" s="290">
        <v>627</v>
      </c>
      <c r="O13" s="290">
        <v>168</v>
      </c>
      <c r="P13" s="624">
        <v>41903.829666669997</v>
      </c>
      <c r="Q13" s="624">
        <v>30796.693666669998</v>
      </c>
      <c r="R13" s="624">
        <v>65</v>
      </c>
      <c r="S13" s="289">
        <v>0</v>
      </c>
      <c r="T13" s="289">
        <v>1651</v>
      </c>
      <c r="U13" s="716">
        <v>8.8747990527347315E-5</v>
      </c>
      <c r="V13" s="289">
        <v>5699.0881479600002</v>
      </c>
      <c r="W13" s="743">
        <v>0.53184527000000004</v>
      </c>
      <c r="X13" s="289">
        <v>0</v>
      </c>
      <c r="Y13" s="289">
        <v>392</v>
      </c>
      <c r="Z13" s="289">
        <v>1020926</v>
      </c>
      <c r="AA13" s="289">
        <v>0</v>
      </c>
      <c r="AB13" s="290">
        <v>254</v>
      </c>
      <c r="AC13" s="289">
        <v>0</v>
      </c>
      <c r="AD13" s="289">
        <v>5636.8440000000001</v>
      </c>
      <c r="AE13" s="289">
        <v>0</v>
      </c>
      <c r="AF13" s="289">
        <v>0</v>
      </c>
      <c r="AG13" s="289">
        <v>27138</v>
      </c>
      <c r="AH13" s="289">
        <v>4258</v>
      </c>
      <c r="AI13" s="289">
        <v>600</v>
      </c>
      <c r="AJ13" s="289">
        <v>0</v>
      </c>
      <c r="AK13" s="289">
        <v>135.3459</v>
      </c>
      <c r="AL13" s="289"/>
      <c r="AM13" s="622">
        <v>0.50181514000000005</v>
      </c>
      <c r="AN13" s="289">
        <v>0</v>
      </c>
      <c r="AO13" s="289">
        <v>-1293.89096053</v>
      </c>
      <c r="AP13" s="289">
        <v>0</v>
      </c>
      <c r="AQ13" s="289">
        <v>0</v>
      </c>
      <c r="AR13" s="289">
        <v>-1939.6667404899999</v>
      </c>
      <c r="AS13" s="289">
        <v>278.12139999999999</v>
      </c>
      <c r="AT13" s="289">
        <v>1406</v>
      </c>
      <c r="AU13" s="289">
        <v>249</v>
      </c>
      <c r="AV13" s="625">
        <v>604494</v>
      </c>
      <c r="AW13" s="289">
        <v>-13.7806</v>
      </c>
      <c r="AX13" s="625">
        <v>212.41666667000001</v>
      </c>
      <c r="AY13" s="289">
        <v>8876</v>
      </c>
      <c r="AZ13" s="289">
        <v>1044</v>
      </c>
      <c r="BA13" s="290">
        <v>515</v>
      </c>
      <c r="BB13" s="289">
        <v>0</v>
      </c>
      <c r="BC13" s="289">
        <v>4490</v>
      </c>
      <c r="BD13" s="289">
        <v>565.10969999999998</v>
      </c>
      <c r="BE13" s="289">
        <v>632098.84336993995</v>
      </c>
      <c r="BF13" s="289">
        <v>0</v>
      </c>
      <c r="BG13" s="289">
        <v>11</v>
      </c>
      <c r="BH13" s="289">
        <v>-221.10159999999999</v>
      </c>
      <c r="BI13" s="289">
        <v>10286.843999999999</v>
      </c>
      <c r="BJ13" s="289">
        <v>-200.0891</v>
      </c>
      <c r="BK13" s="289">
        <v>0</v>
      </c>
      <c r="BL13" s="289">
        <v>0</v>
      </c>
      <c r="BM13" s="289">
        <v>3261</v>
      </c>
      <c r="BN13" s="289">
        <v>0</v>
      </c>
      <c r="BO13" s="517">
        <v>0</v>
      </c>
      <c r="BP13" s="517">
        <v>0</v>
      </c>
      <c r="BQ13" s="289">
        <f t="shared" si="0"/>
        <v>-27.8570864412</v>
      </c>
      <c r="BR13" s="289">
        <v>5464.6120000000001</v>
      </c>
      <c r="BS13" s="289">
        <f t="shared" si="1"/>
        <v>-172.23199999999997</v>
      </c>
      <c r="BT13" s="289">
        <v>77</v>
      </c>
      <c r="BU13" s="289">
        <v>0</v>
      </c>
      <c r="BV13" s="289">
        <v>246</v>
      </c>
      <c r="BW13" s="289">
        <v>0</v>
      </c>
      <c r="BX13" s="289">
        <v>567.63400000000001</v>
      </c>
      <c r="CC13" s="517"/>
      <c r="CD13" s="85"/>
      <c r="CE13" s="517"/>
    </row>
    <row r="14" spans="1:83" ht="13">
      <c r="A14" s="1">
        <v>220</v>
      </c>
      <c r="B14" s="2" t="s">
        <v>808</v>
      </c>
      <c r="C14" s="289">
        <v>60926</v>
      </c>
      <c r="D14" s="289">
        <v>1274</v>
      </c>
      <c r="E14" s="289">
        <v>3214</v>
      </c>
      <c r="F14" s="289">
        <v>8467</v>
      </c>
      <c r="G14" s="289">
        <v>5725</v>
      </c>
      <c r="H14" s="289">
        <v>33945</v>
      </c>
      <c r="I14" s="289">
        <v>5977</v>
      </c>
      <c r="J14" s="289">
        <v>2045</v>
      </c>
      <c r="K14" s="289">
        <v>454</v>
      </c>
      <c r="L14" s="289">
        <v>394</v>
      </c>
      <c r="M14" s="289">
        <v>3238</v>
      </c>
      <c r="N14" s="290">
        <v>1856</v>
      </c>
      <c r="O14" s="290">
        <v>661</v>
      </c>
      <c r="P14" s="624">
        <v>91805.130333330002</v>
      </c>
      <c r="Q14" s="624">
        <v>77680.100666669998</v>
      </c>
      <c r="R14" s="624">
        <v>192</v>
      </c>
      <c r="S14" s="289">
        <v>0</v>
      </c>
      <c r="T14" s="289">
        <v>3899</v>
      </c>
      <c r="U14" s="716">
        <v>1.0903305894284239E-3</v>
      </c>
      <c r="V14" s="289">
        <v>-12115.580888639999</v>
      </c>
      <c r="W14" s="743">
        <v>0.53858914999999996</v>
      </c>
      <c r="X14" s="289">
        <v>0</v>
      </c>
      <c r="Y14" s="289">
        <v>1960</v>
      </c>
      <c r="Z14" s="289">
        <v>2889909</v>
      </c>
      <c r="AA14" s="289">
        <v>0</v>
      </c>
      <c r="AB14" s="290">
        <v>664</v>
      </c>
      <c r="AC14" s="289">
        <v>0</v>
      </c>
      <c r="AD14" s="289">
        <v>5535.27</v>
      </c>
      <c r="AE14" s="289">
        <v>0</v>
      </c>
      <c r="AF14" s="289">
        <v>0</v>
      </c>
      <c r="AG14" s="289">
        <v>61101</v>
      </c>
      <c r="AH14" s="289">
        <v>9772</v>
      </c>
      <c r="AI14" s="289">
        <v>500</v>
      </c>
      <c r="AJ14" s="289">
        <v>0</v>
      </c>
      <c r="AK14" s="289">
        <v>332.36739999999998</v>
      </c>
      <c r="AL14" s="289"/>
      <c r="AM14" s="622">
        <v>2.1808364099999999</v>
      </c>
      <c r="AN14" s="289">
        <v>0</v>
      </c>
      <c r="AO14" s="289">
        <v>-2980.9614308499999</v>
      </c>
      <c r="AP14" s="289">
        <v>0</v>
      </c>
      <c r="AQ14" s="289">
        <v>0</v>
      </c>
      <c r="AR14" s="289">
        <v>-4367.1448710599998</v>
      </c>
      <c r="AS14" s="289">
        <v>740.08960000000002</v>
      </c>
      <c r="AT14" s="289">
        <v>3206</v>
      </c>
      <c r="AU14" s="289">
        <v>627</v>
      </c>
      <c r="AV14" s="625">
        <v>1395667</v>
      </c>
      <c r="AW14" s="289">
        <v>-31.026900000000001</v>
      </c>
      <c r="AX14" s="625">
        <v>499.49999996999998</v>
      </c>
      <c r="AY14" s="289">
        <v>22381</v>
      </c>
      <c r="AZ14" s="289">
        <v>4008</v>
      </c>
      <c r="BA14" s="290">
        <v>1201</v>
      </c>
      <c r="BB14" s="289">
        <v>0</v>
      </c>
      <c r="BC14" s="289">
        <v>11333</v>
      </c>
      <c r="BD14" s="289">
        <v>1296.9122</v>
      </c>
      <c r="BE14" s="289">
        <v>1460770.1703604001</v>
      </c>
      <c r="BF14" s="289">
        <v>0</v>
      </c>
      <c r="BG14" s="289">
        <v>55</v>
      </c>
      <c r="BH14" s="289">
        <v>-497.80860000000001</v>
      </c>
      <c r="BI14" s="289">
        <v>17267.27</v>
      </c>
      <c r="BJ14" s="289">
        <v>-239.75800000000001</v>
      </c>
      <c r="BK14" s="289">
        <v>0</v>
      </c>
      <c r="BL14" s="289">
        <v>0</v>
      </c>
      <c r="BM14" s="289">
        <v>6099</v>
      </c>
      <c r="BN14" s="289">
        <v>0</v>
      </c>
      <c r="BO14" s="517">
        <v>0</v>
      </c>
      <c r="BP14" s="517">
        <v>0</v>
      </c>
      <c r="BQ14" s="289">
        <f t="shared" si="0"/>
        <v>-62.720017637399998</v>
      </c>
      <c r="BR14" s="289">
        <v>5358.232</v>
      </c>
      <c r="BS14" s="289">
        <f t="shared" si="1"/>
        <v>-177.03800000000047</v>
      </c>
      <c r="BT14" s="289">
        <v>190</v>
      </c>
      <c r="BU14" s="289">
        <v>0</v>
      </c>
      <c r="BV14" s="289">
        <v>538</v>
      </c>
      <c r="BW14" s="289">
        <v>0</v>
      </c>
      <c r="BX14" s="289">
        <v>1273.3440000000001</v>
      </c>
      <c r="CC14" s="517"/>
      <c r="CD14" s="85"/>
      <c r="CE14" s="517"/>
    </row>
    <row r="15" spans="1:83" ht="13">
      <c r="A15" s="1">
        <v>221</v>
      </c>
      <c r="B15" s="2" t="s">
        <v>809</v>
      </c>
      <c r="C15" s="289">
        <v>16390</v>
      </c>
      <c r="D15" s="289">
        <v>361</v>
      </c>
      <c r="E15" s="289">
        <v>730</v>
      </c>
      <c r="F15" s="289">
        <v>1947</v>
      </c>
      <c r="G15" s="289">
        <v>1362</v>
      </c>
      <c r="H15" s="289">
        <v>9278</v>
      </c>
      <c r="I15" s="289">
        <v>1950</v>
      </c>
      <c r="J15" s="289">
        <v>569</v>
      </c>
      <c r="K15" s="289">
        <v>133</v>
      </c>
      <c r="L15" s="289">
        <v>131</v>
      </c>
      <c r="M15" s="289">
        <v>1178</v>
      </c>
      <c r="N15" s="290">
        <v>187</v>
      </c>
      <c r="O15" s="290">
        <v>166</v>
      </c>
      <c r="P15" s="624">
        <v>56119.633999999998</v>
      </c>
      <c r="Q15" s="624">
        <v>42865.182333329998</v>
      </c>
      <c r="R15" s="624">
        <v>38</v>
      </c>
      <c r="S15" s="289">
        <v>0</v>
      </c>
      <c r="T15" s="289">
        <v>1185</v>
      </c>
      <c r="U15" s="716">
        <v>6.0063117072436988E-3</v>
      </c>
      <c r="V15" s="289">
        <v>5138.2962889600003</v>
      </c>
      <c r="W15" s="743">
        <v>0.63762028999999998</v>
      </c>
      <c r="X15" s="289">
        <v>3200</v>
      </c>
      <c r="Y15" s="289">
        <v>392</v>
      </c>
      <c r="Z15" s="289">
        <v>400409</v>
      </c>
      <c r="AA15" s="289">
        <v>0</v>
      </c>
      <c r="AB15" s="290">
        <v>301</v>
      </c>
      <c r="AC15" s="289">
        <v>0</v>
      </c>
      <c r="AD15" s="289">
        <v>1485.6479999999999</v>
      </c>
      <c r="AE15" s="289">
        <v>36</v>
      </c>
      <c r="AF15" s="289">
        <v>0</v>
      </c>
      <c r="AG15" s="289">
        <v>16330</v>
      </c>
      <c r="AH15" s="289">
        <v>2279</v>
      </c>
      <c r="AI15" s="289">
        <v>250</v>
      </c>
      <c r="AJ15" s="289">
        <v>0</v>
      </c>
      <c r="AK15" s="289">
        <v>71.211699999999993</v>
      </c>
      <c r="AL15" s="289"/>
      <c r="AM15" s="622">
        <v>0.75736680999999995</v>
      </c>
      <c r="AN15" s="289">
        <v>0</v>
      </c>
      <c r="AO15" s="289">
        <v>-774.34331112999996</v>
      </c>
      <c r="AP15" s="289">
        <v>0</v>
      </c>
      <c r="AQ15" s="289">
        <v>0</v>
      </c>
      <c r="AR15" s="289">
        <v>-1167.1736263600001</v>
      </c>
      <c r="AS15" s="289">
        <v>203.90010000000001</v>
      </c>
      <c r="AT15" s="289">
        <v>1107</v>
      </c>
      <c r="AU15" s="289">
        <v>210</v>
      </c>
      <c r="AV15" s="625">
        <v>363935</v>
      </c>
      <c r="AW15" s="289">
        <v>-8.2922999999999991</v>
      </c>
      <c r="AX15" s="625">
        <v>139.33333334</v>
      </c>
      <c r="AY15" s="289">
        <v>2320</v>
      </c>
      <c r="AZ15" s="289">
        <v>851</v>
      </c>
      <c r="BA15" s="290">
        <v>350</v>
      </c>
      <c r="BB15" s="289">
        <v>0</v>
      </c>
      <c r="BC15" s="289">
        <v>2565</v>
      </c>
      <c r="BD15" s="289">
        <v>302.4624</v>
      </c>
      <c r="BE15" s="289">
        <v>381043.64510701998</v>
      </c>
      <c r="BF15" s="289">
        <v>0</v>
      </c>
      <c r="BG15" s="289">
        <v>11</v>
      </c>
      <c r="BH15" s="289">
        <v>-133.0455</v>
      </c>
      <c r="BI15" s="289">
        <v>4156.6480000000001</v>
      </c>
      <c r="BJ15" s="289">
        <v>657.93820000000005</v>
      </c>
      <c r="BK15" s="289">
        <v>1634</v>
      </c>
      <c r="BL15" s="289">
        <v>0</v>
      </c>
      <c r="BM15" s="289">
        <v>4097</v>
      </c>
      <c r="BN15" s="289">
        <v>0</v>
      </c>
      <c r="BO15" s="517">
        <v>0</v>
      </c>
      <c r="BP15" s="517">
        <v>0</v>
      </c>
      <c r="BQ15" s="289">
        <f t="shared" si="0"/>
        <v>-16.762702542</v>
      </c>
      <c r="BR15" s="289">
        <v>3793.9279999999999</v>
      </c>
      <c r="BS15" s="289">
        <f t="shared" si="1"/>
        <v>2308.2799999999997</v>
      </c>
      <c r="BT15" s="289">
        <v>41</v>
      </c>
      <c r="BU15" s="289">
        <v>0</v>
      </c>
      <c r="BV15" s="289">
        <v>156</v>
      </c>
      <c r="BW15" s="289">
        <v>0</v>
      </c>
      <c r="BX15" s="289">
        <v>341.87700000000001</v>
      </c>
      <c r="CC15" s="517"/>
      <c r="CD15" s="85"/>
      <c r="CE15" s="517"/>
    </row>
    <row r="16" spans="1:83" ht="13">
      <c r="A16" s="1">
        <v>226</v>
      </c>
      <c r="B16" s="2" t="s">
        <v>810</v>
      </c>
      <c r="C16" s="289">
        <v>17980</v>
      </c>
      <c r="D16" s="289">
        <v>423</v>
      </c>
      <c r="E16" s="289">
        <v>989</v>
      </c>
      <c r="F16" s="289">
        <v>2556</v>
      </c>
      <c r="G16" s="289">
        <v>1468</v>
      </c>
      <c r="H16" s="289">
        <v>10253</v>
      </c>
      <c r="I16" s="289">
        <v>1513</v>
      </c>
      <c r="J16" s="289">
        <v>473</v>
      </c>
      <c r="K16" s="289">
        <v>95</v>
      </c>
      <c r="L16" s="289">
        <v>135</v>
      </c>
      <c r="M16" s="289">
        <v>844</v>
      </c>
      <c r="N16" s="290">
        <v>402</v>
      </c>
      <c r="O16" s="290">
        <v>167</v>
      </c>
      <c r="P16" s="624">
        <v>48672.870999999999</v>
      </c>
      <c r="Q16" s="624">
        <v>40103.755333330002</v>
      </c>
      <c r="R16" s="624">
        <v>59</v>
      </c>
      <c r="S16" s="289">
        <v>0</v>
      </c>
      <c r="T16" s="289">
        <v>1078</v>
      </c>
      <c r="U16" s="716">
        <v>4.0512729230137417E-3</v>
      </c>
      <c r="V16" s="289">
        <v>3731.1178408699998</v>
      </c>
      <c r="W16" s="743">
        <v>0.57558681</v>
      </c>
      <c r="X16" s="289">
        <v>2700</v>
      </c>
      <c r="Y16" s="289">
        <v>392</v>
      </c>
      <c r="Z16" s="289">
        <v>535693</v>
      </c>
      <c r="AA16" s="289">
        <v>0</v>
      </c>
      <c r="AB16" s="290">
        <v>235</v>
      </c>
      <c r="AC16" s="289">
        <v>0</v>
      </c>
      <c r="AD16" s="289">
        <v>4951.4759999999997</v>
      </c>
      <c r="AE16" s="289">
        <v>512</v>
      </c>
      <c r="AF16" s="289">
        <v>0</v>
      </c>
      <c r="AG16" s="289">
        <v>17770</v>
      </c>
      <c r="AH16" s="289">
        <v>2924</v>
      </c>
      <c r="AI16" s="289">
        <v>450</v>
      </c>
      <c r="AJ16" s="289">
        <v>0</v>
      </c>
      <c r="AK16" s="289">
        <v>96.4251</v>
      </c>
      <c r="AL16" s="289"/>
      <c r="AM16" s="622">
        <v>0.55626642999999998</v>
      </c>
      <c r="AN16" s="289">
        <v>0</v>
      </c>
      <c r="AO16" s="289">
        <v>-865.03159161999997</v>
      </c>
      <c r="AP16" s="289">
        <v>0</v>
      </c>
      <c r="AQ16" s="289">
        <v>0</v>
      </c>
      <c r="AR16" s="289">
        <v>-1270.0964690999999</v>
      </c>
      <c r="AS16" s="290">
        <v>202.24</v>
      </c>
      <c r="AT16" s="289">
        <v>1068</v>
      </c>
      <c r="AU16" s="289">
        <v>227</v>
      </c>
      <c r="AV16" s="625">
        <v>420348</v>
      </c>
      <c r="AW16" s="289">
        <v>-9.0236000000000001</v>
      </c>
      <c r="AX16" s="625">
        <v>166.33333332999999</v>
      </c>
      <c r="AY16" s="289">
        <v>3784</v>
      </c>
      <c r="AZ16" s="289">
        <v>716</v>
      </c>
      <c r="BA16" s="290">
        <v>393</v>
      </c>
      <c r="BB16" s="289">
        <v>0</v>
      </c>
      <c r="BC16" s="289">
        <v>3169</v>
      </c>
      <c r="BD16" s="289">
        <v>388.065</v>
      </c>
      <c r="BE16" s="289">
        <v>436642.81216405</v>
      </c>
      <c r="BF16" s="289">
        <v>0</v>
      </c>
      <c r="BG16" s="289">
        <v>11</v>
      </c>
      <c r="BH16" s="289">
        <v>-144.77760000000001</v>
      </c>
      <c r="BI16" s="289">
        <v>8267.4760000000006</v>
      </c>
      <c r="BJ16" s="289">
        <v>-195.8279</v>
      </c>
      <c r="BK16" s="289">
        <v>0</v>
      </c>
      <c r="BL16" s="289">
        <v>0</v>
      </c>
      <c r="BM16" s="289">
        <v>1844</v>
      </c>
      <c r="BN16" s="289">
        <v>0</v>
      </c>
      <c r="BO16" s="517">
        <v>0</v>
      </c>
      <c r="BP16" s="517">
        <v>0</v>
      </c>
      <c r="BQ16" s="289">
        <f t="shared" si="0"/>
        <v>-18.240858798000001</v>
      </c>
      <c r="BR16" s="289">
        <v>4773.8890000000001</v>
      </c>
      <c r="BS16" s="289">
        <f t="shared" si="1"/>
        <v>-177.58699999999953</v>
      </c>
      <c r="BT16" s="289">
        <v>55</v>
      </c>
      <c r="BU16" s="289">
        <v>0</v>
      </c>
      <c r="BV16" s="289">
        <v>159</v>
      </c>
      <c r="BW16" s="289">
        <v>247.30099999999999</v>
      </c>
      <c r="BX16" s="289">
        <v>378.02100000000002</v>
      </c>
      <c r="CC16" s="517"/>
      <c r="CD16" s="85"/>
      <c r="CE16" s="517"/>
    </row>
    <row r="17" spans="1:83" ht="13">
      <c r="A17" s="1">
        <v>227</v>
      </c>
      <c r="B17" s="2" t="s">
        <v>811</v>
      </c>
      <c r="C17" s="289">
        <v>11663</v>
      </c>
      <c r="D17" s="289">
        <v>261</v>
      </c>
      <c r="E17" s="289">
        <v>597</v>
      </c>
      <c r="F17" s="289">
        <v>1547</v>
      </c>
      <c r="G17" s="289">
        <v>962</v>
      </c>
      <c r="H17" s="289">
        <v>6696</v>
      </c>
      <c r="I17" s="289">
        <v>1177</v>
      </c>
      <c r="J17" s="289">
        <v>344</v>
      </c>
      <c r="K17" s="289">
        <v>62</v>
      </c>
      <c r="L17" s="289">
        <v>83</v>
      </c>
      <c r="M17" s="289">
        <v>551</v>
      </c>
      <c r="N17" s="290">
        <v>234</v>
      </c>
      <c r="O17" s="290">
        <v>100</v>
      </c>
      <c r="P17" s="624">
        <v>33672.094666669997</v>
      </c>
      <c r="Q17" s="624">
        <v>24228.939666670001</v>
      </c>
      <c r="R17" s="624">
        <v>27</v>
      </c>
      <c r="S17" s="289">
        <v>0</v>
      </c>
      <c r="T17" s="289">
        <v>694</v>
      </c>
      <c r="U17" s="716">
        <v>1.6400287776612915E-3</v>
      </c>
      <c r="V17" s="289">
        <v>2670.6643369100002</v>
      </c>
      <c r="W17" s="743">
        <v>0.58088339</v>
      </c>
      <c r="X17" s="289">
        <v>2700</v>
      </c>
      <c r="Y17" s="289">
        <v>392</v>
      </c>
      <c r="Z17" s="289">
        <v>358041</v>
      </c>
      <c r="AA17" s="289">
        <v>0</v>
      </c>
      <c r="AB17" s="290">
        <v>135</v>
      </c>
      <c r="AC17" s="289">
        <v>0</v>
      </c>
      <c r="AD17" s="289">
        <v>4876.5780000000004</v>
      </c>
      <c r="AE17" s="289">
        <v>706</v>
      </c>
      <c r="AF17" s="289">
        <v>0</v>
      </c>
      <c r="AG17" s="289">
        <v>11646</v>
      </c>
      <c r="AH17" s="289">
        <v>1764</v>
      </c>
      <c r="AI17" s="289">
        <v>400</v>
      </c>
      <c r="AJ17" s="289">
        <v>0</v>
      </c>
      <c r="AK17" s="289">
        <v>56.566299999999998</v>
      </c>
      <c r="AL17" s="289"/>
      <c r="AM17" s="622">
        <v>0.31708138000000002</v>
      </c>
      <c r="AN17" s="289">
        <v>0</v>
      </c>
      <c r="AO17" s="289">
        <v>-538.52931392000005</v>
      </c>
      <c r="AP17" s="289">
        <v>0</v>
      </c>
      <c r="AQ17" s="289">
        <v>0</v>
      </c>
      <c r="AR17" s="289">
        <v>-832.38849067000001</v>
      </c>
      <c r="AS17" s="289">
        <v>125.20269999999999</v>
      </c>
      <c r="AT17" s="289">
        <v>688</v>
      </c>
      <c r="AU17" s="289">
        <v>155</v>
      </c>
      <c r="AV17" s="625">
        <v>248068</v>
      </c>
      <c r="AW17" s="289">
        <v>-5.9138000000000002</v>
      </c>
      <c r="AX17" s="625">
        <v>69.083333330000002</v>
      </c>
      <c r="AY17" s="289">
        <v>2448</v>
      </c>
      <c r="AZ17" s="289">
        <v>397</v>
      </c>
      <c r="BA17" s="290">
        <v>223</v>
      </c>
      <c r="BB17" s="289">
        <v>0</v>
      </c>
      <c r="BC17" s="289">
        <v>2063</v>
      </c>
      <c r="BD17" s="289">
        <v>234.1131</v>
      </c>
      <c r="BE17" s="289">
        <v>260111.43159627999</v>
      </c>
      <c r="BF17" s="289">
        <v>0</v>
      </c>
      <c r="BG17" s="289">
        <v>11</v>
      </c>
      <c r="BH17" s="289">
        <v>-94.883499999999998</v>
      </c>
      <c r="BI17" s="289">
        <v>7032.5780000000004</v>
      </c>
      <c r="BJ17" s="289">
        <v>-198.1026</v>
      </c>
      <c r="BK17" s="289">
        <v>0</v>
      </c>
      <c r="BL17" s="289">
        <v>0</v>
      </c>
      <c r="BM17" s="289">
        <v>1206</v>
      </c>
      <c r="BN17" s="289">
        <v>0</v>
      </c>
      <c r="BO17" s="517">
        <v>0</v>
      </c>
      <c r="BP17" s="517">
        <v>0</v>
      </c>
      <c r="BQ17" s="289">
        <f t="shared" si="0"/>
        <v>-11.954588720399999</v>
      </c>
      <c r="BR17" s="289">
        <v>4690.43</v>
      </c>
      <c r="BS17" s="289">
        <f t="shared" si="1"/>
        <v>-186.14800000000014</v>
      </c>
      <c r="BT17" s="289">
        <v>32</v>
      </c>
      <c r="BU17" s="289">
        <v>0</v>
      </c>
      <c r="BV17" s="289">
        <v>108</v>
      </c>
      <c r="BW17" s="289">
        <v>215.864</v>
      </c>
      <c r="BX17" s="289">
        <v>244.97200000000001</v>
      </c>
      <c r="CC17" s="517"/>
      <c r="CD17" s="85"/>
      <c r="CE17" s="517"/>
    </row>
    <row r="18" spans="1:83" ht="13">
      <c r="A18" s="1">
        <v>231</v>
      </c>
      <c r="B18" s="2" t="s">
        <v>815</v>
      </c>
      <c r="C18" s="289">
        <v>54178</v>
      </c>
      <c r="D18" s="289">
        <v>1148</v>
      </c>
      <c r="E18" s="289">
        <v>2551</v>
      </c>
      <c r="F18" s="289">
        <v>6871</v>
      </c>
      <c r="G18" s="289">
        <v>4778</v>
      </c>
      <c r="H18" s="289">
        <v>31072</v>
      </c>
      <c r="I18" s="289">
        <v>5311</v>
      </c>
      <c r="J18" s="289">
        <v>1651</v>
      </c>
      <c r="K18" s="289">
        <v>343</v>
      </c>
      <c r="L18" s="289">
        <v>402</v>
      </c>
      <c r="M18" s="289">
        <v>3166</v>
      </c>
      <c r="N18" s="290">
        <v>3134</v>
      </c>
      <c r="O18" s="290">
        <v>560</v>
      </c>
      <c r="P18" s="624">
        <v>89239.443333329997</v>
      </c>
      <c r="Q18" s="624">
        <v>32932.767</v>
      </c>
      <c r="R18" s="624">
        <v>150</v>
      </c>
      <c r="S18" s="289">
        <v>0</v>
      </c>
      <c r="T18" s="289">
        <v>4216</v>
      </c>
      <c r="U18" s="716">
        <v>9.2931651130701736E-4</v>
      </c>
      <c r="V18" s="289">
        <v>6336.2821850099999</v>
      </c>
      <c r="W18" s="743">
        <v>0.52650107000000002</v>
      </c>
      <c r="X18" s="289">
        <v>0</v>
      </c>
      <c r="Y18" s="289">
        <v>784</v>
      </c>
      <c r="Z18" s="289">
        <v>1707289</v>
      </c>
      <c r="AA18" s="289">
        <v>0</v>
      </c>
      <c r="AB18" s="290">
        <v>758</v>
      </c>
      <c r="AC18" s="289">
        <v>0</v>
      </c>
      <c r="AD18" s="289">
        <v>5726.1059999999998</v>
      </c>
      <c r="AE18" s="289">
        <v>0</v>
      </c>
      <c r="AF18" s="289">
        <v>0</v>
      </c>
      <c r="AG18" s="289">
        <v>53725</v>
      </c>
      <c r="AH18" s="289">
        <v>7933</v>
      </c>
      <c r="AI18" s="289">
        <v>0</v>
      </c>
      <c r="AJ18" s="289">
        <v>0</v>
      </c>
      <c r="AK18" s="289">
        <v>251.36259999999999</v>
      </c>
      <c r="AL18" s="289"/>
      <c r="AM18" s="622">
        <v>2.4885928000000002</v>
      </c>
      <c r="AN18" s="289">
        <v>0</v>
      </c>
      <c r="AO18" s="289">
        <v>-2516.2220376499999</v>
      </c>
      <c r="AP18" s="289">
        <v>0</v>
      </c>
      <c r="AQ18" s="289">
        <v>0</v>
      </c>
      <c r="AR18" s="289">
        <v>-3839.9511987999999</v>
      </c>
      <c r="AS18" s="289">
        <v>858.45650000000001</v>
      </c>
      <c r="AT18" s="289">
        <v>3387</v>
      </c>
      <c r="AU18" s="289">
        <v>676</v>
      </c>
      <c r="AV18" s="625">
        <v>1152221</v>
      </c>
      <c r="AW18" s="289">
        <v>-27.281400000000001</v>
      </c>
      <c r="AX18" s="625">
        <v>379.91666670000001</v>
      </c>
      <c r="AY18" s="289">
        <v>12451</v>
      </c>
      <c r="AZ18" s="289">
        <v>3085</v>
      </c>
      <c r="BA18" s="290">
        <v>1303</v>
      </c>
      <c r="BB18" s="289">
        <v>0</v>
      </c>
      <c r="BC18" s="289">
        <v>8454</v>
      </c>
      <c r="BD18" s="289">
        <v>1052.8453</v>
      </c>
      <c r="BE18" s="289">
        <v>1193033.0724207</v>
      </c>
      <c r="BF18" s="289">
        <v>0</v>
      </c>
      <c r="BG18" s="289">
        <v>22</v>
      </c>
      <c r="BH18" s="289">
        <v>-437.714</v>
      </c>
      <c r="BI18" s="289">
        <v>14443.106</v>
      </c>
      <c r="BJ18" s="289">
        <v>-232.1156</v>
      </c>
      <c r="BK18" s="289">
        <v>0</v>
      </c>
      <c r="BL18" s="289">
        <v>0</v>
      </c>
      <c r="BM18" s="289">
        <v>5560</v>
      </c>
      <c r="BN18" s="289">
        <v>0</v>
      </c>
      <c r="BO18" s="517">
        <v>0</v>
      </c>
      <c r="BP18" s="517">
        <v>0</v>
      </c>
      <c r="BQ18" s="289">
        <f t="shared" si="0"/>
        <v>-55.148572815000001</v>
      </c>
      <c r="BR18" s="289">
        <v>5549.1390000000001</v>
      </c>
      <c r="BS18" s="289">
        <f t="shared" si="1"/>
        <v>-176.96699999999964</v>
      </c>
      <c r="BT18" s="289">
        <v>144</v>
      </c>
      <c r="BU18" s="289">
        <v>0</v>
      </c>
      <c r="BV18" s="289">
        <v>461</v>
      </c>
      <c r="BW18" s="289">
        <v>428.58499999999998</v>
      </c>
      <c r="BX18" s="289">
        <v>1143.4110000000001</v>
      </c>
      <c r="CC18" s="517"/>
      <c r="CD18" s="85"/>
      <c r="CE18" s="517"/>
    </row>
    <row r="19" spans="1:83" ht="13">
      <c r="A19" s="1">
        <v>301</v>
      </c>
      <c r="B19" s="3" t="s">
        <v>823</v>
      </c>
      <c r="C19" s="289">
        <v>673469</v>
      </c>
      <c r="D19" s="289">
        <v>18529</v>
      </c>
      <c r="E19" s="289">
        <v>32844</v>
      </c>
      <c r="F19" s="289">
        <v>68456</v>
      </c>
      <c r="G19" s="289">
        <v>48942</v>
      </c>
      <c r="H19" s="289">
        <v>427933</v>
      </c>
      <c r="I19" s="289">
        <v>51473</v>
      </c>
      <c r="J19" s="289">
        <v>15965</v>
      </c>
      <c r="K19" s="289">
        <v>4911</v>
      </c>
      <c r="L19" s="289">
        <v>5180</v>
      </c>
      <c r="M19" s="289">
        <v>37769</v>
      </c>
      <c r="N19" s="290">
        <v>40297</v>
      </c>
      <c r="O19" s="290">
        <v>6287</v>
      </c>
      <c r="P19" s="624">
        <v>1221713.088</v>
      </c>
      <c r="Q19" s="624">
        <v>523103.79133332998</v>
      </c>
      <c r="R19" s="624">
        <v>1665</v>
      </c>
      <c r="S19" s="289">
        <v>0</v>
      </c>
      <c r="T19" s="289">
        <v>84862</v>
      </c>
      <c r="U19" s="716">
        <v>7.1316110420018204E-4</v>
      </c>
      <c r="V19" s="289">
        <v>-61826.587957069998</v>
      </c>
      <c r="W19" s="743">
        <v>0.51969202999999997</v>
      </c>
      <c r="X19" s="289">
        <v>0</v>
      </c>
      <c r="Y19" s="289">
        <v>12544</v>
      </c>
      <c r="Z19" s="289">
        <v>28170461</v>
      </c>
      <c r="AA19" s="289">
        <v>0</v>
      </c>
      <c r="AB19" s="290">
        <v>6639</v>
      </c>
      <c r="AC19" s="289">
        <v>0</v>
      </c>
      <c r="AD19" s="289">
        <v>0</v>
      </c>
      <c r="AE19" s="289">
        <v>102485</v>
      </c>
      <c r="AF19" s="289">
        <v>0</v>
      </c>
      <c r="AG19" s="289">
        <v>669053</v>
      </c>
      <c r="AH19" s="289">
        <v>85743</v>
      </c>
      <c r="AI19" s="289">
        <v>5700</v>
      </c>
      <c r="AJ19" s="289">
        <v>0</v>
      </c>
      <c r="AK19" s="289">
        <v>3509.4969999999998</v>
      </c>
      <c r="AL19" s="289"/>
      <c r="AM19" s="622">
        <v>56.842310650000002</v>
      </c>
      <c r="AN19" s="289">
        <v>0</v>
      </c>
      <c r="AO19" s="289">
        <v>-30274.08720984</v>
      </c>
      <c r="AP19" s="289">
        <v>240700</v>
      </c>
      <c r="AQ19" s="289">
        <v>0</v>
      </c>
      <c r="AR19" s="289">
        <v>-47820.025489239997</v>
      </c>
      <c r="AS19" s="289">
        <v>13948.667299999999</v>
      </c>
      <c r="AT19" s="289">
        <v>37435</v>
      </c>
      <c r="AU19" s="289">
        <v>11268</v>
      </c>
      <c r="AV19" s="625">
        <v>13425448</v>
      </c>
      <c r="AW19" s="289">
        <v>-339.74349999999998</v>
      </c>
      <c r="AX19" s="625">
        <v>6054.75000034</v>
      </c>
      <c r="AY19" s="289">
        <v>253253</v>
      </c>
      <c r="AZ19" s="289">
        <v>59908</v>
      </c>
      <c r="BA19" s="290">
        <v>14766</v>
      </c>
      <c r="BB19" s="289">
        <v>0</v>
      </c>
      <c r="BC19" s="289">
        <v>66613.817899999995</v>
      </c>
      <c r="BD19" s="289">
        <v>11379.568499999999</v>
      </c>
      <c r="BE19" s="289">
        <v>13789630.489437999</v>
      </c>
      <c r="BF19" s="289">
        <v>-28094.118834600002</v>
      </c>
      <c r="BG19" s="289">
        <v>352</v>
      </c>
      <c r="BH19" s="289">
        <v>-5450.9796999999999</v>
      </c>
      <c r="BI19" s="289">
        <v>70192.881165400002</v>
      </c>
      <c r="BJ19" s="289">
        <v>-686.78110000000004</v>
      </c>
      <c r="BK19" s="289">
        <v>0</v>
      </c>
      <c r="BL19" s="289">
        <v>0</v>
      </c>
      <c r="BM19" s="289">
        <v>0</v>
      </c>
      <c r="BN19" s="289">
        <v>0</v>
      </c>
      <c r="BO19" s="517">
        <v>0</v>
      </c>
      <c r="BP19" s="517">
        <v>0</v>
      </c>
      <c r="BQ19" s="289">
        <f t="shared" si="0"/>
        <v>-686.78116496220002</v>
      </c>
      <c r="BR19" s="289">
        <v>0</v>
      </c>
      <c r="BS19" s="289">
        <f t="shared" si="1"/>
        <v>0</v>
      </c>
      <c r="BT19" s="289">
        <v>2010</v>
      </c>
      <c r="BU19" s="289">
        <v>0</v>
      </c>
      <c r="BV19" s="289">
        <v>5363</v>
      </c>
      <c r="BW19" s="289">
        <v>3536.6060000000002</v>
      </c>
      <c r="BX19" s="289">
        <v>14051.598</v>
      </c>
      <c r="CC19" s="517"/>
      <c r="CD19" s="85"/>
      <c r="CE19" s="517"/>
    </row>
    <row r="20" spans="1:83" ht="13">
      <c r="A20" s="1">
        <v>602</v>
      </c>
      <c r="B20" s="2" t="s">
        <v>871</v>
      </c>
      <c r="C20" s="289">
        <v>68713</v>
      </c>
      <c r="D20" s="289">
        <v>1530</v>
      </c>
      <c r="E20" s="289">
        <v>3143</v>
      </c>
      <c r="F20" s="289">
        <v>8090</v>
      </c>
      <c r="G20" s="289">
        <v>5643</v>
      </c>
      <c r="H20" s="289">
        <v>39623</v>
      </c>
      <c r="I20" s="289">
        <v>7497</v>
      </c>
      <c r="J20" s="289">
        <v>2400</v>
      </c>
      <c r="K20" s="289">
        <v>602</v>
      </c>
      <c r="L20" s="289">
        <v>552</v>
      </c>
      <c r="M20" s="289">
        <v>4978</v>
      </c>
      <c r="N20" s="290">
        <v>4286</v>
      </c>
      <c r="O20" s="290">
        <v>904</v>
      </c>
      <c r="P20" s="624">
        <v>115343.36533333</v>
      </c>
      <c r="Q20" s="624">
        <v>41636.593999999997</v>
      </c>
      <c r="R20" s="624">
        <v>217</v>
      </c>
      <c r="S20" s="289">
        <v>0</v>
      </c>
      <c r="T20" s="289">
        <v>6547</v>
      </c>
      <c r="U20" s="716">
        <v>9.6293420563877742E-4</v>
      </c>
      <c r="V20" s="289">
        <v>14807.428980500001</v>
      </c>
      <c r="W20" s="743">
        <v>0.52557273999999998</v>
      </c>
      <c r="X20" s="289">
        <v>2000</v>
      </c>
      <c r="Y20" s="289">
        <v>1176</v>
      </c>
      <c r="Z20" s="289">
        <v>2041109</v>
      </c>
      <c r="AA20" s="289">
        <v>0</v>
      </c>
      <c r="AB20" s="290">
        <v>1181</v>
      </c>
      <c r="AC20" s="289">
        <v>0</v>
      </c>
      <c r="AD20" s="289">
        <v>5741.4960000000001</v>
      </c>
      <c r="AE20" s="289">
        <v>0</v>
      </c>
      <c r="AF20" s="289">
        <v>0</v>
      </c>
      <c r="AG20" s="289">
        <v>68528</v>
      </c>
      <c r="AH20" s="289">
        <v>9554</v>
      </c>
      <c r="AI20" s="289">
        <v>500</v>
      </c>
      <c r="AJ20" s="289">
        <v>0</v>
      </c>
      <c r="AK20" s="289">
        <v>315.65039999999999</v>
      </c>
      <c r="AL20" s="289"/>
      <c r="AM20" s="622">
        <v>5.5914608599999998</v>
      </c>
      <c r="AN20" s="289">
        <v>0</v>
      </c>
      <c r="AO20" s="289">
        <v>-3336.44354892</v>
      </c>
      <c r="AP20" s="289">
        <v>0</v>
      </c>
      <c r="AQ20" s="289">
        <v>0</v>
      </c>
      <c r="AR20" s="289">
        <v>-4897.9837273399999</v>
      </c>
      <c r="AS20" s="289">
        <v>1333.2811999999999</v>
      </c>
      <c r="AT20" s="289">
        <v>4485</v>
      </c>
      <c r="AU20" s="289">
        <v>1184</v>
      </c>
      <c r="AV20" s="625">
        <v>1598920</v>
      </c>
      <c r="AW20" s="289">
        <v>-34.798299999999998</v>
      </c>
      <c r="AX20" s="625">
        <v>511.83333333000002</v>
      </c>
      <c r="AY20" s="289">
        <v>16821</v>
      </c>
      <c r="AZ20" s="289">
        <v>4921</v>
      </c>
      <c r="BA20" s="290">
        <v>1811</v>
      </c>
      <c r="BB20" s="289">
        <v>0</v>
      </c>
      <c r="BC20" s="289">
        <v>10580</v>
      </c>
      <c r="BD20" s="289">
        <v>1267.9799</v>
      </c>
      <c r="BE20" s="289">
        <v>1658617.7927397999</v>
      </c>
      <c r="BF20" s="289">
        <v>0</v>
      </c>
      <c r="BG20" s="289">
        <v>33</v>
      </c>
      <c r="BH20" s="289">
        <v>-558.31859999999995</v>
      </c>
      <c r="BI20" s="289">
        <v>16471.495999999999</v>
      </c>
      <c r="BJ20" s="289">
        <v>-248.0188</v>
      </c>
      <c r="BK20" s="289">
        <v>0</v>
      </c>
      <c r="BL20" s="289">
        <v>0</v>
      </c>
      <c r="BM20" s="289">
        <v>6682</v>
      </c>
      <c r="BN20" s="289">
        <v>0</v>
      </c>
      <c r="BO20" s="517">
        <v>0</v>
      </c>
      <c r="BP20" s="517">
        <v>0</v>
      </c>
      <c r="BQ20" s="289">
        <f t="shared" si="0"/>
        <v>-70.343813827200009</v>
      </c>
      <c r="BR20" s="289">
        <v>5563.8209999999999</v>
      </c>
      <c r="BS20" s="289">
        <f t="shared" si="1"/>
        <v>-177.67500000000018</v>
      </c>
      <c r="BT20" s="289">
        <v>181</v>
      </c>
      <c r="BU20" s="289">
        <v>0</v>
      </c>
      <c r="BV20" s="289">
        <v>598</v>
      </c>
      <c r="BW20" s="289">
        <v>0</v>
      </c>
      <c r="BX20" s="289">
        <v>1431.0920000000001</v>
      </c>
      <c r="CC20" s="517"/>
      <c r="CD20" s="85"/>
      <c r="CE20" s="517"/>
    </row>
    <row r="21" spans="1:83" ht="13">
      <c r="A21" s="1">
        <v>625</v>
      </c>
      <c r="B21" s="2" t="s">
        <v>885</v>
      </c>
      <c r="C21" s="289">
        <v>24917</v>
      </c>
      <c r="D21" s="289">
        <v>523</v>
      </c>
      <c r="E21" s="289">
        <v>1205</v>
      </c>
      <c r="F21" s="289">
        <v>3214</v>
      </c>
      <c r="G21" s="289">
        <v>2287</v>
      </c>
      <c r="H21" s="289">
        <v>14240</v>
      </c>
      <c r="I21" s="289">
        <v>2521</v>
      </c>
      <c r="J21" s="289">
        <v>685</v>
      </c>
      <c r="K21" s="289">
        <v>169</v>
      </c>
      <c r="L21" s="289">
        <v>205</v>
      </c>
      <c r="M21" s="289">
        <v>1370</v>
      </c>
      <c r="N21" s="290">
        <v>1017</v>
      </c>
      <c r="O21" s="290">
        <v>257</v>
      </c>
      <c r="P21" s="624">
        <v>57862.478666670002</v>
      </c>
      <c r="Q21" s="624">
        <v>27520.09566667</v>
      </c>
      <c r="R21" s="624">
        <v>102</v>
      </c>
      <c r="S21" s="289">
        <v>0</v>
      </c>
      <c r="T21" s="289">
        <v>1652</v>
      </c>
      <c r="U21" s="716">
        <v>7.7478425279848249E-4</v>
      </c>
      <c r="V21" s="289">
        <v>3056.26797412</v>
      </c>
      <c r="W21" s="743">
        <v>0.53933436000000001</v>
      </c>
      <c r="X21" s="289">
        <v>3840</v>
      </c>
      <c r="Y21" s="289">
        <v>392</v>
      </c>
      <c r="Z21" s="289">
        <v>633764</v>
      </c>
      <c r="AA21" s="289">
        <v>0</v>
      </c>
      <c r="AB21" s="290">
        <v>420</v>
      </c>
      <c r="AC21" s="289">
        <v>0</v>
      </c>
      <c r="AD21" s="289">
        <v>5519.88</v>
      </c>
      <c r="AE21" s="289">
        <v>0</v>
      </c>
      <c r="AF21" s="289">
        <v>0</v>
      </c>
      <c r="AG21" s="289">
        <v>24844</v>
      </c>
      <c r="AH21" s="289">
        <v>3757</v>
      </c>
      <c r="AI21" s="289">
        <v>1250</v>
      </c>
      <c r="AJ21" s="289">
        <v>0</v>
      </c>
      <c r="AK21" s="289">
        <v>115.2946</v>
      </c>
      <c r="AL21" s="289"/>
      <c r="AM21" s="622">
        <v>1.4371273200000001</v>
      </c>
      <c r="AN21" s="289">
        <v>0</v>
      </c>
      <c r="AO21" s="289">
        <v>-1188.84900485</v>
      </c>
      <c r="AP21" s="289">
        <v>0</v>
      </c>
      <c r="AQ21" s="289">
        <v>0</v>
      </c>
      <c r="AR21" s="289">
        <v>-1775.70493407</v>
      </c>
      <c r="AS21" s="289">
        <v>370.09930000000003</v>
      </c>
      <c r="AT21" s="289">
        <v>1689</v>
      </c>
      <c r="AU21" s="289">
        <v>423</v>
      </c>
      <c r="AV21" s="625">
        <v>561770</v>
      </c>
      <c r="AW21" s="289">
        <v>-12.6157</v>
      </c>
      <c r="AX21" s="625">
        <v>174.83333332999999</v>
      </c>
      <c r="AY21" s="289">
        <v>4414</v>
      </c>
      <c r="AZ21" s="289">
        <v>1229</v>
      </c>
      <c r="BA21" s="290">
        <v>654</v>
      </c>
      <c r="BB21" s="289">
        <v>0</v>
      </c>
      <c r="BC21" s="289">
        <v>4000</v>
      </c>
      <c r="BD21" s="289">
        <v>498.61840000000001</v>
      </c>
      <c r="BE21" s="289">
        <v>584482.17965829</v>
      </c>
      <c r="BF21" s="289">
        <v>0</v>
      </c>
      <c r="BG21" s="289">
        <v>11</v>
      </c>
      <c r="BH21" s="289">
        <v>-202.4117</v>
      </c>
      <c r="BI21" s="289">
        <v>9668.8799999999992</v>
      </c>
      <c r="BJ21" s="289">
        <v>-199.02629999999999</v>
      </c>
      <c r="BK21" s="289">
        <v>0</v>
      </c>
      <c r="BL21" s="289">
        <v>0</v>
      </c>
      <c r="BM21" s="289">
        <v>2416</v>
      </c>
      <c r="BN21" s="289">
        <v>0</v>
      </c>
      <c r="BO21" s="517">
        <v>0</v>
      </c>
      <c r="BP21" s="517">
        <v>0</v>
      </c>
      <c r="BQ21" s="289">
        <f t="shared" si="0"/>
        <v>-25.502301405600001</v>
      </c>
      <c r="BR21" s="289">
        <v>5346.3559999999998</v>
      </c>
      <c r="BS21" s="289">
        <f t="shared" si="1"/>
        <v>-173.52400000000034</v>
      </c>
      <c r="BT21" s="289">
        <v>66</v>
      </c>
      <c r="BU21" s="289">
        <v>0</v>
      </c>
      <c r="BV21" s="289">
        <v>219</v>
      </c>
      <c r="BW21" s="289">
        <v>0</v>
      </c>
      <c r="BX21" s="289">
        <v>519.005</v>
      </c>
      <c r="CC21" s="517"/>
      <c r="CD21" s="85"/>
      <c r="CE21" s="517"/>
    </row>
    <row r="22" spans="1:83" ht="13">
      <c r="A22" s="1">
        <v>627</v>
      </c>
      <c r="B22" s="2" t="s">
        <v>887</v>
      </c>
      <c r="C22" s="289">
        <v>22452</v>
      </c>
      <c r="D22" s="289">
        <v>493</v>
      </c>
      <c r="E22" s="289">
        <v>1192</v>
      </c>
      <c r="F22" s="289">
        <v>3019</v>
      </c>
      <c r="G22" s="289">
        <v>1966</v>
      </c>
      <c r="H22" s="289">
        <v>12640</v>
      </c>
      <c r="I22" s="289">
        <v>2227</v>
      </c>
      <c r="J22" s="289">
        <v>521</v>
      </c>
      <c r="K22" s="289">
        <v>97</v>
      </c>
      <c r="L22" s="289">
        <v>178</v>
      </c>
      <c r="M22" s="289">
        <v>1099</v>
      </c>
      <c r="N22" s="290">
        <v>357</v>
      </c>
      <c r="O22" s="290">
        <v>240</v>
      </c>
      <c r="P22" s="624">
        <v>50552.182333329998</v>
      </c>
      <c r="Q22" s="624">
        <v>36843.839666669999</v>
      </c>
      <c r="R22" s="624">
        <v>61</v>
      </c>
      <c r="S22" s="289">
        <v>0</v>
      </c>
      <c r="T22" s="289">
        <v>1357</v>
      </c>
      <c r="U22" s="716">
        <v>1.1452875874544135E-3</v>
      </c>
      <c r="V22" s="289">
        <v>1146.6223408400001</v>
      </c>
      <c r="W22" s="743">
        <v>0.56229154000000003</v>
      </c>
      <c r="X22" s="289">
        <v>0</v>
      </c>
      <c r="Y22" s="289">
        <v>392</v>
      </c>
      <c r="Z22" s="289">
        <v>699523</v>
      </c>
      <c r="AA22" s="289">
        <v>0</v>
      </c>
      <c r="AB22" s="290">
        <v>280</v>
      </c>
      <c r="AC22" s="289">
        <v>0</v>
      </c>
      <c r="AD22" s="289">
        <v>5164.884</v>
      </c>
      <c r="AE22" s="289">
        <v>8457</v>
      </c>
      <c r="AF22" s="289">
        <v>0</v>
      </c>
      <c r="AG22" s="289">
        <v>22155</v>
      </c>
      <c r="AH22" s="289">
        <v>3514</v>
      </c>
      <c r="AI22" s="289">
        <v>550</v>
      </c>
      <c r="AJ22" s="289">
        <v>0</v>
      </c>
      <c r="AK22" s="289">
        <v>117.5307</v>
      </c>
      <c r="AL22" s="289"/>
      <c r="AM22" s="622">
        <v>0.48246789000000001</v>
      </c>
      <c r="AN22" s="289">
        <v>0</v>
      </c>
      <c r="AO22" s="289">
        <v>-1035.7625622</v>
      </c>
      <c r="AP22" s="289">
        <v>0</v>
      </c>
      <c r="AQ22" s="289">
        <v>0</v>
      </c>
      <c r="AR22" s="289">
        <v>-1583.5108200899999</v>
      </c>
      <c r="AS22" s="289">
        <v>229.2782</v>
      </c>
      <c r="AT22" s="289">
        <v>1366</v>
      </c>
      <c r="AU22" s="289">
        <v>257</v>
      </c>
      <c r="AV22" s="625">
        <v>505109</v>
      </c>
      <c r="AW22" s="289">
        <v>-11.250299999999999</v>
      </c>
      <c r="AX22" s="625">
        <v>190.875</v>
      </c>
      <c r="AY22" s="289">
        <v>5458</v>
      </c>
      <c r="AZ22" s="289">
        <v>661</v>
      </c>
      <c r="BA22" s="290">
        <v>570</v>
      </c>
      <c r="BB22" s="289">
        <v>0</v>
      </c>
      <c r="BC22" s="289">
        <v>24292.224999999999</v>
      </c>
      <c r="BD22" s="289">
        <v>466.36810000000003</v>
      </c>
      <c r="BE22" s="289">
        <v>521138.79957709002</v>
      </c>
      <c r="BF22" s="289">
        <v>0</v>
      </c>
      <c r="BG22" s="289">
        <v>11</v>
      </c>
      <c r="BH22" s="289">
        <v>-180.50360000000001</v>
      </c>
      <c r="BI22" s="289">
        <v>30140.024850000002</v>
      </c>
      <c r="BJ22" s="289">
        <v>-203.66399999999999</v>
      </c>
      <c r="BK22" s="289">
        <v>0</v>
      </c>
      <c r="BL22" s="289">
        <v>0</v>
      </c>
      <c r="BM22" s="289">
        <v>2201</v>
      </c>
      <c r="BN22" s="289">
        <v>0</v>
      </c>
      <c r="BO22" s="517">
        <v>0</v>
      </c>
      <c r="BP22" s="517">
        <v>0</v>
      </c>
      <c r="BQ22" s="289">
        <f t="shared" si="0"/>
        <v>-22.742049897000001</v>
      </c>
      <c r="BR22" s="289">
        <v>4983.9620000000004</v>
      </c>
      <c r="BS22" s="289">
        <f t="shared" si="1"/>
        <v>-180.92199999999957</v>
      </c>
      <c r="BT22" s="289">
        <v>67</v>
      </c>
      <c r="BU22" s="289">
        <v>21069.14085</v>
      </c>
      <c r="BV22" s="289">
        <v>197</v>
      </c>
      <c r="BW22" s="289">
        <v>0</v>
      </c>
      <c r="BX22" s="289">
        <v>470.10599999999999</v>
      </c>
      <c r="CC22" s="517"/>
      <c r="CD22" s="85"/>
      <c r="CE22" s="517"/>
    </row>
    <row r="23" spans="1:83" ht="13">
      <c r="A23" s="1">
        <v>628</v>
      </c>
      <c r="B23" s="2" t="s">
        <v>888</v>
      </c>
      <c r="C23" s="289">
        <v>9450</v>
      </c>
      <c r="D23" s="289">
        <v>160</v>
      </c>
      <c r="E23" s="289">
        <v>372</v>
      </c>
      <c r="F23" s="289">
        <v>1147</v>
      </c>
      <c r="G23" s="289">
        <v>805</v>
      </c>
      <c r="H23" s="289">
        <v>5282</v>
      </c>
      <c r="I23" s="289">
        <v>1311</v>
      </c>
      <c r="J23" s="289">
        <v>314</v>
      </c>
      <c r="K23" s="289">
        <v>92</v>
      </c>
      <c r="L23" s="289">
        <v>75</v>
      </c>
      <c r="M23" s="289">
        <v>714</v>
      </c>
      <c r="N23" s="290">
        <v>105</v>
      </c>
      <c r="O23" s="290">
        <v>109</v>
      </c>
      <c r="P23" s="624">
        <v>22225.203000000001</v>
      </c>
      <c r="Q23" s="624">
        <v>21821.843333330002</v>
      </c>
      <c r="R23" s="624">
        <v>47</v>
      </c>
      <c r="S23" s="289">
        <v>0</v>
      </c>
      <c r="T23" s="289">
        <v>747</v>
      </c>
      <c r="U23" s="716">
        <v>1.1763640357754675E-3</v>
      </c>
      <c r="V23" s="289">
        <v>-3398.9458118699999</v>
      </c>
      <c r="W23" s="743">
        <v>0.62395829999999997</v>
      </c>
      <c r="X23" s="289">
        <v>1470</v>
      </c>
      <c r="Y23" s="289">
        <v>392</v>
      </c>
      <c r="Z23" s="289">
        <v>260549</v>
      </c>
      <c r="AA23" s="289">
        <v>0</v>
      </c>
      <c r="AB23" s="290">
        <v>145</v>
      </c>
      <c r="AC23" s="289">
        <v>0</v>
      </c>
      <c r="AD23" s="289">
        <v>4187.1059999999998</v>
      </c>
      <c r="AE23" s="289">
        <v>0</v>
      </c>
      <c r="AF23" s="289">
        <v>0</v>
      </c>
      <c r="AG23" s="289">
        <v>9483</v>
      </c>
      <c r="AH23" s="289">
        <v>1292</v>
      </c>
      <c r="AI23" s="289">
        <v>0</v>
      </c>
      <c r="AJ23" s="289">
        <v>0</v>
      </c>
      <c r="AK23" s="289">
        <v>37.028300000000002</v>
      </c>
      <c r="AL23" s="289"/>
      <c r="AM23" s="622">
        <v>0.27733401000000002</v>
      </c>
      <c r="AN23" s="289">
        <v>0</v>
      </c>
      <c r="AO23" s="289">
        <v>-463.19791889999999</v>
      </c>
      <c r="AP23" s="289">
        <v>0</v>
      </c>
      <c r="AQ23" s="289">
        <v>0</v>
      </c>
      <c r="AR23" s="289">
        <v>-677.78980396999998</v>
      </c>
      <c r="AS23" s="289">
        <v>109.2941</v>
      </c>
      <c r="AT23" s="289">
        <v>630</v>
      </c>
      <c r="AU23" s="289">
        <v>118</v>
      </c>
      <c r="AV23" s="625">
        <v>223650</v>
      </c>
      <c r="AW23" s="289">
        <v>159.8879</v>
      </c>
      <c r="AX23" s="625">
        <v>57.25</v>
      </c>
      <c r="AY23" s="289">
        <v>1935</v>
      </c>
      <c r="AZ23" s="289">
        <v>334</v>
      </c>
      <c r="BA23" s="290">
        <v>234</v>
      </c>
      <c r="BB23" s="289">
        <v>0</v>
      </c>
      <c r="BC23" s="289">
        <v>1740</v>
      </c>
      <c r="BD23" s="289">
        <v>171.47059999999999</v>
      </c>
      <c r="BE23" s="289">
        <v>230421.58312858999</v>
      </c>
      <c r="BF23" s="289">
        <v>0</v>
      </c>
      <c r="BG23" s="289">
        <v>11</v>
      </c>
      <c r="BH23" s="289">
        <v>-77.260900000000007</v>
      </c>
      <c r="BI23" s="289">
        <v>5871.1059999999998</v>
      </c>
      <c r="BJ23" s="289">
        <v>-186.97630000000001</v>
      </c>
      <c r="BK23" s="289">
        <v>0</v>
      </c>
      <c r="BL23" s="289">
        <v>0</v>
      </c>
      <c r="BM23" s="289">
        <v>949</v>
      </c>
      <c r="BN23" s="289">
        <v>0</v>
      </c>
      <c r="BO23" s="517">
        <v>0</v>
      </c>
      <c r="BP23" s="517">
        <v>0</v>
      </c>
      <c r="BQ23" s="289">
        <f t="shared" si="0"/>
        <v>-9.7342748441999998</v>
      </c>
      <c r="BR23" s="289">
        <v>4009.864</v>
      </c>
      <c r="BS23" s="289">
        <f t="shared" si="1"/>
        <v>-177.24199999999973</v>
      </c>
      <c r="BT23" s="289">
        <v>21</v>
      </c>
      <c r="BU23" s="289">
        <v>0</v>
      </c>
      <c r="BV23" s="289">
        <v>93</v>
      </c>
      <c r="BW23" s="289">
        <v>0</v>
      </c>
      <c r="BX23" s="289">
        <v>197.27799999999999</v>
      </c>
      <c r="CC23" s="517"/>
      <c r="CD23" s="85"/>
      <c r="CE23" s="517"/>
    </row>
    <row r="24" spans="1:83" ht="13">
      <c r="A24" s="1">
        <v>704</v>
      </c>
      <c r="B24" s="2" t="s">
        <v>893</v>
      </c>
      <c r="C24" s="289">
        <v>45360</v>
      </c>
      <c r="D24" s="289">
        <v>941</v>
      </c>
      <c r="E24" s="289">
        <v>2035</v>
      </c>
      <c r="F24" s="289">
        <v>5183</v>
      </c>
      <c r="G24" s="289">
        <v>3906</v>
      </c>
      <c r="H24" s="289">
        <v>26002</v>
      </c>
      <c r="I24" s="289">
        <v>4907</v>
      </c>
      <c r="J24" s="289">
        <v>1730</v>
      </c>
      <c r="K24" s="289">
        <v>431</v>
      </c>
      <c r="L24" s="289">
        <v>352</v>
      </c>
      <c r="M24" s="289">
        <v>3237</v>
      </c>
      <c r="N24" s="290">
        <v>1168</v>
      </c>
      <c r="O24" s="290">
        <v>314</v>
      </c>
      <c r="P24" s="624">
        <v>82611.702000000005</v>
      </c>
      <c r="Q24" s="624">
        <v>55642.786999999997</v>
      </c>
      <c r="R24" s="624">
        <v>164</v>
      </c>
      <c r="S24" s="289">
        <v>0</v>
      </c>
      <c r="T24" s="289">
        <v>4177</v>
      </c>
      <c r="U24" s="716">
        <v>2.2731454727234475E-3</v>
      </c>
      <c r="V24" s="289">
        <v>-15092.76873455</v>
      </c>
      <c r="W24" s="743">
        <v>0.53725571999999999</v>
      </c>
      <c r="X24" s="289">
        <v>3078</v>
      </c>
      <c r="Y24" s="289">
        <v>392</v>
      </c>
      <c r="Z24" s="289">
        <v>1359854</v>
      </c>
      <c r="AA24" s="289">
        <v>0</v>
      </c>
      <c r="AB24" s="290">
        <v>827</v>
      </c>
      <c r="AC24" s="289">
        <v>0</v>
      </c>
      <c r="AD24" s="289">
        <v>5556.8159999999998</v>
      </c>
      <c r="AE24" s="289">
        <v>0</v>
      </c>
      <c r="AF24" s="289">
        <v>0</v>
      </c>
      <c r="AG24" s="289">
        <v>45135</v>
      </c>
      <c r="AH24" s="289">
        <v>6184</v>
      </c>
      <c r="AI24" s="289">
        <v>1100</v>
      </c>
      <c r="AJ24" s="289">
        <v>0</v>
      </c>
      <c r="AK24" s="289">
        <v>206.17519999999999</v>
      </c>
      <c r="AL24" s="289"/>
      <c r="AM24" s="622">
        <v>2.4019641799999998</v>
      </c>
      <c r="AN24" s="289">
        <v>0</v>
      </c>
      <c r="AO24" s="289">
        <v>-2164.54521725</v>
      </c>
      <c r="AP24" s="289">
        <v>0</v>
      </c>
      <c r="AQ24" s="289">
        <v>0</v>
      </c>
      <c r="AR24" s="289">
        <v>-3225.9878521700002</v>
      </c>
      <c r="AS24" s="289">
        <v>681.77369999999996</v>
      </c>
      <c r="AT24" s="289">
        <v>3057</v>
      </c>
      <c r="AU24" s="289">
        <v>726</v>
      </c>
      <c r="AV24" s="625">
        <v>992135</v>
      </c>
      <c r="AW24" s="289">
        <v>-22.9194</v>
      </c>
      <c r="AX24" s="625">
        <v>297.84102973</v>
      </c>
      <c r="AY24" s="289">
        <v>12726</v>
      </c>
      <c r="AZ24" s="289">
        <v>2184</v>
      </c>
      <c r="BA24" s="290">
        <v>1221</v>
      </c>
      <c r="BB24" s="289">
        <v>0</v>
      </c>
      <c r="BC24" s="289">
        <v>6042</v>
      </c>
      <c r="BD24" s="289">
        <v>820.72299999999996</v>
      </c>
      <c r="BE24" s="289">
        <v>1037913.4608032</v>
      </c>
      <c r="BF24" s="289">
        <v>0</v>
      </c>
      <c r="BG24" s="289">
        <v>11</v>
      </c>
      <c r="BH24" s="289">
        <v>-367.7287</v>
      </c>
      <c r="BI24" s="289">
        <v>12132.816000000001</v>
      </c>
      <c r="BJ24" s="289">
        <v>-223.84899999999999</v>
      </c>
      <c r="BK24" s="289">
        <v>0</v>
      </c>
      <c r="BL24" s="289">
        <v>0</v>
      </c>
      <c r="BM24" s="289">
        <v>5576</v>
      </c>
      <c r="BN24" s="289">
        <v>0</v>
      </c>
      <c r="BO24" s="517">
        <v>0</v>
      </c>
      <c r="BP24" s="517">
        <v>0</v>
      </c>
      <c r="BQ24" s="289">
        <f t="shared" si="0"/>
        <v>-46.330960148999999</v>
      </c>
      <c r="BR24" s="289">
        <v>5379.2979999999998</v>
      </c>
      <c r="BS24" s="289">
        <f t="shared" si="1"/>
        <v>-177.51800000000003</v>
      </c>
      <c r="BT24" s="289">
        <v>118</v>
      </c>
      <c r="BU24" s="289">
        <v>0</v>
      </c>
      <c r="BV24" s="289">
        <v>403</v>
      </c>
      <c r="BW24" s="289">
        <v>0</v>
      </c>
      <c r="BX24" s="289">
        <v>946.00800000000004</v>
      </c>
      <c r="CC24" s="517"/>
      <c r="CD24" s="85"/>
      <c r="CE24" s="517"/>
    </row>
    <row r="25" spans="1:83" ht="13">
      <c r="A25" s="1">
        <v>711</v>
      </c>
      <c r="B25" s="2" t="s">
        <v>896</v>
      </c>
      <c r="C25" s="289">
        <v>6672</v>
      </c>
      <c r="D25" s="289">
        <v>105</v>
      </c>
      <c r="E25" s="289">
        <v>263</v>
      </c>
      <c r="F25" s="289">
        <v>765</v>
      </c>
      <c r="G25" s="289">
        <v>562</v>
      </c>
      <c r="H25" s="289">
        <v>3856</v>
      </c>
      <c r="I25" s="289">
        <v>872</v>
      </c>
      <c r="J25" s="289">
        <v>219</v>
      </c>
      <c r="K25" s="289">
        <v>34</v>
      </c>
      <c r="L25" s="289">
        <v>63</v>
      </c>
      <c r="M25" s="289">
        <v>487</v>
      </c>
      <c r="N25" s="290">
        <v>80</v>
      </c>
      <c r="O25" s="290">
        <v>61</v>
      </c>
      <c r="P25" s="624">
        <v>31940.187666670001</v>
      </c>
      <c r="Q25" s="624">
        <v>10169.173000000001</v>
      </c>
      <c r="R25" s="624">
        <v>23</v>
      </c>
      <c r="S25" s="289">
        <v>0</v>
      </c>
      <c r="T25" s="289">
        <v>530</v>
      </c>
      <c r="U25" s="716">
        <v>6.8253078309941104E-4</v>
      </c>
      <c r="V25" s="289">
        <v>1738.9855847599999</v>
      </c>
      <c r="W25" s="743">
        <v>0.60222091</v>
      </c>
      <c r="X25" s="289">
        <v>555</v>
      </c>
      <c r="Y25" s="289">
        <v>392</v>
      </c>
      <c r="Z25" s="289">
        <v>172141</v>
      </c>
      <c r="AA25" s="289">
        <v>0</v>
      </c>
      <c r="AB25" s="290">
        <v>157</v>
      </c>
      <c r="AC25" s="289">
        <v>0</v>
      </c>
      <c r="AD25" s="289">
        <v>468.88200000000001</v>
      </c>
      <c r="AE25" s="289">
        <v>0</v>
      </c>
      <c r="AF25" s="289">
        <v>0</v>
      </c>
      <c r="AG25" s="289">
        <v>6676</v>
      </c>
      <c r="AH25" s="289">
        <v>871</v>
      </c>
      <c r="AI25" s="289">
        <v>855</v>
      </c>
      <c r="AJ25" s="289">
        <v>0</v>
      </c>
      <c r="AK25" s="289">
        <v>25.299900000000001</v>
      </c>
      <c r="AL25" s="289"/>
      <c r="AM25" s="622">
        <v>0.24625596</v>
      </c>
      <c r="AN25" s="289">
        <v>0</v>
      </c>
      <c r="AO25" s="289">
        <v>-313.47420753</v>
      </c>
      <c r="AP25" s="289">
        <v>0</v>
      </c>
      <c r="AQ25" s="289">
        <v>0</v>
      </c>
      <c r="AR25" s="289">
        <v>137.00363068999999</v>
      </c>
      <c r="AS25" s="289">
        <v>86.040300000000002</v>
      </c>
      <c r="AT25" s="289">
        <v>471</v>
      </c>
      <c r="AU25" s="289">
        <v>87</v>
      </c>
      <c r="AV25" s="625">
        <v>148901</v>
      </c>
      <c r="AW25" s="289">
        <v>194.1183</v>
      </c>
      <c r="AX25" s="625">
        <v>33.666666669999998</v>
      </c>
      <c r="AY25" s="289">
        <v>1160</v>
      </c>
      <c r="AZ25" s="289">
        <v>266</v>
      </c>
      <c r="BA25" s="290">
        <v>171</v>
      </c>
      <c r="BB25" s="289">
        <v>0</v>
      </c>
      <c r="BC25" s="289">
        <v>1229</v>
      </c>
      <c r="BD25" s="289">
        <v>115.5967</v>
      </c>
      <c r="BE25" s="289">
        <v>150477.01536975001</v>
      </c>
      <c r="BF25" s="289">
        <v>0</v>
      </c>
      <c r="BG25" s="289">
        <v>11</v>
      </c>
      <c r="BH25" s="289">
        <v>-54.391399999999997</v>
      </c>
      <c r="BI25" s="289">
        <v>1731.8820000000001</v>
      </c>
      <c r="BJ25" s="289">
        <v>738.98609999999996</v>
      </c>
      <c r="BK25" s="289">
        <v>1806</v>
      </c>
      <c r="BL25" s="289">
        <v>0</v>
      </c>
      <c r="BM25" s="289">
        <v>650</v>
      </c>
      <c r="BN25" s="289">
        <v>0</v>
      </c>
      <c r="BO25" s="517">
        <v>0</v>
      </c>
      <c r="BP25" s="289">
        <v>1776.9603656363095</v>
      </c>
      <c r="BQ25" s="289">
        <f t="shared" si="0"/>
        <v>-6.8528966424000002</v>
      </c>
      <c r="BR25" s="289">
        <v>3020.5390000000002</v>
      </c>
      <c r="BS25" s="289">
        <f t="shared" si="1"/>
        <v>2551.6570000000002</v>
      </c>
      <c r="BT25" s="289">
        <v>14</v>
      </c>
      <c r="BU25" s="289">
        <v>0</v>
      </c>
      <c r="BV25" s="289">
        <v>66</v>
      </c>
      <c r="BW25" s="289">
        <v>0</v>
      </c>
      <c r="BX25" s="289">
        <v>138.346</v>
      </c>
      <c r="CC25" s="517"/>
      <c r="CD25" s="85"/>
      <c r="CE25" s="517"/>
    </row>
    <row r="26" spans="1:83" ht="13">
      <c r="A26" s="1">
        <v>713</v>
      </c>
      <c r="B26" s="2" t="s">
        <v>897</v>
      </c>
      <c r="C26" s="289">
        <v>9726</v>
      </c>
      <c r="D26" s="289">
        <v>244</v>
      </c>
      <c r="E26" s="289">
        <v>466</v>
      </c>
      <c r="F26" s="289">
        <v>1241</v>
      </c>
      <c r="G26" s="289">
        <v>826</v>
      </c>
      <c r="H26" s="289">
        <v>5438</v>
      </c>
      <c r="I26" s="289">
        <v>1057</v>
      </c>
      <c r="J26" s="289">
        <v>308</v>
      </c>
      <c r="K26" s="289">
        <v>74</v>
      </c>
      <c r="L26" s="289">
        <v>66</v>
      </c>
      <c r="M26" s="289">
        <v>568</v>
      </c>
      <c r="N26" s="290">
        <v>128</v>
      </c>
      <c r="O26" s="290">
        <v>81</v>
      </c>
      <c r="P26" s="624">
        <v>22984.367999999999</v>
      </c>
      <c r="Q26" s="624">
        <v>22425.004333329998</v>
      </c>
      <c r="R26" s="624">
        <v>35</v>
      </c>
      <c r="S26" s="289">
        <v>0</v>
      </c>
      <c r="T26" s="289">
        <v>638</v>
      </c>
      <c r="U26" s="716">
        <v>2.2970237442744104E-3</v>
      </c>
      <c r="V26" s="289">
        <v>3009.8072695400001</v>
      </c>
      <c r="W26" s="743">
        <v>0.59194694999999997</v>
      </c>
      <c r="X26" s="289">
        <v>1069</v>
      </c>
      <c r="Y26" s="289">
        <v>392</v>
      </c>
      <c r="Z26" s="289">
        <v>270984</v>
      </c>
      <c r="AA26" s="289">
        <v>0</v>
      </c>
      <c r="AB26" s="290">
        <v>196</v>
      </c>
      <c r="AC26" s="289">
        <v>0</v>
      </c>
      <c r="AD26" s="289">
        <v>3069.7919999999999</v>
      </c>
      <c r="AE26" s="289">
        <v>1460</v>
      </c>
      <c r="AF26" s="289">
        <v>0</v>
      </c>
      <c r="AG26" s="289">
        <v>9654</v>
      </c>
      <c r="AH26" s="289">
        <v>1441</v>
      </c>
      <c r="AI26" s="289">
        <v>100</v>
      </c>
      <c r="AJ26" s="289">
        <v>0</v>
      </c>
      <c r="AK26" s="289">
        <v>46.2014</v>
      </c>
      <c r="AL26" s="289"/>
      <c r="AM26" s="622">
        <v>0.2618547</v>
      </c>
      <c r="AN26" s="289">
        <v>0</v>
      </c>
      <c r="AO26" s="289">
        <v>-466.36259624000002</v>
      </c>
      <c r="AP26" s="289">
        <v>0</v>
      </c>
      <c r="AQ26" s="289">
        <v>0</v>
      </c>
      <c r="AR26" s="289">
        <v>-690.01189153999997</v>
      </c>
      <c r="AS26" s="289">
        <v>109.4559</v>
      </c>
      <c r="AT26" s="289">
        <v>561</v>
      </c>
      <c r="AU26" s="289">
        <v>122</v>
      </c>
      <c r="AV26" s="625">
        <v>223022</v>
      </c>
      <c r="AW26" s="289">
        <v>-4.9023000000000003</v>
      </c>
      <c r="AX26" s="625">
        <v>89.333333330000002</v>
      </c>
      <c r="AY26" s="289">
        <v>1816</v>
      </c>
      <c r="AZ26" s="289">
        <v>345</v>
      </c>
      <c r="BA26" s="290">
        <v>247</v>
      </c>
      <c r="BB26" s="289">
        <v>0</v>
      </c>
      <c r="BC26" s="289">
        <v>1745</v>
      </c>
      <c r="BD26" s="289">
        <v>191.24539999999999</v>
      </c>
      <c r="BE26" s="289">
        <v>236606.64228870999</v>
      </c>
      <c r="BF26" s="289">
        <v>0</v>
      </c>
      <c r="BG26" s="289">
        <v>11</v>
      </c>
      <c r="BH26" s="289">
        <v>-78.6541</v>
      </c>
      <c r="BI26" s="289">
        <v>4902.7920000000004</v>
      </c>
      <c r="BJ26" s="289">
        <v>412.6139</v>
      </c>
      <c r="BK26" s="289">
        <v>1023</v>
      </c>
      <c r="BL26" s="289">
        <v>0</v>
      </c>
      <c r="BM26" s="289">
        <v>1902</v>
      </c>
      <c r="BN26" s="289">
        <v>0</v>
      </c>
      <c r="BO26" s="517">
        <v>0</v>
      </c>
      <c r="BP26" s="517">
        <v>0</v>
      </c>
      <c r="BQ26" s="289">
        <f t="shared" si="0"/>
        <v>-9.9098058996000002</v>
      </c>
      <c r="BR26" s="289">
        <v>4515.326</v>
      </c>
      <c r="BS26" s="289">
        <f t="shared" si="1"/>
        <v>1445.5340000000001</v>
      </c>
      <c r="BT26" s="289">
        <v>26</v>
      </c>
      <c r="BU26" s="289">
        <v>0</v>
      </c>
      <c r="BV26" s="289">
        <v>92</v>
      </c>
      <c r="BW26" s="289">
        <v>0</v>
      </c>
      <c r="BX26" s="289">
        <v>203.655</v>
      </c>
      <c r="CC26" s="517"/>
      <c r="CD26" s="85"/>
      <c r="CE26" s="517"/>
    </row>
    <row r="27" spans="1:83" ht="13">
      <c r="A27" s="1">
        <v>715</v>
      </c>
      <c r="B27" s="2" t="s">
        <v>1238</v>
      </c>
      <c r="C27" s="289">
        <v>14212</v>
      </c>
      <c r="D27" s="289">
        <v>280</v>
      </c>
      <c r="E27" s="289">
        <v>592</v>
      </c>
      <c r="F27" s="289">
        <v>1653</v>
      </c>
      <c r="G27" s="289">
        <v>1179</v>
      </c>
      <c r="H27" s="289">
        <v>8003</v>
      </c>
      <c r="I27" s="289">
        <v>1824</v>
      </c>
      <c r="J27" s="289">
        <v>457</v>
      </c>
      <c r="K27" s="289">
        <v>133</v>
      </c>
      <c r="L27" s="289">
        <v>123</v>
      </c>
      <c r="M27" s="289">
        <v>1050</v>
      </c>
      <c r="N27" s="290">
        <v>173</v>
      </c>
      <c r="O27" s="290">
        <v>108</v>
      </c>
      <c r="P27" s="624">
        <v>35764.68</v>
      </c>
      <c r="Q27" s="624">
        <v>23317.508999999998</v>
      </c>
      <c r="R27" s="624">
        <v>46</v>
      </c>
      <c r="S27" s="289">
        <v>0</v>
      </c>
      <c r="T27" s="289">
        <v>1217</v>
      </c>
      <c r="U27" s="716">
        <v>2.4286454855846282E-3</v>
      </c>
      <c r="V27" s="289">
        <v>-3490.1781899799998</v>
      </c>
      <c r="W27" s="743">
        <v>0.57619911999999995</v>
      </c>
      <c r="X27" s="289">
        <v>2238</v>
      </c>
      <c r="Y27" s="289">
        <v>784</v>
      </c>
      <c r="Z27" s="289">
        <v>378353</v>
      </c>
      <c r="AA27" s="289">
        <v>0</v>
      </c>
      <c r="AB27" s="290">
        <v>380</v>
      </c>
      <c r="AC27" s="289">
        <v>0</v>
      </c>
      <c r="AD27" s="289">
        <v>0</v>
      </c>
      <c r="AE27" s="289">
        <v>0</v>
      </c>
      <c r="AF27" s="289">
        <v>19639.563750000001</v>
      </c>
      <c r="AG27" s="289">
        <v>14121</v>
      </c>
      <c r="AH27" s="289">
        <v>1914</v>
      </c>
      <c r="AI27" s="289">
        <v>100</v>
      </c>
      <c r="AJ27" s="289">
        <v>0</v>
      </c>
      <c r="AK27" s="289">
        <v>59.436300000000003</v>
      </c>
      <c r="AL27" s="289"/>
      <c r="AM27" s="622">
        <v>0.46533403000000001</v>
      </c>
      <c r="AN27" s="289">
        <v>0</v>
      </c>
      <c r="AO27" s="289">
        <v>-672.13119456000004</v>
      </c>
      <c r="AP27" s="289">
        <v>0</v>
      </c>
      <c r="AQ27" s="289">
        <v>0</v>
      </c>
      <c r="AR27" s="289">
        <v>-1009.28712663</v>
      </c>
      <c r="AS27" s="289">
        <v>188.02879999999999</v>
      </c>
      <c r="AT27" s="289">
        <v>963</v>
      </c>
      <c r="AU27" s="289">
        <v>213</v>
      </c>
      <c r="AV27" s="625">
        <v>327210</v>
      </c>
      <c r="AW27" s="289">
        <v>-7.1706000000000003</v>
      </c>
      <c r="AX27" s="625">
        <v>104.66666667</v>
      </c>
      <c r="AY27" s="289">
        <v>2915</v>
      </c>
      <c r="AZ27" s="289">
        <v>447</v>
      </c>
      <c r="BA27" s="290">
        <v>395</v>
      </c>
      <c r="BB27" s="289">
        <v>0</v>
      </c>
      <c r="BC27" s="289">
        <v>2584</v>
      </c>
      <c r="BD27" s="289">
        <v>254.02070000000001</v>
      </c>
      <c r="BE27" s="289">
        <v>341623.43550690002</v>
      </c>
      <c r="BF27" s="289">
        <v>0</v>
      </c>
      <c r="BG27" s="289">
        <v>22</v>
      </c>
      <c r="BH27" s="289">
        <v>-115.04810000000001</v>
      </c>
      <c r="BI27" s="289">
        <v>22337.563750000001</v>
      </c>
      <c r="BJ27" s="289">
        <v>-14.495200000000001</v>
      </c>
      <c r="BK27" s="289">
        <v>0</v>
      </c>
      <c r="BL27" s="289">
        <v>0</v>
      </c>
      <c r="BM27" s="289">
        <v>2811</v>
      </c>
      <c r="BN27" s="289">
        <v>0</v>
      </c>
      <c r="BO27" s="517">
        <v>0</v>
      </c>
      <c r="BP27" s="517">
        <v>0</v>
      </c>
      <c r="BQ27" s="289">
        <f t="shared" si="0"/>
        <v>-14.4951697854</v>
      </c>
      <c r="BR27" s="289">
        <v>0</v>
      </c>
      <c r="BS27" s="289">
        <f t="shared" si="1"/>
        <v>0</v>
      </c>
      <c r="BT27" s="289">
        <v>34</v>
      </c>
      <c r="BU27" s="289">
        <v>0</v>
      </c>
      <c r="BV27" s="289">
        <v>133</v>
      </c>
      <c r="BW27" s="289">
        <v>0</v>
      </c>
      <c r="BX27" s="289">
        <v>297.69299999999998</v>
      </c>
      <c r="CC27" s="517"/>
      <c r="CD27" s="85"/>
      <c r="CE27" s="517"/>
    </row>
    <row r="28" spans="1:83" ht="13">
      <c r="A28" s="1">
        <v>716</v>
      </c>
      <c r="B28" s="4" t="s">
        <v>350</v>
      </c>
      <c r="C28" s="289">
        <v>9621</v>
      </c>
      <c r="D28" s="289">
        <v>203</v>
      </c>
      <c r="E28" s="289">
        <v>447</v>
      </c>
      <c r="F28" s="289">
        <v>1264</v>
      </c>
      <c r="G28" s="289">
        <v>877</v>
      </c>
      <c r="H28" s="289">
        <v>5496</v>
      </c>
      <c r="I28" s="289">
        <v>927</v>
      </c>
      <c r="J28" s="289">
        <v>267</v>
      </c>
      <c r="K28" s="289">
        <v>81</v>
      </c>
      <c r="L28" s="289">
        <v>71</v>
      </c>
      <c r="M28" s="289">
        <v>483</v>
      </c>
      <c r="N28" s="290">
        <v>147</v>
      </c>
      <c r="O28" s="290">
        <v>72</v>
      </c>
      <c r="P28" s="624">
        <v>38220.032666669998</v>
      </c>
      <c r="Q28" s="624">
        <v>29701.431</v>
      </c>
      <c r="R28" s="624">
        <v>45</v>
      </c>
      <c r="S28" s="289">
        <v>0</v>
      </c>
      <c r="T28" s="289">
        <v>670</v>
      </c>
      <c r="U28" s="716">
        <v>5.0096693938169005E-3</v>
      </c>
      <c r="V28" s="289">
        <v>-4178.3113360699999</v>
      </c>
      <c r="W28" s="743">
        <v>0.61708830999999997</v>
      </c>
      <c r="X28" s="289">
        <v>1931</v>
      </c>
      <c r="Y28" s="289">
        <v>0</v>
      </c>
      <c r="Z28" s="289">
        <v>249774</v>
      </c>
      <c r="AA28" s="289">
        <v>0</v>
      </c>
      <c r="AB28" s="290">
        <v>233</v>
      </c>
      <c r="AC28" s="289">
        <v>0</v>
      </c>
      <c r="AD28" s="289">
        <v>3529.44</v>
      </c>
      <c r="AE28" s="289">
        <v>0</v>
      </c>
      <c r="AF28" s="289">
        <v>5492.3327419799998</v>
      </c>
      <c r="AG28" s="289">
        <v>9562</v>
      </c>
      <c r="AH28" s="289">
        <v>1460</v>
      </c>
      <c r="AI28" s="289">
        <v>400</v>
      </c>
      <c r="AJ28" s="289">
        <v>700</v>
      </c>
      <c r="AK28" s="289">
        <v>43.633099999999999</v>
      </c>
      <c r="AL28" s="289"/>
      <c r="AM28" s="622">
        <v>0.29154018999999998</v>
      </c>
      <c r="AN28" s="289">
        <v>0</v>
      </c>
      <c r="AO28" s="289">
        <v>-469.01658649000001</v>
      </c>
      <c r="AP28" s="289">
        <v>0</v>
      </c>
      <c r="AQ28" s="289">
        <v>-1784.3836068799999</v>
      </c>
      <c r="AR28" s="289">
        <v>-683.43626547999997</v>
      </c>
      <c r="AS28" s="289">
        <v>118.1726</v>
      </c>
      <c r="AT28" s="289">
        <v>594</v>
      </c>
      <c r="AU28" s="289">
        <v>121</v>
      </c>
      <c r="AV28" s="625">
        <v>233017</v>
      </c>
      <c r="AW28" s="289">
        <v>-4.8555999999999999</v>
      </c>
      <c r="AX28" s="625">
        <v>76.708333330000002</v>
      </c>
      <c r="AY28" s="289">
        <v>1689</v>
      </c>
      <c r="AZ28" s="289">
        <v>365</v>
      </c>
      <c r="BA28" s="290">
        <v>197</v>
      </c>
      <c r="BB28" s="289">
        <v>0</v>
      </c>
      <c r="BC28" s="289">
        <v>8555.5344275200005</v>
      </c>
      <c r="BD28" s="289">
        <v>193.7671</v>
      </c>
      <c r="BE28" s="289">
        <v>238836.91423416001</v>
      </c>
      <c r="BF28" s="289">
        <v>0</v>
      </c>
      <c r="BG28" s="289">
        <v>0</v>
      </c>
      <c r="BH28" s="289">
        <v>-77.904499999999999</v>
      </c>
      <c r="BI28" s="289">
        <v>10481.772741979999</v>
      </c>
      <c r="BJ28" s="289">
        <v>162.38460000000001</v>
      </c>
      <c r="BK28" s="289">
        <v>417</v>
      </c>
      <c r="BL28" s="289">
        <v>0</v>
      </c>
      <c r="BM28" s="289">
        <v>1178</v>
      </c>
      <c r="BN28" s="289">
        <v>0</v>
      </c>
      <c r="BO28" s="517">
        <v>0</v>
      </c>
      <c r="BP28" s="517">
        <v>0</v>
      </c>
      <c r="BQ28" s="289">
        <f t="shared" si="0"/>
        <v>-9.8153681388000003</v>
      </c>
      <c r="BR28" s="289">
        <v>4118.5690000000004</v>
      </c>
      <c r="BS28" s="289">
        <f t="shared" si="1"/>
        <v>589.12900000000036</v>
      </c>
      <c r="BT28" s="289">
        <v>25</v>
      </c>
      <c r="BU28" s="289">
        <v>0</v>
      </c>
      <c r="BV28" s="289">
        <v>92</v>
      </c>
      <c r="BW28" s="289">
        <v>0</v>
      </c>
      <c r="BX28" s="289">
        <v>202.49199999999999</v>
      </c>
      <c r="CC28" s="517"/>
      <c r="CD28" s="85"/>
      <c r="CE28" s="517"/>
    </row>
    <row r="29" spans="1:83" ht="13">
      <c r="A29" s="1">
        <v>821</v>
      </c>
      <c r="B29" s="2" t="s">
        <v>913</v>
      </c>
      <c r="C29" s="289">
        <v>6460</v>
      </c>
      <c r="D29" s="289">
        <v>148</v>
      </c>
      <c r="E29" s="289">
        <v>283</v>
      </c>
      <c r="F29" s="289">
        <v>743</v>
      </c>
      <c r="G29" s="289">
        <v>591</v>
      </c>
      <c r="H29" s="289">
        <v>3462</v>
      </c>
      <c r="I29" s="289">
        <v>683</v>
      </c>
      <c r="J29" s="289">
        <v>244</v>
      </c>
      <c r="K29" s="289">
        <v>55</v>
      </c>
      <c r="L29" s="289">
        <v>46</v>
      </c>
      <c r="M29" s="289">
        <v>425</v>
      </c>
      <c r="N29" s="290">
        <v>154</v>
      </c>
      <c r="O29" s="290">
        <v>61</v>
      </c>
      <c r="P29" s="624">
        <v>17941.077000000001</v>
      </c>
      <c r="Q29" s="624">
        <v>11863.78966667</v>
      </c>
      <c r="R29" s="624">
        <v>25</v>
      </c>
      <c r="S29" s="289">
        <v>0</v>
      </c>
      <c r="T29" s="289">
        <v>417</v>
      </c>
      <c r="U29" s="716">
        <v>2.4975708353869581E-3</v>
      </c>
      <c r="V29" s="289">
        <v>2233.8330111</v>
      </c>
      <c r="W29" s="743">
        <v>0.58383143000000004</v>
      </c>
      <c r="X29" s="289">
        <v>3000</v>
      </c>
      <c r="Y29" s="289">
        <v>392</v>
      </c>
      <c r="Z29" s="289">
        <v>151699</v>
      </c>
      <c r="AA29" s="289">
        <v>0</v>
      </c>
      <c r="AB29" s="290">
        <v>144</v>
      </c>
      <c r="AC29" s="289">
        <v>0</v>
      </c>
      <c r="AD29" s="289">
        <v>3002.076</v>
      </c>
      <c r="AE29" s="289">
        <v>3538</v>
      </c>
      <c r="AF29" s="289">
        <v>0</v>
      </c>
      <c r="AG29" s="289">
        <v>6209</v>
      </c>
      <c r="AH29" s="289">
        <v>879</v>
      </c>
      <c r="AI29" s="289">
        <v>1800</v>
      </c>
      <c r="AJ29" s="289">
        <v>0</v>
      </c>
      <c r="AK29" s="289">
        <v>28.982500000000002</v>
      </c>
      <c r="AL29" s="289"/>
      <c r="AM29" s="622">
        <v>0.15447150000000001</v>
      </c>
      <c r="AN29" s="289">
        <v>0</v>
      </c>
      <c r="AO29" s="289">
        <v>-310.69904681999998</v>
      </c>
      <c r="AP29" s="289">
        <v>0</v>
      </c>
      <c r="AQ29" s="289">
        <v>0</v>
      </c>
      <c r="AR29" s="289">
        <v>-443.78328512000002</v>
      </c>
      <c r="AS29" s="289">
        <v>77.025700000000001</v>
      </c>
      <c r="AT29" s="289">
        <v>281</v>
      </c>
      <c r="AU29" s="289">
        <v>68</v>
      </c>
      <c r="AV29" s="625">
        <v>162572</v>
      </c>
      <c r="AW29" s="289">
        <v>-3.1528999999999998</v>
      </c>
      <c r="AX29" s="625">
        <v>51.625</v>
      </c>
      <c r="AY29" s="289">
        <v>1612</v>
      </c>
      <c r="AZ29" s="289">
        <v>317</v>
      </c>
      <c r="BA29" s="290">
        <v>175</v>
      </c>
      <c r="BB29" s="289">
        <v>0</v>
      </c>
      <c r="BC29" s="289">
        <v>1199</v>
      </c>
      <c r="BD29" s="289">
        <v>116.6584</v>
      </c>
      <c r="BE29" s="289">
        <v>170625.36993208001</v>
      </c>
      <c r="BF29" s="289">
        <v>0</v>
      </c>
      <c r="BG29" s="289">
        <v>11</v>
      </c>
      <c r="BH29" s="289">
        <v>-50.586599999999997</v>
      </c>
      <c r="BI29" s="289">
        <v>4273.076</v>
      </c>
      <c r="BJ29" s="289">
        <v>473.29289999999997</v>
      </c>
      <c r="BK29" s="289">
        <v>1161</v>
      </c>
      <c r="BL29" s="289">
        <v>0</v>
      </c>
      <c r="BM29" s="289">
        <v>2285</v>
      </c>
      <c r="BN29" s="289">
        <v>0</v>
      </c>
      <c r="BO29" s="517">
        <v>0</v>
      </c>
      <c r="BP29" s="517">
        <v>0</v>
      </c>
      <c r="BQ29" s="289">
        <f t="shared" si="0"/>
        <v>-6.3735223566000005</v>
      </c>
      <c r="BR29" s="289">
        <v>4643.1059999999998</v>
      </c>
      <c r="BS29" s="289">
        <f t="shared" si="1"/>
        <v>1641.0299999999997</v>
      </c>
      <c r="BT29" s="289">
        <v>17</v>
      </c>
      <c r="BU29" s="289">
        <v>0</v>
      </c>
      <c r="BV29" s="289">
        <v>61</v>
      </c>
      <c r="BW29" s="289">
        <v>192.31899999999999</v>
      </c>
      <c r="BX29" s="289">
        <v>133.423</v>
      </c>
      <c r="CC29" s="517"/>
      <c r="CD29" s="85"/>
      <c r="CE29" s="517"/>
    </row>
    <row r="30" spans="1:83" ht="13">
      <c r="A30" s="1">
        <v>822</v>
      </c>
      <c r="B30" s="2" t="s">
        <v>914</v>
      </c>
      <c r="C30" s="289">
        <v>4359</v>
      </c>
      <c r="D30" s="289">
        <v>82</v>
      </c>
      <c r="E30" s="289">
        <v>180</v>
      </c>
      <c r="F30" s="289">
        <v>488</v>
      </c>
      <c r="G30" s="289">
        <v>374</v>
      </c>
      <c r="H30" s="289">
        <v>2417</v>
      </c>
      <c r="I30" s="289">
        <v>556</v>
      </c>
      <c r="J30" s="289">
        <v>177</v>
      </c>
      <c r="K30" s="289">
        <v>41</v>
      </c>
      <c r="L30" s="289">
        <v>37</v>
      </c>
      <c r="M30" s="289">
        <v>344</v>
      </c>
      <c r="N30" s="290">
        <v>88</v>
      </c>
      <c r="O30" s="290">
        <v>62</v>
      </c>
      <c r="P30" s="624">
        <v>20573.810666670001</v>
      </c>
      <c r="Q30" s="624">
        <v>12016.726000000001</v>
      </c>
      <c r="R30" s="624">
        <v>14</v>
      </c>
      <c r="S30" s="289">
        <v>0</v>
      </c>
      <c r="T30" s="289">
        <v>318</v>
      </c>
      <c r="U30" s="716">
        <v>3.3868457720177447E-3</v>
      </c>
      <c r="V30" s="289">
        <v>-4688.0728775999996</v>
      </c>
      <c r="W30" s="743">
        <v>0.65867120000000001</v>
      </c>
      <c r="X30" s="289">
        <v>3000</v>
      </c>
      <c r="Y30" s="289">
        <v>392</v>
      </c>
      <c r="Z30" s="289">
        <v>106413</v>
      </c>
      <c r="AA30" s="289">
        <v>0</v>
      </c>
      <c r="AB30" s="290">
        <v>110</v>
      </c>
      <c r="AC30" s="289">
        <v>0</v>
      </c>
      <c r="AD30" s="289">
        <v>304.72199999999998</v>
      </c>
      <c r="AE30" s="289">
        <v>0</v>
      </c>
      <c r="AF30" s="289">
        <v>0</v>
      </c>
      <c r="AG30" s="289">
        <v>4315</v>
      </c>
      <c r="AH30" s="289">
        <v>581</v>
      </c>
      <c r="AI30" s="289">
        <v>0</v>
      </c>
      <c r="AJ30" s="289">
        <v>0</v>
      </c>
      <c r="AK30" s="289">
        <v>17.813500000000001</v>
      </c>
      <c r="AL30" s="289"/>
      <c r="AM30" s="622">
        <v>0.13595976000000001</v>
      </c>
      <c r="AN30" s="289">
        <v>3527</v>
      </c>
      <c r="AO30" s="289">
        <v>-219.10887381000001</v>
      </c>
      <c r="AP30" s="289">
        <v>0</v>
      </c>
      <c r="AQ30" s="289">
        <v>0</v>
      </c>
      <c r="AR30" s="289">
        <v>5211.1290637900001</v>
      </c>
      <c r="AS30" s="289">
        <v>56.0548</v>
      </c>
      <c r="AT30" s="289">
        <v>209</v>
      </c>
      <c r="AU30" s="289">
        <v>55</v>
      </c>
      <c r="AV30" s="625">
        <v>120108</v>
      </c>
      <c r="AW30" s="289">
        <v>686.05160000000001</v>
      </c>
      <c r="AX30" s="625">
        <v>27.5</v>
      </c>
      <c r="AY30" s="289">
        <v>894</v>
      </c>
      <c r="AZ30" s="289">
        <v>219</v>
      </c>
      <c r="BA30" s="290">
        <v>82</v>
      </c>
      <c r="BB30" s="289">
        <v>0</v>
      </c>
      <c r="BC30" s="289">
        <v>573</v>
      </c>
      <c r="BD30" s="289">
        <v>77.108699999999999</v>
      </c>
      <c r="BE30" s="289">
        <v>115887.29942525001</v>
      </c>
      <c r="BF30" s="289">
        <v>0</v>
      </c>
      <c r="BG30" s="289">
        <v>11</v>
      </c>
      <c r="BH30" s="289">
        <v>-35.1556</v>
      </c>
      <c r="BI30" s="289">
        <v>1277.722</v>
      </c>
      <c r="BJ30" s="289">
        <v>462.55200000000002</v>
      </c>
      <c r="BK30" s="289">
        <v>1131</v>
      </c>
      <c r="BL30" s="289">
        <v>0</v>
      </c>
      <c r="BM30" s="289">
        <v>1571</v>
      </c>
      <c r="BN30" s="289">
        <v>0</v>
      </c>
      <c r="BO30" s="517">
        <v>0</v>
      </c>
      <c r="BP30" s="289">
        <v>1742</v>
      </c>
      <c r="BQ30" s="289">
        <f t="shared" si="0"/>
        <v>-4.4293362809999994</v>
      </c>
      <c r="BR30" s="289">
        <v>1902.354</v>
      </c>
      <c r="BS30" s="289">
        <f t="shared" si="1"/>
        <v>1597.6320000000001</v>
      </c>
      <c r="BT30" s="289">
        <v>10</v>
      </c>
      <c r="BU30" s="289">
        <v>0</v>
      </c>
      <c r="BV30" s="289">
        <v>47</v>
      </c>
      <c r="BW30" s="289">
        <v>180.892</v>
      </c>
      <c r="BX30" s="289">
        <v>90.05</v>
      </c>
      <c r="CC30" s="517"/>
      <c r="CD30" s="85"/>
      <c r="CE30" s="517"/>
    </row>
    <row r="31" spans="1:83" ht="13">
      <c r="A31" s="1">
        <v>1001</v>
      </c>
      <c r="B31" s="2" t="s">
        <v>942</v>
      </c>
      <c r="C31" s="289">
        <v>91440</v>
      </c>
      <c r="D31" s="289">
        <v>2150</v>
      </c>
      <c r="E31" s="289">
        <v>4411</v>
      </c>
      <c r="F31" s="289">
        <v>11207</v>
      </c>
      <c r="G31" s="289">
        <v>8639</v>
      </c>
      <c r="H31" s="289">
        <v>51335</v>
      </c>
      <c r="I31" s="289">
        <v>8458</v>
      </c>
      <c r="J31" s="289">
        <v>2914</v>
      </c>
      <c r="K31" s="289">
        <v>653</v>
      </c>
      <c r="L31" s="289">
        <v>694</v>
      </c>
      <c r="M31" s="289">
        <v>5085</v>
      </c>
      <c r="N31" s="290">
        <v>4526</v>
      </c>
      <c r="O31" s="290">
        <v>907</v>
      </c>
      <c r="P31" s="624">
        <v>145459.13533332999</v>
      </c>
      <c r="Q31" s="624">
        <v>111812.23033332999</v>
      </c>
      <c r="R31" s="624">
        <v>332</v>
      </c>
      <c r="S31" s="289">
        <v>0</v>
      </c>
      <c r="T31" s="289">
        <v>7588</v>
      </c>
      <c r="U31" s="716">
        <v>1.3893040064130659E-3</v>
      </c>
      <c r="V31" s="289">
        <v>2842.2242385</v>
      </c>
      <c r="W31" s="743">
        <v>0.54090848999999996</v>
      </c>
      <c r="X31" s="289">
        <v>9180</v>
      </c>
      <c r="Y31" s="289">
        <v>1568</v>
      </c>
      <c r="Z31" s="289">
        <v>2526244</v>
      </c>
      <c r="AA31" s="289">
        <v>0</v>
      </c>
      <c r="AB31" s="290">
        <v>1943</v>
      </c>
      <c r="AC31" s="289">
        <v>0</v>
      </c>
      <c r="AD31" s="289">
        <v>5499.36</v>
      </c>
      <c r="AE31" s="289">
        <v>0</v>
      </c>
      <c r="AF31" s="289">
        <v>0</v>
      </c>
      <c r="AG31" s="289">
        <v>89767</v>
      </c>
      <c r="AH31" s="289">
        <v>13365</v>
      </c>
      <c r="AI31" s="289">
        <v>1203</v>
      </c>
      <c r="AJ31" s="289">
        <v>0</v>
      </c>
      <c r="AK31" s="289">
        <v>446.18419999999998</v>
      </c>
      <c r="AL31" s="289"/>
      <c r="AM31" s="622">
        <v>5.1892014399999997</v>
      </c>
      <c r="AN31" s="289">
        <v>0</v>
      </c>
      <c r="AO31" s="289">
        <v>-4326.6371622099996</v>
      </c>
      <c r="AP31" s="289">
        <v>32226</v>
      </c>
      <c r="AQ31" s="289">
        <v>0</v>
      </c>
      <c r="AR31" s="289">
        <v>-6416.0241835699999</v>
      </c>
      <c r="AS31" s="289">
        <v>1530.472</v>
      </c>
      <c r="AT31" s="289">
        <v>5357</v>
      </c>
      <c r="AU31" s="289">
        <v>1824</v>
      </c>
      <c r="AV31" s="625">
        <v>2031457</v>
      </c>
      <c r="AW31" s="289">
        <v>-45.583500000000001</v>
      </c>
      <c r="AX31" s="625">
        <v>738.41666663000001</v>
      </c>
      <c r="AY31" s="289">
        <v>24499</v>
      </c>
      <c r="AZ31" s="289">
        <v>4232</v>
      </c>
      <c r="BA31" s="290">
        <v>2318</v>
      </c>
      <c r="BB31" s="289">
        <v>0</v>
      </c>
      <c r="BC31" s="289">
        <v>14823</v>
      </c>
      <c r="BD31" s="289">
        <v>1773.7650000000001</v>
      </c>
      <c r="BE31" s="289">
        <v>2139896.5575454002</v>
      </c>
      <c r="BF31" s="289">
        <v>0</v>
      </c>
      <c r="BG31" s="289">
        <v>44</v>
      </c>
      <c r="BH31" s="289">
        <v>-731.35919999999999</v>
      </c>
      <c r="BI31" s="289">
        <v>20432.36</v>
      </c>
      <c r="BJ31" s="289">
        <v>-269.89859999999999</v>
      </c>
      <c r="BK31" s="289">
        <v>0</v>
      </c>
      <c r="BL31" s="289">
        <v>0</v>
      </c>
      <c r="BM31" s="289">
        <v>0</v>
      </c>
      <c r="BN31" s="289">
        <v>0</v>
      </c>
      <c r="BO31" s="517">
        <v>0</v>
      </c>
      <c r="BP31" s="517">
        <v>0</v>
      </c>
      <c r="BQ31" s="289">
        <f t="shared" si="0"/>
        <v>-92.145592105799992</v>
      </c>
      <c r="BR31" s="289">
        <v>5321.607</v>
      </c>
      <c r="BS31" s="289">
        <f t="shared" si="1"/>
        <v>-177.7529999999997</v>
      </c>
      <c r="BT31" s="289">
        <v>255</v>
      </c>
      <c r="BU31" s="289">
        <v>0</v>
      </c>
      <c r="BV31" s="289">
        <v>778</v>
      </c>
      <c r="BW31" s="289">
        <v>514.51099999999997</v>
      </c>
      <c r="BX31" s="289">
        <v>1897.3969999999999</v>
      </c>
      <c r="CC31" s="517"/>
      <c r="CD31" s="85"/>
      <c r="CE31" s="517"/>
    </row>
    <row r="32" spans="1:83" ht="13">
      <c r="A32" s="1">
        <v>1002</v>
      </c>
      <c r="B32" s="2" t="s">
        <v>943</v>
      </c>
      <c r="C32" s="289">
        <v>15659</v>
      </c>
      <c r="D32" s="289">
        <v>325</v>
      </c>
      <c r="E32" s="289">
        <v>726</v>
      </c>
      <c r="F32" s="289">
        <v>2089</v>
      </c>
      <c r="G32" s="289">
        <v>1502</v>
      </c>
      <c r="H32" s="289">
        <v>8551</v>
      </c>
      <c r="I32" s="289">
        <v>1746</v>
      </c>
      <c r="J32" s="289">
        <v>562</v>
      </c>
      <c r="K32" s="289">
        <v>156</v>
      </c>
      <c r="L32" s="289">
        <v>121</v>
      </c>
      <c r="M32" s="289">
        <v>1042</v>
      </c>
      <c r="N32" s="290">
        <v>309</v>
      </c>
      <c r="O32" s="290">
        <v>174</v>
      </c>
      <c r="P32" s="624">
        <v>52749.686000000002</v>
      </c>
      <c r="Q32" s="624">
        <v>30646.63166667</v>
      </c>
      <c r="R32" s="624">
        <v>65</v>
      </c>
      <c r="S32" s="289">
        <v>0</v>
      </c>
      <c r="T32" s="289">
        <v>1276</v>
      </c>
      <c r="U32" s="716">
        <v>2.3186928064730297E-3</v>
      </c>
      <c r="V32" s="289">
        <v>509.45076108000001</v>
      </c>
      <c r="W32" s="743">
        <v>0.56563898999999995</v>
      </c>
      <c r="X32" s="289">
        <v>2300</v>
      </c>
      <c r="Y32" s="289">
        <v>392</v>
      </c>
      <c r="Z32" s="289">
        <v>398288</v>
      </c>
      <c r="AA32" s="289">
        <v>0</v>
      </c>
      <c r="AB32" s="290">
        <v>526</v>
      </c>
      <c r="AC32" s="289">
        <v>0</v>
      </c>
      <c r="AD32" s="289">
        <v>5110.5060000000003</v>
      </c>
      <c r="AE32" s="289">
        <v>0</v>
      </c>
      <c r="AF32" s="289">
        <v>0</v>
      </c>
      <c r="AG32" s="289">
        <v>15657</v>
      </c>
      <c r="AH32" s="289">
        <v>2404</v>
      </c>
      <c r="AI32" s="289">
        <v>956</v>
      </c>
      <c r="AJ32" s="289">
        <v>0</v>
      </c>
      <c r="AK32" s="289">
        <v>70.007499999999993</v>
      </c>
      <c r="AL32" s="289"/>
      <c r="AM32" s="622">
        <v>0.53321521000000005</v>
      </c>
      <c r="AN32" s="289">
        <v>0</v>
      </c>
      <c r="AO32" s="289">
        <v>-786.88270347000002</v>
      </c>
      <c r="AP32" s="289">
        <v>0</v>
      </c>
      <c r="AQ32" s="289">
        <v>0</v>
      </c>
      <c r="AR32" s="289">
        <v>-1119.07149222</v>
      </c>
      <c r="AS32" s="289">
        <v>222.66839999999999</v>
      </c>
      <c r="AT32" s="289">
        <v>993</v>
      </c>
      <c r="AU32" s="289">
        <v>223</v>
      </c>
      <c r="AV32" s="625">
        <v>390228</v>
      </c>
      <c r="AW32" s="289">
        <v>-7.9505999999999997</v>
      </c>
      <c r="AX32" s="625">
        <v>88.875</v>
      </c>
      <c r="AY32" s="289">
        <v>3401</v>
      </c>
      <c r="AZ32" s="289">
        <v>586</v>
      </c>
      <c r="BA32" s="290">
        <v>366</v>
      </c>
      <c r="BB32" s="289">
        <v>0</v>
      </c>
      <c r="BC32" s="289">
        <v>3455</v>
      </c>
      <c r="BD32" s="289">
        <v>319.0521</v>
      </c>
      <c r="BE32" s="289">
        <v>409005.38936192001</v>
      </c>
      <c r="BF32" s="289">
        <v>0</v>
      </c>
      <c r="BG32" s="289">
        <v>11</v>
      </c>
      <c r="BH32" s="289">
        <v>-127.5624</v>
      </c>
      <c r="BI32" s="289">
        <v>7906.5060000000003</v>
      </c>
      <c r="BJ32" s="289">
        <v>-195.5359</v>
      </c>
      <c r="BK32" s="289">
        <v>0</v>
      </c>
      <c r="BL32" s="289">
        <v>0</v>
      </c>
      <c r="BM32" s="289">
        <v>3186</v>
      </c>
      <c r="BN32" s="289">
        <v>0</v>
      </c>
      <c r="BO32" s="517">
        <v>0</v>
      </c>
      <c r="BP32" s="517">
        <v>0</v>
      </c>
      <c r="BQ32" s="289">
        <f t="shared" si="0"/>
        <v>-16.071869791800001</v>
      </c>
      <c r="BR32" s="289">
        <v>4931.0420000000004</v>
      </c>
      <c r="BS32" s="289">
        <f t="shared" si="1"/>
        <v>-179.46399999999994</v>
      </c>
      <c r="BT32" s="289">
        <v>40</v>
      </c>
      <c r="BU32" s="289">
        <v>0</v>
      </c>
      <c r="BV32" s="289">
        <v>148</v>
      </c>
      <c r="BW32" s="289">
        <v>0</v>
      </c>
      <c r="BX32" s="289">
        <v>324.59399999999999</v>
      </c>
      <c r="CC32" s="517"/>
      <c r="CD32" s="85"/>
      <c r="CE32" s="517"/>
    </row>
    <row r="33" spans="1:83" ht="13">
      <c r="A33" s="1">
        <v>1017</v>
      </c>
      <c r="B33" s="2" t="s">
        <v>948</v>
      </c>
      <c r="C33" s="289">
        <v>6656</v>
      </c>
      <c r="D33" s="289">
        <v>182</v>
      </c>
      <c r="E33" s="289">
        <v>360</v>
      </c>
      <c r="F33" s="289">
        <v>922</v>
      </c>
      <c r="G33" s="289">
        <v>632</v>
      </c>
      <c r="H33" s="289">
        <v>3689</v>
      </c>
      <c r="I33" s="289">
        <v>602</v>
      </c>
      <c r="J33" s="289">
        <v>172</v>
      </c>
      <c r="K33" s="289">
        <v>36</v>
      </c>
      <c r="L33" s="289">
        <v>52</v>
      </c>
      <c r="M33" s="289">
        <v>324</v>
      </c>
      <c r="N33" s="290">
        <v>271</v>
      </c>
      <c r="O33" s="290">
        <v>105</v>
      </c>
      <c r="P33" s="624">
        <v>45924.88933333</v>
      </c>
      <c r="Q33" s="624">
        <v>13536.29766667</v>
      </c>
      <c r="R33" s="624">
        <v>26</v>
      </c>
      <c r="S33" s="289">
        <v>0</v>
      </c>
      <c r="T33" s="289">
        <v>450</v>
      </c>
      <c r="U33" s="716">
        <v>1.3292283762162717E-3</v>
      </c>
      <c r="V33" s="289">
        <v>-5967.8548529899999</v>
      </c>
      <c r="W33" s="743">
        <v>0.62045596000000003</v>
      </c>
      <c r="X33" s="289">
        <v>1620</v>
      </c>
      <c r="Y33" s="289">
        <v>299</v>
      </c>
      <c r="Z33" s="289">
        <v>137623</v>
      </c>
      <c r="AA33" s="289">
        <v>0</v>
      </c>
      <c r="AB33" s="290">
        <v>250</v>
      </c>
      <c r="AC33" s="289">
        <v>0</v>
      </c>
      <c r="AD33" s="289">
        <v>4226.0940000000001</v>
      </c>
      <c r="AE33" s="289">
        <v>0</v>
      </c>
      <c r="AF33" s="289">
        <v>0</v>
      </c>
      <c r="AG33" s="289">
        <v>6595</v>
      </c>
      <c r="AH33" s="289">
        <v>1088</v>
      </c>
      <c r="AI33" s="289">
        <v>71</v>
      </c>
      <c r="AJ33" s="289">
        <v>0</v>
      </c>
      <c r="AK33" s="289">
        <v>33.599299999999999</v>
      </c>
      <c r="AL33" s="289"/>
      <c r="AM33" s="622">
        <v>0.37329888</v>
      </c>
      <c r="AN33" s="289">
        <v>0</v>
      </c>
      <c r="AO33" s="289">
        <v>-339.45019485</v>
      </c>
      <c r="AP33" s="289">
        <v>0</v>
      </c>
      <c r="AQ33" s="289">
        <v>0</v>
      </c>
      <c r="AR33" s="289">
        <v>-471.37232491999998</v>
      </c>
      <c r="AS33" s="289">
        <v>110.5346</v>
      </c>
      <c r="AT33" s="289">
        <v>400</v>
      </c>
      <c r="AU33" s="289">
        <v>127</v>
      </c>
      <c r="AV33" s="625">
        <v>166065</v>
      </c>
      <c r="AW33" s="289">
        <v>-3.3489</v>
      </c>
      <c r="AX33" s="625">
        <v>50.083333330000002</v>
      </c>
      <c r="AY33" s="289">
        <v>988</v>
      </c>
      <c r="AZ33" s="289">
        <v>317</v>
      </c>
      <c r="BA33" s="290">
        <v>207</v>
      </c>
      <c r="BB33" s="289">
        <v>0</v>
      </c>
      <c r="BC33" s="289">
        <v>1304</v>
      </c>
      <c r="BD33" s="289">
        <v>144.3963</v>
      </c>
      <c r="BE33" s="289">
        <v>175916.97044844</v>
      </c>
      <c r="BF33" s="289">
        <v>0</v>
      </c>
      <c r="BG33" s="289">
        <v>11</v>
      </c>
      <c r="BH33" s="289">
        <v>-53.731499999999997</v>
      </c>
      <c r="BI33" s="289">
        <v>5613.0940000000001</v>
      </c>
      <c r="BJ33" s="289">
        <v>-168.08969999999999</v>
      </c>
      <c r="BK33" s="289">
        <v>0</v>
      </c>
      <c r="BL33" s="289">
        <v>0</v>
      </c>
      <c r="BM33" s="289">
        <v>0</v>
      </c>
      <c r="BN33" s="289">
        <v>0</v>
      </c>
      <c r="BO33" s="517">
        <v>0</v>
      </c>
      <c r="BP33" s="517">
        <v>0</v>
      </c>
      <c r="BQ33" s="289">
        <f t="shared" si="0"/>
        <v>-6.7697503530000001</v>
      </c>
      <c r="BR33" s="289">
        <v>4064.7739999999999</v>
      </c>
      <c r="BS33" s="289">
        <f t="shared" si="1"/>
        <v>-161.32000000000016</v>
      </c>
      <c r="BT33" s="289">
        <v>19</v>
      </c>
      <c r="BU33" s="289">
        <v>0</v>
      </c>
      <c r="BV33" s="289">
        <v>65</v>
      </c>
      <c r="BW33" s="289">
        <v>157.18299999999999</v>
      </c>
      <c r="BX33" s="289">
        <v>139.447</v>
      </c>
      <c r="CC33" s="517"/>
      <c r="CD33" s="85"/>
      <c r="CE33" s="517"/>
    </row>
    <row r="34" spans="1:83" ht="13">
      <c r="A34" s="1">
        <v>1018</v>
      </c>
      <c r="B34" s="2" t="s">
        <v>949</v>
      </c>
      <c r="C34" s="289">
        <v>11342</v>
      </c>
      <c r="D34" s="289">
        <v>258</v>
      </c>
      <c r="E34" s="289">
        <v>551</v>
      </c>
      <c r="F34" s="289">
        <v>1542</v>
      </c>
      <c r="G34" s="289">
        <v>1149</v>
      </c>
      <c r="H34" s="289">
        <v>6308</v>
      </c>
      <c r="I34" s="289">
        <v>1144</v>
      </c>
      <c r="J34" s="289">
        <v>327</v>
      </c>
      <c r="K34" s="289">
        <v>50</v>
      </c>
      <c r="L34" s="289">
        <v>86</v>
      </c>
      <c r="M34" s="289">
        <v>553</v>
      </c>
      <c r="N34" s="290">
        <v>216</v>
      </c>
      <c r="O34" s="290">
        <v>92</v>
      </c>
      <c r="P34" s="624">
        <v>31982.018333330001</v>
      </c>
      <c r="Q34" s="624">
        <v>18886.07666667</v>
      </c>
      <c r="R34" s="624">
        <v>49</v>
      </c>
      <c r="S34" s="289">
        <v>0</v>
      </c>
      <c r="T34" s="289">
        <v>750</v>
      </c>
      <c r="U34" s="716">
        <v>1.3268729967945191E-3</v>
      </c>
      <c r="V34" s="289">
        <v>-14435.47607793</v>
      </c>
      <c r="W34" s="743">
        <v>0.56502521000000006</v>
      </c>
      <c r="X34" s="289">
        <v>2190</v>
      </c>
      <c r="Y34" s="289">
        <v>392</v>
      </c>
      <c r="Z34" s="289">
        <v>304309</v>
      </c>
      <c r="AA34" s="289">
        <v>0</v>
      </c>
      <c r="AB34" s="290">
        <v>309</v>
      </c>
      <c r="AC34" s="289">
        <v>0</v>
      </c>
      <c r="AD34" s="289">
        <v>5119.74</v>
      </c>
      <c r="AE34" s="289">
        <v>0</v>
      </c>
      <c r="AF34" s="289">
        <v>0</v>
      </c>
      <c r="AG34" s="289">
        <v>11329</v>
      </c>
      <c r="AH34" s="289">
        <v>1832</v>
      </c>
      <c r="AI34" s="289">
        <v>83</v>
      </c>
      <c r="AJ34" s="289">
        <v>0</v>
      </c>
      <c r="AK34" s="289">
        <v>53.185099999999998</v>
      </c>
      <c r="AL34" s="289"/>
      <c r="AM34" s="622">
        <v>0.46541301000000002</v>
      </c>
      <c r="AN34" s="289">
        <v>0</v>
      </c>
      <c r="AO34" s="289">
        <v>-546.02052820999995</v>
      </c>
      <c r="AP34" s="289">
        <v>0</v>
      </c>
      <c r="AQ34" s="289">
        <v>0</v>
      </c>
      <c r="AR34" s="289">
        <v>-809.73117043000002</v>
      </c>
      <c r="AS34" s="289">
        <v>149.77090000000001</v>
      </c>
      <c r="AT34" s="289">
        <v>719</v>
      </c>
      <c r="AU34" s="289">
        <v>198</v>
      </c>
      <c r="AV34" s="625">
        <v>245538</v>
      </c>
      <c r="AW34" s="289">
        <v>-5.7527999999999997</v>
      </c>
      <c r="AX34" s="625">
        <v>72.875</v>
      </c>
      <c r="AY34" s="289">
        <v>2445</v>
      </c>
      <c r="AZ34" s="289">
        <v>419</v>
      </c>
      <c r="BA34" s="290">
        <v>311</v>
      </c>
      <c r="BB34" s="289">
        <v>0</v>
      </c>
      <c r="BC34" s="289">
        <v>2184</v>
      </c>
      <c r="BD34" s="289">
        <v>243.1379</v>
      </c>
      <c r="BE34" s="289">
        <v>256978.70969317999</v>
      </c>
      <c r="BF34" s="289">
        <v>0</v>
      </c>
      <c r="BG34" s="289">
        <v>11</v>
      </c>
      <c r="BH34" s="289">
        <v>-92.300799999999995</v>
      </c>
      <c r="BI34" s="289">
        <v>7343.74</v>
      </c>
      <c r="BJ34" s="289">
        <v>-190.6302</v>
      </c>
      <c r="BK34" s="289">
        <v>0</v>
      </c>
      <c r="BL34" s="289">
        <v>0</v>
      </c>
      <c r="BM34" s="289">
        <v>0</v>
      </c>
      <c r="BN34" s="289">
        <v>0</v>
      </c>
      <c r="BO34" s="517">
        <v>0</v>
      </c>
      <c r="BP34" s="517">
        <v>0</v>
      </c>
      <c r="BQ34" s="289">
        <f t="shared" si="0"/>
        <v>-11.6291890446</v>
      </c>
      <c r="BR34" s="289">
        <v>4940.7389999999996</v>
      </c>
      <c r="BS34" s="289">
        <f t="shared" si="1"/>
        <v>-179.0010000000002</v>
      </c>
      <c r="BT34" s="289">
        <v>30</v>
      </c>
      <c r="BU34" s="289">
        <v>0</v>
      </c>
      <c r="BV34" s="289">
        <v>105</v>
      </c>
      <c r="BW34" s="289">
        <v>195.95400000000001</v>
      </c>
      <c r="BX34" s="289">
        <v>237.328</v>
      </c>
      <c r="CC34" s="517"/>
      <c r="CD34" s="85"/>
      <c r="CE34" s="517"/>
    </row>
    <row r="35" spans="1:83" ht="13">
      <c r="A35" s="1">
        <v>1021</v>
      </c>
      <c r="B35" s="2" t="s">
        <v>950</v>
      </c>
      <c r="C35" s="289">
        <v>2308</v>
      </c>
      <c r="D35" s="289">
        <v>51</v>
      </c>
      <c r="E35" s="289">
        <v>105</v>
      </c>
      <c r="F35" s="289">
        <v>321</v>
      </c>
      <c r="G35" s="289">
        <v>230</v>
      </c>
      <c r="H35" s="289">
        <v>1280</v>
      </c>
      <c r="I35" s="289">
        <v>231</v>
      </c>
      <c r="J35" s="289">
        <v>86</v>
      </c>
      <c r="K35" s="289">
        <v>18</v>
      </c>
      <c r="L35" s="289">
        <v>19</v>
      </c>
      <c r="M35" s="289">
        <v>124</v>
      </c>
      <c r="N35" s="290">
        <v>34</v>
      </c>
      <c r="O35" s="290">
        <v>23</v>
      </c>
      <c r="P35" s="624">
        <v>26046.203666670001</v>
      </c>
      <c r="Q35" s="624">
        <v>10553.72033333</v>
      </c>
      <c r="R35" s="624">
        <v>17</v>
      </c>
      <c r="S35" s="289">
        <v>0</v>
      </c>
      <c r="T35" s="289">
        <v>162</v>
      </c>
      <c r="U35" s="716">
        <v>1.8887116037736916E-3</v>
      </c>
      <c r="V35" s="289">
        <v>800.73606370000005</v>
      </c>
      <c r="W35" s="743">
        <v>0.79216107999999996</v>
      </c>
      <c r="X35" s="289">
        <v>270</v>
      </c>
      <c r="Y35" s="289">
        <v>315</v>
      </c>
      <c r="Z35" s="289">
        <v>54166</v>
      </c>
      <c r="AA35" s="289">
        <v>0</v>
      </c>
      <c r="AB35" s="290">
        <v>85</v>
      </c>
      <c r="AC35" s="289">
        <v>0</v>
      </c>
      <c r="AD35" s="289">
        <v>163.13399999999999</v>
      </c>
      <c r="AE35" s="289">
        <v>0</v>
      </c>
      <c r="AF35" s="289">
        <v>0</v>
      </c>
      <c r="AG35" s="289">
        <v>2322</v>
      </c>
      <c r="AH35" s="289">
        <v>364</v>
      </c>
      <c r="AI35" s="289">
        <v>260</v>
      </c>
      <c r="AJ35" s="289">
        <v>0</v>
      </c>
      <c r="AK35" s="289">
        <v>10.166499999999999</v>
      </c>
      <c r="AL35" s="289"/>
      <c r="AM35" s="622">
        <v>6.8468780000000007E-2</v>
      </c>
      <c r="AN35" s="289">
        <v>0</v>
      </c>
      <c r="AO35" s="289">
        <v>-135.24013955999999</v>
      </c>
      <c r="AP35" s="289">
        <v>0</v>
      </c>
      <c r="AQ35" s="289">
        <v>0</v>
      </c>
      <c r="AR35" s="289">
        <v>3917.9788570699998</v>
      </c>
      <c r="AS35" s="289">
        <v>30.746400000000001</v>
      </c>
      <c r="AT35" s="289">
        <v>130</v>
      </c>
      <c r="AU35" s="289">
        <v>27</v>
      </c>
      <c r="AV35" s="625">
        <v>87827</v>
      </c>
      <c r="AW35" s="289">
        <v>191.8254</v>
      </c>
      <c r="AX35" s="625">
        <v>19</v>
      </c>
      <c r="AY35" s="289">
        <v>329</v>
      </c>
      <c r="AZ35" s="289">
        <v>104</v>
      </c>
      <c r="BA35" s="290">
        <v>57</v>
      </c>
      <c r="BB35" s="289">
        <v>4435</v>
      </c>
      <c r="BC35" s="289">
        <v>646</v>
      </c>
      <c r="BD35" s="289">
        <v>48.309100000000001</v>
      </c>
      <c r="BE35" s="289">
        <v>84480.62908739</v>
      </c>
      <c r="BF35" s="289">
        <v>0</v>
      </c>
      <c r="BG35" s="289">
        <v>11</v>
      </c>
      <c r="BH35" s="289">
        <v>-18.917999999999999</v>
      </c>
      <c r="BI35" s="289">
        <v>842.13400000000001</v>
      </c>
      <c r="BJ35" s="289">
        <v>62.510599999999997</v>
      </c>
      <c r="BK35" s="289">
        <v>157</v>
      </c>
      <c r="BL35" s="289">
        <v>0</v>
      </c>
      <c r="BM35" s="289">
        <v>472</v>
      </c>
      <c r="BN35" s="289">
        <v>0</v>
      </c>
      <c r="BO35" s="517">
        <v>0</v>
      </c>
      <c r="BP35" s="289">
        <v>922</v>
      </c>
      <c r="BQ35" s="289">
        <f t="shared" si="0"/>
        <v>-2.3835269628</v>
      </c>
      <c r="BR35" s="289">
        <v>385.149</v>
      </c>
      <c r="BS35" s="289">
        <f t="shared" si="1"/>
        <v>222.01500000000001</v>
      </c>
      <c r="BT35" s="289">
        <v>6</v>
      </c>
      <c r="BU35" s="289">
        <v>0</v>
      </c>
      <c r="BV35" s="289">
        <v>30</v>
      </c>
      <c r="BW35" s="289">
        <v>135.17699999999999</v>
      </c>
      <c r="BX35" s="289">
        <v>47.631999999999998</v>
      </c>
      <c r="CC35" s="517"/>
      <c r="CD35" s="85"/>
      <c r="CE35" s="517"/>
    </row>
    <row r="36" spans="1:83" ht="13">
      <c r="A36" s="1">
        <v>1027</v>
      </c>
      <c r="B36" s="2" t="s">
        <v>952</v>
      </c>
      <c r="C36" s="289">
        <v>1786</v>
      </c>
      <c r="D36" s="289">
        <v>39</v>
      </c>
      <c r="E36" s="289">
        <v>95</v>
      </c>
      <c r="F36" s="289">
        <v>246</v>
      </c>
      <c r="G36" s="289">
        <v>186</v>
      </c>
      <c r="H36" s="289">
        <v>941</v>
      </c>
      <c r="I36" s="289">
        <v>183</v>
      </c>
      <c r="J36" s="289">
        <v>63</v>
      </c>
      <c r="K36" s="289">
        <v>19</v>
      </c>
      <c r="L36" s="289">
        <v>12</v>
      </c>
      <c r="M36" s="289">
        <v>99</v>
      </c>
      <c r="N36" s="290">
        <v>0</v>
      </c>
      <c r="O36" s="290">
        <v>21</v>
      </c>
      <c r="P36" s="624">
        <v>17241.72533333</v>
      </c>
      <c r="Q36" s="624">
        <v>10087.892333330001</v>
      </c>
      <c r="R36" s="624">
        <v>6</v>
      </c>
      <c r="S36" s="289">
        <v>0</v>
      </c>
      <c r="T36" s="289">
        <v>102</v>
      </c>
      <c r="U36" s="716">
        <v>1.2313338377187213E-3</v>
      </c>
      <c r="V36" s="289">
        <v>731.77412659000004</v>
      </c>
      <c r="W36" s="743">
        <v>0.85689364000000001</v>
      </c>
      <c r="X36" s="289">
        <v>1400</v>
      </c>
      <c r="Y36" s="289">
        <v>361</v>
      </c>
      <c r="Z36" s="289">
        <v>40485</v>
      </c>
      <c r="AA36" s="289">
        <v>0</v>
      </c>
      <c r="AB36" s="290">
        <v>39</v>
      </c>
      <c r="AC36" s="289">
        <v>0</v>
      </c>
      <c r="AD36" s="289">
        <v>124.146</v>
      </c>
      <c r="AE36" s="289">
        <v>0</v>
      </c>
      <c r="AF36" s="289">
        <v>0</v>
      </c>
      <c r="AG36" s="289">
        <v>1772</v>
      </c>
      <c r="AH36" s="289">
        <v>299</v>
      </c>
      <c r="AI36" s="289">
        <v>46</v>
      </c>
      <c r="AJ36" s="289">
        <v>0</v>
      </c>
      <c r="AK36" s="289">
        <v>8.3604000000000003</v>
      </c>
      <c r="AL36" s="289"/>
      <c r="AM36" s="622">
        <v>1.368633E-2</v>
      </c>
      <c r="AN36" s="289">
        <v>0</v>
      </c>
      <c r="AO36" s="289">
        <v>-101.78089521</v>
      </c>
      <c r="AP36" s="289">
        <v>0</v>
      </c>
      <c r="AQ36" s="289">
        <v>0</v>
      </c>
      <c r="AR36" s="289">
        <v>7789.2648980499998</v>
      </c>
      <c r="AS36" s="289">
        <v>15.7446</v>
      </c>
      <c r="AT36" s="289">
        <v>66</v>
      </c>
      <c r="AU36" s="289">
        <v>17</v>
      </c>
      <c r="AV36" s="625">
        <v>71618</v>
      </c>
      <c r="AW36" s="289">
        <v>292.52569999999997</v>
      </c>
      <c r="AX36" s="625">
        <v>4.1666666699999997</v>
      </c>
      <c r="AY36" s="289">
        <v>293</v>
      </c>
      <c r="AZ36" s="289">
        <v>38</v>
      </c>
      <c r="BA36" s="290">
        <v>23</v>
      </c>
      <c r="BB36" s="289">
        <v>2772</v>
      </c>
      <c r="BC36" s="289">
        <v>631</v>
      </c>
      <c r="BD36" s="289">
        <v>39.682400000000001</v>
      </c>
      <c r="BE36" s="289">
        <v>64142.73817266</v>
      </c>
      <c r="BF36" s="289">
        <v>0</v>
      </c>
      <c r="BG36" s="289">
        <v>11</v>
      </c>
      <c r="BH36" s="289">
        <v>-14.436999999999999</v>
      </c>
      <c r="BI36" s="289">
        <v>784.14599999999996</v>
      </c>
      <c r="BJ36" s="289">
        <v>153.36359999999999</v>
      </c>
      <c r="BK36" s="289">
        <v>376</v>
      </c>
      <c r="BL36" s="289">
        <v>0</v>
      </c>
      <c r="BM36" s="289">
        <v>655</v>
      </c>
      <c r="BN36" s="289">
        <v>0</v>
      </c>
      <c r="BO36" s="517">
        <v>0</v>
      </c>
      <c r="BP36" s="289">
        <v>714.8</v>
      </c>
      <c r="BQ36" s="289">
        <f t="shared" si="0"/>
        <v>-1.8189533928000001</v>
      </c>
      <c r="BR36" s="289">
        <v>655.05499999999995</v>
      </c>
      <c r="BS36" s="289">
        <f t="shared" si="1"/>
        <v>530.90899999999999</v>
      </c>
      <c r="BT36" s="289">
        <v>5</v>
      </c>
      <c r="BU36" s="289">
        <v>0</v>
      </c>
      <c r="BV36" s="289">
        <v>25</v>
      </c>
      <c r="BW36" s="289">
        <v>149.84800000000001</v>
      </c>
      <c r="BX36" s="289">
        <v>37.183</v>
      </c>
      <c r="CC36" s="517"/>
      <c r="CD36" s="85"/>
      <c r="CE36" s="517"/>
    </row>
    <row r="37" spans="1:83" ht="13">
      <c r="A37" s="1">
        <v>1029</v>
      </c>
      <c r="B37" s="2" t="s">
        <v>953</v>
      </c>
      <c r="C37" s="289">
        <v>4938</v>
      </c>
      <c r="D37" s="289">
        <v>119</v>
      </c>
      <c r="E37" s="289">
        <v>271</v>
      </c>
      <c r="F37" s="289">
        <v>650</v>
      </c>
      <c r="G37" s="289">
        <v>435</v>
      </c>
      <c r="H37" s="289">
        <v>2677</v>
      </c>
      <c r="I37" s="289">
        <v>610</v>
      </c>
      <c r="J37" s="289">
        <v>169</v>
      </c>
      <c r="K37" s="289">
        <v>42</v>
      </c>
      <c r="L37" s="289">
        <v>41</v>
      </c>
      <c r="M37" s="289">
        <v>339</v>
      </c>
      <c r="N37" s="290">
        <v>104</v>
      </c>
      <c r="O37" s="290">
        <v>48</v>
      </c>
      <c r="P37" s="624">
        <v>35526.843999999997</v>
      </c>
      <c r="Q37" s="624">
        <v>12925.68333333</v>
      </c>
      <c r="R37" s="624">
        <v>27</v>
      </c>
      <c r="S37" s="289">
        <v>0</v>
      </c>
      <c r="T37" s="289">
        <v>351</v>
      </c>
      <c r="U37" s="716">
        <v>2.365663224819538E-3</v>
      </c>
      <c r="V37" s="289">
        <v>-984.34154521999994</v>
      </c>
      <c r="W37" s="743">
        <v>0.70251885000000003</v>
      </c>
      <c r="X37" s="289">
        <v>1100</v>
      </c>
      <c r="Y37" s="289">
        <v>392</v>
      </c>
      <c r="Z37" s="289">
        <v>113860</v>
      </c>
      <c r="AA37" s="289">
        <v>0</v>
      </c>
      <c r="AB37" s="290">
        <v>164</v>
      </c>
      <c r="AC37" s="289">
        <v>0</v>
      </c>
      <c r="AD37" s="289">
        <v>351.91800000000001</v>
      </c>
      <c r="AE37" s="289">
        <v>0</v>
      </c>
      <c r="AF37" s="289">
        <v>0</v>
      </c>
      <c r="AG37" s="289">
        <v>4973</v>
      </c>
      <c r="AH37" s="289">
        <v>767</v>
      </c>
      <c r="AI37" s="289">
        <v>507</v>
      </c>
      <c r="AJ37" s="289">
        <v>0</v>
      </c>
      <c r="AK37" s="289">
        <v>25.828900000000001</v>
      </c>
      <c r="AL37" s="289"/>
      <c r="AM37" s="622">
        <v>0.14500488</v>
      </c>
      <c r="AN37" s="289">
        <v>0</v>
      </c>
      <c r="AO37" s="289">
        <v>-268.83714071000003</v>
      </c>
      <c r="AP37" s="289">
        <v>0</v>
      </c>
      <c r="AQ37" s="289">
        <v>0</v>
      </c>
      <c r="AR37" s="289">
        <v>-355.44117843999999</v>
      </c>
      <c r="AS37" s="289">
        <v>66.0595</v>
      </c>
      <c r="AT37" s="289">
        <v>262</v>
      </c>
      <c r="AU37" s="289">
        <v>71</v>
      </c>
      <c r="AV37" s="625">
        <v>142563</v>
      </c>
      <c r="AW37" s="289">
        <v>-2.5253000000000001</v>
      </c>
      <c r="AX37" s="625">
        <v>45.25</v>
      </c>
      <c r="AY37" s="289">
        <v>770</v>
      </c>
      <c r="AZ37" s="289">
        <v>191</v>
      </c>
      <c r="BA37" s="290">
        <v>107</v>
      </c>
      <c r="BB37" s="289">
        <v>0</v>
      </c>
      <c r="BC37" s="289">
        <v>1131</v>
      </c>
      <c r="BD37" s="289">
        <v>101.7941</v>
      </c>
      <c r="BE37" s="289">
        <v>147570.62812194999</v>
      </c>
      <c r="BF37" s="289">
        <v>0</v>
      </c>
      <c r="BG37" s="289">
        <v>11</v>
      </c>
      <c r="BH37" s="289">
        <v>-40.516599999999997</v>
      </c>
      <c r="BI37" s="289">
        <v>1510.9179999999999</v>
      </c>
      <c r="BJ37" s="289">
        <v>531.36850000000004</v>
      </c>
      <c r="BK37" s="289">
        <v>1299</v>
      </c>
      <c r="BL37" s="289">
        <v>0</v>
      </c>
      <c r="BM37" s="289">
        <v>1011</v>
      </c>
      <c r="BN37" s="289">
        <v>0</v>
      </c>
      <c r="BO37" s="517">
        <v>0</v>
      </c>
      <c r="BP37" s="289">
        <v>909.43943066398435</v>
      </c>
      <c r="BQ37" s="289">
        <f t="shared" si="0"/>
        <v>-5.1047715701999996</v>
      </c>
      <c r="BR37" s="289">
        <v>2187.2950000000001</v>
      </c>
      <c r="BS37" s="289">
        <f t="shared" si="1"/>
        <v>1835.377</v>
      </c>
      <c r="BT37" s="289">
        <v>15</v>
      </c>
      <c r="BU37" s="289">
        <v>0</v>
      </c>
      <c r="BV37" s="289">
        <v>54</v>
      </c>
      <c r="BW37" s="289">
        <v>426.48899999999998</v>
      </c>
      <c r="BX37" s="289">
        <v>103.282</v>
      </c>
      <c r="CC37" s="517"/>
      <c r="CD37" s="85"/>
      <c r="CE37" s="517"/>
    </row>
    <row r="38" spans="1:83" ht="13">
      <c r="A38" s="1">
        <v>1032</v>
      </c>
      <c r="B38" s="2" t="s">
        <v>954</v>
      </c>
      <c r="C38" s="289">
        <v>8571</v>
      </c>
      <c r="D38" s="289">
        <v>227</v>
      </c>
      <c r="E38" s="289">
        <v>488</v>
      </c>
      <c r="F38" s="289">
        <v>1292</v>
      </c>
      <c r="G38" s="289">
        <v>848</v>
      </c>
      <c r="H38" s="289">
        <v>4565</v>
      </c>
      <c r="I38" s="289">
        <v>871</v>
      </c>
      <c r="J38" s="289">
        <v>248</v>
      </c>
      <c r="K38" s="289">
        <v>67</v>
      </c>
      <c r="L38" s="289">
        <v>72</v>
      </c>
      <c r="M38" s="289">
        <v>466</v>
      </c>
      <c r="N38" s="290">
        <v>249</v>
      </c>
      <c r="O38" s="290">
        <v>126</v>
      </c>
      <c r="P38" s="624">
        <v>24242.133000000002</v>
      </c>
      <c r="Q38" s="624">
        <v>40316.161666669999</v>
      </c>
      <c r="R38" s="624">
        <v>35</v>
      </c>
      <c r="S38" s="289">
        <v>0</v>
      </c>
      <c r="T38" s="289">
        <v>549</v>
      </c>
      <c r="U38" s="716">
        <v>2.5119384499323722E-3</v>
      </c>
      <c r="V38" s="289">
        <v>-12661.749438020001</v>
      </c>
      <c r="W38" s="743">
        <v>0.62043451999999999</v>
      </c>
      <c r="X38" s="289">
        <v>1400</v>
      </c>
      <c r="Y38" s="289">
        <v>392</v>
      </c>
      <c r="Z38" s="289">
        <v>195683</v>
      </c>
      <c r="AA38" s="289">
        <v>0</v>
      </c>
      <c r="AB38" s="290">
        <v>240</v>
      </c>
      <c r="AC38" s="289">
        <v>0</v>
      </c>
      <c r="AD38" s="289">
        <v>4252.7700000000004</v>
      </c>
      <c r="AE38" s="289">
        <v>2754</v>
      </c>
      <c r="AF38" s="289">
        <v>0</v>
      </c>
      <c r="AG38" s="289">
        <v>8606</v>
      </c>
      <c r="AH38" s="289">
        <v>1504</v>
      </c>
      <c r="AI38" s="289">
        <v>369</v>
      </c>
      <c r="AJ38" s="289">
        <v>0</v>
      </c>
      <c r="AK38" s="289">
        <v>45.744199999999999</v>
      </c>
      <c r="AL38" s="289"/>
      <c r="AM38" s="622">
        <v>0.30941373999999999</v>
      </c>
      <c r="AN38" s="289">
        <v>0</v>
      </c>
      <c r="AO38" s="289">
        <v>-458.57969768999999</v>
      </c>
      <c r="AP38" s="289">
        <v>0</v>
      </c>
      <c r="AQ38" s="289">
        <v>0</v>
      </c>
      <c r="AR38" s="289">
        <v>-615.10693376999996</v>
      </c>
      <c r="AS38" s="289">
        <v>115.61839999999999</v>
      </c>
      <c r="AT38" s="289">
        <v>461</v>
      </c>
      <c r="AU38" s="289">
        <v>106</v>
      </c>
      <c r="AV38" s="625">
        <v>221990</v>
      </c>
      <c r="AW38" s="289">
        <v>-4.3700999999999999</v>
      </c>
      <c r="AX38" s="625">
        <v>69</v>
      </c>
      <c r="AY38" s="289">
        <v>1399</v>
      </c>
      <c r="AZ38" s="289">
        <v>467</v>
      </c>
      <c r="BA38" s="290">
        <v>214</v>
      </c>
      <c r="BB38" s="289">
        <v>0</v>
      </c>
      <c r="BC38" s="289">
        <v>1828</v>
      </c>
      <c r="BD38" s="289">
        <v>199.60659999999999</v>
      </c>
      <c r="BE38" s="289">
        <v>244798.35302785001</v>
      </c>
      <c r="BF38" s="289">
        <v>0</v>
      </c>
      <c r="BG38" s="289">
        <v>11</v>
      </c>
      <c r="BH38" s="289">
        <v>-70.115700000000004</v>
      </c>
      <c r="BI38" s="289">
        <v>6148.77</v>
      </c>
      <c r="BJ38" s="289">
        <v>-195.84200000000001</v>
      </c>
      <c r="BK38" s="289">
        <v>0</v>
      </c>
      <c r="BL38" s="289">
        <v>0</v>
      </c>
      <c r="BM38" s="289">
        <v>3187</v>
      </c>
      <c r="BN38" s="289">
        <v>0</v>
      </c>
      <c r="BO38" s="517">
        <v>0</v>
      </c>
      <c r="BP38" s="517">
        <v>0</v>
      </c>
      <c r="BQ38" s="289">
        <f t="shared" si="0"/>
        <v>-8.8340366243999995</v>
      </c>
      <c r="BR38" s="289">
        <v>4065.7620000000002</v>
      </c>
      <c r="BS38" s="289">
        <f t="shared" si="1"/>
        <v>-187.00800000000027</v>
      </c>
      <c r="BT38" s="289">
        <v>26</v>
      </c>
      <c r="BU38" s="289">
        <v>0</v>
      </c>
      <c r="BV38" s="289">
        <v>86</v>
      </c>
      <c r="BW38" s="289">
        <v>0</v>
      </c>
      <c r="BX38" s="289">
        <v>179.37200000000001</v>
      </c>
      <c r="CC38" s="517"/>
      <c r="CD38" s="85"/>
      <c r="CE38" s="517"/>
    </row>
    <row r="39" spans="1:83" ht="13">
      <c r="A39" s="1">
        <v>1101</v>
      </c>
      <c r="B39" s="2" t="s">
        <v>958</v>
      </c>
      <c r="C39" s="289">
        <v>14898</v>
      </c>
      <c r="D39" s="289">
        <v>341</v>
      </c>
      <c r="E39" s="289">
        <v>703</v>
      </c>
      <c r="F39" s="289">
        <v>1941</v>
      </c>
      <c r="G39" s="289">
        <v>1413</v>
      </c>
      <c r="H39" s="289">
        <v>8335</v>
      </c>
      <c r="I39" s="289">
        <v>1569</v>
      </c>
      <c r="J39" s="289">
        <v>491</v>
      </c>
      <c r="K39" s="289">
        <v>130</v>
      </c>
      <c r="L39" s="289">
        <v>119</v>
      </c>
      <c r="M39" s="289">
        <v>921</v>
      </c>
      <c r="N39" s="290">
        <v>248</v>
      </c>
      <c r="O39" s="290">
        <v>154</v>
      </c>
      <c r="P39" s="624">
        <v>58313.537333330001</v>
      </c>
      <c r="Q39" s="624">
        <v>26741.369666670002</v>
      </c>
      <c r="R39" s="624">
        <v>73</v>
      </c>
      <c r="S39" s="289">
        <v>0</v>
      </c>
      <c r="T39" s="289">
        <v>1058</v>
      </c>
      <c r="U39" s="716">
        <v>3.8295717502432962E-3</v>
      </c>
      <c r="V39" s="289">
        <v>-3880.7233213899999</v>
      </c>
      <c r="W39" s="743">
        <v>0.57422037999999997</v>
      </c>
      <c r="X39" s="289">
        <v>2000</v>
      </c>
      <c r="Y39" s="289">
        <v>392</v>
      </c>
      <c r="Z39" s="289">
        <v>421333</v>
      </c>
      <c r="AA39" s="289">
        <v>0</v>
      </c>
      <c r="AB39" s="290">
        <v>357</v>
      </c>
      <c r="AC39" s="289">
        <v>1995</v>
      </c>
      <c r="AD39" s="289">
        <v>0</v>
      </c>
      <c r="AE39" s="289">
        <v>0</v>
      </c>
      <c r="AF39" s="289">
        <v>0</v>
      </c>
      <c r="AG39" s="289">
        <v>14923</v>
      </c>
      <c r="AH39" s="289">
        <v>2301</v>
      </c>
      <c r="AI39" s="289">
        <v>0</v>
      </c>
      <c r="AJ39" s="289">
        <v>0</v>
      </c>
      <c r="AK39" s="289">
        <v>68.457599999999999</v>
      </c>
      <c r="AL39" s="289"/>
      <c r="AM39" s="622">
        <v>0.57670332000000002</v>
      </c>
      <c r="AN39" s="289">
        <v>0</v>
      </c>
      <c r="AO39" s="289">
        <v>-737.14849056000003</v>
      </c>
      <c r="AP39" s="289">
        <v>0</v>
      </c>
      <c r="AQ39" s="289">
        <v>0</v>
      </c>
      <c r="AR39" s="289">
        <v>-1066.6094321</v>
      </c>
      <c r="AS39" s="289">
        <v>191.65880000000001</v>
      </c>
      <c r="AT39" s="289">
        <v>776</v>
      </c>
      <c r="AU39" s="289">
        <v>390</v>
      </c>
      <c r="AV39" s="625">
        <v>348629</v>
      </c>
      <c r="AW39" s="289">
        <v>-7.5778999999999996</v>
      </c>
      <c r="AX39" s="625">
        <v>121.33333333</v>
      </c>
      <c r="AY39" s="289">
        <v>2559</v>
      </c>
      <c r="AZ39" s="289">
        <v>423</v>
      </c>
      <c r="BA39" s="290">
        <v>285</v>
      </c>
      <c r="BB39" s="289">
        <v>0</v>
      </c>
      <c r="BC39" s="289">
        <v>2749</v>
      </c>
      <c r="BD39" s="289">
        <v>305.38220000000001</v>
      </c>
      <c r="BE39" s="289">
        <v>364185.68201500003</v>
      </c>
      <c r="BF39" s="289">
        <v>0</v>
      </c>
      <c r="BG39" s="289">
        <v>11</v>
      </c>
      <c r="BH39" s="289">
        <v>-121.5823</v>
      </c>
      <c r="BI39" s="289">
        <v>2693</v>
      </c>
      <c r="BJ39" s="289">
        <v>-15.3184</v>
      </c>
      <c r="BK39" s="289">
        <v>0</v>
      </c>
      <c r="BL39" s="289">
        <v>0</v>
      </c>
      <c r="BM39" s="289">
        <v>0</v>
      </c>
      <c r="BN39" s="289">
        <v>0</v>
      </c>
      <c r="BO39" s="517">
        <v>0</v>
      </c>
      <c r="BP39" s="517">
        <v>0</v>
      </c>
      <c r="BQ39" s="289">
        <f t="shared" si="0"/>
        <v>-15.318420700200001</v>
      </c>
      <c r="BR39" s="289">
        <v>0</v>
      </c>
      <c r="BS39" s="289">
        <f t="shared" si="1"/>
        <v>0</v>
      </c>
      <c r="BT39" s="289">
        <v>39</v>
      </c>
      <c r="BU39" s="289">
        <v>0</v>
      </c>
      <c r="BV39" s="289">
        <v>140</v>
      </c>
      <c r="BW39" s="289">
        <v>104.788</v>
      </c>
      <c r="BX39" s="289">
        <v>309.78300000000002</v>
      </c>
      <c r="CC39" s="517"/>
      <c r="CD39" s="85"/>
      <c r="CE39" s="517"/>
    </row>
    <row r="40" spans="1:83" ht="13">
      <c r="A40" s="1">
        <v>1102</v>
      </c>
      <c r="B40" s="2" t="s">
        <v>959</v>
      </c>
      <c r="C40" s="289">
        <v>76328</v>
      </c>
      <c r="D40" s="289">
        <v>2169</v>
      </c>
      <c r="E40" s="289">
        <v>4460</v>
      </c>
      <c r="F40" s="289">
        <v>10400</v>
      </c>
      <c r="G40" s="289">
        <v>6815</v>
      </c>
      <c r="H40" s="289">
        <v>44352</v>
      </c>
      <c r="I40" s="289">
        <v>5708</v>
      </c>
      <c r="J40" s="289">
        <v>1761</v>
      </c>
      <c r="K40" s="289">
        <v>415</v>
      </c>
      <c r="L40" s="289">
        <v>559</v>
      </c>
      <c r="M40" s="289">
        <v>3139</v>
      </c>
      <c r="N40" s="290">
        <v>2591</v>
      </c>
      <c r="O40" s="290">
        <v>926</v>
      </c>
      <c r="P40" s="624">
        <v>155584.45300000001</v>
      </c>
      <c r="Q40" s="624">
        <v>93653.920333329996</v>
      </c>
      <c r="R40" s="624">
        <v>205</v>
      </c>
      <c r="S40" s="289">
        <v>0</v>
      </c>
      <c r="T40" s="289">
        <v>5310</v>
      </c>
      <c r="U40" s="716">
        <v>6.1871580262902572E-3</v>
      </c>
      <c r="V40" s="289">
        <v>2510.3441145500001</v>
      </c>
      <c r="W40" s="743">
        <v>0.53612408</v>
      </c>
      <c r="X40" s="289">
        <v>0</v>
      </c>
      <c r="Y40" s="289">
        <v>392</v>
      </c>
      <c r="Z40" s="289">
        <v>2335661</v>
      </c>
      <c r="AA40" s="289">
        <v>0</v>
      </c>
      <c r="AB40" s="290">
        <v>1127</v>
      </c>
      <c r="AC40" s="289">
        <v>0</v>
      </c>
      <c r="AD40" s="289">
        <v>5574.2579999999998</v>
      </c>
      <c r="AE40" s="289">
        <v>10386</v>
      </c>
      <c r="AF40" s="289">
        <v>0</v>
      </c>
      <c r="AG40" s="289">
        <v>76080</v>
      </c>
      <c r="AH40" s="289">
        <v>12455</v>
      </c>
      <c r="AI40" s="289">
        <v>550</v>
      </c>
      <c r="AJ40" s="289">
        <v>0</v>
      </c>
      <c r="AK40" s="289">
        <v>431.20659999999998</v>
      </c>
      <c r="AL40" s="289"/>
      <c r="AM40" s="622">
        <v>5.8590630900000003</v>
      </c>
      <c r="AN40" s="289">
        <v>0</v>
      </c>
      <c r="AO40" s="289">
        <v>-3607.0688976000001</v>
      </c>
      <c r="AP40" s="289">
        <v>0</v>
      </c>
      <c r="AQ40" s="289">
        <v>0</v>
      </c>
      <c r="AR40" s="289">
        <v>-5437.7568581599999</v>
      </c>
      <c r="AS40" s="289">
        <v>1178.4658999999999</v>
      </c>
      <c r="AT40" s="289">
        <v>4215</v>
      </c>
      <c r="AU40" s="289">
        <v>2073</v>
      </c>
      <c r="AV40" s="625">
        <v>1655445</v>
      </c>
      <c r="AW40" s="289">
        <v>-38.633200000000002</v>
      </c>
      <c r="AX40" s="625">
        <v>661.45833330000005</v>
      </c>
      <c r="AY40" s="289">
        <v>17998</v>
      </c>
      <c r="AZ40" s="289">
        <v>3822</v>
      </c>
      <c r="BA40" s="290">
        <v>1627</v>
      </c>
      <c r="BB40" s="289">
        <v>0</v>
      </c>
      <c r="BC40" s="289">
        <v>13211</v>
      </c>
      <c r="BD40" s="289">
        <v>1652.9924000000001</v>
      </c>
      <c r="BE40" s="289">
        <v>1736652.7984147</v>
      </c>
      <c r="BF40" s="289">
        <v>0</v>
      </c>
      <c r="BG40" s="289">
        <v>11</v>
      </c>
      <c r="BH40" s="289">
        <v>-619.84709999999995</v>
      </c>
      <c r="BI40" s="289">
        <v>18421.258000000002</v>
      </c>
      <c r="BJ40" s="289">
        <v>-255.19290000000001</v>
      </c>
      <c r="BK40" s="289">
        <v>0</v>
      </c>
      <c r="BL40" s="289">
        <v>0</v>
      </c>
      <c r="BM40" s="289">
        <v>8097</v>
      </c>
      <c r="BN40" s="289">
        <v>0</v>
      </c>
      <c r="BO40" s="517">
        <v>0</v>
      </c>
      <c r="BP40" s="517">
        <v>0</v>
      </c>
      <c r="BQ40" s="289">
        <f t="shared" si="0"/>
        <v>-78.095922192000003</v>
      </c>
      <c r="BR40" s="289">
        <v>5397.1610000000001</v>
      </c>
      <c r="BS40" s="289">
        <f t="shared" si="1"/>
        <v>-177.09699999999975</v>
      </c>
      <c r="BT40" s="289">
        <v>247</v>
      </c>
      <c r="BU40" s="289">
        <v>0</v>
      </c>
      <c r="BV40" s="289">
        <v>637</v>
      </c>
      <c r="BW40" s="289">
        <v>0</v>
      </c>
      <c r="BX40" s="289">
        <v>1596.297</v>
      </c>
      <c r="CC40" s="517"/>
      <c r="CD40" s="85"/>
      <c r="CE40" s="517"/>
    </row>
    <row r="41" spans="1:83" ht="13">
      <c r="A41" s="1">
        <v>1103</v>
      </c>
      <c r="B41" s="2" t="s">
        <v>960</v>
      </c>
      <c r="C41" s="289">
        <v>133140</v>
      </c>
      <c r="D41" s="289">
        <v>3383</v>
      </c>
      <c r="E41" s="289">
        <v>6630</v>
      </c>
      <c r="F41" s="289">
        <v>16156</v>
      </c>
      <c r="G41" s="289">
        <v>11813</v>
      </c>
      <c r="H41" s="289">
        <v>79327</v>
      </c>
      <c r="I41" s="289">
        <v>11124</v>
      </c>
      <c r="J41" s="289">
        <v>3549</v>
      </c>
      <c r="K41" s="289">
        <v>925</v>
      </c>
      <c r="L41" s="289">
        <v>1048</v>
      </c>
      <c r="M41" s="289">
        <v>6602</v>
      </c>
      <c r="N41" s="290">
        <v>4407</v>
      </c>
      <c r="O41" s="290">
        <v>1555</v>
      </c>
      <c r="P41" s="624">
        <v>210303.22733333</v>
      </c>
      <c r="Q41" s="624">
        <v>156876.46266667001</v>
      </c>
      <c r="R41" s="624">
        <v>337</v>
      </c>
      <c r="S41" s="289">
        <v>0</v>
      </c>
      <c r="T41" s="289">
        <v>12445</v>
      </c>
      <c r="U41" s="716">
        <v>1.341124051230263E-3</v>
      </c>
      <c r="V41" s="289">
        <v>14315.551082370001</v>
      </c>
      <c r="W41" s="743">
        <v>0.52511072999999997</v>
      </c>
      <c r="X41" s="289">
        <v>0</v>
      </c>
      <c r="Y41" s="289">
        <v>1568</v>
      </c>
      <c r="Z41" s="289">
        <v>4944822</v>
      </c>
      <c r="AA41" s="289">
        <v>0</v>
      </c>
      <c r="AB41" s="290">
        <v>1946</v>
      </c>
      <c r="AC41" s="289">
        <v>0</v>
      </c>
      <c r="AD41" s="289">
        <v>5749.7039999999997</v>
      </c>
      <c r="AE41" s="289">
        <v>0</v>
      </c>
      <c r="AF41" s="289">
        <v>0</v>
      </c>
      <c r="AG41" s="289">
        <v>132907</v>
      </c>
      <c r="AH41" s="289">
        <v>19517</v>
      </c>
      <c r="AI41" s="289">
        <v>3630</v>
      </c>
      <c r="AJ41" s="289">
        <v>0</v>
      </c>
      <c r="AK41" s="289">
        <v>684.06079999999997</v>
      </c>
      <c r="AL41" s="289"/>
      <c r="AM41" s="622">
        <v>10.073412749999999</v>
      </c>
      <c r="AN41" s="289">
        <v>0</v>
      </c>
      <c r="AO41" s="289">
        <v>-6144.0601993099999</v>
      </c>
      <c r="AP41" s="289">
        <v>47915</v>
      </c>
      <c r="AQ41" s="289">
        <v>0</v>
      </c>
      <c r="AR41" s="289">
        <v>-9499.4210140300002</v>
      </c>
      <c r="AS41" s="289">
        <v>2226.1846999999998</v>
      </c>
      <c r="AT41" s="289">
        <v>7161</v>
      </c>
      <c r="AU41" s="289">
        <v>3466</v>
      </c>
      <c r="AV41" s="625">
        <v>2751799</v>
      </c>
      <c r="AW41" s="289">
        <v>-67.489800000000002</v>
      </c>
      <c r="AX41" s="625">
        <v>1147.91666663</v>
      </c>
      <c r="AY41" s="289">
        <v>41955</v>
      </c>
      <c r="AZ41" s="289">
        <v>7150</v>
      </c>
      <c r="BA41" s="290">
        <v>2806</v>
      </c>
      <c r="BB41" s="289">
        <v>0</v>
      </c>
      <c r="BC41" s="289">
        <v>20187</v>
      </c>
      <c r="BD41" s="289">
        <v>2590.241</v>
      </c>
      <c r="BE41" s="289">
        <v>2892333.5642237999</v>
      </c>
      <c r="BF41" s="289">
        <v>0</v>
      </c>
      <c r="BG41" s="289">
        <v>44</v>
      </c>
      <c r="BH41" s="289">
        <v>-1082.8340000000001</v>
      </c>
      <c r="BI41" s="289">
        <v>26834.704000000002</v>
      </c>
      <c r="BJ41" s="289">
        <v>-314.98970000000003</v>
      </c>
      <c r="BK41" s="289">
        <v>0</v>
      </c>
      <c r="BL41" s="289">
        <v>0</v>
      </c>
      <c r="BM41" s="289">
        <v>0</v>
      </c>
      <c r="BN41" s="289">
        <v>0</v>
      </c>
      <c r="BO41" s="517">
        <v>0</v>
      </c>
      <c r="BP41" s="517">
        <v>0</v>
      </c>
      <c r="BQ41" s="289">
        <f t="shared" si="0"/>
        <v>-136.4286899418</v>
      </c>
      <c r="BR41" s="289">
        <v>5571.143</v>
      </c>
      <c r="BS41" s="289">
        <f t="shared" si="1"/>
        <v>-178.56099999999969</v>
      </c>
      <c r="BT41" s="289">
        <v>392</v>
      </c>
      <c r="BU41" s="289">
        <v>0</v>
      </c>
      <c r="BV41" s="289">
        <v>1112</v>
      </c>
      <c r="BW41" s="289">
        <v>314.36500000000001</v>
      </c>
      <c r="BX41" s="289">
        <v>2771.0120000000002</v>
      </c>
      <c r="CC41" s="517"/>
      <c r="CD41" s="85"/>
      <c r="CE41" s="517"/>
    </row>
    <row r="42" spans="1:83" ht="13">
      <c r="A42" s="1">
        <v>1106</v>
      </c>
      <c r="B42" s="2" t="s">
        <v>961</v>
      </c>
      <c r="C42" s="289">
        <v>37167</v>
      </c>
      <c r="D42" s="289">
        <v>833</v>
      </c>
      <c r="E42" s="289">
        <v>1677</v>
      </c>
      <c r="F42" s="289">
        <v>4451</v>
      </c>
      <c r="G42" s="289">
        <v>3392</v>
      </c>
      <c r="H42" s="289">
        <v>21798</v>
      </c>
      <c r="I42" s="289">
        <v>3632</v>
      </c>
      <c r="J42" s="289">
        <v>1179</v>
      </c>
      <c r="K42" s="289">
        <v>314</v>
      </c>
      <c r="L42" s="289">
        <v>315</v>
      </c>
      <c r="M42" s="289">
        <v>2384</v>
      </c>
      <c r="N42" s="290">
        <v>1069</v>
      </c>
      <c r="O42" s="290">
        <v>404</v>
      </c>
      <c r="P42" s="624">
        <v>64738.627333329998</v>
      </c>
      <c r="Q42" s="624">
        <v>33741.247666670002</v>
      </c>
      <c r="R42" s="624">
        <v>151</v>
      </c>
      <c r="S42" s="289">
        <v>0</v>
      </c>
      <c r="T42" s="289">
        <v>3794</v>
      </c>
      <c r="U42" s="716">
        <v>7.2542390316772203E-4</v>
      </c>
      <c r="V42" s="289">
        <v>431.40870047999999</v>
      </c>
      <c r="W42" s="743">
        <v>0.52990378000000005</v>
      </c>
      <c r="X42" s="289">
        <v>6000</v>
      </c>
      <c r="Y42" s="289">
        <v>392</v>
      </c>
      <c r="Z42" s="289">
        <v>1084225</v>
      </c>
      <c r="AA42" s="289">
        <v>0</v>
      </c>
      <c r="AB42" s="290">
        <v>838</v>
      </c>
      <c r="AC42" s="289">
        <v>0</v>
      </c>
      <c r="AD42" s="289">
        <v>0</v>
      </c>
      <c r="AE42" s="289">
        <v>0</v>
      </c>
      <c r="AF42" s="289">
        <v>0</v>
      </c>
      <c r="AG42" s="289">
        <v>37276</v>
      </c>
      <c r="AH42" s="289">
        <v>5282</v>
      </c>
      <c r="AI42" s="289">
        <v>0</v>
      </c>
      <c r="AJ42" s="289">
        <v>0</v>
      </c>
      <c r="AK42" s="289">
        <v>168.4186</v>
      </c>
      <c r="AL42" s="289"/>
      <c r="AM42" s="622">
        <v>3.0193391900000002</v>
      </c>
      <c r="AN42" s="289">
        <v>0</v>
      </c>
      <c r="AO42" s="289">
        <v>-1790.39574292</v>
      </c>
      <c r="AP42" s="289">
        <v>0</v>
      </c>
      <c r="AQ42" s="289">
        <v>0</v>
      </c>
      <c r="AR42" s="289">
        <v>-2664.2721430699999</v>
      </c>
      <c r="AS42" s="289">
        <v>664.07230000000004</v>
      </c>
      <c r="AT42" s="289">
        <v>2333</v>
      </c>
      <c r="AU42" s="289">
        <v>957</v>
      </c>
      <c r="AV42" s="625">
        <v>840887</v>
      </c>
      <c r="AW42" s="289">
        <v>-18.928699999999999</v>
      </c>
      <c r="AX42" s="625">
        <v>268.41666670000001</v>
      </c>
      <c r="AY42" s="289">
        <v>9113</v>
      </c>
      <c r="AZ42" s="289">
        <v>1868</v>
      </c>
      <c r="BA42" s="290">
        <v>1017</v>
      </c>
      <c r="BB42" s="289">
        <v>0</v>
      </c>
      <c r="BC42" s="289">
        <v>5545</v>
      </c>
      <c r="BD42" s="289">
        <v>701.01210000000003</v>
      </c>
      <c r="BE42" s="289">
        <v>867415.73744118004</v>
      </c>
      <c r="BF42" s="289">
        <v>0</v>
      </c>
      <c r="BG42" s="289">
        <v>11</v>
      </c>
      <c r="BH42" s="289">
        <v>-303.69900000000001</v>
      </c>
      <c r="BI42" s="289">
        <v>5674</v>
      </c>
      <c r="BJ42" s="289">
        <v>-38.2637</v>
      </c>
      <c r="BK42" s="289">
        <v>0</v>
      </c>
      <c r="BL42" s="289">
        <v>0</v>
      </c>
      <c r="BM42" s="289">
        <v>0</v>
      </c>
      <c r="BN42" s="289">
        <v>0</v>
      </c>
      <c r="BO42" s="517">
        <v>0</v>
      </c>
      <c r="BP42" s="517">
        <v>0</v>
      </c>
      <c r="BQ42" s="289">
        <f t="shared" si="0"/>
        <v>-38.263717082399999</v>
      </c>
      <c r="BR42" s="289">
        <v>0</v>
      </c>
      <c r="BS42" s="289">
        <f t="shared" si="1"/>
        <v>0</v>
      </c>
      <c r="BT42" s="289">
        <v>96</v>
      </c>
      <c r="BU42" s="289">
        <v>0</v>
      </c>
      <c r="BV42" s="289">
        <v>323</v>
      </c>
      <c r="BW42" s="289">
        <v>209.577</v>
      </c>
      <c r="BX42" s="289">
        <v>773.01400000000001</v>
      </c>
      <c r="CC42" s="517"/>
      <c r="CD42" s="85"/>
      <c r="CE42" s="517"/>
    </row>
    <row r="43" spans="1:83" ht="13">
      <c r="A43" s="1">
        <v>1111</v>
      </c>
      <c r="B43" s="2" t="s">
        <v>962</v>
      </c>
      <c r="C43" s="289">
        <v>3331</v>
      </c>
      <c r="D43" s="289">
        <v>79</v>
      </c>
      <c r="E43" s="289">
        <v>170</v>
      </c>
      <c r="F43" s="289">
        <v>465</v>
      </c>
      <c r="G43" s="289">
        <v>291</v>
      </c>
      <c r="H43" s="289">
        <v>1788</v>
      </c>
      <c r="I43" s="289">
        <v>374</v>
      </c>
      <c r="J43" s="289">
        <v>145</v>
      </c>
      <c r="K43" s="289">
        <v>39</v>
      </c>
      <c r="L43" s="289">
        <v>29</v>
      </c>
      <c r="M43" s="289">
        <v>251</v>
      </c>
      <c r="N43" s="290">
        <v>6</v>
      </c>
      <c r="O43" s="290">
        <v>26</v>
      </c>
      <c r="P43" s="624">
        <v>10327.63633333</v>
      </c>
      <c r="Q43" s="624">
        <v>7024.6046666700004</v>
      </c>
      <c r="R43" s="624">
        <v>22</v>
      </c>
      <c r="S43" s="289">
        <v>0</v>
      </c>
      <c r="T43" s="289">
        <v>235</v>
      </c>
      <c r="U43" s="716">
        <v>1.9079734237948984E-3</v>
      </c>
      <c r="V43" s="289">
        <v>1356.5423287799999</v>
      </c>
      <c r="W43" s="743">
        <v>0.76628839999999998</v>
      </c>
      <c r="X43" s="289">
        <v>1000</v>
      </c>
      <c r="Y43" s="289">
        <v>392</v>
      </c>
      <c r="Z43" s="289">
        <v>84326</v>
      </c>
      <c r="AA43" s="289">
        <v>0</v>
      </c>
      <c r="AB43" s="290">
        <v>81</v>
      </c>
      <c r="AC43" s="289">
        <v>0</v>
      </c>
      <c r="AD43" s="289">
        <v>0</v>
      </c>
      <c r="AE43" s="289">
        <v>0</v>
      </c>
      <c r="AF43" s="289">
        <v>0</v>
      </c>
      <c r="AG43" s="289">
        <v>3351</v>
      </c>
      <c r="AH43" s="289">
        <v>514</v>
      </c>
      <c r="AI43" s="289">
        <v>1000</v>
      </c>
      <c r="AJ43" s="289">
        <v>0</v>
      </c>
      <c r="AK43" s="289">
        <v>15.3565</v>
      </c>
      <c r="AL43" s="289"/>
      <c r="AM43" s="622">
        <v>4.7612939999999999E-2</v>
      </c>
      <c r="AN43" s="289">
        <v>0</v>
      </c>
      <c r="AO43" s="289">
        <v>-188.67856569</v>
      </c>
      <c r="AP43" s="289">
        <v>0</v>
      </c>
      <c r="AQ43" s="289">
        <v>0</v>
      </c>
      <c r="AR43" s="289">
        <v>-239.51003195999999</v>
      </c>
      <c r="AS43" s="289">
        <v>34.176600000000001</v>
      </c>
      <c r="AT43" s="289">
        <v>167</v>
      </c>
      <c r="AU43" s="289">
        <v>57</v>
      </c>
      <c r="AV43" s="625">
        <v>104914</v>
      </c>
      <c r="AW43" s="289">
        <v>-1.7016</v>
      </c>
      <c r="AX43" s="625">
        <v>17.166666670000001</v>
      </c>
      <c r="AY43" s="289">
        <v>421</v>
      </c>
      <c r="AZ43" s="289">
        <v>55</v>
      </c>
      <c r="BA43" s="290">
        <v>93</v>
      </c>
      <c r="BB43" s="289">
        <v>0</v>
      </c>
      <c r="BC43" s="289">
        <v>969</v>
      </c>
      <c r="BD43" s="289">
        <v>68.2166</v>
      </c>
      <c r="BE43" s="289">
        <v>108662.0692973</v>
      </c>
      <c r="BF43" s="289">
        <v>0</v>
      </c>
      <c r="BG43" s="289">
        <v>11</v>
      </c>
      <c r="BH43" s="289">
        <v>-27.301600000000001</v>
      </c>
      <c r="BI43" s="289">
        <v>906</v>
      </c>
      <c r="BJ43" s="289">
        <v>-3.4398</v>
      </c>
      <c r="BK43" s="289">
        <v>0</v>
      </c>
      <c r="BL43" s="289">
        <v>0</v>
      </c>
      <c r="BM43" s="289">
        <v>0</v>
      </c>
      <c r="BN43" s="289">
        <v>0</v>
      </c>
      <c r="BO43" s="517">
        <v>0</v>
      </c>
      <c r="BP43" s="517">
        <v>0</v>
      </c>
      <c r="BQ43" s="289">
        <f t="shared" si="0"/>
        <v>-3.4397927874000001</v>
      </c>
      <c r="BR43" s="289">
        <v>0</v>
      </c>
      <c r="BS43" s="289">
        <f t="shared" si="1"/>
        <v>0</v>
      </c>
      <c r="BT43" s="289">
        <v>9</v>
      </c>
      <c r="BU43" s="289">
        <v>0</v>
      </c>
      <c r="BV43" s="289">
        <v>38</v>
      </c>
      <c r="BW43" s="289">
        <v>157.18299999999999</v>
      </c>
      <c r="BX43" s="289">
        <v>69.131</v>
      </c>
      <c r="CC43" s="517"/>
      <c r="CD43" s="85"/>
      <c r="CE43" s="517"/>
    </row>
    <row r="44" spans="1:83" ht="13">
      <c r="A44" s="1">
        <v>1112</v>
      </c>
      <c r="B44" s="2" t="s">
        <v>963</v>
      </c>
      <c r="C44" s="289">
        <v>3237</v>
      </c>
      <c r="D44" s="289">
        <v>74</v>
      </c>
      <c r="E44" s="289">
        <v>170</v>
      </c>
      <c r="F44" s="289">
        <v>433</v>
      </c>
      <c r="G44" s="289">
        <v>349</v>
      </c>
      <c r="H44" s="289">
        <v>1730</v>
      </c>
      <c r="I44" s="289">
        <v>337</v>
      </c>
      <c r="J44" s="289">
        <v>117</v>
      </c>
      <c r="K44" s="289">
        <v>43</v>
      </c>
      <c r="L44" s="289">
        <v>25</v>
      </c>
      <c r="M44" s="289">
        <v>188</v>
      </c>
      <c r="N44" s="290">
        <v>69</v>
      </c>
      <c r="O44" s="290">
        <v>32</v>
      </c>
      <c r="P44" s="624">
        <v>17869.465666669999</v>
      </c>
      <c r="Q44" s="624">
        <v>7876.134</v>
      </c>
      <c r="R44" s="624">
        <v>12</v>
      </c>
      <c r="S44" s="289">
        <v>0</v>
      </c>
      <c r="T44" s="289">
        <v>218</v>
      </c>
      <c r="U44" s="716">
        <v>2.2610256729508949E-3</v>
      </c>
      <c r="V44" s="289">
        <v>1252.0056523000001</v>
      </c>
      <c r="W44" s="743">
        <v>0.78869582000000005</v>
      </c>
      <c r="X44" s="289">
        <v>1200</v>
      </c>
      <c r="Y44" s="289">
        <v>244</v>
      </c>
      <c r="Z44" s="289">
        <v>78836</v>
      </c>
      <c r="AA44" s="289">
        <v>0</v>
      </c>
      <c r="AB44" s="290">
        <v>71</v>
      </c>
      <c r="AC44" s="289">
        <v>0</v>
      </c>
      <c r="AD44" s="289">
        <v>0</v>
      </c>
      <c r="AE44" s="289">
        <v>0</v>
      </c>
      <c r="AF44" s="289">
        <v>0</v>
      </c>
      <c r="AG44" s="289">
        <v>3253</v>
      </c>
      <c r="AH44" s="289">
        <v>531</v>
      </c>
      <c r="AI44" s="289">
        <v>200</v>
      </c>
      <c r="AJ44" s="289">
        <v>0</v>
      </c>
      <c r="AK44" s="289">
        <v>15.162699999999999</v>
      </c>
      <c r="AL44" s="289"/>
      <c r="AM44" s="622">
        <v>6.8533700000000003E-2</v>
      </c>
      <c r="AN44" s="289">
        <v>1898</v>
      </c>
      <c r="AO44" s="289">
        <v>-174.13878335999999</v>
      </c>
      <c r="AP44" s="289">
        <v>0</v>
      </c>
      <c r="AQ44" s="289">
        <v>0</v>
      </c>
      <c r="AR44" s="289">
        <v>2609.6770636299998</v>
      </c>
      <c r="AS44" s="289">
        <v>38.1511</v>
      </c>
      <c r="AT44" s="289">
        <v>159</v>
      </c>
      <c r="AU44" s="289">
        <v>42</v>
      </c>
      <c r="AV44" s="625">
        <v>100014</v>
      </c>
      <c r="AW44" s="289">
        <v>-63.287199999999999</v>
      </c>
      <c r="AX44" s="625">
        <v>12.66666667</v>
      </c>
      <c r="AY44" s="289">
        <v>464</v>
      </c>
      <c r="AZ44" s="289">
        <v>109</v>
      </c>
      <c r="BA44" s="290">
        <v>52</v>
      </c>
      <c r="BB44" s="289">
        <v>0</v>
      </c>
      <c r="BC44" s="289">
        <v>797</v>
      </c>
      <c r="BD44" s="289">
        <v>70.472800000000007</v>
      </c>
      <c r="BE44" s="289">
        <v>98165.69617512</v>
      </c>
      <c r="BF44" s="289">
        <v>0</v>
      </c>
      <c r="BG44" s="289">
        <v>13</v>
      </c>
      <c r="BH44" s="289">
        <v>-26.5032</v>
      </c>
      <c r="BI44" s="289">
        <v>775</v>
      </c>
      <c r="BJ44" s="289">
        <v>-3.3391999999999999</v>
      </c>
      <c r="BK44" s="289">
        <v>0</v>
      </c>
      <c r="BL44" s="289">
        <v>0</v>
      </c>
      <c r="BM44" s="289">
        <v>0</v>
      </c>
      <c r="BN44" s="289">
        <v>0</v>
      </c>
      <c r="BO44" s="517">
        <v>0</v>
      </c>
      <c r="BP44" s="517">
        <v>0</v>
      </c>
      <c r="BQ44" s="289">
        <f t="shared" si="0"/>
        <v>-3.3391960422000002</v>
      </c>
      <c r="BR44" s="289">
        <v>0</v>
      </c>
      <c r="BS44" s="289">
        <f t="shared" si="1"/>
        <v>0</v>
      </c>
      <c r="BT44" s="289">
        <v>9</v>
      </c>
      <c r="BU44" s="289">
        <v>0</v>
      </c>
      <c r="BV44" s="289">
        <v>37</v>
      </c>
      <c r="BW44" s="289">
        <v>52.393999999999998</v>
      </c>
      <c r="BX44" s="289">
        <v>67.013000000000005</v>
      </c>
      <c r="CC44" s="517"/>
      <c r="CD44" s="85"/>
      <c r="CE44" s="517"/>
    </row>
    <row r="45" spans="1:83" ht="13">
      <c r="A45" s="1">
        <v>1114</v>
      </c>
      <c r="B45" s="2" t="s">
        <v>0</v>
      </c>
      <c r="C45" s="289">
        <v>2826</v>
      </c>
      <c r="D45" s="289">
        <v>77</v>
      </c>
      <c r="E45" s="289">
        <v>155</v>
      </c>
      <c r="F45" s="289">
        <v>442</v>
      </c>
      <c r="G45" s="289">
        <v>271</v>
      </c>
      <c r="H45" s="289">
        <v>1558</v>
      </c>
      <c r="I45" s="289">
        <v>247</v>
      </c>
      <c r="J45" s="289">
        <v>70</v>
      </c>
      <c r="K45" s="289">
        <v>26</v>
      </c>
      <c r="L45" s="289">
        <v>22</v>
      </c>
      <c r="M45" s="289">
        <v>117</v>
      </c>
      <c r="N45" s="290">
        <v>13</v>
      </c>
      <c r="O45" s="290">
        <v>24</v>
      </c>
      <c r="P45" s="624">
        <v>18829.982</v>
      </c>
      <c r="Q45" s="624">
        <v>11907.141333330001</v>
      </c>
      <c r="R45" s="624">
        <v>7</v>
      </c>
      <c r="S45" s="289">
        <v>0</v>
      </c>
      <c r="T45" s="289">
        <v>137</v>
      </c>
      <c r="U45" s="716">
        <v>3.6850809369684042E-3</v>
      </c>
      <c r="V45" s="289">
        <v>1011.34868598</v>
      </c>
      <c r="W45" s="743">
        <v>0.80267484</v>
      </c>
      <c r="X45" s="289">
        <v>600</v>
      </c>
      <c r="Y45" s="289">
        <v>0</v>
      </c>
      <c r="Z45" s="289">
        <v>71889</v>
      </c>
      <c r="AA45" s="289">
        <v>0</v>
      </c>
      <c r="AB45" s="290">
        <v>57</v>
      </c>
      <c r="AC45" s="289">
        <v>0</v>
      </c>
      <c r="AD45" s="289">
        <v>0</v>
      </c>
      <c r="AE45" s="289">
        <v>0</v>
      </c>
      <c r="AF45" s="289">
        <v>0</v>
      </c>
      <c r="AG45" s="289">
        <v>2846</v>
      </c>
      <c r="AH45" s="289">
        <v>503</v>
      </c>
      <c r="AI45" s="289">
        <v>0</v>
      </c>
      <c r="AJ45" s="289">
        <v>0</v>
      </c>
      <c r="AK45" s="289">
        <v>14.6409</v>
      </c>
      <c r="AL45" s="289"/>
      <c r="AM45" s="622">
        <v>3.7166009999999999E-2</v>
      </c>
      <c r="AN45" s="289">
        <v>0</v>
      </c>
      <c r="AO45" s="289">
        <v>-152.60005974000001</v>
      </c>
      <c r="AP45" s="289">
        <v>0</v>
      </c>
      <c r="AQ45" s="289">
        <v>0</v>
      </c>
      <c r="AR45" s="289">
        <v>4463.19262996</v>
      </c>
      <c r="AS45" s="289">
        <v>25.177099999999999</v>
      </c>
      <c r="AT45" s="289">
        <v>107</v>
      </c>
      <c r="AU45" s="289">
        <v>38</v>
      </c>
      <c r="AV45" s="625">
        <v>89876</v>
      </c>
      <c r="AW45" s="289">
        <v>-55.369</v>
      </c>
      <c r="AX45" s="625">
        <v>24.458333329999999</v>
      </c>
      <c r="AY45" s="289">
        <v>421</v>
      </c>
      <c r="AZ45" s="289">
        <v>73</v>
      </c>
      <c r="BA45" s="290">
        <v>36</v>
      </c>
      <c r="BB45" s="289">
        <v>2772</v>
      </c>
      <c r="BC45" s="289">
        <v>484</v>
      </c>
      <c r="BD45" s="289">
        <v>66.756699999999995</v>
      </c>
      <c r="BE45" s="289">
        <v>86541.943005010005</v>
      </c>
      <c r="BF45" s="289">
        <v>0</v>
      </c>
      <c r="BG45" s="289">
        <v>0</v>
      </c>
      <c r="BH45" s="289">
        <v>-23.187200000000001</v>
      </c>
      <c r="BI45" s="289">
        <v>503</v>
      </c>
      <c r="BJ45" s="289">
        <v>-2.9214000000000002</v>
      </c>
      <c r="BK45" s="289">
        <v>0</v>
      </c>
      <c r="BL45" s="289">
        <v>0</v>
      </c>
      <c r="BM45" s="289">
        <v>0</v>
      </c>
      <c r="BN45" s="289">
        <v>0</v>
      </c>
      <c r="BO45" s="517">
        <v>0</v>
      </c>
      <c r="BP45" s="517">
        <v>0</v>
      </c>
      <c r="BQ45" s="289">
        <f t="shared" si="0"/>
        <v>-2.9214116004000004</v>
      </c>
      <c r="BR45" s="289">
        <v>0</v>
      </c>
      <c r="BS45" s="289">
        <f t="shared" si="1"/>
        <v>0</v>
      </c>
      <c r="BT45" s="289">
        <v>8</v>
      </c>
      <c r="BU45" s="289">
        <v>0</v>
      </c>
      <c r="BV45" s="289">
        <v>33</v>
      </c>
      <c r="BW45" s="289">
        <v>157.18299999999999</v>
      </c>
      <c r="BX45" s="289">
        <v>58.371000000000002</v>
      </c>
      <c r="CC45" s="517"/>
      <c r="CD45" s="85"/>
      <c r="CE45" s="517"/>
    </row>
    <row r="46" spans="1:83" ht="13">
      <c r="A46" s="1">
        <v>1119</v>
      </c>
      <c r="B46" s="2" t="s">
        <v>1</v>
      </c>
      <c r="C46" s="289">
        <v>18762</v>
      </c>
      <c r="D46" s="289">
        <v>550</v>
      </c>
      <c r="E46" s="289">
        <v>1188</v>
      </c>
      <c r="F46" s="289">
        <v>2765</v>
      </c>
      <c r="G46" s="289">
        <v>1801</v>
      </c>
      <c r="H46" s="289">
        <v>10326</v>
      </c>
      <c r="I46" s="289">
        <v>1560</v>
      </c>
      <c r="J46" s="289">
        <v>467</v>
      </c>
      <c r="K46" s="289">
        <v>119</v>
      </c>
      <c r="L46" s="289">
        <v>131</v>
      </c>
      <c r="M46" s="289">
        <v>783</v>
      </c>
      <c r="N46" s="290">
        <v>274</v>
      </c>
      <c r="O46" s="290">
        <v>227</v>
      </c>
      <c r="P46" s="624">
        <v>44477.366000000002</v>
      </c>
      <c r="Q46" s="624">
        <v>32758.00466667</v>
      </c>
      <c r="R46" s="624">
        <v>53</v>
      </c>
      <c r="S46" s="289">
        <v>0</v>
      </c>
      <c r="T46" s="289">
        <v>1175</v>
      </c>
      <c r="U46" s="716">
        <v>8.4212636730445559E-3</v>
      </c>
      <c r="V46" s="289">
        <v>-13153.38199245</v>
      </c>
      <c r="W46" s="743">
        <v>0.57402196000000005</v>
      </c>
      <c r="X46" s="289">
        <v>0</v>
      </c>
      <c r="Y46" s="289">
        <v>392</v>
      </c>
      <c r="Z46" s="289">
        <v>474998</v>
      </c>
      <c r="AA46" s="289">
        <v>0</v>
      </c>
      <c r="AB46" s="290">
        <v>331</v>
      </c>
      <c r="AC46" s="289">
        <v>0</v>
      </c>
      <c r="AD46" s="289">
        <v>0</v>
      </c>
      <c r="AE46" s="289">
        <v>0</v>
      </c>
      <c r="AF46" s="289">
        <v>0</v>
      </c>
      <c r="AG46" s="289">
        <v>18776</v>
      </c>
      <c r="AH46" s="289">
        <v>3324</v>
      </c>
      <c r="AI46" s="289">
        <v>250</v>
      </c>
      <c r="AJ46" s="289">
        <v>0</v>
      </c>
      <c r="AK46" s="289">
        <v>105.1905</v>
      </c>
      <c r="AL46" s="289"/>
      <c r="AM46" s="622">
        <v>0.59554141000000005</v>
      </c>
      <c r="AN46" s="289">
        <v>0</v>
      </c>
      <c r="AO46" s="289">
        <v>-915.28405759999998</v>
      </c>
      <c r="AP46" s="289">
        <v>0</v>
      </c>
      <c r="AQ46" s="289">
        <v>0</v>
      </c>
      <c r="AR46" s="289">
        <v>-1341.99951063</v>
      </c>
      <c r="AS46" s="289">
        <v>211.05699999999999</v>
      </c>
      <c r="AT46" s="289">
        <v>953</v>
      </c>
      <c r="AU46" s="289">
        <v>291</v>
      </c>
      <c r="AV46" s="625">
        <v>426301</v>
      </c>
      <c r="AW46" s="289">
        <v>-9.5343999999999998</v>
      </c>
      <c r="AX46" s="625">
        <v>94.166666629999995</v>
      </c>
      <c r="AY46" s="289">
        <v>2716</v>
      </c>
      <c r="AZ46" s="289">
        <v>759</v>
      </c>
      <c r="BA46" s="290">
        <v>435</v>
      </c>
      <c r="BB46" s="289">
        <v>0</v>
      </c>
      <c r="BC46" s="289">
        <v>3743</v>
      </c>
      <c r="BD46" s="289">
        <v>441.15190000000001</v>
      </c>
      <c r="BE46" s="289">
        <v>435221.88765645999</v>
      </c>
      <c r="BF46" s="289">
        <v>0</v>
      </c>
      <c r="BG46" s="289">
        <v>11</v>
      </c>
      <c r="BH46" s="289">
        <v>-152.97380000000001</v>
      </c>
      <c r="BI46" s="289">
        <v>3716</v>
      </c>
      <c r="BJ46" s="289">
        <v>-19.273499999999999</v>
      </c>
      <c r="BK46" s="289">
        <v>0</v>
      </c>
      <c r="BL46" s="289">
        <v>0</v>
      </c>
      <c r="BM46" s="289">
        <v>0</v>
      </c>
      <c r="BN46" s="289">
        <v>0</v>
      </c>
      <c r="BO46" s="517">
        <v>0</v>
      </c>
      <c r="BP46" s="517">
        <v>0</v>
      </c>
      <c r="BQ46" s="289">
        <f t="shared" si="0"/>
        <v>-19.273515182399997</v>
      </c>
      <c r="BR46" s="289">
        <v>0</v>
      </c>
      <c r="BS46" s="289">
        <f t="shared" si="1"/>
        <v>0</v>
      </c>
      <c r="BT46" s="289">
        <v>60</v>
      </c>
      <c r="BU46" s="289">
        <v>0</v>
      </c>
      <c r="BV46" s="289">
        <v>167</v>
      </c>
      <c r="BW46" s="289">
        <v>0</v>
      </c>
      <c r="BX46" s="289">
        <v>391.19099999999997</v>
      </c>
      <c r="CC46" s="517"/>
      <c r="CD46" s="85"/>
      <c r="CE46" s="517"/>
    </row>
    <row r="47" spans="1:83" ht="13">
      <c r="A47" s="1">
        <v>1120</v>
      </c>
      <c r="B47" s="2" t="s">
        <v>2</v>
      </c>
      <c r="C47" s="289">
        <v>19217</v>
      </c>
      <c r="D47" s="289">
        <v>504</v>
      </c>
      <c r="E47" s="289">
        <v>1090</v>
      </c>
      <c r="F47" s="289">
        <v>2800</v>
      </c>
      <c r="G47" s="289">
        <v>1925</v>
      </c>
      <c r="H47" s="289">
        <v>10661</v>
      </c>
      <c r="I47" s="289">
        <v>1684</v>
      </c>
      <c r="J47" s="289">
        <v>428</v>
      </c>
      <c r="K47" s="289">
        <v>80</v>
      </c>
      <c r="L47" s="289">
        <v>137</v>
      </c>
      <c r="M47" s="289">
        <v>709</v>
      </c>
      <c r="N47" s="290">
        <v>357</v>
      </c>
      <c r="O47" s="290">
        <v>212</v>
      </c>
      <c r="P47" s="624">
        <v>35545.096333330002</v>
      </c>
      <c r="Q47" s="624">
        <v>24467.32766667</v>
      </c>
      <c r="R47" s="624">
        <v>59</v>
      </c>
      <c r="S47" s="289">
        <v>0</v>
      </c>
      <c r="T47" s="289">
        <v>1129</v>
      </c>
      <c r="U47" s="716">
        <v>5.9195878623243955E-3</v>
      </c>
      <c r="V47" s="289">
        <v>185.93324211000001</v>
      </c>
      <c r="W47" s="743">
        <v>0.54326746000000004</v>
      </c>
      <c r="X47" s="289">
        <v>0</v>
      </c>
      <c r="Y47" s="289">
        <v>392</v>
      </c>
      <c r="Z47" s="289">
        <v>545564</v>
      </c>
      <c r="AA47" s="289">
        <v>0</v>
      </c>
      <c r="AB47" s="290">
        <v>348</v>
      </c>
      <c r="AC47" s="289">
        <v>0</v>
      </c>
      <c r="AD47" s="289">
        <v>0</v>
      </c>
      <c r="AE47" s="289">
        <v>0</v>
      </c>
      <c r="AF47" s="289">
        <v>0</v>
      </c>
      <c r="AG47" s="289">
        <v>19172</v>
      </c>
      <c r="AH47" s="289">
        <v>3303</v>
      </c>
      <c r="AI47" s="289">
        <v>3800</v>
      </c>
      <c r="AJ47" s="289">
        <v>0</v>
      </c>
      <c r="AK47" s="289">
        <v>103.1983</v>
      </c>
      <c r="AL47" s="289"/>
      <c r="AM47" s="622">
        <v>0.84791388000000001</v>
      </c>
      <c r="AN47" s="289">
        <v>0</v>
      </c>
      <c r="AO47" s="289">
        <v>-908.95767904000002</v>
      </c>
      <c r="AP47" s="289">
        <v>0</v>
      </c>
      <c r="AQ47" s="289">
        <v>0</v>
      </c>
      <c r="AR47" s="289">
        <v>-1370.3032923799999</v>
      </c>
      <c r="AS47" s="289">
        <v>232.50129999999999</v>
      </c>
      <c r="AT47" s="289">
        <v>1002</v>
      </c>
      <c r="AU47" s="289">
        <v>434</v>
      </c>
      <c r="AV47" s="625">
        <v>414788</v>
      </c>
      <c r="AW47" s="289">
        <v>-9.7355</v>
      </c>
      <c r="AX47" s="625">
        <v>171.5</v>
      </c>
      <c r="AY47" s="289">
        <v>3087</v>
      </c>
      <c r="AZ47" s="289">
        <v>707</v>
      </c>
      <c r="BA47" s="290">
        <v>431</v>
      </c>
      <c r="BB47" s="289">
        <v>0</v>
      </c>
      <c r="BC47" s="289">
        <v>3636</v>
      </c>
      <c r="BD47" s="289">
        <v>438.3648</v>
      </c>
      <c r="BE47" s="289">
        <v>431564.83784557</v>
      </c>
      <c r="BF47" s="289">
        <v>0</v>
      </c>
      <c r="BG47" s="289">
        <v>11</v>
      </c>
      <c r="BH47" s="289">
        <v>-156.2002</v>
      </c>
      <c r="BI47" s="289">
        <v>3695</v>
      </c>
      <c r="BJ47" s="289">
        <v>-19.68</v>
      </c>
      <c r="BK47" s="289">
        <v>0</v>
      </c>
      <c r="BL47" s="289">
        <v>0</v>
      </c>
      <c r="BM47" s="289">
        <v>0</v>
      </c>
      <c r="BN47" s="289">
        <v>0</v>
      </c>
      <c r="BO47" s="517">
        <v>0</v>
      </c>
      <c r="BP47" s="517">
        <v>0</v>
      </c>
      <c r="BQ47" s="289">
        <f t="shared" si="0"/>
        <v>-19.680008152799999</v>
      </c>
      <c r="BR47" s="289">
        <v>0</v>
      </c>
      <c r="BS47" s="289">
        <f t="shared" si="1"/>
        <v>0</v>
      </c>
      <c r="BT47" s="289">
        <v>59</v>
      </c>
      <c r="BU47" s="289">
        <v>0</v>
      </c>
      <c r="BV47" s="289">
        <v>168</v>
      </c>
      <c r="BW47" s="289">
        <v>0</v>
      </c>
      <c r="BX47" s="289">
        <v>401.47300000000001</v>
      </c>
      <c r="CC47" s="517"/>
      <c r="CD47" s="85"/>
      <c r="CE47" s="517"/>
    </row>
    <row r="48" spans="1:83" ht="13">
      <c r="A48" s="1">
        <v>1121</v>
      </c>
      <c r="B48" s="2" t="s">
        <v>3</v>
      </c>
      <c r="C48" s="289">
        <v>18699</v>
      </c>
      <c r="D48" s="289">
        <v>527</v>
      </c>
      <c r="E48" s="289">
        <v>1098</v>
      </c>
      <c r="F48" s="289">
        <v>2648</v>
      </c>
      <c r="G48" s="289">
        <v>1729</v>
      </c>
      <c r="H48" s="289">
        <v>10573</v>
      </c>
      <c r="I48" s="289">
        <v>1527</v>
      </c>
      <c r="J48" s="289">
        <v>509</v>
      </c>
      <c r="K48" s="289">
        <v>98</v>
      </c>
      <c r="L48" s="289">
        <v>132</v>
      </c>
      <c r="M48" s="289">
        <v>761</v>
      </c>
      <c r="N48" s="290">
        <v>400</v>
      </c>
      <c r="O48" s="290">
        <v>180</v>
      </c>
      <c r="P48" s="624">
        <v>35894.302333330001</v>
      </c>
      <c r="Q48" s="624">
        <v>21313.373333330001</v>
      </c>
      <c r="R48" s="624">
        <v>56</v>
      </c>
      <c r="S48" s="289">
        <v>0</v>
      </c>
      <c r="T48" s="289">
        <v>1284</v>
      </c>
      <c r="U48" s="716">
        <v>4.8848494196485895E-3</v>
      </c>
      <c r="V48" s="289">
        <v>518.5121944</v>
      </c>
      <c r="W48" s="743">
        <v>0.54818882999999996</v>
      </c>
      <c r="X48" s="289">
        <v>0</v>
      </c>
      <c r="Y48" s="289">
        <v>392</v>
      </c>
      <c r="Z48" s="289">
        <v>540548</v>
      </c>
      <c r="AA48" s="289">
        <v>0</v>
      </c>
      <c r="AB48" s="290">
        <v>357</v>
      </c>
      <c r="AC48" s="289">
        <v>2166</v>
      </c>
      <c r="AD48" s="289">
        <v>0</v>
      </c>
      <c r="AE48" s="289">
        <v>0</v>
      </c>
      <c r="AF48" s="289">
        <v>0</v>
      </c>
      <c r="AG48" s="289">
        <v>18709</v>
      </c>
      <c r="AH48" s="289">
        <v>3142</v>
      </c>
      <c r="AI48" s="289">
        <v>600</v>
      </c>
      <c r="AJ48" s="289">
        <v>0</v>
      </c>
      <c r="AK48" s="289">
        <v>104.5261</v>
      </c>
      <c r="AL48" s="289"/>
      <c r="AM48" s="622">
        <v>0.65754060999999997</v>
      </c>
      <c r="AN48" s="289">
        <v>0</v>
      </c>
      <c r="AO48" s="289">
        <v>-895.54668213000002</v>
      </c>
      <c r="AP48" s="289">
        <v>0</v>
      </c>
      <c r="AQ48" s="289">
        <v>0</v>
      </c>
      <c r="AR48" s="289">
        <v>-1337.21073948</v>
      </c>
      <c r="AS48" s="289">
        <v>233.17660000000001</v>
      </c>
      <c r="AT48" s="289">
        <v>989</v>
      </c>
      <c r="AU48" s="289">
        <v>356</v>
      </c>
      <c r="AV48" s="625">
        <v>422637</v>
      </c>
      <c r="AW48" s="289">
        <v>-9.5004000000000008</v>
      </c>
      <c r="AX48" s="625">
        <v>150.79166670000001</v>
      </c>
      <c r="AY48" s="289">
        <v>4027</v>
      </c>
      <c r="AZ48" s="289">
        <v>650</v>
      </c>
      <c r="BA48" s="290">
        <v>396</v>
      </c>
      <c r="BB48" s="289">
        <v>0</v>
      </c>
      <c r="BC48" s="289">
        <v>3420</v>
      </c>
      <c r="BD48" s="289">
        <v>416.99740000000003</v>
      </c>
      <c r="BE48" s="289">
        <v>430189.04409623001</v>
      </c>
      <c r="BF48" s="289">
        <v>0</v>
      </c>
      <c r="BG48" s="289">
        <v>11</v>
      </c>
      <c r="BH48" s="289">
        <v>-152.428</v>
      </c>
      <c r="BI48" s="289">
        <v>3534</v>
      </c>
      <c r="BJ48" s="289">
        <v>-19.204699999999999</v>
      </c>
      <c r="BK48" s="289">
        <v>0</v>
      </c>
      <c r="BL48" s="289">
        <v>0</v>
      </c>
      <c r="BM48" s="289">
        <v>0</v>
      </c>
      <c r="BN48" s="289">
        <v>0</v>
      </c>
      <c r="BO48" s="517">
        <v>0</v>
      </c>
      <c r="BP48" s="517">
        <v>0</v>
      </c>
      <c r="BQ48" s="289">
        <f t="shared" si="0"/>
        <v>-19.2047398566</v>
      </c>
      <c r="BR48" s="289">
        <v>0</v>
      </c>
      <c r="BS48" s="289">
        <f t="shared" si="1"/>
        <v>0</v>
      </c>
      <c r="BT48" s="289">
        <v>60</v>
      </c>
      <c r="BU48" s="289">
        <v>0</v>
      </c>
      <c r="BV48" s="289">
        <v>163</v>
      </c>
      <c r="BW48" s="289">
        <v>0</v>
      </c>
      <c r="BX48" s="289">
        <v>390.94200000000001</v>
      </c>
      <c r="CC48" s="517"/>
      <c r="CD48" s="85"/>
      <c r="CE48" s="517"/>
    </row>
    <row r="49" spans="1:83" ht="13">
      <c r="A49" s="1">
        <v>1122</v>
      </c>
      <c r="B49" s="2" t="s">
        <v>4</v>
      </c>
      <c r="C49" s="289">
        <v>11866</v>
      </c>
      <c r="D49" s="289">
        <v>365</v>
      </c>
      <c r="E49" s="289">
        <v>791</v>
      </c>
      <c r="F49" s="289">
        <v>1711</v>
      </c>
      <c r="G49" s="289">
        <v>1143</v>
      </c>
      <c r="H49" s="289">
        <v>6818</v>
      </c>
      <c r="I49" s="289">
        <v>813</v>
      </c>
      <c r="J49" s="289">
        <v>210</v>
      </c>
      <c r="K49" s="289">
        <v>50</v>
      </c>
      <c r="L49" s="289">
        <v>97</v>
      </c>
      <c r="M49" s="289">
        <v>393</v>
      </c>
      <c r="N49" s="290">
        <v>192</v>
      </c>
      <c r="O49" s="290">
        <v>156</v>
      </c>
      <c r="P49" s="624">
        <v>68672.048333330007</v>
      </c>
      <c r="Q49" s="624">
        <v>23579.017</v>
      </c>
      <c r="R49" s="624">
        <v>36</v>
      </c>
      <c r="S49" s="289">
        <v>0</v>
      </c>
      <c r="T49" s="289">
        <v>621</v>
      </c>
      <c r="U49" s="716">
        <v>3.0502441368586179E-3</v>
      </c>
      <c r="V49" s="289">
        <v>2973.8673718099999</v>
      </c>
      <c r="W49" s="743">
        <v>0.59379216000000001</v>
      </c>
      <c r="X49" s="289">
        <v>800</v>
      </c>
      <c r="Y49" s="289">
        <v>392</v>
      </c>
      <c r="Z49" s="289">
        <v>315579</v>
      </c>
      <c r="AA49" s="289">
        <v>0</v>
      </c>
      <c r="AB49" s="290">
        <v>187</v>
      </c>
      <c r="AC49" s="289">
        <v>1867</v>
      </c>
      <c r="AD49" s="289">
        <v>0</v>
      </c>
      <c r="AE49" s="289">
        <v>2003</v>
      </c>
      <c r="AF49" s="289">
        <v>0</v>
      </c>
      <c r="AG49" s="289">
        <v>11901</v>
      </c>
      <c r="AH49" s="289">
        <v>2129</v>
      </c>
      <c r="AI49" s="289">
        <v>250</v>
      </c>
      <c r="AJ49" s="289">
        <v>0</v>
      </c>
      <c r="AK49" s="289">
        <v>73.004900000000006</v>
      </c>
      <c r="AL49" s="289"/>
      <c r="AM49" s="622">
        <v>0.56519222000000002</v>
      </c>
      <c r="AN49" s="289">
        <v>0</v>
      </c>
      <c r="AO49" s="289">
        <v>-580.70117433999997</v>
      </c>
      <c r="AP49" s="289">
        <v>0</v>
      </c>
      <c r="AQ49" s="289">
        <v>0</v>
      </c>
      <c r="AR49" s="289">
        <v>-850.61441074000004</v>
      </c>
      <c r="AS49" s="289">
        <v>137.9684</v>
      </c>
      <c r="AT49" s="289">
        <v>615</v>
      </c>
      <c r="AU49" s="289">
        <v>263</v>
      </c>
      <c r="AV49" s="625">
        <v>278851</v>
      </c>
      <c r="AW49" s="289">
        <v>-6.0433000000000003</v>
      </c>
      <c r="AX49" s="625">
        <v>101.08333333</v>
      </c>
      <c r="AY49" s="289">
        <v>2054</v>
      </c>
      <c r="AZ49" s="289">
        <v>495</v>
      </c>
      <c r="BA49" s="290">
        <v>257</v>
      </c>
      <c r="BB49" s="289">
        <v>0</v>
      </c>
      <c r="BC49" s="289">
        <v>2443</v>
      </c>
      <c r="BD49" s="289">
        <v>282.55489999999998</v>
      </c>
      <c r="BE49" s="289">
        <v>290713.4235419</v>
      </c>
      <c r="BF49" s="289">
        <v>0</v>
      </c>
      <c r="BG49" s="289">
        <v>11</v>
      </c>
      <c r="BH49" s="289">
        <v>-96.961100000000002</v>
      </c>
      <c r="BI49" s="289">
        <v>2521</v>
      </c>
      <c r="BJ49" s="289">
        <v>-12.2163</v>
      </c>
      <c r="BK49" s="289">
        <v>0</v>
      </c>
      <c r="BL49" s="289">
        <v>0</v>
      </c>
      <c r="BM49" s="289">
        <v>0</v>
      </c>
      <c r="BN49" s="289">
        <v>0</v>
      </c>
      <c r="BO49" s="517">
        <v>0</v>
      </c>
      <c r="BP49" s="517">
        <v>0</v>
      </c>
      <c r="BQ49" s="289">
        <f t="shared" si="0"/>
        <v>-12.2163455574</v>
      </c>
      <c r="BR49" s="289">
        <v>0</v>
      </c>
      <c r="BS49" s="289">
        <f t="shared" si="1"/>
        <v>0</v>
      </c>
      <c r="BT49" s="289">
        <v>42</v>
      </c>
      <c r="BU49" s="289">
        <v>0</v>
      </c>
      <c r="BV49" s="289">
        <v>107</v>
      </c>
      <c r="BW49" s="289">
        <v>209.577</v>
      </c>
      <c r="BX49" s="289">
        <v>247.19499999999999</v>
      </c>
      <c r="CC49" s="517"/>
      <c r="CD49" s="85"/>
      <c r="CE49" s="517"/>
    </row>
    <row r="50" spans="1:83" ht="13">
      <c r="A50" s="1">
        <v>1124</v>
      </c>
      <c r="B50" s="2" t="s">
        <v>5</v>
      </c>
      <c r="C50" s="289">
        <v>26265</v>
      </c>
      <c r="D50" s="289">
        <v>719</v>
      </c>
      <c r="E50" s="289">
        <v>1538</v>
      </c>
      <c r="F50" s="289">
        <v>3655</v>
      </c>
      <c r="G50" s="289">
        <v>2368</v>
      </c>
      <c r="H50" s="289">
        <v>15065</v>
      </c>
      <c r="I50" s="289">
        <v>2023</v>
      </c>
      <c r="J50" s="289">
        <v>657</v>
      </c>
      <c r="K50" s="289">
        <v>135</v>
      </c>
      <c r="L50" s="289">
        <v>178</v>
      </c>
      <c r="M50" s="289">
        <v>998</v>
      </c>
      <c r="N50" s="290">
        <v>436</v>
      </c>
      <c r="O50" s="290">
        <v>319</v>
      </c>
      <c r="P50" s="624">
        <v>38082.607333330001</v>
      </c>
      <c r="Q50" s="624">
        <v>46422.881999999998</v>
      </c>
      <c r="R50" s="624">
        <v>74</v>
      </c>
      <c r="S50" s="289">
        <v>0</v>
      </c>
      <c r="T50" s="289">
        <v>1602</v>
      </c>
      <c r="U50" s="716">
        <v>3.1318737962814942E-3</v>
      </c>
      <c r="V50" s="289">
        <v>7007.2491020099997</v>
      </c>
      <c r="W50" s="743">
        <v>0.55371448000000001</v>
      </c>
      <c r="X50" s="289">
        <v>0</v>
      </c>
      <c r="Y50" s="289">
        <v>392</v>
      </c>
      <c r="Z50" s="289">
        <v>971476</v>
      </c>
      <c r="AA50" s="289">
        <v>0</v>
      </c>
      <c r="AB50" s="290">
        <v>311</v>
      </c>
      <c r="AC50" s="289">
        <v>0</v>
      </c>
      <c r="AD50" s="289">
        <v>0</v>
      </c>
      <c r="AE50" s="289">
        <v>0</v>
      </c>
      <c r="AF50" s="289">
        <v>0</v>
      </c>
      <c r="AG50" s="289">
        <v>26160</v>
      </c>
      <c r="AH50" s="289">
        <v>4308</v>
      </c>
      <c r="AI50" s="289">
        <v>1800</v>
      </c>
      <c r="AJ50" s="289">
        <v>0</v>
      </c>
      <c r="AK50" s="289">
        <v>148.83359999999999</v>
      </c>
      <c r="AL50" s="289"/>
      <c r="AM50" s="622">
        <v>1.5133373699999999</v>
      </c>
      <c r="AN50" s="289">
        <v>0</v>
      </c>
      <c r="AO50" s="289">
        <v>-1237.1655015599999</v>
      </c>
      <c r="AP50" s="289">
        <v>0</v>
      </c>
      <c r="AQ50" s="289">
        <v>0</v>
      </c>
      <c r="AR50" s="289">
        <v>-1869.7649764600001</v>
      </c>
      <c r="AS50" s="289">
        <v>323.43939999999998</v>
      </c>
      <c r="AT50" s="289">
        <v>1246</v>
      </c>
      <c r="AU50" s="289">
        <v>723</v>
      </c>
      <c r="AV50" s="625">
        <v>558404</v>
      </c>
      <c r="AW50" s="289">
        <v>-13.284000000000001</v>
      </c>
      <c r="AX50" s="625">
        <v>218.33333329999999</v>
      </c>
      <c r="AY50" s="289">
        <v>6559</v>
      </c>
      <c r="AZ50" s="289">
        <v>1137</v>
      </c>
      <c r="BA50" s="290">
        <v>495</v>
      </c>
      <c r="BB50" s="289">
        <v>0</v>
      </c>
      <c r="BC50" s="289">
        <v>4603</v>
      </c>
      <c r="BD50" s="289">
        <v>571.74559999999997</v>
      </c>
      <c r="BE50" s="289">
        <v>592092.14469171001</v>
      </c>
      <c r="BF50" s="289">
        <v>0</v>
      </c>
      <c r="BG50" s="289">
        <v>11</v>
      </c>
      <c r="BH50" s="289">
        <v>-213.1335</v>
      </c>
      <c r="BI50" s="289">
        <v>4700</v>
      </c>
      <c r="BJ50" s="289">
        <v>-26.853200000000001</v>
      </c>
      <c r="BK50" s="289">
        <v>0</v>
      </c>
      <c r="BL50" s="289">
        <v>0</v>
      </c>
      <c r="BM50" s="289">
        <v>0</v>
      </c>
      <c r="BN50" s="289">
        <v>0</v>
      </c>
      <c r="BO50" s="517">
        <v>0</v>
      </c>
      <c r="BP50" s="517">
        <v>0</v>
      </c>
      <c r="BQ50" s="289">
        <f t="shared" si="0"/>
        <v>-26.853171983999999</v>
      </c>
      <c r="BR50" s="289">
        <v>0</v>
      </c>
      <c r="BS50" s="289">
        <f t="shared" si="1"/>
        <v>0</v>
      </c>
      <c r="BT50" s="289">
        <v>85</v>
      </c>
      <c r="BU50" s="289">
        <v>0</v>
      </c>
      <c r="BV50" s="289">
        <v>225</v>
      </c>
      <c r="BW50" s="289">
        <v>0</v>
      </c>
      <c r="BX50" s="289">
        <v>548.33600000000001</v>
      </c>
      <c r="CC50" s="517"/>
      <c r="CD50" s="85"/>
      <c r="CE50" s="517"/>
    </row>
    <row r="51" spans="1:83" ht="13">
      <c r="A51" s="1">
        <v>1127</v>
      </c>
      <c r="B51" s="2" t="s">
        <v>6</v>
      </c>
      <c r="C51" s="289">
        <v>10972</v>
      </c>
      <c r="D51" s="289">
        <v>292</v>
      </c>
      <c r="E51" s="289">
        <v>636</v>
      </c>
      <c r="F51" s="289">
        <v>1542</v>
      </c>
      <c r="G51" s="289">
        <v>1145</v>
      </c>
      <c r="H51" s="289">
        <v>6064</v>
      </c>
      <c r="I51" s="289">
        <v>928</v>
      </c>
      <c r="J51" s="289">
        <v>310</v>
      </c>
      <c r="K51" s="289">
        <v>58</v>
      </c>
      <c r="L51" s="289">
        <v>71</v>
      </c>
      <c r="M51" s="289">
        <v>414</v>
      </c>
      <c r="N51" s="290">
        <v>156</v>
      </c>
      <c r="O51" s="290">
        <v>84</v>
      </c>
      <c r="P51" s="624">
        <v>6578.0810000000001</v>
      </c>
      <c r="Q51" s="624">
        <v>15251.96166667</v>
      </c>
      <c r="R51" s="624">
        <v>35</v>
      </c>
      <c r="S51" s="289">
        <v>0</v>
      </c>
      <c r="T51" s="289">
        <v>600</v>
      </c>
      <c r="U51" s="716">
        <v>1.4138385274502035E-3</v>
      </c>
      <c r="V51" s="289">
        <v>942.10863755000003</v>
      </c>
      <c r="W51" s="743">
        <v>0.54615521</v>
      </c>
      <c r="X51" s="289">
        <v>6500</v>
      </c>
      <c r="Y51" s="289">
        <v>392</v>
      </c>
      <c r="Z51" s="289">
        <v>354189</v>
      </c>
      <c r="AA51" s="289">
        <v>0</v>
      </c>
      <c r="AB51" s="290">
        <v>157</v>
      </c>
      <c r="AC51" s="289">
        <v>0</v>
      </c>
      <c r="AD51" s="289">
        <v>0</v>
      </c>
      <c r="AE51" s="289">
        <v>259</v>
      </c>
      <c r="AF51" s="289">
        <v>0</v>
      </c>
      <c r="AG51" s="289">
        <v>10975</v>
      </c>
      <c r="AH51" s="289">
        <v>1846</v>
      </c>
      <c r="AI51" s="289">
        <v>0</v>
      </c>
      <c r="AJ51" s="289">
        <v>0</v>
      </c>
      <c r="AK51" s="289">
        <v>62.504399999999997</v>
      </c>
      <c r="AL51" s="289"/>
      <c r="AM51" s="622">
        <v>0.40460445</v>
      </c>
      <c r="AN51" s="289">
        <v>0</v>
      </c>
      <c r="AO51" s="289">
        <v>-524.84923045000005</v>
      </c>
      <c r="AP51" s="289">
        <v>0</v>
      </c>
      <c r="AQ51" s="289">
        <v>0</v>
      </c>
      <c r="AR51" s="289">
        <v>-784.42930492000005</v>
      </c>
      <c r="AS51" s="289">
        <v>118.67400000000001</v>
      </c>
      <c r="AT51" s="289">
        <v>516</v>
      </c>
      <c r="AU51" s="289">
        <v>225</v>
      </c>
      <c r="AV51" s="625">
        <v>242058</v>
      </c>
      <c r="AW51" s="289">
        <v>-5.5731000000000002</v>
      </c>
      <c r="AX51" s="625">
        <v>116.5</v>
      </c>
      <c r="AY51" s="289">
        <v>2382</v>
      </c>
      <c r="AZ51" s="289">
        <v>412</v>
      </c>
      <c r="BA51" s="290">
        <v>246</v>
      </c>
      <c r="BB51" s="289">
        <v>0</v>
      </c>
      <c r="BC51" s="289">
        <v>2164</v>
      </c>
      <c r="BD51" s="289">
        <v>244.99590000000001</v>
      </c>
      <c r="BE51" s="289">
        <v>259410.89749038001</v>
      </c>
      <c r="BF51" s="289">
        <v>0</v>
      </c>
      <c r="BG51" s="289">
        <v>11</v>
      </c>
      <c r="BH51" s="289">
        <v>-89.416700000000006</v>
      </c>
      <c r="BI51" s="289">
        <v>2238</v>
      </c>
      <c r="BJ51" s="289">
        <v>-11.2658</v>
      </c>
      <c r="BK51" s="289">
        <v>0</v>
      </c>
      <c r="BL51" s="289">
        <v>0</v>
      </c>
      <c r="BM51" s="289">
        <v>0</v>
      </c>
      <c r="BN51" s="289">
        <v>0</v>
      </c>
      <c r="BO51" s="517">
        <v>0</v>
      </c>
      <c r="BP51" s="517">
        <v>0</v>
      </c>
      <c r="BQ51" s="289">
        <f t="shared" si="0"/>
        <v>-11.265808965</v>
      </c>
      <c r="BR51" s="289">
        <v>0</v>
      </c>
      <c r="BS51" s="289">
        <f t="shared" si="1"/>
        <v>0</v>
      </c>
      <c r="BT51" s="289">
        <v>36</v>
      </c>
      <c r="BU51" s="289">
        <v>0</v>
      </c>
      <c r="BV51" s="289">
        <v>98</v>
      </c>
      <c r="BW51" s="289">
        <v>157.18299999999999</v>
      </c>
      <c r="BX51" s="289">
        <v>229.37200000000001</v>
      </c>
      <c r="CC51" s="517"/>
      <c r="CD51" s="85"/>
      <c r="CE51" s="517"/>
    </row>
    <row r="52" spans="1:83" ht="13">
      <c r="A52" s="1">
        <v>1129</v>
      </c>
      <c r="B52" s="2" t="s">
        <v>7</v>
      </c>
      <c r="C52" s="289">
        <v>1246</v>
      </c>
      <c r="D52" s="289">
        <v>25</v>
      </c>
      <c r="E52" s="289">
        <v>58</v>
      </c>
      <c r="F52" s="289">
        <v>213</v>
      </c>
      <c r="G52" s="289">
        <v>106</v>
      </c>
      <c r="H52" s="289">
        <v>650</v>
      </c>
      <c r="I52" s="289">
        <v>131</v>
      </c>
      <c r="J52" s="289">
        <v>53</v>
      </c>
      <c r="K52" s="289">
        <v>4</v>
      </c>
      <c r="L52" s="289">
        <v>10</v>
      </c>
      <c r="M52" s="289">
        <v>78</v>
      </c>
      <c r="N52" s="290">
        <v>1.5</v>
      </c>
      <c r="O52" s="290">
        <v>26</v>
      </c>
      <c r="P52" s="624">
        <v>6195.5733333300004</v>
      </c>
      <c r="Q52" s="624">
        <v>10462.527</v>
      </c>
      <c r="R52" s="624">
        <v>11</v>
      </c>
      <c r="S52" s="289">
        <v>0</v>
      </c>
      <c r="T52" s="289">
        <v>74</v>
      </c>
      <c r="U52" s="716">
        <v>1.3211745460148868E-3</v>
      </c>
      <c r="V52" s="289">
        <v>176.66580012</v>
      </c>
      <c r="W52" s="743">
        <v>0.83921962000000005</v>
      </c>
      <c r="X52" s="289">
        <v>0</v>
      </c>
      <c r="Y52" s="289">
        <v>0</v>
      </c>
      <c r="Z52" s="289">
        <v>49511</v>
      </c>
      <c r="AA52" s="289">
        <v>0</v>
      </c>
      <c r="AB52" s="290">
        <v>20</v>
      </c>
      <c r="AC52" s="289">
        <v>0</v>
      </c>
      <c r="AD52" s="289">
        <v>840.29399999999998</v>
      </c>
      <c r="AE52" s="289">
        <v>0</v>
      </c>
      <c r="AF52" s="289">
        <v>0</v>
      </c>
      <c r="AG52" s="289">
        <v>1240</v>
      </c>
      <c r="AH52" s="289">
        <v>216</v>
      </c>
      <c r="AI52" s="289">
        <v>0</v>
      </c>
      <c r="AJ52" s="289">
        <v>0</v>
      </c>
      <c r="AK52" s="289">
        <v>5.5248999999999997</v>
      </c>
      <c r="AL52" s="289"/>
      <c r="AM52" s="622">
        <v>4.6044420000000003E-2</v>
      </c>
      <c r="AN52" s="289">
        <v>0</v>
      </c>
      <c r="AO52" s="289">
        <v>-84.240758310000004</v>
      </c>
      <c r="AP52" s="289">
        <v>0</v>
      </c>
      <c r="AQ52" s="289">
        <v>0</v>
      </c>
      <c r="AR52" s="289">
        <v>-88.628003469999996</v>
      </c>
      <c r="AS52" s="289">
        <v>12.485900000000001</v>
      </c>
      <c r="AT52" s="289">
        <v>65</v>
      </c>
      <c r="AU52" s="289">
        <v>18</v>
      </c>
      <c r="AV52" s="625">
        <v>54022</v>
      </c>
      <c r="AW52" s="289">
        <v>-0.62970000000000004</v>
      </c>
      <c r="AX52" s="625">
        <v>8.5833333300000003</v>
      </c>
      <c r="AY52" s="289">
        <v>196</v>
      </c>
      <c r="AZ52" s="289">
        <v>61</v>
      </c>
      <c r="BA52" s="290">
        <v>30</v>
      </c>
      <c r="BB52" s="289">
        <v>0</v>
      </c>
      <c r="BC52" s="289">
        <v>279</v>
      </c>
      <c r="BD52" s="289">
        <v>28.666899999999998</v>
      </c>
      <c r="BE52" s="289">
        <v>55198.166108329999</v>
      </c>
      <c r="BF52" s="289">
        <v>0</v>
      </c>
      <c r="BG52" s="289">
        <v>0</v>
      </c>
      <c r="BH52" s="289">
        <v>-10.1027</v>
      </c>
      <c r="BI52" s="289">
        <v>1056.2940000000001</v>
      </c>
      <c r="BJ52" s="289">
        <v>-230.33690000000001</v>
      </c>
      <c r="BK52" s="289">
        <v>0</v>
      </c>
      <c r="BL52" s="289">
        <v>0</v>
      </c>
      <c r="BM52" s="289">
        <v>134</v>
      </c>
      <c r="BN52" s="289">
        <v>0</v>
      </c>
      <c r="BO52" s="517">
        <v>0</v>
      </c>
      <c r="BP52" s="517">
        <v>0</v>
      </c>
      <c r="BQ52" s="289">
        <f t="shared" si="0"/>
        <v>-1.272856776</v>
      </c>
      <c r="BR52" s="289">
        <v>611.23</v>
      </c>
      <c r="BS52" s="289">
        <f t="shared" si="1"/>
        <v>-229.06399999999996</v>
      </c>
      <c r="BT52" s="289">
        <v>3</v>
      </c>
      <c r="BU52" s="289">
        <v>0</v>
      </c>
      <c r="BV52" s="289">
        <v>20</v>
      </c>
      <c r="BW52" s="289">
        <v>52.393999999999998</v>
      </c>
      <c r="BX52" s="289">
        <v>25.571000000000002</v>
      </c>
      <c r="CC52" s="517"/>
      <c r="CD52" s="85"/>
      <c r="CE52" s="517"/>
    </row>
    <row r="53" spans="1:83" ht="13">
      <c r="A53" s="1">
        <v>1130</v>
      </c>
      <c r="B53" s="2" t="s">
        <v>12</v>
      </c>
      <c r="C53" s="289">
        <v>12638</v>
      </c>
      <c r="D53" s="289">
        <v>344</v>
      </c>
      <c r="E53" s="289">
        <v>728</v>
      </c>
      <c r="F53" s="289">
        <v>1807</v>
      </c>
      <c r="G53" s="289">
        <v>1240</v>
      </c>
      <c r="H53" s="289">
        <v>6888</v>
      </c>
      <c r="I53" s="289">
        <v>1191</v>
      </c>
      <c r="J53" s="289">
        <v>403</v>
      </c>
      <c r="K53" s="289">
        <v>100</v>
      </c>
      <c r="L53" s="289">
        <v>87</v>
      </c>
      <c r="M53" s="289">
        <v>581</v>
      </c>
      <c r="N53" s="290">
        <v>153</v>
      </c>
      <c r="O53" s="290">
        <v>121</v>
      </c>
      <c r="P53" s="624">
        <v>27593.716333330001</v>
      </c>
      <c r="Q53" s="624">
        <v>20527.048999999999</v>
      </c>
      <c r="R53" s="624">
        <v>59</v>
      </c>
      <c r="S53" s="289">
        <v>0</v>
      </c>
      <c r="T53" s="289">
        <v>773</v>
      </c>
      <c r="U53" s="716">
        <v>2.9331863134606931E-3</v>
      </c>
      <c r="V53" s="289">
        <v>-2907.7685471200002</v>
      </c>
      <c r="W53" s="743">
        <v>0.57669663000000004</v>
      </c>
      <c r="X53" s="289">
        <v>3100</v>
      </c>
      <c r="Y53" s="289">
        <v>392</v>
      </c>
      <c r="Z53" s="289">
        <v>341974</v>
      </c>
      <c r="AA53" s="289">
        <v>0</v>
      </c>
      <c r="AB53" s="290">
        <v>220</v>
      </c>
      <c r="AC53" s="289">
        <v>1979</v>
      </c>
      <c r="AD53" s="289">
        <v>0</v>
      </c>
      <c r="AE53" s="289">
        <v>116</v>
      </c>
      <c r="AF53" s="289">
        <v>0</v>
      </c>
      <c r="AG53" s="289">
        <v>12701</v>
      </c>
      <c r="AH53" s="289">
        <v>2169</v>
      </c>
      <c r="AI53" s="289">
        <v>2200</v>
      </c>
      <c r="AJ53" s="289">
        <v>0</v>
      </c>
      <c r="AK53" s="289">
        <v>68.693899999999999</v>
      </c>
      <c r="AL53" s="289"/>
      <c r="AM53" s="622">
        <v>0.70998545000000002</v>
      </c>
      <c r="AN53" s="289">
        <v>0</v>
      </c>
      <c r="AO53" s="289">
        <v>-645.73366047000002</v>
      </c>
      <c r="AP53" s="289">
        <v>0</v>
      </c>
      <c r="AQ53" s="289">
        <v>0</v>
      </c>
      <c r="AR53" s="289">
        <v>-907.79376781999997</v>
      </c>
      <c r="AS53" s="289">
        <v>155.48750000000001</v>
      </c>
      <c r="AT53" s="289">
        <v>611</v>
      </c>
      <c r="AU53" s="289">
        <v>276</v>
      </c>
      <c r="AV53" s="625">
        <v>313894</v>
      </c>
      <c r="AW53" s="289">
        <v>-6.4494999999999996</v>
      </c>
      <c r="AX53" s="625">
        <v>108.16666667</v>
      </c>
      <c r="AY53" s="289">
        <v>2143</v>
      </c>
      <c r="AZ53" s="289">
        <v>675</v>
      </c>
      <c r="BA53" s="290">
        <v>365</v>
      </c>
      <c r="BB53" s="289">
        <v>0</v>
      </c>
      <c r="BC53" s="289">
        <v>2513</v>
      </c>
      <c r="BD53" s="289">
        <v>287.86349999999999</v>
      </c>
      <c r="BE53" s="289">
        <v>330999.64298801997</v>
      </c>
      <c r="BF53" s="289">
        <v>0</v>
      </c>
      <c r="BG53" s="289">
        <v>11</v>
      </c>
      <c r="BH53" s="289">
        <v>-103.4789</v>
      </c>
      <c r="BI53" s="289">
        <v>2561</v>
      </c>
      <c r="BJ53" s="289">
        <v>-13.0375</v>
      </c>
      <c r="BK53" s="289">
        <v>0</v>
      </c>
      <c r="BL53" s="289">
        <v>0</v>
      </c>
      <c r="BM53" s="289">
        <v>0</v>
      </c>
      <c r="BN53" s="289">
        <v>0</v>
      </c>
      <c r="BO53" s="517">
        <v>0</v>
      </c>
      <c r="BP53" s="517">
        <v>0</v>
      </c>
      <c r="BQ53" s="289">
        <f t="shared" si="0"/>
        <v>-13.0375434774</v>
      </c>
      <c r="BR53" s="289">
        <v>0</v>
      </c>
      <c r="BS53" s="289">
        <f t="shared" si="1"/>
        <v>0</v>
      </c>
      <c r="BT53" s="289">
        <v>39</v>
      </c>
      <c r="BU53" s="289">
        <v>0</v>
      </c>
      <c r="BV53" s="289">
        <v>117</v>
      </c>
      <c r="BW53" s="289">
        <v>157.18299999999999</v>
      </c>
      <c r="BX53" s="289">
        <v>264.041</v>
      </c>
      <c r="CC53" s="517"/>
      <c r="CD53" s="85"/>
      <c r="CE53" s="517"/>
    </row>
    <row r="54" spans="1:83" ht="13">
      <c r="A54" s="1">
        <v>1133</v>
      </c>
      <c r="B54" s="2" t="s">
        <v>13</v>
      </c>
      <c r="C54" s="289">
        <v>2723</v>
      </c>
      <c r="D54" s="289">
        <v>63</v>
      </c>
      <c r="E54" s="289">
        <v>147</v>
      </c>
      <c r="F54" s="289">
        <v>387</v>
      </c>
      <c r="G54" s="289">
        <v>244</v>
      </c>
      <c r="H54" s="289">
        <v>1394</v>
      </c>
      <c r="I54" s="289">
        <v>340</v>
      </c>
      <c r="J54" s="289">
        <v>114</v>
      </c>
      <c r="K54" s="289">
        <v>29</v>
      </c>
      <c r="L54" s="289">
        <v>24</v>
      </c>
      <c r="M54" s="289">
        <v>191</v>
      </c>
      <c r="N54" s="290">
        <v>48</v>
      </c>
      <c r="O54" s="290">
        <v>49</v>
      </c>
      <c r="P54" s="624">
        <v>29493.29</v>
      </c>
      <c r="Q54" s="624">
        <v>14327.900333330001</v>
      </c>
      <c r="R54" s="624">
        <v>8</v>
      </c>
      <c r="S54" s="289">
        <v>0</v>
      </c>
      <c r="T54" s="289">
        <v>183</v>
      </c>
      <c r="U54" s="716">
        <v>4.014106140482262E-3</v>
      </c>
      <c r="V54" s="289">
        <v>1175.6327893800001</v>
      </c>
      <c r="W54" s="743">
        <v>1</v>
      </c>
      <c r="X54" s="289">
        <v>1000</v>
      </c>
      <c r="Y54" s="289">
        <v>392</v>
      </c>
      <c r="Z54" s="289">
        <v>94750</v>
      </c>
      <c r="AA54" s="289">
        <v>0</v>
      </c>
      <c r="AB54" s="290">
        <v>36</v>
      </c>
      <c r="AC54" s="289">
        <v>0</v>
      </c>
      <c r="AD54" s="289">
        <v>0</v>
      </c>
      <c r="AE54" s="289">
        <v>0</v>
      </c>
      <c r="AF54" s="289">
        <v>0</v>
      </c>
      <c r="AG54" s="289">
        <v>2718</v>
      </c>
      <c r="AH54" s="289">
        <v>449</v>
      </c>
      <c r="AI54" s="289">
        <v>0</v>
      </c>
      <c r="AJ54" s="289">
        <v>0</v>
      </c>
      <c r="AK54" s="289">
        <v>13.9185</v>
      </c>
      <c r="AL54" s="289"/>
      <c r="AM54" s="622">
        <v>9.1606140000000003E-2</v>
      </c>
      <c r="AN54" s="289">
        <v>0</v>
      </c>
      <c r="AO54" s="289">
        <v>-163.51624551</v>
      </c>
      <c r="AP54" s="289">
        <v>0</v>
      </c>
      <c r="AQ54" s="289">
        <v>0</v>
      </c>
      <c r="AR54" s="289">
        <v>-194.26686566999999</v>
      </c>
      <c r="AS54" s="289">
        <v>30.531700000000001</v>
      </c>
      <c r="AT54" s="289">
        <v>111</v>
      </c>
      <c r="AU54" s="289">
        <v>34</v>
      </c>
      <c r="AV54" s="625">
        <v>95255</v>
      </c>
      <c r="AW54" s="289">
        <v>-1.3802000000000001</v>
      </c>
      <c r="AX54" s="625">
        <v>20.625</v>
      </c>
      <c r="AY54" s="289">
        <v>491</v>
      </c>
      <c r="AZ54" s="289">
        <v>178</v>
      </c>
      <c r="BA54" s="290">
        <v>39</v>
      </c>
      <c r="BB54" s="289">
        <v>0</v>
      </c>
      <c r="BC54" s="289">
        <v>952</v>
      </c>
      <c r="BD54" s="289">
        <v>59.59</v>
      </c>
      <c r="BE54" s="289">
        <v>99280.810623960002</v>
      </c>
      <c r="BF54" s="289">
        <v>0</v>
      </c>
      <c r="BG54" s="289">
        <v>11</v>
      </c>
      <c r="BH54" s="289">
        <v>-22.144400000000001</v>
      </c>
      <c r="BI54" s="289">
        <v>841</v>
      </c>
      <c r="BJ54" s="289">
        <v>-2.79</v>
      </c>
      <c r="BK54" s="289">
        <v>0</v>
      </c>
      <c r="BL54" s="289">
        <v>0</v>
      </c>
      <c r="BM54" s="289">
        <v>0</v>
      </c>
      <c r="BN54" s="289">
        <v>0</v>
      </c>
      <c r="BO54" s="517">
        <v>0</v>
      </c>
      <c r="BP54" s="517">
        <v>0</v>
      </c>
      <c r="BQ54" s="289">
        <f t="shared" si="0"/>
        <v>-2.7900199332000004</v>
      </c>
      <c r="BR54" s="289">
        <v>0</v>
      </c>
      <c r="BS54" s="289">
        <f t="shared" si="1"/>
        <v>0</v>
      </c>
      <c r="BT54" s="289">
        <v>8</v>
      </c>
      <c r="BU54" s="289">
        <v>0</v>
      </c>
      <c r="BV54" s="289">
        <v>37</v>
      </c>
      <c r="BW54" s="289">
        <v>157.18299999999999</v>
      </c>
      <c r="BX54" s="289">
        <v>56.19</v>
      </c>
      <c r="CC54" s="517"/>
      <c r="CD54" s="85"/>
      <c r="CE54" s="517"/>
    </row>
    <row r="55" spans="1:83" ht="13">
      <c r="A55" s="1">
        <v>1134</v>
      </c>
      <c r="B55" s="2" t="s">
        <v>14</v>
      </c>
      <c r="C55" s="289">
        <v>3849</v>
      </c>
      <c r="D55" s="289">
        <v>90</v>
      </c>
      <c r="E55" s="289">
        <v>192</v>
      </c>
      <c r="F55" s="289">
        <v>519</v>
      </c>
      <c r="G55" s="289">
        <v>355</v>
      </c>
      <c r="H55" s="289">
        <v>2040</v>
      </c>
      <c r="I55" s="289">
        <v>478</v>
      </c>
      <c r="J55" s="289">
        <v>168</v>
      </c>
      <c r="K55" s="289">
        <v>41</v>
      </c>
      <c r="L55" s="289">
        <v>34</v>
      </c>
      <c r="M55" s="289">
        <v>255</v>
      </c>
      <c r="N55" s="290">
        <v>51</v>
      </c>
      <c r="O55" s="290">
        <v>42</v>
      </c>
      <c r="P55" s="624">
        <v>69675.600000000006</v>
      </c>
      <c r="Q55" s="624">
        <v>22932.403333329999</v>
      </c>
      <c r="R55" s="624">
        <v>14</v>
      </c>
      <c r="S55" s="289">
        <v>0</v>
      </c>
      <c r="T55" s="289">
        <v>266</v>
      </c>
      <c r="U55" s="716">
        <v>4.3717757387964819E-3</v>
      </c>
      <c r="V55" s="289">
        <v>1608.1926657399999</v>
      </c>
      <c r="W55" s="743">
        <v>1</v>
      </c>
      <c r="X55" s="289">
        <v>0</v>
      </c>
      <c r="Y55" s="289">
        <v>0</v>
      </c>
      <c r="Z55" s="289">
        <v>153606</v>
      </c>
      <c r="AA55" s="289">
        <v>0</v>
      </c>
      <c r="AB55" s="290">
        <v>50</v>
      </c>
      <c r="AC55" s="289">
        <v>0</v>
      </c>
      <c r="AD55" s="289">
        <v>0</v>
      </c>
      <c r="AE55" s="289">
        <v>0</v>
      </c>
      <c r="AF55" s="289">
        <v>0</v>
      </c>
      <c r="AG55" s="289">
        <v>3883</v>
      </c>
      <c r="AH55" s="289">
        <v>592</v>
      </c>
      <c r="AI55" s="289">
        <v>0</v>
      </c>
      <c r="AJ55" s="289">
        <v>0</v>
      </c>
      <c r="AK55" s="289">
        <v>19.1859</v>
      </c>
      <c r="AL55" s="289"/>
      <c r="AM55" s="622">
        <v>2.3946470000000001E-2</v>
      </c>
      <c r="AN55" s="289">
        <v>0</v>
      </c>
      <c r="AO55" s="289">
        <v>-223.68007180999999</v>
      </c>
      <c r="AP55" s="289">
        <v>0</v>
      </c>
      <c r="AQ55" s="289">
        <v>0</v>
      </c>
      <c r="AR55" s="289">
        <v>3648.1691137900002</v>
      </c>
      <c r="AS55" s="289">
        <v>36.783999999999999</v>
      </c>
      <c r="AT55" s="289">
        <v>150</v>
      </c>
      <c r="AU55" s="289">
        <v>15</v>
      </c>
      <c r="AV55" s="625">
        <v>132765</v>
      </c>
      <c r="AW55" s="289">
        <v>-75.543800000000005</v>
      </c>
      <c r="AX55" s="625">
        <v>40.458333330000002</v>
      </c>
      <c r="AY55" s="289">
        <v>710</v>
      </c>
      <c r="AZ55" s="289">
        <v>158</v>
      </c>
      <c r="BA55" s="290">
        <v>50</v>
      </c>
      <c r="BB55" s="289">
        <v>0</v>
      </c>
      <c r="BC55" s="289">
        <v>867</v>
      </c>
      <c r="BD55" s="289">
        <v>78.568600000000004</v>
      </c>
      <c r="BE55" s="289">
        <v>129522.36820813001</v>
      </c>
      <c r="BF55" s="289">
        <v>0</v>
      </c>
      <c r="BG55" s="289">
        <v>0</v>
      </c>
      <c r="BH55" s="289">
        <v>-31.635999999999999</v>
      </c>
      <c r="BI55" s="289">
        <v>592</v>
      </c>
      <c r="BJ55" s="289">
        <v>-3.9859</v>
      </c>
      <c r="BK55" s="289">
        <v>0</v>
      </c>
      <c r="BL55" s="289">
        <v>0</v>
      </c>
      <c r="BM55" s="289">
        <v>0</v>
      </c>
      <c r="BN55" s="289">
        <v>0</v>
      </c>
      <c r="BO55" s="517">
        <v>0</v>
      </c>
      <c r="BP55" s="517">
        <v>0</v>
      </c>
      <c r="BQ55" s="289">
        <f t="shared" si="0"/>
        <v>-3.9858894042000004</v>
      </c>
      <c r="BR55" s="289">
        <v>0</v>
      </c>
      <c r="BS55" s="289">
        <f t="shared" si="1"/>
        <v>0</v>
      </c>
      <c r="BT55" s="289">
        <v>11</v>
      </c>
      <c r="BU55" s="289">
        <v>0</v>
      </c>
      <c r="BV55" s="289">
        <v>51</v>
      </c>
      <c r="BW55" s="289">
        <v>838.30799999999999</v>
      </c>
      <c r="BX55" s="289">
        <v>79.539000000000001</v>
      </c>
      <c r="CC55" s="517"/>
      <c r="CD55" s="85"/>
      <c r="CE55" s="517"/>
    </row>
    <row r="56" spans="1:83" ht="13">
      <c r="A56" s="1">
        <v>1135</v>
      </c>
      <c r="B56" s="2" t="s">
        <v>15</v>
      </c>
      <c r="C56" s="289">
        <v>4663</v>
      </c>
      <c r="D56" s="289">
        <v>93</v>
      </c>
      <c r="E56" s="289">
        <v>210</v>
      </c>
      <c r="F56" s="289">
        <v>571</v>
      </c>
      <c r="G56" s="289">
        <v>423</v>
      </c>
      <c r="H56" s="289">
        <v>2549</v>
      </c>
      <c r="I56" s="289">
        <v>526</v>
      </c>
      <c r="J56" s="289">
        <v>289</v>
      </c>
      <c r="K56" s="289">
        <v>55</v>
      </c>
      <c r="L56" s="289">
        <v>41</v>
      </c>
      <c r="M56" s="289">
        <v>402</v>
      </c>
      <c r="N56" s="290">
        <v>26</v>
      </c>
      <c r="O56" s="290">
        <v>80</v>
      </c>
      <c r="P56" s="624">
        <v>10719.027666669999</v>
      </c>
      <c r="Q56" s="624">
        <v>6920.5366666700002</v>
      </c>
      <c r="R56" s="624">
        <v>25</v>
      </c>
      <c r="S56" s="289">
        <v>0</v>
      </c>
      <c r="T56" s="289">
        <v>340</v>
      </c>
      <c r="U56" s="716">
        <v>1.4061524515405965E-3</v>
      </c>
      <c r="V56" s="289">
        <v>1836.69054284</v>
      </c>
      <c r="W56" s="743">
        <v>0.65500179000000003</v>
      </c>
      <c r="X56" s="289">
        <v>6200</v>
      </c>
      <c r="Y56" s="289">
        <v>392</v>
      </c>
      <c r="Z56" s="289">
        <v>132320</v>
      </c>
      <c r="AA56" s="289">
        <v>-3946.0110222399999</v>
      </c>
      <c r="AB56" s="290">
        <v>85</v>
      </c>
      <c r="AC56" s="289">
        <v>0</v>
      </c>
      <c r="AD56" s="289">
        <v>0</v>
      </c>
      <c r="AE56" s="289">
        <v>0</v>
      </c>
      <c r="AF56" s="289">
        <v>0</v>
      </c>
      <c r="AG56" s="289">
        <v>4716</v>
      </c>
      <c r="AH56" s="289">
        <v>683</v>
      </c>
      <c r="AI56" s="289">
        <v>0</v>
      </c>
      <c r="AJ56" s="289">
        <v>0</v>
      </c>
      <c r="AK56" s="289">
        <v>20.834599999999998</v>
      </c>
      <c r="AL56" s="289"/>
      <c r="AM56" s="622">
        <v>6.113975E-2</v>
      </c>
      <c r="AN56" s="289">
        <v>6375</v>
      </c>
      <c r="AO56" s="289">
        <v>-255.46135190999999</v>
      </c>
      <c r="AP56" s="289">
        <v>0</v>
      </c>
      <c r="AQ56" s="289">
        <v>0</v>
      </c>
      <c r="AR56" s="289">
        <v>-337.07230998</v>
      </c>
      <c r="AS56" s="289">
        <v>47.241</v>
      </c>
      <c r="AT56" s="289">
        <v>185</v>
      </c>
      <c r="AU56" s="289">
        <v>48</v>
      </c>
      <c r="AV56" s="625">
        <v>141811</v>
      </c>
      <c r="AW56" s="289">
        <v>-2.3948</v>
      </c>
      <c r="AX56" s="625">
        <v>41</v>
      </c>
      <c r="AY56" s="289">
        <v>803</v>
      </c>
      <c r="AZ56" s="289">
        <v>156</v>
      </c>
      <c r="BA56" s="290">
        <v>108</v>
      </c>
      <c r="BB56" s="289">
        <v>0</v>
      </c>
      <c r="BC56" s="289">
        <v>-4653.0219623399998</v>
      </c>
      <c r="BD56" s="289">
        <v>90.645799999999994</v>
      </c>
      <c r="BE56" s="289">
        <v>149515.79019494</v>
      </c>
      <c r="BF56" s="289">
        <v>0</v>
      </c>
      <c r="BG56" s="289">
        <v>11</v>
      </c>
      <c r="BH56" s="289">
        <v>-38.422699999999999</v>
      </c>
      <c r="BI56" s="289">
        <v>-2871.0110222399999</v>
      </c>
      <c r="BJ56" s="289">
        <v>-4.8410000000000002</v>
      </c>
      <c r="BK56" s="289">
        <v>0</v>
      </c>
      <c r="BL56" s="289">
        <v>0</v>
      </c>
      <c r="BM56" s="289">
        <v>0</v>
      </c>
      <c r="BN56" s="289">
        <v>0</v>
      </c>
      <c r="BO56" s="517">
        <v>0</v>
      </c>
      <c r="BP56" s="517">
        <v>0</v>
      </c>
      <c r="BQ56" s="289">
        <f t="shared" si="0"/>
        <v>-4.8409617383999999</v>
      </c>
      <c r="BR56" s="289">
        <v>0</v>
      </c>
      <c r="BS56" s="289">
        <f t="shared" si="1"/>
        <v>0</v>
      </c>
      <c r="BT56" s="289">
        <v>12</v>
      </c>
      <c r="BU56" s="289">
        <v>0</v>
      </c>
      <c r="BV56" s="289">
        <v>50</v>
      </c>
      <c r="BW56" s="289">
        <v>314.36500000000001</v>
      </c>
      <c r="BX56" s="289">
        <v>97.090999999999994</v>
      </c>
      <c r="CC56" s="517"/>
      <c r="CD56" s="85"/>
      <c r="CE56" s="517"/>
    </row>
    <row r="57" spans="1:83" ht="13">
      <c r="A57" s="1">
        <v>1141</v>
      </c>
      <c r="B57" s="2" t="s">
        <v>16</v>
      </c>
      <c r="C57" s="289">
        <v>3197</v>
      </c>
      <c r="D57" s="289">
        <v>90</v>
      </c>
      <c r="E57" s="289">
        <v>188</v>
      </c>
      <c r="F57" s="289">
        <v>419</v>
      </c>
      <c r="G57" s="289">
        <v>292</v>
      </c>
      <c r="H57" s="289">
        <v>1788</v>
      </c>
      <c r="I57" s="289">
        <v>327</v>
      </c>
      <c r="J57" s="289">
        <v>122</v>
      </c>
      <c r="K57" s="289">
        <v>28</v>
      </c>
      <c r="L57" s="289">
        <v>23</v>
      </c>
      <c r="M57" s="289">
        <v>180</v>
      </c>
      <c r="N57" s="290">
        <v>5</v>
      </c>
      <c r="O57" s="290">
        <v>32</v>
      </c>
      <c r="P57" s="624">
        <v>34663.129999999997</v>
      </c>
      <c r="Q57" s="624">
        <v>14874.09366667</v>
      </c>
      <c r="R57" s="624">
        <v>12</v>
      </c>
      <c r="S57" s="289">
        <v>0</v>
      </c>
      <c r="T57" s="289">
        <v>190</v>
      </c>
      <c r="U57" s="716">
        <v>3.9738923572136342E-3</v>
      </c>
      <c r="V57" s="289">
        <v>932.12064791</v>
      </c>
      <c r="W57" s="743">
        <v>0.89905977999999998</v>
      </c>
      <c r="X57" s="289">
        <v>6350</v>
      </c>
      <c r="Y57" s="289">
        <v>392</v>
      </c>
      <c r="Z57" s="289">
        <v>90278</v>
      </c>
      <c r="AA57" s="289">
        <v>0</v>
      </c>
      <c r="AB57" s="290">
        <v>28</v>
      </c>
      <c r="AC57" s="289">
        <v>0</v>
      </c>
      <c r="AD57" s="289">
        <v>227.77199999999999</v>
      </c>
      <c r="AE57" s="289">
        <v>913</v>
      </c>
      <c r="AF57" s="289">
        <v>0</v>
      </c>
      <c r="AG57" s="289">
        <v>3254</v>
      </c>
      <c r="AH57" s="289">
        <v>509</v>
      </c>
      <c r="AI57" s="289">
        <v>0</v>
      </c>
      <c r="AJ57" s="289">
        <v>0</v>
      </c>
      <c r="AK57" s="289">
        <v>17.403500000000001</v>
      </c>
      <c r="AL57" s="289"/>
      <c r="AM57" s="622">
        <v>6.0259569999999998E-2</v>
      </c>
      <c r="AN57" s="289">
        <v>0</v>
      </c>
      <c r="AO57" s="289">
        <v>-177.38161614000001</v>
      </c>
      <c r="AP57" s="289">
        <v>0</v>
      </c>
      <c r="AQ57" s="289">
        <v>0</v>
      </c>
      <c r="AR57" s="289">
        <v>3888.6643372600001</v>
      </c>
      <c r="AS57" s="289">
        <v>27.5474</v>
      </c>
      <c r="AT57" s="289">
        <v>117</v>
      </c>
      <c r="AU57" s="289">
        <v>35</v>
      </c>
      <c r="AV57" s="625">
        <v>109579</v>
      </c>
      <c r="AW57" s="289">
        <v>-63.306600000000003</v>
      </c>
      <c r="AX57" s="625">
        <v>21.208333339999999</v>
      </c>
      <c r="AY57" s="289">
        <v>596</v>
      </c>
      <c r="AZ57" s="289">
        <v>154</v>
      </c>
      <c r="BA57" s="290">
        <v>38</v>
      </c>
      <c r="BB57" s="289">
        <v>0</v>
      </c>
      <c r="BC57" s="289">
        <v>866</v>
      </c>
      <c r="BD57" s="289">
        <v>67.552999999999997</v>
      </c>
      <c r="BE57" s="289">
        <v>105672.47093436999</v>
      </c>
      <c r="BF57" s="289">
        <v>0</v>
      </c>
      <c r="BG57" s="289">
        <v>11</v>
      </c>
      <c r="BH57" s="289">
        <v>-26.511299999999999</v>
      </c>
      <c r="BI57" s="289">
        <v>1128.7719999999999</v>
      </c>
      <c r="BJ57" s="289">
        <v>352.20479999999998</v>
      </c>
      <c r="BK57" s="289">
        <v>861</v>
      </c>
      <c r="BL57" s="289">
        <v>0</v>
      </c>
      <c r="BM57" s="289">
        <v>0</v>
      </c>
      <c r="BN57" s="289">
        <v>0</v>
      </c>
      <c r="BO57" s="517">
        <v>0</v>
      </c>
      <c r="BP57" s="289">
        <v>1282.8</v>
      </c>
      <c r="BQ57" s="289">
        <f t="shared" si="0"/>
        <v>-3.3402225396</v>
      </c>
      <c r="BR57" s="289">
        <v>1444.1590000000001</v>
      </c>
      <c r="BS57" s="289">
        <f t="shared" si="1"/>
        <v>1216.3870000000002</v>
      </c>
      <c r="BT57" s="289">
        <v>10</v>
      </c>
      <c r="BU57" s="289">
        <v>0</v>
      </c>
      <c r="BV57" s="289">
        <v>40</v>
      </c>
      <c r="BW57" s="289">
        <v>52.393999999999998</v>
      </c>
      <c r="BX57" s="289">
        <v>66.596999999999994</v>
      </c>
      <c r="CC57" s="517"/>
      <c r="CD57" s="85"/>
      <c r="CE57" s="517"/>
    </row>
    <row r="58" spans="1:83" ht="13">
      <c r="A58" s="1">
        <v>1142</v>
      </c>
      <c r="B58" s="2" t="s">
        <v>17</v>
      </c>
      <c r="C58" s="289">
        <v>4849</v>
      </c>
      <c r="D58" s="289">
        <v>120</v>
      </c>
      <c r="E58" s="289">
        <v>300</v>
      </c>
      <c r="F58" s="289">
        <v>758</v>
      </c>
      <c r="G58" s="289">
        <v>437</v>
      </c>
      <c r="H58" s="289">
        <v>2742</v>
      </c>
      <c r="I58" s="289">
        <v>372</v>
      </c>
      <c r="J58" s="289">
        <v>119</v>
      </c>
      <c r="K58" s="289">
        <v>24</v>
      </c>
      <c r="L58" s="289">
        <v>37</v>
      </c>
      <c r="M58" s="289">
        <v>188</v>
      </c>
      <c r="N58" s="290">
        <v>39</v>
      </c>
      <c r="O58" s="290">
        <v>54</v>
      </c>
      <c r="P58" s="624">
        <v>21090.384333329999</v>
      </c>
      <c r="Q58" s="624">
        <v>26766.084999999999</v>
      </c>
      <c r="R58" s="624">
        <v>6</v>
      </c>
      <c r="S58" s="289">
        <v>0</v>
      </c>
      <c r="T58" s="289">
        <v>259</v>
      </c>
      <c r="U58" s="716">
        <v>2.6375684280237816E-3</v>
      </c>
      <c r="V58" s="289">
        <v>1684.8438997799999</v>
      </c>
      <c r="W58" s="743">
        <v>0.70291446999999996</v>
      </c>
      <c r="X58" s="289">
        <v>1000</v>
      </c>
      <c r="Y58" s="289">
        <v>392</v>
      </c>
      <c r="Z58" s="289">
        <v>154331</v>
      </c>
      <c r="AA58" s="289">
        <v>0</v>
      </c>
      <c r="AB58" s="290">
        <v>63</v>
      </c>
      <c r="AC58" s="289">
        <v>0</v>
      </c>
      <c r="AD58" s="289">
        <v>345.762</v>
      </c>
      <c r="AE58" s="289">
        <v>0</v>
      </c>
      <c r="AF58" s="289">
        <v>0</v>
      </c>
      <c r="AG58" s="289">
        <v>4872</v>
      </c>
      <c r="AH58" s="289">
        <v>880</v>
      </c>
      <c r="AI58" s="289">
        <v>600</v>
      </c>
      <c r="AJ58" s="289">
        <v>0</v>
      </c>
      <c r="AK58" s="289">
        <v>27.972200000000001</v>
      </c>
      <c r="AL58" s="289"/>
      <c r="AM58" s="622">
        <v>0.10059497000000001</v>
      </c>
      <c r="AN58" s="289">
        <v>0</v>
      </c>
      <c r="AO58" s="289">
        <v>-246.27506585</v>
      </c>
      <c r="AP58" s="289">
        <v>0</v>
      </c>
      <c r="AQ58" s="289">
        <v>0</v>
      </c>
      <c r="AR58" s="289">
        <v>5785.5047161100001</v>
      </c>
      <c r="AS58" s="289">
        <v>44.931100000000001</v>
      </c>
      <c r="AT58" s="289">
        <v>185</v>
      </c>
      <c r="AU58" s="289">
        <v>91</v>
      </c>
      <c r="AV58" s="625">
        <v>133991</v>
      </c>
      <c r="AW58" s="289">
        <v>-94.784899999999993</v>
      </c>
      <c r="AX58" s="625">
        <v>38.25</v>
      </c>
      <c r="AY58" s="289">
        <v>914</v>
      </c>
      <c r="AZ58" s="289">
        <v>143</v>
      </c>
      <c r="BA58" s="290">
        <v>71</v>
      </c>
      <c r="BB58" s="289">
        <v>0</v>
      </c>
      <c r="BC58" s="289">
        <v>1221</v>
      </c>
      <c r="BD58" s="289">
        <v>116.7911</v>
      </c>
      <c r="BE58" s="289">
        <v>128707.50375865999</v>
      </c>
      <c r="BF58" s="289">
        <v>0</v>
      </c>
      <c r="BG58" s="289">
        <v>11</v>
      </c>
      <c r="BH58" s="289">
        <v>-39.6937</v>
      </c>
      <c r="BI58" s="289">
        <v>1617.7619999999999</v>
      </c>
      <c r="BJ58" s="289">
        <v>523.16740000000004</v>
      </c>
      <c r="BK58" s="289">
        <v>1279</v>
      </c>
      <c r="BL58" s="289">
        <v>0</v>
      </c>
      <c r="BM58" s="289">
        <v>0</v>
      </c>
      <c r="BN58" s="289">
        <v>0</v>
      </c>
      <c r="BO58" s="517">
        <v>0</v>
      </c>
      <c r="BP58" s="289">
        <v>930.03883570403752</v>
      </c>
      <c r="BQ58" s="289">
        <f t="shared" si="0"/>
        <v>-5.0010953327999994</v>
      </c>
      <c r="BR58" s="289">
        <v>2152.7269999999999</v>
      </c>
      <c r="BS58" s="289">
        <f t="shared" si="1"/>
        <v>1806.9649999999999</v>
      </c>
      <c r="BT58" s="289">
        <v>16</v>
      </c>
      <c r="BU58" s="289">
        <v>0</v>
      </c>
      <c r="BV58" s="289">
        <v>51</v>
      </c>
      <c r="BW58" s="289">
        <v>52.393999999999998</v>
      </c>
      <c r="BX58" s="289">
        <v>100.498</v>
      </c>
      <c r="CC58" s="517"/>
      <c r="CD58" s="85"/>
      <c r="CE58" s="517"/>
    </row>
    <row r="59" spans="1:83" ht="13">
      <c r="A59" s="1">
        <v>1144</v>
      </c>
      <c r="B59" s="2" t="s">
        <v>18</v>
      </c>
      <c r="C59" s="289">
        <v>542</v>
      </c>
      <c r="D59" s="289">
        <v>10</v>
      </c>
      <c r="E59" s="289">
        <v>20</v>
      </c>
      <c r="F59" s="289">
        <v>76</v>
      </c>
      <c r="G59" s="289">
        <v>49</v>
      </c>
      <c r="H59" s="289">
        <v>284</v>
      </c>
      <c r="I59" s="289">
        <v>72</v>
      </c>
      <c r="J59" s="289">
        <v>32</v>
      </c>
      <c r="K59" s="289">
        <v>5</v>
      </c>
      <c r="L59" s="289">
        <v>4</v>
      </c>
      <c r="M59" s="289">
        <v>38</v>
      </c>
      <c r="N59" s="290">
        <v>0</v>
      </c>
      <c r="O59" s="290">
        <v>8</v>
      </c>
      <c r="P59" s="624">
        <v>362.14433332999999</v>
      </c>
      <c r="Q59" s="624">
        <v>440.41399999999999</v>
      </c>
      <c r="R59" s="624">
        <v>0</v>
      </c>
      <c r="S59" s="289">
        <v>0</v>
      </c>
      <c r="T59" s="289">
        <v>33</v>
      </c>
      <c r="U59" s="716">
        <v>2.2867842412339757E-4</v>
      </c>
      <c r="V59" s="289">
        <v>206.86515238000001</v>
      </c>
      <c r="W59" s="743">
        <v>1</v>
      </c>
      <c r="X59" s="289">
        <v>1600</v>
      </c>
      <c r="Y59" s="289">
        <v>0</v>
      </c>
      <c r="Z59" s="289">
        <v>14773</v>
      </c>
      <c r="AA59" s="289">
        <v>0</v>
      </c>
      <c r="AB59" s="290">
        <v>6</v>
      </c>
      <c r="AC59" s="289">
        <v>0</v>
      </c>
      <c r="AD59" s="289">
        <v>0</v>
      </c>
      <c r="AE59" s="289">
        <v>0</v>
      </c>
      <c r="AF59" s="289">
        <v>0</v>
      </c>
      <c r="AG59" s="289">
        <v>548</v>
      </c>
      <c r="AH59" s="289">
        <v>100</v>
      </c>
      <c r="AI59" s="289">
        <v>0</v>
      </c>
      <c r="AJ59" s="289">
        <v>0</v>
      </c>
      <c r="AK59" s="289">
        <v>2.0680000000000001</v>
      </c>
      <c r="AL59" s="289"/>
      <c r="AM59" s="622">
        <v>7.6589700000000002E-3</v>
      </c>
      <c r="AN59" s="289">
        <v>0</v>
      </c>
      <c r="AO59" s="289">
        <v>-40.706168920000003</v>
      </c>
      <c r="AP59" s="289">
        <v>0</v>
      </c>
      <c r="AQ59" s="289">
        <v>0</v>
      </c>
      <c r="AR59" s="289">
        <v>197.82232834999999</v>
      </c>
      <c r="AS59" s="289">
        <v>4.5212000000000003</v>
      </c>
      <c r="AT59" s="289">
        <v>26</v>
      </c>
      <c r="AU59" s="289">
        <v>4</v>
      </c>
      <c r="AV59" s="625">
        <v>32155</v>
      </c>
      <c r="AW59" s="289">
        <v>-10.6614</v>
      </c>
      <c r="AX59" s="625">
        <v>4.8333333300000003</v>
      </c>
      <c r="AY59" s="289">
        <v>88</v>
      </c>
      <c r="AZ59" s="289">
        <v>21</v>
      </c>
      <c r="BA59" s="290">
        <v>9</v>
      </c>
      <c r="BB59" s="289">
        <v>2772</v>
      </c>
      <c r="BC59" s="289">
        <v>100</v>
      </c>
      <c r="BD59" s="289">
        <v>13.271699999999999</v>
      </c>
      <c r="BE59" s="289">
        <v>32044.08188949</v>
      </c>
      <c r="BF59" s="289">
        <v>0</v>
      </c>
      <c r="BG59" s="289">
        <v>0</v>
      </c>
      <c r="BH59" s="289">
        <v>-4.4646999999999997</v>
      </c>
      <c r="BI59" s="289">
        <v>100</v>
      </c>
      <c r="BJ59" s="289">
        <v>-0.5625</v>
      </c>
      <c r="BK59" s="289">
        <v>0</v>
      </c>
      <c r="BL59" s="289">
        <v>0</v>
      </c>
      <c r="BM59" s="289">
        <v>0</v>
      </c>
      <c r="BN59" s="289">
        <v>0</v>
      </c>
      <c r="BO59" s="517">
        <v>0</v>
      </c>
      <c r="BP59" s="517">
        <v>0</v>
      </c>
      <c r="BQ59" s="289">
        <f t="shared" si="0"/>
        <v>-0.56252057520000009</v>
      </c>
      <c r="BR59" s="289">
        <v>0</v>
      </c>
      <c r="BS59" s="289">
        <f t="shared" si="1"/>
        <v>0</v>
      </c>
      <c r="BT59" s="289">
        <v>1</v>
      </c>
      <c r="BU59" s="289">
        <v>0</v>
      </c>
      <c r="BV59" s="289">
        <v>13</v>
      </c>
      <c r="BW59" s="289">
        <v>157.18299999999999</v>
      </c>
      <c r="BX59" s="289">
        <v>11.259</v>
      </c>
      <c r="CC59" s="517"/>
      <c r="CD59" s="85"/>
      <c r="CE59" s="517"/>
    </row>
    <row r="60" spans="1:83" ht="13">
      <c r="A60" s="1">
        <v>1145</v>
      </c>
      <c r="B60" s="2" t="s">
        <v>19</v>
      </c>
      <c r="C60" s="289">
        <v>844</v>
      </c>
      <c r="D60" s="289">
        <v>19</v>
      </c>
      <c r="E60" s="289">
        <v>30</v>
      </c>
      <c r="F60" s="289">
        <v>123</v>
      </c>
      <c r="G60" s="289">
        <v>89</v>
      </c>
      <c r="H60" s="289">
        <v>445</v>
      </c>
      <c r="I60" s="289">
        <v>103</v>
      </c>
      <c r="J60" s="289">
        <v>46</v>
      </c>
      <c r="K60" s="289">
        <v>10</v>
      </c>
      <c r="L60" s="289">
        <v>5</v>
      </c>
      <c r="M60" s="289">
        <v>62</v>
      </c>
      <c r="N60" s="290">
        <v>0</v>
      </c>
      <c r="O60" s="290">
        <v>8</v>
      </c>
      <c r="P60" s="624">
        <v>2362.2820000000002</v>
      </c>
      <c r="Q60" s="624">
        <v>2331.3723333299999</v>
      </c>
      <c r="R60" s="624">
        <v>4</v>
      </c>
      <c r="S60" s="289">
        <v>0</v>
      </c>
      <c r="T60" s="289">
        <v>42</v>
      </c>
      <c r="U60" s="716">
        <v>8.4057385403747264E-4</v>
      </c>
      <c r="V60" s="289">
        <v>236.15217598999999</v>
      </c>
      <c r="W60" s="743">
        <v>0.89928200999999997</v>
      </c>
      <c r="X60" s="289">
        <v>1700</v>
      </c>
      <c r="Y60" s="289">
        <v>0</v>
      </c>
      <c r="Z60" s="289">
        <v>21260</v>
      </c>
      <c r="AA60" s="289">
        <v>0</v>
      </c>
      <c r="AB60" s="290">
        <v>13</v>
      </c>
      <c r="AC60" s="289">
        <v>0</v>
      </c>
      <c r="AD60" s="289">
        <v>0</v>
      </c>
      <c r="AE60" s="289">
        <v>0</v>
      </c>
      <c r="AF60" s="289">
        <v>0</v>
      </c>
      <c r="AG60" s="289">
        <v>865</v>
      </c>
      <c r="AH60" s="289">
        <v>129</v>
      </c>
      <c r="AI60" s="289">
        <v>0</v>
      </c>
      <c r="AJ60" s="289">
        <v>0</v>
      </c>
      <c r="AK60" s="289">
        <v>2.8079000000000001</v>
      </c>
      <c r="AL60" s="289"/>
      <c r="AM60" s="622">
        <v>2.5003250000000001E-2</v>
      </c>
      <c r="AN60" s="289">
        <v>0</v>
      </c>
      <c r="AO60" s="289">
        <v>-56.713376420000003</v>
      </c>
      <c r="AP60" s="289">
        <v>0</v>
      </c>
      <c r="AQ60" s="289">
        <v>0</v>
      </c>
      <c r="AR60" s="289">
        <v>2923.1798872200002</v>
      </c>
      <c r="AS60" s="289">
        <v>7.6443000000000003</v>
      </c>
      <c r="AT60" s="289">
        <v>37</v>
      </c>
      <c r="AU60" s="289">
        <v>13</v>
      </c>
      <c r="AV60" s="625">
        <v>42931</v>
      </c>
      <c r="AW60" s="289">
        <v>-16.828600000000002</v>
      </c>
      <c r="AX60" s="625">
        <v>3.5</v>
      </c>
      <c r="AY60" s="289">
        <v>106</v>
      </c>
      <c r="AZ60" s="289">
        <v>38</v>
      </c>
      <c r="BA60" s="290">
        <v>17</v>
      </c>
      <c r="BB60" s="289">
        <v>2772</v>
      </c>
      <c r="BC60" s="289">
        <v>202</v>
      </c>
      <c r="BD60" s="289">
        <v>17.1205</v>
      </c>
      <c r="BE60" s="289">
        <v>40279.535540270001</v>
      </c>
      <c r="BF60" s="289">
        <v>0</v>
      </c>
      <c r="BG60" s="289">
        <v>0</v>
      </c>
      <c r="BH60" s="289">
        <v>-7.0473999999999997</v>
      </c>
      <c r="BI60" s="289">
        <v>129</v>
      </c>
      <c r="BJ60" s="289">
        <v>-0.88790000000000002</v>
      </c>
      <c r="BK60" s="289">
        <v>0</v>
      </c>
      <c r="BL60" s="289">
        <v>0</v>
      </c>
      <c r="BM60" s="289">
        <v>0</v>
      </c>
      <c r="BN60" s="289">
        <v>0</v>
      </c>
      <c r="BO60" s="517">
        <v>0</v>
      </c>
      <c r="BP60" s="517">
        <v>0</v>
      </c>
      <c r="BQ60" s="289">
        <f t="shared" si="0"/>
        <v>-0.88792025100000005</v>
      </c>
      <c r="BR60" s="289">
        <v>0</v>
      </c>
      <c r="BS60" s="289">
        <f t="shared" si="1"/>
        <v>0</v>
      </c>
      <c r="BT60" s="289">
        <v>2</v>
      </c>
      <c r="BU60" s="289">
        <v>0</v>
      </c>
      <c r="BV60" s="289">
        <v>16</v>
      </c>
      <c r="BW60" s="289">
        <v>104.788</v>
      </c>
      <c r="BX60" s="289">
        <v>17.428000000000001</v>
      </c>
      <c r="CC60" s="517"/>
      <c r="CD60" s="85"/>
      <c r="CE60" s="517"/>
    </row>
    <row r="61" spans="1:83" ht="13">
      <c r="A61" s="1">
        <v>1146</v>
      </c>
      <c r="B61" s="2" t="s">
        <v>20</v>
      </c>
      <c r="C61" s="289">
        <v>11023</v>
      </c>
      <c r="D61" s="289">
        <v>276</v>
      </c>
      <c r="E61" s="289">
        <v>640</v>
      </c>
      <c r="F61" s="289">
        <v>1708</v>
      </c>
      <c r="G61" s="289">
        <v>1059</v>
      </c>
      <c r="H61" s="289">
        <v>5908</v>
      </c>
      <c r="I61" s="289">
        <v>1116</v>
      </c>
      <c r="J61" s="289">
        <v>306</v>
      </c>
      <c r="K61" s="289">
        <v>70</v>
      </c>
      <c r="L61" s="289">
        <v>83</v>
      </c>
      <c r="M61" s="289">
        <v>480</v>
      </c>
      <c r="N61" s="290">
        <v>113</v>
      </c>
      <c r="O61" s="290">
        <v>102</v>
      </c>
      <c r="P61" s="624">
        <v>100576.26633333</v>
      </c>
      <c r="Q61" s="624">
        <v>29663.533666669999</v>
      </c>
      <c r="R61" s="624">
        <v>34</v>
      </c>
      <c r="S61" s="289">
        <v>0</v>
      </c>
      <c r="T61" s="289">
        <v>589</v>
      </c>
      <c r="U61" s="716">
        <v>5.3407207925045578E-3</v>
      </c>
      <c r="V61" s="289">
        <v>2178.05952978</v>
      </c>
      <c r="W61" s="743">
        <v>0.66355381999999996</v>
      </c>
      <c r="X61" s="289">
        <v>1000</v>
      </c>
      <c r="Y61" s="289">
        <v>392</v>
      </c>
      <c r="Z61" s="289">
        <v>296653</v>
      </c>
      <c r="AA61" s="289">
        <v>0</v>
      </c>
      <c r="AB61" s="290">
        <v>204</v>
      </c>
      <c r="AC61" s="289">
        <v>1408</v>
      </c>
      <c r="AD61" s="289">
        <v>0</v>
      </c>
      <c r="AE61" s="289">
        <v>0</v>
      </c>
      <c r="AF61" s="289">
        <v>0</v>
      </c>
      <c r="AG61" s="289">
        <v>11083</v>
      </c>
      <c r="AH61" s="289">
        <v>1953</v>
      </c>
      <c r="AI61" s="289">
        <v>2070</v>
      </c>
      <c r="AJ61" s="289">
        <v>0</v>
      </c>
      <c r="AK61" s="289">
        <v>60.0458</v>
      </c>
      <c r="AL61" s="289"/>
      <c r="AM61" s="622">
        <v>0.17399081</v>
      </c>
      <c r="AN61" s="289">
        <v>0</v>
      </c>
      <c r="AO61" s="289">
        <v>-565.48387203000004</v>
      </c>
      <c r="AP61" s="289">
        <v>0</v>
      </c>
      <c r="AQ61" s="289">
        <v>0</v>
      </c>
      <c r="AR61" s="289">
        <v>-792.14851812999996</v>
      </c>
      <c r="AS61" s="289">
        <v>105.0112</v>
      </c>
      <c r="AT61" s="289">
        <v>479</v>
      </c>
      <c r="AU61" s="289">
        <v>120</v>
      </c>
      <c r="AV61" s="625">
        <v>288578</v>
      </c>
      <c r="AW61" s="289">
        <v>-5.6279000000000003</v>
      </c>
      <c r="AX61" s="625">
        <v>88.625</v>
      </c>
      <c r="AY61" s="289">
        <v>1915</v>
      </c>
      <c r="AZ61" s="289">
        <v>369</v>
      </c>
      <c r="BA61" s="290">
        <v>248</v>
      </c>
      <c r="BB61" s="289">
        <v>0</v>
      </c>
      <c r="BC61" s="289">
        <v>2488</v>
      </c>
      <c r="BD61" s="289">
        <v>259.19659999999999</v>
      </c>
      <c r="BE61" s="289">
        <v>293920.39687217999</v>
      </c>
      <c r="BF61" s="289">
        <v>0</v>
      </c>
      <c r="BG61" s="289">
        <v>11</v>
      </c>
      <c r="BH61" s="289">
        <v>-90.296599999999998</v>
      </c>
      <c r="BI61" s="289">
        <v>2345</v>
      </c>
      <c r="BJ61" s="289">
        <v>-11.3767</v>
      </c>
      <c r="BK61" s="289">
        <v>0</v>
      </c>
      <c r="BL61" s="289">
        <v>0</v>
      </c>
      <c r="BM61" s="289">
        <v>0</v>
      </c>
      <c r="BN61" s="289">
        <v>0</v>
      </c>
      <c r="BO61" s="517">
        <v>0</v>
      </c>
      <c r="BP61" s="517">
        <v>0</v>
      </c>
      <c r="BQ61" s="289">
        <f t="shared" si="0"/>
        <v>-11.3766706842</v>
      </c>
      <c r="BR61" s="289">
        <v>0</v>
      </c>
      <c r="BS61" s="289">
        <f t="shared" si="1"/>
        <v>0</v>
      </c>
      <c r="BT61" s="289">
        <v>34</v>
      </c>
      <c r="BU61" s="289">
        <v>0</v>
      </c>
      <c r="BV61" s="289">
        <v>111</v>
      </c>
      <c r="BW61" s="289">
        <v>733.51900000000001</v>
      </c>
      <c r="BX61" s="289">
        <v>229.226</v>
      </c>
      <c r="CC61" s="517"/>
      <c r="CD61" s="85"/>
      <c r="CE61" s="517"/>
    </row>
    <row r="62" spans="1:83" ht="13">
      <c r="A62" s="1">
        <v>1149</v>
      </c>
      <c r="B62" s="2" t="s">
        <v>21</v>
      </c>
      <c r="C62" s="289">
        <v>42243</v>
      </c>
      <c r="D62" s="289">
        <v>981</v>
      </c>
      <c r="E62" s="289">
        <v>2230</v>
      </c>
      <c r="F62" s="289">
        <v>5690</v>
      </c>
      <c r="G62" s="289">
        <v>4015</v>
      </c>
      <c r="H62" s="289">
        <v>23418</v>
      </c>
      <c r="I62" s="289">
        <v>4362</v>
      </c>
      <c r="J62" s="289">
        <v>1350</v>
      </c>
      <c r="K62" s="289">
        <v>285</v>
      </c>
      <c r="L62" s="289">
        <v>322</v>
      </c>
      <c r="M62" s="289">
        <v>2204</v>
      </c>
      <c r="N62" s="290">
        <v>471</v>
      </c>
      <c r="O62" s="290">
        <v>342</v>
      </c>
      <c r="P62" s="624">
        <v>120287.701</v>
      </c>
      <c r="Q62" s="624">
        <v>58283.174333329996</v>
      </c>
      <c r="R62" s="624">
        <v>165</v>
      </c>
      <c r="S62" s="289">
        <v>0</v>
      </c>
      <c r="T62" s="289">
        <v>2720</v>
      </c>
      <c r="U62" s="716">
        <v>5.4331511713033472E-3</v>
      </c>
      <c r="V62" s="289">
        <v>-14054.03383927</v>
      </c>
      <c r="W62" s="743">
        <v>0.55878547000000001</v>
      </c>
      <c r="X62" s="289">
        <v>2500</v>
      </c>
      <c r="Y62" s="289">
        <v>392</v>
      </c>
      <c r="Z62" s="289">
        <v>1089363</v>
      </c>
      <c r="AA62" s="289">
        <v>0</v>
      </c>
      <c r="AB62" s="290">
        <v>1008</v>
      </c>
      <c r="AC62" s="289">
        <v>0</v>
      </c>
      <c r="AD62" s="289">
        <v>0</v>
      </c>
      <c r="AE62" s="289">
        <v>0</v>
      </c>
      <c r="AF62" s="289">
        <v>0</v>
      </c>
      <c r="AG62" s="289">
        <v>42331</v>
      </c>
      <c r="AH62" s="289">
        <v>6745</v>
      </c>
      <c r="AI62" s="289">
        <v>0</v>
      </c>
      <c r="AJ62" s="289">
        <v>0</v>
      </c>
      <c r="AK62" s="289">
        <v>211.34229999999999</v>
      </c>
      <c r="AL62" s="289"/>
      <c r="AM62" s="622">
        <v>1.6673718900000001</v>
      </c>
      <c r="AN62" s="289">
        <v>0</v>
      </c>
      <c r="AO62" s="289">
        <v>-2043.0568275099999</v>
      </c>
      <c r="AP62" s="289">
        <v>0</v>
      </c>
      <c r="AQ62" s="289">
        <v>0</v>
      </c>
      <c r="AR62" s="289">
        <v>-3025.5742056099998</v>
      </c>
      <c r="AS62" s="289">
        <v>510.8537</v>
      </c>
      <c r="AT62" s="289">
        <v>2207</v>
      </c>
      <c r="AU62" s="289">
        <v>821</v>
      </c>
      <c r="AV62" s="625">
        <v>941311</v>
      </c>
      <c r="AW62" s="289">
        <v>-21.4956</v>
      </c>
      <c r="AX62" s="625">
        <v>326.83333333000002</v>
      </c>
      <c r="AY62" s="289">
        <v>7127</v>
      </c>
      <c r="AZ62" s="289">
        <v>1641</v>
      </c>
      <c r="BA62" s="290">
        <v>1011</v>
      </c>
      <c r="BB62" s="289">
        <v>0</v>
      </c>
      <c r="BC62" s="289">
        <v>7406</v>
      </c>
      <c r="BD62" s="289">
        <v>895.17729999999995</v>
      </c>
      <c r="BE62" s="289">
        <v>977025.75592209003</v>
      </c>
      <c r="BF62" s="289">
        <v>0</v>
      </c>
      <c r="BG62" s="289">
        <v>11</v>
      </c>
      <c r="BH62" s="289">
        <v>-344.8836</v>
      </c>
      <c r="BI62" s="289">
        <v>7137</v>
      </c>
      <c r="BJ62" s="289">
        <v>-43.4527</v>
      </c>
      <c r="BK62" s="289">
        <v>0</v>
      </c>
      <c r="BL62" s="289">
        <v>0</v>
      </c>
      <c r="BM62" s="289">
        <v>0</v>
      </c>
      <c r="BN62" s="289">
        <v>0</v>
      </c>
      <c r="BO62" s="517">
        <v>0</v>
      </c>
      <c r="BP62" s="517">
        <v>0</v>
      </c>
      <c r="BQ62" s="289">
        <f t="shared" si="0"/>
        <v>-43.452661439399996</v>
      </c>
      <c r="BR62" s="289">
        <v>0</v>
      </c>
      <c r="BS62" s="289">
        <f t="shared" si="1"/>
        <v>0</v>
      </c>
      <c r="BT62" s="289">
        <v>121</v>
      </c>
      <c r="BU62" s="289">
        <v>0</v>
      </c>
      <c r="BV62" s="289">
        <v>380</v>
      </c>
      <c r="BW62" s="289">
        <v>576.33699999999999</v>
      </c>
      <c r="BX62" s="289">
        <v>879.39</v>
      </c>
      <c r="CC62" s="517"/>
      <c r="CD62" s="85"/>
      <c r="CE62" s="517"/>
    </row>
    <row r="63" spans="1:83" ht="13">
      <c r="A63" s="1">
        <v>1151</v>
      </c>
      <c r="B63" s="2" t="s">
        <v>22</v>
      </c>
      <c r="C63" s="289">
        <v>208</v>
      </c>
      <c r="D63" s="289">
        <v>4</v>
      </c>
      <c r="E63" s="289">
        <v>13</v>
      </c>
      <c r="F63" s="289">
        <v>23</v>
      </c>
      <c r="G63" s="289">
        <v>18</v>
      </c>
      <c r="H63" s="289">
        <v>112</v>
      </c>
      <c r="I63" s="289">
        <v>24</v>
      </c>
      <c r="J63" s="289">
        <v>7</v>
      </c>
      <c r="K63" s="289">
        <v>2</v>
      </c>
      <c r="L63" s="289">
        <v>2</v>
      </c>
      <c r="M63" s="289">
        <v>11</v>
      </c>
      <c r="N63" s="290">
        <v>1.5</v>
      </c>
      <c r="O63" s="290">
        <v>3</v>
      </c>
      <c r="P63" s="624">
        <v>0</v>
      </c>
      <c r="Q63" s="624">
        <v>0</v>
      </c>
      <c r="R63" s="624">
        <v>2</v>
      </c>
      <c r="S63" s="289">
        <v>0</v>
      </c>
      <c r="T63" s="289">
        <v>16</v>
      </c>
      <c r="U63" s="716">
        <v>1.5369501552358925E-4</v>
      </c>
      <c r="V63" s="289">
        <v>184.83078386</v>
      </c>
      <c r="W63" s="743">
        <v>1</v>
      </c>
      <c r="X63" s="289">
        <v>600</v>
      </c>
      <c r="Y63" s="289">
        <v>0</v>
      </c>
      <c r="Z63" s="289">
        <v>5467</v>
      </c>
      <c r="AA63" s="289">
        <v>0</v>
      </c>
      <c r="AB63" s="290">
        <v>2</v>
      </c>
      <c r="AC63" s="289">
        <v>0</v>
      </c>
      <c r="AD63" s="289">
        <v>0</v>
      </c>
      <c r="AE63" s="289">
        <v>0</v>
      </c>
      <c r="AF63" s="289">
        <v>0</v>
      </c>
      <c r="AG63" s="289">
        <v>203</v>
      </c>
      <c r="AH63" s="289">
        <v>100</v>
      </c>
      <c r="AI63" s="289">
        <v>0</v>
      </c>
      <c r="AJ63" s="289">
        <v>0</v>
      </c>
      <c r="AK63" s="289">
        <v>1.2455000000000001</v>
      </c>
      <c r="AL63" s="289"/>
      <c r="AM63" s="815">
        <v>0</v>
      </c>
      <c r="AN63" s="289">
        <v>0</v>
      </c>
      <c r="AO63" s="289">
        <v>-25.707717670000001</v>
      </c>
      <c r="AP63" s="289">
        <v>0</v>
      </c>
      <c r="AQ63" s="289">
        <v>0</v>
      </c>
      <c r="AR63" s="289">
        <v>-14.509261860000001</v>
      </c>
      <c r="AS63" s="289">
        <v>1.8547</v>
      </c>
      <c r="AT63" s="289">
        <v>10</v>
      </c>
      <c r="AU63" s="289">
        <v>3</v>
      </c>
      <c r="AV63" s="625">
        <v>25932</v>
      </c>
      <c r="AW63" s="289">
        <v>-0.1031</v>
      </c>
      <c r="AX63" s="625">
        <v>2</v>
      </c>
      <c r="AY63" s="289">
        <v>45</v>
      </c>
      <c r="AZ63" s="290">
        <v>0</v>
      </c>
      <c r="BA63" s="290">
        <v>7</v>
      </c>
      <c r="BB63" s="289">
        <v>5543</v>
      </c>
      <c r="BC63" s="289">
        <v>150</v>
      </c>
      <c r="BD63" s="289">
        <v>13.271699999999999</v>
      </c>
      <c r="BE63" s="289">
        <v>27493.43656238</v>
      </c>
      <c r="BF63" s="289">
        <v>0</v>
      </c>
      <c r="BG63" s="289">
        <v>0</v>
      </c>
      <c r="BH63" s="289">
        <v>-1.6538999999999999</v>
      </c>
      <c r="BI63" s="289">
        <v>100</v>
      </c>
      <c r="BJ63" s="289">
        <v>-0.2084</v>
      </c>
      <c r="BK63" s="289">
        <v>0</v>
      </c>
      <c r="BL63" s="289">
        <v>0</v>
      </c>
      <c r="BM63" s="289">
        <v>0</v>
      </c>
      <c r="BN63" s="289">
        <v>0</v>
      </c>
      <c r="BO63" s="517">
        <v>0</v>
      </c>
      <c r="BP63" s="517">
        <v>0</v>
      </c>
      <c r="BQ63" s="289">
        <f t="shared" si="0"/>
        <v>-0.20837897219999998</v>
      </c>
      <c r="BR63" s="289">
        <v>0</v>
      </c>
      <c r="BS63" s="289">
        <f t="shared" si="1"/>
        <v>0</v>
      </c>
      <c r="BT63" s="289">
        <v>1</v>
      </c>
      <c r="BU63" s="289">
        <v>0</v>
      </c>
      <c r="BV63" s="289">
        <v>10</v>
      </c>
      <c r="BW63" s="289">
        <v>52.393999999999998</v>
      </c>
      <c r="BX63" s="289">
        <v>4.383</v>
      </c>
      <c r="CC63" s="517"/>
      <c r="CD63" s="85"/>
      <c r="CE63" s="517"/>
    </row>
    <row r="64" spans="1:83" ht="13">
      <c r="A64" s="1">
        <v>1160</v>
      </c>
      <c r="B64" s="4" t="s">
        <v>711</v>
      </c>
      <c r="C64" s="289">
        <v>8793</v>
      </c>
      <c r="D64" s="289">
        <v>214</v>
      </c>
      <c r="E64" s="289">
        <v>448</v>
      </c>
      <c r="F64" s="289">
        <v>1141</v>
      </c>
      <c r="G64" s="289">
        <v>880</v>
      </c>
      <c r="H64" s="289">
        <v>4825</v>
      </c>
      <c r="I64" s="289">
        <v>858</v>
      </c>
      <c r="J64" s="289">
        <v>356</v>
      </c>
      <c r="K64" s="289">
        <v>107</v>
      </c>
      <c r="L64" s="289">
        <v>63</v>
      </c>
      <c r="M64" s="289">
        <v>553</v>
      </c>
      <c r="N64" s="290">
        <v>57</v>
      </c>
      <c r="O64" s="290">
        <v>101</v>
      </c>
      <c r="P64" s="624">
        <v>63936.982333330001</v>
      </c>
      <c r="Q64" s="624">
        <v>25105.757000000001</v>
      </c>
      <c r="R64" s="624">
        <v>27</v>
      </c>
      <c r="S64" s="289">
        <v>0</v>
      </c>
      <c r="T64" s="289">
        <v>548</v>
      </c>
      <c r="U64" s="716">
        <v>7.7771412702685285E-3</v>
      </c>
      <c r="V64" s="289">
        <v>2692.5909236299999</v>
      </c>
      <c r="W64" s="743">
        <v>0.73788823999999997</v>
      </c>
      <c r="X64" s="289">
        <v>7500</v>
      </c>
      <c r="Y64" s="289">
        <v>392</v>
      </c>
      <c r="Z64" s="289">
        <v>278332</v>
      </c>
      <c r="AA64" s="289">
        <v>0</v>
      </c>
      <c r="AB64" s="290">
        <v>111</v>
      </c>
      <c r="AC64" s="289">
        <v>0</v>
      </c>
      <c r="AD64" s="289">
        <v>0</v>
      </c>
      <c r="AE64" s="289">
        <v>0</v>
      </c>
      <c r="AF64" s="289">
        <v>10119.232176580001</v>
      </c>
      <c r="AG64" s="289">
        <v>8829</v>
      </c>
      <c r="AH64" s="289">
        <v>1385</v>
      </c>
      <c r="AI64" s="289">
        <v>0</v>
      </c>
      <c r="AJ64" s="289">
        <v>0</v>
      </c>
      <c r="AK64" s="289">
        <v>40.795099999999998</v>
      </c>
      <c r="AL64" s="289"/>
      <c r="AM64" s="622">
        <v>0.20816525</v>
      </c>
      <c r="AN64" s="289">
        <v>0</v>
      </c>
      <c r="AO64" s="289">
        <v>-446.10913070999999</v>
      </c>
      <c r="AP64" s="289">
        <v>0</v>
      </c>
      <c r="AQ64" s="289">
        <v>0</v>
      </c>
      <c r="AR64" s="289">
        <v>3220.3873027099999</v>
      </c>
      <c r="AS64" s="289">
        <v>85.708200000000005</v>
      </c>
      <c r="AT64" s="289">
        <v>326</v>
      </c>
      <c r="AU64" s="289">
        <v>143</v>
      </c>
      <c r="AV64" s="625">
        <v>249575</v>
      </c>
      <c r="AW64" s="289">
        <v>-171.76840000000001</v>
      </c>
      <c r="AX64" s="625">
        <v>40.166666669999998</v>
      </c>
      <c r="AY64" s="289">
        <v>1412</v>
      </c>
      <c r="AZ64" s="289">
        <v>348</v>
      </c>
      <c r="BA64" s="290">
        <v>140</v>
      </c>
      <c r="BB64" s="289">
        <v>0</v>
      </c>
      <c r="BC64" s="289">
        <v>11763.79939238</v>
      </c>
      <c r="BD64" s="289">
        <v>183.8133</v>
      </c>
      <c r="BE64" s="289">
        <v>247340.47456045999</v>
      </c>
      <c r="BF64" s="289">
        <v>0</v>
      </c>
      <c r="BG64" s="289">
        <v>11</v>
      </c>
      <c r="BH64" s="289">
        <v>-71.932599999999994</v>
      </c>
      <c r="BI64" s="289">
        <v>11896.232176580001</v>
      </c>
      <c r="BJ64" s="289">
        <v>-9.0629000000000008</v>
      </c>
      <c r="BK64" s="289">
        <v>0</v>
      </c>
      <c r="BL64" s="289">
        <v>0</v>
      </c>
      <c r="BM64" s="289">
        <v>0</v>
      </c>
      <c r="BN64" s="289">
        <v>0</v>
      </c>
      <c r="BO64" s="517">
        <v>0</v>
      </c>
      <c r="BP64" s="517">
        <v>0</v>
      </c>
      <c r="BQ64" s="289">
        <f t="shared" si="0"/>
        <v>-9.0629455445999998</v>
      </c>
      <c r="BR64" s="289">
        <v>0</v>
      </c>
      <c r="BS64" s="289">
        <f t="shared" si="1"/>
        <v>0</v>
      </c>
      <c r="BT64" s="289">
        <v>23</v>
      </c>
      <c r="BU64" s="289">
        <v>0</v>
      </c>
      <c r="BV64" s="289">
        <v>90</v>
      </c>
      <c r="BW64" s="289">
        <v>104.788</v>
      </c>
      <c r="BX64" s="289">
        <v>182.488</v>
      </c>
      <c r="CC64" s="517"/>
      <c r="CD64" s="85"/>
      <c r="CE64" s="517"/>
    </row>
    <row r="65" spans="1:83" ht="13">
      <c r="A65" s="1">
        <v>1227</v>
      </c>
      <c r="B65" s="2" t="s">
        <v>31</v>
      </c>
      <c r="C65" s="289">
        <v>1096</v>
      </c>
      <c r="D65" s="289">
        <v>19</v>
      </c>
      <c r="E65" s="289">
        <v>54</v>
      </c>
      <c r="F65" s="289">
        <v>123</v>
      </c>
      <c r="G65" s="289">
        <v>92</v>
      </c>
      <c r="H65" s="289">
        <v>562</v>
      </c>
      <c r="I65" s="289">
        <v>182</v>
      </c>
      <c r="J65" s="289">
        <v>52</v>
      </c>
      <c r="K65" s="289">
        <v>21</v>
      </c>
      <c r="L65" s="289">
        <v>9</v>
      </c>
      <c r="M65" s="289">
        <v>112</v>
      </c>
      <c r="N65" s="290">
        <v>1.5</v>
      </c>
      <c r="O65" s="290">
        <v>4</v>
      </c>
      <c r="P65" s="624">
        <v>8166.4889999999996</v>
      </c>
      <c r="Q65" s="624">
        <v>5280.25466667</v>
      </c>
      <c r="R65" s="624">
        <v>5</v>
      </c>
      <c r="S65" s="289">
        <v>0</v>
      </c>
      <c r="T65" s="289">
        <v>81</v>
      </c>
      <c r="U65" s="716">
        <v>1.1334173709693889E-3</v>
      </c>
      <c r="V65" s="289">
        <v>529.07444527999996</v>
      </c>
      <c r="W65" s="743">
        <v>1</v>
      </c>
      <c r="X65" s="289">
        <v>1500</v>
      </c>
      <c r="Y65" s="289">
        <v>244</v>
      </c>
      <c r="Z65" s="289">
        <v>29975</v>
      </c>
      <c r="AA65" s="289">
        <v>-872.93218296999999</v>
      </c>
      <c r="AB65" s="290">
        <v>21</v>
      </c>
      <c r="AC65" s="289">
        <v>0</v>
      </c>
      <c r="AD65" s="289">
        <v>0</v>
      </c>
      <c r="AE65" s="289">
        <v>0</v>
      </c>
      <c r="AF65" s="289">
        <v>0</v>
      </c>
      <c r="AG65" s="289">
        <v>1105</v>
      </c>
      <c r="AH65" s="289">
        <v>151</v>
      </c>
      <c r="AI65" s="289">
        <v>300</v>
      </c>
      <c r="AJ65" s="289">
        <v>0</v>
      </c>
      <c r="AK65" s="289">
        <v>5.0800999999999998</v>
      </c>
      <c r="AL65" s="289"/>
      <c r="AM65" s="622">
        <v>4.1705199999999996E-3</v>
      </c>
      <c r="AN65" s="289">
        <v>0</v>
      </c>
      <c r="AO65" s="289">
        <v>-73.587830879999999</v>
      </c>
      <c r="AP65" s="289">
        <v>0</v>
      </c>
      <c r="AQ65" s="289">
        <v>0</v>
      </c>
      <c r="AR65" s="289">
        <v>580.67633555999998</v>
      </c>
      <c r="AS65" s="289">
        <v>10.119999999999999</v>
      </c>
      <c r="AT65" s="289">
        <v>40</v>
      </c>
      <c r="AU65" s="289">
        <v>4</v>
      </c>
      <c r="AV65" s="625">
        <v>54418</v>
      </c>
      <c r="AW65" s="289">
        <v>166.50219999999999</v>
      </c>
      <c r="AX65" s="625">
        <v>5.7916666699999997</v>
      </c>
      <c r="AY65" s="289">
        <v>218</v>
      </c>
      <c r="AZ65" s="289">
        <v>32</v>
      </c>
      <c r="BA65" s="290">
        <v>7</v>
      </c>
      <c r="BB65" s="289">
        <v>5543</v>
      </c>
      <c r="BC65" s="289">
        <v>-837.21664176000002</v>
      </c>
      <c r="BD65" s="289">
        <v>20.040299999999998</v>
      </c>
      <c r="BE65" s="289">
        <v>53918.336856889997</v>
      </c>
      <c r="BF65" s="289">
        <v>0</v>
      </c>
      <c r="BG65" s="289">
        <v>13</v>
      </c>
      <c r="BH65" s="289">
        <v>-9.0028000000000006</v>
      </c>
      <c r="BI65" s="289">
        <v>-477.93218296999999</v>
      </c>
      <c r="BJ65" s="289">
        <v>-1.1343000000000001</v>
      </c>
      <c r="BK65" s="289">
        <v>0</v>
      </c>
      <c r="BL65" s="289">
        <v>0</v>
      </c>
      <c r="BM65" s="289">
        <v>377</v>
      </c>
      <c r="BN65" s="289">
        <v>0</v>
      </c>
      <c r="BO65" s="517">
        <v>0</v>
      </c>
      <c r="BP65" s="517">
        <v>0</v>
      </c>
      <c r="BQ65" s="289">
        <f t="shared" si="0"/>
        <v>-1.134279627</v>
      </c>
      <c r="BR65" s="289">
        <v>0</v>
      </c>
      <c r="BS65" s="289">
        <f t="shared" si="1"/>
        <v>0</v>
      </c>
      <c r="BT65" s="289">
        <v>3</v>
      </c>
      <c r="BU65" s="289">
        <v>0</v>
      </c>
      <c r="BV65" s="289">
        <v>20</v>
      </c>
      <c r="BW65" s="289">
        <v>209.577</v>
      </c>
      <c r="BX65" s="289">
        <v>22.620999999999999</v>
      </c>
      <c r="CC65" s="517"/>
      <c r="CD65" s="85"/>
      <c r="CE65" s="517"/>
    </row>
    <row r="66" spans="1:83" ht="13">
      <c r="A66" s="1">
        <v>1228</v>
      </c>
      <c r="B66" s="2" t="s">
        <v>32</v>
      </c>
      <c r="C66" s="289">
        <v>6835</v>
      </c>
      <c r="D66" s="289">
        <v>108</v>
      </c>
      <c r="E66" s="289">
        <v>283</v>
      </c>
      <c r="F66" s="289">
        <v>722</v>
      </c>
      <c r="G66" s="289">
        <v>606</v>
      </c>
      <c r="H66" s="289">
        <v>3824</v>
      </c>
      <c r="I66" s="289">
        <v>884</v>
      </c>
      <c r="J66" s="289">
        <v>376</v>
      </c>
      <c r="K66" s="289">
        <v>119</v>
      </c>
      <c r="L66" s="289">
        <v>57</v>
      </c>
      <c r="M66" s="289">
        <v>676</v>
      </c>
      <c r="N66" s="290">
        <v>47</v>
      </c>
      <c r="O66" s="290">
        <v>97</v>
      </c>
      <c r="P66" s="624">
        <v>54203.891000000003</v>
      </c>
      <c r="Q66" s="624">
        <v>11244.546</v>
      </c>
      <c r="R66" s="624">
        <v>25</v>
      </c>
      <c r="S66" s="289">
        <v>0</v>
      </c>
      <c r="T66" s="289">
        <v>641</v>
      </c>
      <c r="U66" s="716">
        <v>1.5829212186172874E-3</v>
      </c>
      <c r="V66" s="289">
        <v>2569.81100079</v>
      </c>
      <c r="W66" s="743">
        <v>0.63622321000000004</v>
      </c>
      <c r="X66" s="289">
        <v>0</v>
      </c>
      <c r="Y66" s="289">
        <v>392</v>
      </c>
      <c r="Z66" s="289">
        <v>218966</v>
      </c>
      <c r="AA66" s="289">
        <v>0</v>
      </c>
      <c r="AB66" s="290">
        <v>137</v>
      </c>
      <c r="AC66" s="289">
        <v>0</v>
      </c>
      <c r="AD66" s="289">
        <v>492.48</v>
      </c>
      <c r="AE66" s="289">
        <v>0</v>
      </c>
      <c r="AF66" s="289">
        <v>0</v>
      </c>
      <c r="AG66" s="289">
        <v>6922</v>
      </c>
      <c r="AH66" s="289">
        <v>909</v>
      </c>
      <c r="AI66" s="289">
        <v>500</v>
      </c>
      <c r="AJ66" s="289">
        <v>0</v>
      </c>
      <c r="AK66" s="289">
        <v>26.439</v>
      </c>
      <c r="AL66" s="289"/>
      <c r="AM66" s="622">
        <v>0.13259644000000001</v>
      </c>
      <c r="AN66" s="289">
        <v>8837</v>
      </c>
      <c r="AO66" s="289">
        <v>-357.42950545999997</v>
      </c>
      <c r="AP66" s="289">
        <v>0</v>
      </c>
      <c r="AQ66" s="289">
        <v>0</v>
      </c>
      <c r="AR66" s="289">
        <v>-494.74438712</v>
      </c>
      <c r="AS66" s="289">
        <v>81.805300000000003</v>
      </c>
      <c r="AT66" s="289">
        <v>339</v>
      </c>
      <c r="AU66" s="289">
        <v>97</v>
      </c>
      <c r="AV66" s="625">
        <v>197986</v>
      </c>
      <c r="AW66" s="289">
        <v>951.49530000000004</v>
      </c>
      <c r="AX66" s="625">
        <v>23.583333329999999</v>
      </c>
      <c r="AY66" s="289">
        <v>1257</v>
      </c>
      <c r="AZ66" s="289">
        <v>199</v>
      </c>
      <c r="BA66" s="290">
        <v>165</v>
      </c>
      <c r="BB66" s="289">
        <v>0</v>
      </c>
      <c r="BC66" s="289">
        <v>1562</v>
      </c>
      <c r="BD66" s="289">
        <v>120.6399</v>
      </c>
      <c r="BE66" s="289">
        <v>200084.52806839001</v>
      </c>
      <c r="BF66" s="289">
        <v>0</v>
      </c>
      <c r="BG66" s="289">
        <v>11</v>
      </c>
      <c r="BH66" s="289">
        <v>-56.395699999999998</v>
      </c>
      <c r="BI66" s="289">
        <v>1793.48</v>
      </c>
      <c r="BJ66" s="289">
        <v>781.15039999999999</v>
      </c>
      <c r="BK66" s="289">
        <v>1909</v>
      </c>
      <c r="BL66" s="289">
        <v>0</v>
      </c>
      <c r="BM66" s="289">
        <v>2392</v>
      </c>
      <c r="BN66" s="289">
        <v>0</v>
      </c>
      <c r="BO66" s="517">
        <v>0</v>
      </c>
      <c r="BP66" s="289">
        <v>1078.6256733591849</v>
      </c>
      <c r="BQ66" s="289">
        <f t="shared" si="0"/>
        <v>-7.1054150028</v>
      </c>
      <c r="BR66" s="289">
        <v>3189.2530000000002</v>
      </c>
      <c r="BS66" s="289">
        <f t="shared" si="1"/>
        <v>2696.7730000000001</v>
      </c>
      <c r="BT66" s="289">
        <v>15</v>
      </c>
      <c r="BU66" s="289">
        <v>0</v>
      </c>
      <c r="BV66" s="289">
        <v>73</v>
      </c>
      <c r="BW66" s="289">
        <v>366.76</v>
      </c>
      <c r="BX66" s="289">
        <v>142.251</v>
      </c>
      <c r="CC66" s="517"/>
      <c r="CD66" s="85"/>
      <c r="CE66" s="517"/>
    </row>
    <row r="67" spans="1:83" ht="13">
      <c r="A67" s="1">
        <v>1231</v>
      </c>
      <c r="B67" s="2" t="s">
        <v>33</v>
      </c>
      <c r="C67" s="289">
        <v>3363</v>
      </c>
      <c r="D67" s="289">
        <v>61</v>
      </c>
      <c r="E67" s="289">
        <v>132</v>
      </c>
      <c r="F67" s="289">
        <v>406</v>
      </c>
      <c r="G67" s="289">
        <v>324</v>
      </c>
      <c r="H67" s="289">
        <v>1749</v>
      </c>
      <c r="I67" s="289">
        <v>490</v>
      </c>
      <c r="J67" s="289">
        <v>171</v>
      </c>
      <c r="K67" s="289">
        <v>59</v>
      </c>
      <c r="L67" s="289">
        <v>27</v>
      </c>
      <c r="M67" s="289">
        <v>285</v>
      </c>
      <c r="N67" s="290">
        <v>40</v>
      </c>
      <c r="O67" s="290">
        <v>44</v>
      </c>
      <c r="P67" s="624">
        <v>71185.752999999997</v>
      </c>
      <c r="Q67" s="624">
        <v>14909.82533333</v>
      </c>
      <c r="R67" s="624">
        <v>17</v>
      </c>
      <c r="S67" s="289">
        <v>0</v>
      </c>
      <c r="T67" s="289">
        <v>229</v>
      </c>
      <c r="U67" s="716">
        <v>4.9897883443877078E-3</v>
      </c>
      <c r="V67" s="289">
        <v>1445.8662516899999</v>
      </c>
      <c r="W67" s="743">
        <v>0.95469782000000003</v>
      </c>
      <c r="X67" s="289">
        <v>2900</v>
      </c>
      <c r="Y67" s="289">
        <v>244</v>
      </c>
      <c r="Z67" s="289">
        <v>86913</v>
      </c>
      <c r="AA67" s="289">
        <v>0</v>
      </c>
      <c r="AB67" s="290">
        <v>38</v>
      </c>
      <c r="AC67" s="289">
        <v>0</v>
      </c>
      <c r="AD67" s="289">
        <v>0</v>
      </c>
      <c r="AE67" s="289">
        <v>0</v>
      </c>
      <c r="AF67" s="289">
        <v>0</v>
      </c>
      <c r="AG67" s="289">
        <v>3392</v>
      </c>
      <c r="AH67" s="289">
        <v>466</v>
      </c>
      <c r="AI67" s="289">
        <v>2100</v>
      </c>
      <c r="AJ67" s="289">
        <v>0</v>
      </c>
      <c r="AK67" s="289">
        <v>13.714499999999999</v>
      </c>
      <c r="AL67" s="289"/>
      <c r="AM67" s="622">
        <v>4.7919490000000002E-2</v>
      </c>
      <c r="AN67" s="289">
        <v>4872</v>
      </c>
      <c r="AO67" s="289">
        <v>-201.10243872000001</v>
      </c>
      <c r="AP67" s="289">
        <v>0</v>
      </c>
      <c r="AQ67" s="289">
        <v>0</v>
      </c>
      <c r="AR67" s="289">
        <v>2109.0414150000001</v>
      </c>
      <c r="AS67" s="289">
        <v>32.503</v>
      </c>
      <c r="AT67" s="289">
        <v>132</v>
      </c>
      <c r="AU67" s="289">
        <v>30</v>
      </c>
      <c r="AV67" s="625">
        <v>129361</v>
      </c>
      <c r="AW67" s="289">
        <v>501.0086</v>
      </c>
      <c r="AX67" s="625">
        <v>29.791666670000001</v>
      </c>
      <c r="AY67" s="289">
        <v>674</v>
      </c>
      <c r="AZ67" s="289">
        <v>138</v>
      </c>
      <c r="BA67" s="290">
        <v>63</v>
      </c>
      <c r="BB67" s="289">
        <v>0</v>
      </c>
      <c r="BC67" s="289">
        <v>683</v>
      </c>
      <c r="BD67" s="289">
        <v>61.846200000000003</v>
      </c>
      <c r="BE67" s="289">
        <v>128167.7364964</v>
      </c>
      <c r="BF67" s="289">
        <v>0</v>
      </c>
      <c r="BG67" s="289">
        <v>13</v>
      </c>
      <c r="BH67" s="289">
        <v>-27.6357</v>
      </c>
      <c r="BI67" s="289">
        <v>710</v>
      </c>
      <c r="BJ67" s="289">
        <v>-3.4819</v>
      </c>
      <c r="BK67" s="289">
        <v>0</v>
      </c>
      <c r="BL67" s="289">
        <v>0</v>
      </c>
      <c r="BM67" s="289">
        <v>1150</v>
      </c>
      <c r="BN67" s="289">
        <v>0</v>
      </c>
      <c r="BO67" s="517">
        <v>0</v>
      </c>
      <c r="BP67" s="517">
        <v>0</v>
      </c>
      <c r="BQ67" s="289">
        <f t="shared" si="0"/>
        <v>-3.4818791808</v>
      </c>
      <c r="BR67" s="289">
        <v>0</v>
      </c>
      <c r="BS67" s="289">
        <f t="shared" si="1"/>
        <v>0</v>
      </c>
      <c r="BT67" s="289">
        <v>8</v>
      </c>
      <c r="BU67" s="289">
        <v>0</v>
      </c>
      <c r="BV67" s="289">
        <v>47</v>
      </c>
      <c r="BW67" s="289">
        <v>0</v>
      </c>
      <c r="BX67" s="289">
        <v>69.402000000000001</v>
      </c>
      <c r="CC67" s="517"/>
      <c r="CD67" s="85"/>
      <c r="CE67" s="517"/>
    </row>
    <row r="68" spans="1:83" ht="13">
      <c r="A68" s="1">
        <v>1234</v>
      </c>
      <c r="B68" s="2" t="s">
        <v>36</v>
      </c>
      <c r="C68" s="289">
        <v>931</v>
      </c>
      <c r="D68" s="289">
        <v>25</v>
      </c>
      <c r="E68" s="289">
        <v>33</v>
      </c>
      <c r="F68" s="289">
        <v>84</v>
      </c>
      <c r="G68" s="289">
        <v>81</v>
      </c>
      <c r="H68" s="289">
        <v>509</v>
      </c>
      <c r="I68" s="289">
        <v>135</v>
      </c>
      <c r="J68" s="289">
        <v>46</v>
      </c>
      <c r="K68" s="289">
        <v>17</v>
      </c>
      <c r="L68" s="289">
        <v>5</v>
      </c>
      <c r="M68" s="289">
        <v>96</v>
      </c>
      <c r="N68" s="290">
        <v>7</v>
      </c>
      <c r="O68" s="290">
        <v>8</v>
      </c>
      <c r="P68" s="624">
        <v>3593.3316666699998</v>
      </c>
      <c r="Q68" s="624">
        <v>2483.5843333299999</v>
      </c>
      <c r="R68" s="624">
        <v>3</v>
      </c>
      <c r="S68" s="289">
        <v>0</v>
      </c>
      <c r="T68" s="289">
        <v>58</v>
      </c>
      <c r="U68" s="716">
        <v>7.9962433100222376E-4</v>
      </c>
      <c r="V68" s="289">
        <v>409.66583297</v>
      </c>
      <c r="W68" s="743">
        <v>0.86593640000000005</v>
      </c>
      <c r="X68" s="289">
        <v>1700</v>
      </c>
      <c r="Y68" s="289">
        <v>0</v>
      </c>
      <c r="Z68" s="289">
        <v>22248</v>
      </c>
      <c r="AA68" s="289">
        <v>0</v>
      </c>
      <c r="AB68" s="290">
        <v>10</v>
      </c>
      <c r="AC68" s="289">
        <v>0</v>
      </c>
      <c r="AD68" s="289">
        <v>414.50400000000002</v>
      </c>
      <c r="AE68" s="289">
        <v>0</v>
      </c>
      <c r="AF68" s="289">
        <v>0</v>
      </c>
      <c r="AG68" s="289">
        <v>930</v>
      </c>
      <c r="AH68" s="289">
        <v>113</v>
      </c>
      <c r="AI68" s="289">
        <v>100</v>
      </c>
      <c r="AJ68" s="289">
        <v>0</v>
      </c>
      <c r="AK68" s="289">
        <v>3.4597000000000002</v>
      </c>
      <c r="AL68" s="289"/>
      <c r="AM68" s="622">
        <v>6.9478200000000004E-3</v>
      </c>
      <c r="AN68" s="289">
        <v>0</v>
      </c>
      <c r="AO68" s="289">
        <v>-56.979542870000003</v>
      </c>
      <c r="AP68" s="289">
        <v>0</v>
      </c>
      <c r="AQ68" s="289">
        <v>0</v>
      </c>
      <c r="AR68" s="289">
        <v>1054.5010250299999</v>
      </c>
      <c r="AS68" s="289">
        <v>8.0777000000000001</v>
      </c>
      <c r="AT68" s="289">
        <v>36</v>
      </c>
      <c r="AU68" s="289">
        <v>4</v>
      </c>
      <c r="AV68" s="625">
        <v>42983</v>
      </c>
      <c r="AW68" s="289">
        <v>108.9068</v>
      </c>
      <c r="AX68" s="625">
        <v>7.5833333300000003</v>
      </c>
      <c r="AY68" s="289">
        <v>179</v>
      </c>
      <c r="AZ68" s="289">
        <v>42</v>
      </c>
      <c r="BA68" s="290">
        <v>21</v>
      </c>
      <c r="BB68" s="289">
        <v>5543</v>
      </c>
      <c r="BC68" s="289">
        <v>186</v>
      </c>
      <c r="BD68" s="289">
        <v>14.997</v>
      </c>
      <c r="BE68" s="289">
        <v>42429.58850451</v>
      </c>
      <c r="BF68" s="289">
        <v>0</v>
      </c>
      <c r="BG68" s="289">
        <v>0</v>
      </c>
      <c r="BH68" s="289">
        <v>-7.577</v>
      </c>
      <c r="BI68" s="289">
        <v>527.50400000000002</v>
      </c>
      <c r="BJ68" s="289">
        <v>-226.28559999999999</v>
      </c>
      <c r="BK68" s="289">
        <v>0</v>
      </c>
      <c r="BL68" s="289">
        <v>0</v>
      </c>
      <c r="BM68" s="289">
        <v>252</v>
      </c>
      <c r="BN68" s="289">
        <v>0</v>
      </c>
      <c r="BO68" s="517">
        <v>0</v>
      </c>
      <c r="BP68" s="517">
        <v>0</v>
      </c>
      <c r="BQ68" s="289">
        <f t="shared" ref="BQ68:BQ131" si="2">-1.0264974*AG68/1000</f>
        <v>-0.95464258199999996</v>
      </c>
      <c r="BR68" s="289">
        <v>189.173</v>
      </c>
      <c r="BS68" s="289">
        <f t="shared" ref="BS68:BS131" si="3">+BR68-AD68</f>
        <v>-225.33100000000002</v>
      </c>
      <c r="BT68" s="289">
        <v>2</v>
      </c>
      <c r="BU68" s="289">
        <v>0</v>
      </c>
      <c r="BV68" s="289">
        <v>16</v>
      </c>
      <c r="BW68" s="289">
        <v>0</v>
      </c>
      <c r="BX68" s="289">
        <v>19.297999999999998</v>
      </c>
      <c r="CC68" s="517"/>
      <c r="CD68" s="85"/>
      <c r="CE68" s="517"/>
    </row>
    <row r="69" spans="1:83" ht="13">
      <c r="A69" s="1">
        <v>1235</v>
      </c>
      <c r="B69" s="2" t="s">
        <v>37</v>
      </c>
      <c r="C69" s="289">
        <v>14577</v>
      </c>
      <c r="D69" s="289">
        <v>296</v>
      </c>
      <c r="E69" s="289">
        <v>691</v>
      </c>
      <c r="F69" s="289">
        <v>1789</v>
      </c>
      <c r="G69" s="289">
        <v>1296</v>
      </c>
      <c r="H69" s="289">
        <v>7815</v>
      </c>
      <c r="I69" s="289">
        <v>1735</v>
      </c>
      <c r="J69" s="289">
        <v>751</v>
      </c>
      <c r="K69" s="289">
        <v>203</v>
      </c>
      <c r="L69" s="289">
        <v>108</v>
      </c>
      <c r="M69" s="289">
        <v>1182</v>
      </c>
      <c r="N69" s="290">
        <v>171</v>
      </c>
      <c r="O69" s="290">
        <v>126</v>
      </c>
      <c r="P69" s="624">
        <v>84265.918666669997</v>
      </c>
      <c r="Q69" s="624">
        <v>37788.769</v>
      </c>
      <c r="R69" s="624">
        <v>62</v>
      </c>
      <c r="S69" s="289">
        <v>0</v>
      </c>
      <c r="T69" s="289">
        <v>1078</v>
      </c>
      <c r="U69" s="716">
        <v>7.7906629818778571E-3</v>
      </c>
      <c r="V69" s="289">
        <v>5465.7206629700004</v>
      </c>
      <c r="W69" s="743">
        <v>0.62105432999999999</v>
      </c>
      <c r="X69" s="289">
        <v>5300</v>
      </c>
      <c r="Y69" s="289">
        <v>392</v>
      </c>
      <c r="Z69" s="289">
        <v>403939</v>
      </c>
      <c r="AA69" s="289">
        <v>0</v>
      </c>
      <c r="AB69" s="290">
        <v>217</v>
      </c>
      <c r="AC69" s="289">
        <v>0</v>
      </c>
      <c r="AD69" s="289">
        <v>4232.25</v>
      </c>
      <c r="AE69" s="289">
        <v>0</v>
      </c>
      <c r="AF69" s="289">
        <v>0</v>
      </c>
      <c r="AG69" s="289">
        <v>14576</v>
      </c>
      <c r="AH69" s="289">
        <v>2101</v>
      </c>
      <c r="AI69" s="289">
        <v>800</v>
      </c>
      <c r="AJ69" s="289">
        <v>0</v>
      </c>
      <c r="AK69" s="289">
        <v>66.000100000000003</v>
      </c>
      <c r="AL69" s="289"/>
      <c r="AM69" s="622">
        <v>0.16564240999999999</v>
      </c>
      <c r="AN69" s="289">
        <v>3404</v>
      </c>
      <c r="AO69" s="289">
        <v>-760.21537496999997</v>
      </c>
      <c r="AP69" s="289">
        <v>0</v>
      </c>
      <c r="AQ69" s="289">
        <v>0</v>
      </c>
      <c r="AR69" s="289">
        <v>-1041.8078859699999</v>
      </c>
      <c r="AS69" s="289">
        <v>148.48570000000001</v>
      </c>
      <c r="AT69" s="289">
        <v>536</v>
      </c>
      <c r="AU69" s="289">
        <v>124</v>
      </c>
      <c r="AV69" s="625">
        <v>402704</v>
      </c>
      <c r="AW69" s="289">
        <v>-7.4016999999999999</v>
      </c>
      <c r="AX69" s="625">
        <v>76.666666669999998</v>
      </c>
      <c r="AY69" s="289">
        <v>3177</v>
      </c>
      <c r="AZ69" s="289">
        <v>525</v>
      </c>
      <c r="BA69" s="290">
        <v>323</v>
      </c>
      <c r="BB69" s="289">
        <v>0</v>
      </c>
      <c r="BC69" s="289">
        <v>2612</v>
      </c>
      <c r="BD69" s="289">
        <v>278.83879999999999</v>
      </c>
      <c r="BE69" s="289">
        <v>421087.98467863002</v>
      </c>
      <c r="BF69" s="289">
        <v>0</v>
      </c>
      <c r="BG69" s="289">
        <v>11</v>
      </c>
      <c r="BH69" s="289">
        <v>-118.7551</v>
      </c>
      <c r="BI69" s="289">
        <v>6725.25</v>
      </c>
      <c r="BJ69" s="289">
        <v>-191.51320000000001</v>
      </c>
      <c r="BK69" s="289">
        <v>0</v>
      </c>
      <c r="BL69" s="289">
        <v>0</v>
      </c>
      <c r="BM69" s="289">
        <v>3927</v>
      </c>
      <c r="BN69" s="289">
        <v>0</v>
      </c>
      <c r="BO69" s="517">
        <v>0</v>
      </c>
      <c r="BP69" s="517">
        <v>0</v>
      </c>
      <c r="BQ69" s="289">
        <f t="shared" si="2"/>
        <v>-14.962226102400001</v>
      </c>
      <c r="BR69" s="289">
        <v>4055.6990000000001</v>
      </c>
      <c r="BS69" s="289">
        <f t="shared" si="3"/>
        <v>-176.55099999999993</v>
      </c>
      <c r="BT69" s="289">
        <v>38</v>
      </c>
      <c r="BU69" s="289">
        <v>0</v>
      </c>
      <c r="BV69" s="289">
        <v>148</v>
      </c>
      <c r="BW69" s="289">
        <v>366.76</v>
      </c>
      <c r="BX69" s="289">
        <v>303.46800000000002</v>
      </c>
      <c r="CC69" s="517"/>
      <c r="CD69" s="85"/>
      <c r="CE69" s="517"/>
    </row>
    <row r="70" spans="1:83" ht="13">
      <c r="A70" s="1">
        <v>1241</v>
      </c>
      <c r="B70" s="2" t="s">
        <v>39</v>
      </c>
      <c r="C70" s="289">
        <v>3920</v>
      </c>
      <c r="D70" s="289">
        <v>66</v>
      </c>
      <c r="E70" s="289">
        <v>174</v>
      </c>
      <c r="F70" s="289">
        <v>552</v>
      </c>
      <c r="G70" s="289">
        <v>371</v>
      </c>
      <c r="H70" s="289">
        <v>2052</v>
      </c>
      <c r="I70" s="289">
        <v>473</v>
      </c>
      <c r="J70" s="289">
        <v>180</v>
      </c>
      <c r="K70" s="289">
        <v>52</v>
      </c>
      <c r="L70" s="289">
        <v>30</v>
      </c>
      <c r="M70" s="289">
        <v>284</v>
      </c>
      <c r="N70" s="290">
        <v>9</v>
      </c>
      <c r="O70" s="290">
        <v>26</v>
      </c>
      <c r="P70" s="624">
        <v>62724.86266667</v>
      </c>
      <c r="Q70" s="624">
        <v>16347.759333329999</v>
      </c>
      <c r="R70" s="624">
        <v>18</v>
      </c>
      <c r="S70" s="289">
        <v>0</v>
      </c>
      <c r="T70" s="289">
        <v>245</v>
      </c>
      <c r="U70" s="716">
        <v>2.5548897530612048E-3</v>
      </c>
      <c r="V70" s="289">
        <v>-8695.1869088500007</v>
      </c>
      <c r="W70" s="743">
        <v>0.87748824000000003</v>
      </c>
      <c r="X70" s="289">
        <v>4900</v>
      </c>
      <c r="Y70" s="289">
        <v>392</v>
      </c>
      <c r="Z70" s="289">
        <v>112231</v>
      </c>
      <c r="AA70" s="289">
        <v>0</v>
      </c>
      <c r="AB70" s="290">
        <v>56</v>
      </c>
      <c r="AC70" s="289">
        <v>0</v>
      </c>
      <c r="AD70" s="289">
        <v>199.04400000000001</v>
      </c>
      <c r="AE70" s="289">
        <v>0</v>
      </c>
      <c r="AF70" s="289">
        <v>0</v>
      </c>
      <c r="AG70" s="289">
        <v>3920</v>
      </c>
      <c r="AH70" s="289">
        <v>605</v>
      </c>
      <c r="AI70" s="289">
        <v>0</v>
      </c>
      <c r="AJ70" s="289">
        <v>0</v>
      </c>
      <c r="AK70" s="289">
        <v>16.851600000000001</v>
      </c>
      <c r="AL70" s="289"/>
      <c r="AM70" s="622">
        <v>4.6256600000000002E-2</v>
      </c>
      <c r="AN70" s="289">
        <v>0</v>
      </c>
      <c r="AO70" s="289">
        <v>-222.65366259999999</v>
      </c>
      <c r="AP70" s="289">
        <v>0</v>
      </c>
      <c r="AQ70" s="289">
        <v>0</v>
      </c>
      <c r="AR70" s="289">
        <v>6153.86350124</v>
      </c>
      <c r="AS70" s="289">
        <v>34.413400000000003</v>
      </c>
      <c r="AT70" s="289">
        <v>136</v>
      </c>
      <c r="AU70" s="289">
        <v>43</v>
      </c>
      <c r="AV70" s="625">
        <v>129040</v>
      </c>
      <c r="AW70" s="289">
        <v>304.73630000000003</v>
      </c>
      <c r="AX70" s="625">
        <v>26.5</v>
      </c>
      <c r="AY70" s="289">
        <v>695</v>
      </c>
      <c r="AZ70" s="289">
        <v>120</v>
      </c>
      <c r="BA70" s="290">
        <v>68</v>
      </c>
      <c r="BB70" s="289">
        <v>0</v>
      </c>
      <c r="BC70" s="289">
        <v>1114</v>
      </c>
      <c r="BD70" s="289">
        <v>80.293899999999994</v>
      </c>
      <c r="BE70" s="289">
        <v>123458.36025966</v>
      </c>
      <c r="BF70" s="289">
        <v>0</v>
      </c>
      <c r="BG70" s="289">
        <v>11</v>
      </c>
      <c r="BH70" s="289">
        <v>-31.9374</v>
      </c>
      <c r="BI70" s="289">
        <v>1196.0440000000001</v>
      </c>
      <c r="BJ70" s="289">
        <v>-197.1919</v>
      </c>
      <c r="BK70" s="289">
        <v>0</v>
      </c>
      <c r="BL70" s="289">
        <v>0</v>
      </c>
      <c r="BM70" s="289">
        <v>769</v>
      </c>
      <c r="BN70" s="289">
        <v>0</v>
      </c>
      <c r="BO70" s="517">
        <v>0</v>
      </c>
      <c r="BP70" s="517">
        <v>0</v>
      </c>
      <c r="BQ70" s="289">
        <f t="shared" si="2"/>
        <v>-4.0238698079999997</v>
      </c>
      <c r="BR70" s="289">
        <v>5.8760000000000003</v>
      </c>
      <c r="BS70" s="289">
        <f t="shared" si="3"/>
        <v>-193.16800000000001</v>
      </c>
      <c r="BT70" s="289">
        <v>10</v>
      </c>
      <c r="BU70" s="289">
        <v>0</v>
      </c>
      <c r="BV70" s="289">
        <v>49</v>
      </c>
      <c r="BW70" s="289">
        <v>366.76</v>
      </c>
      <c r="BX70" s="289">
        <v>80.763999999999996</v>
      </c>
      <c r="CC70" s="517"/>
      <c r="CD70" s="85"/>
      <c r="CE70" s="517"/>
    </row>
    <row r="71" spans="1:83" ht="13">
      <c r="A71" s="1">
        <v>1243</v>
      </c>
      <c r="B71" s="2" t="s">
        <v>844</v>
      </c>
      <c r="C71" s="289">
        <v>20573</v>
      </c>
      <c r="D71" s="289">
        <v>575</v>
      </c>
      <c r="E71" s="289">
        <v>1185</v>
      </c>
      <c r="F71" s="289">
        <v>2907</v>
      </c>
      <c r="G71" s="289">
        <v>1783</v>
      </c>
      <c r="H71" s="289">
        <v>11446</v>
      </c>
      <c r="I71" s="289">
        <v>1954</v>
      </c>
      <c r="J71" s="289">
        <v>512</v>
      </c>
      <c r="K71" s="289">
        <v>109</v>
      </c>
      <c r="L71" s="289">
        <v>142</v>
      </c>
      <c r="M71" s="289">
        <v>922</v>
      </c>
      <c r="N71" s="290">
        <v>216</v>
      </c>
      <c r="O71" s="290">
        <v>185</v>
      </c>
      <c r="P71" s="624">
        <v>64124.197333329997</v>
      </c>
      <c r="Q71" s="624">
        <v>37810.417000000001</v>
      </c>
      <c r="R71" s="624">
        <v>68</v>
      </c>
      <c r="S71" s="289">
        <v>0</v>
      </c>
      <c r="T71" s="289">
        <v>1249</v>
      </c>
      <c r="U71" s="716">
        <v>1.1317049813246351E-3</v>
      </c>
      <c r="V71" s="289">
        <v>5060.6941090600003</v>
      </c>
      <c r="W71" s="743">
        <v>0.57851688000000001</v>
      </c>
      <c r="X71" s="289">
        <v>1100</v>
      </c>
      <c r="Y71" s="289">
        <v>392</v>
      </c>
      <c r="Z71" s="289">
        <v>565744</v>
      </c>
      <c r="AA71" s="289">
        <v>0</v>
      </c>
      <c r="AB71" s="290">
        <v>278</v>
      </c>
      <c r="AC71" s="289">
        <v>0</v>
      </c>
      <c r="AD71" s="289">
        <v>4904.28</v>
      </c>
      <c r="AE71" s="289">
        <v>13418</v>
      </c>
      <c r="AF71" s="289">
        <v>0</v>
      </c>
      <c r="AG71" s="289">
        <v>20471</v>
      </c>
      <c r="AH71" s="289">
        <v>3348</v>
      </c>
      <c r="AI71" s="289">
        <v>0</v>
      </c>
      <c r="AJ71" s="289">
        <v>0</v>
      </c>
      <c r="AK71" s="289">
        <v>116.08839999999999</v>
      </c>
      <c r="AL71" s="289"/>
      <c r="AM71" s="622">
        <v>0.57915371000000004</v>
      </c>
      <c r="AN71" s="289">
        <v>0</v>
      </c>
      <c r="AO71" s="289">
        <v>-988.59394313999996</v>
      </c>
      <c r="AP71" s="289">
        <v>0</v>
      </c>
      <c r="AQ71" s="289">
        <v>0</v>
      </c>
      <c r="AR71" s="289">
        <v>-1463.1482734399999</v>
      </c>
      <c r="AS71" s="289">
        <v>210.9238</v>
      </c>
      <c r="AT71" s="289">
        <v>1028</v>
      </c>
      <c r="AU71" s="289">
        <v>334</v>
      </c>
      <c r="AV71" s="625">
        <v>230304</v>
      </c>
      <c r="AW71" s="289">
        <v>-10.395099999999999</v>
      </c>
      <c r="AX71" s="625">
        <v>214.58333334</v>
      </c>
      <c r="AY71" s="289">
        <v>4339</v>
      </c>
      <c r="AZ71" s="289">
        <v>685</v>
      </c>
      <c r="BA71" s="290">
        <v>512</v>
      </c>
      <c r="BB71" s="289">
        <v>0</v>
      </c>
      <c r="BC71" s="289">
        <v>-240530.33840000001</v>
      </c>
      <c r="BD71" s="289">
        <v>444.33710000000002</v>
      </c>
      <c r="BE71" s="289">
        <v>254946.26552568999</v>
      </c>
      <c r="BF71" s="289">
        <v>0</v>
      </c>
      <c r="BG71" s="289">
        <v>11</v>
      </c>
      <c r="BH71" s="289">
        <v>-166.7835</v>
      </c>
      <c r="BI71" s="289">
        <v>-243831.1336</v>
      </c>
      <c r="BJ71" s="289">
        <v>-197.7244</v>
      </c>
      <c r="BK71" s="289">
        <v>0</v>
      </c>
      <c r="BL71" s="289">
        <v>-252475.4136</v>
      </c>
      <c r="BM71" s="289">
        <v>3978</v>
      </c>
      <c r="BN71" s="289">
        <v>-338.0181</v>
      </c>
      <c r="BO71" s="517">
        <v>0</v>
      </c>
      <c r="BP71" s="517">
        <v>0</v>
      </c>
      <c r="BQ71" s="289">
        <f t="shared" si="2"/>
        <v>-21.013428275400003</v>
      </c>
      <c r="BR71" s="289">
        <v>4727.5690000000004</v>
      </c>
      <c r="BS71" s="289">
        <f t="shared" si="3"/>
        <v>-176.71099999999933</v>
      </c>
      <c r="BT71" s="289">
        <v>66</v>
      </c>
      <c r="BU71" s="289">
        <v>0</v>
      </c>
      <c r="BV71" s="289">
        <v>185</v>
      </c>
      <c r="BW71" s="289">
        <v>0</v>
      </c>
      <c r="BX71" s="289">
        <v>429.517</v>
      </c>
      <c r="CC71" s="517"/>
      <c r="CD71" s="85"/>
      <c r="CE71" s="517"/>
    </row>
    <row r="72" spans="1:83" ht="13">
      <c r="A72" s="1">
        <v>1245</v>
      </c>
      <c r="B72" s="2" t="s">
        <v>42</v>
      </c>
      <c r="C72" s="289">
        <v>7085</v>
      </c>
      <c r="D72" s="289">
        <v>173</v>
      </c>
      <c r="E72" s="289">
        <v>425</v>
      </c>
      <c r="F72" s="289">
        <v>1036</v>
      </c>
      <c r="G72" s="289">
        <v>552</v>
      </c>
      <c r="H72" s="289">
        <v>3975</v>
      </c>
      <c r="I72" s="289">
        <v>690</v>
      </c>
      <c r="J72" s="289">
        <v>180</v>
      </c>
      <c r="K72" s="289">
        <v>45</v>
      </c>
      <c r="L72" s="289">
        <v>49</v>
      </c>
      <c r="M72" s="289">
        <v>317</v>
      </c>
      <c r="N72" s="290">
        <v>128</v>
      </c>
      <c r="O72" s="290">
        <v>71</v>
      </c>
      <c r="P72" s="624">
        <v>43474.072666669999</v>
      </c>
      <c r="Q72" s="624">
        <v>22610.664000000001</v>
      </c>
      <c r="R72" s="624">
        <v>23</v>
      </c>
      <c r="S72" s="289">
        <v>0</v>
      </c>
      <c r="T72" s="289">
        <v>409</v>
      </c>
      <c r="U72" s="716">
        <v>8.5096580166627294E-4</v>
      </c>
      <c r="V72" s="289">
        <v>1636.1387477000001</v>
      </c>
      <c r="W72" s="743">
        <v>0.65096518999999997</v>
      </c>
      <c r="X72" s="289">
        <v>1600</v>
      </c>
      <c r="Y72" s="289">
        <v>0</v>
      </c>
      <c r="Z72" s="289">
        <v>181153</v>
      </c>
      <c r="AA72" s="289">
        <v>0</v>
      </c>
      <c r="AB72" s="290">
        <v>145</v>
      </c>
      <c r="AC72" s="289">
        <v>0</v>
      </c>
      <c r="AD72" s="289">
        <v>3761.3159999999998</v>
      </c>
      <c r="AE72" s="289">
        <v>2751</v>
      </c>
      <c r="AF72" s="289">
        <v>0</v>
      </c>
      <c r="AG72" s="289">
        <v>7076</v>
      </c>
      <c r="AH72" s="289">
        <v>1178</v>
      </c>
      <c r="AI72" s="289">
        <v>0</v>
      </c>
      <c r="AJ72" s="289">
        <v>0</v>
      </c>
      <c r="AK72" s="289">
        <v>39.085599999999999</v>
      </c>
      <c r="AL72" s="289"/>
      <c r="AM72" s="622">
        <v>0.26170239000000001</v>
      </c>
      <c r="AN72" s="289">
        <v>0</v>
      </c>
      <c r="AO72" s="289">
        <v>-358.83815207999999</v>
      </c>
      <c r="AP72" s="289">
        <v>0</v>
      </c>
      <c r="AQ72" s="289">
        <v>0</v>
      </c>
      <c r="AR72" s="289">
        <v>-505.75141336000002</v>
      </c>
      <c r="AS72" s="289">
        <v>83.125100000000003</v>
      </c>
      <c r="AT72" s="289">
        <v>320</v>
      </c>
      <c r="AU72" s="289">
        <v>140</v>
      </c>
      <c r="AV72" s="625">
        <v>183433</v>
      </c>
      <c r="AW72" s="289">
        <v>-3.5931999999999999</v>
      </c>
      <c r="AX72" s="625">
        <v>56.083333330000002</v>
      </c>
      <c r="AY72" s="289">
        <v>986</v>
      </c>
      <c r="AZ72" s="289">
        <v>291</v>
      </c>
      <c r="BA72" s="290">
        <v>153</v>
      </c>
      <c r="BB72" s="289">
        <v>0</v>
      </c>
      <c r="BC72" s="289">
        <v>1147</v>
      </c>
      <c r="BD72" s="289">
        <v>156.3408</v>
      </c>
      <c r="BE72" s="289">
        <v>193861.22597211</v>
      </c>
      <c r="BF72" s="289">
        <v>0</v>
      </c>
      <c r="BG72" s="289">
        <v>0</v>
      </c>
      <c r="BH72" s="289">
        <v>-57.650300000000001</v>
      </c>
      <c r="BI72" s="289">
        <v>4939.3159999999998</v>
      </c>
      <c r="BJ72" s="289">
        <v>-185.27549999999999</v>
      </c>
      <c r="BK72" s="289">
        <v>0</v>
      </c>
      <c r="BL72" s="289">
        <v>0</v>
      </c>
      <c r="BM72" s="289">
        <v>1066</v>
      </c>
      <c r="BN72" s="289">
        <v>0</v>
      </c>
      <c r="BO72" s="517">
        <v>0</v>
      </c>
      <c r="BP72" s="517">
        <v>0</v>
      </c>
      <c r="BQ72" s="289">
        <f t="shared" si="2"/>
        <v>-7.2634956023999999</v>
      </c>
      <c r="BR72" s="289">
        <v>3583.3040000000001</v>
      </c>
      <c r="BS72" s="289">
        <f t="shared" si="3"/>
        <v>-178.01199999999972</v>
      </c>
      <c r="BT72" s="289">
        <v>22</v>
      </c>
      <c r="BU72" s="289">
        <v>0</v>
      </c>
      <c r="BV72" s="289">
        <v>71</v>
      </c>
      <c r="BW72" s="289">
        <v>104.788</v>
      </c>
      <c r="BX72" s="289">
        <v>146.98699999999999</v>
      </c>
      <c r="CC72" s="517"/>
      <c r="CD72" s="85"/>
      <c r="CE72" s="517"/>
    </row>
    <row r="73" spans="1:83" ht="13">
      <c r="A73" s="1">
        <v>1246</v>
      </c>
      <c r="B73" s="2" t="s">
        <v>43</v>
      </c>
      <c r="C73" s="289">
        <v>25725</v>
      </c>
      <c r="D73" s="289">
        <v>679</v>
      </c>
      <c r="E73" s="289">
        <v>1383</v>
      </c>
      <c r="F73" s="289">
        <v>3609</v>
      </c>
      <c r="G73" s="289">
        <v>2650</v>
      </c>
      <c r="H73" s="289">
        <v>14409</v>
      </c>
      <c r="I73" s="289">
        <v>2189</v>
      </c>
      <c r="J73" s="289">
        <v>471</v>
      </c>
      <c r="K73" s="289">
        <v>121</v>
      </c>
      <c r="L73" s="289">
        <v>185</v>
      </c>
      <c r="M73" s="289">
        <v>992</v>
      </c>
      <c r="N73" s="290">
        <v>334</v>
      </c>
      <c r="O73" s="290">
        <v>233</v>
      </c>
      <c r="P73" s="624">
        <v>87462.320333330004</v>
      </c>
      <c r="Q73" s="624">
        <v>64830.392333329997</v>
      </c>
      <c r="R73" s="624">
        <v>85</v>
      </c>
      <c r="S73" s="289">
        <v>0</v>
      </c>
      <c r="T73" s="289">
        <v>1399</v>
      </c>
      <c r="U73" s="716">
        <v>1.1557744819806995E-3</v>
      </c>
      <c r="V73" s="289">
        <v>-19230.547014529999</v>
      </c>
      <c r="W73" s="743">
        <v>0.57681632000000005</v>
      </c>
      <c r="X73" s="289">
        <v>1700</v>
      </c>
      <c r="Y73" s="289">
        <v>784</v>
      </c>
      <c r="Z73" s="289">
        <v>743530</v>
      </c>
      <c r="AA73" s="289">
        <v>0</v>
      </c>
      <c r="AB73" s="290">
        <v>458</v>
      </c>
      <c r="AC73" s="289">
        <v>0</v>
      </c>
      <c r="AD73" s="289">
        <v>3891.6179999999999</v>
      </c>
      <c r="AE73" s="289">
        <v>6556</v>
      </c>
      <c r="AF73" s="289">
        <v>0</v>
      </c>
      <c r="AG73" s="289">
        <v>25511</v>
      </c>
      <c r="AH73" s="289">
        <v>4277</v>
      </c>
      <c r="AI73" s="289">
        <v>2500</v>
      </c>
      <c r="AJ73" s="289">
        <v>0</v>
      </c>
      <c r="AK73" s="289">
        <v>132.04509999999999</v>
      </c>
      <c r="AL73" s="289"/>
      <c r="AM73" s="622">
        <v>0.99092391999999996</v>
      </c>
      <c r="AN73" s="289">
        <v>0</v>
      </c>
      <c r="AO73" s="289">
        <v>-1191.7955826899999</v>
      </c>
      <c r="AP73" s="289">
        <v>0</v>
      </c>
      <c r="AQ73" s="289">
        <v>0</v>
      </c>
      <c r="AR73" s="289">
        <v>-1823.3782230300001</v>
      </c>
      <c r="AS73" s="289">
        <v>286.63220000000001</v>
      </c>
      <c r="AT73" s="289">
        <v>1361</v>
      </c>
      <c r="AU73" s="289">
        <v>571</v>
      </c>
      <c r="AV73" s="625">
        <v>532739</v>
      </c>
      <c r="AW73" s="289">
        <v>-12.9544</v>
      </c>
      <c r="AX73" s="625">
        <v>201.54166663000001</v>
      </c>
      <c r="AY73" s="289">
        <v>4909</v>
      </c>
      <c r="AZ73" s="289">
        <v>810</v>
      </c>
      <c r="BA73" s="290">
        <v>682</v>
      </c>
      <c r="BB73" s="289">
        <v>0</v>
      </c>
      <c r="BC73" s="289">
        <v>5080</v>
      </c>
      <c r="BD73" s="289">
        <v>567.63130000000001</v>
      </c>
      <c r="BE73" s="289">
        <v>552679.91712799994</v>
      </c>
      <c r="BF73" s="289">
        <v>0</v>
      </c>
      <c r="BG73" s="289">
        <v>22</v>
      </c>
      <c r="BH73" s="289">
        <v>-207.8459</v>
      </c>
      <c r="BI73" s="289">
        <v>8952.6180000000004</v>
      </c>
      <c r="BJ73" s="289">
        <v>226.0472</v>
      </c>
      <c r="BK73" s="289">
        <v>611</v>
      </c>
      <c r="BL73" s="289">
        <v>0</v>
      </c>
      <c r="BM73" s="289">
        <v>3807</v>
      </c>
      <c r="BN73" s="289">
        <v>0</v>
      </c>
      <c r="BO73" s="517">
        <v>0</v>
      </c>
      <c r="BP73" s="517">
        <v>0</v>
      </c>
      <c r="BQ73" s="289">
        <f t="shared" si="2"/>
        <v>-26.1869751714</v>
      </c>
      <c r="BR73" s="289">
        <v>4754.5590000000002</v>
      </c>
      <c r="BS73" s="289">
        <f t="shared" si="3"/>
        <v>862.94100000000026</v>
      </c>
      <c r="BT73" s="289">
        <v>76</v>
      </c>
      <c r="BU73" s="289">
        <v>0</v>
      </c>
      <c r="BV73" s="289">
        <v>227</v>
      </c>
      <c r="BW73" s="289">
        <v>104.788</v>
      </c>
      <c r="BX73" s="289">
        <v>538.09500000000003</v>
      </c>
      <c r="CC73" s="517"/>
      <c r="CD73" s="85"/>
      <c r="CE73" s="517"/>
    </row>
    <row r="74" spans="1:83" ht="13">
      <c r="A74" s="1">
        <v>1256</v>
      </c>
      <c r="B74" s="2" t="s">
        <v>48</v>
      </c>
      <c r="C74" s="289">
        <v>8079</v>
      </c>
      <c r="D74" s="289">
        <v>239</v>
      </c>
      <c r="E74" s="289">
        <v>511</v>
      </c>
      <c r="F74" s="289">
        <v>1187</v>
      </c>
      <c r="G74" s="289">
        <v>705</v>
      </c>
      <c r="H74" s="289">
        <v>4466</v>
      </c>
      <c r="I74" s="289">
        <v>689</v>
      </c>
      <c r="J74" s="289">
        <v>194</v>
      </c>
      <c r="K74" s="289">
        <v>47</v>
      </c>
      <c r="L74" s="289">
        <v>51</v>
      </c>
      <c r="M74" s="289">
        <v>321</v>
      </c>
      <c r="N74" s="290">
        <v>64</v>
      </c>
      <c r="O74" s="290">
        <v>86</v>
      </c>
      <c r="P74" s="624">
        <v>25446.959666670002</v>
      </c>
      <c r="Q74" s="624">
        <v>19990.22633333</v>
      </c>
      <c r="R74" s="624">
        <v>28</v>
      </c>
      <c r="S74" s="289">
        <v>0</v>
      </c>
      <c r="T74" s="289">
        <v>416</v>
      </c>
      <c r="U74" s="716">
        <v>1.7451586624344152E-3</v>
      </c>
      <c r="V74" s="289">
        <v>-3445.7264996399999</v>
      </c>
      <c r="W74" s="743">
        <v>0.60423168999999999</v>
      </c>
      <c r="X74" s="289">
        <v>3900</v>
      </c>
      <c r="Y74" s="289">
        <v>392</v>
      </c>
      <c r="Z74" s="289">
        <v>207938</v>
      </c>
      <c r="AA74" s="289">
        <v>0</v>
      </c>
      <c r="AB74" s="290">
        <v>148</v>
      </c>
      <c r="AC74" s="289">
        <v>0</v>
      </c>
      <c r="AD74" s="289">
        <v>562.24800000000005</v>
      </c>
      <c r="AE74" s="289">
        <v>3049</v>
      </c>
      <c r="AF74" s="289">
        <v>0</v>
      </c>
      <c r="AG74" s="289">
        <v>8038</v>
      </c>
      <c r="AH74" s="289">
        <v>1416</v>
      </c>
      <c r="AI74" s="289">
        <v>600</v>
      </c>
      <c r="AJ74" s="289">
        <v>0</v>
      </c>
      <c r="AK74" s="289">
        <v>49.314799999999998</v>
      </c>
      <c r="AL74" s="289"/>
      <c r="AM74" s="622">
        <v>0.21904525</v>
      </c>
      <c r="AN74" s="289">
        <v>0</v>
      </c>
      <c r="AO74" s="289">
        <v>-403.83790755000001</v>
      </c>
      <c r="AP74" s="289">
        <v>0</v>
      </c>
      <c r="AQ74" s="289">
        <v>0</v>
      </c>
      <c r="AR74" s="289">
        <v>-574.50959024999997</v>
      </c>
      <c r="AS74" s="289">
        <v>79.972700000000003</v>
      </c>
      <c r="AT74" s="289">
        <v>394</v>
      </c>
      <c r="AU74" s="289">
        <v>136</v>
      </c>
      <c r="AV74" s="625">
        <v>201900</v>
      </c>
      <c r="AW74" s="289">
        <v>-4.0816999999999997</v>
      </c>
      <c r="AX74" s="625">
        <v>89.75</v>
      </c>
      <c r="AY74" s="289">
        <v>1606</v>
      </c>
      <c r="AZ74" s="289">
        <v>263</v>
      </c>
      <c r="BA74" s="290">
        <v>197</v>
      </c>
      <c r="BB74" s="289">
        <v>0</v>
      </c>
      <c r="BC74" s="289">
        <v>1721</v>
      </c>
      <c r="BD74" s="289">
        <v>187.92750000000001</v>
      </c>
      <c r="BE74" s="289">
        <v>209982.81751255001</v>
      </c>
      <c r="BF74" s="289">
        <v>0</v>
      </c>
      <c r="BG74" s="289">
        <v>11</v>
      </c>
      <c r="BH74" s="289">
        <v>-65.488</v>
      </c>
      <c r="BI74" s="289">
        <v>2370.248</v>
      </c>
      <c r="BJ74" s="289">
        <v>897.58810000000005</v>
      </c>
      <c r="BK74" s="289">
        <v>2193</v>
      </c>
      <c r="BL74" s="289">
        <v>0</v>
      </c>
      <c r="BM74" s="289">
        <v>1407</v>
      </c>
      <c r="BN74" s="289">
        <v>0</v>
      </c>
      <c r="BO74" s="517">
        <v>0</v>
      </c>
      <c r="BP74" s="289">
        <v>748.78563646540795</v>
      </c>
      <c r="BQ74" s="289">
        <f t="shared" si="2"/>
        <v>-8.2509861012000005</v>
      </c>
      <c r="BR74" s="289">
        <v>3661.2959999999998</v>
      </c>
      <c r="BS74" s="289">
        <f t="shared" si="3"/>
        <v>3099.0479999999998</v>
      </c>
      <c r="BT74" s="289">
        <v>28</v>
      </c>
      <c r="BU74" s="289">
        <v>0</v>
      </c>
      <c r="BV74" s="289">
        <v>76</v>
      </c>
      <c r="BW74" s="289">
        <v>104.788</v>
      </c>
      <c r="BX74" s="289">
        <v>168.13399999999999</v>
      </c>
      <c r="CC74" s="517"/>
      <c r="CD74" s="85"/>
      <c r="CE74" s="517"/>
    </row>
    <row r="75" spans="1:83" ht="13">
      <c r="A75" s="1">
        <v>1259</v>
      </c>
      <c r="B75" s="2" t="s">
        <v>49</v>
      </c>
      <c r="C75" s="289">
        <v>4877</v>
      </c>
      <c r="D75" s="289">
        <v>138</v>
      </c>
      <c r="E75" s="289">
        <v>252</v>
      </c>
      <c r="F75" s="289">
        <v>678</v>
      </c>
      <c r="G75" s="289">
        <v>468</v>
      </c>
      <c r="H75" s="289">
        <v>2664</v>
      </c>
      <c r="I75" s="289">
        <v>476</v>
      </c>
      <c r="J75" s="289">
        <v>157</v>
      </c>
      <c r="K75" s="289">
        <v>58</v>
      </c>
      <c r="L75" s="289">
        <v>44</v>
      </c>
      <c r="M75" s="289">
        <v>275</v>
      </c>
      <c r="N75" s="290">
        <v>41</v>
      </c>
      <c r="O75" s="290">
        <v>62</v>
      </c>
      <c r="P75" s="624">
        <v>33196.103999999999</v>
      </c>
      <c r="Q75" s="624">
        <v>15829.258333330001</v>
      </c>
      <c r="R75" s="624">
        <v>10</v>
      </c>
      <c r="S75" s="289">
        <v>0</v>
      </c>
      <c r="T75" s="289">
        <v>293</v>
      </c>
      <c r="U75" s="716">
        <v>7.5504275353320321E-4</v>
      </c>
      <c r="V75" s="289">
        <v>1194.92608028</v>
      </c>
      <c r="W75" s="743">
        <v>0.68698285999999997</v>
      </c>
      <c r="X75" s="289">
        <v>0</v>
      </c>
      <c r="Y75" s="289">
        <v>392</v>
      </c>
      <c r="Z75" s="289">
        <v>116750</v>
      </c>
      <c r="AA75" s="289">
        <v>0</v>
      </c>
      <c r="AB75" s="290">
        <v>80</v>
      </c>
      <c r="AC75" s="289">
        <v>0</v>
      </c>
      <c r="AD75" s="289">
        <v>2943.5940000000001</v>
      </c>
      <c r="AE75" s="289">
        <v>167</v>
      </c>
      <c r="AF75" s="289">
        <v>0</v>
      </c>
      <c r="AG75" s="289">
        <v>4891</v>
      </c>
      <c r="AH75" s="289">
        <v>816</v>
      </c>
      <c r="AI75" s="289">
        <v>0</v>
      </c>
      <c r="AJ75" s="289">
        <v>0</v>
      </c>
      <c r="AK75" s="289">
        <v>23.930700000000002</v>
      </c>
      <c r="AL75" s="289"/>
      <c r="AM75" s="622">
        <v>0.27458539999999998</v>
      </c>
      <c r="AN75" s="289">
        <v>0</v>
      </c>
      <c r="AO75" s="289">
        <v>-254.85430817</v>
      </c>
      <c r="AP75" s="289">
        <v>0</v>
      </c>
      <c r="AQ75" s="289">
        <v>0</v>
      </c>
      <c r="AR75" s="289">
        <v>-349.58029434000002</v>
      </c>
      <c r="AS75" s="289">
        <v>57.9422</v>
      </c>
      <c r="AT75" s="289">
        <v>236</v>
      </c>
      <c r="AU75" s="289">
        <v>119</v>
      </c>
      <c r="AV75" s="625">
        <v>132937</v>
      </c>
      <c r="AW75" s="289">
        <v>-2.4836</v>
      </c>
      <c r="AX75" s="625">
        <v>43.166666669999998</v>
      </c>
      <c r="AY75" s="289">
        <v>643</v>
      </c>
      <c r="AZ75" s="289">
        <v>236</v>
      </c>
      <c r="BA75" s="290">
        <v>125</v>
      </c>
      <c r="BB75" s="289">
        <v>0</v>
      </c>
      <c r="BC75" s="289">
        <v>1247</v>
      </c>
      <c r="BD75" s="289">
        <v>108.2972</v>
      </c>
      <c r="BE75" s="289">
        <v>138979.34918486001</v>
      </c>
      <c r="BF75" s="289">
        <v>0</v>
      </c>
      <c r="BG75" s="289">
        <v>11</v>
      </c>
      <c r="BH75" s="289">
        <v>-39.848500000000001</v>
      </c>
      <c r="BI75" s="289">
        <v>4151.5940000000001</v>
      </c>
      <c r="BJ75" s="289">
        <v>15.5977</v>
      </c>
      <c r="BK75" s="289">
        <v>50</v>
      </c>
      <c r="BL75" s="289">
        <v>0</v>
      </c>
      <c r="BM75" s="289">
        <v>742</v>
      </c>
      <c r="BN75" s="289">
        <v>0</v>
      </c>
      <c r="BO75" s="517">
        <v>0</v>
      </c>
      <c r="BP75" s="517">
        <v>0</v>
      </c>
      <c r="BQ75" s="289">
        <f t="shared" si="2"/>
        <v>-5.0205987833999997</v>
      </c>
      <c r="BR75" s="289">
        <v>3014.1329999999998</v>
      </c>
      <c r="BS75" s="289">
        <f t="shared" si="3"/>
        <v>70.53899999999976</v>
      </c>
      <c r="BT75" s="289">
        <v>14</v>
      </c>
      <c r="BU75" s="289">
        <v>0</v>
      </c>
      <c r="BV75" s="289">
        <v>52</v>
      </c>
      <c r="BW75" s="289">
        <v>523.94200000000001</v>
      </c>
      <c r="BX75" s="289">
        <v>101.703</v>
      </c>
      <c r="CC75" s="517"/>
      <c r="CD75" s="85"/>
      <c r="CE75" s="517"/>
    </row>
    <row r="76" spans="1:83" ht="13">
      <c r="A76" s="1">
        <v>1260</v>
      </c>
      <c r="B76" s="2" t="s">
        <v>53</v>
      </c>
      <c r="C76" s="289">
        <v>5129</v>
      </c>
      <c r="D76" s="289">
        <v>110</v>
      </c>
      <c r="E76" s="289">
        <v>263</v>
      </c>
      <c r="F76" s="289">
        <v>621</v>
      </c>
      <c r="G76" s="289">
        <v>499</v>
      </c>
      <c r="H76" s="289">
        <v>2800</v>
      </c>
      <c r="I76" s="289">
        <v>578</v>
      </c>
      <c r="J76" s="289">
        <v>195</v>
      </c>
      <c r="K76" s="289">
        <v>47</v>
      </c>
      <c r="L76" s="289">
        <v>39</v>
      </c>
      <c r="M76" s="289">
        <v>303</v>
      </c>
      <c r="N76" s="290">
        <v>22</v>
      </c>
      <c r="O76" s="290">
        <v>57</v>
      </c>
      <c r="P76" s="624">
        <v>28869.07366667</v>
      </c>
      <c r="Q76" s="624">
        <v>11123.111999999999</v>
      </c>
      <c r="R76" s="624">
        <v>32</v>
      </c>
      <c r="S76" s="289">
        <v>0</v>
      </c>
      <c r="T76" s="289">
        <v>335</v>
      </c>
      <c r="U76" s="716">
        <v>3.4894516846530753E-3</v>
      </c>
      <c r="V76" s="289">
        <v>-236.02077087999999</v>
      </c>
      <c r="W76" s="743">
        <v>0.66765927999999997</v>
      </c>
      <c r="X76" s="289">
        <v>3600</v>
      </c>
      <c r="Y76" s="289">
        <v>392</v>
      </c>
      <c r="Z76" s="289">
        <v>116817</v>
      </c>
      <c r="AA76" s="289">
        <v>0</v>
      </c>
      <c r="AB76" s="290">
        <v>86</v>
      </c>
      <c r="AC76" s="289">
        <v>0</v>
      </c>
      <c r="AD76" s="289">
        <v>2343.384</v>
      </c>
      <c r="AE76" s="289">
        <v>0</v>
      </c>
      <c r="AF76" s="289">
        <v>0</v>
      </c>
      <c r="AG76" s="289">
        <v>5113</v>
      </c>
      <c r="AH76" s="289">
        <v>763</v>
      </c>
      <c r="AI76" s="289">
        <v>0</v>
      </c>
      <c r="AJ76" s="289">
        <v>0</v>
      </c>
      <c r="AK76" s="289">
        <v>24.305199999999999</v>
      </c>
      <c r="AL76" s="289"/>
      <c r="AM76" s="622">
        <v>0.15093329999999999</v>
      </c>
      <c r="AN76" s="289">
        <v>0</v>
      </c>
      <c r="AO76" s="289">
        <v>-265.51583038000001</v>
      </c>
      <c r="AP76" s="289">
        <v>0</v>
      </c>
      <c r="AQ76" s="289">
        <v>0</v>
      </c>
      <c r="AR76" s="289">
        <v>-365.44756593</v>
      </c>
      <c r="AS76" s="289">
        <v>53.4161</v>
      </c>
      <c r="AT76" s="289">
        <v>210</v>
      </c>
      <c r="AU76" s="289">
        <v>100</v>
      </c>
      <c r="AV76" s="625">
        <v>140019</v>
      </c>
      <c r="AW76" s="289">
        <v>-2.5964</v>
      </c>
      <c r="AX76" s="625">
        <v>32.791666659999997</v>
      </c>
      <c r="AY76" s="289">
        <v>722</v>
      </c>
      <c r="AZ76" s="289">
        <v>189</v>
      </c>
      <c r="BA76" s="290">
        <v>102</v>
      </c>
      <c r="BB76" s="289">
        <v>0</v>
      </c>
      <c r="BC76" s="289">
        <v>1214</v>
      </c>
      <c r="BD76" s="289">
        <v>101.2632</v>
      </c>
      <c r="BE76" s="289">
        <v>145578.70652658999</v>
      </c>
      <c r="BF76" s="289">
        <v>0</v>
      </c>
      <c r="BG76" s="289">
        <v>11</v>
      </c>
      <c r="BH76" s="289">
        <v>-41.657200000000003</v>
      </c>
      <c r="BI76" s="289">
        <v>3498.384</v>
      </c>
      <c r="BJ76" s="289">
        <v>280.19170000000003</v>
      </c>
      <c r="BK76" s="289">
        <v>691</v>
      </c>
      <c r="BL76" s="289">
        <v>0</v>
      </c>
      <c r="BM76" s="289">
        <v>900</v>
      </c>
      <c r="BN76" s="289">
        <v>0</v>
      </c>
      <c r="BO76" s="517">
        <v>0</v>
      </c>
      <c r="BP76" s="517">
        <v>0</v>
      </c>
      <c r="BQ76" s="289">
        <f t="shared" si="2"/>
        <v>-5.2484812062000001</v>
      </c>
      <c r="BR76" s="289">
        <v>3319.9290000000001</v>
      </c>
      <c r="BS76" s="289">
        <f t="shared" si="3"/>
        <v>976.54500000000007</v>
      </c>
      <c r="BT76" s="289">
        <v>14</v>
      </c>
      <c r="BU76" s="289">
        <v>0</v>
      </c>
      <c r="BV76" s="289">
        <v>54</v>
      </c>
      <c r="BW76" s="289">
        <v>104.788</v>
      </c>
      <c r="BX76" s="289">
        <v>106.688</v>
      </c>
      <c r="CC76" s="517"/>
      <c r="CD76" s="85"/>
      <c r="CE76" s="517"/>
    </row>
    <row r="77" spans="1:83" ht="13">
      <c r="A77" s="1">
        <v>1263</v>
      </c>
      <c r="B77" s="2" t="s">
        <v>54</v>
      </c>
      <c r="C77" s="289">
        <v>15789</v>
      </c>
      <c r="D77" s="289">
        <v>347</v>
      </c>
      <c r="E77" s="289">
        <v>847</v>
      </c>
      <c r="F77" s="289">
        <v>2193</v>
      </c>
      <c r="G77" s="289">
        <v>1492</v>
      </c>
      <c r="H77" s="289">
        <v>8541</v>
      </c>
      <c r="I77" s="289">
        <v>1738</v>
      </c>
      <c r="J77" s="289">
        <v>482</v>
      </c>
      <c r="K77" s="289">
        <v>133</v>
      </c>
      <c r="L77" s="289">
        <v>108</v>
      </c>
      <c r="M77" s="289">
        <v>876</v>
      </c>
      <c r="N77" s="290">
        <v>100</v>
      </c>
      <c r="O77" s="290">
        <v>137</v>
      </c>
      <c r="P77" s="624">
        <v>81630.028333330003</v>
      </c>
      <c r="Q77" s="624">
        <v>43309.313000000002</v>
      </c>
      <c r="R77" s="624">
        <v>69</v>
      </c>
      <c r="S77" s="289">
        <v>0</v>
      </c>
      <c r="T77" s="289">
        <v>990</v>
      </c>
      <c r="U77" s="716">
        <v>5.1847674836009994E-3</v>
      </c>
      <c r="V77" s="289">
        <v>-11650.902540790001</v>
      </c>
      <c r="W77" s="743">
        <v>0.65280724999999995</v>
      </c>
      <c r="X77" s="289">
        <v>0</v>
      </c>
      <c r="Y77" s="289">
        <v>392</v>
      </c>
      <c r="Z77" s="289">
        <v>419158</v>
      </c>
      <c r="AA77" s="289">
        <v>0</v>
      </c>
      <c r="AB77" s="290">
        <v>278</v>
      </c>
      <c r="AC77" s="289">
        <v>0</v>
      </c>
      <c r="AD77" s="289">
        <v>1110.1320000000001</v>
      </c>
      <c r="AE77" s="289">
        <v>391</v>
      </c>
      <c r="AF77" s="289">
        <v>0</v>
      </c>
      <c r="AG77" s="289">
        <v>15773</v>
      </c>
      <c r="AH77" s="289">
        <v>2560</v>
      </c>
      <c r="AI77" s="289">
        <v>825</v>
      </c>
      <c r="AJ77" s="289">
        <v>0</v>
      </c>
      <c r="AK77" s="289">
        <v>78.245699999999999</v>
      </c>
      <c r="AL77" s="289"/>
      <c r="AM77" s="622">
        <v>0.47828636000000002</v>
      </c>
      <c r="AN77" s="289">
        <v>0</v>
      </c>
      <c r="AO77" s="289">
        <v>-790.11603690000004</v>
      </c>
      <c r="AP77" s="289">
        <v>0</v>
      </c>
      <c r="AQ77" s="289">
        <v>0</v>
      </c>
      <c r="AR77" s="289">
        <v>-1127.3624990000001</v>
      </c>
      <c r="AS77" s="289">
        <v>165.81649999999999</v>
      </c>
      <c r="AT77" s="289">
        <v>782</v>
      </c>
      <c r="AU77" s="289">
        <v>266</v>
      </c>
      <c r="AV77" s="625">
        <v>388099</v>
      </c>
      <c r="AW77" s="289">
        <v>590.39459999999997</v>
      </c>
      <c r="AX77" s="625">
        <v>88.041666669999998</v>
      </c>
      <c r="AY77" s="289">
        <v>2832</v>
      </c>
      <c r="AZ77" s="289">
        <v>569</v>
      </c>
      <c r="BA77" s="290">
        <v>364</v>
      </c>
      <c r="BB77" s="289">
        <v>0</v>
      </c>
      <c r="BC77" s="289">
        <v>3085</v>
      </c>
      <c r="BD77" s="289">
        <v>339.75599999999997</v>
      </c>
      <c r="BE77" s="289">
        <v>390922.10999582999</v>
      </c>
      <c r="BF77" s="289">
        <v>0</v>
      </c>
      <c r="BG77" s="289">
        <v>11</v>
      </c>
      <c r="BH77" s="289">
        <v>-128.50749999999999</v>
      </c>
      <c r="BI77" s="289">
        <v>4062.1320000000001</v>
      </c>
      <c r="BJ77" s="289">
        <v>698.29049999999995</v>
      </c>
      <c r="BK77" s="289">
        <v>1730</v>
      </c>
      <c r="BL77" s="289">
        <v>0</v>
      </c>
      <c r="BM77" s="289">
        <v>2759</v>
      </c>
      <c r="BN77" s="289">
        <v>0</v>
      </c>
      <c r="BO77" s="517">
        <v>0</v>
      </c>
      <c r="BP77" s="517">
        <v>0</v>
      </c>
      <c r="BQ77" s="289">
        <f t="shared" si="2"/>
        <v>-16.190943490199999</v>
      </c>
      <c r="BR77" s="289">
        <v>3554.509</v>
      </c>
      <c r="BS77" s="289">
        <f t="shared" si="3"/>
        <v>2444.377</v>
      </c>
      <c r="BT77" s="289">
        <v>45</v>
      </c>
      <c r="BU77" s="289">
        <v>0</v>
      </c>
      <c r="BV77" s="289">
        <v>153</v>
      </c>
      <c r="BW77" s="289">
        <v>943.096</v>
      </c>
      <c r="BX77" s="289">
        <v>329.06</v>
      </c>
      <c r="CC77" s="517"/>
      <c r="CD77" s="85"/>
      <c r="CE77" s="517"/>
    </row>
    <row r="78" spans="1:83" ht="13">
      <c r="A78" s="1">
        <v>1401</v>
      </c>
      <c r="B78" s="2" t="s">
        <v>58</v>
      </c>
      <c r="C78" s="289">
        <v>11988</v>
      </c>
      <c r="D78" s="289">
        <v>245</v>
      </c>
      <c r="E78" s="289">
        <v>542</v>
      </c>
      <c r="F78" s="289">
        <v>1636</v>
      </c>
      <c r="G78" s="289">
        <v>1247</v>
      </c>
      <c r="H78" s="289">
        <v>6723</v>
      </c>
      <c r="I78" s="289">
        <v>1151</v>
      </c>
      <c r="J78" s="289">
        <v>402</v>
      </c>
      <c r="K78" s="289">
        <v>102</v>
      </c>
      <c r="L78" s="289">
        <v>96</v>
      </c>
      <c r="M78" s="289">
        <v>714</v>
      </c>
      <c r="N78" s="290">
        <v>280</v>
      </c>
      <c r="O78" s="290">
        <v>160</v>
      </c>
      <c r="P78" s="624">
        <v>97330.722333330006</v>
      </c>
      <c r="Q78" s="624">
        <v>36038.083333330003</v>
      </c>
      <c r="R78" s="624">
        <v>51</v>
      </c>
      <c r="S78" s="289">
        <v>0</v>
      </c>
      <c r="T78" s="289">
        <v>899</v>
      </c>
      <c r="U78" s="716">
        <v>3.0865734552589378E-3</v>
      </c>
      <c r="V78" s="289">
        <v>4363.8509654400004</v>
      </c>
      <c r="W78" s="743">
        <v>0.61512498999999998</v>
      </c>
      <c r="X78" s="289">
        <v>13250</v>
      </c>
      <c r="Y78" s="289">
        <v>392</v>
      </c>
      <c r="Z78" s="289">
        <v>333690</v>
      </c>
      <c r="AA78" s="289">
        <v>0</v>
      </c>
      <c r="AB78" s="290">
        <v>201</v>
      </c>
      <c r="AC78" s="289">
        <v>0</v>
      </c>
      <c r="AD78" s="289">
        <v>4320.4859999999999</v>
      </c>
      <c r="AE78" s="289">
        <v>0</v>
      </c>
      <c r="AF78" s="289">
        <v>0</v>
      </c>
      <c r="AG78" s="289">
        <v>12048</v>
      </c>
      <c r="AH78" s="289">
        <v>1879</v>
      </c>
      <c r="AI78" s="289">
        <v>1152.5</v>
      </c>
      <c r="AJ78" s="289">
        <v>0</v>
      </c>
      <c r="AK78" s="289">
        <v>52.402099999999997</v>
      </c>
      <c r="AL78" s="289"/>
      <c r="AM78" s="622">
        <v>0.38504617000000002</v>
      </c>
      <c r="AN78" s="289">
        <v>0</v>
      </c>
      <c r="AO78" s="289">
        <v>-606.95867983999995</v>
      </c>
      <c r="AP78" s="289">
        <v>0</v>
      </c>
      <c r="AQ78" s="289">
        <v>0</v>
      </c>
      <c r="AR78" s="289">
        <v>-861.12111760000005</v>
      </c>
      <c r="AS78" s="289">
        <v>151.40950000000001</v>
      </c>
      <c r="AT78" s="289">
        <v>544</v>
      </c>
      <c r="AU78" s="289">
        <v>201</v>
      </c>
      <c r="AV78" s="625">
        <v>320870</v>
      </c>
      <c r="AW78" s="289">
        <v>-6.1178999999999997</v>
      </c>
      <c r="AX78" s="625">
        <v>77.083333330000002</v>
      </c>
      <c r="AY78" s="289">
        <v>2285</v>
      </c>
      <c r="AZ78" s="289">
        <v>507</v>
      </c>
      <c r="BA78" s="290">
        <v>316</v>
      </c>
      <c r="BB78" s="289">
        <v>0</v>
      </c>
      <c r="BC78" s="289">
        <v>2403</v>
      </c>
      <c r="BD78" s="289">
        <v>249.37559999999999</v>
      </c>
      <c r="BE78" s="289">
        <v>332626.47414542001</v>
      </c>
      <c r="BF78" s="289">
        <v>0</v>
      </c>
      <c r="BG78" s="289">
        <v>11</v>
      </c>
      <c r="BH78" s="289">
        <v>-98.158699999999996</v>
      </c>
      <c r="BI78" s="289">
        <v>6591.4859999999999</v>
      </c>
      <c r="BJ78" s="289">
        <v>-183.63220000000001</v>
      </c>
      <c r="BK78" s="289">
        <v>0</v>
      </c>
      <c r="BL78" s="289">
        <v>0</v>
      </c>
      <c r="BM78" s="289">
        <v>2894</v>
      </c>
      <c r="BN78" s="289">
        <v>0</v>
      </c>
      <c r="BO78" s="517">
        <v>0</v>
      </c>
      <c r="BP78" s="517">
        <v>0</v>
      </c>
      <c r="BQ78" s="289">
        <f t="shared" si="2"/>
        <v>-12.367240675200001</v>
      </c>
      <c r="BR78" s="289">
        <v>4149.2209999999995</v>
      </c>
      <c r="BS78" s="289">
        <f t="shared" si="3"/>
        <v>-171.26500000000033</v>
      </c>
      <c r="BT78" s="289">
        <v>30</v>
      </c>
      <c r="BU78" s="289">
        <v>0</v>
      </c>
      <c r="BV78" s="289">
        <v>119</v>
      </c>
      <c r="BW78" s="289">
        <v>523.94200000000001</v>
      </c>
      <c r="BX78" s="289">
        <v>248.08799999999999</v>
      </c>
      <c r="CC78" s="517"/>
      <c r="CD78" s="85"/>
      <c r="CE78" s="517"/>
    </row>
    <row r="79" spans="1:83" ht="13">
      <c r="A79" s="1">
        <v>1418</v>
      </c>
      <c r="B79" s="2" t="s">
        <v>64</v>
      </c>
      <c r="C79" s="289">
        <v>1262</v>
      </c>
      <c r="D79" s="289">
        <v>27</v>
      </c>
      <c r="E79" s="289">
        <v>55</v>
      </c>
      <c r="F79" s="289">
        <v>133</v>
      </c>
      <c r="G79" s="289">
        <v>125</v>
      </c>
      <c r="H79" s="289">
        <v>715</v>
      </c>
      <c r="I79" s="289">
        <v>159</v>
      </c>
      <c r="J79" s="289">
        <v>50</v>
      </c>
      <c r="K79" s="289">
        <v>18</v>
      </c>
      <c r="L79" s="289">
        <v>9</v>
      </c>
      <c r="M79" s="289">
        <v>96</v>
      </c>
      <c r="N79" s="290">
        <v>15</v>
      </c>
      <c r="O79" s="290">
        <v>28</v>
      </c>
      <c r="P79" s="624">
        <v>8067.9163333300003</v>
      </c>
      <c r="Q79" s="624">
        <v>6763.2673333299999</v>
      </c>
      <c r="R79" s="624">
        <v>14</v>
      </c>
      <c r="S79" s="289">
        <v>0</v>
      </c>
      <c r="T79" s="289">
        <v>114</v>
      </c>
      <c r="U79" s="716">
        <v>1.0113841970897895E-3</v>
      </c>
      <c r="V79" s="289">
        <v>597.60939500999996</v>
      </c>
      <c r="W79" s="743">
        <v>1</v>
      </c>
      <c r="X79" s="289">
        <v>1000</v>
      </c>
      <c r="Y79" s="289">
        <v>0</v>
      </c>
      <c r="Z79" s="289">
        <v>33797</v>
      </c>
      <c r="AA79" s="289">
        <v>0</v>
      </c>
      <c r="AB79" s="290">
        <v>28</v>
      </c>
      <c r="AC79" s="289">
        <v>0</v>
      </c>
      <c r="AD79" s="289">
        <v>0</v>
      </c>
      <c r="AE79" s="289">
        <v>0</v>
      </c>
      <c r="AF79" s="289">
        <v>0</v>
      </c>
      <c r="AG79" s="289">
        <v>1282</v>
      </c>
      <c r="AH79" s="289">
        <v>171</v>
      </c>
      <c r="AI79" s="289">
        <v>0</v>
      </c>
      <c r="AJ79" s="289">
        <v>0</v>
      </c>
      <c r="AK79" s="289">
        <v>5.5030000000000001</v>
      </c>
      <c r="AL79" s="289"/>
      <c r="AM79" s="622">
        <v>1.4057139999999999E-2</v>
      </c>
      <c r="AN79" s="289">
        <v>0</v>
      </c>
      <c r="AO79" s="289">
        <v>-83.120210180000001</v>
      </c>
      <c r="AP79" s="289">
        <v>0</v>
      </c>
      <c r="AQ79" s="289">
        <v>0</v>
      </c>
      <c r="AR79" s="289">
        <v>-91.629919720000004</v>
      </c>
      <c r="AS79" s="289">
        <v>15.101599999999999</v>
      </c>
      <c r="AT79" s="289">
        <v>53</v>
      </c>
      <c r="AU79" s="289">
        <v>10</v>
      </c>
      <c r="AV79" s="625">
        <v>58947</v>
      </c>
      <c r="AW79" s="289">
        <v>-0.65100000000000002</v>
      </c>
      <c r="AX79" s="625">
        <v>7.6666666699999997</v>
      </c>
      <c r="AY79" s="289">
        <v>323</v>
      </c>
      <c r="AZ79" s="289">
        <v>44</v>
      </c>
      <c r="BA79" s="290">
        <v>7</v>
      </c>
      <c r="BB79" s="289">
        <v>5543</v>
      </c>
      <c r="BC79" s="289">
        <v>164</v>
      </c>
      <c r="BD79" s="289">
        <v>22.694600000000001</v>
      </c>
      <c r="BE79" s="289">
        <v>59317.145168479998</v>
      </c>
      <c r="BF79" s="289">
        <v>0</v>
      </c>
      <c r="BG79" s="289">
        <v>0</v>
      </c>
      <c r="BH79" s="289">
        <v>-10.444800000000001</v>
      </c>
      <c r="BI79" s="289">
        <v>171</v>
      </c>
      <c r="BJ79" s="289">
        <v>-1.3160000000000001</v>
      </c>
      <c r="BK79" s="289">
        <v>0</v>
      </c>
      <c r="BL79" s="289">
        <v>0</v>
      </c>
      <c r="BM79" s="289">
        <v>437</v>
      </c>
      <c r="BN79" s="289">
        <v>0</v>
      </c>
      <c r="BO79" s="517">
        <v>0</v>
      </c>
      <c r="BP79" s="517">
        <v>0</v>
      </c>
      <c r="BQ79" s="289">
        <f t="shared" si="2"/>
        <v>-1.3159696667999998</v>
      </c>
      <c r="BR79" s="289">
        <v>0</v>
      </c>
      <c r="BS79" s="289">
        <f t="shared" si="3"/>
        <v>0</v>
      </c>
      <c r="BT79" s="289">
        <v>3</v>
      </c>
      <c r="BU79" s="289">
        <v>0</v>
      </c>
      <c r="BV79" s="289">
        <v>21</v>
      </c>
      <c r="BW79" s="289">
        <v>136.22499999999999</v>
      </c>
      <c r="BX79" s="289">
        <v>26.527000000000001</v>
      </c>
      <c r="CC79" s="517"/>
      <c r="CD79" s="85"/>
      <c r="CE79" s="517"/>
    </row>
    <row r="80" spans="1:83" ht="13">
      <c r="A80" s="1">
        <v>1419</v>
      </c>
      <c r="B80" s="2" t="s">
        <v>65</v>
      </c>
      <c r="C80" s="289">
        <v>2345</v>
      </c>
      <c r="D80" s="289">
        <v>47</v>
      </c>
      <c r="E80" s="289">
        <v>102</v>
      </c>
      <c r="F80" s="289">
        <v>319</v>
      </c>
      <c r="G80" s="289">
        <v>207</v>
      </c>
      <c r="H80" s="289">
        <v>1240</v>
      </c>
      <c r="I80" s="289">
        <v>294</v>
      </c>
      <c r="J80" s="289">
        <v>91</v>
      </c>
      <c r="K80" s="289">
        <v>25</v>
      </c>
      <c r="L80" s="289">
        <v>17</v>
      </c>
      <c r="M80" s="289">
        <v>161</v>
      </c>
      <c r="N80" s="290">
        <v>17</v>
      </c>
      <c r="O80" s="290">
        <v>20</v>
      </c>
      <c r="P80" s="624">
        <v>3169.0436666700002</v>
      </c>
      <c r="Q80" s="624">
        <v>3442.7826666699998</v>
      </c>
      <c r="R80" s="624">
        <v>4</v>
      </c>
      <c r="S80" s="289">
        <v>0</v>
      </c>
      <c r="T80" s="289">
        <v>153</v>
      </c>
      <c r="U80" s="716">
        <v>1.014812028218663E-3</v>
      </c>
      <c r="V80" s="289">
        <v>889.20247660999996</v>
      </c>
      <c r="W80" s="743">
        <v>0.78494140999999995</v>
      </c>
      <c r="X80" s="289">
        <v>0</v>
      </c>
      <c r="Y80" s="289">
        <v>392</v>
      </c>
      <c r="Z80" s="289">
        <v>72179</v>
      </c>
      <c r="AA80" s="289">
        <v>0</v>
      </c>
      <c r="AB80" s="290">
        <v>18</v>
      </c>
      <c r="AC80" s="289">
        <v>0</v>
      </c>
      <c r="AD80" s="289">
        <v>4495.9319999999998</v>
      </c>
      <c r="AE80" s="289">
        <v>0</v>
      </c>
      <c r="AF80" s="289">
        <v>0</v>
      </c>
      <c r="AG80" s="289">
        <v>2325</v>
      </c>
      <c r="AH80" s="289">
        <v>357</v>
      </c>
      <c r="AI80" s="289">
        <v>0</v>
      </c>
      <c r="AJ80" s="289">
        <v>0</v>
      </c>
      <c r="AK80" s="289">
        <v>11.264099999999999</v>
      </c>
      <c r="AL80" s="289"/>
      <c r="AM80" s="622">
        <v>2.4419699999999999E-3</v>
      </c>
      <c r="AN80" s="289">
        <v>0</v>
      </c>
      <c r="AO80" s="289">
        <v>-123.67726707</v>
      </c>
      <c r="AP80" s="289">
        <v>0</v>
      </c>
      <c r="AQ80" s="289">
        <v>0</v>
      </c>
      <c r="AR80" s="289">
        <v>-166.17750651</v>
      </c>
      <c r="AS80" s="289">
        <v>19.009899999999998</v>
      </c>
      <c r="AT80" s="289">
        <v>83</v>
      </c>
      <c r="AU80" s="289">
        <v>4</v>
      </c>
      <c r="AV80" s="625">
        <v>68938</v>
      </c>
      <c r="AW80" s="289">
        <v>-1.1806000000000001</v>
      </c>
      <c r="AX80" s="625">
        <v>26.25</v>
      </c>
      <c r="AY80" s="289">
        <v>736</v>
      </c>
      <c r="AZ80" s="289">
        <v>40</v>
      </c>
      <c r="BA80" s="290">
        <v>53</v>
      </c>
      <c r="BB80" s="289">
        <v>2772</v>
      </c>
      <c r="BC80" s="289">
        <v>341</v>
      </c>
      <c r="BD80" s="289">
        <v>47.38</v>
      </c>
      <c r="BE80" s="289">
        <v>75389.455933639998</v>
      </c>
      <c r="BF80" s="289">
        <v>0</v>
      </c>
      <c r="BG80" s="289">
        <v>11</v>
      </c>
      <c r="BH80" s="289">
        <v>-18.942499999999999</v>
      </c>
      <c r="BI80" s="289">
        <v>5244.9319999999998</v>
      </c>
      <c r="BJ80" s="289">
        <v>-187.86060000000001</v>
      </c>
      <c r="BK80" s="289">
        <v>0</v>
      </c>
      <c r="BL80" s="289">
        <v>0</v>
      </c>
      <c r="BM80" s="289">
        <v>791</v>
      </c>
      <c r="BN80" s="289">
        <v>0</v>
      </c>
      <c r="BO80" s="517">
        <v>0</v>
      </c>
      <c r="BP80" s="517">
        <v>0</v>
      </c>
      <c r="BQ80" s="289">
        <f t="shared" si="2"/>
        <v>-2.3866064549999999</v>
      </c>
      <c r="BR80" s="289">
        <v>4310.4579999999996</v>
      </c>
      <c r="BS80" s="289">
        <f t="shared" si="3"/>
        <v>-185.47400000000016</v>
      </c>
      <c r="BT80" s="289">
        <v>6</v>
      </c>
      <c r="BU80" s="289">
        <v>0</v>
      </c>
      <c r="BV80" s="289">
        <v>28</v>
      </c>
      <c r="BW80" s="289">
        <v>0</v>
      </c>
      <c r="BX80" s="289">
        <v>48.587000000000003</v>
      </c>
      <c r="CC80" s="517"/>
      <c r="CD80" s="85"/>
      <c r="CE80" s="517"/>
    </row>
    <row r="81" spans="1:83" ht="13">
      <c r="A81" s="1">
        <v>1420</v>
      </c>
      <c r="B81" s="2" t="s">
        <v>66</v>
      </c>
      <c r="C81" s="289">
        <v>8059</v>
      </c>
      <c r="D81" s="289">
        <v>200</v>
      </c>
      <c r="E81" s="289">
        <v>374</v>
      </c>
      <c r="F81" s="289">
        <v>950</v>
      </c>
      <c r="G81" s="289">
        <v>810</v>
      </c>
      <c r="H81" s="289">
        <v>4477</v>
      </c>
      <c r="I81" s="289">
        <v>804</v>
      </c>
      <c r="J81" s="289">
        <v>258</v>
      </c>
      <c r="K81" s="289">
        <v>77</v>
      </c>
      <c r="L81" s="289">
        <v>55</v>
      </c>
      <c r="M81" s="289">
        <v>482</v>
      </c>
      <c r="N81" s="290">
        <v>90</v>
      </c>
      <c r="O81" s="290">
        <v>75</v>
      </c>
      <c r="P81" s="624">
        <v>36791.975666669998</v>
      </c>
      <c r="Q81" s="624">
        <v>19157.027999999998</v>
      </c>
      <c r="R81" s="624">
        <v>27</v>
      </c>
      <c r="S81" s="289">
        <v>0</v>
      </c>
      <c r="T81" s="289">
        <v>482</v>
      </c>
      <c r="U81" s="716">
        <v>3.8004725446743096E-3</v>
      </c>
      <c r="V81" s="289">
        <v>2731.8996041099999</v>
      </c>
      <c r="W81" s="743">
        <v>0.62118711999999998</v>
      </c>
      <c r="X81" s="289">
        <v>6800</v>
      </c>
      <c r="Y81" s="289">
        <v>392</v>
      </c>
      <c r="Z81" s="289">
        <v>218690</v>
      </c>
      <c r="AA81" s="289">
        <v>0</v>
      </c>
      <c r="AB81" s="290">
        <v>80</v>
      </c>
      <c r="AC81" s="289">
        <v>0</v>
      </c>
      <c r="AD81" s="289">
        <v>2701.4580000000001</v>
      </c>
      <c r="AE81" s="289">
        <v>0</v>
      </c>
      <c r="AF81" s="289">
        <v>0</v>
      </c>
      <c r="AG81" s="289">
        <v>7950</v>
      </c>
      <c r="AH81" s="289">
        <v>1162</v>
      </c>
      <c r="AI81" s="289">
        <v>0</v>
      </c>
      <c r="AJ81" s="289">
        <v>0</v>
      </c>
      <c r="AK81" s="289">
        <v>38.248699999999999</v>
      </c>
      <c r="AL81" s="289"/>
      <c r="AM81" s="622">
        <v>6.4590599999999998E-2</v>
      </c>
      <c r="AN81" s="289">
        <v>0</v>
      </c>
      <c r="AO81" s="289">
        <v>-379.97406196999998</v>
      </c>
      <c r="AP81" s="289">
        <v>0</v>
      </c>
      <c r="AQ81" s="289">
        <v>0</v>
      </c>
      <c r="AR81" s="289">
        <v>-568.21986097000001</v>
      </c>
      <c r="AS81" s="289">
        <v>71.549499999999995</v>
      </c>
      <c r="AT81" s="289">
        <v>265</v>
      </c>
      <c r="AU81" s="289">
        <v>58</v>
      </c>
      <c r="AV81" s="625">
        <v>186977</v>
      </c>
      <c r="AW81" s="289">
        <v>-4.0369999999999999</v>
      </c>
      <c r="AX81" s="625">
        <v>61.833333330000002</v>
      </c>
      <c r="AY81" s="289">
        <v>2295</v>
      </c>
      <c r="AZ81" s="289">
        <v>265</v>
      </c>
      <c r="BA81" s="290">
        <v>151</v>
      </c>
      <c r="BB81" s="289">
        <v>0</v>
      </c>
      <c r="BC81" s="289">
        <v>1877</v>
      </c>
      <c r="BD81" s="289">
        <v>154.2174</v>
      </c>
      <c r="BE81" s="289">
        <v>196973.27180582</v>
      </c>
      <c r="BF81" s="289">
        <v>0</v>
      </c>
      <c r="BG81" s="289">
        <v>11</v>
      </c>
      <c r="BH81" s="289">
        <v>-64.771100000000004</v>
      </c>
      <c r="BI81" s="289">
        <v>4255.4579999999996</v>
      </c>
      <c r="BJ81" s="289">
        <v>386.99680000000001</v>
      </c>
      <c r="BK81" s="289">
        <v>957</v>
      </c>
      <c r="BL81" s="289">
        <v>0</v>
      </c>
      <c r="BM81" s="289">
        <v>2694</v>
      </c>
      <c r="BN81" s="289">
        <v>0</v>
      </c>
      <c r="BO81" s="517">
        <v>0</v>
      </c>
      <c r="BP81" s="517">
        <v>0</v>
      </c>
      <c r="BQ81" s="289">
        <f t="shared" si="2"/>
        <v>-8.1606543299999998</v>
      </c>
      <c r="BR81" s="289">
        <v>4053.3670000000002</v>
      </c>
      <c r="BS81" s="289">
        <f t="shared" si="3"/>
        <v>1351.9090000000001</v>
      </c>
      <c r="BT81" s="289">
        <v>22</v>
      </c>
      <c r="BU81" s="289">
        <v>0</v>
      </c>
      <c r="BV81" s="289">
        <v>78</v>
      </c>
      <c r="BW81" s="289">
        <v>115.267</v>
      </c>
      <c r="BX81" s="289">
        <v>166.65899999999999</v>
      </c>
      <c r="CC81" s="517"/>
      <c r="CD81" s="85"/>
      <c r="CE81" s="517"/>
    </row>
    <row r="82" spans="1:83" ht="13">
      <c r="A82" s="1">
        <v>1430</v>
      </c>
      <c r="B82" s="2" t="s">
        <v>73</v>
      </c>
      <c r="C82" s="289">
        <v>3006</v>
      </c>
      <c r="D82" s="289">
        <v>57</v>
      </c>
      <c r="E82" s="289">
        <v>178</v>
      </c>
      <c r="F82" s="289">
        <v>407</v>
      </c>
      <c r="G82" s="289">
        <v>260</v>
      </c>
      <c r="H82" s="289">
        <v>1590</v>
      </c>
      <c r="I82" s="289">
        <v>313</v>
      </c>
      <c r="J82" s="289">
        <v>133</v>
      </c>
      <c r="K82" s="289">
        <v>39</v>
      </c>
      <c r="L82" s="289">
        <v>21</v>
      </c>
      <c r="M82" s="289">
        <v>202</v>
      </c>
      <c r="N82" s="290">
        <v>0</v>
      </c>
      <c r="O82" s="290">
        <v>29</v>
      </c>
      <c r="P82" s="624">
        <v>30764.807000000001</v>
      </c>
      <c r="Q82" s="624">
        <v>11655.147999999999</v>
      </c>
      <c r="R82" s="624">
        <v>19</v>
      </c>
      <c r="S82" s="289">
        <v>0</v>
      </c>
      <c r="T82" s="289">
        <v>174</v>
      </c>
      <c r="U82" s="716">
        <v>3.3812080650684802E-3</v>
      </c>
      <c r="V82" s="289">
        <v>1267.27508444</v>
      </c>
      <c r="W82" s="743">
        <v>0.83751874999999998</v>
      </c>
      <c r="X82" s="289">
        <v>1200</v>
      </c>
      <c r="Y82" s="289">
        <v>244</v>
      </c>
      <c r="Z82" s="289">
        <v>74545</v>
      </c>
      <c r="AA82" s="289">
        <v>0</v>
      </c>
      <c r="AB82" s="290">
        <v>40</v>
      </c>
      <c r="AC82" s="289">
        <v>0</v>
      </c>
      <c r="AD82" s="289">
        <v>3634.0920000000001</v>
      </c>
      <c r="AE82" s="289">
        <v>0</v>
      </c>
      <c r="AF82" s="289">
        <v>0</v>
      </c>
      <c r="AG82" s="289">
        <v>2977</v>
      </c>
      <c r="AH82" s="289">
        <v>476</v>
      </c>
      <c r="AI82" s="289">
        <v>525</v>
      </c>
      <c r="AJ82" s="289">
        <v>0</v>
      </c>
      <c r="AK82" s="289">
        <v>16.4771</v>
      </c>
      <c r="AL82" s="289"/>
      <c r="AM82" s="622">
        <v>1.118543E-2</v>
      </c>
      <c r="AN82" s="289">
        <v>0</v>
      </c>
      <c r="AO82" s="289">
        <v>-176.26257595000001</v>
      </c>
      <c r="AP82" s="289">
        <v>0</v>
      </c>
      <c r="AQ82" s="289">
        <v>0</v>
      </c>
      <c r="AR82" s="289">
        <v>-212.77868253</v>
      </c>
      <c r="AS82" s="289">
        <v>23.443899999999999</v>
      </c>
      <c r="AT82" s="289">
        <v>82</v>
      </c>
      <c r="AU82" s="289">
        <v>15</v>
      </c>
      <c r="AV82" s="625">
        <v>105764</v>
      </c>
      <c r="AW82" s="289">
        <v>-1.5117</v>
      </c>
      <c r="AX82" s="625">
        <v>19</v>
      </c>
      <c r="AY82" s="289">
        <v>596</v>
      </c>
      <c r="AZ82" s="289">
        <v>80</v>
      </c>
      <c r="BA82" s="290">
        <v>54</v>
      </c>
      <c r="BB82" s="289">
        <v>2772</v>
      </c>
      <c r="BC82" s="289">
        <v>751</v>
      </c>
      <c r="BD82" s="289">
        <v>63.173400000000001</v>
      </c>
      <c r="BE82" s="289">
        <v>112739.3863055</v>
      </c>
      <c r="BF82" s="289">
        <v>0</v>
      </c>
      <c r="BG82" s="289">
        <v>13</v>
      </c>
      <c r="BH82" s="289">
        <v>-24.2545</v>
      </c>
      <c r="BI82" s="289">
        <v>4354.0919999999996</v>
      </c>
      <c r="BJ82" s="289">
        <v>-156.80789999999999</v>
      </c>
      <c r="BK82" s="289">
        <v>0</v>
      </c>
      <c r="BL82" s="289">
        <v>0</v>
      </c>
      <c r="BM82" s="289">
        <v>624</v>
      </c>
      <c r="BN82" s="289">
        <v>0</v>
      </c>
      <c r="BO82" s="517">
        <v>0</v>
      </c>
      <c r="BP82" s="517">
        <v>0</v>
      </c>
      <c r="BQ82" s="289">
        <f t="shared" si="2"/>
        <v>-3.0558827597999998</v>
      </c>
      <c r="BR82" s="289">
        <v>3480.34</v>
      </c>
      <c r="BS82" s="289">
        <f t="shared" si="3"/>
        <v>-153.75199999999995</v>
      </c>
      <c r="BT82" s="289">
        <v>9</v>
      </c>
      <c r="BU82" s="289">
        <v>0</v>
      </c>
      <c r="BV82" s="289">
        <v>37</v>
      </c>
      <c r="BW82" s="289">
        <v>94.31</v>
      </c>
      <c r="BX82" s="289">
        <v>62.732999999999997</v>
      </c>
      <c r="CC82" s="517"/>
      <c r="CD82" s="85"/>
      <c r="CE82" s="517"/>
    </row>
    <row r="83" spans="1:83" ht="13">
      <c r="A83" s="1">
        <v>1431</v>
      </c>
      <c r="B83" s="2" t="s">
        <v>74</v>
      </c>
      <c r="C83" s="289">
        <v>3043</v>
      </c>
      <c r="D83" s="289">
        <v>73</v>
      </c>
      <c r="E83" s="289">
        <v>136</v>
      </c>
      <c r="F83" s="289">
        <v>429</v>
      </c>
      <c r="G83" s="289">
        <v>304</v>
      </c>
      <c r="H83" s="289">
        <v>1584</v>
      </c>
      <c r="I83" s="289">
        <v>343</v>
      </c>
      <c r="J83" s="289">
        <v>121</v>
      </c>
      <c r="K83" s="289">
        <v>37</v>
      </c>
      <c r="L83" s="289">
        <v>24</v>
      </c>
      <c r="M83" s="289">
        <v>196</v>
      </c>
      <c r="N83" s="290">
        <v>30</v>
      </c>
      <c r="O83" s="290">
        <v>33</v>
      </c>
      <c r="P83" s="624">
        <v>38548.914333330002</v>
      </c>
      <c r="Q83" s="624">
        <v>8518.5460000000003</v>
      </c>
      <c r="R83" s="624">
        <v>10</v>
      </c>
      <c r="S83" s="289">
        <v>0</v>
      </c>
      <c r="T83" s="289">
        <v>211</v>
      </c>
      <c r="U83" s="716">
        <v>3.2071856423281724E-3</v>
      </c>
      <c r="V83" s="289">
        <v>1217.7396998900001</v>
      </c>
      <c r="W83" s="743">
        <v>0.83704442000000001</v>
      </c>
      <c r="X83" s="289">
        <v>1100</v>
      </c>
      <c r="Y83" s="289">
        <v>392</v>
      </c>
      <c r="Z83" s="289">
        <v>80458</v>
      </c>
      <c r="AA83" s="289">
        <v>0</v>
      </c>
      <c r="AB83" s="290">
        <v>35</v>
      </c>
      <c r="AC83" s="289">
        <v>0</v>
      </c>
      <c r="AD83" s="289">
        <v>213.40799999999999</v>
      </c>
      <c r="AE83" s="289">
        <v>0</v>
      </c>
      <c r="AF83" s="289">
        <v>0</v>
      </c>
      <c r="AG83" s="289">
        <v>3027</v>
      </c>
      <c r="AH83" s="289">
        <v>496</v>
      </c>
      <c r="AI83" s="289">
        <v>0</v>
      </c>
      <c r="AJ83" s="289">
        <v>0</v>
      </c>
      <c r="AK83" s="289">
        <v>13.324999999999999</v>
      </c>
      <c r="AL83" s="289"/>
      <c r="AM83" s="622">
        <v>2.985026E-2</v>
      </c>
      <c r="AN83" s="289">
        <v>0</v>
      </c>
      <c r="AO83" s="289">
        <v>-169.37280546</v>
      </c>
      <c r="AP83" s="289">
        <v>0</v>
      </c>
      <c r="AQ83" s="289">
        <v>0</v>
      </c>
      <c r="AR83" s="289">
        <v>4480.9475804399999</v>
      </c>
      <c r="AS83" s="289">
        <v>28.5319</v>
      </c>
      <c r="AT83" s="289">
        <v>111</v>
      </c>
      <c r="AU83" s="289">
        <v>20</v>
      </c>
      <c r="AV83" s="625">
        <v>105419</v>
      </c>
      <c r="AW83" s="289">
        <v>263.1096</v>
      </c>
      <c r="AX83" s="625">
        <v>20.708333329999999</v>
      </c>
      <c r="AY83" s="289">
        <v>615</v>
      </c>
      <c r="AZ83" s="289">
        <v>125</v>
      </c>
      <c r="BA83" s="290">
        <v>69</v>
      </c>
      <c r="BB83" s="289">
        <v>3326</v>
      </c>
      <c r="BC83" s="289">
        <v>972</v>
      </c>
      <c r="BD83" s="289">
        <v>65.827699999999993</v>
      </c>
      <c r="BE83" s="289">
        <v>101502.97199494</v>
      </c>
      <c r="BF83" s="289">
        <v>0</v>
      </c>
      <c r="BG83" s="289">
        <v>11</v>
      </c>
      <c r="BH83" s="289">
        <v>-24.661899999999999</v>
      </c>
      <c r="BI83" s="289">
        <v>1101.4079999999999</v>
      </c>
      <c r="BJ83" s="289">
        <v>471.9117</v>
      </c>
      <c r="BK83" s="289">
        <v>1150</v>
      </c>
      <c r="BL83" s="289">
        <v>0</v>
      </c>
      <c r="BM83" s="289">
        <v>642</v>
      </c>
      <c r="BN83" s="289">
        <v>0</v>
      </c>
      <c r="BO83" s="517">
        <v>0</v>
      </c>
      <c r="BP83" s="289">
        <v>1216</v>
      </c>
      <c r="BQ83" s="289">
        <f t="shared" si="2"/>
        <v>-3.1072076298</v>
      </c>
      <c r="BR83" s="289">
        <v>1838.538</v>
      </c>
      <c r="BS83" s="289">
        <f t="shared" si="3"/>
        <v>1625.13</v>
      </c>
      <c r="BT83" s="289">
        <v>8</v>
      </c>
      <c r="BU83" s="289">
        <v>0</v>
      </c>
      <c r="BV83" s="289">
        <v>38</v>
      </c>
      <c r="BW83" s="289">
        <v>94.31</v>
      </c>
      <c r="BX83" s="289">
        <v>63.274000000000001</v>
      </c>
      <c r="CC83" s="517"/>
      <c r="CD83" s="85"/>
      <c r="CE83" s="517"/>
    </row>
    <row r="84" spans="1:83" ht="13">
      <c r="A84" s="1">
        <v>1432</v>
      </c>
      <c r="B84" s="2" t="s">
        <v>75</v>
      </c>
      <c r="C84" s="289">
        <v>13089</v>
      </c>
      <c r="D84" s="289">
        <v>314</v>
      </c>
      <c r="E84" s="289">
        <v>665</v>
      </c>
      <c r="F84" s="289">
        <v>1864</v>
      </c>
      <c r="G84" s="289">
        <v>1289</v>
      </c>
      <c r="H84" s="289">
        <v>7452</v>
      </c>
      <c r="I84" s="289">
        <v>1047</v>
      </c>
      <c r="J84" s="289">
        <v>334</v>
      </c>
      <c r="K84" s="289">
        <v>78</v>
      </c>
      <c r="L84" s="289">
        <v>91</v>
      </c>
      <c r="M84" s="289">
        <v>627</v>
      </c>
      <c r="N84" s="290">
        <v>230</v>
      </c>
      <c r="O84" s="290">
        <v>123</v>
      </c>
      <c r="P84" s="624">
        <v>48358.505666669997</v>
      </c>
      <c r="Q84" s="624">
        <v>30275.89866667</v>
      </c>
      <c r="R84" s="624">
        <v>61</v>
      </c>
      <c r="S84" s="289">
        <v>0</v>
      </c>
      <c r="T84" s="289">
        <v>1129</v>
      </c>
      <c r="U84" s="716">
        <v>2.7506583200807566E-3</v>
      </c>
      <c r="V84" s="289">
        <v>4586.2069212099996</v>
      </c>
      <c r="W84" s="743">
        <v>0.57971035000000004</v>
      </c>
      <c r="X84" s="289">
        <v>10400</v>
      </c>
      <c r="Y84" s="289">
        <v>392</v>
      </c>
      <c r="Z84" s="289">
        <v>388465</v>
      </c>
      <c r="AA84" s="289">
        <v>0</v>
      </c>
      <c r="AB84" s="290">
        <v>215</v>
      </c>
      <c r="AC84" s="289">
        <v>0</v>
      </c>
      <c r="AD84" s="289">
        <v>4896.0720000000001</v>
      </c>
      <c r="AE84" s="289">
        <v>0</v>
      </c>
      <c r="AF84" s="289">
        <v>0</v>
      </c>
      <c r="AG84" s="289">
        <v>13043</v>
      </c>
      <c r="AH84" s="289">
        <v>2133</v>
      </c>
      <c r="AI84" s="289">
        <v>325</v>
      </c>
      <c r="AJ84" s="289">
        <v>0</v>
      </c>
      <c r="AK84" s="289">
        <v>65.214100000000002</v>
      </c>
      <c r="AL84" s="289"/>
      <c r="AM84" s="622">
        <v>0.13710349999999999</v>
      </c>
      <c r="AN84" s="289">
        <v>0</v>
      </c>
      <c r="AO84" s="289">
        <v>-637.88569326000004</v>
      </c>
      <c r="AP84" s="289">
        <v>0</v>
      </c>
      <c r="AQ84" s="289">
        <v>0</v>
      </c>
      <c r="AR84" s="289">
        <v>-932.23794296999995</v>
      </c>
      <c r="AS84" s="289">
        <v>152.06530000000001</v>
      </c>
      <c r="AT84" s="289">
        <v>571</v>
      </c>
      <c r="AU84" s="289">
        <v>105</v>
      </c>
      <c r="AV84" s="625">
        <v>321849</v>
      </c>
      <c r="AW84" s="289">
        <v>-6.6231999999999998</v>
      </c>
      <c r="AX84" s="625">
        <v>86.875</v>
      </c>
      <c r="AY84" s="289">
        <v>3461</v>
      </c>
      <c r="AZ84" s="289">
        <v>387</v>
      </c>
      <c r="BA84" s="290">
        <v>326</v>
      </c>
      <c r="BB84" s="289">
        <v>0</v>
      </c>
      <c r="BC84" s="289">
        <v>2503</v>
      </c>
      <c r="BD84" s="289">
        <v>283.08569999999997</v>
      </c>
      <c r="BE84" s="289">
        <v>336163.59959627001</v>
      </c>
      <c r="BF84" s="289">
        <v>0</v>
      </c>
      <c r="BG84" s="289">
        <v>11</v>
      </c>
      <c r="BH84" s="289">
        <v>-106.2653</v>
      </c>
      <c r="BI84" s="289">
        <v>7421.0720000000001</v>
      </c>
      <c r="BJ84" s="289">
        <v>-200.4546</v>
      </c>
      <c r="BK84" s="289">
        <v>0</v>
      </c>
      <c r="BL84" s="289">
        <v>0</v>
      </c>
      <c r="BM84" s="289">
        <v>2738</v>
      </c>
      <c r="BN84" s="289">
        <v>0</v>
      </c>
      <c r="BO84" s="517">
        <v>0</v>
      </c>
      <c r="BP84" s="517">
        <v>0</v>
      </c>
      <c r="BQ84" s="289">
        <f t="shared" si="2"/>
        <v>-13.388605588200001</v>
      </c>
      <c r="BR84" s="289">
        <v>4709.0060000000003</v>
      </c>
      <c r="BS84" s="289">
        <f t="shared" si="3"/>
        <v>-187.0659999999998</v>
      </c>
      <c r="BT84" s="289">
        <v>37</v>
      </c>
      <c r="BU84" s="289">
        <v>0</v>
      </c>
      <c r="BV84" s="289">
        <v>119</v>
      </c>
      <c r="BW84" s="289">
        <v>146.70400000000001</v>
      </c>
      <c r="BX84" s="289">
        <v>272.24700000000001</v>
      </c>
      <c r="CC84" s="517"/>
      <c r="CD84" s="85"/>
      <c r="CE84" s="517"/>
    </row>
    <row r="85" spans="1:83" ht="13">
      <c r="A85" s="1">
        <v>1433</v>
      </c>
      <c r="B85" s="2" t="s">
        <v>76</v>
      </c>
      <c r="C85" s="289">
        <v>2825</v>
      </c>
      <c r="D85" s="289">
        <v>57</v>
      </c>
      <c r="E85" s="289">
        <v>165</v>
      </c>
      <c r="F85" s="289">
        <v>370</v>
      </c>
      <c r="G85" s="289">
        <v>256</v>
      </c>
      <c r="H85" s="289">
        <v>1533</v>
      </c>
      <c r="I85" s="289">
        <v>327</v>
      </c>
      <c r="J85" s="289">
        <v>109</v>
      </c>
      <c r="K85" s="289">
        <v>37</v>
      </c>
      <c r="L85" s="289">
        <v>17</v>
      </c>
      <c r="M85" s="289">
        <v>176</v>
      </c>
      <c r="N85" s="290">
        <v>9</v>
      </c>
      <c r="O85" s="290">
        <v>18</v>
      </c>
      <c r="P85" s="624">
        <v>18738.277333329999</v>
      </c>
      <c r="Q85" s="624">
        <v>9358.2240000000002</v>
      </c>
      <c r="R85" s="624">
        <v>23</v>
      </c>
      <c r="S85" s="289">
        <v>0</v>
      </c>
      <c r="T85" s="289">
        <v>197</v>
      </c>
      <c r="U85" s="716">
        <v>2.4773314442775233E-3</v>
      </c>
      <c r="V85" s="289">
        <v>1174.45637199</v>
      </c>
      <c r="W85" s="743">
        <v>0.77354593999999999</v>
      </c>
      <c r="X85" s="289">
        <v>1400</v>
      </c>
      <c r="Y85" s="289">
        <v>392</v>
      </c>
      <c r="Z85" s="289">
        <v>65952</v>
      </c>
      <c r="AA85" s="289">
        <v>0</v>
      </c>
      <c r="AB85" s="290">
        <v>42</v>
      </c>
      <c r="AC85" s="289">
        <v>0</v>
      </c>
      <c r="AD85" s="289">
        <v>4704.21</v>
      </c>
      <c r="AE85" s="289">
        <v>0</v>
      </c>
      <c r="AF85" s="289">
        <v>0</v>
      </c>
      <c r="AG85" s="289">
        <v>2854</v>
      </c>
      <c r="AH85" s="289">
        <v>447</v>
      </c>
      <c r="AI85" s="289">
        <v>1225</v>
      </c>
      <c r="AJ85" s="289">
        <v>0</v>
      </c>
      <c r="AK85" s="289">
        <v>15.040900000000001</v>
      </c>
      <c r="AL85" s="289"/>
      <c r="AM85" s="622">
        <v>1.897399E-2</v>
      </c>
      <c r="AN85" s="289">
        <v>0</v>
      </c>
      <c r="AO85" s="289">
        <v>-163.35262012999999</v>
      </c>
      <c r="AP85" s="289">
        <v>0</v>
      </c>
      <c r="AQ85" s="289">
        <v>0</v>
      </c>
      <c r="AR85" s="289">
        <v>-203.98735637999999</v>
      </c>
      <c r="AS85" s="289">
        <v>25.7042</v>
      </c>
      <c r="AT85" s="289">
        <v>108</v>
      </c>
      <c r="AU85" s="289">
        <v>25</v>
      </c>
      <c r="AV85" s="625">
        <v>96967</v>
      </c>
      <c r="AW85" s="289">
        <v>-1.4493</v>
      </c>
      <c r="AX85" s="625">
        <v>15.41666667</v>
      </c>
      <c r="AY85" s="289">
        <v>509</v>
      </c>
      <c r="AZ85" s="289">
        <v>57</v>
      </c>
      <c r="BA85" s="290">
        <v>59</v>
      </c>
      <c r="BB85" s="289">
        <v>2772</v>
      </c>
      <c r="BC85" s="289">
        <v>847</v>
      </c>
      <c r="BD85" s="289">
        <v>59.324599999999997</v>
      </c>
      <c r="BE85" s="289">
        <v>103988.67650319</v>
      </c>
      <c r="BF85" s="289">
        <v>0</v>
      </c>
      <c r="BG85" s="289">
        <v>11</v>
      </c>
      <c r="BH85" s="289">
        <v>-23.252400000000002</v>
      </c>
      <c r="BI85" s="289">
        <v>5543.21</v>
      </c>
      <c r="BJ85" s="289">
        <v>-215.99160000000001</v>
      </c>
      <c r="BK85" s="289">
        <v>0</v>
      </c>
      <c r="BL85" s="289">
        <v>0</v>
      </c>
      <c r="BM85" s="289">
        <v>599</v>
      </c>
      <c r="BN85" s="289">
        <v>0</v>
      </c>
      <c r="BO85" s="517">
        <v>0</v>
      </c>
      <c r="BP85" s="517">
        <v>0</v>
      </c>
      <c r="BQ85" s="289">
        <f t="shared" si="2"/>
        <v>-2.9296235796000003</v>
      </c>
      <c r="BR85" s="289">
        <v>4491.1480000000001</v>
      </c>
      <c r="BS85" s="289">
        <f t="shared" si="3"/>
        <v>-213.0619999999999</v>
      </c>
      <c r="BT85" s="289">
        <v>9</v>
      </c>
      <c r="BU85" s="289">
        <v>0</v>
      </c>
      <c r="BV85" s="289">
        <v>34</v>
      </c>
      <c r="BW85" s="289">
        <v>115.267</v>
      </c>
      <c r="BX85" s="289">
        <v>58.122</v>
      </c>
      <c r="CC85" s="517"/>
      <c r="CD85" s="85"/>
      <c r="CE85" s="517"/>
    </row>
    <row r="86" spans="1:83" ht="13">
      <c r="A86" s="1">
        <v>1439</v>
      </c>
      <c r="B86" s="2" t="s">
        <v>78</v>
      </c>
      <c r="C86" s="289">
        <v>6001</v>
      </c>
      <c r="D86" s="289">
        <v>126</v>
      </c>
      <c r="E86" s="289">
        <v>268</v>
      </c>
      <c r="F86" s="289">
        <v>786</v>
      </c>
      <c r="G86" s="289">
        <v>530</v>
      </c>
      <c r="H86" s="289">
        <v>3240</v>
      </c>
      <c r="I86" s="289">
        <v>704</v>
      </c>
      <c r="J86" s="289">
        <v>308</v>
      </c>
      <c r="K86" s="289">
        <v>67</v>
      </c>
      <c r="L86" s="289">
        <v>48</v>
      </c>
      <c r="M86" s="289">
        <v>496</v>
      </c>
      <c r="N86" s="290">
        <v>43</v>
      </c>
      <c r="O86" s="290">
        <v>65</v>
      </c>
      <c r="P86" s="624">
        <v>30080.772000000001</v>
      </c>
      <c r="Q86" s="624">
        <v>12128.12733333</v>
      </c>
      <c r="R86" s="624">
        <v>30</v>
      </c>
      <c r="S86" s="289">
        <v>0</v>
      </c>
      <c r="T86" s="289">
        <v>395</v>
      </c>
      <c r="U86" s="716">
        <v>9.1613242532276979E-4</v>
      </c>
      <c r="V86" s="289">
        <v>2282.7163234099999</v>
      </c>
      <c r="W86" s="743">
        <v>0.65044966999999998</v>
      </c>
      <c r="X86" s="289">
        <v>1650</v>
      </c>
      <c r="Y86" s="289">
        <v>268</v>
      </c>
      <c r="Z86" s="289">
        <v>169038</v>
      </c>
      <c r="AA86" s="289">
        <v>0</v>
      </c>
      <c r="AB86" s="290">
        <v>80</v>
      </c>
      <c r="AC86" s="289">
        <v>0</v>
      </c>
      <c r="AD86" s="289">
        <v>3453.5160000000001</v>
      </c>
      <c r="AE86" s="289">
        <v>0</v>
      </c>
      <c r="AF86" s="289">
        <v>0</v>
      </c>
      <c r="AG86" s="289">
        <v>6029</v>
      </c>
      <c r="AH86" s="289">
        <v>895</v>
      </c>
      <c r="AI86" s="289">
        <v>1050</v>
      </c>
      <c r="AJ86" s="289">
        <v>0</v>
      </c>
      <c r="AK86" s="289">
        <v>25.707999999999998</v>
      </c>
      <c r="AL86" s="289"/>
      <c r="AM86" s="622">
        <v>7.6259149999999998E-2</v>
      </c>
      <c r="AN86" s="289">
        <v>7757</v>
      </c>
      <c r="AO86" s="289">
        <v>-317.49812198000001</v>
      </c>
      <c r="AP86" s="289">
        <v>0</v>
      </c>
      <c r="AQ86" s="289">
        <v>0</v>
      </c>
      <c r="AR86" s="289">
        <v>-430.91792978000001</v>
      </c>
      <c r="AS86" s="289">
        <v>56.0685</v>
      </c>
      <c r="AT86" s="289">
        <v>221</v>
      </c>
      <c r="AU86" s="289">
        <v>77</v>
      </c>
      <c r="AV86" s="625">
        <v>177802</v>
      </c>
      <c r="AW86" s="289">
        <v>-3.0615000000000001</v>
      </c>
      <c r="AX86" s="625">
        <v>39.166666669999998</v>
      </c>
      <c r="AY86" s="289">
        <v>1004</v>
      </c>
      <c r="AZ86" s="289">
        <v>163</v>
      </c>
      <c r="BA86" s="290">
        <v>120</v>
      </c>
      <c r="BB86" s="289">
        <v>0</v>
      </c>
      <c r="BC86" s="289">
        <v>1233</v>
      </c>
      <c r="BD86" s="289">
        <v>118.78189999999999</v>
      </c>
      <c r="BE86" s="289">
        <v>184806.91580253001</v>
      </c>
      <c r="BF86" s="289">
        <v>0</v>
      </c>
      <c r="BG86" s="289">
        <v>13</v>
      </c>
      <c r="BH86" s="289">
        <v>-49.120100000000001</v>
      </c>
      <c r="BI86" s="289">
        <v>4616.5159999999996</v>
      </c>
      <c r="BJ86" s="289">
        <v>34.204799999999999</v>
      </c>
      <c r="BK86" s="289">
        <v>98</v>
      </c>
      <c r="BL86" s="289">
        <v>0</v>
      </c>
      <c r="BM86" s="289">
        <v>1455</v>
      </c>
      <c r="BN86" s="289">
        <v>0</v>
      </c>
      <c r="BO86" s="517">
        <v>0</v>
      </c>
      <c r="BP86" s="517">
        <v>0</v>
      </c>
      <c r="BQ86" s="289">
        <f t="shared" si="2"/>
        <v>-6.1887528245999999</v>
      </c>
      <c r="BR86" s="289">
        <v>3591.71</v>
      </c>
      <c r="BS86" s="289">
        <f t="shared" si="3"/>
        <v>138.19399999999996</v>
      </c>
      <c r="BT86" s="289">
        <v>15</v>
      </c>
      <c r="BU86" s="289">
        <v>0</v>
      </c>
      <c r="BV86" s="289">
        <v>63</v>
      </c>
      <c r="BW86" s="289">
        <v>209.577</v>
      </c>
      <c r="BX86" s="289">
        <v>124.553</v>
      </c>
      <c r="CC86" s="517"/>
      <c r="CD86" s="85"/>
      <c r="CE86" s="517"/>
    </row>
    <row r="87" spans="1:83" ht="13">
      <c r="A87" s="1">
        <v>1441</v>
      </c>
      <c r="B87" s="2" t="s">
        <v>79</v>
      </c>
      <c r="C87" s="289">
        <v>2757</v>
      </c>
      <c r="D87" s="289">
        <v>50</v>
      </c>
      <c r="E87" s="289">
        <v>111</v>
      </c>
      <c r="F87" s="289">
        <v>304</v>
      </c>
      <c r="G87" s="289">
        <v>290</v>
      </c>
      <c r="H87" s="289">
        <v>1482</v>
      </c>
      <c r="I87" s="289">
        <v>368</v>
      </c>
      <c r="J87" s="289">
        <v>143</v>
      </c>
      <c r="K87" s="289">
        <v>42</v>
      </c>
      <c r="L87" s="289">
        <v>20</v>
      </c>
      <c r="M87" s="289">
        <v>251</v>
      </c>
      <c r="N87" s="290">
        <v>7</v>
      </c>
      <c r="O87" s="290">
        <v>24</v>
      </c>
      <c r="P87" s="624">
        <v>49839.031666670002</v>
      </c>
      <c r="Q87" s="624">
        <v>13410.620999999999</v>
      </c>
      <c r="R87" s="624">
        <v>15</v>
      </c>
      <c r="S87" s="289">
        <v>0</v>
      </c>
      <c r="T87" s="289">
        <v>168</v>
      </c>
      <c r="U87" s="716">
        <v>1.7971935839815353E-3</v>
      </c>
      <c r="V87" s="289">
        <v>1137.45336026</v>
      </c>
      <c r="W87" s="743">
        <v>0.99033369000000004</v>
      </c>
      <c r="X87" s="289">
        <v>1700</v>
      </c>
      <c r="Y87" s="289">
        <v>0</v>
      </c>
      <c r="Z87" s="289">
        <v>69577</v>
      </c>
      <c r="AA87" s="289">
        <v>0</v>
      </c>
      <c r="AB87" s="290">
        <v>49</v>
      </c>
      <c r="AC87" s="289">
        <v>0</v>
      </c>
      <c r="AD87" s="289">
        <v>0</v>
      </c>
      <c r="AE87" s="289">
        <v>0</v>
      </c>
      <c r="AF87" s="289">
        <v>0</v>
      </c>
      <c r="AG87" s="289">
        <v>2790</v>
      </c>
      <c r="AH87" s="289">
        <v>378</v>
      </c>
      <c r="AI87" s="289">
        <v>0</v>
      </c>
      <c r="AJ87" s="289">
        <v>0</v>
      </c>
      <c r="AK87" s="289">
        <v>9.8732000000000006</v>
      </c>
      <c r="AL87" s="289"/>
      <c r="AM87" s="622">
        <v>2.7336160000000002E-2</v>
      </c>
      <c r="AN87" s="289">
        <v>0</v>
      </c>
      <c r="AO87" s="289">
        <v>-158.20595051999999</v>
      </c>
      <c r="AP87" s="289">
        <v>0</v>
      </c>
      <c r="AQ87" s="289">
        <v>0</v>
      </c>
      <c r="AR87" s="289">
        <v>-199.41300781000001</v>
      </c>
      <c r="AS87" s="289">
        <v>24.926400000000001</v>
      </c>
      <c r="AT87" s="289">
        <v>91</v>
      </c>
      <c r="AU87" s="289">
        <v>36</v>
      </c>
      <c r="AV87" s="625">
        <v>96964</v>
      </c>
      <c r="AW87" s="289">
        <v>-1.4168000000000001</v>
      </c>
      <c r="AX87" s="625">
        <v>4.1666666699999997</v>
      </c>
      <c r="AY87" s="289">
        <v>412</v>
      </c>
      <c r="AZ87" s="289">
        <v>65</v>
      </c>
      <c r="BA87" s="290">
        <v>39</v>
      </c>
      <c r="BB87" s="289">
        <v>5543</v>
      </c>
      <c r="BC87" s="289">
        <v>472</v>
      </c>
      <c r="BD87" s="289">
        <v>50.167099999999998</v>
      </c>
      <c r="BE87" s="289">
        <v>98838.782370500005</v>
      </c>
      <c r="BF87" s="289">
        <v>0</v>
      </c>
      <c r="BG87" s="289">
        <v>0</v>
      </c>
      <c r="BH87" s="289">
        <v>-22.731000000000002</v>
      </c>
      <c r="BI87" s="289">
        <v>378</v>
      </c>
      <c r="BJ87" s="289">
        <v>-2.8639000000000001</v>
      </c>
      <c r="BK87" s="289">
        <v>0</v>
      </c>
      <c r="BL87" s="289">
        <v>0</v>
      </c>
      <c r="BM87" s="289">
        <v>1180</v>
      </c>
      <c r="BN87" s="289">
        <v>0</v>
      </c>
      <c r="BO87" s="517">
        <v>0</v>
      </c>
      <c r="BP87" s="517">
        <v>0</v>
      </c>
      <c r="BQ87" s="289">
        <f t="shared" si="2"/>
        <v>-2.8639277459999999</v>
      </c>
      <c r="BR87" s="289">
        <v>0</v>
      </c>
      <c r="BS87" s="289">
        <f t="shared" si="3"/>
        <v>0</v>
      </c>
      <c r="BT87" s="289">
        <v>6</v>
      </c>
      <c r="BU87" s="289">
        <v>0</v>
      </c>
      <c r="BV87" s="289">
        <v>39</v>
      </c>
      <c r="BW87" s="289">
        <v>0</v>
      </c>
      <c r="BX87" s="289">
        <v>57.52</v>
      </c>
      <c r="CC87" s="517"/>
      <c r="CD87" s="85"/>
      <c r="CE87" s="517"/>
    </row>
    <row r="88" spans="1:83" ht="13">
      <c r="A88" s="1">
        <v>1443</v>
      </c>
      <c r="B88" s="2" t="s">
        <v>80</v>
      </c>
      <c r="C88" s="289">
        <v>6157</v>
      </c>
      <c r="D88" s="289">
        <v>137</v>
      </c>
      <c r="E88" s="289">
        <v>283</v>
      </c>
      <c r="F88" s="289">
        <v>796</v>
      </c>
      <c r="G88" s="289">
        <v>645</v>
      </c>
      <c r="H88" s="289">
        <v>3238</v>
      </c>
      <c r="I88" s="289">
        <v>689</v>
      </c>
      <c r="J88" s="289">
        <v>243</v>
      </c>
      <c r="K88" s="289">
        <v>69</v>
      </c>
      <c r="L88" s="289">
        <v>41</v>
      </c>
      <c r="M88" s="289">
        <v>431</v>
      </c>
      <c r="N88" s="290">
        <v>61</v>
      </c>
      <c r="O88" s="290">
        <v>53</v>
      </c>
      <c r="P88" s="624">
        <v>36432.065666670002</v>
      </c>
      <c r="Q88" s="624">
        <v>15022.347666670001</v>
      </c>
      <c r="R88" s="624">
        <v>30</v>
      </c>
      <c r="S88" s="289">
        <v>0</v>
      </c>
      <c r="T88" s="289">
        <v>415</v>
      </c>
      <c r="U88" s="716">
        <v>3.7086370146895533E-3</v>
      </c>
      <c r="V88" s="289">
        <v>-466.9386513</v>
      </c>
      <c r="W88" s="743">
        <v>0.66857389</v>
      </c>
      <c r="X88" s="289">
        <v>1200</v>
      </c>
      <c r="Y88" s="289">
        <v>392</v>
      </c>
      <c r="Z88" s="289">
        <v>154404</v>
      </c>
      <c r="AA88" s="289">
        <v>0</v>
      </c>
      <c r="AB88" s="290">
        <v>94</v>
      </c>
      <c r="AC88" s="289">
        <v>0</v>
      </c>
      <c r="AD88" s="289">
        <v>3208.3020000000001</v>
      </c>
      <c r="AE88" s="289">
        <v>0</v>
      </c>
      <c r="AF88" s="289">
        <v>0</v>
      </c>
      <c r="AG88" s="289">
        <v>6100</v>
      </c>
      <c r="AH88" s="289">
        <v>963</v>
      </c>
      <c r="AI88" s="289">
        <v>0</v>
      </c>
      <c r="AJ88" s="289">
        <v>0</v>
      </c>
      <c r="AK88" s="289">
        <v>28.285599999999999</v>
      </c>
      <c r="AL88" s="289"/>
      <c r="AM88" s="622">
        <v>5.7073190000000003E-2</v>
      </c>
      <c r="AN88" s="289">
        <v>3118</v>
      </c>
      <c r="AO88" s="289">
        <v>-316.93412423000001</v>
      </c>
      <c r="AP88" s="289">
        <v>0</v>
      </c>
      <c r="AQ88" s="289">
        <v>0</v>
      </c>
      <c r="AR88" s="289">
        <v>-435.99259771999999</v>
      </c>
      <c r="AS88" s="289">
        <v>59.286700000000003</v>
      </c>
      <c r="AT88" s="289">
        <v>261</v>
      </c>
      <c r="AU88" s="289">
        <v>43</v>
      </c>
      <c r="AV88" s="625">
        <v>160495</v>
      </c>
      <c r="AW88" s="289">
        <v>-3.0975999999999999</v>
      </c>
      <c r="AX88" s="625">
        <v>51.083333330000002</v>
      </c>
      <c r="AY88" s="289">
        <v>1303</v>
      </c>
      <c r="AZ88" s="289">
        <v>187</v>
      </c>
      <c r="BA88" s="290">
        <v>113</v>
      </c>
      <c r="BB88" s="289">
        <v>0</v>
      </c>
      <c r="BC88" s="289">
        <v>1382</v>
      </c>
      <c r="BD88" s="289">
        <v>127.8066</v>
      </c>
      <c r="BE88" s="289">
        <v>175565.8513146</v>
      </c>
      <c r="BF88" s="289">
        <v>0</v>
      </c>
      <c r="BG88" s="289">
        <v>11</v>
      </c>
      <c r="BH88" s="289">
        <v>-49.698599999999999</v>
      </c>
      <c r="BI88" s="289">
        <v>4563.3019999999997</v>
      </c>
      <c r="BJ88" s="289">
        <v>21.812200000000001</v>
      </c>
      <c r="BK88" s="289">
        <v>68</v>
      </c>
      <c r="BL88" s="289">
        <v>0</v>
      </c>
      <c r="BM88" s="289">
        <v>2563</v>
      </c>
      <c r="BN88" s="289">
        <v>0</v>
      </c>
      <c r="BO88" s="517">
        <v>0</v>
      </c>
      <c r="BP88" s="517">
        <v>0</v>
      </c>
      <c r="BQ88" s="289">
        <f t="shared" si="2"/>
        <v>-6.26163414</v>
      </c>
      <c r="BR88" s="289">
        <v>3304.348</v>
      </c>
      <c r="BS88" s="289">
        <f t="shared" si="3"/>
        <v>96.045999999999822</v>
      </c>
      <c r="BT88" s="289">
        <v>16</v>
      </c>
      <c r="BU88" s="289">
        <v>0</v>
      </c>
      <c r="BV88" s="289">
        <v>64</v>
      </c>
      <c r="BW88" s="289">
        <v>0</v>
      </c>
      <c r="BX88" s="289">
        <v>128.22999999999999</v>
      </c>
      <c r="CC88" s="517"/>
      <c r="CD88" s="85"/>
      <c r="CE88" s="517"/>
    </row>
    <row r="89" spans="1:83" ht="13">
      <c r="A89" s="1">
        <v>1444</v>
      </c>
      <c r="B89" s="2" t="s">
        <v>81</v>
      </c>
      <c r="C89" s="289">
        <v>1175</v>
      </c>
      <c r="D89" s="289">
        <v>24</v>
      </c>
      <c r="E89" s="289">
        <v>42</v>
      </c>
      <c r="F89" s="289">
        <v>158</v>
      </c>
      <c r="G89" s="289">
        <v>126</v>
      </c>
      <c r="H89" s="289">
        <v>623</v>
      </c>
      <c r="I89" s="289">
        <v>138</v>
      </c>
      <c r="J89" s="289">
        <v>63</v>
      </c>
      <c r="K89" s="289">
        <v>22</v>
      </c>
      <c r="L89" s="289">
        <v>6</v>
      </c>
      <c r="M89" s="289">
        <v>93</v>
      </c>
      <c r="N89" s="290">
        <v>4</v>
      </c>
      <c r="O89" s="290">
        <v>3</v>
      </c>
      <c r="P89" s="624">
        <v>4573.3639999999996</v>
      </c>
      <c r="Q89" s="624">
        <v>3354.66033333</v>
      </c>
      <c r="R89" s="624">
        <v>3</v>
      </c>
      <c r="S89" s="289">
        <v>0</v>
      </c>
      <c r="T89" s="289">
        <v>66</v>
      </c>
      <c r="U89" s="716">
        <v>1.4508918084993401E-3</v>
      </c>
      <c r="V89" s="289">
        <v>519.09969616000001</v>
      </c>
      <c r="W89" s="743">
        <v>0.88296642999999997</v>
      </c>
      <c r="X89" s="289">
        <v>300</v>
      </c>
      <c r="Y89" s="289">
        <v>392</v>
      </c>
      <c r="Z89" s="289">
        <v>26735</v>
      </c>
      <c r="AA89" s="289">
        <v>0</v>
      </c>
      <c r="AB89" s="290">
        <v>11</v>
      </c>
      <c r="AC89" s="289">
        <v>0</v>
      </c>
      <c r="AD89" s="289">
        <v>85.158000000000001</v>
      </c>
      <c r="AE89" s="289">
        <v>0</v>
      </c>
      <c r="AF89" s="289">
        <v>0</v>
      </c>
      <c r="AG89" s="289">
        <v>1196</v>
      </c>
      <c r="AH89" s="289">
        <v>183</v>
      </c>
      <c r="AI89" s="289">
        <v>0</v>
      </c>
      <c r="AJ89" s="289">
        <v>0</v>
      </c>
      <c r="AK89" s="289">
        <v>4.5719000000000003</v>
      </c>
      <c r="AL89" s="289"/>
      <c r="AM89" s="622">
        <v>2.65328E-3</v>
      </c>
      <c r="AN89" s="289">
        <v>0</v>
      </c>
      <c r="AO89" s="289">
        <v>-72.200464400000001</v>
      </c>
      <c r="AP89" s="289">
        <v>0</v>
      </c>
      <c r="AQ89" s="289">
        <v>0</v>
      </c>
      <c r="AR89" s="289">
        <v>1105.6205538300001</v>
      </c>
      <c r="AS89" s="289">
        <v>8.9694000000000003</v>
      </c>
      <c r="AT89" s="289">
        <v>34</v>
      </c>
      <c r="AU89" s="289">
        <v>7</v>
      </c>
      <c r="AV89" s="625">
        <v>50750</v>
      </c>
      <c r="AW89" s="289">
        <v>198.73179999999999</v>
      </c>
      <c r="AX89" s="625">
        <v>12.5</v>
      </c>
      <c r="AY89" s="289">
        <v>222</v>
      </c>
      <c r="AZ89" s="289">
        <v>16</v>
      </c>
      <c r="BA89" s="290">
        <v>19</v>
      </c>
      <c r="BB89" s="289">
        <v>5543</v>
      </c>
      <c r="BC89" s="289">
        <v>627</v>
      </c>
      <c r="BD89" s="289">
        <v>24.287199999999999</v>
      </c>
      <c r="BE89" s="289">
        <v>50083.844322199999</v>
      </c>
      <c r="BF89" s="289">
        <v>0</v>
      </c>
      <c r="BG89" s="289">
        <v>11</v>
      </c>
      <c r="BH89" s="289">
        <v>-9.7441999999999993</v>
      </c>
      <c r="BI89" s="289">
        <v>660.15800000000002</v>
      </c>
      <c r="BJ89" s="289">
        <v>-166.55070000000001</v>
      </c>
      <c r="BK89" s="289">
        <v>0</v>
      </c>
      <c r="BL89" s="289">
        <v>0</v>
      </c>
      <c r="BM89" s="289">
        <v>447</v>
      </c>
      <c r="BN89" s="289">
        <v>0</v>
      </c>
      <c r="BO89" s="517">
        <v>0</v>
      </c>
      <c r="BP89" s="517">
        <v>0</v>
      </c>
      <c r="BQ89" s="289">
        <f t="shared" si="2"/>
        <v>-1.2276908903999999</v>
      </c>
      <c r="BR89" s="289">
        <v>-80.165000000000006</v>
      </c>
      <c r="BS89" s="289">
        <f t="shared" si="3"/>
        <v>-165.32300000000001</v>
      </c>
      <c r="BT89" s="289">
        <v>3</v>
      </c>
      <c r="BU89" s="289">
        <v>0</v>
      </c>
      <c r="BV89" s="289">
        <v>19</v>
      </c>
      <c r="BW89" s="289">
        <v>0</v>
      </c>
      <c r="BX89" s="289">
        <v>24.013000000000002</v>
      </c>
      <c r="CC89" s="517"/>
      <c r="CD89" s="85"/>
      <c r="CE89" s="517"/>
    </row>
    <row r="90" spans="1:83" ht="13">
      <c r="A90" s="1">
        <v>1502</v>
      </c>
      <c r="B90" s="2" t="s">
        <v>84</v>
      </c>
      <c r="C90" s="289">
        <v>26900</v>
      </c>
      <c r="D90" s="289">
        <v>553</v>
      </c>
      <c r="E90" s="289">
        <v>1204</v>
      </c>
      <c r="F90" s="289">
        <v>3143</v>
      </c>
      <c r="G90" s="289">
        <v>2409</v>
      </c>
      <c r="H90" s="289">
        <v>15122</v>
      </c>
      <c r="I90" s="289">
        <v>3102</v>
      </c>
      <c r="J90" s="289">
        <v>1007</v>
      </c>
      <c r="K90" s="289">
        <v>244</v>
      </c>
      <c r="L90" s="289">
        <v>185</v>
      </c>
      <c r="M90" s="289">
        <v>1793</v>
      </c>
      <c r="N90" s="290">
        <v>428</v>
      </c>
      <c r="O90" s="290">
        <v>264</v>
      </c>
      <c r="P90" s="624">
        <v>80660.853666669995</v>
      </c>
      <c r="Q90" s="624">
        <v>56166.689333330003</v>
      </c>
      <c r="R90" s="624">
        <v>89</v>
      </c>
      <c r="S90" s="289">
        <v>0</v>
      </c>
      <c r="T90" s="289">
        <v>2277</v>
      </c>
      <c r="U90" s="716">
        <v>1.7548505904257739E-3</v>
      </c>
      <c r="V90" s="289">
        <v>5327.5467065100001</v>
      </c>
      <c r="W90" s="743">
        <v>0.57942178</v>
      </c>
      <c r="X90" s="289">
        <v>2100</v>
      </c>
      <c r="Y90" s="289">
        <v>392</v>
      </c>
      <c r="Z90" s="289">
        <v>776989</v>
      </c>
      <c r="AA90" s="289">
        <v>0</v>
      </c>
      <c r="AB90" s="290">
        <v>392</v>
      </c>
      <c r="AC90" s="289">
        <v>0</v>
      </c>
      <c r="AD90" s="289">
        <v>4895.0460000000003</v>
      </c>
      <c r="AE90" s="289">
        <v>0</v>
      </c>
      <c r="AF90" s="289">
        <v>0</v>
      </c>
      <c r="AG90" s="289">
        <v>26784</v>
      </c>
      <c r="AH90" s="289">
        <v>3747</v>
      </c>
      <c r="AI90" s="289">
        <v>3680</v>
      </c>
      <c r="AJ90" s="289">
        <v>0</v>
      </c>
      <c r="AK90" s="289">
        <v>122.3807</v>
      </c>
      <c r="AL90" s="289"/>
      <c r="AM90" s="622">
        <v>0.64954095999999995</v>
      </c>
      <c r="AN90" s="289">
        <v>0</v>
      </c>
      <c r="AO90" s="289">
        <v>-1266.0815338800001</v>
      </c>
      <c r="AP90" s="289">
        <v>0</v>
      </c>
      <c r="AQ90" s="289">
        <v>0</v>
      </c>
      <c r="AR90" s="289">
        <v>-1914.3648749900001</v>
      </c>
      <c r="AS90" s="289">
        <v>320.55650000000003</v>
      </c>
      <c r="AT90" s="289">
        <v>1427</v>
      </c>
      <c r="AU90" s="289">
        <v>383</v>
      </c>
      <c r="AV90" s="625">
        <v>577802</v>
      </c>
      <c r="AW90" s="289">
        <v>-13.6008</v>
      </c>
      <c r="AX90" s="625">
        <v>178.70833332999999</v>
      </c>
      <c r="AY90" s="289">
        <v>7641</v>
      </c>
      <c r="AZ90" s="289">
        <v>855</v>
      </c>
      <c r="BA90" s="290">
        <v>602</v>
      </c>
      <c r="BB90" s="289">
        <v>0</v>
      </c>
      <c r="BC90" s="289">
        <v>4152</v>
      </c>
      <c r="BD90" s="289">
        <v>497.2912</v>
      </c>
      <c r="BE90" s="289">
        <v>614509.42517499998</v>
      </c>
      <c r="BF90" s="289">
        <v>0</v>
      </c>
      <c r="BG90" s="289">
        <v>11</v>
      </c>
      <c r="BH90" s="289">
        <v>-218.2175</v>
      </c>
      <c r="BI90" s="289">
        <v>9034.0460000000003</v>
      </c>
      <c r="BJ90" s="289">
        <v>-209.12270000000001</v>
      </c>
      <c r="BK90" s="289">
        <v>0</v>
      </c>
      <c r="BL90" s="289">
        <v>0</v>
      </c>
      <c r="BM90" s="289">
        <v>4430</v>
      </c>
      <c r="BN90" s="289">
        <v>0</v>
      </c>
      <c r="BO90" s="517">
        <v>0</v>
      </c>
      <c r="BP90" s="517">
        <v>0</v>
      </c>
      <c r="BQ90" s="289">
        <f t="shared" si="2"/>
        <v>-27.493706361600001</v>
      </c>
      <c r="BR90" s="289">
        <v>4713.4170000000004</v>
      </c>
      <c r="BS90" s="289">
        <f t="shared" si="3"/>
        <v>-181.62899999999991</v>
      </c>
      <c r="BT90" s="289">
        <v>70</v>
      </c>
      <c r="BU90" s="289">
        <v>0</v>
      </c>
      <c r="BV90" s="289">
        <v>250</v>
      </c>
      <c r="BW90" s="289">
        <v>366.76</v>
      </c>
      <c r="BX90" s="289">
        <v>559.99</v>
      </c>
      <c r="CC90" s="517"/>
      <c r="CD90" s="85"/>
      <c r="CE90" s="517"/>
    </row>
    <row r="91" spans="1:83" ht="13">
      <c r="A91" s="1">
        <v>1504</v>
      </c>
      <c r="B91" s="2" t="s">
        <v>85</v>
      </c>
      <c r="C91" s="289">
        <v>47510</v>
      </c>
      <c r="D91" s="289">
        <v>1089</v>
      </c>
      <c r="E91" s="289">
        <v>2191</v>
      </c>
      <c r="F91" s="289">
        <v>5691</v>
      </c>
      <c r="G91" s="289">
        <v>4359</v>
      </c>
      <c r="H91" s="289">
        <v>27351</v>
      </c>
      <c r="I91" s="289">
        <v>4612</v>
      </c>
      <c r="J91" s="289">
        <v>1641</v>
      </c>
      <c r="K91" s="289">
        <v>405</v>
      </c>
      <c r="L91" s="289">
        <v>345</v>
      </c>
      <c r="M91" s="289">
        <v>2829</v>
      </c>
      <c r="N91" s="290">
        <v>723</v>
      </c>
      <c r="O91" s="290">
        <v>442</v>
      </c>
      <c r="P91" s="624">
        <v>83554.914000000004</v>
      </c>
      <c r="Q91" s="624">
        <v>66386.900666670001</v>
      </c>
      <c r="R91" s="624">
        <v>132</v>
      </c>
      <c r="S91" s="289">
        <v>0</v>
      </c>
      <c r="T91" s="289">
        <v>4047</v>
      </c>
      <c r="U91" s="716">
        <v>5.9993455042043925E-4</v>
      </c>
      <c r="V91" s="289">
        <v>-3314.6703685399998</v>
      </c>
      <c r="W91" s="743">
        <v>0.54424673999999995</v>
      </c>
      <c r="X91" s="289">
        <v>7900</v>
      </c>
      <c r="Y91" s="289">
        <v>392</v>
      </c>
      <c r="Z91" s="289">
        <v>1459532</v>
      </c>
      <c r="AA91" s="289">
        <v>0</v>
      </c>
      <c r="AB91" s="290">
        <v>664</v>
      </c>
      <c r="AC91" s="289">
        <v>0</v>
      </c>
      <c r="AD91" s="289">
        <v>5447.0339999999997</v>
      </c>
      <c r="AE91" s="289">
        <v>0</v>
      </c>
      <c r="AF91" s="289">
        <v>0</v>
      </c>
      <c r="AG91" s="289">
        <v>47339</v>
      </c>
      <c r="AH91" s="289">
        <v>6796</v>
      </c>
      <c r="AI91" s="289">
        <v>4480</v>
      </c>
      <c r="AJ91" s="289">
        <v>0</v>
      </c>
      <c r="AK91" s="289">
        <v>224.53129999999999</v>
      </c>
      <c r="AL91" s="289"/>
      <c r="AM91" s="622">
        <v>1.4417858400000001</v>
      </c>
      <c r="AN91" s="289">
        <v>0</v>
      </c>
      <c r="AO91" s="289">
        <v>-2188.2594696299998</v>
      </c>
      <c r="AP91" s="289">
        <v>0</v>
      </c>
      <c r="AQ91" s="289">
        <v>0</v>
      </c>
      <c r="AR91" s="289">
        <v>-3383.5169809200002</v>
      </c>
      <c r="AS91" s="289">
        <v>582.82029999999997</v>
      </c>
      <c r="AT91" s="289">
        <v>2162</v>
      </c>
      <c r="AU91" s="289">
        <v>765</v>
      </c>
      <c r="AV91" s="625">
        <v>974781</v>
      </c>
      <c r="AW91" s="289">
        <v>-24.038599999999999</v>
      </c>
      <c r="AX91" s="625">
        <v>409.29166666999998</v>
      </c>
      <c r="AY91" s="289">
        <v>12264</v>
      </c>
      <c r="AZ91" s="289">
        <v>1942</v>
      </c>
      <c r="BA91" s="290">
        <v>1007</v>
      </c>
      <c r="BB91" s="289">
        <v>0</v>
      </c>
      <c r="BC91" s="289">
        <v>6957</v>
      </c>
      <c r="BD91" s="289">
        <v>901.94590000000005</v>
      </c>
      <c r="BE91" s="289">
        <v>1020969.9718839</v>
      </c>
      <c r="BF91" s="289">
        <v>0</v>
      </c>
      <c r="BG91" s="289">
        <v>11</v>
      </c>
      <c r="BH91" s="289">
        <v>-385.68529999999998</v>
      </c>
      <c r="BI91" s="289">
        <v>12635.034</v>
      </c>
      <c r="BJ91" s="289">
        <v>-226.73740000000001</v>
      </c>
      <c r="BK91" s="289">
        <v>0</v>
      </c>
      <c r="BL91" s="289">
        <v>0</v>
      </c>
      <c r="BM91" s="289">
        <v>5422</v>
      </c>
      <c r="BN91" s="289">
        <v>0</v>
      </c>
      <c r="BO91" s="517">
        <v>0</v>
      </c>
      <c r="BP91" s="517">
        <v>0</v>
      </c>
      <c r="BQ91" s="289">
        <f t="shared" si="2"/>
        <v>-48.5933604186</v>
      </c>
      <c r="BR91" s="289">
        <v>5268.89</v>
      </c>
      <c r="BS91" s="289">
        <f t="shared" si="3"/>
        <v>-178.14399999999932</v>
      </c>
      <c r="BT91" s="289">
        <v>129</v>
      </c>
      <c r="BU91" s="289">
        <v>0</v>
      </c>
      <c r="BV91" s="289">
        <v>416</v>
      </c>
      <c r="BW91" s="289">
        <v>314.36500000000001</v>
      </c>
      <c r="BX91" s="289">
        <v>990.83600000000001</v>
      </c>
      <c r="CC91" s="517"/>
      <c r="CD91" s="85"/>
      <c r="CE91" s="517"/>
    </row>
    <row r="92" spans="1:83" ht="13">
      <c r="A92" s="1">
        <v>1505</v>
      </c>
      <c r="B92" s="4" t="s">
        <v>680</v>
      </c>
      <c r="C92" s="289">
        <v>24300</v>
      </c>
      <c r="D92" s="289">
        <v>423</v>
      </c>
      <c r="E92" s="289">
        <v>1006</v>
      </c>
      <c r="F92" s="289">
        <v>2879</v>
      </c>
      <c r="G92" s="289">
        <v>2149</v>
      </c>
      <c r="H92" s="289">
        <v>13951</v>
      </c>
      <c r="I92" s="289">
        <v>2948</v>
      </c>
      <c r="J92" s="289">
        <v>849</v>
      </c>
      <c r="K92" s="289">
        <v>192</v>
      </c>
      <c r="L92" s="289">
        <v>218</v>
      </c>
      <c r="M92" s="289">
        <v>1766</v>
      </c>
      <c r="N92" s="290">
        <v>425</v>
      </c>
      <c r="O92" s="290">
        <v>269</v>
      </c>
      <c r="P92" s="624">
        <v>36154.28866667</v>
      </c>
      <c r="Q92" s="624">
        <v>26221.009666670001</v>
      </c>
      <c r="R92" s="624">
        <v>109</v>
      </c>
      <c r="S92" s="289">
        <v>0</v>
      </c>
      <c r="T92" s="289">
        <v>2297</v>
      </c>
      <c r="U92" s="716">
        <v>5.5175108418194522E-4</v>
      </c>
      <c r="V92" s="289">
        <v>7208.7977406399996</v>
      </c>
      <c r="W92" s="743">
        <v>0.55149117999999997</v>
      </c>
      <c r="X92" s="289">
        <v>1800</v>
      </c>
      <c r="Y92" s="289">
        <v>392</v>
      </c>
      <c r="Z92" s="289">
        <v>637871</v>
      </c>
      <c r="AA92" s="289">
        <v>0</v>
      </c>
      <c r="AB92" s="290">
        <v>612</v>
      </c>
      <c r="AC92" s="289">
        <v>0</v>
      </c>
      <c r="AD92" s="289">
        <v>0</v>
      </c>
      <c r="AE92" s="289">
        <v>0</v>
      </c>
      <c r="AF92" s="289">
        <v>10071.187717749999</v>
      </c>
      <c r="AG92" s="289">
        <v>24397</v>
      </c>
      <c r="AH92" s="289">
        <v>3326</v>
      </c>
      <c r="AI92" s="289">
        <v>1150</v>
      </c>
      <c r="AJ92" s="289">
        <v>0</v>
      </c>
      <c r="AK92" s="289">
        <v>97.442300000000003</v>
      </c>
      <c r="AL92" s="289"/>
      <c r="AM92" s="622">
        <v>1.46644519</v>
      </c>
      <c r="AN92" s="289">
        <v>0</v>
      </c>
      <c r="AO92" s="289">
        <v>-1170.95253779</v>
      </c>
      <c r="AP92" s="289">
        <v>0</v>
      </c>
      <c r="AQ92" s="289">
        <v>0</v>
      </c>
      <c r="AR92" s="289">
        <v>-1743.7559682999999</v>
      </c>
      <c r="AS92" s="289">
        <v>379.19170000000003</v>
      </c>
      <c r="AT92" s="289">
        <v>1346</v>
      </c>
      <c r="AU92" s="289">
        <v>610</v>
      </c>
      <c r="AV92" s="625">
        <v>561769</v>
      </c>
      <c r="AW92" s="289">
        <v>-12.3887</v>
      </c>
      <c r="AX92" s="625">
        <v>121.75</v>
      </c>
      <c r="AY92" s="289">
        <v>4957</v>
      </c>
      <c r="AZ92" s="289">
        <v>1067</v>
      </c>
      <c r="BA92" s="290">
        <v>744</v>
      </c>
      <c r="BB92" s="289">
        <v>0</v>
      </c>
      <c r="BC92" s="289">
        <v>13606.97243446</v>
      </c>
      <c r="BD92" s="289">
        <v>441.41730000000001</v>
      </c>
      <c r="BE92" s="289">
        <v>581716.56793976005</v>
      </c>
      <c r="BF92" s="289">
        <v>0</v>
      </c>
      <c r="BG92" s="289">
        <v>11</v>
      </c>
      <c r="BH92" s="289">
        <v>-198.7698</v>
      </c>
      <c r="BI92" s="289">
        <v>13789.187717749999</v>
      </c>
      <c r="BJ92" s="289">
        <v>-25.043500000000002</v>
      </c>
      <c r="BK92" s="289">
        <v>0</v>
      </c>
      <c r="BL92" s="289">
        <v>0</v>
      </c>
      <c r="BM92" s="289">
        <v>0</v>
      </c>
      <c r="BN92" s="289">
        <v>0</v>
      </c>
      <c r="BO92" s="517">
        <v>0</v>
      </c>
      <c r="BP92" s="517">
        <v>0</v>
      </c>
      <c r="BQ92" s="289">
        <f t="shared" si="2"/>
        <v>-25.043457067800002</v>
      </c>
      <c r="BR92" s="289">
        <v>0</v>
      </c>
      <c r="BS92" s="289">
        <f t="shared" si="3"/>
        <v>0</v>
      </c>
      <c r="BT92" s="289">
        <v>56</v>
      </c>
      <c r="BU92" s="289">
        <v>0</v>
      </c>
      <c r="BV92" s="289">
        <v>220</v>
      </c>
      <c r="BW92" s="289">
        <v>209.577</v>
      </c>
      <c r="BX92" s="289">
        <v>505.50299999999999</v>
      </c>
      <c r="CC92" s="517"/>
      <c r="CD92" s="85"/>
      <c r="CE92" s="517"/>
    </row>
    <row r="93" spans="1:83" ht="13">
      <c r="A93" s="1">
        <v>1511</v>
      </c>
      <c r="B93" s="2" t="s">
        <v>86</v>
      </c>
      <c r="C93" s="289">
        <v>3187</v>
      </c>
      <c r="D93" s="289">
        <v>47</v>
      </c>
      <c r="E93" s="289">
        <v>99</v>
      </c>
      <c r="F93" s="289">
        <v>315</v>
      </c>
      <c r="G93" s="289">
        <v>336</v>
      </c>
      <c r="H93" s="289">
        <v>1647</v>
      </c>
      <c r="I93" s="289">
        <v>505</v>
      </c>
      <c r="J93" s="289">
        <v>179</v>
      </c>
      <c r="K93" s="289">
        <v>81</v>
      </c>
      <c r="L93" s="289">
        <v>21</v>
      </c>
      <c r="M93" s="289">
        <v>349</v>
      </c>
      <c r="N93" s="290">
        <v>0</v>
      </c>
      <c r="O93" s="290">
        <v>16</v>
      </c>
      <c r="P93" s="624">
        <v>39322.360999999997</v>
      </c>
      <c r="Q93" s="624">
        <v>11620.89</v>
      </c>
      <c r="R93" s="624">
        <v>26</v>
      </c>
      <c r="S93" s="289">
        <v>0</v>
      </c>
      <c r="T93" s="289">
        <v>198</v>
      </c>
      <c r="U93" s="716">
        <v>2.7496635801228767E-3</v>
      </c>
      <c r="V93" s="289">
        <v>997.58891249999999</v>
      </c>
      <c r="W93" s="743">
        <v>0.91829223000000004</v>
      </c>
      <c r="X93" s="289">
        <v>1280</v>
      </c>
      <c r="Y93" s="289">
        <v>0</v>
      </c>
      <c r="Z93" s="289">
        <v>83683</v>
      </c>
      <c r="AA93" s="289">
        <v>-5499.3073330699999</v>
      </c>
      <c r="AB93" s="290">
        <v>70</v>
      </c>
      <c r="AC93" s="289">
        <v>0</v>
      </c>
      <c r="AD93" s="289">
        <v>0</v>
      </c>
      <c r="AE93" s="289">
        <v>0</v>
      </c>
      <c r="AF93" s="289">
        <v>0</v>
      </c>
      <c r="AG93" s="289">
        <v>3209</v>
      </c>
      <c r="AH93" s="289">
        <v>399</v>
      </c>
      <c r="AI93" s="289">
        <v>1060</v>
      </c>
      <c r="AJ93" s="289">
        <v>0</v>
      </c>
      <c r="AK93" s="289">
        <v>9.6813000000000002</v>
      </c>
      <c r="AL93" s="289"/>
      <c r="AM93" s="622">
        <v>3.8834569999999999E-2</v>
      </c>
      <c r="AN93" s="289">
        <v>4683</v>
      </c>
      <c r="AO93" s="289">
        <v>-186.48745676999999</v>
      </c>
      <c r="AP93" s="289">
        <v>0</v>
      </c>
      <c r="AQ93" s="289">
        <v>0</v>
      </c>
      <c r="AR93" s="289">
        <v>1446.94656461</v>
      </c>
      <c r="AS93" s="289">
        <v>29.689399999999999</v>
      </c>
      <c r="AT93" s="289">
        <v>108</v>
      </c>
      <c r="AU93" s="289">
        <v>31</v>
      </c>
      <c r="AV93" s="625">
        <v>107685</v>
      </c>
      <c r="AW93" s="289">
        <v>-62.431199999999997</v>
      </c>
      <c r="AX93" s="625">
        <v>14.33333333</v>
      </c>
      <c r="AY93" s="289">
        <v>461</v>
      </c>
      <c r="AZ93" s="289">
        <v>119</v>
      </c>
      <c r="BA93" s="290">
        <v>48</v>
      </c>
      <c r="BB93" s="289">
        <v>0</v>
      </c>
      <c r="BC93" s="289">
        <v>-7516.9230015599996</v>
      </c>
      <c r="BD93" s="289">
        <v>52.9542</v>
      </c>
      <c r="BE93" s="289">
        <v>108761.44757976</v>
      </c>
      <c r="BF93" s="289">
        <v>0</v>
      </c>
      <c r="BG93" s="289">
        <v>0</v>
      </c>
      <c r="BH93" s="289">
        <v>-26.1447</v>
      </c>
      <c r="BI93" s="289">
        <v>-5100.3073330699999</v>
      </c>
      <c r="BJ93" s="289">
        <v>-3.294</v>
      </c>
      <c r="BK93" s="289">
        <v>0</v>
      </c>
      <c r="BL93" s="289">
        <v>0</v>
      </c>
      <c r="BM93" s="289">
        <v>0</v>
      </c>
      <c r="BN93" s="289">
        <v>0</v>
      </c>
      <c r="BO93" s="517">
        <v>0</v>
      </c>
      <c r="BP93" s="517">
        <v>0</v>
      </c>
      <c r="BQ93" s="289">
        <f t="shared" si="2"/>
        <v>-3.2940301565999999</v>
      </c>
      <c r="BR93" s="289">
        <v>0</v>
      </c>
      <c r="BS93" s="289">
        <f t="shared" si="3"/>
        <v>0</v>
      </c>
      <c r="BT93" s="289">
        <v>6</v>
      </c>
      <c r="BU93" s="289">
        <v>0</v>
      </c>
      <c r="BV93" s="289">
        <v>43</v>
      </c>
      <c r="BW93" s="289">
        <v>0</v>
      </c>
      <c r="BX93" s="289">
        <v>65.849000000000004</v>
      </c>
      <c r="CC93" s="517"/>
      <c r="CD93" s="85"/>
      <c r="CE93" s="517"/>
    </row>
    <row r="94" spans="1:83" ht="13">
      <c r="A94" s="1">
        <v>1514</v>
      </c>
      <c r="B94" s="2" t="s">
        <v>897</v>
      </c>
      <c r="C94" s="289">
        <v>2522</v>
      </c>
      <c r="D94" s="289">
        <v>43</v>
      </c>
      <c r="E94" s="289">
        <v>96</v>
      </c>
      <c r="F94" s="289">
        <v>283</v>
      </c>
      <c r="G94" s="289">
        <v>221</v>
      </c>
      <c r="H94" s="289">
        <v>1416</v>
      </c>
      <c r="I94" s="289">
        <v>315</v>
      </c>
      <c r="J94" s="289">
        <v>155</v>
      </c>
      <c r="K94" s="289">
        <v>30</v>
      </c>
      <c r="L94" s="289">
        <v>18</v>
      </c>
      <c r="M94" s="289">
        <v>220</v>
      </c>
      <c r="N94" s="290">
        <v>1.5</v>
      </c>
      <c r="O94" s="290">
        <v>48</v>
      </c>
      <c r="P94" s="624">
        <v>30026.096000000001</v>
      </c>
      <c r="Q94" s="624">
        <v>14432.82766667</v>
      </c>
      <c r="R94" s="624">
        <v>16</v>
      </c>
      <c r="S94" s="289">
        <v>0</v>
      </c>
      <c r="T94" s="289">
        <v>168</v>
      </c>
      <c r="U94" s="716">
        <v>9.8299002595203565E-4</v>
      </c>
      <c r="V94" s="289">
        <v>534.19161699000006</v>
      </c>
      <c r="W94" s="743">
        <v>0.88179494000000003</v>
      </c>
      <c r="X94" s="289">
        <v>1828</v>
      </c>
      <c r="Y94" s="289">
        <v>0</v>
      </c>
      <c r="Z94" s="289">
        <v>68936</v>
      </c>
      <c r="AA94" s="289">
        <v>-1819.46724193</v>
      </c>
      <c r="AB94" s="290">
        <v>33</v>
      </c>
      <c r="AC94" s="289">
        <v>1086</v>
      </c>
      <c r="AD94" s="289">
        <v>0</v>
      </c>
      <c r="AE94" s="289">
        <v>0</v>
      </c>
      <c r="AF94" s="289">
        <v>0</v>
      </c>
      <c r="AG94" s="289">
        <v>2559</v>
      </c>
      <c r="AH94" s="289">
        <v>331</v>
      </c>
      <c r="AI94" s="289">
        <v>550</v>
      </c>
      <c r="AJ94" s="289">
        <v>0</v>
      </c>
      <c r="AK94" s="289">
        <v>8.9219000000000008</v>
      </c>
      <c r="AL94" s="289"/>
      <c r="AM94" s="622">
        <v>4.8999939999999999E-2</v>
      </c>
      <c r="AN94" s="289">
        <v>0</v>
      </c>
      <c r="AO94" s="289">
        <v>-145.90199620999999</v>
      </c>
      <c r="AP94" s="289">
        <v>0</v>
      </c>
      <c r="AQ94" s="289">
        <v>0</v>
      </c>
      <c r="AR94" s="289">
        <v>1310.8418294200001</v>
      </c>
      <c r="AS94" s="289">
        <v>23.605699999999999</v>
      </c>
      <c r="AT94" s="289">
        <v>96</v>
      </c>
      <c r="AU94" s="289">
        <v>37</v>
      </c>
      <c r="AV94" s="625">
        <v>88169</v>
      </c>
      <c r="AW94" s="289">
        <v>-49.785400000000003</v>
      </c>
      <c r="AX94" s="625">
        <v>9.1666666699999997</v>
      </c>
      <c r="AY94" s="289">
        <v>370</v>
      </c>
      <c r="AZ94" s="289">
        <v>89</v>
      </c>
      <c r="BA94" s="290">
        <v>46</v>
      </c>
      <c r="BB94" s="289">
        <v>4435</v>
      </c>
      <c r="BC94" s="289">
        <v>-2255.0398273800001</v>
      </c>
      <c r="BD94" s="289">
        <v>43.929400000000001</v>
      </c>
      <c r="BE94" s="289">
        <v>87665.732007459999</v>
      </c>
      <c r="BF94" s="289">
        <v>0</v>
      </c>
      <c r="BG94" s="289">
        <v>0</v>
      </c>
      <c r="BH94" s="289">
        <v>-20.849</v>
      </c>
      <c r="BI94" s="289">
        <v>-1488.46724193</v>
      </c>
      <c r="BJ94" s="289">
        <v>-2.6267999999999998</v>
      </c>
      <c r="BK94" s="289">
        <v>0</v>
      </c>
      <c r="BL94" s="289">
        <v>0</v>
      </c>
      <c r="BM94" s="289">
        <v>0</v>
      </c>
      <c r="BN94" s="289">
        <v>0</v>
      </c>
      <c r="BO94" s="517">
        <v>0</v>
      </c>
      <c r="BP94" s="517">
        <v>0</v>
      </c>
      <c r="BQ94" s="289">
        <f t="shared" si="2"/>
        <v>-2.6268068466000001</v>
      </c>
      <c r="BR94" s="289">
        <v>0</v>
      </c>
      <c r="BS94" s="289">
        <f t="shared" si="3"/>
        <v>0</v>
      </c>
      <c r="BT94" s="289">
        <v>5</v>
      </c>
      <c r="BU94" s="289">
        <v>0</v>
      </c>
      <c r="BV94" s="289">
        <v>35</v>
      </c>
      <c r="BW94" s="289">
        <v>0</v>
      </c>
      <c r="BX94" s="289">
        <v>52.139000000000003</v>
      </c>
      <c r="CC94" s="517"/>
      <c r="CD94" s="85"/>
      <c r="CE94" s="517"/>
    </row>
    <row r="95" spans="1:83" ht="13">
      <c r="A95" s="1">
        <v>1515</v>
      </c>
      <c r="B95" s="2" t="s">
        <v>87</v>
      </c>
      <c r="C95" s="289">
        <v>8965</v>
      </c>
      <c r="D95" s="289">
        <v>190</v>
      </c>
      <c r="E95" s="289">
        <v>391</v>
      </c>
      <c r="F95" s="289">
        <v>1148</v>
      </c>
      <c r="G95" s="289">
        <v>807</v>
      </c>
      <c r="H95" s="289">
        <v>4938</v>
      </c>
      <c r="I95" s="289">
        <v>1027</v>
      </c>
      <c r="J95" s="289">
        <v>376</v>
      </c>
      <c r="K95" s="289">
        <v>99</v>
      </c>
      <c r="L95" s="289">
        <v>64</v>
      </c>
      <c r="M95" s="289">
        <v>600</v>
      </c>
      <c r="N95" s="290">
        <v>78</v>
      </c>
      <c r="O95" s="290">
        <v>95</v>
      </c>
      <c r="P95" s="624">
        <v>39231.968000000001</v>
      </c>
      <c r="Q95" s="624">
        <v>17181.234333330001</v>
      </c>
      <c r="R95" s="624">
        <v>29</v>
      </c>
      <c r="S95" s="289">
        <v>0</v>
      </c>
      <c r="T95" s="289">
        <v>547</v>
      </c>
      <c r="U95" s="716">
        <v>1.6743236951076742E-3</v>
      </c>
      <c r="V95" s="289">
        <v>-4041.3284217099999</v>
      </c>
      <c r="W95" s="743">
        <v>0.61772092999999995</v>
      </c>
      <c r="X95" s="289">
        <v>3002</v>
      </c>
      <c r="Y95" s="289">
        <v>392</v>
      </c>
      <c r="Z95" s="289">
        <v>270116</v>
      </c>
      <c r="AA95" s="289">
        <v>0</v>
      </c>
      <c r="AB95" s="290">
        <v>152</v>
      </c>
      <c r="AC95" s="289">
        <v>0</v>
      </c>
      <c r="AD95" s="289">
        <v>0</v>
      </c>
      <c r="AE95" s="289">
        <v>0</v>
      </c>
      <c r="AF95" s="289">
        <v>0</v>
      </c>
      <c r="AG95" s="289">
        <v>8976</v>
      </c>
      <c r="AH95" s="289">
        <v>1324</v>
      </c>
      <c r="AI95" s="289">
        <v>150</v>
      </c>
      <c r="AJ95" s="289">
        <v>0</v>
      </c>
      <c r="AK95" s="289">
        <v>38.003500000000003</v>
      </c>
      <c r="AL95" s="289"/>
      <c r="AM95" s="622">
        <v>0.25479414</v>
      </c>
      <c r="AN95" s="289">
        <v>0</v>
      </c>
      <c r="AO95" s="289">
        <v>-440.33429394000001</v>
      </c>
      <c r="AP95" s="289">
        <v>0</v>
      </c>
      <c r="AQ95" s="289">
        <v>0</v>
      </c>
      <c r="AR95" s="289">
        <v>-641.55238641999995</v>
      </c>
      <c r="AS95" s="289">
        <v>93.6614</v>
      </c>
      <c r="AT95" s="289">
        <v>341</v>
      </c>
      <c r="AU95" s="289">
        <v>194</v>
      </c>
      <c r="AV95" s="625">
        <v>214385</v>
      </c>
      <c r="AW95" s="289">
        <v>-4.5579999999999998</v>
      </c>
      <c r="AX95" s="625">
        <v>67.916666669999998</v>
      </c>
      <c r="AY95" s="289">
        <v>1377</v>
      </c>
      <c r="AZ95" s="289">
        <v>309</v>
      </c>
      <c r="BA95" s="290">
        <v>163</v>
      </c>
      <c r="BB95" s="289">
        <v>0</v>
      </c>
      <c r="BC95" s="289">
        <v>1793</v>
      </c>
      <c r="BD95" s="289">
        <v>175.7175</v>
      </c>
      <c r="BE95" s="289">
        <v>216103.77825500999</v>
      </c>
      <c r="BF95" s="289">
        <v>0</v>
      </c>
      <c r="BG95" s="289">
        <v>11</v>
      </c>
      <c r="BH95" s="289">
        <v>-73.130200000000002</v>
      </c>
      <c r="BI95" s="289">
        <v>1716</v>
      </c>
      <c r="BJ95" s="289">
        <v>-9.2138000000000009</v>
      </c>
      <c r="BK95" s="289">
        <v>0</v>
      </c>
      <c r="BL95" s="289">
        <v>0</v>
      </c>
      <c r="BM95" s="289">
        <v>0</v>
      </c>
      <c r="BN95" s="289">
        <v>0</v>
      </c>
      <c r="BO95" s="517">
        <v>0</v>
      </c>
      <c r="BP95" s="517">
        <v>0</v>
      </c>
      <c r="BQ95" s="289">
        <f t="shared" si="2"/>
        <v>-9.2138406623999991</v>
      </c>
      <c r="BR95" s="289">
        <v>0</v>
      </c>
      <c r="BS95" s="289">
        <f t="shared" si="3"/>
        <v>0</v>
      </c>
      <c r="BT95" s="289">
        <v>22</v>
      </c>
      <c r="BU95" s="289">
        <v>0</v>
      </c>
      <c r="BV95" s="289">
        <v>89</v>
      </c>
      <c r="BW95" s="289">
        <v>0</v>
      </c>
      <c r="BX95" s="289">
        <v>186.08199999999999</v>
      </c>
      <c r="CC95" s="517"/>
      <c r="CD95" s="85"/>
      <c r="CE95" s="517"/>
    </row>
    <row r="96" spans="1:83" ht="13">
      <c r="A96" s="1">
        <v>1516</v>
      </c>
      <c r="B96" s="2" t="s">
        <v>88</v>
      </c>
      <c r="C96" s="289">
        <v>8555</v>
      </c>
      <c r="D96" s="289">
        <v>184</v>
      </c>
      <c r="E96" s="289">
        <v>397</v>
      </c>
      <c r="F96" s="289">
        <v>1192</v>
      </c>
      <c r="G96" s="289">
        <v>803</v>
      </c>
      <c r="H96" s="289">
        <v>4801</v>
      </c>
      <c r="I96" s="289">
        <v>811</v>
      </c>
      <c r="J96" s="289">
        <v>244</v>
      </c>
      <c r="K96" s="289">
        <v>64</v>
      </c>
      <c r="L96" s="289">
        <v>59</v>
      </c>
      <c r="M96" s="289">
        <v>438</v>
      </c>
      <c r="N96" s="290">
        <v>159</v>
      </c>
      <c r="O96" s="290">
        <v>106</v>
      </c>
      <c r="P96" s="624">
        <v>22657.911333330001</v>
      </c>
      <c r="Q96" s="624">
        <v>14117.74666667</v>
      </c>
      <c r="R96" s="624">
        <v>39</v>
      </c>
      <c r="S96" s="289">
        <v>0</v>
      </c>
      <c r="T96" s="289">
        <v>558</v>
      </c>
      <c r="U96" s="716">
        <v>9.4293190080494121E-4</v>
      </c>
      <c r="V96" s="289">
        <v>499.88290255999999</v>
      </c>
      <c r="W96" s="743">
        <v>0.56899325999999995</v>
      </c>
      <c r="X96" s="289">
        <v>340</v>
      </c>
      <c r="Y96" s="289">
        <v>392</v>
      </c>
      <c r="Z96" s="289">
        <v>262420</v>
      </c>
      <c r="AA96" s="289">
        <v>0</v>
      </c>
      <c r="AB96" s="290">
        <v>115</v>
      </c>
      <c r="AC96" s="289">
        <v>2029</v>
      </c>
      <c r="AD96" s="289">
        <v>0</v>
      </c>
      <c r="AE96" s="289">
        <v>394</v>
      </c>
      <c r="AF96" s="289">
        <v>0</v>
      </c>
      <c r="AG96" s="289">
        <v>8496</v>
      </c>
      <c r="AH96" s="289">
        <v>1349</v>
      </c>
      <c r="AI96" s="289">
        <v>440</v>
      </c>
      <c r="AJ96" s="289">
        <v>0</v>
      </c>
      <c r="AK96" s="289">
        <v>38.789099999999998</v>
      </c>
      <c r="AL96" s="289"/>
      <c r="AM96" s="622">
        <v>0.35988745</v>
      </c>
      <c r="AN96" s="289">
        <v>0</v>
      </c>
      <c r="AO96" s="289">
        <v>-415.60604799999999</v>
      </c>
      <c r="AP96" s="289">
        <v>0</v>
      </c>
      <c r="AQ96" s="289">
        <v>0</v>
      </c>
      <c r="AR96" s="289">
        <v>-607.24477217000003</v>
      </c>
      <c r="AS96" s="289">
        <v>102.0926</v>
      </c>
      <c r="AT96" s="289">
        <v>398</v>
      </c>
      <c r="AU96" s="289">
        <v>188</v>
      </c>
      <c r="AV96" s="625">
        <v>197665</v>
      </c>
      <c r="AW96" s="289">
        <v>-4.3141999999999996</v>
      </c>
      <c r="AX96" s="625">
        <v>53.833333330000002</v>
      </c>
      <c r="AY96" s="289">
        <v>1941</v>
      </c>
      <c r="AZ96" s="289">
        <v>344</v>
      </c>
      <c r="BA96" s="290">
        <v>170</v>
      </c>
      <c r="BB96" s="289">
        <v>0</v>
      </c>
      <c r="BC96" s="289">
        <v>1783</v>
      </c>
      <c r="BD96" s="289">
        <v>179.03550000000001</v>
      </c>
      <c r="BE96" s="289">
        <v>205667.54557193001</v>
      </c>
      <c r="BF96" s="289">
        <v>0</v>
      </c>
      <c r="BG96" s="289">
        <v>11</v>
      </c>
      <c r="BH96" s="289">
        <v>-69.219499999999996</v>
      </c>
      <c r="BI96" s="289">
        <v>1741</v>
      </c>
      <c r="BJ96" s="289">
        <v>-8.7210999999999999</v>
      </c>
      <c r="BK96" s="289">
        <v>0</v>
      </c>
      <c r="BL96" s="289">
        <v>0</v>
      </c>
      <c r="BM96" s="289">
        <v>0</v>
      </c>
      <c r="BN96" s="289">
        <v>0</v>
      </c>
      <c r="BO96" s="517">
        <v>0</v>
      </c>
      <c r="BP96" s="517">
        <v>0</v>
      </c>
      <c r="BQ96" s="289">
        <f t="shared" si="2"/>
        <v>-8.7211219103999991</v>
      </c>
      <c r="BR96" s="289">
        <v>0</v>
      </c>
      <c r="BS96" s="289">
        <f t="shared" si="3"/>
        <v>0</v>
      </c>
      <c r="BT96" s="289">
        <v>22</v>
      </c>
      <c r="BU96" s="289">
        <v>0</v>
      </c>
      <c r="BV96" s="289">
        <v>79</v>
      </c>
      <c r="BW96" s="289">
        <v>0</v>
      </c>
      <c r="BX96" s="289">
        <v>178.10499999999999</v>
      </c>
      <c r="CC96" s="517"/>
      <c r="CD96" s="85"/>
      <c r="CE96" s="517"/>
    </row>
    <row r="97" spans="1:83" ht="13">
      <c r="A97" s="1">
        <v>1517</v>
      </c>
      <c r="B97" s="2" t="s">
        <v>89</v>
      </c>
      <c r="C97" s="289">
        <v>5150</v>
      </c>
      <c r="D97" s="289">
        <v>126</v>
      </c>
      <c r="E97" s="289">
        <v>264</v>
      </c>
      <c r="F97" s="289">
        <v>646</v>
      </c>
      <c r="G97" s="289">
        <v>467</v>
      </c>
      <c r="H97" s="289">
        <v>2861</v>
      </c>
      <c r="I97" s="289">
        <v>528</v>
      </c>
      <c r="J97" s="289">
        <v>206</v>
      </c>
      <c r="K97" s="289">
        <v>66</v>
      </c>
      <c r="L97" s="289">
        <v>34</v>
      </c>
      <c r="M97" s="289">
        <v>369</v>
      </c>
      <c r="N97" s="290">
        <v>127</v>
      </c>
      <c r="O97" s="290">
        <v>81</v>
      </c>
      <c r="P97" s="624">
        <v>13055.348</v>
      </c>
      <c r="Q97" s="624">
        <v>5789.4686666699999</v>
      </c>
      <c r="R97" s="624">
        <v>19</v>
      </c>
      <c r="S97" s="289">
        <v>0</v>
      </c>
      <c r="T97" s="289">
        <v>362</v>
      </c>
      <c r="U97" s="716">
        <v>6.5766725463558889E-4</v>
      </c>
      <c r="V97" s="289">
        <v>-65.260054049999994</v>
      </c>
      <c r="W97" s="743">
        <v>0.58819779000000005</v>
      </c>
      <c r="X97" s="289">
        <v>610</v>
      </c>
      <c r="Y97" s="289">
        <v>392</v>
      </c>
      <c r="Z97" s="289">
        <v>124236</v>
      </c>
      <c r="AA97" s="289">
        <v>0</v>
      </c>
      <c r="AB97" s="290">
        <v>72</v>
      </c>
      <c r="AC97" s="289">
        <v>0</v>
      </c>
      <c r="AD97" s="289">
        <v>0</v>
      </c>
      <c r="AE97" s="289">
        <v>0</v>
      </c>
      <c r="AF97" s="289">
        <v>0</v>
      </c>
      <c r="AG97" s="289">
        <v>5164</v>
      </c>
      <c r="AH97" s="289">
        <v>788</v>
      </c>
      <c r="AI97" s="289">
        <v>90</v>
      </c>
      <c r="AJ97" s="289">
        <v>0</v>
      </c>
      <c r="AK97" s="289">
        <v>25.539899999999999</v>
      </c>
      <c r="AL97" s="289"/>
      <c r="AM97" s="622">
        <v>0.20304230000000001</v>
      </c>
      <c r="AN97" s="289">
        <v>0</v>
      </c>
      <c r="AO97" s="289">
        <v>-265.39909628999999</v>
      </c>
      <c r="AP97" s="289">
        <v>0</v>
      </c>
      <c r="AQ97" s="289">
        <v>0</v>
      </c>
      <c r="AR97" s="289">
        <v>-369.09274993999998</v>
      </c>
      <c r="AS97" s="289">
        <v>64.499899999999997</v>
      </c>
      <c r="AT97" s="289">
        <v>217</v>
      </c>
      <c r="AU97" s="289">
        <v>129</v>
      </c>
      <c r="AV97" s="625">
        <v>131391</v>
      </c>
      <c r="AW97" s="289">
        <v>-2.6223000000000001</v>
      </c>
      <c r="AX97" s="625">
        <v>45.583333330000002</v>
      </c>
      <c r="AY97" s="289">
        <v>882</v>
      </c>
      <c r="AZ97" s="289">
        <v>195</v>
      </c>
      <c r="BA97" s="290">
        <v>136</v>
      </c>
      <c r="BB97" s="289">
        <v>0</v>
      </c>
      <c r="BC97" s="289">
        <v>1219</v>
      </c>
      <c r="BD97" s="289">
        <v>104.58110000000001</v>
      </c>
      <c r="BE97" s="289">
        <v>138072.58339350999</v>
      </c>
      <c r="BF97" s="289">
        <v>0</v>
      </c>
      <c r="BG97" s="289">
        <v>11</v>
      </c>
      <c r="BH97" s="289">
        <v>-42.072699999999998</v>
      </c>
      <c r="BI97" s="289">
        <v>1180</v>
      </c>
      <c r="BJ97" s="289">
        <v>-5.3007999999999997</v>
      </c>
      <c r="BK97" s="289">
        <v>0</v>
      </c>
      <c r="BL97" s="289">
        <v>0</v>
      </c>
      <c r="BM97" s="289">
        <v>0</v>
      </c>
      <c r="BN97" s="289">
        <v>0</v>
      </c>
      <c r="BO97" s="517">
        <v>0</v>
      </c>
      <c r="BP97" s="517">
        <v>0</v>
      </c>
      <c r="BQ97" s="289">
        <f t="shared" si="2"/>
        <v>-5.3008325735999993</v>
      </c>
      <c r="BR97" s="289">
        <v>0</v>
      </c>
      <c r="BS97" s="289">
        <f t="shared" si="3"/>
        <v>0</v>
      </c>
      <c r="BT97" s="289">
        <v>15</v>
      </c>
      <c r="BU97" s="289">
        <v>0</v>
      </c>
      <c r="BV97" s="289">
        <v>51</v>
      </c>
      <c r="BW97" s="289">
        <v>0</v>
      </c>
      <c r="BX97" s="289">
        <v>107.208</v>
      </c>
      <c r="CC97" s="517"/>
      <c r="CD97" s="85"/>
      <c r="CE97" s="517"/>
    </row>
    <row r="98" spans="1:83" ht="13">
      <c r="A98" s="1">
        <v>1519</v>
      </c>
      <c r="B98" s="2" t="s">
        <v>90</v>
      </c>
      <c r="C98" s="289">
        <v>9188</v>
      </c>
      <c r="D98" s="289">
        <v>196</v>
      </c>
      <c r="E98" s="289">
        <v>362</v>
      </c>
      <c r="F98" s="289">
        <v>1153</v>
      </c>
      <c r="G98" s="289">
        <v>965</v>
      </c>
      <c r="H98" s="289">
        <v>4902</v>
      </c>
      <c r="I98" s="289">
        <v>1039</v>
      </c>
      <c r="J98" s="289">
        <v>347</v>
      </c>
      <c r="K98" s="289">
        <v>109</v>
      </c>
      <c r="L98" s="289">
        <v>60</v>
      </c>
      <c r="M98" s="289">
        <v>577</v>
      </c>
      <c r="N98" s="290">
        <v>147</v>
      </c>
      <c r="O98" s="290">
        <v>63</v>
      </c>
      <c r="P98" s="624">
        <v>57718.994666669998</v>
      </c>
      <c r="Q98" s="624">
        <v>23584.86166667</v>
      </c>
      <c r="R98" s="624">
        <v>38</v>
      </c>
      <c r="S98" s="289">
        <v>0</v>
      </c>
      <c r="T98" s="289">
        <v>598</v>
      </c>
      <c r="U98" s="716">
        <v>2.6679239076883078E-3</v>
      </c>
      <c r="V98" s="289">
        <v>1870.9824214499999</v>
      </c>
      <c r="W98" s="743">
        <v>0.61384806000000003</v>
      </c>
      <c r="X98" s="289">
        <v>1360</v>
      </c>
      <c r="Y98" s="289">
        <v>392</v>
      </c>
      <c r="Z98" s="289">
        <v>222531</v>
      </c>
      <c r="AA98" s="289">
        <v>0</v>
      </c>
      <c r="AB98" s="290">
        <v>113</v>
      </c>
      <c r="AC98" s="289">
        <v>0</v>
      </c>
      <c r="AD98" s="289">
        <v>640.22400000000005</v>
      </c>
      <c r="AE98" s="289">
        <v>0</v>
      </c>
      <c r="AF98" s="289">
        <v>0</v>
      </c>
      <c r="AG98" s="289">
        <v>9073</v>
      </c>
      <c r="AH98" s="289">
        <v>1328</v>
      </c>
      <c r="AI98" s="289">
        <v>1400</v>
      </c>
      <c r="AJ98" s="289">
        <v>0</v>
      </c>
      <c r="AK98" s="289">
        <v>39.061599999999999</v>
      </c>
      <c r="AL98" s="289"/>
      <c r="AM98" s="622">
        <v>0.15330539000000001</v>
      </c>
      <c r="AN98" s="289">
        <v>0</v>
      </c>
      <c r="AO98" s="289">
        <v>-451.17074616000002</v>
      </c>
      <c r="AP98" s="289">
        <v>0</v>
      </c>
      <c r="AQ98" s="289">
        <v>0</v>
      </c>
      <c r="AR98" s="289">
        <v>-648.48538346999999</v>
      </c>
      <c r="AS98" s="289">
        <v>93.138499999999993</v>
      </c>
      <c r="AT98" s="289">
        <v>378</v>
      </c>
      <c r="AU98" s="289">
        <v>100</v>
      </c>
      <c r="AV98" s="625">
        <v>225498</v>
      </c>
      <c r="AW98" s="289">
        <v>-4.6071999999999997</v>
      </c>
      <c r="AX98" s="625">
        <v>75.666666669999998</v>
      </c>
      <c r="AY98" s="289">
        <v>2704</v>
      </c>
      <c r="AZ98" s="289">
        <v>336</v>
      </c>
      <c r="BA98" s="290">
        <v>177</v>
      </c>
      <c r="BB98" s="289">
        <v>0</v>
      </c>
      <c r="BC98" s="289">
        <v>1749</v>
      </c>
      <c r="BD98" s="289">
        <v>176.2484</v>
      </c>
      <c r="BE98" s="289">
        <v>232987.77165585</v>
      </c>
      <c r="BF98" s="289">
        <v>0</v>
      </c>
      <c r="BG98" s="289">
        <v>11</v>
      </c>
      <c r="BH98" s="289">
        <v>-73.920500000000004</v>
      </c>
      <c r="BI98" s="289">
        <v>2360.2240000000002</v>
      </c>
      <c r="BJ98" s="289">
        <v>1019.0743</v>
      </c>
      <c r="BK98" s="289">
        <v>2490</v>
      </c>
      <c r="BL98" s="289">
        <v>0</v>
      </c>
      <c r="BM98" s="289">
        <v>3392</v>
      </c>
      <c r="BN98" s="289">
        <v>0</v>
      </c>
      <c r="BO98" s="517">
        <v>0</v>
      </c>
      <c r="BP98" s="289">
        <v>625.21409890643952</v>
      </c>
      <c r="BQ98" s="289">
        <f t="shared" si="2"/>
        <v>-9.3134109102</v>
      </c>
      <c r="BR98" s="289">
        <v>4158.5339999999997</v>
      </c>
      <c r="BS98" s="289">
        <f t="shared" si="3"/>
        <v>3518.3099999999995</v>
      </c>
      <c r="BT98" s="289">
        <v>22</v>
      </c>
      <c r="BU98" s="289">
        <v>0</v>
      </c>
      <c r="BV98" s="289">
        <v>92</v>
      </c>
      <c r="BW98" s="289">
        <v>157.18299999999999</v>
      </c>
      <c r="BX98" s="289">
        <v>190.19499999999999</v>
      </c>
      <c r="CC98" s="517"/>
      <c r="CD98" s="85"/>
      <c r="CE98" s="517"/>
    </row>
    <row r="99" spans="1:83" ht="13">
      <c r="A99" s="1">
        <v>1520</v>
      </c>
      <c r="B99" s="2" t="s">
        <v>91</v>
      </c>
      <c r="C99" s="289">
        <v>10812</v>
      </c>
      <c r="D99" s="289">
        <v>223</v>
      </c>
      <c r="E99" s="289">
        <v>521</v>
      </c>
      <c r="F99" s="289">
        <v>1391</v>
      </c>
      <c r="G99" s="289">
        <v>967</v>
      </c>
      <c r="H99" s="289">
        <v>5867</v>
      </c>
      <c r="I99" s="289">
        <v>1205</v>
      </c>
      <c r="J99" s="289">
        <v>482</v>
      </c>
      <c r="K99" s="289">
        <v>127</v>
      </c>
      <c r="L99" s="289">
        <v>74</v>
      </c>
      <c r="M99" s="289">
        <v>744</v>
      </c>
      <c r="N99" s="290">
        <v>139</v>
      </c>
      <c r="O99" s="290">
        <v>86</v>
      </c>
      <c r="P99" s="624">
        <v>90513.975000000006</v>
      </c>
      <c r="Q99" s="624">
        <v>20907.235333330002</v>
      </c>
      <c r="R99" s="624">
        <v>37</v>
      </c>
      <c r="S99" s="289">
        <v>0</v>
      </c>
      <c r="T99" s="289">
        <v>776</v>
      </c>
      <c r="U99" s="716">
        <v>4.2448932944346238E-3</v>
      </c>
      <c r="V99" s="289">
        <v>845.13419935000002</v>
      </c>
      <c r="W99" s="743">
        <v>0.62374401999999995</v>
      </c>
      <c r="X99" s="289">
        <v>580</v>
      </c>
      <c r="Y99" s="289">
        <v>392</v>
      </c>
      <c r="Z99" s="289">
        <v>277117</v>
      </c>
      <c r="AA99" s="289">
        <v>0</v>
      </c>
      <c r="AB99" s="290">
        <v>171</v>
      </c>
      <c r="AC99" s="289">
        <v>0</v>
      </c>
      <c r="AD99" s="289">
        <v>0</v>
      </c>
      <c r="AE99" s="289">
        <v>0</v>
      </c>
      <c r="AF99" s="289">
        <v>0</v>
      </c>
      <c r="AG99" s="289">
        <v>10783</v>
      </c>
      <c r="AH99" s="289">
        <v>1592</v>
      </c>
      <c r="AI99" s="289">
        <v>230</v>
      </c>
      <c r="AJ99" s="289">
        <v>0</v>
      </c>
      <c r="AK99" s="289">
        <v>49.857500000000002</v>
      </c>
      <c r="AL99" s="289"/>
      <c r="AM99" s="622">
        <v>0.13927954000000001</v>
      </c>
      <c r="AN99" s="289">
        <v>0</v>
      </c>
      <c r="AO99" s="289">
        <v>-547.16247808000003</v>
      </c>
      <c r="AP99" s="289">
        <v>0</v>
      </c>
      <c r="AQ99" s="289">
        <v>0</v>
      </c>
      <c r="AR99" s="289">
        <v>-770.70625921999999</v>
      </c>
      <c r="AS99" s="289">
        <v>111.9067</v>
      </c>
      <c r="AT99" s="289">
        <v>434</v>
      </c>
      <c r="AU99" s="289">
        <v>155</v>
      </c>
      <c r="AV99" s="625">
        <v>274907</v>
      </c>
      <c r="AW99" s="289">
        <v>-5.4756</v>
      </c>
      <c r="AX99" s="625">
        <v>67.708333330000002</v>
      </c>
      <c r="AY99" s="289">
        <v>2146</v>
      </c>
      <c r="AZ99" s="289">
        <v>239</v>
      </c>
      <c r="BA99" s="290">
        <v>236</v>
      </c>
      <c r="BB99" s="289">
        <v>0</v>
      </c>
      <c r="BC99" s="289">
        <v>2104</v>
      </c>
      <c r="BD99" s="289">
        <v>211.28569999999999</v>
      </c>
      <c r="BE99" s="289">
        <v>280900.33364198997</v>
      </c>
      <c r="BF99" s="289">
        <v>0</v>
      </c>
      <c r="BG99" s="289">
        <v>11</v>
      </c>
      <c r="BH99" s="289">
        <v>-87.852400000000003</v>
      </c>
      <c r="BI99" s="289">
        <v>1984</v>
      </c>
      <c r="BJ99" s="289">
        <v>-11.0687</v>
      </c>
      <c r="BK99" s="289">
        <v>0</v>
      </c>
      <c r="BL99" s="289">
        <v>0</v>
      </c>
      <c r="BM99" s="289">
        <v>0</v>
      </c>
      <c r="BN99" s="289">
        <v>0</v>
      </c>
      <c r="BO99" s="517">
        <v>0</v>
      </c>
      <c r="BP99" s="517">
        <v>0</v>
      </c>
      <c r="BQ99" s="289">
        <f t="shared" si="2"/>
        <v>-11.068721464199999</v>
      </c>
      <c r="BR99" s="289">
        <v>0</v>
      </c>
      <c r="BS99" s="289">
        <f t="shared" si="3"/>
        <v>0</v>
      </c>
      <c r="BT99" s="289">
        <v>29</v>
      </c>
      <c r="BU99" s="289">
        <v>0</v>
      </c>
      <c r="BV99" s="289">
        <v>109</v>
      </c>
      <c r="BW99" s="289">
        <v>157.18299999999999</v>
      </c>
      <c r="BX99" s="289">
        <v>225.57</v>
      </c>
      <c r="CC99" s="517"/>
      <c r="CD99" s="85"/>
      <c r="CE99" s="517"/>
    </row>
    <row r="100" spans="1:83" ht="13">
      <c r="A100" s="1">
        <v>1523</v>
      </c>
      <c r="B100" s="2" t="s">
        <v>92</v>
      </c>
      <c r="C100" s="289">
        <v>2267</v>
      </c>
      <c r="D100" s="289">
        <v>46</v>
      </c>
      <c r="E100" s="289">
        <v>100</v>
      </c>
      <c r="F100" s="289">
        <v>291</v>
      </c>
      <c r="G100" s="289">
        <v>194</v>
      </c>
      <c r="H100" s="289">
        <v>1271</v>
      </c>
      <c r="I100" s="289">
        <v>301</v>
      </c>
      <c r="J100" s="289">
        <v>70</v>
      </c>
      <c r="K100" s="289">
        <v>28</v>
      </c>
      <c r="L100" s="289">
        <v>18</v>
      </c>
      <c r="M100" s="289">
        <v>146</v>
      </c>
      <c r="N100" s="290">
        <v>39</v>
      </c>
      <c r="O100" s="290">
        <v>35</v>
      </c>
      <c r="P100" s="624">
        <v>6369.0206666699996</v>
      </c>
      <c r="Q100" s="624">
        <v>5087.8063333299997</v>
      </c>
      <c r="R100" s="624">
        <v>7</v>
      </c>
      <c r="S100" s="289">
        <v>0</v>
      </c>
      <c r="T100" s="289">
        <v>179</v>
      </c>
      <c r="U100" s="716">
        <v>7.9091763826733127E-4</v>
      </c>
      <c r="V100" s="289">
        <v>517.63669521999998</v>
      </c>
      <c r="W100" s="743">
        <v>0.67109711000000005</v>
      </c>
      <c r="X100" s="289">
        <v>90</v>
      </c>
      <c r="Y100" s="289">
        <v>392</v>
      </c>
      <c r="Z100" s="289">
        <v>60208</v>
      </c>
      <c r="AA100" s="289">
        <v>0</v>
      </c>
      <c r="AB100" s="290">
        <v>39</v>
      </c>
      <c r="AC100" s="289">
        <v>0</v>
      </c>
      <c r="AD100" s="289">
        <v>164.16</v>
      </c>
      <c r="AE100" s="289">
        <v>0</v>
      </c>
      <c r="AF100" s="289">
        <v>0</v>
      </c>
      <c r="AG100" s="289">
        <v>2301</v>
      </c>
      <c r="AH100" s="289">
        <v>338</v>
      </c>
      <c r="AI100" s="289">
        <v>40</v>
      </c>
      <c r="AJ100" s="289">
        <v>0</v>
      </c>
      <c r="AK100" s="289">
        <v>10.0213</v>
      </c>
      <c r="AL100" s="289"/>
      <c r="AM100" s="622">
        <v>4.1192680000000002E-2</v>
      </c>
      <c r="AN100" s="289">
        <v>0</v>
      </c>
      <c r="AO100" s="289">
        <v>-119.73193132</v>
      </c>
      <c r="AP100" s="289">
        <v>0</v>
      </c>
      <c r="AQ100" s="289">
        <v>0</v>
      </c>
      <c r="AR100" s="289">
        <v>7801.2109874600001</v>
      </c>
      <c r="AS100" s="289">
        <v>26.221499999999999</v>
      </c>
      <c r="AT100" s="289">
        <v>104</v>
      </c>
      <c r="AU100" s="289">
        <v>29</v>
      </c>
      <c r="AV100" s="625">
        <v>73985</v>
      </c>
      <c r="AW100" s="289">
        <v>85.233999999999995</v>
      </c>
      <c r="AX100" s="625">
        <v>15.91666667</v>
      </c>
      <c r="AY100" s="289">
        <v>536</v>
      </c>
      <c r="AZ100" s="289">
        <v>72</v>
      </c>
      <c r="BA100" s="290">
        <v>41</v>
      </c>
      <c r="BB100" s="289">
        <v>2772</v>
      </c>
      <c r="BC100" s="289">
        <v>776</v>
      </c>
      <c r="BD100" s="289">
        <v>44.858400000000003</v>
      </c>
      <c r="BE100" s="289">
        <v>66808.04098618</v>
      </c>
      <c r="BF100" s="289">
        <v>0</v>
      </c>
      <c r="BG100" s="289">
        <v>11</v>
      </c>
      <c r="BH100" s="289">
        <v>-18.747</v>
      </c>
      <c r="BI100" s="289">
        <v>894.16</v>
      </c>
      <c r="BJ100" s="289">
        <v>263.39499999999998</v>
      </c>
      <c r="BK100" s="289">
        <v>643</v>
      </c>
      <c r="BL100" s="289">
        <v>0</v>
      </c>
      <c r="BM100" s="289">
        <v>264</v>
      </c>
      <c r="BN100" s="289">
        <v>0</v>
      </c>
      <c r="BO100" s="517">
        <v>0</v>
      </c>
      <c r="BP100" s="289">
        <v>914.4</v>
      </c>
      <c r="BQ100" s="289">
        <f t="shared" si="2"/>
        <v>-2.3619705174000001</v>
      </c>
      <c r="BR100" s="289">
        <v>1073.365</v>
      </c>
      <c r="BS100" s="289">
        <f t="shared" si="3"/>
        <v>909.20500000000004</v>
      </c>
      <c r="BT100" s="289">
        <v>6</v>
      </c>
      <c r="BU100" s="289">
        <v>0</v>
      </c>
      <c r="BV100" s="289">
        <v>27</v>
      </c>
      <c r="BW100" s="289">
        <v>0</v>
      </c>
      <c r="BX100" s="289">
        <v>46.988</v>
      </c>
      <c r="CC100" s="517"/>
      <c r="CD100" s="85"/>
      <c r="CE100" s="517"/>
    </row>
    <row r="101" spans="1:83" ht="13">
      <c r="A101" s="1">
        <v>1524</v>
      </c>
      <c r="B101" s="2" t="s">
        <v>93</v>
      </c>
      <c r="C101" s="289">
        <v>1670</v>
      </c>
      <c r="D101" s="289">
        <v>26</v>
      </c>
      <c r="E101" s="289">
        <v>58</v>
      </c>
      <c r="F101" s="289">
        <v>207</v>
      </c>
      <c r="G101" s="289">
        <v>166</v>
      </c>
      <c r="H101" s="289">
        <v>873</v>
      </c>
      <c r="I101" s="289">
        <v>239</v>
      </c>
      <c r="J101" s="289">
        <v>85</v>
      </c>
      <c r="K101" s="289">
        <v>33</v>
      </c>
      <c r="L101" s="289">
        <v>13</v>
      </c>
      <c r="M101" s="289">
        <v>150</v>
      </c>
      <c r="N101" s="290">
        <v>4</v>
      </c>
      <c r="O101" s="290">
        <v>12</v>
      </c>
      <c r="P101" s="624">
        <v>16821.812333329999</v>
      </c>
      <c r="Q101" s="624">
        <v>7216.8376666699996</v>
      </c>
      <c r="R101" s="624">
        <v>11</v>
      </c>
      <c r="S101" s="289">
        <v>0</v>
      </c>
      <c r="T101" s="289">
        <v>131</v>
      </c>
      <c r="U101" s="716">
        <v>2.0890213420508828E-3</v>
      </c>
      <c r="V101" s="289">
        <v>762.68858332000002</v>
      </c>
      <c r="W101" s="743">
        <v>1</v>
      </c>
      <c r="X101" s="289">
        <v>1250</v>
      </c>
      <c r="Y101" s="289">
        <v>244</v>
      </c>
      <c r="Z101" s="289">
        <v>48307</v>
      </c>
      <c r="AA101" s="289">
        <v>0</v>
      </c>
      <c r="AB101" s="290">
        <v>29</v>
      </c>
      <c r="AC101" s="289">
        <v>0</v>
      </c>
      <c r="AD101" s="289">
        <v>0</v>
      </c>
      <c r="AE101" s="289">
        <v>0</v>
      </c>
      <c r="AF101" s="289">
        <v>0</v>
      </c>
      <c r="AG101" s="289">
        <v>1687</v>
      </c>
      <c r="AH101" s="289">
        <v>235</v>
      </c>
      <c r="AI101" s="289">
        <v>630</v>
      </c>
      <c r="AJ101" s="289">
        <v>0</v>
      </c>
      <c r="AK101" s="289">
        <v>5.9198000000000004</v>
      </c>
      <c r="AL101" s="289"/>
      <c r="AM101" s="622">
        <v>1.9786160000000001E-2</v>
      </c>
      <c r="AN101" s="289">
        <v>0</v>
      </c>
      <c r="AO101" s="289">
        <v>-106.08072075</v>
      </c>
      <c r="AP101" s="289">
        <v>0</v>
      </c>
      <c r="AQ101" s="289">
        <v>0</v>
      </c>
      <c r="AR101" s="289">
        <v>-120.57696924</v>
      </c>
      <c r="AS101" s="289">
        <v>16.669799999999999</v>
      </c>
      <c r="AT101" s="289">
        <v>57</v>
      </c>
      <c r="AU101" s="289">
        <v>15</v>
      </c>
      <c r="AV101" s="625">
        <v>70262</v>
      </c>
      <c r="AW101" s="289">
        <v>-0.85670000000000002</v>
      </c>
      <c r="AX101" s="625">
        <v>11.45833333</v>
      </c>
      <c r="AY101" s="289">
        <v>295</v>
      </c>
      <c r="AZ101" s="289">
        <v>64</v>
      </c>
      <c r="BA101" s="290">
        <v>24</v>
      </c>
      <c r="BB101" s="289">
        <v>5543</v>
      </c>
      <c r="BC101" s="289">
        <v>611</v>
      </c>
      <c r="BD101" s="289">
        <v>31.188500000000001</v>
      </c>
      <c r="BE101" s="289">
        <v>72503.10409049</v>
      </c>
      <c r="BF101" s="289">
        <v>0</v>
      </c>
      <c r="BG101" s="289">
        <v>13</v>
      </c>
      <c r="BH101" s="289">
        <v>-13.7445</v>
      </c>
      <c r="BI101" s="289">
        <v>479</v>
      </c>
      <c r="BJ101" s="289">
        <v>-1.7317</v>
      </c>
      <c r="BK101" s="289">
        <v>0</v>
      </c>
      <c r="BL101" s="289">
        <v>0</v>
      </c>
      <c r="BM101" s="289">
        <v>0</v>
      </c>
      <c r="BN101" s="289">
        <v>0</v>
      </c>
      <c r="BO101" s="517">
        <v>0</v>
      </c>
      <c r="BP101" s="517">
        <v>0</v>
      </c>
      <c r="BQ101" s="289">
        <f t="shared" si="2"/>
        <v>-1.7317011138</v>
      </c>
      <c r="BR101" s="289">
        <v>0</v>
      </c>
      <c r="BS101" s="289">
        <f t="shared" si="3"/>
        <v>0</v>
      </c>
      <c r="BT101" s="289">
        <v>3</v>
      </c>
      <c r="BU101" s="289">
        <v>0</v>
      </c>
      <c r="BV101" s="289">
        <v>26</v>
      </c>
      <c r="BW101" s="289">
        <v>209.577</v>
      </c>
      <c r="BX101" s="289">
        <v>34.69</v>
      </c>
      <c r="CC101" s="517"/>
      <c r="CD101" s="85"/>
      <c r="CE101" s="517"/>
    </row>
    <row r="102" spans="1:83" ht="13">
      <c r="A102" s="1">
        <v>1525</v>
      </c>
      <c r="B102" s="2" t="s">
        <v>94</v>
      </c>
      <c r="C102" s="289">
        <v>4587</v>
      </c>
      <c r="D102" s="289">
        <v>91</v>
      </c>
      <c r="E102" s="289">
        <v>172</v>
      </c>
      <c r="F102" s="289">
        <v>511</v>
      </c>
      <c r="G102" s="289">
        <v>418</v>
      </c>
      <c r="H102" s="289">
        <v>2511</v>
      </c>
      <c r="I102" s="289">
        <v>581</v>
      </c>
      <c r="J102" s="289">
        <v>268</v>
      </c>
      <c r="K102" s="289">
        <v>73</v>
      </c>
      <c r="L102" s="289">
        <v>30</v>
      </c>
      <c r="M102" s="289">
        <v>371</v>
      </c>
      <c r="N102" s="290">
        <v>47</v>
      </c>
      <c r="O102" s="290">
        <v>56</v>
      </c>
      <c r="P102" s="624">
        <v>45523.72633333</v>
      </c>
      <c r="Q102" s="624">
        <v>27933.68366667</v>
      </c>
      <c r="R102" s="624">
        <v>9</v>
      </c>
      <c r="S102" s="289">
        <v>0</v>
      </c>
      <c r="T102" s="289">
        <v>317</v>
      </c>
      <c r="U102" s="716">
        <v>2.2618787113114101E-3</v>
      </c>
      <c r="V102" s="289">
        <v>1645.7560404999999</v>
      </c>
      <c r="W102" s="743">
        <v>0.80051645000000005</v>
      </c>
      <c r="X102" s="289">
        <v>180</v>
      </c>
      <c r="Y102" s="289">
        <v>392</v>
      </c>
      <c r="Z102" s="289">
        <v>127019</v>
      </c>
      <c r="AA102" s="289">
        <v>0</v>
      </c>
      <c r="AB102" s="290">
        <v>52</v>
      </c>
      <c r="AC102" s="289">
        <v>0</v>
      </c>
      <c r="AD102" s="289">
        <v>0</v>
      </c>
      <c r="AE102" s="289">
        <v>0</v>
      </c>
      <c r="AF102" s="289">
        <v>0</v>
      </c>
      <c r="AG102" s="289">
        <v>4625</v>
      </c>
      <c r="AH102" s="289">
        <v>618</v>
      </c>
      <c r="AI102" s="289">
        <v>2180</v>
      </c>
      <c r="AJ102" s="289">
        <v>0</v>
      </c>
      <c r="AK102" s="289">
        <v>17.800699999999999</v>
      </c>
      <c r="AL102" s="289"/>
      <c r="AM102" s="622">
        <v>4.3081809999999998E-2</v>
      </c>
      <c r="AN102" s="289">
        <v>2491</v>
      </c>
      <c r="AO102" s="289">
        <v>-240.83841925999999</v>
      </c>
      <c r="AP102" s="289">
        <v>0</v>
      </c>
      <c r="AQ102" s="289">
        <v>0</v>
      </c>
      <c r="AR102" s="289">
        <v>5689.7158215400004</v>
      </c>
      <c r="AS102" s="289">
        <v>43.331099999999999</v>
      </c>
      <c r="AT102" s="289">
        <v>127</v>
      </c>
      <c r="AU102" s="289">
        <v>58</v>
      </c>
      <c r="AV102" s="625">
        <v>135506</v>
      </c>
      <c r="AW102" s="289">
        <v>-89.979500000000002</v>
      </c>
      <c r="AX102" s="625">
        <v>41.375</v>
      </c>
      <c r="AY102" s="289">
        <v>770</v>
      </c>
      <c r="AZ102" s="289">
        <v>125</v>
      </c>
      <c r="BA102" s="290">
        <v>58</v>
      </c>
      <c r="BB102" s="289">
        <v>0</v>
      </c>
      <c r="BC102" s="289">
        <v>1170</v>
      </c>
      <c r="BD102" s="289">
        <v>82.019199999999998</v>
      </c>
      <c r="BE102" s="289">
        <v>130672.44947951</v>
      </c>
      <c r="BF102" s="289">
        <v>0</v>
      </c>
      <c r="BG102" s="289">
        <v>11</v>
      </c>
      <c r="BH102" s="289">
        <v>-37.6813</v>
      </c>
      <c r="BI102" s="289">
        <v>1010</v>
      </c>
      <c r="BJ102" s="289">
        <v>-4.7476000000000003</v>
      </c>
      <c r="BK102" s="289">
        <v>0</v>
      </c>
      <c r="BL102" s="289">
        <v>0</v>
      </c>
      <c r="BM102" s="289">
        <v>0</v>
      </c>
      <c r="BN102" s="289">
        <v>0</v>
      </c>
      <c r="BO102" s="517">
        <v>0</v>
      </c>
      <c r="BP102" s="517">
        <v>0</v>
      </c>
      <c r="BQ102" s="289">
        <f t="shared" si="2"/>
        <v>-4.7475504749999997</v>
      </c>
      <c r="BR102" s="289">
        <v>0</v>
      </c>
      <c r="BS102" s="289">
        <f t="shared" si="3"/>
        <v>0</v>
      </c>
      <c r="BT102" s="289">
        <v>10</v>
      </c>
      <c r="BU102" s="289">
        <v>0</v>
      </c>
      <c r="BV102" s="289">
        <v>56</v>
      </c>
      <c r="BW102" s="289">
        <v>157.18299999999999</v>
      </c>
      <c r="BX102" s="289">
        <v>95.679000000000002</v>
      </c>
      <c r="CC102" s="517"/>
      <c r="CD102" s="85"/>
      <c r="CE102" s="517"/>
    </row>
    <row r="103" spans="1:83" ht="13">
      <c r="A103" s="1">
        <v>1526</v>
      </c>
      <c r="B103" s="2" t="s">
        <v>95</v>
      </c>
      <c r="C103" s="289">
        <v>972</v>
      </c>
      <c r="D103" s="289">
        <v>10</v>
      </c>
      <c r="E103" s="289">
        <v>36</v>
      </c>
      <c r="F103" s="289">
        <v>142</v>
      </c>
      <c r="G103" s="289">
        <v>100</v>
      </c>
      <c r="H103" s="289">
        <v>516</v>
      </c>
      <c r="I103" s="289">
        <v>113</v>
      </c>
      <c r="J103" s="289">
        <v>56</v>
      </c>
      <c r="K103" s="289">
        <v>12</v>
      </c>
      <c r="L103" s="289">
        <v>6</v>
      </c>
      <c r="M103" s="289">
        <v>80</v>
      </c>
      <c r="N103" s="290">
        <v>10</v>
      </c>
      <c r="O103" s="290">
        <v>19</v>
      </c>
      <c r="P103" s="624">
        <v>1871.7909999999999</v>
      </c>
      <c r="Q103" s="624">
        <v>3450.5830000000001</v>
      </c>
      <c r="R103" s="624">
        <v>4</v>
      </c>
      <c r="S103" s="289">
        <v>0</v>
      </c>
      <c r="T103" s="289">
        <v>62</v>
      </c>
      <c r="U103" s="716">
        <v>5.8321278692009121E-4</v>
      </c>
      <c r="V103" s="289">
        <v>378.83363177000001</v>
      </c>
      <c r="W103" s="743">
        <v>0.89111627999999998</v>
      </c>
      <c r="X103" s="289">
        <v>832</v>
      </c>
      <c r="Y103" s="289">
        <v>392</v>
      </c>
      <c r="Z103" s="289">
        <v>22562</v>
      </c>
      <c r="AA103" s="289">
        <v>-607.85296089999997</v>
      </c>
      <c r="AB103" s="290">
        <v>20</v>
      </c>
      <c r="AC103" s="289">
        <v>0</v>
      </c>
      <c r="AD103" s="289">
        <v>70.793999999999997</v>
      </c>
      <c r="AE103" s="289">
        <v>0</v>
      </c>
      <c r="AF103" s="289">
        <v>0</v>
      </c>
      <c r="AG103" s="289">
        <v>985</v>
      </c>
      <c r="AH103" s="289">
        <v>151</v>
      </c>
      <c r="AI103" s="289">
        <v>20</v>
      </c>
      <c r="AJ103" s="289">
        <v>0</v>
      </c>
      <c r="AK103" s="289">
        <v>3.5074999999999998</v>
      </c>
      <c r="AL103" s="289"/>
      <c r="AM103" s="622">
        <v>2.3761790000000001E-2</v>
      </c>
      <c r="AN103" s="289">
        <v>0</v>
      </c>
      <c r="AO103" s="289">
        <v>-64.624896219999997</v>
      </c>
      <c r="AP103" s="289">
        <v>0</v>
      </c>
      <c r="AQ103" s="289">
        <v>0</v>
      </c>
      <c r="AR103" s="289">
        <v>2148.3392162800001</v>
      </c>
      <c r="AS103" s="289">
        <v>10.4849</v>
      </c>
      <c r="AT103" s="289">
        <v>50</v>
      </c>
      <c r="AU103" s="289">
        <v>10</v>
      </c>
      <c r="AV103" s="625">
        <v>48559</v>
      </c>
      <c r="AW103" s="289">
        <v>-19.1632</v>
      </c>
      <c r="AX103" s="625">
        <v>5.3333333300000003</v>
      </c>
      <c r="AY103" s="289">
        <v>158</v>
      </c>
      <c r="AZ103" s="289">
        <v>48</v>
      </c>
      <c r="BA103" s="290">
        <v>25</v>
      </c>
      <c r="BB103" s="289">
        <v>5543</v>
      </c>
      <c r="BC103" s="289">
        <v>-273.67391944000002</v>
      </c>
      <c r="BD103" s="289">
        <v>20.040299999999998</v>
      </c>
      <c r="BE103" s="289">
        <v>47164.023530259998</v>
      </c>
      <c r="BF103" s="289">
        <v>0</v>
      </c>
      <c r="BG103" s="289">
        <v>11</v>
      </c>
      <c r="BH103" s="289">
        <v>-8.0251000000000001</v>
      </c>
      <c r="BI103" s="289">
        <v>5.9410391000000002</v>
      </c>
      <c r="BJ103" s="289">
        <v>-279.02109999999999</v>
      </c>
      <c r="BK103" s="289">
        <v>0</v>
      </c>
      <c r="BL103" s="289">
        <v>0</v>
      </c>
      <c r="BM103" s="289">
        <v>0</v>
      </c>
      <c r="BN103" s="289">
        <v>0</v>
      </c>
      <c r="BO103" s="517">
        <v>0</v>
      </c>
      <c r="BP103" s="517">
        <v>0</v>
      </c>
      <c r="BQ103" s="289">
        <f t="shared" si="2"/>
        <v>-1.0110999389999999</v>
      </c>
      <c r="BR103" s="289">
        <v>-207.21600000000001</v>
      </c>
      <c r="BS103" s="289">
        <f t="shared" si="3"/>
        <v>-278.01</v>
      </c>
      <c r="BT103" s="289">
        <v>2</v>
      </c>
      <c r="BU103" s="289">
        <v>0</v>
      </c>
      <c r="BV103" s="289">
        <v>17</v>
      </c>
      <c r="BW103" s="289">
        <v>0</v>
      </c>
      <c r="BX103" s="289">
        <v>20.149000000000001</v>
      </c>
      <c r="CC103" s="517"/>
      <c r="CD103" s="85"/>
      <c r="CE103" s="517"/>
    </row>
    <row r="104" spans="1:83" ht="13">
      <c r="A104" s="1">
        <v>1528</v>
      </c>
      <c r="B104" s="2" t="s">
        <v>96</v>
      </c>
      <c r="C104" s="289">
        <v>7695</v>
      </c>
      <c r="D104" s="289">
        <v>146</v>
      </c>
      <c r="E104" s="289">
        <v>354</v>
      </c>
      <c r="F104" s="289">
        <v>994</v>
      </c>
      <c r="G104" s="289">
        <v>721</v>
      </c>
      <c r="H104" s="289">
        <v>4233</v>
      </c>
      <c r="I104" s="289">
        <v>873</v>
      </c>
      <c r="J104" s="289">
        <v>285</v>
      </c>
      <c r="K104" s="289">
        <v>76</v>
      </c>
      <c r="L104" s="289">
        <v>56</v>
      </c>
      <c r="M104" s="289">
        <v>475</v>
      </c>
      <c r="N104" s="290">
        <v>132</v>
      </c>
      <c r="O104" s="290">
        <v>70</v>
      </c>
      <c r="P104" s="624">
        <v>32228.474999999999</v>
      </c>
      <c r="Q104" s="624">
        <v>19138.719333329998</v>
      </c>
      <c r="R104" s="624">
        <v>35</v>
      </c>
      <c r="S104" s="289">
        <v>0</v>
      </c>
      <c r="T104" s="289">
        <v>562</v>
      </c>
      <c r="U104" s="716">
        <v>1.8324278183032626E-3</v>
      </c>
      <c r="V104" s="289">
        <v>-5233.4110581100003</v>
      </c>
      <c r="W104" s="743">
        <v>0.60070431999999996</v>
      </c>
      <c r="X104" s="289">
        <v>310</v>
      </c>
      <c r="Y104" s="289">
        <v>392</v>
      </c>
      <c r="Z104" s="289">
        <v>194273</v>
      </c>
      <c r="AA104" s="289">
        <v>0</v>
      </c>
      <c r="AB104" s="290">
        <v>124</v>
      </c>
      <c r="AC104" s="289">
        <v>0</v>
      </c>
      <c r="AD104" s="289">
        <v>0</v>
      </c>
      <c r="AE104" s="289">
        <v>0</v>
      </c>
      <c r="AF104" s="289">
        <v>0</v>
      </c>
      <c r="AG104" s="289">
        <v>7682</v>
      </c>
      <c r="AH104" s="289">
        <v>1167</v>
      </c>
      <c r="AI104" s="289">
        <v>1030</v>
      </c>
      <c r="AJ104" s="289">
        <v>0</v>
      </c>
      <c r="AK104" s="289">
        <v>33.173400000000001</v>
      </c>
      <c r="AL104" s="289"/>
      <c r="AM104" s="622">
        <v>0.1072487</v>
      </c>
      <c r="AN104" s="289">
        <v>0</v>
      </c>
      <c r="AO104" s="289">
        <v>-381.93371776999999</v>
      </c>
      <c r="AP104" s="289">
        <v>0</v>
      </c>
      <c r="AQ104" s="289">
        <v>0</v>
      </c>
      <c r="AR104" s="289">
        <v>9039.4014223600007</v>
      </c>
      <c r="AS104" s="289">
        <v>83.756299999999996</v>
      </c>
      <c r="AT104" s="289">
        <v>330</v>
      </c>
      <c r="AU104" s="289">
        <v>68</v>
      </c>
      <c r="AV104" s="625">
        <v>193609</v>
      </c>
      <c r="AW104" s="289">
        <v>-149.45349999999999</v>
      </c>
      <c r="AX104" s="625">
        <v>37.75</v>
      </c>
      <c r="AY104" s="289">
        <v>1375</v>
      </c>
      <c r="AZ104" s="289">
        <v>283</v>
      </c>
      <c r="BA104" s="290">
        <v>141</v>
      </c>
      <c r="BB104" s="289">
        <v>0</v>
      </c>
      <c r="BC104" s="289">
        <v>1617</v>
      </c>
      <c r="BD104" s="289">
        <v>154.8809</v>
      </c>
      <c r="BE104" s="289">
        <v>186228.53893112001</v>
      </c>
      <c r="BF104" s="289">
        <v>0</v>
      </c>
      <c r="BG104" s="289">
        <v>11</v>
      </c>
      <c r="BH104" s="289">
        <v>-62.587600000000002</v>
      </c>
      <c r="BI104" s="289">
        <v>1559</v>
      </c>
      <c r="BJ104" s="289">
        <v>-7.8856000000000002</v>
      </c>
      <c r="BK104" s="289">
        <v>0</v>
      </c>
      <c r="BL104" s="289">
        <v>0</v>
      </c>
      <c r="BM104" s="289">
        <v>0</v>
      </c>
      <c r="BN104" s="289">
        <v>0</v>
      </c>
      <c r="BO104" s="517">
        <v>0</v>
      </c>
      <c r="BP104" s="517">
        <v>0</v>
      </c>
      <c r="BQ104" s="289">
        <f t="shared" si="2"/>
        <v>-7.8855530268000003</v>
      </c>
      <c r="BR104" s="289">
        <v>0</v>
      </c>
      <c r="BS104" s="289">
        <f t="shared" si="3"/>
        <v>0</v>
      </c>
      <c r="BT104" s="289">
        <v>19</v>
      </c>
      <c r="BU104" s="289">
        <v>0</v>
      </c>
      <c r="BV104" s="289">
        <v>77</v>
      </c>
      <c r="BW104" s="289">
        <v>0</v>
      </c>
      <c r="BX104" s="289">
        <v>160.012</v>
      </c>
      <c r="CC104" s="517"/>
      <c r="CD104" s="85"/>
      <c r="CE104" s="517"/>
    </row>
    <row r="105" spans="1:83" ht="13">
      <c r="A105" s="1">
        <v>1529</v>
      </c>
      <c r="B105" s="2" t="s">
        <v>97</v>
      </c>
      <c r="C105" s="289">
        <v>4680</v>
      </c>
      <c r="D105" s="289">
        <v>131</v>
      </c>
      <c r="E105" s="289">
        <v>250</v>
      </c>
      <c r="F105" s="289">
        <v>636</v>
      </c>
      <c r="G105" s="289">
        <v>422</v>
      </c>
      <c r="H105" s="289">
        <v>2639</v>
      </c>
      <c r="I105" s="289">
        <v>427</v>
      </c>
      <c r="J105" s="289">
        <v>134</v>
      </c>
      <c r="K105" s="289">
        <v>31</v>
      </c>
      <c r="L105" s="289">
        <v>28</v>
      </c>
      <c r="M105" s="289">
        <v>225</v>
      </c>
      <c r="N105" s="290">
        <v>34</v>
      </c>
      <c r="O105" s="290">
        <v>33</v>
      </c>
      <c r="P105" s="624">
        <v>19270.875666669999</v>
      </c>
      <c r="Q105" s="624">
        <v>14720.447333329999</v>
      </c>
      <c r="R105" s="624">
        <v>21</v>
      </c>
      <c r="S105" s="289">
        <v>0</v>
      </c>
      <c r="T105" s="289">
        <v>289</v>
      </c>
      <c r="U105" s="716">
        <v>7.0393237037019653E-4</v>
      </c>
      <c r="V105" s="289">
        <v>-6220.9761960100004</v>
      </c>
      <c r="W105" s="743">
        <v>0.63088944000000002</v>
      </c>
      <c r="X105" s="289">
        <v>190</v>
      </c>
      <c r="Y105" s="289">
        <v>392</v>
      </c>
      <c r="Z105" s="289">
        <v>116891</v>
      </c>
      <c r="AA105" s="289">
        <v>0</v>
      </c>
      <c r="AB105" s="290">
        <v>80</v>
      </c>
      <c r="AC105" s="289">
        <v>0</v>
      </c>
      <c r="AD105" s="289">
        <v>327.29399999999998</v>
      </c>
      <c r="AE105" s="289">
        <v>1825</v>
      </c>
      <c r="AF105" s="289">
        <v>0</v>
      </c>
      <c r="AG105" s="289">
        <v>4670</v>
      </c>
      <c r="AH105" s="289">
        <v>751</v>
      </c>
      <c r="AI105" s="289">
        <v>580</v>
      </c>
      <c r="AJ105" s="289">
        <v>0</v>
      </c>
      <c r="AK105" s="289">
        <v>24.622199999999999</v>
      </c>
      <c r="AL105" s="289"/>
      <c r="AM105" s="622">
        <v>7.8468419999999997E-2</v>
      </c>
      <c r="AN105" s="289">
        <v>0</v>
      </c>
      <c r="AO105" s="289">
        <v>-232.64166076999999</v>
      </c>
      <c r="AP105" s="289">
        <v>0</v>
      </c>
      <c r="AQ105" s="289">
        <v>0</v>
      </c>
      <c r="AR105" s="289">
        <v>10203.979849470001</v>
      </c>
      <c r="AS105" s="289">
        <v>45.933999999999997</v>
      </c>
      <c r="AT105" s="289">
        <v>213</v>
      </c>
      <c r="AU105" s="289">
        <v>59</v>
      </c>
      <c r="AV105" s="625">
        <v>123542</v>
      </c>
      <c r="AW105" s="289">
        <v>177.14500000000001</v>
      </c>
      <c r="AX105" s="625">
        <v>47.75</v>
      </c>
      <c r="AY105" s="289">
        <v>903</v>
      </c>
      <c r="AZ105" s="289">
        <v>136</v>
      </c>
      <c r="BA105" s="290">
        <v>75</v>
      </c>
      <c r="BB105" s="289">
        <v>0</v>
      </c>
      <c r="BC105" s="289">
        <v>822</v>
      </c>
      <c r="BD105" s="289">
        <v>99.670599999999993</v>
      </c>
      <c r="BE105" s="289">
        <v>113528.15516520001</v>
      </c>
      <c r="BF105" s="289">
        <v>0</v>
      </c>
      <c r="BG105" s="289">
        <v>11</v>
      </c>
      <c r="BH105" s="289">
        <v>-38.047899999999998</v>
      </c>
      <c r="BI105" s="289">
        <v>1470.2940000000001</v>
      </c>
      <c r="BJ105" s="289">
        <v>506.30290000000002</v>
      </c>
      <c r="BK105" s="289">
        <v>1237</v>
      </c>
      <c r="BL105" s="289">
        <v>0</v>
      </c>
      <c r="BM105" s="289">
        <v>536</v>
      </c>
      <c r="BN105" s="289">
        <v>0</v>
      </c>
      <c r="BO105" s="517">
        <v>0</v>
      </c>
      <c r="BP105" s="289">
        <v>1872.4</v>
      </c>
      <c r="BQ105" s="289">
        <f t="shared" si="2"/>
        <v>-4.7937428579999999</v>
      </c>
      <c r="BR105" s="289">
        <v>2075.8530000000001</v>
      </c>
      <c r="BS105" s="289">
        <f t="shared" si="3"/>
        <v>1748.5590000000002</v>
      </c>
      <c r="BT105" s="289">
        <v>14</v>
      </c>
      <c r="BU105" s="289">
        <v>0</v>
      </c>
      <c r="BV105" s="289">
        <v>47</v>
      </c>
      <c r="BW105" s="289">
        <v>230.535</v>
      </c>
      <c r="BX105" s="289">
        <v>98.296000000000006</v>
      </c>
      <c r="CC105" s="517"/>
      <c r="CD105" s="85"/>
      <c r="CE105" s="517"/>
    </row>
    <row r="106" spans="1:83" ht="13">
      <c r="A106" s="1">
        <v>1531</v>
      </c>
      <c r="B106" s="2" t="s">
        <v>98</v>
      </c>
      <c r="C106" s="289">
        <v>9131</v>
      </c>
      <c r="D106" s="289">
        <v>239</v>
      </c>
      <c r="E106" s="289">
        <v>560</v>
      </c>
      <c r="F106" s="289">
        <v>1258</v>
      </c>
      <c r="G106" s="289">
        <v>779</v>
      </c>
      <c r="H106" s="289">
        <v>5002</v>
      </c>
      <c r="I106" s="289">
        <v>812</v>
      </c>
      <c r="J106" s="289">
        <v>327</v>
      </c>
      <c r="K106" s="289">
        <v>88</v>
      </c>
      <c r="L106" s="289">
        <v>67</v>
      </c>
      <c r="M106" s="289">
        <v>452</v>
      </c>
      <c r="N106" s="290">
        <v>71</v>
      </c>
      <c r="O106" s="290">
        <v>86</v>
      </c>
      <c r="P106" s="624">
        <v>21898.805</v>
      </c>
      <c r="Q106" s="624">
        <v>14611.905000000001</v>
      </c>
      <c r="R106" s="624">
        <v>53</v>
      </c>
      <c r="S106" s="289">
        <v>0</v>
      </c>
      <c r="T106" s="289">
        <v>570</v>
      </c>
      <c r="U106" s="716">
        <v>3.8738629906228712E-4</v>
      </c>
      <c r="V106" s="289">
        <v>2705.9939499100001</v>
      </c>
      <c r="W106" s="743">
        <v>0.56477739000000005</v>
      </c>
      <c r="X106" s="289">
        <v>760</v>
      </c>
      <c r="Y106" s="289">
        <v>392</v>
      </c>
      <c r="Z106" s="289">
        <v>225657</v>
      </c>
      <c r="AA106" s="289">
        <v>0</v>
      </c>
      <c r="AB106" s="290">
        <v>113</v>
      </c>
      <c r="AC106" s="289">
        <v>0</v>
      </c>
      <c r="AD106" s="289">
        <v>0</v>
      </c>
      <c r="AE106" s="289">
        <v>0</v>
      </c>
      <c r="AF106" s="289">
        <v>0</v>
      </c>
      <c r="AG106" s="289">
        <v>9065</v>
      </c>
      <c r="AH106" s="289">
        <v>1498</v>
      </c>
      <c r="AI106" s="289">
        <v>150</v>
      </c>
      <c r="AJ106" s="289">
        <v>0</v>
      </c>
      <c r="AK106" s="289">
        <v>52.2851</v>
      </c>
      <c r="AL106" s="289"/>
      <c r="AM106" s="622">
        <v>0.12655680999999999</v>
      </c>
      <c r="AN106" s="289">
        <v>0</v>
      </c>
      <c r="AO106" s="289">
        <v>-471.84080520999998</v>
      </c>
      <c r="AP106" s="289">
        <v>0</v>
      </c>
      <c r="AQ106" s="289">
        <v>0</v>
      </c>
      <c r="AR106" s="289">
        <v>-647.91358989000003</v>
      </c>
      <c r="AS106" s="289">
        <v>84.012799999999999</v>
      </c>
      <c r="AT106" s="289">
        <v>371</v>
      </c>
      <c r="AU106" s="289">
        <v>101</v>
      </c>
      <c r="AV106" s="625">
        <v>248080</v>
      </c>
      <c r="AW106" s="289">
        <v>-4.6032000000000002</v>
      </c>
      <c r="AX106" s="625">
        <v>71.5</v>
      </c>
      <c r="AY106" s="289">
        <v>1736</v>
      </c>
      <c r="AZ106" s="289">
        <v>274</v>
      </c>
      <c r="BA106" s="290">
        <v>205</v>
      </c>
      <c r="BB106" s="289">
        <v>0</v>
      </c>
      <c r="BC106" s="289">
        <v>1943</v>
      </c>
      <c r="BD106" s="289">
        <v>198.81030000000001</v>
      </c>
      <c r="BE106" s="289">
        <v>250825.34316019001</v>
      </c>
      <c r="BF106" s="289">
        <v>0</v>
      </c>
      <c r="BG106" s="289">
        <v>11</v>
      </c>
      <c r="BH106" s="289">
        <v>-73.8553</v>
      </c>
      <c r="BI106" s="289">
        <v>1890</v>
      </c>
      <c r="BJ106" s="289">
        <v>-9.3051999999999992</v>
      </c>
      <c r="BK106" s="289">
        <v>0</v>
      </c>
      <c r="BL106" s="289">
        <v>0</v>
      </c>
      <c r="BM106" s="289">
        <v>0</v>
      </c>
      <c r="BN106" s="289">
        <v>0</v>
      </c>
      <c r="BO106" s="517">
        <v>0</v>
      </c>
      <c r="BP106" s="517">
        <v>0</v>
      </c>
      <c r="BQ106" s="289">
        <f t="shared" si="2"/>
        <v>-9.3051989310000014</v>
      </c>
      <c r="BR106" s="289">
        <v>0</v>
      </c>
      <c r="BS106" s="289">
        <f t="shared" si="3"/>
        <v>0</v>
      </c>
      <c r="BT106" s="289">
        <v>30</v>
      </c>
      <c r="BU106" s="289">
        <v>0</v>
      </c>
      <c r="BV106" s="289">
        <v>85</v>
      </c>
      <c r="BW106" s="289">
        <v>0</v>
      </c>
      <c r="BX106" s="289">
        <v>191.69</v>
      </c>
      <c r="CC106" s="517"/>
      <c r="CD106" s="85"/>
      <c r="CE106" s="517"/>
    </row>
    <row r="107" spans="1:83" ht="13">
      <c r="A107" s="1">
        <v>1532</v>
      </c>
      <c r="B107" s="2" t="s">
        <v>99</v>
      </c>
      <c r="C107" s="289">
        <v>8292</v>
      </c>
      <c r="D107" s="289">
        <v>242</v>
      </c>
      <c r="E107" s="289">
        <v>485</v>
      </c>
      <c r="F107" s="289">
        <v>1197</v>
      </c>
      <c r="G107" s="289">
        <v>753</v>
      </c>
      <c r="H107" s="289">
        <v>4505</v>
      </c>
      <c r="I107" s="289">
        <v>761</v>
      </c>
      <c r="J107" s="289">
        <v>266</v>
      </c>
      <c r="K107" s="289">
        <v>58</v>
      </c>
      <c r="L107" s="289">
        <v>53</v>
      </c>
      <c r="M107" s="289">
        <v>398</v>
      </c>
      <c r="N107" s="290">
        <v>48</v>
      </c>
      <c r="O107" s="290">
        <v>77</v>
      </c>
      <c r="P107" s="624">
        <v>32541.089666669999</v>
      </c>
      <c r="Q107" s="624">
        <v>11493.349666669999</v>
      </c>
      <c r="R107" s="624">
        <v>21</v>
      </c>
      <c r="S107" s="289">
        <v>0</v>
      </c>
      <c r="T107" s="289">
        <v>476</v>
      </c>
      <c r="U107" s="716">
        <v>1.0044025378440225E-3</v>
      </c>
      <c r="V107" s="289">
        <v>2578.4786464700001</v>
      </c>
      <c r="W107" s="743">
        <v>0.61447936000000003</v>
      </c>
      <c r="X107" s="289">
        <v>330</v>
      </c>
      <c r="Y107" s="289">
        <v>392</v>
      </c>
      <c r="Z107" s="289">
        <v>225895</v>
      </c>
      <c r="AA107" s="289">
        <v>0</v>
      </c>
      <c r="AB107" s="290">
        <v>93</v>
      </c>
      <c r="AC107" s="289">
        <v>0</v>
      </c>
      <c r="AD107" s="289">
        <v>0</v>
      </c>
      <c r="AE107" s="289">
        <v>2094</v>
      </c>
      <c r="AF107" s="289">
        <v>0</v>
      </c>
      <c r="AG107" s="289">
        <v>8267</v>
      </c>
      <c r="AH107" s="289">
        <v>1405</v>
      </c>
      <c r="AI107" s="289">
        <v>640</v>
      </c>
      <c r="AJ107" s="289">
        <v>0</v>
      </c>
      <c r="AK107" s="289">
        <v>45.672899999999998</v>
      </c>
      <c r="AL107" s="289"/>
      <c r="AM107" s="622">
        <v>0.11355655000000001</v>
      </c>
      <c r="AN107" s="289">
        <v>0</v>
      </c>
      <c r="AO107" s="289">
        <v>-406.37002231000002</v>
      </c>
      <c r="AP107" s="289">
        <v>0</v>
      </c>
      <c r="AQ107" s="289">
        <v>0</v>
      </c>
      <c r="AR107" s="289">
        <v>-590.87718121</v>
      </c>
      <c r="AS107" s="289">
        <v>71.838399999999993</v>
      </c>
      <c r="AT107" s="289">
        <v>353</v>
      </c>
      <c r="AU107" s="289">
        <v>96</v>
      </c>
      <c r="AV107" s="625">
        <v>203548</v>
      </c>
      <c r="AW107" s="289">
        <v>-4.1980000000000004</v>
      </c>
      <c r="AX107" s="625">
        <v>65.416666669999998</v>
      </c>
      <c r="AY107" s="289">
        <v>1582</v>
      </c>
      <c r="AZ107" s="289">
        <v>224</v>
      </c>
      <c r="BA107" s="290">
        <v>206</v>
      </c>
      <c r="BB107" s="289">
        <v>0</v>
      </c>
      <c r="BC107" s="289">
        <v>1837</v>
      </c>
      <c r="BD107" s="289">
        <v>186.4676</v>
      </c>
      <c r="BE107" s="289">
        <v>206050.42804530999</v>
      </c>
      <c r="BF107" s="289">
        <v>0</v>
      </c>
      <c r="BG107" s="289">
        <v>11</v>
      </c>
      <c r="BH107" s="289">
        <v>-67.353800000000007</v>
      </c>
      <c r="BI107" s="289">
        <v>1797</v>
      </c>
      <c r="BJ107" s="289">
        <v>-8.4861000000000004</v>
      </c>
      <c r="BK107" s="289">
        <v>0</v>
      </c>
      <c r="BL107" s="289">
        <v>0</v>
      </c>
      <c r="BM107" s="289">
        <v>0</v>
      </c>
      <c r="BN107" s="289">
        <v>0</v>
      </c>
      <c r="BO107" s="517">
        <v>0</v>
      </c>
      <c r="BP107" s="517">
        <v>0</v>
      </c>
      <c r="BQ107" s="289">
        <f t="shared" si="2"/>
        <v>-8.4860540057999998</v>
      </c>
      <c r="BR107" s="289">
        <v>0</v>
      </c>
      <c r="BS107" s="289">
        <f t="shared" si="3"/>
        <v>0</v>
      </c>
      <c r="BT107" s="289">
        <v>26</v>
      </c>
      <c r="BU107" s="289">
        <v>0</v>
      </c>
      <c r="BV107" s="289">
        <v>79</v>
      </c>
      <c r="BW107" s="289">
        <v>157.18299999999999</v>
      </c>
      <c r="BX107" s="289">
        <v>173.95</v>
      </c>
      <c r="CC107" s="517"/>
      <c r="CD107" s="85"/>
      <c r="CE107" s="517"/>
    </row>
    <row r="108" spans="1:83" ht="13">
      <c r="A108" s="1">
        <v>1534</v>
      </c>
      <c r="B108" s="2" t="s">
        <v>100</v>
      </c>
      <c r="C108" s="289">
        <v>9345</v>
      </c>
      <c r="D108" s="289">
        <v>219</v>
      </c>
      <c r="E108" s="289">
        <v>436</v>
      </c>
      <c r="F108" s="289">
        <v>1161</v>
      </c>
      <c r="G108" s="289">
        <v>827</v>
      </c>
      <c r="H108" s="289">
        <v>5099</v>
      </c>
      <c r="I108" s="289">
        <v>1045</v>
      </c>
      <c r="J108" s="289">
        <v>415</v>
      </c>
      <c r="K108" s="289">
        <v>122</v>
      </c>
      <c r="L108" s="289">
        <v>62</v>
      </c>
      <c r="M108" s="289">
        <v>637</v>
      </c>
      <c r="N108" s="290">
        <v>159</v>
      </c>
      <c r="O108" s="290">
        <v>149</v>
      </c>
      <c r="P108" s="624">
        <v>68452.248000000007</v>
      </c>
      <c r="Q108" s="624">
        <v>29945.40633333</v>
      </c>
      <c r="R108" s="624">
        <v>27</v>
      </c>
      <c r="S108" s="289">
        <v>0</v>
      </c>
      <c r="T108" s="289">
        <v>614</v>
      </c>
      <c r="U108" s="716">
        <v>2.3297838650617924E-3</v>
      </c>
      <c r="V108" s="289">
        <v>-6364.6346411699997</v>
      </c>
      <c r="W108" s="743">
        <v>0.76483069000000004</v>
      </c>
      <c r="X108" s="289">
        <v>3153</v>
      </c>
      <c r="Y108" s="289">
        <v>392</v>
      </c>
      <c r="Z108" s="289">
        <v>248949</v>
      </c>
      <c r="AA108" s="289">
        <v>0</v>
      </c>
      <c r="AB108" s="290">
        <v>132</v>
      </c>
      <c r="AC108" s="289">
        <v>0</v>
      </c>
      <c r="AD108" s="289">
        <v>1945.296</v>
      </c>
      <c r="AE108" s="289">
        <v>0</v>
      </c>
      <c r="AF108" s="289">
        <v>0</v>
      </c>
      <c r="AG108" s="289">
        <v>9324</v>
      </c>
      <c r="AH108" s="289">
        <v>1375</v>
      </c>
      <c r="AI108" s="289">
        <v>160</v>
      </c>
      <c r="AJ108" s="289">
        <v>0</v>
      </c>
      <c r="AK108" s="289">
        <v>42.346200000000003</v>
      </c>
      <c r="AL108" s="289"/>
      <c r="AM108" s="622">
        <v>0.25060364000000002</v>
      </c>
      <c r="AN108" s="289">
        <v>0</v>
      </c>
      <c r="AO108" s="289">
        <v>-475.20275468</v>
      </c>
      <c r="AP108" s="289">
        <v>0</v>
      </c>
      <c r="AQ108" s="289">
        <v>0</v>
      </c>
      <c r="AR108" s="289">
        <v>-666.42540674999998</v>
      </c>
      <c r="AS108" s="289">
        <v>102.3331</v>
      </c>
      <c r="AT108" s="289">
        <v>405</v>
      </c>
      <c r="AU108" s="289">
        <v>152</v>
      </c>
      <c r="AV108" s="625">
        <v>230147</v>
      </c>
      <c r="AW108" s="289">
        <v>-4.7347000000000001</v>
      </c>
      <c r="AX108" s="625">
        <v>75.125</v>
      </c>
      <c r="AY108" s="289">
        <v>1539</v>
      </c>
      <c r="AZ108" s="289">
        <v>353</v>
      </c>
      <c r="BA108" s="290">
        <v>175</v>
      </c>
      <c r="BB108" s="289">
        <v>0</v>
      </c>
      <c r="BC108" s="289">
        <v>2128</v>
      </c>
      <c r="BD108" s="289">
        <v>182.48609999999999</v>
      </c>
      <c r="BE108" s="289">
        <v>243648.6933177</v>
      </c>
      <c r="BF108" s="289">
        <v>0</v>
      </c>
      <c r="BG108" s="289">
        <v>11</v>
      </c>
      <c r="BH108" s="289">
        <v>-75.965500000000006</v>
      </c>
      <c r="BI108" s="289">
        <v>3712.2959999999998</v>
      </c>
      <c r="BJ108" s="289">
        <v>-170.46510000000001</v>
      </c>
      <c r="BK108" s="289">
        <v>0</v>
      </c>
      <c r="BL108" s="289">
        <v>0</v>
      </c>
      <c r="BM108" s="289">
        <v>1070</v>
      </c>
      <c r="BN108" s="289">
        <v>0</v>
      </c>
      <c r="BO108" s="517">
        <v>0</v>
      </c>
      <c r="BP108" s="517">
        <v>0</v>
      </c>
      <c r="BQ108" s="289">
        <f t="shared" si="2"/>
        <v>-9.5710617576000008</v>
      </c>
      <c r="BR108" s="289">
        <v>1784.402</v>
      </c>
      <c r="BS108" s="289">
        <f t="shared" si="3"/>
        <v>-160.89400000000001</v>
      </c>
      <c r="BT108" s="289">
        <v>24</v>
      </c>
      <c r="BU108" s="289">
        <v>0</v>
      </c>
      <c r="BV108" s="289">
        <v>98</v>
      </c>
      <c r="BW108" s="289">
        <v>0</v>
      </c>
      <c r="BX108" s="289">
        <v>194.411</v>
      </c>
      <c r="CC108" s="517"/>
      <c r="CD108" s="85"/>
      <c r="CE108" s="517"/>
    </row>
    <row r="109" spans="1:83" ht="13">
      <c r="A109" s="1">
        <v>1535</v>
      </c>
      <c r="B109" s="2" t="s">
        <v>101</v>
      </c>
      <c r="C109" s="289">
        <v>6559</v>
      </c>
      <c r="D109" s="289">
        <v>125</v>
      </c>
      <c r="E109" s="289">
        <v>261</v>
      </c>
      <c r="F109" s="289">
        <v>769</v>
      </c>
      <c r="G109" s="289">
        <v>609</v>
      </c>
      <c r="H109" s="289">
        <v>3695</v>
      </c>
      <c r="I109" s="289">
        <v>802</v>
      </c>
      <c r="J109" s="289">
        <v>266</v>
      </c>
      <c r="K109" s="289">
        <v>71</v>
      </c>
      <c r="L109" s="289">
        <v>58</v>
      </c>
      <c r="M109" s="289">
        <v>503</v>
      </c>
      <c r="N109" s="290">
        <v>16</v>
      </c>
      <c r="O109" s="290">
        <v>62</v>
      </c>
      <c r="P109" s="624">
        <v>50632.726000000002</v>
      </c>
      <c r="Q109" s="624">
        <v>17092.945666669999</v>
      </c>
      <c r="R109" s="624">
        <v>31</v>
      </c>
      <c r="S109" s="289">
        <v>0</v>
      </c>
      <c r="T109" s="289">
        <v>510</v>
      </c>
      <c r="U109" s="716">
        <v>2.4700904136355966E-3</v>
      </c>
      <c r="V109" s="289">
        <v>-3012.0974946400001</v>
      </c>
      <c r="W109" s="743">
        <v>0.71188940999999994</v>
      </c>
      <c r="X109" s="289">
        <v>2360</v>
      </c>
      <c r="Y109" s="289">
        <v>392</v>
      </c>
      <c r="Z109" s="289">
        <v>176646</v>
      </c>
      <c r="AA109" s="289">
        <v>-5727.0260860799999</v>
      </c>
      <c r="AB109" s="290">
        <v>119</v>
      </c>
      <c r="AC109" s="289">
        <v>0</v>
      </c>
      <c r="AD109" s="289">
        <v>0</v>
      </c>
      <c r="AE109" s="289">
        <v>0</v>
      </c>
      <c r="AF109" s="289">
        <v>0</v>
      </c>
      <c r="AG109" s="289">
        <v>6598</v>
      </c>
      <c r="AH109" s="289">
        <v>900</v>
      </c>
      <c r="AI109" s="289">
        <v>120</v>
      </c>
      <c r="AJ109" s="289">
        <v>0</v>
      </c>
      <c r="AK109" s="289">
        <v>24.687100000000001</v>
      </c>
      <c r="AL109" s="289"/>
      <c r="AM109" s="622">
        <v>0.18148764000000001</v>
      </c>
      <c r="AN109" s="289">
        <v>5009</v>
      </c>
      <c r="AO109" s="289">
        <v>-332.87931706000001</v>
      </c>
      <c r="AP109" s="289">
        <v>0</v>
      </c>
      <c r="AQ109" s="289">
        <v>0</v>
      </c>
      <c r="AR109" s="289">
        <v>-471.5867475</v>
      </c>
      <c r="AS109" s="289">
        <v>72.604699999999994</v>
      </c>
      <c r="AT109" s="289">
        <v>287</v>
      </c>
      <c r="AU109" s="289">
        <v>94</v>
      </c>
      <c r="AV109" s="625">
        <v>155539</v>
      </c>
      <c r="AW109" s="289">
        <v>-3.3504</v>
      </c>
      <c r="AX109" s="625">
        <v>31.458333339999999</v>
      </c>
      <c r="AY109" s="289">
        <v>1013</v>
      </c>
      <c r="AZ109" s="289">
        <v>291</v>
      </c>
      <c r="BA109" s="290">
        <v>177</v>
      </c>
      <c r="BB109" s="289">
        <v>0</v>
      </c>
      <c r="BC109" s="289">
        <v>-6864.8451550899999</v>
      </c>
      <c r="BD109" s="289">
        <v>119.4455</v>
      </c>
      <c r="BE109" s="289">
        <v>167738.01257061999</v>
      </c>
      <c r="BF109" s="289">
        <v>0</v>
      </c>
      <c r="BG109" s="289">
        <v>11</v>
      </c>
      <c r="BH109" s="289">
        <v>-53.755899999999997</v>
      </c>
      <c r="BI109" s="289">
        <v>-4435.0260860799999</v>
      </c>
      <c r="BJ109" s="289">
        <v>-6.7728000000000002</v>
      </c>
      <c r="BK109" s="289">
        <v>0</v>
      </c>
      <c r="BL109" s="289">
        <v>0</v>
      </c>
      <c r="BM109" s="289">
        <v>0</v>
      </c>
      <c r="BN109" s="289">
        <v>0</v>
      </c>
      <c r="BO109" s="517">
        <v>0</v>
      </c>
      <c r="BP109" s="517">
        <v>0</v>
      </c>
      <c r="BQ109" s="289">
        <f t="shared" si="2"/>
        <v>-6.7728298451999995</v>
      </c>
      <c r="BR109" s="289">
        <v>0</v>
      </c>
      <c r="BS109" s="289">
        <f t="shared" si="3"/>
        <v>0</v>
      </c>
      <c r="BT109" s="289">
        <v>14</v>
      </c>
      <c r="BU109" s="289">
        <v>0</v>
      </c>
      <c r="BV109" s="289">
        <v>70</v>
      </c>
      <c r="BW109" s="289">
        <v>230.535</v>
      </c>
      <c r="BX109" s="289">
        <v>136.26900000000001</v>
      </c>
      <c r="CC109" s="517"/>
      <c r="CD109" s="85"/>
      <c r="CE109" s="517"/>
    </row>
    <row r="110" spans="1:83" ht="13">
      <c r="A110" s="1">
        <v>1539</v>
      </c>
      <c r="B110" s="2" t="s">
        <v>102</v>
      </c>
      <c r="C110" s="289">
        <v>7507</v>
      </c>
      <c r="D110" s="289">
        <v>160</v>
      </c>
      <c r="E110" s="289">
        <v>332</v>
      </c>
      <c r="F110" s="289">
        <v>905</v>
      </c>
      <c r="G110" s="289">
        <v>613</v>
      </c>
      <c r="H110" s="289">
        <v>4056</v>
      </c>
      <c r="I110" s="289">
        <v>963</v>
      </c>
      <c r="J110" s="289">
        <v>370</v>
      </c>
      <c r="K110" s="289">
        <v>116</v>
      </c>
      <c r="L110" s="289">
        <v>54</v>
      </c>
      <c r="M110" s="289">
        <v>648</v>
      </c>
      <c r="N110" s="290">
        <v>4</v>
      </c>
      <c r="O110" s="290">
        <v>60</v>
      </c>
      <c r="P110" s="624">
        <v>72548.554333330001</v>
      </c>
      <c r="Q110" s="624">
        <v>20374.533666669999</v>
      </c>
      <c r="R110" s="624">
        <v>35</v>
      </c>
      <c r="S110" s="289">
        <v>0</v>
      </c>
      <c r="T110" s="289">
        <v>582</v>
      </c>
      <c r="U110" s="716">
        <v>3.9402230461181775E-3</v>
      </c>
      <c r="V110" s="289">
        <v>-380.37736216000002</v>
      </c>
      <c r="W110" s="743">
        <v>0.74374448000000004</v>
      </c>
      <c r="X110" s="289">
        <v>330</v>
      </c>
      <c r="Y110" s="289">
        <v>392</v>
      </c>
      <c r="Z110" s="289">
        <v>207857</v>
      </c>
      <c r="AA110" s="289">
        <v>0</v>
      </c>
      <c r="AB110" s="290">
        <v>138</v>
      </c>
      <c r="AC110" s="289">
        <v>0</v>
      </c>
      <c r="AD110" s="289">
        <v>0</v>
      </c>
      <c r="AE110" s="289">
        <v>0</v>
      </c>
      <c r="AF110" s="289">
        <v>0</v>
      </c>
      <c r="AG110" s="289">
        <v>7515</v>
      </c>
      <c r="AH110" s="289">
        <v>1025</v>
      </c>
      <c r="AI110" s="289">
        <v>8130</v>
      </c>
      <c r="AJ110" s="289">
        <v>0</v>
      </c>
      <c r="AK110" s="289">
        <v>32.507300000000001</v>
      </c>
      <c r="AL110" s="289"/>
      <c r="AM110" s="622">
        <v>0.12879562999999999</v>
      </c>
      <c r="AN110" s="289">
        <v>5613</v>
      </c>
      <c r="AO110" s="289">
        <v>-400.57617733000001</v>
      </c>
      <c r="AP110" s="289">
        <v>0</v>
      </c>
      <c r="AQ110" s="289">
        <v>0</v>
      </c>
      <c r="AR110" s="289">
        <v>-537.12858556000003</v>
      </c>
      <c r="AS110" s="289">
        <v>76.402500000000003</v>
      </c>
      <c r="AT110" s="289">
        <v>319</v>
      </c>
      <c r="AU110" s="289">
        <v>119</v>
      </c>
      <c r="AV110" s="625">
        <v>212926</v>
      </c>
      <c r="AW110" s="289">
        <v>-3.8161</v>
      </c>
      <c r="AX110" s="625">
        <v>57.916666669999998</v>
      </c>
      <c r="AY110" s="289">
        <v>1273</v>
      </c>
      <c r="AZ110" s="289">
        <v>191</v>
      </c>
      <c r="BA110" s="290">
        <v>149</v>
      </c>
      <c r="BB110" s="289">
        <v>0</v>
      </c>
      <c r="BC110" s="289">
        <v>1564</v>
      </c>
      <c r="BD110" s="289">
        <v>136.0351</v>
      </c>
      <c r="BE110" s="289">
        <v>220156.60914633999</v>
      </c>
      <c r="BF110" s="289">
        <v>0</v>
      </c>
      <c r="BG110" s="289">
        <v>11</v>
      </c>
      <c r="BH110" s="289">
        <v>-61.226999999999997</v>
      </c>
      <c r="BI110" s="289">
        <v>1417</v>
      </c>
      <c r="BJ110" s="289">
        <v>-7.7141000000000002</v>
      </c>
      <c r="BK110" s="289">
        <v>0</v>
      </c>
      <c r="BL110" s="289">
        <v>0</v>
      </c>
      <c r="BM110" s="289">
        <v>0</v>
      </c>
      <c r="BN110" s="289">
        <v>0</v>
      </c>
      <c r="BO110" s="517">
        <v>0</v>
      </c>
      <c r="BP110" s="517">
        <v>0</v>
      </c>
      <c r="BQ110" s="289">
        <f t="shared" si="2"/>
        <v>-7.714127961</v>
      </c>
      <c r="BR110" s="289">
        <v>0</v>
      </c>
      <c r="BS110" s="289">
        <f t="shared" si="3"/>
        <v>0</v>
      </c>
      <c r="BT110" s="289">
        <v>19</v>
      </c>
      <c r="BU110" s="289">
        <v>0</v>
      </c>
      <c r="BV110" s="289">
        <v>82</v>
      </c>
      <c r="BW110" s="289">
        <v>261.971</v>
      </c>
      <c r="BX110" s="289">
        <v>155.50399999999999</v>
      </c>
      <c r="CC110" s="517"/>
      <c r="CD110" s="85"/>
      <c r="CE110" s="517"/>
    </row>
    <row r="111" spans="1:83" ht="13">
      <c r="A111" s="1">
        <v>1543</v>
      </c>
      <c r="B111" s="2" t="s">
        <v>103</v>
      </c>
      <c r="C111" s="289">
        <v>2946</v>
      </c>
      <c r="D111" s="289">
        <v>61</v>
      </c>
      <c r="E111" s="289">
        <v>110</v>
      </c>
      <c r="F111" s="289">
        <v>308</v>
      </c>
      <c r="G111" s="289">
        <v>279</v>
      </c>
      <c r="H111" s="289">
        <v>1618</v>
      </c>
      <c r="I111" s="289">
        <v>393</v>
      </c>
      <c r="J111" s="289">
        <v>161</v>
      </c>
      <c r="K111" s="289">
        <v>45</v>
      </c>
      <c r="L111" s="289">
        <v>22</v>
      </c>
      <c r="M111" s="289">
        <v>286</v>
      </c>
      <c r="N111" s="290">
        <v>3</v>
      </c>
      <c r="O111" s="290">
        <v>19</v>
      </c>
      <c r="P111" s="624">
        <v>30606.314999999999</v>
      </c>
      <c r="Q111" s="624">
        <v>11056.53233333</v>
      </c>
      <c r="R111" s="624">
        <v>19</v>
      </c>
      <c r="S111" s="289">
        <v>0</v>
      </c>
      <c r="T111" s="289">
        <v>189</v>
      </c>
      <c r="U111" s="716">
        <v>2.4704499798242617E-3</v>
      </c>
      <c r="V111" s="289">
        <v>1193.94142687</v>
      </c>
      <c r="W111" s="743">
        <v>0.92101522000000002</v>
      </c>
      <c r="X111" s="289">
        <v>1435</v>
      </c>
      <c r="Y111" s="289">
        <v>392</v>
      </c>
      <c r="Z111" s="289">
        <v>81794</v>
      </c>
      <c r="AA111" s="289">
        <v>-2335.0718697399998</v>
      </c>
      <c r="AB111" s="290">
        <v>57</v>
      </c>
      <c r="AC111" s="289">
        <v>0</v>
      </c>
      <c r="AD111" s="289">
        <v>0</v>
      </c>
      <c r="AE111" s="289">
        <v>0</v>
      </c>
      <c r="AF111" s="289">
        <v>0</v>
      </c>
      <c r="AG111" s="289">
        <v>2975</v>
      </c>
      <c r="AH111" s="289">
        <v>381</v>
      </c>
      <c r="AI111" s="289">
        <v>50</v>
      </c>
      <c r="AJ111" s="289">
        <v>0</v>
      </c>
      <c r="AK111" s="289">
        <v>10.7125</v>
      </c>
      <c r="AL111" s="289"/>
      <c r="AM111" s="622">
        <v>4.3782649999999999E-2</v>
      </c>
      <c r="AN111" s="289">
        <v>0</v>
      </c>
      <c r="AO111" s="289">
        <v>-166.06275466</v>
      </c>
      <c r="AP111" s="289">
        <v>0</v>
      </c>
      <c r="AQ111" s="289">
        <v>0</v>
      </c>
      <c r="AR111" s="289">
        <v>-212.63573414000001</v>
      </c>
      <c r="AS111" s="289">
        <v>28.079899999999999</v>
      </c>
      <c r="AT111" s="289">
        <v>88</v>
      </c>
      <c r="AU111" s="289">
        <v>48</v>
      </c>
      <c r="AV111" s="625">
        <v>95427</v>
      </c>
      <c r="AW111" s="289">
        <v>-1.5106999999999999</v>
      </c>
      <c r="AX111" s="625">
        <v>18.708333329999999</v>
      </c>
      <c r="AY111" s="289">
        <v>409</v>
      </c>
      <c r="AZ111" s="289">
        <v>91</v>
      </c>
      <c r="BA111" s="290">
        <v>51</v>
      </c>
      <c r="BB111" s="289">
        <v>5543</v>
      </c>
      <c r="BC111" s="289">
        <v>-2528.8477627799998</v>
      </c>
      <c r="BD111" s="289">
        <v>50.565199999999997</v>
      </c>
      <c r="BE111" s="289">
        <v>99186.163664530002</v>
      </c>
      <c r="BF111" s="289">
        <v>0</v>
      </c>
      <c r="BG111" s="289">
        <v>11</v>
      </c>
      <c r="BH111" s="289">
        <v>-24.238199999999999</v>
      </c>
      <c r="BI111" s="289">
        <v>-1562.07186974</v>
      </c>
      <c r="BJ111" s="289">
        <v>-3.0537999999999998</v>
      </c>
      <c r="BK111" s="289">
        <v>0</v>
      </c>
      <c r="BL111" s="289">
        <v>0</v>
      </c>
      <c r="BM111" s="289">
        <v>489</v>
      </c>
      <c r="BN111" s="289">
        <v>0</v>
      </c>
      <c r="BO111" s="517">
        <v>0</v>
      </c>
      <c r="BP111" s="517">
        <v>0</v>
      </c>
      <c r="BQ111" s="289">
        <f t="shared" si="2"/>
        <v>-3.0538297650000001</v>
      </c>
      <c r="BR111" s="289">
        <v>0</v>
      </c>
      <c r="BS111" s="289">
        <f t="shared" si="3"/>
        <v>0</v>
      </c>
      <c r="BT111" s="289">
        <v>6</v>
      </c>
      <c r="BU111" s="289">
        <v>0</v>
      </c>
      <c r="BV111" s="289">
        <v>38</v>
      </c>
      <c r="BW111" s="289">
        <v>157.18299999999999</v>
      </c>
      <c r="BX111" s="289">
        <v>61.57</v>
      </c>
      <c r="CC111" s="517"/>
      <c r="CD111" s="85"/>
      <c r="CE111" s="517"/>
    </row>
    <row r="112" spans="1:83" ht="13">
      <c r="A112" s="1">
        <v>1545</v>
      </c>
      <c r="B112" s="2" t="s">
        <v>104</v>
      </c>
      <c r="C112" s="289">
        <v>2049</v>
      </c>
      <c r="D112" s="289">
        <v>34</v>
      </c>
      <c r="E112" s="289">
        <v>114</v>
      </c>
      <c r="F112" s="289">
        <v>283</v>
      </c>
      <c r="G112" s="289">
        <v>194</v>
      </c>
      <c r="H112" s="289">
        <v>1045</v>
      </c>
      <c r="I112" s="289">
        <v>265</v>
      </c>
      <c r="J112" s="289">
        <v>115</v>
      </c>
      <c r="K112" s="289">
        <v>31</v>
      </c>
      <c r="L112" s="289">
        <v>12</v>
      </c>
      <c r="M112" s="289">
        <v>144</v>
      </c>
      <c r="N112" s="290">
        <v>16</v>
      </c>
      <c r="O112" s="290">
        <v>31</v>
      </c>
      <c r="P112" s="624">
        <v>11020.516</v>
      </c>
      <c r="Q112" s="624">
        <v>7088.8553333299997</v>
      </c>
      <c r="R112" s="624">
        <v>11</v>
      </c>
      <c r="S112" s="289">
        <v>0</v>
      </c>
      <c r="T112" s="289">
        <v>123</v>
      </c>
      <c r="U112" s="716">
        <v>7.9107085394624092E-4</v>
      </c>
      <c r="V112" s="289">
        <v>-2518.8975370399999</v>
      </c>
      <c r="W112" s="743">
        <v>0.94120442000000004</v>
      </c>
      <c r="X112" s="289">
        <v>1222</v>
      </c>
      <c r="Y112" s="289">
        <v>392</v>
      </c>
      <c r="Z112" s="289">
        <v>54739</v>
      </c>
      <c r="AA112" s="289">
        <v>0</v>
      </c>
      <c r="AB112" s="290">
        <v>38</v>
      </c>
      <c r="AC112" s="289">
        <v>0</v>
      </c>
      <c r="AD112" s="289">
        <v>264.70800000000003</v>
      </c>
      <c r="AE112" s="289">
        <v>0</v>
      </c>
      <c r="AF112" s="289">
        <v>0</v>
      </c>
      <c r="AG112" s="289">
        <v>2081</v>
      </c>
      <c r="AH112" s="289">
        <v>338</v>
      </c>
      <c r="AI112" s="289">
        <v>0</v>
      </c>
      <c r="AJ112" s="289">
        <v>0</v>
      </c>
      <c r="AK112" s="289">
        <v>9.9490999999999996</v>
      </c>
      <c r="AL112" s="289"/>
      <c r="AM112" s="622">
        <v>3.5147940000000003E-2</v>
      </c>
      <c r="AN112" s="289">
        <v>0</v>
      </c>
      <c r="AO112" s="289">
        <v>-127.00146496000001</v>
      </c>
      <c r="AP112" s="289">
        <v>0</v>
      </c>
      <c r="AQ112" s="289">
        <v>0</v>
      </c>
      <c r="AR112" s="289">
        <v>-148.73780260000001</v>
      </c>
      <c r="AS112" s="289">
        <v>19.786899999999999</v>
      </c>
      <c r="AT112" s="289">
        <v>107</v>
      </c>
      <c r="AU112" s="289">
        <v>28</v>
      </c>
      <c r="AV112" s="625">
        <v>76570</v>
      </c>
      <c r="AW112" s="289">
        <v>-1.0567</v>
      </c>
      <c r="AX112" s="625">
        <v>5.8333333300000003</v>
      </c>
      <c r="AY112" s="289">
        <v>288</v>
      </c>
      <c r="AZ112" s="289">
        <v>51</v>
      </c>
      <c r="BA112" s="290">
        <v>68</v>
      </c>
      <c r="BB112" s="289">
        <v>2772</v>
      </c>
      <c r="BC112" s="289">
        <v>776</v>
      </c>
      <c r="BD112" s="289">
        <v>44.858400000000003</v>
      </c>
      <c r="BE112" s="289">
        <v>78375.634845740002</v>
      </c>
      <c r="BF112" s="289">
        <v>0</v>
      </c>
      <c r="BG112" s="289">
        <v>11</v>
      </c>
      <c r="BH112" s="289">
        <v>-16.954499999999999</v>
      </c>
      <c r="BI112" s="289">
        <v>994.70799999999997</v>
      </c>
      <c r="BJ112" s="289">
        <v>174.1575</v>
      </c>
      <c r="BK112" s="289">
        <v>427</v>
      </c>
      <c r="BL112" s="289">
        <v>0</v>
      </c>
      <c r="BM112" s="289">
        <v>344</v>
      </c>
      <c r="BN112" s="289">
        <v>0</v>
      </c>
      <c r="BO112" s="517">
        <v>0</v>
      </c>
      <c r="BP112" s="289">
        <v>818.8</v>
      </c>
      <c r="BQ112" s="289">
        <f t="shared" si="2"/>
        <v>-2.1361410894000001</v>
      </c>
      <c r="BR112" s="289">
        <v>867.84199999999998</v>
      </c>
      <c r="BS112" s="289">
        <f t="shared" si="3"/>
        <v>603.13400000000001</v>
      </c>
      <c r="BT112" s="289">
        <v>6</v>
      </c>
      <c r="BU112" s="289">
        <v>0</v>
      </c>
      <c r="BV112" s="289">
        <v>29</v>
      </c>
      <c r="BW112" s="289">
        <v>0</v>
      </c>
      <c r="BX112" s="289">
        <v>42.023000000000003</v>
      </c>
      <c r="CC112" s="517"/>
      <c r="CD112" s="85"/>
      <c r="CE112" s="517"/>
    </row>
    <row r="113" spans="1:83" ht="13">
      <c r="A113" s="1">
        <v>1546</v>
      </c>
      <c r="B113" s="2" t="s">
        <v>105</v>
      </c>
      <c r="C113" s="289">
        <v>1263</v>
      </c>
      <c r="D113" s="289">
        <v>16</v>
      </c>
      <c r="E113" s="289">
        <v>46</v>
      </c>
      <c r="F113" s="289">
        <v>158</v>
      </c>
      <c r="G113" s="289">
        <v>106</v>
      </c>
      <c r="H113" s="289">
        <v>671</v>
      </c>
      <c r="I113" s="289">
        <v>161</v>
      </c>
      <c r="J113" s="289">
        <v>72</v>
      </c>
      <c r="K113" s="289">
        <v>21</v>
      </c>
      <c r="L113" s="289">
        <v>9</v>
      </c>
      <c r="M113" s="289">
        <v>114</v>
      </c>
      <c r="N113" s="290">
        <v>0</v>
      </c>
      <c r="O113" s="290">
        <v>15</v>
      </c>
      <c r="P113" s="624">
        <v>4809.674</v>
      </c>
      <c r="Q113" s="624">
        <v>3952.9146666699999</v>
      </c>
      <c r="R113" s="624">
        <v>3</v>
      </c>
      <c r="S113" s="289">
        <v>0</v>
      </c>
      <c r="T113" s="289">
        <v>94</v>
      </c>
      <c r="U113" s="716">
        <v>3.8949804533127904E-4</v>
      </c>
      <c r="V113" s="289">
        <v>552.56842452000001</v>
      </c>
      <c r="W113" s="743">
        <v>1</v>
      </c>
      <c r="X113" s="289">
        <v>400</v>
      </c>
      <c r="Y113" s="289">
        <v>0</v>
      </c>
      <c r="Z113" s="289">
        <v>39378</v>
      </c>
      <c r="AA113" s="289">
        <v>0</v>
      </c>
      <c r="AB113" s="290">
        <v>11</v>
      </c>
      <c r="AC113" s="289">
        <v>0</v>
      </c>
      <c r="AD113" s="289">
        <v>0</v>
      </c>
      <c r="AE113" s="289">
        <v>0</v>
      </c>
      <c r="AF113" s="289">
        <v>0</v>
      </c>
      <c r="AG113" s="289">
        <v>1251</v>
      </c>
      <c r="AH113" s="289">
        <v>172</v>
      </c>
      <c r="AI113" s="289">
        <v>20</v>
      </c>
      <c r="AJ113" s="289">
        <v>0</v>
      </c>
      <c r="AK113" s="289">
        <v>4.3438999999999997</v>
      </c>
      <c r="AL113" s="289"/>
      <c r="AM113" s="622">
        <v>8.5216500000000004E-3</v>
      </c>
      <c r="AN113" s="289">
        <v>0</v>
      </c>
      <c r="AO113" s="289">
        <v>-76.855558110000004</v>
      </c>
      <c r="AP113" s="289">
        <v>0</v>
      </c>
      <c r="AQ113" s="289">
        <v>0</v>
      </c>
      <c r="AR113" s="289">
        <v>1757.1031281999999</v>
      </c>
      <c r="AS113" s="289">
        <v>10.718999999999999</v>
      </c>
      <c r="AT113" s="289">
        <v>49</v>
      </c>
      <c r="AU113" s="289">
        <v>10</v>
      </c>
      <c r="AV113" s="625">
        <v>53900</v>
      </c>
      <c r="AW113" s="289">
        <v>44.661799999999999</v>
      </c>
      <c r="AX113" s="625">
        <v>5.4166666699999997</v>
      </c>
      <c r="AY113" s="289">
        <v>179</v>
      </c>
      <c r="AZ113" s="289">
        <v>27</v>
      </c>
      <c r="BA113" s="290">
        <v>12</v>
      </c>
      <c r="BB113" s="289">
        <v>4990</v>
      </c>
      <c r="BC113" s="289">
        <v>275</v>
      </c>
      <c r="BD113" s="289">
        <v>22.827400000000001</v>
      </c>
      <c r="BE113" s="289">
        <v>52204.356265930001</v>
      </c>
      <c r="BF113" s="289">
        <v>0</v>
      </c>
      <c r="BG113" s="289">
        <v>0</v>
      </c>
      <c r="BH113" s="289">
        <v>-10.192299999999999</v>
      </c>
      <c r="BI113" s="289">
        <v>172</v>
      </c>
      <c r="BJ113" s="289">
        <v>-1.2841</v>
      </c>
      <c r="BK113" s="289">
        <v>0</v>
      </c>
      <c r="BL113" s="289">
        <v>0</v>
      </c>
      <c r="BM113" s="289">
        <v>143</v>
      </c>
      <c r="BN113" s="289">
        <v>0</v>
      </c>
      <c r="BO113" s="517">
        <v>0</v>
      </c>
      <c r="BP113" s="517">
        <v>0</v>
      </c>
      <c r="BQ113" s="289">
        <f t="shared" si="2"/>
        <v>-1.2841482473999999</v>
      </c>
      <c r="BR113" s="289">
        <v>0</v>
      </c>
      <c r="BS113" s="289">
        <f t="shared" si="3"/>
        <v>0</v>
      </c>
      <c r="BT113" s="289">
        <v>2</v>
      </c>
      <c r="BU113" s="289">
        <v>0</v>
      </c>
      <c r="BV113" s="289">
        <v>21</v>
      </c>
      <c r="BW113" s="289">
        <v>0</v>
      </c>
      <c r="BX113" s="289">
        <v>26.007000000000001</v>
      </c>
      <c r="CC113" s="517"/>
      <c r="CD113" s="85"/>
      <c r="CE113" s="517"/>
    </row>
    <row r="114" spans="1:83" ht="13">
      <c r="A114" s="1">
        <v>1547</v>
      </c>
      <c r="B114" s="2" t="s">
        <v>106</v>
      </c>
      <c r="C114" s="289">
        <v>3557</v>
      </c>
      <c r="D114" s="289">
        <v>69</v>
      </c>
      <c r="E114" s="289">
        <v>178</v>
      </c>
      <c r="F114" s="289">
        <v>502</v>
      </c>
      <c r="G114" s="289">
        <v>328</v>
      </c>
      <c r="H114" s="289">
        <v>1891</v>
      </c>
      <c r="I114" s="289">
        <v>432</v>
      </c>
      <c r="J114" s="289">
        <v>154</v>
      </c>
      <c r="K114" s="289">
        <v>36</v>
      </c>
      <c r="L114" s="289">
        <v>25</v>
      </c>
      <c r="M114" s="289">
        <v>209</v>
      </c>
      <c r="N114" s="290">
        <v>36</v>
      </c>
      <c r="O114" s="290">
        <v>61</v>
      </c>
      <c r="P114" s="624">
        <v>47686.557333329998</v>
      </c>
      <c r="Q114" s="624">
        <v>8264.7353333299998</v>
      </c>
      <c r="R114" s="624">
        <v>10</v>
      </c>
      <c r="S114" s="289">
        <v>0</v>
      </c>
      <c r="T114" s="289">
        <v>204</v>
      </c>
      <c r="U114" s="716">
        <v>6.8697853713068117E-4</v>
      </c>
      <c r="V114" s="289">
        <v>1210.8380631099999</v>
      </c>
      <c r="W114" s="743">
        <v>0.75529729000000001</v>
      </c>
      <c r="X114" s="289">
        <v>0</v>
      </c>
      <c r="Y114" s="289">
        <v>392</v>
      </c>
      <c r="Z114" s="289">
        <v>97066</v>
      </c>
      <c r="AA114" s="289">
        <v>0</v>
      </c>
      <c r="AB114" s="290">
        <v>51</v>
      </c>
      <c r="AC114" s="289">
        <v>0</v>
      </c>
      <c r="AD114" s="289">
        <v>0</v>
      </c>
      <c r="AE114" s="289">
        <v>508</v>
      </c>
      <c r="AF114" s="289">
        <v>0</v>
      </c>
      <c r="AG114" s="289">
        <v>3590</v>
      </c>
      <c r="AH114" s="289">
        <v>559</v>
      </c>
      <c r="AI114" s="289">
        <v>0</v>
      </c>
      <c r="AJ114" s="289">
        <v>0</v>
      </c>
      <c r="AK114" s="289">
        <v>15.977499999999999</v>
      </c>
      <c r="AL114" s="289"/>
      <c r="AM114" s="622">
        <v>6.3550250000000003E-2</v>
      </c>
      <c r="AN114" s="289">
        <v>0</v>
      </c>
      <c r="AO114" s="289">
        <v>-192.28034787999999</v>
      </c>
      <c r="AP114" s="289">
        <v>0</v>
      </c>
      <c r="AQ114" s="289">
        <v>0</v>
      </c>
      <c r="AR114" s="289">
        <v>-256.59236489</v>
      </c>
      <c r="AS114" s="289">
        <v>33.575200000000002</v>
      </c>
      <c r="AT114" s="289">
        <v>169</v>
      </c>
      <c r="AU114" s="289">
        <v>57</v>
      </c>
      <c r="AV114" s="625">
        <v>101263</v>
      </c>
      <c r="AW114" s="289">
        <v>-1.823</v>
      </c>
      <c r="AX114" s="625">
        <v>9.0833333300000003</v>
      </c>
      <c r="AY114" s="289">
        <v>657</v>
      </c>
      <c r="AZ114" s="289">
        <v>83</v>
      </c>
      <c r="BA114" s="290">
        <v>94</v>
      </c>
      <c r="BB114" s="289">
        <v>0</v>
      </c>
      <c r="BC114" s="289">
        <v>1017</v>
      </c>
      <c r="BD114" s="289">
        <v>74.188900000000004</v>
      </c>
      <c r="BE114" s="289">
        <v>105453.459919</v>
      </c>
      <c r="BF114" s="289">
        <v>0</v>
      </c>
      <c r="BG114" s="289">
        <v>11</v>
      </c>
      <c r="BH114" s="289">
        <v>-29.248799999999999</v>
      </c>
      <c r="BI114" s="289">
        <v>951</v>
      </c>
      <c r="BJ114" s="289">
        <v>-3.6850999999999998</v>
      </c>
      <c r="BK114" s="289">
        <v>0</v>
      </c>
      <c r="BL114" s="289">
        <v>0</v>
      </c>
      <c r="BM114" s="289">
        <v>0</v>
      </c>
      <c r="BN114" s="289">
        <v>0</v>
      </c>
      <c r="BO114" s="517">
        <v>0</v>
      </c>
      <c r="BP114" s="517">
        <v>0</v>
      </c>
      <c r="BQ114" s="289">
        <f t="shared" si="2"/>
        <v>-3.6851256659999998</v>
      </c>
      <c r="BR114" s="289">
        <v>0</v>
      </c>
      <c r="BS114" s="289">
        <f t="shared" si="3"/>
        <v>0</v>
      </c>
      <c r="BT114" s="289">
        <v>9</v>
      </c>
      <c r="BU114" s="289">
        <v>0</v>
      </c>
      <c r="BV114" s="289">
        <v>43</v>
      </c>
      <c r="BW114" s="289">
        <v>0</v>
      </c>
      <c r="BX114" s="289">
        <v>73.992000000000004</v>
      </c>
      <c r="CC114" s="517"/>
      <c r="CD114" s="85"/>
      <c r="CE114" s="517"/>
    </row>
    <row r="115" spans="1:83" ht="13">
      <c r="A115" s="1">
        <v>1548</v>
      </c>
      <c r="B115" s="2" t="s">
        <v>107</v>
      </c>
      <c r="C115" s="289">
        <v>9775</v>
      </c>
      <c r="D115" s="289">
        <v>242</v>
      </c>
      <c r="E115" s="289">
        <v>474</v>
      </c>
      <c r="F115" s="289">
        <v>1255</v>
      </c>
      <c r="G115" s="289">
        <v>858</v>
      </c>
      <c r="H115" s="289">
        <v>5375</v>
      </c>
      <c r="I115" s="289">
        <v>1137</v>
      </c>
      <c r="J115" s="289">
        <v>318</v>
      </c>
      <c r="K115" s="289">
        <v>89</v>
      </c>
      <c r="L115" s="289">
        <v>74</v>
      </c>
      <c r="M115" s="289">
        <v>629</v>
      </c>
      <c r="N115" s="290">
        <v>45</v>
      </c>
      <c r="O115" s="290">
        <v>86</v>
      </c>
      <c r="P115" s="624">
        <v>71583.899999999994</v>
      </c>
      <c r="Q115" s="624">
        <v>31703.241999999998</v>
      </c>
      <c r="R115" s="624">
        <v>46</v>
      </c>
      <c r="S115" s="289">
        <v>0</v>
      </c>
      <c r="T115" s="289">
        <v>668</v>
      </c>
      <c r="U115" s="716">
        <v>4.2714798045468648E-3</v>
      </c>
      <c r="V115" s="289">
        <v>3231.13291841</v>
      </c>
      <c r="W115" s="743">
        <v>0.68463030999999996</v>
      </c>
      <c r="X115" s="289">
        <v>4240</v>
      </c>
      <c r="Y115" s="289">
        <v>392</v>
      </c>
      <c r="Z115" s="289">
        <v>253366</v>
      </c>
      <c r="AA115" s="289">
        <v>0</v>
      </c>
      <c r="AB115" s="290">
        <v>166</v>
      </c>
      <c r="AC115" s="289">
        <v>0</v>
      </c>
      <c r="AD115" s="289">
        <v>689.47199999999998</v>
      </c>
      <c r="AE115" s="289">
        <v>0</v>
      </c>
      <c r="AF115" s="289">
        <v>0</v>
      </c>
      <c r="AG115" s="289">
        <v>9748</v>
      </c>
      <c r="AH115" s="289">
        <v>1476</v>
      </c>
      <c r="AI115" s="289">
        <v>1470</v>
      </c>
      <c r="AJ115" s="289">
        <v>0</v>
      </c>
      <c r="AK115" s="289">
        <v>45.908200000000001</v>
      </c>
      <c r="AL115" s="289"/>
      <c r="AM115" s="622">
        <v>0.32512869</v>
      </c>
      <c r="AN115" s="289">
        <v>0</v>
      </c>
      <c r="AO115" s="289">
        <v>-497.14630648000002</v>
      </c>
      <c r="AP115" s="289">
        <v>0</v>
      </c>
      <c r="AQ115" s="289">
        <v>0</v>
      </c>
      <c r="AR115" s="289">
        <v>-696.73046599999998</v>
      </c>
      <c r="AS115" s="289">
        <v>105.6854</v>
      </c>
      <c r="AT115" s="289">
        <v>491</v>
      </c>
      <c r="AU115" s="289">
        <v>176</v>
      </c>
      <c r="AV115" s="625">
        <v>256743</v>
      </c>
      <c r="AW115" s="289">
        <v>-4.95</v>
      </c>
      <c r="AX115" s="625">
        <v>87.375</v>
      </c>
      <c r="AY115" s="289">
        <v>1444</v>
      </c>
      <c r="AZ115" s="289">
        <v>357</v>
      </c>
      <c r="BA115" s="290">
        <v>284</v>
      </c>
      <c r="BB115" s="289">
        <v>0</v>
      </c>
      <c r="BC115" s="289">
        <v>1935</v>
      </c>
      <c r="BD115" s="289">
        <v>195.8905</v>
      </c>
      <c r="BE115" s="289">
        <v>266433.49266286002</v>
      </c>
      <c r="BF115" s="289">
        <v>0</v>
      </c>
      <c r="BG115" s="289">
        <v>11</v>
      </c>
      <c r="BH115" s="289">
        <v>-79.419899999999998</v>
      </c>
      <c r="BI115" s="289">
        <v>2557.4720000000002</v>
      </c>
      <c r="BJ115" s="289">
        <v>680.54780000000005</v>
      </c>
      <c r="BK115" s="289">
        <v>1672</v>
      </c>
      <c r="BL115" s="289">
        <v>0</v>
      </c>
      <c r="BM115" s="289">
        <v>2975</v>
      </c>
      <c r="BN115" s="289">
        <v>0</v>
      </c>
      <c r="BO115" s="517">
        <v>0</v>
      </c>
      <c r="BP115" s="517">
        <v>0</v>
      </c>
      <c r="BQ115" s="289">
        <f t="shared" si="2"/>
        <v>-10.0062966552</v>
      </c>
      <c r="BR115" s="289">
        <v>3051.989</v>
      </c>
      <c r="BS115" s="289">
        <f t="shared" si="3"/>
        <v>2362.5169999999998</v>
      </c>
      <c r="BT115" s="289">
        <v>26</v>
      </c>
      <c r="BU115" s="289">
        <v>0</v>
      </c>
      <c r="BV115" s="289">
        <v>100</v>
      </c>
      <c r="BW115" s="289">
        <v>366.76</v>
      </c>
      <c r="BX115" s="289">
        <v>203.19800000000001</v>
      </c>
      <c r="CC115" s="517"/>
      <c r="CD115" s="85"/>
      <c r="CE115" s="517"/>
    </row>
    <row r="116" spans="1:83" s="657" customFormat="1" ht="13">
      <c r="A116" s="1">
        <v>1551</v>
      </c>
      <c r="B116" s="2" t="s">
        <v>108</v>
      </c>
      <c r="C116" s="289">
        <v>3440</v>
      </c>
      <c r="D116" s="289">
        <v>82</v>
      </c>
      <c r="E116" s="289">
        <v>148</v>
      </c>
      <c r="F116" s="289">
        <v>501</v>
      </c>
      <c r="G116" s="289">
        <v>313</v>
      </c>
      <c r="H116" s="289">
        <v>1869</v>
      </c>
      <c r="I116" s="289">
        <v>384</v>
      </c>
      <c r="J116" s="289">
        <v>132</v>
      </c>
      <c r="K116" s="289">
        <v>25</v>
      </c>
      <c r="L116" s="289">
        <v>25</v>
      </c>
      <c r="M116" s="289">
        <v>238</v>
      </c>
      <c r="N116" s="290">
        <v>9</v>
      </c>
      <c r="O116" s="290">
        <v>30</v>
      </c>
      <c r="P116" s="624">
        <v>17612.858666669999</v>
      </c>
      <c r="Q116" s="624">
        <v>8304.1826666699999</v>
      </c>
      <c r="R116" s="624">
        <v>22</v>
      </c>
      <c r="S116" s="289">
        <v>0</v>
      </c>
      <c r="T116" s="289">
        <v>221</v>
      </c>
      <c r="U116" s="716">
        <v>1.7955238452943831E-3</v>
      </c>
      <c r="V116" s="289">
        <v>1351.10875248</v>
      </c>
      <c r="W116" s="743">
        <v>0.71003161000000004</v>
      </c>
      <c r="X116" s="289">
        <v>1249</v>
      </c>
      <c r="Y116" s="289">
        <v>0</v>
      </c>
      <c r="Z116" s="289">
        <v>86542</v>
      </c>
      <c r="AA116" s="289">
        <v>0</v>
      </c>
      <c r="AB116" s="290">
        <v>51</v>
      </c>
      <c r="AC116" s="289">
        <v>0</v>
      </c>
      <c r="AD116" s="289">
        <v>245.214</v>
      </c>
      <c r="AE116" s="289">
        <v>0</v>
      </c>
      <c r="AF116" s="289">
        <v>0</v>
      </c>
      <c r="AG116" s="289">
        <v>3454</v>
      </c>
      <c r="AH116" s="289">
        <v>546</v>
      </c>
      <c r="AI116" s="289">
        <v>60</v>
      </c>
      <c r="AJ116" s="289">
        <v>0</v>
      </c>
      <c r="AK116" s="289">
        <v>14.9619</v>
      </c>
      <c r="AL116" s="289"/>
      <c r="AM116" s="622">
        <v>8.8128230000000002E-2</v>
      </c>
      <c r="AN116" s="289">
        <v>0</v>
      </c>
      <c r="AO116" s="289">
        <v>-187.92282119999999</v>
      </c>
      <c r="AP116" s="289">
        <v>0</v>
      </c>
      <c r="AQ116" s="289">
        <v>0</v>
      </c>
      <c r="AR116" s="289">
        <v>1261.21197562</v>
      </c>
      <c r="AS116" s="289">
        <v>33.711799999999997</v>
      </c>
      <c r="AT116" s="289">
        <v>165</v>
      </c>
      <c r="AU116" s="289">
        <v>59</v>
      </c>
      <c r="AV116" s="625">
        <v>107054</v>
      </c>
      <c r="AW116" s="289">
        <v>456.80239999999998</v>
      </c>
      <c r="AX116" s="625">
        <v>34.083333340000003</v>
      </c>
      <c r="AY116" s="289">
        <v>542</v>
      </c>
      <c r="AZ116" s="289">
        <v>108</v>
      </c>
      <c r="BA116" s="290">
        <v>101</v>
      </c>
      <c r="BB116" s="289">
        <v>0</v>
      </c>
      <c r="BC116" s="289">
        <v>626</v>
      </c>
      <c r="BD116" s="289">
        <v>72.4636</v>
      </c>
      <c r="BE116" s="289">
        <v>106345.39722478999</v>
      </c>
      <c r="BF116" s="289">
        <v>0</v>
      </c>
      <c r="BG116" s="289">
        <v>0</v>
      </c>
      <c r="BH116" s="289">
        <v>-28.140799999999999</v>
      </c>
      <c r="BI116" s="289">
        <v>791.21400000000006</v>
      </c>
      <c r="BJ116" s="289">
        <v>357.68689999999998</v>
      </c>
      <c r="BK116" s="289">
        <v>875</v>
      </c>
      <c r="BL116" s="289">
        <v>0</v>
      </c>
      <c r="BM116" s="289">
        <v>1055</v>
      </c>
      <c r="BN116" s="289">
        <v>0</v>
      </c>
      <c r="BO116" s="517">
        <v>0</v>
      </c>
      <c r="BP116" s="289">
        <v>1380.4</v>
      </c>
      <c r="BQ116" s="289">
        <f t="shared" si="2"/>
        <v>-3.5455220195999999</v>
      </c>
      <c r="BR116" s="289">
        <v>1481.059</v>
      </c>
      <c r="BS116" s="289">
        <f t="shared" si="3"/>
        <v>1235.845</v>
      </c>
      <c r="BT116" s="289">
        <v>9</v>
      </c>
      <c r="BU116" s="289">
        <v>0</v>
      </c>
      <c r="BV116" s="289">
        <v>38</v>
      </c>
      <c r="BW116" s="289">
        <v>0</v>
      </c>
      <c r="BX116" s="289">
        <v>71.561999999999998</v>
      </c>
      <c r="BY116"/>
      <c r="BZ116"/>
      <c r="CA116"/>
      <c r="CB116"/>
      <c r="CC116" s="517"/>
      <c r="CD116" s="85"/>
      <c r="CE116" s="517"/>
    </row>
    <row r="117" spans="1:83" ht="13">
      <c r="A117" s="1">
        <v>1554</v>
      </c>
      <c r="B117" s="2" t="s">
        <v>109</v>
      </c>
      <c r="C117" s="289">
        <v>5859</v>
      </c>
      <c r="D117" s="289">
        <v>104</v>
      </c>
      <c r="E117" s="289">
        <v>259</v>
      </c>
      <c r="F117" s="289">
        <v>746</v>
      </c>
      <c r="G117" s="289">
        <v>484</v>
      </c>
      <c r="H117" s="289">
        <v>3256</v>
      </c>
      <c r="I117" s="289">
        <v>743</v>
      </c>
      <c r="J117" s="289">
        <v>204</v>
      </c>
      <c r="K117" s="289">
        <v>57</v>
      </c>
      <c r="L117" s="289">
        <v>45</v>
      </c>
      <c r="M117" s="289">
        <v>429</v>
      </c>
      <c r="N117" s="290">
        <v>15</v>
      </c>
      <c r="O117" s="290">
        <v>51</v>
      </c>
      <c r="P117" s="624">
        <v>40359.573666670003</v>
      </c>
      <c r="Q117" s="624">
        <v>18031.898333329998</v>
      </c>
      <c r="R117" s="624">
        <v>22</v>
      </c>
      <c r="S117" s="289">
        <v>0</v>
      </c>
      <c r="T117" s="289">
        <v>398</v>
      </c>
      <c r="U117" s="716">
        <v>2.160683446642137E-3</v>
      </c>
      <c r="V117" s="289">
        <v>-1306.84990432</v>
      </c>
      <c r="W117" s="743">
        <v>0.72313662000000001</v>
      </c>
      <c r="X117" s="289">
        <v>1230</v>
      </c>
      <c r="Y117" s="289">
        <v>0</v>
      </c>
      <c r="Z117" s="289">
        <v>153466</v>
      </c>
      <c r="AA117" s="289">
        <v>0</v>
      </c>
      <c r="AB117" s="290">
        <v>104</v>
      </c>
      <c r="AC117" s="289">
        <v>0</v>
      </c>
      <c r="AD117" s="289">
        <v>0</v>
      </c>
      <c r="AE117" s="289">
        <v>0</v>
      </c>
      <c r="AF117" s="289">
        <v>0</v>
      </c>
      <c r="AG117" s="289">
        <v>5853</v>
      </c>
      <c r="AH117" s="289">
        <v>836</v>
      </c>
      <c r="AI117" s="289">
        <v>100</v>
      </c>
      <c r="AJ117" s="289">
        <v>0</v>
      </c>
      <c r="AK117" s="289">
        <v>25.029</v>
      </c>
      <c r="AL117" s="289"/>
      <c r="AM117" s="622">
        <v>7.7936039999999998E-2</v>
      </c>
      <c r="AN117" s="289">
        <v>0</v>
      </c>
      <c r="AO117" s="289">
        <v>-295.58257300000002</v>
      </c>
      <c r="AP117" s="289">
        <v>0</v>
      </c>
      <c r="AQ117" s="289">
        <v>0</v>
      </c>
      <c r="AR117" s="289">
        <v>2336.8857439100002</v>
      </c>
      <c r="AS117" s="289">
        <v>56.247599999999998</v>
      </c>
      <c r="AT117" s="289">
        <v>288</v>
      </c>
      <c r="AU117" s="289">
        <v>64</v>
      </c>
      <c r="AV117" s="625">
        <v>150658</v>
      </c>
      <c r="AW117" s="289">
        <v>-113.8702</v>
      </c>
      <c r="AX117" s="625">
        <v>39.916666669999998</v>
      </c>
      <c r="AY117" s="289">
        <v>995</v>
      </c>
      <c r="AZ117" s="289">
        <v>145</v>
      </c>
      <c r="BA117" s="290">
        <v>154</v>
      </c>
      <c r="BB117" s="289">
        <v>0</v>
      </c>
      <c r="BC117" s="289">
        <v>830</v>
      </c>
      <c r="BD117" s="289">
        <v>110.9516</v>
      </c>
      <c r="BE117" s="289">
        <v>149924.49444526</v>
      </c>
      <c r="BF117" s="289">
        <v>0</v>
      </c>
      <c r="BG117" s="289">
        <v>0</v>
      </c>
      <c r="BH117" s="289">
        <v>-47.686199999999999</v>
      </c>
      <c r="BI117" s="289">
        <v>836</v>
      </c>
      <c r="BJ117" s="289">
        <v>-6.0080999999999998</v>
      </c>
      <c r="BK117" s="289">
        <v>0</v>
      </c>
      <c r="BL117" s="289">
        <v>0</v>
      </c>
      <c r="BM117" s="289">
        <v>0</v>
      </c>
      <c r="BN117" s="289">
        <v>0</v>
      </c>
      <c r="BO117" s="517">
        <v>0</v>
      </c>
      <c r="BP117" s="517">
        <v>0</v>
      </c>
      <c r="BQ117" s="289">
        <f t="shared" si="2"/>
        <v>-6.0080892821999994</v>
      </c>
      <c r="BR117" s="289">
        <v>0</v>
      </c>
      <c r="BS117" s="289">
        <f t="shared" si="3"/>
        <v>0</v>
      </c>
      <c r="BT117" s="289">
        <v>14</v>
      </c>
      <c r="BU117" s="289">
        <v>0</v>
      </c>
      <c r="BV117" s="289">
        <v>63</v>
      </c>
      <c r="BW117" s="289">
        <v>188.619</v>
      </c>
      <c r="BX117" s="289">
        <v>121.85299999999999</v>
      </c>
      <c r="CC117" s="517"/>
      <c r="CD117" s="85"/>
      <c r="CE117" s="517"/>
    </row>
    <row r="118" spans="1:83" ht="13">
      <c r="A118" s="1">
        <v>1557</v>
      </c>
      <c r="B118" s="2" t="s">
        <v>110</v>
      </c>
      <c r="C118" s="289">
        <v>2623</v>
      </c>
      <c r="D118" s="289">
        <v>59</v>
      </c>
      <c r="E118" s="289">
        <v>118</v>
      </c>
      <c r="F118" s="289">
        <v>330</v>
      </c>
      <c r="G118" s="289">
        <v>199</v>
      </c>
      <c r="H118" s="289">
        <v>1396</v>
      </c>
      <c r="I118" s="289">
        <v>372</v>
      </c>
      <c r="J118" s="289">
        <v>94</v>
      </c>
      <c r="K118" s="289">
        <v>36</v>
      </c>
      <c r="L118" s="289">
        <v>19</v>
      </c>
      <c r="M118" s="289">
        <v>212</v>
      </c>
      <c r="N118" s="290">
        <v>12</v>
      </c>
      <c r="O118" s="290">
        <v>17</v>
      </c>
      <c r="P118" s="624">
        <v>31870.012666670002</v>
      </c>
      <c r="Q118" s="624">
        <v>14495.16733333</v>
      </c>
      <c r="R118" s="624">
        <v>11</v>
      </c>
      <c r="S118" s="289">
        <v>0</v>
      </c>
      <c r="T118" s="289">
        <v>163</v>
      </c>
      <c r="U118" s="716">
        <v>2.7602348421746849E-3</v>
      </c>
      <c r="V118" s="289">
        <v>-1682.1351803699999</v>
      </c>
      <c r="W118" s="743">
        <v>0.84975270000000003</v>
      </c>
      <c r="X118" s="289">
        <v>1511</v>
      </c>
      <c r="Y118" s="289">
        <v>0</v>
      </c>
      <c r="Z118" s="289">
        <v>63780</v>
      </c>
      <c r="AA118" s="289">
        <v>0</v>
      </c>
      <c r="AB118" s="290">
        <v>33</v>
      </c>
      <c r="AC118" s="289">
        <v>0</v>
      </c>
      <c r="AD118" s="289">
        <v>0</v>
      </c>
      <c r="AE118" s="289">
        <v>0</v>
      </c>
      <c r="AF118" s="289">
        <v>0</v>
      </c>
      <c r="AG118" s="289">
        <v>2604</v>
      </c>
      <c r="AH118" s="289">
        <v>383</v>
      </c>
      <c r="AI118" s="289">
        <v>100</v>
      </c>
      <c r="AJ118" s="289">
        <v>0</v>
      </c>
      <c r="AK118" s="289">
        <v>11.769299999999999</v>
      </c>
      <c r="AL118" s="289"/>
      <c r="AM118" s="622">
        <v>3.061202E-2</v>
      </c>
      <c r="AN118" s="289">
        <v>0</v>
      </c>
      <c r="AO118" s="289">
        <v>-147.91504294999999</v>
      </c>
      <c r="AP118" s="289">
        <v>0</v>
      </c>
      <c r="AQ118" s="289">
        <v>0</v>
      </c>
      <c r="AR118" s="289">
        <v>1473.5787711800001</v>
      </c>
      <c r="AS118" s="289">
        <v>22.8642</v>
      </c>
      <c r="AT118" s="289">
        <v>99</v>
      </c>
      <c r="AU118" s="289">
        <v>34</v>
      </c>
      <c r="AV118" s="625">
        <v>88192</v>
      </c>
      <c r="AW118" s="289">
        <v>-50.660899999999998</v>
      </c>
      <c r="AX118" s="625">
        <v>24.125</v>
      </c>
      <c r="AY118" s="289">
        <v>448</v>
      </c>
      <c r="AZ118" s="289">
        <v>62</v>
      </c>
      <c r="BA118" s="290">
        <v>45</v>
      </c>
      <c r="BB118" s="289">
        <v>3326</v>
      </c>
      <c r="BC118" s="289">
        <v>531</v>
      </c>
      <c r="BD118" s="289">
        <v>50.8307</v>
      </c>
      <c r="BE118" s="289">
        <v>86774.888388620006</v>
      </c>
      <c r="BF118" s="289">
        <v>0</v>
      </c>
      <c r="BG118" s="289">
        <v>0</v>
      </c>
      <c r="BH118" s="289">
        <v>-21.215599999999998</v>
      </c>
      <c r="BI118" s="289">
        <v>383</v>
      </c>
      <c r="BJ118" s="289">
        <v>-2.673</v>
      </c>
      <c r="BK118" s="289">
        <v>0</v>
      </c>
      <c r="BL118" s="289">
        <v>0</v>
      </c>
      <c r="BM118" s="289">
        <v>0</v>
      </c>
      <c r="BN118" s="289">
        <v>0</v>
      </c>
      <c r="BO118" s="517">
        <v>0</v>
      </c>
      <c r="BP118" s="517">
        <v>0</v>
      </c>
      <c r="BQ118" s="289">
        <f t="shared" si="2"/>
        <v>-2.6729992296000002</v>
      </c>
      <c r="BR118" s="289">
        <v>0</v>
      </c>
      <c r="BS118" s="289">
        <f t="shared" si="3"/>
        <v>0</v>
      </c>
      <c r="BT118" s="289">
        <v>7</v>
      </c>
      <c r="BU118" s="289">
        <v>0</v>
      </c>
      <c r="BV118" s="289">
        <v>35</v>
      </c>
      <c r="BW118" s="289">
        <v>178.14</v>
      </c>
      <c r="BX118" s="289">
        <v>54.84</v>
      </c>
      <c r="CC118" s="517"/>
      <c r="CD118" s="85"/>
      <c r="CE118" s="517"/>
    </row>
    <row r="119" spans="1:83" ht="13">
      <c r="A119" s="1">
        <v>1560</v>
      </c>
      <c r="B119" s="2" t="s">
        <v>111</v>
      </c>
      <c r="C119" s="289">
        <v>3078</v>
      </c>
      <c r="D119" s="289">
        <v>51</v>
      </c>
      <c r="E119" s="289">
        <v>117</v>
      </c>
      <c r="F119" s="289">
        <v>359</v>
      </c>
      <c r="G119" s="289">
        <v>261</v>
      </c>
      <c r="H119" s="289">
        <v>1648</v>
      </c>
      <c r="I119" s="289">
        <v>471</v>
      </c>
      <c r="J119" s="289">
        <v>154</v>
      </c>
      <c r="K119" s="289">
        <v>42</v>
      </c>
      <c r="L119" s="289">
        <v>23</v>
      </c>
      <c r="M119" s="289">
        <v>304</v>
      </c>
      <c r="N119" s="290">
        <v>30</v>
      </c>
      <c r="O119" s="290">
        <v>23</v>
      </c>
      <c r="P119" s="624">
        <v>37401.125666669999</v>
      </c>
      <c r="Q119" s="624">
        <v>11655.08366667</v>
      </c>
      <c r="R119" s="624">
        <v>23</v>
      </c>
      <c r="S119" s="289">
        <v>0</v>
      </c>
      <c r="T119" s="289">
        <v>215</v>
      </c>
      <c r="U119" s="716">
        <v>2.0976467558608326E-3</v>
      </c>
      <c r="V119" s="289">
        <v>1300.4955825699999</v>
      </c>
      <c r="W119" s="743">
        <v>0.96833502000000005</v>
      </c>
      <c r="X119" s="289">
        <v>770</v>
      </c>
      <c r="Y119" s="289">
        <v>392</v>
      </c>
      <c r="Z119" s="289">
        <v>70887</v>
      </c>
      <c r="AA119" s="289">
        <v>0</v>
      </c>
      <c r="AB119" s="290">
        <v>59</v>
      </c>
      <c r="AC119" s="289">
        <v>0</v>
      </c>
      <c r="AD119" s="289">
        <v>0</v>
      </c>
      <c r="AE119" s="289">
        <v>0</v>
      </c>
      <c r="AF119" s="289">
        <v>0</v>
      </c>
      <c r="AG119" s="289">
        <v>3103</v>
      </c>
      <c r="AH119" s="289">
        <v>414</v>
      </c>
      <c r="AI119" s="289">
        <v>60</v>
      </c>
      <c r="AJ119" s="289">
        <v>0</v>
      </c>
      <c r="AK119" s="289">
        <v>11.7333</v>
      </c>
      <c r="AL119" s="289"/>
      <c r="AM119" s="622">
        <v>5.7465019999999999E-2</v>
      </c>
      <c r="AN119" s="289">
        <v>0</v>
      </c>
      <c r="AO119" s="289">
        <v>-180.88314385000001</v>
      </c>
      <c r="AP119" s="289">
        <v>0</v>
      </c>
      <c r="AQ119" s="289">
        <v>0</v>
      </c>
      <c r="AR119" s="289">
        <v>-221.78443127</v>
      </c>
      <c r="AS119" s="289">
        <v>32.541499999999999</v>
      </c>
      <c r="AT119" s="289">
        <v>138</v>
      </c>
      <c r="AU119" s="289">
        <v>25</v>
      </c>
      <c r="AV119" s="625">
        <v>110006</v>
      </c>
      <c r="AW119" s="289">
        <v>-1.5757000000000001</v>
      </c>
      <c r="AX119" s="625">
        <v>19.5</v>
      </c>
      <c r="AY119" s="289">
        <v>605</v>
      </c>
      <c r="AZ119" s="289">
        <v>161</v>
      </c>
      <c r="BA119" s="290">
        <v>60</v>
      </c>
      <c r="BB119" s="289">
        <v>5543</v>
      </c>
      <c r="BC119" s="289">
        <v>857</v>
      </c>
      <c r="BD119" s="289">
        <v>54.944899999999997</v>
      </c>
      <c r="BE119" s="289">
        <v>112360.93133837001</v>
      </c>
      <c r="BF119" s="289">
        <v>0</v>
      </c>
      <c r="BG119" s="289">
        <v>11</v>
      </c>
      <c r="BH119" s="289">
        <v>-25.281099999999999</v>
      </c>
      <c r="BI119" s="289">
        <v>806</v>
      </c>
      <c r="BJ119" s="289">
        <v>-3.1852</v>
      </c>
      <c r="BK119" s="289">
        <v>0</v>
      </c>
      <c r="BL119" s="289">
        <v>0</v>
      </c>
      <c r="BM119" s="289">
        <v>0</v>
      </c>
      <c r="BN119" s="289">
        <v>0</v>
      </c>
      <c r="BO119" s="517">
        <v>0</v>
      </c>
      <c r="BP119" s="517">
        <v>0</v>
      </c>
      <c r="BQ119" s="289">
        <f t="shared" si="2"/>
        <v>-3.1852214322000001</v>
      </c>
      <c r="BR119" s="289">
        <v>0</v>
      </c>
      <c r="BS119" s="289">
        <f t="shared" si="3"/>
        <v>0</v>
      </c>
      <c r="BT119" s="289">
        <v>7</v>
      </c>
      <c r="BU119" s="289">
        <v>0</v>
      </c>
      <c r="BV119" s="289">
        <v>41</v>
      </c>
      <c r="BW119" s="289">
        <v>157.18299999999999</v>
      </c>
      <c r="BX119" s="289">
        <v>63.875999999999998</v>
      </c>
      <c r="CC119" s="517"/>
      <c r="CD119" s="85"/>
      <c r="CE119" s="517"/>
    </row>
    <row r="120" spans="1:83" ht="13">
      <c r="A120" s="1">
        <v>1563</v>
      </c>
      <c r="B120" s="2" t="s">
        <v>112</v>
      </c>
      <c r="C120" s="289">
        <v>7119</v>
      </c>
      <c r="D120" s="289">
        <v>139</v>
      </c>
      <c r="E120" s="289">
        <v>279</v>
      </c>
      <c r="F120" s="289">
        <v>804</v>
      </c>
      <c r="G120" s="289">
        <v>702</v>
      </c>
      <c r="H120" s="289">
        <v>3973</v>
      </c>
      <c r="I120" s="289">
        <v>833</v>
      </c>
      <c r="J120" s="289">
        <v>334</v>
      </c>
      <c r="K120" s="289">
        <v>98</v>
      </c>
      <c r="L120" s="289">
        <v>62</v>
      </c>
      <c r="M120" s="289">
        <v>590</v>
      </c>
      <c r="N120" s="290">
        <v>135</v>
      </c>
      <c r="O120" s="290">
        <v>95</v>
      </c>
      <c r="P120" s="624">
        <v>62762.024333330002</v>
      </c>
      <c r="Q120" s="624">
        <v>17791.648333329998</v>
      </c>
      <c r="R120" s="624">
        <v>31</v>
      </c>
      <c r="S120" s="289">
        <v>0</v>
      </c>
      <c r="T120" s="289">
        <v>660</v>
      </c>
      <c r="U120" s="716">
        <v>2.335866873657267E-3</v>
      </c>
      <c r="V120" s="289">
        <v>2050.9386946700001</v>
      </c>
      <c r="W120" s="743">
        <v>0.64099903999999996</v>
      </c>
      <c r="X120" s="289">
        <v>570</v>
      </c>
      <c r="Y120" s="289">
        <v>392</v>
      </c>
      <c r="Z120" s="289">
        <v>203672</v>
      </c>
      <c r="AA120" s="289">
        <v>0</v>
      </c>
      <c r="AB120" s="290">
        <v>107</v>
      </c>
      <c r="AC120" s="289">
        <v>0</v>
      </c>
      <c r="AD120" s="289">
        <v>0</v>
      </c>
      <c r="AE120" s="289">
        <v>0</v>
      </c>
      <c r="AF120" s="289">
        <v>0</v>
      </c>
      <c r="AG120" s="289">
        <v>7162</v>
      </c>
      <c r="AH120" s="289">
        <v>971</v>
      </c>
      <c r="AI120" s="289">
        <v>3120</v>
      </c>
      <c r="AJ120" s="289">
        <v>0</v>
      </c>
      <c r="AK120" s="289">
        <v>27.088899999999999</v>
      </c>
      <c r="AL120" s="289"/>
      <c r="AM120" s="622">
        <v>0.17913364000000001</v>
      </c>
      <c r="AN120" s="289">
        <v>8947</v>
      </c>
      <c r="AO120" s="289">
        <v>-369.40882184999998</v>
      </c>
      <c r="AP120" s="289">
        <v>0</v>
      </c>
      <c r="AQ120" s="289">
        <v>0</v>
      </c>
      <c r="AR120" s="289">
        <v>2957.6411283100001</v>
      </c>
      <c r="AS120" s="289">
        <v>90.547499999999999</v>
      </c>
      <c r="AT120" s="289">
        <v>354</v>
      </c>
      <c r="AU120" s="289">
        <v>73</v>
      </c>
      <c r="AV120" s="625">
        <v>204613</v>
      </c>
      <c r="AW120" s="289">
        <v>-139.33690000000001</v>
      </c>
      <c r="AX120" s="625">
        <v>37.708333330000002</v>
      </c>
      <c r="AY120" s="289">
        <v>1288</v>
      </c>
      <c r="AZ120" s="289">
        <v>352</v>
      </c>
      <c r="BA120" s="290">
        <v>198</v>
      </c>
      <c r="BB120" s="289">
        <v>0</v>
      </c>
      <c r="BC120" s="289">
        <v>1462</v>
      </c>
      <c r="BD120" s="289">
        <v>128.86840000000001</v>
      </c>
      <c r="BE120" s="289">
        <v>203394.73397306999</v>
      </c>
      <c r="BF120" s="289">
        <v>0</v>
      </c>
      <c r="BG120" s="289">
        <v>11</v>
      </c>
      <c r="BH120" s="289">
        <v>-58.350999999999999</v>
      </c>
      <c r="BI120" s="289">
        <v>1363</v>
      </c>
      <c r="BJ120" s="289">
        <v>-7.3517999999999999</v>
      </c>
      <c r="BK120" s="289">
        <v>0</v>
      </c>
      <c r="BL120" s="289">
        <v>0</v>
      </c>
      <c r="BM120" s="289">
        <v>0</v>
      </c>
      <c r="BN120" s="289">
        <v>0</v>
      </c>
      <c r="BO120" s="517">
        <v>0</v>
      </c>
      <c r="BP120" s="517">
        <v>0</v>
      </c>
      <c r="BQ120" s="289">
        <f t="shared" si="2"/>
        <v>-7.3517743788000001</v>
      </c>
      <c r="BR120" s="289">
        <v>0</v>
      </c>
      <c r="BS120" s="289">
        <f t="shared" si="3"/>
        <v>0</v>
      </c>
      <c r="BT120" s="289">
        <v>16</v>
      </c>
      <c r="BU120" s="289">
        <v>0</v>
      </c>
      <c r="BV120" s="289">
        <v>76</v>
      </c>
      <c r="BW120" s="289">
        <v>230.535</v>
      </c>
      <c r="BX120" s="289">
        <v>147.69399999999999</v>
      </c>
      <c r="CC120" s="517"/>
      <c r="CD120" s="85"/>
      <c r="CE120" s="517"/>
    </row>
    <row r="121" spans="1:83" ht="13">
      <c r="A121" s="1">
        <v>1566</v>
      </c>
      <c r="B121" s="2" t="s">
        <v>113</v>
      </c>
      <c r="C121" s="289">
        <v>5978</v>
      </c>
      <c r="D121" s="289">
        <v>126</v>
      </c>
      <c r="E121" s="289">
        <v>221</v>
      </c>
      <c r="F121" s="289">
        <v>654</v>
      </c>
      <c r="G121" s="289">
        <v>618</v>
      </c>
      <c r="H121" s="289">
        <v>3200</v>
      </c>
      <c r="I121" s="289">
        <v>856</v>
      </c>
      <c r="J121" s="289">
        <v>233</v>
      </c>
      <c r="K121" s="289">
        <v>62</v>
      </c>
      <c r="L121" s="289">
        <v>51</v>
      </c>
      <c r="M121" s="289">
        <v>478</v>
      </c>
      <c r="N121" s="290">
        <v>7</v>
      </c>
      <c r="O121" s="290">
        <v>31</v>
      </c>
      <c r="P121" s="624">
        <v>47414.616333329999</v>
      </c>
      <c r="Q121" s="624">
        <v>16272.22733333</v>
      </c>
      <c r="R121" s="624">
        <v>36</v>
      </c>
      <c r="S121" s="289">
        <v>0</v>
      </c>
      <c r="T121" s="289">
        <v>419</v>
      </c>
      <c r="U121" s="716">
        <v>3.654983419274305E-3</v>
      </c>
      <c r="V121" s="289">
        <v>2171.7448420800001</v>
      </c>
      <c r="W121" s="743">
        <v>0.73421457999999995</v>
      </c>
      <c r="X121" s="289">
        <v>1170</v>
      </c>
      <c r="Y121" s="289">
        <v>0</v>
      </c>
      <c r="Z121" s="289">
        <v>157123</v>
      </c>
      <c r="AA121" s="289">
        <v>0</v>
      </c>
      <c r="AB121" s="290">
        <v>120</v>
      </c>
      <c r="AC121" s="289">
        <v>944</v>
      </c>
      <c r="AD121" s="289">
        <v>0</v>
      </c>
      <c r="AE121" s="289">
        <v>0</v>
      </c>
      <c r="AF121" s="289">
        <v>0</v>
      </c>
      <c r="AG121" s="289">
        <v>5970</v>
      </c>
      <c r="AH121" s="289">
        <v>811</v>
      </c>
      <c r="AI121" s="289">
        <v>1000</v>
      </c>
      <c r="AJ121" s="289">
        <v>0</v>
      </c>
      <c r="AK121" s="289">
        <v>22.997599999999998</v>
      </c>
      <c r="AL121" s="289"/>
      <c r="AM121" s="622">
        <v>3.7973670000000001E-2</v>
      </c>
      <c r="AN121" s="289">
        <v>7708</v>
      </c>
      <c r="AO121" s="289">
        <v>-302.06333642999999</v>
      </c>
      <c r="AP121" s="289">
        <v>0</v>
      </c>
      <c r="AQ121" s="289">
        <v>0</v>
      </c>
      <c r="AR121" s="289">
        <v>6574.99288497</v>
      </c>
      <c r="AS121" s="289">
        <v>56.443100000000001</v>
      </c>
      <c r="AT121" s="289">
        <v>255</v>
      </c>
      <c r="AU121" s="289">
        <v>46</v>
      </c>
      <c r="AV121" s="625">
        <v>169945</v>
      </c>
      <c r="AW121" s="289">
        <v>-116.1465</v>
      </c>
      <c r="AX121" s="625">
        <v>54.916666669999998</v>
      </c>
      <c r="AY121" s="289">
        <v>996</v>
      </c>
      <c r="AZ121" s="289">
        <v>116</v>
      </c>
      <c r="BA121" s="290">
        <v>128</v>
      </c>
      <c r="BB121" s="289">
        <v>0</v>
      </c>
      <c r="BC121" s="289">
        <v>963</v>
      </c>
      <c r="BD121" s="289">
        <v>107.6336</v>
      </c>
      <c r="BE121" s="289">
        <v>164596.15182408001</v>
      </c>
      <c r="BF121" s="289">
        <v>0</v>
      </c>
      <c r="BG121" s="289">
        <v>0</v>
      </c>
      <c r="BH121" s="289">
        <v>-48.639400000000002</v>
      </c>
      <c r="BI121" s="289">
        <v>811</v>
      </c>
      <c r="BJ121" s="289">
        <v>-6.1281999999999996</v>
      </c>
      <c r="BK121" s="289">
        <v>0</v>
      </c>
      <c r="BL121" s="289">
        <v>0</v>
      </c>
      <c r="BM121" s="289">
        <v>0</v>
      </c>
      <c r="BN121" s="289">
        <v>0</v>
      </c>
      <c r="BO121" s="517">
        <v>0</v>
      </c>
      <c r="BP121" s="517">
        <v>0</v>
      </c>
      <c r="BQ121" s="289">
        <f t="shared" si="2"/>
        <v>-6.1281894780000004</v>
      </c>
      <c r="BR121" s="289">
        <v>0</v>
      </c>
      <c r="BS121" s="289">
        <f t="shared" si="3"/>
        <v>0</v>
      </c>
      <c r="BT121" s="289">
        <v>13</v>
      </c>
      <c r="BU121" s="289">
        <v>0</v>
      </c>
      <c r="BV121" s="289">
        <v>66</v>
      </c>
      <c r="BW121" s="289">
        <v>230.535</v>
      </c>
      <c r="BX121" s="289">
        <v>123.992</v>
      </c>
      <c r="CC121" s="517"/>
      <c r="CD121" s="85"/>
      <c r="CE121" s="517"/>
    </row>
    <row r="122" spans="1:83" ht="13">
      <c r="A122" s="1">
        <v>1571</v>
      </c>
      <c r="B122" s="2" t="s">
        <v>115</v>
      </c>
      <c r="C122" s="289">
        <v>1571</v>
      </c>
      <c r="D122" s="289">
        <v>27</v>
      </c>
      <c r="E122" s="289">
        <v>49</v>
      </c>
      <c r="F122" s="289">
        <v>170</v>
      </c>
      <c r="G122" s="289">
        <v>128</v>
      </c>
      <c r="H122" s="289">
        <v>830</v>
      </c>
      <c r="I122" s="289">
        <v>273</v>
      </c>
      <c r="J122" s="289">
        <v>81</v>
      </c>
      <c r="K122" s="289">
        <v>26</v>
      </c>
      <c r="L122" s="289">
        <v>13</v>
      </c>
      <c r="M122" s="289">
        <v>163</v>
      </c>
      <c r="N122" s="290">
        <v>3</v>
      </c>
      <c r="O122" s="290">
        <v>16</v>
      </c>
      <c r="P122" s="624">
        <v>22440.1</v>
      </c>
      <c r="Q122" s="624">
        <v>7174.44633333</v>
      </c>
      <c r="R122" s="624">
        <v>7</v>
      </c>
      <c r="S122" s="289">
        <v>0</v>
      </c>
      <c r="T122" s="289">
        <v>112</v>
      </c>
      <c r="U122" s="716">
        <v>1.7694895562167896E-3</v>
      </c>
      <c r="V122" s="289">
        <v>693.49426208</v>
      </c>
      <c r="W122" s="743">
        <v>1</v>
      </c>
      <c r="X122" s="289">
        <v>610</v>
      </c>
      <c r="Y122" s="289">
        <v>244</v>
      </c>
      <c r="Z122" s="289">
        <v>36197</v>
      </c>
      <c r="AA122" s="289">
        <v>0</v>
      </c>
      <c r="AB122" s="290">
        <v>32</v>
      </c>
      <c r="AC122" s="289">
        <v>0</v>
      </c>
      <c r="AD122" s="289">
        <v>0</v>
      </c>
      <c r="AE122" s="289">
        <v>0</v>
      </c>
      <c r="AF122" s="289">
        <v>0</v>
      </c>
      <c r="AG122" s="289">
        <v>1584</v>
      </c>
      <c r="AH122" s="289">
        <v>194</v>
      </c>
      <c r="AI122" s="289">
        <v>0</v>
      </c>
      <c r="AJ122" s="289">
        <v>0</v>
      </c>
      <c r="AK122" s="289">
        <v>4.7263000000000002</v>
      </c>
      <c r="AL122" s="289"/>
      <c r="AM122" s="622">
        <v>1.6499130000000001E-2</v>
      </c>
      <c r="AN122" s="289">
        <v>0</v>
      </c>
      <c r="AO122" s="289">
        <v>-96.456630880000006</v>
      </c>
      <c r="AP122" s="289">
        <v>0</v>
      </c>
      <c r="AQ122" s="289">
        <v>0</v>
      </c>
      <c r="AR122" s="289">
        <v>2316.7387787399998</v>
      </c>
      <c r="AS122" s="289">
        <v>15.1972</v>
      </c>
      <c r="AT122" s="289">
        <v>59</v>
      </c>
      <c r="AU122" s="289">
        <v>13</v>
      </c>
      <c r="AV122" s="625">
        <v>66281</v>
      </c>
      <c r="AW122" s="289">
        <v>-30.816800000000001</v>
      </c>
      <c r="AX122" s="625">
        <v>5.6666666699999997</v>
      </c>
      <c r="AY122" s="289">
        <v>240</v>
      </c>
      <c r="AZ122" s="289">
        <v>55</v>
      </c>
      <c r="BA122" s="290">
        <v>30</v>
      </c>
      <c r="BB122" s="289">
        <v>5543</v>
      </c>
      <c r="BC122" s="289">
        <v>454</v>
      </c>
      <c r="BD122" s="289">
        <v>25.7471</v>
      </c>
      <c r="BE122" s="289">
        <v>64580.66381048</v>
      </c>
      <c r="BF122" s="289">
        <v>0</v>
      </c>
      <c r="BG122" s="289">
        <v>13</v>
      </c>
      <c r="BH122" s="289">
        <v>-12.9053</v>
      </c>
      <c r="BI122" s="289">
        <v>438</v>
      </c>
      <c r="BJ122" s="289">
        <v>-1.6259999999999999</v>
      </c>
      <c r="BK122" s="289">
        <v>0</v>
      </c>
      <c r="BL122" s="289">
        <v>0</v>
      </c>
      <c r="BM122" s="289">
        <v>0</v>
      </c>
      <c r="BN122" s="289">
        <v>0</v>
      </c>
      <c r="BO122" s="517">
        <v>0</v>
      </c>
      <c r="BP122" s="517">
        <v>0</v>
      </c>
      <c r="BQ122" s="289">
        <f t="shared" si="2"/>
        <v>-1.6259718815999999</v>
      </c>
      <c r="BR122" s="289">
        <v>0</v>
      </c>
      <c r="BS122" s="289">
        <f t="shared" si="3"/>
        <v>0</v>
      </c>
      <c r="BT122" s="289">
        <v>3</v>
      </c>
      <c r="BU122" s="289">
        <v>0</v>
      </c>
      <c r="BV122" s="289">
        <v>26</v>
      </c>
      <c r="BW122" s="289">
        <v>157.18299999999999</v>
      </c>
      <c r="BX122" s="289">
        <v>32.883000000000003</v>
      </c>
      <c r="CC122" s="517"/>
      <c r="CD122" s="85"/>
      <c r="CE122" s="517"/>
    </row>
    <row r="123" spans="1:83" ht="13">
      <c r="A123" s="1">
        <v>1573</v>
      </c>
      <c r="B123" s="2" t="s">
        <v>116</v>
      </c>
      <c r="C123" s="289">
        <v>2172</v>
      </c>
      <c r="D123" s="289">
        <v>38</v>
      </c>
      <c r="E123" s="289">
        <v>69</v>
      </c>
      <c r="F123" s="289">
        <v>235</v>
      </c>
      <c r="G123" s="289">
        <v>161</v>
      </c>
      <c r="H123" s="289">
        <v>1228</v>
      </c>
      <c r="I123" s="289">
        <v>297</v>
      </c>
      <c r="J123" s="289">
        <v>111</v>
      </c>
      <c r="K123" s="289">
        <v>34</v>
      </c>
      <c r="L123" s="289">
        <v>20</v>
      </c>
      <c r="M123" s="289">
        <v>206</v>
      </c>
      <c r="N123" s="290">
        <v>1.5</v>
      </c>
      <c r="O123" s="290">
        <v>29</v>
      </c>
      <c r="P123" s="624">
        <v>35968.610333329998</v>
      </c>
      <c r="Q123" s="624">
        <v>9358.1640000000007</v>
      </c>
      <c r="R123" s="624">
        <v>13</v>
      </c>
      <c r="S123" s="289">
        <v>0</v>
      </c>
      <c r="T123" s="289">
        <v>198</v>
      </c>
      <c r="U123" s="716">
        <v>1.5867700880979074E-3</v>
      </c>
      <c r="V123" s="289">
        <v>923.33769007000001</v>
      </c>
      <c r="W123" s="743">
        <v>1</v>
      </c>
      <c r="X123" s="289">
        <v>640</v>
      </c>
      <c r="Y123" s="289">
        <v>0</v>
      </c>
      <c r="Z123" s="289">
        <v>54874</v>
      </c>
      <c r="AA123" s="289">
        <v>0</v>
      </c>
      <c r="AB123" s="290">
        <v>40</v>
      </c>
      <c r="AC123" s="289">
        <v>0</v>
      </c>
      <c r="AD123" s="289">
        <v>0</v>
      </c>
      <c r="AE123" s="289">
        <v>0</v>
      </c>
      <c r="AF123" s="289">
        <v>0</v>
      </c>
      <c r="AG123" s="289">
        <v>2173</v>
      </c>
      <c r="AH123" s="289">
        <v>266</v>
      </c>
      <c r="AI123" s="289">
        <v>200</v>
      </c>
      <c r="AJ123" s="289">
        <v>0</v>
      </c>
      <c r="AK123" s="289">
        <v>6.74</v>
      </c>
      <c r="AL123" s="289"/>
      <c r="AM123" s="622">
        <v>2.3873459999999999E-2</v>
      </c>
      <c r="AN123" s="289">
        <v>0</v>
      </c>
      <c r="AO123" s="289">
        <v>-128.42506076999999</v>
      </c>
      <c r="AP123" s="289">
        <v>0</v>
      </c>
      <c r="AQ123" s="289">
        <v>0</v>
      </c>
      <c r="AR123" s="289">
        <v>-155.31342866</v>
      </c>
      <c r="AS123" s="289">
        <v>23.2546</v>
      </c>
      <c r="AT123" s="289">
        <v>84</v>
      </c>
      <c r="AU123" s="289">
        <v>17</v>
      </c>
      <c r="AV123" s="625">
        <v>79887</v>
      </c>
      <c r="AW123" s="289">
        <v>-1.1033999999999999</v>
      </c>
      <c r="AX123" s="625">
        <v>10.08333333</v>
      </c>
      <c r="AY123" s="289">
        <v>315</v>
      </c>
      <c r="AZ123" s="289">
        <v>78</v>
      </c>
      <c r="BA123" s="290">
        <v>36</v>
      </c>
      <c r="BB123" s="289">
        <v>5543</v>
      </c>
      <c r="BC123" s="289">
        <v>381</v>
      </c>
      <c r="BD123" s="289">
        <v>35.302799999999998</v>
      </c>
      <c r="BE123" s="289">
        <v>81965.386269519993</v>
      </c>
      <c r="BF123" s="289">
        <v>0</v>
      </c>
      <c r="BG123" s="289">
        <v>0</v>
      </c>
      <c r="BH123" s="289">
        <v>-17.7041</v>
      </c>
      <c r="BI123" s="289">
        <v>266</v>
      </c>
      <c r="BJ123" s="289">
        <v>-2.2305999999999999</v>
      </c>
      <c r="BK123" s="289">
        <v>0</v>
      </c>
      <c r="BL123" s="289">
        <v>0</v>
      </c>
      <c r="BM123" s="289">
        <v>0</v>
      </c>
      <c r="BN123" s="289">
        <v>0</v>
      </c>
      <c r="BO123" s="517">
        <v>0</v>
      </c>
      <c r="BP123" s="517">
        <v>0</v>
      </c>
      <c r="BQ123" s="289">
        <f t="shared" si="2"/>
        <v>-2.2305788502000001</v>
      </c>
      <c r="BR123" s="289">
        <v>0</v>
      </c>
      <c r="BS123" s="289">
        <f t="shared" si="3"/>
        <v>0</v>
      </c>
      <c r="BT123" s="289">
        <v>4</v>
      </c>
      <c r="BU123" s="289">
        <v>0</v>
      </c>
      <c r="BV123" s="289">
        <v>32</v>
      </c>
      <c r="BW123" s="289">
        <v>157.18299999999999</v>
      </c>
      <c r="BX123" s="289">
        <v>44.703000000000003</v>
      </c>
      <c r="CC123" s="517"/>
      <c r="CD123" s="85"/>
      <c r="CE123" s="517"/>
    </row>
    <row r="124" spans="1:83" ht="13">
      <c r="A124" s="1">
        <v>1576</v>
      </c>
      <c r="B124" s="4" t="s">
        <v>710</v>
      </c>
      <c r="C124" s="289">
        <v>3593</v>
      </c>
      <c r="D124" s="289">
        <v>69</v>
      </c>
      <c r="E124" s="289">
        <v>129</v>
      </c>
      <c r="F124" s="289">
        <v>407</v>
      </c>
      <c r="G124" s="289">
        <v>323</v>
      </c>
      <c r="H124" s="289">
        <v>1919</v>
      </c>
      <c r="I124" s="289">
        <v>527</v>
      </c>
      <c r="J124" s="289">
        <v>174</v>
      </c>
      <c r="K124" s="289">
        <v>49</v>
      </c>
      <c r="L124" s="289">
        <v>25</v>
      </c>
      <c r="M124" s="289">
        <v>344</v>
      </c>
      <c r="N124" s="290">
        <v>13</v>
      </c>
      <c r="O124" s="290">
        <v>44</v>
      </c>
      <c r="P124" s="624">
        <v>67613.837</v>
      </c>
      <c r="Q124" s="624">
        <v>26510.3</v>
      </c>
      <c r="R124" s="624">
        <v>15</v>
      </c>
      <c r="S124" s="289">
        <v>0</v>
      </c>
      <c r="T124" s="289">
        <v>285</v>
      </c>
      <c r="U124" s="716">
        <v>2.5203198232166234E-3</v>
      </c>
      <c r="V124" s="289">
        <v>1474.81337876</v>
      </c>
      <c r="W124" s="743">
        <v>1</v>
      </c>
      <c r="X124" s="289">
        <v>790</v>
      </c>
      <c r="Y124" s="289">
        <v>392</v>
      </c>
      <c r="Z124" s="289">
        <v>90980</v>
      </c>
      <c r="AA124" s="289">
        <v>0</v>
      </c>
      <c r="AB124" s="290">
        <v>52</v>
      </c>
      <c r="AC124" s="289">
        <v>0</v>
      </c>
      <c r="AD124" s="289">
        <v>0</v>
      </c>
      <c r="AE124" s="289">
        <v>0</v>
      </c>
      <c r="AF124" s="289">
        <v>24457.033890269999</v>
      </c>
      <c r="AG124" s="289">
        <v>3597</v>
      </c>
      <c r="AH124" s="289">
        <v>478</v>
      </c>
      <c r="AI124" s="289">
        <v>0</v>
      </c>
      <c r="AJ124" s="289">
        <v>0</v>
      </c>
      <c r="AK124" s="289">
        <v>13.3813</v>
      </c>
      <c r="AL124" s="289"/>
      <c r="AM124" s="622">
        <v>8.1701960000000004E-2</v>
      </c>
      <c r="AN124" s="289">
        <v>5103</v>
      </c>
      <c r="AO124" s="289">
        <v>-205.12863259</v>
      </c>
      <c r="AP124" s="289">
        <v>0</v>
      </c>
      <c r="AQ124" s="289">
        <v>0</v>
      </c>
      <c r="AR124" s="289">
        <v>-257.09268426</v>
      </c>
      <c r="AS124" s="289">
        <v>37.649099999999997</v>
      </c>
      <c r="AT124" s="289">
        <v>149</v>
      </c>
      <c r="AU124" s="289">
        <v>37</v>
      </c>
      <c r="AV124" s="625">
        <v>140649</v>
      </c>
      <c r="AW124" s="289">
        <v>-1.8265</v>
      </c>
      <c r="AX124" s="625">
        <v>31.666666670000001</v>
      </c>
      <c r="AY124" s="289">
        <v>573</v>
      </c>
      <c r="AZ124" s="289">
        <v>191</v>
      </c>
      <c r="BA124" s="290">
        <v>70</v>
      </c>
      <c r="BB124" s="289">
        <v>0</v>
      </c>
      <c r="BC124" s="289">
        <v>24830.265000259998</v>
      </c>
      <c r="BD124" s="289">
        <v>63.438800000000001</v>
      </c>
      <c r="BE124" s="289">
        <v>148504.18015629999</v>
      </c>
      <c r="BF124" s="289">
        <v>0</v>
      </c>
      <c r="BG124" s="289">
        <v>11</v>
      </c>
      <c r="BH124" s="289">
        <v>-29.305900000000001</v>
      </c>
      <c r="BI124" s="289">
        <v>25327.033890269999</v>
      </c>
      <c r="BJ124" s="289">
        <v>-3.6922999999999999</v>
      </c>
      <c r="BK124" s="289">
        <v>0</v>
      </c>
      <c r="BL124" s="289">
        <v>0</v>
      </c>
      <c r="BM124" s="289">
        <v>0</v>
      </c>
      <c r="BN124" s="289">
        <v>0</v>
      </c>
      <c r="BO124" s="517">
        <v>0</v>
      </c>
      <c r="BP124" s="517">
        <v>0</v>
      </c>
      <c r="BQ124" s="289">
        <f t="shared" si="2"/>
        <v>-3.6923111477999999</v>
      </c>
      <c r="BR124" s="289">
        <v>0</v>
      </c>
      <c r="BS124" s="289">
        <f t="shared" si="3"/>
        <v>0</v>
      </c>
      <c r="BT124" s="289">
        <v>8</v>
      </c>
      <c r="BU124" s="289">
        <v>0</v>
      </c>
      <c r="BV124" s="289">
        <v>50</v>
      </c>
      <c r="BW124" s="289">
        <v>178.14</v>
      </c>
      <c r="BX124" s="289">
        <v>74.427999999999997</v>
      </c>
      <c r="CC124" s="517"/>
      <c r="CD124" s="85"/>
      <c r="CE124" s="517"/>
    </row>
    <row r="125" spans="1:83" ht="13">
      <c r="A125" s="1">
        <v>1804</v>
      </c>
      <c r="B125" s="2" t="s">
        <v>174</v>
      </c>
      <c r="C125" s="289">
        <v>51558</v>
      </c>
      <c r="D125" s="289">
        <v>1102</v>
      </c>
      <c r="E125" s="289">
        <v>2414</v>
      </c>
      <c r="F125" s="289">
        <v>6161</v>
      </c>
      <c r="G125" s="289">
        <v>4767</v>
      </c>
      <c r="H125" s="289">
        <v>29889</v>
      </c>
      <c r="I125" s="289">
        <v>4983</v>
      </c>
      <c r="J125" s="289">
        <v>1508</v>
      </c>
      <c r="K125" s="289">
        <v>296</v>
      </c>
      <c r="L125" s="289">
        <v>389</v>
      </c>
      <c r="M125" s="289">
        <v>2861</v>
      </c>
      <c r="N125" s="290">
        <v>764</v>
      </c>
      <c r="O125" s="290">
        <v>325</v>
      </c>
      <c r="P125" s="624">
        <v>226232.353</v>
      </c>
      <c r="Q125" s="624">
        <v>59059.704333330003</v>
      </c>
      <c r="R125" s="624">
        <v>185</v>
      </c>
      <c r="S125" s="289">
        <v>0</v>
      </c>
      <c r="T125" s="289">
        <v>4309</v>
      </c>
      <c r="U125" s="716">
        <v>3.4583308378824183E-3</v>
      </c>
      <c r="V125" s="289">
        <v>9033.8635801</v>
      </c>
      <c r="W125" s="743">
        <v>0.55610665000000004</v>
      </c>
      <c r="X125" s="289">
        <v>17000</v>
      </c>
      <c r="Y125" s="289">
        <v>392</v>
      </c>
      <c r="Z125" s="289">
        <v>1519251</v>
      </c>
      <c r="AA125" s="289">
        <v>0</v>
      </c>
      <c r="AB125" s="290">
        <v>934</v>
      </c>
      <c r="AC125" s="289">
        <v>0</v>
      </c>
      <c r="AD125" s="289">
        <v>0</v>
      </c>
      <c r="AE125" s="289">
        <v>0</v>
      </c>
      <c r="AF125" s="289">
        <v>14677.73402987</v>
      </c>
      <c r="AG125" s="289">
        <v>51120</v>
      </c>
      <c r="AH125" s="289">
        <v>7351</v>
      </c>
      <c r="AI125" s="289">
        <v>1100</v>
      </c>
      <c r="AJ125" s="289">
        <v>0</v>
      </c>
      <c r="AK125" s="289">
        <v>248.88849999999999</v>
      </c>
      <c r="AL125" s="289">
        <v>87248</v>
      </c>
      <c r="AM125" s="622">
        <v>0.93816759000000005</v>
      </c>
      <c r="AN125" s="289">
        <v>0</v>
      </c>
      <c r="AO125" s="289">
        <v>-2352.7077650199999</v>
      </c>
      <c r="AP125" s="289">
        <v>0</v>
      </c>
      <c r="AQ125" s="289">
        <v>0</v>
      </c>
      <c r="AR125" s="289">
        <v>-3653.76091731</v>
      </c>
      <c r="AS125" s="289">
        <v>611.76329999999996</v>
      </c>
      <c r="AT125" s="289">
        <v>2580</v>
      </c>
      <c r="AU125" s="289">
        <v>540</v>
      </c>
      <c r="AV125" s="625">
        <v>1172204</v>
      </c>
      <c r="AW125" s="289">
        <v>-25.958600000000001</v>
      </c>
      <c r="AX125" s="625">
        <v>457.625</v>
      </c>
      <c r="AY125" s="289">
        <v>14016</v>
      </c>
      <c r="AZ125" s="289">
        <v>1753</v>
      </c>
      <c r="BA125" s="290">
        <v>1281</v>
      </c>
      <c r="BB125" s="289">
        <v>0</v>
      </c>
      <c r="BC125" s="289">
        <v>23162.783654840001</v>
      </c>
      <c r="BD125" s="289">
        <v>975.60389999999995</v>
      </c>
      <c r="BE125" s="289">
        <v>1203146.3413682999</v>
      </c>
      <c r="BF125" s="289">
        <v>0</v>
      </c>
      <c r="BG125" s="289">
        <v>11</v>
      </c>
      <c r="BH125" s="289">
        <v>-416.49029999999999</v>
      </c>
      <c r="BI125" s="289">
        <v>22420.73402987</v>
      </c>
      <c r="BJ125" s="289">
        <v>-52.474499999999999</v>
      </c>
      <c r="BK125" s="289">
        <v>0</v>
      </c>
      <c r="BL125" s="289">
        <v>0</v>
      </c>
      <c r="BM125" s="289">
        <v>0</v>
      </c>
      <c r="BN125" s="289">
        <v>0</v>
      </c>
      <c r="BO125" s="517">
        <v>0</v>
      </c>
      <c r="BP125" s="517">
        <v>0</v>
      </c>
      <c r="BQ125" s="289">
        <f t="shared" si="2"/>
        <v>-52.474547088000001</v>
      </c>
      <c r="BR125" s="289">
        <v>0</v>
      </c>
      <c r="BS125" s="289">
        <f t="shared" si="3"/>
        <v>0</v>
      </c>
      <c r="BT125" s="289">
        <v>143</v>
      </c>
      <c r="BU125" s="289">
        <v>0</v>
      </c>
      <c r="BV125" s="289">
        <v>450</v>
      </c>
      <c r="BW125" s="289">
        <v>500.88900000000001</v>
      </c>
      <c r="BX125" s="289">
        <v>1075.671</v>
      </c>
      <c r="CC125" s="517"/>
      <c r="CD125" s="85"/>
      <c r="CE125" s="517"/>
    </row>
    <row r="126" spans="1:83" ht="13">
      <c r="A126" s="1">
        <v>1805</v>
      </c>
      <c r="B126" s="2" t="s">
        <v>175</v>
      </c>
      <c r="C126" s="289">
        <v>18638</v>
      </c>
      <c r="D126" s="289">
        <v>379</v>
      </c>
      <c r="E126" s="289">
        <v>785</v>
      </c>
      <c r="F126" s="289">
        <v>2036</v>
      </c>
      <c r="G126" s="289">
        <v>1661</v>
      </c>
      <c r="H126" s="289">
        <v>10656</v>
      </c>
      <c r="I126" s="289">
        <v>2168</v>
      </c>
      <c r="J126" s="289">
        <v>815</v>
      </c>
      <c r="K126" s="289">
        <v>223</v>
      </c>
      <c r="L126" s="289">
        <v>153</v>
      </c>
      <c r="M126" s="289">
        <v>1513</v>
      </c>
      <c r="N126" s="290">
        <v>270</v>
      </c>
      <c r="O126" s="290">
        <v>146</v>
      </c>
      <c r="P126" s="624">
        <v>106923.001</v>
      </c>
      <c r="Q126" s="624">
        <v>21277.723000000002</v>
      </c>
      <c r="R126" s="624">
        <v>76</v>
      </c>
      <c r="S126" s="289">
        <v>0</v>
      </c>
      <c r="T126" s="289">
        <v>1597</v>
      </c>
      <c r="U126" s="716">
        <v>1.2498284640941968E-3</v>
      </c>
      <c r="V126" s="289">
        <v>-2462.8828634400002</v>
      </c>
      <c r="W126" s="743">
        <v>0.59645954999999995</v>
      </c>
      <c r="X126" s="289">
        <v>0</v>
      </c>
      <c r="Y126" s="289">
        <v>392</v>
      </c>
      <c r="Z126" s="289">
        <v>525327</v>
      </c>
      <c r="AA126" s="289">
        <v>0</v>
      </c>
      <c r="AB126" s="290">
        <v>319</v>
      </c>
      <c r="AC126" s="289">
        <v>0</v>
      </c>
      <c r="AD126" s="289">
        <v>2177.172</v>
      </c>
      <c r="AE126" s="289">
        <v>0</v>
      </c>
      <c r="AF126" s="289">
        <v>0</v>
      </c>
      <c r="AG126" s="289">
        <v>18723</v>
      </c>
      <c r="AH126" s="289">
        <v>2469</v>
      </c>
      <c r="AI126" s="289">
        <v>3650</v>
      </c>
      <c r="AJ126" s="289">
        <v>0</v>
      </c>
      <c r="AK126" s="289">
        <v>80.682000000000002</v>
      </c>
      <c r="AL126" s="289">
        <v>32073</v>
      </c>
      <c r="AM126" s="622">
        <v>0.44298120000000002</v>
      </c>
      <c r="AN126" s="289">
        <v>0</v>
      </c>
      <c r="AO126" s="289">
        <v>-910.48540538999998</v>
      </c>
      <c r="AP126" s="289">
        <v>0</v>
      </c>
      <c r="AQ126" s="289">
        <v>0</v>
      </c>
      <c r="AR126" s="289">
        <v>-1338.2113782199999</v>
      </c>
      <c r="AS126" s="289">
        <v>225.9359</v>
      </c>
      <c r="AT126" s="289">
        <v>912</v>
      </c>
      <c r="AU126" s="289">
        <v>248</v>
      </c>
      <c r="AV126" s="625">
        <v>470521</v>
      </c>
      <c r="AW126" s="289">
        <v>-9.5075000000000003</v>
      </c>
      <c r="AX126" s="625">
        <v>154.875</v>
      </c>
      <c r="AY126" s="289">
        <v>4260</v>
      </c>
      <c r="AZ126" s="289">
        <v>689</v>
      </c>
      <c r="BA126" s="290">
        <v>399</v>
      </c>
      <c r="BB126" s="289">
        <v>0</v>
      </c>
      <c r="BC126" s="289">
        <v>3103</v>
      </c>
      <c r="BD126" s="289">
        <v>327.67869999999999</v>
      </c>
      <c r="BE126" s="289">
        <v>479677.86734005</v>
      </c>
      <c r="BF126" s="289">
        <v>0</v>
      </c>
      <c r="BG126" s="289">
        <v>11</v>
      </c>
      <c r="BH126" s="289">
        <v>-152.542</v>
      </c>
      <c r="BI126" s="289">
        <v>5038.1719999999996</v>
      </c>
      <c r="BJ126" s="289">
        <v>643.50760000000002</v>
      </c>
      <c r="BK126" s="289">
        <v>1605</v>
      </c>
      <c r="BL126" s="289">
        <v>0</v>
      </c>
      <c r="BM126" s="289">
        <v>3903</v>
      </c>
      <c r="BN126" s="289">
        <v>0</v>
      </c>
      <c r="BO126" s="517">
        <v>0</v>
      </c>
      <c r="BP126" s="517">
        <v>0</v>
      </c>
      <c r="BQ126" s="289">
        <f t="shared" si="2"/>
        <v>-19.219110820200001</v>
      </c>
      <c r="BR126" s="289">
        <v>4444.4859999999999</v>
      </c>
      <c r="BS126" s="289">
        <f t="shared" si="3"/>
        <v>2267.3139999999999</v>
      </c>
      <c r="BT126" s="289">
        <v>46</v>
      </c>
      <c r="BU126" s="289">
        <v>0</v>
      </c>
      <c r="BV126" s="289">
        <v>178</v>
      </c>
      <c r="BW126" s="289">
        <v>283.97699999999998</v>
      </c>
      <c r="BX126" s="289">
        <v>386.91199999999998</v>
      </c>
      <c r="CC126" s="517"/>
      <c r="CD126" s="85"/>
      <c r="CE126" s="517"/>
    </row>
    <row r="127" spans="1:83" ht="13">
      <c r="A127" s="1">
        <v>1811</v>
      </c>
      <c r="B127" s="2" t="s">
        <v>176</v>
      </c>
      <c r="C127" s="289">
        <v>1486</v>
      </c>
      <c r="D127" s="289">
        <v>23</v>
      </c>
      <c r="E127" s="289">
        <v>59</v>
      </c>
      <c r="F127" s="289">
        <v>159</v>
      </c>
      <c r="G127" s="289">
        <v>125</v>
      </c>
      <c r="H127" s="289">
        <v>759</v>
      </c>
      <c r="I127" s="289">
        <v>251</v>
      </c>
      <c r="J127" s="289">
        <v>83</v>
      </c>
      <c r="K127" s="289">
        <v>17</v>
      </c>
      <c r="L127" s="289">
        <v>13</v>
      </c>
      <c r="M127" s="289">
        <v>178</v>
      </c>
      <c r="N127" s="290">
        <v>1.5</v>
      </c>
      <c r="O127" s="290">
        <v>4</v>
      </c>
      <c r="P127" s="624">
        <v>30764.82766667</v>
      </c>
      <c r="Q127" s="624">
        <v>13468.517666670001</v>
      </c>
      <c r="R127" s="624">
        <v>10</v>
      </c>
      <c r="S127" s="289">
        <v>0</v>
      </c>
      <c r="T127" s="289">
        <v>123</v>
      </c>
      <c r="U127" s="716">
        <v>1.3938078221975327E-3</v>
      </c>
      <c r="V127" s="289">
        <v>-4610.78895216</v>
      </c>
      <c r="W127" s="743">
        <v>1</v>
      </c>
      <c r="X127" s="289">
        <v>790</v>
      </c>
      <c r="Y127" s="289">
        <v>392</v>
      </c>
      <c r="Z127" s="289">
        <v>40198</v>
      </c>
      <c r="AA127" s="289">
        <v>0</v>
      </c>
      <c r="AB127" s="290">
        <v>38</v>
      </c>
      <c r="AC127" s="289">
        <v>0</v>
      </c>
      <c r="AD127" s="289">
        <v>0</v>
      </c>
      <c r="AE127" s="289">
        <v>0</v>
      </c>
      <c r="AF127" s="289">
        <v>0</v>
      </c>
      <c r="AG127" s="289">
        <v>1476</v>
      </c>
      <c r="AH127" s="289">
        <v>188</v>
      </c>
      <c r="AI127" s="289">
        <v>245</v>
      </c>
      <c r="AJ127" s="289">
        <v>0</v>
      </c>
      <c r="AK127" s="289">
        <v>5.6013999999999999</v>
      </c>
      <c r="AL127" s="289">
        <v>2519</v>
      </c>
      <c r="AM127" s="622">
        <v>1.572639E-2</v>
      </c>
      <c r="AN127" s="289">
        <v>0</v>
      </c>
      <c r="AO127" s="289">
        <v>-98.587009789999996</v>
      </c>
      <c r="AP127" s="289">
        <v>0</v>
      </c>
      <c r="AQ127" s="289">
        <v>0</v>
      </c>
      <c r="AR127" s="289">
        <v>24.66712575</v>
      </c>
      <c r="AS127" s="289">
        <v>15.819699999999999</v>
      </c>
      <c r="AT127" s="289">
        <v>47</v>
      </c>
      <c r="AU127" s="289">
        <v>11</v>
      </c>
      <c r="AV127" s="625">
        <v>67999</v>
      </c>
      <c r="AW127" s="289">
        <v>220.28440000000001</v>
      </c>
      <c r="AX127" s="625">
        <v>7.7083333300000003</v>
      </c>
      <c r="AY127" s="289">
        <v>221</v>
      </c>
      <c r="AZ127" s="289">
        <v>66</v>
      </c>
      <c r="BA127" s="290">
        <v>25</v>
      </c>
      <c r="BB127" s="289">
        <v>5543</v>
      </c>
      <c r="BC127" s="289">
        <v>678</v>
      </c>
      <c r="BD127" s="289">
        <v>24.950800000000001</v>
      </c>
      <c r="BE127" s="289">
        <v>67661.455592280006</v>
      </c>
      <c r="BF127" s="289">
        <v>0</v>
      </c>
      <c r="BG127" s="289">
        <v>11</v>
      </c>
      <c r="BH127" s="289">
        <v>-12.025399999999999</v>
      </c>
      <c r="BI127" s="289">
        <v>580</v>
      </c>
      <c r="BJ127" s="289">
        <v>-1.5150999999999999</v>
      </c>
      <c r="BK127" s="289">
        <v>0</v>
      </c>
      <c r="BL127" s="289">
        <v>0</v>
      </c>
      <c r="BM127" s="289">
        <v>498</v>
      </c>
      <c r="BN127" s="289">
        <v>0</v>
      </c>
      <c r="BO127" s="517">
        <v>-498</v>
      </c>
      <c r="BP127" s="289">
        <v>0</v>
      </c>
      <c r="BQ127" s="289">
        <f t="shared" si="2"/>
        <v>-1.5151101624000001</v>
      </c>
      <c r="BR127" s="289">
        <v>0</v>
      </c>
      <c r="BS127" s="289">
        <f t="shared" si="3"/>
        <v>0</v>
      </c>
      <c r="BT127" s="289">
        <v>3</v>
      </c>
      <c r="BU127" s="289">
        <v>0</v>
      </c>
      <c r="BV127" s="289">
        <v>27</v>
      </c>
      <c r="BW127" s="289">
        <v>157.18299999999999</v>
      </c>
      <c r="BX127" s="289">
        <v>30.577000000000002</v>
      </c>
      <c r="CC127" s="517"/>
      <c r="CD127" s="85"/>
      <c r="CE127" s="517"/>
    </row>
    <row r="128" spans="1:83" ht="13">
      <c r="A128" s="1">
        <v>1812</v>
      </c>
      <c r="B128" s="2" t="s">
        <v>177</v>
      </c>
      <c r="C128" s="289">
        <v>2020</v>
      </c>
      <c r="D128" s="289">
        <v>29</v>
      </c>
      <c r="E128" s="289">
        <v>74</v>
      </c>
      <c r="F128" s="289">
        <v>257</v>
      </c>
      <c r="G128" s="289">
        <v>189</v>
      </c>
      <c r="H128" s="289">
        <v>1087</v>
      </c>
      <c r="I128" s="289">
        <v>283</v>
      </c>
      <c r="J128" s="289">
        <v>99</v>
      </c>
      <c r="K128" s="289">
        <v>20</v>
      </c>
      <c r="L128" s="289">
        <v>19</v>
      </c>
      <c r="M128" s="289">
        <v>199</v>
      </c>
      <c r="N128" s="290">
        <v>11</v>
      </c>
      <c r="O128" s="290">
        <v>20</v>
      </c>
      <c r="P128" s="624">
        <v>14719.194666670001</v>
      </c>
      <c r="Q128" s="624">
        <v>5544.6673333299996</v>
      </c>
      <c r="R128" s="624">
        <v>18</v>
      </c>
      <c r="S128" s="289">
        <v>0</v>
      </c>
      <c r="T128" s="289">
        <v>169</v>
      </c>
      <c r="U128" s="716">
        <v>1.9318657422016951E-3</v>
      </c>
      <c r="V128" s="289">
        <v>890.28353861000005</v>
      </c>
      <c r="W128" s="743">
        <v>0.92746417000000003</v>
      </c>
      <c r="X128" s="289">
        <v>170</v>
      </c>
      <c r="Y128" s="289">
        <v>392</v>
      </c>
      <c r="Z128" s="289">
        <v>44273</v>
      </c>
      <c r="AA128" s="289">
        <v>0</v>
      </c>
      <c r="AB128" s="290">
        <v>62</v>
      </c>
      <c r="AC128" s="289">
        <v>0</v>
      </c>
      <c r="AD128" s="289">
        <v>0</v>
      </c>
      <c r="AE128" s="289">
        <v>0</v>
      </c>
      <c r="AF128" s="289">
        <v>0</v>
      </c>
      <c r="AG128" s="289">
        <v>2038</v>
      </c>
      <c r="AH128" s="289">
        <v>288</v>
      </c>
      <c r="AI128" s="289">
        <v>1250</v>
      </c>
      <c r="AJ128" s="289">
        <v>0</v>
      </c>
      <c r="AK128" s="289">
        <v>7.3083</v>
      </c>
      <c r="AL128" s="289">
        <v>3500</v>
      </c>
      <c r="AM128" s="622">
        <v>2.6634950000000001E-2</v>
      </c>
      <c r="AN128" s="289">
        <v>0</v>
      </c>
      <c r="AO128" s="289">
        <v>-123.82762966999999</v>
      </c>
      <c r="AP128" s="289">
        <v>0</v>
      </c>
      <c r="AQ128" s="289">
        <v>0</v>
      </c>
      <c r="AR128" s="289">
        <v>-145.66441216000001</v>
      </c>
      <c r="AS128" s="289">
        <v>23.8643</v>
      </c>
      <c r="AT128" s="289">
        <v>89</v>
      </c>
      <c r="AU128" s="289">
        <v>19</v>
      </c>
      <c r="AV128" s="625">
        <v>82968</v>
      </c>
      <c r="AW128" s="289">
        <v>-1.0348999999999999</v>
      </c>
      <c r="AX128" s="625">
        <v>12.16666667</v>
      </c>
      <c r="AY128" s="289">
        <v>335</v>
      </c>
      <c r="AZ128" s="289">
        <v>66</v>
      </c>
      <c r="BA128" s="290">
        <v>35</v>
      </c>
      <c r="BB128" s="289">
        <v>5543</v>
      </c>
      <c r="BC128" s="289">
        <v>722</v>
      </c>
      <c r="BD128" s="289">
        <v>38.222499999999997</v>
      </c>
      <c r="BE128" s="289">
        <v>84218.670852769996</v>
      </c>
      <c r="BF128" s="289">
        <v>0</v>
      </c>
      <c r="BG128" s="289">
        <v>11</v>
      </c>
      <c r="BH128" s="289">
        <v>-16.604199999999999</v>
      </c>
      <c r="BI128" s="289">
        <v>680</v>
      </c>
      <c r="BJ128" s="289">
        <v>-2.0920000000000001</v>
      </c>
      <c r="BK128" s="289">
        <v>0</v>
      </c>
      <c r="BL128" s="289">
        <v>0</v>
      </c>
      <c r="BM128" s="289">
        <v>0</v>
      </c>
      <c r="BN128" s="289">
        <v>0</v>
      </c>
      <c r="BO128" s="517">
        <v>0</v>
      </c>
      <c r="BP128" s="517">
        <v>0</v>
      </c>
      <c r="BQ128" s="289">
        <f t="shared" si="2"/>
        <v>-2.0920017012000001</v>
      </c>
      <c r="BR128" s="289">
        <v>0</v>
      </c>
      <c r="BS128" s="289">
        <f t="shared" si="3"/>
        <v>0</v>
      </c>
      <c r="BT128" s="289">
        <v>4</v>
      </c>
      <c r="BU128" s="289">
        <v>0</v>
      </c>
      <c r="BV128" s="289">
        <v>28</v>
      </c>
      <c r="BW128" s="289">
        <v>157.18299999999999</v>
      </c>
      <c r="BX128" s="289">
        <v>41.898000000000003</v>
      </c>
      <c r="CC128" s="517"/>
      <c r="CD128" s="85"/>
      <c r="CE128" s="517"/>
    </row>
    <row r="129" spans="1:83" ht="13">
      <c r="A129" s="1">
        <v>1813</v>
      </c>
      <c r="B129" s="2" t="s">
        <v>178</v>
      </c>
      <c r="C129" s="289">
        <v>7948</v>
      </c>
      <c r="D129" s="289">
        <v>160</v>
      </c>
      <c r="E129" s="289">
        <v>366</v>
      </c>
      <c r="F129" s="289">
        <v>1026</v>
      </c>
      <c r="G129" s="289">
        <v>778</v>
      </c>
      <c r="H129" s="289">
        <v>4415</v>
      </c>
      <c r="I129" s="289">
        <v>865</v>
      </c>
      <c r="J129" s="289">
        <v>306</v>
      </c>
      <c r="K129" s="289">
        <v>54</v>
      </c>
      <c r="L129" s="289">
        <v>68</v>
      </c>
      <c r="M129" s="289">
        <v>590</v>
      </c>
      <c r="N129" s="290">
        <v>87</v>
      </c>
      <c r="O129" s="290">
        <v>80</v>
      </c>
      <c r="P129" s="624">
        <v>84909.957666670001</v>
      </c>
      <c r="Q129" s="624">
        <v>17366.707666670001</v>
      </c>
      <c r="R129" s="624">
        <v>59</v>
      </c>
      <c r="S129" s="289">
        <v>0</v>
      </c>
      <c r="T129" s="289">
        <v>629</v>
      </c>
      <c r="U129" s="716">
        <v>2.9695721513087114E-3</v>
      </c>
      <c r="V129" s="289">
        <v>3069.2189514900001</v>
      </c>
      <c r="W129" s="743">
        <v>0.64193173999999997</v>
      </c>
      <c r="X129" s="289">
        <v>116</v>
      </c>
      <c r="Y129" s="289">
        <v>392</v>
      </c>
      <c r="Z129" s="289">
        <v>197077</v>
      </c>
      <c r="AA129" s="289">
        <v>0</v>
      </c>
      <c r="AB129" s="290">
        <v>185</v>
      </c>
      <c r="AC129" s="289">
        <v>1550</v>
      </c>
      <c r="AD129" s="289">
        <v>0</v>
      </c>
      <c r="AE129" s="289">
        <v>0</v>
      </c>
      <c r="AF129" s="289">
        <v>0</v>
      </c>
      <c r="AG129" s="289">
        <v>7970</v>
      </c>
      <c r="AH129" s="289">
        <v>1195</v>
      </c>
      <c r="AI129" s="289">
        <v>1700</v>
      </c>
      <c r="AJ129" s="289">
        <v>0</v>
      </c>
      <c r="AK129" s="289">
        <v>35.753500000000003</v>
      </c>
      <c r="AL129" s="289">
        <v>13605</v>
      </c>
      <c r="AM129" s="622">
        <v>0.27542907999999999</v>
      </c>
      <c r="AN129" s="289">
        <v>0</v>
      </c>
      <c r="AO129" s="289">
        <v>-426.89108719000001</v>
      </c>
      <c r="AP129" s="289">
        <v>0</v>
      </c>
      <c r="AQ129" s="289">
        <v>0</v>
      </c>
      <c r="AR129" s="289">
        <v>-569.64934488999995</v>
      </c>
      <c r="AS129" s="289">
        <v>100.2137</v>
      </c>
      <c r="AT129" s="289">
        <v>452</v>
      </c>
      <c r="AU129" s="289">
        <v>129</v>
      </c>
      <c r="AV129" s="625">
        <v>242761</v>
      </c>
      <c r="AW129" s="289">
        <v>-4.0471000000000004</v>
      </c>
      <c r="AX129" s="625">
        <v>61.916666669999998</v>
      </c>
      <c r="AY129" s="289">
        <v>1422</v>
      </c>
      <c r="AZ129" s="289">
        <v>299</v>
      </c>
      <c r="BA129" s="290">
        <v>246</v>
      </c>
      <c r="BB129" s="289">
        <v>0</v>
      </c>
      <c r="BC129" s="289">
        <v>1782</v>
      </c>
      <c r="BD129" s="289">
        <v>158.59700000000001</v>
      </c>
      <c r="BE129" s="289">
        <v>246581.09640869999</v>
      </c>
      <c r="BF129" s="289">
        <v>0</v>
      </c>
      <c r="BG129" s="289">
        <v>11</v>
      </c>
      <c r="BH129" s="289">
        <v>-64.933999999999997</v>
      </c>
      <c r="BI129" s="289">
        <v>1587</v>
      </c>
      <c r="BJ129" s="289">
        <v>-8.1812000000000005</v>
      </c>
      <c r="BK129" s="289">
        <v>0</v>
      </c>
      <c r="BL129" s="289">
        <v>0</v>
      </c>
      <c r="BM129" s="289">
        <v>0</v>
      </c>
      <c r="BN129" s="289">
        <v>0</v>
      </c>
      <c r="BO129" s="517">
        <v>0</v>
      </c>
      <c r="BP129" s="517">
        <v>0</v>
      </c>
      <c r="BQ129" s="289">
        <f t="shared" si="2"/>
        <v>-8.1811842779999999</v>
      </c>
      <c r="BR129" s="289">
        <v>0</v>
      </c>
      <c r="BS129" s="289">
        <f t="shared" si="3"/>
        <v>0</v>
      </c>
      <c r="BT129" s="289">
        <v>20</v>
      </c>
      <c r="BU129" s="289">
        <v>0</v>
      </c>
      <c r="BV129" s="289">
        <v>82</v>
      </c>
      <c r="BW129" s="289">
        <v>210.625</v>
      </c>
      <c r="BX129" s="289">
        <v>164.58199999999999</v>
      </c>
      <c r="CC129" s="517"/>
      <c r="CD129" s="85"/>
      <c r="CE129" s="517"/>
    </row>
    <row r="130" spans="1:83" ht="13">
      <c r="A130" s="1">
        <v>1815</v>
      </c>
      <c r="B130" s="2" t="s">
        <v>179</v>
      </c>
      <c r="C130" s="289">
        <v>1221</v>
      </c>
      <c r="D130" s="289">
        <v>12</v>
      </c>
      <c r="E130" s="289">
        <v>40</v>
      </c>
      <c r="F130" s="289">
        <v>137</v>
      </c>
      <c r="G130" s="289">
        <v>113</v>
      </c>
      <c r="H130" s="289">
        <v>645</v>
      </c>
      <c r="I130" s="289">
        <v>206</v>
      </c>
      <c r="J130" s="289">
        <v>61</v>
      </c>
      <c r="K130" s="289">
        <v>13</v>
      </c>
      <c r="L130" s="289">
        <v>9</v>
      </c>
      <c r="M130" s="289">
        <v>152</v>
      </c>
      <c r="N130" s="290">
        <v>1.5</v>
      </c>
      <c r="O130" s="290">
        <v>13</v>
      </c>
      <c r="P130" s="624">
        <v>5739.8266666700001</v>
      </c>
      <c r="Q130" s="624">
        <v>5903.47</v>
      </c>
      <c r="R130" s="624">
        <v>4</v>
      </c>
      <c r="S130" s="289">
        <v>0</v>
      </c>
      <c r="T130" s="289">
        <v>98</v>
      </c>
      <c r="U130" s="716">
        <v>1.4709403057160592E-3</v>
      </c>
      <c r="V130" s="289">
        <v>542.49385471999994</v>
      </c>
      <c r="W130" s="743">
        <v>1</v>
      </c>
      <c r="X130" s="289">
        <v>2736</v>
      </c>
      <c r="Y130" s="289">
        <v>392</v>
      </c>
      <c r="Z130" s="289">
        <v>26288</v>
      </c>
      <c r="AA130" s="289">
        <v>0</v>
      </c>
      <c r="AB130" s="290">
        <v>26</v>
      </c>
      <c r="AC130" s="289">
        <v>0</v>
      </c>
      <c r="AD130" s="289">
        <v>0</v>
      </c>
      <c r="AE130" s="289">
        <v>0</v>
      </c>
      <c r="AF130" s="289">
        <v>0</v>
      </c>
      <c r="AG130" s="289">
        <v>1227</v>
      </c>
      <c r="AH130" s="289">
        <v>156</v>
      </c>
      <c r="AI130" s="289">
        <v>0</v>
      </c>
      <c r="AJ130" s="289">
        <v>0</v>
      </c>
      <c r="AK130" s="289">
        <v>3.7330000000000001</v>
      </c>
      <c r="AL130" s="289">
        <v>2110</v>
      </c>
      <c r="AM130" s="622">
        <v>1.6425479999999999E-2</v>
      </c>
      <c r="AN130" s="289">
        <v>0</v>
      </c>
      <c r="AO130" s="289">
        <v>-75.454307790000001</v>
      </c>
      <c r="AP130" s="289">
        <v>0</v>
      </c>
      <c r="AQ130" s="289">
        <v>0</v>
      </c>
      <c r="AR130" s="289">
        <v>-87.69883892</v>
      </c>
      <c r="AS130" s="289">
        <v>12.7361</v>
      </c>
      <c r="AT130" s="289">
        <v>52</v>
      </c>
      <c r="AU130" s="289">
        <v>13</v>
      </c>
      <c r="AV130" s="625">
        <v>53822</v>
      </c>
      <c r="AW130" s="289">
        <v>-0.62309999999999999</v>
      </c>
      <c r="AX130" s="625">
        <v>2.4166666700000001</v>
      </c>
      <c r="AY130" s="289">
        <v>203</v>
      </c>
      <c r="AZ130" s="289">
        <v>37</v>
      </c>
      <c r="BA130" s="290">
        <v>23</v>
      </c>
      <c r="BB130" s="289">
        <v>5543</v>
      </c>
      <c r="BC130" s="289">
        <v>605</v>
      </c>
      <c r="BD130" s="289">
        <v>20.703900000000001</v>
      </c>
      <c r="BE130" s="289">
        <v>56620.070608069997</v>
      </c>
      <c r="BF130" s="289">
        <v>0</v>
      </c>
      <c r="BG130" s="289">
        <v>11</v>
      </c>
      <c r="BH130" s="289">
        <v>-9.9967000000000006</v>
      </c>
      <c r="BI130" s="289">
        <v>548</v>
      </c>
      <c r="BJ130" s="289">
        <v>-1.2595000000000001</v>
      </c>
      <c r="BK130" s="289">
        <v>0</v>
      </c>
      <c r="BL130" s="289">
        <v>0</v>
      </c>
      <c r="BM130" s="289">
        <v>0</v>
      </c>
      <c r="BN130" s="289">
        <v>0</v>
      </c>
      <c r="BO130" s="517">
        <v>0</v>
      </c>
      <c r="BP130" s="517">
        <v>0</v>
      </c>
      <c r="BQ130" s="289">
        <f t="shared" si="2"/>
        <v>-1.2595123097999998</v>
      </c>
      <c r="BR130" s="289">
        <v>0</v>
      </c>
      <c r="BS130" s="289">
        <f t="shared" si="3"/>
        <v>0</v>
      </c>
      <c r="BT130" s="289">
        <v>2</v>
      </c>
      <c r="BU130" s="289">
        <v>0</v>
      </c>
      <c r="BV130" s="289">
        <v>21</v>
      </c>
      <c r="BW130" s="289">
        <v>157.18299999999999</v>
      </c>
      <c r="BX130" s="289">
        <v>25.53</v>
      </c>
      <c r="CC130" s="517"/>
      <c r="CD130" s="85"/>
      <c r="CE130" s="517"/>
    </row>
    <row r="131" spans="1:83" ht="13">
      <c r="A131" s="1">
        <v>1816</v>
      </c>
      <c r="B131" s="2" t="s">
        <v>180</v>
      </c>
      <c r="C131" s="289">
        <v>506</v>
      </c>
      <c r="D131" s="289">
        <v>9</v>
      </c>
      <c r="E131" s="289">
        <v>22</v>
      </c>
      <c r="F131" s="289">
        <v>54</v>
      </c>
      <c r="G131" s="289">
        <v>47</v>
      </c>
      <c r="H131" s="289">
        <v>276</v>
      </c>
      <c r="I131" s="289">
        <v>89</v>
      </c>
      <c r="J131" s="289">
        <v>17</v>
      </c>
      <c r="K131" s="289">
        <v>4</v>
      </c>
      <c r="L131" s="289">
        <v>6</v>
      </c>
      <c r="M131" s="289">
        <v>57</v>
      </c>
      <c r="N131" s="290">
        <v>1.5</v>
      </c>
      <c r="O131" s="290">
        <v>13</v>
      </c>
      <c r="P131" s="624">
        <v>3500.13166667</v>
      </c>
      <c r="Q131" s="624">
        <v>5557.1813333299997</v>
      </c>
      <c r="R131" s="624">
        <v>2</v>
      </c>
      <c r="S131" s="289">
        <v>0</v>
      </c>
      <c r="T131" s="289">
        <v>38</v>
      </c>
      <c r="U131" s="716">
        <v>8.3412327808477763E-4</v>
      </c>
      <c r="V131" s="289">
        <v>300.80985810999999</v>
      </c>
      <c r="W131" s="743">
        <v>1</v>
      </c>
      <c r="X131" s="289">
        <v>0</v>
      </c>
      <c r="Y131" s="289">
        <v>392</v>
      </c>
      <c r="Z131" s="289">
        <v>10264</v>
      </c>
      <c r="AA131" s="289">
        <v>0</v>
      </c>
      <c r="AB131" s="290">
        <v>11</v>
      </c>
      <c r="AC131" s="289">
        <v>0</v>
      </c>
      <c r="AD131" s="289">
        <v>0</v>
      </c>
      <c r="AE131" s="289">
        <v>234</v>
      </c>
      <c r="AF131" s="289">
        <v>0</v>
      </c>
      <c r="AG131" s="289">
        <v>518</v>
      </c>
      <c r="AH131" s="289">
        <v>100</v>
      </c>
      <c r="AI131" s="289">
        <v>0</v>
      </c>
      <c r="AJ131" s="289">
        <v>0</v>
      </c>
      <c r="AK131" s="289">
        <v>2.1465000000000001</v>
      </c>
      <c r="AL131" s="289">
        <v>903</v>
      </c>
      <c r="AM131" s="622">
        <v>2.9377600000000002E-3</v>
      </c>
      <c r="AN131" s="289">
        <v>0</v>
      </c>
      <c r="AO131" s="289">
        <v>-41.838998580000002</v>
      </c>
      <c r="AP131" s="289">
        <v>0</v>
      </c>
      <c r="AQ131" s="289">
        <v>0</v>
      </c>
      <c r="AR131" s="289">
        <v>-37.023633709999999</v>
      </c>
      <c r="AS131" s="289">
        <v>5.0462999999999996</v>
      </c>
      <c r="AT131" s="289">
        <v>21</v>
      </c>
      <c r="AU131" s="289">
        <v>3</v>
      </c>
      <c r="AV131" s="625">
        <v>35105</v>
      </c>
      <c r="AW131" s="289">
        <v>-0.26300000000000001</v>
      </c>
      <c r="AX131" s="625">
        <v>4</v>
      </c>
      <c r="AY131" s="289">
        <v>76</v>
      </c>
      <c r="AZ131" s="289">
        <v>13</v>
      </c>
      <c r="BA131" s="290">
        <v>10</v>
      </c>
      <c r="BB131" s="289">
        <v>5543</v>
      </c>
      <c r="BC131" s="289">
        <v>465</v>
      </c>
      <c r="BD131" s="289">
        <v>13.271699999999999</v>
      </c>
      <c r="BE131" s="289">
        <v>36796.037632779997</v>
      </c>
      <c r="BF131" s="289">
        <v>0</v>
      </c>
      <c r="BG131" s="289">
        <v>11</v>
      </c>
      <c r="BH131" s="289">
        <v>-4.2202999999999999</v>
      </c>
      <c r="BI131" s="289">
        <v>492</v>
      </c>
      <c r="BJ131" s="289">
        <v>-0.53169999999999995</v>
      </c>
      <c r="BK131" s="289">
        <v>0</v>
      </c>
      <c r="BL131" s="289">
        <v>0</v>
      </c>
      <c r="BM131" s="289">
        <v>0</v>
      </c>
      <c r="BN131" s="289">
        <v>0</v>
      </c>
      <c r="BO131" s="517">
        <v>0</v>
      </c>
      <c r="BP131" s="517">
        <v>0</v>
      </c>
      <c r="BQ131" s="289">
        <f t="shared" si="2"/>
        <v>-0.53172565319999998</v>
      </c>
      <c r="BR131" s="289">
        <v>0</v>
      </c>
      <c r="BS131" s="289">
        <f t="shared" si="3"/>
        <v>0</v>
      </c>
      <c r="BT131" s="289">
        <v>1</v>
      </c>
      <c r="BU131" s="289">
        <v>0</v>
      </c>
      <c r="BV131" s="289">
        <v>14</v>
      </c>
      <c r="BW131" s="289">
        <v>157.18299999999999</v>
      </c>
      <c r="BX131" s="289">
        <v>10.428000000000001</v>
      </c>
      <c r="CC131" s="517"/>
      <c r="CD131" s="85"/>
      <c r="CE131" s="517"/>
    </row>
    <row r="132" spans="1:83" ht="13">
      <c r="A132" s="1">
        <v>1818</v>
      </c>
      <c r="B132" s="2" t="s">
        <v>87</v>
      </c>
      <c r="C132" s="289">
        <v>1790</v>
      </c>
      <c r="D132" s="289">
        <v>38</v>
      </c>
      <c r="E132" s="289">
        <v>67</v>
      </c>
      <c r="F132" s="289">
        <v>200</v>
      </c>
      <c r="G132" s="289">
        <v>146</v>
      </c>
      <c r="H132" s="289">
        <v>996</v>
      </c>
      <c r="I132" s="289">
        <v>251</v>
      </c>
      <c r="J132" s="289">
        <v>64</v>
      </c>
      <c r="K132" s="289">
        <v>23</v>
      </c>
      <c r="L132" s="289">
        <v>16</v>
      </c>
      <c r="M132" s="289">
        <v>177</v>
      </c>
      <c r="N132" s="290">
        <v>14</v>
      </c>
      <c r="O132" s="290">
        <v>43</v>
      </c>
      <c r="P132" s="624">
        <v>9555.3619999999992</v>
      </c>
      <c r="Q132" s="624">
        <v>4484.09</v>
      </c>
      <c r="R132" s="624">
        <v>9</v>
      </c>
      <c r="S132" s="289">
        <v>0</v>
      </c>
      <c r="T132" s="289">
        <v>149</v>
      </c>
      <c r="U132" s="716">
        <v>7.0162173320189897E-4</v>
      </c>
      <c r="V132" s="289">
        <v>746.45680045999995</v>
      </c>
      <c r="W132" s="743">
        <v>1</v>
      </c>
      <c r="X132" s="289">
        <v>0</v>
      </c>
      <c r="Y132" s="289">
        <v>392</v>
      </c>
      <c r="Z132" s="289">
        <v>51964</v>
      </c>
      <c r="AA132" s="289">
        <v>0</v>
      </c>
      <c r="AB132" s="290">
        <v>48</v>
      </c>
      <c r="AC132" s="289">
        <v>0</v>
      </c>
      <c r="AD132" s="289">
        <v>0</v>
      </c>
      <c r="AE132" s="289">
        <v>0</v>
      </c>
      <c r="AF132" s="289">
        <v>0</v>
      </c>
      <c r="AG132" s="289">
        <v>1785</v>
      </c>
      <c r="AH132" s="289">
        <v>224</v>
      </c>
      <c r="AI132" s="289">
        <v>0</v>
      </c>
      <c r="AJ132" s="289">
        <v>0</v>
      </c>
      <c r="AK132" s="289">
        <v>6.4964000000000004</v>
      </c>
      <c r="AL132" s="289">
        <v>3057</v>
      </c>
      <c r="AM132" s="622">
        <v>2.7194719999999999E-2</v>
      </c>
      <c r="AN132" s="289">
        <v>0</v>
      </c>
      <c r="AO132" s="289">
        <v>-103.82307685000001</v>
      </c>
      <c r="AP132" s="289">
        <v>0</v>
      </c>
      <c r="AQ132" s="289">
        <v>0</v>
      </c>
      <c r="AR132" s="289">
        <v>-127.58144048</v>
      </c>
      <c r="AS132" s="289">
        <v>21.056999999999999</v>
      </c>
      <c r="AT132" s="289">
        <v>63</v>
      </c>
      <c r="AU132" s="289">
        <v>20</v>
      </c>
      <c r="AV132" s="625">
        <v>68747</v>
      </c>
      <c r="AW132" s="289">
        <v>-0.90639999999999998</v>
      </c>
      <c r="AX132" s="625">
        <v>12.33333333</v>
      </c>
      <c r="AY132" s="289">
        <v>208</v>
      </c>
      <c r="AZ132" s="289">
        <v>69</v>
      </c>
      <c r="BA132" s="290">
        <v>42</v>
      </c>
      <c r="BB132" s="289">
        <v>5543</v>
      </c>
      <c r="BC132" s="289">
        <v>655</v>
      </c>
      <c r="BD132" s="289">
        <v>29.7286</v>
      </c>
      <c r="BE132" s="289">
        <v>69518.34788139</v>
      </c>
      <c r="BF132" s="289">
        <v>0</v>
      </c>
      <c r="BG132" s="289">
        <v>11</v>
      </c>
      <c r="BH132" s="289">
        <v>-14.542899999999999</v>
      </c>
      <c r="BI132" s="289">
        <v>616</v>
      </c>
      <c r="BJ132" s="289">
        <v>-1.8323</v>
      </c>
      <c r="BK132" s="289">
        <v>0</v>
      </c>
      <c r="BL132" s="289">
        <v>0</v>
      </c>
      <c r="BM132" s="289">
        <v>0</v>
      </c>
      <c r="BN132" s="289">
        <v>0</v>
      </c>
      <c r="BO132" s="517">
        <v>0</v>
      </c>
      <c r="BP132" s="517">
        <v>0</v>
      </c>
      <c r="BQ132" s="289">
        <f t="shared" ref="BQ132:BQ195" si="4">-1.0264974*AG132/1000</f>
        <v>-1.8322978590000001</v>
      </c>
      <c r="BR132" s="289">
        <v>0</v>
      </c>
      <c r="BS132" s="289">
        <f t="shared" ref="BS132:BS195" si="5">+BR132-AD132</f>
        <v>0</v>
      </c>
      <c r="BT132" s="289">
        <v>4</v>
      </c>
      <c r="BU132" s="289">
        <v>0</v>
      </c>
      <c r="BV132" s="289">
        <v>25</v>
      </c>
      <c r="BW132" s="289">
        <v>157.18299999999999</v>
      </c>
      <c r="BX132" s="289">
        <v>37.017000000000003</v>
      </c>
      <c r="CC132" s="517"/>
      <c r="CD132" s="85"/>
      <c r="CE132" s="517"/>
    </row>
    <row r="133" spans="1:83" ht="13">
      <c r="A133" s="1">
        <v>1820</v>
      </c>
      <c r="B133" s="2" t="s">
        <v>181</v>
      </c>
      <c r="C133" s="289">
        <v>7450</v>
      </c>
      <c r="D133" s="289">
        <v>138</v>
      </c>
      <c r="E133" s="289">
        <v>348</v>
      </c>
      <c r="F133" s="289">
        <v>853</v>
      </c>
      <c r="G133" s="289">
        <v>704</v>
      </c>
      <c r="H133" s="289">
        <v>4195</v>
      </c>
      <c r="I133" s="289">
        <v>959</v>
      </c>
      <c r="J133" s="289">
        <v>257</v>
      </c>
      <c r="K133" s="289">
        <v>53</v>
      </c>
      <c r="L133" s="289">
        <v>66</v>
      </c>
      <c r="M133" s="289">
        <v>561</v>
      </c>
      <c r="N133" s="290">
        <v>121</v>
      </c>
      <c r="O133" s="290">
        <v>91</v>
      </c>
      <c r="P133" s="624">
        <v>43196.128666670003</v>
      </c>
      <c r="Q133" s="624">
        <v>13263.406999999999</v>
      </c>
      <c r="R133" s="624">
        <v>45</v>
      </c>
      <c r="S133" s="289">
        <v>0</v>
      </c>
      <c r="T133" s="289">
        <v>594</v>
      </c>
      <c r="U133" s="716">
        <v>1.7602533165488189E-3</v>
      </c>
      <c r="V133" s="289">
        <v>2718.6804962400001</v>
      </c>
      <c r="W133" s="743">
        <v>0.60652035000000004</v>
      </c>
      <c r="X133" s="289">
        <v>3895</v>
      </c>
      <c r="Y133" s="289">
        <v>392</v>
      </c>
      <c r="Z133" s="289">
        <v>184472</v>
      </c>
      <c r="AA133" s="289">
        <v>0</v>
      </c>
      <c r="AB133" s="290">
        <v>176</v>
      </c>
      <c r="AC133" s="289">
        <v>1783</v>
      </c>
      <c r="AD133" s="289">
        <v>0</v>
      </c>
      <c r="AE133" s="289">
        <v>0</v>
      </c>
      <c r="AF133" s="289">
        <v>0</v>
      </c>
      <c r="AG133" s="289">
        <v>7507</v>
      </c>
      <c r="AH133" s="289">
        <v>1034</v>
      </c>
      <c r="AI133" s="289">
        <v>1500</v>
      </c>
      <c r="AJ133" s="289">
        <v>0</v>
      </c>
      <c r="AK133" s="289">
        <v>33.785299999999999</v>
      </c>
      <c r="AL133" s="289">
        <v>12702</v>
      </c>
      <c r="AM133" s="622">
        <v>0.17391007</v>
      </c>
      <c r="AN133" s="289">
        <v>0</v>
      </c>
      <c r="AO133" s="289">
        <v>-378.13544458000001</v>
      </c>
      <c r="AP133" s="289">
        <v>0</v>
      </c>
      <c r="AQ133" s="289">
        <v>0</v>
      </c>
      <c r="AR133" s="289">
        <v>-536.55679197999996</v>
      </c>
      <c r="AS133" s="289">
        <v>92.809299999999993</v>
      </c>
      <c r="AT133" s="289">
        <v>320</v>
      </c>
      <c r="AU133" s="289">
        <v>94</v>
      </c>
      <c r="AV133" s="625">
        <v>198898</v>
      </c>
      <c r="AW133" s="289">
        <v>-3.8119999999999998</v>
      </c>
      <c r="AX133" s="625">
        <v>47.916666669999998</v>
      </c>
      <c r="AY133" s="289">
        <v>1579</v>
      </c>
      <c r="AZ133" s="289">
        <v>319</v>
      </c>
      <c r="BA133" s="290">
        <v>200</v>
      </c>
      <c r="BB133" s="289">
        <v>0</v>
      </c>
      <c r="BC133" s="289">
        <v>1511</v>
      </c>
      <c r="BD133" s="289">
        <v>137.2296</v>
      </c>
      <c r="BE133" s="289">
        <v>211056.30034682</v>
      </c>
      <c r="BF133" s="289">
        <v>0</v>
      </c>
      <c r="BG133" s="289">
        <v>11</v>
      </c>
      <c r="BH133" s="289">
        <v>-61.161799999999999</v>
      </c>
      <c r="BI133" s="289">
        <v>1426</v>
      </c>
      <c r="BJ133" s="289">
        <v>-7.7058999999999997</v>
      </c>
      <c r="BK133" s="289">
        <v>0</v>
      </c>
      <c r="BL133" s="289">
        <v>0</v>
      </c>
      <c r="BM133" s="289">
        <v>0</v>
      </c>
      <c r="BN133" s="289">
        <v>0</v>
      </c>
      <c r="BO133" s="517">
        <v>0</v>
      </c>
      <c r="BP133" s="517">
        <v>0</v>
      </c>
      <c r="BQ133" s="289">
        <f t="shared" si="4"/>
        <v>-7.7059159817999996</v>
      </c>
      <c r="BR133" s="289">
        <v>0</v>
      </c>
      <c r="BS133" s="289">
        <f t="shared" si="5"/>
        <v>0</v>
      </c>
      <c r="BT133" s="289">
        <v>19</v>
      </c>
      <c r="BU133" s="289">
        <v>0</v>
      </c>
      <c r="BV133" s="289">
        <v>75</v>
      </c>
      <c r="BW133" s="289">
        <v>207.48099999999999</v>
      </c>
      <c r="BX133" s="289">
        <v>155.21299999999999</v>
      </c>
      <c r="CC133" s="517"/>
      <c r="CD133" s="85"/>
      <c r="CE133" s="517"/>
    </row>
    <row r="134" spans="1:83" ht="13">
      <c r="A134" s="1">
        <v>1822</v>
      </c>
      <c r="B134" s="2" t="s">
        <v>182</v>
      </c>
      <c r="C134" s="289">
        <v>2307</v>
      </c>
      <c r="D134" s="289">
        <v>66</v>
      </c>
      <c r="E134" s="289">
        <v>139</v>
      </c>
      <c r="F134" s="289">
        <v>248</v>
      </c>
      <c r="G134" s="289">
        <v>202</v>
      </c>
      <c r="H134" s="289">
        <v>1271</v>
      </c>
      <c r="I134" s="289">
        <v>249</v>
      </c>
      <c r="J134" s="289">
        <v>87</v>
      </c>
      <c r="K134" s="289">
        <v>32</v>
      </c>
      <c r="L134" s="289">
        <v>17</v>
      </c>
      <c r="M134" s="289">
        <v>198</v>
      </c>
      <c r="N134" s="290">
        <v>35</v>
      </c>
      <c r="O134" s="290">
        <v>41</v>
      </c>
      <c r="P134" s="624">
        <v>17510.955666670001</v>
      </c>
      <c r="Q134" s="624">
        <v>9190.4983333300006</v>
      </c>
      <c r="R134" s="624">
        <v>9</v>
      </c>
      <c r="S134" s="289">
        <v>0</v>
      </c>
      <c r="T134" s="289">
        <v>163</v>
      </c>
      <c r="U134" s="716">
        <v>1.8248415456938144E-3</v>
      </c>
      <c r="V134" s="289">
        <v>951.38391176000005</v>
      </c>
      <c r="W134" s="743">
        <v>0.84341648000000002</v>
      </c>
      <c r="X134" s="289">
        <v>1630</v>
      </c>
      <c r="Y134" s="289">
        <v>392</v>
      </c>
      <c r="Z134" s="289">
        <v>47531</v>
      </c>
      <c r="AA134" s="289">
        <v>0</v>
      </c>
      <c r="AB134" s="290">
        <v>54</v>
      </c>
      <c r="AC134" s="289">
        <v>0</v>
      </c>
      <c r="AD134" s="289">
        <v>0</v>
      </c>
      <c r="AE134" s="289">
        <v>0</v>
      </c>
      <c r="AF134" s="289">
        <v>0</v>
      </c>
      <c r="AG134" s="289">
        <v>2294</v>
      </c>
      <c r="AH134" s="289">
        <v>327</v>
      </c>
      <c r="AI134" s="289">
        <v>0</v>
      </c>
      <c r="AJ134" s="289">
        <v>0</v>
      </c>
      <c r="AK134" s="289">
        <v>13.417999999999999</v>
      </c>
      <c r="AL134" s="289">
        <v>3895</v>
      </c>
      <c r="AM134" s="622">
        <v>5.7996440000000003E-2</v>
      </c>
      <c r="AN134" s="289">
        <v>0</v>
      </c>
      <c r="AO134" s="289">
        <v>-132.32594964</v>
      </c>
      <c r="AP134" s="289">
        <v>0</v>
      </c>
      <c r="AQ134" s="289">
        <v>0</v>
      </c>
      <c r="AR134" s="289">
        <v>-163.96180641999999</v>
      </c>
      <c r="AS134" s="289">
        <v>27.338699999999999</v>
      </c>
      <c r="AT134" s="289">
        <v>88</v>
      </c>
      <c r="AU134" s="289">
        <v>36</v>
      </c>
      <c r="AV134" s="625">
        <v>85668</v>
      </c>
      <c r="AW134" s="289">
        <v>-1.1649</v>
      </c>
      <c r="AX134" s="625">
        <v>26.083333329999999</v>
      </c>
      <c r="AY134" s="289">
        <v>389</v>
      </c>
      <c r="AZ134" s="289">
        <v>95</v>
      </c>
      <c r="BA134" s="290">
        <v>41</v>
      </c>
      <c r="BB134" s="289">
        <v>5543</v>
      </c>
      <c r="BC134" s="289">
        <v>389</v>
      </c>
      <c r="BD134" s="289">
        <v>43.398499999999999</v>
      </c>
      <c r="BE134" s="289">
        <v>88143.067612779996</v>
      </c>
      <c r="BF134" s="289">
        <v>0</v>
      </c>
      <c r="BG134" s="289">
        <v>11</v>
      </c>
      <c r="BH134" s="289">
        <v>-18.689900000000002</v>
      </c>
      <c r="BI134" s="289">
        <v>719</v>
      </c>
      <c r="BJ134" s="289">
        <v>-2.3548</v>
      </c>
      <c r="BK134" s="289">
        <v>0</v>
      </c>
      <c r="BL134" s="289">
        <v>0</v>
      </c>
      <c r="BM134" s="289">
        <v>0</v>
      </c>
      <c r="BN134" s="289">
        <v>0</v>
      </c>
      <c r="BO134" s="517">
        <v>0</v>
      </c>
      <c r="BP134" s="517">
        <v>0</v>
      </c>
      <c r="BQ134" s="289">
        <f t="shared" si="4"/>
        <v>-2.3547850356</v>
      </c>
      <c r="BR134" s="289">
        <v>0</v>
      </c>
      <c r="BS134" s="289">
        <f t="shared" si="5"/>
        <v>0</v>
      </c>
      <c r="BT134" s="289">
        <v>8</v>
      </c>
      <c r="BU134" s="289">
        <v>0</v>
      </c>
      <c r="BV134" s="289">
        <v>29</v>
      </c>
      <c r="BW134" s="289">
        <v>157.18299999999999</v>
      </c>
      <c r="BX134" s="289">
        <v>47.715000000000003</v>
      </c>
      <c r="CC134" s="517"/>
      <c r="CD134" s="85"/>
      <c r="CE134" s="517"/>
    </row>
    <row r="135" spans="1:83" ht="13">
      <c r="A135" s="1">
        <v>1824</v>
      </c>
      <c r="B135" s="2" t="s">
        <v>183</v>
      </c>
      <c r="C135" s="289">
        <v>13448</v>
      </c>
      <c r="D135" s="289">
        <v>248</v>
      </c>
      <c r="E135" s="289">
        <v>585</v>
      </c>
      <c r="F135" s="289">
        <v>1470</v>
      </c>
      <c r="G135" s="289">
        <v>1269</v>
      </c>
      <c r="H135" s="289">
        <v>7386</v>
      </c>
      <c r="I135" s="289">
        <v>1764</v>
      </c>
      <c r="J135" s="289">
        <v>602</v>
      </c>
      <c r="K135" s="289">
        <v>151</v>
      </c>
      <c r="L135" s="289">
        <v>111</v>
      </c>
      <c r="M135" s="289">
        <v>1128</v>
      </c>
      <c r="N135" s="290">
        <v>115</v>
      </c>
      <c r="O135" s="290">
        <v>76</v>
      </c>
      <c r="P135" s="624">
        <v>53142.219333330002</v>
      </c>
      <c r="Q135" s="624">
        <v>26655.19333333</v>
      </c>
      <c r="R135" s="624">
        <v>81</v>
      </c>
      <c r="S135" s="289">
        <v>0</v>
      </c>
      <c r="T135" s="289">
        <v>1165</v>
      </c>
      <c r="U135" s="716">
        <v>2.9062996978815314E-3</v>
      </c>
      <c r="V135" s="289">
        <v>4576.1652912500003</v>
      </c>
      <c r="W135" s="743">
        <v>0.59635088000000003</v>
      </c>
      <c r="X135" s="289">
        <v>0</v>
      </c>
      <c r="Y135" s="289">
        <v>392</v>
      </c>
      <c r="Z135" s="289">
        <v>338074</v>
      </c>
      <c r="AA135" s="289">
        <v>0</v>
      </c>
      <c r="AB135" s="290">
        <v>379</v>
      </c>
      <c r="AC135" s="289">
        <v>1850</v>
      </c>
      <c r="AD135" s="289">
        <v>0</v>
      </c>
      <c r="AE135" s="289">
        <v>0</v>
      </c>
      <c r="AF135" s="289">
        <v>0</v>
      </c>
      <c r="AG135" s="289">
        <v>13475</v>
      </c>
      <c r="AH135" s="289">
        <v>1801</v>
      </c>
      <c r="AI135" s="289">
        <v>3190</v>
      </c>
      <c r="AJ135" s="289">
        <v>0</v>
      </c>
      <c r="AK135" s="289">
        <v>56.245199999999997</v>
      </c>
      <c r="AL135" s="289">
        <v>23025</v>
      </c>
      <c r="AM135" s="622">
        <v>0.22149129000000001</v>
      </c>
      <c r="AN135" s="289">
        <v>0</v>
      </c>
      <c r="AO135" s="289">
        <v>-677.40867204999995</v>
      </c>
      <c r="AP135" s="289">
        <v>0</v>
      </c>
      <c r="AQ135" s="289">
        <v>0</v>
      </c>
      <c r="AR135" s="289">
        <v>-963.11479579000002</v>
      </c>
      <c r="AS135" s="289">
        <v>164.47190000000001</v>
      </c>
      <c r="AT135" s="289">
        <v>725</v>
      </c>
      <c r="AU135" s="289">
        <v>145</v>
      </c>
      <c r="AV135" s="625">
        <v>366588</v>
      </c>
      <c r="AW135" s="289">
        <v>-6.8426</v>
      </c>
      <c r="AX135" s="625">
        <v>77.083333330000002</v>
      </c>
      <c r="AY135" s="289">
        <v>2501</v>
      </c>
      <c r="AZ135" s="289">
        <v>382</v>
      </c>
      <c r="BA135" s="290">
        <v>321</v>
      </c>
      <c r="BB135" s="289">
        <v>0</v>
      </c>
      <c r="BC135" s="289">
        <v>2248</v>
      </c>
      <c r="BD135" s="289">
        <v>239.02359999999999</v>
      </c>
      <c r="BE135" s="289">
        <v>370028.24228453002</v>
      </c>
      <c r="BF135" s="289">
        <v>0</v>
      </c>
      <c r="BG135" s="289">
        <v>11</v>
      </c>
      <c r="BH135" s="289">
        <v>-109.785</v>
      </c>
      <c r="BI135" s="289">
        <v>2193</v>
      </c>
      <c r="BJ135" s="289">
        <v>-13.832100000000001</v>
      </c>
      <c r="BK135" s="289">
        <v>0</v>
      </c>
      <c r="BL135" s="289">
        <v>0</v>
      </c>
      <c r="BM135" s="289">
        <v>0</v>
      </c>
      <c r="BN135" s="289">
        <v>0</v>
      </c>
      <c r="BO135" s="517">
        <v>0</v>
      </c>
      <c r="BP135" s="517">
        <v>0</v>
      </c>
      <c r="BQ135" s="289">
        <f t="shared" si="4"/>
        <v>-13.832052465</v>
      </c>
      <c r="BR135" s="289">
        <v>0</v>
      </c>
      <c r="BS135" s="289">
        <f t="shared" si="5"/>
        <v>0</v>
      </c>
      <c r="BT135" s="289">
        <v>32</v>
      </c>
      <c r="BU135" s="289">
        <v>0</v>
      </c>
      <c r="BV135" s="289">
        <v>133</v>
      </c>
      <c r="BW135" s="289">
        <v>248.34899999999999</v>
      </c>
      <c r="BX135" s="289">
        <v>279.08100000000002</v>
      </c>
      <c r="CC135" s="517"/>
      <c r="CD135" s="85"/>
      <c r="CE135" s="517"/>
    </row>
    <row r="136" spans="1:83" ht="13">
      <c r="A136" s="1">
        <v>1825</v>
      </c>
      <c r="B136" s="2" t="s">
        <v>184</v>
      </c>
      <c r="C136" s="289">
        <v>1463</v>
      </c>
      <c r="D136" s="289">
        <v>17</v>
      </c>
      <c r="E136" s="289">
        <v>47</v>
      </c>
      <c r="F136" s="289">
        <v>167</v>
      </c>
      <c r="G136" s="289">
        <v>123</v>
      </c>
      <c r="H136" s="289">
        <v>785</v>
      </c>
      <c r="I136" s="289">
        <v>221</v>
      </c>
      <c r="J136" s="289">
        <v>79</v>
      </c>
      <c r="K136" s="289">
        <v>21</v>
      </c>
      <c r="L136" s="289">
        <v>11</v>
      </c>
      <c r="M136" s="289">
        <v>162</v>
      </c>
      <c r="N136" s="290">
        <v>0</v>
      </c>
      <c r="O136" s="290">
        <v>8</v>
      </c>
      <c r="P136" s="624">
        <v>11405.46866667</v>
      </c>
      <c r="Q136" s="624">
        <v>8311.8513333299998</v>
      </c>
      <c r="R136" s="624">
        <v>10</v>
      </c>
      <c r="S136" s="289">
        <v>0</v>
      </c>
      <c r="T136" s="289">
        <v>130</v>
      </c>
      <c r="U136" s="716">
        <v>1.2101232433402226E-3</v>
      </c>
      <c r="V136" s="289">
        <v>661.82782722000002</v>
      </c>
      <c r="W136" s="743">
        <v>1</v>
      </c>
      <c r="X136" s="289">
        <v>0</v>
      </c>
      <c r="Y136" s="289">
        <v>392</v>
      </c>
      <c r="Z136" s="289">
        <v>35736</v>
      </c>
      <c r="AA136" s="289">
        <v>0</v>
      </c>
      <c r="AB136" s="290">
        <v>38</v>
      </c>
      <c r="AC136" s="289">
        <v>0</v>
      </c>
      <c r="AD136" s="289">
        <v>0</v>
      </c>
      <c r="AE136" s="289">
        <v>0</v>
      </c>
      <c r="AF136" s="289">
        <v>0</v>
      </c>
      <c r="AG136" s="289">
        <v>1460</v>
      </c>
      <c r="AH136" s="289">
        <v>191</v>
      </c>
      <c r="AI136" s="289">
        <v>0</v>
      </c>
      <c r="AJ136" s="289">
        <v>0</v>
      </c>
      <c r="AK136" s="289">
        <v>4.5785</v>
      </c>
      <c r="AL136" s="289">
        <v>2512</v>
      </c>
      <c r="AM136" s="622">
        <v>1.021334E-2</v>
      </c>
      <c r="AN136" s="289">
        <v>0</v>
      </c>
      <c r="AO136" s="289">
        <v>-92.052214309999997</v>
      </c>
      <c r="AP136" s="289">
        <v>0</v>
      </c>
      <c r="AQ136" s="289">
        <v>0</v>
      </c>
      <c r="AR136" s="289">
        <v>1421.9821034199999</v>
      </c>
      <c r="AS136" s="289">
        <v>15.919</v>
      </c>
      <c r="AT136" s="289">
        <v>76</v>
      </c>
      <c r="AU136" s="289">
        <v>10</v>
      </c>
      <c r="AV136" s="625">
        <v>66571</v>
      </c>
      <c r="AW136" s="289">
        <v>-28.404299999999999</v>
      </c>
      <c r="AX136" s="625">
        <v>7.5</v>
      </c>
      <c r="AY136" s="289">
        <v>190</v>
      </c>
      <c r="AZ136" s="289">
        <v>29</v>
      </c>
      <c r="BA136" s="290">
        <v>26</v>
      </c>
      <c r="BB136" s="289">
        <v>5543</v>
      </c>
      <c r="BC136" s="289">
        <v>634</v>
      </c>
      <c r="BD136" s="289">
        <v>25.349</v>
      </c>
      <c r="BE136" s="289">
        <v>65345.949559389999</v>
      </c>
      <c r="BF136" s="289">
        <v>0</v>
      </c>
      <c r="BG136" s="289">
        <v>11</v>
      </c>
      <c r="BH136" s="289">
        <v>-11.895099999999999</v>
      </c>
      <c r="BI136" s="289">
        <v>583</v>
      </c>
      <c r="BJ136" s="289">
        <v>-1.4986999999999999</v>
      </c>
      <c r="BK136" s="289">
        <v>0</v>
      </c>
      <c r="BL136" s="289">
        <v>0</v>
      </c>
      <c r="BM136" s="289">
        <v>0</v>
      </c>
      <c r="BN136" s="289">
        <v>0</v>
      </c>
      <c r="BO136" s="517">
        <v>0</v>
      </c>
      <c r="BP136" s="517">
        <v>0</v>
      </c>
      <c r="BQ136" s="289">
        <f t="shared" si="4"/>
        <v>-1.4986862040000002</v>
      </c>
      <c r="BR136" s="289">
        <v>0</v>
      </c>
      <c r="BS136" s="289">
        <f t="shared" si="5"/>
        <v>0</v>
      </c>
      <c r="BT136" s="289">
        <v>3</v>
      </c>
      <c r="BU136" s="289">
        <v>0</v>
      </c>
      <c r="BV136" s="289">
        <v>24</v>
      </c>
      <c r="BW136" s="289">
        <v>157.18299999999999</v>
      </c>
      <c r="BX136" s="289">
        <v>30.951000000000001</v>
      </c>
      <c r="CC136" s="517"/>
      <c r="CD136" s="85"/>
      <c r="CE136" s="517"/>
    </row>
    <row r="137" spans="1:83" ht="13">
      <c r="A137" s="1">
        <v>1826</v>
      </c>
      <c r="B137" s="2" t="s">
        <v>185</v>
      </c>
      <c r="C137" s="289">
        <v>1411</v>
      </c>
      <c r="D137" s="289">
        <v>21</v>
      </c>
      <c r="E137" s="289">
        <v>54</v>
      </c>
      <c r="F137" s="289">
        <v>161</v>
      </c>
      <c r="G137" s="289">
        <v>134</v>
      </c>
      <c r="H137" s="289">
        <v>716</v>
      </c>
      <c r="I137" s="289">
        <v>240</v>
      </c>
      <c r="J137" s="289">
        <v>72</v>
      </c>
      <c r="K137" s="289">
        <v>21</v>
      </c>
      <c r="L137" s="289">
        <v>9</v>
      </c>
      <c r="M137" s="289">
        <v>131</v>
      </c>
      <c r="N137" s="290">
        <v>7</v>
      </c>
      <c r="O137" s="290">
        <v>17</v>
      </c>
      <c r="P137" s="624">
        <v>14858.517666670001</v>
      </c>
      <c r="Q137" s="624">
        <v>10546.255999999999</v>
      </c>
      <c r="R137" s="624">
        <v>9</v>
      </c>
      <c r="S137" s="289">
        <v>0</v>
      </c>
      <c r="T137" s="289">
        <v>102</v>
      </c>
      <c r="U137" s="716">
        <v>2.1624953580979939E-3</v>
      </c>
      <c r="V137" s="289">
        <v>657.60527494999997</v>
      </c>
      <c r="W137" s="743">
        <v>1</v>
      </c>
      <c r="X137" s="289">
        <v>0</v>
      </c>
      <c r="Y137" s="289">
        <v>392</v>
      </c>
      <c r="Z137" s="289">
        <v>28471</v>
      </c>
      <c r="AA137" s="289">
        <v>0</v>
      </c>
      <c r="AB137" s="290">
        <v>22</v>
      </c>
      <c r="AC137" s="289">
        <v>0</v>
      </c>
      <c r="AD137" s="289">
        <v>0</v>
      </c>
      <c r="AE137" s="289">
        <v>0</v>
      </c>
      <c r="AF137" s="289">
        <v>0</v>
      </c>
      <c r="AG137" s="289">
        <v>1419</v>
      </c>
      <c r="AH137" s="289">
        <v>192</v>
      </c>
      <c r="AI137" s="289">
        <v>0</v>
      </c>
      <c r="AJ137" s="289">
        <v>0</v>
      </c>
      <c r="AK137" s="289">
        <v>4.7649999999999997</v>
      </c>
      <c r="AL137" s="289">
        <v>2418</v>
      </c>
      <c r="AM137" s="622">
        <v>2.7608339999999999E-2</v>
      </c>
      <c r="AN137" s="289">
        <v>0</v>
      </c>
      <c r="AO137" s="289">
        <v>-91.464908559999998</v>
      </c>
      <c r="AP137" s="289">
        <v>0</v>
      </c>
      <c r="AQ137" s="289">
        <v>0</v>
      </c>
      <c r="AR137" s="289">
        <v>420.05504976999998</v>
      </c>
      <c r="AS137" s="289">
        <v>14.103199999999999</v>
      </c>
      <c r="AT137" s="289">
        <v>40</v>
      </c>
      <c r="AU137" s="289">
        <v>10</v>
      </c>
      <c r="AV137" s="625">
        <v>66081</v>
      </c>
      <c r="AW137" s="289">
        <v>-27.6067</v>
      </c>
      <c r="AX137" s="625">
        <v>1.5416666699999999</v>
      </c>
      <c r="AY137" s="289">
        <v>197</v>
      </c>
      <c r="AZ137" s="289">
        <v>138</v>
      </c>
      <c r="BA137" s="290">
        <v>23</v>
      </c>
      <c r="BB137" s="289">
        <v>5543</v>
      </c>
      <c r="BC137" s="289">
        <v>644</v>
      </c>
      <c r="BD137" s="289">
        <v>25.4817</v>
      </c>
      <c r="BE137" s="289">
        <v>65728.916426349999</v>
      </c>
      <c r="BF137" s="289">
        <v>0</v>
      </c>
      <c r="BG137" s="289">
        <v>11</v>
      </c>
      <c r="BH137" s="289">
        <v>-11.561</v>
      </c>
      <c r="BI137" s="289">
        <v>584</v>
      </c>
      <c r="BJ137" s="289">
        <v>-1.4565999999999999</v>
      </c>
      <c r="BK137" s="289">
        <v>0</v>
      </c>
      <c r="BL137" s="289">
        <v>0</v>
      </c>
      <c r="BM137" s="289">
        <v>0</v>
      </c>
      <c r="BN137" s="289">
        <v>0</v>
      </c>
      <c r="BO137" s="517">
        <v>0</v>
      </c>
      <c r="BP137" s="517">
        <v>0</v>
      </c>
      <c r="BQ137" s="289">
        <f t="shared" si="4"/>
        <v>-1.4565998106</v>
      </c>
      <c r="BR137" s="289">
        <v>0</v>
      </c>
      <c r="BS137" s="289">
        <f t="shared" si="5"/>
        <v>0</v>
      </c>
      <c r="BT137" s="289">
        <v>3</v>
      </c>
      <c r="BU137" s="289">
        <v>0</v>
      </c>
      <c r="BV137" s="289">
        <v>24</v>
      </c>
      <c r="BW137" s="289">
        <v>157.18299999999999</v>
      </c>
      <c r="BX137" s="289">
        <v>28.936</v>
      </c>
      <c r="CC137" s="517"/>
      <c r="CD137" s="85"/>
      <c r="CE137" s="517"/>
    </row>
    <row r="138" spans="1:83" ht="13">
      <c r="A138" s="1">
        <v>1827</v>
      </c>
      <c r="B138" s="2" t="s">
        <v>186</v>
      </c>
      <c r="C138" s="289">
        <v>1403</v>
      </c>
      <c r="D138" s="289">
        <v>14</v>
      </c>
      <c r="E138" s="289">
        <v>44</v>
      </c>
      <c r="F138" s="289">
        <v>173</v>
      </c>
      <c r="G138" s="289">
        <v>132</v>
      </c>
      <c r="H138" s="289">
        <v>754</v>
      </c>
      <c r="I138" s="289">
        <v>217</v>
      </c>
      <c r="J138" s="289">
        <v>57</v>
      </c>
      <c r="K138" s="289">
        <v>16</v>
      </c>
      <c r="L138" s="289">
        <v>12</v>
      </c>
      <c r="M138" s="289">
        <v>138</v>
      </c>
      <c r="N138" s="290">
        <v>9</v>
      </c>
      <c r="O138" s="290">
        <v>10</v>
      </c>
      <c r="P138" s="624">
        <v>18275.290333329998</v>
      </c>
      <c r="Q138" s="624">
        <v>14658.93333333</v>
      </c>
      <c r="R138" s="624">
        <v>14</v>
      </c>
      <c r="S138" s="289">
        <v>0</v>
      </c>
      <c r="T138" s="289">
        <v>108</v>
      </c>
      <c r="U138" s="716">
        <v>1.579778687640658E-3</v>
      </c>
      <c r="V138" s="289">
        <v>-1302.19261003</v>
      </c>
      <c r="W138" s="743">
        <v>1</v>
      </c>
      <c r="X138" s="289">
        <v>629</v>
      </c>
      <c r="Y138" s="289">
        <v>392</v>
      </c>
      <c r="Z138" s="289">
        <v>34700</v>
      </c>
      <c r="AA138" s="289">
        <v>0</v>
      </c>
      <c r="AB138" s="290">
        <v>33</v>
      </c>
      <c r="AC138" s="289">
        <v>0</v>
      </c>
      <c r="AD138" s="289">
        <v>0</v>
      </c>
      <c r="AE138" s="289">
        <v>0</v>
      </c>
      <c r="AF138" s="289">
        <v>0</v>
      </c>
      <c r="AG138" s="289">
        <v>1407</v>
      </c>
      <c r="AH138" s="289">
        <v>191</v>
      </c>
      <c r="AI138" s="289">
        <v>500</v>
      </c>
      <c r="AJ138" s="289">
        <v>0</v>
      </c>
      <c r="AK138" s="289">
        <v>4.2279999999999998</v>
      </c>
      <c r="AL138" s="289">
        <v>2411</v>
      </c>
      <c r="AM138" s="622">
        <v>1.203159E-2</v>
      </c>
      <c r="AN138" s="289">
        <v>0</v>
      </c>
      <c r="AO138" s="289">
        <v>-93.356797599999993</v>
      </c>
      <c r="AP138" s="289">
        <v>0</v>
      </c>
      <c r="AQ138" s="289">
        <v>0</v>
      </c>
      <c r="AR138" s="289">
        <v>572.61095058000001</v>
      </c>
      <c r="AS138" s="289">
        <v>14.8888</v>
      </c>
      <c r="AT138" s="289">
        <v>52</v>
      </c>
      <c r="AU138" s="289">
        <v>10</v>
      </c>
      <c r="AV138" s="625">
        <v>67031</v>
      </c>
      <c r="AW138" s="289">
        <v>-27.373200000000001</v>
      </c>
      <c r="AX138" s="625">
        <v>3.875</v>
      </c>
      <c r="AY138" s="289">
        <v>244</v>
      </c>
      <c r="AZ138" s="289">
        <v>46</v>
      </c>
      <c r="BA138" s="290">
        <v>32</v>
      </c>
      <c r="BB138" s="289">
        <v>5543</v>
      </c>
      <c r="BC138" s="289">
        <v>648</v>
      </c>
      <c r="BD138" s="289">
        <v>25.349</v>
      </c>
      <c r="BE138" s="289">
        <v>66652.674248469993</v>
      </c>
      <c r="BF138" s="289">
        <v>0</v>
      </c>
      <c r="BG138" s="289">
        <v>11</v>
      </c>
      <c r="BH138" s="289">
        <v>-11.4633</v>
      </c>
      <c r="BI138" s="289">
        <v>583</v>
      </c>
      <c r="BJ138" s="289">
        <v>-1.4442999999999999</v>
      </c>
      <c r="BK138" s="289">
        <v>0</v>
      </c>
      <c r="BL138" s="289">
        <v>0</v>
      </c>
      <c r="BM138" s="289">
        <v>0</v>
      </c>
      <c r="BN138" s="289">
        <v>0</v>
      </c>
      <c r="BO138" s="517">
        <v>0</v>
      </c>
      <c r="BP138" s="517">
        <v>0</v>
      </c>
      <c r="BQ138" s="289">
        <f t="shared" si="4"/>
        <v>-1.4442818417999999</v>
      </c>
      <c r="BR138" s="289">
        <v>0</v>
      </c>
      <c r="BS138" s="289">
        <f t="shared" si="5"/>
        <v>0</v>
      </c>
      <c r="BT138" s="289">
        <v>2</v>
      </c>
      <c r="BU138" s="289">
        <v>0</v>
      </c>
      <c r="BV138" s="289">
        <v>25</v>
      </c>
      <c r="BW138" s="289">
        <v>157.18299999999999</v>
      </c>
      <c r="BX138" s="289">
        <v>29.164999999999999</v>
      </c>
      <c r="CC138" s="517"/>
      <c r="CD138" s="85"/>
      <c r="CE138" s="517"/>
    </row>
    <row r="139" spans="1:83" ht="13">
      <c r="A139" s="1">
        <v>1828</v>
      </c>
      <c r="B139" s="2" t="s">
        <v>187</v>
      </c>
      <c r="C139" s="289">
        <v>1805</v>
      </c>
      <c r="D139" s="289">
        <v>37</v>
      </c>
      <c r="E139" s="289">
        <v>82</v>
      </c>
      <c r="F139" s="289">
        <v>215</v>
      </c>
      <c r="G139" s="289">
        <v>199</v>
      </c>
      <c r="H139" s="289">
        <v>1003</v>
      </c>
      <c r="I139" s="289">
        <v>205</v>
      </c>
      <c r="J139" s="289">
        <v>65</v>
      </c>
      <c r="K139" s="289">
        <v>26</v>
      </c>
      <c r="L139" s="289">
        <v>16</v>
      </c>
      <c r="M139" s="289">
        <v>146</v>
      </c>
      <c r="N139" s="290">
        <v>41</v>
      </c>
      <c r="O139" s="290">
        <v>36</v>
      </c>
      <c r="P139" s="624">
        <v>7310.1083333300003</v>
      </c>
      <c r="Q139" s="624">
        <v>4560.7449999999999</v>
      </c>
      <c r="R139" s="624">
        <v>9</v>
      </c>
      <c r="S139" s="289">
        <v>0</v>
      </c>
      <c r="T139" s="289">
        <v>123</v>
      </c>
      <c r="U139" s="716">
        <v>1.1962996416370662E-3</v>
      </c>
      <c r="V139" s="289">
        <v>786.44236223999997</v>
      </c>
      <c r="W139" s="743">
        <v>1</v>
      </c>
      <c r="X139" s="289">
        <v>1379</v>
      </c>
      <c r="Y139" s="289">
        <v>315</v>
      </c>
      <c r="Z139" s="289">
        <v>44961</v>
      </c>
      <c r="AA139" s="289">
        <v>0</v>
      </c>
      <c r="AB139" s="290">
        <v>38</v>
      </c>
      <c r="AC139" s="289">
        <v>0</v>
      </c>
      <c r="AD139" s="289">
        <v>0</v>
      </c>
      <c r="AE139" s="289">
        <v>0</v>
      </c>
      <c r="AF139" s="289">
        <v>0</v>
      </c>
      <c r="AG139" s="289">
        <v>1832</v>
      </c>
      <c r="AH139" s="289">
        <v>272</v>
      </c>
      <c r="AI139" s="289">
        <v>500</v>
      </c>
      <c r="AJ139" s="289">
        <v>0</v>
      </c>
      <c r="AK139" s="289">
        <v>8.5078999999999994</v>
      </c>
      <c r="AL139" s="289">
        <v>3141</v>
      </c>
      <c r="AM139" s="622">
        <v>7.0494340000000003E-2</v>
      </c>
      <c r="AN139" s="289">
        <v>0</v>
      </c>
      <c r="AO139" s="289">
        <v>-109.38458296</v>
      </c>
      <c r="AP139" s="289">
        <v>0</v>
      </c>
      <c r="AQ139" s="289">
        <v>0</v>
      </c>
      <c r="AR139" s="289">
        <v>-130.94072771</v>
      </c>
      <c r="AS139" s="289">
        <v>23.412299999999998</v>
      </c>
      <c r="AT139" s="289">
        <v>84</v>
      </c>
      <c r="AU139" s="289">
        <v>16</v>
      </c>
      <c r="AV139" s="625">
        <v>72960</v>
      </c>
      <c r="AW139" s="289">
        <v>-0.93030000000000002</v>
      </c>
      <c r="AX139" s="625">
        <v>18.583333329999999</v>
      </c>
      <c r="AY139" s="289">
        <v>411</v>
      </c>
      <c r="AZ139" s="289">
        <v>177</v>
      </c>
      <c r="BA139" s="290">
        <v>36</v>
      </c>
      <c r="BB139" s="289">
        <v>5543</v>
      </c>
      <c r="BC139" s="289">
        <v>635</v>
      </c>
      <c r="BD139" s="289">
        <v>36.0991</v>
      </c>
      <c r="BE139" s="289">
        <v>75468.04626504</v>
      </c>
      <c r="BF139" s="289">
        <v>0</v>
      </c>
      <c r="BG139" s="289">
        <v>11</v>
      </c>
      <c r="BH139" s="289">
        <v>-14.9259</v>
      </c>
      <c r="BI139" s="289">
        <v>587</v>
      </c>
      <c r="BJ139" s="289">
        <v>-1.8805000000000001</v>
      </c>
      <c r="BK139" s="289">
        <v>0</v>
      </c>
      <c r="BL139" s="289">
        <v>0</v>
      </c>
      <c r="BM139" s="289">
        <v>0</v>
      </c>
      <c r="BN139" s="289">
        <v>0</v>
      </c>
      <c r="BO139" s="517">
        <v>0</v>
      </c>
      <c r="BP139" s="517">
        <v>0</v>
      </c>
      <c r="BQ139" s="289">
        <f t="shared" si="4"/>
        <v>-1.8805432367999999</v>
      </c>
      <c r="BR139" s="289">
        <v>0</v>
      </c>
      <c r="BS139" s="289">
        <f t="shared" si="5"/>
        <v>0</v>
      </c>
      <c r="BT139" s="289">
        <v>5</v>
      </c>
      <c r="BU139" s="289">
        <v>0</v>
      </c>
      <c r="BV139" s="289">
        <v>25</v>
      </c>
      <c r="BW139" s="289">
        <v>157.18299999999999</v>
      </c>
      <c r="BX139" s="289">
        <v>37.930999999999997</v>
      </c>
      <c r="CC139" s="517"/>
      <c r="CD139" s="85"/>
      <c r="CE139" s="517"/>
    </row>
    <row r="140" spans="1:83" ht="13">
      <c r="A140" s="1">
        <v>1832</v>
      </c>
      <c r="B140" s="2" t="s">
        <v>188</v>
      </c>
      <c r="C140" s="289">
        <v>4503</v>
      </c>
      <c r="D140" s="289">
        <v>105</v>
      </c>
      <c r="E140" s="289">
        <v>180</v>
      </c>
      <c r="F140" s="289">
        <v>520</v>
      </c>
      <c r="G140" s="289">
        <v>400</v>
      </c>
      <c r="H140" s="289">
        <v>2393</v>
      </c>
      <c r="I140" s="289">
        <v>648</v>
      </c>
      <c r="J140" s="289">
        <v>236</v>
      </c>
      <c r="K140" s="289">
        <v>60</v>
      </c>
      <c r="L140" s="289">
        <v>34</v>
      </c>
      <c r="M140" s="289">
        <v>443</v>
      </c>
      <c r="N140" s="290">
        <v>31</v>
      </c>
      <c r="O140" s="290">
        <v>21</v>
      </c>
      <c r="P140" s="624">
        <v>70355.722333330006</v>
      </c>
      <c r="Q140" s="624">
        <v>18431.46966667</v>
      </c>
      <c r="R140" s="624">
        <v>25</v>
      </c>
      <c r="S140" s="289">
        <v>0</v>
      </c>
      <c r="T140" s="289">
        <v>366</v>
      </c>
      <c r="U140" s="716">
        <v>2.1228979703561733E-3</v>
      </c>
      <c r="V140" s="289">
        <v>1828.83231316</v>
      </c>
      <c r="W140" s="743">
        <v>0.90925957999999996</v>
      </c>
      <c r="X140" s="289">
        <v>4118</v>
      </c>
      <c r="Y140" s="289">
        <v>392</v>
      </c>
      <c r="Z140" s="289">
        <v>131134</v>
      </c>
      <c r="AA140" s="289">
        <v>0</v>
      </c>
      <c r="AB140" s="290">
        <v>101</v>
      </c>
      <c r="AC140" s="289">
        <v>0</v>
      </c>
      <c r="AD140" s="289">
        <v>0</v>
      </c>
      <c r="AE140" s="289">
        <v>0</v>
      </c>
      <c r="AF140" s="289">
        <v>0</v>
      </c>
      <c r="AG140" s="289">
        <v>4542</v>
      </c>
      <c r="AH140" s="289">
        <v>618</v>
      </c>
      <c r="AI140" s="289">
        <v>1850</v>
      </c>
      <c r="AJ140" s="289">
        <v>0</v>
      </c>
      <c r="AK140" s="289">
        <v>17.8857</v>
      </c>
      <c r="AL140" s="289">
        <v>7736</v>
      </c>
      <c r="AM140" s="622">
        <v>3.831027E-2</v>
      </c>
      <c r="AN140" s="289">
        <v>0</v>
      </c>
      <c r="AO140" s="289">
        <v>-254.36836758000001</v>
      </c>
      <c r="AP140" s="289">
        <v>0</v>
      </c>
      <c r="AQ140" s="289">
        <v>0</v>
      </c>
      <c r="AR140" s="289">
        <v>-324.63579980999998</v>
      </c>
      <c r="AS140" s="289">
        <v>48.318399999999997</v>
      </c>
      <c r="AT140" s="289">
        <v>198</v>
      </c>
      <c r="AU140" s="289">
        <v>30</v>
      </c>
      <c r="AV140" s="625">
        <v>151444</v>
      </c>
      <c r="AW140" s="289">
        <v>-2.3064</v>
      </c>
      <c r="AX140" s="625">
        <v>36.125</v>
      </c>
      <c r="AY140" s="289">
        <v>672</v>
      </c>
      <c r="AZ140" s="289">
        <v>132</v>
      </c>
      <c r="BA140" s="290">
        <v>126</v>
      </c>
      <c r="BB140" s="289">
        <v>0</v>
      </c>
      <c r="BC140" s="289">
        <v>1102</v>
      </c>
      <c r="BD140" s="289">
        <v>82.019199999999998</v>
      </c>
      <c r="BE140" s="289">
        <v>156144.79004339999</v>
      </c>
      <c r="BF140" s="289">
        <v>0</v>
      </c>
      <c r="BG140" s="289">
        <v>11</v>
      </c>
      <c r="BH140" s="289">
        <v>-37.005099999999999</v>
      </c>
      <c r="BI140" s="289">
        <v>1010</v>
      </c>
      <c r="BJ140" s="289">
        <v>-4.6623999999999999</v>
      </c>
      <c r="BK140" s="289">
        <v>0</v>
      </c>
      <c r="BL140" s="289">
        <v>0</v>
      </c>
      <c r="BM140" s="289">
        <v>0</v>
      </c>
      <c r="BN140" s="289">
        <v>0</v>
      </c>
      <c r="BO140" s="517">
        <v>0</v>
      </c>
      <c r="BP140" s="517">
        <v>0</v>
      </c>
      <c r="BQ140" s="289">
        <f t="shared" si="4"/>
        <v>-4.6623511907999999</v>
      </c>
      <c r="BR140" s="289">
        <v>0</v>
      </c>
      <c r="BS140" s="289">
        <f t="shared" si="5"/>
        <v>0</v>
      </c>
      <c r="BT140" s="289">
        <v>10</v>
      </c>
      <c r="BU140" s="289">
        <v>0</v>
      </c>
      <c r="BV140" s="289">
        <v>57</v>
      </c>
      <c r="BW140" s="289">
        <v>187.571</v>
      </c>
      <c r="BX140" s="289">
        <v>93.725999999999999</v>
      </c>
      <c r="CC140" s="517"/>
      <c r="CD140" s="85"/>
      <c r="CE140" s="517"/>
    </row>
    <row r="141" spans="1:83" ht="13">
      <c r="A141" s="1">
        <v>1833</v>
      </c>
      <c r="B141" s="2" t="s">
        <v>189</v>
      </c>
      <c r="C141" s="289">
        <v>26230</v>
      </c>
      <c r="D141" s="289">
        <v>502</v>
      </c>
      <c r="E141" s="289">
        <v>1088</v>
      </c>
      <c r="F141" s="289">
        <v>3080</v>
      </c>
      <c r="G141" s="289">
        <v>2497</v>
      </c>
      <c r="H141" s="289">
        <v>14631</v>
      </c>
      <c r="I141" s="289">
        <v>3086</v>
      </c>
      <c r="J141" s="289">
        <v>1056</v>
      </c>
      <c r="K141" s="289">
        <v>245</v>
      </c>
      <c r="L141" s="289">
        <v>210</v>
      </c>
      <c r="M141" s="289">
        <v>1951</v>
      </c>
      <c r="N141" s="290">
        <v>269</v>
      </c>
      <c r="O141" s="290">
        <v>163</v>
      </c>
      <c r="P141" s="624">
        <v>126461.76833332999</v>
      </c>
      <c r="Q141" s="624">
        <v>44337.623</v>
      </c>
      <c r="R141" s="624">
        <v>110</v>
      </c>
      <c r="S141" s="289">
        <v>0</v>
      </c>
      <c r="T141" s="289">
        <v>2025</v>
      </c>
      <c r="U141" s="716">
        <v>3.5604439339404579E-3</v>
      </c>
      <c r="V141" s="289">
        <v>3097.72097497</v>
      </c>
      <c r="W141" s="743">
        <v>0.59220640999999996</v>
      </c>
      <c r="X141" s="289">
        <v>0</v>
      </c>
      <c r="Y141" s="289">
        <v>392</v>
      </c>
      <c r="Z141" s="289">
        <v>691020</v>
      </c>
      <c r="AA141" s="289">
        <v>0</v>
      </c>
      <c r="AB141" s="290">
        <v>495</v>
      </c>
      <c r="AC141" s="289">
        <v>0</v>
      </c>
      <c r="AD141" s="289">
        <v>0</v>
      </c>
      <c r="AE141" s="289">
        <v>0</v>
      </c>
      <c r="AF141" s="289">
        <v>0</v>
      </c>
      <c r="AG141" s="289">
        <v>26185</v>
      </c>
      <c r="AH141" s="289">
        <v>3619</v>
      </c>
      <c r="AI141" s="289">
        <v>1700</v>
      </c>
      <c r="AJ141" s="289">
        <v>0</v>
      </c>
      <c r="AK141" s="289">
        <v>107.6938</v>
      </c>
      <c r="AL141" s="289">
        <v>44633</v>
      </c>
      <c r="AM141" s="622">
        <v>0.40463311000000002</v>
      </c>
      <c r="AN141" s="289">
        <v>0</v>
      </c>
      <c r="AO141" s="289">
        <v>-1254.28330465</v>
      </c>
      <c r="AP141" s="289">
        <v>0</v>
      </c>
      <c r="AQ141" s="289">
        <v>0</v>
      </c>
      <c r="AR141" s="289">
        <v>-1871.5518313699999</v>
      </c>
      <c r="AS141" s="289">
        <v>288.12520000000001</v>
      </c>
      <c r="AT141" s="289">
        <v>1356</v>
      </c>
      <c r="AU141" s="289">
        <v>290</v>
      </c>
      <c r="AV141" s="625">
        <v>641587</v>
      </c>
      <c r="AW141" s="289">
        <v>-13.2967</v>
      </c>
      <c r="AX141" s="625">
        <v>177.20833332999999</v>
      </c>
      <c r="AY141" s="289">
        <v>5088</v>
      </c>
      <c r="AZ141" s="289">
        <v>701</v>
      </c>
      <c r="BA141" s="290">
        <v>663</v>
      </c>
      <c r="BB141" s="289">
        <v>0</v>
      </c>
      <c r="BC141" s="289">
        <v>3981</v>
      </c>
      <c r="BD141" s="289">
        <v>480.30340000000001</v>
      </c>
      <c r="BE141" s="289">
        <v>649066.37789284997</v>
      </c>
      <c r="BF141" s="289">
        <v>0</v>
      </c>
      <c r="BG141" s="289">
        <v>11</v>
      </c>
      <c r="BH141" s="289">
        <v>-213.3372</v>
      </c>
      <c r="BI141" s="289">
        <v>4011</v>
      </c>
      <c r="BJ141" s="289">
        <v>-26.878799999999998</v>
      </c>
      <c r="BK141" s="289">
        <v>0</v>
      </c>
      <c r="BL141" s="289">
        <v>0</v>
      </c>
      <c r="BM141" s="289">
        <v>0</v>
      </c>
      <c r="BN141" s="289">
        <v>0</v>
      </c>
      <c r="BO141" s="517">
        <v>0</v>
      </c>
      <c r="BP141" s="517">
        <v>0</v>
      </c>
      <c r="BQ141" s="289">
        <f t="shared" si="4"/>
        <v>-26.878834419</v>
      </c>
      <c r="BR141" s="289">
        <v>0</v>
      </c>
      <c r="BS141" s="289">
        <f t="shared" si="5"/>
        <v>0</v>
      </c>
      <c r="BT141" s="289">
        <v>62</v>
      </c>
      <c r="BU141" s="289">
        <v>0</v>
      </c>
      <c r="BV141" s="289">
        <v>248</v>
      </c>
      <c r="BW141" s="289">
        <v>333.22699999999998</v>
      </c>
      <c r="BX141" s="289">
        <v>546.01</v>
      </c>
      <c r="CC141" s="517"/>
      <c r="CD141" s="85"/>
      <c r="CE141" s="517"/>
    </row>
    <row r="142" spans="1:83" ht="13">
      <c r="A142" s="1">
        <v>1834</v>
      </c>
      <c r="B142" s="2" t="s">
        <v>190</v>
      </c>
      <c r="C142" s="289">
        <v>1920</v>
      </c>
      <c r="D142" s="289">
        <v>33</v>
      </c>
      <c r="E142" s="289">
        <v>103</v>
      </c>
      <c r="F142" s="289">
        <v>201</v>
      </c>
      <c r="G142" s="289">
        <v>161</v>
      </c>
      <c r="H142" s="289">
        <v>1022</v>
      </c>
      <c r="I142" s="289">
        <v>288</v>
      </c>
      <c r="J142" s="289">
        <v>104</v>
      </c>
      <c r="K142" s="289">
        <v>17</v>
      </c>
      <c r="L142" s="289">
        <v>15</v>
      </c>
      <c r="M142" s="289">
        <v>188</v>
      </c>
      <c r="N142" s="290">
        <v>3</v>
      </c>
      <c r="O142" s="290">
        <v>9</v>
      </c>
      <c r="P142" s="624">
        <v>175871.21833333001</v>
      </c>
      <c r="Q142" s="624">
        <v>65713.384666669997</v>
      </c>
      <c r="R142" s="624">
        <v>16</v>
      </c>
      <c r="S142" s="289">
        <v>0</v>
      </c>
      <c r="T142" s="289">
        <v>142</v>
      </c>
      <c r="U142" s="716">
        <v>1.1070121979233822E-3</v>
      </c>
      <c r="V142" s="289">
        <v>1114.0505108</v>
      </c>
      <c r="W142" s="743">
        <v>1</v>
      </c>
      <c r="X142" s="289">
        <v>419</v>
      </c>
      <c r="Y142" s="289">
        <v>0</v>
      </c>
      <c r="Z142" s="289">
        <v>71323</v>
      </c>
      <c r="AA142" s="289">
        <v>0</v>
      </c>
      <c r="AB142" s="290">
        <v>51</v>
      </c>
      <c r="AC142" s="289">
        <v>0</v>
      </c>
      <c r="AD142" s="289">
        <v>0</v>
      </c>
      <c r="AE142" s="289">
        <v>0</v>
      </c>
      <c r="AF142" s="289">
        <v>0</v>
      </c>
      <c r="AG142" s="289">
        <v>1929</v>
      </c>
      <c r="AH142" s="289">
        <v>257</v>
      </c>
      <c r="AI142" s="289">
        <v>1200</v>
      </c>
      <c r="AJ142" s="289">
        <v>0</v>
      </c>
      <c r="AK142" s="289">
        <v>9.6311</v>
      </c>
      <c r="AL142" s="289">
        <v>3283</v>
      </c>
      <c r="AM142" s="622">
        <v>1.1823459999999999E-2</v>
      </c>
      <c r="AN142" s="289">
        <v>0</v>
      </c>
      <c r="AO142" s="289">
        <v>-154.95089834000001</v>
      </c>
      <c r="AP142" s="289">
        <v>0</v>
      </c>
      <c r="AQ142" s="289">
        <v>0</v>
      </c>
      <c r="AR142" s="289">
        <v>5812.3775538700002</v>
      </c>
      <c r="AS142" s="289">
        <v>19.472000000000001</v>
      </c>
      <c r="AT142" s="289">
        <v>62</v>
      </c>
      <c r="AU142" s="289">
        <v>19</v>
      </c>
      <c r="AV142" s="625">
        <v>124333</v>
      </c>
      <c r="AW142" s="289">
        <v>-37.528700000000001</v>
      </c>
      <c r="AX142" s="625">
        <v>15.20833333</v>
      </c>
      <c r="AY142" s="289">
        <v>265</v>
      </c>
      <c r="AZ142" s="289">
        <v>37</v>
      </c>
      <c r="BA142" s="290">
        <v>38</v>
      </c>
      <c r="BB142" s="289">
        <v>5543</v>
      </c>
      <c r="BC142" s="289">
        <v>412</v>
      </c>
      <c r="BD142" s="289">
        <v>34.1083</v>
      </c>
      <c r="BE142" s="289">
        <v>118934.86942379001</v>
      </c>
      <c r="BF142" s="289">
        <v>0</v>
      </c>
      <c r="BG142" s="289">
        <v>0</v>
      </c>
      <c r="BH142" s="289">
        <v>-15.716200000000001</v>
      </c>
      <c r="BI142" s="289">
        <v>257</v>
      </c>
      <c r="BJ142" s="289">
        <v>-1.9801</v>
      </c>
      <c r="BK142" s="289">
        <v>0</v>
      </c>
      <c r="BL142" s="289">
        <v>0</v>
      </c>
      <c r="BM142" s="289">
        <v>0</v>
      </c>
      <c r="BN142" s="289">
        <v>0</v>
      </c>
      <c r="BO142" s="517">
        <v>0</v>
      </c>
      <c r="BP142" s="517">
        <v>0</v>
      </c>
      <c r="BQ142" s="289">
        <f t="shared" si="4"/>
        <v>-1.9801134845999999</v>
      </c>
      <c r="BR142" s="289">
        <v>0</v>
      </c>
      <c r="BS142" s="289">
        <f t="shared" si="5"/>
        <v>0</v>
      </c>
      <c r="BT142" s="289">
        <v>6</v>
      </c>
      <c r="BU142" s="289">
        <v>0</v>
      </c>
      <c r="BV142" s="289">
        <v>49</v>
      </c>
      <c r="BW142" s="289">
        <v>157.18299999999999</v>
      </c>
      <c r="BX142" s="289">
        <v>39.572000000000003</v>
      </c>
      <c r="CC142" s="517"/>
      <c r="CD142" s="85"/>
      <c r="CE142" s="517"/>
    </row>
    <row r="143" spans="1:83" ht="13">
      <c r="A143" s="1">
        <v>1835</v>
      </c>
      <c r="B143" s="2" t="s">
        <v>191</v>
      </c>
      <c r="C143" s="289">
        <v>454</v>
      </c>
      <c r="D143" s="289">
        <v>5</v>
      </c>
      <c r="E143" s="289">
        <v>14</v>
      </c>
      <c r="F143" s="289">
        <v>53</v>
      </c>
      <c r="G143" s="289">
        <v>53</v>
      </c>
      <c r="H143" s="289">
        <v>256</v>
      </c>
      <c r="I143" s="289">
        <v>46</v>
      </c>
      <c r="J143" s="289">
        <v>21</v>
      </c>
      <c r="K143" s="289">
        <v>2</v>
      </c>
      <c r="L143" s="289">
        <v>6</v>
      </c>
      <c r="M143" s="289">
        <v>33</v>
      </c>
      <c r="N143" s="290">
        <v>0</v>
      </c>
      <c r="O143" s="290">
        <v>10</v>
      </c>
      <c r="P143" s="624">
        <v>2159.7756666700002</v>
      </c>
      <c r="Q143" s="624">
        <v>7113.3086666700001</v>
      </c>
      <c r="R143" s="624">
        <v>1</v>
      </c>
      <c r="S143" s="289">
        <v>0</v>
      </c>
      <c r="T143" s="289">
        <v>44</v>
      </c>
      <c r="U143" s="716">
        <v>4.3331628373950464E-5</v>
      </c>
      <c r="V143" s="289">
        <v>269.34128999000001</v>
      </c>
      <c r="W143" s="743">
        <v>1</v>
      </c>
      <c r="X143" s="289">
        <v>207</v>
      </c>
      <c r="Y143" s="289">
        <v>0</v>
      </c>
      <c r="Z143" s="289">
        <v>12509</v>
      </c>
      <c r="AA143" s="289">
        <v>0</v>
      </c>
      <c r="AB143" s="290">
        <v>6</v>
      </c>
      <c r="AC143" s="289">
        <v>0</v>
      </c>
      <c r="AD143" s="289">
        <v>0</v>
      </c>
      <c r="AE143" s="289">
        <v>0</v>
      </c>
      <c r="AF143" s="289">
        <v>0</v>
      </c>
      <c r="AG143" s="289">
        <v>450</v>
      </c>
      <c r="AH143" s="289">
        <v>100</v>
      </c>
      <c r="AI143" s="289">
        <v>0</v>
      </c>
      <c r="AJ143" s="289">
        <v>0</v>
      </c>
      <c r="AK143" s="289">
        <v>1.3334999999999999</v>
      </c>
      <c r="AL143" s="289">
        <v>795</v>
      </c>
      <c r="AM143" s="622">
        <v>1.054457E-2</v>
      </c>
      <c r="AN143" s="289">
        <v>0</v>
      </c>
      <c r="AO143" s="289">
        <v>-37.462102880000003</v>
      </c>
      <c r="AP143" s="289">
        <v>0</v>
      </c>
      <c r="AQ143" s="289">
        <v>0</v>
      </c>
      <c r="AR143" s="289">
        <v>141.18412727</v>
      </c>
      <c r="AS143" s="289">
        <v>5.1782000000000004</v>
      </c>
      <c r="AT143" s="289">
        <v>20</v>
      </c>
      <c r="AU143" s="289">
        <v>6</v>
      </c>
      <c r="AV143" s="625">
        <v>34303</v>
      </c>
      <c r="AW143" s="289">
        <v>-8.7547999999999995</v>
      </c>
      <c r="AX143" s="625">
        <v>1.5416666699999999</v>
      </c>
      <c r="AY143" s="289">
        <v>63</v>
      </c>
      <c r="AZ143" s="289">
        <v>19</v>
      </c>
      <c r="BA143" s="290">
        <v>13</v>
      </c>
      <c r="BB143" s="289">
        <v>5543</v>
      </c>
      <c r="BC143" s="289">
        <v>150</v>
      </c>
      <c r="BD143" s="289">
        <v>13.271699999999999</v>
      </c>
      <c r="BE143" s="289">
        <v>33535.143321019998</v>
      </c>
      <c r="BF143" s="289">
        <v>0</v>
      </c>
      <c r="BG143" s="289">
        <v>0</v>
      </c>
      <c r="BH143" s="289">
        <v>-3.6663000000000001</v>
      </c>
      <c r="BI143" s="289">
        <v>100</v>
      </c>
      <c r="BJ143" s="289">
        <v>-0.46189999999999998</v>
      </c>
      <c r="BK143" s="289">
        <v>0</v>
      </c>
      <c r="BL143" s="289">
        <v>0</v>
      </c>
      <c r="BM143" s="289">
        <v>0</v>
      </c>
      <c r="BN143" s="289">
        <v>0</v>
      </c>
      <c r="BO143" s="517">
        <v>0</v>
      </c>
      <c r="BP143" s="517">
        <v>0</v>
      </c>
      <c r="BQ143" s="289">
        <f t="shared" si="4"/>
        <v>-0.46192383000000004</v>
      </c>
      <c r="BR143" s="289">
        <v>0</v>
      </c>
      <c r="BS143" s="289">
        <f t="shared" si="5"/>
        <v>0</v>
      </c>
      <c r="BT143" s="289">
        <v>1</v>
      </c>
      <c r="BU143" s="289">
        <v>0</v>
      </c>
      <c r="BV143" s="289">
        <v>13</v>
      </c>
      <c r="BW143" s="289">
        <v>0</v>
      </c>
      <c r="BX143" s="289">
        <v>9.5139999999999993</v>
      </c>
      <c r="CC143" s="517"/>
      <c r="CD143" s="85"/>
      <c r="CE143" s="517"/>
    </row>
    <row r="144" spans="1:83" ht="13">
      <c r="A144" s="1">
        <v>1836</v>
      </c>
      <c r="B144" s="2" t="s">
        <v>192</v>
      </c>
      <c r="C144" s="289">
        <v>1249</v>
      </c>
      <c r="D144" s="289">
        <v>25</v>
      </c>
      <c r="E144" s="289">
        <v>67</v>
      </c>
      <c r="F144" s="289">
        <v>149</v>
      </c>
      <c r="G144" s="289">
        <v>145</v>
      </c>
      <c r="H144" s="289">
        <v>631</v>
      </c>
      <c r="I144" s="289">
        <v>169</v>
      </c>
      <c r="J144" s="289">
        <v>59</v>
      </c>
      <c r="K144" s="289">
        <v>12</v>
      </c>
      <c r="L144" s="289">
        <v>12</v>
      </c>
      <c r="M144" s="289">
        <v>120</v>
      </c>
      <c r="N144" s="290">
        <v>0</v>
      </c>
      <c r="O144" s="290">
        <v>7</v>
      </c>
      <c r="P144" s="624">
        <v>59005.468999999997</v>
      </c>
      <c r="Q144" s="624">
        <v>21123.604666669999</v>
      </c>
      <c r="R144" s="624">
        <v>6</v>
      </c>
      <c r="S144" s="289">
        <v>0</v>
      </c>
      <c r="T144" s="289">
        <v>99</v>
      </c>
      <c r="U144" s="716">
        <v>1.4106313796281213E-3</v>
      </c>
      <c r="V144" s="289">
        <v>662.71938505000003</v>
      </c>
      <c r="W144" s="743">
        <v>1</v>
      </c>
      <c r="X144" s="289">
        <v>1000</v>
      </c>
      <c r="Y144" s="289">
        <v>0</v>
      </c>
      <c r="Z144" s="289">
        <v>28017</v>
      </c>
      <c r="AA144" s="289">
        <v>0</v>
      </c>
      <c r="AB144" s="290">
        <v>31</v>
      </c>
      <c r="AC144" s="289">
        <v>0</v>
      </c>
      <c r="AD144" s="289">
        <v>0</v>
      </c>
      <c r="AE144" s="289">
        <v>0</v>
      </c>
      <c r="AF144" s="289">
        <v>0</v>
      </c>
      <c r="AG144" s="289">
        <v>1257</v>
      </c>
      <c r="AH144" s="289">
        <v>200</v>
      </c>
      <c r="AI144" s="289">
        <v>365</v>
      </c>
      <c r="AJ144" s="289">
        <v>0</v>
      </c>
      <c r="AK144" s="289">
        <v>5.9966999999999997</v>
      </c>
      <c r="AL144" s="289">
        <v>2167</v>
      </c>
      <c r="AM144" s="622">
        <v>1.247127E-2</v>
      </c>
      <c r="AN144" s="289">
        <v>0</v>
      </c>
      <c r="AO144" s="289">
        <v>-92.176219180000004</v>
      </c>
      <c r="AP144" s="289">
        <v>0</v>
      </c>
      <c r="AQ144" s="289">
        <v>0</v>
      </c>
      <c r="AR144" s="289">
        <v>4016.7432800299998</v>
      </c>
      <c r="AS144" s="289">
        <v>12.9999</v>
      </c>
      <c r="AT144" s="289">
        <v>55</v>
      </c>
      <c r="AU144" s="289">
        <v>7</v>
      </c>
      <c r="AV144" s="625">
        <v>75772</v>
      </c>
      <c r="AW144" s="289">
        <v>-24.454999999999998</v>
      </c>
      <c r="AX144" s="625">
        <v>6.125</v>
      </c>
      <c r="AY144" s="289">
        <v>159</v>
      </c>
      <c r="AZ144" s="289">
        <v>52</v>
      </c>
      <c r="BA144" s="290">
        <v>29</v>
      </c>
      <c r="BB144" s="289">
        <v>5543</v>
      </c>
      <c r="BC144" s="289">
        <v>342</v>
      </c>
      <c r="BD144" s="289">
        <v>26.543399999999998</v>
      </c>
      <c r="BE144" s="289">
        <v>71113.792647049995</v>
      </c>
      <c r="BF144" s="289">
        <v>0</v>
      </c>
      <c r="BG144" s="289">
        <v>0</v>
      </c>
      <c r="BH144" s="289">
        <v>-10.241199999999999</v>
      </c>
      <c r="BI144" s="289">
        <v>200</v>
      </c>
      <c r="BJ144" s="289">
        <v>-1.2903</v>
      </c>
      <c r="BK144" s="289">
        <v>0</v>
      </c>
      <c r="BL144" s="289">
        <v>0</v>
      </c>
      <c r="BM144" s="289">
        <v>0</v>
      </c>
      <c r="BN144" s="289">
        <v>0</v>
      </c>
      <c r="BO144" s="517">
        <v>0</v>
      </c>
      <c r="BP144" s="517">
        <v>0</v>
      </c>
      <c r="BQ144" s="289">
        <f t="shared" si="4"/>
        <v>-1.2903072318</v>
      </c>
      <c r="BR144" s="289">
        <v>0</v>
      </c>
      <c r="BS144" s="289">
        <f t="shared" si="5"/>
        <v>0</v>
      </c>
      <c r="BT144" s="289">
        <v>3</v>
      </c>
      <c r="BU144" s="289">
        <v>0</v>
      </c>
      <c r="BV144" s="289">
        <v>27</v>
      </c>
      <c r="BW144" s="289">
        <v>157.18299999999999</v>
      </c>
      <c r="BX144" s="289">
        <v>25.779</v>
      </c>
      <c r="CC144" s="517"/>
      <c r="CD144" s="85"/>
      <c r="CE144" s="517"/>
    </row>
    <row r="145" spans="1:83" ht="13">
      <c r="A145" s="1">
        <v>1837</v>
      </c>
      <c r="B145" s="2" t="s">
        <v>193</v>
      </c>
      <c r="C145" s="289">
        <v>6346</v>
      </c>
      <c r="D145" s="289">
        <v>124</v>
      </c>
      <c r="E145" s="289">
        <v>294</v>
      </c>
      <c r="F145" s="289">
        <v>755</v>
      </c>
      <c r="G145" s="289">
        <v>617</v>
      </c>
      <c r="H145" s="289">
        <v>3423</v>
      </c>
      <c r="I145" s="289">
        <v>780</v>
      </c>
      <c r="J145" s="289">
        <v>304</v>
      </c>
      <c r="K145" s="289">
        <v>84</v>
      </c>
      <c r="L145" s="289">
        <v>56</v>
      </c>
      <c r="M145" s="289">
        <v>528</v>
      </c>
      <c r="N145" s="290">
        <v>31</v>
      </c>
      <c r="O145" s="290">
        <v>49</v>
      </c>
      <c r="P145" s="624">
        <v>97848.032999999996</v>
      </c>
      <c r="Q145" s="624">
        <v>33899.743666670001</v>
      </c>
      <c r="R145" s="624">
        <v>40</v>
      </c>
      <c r="S145" s="289">
        <v>0</v>
      </c>
      <c r="T145" s="289">
        <v>503</v>
      </c>
      <c r="U145" s="716">
        <v>1.9990331261002278E-3</v>
      </c>
      <c r="V145" s="289">
        <v>2583.73136247</v>
      </c>
      <c r="W145" s="743">
        <v>0.94127952000000004</v>
      </c>
      <c r="X145" s="289">
        <v>2612</v>
      </c>
      <c r="Y145" s="289">
        <v>392</v>
      </c>
      <c r="Z145" s="289">
        <v>179660</v>
      </c>
      <c r="AA145" s="289">
        <v>0</v>
      </c>
      <c r="AB145" s="290">
        <v>138</v>
      </c>
      <c r="AC145" s="289">
        <v>0</v>
      </c>
      <c r="AD145" s="289">
        <v>0</v>
      </c>
      <c r="AE145" s="289">
        <v>0</v>
      </c>
      <c r="AF145" s="289">
        <v>0</v>
      </c>
      <c r="AG145" s="289">
        <v>6381</v>
      </c>
      <c r="AH145" s="289">
        <v>930</v>
      </c>
      <c r="AI145" s="289">
        <v>1050</v>
      </c>
      <c r="AJ145" s="289">
        <v>0</v>
      </c>
      <c r="AK145" s="289">
        <v>27.132999999999999</v>
      </c>
      <c r="AL145" s="289">
        <v>11004</v>
      </c>
      <c r="AM145" s="622">
        <v>0.18629182</v>
      </c>
      <c r="AN145" s="289">
        <v>0</v>
      </c>
      <c r="AO145" s="289">
        <v>-359.36565874000001</v>
      </c>
      <c r="AP145" s="289">
        <v>0</v>
      </c>
      <c r="AQ145" s="289">
        <v>0</v>
      </c>
      <c r="AR145" s="289">
        <v>513.41959694000002</v>
      </c>
      <c r="AS145" s="289">
        <v>73.933700000000002</v>
      </c>
      <c r="AT145" s="289">
        <v>325</v>
      </c>
      <c r="AU145" s="289">
        <v>86</v>
      </c>
      <c r="AV145" s="625">
        <v>216662</v>
      </c>
      <c r="AW145" s="289">
        <v>-124.1425</v>
      </c>
      <c r="AX145" s="625">
        <v>32.333333330000002</v>
      </c>
      <c r="AY145" s="289">
        <v>918</v>
      </c>
      <c r="AZ145" s="289">
        <v>276</v>
      </c>
      <c r="BA145" s="290">
        <v>160</v>
      </c>
      <c r="BB145" s="289">
        <v>0</v>
      </c>
      <c r="BC145" s="289">
        <v>1298</v>
      </c>
      <c r="BD145" s="289">
        <v>123.42700000000001</v>
      </c>
      <c r="BE145" s="289">
        <v>218309.13057986001</v>
      </c>
      <c r="BF145" s="289">
        <v>0</v>
      </c>
      <c r="BG145" s="289">
        <v>11</v>
      </c>
      <c r="BH145" s="289">
        <v>-51.988</v>
      </c>
      <c r="BI145" s="289">
        <v>1322</v>
      </c>
      <c r="BJ145" s="289">
        <v>-6.5500999999999996</v>
      </c>
      <c r="BK145" s="289">
        <v>0</v>
      </c>
      <c r="BL145" s="289">
        <v>0</v>
      </c>
      <c r="BM145" s="289">
        <v>0</v>
      </c>
      <c r="BN145" s="289">
        <v>0</v>
      </c>
      <c r="BO145" s="517">
        <v>0</v>
      </c>
      <c r="BP145" s="517">
        <v>0</v>
      </c>
      <c r="BQ145" s="289">
        <f t="shared" si="4"/>
        <v>-6.5500799094</v>
      </c>
      <c r="BR145" s="289">
        <v>0</v>
      </c>
      <c r="BS145" s="289">
        <f t="shared" si="5"/>
        <v>0</v>
      </c>
      <c r="BT145" s="289">
        <v>16</v>
      </c>
      <c r="BU145" s="289">
        <v>0</v>
      </c>
      <c r="BV145" s="289">
        <v>77</v>
      </c>
      <c r="BW145" s="289">
        <v>200.14599999999999</v>
      </c>
      <c r="BX145" s="289">
        <v>131.429</v>
      </c>
      <c r="CC145" s="517"/>
      <c r="CD145" s="85"/>
      <c r="CE145" s="517"/>
    </row>
    <row r="146" spans="1:83" ht="13">
      <c r="A146" s="1">
        <v>1838</v>
      </c>
      <c r="B146" s="2" t="s">
        <v>194</v>
      </c>
      <c r="C146" s="289">
        <v>1998</v>
      </c>
      <c r="D146" s="289">
        <v>36</v>
      </c>
      <c r="E146" s="289">
        <v>77</v>
      </c>
      <c r="F146" s="289">
        <v>219</v>
      </c>
      <c r="G146" s="289">
        <v>166</v>
      </c>
      <c r="H146" s="289">
        <v>1098</v>
      </c>
      <c r="I146" s="289">
        <v>299</v>
      </c>
      <c r="J146" s="289">
        <v>103</v>
      </c>
      <c r="K146" s="289">
        <v>34</v>
      </c>
      <c r="L146" s="289">
        <v>17</v>
      </c>
      <c r="M146" s="289">
        <v>219</v>
      </c>
      <c r="N146" s="290">
        <v>12</v>
      </c>
      <c r="O146" s="290">
        <v>35</v>
      </c>
      <c r="P146" s="624">
        <v>36698.639000000003</v>
      </c>
      <c r="Q146" s="624">
        <v>6636.7383333300004</v>
      </c>
      <c r="R146" s="624">
        <v>16</v>
      </c>
      <c r="S146" s="289">
        <v>0</v>
      </c>
      <c r="T146" s="289">
        <v>175</v>
      </c>
      <c r="U146" s="716">
        <v>1.275886679518302E-3</v>
      </c>
      <c r="V146" s="289">
        <v>923.46892307999997</v>
      </c>
      <c r="W146" s="743">
        <v>1</v>
      </c>
      <c r="X146" s="289">
        <v>0</v>
      </c>
      <c r="Y146" s="289">
        <v>0</v>
      </c>
      <c r="Z146" s="289">
        <v>50262</v>
      </c>
      <c r="AA146" s="289">
        <v>0</v>
      </c>
      <c r="AB146" s="290">
        <v>44</v>
      </c>
      <c r="AC146" s="289">
        <v>0</v>
      </c>
      <c r="AD146" s="289">
        <v>0</v>
      </c>
      <c r="AE146" s="289">
        <v>0</v>
      </c>
      <c r="AF146" s="289">
        <v>0</v>
      </c>
      <c r="AG146" s="289">
        <v>2032</v>
      </c>
      <c r="AH146" s="289">
        <v>253</v>
      </c>
      <c r="AI146" s="289">
        <v>0</v>
      </c>
      <c r="AJ146" s="289">
        <v>0</v>
      </c>
      <c r="AK146" s="289">
        <v>7.9675000000000002</v>
      </c>
      <c r="AL146" s="289">
        <v>3461</v>
      </c>
      <c r="AM146" s="622">
        <v>4.4917510000000001E-2</v>
      </c>
      <c r="AN146" s="289">
        <v>0</v>
      </c>
      <c r="AO146" s="289">
        <v>-128.44331367999999</v>
      </c>
      <c r="AP146" s="289">
        <v>0</v>
      </c>
      <c r="AQ146" s="289">
        <v>0</v>
      </c>
      <c r="AR146" s="289">
        <v>1612.3254692800001</v>
      </c>
      <c r="AS146" s="289">
        <v>23.624600000000001</v>
      </c>
      <c r="AT146" s="289">
        <v>102</v>
      </c>
      <c r="AU146" s="289">
        <v>22</v>
      </c>
      <c r="AV146" s="625">
        <v>90438</v>
      </c>
      <c r="AW146" s="289">
        <v>-39.532600000000002</v>
      </c>
      <c r="AX146" s="625">
        <v>17.916666670000001</v>
      </c>
      <c r="AY146" s="289">
        <v>362</v>
      </c>
      <c r="AZ146" s="289">
        <v>82</v>
      </c>
      <c r="BA146" s="290">
        <v>45</v>
      </c>
      <c r="BB146" s="289">
        <v>5543</v>
      </c>
      <c r="BC146" s="289">
        <v>257</v>
      </c>
      <c r="BD146" s="289">
        <v>33.577399999999997</v>
      </c>
      <c r="BE146" s="289">
        <v>88520.414256970005</v>
      </c>
      <c r="BF146" s="289">
        <v>0</v>
      </c>
      <c r="BG146" s="289">
        <v>0</v>
      </c>
      <c r="BH146" s="289">
        <v>-16.555299999999999</v>
      </c>
      <c r="BI146" s="289">
        <v>253</v>
      </c>
      <c r="BJ146" s="289">
        <v>-2.0857999999999999</v>
      </c>
      <c r="BK146" s="289">
        <v>0</v>
      </c>
      <c r="BL146" s="289">
        <v>0</v>
      </c>
      <c r="BM146" s="289">
        <v>0</v>
      </c>
      <c r="BN146" s="289">
        <v>0</v>
      </c>
      <c r="BO146" s="517">
        <v>0</v>
      </c>
      <c r="BP146" s="517">
        <v>0</v>
      </c>
      <c r="BQ146" s="289">
        <f t="shared" si="4"/>
        <v>-2.0858427167999998</v>
      </c>
      <c r="BR146" s="289">
        <v>0</v>
      </c>
      <c r="BS146" s="289">
        <f t="shared" si="5"/>
        <v>0</v>
      </c>
      <c r="BT146" s="289">
        <v>5</v>
      </c>
      <c r="BU146" s="289">
        <v>0</v>
      </c>
      <c r="BV146" s="289">
        <v>31</v>
      </c>
      <c r="BW146" s="289">
        <v>157.18299999999999</v>
      </c>
      <c r="BX146" s="289">
        <v>41.4</v>
      </c>
      <c r="CC146" s="517"/>
      <c r="CD146" s="85"/>
      <c r="CE146" s="517"/>
    </row>
    <row r="147" spans="1:83" ht="13">
      <c r="A147" s="1">
        <v>1839</v>
      </c>
      <c r="B147" s="2" t="s">
        <v>195</v>
      </c>
      <c r="C147" s="289">
        <v>1029</v>
      </c>
      <c r="D147" s="289">
        <v>10</v>
      </c>
      <c r="E147" s="289">
        <v>34</v>
      </c>
      <c r="F147" s="289">
        <v>89</v>
      </c>
      <c r="G147" s="289">
        <v>83</v>
      </c>
      <c r="H147" s="289">
        <v>549</v>
      </c>
      <c r="I147" s="289">
        <v>182</v>
      </c>
      <c r="J147" s="289">
        <v>66</v>
      </c>
      <c r="K147" s="289">
        <v>19</v>
      </c>
      <c r="L147" s="289">
        <v>11</v>
      </c>
      <c r="M147" s="289">
        <v>113</v>
      </c>
      <c r="N147" s="290">
        <v>0</v>
      </c>
      <c r="O147" s="290">
        <v>12</v>
      </c>
      <c r="P147" s="624">
        <v>10917.419666670001</v>
      </c>
      <c r="Q147" s="624">
        <v>5629.6123333300002</v>
      </c>
      <c r="R147" s="624">
        <v>6</v>
      </c>
      <c r="S147" s="289">
        <v>0</v>
      </c>
      <c r="T147" s="289">
        <v>79</v>
      </c>
      <c r="U147" s="716">
        <v>1.3482792057387678E-3</v>
      </c>
      <c r="V147" s="289">
        <v>503.18081440999998</v>
      </c>
      <c r="W147" s="743">
        <v>1</v>
      </c>
      <c r="X147" s="289">
        <v>854</v>
      </c>
      <c r="Y147" s="289">
        <v>392</v>
      </c>
      <c r="Z147" s="289">
        <v>26982</v>
      </c>
      <c r="AA147" s="289">
        <v>0</v>
      </c>
      <c r="AB147" s="290">
        <v>27</v>
      </c>
      <c r="AC147" s="289">
        <v>0</v>
      </c>
      <c r="AD147" s="289">
        <v>0</v>
      </c>
      <c r="AE147" s="289">
        <v>0</v>
      </c>
      <c r="AF147" s="289">
        <v>0</v>
      </c>
      <c r="AG147" s="289">
        <v>1032</v>
      </c>
      <c r="AH147" s="289">
        <v>112</v>
      </c>
      <c r="AI147" s="289">
        <v>600</v>
      </c>
      <c r="AJ147" s="289">
        <v>0</v>
      </c>
      <c r="AK147" s="289">
        <v>3.0838000000000001</v>
      </c>
      <c r="AL147" s="289">
        <v>1784</v>
      </c>
      <c r="AM147" s="622">
        <v>1.1931799999999999E-2</v>
      </c>
      <c r="AN147" s="289">
        <v>0</v>
      </c>
      <c r="AO147" s="289">
        <v>-69.986341249999995</v>
      </c>
      <c r="AP147" s="289">
        <v>0</v>
      </c>
      <c r="AQ147" s="289">
        <v>0</v>
      </c>
      <c r="AR147" s="289">
        <v>-73.761370630000002</v>
      </c>
      <c r="AS147" s="289">
        <v>10.7509</v>
      </c>
      <c r="AT147" s="289">
        <v>44</v>
      </c>
      <c r="AU147" s="289">
        <v>5</v>
      </c>
      <c r="AV147" s="625">
        <v>51413</v>
      </c>
      <c r="AW147" s="289">
        <v>-0.52400000000000002</v>
      </c>
      <c r="AX147" s="625">
        <v>2.625</v>
      </c>
      <c r="AY147" s="289">
        <v>114</v>
      </c>
      <c r="AZ147" s="289">
        <v>59</v>
      </c>
      <c r="BA147" s="290">
        <v>20</v>
      </c>
      <c r="BB147" s="289">
        <v>5543</v>
      </c>
      <c r="BC147" s="289">
        <v>475</v>
      </c>
      <c r="BD147" s="289">
        <v>14.8643</v>
      </c>
      <c r="BE147" s="289">
        <v>53862.436756180003</v>
      </c>
      <c r="BF147" s="289">
        <v>0</v>
      </c>
      <c r="BG147" s="289">
        <v>11</v>
      </c>
      <c r="BH147" s="289">
        <v>-8.4079999999999995</v>
      </c>
      <c r="BI147" s="289">
        <v>504</v>
      </c>
      <c r="BJ147" s="289">
        <v>-1.0592999999999999</v>
      </c>
      <c r="BK147" s="289">
        <v>0</v>
      </c>
      <c r="BL147" s="289">
        <v>0</v>
      </c>
      <c r="BM147" s="289">
        <v>0</v>
      </c>
      <c r="BN147" s="289">
        <v>0</v>
      </c>
      <c r="BO147" s="517">
        <v>0</v>
      </c>
      <c r="BP147" s="517">
        <v>0</v>
      </c>
      <c r="BQ147" s="289">
        <f t="shared" si="4"/>
        <v>-1.0593453168</v>
      </c>
      <c r="BR147" s="289">
        <v>0</v>
      </c>
      <c r="BS147" s="289">
        <f t="shared" si="5"/>
        <v>0</v>
      </c>
      <c r="BT147" s="289">
        <v>2</v>
      </c>
      <c r="BU147" s="289">
        <v>0</v>
      </c>
      <c r="BV147" s="289">
        <v>20</v>
      </c>
      <c r="BW147" s="289">
        <v>157.18299999999999</v>
      </c>
      <c r="BX147" s="289">
        <v>21.25</v>
      </c>
      <c r="CC147" s="517"/>
      <c r="CD147" s="85"/>
      <c r="CE147" s="517"/>
    </row>
    <row r="148" spans="1:83" ht="13">
      <c r="A148" s="1">
        <v>1840</v>
      </c>
      <c r="B148" s="2" t="s">
        <v>196</v>
      </c>
      <c r="C148" s="289">
        <v>4691</v>
      </c>
      <c r="D148" s="289">
        <v>107</v>
      </c>
      <c r="E148" s="289">
        <v>194</v>
      </c>
      <c r="F148" s="289">
        <v>528</v>
      </c>
      <c r="G148" s="289">
        <v>398</v>
      </c>
      <c r="H148" s="289">
        <v>2579</v>
      </c>
      <c r="I148" s="289">
        <v>688</v>
      </c>
      <c r="J148" s="289">
        <v>201</v>
      </c>
      <c r="K148" s="289">
        <v>50</v>
      </c>
      <c r="L148" s="289">
        <v>41</v>
      </c>
      <c r="M148" s="289">
        <v>391</v>
      </c>
      <c r="N148" s="290">
        <v>62</v>
      </c>
      <c r="O148" s="290">
        <v>43</v>
      </c>
      <c r="P148" s="624">
        <v>32919.306333330002</v>
      </c>
      <c r="Q148" s="624">
        <v>11465.11933333</v>
      </c>
      <c r="R148" s="624">
        <v>36</v>
      </c>
      <c r="S148" s="289">
        <v>0</v>
      </c>
      <c r="T148" s="289">
        <v>403</v>
      </c>
      <c r="U148" s="716">
        <v>1.898831012387036E-3</v>
      </c>
      <c r="V148" s="289">
        <v>1851.47458037</v>
      </c>
      <c r="W148" s="743">
        <v>0.75533866000000005</v>
      </c>
      <c r="X148" s="289">
        <v>3006</v>
      </c>
      <c r="Y148" s="289">
        <v>392</v>
      </c>
      <c r="Z148" s="289">
        <v>110720</v>
      </c>
      <c r="AA148" s="289">
        <v>0</v>
      </c>
      <c r="AB148" s="290">
        <v>133</v>
      </c>
      <c r="AC148" s="289">
        <v>0</v>
      </c>
      <c r="AD148" s="289">
        <v>0</v>
      </c>
      <c r="AE148" s="289">
        <v>0</v>
      </c>
      <c r="AF148" s="289">
        <v>0</v>
      </c>
      <c r="AG148" s="289">
        <v>4745</v>
      </c>
      <c r="AH148" s="289">
        <v>617</v>
      </c>
      <c r="AI148" s="289">
        <v>2050</v>
      </c>
      <c r="AJ148" s="289">
        <v>0</v>
      </c>
      <c r="AK148" s="289">
        <v>19.981400000000001</v>
      </c>
      <c r="AL148" s="289">
        <v>8040</v>
      </c>
      <c r="AM148" s="622">
        <v>0.15662665000000001</v>
      </c>
      <c r="AN148" s="289">
        <v>0</v>
      </c>
      <c r="AO148" s="289">
        <v>-257.51763201</v>
      </c>
      <c r="AP148" s="289">
        <v>0</v>
      </c>
      <c r="AQ148" s="289">
        <v>0</v>
      </c>
      <c r="AR148" s="289">
        <v>-339.14506167000002</v>
      </c>
      <c r="AS148" s="289">
        <v>63.0685</v>
      </c>
      <c r="AT148" s="289">
        <v>219</v>
      </c>
      <c r="AU148" s="289">
        <v>59</v>
      </c>
      <c r="AV148" s="625">
        <v>146946</v>
      </c>
      <c r="AW148" s="289">
        <v>-2.4095</v>
      </c>
      <c r="AX148" s="625">
        <v>46.25</v>
      </c>
      <c r="AY148" s="289">
        <v>836</v>
      </c>
      <c r="AZ148" s="289">
        <v>268</v>
      </c>
      <c r="BA148" s="290">
        <v>93</v>
      </c>
      <c r="BB148" s="289">
        <v>0</v>
      </c>
      <c r="BC148" s="289">
        <v>968</v>
      </c>
      <c r="BD148" s="289">
        <v>81.886499999999998</v>
      </c>
      <c r="BE148" s="289">
        <v>153229.10444786001</v>
      </c>
      <c r="BF148" s="289">
        <v>0</v>
      </c>
      <c r="BG148" s="289">
        <v>11</v>
      </c>
      <c r="BH148" s="289">
        <v>-38.658999999999999</v>
      </c>
      <c r="BI148" s="289">
        <v>1009</v>
      </c>
      <c r="BJ148" s="289">
        <v>-4.8707000000000003</v>
      </c>
      <c r="BK148" s="289">
        <v>0</v>
      </c>
      <c r="BL148" s="289">
        <v>0</v>
      </c>
      <c r="BM148" s="289">
        <v>0</v>
      </c>
      <c r="BN148" s="289">
        <v>0</v>
      </c>
      <c r="BO148" s="517">
        <v>0</v>
      </c>
      <c r="BP148" s="517">
        <v>0</v>
      </c>
      <c r="BQ148" s="289">
        <f t="shared" si="4"/>
        <v>-4.8707301630000002</v>
      </c>
      <c r="BR148" s="289">
        <v>0</v>
      </c>
      <c r="BS148" s="289">
        <f t="shared" si="5"/>
        <v>0</v>
      </c>
      <c r="BT148" s="289">
        <v>11</v>
      </c>
      <c r="BU148" s="289">
        <v>0</v>
      </c>
      <c r="BV148" s="289">
        <v>53</v>
      </c>
      <c r="BW148" s="289">
        <v>188.619</v>
      </c>
      <c r="BX148" s="289">
        <v>96.841999999999999</v>
      </c>
      <c r="CC148" s="517"/>
      <c r="CD148" s="85"/>
      <c r="CE148" s="517"/>
    </row>
    <row r="149" spans="1:83" ht="13">
      <c r="A149" s="1">
        <v>1841</v>
      </c>
      <c r="B149" s="2" t="s">
        <v>197</v>
      </c>
      <c r="C149" s="289">
        <v>9775</v>
      </c>
      <c r="D149" s="289">
        <v>183</v>
      </c>
      <c r="E149" s="289">
        <v>333</v>
      </c>
      <c r="F149" s="289">
        <v>1069</v>
      </c>
      <c r="G149" s="289">
        <v>944</v>
      </c>
      <c r="H149" s="289">
        <v>5438</v>
      </c>
      <c r="I149" s="289">
        <v>1338</v>
      </c>
      <c r="J149" s="289">
        <v>401</v>
      </c>
      <c r="K149" s="289">
        <v>90</v>
      </c>
      <c r="L149" s="289">
        <v>79</v>
      </c>
      <c r="M149" s="289">
        <v>818</v>
      </c>
      <c r="N149" s="290">
        <v>103</v>
      </c>
      <c r="O149" s="290">
        <v>68</v>
      </c>
      <c r="P149" s="624">
        <v>71402.449333330005</v>
      </c>
      <c r="Q149" s="624">
        <v>16028.978999999999</v>
      </c>
      <c r="R149" s="624">
        <v>43</v>
      </c>
      <c r="S149" s="289">
        <v>0</v>
      </c>
      <c r="T149" s="289">
        <v>806</v>
      </c>
      <c r="U149" s="716">
        <v>1.9206520118502171E-3</v>
      </c>
      <c r="V149" s="289">
        <v>2263.3155317800001</v>
      </c>
      <c r="W149" s="743">
        <v>0.62306585000000003</v>
      </c>
      <c r="X149" s="289">
        <v>1970</v>
      </c>
      <c r="Y149" s="289">
        <v>392</v>
      </c>
      <c r="Z149" s="289">
        <v>257308</v>
      </c>
      <c r="AA149" s="289">
        <v>0</v>
      </c>
      <c r="AB149" s="290">
        <v>187</v>
      </c>
      <c r="AC149" s="289">
        <v>0</v>
      </c>
      <c r="AD149" s="289">
        <v>0</v>
      </c>
      <c r="AE149" s="289">
        <v>0</v>
      </c>
      <c r="AF149" s="289">
        <v>0</v>
      </c>
      <c r="AG149" s="289">
        <v>9796</v>
      </c>
      <c r="AH149" s="289">
        <v>1286</v>
      </c>
      <c r="AI149" s="289">
        <v>1450</v>
      </c>
      <c r="AJ149" s="289">
        <v>0</v>
      </c>
      <c r="AK149" s="289">
        <v>34.837899999999998</v>
      </c>
      <c r="AL149" s="289">
        <v>16637</v>
      </c>
      <c r="AM149" s="622">
        <v>0.18238976000000001</v>
      </c>
      <c r="AN149" s="289">
        <v>0</v>
      </c>
      <c r="AO149" s="289">
        <v>-469.93830334</v>
      </c>
      <c r="AP149" s="289">
        <v>0</v>
      </c>
      <c r="AQ149" s="289">
        <v>0</v>
      </c>
      <c r="AR149" s="289">
        <v>7519.8300328799996</v>
      </c>
      <c r="AS149" s="289">
        <v>112.44589999999999</v>
      </c>
      <c r="AT149" s="289">
        <v>494</v>
      </c>
      <c r="AU149" s="289">
        <v>99</v>
      </c>
      <c r="AV149" s="625">
        <v>251109</v>
      </c>
      <c r="AW149" s="289">
        <v>-190.5814</v>
      </c>
      <c r="AX149" s="625">
        <v>75.166666669999998</v>
      </c>
      <c r="AY149" s="289">
        <v>1812</v>
      </c>
      <c r="AZ149" s="289">
        <v>353</v>
      </c>
      <c r="BA149" s="290">
        <v>235</v>
      </c>
      <c r="BB149" s="289">
        <v>0</v>
      </c>
      <c r="BC149" s="289">
        <v>1604</v>
      </c>
      <c r="BD149" s="289">
        <v>170.67429999999999</v>
      </c>
      <c r="BE149" s="289">
        <v>246733.38375983</v>
      </c>
      <c r="BF149" s="289">
        <v>0</v>
      </c>
      <c r="BG149" s="289">
        <v>11</v>
      </c>
      <c r="BH149" s="289">
        <v>-79.811000000000007</v>
      </c>
      <c r="BI149" s="289">
        <v>1678</v>
      </c>
      <c r="BJ149" s="289">
        <v>-10.0556</v>
      </c>
      <c r="BK149" s="289">
        <v>0</v>
      </c>
      <c r="BL149" s="289">
        <v>0</v>
      </c>
      <c r="BM149" s="289">
        <v>0</v>
      </c>
      <c r="BN149" s="289">
        <v>0</v>
      </c>
      <c r="BO149" s="517">
        <v>0</v>
      </c>
      <c r="BP149" s="517">
        <v>0</v>
      </c>
      <c r="BQ149" s="289">
        <f t="shared" si="4"/>
        <v>-10.0555685304</v>
      </c>
      <c r="BR149" s="289">
        <v>0</v>
      </c>
      <c r="BS149" s="289">
        <f t="shared" si="5"/>
        <v>0</v>
      </c>
      <c r="BT149" s="289">
        <v>20</v>
      </c>
      <c r="BU149" s="289">
        <v>0</v>
      </c>
      <c r="BV149" s="289">
        <v>99</v>
      </c>
      <c r="BW149" s="289">
        <v>223.19900000000001</v>
      </c>
      <c r="BX149" s="289">
        <v>203.38499999999999</v>
      </c>
      <c r="CC149" s="517"/>
      <c r="CD149" s="85"/>
      <c r="CE149" s="517"/>
    </row>
    <row r="150" spans="1:83" ht="13">
      <c r="A150" s="1">
        <v>1845</v>
      </c>
      <c r="B150" s="2" t="s">
        <v>198</v>
      </c>
      <c r="C150" s="289">
        <v>1979</v>
      </c>
      <c r="D150" s="289">
        <v>40</v>
      </c>
      <c r="E150" s="289">
        <v>66</v>
      </c>
      <c r="F150" s="289">
        <v>236</v>
      </c>
      <c r="G150" s="289">
        <v>150</v>
      </c>
      <c r="H150" s="289">
        <v>1043</v>
      </c>
      <c r="I150" s="289">
        <v>329</v>
      </c>
      <c r="J150" s="289">
        <v>84</v>
      </c>
      <c r="K150" s="289">
        <v>27</v>
      </c>
      <c r="L150" s="289">
        <v>18</v>
      </c>
      <c r="M150" s="289">
        <v>212</v>
      </c>
      <c r="N150" s="290">
        <v>1.5</v>
      </c>
      <c r="O150" s="290">
        <v>18</v>
      </c>
      <c r="P150" s="624">
        <v>29668.64866667</v>
      </c>
      <c r="Q150" s="624">
        <v>15774.705333329999</v>
      </c>
      <c r="R150" s="624">
        <v>9</v>
      </c>
      <c r="S150" s="289">
        <v>0</v>
      </c>
      <c r="T150" s="289">
        <v>145</v>
      </c>
      <c r="U150" s="716">
        <v>1.1961431531325264E-3</v>
      </c>
      <c r="V150" s="289">
        <v>779.5280626</v>
      </c>
      <c r="W150" s="743">
        <v>0.98101718999999998</v>
      </c>
      <c r="X150" s="289">
        <v>0</v>
      </c>
      <c r="Y150" s="289">
        <v>0</v>
      </c>
      <c r="Z150" s="289">
        <v>58654</v>
      </c>
      <c r="AA150" s="289">
        <v>0</v>
      </c>
      <c r="AB150" s="290">
        <v>33</v>
      </c>
      <c r="AC150" s="289">
        <v>0</v>
      </c>
      <c r="AD150" s="289">
        <v>0</v>
      </c>
      <c r="AE150" s="289">
        <v>0</v>
      </c>
      <c r="AF150" s="289">
        <v>0</v>
      </c>
      <c r="AG150" s="289">
        <v>1975</v>
      </c>
      <c r="AH150" s="289">
        <v>257</v>
      </c>
      <c r="AI150" s="289">
        <v>50</v>
      </c>
      <c r="AJ150" s="289">
        <v>0</v>
      </c>
      <c r="AK150" s="289">
        <v>7.0242000000000004</v>
      </c>
      <c r="AL150" s="289">
        <v>3348</v>
      </c>
      <c r="AM150" s="622">
        <v>3.3986179999999998E-2</v>
      </c>
      <c r="AN150" s="289">
        <v>0</v>
      </c>
      <c r="AO150" s="289">
        <v>-120.35662599</v>
      </c>
      <c r="AP150" s="289">
        <v>0</v>
      </c>
      <c r="AQ150" s="289">
        <v>0</v>
      </c>
      <c r="AR150" s="289">
        <v>54.815074529999997</v>
      </c>
      <c r="AS150" s="289">
        <v>19.206600000000002</v>
      </c>
      <c r="AT150" s="289">
        <v>103</v>
      </c>
      <c r="AU150" s="289">
        <v>23</v>
      </c>
      <c r="AV150" s="625">
        <v>81168</v>
      </c>
      <c r="AW150" s="289">
        <v>-38.423699999999997</v>
      </c>
      <c r="AX150" s="625">
        <v>19.916666670000001</v>
      </c>
      <c r="AY150" s="289">
        <v>266</v>
      </c>
      <c r="AZ150" s="289">
        <v>55</v>
      </c>
      <c r="BA150" s="290">
        <v>50</v>
      </c>
      <c r="BB150" s="289">
        <v>5543</v>
      </c>
      <c r="BC150" s="289">
        <v>250</v>
      </c>
      <c r="BD150" s="289">
        <v>34.1083</v>
      </c>
      <c r="BE150" s="289">
        <v>81459.737996270007</v>
      </c>
      <c r="BF150" s="289">
        <v>0</v>
      </c>
      <c r="BG150" s="289">
        <v>0</v>
      </c>
      <c r="BH150" s="289">
        <v>-16.090900000000001</v>
      </c>
      <c r="BI150" s="289">
        <v>257</v>
      </c>
      <c r="BJ150" s="289">
        <v>-2.0272999999999999</v>
      </c>
      <c r="BK150" s="289">
        <v>0</v>
      </c>
      <c r="BL150" s="289">
        <v>0</v>
      </c>
      <c r="BM150" s="289">
        <v>0</v>
      </c>
      <c r="BN150" s="289">
        <v>0</v>
      </c>
      <c r="BO150" s="517">
        <v>0</v>
      </c>
      <c r="BP150" s="517">
        <v>0</v>
      </c>
      <c r="BQ150" s="289">
        <f t="shared" si="4"/>
        <v>-2.0273323649999999</v>
      </c>
      <c r="BR150" s="289">
        <v>0</v>
      </c>
      <c r="BS150" s="289">
        <f t="shared" si="5"/>
        <v>0</v>
      </c>
      <c r="BT150" s="289">
        <v>4</v>
      </c>
      <c r="BU150" s="289">
        <v>0</v>
      </c>
      <c r="BV150" s="289">
        <v>31</v>
      </c>
      <c r="BW150" s="289">
        <v>157.18299999999999</v>
      </c>
      <c r="BX150" s="289">
        <v>41.005000000000003</v>
      </c>
      <c r="CC150" s="517"/>
      <c r="CD150" s="85"/>
      <c r="CE150" s="517"/>
    </row>
    <row r="151" spans="1:83" ht="13">
      <c r="A151" s="1">
        <v>1848</v>
      </c>
      <c r="B151" s="2" t="s">
        <v>199</v>
      </c>
      <c r="C151" s="289">
        <v>2534</v>
      </c>
      <c r="D151" s="289">
        <v>48</v>
      </c>
      <c r="E151" s="289">
        <v>85</v>
      </c>
      <c r="F151" s="289">
        <v>270</v>
      </c>
      <c r="G151" s="289">
        <v>204</v>
      </c>
      <c r="H151" s="289">
        <v>1349</v>
      </c>
      <c r="I151" s="289">
        <v>422</v>
      </c>
      <c r="J151" s="289">
        <v>131</v>
      </c>
      <c r="K151" s="289">
        <v>41</v>
      </c>
      <c r="L151" s="289">
        <v>21</v>
      </c>
      <c r="M151" s="289">
        <v>304</v>
      </c>
      <c r="N151" s="290">
        <v>13</v>
      </c>
      <c r="O151" s="290">
        <v>23</v>
      </c>
      <c r="P151" s="624">
        <v>45269.374000000003</v>
      </c>
      <c r="Q151" s="624">
        <v>15307.64666667</v>
      </c>
      <c r="R151" s="624">
        <v>11</v>
      </c>
      <c r="S151" s="289">
        <v>0</v>
      </c>
      <c r="T151" s="289">
        <v>213</v>
      </c>
      <c r="U151" s="716">
        <v>2.7635251600963478E-3</v>
      </c>
      <c r="V151" s="289">
        <v>1087.79376192</v>
      </c>
      <c r="W151" s="743">
        <v>1</v>
      </c>
      <c r="X151" s="289">
        <v>5393</v>
      </c>
      <c r="Y151" s="289">
        <v>392</v>
      </c>
      <c r="Z151" s="289">
        <v>63418</v>
      </c>
      <c r="AA151" s="289">
        <v>0</v>
      </c>
      <c r="AB151" s="290">
        <v>62</v>
      </c>
      <c r="AC151" s="289">
        <v>0</v>
      </c>
      <c r="AD151" s="289">
        <v>0</v>
      </c>
      <c r="AE151" s="289">
        <v>0</v>
      </c>
      <c r="AF151" s="289">
        <v>0</v>
      </c>
      <c r="AG151" s="289">
        <v>2550</v>
      </c>
      <c r="AH151" s="289">
        <v>306</v>
      </c>
      <c r="AI151" s="289">
        <v>1650</v>
      </c>
      <c r="AJ151" s="289">
        <v>0</v>
      </c>
      <c r="AK151" s="289">
        <v>8.5119000000000007</v>
      </c>
      <c r="AL151" s="289">
        <v>4349</v>
      </c>
      <c r="AM151" s="622">
        <v>4.2731169999999999E-2</v>
      </c>
      <c r="AN151" s="289">
        <v>0</v>
      </c>
      <c r="AO151" s="289">
        <v>-151.2989034</v>
      </c>
      <c r="AP151" s="289">
        <v>0</v>
      </c>
      <c r="AQ151" s="289">
        <v>0</v>
      </c>
      <c r="AR151" s="289">
        <v>-182.25920069</v>
      </c>
      <c r="AS151" s="289">
        <v>28.8</v>
      </c>
      <c r="AT151" s="289">
        <v>101</v>
      </c>
      <c r="AU151" s="289">
        <v>24</v>
      </c>
      <c r="AV151" s="625">
        <v>96312</v>
      </c>
      <c r="AW151" s="289">
        <v>-1.2948999999999999</v>
      </c>
      <c r="AX151" s="625">
        <v>14.66666667</v>
      </c>
      <c r="AY151" s="289">
        <v>419</v>
      </c>
      <c r="AZ151" s="289">
        <v>114</v>
      </c>
      <c r="BA151" s="290">
        <v>46</v>
      </c>
      <c r="BB151" s="289">
        <v>5543</v>
      </c>
      <c r="BC151" s="289">
        <v>668</v>
      </c>
      <c r="BD151" s="289">
        <v>40.611499999999999</v>
      </c>
      <c r="BE151" s="289">
        <v>105214.94647313</v>
      </c>
      <c r="BF151" s="289">
        <v>0</v>
      </c>
      <c r="BG151" s="289">
        <v>11</v>
      </c>
      <c r="BH151" s="289">
        <v>-20.775600000000001</v>
      </c>
      <c r="BI151" s="289">
        <v>698</v>
      </c>
      <c r="BJ151" s="289">
        <v>-2.6175999999999999</v>
      </c>
      <c r="BK151" s="289">
        <v>0</v>
      </c>
      <c r="BL151" s="289">
        <v>0</v>
      </c>
      <c r="BM151" s="289">
        <v>0</v>
      </c>
      <c r="BN151" s="289">
        <v>0</v>
      </c>
      <c r="BO151" s="517">
        <v>0</v>
      </c>
      <c r="BP151" s="517">
        <v>0</v>
      </c>
      <c r="BQ151" s="289">
        <f t="shared" si="4"/>
        <v>-2.6175683699999999</v>
      </c>
      <c r="BR151" s="289">
        <v>0</v>
      </c>
      <c r="BS151" s="289">
        <f t="shared" si="5"/>
        <v>0</v>
      </c>
      <c r="BT151" s="289">
        <v>5</v>
      </c>
      <c r="BU151" s="289">
        <v>0</v>
      </c>
      <c r="BV151" s="289">
        <v>38</v>
      </c>
      <c r="BW151" s="289">
        <v>173.94900000000001</v>
      </c>
      <c r="BX151" s="289">
        <v>53.052999999999997</v>
      </c>
      <c r="CC151" s="517"/>
      <c r="CD151" s="85"/>
      <c r="CE151" s="517"/>
    </row>
    <row r="152" spans="1:83" ht="13">
      <c r="A152" s="1">
        <v>1849</v>
      </c>
      <c r="B152" s="2" t="s">
        <v>200</v>
      </c>
      <c r="C152" s="289">
        <v>1801</v>
      </c>
      <c r="D152" s="289">
        <v>28</v>
      </c>
      <c r="E152" s="289">
        <v>65</v>
      </c>
      <c r="F152" s="289">
        <v>175</v>
      </c>
      <c r="G152" s="289">
        <v>159</v>
      </c>
      <c r="H152" s="289">
        <v>977</v>
      </c>
      <c r="I152" s="289">
        <v>299</v>
      </c>
      <c r="J152" s="289">
        <v>83</v>
      </c>
      <c r="K152" s="289">
        <v>29</v>
      </c>
      <c r="L152" s="289">
        <v>15</v>
      </c>
      <c r="M152" s="289">
        <v>227</v>
      </c>
      <c r="N152" s="290">
        <v>18</v>
      </c>
      <c r="O152" s="290">
        <v>27</v>
      </c>
      <c r="P152" s="624">
        <v>30243.468333330002</v>
      </c>
      <c r="Q152" s="624">
        <v>11197.043666670001</v>
      </c>
      <c r="R152" s="624">
        <v>16</v>
      </c>
      <c r="S152" s="289">
        <v>0</v>
      </c>
      <c r="T152" s="289">
        <v>187</v>
      </c>
      <c r="U152" s="716">
        <v>9.958889669106942E-4</v>
      </c>
      <c r="V152" s="289">
        <v>-274.44272291999999</v>
      </c>
      <c r="W152" s="743">
        <v>1</v>
      </c>
      <c r="X152" s="289">
        <v>3778</v>
      </c>
      <c r="Y152" s="289">
        <v>392</v>
      </c>
      <c r="Z152" s="289">
        <v>49651</v>
      </c>
      <c r="AA152" s="289">
        <v>0</v>
      </c>
      <c r="AB152" s="290">
        <v>33</v>
      </c>
      <c r="AC152" s="289">
        <v>0</v>
      </c>
      <c r="AD152" s="289">
        <v>0</v>
      </c>
      <c r="AE152" s="289">
        <v>0</v>
      </c>
      <c r="AF152" s="289">
        <v>0</v>
      </c>
      <c r="AG152" s="289">
        <v>1815</v>
      </c>
      <c r="AH152" s="289">
        <v>222</v>
      </c>
      <c r="AI152" s="289">
        <v>950</v>
      </c>
      <c r="AJ152" s="289">
        <v>0</v>
      </c>
      <c r="AK152" s="289">
        <v>6.8608000000000002</v>
      </c>
      <c r="AL152" s="289">
        <v>3095</v>
      </c>
      <c r="AM152" s="622">
        <v>7.0510669999999998E-2</v>
      </c>
      <c r="AN152" s="289">
        <v>0</v>
      </c>
      <c r="AO152" s="289">
        <v>-116.96694565</v>
      </c>
      <c r="AP152" s="289">
        <v>0</v>
      </c>
      <c r="AQ152" s="289">
        <v>0</v>
      </c>
      <c r="AR152" s="289">
        <v>4.7354380000000003</v>
      </c>
      <c r="AS152" s="290">
        <v>24.5306</v>
      </c>
      <c r="AT152" s="289">
        <v>77</v>
      </c>
      <c r="AU152" s="289">
        <v>25</v>
      </c>
      <c r="AV152" s="625">
        <v>84126</v>
      </c>
      <c r="AW152" s="289">
        <v>-35.310899999999997</v>
      </c>
      <c r="AX152" s="625">
        <v>15.04166667</v>
      </c>
      <c r="AY152" s="289">
        <v>371</v>
      </c>
      <c r="AZ152" s="289">
        <v>120</v>
      </c>
      <c r="BA152" s="290">
        <v>29</v>
      </c>
      <c r="BB152" s="289">
        <v>5543</v>
      </c>
      <c r="BC152" s="289">
        <v>582</v>
      </c>
      <c r="BD152" s="289">
        <v>29.463200000000001</v>
      </c>
      <c r="BE152" s="289">
        <v>85032.948806050001</v>
      </c>
      <c r="BF152" s="289">
        <v>0</v>
      </c>
      <c r="BG152" s="289">
        <v>11</v>
      </c>
      <c r="BH152" s="289">
        <v>-14.7874</v>
      </c>
      <c r="BI152" s="289">
        <v>614</v>
      </c>
      <c r="BJ152" s="289">
        <v>-1.8631</v>
      </c>
      <c r="BK152" s="289">
        <v>0</v>
      </c>
      <c r="BL152" s="289">
        <v>0</v>
      </c>
      <c r="BM152" s="289">
        <v>0</v>
      </c>
      <c r="BN152" s="289">
        <v>0</v>
      </c>
      <c r="BO152" s="517">
        <v>0</v>
      </c>
      <c r="BP152" s="517">
        <v>0</v>
      </c>
      <c r="BQ152" s="289">
        <f t="shared" si="4"/>
        <v>-1.863092781</v>
      </c>
      <c r="BR152" s="289">
        <v>0</v>
      </c>
      <c r="BS152" s="289">
        <f t="shared" si="5"/>
        <v>0</v>
      </c>
      <c r="BT152" s="289">
        <v>4</v>
      </c>
      <c r="BU152" s="289">
        <v>0</v>
      </c>
      <c r="BV152" s="289">
        <v>29</v>
      </c>
      <c r="BW152" s="289">
        <v>157.18299999999999</v>
      </c>
      <c r="BX152" s="289">
        <v>36.975000000000001</v>
      </c>
      <c r="CC152" s="517"/>
      <c r="CD152" s="85"/>
      <c r="CE152" s="517"/>
    </row>
    <row r="153" spans="1:83" ht="13">
      <c r="A153" s="1">
        <v>1850</v>
      </c>
      <c r="B153" s="2" t="s">
        <v>201</v>
      </c>
      <c r="C153" s="289">
        <v>1953</v>
      </c>
      <c r="D153" s="289">
        <v>25</v>
      </c>
      <c r="E153" s="289">
        <v>59</v>
      </c>
      <c r="F153" s="289">
        <v>205</v>
      </c>
      <c r="G153" s="289">
        <v>160</v>
      </c>
      <c r="H153" s="289">
        <v>1076</v>
      </c>
      <c r="I153" s="289">
        <v>312</v>
      </c>
      <c r="J153" s="289">
        <v>90</v>
      </c>
      <c r="K153" s="289">
        <v>24</v>
      </c>
      <c r="L153" s="289">
        <v>20</v>
      </c>
      <c r="M153" s="289">
        <v>228</v>
      </c>
      <c r="N153" s="290">
        <v>3</v>
      </c>
      <c r="O153" s="290">
        <v>9</v>
      </c>
      <c r="P153" s="624">
        <v>55860.025333329999</v>
      </c>
      <c r="Q153" s="624">
        <v>8270.6613333299993</v>
      </c>
      <c r="R153" s="624">
        <v>17</v>
      </c>
      <c r="S153" s="289">
        <v>0</v>
      </c>
      <c r="T153" s="289">
        <v>193</v>
      </c>
      <c r="U153" s="716">
        <v>6.322737258590296E-4</v>
      </c>
      <c r="V153" s="289">
        <v>881.94776547000004</v>
      </c>
      <c r="W153" s="743">
        <v>1</v>
      </c>
      <c r="X153" s="289">
        <v>2761</v>
      </c>
      <c r="Y153" s="289">
        <v>0</v>
      </c>
      <c r="Z153" s="289">
        <v>46432</v>
      </c>
      <c r="AA153" s="289">
        <v>0</v>
      </c>
      <c r="AB153" s="290">
        <v>41</v>
      </c>
      <c r="AC153" s="289">
        <v>0</v>
      </c>
      <c r="AD153" s="289">
        <v>0</v>
      </c>
      <c r="AE153" s="289">
        <v>0</v>
      </c>
      <c r="AF153" s="289">
        <v>0</v>
      </c>
      <c r="AG153" s="289">
        <v>1951</v>
      </c>
      <c r="AH153" s="289">
        <v>228</v>
      </c>
      <c r="AI153" s="289">
        <v>600</v>
      </c>
      <c r="AJ153" s="289">
        <v>1250</v>
      </c>
      <c r="AK153" s="289">
        <v>5.7651000000000003</v>
      </c>
      <c r="AL153" s="289">
        <v>3352</v>
      </c>
      <c r="AM153" s="622">
        <v>5.7351100000000002E-2</v>
      </c>
      <c r="AN153" s="289">
        <v>0</v>
      </c>
      <c r="AO153" s="289">
        <v>-122.66822485</v>
      </c>
      <c r="AP153" s="289">
        <v>0</v>
      </c>
      <c r="AQ153" s="289">
        <v>0</v>
      </c>
      <c r="AR153" s="289">
        <v>530.09990604999996</v>
      </c>
      <c r="AS153" s="289">
        <v>24.252300000000002</v>
      </c>
      <c r="AT153" s="289">
        <v>81</v>
      </c>
      <c r="AU153" s="289">
        <v>32</v>
      </c>
      <c r="AV153" s="625">
        <v>85387</v>
      </c>
      <c r="AW153" s="289">
        <v>58.043300000000002</v>
      </c>
      <c r="AX153" s="625">
        <v>7.4166666699999997</v>
      </c>
      <c r="AY153" s="289">
        <v>306</v>
      </c>
      <c r="AZ153" s="289">
        <v>85</v>
      </c>
      <c r="BA153" s="290">
        <v>42</v>
      </c>
      <c r="BB153" s="289">
        <v>5543</v>
      </c>
      <c r="BC153" s="289">
        <v>231</v>
      </c>
      <c r="BD153" s="289">
        <v>30.259499999999999</v>
      </c>
      <c r="BE153" s="289">
        <v>87502.552789830006</v>
      </c>
      <c r="BF153" s="289">
        <v>0</v>
      </c>
      <c r="BG153" s="289">
        <v>0</v>
      </c>
      <c r="BH153" s="289">
        <v>-15.8954</v>
      </c>
      <c r="BI153" s="289">
        <v>228</v>
      </c>
      <c r="BJ153" s="289">
        <v>-2.0026999999999999</v>
      </c>
      <c r="BK153" s="289">
        <v>0</v>
      </c>
      <c r="BL153" s="289">
        <v>0</v>
      </c>
      <c r="BM153" s="289">
        <v>193</v>
      </c>
      <c r="BN153" s="289">
        <v>0</v>
      </c>
      <c r="BO153" s="517">
        <v>0</v>
      </c>
      <c r="BP153" s="517">
        <v>0</v>
      </c>
      <c r="BQ153" s="289">
        <f t="shared" si="4"/>
        <v>-2.0026964274000001</v>
      </c>
      <c r="BR153" s="289">
        <v>0</v>
      </c>
      <c r="BS153" s="289">
        <f t="shared" si="5"/>
        <v>0</v>
      </c>
      <c r="BT153" s="289">
        <v>3</v>
      </c>
      <c r="BU153" s="289">
        <v>0</v>
      </c>
      <c r="BV153" s="289">
        <v>31</v>
      </c>
      <c r="BW153" s="289">
        <v>157.18299999999999</v>
      </c>
      <c r="BX153" s="289">
        <v>40.673000000000002</v>
      </c>
      <c r="CC153" s="517"/>
      <c r="CD153" s="85"/>
      <c r="CE153" s="517"/>
    </row>
    <row r="154" spans="1:83" ht="13">
      <c r="A154" s="1">
        <v>1851</v>
      </c>
      <c r="B154" s="2" t="s">
        <v>202</v>
      </c>
      <c r="C154" s="289">
        <v>2102</v>
      </c>
      <c r="D154" s="289">
        <v>24</v>
      </c>
      <c r="E154" s="289">
        <v>67</v>
      </c>
      <c r="F154" s="289">
        <v>220</v>
      </c>
      <c r="G154" s="289">
        <v>179</v>
      </c>
      <c r="H154" s="289">
        <v>1127</v>
      </c>
      <c r="I154" s="289">
        <v>357</v>
      </c>
      <c r="J154" s="289">
        <v>119</v>
      </c>
      <c r="K154" s="289">
        <v>29</v>
      </c>
      <c r="L154" s="289">
        <v>17</v>
      </c>
      <c r="M154" s="289">
        <v>232</v>
      </c>
      <c r="N154" s="290">
        <v>27</v>
      </c>
      <c r="O154" s="290">
        <v>37</v>
      </c>
      <c r="P154" s="624">
        <v>15508.072666669999</v>
      </c>
      <c r="Q154" s="624">
        <v>6554.30366667</v>
      </c>
      <c r="R154" s="624">
        <v>18</v>
      </c>
      <c r="S154" s="289">
        <v>0</v>
      </c>
      <c r="T154" s="289">
        <v>172</v>
      </c>
      <c r="U154" s="716">
        <v>6.4786123348746071E-4</v>
      </c>
      <c r="V154" s="289">
        <v>928.03942814000004</v>
      </c>
      <c r="W154" s="743">
        <v>1</v>
      </c>
      <c r="X154" s="289">
        <v>0</v>
      </c>
      <c r="Y154" s="289">
        <v>392</v>
      </c>
      <c r="Z154" s="289">
        <v>52437</v>
      </c>
      <c r="AA154" s="289">
        <v>0</v>
      </c>
      <c r="AB154" s="290">
        <v>57</v>
      </c>
      <c r="AC154" s="289">
        <v>0</v>
      </c>
      <c r="AD154" s="289">
        <v>0</v>
      </c>
      <c r="AE154" s="289">
        <v>0</v>
      </c>
      <c r="AF154" s="289">
        <v>0</v>
      </c>
      <c r="AG154" s="289">
        <v>2122</v>
      </c>
      <c r="AH154" s="289">
        <v>260</v>
      </c>
      <c r="AI154" s="289">
        <v>3135</v>
      </c>
      <c r="AJ154" s="289">
        <v>0</v>
      </c>
      <c r="AK154" s="289">
        <v>6.3053999999999997</v>
      </c>
      <c r="AL154" s="289">
        <v>3649</v>
      </c>
      <c r="AM154" s="622">
        <v>0.12072579999999999</v>
      </c>
      <c r="AN154" s="289">
        <v>0</v>
      </c>
      <c r="AO154" s="289">
        <v>-129.07901544000001</v>
      </c>
      <c r="AP154" s="289">
        <v>0</v>
      </c>
      <c r="AQ154" s="289">
        <v>0</v>
      </c>
      <c r="AR154" s="289">
        <v>80.095974900000002</v>
      </c>
      <c r="AS154" s="289">
        <v>30.154599999999999</v>
      </c>
      <c r="AT154" s="289">
        <v>119</v>
      </c>
      <c r="AU154" s="289">
        <v>30</v>
      </c>
      <c r="AV154" s="625">
        <v>87842</v>
      </c>
      <c r="AW154" s="289">
        <v>-41.2836</v>
      </c>
      <c r="AX154" s="625">
        <v>4</v>
      </c>
      <c r="AY154" s="289">
        <v>366</v>
      </c>
      <c r="AZ154" s="289">
        <v>154</v>
      </c>
      <c r="BA154" s="290">
        <v>56</v>
      </c>
      <c r="BB154" s="289">
        <v>5543</v>
      </c>
      <c r="BC154" s="289">
        <v>708</v>
      </c>
      <c r="BD154" s="289">
        <v>34.506500000000003</v>
      </c>
      <c r="BE154" s="289">
        <v>87385.965959830006</v>
      </c>
      <c r="BF154" s="289">
        <v>0</v>
      </c>
      <c r="BG154" s="289">
        <v>11</v>
      </c>
      <c r="BH154" s="289">
        <v>-17.288599999999999</v>
      </c>
      <c r="BI154" s="289">
        <v>652</v>
      </c>
      <c r="BJ154" s="289">
        <v>-2.1781999999999999</v>
      </c>
      <c r="BK154" s="289">
        <v>0</v>
      </c>
      <c r="BL154" s="289">
        <v>0</v>
      </c>
      <c r="BM154" s="289">
        <v>0</v>
      </c>
      <c r="BN154" s="289">
        <v>0</v>
      </c>
      <c r="BO154" s="517">
        <v>0</v>
      </c>
      <c r="BP154" s="517">
        <v>0</v>
      </c>
      <c r="BQ154" s="289">
        <f t="shared" si="4"/>
        <v>-2.1782274828000001</v>
      </c>
      <c r="BR154" s="289">
        <v>0</v>
      </c>
      <c r="BS154" s="289">
        <f t="shared" si="5"/>
        <v>0</v>
      </c>
      <c r="BT154" s="289">
        <v>4</v>
      </c>
      <c r="BU154" s="289">
        <v>0</v>
      </c>
      <c r="BV154" s="289">
        <v>30</v>
      </c>
      <c r="BW154" s="289">
        <v>0</v>
      </c>
      <c r="BX154" s="289">
        <v>43.186</v>
      </c>
      <c r="CC154" s="517"/>
      <c r="CD154" s="85"/>
      <c r="CE154" s="517"/>
    </row>
    <row r="155" spans="1:83" ht="13">
      <c r="A155" s="1">
        <v>1852</v>
      </c>
      <c r="B155" s="2" t="s">
        <v>203</v>
      </c>
      <c r="C155" s="289">
        <v>1259</v>
      </c>
      <c r="D155" s="289">
        <v>14</v>
      </c>
      <c r="E155" s="289">
        <v>39</v>
      </c>
      <c r="F155" s="289">
        <v>130</v>
      </c>
      <c r="G155" s="289">
        <v>89</v>
      </c>
      <c r="H155" s="289">
        <v>643</v>
      </c>
      <c r="I155" s="289">
        <v>230</v>
      </c>
      <c r="J155" s="289">
        <v>76</v>
      </c>
      <c r="K155" s="289">
        <v>22</v>
      </c>
      <c r="L155" s="289">
        <v>8</v>
      </c>
      <c r="M155" s="289">
        <v>132</v>
      </c>
      <c r="N155" s="290">
        <v>1.5</v>
      </c>
      <c r="O155" s="290">
        <v>4</v>
      </c>
      <c r="P155" s="624">
        <v>20819.562333329999</v>
      </c>
      <c r="Q155" s="624">
        <v>4837.1446666700003</v>
      </c>
      <c r="R155" s="624">
        <v>7</v>
      </c>
      <c r="S155" s="289">
        <v>0</v>
      </c>
      <c r="T155" s="289">
        <v>88</v>
      </c>
      <c r="U155" s="716">
        <v>6.1298562658900987E-4</v>
      </c>
      <c r="V155" s="289">
        <v>582.34177919000001</v>
      </c>
      <c r="W155" s="743">
        <v>0.98914455000000001</v>
      </c>
      <c r="X155" s="289">
        <v>921</v>
      </c>
      <c r="Y155" s="289">
        <v>0</v>
      </c>
      <c r="Z155" s="289">
        <v>26955</v>
      </c>
      <c r="AA155" s="289">
        <v>0</v>
      </c>
      <c r="AB155" s="290">
        <v>42</v>
      </c>
      <c r="AC155" s="289">
        <v>0</v>
      </c>
      <c r="AD155" s="289">
        <v>0</v>
      </c>
      <c r="AE155" s="289">
        <v>0</v>
      </c>
      <c r="AF155" s="289">
        <v>0</v>
      </c>
      <c r="AG155" s="289">
        <v>1243</v>
      </c>
      <c r="AH155" s="289">
        <v>140</v>
      </c>
      <c r="AI155" s="289">
        <v>380</v>
      </c>
      <c r="AJ155" s="289">
        <v>0</v>
      </c>
      <c r="AK155" s="289">
        <v>3.9146999999999998</v>
      </c>
      <c r="AL155" s="289">
        <v>2141</v>
      </c>
      <c r="AM155" s="622">
        <v>7.9821200000000005E-3</v>
      </c>
      <c r="AN155" s="289">
        <v>0</v>
      </c>
      <c r="AO155" s="289">
        <v>-80.996670219999999</v>
      </c>
      <c r="AP155" s="289">
        <v>0</v>
      </c>
      <c r="AQ155" s="289">
        <v>0</v>
      </c>
      <c r="AR155" s="289">
        <v>1864.84828313</v>
      </c>
      <c r="AS155" s="289">
        <v>12.998900000000001</v>
      </c>
      <c r="AT155" s="289">
        <v>68</v>
      </c>
      <c r="AU155" s="289">
        <v>8</v>
      </c>
      <c r="AV155" s="625">
        <v>61238</v>
      </c>
      <c r="AW155" s="289">
        <v>-24.182600000000001</v>
      </c>
      <c r="AX155" s="625">
        <v>6.9166666699999997</v>
      </c>
      <c r="AY155" s="289">
        <v>191</v>
      </c>
      <c r="AZ155" s="289">
        <v>23</v>
      </c>
      <c r="BA155" s="290">
        <v>37</v>
      </c>
      <c r="BB155" s="289">
        <v>5543</v>
      </c>
      <c r="BC155" s="289">
        <v>307</v>
      </c>
      <c r="BD155" s="289">
        <v>18.580400000000001</v>
      </c>
      <c r="BE155" s="289">
        <v>59743.607073539999</v>
      </c>
      <c r="BF155" s="289">
        <v>0</v>
      </c>
      <c r="BG155" s="289">
        <v>0</v>
      </c>
      <c r="BH155" s="289">
        <v>-10.1271</v>
      </c>
      <c r="BI155" s="289">
        <v>140</v>
      </c>
      <c r="BJ155" s="289">
        <v>-1.2759</v>
      </c>
      <c r="BK155" s="289">
        <v>0</v>
      </c>
      <c r="BL155" s="289">
        <v>0</v>
      </c>
      <c r="BM155" s="289">
        <v>0</v>
      </c>
      <c r="BN155" s="289">
        <v>0</v>
      </c>
      <c r="BO155" s="517">
        <v>0</v>
      </c>
      <c r="BP155" s="517">
        <v>0</v>
      </c>
      <c r="BQ155" s="289">
        <f t="shared" si="4"/>
        <v>-1.2759362682000002</v>
      </c>
      <c r="BR155" s="289">
        <v>0</v>
      </c>
      <c r="BS155" s="289">
        <f t="shared" si="5"/>
        <v>0</v>
      </c>
      <c r="BT155" s="289">
        <v>2</v>
      </c>
      <c r="BU155" s="289">
        <v>0</v>
      </c>
      <c r="BV155" s="289">
        <v>23</v>
      </c>
      <c r="BW155" s="289">
        <v>157.18299999999999</v>
      </c>
      <c r="BX155" s="289">
        <v>25.986999999999998</v>
      </c>
      <c r="CC155" s="517"/>
      <c r="CD155" s="85"/>
      <c r="CE155" s="517"/>
    </row>
    <row r="156" spans="1:83" ht="13">
      <c r="A156" s="1">
        <v>1853</v>
      </c>
      <c r="B156" s="2" t="s">
        <v>204</v>
      </c>
      <c r="C156" s="289">
        <v>1387</v>
      </c>
      <c r="D156" s="289">
        <v>20</v>
      </c>
      <c r="E156" s="289">
        <v>51</v>
      </c>
      <c r="F156" s="289">
        <v>149</v>
      </c>
      <c r="G156" s="289">
        <v>111</v>
      </c>
      <c r="H156" s="289">
        <v>736</v>
      </c>
      <c r="I156" s="289">
        <v>240</v>
      </c>
      <c r="J156" s="289">
        <v>84</v>
      </c>
      <c r="K156" s="289">
        <v>16</v>
      </c>
      <c r="L156" s="289">
        <v>12</v>
      </c>
      <c r="M156" s="289">
        <v>172</v>
      </c>
      <c r="N156" s="290">
        <v>7</v>
      </c>
      <c r="O156" s="290">
        <v>15</v>
      </c>
      <c r="P156" s="624">
        <v>11491.23866667</v>
      </c>
      <c r="Q156" s="624">
        <v>6185.5749999999998</v>
      </c>
      <c r="R156" s="624">
        <v>9</v>
      </c>
      <c r="S156" s="289">
        <v>0</v>
      </c>
      <c r="T156" s="289">
        <v>104</v>
      </c>
      <c r="U156" s="716">
        <v>8.877732141891521E-4</v>
      </c>
      <c r="V156" s="289">
        <v>634.11713071999998</v>
      </c>
      <c r="W156" s="743">
        <v>0.92163196000000003</v>
      </c>
      <c r="X156" s="289">
        <v>4589</v>
      </c>
      <c r="Y156" s="289">
        <v>0</v>
      </c>
      <c r="Z156" s="289">
        <v>29781</v>
      </c>
      <c r="AA156" s="289">
        <v>0</v>
      </c>
      <c r="AB156" s="290">
        <v>31</v>
      </c>
      <c r="AC156" s="289">
        <v>0</v>
      </c>
      <c r="AD156" s="289">
        <v>0</v>
      </c>
      <c r="AE156" s="289">
        <v>0</v>
      </c>
      <c r="AF156" s="289">
        <v>0</v>
      </c>
      <c r="AG156" s="289">
        <v>1407</v>
      </c>
      <c r="AH156" s="289">
        <v>176</v>
      </c>
      <c r="AI156" s="289">
        <v>400</v>
      </c>
      <c r="AJ156" s="289">
        <v>0</v>
      </c>
      <c r="AK156" s="289">
        <v>4.6307</v>
      </c>
      <c r="AL156" s="289">
        <v>2397</v>
      </c>
      <c r="AM156" s="622">
        <v>2.7030370000000001E-2</v>
      </c>
      <c r="AN156" s="289">
        <v>0</v>
      </c>
      <c r="AO156" s="289">
        <v>-88.197992909999996</v>
      </c>
      <c r="AP156" s="289">
        <v>0</v>
      </c>
      <c r="AQ156" s="289">
        <v>0</v>
      </c>
      <c r="AR156" s="289">
        <v>245.81891551000001</v>
      </c>
      <c r="AS156" s="289">
        <v>14.9716</v>
      </c>
      <c r="AT156" s="289">
        <v>67</v>
      </c>
      <c r="AU156" s="289">
        <v>13</v>
      </c>
      <c r="AV156" s="625">
        <v>64901</v>
      </c>
      <c r="AW156" s="289">
        <v>-27.373200000000001</v>
      </c>
      <c r="AX156" s="625">
        <v>2.6666666700000001</v>
      </c>
      <c r="AY156" s="289">
        <v>211</v>
      </c>
      <c r="AZ156" s="289">
        <v>61</v>
      </c>
      <c r="BA156" s="290">
        <v>27</v>
      </c>
      <c r="BB156" s="289">
        <v>5543</v>
      </c>
      <c r="BC156" s="289">
        <v>175</v>
      </c>
      <c r="BD156" s="289">
        <v>23.3582</v>
      </c>
      <c r="BE156" s="289">
        <v>66823.625088219997</v>
      </c>
      <c r="BF156" s="289">
        <v>0</v>
      </c>
      <c r="BG156" s="289">
        <v>0</v>
      </c>
      <c r="BH156" s="289">
        <v>-11.4633</v>
      </c>
      <c r="BI156" s="289">
        <v>176</v>
      </c>
      <c r="BJ156" s="289">
        <v>-1.4442999999999999</v>
      </c>
      <c r="BK156" s="289">
        <v>0</v>
      </c>
      <c r="BL156" s="289">
        <v>0</v>
      </c>
      <c r="BM156" s="289">
        <v>0</v>
      </c>
      <c r="BN156" s="289">
        <v>0</v>
      </c>
      <c r="BO156" s="517">
        <v>0</v>
      </c>
      <c r="BP156" s="517">
        <v>0</v>
      </c>
      <c r="BQ156" s="289">
        <f t="shared" si="4"/>
        <v>-1.4442818417999999</v>
      </c>
      <c r="BR156" s="289">
        <v>0</v>
      </c>
      <c r="BS156" s="289">
        <f t="shared" si="5"/>
        <v>0</v>
      </c>
      <c r="BT156" s="289">
        <v>3</v>
      </c>
      <c r="BU156" s="289">
        <v>0</v>
      </c>
      <c r="BV156" s="289">
        <v>23</v>
      </c>
      <c r="BW156" s="289">
        <v>157.18299999999999</v>
      </c>
      <c r="BX156" s="289">
        <v>29.31</v>
      </c>
      <c r="CC156" s="517"/>
      <c r="CD156" s="85"/>
      <c r="CE156" s="517"/>
    </row>
    <row r="157" spans="1:83" ht="13">
      <c r="A157" s="1">
        <v>1854</v>
      </c>
      <c r="B157" s="2" t="s">
        <v>205</v>
      </c>
      <c r="C157" s="289">
        <v>2522</v>
      </c>
      <c r="D157" s="289">
        <v>54</v>
      </c>
      <c r="E157" s="289">
        <v>83</v>
      </c>
      <c r="F157" s="289">
        <v>304</v>
      </c>
      <c r="G157" s="289">
        <v>208</v>
      </c>
      <c r="H157" s="289">
        <v>1353</v>
      </c>
      <c r="I157" s="289">
        <v>399</v>
      </c>
      <c r="J157" s="289">
        <v>122</v>
      </c>
      <c r="K157" s="289">
        <v>28</v>
      </c>
      <c r="L157" s="289">
        <v>26</v>
      </c>
      <c r="M157" s="289">
        <v>279</v>
      </c>
      <c r="N157" s="290">
        <v>10</v>
      </c>
      <c r="O157" s="290">
        <v>19</v>
      </c>
      <c r="P157" s="624">
        <v>15153.445333330001</v>
      </c>
      <c r="Q157" s="624">
        <v>6931.3053333300004</v>
      </c>
      <c r="R157" s="624">
        <v>16</v>
      </c>
      <c r="S157" s="289">
        <v>0</v>
      </c>
      <c r="T157" s="289">
        <v>220</v>
      </c>
      <c r="U157" s="716">
        <v>1.3453294495718257E-3</v>
      </c>
      <c r="V157" s="289">
        <v>1065.06260329</v>
      </c>
      <c r="W157" s="743">
        <v>0.97883648000000001</v>
      </c>
      <c r="X157" s="289">
        <v>1112</v>
      </c>
      <c r="Y157" s="289">
        <v>244</v>
      </c>
      <c r="Z157" s="289">
        <v>53063</v>
      </c>
      <c r="AA157" s="289">
        <v>0</v>
      </c>
      <c r="AB157" s="290">
        <v>62</v>
      </c>
      <c r="AC157" s="289">
        <v>0</v>
      </c>
      <c r="AD157" s="289">
        <v>0</v>
      </c>
      <c r="AE157" s="289">
        <v>0</v>
      </c>
      <c r="AF157" s="289">
        <v>0</v>
      </c>
      <c r="AG157" s="289">
        <v>2551</v>
      </c>
      <c r="AH157" s="289">
        <v>339</v>
      </c>
      <c r="AI157" s="289">
        <v>0</v>
      </c>
      <c r="AJ157" s="289">
        <v>0</v>
      </c>
      <c r="AK157" s="289">
        <v>9.0076999999999998</v>
      </c>
      <c r="AL157" s="289">
        <v>4367</v>
      </c>
      <c r="AM157" s="622">
        <v>3.8633029999999999E-2</v>
      </c>
      <c r="AN157" s="289">
        <v>0</v>
      </c>
      <c r="AO157" s="289">
        <v>-148.13727526</v>
      </c>
      <c r="AP157" s="289">
        <v>0</v>
      </c>
      <c r="AQ157" s="289">
        <v>0</v>
      </c>
      <c r="AR157" s="289">
        <v>-182.33067488</v>
      </c>
      <c r="AS157" s="289">
        <v>28.7852</v>
      </c>
      <c r="AT157" s="289">
        <v>96</v>
      </c>
      <c r="AU157" s="289">
        <v>25</v>
      </c>
      <c r="AV157" s="625">
        <v>93647</v>
      </c>
      <c r="AW157" s="289">
        <v>-1.2954000000000001</v>
      </c>
      <c r="AX157" s="625">
        <v>27.333333329999999</v>
      </c>
      <c r="AY157" s="289">
        <v>348</v>
      </c>
      <c r="AZ157" s="289">
        <v>105</v>
      </c>
      <c r="BA157" s="290">
        <v>57</v>
      </c>
      <c r="BB157" s="289">
        <v>5543</v>
      </c>
      <c r="BC157" s="289">
        <v>540</v>
      </c>
      <c r="BD157" s="289">
        <v>44.991100000000003</v>
      </c>
      <c r="BE157" s="289">
        <v>98068.942092169993</v>
      </c>
      <c r="BF157" s="289">
        <v>0</v>
      </c>
      <c r="BG157" s="289">
        <v>13</v>
      </c>
      <c r="BH157" s="289">
        <v>-20.783799999999999</v>
      </c>
      <c r="BI157" s="289">
        <v>583</v>
      </c>
      <c r="BJ157" s="289">
        <v>-2.6185999999999998</v>
      </c>
      <c r="BK157" s="289">
        <v>0</v>
      </c>
      <c r="BL157" s="289">
        <v>0</v>
      </c>
      <c r="BM157" s="289">
        <v>532</v>
      </c>
      <c r="BN157" s="289">
        <v>0</v>
      </c>
      <c r="BO157" s="517">
        <v>0</v>
      </c>
      <c r="BP157" s="517">
        <v>0</v>
      </c>
      <c r="BQ157" s="289">
        <f t="shared" si="4"/>
        <v>-2.6185948674000001</v>
      </c>
      <c r="BR157" s="289">
        <v>0</v>
      </c>
      <c r="BS157" s="289">
        <f t="shared" si="5"/>
        <v>0</v>
      </c>
      <c r="BT157" s="289">
        <v>5</v>
      </c>
      <c r="BU157" s="289">
        <v>0</v>
      </c>
      <c r="BV157" s="289">
        <v>34</v>
      </c>
      <c r="BW157" s="289">
        <v>173.94900000000001</v>
      </c>
      <c r="BX157" s="289">
        <v>51.911000000000001</v>
      </c>
      <c r="CC157" s="517"/>
      <c r="CD157" s="85"/>
      <c r="CE157" s="517"/>
    </row>
    <row r="158" spans="1:83" ht="13">
      <c r="A158" s="1">
        <v>1856</v>
      </c>
      <c r="B158" s="2" t="s">
        <v>206</v>
      </c>
      <c r="C158" s="289">
        <v>517</v>
      </c>
      <c r="D158" s="289">
        <v>6</v>
      </c>
      <c r="E158" s="289">
        <v>14</v>
      </c>
      <c r="F158" s="289">
        <v>51</v>
      </c>
      <c r="G158" s="289">
        <v>46</v>
      </c>
      <c r="H158" s="289">
        <v>307</v>
      </c>
      <c r="I158" s="289">
        <v>67</v>
      </c>
      <c r="J158" s="289">
        <v>30</v>
      </c>
      <c r="K158" s="289">
        <v>6</v>
      </c>
      <c r="L158" s="289">
        <v>5</v>
      </c>
      <c r="M158" s="289">
        <v>62</v>
      </c>
      <c r="N158" s="290">
        <v>0</v>
      </c>
      <c r="O158" s="290">
        <v>4</v>
      </c>
      <c r="P158" s="624">
        <v>315.88299999999998</v>
      </c>
      <c r="Q158" s="624">
        <v>729.80933332999996</v>
      </c>
      <c r="R158" s="624">
        <v>0</v>
      </c>
      <c r="S158" s="289">
        <v>0</v>
      </c>
      <c r="T158" s="289">
        <v>61</v>
      </c>
      <c r="U158" s="716">
        <v>1.7633064929653021E-4</v>
      </c>
      <c r="V158" s="289">
        <v>275.62026722000002</v>
      </c>
      <c r="W158" s="743">
        <v>1</v>
      </c>
      <c r="X158" s="289">
        <v>0</v>
      </c>
      <c r="Y158" s="289">
        <v>0</v>
      </c>
      <c r="Z158" s="289">
        <v>16310</v>
      </c>
      <c r="AA158" s="289">
        <v>0</v>
      </c>
      <c r="AB158" s="290">
        <v>7</v>
      </c>
      <c r="AC158" s="289">
        <v>0</v>
      </c>
      <c r="AD158" s="289">
        <v>0</v>
      </c>
      <c r="AE158" s="289">
        <v>0</v>
      </c>
      <c r="AF158" s="289">
        <v>0</v>
      </c>
      <c r="AG158" s="289">
        <v>527</v>
      </c>
      <c r="AH158" s="289">
        <v>100</v>
      </c>
      <c r="AI158" s="289">
        <v>1050</v>
      </c>
      <c r="AJ158" s="289">
        <v>0</v>
      </c>
      <c r="AK158" s="289">
        <v>1.2312000000000001</v>
      </c>
      <c r="AL158" s="289">
        <v>915</v>
      </c>
      <c r="AM158" s="622">
        <v>2.8439160000000002E-2</v>
      </c>
      <c r="AN158" s="289">
        <v>0</v>
      </c>
      <c r="AO158" s="289">
        <v>-38.335432359999999</v>
      </c>
      <c r="AP158" s="289">
        <v>0</v>
      </c>
      <c r="AQ158" s="289">
        <v>0</v>
      </c>
      <c r="AR158" s="289">
        <v>656.92075763000003</v>
      </c>
      <c r="AS158" s="289">
        <v>7.4440999999999997</v>
      </c>
      <c r="AT158" s="289">
        <v>37</v>
      </c>
      <c r="AU158" s="289">
        <v>10</v>
      </c>
      <c r="AV158" s="625">
        <v>34119</v>
      </c>
      <c r="AW158" s="289">
        <v>-10.252800000000001</v>
      </c>
      <c r="AX158" s="625">
        <v>0</v>
      </c>
      <c r="AY158" s="289">
        <v>61</v>
      </c>
      <c r="AZ158" s="289">
        <v>22</v>
      </c>
      <c r="BA158" s="290">
        <v>17</v>
      </c>
      <c r="BB158" s="289">
        <v>5543</v>
      </c>
      <c r="BC158" s="289">
        <v>180</v>
      </c>
      <c r="BD158" s="289">
        <v>13.271699999999999</v>
      </c>
      <c r="BE158" s="289">
        <v>32316.464017710001</v>
      </c>
      <c r="BF158" s="289">
        <v>0</v>
      </c>
      <c r="BG158" s="289">
        <v>0</v>
      </c>
      <c r="BH158" s="289">
        <v>-4.2935999999999996</v>
      </c>
      <c r="BI158" s="289">
        <v>100</v>
      </c>
      <c r="BJ158" s="289">
        <v>-0.54100000000000004</v>
      </c>
      <c r="BK158" s="289">
        <v>0</v>
      </c>
      <c r="BL158" s="289">
        <v>0</v>
      </c>
      <c r="BM158" s="289">
        <v>0</v>
      </c>
      <c r="BN158" s="289">
        <v>0</v>
      </c>
      <c r="BO158" s="517">
        <v>0</v>
      </c>
      <c r="BP158" s="517">
        <v>0</v>
      </c>
      <c r="BQ158" s="289">
        <f t="shared" si="4"/>
        <v>-0.54096412979999997</v>
      </c>
      <c r="BR158" s="289">
        <v>0</v>
      </c>
      <c r="BS158" s="289">
        <f t="shared" si="5"/>
        <v>0</v>
      </c>
      <c r="BT158" s="289">
        <v>1</v>
      </c>
      <c r="BU158" s="289">
        <v>0</v>
      </c>
      <c r="BV158" s="289">
        <v>13</v>
      </c>
      <c r="BW158" s="289">
        <v>157.18299999999999</v>
      </c>
      <c r="BX158" s="289">
        <v>10.739000000000001</v>
      </c>
      <c r="CC158" s="517"/>
      <c r="CD158" s="85"/>
      <c r="CE158" s="517"/>
    </row>
    <row r="159" spans="1:83" ht="13">
      <c r="A159" s="1">
        <v>1857</v>
      </c>
      <c r="B159" s="2" t="s">
        <v>207</v>
      </c>
      <c r="C159" s="289">
        <v>746</v>
      </c>
      <c r="D159" s="289">
        <v>12</v>
      </c>
      <c r="E159" s="289">
        <v>28</v>
      </c>
      <c r="F159" s="289">
        <v>88</v>
      </c>
      <c r="G159" s="289">
        <v>53</v>
      </c>
      <c r="H159" s="289">
        <v>418</v>
      </c>
      <c r="I159" s="289">
        <v>106</v>
      </c>
      <c r="J159" s="289">
        <v>33</v>
      </c>
      <c r="K159" s="289">
        <v>10</v>
      </c>
      <c r="L159" s="289">
        <v>6</v>
      </c>
      <c r="M159" s="289">
        <v>63</v>
      </c>
      <c r="N159" s="290">
        <v>0</v>
      </c>
      <c r="O159" s="290">
        <v>4</v>
      </c>
      <c r="P159" s="624">
        <v>248.73566667</v>
      </c>
      <c r="Q159" s="624">
        <v>4160.1639999999998</v>
      </c>
      <c r="R159" s="624">
        <v>7</v>
      </c>
      <c r="S159" s="289">
        <v>0</v>
      </c>
      <c r="T159" s="289">
        <v>73</v>
      </c>
      <c r="U159" s="716">
        <v>6.8472746792411904E-5</v>
      </c>
      <c r="V159" s="289">
        <v>387.07578480000001</v>
      </c>
      <c r="W159" s="743">
        <v>1</v>
      </c>
      <c r="X159" s="289">
        <v>231</v>
      </c>
      <c r="Y159" s="289">
        <v>0</v>
      </c>
      <c r="Z159" s="289">
        <v>21713</v>
      </c>
      <c r="AA159" s="289">
        <v>0</v>
      </c>
      <c r="AB159" s="290">
        <v>10</v>
      </c>
      <c r="AC159" s="289">
        <v>0</v>
      </c>
      <c r="AD159" s="289">
        <v>0</v>
      </c>
      <c r="AE159" s="289">
        <v>0</v>
      </c>
      <c r="AF159" s="289">
        <v>0</v>
      </c>
      <c r="AG159" s="289">
        <v>748</v>
      </c>
      <c r="AH159" s="289">
        <v>100</v>
      </c>
      <c r="AI159" s="289">
        <v>1050</v>
      </c>
      <c r="AJ159" s="289">
        <v>0</v>
      </c>
      <c r="AK159" s="289">
        <v>2.4474</v>
      </c>
      <c r="AL159" s="289">
        <v>1272</v>
      </c>
      <c r="AM159" s="622">
        <v>3.8241419999999998E-2</v>
      </c>
      <c r="AN159" s="289">
        <v>0</v>
      </c>
      <c r="AO159" s="289">
        <v>-53.837541469999998</v>
      </c>
      <c r="AP159" s="289">
        <v>0</v>
      </c>
      <c r="AQ159" s="289">
        <v>0</v>
      </c>
      <c r="AR159" s="289">
        <v>-53.462698869999997</v>
      </c>
      <c r="AS159" s="289">
        <v>9.5355000000000008</v>
      </c>
      <c r="AT159" s="289">
        <v>24</v>
      </c>
      <c r="AU159" s="289">
        <v>21</v>
      </c>
      <c r="AV159" s="625">
        <v>42381</v>
      </c>
      <c r="AW159" s="289">
        <v>-0.37980000000000003</v>
      </c>
      <c r="AX159" s="625">
        <v>1.5833333300000001</v>
      </c>
      <c r="AY159" s="289">
        <v>68</v>
      </c>
      <c r="AZ159" s="289">
        <v>42</v>
      </c>
      <c r="BA159" s="290">
        <v>10</v>
      </c>
      <c r="BB159" s="289">
        <v>5543</v>
      </c>
      <c r="BC159" s="289">
        <v>104</v>
      </c>
      <c r="BD159" s="289">
        <v>13.271699999999999</v>
      </c>
      <c r="BE159" s="289">
        <v>43112.037046919999</v>
      </c>
      <c r="BF159" s="289">
        <v>0</v>
      </c>
      <c r="BG159" s="289">
        <v>0</v>
      </c>
      <c r="BH159" s="289">
        <v>-6.0941999999999998</v>
      </c>
      <c r="BI159" s="289">
        <v>100</v>
      </c>
      <c r="BJ159" s="289">
        <v>-0.76780000000000004</v>
      </c>
      <c r="BK159" s="289">
        <v>0</v>
      </c>
      <c r="BL159" s="289">
        <v>0</v>
      </c>
      <c r="BM159" s="289">
        <v>0</v>
      </c>
      <c r="BN159" s="289">
        <v>0</v>
      </c>
      <c r="BO159" s="517">
        <v>0</v>
      </c>
      <c r="BP159" s="517">
        <v>0</v>
      </c>
      <c r="BQ159" s="289">
        <f t="shared" si="4"/>
        <v>-0.76782005519999996</v>
      </c>
      <c r="BR159" s="289">
        <v>0</v>
      </c>
      <c r="BS159" s="289">
        <f t="shared" si="5"/>
        <v>0</v>
      </c>
      <c r="BT159" s="289">
        <v>1</v>
      </c>
      <c r="BU159" s="289">
        <v>0</v>
      </c>
      <c r="BV159" s="289">
        <v>16</v>
      </c>
      <c r="BW159" s="289">
        <v>0</v>
      </c>
      <c r="BX159" s="289">
        <v>15.496</v>
      </c>
      <c r="CC159" s="517"/>
      <c r="CD159" s="85"/>
      <c r="CE159" s="517"/>
    </row>
    <row r="160" spans="1:83" ht="13">
      <c r="A160" s="1">
        <v>1859</v>
      </c>
      <c r="B160" s="2" t="s">
        <v>208</v>
      </c>
      <c r="C160" s="289">
        <v>1301</v>
      </c>
      <c r="D160" s="289">
        <v>19</v>
      </c>
      <c r="E160" s="289">
        <v>47</v>
      </c>
      <c r="F160" s="289">
        <v>140</v>
      </c>
      <c r="G160" s="289">
        <v>136</v>
      </c>
      <c r="H160" s="289">
        <v>697</v>
      </c>
      <c r="I160" s="289">
        <v>180</v>
      </c>
      <c r="J160" s="289">
        <v>87</v>
      </c>
      <c r="K160" s="289">
        <v>16</v>
      </c>
      <c r="L160" s="289">
        <v>13</v>
      </c>
      <c r="M160" s="289">
        <v>134</v>
      </c>
      <c r="N160" s="290">
        <v>0</v>
      </c>
      <c r="O160" s="290">
        <v>12</v>
      </c>
      <c r="P160" s="624">
        <v>15895.869000000001</v>
      </c>
      <c r="Q160" s="624">
        <v>5615.0763333300001</v>
      </c>
      <c r="R160" s="624">
        <v>9</v>
      </c>
      <c r="S160" s="289">
        <v>0</v>
      </c>
      <c r="T160" s="289">
        <v>84</v>
      </c>
      <c r="U160" s="716">
        <v>6.69076039693366E-4</v>
      </c>
      <c r="V160" s="289">
        <v>-1277.5578732700001</v>
      </c>
      <c r="W160" s="743">
        <v>0.92446932000000004</v>
      </c>
      <c r="X160" s="289">
        <v>2006</v>
      </c>
      <c r="Y160" s="289">
        <v>0</v>
      </c>
      <c r="Z160" s="289">
        <v>37505</v>
      </c>
      <c r="AA160" s="289">
        <v>0</v>
      </c>
      <c r="AB160" s="290">
        <v>28</v>
      </c>
      <c r="AC160" s="289">
        <v>0</v>
      </c>
      <c r="AD160" s="289">
        <v>0</v>
      </c>
      <c r="AE160" s="289">
        <v>0</v>
      </c>
      <c r="AF160" s="289">
        <v>0</v>
      </c>
      <c r="AG160" s="289">
        <v>1322</v>
      </c>
      <c r="AH160" s="289">
        <v>177</v>
      </c>
      <c r="AI160" s="289">
        <v>0</v>
      </c>
      <c r="AJ160" s="289">
        <v>0</v>
      </c>
      <c r="AK160" s="289">
        <v>4.7626999999999997</v>
      </c>
      <c r="AL160" s="289">
        <v>2307</v>
      </c>
      <c r="AM160" s="622">
        <v>2.4094939999999999E-2</v>
      </c>
      <c r="AN160" s="289">
        <v>0</v>
      </c>
      <c r="AO160" s="289">
        <v>-84.849452200000002</v>
      </c>
      <c r="AP160" s="289">
        <v>0</v>
      </c>
      <c r="AQ160" s="289">
        <v>0</v>
      </c>
      <c r="AR160" s="289">
        <v>-94.488887570000003</v>
      </c>
      <c r="AS160" s="289">
        <v>12.8253</v>
      </c>
      <c r="AT160" s="289">
        <v>42</v>
      </c>
      <c r="AU160" s="289">
        <v>29</v>
      </c>
      <c r="AV160" s="625">
        <v>57871</v>
      </c>
      <c r="AW160" s="289">
        <v>-0.67130000000000001</v>
      </c>
      <c r="AX160" s="625">
        <v>10.5</v>
      </c>
      <c r="AY160" s="289">
        <v>187</v>
      </c>
      <c r="AZ160" s="289">
        <v>36</v>
      </c>
      <c r="BA160" s="290">
        <v>31</v>
      </c>
      <c r="BB160" s="289">
        <v>5543</v>
      </c>
      <c r="BC160" s="289">
        <v>174</v>
      </c>
      <c r="BD160" s="289">
        <v>23.4909</v>
      </c>
      <c r="BE160" s="289">
        <v>61044.384787750001</v>
      </c>
      <c r="BF160" s="289">
        <v>0</v>
      </c>
      <c r="BG160" s="289">
        <v>0</v>
      </c>
      <c r="BH160" s="289">
        <v>-10.7707</v>
      </c>
      <c r="BI160" s="289">
        <v>177</v>
      </c>
      <c r="BJ160" s="289">
        <v>-1.357</v>
      </c>
      <c r="BK160" s="289">
        <v>0</v>
      </c>
      <c r="BL160" s="289">
        <v>0</v>
      </c>
      <c r="BM160" s="289">
        <v>0</v>
      </c>
      <c r="BN160" s="289">
        <v>0</v>
      </c>
      <c r="BO160" s="517">
        <v>0</v>
      </c>
      <c r="BP160" s="517">
        <v>0</v>
      </c>
      <c r="BQ160" s="289">
        <f t="shared" si="4"/>
        <v>-1.3570295628</v>
      </c>
      <c r="BR160" s="289">
        <v>0</v>
      </c>
      <c r="BS160" s="289">
        <f t="shared" si="5"/>
        <v>0</v>
      </c>
      <c r="BT160" s="289">
        <v>3</v>
      </c>
      <c r="BU160" s="289">
        <v>0</v>
      </c>
      <c r="BV160" s="289">
        <v>22</v>
      </c>
      <c r="BW160" s="289">
        <v>157.18299999999999</v>
      </c>
      <c r="BX160" s="289">
        <v>26.920999999999999</v>
      </c>
      <c r="CC160" s="517"/>
      <c r="CD160" s="85"/>
      <c r="CE160" s="517"/>
    </row>
    <row r="161" spans="1:83" ht="13">
      <c r="A161" s="1">
        <v>1860</v>
      </c>
      <c r="B161" s="2" t="s">
        <v>209</v>
      </c>
      <c r="C161" s="289">
        <v>11397</v>
      </c>
      <c r="D161" s="289">
        <v>246</v>
      </c>
      <c r="E161" s="289">
        <v>536</v>
      </c>
      <c r="F161" s="289">
        <v>1436</v>
      </c>
      <c r="G161" s="289">
        <v>1102</v>
      </c>
      <c r="H161" s="289">
        <v>6155</v>
      </c>
      <c r="I161" s="289">
        <v>1296</v>
      </c>
      <c r="J161" s="289">
        <v>477</v>
      </c>
      <c r="K161" s="289">
        <v>91</v>
      </c>
      <c r="L161" s="289">
        <v>104</v>
      </c>
      <c r="M161" s="289">
        <v>901</v>
      </c>
      <c r="N161" s="290">
        <v>158</v>
      </c>
      <c r="O161" s="290">
        <v>125</v>
      </c>
      <c r="P161" s="624">
        <v>57857.492333330003</v>
      </c>
      <c r="Q161" s="624">
        <v>24917.277666670001</v>
      </c>
      <c r="R161" s="624">
        <v>56</v>
      </c>
      <c r="S161" s="289">
        <v>0</v>
      </c>
      <c r="T161" s="289">
        <v>896</v>
      </c>
      <c r="U161" s="716">
        <v>3.719404604717601E-3</v>
      </c>
      <c r="V161" s="289">
        <v>-6656.1330048299997</v>
      </c>
      <c r="W161" s="743">
        <v>0.64137975000000003</v>
      </c>
      <c r="X161" s="289">
        <v>0</v>
      </c>
      <c r="Y161" s="289">
        <v>392</v>
      </c>
      <c r="Z161" s="289">
        <v>282252</v>
      </c>
      <c r="AA161" s="289">
        <v>0</v>
      </c>
      <c r="AB161" s="290">
        <v>214</v>
      </c>
      <c r="AC161" s="289">
        <v>1554</v>
      </c>
      <c r="AD161" s="289">
        <v>0</v>
      </c>
      <c r="AE161" s="289">
        <v>0</v>
      </c>
      <c r="AF161" s="289">
        <v>0</v>
      </c>
      <c r="AG161" s="289">
        <v>11339</v>
      </c>
      <c r="AH161" s="289">
        <v>1700</v>
      </c>
      <c r="AI161" s="289">
        <v>950</v>
      </c>
      <c r="AJ161" s="289">
        <v>0</v>
      </c>
      <c r="AK161" s="289">
        <v>52.463099999999997</v>
      </c>
      <c r="AL161" s="289">
        <v>19313</v>
      </c>
      <c r="AM161" s="622">
        <v>0.40084486000000003</v>
      </c>
      <c r="AN161" s="289">
        <v>0</v>
      </c>
      <c r="AO161" s="289">
        <v>-589.79746780999994</v>
      </c>
      <c r="AP161" s="289">
        <v>0</v>
      </c>
      <c r="AQ161" s="289">
        <v>0</v>
      </c>
      <c r="AR161" s="289">
        <v>-810.44591238999999</v>
      </c>
      <c r="AS161" s="289">
        <v>140.60810000000001</v>
      </c>
      <c r="AT161" s="289">
        <v>561</v>
      </c>
      <c r="AU161" s="289">
        <v>186</v>
      </c>
      <c r="AV161" s="625">
        <v>312160</v>
      </c>
      <c r="AW161" s="289">
        <v>-5.7579000000000002</v>
      </c>
      <c r="AX161" s="625">
        <v>95.041666669999998</v>
      </c>
      <c r="AY161" s="289">
        <v>2001</v>
      </c>
      <c r="AZ161" s="289">
        <v>490</v>
      </c>
      <c r="BA161" s="290">
        <v>315</v>
      </c>
      <c r="BB161" s="289">
        <v>0</v>
      </c>
      <c r="BC161" s="289">
        <v>2347</v>
      </c>
      <c r="BD161" s="289">
        <v>225.61920000000001</v>
      </c>
      <c r="BE161" s="289">
        <v>321377.00007856003</v>
      </c>
      <c r="BF161" s="289">
        <v>0</v>
      </c>
      <c r="BG161" s="289">
        <v>11</v>
      </c>
      <c r="BH161" s="289">
        <v>-92.382300000000001</v>
      </c>
      <c r="BI161" s="289">
        <v>2092</v>
      </c>
      <c r="BJ161" s="289">
        <v>-11.6395</v>
      </c>
      <c r="BK161" s="289">
        <v>0</v>
      </c>
      <c r="BL161" s="289">
        <v>0</v>
      </c>
      <c r="BM161" s="289">
        <v>0</v>
      </c>
      <c r="BN161" s="289">
        <v>0</v>
      </c>
      <c r="BO161" s="517">
        <v>0</v>
      </c>
      <c r="BP161" s="517">
        <v>0</v>
      </c>
      <c r="BQ161" s="289">
        <f t="shared" si="4"/>
        <v>-11.639454018599999</v>
      </c>
      <c r="BR161" s="289">
        <v>0</v>
      </c>
      <c r="BS161" s="289">
        <f t="shared" si="5"/>
        <v>0</v>
      </c>
      <c r="BT161" s="289">
        <v>30</v>
      </c>
      <c r="BU161" s="289">
        <v>0</v>
      </c>
      <c r="BV161" s="289">
        <v>112</v>
      </c>
      <c r="BW161" s="289">
        <v>233.678</v>
      </c>
      <c r="BX161" s="289">
        <v>237.34899999999999</v>
      </c>
      <c r="CC161" s="517"/>
      <c r="CD161" s="85"/>
      <c r="CE161" s="517"/>
    </row>
    <row r="162" spans="1:83" ht="13">
      <c r="A162" s="1">
        <v>1865</v>
      </c>
      <c r="B162" s="2" t="s">
        <v>210</v>
      </c>
      <c r="C162" s="289">
        <v>9611</v>
      </c>
      <c r="D162" s="289">
        <v>208</v>
      </c>
      <c r="E162" s="289">
        <v>374</v>
      </c>
      <c r="F162" s="289">
        <v>1117</v>
      </c>
      <c r="G162" s="289">
        <v>865</v>
      </c>
      <c r="H162" s="289">
        <v>5401</v>
      </c>
      <c r="I162" s="289">
        <v>1141</v>
      </c>
      <c r="J162" s="289">
        <v>356</v>
      </c>
      <c r="K162" s="289">
        <v>93</v>
      </c>
      <c r="L162" s="289">
        <v>78</v>
      </c>
      <c r="M162" s="289">
        <v>741</v>
      </c>
      <c r="N162" s="290">
        <v>156</v>
      </c>
      <c r="O162" s="290">
        <v>131</v>
      </c>
      <c r="P162" s="624">
        <v>79263.358666669999</v>
      </c>
      <c r="Q162" s="624">
        <v>32211.016333330001</v>
      </c>
      <c r="R162" s="624">
        <v>49</v>
      </c>
      <c r="S162" s="289">
        <v>0</v>
      </c>
      <c r="T162" s="289">
        <v>901</v>
      </c>
      <c r="U162" s="716">
        <v>1.3204543701661616E-3</v>
      </c>
      <c r="V162" s="289">
        <v>-1336.9419030900001</v>
      </c>
      <c r="W162" s="743">
        <v>0.67543147999999997</v>
      </c>
      <c r="X162" s="289">
        <v>0</v>
      </c>
      <c r="Y162" s="289">
        <v>392</v>
      </c>
      <c r="Z162" s="289">
        <v>268281</v>
      </c>
      <c r="AA162" s="289">
        <v>0</v>
      </c>
      <c r="AB162" s="290">
        <v>146</v>
      </c>
      <c r="AC162" s="289">
        <v>0</v>
      </c>
      <c r="AD162" s="289">
        <v>0</v>
      </c>
      <c r="AE162" s="289">
        <v>0</v>
      </c>
      <c r="AF162" s="289">
        <v>0</v>
      </c>
      <c r="AG162" s="289">
        <v>9555</v>
      </c>
      <c r="AH162" s="289">
        <v>1317</v>
      </c>
      <c r="AI162" s="289">
        <v>1815</v>
      </c>
      <c r="AJ162" s="289">
        <v>0</v>
      </c>
      <c r="AK162" s="289">
        <v>38.203800000000001</v>
      </c>
      <c r="AL162" s="289">
        <v>16149</v>
      </c>
      <c r="AM162" s="622">
        <v>0.23856227999999999</v>
      </c>
      <c r="AN162" s="289">
        <v>0</v>
      </c>
      <c r="AO162" s="289">
        <v>-482.33695170999999</v>
      </c>
      <c r="AP162" s="289">
        <v>0</v>
      </c>
      <c r="AQ162" s="289">
        <v>0</v>
      </c>
      <c r="AR162" s="289">
        <v>-682.93594611000003</v>
      </c>
      <c r="AS162" s="289">
        <v>120.5853</v>
      </c>
      <c r="AT162" s="289">
        <v>454</v>
      </c>
      <c r="AU162" s="289">
        <v>107</v>
      </c>
      <c r="AV162" s="625">
        <v>259781</v>
      </c>
      <c r="AW162" s="289">
        <v>-4.8520000000000003</v>
      </c>
      <c r="AX162" s="625">
        <v>77.958333330000002</v>
      </c>
      <c r="AY162" s="289">
        <v>1796</v>
      </c>
      <c r="AZ162" s="289">
        <v>438</v>
      </c>
      <c r="BA162" s="290">
        <v>220</v>
      </c>
      <c r="BB162" s="289">
        <v>0</v>
      </c>
      <c r="BC162" s="289">
        <v>1828</v>
      </c>
      <c r="BD162" s="289">
        <v>174.7885</v>
      </c>
      <c r="BE162" s="289">
        <v>259826.79090198001</v>
      </c>
      <c r="BF162" s="289">
        <v>0</v>
      </c>
      <c r="BG162" s="289">
        <v>11</v>
      </c>
      <c r="BH162" s="289">
        <v>-77.847499999999997</v>
      </c>
      <c r="BI162" s="289">
        <v>1709</v>
      </c>
      <c r="BJ162" s="289">
        <v>-9.8081999999999994</v>
      </c>
      <c r="BK162" s="289">
        <v>0</v>
      </c>
      <c r="BL162" s="289">
        <v>0</v>
      </c>
      <c r="BM162" s="289">
        <v>0</v>
      </c>
      <c r="BN162" s="289">
        <v>0</v>
      </c>
      <c r="BO162" s="517">
        <v>0</v>
      </c>
      <c r="BP162" s="517">
        <v>0</v>
      </c>
      <c r="BQ162" s="289">
        <f t="shared" si="4"/>
        <v>-9.8081826569999997</v>
      </c>
      <c r="BR162" s="289">
        <v>0</v>
      </c>
      <c r="BS162" s="289">
        <f t="shared" si="5"/>
        <v>0</v>
      </c>
      <c r="BT162" s="289">
        <v>22</v>
      </c>
      <c r="BU162" s="289">
        <v>0</v>
      </c>
      <c r="BV162" s="289">
        <v>99</v>
      </c>
      <c r="BW162" s="289">
        <v>221.10400000000001</v>
      </c>
      <c r="BX162" s="289">
        <v>199.16800000000001</v>
      </c>
      <c r="CC162" s="517"/>
      <c r="CD162" s="85"/>
      <c r="CE162" s="517"/>
    </row>
    <row r="163" spans="1:83" ht="13">
      <c r="A163" s="1">
        <v>1866</v>
      </c>
      <c r="B163" s="2" t="s">
        <v>211</v>
      </c>
      <c r="C163" s="289">
        <v>8042</v>
      </c>
      <c r="D163" s="289">
        <v>162</v>
      </c>
      <c r="E163" s="289">
        <v>352</v>
      </c>
      <c r="F163" s="289">
        <v>889</v>
      </c>
      <c r="G163" s="289">
        <v>730</v>
      </c>
      <c r="H163" s="289">
        <v>4384</v>
      </c>
      <c r="I163" s="289">
        <v>1114</v>
      </c>
      <c r="J163" s="289">
        <v>340</v>
      </c>
      <c r="K163" s="289">
        <v>80</v>
      </c>
      <c r="L163" s="289">
        <v>67</v>
      </c>
      <c r="M163" s="289">
        <v>698</v>
      </c>
      <c r="N163" s="290">
        <v>230</v>
      </c>
      <c r="O163" s="290">
        <v>84</v>
      </c>
      <c r="P163" s="624">
        <v>72178.284333329997</v>
      </c>
      <c r="Q163" s="624">
        <v>17019.436333329999</v>
      </c>
      <c r="R163" s="624">
        <v>36</v>
      </c>
      <c r="S163" s="289">
        <v>0</v>
      </c>
      <c r="T163" s="289">
        <v>726</v>
      </c>
      <c r="U163" s="716">
        <v>2.690166515658573E-3</v>
      </c>
      <c r="V163" s="289">
        <v>2989.65165656</v>
      </c>
      <c r="W163" s="743">
        <v>0.71799641000000003</v>
      </c>
      <c r="X163" s="289">
        <v>0</v>
      </c>
      <c r="Y163" s="289">
        <v>392</v>
      </c>
      <c r="Z163" s="289">
        <v>188411</v>
      </c>
      <c r="AA163" s="289">
        <v>0</v>
      </c>
      <c r="AB163" s="290">
        <v>138</v>
      </c>
      <c r="AC163" s="289">
        <v>0</v>
      </c>
      <c r="AD163" s="289">
        <v>0</v>
      </c>
      <c r="AE163" s="289">
        <v>0</v>
      </c>
      <c r="AF163" s="289">
        <v>0</v>
      </c>
      <c r="AG163" s="289">
        <v>8051</v>
      </c>
      <c r="AH163" s="289">
        <v>1085</v>
      </c>
      <c r="AI163" s="289">
        <v>2000</v>
      </c>
      <c r="AJ163" s="289">
        <v>0</v>
      </c>
      <c r="AK163" s="289">
        <v>35.392699999999998</v>
      </c>
      <c r="AL163" s="289">
        <v>13695</v>
      </c>
      <c r="AM163" s="622">
        <v>0.20073759999999999</v>
      </c>
      <c r="AN163" s="289">
        <v>0</v>
      </c>
      <c r="AO163" s="289">
        <v>-415.82424263000001</v>
      </c>
      <c r="AP163" s="289">
        <v>0</v>
      </c>
      <c r="AQ163" s="289">
        <v>0</v>
      </c>
      <c r="AR163" s="289">
        <v>-575.43875479999997</v>
      </c>
      <c r="AS163" s="289">
        <v>107.5033</v>
      </c>
      <c r="AT163" s="289">
        <v>399</v>
      </c>
      <c r="AU163" s="289">
        <v>93</v>
      </c>
      <c r="AV163" s="625">
        <v>228709</v>
      </c>
      <c r="AW163" s="289">
        <v>-4.0883000000000003</v>
      </c>
      <c r="AX163" s="625">
        <v>68.291666669999998</v>
      </c>
      <c r="AY163" s="289">
        <v>1578</v>
      </c>
      <c r="AZ163" s="289">
        <v>347</v>
      </c>
      <c r="BA163" s="290">
        <v>226</v>
      </c>
      <c r="BB163" s="289">
        <v>0</v>
      </c>
      <c r="BC163" s="289">
        <v>1637</v>
      </c>
      <c r="BD163" s="289">
        <v>143.99809999999999</v>
      </c>
      <c r="BE163" s="289">
        <v>232844.74562661999</v>
      </c>
      <c r="BF163" s="289">
        <v>0</v>
      </c>
      <c r="BG163" s="289">
        <v>11</v>
      </c>
      <c r="BH163" s="289">
        <v>-65.593999999999994</v>
      </c>
      <c r="BI163" s="289">
        <v>1477</v>
      </c>
      <c r="BJ163" s="289">
        <v>-8.2643000000000004</v>
      </c>
      <c r="BK163" s="289">
        <v>0</v>
      </c>
      <c r="BL163" s="289">
        <v>0</v>
      </c>
      <c r="BM163" s="289">
        <v>0</v>
      </c>
      <c r="BN163" s="289">
        <v>0</v>
      </c>
      <c r="BO163" s="517">
        <v>0</v>
      </c>
      <c r="BP163" s="517">
        <v>0</v>
      </c>
      <c r="BQ163" s="289">
        <f t="shared" si="4"/>
        <v>-8.2643305674</v>
      </c>
      <c r="BR163" s="289">
        <v>0</v>
      </c>
      <c r="BS163" s="289">
        <f t="shared" si="5"/>
        <v>0</v>
      </c>
      <c r="BT163" s="289">
        <v>20</v>
      </c>
      <c r="BU163" s="289">
        <v>0</v>
      </c>
      <c r="BV163" s="289">
        <v>86</v>
      </c>
      <c r="BW163" s="289">
        <v>211.673</v>
      </c>
      <c r="BX163" s="289">
        <v>168.13399999999999</v>
      </c>
      <c r="CC163" s="517"/>
      <c r="CD163" s="85"/>
      <c r="CE163" s="517"/>
    </row>
    <row r="164" spans="1:83" ht="13">
      <c r="A164" s="1">
        <v>1867</v>
      </c>
      <c r="B164" s="2" t="s">
        <v>913</v>
      </c>
      <c r="C164" s="289">
        <v>2623</v>
      </c>
      <c r="D164" s="289">
        <v>44</v>
      </c>
      <c r="E164" s="289">
        <v>71</v>
      </c>
      <c r="F164" s="289">
        <v>243</v>
      </c>
      <c r="G164" s="289">
        <v>224</v>
      </c>
      <c r="H164" s="289">
        <v>1370</v>
      </c>
      <c r="I164" s="289">
        <v>445</v>
      </c>
      <c r="J164" s="289">
        <v>178</v>
      </c>
      <c r="K164" s="289">
        <v>50</v>
      </c>
      <c r="L164" s="289">
        <v>23</v>
      </c>
      <c r="M164" s="289">
        <v>370</v>
      </c>
      <c r="N164" s="290">
        <v>20</v>
      </c>
      <c r="O164" s="290">
        <v>33</v>
      </c>
      <c r="P164" s="624">
        <v>20042.50566667</v>
      </c>
      <c r="Q164" s="624">
        <v>6208.1406666700004</v>
      </c>
      <c r="R164" s="624">
        <v>18</v>
      </c>
      <c r="S164" s="289">
        <v>0</v>
      </c>
      <c r="T164" s="289">
        <v>263</v>
      </c>
      <c r="U164" s="716">
        <v>1.5137545516504083E-3</v>
      </c>
      <c r="V164" s="289">
        <v>1136.58829173</v>
      </c>
      <c r="W164" s="743">
        <v>1</v>
      </c>
      <c r="X164" s="289">
        <v>749</v>
      </c>
      <c r="Y164" s="289">
        <v>392</v>
      </c>
      <c r="Z164" s="289">
        <v>61567</v>
      </c>
      <c r="AA164" s="289">
        <v>0</v>
      </c>
      <c r="AB164" s="290">
        <v>64</v>
      </c>
      <c r="AC164" s="289">
        <v>0</v>
      </c>
      <c r="AD164" s="289">
        <v>0</v>
      </c>
      <c r="AE164" s="289">
        <v>0</v>
      </c>
      <c r="AF164" s="289">
        <v>0</v>
      </c>
      <c r="AG164" s="289">
        <v>2625</v>
      </c>
      <c r="AH164" s="289">
        <v>293</v>
      </c>
      <c r="AI164" s="289">
        <v>0</v>
      </c>
      <c r="AJ164" s="289">
        <v>0</v>
      </c>
      <c r="AK164" s="289">
        <v>7.6955</v>
      </c>
      <c r="AL164" s="289">
        <v>4487</v>
      </c>
      <c r="AM164" s="622">
        <v>0.10603343</v>
      </c>
      <c r="AN164" s="289">
        <v>0</v>
      </c>
      <c r="AO164" s="289">
        <v>-158.08562999</v>
      </c>
      <c r="AP164" s="289">
        <v>0</v>
      </c>
      <c r="AQ164" s="289">
        <v>0</v>
      </c>
      <c r="AR164" s="289">
        <v>648.28083129000004</v>
      </c>
      <c r="AS164" s="289">
        <v>36.0396</v>
      </c>
      <c r="AT164" s="289">
        <v>130</v>
      </c>
      <c r="AU164" s="289">
        <v>36</v>
      </c>
      <c r="AV164" s="625">
        <v>106416</v>
      </c>
      <c r="AW164" s="289">
        <v>-51.069400000000002</v>
      </c>
      <c r="AX164" s="625">
        <v>21.833333329999999</v>
      </c>
      <c r="AY164" s="289">
        <v>339</v>
      </c>
      <c r="AZ164" s="289">
        <v>156</v>
      </c>
      <c r="BA164" s="290">
        <v>48</v>
      </c>
      <c r="BB164" s="289">
        <v>5543</v>
      </c>
      <c r="BC164" s="289">
        <v>755</v>
      </c>
      <c r="BD164" s="289">
        <v>38.886099999999999</v>
      </c>
      <c r="BE164" s="289">
        <v>105739.90592052</v>
      </c>
      <c r="BF164" s="289">
        <v>0</v>
      </c>
      <c r="BG164" s="289">
        <v>11</v>
      </c>
      <c r="BH164" s="289">
        <v>-21.386700000000001</v>
      </c>
      <c r="BI164" s="289">
        <v>685</v>
      </c>
      <c r="BJ164" s="289">
        <v>-2.6945999999999999</v>
      </c>
      <c r="BK164" s="289">
        <v>0</v>
      </c>
      <c r="BL164" s="289">
        <v>0</v>
      </c>
      <c r="BM164" s="289">
        <v>0</v>
      </c>
      <c r="BN164" s="289">
        <v>0</v>
      </c>
      <c r="BO164" s="517">
        <v>0</v>
      </c>
      <c r="BP164" s="517">
        <v>0</v>
      </c>
      <c r="BQ164" s="289">
        <f t="shared" si="4"/>
        <v>-2.6945556750000002</v>
      </c>
      <c r="BR164" s="289">
        <v>0</v>
      </c>
      <c r="BS164" s="289">
        <f t="shared" si="5"/>
        <v>0</v>
      </c>
      <c r="BT164" s="289">
        <v>4</v>
      </c>
      <c r="BU164" s="289">
        <v>0</v>
      </c>
      <c r="BV164" s="289">
        <v>36</v>
      </c>
      <c r="BW164" s="289">
        <v>174.99700000000001</v>
      </c>
      <c r="BX164" s="289">
        <v>54.610999999999997</v>
      </c>
      <c r="CC164" s="517"/>
      <c r="CD164" s="85"/>
      <c r="CE164" s="517"/>
    </row>
    <row r="165" spans="1:83" ht="13">
      <c r="A165" s="1">
        <v>1868</v>
      </c>
      <c r="B165" s="2" t="s">
        <v>212</v>
      </c>
      <c r="C165" s="289">
        <v>4541</v>
      </c>
      <c r="D165" s="289">
        <v>83</v>
      </c>
      <c r="E165" s="289">
        <v>189</v>
      </c>
      <c r="F165" s="289">
        <v>498</v>
      </c>
      <c r="G165" s="289">
        <v>445</v>
      </c>
      <c r="H165" s="289">
        <v>2584</v>
      </c>
      <c r="I165" s="289">
        <v>557</v>
      </c>
      <c r="J165" s="289">
        <v>204</v>
      </c>
      <c r="K165" s="289">
        <v>42</v>
      </c>
      <c r="L165" s="289">
        <v>40</v>
      </c>
      <c r="M165" s="289">
        <v>396</v>
      </c>
      <c r="N165" s="290">
        <v>7</v>
      </c>
      <c r="O165" s="290">
        <v>37</v>
      </c>
      <c r="P165" s="624">
        <v>25074.815999999999</v>
      </c>
      <c r="Q165" s="624">
        <v>15315.929333329999</v>
      </c>
      <c r="R165" s="624">
        <v>34</v>
      </c>
      <c r="S165" s="289">
        <v>0</v>
      </c>
      <c r="T165" s="289">
        <v>398</v>
      </c>
      <c r="U165" s="716">
        <v>1.0180563406764281E-3</v>
      </c>
      <c r="V165" s="289">
        <v>1666.72021273</v>
      </c>
      <c r="W165" s="743">
        <v>0.79871234999999996</v>
      </c>
      <c r="X165" s="289">
        <v>182</v>
      </c>
      <c r="Y165" s="289">
        <v>392</v>
      </c>
      <c r="Z165" s="289">
        <v>122118</v>
      </c>
      <c r="AA165" s="289">
        <v>0</v>
      </c>
      <c r="AB165" s="290">
        <v>128</v>
      </c>
      <c r="AC165" s="289">
        <v>0</v>
      </c>
      <c r="AD165" s="289">
        <v>0</v>
      </c>
      <c r="AE165" s="289">
        <v>0</v>
      </c>
      <c r="AF165" s="289">
        <v>0</v>
      </c>
      <c r="AG165" s="289">
        <v>4602</v>
      </c>
      <c r="AH165" s="289">
        <v>608</v>
      </c>
      <c r="AI165" s="289">
        <v>1020</v>
      </c>
      <c r="AJ165" s="289">
        <v>0</v>
      </c>
      <c r="AK165" s="289">
        <v>17.645900000000001</v>
      </c>
      <c r="AL165" s="289">
        <v>7832</v>
      </c>
      <c r="AM165" s="622">
        <v>0.24238439000000001</v>
      </c>
      <c r="AN165" s="289">
        <v>0</v>
      </c>
      <c r="AO165" s="289">
        <v>-243.75428106000001</v>
      </c>
      <c r="AP165" s="289">
        <v>0</v>
      </c>
      <c r="AQ165" s="289">
        <v>0</v>
      </c>
      <c r="AR165" s="289">
        <v>-328.92425158999998</v>
      </c>
      <c r="AS165" s="289">
        <v>63.3048</v>
      </c>
      <c r="AT165" s="289">
        <v>234</v>
      </c>
      <c r="AU165" s="289">
        <v>97</v>
      </c>
      <c r="AV165" s="625">
        <v>136236</v>
      </c>
      <c r="AW165" s="289">
        <v>-2.3369</v>
      </c>
      <c r="AX165" s="625">
        <v>23.583333329999999</v>
      </c>
      <c r="AY165" s="289">
        <v>602</v>
      </c>
      <c r="AZ165" s="289">
        <v>224</v>
      </c>
      <c r="BA165" s="290">
        <v>87</v>
      </c>
      <c r="BB165" s="289">
        <v>0</v>
      </c>
      <c r="BC165" s="289">
        <v>1080</v>
      </c>
      <c r="BD165" s="289">
        <v>80.691999999999993</v>
      </c>
      <c r="BE165" s="289">
        <v>139632.68015417</v>
      </c>
      <c r="BF165" s="289">
        <v>0</v>
      </c>
      <c r="BG165" s="289">
        <v>11</v>
      </c>
      <c r="BH165" s="289">
        <v>-37.493899999999996</v>
      </c>
      <c r="BI165" s="289">
        <v>1000</v>
      </c>
      <c r="BJ165" s="289">
        <v>-4.7239000000000004</v>
      </c>
      <c r="BK165" s="289">
        <v>0</v>
      </c>
      <c r="BL165" s="289">
        <v>0</v>
      </c>
      <c r="BM165" s="289">
        <v>0</v>
      </c>
      <c r="BN165" s="289">
        <v>0</v>
      </c>
      <c r="BO165" s="517">
        <v>0</v>
      </c>
      <c r="BP165" s="517">
        <v>0</v>
      </c>
      <c r="BQ165" s="289">
        <f t="shared" si="4"/>
        <v>-4.7239410348000002</v>
      </c>
      <c r="BR165" s="289">
        <v>0</v>
      </c>
      <c r="BS165" s="289">
        <f t="shared" si="5"/>
        <v>0</v>
      </c>
      <c r="BT165" s="289">
        <v>10</v>
      </c>
      <c r="BU165" s="289">
        <v>0</v>
      </c>
      <c r="BV165" s="289">
        <v>51</v>
      </c>
      <c r="BW165" s="289">
        <v>0</v>
      </c>
      <c r="BX165" s="289">
        <v>93.664000000000001</v>
      </c>
      <c r="CC165" s="517"/>
      <c r="CD165" s="85"/>
      <c r="CE165" s="517"/>
    </row>
    <row r="166" spans="1:83" ht="13">
      <c r="A166" s="1">
        <v>1870</v>
      </c>
      <c r="B166" s="2" t="s">
        <v>213</v>
      </c>
      <c r="C166" s="289">
        <v>10401</v>
      </c>
      <c r="D166" s="289">
        <v>227</v>
      </c>
      <c r="E166" s="289">
        <v>474</v>
      </c>
      <c r="F166" s="289">
        <v>1243</v>
      </c>
      <c r="G166" s="289">
        <v>1104</v>
      </c>
      <c r="H166" s="289">
        <v>5784</v>
      </c>
      <c r="I166" s="289">
        <v>1148</v>
      </c>
      <c r="J166" s="289">
        <v>328</v>
      </c>
      <c r="K166" s="289">
        <v>102</v>
      </c>
      <c r="L166" s="289">
        <v>84</v>
      </c>
      <c r="M166" s="289">
        <v>737</v>
      </c>
      <c r="N166" s="290">
        <v>155</v>
      </c>
      <c r="O166" s="290">
        <v>80</v>
      </c>
      <c r="P166" s="624">
        <v>51330.628333330002</v>
      </c>
      <c r="Q166" s="624">
        <v>26269.060666670001</v>
      </c>
      <c r="R166" s="624">
        <v>43</v>
      </c>
      <c r="S166" s="289">
        <v>0</v>
      </c>
      <c r="T166" s="289">
        <v>852</v>
      </c>
      <c r="U166" s="716">
        <v>2.333179995034157E-3</v>
      </c>
      <c r="V166" s="289">
        <v>-438.46169527000001</v>
      </c>
      <c r="W166" s="743">
        <v>0.60981878</v>
      </c>
      <c r="X166" s="289">
        <v>0</v>
      </c>
      <c r="Y166" s="289">
        <v>392</v>
      </c>
      <c r="Z166" s="289">
        <v>270129</v>
      </c>
      <c r="AA166" s="289">
        <v>0</v>
      </c>
      <c r="AB166" s="290">
        <v>191</v>
      </c>
      <c r="AC166" s="289">
        <v>0</v>
      </c>
      <c r="AD166" s="289">
        <v>0</v>
      </c>
      <c r="AE166" s="289">
        <v>0</v>
      </c>
      <c r="AF166" s="289">
        <v>0</v>
      </c>
      <c r="AG166" s="289">
        <v>10410</v>
      </c>
      <c r="AH166" s="289">
        <v>1575</v>
      </c>
      <c r="AI166" s="289">
        <v>1500</v>
      </c>
      <c r="AJ166" s="289">
        <v>0</v>
      </c>
      <c r="AK166" s="289">
        <v>47.165500000000002</v>
      </c>
      <c r="AL166" s="289">
        <v>17746</v>
      </c>
      <c r="AM166" s="622">
        <v>0.29027449</v>
      </c>
      <c r="AN166" s="289">
        <v>0</v>
      </c>
      <c r="AO166" s="289">
        <v>-511.83473336999998</v>
      </c>
      <c r="AP166" s="289">
        <v>0</v>
      </c>
      <c r="AQ166" s="289">
        <v>0</v>
      </c>
      <c r="AR166" s="289">
        <v>14184.7112074</v>
      </c>
      <c r="AS166" s="289">
        <v>127.8236</v>
      </c>
      <c r="AT166" s="289">
        <v>548</v>
      </c>
      <c r="AU166" s="289">
        <v>163</v>
      </c>
      <c r="AV166" s="625">
        <v>284556</v>
      </c>
      <c r="AW166" s="289">
        <v>-202.52680000000001</v>
      </c>
      <c r="AX166" s="625">
        <v>89.583333330000002</v>
      </c>
      <c r="AY166" s="289">
        <v>1965</v>
      </c>
      <c r="AZ166" s="289">
        <v>350</v>
      </c>
      <c r="BA166" s="290">
        <v>323</v>
      </c>
      <c r="BB166" s="289">
        <v>0</v>
      </c>
      <c r="BC166" s="289">
        <v>1976</v>
      </c>
      <c r="BD166" s="289">
        <v>209.02950000000001</v>
      </c>
      <c r="BE166" s="289">
        <v>270303.58567622001</v>
      </c>
      <c r="BF166" s="289">
        <v>0</v>
      </c>
      <c r="BG166" s="289">
        <v>11</v>
      </c>
      <c r="BH166" s="289">
        <v>-84.813500000000005</v>
      </c>
      <c r="BI166" s="289">
        <v>1967</v>
      </c>
      <c r="BJ166" s="289">
        <v>-10.6858</v>
      </c>
      <c r="BK166" s="289">
        <v>0</v>
      </c>
      <c r="BL166" s="289">
        <v>0</v>
      </c>
      <c r="BM166" s="289">
        <v>0</v>
      </c>
      <c r="BN166" s="289">
        <v>0</v>
      </c>
      <c r="BO166" s="517">
        <v>0</v>
      </c>
      <c r="BP166" s="517">
        <v>0</v>
      </c>
      <c r="BQ166" s="289">
        <f t="shared" si="4"/>
        <v>-10.685837933999998</v>
      </c>
      <c r="BR166" s="289">
        <v>0</v>
      </c>
      <c r="BS166" s="289">
        <f t="shared" si="5"/>
        <v>0</v>
      </c>
      <c r="BT166" s="289">
        <v>27</v>
      </c>
      <c r="BU166" s="289">
        <v>0</v>
      </c>
      <c r="BV166" s="289">
        <v>102</v>
      </c>
      <c r="BW166" s="289">
        <v>227.39099999999999</v>
      </c>
      <c r="BX166" s="289">
        <v>217.59399999999999</v>
      </c>
      <c r="CC166" s="517"/>
      <c r="CD166" s="85"/>
      <c r="CE166" s="517"/>
    </row>
    <row r="167" spans="1:83" ht="13">
      <c r="A167" s="1">
        <v>1871</v>
      </c>
      <c r="B167" s="2" t="s">
        <v>214</v>
      </c>
      <c r="C167" s="289">
        <v>4902</v>
      </c>
      <c r="D167" s="289">
        <v>84</v>
      </c>
      <c r="E167" s="289">
        <v>182</v>
      </c>
      <c r="F167" s="289">
        <v>524</v>
      </c>
      <c r="G167" s="289">
        <v>459</v>
      </c>
      <c r="H167" s="289">
        <v>2599</v>
      </c>
      <c r="I167" s="289">
        <v>742</v>
      </c>
      <c r="J167" s="289">
        <v>250</v>
      </c>
      <c r="K167" s="289">
        <v>73</v>
      </c>
      <c r="L167" s="289">
        <v>40</v>
      </c>
      <c r="M167" s="289">
        <v>473</v>
      </c>
      <c r="N167" s="290">
        <v>44</v>
      </c>
      <c r="O167" s="290">
        <v>66</v>
      </c>
      <c r="P167" s="624">
        <v>86765.760666670001</v>
      </c>
      <c r="Q167" s="624">
        <v>16907.384333329999</v>
      </c>
      <c r="R167" s="624">
        <v>30</v>
      </c>
      <c r="S167" s="289">
        <v>0</v>
      </c>
      <c r="T167" s="289">
        <v>396</v>
      </c>
      <c r="U167" s="716">
        <v>1.7763016632151641E-3</v>
      </c>
      <c r="V167" s="289">
        <v>-7108.5476734200001</v>
      </c>
      <c r="W167" s="743">
        <v>1</v>
      </c>
      <c r="X167" s="289">
        <v>197</v>
      </c>
      <c r="Y167" s="289">
        <v>392</v>
      </c>
      <c r="Z167" s="289">
        <v>134742</v>
      </c>
      <c r="AA167" s="289">
        <v>0</v>
      </c>
      <c r="AB167" s="290">
        <v>90</v>
      </c>
      <c r="AC167" s="289">
        <v>0</v>
      </c>
      <c r="AD167" s="289">
        <v>0</v>
      </c>
      <c r="AE167" s="289">
        <v>0</v>
      </c>
      <c r="AF167" s="289">
        <v>0</v>
      </c>
      <c r="AG167" s="289">
        <v>4913</v>
      </c>
      <c r="AH167" s="289">
        <v>624</v>
      </c>
      <c r="AI167" s="289">
        <v>1750</v>
      </c>
      <c r="AJ167" s="289">
        <v>0</v>
      </c>
      <c r="AK167" s="289">
        <v>18.021000000000001</v>
      </c>
      <c r="AL167" s="289">
        <v>8393</v>
      </c>
      <c r="AM167" s="622">
        <v>0.18649009999999999</v>
      </c>
      <c r="AN167" s="289">
        <v>0</v>
      </c>
      <c r="AO167" s="289">
        <v>-276.26357992999999</v>
      </c>
      <c r="AP167" s="289">
        <v>0</v>
      </c>
      <c r="AQ167" s="289">
        <v>0</v>
      </c>
      <c r="AR167" s="289">
        <v>-351.15272665999998</v>
      </c>
      <c r="AS167" s="289">
        <v>59.5792</v>
      </c>
      <c r="AT167" s="289">
        <v>236</v>
      </c>
      <c r="AU167" s="289">
        <v>81</v>
      </c>
      <c r="AV167" s="625">
        <v>155672</v>
      </c>
      <c r="AW167" s="289">
        <v>-2.4948000000000001</v>
      </c>
      <c r="AX167" s="625">
        <v>31.833333339999999</v>
      </c>
      <c r="AY167" s="289">
        <v>789</v>
      </c>
      <c r="AZ167" s="289">
        <v>235</v>
      </c>
      <c r="BA167" s="290">
        <v>88</v>
      </c>
      <c r="BB167" s="289">
        <v>0</v>
      </c>
      <c r="BC167" s="289">
        <v>1146</v>
      </c>
      <c r="BD167" s="289">
        <v>82.8155</v>
      </c>
      <c r="BE167" s="289">
        <v>156652.91589989001</v>
      </c>
      <c r="BF167" s="289">
        <v>0</v>
      </c>
      <c r="BG167" s="289">
        <v>11</v>
      </c>
      <c r="BH167" s="289">
        <v>-40.027700000000003</v>
      </c>
      <c r="BI167" s="289">
        <v>1016</v>
      </c>
      <c r="BJ167" s="289">
        <v>-5.0431999999999997</v>
      </c>
      <c r="BK167" s="289">
        <v>0</v>
      </c>
      <c r="BL167" s="289">
        <v>0</v>
      </c>
      <c r="BM167" s="289">
        <v>0</v>
      </c>
      <c r="BN167" s="289">
        <v>0</v>
      </c>
      <c r="BO167" s="517">
        <v>0</v>
      </c>
      <c r="BP167" s="517">
        <v>0</v>
      </c>
      <c r="BQ167" s="289">
        <f t="shared" si="4"/>
        <v>-5.0431817262000003</v>
      </c>
      <c r="BR167" s="289">
        <v>0</v>
      </c>
      <c r="BS167" s="289">
        <f t="shared" si="5"/>
        <v>0</v>
      </c>
      <c r="BT167" s="289">
        <v>10</v>
      </c>
      <c r="BU167" s="289">
        <v>0</v>
      </c>
      <c r="BV167" s="289">
        <v>63</v>
      </c>
      <c r="BW167" s="289">
        <v>190.715</v>
      </c>
      <c r="BX167" s="289">
        <v>100.166</v>
      </c>
      <c r="CC167" s="517"/>
      <c r="CD167" s="85"/>
      <c r="CE167" s="517"/>
    </row>
    <row r="168" spans="1:83" ht="13">
      <c r="A168" s="1">
        <v>1874</v>
      </c>
      <c r="B168" s="2" t="s">
        <v>215</v>
      </c>
      <c r="C168" s="289">
        <v>1068</v>
      </c>
      <c r="D168" s="289">
        <v>12</v>
      </c>
      <c r="E168" s="289">
        <v>24</v>
      </c>
      <c r="F168" s="289">
        <v>107</v>
      </c>
      <c r="G168" s="289">
        <v>88</v>
      </c>
      <c r="H168" s="289">
        <v>603</v>
      </c>
      <c r="I168" s="289">
        <v>153</v>
      </c>
      <c r="J168" s="289">
        <v>78</v>
      </c>
      <c r="K168" s="289">
        <v>14</v>
      </c>
      <c r="L168" s="289">
        <v>10</v>
      </c>
      <c r="M168" s="289">
        <v>109</v>
      </c>
      <c r="N168" s="290">
        <v>1.5</v>
      </c>
      <c r="O168" s="290">
        <v>12</v>
      </c>
      <c r="P168" s="624">
        <v>3896.2913333299998</v>
      </c>
      <c r="Q168" s="624">
        <v>4594.2356666699998</v>
      </c>
      <c r="R168" s="624">
        <v>3</v>
      </c>
      <c r="S168" s="289">
        <v>0</v>
      </c>
      <c r="T168" s="289">
        <v>93</v>
      </c>
      <c r="U168" s="716">
        <v>5.16471416986557E-5</v>
      </c>
      <c r="V168" s="289">
        <v>477.15137220000003</v>
      </c>
      <c r="W168" s="743">
        <v>1</v>
      </c>
      <c r="X168" s="289">
        <v>0</v>
      </c>
      <c r="Y168" s="289">
        <v>0</v>
      </c>
      <c r="Z168" s="289">
        <v>30852</v>
      </c>
      <c r="AA168" s="289">
        <v>0</v>
      </c>
      <c r="AB168" s="290">
        <v>24</v>
      </c>
      <c r="AC168" s="289">
        <v>0</v>
      </c>
      <c r="AD168" s="289">
        <v>0</v>
      </c>
      <c r="AE168" s="289">
        <v>0</v>
      </c>
      <c r="AF168" s="289">
        <v>0</v>
      </c>
      <c r="AG168" s="289">
        <v>1079</v>
      </c>
      <c r="AH168" s="289">
        <v>118</v>
      </c>
      <c r="AI168" s="289">
        <v>2850</v>
      </c>
      <c r="AJ168" s="289">
        <v>0</v>
      </c>
      <c r="AK168" s="289">
        <v>2.3673000000000002</v>
      </c>
      <c r="AL168" s="289">
        <v>1835</v>
      </c>
      <c r="AM168" s="622">
        <v>3.2102029999999997E-2</v>
      </c>
      <c r="AN168" s="289">
        <v>0</v>
      </c>
      <c r="AO168" s="289">
        <v>-66.365961909999996</v>
      </c>
      <c r="AP168" s="289">
        <v>0</v>
      </c>
      <c r="AQ168" s="289">
        <v>0</v>
      </c>
      <c r="AR168" s="289">
        <v>-77.120657859999994</v>
      </c>
      <c r="AS168" s="289">
        <v>12.805099999999999</v>
      </c>
      <c r="AT168" s="289">
        <v>56</v>
      </c>
      <c r="AU168" s="289">
        <v>20</v>
      </c>
      <c r="AV168" s="625">
        <v>46859</v>
      </c>
      <c r="AW168" s="289">
        <v>-0.54790000000000005</v>
      </c>
      <c r="AX168" s="625">
        <v>3.5833333299999999</v>
      </c>
      <c r="AY168" s="289">
        <v>118</v>
      </c>
      <c r="AZ168" s="289">
        <v>33</v>
      </c>
      <c r="BA168" s="290">
        <v>17</v>
      </c>
      <c r="BB168" s="289">
        <v>5543</v>
      </c>
      <c r="BC168" s="289">
        <v>119</v>
      </c>
      <c r="BD168" s="289">
        <v>15.660600000000001</v>
      </c>
      <c r="BE168" s="289">
        <v>47682.170377210001</v>
      </c>
      <c r="BF168" s="289">
        <v>0</v>
      </c>
      <c r="BG168" s="289">
        <v>0</v>
      </c>
      <c r="BH168" s="289">
        <v>-8.7909000000000006</v>
      </c>
      <c r="BI168" s="289">
        <v>118</v>
      </c>
      <c r="BJ168" s="289">
        <v>-1.1075999999999999</v>
      </c>
      <c r="BK168" s="289">
        <v>0</v>
      </c>
      <c r="BL168" s="289">
        <v>0</v>
      </c>
      <c r="BM168" s="289">
        <v>0</v>
      </c>
      <c r="BN168" s="289">
        <v>0</v>
      </c>
      <c r="BO168" s="517">
        <v>0</v>
      </c>
      <c r="BP168" s="517">
        <v>0</v>
      </c>
      <c r="BQ168" s="289">
        <f t="shared" si="4"/>
        <v>-1.1075906946</v>
      </c>
      <c r="BR168" s="289">
        <v>0</v>
      </c>
      <c r="BS168" s="289">
        <f t="shared" si="5"/>
        <v>0</v>
      </c>
      <c r="BT168" s="289">
        <v>1</v>
      </c>
      <c r="BU168" s="289">
        <v>0</v>
      </c>
      <c r="BV168" s="289">
        <v>19</v>
      </c>
      <c r="BW168" s="289">
        <v>157.18299999999999</v>
      </c>
      <c r="BX168" s="289">
        <v>22.164000000000001</v>
      </c>
      <c r="CC168" s="517"/>
      <c r="CD168" s="85"/>
      <c r="CE168" s="517"/>
    </row>
    <row r="169" spans="1:83" ht="13">
      <c r="A169" s="1">
        <v>1913</v>
      </c>
      <c r="B169" s="2" t="s">
        <v>219</v>
      </c>
      <c r="C169" s="289">
        <v>2994</v>
      </c>
      <c r="D169" s="289">
        <v>39</v>
      </c>
      <c r="E169" s="289">
        <v>122</v>
      </c>
      <c r="F169" s="289">
        <v>325</v>
      </c>
      <c r="G169" s="289">
        <v>264</v>
      </c>
      <c r="H169" s="289">
        <v>1645</v>
      </c>
      <c r="I169" s="289">
        <v>474</v>
      </c>
      <c r="J169" s="289">
        <v>128</v>
      </c>
      <c r="K169" s="289">
        <v>39</v>
      </c>
      <c r="L169" s="289">
        <v>25</v>
      </c>
      <c r="M169" s="289">
        <v>289</v>
      </c>
      <c r="N169" s="290">
        <v>8</v>
      </c>
      <c r="O169" s="290">
        <v>15</v>
      </c>
      <c r="P169" s="624">
        <v>40400.370999999999</v>
      </c>
      <c r="Q169" s="624">
        <v>11820.612999999999</v>
      </c>
      <c r="R169" s="624">
        <v>23</v>
      </c>
      <c r="S169" s="289">
        <v>0</v>
      </c>
      <c r="T169" s="289">
        <v>219</v>
      </c>
      <c r="U169" s="716">
        <v>1.4323205310289521E-3</v>
      </c>
      <c r="V169" s="289">
        <v>1224.0333181999999</v>
      </c>
      <c r="W169" s="743">
        <v>0.87503253999999997</v>
      </c>
      <c r="X169" s="289">
        <v>1511</v>
      </c>
      <c r="Y169" s="289">
        <v>392</v>
      </c>
      <c r="Z169" s="289">
        <v>69865</v>
      </c>
      <c r="AA169" s="289">
        <v>0</v>
      </c>
      <c r="AB169" s="290">
        <v>69</v>
      </c>
      <c r="AC169" s="289">
        <v>0</v>
      </c>
      <c r="AD169" s="289">
        <v>298.56599999999997</v>
      </c>
      <c r="AE169" s="289">
        <v>0</v>
      </c>
      <c r="AF169" s="289">
        <v>0</v>
      </c>
      <c r="AG169" s="289">
        <v>3036</v>
      </c>
      <c r="AH169" s="289">
        <v>398</v>
      </c>
      <c r="AI169" s="289">
        <v>0</v>
      </c>
      <c r="AJ169" s="289">
        <v>0</v>
      </c>
      <c r="AK169" s="289">
        <v>10.9878</v>
      </c>
      <c r="AL169" s="289">
        <v>9994</v>
      </c>
      <c r="AM169" s="622">
        <v>5.0237860000000002E-2</v>
      </c>
      <c r="AN169" s="289">
        <v>0</v>
      </c>
      <c r="AO169" s="289">
        <v>-170.24817135000001</v>
      </c>
      <c r="AP169" s="289">
        <v>0</v>
      </c>
      <c r="AQ169" s="289">
        <v>0</v>
      </c>
      <c r="AR169" s="289">
        <v>1838.7759710800001</v>
      </c>
      <c r="AS169" s="289">
        <v>31.6297</v>
      </c>
      <c r="AT169" s="289">
        <v>127</v>
      </c>
      <c r="AU169" s="289">
        <v>35</v>
      </c>
      <c r="AV169" s="625">
        <v>115484</v>
      </c>
      <c r="AW169" s="289">
        <v>-59.065399999999997</v>
      </c>
      <c r="AX169" s="625">
        <v>2.5</v>
      </c>
      <c r="AY169" s="289">
        <v>578</v>
      </c>
      <c r="AZ169" s="289">
        <v>105</v>
      </c>
      <c r="BA169" s="290">
        <v>64</v>
      </c>
      <c r="BB169" s="289">
        <v>5543</v>
      </c>
      <c r="BC169" s="289">
        <v>906</v>
      </c>
      <c r="BD169" s="289">
        <v>52.821399999999997</v>
      </c>
      <c r="BE169" s="289">
        <v>114138.52202944001</v>
      </c>
      <c r="BF169" s="289">
        <v>0</v>
      </c>
      <c r="BG169" s="289">
        <v>11</v>
      </c>
      <c r="BH169" s="289">
        <v>-24.735199999999999</v>
      </c>
      <c r="BI169" s="289">
        <v>1088.566</v>
      </c>
      <c r="BJ169" s="289">
        <v>-255.4794</v>
      </c>
      <c r="BK169" s="289">
        <v>0</v>
      </c>
      <c r="BL169" s="289">
        <v>0</v>
      </c>
      <c r="BM169" s="289">
        <v>0</v>
      </c>
      <c r="BN169" s="289">
        <v>0</v>
      </c>
      <c r="BO169" s="517">
        <v>0</v>
      </c>
      <c r="BP169" s="517">
        <v>0</v>
      </c>
      <c r="BQ169" s="289">
        <f t="shared" si="4"/>
        <v>-3.1164461064000002</v>
      </c>
      <c r="BR169" s="289">
        <v>46.203000000000003</v>
      </c>
      <c r="BS169" s="289">
        <f t="shared" si="5"/>
        <v>-252.36299999999997</v>
      </c>
      <c r="BT169" s="289">
        <v>6</v>
      </c>
      <c r="BU169" s="289">
        <v>0</v>
      </c>
      <c r="BV169" s="289">
        <v>40</v>
      </c>
      <c r="BW169" s="289">
        <v>172.691</v>
      </c>
      <c r="BX169" s="289">
        <v>62.713000000000001</v>
      </c>
      <c r="CC169" s="517"/>
      <c r="CD169" s="85"/>
      <c r="CE169" s="517"/>
    </row>
    <row r="170" spans="1:83" ht="13">
      <c r="A170" s="1">
        <v>1927</v>
      </c>
      <c r="B170" s="2" t="s">
        <v>229</v>
      </c>
      <c r="C170" s="289">
        <v>1536</v>
      </c>
      <c r="D170" s="289">
        <v>31</v>
      </c>
      <c r="E170" s="289">
        <v>56</v>
      </c>
      <c r="F170" s="289">
        <v>184</v>
      </c>
      <c r="G170" s="289">
        <v>126</v>
      </c>
      <c r="H170" s="289">
        <v>790</v>
      </c>
      <c r="I170" s="289">
        <v>249</v>
      </c>
      <c r="J170" s="289">
        <v>95</v>
      </c>
      <c r="K170" s="289">
        <v>21</v>
      </c>
      <c r="L170" s="289">
        <v>12</v>
      </c>
      <c r="M170" s="289">
        <v>167</v>
      </c>
      <c r="N170" s="290">
        <v>9</v>
      </c>
      <c r="O170" s="290">
        <v>30</v>
      </c>
      <c r="P170" s="624">
        <v>33579.25</v>
      </c>
      <c r="Q170" s="624">
        <v>8951.5883333300008</v>
      </c>
      <c r="R170" s="624">
        <v>7</v>
      </c>
      <c r="S170" s="289">
        <v>0</v>
      </c>
      <c r="T170" s="289">
        <v>148</v>
      </c>
      <c r="U170" s="716">
        <v>8.0981158515987337E-4</v>
      </c>
      <c r="V170" s="289">
        <v>738.82100160000005</v>
      </c>
      <c r="W170" s="743">
        <v>1</v>
      </c>
      <c r="X170" s="289">
        <v>2425</v>
      </c>
      <c r="Y170" s="289">
        <v>0</v>
      </c>
      <c r="Z170" s="289">
        <v>32458</v>
      </c>
      <c r="AA170" s="289">
        <v>0</v>
      </c>
      <c r="AB170" s="290">
        <v>37</v>
      </c>
      <c r="AC170" s="289">
        <v>0</v>
      </c>
      <c r="AD170" s="289">
        <v>0</v>
      </c>
      <c r="AE170" s="289">
        <v>0</v>
      </c>
      <c r="AF170" s="289">
        <v>0</v>
      </c>
      <c r="AG170" s="289">
        <v>1552</v>
      </c>
      <c r="AH170" s="289">
        <v>195</v>
      </c>
      <c r="AI170" s="289">
        <v>0</v>
      </c>
      <c r="AJ170" s="289">
        <v>0</v>
      </c>
      <c r="AK170" s="289">
        <v>5.8239000000000001</v>
      </c>
      <c r="AL170" s="289">
        <v>5050</v>
      </c>
      <c r="AM170" s="622">
        <v>3.7012990000000003E-2</v>
      </c>
      <c r="AN170" s="289">
        <v>0</v>
      </c>
      <c r="AO170" s="289">
        <v>-102.76102994999999</v>
      </c>
      <c r="AP170" s="289">
        <v>0</v>
      </c>
      <c r="AQ170" s="289">
        <v>0</v>
      </c>
      <c r="AR170" s="289">
        <v>-110.92795273</v>
      </c>
      <c r="AS170" s="289">
        <v>19.0396</v>
      </c>
      <c r="AT170" s="289">
        <v>77</v>
      </c>
      <c r="AU170" s="289">
        <v>15</v>
      </c>
      <c r="AV170" s="625">
        <v>77310</v>
      </c>
      <c r="AW170" s="289">
        <v>-0.78810000000000002</v>
      </c>
      <c r="AX170" s="625">
        <v>13.33333333</v>
      </c>
      <c r="AY170" s="289">
        <v>268</v>
      </c>
      <c r="AZ170" s="289">
        <v>76</v>
      </c>
      <c r="BA170" s="290">
        <v>46</v>
      </c>
      <c r="BB170" s="289">
        <v>5543</v>
      </c>
      <c r="BC170" s="289">
        <v>308</v>
      </c>
      <c r="BD170" s="289">
        <v>25.879799999999999</v>
      </c>
      <c r="BE170" s="289">
        <v>79000.366627089999</v>
      </c>
      <c r="BF170" s="289">
        <v>0</v>
      </c>
      <c r="BG170" s="289">
        <v>0</v>
      </c>
      <c r="BH170" s="289">
        <v>-12.644600000000001</v>
      </c>
      <c r="BI170" s="289">
        <v>195</v>
      </c>
      <c r="BJ170" s="289">
        <v>-1.5931</v>
      </c>
      <c r="BK170" s="289">
        <v>0</v>
      </c>
      <c r="BL170" s="289">
        <v>0</v>
      </c>
      <c r="BM170" s="289">
        <v>424</v>
      </c>
      <c r="BN170" s="289">
        <v>0</v>
      </c>
      <c r="BO170" s="517">
        <v>0</v>
      </c>
      <c r="BP170" s="517">
        <v>0</v>
      </c>
      <c r="BQ170" s="289">
        <f t="shared" si="4"/>
        <v>-1.5931239648</v>
      </c>
      <c r="BR170" s="289">
        <v>0</v>
      </c>
      <c r="BS170" s="289">
        <f t="shared" si="5"/>
        <v>0</v>
      </c>
      <c r="BT170" s="289">
        <v>3</v>
      </c>
      <c r="BU170" s="289">
        <v>0</v>
      </c>
      <c r="BV170" s="289">
        <v>27</v>
      </c>
      <c r="BW170" s="289">
        <v>165.13900000000001</v>
      </c>
      <c r="BX170" s="289">
        <v>31.844999999999999</v>
      </c>
      <c r="CC170" s="517"/>
      <c r="CD170" s="85"/>
      <c r="CE170" s="517"/>
    </row>
    <row r="171" spans="1:83" ht="13">
      <c r="A171" s="1">
        <v>1928</v>
      </c>
      <c r="B171" s="2" t="s">
        <v>230</v>
      </c>
      <c r="C171" s="289">
        <v>943</v>
      </c>
      <c r="D171" s="289">
        <v>15</v>
      </c>
      <c r="E171" s="289">
        <v>37</v>
      </c>
      <c r="F171" s="289">
        <v>90</v>
      </c>
      <c r="G171" s="289">
        <v>77</v>
      </c>
      <c r="H171" s="289">
        <v>484</v>
      </c>
      <c r="I171" s="289">
        <v>152</v>
      </c>
      <c r="J171" s="289">
        <v>59</v>
      </c>
      <c r="K171" s="289">
        <v>12</v>
      </c>
      <c r="L171" s="289">
        <v>8</v>
      </c>
      <c r="M171" s="289">
        <v>120</v>
      </c>
      <c r="N171" s="290">
        <v>1.5</v>
      </c>
      <c r="O171" s="290">
        <v>31</v>
      </c>
      <c r="P171" s="624">
        <v>24361.241000000002</v>
      </c>
      <c r="Q171" s="624">
        <v>5522.6366666699996</v>
      </c>
      <c r="R171" s="624">
        <v>7</v>
      </c>
      <c r="S171" s="289">
        <v>0</v>
      </c>
      <c r="T171" s="289">
        <v>91</v>
      </c>
      <c r="U171" s="716">
        <v>1.6748440810214593E-4</v>
      </c>
      <c r="V171" s="289">
        <v>494.55018962000003</v>
      </c>
      <c r="W171" s="743">
        <v>1</v>
      </c>
      <c r="X171" s="289">
        <v>1681</v>
      </c>
      <c r="Y171" s="289">
        <v>0</v>
      </c>
      <c r="Z171" s="289">
        <v>21406</v>
      </c>
      <c r="AA171" s="289">
        <v>0</v>
      </c>
      <c r="AB171" s="290">
        <v>14</v>
      </c>
      <c r="AC171" s="289">
        <v>0</v>
      </c>
      <c r="AD171" s="289">
        <v>0</v>
      </c>
      <c r="AE171" s="289">
        <v>109</v>
      </c>
      <c r="AF171" s="289">
        <v>0</v>
      </c>
      <c r="AG171" s="289">
        <v>926</v>
      </c>
      <c r="AH171" s="289">
        <v>114</v>
      </c>
      <c r="AI171" s="289">
        <v>600</v>
      </c>
      <c r="AJ171" s="289">
        <v>0</v>
      </c>
      <c r="AK171" s="289">
        <v>3.4689999999999999</v>
      </c>
      <c r="AL171" s="289">
        <v>3020</v>
      </c>
      <c r="AM171" s="622">
        <v>2.4955169999999999E-2</v>
      </c>
      <c r="AN171" s="289">
        <v>0</v>
      </c>
      <c r="AO171" s="289">
        <v>-68.785926140000001</v>
      </c>
      <c r="AP171" s="289">
        <v>0</v>
      </c>
      <c r="AQ171" s="289">
        <v>0</v>
      </c>
      <c r="AR171" s="289">
        <v>-66.185105820000004</v>
      </c>
      <c r="AS171" s="289">
        <v>10.738200000000001</v>
      </c>
      <c r="AT171" s="289">
        <v>49</v>
      </c>
      <c r="AU171" s="289">
        <v>9</v>
      </c>
      <c r="AV171" s="625">
        <v>57073</v>
      </c>
      <c r="AW171" s="289">
        <v>-0.47020000000000001</v>
      </c>
      <c r="AX171" s="625">
        <v>5.75</v>
      </c>
      <c r="AY171" s="289">
        <v>91</v>
      </c>
      <c r="AZ171" s="289">
        <v>48</v>
      </c>
      <c r="BA171" s="290">
        <v>18</v>
      </c>
      <c r="BB171" s="289">
        <v>5543</v>
      </c>
      <c r="BC171" s="289">
        <v>263</v>
      </c>
      <c r="BD171" s="289">
        <v>15.129799999999999</v>
      </c>
      <c r="BE171" s="289">
        <v>57458.228433409997</v>
      </c>
      <c r="BF171" s="289">
        <v>0</v>
      </c>
      <c r="BG171" s="289">
        <v>0</v>
      </c>
      <c r="BH171" s="289">
        <v>-7.5444000000000004</v>
      </c>
      <c r="BI171" s="289">
        <v>114</v>
      </c>
      <c r="BJ171" s="289">
        <v>-0.95050000000000001</v>
      </c>
      <c r="BK171" s="289">
        <v>0</v>
      </c>
      <c r="BL171" s="289">
        <v>0</v>
      </c>
      <c r="BM171" s="289">
        <v>254</v>
      </c>
      <c r="BN171" s="289">
        <v>0</v>
      </c>
      <c r="BO171" s="517">
        <v>0</v>
      </c>
      <c r="BP171" s="517">
        <v>0</v>
      </c>
      <c r="BQ171" s="289">
        <f t="shared" si="4"/>
        <v>-0.95053659239999999</v>
      </c>
      <c r="BR171" s="289">
        <v>0</v>
      </c>
      <c r="BS171" s="289">
        <f t="shared" si="5"/>
        <v>0</v>
      </c>
      <c r="BT171" s="289">
        <v>2</v>
      </c>
      <c r="BU171" s="289">
        <v>0</v>
      </c>
      <c r="BV171" s="289">
        <v>20</v>
      </c>
      <c r="BW171" s="289">
        <v>162.06700000000001</v>
      </c>
      <c r="BX171" s="289">
        <v>19.651</v>
      </c>
      <c r="CC171" s="517"/>
      <c r="CD171" s="85"/>
      <c r="CE171" s="517"/>
    </row>
    <row r="172" spans="1:83" ht="13">
      <c r="A172" s="1">
        <v>1929</v>
      </c>
      <c r="B172" s="2" t="s">
        <v>231</v>
      </c>
      <c r="C172" s="289">
        <v>902</v>
      </c>
      <c r="D172" s="289">
        <v>21</v>
      </c>
      <c r="E172" s="289">
        <v>34</v>
      </c>
      <c r="F172" s="289">
        <v>85</v>
      </c>
      <c r="G172" s="289">
        <v>64</v>
      </c>
      <c r="H172" s="289">
        <v>519</v>
      </c>
      <c r="I172" s="289">
        <v>129</v>
      </c>
      <c r="J172" s="289">
        <v>46</v>
      </c>
      <c r="K172" s="289">
        <v>10</v>
      </c>
      <c r="L172" s="289">
        <v>9</v>
      </c>
      <c r="M172" s="289">
        <v>87</v>
      </c>
      <c r="N172" s="290">
        <v>14</v>
      </c>
      <c r="O172" s="290">
        <v>15</v>
      </c>
      <c r="P172" s="624">
        <v>7451.4156666700001</v>
      </c>
      <c r="Q172" s="624">
        <v>4007.26533333</v>
      </c>
      <c r="R172" s="624">
        <v>3</v>
      </c>
      <c r="S172" s="289">
        <v>0</v>
      </c>
      <c r="T172" s="289">
        <v>75</v>
      </c>
      <c r="U172" s="716">
        <v>1.1719787148018371E-4</v>
      </c>
      <c r="V172" s="289">
        <v>-1546.70568185</v>
      </c>
      <c r="W172" s="743">
        <v>1</v>
      </c>
      <c r="X172" s="289">
        <v>954</v>
      </c>
      <c r="Y172" s="289">
        <v>0</v>
      </c>
      <c r="Z172" s="289">
        <v>23708</v>
      </c>
      <c r="AA172" s="289">
        <v>0</v>
      </c>
      <c r="AB172" s="290">
        <v>15</v>
      </c>
      <c r="AC172" s="289">
        <v>0</v>
      </c>
      <c r="AD172" s="289">
        <v>0</v>
      </c>
      <c r="AE172" s="289">
        <v>0</v>
      </c>
      <c r="AF172" s="289">
        <v>0</v>
      </c>
      <c r="AG172" s="289">
        <v>908</v>
      </c>
      <c r="AH172" s="289">
        <v>106</v>
      </c>
      <c r="AI172" s="289">
        <v>0</v>
      </c>
      <c r="AJ172" s="289">
        <v>0</v>
      </c>
      <c r="AK172" s="289">
        <v>3.2664</v>
      </c>
      <c r="AL172" s="289">
        <v>2997</v>
      </c>
      <c r="AM172" s="622">
        <v>3.1075080000000001E-2</v>
      </c>
      <c r="AN172" s="289">
        <v>0</v>
      </c>
      <c r="AO172" s="289">
        <v>-59.34799838</v>
      </c>
      <c r="AP172" s="289">
        <v>0</v>
      </c>
      <c r="AQ172" s="289">
        <v>0</v>
      </c>
      <c r="AR172" s="289">
        <v>-64.898570280000001</v>
      </c>
      <c r="AS172" s="289">
        <v>11.3043</v>
      </c>
      <c r="AT172" s="289">
        <v>40</v>
      </c>
      <c r="AU172" s="289">
        <v>11</v>
      </c>
      <c r="AV172" s="625">
        <v>45022</v>
      </c>
      <c r="AW172" s="289">
        <v>-0.46110000000000001</v>
      </c>
      <c r="AX172" s="625">
        <v>5.6666666699999997</v>
      </c>
      <c r="AY172" s="289">
        <v>109</v>
      </c>
      <c r="AZ172" s="289">
        <v>59</v>
      </c>
      <c r="BA172" s="290">
        <v>21</v>
      </c>
      <c r="BB172" s="289">
        <v>5543</v>
      </c>
      <c r="BC172" s="289">
        <v>180</v>
      </c>
      <c r="BD172" s="289">
        <v>14.068</v>
      </c>
      <c r="BE172" s="289">
        <v>45319.687670550004</v>
      </c>
      <c r="BF172" s="289">
        <v>0</v>
      </c>
      <c r="BG172" s="289">
        <v>0</v>
      </c>
      <c r="BH172" s="289">
        <v>-7.3978000000000002</v>
      </c>
      <c r="BI172" s="289">
        <v>106</v>
      </c>
      <c r="BJ172" s="289">
        <v>-0.93210000000000004</v>
      </c>
      <c r="BK172" s="289">
        <v>0</v>
      </c>
      <c r="BL172" s="289">
        <v>0</v>
      </c>
      <c r="BM172" s="289">
        <v>252</v>
      </c>
      <c r="BN172" s="289">
        <v>0</v>
      </c>
      <c r="BO172" s="517">
        <v>0</v>
      </c>
      <c r="BP172" s="517">
        <v>0</v>
      </c>
      <c r="BQ172" s="289">
        <f t="shared" si="4"/>
        <v>-0.93205963920000001</v>
      </c>
      <c r="BR172" s="289">
        <v>0</v>
      </c>
      <c r="BS172" s="289">
        <f t="shared" si="5"/>
        <v>0</v>
      </c>
      <c r="BT172" s="289">
        <v>2</v>
      </c>
      <c r="BU172" s="289">
        <v>0</v>
      </c>
      <c r="BV172" s="289">
        <v>18</v>
      </c>
      <c r="BW172" s="289">
        <v>161.85499999999999</v>
      </c>
      <c r="BX172" s="289">
        <v>18.55</v>
      </c>
      <c r="CC172" s="517"/>
      <c r="CD172" s="85"/>
      <c r="CE172" s="517"/>
    </row>
    <row r="173" spans="1:83" ht="13">
      <c r="A173" s="1">
        <v>1931</v>
      </c>
      <c r="B173" s="2" t="s">
        <v>232</v>
      </c>
      <c r="C173" s="289">
        <v>11644</v>
      </c>
      <c r="D173" s="289">
        <v>223</v>
      </c>
      <c r="E173" s="289">
        <v>513</v>
      </c>
      <c r="F173" s="289">
        <v>1554</v>
      </c>
      <c r="G173" s="289">
        <v>1200</v>
      </c>
      <c r="H173" s="289">
        <v>6368</v>
      </c>
      <c r="I173" s="289">
        <v>1329</v>
      </c>
      <c r="J173" s="289">
        <v>408</v>
      </c>
      <c r="K173" s="289">
        <v>96</v>
      </c>
      <c r="L173" s="289">
        <v>97</v>
      </c>
      <c r="M173" s="289">
        <v>861</v>
      </c>
      <c r="N173" s="290">
        <v>122</v>
      </c>
      <c r="O173" s="290">
        <v>100</v>
      </c>
      <c r="P173" s="624">
        <v>123943.86</v>
      </c>
      <c r="Q173" s="624">
        <v>45318.048000000003</v>
      </c>
      <c r="R173" s="624">
        <v>84</v>
      </c>
      <c r="S173" s="289">
        <v>0</v>
      </c>
      <c r="T173" s="289">
        <v>908</v>
      </c>
      <c r="U173" s="716">
        <v>2.198554180876475E-3</v>
      </c>
      <c r="V173" s="289">
        <v>-3677.0255940100001</v>
      </c>
      <c r="W173" s="743">
        <v>0.70505448999999998</v>
      </c>
      <c r="X173" s="289">
        <v>1722</v>
      </c>
      <c r="Y173" s="289">
        <v>392</v>
      </c>
      <c r="Z173" s="289">
        <v>294637</v>
      </c>
      <c r="AA173" s="289">
        <v>0</v>
      </c>
      <c r="AB173" s="290">
        <v>313</v>
      </c>
      <c r="AC173" s="289">
        <v>0</v>
      </c>
      <c r="AD173" s="289">
        <v>822.85199999999998</v>
      </c>
      <c r="AE173" s="289">
        <v>0</v>
      </c>
      <c r="AF173" s="289">
        <v>0</v>
      </c>
      <c r="AG173" s="289">
        <v>11691</v>
      </c>
      <c r="AH173" s="289">
        <v>1806</v>
      </c>
      <c r="AI173" s="289">
        <v>600</v>
      </c>
      <c r="AJ173" s="289">
        <v>0</v>
      </c>
      <c r="AK173" s="289">
        <v>48.932200000000002</v>
      </c>
      <c r="AL173" s="289">
        <v>38354</v>
      </c>
      <c r="AM173" s="622">
        <v>0.22447407</v>
      </c>
      <c r="AN173" s="289">
        <v>0</v>
      </c>
      <c r="AO173" s="289">
        <v>-622.27551321999999</v>
      </c>
      <c r="AP173" s="289">
        <v>0</v>
      </c>
      <c r="AQ173" s="289">
        <v>0</v>
      </c>
      <c r="AR173" s="289">
        <v>2557.7470069199999</v>
      </c>
      <c r="AS173" s="289">
        <v>139.24119999999999</v>
      </c>
      <c r="AT173" s="289">
        <v>625</v>
      </c>
      <c r="AU173" s="289">
        <v>108</v>
      </c>
      <c r="AV173" s="625">
        <v>373448</v>
      </c>
      <c r="AW173" s="289">
        <v>1385.5513000000001</v>
      </c>
      <c r="AX173" s="625">
        <v>68.541666669999998</v>
      </c>
      <c r="AY173" s="289">
        <v>1983</v>
      </c>
      <c r="AZ173" s="289">
        <v>455</v>
      </c>
      <c r="BA173" s="290">
        <v>378</v>
      </c>
      <c r="BB173" s="289">
        <v>0</v>
      </c>
      <c r="BC173" s="289">
        <v>2397</v>
      </c>
      <c r="BD173" s="289">
        <v>239.68719999999999</v>
      </c>
      <c r="BE173" s="289">
        <v>373359.26201916998</v>
      </c>
      <c r="BF173" s="289">
        <v>0</v>
      </c>
      <c r="BG173" s="289">
        <v>11</v>
      </c>
      <c r="BH173" s="289">
        <v>-95.250200000000007</v>
      </c>
      <c r="BI173" s="289">
        <v>3020.8519999999999</v>
      </c>
      <c r="BJ173" s="289">
        <v>544.99980000000005</v>
      </c>
      <c r="BK173" s="289">
        <v>1349</v>
      </c>
      <c r="BL173" s="289">
        <v>0</v>
      </c>
      <c r="BM173" s="289">
        <v>3224</v>
      </c>
      <c r="BN173" s="289">
        <v>0</v>
      </c>
      <c r="BO173" s="517">
        <v>0</v>
      </c>
      <c r="BP173" s="517">
        <v>0</v>
      </c>
      <c r="BQ173" s="289">
        <f t="shared" si="4"/>
        <v>-12.000781103400001</v>
      </c>
      <c r="BR173" s="289">
        <v>2728.4569999999999</v>
      </c>
      <c r="BS173" s="289">
        <f t="shared" si="5"/>
        <v>1905.605</v>
      </c>
      <c r="BT173" s="289">
        <v>28</v>
      </c>
      <c r="BU173" s="289">
        <v>0</v>
      </c>
      <c r="BV173" s="289">
        <v>123</v>
      </c>
      <c r="BW173" s="289">
        <v>217.49700000000001</v>
      </c>
      <c r="BX173" s="289">
        <v>242.35499999999999</v>
      </c>
      <c r="CC173" s="517"/>
      <c r="CD173" s="85"/>
      <c r="CE173" s="517"/>
    </row>
    <row r="174" spans="1:83" ht="13">
      <c r="A174" s="1">
        <v>2004</v>
      </c>
      <c r="B174" s="2" t="s">
        <v>243</v>
      </c>
      <c r="C174" s="289">
        <v>10533</v>
      </c>
      <c r="D174" s="289">
        <v>255</v>
      </c>
      <c r="E174" s="289">
        <v>524</v>
      </c>
      <c r="F174" s="289">
        <v>1280</v>
      </c>
      <c r="G174" s="289">
        <v>922</v>
      </c>
      <c r="H174" s="289">
        <v>6222</v>
      </c>
      <c r="I174" s="289">
        <v>1011</v>
      </c>
      <c r="J174" s="289">
        <v>295</v>
      </c>
      <c r="K174" s="289">
        <v>62</v>
      </c>
      <c r="L174" s="289">
        <v>95</v>
      </c>
      <c r="M174" s="289">
        <v>649</v>
      </c>
      <c r="N174" s="290">
        <v>322</v>
      </c>
      <c r="O174" s="290">
        <v>172</v>
      </c>
      <c r="P174" s="624">
        <v>28040.29</v>
      </c>
      <c r="Q174" s="624">
        <v>18495.431</v>
      </c>
      <c r="R174" s="624">
        <v>42</v>
      </c>
      <c r="S174" s="289">
        <v>0</v>
      </c>
      <c r="T174" s="289">
        <v>954</v>
      </c>
      <c r="U174" s="716">
        <v>2.6257714572224639E-4</v>
      </c>
      <c r="V174" s="289">
        <v>3686.9279601100002</v>
      </c>
      <c r="W174" s="743">
        <v>0.55596992999999995</v>
      </c>
      <c r="X174" s="289">
        <v>500</v>
      </c>
      <c r="Y174" s="289">
        <v>392</v>
      </c>
      <c r="Z174" s="289">
        <v>303061</v>
      </c>
      <c r="AA174" s="289">
        <v>0</v>
      </c>
      <c r="AB174" s="290">
        <v>149</v>
      </c>
      <c r="AC174" s="289">
        <v>0</v>
      </c>
      <c r="AD174" s="289">
        <v>5290.0559999999996</v>
      </c>
      <c r="AE174" s="289">
        <v>0</v>
      </c>
      <c r="AF174" s="289">
        <v>0</v>
      </c>
      <c r="AG174" s="289">
        <v>10571</v>
      </c>
      <c r="AH174" s="289">
        <v>1521</v>
      </c>
      <c r="AI174" s="289">
        <v>2770</v>
      </c>
      <c r="AJ174" s="289">
        <v>0</v>
      </c>
      <c r="AK174" s="289">
        <v>53.770499999999998</v>
      </c>
      <c r="AL174" s="289">
        <v>84300</v>
      </c>
      <c r="AM174" s="622">
        <v>0.39242367</v>
      </c>
      <c r="AN174" s="289">
        <v>0</v>
      </c>
      <c r="AO174" s="289">
        <v>-512.80690956000001</v>
      </c>
      <c r="AP174" s="289">
        <v>0</v>
      </c>
      <c r="AQ174" s="289">
        <v>0</v>
      </c>
      <c r="AR174" s="289">
        <v>-755.5537296</v>
      </c>
      <c r="AS174" s="289">
        <v>149.15960000000001</v>
      </c>
      <c r="AT174" s="289">
        <v>500</v>
      </c>
      <c r="AU174" s="289">
        <v>175</v>
      </c>
      <c r="AV174" s="625">
        <v>324499</v>
      </c>
      <c r="AW174" s="289">
        <v>-5.3678999999999997</v>
      </c>
      <c r="AX174" s="625">
        <v>119.95833333</v>
      </c>
      <c r="AY174" s="289">
        <v>2312</v>
      </c>
      <c r="AZ174" s="289">
        <v>497</v>
      </c>
      <c r="BA174" s="290">
        <v>258</v>
      </c>
      <c r="BB174" s="289">
        <v>0</v>
      </c>
      <c r="BC174" s="289">
        <v>1847</v>
      </c>
      <c r="BD174" s="289">
        <v>201.86279999999999</v>
      </c>
      <c r="BE174" s="289">
        <v>347033.69576163002</v>
      </c>
      <c r="BF174" s="289">
        <v>0</v>
      </c>
      <c r="BG174" s="289">
        <v>11</v>
      </c>
      <c r="BH174" s="289">
        <v>-86.125200000000007</v>
      </c>
      <c r="BI174" s="289">
        <v>7203.0559999999996</v>
      </c>
      <c r="BJ174" s="289">
        <v>-216.4581</v>
      </c>
      <c r="BK174" s="289">
        <v>0</v>
      </c>
      <c r="BL174" s="289">
        <v>0</v>
      </c>
      <c r="BM174" s="289">
        <v>3572</v>
      </c>
      <c r="BN174" s="289">
        <v>0</v>
      </c>
      <c r="BO174" s="517">
        <v>0</v>
      </c>
      <c r="BP174" s="517">
        <v>0</v>
      </c>
      <c r="BQ174" s="289">
        <f t="shared" si="4"/>
        <v>-10.851104015400001</v>
      </c>
      <c r="BR174" s="289">
        <v>5084.4489999999996</v>
      </c>
      <c r="BS174" s="289">
        <f t="shared" si="5"/>
        <v>-205.60699999999997</v>
      </c>
      <c r="BT174" s="289">
        <v>31</v>
      </c>
      <c r="BU174" s="289">
        <v>0</v>
      </c>
      <c r="BV174" s="289">
        <v>96</v>
      </c>
      <c r="BW174" s="289">
        <v>398.19600000000003</v>
      </c>
      <c r="BX174" s="289">
        <v>218.84</v>
      </c>
      <c r="CC174" s="517"/>
      <c r="CD174" s="85"/>
      <c r="CE174" s="517"/>
    </row>
    <row r="175" spans="1:83" ht="13">
      <c r="A175" s="1">
        <v>2017</v>
      </c>
      <c r="B175" s="2" t="s">
        <v>248</v>
      </c>
      <c r="C175" s="289">
        <v>1027</v>
      </c>
      <c r="D175" s="289">
        <v>19</v>
      </c>
      <c r="E175" s="289">
        <v>31</v>
      </c>
      <c r="F175" s="289">
        <v>92</v>
      </c>
      <c r="G175" s="289">
        <v>77</v>
      </c>
      <c r="H175" s="289">
        <v>540</v>
      </c>
      <c r="I175" s="289">
        <v>212</v>
      </c>
      <c r="J175" s="289">
        <v>40</v>
      </c>
      <c r="K175" s="289">
        <v>13</v>
      </c>
      <c r="L175" s="289">
        <v>10</v>
      </c>
      <c r="M175" s="289">
        <v>137</v>
      </c>
      <c r="N175" s="290">
        <v>4</v>
      </c>
      <c r="O175" s="290">
        <v>8</v>
      </c>
      <c r="P175" s="624">
        <v>17662.901000000002</v>
      </c>
      <c r="Q175" s="624">
        <v>14603.86033333</v>
      </c>
      <c r="R175" s="624">
        <v>5</v>
      </c>
      <c r="S175" s="289">
        <v>0</v>
      </c>
      <c r="T175" s="289">
        <v>109</v>
      </c>
      <c r="U175" s="716">
        <v>4.8809446599131265E-4</v>
      </c>
      <c r="V175" s="289">
        <v>501.07704173000002</v>
      </c>
      <c r="W175" s="743">
        <v>1</v>
      </c>
      <c r="X175" s="289">
        <v>1220</v>
      </c>
      <c r="Y175" s="289">
        <v>0</v>
      </c>
      <c r="Z175" s="289">
        <v>24465</v>
      </c>
      <c r="AA175" s="289">
        <v>0</v>
      </c>
      <c r="AB175" s="290">
        <v>21</v>
      </c>
      <c r="AC175" s="289">
        <v>0</v>
      </c>
      <c r="AD175" s="289">
        <v>0</v>
      </c>
      <c r="AE175" s="289">
        <v>0</v>
      </c>
      <c r="AF175" s="289">
        <v>0</v>
      </c>
      <c r="AG175" s="289">
        <v>1024</v>
      </c>
      <c r="AH175" s="289">
        <v>110</v>
      </c>
      <c r="AI175" s="289">
        <v>500</v>
      </c>
      <c r="AJ175" s="289">
        <v>0</v>
      </c>
      <c r="AK175" s="289">
        <v>3.2595999999999998</v>
      </c>
      <c r="AL175" s="289">
        <v>8224</v>
      </c>
      <c r="AM175" s="622">
        <v>2.307323E-2</v>
      </c>
      <c r="AN175" s="289">
        <v>0</v>
      </c>
      <c r="AO175" s="289">
        <v>-69.693732019999999</v>
      </c>
      <c r="AP175" s="289">
        <v>0</v>
      </c>
      <c r="AQ175" s="289">
        <v>0</v>
      </c>
      <c r="AR175" s="289">
        <v>-73.189577060000005</v>
      </c>
      <c r="AS175" s="289">
        <v>12.742800000000001</v>
      </c>
      <c r="AT175" s="289">
        <v>48</v>
      </c>
      <c r="AU175" s="289">
        <v>13</v>
      </c>
      <c r="AV175" s="625">
        <v>67281</v>
      </c>
      <c r="AW175" s="289">
        <v>-0.52</v>
      </c>
      <c r="AX175" s="625">
        <v>7.5833333300000003</v>
      </c>
      <c r="AY175" s="289">
        <v>159</v>
      </c>
      <c r="AZ175" s="289">
        <v>39</v>
      </c>
      <c r="BA175" s="290">
        <v>13</v>
      </c>
      <c r="BB175" s="289">
        <v>12005</v>
      </c>
      <c r="BC175" s="289">
        <v>168</v>
      </c>
      <c r="BD175" s="289">
        <v>14.5989</v>
      </c>
      <c r="BE175" s="289">
        <v>66993.992901620004</v>
      </c>
      <c r="BF175" s="289">
        <v>0</v>
      </c>
      <c r="BG175" s="289">
        <v>0</v>
      </c>
      <c r="BH175" s="289">
        <v>-8.3428000000000004</v>
      </c>
      <c r="BI175" s="289">
        <v>110</v>
      </c>
      <c r="BJ175" s="289">
        <v>-1.0510999999999999</v>
      </c>
      <c r="BK175" s="289">
        <v>0</v>
      </c>
      <c r="BL175" s="289">
        <v>0</v>
      </c>
      <c r="BM175" s="289">
        <v>349</v>
      </c>
      <c r="BN175" s="289">
        <v>0</v>
      </c>
      <c r="BO175" s="517">
        <v>0</v>
      </c>
      <c r="BP175" s="517">
        <v>0</v>
      </c>
      <c r="BQ175" s="289">
        <f t="shared" si="4"/>
        <v>-1.0511333376000001</v>
      </c>
      <c r="BR175" s="289">
        <v>0</v>
      </c>
      <c r="BS175" s="289">
        <f t="shared" si="5"/>
        <v>0</v>
      </c>
      <c r="BT175" s="289">
        <v>2</v>
      </c>
      <c r="BU175" s="289">
        <v>0</v>
      </c>
      <c r="BV175" s="289">
        <v>22</v>
      </c>
      <c r="BW175" s="289">
        <v>104.788</v>
      </c>
      <c r="BX175" s="289">
        <v>21.146999999999998</v>
      </c>
      <c r="CC175" s="517"/>
      <c r="CD175" s="85"/>
      <c r="CE175" s="517"/>
    </row>
    <row r="176" spans="1:83" ht="13">
      <c r="A176" s="1">
        <v>3001</v>
      </c>
      <c r="B176" s="2" t="s">
        <v>783</v>
      </c>
      <c r="C176" s="289">
        <v>31037</v>
      </c>
      <c r="D176" s="289">
        <v>605</v>
      </c>
      <c r="E176" s="289">
        <v>1279</v>
      </c>
      <c r="F176" s="289">
        <v>3615</v>
      </c>
      <c r="G176" s="289">
        <v>2736</v>
      </c>
      <c r="H176" s="289">
        <v>17320</v>
      </c>
      <c r="I176" s="289">
        <v>3778</v>
      </c>
      <c r="J176" s="289">
        <v>1207</v>
      </c>
      <c r="K176" s="289">
        <v>297</v>
      </c>
      <c r="L176" s="289">
        <v>266</v>
      </c>
      <c r="M176" s="289">
        <v>2325</v>
      </c>
      <c r="N176" s="290">
        <v>1060</v>
      </c>
      <c r="O176" s="290">
        <v>224</v>
      </c>
      <c r="P176" s="624">
        <v>82574.095666669993</v>
      </c>
      <c r="Q176" s="624">
        <v>61125.307333329998</v>
      </c>
      <c r="R176" s="624">
        <v>120</v>
      </c>
      <c r="S176" s="289">
        <v>0</v>
      </c>
      <c r="T176" s="289">
        <v>2682</v>
      </c>
      <c r="U176" s="716">
        <v>4.2457317552164683E-3</v>
      </c>
      <c r="V176" s="289">
        <v>8196.9927425799997</v>
      </c>
      <c r="W176" s="743">
        <v>0.55660699000000002</v>
      </c>
      <c r="X176" s="289">
        <v>4400</v>
      </c>
      <c r="Y176" s="289">
        <v>392</v>
      </c>
      <c r="Z176" s="289">
        <v>758714</v>
      </c>
      <c r="AA176" s="289">
        <v>0</v>
      </c>
      <c r="AB176" s="290">
        <v>854</v>
      </c>
      <c r="AC176" s="289">
        <v>0</v>
      </c>
      <c r="AD176" s="289">
        <v>0</v>
      </c>
      <c r="AE176" s="289">
        <v>0</v>
      </c>
      <c r="AF176" s="289">
        <v>0</v>
      </c>
      <c r="AG176" s="289">
        <v>30837</v>
      </c>
      <c r="AH176" s="289">
        <v>4194</v>
      </c>
      <c r="AI176" s="289">
        <v>2600</v>
      </c>
      <c r="AJ176" s="289">
        <v>0</v>
      </c>
      <c r="AK176" s="289">
        <v>127.00830000000001</v>
      </c>
      <c r="AL176" s="289"/>
      <c r="AM176" s="622">
        <v>1.53539969</v>
      </c>
      <c r="AN176" s="289">
        <v>0</v>
      </c>
      <c r="AO176" s="289">
        <v>-1510.04803844</v>
      </c>
      <c r="AP176" s="289">
        <v>0</v>
      </c>
      <c r="AQ176" s="289">
        <v>0</v>
      </c>
      <c r="AR176" s="289">
        <v>-2204.0497927800002</v>
      </c>
      <c r="AS176" s="289">
        <v>493.49939999999998</v>
      </c>
      <c r="AT176" s="289">
        <v>2026</v>
      </c>
      <c r="AU176" s="289">
        <v>453</v>
      </c>
      <c r="AV176" s="625">
        <v>743581</v>
      </c>
      <c r="AW176" s="289">
        <v>-15.659000000000001</v>
      </c>
      <c r="AX176" s="625">
        <v>200.24999997</v>
      </c>
      <c r="AY176" s="289">
        <v>6411</v>
      </c>
      <c r="AZ176" s="289">
        <v>1586</v>
      </c>
      <c r="BA176" s="290">
        <v>850</v>
      </c>
      <c r="BB176" s="289">
        <v>0</v>
      </c>
      <c r="BC176" s="289">
        <v>4511</v>
      </c>
      <c r="BD176" s="289">
        <v>556.61580000000004</v>
      </c>
      <c r="BE176" s="289">
        <v>754486.90237158001</v>
      </c>
      <c r="BF176" s="289">
        <v>0</v>
      </c>
      <c r="BG176" s="289">
        <v>11</v>
      </c>
      <c r="BH176" s="289">
        <v>-251.23849999999999</v>
      </c>
      <c r="BI176" s="289">
        <v>4586</v>
      </c>
      <c r="BJ176" s="289">
        <v>-31.6541</v>
      </c>
      <c r="BK176" s="289">
        <v>0</v>
      </c>
      <c r="BL176" s="289">
        <v>0</v>
      </c>
      <c r="BM176" s="289">
        <v>0</v>
      </c>
      <c r="BN176" s="289">
        <v>0</v>
      </c>
      <c r="BO176" s="517">
        <v>0</v>
      </c>
      <c r="BP176" s="517">
        <v>0</v>
      </c>
      <c r="BQ176" s="289">
        <f t="shared" si="4"/>
        <v>-31.654100323800002</v>
      </c>
      <c r="BR176" s="289">
        <v>0</v>
      </c>
      <c r="BS176" s="289">
        <f t="shared" si="5"/>
        <v>0</v>
      </c>
      <c r="BT176" s="289">
        <v>73</v>
      </c>
      <c r="BU176" s="289">
        <v>0</v>
      </c>
      <c r="BV176" s="289">
        <v>288</v>
      </c>
      <c r="BW176" s="289">
        <v>303.887</v>
      </c>
      <c r="BX176" s="289">
        <v>646.54899999999998</v>
      </c>
      <c r="BY176" s="85"/>
      <c r="BZ176" s="85"/>
      <c r="CA176" s="85"/>
      <c r="CB176" s="85"/>
      <c r="CC176" s="517"/>
      <c r="CD176" s="85"/>
      <c r="CE176" s="517"/>
    </row>
    <row r="177" spans="1:83" ht="13">
      <c r="A177" s="1">
        <v>3003</v>
      </c>
      <c r="B177" s="2" t="s">
        <v>785</v>
      </c>
      <c r="C177" s="289">
        <v>55543</v>
      </c>
      <c r="D177" s="289">
        <v>1184</v>
      </c>
      <c r="E177" s="289">
        <v>2423</v>
      </c>
      <c r="F177" s="289">
        <v>6755</v>
      </c>
      <c r="G177" s="289">
        <v>4861</v>
      </c>
      <c r="H177" s="289">
        <v>31112</v>
      </c>
      <c r="I177" s="289">
        <v>6494</v>
      </c>
      <c r="J177" s="289">
        <v>2059</v>
      </c>
      <c r="K177" s="289">
        <v>441</v>
      </c>
      <c r="L177" s="289">
        <v>477</v>
      </c>
      <c r="M177" s="289">
        <v>4048</v>
      </c>
      <c r="N177" s="290">
        <v>3080</v>
      </c>
      <c r="O177" s="290">
        <v>565</v>
      </c>
      <c r="P177" s="624">
        <v>150647.84266667001</v>
      </c>
      <c r="Q177" s="624">
        <v>72173.526333329995</v>
      </c>
      <c r="R177" s="624">
        <v>239</v>
      </c>
      <c r="S177" s="289">
        <v>0</v>
      </c>
      <c r="T177" s="289">
        <v>4497</v>
      </c>
      <c r="U177" s="716">
        <v>5.6217405534767801E-3</v>
      </c>
      <c r="V177" s="289">
        <v>9622.3810561499995</v>
      </c>
      <c r="W177" s="743">
        <v>0.54688146999999998</v>
      </c>
      <c r="X177" s="289">
        <v>4500</v>
      </c>
      <c r="Y177" s="289">
        <v>784</v>
      </c>
      <c r="Z177" s="289">
        <v>1352585</v>
      </c>
      <c r="AA177" s="289">
        <v>0</v>
      </c>
      <c r="AB177" s="290">
        <v>1568</v>
      </c>
      <c r="AC177" s="289">
        <v>0</v>
      </c>
      <c r="AD177" s="289">
        <v>0</v>
      </c>
      <c r="AE177" s="289">
        <v>0</v>
      </c>
      <c r="AF177" s="289">
        <v>0</v>
      </c>
      <c r="AG177" s="289">
        <v>55329</v>
      </c>
      <c r="AH177" s="289">
        <v>7889</v>
      </c>
      <c r="AI177" s="289">
        <v>400</v>
      </c>
      <c r="AJ177" s="289">
        <v>0</v>
      </c>
      <c r="AK177" s="289">
        <v>234.5883</v>
      </c>
      <c r="AL177" s="289"/>
      <c r="AM177" s="622">
        <v>3.0632813400000001</v>
      </c>
      <c r="AN177" s="289">
        <v>0</v>
      </c>
      <c r="AO177" s="289">
        <v>-2734.6037252000001</v>
      </c>
      <c r="AP177" s="289">
        <v>0</v>
      </c>
      <c r="AQ177" s="289">
        <v>0</v>
      </c>
      <c r="AR177" s="289">
        <v>-3954.5958097399998</v>
      </c>
      <c r="AS177" s="289">
        <v>975.14700000000005</v>
      </c>
      <c r="AT177" s="289">
        <v>3948</v>
      </c>
      <c r="AU177" s="289">
        <v>791</v>
      </c>
      <c r="AV177" s="625">
        <v>1340774</v>
      </c>
      <c r="AW177" s="289">
        <v>-28.0959</v>
      </c>
      <c r="AX177" s="625">
        <v>357.58333333000002</v>
      </c>
      <c r="AY177" s="289">
        <v>9982</v>
      </c>
      <c r="AZ177" s="289">
        <v>2981</v>
      </c>
      <c r="BA177" s="290">
        <v>1629</v>
      </c>
      <c r="BB177" s="289">
        <v>0</v>
      </c>
      <c r="BC177" s="289">
        <v>8400</v>
      </c>
      <c r="BD177" s="289">
        <v>1047.0057999999999</v>
      </c>
      <c r="BE177" s="289">
        <v>1371621.5600209001</v>
      </c>
      <c r="BF177" s="289">
        <v>0</v>
      </c>
      <c r="BG177" s="289">
        <v>22</v>
      </c>
      <c r="BH177" s="289">
        <v>-450.78230000000002</v>
      </c>
      <c r="BI177" s="289">
        <v>8673</v>
      </c>
      <c r="BJ177" s="289">
        <v>-56.795099999999998</v>
      </c>
      <c r="BK177" s="289">
        <v>0</v>
      </c>
      <c r="BL177" s="289">
        <v>0</v>
      </c>
      <c r="BM177" s="289">
        <v>0</v>
      </c>
      <c r="BN177" s="289">
        <v>0</v>
      </c>
      <c r="BO177" s="517">
        <v>0</v>
      </c>
      <c r="BP177" s="517">
        <v>0</v>
      </c>
      <c r="BQ177" s="289">
        <f t="shared" si="4"/>
        <v>-56.7950746446</v>
      </c>
      <c r="BR177" s="289">
        <v>0</v>
      </c>
      <c r="BS177" s="289">
        <f t="shared" si="5"/>
        <v>0</v>
      </c>
      <c r="BT177" s="289">
        <v>134</v>
      </c>
      <c r="BU177" s="289">
        <v>0</v>
      </c>
      <c r="BV177" s="289">
        <v>503</v>
      </c>
      <c r="BW177" s="289">
        <v>303.887</v>
      </c>
      <c r="BX177" s="289">
        <v>1159.9670000000001</v>
      </c>
      <c r="BY177" s="85"/>
      <c r="BZ177" s="85"/>
      <c r="CA177" s="85"/>
      <c r="CB177" s="85"/>
      <c r="CC177" s="517"/>
      <c r="CD177" s="85"/>
      <c r="CE177" s="517"/>
    </row>
    <row r="178" spans="1:83" ht="13">
      <c r="A178" s="1">
        <v>3004</v>
      </c>
      <c r="B178" s="2" t="s">
        <v>786</v>
      </c>
      <c r="C178" s="289">
        <v>80977</v>
      </c>
      <c r="D178" s="289">
        <v>1606</v>
      </c>
      <c r="E178" s="289">
        <v>3389</v>
      </c>
      <c r="F178" s="289">
        <v>9608</v>
      </c>
      <c r="G178" s="289">
        <v>7220</v>
      </c>
      <c r="H178" s="289">
        <v>45846</v>
      </c>
      <c r="I178" s="289">
        <v>9236</v>
      </c>
      <c r="J178" s="289">
        <v>3010</v>
      </c>
      <c r="K178" s="289">
        <v>614</v>
      </c>
      <c r="L178" s="289">
        <v>690</v>
      </c>
      <c r="M178" s="289">
        <v>5546</v>
      </c>
      <c r="N178" s="290">
        <v>4272</v>
      </c>
      <c r="O178" s="290">
        <v>710</v>
      </c>
      <c r="P178" s="624">
        <v>162598.715</v>
      </c>
      <c r="Q178" s="624">
        <v>97975.720666669993</v>
      </c>
      <c r="R178" s="624">
        <v>266</v>
      </c>
      <c r="S178" s="289">
        <v>0</v>
      </c>
      <c r="T178" s="289">
        <v>6320</v>
      </c>
      <c r="U178" s="716">
        <v>4.8503352993335682E-3</v>
      </c>
      <c r="V178" s="289">
        <v>423.84579712999999</v>
      </c>
      <c r="W178" s="743">
        <v>0.54487766000000004</v>
      </c>
      <c r="X178" s="289">
        <v>7400</v>
      </c>
      <c r="Y178" s="289">
        <v>1568</v>
      </c>
      <c r="Z178" s="289">
        <v>2095333</v>
      </c>
      <c r="AA178" s="289">
        <v>0</v>
      </c>
      <c r="AB178" s="290">
        <v>2157</v>
      </c>
      <c r="AC178" s="289">
        <v>0</v>
      </c>
      <c r="AD178" s="289">
        <v>0</v>
      </c>
      <c r="AE178" s="289">
        <v>0</v>
      </c>
      <c r="AF178" s="289">
        <v>0</v>
      </c>
      <c r="AG178" s="289">
        <v>80529</v>
      </c>
      <c r="AH178" s="289">
        <v>11169</v>
      </c>
      <c r="AI178" s="289">
        <v>1100</v>
      </c>
      <c r="AJ178" s="289">
        <v>0</v>
      </c>
      <c r="AK178" s="289">
        <v>337.70760000000001</v>
      </c>
      <c r="AL178" s="289"/>
      <c r="AM178" s="622">
        <v>4.3623123100000001</v>
      </c>
      <c r="AN178" s="289">
        <v>0</v>
      </c>
      <c r="AO178" s="289">
        <v>-3841.9467960500001</v>
      </c>
      <c r="AP178" s="289">
        <v>0</v>
      </c>
      <c r="AQ178" s="289">
        <v>0</v>
      </c>
      <c r="AR178" s="289">
        <v>-5755.74555771</v>
      </c>
      <c r="AS178" s="289">
        <v>1378.1193000000001</v>
      </c>
      <c r="AT178" s="289">
        <v>5549</v>
      </c>
      <c r="AU178" s="289">
        <v>1224</v>
      </c>
      <c r="AV178" s="625">
        <v>1784614</v>
      </c>
      <c r="AW178" s="289">
        <v>-40.892400000000002</v>
      </c>
      <c r="AX178" s="625">
        <v>525.45833336999999</v>
      </c>
      <c r="AY178" s="289">
        <v>17686</v>
      </c>
      <c r="AZ178" s="289">
        <v>4123</v>
      </c>
      <c r="BA178" s="290">
        <v>2192</v>
      </c>
      <c r="BB178" s="289">
        <v>0</v>
      </c>
      <c r="BC178" s="289">
        <v>12382</v>
      </c>
      <c r="BD178" s="289">
        <v>1482.3181</v>
      </c>
      <c r="BE178" s="289">
        <v>1841669.5911956001</v>
      </c>
      <c r="BF178" s="289">
        <v>0</v>
      </c>
      <c r="BG178" s="289">
        <v>44</v>
      </c>
      <c r="BH178" s="289">
        <v>-656.09439999999995</v>
      </c>
      <c r="BI178" s="289">
        <v>12737</v>
      </c>
      <c r="BJ178" s="289">
        <v>-82.662800000000004</v>
      </c>
      <c r="BK178" s="289">
        <v>0</v>
      </c>
      <c r="BL178" s="289">
        <v>0</v>
      </c>
      <c r="BM178" s="289">
        <v>0</v>
      </c>
      <c r="BN178" s="289">
        <v>0</v>
      </c>
      <c r="BO178" s="517">
        <v>0</v>
      </c>
      <c r="BP178" s="517">
        <v>0</v>
      </c>
      <c r="BQ178" s="289">
        <f t="shared" si="4"/>
        <v>-82.662809124600003</v>
      </c>
      <c r="BR178" s="289">
        <v>0</v>
      </c>
      <c r="BS178" s="289">
        <f t="shared" si="5"/>
        <v>0</v>
      </c>
      <c r="BT178" s="289">
        <v>193</v>
      </c>
      <c r="BU178" s="289">
        <v>0</v>
      </c>
      <c r="BV178" s="289">
        <v>720</v>
      </c>
      <c r="BW178" s="289">
        <v>272.45</v>
      </c>
      <c r="BX178" s="289">
        <v>1688.59</v>
      </c>
      <c r="BY178" s="85"/>
      <c r="BZ178" s="85"/>
      <c r="CA178" s="85"/>
      <c r="CB178" s="85"/>
      <c r="CC178" s="517"/>
      <c r="CD178" s="85"/>
      <c r="CE178" s="517"/>
    </row>
    <row r="179" spans="1:83" ht="13">
      <c r="A179" s="1">
        <v>3006</v>
      </c>
      <c r="B179" s="2" t="s">
        <v>872</v>
      </c>
      <c r="C179" s="289">
        <v>27410</v>
      </c>
      <c r="D179" s="289">
        <v>534</v>
      </c>
      <c r="E179" s="289">
        <v>1181</v>
      </c>
      <c r="F179" s="289">
        <v>3359</v>
      </c>
      <c r="G179" s="289">
        <v>2273</v>
      </c>
      <c r="H179" s="289">
        <v>15585</v>
      </c>
      <c r="I179" s="289">
        <v>3152</v>
      </c>
      <c r="J179" s="289">
        <v>975</v>
      </c>
      <c r="K179" s="289">
        <v>241</v>
      </c>
      <c r="L179" s="289">
        <v>187</v>
      </c>
      <c r="M179" s="289">
        <v>1767</v>
      </c>
      <c r="N179" s="290">
        <v>725</v>
      </c>
      <c r="O179" s="290">
        <v>281</v>
      </c>
      <c r="P179" s="624">
        <v>77259.506333330006</v>
      </c>
      <c r="Q179" s="624">
        <v>37484.346333330002</v>
      </c>
      <c r="R179" s="624">
        <v>86</v>
      </c>
      <c r="S179" s="289">
        <v>0</v>
      </c>
      <c r="T179" s="289">
        <v>2470</v>
      </c>
      <c r="U179" s="716">
        <v>3.6799857184564174E-3</v>
      </c>
      <c r="V179" s="289">
        <v>-4064.0339036</v>
      </c>
      <c r="W179" s="743">
        <v>0.56125820999999998</v>
      </c>
      <c r="X179" s="289">
        <v>1250</v>
      </c>
      <c r="Y179" s="289">
        <v>392</v>
      </c>
      <c r="Z179" s="289">
        <v>875371</v>
      </c>
      <c r="AA179" s="289">
        <v>0</v>
      </c>
      <c r="AB179" s="290">
        <v>436</v>
      </c>
      <c r="AC179" s="289">
        <v>0</v>
      </c>
      <c r="AD179" s="289">
        <v>0</v>
      </c>
      <c r="AE179" s="289">
        <v>0</v>
      </c>
      <c r="AF179" s="289">
        <v>0</v>
      </c>
      <c r="AG179" s="289">
        <v>27300</v>
      </c>
      <c r="AH179" s="289">
        <v>3793</v>
      </c>
      <c r="AI179" s="289">
        <v>5005</v>
      </c>
      <c r="AJ179" s="289">
        <v>0</v>
      </c>
      <c r="AK179" s="289">
        <v>122.5162</v>
      </c>
      <c r="AL179" s="289"/>
      <c r="AM179" s="622">
        <v>0.82155319000000004</v>
      </c>
      <c r="AN179" s="289">
        <v>0</v>
      </c>
      <c r="AO179" s="289">
        <v>-1296.4053836400001</v>
      </c>
      <c r="AP179" s="289">
        <v>0</v>
      </c>
      <c r="AQ179" s="289">
        <v>0</v>
      </c>
      <c r="AR179" s="289">
        <v>-1951.2455603000001</v>
      </c>
      <c r="AS179" s="289">
        <v>368.55529999999999</v>
      </c>
      <c r="AT179" s="289">
        <v>1524</v>
      </c>
      <c r="AU179" s="289">
        <v>330</v>
      </c>
      <c r="AV179" s="625">
        <v>595976</v>
      </c>
      <c r="AW179" s="289">
        <v>-13.8629</v>
      </c>
      <c r="AX179" s="625">
        <v>202.16666666</v>
      </c>
      <c r="AY179" s="289">
        <v>7852</v>
      </c>
      <c r="AZ179" s="289">
        <v>1210</v>
      </c>
      <c r="BA179" s="290">
        <v>649</v>
      </c>
      <c r="BB179" s="289">
        <v>0</v>
      </c>
      <c r="BC179" s="289">
        <v>4212</v>
      </c>
      <c r="BD179" s="289">
        <v>503.39620000000002</v>
      </c>
      <c r="BE179" s="289">
        <v>612524.86210223997</v>
      </c>
      <c r="BF179" s="289">
        <v>0</v>
      </c>
      <c r="BG179" s="289">
        <v>11</v>
      </c>
      <c r="BH179" s="289">
        <v>-222.42150000000001</v>
      </c>
      <c r="BI179" s="289">
        <v>4185</v>
      </c>
      <c r="BJ179" s="289">
        <v>-28.023399999999999</v>
      </c>
      <c r="BK179" s="289">
        <v>0</v>
      </c>
      <c r="BL179" s="289">
        <v>0</v>
      </c>
      <c r="BM179" s="289">
        <v>0</v>
      </c>
      <c r="BN179" s="289">
        <v>0</v>
      </c>
      <c r="BO179" s="517">
        <v>0</v>
      </c>
      <c r="BP179" s="517">
        <v>0</v>
      </c>
      <c r="BQ179" s="289">
        <f t="shared" si="4"/>
        <v>-28.02337902</v>
      </c>
      <c r="BR179" s="289">
        <v>0</v>
      </c>
      <c r="BS179" s="289">
        <f t="shared" si="5"/>
        <v>0</v>
      </c>
      <c r="BT179" s="289">
        <v>70</v>
      </c>
      <c r="BU179" s="289">
        <v>0</v>
      </c>
      <c r="BV179" s="289">
        <v>249</v>
      </c>
      <c r="BW179" s="289">
        <v>366.76</v>
      </c>
      <c r="BX179" s="289">
        <v>569.81500000000005</v>
      </c>
      <c r="CC179" s="517"/>
      <c r="CD179" s="85"/>
      <c r="CE179" s="517"/>
    </row>
    <row r="180" spans="1:83" ht="13">
      <c r="A180" s="1">
        <v>3007</v>
      </c>
      <c r="B180" s="2" t="s">
        <v>873</v>
      </c>
      <c r="C180" s="289">
        <v>30283</v>
      </c>
      <c r="D180" s="289">
        <v>502</v>
      </c>
      <c r="E180" s="289">
        <v>1211</v>
      </c>
      <c r="F180" s="289">
        <v>3344</v>
      </c>
      <c r="G180" s="289">
        <v>2433</v>
      </c>
      <c r="H180" s="289">
        <v>17456</v>
      </c>
      <c r="I180" s="289">
        <v>3726</v>
      </c>
      <c r="J180" s="289">
        <v>1195</v>
      </c>
      <c r="K180" s="289">
        <v>304</v>
      </c>
      <c r="L180" s="289">
        <v>254</v>
      </c>
      <c r="M180" s="289">
        <v>2450</v>
      </c>
      <c r="N180" s="290">
        <v>776</v>
      </c>
      <c r="O180" s="290">
        <v>279</v>
      </c>
      <c r="P180" s="624">
        <v>133857.55833333</v>
      </c>
      <c r="Q180" s="624">
        <v>80979.575666670004</v>
      </c>
      <c r="R180" s="624">
        <v>87</v>
      </c>
      <c r="S180" s="289">
        <v>0</v>
      </c>
      <c r="T180" s="289">
        <v>2815</v>
      </c>
      <c r="U180" s="716">
        <v>6.2785948755624977E-3</v>
      </c>
      <c r="V180" s="289">
        <v>4781.6320877099997</v>
      </c>
      <c r="W180" s="743">
        <v>0.61125598999999997</v>
      </c>
      <c r="X180" s="289">
        <v>4665</v>
      </c>
      <c r="Y180" s="289">
        <v>392</v>
      </c>
      <c r="Z180" s="289">
        <v>803489</v>
      </c>
      <c r="AA180" s="289">
        <v>0</v>
      </c>
      <c r="AB180" s="290">
        <v>608</v>
      </c>
      <c r="AC180" s="289">
        <v>0</v>
      </c>
      <c r="AD180" s="289">
        <v>0</v>
      </c>
      <c r="AE180" s="289">
        <v>0</v>
      </c>
      <c r="AF180" s="289">
        <v>0</v>
      </c>
      <c r="AG180" s="289">
        <v>30171</v>
      </c>
      <c r="AH180" s="289">
        <v>3825</v>
      </c>
      <c r="AI180" s="289">
        <v>1500</v>
      </c>
      <c r="AJ180" s="289">
        <v>0</v>
      </c>
      <c r="AK180" s="289">
        <v>118.81100000000001</v>
      </c>
      <c r="AL180" s="289"/>
      <c r="AM180" s="622">
        <v>1.22202751</v>
      </c>
      <c r="AN180" s="289">
        <v>0</v>
      </c>
      <c r="AO180" s="289">
        <v>-1440.75994042</v>
      </c>
      <c r="AP180" s="289">
        <v>0</v>
      </c>
      <c r="AQ180" s="289">
        <v>0</v>
      </c>
      <c r="AR180" s="289">
        <v>-2156.4479780199999</v>
      </c>
      <c r="AS180" s="289">
        <v>439.74520000000001</v>
      </c>
      <c r="AT180" s="289">
        <v>1879</v>
      </c>
      <c r="AU180" s="289">
        <v>398</v>
      </c>
      <c r="AV180" s="625">
        <v>674266</v>
      </c>
      <c r="AW180" s="289">
        <v>-15.3208</v>
      </c>
      <c r="AX180" s="625">
        <v>164.25</v>
      </c>
      <c r="AY180" s="289">
        <v>6148</v>
      </c>
      <c r="AZ180" s="289">
        <v>1474</v>
      </c>
      <c r="BA180" s="290">
        <v>720</v>
      </c>
      <c r="BB180" s="289">
        <v>0</v>
      </c>
      <c r="BC180" s="289">
        <v>4210</v>
      </c>
      <c r="BD180" s="289">
        <v>507.64319999999998</v>
      </c>
      <c r="BE180" s="289">
        <v>697333.95914835006</v>
      </c>
      <c r="BF180" s="289">
        <v>0</v>
      </c>
      <c r="BG180" s="289">
        <v>11</v>
      </c>
      <c r="BH180" s="289">
        <v>-245.8124</v>
      </c>
      <c r="BI180" s="289">
        <v>4217</v>
      </c>
      <c r="BJ180" s="289">
        <v>-30.970500000000001</v>
      </c>
      <c r="BK180" s="289">
        <v>0</v>
      </c>
      <c r="BL180" s="289">
        <v>0</v>
      </c>
      <c r="BM180" s="289">
        <v>0</v>
      </c>
      <c r="BN180" s="289">
        <v>0</v>
      </c>
      <c r="BO180" s="517">
        <v>0</v>
      </c>
      <c r="BP180" s="517">
        <v>0</v>
      </c>
      <c r="BQ180" s="289">
        <f t="shared" si="4"/>
        <v>-30.9704530554</v>
      </c>
      <c r="BR180" s="289">
        <v>0</v>
      </c>
      <c r="BS180" s="289">
        <f t="shared" si="5"/>
        <v>0</v>
      </c>
      <c r="BT180" s="289">
        <v>68</v>
      </c>
      <c r="BU180" s="289">
        <v>0</v>
      </c>
      <c r="BV180" s="289">
        <v>288</v>
      </c>
      <c r="BW180" s="289">
        <v>576.33699999999999</v>
      </c>
      <c r="BX180" s="289">
        <v>631.053</v>
      </c>
      <c r="CC180" s="517"/>
      <c r="CD180" s="85"/>
      <c r="CE180" s="517"/>
    </row>
    <row r="181" spans="1:83" ht="13">
      <c r="A181" s="1">
        <v>3011</v>
      </c>
      <c r="B181" s="2" t="s">
        <v>787</v>
      </c>
      <c r="C181" s="289">
        <v>4540</v>
      </c>
      <c r="D181" s="289">
        <v>54</v>
      </c>
      <c r="E181" s="289">
        <v>143</v>
      </c>
      <c r="F181" s="289">
        <v>463</v>
      </c>
      <c r="G181" s="289">
        <v>355</v>
      </c>
      <c r="H181" s="289">
        <v>2550</v>
      </c>
      <c r="I181" s="289">
        <v>767</v>
      </c>
      <c r="J181" s="289">
        <v>157</v>
      </c>
      <c r="K181" s="289">
        <v>36</v>
      </c>
      <c r="L181" s="289">
        <v>35</v>
      </c>
      <c r="M181" s="289">
        <v>345</v>
      </c>
      <c r="N181" s="290">
        <v>31</v>
      </c>
      <c r="O181" s="290">
        <v>30</v>
      </c>
      <c r="P181" s="624">
        <v>32402.815666670002</v>
      </c>
      <c r="Q181" s="624">
        <v>15057.262000000001</v>
      </c>
      <c r="R181" s="624">
        <v>19</v>
      </c>
      <c r="S181" s="289">
        <v>0</v>
      </c>
      <c r="T181" s="289">
        <v>367</v>
      </c>
      <c r="U181" s="716">
        <v>6.4254965896942825E-4</v>
      </c>
      <c r="V181" s="289">
        <v>1288.4129335499999</v>
      </c>
      <c r="W181" s="743">
        <v>0.71660405999999999</v>
      </c>
      <c r="X181" s="289">
        <v>200</v>
      </c>
      <c r="Y181" s="289">
        <v>0</v>
      </c>
      <c r="Z181" s="289">
        <v>152833</v>
      </c>
      <c r="AA181" s="289">
        <v>0</v>
      </c>
      <c r="AB181" s="290">
        <v>113</v>
      </c>
      <c r="AC181" s="289">
        <v>0</v>
      </c>
      <c r="AD181" s="289">
        <v>0</v>
      </c>
      <c r="AE181" s="289">
        <v>0</v>
      </c>
      <c r="AF181" s="289">
        <v>0</v>
      </c>
      <c r="AG181" s="289">
        <v>4525</v>
      </c>
      <c r="AH181" s="289">
        <v>526</v>
      </c>
      <c r="AI181" s="289">
        <v>700</v>
      </c>
      <c r="AJ181" s="289">
        <v>0</v>
      </c>
      <c r="AK181" s="289">
        <v>14.8103</v>
      </c>
      <c r="AL181" s="289"/>
      <c r="AM181" s="622">
        <v>7.4419369999999999E-2</v>
      </c>
      <c r="AN181" s="289">
        <v>0</v>
      </c>
      <c r="AO181" s="289">
        <v>-215.00380852999999</v>
      </c>
      <c r="AP181" s="289">
        <v>0</v>
      </c>
      <c r="AQ181" s="289">
        <v>0</v>
      </c>
      <c r="AR181" s="289">
        <v>-323.42073847</v>
      </c>
      <c r="AS181" s="289">
        <v>52.025500000000001</v>
      </c>
      <c r="AT181" s="289">
        <v>292</v>
      </c>
      <c r="AU181" s="289">
        <v>40</v>
      </c>
      <c r="AV181" s="625">
        <v>101443</v>
      </c>
      <c r="AW181" s="289">
        <v>-2.2978000000000001</v>
      </c>
      <c r="AX181" s="625">
        <v>19.5</v>
      </c>
      <c r="AY181" s="289">
        <v>1087</v>
      </c>
      <c r="AZ181" s="289">
        <v>130</v>
      </c>
      <c r="BA181" s="290">
        <v>86</v>
      </c>
      <c r="BB181" s="289">
        <v>0</v>
      </c>
      <c r="BC181" s="289">
        <v>532</v>
      </c>
      <c r="BD181" s="289">
        <v>69.809200000000004</v>
      </c>
      <c r="BE181" s="289">
        <v>103440.64238373</v>
      </c>
      <c r="BF181" s="289">
        <v>0</v>
      </c>
      <c r="BG181" s="289">
        <v>0</v>
      </c>
      <c r="BH181" s="289">
        <v>-36.866599999999998</v>
      </c>
      <c r="BI181" s="289">
        <v>526</v>
      </c>
      <c r="BJ181" s="289">
        <v>-4.6448999999999998</v>
      </c>
      <c r="BK181" s="289">
        <v>0</v>
      </c>
      <c r="BL181" s="289">
        <v>0</v>
      </c>
      <c r="BM181" s="289">
        <v>0</v>
      </c>
      <c r="BN181" s="289">
        <v>0</v>
      </c>
      <c r="BO181" s="517">
        <v>0</v>
      </c>
      <c r="BP181" s="517">
        <v>0</v>
      </c>
      <c r="BQ181" s="289">
        <f t="shared" si="4"/>
        <v>-4.6449007350000002</v>
      </c>
      <c r="BR181" s="289">
        <v>0</v>
      </c>
      <c r="BS181" s="289">
        <f t="shared" si="5"/>
        <v>0</v>
      </c>
      <c r="BT181" s="289">
        <v>8</v>
      </c>
      <c r="BU181" s="289">
        <v>0</v>
      </c>
      <c r="BV181" s="289">
        <v>51</v>
      </c>
      <c r="BW181" s="289">
        <v>0</v>
      </c>
      <c r="BX181" s="289">
        <v>95.200999999999993</v>
      </c>
      <c r="BY181" s="85"/>
      <c r="BZ181" s="85"/>
      <c r="CA181" s="85"/>
      <c r="CB181" s="85"/>
      <c r="CC181" s="517"/>
      <c r="CD181" s="85"/>
      <c r="CE181" s="517"/>
    </row>
    <row r="182" spans="1:83" ht="13">
      <c r="A182" s="1">
        <v>3012</v>
      </c>
      <c r="B182" s="2" t="s">
        <v>788</v>
      </c>
      <c r="C182" s="289">
        <v>1399</v>
      </c>
      <c r="D182" s="289">
        <v>21</v>
      </c>
      <c r="E182" s="289">
        <v>49</v>
      </c>
      <c r="F182" s="289">
        <v>171</v>
      </c>
      <c r="G182" s="289">
        <v>119</v>
      </c>
      <c r="H182" s="289">
        <v>779</v>
      </c>
      <c r="I182" s="289">
        <v>190</v>
      </c>
      <c r="J182" s="289">
        <v>62</v>
      </c>
      <c r="K182" s="289">
        <v>21</v>
      </c>
      <c r="L182" s="289">
        <v>10</v>
      </c>
      <c r="M182" s="289">
        <v>122</v>
      </c>
      <c r="N182" s="290">
        <v>3</v>
      </c>
      <c r="O182" s="290">
        <v>10</v>
      </c>
      <c r="P182" s="624">
        <v>7490.0006666700001</v>
      </c>
      <c r="Q182" s="624">
        <v>8070.7823333300003</v>
      </c>
      <c r="R182" s="624">
        <v>3</v>
      </c>
      <c r="S182" s="289">
        <v>0</v>
      </c>
      <c r="T182" s="289">
        <v>101</v>
      </c>
      <c r="U182" s="716">
        <v>1.3619991499971289E-3</v>
      </c>
      <c r="V182" s="289">
        <v>589.23888191000003</v>
      </c>
      <c r="W182" s="743">
        <v>0.88789209000000002</v>
      </c>
      <c r="X182" s="289">
        <v>600</v>
      </c>
      <c r="Y182" s="289">
        <v>244</v>
      </c>
      <c r="Z182" s="289">
        <v>33281</v>
      </c>
      <c r="AA182" s="289">
        <v>0</v>
      </c>
      <c r="AB182" s="290">
        <v>35</v>
      </c>
      <c r="AC182" s="289">
        <v>0</v>
      </c>
      <c r="AD182" s="289">
        <v>0</v>
      </c>
      <c r="AE182" s="289">
        <v>0</v>
      </c>
      <c r="AF182" s="289">
        <v>0</v>
      </c>
      <c r="AG182" s="289">
        <v>1412</v>
      </c>
      <c r="AH182" s="289">
        <v>187</v>
      </c>
      <c r="AI182" s="289">
        <v>600</v>
      </c>
      <c r="AJ182" s="289">
        <v>0</v>
      </c>
      <c r="AK182" s="289">
        <v>4.6619000000000002</v>
      </c>
      <c r="AL182" s="289"/>
      <c r="AM182" s="622">
        <v>3.0208700000000002E-2</v>
      </c>
      <c r="AN182" s="289">
        <v>0</v>
      </c>
      <c r="AO182" s="289">
        <v>-81.955973450000002</v>
      </c>
      <c r="AP182" s="289">
        <v>0</v>
      </c>
      <c r="AQ182" s="289">
        <v>0</v>
      </c>
      <c r="AR182" s="289">
        <v>1646.4429443199999</v>
      </c>
      <c r="AS182" s="289">
        <v>15.3011</v>
      </c>
      <c r="AT182" s="289">
        <v>80</v>
      </c>
      <c r="AU182" s="289">
        <v>18</v>
      </c>
      <c r="AV182" s="625">
        <v>55344</v>
      </c>
      <c r="AW182" s="289">
        <v>-27.470500000000001</v>
      </c>
      <c r="AX182" s="625">
        <v>5.8333333300000003</v>
      </c>
      <c r="AY182" s="289">
        <v>205</v>
      </c>
      <c r="AZ182" s="289">
        <v>41</v>
      </c>
      <c r="BA182" s="290">
        <v>32</v>
      </c>
      <c r="BB182" s="289">
        <v>5543</v>
      </c>
      <c r="BC182" s="289">
        <v>478</v>
      </c>
      <c r="BD182" s="289">
        <v>24.818100000000001</v>
      </c>
      <c r="BE182" s="289">
        <v>54097.407407220002</v>
      </c>
      <c r="BF182" s="289">
        <v>0</v>
      </c>
      <c r="BG182" s="289">
        <v>13</v>
      </c>
      <c r="BH182" s="289">
        <v>-11.504</v>
      </c>
      <c r="BI182" s="289">
        <v>431</v>
      </c>
      <c r="BJ182" s="289">
        <v>-1.4494</v>
      </c>
      <c r="BK182" s="289">
        <v>0</v>
      </c>
      <c r="BL182" s="289">
        <v>0</v>
      </c>
      <c r="BM182" s="289">
        <v>0</v>
      </c>
      <c r="BN182" s="289">
        <v>0</v>
      </c>
      <c r="BO182" s="517">
        <v>0</v>
      </c>
      <c r="BP182" s="517">
        <v>0</v>
      </c>
      <c r="BQ182" s="289">
        <f t="shared" si="4"/>
        <v>-1.4494143288000001</v>
      </c>
      <c r="BR182" s="289">
        <v>0</v>
      </c>
      <c r="BS182" s="289">
        <f t="shared" si="5"/>
        <v>0</v>
      </c>
      <c r="BT182" s="289">
        <v>3</v>
      </c>
      <c r="BU182" s="289">
        <v>0</v>
      </c>
      <c r="BV182" s="289">
        <v>22</v>
      </c>
      <c r="BW182" s="289">
        <v>157.18299999999999</v>
      </c>
      <c r="BX182" s="289">
        <v>28.562000000000001</v>
      </c>
      <c r="BY182" s="85"/>
      <c r="BZ182" s="85"/>
      <c r="CA182" s="85"/>
      <c r="CB182" s="85"/>
      <c r="CC182" s="517"/>
      <c r="CD182" s="85"/>
      <c r="CE182" s="517"/>
    </row>
    <row r="183" spans="1:83" ht="13">
      <c r="A183" s="1">
        <v>3013</v>
      </c>
      <c r="B183" s="2" t="s">
        <v>789</v>
      </c>
      <c r="C183" s="289">
        <v>3567</v>
      </c>
      <c r="D183" s="289">
        <v>73</v>
      </c>
      <c r="E183" s="289">
        <v>120</v>
      </c>
      <c r="F183" s="289">
        <v>378</v>
      </c>
      <c r="G183" s="289">
        <v>290</v>
      </c>
      <c r="H183" s="289">
        <v>1940</v>
      </c>
      <c r="I183" s="289">
        <v>548</v>
      </c>
      <c r="J183" s="289">
        <v>187</v>
      </c>
      <c r="K183" s="289">
        <v>47</v>
      </c>
      <c r="L183" s="289">
        <v>27</v>
      </c>
      <c r="M183" s="289">
        <v>337</v>
      </c>
      <c r="N183" s="290">
        <v>59</v>
      </c>
      <c r="O183" s="290">
        <v>16</v>
      </c>
      <c r="P183" s="624">
        <v>19955.266</v>
      </c>
      <c r="Q183" s="624">
        <v>13461.471</v>
      </c>
      <c r="R183" s="624">
        <v>12</v>
      </c>
      <c r="S183" s="289">
        <v>0</v>
      </c>
      <c r="T183" s="289">
        <v>288</v>
      </c>
      <c r="U183" s="716">
        <v>2.9092763859685975E-3</v>
      </c>
      <c r="V183" s="289">
        <v>1162.3715401899999</v>
      </c>
      <c r="W183" s="743">
        <v>0.75327973000000004</v>
      </c>
      <c r="X183" s="289">
        <v>400</v>
      </c>
      <c r="Y183" s="289">
        <v>257</v>
      </c>
      <c r="Z183" s="289">
        <v>87199</v>
      </c>
      <c r="AA183" s="289">
        <v>0</v>
      </c>
      <c r="AB183" s="290">
        <v>120</v>
      </c>
      <c r="AC183" s="289">
        <v>0</v>
      </c>
      <c r="AD183" s="289">
        <v>0</v>
      </c>
      <c r="AE183" s="289">
        <v>0</v>
      </c>
      <c r="AF183" s="289">
        <v>0</v>
      </c>
      <c r="AG183" s="289">
        <v>3583</v>
      </c>
      <c r="AH183" s="289">
        <v>456</v>
      </c>
      <c r="AI183" s="289">
        <v>0</v>
      </c>
      <c r="AJ183" s="289">
        <v>0</v>
      </c>
      <c r="AK183" s="289">
        <v>11.594799999999999</v>
      </c>
      <c r="AL183" s="289"/>
      <c r="AM183" s="622">
        <v>7.4802090000000002E-2</v>
      </c>
      <c r="AN183" s="289">
        <v>4090</v>
      </c>
      <c r="AO183" s="289">
        <v>-185.53924307</v>
      </c>
      <c r="AP183" s="289">
        <v>0</v>
      </c>
      <c r="AQ183" s="289">
        <v>0</v>
      </c>
      <c r="AR183" s="289">
        <v>2171.0438344700001</v>
      </c>
      <c r="AS183" s="289">
        <v>46.845300000000002</v>
      </c>
      <c r="AT183" s="289">
        <v>223</v>
      </c>
      <c r="AU183" s="289">
        <v>31</v>
      </c>
      <c r="AV183" s="625">
        <v>103799</v>
      </c>
      <c r="AW183" s="289">
        <v>-69.707300000000004</v>
      </c>
      <c r="AX183" s="625">
        <v>16.208333329999999</v>
      </c>
      <c r="AY183" s="289">
        <v>528</v>
      </c>
      <c r="AZ183" s="289">
        <v>140</v>
      </c>
      <c r="BA183" s="290">
        <v>65</v>
      </c>
      <c r="BB183" s="289">
        <v>0</v>
      </c>
      <c r="BC183" s="289">
        <v>687</v>
      </c>
      <c r="BD183" s="289">
        <v>60.518999999999998</v>
      </c>
      <c r="BE183" s="289">
        <v>102402.77461542</v>
      </c>
      <c r="BF183" s="289">
        <v>0</v>
      </c>
      <c r="BG183" s="289">
        <v>13</v>
      </c>
      <c r="BH183" s="289">
        <v>-29.191800000000001</v>
      </c>
      <c r="BI183" s="289">
        <v>713</v>
      </c>
      <c r="BJ183" s="289">
        <v>-3.6779000000000002</v>
      </c>
      <c r="BK183" s="289">
        <v>0</v>
      </c>
      <c r="BL183" s="289">
        <v>0</v>
      </c>
      <c r="BM183" s="289">
        <v>0</v>
      </c>
      <c r="BN183" s="289">
        <v>0</v>
      </c>
      <c r="BO183" s="517">
        <v>0</v>
      </c>
      <c r="BP183" s="517">
        <v>0</v>
      </c>
      <c r="BQ183" s="289">
        <f t="shared" si="4"/>
        <v>-3.6779401842000001</v>
      </c>
      <c r="BR183" s="289">
        <v>0</v>
      </c>
      <c r="BS183" s="289">
        <f t="shared" si="5"/>
        <v>0</v>
      </c>
      <c r="BT183" s="289">
        <v>7</v>
      </c>
      <c r="BU183" s="289">
        <v>0</v>
      </c>
      <c r="BV183" s="289">
        <v>43</v>
      </c>
      <c r="BW183" s="289">
        <v>125.746</v>
      </c>
      <c r="BX183" s="289">
        <v>73.867999999999995</v>
      </c>
      <c r="BY183" s="85"/>
      <c r="BZ183" s="85"/>
      <c r="CA183" s="85"/>
      <c r="CB183" s="85"/>
      <c r="CC183" s="517"/>
      <c r="CD183" s="85"/>
      <c r="CE183" s="517"/>
    </row>
    <row r="184" spans="1:83" ht="13">
      <c r="A184" s="1">
        <v>3015</v>
      </c>
      <c r="B184" s="2" t="s">
        <v>2369</v>
      </c>
      <c r="C184" s="289">
        <v>3831</v>
      </c>
      <c r="D184" s="289">
        <v>71</v>
      </c>
      <c r="E184" s="289">
        <v>179</v>
      </c>
      <c r="F184" s="289">
        <v>526</v>
      </c>
      <c r="G184" s="289">
        <v>358</v>
      </c>
      <c r="H184" s="289">
        <v>2117</v>
      </c>
      <c r="I184" s="289">
        <v>409</v>
      </c>
      <c r="J184" s="289">
        <v>117</v>
      </c>
      <c r="K184" s="289">
        <v>32</v>
      </c>
      <c r="L184" s="289">
        <v>34</v>
      </c>
      <c r="M184" s="289">
        <v>248</v>
      </c>
      <c r="N184" s="290">
        <v>48</v>
      </c>
      <c r="O184" s="290">
        <v>55</v>
      </c>
      <c r="P184" s="624">
        <v>11467.705333329999</v>
      </c>
      <c r="Q184" s="624">
        <v>9559.1856666700005</v>
      </c>
      <c r="R184" s="624">
        <v>18</v>
      </c>
      <c r="S184" s="289">
        <v>0</v>
      </c>
      <c r="T184" s="289">
        <v>252</v>
      </c>
      <c r="U184" s="716">
        <v>2.1974884409509893E-3</v>
      </c>
      <c r="V184" s="289">
        <v>482.13712613000001</v>
      </c>
      <c r="W184" s="743">
        <v>0.64531245999999998</v>
      </c>
      <c r="X184" s="289">
        <v>500</v>
      </c>
      <c r="Y184" s="289">
        <v>392</v>
      </c>
      <c r="Z184" s="289">
        <v>93552</v>
      </c>
      <c r="AA184" s="289">
        <v>0</v>
      </c>
      <c r="AB184" s="290">
        <v>71</v>
      </c>
      <c r="AC184" s="289">
        <v>0</v>
      </c>
      <c r="AD184" s="289">
        <v>0</v>
      </c>
      <c r="AE184" s="289">
        <v>0</v>
      </c>
      <c r="AF184" s="289">
        <v>0</v>
      </c>
      <c r="AG184" s="289">
        <v>3809</v>
      </c>
      <c r="AH184" s="289">
        <v>600</v>
      </c>
      <c r="AI184" s="289">
        <v>0</v>
      </c>
      <c r="AJ184" s="289">
        <v>0</v>
      </c>
      <c r="AK184" s="289">
        <v>16.5747</v>
      </c>
      <c r="AL184" s="289"/>
      <c r="AM184" s="622">
        <v>7.210772E-2</v>
      </c>
      <c r="AN184" s="289">
        <v>0</v>
      </c>
      <c r="AO184" s="289">
        <v>-198.33053935000001</v>
      </c>
      <c r="AP184" s="289">
        <v>0</v>
      </c>
      <c r="AQ184" s="289">
        <v>0</v>
      </c>
      <c r="AR184" s="289">
        <v>-272.24521389</v>
      </c>
      <c r="AS184" s="289">
        <v>40.734499999999997</v>
      </c>
      <c r="AT184" s="289">
        <v>245</v>
      </c>
      <c r="AU184" s="289">
        <v>39</v>
      </c>
      <c r="AV184" s="625">
        <v>102474</v>
      </c>
      <c r="AW184" s="289">
        <v>-1.9341999999999999</v>
      </c>
      <c r="AX184" s="625">
        <v>22.166666670000001</v>
      </c>
      <c r="AY184" s="289">
        <v>511</v>
      </c>
      <c r="AZ184" s="289">
        <v>108</v>
      </c>
      <c r="BA184" s="290">
        <v>109</v>
      </c>
      <c r="BB184" s="289">
        <v>0</v>
      </c>
      <c r="BC184" s="289">
        <v>941</v>
      </c>
      <c r="BD184" s="289">
        <v>79.630300000000005</v>
      </c>
      <c r="BE184" s="289">
        <v>105188.15691506</v>
      </c>
      <c r="BF184" s="289">
        <v>0</v>
      </c>
      <c r="BG184" s="289">
        <v>11</v>
      </c>
      <c r="BH184" s="289">
        <v>-31.033100000000001</v>
      </c>
      <c r="BI184" s="289">
        <v>992</v>
      </c>
      <c r="BJ184" s="289">
        <v>-3.9098999999999999</v>
      </c>
      <c r="BK184" s="289">
        <v>0</v>
      </c>
      <c r="BL184" s="289">
        <v>0</v>
      </c>
      <c r="BM184" s="289">
        <v>0</v>
      </c>
      <c r="BN184" s="289">
        <v>0</v>
      </c>
      <c r="BO184" s="517">
        <v>0</v>
      </c>
      <c r="BP184" s="517">
        <v>0</v>
      </c>
      <c r="BQ184" s="289">
        <f t="shared" si="4"/>
        <v>-3.9099285966000004</v>
      </c>
      <c r="BR184" s="289">
        <v>0</v>
      </c>
      <c r="BS184" s="289">
        <f t="shared" si="5"/>
        <v>0</v>
      </c>
      <c r="BT184" s="289">
        <v>9</v>
      </c>
      <c r="BU184" s="289">
        <v>0</v>
      </c>
      <c r="BV184" s="289">
        <v>40</v>
      </c>
      <c r="BW184" s="289">
        <v>209.577</v>
      </c>
      <c r="BX184" s="289">
        <v>78.977999999999994</v>
      </c>
      <c r="CC184" s="517"/>
      <c r="CD184" s="85"/>
      <c r="CE184" s="517"/>
    </row>
    <row r="185" spans="1:83" ht="13">
      <c r="A185" s="1">
        <v>3016</v>
      </c>
      <c r="B185" s="2" t="s">
        <v>796</v>
      </c>
      <c r="C185" s="289">
        <v>8202</v>
      </c>
      <c r="D185" s="289">
        <v>171</v>
      </c>
      <c r="E185" s="289">
        <v>380</v>
      </c>
      <c r="F185" s="289">
        <v>1004</v>
      </c>
      <c r="G185" s="289">
        <v>704</v>
      </c>
      <c r="H185" s="289">
        <v>4614</v>
      </c>
      <c r="I185" s="289">
        <v>966</v>
      </c>
      <c r="J185" s="289">
        <v>327</v>
      </c>
      <c r="K185" s="289">
        <v>76</v>
      </c>
      <c r="L185" s="289">
        <v>65</v>
      </c>
      <c r="M185" s="289">
        <v>606</v>
      </c>
      <c r="N185" s="290">
        <v>285</v>
      </c>
      <c r="O185" s="290">
        <v>80</v>
      </c>
      <c r="P185" s="624">
        <v>30402.464333330001</v>
      </c>
      <c r="Q185" s="624">
        <v>17760.070666669999</v>
      </c>
      <c r="R185" s="624">
        <v>71</v>
      </c>
      <c r="S185" s="289">
        <v>0</v>
      </c>
      <c r="T185" s="289">
        <v>625</v>
      </c>
      <c r="U185" s="716">
        <v>5.7116962468588195E-3</v>
      </c>
      <c r="V185" s="289">
        <v>2970.1647386899999</v>
      </c>
      <c r="W185" s="743">
        <v>0.59993445999999995</v>
      </c>
      <c r="X185" s="289">
        <v>1100</v>
      </c>
      <c r="Y185" s="289">
        <v>392</v>
      </c>
      <c r="Z185" s="289">
        <v>210300</v>
      </c>
      <c r="AA185" s="289">
        <v>0</v>
      </c>
      <c r="AB185" s="290">
        <v>236</v>
      </c>
      <c r="AC185" s="289">
        <v>0</v>
      </c>
      <c r="AD185" s="289">
        <v>0</v>
      </c>
      <c r="AE185" s="289">
        <v>0</v>
      </c>
      <c r="AF185" s="289">
        <v>0</v>
      </c>
      <c r="AG185" s="289">
        <v>8242</v>
      </c>
      <c r="AH185" s="289">
        <v>1168</v>
      </c>
      <c r="AI185" s="289">
        <v>0</v>
      </c>
      <c r="AJ185" s="289">
        <v>0</v>
      </c>
      <c r="AK185" s="289">
        <v>34.839599999999997</v>
      </c>
      <c r="AL185" s="289"/>
      <c r="AM185" s="622">
        <v>0.27762753000000001</v>
      </c>
      <c r="AN185" s="289">
        <v>0</v>
      </c>
      <c r="AO185" s="289">
        <v>-436.98132527000001</v>
      </c>
      <c r="AP185" s="289">
        <v>0</v>
      </c>
      <c r="AQ185" s="289">
        <v>0</v>
      </c>
      <c r="AR185" s="289">
        <v>-589.09032630000002</v>
      </c>
      <c r="AS185" s="289">
        <v>119.95050000000001</v>
      </c>
      <c r="AT185" s="289">
        <v>484</v>
      </c>
      <c r="AU185" s="289">
        <v>103</v>
      </c>
      <c r="AV185" s="625">
        <v>232479</v>
      </c>
      <c r="AW185" s="289">
        <v>-4.1852999999999998</v>
      </c>
      <c r="AX185" s="625">
        <v>40.75</v>
      </c>
      <c r="AY185" s="289">
        <v>1110</v>
      </c>
      <c r="AZ185" s="289">
        <v>372</v>
      </c>
      <c r="BA185" s="290">
        <v>166</v>
      </c>
      <c r="BB185" s="289">
        <v>0</v>
      </c>
      <c r="BC185" s="289">
        <v>1582</v>
      </c>
      <c r="BD185" s="289">
        <v>155.0137</v>
      </c>
      <c r="BE185" s="289">
        <v>237017.12213653</v>
      </c>
      <c r="BF185" s="289">
        <v>0</v>
      </c>
      <c r="BG185" s="289">
        <v>11</v>
      </c>
      <c r="BH185" s="289">
        <v>-67.150099999999995</v>
      </c>
      <c r="BI185" s="289">
        <v>1560</v>
      </c>
      <c r="BJ185" s="289">
        <v>-8.4603999999999999</v>
      </c>
      <c r="BK185" s="289">
        <v>0</v>
      </c>
      <c r="BL185" s="289">
        <v>0</v>
      </c>
      <c r="BM185" s="289">
        <v>0</v>
      </c>
      <c r="BN185" s="289">
        <v>0</v>
      </c>
      <c r="BO185" s="517">
        <v>0</v>
      </c>
      <c r="BP185" s="517">
        <v>0</v>
      </c>
      <c r="BQ185" s="289">
        <f t="shared" si="4"/>
        <v>-8.4603915708000006</v>
      </c>
      <c r="BR185" s="289">
        <v>0</v>
      </c>
      <c r="BS185" s="289">
        <f t="shared" si="5"/>
        <v>0</v>
      </c>
      <c r="BT185" s="289">
        <v>20</v>
      </c>
      <c r="BU185" s="289">
        <v>0</v>
      </c>
      <c r="BV185" s="289">
        <v>81</v>
      </c>
      <c r="BW185" s="289">
        <v>272.45</v>
      </c>
      <c r="BX185" s="289">
        <v>169.92</v>
      </c>
      <c r="CC185" s="517"/>
      <c r="CD185" s="85"/>
      <c r="CE185" s="517"/>
    </row>
    <row r="186" spans="1:83" ht="13">
      <c r="A186" s="1">
        <v>3017</v>
      </c>
      <c r="B186" s="2" t="s">
        <v>797</v>
      </c>
      <c r="C186" s="289">
        <v>7465</v>
      </c>
      <c r="D186" s="289">
        <v>153</v>
      </c>
      <c r="E186" s="289">
        <v>321</v>
      </c>
      <c r="F186" s="289">
        <v>872</v>
      </c>
      <c r="G186" s="289">
        <v>593</v>
      </c>
      <c r="H186" s="289">
        <v>4167</v>
      </c>
      <c r="I186" s="289">
        <v>950</v>
      </c>
      <c r="J186" s="289">
        <v>315</v>
      </c>
      <c r="K186" s="289">
        <v>73</v>
      </c>
      <c r="L186" s="289">
        <v>56</v>
      </c>
      <c r="M186" s="289">
        <v>530</v>
      </c>
      <c r="N186" s="290">
        <v>111</v>
      </c>
      <c r="O186" s="290">
        <v>72</v>
      </c>
      <c r="P186" s="624">
        <v>24071.396333330002</v>
      </c>
      <c r="Q186" s="624">
        <v>10663.329666670001</v>
      </c>
      <c r="R186" s="624">
        <v>28</v>
      </c>
      <c r="S186" s="289">
        <v>0</v>
      </c>
      <c r="T186" s="289">
        <v>428</v>
      </c>
      <c r="U186" s="716">
        <v>2.3033644915777668E-3</v>
      </c>
      <c r="V186" s="289">
        <v>466.39721526</v>
      </c>
      <c r="W186" s="743">
        <v>0.58215830000000002</v>
      </c>
      <c r="X186" s="289">
        <v>400</v>
      </c>
      <c r="Y186" s="289">
        <v>244</v>
      </c>
      <c r="Z186" s="289">
        <v>198782</v>
      </c>
      <c r="AA186" s="289">
        <v>0</v>
      </c>
      <c r="AB186" s="290">
        <v>169</v>
      </c>
      <c r="AC186" s="289">
        <v>0</v>
      </c>
      <c r="AD186" s="289">
        <v>0</v>
      </c>
      <c r="AE186" s="289">
        <v>0</v>
      </c>
      <c r="AF186" s="289">
        <v>0</v>
      </c>
      <c r="AG186" s="289">
        <v>7444</v>
      </c>
      <c r="AH186" s="289">
        <v>1026</v>
      </c>
      <c r="AI186" s="289">
        <v>300</v>
      </c>
      <c r="AJ186" s="289">
        <v>0</v>
      </c>
      <c r="AK186" s="289">
        <v>31.864100000000001</v>
      </c>
      <c r="AL186" s="289"/>
      <c r="AM186" s="622">
        <v>0.17392614000000001</v>
      </c>
      <c r="AN186" s="289">
        <v>0</v>
      </c>
      <c r="AO186" s="289">
        <v>-363.21364291999998</v>
      </c>
      <c r="AP186" s="289">
        <v>0</v>
      </c>
      <c r="AQ186" s="289">
        <v>0</v>
      </c>
      <c r="AR186" s="289">
        <v>-532.05391760999998</v>
      </c>
      <c r="AS186" s="289">
        <v>81.390500000000003</v>
      </c>
      <c r="AT186" s="289">
        <v>404</v>
      </c>
      <c r="AU186" s="289">
        <v>77</v>
      </c>
      <c r="AV186" s="625">
        <v>170651</v>
      </c>
      <c r="AW186" s="289">
        <v>-3.78</v>
      </c>
      <c r="AX186" s="625">
        <v>55.666666669999998</v>
      </c>
      <c r="AY186" s="289">
        <v>1443</v>
      </c>
      <c r="AZ186" s="289">
        <v>306</v>
      </c>
      <c r="BA186" s="290">
        <v>155</v>
      </c>
      <c r="BB186" s="289">
        <v>0</v>
      </c>
      <c r="BC186" s="289">
        <v>1219</v>
      </c>
      <c r="BD186" s="289">
        <v>136.1678</v>
      </c>
      <c r="BE186" s="289">
        <v>178773.96066739</v>
      </c>
      <c r="BF186" s="289">
        <v>0</v>
      </c>
      <c r="BG186" s="289">
        <v>13</v>
      </c>
      <c r="BH186" s="289">
        <v>-60.648499999999999</v>
      </c>
      <c r="BI186" s="289">
        <v>1270</v>
      </c>
      <c r="BJ186" s="289">
        <v>-7.6412000000000004</v>
      </c>
      <c r="BK186" s="289">
        <v>0</v>
      </c>
      <c r="BL186" s="289">
        <v>0</v>
      </c>
      <c r="BM186" s="289">
        <v>0</v>
      </c>
      <c r="BN186" s="289">
        <v>0</v>
      </c>
      <c r="BO186" s="517">
        <v>0</v>
      </c>
      <c r="BP186" s="517">
        <v>0</v>
      </c>
      <c r="BQ186" s="289">
        <f t="shared" si="4"/>
        <v>-7.6412466455999999</v>
      </c>
      <c r="BR186" s="289">
        <v>0</v>
      </c>
      <c r="BS186" s="289">
        <f t="shared" si="5"/>
        <v>0</v>
      </c>
      <c r="BT186" s="289">
        <v>18</v>
      </c>
      <c r="BU186" s="289">
        <v>0</v>
      </c>
      <c r="BV186" s="289">
        <v>74</v>
      </c>
      <c r="BW186" s="289">
        <v>178.14</v>
      </c>
      <c r="BX186" s="289">
        <v>156.52199999999999</v>
      </c>
      <c r="CC186" s="517"/>
      <c r="CD186" s="85"/>
      <c r="CE186" s="517"/>
    </row>
    <row r="187" spans="1:83" ht="13">
      <c r="A187" s="1">
        <v>3018</v>
      </c>
      <c r="B187" s="2" t="s">
        <v>799</v>
      </c>
      <c r="C187" s="289">
        <v>5471</v>
      </c>
      <c r="D187" s="289">
        <v>142</v>
      </c>
      <c r="E187" s="289">
        <v>309</v>
      </c>
      <c r="F187" s="289">
        <v>705</v>
      </c>
      <c r="G187" s="289">
        <v>418</v>
      </c>
      <c r="H187" s="289">
        <v>3149</v>
      </c>
      <c r="I187" s="289">
        <v>549</v>
      </c>
      <c r="J187" s="289">
        <v>105</v>
      </c>
      <c r="K187" s="289">
        <v>20</v>
      </c>
      <c r="L187" s="289">
        <v>47</v>
      </c>
      <c r="M187" s="289">
        <v>242</v>
      </c>
      <c r="N187" s="290">
        <v>56</v>
      </c>
      <c r="O187" s="290">
        <v>47</v>
      </c>
      <c r="P187" s="624">
        <v>35186.78333333</v>
      </c>
      <c r="Q187" s="624">
        <v>15417.453</v>
      </c>
      <c r="R187" s="624">
        <v>11</v>
      </c>
      <c r="S187" s="289">
        <v>0</v>
      </c>
      <c r="T187" s="289">
        <v>316</v>
      </c>
      <c r="U187" s="716">
        <v>2.1351326528670535E-3</v>
      </c>
      <c r="V187" s="289">
        <v>-78.288847009999998</v>
      </c>
      <c r="W187" s="743">
        <v>0.64978457000000001</v>
      </c>
      <c r="X187" s="289">
        <v>200</v>
      </c>
      <c r="Y187" s="289">
        <v>392</v>
      </c>
      <c r="Z187" s="289">
        <v>144788</v>
      </c>
      <c r="AA187" s="289">
        <v>0</v>
      </c>
      <c r="AB187" s="290">
        <v>120</v>
      </c>
      <c r="AC187" s="289">
        <v>0</v>
      </c>
      <c r="AD187" s="289">
        <v>0</v>
      </c>
      <c r="AE187" s="289">
        <v>2854</v>
      </c>
      <c r="AF187" s="289">
        <v>0</v>
      </c>
      <c r="AG187" s="289">
        <v>5397</v>
      </c>
      <c r="AH187" s="289">
        <v>834</v>
      </c>
      <c r="AI187" s="289">
        <v>200</v>
      </c>
      <c r="AJ187" s="289">
        <v>0</v>
      </c>
      <c r="AK187" s="289">
        <v>28.825199999999999</v>
      </c>
      <c r="AL187" s="289"/>
      <c r="AM187" s="622">
        <v>0.12772107999999999</v>
      </c>
      <c r="AN187" s="289">
        <v>0</v>
      </c>
      <c r="AO187" s="289">
        <v>-256.77164439000001</v>
      </c>
      <c r="AP187" s="289">
        <v>0</v>
      </c>
      <c r="AQ187" s="289">
        <v>0</v>
      </c>
      <c r="AR187" s="289">
        <v>805.98959121999997</v>
      </c>
      <c r="AS187" s="289">
        <v>57.976199999999999</v>
      </c>
      <c r="AT187" s="289">
        <v>326</v>
      </c>
      <c r="AU187" s="289">
        <v>59</v>
      </c>
      <c r="AV187" s="625">
        <v>124708</v>
      </c>
      <c r="AW187" s="289">
        <v>-104.9988</v>
      </c>
      <c r="AX187" s="625">
        <v>40</v>
      </c>
      <c r="AY187" s="289">
        <v>930</v>
      </c>
      <c r="AZ187" s="289">
        <v>189</v>
      </c>
      <c r="BA187" s="290">
        <v>103</v>
      </c>
      <c r="BB187" s="289">
        <v>0</v>
      </c>
      <c r="BC187" s="289">
        <v>1165</v>
      </c>
      <c r="BD187" s="289">
        <v>110.6861</v>
      </c>
      <c r="BE187" s="289">
        <v>125518.01478138</v>
      </c>
      <c r="BF187" s="289">
        <v>0</v>
      </c>
      <c r="BG187" s="289">
        <v>11</v>
      </c>
      <c r="BH187" s="289">
        <v>-43.970999999999997</v>
      </c>
      <c r="BI187" s="289">
        <v>1226</v>
      </c>
      <c r="BJ187" s="289">
        <v>-5.54</v>
      </c>
      <c r="BK187" s="289">
        <v>0</v>
      </c>
      <c r="BL187" s="289">
        <v>0</v>
      </c>
      <c r="BM187" s="289">
        <v>0</v>
      </c>
      <c r="BN187" s="289">
        <v>0</v>
      </c>
      <c r="BO187" s="517">
        <v>0</v>
      </c>
      <c r="BP187" s="517">
        <v>0</v>
      </c>
      <c r="BQ187" s="289">
        <f t="shared" si="4"/>
        <v>-5.5400064677999996</v>
      </c>
      <c r="BR187" s="289">
        <v>0</v>
      </c>
      <c r="BS187" s="289">
        <f t="shared" si="5"/>
        <v>0</v>
      </c>
      <c r="BT187" s="289">
        <v>17</v>
      </c>
      <c r="BU187" s="289">
        <v>0</v>
      </c>
      <c r="BV187" s="289">
        <v>54</v>
      </c>
      <c r="BW187" s="289">
        <v>167.66200000000001</v>
      </c>
      <c r="BX187" s="289">
        <v>115.434</v>
      </c>
      <c r="CC187" s="517"/>
      <c r="CD187" s="85"/>
      <c r="CE187" s="517"/>
    </row>
    <row r="188" spans="1:83" ht="13">
      <c r="A188" s="1">
        <v>3019</v>
      </c>
      <c r="B188" s="2" t="s">
        <v>801</v>
      </c>
      <c r="C188" s="289">
        <v>17486</v>
      </c>
      <c r="D188" s="289">
        <v>418</v>
      </c>
      <c r="E188" s="289">
        <v>957</v>
      </c>
      <c r="F188" s="289">
        <v>2406</v>
      </c>
      <c r="G188" s="289">
        <v>1445</v>
      </c>
      <c r="H188" s="289">
        <v>9749</v>
      </c>
      <c r="I188" s="289">
        <v>1950</v>
      </c>
      <c r="J188" s="289">
        <v>363</v>
      </c>
      <c r="K188" s="289">
        <v>86</v>
      </c>
      <c r="L188" s="289">
        <v>130</v>
      </c>
      <c r="M188" s="289">
        <v>836</v>
      </c>
      <c r="N188" s="290">
        <v>472</v>
      </c>
      <c r="O188" s="290">
        <v>130</v>
      </c>
      <c r="P188" s="624">
        <v>49266.624666670003</v>
      </c>
      <c r="Q188" s="624">
        <v>19188.543333329999</v>
      </c>
      <c r="R188" s="624">
        <v>50</v>
      </c>
      <c r="S188" s="289">
        <v>0</v>
      </c>
      <c r="T188" s="289">
        <v>1147</v>
      </c>
      <c r="U188" s="716">
        <v>1.8230180155494903E-3</v>
      </c>
      <c r="V188" s="289">
        <v>1041.6363297400001</v>
      </c>
      <c r="W188" s="743">
        <v>0.55762040999999996</v>
      </c>
      <c r="X188" s="289">
        <v>2700</v>
      </c>
      <c r="Y188" s="289">
        <v>392</v>
      </c>
      <c r="Z188" s="289">
        <v>544775</v>
      </c>
      <c r="AA188" s="289">
        <v>0</v>
      </c>
      <c r="AB188" s="290">
        <v>279</v>
      </c>
      <c r="AC188" s="289">
        <v>0</v>
      </c>
      <c r="AD188" s="289">
        <v>0</v>
      </c>
      <c r="AE188" s="289">
        <v>11166</v>
      </c>
      <c r="AF188" s="289">
        <v>0</v>
      </c>
      <c r="AG188" s="289">
        <v>17374</v>
      </c>
      <c r="AH188" s="289">
        <v>2763</v>
      </c>
      <c r="AI188" s="289">
        <v>0</v>
      </c>
      <c r="AJ188" s="289">
        <v>0</v>
      </c>
      <c r="AK188" s="289">
        <v>94.159400000000005</v>
      </c>
      <c r="AL188" s="289"/>
      <c r="AM188" s="622">
        <v>0.52830856000000004</v>
      </c>
      <c r="AN188" s="289">
        <v>0</v>
      </c>
      <c r="AO188" s="289">
        <v>-825.10203939999997</v>
      </c>
      <c r="AP188" s="289">
        <v>0</v>
      </c>
      <c r="AQ188" s="289">
        <v>0</v>
      </c>
      <c r="AR188" s="289">
        <v>-1241.7926873500001</v>
      </c>
      <c r="AS188" s="289">
        <v>210.98179999999999</v>
      </c>
      <c r="AT188" s="289">
        <v>1037</v>
      </c>
      <c r="AU188" s="289">
        <v>197</v>
      </c>
      <c r="AV188" s="625">
        <v>382569</v>
      </c>
      <c r="AW188" s="289">
        <v>-8.8224999999999998</v>
      </c>
      <c r="AX188" s="625">
        <v>153.66666667000001</v>
      </c>
      <c r="AY188" s="289">
        <v>4276</v>
      </c>
      <c r="AZ188" s="289">
        <v>764</v>
      </c>
      <c r="BA188" s="290">
        <v>434</v>
      </c>
      <c r="BB188" s="289">
        <v>0</v>
      </c>
      <c r="BC188" s="289">
        <v>2969</v>
      </c>
      <c r="BD188" s="289">
        <v>366.69749999999999</v>
      </c>
      <c r="BE188" s="289">
        <v>407065.19086893002</v>
      </c>
      <c r="BF188" s="289">
        <v>0</v>
      </c>
      <c r="BG188" s="289">
        <v>11</v>
      </c>
      <c r="BH188" s="289">
        <v>-141.5513</v>
      </c>
      <c r="BI188" s="289">
        <v>3155</v>
      </c>
      <c r="BJ188" s="289">
        <v>-17.834399999999999</v>
      </c>
      <c r="BK188" s="289">
        <v>0</v>
      </c>
      <c r="BL188" s="289">
        <v>0</v>
      </c>
      <c r="BM188" s="289">
        <v>0</v>
      </c>
      <c r="BN188" s="289">
        <v>0</v>
      </c>
      <c r="BO188" s="517">
        <v>0</v>
      </c>
      <c r="BP188" s="517">
        <v>0</v>
      </c>
      <c r="BQ188" s="289">
        <f t="shared" si="4"/>
        <v>-17.834365827599999</v>
      </c>
      <c r="BR188" s="289">
        <v>0</v>
      </c>
      <c r="BS188" s="289">
        <f t="shared" si="5"/>
        <v>0</v>
      </c>
      <c r="BT188" s="289">
        <v>54</v>
      </c>
      <c r="BU188" s="289">
        <v>0</v>
      </c>
      <c r="BV188" s="289">
        <v>156</v>
      </c>
      <c r="BW188" s="289">
        <v>245.20500000000001</v>
      </c>
      <c r="BX188" s="289">
        <v>366.16</v>
      </c>
      <c r="CC188" s="517"/>
      <c r="CD188" s="85"/>
      <c r="CE188" s="517"/>
    </row>
    <row r="189" spans="1:83" ht="13">
      <c r="A189" s="1">
        <v>3021</v>
      </c>
      <c r="B189" s="2" t="s">
        <v>803</v>
      </c>
      <c r="C189" s="289">
        <v>20084</v>
      </c>
      <c r="D189" s="289">
        <v>420</v>
      </c>
      <c r="E189" s="289">
        <v>982</v>
      </c>
      <c r="F189" s="289">
        <v>2492</v>
      </c>
      <c r="G189" s="289">
        <v>1920</v>
      </c>
      <c r="H189" s="289">
        <v>11337</v>
      </c>
      <c r="I189" s="289">
        <v>1723</v>
      </c>
      <c r="J189" s="289">
        <v>597</v>
      </c>
      <c r="K189" s="289">
        <v>130</v>
      </c>
      <c r="L189" s="289">
        <v>124</v>
      </c>
      <c r="M189" s="289">
        <v>944</v>
      </c>
      <c r="N189" s="290">
        <v>521</v>
      </c>
      <c r="O189" s="290">
        <v>159</v>
      </c>
      <c r="P189" s="624">
        <v>54355.765666669999</v>
      </c>
      <c r="Q189" s="624">
        <v>24299.685333329999</v>
      </c>
      <c r="R189" s="624">
        <v>42</v>
      </c>
      <c r="S189" s="289">
        <v>0</v>
      </c>
      <c r="T189" s="289">
        <v>1246</v>
      </c>
      <c r="U189" s="716">
        <v>1.831788148447212E-3</v>
      </c>
      <c r="V189" s="289">
        <v>549.29567526000005</v>
      </c>
      <c r="W189" s="743">
        <v>0.54918948999999995</v>
      </c>
      <c r="X189" s="289">
        <v>3500</v>
      </c>
      <c r="Y189" s="289">
        <v>392</v>
      </c>
      <c r="Z189" s="289">
        <v>610935</v>
      </c>
      <c r="AA189" s="289">
        <v>0</v>
      </c>
      <c r="AB189" s="290">
        <v>199</v>
      </c>
      <c r="AC189" s="289">
        <v>0</v>
      </c>
      <c r="AD189" s="289">
        <v>0</v>
      </c>
      <c r="AE189" s="289">
        <v>10913</v>
      </c>
      <c r="AF189" s="289">
        <v>0</v>
      </c>
      <c r="AG189" s="289">
        <v>19601</v>
      </c>
      <c r="AH189" s="289">
        <v>2891</v>
      </c>
      <c r="AI189" s="289">
        <v>0</v>
      </c>
      <c r="AJ189" s="289">
        <v>0</v>
      </c>
      <c r="AK189" s="289">
        <v>98.724400000000003</v>
      </c>
      <c r="AL189" s="289"/>
      <c r="AM189" s="622">
        <v>0.88265828999999996</v>
      </c>
      <c r="AN189" s="289">
        <v>0</v>
      </c>
      <c r="AO189" s="289">
        <v>-898.13141866000001</v>
      </c>
      <c r="AP189" s="289">
        <v>0</v>
      </c>
      <c r="AQ189" s="289">
        <v>0</v>
      </c>
      <c r="AR189" s="289">
        <v>-1400.96572262</v>
      </c>
      <c r="AS189" s="289">
        <v>243.28460000000001</v>
      </c>
      <c r="AT189" s="289">
        <v>1049</v>
      </c>
      <c r="AU189" s="289">
        <v>281</v>
      </c>
      <c r="AV189" s="625">
        <v>418277</v>
      </c>
      <c r="AW189" s="289">
        <v>-9.9533000000000005</v>
      </c>
      <c r="AX189" s="625">
        <v>134.66666667000001</v>
      </c>
      <c r="AY189" s="289">
        <v>6052</v>
      </c>
      <c r="AZ189" s="289">
        <v>1114</v>
      </c>
      <c r="BA189" s="290">
        <v>385</v>
      </c>
      <c r="BB189" s="289">
        <v>0</v>
      </c>
      <c r="BC189" s="289">
        <v>3205</v>
      </c>
      <c r="BD189" s="289">
        <v>383.68529999999998</v>
      </c>
      <c r="BE189" s="289">
        <v>423454.44972499</v>
      </c>
      <c r="BF189" s="289">
        <v>0</v>
      </c>
      <c r="BG189" s="289">
        <v>11</v>
      </c>
      <c r="BH189" s="289">
        <v>-159.69540000000001</v>
      </c>
      <c r="BI189" s="289">
        <v>3283</v>
      </c>
      <c r="BJ189" s="289">
        <v>-20.1204</v>
      </c>
      <c r="BK189" s="289">
        <v>0</v>
      </c>
      <c r="BL189" s="289">
        <v>0</v>
      </c>
      <c r="BM189" s="289">
        <v>0</v>
      </c>
      <c r="BN189" s="289">
        <v>0</v>
      </c>
      <c r="BO189" s="517">
        <v>0</v>
      </c>
      <c r="BP189" s="517">
        <v>0</v>
      </c>
      <c r="BQ189" s="289">
        <f t="shared" si="4"/>
        <v>-20.120375537400001</v>
      </c>
      <c r="BR189" s="289">
        <v>0</v>
      </c>
      <c r="BS189" s="289">
        <f t="shared" si="5"/>
        <v>0</v>
      </c>
      <c r="BT189" s="289">
        <v>57</v>
      </c>
      <c r="BU189" s="289">
        <v>0</v>
      </c>
      <c r="BV189" s="289">
        <v>173</v>
      </c>
      <c r="BW189" s="289">
        <v>257.77999999999997</v>
      </c>
      <c r="BX189" s="289">
        <v>416.077</v>
      </c>
      <c r="CC189" s="517"/>
      <c r="CD189" s="85"/>
      <c r="CE189" s="517"/>
    </row>
    <row r="190" spans="1:83" ht="13">
      <c r="A190" s="1">
        <v>3022</v>
      </c>
      <c r="B190" s="2" t="s">
        <v>804</v>
      </c>
      <c r="C190" s="289">
        <v>15735</v>
      </c>
      <c r="D190" s="289">
        <v>244</v>
      </c>
      <c r="E190" s="289">
        <v>618</v>
      </c>
      <c r="F190" s="289">
        <v>2019</v>
      </c>
      <c r="G190" s="289">
        <v>1405</v>
      </c>
      <c r="H190" s="289">
        <v>8843</v>
      </c>
      <c r="I190" s="289">
        <v>2067</v>
      </c>
      <c r="J190" s="289">
        <v>521</v>
      </c>
      <c r="K190" s="289">
        <v>94</v>
      </c>
      <c r="L190" s="289">
        <v>119</v>
      </c>
      <c r="M190" s="289">
        <v>1065</v>
      </c>
      <c r="N190" s="290">
        <v>207</v>
      </c>
      <c r="O190" s="290">
        <v>90</v>
      </c>
      <c r="P190" s="624">
        <v>31254.248666669999</v>
      </c>
      <c r="Q190" s="624">
        <v>20913.19233333</v>
      </c>
      <c r="R190" s="624">
        <v>49</v>
      </c>
      <c r="S190" s="289">
        <v>0</v>
      </c>
      <c r="T190" s="289">
        <v>1247</v>
      </c>
      <c r="U190" s="716">
        <v>9.4977973040561413E-4</v>
      </c>
      <c r="V190" s="289">
        <v>-6584.1245735599996</v>
      </c>
      <c r="W190" s="743">
        <v>0.54251145000000001</v>
      </c>
      <c r="X190" s="289">
        <v>2100</v>
      </c>
      <c r="Y190" s="289">
        <v>392</v>
      </c>
      <c r="Z190" s="289">
        <v>586294</v>
      </c>
      <c r="AA190" s="289">
        <v>0</v>
      </c>
      <c r="AB190" s="290">
        <v>177</v>
      </c>
      <c r="AC190" s="289">
        <v>0</v>
      </c>
      <c r="AD190" s="289">
        <v>0</v>
      </c>
      <c r="AE190" s="289">
        <v>0</v>
      </c>
      <c r="AF190" s="289">
        <v>0</v>
      </c>
      <c r="AG190" s="289">
        <v>15811</v>
      </c>
      <c r="AH190" s="289">
        <v>2219</v>
      </c>
      <c r="AI190" s="289">
        <v>400</v>
      </c>
      <c r="AJ190" s="289">
        <v>0</v>
      </c>
      <c r="AK190" s="289">
        <v>64.078000000000003</v>
      </c>
      <c r="AL190" s="289"/>
      <c r="AM190" s="622">
        <v>0.45365232</v>
      </c>
      <c r="AN190" s="289">
        <v>0</v>
      </c>
      <c r="AO190" s="289">
        <v>-731.08408582000004</v>
      </c>
      <c r="AP190" s="289">
        <v>0</v>
      </c>
      <c r="AQ190" s="289">
        <v>0</v>
      </c>
      <c r="AR190" s="289">
        <v>-1130.0785184599999</v>
      </c>
      <c r="AS190" s="289">
        <v>178.91560000000001</v>
      </c>
      <c r="AT190" s="289">
        <v>1035</v>
      </c>
      <c r="AU190" s="289">
        <v>148</v>
      </c>
      <c r="AV190" s="625">
        <v>323930</v>
      </c>
      <c r="AW190" s="289">
        <v>-8.0288000000000004</v>
      </c>
      <c r="AX190" s="625">
        <v>93.833333330000002</v>
      </c>
      <c r="AY190" s="289">
        <v>4448</v>
      </c>
      <c r="AZ190" s="289">
        <v>734</v>
      </c>
      <c r="BA190" s="290">
        <v>361</v>
      </c>
      <c r="BB190" s="289">
        <v>0</v>
      </c>
      <c r="BC190" s="289">
        <v>2574</v>
      </c>
      <c r="BD190" s="289">
        <v>294.49939999999998</v>
      </c>
      <c r="BE190" s="289">
        <v>331785.49108090001</v>
      </c>
      <c r="BF190" s="289">
        <v>0</v>
      </c>
      <c r="BG190" s="289">
        <v>11</v>
      </c>
      <c r="BH190" s="289">
        <v>-128.81710000000001</v>
      </c>
      <c r="BI190" s="289">
        <v>2611</v>
      </c>
      <c r="BJ190" s="289">
        <v>-16.229900000000001</v>
      </c>
      <c r="BK190" s="289">
        <v>0</v>
      </c>
      <c r="BL190" s="289">
        <v>0</v>
      </c>
      <c r="BM190" s="289">
        <v>0</v>
      </c>
      <c r="BN190" s="289">
        <v>0</v>
      </c>
      <c r="BO190" s="517">
        <v>0</v>
      </c>
      <c r="BP190" s="517">
        <v>0</v>
      </c>
      <c r="BQ190" s="289">
        <f t="shared" si="4"/>
        <v>-16.229950391399999</v>
      </c>
      <c r="BR190" s="289">
        <v>0</v>
      </c>
      <c r="BS190" s="289">
        <f t="shared" si="5"/>
        <v>0</v>
      </c>
      <c r="BT190" s="289">
        <v>37</v>
      </c>
      <c r="BU190" s="289">
        <v>0</v>
      </c>
      <c r="BV190" s="289">
        <v>147</v>
      </c>
      <c r="BW190" s="289">
        <v>0</v>
      </c>
      <c r="BX190" s="289">
        <v>328.18700000000001</v>
      </c>
      <c r="CC190" s="517"/>
      <c r="CD190" s="85"/>
      <c r="CE190" s="517"/>
    </row>
    <row r="191" spans="1:83" ht="13">
      <c r="A191" s="1">
        <v>3023</v>
      </c>
      <c r="B191" s="2" t="s">
        <v>805</v>
      </c>
      <c r="C191" s="289">
        <v>19287</v>
      </c>
      <c r="D191" s="289">
        <v>413</v>
      </c>
      <c r="E191" s="289">
        <v>964</v>
      </c>
      <c r="F191" s="289">
        <v>2675</v>
      </c>
      <c r="G191" s="289">
        <v>1675</v>
      </c>
      <c r="H191" s="289">
        <v>10895</v>
      </c>
      <c r="I191" s="289">
        <v>1901</v>
      </c>
      <c r="J191" s="289">
        <v>506</v>
      </c>
      <c r="K191" s="289">
        <v>109</v>
      </c>
      <c r="L191" s="289">
        <v>135</v>
      </c>
      <c r="M191" s="289">
        <v>1073</v>
      </c>
      <c r="N191" s="290">
        <v>290</v>
      </c>
      <c r="O191" s="290">
        <v>151</v>
      </c>
      <c r="P191" s="624">
        <v>26133.133000000002</v>
      </c>
      <c r="Q191" s="624">
        <v>20184.93466667</v>
      </c>
      <c r="R191" s="624">
        <v>41</v>
      </c>
      <c r="S191" s="289">
        <v>0</v>
      </c>
      <c r="T191" s="289">
        <v>1348</v>
      </c>
      <c r="U191" s="716">
        <v>4.8106850434961841E-4</v>
      </c>
      <c r="V191" s="289">
        <v>-17218.091407700002</v>
      </c>
      <c r="W191" s="743">
        <v>0.55548238999999999</v>
      </c>
      <c r="X191" s="289">
        <v>2900</v>
      </c>
      <c r="Y191" s="289">
        <v>392</v>
      </c>
      <c r="Z191" s="289">
        <v>619346</v>
      </c>
      <c r="AA191" s="289">
        <v>0</v>
      </c>
      <c r="AB191" s="290">
        <v>241</v>
      </c>
      <c r="AC191" s="289">
        <v>0</v>
      </c>
      <c r="AD191" s="289">
        <v>0</v>
      </c>
      <c r="AE191" s="289">
        <v>0</v>
      </c>
      <c r="AF191" s="289">
        <v>0</v>
      </c>
      <c r="AG191" s="289">
        <v>19138</v>
      </c>
      <c r="AH191" s="289">
        <v>2986</v>
      </c>
      <c r="AI191" s="289">
        <v>0</v>
      </c>
      <c r="AJ191" s="289">
        <v>0</v>
      </c>
      <c r="AK191" s="289">
        <v>101.7646</v>
      </c>
      <c r="AL191" s="289"/>
      <c r="AM191" s="622">
        <v>0.60157203000000004</v>
      </c>
      <c r="AN191" s="289">
        <v>0</v>
      </c>
      <c r="AO191" s="289">
        <v>-904.00272284000005</v>
      </c>
      <c r="AP191" s="289">
        <v>0</v>
      </c>
      <c r="AQ191" s="289">
        <v>0</v>
      </c>
      <c r="AR191" s="289">
        <v>-1367.87316971</v>
      </c>
      <c r="AS191" s="289">
        <v>216.54679999999999</v>
      </c>
      <c r="AT191" s="289">
        <v>1159</v>
      </c>
      <c r="AU191" s="289">
        <v>175</v>
      </c>
      <c r="AV191" s="625">
        <v>387342</v>
      </c>
      <c r="AW191" s="289">
        <v>-9.7181999999999995</v>
      </c>
      <c r="AX191" s="625">
        <v>191.5</v>
      </c>
      <c r="AY191" s="289">
        <v>6445</v>
      </c>
      <c r="AZ191" s="289">
        <v>1056</v>
      </c>
      <c r="BA191" s="290">
        <v>453</v>
      </c>
      <c r="BB191" s="289">
        <v>0</v>
      </c>
      <c r="BC191" s="289">
        <v>3279</v>
      </c>
      <c r="BD191" s="289">
        <v>396.29349999999999</v>
      </c>
      <c r="BE191" s="289">
        <v>412548.03571998002</v>
      </c>
      <c r="BF191" s="289">
        <v>0</v>
      </c>
      <c r="BG191" s="289">
        <v>11</v>
      </c>
      <c r="BH191" s="289">
        <v>-155.92310000000001</v>
      </c>
      <c r="BI191" s="289">
        <v>3378</v>
      </c>
      <c r="BJ191" s="289">
        <v>-19.645099999999999</v>
      </c>
      <c r="BK191" s="289">
        <v>0</v>
      </c>
      <c r="BL191" s="289">
        <v>0</v>
      </c>
      <c r="BM191" s="289">
        <v>0</v>
      </c>
      <c r="BN191" s="289">
        <v>0</v>
      </c>
      <c r="BO191" s="517">
        <v>0</v>
      </c>
      <c r="BP191" s="517">
        <v>0</v>
      </c>
      <c r="BQ191" s="289">
        <f t="shared" si="4"/>
        <v>-19.645107241199998</v>
      </c>
      <c r="BR191" s="289">
        <v>0</v>
      </c>
      <c r="BS191" s="289">
        <f t="shared" si="5"/>
        <v>0</v>
      </c>
      <c r="BT191" s="289">
        <v>58</v>
      </c>
      <c r="BU191" s="289">
        <v>0</v>
      </c>
      <c r="BV191" s="289">
        <v>168</v>
      </c>
      <c r="BW191" s="289">
        <v>253.58799999999999</v>
      </c>
      <c r="BX191" s="289">
        <v>402.20100000000002</v>
      </c>
      <c r="CC191" s="517"/>
      <c r="CD191" s="85"/>
      <c r="CE191" s="517"/>
    </row>
    <row r="192" spans="1:83" ht="13">
      <c r="A192" s="1">
        <v>3024</v>
      </c>
      <c r="B192" s="2" t="s">
        <v>807</v>
      </c>
      <c r="C192" s="289">
        <v>125454</v>
      </c>
      <c r="D192" s="289">
        <v>2967</v>
      </c>
      <c r="E192" s="289">
        <v>6563</v>
      </c>
      <c r="F192" s="289">
        <v>16983</v>
      </c>
      <c r="G192" s="289">
        <v>10488</v>
      </c>
      <c r="H192" s="289">
        <v>70025</v>
      </c>
      <c r="I192" s="289">
        <v>11967</v>
      </c>
      <c r="J192" s="289">
        <v>4501</v>
      </c>
      <c r="K192" s="289">
        <v>1305</v>
      </c>
      <c r="L192" s="289">
        <v>818</v>
      </c>
      <c r="M192" s="289">
        <v>7672</v>
      </c>
      <c r="N192" s="290">
        <v>3854</v>
      </c>
      <c r="O192" s="290">
        <v>1210</v>
      </c>
      <c r="P192" s="624">
        <v>219036.94033333001</v>
      </c>
      <c r="Q192" s="624">
        <v>76261.680999999997</v>
      </c>
      <c r="R192" s="624">
        <v>313</v>
      </c>
      <c r="S192" s="289">
        <v>0</v>
      </c>
      <c r="T192" s="289">
        <v>8771</v>
      </c>
      <c r="U192" s="716">
        <v>9.7838881070709581E-4</v>
      </c>
      <c r="V192" s="289">
        <v>-657.56906877999995</v>
      </c>
      <c r="W192" s="743">
        <v>0.52710509000000005</v>
      </c>
      <c r="X192" s="289">
        <v>0</v>
      </c>
      <c r="Y192" s="289">
        <v>784</v>
      </c>
      <c r="Z192" s="289">
        <v>6345361</v>
      </c>
      <c r="AA192" s="289">
        <v>0</v>
      </c>
      <c r="AB192" s="290">
        <v>1219</v>
      </c>
      <c r="AC192" s="289">
        <v>0</v>
      </c>
      <c r="AD192" s="289">
        <v>0</v>
      </c>
      <c r="AE192" s="289">
        <v>0</v>
      </c>
      <c r="AF192" s="289">
        <v>0</v>
      </c>
      <c r="AG192" s="289">
        <v>124799</v>
      </c>
      <c r="AH192" s="289">
        <v>19563</v>
      </c>
      <c r="AI192" s="289">
        <v>200</v>
      </c>
      <c r="AJ192" s="289">
        <v>0</v>
      </c>
      <c r="AK192" s="289">
        <v>698.35969999999998</v>
      </c>
      <c r="AL192" s="289"/>
      <c r="AM192" s="622">
        <v>3.6915335200000001</v>
      </c>
      <c r="AN192" s="289">
        <v>0</v>
      </c>
      <c r="AO192" s="289">
        <v>-6137.9514396000004</v>
      </c>
      <c r="AP192" s="289">
        <v>0</v>
      </c>
      <c r="AQ192" s="289">
        <v>0</v>
      </c>
      <c r="AR192" s="289">
        <v>-8919.9082300400005</v>
      </c>
      <c r="AS192" s="289">
        <v>1504.4727</v>
      </c>
      <c r="AT192" s="289">
        <v>6170</v>
      </c>
      <c r="AU192" s="289">
        <v>1234</v>
      </c>
      <c r="AV192" s="625">
        <v>2925154</v>
      </c>
      <c r="AW192" s="289">
        <v>-63.372599999999998</v>
      </c>
      <c r="AX192" s="625">
        <v>1235.3750000299999</v>
      </c>
      <c r="AY192" s="289">
        <v>48488</v>
      </c>
      <c r="AZ192" s="289">
        <v>7456</v>
      </c>
      <c r="BA192" s="290">
        <v>2260</v>
      </c>
      <c r="BB192" s="289">
        <v>0</v>
      </c>
      <c r="BC192" s="289">
        <v>19673</v>
      </c>
      <c r="BD192" s="289">
        <v>2596.346</v>
      </c>
      <c r="BE192" s="289">
        <v>3031057.2518133</v>
      </c>
      <c r="BF192" s="289">
        <v>0</v>
      </c>
      <c r="BG192" s="289">
        <v>22</v>
      </c>
      <c r="BH192" s="289">
        <v>-1016.7757</v>
      </c>
      <c r="BI192" s="289">
        <v>20347</v>
      </c>
      <c r="BJ192" s="289">
        <v>-128.10579999999999</v>
      </c>
      <c r="BK192" s="289">
        <v>0</v>
      </c>
      <c r="BL192" s="289">
        <v>0</v>
      </c>
      <c r="BM192" s="289">
        <v>0</v>
      </c>
      <c r="BN192" s="289">
        <v>0</v>
      </c>
      <c r="BO192" s="517">
        <v>0</v>
      </c>
      <c r="BP192" s="517">
        <v>0</v>
      </c>
      <c r="BQ192" s="289">
        <f t="shared" si="4"/>
        <v>-128.10584902260001</v>
      </c>
      <c r="BR192" s="289">
        <v>0</v>
      </c>
      <c r="BS192" s="289">
        <f t="shared" si="5"/>
        <v>0</v>
      </c>
      <c r="BT192" s="289">
        <v>400</v>
      </c>
      <c r="BU192" s="289">
        <v>0</v>
      </c>
      <c r="BV192" s="289">
        <v>1086</v>
      </c>
      <c r="BW192" s="289">
        <v>0</v>
      </c>
      <c r="BX192" s="289">
        <v>2624.7939999999999</v>
      </c>
      <c r="CC192" s="517"/>
      <c r="CD192" s="85"/>
      <c r="CE192" s="517"/>
    </row>
    <row r="193" spans="1:83" ht="13">
      <c r="A193" s="1">
        <v>3027</v>
      </c>
      <c r="B193" s="2" t="s">
        <v>812</v>
      </c>
      <c r="C193" s="289">
        <v>17874</v>
      </c>
      <c r="D193" s="289">
        <v>477</v>
      </c>
      <c r="E193" s="289">
        <v>978</v>
      </c>
      <c r="F193" s="289">
        <v>2391</v>
      </c>
      <c r="G193" s="289">
        <v>1433</v>
      </c>
      <c r="H193" s="289">
        <v>10492</v>
      </c>
      <c r="I193" s="289">
        <v>1630</v>
      </c>
      <c r="J193" s="289">
        <v>417</v>
      </c>
      <c r="K193" s="289">
        <v>68</v>
      </c>
      <c r="L193" s="289">
        <v>137</v>
      </c>
      <c r="M193" s="289">
        <v>885</v>
      </c>
      <c r="N193" s="290">
        <v>800</v>
      </c>
      <c r="O193" s="290">
        <v>158</v>
      </c>
      <c r="P193" s="624">
        <v>20709.663333330001</v>
      </c>
      <c r="Q193" s="624">
        <v>18506.399333329999</v>
      </c>
      <c r="R193" s="624">
        <v>47</v>
      </c>
      <c r="S193" s="289">
        <v>0</v>
      </c>
      <c r="T193" s="289">
        <v>1401</v>
      </c>
      <c r="U193" s="716">
        <v>4.8674928984042962E-4</v>
      </c>
      <c r="V193" s="289">
        <v>3672.7019834299999</v>
      </c>
      <c r="W193" s="743">
        <v>0.54239062000000005</v>
      </c>
      <c r="X193" s="289">
        <v>3200</v>
      </c>
      <c r="Y193" s="289">
        <v>392</v>
      </c>
      <c r="Z193" s="289">
        <v>553595</v>
      </c>
      <c r="AA193" s="289">
        <v>0</v>
      </c>
      <c r="AB193" s="290">
        <v>222</v>
      </c>
      <c r="AC193" s="289">
        <v>0</v>
      </c>
      <c r="AD193" s="289">
        <v>0</v>
      </c>
      <c r="AE193" s="289">
        <v>4057</v>
      </c>
      <c r="AF193" s="289">
        <v>0</v>
      </c>
      <c r="AG193" s="289">
        <v>17886</v>
      </c>
      <c r="AH193" s="289">
        <v>2768</v>
      </c>
      <c r="AI193" s="289">
        <v>200</v>
      </c>
      <c r="AJ193" s="289">
        <v>0</v>
      </c>
      <c r="AK193" s="289">
        <v>96.531899999999993</v>
      </c>
      <c r="AL193" s="289"/>
      <c r="AM193" s="622">
        <v>0.55595030000000001</v>
      </c>
      <c r="AN193" s="289">
        <v>0</v>
      </c>
      <c r="AO193" s="289">
        <v>-833.03917889000002</v>
      </c>
      <c r="AP193" s="289">
        <v>0</v>
      </c>
      <c r="AQ193" s="289">
        <v>0</v>
      </c>
      <c r="AR193" s="289">
        <v>-1278.38747588</v>
      </c>
      <c r="AS193" s="289">
        <v>249.73349999999999</v>
      </c>
      <c r="AT193" s="289">
        <v>1106</v>
      </c>
      <c r="AU193" s="289">
        <v>221</v>
      </c>
      <c r="AV193" s="625">
        <v>380344</v>
      </c>
      <c r="AW193" s="289">
        <v>-9.0824999999999996</v>
      </c>
      <c r="AX193" s="625">
        <v>172.375</v>
      </c>
      <c r="AY193" s="289">
        <v>4058</v>
      </c>
      <c r="AZ193" s="289">
        <v>715</v>
      </c>
      <c r="BA193" s="290">
        <v>432</v>
      </c>
      <c r="BB193" s="289">
        <v>0</v>
      </c>
      <c r="BC193" s="289">
        <v>3001</v>
      </c>
      <c r="BD193" s="289">
        <v>367.36110000000002</v>
      </c>
      <c r="BE193" s="289">
        <v>397715.73758469999</v>
      </c>
      <c r="BF193" s="289">
        <v>0</v>
      </c>
      <c r="BG193" s="289">
        <v>11</v>
      </c>
      <c r="BH193" s="289">
        <v>-145.7227</v>
      </c>
      <c r="BI193" s="289">
        <v>3160</v>
      </c>
      <c r="BJ193" s="289">
        <v>-18.3599</v>
      </c>
      <c r="BK193" s="289">
        <v>0</v>
      </c>
      <c r="BL193" s="289">
        <v>0</v>
      </c>
      <c r="BM193" s="289">
        <v>0</v>
      </c>
      <c r="BN193" s="289">
        <v>0</v>
      </c>
      <c r="BO193" s="517">
        <v>0</v>
      </c>
      <c r="BP193" s="517">
        <v>0</v>
      </c>
      <c r="BQ193" s="289">
        <f t="shared" si="4"/>
        <v>-18.359932496399999</v>
      </c>
      <c r="BR193" s="289">
        <v>0</v>
      </c>
      <c r="BS193" s="289">
        <f t="shared" si="5"/>
        <v>0</v>
      </c>
      <c r="BT193" s="289">
        <v>55</v>
      </c>
      <c r="BU193" s="289">
        <v>0</v>
      </c>
      <c r="BV193" s="289">
        <v>153</v>
      </c>
      <c r="BW193" s="289">
        <v>0</v>
      </c>
      <c r="BX193" s="289">
        <v>374.88400000000001</v>
      </c>
      <c r="CC193" s="517"/>
      <c r="CD193" s="85"/>
      <c r="CE193" s="517"/>
    </row>
    <row r="194" spans="1:83" ht="13">
      <c r="A194" s="1">
        <v>3028</v>
      </c>
      <c r="B194" s="2" t="s">
        <v>813</v>
      </c>
      <c r="C194" s="289">
        <v>10945</v>
      </c>
      <c r="D194" s="289">
        <v>204</v>
      </c>
      <c r="E194" s="289">
        <v>579</v>
      </c>
      <c r="F194" s="289">
        <v>1517</v>
      </c>
      <c r="G194" s="289">
        <v>917</v>
      </c>
      <c r="H194" s="289">
        <v>6322</v>
      </c>
      <c r="I194" s="289">
        <v>1112</v>
      </c>
      <c r="J194" s="289">
        <v>229</v>
      </c>
      <c r="K194" s="289">
        <v>53</v>
      </c>
      <c r="L194" s="289">
        <v>88</v>
      </c>
      <c r="M194" s="289">
        <v>536</v>
      </c>
      <c r="N194" s="290">
        <v>210</v>
      </c>
      <c r="O194" s="290">
        <v>101</v>
      </c>
      <c r="P194" s="624">
        <v>34747.717333330002</v>
      </c>
      <c r="Q194" s="624">
        <v>14551.236999999999</v>
      </c>
      <c r="R194" s="624">
        <v>35</v>
      </c>
      <c r="S194" s="289">
        <v>0</v>
      </c>
      <c r="T194" s="289">
        <v>719</v>
      </c>
      <c r="U194" s="716">
        <v>1.7361380007113892E-3</v>
      </c>
      <c r="V194" s="289">
        <v>2950.7285506100002</v>
      </c>
      <c r="W194" s="743">
        <v>0.58478889999999994</v>
      </c>
      <c r="X194" s="289">
        <v>2900</v>
      </c>
      <c r="Y194" s="289">
        <v>392</v>
      </c>
      <c r="Z194" s="289">
        <v>292839</v>
      </c>
      <c r="AA194" s="289">
        <v>0</v>
      </c>
      <c r="AB194" s="290">
        <v>185</v>
      </c>
      <c r="AC194" s="289">
        <v>0</v>
      </c>
      <c r="AD194" s="289">
        <v>0</v>
      </c>
      <c r="AE194" s="289">
        <v>0</v>
      </c>
      <c r="AF194" s="289">
        <v>0</v>
      </c>
      <c r="AG194" s="289">
        <v>10933</v>
      </c>
      <c r="AH194" s="289">
        <v>1718</v>
      </c>
      <c r="AI194" s="289">
        <v>200</v>
      </c>
      <c r="AJ194" s="289">
        <v>0</v>
      </c>
      <c r="AK194" s="289">
        <v>53.702599999999997</v>
      </c>
      <c r="AL194" s="289"/>
      <c r="AM194" s="622">
        <v>0.44674419999999998</v>
      </c>
      <c r="AN194" s="289">
        <v>0</v>
      </c>
      <c r="AO194" s="289">
        <v>-517.81415455000001</v>
      </c>
      <c r="AP194" s="289">
        <v>0</v>
      </c>
      <c r="AQ194" s="289">
        <v>0</v>
      </c>
      <c r="AR194" s="289">
        <v>-781.42738867000003</v>
      </c>
      <c r="AS194" s="289">
        <v>134.3629</v>
      </c>
      <c r="AT194" s="289">
        <v>653</v>
      </c>
      <c r="AU194" s="289">
        <v>158</v>
      </c>
      <c r="AV194" s="625">
        <v>246583</v>
      </c>
      <c r="AW194" s="289">
        <v>-5.5518000000000001</v>
      </c>
      <c r="AX194" s="625">
        <v>66.291666669999998</v>
      </c>
      <c r="AY194" s="289">
        <v>1855</v>
      </c>
      <c r="AZ194" s="289">
        <v>517</v>
      </c>
      <c r="BA194" s="290">
        <v>264</v>
      </c>
      <c r="BB194" s="289">
        <v>0</v>
      </c>
      <c r="BC194" s="289">
        <v>2073</v>
      </c>
      <c r="BD194" s="289">
        <v>228.00810000000001</v>
      </c>
      <c r="BE194" s="289">
        <v>251309.45527189999</v>
      </c>
      <c r="BF194" s="289">
        <v>0</v>
      </c>
      <c r="BG194" s="289">
        <v>11</v>
      </c>
      <c r="BH194" s="289">
        <v>-89.0745</v>
      </c>
      <c r="BI194" s="289">
        <v>2110</v>
      </c>
      <c r="BJ194" s="289">
        <v>-11.2227</v>
      </c>
      <c r="BK194" s="289">
        <v>0</v>
      </c>
      <c r="BL194" s="289">
        <v>0</v>
      </c>
      <c r="BM194" s="289">
        <v>0</v>
      </c>
      <c r="BN194" s="289">
        <v>0</v>
      </c>
      <c r="BO194" s="517">
        <v>0</v>
      </c>
      <c r="BP194" s="517">
        <v>0</v>
      </c>
      <c r="BQ194" s="289">
        <f t="shared" si="4"/>
        <v>-11.2226960742</v>
      </c>
      <c r="BR194" s="289">
        <v>0</v>
      </c>
      <c r="BS194" s="289">
        <f t="shared" si="5"/>
        <v>0</v>
      </c>
      <c r="BT194" s="289">
        <v>31</v>
      </c>
      <c r="BU194" s="289">
        <v>0</v>
      </c>
      <c r="BV194" s="289">
        <v>99</v>
      </c>
      <c r="BW194" s="289">
        <v>0</v>
      </c>
      <c r="BX194" s="289">
        <v>228.499</v>
      </c>
      <c r="CC194" s="517"/>
      <c r="CD194" s="85"/>
      <c r="CE194" s="517"/>
    </row>
    <row r="195" spans="1:83" ht="13">
      <c r="A195" s="1">
        <v>3029</v>
      </c>
      <c r="B195" s="2" t="s">
        <v>814</v>
      </c>
      <c r="C195" s="289">
        <v>38670</v>
      </c>
      <c r="D195" s="289">
        <v>873</v>
      </c>
      <c r="E195" s="289">
        <v>1771</v>
      </c>
      <c r="F195" s="289">
        <v>4860</v>
      </c>
      <c r="G195" s="289">
        <v>3371</v>
      </c>
      <c r="H195" s="289">
        <v>22229</v>
      </c>
      <c r="I195" s="289">
        <v>3958</v>
      </c>
      <c r="J195" s="289">
        <v>1015</v>
      </c>
      <c r="K195" s="289">
        <v>202</v>
      </c>
      <c r="L195" s="289">
        <v>277</v>
      </c>
      <c r="M195" s="289">
        <v>1993</v>
      </c>
      <c r="N195" s="290">
        <v>2151</v>
      </c>
      <c r="O195" s="290">
        <v>306</v>
      </c>
      <c r="P195" s="624">
        <v>54138.116333329999</v>
      </c>
      <c r="Q195" s="624">
        <v>31487.813999999998</v>
      </c>
      <c r="R195" s="624">
        <v>85</v>
      </c>
      <c r="S195" s="289">
        <v>0</v>
      </c>
      <c r="T195" s="289">
        <v>2803</v>
      </c>
      <c r="U195" s="716">
        <v>4.7948002621812512E-4</v>
      </c>
      <c r="V195" s="289">
        <v>537.93880313</v>
      </c>
      <c r="W195" s="743">
        <v>0.52594468999999999</v>
      </c>
      <c r="X195" s="289">
        <v>0</v>
      </c>
      <c r="Y195" s="289">
        <v>392</v>
      </c>
      <c r="Z195" s="289">
        <v>1265826</v>
      </c>
      <c r="AA195" s="289">
        <v>0</v>
      </c>
      <c r="AB195" s="290">
        <v>424</v>
      </c>
      <c r="AC195" s="289">
        <v>0</v>
      </c>
      <c r="AD195" s="289">
        <v>0</v>
      </c>
      <c r="AE195" s="289">
        <v>24336</v>
      </c>
      <c r="AF195" s="289">
        <v>0</v>
      </c>
      <c r="AG195" s="289">
        <v>38279</v>
      </c>
      <c r="AH195" s="289">
        <v>5546</v>
      </c>
      <c r="AI195" s="289">
        <v>200</v>
      </c>
      <c r="AJ195" s="289">
        <v>0</v>
      </c>
      <c r="AK195" s="289">
        <v>177.71180000000001</v>
      </c>
      <c r="AL195" s="289"/>
      <c r="AM195" s="622">
        <v>1.4417966499999999</v>
      </c>
      <c r="AN195" s="289">
        <v>0</v>
      </c>
      <c r="AO195" s="289">
        <v>-1721.6766196000001</v>
      </c>
      <c r="AP195" s="289">
        <v>0</v>
      </c>
      <c r="AQ195" s="289">
        <v>0</v>
      </c>
      <c r="AR195" s="289">
        <v>-2735.9607620100001</v>
      </c>
      <c r="AS195" s="289">
        <v>565.78890000000001</v>
      </c>
      <c r="AT195" s="289">
        <v>2307</v>
      </c>
      <c r="AU195" s="289">
        <v>481</v>
      </c>
      <c r="AV195" s="625">
        <v>740793</v>
      </c>
      <c r="AW195" s="289">
        <v>-19.437999999999999</v>
      </c>
      <c r="AX195" s="625">
        <v>290.41666670000001</v>
      </c>
      <c r="AY195" s="289">
        <v>9349</v>
      </c>
      <c r="AZ195" s="289">
        <v>1818</v>
      </c>
      <c r="BA195" s="290">
        <v>815</v>
      </c>
      <c r="BB195" s="289">
        <v>0</v>
      </c>
      <c r="BC195" s="289">
        <v>5966</v>
      </c>
      <c r="BD195" s="289">
        <v>736.04939999999999</v>
      </c>
      <c r="BE195" s="289">
        <v>788944.30159354</v>
      </c>
      <c r="BF195" s="289">
        <v>0</v>
      </c>
      <c r="BG195" s="289">
        <v>11</v>
      </c>
      <c r="BH195" s="289">
        <v>-311.8707</v>
      </c>
      <c r="BI195" s="289">
        <v>5938</v>
      </c>
      <c r="BJ195" s="289">
        <v>-39.293300000000002</v>
      </c>
      <c r="BK195" s="289">
        <v>0</v>
      </c>
      <c r="BL195" s="289">
        <v>0</v>
      </c>
      <c r="BM195" s="289">
        <v>0</v>
      </c>
      <c r="BN195" s="289">
        <v>0</v>
      </c>
      <c r="BO195" s="517">
        <v>0</v>
      </c>
      <c r="BP195" s="517">
        <v>0</v>
      </c>
      <c r="BQ195" s="289">
        <f t="shared" si="4"/>
        <v>-39.293293974599997</v>
      </c>
      <c r="BR195" s="289">
        <v>0</v>
      </c>
      <c r="BS195" s="289">
        <f t="shared" si="5"/>
        <v>0</v>
      </c>
      <c r="BT195" s="289">
        <v>102</v>
      </c>
      <c r="BU195" s="289">
        <v>0</v>
      </c>
      <c r="BV195" s="289">
        <v>329</v>
      </c>
      <c r="BW195" s="289">
        <v>351.041</v>
      </c>
      <c r="BX195" s="289">
        <v>818.23599999999999</v>
      </c>
      <c r="CC195" s="517"/>
      <c r="CD195" s="85"/>
      <c r="CE195" s="517"/>
    </row>
    <row r="196" spans="1:83" ht="13">
      <c r="A196" s="1">
        <v>3031</v>
      </c>
      <c r="B196" s="2" t="s">
        <v>816</v>
      </c>
      <c r="C196" s="289">
        <v>23545</v>
      </c>
      <c r="D196" s="289">
        <v>526</v>
      </c>
      <c r="E196" s="289">
        <v>1237</v>
      </c>
      <c r="F196" s="289">
        <v>3390</v>
      </c>
      <c r="G196" s="289">
        <v>2104</v>
      </c>
      <c r="H196" s="289">
        <v>13281</v>
      </c>
      <c r="I196" s="289">
        <v>2210</v>
      </c>
      <c r="J196" s="289">
        <v>614</v>
      </c>
      <c r="K196" s="289">
        <v>92</v>
      </c>
      <c r="L196" s="289">
        <v>177</v>
      </c>
      <c r="M196" s="289">
        <v>1168</v>
      </c>
      <c r="N196" s="290">
        <v>483</v>
      </c>
      <c r="O196" s="290">
        <v>164</v>
      </c>
      <c r="P196" s="624">
        <v>56844.114999999998</v>
      </c>
      <c r="Q196" s="624">
        <v>22495.631000000001</v>
      </c>
      <c r="R196" s="624">
        <v>78</v>
      </c>
      <c r="S196" s="289">
        <v>0</v>
      </c>
      <c r="T196" s="289">
        <v>1493</v>
      </c>
      <c r="U196" s="716">
        <v>1.1670528043105652E-3</v>
      </c>
      <c r="V196" s="289">
        <v>5836.1122278800003</v>
      </c>
      <c r="W196" s="743">
        <v>0.54592015999999999</v>
      </c>
      <c r="X196" s="289">
        <v>3100</v>
      </c>
      <c r="Y196" s="289">
        <v>392</v>
      </c>
      <c r="Z196" s="289">
        <v>775033</v>
      </c>
      <c r="AA196" s="289">
        <v>0</v>
      </c>
      <c r="AB196" s="290">
        <v>309</v>
      </c>
      <c r="AC196" s="289">
        <v>0</v>
      </c>
      <c r="AD196" s="289">
        <v>0</v>
      </c>
      <c r="AE196" s="289">
        <v>0</v>
      </c>
      <c r="AF196" s="289">
        <v>0</v>
      </c>
      <c r="AG196" s="289">
        <v>23454</v>
      </c>
      <c r="AH196" s="289">
        <v>3801</v>
      </c>
      <c r="AI196" s="289">
        <v>0</v>
      </c>
      <c r="AJ196" s="289">
        <v>0</v>
      </c>
      <c r="AK196" s="289">
        <v>123.73609999999999</v>
      </c>
      <c r="AL196" s="289"/>
      <c r="AM196" s="622">
        <v>0.55798033000000002</v>
      </c>
      <c r="AN196" s="289">
        <v>0</v>
      </c>
      <c r="AO196" s="289">
        <v>-1115.1942308499999</v>
      </c>
      <c r="AP196" s="289">
        <v>0</v>
      </c>
      <c r="AQ196" s="289">
        <v>0</v>
      </c>
      <c r="AR196" s="289">
        <v>-1676.3558011499999</v>
      </c>
      <c r="AS196" s="289">
        <v>257.02440000000001</v>
      </c>
      <c r="AT196" s="289">
        <v>1400</v>
      </c>
      <c r="AU196" s="289">
        <v>260</v>
      </c>
      <c r="AV196" s="625">
        <v>517407</v>
      </c>
      <c r="AW196" s="289">
        <v>-11.9099</v>
      </c>
      <c r="AX196" s="625">
        <v>212.75</v>
      </c>
      <c r="AY196" s="289">
        <v>6054</v>
      </c>
      <c r="AZ196" s="289">
        <v>826</v>
      </c>
      <c r="BA196" s="290">
        <v>537</v>
      </c>
      <c r="BB196" s="289">
        <v>0</v>
      </c>
      <c r="BC196" s="289">
        <v>4036</v>
      </c>
      <c r="BD196" s="289">
        <v>504.45800000000003</v>
      </c>
      <c r="BE196" s="289">
        <v>539649.69697906997</v>
      </c>
      <c r="BF196" s="289">
        <v>0</v>
      </c>
      <c r="BG196" s="289">
        <v>11</v>
      </c>
      <c r="BH196" s="289">
        <v>-191.08690000000001</v>
      </c>
      <c r="BI196" s="289">
        <v>4193</v>
      </c>
      <c r="BJ196" s="289">
        <v>-24.075500000000002</v>
      </c>
      <c r="BK196" s="289">
        <v>0</v>
      </c>
      <c r="BL196" s="289">
        <v>0</v>
      </c>
      <c r="BM196" s="289">
        <v>0</v>
      </c>
      <c r="BN196" s="289">
        <v>0</v>
      </c>
      <c r="BO196" s="517">
        <v>0</v>
      </c>
      <c r="BP196" s="517">
        <v>0</v>
      </c>
      <c r="BQ196" s="289">
        <f t="shared" ref="BQ196:BQ259" si="6">-1.0264974*AG196/1000</f>
        <v>-24.075470019600001</v>
      </c>
      <c r="BR196" s="289">
        <v>0</v>
      </c>
      <c r="BS196" s="289">
        <f t="shared" ref="BS196:BS259" si="7">+BR196-AD196</f>
        <v>0</v>
      </c>
      <c r="BT196" s="289">
        <v>71</v>
      </c>
      <c r="BU196" s="289">
        <v>0</v>
      </c>
      <c r="BV196" s="289">
        <v>205</v>
      </c>
      <c r="BW196" s="289">
        <v>275.59399999999999</v>
      </c>
      <c r="BX196" s="289">
        <v>495.17899999999997</v>
      </c>
      <c r="CC196" s="517"/>
      <c r="CD196" s="85"/>
      <c r="CE196" s="517"/>
    </row>
    <row r="197" spans="1:83" ht="13">
      <c r="A197" s="1">
        <v>3032</v>
      </c>
      <c r="B197" s="2" t="s">
        <v>817</v>
      </c>
      <c r="C197" s="289">
        <v>6704</v>
      </c>
      <c r="D197" s="289">
        <v>127</v>
      </c>
      <c r="E197" s="289">
        <v>309</v>
      </c>
      <c r="F197" s="289">
        <v>928</v>
      </c>
      <c r="G197" s="289">
        <v>611</v>
      </c>
      <c r="H197" s="289">
        <v>3774</v>
      </c>
      <c r="I197" s="289">
        <v>628</v>
      </c>
      <c r="J197" s="289">
        <v>194</v>
      </c>
      <c r="K197" s="289">
        <v>23</v>
      </c>
      <c r="L197" s="289">
        <v>52</v>
      </c>
      <c r="M197" s="289">
        <v>298</v>
      </c>
      <c r="N197" s="290">
        <v>85</v>
      </c>
      <c r="O197" s="290">
        <v>60</v>
      </c>
      <c r="P197" s="624">
        <v>20524.401999999998</v>
      </c>
      <c r="Q197" s="624">
        <v>9890.0023333299996</v>
      </c>
      <c r="R197" s="624">
        <v>24</v>
      </c>
      <c r="S197" s="289">
        <v>0</v>
      </c>
      <c r="T197" s="289">
        <v>361</v>
      </c>
      <c r="U197" s="716">
        <v>1.4031932164453071E-3</v>
      </c>
      <c r="V197" s="289">
        <v>923.01080659000002</v>
      </c>
      <c r="W197" s="743">
        <v>0.56374917000000002</v>
      </c>
      <c r="X197" s="289">
        <v>1300</v>
      </c>
      <c r="Y197" s="289">
        <v>330</v>
      </c>
      <c r="Z197" s="289">
        <v>242251</v>
      </c>
      <c r="AA197" s="289">
        <v>0</v>
      </c>
      <c r="AB197" s="290">
        <v>104</v>
      </c>
      <c r="AC197" s="289">
        <v>0</v>
      </c>
      <c r="AD197" s="289">
        <v>0</v>
      </c>
      <c r="AE197" s="289">
        <v>0</v>
      </c>
      <c r="AF197" s="289">
        <v>0</v>
      </c>
      <c r="AG197" s="289">
        <v>6594</v>
      </c>
      <c r="AH197" s="289">
        <v>1041</v>
      </c>
      <c r="AI197" s="289">
        <v>300</v>
      </c>
      <c r="AJ197" s="289">
        <v>0</v>
      </c>
      <c r="AK197" s="289">
        <v>30.555399999999999</v>
      </c>
      <c r="AL197" s="289"/>
      <c r="AM197" s="622">
        <v>9.3185889999999993E-2</v>
      </c>
      <c r="AN197" s="289">
        <v>0</v>
      </c>
      <c r="AO197" s="289">
        <v>-312.50410058</v>
      </c>
      <c r="AP197" s="289">
        <v>0</v>
      </c>
      <c r="AQ197" s="289">
        <v>0</v>
      </c>
      <c r="AR197" s="289">
        <v>-471.30085072000003</v>
      </c>
      <c r="AS197" s="289">
        <v>63.488700000000001</v>
      </c>
      <c r="AT197" s="289">
        <v>397</v>
      </c>
      <c r="AU197" s="289">
        <v>47</v>
      </c>
      <c r="AV197" s="625">
        <v>147351</v>
      </c>
      <c r="AW197" s="289">
        <v>-3.3483999999999998</v>
      </c>
      <c r="AX197" s="625">
        <v>49.75</v>
      </c>
      <c r="AY197" s="289">
        <v>1448</v>
      </c>
      <c r="AZ197" s="289">
        <v>214</v>
      </c>
      <c r="BA197" s="290">
        <v>135</v>
      </c>
      <c r="BB197" s="289">
        <v>0</v>
      </c>
      <c r="BC197" s="289">
        <v>1308</v>
      </c>
      <c r="BD197" s="289">
        <v>138.15860000000001</v>
      </c>
      <c r="BE197" s="289">
        <v>150565.81201125</v>
      </c>
      <c r="BF197" s="289">
        <v>0</v>
      </c>
      <c r="BG197" s="289">
        <v>11</v>
      </c>
      <c r="BH197" s="289">
        <v>-53.723300000000002</v>
      </c>
      <c r="BI197" s="289">
        <v>1371</v>
      </c>
      <c r="BJ197" s="289">
        <v>-6.7686999999999999</v>
      </c>
      <c r="BK197" s="289">
        <v>0</v>
      </c>
      <c r="BL197" s="289">
        <v>0</v>
      </c>
      <c r="BM197" s="289">
        <v>0</v>
      </c>
      <c r="BN197" s="289">
        <v>0</v>
      </c>
      <c r="BO197" s="517">
        <v>0</v>
      </c>
      <c r="BP197" s="517">
        <v>0</v>
      </c>
      <c r="BQ197" s="289">
        <f t="shared" si="6"/>
        <v>-6.7687238556000002</v>
      </c>
      <c r="BR197" s="289">
        <v>0</v>
      </c>
      <c r="BS197" s="289">
        <f t="shared" si="7"/>
        <v>0</v>
      </c>
      <c r="BT197" s="289">
        <v>17</v>
      </c>
      <c r="BU197" s="289">
        <v>0</v>
      </c>
      <c r="BV197" s="289">
        <v>62</v>
      </c>
      <c r="BW197" s="289">
        <v>0</v>
      </c>
      <c r="BX197" s="289">
        <v>141.21299999999999</v>
      </c>
      <c r="CC197" s="517"/>
      <c r="CD197" s="85"/>
      <c r="CE197" s="517"/>
    </row>
    <row r="198" spans="1:83" ht="13">
      <c r="A198" s="1">
        <v>3033</v>
      </c>
      <c r="B198" s="2" t="s">
        <v>818</v>
      </c>
      <c r="C198" s="289">
        <v>36576</v>
      </c>
      <c r="D198" s="289">
        <v>816</v>
      </c>
      <c r="E198" s="289">
        <v>1880</v>
      </c>
      <c r="F198" s="289">
        <v>5042</v>
      </c>
      <c r="G198" s="289">
        <v>3024</v>
      </c>
      <c r="H198" s="289">
        <v>20826</v>
      </c>
      <c r="I198" s="289">
        <v>3171</v>
      </c>
      <c r="J198" s="289">
        <v>871</v>
      </c>
      <c r="K198" s="289">
        <v>148</v>
      </c>
      <c r="L198" s="289">
        <v>264</v>
      </c>
      <c r="M198" s="289">
        <v>1801</v>
      </c>
      <c r="N198" s="290">
        <v>1517</v>
      </c>
      <c r="O198" s="290">
        <v>344</v>
      </c>
      <c r="P198" s="624">
        <v>78794.75666667</v>
      </c>
      <c r="Q198" s="624">
        <v>53129.836666670002</v>
      </c>
      <c r="R198" s="624">
        <v>66</v>
      </c>
      <c r="S198" s="289">
        <v>0</v>
      </c>
      <c r="T198" s="289">
        <v>2628</v>
      </c>
      <c r="U198" s="716">
        <v>4.2322068988639031E-3</v>
      </c>
      <c r="V198" s="289">
        <v>-55.88772925</v>
      </c>
      <c r="W198" s="743">
        <v>0.54696679999999998</v>
      </c>
      <c r="X198" s="289">
        <v>5400</v>
      </c>
      <c r="Y198" s="289">
        <v>392</v>
      </c>
      <c r="Z198" s="289">
        <v>1072566</v>
      </c>
      <c r="AA198" s="289">
        <v>0</v>
      </c>
      <c r="AB198" s="290">
        <v>496</v>
      </c>
      <c r="AC198" s="289">
        <v>0</v>
      </c>
      <c r="AD198" s="289">
        <v>0</v>
      </c>
      <c r="AE198" s="289">
        <v>25412</v>
      </c>
      <c r="AF198" s="289">
        <v>-11920</v>
      </c>
      <c r="AG198" s="289">
        <v>35778</v>
      </c>
      <c r="AH198" s="289">
        <v>5612</v>
      </c>
      <c r="AI198" s="289">
        <v>200</v>
      </c>
      <c r="AJ198" s="289">
        <v>0</v>
      </c>
      <c r="AK198" s="289">
        <v>181.11179999999999</v>
      </c>
      <c r="AL198" s="289"/>
      <c r="AM198" s="622">
        <v>1.8660748199999999</v>
      </c>
      <c r="AN198" s="289">
        <v>0</v>
      </c>
      <c r="AO198" s="289">
        <v>-1674.8837741100001</v>
      </c>
      <c r="AP198" s="289">
        <v>0</v>
      </c>
      <c r="AQ198" s="289">
        <v>0</v>
      </c>
      <c r="AR198" s="289">
        <v>-2557.2037969399998</v>
      </c>
      <c r="AS198" s="289">
        <v>530.09690000000001</v>
      </c>
      <c r="AT198" s="289">
        <v>2417</v>
      </c>
      <c r="AU198" s="289">
        <v>579</v>
      </c>
      <c r="AV198" s="625">
        <v>766365</v>
      </c>
      <c r="AW198" s="289">
        <v>-18.167999999999999</v>
      </c>
      <c r="AX198" s="625">
        <v>299.70833329999999</v>
      </c>
      <c r="AY198" s="289">
        <v>6663</v>
      </c>
      <c r="AZ198" s="289">
        <v>1643</v>
      </c>
      <c r="BA198" s="290">
        <v>1051</v>
      </c>
      <c r="BB198" s="289">
        <v>0</v>
      </c>
      <c r="BC198" s="289">
        <v>-5764</v>
      </c>
      <c r="BD198" s="289">
        <v>744.80880000000002</v>
      </c>
      <c r="BE198" s="289">
        <v>800987.39836256998</v>
      </c>
      <c r="BF198" s="289">
        <v>0</v>
      </c>
      <c r="BG198" s="289">
        <v>11</v>
      </c>
      <c r="BH198" s="289">
        <v>-291.49430000000001</v>
      </c>
      <c r="BI198" s="289">
        <v>-5916</v>
      </c>
      <c r="BJ198" s="289">
        <v>-36.725999999999999</v>
      </c>
      <c r="BK198" s="289">
        <v>0</v>
      </c>
      <c r="BL198" s="289">
        <v>0</v>
      </c>
      <c r="BM198" s="289">
        <v>0</v>
      </c>
      <c r="BN198" s="289">
        <v>0</v>
      </c>
      <c r="BO198" s="517">
        <v>0</v>
      </c>
      <c r="BP198" s="517">
        <v>0</v>
      </c>
      <c r="BQ198" s="289">
        <f t="shared" si="6"/>
        <v>-36.726023977200001</v>
      </c>
      <c r="BR198" s="289">
        <v>0</v>
      </c>
      <c r="BS198" s="289">
        <f t="shared" si="7"/>
        <v>0</v>
      </c>
      <c r="BT198" s="289">
        <v>104</v>
      </c>
      <c r="BU198" s="289">
        <v>0</v>
      </c>
      <c r="BV198" s="289">
        <v>308</v>
      </c>
      <c r="BW198" s="289">
        <v>0</v>
      </c>
      <c r="BX198" s="289">
        <v>774.447</v>
      </c>
      <c r="CC198" s="517"/>
      <c r="CD198" s="85"/>
      <c r="CE198" s="517"/>
    </row>
    <row r="199" spans="1:83" ht="13">
      <c r="A199" s="1">
        <v>3034</v>
      </c>
      <c r="B199" s="2" t="s">
        <v>819</v>
      </c>
      <c r="C199" s="289">
        <v>21681</v>
      </c>
      <c r="D199" s="289">
        <v>512</v>
      </c>
      <c r="E199" s="289">
        <v>1037</v>
      </c>
      <c r="F199" s="289">
        <v>2565</v>
      </c>
      <c r="G199" s="289">
        <v>1852</v>
      </c>
      <c r="H199" s="289">
        <v>12542</v>
      </c>
      <c r="I199" s="289">
        <v>2240</v>
      </c>
      <c r="J199" s="289">
        <v>627</v>
      </c>
      <c r="K199" s="289">
        <v>141</v>
      </c>
      <c r="L199" s="289">
        <v>185</v>
      </c>
      <c r="M199" s="289">
        <v>1244</v>
      </c>
      <c r="N199" s="290">
        <v>337</v>
      </c>
      <c r="O199" s="290">
        <v>161</v>
      </c>
      <c r="P199" s="624">
        <v>95608.101999999999</v>
      </c>
      <c r="Q199" s="624">
        <v>47683.006000000001</v>
      </c>
      <c r="R199" s="624">
        <v>79</v>
      </c>
      <c r="S199" s="289">
        <v>0</v>
      </c>
      <c r="T199" s="289">
        <v>1523</v>
      </c>
      <c r="U199" s="716">
        <v>7.2953518014399216E-3</v>
      </c>
      <c r="V199" s="289">
        <v>3500.8693970499999</v>
      </c>
      <c r="W199" s="743">
        <v>0.61059229000000004</v>
      </c>
      <c r="X199" s="289">
        <v>3900</v>
      </c>
      <c r="Y199" s="289">
        <v>392</v>
      </c>
      <c r="Z199" s="289">
        <v>563996</v>
      </c>
      <c r="AA199" s="289">
        <v>0</v>
      </c>
      <c r="AB199" s="290">
        <v>387</v>
      </c>
      <c r="AC199" s="289">
        <v>0</v>
      </c>
      <c r="AD199" s="289">
        <v>0</v>
      </c>
      <c r="AE199" s="289">
        <v>4247</v>
      </c>
      <c r="AF199" s="289">
        <v>0</v>
      </c>
      <c r="AG199" s="289">
        <v>21516</v>
      </c>
      <c r="AH199" s="289">
        <v>3083</v>
      </c>
      <c r="AI199" s="289">
        <v>200</v>
      </c>
      <c r="AJ199" s="289">
        <v>0</v>
      </c>
      <c r="AK199" s="289">
        <v>101.8105</v>
      </c>
      <c r="AL199" s="289"/>
      <c r="AM199" s="622">
        <v>0.71976576000000003</v>
      </c>
      <c r="AN199" s="289">
        <v>0</v>
      </c>
      <c r="AO199" s="289">
        <v>-1012.0129011400001</v>
      </c>
      <c r="AP199" s="289">
        <v>0</v>
      </c>
      <c r="AQ199" s="289">
        <v>0</v>
      </c>
      <c r="AR199" s="289">
        <v>-1537.83880862</v>
      </c>
      <c r="AS199" s="289">
        <v>258.80040000000002</v>
      </c>
      <c r="AT199" s="289">
        <v>1358</v>
      </c>
      <c r="AU199" s="289">
        <v>266</v>
      </c>
      <c r="AV199" s="625">
        <v>460507</v>
      </c>
      <c r="AW199" s="289">
        <v>-10.925800000000001</v>
      </c>
      <c r="AX199" s="625">
        <v>204.58333332999999</v>
      </c>
      <c r="AY199" s="289">
        <v>3402</v>
      </c>
      <c r="AZ199" s="289">
        <v>899</v>
      </c>
      <c r="BA199" s="290">
        <v>500</v>
      </c>
      <c r="BB199" s="289">
        <v>0</v>
      </c>
      <c r="BC199" s="289">
        <v>3315</v>
      </c>
      <c r="BD199" s="289">
        <v>409.16699999999997</v>
      </c>
      <c r="BE199" s="289">
        <v>486792.83332784998</v>
      </c>
      <c r="BF199" s="289">
        <v>0</v>
      </c>
      <c r="BG199" s="289">
        <v>11</v>
      </c>
      <c r="BH199" s="289">
        <v>-175.29740000000001</v>
      </c>
      <c r="BI199" s="289">
        <v>3475</v>
      </c>
      <c r="BJ199" s="289">
        <v>-22.086099999999998</v>
      </c>
      <c r="BK199" s="289">
        <v>0</v>
      </c>
      <c r="BL199" s="289">
        <v>0</v>
      </c>
      <c r="BM199" s="289">
        <v>0</v>
      </c>
      <c r="BN199" s="289">
        <v>0</v>
      </c>
      <c r="BO199" s="517">
        <v>0</v>
      </c>
      <c r="BP199" s="517">
        <v>0</v>
      </c>
      <c r="BQ199" s="289">
        <f t="shared" si="6"/>
        <v>-22.0861180584</v>
      </c>
      <c r="BR199" s="289">
        <v>0</v>
      </c>
      <c r="BS199" s="289">
        <f t="shared" si="7"/>
        <v>0</v>
      </c>
      <c r="BT199" s="289">
        <v>58</v>
      </c>
      <c r="BU199" s="289">
        <v>0</v>
      </c>
      <c r="BV199" s="289">
        <v>198</v>
      </c>
      <c r="BW199" s="289">
        <v>266.16300000000001</v>
      </c>
      <c r="BX199" s="289">
        <v>453.11399999999998</v>
      </c>
      <c r="CC199" s="517"/>
      <c r="CD199" s="85"/>
      <c r="CE199" s="517"/>
    </row>
    <row r="200" spans="1:83" ht="13">
      <c r="A200" s="1">
        <v>3035</v>
      </c>
      <c r="B200" s="2" t="s">
        <v>820</v>
      </c>
      <c r="C200" s="289">
        <v>24647</v>
      </c>
      <c r="D200" s="289">
        <v>576</v>
      </c>
      <c r="E200" s="289">
        <v>1238</v>
      </c>
      <c r="F200" s="289">
        <v>3125</v>
      </c>
      <c r="G200" s="289">
        <v>2028</v>
      </c>
      <c r="H200" s="289">
        <v>14276</v>
      </c>
      <c r="I200" s="289">
        <v>2565</v>
      </c>
      <c r="J200" s="289">
        <v>633</v>
      </c>
      <c r="K200" s="289">
        <v>148</v>
      </c>
      <c r="L200" s="289">
        <v>203</v>
      </c>
      <c r="M200" s="289">
        <v>1484</v>
      </c>
      <c r="N200" s="290">
        <v>553</v>
      </c>
      <c r="O200" s="290">
        <v>252</v>
      </c>
      <c r="P200" s="624">
        <v>62096.805</v>
      </c>
      <c r="Q200" s="624">
        <v>35476.827666669997</v>
      </c>
      <c r="R200" s="624">
        <v>90</v>
      </c>
      <c r="S200" s="289">
        <v>0</v>
      </c>
      <c r="T200" s="289">
        <v>1962</v>
      </c>
      <c r="U200" s="716">
        <v>4.1237327183462095E-3</v>
      </c>
      <c r="V200" s="289">
        <v>3948.95850823</v>
      </c>
      <c r="W200" s="743">
        <v>0.57124819999999998</v>
      </c>
      <c r="X200" s="289">
        <v>4000</v>
      </c>
      <c r="Y200" s="289">
        <v>392</v>
      </c>
      <c r="Z200" s="289">
        <v>626457</v>
      </c>
      <c r="AA200" s="289">
        <v>0</v>
      </c>
      <c r="AB200" s="290">
        <v>449</v>
      </c>
      <c r="AC200" s="289">
        <v>0</v>
      </c>
      <c r="AD200" s="289">
        <v>0</v>
      </c>
      <c r="AE200" s="289">
        <v>14997</v>
      </c>
      <c r="AF200" s="289">
        <v>0</v>
      </c>
      <c r="AG200" s="289">
        <v>24589</v>
      </c>
      <c r="AH200" s="289">
        <v>3669</v>
      </c>
      <c r="AI200" s="289">
        <v>0</v>
      </c>
      <c r="AJ200" s="289">
        <v>0</v>
      </c>
      <c r="AK200" s="289">
        <v>120.7864</v>
      </c>
      <c r="AL200" s="289"/>
      <c r="AM200" s="622">
        <v>0.87867839999999997</v>
      </c>
      <c r="AN200" s="289">
        <v>0</v>
      </c>
      <c r="AO200" s="289">
        <v>-1169.8065606099999</v>
      </c>
      <c r="AP200" s="289">
        <v>0</v>
      </c>
      <c r="AQ200" s="289">
        <v>0</v>
      </c>
      <c r="AR200" s="289">
        <v>-1757.479014</v>
      </c>
      <c r="AS200" s="289">
        <v>323.625</v>
      </c>
      <c r="AT200" s="289">
        <v>1613</v>
      </c>
      <c r="AU200" s="289">
        <v>330</v>
      </c>
      <c r="AV200" s="625">
        <v>570537</v>
      </c>
      <c r="AW200" s="289">
        <v>-12.4862</v>
      </c>
      <c r="AX200" s="625">
        <v>222.75</v>
      </c>
      <c r="AY200" s="289">
        <v>4345</v>
      </c>
      <c r="AZ200" s="289">
        <v>984</v>
      </c>
      <c r="BA200" s="290">
        <v>746</v>
      </c>
      <c r="BB200" s="289">
        <v>0</v>
      </c>
      <c r="BC200" s="289">
        <v>3846</v>
      </c>
      <c r="BD200" s="289">
        <v>486.9393</v>
      </c>
      <c r="BE200" s="289">
        <v>579670.62941759999</v>
      </c>
      <c r="BF200" s="289">
        <v>0</v>
      </c>
      <c r="BG200" s="289">
        <v>11</v>
      </c>
      <c r="BH200" s="289">
        <v>-200.33410000000001</v>
      </c>
      <c r="BI200" s="289">
        <v>4061</v>
      </c>
      <c r="BJ200" s="289">
        <v>-25.240500000000001</v>
      </c>
      <c r="BK200" s="289">
        <v>0</v>
      </c>
      <c r="BL200" s="289">
        <v>0</v>
      </c>
      <c r="BM200" s="289">
        <v>0</v>
      </c>
      <c r="BN200" s="289">
        <v>0</v>
      </c>
      <c r="BO200" s="517">
        <v>0</v>
      </c>
      <c r="BP200" s="517">
        <v>0</v>
      </c>
      <c r="BQ200" s="289">
        <f t="shared" si="6"/>
        <v>-25.240544568599997</v>
      </c>
      <c r="BR200" s="289">
        <v>0</v>
      </c>
      <c r="BS200" s="289">
        <f t="shared" si="7"/>
        <v>0</v>
      </c>
      <c r="BT200" s="289">
        <v>69</v>
      </c>
      <c r="BU200" s="289">
        <v>0</v>
      </c>
      <c r="BV200" s="289">
        <v>218</v>
      </c>
      <c r="BW200" s="289">
        <v>0</v>
      </c>
      <c r="BX200" s="289">
        <v>516.42899999999997</v>
      </c>
      <c r="CC200" s="517"/>
      <c r="CD200" s="85"/>
      <c r="CE200" s="517"/>
    </row>
    <row r="201" spans="1:83" ht="13">
      <c r="A201" s="1">
        <v>3036</v>
      </c>
      <c r="B201" s="2" t="s">
        <v>821</v>
      </c>
      <c r="C201" s="289">
        <v>13240</v>
      </c>
      <c r="D201" s="289">
        <v>297</v>
      </c>
      <c r="E201" s="289">
        <v>648</v>
      </c>
      <c r="F201" s="289">
        <v>1779</v>
      </c>
      <c r="G201" s="289">
        <v>1082</v>
      </c>
      <c r="H201" s="289">
        <v>7638</v>
      </c>
      <c r="I201" s="289">
        <v>1161</v>
      </c>
      <c r="J201" s="289">
        <v>300</v>
      </c>
      <c r="K201" s="289">
        <v>55</v>
      </c>
      <c r="L201" s="289">
        <v>103</v>
      </c>
      <c r="M201" s="289">
        <v>644</v>
      </c>
      <c r="N201" s="290">
        <v>291</v>
      </c>
      <c r="O201" s="290">
        <v>138</v>
      </c>
      <c r="P201" s="624">
        <v>30227.604666669999</v>
      </c>
      <c r="Q201" s="624">
        <v>24095.373333330001</v>
      </c>
      <c r="R201" s="624">
        <v>51</v>
      </c>
      <c r="S201" s="289">
        <v>0</v>
      </c>
      <c r="T201" s="289">
        <v>897</v>
      </c>
      <c r="U201" s="716">
        <v>2.9749937814816086E-3</v>
      </c>
      <c r="V201" s="289">
        <v>3113.5300332100001</v>
      </c>
      <c r="W201" s="743">
        <v>0.58453838000000002</v>
      </c>
      <c r="X201" s="289">
        <v>4800</v>
      </c>
      <c r="Y201" s="289">
        <v>392</v>
      </c>
      <c r="Z201" s="289">
        <v>355948</v>
      </c>
      <c r="AA201" s="289">
        <v>0</v>
      </c>
      <c r="AB201" s="290">
        <v>178</v>
      </c>
      <c r="AC201" s="289">
        <v>0</v>
      </c>
      <c r="AD201" s="289">
        <v>0</v>
      </c>
      <c r="AE201" s="289">
        <v>8939</v>
      </c>
      <c r="AF201" s="289">
        <v>-7430</v>
      </c>
      <c r="AG201" s="289">
        <v>12960</v>
      </c>
      <c r="AH201" s="289">
        <v>1965</v>
      </c>
      <c r="AI201" s="289">
        <v>0</v>
      </c>
      <c r="AJ201" s="289">
        <v>0</v>
      </c>
      <c r="AK201" s="289">
        <v>62.047899999999998</v>
      </c>
      <c r="AL201" s="289"/>
      <c r="AM201" s="622">
        <v>0.38818098000000001</v>
      </c>
      <c r="AN201" s="289">
        <v>0</v>
      </c>
      <c r="AO201" s="289">
        <v>-612.06029278000005</v>
      </c>
      <c r="AP201" s="289">
        <v>0</v>
      </c>
      <c r="AQ201" s="289">
        <v>0</v>
      </c>
      <c r="AR201" s="289">
        <v>-926.30558467000003</v>
      </c>
      <c r="AS201" s="289">
        <v>154.06639999999999</v>
      </c>
      <c r="AT201" s="289">
        <v>824</v>
      </c>
      <c r="AU201" s="289">
        <v>163</v>
      </c>
      <c r="AV201" s="625">
        <v>279892</v>
      </c>
      <c r="AW201" s="289">
        <v>-6.5811000000000002</v>
      </c>
      <c r="AX201" s="625">
        <v>106.95833333</v>
      </c>
      <c r="AY201" s="289">
        <v>2012</v>
      </c>
      <c r="AZ201" s="289">
        <v>463</v>
      </c>
      <c r="BA201" s="290">
        <v>341</v>
      </c>
      <c r="BB201" s="289">
        <v>0</v>
      </c>
      <c r="BC201" s="289">
        <v>-5186</v>
      </c>
      <c r="BD201" s="289">
        <v>260.78919999999999</v>
      </c>
      <c r="BE201" s="289">
        <v>298438.3661255</v>
      </c>
      <c r="BF201" s="289">
        <v>0</v>
      </c>
      <c r="BG201" s="289">
        <v>11</v>
      </c>
      <c r="BH201" s="289">
        <v>-105.5891</v>
      </c>
      <c r="BI201" s="289">
        <v>-5073</v>
      </c>
      <c r="BJ201" s="289">
        <v>-13.3034</v>
      </c>
      <c r="BK201" s="289">
        <v>0</v>
      </c>
      <c r="BL201" s="289">
        <v>0</v>
      </c>
      <c r="BM201" s="289">
        <v>0</v>
      </c>
      <c r="BN201" s="289">
        <v>0</v>
      </c>
      <c r="BO201" s="517">
        <v>0</v>
      </c>
      <c r="BP201" s="517">
        <v>0</v>
      </c>
      <c r="BQ201" s="289">
        <f t="shared" si="6"/>
        <v>-13.303406303999999</v>
      </c>
      <c r="BR201" s="289">
        <v>0</v>
      </c>
      <c r="BS201" s="289">
        <f t="shared" si="7"/>
        <v>0</v>
      </c>
      <c r="BT201" s="289">
        <v>36</v>
      </c>
      <c r="BU201" s="289">
        <v>0</v>
      </c>
      <c r="BV201" s="289">
        <v>115</v>
      </c>
      <c r="BW201" s="289">
        <v>0</v>
      </c>
      <c r="BX201" s="289">
        <v>279.30900000000003</v>
      </c>
      <c r="CC201" s="517"/>
      <c r="CD201" s="85"/>
      <c r="CE201" s="517"/>
    </row>
    <row r="202" spans="1:83" ht="13">
      <c r="A202" s="1">
        <v>3037</v>
      </c>
      <c r="B202" s="2" t="s">
        <v>822</v>
      </c>
      <c r="C202" s="289">
        <v>2903</v>
      </c>
      <c r="D202" s="289">
        <v>61</v>
      </c>
      <c r="E202" s="289">
        <v>143</v>
      </c>
      <c r="F202" s="289">
        <v>307</v>
      </c>
      <c r="G202" s="289">
        <v>249</v>
      </c>
      <c r="H202" s="289">
        <v>1640</v>
      </c>
      <c r="I202" s="289">
        <v>364</v>
      </c>
      <c r="J202" s="289">
        <v>122</v>
      </c>
      <c r="K202" s="289">
        <v>33</v>
      </c>
      <c r="L202" s="289">
        <v>22</v>
      </c>
      <c r="M202" s="289">
        <v>244</v>
      </c>
      <c r="N202" s="290">
        <v>10</v>
      </c>
      <c r="O202" s="290">
        <v>16</v>
      </c>
      <c r="P202" s="624">
        <v>16192.785333330001</v>
      </c>
      <c r="Q202" s="624">
        <v>10382.621999999999</v>
      </c>
      <c r="R202" s="624">
        <v>5</v>
      </c>
      <c r="S202" s="289">
        <v>0</v>
      </c>
      <c r="T202" s="289">
        <v>251</v>
      </c>
      <c r="U202" s="716">
        <v>1.384299169937372E-3</v>
      </c>
      <c r="V202" s="289">
        <v>394.09020953999999</v>
      </c>
      <c r="W202" s="743">
        <v>0.76044529000000005</v>
      </c>
      <c r="X202" s="289">
        <v>1400</v>
      </c>
      <c r="Y202" s="289">
        <v>0</v>
      </c>
      <c r="Z202" s="289">
        <v>65315</v>
      </c>
      <c r="AA202" s="289">
        <v>0</v>
      </c>
      <c r="AB202" s="290">
        <v>49</v>
      </c>
      <c r="AC202" s="289">
        <v>0</v>
      </c>
      <c r="AD202" s="289">
        <v>0</v>
      </c>
      <c r="AE202" s="289">
        <v>1983</v>
      </c>
      <c r="AF202" s="289">
        <v>0</v>
      </c>
      <c r="AG202" s="289">
        <v>2919</v>
      </c>
      <c r="AH202" s="289">
        <v>403</v>
      </c>
      <c r="AI202" s="289">
        <v>300</v>
      </c>
      <c r="AJ202" s="289">
        <v>0</v>
      </c>
      <c r="AK202" s="289">
        <v>13.676399999999999</v>
      </c>
      <c r="AL202" s="289"/>
      <c r="AM202" s="622">
        <v>6.7816280000000007E-2</v>
      </c>
      <c r="AN202" s="289">
        <v>0</v>
      </c>
      <c r="AO202" s="289">
        <v>-150.28306795</v>
      </c>
      <c r="AP202" s="289">
        <v>0</v>
      </c>
      <c r="AQ202" s="289">
        <v>0</v>
      </c>
      <c r="AR202" s="289">
        <v>407.29834785000003</v>
      </c>
      <c r="AS202" s="289">
        <v>32.668999999999997</v>
      </c>
      <c r="AT202" s="289">
        <v>195</v>
      </c>
      <c r="AU202" s="289">
        <v>31</v>
      </c>
      <c r="AV202" s="625">
        <v>83011</v>
      </c>
      <c r="AW202" s="289">
        <v>-56.789200000000001</v>
      </c>
      <c r="AX202" s="625">
        <v>22.166666670000001</v>
      </c>
      <c r="AY202" s="289">
        <v>479</v>
      </c>
      <c r="AZ202" s="289">
        <v>95</v>
      </c>
      <c r="BA202" s="290">
        <v>86</v>
      </c>
      <c r="BB202" s="289">
        <v>2772</v>
      </c>
      <c r="BC202" s="289">
        <v>390</v>
      </c>
      <c r="BD202" s="289">
        <v>53.484999999999999</v>
      </c>
      <c r="BE202" s="289">
        <v>84295.153472770005</v>
      </c>
      <c r="BF202" s="289">
        <v>0</v>
      </c>
      <c r="BG202" s="289">
        <v>0</v>
      </c>
      <c r="BH202" s="289">
        <v>-23.782</v>
      </c>
      <c r="BI202" s="289">
        <v>403</v>
      </c>
      <c r="BJ202" s="289">
        <v>-2.9963000000000002</v>
      </c>
      <c r="BK202" s="289">
        <v>0</v>
      </c>
      <c r="BL202" s="289">
        <v>0</v>
      </c>
      <c r="BM202" s="289">
        <v>0</v>
      </c>
      <c r="BN202" s="289">
        <v>0</v>
      </c>
      <c r="BO202" s="517">
        <v>0</v>
      </c>
      <c r="BP202" s="517">
        <v>0</v>
      </c>
      <c r="BQ202" s="289">
        <f t="shared" si="6"/>
        <v>-2.9963459106000001</v>
      </c>
      <c r="BR202" s="289">
        <v>0</v>
      </c>
      <c r="BS202" s="289">
        <f t="shared" si="7"/>
        <v>0</v>
      </c>
      <c r="BT202" s="289">
        <v>8</v>
      </c>
      <c r="BU202" s="289">
        <v>0</v>
      </c>
      <c r="BV202" s="289">
        <v>35</v>
      </c>
      <c r="BW202" s="289">
        <v>0</v>
      </c>
      <c r="BX202" s="289">
        <v>59.866999999999997</v>
      </c>
      <c r="CC202" s="517"/>
      <c r="CD202" s="85"/>
      <c r="CE202" s="517"/>
    </row>
    <row r="203" spans="1:83" ht="13">
      <c r="A203" s="1">
        <v>3038</v>
      </c>
      <c r="B203" s="2" t="s">
        <v>874</v>
      </c>
      <c r="C203" s="289">
        <v>6833</v>
      </c>
      <c r="D203" s="289">
        <v>150</v>
      </c>
      <c r="E203" s="289">
        <v>366</v>
      </c>
      <c r="F203" s="289">
        <v>859</v>
      </c>
      <c r="G203" s="289">
        <v>490</v>
      </c>
      <c r="H203" s="289">
        <v>3964</v>
      </c>
      <c r="I203" s="289">
        <v>715</v>
      </c>
      <c r="J203" s="289">
        <v>230</v>
      </c>
      <c r="K203" s="289">
        <v>52</v>
      </c>
      <c r="L203" s="289">
        <v>49</v>
      </c>
      <c r="M203" s="289">
        <v>413</v>
      </c>
      <c r="N203" s="290">
        <v>103</v>
      </c>
      <c r="O203" s="290">
        <v>54</v>
      </c>
      <c r="P203" s="624">
        <v>31920.413</v>
      </c>
      <c r="Q203" s="624">
        <v>20809.96033333</v>
      </c>
      <c r="R203" s="624">
        <v>17</v>
      </c>
      <c r="S203" s="289">
        <v>0</v>
      </c>
      <c r="T203" s="289">
        <v>449</v>
      </c>
      <c r="U203" s="716">
        <v>1.5779160636393639E-3</v>
      </c>
      <c r="V203" s="289">
        <v>-688.53312087999996</v>
      </c>
      <c r="W203" s="743">
        <v>0.62323015000000004</v>
      </c>
      <c r="X203" s="289">
        <v>750</v>
      </c>
      <c r="Y203" s="289">
        <v>629</v>
      </c>
      <c r="Z203" s="289">
        <v>231734</v>
      </c>
      <c r="AA203" s="289">
        <v>0</v>
      </c>
      <c r="AB203" s="290">
        <v>86</v>
      </c>
      <c r="AC203" s="289">
        <v>0</v>
      </c>
      <c r="AD203" s="289">
        <v>0</v>
      </c>
      <c r="AE203" s="289">
        <v>0</v>
      </c>
      <c r="AF203" s="289">
        <v>0</v>
      </c>
      <c r="AG203" s="289">
        <v>6826</v>
      </c>
      <c r="AH203" s="289">
        <v>1007</v>
      </c>
      <c r="AI203" s="289">
        <v>500</v>
      </c>
      <c r="AJ203" s="289">
        <v>0</v>
      </c>
      <c r="AK203" s="289">
        <v>36.066400000000002</v>
      </c>
      <c r="AL203" s="289"/>
      <c r="AM203" s="622">
        <v>0.17712130000000001</v>
      </c>
      <c r="AN203" s="289">
        <v>0</v>
      </c>
      <c r="AO203" s="289">
        <v>-333.84797687999998</v>
      </c>
      <c r="AP203" s="289">
        <v>0</v>
      </c>
      <c r="AQ203" s="289">
        <v>0</v>
      </c>
      <c r="AR203" s="289">
        <v>-487.88286427000003</v>
      </c>
      <c r="AS203" s="289">
        <v>73.186400000000006</v>
      </c>
      <c r="AT203" s="289">
        <v>388</v>
      </c>
      <c r="AU203" s="289">
        <v>79</v>
      </c>
      <c r="AV203" s="625">
        <v>159981</v>
      </c>
      <c r="AW203" s="289">
        <v>-3.4662000000000002</v>
      </c>
      <c r="AX203" s="625">
        <v>50.75</v>
      </c>
      <c r="AY203" s="289">
        <v>1899</v>
      </c>
      <c r="AZ203" s="289">
        <v>265</v>
      </c>
      <c r="BA203" s="290">
        <v>116</v>
      </c>
      <c r="BB203" s="289">
        <v>0</v>
      </c>
      <c r="BC203" s="289">
        <v>1555</v>
      </c>
      <c r="BD203" s="289">
        <v>133.64619999999999</v>
      </c>
      <c r="BE203" s="289">
        <v>164481.12966753001</v>
      </c>
      <c r="BF203" s="289">
        <v>0</v>
      </c>
      <c r="BG203" s="289">
        <v>22</v>
      </c>
      <c r="BH203" s="289">
        <v>-55.613500000000002</v>
      </c>
      <c r="BI203" s="289">
        <v>1636</v>
      </c>
      <c r="BJ203" s="289">
        <v>-7.0068999999999999</v>
      </c>
      <c r="BK203" s="289">
        <v>0</v>
      </c>
      <c r="BL203" s="289">
        <v>0</v>
      </c>
      <c r="BM203" s="289">
        <v>0</v>
      </c>
      <c r="BN203" s="289">
        <v>0</v>
      </c>
      <c r="BO203" s="517">
        <v>0</v>
      </c>
      <c r="BP203" s="517">
        <v>0</v>
      </c>
      <c r="BQ203" s="289">
        <f t="shared" si="6"/>
        <v>-7.0068712523999999</v>
      </c>
      <c r="BR203" s="289">
        <v>0</v>
      </c>
      <c r="BS203" s="289">
        <f t="shared" si="7"/>
        <v>0</v>
      </c>
      <c r="BT203" s="289">
        <v>21</v>
      </c>
      <c r="BU203" s="289">
        <v>0</v>
      </c>
      <c r="BV203" s="289">
        <v>68</v>
      </c>
      <c r="BW203" s="289">
        <v>0</v>
      </c>
      <c r="BX203" s="289">
        <v>142.542</v>
      </c>
      <c r="CC203" s="517"/>
      <c r="CD203" s="85"/>
      <c r="CE203" s="517"/>
    </row>
    <row r="204" spans="1:83" ht="13">
      <c r="A204" s="1">
        <v>3039</v>
      </c>
      <c r="B204" s="2" t="s">
        <v>875</v>
      </c>
      <c r="C204" s="289">
        <v>1069</v>
      </c>
      <c r="D204" s="289">
        <v>16</v>
      </c>
      <c r="E204" s="289">
        <v>36</v>
      </c>
      <c r="F204" s="289">
        <v>124</v>
      </c>
      <c r="G204" s="289">
        <v>90</v>
      </c>
      <c r="H204" s="289">
        <v>586</v>
      </c>
      <c r="I204" s="289">
        <v>142</v>
      </c>
      <c r="J204" s="289">
        <v>63</v>
      </c>
      <c r="K204" s="289">
        <v>18</v>
      </c>
      <c r="L204" s="289">
        <v>8</v>
      </c>
      <c r="M204" s="289">
        <v>114</v>
      </c>
      <c r="N204" s="290">
        <v>1.5</v>
      </c>
      <c r="O204" s="290">
        <v>31</v>
      </c>
      <c r="P204" s="624">
        <v>5797.8270000000002</v>
      </c>
      <c r="Q204" s="624">
        <v>3782.8063333300001</v>
      </c>
      <c r="R204" s="624">
        <v>2</v>
      </c>
      <c r="S204" s="289">
        <v>0</v>
      </c>
      <c r="T204" s="289">
        <v>110</v>
      </c>
      <c r="U204" s="716">
        <v>9.6545455776089414E-4</v>
      </c>
      <c r="V204" s="289">
        <v>502.66811759000001</v>
      </c>
      <c r="W204" s="743">
        <v>1</v>
      </c>
      <c r="X204" s="289">
        <v>0</v>
      </c>
      <c r="Y204" s="289">
        <v>392</v>
      </c>
      <c r="Z204" s="289">
        <v>31909</v>
      </c>
      <c r="AA204" s="289">
        <v>0</v>
      </c>
      <c r="AB204" s="290">
        <v>19</v>
      </c>
      <c r="AC204" s="289">
        <v>0</v>
      </c>
      <c r="AD204" s="289">
        <v>0</v>
      </c>
      <c r="AE204" s="289">
        <v>78</v>
      </c>
      <c r="AF204" s="289">
        <v>0</v>
      </c>
      <c r="AG204" s="289">
        <v>1075</v>
      </c>
      <c r="AH204" s="289">
        <v>131</v>
      </c>
      <c r="AI204" s="289">
        <v>500</v>
      </c>
      <c r="AJ204" s="289">
        <v>0</v>
      </c>
      <c r="AK204" s="289">
        <v>3.4335</v>
      </c>
      <c r="AL204" s="289"/>
      <c r="AM204" s="622">
        <v>1.4250860000000001E-2</v>
      </c>
      <c r="AN204" s="289">
        <v>0</v>
      </c>
      <c r="AO204" s="289">
        <v>-69.915031350000007</v>
      </c>
      <c r="AP204" s="289">
        <v>0</v>
      </c>
      <c r="AQ204" s="289">
        <v>0</v>
      </c>
      <c r="AR204" s="289">
        <v>-76.834761069999999</v>
      </c>
      <c r="AS204" s="289">
        <v>12.2468</v>
      </c>
      <c r="AT204" s="289">
        <v>61</v>
      </c>
      <c r="AU204" s="289">
        <v>7</v>
      </c>
      <c r="AV204" s="625">
        <v>46713</v>
      </c>
      <c r="AW204" s="289">
        <v>-0.54590000000000005</v>
      </c>
      <c r="AX204" s="625">
        <v>4</v>
      </c>
      <c r="AY204" s="289">
        <v>163</v>
      </c>
      <c r="AZ204" s="289">
        <v>39</v>
      </c>
      <c r="BA204" s="290">
        <v>38</v>
      </c>
      <c r="BB204" s="289">
        <v>2772</v>
      </c>
      <c r="BC204" s="289">
        <v>490</v>
      </c>
      <c r="BD204" s="289">
        <v>17.385899999999999</v>
      </c>
      <c r="BE204" s="289">
        <v>47339.655076110001</v>
      </c>
      <c r="BF204" s="289">
        <v>0</v>
      </c>
      <c r="BG204" s="289">
        <v>11</v>
      </c>
      <c r="BH204" s="289">
        <v>-8.7584</v>
      </c>
      <c r="BI204" s="289">
        <v>523</v>
      </c>
      <c r="BJ204" s="289">
        <v>-1.1034999999999999</v>
      </c>
      <c r="BK204" s="289">
        <v>0</v>
      </c>
      <c r="BL204" s="289">
        <v>0</v>
      </c>
      <c r="BM204" s="289">
        <v>0</v>
      </c>
      <c r="BN204" s="289">
        <v>0</v>
      </c>
      <c r="BO204" s="517">
        <v>0</v>
      </c>
      <c r="BP204" s="517">
        <v>0</v>
      </c>
      <c r="BQ204" s="289">
        <f t="shared" si="6"/>
        <v>-1.1034847050000001</v>
      </c>
      <c r="BR204" s="289">
        <v>0</v>
      </c>
      <c r="BS204" s="289">
        <f t="shared" si="7"/>
        <v>0</v>
      </c>
      <c r="BT204" s="289">
        <v>2</v>
      </c>
      <c r="BU204" s="289">
        <v>0</v>
      </c>
      <c r="BV204" s="289">
        <v>19</v>
      </c>
      <c r="BW204" s="289">
        <v>157.18299999999999</v>
      </c>
      <c r="BX204" s="289">
        <v>22.143999999999998</v>
      </c>
      <c r="CC204" s="517"/>
      <c r="CD204" s="85"/>
      <c r="CE204" s="517"/>
    </row>
    <row r="205" spans="1:83" ht="13">
      <c r="A205" s="1">
        <v>3040</v>
      </c>
      <c r="B205" s="2" t="s">
        <v>1966</v>
      </c>
      <c r="C205" s="289">
        <v>3341</v>
      </c>
      <c r="D205" s="289">
        <v>57</v>
      </c>
      <c r="E205" s="289">
        <v>100</v>
      </c>
      <c r="F205" s="289">
        <v>357</v>
      </c>
      <c r="G205" s="289">
        <v>268</v>
      </c>
      <c r="H205" s="289">
        <v>1868</v>
      </c>
      <c r="I205" s="289">
        <v>469</v>
      </c>
      <c r="J205" s="289">
        <v>172</v>
      </c>
      <c r="K205" s="289">
        <v>47</v>
      </c>
      <c r="L205" s="289">
        <v>26</v>
      </c>
      <c r="M205" s="289">
        <v>286</v>
      </c>
      <c r="N205" s="290">
        <v>33</v>
      </c>
      <c r="O205" s="290">
        <v>39</v>
      </c>
      <c r="P205" s="624">
        <v>14231.89966667</v>
      </c>
      <c r="Q205" s="624">
        <v>10341.50466667</v>
      </c>
      <c r="R205" s="624">
        <v>25</v>
      </c>
      <c r="S205" s="289">
        <v>0</v>
      </c>
      <c r="T205" s="289">
        <v>306</v>
      </c>
      <c r="U205" s="716">
        <v>2.3782582622866497E-3</v>
      </c>
      <c r="V205" s="289">
        <v>-844.54648879000001</v>
      </c>
      <c r="W205" s="743">
        <v>0.74221486000000003</v>
      </c>
      <c r="X205" s="289">
        <v>750</v>
      </c>
      <c r="Y205" s="289">
        <v>392</v>
      </c>
      <c r="Z205" s="289">
        <v>98315</v>
      </c>
      <c r="AA205" s="289">
        <v>0</v>
      </c>
      <c r="AB205" s="290">
        <v>79</v>
      </c>
      <c r="AC205" s="289">
        <v>0</v>
      </c>
      <c r="AD205" s="289">
        <v>0</v>
      </c>
      <c r="AE205" s="289">
        <v>0</v>
      </c>
      <c r="AF205" s="289">
        <v>0</v>
      </c>
      <c r="AG205" s="289">
        <v>3338</v>
      </c>
      <c r="AH205" s="289">
        <v>407</v>
      </c>
      <c r="AI205" s="289">
        <v>750</v>
      </c>
      <c r="AJ205" s="289">
        <v>0</v>
      </c>
      <c r="AK205" s="289">
        <v>10.406499999999999</v>
      </c>
      <c r="AL205" s="289"/>
      <c r="AM205" s="622">
        <v>4.66793E-2</v>
      </c>
      <c r="AN205" s="289">
        <v>4850</v>
      </c>
      <c r="AO205" s="289">
        <v>-180.87729224</v>
      </c>
      <c r="AP205" s="289">
        <v>0</v>
      </c>
      <c r="AQ205" s="289">
        <v>0</v>
      </c>
      <c r="AR205" s="289">
        <v>-238.58086741</v>
      </c>
      <c r="AS205" s="289">
        <v>40.231900000000003</v>
      </c>
      <c r="AT205" s="289">
        <v>167</v>
      </c>
      <c r="AU205" s="289">
        <v>18</v>
      </c>
      <c r="AV205" s="625">
        <v>100022</v>
      </c>
      <c r="AW205" s="289">
        <v>-1.6950000000000001</v>
      </c>
      <c r="AX205" s="625">
        <v>19.75</v>
      </c>
      <c r="AY205" s="289">
        <v>602</v>
      </c>
      <c r="AZ205" s="289">
        <v>175</v>
      </c>
      <c r="BA205" s="290">
        <v>77</v>
      </c>
      <c r="BB205" s="289">
        <v>0</v>
      </c>
      <c r="BC205" s="289">
        <v>931</v>
      </c>
      <c r="BD205" s="289">
        <v>54.015900000000002</v>
      </c>
      <c r="BE205" s="289">
        <v>103276.32449087</v>
      </c>
      <c r="BF205" s="289">
        <v>0</v>
      </c>
      <c r="BG205" s="289">
        <v>11</v>
      </c>
      <c r="BH205" s="289">
        <v>-27.195699999999999</v>
      </c>
      <c r="BI205" s="289">
        <v>799</v>
      </c>
      <c r="BJ205" s="289">
        <v>-3.4264000000000001</v>
      </c>
      <c r="BK205" s="289">
        <v>0</v>
      </c>
      <c r="BL205" s="289">
        <v>0</v>
      </c>
      <c r="BM205" s="289">
        <v>0</v>
      </c>
      <c r="BN205" s="289">
        <v>0</v>
      </c>
      <c r="BO205" s="517">
        <v>0</v>
      </c>
      <c r="BP205" s="517">
        <v>0</v>
      </c>
      <c r="BQ205" s="289">
        <f t="shared" si="6"/>
        <v>-3.4264483212000001</v>
      </c>
      <c r="BR205" s="289">
        <v>0</v>
      </c>
      <c r="BS205" s="289">
        <f t="shared" si="7"/>
        <v>0</v>
      </c>
      <c r="BT205" s="289">
        <v>6</v>
      </c>
      <c r="BU205" s="289">
        <v>0</v>
      </c>
      <c r="BV205" s="289">
        <v>39</v>
      </c>
      <c r="BW205" s="289">
        <v>0</v>
      </c>
      <c r="BX205" s="289">
        <v>69.277000000000001</v>
      </c>
      <c r="CC205" s="517"/>
      <c r="CD205" s="85"/>
      <c r="CE205" s="517"/>
    </row>
    <row r="206" spans="1:83" ht="13">
      <c r="A206" s="1">
        <v>3041</v>
      </c>
      <c r="B206" s="2" t="s">
        <v>876</v>
      </c>
      <c r="C206" s="289">
        <v>4566</v>
      </c>
      <c r="D206" s="289">
        <v>84</v>
      </c>
      <c r="E206" s="289">
        <v>177</v>
      </c>
      <c r="F206" s="289">
        <v>542</v>
      </c>
      <c r="G206" s="289">
        <v>393</v>
      </c>
      <c r="H206" s="289">
        <v>2531</v>
      </c>
      <c r="I206" s="289">
        <v>617</v>
      </c>
      <c r="J206" s="289">
        <v>214</v>
      </c>
      <c r="K206" s="289">
        <v>55</v>
      </c>
      <c r="L206" s="289">
        <v>32</v>
      </c>
      <c r="M206" s="289">
        <v>413</v>
      </c>
      <c r="N206" s="290">
        <v>129</v>
      </c>
      <c r="O206" s="290">
        <v>71</v>
      </c>
      <c r="P206" s="624">
        <v>12659.06533333</v>
      </c>
      <c r="Q206" s="624">
        <v>13544.116</v>
      </c>
      <c r="R206" s="624">
        <v>32</v>
      </c>
      <c r="S206" s="289">
        <v>0</v>
      </c>
      <c r="T206" s="289">
        <v>455</v>
      </c>
      <c r="U206" s="716">
        <v>2.4538466404266574E-3</v>
      </c>
      <c r="V206" s="289">
        <v>1793.92592904</v>
      </c>
      <c r="W206" s="743">
        <v>0.66076016000000004</v>
      </c>
      <c r="X206" s="289">
        <v>0</v>
      </c>
      <c r="Y206" s="289">
        <v>392</v>
      </c>
      <c r="Z206" s="289">
        <v>141637</v>
      </c>
      <c r="AA206" s="289">
        <v>0</v>
      </c>
      <c r="AB206" s="290">
        <v>73</v>
      </c>
      <c r="AC206" s="289">
        <v>1396</v>
      </c>
      <c r="AD206" s="289">
        <v>0</v>
      </c>
      <c r="AE206" s="289">
        <v>0</v>
      </c>
      <c r="AF206" s="289">
        <v>0</v>
      </c>
      <c r="AG206" s="289">
        <v>4613</v>
      </c>
      <c r="AH206" s="289">
        <v>623</v>
      </c>
      <c r="AI206" s="289">
        <v>500</v>
      </c>
      <c r="AJ206" s="289">
        <v>0</v>
      </c>
      <c r="AK206" s="289">
        <v>17.856400000000001</v>
      </c>
      <c r="AL206" s="289"/>
      <c r="AM206" s="622">
        <v>0.11168403</v>
      </c>
      <c r="AN206" s="289">
        <v>2486</v>
      </c>
      <c r="AO206" s="289">
        <v>-249.51331340999999</v>
      </c>
      <c r="AP206" s="289">
        <v>0</v>
      </c>
      <c r="AQ206" s="289">
        <v>0</v>
      </c>
      <c r="AR206" s="289">
        <v>-329.71046775000002</v>
      </c>
      <c r="AS206" s="289">
        <v>62.828499999999998</v>
      </c>
      <c r="AT206" s="289">
        <v>255</v>
      </c>
      <c r="AU206" s="289">
        <v>34</v>
      </c>
      <c r="AV206" s="625">
        <v>135131</v>
      </c>
      <c r="AW206" s="289">
        <v>-2.3424999999999998</v>
      </c>
      <c r="AX206" s="625">
        <v>36</v>
      </c>
      <c r="AY206" s="289">
        <v>772</v>
      </c>
      <c r="AZ206" s="289">
        <v>274</v>
      </c>
      <c r="BA206" s="290">
        <v>115</v>
      </c>
      <c r="BB206" s="289">
        <v>0</v>
      </c>
      <c r="BC206" s="289">
        <v>968</v>
      </c>
      <c r="BD206" s="289">
        <v>82.6828</v>
      </c>
      <c r="BE206" s="289">
        <v>139877.56077166999</v>
      </c>
      <c r="BF206" s="289">
        <v>0</v>
      </c>
      <c r="BG206" s="289">
        <v>11</v>
      </c>
      <c r="BH206" s="289">
        <v>-37.583500000000001</v>
      </c>
      <c r="BI206" s="289">
        <v>1015</v>
      </c>
      <c r="BJ206" s="289">
        <v>-4.7351999999999999</v>
      </c>
      <c r="BK206" s="289">
        <v>0</v>
      </c>
      <c r="BL206" s="289">
        <v>0</v>
      </c>
      <c r="BM206" s="289">
        <v>0</v>
      </c>
      <c r="BN206" s="289">
        <v>0</v>
      </c>
      <c r="BO206" s="517">
        <v>0</v>
      </c>
      <c r="BP206" s="517">
        <v>0</v>
      </c>
      <c r="BQ206" s="289">
        <f t="shared" si="6"/>
        <v>-4.7352325062</v>
      </c>
      <c r="BR206" s="289">
        <v>0</v>
      </c>
      <c r="BS206" s="289">
        <f t="shared" si="7"/>
        <v>0</v>
      </c>
      <c r="BT206" s="289">
        <v>10</v>
      </c>
      <c r="BU206" s="289">
        <v>0</v>
      </c>
      <c r="BV206" s="289">
        <v>50</v>
      </c>
      <c r="BW206" s="289">
        <v>157.18299999999999</v>
      </c>
      <c r="BX206" s="289">
        <v>95.055999999999997</v>
      </c>
      <c r="CC206" s="517"/>
      <c r="CD206" s="85"/>
      <c r="CE206" s="517"/>
    </row>
    <row r="207" spans="1:83" ht="13">
      <c r="A207" s="1">
        <v>3042</v>
      </c>
      <c r="B207" s="2" t="s">
        <v>877</v>
      </c>
      <c r="C207" s="289">
        <v>2457</v>
      </c>
      <c r="D207" s="289">
        <v>42</v>
      </c>
      <c r="E207" s="289">
        <v>109</v>
      </c>
      <c r="F207" s="289">
        <v>309</v>
      </c>
      <c r="G207" s="289">
        <v>226</v>
      </c>
      <c r="H207" s="289">
        <v>1447</v>
      </c>
      <c r="I207" s="289">
        <v>223</v>
      </c>
      <c r="J207" s="289">
        <v>86</v>
      </c>
      <c r="K207" s="289">
        <v>21</v>
      </c>
      <c r="L207" s="289">
        <v>15</v>
      </c>
      <c r="M207" s="289">
        <v>137</v>
      </c>
      <c r="N207" s="290">
        <v>19</v>
      </c>
      <c r="O207" s="290">
        <v>47</v>
      </c>
      <c r="P207" s="624">
        <v>9753.7279999999992</v>
      </c>
      <c r="Q207" s="624">
        <v>11644.032999999999</v>
      </c>
      <c r="R207" s="624">
        <v>8</v>
      </c>
      <c r="S207" s="289">
        <v>0</v>
      </c>
      <c r="T207" s="289">
        <v>245</v>
      </c>
      <c r="U207" s="716">
        <v>1.631368124716611E-3</v>
      </c>
      <c r="V207" s="289">
        <v>934.98655512000005</v>
      </c>
      <c r="W207" s="743">
        <v>0.91633242999999998</v>
      </c>
      <c r="X207" s="289">
        <v>0</v>
      </c>
      <c r="Y207" s="289">
        <v>392</v>
      </c>
      <c r="Z207" s="289">
        <v>84916</v>
      </c>
      <c r="AA207" s="289">
        <v>0</v>
      </c>
      <c r="AB207" s="290">
        <v>28</v>
      </c>
      <c r="AC207" s="289">
        <v>0</v>
      </c>
      <c r="AD207" s="289">
        <v>0</v>
      </c>
      <c r="AE207" s="289">
        <v>965</v>
      </c>
      <c r="AF207" s="289">
        <v>0</v>
      </c>
      <c r="AG207" s="289">
        <v>2463</v>
      </c>
      <c r="AH207" s="289">
        <v>355</v>
      </c>
      <c r="AI207" s="289">
        <v>0</v>
      </c>
      <c r="AJ207" s="289">
        <v>0</v>
      </c>
      <c r="AK207" s="289">
        <v>10.0661</v>
      </c>
      <c r="AL207" s="289"/>
      <c r="AM207" s="622">
        <v>8.1811540000000002E-2</v>
      </c>
      <c r="AN207" s="289">
        <v>0</v>
      </c>
      <c r="AO207" s="289">
        <v>-130.04527644999999</v>
      </c>
      <c r="AP207" s="289">
        <v>0</v>
      </c>
      <c r="AQ207" s="289">
        <v>0</v>
      </c>
      <c r="AR207" s="289">
        <v>-176.04094560999999</v>
      </c>
      <c r="AS207" s="289">
        <v>30.796700000000001</v>
      </c>
      <c r="AT207" s="289">
        <v>121</v>
      </c>
      <c r="AU207" s="289">
        <v>28</v>
      </c>
      <c r="AV207" s="625">
        <v>73207</v>
      </c>
      <c r="AW207" s="289">
        <v>-1.2506999999999999</v>
      </c>
      <c r="AX207" s="625">
        <v>6.875</v>
      </c>
      <c r="AY207" s="289">
        <v>495</v>
      </c>
      <c r="AZ207" s="289">
        <v>144</v>
      </c>
      <c r="BA207" s="290">
        <v>51</v>
      </c>
      <c r="BB207" s="289">
        <v>2772</v>
      </c>
      <c r="BC207" s="289">
        <v>712</v>
      </c>
      <c r="BD207" s="289">
        <v>47.114600000000003</v>
      </c>
      <c r="BE207" s="289">
        <v>74010.182028719995</v>
      </c>
      <c r="BF207" s="289">
        <v>0</v>
      </c>
      <c r="BG207" s="289">
        <v>11</v>
      </c>
      <c r="BH207" s="289">
        <v>-20.066800000000001</v>
      </c>
      <c r="BI207" s="289">
        <v>747</v>
      </c>
      <c r="BJ207" s="289">
        <v>-2.5283000000000002</v>
      </c>
      <c r="BK207" s="289">
        <v>0</v>
      </c>
      <c r="BL207" s="289">
        <v>0</v>
      </c>
      <c r="BM207" s="289">
        <v>0</v>
      </c>
      <c r="BN207" s="289">
        <v>0</v>
      </c>
      <c r="BO207" s="517">
        <v>0</v>
      </c>
      <c r="BP207" s="517">
        <v>0</v>
      </c>
      <c r="BQ207" s="289">
        <f t="shared" si="6"/>
        <v>-2.5282630961999999</v>
      </c>
      <c r="BR207" s="289">
        <v>0</v>
      </c>
      <c r="BS207" s="289">
        <f t="shared" si="7"/>
        <v>0</v>
      </c>
      <c r="BT207" s="289">
        <v>6</v>
      </c>
      <c r="BU207" s="289">
        <v>0</v>
      </c>
      <c r="BV207" s="289">
        <v>30</v>
      </c>
      <c r="BW207" s="289">
        <v>157.18299999999999</v>
      </c>
      <c r="BX207" s="289">
        <v>50.747999999999998</v>
      </c>
      <c r="CC207" s="517"/>
      <c r="CD207" s="85"/>
      <c r="CE207" s="517"/>
    </row>
    <row r="208" spans="1:83" ht="13">
      <c r="A208" s="1">
        <v>3043</v>
      </c>
      <c r="B208" s="2" t="s">
        <v>878</v>
      </c>
      <c r="C208" s="289">
        <v>4626</v>
      </c>
      <c r="D208" s="289">
        <v>76</v>
      </c>
      <c r="E208" s="289">
        <v>184</v>
      </c>
      <c r="F208" s="289">
        <v>598</v>
      </c>
      <c r="G208" s="289">
        <v>414</v>
      </c>
      <c r="H208" s="289">
        <v>2484</v>
      </c>
      <c r="I208" s="289">
        <v>575</v>
      </c>
      <c r="J208" s="289">
        <v>248</v>
      </c>
      <c r="K208" s="289">
        <v>71</v>
      </c>
      <c r="L208" s="289">
        <v>31</v>
      </c>
      <c r="M208" s="289">
        <v>413</v>
      </c>
      <c r="N208" s="290">
        <v>39</v>
      </c>
      <c r="O208" s="290">
        <v>57</v>
      </c>
      <c r="P208" s="624">
        <v>33898.249000000003</v>
      </c>
      <c r="Q208" s="624">
        <v>18796.82</v>
      </c>
      <c r="R208" s="624">
        <v>19</v>
      </c>
      <c r="S208" s="289">
        <v>0</v>
      </c>
      <c r="T208" s="289">
        <v>416</v>
      </c>
      <c r="U208" s="716">
        <v>3.5768196623526551E-3</v>
      </c>
      <c r="V208" s="289">
        <v>1824.9929329500001</v>
      </c>
      <c r="W208" s="743">
        <v>0.74044580999999998</v>
      </c>
      <c r="X208" s="289">
        <v>0</v>
      </c>
      <c r="Y208" s="289">
        <v>392</v>
      </c>
      <c r="Z208" s="289">
        <v>141581</v>
      </c>
      <c r="AA208" s="289">
        <v>0</v>
      </c>
      <c r="AB208" s="290">
        <v>66</v>
      </c>
      <c r="AC208" s="289">
        <v>0</v>
      </c>
      <c r="AD208" s="289">
        <v>0</v>
      </c>
      <c r="AE208" s="289">
        <v>0</v>
      </c>
      <c r="AF208" s="289">
        <v>0</v>
      </c>
      <c r="AG208" s="289">
        <v>4650</v>
      </c>
      <c r="AH208" s="289">
        <v>674</v>
      </c>
      <c r="AI208" s="289">
        <v>1000</v>
      </c>
      <c r="AJ208" s="289">
        <v>0</v>
      </c>
      <c r="AK208" s="289">
        <v>17.4985</v>
      </c>
      <c r="AL208" s="289"/>
      <c r="AM208" s="622">
        <v>4.2284860000000001E-2</v>
      </c>
      <c r="AN208" s="289">
        <v>5067</v>
      </c>
      <c r="AO208" s="289">
        <v>-253.83435642000001</v>
      </c>
      <c r="AP208" s="289">
        <v>0</v>
      </c>
      <c r="AQ208" s="289">
        <v>0</v>
      </c>
      <c r="AR208" s="289">
        <v>-5.2934717400000002</v>
      </c>
      <c r="AS208" s="289">
        <v>49.358899999999998</v>
      </c>
      <c r="AT208" s="289">
        <v>236</v>
      </c>
      <c r="AU208" s="289">
        <v>21</v>
      </c>
      <c r="AV208" s="625">
        <v>145372</v>
      </c>
      <c r="AW208" s="289">
        <v>-90.465900000000005</v>
      </c>
      <c r="AX208" s="625">
        <v>16.25</v>
      </c>
      <c r="AY208" s="289">
        <v>934</v>
      </c>
      <c r="AZ208" s="289">
        <v>190</v>
      </c>
      <c r="BA208" s="290">
        <v>101</v>
      </c>
      <c r="BB208" s="289">
        <v>0</v>
      </c>
      <c r="BC208" s="289">
        <v>1267</v>
      </c>
      <c r="BD208" s="289">
        <v>89.451400000000007</v>
      </c>
      <c r="BE208" s="289">
        <v>146005.28447737999</v>
      </c>
      <c r="BF208" s="289">
        <v>0</v>
      </c>
      <c r="BG208" s="289">
        <v>11</v>
      </c>
      <c r="BH208" s="289">
        <v>-37.884999999999998</v>
      </c>
      <c r="BI208" s="289">
        <v>1066</v>
      </c>
      <c r="BJ208" s="289">
        <v>-4.7732000000000001</v>
      </c>
      <c r="BK208" s="289">
        <v>0</v>
      </c>
      <c r="BL208" s="289">
        <v>0</v>
      </c>
      <c r="BM208" s="289">
        <v>0</v>
      </c>
      <c r="BN208" s="289">
        <v>0</v>
      </c>
      <c r="BO208" s="517">
        <v>0</v>
      </c>
      <c r="BP208" s="517">
        <v>0</v>
      </c>
      <c r="BQ208" s="289">
        <f t="shared" si="6"/>
        <v>-4.7732129099999998</v>
      </c>
      <c r="BR208" s="289">
        <v>0</v>
      </c>
      <c r="BS208" s="289">
        <f t="shared" si="7"/>
        <v>0</v>
      </c>
      <c r="BT208" s="289">
        <v>10</v>
      </c>
      <c r="BU208" s="289">
        <v>0</v>
      </c>
      <c r="BV208" s="289">
        <v>53</v>
      </c>
      <c r="BW208" s="289">
        <v>261.971</v>
      </c>
      <c r="BX208" s="289">
        <v>96.841999999999999</v>
      </c>
      <c r="CC208" s="517"/>
      <c r="CD208" s="85"/>
      <c r="CE208" s="517"/>
    </row>
    <row r="209" spans="1:83" ht="13">
      <c r="A209" s="1">
        <v>3044</v>
      </c>
      <c r="B209" s="2" t="s">
        <v>880</v>
      </c>
      <c r="C209" s="289">
        <v>4520</v>
      </c>
      <c r="D209" s="289">
        <v>80</v>
      </c>
      <c r="E209" s="289">
        <v>150</v>
      </c>
      <c r="F209" s="289">
        <v>470</v>
      </c>
      <c r="G209" s="289">
        <v>359</v>
      </c>
      <c r="H209" s="289">
        <v>2632</v>
      </c>
      <c r="I209" s="289">
        <v>617</v>
      </c>
      <c r="J209" s="289">
        <v>186</v>
      </c>
      <c r="K209" s="289">
        <v>69</v>
      </c>
      <c r="L209" s="289">
        <v>30</v>
      </c>
      <c r="M209" s="289">
        <v>388</v>
      </c>
      <c r="N209" s="290">
        <v>62</v>
      </c>
      <c r="O209" s="290">
        <v>50</v>
      </c>
      <c r="P209" s="624">
        <v>33070.421000000002</v>
      </c>
      <c r="Q209" s="624">
        <v>12992.653666669999</v>
      </c>
      <c r="R209" s="624">
        <v>12</v>
      </c>
      <c r="S209" s="289">
        <v>0</v>
      </c>
      <c r="T209" s="289">
        <v>449</v>
      </c>
      <c r="U209" s="716">
        <v>2.1366255915517777E-3</v>
      </c>
      <c r="V209" s="289">
        <v>1598.7935722300001</v>
      </c>
      <c r="W209" s="743">
        <v>0.77562231000000004</v>
      </c>
      <c r="X209" s="289">
        <v>0</v>
      </c>
      <c r="Y209" s="289">
        <v>392</v>
      </c>
      <c r="Z209" s="289">
        <v>178343</v>
      </c>
      <c r="AA209" s="289">
        <v>0</v>
      </c>
      <c r="AB209" s="290">
        <v>66</v>
      </c>
      <c r="AC209" s="289">
        <v>0</v>
      </c>
      <c r="AD209" s="289">
        <v>0</v>
      </c>
      <c r="AE209" s="289">
        <v>0</v>
      </c>
      <c r="AF209" s="289">
        <v>0</v>
      </c>
      <c r="AG209" s="289">
        <v>4563</v>
      </c>
      <c r="AH209" s="289">
        <v>545</v>
      </c>
      <c r="AI209" s="289">
        <v>700</v>
      </c>
      <c r="AJ209" s="289">
        <v>0</v>
      </c>
      <c r="AK209" s="289">
        <v>15.3109</v>
      </c>
      <c r="AL209" s="289"/>
      <c r="AM209" s="622">
        <v>4.4225809999999997E-2</v>
      </c>
      <c r="AN209" s="289">
        <v>0</v>
      </c>
      <c r="AO209" s="289">
        <v>-222.37277204</v>
      </c>
      <c r="AP209" s="289">
        <v>0</v>
      </c>
      <c r="AQ209" s="289">
        <v>0</v>
      </c>
      <c r="AR209" s="289">
        <v>-326.13675794</v>
      </c>
      <c r="AS209" s="289">
        <v>53.5015</v>
      </c>
      <c r="AT209" s="289">
        <v>207</v>
      </c>
      <c r="AU209" s="289">
        <v>26</v>
      </c>
      <c r="AV209" s="625">
        <v>108406</v>
      </c>
      <c r="AW209" s="289">
        <v>-2.3170999999999999</v>
      </c>
      <c r="AX209" s="625">
        <v>26.375</v>
      </c>
      <c r="AY209" s="289">
        <v>860</v>
      </c>
      <c r="AZ209" s="289">
        <v>169</v>
      </c>
      <c r="BA209" s="290">
        <v>81</v>
      </c>
      <c r="BB209" s="289">
        <v>0</v>
      </c>
      <c r="BC209" s="289">
        <v>996</v>
      </c>
      <c r="BD209" s="289">
        <v>72.3309</v>
      </c>
      <c r="BE209" s="289">
        <v>110534.15581626999</v>
      </c>
      <c r="BF209" s="289">
        <v>0</v>
      </c>
      <c r="BG209" s="289">
        <v>11</v>
      </c>
      <c r="BH209" s="289">
        <v>-37.176200000000001</v>
      </c>
      <c r="BI209" s="289">
        <v>937</v>
      </c>
      <c r="BJ209" s="289">
        <v>-4.6839000000000004</v>
      </c>
      <c r="BK209" s="289">
        <v>0</v>
      </c>
      <c r="BL209" s="289">
        <v>0</v>
      </c>
      <c r="BM209" s="289">
        <v>0</v>
      </c>
      <c r="BN209" s="289">
        <v>0</v>
      </c>
      <c r="BO209" s="517">
        <v>0</v>
      </c>
      <c r="BP209" s="517">
        <v>0</v>
      </c>
      <c r="BQ209" s="289">
        <f t="shared" si="6"/>
        <v>-4.6839076361999998</v>
      </c>
      <c r="BR209" s="289">
        <v>0</v>
      </c>
      <c r="BS209" s="289">
        <f t="shared" si="7"/>
        <v>0</v>
      </c>
      <c r="BT209" s="289">
        <v>9</v>
      </c>
      <c r="BU209" s="289">
        <v>0</v>
      </c>
      <c r="BV209" s="289">
        <v>51</v>
      </c>
      <c r="BW209" s="289">
        <v>261.971</v>
      </c>
      <c r="BX209" s="289">
        <v>93.581000000000003</v>
      </c>
      <c r="CC209" s="517"/>
      <c r="CD209" s="85"/>
      <c r="CE209" s="517"/>
    </row>
    <row r="210" spans="1:83" ht="13">
      <c r="A210" s="1">
        <v>3045</v>
      </c>
      <c r="B210" s="2" t="s">
        <v>881</v>
      </c>
      <c r="C210" s="289">
        <v>3488</v>
      </c>
      <c r="D210" s="289">
        <v>47</v>
      </c>
      <c r="E210" s="289">
        <v>118</v>
      </c>
      <c r="F210" s="289">
        <v>425</v>
      </c>
      <c r="G210" s="289">
        <v>295</v>
      </c>
      <c r="H210" s="289">
        <v>1919</v>
      </c>
      <c r="I210" s="289">
        <v>469</v>
      </c>
      <c r="J210" s="289">
        <v>147</v>
      </c>
      <c r="K210" s="289">
        <v>50</v>
      </c>
      <c r="L210" s="289">
        <v>33</v>
      </c>
      <c r="M210" s="289">
        <v>353</v>
      </c>
      <c r="N210" s="290">
        <v>1.5</v>
      </c>
      <c r="O210" s="290">
        <v>41</v>
      </c>
      <c r="P210" s="624">
        <v>50149.587</v>
      </c>
      <c r="Q210" s="624">
        <v>13094.91466667</v>
      </c>
      <c r="R210" s="624">
        <v>16</v>
      </c>
      <c r="S210" s="289">
        <v>0</v>
      </c>
      <c r="T210" s="289">
        <v>289</v>
      </c>
      <c r="U210" s="716">
        <v>3.732328990584012E-3</v>
      </c>
      <c r="V210" s="289">
        <v>1384.90912351</v>
      </c>
      <c r="W210" s="743">
        <v>0.86810962999999997</v>
      </c>
      <c r="X210" s="289">
        <v>1200</v>
      </c>
      <c r="Y210" s="289">
        <v>0</v>
      </c>
      <c r="Z210" s="289">
        <v>98498</v>
      </c>
      <c r="AA210" s="289">
        <v>0</v>
      </c>
      <c r="AB210" s="290">
        <v>53</v>
      </c>
      <c r="AC210" s="289">
        <v>0</v>
      </c>
      <c r="AD210" s="289">
        <v>0</v>
      </c>
      <c r="AE210" s="289">
        <v>0</v>
      </c>
      <c r="AF210" s="289">
        <v>0</v>
      </c>
      <c r="AG210" s="289">
        <v>3470</v>
      </c>
      <c r="AH210" s="289">
        <v>471</v>
      </c>
      <c r="AI210" s="289">
        <v>700</v>
      </c>
      <c r="AJ210" s="289">
        <v>0</v>
      </c>
      <c r="AK210" s="289">
        <v>11.1783</v>
      </c>
      <c r="AL210" s="289"/>
      <c r="AM210" s="622">
        <v>4.5851259999999998E-2</v>
      </c>
      <c r="AN210" s="289">
        <v>0</v>
      </c>
      <c r="AO210" s="289">
        <v>-192.62404237999999</v>
      </c>
      <c r="AP210" s="289">
        <v>0</v>
      </c>
      <c r="AQ210" s="289">
        <v>0</v>
      </c>
      <c r="AR210" s="289">
        <v>1299.62150606</v>
      </c>
      <c r="AS210" s="289">
        <v>34.976700000000001</v>
      </c>
      <c r="AT210" s="289">
        <v>213</v>
      </c>
      <c r="AU210" s="289">
        <v>24</v>
      </c>
      <c r="AV210" s="625">
        <v>110635</v>
      </c>
      <c r="AW210" s="289">
        <v>-67.508899999999997</v>
      </c>
      <c r="AX210" s="625">
        <v>14.625</v>
      </c>
      <c r="AY210" s="289">
        <v>454</v>
      </c>
      <c r="AZ210" s="289">
        <v>110</v>
      </c>
      <c r="BA210" s="290">
        <v>65</v>
      </c>
      <c r="BB210" s="289">
        <v>0</v>
      </c>
      <c r="BC210" s="289">
        <v>456</v>
      </c>
      <c r="BD210" s="289">
        <v>62.509799999999998</v>
      </c>
      <c r="BE210" s="289">
        <v>109365.79832389001</v>
      </c>
      <c r="BF210" s="289">
        <v>0</v>
      </c>
      <c r="BG210" s="289">
        <v>0</v>
      </c>
      <c r="BH210" s="289">
        <v>-28.2712</v>
      </c>
      <c r="BI210" s="289">
        <v>471</v>
      </c>
      <c r="BJ210" s="289">
        <v>-3.5619000000000001</v>
      </c>
      <c r="BK210" s="289">
        <v>0</v>
      </c>
      <c r="BL210" s="289">
        <v>0</v>
      </c>
      <c r="BM210" s="289">
        <v>0</v>
      </c>
      <c r="BN210" s="289">
        <v>0</v>
      </c>
      <c r="BO210" s="517">
        <v>0</v>
      </c>
      <c r="BP210" s="517">
        <v>0</v>
      </c>
      <c r="BQ210" s="289">
        <f t="shared" si="6"/>
        <v>-3.5619459780000002</v>
      </c>
      <c r="BR210" s="289">
        <v>0</v>
      </c>
      <c r="BS210" s="289">
        <f t="shared" si="7"/>
        <v>0</v>
      </c>
      <c r="BT210" s="289">
        <v>6</v>
      </c>
      <c r="BU210" s="289">
        <v>0</v>
      </c>
      <c r="BV210" s="289">
        <v>44</v>
      </c>
      <c r="BW210" s="289">
        <v>157.18299999999999</v>
      </c>
      <c r="BX210" s="289">
        <v>72.849999999999994</v>
      </c>
      <c r="CC210" s="517"/>
      <c r="CD210" s="85"/>
      <c r="CE210" s="517"/>
    </row>
    <row r="211" spans="1:83" ht="13">
      <c r="A211" s="1">
        <v>3046</v>
      </c>
      <c r="B211" s="2" t="s">
        <v>882</v>
      </c>
      <c r="C211" s="289">
        <v>2277</v>
      </c>
      <c r="D211" s="289">
        <v>43</v>
      </c>
      <c r="E211" s="289">
        <v>113</v>
      </c>
      <c r="F211" s="289">
        <v>251</v>
      </c>
      <c r="G211" s="289">
        <v>142</v>
      </c>
      <c r="H211" s="289">
        <v>1317</v>
      </c>
      <c r="I211" s="289">
        <v>302</v>
      </c>
      <c r="J211" s="289">
        <v>86</v>
      </c>
      <c r="K211" s="289">
        <v>23</v>
      </c>
      <c r="L211" s="289">
        <v>19</v>
      </c>
      <c r="M211" s="289">
        <v>193</v>
      </c>
      <c r="N211" s="290">
        <v>11</v>
      </c>
      <c r="O211" s="290">
        <v>27</v>
      </c>
      <c r="P211" s="624">
        <v>20613.79066667</v>
      </c>
      <c r="Q211" s="624">
        <v>9650.6859999999997</v>
      </c>
      <c r="R211" s="624">
        <v>12</v>
      </c>
      <c r="S211" s="289">
        <v>0</v>
      </c>
      <c r="T211" s="289">
        <v>219</v>
      </c>
      <c r="U211" s="716">
        <v>1.224900005806532E-3</v>
      </c>
      <c r="V211" s="289">
        <v>917.00849271000004</v>
      </c>
      <c r="W211" s="743">
        <v>0.86155512999999995</v>
      </c>
      <c r="X211" s="289">
        <v>0</v>
      </c>
      <c r="Y211" s="289">
        <v>0</v>
      </c>
      <c r="Z211" s="289">
        <v>72970</v>
      </c>
      <c r="AA211" s="289">
        <v>0</v>
      </c>
      <c r="AB211" s="290">
        <v>39</v>
      </c>
      <c r="AC211" s="289">
        <v>0</v>
      </c>
      <c r="AD211" s="289">
        <v>0</v>
      </c>
      <c r="AE211" s="289">
        <v>0</v>
      </c>
      <c r="AF211" s="289">
        <v>0</v>
      </c>
      <c r="AG211" s="289">
        <v>2277</v>
      </c>
      <c r="AH211" s="289">
        <v>292</v>
      </c>
      <c r="AI211" s="289">
        <v>1000</v>
      </c>
      <c r="AJ211" s="289">
        <v>328</v>
      </c>
      <c r="AK211" s="289">
        <v>10.3422</v>
      </c>
      <c r="AL211" s="289"/>
      <c r="AM211" s="622">
        <v>5.0546819999999999E-2</v>
      </c>
      <c r="AN211" s="289">
        <v>0</v>
      </c>
      <c r="AO211" s="289">
        <v>-127.54474627</v>
      </c>
      <c r="AP211" s="289">
        <v>0</v>
      </c>
      <c r="AQ211" s="289">
        <v>0</v>
      </c>
      <c r="AR211" s="289">
        <v>-162.74674508000001</v>
      </c>
      <c r="AS211" s="289">
        <v>26.890999999999998</v>
      </c>
      <c r="AT211" s="289">
        <v>133</v>
      </c>
      <c r="AU211" s="289">
        <v>22</v>
      </c>
      <c r="AV211" s="625">
        <v>73501</v>
      </c>
      <c r="AW211" s="289">
        <v>-1.1563000000000001</v>
      </c>
      <c r="AX211" s="625">
        <v>10.08333333</v>
      </c>
      <c r="AY211" s="289">
        <v>382</v>
      </c>
      <c r="AZ211" s="289">
        <v>88</v>
      </c>
      <c r="BA211" s="290">
        <v>34</v>
      </c>
      <c r="BB211" s="289">
        <v>2772</v>
      </c>
      <c r="BC211" s="289">
        <v>285</v>
      </c>
      <c r="BD211" s="289">
        <v>38.753399999999999</v>
      </c>
      <c r="BE211" s="289">
        <v>74919.079224100002</v>
      </c>
      <c r="BF211" s="289">
        <v>0</v>
      </c>
      <c r="BG211" s="289">
        <v>0</v>
      </c>
      <c r="BH211" s="289">
        <v>-18.551400000000001</v>
      </c>
      <c r="BI211" s="289">
        <v>292</v>
      </c>
      <c r="BJ211" s="289">
        <v>-2.3372999999999999</v>
      </c>
      <c r="BK211" s="289">
        <v>0</v>
      </c>
      <c r="BL211" s="289">
        <v>0</v>
      </c>
      <c r="BM211" s="289">
        <v>0</v>
      </c>
      <c r="BN211" s="289">
        <v>0</v>
      </c>
      <c r="BO211" s="517">
        <v>0</v>
      </c>
      <c r="BP211" s="517">
        <v>0</v>
      </c>
      <c r="BQ211" s="289">
        <f t="shared" si="6"/>
        <v>-2.3373345797999998</v>
      </c>
      <c r="BR211" s="289">
        <v>0</v>
      </c>
      <c r="BS211" s="289">
        <f t="shared" si="7"/>
        <v>0</v>
      </c>
      <c r="BT211" s="289">
        <v>6</v>
      </c>
      <c r="BU211" s="289">
        <v>0</v>
      </c>
      <c r="BV211" s="289">
        <v>30</v>
      </c>
      <c r="BW211" s="289">
        <v>157.18299999999999</v>
      </c>
      <c r="BX211" s="289">
        <v>46.966999999999999</v>
      </c>
      <c r="CC211" s="517"/>
      <c r="CD211" s="85"/>
      <c r="CE211" s="517"/>
    </row>
    <row r="212" spans="1:83" ht="13">
      <c r="A212" s="1">
        <v>3047</v>
      </c>
      <c r="B212" s="2" t="s">
        <v>883</v>
      </c>
      <c r="C212" s="289">
        <v>13880</v>
      </c>
      <c r="D212" s="289">
        <v>248</v>
      </c>
      <c r="E212" s="289">
        <v>632</v>
      </c>
      <c r="F212" s="289">
        <v>1551</v>
      </c>
      <c r="G212" s="289">
        <v>1135</v>
      </c>
      <c r="H212" s="289">
        <v>7919</v>
      </c>
      <c r="I212" s="289">
        <v>1697</v>
      </c>
      <c r="J212" s="289">
        <v>531</v>
      </c>
      <c r="K212" s="289">
        <v>142</v>
      </c>
      <c r="L212" s="289">
        <v>110</v>
      </c>
      <c r="M212" s="289">
        <v>1072</v>
      </c>
      <c r="N212" s="290">
        <v>275</v>
      </c>
      <c r="O212" s="290">
        <v>137</v>
      </c>
      <c r="P212" s="624">
        <v>47271.382333330002</v>
      </c>
      <c r="Q212" s="624">
        <v>27105.064666670001</v>
      </c>
      <c r="R212" s="624">
        <v>59</v>
      </c>
      <c r="S212" s="289">
        <v>0</v>
      </c>
      <c r="T212" s="289">
        <v>1294</v>
      </c>
      <c r="U212" s="716">
        <v>4.9118797774426208E-3</v>
      </c>
      <c r="V212" s="289">
        <v>4891.5902673700002</v>
      </c>
      <c r="W212" s="743">
        <v>0.58581852000000001</v>
      </c>
      <c r="X212" s="289">
        <v>2140</v>
      </c>
      <c r="Y212" s="289">
        <v>392</v>
      </c>
      <c r="Z212" s="289">
        <v>373875</v>
      </c>
      <c r="AA212" s="289">
        <v>0</v>
      </c>
      <c r="AB212" s="290">
        <v>300</v>
      </c>
      <c r="AC212" s="289">
        <v>0</v>
      </c>
      <c r="AD212" s="289">
        <v>0</v>
      </c>
      <c r="AE212" s="289">
        <v>0</v>
      </c>
      <c r="AF212" s="289">
        <v>0</v>
      </c>
      <c r="AG212" s="289">
        <v>13855</v>
      </c>
      <c r="AH212" s="289">
        <v>1855</v>
      </c>
      <c r="AI212" s="289">
        <v>0</v>
      </c>
      <c r="AJ212" s="289">
        <v>0</v>
      </c>
      <c r="AK212" s="289">
        <v>58.249299999999998</v>
      </c>
      <c r="AL212" s="289"/>
      <c r="AM212" s="622">
        <v>0.69034395000000004</v>
      </c>
      <c r="AN212" s="289">
        <v>0</v>
      </c>
      <c r="AO212" s="289">
        <v>-680.36080849999996</v>
      </c>
      <c r="AP212" s="289">
        <v>0</v>
      </c>
      <c r="AQ212" s="289">
        <v>0</v>
      </c>
      <c r="AR212" s="289">
        <v>-990.27499039999998</v>
      </c>
      <c r="AS212" s="289">
        <v>204.62379999999999</v>
      </c>
      <c r="AT212" s="289">
        <v>937</v>
      </c>
      <c r="AU212" s="289">
        <v>184</v>
      </c>
      <c r="AV212" s="625">
        <v>334125</v>
      </c>
      <c r="AW212" s="289">
        <v>-7.0354999999999999</v>
      </c>
      <c r="AX212" s="625">
        <v>57.708333330000002</v>
      </c>
      <c r="AY212" s="289">
        <v>2287</v>
      </c>
      <c r="AZ212" s="289">
        <v>761</v>
      </c>
      <c r="BA212" s="290">
        <v>350</v>
      </c>
      <c r="BB212" s="289">
        <v>0</v>
      </c>
      <c r="BC212" s="289">
        <v>2297</v>
      </c>
      <c r="BD212" s="289">
        <v>246.19040000000001</v>
      </c>
      <c r="BE212" s="289">
        <v>342500.65798916999</v>
      </c>
      <c r="BF212" s="289">
        <v>0</v>
      </c>
      <c r="BG212" s="289">
        <v>11</v>
      </c>
      <c r="BH212" s="289">
        <v>-112.8809</v>
      </c>
      <c r="BI212" s="289">
        <v>2247</v>
      </c>
      <c r="BJ212" s="289">
        <v>-14.222099999999999</v>
      </c>
      <c r="BK212" s="289">
        <v>0</v>
      </c>
      <c r="BL212" s="289">
        <v>0</v>
      </c>
      <c r="BM212" s="289">
        <v>0</v>
      </c>
      <c r="BN212" s="289">
        <v>0</v>
      </c>
      <c r="BO212" s="517">
        <v>0</v>
      </c>
      <c r="BP212" s="517">
        <v>0</v>
      </c>
      <c r="BQ212" s="289">
        <f t="shared" si="6"/>
        <v>-14.222121477</v>
      </c>
      <c r="BR212" s="289">
        <v>0</v>
      </c>
      <c r="BS212" s="289">
        <f t="shared" si="7"/>
        <v>0</v>
      </c>
      <c r="BT212" s="289">
        <v>33</v>
      </c>
      <c r="BU212" s="289">
        <v>0</v>
      </c>
      <c r="BV212" s="289">
        <v>132</v>
      </c>
      <c r="BW212" s="289">
        <v>0</v>
      </c>
      <c r="BX212" s="289">
        <v>289.67500000000001</v>
      </c>
      <c r="CC212" s="517"/>
      <c r="CD212" s="85"/>
      <c r="CE212" s="517"/>
    </row>
    <row r="213" spans="1:83" ht="13">
      <c r="A213" s="1">
        <v>3048</v>
      </c>
      <c r="B213" s="2" t="s">
        <v>884</v>
      </c>
      <c r="C213" s="289">
        <v>18926</v>
      </c>
      <c r="D213" s="289">
        <v>411</v>
      </c>
      <c r="E213" s="289">
        <v>889</v>
      </c>
      <c r="F213" s="289">
        <v>2275</v>
      </c>
      <c r="G213" s="289">
        <v>1593</v>
      </c>
      <c r="H213" s="289">
        <v>10720</v>
      </c>
      <c r="I213" s="289">
        <v>2024</v>
      </c>
      <c r="J213" s="289">
        <v>631</v>
      </c>
      <c r="K213" s="289">
        <v>160</v>
      </c>
      <c r="L213" s="289">
        <v>150</v>
      </c>
      <c r="M213" s="289">
        <v>1184</v>
      </c>
      <c r="N213" s="290">
        <v>372</v>
      </c>
      <c r="O213" s="290">
        <v>179</v>
      </c>
      <c r="P213" s="624">
        <v>51994.674666669998</v>
      </c>
      <c r="Q213" s="624">
        <v>34167.136333330003</v>
      </c>
      <c r="R213" s="624">
        <v>70</v>
      </c>
      <c r="S213" s="289">
        <v>0</v>
      </c>
      <c r="T213" s="289">
        <v>1351</v>
      </c>
      <c r="U213" s="716">
        <v>4.6033617894310278E-3</v>
      </c>
      <c r="V213" s="289">
        <v>2509.5726344499999</v>
      </c>
      <c r="W213" s="743">
        <v>0.57019228</v>
      </c>
      <c r="X213" s="289">
        <v>2885</v>
      </c>
      <c r="Y213" s="289">
        <v>392</v>
      </c>
      <c r="Z213" s="289">
        <v>525047</v>
      </c>
      <c r="AA213" s="289">
        <v>0</v>
      </c>
      <c r="AB213" s="290">
        <v>389</v>
      </c>
      <c r="AC213" s="289">
        <v>0</v>
      </c>
      <c r="AD213" s="289">
        <v>0</v>
      </c>
      <c r="AE213" s="289">
        <v>0</v>
      </c>
      <c r="AF213" s="289">
        <v>0</v>
      </c>
      <c r="AG213" s="289">
        <v>18703</v>
      </c>
      <c r="AH213" s="289">
        <v>2675</v>
      </c>
      <c r="AI213" s="289">
        <v>1150</v>
      </c>
      <c r="AJ213" s="289">
        <v>0</v>
      </c>
      <c r="AK213" s="289">
        <v>85.901700000000005</v>
      </c>
      <c r="AL213" s="289"/>
      <c r="AM213" s="622">
        <v>0.70013046000000001</v>
      </c>
      <c r="AN213" s="289">
        <v>0</v>
      </c>
      <c r="AO213" s="289">
        <v>-898.00303488999998</v>
      </c>
      <c r="AP213" s="289">
        <v>0</v>
      </c>
      <c r="AQ213" s="289">
        <v>0</v>
      </c>
      <c r="AR213" s="289">
        <v>-1336.7818943</v>
      </c>
      <c r="AS213" s="289">
        <v>240.15639999999999</v>
      </c>
      <c r="AT213" s="289">
        <v>1128</v>
      </c>
      <c r="AU213" s="289">
        <v>265</v>
      </c>
      <c r="AV213" s="625">
        <v>428361</v>
      </c>
      <c r="AW213" s="289">
        <v>-9.4972999999999992</v>
      </c>
      <c r="AX213" s="625">
        <v>135.33333332999999</v>
      </c>
      <c r="AY213" s="289">
        <v>3461</v>
      </c>
      <c r="AZ213" s="289">
        <v>807</v>
      </c>
      <c r="BA213" s="290">
        <v>455</v>
      </c>
      <c r="BB213" s="289">
        <v>0</v>
      </c>
      <c r="BC213" s="289">
        <v>2955</v>
      </c>
      <c r="BD213" s="289">
        <v>355.01839999999999</v>
      </c>
      <c r="BE213" s="289">
        <v>437282.40638149</v>
      </c>
      <c r="BF213" s="289">
        <v>0</v>
      </c>
      <c r="BG213" s="289">
        <v>11</v>
      </c>
      <c r="BH213" s="289">
        <v>-152.37909999999999</v>
      </c>
      <c r="BI213" s="289">
        <v>3067</v>
      </c>
      <c r="BJ213" s="289">
        <v>-19.198599999999999</v>
      </c>
      <c r="BK213" s="289">
        <v>0</v>
      </c>
      <c r="BL213" s="289">
        <v>0</v>
      </c>
      <c r="BM213" s="289">
        <v>0</v>
      </c>
      <c r="BN213" s="289">
        <v>0</v>
      </c>
      <c r="BO213" s="517">
        <v>0</v>
      </c>
      <c r="BP213" s="517">
        <v>0</v>
      </c>
      <c r="BQ213" s="289">
        <f t="shared" si="6"/>
        <v>-19.198580872200001</v>
      </c>
      <c r="BR213" s="289">
        <v>0</v>
      </c>
      <c r="BS213" s="289">
        <f t="shared" si="7"/>
        <v>0</v>
      </c>
      <c r="BT213" s="289">
        <v>49</v>
      </c>
      <c r="BU213" s="289">
        <v>0</v>
      </c>
      <c r="BV213" s="289">
        <v>172</v>
      </c>
      <c r="BW213" s="289">
        <v>0</v>
      </c>
      <c r="BX213" s="289">
        <v>395.24200000000002</v>
      </c>
      <c r="CC213" s="517"/>
      <c r="CD213" s="85"/>
      <c r="CE213" s="517"/>
    </row>
    <row r="214" spans="1:83" ht="13">
      <c r="A214" s="1">
        <v>3049</v>
      </c>
      <c r="B214" s="2" t="s">
        <v>886</v>
      </c>
      <c r="C214" s="289">
        <v>25980</v>
      </c>
      <c r="D214" s="289">
        <v>511</v>
      </c>
      <c r="E214" s="289">
        <v>1290</v>
      </c>
      <c r="F214" s="289">
        <v>3425</v>
      </c>
      <c r="G214" s="289">
        <v>2227</v>
      </c>
      <c r="H214" s="289">
        <v>14736</v>
      </c>
      <c r="I214" s="289">
        <v>2771</v>
      </c>
      <c r="J214" s="289">
        <v>736</v>
      </c>
      <c r="K214" s="289">
        <v>165</v>
      </c>
      <c r="L214" s="289">
        <v>206</v>
      </c>
      <c r="M214" s="289">
        <v>1464</v>
      </c>
      <c r="N214" s="290">
        <v>875</v>
      </c>
      <c r="O214" s="290">
        <v>254</v>
      </c>
      <c r="P214" s="624">
        <v>57375.805</v>
      </c>
      <c r="Q214" s="624">
        <v>35047.254000000001</v>
      </c>
      <c r="R214" s="624">
        <v>106</v>
      </c>
      <c r="S214" s="289">
        <v>0</v>
      </c>
      <c r="T214" s="289">
        <v>1805</v>
      </c>
      <c r="U214" s="716">
        <v>3.5952988377340169E-3</v>
      </c>
      <c r="V214" s="289">
        <v>7146.6943304599999</v>
      </c>
      <c r="W214" s="743">
        <v>0.56439656999999999</v>
      </c>
      <c r="X214" s="289">
        <v>0</v>
      </c>
      <c r="Y214" s="289">
        <v>629</v>
      </c>
      <c r="Z214" s="289">
        <v>880691</v>
      </c>
      <c r="AA214" s="289">
        <v>0</v>
      </c>
      <c r="AB214" s="290">
        <v>339</v>
      </c>
      <c r="AC214" s="289">
        <v>0</v>
      </c>
      <c r="AD214" s="289">
        <v>0</v>
      </c>
      <c r="AE214" s="289">
        <v>0</v>
      </c>
      <c r="AF214" s="289">
        <v>0</v>
      </c>
      <c r="AG214" s="289">
        <v>25861</v>
      </c>
      <c r="AH214" s="289">
        <v>3924</v>
      </c>
      <c r="AI214" s="289">
        <v>275</v>
      </c>
      <c r="AJ214" s="289">
        <v>0</v>
      </c>
      <c r="AK214" s="289">
        <v>127.7047</v>
      </c>
      <c r="AL214" s="289"/>
      <c r="AM214" s="622">
        <v>0.75542717000000004</v>
      </c>
      <c r="AN214" s="289">
        <v>0</v>
      </c>
      <c r="AO214" s="289">
        <v>-1244.6269014300001</v>
      </c>
      <c r="AP214" s="289">
        <v>0</v>
      </c>
      <c r="AQ214" s="289">
        <v>0</v>
      </c>
      <c r="AR214" s="289">
        <v>-1848.39419176</v>
      </c>
      <c r="AS214" s="289">
        <v>325.31009999999998</v>
      </c>
      <c r="AT214" s="289">
        <v>1571</v>
      </c>
      <c r="AU214" s="289">
        <v>273</v>
      </c>
      <c r="AV214" s="625">
        <v>585366</v>
      </c>
      <c r="AW214" s="289">
        <v>-13.132199999999999</v>
      </c>
      <c r="AX214" s="625">
        <v>188.83333332999999</v>
      </c>
      <c r="AY214" s="289">
        <v>6671</v>
      </c>
      <c r="AZ214" s="289">
        <v>1167</v>
      </c>
      <c r="BA214" s="290">
        <v>545</v>
      </c>
      <c r="BB214" s="289">
        <v>0</v>
      </c>
      <c r="BC214" s="289">
        <v>4437</v>
      </c>
      <c r="BD214" s="289">
        <v>520.78219999999999</v>
      </c>
      <c r="BE214" s="289">
        <v>607662.25947019004</v>
      </c>
      <c r="BF214" s="289">
        <v>0</v>
      </c>
      <c r="BG214" s="289">
        <v>22</v>
      </c>
      <c r="BH214" s="289">
        <v>-210.69749999999999</v>
      </c>
      <c r="BI214" s="289">
        <v>4553</v>
      </c>
      <c r="BJ214" s="289">
        <v>-26.546199999999999</v>
      </c>
      <c r="BK214" s="289">
        <v>0</v>
      </c>
      <c r="BL214" s="289">
        <v>0</v>
      </c>
      <c r="BM214" s="289">
        <v>0</v>
      </c>
      <c r="BN214" s="289">
        <v>0</v>
      </c>
      <c r="BO214" s="517">
        <v>0</v>
      </c>
      <c r="BP214" s="517">
        <v>0</v>
      </c>
      <c r="BQ214" s="289">
        <f t="shared" si="6"/>
        <v>-26.5462492614</v>
      </c>
      <c r="BR214" s="289">
        <v>0</v>
      </c>
      <c r="BS214" s="289">
        <f t="shared" si="7"/>
        <v>0</v>
      </c>
      <c r="BT214" s="289">
        <v>73</v>
      </c>
      <c r="BU214" s="289">
        <v>0</v>
      </c>
      <c r="BV214" s="289">
        <v>231</v>
      </c>
      <c r="BW214" s="289">
        <v>0</v>
      </c>
      <c r="BX214" s="289">
        <v>543.24699999999996</v>
      </c>
      <c r="CC214" s="517"/>
      <c r="CD214" s="85"/>
      <c r="CE214" s="517"/>
    </row>
    <row r="215" spans="1:83" ht="13">
      <c r="A215" s="1">
        <v>3050</v>
      </c>
      <c r="B215" s="2" t="s">
        <v>889</v>
      </c>
      <c r="C215" s="289">
        <v>2688</v>
      </c>
      <c r="D215" s="289">
        <v>54</v>
      </c>
      <c r="E215" s="289">
        <v>115</v>
      </c>
      <c r="F215" s="289">
        <v>322</v>
      </c>
      <c r="G215" s="289">
        <v>233</v>
      </c>
      <c r="H215" s="289">
        <v>1475</v>
      </c>
      <c r="I215" s="289">
        <v>350</v>
      </c>
      <c r="J215" s="289">
        <v>113</v>
      </c>
      <c r="K215" s="289">
        <v>23</v>
      </c>
      <c r="L215" s="289">
        <v>21</v>
      </c>
      <c r="M215" s="289">
        <v>196</v>
      </c>
      <c r="N215" s="290">
        <v>21</v>
      </c>
      <c r="O215" s="290">
        <v>33</v>
      </c>
      <c r="P215" s="624">
        <v>21796.613000000001</v>
      </c>
      <c r="Q215" s="624">
        <v>15669.84333333</v>
      </c>
      <c r="R215" s="624">
        <v>10</v>
      </c>
      <c r="S215" s="289">
        <v>0</v>
      </c>
      <c r="T215" s="289">
        <v>177</v>
      </c>
      <c r="U215" s="716">
        <v>1.5820220399607387E-3</v>
      </c>
      <c r="V215" s="289">
        <v>884.74227887999996</v>
      </c>
      <c r="W215" s="743">
        <v>0.81697140000000001</v>
      </c>
      <c r="X215" s="289">
        <v>0</v>
      </c>
      <c r="Y215" s="289">
        <v>392</v>
      </c>
      <c r="Z215" s="289">
        <v>75809</v>
      </c>
      <c r="AA215" s="289">
        <v>0</v>
      </c>
      <c r="AB215" s="290">
        <v>49</v>
      </c>
      <c r="AC215" s="289">
        <v>0</v>
      </c>
      <c r="AD215" s="289">
        <v>0</v>
      </c>
      <c r="AE215" s="289">
        <v>0</v>
      </c>
      <c r="AF215" s="289">
        <v>0</v>
      </c>
      <c r="AG215" s="289">
        <v>2685</v>
      </c>
      <c r="AH215" s="289">
        <v>388</v>
      </c>
      <c r="AI215" s="289">
        <v>1250</v>
      </c>
      <c r="AJ215" s="289">
        <v>0</v>
      </c>
      <c r="AK215" s="289">
        <v>11.1492</v>
      </c>
      <c r="AL215" s="289"/>
      <c r="AM215" s="622">
        <v>6.9303959999999998E-2</v>
      </c>
      <c r="AN215" s="289">
        <v>0</v>
      </c>
      <c r="AO215" s="289">
        <v>-146.92438401999999</v>
      </c>
      <c r="AP215" s="289">
        <v>0</v>
      </c>
      <c r="AQ215" s="289">
        <v>0</v>
      </c>
      <c r="AR215" s="289">
        <v>5537.85521685</v>
      </c>
      <c r="AS215" s="289">
        <v>28.474599999999999</v>
      </c>
      <c r="AT215" s="289">
        <v>145</v>
      </c>
      <c r="AU215" s="289">
        <v>18</v>
      </c>
      <c r="AV215" s="625">
        <v>89641</v>
      </c>
      <c r="AW215" s="289">
        <v>-52.236699999999999</v>
      </c>
      <c r="AX215" s="625">
        <v>19.125</v>
      </c>
      <c r="AY215" s="289">
        <v>417</v>
      </c>
      <c r="AZ215" s="289">
        <v>193</v>
      </c>
      <c r="BA215" s="290">
        <v>75</v>
      </c>
      <c r="BB215" s="289">
        <v>2772</v>
      </c>
      <c r="BC215" s="289">
        <v>848</v>
      </c>
      <c r="BD215" s="289">
        <v>51.494300000000003</v>
      </c>
      <c r="BE215" s="289">
        <v>84513.46472109</v>
      </c>
      <c r="BF215" s="289">
        <v>0</v>
      </c>
      <c r="BG215" s="289">
        <v>11</v>
      </c>
      <c r="BH215" s="289">
        <v>-21.875499999999999</v>
      </c>
      <c r="BI215" s="289">
        <v>780</v>
      </c>
      <c r="BJ215" s="289">
        <v>-2.7561</v>
      </c>
      <c r="BK215" s="289">
        <v>0</v>
      </c>
      <c r="BL215" s="289">
        <v>0</v>
      </c>
      <c r="BM215" s="289">
        <v>0</v>
      </c>
      <c r="BN215" s="289">
        <v>0</v>
      </c>
      <c r="BO215" s="517">
        <v>0</v>
      </c>
      <c r="BP215" s="517">
        <v>0</v>
      </c>
      <c r="BQ215" s="289">
        <f t="shared" si="6"/>
        <v>-2.7561455189999999</v>
      </c>
      <c r="BR215" s="289">
        <v>0</v>
      </c>
      <c r="BS215" s="289">
        <f t="shared" si="7"/>
        <v>0</v>
      </c>
      <c r="BT215" s="289">
        <v>6</v>
      </c>
      <c r="BU215" s="289">
        <v>0</v>
      </c>
      <c r="BV215" s="289">
        <v>34</v>
      </c>
      <c r="BW215" s="289">
        <v>157.18299999999999</v>
      </c>
      <c r="BX215" s="289">
        <v>56.231999999999999</v>
      </c>
      <c r="CC215" s="517"/>
      <c r="CD215" s="85"/>
      <c r="CE215" s="517"/>
    </row>
    <row r="216" spans="1:83" ht="13">
      <c r="A216" s="1">
        <v>3051</v>
      </c>
      <c r="B216" s="2" t="s">
        <v>890</v>
      </c>
      <c r="C216" s="289">
        <v>1411</v>
      </c>
      <c r="D216" s="289">
        <v>28</v>
      </c>
      <c r="E216" s="289">
        <v>46</v>
      </c>
      <c r="F216" s="289">
        <v>128</v>
      </c>
      <c r="G216" s="289">
        <v>154</v>
      </c>
      <c r="H216" s="289">
        <v>746</v>
      </c>
      <c r="I216" s="289">
        <v>201</v>
      </c>
      <c r="J216" s="289">
        <v>80</v>
      </c>
      <c r="K216" s="289">
        <v>24</v>
      </c>
      <c r="L216" s="289">
        <v>9</v>
      </c>
      <c r="M216" s="289">
        <v>134</v>
      </c>
      <c r="N216" s="290">
        <v>8</v>
      </c>
      <c r="O216" s="290">
        <v>9</v>
      </c>
      <c r="P216" s="624">
        <v>11374.965333329999</v>
      </c>
      <c r="Q216" s="624">
        <v>4685.3056666700004</v>
      </c>
      <c r="R216" s="624">
        <v>14</v>
      </c>
      <c r="S216" s="289">
        <v>0</v>
      </c>
      <c r="T216" s="289">
        <v>105</v>
      </c>
      <c r="U216" s="716">
        <v>1.2055552413449699E-3</v>
      </c>
      <c r="V216" s="289">
        <v>631.29594047000001</v>
      </c>
      <c r="W216" s="743">
        <v>0.99719055000000001</v>
      </c>
      <c r="X216" s="289">
        <v>1210</v>
      </c>
      <c r="Y216" s="289">
        <v>392</v>
      </c>
      <c r="Z216" s="289">
        <v>41136</v>
      </c>
      <c r="AA216" s="289">
        <v>-1070.3975920800001</v>
      </c>
      <c r="AB216" s="290">
        <v>27</v>
      </c>
      <c r="AC216" s="289">
        <v>0</v>
      </c>
      <c r="AD216" s="289">
        <v>0</v>
      </c>
      <c r="AE216" s="289">
        <v>0</v>
      </c>
      <c r="AF216" s="289">
        <v>0</v>
      </c>
      <c r="AG216" s="289">
        <v>1407</v>
      </c>
      <c r="AH216" s="289">
        <v>176</v>
      </c>
      <c r="AI216" s="289">
        <v>0</v>
      </c>
      <c r="AJ216" s="289">
        <v>0</v>
      </c>
      <c r="AK216" s="289">
        <v>4.7228000000000003</v>
      </c>
      <c r="AL216" s="289"/>
      <c r="AM216" s="622">
        <v>3.2786600000000001E-3</v>
      </c>
      <c r="AN216" s="289">
        <v>0</v>
      </c>
      <c r="AO216" s="289">
        <v>-87.805599610000002</v>
      </c>
      <c r="AP216" s="289">
        <v>0</v>
      </c>
      <c r="AQ216" s="289">
        <v>0</v>
      </c>
      <c r="AR216" s="289">
        <v>5668.4058325300002</v>
      </c>
      <c r="AS216" s="289">
        <v>13.695399999999999</v>
      </c>
      <c r="AT216" s="289">
        <v>69</v>
      </c>
      <c r="AU216" s="289">
        <v>3</v>
      </c>
      <c r="AV216" s="625">
        <v>62412</v>
      </c>
      <c r="AW216" s="289">
        <v>-27.373200000000001</v>
      </c>
      <c r="AX216" s="625">
        <v>8.9166666699999997</v>
      </c>
      <c r="AY216" s="289">
        <v>252</v>
      </c>
      <c r="AZ216" s="289">
        <v>31</v>
      </c>
      <c r="BA216" s="290">
        <v>16</v>
      </c>
      <c r="BB216" s="289">
        <v>2772</v>
      </c>
      <c r="BC216" s="289">
        <v>-940.90876034999997</v>
      </c>
      <c r="BD216" s="289">
        <v>23.3582</v>
      </c>
      <c r="BE216" s="289">
        <v>57191.941732779997</v>
      </c>
      <c r="BF216" s="289">
        <v>0</v>
      </c>
      <c r="BG216" s="289">
        <v>11</v>
      </c>
      <c r="BH216" s="289">
        <v>-11.4633</v>
      </c>
      <c r="BI216" s="289">
        <v>-502.39759207999998</v>
      </c>
      <c r="BJ216" s="289">
        <v>-1.4442999999999999</v>
      </c>
      <c r="BK216" s="289">
        <v>0</v>
      </c>
      <c r="BL216" s="289">
        <v>0</v>
      </c>
      <c r="BM216" s="289">
        <v>0</v>
      </c>
      <c r="BN216" s="289">
        <v>0</v>
      </c>
      <c r="BO216" s="517">
        <v>0</v>
      </c>
      <c r="BP216" s="517">
        <v>0</v>
      </c>
      <c r="BQ216" s="289">
        <f t="shared" si="6"/>
        <v>-1.4442818417999999</v>
      </c>
      <c r="BR216" s="289">
        <v>0</v>
      </c>
      <c r="BS216" s="289">
        <f t="shared" si="7"/>
        <v>0</v>
      </c>
      <c r="BT216" s="289">
        <v>3</v>
      </c>
      <c r="BU216" s="289">
        <v>0</v>
      </c>
      <c r="BV216" s="289">
        <v>23</v>
      </c>
      <c r="BW216" s="289">
        <v>157.18299999999999</v>
      </c>
      <c r="BX216" s="289">
        <v>29.809000000000001</v>
      </c>
      <c r="CC216" s="517"/>
      <c r="CD216" s="85"/>
      <c r="CE216" s="517"/>
    </row>
    <row r="217" spans="1:83" ht="13">
      <c r="A217" s="1">
        <v>3052</v>
      </c>
      <c r="B217" s="2" t="s">
        <v>891</v>
      </c>
      <c r="C217" s="289">
        <v>2482</v>
      </c>
      <c r="D217" s="289">
        <v>39</v>
      </c>
      <c r="E217" s="289">
        <v>95</v>
      </c>
      <c r="F217" s="289">
        <v>272</v>
      </c>
      <c r="G217" s="289">
        <v>238</v>
      </c>
      <c r="H217" s="289">
        <v>1368</v>
      </c>
      <c r="I217" s="289">
        <v>340</v>
      </c>
      <c r="J217" s="289">
        <v>139</v>
      </c>
      <c r="K217" s="289">
        <v>39</v>
      </c>
      <c r="L217" s="289">
        <v>19</v>
      </c>
      <c r="M217" s="289">
        <v>247</v>
      </c>
      <c r="N217" s="290">
        <v>23</v>
      </c>
      <c r="O217" s="290">
        <v>34</v>
      </c>
      <c r="P217" s="624">
        <v>28828.71</v>
      </c>
      <c r="Q217" s="624">
        <v>15531.44833333</v>
      </c>
      <c r="R217" s="624">
        <v>15</v>
      </c>
      <c r="S217" s="289">
        <v>0</v>
      </c>
      <c r="T217" s="289">
        <v>193</v>
      </c>
      <c r="U217" s="716">
        <v>3.3222792801653103E-3</v>
      </c>
      <c r="V217" s="289">
        <v>1071.31922482</v>
      </c>
      <c r="W217" s="743">
        <v>1</v>
      </c>
      <c r="X217" s="289">
        <v>0</v>
      </c>
      <c r="Y217" s="289">
        <v>392</v>
      </c>
      <c r="Z217" s="289">
        <v>90032</v>
      </c>
      <c r="AA217" s="289">
        <v>0</v>
      </c>
      <c r="AB217" s="290">
        <v>29</v>
      </c>
      <c r="AC217" s="289">
        <v>0</v>
      </c>
      <c r="AD217" s="289">
        <v>0</v>
      </c>
      <c r="AE217" s="289">
        <v>0</v>
      </c>
      <c r="AF217" s="289">
        <v>0</v>
      </c>
      <c r="AG217" s="289">
        <v>2530</v>
      </c>
      <c r="AH217" s="289">
        <v>326</v>
      </c>
      <c r="AI217" s="289">
        <v>0</v>
      </c>
      <c r="AJ217" s="289">
        <v>0</v>
      </c>
      <c r="AK217" s="289">
        <v>8.9329999999999998</v>
      </c>
      <c r="AL217" s="289"/>
      <c r="AM217" s="622">
        <v>2.8745960000000001E-2</v>
      </c>
      <c r="AN217" s="289">
        <v>0</v>
      </c>
      <c r="AO217" s="289">
        <v>-149.00749533999999</v>
      </c>
      <c r="AP217" s="289">
        <v>0</v>
      </c>
      <c r="AQ217" s="289">
        <v>0</v>
      </c>
      <c r="AR217" s="289">
        <v>-180.82971676</v>
      </c>
      <c r="AS217" s="289">
        <v>24.962299999999999</v>
      </c>
      <c r="AT217" s="289">
        <v>115</v>
      </c>
      <c r="AU217" s="289">
        <v>16</v>
      </c>
      <c r="AV217" s="625">
        <v>91999</v>
      </c>
      <c r="AW217" s="289">
        <v>-1.2847</v>
      </c>
      <c r="AX217" s="625">
        <v>10.375</v>
      </c>
      <c r="AY217" s="289">
        <v>376</v>
      </c>
      <c r="AZ217" s="289">
        <v>100</v>
      </c>
      <c r="BA217" s="290">
        <v>47</v>
      </c>
      <c r="BB217" s="289">
        <v>5543</v>
      </c>
      <c r="BC217" s="289">
        <v>755</v>
      </c>
      <c r="BD217" s="289">
        <v>43.265799999999999</v>
      </c>
      <c r="BE217" s="289">
        <v>93649.225040849997</v>
      </c>
      <c r="BF217" s="289">
        <v>0</v>
      </c>
      <c r="BG217" s="289">
        <v>11</v>
      </c>
      <c r="BH217" s="289">
        <v>-20.6127</v>
      </c>
      <c r="BI217" s="289">
        <v>718</v>
      </c>
      <c r="BJ217" s="289">
        <v>-2.597</v>
      </c>
      <c r="BK217" s="289">
        <v>0</v>
      </c>
      <c r="BL217" s="289">
        <v>0</v>
      </c>
      <c r="BM217" s="289">
        <v>0</v>
      </c>
      <c r="BN217" s="289">
        <v>0</v>
      </c>
      <c r="BO217" s="517">
        <v>0</v>
      </c>
      <c r="BP217" s="517">
        <v>0</v>
      </c>
      <c r="BQ217" s="289">
        <f t="shared" si="6"/>
        <v>-2.5970384220000002</v>
      </c>
      <c r="BR217" s="289">
        <v>0</v>
      </c>
      <c r="BS217" s="289">
        <f t="shared" si="7"/>
        <v>0</v>
      </c>
      <c r="BT217" s="289">
        <v>5</v>
      </c>
      <c r="BU217" s="289">
        <v>0</v>
      </c>
      <c r="BV217" s="289">
        <v>36</v>
      </c>
      <c r="BW217" s="289">
        <v>157.18299999999999</v>
      </c>
      <c r="BX217" s="289">
        <v>51.246000000000002</v>
      </c>
      <c r="CC217" s="517"/>
      <c r="CD217" s="85"/>
      <c r="CE217" s="517"/>
    </row>
    <row r="218" spans="1:83" ht="13">
      <c r="A218" s="1">
        <v>3053</v>
      </c>
      <c r="B218" s="2" t="s">
        <v>860</v>
      </c>
      <c r="C218" s="289">
        <v>6777</v>
      </c>
      <c r="D218" s="289">
        <v>121</v>
      </c>
      <c r="E218" s="289">
        <v>291</v>
      </c>
      <c r="F218" s="289">
        <v>833</v>
      </c>
      <c r="G218" s="289">
        <v>574</v>
      </c>
      <c r="H218" s="289">
        <v>3790</v>
      </c>
      <c r="I218" s="289">
        <v>834</v>
      </c>
      <c r="J218" s="289">
        <v>253</v>
      </c>
      <c r="K218" s="289">
        <v>55</v>
      </c>
      <c r="L218" s="289">
        <v>59</v>
      </c>
      <c r="M218" s="289">
        <v>518</v>
      </c>
      <c r="N218" s="290">
        <v>92</v>
      </c>
      <c r="O218" s="290">
        <v>58</v>
      </c>
      <c r="P218" s="624">
        <v>17736.103666669998</v>
      </c>
      <c r="Q218" s="624">
        <v>10136.89733333</v>
      </c>
      <c r="R218" s="624">
        <v>21</v>
      </c>
      <c r="S218" s="289">
        <v>0</v>
      </c>
      <c r="T218" s="289">
        <v>493</v>
      </c>
      <c r="U218" s="716">
        <v>1.4054614833084219E-3</v>
      </c>
      <c r="V218" s="289">
        <v>538.75122286999999</v>
      </c>
      <c r="W218" s="743">
        <v>0.58267438000000005</v>
      </c>
      <c r="X218" s="289">
        <v>2000</v>
      </c>
      <c r="Y218" s="289">
        <v>392</v>
      </c>
      <c r="Z218" s="289">
        <v>167525</v>
      </c>
      <c r="AA218" s="289">
        <v>0</v>
      </c>
      <c r="AB218" s="290">
        <v>154</v>
      </c>
      <c r="AC218" s="289">
        <v>0</v>
      </c>
      <c r="AD218" s="289">
        <v>0</v>
      </c>
      <c r="AE218" s="289">
        <v>0</v>
      </c>
      <c r="AF218" s="289">
        <v>0</v>
      </c>
      <c r="AG218" s="289">
        <v>6751</v>
      </c>
      <c r="AH218" s="289">
        <v>941</v>
      </c>
      <c r="AI218" s="289">
        <v>500</v>
      </c>
      <c r="AJ218" s="289">
        <v>0</v>
      </c>
      <c r="AK218" s="289">
        <v>26.3522</v>
      </c>
      <c r="AL218" s="289"/>
      <c r="AM218" s="622">
        <v>0.21105344000000001</v>
      </c>
      <c r="AN218" s="289">
        <v>1700</v>
      </c>
      <c r="AO218" s="289">
        <v>-325.54225421000001</v>
      </c>
      <c r="AP218" s="289">
        <v>0</v>
      </c>
      <c r="AQ218" s="289">
        <v>0</v>
      </c>
      <c r="AR218" s="289">
        <v>2985.1389072900001</v>
      </c>
      <c r="AS218" s="289">
        <v>82.3446</v>
      </c>
      <c r="AT218" s="289">
        <v>497</v>
      </c>
      <c r="AU218" s="289">
        <v>70</v>
      </c>
      <c r="AV218" s="625">
        <v>161957</v>
      </c>
      <c r="AW218" s="289">
        <v>-131.3409</v>
      </c>
      <c r="AX218" s="625">
        <v>15.83333333</v>
      </c>
      <c r="AY218" s="289">
        <v>1153</v>
      </c>
      <c r="AZ218" s="289">
        <v>272</v>
      </c>
      <c r="BA218" s="290">
        <v>149</v>
      </c>
      <c r="BB218" s="289">
        <v>0</v>
      </c>
      <c r="BC218" s="289">
        <v>1353</v>
      </c>
      <c r="BD218" s="289">
        <v>124.8869</v>
      </c>
      <c r="BE218" s="289">
        <v>161798.39497165999</v>
      </c>
      <c r="BF218" s="289">
        <v>0</v>
      </c>
      <c r="BG218" s="289">
        <v>11</v>
      </c>
      <c r="BH218" s="289">
        <v>-55.002499999999998</v>
      </c>
      <c r="BI218" s="289">
        <v>1333</v>
      </c>
      <c r="BJ218" s="289">
        <v>-6.9298999999999999</v>
      </c>
      <c r="BK218" s="289">
        <v>0</v>
      </c>
      <c r="BL218" s="289">
        <v>0</v>
      </c>
      <c r="BM218" s="289">
        <v>0</v>
      </c>
      <c r="BN218" s="289">
        <v>0</v>
      </c>
      <c r="BO218" s="517">
        <v>0</v>
      </c>
      <c r="BP218" s="517">
        <v>0</v>
      </c>
      <c r="BQ218" s="289">
        <f t="shared" si="6"/>
        <v>-6.9298839473999996</v>
      </c>
      <c r="BR218" s="289">
        <v>0</v>
      </c>
      <c r="BS218" s="289">
        <f t="shared" si="7"/>
        <v>0</v>
      </c>
      <c r="BT218" s="289">
        <v>15</v>
      </c>
      <c r="BU218" s="289">
        <v>0</v>
      </c>
      <c r="BV218" s="289">
        <v>66</v>
      </c>
      <c r="BW218" s="289">
        <v>73.352000000000004</v>
      </c>
      <c r="BX218" s="289">
        <v>142.23099999999999</v>
      </c>
      <c r="CC218" s="517"/>
      <c r="CD218" s="85"/>
      <c r="CE218" s="517"/>
    </row>
    <row r="219" spans="1:83" ht="13">
      <c r="A219" s="1">
        <v>3054</v>
      </c>
      <c r="B219" s="2" t="s">
        <v>861</v>
      </c>
      <c r="C219" s="289">
        <v>9065</v>
      </c>
      <c r="D219" s="289">
        <v>174</v>
      </c>
      <c r="E219" s="289">
        <v>400</v>
      </c>
      <c r="F219" s="289">
        <v>1150</v>
      </c>
      <c r="G219" s="289">
        <v>778</v>
      </c>
      <c r="H219" s="289">
        <v>5271</v>
      </c>
      <c r="I219" s="289">
        <v>1015</v>
      </c>
      <c r="J219" s="289">
        <v>271</v>
      </c>
      <c r="K219" s="289">
        <v>59</v>
      </c>
      <c r="L219" s="289">
        <v>77</v>
      </c>
      <c r="M219" s="289">
        <v>601</v>
      </c>
      <c r="N219" s="290">
        <v>142</v>
      </c>
      <c r="O219" s="290">
        <v>92</v>
      </c>
      <c r="P219" s="624">
        <v>26894.282666669998</v>
      </c>
      <c r="Q219" s="624">
        <v>21051.392666669999</v>
      </c>
      <c r="R219" s="624">
        <v>44</v>
      </c>
      <c r="S219" s="289">
        <v>0</v>
      </c>
      <c r="T219" s="289">
        <v>682</v>
      </c>
      <c r="U219" s="716">
        <v>2.6128595753442826E-3</v>
      </c>
      <c r="V219" s="289">
        <v>2933.5643276699998</v>
      </c>
      <c r="W219" s="743">
        <v>0.63464237999999995</v>
      </c>
      <c r="X219" s="289">
        <v>500</v>
      </c>
      <c r="Y219" s="289">
        <v>392</v>
      </c>
      <c r="Z219" s="289">
        <v>250417</v>
      </c>
      <c r="AA219" s="289">
        <v>0</v>
      </c>
      <c r="AB219" s="290">
        <v>182</v>
      </c>
      <c r="AC219" s="289">
        <v>0</v>
      </c>
      <c r="AD219" s="289">
        <v>0</v>
      </c>
      <c r="AE219" s="289">
        <v>0</v>
      </c>
      <c r="AF219" s="289">
        <v>0</v>
      </c>
      <c r="AG219" s="289">
        <v>9118</v>
      </c>
      <c r="AH219" s="289">
        <v>1310</v>
      </c>
      <c r="AI219" s="289">
        <v>500</v>
      </c>
      <c r="AJ219" s="289">
        <v>0</v>
      </c>
      <c r="AK219" s="289">
        <v>38.882800000000003</v>
      </c>
      <c r="AL219" s="289"/>
      <c r="AM219" s="622">
        <v>0.27407471999999999</v>
      </c>
      <c r="AN219" s="289">
        <v>0</v>
      </c>
      <c r="AO219" s="289">
        <v>-443.82439068000002</v>
      </c>
      <c r="AP219" s="289">
        <v>0</v>
      </c>
      <c r="AQ219" s="289">
        <v>0</v>
      </c>
      <c r="AR219" s="289">
        <v>1639.7744052999999</v>
      </c>
      <c r="AS219" s="289">
        <v>111.2993</v>
      </c>
      <c r="AT219" s="289">
        <v>577</v>
      </c>
      <c r="AU219" s="289">
        <v>107</v>
      </c>
      <c r="AV219" s="625">
        <v>220419</v>
      </c>
      <c r="AW219" s="289">
        <v>-177.39089999999999</v>
      </c>
      <c r="AX219" s="625">
        <v>57.5</v>
      </c>
      <c r="AY219" s="289">
        <v>1766</v>
      </c>
      <c r="AZ219" s="289">
        <v>366</v>
      </c>
      <c r="BA219" s="290">
        <v>244</v>
      </c>
      <c r="BB219" s="289">
        <v>0</v>
      </c>
      <c r="BC219" s="289">
        <v>1664</v>
      </c>
      <c r="BD219" s="289">
        <v>173.8595</v>
      </c>
      <c r="BE219" s="289">
        <v>220396.67037633</v>
      </c>
      <c r="BF219" s="289">
        <v>0</v>
      </c>
      <c r="BG219" s="289">
        <v>11</v>
      </c>
      <c r="BH219" s="289">
        <v>-74.287099999999995</v>
      </c>
      <c r="BI219" s="289">
        <v>1702</v>
      </c>
      <c r="BJ219" s="289">
        <v>-9.3596000000000004</v>
      </c>
      <c r="BK219" s="289">
        <v>0</v>
      </c>
      <c r="BL219" s="289">
        <v>0</v>
      </c>
      <c r="BM219" s="289">
        <v>0</v>
      </c>
      <c r="BN219" s="289">
        <v>0</v>
      </c>
      <c r="BO219" s="517">
        <v>0</v>
      </c>
      <c r="BP219" s="517">
        <v>0</v>
      </c>
      <c r="BQ219" s="289">
        <f t="shared" si="6"/>
        <v>-9.3596032931999993</v>
      </c>
      <c r="BR219" s="289">
        <v>0</v>
      </c>
      <c r="BS219" s="289">
        <f t="shared" si="7"/>
        <v>0</v>
      </c>
      <c r="BT219" s="289">
        <v>22</v>
      </c>
      <c r="BU219" s="289">
        <v>0</v>
      </c>
      <c r="BV219" s="289">
        <v>87</v>
      </c>
      <c r="BW219" s="289">
        <v>0</v>
      </c>
      <c r="BX219" s="289">
        <v>188.90700000000001</v>
      </c>
      <c r="CC219" s="517"/>
      <c r="CD219" s="85"/>
      <c r="CE219" s="517"/>
    </row>
    <row r="220" spans="1:83" ht="13">
      <c r="A220" s="1">
        <v>3401</v>
      </c>
      <c r="B220" s="2" t="s">
        <v>824</v>
      </c>
      <c r="C220" s="289">
        <v>17934</v>
      </c>
      <c r="D220" s="289">
        <v>290</v>
      </c>
      <c r="E220" s="289">
        <v>663</v>
      </c>
      <c r="F220" s="289">
        <v>1948</v>
      </c>
      <c r="G220" s="289">
        <v>1552</v>
      </c>
      <c r="H220" s="289">
        <v>9882</v>
      </c>
      <c r="I220" s="289">
        <v>2644</v>
      </c>
      <c r="J220" s="289">
        <v>750</v>
      </c>
      <c r="K220" s="289">
        <v>175</v>
      </c>
      <c r="L220" s="289">
        <v>161</v>
      </c>
      <c r="M220" s="289">
        <v>1740</v>
      </c>
      <c r="N220" s="290">
        <v>585</v>
      </c>
      <c r="O220" s="290">
        <v>133</v>
      </c>
      <c r="P220" s="624">
        <v>102151.86966667</v>
      </c>
      <c r="Q220" s="624">
        <v>32165.313666670001</v>
      </c>
      <c r="R220" s="624">
        <v>91</v>
      </c>
      <c r="S220" s="289">
        <v>0</v>
      </c>
      <c r="T220" s="289">
        <v>1758</v>
      </c>
      <c r="U220" s="716">
        <v>4.1869162388925825E-3</v>
      </c>
      <c r="V220" s="289">
        <v>-1417.6088608499999</v>
      </c>
      <c r="W220" s="743">
        <v>0.60153917000000001</v>
      </c>
      <c r="X220" s="289">
        <v>2100</v>
      </c>
      <c r="Y220" s="289">
        <v>784</v>
      </c>
      <c r="Z220" s="289">
        <v>464345</v>
      </c>
      <c r="AA220" s="289">
        <v>-9126.2204890699995</v>
      </c>
      <c r="AB220" s="290">
        <v>556</v>
      </c>
      <c r="AC220" s="289">
        <v>0</v>
      </c>
      <c r="AD220" s="289">
        <v>0</v>
      </c>
      <c r="AE220" s="289">
        <v>0</v>
      </c>
      <c r="AF220" s="289">
        <v>0</v>
      </c>
      <c r="AG220" s="289">
        <v>17904</v>
      </c>
      <c r="AH220" s="289">
        <v>2272</v>
      </c>
      <c r="AI220" s="289">
        <v>120</v>
      </c>
      <c r="AJ220" s="289">
        <v>0</v>
      </c>
      <c r="AK220" s="289">
        <v>65.784599999999998</v>
      </c>
      <c r="AL220" s="289"/>
      <c r="AM220" s="622">
        <v>0.75396677000000001</v>
      </c>
      <c r="AN220" s="289">
        <v>16497</v>
      </c>
      <c r="AO220" s="289">
        <v>-900.73173067000005</v>
      </c>
      <c r="AP220" s="289">
        <v>0</v>
      </c>
      <c r="AQ220" s="289">
        <v>0</v>
      </c>
      <c r="AR220" s="289">
        <v>-1279.6740114199999</v>
      </c>
      <c r="AS220" s="289">
        <v>292.23009999999999</v>
      </c>
      <c r="AT220" s="289">
        <v>1202</v>
      </c>
      <c r="AU220" s="289">
        <v>216</v>
      </c>
      <c r="AV220" s="625">
        <v>453852</v>
      </c>
      <c r="AW220" s="289">
        <v>-9.0915999999999997</v>
      </c>
      <c r="AX220" s="625">
        <v>108.375</v>
      </c>
      <c r="AY220" s="289">
        <v>3163</v>
      </c>
      <c r="AZ220" s="289">
        <v>926</v>
      </c>
      <c r="BA220" s="290">
        <v>460</v>
      </c>
      <c r="BB220" s="289">
        <v>0</v>
      </c>
      <c r="BC220" s="289">
        <v>-10177.427615590001</v>
      </c>
      <c r="BD220" s="289">
        <v>301.53339999999997</v>
      </c>
      <c r="BE220" s="289">
        <v>463861.75296327</v>
      </c>
      <c r="BF220" s="289">
        <v>0</v>
      </c>
      <c r="BG220" s="289">
        <v>22</v>
      </c>
      <c r="BH220" s="289">
        <v>-145.86940000000001</v>
      </c>
      <c r="BI220" s="289">
        <v>-6070.2204890700004</v>
      </c>
      <c r="BJ220" s="289">
        <v>-18.378399999999999</v>
      </c>
      <c r="BK220" s="289">
        <v>0</v>
      </c>
      <c r="BL220" s="289">
        <v>0</v>
      </c>
      <c r="BM220" s="289">
        <v>0</v>
      </c>
      <c r="BN220" s="289">
        <v>0</v>
      </c>
      <c r="BO220" s="517">
        <v>0</v>
      </c>
      <c r="BP220" s="517">
        <v>0</v>
      </c>
      <c r="BQ220" s="289">
        <f t="shared" si="6"/>
        <v>-18.378409449599999</v>
      </c>
      <c r="BR220" s="289">
        <v>0</v>
      </c>
      <c r="BS220" s="289">
        <f t="shared" si="7"/>
        <v>0</v>
      </c>
      <c r="BT220" s="289">
        <v>38</v>
      </c>
      <c r="BU220" s="289">
        <v>0</v>
      </c>
      <c r="BV220" s="289">
        <v>178</v>
      </c>
      <c r="BW220" s="289">
        <v>261.971</v>
      </c>
      <c r="BX220" s="289">
        <v>371.56099999999998</v>
      </c>
      <c r="CC220" s="517"/>
      <c r="CD220" s="85"/>
      <c r="CE220" s="517"/>
    </row>
    <row r="221" spans="1:83" ht="13">
      <c r="A221" s="1">
        <v>3403</v>
      </c>
      <c r="B221" s="2" t="s">
        <v>825</v>
      </c>
      <c r="C221" s="289">
        <v>30930</v>
      </c>
      <c r="D221" s="289">
        <v>543</v>
      </c>
      <c r="E221" s="289">
        <v>1201</v>
      </c>
      <c r="F221" s="289">
        <v>3365</v>
      </c>
      <c r="G221" s="289">
        <v>2664</v>
      </c>
      <c r="H221" s="289">
        <v>17124</v>
      </c>
      <c r="I221" s="289">
        <v>4028</v>
      </c>
      <c r="J221" s="289">
        <v>1371</v>
      </c>
      <c r="K221" s="289">
        <v>377</v>
      </c>
      <c r="L221" s="289">
        <v>234</v>
      </c>
      <c r="M221" s="289">
        <v>2642</v>
      </c>
      <c r="N221" s="290">
        <v>1031</v>
      </c>
      <c r="O221" s="290">
        <v>244</v>
      </c>
      <c r="P221" s="624">
        <v>42121.392666669999</v>
      </c>
      <c r="Q221" s="624">
        <v>24601.473666670001</v>
      </c>
      <c r="R221" s="624">
        <v>116</v>
      </c>
      <c r="S221" s="289">
        <v>0</v>
      </c>
      <c r="T221" s="289">
        <v>2982</v>
      </c>
      <c r="U221" s="716">
        <v>2.5177879420072266E-3</v>
      </c>
      <c r="V221" s="289">
        <v>412.01279259</v>
      </c>
      <c r="W221" s="743">
        <v>0.53596672999999995</v>
      </c>
      <c r="X221" s="289">
        <v>1000</v>
      </c>
      <c r="Y221" s="289">
        <v>392</v>
      </c>
      <c r="Z221" s="289">
        <v>879991</v>
      </c>
      <c r="AA221" s="289">
        <v>0</v>
      </c>
      <c r="AB221" s="290">
        <v>610</v>
      </c>
      <c r="AC221" s="289">
        <v>0</v>
      </c>
      <c r="AD221" s="289">
        <v>0</v>
      </c>
      <c r="AE221" s="289">
        <v>0</v>
      </c>
      <c r="AF221" s="289">
        <v>0</v>
      </c>
      <c r="AG221" s="289">
        <v>30673</v>
      </c>
      <c r="AH221" s="289">
        <v>3932</v>
      </c>
      <c r="AI221" s="289">
        <v>360</v>
      </c>
      <c r="AJ221" s="289">
        <v>0</v>
      </c>
      <c r="AK221" s="289">
        <v>126.09180000000001</v>
      </c>
      <c r="AL221" s="289"/>
      <c r="AM221" s="622">
        <v>0.81752307000000002</v>
      </c>
      <c r="AN221" s="289">
        <v>0</v>
      </c>
      <c r="AO221" s="289">
        <v>-1487.6576821399999</v>
      </c>
      <c r="AP221" s="289">
        <v>0</v>
      </c>
      <c r="AQ221" s="289">
        <v>0</v>
      </c>
      <c r="AR221" s="289">
        <v>-2192.3280245800001</v>
      </c>
      <c r="AS221" s="289">
        <v>445.18790000000001</v>
      </c>
      <c r="AT221" s="289">
        <v>1793</v>
      </c>
      <c r="AU221" s="289">
        <v>290</v>
      </c>
      <c r="AV221" s="625">
        <v>698974</v>
      </c>
      <c r="AW221" s="289">
        <v>-15.575699999999999</v>
      </c>
      <c r="AX221" s="625">
        <v>194.29166667000001</v>
      </c>
      <c r="AY221" s="289">
        <v>9020</v>
      </c>
      <c r="AZ221" s="289">
        <v>1472</v>
      </c>
      <c r="BA221" s="290">
        <v>713</v>
      </c>
      <c r="BB221" s="289">
        <v>0</v>
      </c>
      <c r="BC221" s="289">
        <v>4274</v>
      </c>
      <c r="BD221" s="289">
        <v>521.84389999999996</v>
      </c>
      <c r="BE221" s="289">
        <v>724354.09186275001</v>
      </c>
      <c r="BF221" s="289">
        <v>0</v>
      </c>
      <c r="BG221" s="289">
        <v>11</v>
      </c>
      <c r="BH221" s="289">
        <v>-249.9023</v>
      </c>
      <c r="BI221" s="289">
        <v>4324</v>
      </c>
      <c r="BJ221" s="289">
        <v>-31.485800000000001</v>
      </c>
      <c r="BK221" s="289">
        <v>0</v>
      </c>
      <c r="BL221" s="289">
        <v>0</v>
      </c>
      <c r="BM221" s="289">
        <v>0</v>
      </c>
      <c r="BN221" s="289">
        <v>0</v>
      </c>
      <c r="BO221" s="517">
        <v>0</v>
      </c>
      <c r="BP221" s="517">
        <v>0</v>
      </c>
      <c r="BQ221" s="289">
        <f t="shared" si="6"/>
        <v>-31.485754750200002</v>
      </c>
      <c r="BR221" s="289">
        <v>0</v>
      </c>
      <c r="BS221" s="289">
        <f t="shared" si="7"/>
        <v>0</v>
      </c>
      <c r="BT221" s="289">
        <v>72</v>
      </c>
      <c r="BU221" s="289">
        <v>0</v>
      </c>
      <c r="BV221" s="289">
        <v>284</v>
      </c>
      <c r="BW221" s="289">
        <v>157.18299999999999</v>
      </c>
      <c r="BX221" s="289">
        <v>643.37099999999998</v>
      </c>
      <c r="CC221" s="517"/>
      <c r="CD221" s="85"/>
      <c r="CE221" s="517"/>
    </row>
    <row r="222" spans="1:83" ht="13">
      <c r="A222" s="1">
        <v>3405</v>
      </c>
      <c r="B222" s="2" t="s">
        <v>845</v>
      </c>
      <c r="C222" s="289">
        <v>27938</v>
      </c>
      <c r="D222" s="289">
        <v>482</v>
      </c>
      <c r="E222" s="289">
        <v>1107</v>
      </c>
      <c r="F222" s="289">
        <v>3081</v>
      </c>
      <c r="G222" s="289">
        <v>2611</v>
      </c>
      <c r="H222" s="289">
        <v>15546</v>
      </c>
      <c r="I222" s="289">
        <v>3375</v>
      </c>
      <c r="J222" s="289">
        <v>1175</v>
      </c>
      <c r="K222" s="289">
        <v>276</v>
      </c>
      <c r="L222" s="289">
        <v>218</v>
      </c>
      <c r="M222" s="289">
        <v>2184</v>
      </c>
      <c r="N222" s="290">
        <v>865</v>
      </c>
      <c r="O222" s="290">
        <v>208</v>
      </c>
      <c r="P222" s="624">
        <v>71147.507666670004</v>
      </c>
      <c r="Q222" s="624">
        <v>42442.236333330002</v>
      </c>
      <c r="R222" s="624">
        <v>125</v>
      </c>
      <c r="S222" s="289">
        <v>0</v>
      </c>
      <c r="T222" s="289">
        <v>2305</v>
      </c>
      <c r="U222" s="716">
        <v>3.4194397893906403E-3</v>
      </c>
      <c r="V222" s="289">
        <v>-555.93433138</v>
      </c>
      <c r="W222" s="743">
        <v>0.55395368</v>
      </c>
      <c r="X222" s="289">
        <v>1600</v>
      </c>
      <c r="Y222" s="289">
        <v>392</v>
      </c>
      <c r="Z222" s="289">
        <v>805350</v>
      </c>
      <c r="AA222" s="289">
        <v>0</v>
      </c>
      <c r="AB222" s="290">
        <v>462</v>
      </c>
      <c r="AC222" s="289">
        <v>0</v>
      </c>
      <c r="AD222" s="289">
        <v>0</v>
      </c>
      <c r="AE222" s="289">
        <v>0</v>
      </c>
      <c r="AF222" s="289">
        <v>0</v>
      </c>
      <c r="AG222" s="289">
        <v>27653</v>
      </c>
      <c r="AH222" s="289">
        <v>3647</v>
      </c>
      <c r="AI222" s="289">
        <v>1100</v>
      </c>
      <c r="AJ222" s="289">
        <v>0</v>
      </c>
      <c r="AK222" s="289">
        <v>115.898</v>
      </c>
      <c r="AL222" s="289"/>
      <c r="AM222" s="622">
        <v>0.41621606999999999</v>
      </c>
      <c r="AN222" s="289">
        <v>0</v>
      </c>
      <c r="AO222" s="289">
        <v>-1330.8573863700001</v>
      </c>
      <c r="AP222" s="289">
        <v>0</v>
      </c>
      <c r="AQ222" s="289">
        <v>0</v>
      </c>
      <c r="AR222" s="289">
        <v>-1976.47595161</v>
      </c>
      <c r="AS222" s="289">
        <v>350.94110000000001</v>
      </c>
      <c r="AT222" s="289">
        <v>1381</v>
      </c>
      <c r="AU222" s="289">
        <v>218</v>
      </c>
      <c r="AV222" s="625">
        <v>625448</v>
      </c>
      <c r="AW222" s="289">
        <v>-14.0421</v>
      </c>
      <c r="AX222" s="625">
        <v>156.16666667000001</v>
      </c>
      <c r="AY222" s="289">
        <v>8842</v>
      </c>
      <c r="AZ222" s="289">
        <v>1067</v>
      </c>
      <c r="BA222" s="290">
        <v>583</v>
      </c>
      <c r="BB222" s="289">
        <v>0</v>
      </c>
      <c r="BC222" s="289">
        <v>4121</v>
      </c>
      <c r="BD222" s="289">
        <v>484.01949999999999</v>
      </c>
      <c r="BE222" s="289">
        <v>642327.47554064996</v>
      </c>
      <c r="BF222" s="289">
        <v>0</v>
      </c>
      <c r="BG222" s="289">
        <v>11</v>
      </c>
      <c r="BH222" s="289">
        <v>-225.29750000000001</v>
      </c>
      <c r="BI222" s="289">
        <v>4039</v>
      </c>
      <c r="BJ222" s="289">
        <v>-28.3857</v>
      </c>
      <c r="BK222" s="289">
        <v>0</v>
      </c>
      <c r="BL222" s="289">
        <v>0</v>
      </c>
      <c r="BM222" s="289">
        <v>0</v>
      </c>
      <c r="BN222" s="289">
        <v>0</v>
      </c>
      <c r="BO222" s="517">
        <v>0</v>
      </c>
      <c r="BP222" s="517">
        <v>0</v>
      </c>
      <c r="BQ222" s="289">
        <f t="shared" si="6"/>
        <v>-28.385732602200001</v>
      </c>
      <c r="BR222" s="289">
        <v>0</v>
      </c>
      <c r="BS222" s="289">
        <f t="shared" si="7"/>
        <v>0</v>
      </c>
      <c r="BT222" s="289">
        <v>66</v>
      </c>
      <c r="BU222" s="289">
        <v>0</v>
      </c>
      <c r="BV222" s="289">
        <v>258</v>
      </c>
      <c r="BW222" s="289">
        <v>78.590999999999994</v>
      </c>
      <c r="BX222" s="289">
        <v>579.99400000000003</v>
      </c>
      <c r="CC222" s="517"/>
      <c r="CD222" s="85"/>
      <c r="CE222" s="517"/>
    </row>
    <row r="223" spans="1:83" ht="13">
      <c r="A223" s="1">
        <v>3407</v>
      </c>
      <c r="B223" s="2" t="s">
        <v>846</v>
      </c>
      <c r="C223" s="289">
        <v>30642</v>
      </c>
      <c r="D223" s="289">
        <v>566</v>
      </c>
      <c r="E223" s="289">
        <v>1295</v>
      </c>
      <c r="F223" s="289">
        <v>3434</v>
      </c>
      <c r="G223" s="289">
        <v>2786</v>
      </c>
      <c r="H223" s="289">
        <v>17075</v>
      </c>
      <c r="I223" s="289">
        <v>3691</v>
      </c>
      <c r="J223" s="289">
        <v>1167</v>
      </c>
      <c r="K223" s="289">
        <v>278</v>
      </c>
      <c r="L223" s="289">
        <v>254</v>
      </c>
      <c r="M223" s="289">
        <v>2300</v>
      </c>
      <c r="N223" s="290">
        <v>1123</v>
      </c>
      <c r="O223" s="290">
        <v>289</v>
      </c>
      <c r="P223" s="624">
        <v>91620.614000000001</v>
      </c>
      <c r="Q223" s="624">
        <v>51223.087</v>
      </c>
      <c r="R223" s="624">
        <v>111</v>
      </c>
      <c r="S223" s="289">
        <v>0</v>
      </c>
      <c r="T223" s="289">
        <v>2589</v>
      </c>
      <c r="U223" s="716">
        <v>6.4539615144269136E-3</v>
      </c>
      <c r="V223" s="289">
        <v>-113.70717851000001</v>
      </c>
      <c r="W223" s="743">
        <v>0.57376073000000005</v>
      </c>
      <c r="X223" s="289">
        <v>3850</v>
      </c>
      <c r="Y223" s="289">
        <v>1960</v>
      </c>
      <c r="Z223" s="289">
        <v>797745</v>
      </c>
      <c r="AA223" s="289">
        <v>0</v>
      </c>
      <c r="AB223" s="290">
        <v>666</v>
      </c>
      <c r="AC223" s="289">
        <v>0</v>
      </c>
      <c r="AD223" s="289">
        <v>0</v>
      </c>
      <c r="AE223" s="289">
        <v>0</v>
      </c>
      <c r="AF223" s="289">
        <v>0</v>
      </c>
      <c r="AG223" s="289">
        <v>30292</v>
      </c>
      <c r="AH223" s="289">
        <v>4087</v>
      </c>
      <c r="AI223" s="289">
        <v>1330</v>
      </c>
      <c r="AJ223" s="289">
        <v>0</v>
      </c>
      <c r="AK223" s="289">
        <v>127.7677</v>
      </c>
      <c r="AL223" s="289"/>
      <c r="AM223" s="622">
        <v>0.75524075999999996</v>
      </c>
      <c r="AN223" s="289">
        <v>0</v>
      </c>
      <c r="AO223" s="289">
        <v>-1452.0345041800001</v>
      </c>
      <c r="AP223" s="289">
        <v>0</v>
      </c>
      <c r="AQ223" s="289">
        <v>0</v>
      </c>
      <c r="AR223" s="289">
        <v>-2165.0963557700002</v>
      </c>
      <c r="AS223" s="289">
        <v>431.78039999999999</v>
      </c>
      <c r="AT223" s="289">
        <v>1707</v>
      </c>
      <c r="AU223" s="289">
        <v>321</v>
      </c>
      <c r="AV223" s="625">
        <v>688998</v>
      </c>
      <c r="AW223" s="289">
        <v>-15.382199999999999</v>
      </c>
      <c r="AX223" s="625">
        <v>169.37500003</v>
      </c>
      <c r="AY223" s="289">
        <v>7094</v>
      </c>
      <c r="AZ223" s="289">
        <v>1267</v>
      </c>
      <c r="BA223" s="290">
        <v>726</v>
      </c>
      <c r="BB223" s="289">
        <v>0</v>
      </c>
      <c r="BC223" s="289">
        <v>5100</v>
      </c>
      <c r="BD223" s="289">
        <v>542.41510000000005</v>
      </c>
      <c r="BE223" s="289">
        <v>701846.97604917001</v>
      </c>
      <c r="BF223" s="289">
        <v>0</v>
      </c>
      <c r="BG223" s="289">
        <v>55</v>
      </c>
      <c r="BH223" s="289">
        <v>-246.79820000000001</v>
      </c>
      <c r="BI223" s="289">
        <v>6047</v>
      </c>
      <c r="BJ223" s="289">
        <v>-31.0947</v>
      </c>
      <c r="BK223" s="289">
        <v>0</v>
      </c>
      <c r="BL223" s="289">
        <v>0</v>
      </c>
      <c r="BM223" s="289">
        <v>0</v>
      </c>
      <c r="BN223" s="289">
        <v>0</v>
      </c>
      <c r="BO223" s="517">
        <v>0</v>
      </c>
      <c r="BP223" s="517">
        <v>0</v>
      </c>
      <c r="BQ223" s="289">
        <f t="shared" si="6"/>
        <v>-31.094659240799999</v>
      </c>
      <c r="BR223" s="289">
        <v>0</v>
      </c>
      <c r="BS223" s="289">
        <f t="shared" si="7"/>
        <v>0</v>
      </c>
      <c r="BT223" s="289">
        <v>73</v>
      </c>
      <c r="BU223" s="289">
        <v>0</v>
      </c>
      <c r="BV223" s="289">
        <v>282</v>
      </c>
      <c r="BW223" s="289">
        <v>0</v>
      </c>
      <c r="BX223" s="289">
        <v>634.12699999999995</v>
      </c>
      <c r="CC223" s="517"/>
      <c r="CD223" s="85"/>
      <c r="CE223" s="517"/>
    </row>
    <row r="224" spans="1:83" ht="13">
      <c r="A224" s="1">
        <v>3411</v>
      </c>
      <c r="B224" s="2" t="s">
        <v>826</v>
      </c>
      <c r="C224" s="289">
        <v>34151</v>
      </c>
      <c r="D224" s="289">
        <v>670</v>
      </c>
      <c r="E224" s="289">
        <v>1364</v>
      </c>
      <c r="F224" s="289">
        <v>4002</v>
      </c>
      <c r="G224" s="289">
        <v>3039</v>
      </c>
      <c r="H224" s="289">
        <v>19075</v>
      </c>
      <c r="I224" s="289">
        <v>4226</v>
      </c>
      <c r="J224" s="289">
        <v>1330</v>
      </c>
      <c r="K224" s="289">
        <v>305</v>
      </c>
      <c r="L224" s="289">
        <v>279</v>
      </c>
      <c r="M224" s="289">
        <v>2478</v>
      </c>
      <c r="N224" s="290">
        <v>430</v>
      </c>
      <c r="O224" s="290">
        <v>232</v>
      </c>
      <c r="P224" s="624">
        <v>156834.66533332999</v>
      </c>
      <c r="Q224" s="624">
        <v>60308.087333329997</v>
      </c>
      <c r="R224" s="624">
        <v>158</v>
      </c>
      <c r="S224" s="289">
        <v>0</v>
      </c>
      <c r="T224" s="289">
        <v>2559</v>
      </c>
      <c r="U224" s="716">
        <v>1.1807509761981838E-2</v>
      </c>
      <c r="V224" s="289">
        <v>3103.4255538799998</v>
      </c>
      <c r="W224" s="743">
        <v>0.59253179</v>
      </c>
      <c r="X224" s="289">
        <v>3500</v>
      </c>
      <c r="Y224" s="289">
        <v>784</v>
      </c>
      <c r="Z224" s="289">
        <v>837000</v>
      </c>
      <c r="AA224" s="289">
        <v>0</v>
      </c>
      <c r="AB224" s="290">
        <v>809</v>
      </c>
      <c r="AC224" s="289">
        <v>0</v>
      </c>
      <c r="AD224" s="289">
        <v>0</v>
      </c>
      <c r="AE224" s="289">
        <v>0</v>
      </c>
      <c r="AF224" s="289">
        <v>0</v>
      </c>
      <c r="AG224" s="289">
        <v>34011</v>
      </c>
      <c r="AH224" s="289">
        <v>4696</v>
      </c>
      <c r="AI224" s="289">
        <v>2000</v>
      </c>
      <c r="AJ224" s="289">
        <v>0</v>
      </c>
      <c r="AK224" s="289">
        <v>136.71180000000001</v>
      </c>
      <c r="AL224" s="289"/>
      <c r="AM224" s="622">
        <v>0.70388329999999999</v>
      </c>
      <c r="AN224" s="289">
        <v>0</v>
      </c>
      <c r="AO224" s="289">
        <v>-1636.98418055</v>
      </c>
      <c r="AP224" s="289">
        <v>0</v>
      </c>
      <c r="AQ224" s="289">
        <v>0</v>
      </c>
      <c r="AR224" s="289">
        <v>-2430.90889199</v>
      </c>
      <c r="AS224" s="289">
        <v>400.24520000000001</v>
      </c>
      <c r="AT224" s="289">
        <v>1945</v>
      </c>
      <c r="AU224" s="289">
        <v>310</v>
      </c>
      <c r="AV224" s="625">
        <v>775396</v>
      </c>
      <c r="AW224" s="289">
        <v>-17.270700000000001</v>
      </c>
      <c r="AX224" s="625">
        <v>257.54166665999998</v>
      </c>
      <c r="AY224" s="289">
        <v>6122</v>
      </c>
      <c r="AZ224" s="289">
        <v>1337</v>
      </c>
      <c r="BA224" s="290">
        <v>758</v>
      </c>
      <c r="BB224" s="289">
        <v>0</v>
      </c>
      <c r="BC224" s="289">
        <v>5619</v>
      </c>
      <c r="BD224" s="289">
        <v>623.23979999999995</v>
      </c>
      <c r="BE224" s="289">
        <v>795982.38501987001</v>
      </c>
      <c r="BF224" s="289">
        <v>0</v>
      </c>
      <c r="BG224" s="289">
        <v>22</v>
      </c>
      <c r="BH224" s="289">
        <v>-277.09800000000001</v>
      </c>
      <c r="BI224" s="289">
        <v>5480</v>
      </c>
      <c r="BJ224" s="289">
        <v>-34.912199999999999</v>
      </c>
      <c r="BK224" s="289">
        <v>0</v>
      </c>
      <c r="BL224" s="289">
        <v>0</v>
      </c>
      <c r="BM224" s="289">
        <v>0</v>
      </c>
      <c r="BN224" s="289">
        <v>0</v>
      </c>
      <c r="BO224" s="517">
        <v>0</v>
      </c>
      <c r="BP224" s="517">
        <v>0</v>
      </c>
      <c r="BQ224" s="289">
        <f t="shared" si="6"/>
        <v>-34.9122030714</v>
      </c>
      <c r="BR224" s="289">
        <v>0</v>
      </c>
      <c r="BS224" s="289">
        <f t="shared" si="7"/>
        <v>0</v>
      </c>
      <c r="BT224" s="289">
        <v>78</v>
      </c>
      <c r="BU224" s="289">
        <v>0</v>
      </c>
      <c r="BV224" s="289">
        <v>322</v>
      </c>
      <c r="BW224" s="289">
        <v>157.18299999999999</v>
      </c>
      <c r="BX224" s="289">
        <v>713.74900000000002</v>
      </c>
      <c r="CC224" s="517"/>
      <c r="CD224" s="85"/>
      <c r="CE224" s="517"/>
    </row>
    <row r="225" spans="1:83" ht="13">
      <c r="A225" s="1">
        <v>3412</v>
      </c>
      <c r="B225" s="2" t="s">
        <v>827</v>
      </c>
      <c r="C225" s="289">
        <v>7615</v>
      </c>
      <c r="D225" s="289">
        <v>147</v>
      </c>
      <c r="E225" s="289">
        <v>333</v>
      </c>
      <c r="F225" s="289">
        <v>850</v>
      </c>
      <c r="G225" s="289">
        <v>629</v>
      </c>
      <c r="H225" s="289">
        <v>4332</v>
      </c>
      <c r="I225" s="289">
        <v>990</v>
      </c>
      <c r="J225" s="289">
        <v>266</v>
      </c>
      <c r="K225" s="289">
        <v>81</v>
      </c>
      <c r="L225" s="289">
        <v>64</v>
      </c>
      <c r="M225" s="289">
        <v>608</v>
      </c>
      <c r="N225" s="290">
        <v>117</v>
      </c>
      <c r="O225" s="290">
        <v>68</v>
      </c>
      <c r="P225" s="624">
        <v>28783.589</v>
      </c>
      <c r="Q225" s="624">
        <v>13202.789000000001</v>
      </c>
      <c r="R225" s="624">
        <v>35</v>
      </c>
      <c r="S225" s="289">
        <v>0</v>
      </c>
      <c r="T225" s="289">
        <v>597</v>
      </c>
      <c r="U225" s="716">
        <v>3.0429505832330612E-3</v>
      </c>
      <c r="V225" s="289">
        <v>-2736.0991826300001</v>
      </c>
      <c r="W225" s="743">
        <v>0.58613727000000004</v>
      </c>
      <c r="X225" s="289">
        <v>2000</v>
      </c>
      <c r="Y225" s="289">
        <v>392</v>
      </c>
      <c r="Z225" s="289">
        <v>169501</v>
      </c>
      <c r="AA225" s="289">
        <v>0</v>
      </c>
      <c r="AB225" s="290">
        <v>221</v>
      </c>
      <c r="AC225" s="289">
        <v>0</v>
      </c>
      <c r="AD225" s="289">
        <v>0</v>
      </c>
      <c r="AE225" s="289">
        <v>0</v>
      </c>
      <c r="AF225" s="289">
        <v>0</v>
      </c>
      <c r="AG225" s="289">
        <v>7628</v>
      </c>
      <c r="AH225" s="289">
        <v>1012</v>
      </c>
      <c r="AI225" s="289">
        <v>630</v>
      </c>
      <c r="AJ225" s="289">
        <v>0</v>
      </c>
      <c r="AK225" s="289">
        <v>32.106999999999999</v>
      </c>
      <c r="AL225" s="289"/>
      <c r="AM225" s="622">
        <v>0.21425499000000001</v>
      </c>
      <c r="AN225" s="289">
        <v>0</v>
      </c>
      <c r="AO225" s="289">
        <v>-376.38576401</v>
      </c>
      <c r="AP225" s="289">
        <v>0</v>
      </c>
      <c r="AQ225" s="289">
        <v>0</v>
      </c>
      <c r="AR225" s="289">
        <v>2795.7564493199998</v>
      </c>
      <c r="AS225" s="289">
        <v>99.258200000000002</v>
      </c>
      <c r="AT225" s="289">
        <v>432</v>
      </c>
      <c r="AU225" s="289">
        <v>86</v>
      </c>
      <c r="AV225" s="625">
        <v>187341</v>
      </c>
      <c r="AW225" s="289">
        <v>-148.40289999999999</v>
      </c>
      <c r="AX225" s="625">
        <v>49.708333330000002</v>
      </c>
      <c r="AY225" s="289">
        <v>1293</v>
      </c>
      <c r="AZ225" s="289">
        <v>336</v>
      </c>
      <c r="BA225" s="290">
        <v>188</v>
      </c>
      <c r="BB225" s="289">
        <v>0</v>
      </c>
      <c r="BC225" s="289">
        <v>1365</v>
      </c>
      <c r="BD225" s="289">
        <v>134.3098</v>
      </c>
      <c r="BE225" s="289">
        <v>185984.15711177999</v>
      </c>
      <c r="BF225" s="289">
        <v>0</v>
      </c>
      <c r="BG225" s="289">
        <v>11</v>
      </c>
      <c r="BH225" s="289">
        <v>-62.1477</v>
      </c>
      <c r="BI225" s="289">
        <v>1404</v>
      </c>
      <c r="BJ225" s="289">
        <v>-7.8300999999999998</v>
      </c>
      <c r="BK225" s="289">
        <v>0</v>
      </c>
      <c r="BL225" s="289">
        <v>0</v>
      </c>
      <c r="BM225" s="289">
        <v>0</v>
      </c>
      <c r="BN225" s="289">
        <v>0</v>
      </c>
      <c r="BO225" s="517">
        <v>0</v>
      </c>
      <c r="BP225" s="517">
        <v>0</v>
      </c>
      <c r="BQ225" s="289">
        <f t="shared" si="6"/>
        <v>-7.8301221671999999</v>
      </c>
      <c r="BR225" s="289">
        <v>0</v>
      </c>
      <c r="BS225" s="289">
        <f t="shared" si="7"/>
        <v>0</v>
      </c>
      <c r="BT225" s="289">
        <v>18</v>
      </c>
      <c r="BU225" s="289">
        <v>0</v>
      </c>
      <c r="BV225" s="289">
        <v>75</v>
      </c>
      <c r="BW225" s="289">
        <v>157.18299999999999</v>
      </c>
      <c r="BX225" s="289">
        <v>158.49600000000001</v>
      </c>
      <c r="CC225" s="517"/>
      <c r="CD225" s="85"/>
      <c r="CE225" s="517"/>
    </row>
    <row r="226" spans="1:83" ht="13">
      <c r="A226" s="1">
        <v>3413</v>
      </c>
      <c r="B226" s="2" t="s">
        <v>828</v>
      </c>
      <c r="C226" s="289">
        <v>20646</v>
      </c>
      <c r="D226" s="289">
        <v>411</v>
      </c>
      <c r="E226" s="289">
        <v>975</v>
      </c>
      <c r="F226" s="289">
        <v>2285</v>
      </c>
      <c r="G226" s="289">
        <v>1790</v>
      </c>
      <c r="H226" s="289">
        <v>11504</v>
      </c>
      <c r="I226" s="289">
        <v>2502</v>
      </c>
      <c r="J226" s="289">
        <v>800</v>
      </c>
      <c r="K226" s="289">
        <v>197</v>
      </c>
      <c r="L226" s="289">
        <v>168</v>
      </c>
      <c r="M226" s="289">
        <v>1467</v>
      </c>
      <c r="N226" s="290">
        <v>440</v>
      </c>
      <c r="O226" s="290">
        <v>150</v>
      </c>
      <c r="P226" s="624">
        <v>78813.695999999996</v>
      </c>
      <c r="Q226" s="624">
        <v>34415.302333330001</v>
      </c>
      <c r="R226" s="624">
        <v>95</v>
      </c>
      <c r="S226" s="289">
        <v>0</v>
      </c>
      <c r="T226" s="289">
        <v>1693</v>
      </c>
      <c r="U226" s="716">
        <v>5.9896389607010398E-3</v>
      </c>
      <c r="V226" s="289">
        <v>-16193.616490210001</v>
      </c>
      <c r="W226" s="743">
        <v>0.58692029999999995</v>
      </c>
      <c r="X226" s="289">
        <v>3400</v>
      </c>
      <c r="Y226" s="289">
        <v>392</v>
      </c>
      <c r="Z226" s="289">
        <v>497212</v>
      </c>
      <c r="AA226" s="289">
        <v>0</v>
      </c>
      <c r="AB226" s="290">
        <v>529</v>
      </c>
      <c r="AC226" s="289">
        <v>0</v>
      </c>
      <c r="AD226" s="289">
        <v>0</v>
      </c>
      <c r="AE226" s="289">
        <v>0</v>
      </c>
      <c r="AF226" s="289">
        <v>0</v>
      </c>
      <c r="AG226" s="289">
        <v>20464</v>
      </c>
      <c r="AH226" s="289">
        <v>2807</v>
      </c>
      <c r="AI226" s="289">
        <v>0</v>
      </c>
      <c r="AJ226" s="289">
        <v>0</v>
      </c>
      <c r="AK226" s="289">
        <v>93.9405</v>
      </c>
      <c r="AL226" s="289"/>
      <c r="AM226" s="622">
        <v>0.58599785000000004</v>
      </c>
      <c r="AN226" s="289">
        <v>0</v>
      </c>
      <c r="AO226" s="289">
        <v>-1003.9060419800001</v>
      </c>
      <c r="AP226" s="289">
        <v>0</v>
      </c>
      <c r="AQ226" s="289">
        <v>0</v>
      </c>
      <c r="AR226" s="289">
        <v>-1462.64795407</v>
      </c>
      <c r="AS226" s="289">
        <v>275.60449999999997</v>
      </c>
      <c r="AT226" s="289">
        <v>1136</v>
      </c>
      <c r="AU226" s="289">
        <v>214</v>
      </c>
      <c r="AV226" s="625">
        <v>466059</v>
      </c>
      <c r="AW226" s="289">
        <v>-10.3916</v>
      </c>
      <c r="AX226" s="625">
        <v>124.625</v>
      </c>
      <c r="AY226" s="289">
        <v>4375</v>
      </c>
      <c r="AZ226" s="289">
        <v>995</v>
      </c>
      <c r="BA226" s="290">
        <v>445</v>
      </c>
      <c r="BB226" s="289">
        <v>0</v>
      </c>
      <c r="BC226" s="289">
        <v>3123</v>
      </c>
      <c r="BD226" s="289">
        <v>372.53710000000001</v>
      </c>
      <c r="BE226" s="289">
        <v>481555.29833507002</v>
      </c>
      <c r="BF226" s="289">
        <v>0</v>
      </c>
      <c r="BG226" s="289">
        <v>11</v>
      </c>
      <c r="BH226" s="289">
        <v>-166.72649999999999</v>
      </c>
      <c r="BI226" s="289">
        <v>3199</v>
      </c>
      <c r="BJ226" s="289">
        <v>-21.0062</v>
      </c>
      <c r="BK226" s="289">
        <v>0</v>
      </c>
      <c r="BL226" s="289">
        <v>0</v>
      </c>
      <c r="BM226" s="289">
        <v>0</v>
      </c>
      <c r="BN226" s="289">
        <v>0</v>
      </c>
      <c r="BO226" s="517">
        <v>0</v>
      </c>
      <c r="BP226" s="517">
        <v>0</v>
      </c>
      <c r="BQ226" s="289">
        <f t="shared" si="6"/>
        <v>-21.006242793599998</v>
      </c>
      <c r="BR226" s="289">
        <v>0</v>
      </c>
      <c r="BS226" s="289">
        <f t="shared" si="7"/>
        <v>0</v>
      </c>
      <c r="BT226" s="289">
        <v>54</v>
      </c>
      <c r="BU226" s="289">
        <v>0</v>
      </c>
      <c r="BV226" s="289">
        <v>194</v>
      </c>
      <c r="BW226" s="289">
        <v>157.18299999999999</v>
      </c>
      <c r="BX226" s="289">
        <v>431.05399999999997</v>
      </c>
      <c r="CC226" s="517"/>
      <c r="CD226" s="85"/>
      <c r="CE226" s="517"/>
    </row>
    <row r="227" spans="1:83" ht="13">
      <c r="A227" s="1">
        <v>3414</v>
      </c>
      <c r="B227" s="2" t="s">
        <v>829</v>
      </c>
      <c r="C227" s="289">
        <v>5097</v>
      </c>
      <c r="D227" s="289">
        <v>71</v>
      </c>
      <c r="E227" s="289">
        <v>180</v>
      </c>
      <c r="F227" s="289">
        <v>546</v>
      </c>
      <c r="G227" s="289">
        <v>430</v>
      </c>
      <c r="H227" s="289">
        <v>2804</v>
      </c>
      <c r="I227" s="289">
        <v>764</v>
      </c>
      <c r="J227" s="289">
        <v>263</v>
      </c>
      <c r="K227" s="289">
        <v>52</v>
      </c>
      <c r="L227" s="289">
        <v>49</v>
      </c>
      <c r="M227" s="289">
        <v>495</v>
      </c>
      <c r="N227" s="290">
        <v>14</v>
      </c>
      <c r="O227" s="290">
        <v>18</v>
      </c>
      <c r="P227" s="624">
        <v>22209.677666669999</v>
      </c>
      <c r="Q227" s="624">
        <v>14115.153333329999</v>
      </c>
      <c r="R227" s="624">
        <v>42</v>
      </c>
      <c r="S227" s="289">
        <v>0</v>
      </c>
      <c r="T227" s="289">
        <v>444</v>
      </c>
      <c r="U227" s="716">
        <v>2.7353173474084121E-3</v>
      </c>
      <c r="V227" s="289">
        <v>1956.17494941</v>
      </c>
      <c r="W227" s="743">
        <v>0.70070758</v>
      </c>
      <c r="X227" s="289">
        <v>3400</v>
      </c>
      <c r="Y227" s="289">
        <v>392</v>
      </c>
      <c r="Z227" s="289">
        <v>109633</v>
      </c>
      <c r="AA227" s="289">
        <v>-3139.1330678999998</v>
      </c>
      <c r="AB227" s="290">
        <v>168</v>
      </c>
      <c r="AC227" s="289">
        <v>0</v>
      </c>
      <c r="AD227" s="289">
        <v>0</v>
      </c>
      <c r="AE227" s="289">
        <v>0</v>
      </c>
      <c r="AF227" s="289">
        <v>0</v>
      </c>
      <c r="AG227" s="289">
        <v>5110</v>
      </c>
      <c r="AH227" s="289">
        <v>635</v>
      </c>
      <c r="AI227" s="289">
        <v>0</v>
      </c>
      <c r="AJ227" s="289">
        <v>0</v>
      </c>
      <c r="AK227" s="289">
        <v>16.9161</v>
      </c>
      <c r="AL227" s="289"/>
      <c r="AM227" s="622">
        <v>9.9181850000000002E-2</v>
      </c>
      <c r="AN227" s="289">
        <v>5398</v>
      </c>
      <c r="AO227" s="289">
        <v>-272.08018199000003</v>
      </c>
      <c r="AP227" s="289">
        <v>0</v>
      </c>
      <c r="AQ227" s="289">
        <v>0</v>
      </c>
      <c r="AR227" s="289">
        <v>866.83614755999997</v>
      </c>
      <c r="AS227" s="289">
        <v>63.069400000000002</v>
      </c>
      <c r="AT227" s="289">
        <v>286</v>
      </c>
      <c r="AU227" s="289">
        <v>55</v>
      </c>
      <c r="AV227" s="625">
        <v>152636</v>
      </c>
      <c r="AW227" s="289">
        <v>-99.415199999999999</v>
      </c>
      <c r="AX227" s="625">
        <v>20.5</v>
      </c>
      <c r="AY227" s="289">
        <v>683</v>
      </c>
      <c r="AZ227" s="289">
        <v>164</v>
      </c>
      <c r="BA227" s="290">
        <v>109</v>
      </c>
      <c r="BB227" s="289">
        <v>0</v>
      </c>
      <c r="BC227" s="289">
        <v>-3512.3758302599999</v>
      </c>
      <c r="BD227" s="289">
        <v>84.275400000000005</v>
      </c>
      <c r="BE227" s="289">
        <v>153287.27000272999</v>
      </c>
      <c r="BF227" s="289">
        <v>0</v>
      </c>
      <c r="BG227" s="289">
        <v>11</v>
      </c>
      <c r="BH227" s="289">
        <v>-41.6327</v>
      </c>
      <c r="BI227" s="289">
        <v>-2112.1330678999998</v>
      </c>
      <c r="BJ227" s="289">
        <v>-5.2454000000000001</v>
      </c>
      <c r="BK227" s="289">
        <v>0</v>
      </c>
      <c r="BL227" s="289">
        <v>0</v>
      </c>
      <c r="BM227" s="289">
        <v>0</v>
      </c>
      <c r="BN227" s="289">
        <v>0</v>
      </c>
      <c r="BO227" s="517">
        <v>0</v>
      </c>
      <c r="BP227" s="517">
        <v>0</v>
      </c>
      <c r="BQ227" s="289">
        <f t="shared" si="6"/>
        <v>-5.2454017139999998</v>
      </c>
      <c r="BR227" s="289">
        <v>0</v>
      </c>
      <c r="BS227" s="289">
        <f t="shared" si="7"/>
        <v>0</v>
      </c>
      <c r="BT227" s="289">
        <v>10</v>
      </c>
      <c r="BU227" s="289">
        <v>0</v>
      </c>
      <c r="BV227" s="289">
        <v>56</v>
      </c>
      <c r="BW227" s="289">
        <v>157.18299999999999</v>
      </c>
      <c r="BX227" s="289">
        <v>105.31699999999999</v>
      </c>
      <c r="CC227" s="517"/>
      <c r="CD227" s="85"/>
      <c r="CE227" s="517"/>
    </row>
    <row r="228" spans="1:83" ht="13">
      <c r="A228" s="1">
        <v>3415</v>
      </c>
      <c r="B228" s="2" t="s">
        <v>830</v>
      </c>
      <c r="C228" s="289">
        <v>7884</v>
      </c>
      <c r="D228" s="289">
        <v>130</v>
      </c>
      <c r="E228" s="289">
        <v>296</v>
      </c>
      <c r="F228" s="289">
        <v>819</v>
      </c>
      <c r="G228" s="289">
        <v>674</v>
      </c>
      <c r="H228" s="289">
        <v>4586</v>
      </c>
      <c r="I228" s="289">
        <v>990</v>
      </c>
      <c r="J228" s="289">
        <v>309</v>
      </c>
      <c r="K228" s="289">
        <v>73</v>
      </c>
      <c r="L228" s="289">
        <v>78</v>
      </c>
      <c r="M228" s="289">
        <v>665</v>
      </c>
      <c r="N228" s="290">
        <v>37</v>
      </c>
      <c r="O228" s="290">
        <v>41</v>
      </c>
      <c r="P228" s="624">
        <v>48526.580666670001</v>
      </c>
      <c r="Q228" s="624">
        <v>26971.878000000001</v>
      </c>
      <c r="R228" s="624">
        <v>29</v>
      </c>
      <c r="S228" s="289">
        <v>0</v>
      </c>
      <c r="T228" s="289">
        <v>612</v>
      </c>
      <c r="U228" s="716">
        <v>3.7457221437658598E-3</v>
      </c>
      <c r="V228" s="289">
        <v>2713.9450185599999</v>
      </c>
      <c r="W228" s="743">
        <v>0.65079302000000006</v>
      </c>
      <c r="X228" s="289">
        <v>2200</v>
      </c>
      <c r="Y228" s="289">
        <v>392</v>
      </c>
      <c r="Z228" s="289">
        <v>192327</v>
      </c>
      <c r="AA228" s="289">
        <v>-4068.56454136</v>
      </c>
      <c r="AB228" s="290">
        <v>212</v>
      </c>
      <c r="AC228" s="289">
        <v>0</v>
      </c>
      <c r="AD228" s="289">
        <v>0</v>
      </c>
      <c r="AE228" s="289">
        <v>0</v>
      </c>
      <c r="AF228" s="289">
        <v>0</v>
      </c>
      <c r="AG228" s="289">
        <v>7877</v>
      </c>
      <c r="AH228" s="289">
        <v>984</v>
      </c>
      <c r="AI228" s="289">
        <v>400</v>
      </c>
      <c r="AJ228" s="289">
        <v>0</v>
      </c>
      <c r="AK228" s="289">
        <v>28.480499999999999</v>
      </c>
      <c r="AL228" s="289"/>
      <c r="AM228" s="622">
        <v>0.18851614999999999</v>
      </c>
      <c r="AN228" s="289">
        <v>3902</v>
      </c>
      <c r="AO228" s="289">
        <v>-377.47679713999997</v>
      </c>
      <c r="AP228" s="289">
        <v>0</v>
      </c>
      <c r="AQ228" s="289">
        <v>0</v>
      </c>
      <c r="AR228" s="289">
        <v>4842.6990943999999</v>
      </c>
      <c r="AS228" s="289">
        <v>93.478200000000001</v>
      </c>
      <c r="AT228" s="289">
        <v>530</v>
      </c>
      <c r="AU228" s="289">
        <v>84</v>
      </c>
      <c r="AV228" s="625">
        <v>187029</v>
      </c>
      <c r="AW228" s="289">
        <v>-153.24719999999999</v>
      </c>
      <c r="AX228" s="625">
        <v>41.75</v>
      </c>
      <c r="AY228" s="289">
        <v>1194</v>
      </c>
      <c r="AZ228" s="289">
        <v>262</v>
      </c>
      <c r="BA228" s="290">
        <v>160</v>
      </c>
      <c r="BB228" s="289">
        <v>0</v>
      </c>
      <c r="BC228" s="289">
        <v>-4527.1937739300001</v>
      </c>
      <c r="BD228" s="289">
        <v>130.59370000000001</v>
      </c>
      <c r="BE228" s="289">
        <v>185977.73621777</v>
      </c>
      <c r="BF228" s="289">
        <v>0</v>
      </c>
      <c r="BG228" s="289">
        <v>11</v>
      </c>
      <c r="BH228" s="289">
        <v>-64.176299999999998</v>
      </c>
      <c r="BI228" s="289">
        <v>-2692.56454136</v>
      </c>
      <c r="BJ228" s="289">
        <v>-8.0856999999999992</v>
      </c>
      <c r="BK228" s="289">
        <v>0</v>
      </c>
      <c r="BL228" s="289">
        <v>0</v>
      </c>
      <c r="BM228" s="289">
        <v>0</v>
      </c>
      <c r="BN228" s="289">
        <v>0</v>
      </c>
      <c r="BO228" s="517">
        <v>0</v>
      </c>
      <c r="BP228" s="517">
        <v>0</v>
      </c>
      <c r="BQ228" s="289">
        <f t="shared" si="6"/>
        <v>-8.0857200198000001</v>
      </c>
      <c r="BR228" s="289">
        <v>0</v>
      </c>
      <c r="BS228" s="289">
        <f t="shared" si="7"/>
        <v>0</v>
      </c>
      <c r="BT228" s="289">
        <v>16</v>
      </c>
      <c r="BU228" s="289">
        <v>0</v>
      </c>
      <c r="BV228" s="289">
        <v>81</v>
      </c>
      <c r="BW228" s="289">
        <v>157.18299999999999</v>
      </c>
      <c r="BX228" s="289">
        <v>163.97900000000001</v>
      </c>
      <c r="CC228" s="517"/>
      <c r="CD228" s="85"/>
      <c r="CE228" s="517"/>
    </row>
    <row r="229" spans="1:83" ht="13">
      <c r="A229" s="1">
        <v>3416</v>
      </c>
      <c r="B229" s="2" t="s">
        <v>831</v>
      </c>
      <c r="C229" s="289">
        <v>6142</v>
      </c>
      <c r="D229" s="289">
        <v>93</v>
      </c>
      <c r="E229" s="289">
        <v>177</v>
      </c>
      <c r="F229" s="289">
        <v>604</v>
      </c>
      <c r="G229" s="289">
        <v>533</v>
      </c>
      <c r="H229" s="289">
        <v>3448</v>
      </c>
      <c r="I229" s="289">
        <v>913</v>
      </c>
      <c r="J229" s="289">
        <v>299</v>
      </c>
      <c r="K229" s="289">
        <v>85</v>
      </c>
      <c r="L229" s="289">
        <v>59</v>
      </c>
      <c r="M229" s="289">
        <v>652</v>
      </c>
      <c r="N229" s="290">
        <v>49</v>
      </c>
      <c r="O229" s="290">
        <v>19</v>
      </c>
      <c r="P229" s="624">
        <v>35259.550666670002</v>
      </c>
      <c r="Q229" s="624">
        <v>12373.630999999999</v>
      </c>
      <c r="R229" s="624">
        <v>66</v>
      </c>
      <c r="S229" s="289">
        <v>0</v>
      </c>
      <c r="T229" s="289">
        <v>590</v>
      </c>
      <c r="U229" s="716">
        <v>3.3636538631198268E-3</v>
      </c>
      <c r="V229" s="289">
        <v>-2654.6129968700002</v>
      </c>
      <c r="W229" s="743">
        <v>0.65821207000000004</v>
      </c>
      <c r="X229" s="289">
        <v>4800</v>
      </c>
      <c r="Y229" s="289">
        <v>392</v>
      </c>
      <c r="Z229" s="289">
        <v>129210</v>
      </c>
      <c r="AA229" s="289">
        <v>-3807.1159970600002</v>
      </c>
      <c r="AB229" s="290">
        <v>232</v>
      </c>
      <c r="AC229" s="289">
        <v>0</v>
      </c>
      <c r="AD229" s="289">
        <v>0</v>
      </c>
      <c r="AE229" s="289">
        <v>0</v>
      </c>
      <c r="AF229" s="289">
        <v>0</v>
      </c>
      <c r="AG229" s="289">
        <v>6152</v>
      </c>
      <c r="AH229" s="289">
        <v>719</v>
      </c>
      <c r="AI229" s="289">
        <v>40</v>
      </c>
      <c r="AJ229" s="289">
        <v>0</v>
      </c>
      <c r="AK229" s="289">
        <v>17.8979</v>
      </c>
      <c r="AL229" s="289"/>
      <c r="AM229" s="622">
        <v>0.27774054999999997</v>
      </c>
      <c r="AN229" s="289">
        <v>7861</v>
      </c>
      <c r="AO229" s="289">
        <v>-334.86611725</v>
      </c>
      <c r="AP229" s="289">
        <v>0</v>
      </c>
      <c r="AQ229" s="289">
        <v>0</v>
      </c>
      <c r="AR229" s="289">
        <v>506.78119341000001</v>
      </c>
      <c r="AS229" s="289">
        <v>93.334299999999999</v>
      </c>
      <c r="AT229" s="289">
        <v>434</v>
      </c>
      <c r="AU229" s="289">
        <v>78</v>
      </c>
      <c r="AV229" s="625">
        <v>188076</v>
      </c>
      <c r="AW229" s="289">
        <v>-119.68729999999999</v>
      </c>
      <c r="AX229" s="625">
        <v>35.708333330000002</v>
      </c>
      <c r="AY229" s="289">
        <v>800</v>
      </c>
      <c r="AZ229" s="289">
        <v>308</v>
      </c>
      <c r="BA229" s="290">
        <v>155</v>
      </c>
      <c r="BB229" s="289">
        <v>0</v>
      </c>
      <c r="BC229" s="289">
        <v>-4390.9590600299998</v>
      </c>
      <c r="BD229" s="289">
        <v>95.423599999999993</v>
      </c>
      <c r="BE229" s="289">
        <v>188961.78534959001</v>
      </c>
      <c r="BF229" s="289">
        <v>0</v>
      </c>
      <c r="BG229" s="289">
        <v>11</v>
      </c>
      <c r="BH229" s="289">
        <v>-50.122199999999999</v>
      </c>
      <c r="BI229" s="289">
        <v>-2696.1159970600002</v>
      </c>
      <c r="BJ229" s="289">
        <v>-6.3150000000000004</v>
      </c>
      <c r="BK229" s="289">
        <v>0</v>
      </c>
      <c r="BL229" s="289">
        <v>0</v>
      </c>
      <c r="BM229" s="289">
        <v>0</v>
      </c>
      <c r="BN229" s="289">
        <v>0</v>
      </c>
      <c r="BO229" s="517">
        <v>0</v>
      </c>
      <c r="BP229" s="517">
        <v>0</v>
      </c>
      <c r="BQ229" s="289">
        <f t="shared" si="6"/>
        <v>-6.3150120047999998</v>
      </c>
      <c r="BR229" s="289">
        <v>0</v>
      </c>
      <c r="BS229" s="289">
        <f t="shared" si="7"/>
        <v>0</v>
      </c>
      <c r="BT229" s="289">
        <v>10</v>
      </c>
      <c r="BU229" s="289">
        <v>0</v>
      </c>
      <c r="BV229" s="289">
        <v>66</v>
      </c>
      <c r="BW229" s="289">
        <v>157.18299999999999</v>
      </c>
      <c r="BX229" s="289">
        <v>127.544</v>
      </c>
      <c r="CC229" s="517"/>
      <c r="CD229" s="85"/>
      <c r="CE229" s="517"/>
    </row>
    <row r="230" spans="1:83" ht="13">
      <c r="A230" s="1">
        <v>3417</v>
      </c>
      <c r="B230" s="2" t="s">
        <v>832</v>
      </c>
      <c r="C230" s="289">
        <v>4740</v>
      </c>
      <c r="D230" s="289">
        <v>49</v>
      </c>
      <c r="E230" s="289">
        <v>121</v>
      </c>
      <c r="F230" s="289">
        <v>446</v>
      </c>
      <c r="G230" s="289">
        <v>390</v>
      </c>
      <c r="H230" s="289">
        <v>2579</v>
      </c>
      <c r="I230" s="289">
        <v>800</v>
      </c>
      <c r="J230" s="289">
        <v>284</v>
      </c>
      <c r="K230" s="289">
        <v>87</v>
      </c>
      <c r="L230" s="289">
        <v>45</v>
      </c>
      <c r="M230" s="289">
        <v>581</v>
      </c>
      <c r="N230" s="290">
        <v>76</v>
      </c>
      <c r="O230" s="290">
        <v>39</v>
      </c>
      <c r="P230" s="624">
        <v>34555.273999999998</v>
      </c>
      <c r="Q230" s="624">
        <v>15249.652333329999</v>
      </c>
      <c r="R230" s="624">
        <v>30</v>
      </c>
      <c r="S230" s="289">
        <v>0</v>
      </c>
      <c r="T230" s="289">
        <v>483</v>
      </c>
      <c r="U230" s="716">
        <v>3.8536679987317374E-3</v>
      </c>
      <c r="V230" s="289">
        <v>1351.2546511099999</v>
      </c>
      <c r="W230" s="743">
        <v>0.69912881999999998</v>
      </c>
      <c r="X230" s="289">
        <v>4900</v>
      </c>
      <c r="Y230" s="289">
        <v>392</v>
      </c>
      <c r="Z230" s="289">
        <v>105990</v>
      </c>
      <c r="AA230" s="289">
        <v>-3292.3667645300002</v>
      </c>
      <c r="AB230" s="290">
        <v>139</v>
      </c>
      <c r="AC230" s="289">
        <v>0</v>
      </c>
      <c r="AD230" s="289">
        <v>0</v>
      </c>
      <c r="AE230" s="289">
        <v>0</v>
      </c>
      <c r="AF230" s="289">
        <v>0</v>
      </c>
      <c r="AG230" s="289">
        <v>4756</v>
      </c>
      <c r="AH230" s="289">
        <v>514</v>
      </c>
      <c r="AI230" s="289">
        <v>500</v>
      </c>
      <c r="AJ230" s="289">
        <v>0</v>
      </c>
      <c r="AK230" s="289">
        <v>11.9979</v>
      </c>
      <c r="AL230" s="289"/>
      <c r="AM230" s="622">
        <v>0.18486109000000001</v>
      </c>
      <c r="AN230" s="289">
        <v>6394</v>
      </c>
      <c r="AO230" s="289">
        <v>-259.54554280999997</v>
      </c>
      <c r="AP230" s="289">
        <v>0</v>
      </c>
      <c r="AQ230" s="289">
        <v>0</v>
      </c>
      <c r="AR230" s="289">
        <v>2036.1999653800001</v>
      </c>
      <c r="AS230" s="289">
        <v>70.671899999999994</v>
      </c>
      <c r="AT230" s="289">
        <v>324</v>
      </c>
      <c r="AU230" s="289">
        <v>60</v>
      </c>
      <c r="AV230" s="625">
        <v>149296</v>
      </c>
      <c r="AW230" s="289">
        <v>-92.528099999999995</v>
      </c>
      <c r="AX230" s="625">
        <v>15.20833333</v>
      </c>
      <c r="AY230" s="289">
        <v>709</v>
      </c>
      <c r="AZ230" s="289">
        <v>217</v>
      </c>
      <c r="BA230" s="290">
        <v>94</v>
      </c>
      <c r="BB230" s="289">
        <v>0</v>
      </c>
      <c r="BC230" s="289">
        <v>-3934.4017025200001</v>
      </c>
      <c r="BD230" s="289">
        <v>68.2166</v>
      </c>
      <c r="BE230" s="289">
        <v>151375.79855281001</v>
      </c>
      <c r="BF230" s="289">
        <v>0</v>
      </c>
      <c r="BG230" s="289">
        <v>11</v>
      </c>
      <c r="BH230" s="289">
        <v>-38.748600000000003</v>
      </c>
      <c r="BI230" s="289">
        <v>-2386.3667645300002</v>
      </c>
      <c r="BJ230" s="289">
        <v>-4.8819999999999997</v>
      </c>
      <c r="BK230" s="289">
        <v>0</v>
      </c>
      <c r="BL230" s="289">
        <v>0</v>
      </c>
      <c r="BM230" s="289">
        <v>0</v>
      </c>
      <c r="BN230" s="289">
        <v>0</v>
      </c>
      <c r="BO230" s="517">
        <v>0</v>
      </c>
      <c r="BP230" s="517">
        <v>0</v>
      </c>
      <c r="BQ230" s="289">
        <f t="shared" si="6"/>
        <v>-4.8820216344</v>
      </c>
      <c r="BR230" s="289">
        <v>0</v>
      </c>
      <c r="BS230" s="289">
        <f t="shared" si="7"/>
        <v>0</v>
      </c>
      <c r="BT230" s="289">
        <v>7</v>
      </c>
      <c r="BU230" s="289">
        <v>0</v>
      </c>
      <c r="BV230" s="289">
        <v>56</v>
      </c>
      <c r="BW230" s="289">
        <v>157.18299999999999</v>
      </c>
      <c r="BX230" s="289">
        <v>97.361999999999995</v>
      </c>
      <c r="CC230" s="517"/>
      <c r="CD230" s="85"/>
      <c r="CE230" s="517"/>
    </row>
    <row r="231" spans="1:83" ht="13">
      <c r="A231" s="1">
        <v>3418</v>
      </c>
      <c r="B231" s="2" t="s">
        <v>833</v>
      </c>
      <c r="C231" s="289">
        <v>7279</v>
      </c>
      <c r="D231" s="289">
        <v>100</v>
      </c>
      <c r="E231" s="289">
        <v>242</v>
      </c>
      <c r="F231" s="289">
        <v>704</v>
      </c>
      <c r="G231" s="289">
        <v>553</v>
      </c>
      <c r="H231" s="289">
        <v>4013</v>
      </c>
      <c r="I231" s="289">
        <v>1200</v>
      </c>
      <c r="J231" s="289">
        <v>416</v>
      </c>
      <c r="K231" s="289">
        <v>100</v>
      </c>
      <c r="L231" s="289">
        <v>74</v>
      </c>
      <c r="M231" s="289">
        <v>857</v>
      </c>
      <c r="N231" s="290">
        <v>75</v>
      </c>
      <c r="O231" s="290">
        <v>47</v>
      </c>
      <c r="P231" s="624">
        <v>37168.536333329997</v>
      </c>
      <c r="Q231" s="624">
        <v>26685.892</v>
      </c>
      <c r="R231" s="624">
        <v>56</v>
      </c>
      <c r="S231" s="289">
        <v>0</v>
      </c>
      <c r="T231" s="289">
        <v>713</v>
      </c>
      <c r="U231" s="716">
        <v>6.4421094386022358E-3</v>
      </c>
      <c r="V231" s="289">
        <v>1334.21344922</v>
      </c>
      <c r="W231" s="743">
        <v>0.66121297000000001</v>
      </c>
      <c r="X231" s="289">
        <v>2840</v>
      </c>
      <c r="Y231" s="289">
        <v>392</v>
      </c>
      <c r="Z231" s="289">
        <v>162251</v>
      </c>
      <c r="AA231" s="289">
        <v>-5539.4815341900003</v>
      </c>
      <c r="AB231" s="290">
        <v>258</v>
      </c>
      <c r="AC231" s="289">
        <v>1424</v>
      </c>
      <c r="AD231" s="289">
        <v>0</v>
      </c>
      <c r="AE231" s="289">
        <v>0</v>
      </c>
      <c r="AF231" s="289">
        <v>0</v>
      </c>
      <c r="AG231" s="289">
        <v>7328</v>
      </c>
      <c r="AH231" s="289">
        <v>819</v>
      </c>
      <c r="AI231" s="289">
        <v>3260</v>
      </c>
      <c r="AJ231" s="289">
        <v>0</v>
      </c>
      <c r="AK231" s="289">
        <v>23.177</v>
      </c>
      <c r="AL231" s="289"/>
      <c r="AM231" s="622">
        <v>0.31920920000000003</v>
      </c>
      <c r="AN231" s="289">
        <v>9168</v>
      </c>
      <c r="AO231" s="289">
        <v>-400.38017631000002</v>
      </c>
      <c r="AP231" s="289">
        <v>0</v>
      </c>
      <c r="AQ231" s="289">
        <v>0</v>
      </c>
      <c r="AR231" s="289">
        <v>-413.34997482</v>
      </c>
      <c r="AS231" s="289">
        <v>109.79819999999999</v>
      </c>
      <c r="AT231" s="289">
        <v>486</v>
      </c>
      <c r="AU231" s="289">
        <v>80</v>
      </c>
      <c r="AV231" s="625">
        <v>224149</v>
      </c>
      <c r="AW231" s="289">
        <v>-114.1341</v>
      </c>
      <c r="AX231" s="625">
        <v>27.958333339999999</v>
      </c>
      <c r="AY231" s="289">
        <v>1109</v>
      </c>
      <c r="AZ231" s="289">
        <v>441</v>
      </c>
      <c r="BA231" s="290">
        <v>164</v>
      </c>
      <c r="BB231" s="289">
        <v>0</v>
      </c>
      <c r="BC231" s="289">
        <v>-6813.6572137200001</v>
      </c>
      <c r="BD231" s="289">
        <v>108.69540000000001</v>
      </c>
      <c r="BE231" s="289">
        <v>226933.58510237999</v>
      </c>
      <c r="BF231" s="289">
        <v>0</v>
      </c>
      <c r="BG231" s="289">
        <v>11</v>
      </c>
      <c r="BH231" s="289">
        <v>-59.703499999999998</v>
      </c>
      <c r="BI231" s="289">
        <v>-4328.4815341900003</v>
      </c>
      <c r="BJ231" s="289">
        <v>-7.5221999999999998</v>
      </c>
      <c r="BK231" s="289">
        <v>0</v>
      </c>
      <c r="BL231" s="289">
        <v>0</v>
      </c>
      <c r="BM231" s="289">
        <v>0</v>
      </c>
      <c r="BN231" s="289">
        <v>0</v>
      </c>
      <c r="BO231" s="517">
        <v>0</v>
      </c>
      <c r="BP231" s="517">
        <v>0</v>
      </c>
      <c r="BQ231" s="289">
        <f t="shared" si="6"/>
        <v>-7.5221729471999996</v>
      </c>
      <c r="BR231" s="289">
        <v>0</v>
      </c>
      <c r="BS231" s="289">
        <f t="shared" si="7"/>
        <v>0</v>
      </c>
      <c r="BT231" s="289">
        <v>13</v>
      </c>
      <c r="BU231" s="289">
        <v>0</v>
      </c>
      <c r="BV231" s="289">
        <v>81</v>
      </c>
      <c r="BW231" s="289">
        <v>157.18299999999999</v>
      </c>
      <c r="BX231" s="289">
        <v>150.43600000000001</v>
      </c>
      <c r="CC231" s="517"/>
      <c r="CD231" s="85"/>
      <c r="CE231" s="517"/>
    </row>
    <row r="232" spans="1:83" ht="13">
      <c r="A232" s="1">
        <v>3419</v>
      </c>
      <c r="B232" s="2" t="s">
        <v>799</v>
      </c>
      <c r="C232" s="289">
        <v>3680</v>
      </c>
      <c r="D232" s="289">
        <v>59</v>
      </c>
      <c r="E232" s="289">
        <v>116</v>
      </c>
      <c r="F232" s="289">
        <v>362</v>
      </c>
      <c r="G232" s="289">
        <v>265</v>
      </c>
      <c r="H232" s="289">
        <v>2049</v>
      </c>
      <c r="I232" s="289">
        <v>617</v>
      </c>
      <c r="J232" s="289">
        <v>197</v>
      </c>
      <c r="K232" s="289">
        <v>48</v>
      </c>
      <c r="L232" s="289">
        <v>37</v>
      </c>
      <c r="M232" s="289">
        <v>394</v>
      </c>
      <c r="N232" s="290">
        <v>9</v>
      </c>
      <c r="O232" s="290">
        <v>17</v>
      </c>
      <c r="P232" s="624">
        <v>21553.42333333</v>
      </c>
      <c r="Q232" s="624">
        <v>17876.486333330002</v>
      </c>
      <c r="R232" s="624">
        <v>21</v>
      </c>
      <c r="S232" s="289">
        <v>0</v>
      </c>
      <c r="T232" s="289">
        <v>359</v>
      </c>
      <c r="U232" s="716">
        <v>3.0814275927394841E-3</v>
      </c>
      <c r="V232" s="289">
        <v>1430.0698632199999</v>
      </c>
      <c r="W232" s="743">
        <v>0.71222726999999997</v>
      </c>
      <c r="X232" s="289">
        <v>3400</v>
      </c>
      <c r="Y232" s="289">
        <v>0</v>
      </c>
      <c r="Z232" s="289">
        <v>81489</v>
      </c>
      <c r="AA232" s="289">
        <v>-2346.5596555900001</v>
      </c>
      <c r="AB232" s="290">
        <v>138</v>
      </c>
      <c r="AC232" s="289">
        <v>0</v>
      </c>
      <c r="AD232" s="289">
        <v>0</v>
      </c>
      <c r="AE232" s="289">
        <v>0</v>
      </c>
      <c r="AF232" s="289">
        <v>0</v>
      </c>
      <c r="AG232" s="289">
        <v>3713</v>
      </c>
      <c r="AH232" s="289">
        <v>418</v>
      </c>
      <c r="AI232" s="289">
        <v>0</v>
      </c>
      <c r="AJ232" s="289">
        <v>0</v>
      </c>
      <c r="AK232" s="289">
        <v>11.363099999999999</v>
      </c>
      <c r="AL232" s="289"/>
      <c r="AM232" s="622">
        <v>6.0395509999999999E-2</v>
      </c>
      <c r="AN232" s="289">
        <v>5270</v>
      </c>
      <c r="AO232" s="289">
        <v>-198.9053529</v>
      </c>
      <c r="AP232" s="289">
        <v>0</v>
      </c>
      <c r="AQ232" s="289">
        <v>0</v>
      </c>
      <c r="AR232" s="289">
        <v>1210.9457645299999</v>
      </c>
      <c r="AS232" s="289">
        <v>48.377899999999997</v>
      </c>
      <c r="AT232" s="289">
        <v>192</v>
      </c>
      <c r="AU232" s="289">
        <v>39</v>
      </c>
      <c r="AV232" s="625">
        <v>114573</v>
      </c>
      <c r="AW232" s="289">
        <v>-72.236500000000007</v>
      </c>
      <c r="AX232" s="625">
        <v>16.666666670000001</v>
      </c>
      <c r="AY232" s="289">
        <v>553</v>
      </c>
      <c r="AZ232" s="289">
        <v>113</v>
      </c>
      <c r="BA232" s="290">
        <v>82</v>
      </c>
      <c r="BB232" s="289">
        <v>0</v>
      </c>
      <c r="BC232" s="289">
        <v>-3015.64277133</v>
      </c>
      <c r="BD232" s="289">
        <v>55.4758</v>
      </c>
      <c r="BE232" s="289">
        <v>114514.86222826999</v>
      </c>
      <c r="BF232" s="289">
        <v>0</v>
      </c>
      <c r="BG232" s="289">
        <v>0</v>
      </c>
      <c r="BH232" s="289">
        <v>-30.250900000000001</v>
      </c>
      <c r="BI232" s="289">
        <v>-1928.5596555899999</v>
      </c>
      <c r="BJ232" s="289">
        <v>-3.8113999999999999</v>
      </c>
      <c r="BK232" s="289">
        <v>0</v>
      </c>
      <c r="BL232" s="289">
        <v>0</v>
      </c>
      <c r="BM232" s="289">
        <v>0</v>
      </c>
      <c r="BN232" s="289">
        <v>0</v>
      </c>
      <c r="BO232" s="517">
        <v>0</v>
      </c>
      <c r="BP232" s="517">
        <v>0</v>
      </c>
      <c r="BQ232" s="289">
        <f t="shared" si="6"/>
        <v>-3.8113848462000002</v>
      </c>
      <c r="BR232" s="289">
        <v>0</v>
      </c>
      <c r="BS232" s="289">
        <f t="shared" si="7"/>
        <v>0</v>
      </c>
      <c r="BT232" s="289">
        <v>7</v>
      </c>
      <c r="BU232" s="289">
        <v>0</v>
      </c>
      <c r="BV232" s="289">
        <v>45</v>
      </c>
      <c r="BW232" s="289">
        <v>157.18299999999999</v>
      </c>
      <c r="BX232" s="289">
        <v>76.754999999999995</v>
      </c>
      <c r="CC232" s="517"/>
      <c r="CD232" s="85"/>
      <c r="CE232" s="517"/>
    </row>
    <row r="233" spans="1:83" ht="13">
      <c r="A233" s="1">
        <v>3420</v>
      </c>
      <c r="B233" s="2" t="s">
        <v>834</v>
      </c>
      <c r="C233" s="289">
        <v>21123</v>
      </c>
      <c r="D233" s="289">
        <v>425</v>
      </c>
      <c r="E233" s="289">
        <v>909</v>
      </c>
      <c r="F233" s="289">
        <v>2504</v>
      </c>
      <c r="G233" s="289">
        <v>1911</v>
      </c>
      <c r="H233" s="289">
        <v>11693</v>
      </c>
      <c r="I233" s="289">
        <v>2568</v>
      </c>
      <c r="J233" s="289">
        <v>818</v>
      </c>
      <c r="K233" s="289">
        <v>214</v>
      </c>
      <c r="L233" s="289">
        <v>172</v>
      </c>
      <c r="M233" s="289">
        <v>1720</v>
      </c>
      <c r="N233" s="290">
        <v>538</v>
      </c>
      <c r="O233" s="290">
        <v>201</v>
      </c>
      <c r="P233" s="624">
        <v>72000.307333329998</v>
      </c>
      <c r="Q233" s="624">
        <v>43417.691666669998</v>
      </c>
      <c r="R233" s="624">
        <v>70</v>
      </c>
      <c r="S233" s="289">
        <v>0</v>
      </c>
      <c r="T233" s="289">
        <v>1710</v>
      </c>
      <c r="U233" s="716">
        <v>4.1828762207616263E-3</v>
      </c>
      <c r="V233" s="289">
        <v>7431.1542088799997</v>
      </c>
      <c r="W233" s="743">
        <v>0.57840011999999996</v>
      </c>
      <c r="X233" s="289">
        <v>3100</v>
      </c>
      <c r="Y233" s="289">
        <v>392</v>
      </c>
      <c r="Z233" s="289">
        <v>510655</v>
      </c>
      <c r="AA233" s="289">
        <v>0</v>
      </c>
      <c r="AB233" s="290">
        <v>490</v>
      </c>
      <c r="AC233" s="289">
        <v>0</v>
      </c>
      <c r="AD233" s="289">
        <v>0</v>
      </c>
      <c r="AE233" s="289">
        <v>0</v>
      </c>
      <c r="AF233" s="289">
        <v>0</v>
      </c>
      <c r="AG233" s="289">
        <v>21042</v>
      </c>
      <c r="AH233" s="289">
        <v>2899</v>
      </c>
      <c r="AI233" s="289">
        <v>650</v>
      </c>
      <c r="AJ233" s="289">
        <v>0</v>
      </c>
      <c r="AK233" s="289">
        <v>92.143699999999995</v>
      </c>
      <c r="AL233" s="289"/>
      <c r="AM233" s="622">
        <v>0.56598636000000002</v>
      </c>
      <c r="AN233" s="289">
        <v>0</v>
      </c>
      <c r="AO233" s="289">
        <v>-1033.5833153000001</v>
      </c>
      <c r="AP233" s="289">
        <v>0</v>
      </c>
      <c r="AQ233" s="289">
        <v>0</v>
      </c>
      <c r="AR233" s="289">
        <v>-1503.96003956</v>
      </c>
      <c r="AS233" s="289">
        <v>280.80360000000002</v>
      </c>
      <c r="AT233" s="289">
        <v>1209</v>
      </c>
      <c r="AU233" s="289">
        <v>226</v>
      </c>
      <c r="AV233" s="625">
        <v>501546</v>
      </c>
      <c r="AW233" s="289">
        <v>-10.6851</v>
      </c>
      <c r="AX233" s="625">
        <v>157.5</v>
      </c>
      <c r="AY233" s="289">
        <v>4982</v>
      </c>
      <c r="AZ233" s="289">
        <v>921</v>
      </c>
      <c r="BA233" s="290">
        <v>538</v>
      </c>
      <c r="BB233" s="289">
        <v>0</v>
      </c>
      <c r="BC233" s="289">
        <v>3949</v>
      </c>
      <c r="BD233" s="289">
        <v>384.74709999999999</v>
      </c>
      <c r="BE233" s="289">
        <v>520203.99409449002</v>
      </c>
      <c r="BF233" s="289">
        <v>0</v>
      </c>
      <c r="BG233" s="289">
        <v>11</v>
      </c>
      <c r="BH233" s="289">
        <v>-171.43559999999999</v>
      </c>
      <c r="BI233" s="289">
        <v>3291</v>
      </c>
      <c r="BJ233" s="289">
        <v>-21.599599999999999</v>
      </c>
      <c r="BK233" s="289">
        <v>0</v>
      </c>
      <c r="BL233" s="289">
        <v>0</v>
      </c>
      <c r="BM233" s="289">
        <v>0</v>
      </c>
      <c r="BN233" s="289">
        <v>0</v>
      </c>
      <c r="BO233" s="517">
        <v>0</v>
      </c>
      <c r="BP233" s="517">
        <v>0</v>
      </c>
      <c r="BQ233" s="289">
        <f t="shared" si="6"/>
        <v>-21.599558290800001</v>
      </c>
      <c r="BR233" s="289">
        <v>0</v>
      </c>
      <c r="BS233" s="289">
        <f t="shared" si="7"/>
        <v>0</v>
      </c>
      <c r="BT233" s="289">
        <v>53</v>
      </c>
      <c r="BU233" s="289">
        <v>0</v>
      </c>
      <c r="BV233" s="289">
        <v>200</v>
      </c>
      <c r="BW233" s="289">
        <v>261.971</v>
      </c>
      <c r="BX233" s="289">
        <v>438.22</v>
      </c>
      <c r="CC233" s="517"/>
      <c r="CD233" s="85"/>
      <c r="CE233" s="517"/>
    </row>
    <row r="234" spans="1:83" ht="13">
      <c r="A234" s="1">
        <v>3421</v>
      </c>
      <c r="B234" s="2" t="s">
        <v>835</v>
      </c>
      <c r="C234" s="289">
        <v>6567</v>
      </c>
      <c r="D234" s="289">
        <v>97</v>
      </c>
      <c r="E234" s="289">
        <v>216</v>
      </c>
      <c r="F234" s="289">
        <v>666</v>
      </c>
      <c r="G234" s="289">
        <v>502</v>
      </c>
      <c r="H234" s="289">
        <v>3608</v>
      </c>
      <c r="I234" s="289">
        <v>1021</v>
      </c>
      <c r="J234" s="289">
        <v>367</v>
      </c>
      <c r="K234" s="289">
        <v>82</v>
      </c>
      <c r="L234" s="289">
        <v>60</v>
      </c>
      <c r="M234" s="289">
        <v>708</v>
      </c>
      <c r="N234" s="290">
        <v>62</v>
      </c>
      <c r="O234" s="290">
        <v>37</v>
      </c>
      <c r="P234" s="624">
        <v>111097.07133332999</v>
      </c>
      <c r="Q234" s="624">
        <v>30962.267333330001</v>
      </c>
      <c r="R234" s="624">
        <v>37</v>
      </c>
      <c r="S234" s="289">
        <v>0</v>
      </c>
      <c r="T234" s="289">
        <v>631</v>
      </c>
      <c r="U234" s="716">
        <v>3.2022290857500147E-3</v>
      </c>
      <c r="V234" s="289">
        <v>-1116.79363253</v>
      </c>
      <c r="W234" s="743">
        <v>0.84075040000000001</v>
      </c>
      <c r="X234" s="289">
        <v>2200</v>
      </c>
      <c r="Y234" s="289">
        <v>392</v>
      </c>
      <c r="Z234" s="289">
        <v>169452</v>
      </c>
      <c r="AA234" s="289">
        <v>0</v>
      </c>
      <c r="AB234" s="290">
        <v>136</v>
      </c>
      <c r="AC234" s="289">
        <v>0</v>
      </c>
      <c r="AD234" s="289">
        <v>0</v>
      </c>
      <c r="AE234" s="289">
        <v>0</v>
      </c>
      <c r="AF234" s="289">
        <v>0</v>
      </c>
      <c r="AG234" s="289">
        <v>6559</v>
      </c>
      <c r="AH234" s="289">
        <v>750</v>
      </c>
      <c r="AI234" s="289">
        <v>80</v>
      </c>
      <c r="AJ234" s="289">
        <v>0</v>
      </c>
      <c r="AK234" s="289">
        <v>21.5215</v>
      </c>
      <c r="AL234" s="289"/>
      <c r="AM234" s="622">
        <v>0.24435681000000001</v>
      </c>
      <c r="AN234" s="289">
        <v>8321</v>
      </c>
      <c r="AO234" s="289">
        <v>-357.81830702000002</v>
      </c>
      <c r="AP234" s="289">
        <v>0</v>
      </c>
      <c r="AQ234" s="289">
        <v>0</v>
      </c>
      <c r="AR234" s="289">
        <v>1131.3839894299999</v>
      </c>
      <c r="AS234" s="289">
        <v>86.839799999999997</v>
      </c>
      <c r="AT234" s="289">
        <v>359</v>
      </c>
      <c r="AU234" s="289">
        <v>93</v>
      </c>
      <c r="AV234" s="625">
        <v>205066</v>
      </c>
      <c r="AW234" s="289">
        <v>-127.60550000000001</v>
      </c>
      <c r="AX234" s="625">
        <v>37</v>
      </c>
      <c r="AY234" s="289">
        <v>1022</v>
      </c>
      <c r="AZ234" s="289">
        <v>314</v>
      </c>
      <c r="BA234" s="290">
        <v>112</v>
      </c>
      <c r="BB234" s="289">
        <v>0</v>
      </c>
      <c r="BC234" s="289">
        <v>1110</v>
      </c>
      <c r="BD234" s="289">
        <v>99.537899999999993</v>
      </c>
      <c r="BE234" s="289">
        <v>205036.16362822001</v>
      </c>
      <c r="BF234" s="289">
        <v>0</v>
      </c>
      <c r="BG234" s="289">
        <v>11</v>
      </c>
      <c r="BH234" s="289">
        <v>-53.438200000000002</v>
      </c>
      <c r="BI234" s="289">
        <v>1142</v>
      </c>
      <c r="BJ234" s="289">
        <v>-6.7328000000000001</v>
      </c>
      <c r="BK234" s="289">
        <v>0</v>
      </c>
      <c r="BL234" s="289">
        <v>0</v>
      </c>
      <c r="BM234" s="289">
        <v>0</v>
      </c>
      <c r="BN234" s="289">
        <v>0</v>
      </c>
      <c r="BO234" s="517">
        <v>0</v>
      </c>
      <c r="BP234" s="517">
        <v>0</v>
      </c>
      <c r="BQ234" s="289">
        <f t="shared" si="6"/>
        <v>-6.7327964466000001</v>
      </c>
      <c r="BR234" s="289">
        <v>0</v>
      </c>
      <c r="BS234" s="289">
        <f t="shared" si="7"/>
        <v>0</v>
      </c>
      <c r="BT234" s="289">
        <v>12</v>
      </c>
      <c r="BU234" s="289">
        <v>0</v>
      </c>
      <c r="BV234" s="289">
        <v>80</v>
      </c>
      <c r="BW234" s="289">
        <v>157.18299999999999</v>
      </c>
      <c r="BX234" s="289">
        <v>136.62200000000001</v>
      </c>
      <c r="CC234" s="517"/>
      <c r="CD234" s="85"/>
      <c r="CE234" s="517"/>
    </row>
    <row r="235" spans="1:83" ht="13">
      <c r="A235" s="1">
        <v>3422</v>
      </c>
      <c r="B235" s="2" t="s">
        <v>836</v>
      </c>
      <c r="C235" s="289">
        <v>4480</v>
      </c>
      <c r="D235" s="289">
        <v>85</v>
      </c>
      <c r="E235" s="289">
        <v>161</v>
      </c>
      <c r="F235" s="289">
        <v>494</v>
      </c>
      <c r="G235" s="289">
        <v>435</v>
      </c>
      <c r="H235" s="289">
        <v>2448</v>
      </c>
      <c r="I235" s="289">
        <v>561</v>
      </c>
      <c r="J235" s="289">
        <v>201</v>
      </c>
      <c r="K235" s="289">
        <v>46</v>
      </c>
      <c r="L235" s="289">
        <v>41</v>
      </c>
      <c r="M235" s="289">
        <v>418</v>
      </c>
      <c r="N235" s="290">
        <v>58</v>
      </c>
      <c r="O235" s="290">
        <v>34</v>
      </c>
      <c r="P235" s="624">
        <v>36790.114000000001</v>
      </c>
      <c r="Q235" s="624">
        <v>12710.224333329999</v>
      </c>
      <c r="R235" s="624">
        <v>25</v>
      </c>
      <c r="S235" s="289">
        <v>0</v>
      </c>
      <c r="T235" s="289">
        <v>380</v>
      </c>
      <c r="U235" s="716">
        <v>1.9108817142556827E-3</v>
      </c>
      <c r="V235" s="289">
        <v>1692.59329669</v>
      </c>
      <c r="W235" s="743">
        <v>0.77624214999999996</v>
      </c>
      <c r="X235" s="289">
        <v>3700</v>
      </c>
      <c r="Y235" s="289">
        <v>392</v>
      </c>
      <c r="Z235" s="289">
        <v>103252</v>
      </c>
      <c r="AA235" s="289">
        <v>-3154.1871608500001</v>
      </c>
      <c r="AB235" s="290">
        <v>80</v>
      </c>
      <c r="AC235" s="289">
        <v>0</v>
      </c>
      <c r="AD235" s="289">
        <v>0</v>
      </c>
      <c r="AE235" s="289">
        <v>0</v>
      </c>
      <c r="AF235" s="289">
        <v>0</v>
      </c>
      <c r="AG235" s="289">
        <v>4431</v>
      </c>
      <c r="AH235" s="289">
        <v>586</v>
      </c>
      <c r="AI235" s="289">
        <v>0</v>
      </c>
      <c r="AJ235" s="289">
        <v>0</v>
      </c>
      <c r="AK235" s="289">
        <v>16.764299999999999</v>
      </c>
      <c r="AL235" s="289"/>
      <c r="AM235" s="622">
        <v>0.10351864</v>
      </c>
      <c r="AN235" s="289">
        <v>3667</v>
      </c>
      <c r="AO235" s="289">
        <v>-235.41917472</v>
      </c>
      <c r="AP235" s="289">
        <v>0</v>
      </c>
      <c r="AQ235" s="289">
        <v>0</v>
      </c>
      <c r="AR235" s="289">
        <v>6227.1713840700004</v>
      </c>
      <c r="AS235" s="289">
        <v>53.314799999999998</v>
      </c>
      <c r="AT235" s="289">
        <v>232</v>
      </c>
      <c r="AU235" s="289">
        <v>44</v>
      </c>
      <c r="AV235" s="625">
        <v>136701</v>
      </c>
      <c r="AW235" s="289">
        <v>-86.205200000000005</v>
      </c>
      <c r="AX235" s="625">
        <v>37.458333330000002</v>
      </c>
      <c r="AY235" s="289">
        <v>806</v>
      </c>
      <c r="AZ235" s="289">
        <v>207</v>
      </c>
      <c r="BA235" s="290">
        <v>102</v>
      </c>
      <c r="BB235" s="289">
        <v>0</v>
      </c>
      <c r="BC235" s="289">
        <v>-3592.3847380900002</v>
      </c>
      <c r="BD235" s="289">
        <v>77.772300000000001</v>
      </c>
      <c r="BE235" s="289">
        <v>131786.43479892999</v>
      </c>
      <c r="BF235" s="289">
        <v>0</v>
      </c>
      <c r="BG235" s="289">
        <v>11</v>
      </c>
      <c r="BH235" s="289">
        <v>-36.100700000000003</v>
      </c>
      <c r="BI235" s="289">
        <v>-2176.1871608500001</v>
      </c>
      <c r="BJ235" s="289">
        <v>-4.5484</v>
      </c>
      <c r="BK235" s="289">
        <v>0</v>
      </c>
      <c r="BL235" s="289">
        <v>0</v>
      </c>
      <c r="BM235" s="289">
        <v>0</v>
      </c>
      <c r="BN235" s="289">
        <v>0</v>
      </c>
      <c r="BO235" s="517">
        <v>0</v>
      </c>
      <c r="BP235" s="517">
        <v>0</v>
      </c>
      <c r="BQ235" s="289">
        <f t="shared" si="6"/>
        <v>-4.5484099794000006</v>
      </c>
      <c r="BR235" s="289">
        <v>0</v>
      </c>
      <c r="BS235" s="289">
        <f t="shared" si="7"/>
        <v>0</v>
      </c>
      <c r="BT235" s="289">
        <v>10</v>
      </c>
      <c r="BU235" s="289">
        <v>0</v>
      </c>
      <c r="BV235" s="289">
        <v>50</v>
      </c>
      <c r="BW235" s="289">
        <v>157.18299999999999</v>
      </c>
      <c r="BX235" s="289">
        <v>90.692999999999998</v>
      </c>
      <c r="CC235" s="517"/>
      <c r="CD235" s="85"/>
      <c r="CE235" s="517"/>
    </row>
    <row r="236" spans="1:83" ht="13">
      <c r="A236" s="1">
        <v>3423</v>
      </c>
      <c r="B236" s="2" t="s">
        <v>837</v>
      </c>
      <c r="C236" s="289">
        <v>2490</v>
      </c>
      <c r="D236" s="289">
        <v>36</v>
      </c>
      <c r="E236" s="289">
        <v>79</v>
      </c>
      <c r="F236" s="289">
        <v>234</v>
      </c>
      <c r="G236" s="289">
        <v>182</v>
      </c>
      <c r="H236" s="289">
        <v>1390</v>
      </c>
      <c r="I236" s="289">
        <v>421</v>
      </c>
      <c r="J236" s="289">
        <v>142</v>
      </c>
      <c r="K236" s="289">
        <v>33</v>
      </c>
      <c r="L236" s="289">
        <v>24</v>
      </c>
      <c r="M236" s="289">
        <v>293</v>
      </c>
      <c r="N236" s="290">
        <v>30</v>
      </c>
      <c r="O236" s="290">
        <v>33</v>
      </c>
      <c r="P236" s="624">
        <v>34877.385000000002</v>
      </c>
      <c r="Q236" s="624">
        <v>10014.847</v>
      </c>
      <c r="R236" s="624">
        <v>15</v>
      </c>
      <c r="S236" s="289">
        <v>0</v>
      </c>
      <c r="T236" s="289">
        <v>270</v>
      </c>
      <c r="U236" s="716">
        <v>2.0033271783293054E-3</v>
      </c>
      <c r="V236" s="289">
        <v>1072.8776835900001</v>
      </c>
      <c r="W236" s="743">
        <v>1</v>
      </c>
      <c r="X236" s="289">
        <v>1700</v>
      </c>
      <c r="Y236" s="289">
        <v>392</v>
      </c>
      <c r="Z236" s="289">
        <v>52624</v>
      </c>
      <c r="AA236" s="289">
        <v>0</v>
      </c>
      <c r="AB236" s="290">
        <v>63</v>
      </c>
      <c r="AC236" s="289">
        <v>0</v>
      </c>
      <c r="AD236" s="289">
        <v>0</v>
      </c>
      <c r="AE236" s="289">
        <v>0</v>
      </c>
      <c r="AF236" s="289">
        <v>0</v>
      </c>
      <c r="AG236" s="289">
        <v>2517</v>
      </c>
      <c r="AH236" s="289">
        <v>278</v>
      </c>
      <c r="AI236" s="289">
        <v>500</v>
      </c>
      <c r="AJ236" s="289">
        <v>0</v>
      </c>
      <c r="AK236" s="289">
        <v>8.1685999999999996</v>
      </c>
      <c r="AL236" s="289"/>
      <c r="AM236" s="622">
        <v>0.13483104000000001</v>
      </c>
      <c r="AN236" s="289">
        <v>0</v>
      </c>
      <c r="AO236" s="289">
        <v>-149.22425802999999</v>
      </c>
      <c r="AP236" s="289">
        <v>0</v>
      </c>
      <c r="AQ236" s="289">
        <v>0</v>
      </c>
      <c r="AR236" s="289">
        <v>-179.90055221</v>
      </c>
      <c r="AS236" s="289">
        <v>38.572600000000001</v>
      </c>
      <c r="AT236" s="289">
        <v>160</v>
      </c>
      <c r="AU236" s="289">
        <v>29</v>
      </c>
      <c r="AV236" s="625">
        <v>93324</v>
      </c>
      <c r="AW236" s="289">
        <v>-1.2781</v>
      </c>
      <c r="AX236" s="625">
        <v>15.16666667</v>
      </c>
      <c r="AY236" s="289">
        <v>464</v>
      </c>
      <c r="AZ236" s="289">
        <v>186</v>
      </c>
      <c r="BA236" s="290">
        <v>53</v>
      </c>
      <c r="BB236" s="289">
        <v>5543</v>
      </c>
      <c r="BC236" s="289">
        <v>632</v>
      </c>
      <c r="BD236" s="289">
        <v>36.895400000000002</v>
      </c>
      <c r="BE236" s="289">
        <v>95869.390278360006</v>
      </c>
      <c r="BF236" s="289">
        <v>0</v>
      </c>
      <c r="BG236" s="289">
        <v>11</v>
      </c>
      <c r="BH236" s="289">
        <v>-20.506799999999998</v>
      </c>
      <c r="BI236" s="289">
        <v>670</v>
      </c>
      <c r="BJ236" s="289">
        <v>-2.5836999999999999</v>
      </c>
      <c r="BK236" s="289">
        <v>0</v>
      </c>
      <c r="BL236" s="289">
        <v>0</v>
      </c>
      <c r="BM236" s="289">
        <v>0</v>
      </c>
      <c r="BN236" s="289">
        <v>0</v>
      </c>
      <c r="BO236" s="517">
        <v>0</v>
      </c>
      <c r="BP236" s="517">
        <v>0</v>
      </c>
      <c r="BQ236" s="289">
        <f t="shared" si="6"/>
        <v>-2.5836939557999998</v>
      </c>
      <c r="BR236" s="289">
        <v>0</v>
      </c>
      <c r="BS236" s="289">
        <f t="shared" si="7"/>
        <v>0</v>
      </c>
      <c r="BT236" s="289">
        <v>5</v>
      </c>
      <c r="BU236" s="289">
        <v>0</v>
      </c>
      <c r="BV236" s="289">
        <v>36</v>
      </c>
      <c r="BW236" s="289">
        <v>471.548</v>
      </c>
      <c r="BX236" s="289">
        <v>51.371000000000002</v>
      </c>
      <c r="CC236" s="517"/>
      <c r="CD236" s="85"/>
      <c r="CE236" s="517"/>
    </row>
    <row r="237" spans="1:83" ht="13">
      <c r="A237" s="1">
        <v>3424</v>
      </c>
      <c r="B237" s="2" t="s">
        <v>838</v>
      </c>
      <c r="C237" s="289">
        <v>1827</v>
      </c>
      <c r="D237" s="289">
        <v>29</v>
      </c>
      <c r="E237" s="289">
        <v>53</v>
      </c>
      <c r="F237" s="289">
        <v>196</v>
      </c>
      <c r="G237" s="289">
        <v>144</v>
      </c>
      <c r="H237" s="289">
        <v>975</v>
      </c>
      <c r="I237" s="289">
        <v>333</v>
      </c>
      <c r="J237" s="289">
        <v>102</v>
      </c>
      <c r="K237" s="289">
        <v>32</v>
      </c>
      <c r="L237" s="289">
        <v>17</v>
      </c>
      <c r="M237" s="289">
        <v>226</v>
      </c>
      <c r="N237" s="290">
        <v>1.5</v>
      </c>
      <c r="O237" s="290">
        <v>20</v>
      </c>
      <c r="P237" s="624">
        <v>24594.899000000001</v>
      </c>
      <c r="Q237" s="624">
        <v>11550.14766667</v>
      </c>
      <c r="R237" s="624">
        <v>9</v>
      </c>
      <c r="S237" s="289">
        <v>0</v>
      </c>
      <c r="T237" s="289">
        <v>208</v>
      </c>
      <c r="U237" s="716">
        <v>2.6695996645470324E-3</v>
      </c>
      <c r="V237" s="289">
        <v>834.16558394000003</v>
      </c>
      <c r="W237" s="743">
        <v>1</v>
      </c>
      <c r="X237" s="289">
        <v>1000</v>
      </c>
      <c r="Y237" s="289">
        <v>330</v>
      </c>
      <c r="Z237" s="289">
        <v>42432</v>
      </c>
      <c r="AA237" s="289">
        <v>0</v>
      </c>
      <c r="AB237" s="290">
        <v>28</v>
      </c>
      <c r="AC237" s="289">
        <v>0</v>
      </c>
      <c r="AD237" s="289">
        <v>0</v>
      </c>
      <c r="AE237" s="289">
        <v>0</v>
      </c>
      <c r="AF237" s="289">
        <v>0</v>
      </c>
      <c r="AG237" s="289">
        <v>1864</v>
      </c>
      <c r="AH237" s="289">
        <v>210</v>
      </c>
      <c r="AI237" s="289">
        <v>0</v>
      </c>
      <c r="AJ237" s="289">
        <v>0</v>
      </c>
      <c r="AK237" s="289">
        <v>5.8651999999999997</v>
      </c>
      <c r="AL237" s="289"/>
      <c r="AM237" s="622">
        <v>3.1261549999999999E-2</v>
      </c>
      <c r="AN237" s="289">
        <v>0</v>
      </c>
      <c r="AO237" s="289">
        <v>-116.02230360999999</v>
      </c>
      <c r="AP237" s="289">
        <v>0</v>
      </c>
      <c r="AQ237" s="289">
        <v>0</v>
      </c>
      <c r="AR237" s="289">
        <v>-133.22790198999999</v>
      </c>
      <c r="AS237" s="289">
        <v>21.777000000000001</v>
      </c>
      <c r="AT237" s="289">
        <v>95</v>
      </c>
      <c r="AU237" s="289">
        <v>16</v>
      </c>
      <c r="AV237" s="625">
        <v>77276</v>
      </c>
      <c r="AW237" s="289">
        <v>-0.94650000000000001</v>
      </c>
      <c r="AX237" s="625">
        <v>16.916666670000001</v>
      </c>
      <c r="AY237" s="289">
        <v>291</v>
      </c>
      <c r="AZ237" s="289">
        <v>71</v>
      </c>
      <c r="BA237" s="290">
        <v>34</v>
      </c>
      <c r="BB237" s="289">
        <v>5543</v>
      </c>
      <c r="BC237" s="289">
        <v>507</v>
      </c>
      <c r="BD237" s="289">
        <v>27.8706</v>
      </c>
      <c r="BE237" s="289">
        <v>77927.671386419999</v>
      </c>
      <c r="BF237" s="289">
        <v>0</v>
      </c>
      <c r="BG237" s="289">
        <v>11</v>
      </c>
      <c r="BH237" s="289">
        <v>-15.1866</v>
      </c>
      <c r="BI237" s="289">
        <v>540</v>
      </c>
      <c r="BJ237" s="289">
        <v>-1.9134</v>
      </c>
      <c r="BK237" s="289">
        <v>0</v>
      </c>
      <c r="BL237" s="289">
        <v>0</v>
      </c>
      <c r="BM237" s="289">
        <v>0</v>
      </c>
      <c r="BN237" s="289">
        <v>0</v>
      </c>
      <c r="BO237" s="517">
        <v>0</v>
      </c>
      <c r="BP237" s="517">
        <v>0</v>
      </c>
      <c r="BQ237" s="289">
        <f t="shared" si="6"/>
        <v>-1.9133911536000001</v>
      </c>
      <c r="BR237" s="289">
        <v>0</v>
      </c>
      <c r="BS237" s="289">
        <f t="shared" si="7"/>
        <v>0</v>
      </c>
      <c r="BT237" s="289">
        <v>3</v>
      </c>
      <c r="BU237" s="289">
        <v>0</v>
      </c>
      <c r="BV237" s="289">
        <v>30</v>
      </c>
      <c r="BW237" s="289">
        <v>261.971</v>
      </c>
      <c r="BX237" s="289">
        <v>37.598999999999997</v>
      </c>
      <c r="CC237" s="517"/>
      <c r="CD237" s="85"/>
      <c r="CE237" s="517"/>
    </row>
    <row r="238" spans="1:83" ht="13">
      <c r="A238" s="1">
        <v>3425</v>
      </c>
      <c r="B238" s="2" t="s">
        <v>839</v>
      </c>
      <c r="C238" s="289">
        <v>1294</v>
      </c>
      <c r="D238" s="289">
        <v>14</v>
      </c>
      <c r="E238" s="289">
        <v>26</v>
      </c>
      <c r="F238" s="289">
        <v>153</v>
      </c>
      <c r="G238" s="289">
        <v>106</v>
      </c>
      <c r="H238" s="289">
        <v>670</v>
      </c>
      <c r="I238" s="289">
        <v>234</v>
      </c>
      <c r="J238" s="289">
        <v>68</v>
      </c>
      <c r="K238" s="289">
        <v>18</v>
      </c>
      <c r="L238" s="289">
        <v>12</v>
      </c>
      <c r="M238" s="289">
        <v>155</v>
      </c>
      <c r="N238" s="290">
        <v>1.5</v>
      </c>
      <c r="O238" s="290">
        <v>18</v>
      </c>
      <c r="P238" s="624">
        <v>40899.394</v>
      </c>
      <c r="Q238" s="624">
        <v>16972.445333330001</v>
      </c>
      <c r="R238" s="624">
        <v>5</v>
      </c>
      <c r="S238" s="289">
        <v>0</v>
      </c>
      <c r="T238" s="289">
        <v>104</v>
      </c>
      <c r="U238" s="716">
        <v>1.2294528738645144E-3</v>
      </c>
      <c r="V238" s="289">
        <v>630.05975475000002</v>
      </c>
      <c r="W238" s="743">
        <v>1</v>
      </c>
      <c r="X238" s="289">
        <v>1700</v>
      </c>
      <c r="Y238" s="289">
        <v>392</v>
      </c>
      <c r="Z238" s="289">
        <v>27184</v>
      </c>
      <c r="AA238" s="289">
        <v>0</v>
      </c>
      <c r="AB238" s="290">
        <v>19</v>
      </c>
      <c r="AC238" s="289">
        <v>0</v>
      </c>
      <c r="AD238" s="289">
        <v>0</v>
      </c>
      <c r="AE238" s="289">
        <v>0</v>
      </c>
      <c r="AF238" s="289">
        <v>0</v>
      </c>
      <c r="AG238" s="289">
        <v>1289</v>
      </c>
      <c r="AH238" s="289">
        <v>146</v>
      </c>
      <c r="AI238" s="289">
        <v>0</v>
      </c>
      <c r="AJ238" s="289">
        <v>0</v>
      </c>
      <c r="AK238" s="289">
        <v>2.7326000000000001</v>
      </c>
      <c r="AL238" s="289"/>
      <c r="AM238" s="622">
        <v>3.4379170000000001E-2</v>
      </c>
      <c r="AN238" s="289">
        <v>0</v>
      </c>
      <c r="AO238" s="289">
        <v>-87.633661189999998</v>
      </c>
      <c r="AP238" s="289">
        <v>0</v>
      </c>
      <c r="AQ238" s="289">
        <v>0</v>
      </c>
      <c r="AR238" s="289">
        <v>1448.2223194200001</v>
      </c>
      <c r="AS238" s="289">
        <v>13.539199999999999</v>
      </c>
      <c r="AT238" s="289">
        <v>62</v>
      </c>
      <c r="AU238" s="289">
        <v>9</v>
      </c>
      <c r="AV238" s="625">
        <v>65452</v>
      </c>
      <c r="AW238" s="289">
        <v>-25.077500000000001</v>
      </c>
      <c r="AX238" s="625">
        <v>4.125</v>
      </c>
      <c r="AY238" s="289">
        <v>199</v>
      </c>
      <c r="AZ238" s="289">
        <v>100</v>
      </c>
      <c r="BA238" s="290">
        <v>13</v>
      </c>
      <c r="BB238" s="289">
        <v>5543</v>
      </c>
      <c r="BC238" s="289">
        <v>519</v>
      </c>
      <c r="BD238" s="289">
        <v>19.3767</v>
      </c>
      <c r="BE238" s="289">
        <v>64435.307867069998</v>
      </c>
      <c r="BF238" s="289">
        <v>0</v>
      </c>
      <c r="BG238" s="289">
        <v>11</v>
      </c>
      <c r="BH238" s="289">
        <v>-10.501899999999999</v>
      </c>
      <c r="BI238" s="289">
        <v>538</v>
      </c>
      <c r="BJ238" s="289">
        <v>-1.3231999999999999</v>
      </c>
      <c r="BK238" s="289">
        <v>0</v>
      </c>
      <c r="BL238" s="289">
        <v>0</v>
      </c>
      <c r="BM238" s="289">
        <v>0</v>
      </c>
      <c r="BN238" s="289">
        <v>0</v>
      </c>
      <c r="BO238" s="517">
        <v>0</v>
      </c>
      <c r="BP238" s="517">
        <v>0</v>
      </c>
      <c r="BQ238" s="289">
        <f t="shared" si="6"/>
        <v>-1.3231551486000002</v>
      </c>
      <c r="BR238" s="289">
        <v>0</v>
      </c>
      <c r="BS238" s="289">
        <f t="shared" si="7"/>
        <v>0</v>
      </c>
      <c r="BT238" s="289">
        <v>2</v>
      </c>
      <c r="BU238" s="289">
        <v>0</v>
      </c>
      <c r="BV238" s="289">
        <v>26</v>
      </c>
      <c r="BW238" s="289">
        <v>261.971</v>
      </c>
      <c r="BX238" s="289">
        <v>26.901</v>
      </c>
      <c r="CC238" s="517"/>
      <c r="CD238" s="85"/>
      <c r="CE238" s="517"/>
    </row>
    <row r="239" spans="1:83" ht="13">
      <c r="A239" s="1">
        <v>3426</v>
      </c>
      <c r="B239" s="2" t="s">
        <v>840</v>
      </c>
      <c r="C239" s="289">
        <v>1553</v>
      </c>
      <c r="D239" s="289">
        <v>34</v>
      </c>
      <c r="E239" s="289">
        <v>67</v>
      </c>
      <c r="F239" s="289">
        <v>191</v>
      </c>
      <c r="G239" s="289">
        <v>155</v>
      </c>
      <c r="H239" s="289">
        <v>864</v>
      </c>
      <c r="I239" s="289">
        <v>197</v>
      </c>
      <c r="J239" s="289">
        <v>64</v>
      </c>
      <c r="K239" s="289">
        <v>25</v>
      </c>
      <c r="L239" s="289">
        <v>13</v>
      </c>
      <c r="M239" s="289">
        <v>132</v>
      </c>
      <c r="N239" s="290">
        <v>43</v>
      </c>
      <c r="O239" s="290">
        <v>31</v>
      </c>
      <c r="P239" s="624">
        <v>11217.537</v>
      </c>
      <c r="Q239" s="624">
        <v>4912.4753333299996</v>
      </c>
      <c r="R239" s="624">
        <v>9</v>
      </c>
      <c r="S239" s="289">
        <v>0</v>
      </c>
      <c r="T239" s="289">
        <v>118</v>
      </c>
      <c r="U239" s="716">
        <v>2.5724266419408326E-3</v>
      </c>
      <c r="V239" s="289">
        <v>696.32066367000004</v>
      </c>
      <c r="W239" s="743">
        <v>0.87073001999999999</v>
      </c>
      <c r="X239" s="289">
        <v>1000</v>
      </c>
      <c r="Y239" s="289">
        <v>392</v>
      </c>
      <c r="Z239" s="289">
        <v>29834</v>
      </c>
      <c r="AA239" s="289">
        <v>0</v>
      </c>
      <c r="AB239" s="290">
        <v>20</v>
      </c>
      <c r="AC239" s="289">
        <v>0</v>
      </c>
      <c r="AD239" s="289">
        <v>0</v>
      </c>
      <c r="AE239" s="289">
        <v>0</v>
      </c>
      <c r="AF239" s="289">
        <v>0</v>
      </c>
      <c r="AG239" s="289">
        <v>1597</v>
      </c>
      <c r="AH239" s="289">
        <v>236</v>
      </c>
      <c r="AI239" s="289">
        <v>0</v>
      </c>
      <c r="AJ239" s="289">
        <v>0</v>
      </c>
      <c r="AK239" s="289">
        <v>6.6797000000000004</v>
      </c>
      <c r="AL239" s="289"/>
      <c r="AM239" s="622">
        <v>3.4531319999999997E-2</v>
      </c>
      <c r="AN239" s="289">
        <v>0</v>
      </c>
      <c r="AO239" s="289">
        <v>-96.849749020000004</v>
      </c>
      <c r="AP239" s="289">
        <v>0</v>
      </c>
      <c r="AQ239" s="289">
        <v>0</v>
      </c>
      <c r="AR239" s="289">
        <v>2671.0648455300002</v>
      </c>
      <c r="AS239" s="289">
        <v>18.7376</v>
      </c>
      <c r="AT239" s="289">
        <v>59</v>
      </c>
      <c r="AU239" s="289">
        <v>16</v>
      </c>
      <c r="AV239" s="625">
        <v>67588</v>
      </c>
      <c r="AW239" s="289">
        <v>-31.069700000000001</v>
      </c>
      <c r="AX239" s="625">
        <v>9.4166666699999997</v>
      </c>
      <c r="AY239" s="289">
        <v>380</v>
      </c>
      <c r="AZ239" s="289">
        <v>96</v>
      </c>
      <c r="BA239" s="290">
        <v>18</v>
      </c>
      <c r="BB239" s="289">
        <v>5543</v>
      </c>
      <c r="BC239" s="289">
        <v>596</v>
      </c>
      <c r="BD239" s="289">
        <v>31.321300000000001</v>
      </c>
      <c r="BE239" s="289">
        <v>65223.971879249999</v>
      </c>
      <c r="BF239" s="289">
        <v>0</v>
      </c>
      <c r="BG239" s="289">
        <v>11</v>
      </c>
      <c r="BH239" s="289">
        <v>-13.011200000000001</v>
      </c>
      <c r="BI239" s="289">
        <v>628</v>
      </c>
      <c r="BJ239" s="289">
        <v>-1.6393</v>
      </c>
      <c r="BK239" s="289">
        <v>0</v>
      </c>
      <c r="BL239" s="289">
        <v>0</v>
      </c>
      <c r="BM239" s="289">
        <v>0</v>
      </c>
      <c r="BN239" s="289">
        <v>0</v>
      </c>
      <c r="BO239" s="517">
        <v>0</v>
      </c>
      <c r="BP239" s="517">
        <v>0</v>
      </c>
      <c r="BQ239" s="289">
        <f t="shared" si="6"/>
        <v>-1.6393163477999999</v>
      </c>
      <c r="BR239" s="289">
        <v>0</v>
      </c>
      <c r="BS239" s="289">
        <f t="shared" si="7"/>
        <v>0</v>
      </c>
      <c r="BT239" s="289">
        <v>4</v>
      </c>
      <c r="BU239" s="289">
        <v>0</v>
      </c>
      <c r="BV239" s="289">
        <v>23</v>
      </c>
      <c r="BW239" s="289">
        <v>157.18299999999999</v>
      </c>
      <c r="BX239" s="289">
        <v>32.591999999999999</v>
      </c>
      <c r="CC239" s="517"/>
      <c r="CD239" s="85"/>
      <c r="CE239" s="517"/>
    </row>
    <row r="240" spans="1:83" ht="13">
      <c r="A240" s="1">
        <v>3427</v>
      </c>
      <c r="B240" s="2" t="s">
        <v>841</v>
      </c>
      <c r="C240" s="289">
        <v>5605</v>
      </c>
      <c r="D240" s="289">
        <v>90</v>
      </c>
      <c r="E240" s="289">
        <v>230</v>
      </c>
      <c r="F240" s="289">
        <v>720</v>
      </c>
      <c r="G240" s="289">
        <v>562</v>
      </c>
      <c r="H240" s="289">
        <v>3042</v>
      </c>
      <c r="I240" s="289">
        <v>668</v>
      </c>
      <c r="J240" s="289">
        <v>243</v>
      </c>
      <c r="K240" s="289">
        <v>54</v>
      </c>
      <c r="L240" s="289">
        <v>46</v>
      </c>
      <c r="M240" s="289">
        <v>464</v>
      </c>
      <c r="N240" s="290">
        <v>83</v>
      </c>
      <c r="O240" s="290">
        <v>64</v>
      </c>
      <c r="P240" s="624">
        <v>51260.206666669998</v>
      </c>
      <c r="Q240" s="624">
        <v>16111.919</v>
      </c>
      <c r="R240" s="624">
        <v>44</v>
      </c>
      <c r="S240" s="289">
        <v>0</v>
      </c>
      <c r="T240" s="289">
        <v>446</v>
      </c>
      <c r="U240" s="716">
        <v>5.0374699737507876E-3</v>
      </c>
      <c r="V240" s="289">
        <v>2213.0556976500002</v>
      </c>
      <c r="W240" s="743">
        <v>0.72803695999999996</v>
      </c>
      <c r="X240" s="289">
        <v>1500</v>
      </c>
      <c r="Y240" s="289">
        <v>392</v>
      </c>
      <c r="Z240" s="289">
        <v>136219</v>
      </c>
      <c r="AA240" s="289">
        <v>0</v>
      </c>
      <c r="AB240" s="290">
        <v>109</v>
      </c>
      <c r="AC240" s="289">
        <v>0</v>
      </c>
      <c r="AD240" s="289">
        <v>0</v>
      </c>
      <c r="AE240" s="289">
        <v>0</v>
      </c>
      <c r="AF240" s="289">
        <v>0</v>
      </c>
      <c r="AG240" s="289">
        <v>5609</v>
      </c>
      <c r="AH240" s="289">
        <v>819</v>
      </c>
      <c r="AI240" s="289">
        <v>450</v>
      </c>
      <c r="AJ240" s="289">
        <v>0</v>
      </c>
      <c r="AK240" s="289">
        <v>22.2849</v>
      </c>
      <c r="AL240" s="289"/>
      <c r="AM240" s="622">
        <v>6.2215279999999998E-2</v>
      </c>
      <c r="AN240" s="289">
        <v>5819</v>
      </c>
      <c r="AO240" s="289">
        <v>-307.80917481</v>
      </c>
      <c r="AP240" s="289">
        <v>0</v>
      </c>
      <c r="AQ240" s="289">
        <v>0</v>
      </c>
      <c r="AR240" s="289">
        <v>488.84864902999999</v>
      </c>
      <c r="AS240" s="289">
        <v>62.857700000000001</v>
      </c>
      <c r="AT240" s="289">
        <v>231</v>
      </c>
      <c r="AU240" s="289">
        <v>38</v>
      </c>
      <c r="AV240" s="625">
        <v>178402</v>
      </c>
      <c r="AW240" s="289">
        <v>-109.1232</v>
      </c>
      <c r="AX240" s="625">
        <v>24.75</v>
      </c>
      <c r="AY240" s="289">
        <v>1228</v>
      </c>
      <c r="AZ240" s="289">
        <v>221</v>
      </c>
      <c r="BA240" s="290">
        <v>118</v>
      </c>
      <c r="BB240" s="289">
        <v>0</v>
      </c>
      <c r="BC240" s="289">
        <v>1191</v>
      </c>
      <c r="BD240" s="289">
        <v>108.69540000000001</v>
      </c>
      <c r="BE240" s="289">
        <v>178931.48571502999</v>
      </c>
      <c r="BF240" s="289">
        <v>0</v>
      </c>
      <c r="BG240" s="289">
        <v>11</v>
      </c>
      <c r="BH240" s="289">
        <v>-45.6982</v>
      </c>
      <c r="BI240" s="289">
        <v>1211</v>
      </c>
      <c r="BJ240" s="289">
        <v>-5.7576000000000001</v>
      </c>
      <c r="BK240" s="289">
        <v>0</v>
      </c>
      <c r="BL240" s="289">
        <v>0</v>
      </c>
      <c r="BM240" s="289">
        <v>0</v>
      </c>
      <c r="BN240" s="289">
        <v>0</v>
      </c>
      <c r="BO240" s="517">
        <v>0</v>
      </c>
      <c r="BP240" s="517">
        <v>0</v>
      </c>
      <c r="BQ240" s="289">
        <f t="shared" si="6"/>
        <v>-5.7576239165999992</v>
      </c>
      <c r="BR240" s="289">
        <v>0</v>
      </c>
      <c r="BS240" s="289">
        <f t="shared" si="7"/>
        <v>0</v>
      </c>
      <c r="BT240" s="289">
        <v>13</v>
      </c>
      <c r="BU240" s="289">
        <v>0</v>
      </c>
      <c r="BV240" s="289">
        <v>61</v>
      </c>
      <c r="BW240" s="289">
        <v>157.18299999999999</v>
      </c>
      <c r="BX240" s="289">
        <v>116.369</v>
      </c>
      <c r="CC240" s="517"/>
      <c r="CD240" s="85"/>
      <c r="CE240" s="517"/>
    </row>
    <row r="241" spans="1:83" ht="13">
      <c r="A241" s="1">
        <v>3428</v>
      </c>
      <c r="B241" s="2" t="s">
        <v>842</v>
      </c>
      <c r="C241" s="289">
        <v>2424</v>
      </c>
      <c r="D241" s="289">
        <v>52</v>
      </c>
      <c r="E241" s="289">
        <v>138</v>
      </c>
      <c r="F241" s="289">
        <v>302</v>
      </c>
      <c r="G241" s="289">
        <v>237</v>
      </c>
      <c r="H241" s="289">
        <v>1298</v>
      </c>
      <c r="I241" s="289">
        <v>279</v>
      </c>
      <c r="J241" s="289">
        <v>108</v>
      </c>
      <c r="K241" s="289">
        <v>27</v>
      </c>
      <c r="L241" s="289">
        <v>21</v>
      </c>
      <c r="M241" s="289">
        <v>194</v>
      </c>
      <c r="N241" s="290">
        <v>14</v>
      </c>
      <c r="O241" s="290">
        <v>21</v>
      </c>
      <c r="P241" s="624">
        <v>11500.439333329999</v>
      </c>
      <c r="Q241" s="624">
        <v>6967.4206666700002</v>
      </c>
      <c r="R241" s="624">
        <v>13</v>
      </c>
      <c r="S241" s="289">
        <v>0</v>
      </c>
      <c r="T241" s="289">
        <v>175</v>
      </c>
      <c r="U241" s="716">
        <v>3.1911016275586309E-3</v>
      </c>
      <c r="V241" s="289">
        <v>1005.95435654</v>
      </c>
      <c r="W241" s="743">
        <v>0.80915504999999999</v>
      </c>
      <c r="X241" s="289">
        <v>1000</v>
      </c>
      <c r="Y241" s="289">
        <v>392</v>
      </c>
      <c r="Z241" s="289">
        <v>59910</v>
      </c>
      <c r="AA241" s="289">
        <v>0</v>
      </c>
      <c r="AB241" s="290">
        <v>41</v>
      </c>
      <c r="AC241" s="289">
        <v>0</v>
      </c>
      <c r="AD241" s="289">
        <v>0</v>
      </c>
      <c r="AE241" s="289">
        <v>0</v>
      </c>
      <c r="AF241" s="289">
        <v>0</v>
      </c>
      <c r="AG241" s="289">
        <v>2441</v>
      </c>
      <c r="AH241" s="289">
        <v>380</v>
      </c>
      <c r="AI241" s="289">
        <v>700</v>
      </c>
      <c r="AJ241" s="289">
        <v>0</v>
      </c>
      <c r="AK241" s="289">
        <v>12.4834</v>
      </c>
      <c r="AL241" s="289"/>
      <c r="AM241" s="622">
        <v>1.3376559999999999E-2</v>
      </c>
      <c r="AN241" s="289">
        <v>0</v>
      </c>
      <c r="AO241" s="289">
        <v>-139.91603587</v>
      </c>
      <c r="AP241" s="289">
        <v>0</v>
      </c>
      <c r="AQ241" s="289">
        <v>0</v>
      </c>
      <c r="AR241" s="289">
        <v>746.40524717000005</v>
      </c>
      <c r="AS241" s="289">
        <v>23.136800000000001</v>
      </c>
      <c r="AT241" s="289">
        <v>108</v>
      </c>
      <c r="AU241" s="289">
        <v>9</v>
      </c>
      <c r="AV241" s="625">
        <v>86819</v>
      </c>
      <c r="AW241" s="289">
        <v>-47.489699999999999</v>
      </c>
      <c r="AX241" s="625">
        <v>11.16666667</v>
      </c>
      <c r="AY241" s="289">
        <v>432</v>
      </c>
      <c r="AZ241" s="289">
        <v>82</v>
      </c>
      <c r="BA241" s="290">
        <v>50</v>
      </c>
      <c r="BB241" s="289">
        <v>4435</v>
      </c>
      <c r="BC241" s="289">
        <v>738</v>
      </c>
      <c r="BD241" s="289">
        <v>50.432499999999997</v>
      </c>
      <c r="BE241" s="289">
        <v>86535.103815619994</v>
      </c>
      <c r="BF241" s="289">
        <v>0</v>
      </c>
      <c r="BG241" s="289">
        <v>11</v>
      </c>
      <c r="BH241" s="289">
        <v>-19.887599999999999</v>
      </c>
      <c r="BI241" s="289">
        <v>772</v>
      </c>
      <c r="BJ241" s="289">
        <v>-2.5057</v>
      </c>
      <c r="BK241" s="289">
        <v>0</v>
      </c>
      <c r="BL241" s="289">
        <v>0</v>
      </c>
      <c r="BM241" s="289">
        <v>0</v>
      </c>
      <c r="BN241" s="289">
        <v>0</v>
      </c>
      <c r="BO241" s="517">
        <v>0</v>
      </c>
      <c r="BP241" s="517">
        <v>0</v>
      </c>
      <c r="BQ241" s="289">
        <f t="shared" si="6"/>
        <v>-2.5056801534000002</v>
      </c>
      <c r="BR241" s="289">
        <v>0</v>
      </c>
      <c r="BS241" s="289">
        <f t="shared" si="7"/>
        <v>0</v>
      </c>
      <c r="BT241" s="289">
        <v>7</v>
      </c>
      <c r="BU241" s="289">
        <v>0</v>
      </c>
      <c r="BV241" s="289">
        <v>30</v>
      </c>
      <c r="BW241" s="289">
        <v>157.18299999999999</v>
      </c>
      <c r="BX241" s="289">
        <v>50.706000000000003</v>
      </c>
      <c r="CC241" s="517"/>
      <c r="CD241" s="85"/>
      <c r="CE241" s="517"/>
    </row>
    <row r="242" spans="1:83" ht="13">
      <c r="A242" s="1">
        <v>3429</v>
      </c>
      <c r="B242" s="2" t="s">
        <v>843</v>
      </c>
      <c r="C242" s="289">
        <v>1569</v>
      </c>
      <c r="D242" s="289">
        <v>18</v>
      </c>
      <c r="E242" s="289">
        <v>69</v>
      </c>
      <c r="F242" s="289">
        <v>155</v>
      </c>
      <c r="G242" s="289">
        <v>140</v>
      </c>
      <c r="H242" s="289">
        <v>818</v>
      </c>
      <c r="I242" s="289">
        <v>281</v>
      </c>
      <c r="J242" s="289">
        <v>85</v>
      </c>
      <c r="K242" s="289">
        <v>24</v>
      </c>
      <c r="L242" s="289">
        <v>14</v>
      </c>
      <c r="M242" s="289">
        <v>187</v>
      </c>
      <c r="N242" s="290">
        <v>3</v>
      </c>
      <c r="O242" s="290">
        <v>9</v>
      </c>
      <c r="P242" s="624">
        <v>10128.009</v>
      </c>
      <c r="Q242" s="624">
        <v>6017.5213333299998</v>
      </c>
      <c r="R242" s="624">
        <v>8</v>
      </c>
      <c r="S242" s="289">
        <v>0</v>
      </c>
      <c r="T242" s="289">
        <v>137</v>
      </c>
      <c r="U242" s="716">
        <v>2.5946029925163817E-3</v>
      </c>
      <c r="V242" s="289">
        <v>702.56278043999998</v>
      </c>
      <c r="W242" s="743">
        <v>1</v>
      </c>
      <c r="X242" s="289">
        <v>1200</v>
      </c>
      <c r="Y242" s="289">
        <v>392</v>
      </c>
      <c r="Z242" s="289">
        <v>32557</v>
      </c>
      <c r="AA242" s="289">
        <v>0</v>
      </c>
      <c r="AB242" s="290">
        <v>27</v>
      </c>
      <c r="AC242" s="289">
        <v>0</v>
      </c>
      <c r="AD242" s="289">
        <v>0</v>
      </c>
      <c r="AE242" s="289">
        <v>0</v>
      </c>
      <c r="AF242" s="289">
        <v>0</v>
      </c>
      <c r="AG242" s="289">
        <v>1590</v>
      </c>
      <c r="AH242" s="289">
        <v>199</v>
      </c>
      <c r="AI242" s="289">
        <v>170</v>
      </c>
      <c r="AJ242" s="289">
        <v>0</v>
      </c>
      <c r="AK242" s="289">
        <v>6.5701999999999998</v>
      </c>
      <c r="AL242" s="289"/>
      <c r="AM242" s="622">
        <v>3.85053E-3</v>
      </c>
      <c r="AN242" s="289">
        <v>0</v>
      </c>
      <c r="AO242" s="289">
        <v>-97.717951670000005</v>
      </c>
      <c r="AP242" s="289">
        <v>0</v>
      </c>
      <c r="AQ242" s="289">
        <v>0</v>
      </c>
      <c r="AR242" s="289">
        <v>-113.64397219</v>
      </c>
      <c r="AS242" s="289">
        <v>15.4551</v>
      </c>
      <c r="AT242" s="289">
        <v>63</v>
      </c>
      <c r="AU242" s="289">
        <v>8</v>
      </c>
      <c r="AV242" s="625">
        <v>66014</v>
      </c>
      <c r="AW242" s="289">
        <v>-0.80740000000000001</v>
      </c>
      <c r="AX242" s="625">
        <v>7.75</v>
      </c>
      <c r="AY242" s="289">
        <v>305</v>
      </c>
      <c r="AZ242" s="289">
        <v>19</v>
      </c>
      <c r="BA242" s="290">
        <v>18</v>
      </c>
      <c r="BB242" s="289">
        <v>5543</v>
      </c>
      <c r="BC242" s="289">
        <v>569</v>
      </c>
      <c r="BD242" s="289">
        <v>26.410699999999999</v>
      </c>
      <c r="BE242" s="289">
        <v>66470.997145600006</v>
      </c>
      <c r="BF242" s="289">
        <v>0</v>
      </c>
      <c r="BG242" s="289">
        <v>11</v>
      </c>
      <c r="BH242" s="289">
        <v>-12.9542</v>
      </c>
      <c r="BI242" s="289">
        <v>591</v>
      </c>
      <c r="BJ242" s="289">
        <v>-1.6321000000000001</v>
      </c>
      <c r="BK242" s="289">
        <v>0</v>
      </c>
      <c r="BL242" s="289">
        <v>0</v>
      </c>
      <c r="BM242" s="289">
        <v>0</v>
      </c>
      <c r="BN242" s="289">
        <v>0</v>
      </c>
      <c r="BO242" s="517">
        <v>0</v>
      </c>
      <c r="BP242" s="517">
        <v>0</v>
      </c>
      <c r="BQ242" s="289">
        <f t="shared" si="6"/>
        <v>-1.632130866</v>
      </c>
      <c r="BR242" s="289">
        <v>0</v>
      </c>
      <c r="BS242" s="289">
        <f t="shared" si="7"/>
        <v>0</v>
      </c>
      <c r="BT242" s="289">
        <v>4</v>
      </c>
      <c r="BU242" s="289">
        <v>0</v>
      </c>
      <c r="BV242" s="289">
        <v>25</v>
      </c>
      <c r="BW242" s="289">
        <v>157.18299999999999</v>
      </c>
      <c r="BX242" s="289">
        <v>32.53</v>
      </c>
      <c r="CC242" s="517"/>
      <c r="CD242" s="85"/>
      <c r="CE242" s="517"/>
    </row>
    <row r="243" spans="1:83" ht="13">
      <c r="A243" s="1">
        <v>3430</v>
      </c>
      <c r="B243" s="2" t="s">
        <v>844</v>
      </c>
      <c r="C243" s="289">
        <v>1936</v>
      </c>
      <c r="D243" s="289">
        <v>18</v>
      </c>
      <c r="E243" s="289">
        <v>61</v>
      </c>
      <c r="F243" s="289">
        <v>202</v>
      </c>
      <c r="G243" s="289">
        <v>222</v>
      </c>
      <c r="H243" s="289">
        <v>1047</v>
      </c>
      <c r="I243" s="289">
        <v>275</v>
      </c>
      <c r="J243" s="289">
        <v>107</v>
      </c>
      <c r="K243" s="289">
        <v>21</v>
      </c>
      <c r="L243" s="289">
        <v>14</v>
      </c>
      <c r="M243" s="289">
        <v>158</v>
      </c>
      <c r="N243" s="290">
        <v>25</v>
      </c>
      <c r="O243" s="290">
        <v>19</v>
      </c>
      <c r="P243" s="624">
        <v>16017.28966667</v>
      </c>
      <c r="Q243" s="624">
        <v>8167.11</v>
      </c>
      <c r="R243" s="624">
        <v>17</v>
      </c>
      <c r="S243" s="289">
        <v>0</v>
      </c>
      <c r="T243" s="289">
        <v>161</v>
      </c>
      <c r="U243" s="716">
        <v>2.7392997128817837E-3</v>
      </c>
      <c r="V243" s="289">
        <v>808.98473306999995</v>
      </c>
      <c r="W243" s="743">
        <v>0.83474155999999999</v>
      </c>
      <c r="X243" s="289">
        <v>1500</v>
      </c>
      <c r="Y243" s="289">
        <v>392</v>
      </c>
      <c r="Z243" s="289">
        <v>42580</v>
      </c>
      <c r="AA243" s="289">
        <v>0</v>
      </c>
      <c r="AB243" s="290">
        <v>31</v>
      </c>
      <c r="AC243" s="289">
        <v>0</v>
      </c>
      <c r="AD243" s="289">
        <v>0</v>
      </c>
      <c r="AE243" s="289">
        <v>0</v>
      </c>
      <c r="AF243" s="289">
        <v>0</v>
      </c>
      <c r="AG243" s="289">
        <v>1953</v>
      </c>
      <c r="AH243" s="289">
        <v>243</v>
      </c>
      <c r="AI243" s="289">
        <v>0</v>
      </c>
      <c r="AJ243" s="289">
        <v>0</v>
      </c>
      <c r="AK243" s="289">
        <v>6.1795</v>
      </c>
      <c r="AL243" s="289"/>
      <c r="AM243" s="622">
        <v>2.6856499999999998E-2</v>
      </c>
      <c r="AN243" s="289">
        <v>0</v>
      </c>
      <c r="AO243" s="289">
        <v>-112.51995302</v>
      </c>
      <c r="AP243" s="289">
        <v>0</v>
      </c>
      <c r="AQ243" s="289">
        <v>0</v>
      </c>
      <c r="AR243" s="289">
        <v>2464.1606613499998</v>
      </c>
      <c r="AS243" s="289">
        <v>21.659600000000001</v>
      </c>
      <c r="AT243" s="289">
        <v>84</v>
      </c>
      <c r="AU243" s="289">
        <v>16</v>
      </c>
      <c r="AV243" s="625">
        <v>75110</v>
      </c>
      <c r="AW243" s="289">
        <v>-37.995699999999999</v>
      </c>
      <c r="AX243" s="625">
        <v>8.2916666699999997</v>
      </c>
      <c r="AY243" s="289">
        <v>400</v>
      </c>
      <c r="AZ243" s="289">
        <v>77</v>
      </c>
      <c r="BA243" s="290">
        <v>27</v>
      </c>
      <c r="BB243" s="289">
        <v>5543</v>
      </c>
      <c r="BC243" s="289">
        <v>680</v>
      </c>
      <c r="BD243" s="289">
        <v>32.250300000000003</v>
      </c>
      <c r="BE243" s="289">
        <v>72543.106037699996</v>
      </c>
      <c r="BF243" s="289">
        <v>0</v>
      </c>
      <c r="BG243" s="289">
        <v>11</v>
      </c>
      <c r="BH243" s="289">
        <v>-15.9117</v>
      </c>
      <c r="BI243" s="289">
        <v>635</v>
      </c>
      <c r="BJ243" s="289">
        <v>-2.0047000000000001</v>
      </c>
      <c r="BK243" s="289">
        <v>0</v>
      </c>
      <c r="BL243" s="289">
        <v>0</v>
      </c>
      <c r="BM243" s="289">
        <v>0</v>
      </c>
      <c r="BN243" s="289">
        <v>0</v>
      </c>
      <c r="BO243" s="517">
        <v>0</v>
      </c>
      <c r="BP243" s="517">
        <v>0</v>
      </c>
      <c r="BQ243" s="289">
        <f t="shared" si="6"/>
        <v>-2.0047494222000002</v>
      </c>
      <c r="BR243" s="289">
        <v>0</v>
      </c>
      <c r="BS243" s="289">
        <f t="shared" si="7"/>
        <v>0</v>
      </c>
      <c r="BT243" s="289">
        <v>4</v>
      </c>
      <c r="BU243" s="289">
        <v>0</v>
      </c>
      <c r="BV243" s="289">
        <v>27</v>
      </c>
      <c r="BW243" s="289">
        <v>471.548</v>
      </c>
      <c r="BX243" s="289">
        <v>39.924999999999997</v>
      </c>
      <c r="CC243" s="517"/>
      <c r="CD243" s="85"/>
      <c r="CE243" s="517"/>
    </row>
    <row r="244" spans="1:83" ht="13">
      <c r="A244" s="1">
        <v>3431</v>
      </c>
      <c r="B244" s="2" t="s">
        <v>847</v>
      </c>
      <c r="C244" s="289">
        <v>2642</v>
      </c>
      <c r="D244" s="289">
        <v>50</v>
      </c>
      <c r="E244" s="289">
        <v>87</v>
      </c>
      <c r="F244" s="289">
        <v>257</v>
      </c>
      <c r="G244" s="289">
        <v>248</v>
      </c>
      <c r="H244" s="289">
        <v>1438</v>
      </c>
      <c r="I244" s="289">
        <v>403</v>
      </c>
      <c r="J244" s="289">
        <v>147</v>
      </c>
      <c r="K244" s="289">
        <v>36</v>
      </c>
      <c r="L244" s="289">
        <v>23</v>
      </c>
      <c r="M244" s="289">
        <v>275</v>
      </c>
      <c r="N244" s="290">
        <v>19</v>
      </c>
      <c r="O244" s="290">
        <v>29</v>
      </c>
      <c r="P244" s="624">
        <v>21535.03233333</v>
      </c>
      <c r="Q244" s="624">
        <v>6141.2280000000001</v>
      </c>
      <c r="R244" s="624">
        <v>17</v>
      </c>
      <c r="S244" s="289">
        <v>0</v>
      </c>
      <c r="T244" s="289">
        <v>240</v>
      </c>
      <c r="U244" s="716">
        <v>2.5414392641639584E-3</v>
      </c>
      <c r="V244" s="289">
        <v>1070.04423245</v>
      </c>
      <c r="W244" s="743">
        <v>0.85187389999999996</v>
      </c>
      <c r="X244" s="289">
        <v>1750</v>
      </c>
      <c r="Y244" s="289">
        <v>392</v>
      </c>
      <c r="Z244" s="289">
        <v>61104</v>
      </c>
      <c r="AA244" s="289">
        <v>0</v>
      </c>
      <c r="AB244" s="290">
        <v>53</v>
      </c>
      <c r="AC244" s="289">
        <v>172</v>
      </c>
      <c r="AD244" s="289">
        <v>0</v>
      </c>
      <c r="AE244" s="289">
        <v>0</v>
      </c>
      <c r="AF244" s="289">
        <v>0</v>
      </c>
      <c r="AG244" s="289">
        <v>2666</v>
      </c>
      <c r="AH244" s="289">
        <v>334</v>
      </c>
      <c r="AI244" s="289">
        <v>400</v>
      </c>
      <c r="AJ244" s="289">
        <v>0</v>
      </c>
      <c r="AK244" s="289">
        <v>8.6646000000000001</v>
      </c>
      <c r="AL244" s="289"/>
      <c r="AM244" s="622">
        <v>8.0729220000000004E-2</v>
      </c>
      <c r="AN244" s="289">
        <v>0</v>
      </c>
      <c r="AO244" s="289">
        <v>-148.83015938</v>
      </c>
      <c r="AP244" s="289">
        <v>0</v>
      </c>
      <c r="AQ244" s="289">
        <v>0</v>
      </c>
      <c r="AR244" s="289">
        <v>70.304793470000007</v>
      </c>
      <c r="AS244" s="289">
        <v>32.752800000000001</v>
      </c>
      <c r="AT244" s="289">
        <v>161</v>
      </c>
      <c r="AU244" s="289">
        <v>26</v>
      </c>
      <c r="AV244" s="625">
        <v>90811</v>
      </c>
      <c r="AW244" s="289">
        <v>-51.867100000000001</v>
      </c>
      <c r="AX244" s="625">
        <v>15</v>
      </c>
      <c r="AY244" s="289">
        <v>407</v>
      </c>
      <c r="AZ244" s="289">
        <v>138</v>
      </c>
      <c r="BA244" s="290">
        <v>60</v>
      </c>
      <c r="BB244" s="289">
        <v>5543</v>
      </c>
      <c r="BC244" s="289">
        <v>811</v>
      </c>
      <c r="BD244" s="289">
        <v>44.327500000000001</v>
      </c>
      <c r="BE244" s="289">
        <v>91627.684921389999</v>
      </c>
      <c r="BF244" s="289">
        <v>0</v>
      </c>
      <c r="BG244" s="289">
        <v>11</v>
      </c>
      <c r="BH244" s="289">
        <v>-21.720700000000001</v>
      </c>
      <c r="BI244" s="289">
        <v>726</v>
      </c>
      <c r="BJ244" s="289">
        <v>-2.7366000000000001</v>
      </c>
      <c r="BK244" s="289">
        <v>0</v>
      </c>
      <c r="BL244" s="289">
        <v>0</v>
      </c>
      <c r="BM244" s="289">
        <v>0</v>
      </c>
      <c r="BN244" s="289">
        <v>0</v>
      </c>
      <c r="BO244" s="517">
        <v>0</v>
      </c>
      <c r="BP244" s="517">
        <v>0</v>
      </c>
      <c r="BQ244" s="289">
        <f t="shared" si="6"/>
        <v>-2.7366420684000001</v>
      </c>
      <c r="BR244" s="289">
        <v>0</v>
      </c>
      <c r="BS244" s="289">
        <f t="shared" si="7"/>
        <v>0</v>
      </c>
      <c r="BT244" s="289">
        <v>5</v>
      </c>
      <c r="BU244" s="289">
        <v>0</v>
      </c>
      <c r="BV244" s="289">
        <v>34</v>
      </c>
      <c r="BW244" s="289">
        <v>0</v>
      </c>
      <c r="BX244" s="289">
        <v>54.881</v>
      </c>
      <c r="CC244" s="517"/>
      <c r="CD244" s="85"/>
      <c r="CE244" s="517"/>
    </row>
    <row r="245" spans="1:83" ht="13">
      <c r="A245" s="1">
        <v>3432</v>
      </c>
      <c r="B245" s="2" t="s">
        <v>848</v>
      </c>
      <c r="C245" s="289">
        <v>2038</v>
      </c>
      <c r="D245" s="289">
        <v>36</v>
      </c>
      <c r="E245" s="289">
        <v>62</v>
      </c>
      <c r="F245" s="289">
        <v>266</v>
      </c>
      <c r="G245" s="289">
        <v>179</v>
      </c>
      <c r="H245" s="289">
        <v>1073</v>
      </c>
      <c r="I245" s="289">
        <v>270</v>
      </c>
      <c r="J245" s="289">
        <v>124</v>
      </c>
      <c r="K245" s="289">
        <v>17</v>
      </c>
      <c r="L245" s="289">
        <v>17</v>
      </c>
      <c r="M245" s="289">
        <v>183</v>
      </c>
      <c r="N245" s="290">
        <v>9</v>
      </c>
      <c r="O245" s="290">
        <v>20</v>
      </c>
      <c r="P245" s="624">
        <v>27318.22633333</v>
      </c>
      <c r="Q245" s="624">
        <v>10025.68133333</v>
      </c>
      <c r="R245" s="624">
        <v>10</v>
      </c>
      <c r="S245" s="289">
        <v>0</v>
      </c>
      <c r="T245" s="289">
        <v>145</v>
      </c>
      <c r="U245" s="716">
        <v>4.0261800647914715E-3</v>
      </c>
      <c r="V245" s="289">
        <v>875.31434263999995</v>
      </c>
      <c r="W245" s="743">
        <v>1</v>
      </c>
      <c r="X245" s="289">
        <v>1000</v>
      </c>
      <c r="Y245" s="289">
        <v>0</v>
      </c>
      <c r="Z245" s="289">
        <v>49147</v>
      </c>
      <c r="AA245" s="289">
        <v>0</v>
      </c>
      <c r="AB245" s="290">
        <v>14</v>
      </c>
      <c r="AC245" s="289">
        <v>0</v>
      </c>
      <c r="AD245" s="289">
        <v>0</v>
      </c>
      <c r="AE245" s="289">
        <v>0</v>
      </c>
      <c r="AF245" s="289">
        <v>0</v>
      </c>
      <c r="AG245" s="289">
        <v>2027</v>
      </c>
      <c r="AH245" s="289">
        <v>284</v>
      </c>
      <c r="AI245" s="289">
        <v>400</v>
      </c>
      <c r="AJ245" s="289">
        <v>0</v>
      </c>
      <c r="AK245" s="289">
        <v>6.1811999999999996</v>
      </c>
      <c r="AL245" s="289"/>
      <c r="AM245" s="622">
        <v>2.1088599999999999E-2</v>
      </c>
      <c r="AN245" s="289">
        <v>0</v>
      </c>
      <c r="AO245" s="289">
        <v>-121.74559628</v>
      </c>
      <c r="AP245" s="289">
        <v>0</v>
      </c>
      <c r="AQ245" s="289">
        <v>0</v>
      </c>
      <c r="AR245" s="289">
        <v>691.50190439999994</v>
      </c>
      <c r="AS245" s="289">
        <v>17.650400000000001</v>
      </c>
      <c r="AT245" s="289">
        <v>81</v>
      </c>
      <c r="AU245" s="289">
        <v>13</v>
      </c>
      <c r="AV245" s="625">
        <v>78923</v>
      </c>
      <c r="AW245" s="289">
        <v>-39.435299999999998</v>
      </c>
      <c r="AX245" s="625">
        <v>8.6666666699999997</v>
      </c>
      <c r="AY245" s="289">
        <v>353</v>
      </c>
      <c r="AZ245" s="289">
        <v>84</v>
      </c>
      <c r="BA245" s="290">
        <v>24</v>
      </c>
      <c r="BB245" s="289">
        <v>5543</v>
      </c>
      <c r="BC245" s="289">
        <v>278</v>
      </c>
      <c r="BD245" s="289">
        <v>37.691699999999997</v>
      </c>
      <c r="BE245" s="289">
        <v>79287.771210909996</v>
      </c>
      <c r="BF245" s="289">
        <v>0</v>
      </c>
      <c r="BG245" s="289">
        <v>0</v>
      </c>
      <c r="BH245" s="289">
        <v>-16.514600000000002</v>
      </c>
      <c r="BI245" s="289">
        <v>284</v>
      </c>
      <c r="BJ245" s="289">
        <v>-2.0807000000000002</v>
      </c>
      <c r="BK245" s="289">
        <v>0</v>
      </c>
      <c r="BL245" s="289">
        <v>0</v>
      </c>
      <c r="BM245" s="289">
        <v>0</v>
      </c>
      <c r="BN245" s="289">
        <v>0</v>
      </c>
      <c r="BO245" s="517">
        <v>0</v>
      </c>
      <c r="BP245" s="517">
        <v>0</v>
      </c>
      <c r="BQ245" s="289">
        <f t="shared" si="6"/>
        <v>-2.0807102298000002</v>
      </c>
      <c r="BR245" s="289">
        <v>0</v>
      </c>
      <c r="BS245" s="289">
        <f t="shared" si="7"/>
        <v>0</v>
      </c>
      <c r="BT245" s="289">
        <v>4</v>
      </c>
      <c r="BU245" s="289">
        <v>0</v>
      </c>
      <c r="BV245" s="289">
        <v>30</v>
      </c>
      <c r="BW245" s="289">
        <v>167.66200000000001</v>
      </c>
      <c r="BX245" s="289">
        <v>42.127000000000002</v>
      </c>
      <c r="CC245" s="517"/>
      <c r="CD245" s="85"/>
      <c r="CE245" s="517"/>
    </row>
    <row r="246" spans="1:83" ht="13">
      <c r="A246" s="1">
        <v>3433</v>
      </c>
      <c r="B246" s="2" t="s">
        <v>849</v>
      </c>
      <c r="C246" s="289">
        <v>2179</v>
      </c>
      <c r="D246" s="289">
        <v>38</v>
      </c>
      <c r="E246" s="289">
        <v>66</v>
      </c>
      <c r="F246" s="289">
        <v>232</v>
      </c>
      <c r="G246" s="289">
        <v>182</v>
      </c>
      <c r="H246" s="289">
        <v>1171</v>
      </c>
      <c r="I246" s="289">
        <v>359</v>
      </c>
      <c r="J246" s="289">
        <v>133</v>
      </c>
      <c r="K246" s="289">
        <v>18</v>
      </c>
      <c r="L246" s="289">
        <v>17</v>
      </c>
      <c r="M246" s="289">
        <v>225</v>
      </c>
      <c r="N246" s="290">
        <v>23</v>
      </c>
      <c r="O246" s="290">
        <v>10</v>
      </c>
      <c r="P246" s="624">
        <v>12408.490666670001</v>
      </c>
      <c r="Q246" s="624">
        <v>6812.9936666699996</v>
      </c>
      <c r="R246" s="624">
        <v>8</v>
      </c>
      <c r="S246" s="289">
        <v>0</v>
      </c>
      <c r="T246" s="289">
        <v>190</v>
      </c>
      <c r="U246" s="716">
        <v>3.1748150440878958E-3</v>
      </c>
      <c r="V246" s="289">
        <v>861.42997943</v>
      </c>
      <c r="W246" s="743">
        <v>0.92991493999999997</v>
      </c>
      <c r="X246" s="289">
        <v>1700</v>
      </c>
      <c r="Y246" s="289">
        <v>392</v>
      </c>
      <c r="Z246" s="289">
        <v>59712</v>
      </c>
      <c r="AA246" s="289">
        <v>0</v>
      </c>
      <c r="AB246" s="290">
        <v>38</v>
      </c>
      <c r="AC246" s="289">
        <v>0</v>
      </c>
      <c r="AD246" s="289">
        <v>0</v>
      </c>
      <c r="AE246" s="289">
        <v>0</v>
      </c>
      <c r="AF246" s="289">
        <v>0</v>
      </c>
      <c r="AG246" s="289">
        <v>2199</v>
      </c>
      <c r="AH246" s="289">
        <v>261</v>
      </c>
      <c r="AI246" s="289">
        <v>600</v>
      </c>
      <c r="AJ246" s="289">
        <v>0</v>
      </c>
      <c r="AK246" s="289">
        <v>6.3967999999999998</v>
      </c>
      <c r="AL246" s="289"/>
      <c r="AM246" s="622">
        <v>2.0574149999999999E-2</v>
      </c>
      <c r="AN246" s="289">
        <v>0</v>
      </c>
      <c r="AO246" s="289">
        <v>-119.81444995</v>
      </c>
      <c r="AP246" s="289">
        <v>0</v>
      </c>
      <c r="AQ246" s="289">
        <v>0</v>
      </c>
      <c r="AR246" s="289">
        <v>-73.208247689999993</v>
      </c>
      <c r="AS246" s="289">
        <v>23.849</v>
      </c>
      <c r="AT246" s="289">
        <v>86</v>
      </c>
      <c r="AU246" s="289">
        <v>20</v>
      </c>
      <c r="AV246" s="625">
        <v>72580</v>
      </c>
      <c r="AW246" s="289">
        <v>-42.781599999999997</v>
      </c>
      <c r="AX246" s="625">
        <v>7.4166666699999997</v>
      </c>
      <c r="AY246" s="289">
        <v>344</v>
      </c>
      <c r="AZ246" s="289">
        <v>58</v>
      </c>
      <c r="BA246" s="290">
        <v>40</v>
      </c>
      <c r="BB246" s="289">
        <v>5543</v>
      </c>
      <c r="BC246" s="289">
        <v>739</v>
      </c>
      <c r="BD246" s="289">
        <v>34.639200000000002</v>
      </c>
      <c r="BE246" s="289">
        <v>73809.465404439994</v>
      </c>
      <c r="BF246" s="289">
        <v>0</v>
      </c>
      <c r="BG246" s="289">
        <v>11</v>
      </c>
      <c r="BH246" s="289">
        <v>-17.915900000000001</v>
      </c>
      <c r="BI246" s="289">
        <v>653</v>
      </c>
      <c r="BJ246" s="289">
        <v>-2.2572999999999999</v>
      </c>
      <c r="BK246" s="289">
        <v>0</v>
      </c>
      <c r="BL246" s="289">
        <v>0</v>
      </c>
      <c r="BM246" s="289">
        <v>0</v>
      </c>
      <c r="BN246" s="289">
        <v>0</v>
      </c>
      <c r="BO246" s="517">
        <v>0</v>
      </c>
      <c r="BP246" s="517">
        <v>0</v>
      </c>
      <c r="BQ246" s="289">
        <f t="shared" si="6"/>
        <v>-2.2572677826000001</v>
      </c>
      <c r="BR246" s="289">
        <v>0</v>
      </c>
      <c r="BS246" s="289">
        <f t="shared" si="7"/>
        <v>0</v>
      </c>
      <c r="BT246" s="289">
        <v>4</v>
      </c>
      <c r="BU246" s="289">
        <v>0</v>
      </c>
      <c r="BV246" s="289">
        <v>30</v>
      </c>
      <c r="BW246" s="289">
        <v>104.788</v>
      </c>
      <c r="BX246" s="289">
        <v>45.451000000000001</v>
      </c>
      <c r="CC246" s="517"/>
      <c r="CD246" s="85"/>
      <c r="CE246" s="517"/>
    </row>
    <row r="247" spans="1:83" ht="13">
      <c r="A247" s="1">
        <v>3434</v>
      </c>
      <c r="B247" s="2" t="s">
        <v>850</v>
      </c>
      <c r="C247" s="289">
        <v>2331</v>
      </c>
      <c r="D247" s="289">
        <v>46</v>
      </c>
      <c r="E247" s="289">
        <v>103</v>
      </c>
      <c r="F247" s="289">
        <v>247</v>
      </c>
      <c r="G247" s="289">
        <v>212</v>
      </c>
      <c r="H247" s="289">
        <v>1290</v>
      </c>
      <c r="I247" s="289">
        <v>306</v>
      </c>
      <c r="J247" s="289">
        <v>125</v>
      </c>
      <c r="K247" s="289">
        <v>27</v>
      </c>
      <c r="L247" s="289">
        <v>18</v>
      </c>
      <c r="M247" s="289">
        <v>215</v>
      </c>
      <c r="N247" s="290">
        <v>13</v>
      </c>
      <c r="O247" s="290">
        <v>11</v>
      </c>
      <c r="P247" s="624">
        <v>17616.586666669999</v>
      </c>
      <c r="Q247" s="624">
        <v>8414.2693333299994</v>
      </c>
      <c r="R247" s="624">
        <v>8</v>
      </c>
      <c r="S247" s="289">
        <v>0</v>
      </c>
      <c r="T247" s="289">
        <v>165</v>
      </c>
      <c r="U247" s="716">
        <v>3.1337731237769113E-3</v>
      </c>
      <c r="V247" s="289">
        <v>923.95119795999994</v>
      </c>
      <c r="W247" s="743">
        <v>0.85841944999999997</v>
      </c>
      <c r="X247" s="289">
        <v>800</v>
      </c>
      <c r="Y247" s="289">
        <v>392</v>
      </c>
      <c r="Z247" s="289">
        <v>53712</v>
      </c>
      <c r="AA247" s="289">
        <v>0</v>
      </c>
      <c r="AB247" s="290">
        <v>29</v>
      </c>
      <c r="AC247" s="289">
        <v>0</v>
      </c>
      <c r="AD247" s="289">
        <v>0</v>
      </c>
      <c r="AE247" s="289">
        <v>0</v>
      </c>
      <c r="AF247" s="289">
        <v>0</v>
      </c>
      <c r="AG247" s="289">
        <v>2356</v>
      </c>
      <c r="AH247" s="289">
        <v>310</v>
      </c>
      <c r="AI247" s="289">
        <v>300</v>
      </c>
      <c r="AJ247" s="289">
        <v>0</v>
      </c>
      <c r="AK247" s="289">
        <v>10.036199999999999</v>
      </c>
      <c r="AL247" s="289"/>
      <c r="AM247" s="622">
        <v>1.2316860000000001E-2</v>
      </c>
      <c r="AN247" s="289">
        <v>0</v>
      </c>
      <c r="AO247" s="289">
        <v>-128.51039227000001</v>
      </c>
      <c r="AP247" s="289">
        <v>0</v>
      </c>
      <c r="AQ247" s="289">
        <v>0</v>
      </c>
      <c r="AR247" s="289">
        <v>-168.39320660000001</v>
      </c>
      <c r="AS247" s="289">
        <v>21.2013</v>
      </c>
      <c r="AT247" s="289">
        <v>98</v>
      </c>
      <c r="AU247" s="289">
        <v>14</v>
      </c>
      <c r="AV247" s="625">
        <v>76178</v>
      </c>
      <c r="AW247" s="289">
        <v>-1.1963999999999999</v>
      </c>
      <c r="AX247" s="625">
        <v>16.791666660000001</v>
      </c>
      <c r="AY247" s="289">
        <v>407</v>
      </c>
      <c r="AZ247" s="289">
        <v>50</v>
      </c>
      <c r="BA247" s="290">
        <v>36</v>
      </c>
      <c r="BB247" s="289">
        <v>5543</v>
      </c>
      <c r="BC247" s="289">
        <v>660</v>
      </c>
      <c r="BD247" s="289">
        <v>41.142299999999999</v>
      </c>
      <c r="BE247" s="289">
        <v>77811.10358209</v>
      </c>
      <c r="BF247" s="289">
        <v>0</v>
      </c>
      <c r="BG247" s="289">
        <v>11</v>
      </c>
      <c r="BH247" s="289">
        <v>-19.1951</v>
      </c>
      <c r="BI247" s="289">
        <v>702</v>
      </c>
      <c r="BJ247" s="289">
        <v>-2.4184000000000001</v>
      </c>
      <c r="BK247" s="289">
        <v>0</v>
      </c>
      <c r="BL247" s="289">
        <v>0</v>
      </c>
      <c r="BM247" s="289">
        <v>0</v>
      </c>
      <c r="BN247" s="289">
        <v>0</v>
      </c>
      <c r="BO247" s="517">
        <v>0</v>
      </c>
      <c r="BP247" s="517">
        <v>0</v>
      </c>
      <c r="BQ247" s="289">
        <f t="shared" si="6"/>
        <v>-2.4184278743999998</v>
      </c>
      <c r="BR247" s="289">
        <v>0</v>
      </c>
      <c r="BS247" s="289">
        <f t="shared" si="7"/>
        <v>0</v>
      </c>
      <c r="BT247" s="289">
        <v>6</v>
      </c>
      <c r="BU247" s="289">
        <v>0</v>
      </c>
      <c r="BV247" s="289">
        <v>31</v>
      </c>
      <c r="BW247" s="289">
        <v>0</v>
      </c>
      <c r="BX247" s="289">
        <v>48.213000000000001</v>
      </c>
      <c r="CC247" s="517"/>
      <c r="CD247" s="85"/>
      <c r="CE247" s="517"/>
    </row>
    <row r="248" spans="1:83" ht="13">
      <c r="A248" s="1">
        <v>3435</v>
      </c>
      <c r="B248" s="2" t="s">
        <v>851</v>
      </c>
      <c r="C248" s="289">
        <v>3638</v>
      </c>
      <c r="D248" s="289">
        <v>48</v>
      </c>
      <c r="E248" s="289">
        <v>135</v>
      </c>
      <c r="F248" s="289">
        <v>419</v>
      </c>
      <c r="G248" s="289">
        <v>324</v>
      </c>
      <c r="H248" s="289">
        <v>1927</v>
      </c>
      <c r="I248" s="289">
        <v>541</v>
      </c>
      <c r="J248" s="289">
        <v>185</v>
      </c>
      <c r="K248" s="289">
        <v>47</v>
      </c>
      <c r="L248" s="289">
        <v>31</v>
      </c>
      <c r="M248" s="289">
        <v>345</v>
      </c>
      <c r="N248" s="290">
        <v>24</v>
      </c>
      <c r="O248" s="290">
        <v>23</v>
      </c>
      <c r="P248" s="624">
        <v>22187.78866667</v>
      </c>
      <c r="Q248" s="624">
        <v>12264.034333330001</v>
      </c>
      <c r="R248" s="624">
        <v>23</v>
      </c>
      <c r="S248" s="289">
        <v>0</v>
      </c>
      <c r="T248" s="289">
        <v>300</v>
      </c>
      <c r="U248" s="716">
        <v>3.839513197815793E-3</v>
      </c>
      <c r="V248" s="289">
        <v>1424.4433153800001</v>
      </c>
      <c r="W248" s="743">
        <v>0.76139230000000002</v>
      </c>
      <c r="X248" s="289">
        <v>1600</v>
      </c>
      <c r="Y248" s="289">
        <v>392</v>
      </c>
      <c r="Z248" s="289">
        <v>88200</v>
      </c>
      <c r="AA248" s="289">
        <v>0</v>
      </c>
      <c r="AB248" s="290">
        <v>50</v>
      </c>
      <c r="AC248" s="289">
        <v>0</v>
      </c>
      <c r="AD248" s="289">
        <v>0</v>
      </c>
      <c r="AE248" s="289">
        <v>0</v>
      </c>
      <c r="AF248" s="289">
        <v>0</v>
      </c>
      <c r="AG248" s="289">
        <v>3626</v>
      </c>
      <c r="AH248" s="289">
        <v>472</v>
      </c>
      <c r="AI248" s="289">
        <v>895</v>
      </c>
      <c r="AJ248" s="289">
        <v>0</v>
      </c>
      <c r="AK248" s="289">
        <v>12.2895</v>
      </c>
      <c r="AL248" s="289"/>
      <c r="AM248" s="622">
        <v>4.8045600000000001E-2</v>
      </c>
      <c r="AN248" s="289">
        <v>5158</v>
      </c>
      <c r="AO248" s="289">
        <v>-198.12276840999999</v>
      </c>
      <c r="AP248" s="289">
        <v>0</v>
      </c>
      <c r="AQ248" s="289">
        <v>0</v>
      </c>
      <c r="AR248" s="289">
        <v>2694.7828814999998</v>
      </c>
      <c r="AS248" s="289">
        <v>37.303899999999999</v>
      </c>
      <c r="AT248" s="289">
        <v>155</v>
      </c>
      <c r="AU248" s="289">
        <v>37</v>
      </c>
      <c r="AV248" s="625">
        <v>122192</v>
      </c>
      <c r="AW248" s="289">
        <v>-70.543899999999994</v>
      </c>
      <c r="AX248" s="625">
        <v>6.6666666699999997</v>
      </c>
      <c r="AY248" s="289">
        <v>585</v>
      </c>
      <c r="AZ248" s="289">
        <v>111</v>
      </c>
      <c r="BA248" s="290">
        <v>69</v>
      </c>
      <c r="BB248" s="289">
        <v>0</v>
      </c>
      <c r="BC248" s="289">
        <v>922</v>
      </c>
      <c r="BD248" s="289">
        <v>62.642499999999998</v>
      </c>
      <c r="BE248" s="289">
        <v>116885.46526682</v>
      </c>
      <c r="BF248" s="289">
        <v>0</v>
      </c>
      <c r="BG248" s="289">
        <v>11</v>
      </c>
      <c r="BH248" s="289">
        <v>-29.542100000000001</v>
      </c>
      <c r="BI248" s="289">
        <v>864</v>
      </c>
      <c r="BJ248" s="289">
        <v>-3.7221000000000002</v>
      </c>
      <c r="BK248" s="289">
        <v>0</v>
      </c>
      <c r="BL248" s="289">
        <v>0</v>
      </c>
      <c r="BM248" s="289">
        <v>0</v>
      </c>
      <c r="BN248" s="289">
        <v>0</v>
      </c>
      <c r="BO248" s="517">
        <v>0</v>
      </c>
      <c r="BP248" s="517">
        <v>0</v>
      </c>
      <c r="BQ248" s="289">
        <f t="shared" si="6"/>
        <v>-3.7220795723999998</v>
      </c>
      <c r="BR248" s="289">
        <v>0</v>
      </c>
      <c r="BS248" s="289">
        <f t="shared" si="7"/>
        <v>0</v>
      </c>
      <c r="BT248" s="289">
        <v>7</v>
      </c>
      <c r="BU248" s="289">
        <v>0</v>
      </c>
      <c r="BV248" s="289">
        <v>43</v>
      </c>
      <c r="BW248" s="289">
        <v>188.619</v>
      </c>
      <c r="BX248" s="289">
        <v>75.341999999999999</v>
      </c>
      <c r="CC248" s="517"/>
      <c r="CD248" s="85"/>
      <c r="CE248" s="517"/>
    </row>
    <row r="249" spans="1:83" ht="13">
      <c r="A249" s="1">
        <v>3436</v>
      </c>
      <c r="B249" s="2" t="s">
        <v>852</v>
      </c>
      <c r="C249" s="289">
        <v>5728</v>
      </c>
      <c r="D249" s="289">
        <v>94</v>
      </c>
      <c r="E249" s="289">
        <v>214</v>
      </c>
      <c r="F249" s="289">
        <v>620</v>
      </c>
      <c r="G249" s="289">
        <v>517</v>
      </c>
      <c r="H249" s="289">
        <v>3086</v>
      </c>
      <c r="I249" s="289">
        <v>888</v>
      </c>
      <c r="J249" s="289">
        <v>262</v>
      </c>
      <c r="K249" s="289">
        <v>52</v>
      </c>
      <c r="L249" s="289">
        <v>50</v>
      </c>
      <c r="M249" s="289">
        <v>562</v>
      </c>
      <c r="N249" s="290">
        <v>50</v>
      </c>
      <c r="O249" s="290">
        <v>48</v>
      </c>
      <c r="P249" s="624">
        <v>46725.387666670002</v>
      </c>
      <c r="Q249" s="624">
        <v>14540.584000000001</v>
      </c>
      <c r="R249" s="624">
        <v>35</v>
      </c>
      <c r="S249" s="289">
        <v>0</v>
      </c>
      <c r="T249" s="289">
        <v>517</v>
      </c>
      <c r="U249" s="716">
        <v>4.459144844637981E-3</v>
      </c>
      <c r="V249" s="289">
        <v>2060.3226609500002</v>
      </c>
      <c r="W249" s="743">
        <v>0.67498475000000002</v>
      </c>
      <c r="X249" s="289">
        <v>1000</v>
      </c>
      <c r="Y249" s="289">
        <v>392</v>
      </c>
      <c r="Z249" s="289">
        <v>163384</v>
      </c>
      <c r="AA249" s="289">
        <v>0</v>
      </c>
      <c r="AB249" s="290">
        <v>118</v>
      </c>
      <c r="AC249" s="289">
        <v>0</v>
      </c>
      <c r="AD249" s="289">
        <v>0</v>
      </c>
      <c r="AE249" s="289">
        <v>0</v>
      </c>
      <c r="AF249" s="289">
        <v>0</v>
      </c>
      <c r="AG249" s="289">
        <v>5733</v>
      </c>
      <c r="AH249" s="289">
        <v>746</v>
      </c>
      <c r="AI249" s="289">
        <v>480</v>
      </c>
      <c r="AJ249" s="289">
        <v>0</v>
      </c>
      <c r="AK249" s="289">
        <v>20.5855</v>
      </c>
      <c r="AL249" s="289"/>
      <c r="AM249" s="622">
        <v>0.12343252</v>
      </c>
      <c r="AN249" s="289">
        <v>7422</v>
      </c>
      <c r="AO249" s="289">
        <v>-298.49960215999999</v>
      </c>
      <c r="AP249" s="289">
        <v>0</v>
      </c>
      <c r="AQ249" s="289">
        <v>0</v>
      </c>
      <c r="AR249" s="289">
        <v>-409.76156766000003</v>
      </c>
      <c r="AS249" s="289">
        <v>68.614199999999997</v>
      </c>
      <c r="AT249" s="289">
        <v>282</v>
      </c>
      <c r="AU249" s="289">
        <v>64</v>
      </c>
      <c r="AV249" s="625">
        <v>161737</v>
      </c>
      <c r="AW249" s="289">
        <v>-2.9112</v>
      </c>
      <c r="AX249" s="625">
        <v>28.458333329999999</v>
      </c>
      <c r="AY249" s="289">
        <v>912</v>
      </c>
      <c r="AZ249" s="289">
        <v>224</v>
      </c>
      <c r="BA249" s="290">
        <v>125</v>
      </c>
      <c r="BB249" s="289">
        <v>0</v>
      </c>
      <c r="BC249" s="289">
        <v>1093</v>
      </c>
      <c r="BD249" s="289">
        <v>99.007000000000005</v>
      </c>
      <c r="BE249" s="289">
        <v>166957.87493503001</v>
      </c>
      <c r="BF249" s="289">
        <v>0</v>
      </c>
      <c r="BG249" s="289">
        <v>11</v>
      </c>
      <c r="BH249" s="289">
        <v>-46.708500000000001</v>
      </c>
      <c r="BI249" s="289">
        <v>1138</v>
      </c>
      <c r="BJ249" s="289">
        <v>-5.8849</v>
      </c>
      <c r="BK249" s="289">
        <v>0</v>
      </c>
      <c r="BL249" s="289">
        <v>0</v>
      </c>
      <c r="BM249" s="289">
        <v>0</v>
      </c>
      <c r="BN249" s="289">
        <v>0</v>
      </c>
      <c r="BO249" s="517">
        <v>0</v>
      </c>
      <c r="BP249" s="517">
        <v>0</v>
      </c>
      <c r="BQ249" s="289">
        <f t="shared" si="6"/>
        <v>-5.8849095942000007</v>
      </c>
      <c r="BR249" s="289">
        <v>0</v>
      </c>
      <c r="BS249" s="289">
        <f t="shared" si="7"/>
        <v>0</v>
      </c>
      <c r="BT249" s="289">
        <v>12</v>
      </c>
      <c r="BU249" s="289">
        <v>0</v>
      </c>
      <c r="BV249" s="289">
        <v>64</v>
      </c>
      <c r="BW249" s="289">
        <v>17.814</v>
      </c>
      <c r="BX249" s="289">
        <v>119.36</v>
      </c>
      <c r="CC249" s="517"/>
      <c r="CD249" s="85"/>
      <c r="CE249" s="517"/>
    </row>
    <row r="250" spans="1:83" ht="13">
      <c r="A250" s="1">
        <v>3437</v>
      </c>
      <c r="B250" s="2" t="s">
        <v>853</v>
      </c>
      <c r="C250" s="289">
        <v>5872</v>
      </c>
      <c r="D250" s="289">
        <v>94</v>
      </c>
      <c r="E250" s="289">
        <v>212</v>
      </c>
      <c r="F250" s="289">
        <v>644</v>
      </c>
      <c r="G250" s="289">
        <v>545</v>
      </c>
      <c r="H250" s="289">
        <v>3195</v>
      </c>
      <c r="I250" s="289">
        <v>830</v>
      </c>
      <c r="J250" s="289">
        <v>312</v>
      </c>
      <c r="K250" s="289">
        <v>69</v>
      </c>
      <c r="L250" s="289">
        <v>47</v>
      </c>
      <c r="M250" s="289">
        <v>527</v>
      </c>
      <c r="N250" s="290">
        <v>45</v>
      </c>
      <c r="O250" s="290">
        <v>50</v>
      </c>
      <c r="P250" s="624">
        <v>69457.668999999994</v>
      </c>
      <c r="Q250" s="624">
        <v>14965.20966667</v>
      </c>
      <c r="R250" s="624">
        <v>39</v>
      </c>
      <c r="S250" s="289">
        <v>0</v>
      </c>
      <c r="T250" s="289">
        <v>492</v>
      </c>
      <c r="U250" s="716">
        <v>3.552686042555743E-3</v>
      </c>
      <c r="V250" s="289">
        <v>2257.0448520700002</v>
      </c>
      <c r="W250" s="743">
        <v>0.72703717999999995</v>
      </c>
      <c r="X250" s="289">
        <v>500</v>
      </c>
      <c r="Y250" s="289">
        <v>392</v>
      </c>
      <c r="Z250" s="289">
        <v>120218</v>
      </c>
      <c r="AA250" s="289">
        <v>0</v>
      </c>
      <c r="AB250" s="290">
        <v>126</v>
      </c>
      <c r="AC250" s="289">
        <v>0</v>
      </c>
      <c r="AD250" s="289">
        <v>0</v>
      </c>
      <c r="AE250" s="289">
        <v>0</v>
      </c>
      <c r="AF250" s="289">
        <v>0</v>
      </c>
      <c r="AG250" s="289">
        <v>5901</v>
      </c>
      <c r="AH250" s="289">
        <v>771</v>
      </c>
      <c r="AI250" s="289">
        <v>865</v>
      </c>
      <c r="AJ250" s="289">
        <v>0</v>
      </c>
      <c r="AK250" s="289">
        <v>20.764199999999999</v>
      </c>
      <c r="AL250" s="289"/>
      <c r="AM250" s="622">
        <v>0.15905769</v>
      </c>
      <c r="AN250" s="289">
        <v>7632</v>
      </c>
      <c r="AO250" s="289">
        <v>-313.92753204000002</v>
      </c>
      <c r="AP250" s="289">
        <v>0</v>
      </c>
      <c r="AQ250" s="289">
        <v>0</v>
      </c>
      <c r="AR250" s="289">
        <v>2453.4169327300001</v>
      </c>
      <c r="AS250" s="289">
        <v>70.231700000000004</v>
      </c>
      <c r="AT250" s="289">
        <v>277</v>
      </c>
      <c r="AU250" s="289">
        <v>77</v>
      </c>
      <c r="AV250" s="625">
        <v>180287</v>
      </c>
      <c r="AW250" s="289">
        <v>-114.80410000000001</v>
      </c>
      <c r="AX250" s="625">
        <v>34.416666659999997</v>
      </c>
      <c r="AY250" s="289">
        <v>892</v>
      </c>
      <c r="AZ250" s="289">
        <v>261</v>
      </c>
      <c r="BA250" s="290">
        <v>97</v>
      </c>
      <c r="BB250" s="289">
        <v>0</v>
      </c>
      <c r="BC250" s="289">
        <v>1246</v>
      </c>
      <c r="BD250" s="289">
        <v>102.3249</v>
      </c>
      <c r="BE250" s="289">
        <v>178310.79584951999</v>
      </c>
      <c r="BF250" s="289">
        <v>0</v>
      </c>
      <c r="BG250" s="289">
        <v>11</v>
      </c>
      <c r="BH250" s="289">
        <v>-48.077300000000001</v>
      </c>
      <c r="BI250" s="289">
        <v>1163</v>
      </c>
      <c r="BJ250" s="289">
        <v>-6.0574000000000003</v>
      </c>
      <c r="BK250" s="289">
        <v>0</v>
      </c>
      <c r="BL250" s="289">
        <v>0</v>
      </c>
      <c r="BM250" s="289">
        <v>0</v>
      </c>
      <c r="BN250" s="289">
        <v>0</v>
      </c>
      <c r="BO250" s="517">
        <v>0</v>
      </c>
      <c r="BP250" s="517">
        <v>0</v>
      </c>
      <c r="BQ250" s="289">
        <f t="shared" si="6"/>
        <v>-6.0573611573999999</v>
      </c>
      <c r="BR250" s="289">
        <v>0</v>
      </c>
      <c r="BS250" s="289">
        <f t="shared" si="7"/>
        <v>0</v>
      </c>
      <c r="BT250" s="289">
        <v>12</v>
      </c>
      <c r="BU250" s="289">
        <v>0</v>
      </c>
      <c r="BV250" s="289">
        <v>67</v>
      </c>
      <c r="BW250" s="289">
        <v>261.971</v>
      </c>
      <c r="BX250" s="289">
        <v>121.25</v>
      </c>
      <c r="CC250" s="517"/>
      <c r="CD250" s="85"/>
      <c r="CE250" s="517"/>
    </row>
    <row r="251" spans="1:83" ht="13">
      <c r="A251" s="1">
        <v>3438</v>
      </c>
      <c r="B251" s="2" t="s">
        <v>854</v>
      </c>
      <c r="C251" s="289">
        <v>3146</v>
      </c>
      <c r="D251" s="289">
        <v>41</v>
      </c>
      <c r="E251" s="289">
        <v>136</v>
      </c>
      <c r="F251" s="289">
        <v>376</v>
      </c>
      <c r="G251" s="289">
        <v>269</v>
      </c>
      <c r="H251" s="289">
        <v>1710</v>
      </c>
      <c r="I251" s="289">
        <v>432</v>
      </c>
      <c r="J251" s="289">
        <v>151</v>
      </c>
      <c r="K251" s="289">
        <v>40</v>
      </c>
      <c r="L251" s="289">
        <v>29</v>
      </c>
      <c r="M251" s="289">
        <v>275</v>
      </c>
      <c r="N251" s="290">
        <v>27</v>
      </c>
      <c r="O251" s="290">
        <v>22</v>
      </c>
      <c r="P251" s="624">
        <v>16317.72033333</v>
      </c>
      <c r="Q251" s="624">
        <v>10096.303666670001</v>
      </c>
      <c r="R251" s="624">
        <v>11</v>
      </c>
      <c r="S251" s="289">
        <v>0</v>
      </c>
      <c r="T251" s="289">
        <v>249</v>
      </c>
      <c r="U251" s="716">
        <v>3.5122719561690593E-3</v>
      </c>
      <c r="V251" s="289">
        <v>615.84872989999997</v>
      </c>
      <c r="W251" s="743">
        <v>0.67018253000000005</v>
      </c>
      <c r="X251" s="289">
        <v>500</v>
      </c>
      <c r="Y251" s="289">
        <v>0</v>
      </c>
      <c r="Z251" s="289">
        <v>85416</v>
      </c>
      <c r="AA251" s="289">
        <v>0</v>
      </c>
      <c r="AB251" s="290">
        <v>72</v>
      </c>
      <c r="AC251" s="289">
        <v>1365</v>
      </c>
      <c r="AD251" s="289">
        <v>0</v>
      </c>
      <c r="AE251" s="289">
        <v>0</v>
      </c>
      <c r="AF251" s="289">
        <v>0</v>
      </c>
      <c r="AG251" s="289">
        <v>3155</v>
      </c>
      <c r="AH251" s="289">
        <v>435</v>
      </c>
      <c r="AI251" s="289">
        <v>450</v>
      </c>
      <c r="AJ251" s="289">
        <v>670.96199999999999</v>
      </c>
      <c r="AK251" s="289">
        <v>12.525</v>
      </c>
      <c r="AL251" s="289"/>
      <c r="AM251" s="622">
        <v>4.0346569999999998E-2</v>
      </c>
      <c r="AN251" s="289">
        <v>0</v>
      </c>
      <c r="AO251" s="289">
        <v>-169.19324721000001</v>
      </c>
      <c r="AP251" s="289">
        <v>0</v>
      </c>
      <c r="AQ251" s="289">
        <v>0</v>
      </c>
      <c r="AR251" s="289">
        <v>-225.50108947999999</v>
      </c>
      <c r="AS251" s="289">
        <v>34.799999999999997</v>
      </c>
      <c r="AT251" s="289">
        <v>138</v>
      </c>
      <c r="AU251" s="289">
        <v>25</v>
      </c>
      <c r="AV251" s="625">
        <v>96146</v>
      </c>
      <c r="AW251" s="289">
        <v>-1.6021000000000001</v>
      </c>
      <c r="AX251" s="625">
        <v>12.54166667</v>
      </c>
      <c r="AY251" s="289">
        <v>484</v>
      </c>
      <c r="AZ251" s="289">
        <v>117</v>
      </c>
      <c r="BA251" s="290">
        <v>60</v>
      </c>
      <c r="BB251" s="289">
        <v>5543</v>
      </c>
      <c r="BC251" s="289">
        <v>417</v>
      </c>
      <c r="BD251" s="289">
        <v>57.731999999999999</v>
      </c>
      <c r="BE251" s="289">
        <v>97640.647943949996</v>
      </c>
      <c r="BF251" s="289">
        <v>0</v>
      </c>
      <c r="BG251" s="289">
        <v>0</v>
      </c>
      <c r="BH251" s="289">
        <v>-25.704799999999999</v>
      </c>
      <c r="BI251" s="289">
        <v>435</v>
      </c>
      <c r="BJ251" s="289">
        <v>-3.2385999999999999</v>
      </c>
      <c r="BK251" s="289">
        <v>0</v>
      </c>
      <c r="BL251" s="289">
        <v>0</v>
      </c>
      <c r="BM251" s="289">
        <v>0</v>
      </c>
      <c r="BN251" s="289">
        <v>0</v>
      </c>
      <c r="BO251" s="517">
        <v>0</v>
      </c>
      <c r="BP251" s="517">
        <v>0</v>
      </c>
      <c r="BQ251" s="289">
        <f t="shared" si="6"/>
        <v>-3.2385992970000004</v>
      </c>
      <c r="BR251" s="289">
        <v>0</v>
      </c>
      <c r="BS251" s="289">
        <f t="shared" si="7"/>
        <v>0</v>
      </c>
      <c r="BT251" s="289">
        <v>7</v>
      </c>
      <c r="BU251" s="289">
        <v>0</v>
      </c>
      <c r="BV251" s="289">
        <v>37</v>
      </c>
      <c r="BW251" s="289">
        <v>261.971</v>
      </c>
      <c r="BX251" s="289">
        <v>64.977000000000004</v>
      </c>
      <c r="CC251" s="517"/>
      <c r="CD251" s="85"/>
      <c r="CE251" s="517"/>
    </row>
    <row r="252" spans="1:83" ht="13">
      <c r="A252" s="1">
        <v>3439</v>
      </c>
      <c r="B252" s="2" t="s">
        <v>855</v>
      </c>
      <c r="C252" s="289">
        <v>4454</v>
      </c>
      <c r="D252" s="289">
        <v>71</v>
      </c>
      <c r="E252" s="289">
        <v>147</v>
      </c>
      <c r="F252" s="289">
        <v>475</v>
      </c>
      <c r="G252" s="289">
        <v>395</v>
      </c>
      <c r="H252" s="289">
        <v>2414</v>
      </c>
      <c r="I252" s="289">
        <v>679</v>
      </c>
      <c r="J252" s="289">
        <v>225</v>
      </c>
      <c r="K252" s="289">
        <v>66</v>
      </c>
      <c r="L252" s="289">
        <v>34</v>
      </c>
      <c r="M252" s="289">
        <v>437</v>
      </c>
      <c r="N252" s="290">
        <v>36</v>
      </c>
      <c r="O252" s="290">
        <v>49</v>
      </c>
      <c r="P252" s="624">
        <v>21774.705000000002</v>
      </c>
      <c r="Q252" s="624">
        <v>12219.05933333</v>
      </c>
      <c r="R252" s="624">
        <v>24</v>
      </c>
      <c r="S252" s="289">
        <v>0</v>
      </c>
      <c r="T252" s="289">
        <v>355</v>
      </c>
      <c r="U252" s="716">
        <v>4.6659180927092489E-3</v>
      </c>
      <c r="V252" s="289">
        <v>-1492.4367163100001</v>
      </c>
      <c r="W252" s="743">
        <v>0.70452197000000005</v>
      </c>
      <c r="X252" s="289">
        <v>1000</v>
      </c>
      <c r="Y252" s="289">
        <v>392</v>
      </c>
      <c r="Z252" s="289">
        <v>110978</v>
      </c>
      <c r="AA252" s="289">
        <v>0</v>
      </c>
      <c r="AB252" s="290">
        <v>78</v>
      </c>
      <c r="AC252" s="289">
        <v>0</v>
      </c>
      <c r="AD252" s="289">
        <v>0</v>
      </c>
      <c r="AE252" s="289">
        <v>0</v>
      </c>
      <c r="AF252" s="289">
        <v>0</v>
      </c>
      <c r="AG252" s="289">
        <v>4472</v>
      </c>
      <c r="AH252" s="289">
        <v>568</v>
      </c>
      <c r="AI252" s="289">
        <v>920</v>
      </c>
      <c r="AJ252" s="289">
        <v>0</v>
      </c>
      <c r="AK252" s="289">
        <v>14.7668</v>
      </c>
      <c r="AL252" s="289"/>
      <c r="AM252" s="622">
        <v>5.7540939999999999E-2</v>
      </c>
      <c r="AN252" s="289">
        <v>6095</v>
      </c>
      <c r="AO252" s="289">
        <v>-233.96848656</v>
      </c>
      <c r="AP252" s="289">
        <v>0</v>
      </c>
      <c r="AQ252" s="289">
        <v>0</v>
      </c>
      <c r="AR252" s="289">
        <v>8907.4995875099994</v>
      </c>
      <c r="AS252" s="289">
        <v>47.167200000000001</v>
      </c>
      <c r="AT252" s="289">
        <v>185</v>
      </c>
      <c r="AU252" s="289">
        <v>32</v>
      </c>
      <c r="AV252" s="625">
        <v>136690</v>
      </c>
      <c r="AW252" s="289">
        <v>-87.002899999999997</v>
      </c>
      <c r="AX252" s="625">
        <v>27.291666660000001</v>
      </c>
      <c r="AY252" s="289">
        <v>689</v>
      </c>
      <c r="AZ252" s="289">
        <v>197</v>
      </c>
      <c r="BA252" s="290">
        <v>84</v>
      </c>
      <c r="BB252" s="289">
        <v>0</v>
      </c>
      <c r="BC252" s="289">
        <v>1110</v>
      </c>
      <c r="BD252" s="289">
        <v>75.383399999999995</v>
      </c>
      <c r="BE252" s="289">
        <v>128889.90719886</v>
      </c>
      <c r="BF252" s="289">
        <v>0</v>
      </c>
      <c r="BG252" s="289">
        <v>11</v>
      </c>
      <c r="BH252" s="289">
        <v>-36.434800000000003</v>
      </c>
      <c r="BI252" s="289">
        <v>960</v>
      </c>
      <c r="BJ252" s="289">
        <v>-4.5904999999999996</v>
      </c>
      <c r="BK252" s="289">
        <v>0</v>
      </c>
      <c r="BL252" s="289">
        <v>0</v>
      </c>
      <c r="BM252" s="289">
        <v>0</v>
      </c>
      <c r="BN252" s="289">
        <v>0</v>
      </c>
      <c r="BO252" s="517">
        <v>0</v>
      </c>
      <c r="BP252" s="517">
        <v>0</v>
      </c>
      <c r="BQ252" s="289">
        <f t="shared" si="6"/>
        <v>-4.5904963728000006</v>
      </c>
      <c r="BR252" s="289">
        <v>0</v>
      </c>
      <c r="BS252" s="289">
        <f t="shared" si="7"/>
        <v>0</v>
      </c>
      <c r="BT252" s="289">
        <v>8</v>
      </c>
      <c r="BU252" s="289">
        <v>0</v>
      </c>
      <c r="BV252" s="289">
        <v>51</v>
      </c>
      <c r="BW252" s="289">
        <v>157.18299999999999</v>
      </c>
      <c r="BX252" s="289">
        <v>92.418000000000006</v>
      </c>
      <c r="CC252" s="517"/>
      <c r="CD252" s="85"/>
      <c r="CE252" s="517"/>
    </row>
    <row r="253" spans="1:83" ht="13">
      <c r="A253" s="1">
        <v>3440</v>
      </c>
      <c r="B253" s="2" t="s">
        <v>856</v>
      </c>
      <c r="C253" s="289">
        <v>5130</v>
      </c>
      <c r="D253" s="289">
        <v>113</v>
      </c>
      <c r="E253" s="289">
        <v>175</v>
      </c>
      <c r="F253" s="289">
        <v>549</v>
      </c>
      <c r="G253" s="289">
        <v>485</v>
      </c>
      <c r="H253" s="289">
        <v>2895</v>
      </c>
      <c r="I253" s="289">
        <v>642</v>
      </c>
      <c r="J253" s="289">
        <v>212</v>
      </c>
      <c r="K253" s="289">
        <v>48</v>
      </c>
      <c r="L253" s="289">
        <v>42</v>
      </c>
      <c r="M253" s="289">
        <v>392</v>
      </c>
      <c r="N253" s="290">
        <v>142</v>
      </c>
      <c r="O253" s="290">
        <v>52</v>
      </c>
      <c r="P253" s="624">
        <v>37206.348666669997</v>
      </c>
      <c r="Q253" s="624">
        <v>12148.796</v>
      </c>
      <c r="R253" s="624">
        <v>27</v>
      </c>
      <c r="S253" s="289">
        <v>0</v>
      </c>
      <c r="T253" s="289">
        <v>394</v>
      </c>
      <c r="U253" s="716">
        <v>3.3281456621236001E-3</v>
      </c>
      <c r="V253" s="289">
        <v>1507.7784010600001</v>
      </c>
      <c r="W253" s="743">
        <v>0.66102150000000004</v>
      </c>
      <c r="X253" s="289">
        <v>1600</v>
      </c>
      <c r="Y253" s="289">
        <v>315</v>
      </c>
      <c r="Z253" s="289">
        <v>149306</v>
      </c>
      <c r="AA253" s="289">
        <v>0</v>
      </c>
      <c r="AB253" s="290">
        <v>100</v>
      </c>
      <c r="AC253" s="289">
        <v>0</v>
      </c>
      <c r="AD253" s="289">
        <v>0</v>
      </c>
      <c r="AE253" s="289">
        <v>0</v>
      </c>
      <c r="AF253" s="289">
        <v>0</v>
      </c>
      <c r="AG253" s="289">
        <v>5119</v>
      </c>
      <c r="AH253" s="289">
        <v>659</v>
      </c>
      <c r="AI253" s="289">
        <v>1150</v>
      </c>
      <c r="AJ253" s="289">
        <v>0</v>
      </c>
      <c r="AK253" s="289">
        <v>19.055199999999999</v>
      </c>
      <c r="AL253" s="289"/>
      <c r="AM253" s="622">
        <v>0.14049586999999999</v>
      </c>
      <c r="AN253" s="289">
        <v>1348</v>
      </c>
      <c r="AO253" s="289">
        <v>-257.44861949</v>
      </c>
      <c r="AP253" s="289">
        <v>0</v>
      </c>
      <c r="AQ253" s="289">
        <v>0</v>
      </c>
      <c r="AR253" s="289">
        <v>-365.87641110999999</v>
      </c>
      <c r="AS253" s="289">
        <v>66.698899999999995</v>
      </c>
      <c r="AT253" s="289">
        <v>242</v>
      </c>
      <c r="AU253" s="289">
        <v>51</v>
      </c>
      <c r="AV253" s="625">
        <v>127447</v>
      </c>
      <c r="AW253" s="289">
        <v>-2.5994000000000002</v>
      </c>
      <c r="AX253" s="625">
        <v>50.958333330000002</v>
      </c>
      <c r="AY253" s="289">
        <v>961</v>
      </c>
      <c r="AZ253" s="289">
        <v>294</v>
      </c>
      <c r="BA253" s="290">
        <v>105</v>
      </c>
      <c r="BB253" s="289">
        <v>0</v>
      </c>
      <c r="BC253" s="289">
        <v>938</v>
      </c>
      <c r="BD253" s="289">
        <v>87.460599999999999</v>
      </c>
      <c r="BE253" s="289">
        <v>134792.65294763001</v>
      </c>
      <c r="BF253" s="289">
        <v>0</v>
      </c>
      <c r="BG253" s="289">
        <v>11</v>
      </c>
      <c r="BH253" s="289">
        <v>-41.706099999999999</v>
      </c>
      <c r="BI253" s="289">
        <v>974</v>
      </c>
      <c r="BJ253" s="289">
        <v>-5.2545999999999999</v>
      </c>
      <c r="BK253" s="289">
        <v>0</v>
      </c>
      <c r="BL253" s="289">
        <v>0</v>
      </c>
      <c r="BM253" s="289">
        <v>0</v>
      </c>
      <c r="BN253" s="289">
        <v>0</v>
      </c>
      <c r="BO253" s="517">
        <v>0</v>
      </c>
      <c r="BP253" s="517">
        <v>0</v>
      </c>
      <c r="BQ253" s="289">
        <f t="shared" si="6"/>
        <v>-5.2546401906</v>
      </c>
      <c r="BR253" s="289">
        <v>0</v>
      </c>
      <c r="BS253" s="289">
        <f t="shared" si="7"/>
        <v>0</v>
      </c>
      <c r="BT253" s="289">
        <v>11</v>
      </c>
      <c r="BU253" s="289">
        <v>0</v>
      </c>
      <c r="BV253" s="289">
        <v>55</v>
      </c>
      <c r="BW253" s="289">
        <v>0</v>
      </c>
      <c r="BX253" s="289">
        <v>106.54300000000001</v>
      </c>
      <c r="CC253" s="517"/>
      <c r="CD253" s="85"/>
      <c r="CE253" s="517"/>
    </row>
    <row r="254" spans="1:83" ht="13">
      <c r="A254" s="1">
        <v>3441</v>
      </c>
      <c r="B254" s="2" t="s">
        <v>857</v>
      </c>
      <c r="C254" s="289">
        <v>6148</v>
      </c>
      <c r="D254" s="289">
        <v>105</v>
      </c>
      <c r="E254" s="289">
        <v>246</v>
      </c>
      <c r="F254" s="289">
        <v>687</v>
      </c>
      <c r="G254" s="289">
        <v>535</v>
      </c>
      <c r="H254" s="289">
        <v>3391</v>
      </c>
      <c r="I254" s="289">
        <v>847</v>
      </c>
      <c r="J254" s="289">
        <v>301</v>
      </c>
      <c r="K254" s="289">
        <v>69</v>
      </c>
      <c r="L254" s="289">
        <v>50</v>
      </c>
      <c r="M254" s="289">
        <v>538</v>
      </c>
      <c r="N254" s="290">
        <v>57</v>
      </c>
      <c r="O254" s="290">
        <v>27</v>
      </c>
      <c r="P254" s="624">
        <v>56116.313000000002</v>
      </c>
      <c r="Q254" s="624">
        <v>16250.431</v>
      </c>
      <c r="R254" s="624">
        <v>17</v>
      </c>
      <c r="S254" s="289">
        <v>0</v>
      </c>
      <c r="T254" s="289">
        <v>471</v>
      </c>
      <c r="U254" s="716">
        <v>5.9238433999218246E-3</v>
      </c>
      <c r="V254" s="289">
        <v>2071.6248228099998</v>
      </c>
      <c r="W254" s="743">
        <v>0.67080817999999998</v>
      </c>
      <c r="X254" s="289">
        <v>1800</v>
      </c>
      <c r="Y254" s="289">
        <v>392</v>
      </c>
      <c r="Z254" s="289">
        <v>156210</v>
      </c>
      <c r="AA254" s="289">
        <v>0</v>
      </c>
      <c r="AB254" s="290">
        <v>140</v>
      </c>
      <c r="AC254" s="289">
        <v>0</v>
      </c>
      <c r="AD254" s="289">
        <v>0</v>
      </c>
      <c r="AE254" s="289">
        <v>0</v>
      </c>
      <c r="AF254" s="289">
        <v>0</v>
      </c>
      <c r="AG254" s="289">
        <v>6181</v>
      </c>
      <c r="AH254" s="289">
        <v>814</v>
      </c>
      <c r="AI254" s="289">
        <v>1140</v>
      </c>
      <c r="AJ254" s="289">
        <v>0</v>
      </c>
      <c r="AK254" s="289">
        <v>24.246300000000002</v>
      </c>
      <c r="AL254" s="289"/>
      <c r="AM254" s="622">
        <v>7.7853000000000006E-2</v>
      </c>
      <c r="AN254" s="289">
        <v>1592</v>
      </c>
      <c r="AO254" s="289">
        <v>-312.00533378</v>
      </c>
      <c r="AP254" s="289">
        <v>0</v>
      </c>
      <c r="AQ254" s="289">
        <v>0</v>
      </c>
      <c r="AR254" s="289">
        <v>1511.7704981100001</v>
      </c>
      <c r="AS254" s="289">
        <v>67.623500000000007</v>
      </c>
      <c r="AT254" s="289">
        <v>329</v>
      </c>
      <c r="AU254" s="289">
        <v>44</v>
      </c>
      <c r="AV254" s="625">
        <v>165409</v>
      </c>
      <c r="AW254" s="289">
        <v>-120.25149999999999</v>
      </c>
      <c r="AX254" s="625">
        <v>42.666666669999998</v>
      </c>
      <c r="AY254" s="289">
        <v>1025</v>
      </c>
      <c r="AZ254" s="289">
        <v>207</v>
      </c>
      <c r="BA254" s="290">
        <v>153</v>
      </c>
      <c r="BB254" s="289">
        <v>0</v>
      </c>
      <c r="BC254" s="289">
        <v>1182</v>
      </c>
      <c r="BD254" s="289">
        <v>108.0318</v>
      </c>
      <c r="BE254" s="289">
        <v>164048.56686980001</v>
      </c>
      <c r="BF254" s="289">
        <v>0</v>
      </c>
      <c r="BG254" s="289">
        <v>11</v>
      </c>
      <c r="BH254" s="289">
        <v>-50.358499999999999</v>
      </c>
      <c r="BI254" s="289">
        <v>1206</v>
      </c>
      <c r="BJ254" s="289">
        <v>-6.3448000000000002</v>
      </c>
      <c r="BK254" s="289">
        <v>0</v>
      </c>
      <c r="BL254" s="289">
        <v>0</v>
      </c>
      <c r="BM254" s="289">
        <v>0</v>
      </c>
      <c r="BN254" s="289">
        <v>0</v>
      </c>
      <c r="BO254" s="517">
        <v>0</v>
      </c>
      <c r="BP254" s="517">
        <v>0</v>
      </c>
      <c r="BQ254" s="289">
        <f t="shared" si="6"/>
        <v>-6.3447804294000001</v>
      </c>
      <c r="BR254" s="289">
        <v>0</v>
      </c>
      <c r="BS254" s="289">
        <f t="shared" si="7"/>
        <v>0</v>
      </c>
      <c r="BT254" s="289">
        <v>14</v>
      </c>
      <c r="BU254" s="289">
        <v>0</v>
      </c>
      <c r="BV254" s="289">
        <v>68</v>
      </c>
      <c r="BW254" s="289">
        <v>0</v>
      </c>
      <c r="BX254" s="289">
        <v>127.79300000000001</v>
      </c>
      <c r="CC254" s="517"/>
      <c r="CD254" s="85"/>
      <c r="CE254" s="517"/>
    </row>
    <row r="255" spans="1:83" ht="13">
      <c r="A255" s="1">
        <v>3442</v>
      </c>
      <c r="B255" s="2" t="s">
        <v>858</v>
      </c>
      <c r="C255" s="289">
        <v>14888</v>
      </c>
      <c r="D255" s="289">
        <v>282</v>
      </c>
      <c r="E255" s="289">
        <v>641</v>
      </c>
      <c r="F255" s="289">
        <v>1581</v>
      </c>
      <c r="G255" s="289">
        <v>1228</v>
      </c>
      <c r="H255" s="289">
        <v>8340</v>
      </c>
      <c r="I255" s="289">
        <v>1975</v>
      </c>
      <c r="J255" s="289">
        <v>667</v>
      </c>
      <c r="K255" s="289">
        <v>160</v>
      </c>
      <c r="L255" s="289">
        <v>130</v>
      </c>
      <c r="M255" s="289">
        <v>1262</v>
      </c>
      <c r="N255" s="290">
        <v>189</v>
      </c>
      <c r="O255" s="290">
        <v>117</v>
      </c>
      <c r="P255" s="624">
        <v>55372.448333330001</v>
      </c>
      <c r="Q255" s="624">
        <v>32098.341</v>
      </c>
      <c r="R255" s="624">
        <v>81</v>
      </c>
      <c r="S255" s="289">
        <v>0</v>
      </c>
      <c r="T255" s="289">
        <v>1210</v>
      </c>
      <c r="U255" s="716">
        <v>7.4095027015786061E-3</v>
      </c>
      <c r="V255" s="289">
        <v>361.71537745000001</v>
      </c>
      <c r="W255" s="743">
        <v>0.60394709000000002</v>
      </c>
      <c r="X255" s="289">
        <v>1700</v>
      </c>
      <c r="Y255" s="289">
        <v>392</v>
      </c>
      <c r="Z255" s="289">
        <v>375056</v>
      </c>
      <c r="AA255" s="289">
        <v>0</v>
      </c>
      <c r="AB255" s="290">
        <v>391</v>
      </c>
      <c r="AC255" s="289">
        <v>0</v>
      </c>
      <c r="AD255" s="289">
        <v>0</v>
      </c>
      <c r="AE255" s="289">
        <v>0</v>
      </c>
      <c r="AF255" s="289">
        <v>0</v>
      </c>
      <c r="AG255" s="289">
        <v>14874</v>
      </c>
      <c r="AH255" s="289">
        <v>1923</v>
      </c>
      <c r="AI255" s="289">
        <v>955</v>
      </c>
      <c r="AJ255" s="289">
        <v>0</v>
      </c>
      <c r="AK255" s="289">
        <v>61.945999999999998</v>
      </c>
      <c r="AL255" s="289"/>
      <c r="AM255" s="622">
        <v>0.26292946</v>
      </c>
      <c r="AN255" s="289">
        <v>0</v>
      </c>
      <c r="AO255" s="289">
        <v>-742.46702923999999</v>
      </c>
      <c r="AP255" s="289">
        <v>0</v>
      </c>
      <c r="AQ255" s="289">
        <v>0</v>
      </c>
      <c r="AR255" s="289">
        <v>-1063.1071964800001</v>
      </c>
      <c r="AS255" s="289">
        <v>180.52180000000001</v>
      </c>
      <c r="AT255" s="289">
        <v>914</v>
      </c>
      <c r="AU255" s="289">
        <v>127</v>
      </c>
      <c r="AV255" s="625">
        <v>366868</v>
      </c>
      <c r="AW255" s="289">
        <v>-7.5529999999999999</v>
      </c>
      <c r="AX255" s="625">
        <v>90.166666669999998</v>
      </c>
      <c r="AY255" s="289">
        <v>2719</v>
      </c>
      <c r="AZ255" s="289">
        <v>502</v>
      </c>
      <c r="BA255" s="290">
        <v>339</v>
      </c>
      <c r="BB255" s="289">
        <v>0</v>
      </c>
      <c r="BC255" s="289">
        <v>2369</v>
      </c>
      <c r="BD255" s="289">
        <v>255.21510000000001</v>
      </c>
      <c r="BE255" s="289">
        <v>374514.31133896997</v>
      </c>
      <c r="BF255" s="289">
        <v>0</v>
      </c>
      <c r="BG255" s="289">
        <v>11</v>
      </c>
      <c r="BH255" s="289">
        <v>-121.18300000000001</v>
      </c>
      <c r="BI255" s="289">
        <v>2315</v>
      </c>
      <c r="BJ255" s="289">
        <v>-15.2681</v>
      </c>
      <c r="BK255" s="289">
        <v>0</v>
      </c>
      <c r="BL255" s="289">
        <v>0</v>
      </c>
      <c r="BM255" s="289">
        <v>0</v>
      </c>
      <c r="BN255" s="289">
        <v>0</v>
      </c>
      <c r="BO255" s="517">
        <v>0</v>
      </c>
      <c r="BP255" s="517">
        <v>0</v>
      </c>
      <c r="BQ255" s="289">
        <f t="shared" si="6"/>
        <v>-15.2681223276</v>
      </c>
      <c r="BR255" s="289">
        <v>0</v>
      </c>
      <c r="BS255" s="289">
        <f t="shared" si="7"/>
        <v>0</v>
      </c>
      <c r="BT255" s="289">
        <v>35</v>
      </c>
      <c r="BU255" s="289">
        <v>0</v>
      </c>
      <c r="BV255" s="289">
        <v>146</v>
      </c>
      <c r="BW255" s="289">
        <v>104.788</v>
      </c>
      <c r="BX255" s="289">
        <v>310.178</v>
      </c>
      <c r="CC255" s="517"/>
      <c r="CD255" s="85"/>
      <c r="CE255" s="517"/>
    </row>
    <row r="256" spans="1:83" ht="13">
      <c r="A256" s="1">
        <v>3443</v>
      </c>
      <c r="B256" s="2" t="s">
        <v>859</v>
      </c>
      <c r="C256" s="289">
        <v>13314</v>
      </c>
      <c r="D256" s="289">
        <v>229</v>
      </c>
      <c r="E256" s="289">
        <v>528</v>
      </c>
      <c r="F256" s="289">
        <v>1491</v>
      </c>
      <c r="G256" s="289">
        <v>1162</v>
      </c>
      <c r="H256" s="289">
        <v>7422</v>
      </c>
      <c r="I256" s="289">
        <v>1752</v>
      </c>
      <c r="J256" s="289">
        <v>565</v>
      </c>
      <c r="K256" s="289">
        <v>101</v>
      </c>
      <c r="L256" s="289">
        <v>117</v>
      </c>
      <c r="M256" s="289">
        <v>1048</v>
      </c>
      <c r="N256" s="290">
        <v>228</v>
      </c>
      <c r="O256" s="290">
        <v>100</v>
      </c>
      <c r="P256" s="624">
        <v>44029.457000000002</v>
      </c>
      <c r="Q256" s="624">
        <v>17809.174666669998</v>
      </c>
      <c r="R256" s="624">
        <v>55</v>
      </c>
      <c r="S256" s="289">
        <v>0</v>
      </c>
      <c r="T256" s="289">
        <v>1161</v>
      </c>
      <c r="U256" s="716">
        <v>4.4345395383878269E-3</v>
      </c>
      <c r="V256" s="289">
        <v>3032.4138055399999</v>
      </c>
      <c r="W256" s="743">
        <v>0.57413093999999998</v>
      </c>
      <c r="X256" s="289">
        <v>1500</v>
      </c>
      <c r="Y256" s="289">
        <v>392</v>
      </c>
      <c r="Z256" s="289">
        <v>319630</v>
      </c>
      <c r="AA256" s="289">
        <v>0</v>
      </c>
      <c r="AB256" s="290">
        <v>388</v>
      </c>
      <c r="AC256" s="289">
        <v>0</v>
      </c>
      <c r="AD256" s="289">
        <v>0</v>
      </c>
      <c r="AE256" s="289">
        <v>0</v>
      </c>
      <c r="AF256" s="289">
        <v>0</v>
      </c>
      <c r="AG256" s="289">
        <v>13250</v>
      </c>
      <c r="AH256" s="289">
        <v>1746</v>
      </c>
      <c r="AI256" s="289">
        <v>125</v>
      </c>
      <c r="AJ256" s="289">
        <v>0</v>
      </c>
      <c r="AK256" s="289">
        <v>50.497999999999998</v>
      </c>
      <c r="AL256" s="289"/>
      <c r="AM256" s="622">
        <v>0.21521615999999999</v>
      </c>
      <c r="AN256" s="289">
        <v>0</v>
      </c>
      <c r="AO256" s="289">
        <v>-636.57922493000001</v>
      </c>
      <c r="AP256" s="289">
        <v>0</v>
      </c>
      <c r="AQ256" s="289">
        <v>0</v>
      </c>
      <c r="AR256" s="289">
        <v>-947.03310161000002</v>
      </c>
      <c r="AS256" s="289">
        <v>172.69839999999999</v>
      </c>
      <c r="AT256" s="289">
        <v>831</v>
      </c>
      <c r="AU256" s="289">
        <v>102</v>
      </c>
      <c r="AV256" s="625">
        <v>306420</v>
      </c>
      <c r="AW256" s="289">
        <v>-6.7282999999999999</v>
      </c>
      <c r="AX256" s="625">
        <v>67.375</v>
      </c>
      <c r="AY256" s="289">
        <v>2198</v>
      </c>
      <c r="AZ256" s="289">
        <v>441</v>
      </c>
      <c r="BA256" s="290">
        <v>371</v>
      </c>
      <c r="BB256" s="289">
        <v>0</v>
      </c>
      <c r="BC256" s="289">
        <v>2184</v>
      </c>
      <c r="BD256" s="289">
        <v>231.7242</v>
      </c>
      <c r="BE256" s="289">
        <v>310872.19409450999</v>
      </c>
      <c r="BF256" s="289">
        <v>0</v>
      </c>
      <c r="BG256" s="289">
        <v>11</v>
      </c>
      <c r="BH256" s="289">
        <v>-107.95180000000001</v>
      </c>
      <c r="BI256" s="289">
        <v>2138</v>
      </c>
      <c r="BJ256" s="289">
        <v>-13.601100000000001</v>
      </c>
      <c r="BK256" s="289">
        <v>0</v>
      </c>
      <c r="BL256" s="289">
        <v>0</v>
      </c>
      <c r="BM256" s="289">
        <v>0</v>
      </c>
      <c r="BN256" s="289">
        <v>0</v>
      </c>
      <c r="BO256" s="517">
        <v>0</v>
      </c>
      <c r="BP256" s="517">
        <v>0</v>
      </c>
      <c r="BQ256" s="289">
        <f t="shared" si="6"/>
        <v>-13.60109055</v>
      </c>
      <c r="BR256" s="289">
        <v>0</v>
      </c>
      <c r="BS256" s="289">
        <f t="shared" si="7"/>
        <v>0</v>
      </c>
      <c r="BT256" s="289">
        <v>29</v>
      </c>
      <c r="BU256" s="289">
        <v>0</v>
      </c>
      <c r="BV256" s="289">
        <v>127</v>
      </c>
      <c r="BW256" s="289">
        <v>314.36500000000001</v>
      </c>
      <c r="BX256" s="289">
        <v>278.43700000000001</v>
      </c>
      <c r="CC256" s="517"/>
      <c r="CD256" s="85"/>
      <c r="CE256" s="517"/>
    </row>
    <row r="257" spans="1:83" ht="13">
      <c r="A257" s="1">
        <v>3446</v>
      </c>
      <c r="B257" s="2" t="s">
        <v>862</v>
      </c>
      <c r="C257" s="289">
        <v>13770</v>
      </c>
      <c r="D257" s="289">
        <v>261</v>
      </c>
      <c r="E257" s="289">
        <v>561</v>
      </c>
      <c r="F257" s="289">
        <v>1633</v>
      </c>
      <c r="G257" s="289">
        <v>1179</v>
      </c>
      <c r="H257" s="289">
        <v>7642</v>
      </c>
      <c r="I257" s="289">
        <v>1758</v>
      </c>
      <c r="J257" s="289">
        <v>587</v>
      </c>
      <c r="K257" s="289">
        <v>138</v>
      </c>
      <c r="L257" s="289">
        <v>119</v>
      </c>
      <c r="M257" s="289">
        <v>1183</v>
      </c>
      <c r="N257" s="290">
        <v>289</v>
      </c>
      <c r="O257" s="290">
        <v>103</v>
      </c>
      <c r="P257" s="624">
        <v>59314.637000000002</v>
      </c>
      <c r="Q257" s="624">
        <v>28898.757333329999</v>
      </c>
      <c r="R257" s="624">
        <v>73</v>
      </c>
      <c r="S257" s="289">
        <v>0</v>
      </c>
      <c r="T257" s="289">
        <v>1101</v>
      </c>
      <c r="U257" s="716">
        <v>6.630578343211309E-3</v>
      </c>
      <c r="V257" s="289">
        <v>5004.8451529399999</v>
      </c>
      <c r="W257" s="743">
        <v>0.60145764999999995</v>
      </c>
      <c r="X257" s="289">
        <v>900</v>
      </c>
      <c r="Y257" s="289">
        <v>784</v>
      </c>
      <c r="Z257" s="289">
        <v>356430</v>
      </c>
      <c r="AA257" s="289">
        <v>0</v>
      </c>
      <c r="AB257" s="290">
        <v>351</v>
      </c>
      <c r="AC257" s="289">
        <v>0</v>
      </c>
      <c r="AD257" s="289">
        <v>0</v>
      </c>
      <c r="AE257" s="289">
        <v>0</v>
      </c>
      <c r="AF257" s="289">
        <v>0</v>
      </c>
      <c r="AG257" s="289">
        <v>13759</v>
      </c>
      <c r="AH257" s="289">
        <v>1899</v>
      </c>
      <c r="AI257" s="289">
        <v>1515</v>
      </c>
      <c r="AJ257" s="289">
        <v>0</v>
      </c>
      <c r="AK257" s="289">
        <v>53.837600000000002</v>
      </c>
      <c r="AL257" s="289"/>
      <c r="AM257" s="622">
        <v>0.44014836000000002</v>
      </c>
      <c r="AN257" s="289">
        <v>0</v>
      </c>
      <c r="AO257" s="289">
        <v>-696.11318785000003</v>
      </c>
      <c r="AP257" s="289">
        <v>0</v>
      </c>
      <c r="AQ257" s="289">
        <v>0</v>
      </c>
      <c r="AR257" s="289">
        <v>-983.41346754999995</v>
      </c>
      <c r="AS257" s="289">
        <v>184.2473</v>
      </c>
      <c r="AT257" s="289">
        <v>792</v>
      </c>
      <c r="AU257" s="289">
        <v>166</v>
      </c>
      <c r="AV257" s="625">
        <v>351603</v>
      </c>
      <c r="AW257" s="289">
        <v>-6.9867999999999997</v>
      </c>
      <c r="AX257" s="625">
        <v>75.833333330000002</v>
      </c>
      <c r="AY257" s="289">
        <v>2295</v>
      </c>
      <c r="AZ257" s="289">
        <v>629</v>
      </c>
      <c r="BA257" s="290">
        <v>300</v>
      </c>
      <c r="BB257" s="289">
        <v>0</v>
      </c>
      <c r="BC257" s="289">
        <v>2772</v>
      </c>
      <c r="BD257" s="289">
        <v>252.0299</v>
      </c>
      <c r="BE257" s="289">
        <v>360545.04165163002</v>
      </c>
      <c r="BF257" s="289">
        <v>0</v>
      </c>
      <c r="BG257" s="289">
        <v>22</v>
      </c>
      <c r="BH257" s="289">
        <v>-112.0988</v>
      </c>
      <c r="BI257" s="289">
        <v>2683</v>
      </c>
      <c r="BJ257" s="289">
        <v>-14.1236</v>
      </c>
      <c r="BK257" s="289">
        <v>0</v>
      </c>
      <c r="BL257" s="289">
        <v>0</v>
      </c>
      <c r="BM257" s="289">
        <v>0</v>
      </c>
      <c r="BN257" s="289">
        <v>0</v>
      </c>
      <c r="BO257" s="517">
        <v>0</v>
      </c>
      <c r="BP257" s="517">
        <v>0</v>
      </c>
      <c r="BQ257" s="289">
        <f t="shared" si="6"/>
        <v>-14.123577726600001</v>
      </c>
      <c r="BR257" s="289">
        <v>0</v>
      </c>
      <c r="BS257" s="289">
        <f t="shared" si="7"/>
        <v>0</v>
      </c>
      <c r="BT257" s="289">
        <v>31</v>
      </c>
      <c r="BU257" s="289">
        <v>0</v>
      </c>
      <c r="BV257" s="289">
        <v>135</v>
      </c>
      <c r="BW257" s="289">
        <v>52.393999999999998</v>
      </c>
      <c r="BX257" s="289">
        <v>285.31299999999999</v>
      </c>
      <c r="CC257" s="517"/>
      <c r="CD257" s="85"/>
      <c r="CE257" s="517"/>
    </row>
    <row r="258" spans="1:83" ht="13">
      <c r="A258" s="1">
        <v>3447</v>
      </c>
      <c r="B258" s="2" t="s">
        <v>863</v>
      </c>
      <c r="C258" s="289">
        <v>5650</v>
      </c>
      <c r="D258" s="289">
        <v>103</v>
      </c>
      <c r="E258" s="289">
        <v>206</v>
      </c>
      <c r="F258" s="289">
        <v>601</v>
      </c>
      <c r="G258" s="289">
        <v>501</v>
      </c>
      <c r="H258" s="289">
        <v>3213</v>
      </c>
      <c r="I258" s="289">
        <v>792</v>
      </c>
      <c r="J258" s="289">
        <v>227</v>
      </c>
      <c r="K258" s="289">
        <v>57</v>
      </c>
      <c r="L258" s="289">
        <v>60</v>
      </c>
      <c r="M258" s="289">
        <v>548</v>
      </c>
      <c r="N258" s="290">
        <v>72</v>
      </c>
      <c r="O258" s="290">
        <v>59</v>
      </c>
      <c r="P258" s="624">
        <v>35864.012999999999</v>
      </c>
      <c r="Q258" s="624">
        <v>25264.179333330001</v>
      </c>
      <c r="R258" s="624">
        <v>30</v>
      </c>
      <c r="S258" s="289">
        <v>0</v>
      </c>
      <c r="T258" s="289">
        <v>524</v>
      </c>
      <c r="U258" s="716">
        <v>2.8827509901767183E-3</v>
      </c>
      <c r="V258" s="289">
        <v>-189.96435951000001</v>
      </c>
      <c r="W258" s="743">
        <v>0.74822407000000002</v>
      </c>
      <c r="X258" s="289">
        <v>2850</v>
      </c>
      <c r="Y258" s="289">
        <v>392</v>
      </c>
      <c r="Z258" s="289">
        <v>118346</v>
      </c>
      <c r="AA258" s="289">
        <v>-4660.2954612599997</v>
      </c>
      <c r="AB258" s="290">
        <v>184</v>
      </c>
      <c r="AC258" s="289">
        <v>0</v>
      </c>
      <c r="AD258" s="289">
        <v>0</v>
      </c>
      <c r="AE258" s="289">
        <v>0</v>
      </c>
      <c r="AF258" s="289">
        <v>0</v>
      </c>
      <c r="AG258" s="289">
        <v>5700</v>
      </c>
      <c r="AH258" s="289">
        <v>720</v>
      </c>
      <c r="AI258" s="289">
        <v>450</v>
      </c>
      <c r="AJ258" s="289">
        <v>0</v>
      </c>
      <c r="AK258" s="289">
        <v>20.504200000000001</v>
      </c>
      <c r="AL258" s="289"/>
      <c r="AM258" s="622">
        <v>0.15675058</v>
      </c>
      <c r="AN258" s="289">
        <v>7415</v>
      </c>
      <c r="AO258" s="289">
        <v>-295.78919423999997</v>
      </c>
      <c r="AP258" s="289">
        <v>0</v>
      </c>
      <c r="AQ258" s="289">
        <v>0</v>
      </c>
      <c r="AR258" s="289">
        <v>-407.40291918000003</v>
      </c>
      <c r="AS258" s="289">
        <v>78.945899999999995</v>
      </c>
      <c r="AT258" s="289">
        <v>345</v>
      </c>
      <c r="AU258" s="289">
        <v>54</v>
      </c>
      <c r="AV258" s="625">
        <v>154407</v>
      </c>
      <c r="AW258" s="289">
        <v>-2.8944000000000001</v>
      </c>
      <c r="AX258" s="625">
        <v>36.666666669999998</v>
      </c>
      <c r="AY258" s="289">
        <v>924</v>
      </c>
      <c r="AZ258" s="289">
        <v>275</v>
      </c>
      <c r="BA258" s="290">
        <v>122</v>
      </c>
      <c r="BB258" s="289">
        <v>0</v>
      </c>
      <c r="BC258" s="289">
        <v>-5654.2974579800002</v>
      </c>
      <c r="BD258" s="289">
        <v>95.556399999999996</v>
      </c>
      <c r="BE258" s="289">
        <v>159949.95193014</v>
      </c>
      <c r="BF258" s="289">
        <v>0</v>
      </c>
      <c r="BG258" s="289">
        <v>11</v>
      </c>
      <c r="BH258" s="289">
        <v>-46.439599999999999</v>
      </c>
      <c r="BI258" s="289">
        <v>-3548.2954612600001</v>
      </c>
      <c r="BJ258" s="289">
        <v>-5.851</v>
      </c>
      <c r="BK258" s="289">
        <v>0</v>
      </c>
      <c r="BL258" s="289">
        <v>0</v>
      </c>
      <c r="BM258" s="289">
        <v>0</v>
      </c>
      <c r="BN258" s="289">
        <v>0</v>
      </c>
      <c r="BO258" s="517">
        <v>0</v>
      </c>
      <c r="BP258" s="517">
        <v>0</v>
      </c>
      <c r="BQ258" s="289">
        <f t="shared" si="6"/>
        <v>-5.8510351800000002</v>
      </c>
      <c r="BR258" s="289">
        <v>0</v>
      </c>
      <c r="BS258" s="289">
        <f t="shared" si="7"/>
        <v>0</v>
      </c>
      <c r="BT258" s="289">
        <v>12</v>
      </c>
      <c r="BU258" s="289">
        <v>0</v>
      </c>
      <c r="BV258" s="289">
        <v>63</v>
      </c>
      <c r="BW258" s="289">
        <v>0</v>
      </c>
      <c r="BX258" s="289">
        <v>117.324</v>
      </c>
      <c r="CC258" s="517"/>
      <c r="CD258" s="85"/>
      <c r="CE258" s="517"/>
    </row>
    <row r="259" spans="1:83" ht="13">
      <c r="A259" s="1">
        <v>3448</v>
      </c>
      <c r="B259" s="2" t="s">
        <v>864</v>
      </c>
      <c r="C259" s="289">
        <v>6750</v>
      </c>
      <c r="D259" s="289">
        <v>121</v>
      </c>
      <c r="E259" s="289">
        <v>256</v>
      </c>
      <c r="F259" s="289">
        <v>725</v>
      </c>
      <c r="G259" s="289">
        <v>602</v>
      </c>
      <c r="H259" s="289">
        <v>3741</v>
      </c>
      <c r="I259" s="289">
        <v>937</v>
      </c>
      <c r="J259" s="289">
        <v>320</v>
      </c>
      <c r="K259" s="289">
        <v>52</v>
      </c>
      <c r="L259" s="289">
        <v>77</v>
      </c>
      <c r="M259" s="289">
        <v>644</v>
      </c>
      <c r="N259" s="290">
        <v>56</v>
      </c>
      <c r="O259" s="290">
        <v>57</v>
      </c>
      <c r="P259" s="624">
        <v>53252.088000000003</v>
      </c>
      <c r="Q259" s="624">
        <v>25903.729666669999</v>
      </c>
      <c r="R259" s="624">
        <v>38</v>
      </c>
      <c r="S259" s="289">
        <v>0</v>
      </c>
      <c r="T259" s="289">
        <v>543</v>
      </c>
      <c r="U259" s="716">
        <v>5.0196492849943824E-3</v>
      </c>
      <c r="V259" s="289">
        <v>2016.5442274899999</v>
      </c>
      <c r="W259" s="743">
        <v>0.68663390000000002</v>
      </c>
      <c r="X259" s="289">
        <v>2400</v>
      </c>
      <c r="Y259" s="289">
        <v>392</v>
      </c>
      <c r="Z259" s="289">
        <v>148417</v>
      </c>
      <c r="AA259" s="289">
        <v>-4788.6717165600003</v>
      </c>
      <c r="AB259" s="290">
        <v>211</v>
      </c>
      <c r="AC259" s="289">
        <v>0</v>
      </c>
      <c r="AD259" s="289">
        <v>0</v>
      </c>
      <c r="AE259" s="289">
        <v>0</v>
      </c>
      <c r="AF259" s="289">
        <v>0</v>
      </c>
      <c r="AG259" s="289">
        <v>6754</v>
      </c>
      <c r="AH259" s="289">
        <v>882</v>
      </c>
      <c r="AI259" s="289">
        <v>855</v>
      </c>
      <c r="AJ259" s="289">
        <v>0</v>
      </c>
      <c r="AK259" s="289">
        <v>24.428799999999999</v>
      </c>
      <c r="AL259" s="289"/>
      <c r="AM259" s="622">
        <v>0.135684</v>
      </c>
      <c r="AN259" s="289">
        <v>5137</v>
      </c>
      <c r="AO259" s="289">
        <v>-352.07924438999999</v>
      </c>
      <c r="AP259" s="289">
        <v>0</v>
      </c>
      <c r="AQ259" s="289">
        <v>0</v>
      </c>
      <c r="AR259" s="289">
        <v>-281.91243509999998</v>
      </c>
      <c r="AS259" s="289">
        <v>83.285799999999995</v>
      </c>
      <c r="AT259" s="289">
        <v>376</v>
      </c>
      <c r="AU259" s="289">
        <v>62</v>
      </c>
      <c r="AV259" s="625">
        <v>187706</v>
      </c>
      <c r="AW259" s="289">
        <v>-131.39920000000001</v>
      </c>
      <c r="AX259" s="625">
        <v>35.5</v>
      </c>
      <c r="AY259" s="289">
        <v>956</v>
      </c>
      <c r="AZ259" s="289">
        <v>267</v>
      </c>
      <c r="BA259" s="290">
        <v>146</v>
      </c>
      <c r="BB259" s="289">
        <v>0</v>
      </c>
      <c r="BC259" s="289">
        <v>-5677.9820417600004</v>
      </c>
      <c r="BD259" s="289">
        <v>117.0565</v>
      </c>
      <c r="BE259" s="289">
        <v>189471.91824607001</v>
      </c>
      <c r="BF259" s="289">
        <v>0</v>
      </c>
      <c r="BG259" s="289">
        <v>11</v>
      </c>
      <c r="BH259" s="289">
        <v>-55.026899999999998</v>
      </c>
      <c r="BI259" s="289">
        <v>-3514.6717165599998</v>
      </c>
      <c r="BJ259" s="289">
        <v>-6.9329999999999998</v>
      </c>
      <c r="BK259" s="289">
        <v>0</v>
      </c>
      <c r="BL259" s="289">
        <v>0</v>
      </c>
      <c r="BM259" s="289">
        <v>0</v>
      </c>
      <c r="BN259" s="289">
        <v>0</v>
      </c>
      <c r="BO259" s="517">
        <v>0</v>
      </c>
      <c r="BP259" s="517">
        <v>0</v>
      </c>
      <c r="BQ259" s="289">
        <f t="shared" si="6"/>
        <v>-6.9329634395999999</v>
      </c>
      <c r="BR259" s="289">
        <v>0</v>
      </c>
      <c r="BS259" s="289">
        <f t="shared" si="7"/>
        <v>0</v>
      </c>
      <c r="BT259" s="289">
        <v>14</v>
      </c>
      <c r="BU259" s="289">
        <v>0</v>
      </c>
      <c r="BV259" s="289">
        <v>74</v>
      </c>
      <c r="BW259" s="289">
        <v>0</v>
      </c>
      <c r="BX259" s="289">
        <v>139.38499999999999</v>
      </c>
      <c r="CC259" s="517"/>
      <c r="CD259" s="85"/>
      <c r="CE259" s="517"/>
    </row>
    <row r="260" spans="1:83" ht="13">
      <c r="A260" s="1">
        <v>3449</v>
      </c>
      <c r="B260" s="2" t="s">
        <v>865</v>
      </c>
      <c r="C260" s="289">
        <v>3014</v>
      </c>
      <c r="D260" s="289">
        <v>59</v>
      </c>
      <c r="E260" s="289">
        <v>113</v>
      </c>
      <c r="F260" s="289">
        <v>340</v>
      </c>
      <c r="G260" s="289">
        <v>269</v>
      </c>
      <c r="H260" s="289">
        <v>1583</v>
      </c>
      <c r="I260" s="289">
        <v>466</v>
      </c>
      <c r="J260" s="289">
        <v>147</v>
      </c>
      <c r="K260" s="289">
        <v>47</v>
      </c>
      <c r="L260" s="289">
        <v>27</v>
      </c>
      <c r="M260" s="289">
        <v>309</v>
      </c>
      <c r="N260" s="290">
        <v>36</v>
      </c>
      <c r="O260" s="290">
        <v>31</v>
      </c>
      <c r="P260" s="624">
        <v>48593.01433333</v>
      </c>
      <c r="Q260" s="624">
        <v>10738.59333333</v>
      </c>
      <c r="R260" s="624">
        <v>27</v>
      </c>
      <c r="S260" s="289">
        <v>0</v>
      </c>
      <c r="T260" s="289">
        <v>271</v>
      </c>
      <c r="U260" s="716">
        <v>3.0356794371875343E-3</v>
      </c>
      <c r="V260" s="289">
        <v>1309.6150465200001</v>
      </c>
      <c r="W260" s="743">
        <v>0.92451238999999996</v>
      </c>
      <c r="X260" s="289">
        <v>1500</v>
      </c>
      <c r="Y260" s="289">
        <v>392</v>
      </c>
      <c r="Z260" s="289">
        <v>73595</v>
      </c>
      <c r="AA260" s="289">
        <v>0</v>
      </c>
      <c r="AB260" s="290">
        <v>70</v>
      </c>
      <c r="AC260" s="289">
        <v>0</v>
      </c>
      <c r="AD260" s="289">
        <v>0</v>
      </c>
      <c r="AE260" s="289">
        <v>0</v>
      </c>
      <c r="AF260" s="289">
        <v>0</v>
      </c>
      <c r="AG260" s="289">
        <v>3024</v>
      </c>
      <c r="AH260" s="289">
        <v>398</v>
      </c>
      <c r="AI260" s="289">
        <v>725</v>
      </c>
      <c r="AJ260" s="289">
        <v>0</v>
      </c>
      <c r="AK260" s="289">
        <v>10.826599999999999</v>
      </c>
      <c r="AL260" s="289"/>
      <c r="AM260" s="622">
        <v>4.4288010000000003E-2</v>
      </c>
      <c r="AN260" s="289">
        <v>0</v>
      </c>
      <c r="AO260" s="289">
        <v>-182.15155055</v>
      </c>
      <c r="AP260" s="289">
        <v>0</v>
      </c>
      <c r="AQ260" s="289">
        <v>0</v>
      </c>
      <c r="AR260" s="289">
        <v>-216.13796976</v>
      </c>
      <c r="AS260" s="289">
        <v>36.095599999999997</v>
      </c>
      <c r="AT260" s="289">
        <v>157</v>
      </c>
      <c r="AU260" s="289">
        <v>21</v>
      </c>
      <c r="AV260" s="625">
        <v>115128</v>
      </c>
      <c r="AW260" s="289">
        <v>-1.5356000000000001</v>
      </c>
      <c r="AX260" s="625">
        <v>15.20833333</v>
      </c>
      <c r="AY260" s="289">
        <v>456</v>
      </c>
      <c r="AZ260" s="289">
        <v>123</v>
      </c>
      <c r="BA260" s="290">
        <v>47</v>
      </c>
      <c r="BB260" s="289">
        <v>5543</v>
      </c>
      <c r="BC260" s="289">
        <v>896</v>
      </c>
      <c r="BD260" s="289">
        <v>52.821399999999997</v>
      </c>
      <c r="BE260" s="289">
        <v>116477.05501320001</v>
      </c>
      <c r="BF260" s="289">
        <v>0</v>
      </c>
      <c r="BG260" s="289">
        <v>11</v>
      </c>
      <c r="BH260" s="289">
        <v>-24.637499999999999</v>
      </c>
      <c r="BI260" s="289">
        <v>790</v>
      </c>
      <c r="BJ260" s="289">
        <v>-3.1040999999999999</v>
      </c>
      <c r="BK260" s="289">
        <v>0</v>
      </c>
      <c r="BL260" s="289">
        <v>0</v>
      </c>
      <c r="BM260" s="289">
        <v>0</v>
      </c>
      <c r="BN260" s="289">
        <v>0</v>
      </c>
      <c r="BO260" s="517">
        <v>0</v>
      </c>
      <c r="BP260" s="517">
        <v>0</v>
      </c>
      <c r="BQ260" s="289">
        <f t="shared" ref="BQ260:BQ323" si="8">-1.0264974*AG260/1000</f>
        <v>-3.1041281376000001</v>
      </c>
      <c r="BR260" s="289">
        <v>0</v>
      </c>
      <c r="BS260" s="289">
        <f t="shared" ref="BS260:BS323" si="9">+BR260-AD260</f>
        <v>0</v>
      </c>
      <c r="BT260" s="289">
        <v>6</v>
      </c>
      <c r="BU260" s="289">
        <v>0</v>
      </c>
      <c r="BV260" s="289">
        <v>41</v>
      </c>
      <c r="BW260" s="289">
        <v>0</v>
      </c>
      <c r="BX260" s="289">
        <v>62.546999999999997</v>
      </c>
      <c r="CC260" s="517"/>
      <c r="CD260" s="85"/>
      <c r="CE260" s="517"/>
    </row>
    <row r="261" spans="1:83" ht="13">
      <c r="A261" s="1">
        <v>3450</v>
      </c>
      <c r="B261" s="2" t="s">
        <v>866</v>
      </c>
      <c r="C261" s="289">
        <v>1352</v>
      </c>
      <c r="D261" s="289">
        <v>20</v>
      </c>
      <c r="E261" s="289">
        <v>45</v>
      </c>
      <c r="F261" s="289">
        <v>159</v>
      </c>
      <c r="G261" s="289">
        <v>112</v>
      </c>
      <c r="H261" s="289">
        <v>707</v>
      </c>
      <c r="I261" s="289">
        <v>202</v>
      </c>
      <c r="J261" s="289">
        <v>79</v>
      </c>
      <c r="K261" s="289">
        <v>22</v>
      </c>
      <c r="L261" s="289">
        <v>11</v>
      </c>
      <c r="M261" s="289">
        <v>167</v>
      </c>
      <c r="N261" s="290">
        <v>11</v>
      </c>
      <c r="O261" s="290">
        <v>18</v>
      </c>
      <c r="P261" s="624">
        <v>12240.464333329999</v>
      </c>
      <c r="Q261" s="624">
        <v>8385.018</v>
      </c>
      <c r="R261" s="624">
        <v>8</v>
      </c>
      <c r="S261" s="289">
        <v>0</v>
      </c>
      <c r="T261" s="289">
        <v>141</v>
      </c>
      <c r="U261" s="716">
        <v>1.632974641952248E-3</v>
      </c>
      <c r="V261" s="289">
        <v>645.14892235000002</v>
      </c>
      <c r="W261" s="743">
        <v>0.89601423000000002</v>
      </c>
      <c r="X261" s="289">
        <v>150</v>
      </c>
      <c r="Y261" s="289">
        <v>244</v>
      </c>
      <c r="Z261" s="289">
        <v>32388</v>
      </c>
      <c r="AA261" s="289">
        <v>0</v>
      </c>
      <c r="AB261" s="290">
        <v>38</v>
      </c>
      <c r="AC261" s="289">
        <v>0</v>
      </c>
      <c r="AD261" s="289">
        <v>0</v>
      </c>
      <c r="AE261" s="289">
        <v>0</v>
      </c>
      <c r="AF261" s="289">
        <v>0</v>
      </c>
      <c r="AG261" s="289">
        <v>1346</v>
      </c>
      <c r="AH261" s="289">
        <v>172</v>
      </c>
      <c r="AI261" s="289">
        <v>20</v>
      </c>
      <c r="AJ261" s="289">
        <v>0</v>
      </c>
      <c r="AK261" s="289">
        <v>4.5938999999999997</v>
      </c>
      <c r="AL261" s="289"/>
      <c r="AM261" s="622">
        <v>3.6548299999999999E-2</v>
      </c>
      <c r="AN261" s="289">
        <v>0</v>
      </c>
      <c r="AO261" s="289">
        <v>-89.732381169999996</v>
      </c>
      <c r="AP261" s="289">
        <v>0</v>
      </c>
      <c r="AQ261" s="289">
        <v>0</v>
      </c>
      <c r="AR261" s="289">
        <v>288.48890738</v>
      </c>
      <c r="AS261" s="289">
        <v>18.361000000000001</v>
      </c>
      <c r="AT261" s="289">
        <v>68</v>
      </c>
      <c r="AU261" s="289">
        <v>9</v>
      </c>
      <c r="AV261" s="625">
        <v>63935</v>
      </c>
      <c r="AW261" s="289">
        <v>-26.186499999999999</v>
      </c>
      <c r="AX261" s="625">
        <v>9.5416666699999997</v>
      </c>
      <c r="AY261" s="289">
        <v>210</v>
      </c>
      <c r="AZ261" s="289">
        <v>109</v>
      </c>
      <c r="BA261" s="290">
        <v>30</v>
      </c>
      <c r="BB261" s="289">
        <v>5543</v>
      </c>
      <c r="BC261" s="289">
        <v>457</v>
      </c>
      <c r="BD261" s="289">
        <v>22.827400000000001</v>
      </c>
      <c r="BE261" s="289">
        <v>63429.21590227</v>
      </c>
      <c r="BF261" s="289">
        <v>0</v>
      </c>
      <c r="BG261" s="289">
        <v>13</v>
      </c>
      <c r="BH261" s="289">
        <v>-10.9663</v>
      </c>
      <c r="BI261" s="289">
        <v>416</v>
      </c>
      <c r="BJ261" s="289">
        <v>-1.3816999999999999</v>
      </c>
      <c r="BK261" s="289">
        <v>0</v>
      </c>
      <c r="BL261" s="289">
        <v>0</v>
      </c>
      <c r="BM261" s="289">
        <v>0</v>
      </c>
      <c r="BN261" s="289">
        <v>0</v>
      </c>
      <c r="BO261" s="517">
        <v>0</v>
      </c>
      <c r="BP261" s="517">
        <v>0</v>
      </c>
      <c r="BQ261" s="289">
        <f t="shared" si="8"/>
        <v>-1.3816655004</v>
      </c>
      <c r="BR261" s="289">
        <v>0</v>
      </c>
      <c r="BS261" s="289">
        <f t="shared" si="9"/>
        <v>0</v>
      </c>
      <c r="BT261" s="289">
        <v>3</v>
      </c>
      <c r="BU261" s="289">
        <v>0</v>
      </c>
      <c r="BV261" s="289">
        <v>22</v>
      </c>
      <c r="BW261" s="289">
        <v>0</v>
      </c>
      <c r="BX261" s="289">
        <v>27.545000000000002</v>
      </c>
      <c r="CC261" s="517"/>
      <c r="CD261" s="85"/>
      <c r="CE261" s="517"/>
    </row>
    <row r="262" spans="1:83" ht="13">
      <c r="A262" s="1">
        <v>3451</v>
      </c>
      <c r="B262" s="2" t="s">
        <v>867</v>
      </c>
      <c r="C262" s="289">
        <v>6443</v>
      </c>
      <c r="D262" s="289">
        <v>119</v>
      </c>
      <c r="E262" s="289">
        <v>244</v>
      </c>
      <c r="F262" s="289">
        <v>687</v>
      </c>
      <c r="G262" s="289">
        <v>563</v>
      </c>
      <c r="H262" s="289">
        <v>3619</v>
      </c>
      <c r="I262" s="289">
        <v>923</v>
      </c>
      <c r="J262" s="289">
        <v>277</v>
      </c>
      <c r="K262" s="289">
        <v>66</v>
      </c>
      <c r="L262" s="289">
        <v>58</v>
      </c>
      <c r="M262" s="289">
        <v>612</v>
      </c>
      <c r="N262" s="290">
        <v>63</v>
      </c>
      <c r="O262" s="290">
        <v>62</v>
      </c>
      <c r="P262" s="624">
        <v>46853.144666669999</v>
      </c>
      <c r="Q262" s="624">
        <v>15762.196666669999</v>
      </c>
      <c r="R262" s="624">
        <v>29</v>
      </c>
      <c r="S262" s="289">
        <v>0</v>
      </c>
      <c r="T262" s="289">
        <v>626</v>
      </c>
      <c r="U262" s="716">
        <v>4.5958292477252067E-3</v>
      </c>
      <c r="V262" s="289">
        <v>-2978.2629993400001</v>
      </c>
      <c r="W262" s="743">
        <v>0.65728801999999997</v>
      </c>
      <c r="X262" s="289">
        <v>400</v>
      </c>
      <c r="Y262" s="289">
        <v>392</v>
      </c>
      <c r="Z262" s="289">
        <v>174124</v>
      </c>
      <c r="AA262" s="289">
        <v>0</v>
      </c>
      <c r="AB262" s="290">
        <v>136</v>
      </c>
      <c r="AC262" s="289">
        <v>1449</v>
      </c>
      <c r="AD262" s="289">
        <v>0</v>
      </c>
      <c r="AE262" s="289">
        <v>0</v>
      </c>
      <c r="AF262" s="289">
        <v>0</v>
      </c>
      <c r="AG262" s="289">
        <v>6498</v>
      </c>
      <c r="AH262" s="289">
        <v>828</v>
      </c>
      <c r="AI262" s="289">
        <v>655</v>
      </c>
      <c r="AJ262" s="289">
        <v>0</v>
      </c>
      <c r="AK262" s="289">
        <v>23.729700000000001</v>
      </c>
      <c r="AL262" s="289"/>
      <c r="AM262" s="622">
        <v>0.12344106000000001</v>
      </c>
      <c r="AN262" s="289">
        <v>8256</v>
      </c>
      <c r="AO262" s="289">
        <v>-325.65154636</v>
      </c>
      <c r="AP262" s="289">
        <v>0</v>
      </c>
      <c r="AQ262" s="289">
        <v>0</v>
      </c>
      <c r="AR262" s="289">
        <v>-26.726373939999998</v>
      </c>
      <c r="AS262" s="289">
        <v>80.278700000000001</v>
      </c>
      <c r="AT262" s="289">
        <v>421</v>
      </c>
      <c r="AU262" s="289">
        <v>50</v>
      </c>
      <c r="AV262" s="625">
        <v>169005</v>
      </c>
      <c r="AW262" s="289">
        <v>-126.4187</v>
      </c>
      <c r="AX262" s="625">
        <v>30.875</v>
      </c>
      <c r="AY262" s="289">
        <v>1207</v>
      </c>
      <c r="AZ262" s="289">
        <v>247</v>
      </c>
      <c r="BA262" s="290">
        <v>132</v>
      </c>
      <c r="BB262" s="289">
        <v>0</v>
      </c>
      <c r="BC262" s="289">
        <v>1313</v>
      </c>
      <c r="BD262" s="289">
        <v>109.88979999999999</v>
      </c>
      <c r="BE262" s="289">
        <v>169926.23594642</v>
      </c>
      <c r="BF262" s="289">
        <v>0</v>
      </c>
      <c r="BG262" s="289">
        <v>11</v>
      </c>
      <c r="BH262" s="289">
        <v>-52.941200000000002</v>
      </c>
      <c r="BI262" s="289">
        <v>1220</v>
      </c>
      <c r="BJ262" s="289">
        <v>-6.6702000000000004</v>
      </c>
      <c r="BK262" s="289">
        <v>0</v>
      </c>
      <c r="BL262" s="289">
        <v>0</v>
      </c>
      <c r="BM262" s="289">
        <v>0</v>
      </c>
      <c r="BN262" s="289">
        <v>0</v>
      </c>
      <c r="BO262" s="517">
        <v>0</v>
      </c>
      <c r="BP262" s="517">
        <v>0</v>
      </c>
      <c r="BQ262" s="289">
        <f t="shared" si="8"/>
        <v>-6.6701801052</v>
      </c>
      <c r="BR262" s="289">
        <v>0</v>
      </c>
      <c r="BS262" s="289">
        <f t="shared" si="9"/>
        <v>0</v>
      </c>
      <c r="BT262" s="289">
        <v>14</v>
      </c>
      <c r="BU262" s="289">
        <v>0</v>
      </c>
      <c r="BV262" s="289">
        <v>69</v>
      </c>
      <c r="BW262" s="289">
        <v>52.393999999999998</v>
      </c>
      <c r="BX262" s="289">
        <v>134.04599999999999</v>
      </c>
      <c r="CC262" s="517"/>
      <c r="CD262" s="85"/>
      <c r="CE262" s="517"/>
    </row>
    <row r="263" spans="1:83" ht="13">
      <c r="A263" s="1">
        <v>3452</v>
      </c>
      <c r="B263" s="2" t="s">
        <v>868</v>
      </c>
      <c r="C263" s="289">
        <v>2139</v>
      </c>
      <c r="D263" s="289">
        <v>30</v>
      </c>
      <c r="E263" s="289">
        <v>63</v>
      </c>
      <c r="F263" s="289">
        <v>271</v>
      </c>
      <c r="G263" s="289">
        <v>159</v>
      </c>
      <c r="H263" s="289">
        <v>1184</v>
      </c>
      <c r="I263" s="289">
        <v>310</v>
      </c>
      <c r="J263" s="289">
        <v>91</v>
      </c>
      <c r="K263" s="289">
        <v>24</v>
      </c>
      <c r="L263" s="289">
        <v>19</v>
      </c>
      <c r="M263" s="289">
        <v>195</v>
      </c>
      <c r="N263" s="290">
        <v>23</v>
      </c>
      <c r="O263" s="290">
        <v>26</v>
      </c>
      <c r="P263" s="624">
        <v>14851.87766667</v>
      </c>
      <c r="Q263" s="624">
        <v>7293.7893333299999</v>
      </c>
      <c r="R263" s="624">
        <v>5</v>
      </c>
      <c r="S263" s="289">
        <v>0</v>
      </c>
      <c r="T263" s="289">
        <v>200</v>
      </c>
      <c r="U263" s="716">
        <v>3.2217634704606599E-3</v>
      </c>
      <c r="V263" s="289">
        <v>495.50667607000003</v>
      </c>
      <c r="W263" s="743">
        <v>0.76576902000000002</v>
      </c>
      <c r="X263" s="289">
        <v>400</v>
      </c>
      <c r="Y263" s="289">
        <v>392</v>
      </c>
      <c r="Z263" s="289">
        <v>61276</v>
      </c>
      <c r="AA263" s="289">
        <v>0</v>
      </c>
      <c r="AB263" s="290">
        <v>31</v>
      </c>
      <c r="AC263" s="289">
        <v>0</v>
      </c>
      <c r="AD263" s="289">
        <v>0</v>
      </c>
      <c r="AE263" s="289">
        <v>0</v>
      </c>
      <c r="AF263" s="289">
        <v>0</v>
      </c>
      <c r="AG263" s="289">
        <v>2132</v>
      </c>
      <c r="AH263" s="289">
        <v>271</v>
      </c>
      <c r="AI263" s="289">
        <v>625</v>
      </c>
      <c r="AJ263" s="289">
        <v>0</v>
      </c>
      <c r="AK263" s="289">
        <v>6.484</v>
      </c>
      <c r="AL263" s="289"/>
      <c r="AM263" s="622">
        <v>4.6339270000000002E-2</v>
      </c>
      <c r="AN263" s="289">
        <v>0</v>
      </c>
      <c r="AO263" s="289">
        <v>-116.65391438</v>
      </c>
      <c r="AP263" s="289">
        <v>0</v>
      </c>
      <c r="AQ263" s="289">
        <v>0</v>
      </c>
      <c r="AR263" s="289">
        <v>788.46057089999999</v>
      </c>
      <c r="AS263" s="289">
        <v>25.168399999999998</v>
      </c>
      <c r="AT263" s="289">
        <v>117</v>
      </c>
      <c r="AU263" s="289">
        <v>15</v>
      </c>
      <c r="AV263" s="625">
        <v>71342</v>
      </c>
      <c r="AW263" s="289">
        <v>-41.478099999999998</v>
      </c>
      <c r="AX263" s="625">
        <v>11.95833333</v>
      </c>
      <c r="AY263" s="289">
        <v>360</v>
      </c>
      <c r="AZ263" s="289">
        <v>118</v>
      </c>
      <c r="BA263" s="290">
        <v>47</v>
      </c>
      <c r="BB263" s="289">
        <v>5543</v>
      </c>
      <c r="BC263" s="289">
        <v>721</v>
      </c>
      <c r="BD263" s="289">
        <v>35.9664</v>
      </c>
      <c r="BE263" s="289">
        <v>70675.355121579996</v>
      </c>
      <c r="BF263" s="289">
        <v>0</v>
      </c>
      <c r="BG263" s="289">
        <v>11</v>
      </c>
      <c r="BH263" s="289">
        <v>-17.370100000000001</v>
      </c>
      <c r="BI263" s="289">
        <v>663</v>
      </c>
      <c r="BJ263" s="289">
        <v>-2.1884999999999999</v>
      </c>
      <c r="BK263" s="289">
        <v>0</v>
      </c>
      <c r="BL263" s="289">
        <v>0</v>
      </c>
      <c r="BM263" s="289">
        <v>0</v>
      </c>
      <c r="BN263" s="289">
        <v>0</v>
      </c>
      <c r="BO263" s="517">
        <v>0</v>
      </c>
      <c r="BP263" s="517">
        <v>0</v>
      </c>
      <c r="BQ263" s="289">
        <f t="shared" si="8"/>
        <v>-2.1884924568000002</v>
      </c>
      <c r="BR263" s="289">
        <v>0</v>
      </c>
      <c r="BS263" s="289">
        <f t="shared" si="9"/>
        <v>0</v>
      </c>
      <c r="BT263" s="289">
        <v>4</v>
      </c>
      <c r="BU263" s="289">
        <v>0</v>
      </c>
      <c r="BV263" s="289">
        <v>28</v>
      </c>
      <c r="BW263" s="289">
        <v>36.676000000000002</v>
      </c>
      <c r="BX263" s="289">
        <v>44.267000000000003</v>
      </c>
      <c r="CC263" s="517"/>
      <c r="CD263" s="85"/>
      <c r="CE263" s="517"/>
    </row>
    <row r="264" spans="1:83" ht="13">
      <c r="A264" s="1">
        <v>3453</v>
      </c>
      <c r="B264" s="2" t="s">
        <v>869</v>
      </c>
      <c r="C264" s="289">
        <v>3221</v>
      </c>
      <c r="D264" s="289">
        <v>76</v>
      </c>
      <c r="E264" s="289">
        <v>113</v>
      </c>
      <c r="F264" s="289">
        <v>363</v>
      </c>
      <c r="G264" s="289">
        <v>268</v>
      </c>
      <c r="H264" s="289">
        <v>1818</v>
      </c>
      <c r="I264" s="289">
        <v>454</v>
      </c>
      <c r="J264" s="289">
        <v>120</v>
      </c>
      <c r="K264" s="289">
        <v>34</v>
      </c>
      <c r="L264" s="289">
        <v>27</v>
      </c>
      <c r="M264" s="289">
        <v>271</v>
      </c>
      <c r="N264" s="290">
        <v>24</v>
      </c>
      <c r="O264" s="290">
        <v>24</v>
      </c>
      <c r="P264" s="624">
        <v>46522.241999999998</v>
      </c>
      <c r="Q264" s="624">
        <v>14267.553</v>
      </c>
      <c r="R264" s="624">
        <v>15</v>
      </c>
      <c r="S264" s="289">
        <v>0</v>
      </c>
      <c r="T264" s="289">
        <v>288</v>
      </c>
      <c r="U264" s="716">
        <v>3.3636742900075424E-3</v>
      </c>
      <c r="V264" s="289">
        <v>1068.65823677</v>
      </c>
      <c r="W264" s="743">
        <v>0.79995738999999999</v>
      </c>
      <c r="X264" s="289">
        <v>0</v>
      </c>
      <c r="Y264" s="289">
        <v>392</v>
      </c>
      <c r="Z264" s="289">
        <v>96866</v>
      </c>
      <c r="AA264" s="289">
        <v>0</v>
      </c>
      <c r="AB264" s="290">
        <v>52</v>
      </c>
      <c r="AC264" s="289">
        <v>0</v>
      </c>
      <c r="AD264" s="289">
        <v>0</v>
      </c>
      <c r="AE264" s="289">
        <v>0</v>
      </c>
      <c r="AF264" s="289">
        <v>0</v>
      </c>
      <c r="AG264" s="289">
        <v>3246</v>
      </c>
      <c r="AH264" s="289">
        <v>426</v>
      </c>
      <c r="AI264" s="289">
        <v>625</v>
      </c>
      <c r="AJ264" s="289">
        <v>0</v>
      </c>
      <c r="AK264" s="289">
        <v>12.1911</v>
      </c>
      <c r="AL264" s="289"/>
      <c r="AM264" s="622">
        <v>3.5042780000000003E-2</v>
      </c>
      <c r="AN264" s="289">
        <v>3787</v>
      </c>
      <c r="AO264" s="289">
        <v>-172.50486050000001</v>
      </c>
      <c r="AP264" s="289">
        <v>0</v>
      </c>
      <c r="AQ264" s="289">
        <v>0</v>
      </c>
      <c r="AR264" s="289">
        <v>-232.00524135000001</v>
      </c>
      <c r="AS264" s="289">
        <v>35.240600000000001</v>
      </c>
      <c r="AT264" s="289">
        <v>163</v>
      </c>
      <c r="AU264" s="289">
        <v>21</v>
      </c>
      <c r="AV264" s="625">
        <v>96393</v>
      </c>
      <c r="AW264" s="289">
        <v>-1.6483000000000001</v>
      </c>
      <c r="AX264" s="625">
        <v>31.75</v>
      </c>
      <c r="AY264" s="289">
        <v>602</v>
      </c>
      <c r="AZ264" s="289">
        <v>108</v>
      </c>
      <c r="BA264" s="290">
        <v>52</v>
      </c>
      <c r="BB264" s="289">
        <v>0</v>
      </c>
      <c r="BC264" s="289">
        <v>867</v>
      </c>
      <c r="BD264" s="289">
        <v>56.537500000000001</v>
      </c>
      <c r="BE264" s="289">
        <v>97219.409644059997</v>
      </c>
      <c r="BF264" s="289">
        <v>0</v>
      </c>
      <c r="BG264" s="289">
        <v>11</v>
      </c>
      <c r="BH264" s="289">
        <v>-26.446200000000001</v>
      </c>
      <c r="BI264" s="289">
        <v>818</v>
      </c>
      <c r="BJ264" s="289">
        <v>-3.3319999999999999</v>
      </c>
      <c r="BK264" s="289">
        <v>0</v>
      </c>
      <c r="BL264" s="289">
        <v>0</v>
      </c>
      <c r="BM264" s="289">
        <v>0</v>
      </c>
      <c r="BN264" s="289">
        <v>0</v>
      </c>
      <c r="BO264" s="517">
        <v>0</v>
      </c>
      <c r="BP264" s="517">
        <v>0</v>
      </c>
      <c r="BQ264" s="289">
        <f t="shared" si="8"/>
        <v>-3.3320105604000001</v>
      </c>
      <c r="BR264" s="289">
        <v>0</v>
      </c>
      <c r="BS264" s="289">
        <f t="shared" si="9"/>
        <v>0</v>
      </c>
      <c r="BT264" s="289">
        <v>7</v>
      </c>
      <c r="BU264" s="289">
        <v>0</v>
      </c>
      <c r="BV264" s="289">
        <v>41</v>
      </c>
      <c r="BW264" s="289">
        <v>0</v>
      </c>
      <c r="BX264" s="289">
        <v>66.388999999999996</v>
      </c>
      <c r="CC264" s="517"/>
      <c r="CD264" s="85"/>
      <c r="CE264" s="517"/>
    </row>
    <row r="265" spans="1:83" ht="13">
      <c r="A265" s="1">
        <v>3454</v>
      </c>
      <c r="B265" s="2" t="s">
        <v>870</v>
      </c>
      <c r="C265" s="289">
        <v>1601</v>
      </c>
      <c r="D265" s="289">
        <v>30</v>
      </c>
      <c r="E265" s="289">
        <v>65</v>
      </c>
      <c r="F265" s="289">
        <v>187</v>
      </c>
      <c r="G265" s="289">
        <v>117</v>
      </c>
      <c r="H265" s="289">
        <v>896</v>
      </c>
      <c r="I265" s="289">
        <v>232</v>
      </c>
      <c r="J265" s="289">
        <v>64</v>
      </c>
      <c r="K265" s="289">
        <v>19</v>
      </c>
      <c r="L265" s="289">
        <v>16</v>
      </c>
      <c r="M265" s="289">
        <v>134</v>
      </c>
      <c r="N265" s="290">
        <v>13</v>
      </c>
      <c r="O265" s="290">
        <v>33</v>
      </c>
      <c r="P265" s="624">
        <v>17616.78033333</v>
      </c>
      <c r="Q265" s="624">
        <v>7142.7389999999996</v>
      </c>
      <c r="R265" s="624">
        <v>9</v>
      </c>
      <c r="S265" s="289">
        <v>0</v>
      </c>
      <c r="T265" s="289">
        <v>123</v>
      </c>
      <c r="U265" s="716">
        <v>2.4314068289652806E-3</v>
      </c>
      <c r="V265" s="289">
        <v>714.57672661000004</v>
      </c>
      <c r="W265" s="743">
        <v>0.99770334999999999</v>
      </c>
      <c r="X265" s="289">
        <v>0</v>
      </c>
      <c r="Y265" s="289">
        <v>392</v>
      </c>
      <c r="Z265" s="289">
        <v>47228</v>
      </c>
      <c r="AA265" s="289">
        <v>0</v>
      </c>
      <c r="AB265" s="290">
        <v>21</v>
      </c>
      <c r="AC265" s="289">
        <v>0</v>
      </c>
      <c r="AD265" s="289">
        <v>0</v>
      </c>
      <c r="AE265" s="289">
        <v>0</v>
      </c>
      <c r="AF265" s="289">
        <v>0</v>
      </c>
      <c r="AG265" s="289">
        <v>1610</v>
      </c>
      <c r="AH265" s="289">
        <v>206</v>
      </c>
      <c r="AI265" s="289">
        <v>20</v>
      </c>
      <c r="AJ265" s="289">
        <v>0</v>
      </c>
      <c r="AK265" s="289">
        <v>6.3486000000000002</v>
      </c>
      <c r="AL265" s="289"/>
      <c r="AM265" s="622">
        <v>3.684022E-2</v>
      </c>
      <c r="AN265" s="289">
        <v>0</v>
      </c>
      <c r="AO265" s="289">
        <v>-99.388945699999994</v>
      </c>
      <c r="AP265" s="289">
        <v>0</v>
      </c>
      <c r="AQ265" s="289">
        <v>0</v>
      </c>
      <c r="AR265" s="289">
        <v>-115.07345612</v>
      </c>
      <c r="AS265" s="289">
        <v>16.986499999999999</v>
      </c>
      <c r="AT265" s="289">
        <v>68</v>
      </c>
      <c r="AU265" s="289">
        <v>12</v>
      </c>
      <c r="AV265" s="625">
        <v>62186</v>
      </c>
      <c r="AW265" s="289">
        <v>-0.81759999999999999</v>
      </c>
      <c r="AX265" s="625">
        <v>9.0416666699999997</v>
      </c>
      <c r="AY265" s="289">
        <v>310</v>
      </c>
      <c r="AZ265" s="289">
        <v>115</v>
      </c>
      <c r="BA265" s="290">
        <v>22</v>
      </c>
      <c r="BB265" s="289">
        <v>5543</v>
      </c>
      <c r="BC265" s="289">
        <v>659</v>
      </c>
      <c r="BD265" s="289">
        <v>27.339700000000001</v>
      </c>
      <c r="BE265" s="289">
        <v>66479.339145539998</v>
      </c>
      <c r="BF265" s="289">
        <v>0</v>
      </c>
      <c r="BG265" s="289">
        <v>11</v>
      </c>
      <c r="BH265" s="289">
        <v>-13.1172</v>
      </c>
      <c r="BI265" s="289">
        <v>598</v>
      </c>
      <c r="BJ265" s="289">
        <v>-1.6527000000000001</v>
      </c>
      <c r="BK265" s="289">
        <v>0</v>
      </c>
      <c r="BL265" s="289">
        <v>0</v>
      </c>
      <c r="BM265" s="289">
        <v>0</v>
      </c>
      <c r="BN265" s="289">
        <v>0</v>
      </c>
      <c r="BO265" s="517">
        <v>0</v>
      </c>
      <c r="BP265" s="517">
        <v>0</v>
      </c>
      <c r="BQ265" s="289">
        <f t="shared" si="8"/>
        <v>-1.6526608140000001</v>
      </c>
      <c r="BR265" s="289">
        <v>0</v>
      </c>
      <c r="BS265" s="289">
        <f t="shared" si="9"/>
        <v>0</v>
      </c>
      <c r="BT265" s="289">
        <v>4</v>
      </c>
      <c r="BU265" s="289">
        <v>0</v>
      </c>
      <c r="BV265" s="289">
        <v>25</v>
      </c>
      <c r="BW265" s="289">
        <v>0</v>
      </c>
      <c r="BX265" s="289">
        <v>33.091000000000001</v>
      </c>
      <c r="CC265" s="517"/>
      <c r="CD265" s="85"/>
      <c r="CE265" s="517"/>
    </row>
    <row r="266" spans="1:83" ht="13">
      <c r="A266" s="1">
        <v>3801</v>
      </c>
      <c r="B266" s="4" t="s">
        <v>346</v>
      </c>
      <c r="C266" s="289">
        <v>27317</v>
      </c>
      <c r="D266" s="289">
        <v>502</v>
      </c>
      <c r="E266" s="289">
        <v>1171</v>
      </c>
      <c r="F266" s="289">
        <v>3238</v>
      </c>
      <c r="G266" s="289">
        <v>2461</v>
      </c>
      <c r="H266" s="289">
        <v>15267</v>
      </c>
      <c r="I266" s="289">
        <v>3320</v>
      </c>
      <c r="J266" s="289">
        <v>1065</v>
      </c>
      <c r="K266" s="289">
        <v>247</v>
      </c>
      <c r="L266" s="289">
        <v>223</v>
      </c>
      <c r="M266" s="289">
        <v>1965</v>
      </c>
      <c r="N266" s="290">
        <v>842</v>
      </c>
      <c r="O266" s="290">
        <v>277</v>
      </c>
      <c r="P266" s="624">
        <v>34820.90833333</v>
      </c>
      <c r="Q266" s="624">
        <v>26776.510666670001</v>
      </c>
      <c r="R266" s="624">
        <v>110</v>
      </c>
      <c r="S266" s="289">
        <v>0</v>
      </c>
      <c r="T266" s="289">
        <v>2293</v>
      </c>
      <c r="U266" s="716">
        <v>1.1028929886171927E-3</v>
      </c>
      <c r="V266" s="289">
        <v>-1550.8300524900001</v>
      </c>
      <c r="W266" s="743">
        <v>0.53548560999999995</v>
      </c>
      <c r="X266" s="289">
        <v>2173</v>
      </c>
      <c r="Y266" s="289">
        <v>392</v>
      </c>
      <c r="Z266" s="289">
        <v>672391</v>
      </c>
      <c r="AA266" s="289">
        <v>0</v>
      </c>
      <c r="AB266" s="290">
        <v>621</v>
      </c>
      <c r="AC266" s="289">
        <v>0</v>
      </c>
      <c r="AD266" s="289">
        <v>0</v>
      </c>
      <c r="AE266" s="289">
        <v>0</v>
      </c>
      <c r="AF266" s="289">
        <v>0</v>
      </c>
      <c r="AG266" s="289">
        <v>27271</v>
      </c>
      <c r="AH266" s="289">
        <v>3787</v>
      </c>
      <c r="AI266" s="289">
        <v>425</v>
      </c>
      <c r="AJ266" s="289">
        <v>0</v>
      </c>
      <c r="AK266" s="289">
        <v>115.1028</v>
      </c>
      <c r="AL266" s="289"/>
      <c r="AM266" s="622">
        <v>2.0213154699999998</v>
      </c>
      <c r="AN266" s="289">
        <v>0</v>
      </c>
      <c r="AO266" s="289">
        <v>-1328.86902515</v>
      </c>
      <c r="AP266" s="289">
        <v>0</v>
      </c>
      <c r="AQ266" s="289">
        <v>0</v>
      </c>
      <c r="AR266" s="289">
        <v>-1949.1728086099999</v>
      </c>
      <c r="AS266" s="289">
        <v>449.78919999999999</v>
      </c>
      <c r="AT266" s="289">
        <v>1926</v>
      </c>
      <c r="AU266" s="289">
        <v>524</v>
      </c>
      <c r="AV266" s="625">
        <v>631897</v>
      </c>
      <c r="AW266" s="289">
        <v>-13.848100000000001</v>
      </c>
      <c r="AX266" s="625">
        <v>140.33333329999999</v>
      </c>
      <c r="AY266" s="289">
        <v>6594</v>
      </c>
      <c r="AZ266" s="289">
        <v>1482</v>
      </c>
      <c r="BA266" s="290">
        <v>728</v>
      </c>
      <c r="BB266" s="289">
        <v>0</v>
      </c>
      <c r="BC266" s="289">
        <v>4079</v>
      </c>
      <c r="BD266" s="289">
        <v>502.59989999999999</v>
      </c>
      <c r="BE266" s="289">
        <v>650101.43822842999</v>
      </c>
      <c r="BF266" s="289">
        <v>0</v>
      </c>
      <c r="BG266" s="289">
        <v>11</v>
      </c>
      <c r="BH266" s="289">
        <v>-222.18520000000001</v>
      </c>
      <c r="BI266" s="289">
        <v>4179</v>
      </c>
      <c r="BJ266" s="289">
        <v>-27.993600000000001</v>
      </c>
      <c r="BK266" s="289">
        <v>0</v>
      </c>
      <c r="BL266" s="289">
        <v>0</v>
      </c>
      <c r="BM266" s="289">
        <v>0</v>
      </c>
      <c r="BN266" s="289">
        <v>0</v>
      </c>
      <c r="BO266" s="517">
        <v>0</v>
      </c>
      <c r="BP266" s="517">
        <v>0</v>
      </c>
      <c r="BQ266" s="289">
        <f t="shared" si="8"/>
        <v>-27.9936105954</v>
      </c>
      <c r="BR266" s="289">
        <v>0</v>
      </c>
      <c r="BS266" s="289">
        <f t="shared" si="9"/>
        <v>0</v>
      </c>
      <c r="BT266" s="289">
        <v>66</v>
      </c>
      <c r="BU266" s="289">
        <v>0</v>
      </c>
      <c r="BV266" s="289">
        <v>248</v>
      </c>
      <c r="BW266" s="289">
        <v>0</v>
      </c>
      <c r="BX266" s="289">
        <v>568.48599999999999</v>
      </c>
      <c r="CC266" s="517"/>
      <c r="CD266" s="85"/>
      <c r="CE266" s="517"/>
    </row>
    <row r="267" spans="1:83" ht="13">
      <c r="A267" s="755">
        <v>3804</v>
      </c>
      <c r="B267" s="756" t="s">
        <v>1153</v>
      </c>
      <c r="C267" s="290">
        <v>62615</v>
      </c>
      <c r="D267" s="290">
        <v>1235</v>
      </c>
      <c r="E267" s="290">
        <v>2753</v>
      </c>
      <c r="F267" s="290">
        <v>7534</v>
      </c>
      <c r="G267" s="290">
        <v>5739</v>
      </c>
      <c r="H267" s="290">
        <v>35164</v>
      </c>
      <c r="I267" s="290">
        <v>7146</v>
      </c>
      <c r="J267" s="290">
        <v>2315</v>
      </c>
      <c r="K267" s="290">
        <v>567</v>
      </c>
      <c r="L267" s="290">
        <v>505</v>
      </c>
      <c r="M267" s="290">
        <v>4416</v>
      </c>
      <c r="N267" s="290">
        <v>1863</v>
      </c>
      <c r="O267" s="290">
        <v>661</v>
      </c>
      <c r="P267" s="624">
        <v>162869.61749999999</v>
      </c>
      <c r="Q267" s="624">
        <v>74868.811499999996</v>
      </c>
      <c r="R267" s="624">
        <v>236</v>
      </c>
      <c r="S267" s="289">
        <v>0</v>
      </c>
      <c r="T267" s="290">
        <v>5336</v>
      </c>
      <c r="U267" s="764">
        <v>7.8640382832351422E-3</v>
      </c>
      <c r="V267" s="290">
        <v>-13837.35271531</v>
      </c>
      <c r="W267" s="765">
        <v>0.55037853999999997</v>
      </c>
      <c r="X267" s="290">
        <v>5009</v>
      </c>
      <c r="Y267" s="290">
        <v>784</v>
      </c>
      <c r="Z267" s="289">
        <v>1650021</v>
      </c>
      <c r="AA267" s="290">
        <v>0</v>
      </c>
      <c r="AB267" s="290">
        <v>1480</v>
      </c>
      <c r="AC267" s="289">
        <v>0</v>
      </c>
      <c r="AD267" s="289">
        <v>0</v>
      </c>
      <c r="AE267" s="290">
        <v>0</v>
      </c>
      <c r="AF267" s="290">
        <v>27720.468000000001</v>
      </c>
      <c r="AG267" s="290">
        <v>62453</v>
      </c>
      <c r="AH267" s="290">
        <v>8873</v>
      </c>
      <c r="AI267" s="290">
        <v>720</v>
      </c>
      <c r="AJ267" s="290">
        <v>0</v>
      </c>
      <c r="AK267" s="290">
        <v>269.20510000000002</v>
      </c>
      <c r="AL267" s="290"/>
      <c r="AM267" s="691">
        <v>3.4680705600000001</v>
      </c>
      <c r="AN267" s="290">
        <v>0</v>
      </c>
      <c r="AO267" s="290">
        <v>-3024.49984872</v>
      </c>
      <c r="AP267" s="290">
        <v>0</v>
      </c>
      <c r="AQ267" s="290">
        <v>0</v>
      </c>
      <c r="AR267" s="290">
        <v>-4463.7779845200002</v>
      </c>
      <c r="AS267" s="289">
        <v>972.18769999999995</v>
      </c>
      <c r="AT267" s="290">
        <v>4381</v>
      </c>
      <c r="AU267" s="290">
        <v>1018</v>
      </c>
      <c r="AV267" s="766">
        <v>1434569</v>
      </c>
      <c r="AW267" s="290">
        <v>-31.7135</v>
      </c>
      <c r="AX267" s="766">
        <v>394.86730360000001</v>
      </c>
      <c r="AY267" s="290">
        <v>12924</v>
      </c>
      <c r="AZ267" s="290">
        <v>2991</v>
      </c>
      <c r="BA267" s="290">
        <v>1709</v>
      </c>
      <c r="BB267" s="290">
        <v>0</v>
      </c>
      <c r="BC267" s="290">
        <v>36814</v>
      </c>
      <c r="BD267" s="290">
        <v>1177.5995</v>
      </c>
      <c r="BE267" s="290">
        <v>1494345.7067722999</v>
      </c>
      <c r="BF267" s="290">
        <v>0</v>
      </c>
      <c r="BG267" s="290">
        <v>22</v>
      </c>
      <c r="BH267" s="290">
        <v>-508.82369999999997</v>
      </c>
      <c r="BI267" s="290">
        <v>37377.468000000001</v>
      </c>
      <c r="BJ267" s="289">
        <v>-64.107799999999997</v>
      </c>
      <c r="BK267" s="289">
        <v>0</v>
      </c>
      <c r="BL267" s="289">
        <v>0</v>
      </c>
      <c r="BM267" s="290">
        <v>7258</v>
      </c>
      <c r="BN267" s="289">
        <v>0</v>
      </c>
      <c r="BO267" s="517">
        <v>0</v>
      </c>
      <c r="BP267" s="517">
        <v>0</v>
      </c>
      <c r="BQ267" s="289">
        <f t="shared" si="8"/>
        <v>-64.107842122199997</v>
      </c>
      <c r="BR267" s="289">
        <v>0</v>
      </c>
      <c r="BS267" s="289">
        <f t="shared" si="9"/>
        <v>0</v>
      </c>
      <c r="BT267" s="289">
        <v>154</v>
      </c>
      <c r="BU267" s="289">
        <v>0</v>
      </c>
      <c r="BV267" s="289">
        <v>564</v>
      </c>
      <c r="BW267" s="289">
        <v>0</v>
      </c>
      <c r="BX267" s="289">
        <v>1308.6369999999999</v>
      </c>
      <c r="BY267" s="657"/>
      <c r="BZ267" s="657"/>
      <c r="CA267" s="657"/>
      <c r="CB267" s="657"/>
      <c r="CC267" s="517"/>
      <c r="CD267" s="85"/>
      <c r="CE267" s="517"/>
    </row>
    <row r="268" spans="1:83" ht="13">
      <c r="A268" s="1">
        <v>3805</v>
      </c>
      <c r="B268" s="2" t="s">
        <v>1235</v>
      </c>
      <c r="C268" s="289">
        <v>46801</v>
      </c>
      <c r="D268" s="289">
        <v>908</v>
      </c>
      <c r="E268" s="289">
        <v>1881</v>
      </c>
      <c r="F268" s="289">
        <v>5434</v>
      </c>
      <c r="G268" s="289">
        <v>4031</v>
      </c>
      <c r="H268" s="289">
        <v>26275</v>
      </c>
      <c r="I268" s="289">
        <v>5761</v>
      </c>
      <c r="J268" s="289">
        <v>1894</v>
      </c>
      <c r="K268" s="289">
        <v>518</v>
      </c>
      <c r="L268" s="289">
        <v>373</v>
      </c>
      <c r="M268" s="289">
        <v>3496</v>
      </c>
      <c r="N268" s="290">
        <v>1262</v>
      </c>
      <c r="O268" s="290">
        <v>392</v>
      </c>
      <c r="P268" s="624">
        <v>106392.08500000001</v>
      </c>
      <c r="Q268" s="624">
        <v>72295.445999999996</v>
      </c>
      <c r="R268" s="624">
        <v>210</v>
      </c>
      <c r="S268" s="289">
        <v>0</v>
      </c>
      <c r="T268" s="289">
        <v>3911</v>
      </c>
      <c r="U268" s="716">
        <v>7.9307619051119209E-3</v>
      </c>
      <c r="V268" s="289">
        <v>8374.3727076899995</v>
      </c>
      <c r="W268" s="743">
        <v>0.57081561000000003</v>
      </c>
      <c r="X268" s="289">
        <v>3878</v>
      </c>
      <c r="Y268" s="289">
        <v>636</v>
      </c>
      <c r="Z268" s="289">
        <v>1250980</v>
      </c>
      <c r="AA268" s="289">
        <v>0</v>
      </c>
      <c r="AB268" s="290">
        <v>1292</v>
      </c>
      <c r="AC268" s="289">
        <v>0</v>
      </c>
      <c r="AD268" s="289">
        <v>0</v>
      </c>
      <c r="AE268" s="289">
        <v>0</v>
      </c>
      <c r="AF268" s="289">
        <v>19639.563750000001</v>
      </c>
      <c r="AG268" s="289">
        <v>46702</v>
      </c>
      <c r="AH268" s="289">
        <v>6319</v>
      </c>
      <c r="AI268" s="289">
        <v>830</v>
      </c>
      <c r="AJ268" s="289">
        <v>0</v>
      </c>
      <c r="AK268" s="289">
        <v>188.83709999999999</v>
      </c>
      <c r="AL268" s="289"/>
      <c r="AM268" s="622">
        <v>1.46491938</v>
      </c>
      <c r="AN268" s="289">
        <v>0</v>
      </c>
      <c r="AO268" s="289">
        <v>-2274.6112027499998</v>
      </c>
      <c r="AP268" s="289">
        <v>0</v>
      </c>
      <c r="AQ268" s="289">
        <v>0</v>
      </c>
      <c r="AR268" s="289">
        <v>-3337.98791785</v>
      </c>
      <c r="AS268" s="289">
        <v>665.19929999999999</v>
      </c>
      <c r="AT268" s="289">
        <v>3144</v>
      </c>
      <c r="AU268" s="289">
        <v>483</v>
      </c>
      <c r="AV268" s="625">
        <v>1120060</v>
      </c>
      <c r="AW268" s="289">
        <v>-23.715199999999999</v>
      </c>
      <c r="AX268" s="625">
        <v>322.50000003000002</v>
      </c>
      <c r="AY268" s="289">
        <v>9554</v>
      </c>
      <c r="AZ268" s="289">
        <v>2091</v>
      </c>
      <c r="BA268" s="290">
        <v>1186</v>
      </c>
      <c r="BB268" s="289">
        <v>0</v>
      </c>
      <c r="BC268" s="289">
        <v>6779</v>
      </c>
      <c r="BD268" s="289">
        <v>838.63980000000004</v>
      </c>
      <c r="BE268" s="289">
        <v>1149040.3489794999</v>
      </c>
      <c r="BF268" s="289">
        <v>0</v>
      </c>
      <c r="BG268" s="289">
        <v>24</v>
      </c>
      <c r="BH268" s="289">
        <v>-380.49549999999999</v>
      </c>
      <c r="BI268" s="289">
        <v>26594.563750000001</v>
      </c>
      <c r="BJ268" s="289">
        <v>-47.939500000000002</v>
      </c>
      <c r="BK268" s="289">
        <v>0</v>
      </c>
      <c r="BL268" s="289">
        <v>0</v>
      </c>
      <c r="BM268" s="289">
        <v>6235</v>
      </c>
      <c r="BN268" s="289">
        <v>0</v>
      </c>
      <c r="BO268" s="517">
        <v>0</v>
      </c>
      <c r="BP268" s="517">
        <v>0</v>
      </c>
      <c r="BQ268" s="289">
        <f t="shared" si="8"/>
        <v>-47.939481574800006</v>
      </c>
      <c r="BR268" s="289">
        <v>0</v>
      </c>
      <c r="BS268" s="289">
        <f t="shared" si="9"/>
        <v>0</v>
      </c>
      <c r="BT268" s="289">
        <v>108</v>
      </c>
      <c r="BU268" s="289">
        <v>0</v>
      </c>
      <c r="BV268" s="289">
        <v>431</v>
      </c>
      <c r="BW268" s="289">
        <v>0</v>
      </c>
      <c r="BX268" s="289">
        <v>977.85299999999995</v>
      </c>
      <c r="CC268" s="517"/>
      <c r="CD268" s="85"/>
      <c r="CE268" s="517"/>
    </row>
    <row r="269" spans="1:83" ht="13">
      <c r="A269" s="1">
        <v>3806</v>
      </c>
      <c r="B269" s="2" t="s">
        <v>904</v>
      </c>
      <c r="C269" s="289">
        <v>36091</v>
      </c>
      <c r="D269" s="289">
        <v>692</v>
      </c>
      <c r="E269" s="289">
        <v>1483</v>
      </c>
      <c r="F269" s="289">
        <v>4141</v>
      </c>
      <c r="G269" s="289">
        <v>3292</v>
      </c>
      <c r="H269" s="289">
        <v>20608</v>
      </c>
      <c r="I269" s="289">
        <v>4266</v>
      </c>
      <c r="J269" s="289">
        <v>1349</v>
      </c>
      <c r="K269" s="289">
        <v>362</v>
      </c>
      <c r="L269" s="289">
        <v>310</v>
      </c>
      <c r="M269" s="289">
        <v>2669</v>
      </c>
      <c r="N269" s="290">
        <v>1040</v>
      </c>
      <c r="O269" s="290">
        <v>271</v>
      </c>
      <c r="P269" s="624">
        <v>82966.971000000005</v>
      </c>
      <c r="Q269" s="624">
        <v>35527.476999999999</v>
      </c>
      <c r="R269" s="624">
        <v>138</v>
      </c>
      <c r="S269" s="289">
        <v>0</v>
      </c>
      <c r="T269" s="289">
        <v>3275</v>
      </c>
      <c r="U269" s="716">
        <v>9.1981162422877423E-4</v>
      </c>
      <c r="V269" s="289">
        <v>-5843.8570560099997</v>
      </c>
      <c r="W269" s="743">
        <v>0.53930606999999997</v>
      </c>
      <c r="X269" s="289">
        <v>0</v>
      </c>
      <c r="Y269" s="289">
        <v>784</v>
      </c>
      <c r="Z269" s="289">
        <v>994677</v>
      </c>
      <c r="AA269" s="289">
        <v>0</v>
      </c>
      <c r="AB269" s="290">
        <v>881</v>
      </c>
      <c r="AC269" s="289">
        <v>0</v>
      </c>
      <c r="AD269" s="289">
        <v>0</v>
      </c>
      <c r="AE269" s="289">
        <v>0</v>
      </c>
      <c r="AF269" s="289">
        <v>0</v>
      </c>
      <c r="AG269" s="289">
        <v>36193</v>
      </c>
      <c r="AH269" s="289">
        <v>4914</v>
      </c>
      <c r="AI269" s="289">
        <v>0</v>
      </c>
      <c r="AJ269" s="289">
        <v>0</v>
      </c>
      <c r="AK269" s="289">
        <v>149.25380000000001</v>
      </c>
      <c r="AL269" s="289"/>
      <c r="AM269" s="622">
        <v>1.7587189299999999</v>
      </c>
      <c r="AN269" s="289">
        <v>0</v>
      </c>
      <c r="AO269" s="289">
        <v>-1729.0766695499999</v>
      </c>
      <c r="AP269" s="289">
        <v>0</v>
      </c>
      <c r="AQ269" s="289">
        <v>0</v>
      </c>
      <c r="AR269" s="289">
        <v>-2586.8655884200002</v>
      </c>
      <c r="AS269" s="289">
        <v>559.8759</v>
      </c>
      <c r="AT269" s="289">
        <v>2512</v>
      </c>
      <c r="AU269" s="289">
        <v>573</v>
      </c>
      <c r="AV269" s="625">
        <v>800905</v>
      </c>
      <c r="AW269" s="289">
        <v>-18.378699999999998</v>
      </c>
      <c r="AX269" s="625">
        <v>244.62499997</v>
      </c>
      <c r="AY269" s="289">
        <v>7992</v>
      </c>
      <c r="AZ269" s="289">
        <v>1601</v>
      </c>
      <c r="BA269" s="290">
        <v>993</v>
      </c>
      <c r="BB269" s="289">
        <v>0</v>
      </c>
      <c r="BC269" s="289">
        <v>5662</v>
      </c>
      <c r="BD269" s="289">
        <v>652.17219999999998</v>
      </c>
      <c r="BE269" s="289">
        <v>820750.50027237996</v>
      </c>
      <c r="BF269" s="289">
        <v>0</v>
      </c>
      <c r="BG269" s="289">
        <v>22</v>
      </c>
      <c r="BH269" s="289">
        <v>-294.87549999999999</v>
      </c>
      <c r="BI269" s="289">
        <v>5698</v>
      </c>
      <c r="BJ269" s="289">
        <v>-37.152000000000001</v>
      </c>
      <c r="BK269" s="289">
        <v>0</v>
      </c>
      <c r="BL269" s="289">
        <v>0</v>
      </c>
      <c r="BM269" s="289">
        <v>0</v>
      </c>
      <c r="BN269" s="289">
        <v>0</v>
      </c>
      <c r="BO269" s="517">
        <v>0</v>
      </c>
      <c r="BP269" s="517">
        <v>0</v>
      </c>
      <c r="BQ269" s="289">
        <f t="shared" si="8"/>
        <v>-37.152020398200001</v>
      </c>
      <c r="BR269" s="289">
        <v>0</v>
      </c>
      <c r="BS269" s="289">
        <f t="shared" si="9"/>
        <v>0</v>
      </c>
      <c r="BT269" s="289">
        <v>85</v>
      </c>
      <c r="BU269" s="289">
        <v>0</v>
      </c>
      <c r="BV269" s="289">
        <v>327</v>
      </c>
      <c r="BW269" s="289">
        <v>353.48599999999999</v>
      </c>
      <c r="BX269" s="289">
        <v>750.14300000000003</v>
      </c>
      <c r="CC269" s="517"/>
      <c r="CD269" s="85"/>
      <c r="CE269" s="517"/>
    </row>
    <row r="270" spans="1:83" ht="13">
      <c r="A270" s="1">
        <v>3807</v>
      </c>
      <c r="B270" s="2" t="s">
        <v>905</v>
      </c>
      <c r="C270" s="289">
        <v>54510</v>
      </c>
      <c r="D270" s="289">
        <v>1089</v>
      </c>
      <c r="E270" s="289">
        <v>2402</v>
      </c>
      <c r="F270" s="289">
        <v>6342</v>
      </c>
      <c r="G270" s="289">
        <v>4788</v>
      </c>
      <c r="H270" s="289">
        <v>30895</v>
      </c>
      <c r="I270" s="289">
        <v>6516</v>
      </c>
      <c r="J270" s="289">
        <v>1977</v>
      </c>
      <c r="K270" s="289">
        <v>498</v>
      </c>
      <c r="L270" s="289">
        <v>454</v>
      </c>
      <c r="M270" s="289">
        <v>3849</v>
      </c>
      <c r="N270" s="290">
        <v>2581</v>
      </c>
      <c r="O270" s="290">
        <v>529</v>
      </c>
      <c r="P270" s="624">
        <v>143059.353</v>
      </c>
      <c r="Q270" s="624">
        <v>55906.255333330002</v>
      </c>
      <c r="R270" s="624">
        <v>193</v>
      </c>
      <c r="S270" s="289">
        <v>0</v>
      </c>
      <c r="T270" s="289">
        <v>4923</v>
      </c>
      <c r="U270" s="716">
        <v>4.6034293249810568E-3</v>
      </c>
      <c r="V270" s="289">
        <v>-7338.9718146499999</v>
      </c>
      <c r="W270" s="743">
        <v>0.54187799999999997</v>
      </c>
      <c r="X270" s="289">
        <v>0</v>
      </c>
      <c r="Y270" s="289">
        <v>1568</v>
      </c>
      <c r="Z270" s="289">
        <v>1395616</v>
      </c>
      <c r="AA270" s="289">
        <v>0</v>
      </c>
      <c r="AB270" s="290">
        <v>1319</v>
      </c>
      <c r="AC270" s="289">
        <v>0</v>
      </c>
      <c r="AD270" s="289">
        <v>0</v>
      </c>
      <c r="AE270" s="289">
        <v>0</v>
      </c>
      <c r="AF270" s="289">
        <v>0</v>
      </c>
      <c r="AG270" s="289">
        <v>54507</v>
      </c>
      <c r="AH270" s="289">
        <v>7502</v>
      </c>
      <c r="AI270" s="289">
        <v>3500</v>
      </c>
      <c r="AJ270" s="289">
        <v>0</v>
      </c>
      <c r="AK270" s="289">
        <v>236.16800000000001</v>
      </c>
      <c r="AL270" s="289"/>
      <c r="AM270" s="622">
        <v>3.6801386599999999</v>
      </c>
      <c r="AN270" s="289">
        <v>0</v>
      </c>
      <c r="AO270" s="289">
        <v>-2642.8957472699999</v>
      </c>
      <c r="AP270" s="289">
        <v>0</v>
      </c>
      <c r="AQ270" s="289">
        <v>0</v>
      </c>
      <c r="AR270" s="289">
        <v>-3895.84402034</v>
      </c>
      <c r="AS270" s="289">
        <v>972.79489999999998</v>
      </c>
      <c r="AT270" s="289">
        <v>3695</v>
      </c>
      <c r="AU270" s="289">
        <v>903</v>
      </c>
      <c r="AV270" s="625">
        <v>1249684</v>
      </c>
      <c r="AW270" s="289">
        <v>-27.6785</v>
      </c>
      <c r="AX270" s="625">
        <v>348.33333336999999</v>
      </c>
      <c r="AY270" s="289">
        <v>11763</v>
      </c>
      <c r="AZ270" s="289">
        <v>3254</v>
      </c>
      <c r="BA270" s="290">
        <v>1552</v>
      </c>
      <c r="BB270" s="289">
        <v>0</v>
      </c>
      <c r="BC270" s="289">
        <v>8822</v>
      </c>
      <c r="BD270" s="289">
        <v>995.64419999999996</v>
      </c>
      <c r="BE270" s="289">
        <v>1277995.9123680999</v>
      </c>
      <c r="BF270" s="289">
        <v>0</v>
      </c>
      <c r="BG270" s="289">
        <v>44</v>
      </c>
      <c r="BH270" s="289">
        <v>-444.08519999999999</v>
      </c>
      <c r="BI270" s="289">
        <v>9070</v>
      </c>
      <c r="BJ270" s="289">
        <v>-55.951300000000003</v>
      </c>
      <c r="BK270" s="289">
        <v>0</v>
      </c>
      <c r="BL270" s="289">
        <v>0</v>
      </c>
      <c r="BM270" s="289">
        <v>0</v>
      </c>
      <c r="BN270" s="289">
        <v>0</v>
      </c>
      <c r="BO270" s="517">
        <v>0</v>
      </c>
      <c r="BP270" s="517">
        <v>0</v>
      </c>
      <c r="BQ270" s="289">
        <f t="shared" si="8"/>
        <v>-55.951293781799997</v>
      </c>
      <c r="BR270" s="289">
        <v>0</v>
      </c>
      <c r="BS270" s="289">
        <f t="shared" si="9"/>
        <v>0</v>
      </c>
      <c r="BT270" s="289">
        <v>135</v>
      </c>
      <c r="BU270" s="289">
        <v>0</v>
      </c>
      <c r="BV270" s="289">
        <v>493</v>
      </c>
      <c r="BW270" s="289">
        <v>453.67</v>
      </c>
      <c r="BX270" s="289">
        <v>1137.221</v>
      </c>
      <c r="CC270" s="517"/>
      <c r="CD270" s="85"/>
      <c r="CE270" s="517"/>
    </row>
    <row r="271" spans="1:83" ht="13">
      <c r="A271" s="1">
        <v>3808</v>
      </c>
      <c r="B271" s="2" t="s">
        <v>906</v>
      </c>
      <c r="C271" s="289">
        <v>12664</v>
      </c>
      <c r="D271" s="289">
        <v>265</v>
      </c>
      <c r="E271" s="289">
        <v>514</v>
      </c>
      <c r="F271" s="289">
        <v>1464</v>
      </c>
      <c r="G271" s="289">
        <v>1096</v>
      </c>
      <c r="H271" s="289">
        <v>7100</v>
      </c>
      <c r="I271" s="289">
        <v>1587</v>
      </c>
      <c r="J271" s="289">
        <v>551</v>
      </c>
      <c r="K271" s="289">
        <v>172</v>
      </c>
      <c r="L271" s="289">
        <v>114</v>
      </c>
      <c r="M271" s="289">
        <v>1083</v>
      </c>
      <c r="N271" s="290">
        <v>243</v>
      </c>
      <c r="O271" s="290">
        <v>151</v>
      </c>
      <c r="P271" s="624">
        <v>53482.532666669998</v>
      </c>
      <c r="Q271" s="624">
        <v>18374.58533333</v>
      </c>
      <c r="R271" s="624">
        <v>70</v>
      </c>
      <c r="S271" s="289">
        <v>0</v>
      </c>
      <c r="T271" s="289">
        <v>1208</v>
      </c>
      <c r="U271" s="716">
        <v>3.0140057349235215E-3</v>
      </c>
      <c r="V271" s="289">
        <v>-2015.1660298199999</v>
      </c>
      <c r="W271" s="743">
        <v>0.58285766999999999</v>
      </c>
      <c r="X271" s="289">
        <v>3000</v>
      </c>
      <c r="Y271" s="289">
        <v>392</v>
      </c>
      <c r="Z271" s="289">
        <v>311118</v>
      </c>
      <c r="AA271" s="289">
        <v>0</v>
      </c>
      <c r="AB271" s="290">
        <v>379</v>
      </c>
      <c r="AC271" s="289">
        <v>0</v>
      </c>
      <c r="AD271" s="289">
        <v>0</v>
      </c>
      <c r="AE271" s="289">
        <v>0</v>
      </c>
      <c r="AF271" s="289">
        <v>0</v>
      </c>
      <c r="AG271" s="289">
        <v>12749</v>
      </c>
      <c r="AH271" s="289">
        <v>1703</v>
      </c>
      <c r="AI271" s="289">
        <v>500</v>
      </c>
      <c r="AJ271" s="289">
        <v>0</v>
      </c>
      <c r="AK271" s="289">
        <v>52.517400000000002</v>
      </c>
      <c r="AL271" s="289"/>
      <c r="AM271" s="622">
        <v>0.61117049999999995</v>
      </c>
      <c r="AN271" s="289">
        <v>9039</v>
      </c>
      <c r="AO271" s="289">
        <v>-662.48018860000002</v>
      </c>
      <c r="AP271" s="289">
        <v>0</v>
      </c>
      <c r="AQ271" s="289">
        <v>0</v>
      </c>
      <c r="AR271" s="289">
        <v>-911.22452924000004</v>
      </c>
      <c r="AS271" s="289">
        <v>195.67840000000001</v>
      </c>
      <c r="AT271" s="289">
        <v>752</v>
      </c>
      <c r="AU271" s="289">
        <v>198</v>
      </c>
      <c r="AV271" s="625">
        <v>350129</v>
      </c>
      <c r="AW271" s="289">
        <v>-6.4739000000000004</v>
      </c>
      <c r="AX271" s="625">
        <v>103.875</v>
      </c>
      <c r="AY271" s="289">
        <v>2571</v>
      </c>
      <c r="AZ271" s="289">
        <v>668</v>
      </c>
      <c r="BA271" s="290">
        <v>342</v>
      </c>
      <c r="BB271" s="289">
        <v>0</v>
      </c>
      <c r="BC271" s="289">
        <v>2029</v>
      </c>
      <c r="BD271" s="289">
        <v>226.01730000000001</v>
      </c>
      <c r="BE271" s="289">
        <v>356199.12196482997</v>
      </c>
      <c r="BF271" s="289">
        <v>0</v>
      </c>
      <c r="BG271" s="289">
        <v>11</v>
      </c>
      <c r="BH271" s="289">
        <v>-103.87</v>
      </c>
      <c r="BI271" s="289">
        <v>2095</v>
      </c>
      <c r="BJ271" s="289">
        <v>-13.0868</v>
      </c>
      <c r="BK271" s="289">
        <v>0</v>
      </c>
      <c r="BL271" s="289">
        <v>0</v>
      </c>
      <c r="BM271" s="289">
        <v>0</v>
      </c>
      <c r="BN271" s="289">
        <v>0</v>
      </c>
      <c r="BO271" s="517">
        <v>0</v>
      </c>
      <c r="BP271" s="517">
        <v>0</v>
      </c>
      <c r="BQ271" s="289">
        <f t="shared" si="8"/>
        <v>-13.0868153526</v>
      </c>
      <c r="BR271" s="289">
        <v>0</v>
      </c>
      <c r="BS271" s="289">
        <f t="shared" si="9"/>
        <v>0</v>
      </c>
      <c r="BT271" s="289">
        <v>30</v>
      </c>
      <c r="BU271" s="289">
        <v>0</v>
      </c>
      <c r="BV271" s="289">
        <v>124</v>
      </c>
      <c r="BW271" s="289">
        <v>226.06399999999999</v>
      </c>
      <c r="BX271" s="289">
        <v>263.45999999999998</v>
      </c>
      <c r="CC271" s="517"/>
      <c r="CD271" s="85"/>
      <c r="CE271" s="517"/>
    </row>
    <row r="272" spans="1:83" ht="13">
      <c r="A272" s="1">
        <v>3811</v>
      </c>
      <c r="B272" s="2" t="s">
        <v>1241</v>
      </c>
      <c r="C272" s="289">
        <v>26734</v>
      </c>
      <c r="D272" s="289">
        <v>496</v>
      </c>
      <c r="E272" s="289">
        <v>1076</v>
      </c>
      <c r="F272" s="289">
        <v>3261</v>
      </c>
      <c r="G272" s="289">
        <v>2379</v>
      </c>
      <c r="H272" s="289">
        <v>14818</v>
      </c>
      <c r="I272" s="289">
        <v>3381</v>
      </c>
      <c r="J272" s="289">
        <v>1094</v>
      </c>
      <c r="K272" s="289">
        <v>275</v>
      </c>
      <c r="L272" s="289">
        <v>202</v>
      </c>
      <c r="M272" s="289">
        <v>2027</v>
      </c>
      <c r="N272" s="290">
        <v>577</v>
      </c>
      <c r="O272" s="290">
        <v>204</v>
      </c>
      <c r="P272" s="624">
        <v>60277.392999999996</v>
      </c>
      <c r="Q272" s="624">
        <v>45003.364999999998</v>
      </c>
      <c r="R272" s="624">
        <v>84</v>
      </c>
      <c r="S272" s="289">
        <v>0</v>
      </c>
      <c r="T272" s="289">
        <v>1997</v>
      </c>
      <c r="U272" s="716">
        <v>1.3056609254857934E-3</v>
      </c>
      <c r="V272" s="289">
        <v>-14379.9244315</v>
      </c>
      <c r="W272" s="743">
        <v>0.55445420999999995</v>
      </c>
      <c r="X272" s="289">
        <v>1714</v>
      </c>
      <c r="Y272" s="289">
        <v>784</v>
      </c>
      <c r="Z272" s="289">
        <v>826128</v>
      </c>
      <c r="AA272" s="289">
        <v>0</v>
      </c>
      <c r="AB272" s="290">
        <v>457</v>
      </c>
      <c r="AC272" s="289">
        <v>0</v>
      </c>
      <c r="AD272" s="289">
        <v>0</v>
      </c>
      <c r="AE272" s="289">
        <v>0</v>
      </c>
      <c r="AF272" s="289">
        <v>13881.78</v>
      </c>
      <c r="AG272" s="289">
        <v>26780</v>
      </c>
      <c r="AH272" s="289">
        <v>3746</v>
      </c>
      <c r="AI272" s="289">
        <v>2000</v>
      </c>
      <c r="AJ272" s="289">
        <v>0</v>
      </c>
      <c r="AK272" s="289">
        <v>112.6866</v>
      </c>
      <c r="AL272" s="289"/>
      <c r="AM272" s="622">
        <v>0.88399981000000005</v>
      </c>
      <c r="AN272" s="289">
        <v>0</v>
      </c>
      <c r="AO272" s="289">
        <v>-1291.9419808800001</v>
      </c>
      <c r="AP272" s="289">
        <v>0</v>
      </c>
      <c r="AQ272" s="289">
        <v>0</v>
      </c>
      <c r="AR272" s="289">
        <v>-1914.0789781999999</v>
      </c>
      <c r="AS272" s="289">
        <v>332.94569999999999</v>
      </c>
      <c r="AT272" s="289">
        <v>1755</v>
      </c>
      <c r="AU272" s="289">
        <v>290</v>
      </c>
      <c r="AV272" s="625">
        <v>638736</v>
      </c>
      <c r="AW272" s="289">
        <v>-13.598800000000001</v>
      </c>
      <c r="AX272" s="625">
        <v>189.91666667000001</v>
      </c>
      <c r="AY272" s="289">
        <v>7480</v>
      </c>
      <c r="AZ272" s="289">
        <v>1236</v>
      </c>
      <c r="BA272" s="290">
        <v>716</v>
      </c>
      <c r="BB272" s="289">
        <v>0</v>
      </c>
      <c r="BC272" s="289">
        <v>32393.278999999999</v>
      </c>
      <c r="BD272" s="289">
        <v>497.1585</v>
      </c>
      <c r="BE272" s="289">
        <v>659677.02303739998</v>
      </c>
      <c r="BF272" s="289">
        <v>0</v>
      </c>
      <c r="BG272" s="289">
        <v>22</v>
      </c>
      <c r="BH272" s="289">
        <v>-218.1849</v>
      </c>
      <c r="BI272" s="289">
        <v>47108.260254000001</v>
      </c>
      <c r="BJ272" s="289">
        <v>-27.489599999999999</v>
      </c>
      <c r="BK272" s="289">
        <v>0</v>
      </c>
      <c r="BL272" s="289">
        <v>0</v>
      </c>
      <c r="BM272" s="289">
        <v>4921</v>
      </c>
      <c r="BN272" s="289">
        <v>0</v>
      </c>
      <c r="BO272" s="517">
        <v>0</v>
      </c>
      <c r="BP272" s="517">
        <v>0</v>
      </c>
      <c r="BQ272" s="289">
        <f t="shared" si="8"/>
        <v>-27.489600372000002</v>
      </c>
      <c r="BR272" s="289">
        <v>0</v>
      </c>
      <c r="BS272" s="289">
        <f t="shared" si="9"/>
        <v>0</v>
      </c>
      <c r="BT272" s="289">
        <v>65</v>
      </c>
      <c r="BU272" s="289">
        <v>28696.480253999998</v>
      </c>
      <c r="BV272" s="289">
        <v>251</v>
      </c>
      <c r="BW272" s="289">
        <v>0</v>
      </c>
      <c r="BX272" s="289">
        <v>556.81200000000001</v>
      </c>
      <c r="CC272" s="517"/>
      <c r="CD272" s="85"/>
      <c r="CE272" s="517"/>
    </row>
    <row r="273" spans="1:83" ht="13">
      <c r="A273" s="1">
        <v>3812</v>
      </c>
      <c r="B273" s="2" t="s">
        <v>907</v>
      </c>
      <c r="C273" s="289">
        <v>2351</v>
      </c>
      <c r="D273" s="289">
        <v>40</v>
      </c>
      <c r="E273" s="289">
        <v>96</v>
      </c>
      <c r="F273" s="289">
        <v>302</v>
      </c>
      <c r="G273" s="289">
        <v>218</v>
      </c>
      <c r="H273" s="289">
        <v>1302</v>
      </c>
      <c r="I273" s="289">
        <v>279</v>
      </c>
      <c r="J273" s="289">
        <v>96</v>
      </c>
      <c r="K273" s="289">
        <v>25</v>
      </c>
      <c r="L273" s="289">
        <v>16</v>
      </c>
      <c r="M273" s="289">
        <v>140</v>
      </c>
      <c r="N273" s="290">
        <v>38</v>
      </c>
      <c r="O273" s="290">
        <v>22</v>
      </c>
      <c r="P273" s="624">
        <v>8286.2993333300001</v>
      </c>
      <c r="Q273" s="624">
        <v>6458.52266667</v>
      </c>
      <c r="R273" s="624">
        <v>2</v>
      </c>
      <c r="S273" s="289">
        <v>0</v>
      </c>
      <c r="T273" s="289">
        <v>117</v>
      </c>
      <c r="U273" s="716">
        <v>8.1345953369417782E-4</v>
      </c>
      <c r="V273" s="289">
        <v>588.36603767999998</v>
      </c>
      <c r="W273" s="743">
        <v>0.68546583000000005</v>
      </c>
      <c r="X273" s="289">
        <v>500</v>
      </c>
      <c r="Y273" s="289">
        <v>0</v>
      </c>
      <c r="Z273" s="289">
        <v>59881</v>
      </c>
      <c r="AA273" s="289">
        <v>0</v>
      </c>
      <c r="AB273" s="290">
        <v>53</v>
      </c>
      <c r="AC273" s="289">
        <v>0</v>
      </c>
      <c r="AD273" s="289">
        <v>0</v>
      </c>
      <c r="AE273" s="289">
        <v>0</v>
      </c>
      <c r="AF273" s="289">
        <v>0</v>
      </c>
      <c r="AG273" s="289">
        <v>2358</v>
      </c>
      <c r="AH273" s="289">
        <v>338</v>
      </c>
      <c r="AI273" s="289">
        <v>700</v>
      </c>
      <c r="AJ273" s="289">
        <v>0</v>
      </c>
      <c r="AK273" s="289">
        <v>9.0067000000000004</v>
      </c>
      <c r="AL273" s="289"/>
      <c r="AM273" s="622">
        <v>3.9690759999999999E-2</v>
      </c>
      <c r="AN273" s="289">
        <v>0</v>
      </c>
      <c r="AO273" s="289">
        <v>-117.63578586</v>
      </c>
      <c r="AP273" s="289">
        <v>0</v>
      </c>
      <c r="AQ273" s="289">
        <v>0</v>
      </c>
      <c r="AR273" s="289">
        <v>7161.25466289</v>
      </c>
      <c r="AS273" s="289">
        <v>24.104600000000001</v>
      </c>
      <c r="AT273" s="289">
        <v>147</v>
      </c>
      <c r="AU273" s="289">
        <v>20</v>
      </c>
      <c r="AV273" s="625">
        <v>69034</v>
      </c>
      <c r="AW273" s="289">
        <v>-45.874899999999997</v>
      </c>
      <c r="AX273" s="625">
        <v>8.375</v>
      </c>
      <c r="AY273" s="289">
        <v>433</v>
      </c>
      <c r="AZ273" s="289">
        <v>75</v>
      </c>
      <c r="BA273" s="290">
        <v>53</v>
      </c>
      <c r="BB273" s="289">
        <v>2772</v>
      </c>
      <c r="BC273" s="289">
        <v>336</v>
      </c>
      <c r="BD273" s="289">
        <v>44.858400000000003</v>
      </c>
      <c r="BE273" s="289">
        <v>62806.206799359999</v>
      </c>
      <c r="BF273" s="289">
        <v>0</v>
      </c>
      <c r="BG273" s="289">
        <v>0</v>
      </c>
      <c r="BH273" s="289">
        <v>-19.211300000000001</v>
      </c>
      <c r="BI273" s="289">
        <v>338</v>
      </c>
      <c r="BJ273" s="289">
        <v>-2.4205000000000001</v>
      </c>
      <c r="BK273" s="289">
        <v>0</v>
      </c>
      <c r="BL273" s="289">
        <v>0</v>
      </c>
      <c r="BM273" s="289">
        <v>0</v>
      </c>
      <c r="BN273" s="289">
        <v>0</v>
      </c>
      <c r="BO273" s="517">
        <v>0</v>
      </c>
      <c r="BP273" s="517">
        <v>0</v>
      </c>
      <c r="BQ273" s="289">
        <f t="shared" si="8"/>
        <v>-2.4204808691999999</v>
      </c>
      <c r="BR273" s="289">
        <v>0</v>
      </c>
      <c r="BS273" s="289">
        <f t="shared" si="9"/>
        <v>0</v>
      </c>
      <c r="BT273" s="289">
        <v>5</v>
      </c>
      <c r="BU273" s="289">
        <v>0</v>
      </c>
      <c r="BV273" s="289">
        <v>28</v>
      </c>
      <c r="BW273" s="289">
        <v>169.97</v>
      </c>
      <c r="BX273" s="289">
        <v>48.837000000000003</v>
      </c>
      <c r="CC273" s="517"/>
      <c r="CD273" s="85"/>
      <c r="CE273" s="517"/>
    </row>
    <row r="274" spans="1:83" ht="13">
      <c r="A274" s="1">
        <v>3813</v>
      </c>
      <c r="B274" s="2" t="s">
        <v>908</v>
      </c>
      <c r="C274" s="289">
        <v>14183</v>
      </c>
      <c r="D274" s="289">
        <v>266</v>
      </c>
      <c r="E274" s="289">
        <v>550</v>
      </c>
      <c r="F274" s="289">
        <v>1688</v>
      </c>
      <c r="G274" s="289">
        <v>1319</v>
      </c>
      <c r="H274" s="289">
        <v>7897</v>
      </c>
      <c r="I274" s="289">
        <v>1905</v>
      </c>
      <c r="J274" s="289">
        <v>461</v>
      </c>
      <c r="K274" s="289">
        <v>99</v>
      </c>
      <c r="L274" s="289">
        <v>119</v>
      </c>
      <c r="M274" s="289">
        <v>915</v>
      </c>
      <c r="N274" s="290">
        <v>258</v>
      </c>
      <c r="O274" s="290">
        <v>129</v>
      </c>
      <c r="P274" s="624">
        <v>84705.164000000004</v>
      </c>
      <c r="Q274" s="624">
        <v>36995.820333329997</v>
      </c>
      <c r="R274" s="624">
        <v>55</v>
      </c>
      <c r="S274" s="289">
        <v>0</v>
      </c>
      <c r="T274" s="289">
        <v>1009</v>
      </c>
      <c r="U274" s="716">
        <v>1.3231511677350965E-3</v>
      </c>
      <c r="V274" s="289">
        <v>862.99748951000004</v>
      </c>
      <c r="W274" s="743">
        <v>0.58998682999999996</v>
      </c>
      <c r="X274" s="289">
        <v>0</v>
      </c>
      <c r="Y274" s="289">
        <v>392</v>
      </c>
      <c r="Z274" s="289">
        <v>382036</v>
      </c>
      <c r="AA274" s="289">
        <v>0</v>
      </c>
      <c r="AB274" s="290">
        <v>324</v>
      </c>
      <c r="AC274" s="289">
        <v>0</v>
      </c>
      <c r="AD274" s="289">
        <v>0</v>
      </c>
      <c r="AE274" s="289">
        <v>0</v>
      </c>
      <c r="AF274" s="289">
        <v>0</v>
      </c>
      <c r="AG274" s="289">
        <v>14185</v>
      </c>
      <c r="AH274" s="289">
        <v>1957</v>
      </c>
      <c r="AI274" s="289">
        <v>0</v>
      </c>
      <c r="AJ274" s="289">
        <v>0</v>
      </c>
      <c r="AK274" s="289">
        <v>53.859000000000002</v>
      </c>
      <c r="AL274" s="289"/>
      <c r="AM274" s="622">
        <v>0.45258967</v>
      </c>
      <c r="AN274" s="289">
        <v>6630</v>
      </c>
      <c r="AO274" s="289">
        <v>-668.9844263</v>
      </c>
      <c r="AP274" s="289">
        <v>0</v>
      </c>
      <c r="AQ274" s="289">
        <v>0</v>
      </c>
      <c r="AR274" s="289">
        <v>-1013.8614752</v>
      </c>
      <c r="AS274" s="289">
        <v>177.07599999999999</v>
      </c>
      <c r="AT274" s="289">
        <v>815</v>
      </c>
      <c r="AU274" s="289">
        <v>200</v>
      </c>
      <c r="AV274" s="625">
        <v>314243</v>
      </c>
      <c r="AW274" s="289">
        <v>-7.2031000000000001</v>
      </c>
      <c r="AX274" s="625">
        <v>79.25</v>
      </c>
      <c r="AY274" s="289">
        <v>2607</v>
      </c>
      <c r="AZ274" s="289">
        <v>555</v>
      </c>
      <c r="BA274" s="290">
        <v>344</v>
      </c>
      <c r="BB274" s="289">
        <v>0</v>
      </c>
      <c r="BC274" s="289">
        <v>2450</v>
      </c>
      <c r="BD274" s="289">
        <v>259.72750000000002</v>
      </c>
      <c r="BE274" s="289">
        <v>322641.29367432999</v>
      </c>
      <c r="BF274" s="289">
        <v>0</v>
      </c>
      <c r="BG274" s="289">
        <v>11</v>
      </c>
      <c r="BH274" s="289">
        <v>-115.56950000000001</v>
      </c>
      <c r="BI274" s="289">
        <v>2349</v>
      </c>
      <c r="BJ274" s="289">
        <v>-14.5609</v>
      </c>
      <c r="BK274" s="289">
        <v>0</v>
      </c>
      <c r="BL274" s="289">
        <v>0</v>
      </c>
      <c r="BM274" s="289">
        <v>0</v>
      </c>
      <c r="BN274" s="289">
        <v>0</v>
      </c>
      <c r="BO274" s="517">
        <v>0</v>
      </c>
      <c r="BP274" s="517">
        <v>0</v>
      </c>
      <c r="BQ274" s="289">
        <f t="shared" si="8"/>
        <v>-14.560865618999999</v>
      </c>
      <c r="BR274" s="289">
        <v>0</v>
      </c>
      <c r="BS274" s="289">
        <f t="shared" si="9"/>
        <v>0</v>
      </c>
      <c r="BT274" s="289">
        <v>31</v>
      </c>
      <c r="BU274" s="289">
        <v>0</v>
      </c>
      <c r="BV274" s="289">
        <v>140</v>
      </c>
      <c r="BW274" s="289">
        <v>234.32599999999999</v>
      </c>
      <c r="BX274" s="289">
        <v>294.59800000000001</v>
      </c>
      <c r="CC274" s="517"/>
      <c r="CD274" s="85"/>
      <c r="CE274" s="517"/>
    </row>
    <row r="275" spans="1:83" ht="13">
      <c r="A275" s="1">
        <v>3814</v>
      </c>
      <c r="B275" s="2" t="s">
        <v>910</v>
      </c>
      <c r="C275" s="289">
        <v>10506</v>
      </c>
      <c r="D275" s="289">
        <v>164</v>
      </c>
      <c r="E275" s="289">
        <v>389</v>
      </c>
      <c r="F275" s="289">
        <v>1129</v>
      </c>
      <c r="G275" s="289">
        <v>909</v>
      </c>
      <c r="H275" s="289">
        <v>5817</v>
      </c>
      <c r="I275" s="289">
        <v>1600</v>
      </c>
      <c r="J275" s="289">
        <v>457</v>
      </c>
      <c r="K275" s="289">
        <v>110</v>
      </c>
      <c r="L275" s="289">
        <v>94</v>
      </c>
      <c r="M275" s="289">
        <v>975</v>
      </c>
      <c r="N275" s="290">
        <v>191</v>
      </c>
      <c r="O275" s="290">
        <v>124</v>
      </c>
      <c r="P275" s="624">
        <v>52077.30033333</v>
      </c>
      <c r="Q275" s="624">
        <v>33003.182333329998</v>
      </c>
      <c r="R275" s="624">
        <v>55</v>
      </c>
      <c r="S275" s="289">
        <v>-403</v>
      </c>
      <c r="T275" s="289">
        <v>1032</v>
      </c>
      <c r="U275" s="716">
        <v>9.1650117284081904E-4</v>
      </c>
      <c r="V275" s="289">
        <v>-857.74861340999996</v>
      </c>
      <c r="W275" s="743">
        <v>0.59575995000000004</v>
      </c>
      <c r="X275" s="289">
        <v>2000</v>
      </c>
      <c r="Y275" s="289">
        <v>784</v>
      </c>
      <c r="Z275" s="289">
        <v>262062</v>
      </c>
      <c r="AA275" s="289">
        <v>0</v>
      </c>
      <c r="AB275" s="290">
        <v>297</v>
      </c>
      <c r="AC275" s="289">
        <v>0</v>
      </c>
      <c r="AD275" s="289">
        <v>0</v>
      </c>
      <c r="AE275" s="289">
        <v>0</v>
      </c>
      <c r="AF275" s="289">
        <v>0</v>
      </c>
      <c r="AG275" s="289">
        <v>10575</v>
      </c>
      <c r="AH275" s="289">
        <v>1325</v>
      </c>
      <c r="AI275" s="289">
        <v>0</v>
      </c>
      <c r="AJ275" s="289">
        <v>0</v>
      </c>
      <c r="AK275" s="289">
        <v>38.835099999999997</v>
      </c>
      <c r="AL275" s="289"/>
      <c r="AM275" s="622">
        <v>0.55251357000000001</v>
      </c>
      <c r="AN275" s="289">
        <v>10171</v>
      </c>
      <c r="AO275" s="289">
        <v>-537.05318139999997</v>
      </c>
      <c r="AP275" s="289">
        <v>0</v>
      </c>
      <c r="AQ275" s="289">
        <v>0</v>
      </c>
      <c r="AR275" s="289">
        <v>-755.83962638000003</v>
      </c>
      <c r="AS275" s="289">
        <v>163.82990000000001</v>
      </c>
      <c r="AT275" s="289">
        <v>649</v>
      </c>
      <c r="AU275" s="289">
        <v>177</v>
      </c>
      <c r="AV275" s="625">
        <v>279484</v>
      </c>
      <c r="AW275" s="289">
        <v>-5.37</v>
      </c>
      <c r="AX275" s="625">
        <v>60.166666659999997</v>
      </c>
      <c r="AY275" s="289">
        <v>2068</v>
      </c>
      <c r="AZ275" s="289">
        <v>539</v>
      </c>
      <c r="BA275" s="290">
        <v>260</v>
      </c>
      <c r="BB275" s="289">
        <v>0</v>
      </c>
      <c r="BC275" s="289">
        <v>1715</v>
      </c>
      <c r="BD275" s="289">
        <v>175.8503</v>
      </c>
      <c r="BE275" s="289">
        <v>286018.57424016</v>
      </c>
      <c r="BF275" s="289">
        <v>0</v>
      </c>
      <c r="BG275" s="289">
        <f>22</f>
        <v>22</v>
      </c>
      <c r="BH275" s="289">
        <v>-86.157799999999995</v>
      </c>
      <c r="BI275" s="289">
        <v>2109</v>
      </c>
      <c r="BJ275" s="289">
        <v>-10.8552</v>
      </c>
      <c r="BK275" s="289">
        <v>0</v>
      </c>
      <c r="BL275" s="289">
        <v>0</v>
      </c>
      <c r="BM275" s="289">
        <v>0</v>
      </c>
      <c r="BN275" s="289">
        <v>0</v>
      </c>
      <c r="BO275" s="517">
        <v>0</v>
      </c>
      <c r="BP275" s="517">
        <v>0</v>
      </c>
      <c r="BQ275" s="289">
        <f t="shared" si="8"/>
        <v>-10.855210005</v>
      </c>
      <c r="BR275" s="289">
        <v>0</v>
      </c>
      <c r="BS275" s="289">
        <f t="shared" si="9"/>
        <v>0</v>
      </c>
      <c r="BT275" s="289">
        <v>22</v>
      </c>
      <c r="BU275" s="289">
        <v>0</v>
      </c>
      <c r="BV275" s="289">
        <v>109</v>
      </c>
      <c r="BW275" s="289">
        <v>214.32599999999999</v>
      </c>
      <c r="BX275" s="289">
        <v>218.113</v>
      </c>
      <c r="CC275" s="517"/>
      <c r="CD275" s="85"/>
      <c r="CE275" s="517"/>
    </row>
    <row r="276" spans="1:83" ht="13">
      <c r="A276" s="1">
        <v>3815</v>
      </c>
      <c r="B276" s="2" t="s">
        <v>911</v>
      </c>
      <c r="C276" s="289">
        <v>4105</v>
      </c>
      <c r="D276" s="289">
        <v>60</v>
      </c>
      <c r="E276" s="289">
        <v>170</v>
      </c>
      <c r="F276" s="289">
        <v>508</v>
      </c>
      <c r="G276" s="289">
        <v>377</v>
      </c>
      <c r="H276" s="289">
        <v>2241</v>
      </c>
      <c r="I276" s="289">
        <v>541</v>
      </c>
      <c r="J276" s="289">
        <v>177</v>
      </c>
      <c r="K276" s="289">
        <v>65</v>
      </c>
      <c r="L276" s="289">
        <v>36</v>
      </c>
      <c r="M276" s="289">
        <v>361</v>
      </c>
      <c r="N276" s="290">
        <v>24</v>
      </c>
      <c r="O276" s="290">
        <v>70</v>
      </c>
      <c r="P276" s="624">
        <v>52827.646000000001</v>
      </c>
      <c r="Q276" s="624">
        <v>19500.2</v>
      </c>
      <c r="R276" s="624">
        <v>21</v>
      </c>
      <c r="S276" s="289">
        <v>403</v>
      </c>
      <c r="T276" s="289">
        <v>355</v>
      </c>
      <c r="U276" s="716">
        <v>2.1403857928696261E-3</v>
      </c>
      <c r="V276" s="289">
        <v>1688.9044378200001</v>
      </c>
      <c r="W276" s="743">
        <v>0.92865052000000003</v>
      </c>
      <c r="X276" s="289">
        <v>3000</v>
      </c>
      <c r="Y276" s="289">
        <v>0</v>
      </c>
      <c r="Z276" s="289">
        <v>89506</v>
      </c>
      <c r="AA276" s="289">
        <v>-2648.4636446200002</v>
      </c>
      <c r="AB276" s="290">
        <v>97</v>
      </c>
      <c r="AC276" s="289">
        <v>0</v>
      </c>
      <c r="AD276" s="289">
        <v>0</v>
      </c>
      <c r="AE276" s="289">
        <v>0</v>
      </c>
      <c r="AF276" s="289">
        <v>0</v>
      </c>
      <c r="AG276" s="289">
        <v>4139</v>
      </c>
      <c r="AH276" s="289">
        <v>576</v>
      </c>
      <c r="AI276" s="289">
        <v>1550</v>
      </c>
      <c r="AJ276" s="289">
        <v>0</v>
      </c>
      <c r="AK276" s="289">
        <v>16.0059</v>
      </c>
      <c r="AL276" s="289"/>
      <c r="AM276" s="622">
        <v>0.13323694</v>
      </c>
      <c r="AN276" s="289">
        <v>4570</v>
      </c>
      <c r="AO276" s="289">
        <v>-234.90609924</v>
      </c>
      <c r="AP276" s="289">
        <v>0</v>
      </c>
      <c r="AQ276" s="289">
        <v>0</v>
      </c>
      <c r="AR276" s="289">
        <v>-295.83169867999999</v>
      </c>
      <c r="AS276" s="289">
        <v>51.206600000000002</v>
      </c>
      <c r="AT276" s="289">
        <v>243</v>
      </c>
      <c r="AU276" s="289">
        <v>53</v>
      </c>
      <c r="AV276" s="625">
        <v>137320</v>
      </c>
      <c r="AW276" s="289">
        <v>-2.1017999999999999</v>
      </c>
      <c r="AX276" s="625">
        <v>23.166666670000001</v>
      </c>
      <c r="AY276" s="289">
        <v>546</v>
      </c>
      <c r="AZ276" s="289">
        <v>178</v>
      </c>
      <c r="BA276" s="290">
        <v>92</v>
      </c>
      <c r="BB276" s="289">
        <v>0</v>
      </c>
      <c r="BC276" s="289">
        <v>-3226.0228722500001</v>
      </c>
      <c r="BD276" s="289">
        <v>76.445099999999996</v>
      </c>
      <c r="BE276" s="289">
        <v>139282.58167355001</v>
      </c>
      <c r="BF276" s="289">
        <v>0</v>
      </c>
      <c r="BG276" s="289">
        <f>0</f>
        <v>0</v>
      </c>
      <c r="BH276" s="289">
        <v>-33.721699999999998</v>
      </c>
      <c r="BI276" s="289">
        <v>-2072.4636446200002</v>
      </c>
      <c r="BJ276" s="289">
        <v>-4.2487000000000004</v>
      </c>
      <c r="BK276" s="289">
        <v>0</v>
      </c>
      <c r="BL276" s="289">
        <v>0</v>
      </c>
      <c r="BM276" s="289">
        <v>0</v>
      </c>
      <c r="BN276" s="289">
        <v>0</v>
      </c>
      <c r="BO276" s="517">
        <v>0</v>
      </c>
      <c r="BP276" s="517">
        <v>0</v>
      </c>
      <c r="BQ276" s="289">
        <f t="shared" si="8"/>
        <v>-4.2486727385999998</v>
      </c>
      <c r="BR276" s="289">
        <v>0</v>
      </c>
      <c r="BS276" s="289">
        <f t="shared" si="9"/>
        <v>0</v>
      </c>
      <c r="BT276" s="289">
        <v>9</v>
      </c>
      <c r="BU276" s="289">
        <v>0</v>
      </c>
      <c r="BV276" s="289">
        <v>52</v>
      </c>
      <c r="BW276" s="289">
        <v>179.51</v>
      </c>
      <c r="BX276" s="289">
        <v>85.105999999999995</v>
      </c>
      <c r="CC276" s="517"/>
      <c r="CD276" s="85"/>
      <c r="CE276" s="517"/>
    </row>
    <row r="277" spans="1:83" ht="13">
      <c r="A277" s="1">
        <v>3816</v>
      </c>
      <c r="B277" s="2" t="s">
        <v>912</v>
      </c>
      <c r="C277" s="289">
        <v>6609</v>
      </c>
      <c r="D277" s="289">
        <v>133</v>
      </c>
      <c r="E277" s="289">
        <v>260</v>
      </c>
      <c r="F277" s="289">
        <v>745</v>
      </c>
      <c r="G277" s="289">
        <v>614</v>
      </c>
      <c r="H277" s="289">
        <v>3634</v>
      </c>
      <c r="I277" s="289">
        <v>893</v>
      </c>
      <c r="J277" s="289">
        <v>287</v>
      </c>
      <c r="K277" s="289">
        <v>93</v>
      </c>
      <c r="L277" s="289">
        <v>56</v>
      </c>
      <c r="M277" s="289">
        <v>586</v>
      </c>
      <c r="N277" s="290">
        <v>160</v>
      </c>
      <c r="O277" s="290">
        <v>95</v>
      </c>
      <c r="P277" s="624">
        <v>18240.523333329998</v>
      </c>
      <c r="Q277" s="624">
        <v>16737.806</v>
      </c>
      <c r="R277" s="624">
        <v>34</v>
      </c>
      <c r="S277" s="289">
        <v>0</v>
      </c>
      <c r="T277" s="289">
        <v>605</v>
      </c>
      <c r="U277" s="716">
        <v>2.9544955881644847E-3</v>
      </c>
      <c r="V277" s="289">
        <v>-1025.8222192600001</v>
      </c>
      <c r="W277" s="743">
        <v>0.66795643999999998</v>
      </c>
      <c r="X277" s="289">
        <v>8000</v>
      </c>
      <c r="Y277" s="289">
        <v>0</v>
      </c>
      <c r="Z277" s="289">
        <v>155467</v>
      </c>
      <c r="AA277" s="289">
        <v>-5017.2290161600004</v>
      </c>
      <c r="AB277" s="290">
        <v>191</v>
      </c>
      <c r="AC277" s="289">
        <v>0</v>
      </c>
      <c r="AD277" s="289">
        <v>0</v>
      </c>
      <c r="AE277" s="289">
        <v>0</v>
      </c>
      <c r="AF277" s="289">
        <v>0</v>
      </c>
      <c r="AG277" s="289">
        <v>6659</v>
      </c>
      <c r="AH277" s="289">
        <v>873</v>
      </c>
      <c r="AI277" s="289">
        <v>900</v>
      </c>
      <c r="AJ277" s="289">
        <v>0</v>
      </c>
      <c r="AK277" s="289">
        <v>25.228000000000002</v>
      </c>
      <c r="AL277" s="289"/>
      <c r="AM277" s="622">
        <v>0.26115084999999999</v>
      </c>
      <c r="AN277" s="289">
        <v>6690</v>
      </c>
      <c r="AO277" s="289">
        <v>-346.60384966999999</v>
      </c>
      <c r="AP277" s="289">
        <v>0</v>
      </c>
      <c r="AQ277" s="289">
        <v>0</v>
      </c>
      <c r="AR277" s="289">
        <v>-475.94667348000002</v>
      </c>
      <c r="AS277" s="289">
        <v>99.174499999999995</v>
      </c>
      <c r="AT277" s="289">
        <v>381</v>
      </c>
      <c r="AU277" s="289">
        <v>77</v>
      </c>
      <c r="AV277" s="625">
        <v>185205</v>
      </c>
      <c r="AW277" s="289">
        <v>-3.3814000000000002</v>
      </c>
      <c r="AX277" s="625">
        <v>35.875</v>
      </c>
      <c r="AY277" s="289">
        <v>1171</v>
      </c>
      <c r="AZ277" s="289">
        <v>386</v>
      </c>
      <c r="BA277" s="290">
        <v>154</v>
      </c>
      <c r="BB277" s="289">
        <v>0</v>
      </c>
      <c r="BC277" s="289">
        <v>-6296.1301405900003</v>
      </c>
      <c r="BD277" s="289">
        <v>115.8621</v>
      </c>
      <c r="BE277" s="289">
        <v>189834.97291174001</v>
      </c>
      <c r="BF277" s="289">
        <v>0</v>
      </c>
      <c r="BG277" s="289">
        <v>0</v>
      </c>
      <c r="BH277" s="289">
        <v>-54.252899999999997</v>
      </c>
      <c r="BI277" s="289">
        <v>-4144.2290161600004</v>
      </c>
      <c r="BJ277" s="289">
        <v>-6.8353999999999999</v>
      </c>
      <c r="BK277" s="289">
        <v>0</v>
      </c>
      <c r="BL277" s="289">
        <v>0</v>
      </c>
      <c r="BM277" s="289">
        <v>0</v>
      </c>
      <c r="BN277" s="289">
        <v>0</v>
      </c>
      <c r="BO277" s="517">
        <v>0</v>
      </c>
      <c r="BP277" s="517">
        <v>0</v>
      </c>
      <c r="BQ277" s="289">
        <f t="shared" si="8"/>
        <v>-6.8354461866000005</v>
      </c>
      <c r="BR277" s="289">
        <v>0</v>
      </c>
      <c r="BS277" s="289">
        <f t="shared" si="9"/>
        <v>0</v>
      </c>
      <c r="BT277" s="289">
        <v>14</v>
      </c>
      <c r="BU277" s="289">
        <v>0</v>
      </c>
      <c r="BV277" s="289">
        <v>69</v>
      </c>
      <c r="BW277" s="289">
        <v>193.13</v>
      </c>
      <c r="BX277" s="289">
        <v>136.726</v>
      </c>
      <c r="CC277" s="517"/>
      <c r="CD277" s="85"/>
      <c r="CE277" s="517"/>
    </row>
    <row r="278" spans="1:83" ht="13">
      <c r="A278" s="1">
        <v>3818</v>
      </c>
      <c r="B278" s="2" t="s">
        <v>920</v>
      </c>
      <c r="C278" s="289">
        <v>5856</v>
      </c>
      <c r="D278" s="289">
        <v>79</v>
      </c>
      <c r="E278" s="289">
        <v>217</v>
      </c>
      <c r="F278" s="289">
        <v>662</v>
      </c>
      <c r="G278" s="289">
        <v>533</v>
      </c>
      <c r="H278" s="289">
        <v>3250</v>
      </c>
      <c r="I278" s="289">
        <v>819</v>
      </c>
      <c r="J278" s="289">
        <v>267</v>
      </c>
      <c r="K278" s="289">
        <v>84</v>
      </c>
      <c r="L278" s="289">
        <v>53</v>
      </c>
      <c r="M278" s="289">
        <v>562</v>
      </c>
      <c r="N278" s="290">
        <v>81</v>
      </c>
      <c r="O278" s="290">
        <v>77</v>
      </c>
      <c r="P278" s="624">
        <v>35827.062666669997</v>
      </c>
      <c r="Q278" s="624">
        <v>15253.509666669999</v>
      </c>
      <c r="R278" s="624">
        <v>25</v>
      </c>
      <c r="S278" s="289">
        <v>0</v>
      </c>
      <c r="T278" s="289">
        <v>599</v>
      </c>
      <c r="U278" s="716">
        <v>2.4061677127612618E-3</v>
      </c>
      <c r="V278" s="289">
        <v>-1123.2532072900001</v>
      </c>
      <c r="W278" s="743">
        <v>0.79741368000000001</v>
      </c>
      <c r="X278" s="289">
        <v>0</v>
      </c>
      <c r="Y278" s="289">
        <v>392</v>
      </c>
      <c r="Z278" s="289">
        <v>199842</v>
      </c>
      <c r="AA278" s="289">
        <v>0</v>
      </c>
      <c r="AB278" s="290">
        <v>160</v>
      </c>
      <c r="AC278" s="289">
        <v>0</v>
      </c>
      <c r="AD278" s="289">
        <v>0</v>
      </c>
      <c r="AE278" s="289">
        <v>0</v>
      </c>
      <c r="AF278" s="289">
        <v>0</v>
      </c>
      <c r="AG278" s="289">
        <v>5911</v>
      </c>
      <c r="AH278" s="289">
        <v>768</v>
      </c>
      <c r="AI278" s="289">
        <v>0</v>
      </c>
      <c r="AJ278" s="289">
        <v>0</v>
      </c>
      <c r="AK278" s="289">
        <v>21.058299999999999</v>
      </c>
      <c r="AL278" s="289"/>
      <c r="AM278" s="622">
        <v>0.10262721</v>
      </c>
      <c r="AN278" s="289">
        <v>7608</v>
      </c>
      <c r="AO278" s="289">
        <v>-309.18490602999998</v>
      </c>
      <c r="AP278" s="289">
        <v>0</v>
      </c>
      <c r="AQ278" s="289">
        <v>0</v>
      </c>
      <c r="AR278" s="289">
        <v>11956.630442330001</v>
      </c>
      <c r="AS278" s="289">
        <v>79.035799999999995</v>
      </c>
      <c r="AT278" s="289">
        <v>307</v>
      </c>
      <c r="AU278" s="289">
        <v>49</v>
      </c>
      <c r="AV278" s="625">
        <v>180224</v>
      </c>
      <c r="AW278" s="289">
        <v>-114.9986</v>
      </c>
      <c r="AX278" s="625">
        <v>30.5</v>
      </c>
      <c r="AY278" s="289">
        <v>962</v>
      </c>
      <c r="AZ278" s="289">
        <v>237</v>
      </c>
      <c r="BA278" s="290">
        <v>152</v>
      </c>
      <c r="BB278" s="289">
        <v>0</v>
      </c>
      <c r="BC278" s="289">
        <v>1232</v>
      </c>
      <c r="BD278" s="289">
        <v>101.9268</v>
      </c>
      <c r="BE278" s="289">
        <v>169262.65362262999</v>
      </c>
      <c r="BF278" s="289">
        <v>0</v>
      </c>
      <c r="BG278" s="289">
        <v>11</v>
      </c>
      <c r="BH278" s="289">
        <v>-48.158700000000003</v>
      </c>
      <c r="BI278" s="289">
        <v>1160</v>
      </c>
      <c r="BJ278" s="289">
        <v>-6.0675999999999997</v>
      </c>
      <c r="BK278" s="289">
        <v>0</v>
      </c>
      <c r="BL278" s="289">
        <v>0</v>
      </c>
      <c r="BM278" s="289">
        <v>0</v>
      </c>
      <c r="BN278" s="289">
        <v>0</v>
      </c>
      <c r="BO278" s="517">
        <v>0</v>
      </c>
      <c r="BP278" s="517">
        <v>0</v>
      </c>
      <c r="BQ278" s="289">
        <f t="shared" si="8"/>
        <v>-6.0676261314</v>
      </c>
      <c r="BR278" s="289">
        <v>0</v>
      </c>
      <c r="BS278" s="289">
        <f t="shared" si="9"/>
        <v>0</v>
      </c>
      <c r="BT278" s="289">
        <v>12</v>
      </c>
      <c r="BU278" s="289">
        <v>0</v>
      </c>
      <c r="BV278" s="289">
        <v>65</v>
      </c>
      <c r="BW278" s="289">
        <v>189.03399999999999</v>
      </c>
      <c r="BX278" s="289">
        <v>120.295</v>
      </c>
      <c r="CC278" s="517"/>
      <c r="CD278" s="85"/>
      <c r="CE278" s="517"/>
    </row>
    <row r="279" spans="1:83" ht="13">
      <c r="A279" s="1">
        <v>3819</v>
      </c>
      <c r="B279" s="2" t="s">
        <v>921</v>
      </c>
      <c r="C279" s="289">
        <v>1587</v>
      </c>
      <c r="D279" s="289">
        <v>31</v>
      </c>
      <c r="E279" s="289">
        <v>63</v>
      </c>
      <c r="F279" s="289">
        <v>187</v>
      </c>
      <c r="G279" s="289">
        <v>141</v>
      </c>
      <c r="H279" s="289">
        <v>822</v>
      </c>
      <c r="I279" s="289">
        <v>237</v>
      </c>
      <c r="J279" s="289">
        <v>81</v>
      </c>
      <c r="K279" s="289">
        <v>23</v>
      </c>
      <c r="L279" s="289">
        <v>14</v>
      </c>
      <c r="M279" s="289">
        <v>167</v>
      </c>
      <c r="N279" s="290">
        <v>1.5</v>
      </c>
      <c r="O279" s="290">
        <v>26</v>
      </c>
      <c r="P279" s="624">
        <v>16415.666333329998</v>
      </c>
      <c r="Q279" s="624">
        <v>6808.0429999999997</v>
      </c>
      <c r="R279" s="624">
        <v>7</v>
      </c>
      <c r="S279" s="289">
        <v>0</v>
      </c>
      <c r="T279" s="289">
        <v>109</v>
      </c>
      <c r="U279" s="716">
        <v>2.0052049185908471E-3</v>
      </c>
      <c r="V279" s="289">
        <v>702.29334527000003</v>
      </c>
      <c r="W279" s="743">
        <v>0.87954611999999999</v>
      </c>
      <c r="X279" s="289">
        <v>1500</v>
      </c>
      <c r="Y279" s="289">
        <v>299</v>
      </c>
      <c r="Z279" s="289">
        <v>47373</v>
      </c>
      <c r="AA279" s="289">
        <v>-1250.09842843</v>
      </c>
      <c r="AB279" s="290">
        <v>40</v>
      </c>
      <c r="AC279" s="289">
        <v>0</v>
      </c>
      <c r="AD279" s="289">
        <v>0</v>
      </c>
      <c r="AE279" s="289">
        <v>0</v>
      </c>
      <c r="AF279" s="289">
        <v>0</v>
      </c>
      <c r="AG279" s="289">
        <v>1585</v>
      </c>
      <c r="AH279" s="289">
        <v>219</v>
      </c>
      <c r="AI279" s="289">
        <v>200</v>
      </c>
      <c r="AJ279" s="289">
        <v>0</v>
      </c>
      <c r="AK279" s="289">
        <v>6.2283999999999997</v>
      </c>
      <c r="AL279" s="289"/>
      <c r="AM279" s="622">
        <v>1.453629E-2</v>
      </c>
      <c r="AN279" s="289">
        <v>0</v>
      </c>
      <c r="AO279" s="289">
        <v>-97.680476510000005</v>
      </c>
      <c r="AP279" s="289">
        <v>0</v>
      </c>
      <c r="AQ279" s="289">
        <v>0</v>
      </c>
      <c r="AR279" s="289">
        <v>2407.64254209</v>
      </c>
      <c r="AS279" s="289">
        <v>15.547800000000001</v>
      </c>
      <c r="AT279" s="289">
        <v>58</v>
      </c>
      <c r="AU279" s="289">
        <v>12</v>
      </c>
      <c r="AV279" s="625">
        <v>64501</v>
      </c>
      <c r="AW279" s="289">
        <v>-30.836200000000002</v>
      </c>
      <c r="AX279" s="625">
        <v>11.91666667</v>
      </c>
      <c r="AY279" s="289">
        <v>242</v>
      </c>
      <c r="AZ279" s="289">
        <v>53</v>
      </c>
      <c r="BA279" s="290">
        <v>24</v>
      </c>
      <c r="BB279" s="289">
        <v>2772</v>
      </c>
      <c r="BC279" s="289">
        <v>-1337.6292813299999</v>
      </c>
      <c r="BD279" s="289">
        <v>29.065100000000001</v>
      </c>
      <c r="BE279" s="289">
        <v>62770.299920079997</v>
      </c>
      <c r="BF279" s="289">
        <v>0</v>
      </c>
      <c r="BG279" s="289">
        <v>11</v>
      </c>
      <c r="BH279" s="289">
        <v>-12.913500000000001</v>
      </c>
      <c r="BI279" s="289">
        <v>-732.09842843000001</v>
      </c>
      <c r="BJ279" s="289">
        <v>-1.627</v>
      </c>
      <c r="BK279" s="289">
        <v>0</v>
      </c>
      <c r="BL279" s="289">
        <v>0</v>
      </c>
      <c r="BM279" s="289">
        <v>0</v>
      </c>
      <c r="BN279" s="289">
        <v>0</v>
      </c>
      <c r="BO279" s="517">
        <v>0</v>
      </c>
      <c r="BP279" s="517">
        <v>0</v>
      </c>
      <c r="BQ279" s="289">
        <f t="shared" si="8"/>
        <v>-1.6269983790000002</v>
      </c>
      <c r="BR279" s="289">
        <v>0</v>
      </c>
      <c r="BS279" s="289">
        <f t="shared" si="9"/>
        <v>0</v>
      </c>
      <c r="BT279" s="289">
        <v>4</v>
      </c>
      <c r="BU279" s="289">
        <v>0</v>
      </c>
      <c r="BV279" s="289">
        <v>24</v>
      </c>
      <c r="BW279" s="289">
        <v>165.81399999999999</v>
      </c>
      <c r="BX279" s="289">
        <v>32.924999999999997</v>
      </c>
      <c r="CC279" s="517"/>
      <c r="CD279" s="85"/>
      <c r="CE279" s="517"/>
    </row>
    <row r="280" spans="1:83" ht="13">
      <c r="A280" s="1">
        <v>3820</v>
      </c>
      <c r="B280" s="2" t="s">
        <v>922</v>
      </c>
      <c r="C280" s="289">
        <v>2959</v>
      </c>
      <c r="D280" s="289">
        <v>52</v>
      </c>
      <c r="E280" s="289">
        <v>125</v>
      </c>
      <c r="F280" s="289">
        <v>367</v>
      </c>
      <c r="G280" s="289">
        <v>231</v>
      </c>
      <c r="H280" s="289">
        <v>1626</v>
      </c>
      <c r="I280" s="289">
        <v>413</v>
      </c>
      <c r="J280" s="289">
        <v>129</v>
      </c>
      <c r="K280" s="289">
        <v>36</v>
      </c>
      <c r="L280" s="289">
        <v>27</v>
      </c>
      <c r="M280" s="289">
        <v>277</v>
      </c>
      <c r="N280" s="290">
        <v>30</v>
      </c>
      <c r="O280" s="290">
        <v>31</v>
      </c>
      <c r="P280" s="624">
        <v>24150.481</v>
      </c>
      <c r="Q280" s="624">
        <v>13562.989666670001</v>
      </c>
      <c r="R280" s="624">
        <v>13</v>
      </c>
      <c r="S280" s="289">
        <v>0</v>
      </c>
      <c r="T280" s="289">
        <v>248</v>
      </c>
      <c r="U280" s="716">
        <v>1.8476143609850776E-3</v>
      </c>
      <c r="V280" s="289">
        <v>1198.2151548300001</v>
      </c>
      <c r="W280" s="743">
        <v>0.82610598000000002</v>
      </c>
      <c r="X280" s="289">
        <v>1000</v>
      </c>
      <c r="Y280" s="289">
        <v>392</v>
      </c>
      <c r="Z280" s="289">
        <v>79022</v>
      </c>
      <c r="AA280" s="289">
        <v>0</v>
      </c>
      <c r="AB280" s="290">
        <v>55</v>
      </c>
      <c r="AC280" s="289">
        <v>0</v>
      </c>
      <c r="AD280" s="289">
        <v>0</v>
      </c>
      <c r="AE280" s="289">
        <v>0</v>
      </c>
      <c r="AF280" s="289">
        <v>0</v>
      </c>
      <c r="AG280" s="289">
        <v>2979</v>
      </c>
      <c r="AH280" s="289">
        <v>409</v>
      </c>
      <c r="AI280" s="289">
        <v>0</v>
      </c>
      <c r="AJ280" s="289">
        <v>0</v>
      </c>
      <c r="AK280" s="289">
        <v>12.5016</v>
      </c>
      <c r="AL280" s="289"/>
      <c r="AM280" s="622">
        <v>4.0644359999999997E-2</v>
      </c>
      <c r="AN280" s="289">
        <v>0</v>
      </c>
      <c r="AO280" s="289">
        <v>-166.65717832999999</v>
      </c>
      <c r="AP280" s="289">
        <v>0</v>
      </c>
      <c r="AQ280" s="289">
        <v>0</v>
      </c>
      <c r="AR280" s="289">
        <v>-212.92163092000001</v>
      </c>
      <c r="AS280" s="289">
        <v>32.841299999999997</v>
      </c>
      <c r="AT280" s="289">
        <v>133</v>
      </c>
      <c r="AU280" s="289">
        <v>24</v>
      </c>
      <c r="AV280" s="625">
        <v>99062</v>
      </c>
      <c r="AW280" s="289">
        <v>-1.5126999999999999</v>
      </c>
      <c r="AX280" s="625">
        <v>22.166666670000001</v>
      </c>
      <c r="AY280" s="289">
        <v>591</v>
      </c>
      <c r="AZ280" s="289">
        <v>113</v>
      </c>
      <c r="BA280" s="290">
        <v>39</v>
      </c>
      <c r="BB280" s="289">
        <v>5543</v>
      </c>
      <c r="BC280" s="289">
        <v>760</v>
      </c>
      <c r="BD280" s="289">
        <v>54.281300000000002</v>
      </c>
      <c r="BE280" s="289">
        <v>101134.94190249</v>
      </c>
      <c r="BF280" s="289">
        <v>0</v>
      </c>
      <c r="BG280" s="289">
        <v>11</v>
      </c>
      <c r="BH280" s="289">
        <v>-24.270800000000001</v>
      </c>
      <c r="BI280" s="289">
        <v>801</v>
      </c>
      <c r="BJ280" s="289">
        <v>-3.0579000000000001</v>
      </c>
      <c r="BK280" s="289">
        <v>0</v>
      </c>
      <c r="BL280" s="289">
        <v>0</v>
      </c>
      <c r="BM280" s="289">
        <v>0</v>
      </c>
      <c r="BN280" s="289">
        <v>0</v>
      </c>
      <c r="BO280" s="517">
        <v>0</v>
      </c>
      <c r="BP280" s="517">
        <v>0</v>
      </c>
      <c r="BQ280" s="289">
        <f t="shared" si="8"/>
        <v>-3.0579357545999999</v>
      </c>
      <c r="BR280" s="289">
        <v>0</v>
      </c>
      <c r="BS280" s="289">
        <f t="shared" si="9"/>
        <v>0</v>
      </c>
      <c r="BT280" s="289">
        <v>7</v>
      </c>
      <c r="BU280" s="289">
        <v>0</v>
      </c>
      <c r="BV280" s="289">
        <v>37</v>
      </c>
      <c r="BW280" s="289">
        <v>173.27699999999999</v>
      </c>
      <c r="BX280" s="289">
        <v>60.947000000000003</v>
      </c>
      <c r="CC280" s="517"/>
      <c r="CD280" s="85"/>
      <c r="CE280" s="517"/>
    </row>
    <row r="281" spans="1:83" ht="13">
      <c r="A281" s="1">
        <v>3821</v>
      </c>
      <c r="B281" s="2" t="s">
        <v>923</v>
      </c>
      <c r="C281" s="289">
        <v>2397</v>
      </c>
      <c r="D281" s="289">
        <v>40</v>
      </c>
      <c r="E281" s="289">
        <v>86</v>
      </c>
      <c r="F281" s="289">
        <v>236</v>
      </c>
      <c r="G281" s="289">
        <v>202</v>
      </c>
      <c r="H281" s="289">
        <v>1403</v>
      </c>
      <c r="I281" s="289">
        <v>322</v>
      </c>
      <c r="J281" s="289">
        <v>118</v>
      </c>
      <c r="K281" s="289">
        <v>29</v>
      </c>
      <c r="L281" s="289">
        <v>22</v>
      </c>
      <c r="M281" s="289">
        <v>222</v>
      </c>
      <c r="N281" s="290">
        <v>17</v>
      </c>
      <c r="O281" s="290">
        <v>9</v>
      </c>
      <c r="P281" s="624">
        <v>19606.731666669999</v>
      </c>
      <c r="Q281" s="624">
        <v>10643.098</v>
      </c>
      <c r="R281" s="624">
        <v>18</v>
      </c>
      <c r="S281" s="289">
        <v>0</v>
      </c>
      <c r="T281" s="289">
        <v>241</v>
      </c>
      <c r="U281" s="716">
        <v>1.8472485814272166E-3</v>
      </c>
      <c r="V281" s="289">
        <v>972.39185342999997</v>
      </c>
      <c r="W281" s="743">
        <v>0.86536396999999998</v>
      </c>
      <c r="X281" s="289">
        <v>1000</v>
      </c>
      <c r="Y281" s="289">
        <v>392</v>
      </c>
      <c r="Z281" s="289">
        <v>63971</v>
      </c>
      <c r="AA281" s="289">
        <v>0</v>
      </c>
      <c r="AB281" s="290">
        <v>43</v>
      </c>
      <c r="AC281" s="289">
        <v>0</v>
      </c>
      <c r="AD281" s="289">
        <v>0</v>
      </c>
      <c r="AE281" s="289">
        <v>0</v>
      </c>
      <c r="AF281" s="289">
        <v>0</v>
      </c>
      <c r="AG281" s="289">
        <v>2436</v>
      </c>
      <c r="AH281" s="289">
        <v>295</v>
      </c>
      <c r="AI281" s="289">
        <v>1710</v>
      </c>
      <c r="AJ281" s="289">
        <v>0</v>
      </c>
      <c r="AK281" s="289">
        <v>8.7797999999999998</v>
      </c>
      <c r="AL281" s="289"/>
      <c r="AM281" s="622">
        <v>3.5786510000000001E-2</v>
      </c>
      <c r="AN281" s="289">
        <v>0</v>
      </c>
      <c r="AO281" s="289">
        <v>-135.24789924000001</v>
      </c>
      <c r="AP281" s="289">
        <v>0</v>
      </c>
      <c r="AQ281" s="289">
        <v>0</v>
      </c>
      <c r="AR281" s="289">
        <v>3423.1152072300001</v>
      </c>
      <c r="AS281" s="289">
        <v>28.856200000000001</v>
      </c>
      <c r="AT281" s="289">
        <v>114</v>
      </c>
      <c r="AU281" s="289">
        <v>26</v>
      </c>
      <c r="AV281" s="625">
        <v>84808</v>
      </c>
      <c r="AW281" s="289">
        <v>-47.392400000000002</v>
      </c>
      <c r="AX281" s="625">
        <v>14.54166667</v>
      </c>
      <c r="AY281" s="289">
        <v>511</v>
      </c>
      <c r="AZ281" s="289">
        <v>72</v>
      </c>
      <c r="BA281" s="290">
        <v>31</v>
      </c>
      <c r="BB281" s="289">
        <v>5543</v>
      </c>
      <c r="BC281" s="289">
        <v>647</v>
      </c>
      <c r="BD281" s="289">
        <v>39.151600000000002</v>
      </c>
      <c r="BE281" s="289">
        <v>82856.897663850003</v>
      </c>
      <c r="BF281" s="289">
        <v>0</v>
      </c>
      <c r="BG281" s="289">
        <v>11</v>
      </c>
      <c r="BH281" s="289">
        <v>-19.846800000000002</v>
      </c>
      <c r="BI281" s="289">
        <v>687</v>
      </c>
      <c r="BJ281" s="289">
        <v>-2.5005000000000002</v>
      </c>
      <c r="BK281" s="289">
        <v>0</v>
      </c>
      <c r="BL281" s="289">
        <v>0</v>
      </c>
      <c r="BM281" s="289">
        <v>0</v>
      </c>
      <c r="BN281" s="289">
        <v>0</v>
      </c>
      <c r="BO281" s="517">
        <v>0</v>
      </c>
      <c r="BP281" s="517">
        <v>0</v>
      </c>
      <c r="BQ281" s="289">
        <f t="shared" si="8"/>
        <v>-2.5005476663999997</v>
      </c>
      <c r="BR281" s="289">
        <v>0</v>
      </c>
      <c r="BS281" s="289">
        <f t="shared" si="9"/>
        <v>0</v>
      </c>
      <c r="BT281" s="289">
        <v>5</v>
      </c>
      <c r="BU281" s="289">
        <v>0</v>
      </c>
      <c r="BV281" s="289">
        <v>32</v>
      </c>
      <c r="BW281" s="289">
        <v>170.22</v>
      </c>
      <c r="BX281" s="289">
        <v>49.813000000000002</v>
      </c>
      <c r="CC281" s="517"/>
      <c r="CD281" s="85"/>
      <c r="CE281" s="517"/>
    </row>
    <row r="282" spans="1:83" ht="13">
      <c r="A282" s="1">
        <v>3822</v>
      </c>
      <c r="B282" s="2" t="s">
        <v>924</v>
      </c>
      <c r="C282" s="289">
        <v>1489</v>
      </c>
      <c r="D282" s="289">
        <v>40</v>
      </c>
      <c r="E282" s="289">
        <v>63</v>
      </c>
      <c r="F282" s="289">
        <v>170</v>
      </c>
      <c r="G282" s="289">
        <v>118</v>
      </c>
      <c r="H282" s="289">
        <v>836</v>
      </c>
      <c r="I282" s="289">
        <v>194</v>
      </c>
      <c r="J282" s="289">
        <v>56</v>
      </c>
      <c r="K282" s="289">
        <v>18</v>
      </c>
      <c r="L282" s="289">
        <v>11</v>
      </c>
      <c r="M282" s="289">
        <v>122</v>
      </c>
      <c r="N282" s="290">
        <v>1.5</v>
      </c>
      <c r="O282" s="290">
        <v>23</v>
      </c>
      <c r="P282" s="624">
        <v>14882.30166667</v>
      </c>
      <c r="Q282" s="624">
        <v>10202.47866667</v>
      </c>
      <c r="R282" s="624">
        <v>8</v>
      </c>
      <c r="S282" s="289">
        <v>0</v>
      </c>
      <c r="T282" s="289">
        <v>114</v>
      </c>
      <c r="U282" s="716">
        <v>9.2321247058197689E-4</v>
      </c>
      <c r="V282" s="289">
        <v>662.32271759000002</v>
      </c>
      <c r="W282" s="743">
        <v>1</v>
      </c>
      <c r="X282" s="289">
        <v>0</v>
      </c>
      <c r="Y282" s="289">
        <v>392</v>
      </c>
      <c r="Z282" s="289">
        <v>43371</v>
      </c>
      <c r="AA282" s="289">
        <v>0</v>
      </c>
      <c r="AB282" s="290">
        <v>30</v>
      </c>
      <c r="AC282" s="289">
        <v>0</v>
      </c>
      <c r="AD282" s="289">
        <v>0</v>
      </c>
      <c r="AE282" s="289">
        <v>0</v>
      </c>
      <c r="AF282" s="289">
        <v>0</v>
      </c>
      <c r="AG282" s="289">
        <v>1495</v>
      </c>
      <c r="AH282" s="289">
        <v>199</v>
      </c>
      <c r="AI282" s="289">
        <v>650</v>
      </c>
      <c r="AJ282" s="289">
        <v>0</v>
      </c>
      <c r="AK282" s="289">
        <v>6.7403000000000004</v>
      </c>
      <c r="AL282" s="289"/>
      <c r="AM282" s="622">
        <v>3.7581429999999999E-2</v>
      </c>
      <c r="AN282" s="289">
        <v>0</v>
      </c>
      <c r="AO282" s="289">
        <v>-92.12104755</v>
      </c>
      <c r="AP282" s="289">
        <v>0</v>
      </c>
      <c r="AQ282" s="289">
        <v>0</v>
      </c>
      <c r="AR282" s="289">
        <v>-106.85392354</v>
      </c>
      <c r="AS282" s="289">
        <v>16.171800000000001</v>
      </c>
      <c r="AT282" s="289">
        <v>94</v>
      </c>
      <c r="AU282" s="289">
        <v>13</v>
      </c>
      <c r="AV282" s="625">
        <v>58294</v>
      </c>
      <c r="AW282" s="289">
        <v>-0.75919999999999999</v>
      </c>
      <c r="AX282" s="625">
        <v>18.958333329999999</v>
      </c>
      <c r="AY282" s="289">
        <v>272</v>
      </c>
      <c r="AZ282" s="289">
        <v>67</v>
      </c>
      <c r="BA282" s="290">
        <v>24</v>
      </c>
      <c r="BB282" s="289">
        <v>5543</v>
      </c>
      <c r="BC282" s="289">
        <v>552</v>
      </c>
      <c r="BD282" s="289">
        <v>26.410699999999999</v>
      </c>
      <c r="BE282" s="289">
        <v>61987.797750719998</v>
      </c>
      <c r="BF282" s="289">
        <v>0</v>
      </c>
      <c r="BG282" s="289">
        <v>11</v>
      </c>
      <c r="BH282" s="289">
        <v>-12.180199999999999</v>
      </c>
      <c r="BI282" s="289">
        <v>591</v>
      </c>
      <c r="BJ282" s="289">
        <v>-1.5346</v>
      </c>
      <c r="BK282" s="289">
        <v>0</v>
      </c>
      <c r="BL282" s="289">
        <v>0</v>
      </c>
      <c r="BM282" s="289">
        <v>0</v>
      </c>
      <c r="BN282" s="289">
        <v>0</v>
      </c>
      <c r="BO282" s="517">
        <v>0</v>
      </c>
      <c r="BP282" s="517">
        <v>0</v>
      </c>
      <c r="BQ282" s="289">
        <f t="shared" si="8"/>
        <v>-1.5346136129999999</v>
      </c>
      <c r="BR282" s="289">
        <v>0</v>
      </c>
      <c r="BS282" s="289">
        <f t="shared" si="9"/>
        <v>0</v>
      </c>
      <c r="BT282" s="289">
        <v>4</v>
      </c>
      <c r="BU282" s="289">
        <v>0</v>
      </c>
      <c r="BV282" s="289">
        <v>24</v>
      </c>
      <c r="BW282" s="289">
        <v>165.28200000000001</v>
      </c>
      <c r="BX282" s="289">
        <v>30.827000000000002</v>
      </c>
      <c r="CC282" s="517"/>
      <c r="CD282" s="85"/>
      <c r="CE282" s="517"/>
    </row>
    <row r="283" spans="1:83" ht="13">
      <c r="A283" s="1">
        <v>3823</v>
      </c>
      <c r="B283" s="2" t="s">
        <v>925</v>
      </c>
      <c r="C283" s="289">
        <v>1320</v>
      </c>
      <c r="D283" s="289">
        <v>10</v>
      </c>
      <c r="E283" s="289">
        <v>65</v>
      </c>
      <c r="F283" s="289">
        <v>177</v>
      </c>
      <c r="G283" s="289">
        <v>110</v>
      </c>
      <c r="H283" s="289">
        <v>729</v>
      </c>
      <c r="I283" s="289">
        <v>186</v>
      </c>
      <c r="J283" s="289">
        <v>52</v>
      </c>
      <c r="K283" s="289">
        <v>11</v>
      </c>
      <c r="L283" s="289">
        <v>13</v>
      </c>
      <c r="M283" s="289">
        <v>116</v>
      </c>
      <c r="N283" s="290">
        <v>5</v>
      </c>
      <c r="O283" s="290">
        <v>27</v>
      </c>
      <c r="P283" s="624">
        <v>9285.3733333300006</v>
      </c>
      <c r="Q283" s="624">
        <v>6881.5870000000004</v>
      </c>
      <c r="R283" s="624">
        <v>6</v>
      </c>
      <c r="S283" s="289">
        <v>0</v>
      </c>
      <c r="T283" s="289">
        <v>115</v>
      </c>
      <c r="U283" s="716">
        <v>1.3794710464959876E-3</v>
      </c>
      <c r="V283" s="289">
        <v>622.96411436999995</v>
      </c>
      <c r="W283" s="743">
        <v>1</v>
      </c>
      <c r="X283" s="289">
        <v>0</v>
      </c>
      <c r="Y283" s="289">
        <v>244</v>
      </c>
      <c r="Z283" s="289">
        <v>35116</v>
      </c>
      <c r="AA283" s="289">
        <v>0</v>
      </c>
      <c r="AB283" s="290">
        <v>23</v>
      </c>
      <c r="AC283" s="289">
        <v>0</v>
      </c>
      <c r="AD283" s="289">
        <v>0</v>
      </c>
      <c r="AE283" s="289">
        <v>0</v>
      </c>
      <c r="AF283" s="289">
        <v>0</v>
      </c>
      <c r="AG283" s="289">
        <v>1340</v>
      </c>
      <c r="AH283" s="289">
        <v>185</v>
      </c>
      <c r="AI283" s="289">
        <v>0</v>
      </c>
      <c r="AJ283" s="289">
        <v>0</v>
      </c>
      <c r="AK283" s="289">
        <v>5.8197999999999999</v>
      </c>
      <c r="AL283" s="289"/>
      <c r="AM283" s="622">
        <v>3.9807189999999999E-2</v>
      </c>
      <c r="AN283" s="289">
        <v>0</v>
      </c>
      <c r="AO283" s="289">
        <v>-86.64674377</v>
      </c>
      <c r="AP283" s="289">
        <v>0</v>
      </c>
      <c r="AQ283" s="289">
        <v>0</v>
      </c>
      <c r="AR283" s="289">
        <v>-95.775423110000006</v>
      </c>
      <c r="AS283" s="289">
        <v>15.398199999999999</v>
      </c>
      <c r="AT283" s="289">
        <v>57</v>
      </c>
      <c r="AU283" s="289">
        <v>15</v>
      </c>
      <c r="AV283" s="625">
        <v>59279</v>
      </c>
      <c r="AW283" s="289">
        <v>-0.6804</v>
      </c>
      <c r="AX283" s="625">
        <v>2.375</v>
      </c>
      <c r="AY283" s="289">
        <v>261</v>
      </c>
      <c r="AZ283" s="289">
        <v>81</v>
      </c>
      <c r="BA283" s="290">
        <v>52</v>
      </c>
      <c r="BB283" s="289">
        <v>5543</v>
      </c>
      <c r="BC283" s="289">
        <v>399</v>
      </c>
      <c r="BD283" s="289">
        <v>24.552700000000002</v>
      </c>
      <c r="BE283" s="289">
        <v>60255.977080899997</v>
      </c>
      <c r="BF283" s="289">
        <v>0</v>
      </c>
      <c r="BG283" s="289">
        <v>13</v>
      </c>
      <c r="BH283" s="289">
        <v>-10.917400000000001</v>
      </c>
      <c r="BI283" s="289">
        <v>429</v>
      </c>
      <c r="BJ283" s="289">
        <v>-1.3754999999999999</v>
      </c>
      <c r="BK283" s="289">
        <v>0</v>
      </c>
      <c r="BL283" s="289">
        <v>0</v>
      </c>
      <c r="BM283" s="289">
        <v>0</v>
      </c>
      <c r="BN283" s="289">
        <v>0</v>
      </c>
      <c r="BO283" s="517">
        <v>0</v>
      </c>
      <c r="BP283" s="517">
        <v>0</v>
      </c>
      <c r="BQ283" s="289">
        <f t="shared" si="8"/>
        <v>-1.375506516</v>
      </c>
      <c r="BR283" s="289">
        <v>0</v>
      </c>
      <c r="BS283" s="289">
        <f t="shared" si="9"/>
        <v>0</v>
      </c>
      <c r="BT283" s="289">
        <v>3</v>
      </c>
      <c r="BU283" s="289">
        <v>0</v>
      </c>
      <c r="BV283" s="289">
        <v>22</v>
      </c>
      <c r="BW283" s="289">
        <v>164.363</v>
      </c>
      <c r="BX283" s="289">
        <v>27.399000000000001</v>
      </c>
      <c r="CC283" s="517"/>
      <c r="CD283" s="85"/>
      <c r="CE283" s="517"/>
    </row>
    <row r="284" spans="1:83" ht="13">
      <c r="A284" s="1">
        <v>3824</v>
      </c>
      <c r="B284" s="2" t="s">
        <v>926</v>
      </c>
      <c r="C284" s="289">
        <v>2236</v>
      </c>
      <c r="D284" s="289">
        <v>32</v>
      </c>
      <c r="E284" s="289">
        <v>85</v>
      </c>
      <c r="F284" s="289">
        <v>258</v>
      </c>
      <c r="G284" s="289">
        <v>210</v>
      </c>
      <c r="H284" s="289">
        <v>1216</v>
      </c>
      <c r="I284" s="289">
        <v>291</v>
      </c>
      <c r="J284" s="289">
        <v>97</v>
      </c>
      <c r="K284" s="289">
        <v>36</v>
      </c>
      <c r="L284" s="289">
        <v>22</v>
      </c>
      <c r="M284" s="289">
        <v>216</v>
      </c>
      <c r="N284" s="290">
        <v>18</v>
      </c>
      <c r="O284" s="290">
        <v>22</v>
      </c>
      <c r="P284" s="624">
        <v>22144.814999999999</v>
      </c>
      <c r="Q284" s="624">
        <v>8889.9529999999995</v>
      </c>
      <c r="R284" s="624">
        <v>8</v>
      </c>
      <c r="S284" s="289">
        <v>0</v>
      </c>
      <c r="T284" s="289">
        <v>195</v>
      </c>
      <c r="U284" s="716">
        <v>1.9238876398692114E-3</v>
      </c>
      <c r="V284" s="289">
        <v>919.25760217000004</v>
      </c>
      <c r="W284" s="743">
        <v>0.98041917999999995</v>
      </c>
      <c r="X284" s="289">
        <v>0</v>
      </c>
      <c r="Y284" s="289">
        <v>0</v>
      </c>
      <c r="Z284" s="289">
        <v>78415</v>
      </c>
      <c r="AA284" s="289">
        <v>0</v>
      </c>
      <c r="AB284" s="290">
        <v>40</v>
      </c>
      <c r="AC284" s="289">
        <v>0</v>
      </c>
      <c r="AD284" s="289">
        <v>0</v>
      </c>
      <c r="AE284" s="289">
        <v>0</v>
      </c>
      <c r="AF284" s="289">
        <v>0</v>
      </c>
      <c r="AG284" s="289">
        <v>2225</v>
      </c>
      <c r="AH284" s="289">
        <v>304</v>
      </c>
      <c r="AI284" s="289">
        <v>600</v>
      </c>
      <c r="AJ284" s="289">
        <v>0</v>
      </c>
      <c r="AK284" s="289">
        <v>8.1305999999999994</v>
      </c>
      <c r="AL284" s="289"/>
      <c r="AM284" s="622">
        <v>2.5675340000000001E-2</v>
      </c>
      <c r="AN284" s="289">
        <v>0</v>
      </c>
      <c r="AO284" s="289">
        <v>-127.85757008</v>
      </c>
      <c r="AP284" s="289">
        <v>0</v>
      </c>
      <c r="AQ284" s="289">
        <v>0</v>
      </c>
      <c r="AR284" s="289">
        <v>-159.03008686999999</v>
      </c>
      <c r="AS284" s="289">
        <v>24.595800000000001</v>
      </c>
      <c r="AT284" s="289">
        <v>114</v>
      </c>
      <c r="AU284" s="289">
        <v>26</v>
      </c>
      <c r="AV284" s="625">
        <v>73145</v>
      </c>
      <c r="AW284" s="289">
        <v>-1.1297999999999999</v>
      </c>
      <c r="AX284" s="625">
        <v>8.6666666699999997</v>
      </c>
      <c r="AY284" s="289">
        <v>419</v>
      </c>
      <c r="AZ284" s="289">
        <v>43</v>
      </c>
      <c r="BA284" s="290">
        <v>32</v>
      </c>
      <c r="BB284" s="289">
        <v>0</v>
      </c>
      <c r="BC284" s="289">
        <v>819</v>
      </c>
      <c r="BD284" s="289">
        <v>40.345999999999997</v>
      </c>
      <c r="BE284" s="289">
        <v>73857.89114634</v>
      </c>
      <c r="BF284" s="289">
        <v>0</v>
      </c>
      <c r="BG284" s="289">
        <v>0</v>
      </c>
      <c r="BH284" s="289">
        <v>-18.127800000000001</v>
      </c>
      <c r="BI284" s="289">
        <v>304</v>
      </c>
      <c r="BJ284" s="289">
        <v>-2.2839999999999998</v>
      </c>
      <c r="BK284" s="289">
        <v>0</v>
      </c>
      <c r="BL284" s="289">
        <v>0</v>
      </c>
      <c r="BM284" s="289">
        <v>0</v>
      </c>
      <c r="BN284" s="289">
        <v>0</v>
      </c>
      <c r="BO284" s="517">
        <v>0</v>
      </c>
      <c r="BP284" s="517">
        <v>0</v>
      </c>
      <c r="BQ284" s="289">
        <f t="shared" si="8"/>
        <v>-2.283956715</v>
      </c>
      <c r="BR284" s="289">
        <v>0</v>
      </c>
      <c r="BS284" s="289">
        <f t="shared" si="9"/>
        <v>0</v>
      </c>
      <c r="BT284" s="289">
        <v>5</v>
      </c>
      <c r="BU284" s="289">
        <v>0</v>
      </c>
      <c r="BV284" s="289">
        <v>31</v>
      </c>
      <c r="BW284" s="289">
        <v>169.34399999999999</v>
      </c>
      <c r="BX284" s="289">
        <v>46.488999999999997</v>
      </c>
      <c r="CC284" s="517"/>
      <c r="CD284" s="85"/>
      <c r="CE284" s="517"/>
    </row>
    <row r="285" spans="1:83" ht="13">
      <c r="A285" s="1">
        <v>3825</v>
      </c>
      <c r="B285" s="2" t="s">
        <v>927</v>
      </c>
      <c r="C285" s="289">
        <v>3709</v>
      </c>
      <c r="D285" s="289">
        <v>71</v>
      </c>
      <c r="E285" s="289">
        <v>156</v>
      </c>
      <c r="F285" s="289">
        <v>412</v>
      </c>
      <c r="G285" s="289">
        <v>338</v>
      </c>
      <c r="H285" s="289">
        <v>2045</v>
      </c>
      <c r="I285" s="289">
        <v>488</v>
      </c>
      <c r="J285" s="289">
        <v>154</v>
      </c>
      <c r="K285" s="289">
        <v>38</v>
      </c>
      <c r="L285" s="289">
        <v>32</v>
      </c>
      <c r="M285" s="289">
        <v>319</v>
      </c>
      <c r="N285" s="290">
        <v>53</v>
      </c>
      <c r="O285" s="290">
        <v>26</v>
      </c>
      <c r="P285" s="624">
        <v>73980.998333330004</v>
      </c>
      <c r="Q285" s="624">
        <v>21887.937000000002</v>
      </c>
      <c r="R285" s="624">
        <v>15</v>
      </c>
      <c r="S285" s="289">
        <v>0</v>
      </c>
      <c r="T285" s="289">
        <v>319</v>
      </c>
      <c r="U285" s="716">
        <v>2.7823698678728281E-3</v>
      </c>
      <c r="V285" s="289">
        <v>1483.4892567500001</v>
      </c>
      <c r="W285" s="743">
        <v>1</v>
      </c>
      <c r="X285" s="289">
        <v>0</v>
      </c>
      <c r="Y285" s="289">
        <v>392</v>
      </c>
      <c r="Z285" s="289">
        <v>151716</v>
      </c>
      <c r="AA285" s="289">
        <v>0</v>
      </c>
      <c r="AB285" s="290">
        <v>52</v>
      </c>
      <c r="AC285" s="289">
        <v>0</v>
      </c>
      <c r="AD285" s="289">
        <v>0</v>
      </c>
      <c r="AE285" s="289">
        <v>0</v>
      </c>
      <c r="AF285" s="289">
        <v>0</v>
      </c>
      <c r="AG285" s="289">
        <v>3702</v>
      </c>
      <c r="AH285" s="289">
        <v>502</v>
      </c>
      <c r="AI285" s="289">
        <v>0</v>
      </c>
      <c r="AJ285" s="289">
        <v>0</v>
      </c>
      <c r="AK285" s="289">
        <v>16.079799999999999</v>
      </c>
      <c r="AL285" s="289"/>
      <c r="AM285" s="622">
        <v>3.5798980000000001E-2</v>
      </c>
      <c r="AN285" s="289">
        <v>0</v>
      </c>
      <c r="AO285" s="289">
        <v>-206.33534187000001</v>
      </c>
      <c r="AP285" s="289">
        <v>0</v>
      </c>
      <c r="AQ285" s="289">
        <v>0</v>
      </c>
      <c r="AR285" s="289">
        <v>-264.59747487999999</v>
      </c>
      <c r="AS285" s="289">
        <v>40.691499999999998</v>
      </c>
      <c r="AT285" s="289">
        <v>142</v>
      </c>
      <c r="AU285" s="289">
        <v>25</v>
      </c>
      <c r="AV285" s="625">
        <v>110679</v>
      </c>
      <c r="AW285" s="289">
        <v>-1.8798999999999999</v>
      </c>
      <c r="AX285" s="625">
        <v>33.75</v>
      </c>
      <c r="AY285" s="289">
        <v>780</v>
      </c>
      <c r="AZ285" s="289">
        <v>140</v>
      </c>
      <c r="BA285" s="290">
        <v>68</v>
      </c>
      <c r="BB285" s="289">
        <v>0</v>
      </c>
      <c r="BC285" s="289">
        <v>859</v>
      </c>
      <c r="BD285" s="289">
        <v>66.623999999999995</v>
      </c>
      <c r="BE285" s="289">
        <v>116651.31223034</v>
      </c>
      <c r="BF285" s="289">
        <v>0</v>
      </c>
      <c r="BG285" s="289">
        <v>11</v>
      </c>
      <c r="BH285" s="289">
        <v>-30.161300000000001</v>
      </c>
      <c r="BI285" s="289">
        <v>894</v>
      </c>
      <c r="BJ285" s="289">
        <v>-3.8001</v>
      </c>
      <c r="BK285" s="289">
        <v>0</v>
      </c>
      <c r="BL285" s="289">
        <v>0</v>
      </c>
      <c r="BM285" s="289">
        <v>0</v>
      </c>
      <c r="BN285" s="289">
        <v>0</v>
      </c>
      <c r="BO285" s="517">
        <v>0</v>
      </c>
      <c r="BP285" s="517">
        <v>0</v>
      </c>
      <c r="BQ285" s="289">
        <f t="shared" si="8"/>
        <v>-3.8000933748000003</v>
      </c>
      <c r="BR285" s="289">
        <v>0</v>
      </c>
      <c r="BS285" s="289">
        <f t="shared" si="9"/>
        <v>0</v>
      </c>
      <c r="BT285" s="289">
        <v>9</v>
      </c>
      <c r="BU285" s="289">
        <v>0</v>
      </c>
      <c r="BV285" s="289">
        <v>50</v>
      </c>
      <c r="BW285" s="289">
        <v>177.357</v>
      </c>
      <c r="BX285" s="289">
        <v>77.17</v>
      </c>
      <c r="CC285" s="517"/>
      <c r="CD285" s="85"/>
      <c r="CE285" s="517"/>
    </row>
    <row r="286" spans="1:83" ht="13">
      <c r="A286" s="1">
        <v>4201</v>
      </c>
      <c r="B286" s="2" t="s">
        <v>928</v>
      </c>
      <c r="C286" s="289">
        <v>6882</v>
      </c>
      <c r="D286" s="289">
        <v>99</v>
      </c>
      <c r="E286" s="289">
        <v>250</v>
      </c>
      <c r="F286" s="289">
        <v>770</v>
      </c>
      <c r="G286" s="289">
        <v>632</v>
      </c>
      <c r="H286" s="289">
        <v>3804</v>
      </c>
      <c r="I286" s="289">
        <v>1001</v>
      </c>
      <c r="J286" s="289">
        <v>281</v>
      </c>
      <c r="K286" s="289">
        <v>82</v>
      </c>
      <c r="L286" s="289">
        <v>61</v>
      </c>
      <c r="M286" s="289">
        <v>601</v>
      </c>
      <c r="N286" s="290">
        <v>134</v>
      </c>
      <c r="O286" s="290">
        <v>97</v>
      </c>
      <c r="P286" s="624">
        <v>46547.705999999998</v>
      </c>
      <c r="Q286" s="624">
        <v>11353.55066667</v>
      </c>
      <c r="R286" s="624">
        <v>38</v>
      </c>
      <c r="S286" s="289">
        <v>0</v>
      </c>
      <c r="T286" s="289">
        <v>637</v>
      </c>
      <c r="U286" s="716">
        <v>7.9872660662999508E-4</v>
      </c>
      <c r="V286" s="289">
        <v>2461.8122537999998</v>
      </c>
      <c r="W286" s="743">
        <v>0.61750234999999998</v>
      </c>
      <c r="X286" s="289">
        <v>1050</v>
      </c>
      <c r="Y286" s="289">
        <v>392</v>
      </c>
      <c r="Z286" s="289">
        <v>167642</v>
      </c>
      <c r="AA286" s="289">
        <v>-4009.5569553999999</v>
      </c>
      <c r="AB286" s="290">
        <v>203</v>
      </c>
      <c r="AC286" s="289">
        <v>0</v>
      </c>
      <c r="AD286" s="289">
        <v>0</v>
      </c>
      <c r="AE286" s="289">
        <v>0</v>
      </c>
      <c r="AF286" s="289">
        <v>0</v>
      </c>
      <c r="AG286" s="289">
        <v>6919</v>
      </c>
      <c r="AH286" s="289">
        <v>913</v>
      </c>
      <c r="AI286" s="289">
        <v>501</v>
      </c>
      <c r="AJ286" s="289">
        <v>0</v>
      </c>
      <c r="AK286" s="289">
        <v>24.660900000000002</v>
      </c>
      <c r="AL286" s="289"/>
      <c r="AM286" s="622">
        <v>0.35270172</v>
      </c>
      <c r="AN286" s="289">
        <v>6995</v>
      </c>
      <c r="AO286" s="289">
        <v>-354.34192931000001</v>
      </c>
      <c r="AP286" s="289">
        <v>0</v>
      </c>
      <c r="AQ286" s="289">
        <v>0</v>
      </c>
      <c r="AR286" s="289">
        <v>-494.52996452999997</v>
      </c>
      <c r="AS286" s="289">
        <v>106.17359999999999</v>
      </c>
      <c r="AT286" s="289">
        <v>412</v>
      </c>
      <c r="AU286" s="289">
        <v>117</v>
      </c>
      <c r="AV286" s="625">
        <v>183470</v>
      </c>
      <c r="AW286" s="289">
        <v>-3.5135000000000001</v>
      </c>
      <c r="AX286" s="625">
        <v>30.583333329999999</v>
      </c>
      <c r="AY286" s="289">
        <v>1430</v>
      </c>
      <c r="AZ286" s="289">
        <v>352</v>
      </c>
      <c r="BA286" s="290">
        <v>142</v>
      </c>
      <c r="BB286" s="289">
        <v>0</v>
      </c>
      <c r="BC286" s="289">
        <v>-4597.9253734000004</v>
      </c>
      <c r="BD286" s="289">
        <v>121.1708</v>
      </c>
      <c r="BE286" s="289">
        <v>189199.12301370999</v>
      </c>
      <c r="BF286" s="289">
        <v>0</v>
      </c>
      <c r="BG286" s="289">
        <v>11</v>
      </c>
      <c r="BH286" s="289">
        <v>-56.371200000000002</v>
      </c>
      <c r="BI286" s="289">
        <v>-2704.5569553999999</v>
      </c>
      <c r="BJ286" s="289">
        <v>-7.1022999999999996</v>
      </c>
      <c r="BK286" s="289">
        <v>0</v>
      </c>
      <c r="BL286" s="289">
        <v>0</v>
      </c>
      <c r="BM286" s="289">
        <v>0</v>
      </c>
      <c r="BN286" s="289">
        <v>0</v>
      </c>
      <c r="BO286" s="517">
        <v>0</v>
      </c>
      <c r="BP286" s="517">
        <v>0</v>
      </c>
      <c r="BQ286" s="289">
        <f t="shared" si="8"/>
        <v>-7.1023355105999997</v>
      </c>
      <c r="BR286" s="289">
        <v>0</v>
      </c>
      <c r="BS286" s="289">
        <f t="shared" si="9"/>
        <v>0</v>
      </c>
      <c r="BT286" s="289">
        <v>14</v>
      </c>
      <c r="BU286" s="289">
        <v>0</v>
      </c>
      <c r="BV286" s="289">
        <v>72</v>
      </c>
      <c r="BW286" s="289">
        <v>174.99700000000001</v>
      </c>
      <c r="BX286" s="289">
        <v>143.26900000000001</v>
      </c>
      <c r="CC286" s="517"/>
      <c r="CD286" s="85"/>
      <c r="CE286" s="517"/>
    </row>
    <row r="287" spans="1:83" ht="13">
      <c r="A287" s="1">
        <v>4202</v>
      </c>
      <c r="B287" s="2" t="s">
        <v>929</v>
      </c>
      <c r="C287" s="289">
        <v>23017</v>
      </c>
      <c r="D287" s="289">
        <v>503</v>
      </c>
      <c r="E287" s="289">
        <v>1121</v>
      </c>
      <c r="F287" s="289">
        <v>3016</v>
      </c>
      <c r="G287" s="289">
        <v>2328</v>
      </c>
      <c r="H287" s="289">
        <v>12584</v>
      </c>
      <c r="I287" s="289">
        <v>2383</v>
      </c>
      <c r="J287" s="289">
        <v>677</v>
      </c>
      <c r="K287" s="289">
        <v>153</v>
      </c>
      <c r="L287" s="289">
        <v>176</v>
      </c>
      <c r="M287" s="289">
        <v>1248</v>
      </c>
      <c r="N287" s="290">
        <v>511</v>
      </c>
      <c r="O287" s="290">
        <v>244</v>
      </c>
      <c r="P287" s="624">
        <v>65424.339333329997</v>
      </c>
      <c r="Q287" s="624">
        <v>36455.98766667</v>
      </c>
      <c r="R287" s="624">
        <v>91</v>
      </c>
      <c r="S287" s="289">
        <v>0</v>
      </c>
      <c r="T287" s="289">
        <v>1571</v>
      </c>
      <c r="U287" s="716">
        <v>2.8894617053898718E-3</v>
      </c>
      <c r="V287" s="289">
        <v>-3898.0749737599999</v>
      </c>
      <c r="W287" s="743">
        <v>0.55594714000000001</v>
      </c>
      <c r="X287" s="289">
        <v>2100</v>
      </c>
      <c r="Y287" s="289">
        <v>392</v>
      </c>
      <c r="Z287" s="289">
        <v>637254</v>
      </c>
      <c r="AA287" s="289">
        <v>0</v>
      </c>
      <c r="AB287" s="290">
        <v>545</v>
      </c>
      <c r="AC287" s="289">
        <v>0</v>
      </c>
      <c r="AD287" s="289">
        <v>0</v>
      </c>
      <c r="AE287" s="289">
        <v>0</v>
      </c>
      <c r="AF287" s="289">
        <v>0</v>
      </c>
      <c r="AG287" s="289">
        <v>22765</v>
      </c>
      <c r="AH287" s="289">
        <v>3540</v>
      </c>
      <c r="AI287" s="289">
        <v>1366</v>
      </c>
      <c r="AJ287" s="289">
        <v>0</v>
      </c>
      <c r="AK287" s="289">
        <v>111.1584</v>
      </c>
      <c r="AL287" s="289"/>
      <c r="AM287" s="622">
        <v>0.98090646000000004</v>
      </c>
      <c r="AN287" s="289">
        <v>0</v>
      </c>
      <c r="AO287" s="289">
        <v>-1104.68096894</v>
      </c>
      <c r="AP287" s="289">
        <v>0</v>
      </c>
      <c r="AQ287" s="289">
        <v>0</v>
      </c>
      <c r="AR287" s="289">
        <v>-1627.11007986</v>
      </c>
      <c r="AS287" s="289">
        <v>305.642</v>
      </c>
      <c r="AT287" s="289">
        <v>1334</v>
      </c>
      <c r="AU287" s="289">
        <v>424</v>
      </c>
      <c r="AV287" s="625">
        <v>520357</v>
      </c>
      <c r="AW287" s="289">
        <v>-11.56</v>
      </c>
      <c r="AX287" s="625">
        <v>169.08333334</v>
      </c>
      <c r="AY287" s="289">
        <v>5735</v>
      </c>
      <c r="AZ287" s="289">
        <v>893</v>
      </c>
      <c r="BA287" s="290">
        <v>565</v>
      </c>
      <c r="BB287" s="289">
        <v>0</v>
      </c>
      <c r="BC287" s="289">
        <v>3879</v>
      </c>
      <c r="BD287" s="289">
        <v>469.81880000000001</v>
      </c>
      <c r="BE287" s="289">
        <v>536062.21324835997</v>
      </c>
      <c r="BF287" s="289">
        <v>0</v>
      </c>
      <c r="BG287" s="289">
        <v>11</v>
      </c>
      <c r="BH287" s="289">
        <v>-185.4734</v>
      </c>
      <c r="BI287" s="289">
        <v>3932</v>
      </c>
      <c r="BJ287" s="289">
        <v>-23.368200000000002</v>
      </c>
      <c r="BK287" s="289">
        <v>0</v>
      </c>
      <c r="BL287" s="289">
        <v>0</v>
      </c>
      <c r="BM287" s="289">
        <v>0</v>
      </c>
      <c r="BN287" s="289">
        <v>0</v>
      </c>
      <c r="BO287" s="517">
        <v>0</v>
      </c>
      <c r="BP287" s="517">
        <v>0</v>
      </c>
      <c r="BQ287" s="289">
        <f t="shared" si="8"/>
        <v>-23.368213310999998</v>
      </c>
      <c r="BR287" s="289">
        <v>0</v>
      </c>
      <c r="BS287" s="289">
        <f t="shared" si="9"/>
        <v>0</v>
      </c>
      <c r="BT287" s="289">
        <v>64</v>
      </c>
      <c r="BU287" s="289">
        <v>0</v>
      </c>
      <c r="BV287" s="289">
        <v>207</v>
      </c>
      <c r="BW287" s="289">
        <v>160.32599999999999</v>
      </c>
      <c r="BX287" s="289">
        <v>479.20499999999998</v>
      </c>
      <c r="CC287" s="517"/>
      <c r="CD287" s="85"/>
      <c r="CE287" s="517"/>
    </row>
    <row r="288" spans="1:83" ht="13">
      <c r="A288" s="1">
        <v>4203</v>
      </c>
      <c r="B288" s="2" t="s">
        <v>930</v>
      </c>
      <c r="C288" s="289">
        <v>44645</v>
      </c>
      <c r="D288" s="289">
        <v>894</v>
      </c>
      <c r="E288" s="289">
        <v>1990</v>
      </c>
      <c r="F288" s="289">
        <v>5453</v>
      </c>
      <c r="G288" s="289">
        <v>3932</v>
      </c>
      <c r="H288" s="289">
        <v>25441</v>
      </c>
      <c r="I288" s="289">
        <v>5090</v>
      </c>
      <c r="J288" s="289">
        <v>1511</v>
      </c>
      <c r="K288" s="289">
        <v>376</v>
      </c>
      <c r="L288" s="289">
        <v>375</v>
      </c>
      <c r="M288" s="289">
        <v>3053</v>
      </c>
      <c r="N288" s="290">
        <v>1276</v>
      </c>
      <c r="O288" s="290">
        <v>468</v>
      </c>
      <c r="P288" s="624">
        <v>104795.34766667</v>
      </c>
      <c r="Q288" s="624">
        <v>82014.349000000002</v>
      </c>
      <c r="R288" s="624">
        <v>180</v>
      </c>
      <c r="S288" s="289">
        <v>0</v>
      </c>
      <c r="T288" s="289">
        <v>4045</v>
      </c>
      <c r="U288" s="716">
        <v>3.0573776239375175E-3</v>
      </c>
      <c r="V288" s="289">
        <v>-28258.631927840001</v>
      </c>
      <c r="W288" s="743">
        <v>0.56208517999999996</v>
      </c>
      <c r="X288" s="289">
        <v>5500</v>
      </c>
      <c r="Y288" s="289">
        <v>1568</v>
      </c>
      <c r="Z288" s="289">
        <v>1138206</v>
      </c>
      <c r="AA288" s="289">
        <v>0</v>
      </c>
      <c r="AB288" s="290">
        <v>1383</v>
      </c>
      <c r="AC288" s="289">
        <v>0</v>
      </c>
      <c r="AD288" s="289">
        <v>0</v>
      </c>
      <c r="AE288" s="289">
        <v>0</v>
      </c>
      <c r="AF288" s="289">
        <v>0</v>
      </c>
      <c r="AG288" s="289">
        <v>44687</v>
      </c>
      <c r="AH288" s="289">
        <v>6410</v>
      </c>
      <c r="AI288" s="289">
        <v>2475</v>
      </c>
      <c r="AJ288" s="289">
        <v>0</v>
      </c>
      <c r="AK288" s="289">
        <v>198.12139999999999</v>
      </c>
      <c r="AL288" s="289"/>
      <c r="AM288" s="622">
        <v>2.6114363799999998</v>
      </c>
      <c r="AN288" s="289">
        <v>0</v>
      </c>
      <c r="AO288" s="289">
        <v>-2179.64136912</v>
      </c>
      <c r="AP288" s="289">
        <v>0</v>
      </c>
      <c r="AQ288" s="289">
        <v>0</v>
      </c>
      <c r="AR288" s="289">
        <v>-3193.9674122000001</v>
      </c>
      <c r="AS288" s="289">
        <v>740.8655</v>
      </c>
      <c r="AT288" s="289">
        <v>3026</v>
      </c>
      <c r="AU288" s="289">
        <v>903</v>
      </c>
      <c r="AV288" s="625">
        <v>1019084</v>
      </c>
      <c r="AW288" s="289">
        <v>-22.6919</v>
      </c>
      <c r="AX288" s="625">
        <v>306.41666670000001</v>
      </c>
      <c r="AY288" s="289">
        <v>10365</v>
      </c>
      <c r="AZ288" s="289">
        <v>1899</v>
      </c>
      <c r="BA288" s="290">
        <v>1246</v>
      </c>
      <c r="BB288" s="289">
        <v>0</v>
      </c>
      <c r="BC288" s="289">
        <v>8310</v>
      </c>
      <c r="BD288" s="289">
        <v>850.71709999999996</v>
      </c>
      <c r="BE288" s="289">
        <v>1044806.2694102</v>
      </c>
      <c r="BF288" s="289">
        <v>0</v>
      </c>
      <c r="BG288" s="289">
        <v>44</v>
      </c>
      <c r="BH288" s="289">
        <v>-364.07870000000003</v>
      </c>
      <c r="BI288" s="289">
        <v>7978</v>
      </c>
      <c r="BJ288" s="289">
        <v>-45.871099999999998</v>
      </c>
      <c r="BK288" s="289">
        <v>0</v>
      </c>
      <c r="BL288" s="289">
        <v>0</v>
      </c>
      <c r="BM288" s="289">
        <v>0</v>
      </c>
      <c r="BN288" s="289">
        <v>0</v>
      </c>
      <c r="BO288" s="517">
        <v>0</v>
      </c>
      <c r="BP288" s="517">
        <v>0</v>
      </c>
      <c r="BQ288" s="289">
        <f t="shared" si="8"/>
        <v>-45.871089313800006</v>
      </c>
      <c r="BR288" s="289">
        <v>0</v>
      </c>
      <c r="BS288" s="289">
        <f t="shared" si="9"/>
        <v>0</v>
      </c>
      <c r="BT288" s="289">
        <v>113</v>
      </c>
      <c r="BU288" s="289">
        <v>0</v>
      </c>
      <c r="BV288" s="289">
        <v>405</v>
      </c>
      <c r="BW288" s="289">
        <v>458.97300000000001</v>
      </c>
      <c r="BX288" s="289">
        <v>931.197</v>
      </c>
      <c r="CC288" s="517"/>
      <c r="CD288" s="85"/>
      <c r="CE288" s="517"/>
    </row>
    <row r="289" spans="1:83" ht="13">
      <c r="A289" s="1">
        <v>4206</v>
      </c>
      <c r="B289" s="2" t="s">
        <v>944</v>
      </c>
      <c r="C289" s="289">
        <v>9726</v>
      </c>
      <c r="D289" s="289">
        <v>205</v>
      </c>
      <c r="E289" s="289">
        <v>431</v>
      </c>
      <c r="F289" s="289">
        <v>1229</v>
      </c>
      <c r="G289" s="289">
        <v>1028</v>
      </c>
      <c r="H289" s="289">
        <v>5144</v>
      </c>
      <c r="I289" s="289">
        <v>1246</v>
      </c>
      <c r="J289" s="289">
        <v>393</v>
      </c>
      <c r="K289" s="289">
        <v>83</v>
      </c>
      <c r="L289" s="289">
        <v>79</v>
      </c>
      <c r="M289" s="289">
        <v>694</v>
      </c>
      <c r="N289" s="290">
        <v>128</v>
      </c>
      <c r="O289" s="290">
        <v>125</v>
      </c>
      <c r="P289" s="624">
        <v>28163.838333330001</v>
      </c>
      <c r="Q289" s="624">
        <v>16066.73733333</v>
      </c>
      <c r="R289" s="624">
        <v>40</v>
      </c>
      <c r="S289" s="289">
        <v>0</v>
      </c>
      <c r="T289" s="289">
        <v>698</v>
      </c>
      <c r="U289" s="716">
        <v>3.5076704611239117E-3</v>
      </c>
      <c r="V289" s="289">
        <v>3044.5982591900001</v>
      </c>
      <c r="W289" s="743">
        <v>0.59868739000000004</v>
      </c>
      <c r="X289" s="289">
        <v>1240</v>
      </c>
      <c r="Y289" s="289">
        <v>392</v>
      </c>
      <c r="Z289" s="289">
        <v>246461</v>
      </c>
      <c r="AA289" s="289">
        <v>0</v>
      </c>
      <c r="AB289" s="290">
        <v>223</v>
      </c>
      <c r="AC289" s="289">
        <v>1834</v>
      </c>
      <c r="AD289" s="289">
        <v>0</v>
      </c>
      <c r="AE289" s="289">
        <v>0</v>
      </c>
      <c r="AF289" s="289">
        <v>0</v>
      </c>
      <c r="AG289" s="289">
        <v>9759</v>
      </c>
      <c r="AH289" s="289">
        <v>1490</v>
      </c>
      <c r="AI289" s="289">
        <v>1125</v>
      </c>
      <c r="AJ289" s="289">
        <v>0</v>
      </c>
      <c r="AK289" s="289">
        <v>41.2684</v>
      </c>
      <c r="AL289" s="289"/>
      <c r="AM289" s="622">
        <v>0.23963545</v>
      </c>
      <c r="AN289" s="289">
        <v>4730</v>
      </c>
      <c r="AO289" s="289">
        <v>-483.13533858</v>
      </c>
      <c r="AP289" s="289">
        <v>0</v>
      </c>
      <c r="AQ289" s="289">
        <v>0</v>
      </c>
      <c r="AR289" s="289">
        <v>-697.51668215999996</v>
      </c>
      <c r="AS289" s="289">
        <v>113.5377</v>
      </c>
      <c r="AT289" s="289">
        <v>519</v>
      </c>
      <c r="AU289" s="289">
        <v>136</v>
      </c>
      <c r="AV289" s="625">
        <v>236415</v>
      </c>
      <c r="AW289" s="289">
        <v>-4.9555999999999996</v>
      </c>
      <c r="AX289" s="625">
        <v>61.416666669999998</v>
      </c>
      <c r="AY289" s="289">
        <v>1626</v>
      </c>
      <c r="AZ289" s="289">
        <v>324</v>
      </c>
      <c r="BA289" s="290">
        <v>196</v>
      </c>
      <c r="BB289" s="289">
        <v>0</v>
      </c>
      <c r="BC289" s="289">
        <v>1829</v>
      </c>
      <c r="BD289" s="289">
        <v>197.74860000000001</v>
      </c>
      <c r="BE289" s="289">
        <v>249629.35566895001</v>
      </c>
      <c r="BF289" s="289">
        <v>0</v>
      </c>
      <c r="BG289" s="289">
        <v>11</v>
      </c>
      <c r="BH289" s="289">
        <v>-79.509600000000006</v>
      </c>
      <c r="BI289" s="289">
        <v>1882</v>
      </c>
      <c r="BJ289" s="289">
        <v>-10.0176</v>
      </c>
      <c r="BK289" s="289">
        <v>0</v>
      </c>
      <c r="BL289" s="289">
        <v>0</v>
      </c>
      <c r="BM289" s="289">
        <v>0</v>
      </c>
      <c r="BN289" s="289">
        <v>0</v>
      </c>
      <c r="BO289" s="517">
        <v>0</v>
      </c>
      <c r="BP289" s="517">
        <v>0</v>
      </c>
      <c r="BQ289" s="289">
        <f t="shared" si="8"/>
        <v>-10.0175881266</v>
      </c>
      <c r="BR289" s="289">
        <v>0</v>
      </c>
      <c r="BS289" s="289">
        <f t="shared" si="9"/>
        <v>0</v>
      </c>
      <c r="BT289" s="289">
        <v>24</v>
      </c>
      <c r="BU289" s="289">
        <v>0</v>
      </c>
      <c r="BV289" s="289">
        <v>96</v>
      </c>
      <c r="BW289" s="289">
        <v>574.24099999999999</v>
      </c>
      <c r="BX289" s="289">
        <v>201.76499999999999</v>
      </c>
      <c r="CC289" s="517"/>
      <c r="CD289" s="85"/>
      <c r="CE289" s="517"/>
    </row>
    <row r="290" spans="1:83" ht="13">
      <c r="A290" s="1">
        <v>4207</v>
      </c>
      <c r="B290" s="2" t="s">
        <v>946</v>
      </c>
      <c r="C290" s="289">
        <v>9066</v>
      </c>
      <c r="D290" s="289">
        <v>169</v>
      </c>
      <c r="E290" s="289">
        <v>421</v>
      </c>
      <c r="F290" s="289">
        <v>1169</v>
      </c>
      <c r="G290" s="289">
        <v>811</v>
      </c>
      <c r="H290" s="289">
        <v>4898</v>
      </c>
      <c r="I290" s="289">
        <v>1121</v>
      </c>
      <c r="J290" s="289">
        <v>401</v>
      </c>
      <c r="K290" s="289">
        <v>125</v>
      </c>
      <c r="L290" s="289">
        <v>69</v>
      </c>
      <c r="M290" s="289">
        <v>693</v>
      </c>
      <c r="N290" s="290">
        <v>183</v>
      </c>
      <c r="O290" s="290">
        <v>113</v>
      </c>
      <c r="P290" s="624">
        <v>58920.684000000001</v>
      </c>
      <c r="Q290" s="624">
        <v>18357.76233333</v>
      </c>
      <c r="R290" s="624">
        <v>56</v>
      </c>
      <c r="S290" s="289">
        <v>0</v>
      </c>
      <c r="T290" s="289">
        <v>647</v>
      </c>
      <c r="U290" s="716">
        <v>2.4268977093413065E-3</v>
      </c>
      <c r="V290" s="289">
        <v>3501.5093923999998</v>
      </c>
      <c r="W290" s="743">
        <v>0.61644812999999998</v>
      </c>
      <c r="X290" s="289">
        <v>1150</v>
      </c>
      <c r="Y290" s="289">
        <v>392</v>
      </c>
      <c r="Z290" s="289">
        <v>241314</v>
      </c>
      <c r="AA290" s="289">
        <v>0</v>
      </c>
      <c r="AB290" s="290">
        <v>247</v>
      </c>
      <c r="AC290" s="289">
        <v>0</v>
      </c>
      <c r="AD290" s="289">
        <v>0</v>
      </c>
      <c r="AE290" s="289">
        <v>0</v>
      </c>
      <c r="AF290" s="289">
        <v>0</v>
      </c>
      <c r="AG290" s="289">
        <v>9115</v>
      </c>
      <c r="AH290" s="289">
        <v>1319</v>
      </c>
      <c r="AI290" s="289">
        <v>365</v>
      </c>
      <c r="AJ290" s="289">
        <v>0</v>
      </c>
      <c r="AK290" s="289">
        <v>39.829799999999999</v>
      </c>
      <c r="AL290" s="289"/>
      <c r="AM290" s="622">
        <v>0.29269527000000001</v>
      </c>
      <c r="AN290" s="289">
        <v>6648</v>
      </c>
      <c r="AO290" s="289">
        <v>-487.01743828999997</v>
      </c>
      <c r="AP290" s="289">
        <v>0</v>
      </c>
      <c r="AQ290" s="289">
        <v>0</v>
      </c>
      <c r="AR290" s="289">
        <v>-651.48729971</v>
      </c>
      <c r="AS290" s="289">
        <v>117.4606</v>
      </c>
      <c r="AT290" s="289">
        <v>502</v>
      </c>
      <c r="AU290" s="289">
        <v>159</v>
      </c>
      <c r="AV290" s="625">
        <v>268673</v>
      </c>
      <c r="AW290" s="289">
        <v>-4.6285999999999996</v>
      </c>
      <c r="AX290" s="625">
        <v>48.25</v>
      </c>
      <c r="AY290" s="289">
        <v>1712</v>
      </c>
      <c r="AZ290" s="289">
        <v>303</v>
      </c>
      <c r="BA290" s="290">
        <v>169</v>
      </c>
      <c r="BB290" s="289">
        <v>0</v>
      </c>
      <c r="BC290" s="289">
        <v>1722</v>
      </c>
      <c r="BD290" s="289">
        <v>175.0539</v>
      </c>
      <c r="BE290" s="289">
        <v>272762.66460789001</v>
      </c>
      <c r="BF290" s="289">
        <v>0</v>
      </c>
      <c r="BG290" s="289">
        <v>11</v>
      </c>
      <c r="BH290" s="289">
        <v>-74.262699999999995</v>
      </c>
      <c r="BI290" s="289">
        <v>1711</v>
      </c>
      <c r="BJ290" s="289">
        <v>-9.3565000000000005</v>
      </c>
      <c r="BK290" s="289">
        <v>0</v>
      </c>
      <c r="BL290" s="289">
        <v>0</v>
      </c>
      <c r="BM290" s="289">
        <v>0</v>
      </c>
      <c r="BN290" s="289">
        <v>0</v>
      </c>
      <c r="BO290" s="517">
        <v>0</v>
      </c>
      <c r="BP290" s="517">
        <v>0</v>
      </c>
      <c r="BQ290" s="289">
        <f t="shared" si="8"/>
        <v>-9.3565238009999998</v>
      </c>
      <c r="BR290" s="289">
        <v>0</v>
      </c>
      <c r="BS290" s="289">
        <f t="shared" si="9"/>
        <v>0</v>
      </c>
      <c r="BT290" s="289">
        <v>23</v>
      </c>
      <c r="BU290" s="289">
        <v>0</v>
      </c>
      <c r="BV290" s="289">
        <v>93</v>
      </c>
      <c r="BW290" s="289">
        <v>0</v>
      </c>
      <c r="BX290" s="289">
        <v>189.821</v>
      </c>
      <c r="CC290" s="517"/>
      <c r="CD290" s="85"/>
      <c r="CE290" s="517"/>
    </row>
    <row r="291" spans="1:83" ht="13">
      <c r="A291" s="1">
        <v>4211</v>
      </c>
      <c r="B291" s="2" t="s">
        <v>931</v>
      </c>
      <c r="C291" s="289">
        <v>2467</v>
      </c>
      <c r="D291" s="289">
        <v>36</v>
      </c>
      <c r="E291" s="289">
        <v>91</v>
      </c>
      <c r="F291" s="289">
        <v>264</v>
      </c>
      <c r="G291" s="289">
        <v>252</v>
      </c>
      <c r="H291" s="289">
        <v>1369</v>
      </c>
      <c r="I291" s="289">
        <v>334</v>
      </c>
      <c r="J291" s="289">
        <v>94</v>
      </c>
      <c r="K291" s="289">
        <v>34</v>
      </c>
      <c r="L291" s="289">
        <v>18</v>
      </c>
      <c r="M291" s="289">
        <v>223</v>
      </c>
      <c r="N291" s="290">
        <v>52</v>
      </c>
      <c r="O291" s="290">
        <v>20</v>
      </c>
      <c r="P291" s="624">
        <v>19736.54833333</v>
      </c>
      <c r="Q291" s="624">
        <v>4902.9120000000003</v>
      </c>
      <c r="R291" s="624">
        <v>19</v>
      </c>
      <c r="S291" s="289">
        <v>0</v>
      </c>
      <c r="T291" s="289">
        <v>223</v>
      </c>
      <c r="U291" s="716">
        <v>1.0041928606409302E-3</v>
      </c>
      <c r="V291" s="289">
        <v>892.67891147</v>
      </c>
      <c r="W291" s="743">
        <v>0.75672505000000001</v>
      </c>
      <c r="X291" s="289">
        <v>1910</v>
      </c>
      <c r="Y291" s="289">
        <v>268</v>
      </c>
      <c r="Z291" s="289">
        <v>49187</v>
      </c>
      <c r="AA291" s="289">
        <v>-1617.6254922999999</v>
      </c>
      <c r="AB291" s="290">
        <v>100</v>
      </c>
      <c r="AC291" s="289">
        <v>796</v>
      </c>
      <c r="AD291" s="289">
        <v>0</v>
      </c>
      <c r="AE291" s="289">
        <v>0</v>
      </c>
      <c r="AF291" s="289">
        <v>0</v>
      </c>
      <c r="AG291" s="289">
        <v>2474</v>
      </c>
      <c r="AH291" s="289">
        <v>332</v>
      </c>
      <c r="AI291" s="289">
        <v>226</v>
      </c>
      <c r="AJ291" s="289">
        <v>0</v>
      </c>
      <c r="AK291" s="289">
        <v>8.2276000000000007</v>
      </c>
      <c r="AL291" s="289"/>
      <c r="AM291" s="622">
        <v>0.11732463</v>
      </c>
      <c r="AN291" s="289">
        <v>0</v>
      </c>
      <c r="AO291" s="289">
        <v>-136.09453508999999</v>
      </c>
      <c r="AP291" s="289">
        <v>0</v>
      </c>
      <c r="AQ291" s="289">
        <v>0</v>
      </c>
      <c r="AR291" s="289">
        <v>1937.00045004</v>
      </c>
      <c r="AS291" s="289">
        <v>40.134099999999997</v>
      </c>
      <c r="AT291" s="289">
        <v>171</v>
      </c>
      <c r="AU291" s="289">
        <v>42</v>
      </c>
      <c r="AV291" s="625">
        <v>82746</v>
      </c>
      <c r="AW291" s="289">
        <v>-48.131700000000002</v>
      </c>
      <c r="AX291" s="625">
        <v>6.4166666599999997</v>
      </c>
      <c r="AY291" s="289">
        <v>311</v>
      </c>
      <c r="AZ291" s="289">
        <v>103</v>
      </c>
      <c r="BA291" s="290">
        <v>56</v>
      </c>
      <c r="BB291" s="289">
        <v>5543</v>
      </c>
      <c r="BC291" s="289">
        <v>-1806.9495501399999</v>
      </c>
      <c r="BD291" s="289">
        <v>44.062100000000001</v>
      </c>
      <c r="BE291" s="289">
        <v>81848.338738460006</v>
      </c>
      <c r="BF291" s="289">
        <v>0</v>
      </c>
      <c r="BG291" s="289">
        <v>13</v>
      </c>
      <c r="BH291" s="289">
        <v>-20.156400000000001</v>
      </c>
      <c r="BI291" s="289">
        <v>-1017.6254923</v>
      </c>
      <c r="BJ291" s="289">
        <v>-2.5396000000000001</v>
      </c>
      <c r="BK291" s="289">
        <v>0</v>
      </c>
      <c r="BL291" s="289">
        <v>0</v>
      </c>
      <c r="BM291" s="289">
        <v>0</v>
      </c>
      <c r="BN291" s="289">
        <v>0</v>
      </c>
      <c r="BO291" s="517">
        <v>0</v>
      </c>
      <c r="BP291" s="517">
        <v>0</v>
      </c>
      <c r="BQ291" s="289">
        <f t="shared" si="8"/>
        <v>-2.5395545676000002</v>
      </c>
      <c r="BR291" s="289">
        <v>0</v>
      </c>
      <c r="BS291" s="289">
        <f t="shared" si="9"/>
        <v>0</v>
      </c>
      <c r="BT291" s="289">
        <v>5</v>
      </c>
      <c r="BU291" s="289">
        <v>0</v>
      </c>
      <c r="BV291" s="289">
        <v>30</v>
      </c>
      <c r="BW291" s="289">
        <v>211.673</v>
      </c>
      <c r="BX291" s="289">
        <v>51.267000000000003</v>
      </c>
      <c r="CC291" s="517"/>
      <c r="CD291" s="85"/>
      <c r="CE291" s="517"/>
    </row>
    <row r="292" spans="1:83" ht="13">
      <c r="A292" s="1">
        <v>4212</v>
      </c>
      <c r="B292" s="4" t="s">
        <v>706</v>
      </c>
      <c r="C292" s="289">
        <v>2087</v>
      </c>
      <c r="D292" s="289">
        <v>44</v>
      </c>
      <c r="E292" s="289">
        <v>100</v>
      </c>
      <c r="F292" s="289">
        <v>303</v>
      </c>
      <c r="G292" s="289">
        <v>185</v>
      </c>
      <c r="H292" s="289">
        <v>1137</v>
      </c>
      <c r="I292" s="289">
        <v>213</v>
      </c>
      <c r="J292" s="289">
        <v>77</v>
      </c>
      <c r="K292" s="289">
        <v>32</v>
      </c>
      <c r="L292" s="289">
        <v>16</v>
      </c>
      <c r="M292" s="289">
        <v>156</v>
      </c>
      <c r="N292" s="290">
        <v>39</v>
      </c>
      <c r="O292" s="290">
        <v>27</v>
      </c>
      <c r="P292" s="624">
        <v>11114.956333329999</v>
      </c>
      <c r="Q292" s="624">
        <v>8503.1849999999995</v>
      </c>
      <c r="R292" s="624">
        <v>8</v>
      </c>
      <c r="S292" s="289">
        <v>0</v>
      </c>
      <c r="T292" s="289">
        <v>145</v>
      </c>
      <c r="U292" s="716">
        <v>7.1106094981178414E-4</v>
      </c>
      <c r="V292" s="289">
        <v>885.92202792</v>
      </c>
      <c r="W292" s="743">
        <v>0.80991455000000001</v>
      </c>
      <c r="X292" s="289">
        <v>1980</v>
      </c>
      <c r="Y292" s="289">
        <v>244</v>
      </c>
      <c r="Z292" s="289">
        <v>44994</v>
      </c>
      <c r="AA292" s="289">
        <v>0</v>
      </c>
      <c r="AB292" s="290">
        <v>55</v>
      </c>
      <c r="AC292" s="289">
        <v>0</v>
      </c>
      <c r="AD292" s="289">
        <v>0</v>
      </c>
      <c r="AE292" s="289">
        <v>366</v>
      </c>
      <c r="AF292" s="289">
        <v>0</v>
      </c>
      <c r="AG292" s="289">
        <v>2091</v>
      </c>
      <c r="AH292" s="289">
        <v>333</v>
      </c>
      <c r="AI292" s="289">
        <v>73</v>
      </c>
      <c r="AJ292" s="289">
        <v>0</v>
      </c>
      <c r="AK292" s="289">
        <v>9.6316000000000006</v>
      </c>
      <c r="AL292" s="289"/>
      <c r="AM292" s="622">
        <v>5.4746349999999999E-2</v>
      </c>
      <c r="AN292" s="289">
        <v>0</v>
      </c>
      <c r="AO292" s="289">
        <v>-123.22099649</v>
      </c>
      <c r="AP292" s="289">
        <v>0</v>
      </c>
      <c r="AQ292" s="289">
        <v>0</v>
      </c>
      <c r="AR292" s="289">
        <v>300.49432719999999</v>
      </c>
      <c r="AS292" s="289">
        <v>25.757999999999999</v>
      </c>
      <c r="AT292" s="289">
        <v>102</v>
      </c>
      <c r="AU292" s="289">
        <v>22</v>
      </c>
      <c r="AV292" s="625">
        <v>77804</v>
      </c>
      <c r="AW292" s="289">
        <v>-40.680500000000002</v>
      </c>
      <c r="AX292" s="625">
        <v>15.25</v>
      </c>
      <c r="AY292" s="289">
        <v>374</v>
      </c>
      <c r="AZ292" s="289">
        <v>108</v>
      </c>
      <c r="BA292" s="290">
        <v>60</v>
      </c>
      <c r="BB292" s="289">
        <v>2772</v>
      </c>
      <c r="BC292" s="289">
        <v>499</v>
      </c>
      <c r="BD292" s="289">
        <v>44.194800000000001</v>
      </c>
      <c r="BE292" s="289">
        <v>77991.206790719996</v>
      </c>
      <c r="BF292" s="289">
        <v>0</v>
      </c>
      <c r="BG292" s="289">
        <v>13</v>
      </c>
      <c r="BH292" s="289">
        <v>-17.036000000000001</v>
      </c>
      <c r="BI292" s="289">
        <v>577</v>
      </c>
      <c r="BJ292" s="289">
        <v>-2.1463999999999999</v>
      </c>
      <c r="BK292" s="289">
        <v>0</v>
      </c>
      <c r="BL292" s="289">
        <v>0</v>
      </c>
      <c r="BM292" s="289">
        <v>0</v>
      </c>
      <c r="BN292" s="289">
        <v>0</v>
      </c>
      <c r="BO292" s="517">
        <v>0</v>
      </c>
      <c r="BP292" s="517">
        <v>0</v>
      </c>
      <c r="BQ292" s="289">
        <f t="shared" si="8"/>
        <v>-2.1464060634000002</v>
      </c>
      <c r="BR292" s="289">
        <v>0</v>
      </c>
      <c r="BS292" s="289">
        <f t="shared" si="9"/>
        <v>0</v>
      </c>
      <c r="BT292" s="289">
        <v>6</v>
      </c>
      <c r="BU292" s="289">
        <v>0</v>
      </c>
      <c r="BV292" s="289">
        <v>27</v>
      </c>
      <c r="BW292" s="289">
        <v>0</v>
      </c>
      <c r="BX292" s="289">
        <v>43.747</v>
      </c>
      <c r="CC292" s="517"/>
      <c r="CD292" s="85"/>
      <c r="CE292" s="517"/>
    </row>
    <row r="293" spans="1:83" ht="13">
      <c r="A293" s="1">
        <v>4213</v>
      </c>
      <c r="B293" s="2" t="s">
        <v>932</v>
      </c>
      <c r="C293" s="289">
        <v>6086</v>
      </c>
      <c r="D293" s="289">
        <v>101</v>
      </c>
      <c r="E293" s="289">
        <v>236</v>
      </c>
      <c r="F293" s="289">
        <v>714</v>
      </c>
      <c r="G293" s="289">
        <v>514</v>
      </c>
      <c r="H293" s="289">
        <v>3379</v>
      </c>
      <c r="I293" s="289">
        <v>810</v>
      </c>
      <c r="J293" s="289">
        <v>236</v>
      </c>
      <c r="K293" s="289">
        <v>70</v>
      </c>
      <c r="L293" s="289">
        <v>53</v>
      </c>
      <c r="M293" s="289">
        <v>499</v>
      </c>
      <c r="N293" s="290">
        <v>120</v>
      </c>
      <c r="O293" s="290">
        <v>77</v>
      </c>
      <c r="P293" s="624">
        <v>53333.09</v>
      </c>
      <c r="Q293" s="624">
        <v>21445.634666670001</v>
      </c>
      <c r="R293" s="624">
        <v>34</v>
      </c>
      <c r="S293" s="289">
        <v>0</v>
      </c>
      <c r="T293" s="289">
        <v>523</v>
      </c>
      <c r="U293" s="716">
        <v>1.1309533422522089E-3</v>
      </c>
      <c r="V293" s="289">
        <v>2139.04209967</v>
      </c>
      <c r="W293" s="743">
        <v>0.65806606999999995</v>
      </c>
      <c r="X293" s="289">
        <v>800</v>
      </c>
      <c r="Y293" s="289">
        <v>392</v>
      </c>
      <c r="Z293" s="289">
        <v>145870</v>
      </c>
      <c r="AA293" s="289">
        <v>0</v>
      </c>
      <c r="AB293" s="290">
        <v>165</v>
      </c>
      <c r="AC293" s="289">
        <v>0</v>
      </c>
      <c r="AD293" s="289">
        <v>0</v>
      </c>
      <c r="AE293" s="289">
        <v>0</v>
      </c>
      <c r="AF293" s="289">
        <v>0</v>
      </c>
      <c r="AG293" s="289">
        <v>6060</v>
      </c>
      <c r="AH293" s="289">
        <v>821</v>
      </c>
      <c r="AI293" s="289">
        <v>446</v>
      </c>
      <c r="AJ293" s="289">
        <v>0</v>
      </c>
      <c r="AK293" s="289">
        <v>23.632000000000001</v>
      </c>
      <c r="AL293" s="289"/>
      <c r="AM293" s="622">
        <v>0.32667404999999999</v>
      </c>
      <c r="AN293" s="289">
        <v>4666</v>
      </c>
      <c r="AO293" s="289">
        <v>-321.38225835999998</v>
      </c>
      <c r="AP293" s="289">
        <v>0</v>
      </c>
      <c r="AQ293" s="289">
        <v>0</v>
      </c>
      <c r="AR293" s="289">
        <v>-433.13362986999999</v>
      </c>
      <c r="AS293" s="289">
        <v>91.106300000000005</v>
      </c>
      <c r="AT293" s="289">
        <v>371</v>
      </c>
      <c r="AU293" s="289">
        <v>104</v>
      </c>
      <c r="AV293" s="625">
        <v>173759</v>
      </c>
      <c r="AW293" s="289">
        <v>-3.0773000000000001</v>
      </c>
      <c r="AX293" s="625">
        <v>39.5</v>
      </c>
      <c r="AY293" s="289">
        <v>1199</v>
      </c>
      <c r="AZ293" s="289">
        <v>310</v>
      </c>
      <c r="BA293" s="290">
        <v>144</v>
      </c>
      <c r="BB293" s="289">
        <v>0</v>
      </c>
      <c r="BC293" s="289">
        <v>1177</v>
      </c>
      <c r="BD293" s="289">
        <v>108.96080000000001</v>
      </c>
      <c r="BE293" s="289">
        <v>179037.79224144999</v>
      </c>
      <c r="BF293" s="289">
        <v>0</v>
      </c>
      <c r="BG293" s="289">
        <v>11</v>
      </c>
      <c r="BH293" s="289">
        <v>-49.372700000000002</v>
      </c>
      <c r="BI293" s="289">
        <v>1213</v>
      </c>
      <c r="BJ293" s="289">
        <v>-6.2206000000000001</v>
      </c>
      <c r="BK293" s="289">
        <v>0</v>
      </c>
      <c r="BL293" s="289">
        <v>0</v>
      </c>
      <c r="BM293" s="289">
        <v>0</v>
      </c>
      <c r="BN293" s="289">
        <v>0</v>
      </c>
      <c r="BO293" s="517">
        <v>0</v>
      </c>
      <c r="BP293" s="517">
        <v>0</v>
      </c>
      <c r="BQ293" s="289">
        <f t="shared" si="8"/>
        <v>-6.2205742440000007</v>
      </c>
      <c r="BR293" s="289">
        <v>0</v>
      </c>
      <c r="BS293" s="289">
        <f t="shared" si="9"/>
        <v>0</v>
      </c>
      <c r="BT293" s="289">
        <v>14</v>
      </c>
      <c r="BU293" s="289">
        <v>0</v>
      </c>
      <c r="BV293" s="289">
        <v>66</v>
      </c>
      <c r="BW293" s="289">
        <v>0</v>
      </c>
      <c r="BX293" s="289">
        <v>126.672</v>
      </c>
      <c r="CC293" s="517"/>
      <c r="CD293" s="85"/>
      <c r="CE293" s="517"/>
    </row>
    <row r="294" spans="1:83" ht="13">
      <c r="A294" s="1">
        <v>4214</v>
      </c>
      <c r="B294" s="2" t="s">
        <v>933</v>
      </c>
      <c r="C294" s="289">
        <v>5790</v>
      </c>
      <c r="D294" s="289">
        <v>129</v>
      </c>
      <c r="E294" s="289">
        <v>321</v>
      </c>
      <c r="F294" s="289">
        <v>788</v>
      </c>
      <c r="G294" s="289">
        <v>506</v>
      </c>
      <c r="H294" s="289">
        <v>3309</v>
      </c>
      <c r="I294" s="289">
        <v>532</v>
      </c>
      <c r="J294" s="289">
        <v>146</v>
      </c>
      <c r="K294" s="289">
        <v>37</v>
      </c>
      <c r="L294" s="289">
        <v>43</v>
      </c>
      <c r="M294" s="289">
        <v>305</v>
      </c>
      <c r="N294" s="290">
        <v>95</v>
      </c>
      <c r="O294" s="290">
        <v>39</v>
      </c>
      <c r="P294" s="624">
        <v>32275.433333329998</v>
      </c>
      <c r="Q294" s="624">
        <v>19989.16</v>
      </c>
      <c r="R294" s="624">
        <v>20</v>
      </c>
      <c r="S294" s="289">
        <v>0</v>
      </c>
      <c r="T294" s="289">
        <v>370</v>
      </c>
      <c r="U294" s="716">
        <v>1.4988444589636028E-3</v>
      </c>
      <c r="V294" s="289">
        <v>1143.05123142</v>
      </c>
      <c r="W294" s="743">
        <v>0.65020533999999996</v>
      </c>
      <c r="X294" s="289">
        <v>500</v>
      </c>
      <c r="Y294" s="289">
        <v>392</v>
      </c>
      <c r="Z294" s="289">
        <v>133413</v>
      </c>
      <c r="AA294" s="289">
        <v>0</v>
      </c>
      <c r="AB294" s="290">
        <v>192</v>
      </c>
      <c r="AC294" s="289">
        <v>0</v>
      </c>
      <c r="AD294" s="289">
        <v>0</v>
      </c>
      <c r="AE294" s="289">
        <v>0</v>
      </c>
      <c r="AF294" s="289">
        <v>0</v>
      </c>
      <c r="AG294" s="289">
        <v>5768</v>
      </c>
      <c r="AH294" s="289">
        <v>918</v>
      </c>
      <c r="AI294" s="289">
        <v>109</v>
      </c>
      <c r="AJ294" s="289">
        <v>0</v>
      </c>
      <c r="AK294" s="289">
        <v>29.9438</v>
      </c>
      <c r="AL294" s="289"/>
      <c r="AM294" s="622">
        <v>0.22711919</v>
      </c>
      <c r="AN294" s="289">
        <v>0</v>
      </c>
      <c r="AO294" s="289">
        <v>-290.25566603999999</v>
      </c>
      <c r="AP294" s="289">
        <v>0</v>
      </c>
      <c r="AQ294" s="289">
        <v>0</v>
      </c>
      <c r="AR294" s="289">
        <v>2346.2685207599998</v>
      </c>
      <c r="AS294" s="289">
        <v>77.120599999999996</v>
      </c>
      <c r="AT294" s="289">
        <v>328</v>
      </c>
      <c r="AU294" s="289">
        <v>113</v>
      </c>
      <c r="AV294" s="625">
        <v>149931</v>
      </c>
      <c r="AW294" s="289">
        <v>-112.2166</v>
      </c>
      <c r="AX294" s="625">
        <v>45.458333330000002</v>
      </c>
      <c r="AY294" s="289">
        <v>850</v>
      </c>
      <c r="AZ294" s="289">
        <v>200</v>
      </c>
      <c r="BA294" s="290">
        <v>151</v>
      </c>
      <c r="BB294" s="289">
        <v>0</v>
      </c>
      <c r="BC294" s="289">
        <v>1259</v>
      </c>
      <c r="BD294" s="289">
        <v>121.8344</v>
      </c>
      <c r="BE294" s="289">
        <v>148888.64499348999</v>
      </c>
      <c r="BF294" s="289">
        <v>0</v>
      </c>
      <c r="BG294" s="289">
        <v>11</v>
      </c>
      <c r="BH294" s="289">
        <v>-46.993699999999997</v>
      </c>
      <c r="BI294" s="289">
        <v>1310</v>
      </c>
      <c r="BJ294" s="289">
        <v>-5.9207999999999998</v>
      </c>
      <c r="BK294" s="289">
        <v>0</v>
      </c>
      <c r="BL294" s="289">
        <v>0</v>
      </c>
      <c r="BM294" s="289">
        <v>0</v>
      </c>
      <c r="BN294" s="289">
        <v>0</v>
      </c>
      <c r="BO294" s="517">
        <v>0</v>
      </c>
      <c r="BP294" s="517">
        <v>0</v>
      </c>
      <c r="BQ294" s="289">
        <f t="shared" si="8"/>
        <v>-5.9208370031999999</v>
      </c>
      <c r="BR294" s="289">
        <v>0</v>
      </c>
      <c r="BS294" s="289">
        <f t="shared" si="9"/>
        <v>0</v>
      </c>
      <c r="BT294" s="289">
        <v>17</v>
      </c>
      <c r="BU294" s="289">
        <v>0</v>
      </c>
      <c r="BV294" s="289">
        <v>58</v>
      </c>
      <c r="BW294" s="289">
        <v>333.22699999999998</v>
      </c>
      <c r="BX294" s="289">
        <v>120.77200000000001</v>
      </c>
      <c r="CC294" s="517"/>
      <c r="CD294" s="85"/>
      <c r="CE294" s="517"/>
    </row>
    <row r="295" spans="1:83" ht="13">
      <c r="A295" s="1">
        <v>4215</v>
      </c>
      <c r="B295" s="2" t="s">
        <v>934</v>
      </c>
      <c r="C295" s="289">
        <v>10871</v>
      </c>
      <c r="D295" s="289">
        <v>256</v>
      </c>
      <c r="E295" s="289">
        <v>564</v>
      </c>
      <c r="F295" s="289">
        <v>1446</v>
      </c>
      <c r="G295" s="289">
        <v>958</v>
      </c>
      <c r="H295" s="289">
        <v>5957</v>
      </c>
      <c r="I295" s="289">
        <v>1220</v>
      </c>
      <c r="J295" s="289">
        <v>333</v>
      </c>
      <c r="K295" s="289">
        <v>84</v>
      </c>
      <c r="L295" s="289">
        <v>77</v>
      </c>
      <c r="M295" s="289">
        <v>625</v>
      </c>
      <c r="N295" s="290">
        <v>202</v>
      </c>
      <c r="O295" s="290">
        <v>87</v>
      </c>
      <c r="P295" s="624">
        <v>85425.047000000006</v>
      </c>
      <c r="Q295" s="624">
        <v>15016.09133333</v>
      </c>
      <c r="R295" s="624">
        <v>42</v>
      </c>
      <c r="S295" s="289">
        <v>0</v>
      </c>
      <c r="T295" s="289">
        <v>728</v>
      </c>
      <c r="U295" s="716">
        <v>1.0364789245486232E-3</v>
      </c>
      <c r="V295" s="289">
        <v>-1365.85170042</v>
      </c>
      <c r="W295" s="743">
        <v>0.57814626999999996</v>
      </c>
      <c r="X295" s="289">
        <v>1600</v>
      </c>
      <c r="Y295" s="289">
        <v>392</v>
      </c>
      <c r="Z295" s="289">
        <v>300378</v>
      </c>
      <c r="AA295" s="289">
        <v>0</v>
      </c>
      <c r="AB295" s="290">
        <v>237</v>
      </c>
      <c r="AC295" s="289">
        <v>0</v>
      </c>
      <c r="AD295" s="289">
        <v>0</v>
      </c>
      <c r="AE295" s="289">
        <v>3234</v>
      </c>
      <c r="AF295" s="289">
        <v>0</v>
      </c>
      <c r="AG295" s="289">
        <v>10818</v>
      </c>
      <c r="AH295" s="289">
        <v>1681</v>
      </c>
      <c r="AI295" s="289">
        <v>430</v>
      </c>
      <c r="AJ295" s="289">
        <v>0</v>
      </c>
      <c r="AK295" s="289">
        <v>54.844799999999999</v>
      </c>
      <c r="AL295" s="289"/>
      <c r="AM295" s="622">
        <v>0.28764425999999998</v>
      </c>
      <c r="AN295" s="289">
        <v>0</v>
      </c>
      <c r="AO295" s="289">
        <v>-537.98464067999998</v>
      </c>
      <c r="AP295" s="289">
        <v>0</v>
      </c>
      <c r="AQ295" s="289">
        <v>0</v>
      </c>
      <c r="AR295" s="289">
        <v>-773.20785608999995</v>
      </c>
      <c r="AS295" s="289">
        <v>128.4179</v>
      </c>
      <c r="AT295" s="289">
        <v>624</v>
      </c>
      <c r="AU295" s="289">
        <v>134</v>
      </c>
      <c r="AV295" s="625">
        <v>89431</v>
      </c>
      <c r="AW295" s="289">
        <v>-5.4934000000000003</v>
      </c>
      <c r="AX295" s="625">
        <v>77.75</v>
      </c>
      <c r="AY295" s="289">
        <v>2598</v>
      </c>
      <c r="AZ295" s="289">
        <v>394</v>
      </c>
      <c r="BA295" s="290">
        <v>240</v>
      </c>
      <c r="BB295" s="289">
        <v>0</v>
      </c>
      <c r="BC295" s="289">
        <v>-170103.3548</v>
      </c>
      <c r="BD295" s="289">
        <v>223.0976</v>
      </c>
      <c r="BE295" s="289">
        <v>94787.519091149996</v>
      </c>
      <c r="BF295" s="289">
        <v>0</v>
      </c>
      <c r="BG295" s="289">
        <v>11</v>
      </c>
      <c r="BH295" s="289">
        <v>-88.137600000000006</v>
      </c>
      <c r="BI295" s="289">
        <v>-175809.61910000001</v>
      </c>
      <c r="BJ295" s="289">
        <v>-11.1046</v>
      </c>
      <c r="BK295" s="289">
        <v>0</v>
      </c>
      <c r="BL295" s="289">
        <v>-177882.61910000001</v>
      </c>
      <c r="BM295" s="289">
        <v>0</v>
      </c>
      <c r="BN295" s="289">
        <v>-418.64600000000002</v>
      </c>
      <c r="BO295" s="517">
        <v>0</v>
      </c>
      <c r="BP295" s="517">
        <v>0</v>
      </c>
      <c r="BQ295" s="289">
        <f t="shared" si="8"/>
        <v>-11.1046488732</v>
      </c>
      <c r="BR295" s="289">
        <v>0</v>
      </c>
      <c r="BS295" s="289">
        <f t="shared" si="9"/>
        <v>0</v>
      </c>
      <c r="BT295" s="289">
        <v>31</v>
      </c>
      <c r="BU295" s="289">
        <v>0</v>
      </c>
      <c r="BV295" s="289">
        <v>106</v>
      </c>
      <c r="BW295" s="289">
        <v>423.34500000000003</v>
      </c>
      <c r="BX295" s="289">
        <v>227.41900000000001</v>
      </c>
      <c r="CC295" s="517"/>
      <c r="CD295" s="85"/>
      <c r="CE295" s="517"/>
    </row>
    <row r="296" spans="1:83" ht="13">
      <c r="A296" s="1">
        <v>4216</v>
      </c>
      <c r="B296" s="2" t="s">
        <v>935</v>
      </c>
      <c r="C296" s="289">
        <v>5187</v>
      </c>
      <c r="D296" s="289">
        <v>141</v>
      </c>
      <c r="E296" s="289">
        <v>288</v>
      </c>
      <c r="F296" s="289">
        <v>769</v>
      </c>
      <c r="G296" s="289">
        <v>484</v>
      </c>
      <c r="H296" s="289">
        <v>2827</v>
      </c>
      <c r="I296" s="289">
        <v>543</v>
      </c>
      <c r="J296" s="289">
        <v>122</v>
      </c>
      <c r="K296" s="289">
        <v>30</v>
      </c>
      <c r="L296" s="289">
        <v>42</v>
      </c>
      <c r="M296" s="289">
        <v>266</v>
      </c>
      <c r="N296" s="290">
        <v>116</v>
      </c>
      <c r="O296" s="290">
        <v>49</v>
      </c>
      <c r="P296" s="624">
        <v>37420.810333330002</v>
      </c>
      <c r="Q296" s="624">
        <v>18963.184000000001</v>
      </c>
      <c r="R296" s="624">
        <v>20</v>
      </c>
      <c r="S296" s="289">
        <v>0</v>
      </c>
      <c r="T296" s="289">
        <v>336</v>
      </c>
      <c r="U296" s="716">
        <v>1.8963814427075624E-3</v>
      </c>
      <c r="V296" s="289">
        <v>1610.2209195200001</v>
      </c>
      <c r="W296" s="743">
        <v>0.68143761000000003</v>
      </c>
      <c r="X296" s="289">
        <v>1000</v>
      </c>
      <c r="Y296" s="289">
        <v>0</v>
      </c>
      <c r="Z296" s="289">
        <v>116344</v>
      </c>
      <c r="AA296" s="289">
        <v>0</v>
      </c>
      <c r="AB296" s="290">
        <v>161</v>
      </c>
      <c r="AC296" s="289">
        <v>1291</v>
      </c>
      <c r="AD296" s="289">
        <v>0</v>
      </c>
      <c r="AE296" s="289">
        <v>0</v>
      </c>
      <c r="AF296" s="289">
        <v>0</v>
      </c>
      <c r="AG296" s="289">
        <v>5204</v>
      </c>
      <c r="AH296" s="289">
        <v>878</v>
      </c>
      <c r="AI296" s="289">
        <v>21</v>
      </c>
      <c r="AJ296" s="289">
        <v>0</v>
      </c>
      <c r="AK296" s="289">
        <v>26.784400000000002</v>
      </c>
      <c r="AL296" s="289"/>
      <c r="AM296" s="622">
        <v>0.15716204</v>
      </c>
      <c r="AN296" s="289">
        <v>0</v>
      </c>
      <c r="AO296" s="289">
        <v>-271.69712987000003</v>
      </c>
      <c r="AP296" s="289">
        <v>0</v>
      </c>
      <c r="AQ296" s="289">
        <v>0</v>
      </c>
      <c r="AR296" s="289">
        <v>-371.95171779999998</v>
      </c>
      <c r="AS296" s="289">
        <v>67.528199999999998</v>
      </c>
      <c r="AT296" s="289">
        <v>271</v>
      </c>
      <c r="AU296" s="289">
        <v>73</v>
      </c>
      <c r="AV296" s="625">
        <v>142903</v>
      </c>
      <c r="AW296" s="289">
        <v>-2.6425999999999998</v>
      </c>
      <c r="AX296" s="625">
        <v>34.875</v>
      </c>
      <c r="AY296" s="289">
        <v>900</v>
      </c>
      <c r="AZ296" s="289">
        <v>213</v>
      </c>
      <c r="BA296" s="290">
        <v>123</v>
      </c>
      <c r="BB296" s="289">
        <v>0</v>
      </c>
      <c r="BC296" s="289">
        <v>860</v>
      </c>
      <c r="BD296" s="289">
        <v>116.5257</v>
      </c>
      <c r="BE296" s="289">
        <v>145254.16999294001</v>
      </c>
      <c r="BF296" s="289">
        <v>0</v>
      </c>
      <c r="BG296" s="289">
        <v>0</v>
      </c>
      <c r="BH296" s="289">
        <v>-42.398600000000002</v>
      </c>
      <c r="BI296" s="289">
        <v>878</v>
      </c>
      <c r="BJ296" s="289">
        <v>-5.3418999999999999</v>
      </c>
      <c r="BK296" s="289">
        <v>0</v>
      </c>
      <c r="BL296" s="289">
        <v>0</v>
      </c>
      <c r="BM296" s="289">
        <v>0</v>
      </c>
      <c r="BN296" s="289">
        <v>0</v>
      </c>
      <c r="BO296" s="517">
        <v>0</v>
      </c>
      <c r="BP296" s="517">
        <v>0</v>
      </c>
      <c r="BQ296" s="289">
        <f t="shared" si="8"/>
        <v>-5.3418924696000003</v>
      </c>
      <c r="BR296" s="289">
        <v>0</v>
      </c>
      <c r="BS296" s="289">
        <f t="shared" si="9"/>
        <v>0</v>
      </c>
      <c r="BT296" s="289">
        <v>15</v>
      </c>
      <c r="BU296" s="289">
        <v>0</v>
      </c>
      <c r="BV296" s="289">
        <v>55</v>
      </c>
      <c r="BW296" s="289">
        <v>264.06700000000001</v>
      </c>
      <c r="BX296" s="289">
        <v>108.059</v>
      </c>
      <c r="CC296" s="517"/>
      <c r="CD296" s="85"/>
      <c r="CE296" s="517"/>
    </row>
    <row r="297" spans="1:83" ht="13">
      <c r="A297" s="1">
        <v>4217</v>
      </c>
      <c r="B297" s="2" t="s">
        <v>936</v>
      </c>
      <c r="C297" s="289">
        <v>1845</v>
      </c>
      <c r="D297" s="289">
        <v>48</v>
      </c>
      <c r="E297" s="289">
        <v>97</v>
      </c>
      <c r="F297" s="289">
        <v>201</v>
      </c>
      <c r="G297" s="289">
        <v>175</v>
      </c>
      <c r="H297" s="289">
        <v>1007</v>
      </c>
      <c r="I297" s="289">
        <v>234</v>
      </c>
      <c r="J297" s="289">
        <v>86</v>
      </c>
      <c r="K297" s="289">
        <v>9</v>
      </c>
      <c r="L297" s="289">
        <v>20</v>
      </c>
      <c r="M297" s="289">
        <v>169</v>
      </c>
      <c r="N297" s="290">
        <v>63</v>
      </c>
      <c r="O297" s="290">
        <v>38</v>
      </c>
      <c r="P297" s="624">
        <v>17945.86266667</v>
      </c>
      <c r="Q297" s="624">
        <v>10655.724</v>
      </c>
      <c r="R297" s="624">
        <v>26</v>
      </c>
      <c r="S297" s="289">
        <v>0</v>
      </c>
      <c r="T297" s="289">
        <v>162</v>
      </c>
      <c r="U297" s="716">
        <v>1.3526987670361521E-3</v>
      </c>
      <c r="V297" s="289">
        <v>634.58772345</v>
      </c>
      <c r="W297" s="743">
        <v>1</v>
      </c>
      <c r="X297" s="289">
        <v>1880</v>
      </c>
      <c r="Y297" s="289">
        <v>299</v>
      </c>
      <c r="Z297" s="289">
        <v>42219</v>
      </c>
      <c r="AA297" s="289">
        <v>-1304.48255969</v>
      </c>
      <c r="AB297" s="290">
        <v>69</v>
      </c>
      <c r="AC297" s="289">
        <v>0</v>
      </c>
      <c r="AD297" s="289">
        <v>0</v>
      </c>
      <c r="AE297" s="289">
        <v>0</v>
      </c>
      <c r="AF297" s="289">
        <v>0</v>
      </c>
      <c r="AG297" s="289">
        <v>1857</v>
      </c>
      <c r="AH297" s="289">
        <v>274</v>
      </c>
      <c r="AI297" s="289">
        <v>297</v>
      </c>
      <c r="AJ297" s="289">
        <v>0</v>
      </c>
      <c r="AK297" s="289">
        <v>9.1114999999999995</v>
      </c>
      <c r="AL297" s="289"/>
      <c r="AM297" s="622">
        <v>4.2807339999999999E-2</v>
      </c>
      <c r="AN297" s="289">
        <v>0</v>
      </c>
      <c r="AO297" s="289">
        <v>-124.06466109</v>
      </c>
      <c r="AP297" s="289">
        <v>0</v>
      </c>
      <c r="AQ297" s="289">
        <v>0</v>
      </c>
      <c r="AR297" s="289">
        <v>-132.72758261999999</v>
      </c>
      <c r="AS297" s="289">
        <v>28.360700000000001</v>
      </c>
      <c r="AT297" s="289">
        <v>101</v>
      </c>
      <c r="AU297" s="289">
        <v>20</v>
      </c>
      <c r="AV297" s="625">
        <v>82347</v>
      </c>
      <c r="AW297" s="289">
        <v>-0.94299999999999995</v>
      </c>
      <c r="AX297" s="625">
        <v>13.375</v>
      </c>
      <c r="AY297" s="289">
        <v>297</v>
      </c>
      <c r="AZ297" s="289">
        <v>73</v>
      </c>
      <c r="BA297" s="290">
        <v>33</v>
      </c>
      <c r="BB297" s="289">
        <v>4990</v>
      </c>
      <c r="BC297" s="289">
        <v>-1377.1382451500001</v>
      </c>
      <c r="BD297" s="289">
        <v>36.3645</v>
      </c>
      <c r="BE297" s="289">
        <v>85237.965707890005</v>
      </c>
      <c r="BF297" s="289">
        <v>0</v>
      </c>
      <c r="BG297" s="289">
        <v>11</v>
      </c>
      <c r="BH297" s="289">
        <v>-15.1295</v>
      </c>
      <c r="BI297" s="289">
        <v>-731.48255969000002</v>
      </c>
      <c r="BJ297" s="289">
        <v>-1.9061999999999999</v>
      </c>
      <c r="BK297" s="289">
        <v>0</v>
      </c>
      <c r="BL297" s="289">
        <v>0</v>
      </c>
      <c r="BM297" s="289">
        <v>0</v>
      </c>
      <c r="BN297" s="289">
        <v>0</v>
      </c>
      <c r="BO297" s="517">
        <v>0</v>
      </c>
      <c r="BP297" s="517">
        <v>0</v>
      </c>
      <c r="BQ297" s="289">
        <f t="shared" si="8"/>
        <v>-1.9062056718000002</v>
      </c>
      <c r="BR297" s="289">
        <v>0</v>
      </c>
      <c r="BS297" s="289">
        <f t="shared" si="9"/>
        <v>0</v>
      </c>
      <c r="BT297" s="289">
        <v>5</v>
      </c>
      <c r="BU297" s="289">
        <v>0</v>
      </c>
      <c r="BV297" s="289">
        <v>28</v>
      </c>
      <c r="BW297" s="289">
        <v>278.73700000000002</v>
      </c>
      <c r="BX297" s="289">
        <v>38.345999999999997</v>
      </c>
      <c r="CC297" s="517"/>
      <c r="CD297" s="85"/>
      <c r="CE297" s="517"/>
    </row>
    <row r="298" spans="1:83" ht="13">
      <c r="A298" s="1">
        <v>4218</v>
      </c>
      <c r="B298" s="2" t="s">
        <v>937</v>
      </c>
      <c r="C298" s="289">
        <v>1330</v>
      </c>
      <c r="D298" s="289">
        <v>38</v>
      </c>
      <c r="E298" s="289">
        <v>97</v>
      </c>
      <c r="F298" s="289">
        <v>163</v>
      </c>
      <c r="G298" s="289">
        <v>114</v>
      </c>
      <c r="H298" s="289">
        <v>754</v>
      </c>
      <c r="I298" s="289">
        <v>120</v>
      </c>
      <c r="J298" s="289">
        <v>31</v>
      </c>
      <c r="K298" s="289">
        <v>12</v>
      </c>
      <c r="L298" s="289">
        <v>10</v>
      </c>
      <c r="M298" s="289">
        <v>66</v>
      </c>
      <c r="N298" s="290">
        <v>16</v>
      </c>
      <c r="O298" s="290">
        <v>32</v>
      </c>
      <c r="P298" s="624">
        <v>10279.65733333</v>
      </c>
      <c r="Q298" s="624">
        <v>7767.2313333299999</v>
      </c>
      <c r="R298" s="624">
        <v>7</v>
      </c>
      <c r="S298" s="289">
        <v>0</v>
      </c>
      <c r="T298" s="289">
        <v>85</v>
      </c>
      <c r="U298" s="716">
        <v>6.6677547651403666E-4</v>
      </c>
      <c r="V298" s="289">
        <v>587.77948715000002</v>
      </c>
      <c r="W298" s="743">
        <v>0.82873810999999997</v>
      </c>
      <c r="X298" s="289">
        <v>780</v>
      </c>
      <c r="Y298" s="289">
        <v>315</v>
      </c>
      <c r="Z298" s="289">
        <v>31104</v>
      </c>
      <c r="AA298" s="289">
        <v>0</v>
      </c>
      <c r="AB298" s="290">
        <v>49</v>
      </c>
      <c r="AC298" s="289">
        <v>0</v>
      </c>
      <c r="AD298" s="289">
        <v>0</v>
      </c>
      <c r="AE298" s="289">
        <v>0</v>
      </c>
      <c r="AF298" s="289">
        <v>0</v>
      </c>
      <c r="AG298" s="289">
        <v>1329</v>
      </c>
      <c r="AH298" s="289">
        <v>219</v>
      </c>
      <c r="AI298" s="289">
        <v>67</v>
      </c>
      <c r="AJ298" s="289">
        <v>0</v>
      </c>
      <c r="AK298" s="289">
        <v>8.4542999999999999</v>
      </c>
      <c r="AL298" s="289"/>
      <c r="AM298" s="622">
        <v>2.9609139999999999E-2</v>
      </c>
      <c r="AN298" s="289">
        <v>0</v>
      </c>
      <c r="AO298" s="289">
        <v>-81.752989360000001</v>
      </c>
      <c r="AP298" s="289">
        <v>0</v>
      </c>
      <c r="AQ298" s="289">
        <v>0</v>
      </c>
      <c r="AR298" s="289">
        <v>-94.989206949999996</v>
      </c>
      <c r="AS298" s="289">
        <v>16.4251</v>
      </c>
      <c r="AT298" s="289">
        <v>79</v>
      </c>
      <c r="AU298" s="289">
        <v>15</v>
      </c>
      <c r="AV298" s="625">
        <v>53274</v>
      </c>
      <c r="AW298" s="289">
        <v>-0.67490000000000006</v>
      </c>
      <c r="AX298" s="625">
        <v>7.7916666699999997</v>
      </c>
      <c r="AY298" s="289">
        <v>156</v>
      </c>
      <c r="AZ298" s="289">
        <v>45</v>
      </c>
      <c r="BA298" s="290">
        <v>33</v>
      </c>
      <c r="BB298" s="289">
        <v>2772</v>
      </c>
      <c r="BC298" s="289">
        <v>493</v>
      </c>
      <c r="BD298" s="289">
        <v>29.065100000000001</v>
      </c>
      <c r="BE298" s="289">
        <v>53593.809077129998</v>
      </c>
      <c r="BF298" s="289">
        <v>0</v>
      </c>
      <c r="BG298" s="289">
        <v>11</v>
      </c>
      <c r="BH298" s="289">
        <v>-10.8278</v>
      </c>
      <c r="BI298" s="289">
        <v>534</v>
      </c>
      <c r="BJ298" s="289">
        <v>-1.3642000000000001</v>
      </c>
      <c r="BK298" s="289">
        <v>0</v>
      </c>
      <c r="BL298" s="289">
        <v>0</v>
      </c>
      <c r="BM298" s="289">
        <v>0</v>
      </c>
      <c r="BN298" s="289">
        <v>0</v>
      </c>
      <c r="BO298" s="517">
        <v>0</v>
      </c>
      <c r="BP298" s="517">
        <v>0</v>
      </c>
      <c r="BQ298" s="289">
        <f t="shared" si="8"/>
        <v>-1.3642150446000001</v>
      </c>
      <c r="BR298" s="289">
        <v>0</v>
      </c>
      <c r="BS298" s="289">
        <f t="shared" si="9"/>
        <v>0</v>
      </c>
      <c r="BT298" s="289">
        <v>5</v>
      </c>
      <c r="BU298" s="289">
        <v>0</v>
      </c>
      <c r="BV298" s="289">
        <v>20</v>
      </c>
      <c r="BW298" s="289">
        <v>137.273</v>
      </c>
      <c r="BX298" s="289">
        <v>27.710999999999999</v>
      </c>
      <c r="CC298" s="517"/>
      <c r="CD298" s="85"/>
      <c r="CE298" s="517"/>
    </row>
    <row r="299" spans="1:83" ht="13">
      <c r="A299" s="1">
        <v>4219</v>
      </c>
      <c r="B299" s="4" t="s">
        <v>938</v>
      </c>
      <c r="C299" s="289">
        <v>3625</v>
      </c>
      <c r="D299" s="289">
        <v>82</v>
      </c>
      <c r="E299" s="289">
        <v>180</v>
      </c>
      <c r="F299" s="289">
        <v>499</v>
      </c>
      <c r="G299" s="289">
        <v>340</v>
      </c>
      <c r="H299" s="289">
        <v>1934</v>
      </c>
      <c r="I299" s="289">
        <v>449</v>
      </c>
      <c r="J299" s="289">
        <v>125</v>
      </c>
      <c r="K299" s="289">
        <v>34</v>
      </c>
      <c r="L299" s="289">
        <v>36</v>
      </c>
      <c r="M299" s="289">
        <v>286</v>
      </c>
      <c r="N299" s="290">
        <v>134</v>
      </c>
      <c r="O299" s="290">
        <v>51</v>
      </c>
      <c r="P299" s="624">
        <v>12477.700999999999</v>
      </c>
      <c r="Q299" s="624">
        <v>7958.9986666699997</v>
      </c>
      <c r="R299" s="624">
        <v>9</v>
      </c>
      <c r="S299" s="289">
        <v>0</v>
      </c>
      <c r="T299" s="289">
        <v>283</v>
      </c>
      <c r="U299" s="716">
        <v>1.5303850442898728E-3</v>
      </c>
      <c r="V299" s="289">
        <v>1429.71121322</v>
      </c>
      <c r="W299" s="743">
        <v>0.73996223000000005</v>
      </c>
      <c r="X299" s="289">
        <v>300</v>
      </c>
      <c r="Y299" s="289">
        <v>392</v>
      </c>
      <c r="Z299" s="289">
        <v>81464</v>
      </c>
      <c r="AA299" s="289">
        <v>0</v>
      </c>
      <c r="AB299" s="290">
        <v>108</v>
      </c>
      <c r="AC299" s="289">
        <v>906</v>
      </c>
      <c r="AD299" s="289">
        <v>0</v>
      </c>
      <c r="AE299" s="289">
        <v>0</v>
      </c>
      <c r="AF299" s="289">
        <v>0</v>
      </c>
      <c r="AG299" s="289">
        <v>3643</v>
      </c>
      <c r="AH299" s="289">
        <v>568</v>
      </c>
      <c r="AI299" s="289">
        <v>215</v>
      </c>
      <c r="AJ299" s="289">
        <v>0</v>
      </c>
      <c r="AK299" s="289">
        <v>17.082599999999999</v>
      </c>
      <c r="AL299" s="289"/>
      <c r="AM299" s="622">
        <v>0.15196467</v>
      </c>
      <c r="AN299" s="289">
        <v>0</v>
      </c>
      <c r="AO299" s="289">
        <v>-198.85546904</v>
      </c>
      <c r="AP299" s="289">
        <v>0</v>
      </c>
      <c r="AQ299" s="289">
        <v>0</v>
      </c>
      <c r="AR299" s="289">
        <v>-260.3804973</v>
      </c>
      <c r="AS299" s="289">
        <v>55.556199999999997</v>
      </c>
      <c r="AT299" s="289">
        <v>206</v>
      </c>
      <c r="AU299" s="289">
        <v>41</v>
      </c>
      <c r="AV299" s="625">
        <v>105442</v>
      </c>
      <c r="AW299" s="289">
        <v>-1.8499000000000001</v>
      </c>
      <c r="AX299" s="625">
        <v>25.75</v>
      </c>
      <c r="AY299" s="289">
        <v>605</v>
      </c>
      <c r="AZ299" s="289">
        <v>235</v>
      </c>
      <c r="BA299" s="290">
        <v>131</v>
      </c>
      <c r="BB299" s="289">
        <v>0</v>
      </c>
      <c r="BC299" s="289">
        <v>1301</v>
      </c>
      <c r="BD299" s="289">
        <v>75.383399999999995</v>
      </c>
      <c r="BE299" s="289">
        <v>110832.61601743</v>
      </c>
      <c r="BF299" s="289">
        <v>0</v>
      </c>
      <c r="BG299" s="289">
        <v>11</v>
      </c>
      <c r="BH299" s="289">
        <v>-29.680599999999998</v>
      </c>
      <c r="BI299" s="289">
        <v>960</v>
      </c>
      <c r="BJ299" s="289">
        <v>-3.7395</v>
      </c>
      <c r="BK299" s="289">
        <v>0</v>
      </c>
      <c r="BL299" s="289">
        <v>0</v>
      </c>
      <c r="BM299" s="289">
        <v>0</v>
      </c>
      <c r="BN299" s="289">
        <v>0</v>
      </c>
      <c r="BO299" s="517">
        <v>0</v>
      </c>
      <c r="BP299" s="517">
        <v>0</v>
      </c>
      <c r="BQ299" s="289">
        <f t="shared" si="8"/>
        <v>-3.7395300281999999</v>
      </c>
      <c r="BR299" s="289">
        <v>0</v>
      </c>
      <c r="BS299" s="289">
        <f t="shared" si="9"/>
        <v>0</v>
      </c>
      <c r="BT299" s="289">
        <v>10</v>
      </c>
      <c r="BU299" s="289">
        <v>0</v>
      </c>
      <c r="BV299" s="289">
        <v>40</v>
      </c>
      <c r="BW299" s="289">
        <v>0</v>
      </c>
      <c r="BX299" s="289">
        <v>75.778999999999996</v>
      </c>
      <c r="CC299" s="517"/>
      <c r="CD299" s="85"/>
      <c r="CE299" s="517"/>
    </row>
    <row r="300" spans="1:83" ht="13">
      <c r="A300" s="1">
        <v>4220</v>
      </c>
      <c r="B300" s="2" t="s">
        <v>939</v>
      </c>
      <c r="C300" s="289">
        <v>1207</v>
      </c>
      <c r="D300" s="289">
        <v>23</v>
      </c>
      <c r="E300" s="289">
        <v>42</v>
      </c>
      <c r="F300" s="289">
        <v>122</v>
      </c>
      <c r="G300" s="289">
        <v>113</v>
      </c>
      <c r="H300" s="289">
        <v>676</v>
      </c>
      <c r="I300" s="289">
        <v>166</v>
      </c>
      <c r="J300" s="289">
        <v>51</v>
      </c>
      <c r="K300" s="289">
        <v>12</v>
      </c>
      <c r="L300" s="289">
        <v>12</v>
      </c>
      <c r="M300" s="289">
        <v>108</v>
      </c>
      <c r="N300" s="290">
        <v>5</v>
      </c>
      <c r="O300" s="290">
        <v>13</v>
      </c>
      <c r="P300" s="624">
        <v>20473.39</v>
      </c>
      <c r="Q300" s="624">
        <v>6443.8496666700003</v>
      </c>
      <c r="R300" s="624">
        <v>9</v>
      </c>
      <c r="S300" s="289">
        <v>0</v>
      </c>
      <c r="T300" s="289">
        <v>128</v>
      </c>
      <c r="U300" s="716">
        <v>1.2006778243110682E-3</v>
      </c>
      <c r="V300" s="289">
        <v>563.66660705000004</v>
      </c>
      <c r="W300" s="743">
        <v>1</v>
      </c>
      <c r="X300" s="289">
        <v>600</v>
      </c>
      <c r="Y300" s="289">
        <v>330</v>
      </c>
      <c r="Z300" s="289">
        <v>30970</v>
      </c>
      <c r="AA300" s="289">
        <v>0</v>
      </c>
      <c r="AB300" s="290">
        <v>33</v>
      </c>
      <c r="AC300" s="289">
        <v>0</v>
      </c>
      <c r="AD300" s="289">
        <v>0</v>
      </c>
      <c r="AE300" s="289">
        <v>0</v>
      </c>
      <c r="AF300" s="289">
        <v>0</v>
      </c>
      <c r="AG300" s="289">
        <v>1205</v>
      </c>
      <c r="AH300" s="289">
        <v>155</v>
      </c>
      <c r="AI300" s="289">
        <v>39</v>
      </c>
      <c r="AJ300" s="289">
        <v>0</v>
      </c>
      <c r="AK300" s="289">
        <v>4.4581999999999997</v>
      </c>
      <c r="AL300" s="289"/>
      <c r="AM300" s="622">
        <v>1.8849999999999999E-2</v>
      </c>
      <c r="AN300" s="289">
        <v>0</v>
      </c>
      <c r="AO300" s="289">
        <v>-78.399180540000003</v>
      </c>
      <c r="AP300" s="289">
        <v>0</v>
      </c>
      <c r="AQ300" s="289">
        <v>0</v>
      </c>
      <c r="AR300" s="289">
        <v>730.30522312999994</v>
      </c>
      <c r="AS300" s="289">
        <v>15.601900000000001</v>
      </c>
      <c r="AT300" s="289">
        <v>58</v>
      </c>
      <c r="AU300" s="289">
        <v>13</v>
      </c>
      <c r="AV300" s="625">
        <v>56638</v>
      </c>
      <c r="AW300" s="289">
        <v>-23.443300000000001</v>
      </c>
      <c r="AX300" s="625">
        <v>9.6666666699999997</v>
      </c>
      <c r="AY300" s="289">
        <v>253</v>
      </c>
      <c r="AZ300" s="289">
        <v>36</v>
      </c>
      <c r="BA300" s="290">
        <v>31</v>
      </c>
      <c r="BB300" s="289">
        <v>5543</v>
      </c>
      <c r="BC300" s="289">
        <v>453</v>
      </c>
      <c r="BD300" s="289">
        <v>20.571200000000001</v>
      </c>
      <c r="BE300" s="289">
        <v>55941.898727790001</v>
      </c>
      <c r="BF300" s="289">
        <v>0</v>
      </c>
      <c r="BG300" s="289">
        <v>11</v>
      </c>
      <c r="BH300" s="289">
        <v>-9.8175000000000008</v>
      </c>
      <c r="BI300" s="289">
        <v>485</v>
      </c>
      <c r="BJ300" s="289">
        <v>-1.2369000000000001</v>
      </c>
      <c r="BK300" s="289">
        <v>0</v>
      </c>
      <c r="BL300" s="289">
        <v>0</v>
      </c>
      <c r="BM300" s="289">
        <v>0</v>
      </c>
      <c r="BN300" s="289">
        <v>0</v>
      </c>
      <c r="BO300" s="517">
        <v>0</v>
      </c>
      <c r="BP300" s="517">
        <v>0</v>
      </c>
      <c r="BQ300" s="289">
        <f t="shared" si="8"/>
        <v>-1.2369293669999999</v>
      </c>
      <c r="BR300" s="289">
        <v>0</v>
      </c>
      <c r="BS300" s="289">
        <f t="shared" si="9"/>
        <v>0</v>
      </c>
      <c r="BT300" s="289">
        <v>3</v>
      </c>
      <c r="BU300" s="289">
        <v>0</v>
      </c>
      <c r="BV300" s="289">
        <v>21</v>
      </c>
      <c r="BW300" s="289">
        <v>96.405000000000001</v>
      </c>
      <c r="BX300" s="289">
        <v>25.01</v>
      </c>
      <c r="CC300" s="517"/>
      <c r="CD300" s="85"/>
      <c r="CE300" s="517"/>
    </row>
    <row r="301" spans="1:83" ht="13">
      <c r="A301" s="1">
        <v>4221</v>
      </c>
      <c r="B301" s="2" t="s">
        <v>940</v>
      </c>
      <c r="C301" s="289">
        <v>1225</v>
      </c>
      <c r="D301" s="289">
        <v>23</v>
      </c>
      <c r="E301" s="289">
        <v>41</v>
      </c>
      <c r="F301" s="289">
        <v>151</v>
      </c>
      <c r="G301" s="289">
        <v>115</v>
      </c>
      <c r="H301" s="289">
        <v>685</v>
      </c>
      <c r="I301" s="289">
        <v>160</v>
      </c>
      <c r="J301" s="289">
        <v>44</v>
      </c>
      <c r="K301" s="289">
        <v>17</v>
      </c>
      <c r="L301" s="289">
        <v>10</v>
      </c>
      <c r="M301" s="289">
        <v>99</v>
      </c>
      <c r="N301" s="290">
        <v>33</v>
      </c>
      <c r="O301" s="290">
        <v>27</v>
      </c>
      <c r="P301" s="624">
        <v>10315.21666667</v>
      </c>
      <c r="Q301" s="624">
        <v>3896.9566666699998</v>
      </c>
      <c r="R301" s="624">
        <v>5</v>
      </c>
      <c r="S301" s="289">
        <v>0</v>
      </c>
      <c r="T301" s="289">
        <v>139</v>
      </c>
      <c r="U301" s="716">
        <v>1.5509393656996519E-3</v>
      </c>
      <c r="V301" s="289">
        <v>551.78568283000004</v>
      </c>
      <c r="W301" s="743">
        <v>1</v>
      </c>
      <c r="X301" s="289">
        <v>0</v>
      </c>
      <c r="Y301" s="289">
        <v>330</v>
      </c>
      <c r="Z301" s="289">
        <v>45304</v>
      </c>
      <c r="AA301" s="289">
        <v>0</v>
      </c>
      <c r="AB301" s="290">
        <v>20</v>
      </c>
      <c r="AC301" s="289">
        <v>0</v>
      </c>
      <c r="AD301" s="289">
        <v>0</v>
      </c>
      <c r="AE301" s="289">
        <v>0</v>
      </c>
      <c r="AF301" s="289">
        <v>0</v>
      </c>
      <c r="AG301" s="289">
        <v>1236</v>
      </c>
      <c r="AH301" s="289">
        <v>169</v>
      </c>
      <c r="AI301" s="289">
        <v>48</v>
      </c>
      <c r="AJ301" s="289">
        <v>0</v>
      </c>
      <c r="AK301" s="289">
        <v>4.2203999999999997</v>
      </c>
      <c r="AL301" s="289"/>
      <c r="AM301" s="622">
        <v>2.2440990000000001E-2</v>
      </c>
      <c r="AN301" s="289">
        <v>0</v>
      </c>
      <c r="AO301" s="289">
        <v>-76.746688250000005</v>
      </c>
      <c r="AP301" s="289">
        <v>0</v>
      </c>
      <c r="AQ301" s="289">
        <v>0</v>
      </c>
      <c r="AR301" s="289">
        <v>211.83390152999999</v>
      </c>
      <c r="AS301" s="289">
        <v>17.388300000000001</v>
      </c>
      <c r="AT301" s="289">
        <v>67</v>
      </c>
      <c r="AU301" s="289">
        <v>8</v>
      </c>
      <c r="AV301" s="625">
        <v>47251</v>
      </c>
      <c r="AW301" s="289">
        <v>-24.046399999999998</v>
      </c>
      <c r="AX301" s="625">
        <v>7.6666666699999997</v>
      </c>
      <c r="AY301" s="289">
        <v>238</v>
      </c>
      <c r="AZ301" s="289">
        <v>65</v>
      </c>
      <c r="BA301" s="290">
        <v>15</v>
      </c>
      <c r="BB301" s="289">
        <v>0</v>
      </c>
      <c r="BC301" s="289">
        <v>467</v>
      </c>
      <c r="BD301" s="289">
        <v>22.429200000000002</v>
      </c>
      <c r="BE301" s="289">
        <v>47282.24137743</v>
      </c>
      <c r="BF301" s="289">
        <v>0</v>
      </c>
      <c r="BG301" s="289">
        <v>11</v>
      </c>
      <c r="BH301" s="289">
        <v>-10.0701</v>
      </c>
      <c r="BI301" s="289">
        <v>499</v>
      </c>
      <c r="BJ301" s="289">
        <v>-1.2687999999999999</v>
      </c>
      <c r="BK301" s="289">
        <v>0</v>
      </c>
      <c r="BL301" s="289">
        <v>0</v>
      </c>
      <c r="BM301" s="289">
        <v>0</v>
      </c>
      <c r="BN301" s="289">
        <v>0</v>
      </c>
      <c r="BO301" s="517">
        <v>0</v>
      </c>
      <c r="BP301" s="517">
        <v>0</v>
      </c>
      <c r="BQ301" s="289">
        <f t="shared" si="8"/>
        <v>-1.2687507863999998</v>
      </c>
      <c r="BR301" s="289">
        <v>0</v>
      </c>
      <c r="BS301" s="289">
        <f t="shared" si="9"/>
        <v>0</v>
      </c>
      <c r="BT301" s="289">
        <v>2</v>
      </c>
      <c r="BU301" s="289">
        <v>0</v>
      </c>
      <c r="BV301" s="289">
        <v>20</v>
      </c>
      <c r="BW301" s="289">
        <v>0</v>
      </c>
      <c r="BX301" s="289">
        <v>24.823</v>
      </c>
      <c r="CC301" s="517"/>
      <c r="CD301" s="85"/>
      <c r="CE301" s="517"/>
    </row>
    <row r="302" spans="1:83" ht="13">
      <c r="A302" s="1">
        <v>4222</v>
      </c>
      <c r="B302" s="2" t="s">
        <v>941</v>
      </c>
      <c r="C302" s="289">
        <v>958</v>
      </c>
      <c r="D302" s="289">
        <v>18</v>
      </c>
      <c r="E302" s="289">
        <v>43</v>
      </c>
      <c r="F302" s="289">
        <v>101</v>
      </c>
      <c r="G302" s="289">
        <v>92</v>
      </c>
      <c r="H302" s="289">
        <v>595</v>
      </c>
      <c r="I302" s="289">
        <v>91</v>
      </c>
      <c r="J302" s="289">
        <v>16</v>
      </c>
      <c r="K302" s="289">
        <v>5</v>
      </c>
      <c r="L302" s="289">
        <v>8</v>
      </c>
      <c r="M302" s="289">
        <v>52</v>
      </c>
      <c r="N302" s="290">
        <v>15</v>
      </c>
      <c r="O302" s="290">
        <v>22</v>
      </c>
      <c r="P302" s="624">
        <v>10984.06633333</v>
      </c>
      <c r="Q302" s="624">
        <v>11750.620999999999</v>
      </c>
      <c r="R302" s="624">
        <v>1</v>
      </c>
      <c r="S302" s="289">
        <v>0</v>
      </c>
      <c r="T302" s="289">
        <v>82</v>
      </c>
      <c r="U302" s="716">
        <v>5.6422335846607625E-4</v>
      </c>
      <c r="V302" s="289">
        <v>419.68883267000001</v>
      </c>
      <c r="W302" s="743">
        <v>1</v>
      </c>
      <c r="X302" s="289">
        <v>0</v>
      </c>
      <c r="Y302" s="289">
        <v>0</v>
      </c>
      <c r="Z302" s="289">
        <v>79195</v>
      </c>
      <c r="AA302" s="289">
        <v>0</v>
      </c>
      <c r="AB302" s="290">
        <v>10</v>
      </c>
      <c r="AC302" s="289">
        <v>0</v>
      </c>
      <c r="AD302" s="289">
        <v>0</v>
      </c>
      <c r="AE302" s="289">
        <v>0</v>
      </c>
      <c r="AF302" s="289">
        <v>0</v>
      </c>
      <c r="AG302" s="289">
        <v>961</v>
      </c>
      <c r="AH302" s="289">
        <v>129</v>
      </c>
      <c r="AI302" s="289">
        <v>12</v>
      </c>
      <c r="AJ302" s="289">
        <v>0</v>
      </c>
      <c r="AK302" s="289">
        <v>4.2184999999999997</v>
      </c>
      <c r="AL302" s="289"/>
      <c r="AM302" s="622">
        <v>2.184697E-2</v>
      </c>
      <c r="AN302" s="289">
        <v>0</v>
      </c>
      <c r="AO302" s="289">
        <v>-58.373620420000002</v>
      </c>
      <c r="AP302" s="289">
        <v>0</v>
      </c>
      <c r="AQ302" s="289">
        <v>0</v>
      </c>
      <c r="AR302" s="289">
        <v>796.55125912000005</v>
      </c>
      <c r="AS302" s="289">
        <v>11.3447</v>
      </c>
      <c r="AT302" s="289">
        <v>55</v>
      </c>
      <c r="AU302" s="289">
        <v>9</v>
      </c>
      <c r="AV302" s="625">
        <v>35794</v>
      </c>
      <c r="AW302" s="289">
        <v>-18.696300000000001</v>
      </c>
      <c r="AX302" s="625">
        <v>5.3333333300000003</v>
      </c>
      <c r="AY302" s="289">
        <v>233</v>
      </c>
      <c r="AZ302" s="289">
        <v>40</v>
      </c>
      <c r="BA302" s="290">
        <v>18</v>
      </c>
      <c r="BB302" s="289">
        <v>0</v>
      </c>
      <c r="BC302" s="289">
        <v>132</v>
      </c>
      <c r="BD302" s="289">
        <v>17.1205</v>
      </c>
      <c r="BE302" s="289">
        <v>35159.859028619998</v>
      </c>
      <c r="BF302" s="289">
        <v>0</v>
      </c>
      <c r="BG302" s="289">
        <v>0</v>
      </c>
      <c r="BH302" s="289">
        <v>-7.8296000000000001</v>
      </c>
      <c r="BI302" s="289">
        <v>129</v>
      </c>
      <c r="BJ302" s="289">
        <v>-0.98650000000000004</v>
      </c>
      <c r="BK302" s="289">
        <v>0</v>
      </c>
      <c r="BL302" s="289">
        <v>0</v>
      </c>
      <c r="BM302" s="289">
        <v>0</v>
      </c>
      <c r="BN302" s="289">
        <v>0</v>
      </c>
      <c r="BO302" s="517">
        <v>0</v>
      </c>
      <c r="BP302" s="517">
        <v>0</v>
      </c>
      <c r="BQ302" s="289">
        <f t="shared" si="8"/>
        <v>-0.98646400140000001</v>
      </c>
      <c r="BR302" s="289">
        <v>0</v>
      </c>
      <c r="BS302" s="289">
        <f t="shared" si="9"/>
        <v>0</v>
      </c>
      <c r="BT302" s="289">
        <v>2</v>
      </c>
      <c r="BU302" s="289">
        <v>0</v>
      </c>
      <c r="BV302" s="289">
        <v>18</v>
      </c>
      <c r="BW302" s="289">
        <v>0</v>
      </c>
      <c r="BX302" s="289">
        <v>19.734000000000002</v>
      </c>
      <c r="CC302" s="517"/>
      <c r="CD302" s="85"/>
      <c r="CE302" s="517"/>
    </row>
    <row r="303" spans="1:83" ht="13">
      <c r="A303" s="1">
        <v>4223</v>
      </c>
      <c r="B303" s="2" t="s">
        <v>947</v>
      </c>
      <c r="C303" s="289">
        <v>14532</v>
      </c>
      <c r="D303" s="289">
        <v>348</v>
      </c>
      <c r="E303" s="289">
        <v>797</v>
      </c>
      <c r="F303" s="289">
        <v>1866</v>
      </c>
      <c r="G303" s="289">
        <v>1435</v>
      </c>
      <c r="H303" s="289">
        <v>8149</v>
      </c>
      <c r="I303" s="289">
        <v>1374</v>
      </c>
      <c r="J303" s="289">
        <v>425</v>
      </c>
      <c r="K303" s="289">
        <v>100</v>
      </c>
      <c r="L303" s="289">
        <v>118</v>
      </c>
      <c r="M303" s="289">
        <v>741</v>
      </c>
      <c r="N303" s="290">
        <v>273</v>
      </c>
      <c r="O303" s="290">
        <v>136</v>
      </c>
      <c r="P303" s="624">
        <v>35682.492666669998</v>
      </c>
      <c r="Q303" s="624">
        <v>51278.665333329998</v>
      </c>
      <c r="R303" s="624">
        <v>73</v>
      </c>
      <c r="S303" s="289">
        <v>0</v>
      </c>
      <c r="T303" s="289">
        <v>1044</v>
      </c>
      <c r="U303" s="716">
        <v>1.8170870827115154E-3</v>
      </c>
      <c r="V303" s="289">
        <v>4760.0755234500002</v>
      </c>
      <c r="W303" s="743">
        <v>0.58942722999999997</v>
      </c>
      <c r="X303" s="289">
        <v>2100</v>
      </c>
      <c r="Y303" s="289">
        <v>784</v>
      </c>
      <c r="Z303" s="289">
        <v>327486</v>
      </c>
      <c r="AA303" s="289">
        <v>0</v>
      </c>
      <c r="AB303" s="290">
        <v>452</v>
      </c>
      <c r="AC303" s="289">
        <v>1895</v>
      </c>
      <c r="AD303" s="289">
        <v>0</v>
      </c>
      <c r="AE303" s="289">
        <v>0</v>
      </c>
      <c r="AF303" s="289">
        <v>0</v>
      </c>
      <c r="AG303" s="289">
        <v>14494</v>
      </c>
      <c r="AH303" s="289">
        <v>2283</v>
      </c>
      <c r="AI303" s="289">
        <v>123</v>
      </c>
      <c r="AJ303" s="289">
        <v>0</v>
      </c>
      <c r="AK303" s="289">
        <v>72.929299999999998</v>
      </c>
      <c r="AL303" s="289"/>
      <c r="AM303" s="622">
        <v>0.53580592000000005</v>
      </c>
      <c r="AN303" s="289">
        <v>0</v>
      </c>
      <c r="AO303" s="289">
        <v>-721.73739531000001</v>
      </c>
      <c r="AP303" s="289">
        <v>0</v>
      </c>
      <c r="AQ303" s="289">
        <v>0</v>
      </c>
      <c r="AR303" s="289">
        <v>-1035.9470018699999</v>
      </c>
      <c r="AS303" s="289">
        <v>198.0872</v>
      </c>
      <c r="AT303" s="289">
        <v>891</v>
      </c>
      <c r="AU303" s="289">
        <v>258</v>
      </c>
      <c r="AV303" s="625">
        <v>355362</v>
      </c>
      <c r="AW303" s="289">
        <v>-7.36</v>
      </c>
      <c r="AX303" s="625">
        <v>91.833333330000002</v>
      </c>
      <c r="AY303" s="289">
        <v>2073</v>
      </c>
      <c r="AZ303" s="289">
        <v>485</v>
      </c>
      <c r="BA303" s="290">
        <v>455</v>
      </c>
      <c r="BB303" s="289">
        <v>0</v>
      </c>
      <c r="BC303" s="289">
        <v>2941</v>
      </c>
      <c r="BD303" s="289">
        <v>302.99329999999998</v>
      </c>
      <c r="BE303" s="289">
        <v>368797.59619544999</v>
      </c>
      <c r="BF303" s="289">
        <v>0</v>
      </c>
      <c r="BG303" s="289">
        <v>22</v>
      </c>
      <c r="BH303" s="289">
        <v>-118.08710000000001</v>
      </c>
      <c r="BI303" s="289">
        <v>3067</v>
      </c>
      <c r="BJ303" s="289">
        <v>-14.8781</v>
      </c>
      <c r="BK303" s="289">
        <v>0</v>
      </c>
      <c r="BL303" s="289">
        <v>0</v>
      </c>
      <c r="BM303" s="289">
        <v>0</v>
      </c>
      <c r="BN303" s="289">
        <v>0</v>
      </c>
      <c r="BO303" s="517">
        <v>0</v>
      </c>
      <c r="BP303" s="517">
        <v>0</v>
      </c>
      <c r="BQ303" s="289">
        <f t="shared" si="8"/>
        <v>-14.878053315600001</v>
      </c>
      <c r="BR303" s="289">
        <v>0</v>
      </c>
      <c r="BS303" s="289">
        <f t="shared" si="9"/>
        <v>0</v>
      </c>
      <c r="BT303" s="289">
        <v>42</v>
      </c>
      <c r="BU303" s="289">
        <v>0</v>
      </c>
      <c r="BV303" s="289">
        <v>136</v>
      </c>
      <c r="BW303" s="289">
        <v>214.816</v>
      </c>
      <c r="BX303" s="289">
        <v>303.09399999999999</v>
      </c>
      <c r="CC303" s="517"/>
      <c r="CD303" s="85"/>
      <c r="CE303" s="517"/>
    </row>
    <row r="304" spans="1:83" ht="13">
      <c r="A304" s="1">
        <v>4224</v>
      </c>
      <c r="B304" s="2" t="s">
        <v>951</v>
      </c>
      <c r="C304" s="289">
        <v>943</v>
      </c>
      <c r="D304" s="289">
        <v>17</v>
      </c>
      <c r="E304" s="289">
        <v>46</v>
      </c>
      <c r="F304" s="289">
        <v>122</v>
      </c>
      <c r="G304" s="289">
        <v>121</v>
      </c>
      <c r="H304" s="289">
        <v>499</v>
      </c>
      <c r="I304" s="289">
        <v>80</v>
      </c>
      <c r="J304" s="289">
        <v>42</v>
      </c>
      <c r="K304" s="289">
        <v>11</v>
      </c>
      <c r="L304" s="289">
        <v>9</v>
      </c>
      <c r="M304" s="289">
        <v>77</v>
      </c>
      <c r="N304" s="290">
        <v>25</v>
      </c>
      <c r="O304" s="290">
        <v>16</v>
      </c>
      <c r="P304" s="624">
        <v>7360.8586666700003</v>
      </c>
      <c r="Q304" s="624">
        <v>5153.2529999999997</v>
      </c>
      <c r="R304" s="624">
        <v>4</v>
      </c>
      <c r="S304" s="289">
        <v>0</v>
      </c>
      <c r="T304" s="289">
        <v>64</v>
      </c>
      <c r="U304" s="716">
        <v>1.1732213062376658E-3</v>
      </c>
      <c r="V304" s="289">
        <v>467.28984967000002</v>
      </c>
      <c r="W304" s="743">
        <v>1</v>
      </c>
      <c r="X304" s="289">
        <v>0</v>
      </c>
      <c r="Y304" s="289">
        <v>268</v>
      </c>
      <c r="Z304" s="289">
        <v>39045</v>
      </c>
      <c r="AA304" s="289">
        <v>0</v>
      </c>
      <c r="AB304" s="290">
        <v>21</v>
      </c>
      <c r="AC304" s="289">
        <v>0</v>
      </c>
      <c r="AD304" s="289">
        <v>0</v>
      </c>
      <c r="AE304" s="289">
        <v>0</v>
      </c>
      <c r="AF304" s="289">
        <v>0</v>
      </c>
      <c r="AG304" s="289">
        <v>938</v>
      </c>
      <c r="AH304" s="289">
        <v>157</v>
      </c>
      <c r="AI304" s="289">
        <v>75</v>
      </c>
      <c r="AJ304" s="289">
        <v>0</v>
      </c>
      <c r="AK304" s="289">
        <v>4.0373000000000001</v>
      </c>
      <c r="AL304" s="289"/>
      <c r="AM304" s="622">
        <v>2.904203E-2</v>
      </c>
      <c r="AN304" s="289">
        <v>0</v>
      </c>
      <c r="AO304" s="289">
        <v>-64.994343869999994</v>
      </c>
      <c r="AP304" s="289">
        <v>0</v>
      </c>
      <c r="AQ304" s="289">
        <v>0</v>
      </c>
      <c r="AR304" s="289">
        <v>567.31381677000002</v>
      </c>
      <c r="AS304" s="289">
        <v>12.1105</v>
      </c>
      <c r="AT304" s="289">
        <v>38</v>
      </c>
      <c r="AU304" s="289">
        <v>11</v>
      </c>
      <c r="AV304" s="625">
        <v>43305</v>
      </c>
      <c r="AW304" s="289">
        <v>-18.248799999999999</v>
      </c>
      <c r="AX304" s="625">
        <v>2.5833333299999999</v>
      </c>
      <c r="AY304" s="289">
        <v>120</v>
      </c>
      <c r="AZ304" s="289">
        <v>61</v>
      </c>
      <c r="BA304" s="290">
        <v>16</v>
      </c>
      <c r="BB304" s="289">
        <v>0</v>
      </c>
      <c r="BC304" s="289">
        <v>397</v>
      </c>
      <c r="BD304" s="289">
        <v>20.836600000000001</v>
      </c>
      <c r="BE304" s="289">
        <v>42919.119837129998</v>
      </c>
      <c r="BF304" s="289">
        <v>0</v>
      </c>
      <c r="BG304" s="289">
        <v>13</v>
      </c>
      <c r="BH304" s="289">
        <v>-7.6421999999999999</v>
      </c>
      <c r="BI304" s="289">
        <v>425</v>
      </c>
      <c r="BJ304" s="289">
        <v>-0.96289999999999998</v>
      </c>
      <c r="BK304" s="289">
        <v>0</v>
      </c>
      <c r="BL304" s="289">
        <v>0</v>
      </c>
      <c r="BM304" s="289">
        <v>0</v>
      </c>
      <c r="BN304" s="289">
        <v>0</v>
      </c>
      <c r="BO304" s="517">
        <v>0</v>
      </c>
      <c r="BP304" s="517">
        <v>0</v>
      </c>
      <c r="BQ304" s="289">
        <f t="shared" si="8"/>
        <v>-0.96285456120000001</v>
      </c>
      <c r="BR304" s="289">
        <v>0</v>
      </c>
      <c r="BS304" s="289">
        <f t="shared" si="9"/>
        <v>0</v>
      </c>
      <c r="BT304" s="289">
        <v>2</v>
      </c>
      <c r="BU304" s="289">
        <v>0</v>
      </c>
      <c r="BV304" s="289">
        <v>18</v>
      </c>
      <c r="BW304" s="289">
        <v>97.453000000000003</v>
      </c>
      <c r="BX304" s="289">
        <v>19.338999999999999</v>
      </c>
      <c r="CC304" s="517"/>
      <c r="CD304" s="85"/>
      <c r="CE304" s="517"/>
    </row>
    <row r="305" spans="1:83" ht="13">
      <c r="A305" s="1">
        <v>4226</v>
      </c>
      <c r="B305" s="2" t="s">
        <v>955</v>
      </c>
      <c r="C305" s="289">
        <v>1699</v>
      </c>
      <c r="D305" s="289">
        <v>48</v>
      </c>
      <c r="E305" s="289">
        <v>97</v>
      </c>
      <c r="F305" s="289">
        <v>213</v>
      </c>
      <c r="G305" s="289">
        <v>159</v>
      </c>
      <c r="H305" s="289">
        <v>915</v>
      </c>
      <c r="I305" s="289">
        <v>198</v>
      </c>
      <c r="J305" s="289">
        <v>60</v>
      </c>
      <c r="K305" s="289">
        <v>13</v>
      </c>
      <c r="L305" s="289">
        <v>11</v>
      </c>
      <c r="M305" s="289">
        <v>114</v>
      </c>
      <c r="N305" s="290">
        <v>5</v>
      </c>
      <c r="O305" s="290">
        <v>16</v>
      </c>
      <c r="P305" s="624">
        <v>13434.073</v>
      </c>
      <c r="Q305" s="624">
        <v>6573.3609999999999</v>
      </c>
      <c r="R305" s="624">
        <v>15</v>
      </c>
      <c r="S305" s="289">
        <v>0</v>
      </c>
      <c r="T305" s="289">
        <v>104</v>
      </c>
      <c r="U305" s="716">
        <v>1.6723605251826774E-3</v>
      </c>
      <c r="V305" s="289">
        <v>742.87866740000004</v>
      </c>
      <c r="W305" s="743">
        <v>0.88332105999999999</v>
      </c>
      <c r="X305" s="289">
        <v>1550</v>
      </c>
      <c r="Y305" s="289">
        <v>244</v>
      </c>
      <c r="Z305" s="289">
        <v>40812</v>
      </c>
      <c r="AA305" s="289">
        <v>0</v>
      </c>
      <c r="AB305" s="290">
        <v>51</v>
      </c>
      <c r="AC305" s="289">
        <v>0</v>
      </c>
      <c r="AD305" s="289">
        <v>0</v>
      </c>
      <c r="AE305" s="289">
        <v>0</v>
      </c>
      <c r="AF305" s="289">
        <v>0</v>
      </c>
      <c r="AG305" s="289">
        <v>1703</v>
      </c>
      <c r="AH305" s="289">
        <v>269</v>
      </c>
      <c r="AI305" s="289">
        <v>105</v>
      </c>
      <c r="AJ305" s="289">
        <v>0</v>
      </c>
      <c r="AK305" s="289">
        <v>8.9088999999999992</v>
      </c>
      <c r="AL305" s="289"/>
      <c r="AM305" s="622">
        <v>3.5988970000000002E-2</v>
      </c>
      <c r="AN305" s="289">
        <v>0</v>
      </c>
      <c r="AO305" s="289">
        <v>-103.32540199</v>
      </c>
      <c r="AP305" s="289">
        <v>0</v>
      </c>
      <c r="AQ305" s="289">
        <v>0</v>
      </c>
      <c r="AR305" s="289">
        <v>408.06003665999998</v>
      </c>
      <c r="AS305" s="289">
        <v>18.266999999999999</v>
      </c>
      <c r="AT305" s="289">
        <v>59</v>
      </c>
      <c r="AU305" s="289">
        <v>31</v>
      </c>
      <c r="AV305" s="625">
        <v>66866</v>
      </c>
      <c r="AW305" s="289">
        <v>-33.131900000000002</v>
      </c>
      <c r="AX305" s="625">
        <v>11.333333339999999</v>
      </c>
      <c r="AY305" s="289">
        <v>263</v>
      </c>
      <c r="AZ305" s="289">
        <v>57</v>
      </c>
      <c r="BA305" s="290">
        <v>27</v>
      </c>
      <c r="BB305" s="289">
        <v>2772</v>
      </c>
      <c r="BC305" s="289">
        <v>474</v>
      </c>
      <c r="BD305" s="289">
        <v>35.700899999999997</v>
      </c>
      <c r="BE305" s="289">
        <v>66790.184796090005</v>
      </c>
      <c r="BF305" s="289">
        <v>0</v>
      </c>
      <c r="BG305" s="289">
        <v>13</v>
      </c>
      <c r="BH305" s="289">
        <v>-13.8749</v>
      </c>
      <c r="BI305" s="289">
        <v>513</v>
      </c>
      <c r="BJ305" s="289">
        <v>-1.7481</v>
      </c>
      <c r="BK305" s="289">
        <v>0</v>
      </c>
      <c r="BL305" s="289">
        <v>0</v>
      </c>
      <c r="BM305" s="289">
        <v>0</v>
      </c>
      <c r="BN305" s="289">
        <v>0</v>
      </c>
      <c r="BO305" s="517">
        <v>0</v>
      </c>
      <c r="BP305" s="517">
        <v>0</v>
      </c>
      <c r="BQ305" s="289">
        <f t="shared" si="8"/>
        <v>-1.7481250721999999</v>
      </c>
      <c r="BR305" s="289">
        <v>0</v>
      </c>
      <c r="BS305" s="289">
        <f t="shared" si="9"/>
        <v>0</v>
      </c>
      <c r="BT305" s="289">
        <v>5</v>
      </c>
      <c r="BU305" s="289">
        <v>0</v>
      </c>
      <c r="BV305" s="289">
        <v>24</v>
      </c>
      <c r="BW305" s="289">
        <v>0</v>
      </c>
      <c r="BX305" s="289">
        <v>35.417000000000002</v>
      </c>
      <c r="CC305" s="517"/>
      <c r="CD305" s="85"/>
      <c r="CE305" s="517"/>
    </row>
    <row r="306" spans="1:83" ht="13">
      <c r="A306" s="1">
        <v>4227</v>
      </c>
      <c r="B306" s="2" t="s">
        <v>956</v>
      </c>
      <c r="C306" s="289">
        <v>6024</v>
      </c>
      <c r="D306" s="289">
        <v>131</v>
      </c>
      <c r="E306" s="289">
        <v>303</v>
      </c>
      <c r="F306" s="289">
        <v>757</v>
      </c>
      <c r="G306" s="289">
        <v>553</v>
      </c>
      <c r="H306" s="289">
        <v>3317</v>
      </c>
      <c r="I306" s="289">
        <v>647</v>
      </c>
      <c r="J306" s="289">
        <v>212</v>
      </c>
      <c r="K306" s="289">
        <v>64</v>
      </c>
      <c r="L306" s="289">
        <v>53</v>
      </c>
      <c r="M306" s="289">
        <v>413</v>
      </c>
      <c r="N306" s="290">
        <v>98</v>
      </c>
      <c r="O306" s="290">
        <v>76</v>
      </c>
      <c r="P306" s="624">
        <v>66801.008333329999</v>
      </c>
      <c r="Q306" s="624">
        <v>16141.518</v>
      </c>
      <c r="R306" s="624">
        <v>37</v>
      </c>
      <c r="S306" s="289">
        <v>0</v>
      </c>
      <c r="T306" s="289">
        <v>478</v>
      </c>
      <c r="U306" s="716">
        <v>3.2379907260414445E-3</v>
      </c>
      <c r="V306" s="289">
        <v>2344.6870302399998</v>
      </c>
      <c r="W306" s="743">
        <v>0.70748657999999998</v>
      </c>
      <c r="X306" s="289">
        <v>0</v>
      </c>
      <c r="Y306" s="289">
        <v>268</v>
      </c>
      <c r="Z306" s="289">
        <v>166149</v>
      </c>
      <c r="AA306" s="289">
        <v>0</v>
      </c>
      <c r="AB306" s="290">
        <v>209</v>
      </c>
      <c r="AC306" s="289">
        <v>0</v>
      </c>
      <c r="AD306" s="289">
        <v>0</v>
      </c>
      <c r="AE306" s="289">
        <v>0</v>
      </c>
      <c r="AF306" s="289">
        <v>0</v>
      </c>
      <c r="AG306" s="289">
        <v>5984</v>
      </c>
      <c r="AH306" s="289">
        <v>908</v>
      </c>
      <c r="AI306" s="289">
        <v>225</v>
      </c>
      <c r="AJ306" s="289">
        <v>0</v>
      </c>
      <c r="AK306" s="289">
        <v>28.046299999999999</v>
      </c>
      <c r="AL306" s="289"/>
      <c r="AM306" s="622">
        <v>0.13665608000000001</v>
      </c>
      <c r="AN306" s="289">
        <v>4625</v>
      </c>
      <c r="AO306" s="289">
        <v>-326.11749479999997</v>
      </c>
      <c r="AP306" s="289">
        <v>0</v>
      </c>
      <c r="AQ306" s="289">
        <v>0</v>
      </c>
      <c r="AR306" s="289">
        <v>-427.70159095000002</v>
      </c>
      <c r="AS306" s="289">
        <v>80.191699999999997</v>
      </c>
      <c r="AT306" s="289">
        <v>349</v>
      </c>
      <c r="AU306" s="289">
        <v>65</v>
      </c>
      <c r="AV306" s="625">
        <v>182171</v>
      </c>
      <c r="AW306" s="289">
        <v>-3.0387</v>
      </c>
      <c r="AX306" s="625">
        <v>38</v>
      </c>
      <c r="AY306" s="289">
        <v>846</v>
      </c>
      <c r="AZ306" s="289">
        <v>216</v>
      </c>
      <c r="BA306" s="290">
        <v>189</v>
      </c>
      <c r="BB306" s="289">
        <v>0</v>
      </c>
      <c r="BC306" s="289">
        <v>1121</v>
      </c>
      <c r="BD306" s="289">
        <v>120.5072</v>
      </c>
      <c r="BE306" s="289">
        <v>185243.76485750001</v>
      </c>
      <c r="BF306" s="289">
        <v>0</v>
      </c>
      <c r="BG306" s="289">
        <v>13</v>
      </c>
      <c r="BH306" s="289">
        <v>-48.753500000000003</v>
      </c>
      <c r="BI306" s="289">
        <v>1176</v>
      </c>
      <c r="BJ306" s="289">
        <v>-6.1425999999999998</v>
      </c>
      <c r="BK306" s="289">
        <v>0</v>
      </c>
      <c r="BL306" s="289">
        <v>0</v>
      </c>
      <c r="BM306" s="289">
        <v>0</v>
      </c>
      <c r="BN306" s="289">
        <v>0</v>
      </c>
      <c r="BO306" s="517">
        <v>0</v>
      </c>
      <c r="BP306" s="517">
        <v>0</v>
      </c>
      <c r="BQ306" s="289">
        <f t="shared" si="8"/>
        <v>-6.1425604415999997</v>
      </c>
      <c r="BR306" s="289">
        <v>0</v>
      </c>
      <c r="BS306" s="289">
        <f t="shared" si="9"/>
        <v>0</v>
      </c>
      <c r="BT306" s="289">
        <v>16</v>
      </c>
      <c r="BU306" s="289">
        <v>0</v>
      </c>
      <c r="BV306" s="289">
        <v>64</v>
      </c>
      <c r="BW306" s="289">
        <v>339.51499999999999</v>
      </c>
      <c r="BX306" s="289">
        <v>125.114</v>
      </c>
      <c r="CC306" s="517"/>
      <c r="CD306" s="85"/>
      <c r="CE306" s="517"/>
    </row>
    <row r="307" spans="1:83" ht="13">
      <c r="A307" s="1">
        <v>4228</v>
      </c>
      <c r="B307" s="2" t="s">
        <v>957</v>
      </c>
      <c r="C307" s="289">
        <v>1842</v>
      </c>
      <c r="D307" s="289">
        <v>36</v>
      </c>
      <c r="E307" s="289">
        <v>95</v>
      </c>
      <c r="F307" s="289">
        <v>232</v>
      </c>
      <c r="G307" s="289">
        <v>169</v>
      </c>
      <c r="H307" s="289">
        <v>985</v>
      </c>
      <c r="I307" s="289">
        <v>216</v>
      </c>
      <c r="J307" s="289">
        <v>71</v>
      </c>
      <c r="K307" s="289">
        <v>29</v>
      </c>
      <c r="L307" s="289">
        <v>13</v>
      </c>
      <c r="M307" s="289">
        <v>144</v>
      </c>
      <c r="N307" s="290">
        <v>11</v>
      </c>
      <c r="O307" s="290">
        <v>13</v>
      </c>
      <c r="P307" s="624">
        <v>19860.97933333</v>
      </c>
      <c r="Q307" s="624">
        <v>7570.2773333300001</v>
      </c>
      <c r="R307" s="624">
        <v>8</v>
      </c>
      <c r="S307" s="289">
        <v>0</v>
      </c>
      <c r="T307" s="289">
        <v>140</v>
      </c>
      <c r="U307" s="716">
        <v>1.8783801410556722E-3</v>
      </c>
      <c r="V307" s="289">
        <v>795.49433501999999</v>
      </c>
      <c r="W307" s="743">
        <v>1</v>
      </c>
      <c r="X307" s="289">
        <v>0</v>
      </c>
      <c r="Y307" s="289">
        <v>0</v>
      </c>
      <c r="Z307" s="289">
        <v>105701</v>
      </c>
      <c r="AA307" s="289">
        <v>0</v>
      </c>
      <c r="AB307" s="290">
        <v>33</v>
      </c>
      <c r="AC307" s="289">
        <v>0</v>
      </c>
      <c r="AD307" s="289">
        <v>0</v>
      </c>
      <c r="AE307" s="289">
        <v>0</v>
      </c>
      <c r="AF307" s="289">
        <v>0</v>
      </c>
      <c r="AG307" s="289">
        <v>1833</v>
      </c>
      <c r="AH307" s="289">
        <v>276</v>
      </c>
      <c r="AI307" s="289">
        <v>62</v>
      </c>
      <c r="AJ307" s="289">
        <v>0</v>
      </c>
      <c r="AK307" s="289">
        <v>8.9285999999999994</v>
      </c>
      <c r="AL307" s="289"/>
      <c r="AM307" s="622">
        <v>1.490168E-2</v>
      </c>
      <c r="AN307" s="289">
        <v>0</v>
      </c>
      <c r="AO307" s="289">
        <v>-110.64360246</v>
      </c>
      <c r="AP307" s="289">
        <v>0</v>
      </c>
      <c r="AQ307" s="289">
        <v>0</v>
      </c>
      <c r="AR307" s="289">
        <v>1482.99918366</v>
      </c>
      <c r="AS307" s="289">
        <v>18.367699999999999</v>
      </c>
      <c r="AT307" s="289">
        <v>91</v>
      </c>
      <c r="AU307" s="289">
        <v>12</v>
      </c>
      <c r="AV307" s="625">
        <v>67656</v>
      </c>
      <c r="AW307" s="289">
        <v>-35.661099999999998</v>
      </c>
      <c r="AX307" s="625">
        <v>11.95833333</v>
      </c>
      <c r="AY307" s="289">
        <v>327</v>
      </c>
      <c r="AZ307" s="289">
        <v>46</v>
      </c>
      <c r="BA307" s="290">
        <v>18</v>
      </c>
      <c r="BB307" s="289">
        <v>0</v>
      </c>
      <c r="BC307" s="289">
        <v>394</v>
      </c>
      <c r="BD307" s="289">
        <v>36.629899999999999</v>
      </c>
      <c r="BE307" s="289">
        <v>66371.199985629995</v>
      </c>
      <c r="BF307" s="289">
        <v>0</v>
      </c>
      <c r="BG307" s="289">
        <v>0</v>
      </c>
      <c r="BH307" s="289">
        <v>-14.933999999999999</v>
      </c>
      <c r="BI307" s="289">
        <v>276</v>
      </c>
      <c r="BJ307" s="289">
        <v>-1.8815999999999999</v>
      </c>
      <c r="BK307" s="289">
        <v>0</v>
      </c>
      <c r="BL307" s="289">
        <v>0</v>
      </c>
      <c r="BM307" s="289">
        <v>0</v>
      </c>
      <c r="BN307" s="289">
        <v>0</v>
      </c>
      <c r="BO307" s="517">
        <v>0</v>
      </c>
      <c r="BP307" s="517">
        <v>0</v>
      </c>
      <c r="BQ307" s="289">
        <f t="shared" si="8"/>
        <v>-1.8815697342000002</v>
      </c>
      <c r="BR307" s="289">
        <v>0</v>
      </c>
      <c r="BS307" s="289">
        <f t="shared" si="9"/>
        <v>0</v>
      </c>
      <c r="BT307" s="289">
        <v>5</v>
      </c>
      <c r="BU307" s="289">
        <v>0</v>
      </c>
      <c r="BV307" s="289">
        <v>27</v>
      </c>
      <c r="BW307" s="289">
        <v>0</v>
      </c>
      <c r="BX307" s="289">
        <v>38.262999999999998</v>
      </c>
      <c r="CC307" s="517"/>
      <c r="CD307" s="85"/>
      <c r="CE307" s="517"/>
    </row>
    <row r="308" spans="1:83" ht="13">
      <c r="A308" s="1">
        <v>4601</v>
      </c>
      <c r="B308" s="2" t="s">
        <v>23</v>
      </c>
      <c r="C308" s="289">
        <v>279792</v>
      </c>
      <c r="D308" s="289">
        <v>6787</v>
      </c>
      <c r="E308" s="289">
        <v>12752</v>
      </c>
      <c r="F308" s="289">
        <v>30975</v>
      </c>
      <c r="G308" s="289">
        <v>25004</v>
      </c>
      <c r="H308" s="289">
        <v>166241</v>
      </c>
      <c r="I308" s="289">
        <v>25726</v>
      </c>
      <c r="J308" s="289">
        <v>9169</v>
      </c>
      <c r="K308" s="289">
        <v>2382</v>
      </c>
      <c r="L308" s="289">
        <v>2134</v>
      </c>
      <c r="M308" s="289">
        <v>17051</v>
      </c>
      <c r="N308" s="290">
        <v>7795</v>
      </c>
      <c r="O308" s="290">
        <v>2325</v>
      </c>
      <c r="P308" s="624">
        <v>976661.62233332999</v>
      </c>
      <c r="Q308" s="624">
        <v>339527.47966667003</v>
      </c>
      <c r="R308" s="624">
        <v>1012</v>
      </c>
      <c r="S308" s="289">
        <v>0</v>
      </c>
      <c r="T308" s="289">
        <v>26386</v>
      </c>
      <c r="U308" s="716">
        <v>3.1939143449230198E-3</v>
      </c>
      <c r="V308" s="289">
        <v>-40439.50968915</v>
      </c>
      <c r="W308" s="743">
        <v>0.53687061000000003</v>
      </c>
      <c r="X308" s="289">
        <v>16200</v>
      </c>
      <c r="Y308" s="289">
        <v>3920</v>
      </c>
      <c r="Z308" s="289">
        <v>9126725</v>
      </c>
      <c r="AA308" s="289">
        <v>0</v>
      </c>
      <c r="AB308" s="290">
        <v>4335</v>
      </c>
      <c r="AC308" s="289">
        <v>0</v>
      </c>
      <c r="AD308" s="289">
        <v>0</v>
      </c>
      <c r="AE308" s="289">
        <v>0</v>
      </c>
      <c r="AF308" s="289">
        <v>0</v>
      </c>
      <c r="AG308" s="289">
        <v>279036</v>
      </c>
      <c r="AH308" s="289">
        <v>37824</v>
      </c>
      <c r="AI308" s="289">
        <v>10250</v>
      </c>
      <c r="AJ308" s="289">
        <v>0</v>
      </c>
      <c r="AK308" s="289">
        <v>1350.3055999999999</v>
      </c>
      <c r="AL308" s="289"/>
      <c r="AM308" s="622">
        <v>12.13984645</v>
      </c>
      <c r="AN308" s="289">
        <v>0</v>
      </c>
      <c r="AO308" s="289">
        <v>-12951.150565080001</v>
      </c>
      <c r="AP308" s="289">
        <v>100559</v>
      </c>
      <c r="AQ308" s="289">
        <v>0</v>
      </c>
      <c r="AR308" s="289">
        <v>-19943.87385217</v>
      </c>
      <c r="AS308" s="289">
        <v>4101.4497000000001</v>
      </c>
      <c r="AT308" s="289">
        <v>13930</v>
      </c>
      <c r="AU308" s="289">
        <v>4815</v>
      </c>
      <c r="AV308" s="625">
        <v>5819702</v>
      </c>
      <c r="AW308" s="289">
        <v>-141.69380000000001</v>
      </c>
      <c r="AX308" s="625">
        <v>2506.541667</v>
      </c>
      <c r="AY308" s="289">
        <v>87978</v>
      </c>
      <c r="AZ308" s="289">
        <v>14044</v>
      </c>
      <c r="BA308" s="290">
        <v>5858</v>
      </c>
      <c r="BB308" s="289">
        <v>0</v>
      </c>
      <c r="BC308" s="289">
        <v>40659</v>
      </c>
      <c r="BD308" s="289">
        <v>5019.8942999999999</v>
      </c>
      <c r="BE308" s="289">
        <v>6056739.4739063</v>
      </c>
      <c r="BF308" s="289">
        <v>0</v>
      </c>
      <c r="BG308" s="289">
        <v>110</v>
      </c>
      <c r="BH308" s="289">
        <v>-2273.3917999999999</v>
      </c>
      <c r="BI308" s="289">
        <v>41744</v>
      </c>
      <c r="BJ308" s="289">
        <v>-286.42970000000003</v>
      </c>
      <c r="BK308" s="289">
        <v>0</v>
      </c>
      <c r="BL308" s="289">
        <v>0</v>
      </c>
      <c r="BM308" s="289">
        <v>0</v>
      </c>
      <c r="BN308" s="289">
        <v>0</v>
      </c>
      <c r="BO308" s="517">
        <v>0</v>
      </c>
      <c r="BP308" s="517">
        <v>0</v>
      </c>
      <c r="BQ308" s="289">
        <f t="shared" si="8"/>
        <v>-286.42972850640001</v>
      </c>
      <c r="BR308" s="289">
        <v>0</v>
      </c>
      <c r="BS308" s="289">
        <f t="shared" si="9"/>
        <v>0</v>
      </c>
      <c r="BT308" s="289">
        <v>773</v>
      </c>
      <c r="BU308" s="289">
        <v>0</v>
      </c>
      <c r="BV308" s="289">
        <v>2414</v>
      </c>
      <c r="BW308" s="289">
        <v>838.30799999999999</v>
      </c>
      <c r="BX308" s="289">
        <v>5820.42</v>
      </c>
      <c r="CC308" s="517"/>
      <c r="CD308" s="85"/>
      <c r="CE308" s="517"/>
    </row>
    <row r="309" spans="1:83" ht="13">
      <c r="A309" s="1">
        <v>4611</v>
      </c>
      <c r="B309" s="2" t="s">
        <v>24</v>
      </c>
      <c r="C309" s="289">
        <v>4083</v>
      </c>
      <c r="D309" s="289">
        <v>99</v>
      </c>
      <c r="E309" s="289">
        <v>213</v>
      </c>
      <c r="F309" s="289">
        <v>539</v>
      </c>
      <c r="G309" s="289">
        <v>365</v>
      </c>
      <c r="H309" s="289">
        <v>2221</v>
      </c>
      <c r="I309" s="289">
        <v>465</v>
      </c>
      <c r="J309" s="289">
        <v>161</v>
      </c>
      <c r="K309" s="289">
        <v>60</v>
      </c>
      <c r="L309" s="289">
        <v>31</v>
      </c>
      <c r="M309" s="289">
        <v>288</v>
      </c>
      <c r="N309" s="290">
        <v>18</v>
      </c>
      <c r="O309" s="290">
        <v>35</v>
      </c>
      <c r="P309" s="624">
        <v>42966.037666670003</v>
      </c>
      <c r="Q309" s="624">
        <v>11534.509</v>
      </c>
      <c r="R309" s="624">
        <v>20</v>
      </c>
      <c r="S309" s="289">
        <v>0</v>
      </c>
      <c r="T309" s="289">
        <v>262</v>
      </c>
      <c r="U309" s="716">
        <v>3.4366581982504295E-3</v>
      </c>
      <c r="V309" s="289">
        <v>1623.56213063</v>
      </c>
      <c r="W309" s="743">
        <v>0.77424976999999995</v>
      </c>
      <c r="X309" s="289">
        <v>3500</v>
      </c>
      <c r="Y309" s="289">
        <v>392</v>
      </c>
      <c r="Z309" s="289">
        <v>106064</v>
      </c>
      <c r="AA309" s="289">
        <v>0</v>
      </c>
      <c r="AB309" s="290">
        <v>70</v>
      </c>
      <c r="AC309" s="289">
        <v>0</v>
      </c>
      <c r="AD309" s="289">
        <v>0</v>
      </c>
      <c r="AE309" s="289">
        <v>0</v>
      </c>
      <c r="AF309" s="289">
        <v>0</v>
      </c>
      <c r="AG309" s="289">
        <v>4123</v>
      </c>
      <c r="AH309" s="289">
        <v>635</v>
      </c>
      <c r="AI309" s="289">
        <v>0</v>
      </c>
      <c r="AJ309" s="289">
        <v>0</v>
      </c>
      <c r="AK309" s="289">
        <v>19.959800000000001</v>
      </c>
      <c r="AL309" s="289"/>
      <c r="AM309" s="622">
        <v>4.7719570000000003E-2</v>
      </c>
      <c r="AN309" s="289">
        <v>0</v>
      </c>
      <c r="AO309" s="289">
        <v>-225.81777775</v>
      </c>
      <c r="AP309" s="289">
        <v>0</v>
      </c>
      <c r="AQ309" s="289">
        <v>0</v>
      </c>
      <c r="AR309" s="289">
        <v>-294.68811154000002</v>
      </c>
      <c r="AS309" s="289">
        <v>38.200299999999999</v>
      </c>
      <c r="AT309" s="289">
        <v>140</v>
      </c>
      <c r="AU309" s="289">
        <v>47</v>
      </c>
      <c r="AV309" s="625">
        <v>127011</v>
      </c>
      <c r="AW309" s="289">
        <v>-2.0935999999999999</v>
      </c>
      <c r="AX309" s="625">
        <v>26.833333339999999</v>
      </c>
      <c r="AY309" s="289">
        <v>705</v>
      </c>
      <c r="AZ309" s="289">
        <v>124</v>
      </c>
      <c r="BA309" s="290">
        <v>60</v>
      </c>
      <c r="BB309" s="289">
        <v>0</v>
      </c>
      <c r="BC309" s="289">
        <v>1120</v>
      </c>
      <c r="BD309" s="289">
        <v>84.275400000000005</v>
      </c>
      <c r="BE309" s="289">
        <v>129325.007172</v>
      </c>
      <c r="BF309" s="289">
        <v>0</v>
      </c>
      <c r="BG309" s="289">
        <v>11</v>
      </c>
      <c r="BH309" s="289">
        <v>-33.591299999999997</v>
      </c>
      <c r="BI309" s="289">
        <v>1027</v>
      </c>
      <c r="BJ309" s="289">
        <v>-4.2321999999999997</v>
      </c>
      <c r="BK309" s="289">
        <v>0</v>
      </c>
      <c r="BL309" s="289">
        <v>0</v>
      </c>
      <c r="BM309" s="289">
        <v>0</v>
      </c>
      <c r="BN309" s="289">
        <v>0</v>
      </c>
      <c r="BO309" s="517">
        <v>0</v>
      </c>
      <c r="BP309" s="517">
        <v>0</v>
      </c>
      <c r="BQ309" s="289">
        <f t="shared" si="8"/>
        <v>-4.2322487801999999</v>
      </c>
      <c r="BR309" s="289">
        <v>0</v>
      </c>
      <c r="BS309" s="289">
        <f t="shared" si="9"/>
        <v>0</v>
      </c>
      <c r="BT309" s="289">
        <v>11</v>
      </c>
      <c r="BU309" s="289">
        <v>0</v>
      </c>
      <c r="BV309" s="289">
        <v>47</v>
      </c>
      <c r="BW309" s="289">
        <v>104.788</v>
      </c>
      <c r="BX309" s="289">
        <v>85.022999999999996</v>
      </c>
      <c r="CC309" s="517"/>
      <c r="CD309" s="85"/>
      <c r="CE309" s="517"/>
    </row>
    <row r="310" spans="1:83" ht="13">
      <c r="A310" s="1">
        <v>4612</v>
      </c>
      <c r="B310" s="2" t="s">
        <v>25</v>
      </c>
      <c r="C310" s="289">
        <v>5721</v>
      </c>
      <c r="D310" s="289">
        <v>116</v>
      </c>
      <c r="E310" s="289">
        <v>355</v>
      </c>
      <c r="F310" s="289">
        <v>828</v>
      </c>
      <c r="G310" s="289">
        <v>502</v>
      </c>
      <c r="H310" s="289">
        <v>3096</v>
      </c>
      <c r="I310" s="289">
        <v>564</v>
      </c>
      <c r="J310" s="289">
        <v>169</v>
      </c>
      <c r="K310" s="289">
        <v>39</v>
      </c>
      <c r="L310" s="289">
        <v>44</v>
      </c>
      <c r="M310" s="289">
        <v>275</v>
      </c>
      <c r="N310" s="290">
        <v>64</v>
      </c>
      <c r="O310" s="290">
        <v>71</v>
      </c>
      <c r="P310" s="624">
        <v>43809.460666669998</v>
      </c>
      <c r="Q310" s="624">
        <v>18307.432000000001</v>
      </c>
      <c r="R310" s="624">
        <v>24</v>
      </c>
      <c r="S310" s="289">
        <v>0</v>
      </c>
      <c r="T310" s="289">
        <v>342</v>
      </c>
      <c r="U310" s="716">
        <v>3.2446601361154235E-3</v>
      </c>
      <c r="V310" s="289">
        <v>1910.5677906999999</v>
      </c>
      <c r="W310" s="743">
        <v>0.70960977000000003</v>
      </c>
      <c r="X310" s="289">
        <v>3600</v>
      </c>
      <c r="Y310" s="289">
        <v>392</v>
      </c>
      <c r="Z310" s="289">
        <v>140486</v>
      </c>
      <c r="AA310" s="289">
        <v>0</v>
      </c>
      <c r="AB310" s="290">
        <v>117</v>
      </c>
      <c r="AC310" s="289">
        <v>0</v>
      </c>
      <c r="AD310" s="289">
        <v>0</v>
      </c>
      <c r="AE310" s="289">
        <v>0</v>
      </c>
      <c r="AF310" s="289">
        <v>0</v>
      </c>
      <c r="AG310" s="289">
        <v>5669</v>
      </c>
      <c r="AH310" s="289">
        <v>959</v>
      </c>
      <c r="AI310" s="289">
        <v>100</v>
      </c>
      <c r="AJ310" s="289">
        <v>0</v>
      </c>
      <c r="AK310" s="289">
        <v>31.380299999999998</v>
      </c>
      <c r="AL310" s="289"/>
      <c r="AM310" s="622">
        <v>0.15124673999999999</v>
      </c>
      <c r="AN310" s="289">
        <v>0</v>
      </c>
      <c r="AO310" s="289">
        <v>-301.53799444999999</v>
      </c>
      <c r="AP310" s="289">
        <v>0</v>
      </c>
      <c r="AQ310" s="289">
        <v>0</v>
      </c>
      <c r="AR310" s="289">
        <v>-405.18721909999999</v>
      </c>
      <c r="AS310" s="289">
        <v>61.230200000000004</v>
      </c>
      <c r="AT310" s="289">
        <v>271</v>
      </c>
      <c r="AU310" s="289">
        <v>79</v>
      </c>
      <c r="AV310" s="625">
        <v>163158</v>
      </c>
      <c r="AW310" s="289">
        <v>-2.8786999999999998</v>
      </c>
      <c r="AX310" s="625">
        <v>21.458333329999999</v>
      </c>
      <c r="AY310" s="289">
        <v>985</v>
      </c>
      <c r="AZ310" s="289">
        <v>226</v>
      </c>
      <c r="BA310" s="290">
        <v>128</v>
      </c>
      <c r="BB310" s="289">
        <v>0</v>
      </c>
      <c r="BC310" s="289">
        <v>1440</v>
      </c>
      <c r="BD310" s="289">
        <v>127.2758</v>
      </c>
      <c r="BE310" s="289">
        <v>167015.44005651001</v>
      </c>
      <c r="BF310" s="289">
        <v>0</v>
      </c>
      <c r="BG310" s="289">
        <v>11</v>
      </c>
      <c r="BH310" s="289">
        <v>-46.187100000000001</v>
      </c>
      <c r="BI310" s="289">
        <v>1351</v>
      </c>
      <c r="BJ310" s="289">
        <v>-5.8192000000000004</v>
      </c>
      <c r="BK310" s="289">
        <v>0</v>
      </c>
      <c r="BL310" s="289">
        <v>0</v>
      </c>
      <c r="BM310" s="289">
        <v>0</v>
      </c>
      <c r="BN310" s="289">
        <v>0</v>
      </c>
      <c r="BO310" s="517">
        <v>0</v>
      </c>
      <c r="BP310" s="517">
        <v>0</v>
      </c>
      <c r="BQ310" s="289">
        <f t="shared" si="8"/>
        <v>-5.8192137605999994</v>
      </c>
      <c r="BR310" s="289">
        <v>0</v>
      </c>
      <c r="BS310" s="289">
        <f t="shared" si="9"/>
        <v>0</v>
      </c>
      <c r="BT310" s="289">
        <v>18</v>
      </c>
      <c r="BU310" s="289">
        <v>0</v>
      </c>
      <c r="BV310" s="289">
        <v>60</v>
      </c>
      <c r="BW310" s="289">
        <v>104.788</v>
      </c>
      <c r="BX310" s="289">
        <v>119.568</v>
      </c>
      <c r="CC310" s="517"/>
      <c r="CD310" s="85"/>
      <c r="CE310" s="517"/>
    </row>
    <row r="311" spans="1:83" ht="13">
      <c r="A311" s="1">
        <v>4613</v>
      </c>
      <c r="B311" s="2" t="s">
        <v>26</v>
      </c>
      <c r="C311" s="289">
        <v>11902</v>
      </c>
      <c r="D311" s="289">
        <v>269</v>
      </c>
      <c r="E311" s="289">
        <v>596</v>
      </c>
      <c r="F311" s="289">
        <v>1711</v>
      </c>
      <c r="G311" s="289">
        <v>1190</v>
      </c>
      <c r="H311" s="289">
        <v>6356</v>
      </c>
      <c r="I311" s="289">
        <v>1223</v>
      </c>
      <c r="J311" s="289">
        <v>384</v>
      </c>
      <c r="K311" s="289">
        <v>146</v>
      </c>
      <c r="L311" s="289">
        <v>89</v>
      </c>
      <c r="M311" s="289">
        <v>664</v>
      </c>
      <c r="N311" s="290">
        <v>158</v>
      </c>
      <c r="O311" s="290">
        <v>131</v>
      </c>
      <c r="P311" s="624">
        <v>53251.371666669998</v>
      </c>
      <c r="Q311" s="624">
        <v>29311.399000000001</v>
      </c>
      <c r="R311" s="624">
        <v>52</v>
      </c>
      <c r="S311" s="289">
        <v>0</v>
      </c>
      <c r="T311" s="289">
        <v>720</v>
      </c>
      <c r="U311" s="716">
        <v>2.5664249525167923E-3</v>
      </c>
      <c r="V311" s="289">
        <v>4402.3474266499998</v>
      </c>
      <c r="W311" s="743">
        <v>0.67431045999999994</v>
      </c>
      <c r="X311" s="289">
        <v>8800</v>
      </c>
      <c r="Y311" s="289">
        <v>392</v>
      </c>
      <c r="Z311" s="289">
        <v>295857</v>
      </c>
      <c r="AA311" s="289">
        <v>0</v>
      </c>
      <c r="AB311" s="290">
        <v>197</v>
      </c>
      <c r="AC311" s="289">
        <v>0</v>
      </c>
      <c r="AD311" s="289">
        <v>0</v>
      </c>
      <c r="AE311" s="289">
        <v>0</v>
      </c>
      <c r="AF311" s="289">
        <v>0</v>
      </c>
      <c r="AG311" s="289">
        <v>11875</v>
      </c>
      <c r="AH311" s="289">
        <v>1966</v>
      </c>
      <c r="AI311" s="289">
        <v>300</v>
      </c>
      <c r="AJ311" s="289">
        <v>0</v>
      </c>
      <c r="AK311" s="289">
        <v>57.920999999999999</v>
      </c>
      <c r="AL311" s="289"/>
      <c r="AM311" s="622">
        <v>0.33614907999999999</v>
      </c>
      <c r="AN311" s="289">
        <v>0</v>
      </c>
      <c r="AO311" s="289">
        <v>-612.31307014000004</v>
      </c>
      <c r="AP311" s="289">
        <v>0</v>
      </c>
      <c r="AQ311" s="289">
        <v>0</v>
      </c>
      <c r="AR311" s="289">
        <v>963.79023675999997</v>
      </c>
      <c r="AS311" s="289">
        <v>127.0643</v>
      </c>
      <c r="AT311" s="289">
        <v>521</v>
      </c>
      <c r="AU311" s="289">
        <v>203</v>
      </c>
      <c r="AV311" s="625">
        <v>331051</v>
      </c>
      <c r="AW311" s="289">
        <v>-231.0284</v>
      </c>
      <c r="AX311" s="625">
        <v>107.41666667</v>
      </c>
      <c r="AY311" s="289">
        <v>1980</v>
      </c>
      <c r="AZ311" s="289">
        <v>443</v>
      </c>
      <c r="BA311" s="290">
        <v>235</v>
      </c>
      <c r="BB311" s="289">
        <v>0</v>
      </c>
      <c r="BC311" s="289">
        <v>2531</v>
      </c>
      <c r="BD311" s="289">
        <v>260.92200000000003</v>
      </c>
      <c r="BE311" s="289">
        <v>331167.17651555</v>
      </c>
      <c r="BF311" s="289">
        <v>0</v>
      </c>
      <c r="BG311" s="289">
        <v>11</v>
      </c>
      <c r="BH311" s="289">
        <v>-96.749300000000005</v>
      </c>
      <c r="BI311" s="289">
        <v>2358</v>
      </c>
      <c r="BJ311" s="289">
        <v>-12.1897</v>
      </c>
      <c r="BK311" s="289">
        <v>0</v>
      </c>
      <c r="BL311" s="289">
        <v>0</v>
      </c>
      <c r="BM311" s="289">
        <v>0</v>
      </c>
      <c r="BN311" s="289">
        <v>0</v>
      </c>
      <c r="BO311" s="517">
        <v>0</v>
      </c>
      <c r="BP311" s="517">
        <v>0</v>
      </c>
      <c r="BQ311" s="289">
        <f t="shared" si="8"/>
        <v>-12.189656625</v>
      </c>
      <c r="BR311" s="289">
        <v>0</v>
      </c>
      <c r="BS311" s="289">
        <f t="shared" si="9"/>
        <v>0</v>
      </c>
      <c r="BT311" s="289">
        <v>33</v>
      </c>
      <c r="BU311" s="289">
        <v>0</v>
      </c>
      <c r="BV311" s="289">
        <v>116</v>
      </c>
      <c r="BW311" s="289">
        <v>314.36500000000001</v>
      </c>
      <c r="BX311" s="289">
        <v>247.98400000000001</v>
      </c>
      <c r="CC311" s="517"/>
      <c r="CD311" s="85"/>
      <c r="CE311" s="517"/>
    </row>
    <row r="312" spans="1:83" ht="13">
      <c r="A312" s="1">
        <v>4614</v>
      </c>
      <c r="B312" s="2" t="s">
        <v>27</v>
      </c>
      <c r="C312" s="289">
        <v>18780</v>
      </c>
      <c r="D312" s="289">
        <v>461</v>
      </c>
      <c r="E312" s="289">
        <v>953</v>
      </c>
      <c r="F312" s="289">
        <v>2491</v>
      </c>
      <c r="G312" s="289">
        <v>1915</v>
      </c>
      <c r="H312" s="289">
        <v>10410</v>
      </c>
      <c r="I312" s="289">
        <v>1850</v>
      </c>
      <c r="J312" s="289">
        <v>603</v>
      </c>
      <c r="K312" s="289">
        <v>135</v>
      </c>
      <c r="L312" s="289">
        <v>136</v>
      </c>
      <c r="M312" s="289">
        <v>900</v>
      </c>
      <c r="N312" s="290">
        <v>307</v>
      </c>
      <c r="O312" s="290">
        <v>164</v>
      </c>
      <c r="P312" s="624">
        <v>40412.355666670002</v>
      </c>
      <c r="Q312" s="624">
        <v>23785.858333330001</v>
      </c>
      <c r="R312" s="624">
        <v>76</v>
      </c>
      <c r="S312" s="289">
        <v>0</v>
      </c>
      <c r="T312" s="289">
        <v>1328</v>
      </c>
      <c r="U312" s="716">
        <v>1.4238054109057597E-3</v>
      </c>
      <c r="V312" s="289">
        <v>6494.2293542400002</v>
      </c>
      <c r="W312" s="743">
        <v>0.55454696999999997</v>
      </c>
      <c r="X312" s="289">
        <v>2200</v>
      </c>
      <c r="Y312" s="289">
        <v>392</v>
      </c>
      <c r="Z312" s="289">
        <v>517096</v>
      </c>
      <c r="AA312" s="289">
        <v>0</v>
      </c>
      <c r="AB312" s="290">
        <v>354</v>
      </c>
      <c r="AC312" s="289">
        <v>2125</v>
      </c>
      <c r="AD312" s="289">
        <v>0</v>
      </c>
      <c r="AE312" s="289">
        <v>0</v>
      </c>
      <c r="AF312" s="289">
        <v>0</v>
      </c>
      <c r="AG312" s="289">
        <v>18818</v>
      </c>
      <c r="AH312" s="289">
        <v>3009</v>
      </c>
      <c r="AI312" s="289">
        <v>975</v>
      </c>
      <c r="AJ312" s="289">
        <v>0</v>
      </c>
      <c r="AK312" s="289">
        <v>92.540300000000002</v>
      </c>
      <c r="AL312" s="289"/>
      <c r="AM312" s="622">
        <v>0.83457720000000002</v>
      </c>
      <c r="AN312" s="289">
        <v>0</v>
      </c>
      <c r="AO312" s="289">
        <v>-903.26844492999999</v>
      </c>
      <c r="AP312" s="289">
        <v>0</v>
      </c>
      <c r="AQ312" s="289">
        <v>0</v>
      </c>
      <c r="AR312" s="289">
        <v>-1345.0014268800001</v>
      </c>
      <c r="AS312" s="289">
        <v>238.46420000000001</v>
      </c>
      <c r="AT312" s="289">
        <v>877</v>
      </c>
      <c r="AU312" s="289">
        <v>495</v>
      </c>
      <c r="AV312" s="625">
        <v>433481</v>
      </c>
      <c r="AW312" s="289">
        <v>-9.5556999999999999</v>
      </c>
      <c r="AX312" s="625">
        <v>133.91666666</v>
      </c>
      <c r="AY312" s="289">
        <v>4253</v>
      </c>
      <c r="AZ312" s="289">
        <v>681</v>
      </c>
      <c r="BA312" s="290">
        <v>433</v>
      </c>
      <c r="BB312" s="289">
        <v>0</v>
      </c>
      <c r="BC312" s="289">
        <v>3490</v>
      </c>
      <c r="BD312" s="289">
        <v>399.346</v>
      </c>
      <c r="BE312" s="289">
        <v>443289.36274149001</v>
      </c>
      <c r="BF312" s="289">
        <v>0</v>
      </c>
      <c r="BG312" s="289">
        <v>11</v>
      </c>
      <c r="BH312" s="289">
        <v>-153.316</v>
      </c>
      <c r="BI312" s="289">
        <v>3401</v>
      </c>
      <c r="BJ312" s="289">
        <v>-19.316600000000001</v>
      </c>
      <c r="BK312" s="289">
        <v>0</v>
      </c>
      <c r="BL312" s="289">
        <v>0</v>
      </c>
      <c r="BM312" s="289">
        <v>0</v>
      </c>
      <c r="BN312" s="289">
        <v>0</v>
      </c>
      <c r="BO312" s="517">
        <v>0</v>
      </c>
      <c r="BP312" s="517">
        <v>0</v>
      </c>
      <c r="BQ312" s="289">
        <f t="shared" si="8"/>
        <v>-19.3166280732</v>
      </c>
      <c r="BR312" s="289">
        <v>0</v>
      </c>
      <c r="BS312" s="289">
        <f t="shared" si="9"/>
        <v>0</v>
      </c>
      <c r="BT312" s="289">
        <v>53</v>
      </c>
      <c r="BU312" s="289">
        <v>0</v>
      </c>
      <c r="BV312" s="289">
        <v>170</v>
      </c>
      <c r="BW312" s="289">
        <v>366.76</v>
      </c>
      <c r="BX312" s="289">
        <v>390.755</v>
      </c>
      <c r="CC312" s="517"/>
      <c r="CD312" s="85"/>
      <c r="CE312" s="517"/>
    </row>
    <row r="313" spans="1:83" ht="13">
      <c r="A313" s="1">
        <v>4615</v>
      </c>
      <c r="B313" s="2" t="s">
        <v>28</v>
      </c>
      <c r="C313" s="289">
        <v>3194</v>
      </c>
      <c r="D313" s="289">
        <v>73</v>
      </c>
      <c r="E313" s="289">
        <v>156</v>
      </c>
      <c r="F313" s="289">
        <v>458</v>
      </c>
      <c r="G313" s="289">
        <v>316</v>
      </c>
      <c r="H313" s="289">
        <v>1753</v>
      </c>
      <c r="I313" s="289">
        <v>304</v>
      </c>
      <c r="J313" s="289">
        <v>103</v>
      </c>
      <c r="K313" s="289">
        <v>28</v>
      </c>
      <c r="L313" s="289">
        <v>25</v>
      </c>
      <c r="M313" s="289">
        <v>163</v>
      </c>
      <c r="N313" s="290">
        <v>6</v>
      </c>
      <c r="O313" s="290">
        <v>36</v>
      </c>
      <c r="P313" s="624">
        <v>14555.716</v>
      </c>
      <c r="Q313" s="624">
        <v>9366.14733333</v>
      </c>
      <c r="R313" s="624">
        <v>15</v>
      </c>
      <c r="S313" s="289">
        <v>0</v>
      </c>
      <c r="T313" s="289">
        <v>192</v>
      </c>
      <c r="U313" s="716">
        <v>1.5243460243743827E-3</v>
      </c>
      <c r="V313" s="289">
        <v>1206.9532588</v>
      </c>
      <c r="W313" s="743">
        <v>0.72899714000000004</v>
      </c>
      <c r="X313" s="289">
        <v>3000</v>
      </c>
      <c r="Y313" s="289">
        <v>392</v>
      </c>
      <c r="Z313" s="289">
        <v>81638</v>
      </c>
      <c r="AA313" s="289">
        <v>0</v>
      </c>
      <c r="AB313" s="290">
        <v>55</v>
      </c>
      <c r="AC313" s="289">
        <v>0</v>
      </c>
      <c r="AD313" s="289">
        <v>0</v>
      </c>
      <c r="AE313" s="289">
        <v>1013</v>
      </c>
      <c r="AF313" s="289">
        <v>0</v>
      </c>
      <c r="AG313" s="289">
        <v>3191</v>
      </c>
      <c r="AH313" s="289">
        <v>525</v>
      </c>
      <c r="AI313" s="289">
        <v>200</v>
      </c>
      <c r="AJ313" s="289">
        <v>0</v>
      </c>
      <c r="AK313" s="289">
        <v>14.4793</v>
      </c>
      <c r="AL313" s="289"/>
      <c r="AM313" s="622">
        <v>5.455902E-2</v>
      </c>
      <c r="AN313" s="289">
        <v>0</v>
      </c>
      <c r="AO313" s="289">
        <v>-167.87254247999999</v>
      </c>
      <c r="AP313" s="289">
        <v>0</v>
      </c>
      <c r="AQ313" s="289">
        <v>0</v>
      </c>
      <c r="AR313" s="289">
        <v>3512.28005687</v>
      </c>
      <c r="AS313" s="289">
        <v>29.770499999999998</v>
      </c>
      <c r="AT313" s="289">
        <v>137</v>
      </c>
      <c r="AU313" s="289">
        <v>45</v>
      </c>
      <c r="AV313" s="625">
        <v>99849</v>
      </c>
      <c r="AW313" s="289">
        <v>-62.081000000000003</v>
      </c>
      <c r="AX313" s="625">
        <v>17.541666660000001</v>
      </c>
      <c r="AY313" s="289">
        <v>514</v>
      </c>
      <c r="AZ313" s="289">
        <v>90</v>
      </c>
      <c r="BA313" s="290">
        <v>59</v>
      </c>
      <c r="BB313" s="289">
        <v>2772</v>
      </c>
      <c r="BC313" s="289">
        <v>952</v>
      </c>
      <c r="BD313" s="289">
        <v>69.676500000000004</v>
      </c>
      <c r="BE313" s="289">
        <v>97145.921751250004</v>
      </c>
      <c r="BF313" s="289">
        <v>0</v>
      </c>
      <c r="BG313" s="289">
        <v>11</v>
      </c>
      <c r="BH313" s="289">
        <v>-25.998100000000001</v>
      </c>
      <c r="BI313" s="289">
        <v>917</v>
      </c>
      <c r="BJ313" s="289">
        <v>-3.2755999999999998</v>
      </c>
      <c r="BK313" s="289">
        <v>0</v>
      </c>
      <c r="BL313" s="289">
        <v>0</v>
      </c>
      <c r="BM313" s="289">
        <v>0</v>
      </c>
      <c r="BN313" s="289">
        <v>0</v>
      </c>
      <c r="BO313" s="517">
        <v>0</v>
      </c>
      <c r="BP313" s="517">
        <v>0</v>
      </c>
      <c r="BQ313" s="289">
        <f t="shared" si="8"/>
        <v>-3.2755532033999999</v>
      </c>
      <c r="BR313" s="289">
        <v>0</v>
      </c>
      <c r="BS313" s="289">
        <f t="shared" si="9"/>
        <v>0</v>
      </c>
      <c r="BT313" s="289">
        <v>8</v>
      </c>
      <c r="BU313" s="289">
        <v>0</v>
      </c>
      <c r="BV313" s="289">
        <v>35</v>
      </c>
      <c r="BW313" s="289">
        <v>0</v>
      </c>
      <c r="BX313" s="289">
        <v>66.534999999999997</v>
      </c>
      <c r="CC313" s="517"/>
      <c r="CD313" s="85"/>
      <c r="CE313" s="517"/>
    </row>
    <row r="314" spans="1:83" ht="13">
      <c r="A314" s="1">
        <v>4616</v>
      </c>
      <c r="B314" s="2" t="s">
        <v>29</v>
      </c>
      <c r="C314" s="289">
        <v>2857</v>
      </c>
      <c r="D314" s="289">
        <v>66</v>
      </c>
      <c r="E314" s="289">
        <v>118</v>
      </c>
      <c r="F314" s="289">
        <v>300</v>
      </c>
      <c r="G314" s="289">
        <v>255</v>
      </c>
      <c r="H314" s="289">
        <v>1486</v>
      </c>
      <c r="I314" s="289">
        <v>427</v>
      </c>
      <c r="J314" s="289">
        <v>160</v>
      </c>
      <c r="K314" s="289">
        <v>41</v>
      </c>
      <c r="L314" s="289">
        <v>21</v>
      </c>
      <c r="M314" s="289">
        <v>267</v>
      </c>
      <c r="N314" s="290">
        <v>1.5</v>
      </c>
      <c r="O314" s="290">
        <v>28</v>
      </c>
      <c r="P314" s="624">
        <v>25080.882666670001</v>
      </c>
      <c r="Q314" s="624">
        <v>10600.078</v>
      </c>
      <c r="R314" s="624">
        <v>20</v>
      </c>
      <c r="S314" s="289">
        <v>0</v>
      </c>
      <c r="T314" s="289">
        <v>230</v>
      </c>
      <c r="U314" s="716">
        <v>2.2629459663963689E-3</v>
      </c>
      <c r="V314" s="289">
        <v>1104.1104995799999</v>
      </c>
      <c r="W314" s="743">
        <v>0.95535199999999998</v>
      </c>
      <c r="X314" s="289">
        <v>3700</v>
      </c>
      <c r="Y314" s="289">
        <v>244</v>
      </c>
      <c r="Z314" s="289">
        <v>90837</v>
      </c>
      <c r="AA314" s="289">
        <v>-1955.2763638199999</v>
      </c>
      <c r="AB314" s="290">
        <v>37</v>
      </c>
      <c r="AC314" s="289">
        <v>0</v>
      </c>
      <c r="AD314" s="289">
        <v>0</v>
      </c>
      <c r="AE314" s="289">
        <v>0</v>
      </c>
      <c r="AF314" s="289">
        <v>0</v>
      </c>
      <c r="AG314" s="289">
        <v>2853</v>
      </c>
      <c r="AH314" s="289">
        <v>376</v>
      </c>
      <c r="AI314" s="289">
        <v>0</v>
      </c>
      <c r="AJ314" s="289">
        <v>0</v>
      </c>
      <c r="AK314" s="289">
        <v>11.757199999999999</v>
      </c>
      <c r="AL314" s="289"/>
      <c r="AM314" s="622">
        <v>4.6890170000000002E-2</v>
      </c>
      <c r="AN314" s="289">
        <v>0</v>
      </c>
      <c r="AO314" s="289">
        <v>-165.50210163</v>
      </c>
      <c r="AP314" s="289">
        <v>0</v>
      </c>
      <c r="AQ314" s="289">
        <v>0</v>
      </c>
      <c r="AR314" s="289">
        <v>-203.91588218000001</v>
      </c>
      <c r="AS314" s="289">
        <v>27.8672</v>
      </c>
      <c r="AT314" s="289">
        <v>107</v>
      </c>
      <c r="AU314" s="289">
        <v>37</v>
      </c>
      <c r="AV314" s="625">
        <v>100506</v>
      </c>
      <c r="AW314" s="289">
        <v>-1.4487000000000001</v>
      </c>
      <c r="AX314" s="625">
        <v>22.416666670000001</v>
      </c>
      <c r="AY314" s="289">
        <v>493</v>
      </c>
      <c r="AZ314" s="289">
        <v>96</v>
      </c>
      <c r="BA314" s="290">
        <v>55</v>
      </c>
      <c r="BB314" s="289">
        <v>3881</v>
      </c>
      <c r="BC314" s="289">
        <v>-2199.5911751799999</v>
      </c>
      <c r="BD314" s="289">
        <v>49.901699999999998</v>
      </c>
      <c r="BE314" s="289">
        <v>102086.41340262</v>
      </c>
      <c r="BF314" s="289">
        <v>0</v>
      </c>
      <c r="BG314" s="289">
        <v>13</v>
      </c>
      <c r="BH314" s="289">
        <v>-23.244299999999999</v>
      </c>
      <c r="BI314" s="289">
        <v>-1335.2763638199999</v>
      </c>
      <c r="BJ314" s="289">
        <v>-2.9285999999999999</v>
      </c>
      <c r="BK314" s="289">
        <v>0</v>
      </c>
      <c r="BL314" s="289">
        <v>0</v>
      </c>
      <c r="BM314" s="289">
        <v>0</v>
      </c>
      <c r="BN314" s="289">
        <v>0</v>
      </c>
      <c r="BO314" s="517">
        <v>0</v>
      </c>
      <c r="BP314" s="517">
        <v>0</v>
      </c>
      <c r="BQ314" s="289">
        <f t="shared" si="8"/>
        <v>-2.9285970822</v>
      </c>
      <c r="BR314" s="289">
        <v>0</v>
      </c>
      <c r="BS314" s="289">
        <f t="shared" si="9"/>
        <v>0</v>
      </c>
      <c r="BT314" s="289">
        <v>7</v>
      </c>
      <c r="BU314" s="289">
        <v>0</v>
      </c>
      <c r="BV314" s="289">
        <v>38</v>
      </c>
      <c r="BW314" s="289">
        <v>0</v>
      </c>
      <c r="BX314" s="289">
        <v>59.514000000000003</v>
      </c>
      <c r="CC314" s="517"/>
      <c r="CD314" s="85"/>
      <c r="CE314" s="517"/>
    </row>
    <row r="315" spans="1:83" ht="13">
      <c r="A315" s="1">
        <v>4617</v>
      </c>
      <c r="B315" s="2" t="s">
        <v>30</v>
      </c>
      <c r="C315" s="289">
        <v>13180</v>
      </c>
      <c r="D315" s="289">
        <v>243</v>
      </c>
      <c r="E315" s="289">
        <v>582</v>
      </c>
      <c r="F315" s="289">
        <v>1717</v>
      </c>
      <c r="G315" s="289">
        <v>1284</v>
      </c>
      <c r="H315" s="289">
        <v>6956</v>
      </c>
      <c r="I315" s="289">
        <v>1717</v>
      </c>
      <c r="J315" s="289">
        <v>565</v>
      </c>
      <c r="K315" s="289">
        <v>173</v>
      </c>
      <c r="L315" s="289">
        <v>96</v>
      </c>
      <c r="M315" s="289">
        <v>983</v>
      </c>
      <c r="N315" s="290">
        <v>107</v>
      </c>
      <c r="O315" s="290">
        <v>111</v>
      </c>
      <c r="P315" s="624">
        <v>114313.66899999999</v>
      </c>
      <c r="Q315" s="624">
        <v>28432.411333330001</v>
      </c>
      <c r="R315" s="624">
        <v>61</v>
      </c>
      <c r="S315" s="289">
        <v>0</v>
      </c>
      <c r="T315" s="289">
        <v>974</v>
      </c>
      <c r="U315" s="716">
        <v>5.6405502132759189E-3</v>
      </c>
      <c r="V315" s="289">
        <v>2374.9774292799998</v>
      </c>
      <c r="W315" s="743">
        <v>0.70126933999999996</v>
      </c>
      <c r="X315" s="289">
        <v>0</v>
      </c>
      <c r="Y315" s="289">
        <v>392</v>
      </c>
      <c r="Z315" s="289">
        <v>358088</v>
      </c>
      <c r="AA315" s="289">
        <v>-9619.9516226399992</v>
      </c>
      <c r="AB315" s="290">
        <v>275</v>
      </c>
      <c r="AC315" s="289">
        <v>0</v>
      </c>
      <c r="AD315" s="289">
        <v>0</v>
      </c>
      <c r="AE315" s="289">
        <v>0</v>
      </c>
      <c r="AF315" s="289">
        <v>0</v>
      </c>
      <c r="AG315" s="289">
        <v>13237</v>
      </c>
      <c r="AH315" s="289">
        <v>1987</v>
      </c>
      <c r="AI315" s="289">
        <v>750</v>
      </c>
      <c r="AJ315" s="289">
        <v>0</v>
      </c>
      <c r="AK315" s="289">
        <v>55.677700000000002</v>
      </c>
      <c r="AL315" s="289"/>
      <c r="AM315" s="622">
        <v>0.41179767</v>
      </c>
      <c r="AN315" s="289">
        <v>15594</v>
      </c>
      <c r="AO315" s="289">
        <v>-688.34266588000003</v>
      </c>
      <c r="AP315" s="289">
        <v>0</v>
      </c>
      <c r="AQ315" s="289">
        <v>0</v>
      </c>
      <c r="AR315" s="289">
        <v>-946.10393706000002</v>
      </c>
      <c r="AS315" s="289">
        <v>152.3039</v>
      </c>
      <c r="AT315" s="289">
        <v>656</v>
      </c>
      <c r="AU315" s="289">
        <v>249</v>
      </c>
      <c r="AV315" s="625">
        <v>359212</v>
      </c>
      <c r="AW315" s="289">
        <v>-6.7217000000000002</v>
      </c>
      <c r="AX315" s="625">
        <v>78.375</v>
      </c>
      <c r="AY315" s="289">
        <v>2308</v>
      </c>
      <c r="AZ315" s="289">
        <v>442</v>
      </c>
      <c r="BA315" s="290">
        <v>326</v>
      </c>
      <c r="BB315" s="289">
        <v>0</v>
      </c>
      <c r="BC315" s="289">
        <v>-11338.256758240001</v>
      </c>
      <c r="BD315" s="289">
        <v>263.709</v>
      </c>
      <c r="BE315" s="289">
        <v>368497.46613126999</v>
      </c>
      <c r="BF315" s="289">
        <v>0</v>
      </c>
      <c r="BG315" s="289">
        <v>11</v>
      </c>
      <c r="BH315" s="289">
        <v>-107.8459</v>
      </c>
      <c r="BI315" s="289">
        <v>-7240.9516226400001</v>
      </c>
      <c r="BJ315" s="289">
        <v>-13.5877</v>
      </c>
      <c r="BK315" s="289">
        <v>0</v>
      </c>
      <c r="BL315" s="289">
        <v>0</v>
      </c>
      <c r="BM315" s="289">
        <v>0</v>
      </c>
      <c r="BN315" s="289">
        <v>0</v>
      </c>
      <c r="BO315" s="517">
        <v>0</v>
      </c>
      <c r="BP315" s="517">
        <v>0</v>
      </c>
      <c r="BQ315" s="289">
        <f t="shared" si="8"/>
        <v>-13.587746083800001</v>
      </c>
      <c r="BR315" s="289">
        <v>0</v>
      </c>
      <c r="BS315" s="289">
        <f t="shared" si="9"/>
        <v>0</v>
      </c>
      <c r="BT315" s="289">
        <v>32</v>
      </c>
      <c r="BU315" s="289">
        <v>0</v>
      </c>
      <c r="BV315" s="289">
        <v>137</v>
      </c>
      <c r="BW315" s="289">
        <v>943.096</v>
      </c>
      <c r="BX315" s="289">
        <v>273.90800000000002</v>
      </c>
      <c r="CC315" s="517"/>
      <c r="CD315" s="85"/>
      <c r="CE315" s="517"/>
    </row>
    <row r="316" spans="1:83" ht="13">
      <c r="A316" s="1">
        <v>4619</v>
      </c>
      <c r="B316" s="2" t="s">
        <v>34</v>
      </c>
      <c r="C316" s="289">
        <v>931</v>
      </c>
      <c r="D316" s="289">
        <v>23</v>
      </c>
      <c r="E316" s="289">
        <v>29</v>
      </c>
      <c r="F316" s="289">
        <v>97</v>
      </c>
      <c r="G316" s="289">
        <v>71</v>
      </c>
      <c r="H316" s="289">
        <v>547</v>
      </c>
      <c r="I316" s="289">
        <v>112</v>
      </c>
      <c r="J316" s="289">
        <v>46</v>
      </c>
      <c r="K316" s="289">
        <v>14</v>
      </c>
      <c r="L316" s="289">
        <v>8</v>
      </c>
      <c r="M316" s="289">
        <v>101</v>
      </c>
      <c r="N316" s="290">
        <v>5</v>
      </c>
      <c r="O316" s="290">
        <v>15</v>
      </c>
      <c r="P316" s="624">
        <v>3435.6743333300001</v>
      </c>
      <c r="Q316" s="624">
        <v>2345.36833333</v>
      </c>
      <c r="R316" s="624">
        <v>0</v>
      </c>
      <c r="S316" s="289">
        <v>0</v>
      </c>
      <c r="T316" s="289">
        <v>71</v>
      </c>
      <c r="U316" s="716">
        <v>7.2346830618886767E-4</v>
      </c>
      <c r="V316" s="289">
        <v>414.66589085999999</v>
      </c>
      <c r="W316" s="743">
        <v>1</v>
      </c>
      <c r="X316" s="289">
        <v>0</v>
      </c>
      <c r="Y316" s="289">
        <v>0</v>
      </c>
      <c r="Z316" s="289">
        <v>56711</v>
      </c>
      <c r="AA316" s="289">
        <v>0</v>
      </c>
      <c r="AB316" s="290">
        <v>8</v>
      </c>
      <c r="AC316" s="289">
        <v>0</v>
      </c>
      <c r="AD316" s="289">
        <v>0</v>
      </c>
      <c r="AE316" s="289">
        <v>0</v>
      </c>
      <c r="AF316" s="289">
        <v>0</v>
      </c>
      <c r="AG316" s="289">
        <v>939</v>
      </c>
      <c r="AH316" s="289">
        <v>110</v>
      </c>
      <c r="AI316" s="289">
        <v>0</v>
      </c>
      <c r="AJ316" s="289">
        <v>0</v>
      </c>
      <c r="AK316" s="289">
        <v>3.0013999999999998</v>
      </c>
      <c r="AL316" s="289"/>
      <c r="AM316" s="622">
        <v>8.58247E-3</v>
      </c>
      <c r="AN316" s="289">
        <v>0</v>
      </c>
      <c r="AO316" s="289">
        <v>-57.674990209999997</v>
      </c>
      <c r="AP316" s="289">
        <v>0</v>
      </c>
      <c r="AQ316" s="289">
        <v>0</v>
      </c>
      <c r="AR316" s="289">
        <v>321.79779210999999</v>
      </c>
      <c r="AS316" s="289">
        <v>8.7170000000000005</v>
      </c>
      <c r="AT316" s="289">
        <v>40</v>
      </c>
      <c r="AU316" s="289">
        <v>7</v>
      </c>
      <c r="AV316" s="625">
        <v>35240</v>
      </c>
      <c r="AW316" s="289">
        <v>-18.2683</v>
      </c>
      <c r="AX316" s="625">
        <v>5.0833333300000003</v>
      </c>
      <c r="AY316" s="289">
        <v>186</v>
      </c>
      <c r="AZ316" s="289">
        <v>26</v>
      </c>
      <c r="BA316" s="290">
        <v>21</v>
      </c>
      <c r="BB316" s="289">
        <v>0</v>
      </c>
      <c r="BC316" s="289">
        <v>190</v>
      </c>
      <c r="BD316" s="289">
        <v>14.5989</v>
      </c>
      <c r="BE316" s="289">
        <v>34999.188081120003</v>
      </c>
      <c r="BF316" s="289">
        <v>0</v>
      </c>
      <c r="BG316" s="289">
        <v>0</v>
      </c>
      <c r="BH316" s="289">
        <v>-7.6502999999999997</v>
      </c>
      <c r="BI316" s="289">
        <v>110</v>
      </c>
      <c r="BJ316" s="289">
        <v>-0.96389999999999998</v>
      </c>
      <c r="BK316" s="289">
        <v>0</v>
      </c>
      <c r="BL316" s="289">
        <v>0</v>
      </c>
      <c r="BM316" s="289">
        <v>0</v>
      </c>
      <c r="BN316" s="289">
        <v>0</v>
      </c>
      <c r="BO316" s="517">
        <v>0</v>
      </c>
      <c r="BP316" s="517">
        <v>0</v>
      </c>
      <c r="BQ316" s="289">
        <f t="shared" si="8"/>
        <v>-0.96388105859999995</v>
      </c>
      <c r="BR316" s="289">
        <v>0</v>
      </c>
      <c r="BS316" s="289">
        <f t="shared" si="9"/>
        <v>0</v>
      </c>
      <c r="BT316" s="289">
        <v>2</v>
      </c>
      <c r="BU316" s="289">
        <v>0</v>
      </c>
      <c r="BV316" s="289">
        <v>17</v>
      </c>
      <c r="BW316" s="289">
        <v>52.393999999999998</v>
      </c>
      <c r="BX316" s="289">
        <v>19.256</v>
      </c>
      <c r="CC316" s="517"/>
      <c r="CD316" s="85"/>
      <c r="CE316" s="517"/>
    </row>
    <row r="317" spans="1:83" ht="13">
      <c r="A317" s="1">
        <v>4620</v>
      </c>
      <c r="B317" s="2" t="s">
        <v>35</v>
      </c>
      <c r="C317" s="289">
        <v>1117</v>
      </c>
      <c r="D317" s="289">
        <v>24</v>
      </c>
      <c r="E317" s="289">
        <v>51</v>
      </c>
      <c r="F317" s="289">
        <v>124</v>
      </c>
      <c r="G317" s="289">
        <v>93</v>
      </c>
      <c r="H317" s="289">
        <v>590</v>
      </c>
      <c r="I317" s="289">
        <v>173</v>
      </c>
      <c r="J317" s="289">
        <v>48</v>
      </c>
      <c r="K317" s="289">
        <v>22</v>
      </c>
      <c r="L317" s="289">
        <v>9</v>
      </c>
      <c r="M317" s="289">
        <v>104</v>
      </c>
      <c r="N317" s="290">
        <v>5</v>
      </c>
      <c r="O317" s="290">
        <v>21</v>
      </c>
      <c r="P317" s="624">
        <v>3413.0816666699998</v>
      </c>
      <c r="Q317" s="624">
        <v>4161.2583333299999</v>
      </c>
      <c r="R317" s="624">
        <v>6</v>
      </c>
      <c r="S317" s="289">
        <v>0</v>
      </c>
      <c r="T317" s="289">
        <v>81</v>
      </c>
      <c r="U317" s="716">
        <v>1.3198392285052056E-3</v>
      </c>
      <c r="V317" s="289">
        <v>537.00756257</v>
      </c>
      <c r="W317" s="743">
        <v>1</v>
      </c>
      <c r="X317" s="289">
        <v>0</v>
      </c>
      <c r="Y317" s="289">
        <v>268</v>
      </c>
      <c r="Z317" s="289">
        <v>35225</v>
      </c>
      <c r="AA317" s="289">
        <v>0</v>
      </c>
      <c r="AB317" s="290">
        <v>12</v>
      </c>
      <c r="AC317" s="289">
        <v>0</v>
      </c>
      <c r="AD317" s="289">
        <v>0</v>
      </c>
      <c r="AE317" s="289">
        <v>0</v>
      </c>
      <c r="AF317" s="289">
        <v>0</v>
      </c>
      <c r="AG317" s="289">
        <v>1125</v>
      </c>
      <c r="AH317" s="289">
        <v>150</v>
      </c>
      <c r="AI317" s="289">
        <v>1000</v>
      </c>
      <c r="AJ317" s="289">
        <v>0</v>
      </c>
      <c r="AK317" s="289">
        <v>5.2835000000000001</v>
      </c>
      <c r="AL317" s="289"/>
      <c r="AM317" s="622">
        <v>1.7800730000000001E-2</v>
      </c>
      <c r="AN317" s="289">
        <v>0</v>
      </c>
      <c r="AO317" s="289">
        <v>-74.691231169999995</v>
      </c>
      <c r="AP317" s="289">
        <v>0</v>
      </c>
      <c r="AQ317" s="289">
        <v>0</v>
      </c>
      <c r="AR317" s="289">
        <v>378.36067771</v>
      </c>
      <c r="AS317" s="289">
        <v>10.4817</v>
      </c>
      <c r="AT317" s="289">
        <v>45</v>
      </c>
      <c r="AU317" s="289">
        <v>11</v>
      </c>
      <c r="AV317" s="625">
        <v>53789</v>
      </c>
      <c r="AW317" s="289">
        <v>-21.886900000000001</v>
      </c>
      <c r="AX317" s="625">
        <v>11.95833333</v>
      </c>
      <c r="AY317" s="289">
        <v>240</v>
      </c>
      <c r="AZ317" s="289">
        <v>46</v>
      </c>
      <c r="BA317" s="290">
        <v>20</v>
      </c>
      <c r="BB317" s="289">
        <v>5543</v>
      </c>
      <c r="BC317" s="289">
        <v>465</v>
      </c>
      <c r="BD317" s="289">
        <v>19.907599999999999</v>
      </c>
      <c r="BE317" s="289">
        <v>53550.921969039999</v>
      </c>
      <c r="BF317" s="289">
        <v>0</v>
      </c>
      <c r="BG317" s="289">
        <v>13</v>
      </c>
      <c r="BH317" s="289">
        <v>-9.1656999999999993</v>
      </c>
      <c r="BI317" s="289">
        <v>418</v>
      </c>
      <c r="BJ317" s="289">
        <v>-1.1548</v>
      </c>
      <c r="BK317" s="289">
        <v>0</v>
      </c>
      <c r="BL317" s="289">
        <v>0</v>
      </c>
      <c r="BM317" s="289">
        <v>0</v>
      </c>
      <c r="BN317" s="289">
        <v>0</v>
      </c>
      <c r="BO317" s="517">
        <v>0</v>
      </c>
      <c r="BP317" s="517">
        <v>0</v>
      </c>
      <c r="BQ317" s="289">
        <f t="shared" si="8"/>
        <v>-1.154809575</v>
      </c>
      <c r="BR317" s="289">
        <v>0</v>
      </c>
      <c r="BS317" s="289">
        <f t="shared" si="9"/>
        <v>0</v>
      </c>
      <c r="BT317" s="289">
        <v>3</v>
      </c>
      <c r="BU317" s="289">
        <v>0</v>
      </c>
      <c r="BV317" s="289">
        <v>20</v>
      </c>
      <c r="BW317" s="289">
        <v>314.36500000000001</v>
      </c>
      <c r="BX317" s="289">
        <v>23.140999999999998</v>
      </c>
      <c r="CC317" s="517"/>
      <c r="CD317" s="85"/>
      <c r="CE317" s="517"/>
    </row>
    <row r="318" spans="1:83" ht="13">
      <c r="A318" s="1">
        <v>4622</v>
      </c>
      <c r="B318" s="2" t="s">
        <v>38</v>
      </c>
      <c r="C318" s="289">
        <v>8455</v>
      </c>
      <c r="D318" s="289">
        <v>191</v>
      </c>
      <c r="E318" s="289">
        <v>371</v>
      </c>
      <c r="F318" s="289">
        <v>1080</v>
      </c>
      <c r="G318" s="289">
        <v>753</v>
      </c>
      <c r="H318" s="289">
        <v>4469</v>
      </c>
      <c r="I318" s="289">
        <v>1066</v>
      </c>
      <c r="J318" s="289">
        <v>398</v>
      </c>
      <c r="K318" s="289">
        <v>141</v>
      </c>
      <c r="L318" s="289">
        <v>57</v>
      </c>
      <c r="M318" s="289">
        <v>683</v>
      </c>
      <c r="N318" s="290">
        <v>106</v>
      </c>
      <c r="O318" s="290">
        <v>116</v>
      </c>
      <c r="P318" s="624">
        <v>73483.84366667</v>
      </c>
      <c r="Q318" s="624">
        <v>17908.580666670001</v>
      </c>
      <c r="R318" s="624">
        <v>52</v>
      </c>
      <c r="S318" s="289">
        <v>0</v>
      </c>
      <c r="T318" s="289">
        <v>552</v>
      </c>
      <c r="U318" s="716">
        <v>4.2808115476690896E-3</v>
      </c>
      <c r="V318" s="289">
        <v>908.17767832000004</v>
      </c>
      <c r="W318" s="743">
        <v>0.67976612000000003</v>
      </c>
      <c r="X318" s="289">
        <v>7900</v>
      </c>
      <c r="Y318" s="289">
        <v>392</v>
      </c>
      <c r="Z318" s="289">
        <v>232403</v>
      </c>
      <c r="AA318" s="289">
        <v>0</v>
      </c>
      <c r="AB318" s="290">
        <v>149</v>
      </c>
      <c r="AC318" s="289">
        <v>1302</v>
      </c>
      <c r="AD318" s="289">
        <v>0</v>
      </c>
      <c r="AE318" s="289">
        <v>0</v>
      </c>
      <c r="AF318" s="289">
        <v>0</v>
      </c>
      <c r="AG318" s="289">
        <v>8469</v>
      </c>
      <c r="AH318" s="289">
        <v>1229</v>
      </c>
      <c r="AI318" s="289">
        <v>0</v>
      </c>
      <c r="AJ318" s="289">
        <v>0</v>
      </c>
      <c r="AK318" s="289">
        <v>37.072099999999999</v>
      </c>
      <c r="AL318" s="289"/>
      <c r="AM318" s="622">
        <v>0.14140147</v>
      </c>
      <c r="AN318" s="289">
        <v>6213</v>
      </c>
      <c r="AO318" s="289">
        <v>-460.46115530999998</v>
      </c>
      <c r="AP318" s="289">
        <v>0</v>
      </c>
      <c r="AQ318" s="289">
        <v>0</v>
      </c>
      <c r="AR318" s="289">
        <v>-605.31496887000003</v>
      </c>
      <c r="AS318" s="289">
        <v>86.769599999999997</v>
      </c>
      <c r="AT318" s="289">
        <v>320</v>
      </c>
      <c r="AU318" s="289">
        <v>95</v>
      </c>
      <c r="AV318" s="625">
        <v>261263</v>
      </c>
      <c r="AW318" s="289">
        <v>-4.3005000000000004</v>
      </c>
      <c r="AX318" s="625">
        <v>68.416666669999998</v>
      </c>
      <c r="AY318" s="289">
        <v>1661</v>
      </c>
      <c r="AZ318" s="289">
        <v>330</v>
      </c>
      <c r="BA318" s="290">
        <v>128</v>
      </c>
      <c r="BB318" s="289">
        <v>0</v>
      </c>
      <c r="BC318" s="289">
        <v>1831</v>
      </c>
      <c r="BD318" s="289">
        <v>163.10939999999999</v>
      </c>
      <c r="BE318" s="289">
        <v>266169.41888121999</v>
      </c>
      <c r="BF318" s="289">
        <v>0</v>
      </c>
      <c r="BG318" s="289">
        <v>11</v>
      </c>
      <c r="BH318" s="289">
        <v>-68.999499999999998</v>
      </c>
      <c r="BI318" s="289">
        <v>1621</v>
      </c>
      <c r="BJ318" s="289">
        <v>-8.6934000000000005</v>
      </c>
      <c r="BK318" s="289">
        <v>0</v>
      </c>
      <c r="BL318" s="289">
        <v>0</v>
      </c>
      <c r="BM318" s="289">
        <v>0</v>
      </c>
      <c r="BN318" s="289">
        <v>0</v>
      </c>
      <c r="BO318" s="517">
        <v>0</v>
      </c>
      <c r="BP318" s="517">
        <v>0</v>
      </c>
      <c r="BQ318" s="289">
        <f t="shared" si="8"/>
        <v>-8.6934064806000002</v>
      </c>
      <c r="BR318" s="289">
        <v>0</v>
      </c>
      <c r="BS318" s="289">
        <f t="shared" si="9"/>
        <v>0</v>
      </c>
      <c r="BT318" s="289">
        <v>21</v>
      </c>
      <c r="BU318" s="289">
        <v>0</v>
      </c>
      <c r="BV318" s="289">
        <v>90</v>
      </c>
      <c r="BW318" s="289">
        <v>104.788</v>
      </c>
      <c r="BX318" s="289">
        <v>176.40199999999999</v>
      </c>
      <c r="CC318" s="517"/>
      <c r="CD318" s="85"/>
      <c r="CE318" s="517"/>
    </row>
    <row r="319" spans="1:83" ht="13">
      <c r="A319" s="1">
        <v>4623</v>
      </c>
      <c r="B319" s="2" t="s">
        <v>40</v>
      </c>
      <c r="C319" s="289">
        <v>2463</v>
      </c>
      <c r="D319" s="289">
        <v>56</v>
      </c>
      <c r="E319" s="289">
        <v>121</v>
      </c>
      <c r="F319" s="289">
        <v>286</v>
      </c>
      <c r="G319" s="289">
        <v>200</v>
      </c>
      <c r="H319" s="289">
        <v>1376</v>
      </c>
      <c r="I319" s="289">
        <v>295</v>
      </c>
      <c r="J319" s="289">
        <v>106</v>
      </c>
      <c r="K319" s="289">
        <v>31</v>
      </c>
      <c r="L319" s="289">
        <v>18</v>
      </c>
      <c r="M319" s="289">
        <v>184</v>
      </c>
      <c r="N319" s="290">
        <v>27</v>
      </c>
      <c r="O319" s="290">
        <v>15</v>
      </c>
      <c r="P319" s="624">
        <v>9658.58</v>
      </c>
      <c r="Q319" s="624">
        <v>7109.5503333300003</v>
      </c>
      <c r="R319" s="624">
        <v>14</v>
      </c>
      <c r="S319" s="289">
        <v>0</v>
      </c>
      <c r="T319" s="289">
        <v>168</v>
      </c>
      <c r="U319" s="716">
        <v>9.1860087292091014E-4</v>
      </c>
      <c r="V319" s="289">
        <v>971.04877197999997</v>
      </c>
      <c r="W319" s="743">
        <v>0.77952513999999995</v>
      </c>
      <c r="X319" s="289">
        <v>2400</v>
      </c>
      <c r="Y319" s="289">
        <v>392</v>
      </c>
      <c r="Z319" s="289">
        <v>65455</v>
      </c>
      <c r="AA319" s="289">
        <v>0</v>
      </c>
      <c r="AB319" s="290">
        <v>59</v>
      </c>
      <c r="AC319" s="289">
        <v>0</v>
      </c>
      <c r="AD319" s="289">
        <v>0</v>
      </c>
      <c r="AE319" s="289">
        <v>0</v>
      </c>
      <c r="AF319" s="289">
        <v>0</v>
      </c>
      <c r="AG319" s="289">
        <v>2471</v>
      </c>
      <c r="AH319" s="289">
        <v>354</v>
      </c>
      <c r="AI319" s="289">
        <v>0</v>
      </c>
      <c r="AJ319" s="289">
        <v>0</v>
      </c>
      <c r="AK319" s="289">
        <v>11.5494</v>
      </c>
      <c r="AL319" s="289"/>
      <c r="AM319" s="622">
        <v>3.3127660000000003E-2</v>
      </c>
      <c r="AN319" s="289">
        <v>0</v>
      </c>
      <c r="AO319" s="289">
        <v>-135.06109291000001</v>
      </c>
      <c r="AP319" s="289">
        <v>0</v>
      </c>
      <c r="AQ319" s="289">
        <v>0</v>
      </c>
      <c r="AR319" s="289">
        <v>1018.29445318</v>
      </c>
      <c r="AS319" s="289">
        <v>26.618600000000001</v>
      </c>
      <c r="AT319" s="289">
        <v>93</v>
      </c>
      <c r="AU319" s="289">
        <v>35</v>
      </c>
      <c r="AV319" s="625">
        <v>80680</v>
      </c>
      <c r="AW319" s="289">
        <v>-48.073399999999999</v>
      </c>
      <c r="AX319" s="625">
        <v>17.833333329999999</v>
      </c>
      <c r="AY319" s="289">
        <v>422</v>
      </c>
      <c r="AZ319" s="289">
        <v>63</v>
      </c>
      <c r="BA319" s="290">
        <v>36</v>
      </c>
      <c r="BB319" s="289">
        <v>2772</v>
      </c>
      <c r="BC319" s="289">
        <v>422</v>
      </c>
      <c r="BD319" s="289">
        <v>46.981900000000003</v>
      </c>
      <c r="BE319" s="289">
        <v>80426.055522640003</v>
      </c>
      <c r="BF319" s="289">
        <v>0</v>
      </c>
      <c r="BG319" s="289">
        <v>11</v>
      </c>
      <c r="BH319" s="289">
        <v>-20.132000000000001</v>
      </c>
      <c r="BI319" s="289">
        <v>746</v>
      </c>
      <c r="BJ319" s="289">
        <v>-2.5365000000000002</v>
      </c>
      <c r="BK319" s="289">
        <v>0</v>
      </c>
      <c r="BL319" s="289">
        <v>0</v>
      </c>
      <c r="BM319" s="289">
        <v>0</v>
      </c>
      <c r="BN319" s="289">
        <v>0</v>
      </c>
      <c r="BO319" s="517">
        <v>0</v>
      </c>
      <c r="BP319" s="517">
        <v>0</v>
      </c>
      <c r="BQ319" s="289">
        <f t="shared" si="8"/>
        <v>-2.5364750754000003</v>
      </c>
      <c r="BR319" s="289">
        <v>0</v>
      </c>
      <c r="BS319" s="289">
        <f t="shared" si="9"/>
        <v>0</v>
      </c>
      <c r="BT319" s="289">
        <v>7</v>
      </c>
      <c r="BU319" s="289">
        <v>0</v>
      </c>
      <c r="BV319" s="289">
        <v>30</v>
      </c>
      <c r="BW319" s="289">
        <v>157.18299999999999</v>
      </c>
      <c r="BX319" s="289">
        <v>51.433</v>
      </c>
      <c r="CC319" s="517"/>
      <c r="CD319" s="85"/>
      <c r="CE319" s="517"/>
    </row>
    <row r="320" spans="1:83" ht="13">
      <c r="A320" s="1">
        <v>4625</v>
      </c>
      <c r="B320" s="2" t="s">
        <v>41</v>
      </c>
      <c r="C320" s="289">
        <v>5189</v>
      </c>
      <c r="D320" s="289">
        <v>158</v>
      </c>
      <c r="E320" s="289">
        <v>322</v>
      </c>
      <c r="F320" s="289">
        <v>721</v>
      </c>
      <c r="G320" s="289">
        <v>477</v>
      </c>
      <c r="H320" s="289">
        <v>2782</v>
      </c>
      <c r="I320" s="289">
        <v>525</v>
      </c>
      <c r="J320" s="289">
        <v>163</v>
      </c>
      <c r="K320" s="289">
        <v>59</v>
      </c>
      <c r="L320" s="289">
        <v>36</v>
      </c>
      <c r="M320" s="289">
        <v>303</v>
      </c>
      <c r="N320" s="290">
        <v>12</v>
      </c>
      <c r="O320" s="290">
        <v>53</v>
      </c>
      <c r="P320" s="624">
        <v>42930.099000000002</v>
      </c>
      <c r="Q320" s="624">
        <v>27870.16666667</v>
      </c>
      <c r="R320" s="624">
        <v>33</v>
      </c>
      <c r="S320" s="289">
        <v>0</v>
      </c>
      <c r="T320" s="289">
        <v>251</v>
      </c>
      <c r="U320" s="716">
        <v>1.5322336331157396E-3</v>
      </c>
      <c r="V320" s="289">
        <v>-44.541572610000003</v>
      </c>
      <c r="W320" s="743">
        <v>0.83935232999999998</v>
      </c>
      <c r="X320" s="289">
        <v>1600</v>
      </c>
      <c r="Y320" s="289">
        <v>0</v>
      </c>
      <c r="Z320" s="289">
        <v>202389</v>
      </c>
      <c r="AA320" s="289">
        <v>0</v>
      </c>
      <c r="AB320" s="290">
        <v>74</v>
      </c>
      <c r="AC320" s="289">
        <v>0</v>
      </c>
      <c r="AD320" s="289">
        <v>0</v>
      </c>
      <c r="AE320" s="289">
        <v>432</v>
      </c>
      <c r="AF320" s="289">
        <v>0</v>
      </c>
      <c r="AG320" s="289">
        <v>5207</v>
      </c>
      <c r="AH320" s="289">
        <v>878</v>
      </c>
      <c r="AI320" s="289">
        <v>0</v>
      </c>
      <c r="AJ320" s="289">
        <v>0</v>
      </c>
      <c r="AK320" s="289">
        <v>31.378499999999999</v>
      </c>
      <c r="AL320" s="289"/>
      <c r="AM320" s="622">
        <v>6.6750740000000003E-2</v>
      </c>
      <c r="AN320" s="289">
        <v>0</v>
      </c>
      <c r="AO320" s="289">
        <v>-292.14826176999998</v>
      </c>
      <c r="AP320" s="289">
        <v>0</v>
      </c>
      <c r="AQ320" s="289">
        <v>0</v>
      </c>
      <c r="AR320" s="289">
        <v>-372.16614038</v>
      </c>
      <c r="AS320" s="289">
        <v>41.9925</v>
      </c>
      <c r="AT320" s="289">
        <v>181</v>
      </c>
      <c r="AU320" s="289">
        <v>57</v>
      </c>
      <c r="AV320" s="625">
        <v>159842</v>
      </c>
      <c r="AW320" s="289">
        <v>-2.6440999999999999</v>
      </c>
      <c r="AX320" s="625">
        <v>67.5</v>
      </c>
      <c r="AY320" s="289">
        <v>829</v>
      </c>
      <c r="AZ320" s="289">
        <v>172</v>
      </c>
      <c r="BA320" s="290">
        <v>99</v>
      </c>
      <c r="BB320" s="289">
        <v>0</v>
      </c>
      <c r="BC320" s="289">
        <v>945</v>
      </c>
      <c r="BD320" s="289">
        <v>116.5257</v>
      </c>
      <c r="BE320" s="289">
        <v>165580.24042926001</v>
      </c>
      <c r="BF320" s="289">
        <v>0</v>
      </c>
      <c r="BG320" s="289">
        <v>0</v>
      </c>
      <c r="BH320" s="289">
        <v>-42.423000000000002</v>
      </c>
      <c r="BI320" s="289">
        <v>878</v>
      </c>
      <c r="BJ320" s="289">
        <v>-5.3449999999999998</v>
      </c>
      <c r="BK320" s="289">
        <v>0</v>
      </c>
      <c r="BL320" s="289">
        <v>0</v>
      </c>
      <c r="BM320" s="289">
        <v>0</v>
      </c>
      <c r="BN320" s="289">
        <v>0</v>
      </c>
      <c r="BO320" s="517">
        <v>0</v>
      </c>
      <c r="BP320" s="517">
        <v>0</v>
      </c>
      <c r="BQ320" s="289">
        <f t="shared" si="8"/>
        <v>-5.3449719617999998</v>
      </c>
      <c r="BR320" s="289">
        <v>0</v>
      </c>
      <c r="BS320" s="289">
        <f t="shared" si="9"/>
        <v>0</v>
      </c>
      <c r="BT320" s="289">
        <v>18</v>
      </c>
      <c r="BU320" s="289">
        <v>0</v>
      </c>
      <c r="BV320" s="289">
        <v>59</v>
      </c>
      <c r="BW320" s="289">
        <v>125.746</v>
      </c>
      <c r="BX320" s="289">
        <v>107.914</v>
      </c>
      <c r="CC320" s="517"/>
      <c r="CD320" s="85"/>
      <c r="CE320" s="517"/>
    </row>
    <row r="321" spans="1:83" ht="13">
      <c r="A321" s="1">
        <v>4627</v>
      </c>
      <c r="B321" s="2" t="s">
        <v>44</v>
      </c>
      <c r="C321" s="289">
        <v>29071</v>
      </c>
      <c r="D321" s="289">
        <v>846</v>
      </c>
      <c r="E321" s="289">
        <v>1781</v>
      </c>
      <c r="F321" s="289">
        <v>4315</v>
      </c>
      <c r="G321" s="289">
        <v>2647</v>
      </c>
      <c r="H321" s="289">
        <v>15981</v>
      </c>
      <c r="I321" s="289">
        <v>2633</v>
      </c>
      <c r="J321" s="289">
        <v>691</v>
      </c>
      <c r="K321" s="289">
        <v>156</v>
      </c>
      <c r="L321" s="289">
        <v>214</v>
      </c>
      <c r="M321" s="289">
        <v>1242</v>
      </c>
      <c r="N321" s="290">
        <v>316</v>
      </c>
      <c r="O321" s="290">
        <v>215</v>
      </c>
      <c r="P321" s="624">
        <v>68057.74333333</v>
      </c>
      <c r="Q321" s="624">
        <v>56116.062333330003</v>
      </c>
      <c r="R321" s="624">
        <v>110</v>
      </c>
      <c r="S321" s="289">
        <v>0</v>
      </c>
      <c r="T321" s="289">
        <v>1502</v>
      </c>
      <c r="U321" s="716">
        <v>1.0192246579345003E-3</v>
      </c>
      <c r="V321" s="289">
        <v>6046.8062559999998</v>
      </c>
      <c r="W321" s="743">
        <v>0.57777493000000002</v>
      </c>
      <c r="X321" s="289">
        <v>1900</v>
      </c>
      <c r="Y321" s="289">
        <v>392</v>
      </c>
      <c r="Z321" s="289">
        <v>745203</v>
      </c>
      <c r="AA321" s="289">
        <v>0</v>
      </c>
      <c r="AB321" s="290">
        <v>500</v>
      </c>
      <c r="AC321" s="289">
        <v>0</v>
      </c>
      <c r="AD321" s="289">
        <v>0</v>
      </c>
      <c r="AE321" s="289">
        <v>6042</v>
      </c>
      <c r="AF321" s="289">
        <v>0</v>
      </c>
      <c r="AG321" s="289">
        <v>29050</v>
      </c>
      <c r="AH321" s="289">
        <v>5076</v>
      </c>
      <c r="AI321" s="289">
        <v>4150</v>
      </c>
      <c r="AJ321" s="289">
        <v>0</v>
      </c>
      <c r="AK321" s="289">
        <v>173.81280000000001</v>
      </c>
      <c r="AL321" s="289"/>
      <c r="AM321" s="622">
        <v>0.67599105999999998</v>
      </c>
      <c r="AN321" s="289">
        <v>0</v>
      </c>
      <c r="AO321" s="289">
        <v>-1430.90892725</v>
      </c>
      <c r="AP321" s="289">
        <v>0</v>
      </c>
      <c r="AQ321" s="289">
        <v>0</v>
      </c>
      <c r="AR321" s="289">
        <v>-2076.3254039100002</v>
      </c>
      <c r="AS321" s="289">
        <v>285.36070000000001</v>
      </c>
      <c r="AT321" s="289">
        <v>1355</v>
      </c>
      <c r="AU321" s="289">
        <v>448</v>
      </c>
      <c r="AV321" s="625">
        <v>699562</v>
      </c>
      <c r="AW321" s="289">
        <v>-14.7515</v>
      </c>
      <c r="AX321" s="625">
        <v>333.20833333000002</v>
      </c>
      <c r="AY321" s="289">
        <v>5895</v>
      </c>
      <c r="AZ321" s="289">
        <v>925</v>
      </c>
      <c r="BA321" s="290">
        <v>716</v>
      </c>
      <c r="BB321" s="289">
        <v>0</v>
      </c>
      <c r="BC321" s="289">
        <v>5277</v>
      </c>
      <c r="BD321" s="289">
        <v>673.67240000000004</v>
      </c>
      <c r="BE321" s="289">
        <v>722638.12286869995</v>
      </c>
      <c r="BF321" s="289">
        <v>0</v>
      </c>
      <c r="BG321" s="289">
        <v>11</v>
      </c>
      <c r="BH321" s="289">
        <v>-236.67920000000001</v>
      </c>
      <c r="BI321" s="289">
        <v>5468</v>
      </c>
      <c r="BJ321" s="289">
        <v>-29.819700000000001</v>
      </c>
      <c r="BK321" s="289">
        <v>0</v>
      </c>
      <c r="BL321" s="289">
        <v>0</v>
      </c>
      <c r="BM321" s="289">
        <v>0</v>
      </c>
      <c r="BN321" s="289">
        <v>0</v>
      </c>
      <c r="BO321" s="517">
        <v>0</v>
      </c>
      <c r="BP321" s="517">
        <v>0</v>
      </c>
      <c r="BQ321" s="289">
        <f t="shared" si="8"/>
        <v>-29.819749469999998</v>
      </c>
      <c r="BR321" s="289">
        <v>0</v>
      </c>
      <c r="BS321" s="289">
        <f t="shared" si="9"/>
        <v>0</v>
      </c>
      <c r="BT321" s="289">
        <v>100</v>
      </c>
      <c r="BU321" s="289">
        <v>0</v>
      </c>
      <c r="BV321" s="289">
        <v>258</v>
      </c>
      <c r="BW321" s="289">
        <v>136.22499999999999</v>
      </c>
      <c r="BX321" s="289">
        <v>606.08399999999995</v>
      </c>
      <c r="CC321" s="517"/>
      <c r="CD321" s="85"/>
      <c r="CE321" s="517"/>
    </row>
    <row r="322" spans="1:83" ht="13">
      <c r="A322" s="1">
        <v>4628</v>
      </c>
      <c r="B322" s="2" t="s">
        <v>45</v>
      </c>
      <c r="C322" s="289">
        <v>4127</v>
      </c>
      <c r="D322" s="289">
        <v>101</v>
      </c>
      <c r="E322" s="289">
        <v>182</v>
      </c>
      <c r="F322" s="289">
        <v>491</v>
      </c>
      <c r="G322" s="289">
        <v>359</v>
      </c>
      <c r="H322" s="289">
        <v>2213</v>
      </c>
      <c r="I322" s="289">
        <v>484</v>
      </c>
      <c r="J322" s="289">
        <v>219</v>
      </c>
      <c r="K322" s="289">
        <v>78</v>
      </c>
      <c r="L322" s="289">
        <v>33</v>
      </c>
      <c r="M322" s="289">
        <v>397</v>
      </c>
      <c r="N322" s="290">
        <v>34</v>
      </c>
      <c r="O322" s="290">
        <v>40</v>
      </c>
      <c r="P322" s="624">
        <v>60721.917000000001</v>
      </c>
      <c r="Q322" s="624">
        <v>11219.02266667</v>
      </c>
      <c r="R322" s="624">
        <v>20</v>
      </c>
      <c r="S322" s="289">
        <v>0</v>
      </c>
      <c r="T322" s="289">
        <v>297</v>
      </c>
      <c r="U322" s="716">
        <v>1.3031549505012319E-3</v>
      </c>
      <c r="V322" s="289">
        <v>1605.15537208</v>
      </c>
      <c r="W322" s="743">
        <v>0.83418378000000004</v>
      </c>
      <c r="X322" s="289">
        <v>900</v>
      </c>
      <c r="Y322" s="289">
        <v>392</v>
      </c>
      <c r="Z322" s="289">
        <v>107402</v>
      </c>
      <c r="AA322" s="289">
        <v>0</v>
      </c>
      <c r="AB322" s="290">
        <v>83</v>
      </c>
      <c r="AC322" s="289">
        <v>0</v>
      </c>
      <c r="AD322" s="289">
        <v>0</v>
      </c>
      <c r="AE322" s="289">
        <v>0</v>
      </c>
      <c r="AF322" s="289">
        <v>0</v>
      </c>
      <c r="AG322" s="289">
        <v>4127</v>
      </c>
      <c r="AH322" s="289">
        <v>583</v>
      </c>
      <c r="AI322" s="289">
        <v>2000</v>
      </c>
      <c r="AJ322" s="289">
        <v>0</v>
      </c>
      <c r="AK322" s="289">
        <v>17.517499999999998</v>
      </c>
      <c r="AL322" s="289"/>
      <c r="AM322" s="622">
        <v>8.5822750000000003E-2</v>
      </c>
      <c r="AN322" s="289">
        <v>4548</v>
      </c>
      <c r="AO322" s="289">
        <v>-235.19135929000001</v>
      </c>
      <c r="AP322" s="289">
        <v>0</v>
      </c>
      <c r="AQ322" s="289">
        <v>0</v>
      </c>
      <c r="AR322" s="289">
        <v>-294.97400833</v>
      </c>
      <c r="AS322" s="289">
        <v>44.561100000000003</v>
      </c>
      <c r="AT322" s="289">
        <v>167</v>
      </c>
      <c r="AU322" s="289">
        <v>52</v>
      </c>
      <c r="AV322" s="625">
        <v>138357</v>
      </c>
      <c r="AW322" s="289">
        <v>-2.0956999999999999</v>
      </c>
      <c r="AX322" s="625">
        <v>28.5</v>
      </c>
      <c r="AY322" s="289">
        <v>653</v>
      </c>
      <c r="AZ322" s="289">
        <v>168</v>
      </c>
      <c r="BA322" s="290">
        <v>69</v>
      </c>
      <c r="BB322" s="289">
        <v>0</v>
      </c>
      <c r="BC322" s="289">
        <v>1067</v>
      </c>
      <c r="BD322" s="289">
        <v>77.374099999999999</v>
      </c>
      <c r="BE322" s="289">
        <v>140734.89239620999</v>
      </c>
      <c r="BF322" s="289">
        <v>0</v>
      </c>
      <c r="BG322" s="289">
        <v>11</v>
      </c>
      <c r="BH322" s="289">
        <v>-33.623899999999999</v>
      </c>
      <c r="BI322" s="289">
        <v>975</v>
      </c>
      <c r="BJ322" s="289">
        <v>-4.2363999999999997</v>
      </c>
      <c r="BK322" s="289">
        <v>0</v>
      </c>
      <c r="BL322" s="289">
        <v>0</v>
      </c>
      <c r="BM322" s="289">
        <v>0</v>
      </c>
      <c r="BN322" s="289">
        <v>0</v>
      </c>
      <c r="BO322" s="517">
        <v>0</v>
      </c>
      <c r="BP322" s="517">
        <v>0</v>
      </c>
      <c r="BQ322" s="289">
        <f t="shared" si="8"/>
        <v>-4.2363547698000001</v>
      </c>
      <c r="BR322" s="289">
        <v>0</v>
      </c>
      <c r="BS322" s="289">
        <f t="shared" si="9"/>
        <v>0</v>
      </c>
      <c r="BT322" s="289">
        <v>10</v>
      </c>
      <c r="BU322" s="289">
        <v>0</v>
      </c>
      <c r="BV322" s="289">
        <v>50</v>
      </c>
      <c r="BW322" s="289">
        <v>471.548</v>
      </c>
      <c r="BX322" s="289">
        <v>85.147000000000006</v>
      </c>
      <c r="CC322" s="517"/>
      <c r="CD322" s="85"/>
      <c r="CE322" s="517"/>
    </row>
    <row r="323" spans="1:83" ht="13">
      <c r="A323" s="1">
        <v>4629</v>
      </c>
      <c r="B323" s="2" t="s">
        <v>46</v>
      </c>
      <c r="C323" s="289">
        <v>380</v>
      </c>
      <c r="D323" s="289">
        <v>4</v>
      </c>
      <c r="E323" s="289">
        <v>16</v>
      </c>
      <c r="F323" s="289">
        <v>65</v>
      </c>
      <c r="G323" s="289">
        <v>35</v>
      </c>
      <c r="H323" s="289">
        <v>205</v>
      </c>
      <c r="I323" s="289">
        <v>40</v>
      </c>
      <c r="J323" s="289">
        <v>22</v>
      </c>
      <c r="K323" s="289">
        <v>1</v>
      </c>
      <c r="L323" s="289">
        <v>4</v>
      </c>
      <c r="M323" s="289">
        <v>33</v>
      </c>
      <c r="N323" s="290">
        <v>0</v>
      </c>
      <c r="O323" s="290">
        <v>4</v>
      </c>
      <c r="P323" s="624">
        <v>2118.3466666700001</v>
      </c>
      <c r="Q323" s="624">
        <v>5886.0389999999998</v>
      </c>
      <c r="R323" s="624">
        <v>2</v>
      </c>
      <c r="S323" s="289">
        <v>0</v>
      </c>
      <c r="T323" s="289">
        <v>24</v>
      </c>
      <c r="U323" s="716">
        <v>3.2606266851045767E-4</v>
      </c>
      <c r="V323" s="289">
        <v>268.41105411000001</v>
      </c>
      <c r="W323" s="743">
        <v>1</v>
      </c>
      <c r="X323" s="289">
        <v>0</v>
      </c>
      <c r="Y323" s="289">
        <v>0</v>
      </c>
      <c r="Z323" s="289">
        <v>24427</v>
      </c>
      <c r="AA323" s="289">
        <v>0</v>
      </c>
      <c r="AB323" s="290">
        <v>4</v>
      </c>
      <c r="AC323" s="289">
        <v>0</v>
      </c>
      <c r="AD323" s="289">
        <v>0</v>
      </c>
      <c r="AE323" s="289">
        <v>0</v>
      </c>
      <c r="AF323" s="289">
        <v>0</v>
      </c>
      <c r="AG323" s="289">
        <v>388</v>
      </c>
      <c r="AH323" s="289">
        <v>100</v>
      </c>
      <c r="AI323" s="289">
        <v>0</v>
      </c>
      <c r="AJ323" s="289">
        <v>0</v>
      </c>
      <c r="AK323" s="289">
        <v>1.3993</v>
      </c>
      <c r="AL323" s="289"/>
      <c r="AM323" s="622">
        <v>9.4485599999999999E-3</v>
      </c>
      <c r="AN323" s="289">
        <v>0</v>
      </c>
      <c r="AO323" s="289">
        <v>-37.332718360000001</v>
      </c>
      <c r="AP323" s="289">
        <v>0</v>
      </c>
      <c r="AQ323" s="289">
        <v>0</v>
      </c>
      <c r="AR323" s="289">
        <v>-27.731988179999998</v>
      </c>
      <c r="AS323" s="289">
        <v>3.4601999999999999</v>
      </c>
      <c r="AT323" s="289">
        <v>22</v>
      </c>
      <c r="AU323" s="289">
        <v>7</v>
      </c>
      <c r="AV323" s="625">
        <v>27698</v>
      </c>
      <c r="AW323" s="289">
        <v>-0.19700000000000001</v>
      </c>
      <c r="AX323" s="625">
        <v>-0.16666666999999999</v>
      </c>
      <c r="AY323" s="289">
        <v>71</v>
      </c>
      <c r="AZ323" s="289">
        <v>9</v>
      </c>
      <c r="BA323" s="290">
        <v>16</v>
      </c>
      <c r="BB323" s="289">
        <v>0</v>
      </c>
      <c r="BC323" s="289">
        <v>170</v>
      </c>
      <c r="BD323" s="289">
        <v>13.271699999999999</v>
      </c>
      <c r="BE323" s="289">
        <v>28495.49708497</v>
      </c>
      <c r="BF323" s="289">
        <v>0</v>
      </c>
      <c r="BG323" s="289">
        <v>0</v>
      </c>
      <c r="BH323" s="289">
        <v>-3.1612</v>
      </c>
      <c r="BI323" s="289">
        <v>100</v>
      </c>
      <c r="BJ323" s="289">
        <v>-0.39829999999999999</v>
      </c>
      <c r="BK323" s="289">
        <v>0</v>
      </c>
      <c r="BL323" s="289">
        <v>0</v>
      </c>
      <c r="BM323" s="289">
        <v>0</v>
      </c>
      <c r="BN323" s="289">
        <v>0</v>
      </c>
      <c r="BO323" s="517">
        <v>0</v>
      </c>
      <c r="BP323" s="517">
        <v>0</v>
      </c>
      <c r="BQ323" s="289">
        <f t="shared" si="8"/>
        <v>-0.39828099119999999</v>
      </c>
      <c r="BR323" s="289">
        <v>0</v>
      </c>
      <c r="BS323" s="289">
        <f t="shared" si="9"/>
        <v>0</v>
      </c>
      <c r="BT323" s="289">
        <v>1</v>
      </c>
      <c r="BU323" s="289">
        <v>0</v>
      </c>
      <c r="BV323" s="289">
        <v>13</v>
      </c>
      <c r="BW323" s="289">
        <v>0</v>
      </c>
      <c r="BX323" s="289">
        <v>7.9349999999999996</v>
      </c>
      <c r="CC323" s="517"/>
      <c r="CD323" s="85"/>
      <c r="CE323" s="517"/>
    </row>
    <row r="324" spans="1:83" ht="13">
      <c r="A324" s="1">
        <v>4630</v>
      </c>
      <c r="B324" s="2" t="s">
        <v>47</v>
      </c>
      <c r="C324" s="289">
        <v>8125</v>
      </c>
      <c r="D324" s="289">
        <v>213</v>
      </c>
      <c r="E324" s="289">
        <v>426</v>
      </c>
      <c r="F324" s="289">
        <v>1025</v>
      </c>
      <c r="G324" s="289">
        <v>774</v>
      </c>
      <c r="H324" s="289">
        <v>4385</v>
      </c>
      <c r="I324" s="289">
        <v>875</v>
      </c>
      <c r="J324" s="289">
        <v>292</v>
      </c>
      <c r="K324" s="289">
        <v>94</v>
      </c>
      <c r="L324" s="289">
        <v>57</v>
      </c>
      <c r="M324" s="289">
        <v>467</v>
      </c>
      <c r="N324" s="290">
        <v>29</v>
      </c>
      <c r="O324" s="290">
        <v>79</v>
      </c>
      <c r="P324" s="624">
        <v>61307.18466667</v>
      </c>
      <c r="Q324" s="624">
        <v>23210.834999999999</v>
      </c>
      <c r="R324" s="624">
        <v>27</v>
      </c>
      <c r="S324" s="289">
        <v>0</v>
      </c>
      <c r="T324" s="289">
        <v>478</v>
      </c>
      <c r="U324" s="716">
        <v>2.981848060048471E-3</v>
      </c>
      <c r="V324" s="289">
        <v>-15226.99806451</v>
      </c>
      <c r="W324" s="743">
        <v>0.68708733</v>
      </c>
      <c r="X324" s="289">
        <v>4200</v>
      </c>
      <c r="Y324" s="289">
        <v>392</v>
      </c>
      <c r="Z324" s="289">
        <v>194818</v>
      </c>
      <c r="AA324" s="289">
        <v>0</v>
      </c>
      <c r="AB324" s="290">
        <v>121</v>
      </c>
      <c r="AC324" s="289">
        <v>0</v>
      </c>
      <c r="AD324" s="289">
        <v>0</v>
      </c>
      <c r="AE324" s="289">
        <v>0</v>
      </c>
      <c r="AF324" s="289">
        <v>0</v>
      </c>
      <c r="AG324" s="289">
        <v>8084</v>
      </c>
      <c r="AH324" s="289">
        <v>1268</v>
      </c>
      <c r="AI324" s="289">
        <v>950</v>
      </c>
      <c r="AJ324" s="289">
        <v>0</v>
      </c>
      <c r="AK324" s="289">
        <v>39.441600000000001</v>
      </c>
      <c r="AL324" s="289"/>
      <c r="AM324" s="622">
        <v>0.16742761</v>
      </c>
      <c r="AN324" s="289">
        <v>0</v>
      </c>
      <c r="AO324" s="289">
        <v>-405.24664989000001</v>
      </c>
      <c r="AP324" s="289">
        <v>0</v>
      </c>
      <c r="AQ324" s="289">
        <v>0</v>
      </c>
      <c r="AR324" s="289">
        <v>5675.7208467999999</v>
      </c>
      <c r="AS324" s="289">
        <v>75.532899999999998</v>
      </c>
      <c r="AT324" s="289">
        <v>370</v>
      </c>
      <c r="AU324" s="289">
        <v>103</v>
      </c>
      <c r="AV324" s="625">
        <v>197659</v>
      </c>
      <c r="AW324" s="289">
        <v>-157.27440000000001</v>
      </c>
      <c r="AX324" s="625">
        <v>53.666666669999998</v>
      </c>
      <c r="AY324" s="289">
        <v>1187</v>
      </c>
      <c r="AZ324" s="289">
        <v>283</v>
      </c>
      <c r="BA324" s="290">
        <v>158</v>
      </c>
      <c r="BB324" s="289">
        <v>0</v>
      </c>
      <c r="BC324" s="289">
        <v>1353</v>
      </c>
      <c r="BD324" s="289">
        <v>168.28540000000001</v>
      </c>
      <c r="BE324" s="289">
        <v>193567.51857360001</v>
      </c>
      <c r="BF324" s="289">
        <v>0</v>
      </c>
      <c r="BG324" s="289">
        <v>11</v>
      </c>
      <c r="BH324" s="289">
        <v>-65.862799999999993</v>
      </c>
      <c r="BI324" s="289">
        <v>1660</v>
      </c>
      <c r="BJ324" s="289">
        <v>-8.2981999999999996</v>
      </c>
      <c r="BK324" s="289">
        <v>0</v>
      </c>
      <c r="BL324" s="289">
        <v>0</v>
      </c>
      <c r="BM324" s="289">
        <v>0</v>
      </c>
      <c r="BN324" s="289">
        <v>0</v>
      </c>
      <c r="BO324" s="517">
        <v>0</v>
      </c>
      <c r="BP324" s="517">
        <v>0</v>
      </c>
      <c r="BQ324" s="289">
        <f t="shared" ref="BQ324:BQ387" si="10">-1.0264974*AG324/1000</f>
        <v>-8.2982049815999996</v>
      </c>
      <c r="BR324" s="289">
        <v>0</v>
      </c>
      <c r="BS324" s="289">
        <f t="shared" ref="BS324:BS387" si="11">+BR324-AD324</f>
        <v>0</v>
      </c>
      <c r="BT324" s="289">
        <v>23</v>
      </c>
      <c r="BU324" s="289">
        <v>0</v>
      </c>
      <c r="BV324" s="289">
        <v>84</v>
      </c>
      <c r="BW324" s="289">
        <v>0</v>
      </c>
      <c r="BX324" s="289">
        <v>168.82</v>
      </c>
      <c r="CC324" s="517"/>
      <c r="CD324" s="85"/>
      <c r="CE324" s="517"/>
    </row>
    <row r="325" spans="1:83" ht="13">
      <c r="A325" s="1">
        <v>4632</v>
      </c>
      <c r="B325" s="2" t="s">
        <v>55</v>
      </c>
      <c r="C325" s="289">
        <v>2902</v>
      </c>
      <c r="D325" s="289">
        <v>62</v>
      </c>
      <c r="E325" s="289">
        <v>137</v>
      </c>
      <c r="F325" s="289">
        <v>348</v>
      </c>
      <c r="G325" s="289">
        <v>264</v>
      </c>
      <c r="H325" s="289">
        <v>1568</v>
      </c>
      <c r="I325" s="289">
        <v>411</v>
      </c>
      <c r="J325" s="289">
        <v>101</v>
      </c>
      <c r="K325" s="289">
        <v>23</v>
      </c>
      <c r="L325" s="289">
        <v>24</v>
      </c>
      <c r="M325" s="289">
        <v>205</v>
      </c>
      <c r="N325" s="290">
        <v>12</v>
      </c>
      <c r="O325" s="290">
        <v>39</v>
      </c>
      <c r="P325" s="624">
        <v>15108.07566667</v>
      </c>
      <c r="Q325" s="624">
        <v>6104.2753333299997</v>
      </c>
      <c r="R325" s="624">
        <v>18</v>
      </c>
      <c r="S325" s="289">
        <v>0</v>
      </c>
      <c r="T325" s="289">
        <v>210</v>
      </c>
      <c r="U325" s="716">
        <v>8.8666388214399575E-4</v>
      </c>
      <c r="V325" s="289">
        <v>1117.328857</v>
      </c>
      <c r="W325" s="743">
        <v>0.71053898000000004</v>
      </c>
      <c r="X325" s="289">
        <v>2000</v>
      </c>
      <c r="Y325" s="289">
        <v>392</v>
      </c>
      <c r="Z325" s="289">
        <v>87553</v>
      </c>
      <c r="AA325" s="289">
        <v>0</v>
      </c>
      <c r="AB325" s="290">
        <v>40</v>
      </c>
      <c r="AC325" s="289">
        <v>0</v>
      </c>
      <c r="AD325" s="289">
        <v>0</v>
      </c>
      <c r="AE325" s="289">
        <v>0</v>
      </c>
      <c r="AF325" s="289">
        <v>0</v>
      </c>
      <c r="AG325" s="289">
        <v>2914</v>
      </c>
      <c r="AH325" s="289">
        <v>425</v>
      </c>
      <c r="AI325" s="289">
        <v>2000</v>
      </c>
      <c r="AJ325" s="289">
        <v>0</v>
      </c>
      <c r="AK325" s="289">
        <v>13.0794</v>
      </c>
      <c r="AL325" s="289"/>
      <c r="AM325" s="622">
        <v>0.12178339000000001</v>
      </c>
      <c r="AN325" s="289">
        <v>0</v>
      </c>
      <c r="AO325" s="289">
        <v>-155.40687649</v>
      </c>
      <c r="AP325" s="289">
        <v>0</v>
      </c>
      <c r="AQ325" s="289">
        <v>0</v>
      </c>
      <c r="AR325" s="289">
        <v>-208.27580816</v>
      </c>
      <c r="AS325" s="289">
        <v>32.414400000000001</v>
      </c>
      <c r="AT325" s="289">
        <v>133</v>
      </c>
      <c r="AU325" s="289">
        <v>68</v>
      </c>
      <c r="AV325" s="625">
        <v>85463</v>
      </c>
      <c r="AW325" s="289">
        <v>-1.4797</v>
      </c>
      <c r="AX325" s="625">
        <v>22.791666670000001</v>
      </c>
      <c r="AY325" s="289">
        <v>402</v>
      </c>
      <c r="AZ325" s="289">
        <v>112</v>
      </c>
      <c r="BA325" s="290">
        <v>67</v>
      </c>
      <c r="BB325" s="289">
        <v>2772</v>
      </c>
      <c r="BC325" s="289">
        <v>887</v>
      </c>
      <c r="BD325" s="289">
        <v>56.404800000000002</v>
      </c>
      <c r="BE325" s="289">
        <v>89449.970621400003</v>
      </c>
      <c r="BF325" s="289">
        <v>0</v>
      </c>
      <c r="BG325" s="289">
        <v>11</v>
      </c>
      <c r="BH325" s="289">
        <v>-23.741299999999999</v>
      </c>
      <c r="BI325" s="289">
        <v>817</v>
      </c>
      <c r="BJ325" s="289">
        <v>-2.9912000000000001</v>
      </c>
      <c r="BK325" s="289">
        <v>0</v>
      </c>
      <c r="BL325" s="289">
        <v>0</v>
      </c>
      <c r="BM325" s="289">
        <v>0</v>
      </c>
      <c r="BN325" s="289">
        <v>0</v>
      </c>
      <c r="BO325" s="517">
        <v>0</v>
      </c>
      <c r="BP325" s="517">
        <v>0</v>
      </c>
      <c r="BQ325" s="289">
        <f t="shared" si="10"/>
        <v>-2.9912134236000001</v>
      </c>
      <c r="BR325" s="289">
        <v>0</v>
      </c>
      <c r="BS325" s="289">
        <f t="shared" si="11"/>
        <v>0</v>
      </c>
      <c r="BT325" s="289">
        <v>7</v>
      </c>
      <c r="BU325" s="289">
        <v>0</v>
      </c>
      <c r="BV325" s="289">
        <v>34</v>
      </c>
      <c r="BW325" s="289">
        <v>419.154</v>
      </c>
      <c r="BX325" s="289">
        <v>60.594000000000001</v>
      </c>
      <c r="CC325" s="517"/>
      <c r="CD325" s="85"/>
      <c r="CE325" s="517"/>
    </row>
    <row r="326" spans="1:83" ht="13">
      <c r="A326" s="1">
        <v>4633</v>
      </c>
      <c r="B326" s="2" t="s">
        <v>56</v>
      </c>
      <c r="C326" s="289">
        <v>561</v>
      </c>
      <c r="D326" s="289">
        <v>6</v>
      </c>
      <c r="E326" s="289">
        <v>21</v>
      </c>
      <c r="F326" s="289">
        <v>79</v>
      </c>
      <c r="G326" s="289">
        <v>60</v>
      </c>
      <c r="H326" s="289">
        <v>283</v>
      </c>
      <c r="I326" s="289">
        <v>71</v>
      </c>
      <c r="J326" s="289">
        <v>39</v>
      </c>
      <c r="K326" s="289">
        <v>14</v>
      </c>
      <c r="L326" s="289">
        <v>5</v>
      </c>
      <c r="M326" s="289">
        <v>51</v>
      </c>
      <c r="N326" s="290">
        <v>0</v>
      </c>
      <c r="O326" s="290">
        <v>17</v>
      </c>
      <c r="P326" s="624">
        <v>519.66333333</v>
      </c>
      <c r="Q326" s="624">
        <v>682.35799999999995</v>
      </c>
      <c r="R326" s="624">
        <v>3</v>
      </c>
      <c r="S326" s="289">
        <v>0</v>
      </c>
      <c r="T326" s="289">
        <v>40</v>
      </c>
      <c r="U326" s="716">
        <v>7.4187985222589966E-5</v>
      </c>
      <c r="V326" s="289">
        <v>338.26814278000001</v>
      </c>
      <c r="W326" s="743">
        <v>1</v>
      </c>
      <c r="X326" s="289">
        <v>1400</v>
      </c>
      <c r="Y326" s="289">
        <v>0</v>
      </c>
      <c r="Z326" s="289">
        <v>14691</v>
      </c>
      <c r="AA326" s="289">
        <v>0</v>
      </c>
      <c r="AB326" s="290">
        <v>4</v>
      </c>
      <c r="AC326" s="289">
        <v>0</v>
      </c>
      <c r="AD326" s="289">
        <v>0</v>
      </c>
      <c r="AE326" s="289">
        <v>41</v>
      </c>
      <c r="AF326" s="289">
        <v>0</v>
      </c>
      <c r="AG326" s="289">
        <v>573</v>
      </c>
      <c r="AH326" s="289">
        <v>100</v>
      </c>
      <c r="AI326" s="289">
        <v>0</v>
      </c>
      <c r="AJ326" s="289">
        <v>0</v>
      </c>
      <c r="AK326" s="289">
        <v>1.9075</v>
      </c>
      <c r="AL326" s="289"/>
      <c r="AM326" s="622">
        <v>1.5195800000000001E-2</v>
      </c>
      <c r="AN326" s="289">
        <v>0</v>
      </c>
      <c r="AO326" s="289">
        <v>-47.048991129999997</v>
      </c>
      <c r="AP326" s="289">
        <v>0</v>
      </c>
      <c r="AQ326" s="289">
        <v>0</v>
      </c>
      <c r="AR326" s="289">
        <v>-40.954714510000002</v>
      </c>
      <c r="AS326" s="289">
        <v>5.2069000000000001</v>
      </c>
      <c r="AT326" s="289">
        <v>28</v>
      </c>
      <c r="AU326" s="289">
        <v>11</v>
      </c>
      <c r="AV326" s="625">
        <v>38986</v>
      </c>
      <c r="AW326" s="289">
        <v>-0.29099999999999998</v>
      </c>
      <c r="AX326" s="625">
        <v>0.66666667000000002</v>
      </c>
      <c r="AY326" s="289">
        <v>100</v>
      </c>
      <c r="AZ326" s="289">
        <v>17</v>
      </c>
      <c r="BA326" s="290">
        <v>21</v>
      </c>
      <c r="BB326" s="289">
        <v>5543</v>
      </c>
      <c r="BC326" s="289">
        <v>170</v>
      </c>
      <c r="BD326" s="289">
        <v>13.271699999999999</v>
      </c>
      <c r="BE326" s="289">
        <v>40648.252284499998</v>
      </c>
      <c r="BF326" s="289">
        <v>0</v>
      </c>
      <c r="BG326" s="289">
        <v>0</v>
      </c>
      <c r="BH326" s="289">
        <v>-4.6684000000000001</v>
      </c>
      <c r="BI326" s="289">
        <v>100</v>
      </c>
      <c r="BJ326" s="289">
        <v>-0.58819999999999995</v>
      </c>
      <c r="BK326" s="289">
        <v>0</v>
      </c>
      <c r="BL326" s="289">
        <v>0</v>
      </c>
      <c r="BM326" s="289">
        <v>0</v>
      </c>
      <c r="BN326" s="289">
        <v>0</v>
      </c>
      <c r="BO326" s="517">
        <v>0</v>
      </c>
      <c r="BP326" s="517">
        <v>0</v>
      </c>
      <c r="BQ326" s="289">
        <f t="shared" si="10"/>
        <v>-0.58818301019999997</v>
      </c>
      <c r="BR326" s="289">
        <v>0</v>
      </c>
      <c r="BS326" s="289">
        <f t="shared" si="11"/>
        <v>0</v>
      </c>
      <c r="BT326" s="289">
        <v>1</v>
      </c>
      <c r="BU326" s="289">
        <v>0</v>
      </c>
      <c r="BV326" s="289">
        <v>14</v>
      </c>
      <c r="BW326" s="289">
        <v>0</v>
      </c>
      <c r="BX326" s="289">
        <v>11.737</v>
      </c>
      <c r="CC326" s="517"/>
      <c r="CD326" s="85"/>
      <c r="CE326" s="517"/>
    </row>
    <row r="327" spans="1:83" ht="13">
      <c r="A327" s="1">
        <v>4634</v>
      </c>
      <c r="B327" s="2" t="s">
        <v>57</v>
      </c>
      <c r="C327" s="289">
        <v>1730</v>
      </c>
      <c r="D327" s="289">
        <v>32</v>
      </c>
      <c r="E327" s="289">
        <v>90</v>
      </c>
      <c r="F327" s="289">
        <v>213</v>
      </c>
      <c r="G327" s="289">
        <v>160</v>
      </c>
      <c r="H327" s="289">
        <v>877</v>
      </c>
      <c r="I327" s="289">
        <v>227</v>
      </c>
      <c r="J327" s="289">
        <v>103</v>
      </c>
      <c r="K327" s="289">
        <v>26</v>
      </c>
      <c r="L327" s="289">
        <v>12</v>
      </c>
      <c r="M327" s="289">
        <v>151</v>
      </c>
      <c r="N327" s="290">
        <v>1.5</v>
      </c>
      <c r="O327" s="290">
        <v>19</v>
      </c>
      <c r="P327" s="624">
        <v>29437.347333329999</v>
      </c>
      <c r="Q327" s="624">
        <v>13379.822333329999</v>
      </c>
      <c r="R327" s="624">
        <v>9</v>
      </c>
      <c r="S327" s="289">
        <v>0</v>
      </c>
      <c r="T327" s="289">
        <v>94</v>
      </c>
      <c r="U327" s="716">
        <v>1.5943633334258233E-3</v>
      </c>
      <c r="V327" s="289">
        <v>723.52667130999998</v>
      </c>
      <c r="W327" s="743">
        <v>1</v>
      </c>
      <c r="X327" s="289">
        <v>0</v>
      </c>
      <c r="Y327" s="289">
        <v>244</v>
      </c>
      <c r="Z327" s="289">
        <v>55228</v>
      </c>
      <c r="AA327" s="289">
        <v>0</v>
      </c>
      <c r="AB327" s="290">
        <v>18</v>
      </c>
      <c r="AC327" s="289">
        <v>0</v>
      </c>
      <c r="AD327" s="289">
        <v>0</v>
      </c>
      <c r="AE327" s="289">
        <v>0</v>
      </c>
      <c r="AF327" s="289">
        <v>0</v>
      </c>
      <c r="AG327" s="289">
        <v>1728</v>
      </c>
      <c r="AH327" s="289">
        <v>249</v>
      </c>
      <c r="AI327" s="289">
        <v>600</v>
      </c>
      <c r="AJ327" s="289">
        <v>0</v>
      </c>
      <c r="AK327" s="289">
        <v>8.2744</v>
      </c>
      <c r="AL327" s="289"/>
      <c r="AM327" s="622">
        <v>9.6275800000000002E-3</v>
      </c>
      <c r="AN327" s="289">
        <v>0</v>
      </c>
      <c r="AO327" s="289">
        <v>-112.56751247</v>
      </c>
      <c r="AP327" s="289">
        <v>0</v>
      </c>
      <c r="AQ327" s="289">
        <v>0</v>
      </c>
      <c r="AR327" s="289">
        <v>-123.50741128999999</v>
      </c>
      <c r="AS327" s="289">
        <v>12.8453</v>
      </c>
      <c r="AT327" s="289">
        <v>69</v>
      </c>
      <c r="AU327" s="289">
        <v>12</v>
      </c>
      <c r="AV327" s="625">
        <v>73727</v>
      </c>
      <c r="AW327" s="289">
        <v>-0.87749999999999995</v>
      </c>
      <c r="AX327" s="625">
        <v>10.75</v>
      </c>
      <c r="AY327" s="289">
        <v>241</v>
      </c>
      <c r="AZ327" s="289">
        <v>34</v>
      </c>
      <c r="BA327" s="290">
        <v>39</v>
      </c>
      <c r="BB327" s="289">
        <v>3326</v>
      </c>
      <c r="BC327" s="289">
        <v>644</v>
      </c>
      <c r="BD327" s="289">
        <v>33.046599999999998</v>
      </c>
      <c r="BE327" s="289">
        <v>74596.691069840002</v>
      </c>
      <c r="BF327" s="289">
        <v>0</v>
      </c>
      <c r="BG327" s="289">
        <v>13</v>
      </c>
      <c r="BH327" s="289">
        <v>-14.0785</v>
      </c>
      <c r="BI327" s="289">
        <v>493</v>
      </c>
      <c r="BJ327" s="289">
        <v>-1.7738</v>
      </c>
      <c r="BK327" s="289">
        <v>0</v>
      </c>
      <c r="BL327" s="289">
        <v>0</v>
      </c>
      <c r="BM327" s="289">
        <v>0</v>
      </c>
      <c r="BN327" s="289">
        <v>0</v>
      </c>
      <c r="BO327" s="517">
        <v>0</v>
      </c>
      <c r="BP327" s="517">
        <v>0</v>
      </c>
      <c r="BQ327" s="289">
        <f t="shared" si="10"/>
        <v>-1.7737875072</v>
      </c>
      <c r="BR327" s="289">
        <v>0</v>
      </c>
      <c r="BS327" s="289">
        <f t="shared" si="11"/>
        <v>0</v>
      </c>
      <c r="BT327" s="289">
        <v>5</v>
      </c>
      <c r="BU327" s="289">
        <v>0</v>
      </c>
      <c r="BV327" s="289">
        <v>28</v>
      </c>
      <c r="BW327" s="289">
        <v>0</v>
      </c>
      <c r="BX327" s="289">
        <v>36.186</v>
      </c>
      <c r="CC327" s="517"/>
      <c r="CD327" s="85"/>
      <c r="CE327" s="517"/>
    </row>
    <row r="328" spans="1:83" ht="13">
      <c r="A328" s="1">
        <v>4635</v>
      </c>
      <c r="B328" s="2" t="s">
        <v>59</v>
      </c>
      <c r="C328" s="289">
        <v>2345</v>
      </c>
      <c r="D328" s="289">
        <v>40</v>
      </c>
      <c r="E328" s="289">
        <v>100</v>
      </c>
      <c r="F328" s="289">
        <v>277</v>
      </c>
      <c r="G328" s="289">
        <v>229</v>
      </c>
      <c r="H328" s="289">
        <v>1233</v>
      </c>
      <c r="I328" s="289">
        <v>318</v>
      </c>
      <c r="J328" s="289">
        <v>118</v>
      </c>
      <c r="K328" s="289">
        <v>39</v>
      </c>
      <c r="L328" s="289">
        <v>16</v>
      </c>
      <c r="M328" s="289">
        <v>211</v>
      </c>
      <c r="N328" s="290">
        <v>3</v>
      </c>
      <c r="O328" s="290">
        <v>37</v>
      </c>
      <c r="P328" s="624">
        <v>73445.222666670001</v>
      </c>
      <c r="Q328" s="624">
        <v>22177.49633333</v>
      </c>
      <c r="R328" s="624">
        <v>11</v>
      </c>
      <c r="S328" s="289">
        <v>0</v>
      </c>
      <c r="T328" s="289">
        <v>158</v>
      </c>
      <c r="U328" s="716">
        <v>2.4092477480468868E-3</v>
      </c>
      <c r="V328" s="289">
        <v>1065.4888343699999</v>
      </c>
      <c r="W328" s="743">
        <v>1</v>
      </c>
      <c r="X328" s="289">
        <v>800</v>
      </c>
      <c r="Y328" s="289">
        <v>299</v>
      </c>
      <c r="Z328" s="289">
        <v>66356</v>
      </c>
      <c r="AA328" s="289">
        <v>0</v>
      </c>
      <c r="AB328" s="290">
        <v>31</v>
      </c>
      <c r="AC328" s="289">
        <v>0</v>
      </c>
      <c r="AD328" s="289">
        <v>0</v>
      </c>
      <c r="AE328" s="289">
        <v>0</v>
      </c>
      <c r="AF328" s="289">
        <v>0</v>
      </c>
      <c r="AG328" s="289">
        <v>2354</v>
      </c>
      <c r="AH328" s="289">
        <v>332</v>
      </c>
      <c r="AI328" s="289">
        <v>0</v>
      </c>
      <c r="AJ328" s="289">
        <v>0</v>
      </c>
      <c r="AK328" s="289">
        <v>9.8770000000000007</v>
      </c>
      <c r="AL328" s="289"/>
      <c r="AM328" s="622">
        <v>1.8345529999999999E-2</v>
      </c>
      <c r="AN328" s="289">
        <v>0</v>
      </c>
      <c r="AO328" s="289">
        <v>-148.19655882000001</v>
      </c>
      <c r="AP328" s="289">
        <v>0</v>
      </c>
      <c r="AQ328" s="289">
        <v>0</v>
      </c>
      <c r="AR328" s="289">
        <v>-168.25025819999999</v>
      </c>
      <c r="AS328" s="289">
        <v>20.3765</v>
      </c>
      <c r="AT328" s="289">
        <v>92</v>
      </c>
      <c r="AU328" s="289">
        <v>19</v>
      </c>
      <c r="AV328" s="625">
        <v>95361</v>
      </c>
      <c r="AW328" s="289">
        <v>-1.1954</v>
      </c>
      <c r="AX328" s="625">
        <v>18.166666670000001</v>
      </c>
      <c r="AY328" s="289">
        <v>402</v>
      </c>
      <c r="AZ328" s="289">
        <v>59</v>
      </c>
      <c r="BA328" s="290">
        <v>41</v>
      </c>
      <c r="BB328" s="289">
        <v>5543</v>
      </c>
      <c r="BC328" s="289">
        <v>593</v>
      </c>
      <c r="BD328" s="289">
        <v>44.062100000000001</v>
      </c>
      <c r="BE328" s="289">
        <v>98176.128677870001</v>
      </c>
      <c r="BF328" s="289">
        <v>0</v>
      </c>
      <c r="BG328" s="289">
        <v>11</v>
      </c>
      <c r="BH328" s="289">
        <v>-19.178799999999999</v>
      </c>
      <c r="BI328" s="289">
        <v>631</v>
      </c>
      <c r="BJ328" s="289">
        <v>-2.4163999999999999</v>
      </c>
      <c r="BK328" s="289">
        <v>0</v>
      </c>
      <c r="BL328" s="289">
        <v>0</v>
      </c>
      <c r="BM328" s="289">
        <v>0</v>
      </c>
      <c r="BN328" s="289">
        <v>0</v>
      </c>
      <c r="BO328" s="517">
        <v>0</v>
      </c>
      <c r="BP328" s="517">
        <v>0</v>
      </c>
      <c r="BQ328" s="289">
        <f t="shared" si="10"/>
        <v>-2.4163748796000002</v>
      </c>
      <c r="BR328" s="289">
        <v>0</v>
      </c>
      <c r="BS328" s="289">
        <f t="shared" si="11"/>
        <v>0</v>
      </c>
      <c r="BT328" s="289">
        <v>6</v>
      </c>
      <c r="BU328" s="289">
        <v>0</v>
      </c>
      <c r="BV328" s="289">
        <v>38</v>
      </c>
      <c r="BW328" s="289">
        <v>251.49199999999999</v>
      </c>
      <c r="BX328" s="289">
        <v>48.151000000000003</v>
      </c>
      <c r="CC328" s="517"/>
      <c r="CD328" s="85"/>
      <c r="CE328" s="517"/>
    </row>
    <row r="329" spans="1:83" ht="13">
      <c r="A329" s="1">
        <v>4636</v>
      </c>
      <c r="B329" s="2" t="s">
        <v>60</v>
      </c>
      <c r="C329" s="289">
        <v>807</v>
      </c>
      <c r="D329" s="289">
        <v>11</v>
      </c>
      <c r="E329" s="289">
        <v>24</v>
      </c>
      <c r="F329" s="289">
        <v>90</v>
      </c>
      <c r="G329" s="289">
        <v>61</v>
      </c>
      <c r="H329" s="289">
        <v>441</v>
      </c>
      <c r="I329" s="289">
        <v>122</v>
      </c>
      <c r="J329" s="289">
        <v>47</v>
      </c>
      <c r="K329" s="289">
        <v>11</v>
      </c>
      <c r="L329" s="289">
        <v>7</v>
      </c>
      <c r="M329" s="289">
        <v>84</v>
      </c>
      <c r="N329" s="290">
        <v>0</v>
      </c>
      <c r="O329" s="290">
        <v>12</v>
      </c>
      <c r="P329" s="624">
        <v>11343.782999999999</v>
      </c>
      <c r="Q329" s="624">
        <v>9092.1033333300002</v>
      </c>
      <c r="R329" s="624">
        <v>2</v>
      </c>
      <c r="S329" s="289">
        <v>0</v>
      </c>
      <c r="T329" s="289">
        <v>56</v>
      </c>
      <c r="U329" s="716">
        <v>8.5713870473644511E-4</v>
      </c>
      <c r="V329" s="289">
        <v>409.32329776</v>
      </c>
      <c r="W329" s="743">
        <v>1</v>
      </c>
      <c r="X329" s="289">
        <v>2400</v>
      </c>
      <c r="Y329" s="289">
        <v>392</v>
      </c>
      <c r="Z329" s="289">
        <v>22900</v>
      </c>
      <c r="AA329" s="289">
        <v>0</v>
      </c>
      <c r="AB329" s="290">
        <v>6</v>
      </c>
      <c r="AC329" s="289">
        <v>0</v>
      </c>
      <c r="AD329" s="289">
        <v>0</v>
      </c>
      <c r="AE329" s="289">
        <v>0</v>
      </c>
      <c r="AF329" s="289">
        <v>0</v>
      </c>
      <c r="AG329" s="289">
        <v>807</v>
      </c>
      <c r="AH329" s="289">
        <v>100</v>
      </c>
      <c r="AI329" s="289">
        <v>72.5</v>
      </c>
      <c r="AJ329" s="289">
        <v>0</v>
      </c>
      <c r="AK329" s="289">
        <v>2.4236</v>
      </c>
      <c r="AL329" s="289"/>
      <c r="AM329" s="622">
        <v>1.8082700000000001E-3</v>
      </c>
      <c r="AN329" s="289">
        <v>0</v>
      </c>
      <c r="AO329" s="289">
        <v>-56.931900380000002</v>
      </c>
      <c r="AP329" s="289">
        <v>0</v>
      </c>
      <c r="AQ329" s="289">
        <v>0</v>
      </c>
      <c r="AR329" s="289">
        <v>-57.679676450000002</v>
      </c>
      <c r="AS329" s="289">
        <v>6.3545999999999996</v>
      </c>
      <c r="AT329" s="289">
        <v>20</v>
      </c>
      <c r="AU329" s="289">
        <v>3</v>
      </c>
      <c r="AV329" s="625">
        <v>44725</v>
      </c>
      <c r="AW329" s="289">
        <v>-0.4098</v>
      </c>
      <c r="AX329" s="625">
        <v>4.1666666699999997</v>
      </c>
      <c r="AY329" s="289">
        <v>127</v>
      </c>
      <c r="AZ329" s="289">
        <v>19</v>
      </c>
      <c r="BA329" s="290">
        <v>13</v>
      </c>
      <c r="BB329" s="289">
        <v>5543</v>
      </c>
      <c r="BC329" s="289">
        <v>545</v>
      </c>
      <c r="BD329" s="289">
        <v>13.271699999999999</v>
      </c>
      <c r="BE329" s="289">
        <v>46044.952756539999</v>
      </c>
      <c r="BF329" s="289">
        <v>0</v>
      </c>
      <c r="BG329" s="289">
        <v>11</v>
      </c>
      <c r="BH329" s="289">
        <v>-6.5749000000000004</v>
      </c>
      <c r="BI329" s="289">
        <v>492</v>
      </c>
      <c r="BJ329" s="289">
        <v>-0.82840000000000003</v>
      </c>
      <c r="BK329" s="289">
        <v>0</v>
      </c>
      <c r="BL329" s="289">
        <v>0</v>
      </c>
      <c r="BM329" s="289">
        <v>0</v>
      </c>
      <c r="BN329" s="289">
        <v>0</v>
      </c>
      <c r="BO329" s="517">
        <v>0</v>
      </c>
      <c r="BP329" s="517">
        <v>0</v>
      </c>
      <c r="BQ329" s="289">
        <f t="shared" si="10"/>
        <v>-0.82838340180000003</v>
      </c>
      <c r="BR329" s="289">
        <v>0</v>
      </c>
      <c r="BS329" s="289">
        <f t="shared" si="11"/>
        <v>0</v>
      </c>
      <c r="BT329" s="289">
        <v>1</v>
      </c>
      <c r="BU329" s="289">
        <v>0</v>
      </c>
      <c r="BV329" s="289">
        <v>18</v>
      </c>
      <c r="BW329" s="289">
        <v>0</v>
      </c>
      <c r="BX329" s="289">
        <v>16.763999999999999</v>
      </c>
      <c r="CC329" s="517"/>
      <c r="CD329" s="85"/>
      <c r="CE329" s="517"/>
    </row>
    <row r="330" spans="1:83" ht="13">
      <c r="A330" s="1">
        <v>4637</v>
      </c>
      <c r="B330" s="2" t="s">
        <v>61</v>
      </c>
      <c r="C330" s="289">
        <v>1378</v>
      </c>
      <c r="D330" s="289">
        <v>18</v>
      </c>
      <c r="E330" s="289">
        <v>45</v>
      </c>
      <c r="F330" s="289">
        <v>149</v>
      </c>
      <c r="G330" s="289">
        <v>142</v>
      </c>
      <c r="H330" s="289">
        <v>730</v>
      </c>
      <c r="I330" s="289">
        <v>231</v>
      </c>
      <c r="J330" s="289">
        <v>72</v>
      </c>
      <c r="K330" s="289">
        <v>22</v>
      </c>
      <c r="L330" s="289">
        <v>10</v>
      </c>
      <c r="M330" s="289">
        <v>136</v>
      </c>
      <c r="N330" s="290">
        <v>6</v>
      </c>
      <c r="O330" s="290">
        <v>14</v>
      </c>
      <c r="P330" s="624">
        <v>19063.189666670001</v>
      </c>
      <c r="Q330" s="624">
        <v>9935.9126666699995</v>
      </c>
      <c r="R330" s="624">
        <v>7</v>
      </c>
      <c r="S330" s="289">
        <v>0</v>
      </c>
      <c r="T330" s="289">
        <v>94</v>
      </c>
      <c r="U330" s="716">
        <v>1.3054923537338858E-3</v>
      </c>
      <c r="V330" s="289">
        <v>538.40649673999997</v>
      </c>
      <c r="W330" s="743">
        <v>1</v>
      </c>
      <c r="X330" s="289">
        <v>1900</v>
      </c>
      <c r="Y330" s="289">
        <v>0</v>
      </c>
      <c r="Z330" s="289">
        <v>35150</v>
      </c>
      <c r="AA330" s="289">
        <v>0</v>
      </c>
      <c r="AB330" s="290">
        <v>19</v>
      </c>
      <c r="AC330" s="289">
        <v>0</v>
      </c>
      <c r="AD330" s="289">
        <v>0</v>
      </c>
      <c r="AE330" s="289">
        <v>0</v>
      </c>
      <c r="AF330" s="289">
        <v>0</v>
      </c>
      <c r="AG330" s="289">
        <v>1409</v>
      </c>
      <c r="AH330" s="289">
        <v>193</v>
      </c>
      <c r="AI330" s="289">
        <v>0</v>
      </c>
      <c r="AJ330" s="289">
        <v>0</v>
      </c>
      <c r="AK330" s="289">
        <v>4.2484999999999999</v>
      </c>
      <c r="AL330" s="289"/>
      <c r="AM330" s="622">
        <v>2.5348140000000002E-2</v>
      </c>
      <c r="AN330" s="289">
        <v>0</v>
      </c>
      <c r="AO330" s="289">
        <v>-86.819544070000006</v>
      </c>
      <c r="AP330" s="289">
        <v>0</v>
      </c>
      <c r="AQ330" s="289">
        <v>0</v>
      </c>
      <c r="AR330" s="289">
        <v>-100.70714264999999</v>
      </c>
      <c r="AS330" s="289">
        <v>13.2979</v>
      </c>
      <c r="AT330" s="289">
        <v>52</v>
      </c>
      <c r="AU330" s="289">
        <v>24</v>
      </c>
      <c r="AV330" s="625">
        <v>59800</v>
      </c>
      <c r="AW330" s="289">
        <v>-0.71550000000000002</v>
      </c>
      <c r="AX330" s="625">
        <v>3.5</v>
      </c>
      <c r="AY330" s="289">
        <v>228</v>
      </c>
      <c r="AZ330" s="289">
        <v>42</v>
      </c>
      <c r="BA330" s="290">
        <v>13</v>
      </c>
      <c r="BB330" s="289">
        <v>5543</v>
      </c>
      <c r="BC330" s="289">
        <v>258</v>
      </c>
      <c r="BD330" s="289">
        <v>25.6144</v>
      </c>
      <c r="BE330" s="289">
        <v>60188.691804629998</v>
      </c>
      <c r="BF330" s="289">
        <v>0</v>
      </c>
      <c r="BG330" s="289">
        <v>0</v>
      </c>
      <c r="BH330" s="289">
        <v>-11.4796</v>
      </c>
      <c r="BI330" s="289">
        <v>193</v>
      </c>
      <c r="BJ330" s="289">
        <v>-1.4462999999999999</v>
      </c>
      <c r="BK330" s="289">
        <v>0</v>
      </c>
      <c r="BL330" s="289">
        <v>0</v>
      </c>
      <c r="BM330" s="289">
        <v>0</v>
      </c>
      <c r="BN330" s="289">
        <v>0</v>
      </c>
      <c r="BO330" s="517">
        <v>0</v>
      </c>
      <c r="BP330" s="517">
        <v>0</v>
      </c>
      <c r="BQ330" s="289">
        <f t="shared" si="10"/>
        <v>-1.4463348366</v>
      </c>
      <c r="BR330" s="289">
        <v>0</v>
      </c>
      <c r="BS330" s="289">
        <f t="shared" si="11"/>
        <v>0</v>
      </c>
      <c r="BT330" s="289">
        <v>2</v>
      </c>
      <c r="BU330" s="289">
        <v>0</v>
      </c>
      <c r="BV330" s="289">
        <v>24</v>
      </c>
      <c r="BW330" s="289">
        <v>130.98599999999999</v>
      </c>
      <c r="BX330" s="289">
        <v>28.832000000000001</v>
      </c>
      <c r="CC330" s="517"/>
      <c r="CD330" s="85"/>
      <c r="CE330" s="517"/>
    </row>
    <row r="331" spans="1:83" ht="13">
      <c r="A331" s="1">
        <v>4638</v>
      </c>
      <c r="B331" s="2" t="s">
        <v>62</v>
      </c>
      <c r="C331" s="289">
        <v>4154</v>
      </c>
      <c r="D331" s="289">
        <v>52</v>
      </c>
      <c r="E331" s="289">
        <v>171</v>
      </c>
      <c r="F331" s="289">
        <v>500</v>
      </c>
      <c r="G331" s="289">
        <v>436</v>
      </c>
      <c r="H331" s="289">
        <v>2250</v>
      </c>
      <c r="I331" s="289">
        <v>508</v>
      </c>
      <c r="J331" s="289">
        <v>203</v>
      </c>
      <c r="K331" s="289">
        <v>68</v>
      </c>
      <c r="L331" s="289">
        <v>32</v>
      </c>
      <c r="M331" s="289">
        <v>358</v>
      </c>
      <c r="N331" s="290">
        <v>60</v>
      </c>
      <c r="O331" s="290">
        <v>55</v>
      </c>
      <c r="P331" s="624">
        <v>70896.271999999997</v>
      </c>
      <c r="Q331" s="624">
        <v>18008.554333330001</v>
      </c>
      <c r="R331" s="624">
        <v>7</v>
      </c>
      <c r="S331" s="289">
        <v>0</v>
      </c>
      <c r="T331" s="289">
        <v>364</v>
      </c>
      <c r="U331" s="716">
        <v>1.7621087541274338E-3</v>
      </c>
      <c r="V331" s="289">
        <v>1656.6287558399999</v>
      </c>
      <c r="W331" s="743">
        <v>0.98260389000000004</v>
      </c>
      <c r="X331" s="289">
        <v>0</v>
      </c>
      <c r="Y331" s="289">
        <v>0</v>
      </c>
      <c r="Z331" s="289">
        <v>123136</v>
      </c>
      <c r="AA331" s="289">
        <v>0</v>
      </c>
      <c r="AB331" s="290">
        <v>71</v>
      </c>
      <c r="AC331" s="289">
        <v>0</v>
      </c>
      <c r="AD331" s="289">
        <v>0</v>
      </c>
      <c r="AE331" s="289">
        <v>0</v>
      </c>
      <c r="AF331" s="289">
        <v>0</v>
      </c>
      <c r="AG331" s="289">
        <v>4188</v>
      </c>
      <c r="AH331" s="289">
        <v>587</v>
      </c>
      <c r="AI331" s="289">
        <v>0</v>
      </c>
      <c r="AJ331" s="289">
        <v>0</v>
      </c>
      <c r="AK331" s="289">
        <v>16.432700000000001</v>
      </c>
      <c r="AL331" s="289"/>
      <c r="AM331" s="622">
        <v>8.4450650000000002E-2</v>
      </c>
      <c r="AN331" s="289">
        <v>5756</v>
      </c>
      <c r="AO331" s="289">
        <v>-230.41694380000001</v>
      </c>
      <c r="AP331" s="289">
        <v>0</v>
      </c>
      <c r="AQ331" s="289">
        <v>0</v>
      </c>
      <c r="AR331" s="289">
        <v>1999.4614170899999</v>
      </c>
      <c r="AS331" s="289">
        <v>49.691800000000001</v>
      </c>
      <c r="AT331" s="289">
        <v>198</v>
      </c>
      <c r="AU331" s="289">
        <v>52</v>
      </c>
      <c r="AV331" s="625">
        <v>135567</v>
      </c>
      <c r="AW331" s="289">
        <v>-81.477599999999995</v>
      </c>
      <c r="AX331" s="625">
        <v>23.416666670000001</v>
      </c>
      <c r="AY331" s="289">
        <v>701</v>
      </c>
      <c r="AZ331" s="289">
        <v>144</v>
      </c>
      <c r="BA331" s="290">
        <v>126</v>
      </c>
      <c r="BB331" s="289">
        <v>0</v>
      </c>
      <c r="BC331" s="289">
        <v>715</v>
      </c>
      <c r="BD331" s="289">
        <v>77.905000000000001</v>
      </c>
      <c r="BE331" s="289">
        <v>134184.36306197001</v>
      </c>
      <c r="BF331" s="289">
        <v>0</v>
      </c>
      <c r="BG331" s="289">
        <v>0</v>
      </c>
      <c r="BH331" s="289">
        <v>-34.120899999999999</v>
      </c>
      <c r="BI331" s="289">
        <v>587</v>
      </c>
      <c r="BJ331" s="289">
        <v>-4.2990000000000004</v>
      </c>
      <c r="BK331" s="289">
        <v>0</v>
      </c>
      <c r="BL331" s="289">
        <v>0</v>
      </c>
      <c r="BM331" s="289">
        <v>0</v>
      </c>
      <c r="BN331" s="289">
        <v>0</v>
      </c>
      <c r="BO331" s="517">
        <v>0</v>
      </c>
      <c r="BP331" s="517">
        <v>0</v>
      </c>
      <c r="BQ331" s="289">
        <f t="shared" si="10"/>
        <v>-4.2989711112000002</v>
      </c>
      <c r="BR331" s="289">
        <v>0</v>
      </c>
      <c r="BS331" s="289">
        <f t="shared" si="11"/>
        <v>0</v>
      </c>
      <c r="BT331" s="289">
        <v>9</v>
      </c>
      <c r="BU331" s="289">
        <v>0</v>
      </c>
      <c r="BV331" s="289">
        <v>53</v>
      </c>
      <c r="BW331" s="289">
        <v>366.76</v>
      </c>
      <c r="BX331" s="289">
        <v>85.977999999999994</v>
      </c>
      <c r="CC331" s="517"/>
      <c r="CD331" s="85"/>
      <c r="CE331" s="517"/>
    </row>
    <row r="332" spans="1:83" ht="13">
      <c r="A332" s="1">
        <v>4639</v>
      </c>
      <c r="B332" s="2" t="s">
        <v>63</v>
      </c>
      <c r="C332" s="289">
        <v>2674</v>
      </c>
      <c r="D332" s="289">
        <v>48</v>
      </c>
      <c r="E332" s="289">
        <v>110</v>
      </c>
      <c r="F332" s="289">
        <v>313</v>
      </c>
      <c r="G332" s="289">
        <v>235</v>
      </c>
      <c r="H332" s="289">
        <v>1388</v>
      </c>
      <c r="I332" s="289">
        <v>371</v>
      </c>
      <c r="J332" s="289">
        <v>173</v>
      </c>
      <c r="K332" s="289">
        <v>59</v>
      </c>
      <c r="L332" s="289">
        <v>20</v>
      </c>
      <c r="M332" s="289">
        <v>268</v>
      </c>
      <c r="N332" s="290">
        <v>21</v>
      </c>
      <c r="O332" s="290">
        <v>28</v>
      </c>
      <c r="P332" s="624">
        <v>24805.428</v>
      </c>
      <c r="Q332" s="624">
        <v>10905.547</v>
      </c>
      <c r="R332" s="624">
        <v>10</v>
      </c>
      <c r="S332" s="289">
        <v>0</v>
      </c>
      <c r="T332" s="289">
        <v>180</v>
      </c>
      <c r="U332" s="716">
        <v>3.5165367654657591E-3</v>
      </c>
      <c r="V332" s="289">
        <v>1151.56796867</v>
      </c>
      <c r="W332" s="743">
        <v>1</v>
      </c>
      <c r="X332" s="289">
        <v>0</v>
      </c>
      <c r="Y332" s="289">
        <v>392</v>
      </c>
      <c r="Z332" s="289">
        <v>82426</v>
      </c>
      <c r="AA332" s="289">
        <v>0</v>
      </c>
      <c r="AB332" s="290">
        <v>39</v>
      </c>
      <c r="AC332" s="289">
        <v>0</v>
      </c>
      <c r="AD332" s="289">
        <v>0</v>
      </c>
      <c r="AE332" s="289">
        <v>0</v>
      </c>
      <c r="AF332" s="289">
        <v>0</v>
      </c>
      <c r="AG332" s="289">
        <v>2697</v>
      </c>
      <c r="AH332" s="289">
        <v>361</v>
      </c>
      <c r="AI332" s="289">
        <v>1475</v>
      </c>
      <c r="AJ332" s="289">
        <v>0</v>
      </c>
      <c r="AK332" s="289">
        <v>10.2712</v>
      </c>
      <c r="AL332" s="289"/>
      <c r="AM332" s="622">
        <v>1.1976870000000001E-2</v>
      </c>
      <c r="AN332" s="289">
        <v>0</v>
      </c>
      <c r="AO332" s="289">
        <v>-160.16912116</v>
      </c>
      <c r="AP332" s="289">
        <v>0</v>
      </c>
      <c r="AQ332" s="289">
        <v>0</v>
      </c>
      <c r="AR332" s="289">
        <v>-132.56692799000001</v>
      </c>
      <c r="AS332" s="289">
        <v>24.1297</v>
      </c>
      <c r="AT332" s="289">
        <v>87</v>
      </c>
      <c r="AU332" s="289">
        <v>15</v>
      </c>
      <c r="AV332" s="625">
        <v>99825</v>
      </c>
      <c r="AW332" s="289">
        <v>-52.470199999999998</v>
      </c>
      <c r="AX332" s="625">
        <v>9</v>
      </c>
      <c r="AY332" s="289">
        <v>491</v>
      </c>
      <c r="AZ332" s="289">
        <v>68</v>
      </c>
      <c r="BA332" s="290">
        <v>38</v>
      </c>
      <c r="BB332" s="289">
        <v>5543</v>
      </c>
      <c r="BC332" s="289">
        <v>353</v>
      </c>
      <c r="BD332" s="289">
        <v>47.910899999999998</v>
      </c>
      <c r="BE332" s="289">
        <v>100825.43651682</v>
      </c>
      <c r="BF332" s="289">
        <v>0</v>
      </c>
      <c r="BG332" s="289">
        <v>11</v>
      </c>
      <c r="BH332" s="289">
        <v>-21.973299999999998</v>
      </c>
      <c r="BI332" s="289">
        <v>753</v>
      </c>
      <c r="BJ332" s="289">
        <v>-2.7685</v>
      </c>
      <c r="BK332" s="289">
        <v>0</v>
      </c>
      <c r="BL332" s="289">
        <v>0</v>
      </c>
      <c r="BM332" s="289">
        <v>0</v>
      </c>
      <c r="BN332" s="289">
        <v>0</v>
      </c>
      <c r="BO332" s="517">
        <v>0</v>
      </c>
      <c r="BP332" s="517">
        <v>0</v>
      </c>
      <c r="BQ332" s="289">
        <f t="shared" si="10"/>
        <v>-2.7684634878000001</v>
      </c>
      <c r="BR332" s="289">
        <v>0</v>
      </c>
      <c r="BS332" s="289">
        <f t="shared" si="11"/>
        <v>0</v>
      </c>
      <c r="BT332" s="289">
        <v>6</v>
      </c>
      <c r="BU332" s="289">
        <v>0</v>
      </c>
      <c r="BV332" s="289">
        <v>37</v>
      </c>
      <c r="BW332" s="289">
        <v>178.14</v>
      </c>
      <c r="BX332" s="289">
        <v>55.65</v>
      </c>
      <c r="CC332" s="517"/>
      <c r="CD332" s="85"/>
      <c r="CE332" s="517"/>
    </row>
    <row r="333" spans="1:83" ht="13">
      <c r="A333" s="1">
        <v>4641</v>
      </c>
      <c r="B333" s="2" t="s">
        <v>67</v>
      </c>
      <c r="C333" s="289">
        <v>1778</v>
      </c>
      <c r="D333" s="289">
        <v>27</v>
      </c>
      <c r="E333" s="289">
        <v>61</v>
      </c>
      <c r="F333" s="289">
        <v>171</v>
      </c>
      <c r="G333" s="289">
        <v>157</v>
      </c>
      <c r="H333" s="289">
        <v>1047</v>
      </c>
      <c r="I333" s="289">
        <v>215</v>
      </c>
      <c r="J333" s="289">
        <v>77</v>
      </c>
      <c r="K333" s="289">
        <v>37</v>
      </c>
      <c r="L333" s="289">
        <v>11</v>
      </c>
      <c r="M333" s="289">
        <v>160</v>
      </c>
      <c r="N333" s="290">
        <v>0</v>
      </c>
      <c r="O333" s="290">
        <v>12</v>
      </c>
      <c r="P333" s="624">
        <v>11324.956333329999</v>
      </c>
      <c r="Q333" s="624">
        <v>9482.5943333300002</v>
      </c>
      <c r="R333" s="624">
        <v>5</v>
      </c>
      <c r="S333" s="289">
        <v>0</v>
      </c>
      <c r="T333" s="289">
        <v>147</v>
      </c>
      <c r="U333" s="716">
        <v>1.4990787992930099E-3</v>
      </c>
      <c r="V333" s="289">
        <v>714.40077740000004</v>
      </c>
      <c r="W333" s="743">
        <v>1</v>
      </c>
      <c r="X333" s="289">
        <v>0</v>
      </c>
      <c r="Y333" s="289">
        <v>0</v>
      </c>
      <c r="Z333" s="289">
        <v>85477</v>
      </c>
      <c r="AA333" s="289">
        <v>0</v>
      </c>
      <c r="AB333" s="290">
        <v>29</v>
      </c>
      <c r="AC333" s="289">
        <v>0</v>
      </c>
      <c r="AD333" s="289">
        <v>0</v>
      </c>
      <c r="AE333" s="289">
        <v>0</v>
      </c>
      <c r="AF333" s="289">
        <v>0</v>
      </c>
      <c r="AG333" s="289">
        <v>1792</v>
      </c>
      <c r="AH333" s="289">
        <v>207</v>
      </c>
      <c r="AI333" s="289">
        <v>0</v>
      </c>
      <c r="AJ333" s="289">
        <v>0</v>
      </c>
      <c r="AK333" s="289">
        <v>6.2968999999999999</v>
      </c>
      <c r="AL333" s="289"/>
      <c r="AM333" s="622">
        <v>8.8733900000000001E-3</v>
      </c>
      <c r="AN333" s="289">
        <v>0</v>
      </c>
      <c r="AO333" s="289">
        <v>-99.3644733</v>
      </c>
      <c r="AP333" s="289">
        <v>0</v>
      </c>
      <c r="AQ333" s="289">
        <v>0</v>
      </c>
      <c r="AR333" s="289">
        <v>1137.1251572799999</v>
      </c>
      <c r="AS333" s="289">
        <v>17.511399999999998</v>
      </c>
      <c r="AT333" s="289">
        <v>56</v>
      </c>
      <c r="AU333" s="289">
        <v>11</v>
      </c>
      <c r="AV333" s="625">
        <v>56628</v>
      </c>
      <c r="AW333" s="289">
        <v>-34.863399999999999</v>
      </c>
      <c r="AX333" s="625">
        <v>11.79166667</v>
      </c>
      <c r="AY333" s="289">
        <v>351</v>
      </c>
      <c r="AZ333" s="289">
        <v>46</v>
      </c>
      <c r="BA333" s="290">
        <v>32</v>
      </c>
      <c r="BB333" s="289">
        <v>0</v>
      </c>
      <c r="BC333" s="289">
        <v>308</v>
      </c>
      <c r="BD333" s="289">
        <v>27.4725</v>
      </c>
      <c r="BE333" s="289">
        <v>55707.805648729998</v>
      </c>
      <c r="BF333" s="289">
        <v>0</v>
      </c>
      <c r="BG333" s="289">
        <v>0</v>
      </c>
      <c r="BH333" s="289">
        <v>-14.6</v>
      </c>
      <c r="BI333" s="289">
        <v>207</v>
      </c>
      <c r="BJ333" s="289">
        <v>-1.8394999999999999</v>
      </c>
      <c r="BK333" s="289">
        <v>0</v>
      </c>
      <c r="BL333" s="289">
        <v>0</v>
      </c>
      <c r="BM333" s="289">
        <v>0</v>
      </c>
      <c r="BN333" s="289">
        <v>0</v>
      </c>
      <c r="BO333" s="517">
        <v>0</v>
      </c>
      <c r="BP333" s="517">
        <v>0</v>
      </c>
      <c r="BQ333" s="289">
        <f t="shared" si="10"/>
        <v>-1.8394833408</v>
      </c>
      <c r="BR333" s="289">
        <v>0</v>
      </c>
      <c r="BS333" s="289">
        <f t="shared" si="11"/>
        <v>0</v>
      </c>
      <c r="BT333" s="289">
        <v>4</v>
      </c>
      <c r="BU333" s="289">
        <v>0</v>
      </c>
      <c r="BV333" s="289">
        <v>26</v>
      </c>
      <c r="BW333" s="289">
        <v>199.09800000000001</v>
      </c>
      <c r="BX333" s="289">
        <v>36.808999999999997</v>
      </c>
      <c r="CC333" s="517"/>
      <c r="CD333" s="85"/>
      <c r="CE333" s="517"/>
    </row>
    <row r="334" spans="1:83" ht="13">
      <c r="A334" s="1">
        <v>4642</v>
      </c>
      <c r="B334" s="2" t="s">
        <v>68</v>
      </c>
      <c r="C334" s="289">
        <v>2153</v>
      </c>
      <c r="D334" s="289">
        <v>34</v>
      </c>
      <c r="E334" s="289">
        <v>74</v>
      </c>
      <c r="F334" s="289">
        <v>252</v>
      </c>
      <c r="G334" s="289">
        <v>198</v>
      </c>
      <c r="H334" s="289">
        <v>1169</v>
      </c>
      <c r="I334" s="289">
        <v>303</v>
      </c>
      <c r="J334" s="289">
        <v>95</v>
      </c>
      <c r="K334" s="289">
        <v>34</v>
      </c>
      <c r="L334" s="289">
        <v>16</v>
      </c>
      <c r="M334" s="289">
        <v>181</v>
      </c>
      <c r="N334" s="290">
        <v>18</v>
      </c>
      <c r="O334" s="290">
        <v>19</v>
      </c>
      <c r="P334" s="624">
        <v>15508.42466667</v>
      </c>
      <c r="Q334" s="624">
        <v>7903.1333333299999</v>
      </c>
      <c r="R334" s="624">
        <v>8</v>
      </c>
      <c r="S334" s="289">
        <v>0</v>
      </c>
      <c r="T334" s="289">
        <v>164</v>
      </c>
      <c r="U334" s="716">
        <v>2.1397204909278048E-3</v>
      </c>
      <c r="V334" s="289">
        <v>870.01477115</v>
      </c>
      <c r="W334" s="743">
        <v>1</v>
      </c>
      <c r="X334" s="289">
        <v>0</v>
      </c>
      <c r="Y334" s="289">
        <v>244</v>
      </c>
      <c r="Z334" s="289">
        <v>75278</v>
      </c>
      <c r="AA334" s="289">
        <v>0</v>
      </c>
      <c r="AB334" s="290">
        <v>32</v>
      </c>
      <c r="AC334" s="289">
        <v>0</v>
      </c>
      <c r="AD334" s="289">
        <v>0</v>
      </c>
      <c r="AE334" s="289">
        <v>0</v>
      </c>
      <c r="AF334" s="289">
        <v>0</v>
      </c>
      <c r="AG334" s="289">
        <v>2159</v>
      </c>
      <c r="AH334" s="289">
        <v>286</v>
      </c>
      <c r="AI334" s="289">
        <v>0</v>
      </c>
      <c r="AJ334" s="289">
        <v>0</v>
      </c>
      <c r="AK334" s="289">
        <v>7.3711000000000002</v>
      </c>
      <c r="AL334" s="289"/>
      <c r="AM334" s="622">
        <v>1.647616E-2</v>
      </c>
      <c r="AN334" s="289">
        <v>0</v>
      </c>
      <c r="AO334" s="289">
        <v>-121.00849024</v>
      </c>
      <c r="AP334" s="289">
        <v>0</v>
      </c>
      <c r="AQ334" s="289">
        <v>0</v>
      </c>
      <c r="AR334" s="289">
        <v>-154.31278992</v>
      </c>
      <c r="AS334" s="289">
        <v>21.323699999999999</v>
      </c>
      <c r="AT334" s="289">
        <v>96</v>
      </c>
      <c r="AU334" s="289">
        <v>16</v>
      </c>
      <c r="AV334" s="625">
        <v>72068</v>
      </c>
      <c r="AW334" s="289">
        <v>-1.0963000000000001</v>
      </c>
      <c r="AX334" s="625">
        <v>8.5</v>
      </c>
      <c r="AY334" s="289">
        <v>473</v>
      </c>
      <c r="AZ334" s="289">
        <v>50</v>
      </c>
      <c r="BA334" s="290">
        <v>42</v>
      </c>
      <c r="BB334" s="289">
        <v>5543</v>
      </c>
      <c r="BC334" s="289">
        <v>585</v>
      </c>
      <c r="BD334" s="289">
        <v>37.957099999999997</v>
      </c>
      <c r="BE334" s="289">
        <v>74280.405193190003</v>
      </c>
      <c r="BF334" s="289">
        <v>0</v>
      </c>
      <c r="BG334" s="289">
        <v>13</v>
      </c>
      <c r="BH334" s="289">
        <v>-17.59</v>
      </c>
      <c r="BI334" s="289">
        <v>530</v>
      </c>
      <c r="BJ334" s="289">
        <v>-2.2162000000000002</v>
      </c>
      <c r="BK334" s="289">
        <v>0</v>
      </c>
      <c r="BL334" s="289">
        <v>0</v>
      </c>
      <c r="BM334" s="289">
        <v>0</v>
      </c>
      <c r="BN334" s="289">
        <v>0</v>
      </c>
      <c r="BO334" s="517">
        <v>0</v>
      </c>
      <c r="BP334" s="517">
        <v>0</v>
      </c>
      <c r="BQ334" s="289">
        <f t="shared" si="10"/>
        <v>-2.2162078866000003</v>
      </c>
      <c r="BR334" s="289">
        <v>0</v>
      </c>
      <c r="BS334" s="289">
        <f t="shared" si="11"/>
        <v>0</v>
      </c>
      <c r="BT334" s="289">
        <v>4</v>
      </c>
      <c r="BU334" s="289">
        <v>0</v>
      </c>
      <c r="BV334" s="289">
        <v>30</v>
      </c>
      <c r="BW334" s="289">
        <v>146.70400000000001</v>
      </c>
      <c r="BX334" s="289">
        <v>44.911000000000001</v>
      </c>
      <c r="CC334" s="517"/>
      <c r="CD334" s="85"/>
      <c r="CE334" s="517"/>
    </row>
    <row r="335" spans="1:83" ht="13">
      <c r="A335" s="1">
        <v>4643</v>
      </c>
      <c r="B335" s="2" t="s">
        <v>69</v>
      </c>
      <c r="C335" s="289">
        <v>5277</v>
      </c>
      <c r="D335" s="289">
        <v>100</v>
      </c>
      <c r="E335" s="289">
        <v>213</v>
      </c>
      <c r="F335" s="289">
        <v>543</v>
      </c>
      <c r="G335" s="289">
        <v>476</v>
      </c>
      <c r="H335" s="289">
        <v>2939</v>
      </c>
      <c r="I335" s="289">
        <v>700</v>
      </c>
      <c r="J335" s="289">
        <v>299</v>
      </c>
      <c r="K335" s="289">
        <v>61</v>
      </c>
      <c r="L335" s="289">
        <v>46</v>
      </c>
      <c r="M335" s="289">
        <v>447</v>
      </c>
      <c r="N335" s="290">
        <v>41</v>
      </c>
      <c r="O335" s="290">
        <v>38</v>
      </c>
      <c r="P335" s="624">
        <v>32263.18366667</v>
      </c>
      <c r="Q335" s="624">
        <v>7260.4976666700004</v>
      </c>
      <c r="R335" s="624">
        <v>30</v>
      </c>
      <c r="S335" s="289">
        <v>0</v>
      </c>
      <c r="T335" s="289">
        <v>464</v>
      </c>
      <c r="U335" s="716">
        <v>4.2272058985910461E-4</v>
      </c>
      <c r="V335" s="289">
        <v>1954.27300066</v>
      </c>
      <c r="W335" s="743">
        <v>0.67738259000000001</v>
      </c>
      <c r="X335" s="289">
        <v>0</v>
      </c>
      <c r="Y335" s="289">
        <v>392</v>
      </c>
      <c r="Z335" s="289">
        <v>176906</v>
      </c>
      <c r="AA335" s="289">
        <v>0</v>
      </c>
      <c r="AB335" s="290">
        <v>88</v>
      </c>
      <c r="AC335" s="289">
        <v>0</v>
      </c>
      <c r="AD335" s="289">
        <v>0</v>
      </c>
      <c r="AE335" s="289">
        <v>0</v>
      </c>
      <c r="AF335" s="289">
        <v>0</v>
      </c>
      <c r="AG335" s="289">
        <v>5331</v>
      </c>
      <c r="AH335" s="289">
        <v>677</v>
      </c>
      <c r="AI335" s="289">
        <v>0</v>
      </c>
      <c r="AJ335" s="289">
        <v>0</v>
      </c>
      <c r="AK335" s="289">
        <v>20.952000000000002</v>
      </c>
      <c r="AL335" s="289"/>
      <c r="AM335" s="622">
        <v>4.3289759999999997E-2</v>
      </c>
      <c r="AN335" s="289">
        <v>7031</v>
      </c>
      <c r="AO335" s="289">
        <v>-271.81564401000003</v>
      </c>
      <c r="AP335" s="289">
        <v>0</v>
      </c>
      <c r="AQ335" s="289">
        <v>0</v>
      </c>
      <c r="AR335" s="289">
        <v>-381.02894072999999</v>
      </c>
      <c r="AS335" s="289">
        <v>56.871099999999998</v>
      </c>
      <c r="AT335" s="289">
        <v>231</v>
      </c>
      <c r="AU335" s="289">
        <v>35</v>
      </c>
      <c r="AV335" s="625">
        <v>144992</v>
      </c>
      <c r="AW335" s="289">
        <v>-2.7071000000000001</v>
      </c>
      <c r="AX335" s="625">
        <v>36</v>
      </c>
      <c r="AY335" s="289">
        <v>896</v>
      </c>
      <c r="AZ335" s="289">
        <v>154</v>
      </c>
      <c r="BA335" s="290">
        <v>92</v>
      </c>
      <c r="BB335" s="289">
        <v>0</v>
      </c>
      <c r="BC335" s="289">
        <v>1042</v>
      </c>
      <c r="BD335" s="289">
        <v>89.849500000000006</v>
      </c>
      <c r="BE335" s="289">
        <v>148584.12004147001</v>
      </c>
      <c r="BF335" s="289">
        <v>0</v>
      </c>
      <c r="BG335" s="289">
        <v>11</v>
      </c>
      <c r="BH335" s="289">
        <v>-43.433300000000003</v>
      </c>
      <c r="BI335" s="289">
        <v>1069</v>
      </c>
      <c r="BJ335" s="289">
        <v>-5.4722999999999997</v>
      </c>
      <c r="BK335" s="289">
        <v>0</v>
      </c>
      <c r="BL335" s="289">
        <v>0</v>
      </c>
      <c r="BM335" s="289">
        <v>0</v>
      </c>
      <c r="BN335" s="289">
        <v>0</v>
      </c>
      <c r="BO335" s="517">
        <v>0</v>
      </c>
      <c r="BP335" s="517">
        <v>0</v>
      </c>
      <c r="BQ335" s="289">
        <f t="shared" si="10"/>
        <v>-5.4722576393999995</v>
      </c>
      <c r="BR335" s="289">
        <v>0</v>
      </c>
      <c r="BS335" s="289">
        <f t="shared" si="11"/>
        <v>0</v>
      </c>
      <c r="BT335" s="289">
        <v>12</v>
      </c>
      <c r="BU335" s="289">
        <v>0</v>
      </c>
      <c r="BV335" s="289">
        <v>57</v>
      </c>
      <c r="BW335" s="289">
        <v>644.44899999999996</v>
      </c>
      <c r="BX335" s="289">
        <v>109.16</v>
      </c>
      <c r="CC335" s="517"/>
      <c r="CD335" s="85"/>
      <c r="CE335" s="517"/>
    </row>
    <row r="336" spans="1:83" ht="13">
      <c r="A336" s="1">
        <v>4644</v>
      </c>
      <c r="B336" s="2" t="s">
        <v>70</v>
      </c>
      <c r="C336" s="289">
        <v>5223</v>
      </c>
      <c r="D336" s="289">
        <v>105</v>
      </c>
      <c r="E336" s="289">
        <v>240</v>
      </c>
      <c r="F336" s="289">
        <v>662</v>
      </c>
      <c r="G336" s="289">
        <v>493</v>
      </c>
      <c r="H336" s="289">
        <v>2752</v>
      </c>
      <c r="I336" s="289">
        <v>607</v>
      </c>
      <c r="J336" s="289">
        <v>240</v>
      </c>
      <c r="K336" s="289">
        <v>86</v>
      </c>
      <c r="L336" s="289">
        <v>36</v>
      </c>
      <c r="M336" s="289">
        <v>407</v>
      </c>
      <c r="N336" s="290">
        <v>22</v>
      </c>
      <c r="O336" s="290">
        <v>45</v>
      </c>
      <c r="P336" s="624">
        <v>47544.758999999998</v>
      </c>
      <c r="Q336" s="624">
        <v>17728.706999999999</v>
      </c>
      <c r="R336" s="624">
        <v>29</v>
      </c>
      <c r="S336" s="289">
        <v>0</v>
      </c>
      <c r="T336" s="289">
        <v>339</v>
      </c>
      <c r="U336" s="716">
        <v>5.681082394328762E-3</v>
      </c>
      <c r="V336" s="289">
        <v>2066.79982754</v>
      </c>
      <c r="W336" s="743">
        <v>0.85718883000000001</v>
      </c>
      <c r="X336" s="289">
        <v>0</v>
      </c>
      <c r="Y336" s="289">
        <v>392</v>
      </c>
      <c r="Z336" s="289">
        <v>159408</v>
      </c>
      <c r="AA336" s="289">
        <v>0</v>
      </c>
      <c r="AB336" s="290">
        <v>81</v>
      </c>
      <c r="AC336" s="289">
        <v>0</v>
      </c>
      <c r="AD336" s="289">
        <v>0</v>
      </c>
      <c r="AE336" s="289">
        <v>0</v>
      </c>
      <c r="AF336" s="289">
        <v>0</v>
      </c>
      <c r="AG336" s="289">
        <v>5185</v>
      </c>
      <c r="AH336" s="289">
        <v>756</v>
      </c>
      <c r="AI336" s="289">
        <v>0</v>
      </c>
      <c r="AJ336" s="289">
        <v>0</v>
      </c>
      <c r="AK336" s="289">
        <v>23.078800000000001</v>
      </c>
      <c r="AL336" s="289"/>
      <c r="AM336" s="622">
        <v>2.9536650000000001E-2</v>
      </c>
      <c r="AN336" s="289">
        <v>2721</v>
      </c>
      <c r="AO336" s="289">
        <v>-287.46675923999999</v>
      </c>
      <c r="AP336" s="289">
        <v>0</v>
      </c>
      <c r="AQ336" s="289">
        <v>0</v>
      </c>
      <c r="AR336" s="289">
        <v>-370.59370805999998</v>
      </c>
      <c r="AS336" s="289">
        <v>46.170499999999997</v>
      </c>
      <c r="AT336" s="289">
        <v>173</v>
      </c>
      <c r="AU336" s="289">
        <v>30</v>
      </c>
      <c r="AV336" s="625">
        <v>161525</v>
      </c>
      <c r="AW336" s="289">
        <v>-2.6328999999999998</v>
      </c>
      <c r="AX336" s="625">
        <v>30</v>
      </c>
      <c r="AY336" s="289">
        <v>1076</v>
      </c>
      <c r="AZ336" s="289">
        <v>151</v>
      </c>
      <c r="BA336" s="290">
        <v>85</v>
      </c>
      <c r="BB336" s="289">
        <v>0</v>
      </c>
      <c r="BC336" s="289">
        <v>1116</v>
      </c>
      <c r="BD336" s="289">
        <v>100.3342</v>
      </c>
      <c r="BE336" s="289">
        <v>164418.68588611</v>
      </c>
      <c r="BF336" s="289">
        <v>0</v>
      </c>
      <c r="BG336" s="289">
        <v>11</v>
      </c>
      <c r="BH336" s="289">
        <v>-42.2438</v>
      </c>
      <c r="BI336" s="289">
        <v>1148</v>
      </c>
      <c r="BJ336" s="289">
        <v>-5.3224</v>
      </c>
      <c r="BK336" s="289">
        <v>0</v>
      </c>
      <c r="BL336" s="289">
        <v>0</v>
      </c>
      <c r="BM336" s="289">
        <v>0</v>
      </c>
      <c r="BN336" s="289">
        <v>0</v>
      </c>
      <c r="BO336" s="517">
        <v>0</v>
      </c>
      <c r="BP336" s="517">
        <v>0</v>
      </c>
      <c r="BQ336" s="289">
        <f t="shared" si="10"/>
        <v>-5.3223890190000001</v>
      </c>
      <c r="BR336" s="289">
        <v>0</v>
      </c>
      <c r="BS336" s="289">
        <f t="shared" si="11"/>
        <v>0</v>
      </c>
      <c r="BT336" s="289">
        <v>13</v>
      </c>
      <c r="BU336" s="289">
        <v>0</v>
      </c>
      <c r="BV336" s="289">
        <v>60</v>
      </c>
      <c r="BW336" s="289">
        <v>83.831000000000003</v>
      </c>
      <c r="BX336" s="289">
        <v>108.786</v>
      </c>
      <c r="CC336" s="517"/>
      <c r="CD336" s="85"/>
      <c r="CE336" s="517"/>
    </row>
    <row r="337" spans="1:83" ht="13">
      <c r="A337" s="1">
        <v>4645</v>
      </c>
      <c r="B337" s="2" t="s">
        <v>71</v>
      </c>
      <c r="C337" s="289">
        <v>3052</v>
      </c>
      <c r="D337" s="289">
        <v>54</v>
      </c>
      <c r="E337" s="289">
        <v>139</v>
      </c>
      <c r="F337" s="289">
        <v>346</v>
      </c>
      <c r="G337" s="289">
        <v>266</v>
      </c>
      <c r="H337" s="289">
        <v>1563</v>
      </c>
      <c r="I337" s="289">
        <v>452</v>
      </c>
      <c r="J337" s="289">
        <v>187</v>
      </c>
      <c r="K337" s="289">
        <v>55</v>
      </c>
      <c r="L337" s="289">
        <v>21</v>
      </c>
      <c r="M337" s="289">
        <v>301</v>
      </c>
      <c r="N337" s="290">
        <v>4</v>
      </c>
      <c r="O337" s="290">
        <v>25</v>
      </c>
      <c r="P337" s="624">
        <v>60557.906666670002</v>
      </c>
      <c r="Q337" s="624">
        <v>14783.35266667</v>
      </c>
      <c r="R337" s="624">
        <v>14</v>
      </c>
      <c r="S337" s="289">
        <v>0</v>
      </c>
      <c r="T337" s="289">
        <v>190</v>
      </c>
      <c r="U337" s="716">
        <v>2.4666377701130665E-3</v>
      </c>
      <c r="V337" s="289">
        <v>-2203.2086578799999</v>
      </c>
      <c r="W337" s="743">
        <v>1</v>
      </c>
      <c r="X337" s="289">
        <v>1800</v>
      </c>
      <c r="Y337" s="289">
        <v>392</v>
      </c>
      <c r="Z337" s="289">
        <v>73539</v>
      </c>
      <c r="AA337" s="289">
        <v>0</v>
      </c>
      <c r="AB337" s="290">
        <v>39</v>
      </c>
      <c r="AC337" s="289">
        <v>0</v>
      </c>
      <c r="AD337" s="289">
        <v>0</v>
      </c>
      <c r="AE337" s="289">
        <v>0</v>
      </c>
      <c r="AF337" s="289">
        <v>0</v>
      </c>
      <c r="AG337" s="289">
        <v>3062</v>
      </c>
      <c r="AH337" s="289">
        <v>420</v>
      </c>
      <c r="AI337" s="289">
        <v>0</v>
      </c>
      <c r="AJ337" s="289">
        <v>0</v>
      </c>
      <c r="AK337" s="289">
        <v>13.156000000000001</v>
      </c>
      <c r="AL337" s="289"/>
      <c r="AM337" s="622">
        <v>1.602346E-2</v>
      </c>
      <c r="AN337" s="289">
        <v>0</v>
      </c>
      <c r="AO337" s="289">
        <v>-182.84369285</v>
      </c>
      <c r="AP337" s="289">
        <v>0</v>
      </c>
      <c r="AQ337" s="289">
        <v>0</v>
      </c>
      <c r="AR337" s="289">
        <v>-218.85398921999999</v>
      </c>
      <c r="AS337" s="289">
        <v>24.712900000000001</v>
      </c>
      <c r="AT337" s="289">
        <v>96</v>
      </c>
      <c r="AU337" s="289">
        <v>28</v>
      </c>
      <c r="AV337" s="625">
        <v>111398</v>
      </c>
      <c r="AW337" s="289">
        <v>-1.5548999999999999</v>
      </c>
      <c r="AX337" s="625">
        <v>16.666666670000001</v>
      </c>
      <c r="AY337" s="289">
        <v>546</v>
      </c>
      <c r="AZ337" s="289">
        <v>56</v>
      </c>
      <c r="BA337" s="290">
        <v>50</v>
      </c>
      <c r="BB337" s="289">
        <v>5543</v>
      </c>
      <c r="BC337" s="289">
        <v>977</v>
      </c>
      <c r="BD337" s="289">
        <v>55.741199999999999</v>
      </c>
      <c r="BE337" s="289">
        <v>112993.15825854</v>
      </c>
      <c r="BF337" s="289">
        <v>0</v>
      </c>
      <c r="BG337" s="289">
        <v>11</v>
      </c>
      <c r="BH337" s="289">
        <v>-24.947099999999999</v>
      </c>
      <c r="BI337" s="289">
        <v>812</v>
      </c>
      <c r="BJ337" s="289">
        <v>-3.1431</v>
      </c>
      <c r="BK337" s="289">
        <v>0</v>
      </c>
      <c r="BL337" s="289">
        <v>0</v>
      </c>
      <c r="BM337" s="289">
        <v>0</v>
      </c>
      <c r="BN337" s="289">
        <v>0</v>
      </c>
      <c r="BO337" s="517">
        <v>0</v>
      </c>
      <c r="BP337" s="517">
        <v>0</v>
      </c>
      <c r="BQ337" s="289">
        <f t="shared" si="10"/>
        <v>-3.1431350388000001</v>
      </c>
      <c r="BR337" s="289">
        <v>0</v>
      </c>
      <c r="BS337" s="289">
        <f t="shared" si="11"/>
        <v>0</v>
      </c>
      <c r="BT337" s="289">
        <v>8</v>
      </c>
      <c r="BU337" s="289">
        <v>0</v>
      </c>
      <c r="BV337" s="289">
        <v>44</v>
      </c>
      <c r="BW337" s="289">
        <v>125.746</v>
      </c>
      <c r="BX337" s="289">
        <v>62.962000000000003</v>
      </c>
      <c r="CC337" s="517"/>
      <c r="CD337" s="85"/>
      <c r="CE337" s="517"/>
    </row>
    <row r="338" spans="1:83" ht="13">
      <c r="A338" s="1">
        <v>4646</v>
      </c>
      <c r="B338" s="2" t="s">
        <v>72</v>
      </c>
      <c r="C338" s="289">
        <v>2846</v>
      </c>
      <c r="D338" s="289">
        <v>55</v>
      </c>
      <c r="E338" s="289">
        <v>122</v>
      </c>
      <c r="F338" s="289">
        <v>356</v>
      </c>
      <c r="G338" s="289">
        <v>362</v>
      </c>
      <c r="H338" s="289">
        <v>1400</v>
      </c>
      <c r="I338" s="289">
        <v>376</v>
      </c>
      <c r="J338" s="289">
        <v>137</v>
      </c>
      <c r="K338" s="289">
        <v>33</v>
      </c>
      <c r="L338" s="289">
        <v>25</v>
      </c>
      <c r="M338" s="289">
        <v>263</v>
      </c>
      <c r="N338" s="290">
        <v>5</v>
      </c>
      <c r="O338" s="290">
        <v>27</v>
      </c>
      <c r="P338" s="624">
        <v>38117.599666670001</v>
      </c>
      <c r="Q338" s="624">
        <v>16265.61066667</v>
      </c>
      <c r="R338" s="624">
        <v>35</v>
      </c>
      <c r="S338" s="289">
        <v>0</v>
      </c>
      <c r="T338" s="289">
        <v>186</v>
      </c>
      <c r="U338" s="716">
        <v>2.4864439341486812E-3</v>
      </c>
      <c r="V338" s="289">
        <v>1289.66476253</v>
      </c>
      <c r="W338" s="743">
        <v>0.90498321999999998</v>
      </c>
      <c r="X338" s="289">
        <v>2300</v>
      </c>
      <c r="Y338" s="289">
        <v>392</v>
      </c>
      <c r="Z338" s="289">
        <v>63972</v>
      </c>
      <c r="AA338" s="289">
        <v>0</v>
      </c>
      <c r="AB338" s="290">
        <v>41</v>
      </c>
      <c r="AC338" s="289">
        <v>0</v>
      </c>
      <c r="AD338" s="289">
        <v>0</v>
      </c>
      <c r="AE338" s="289">
        <v>0</v>
      </c>
      <c r="AF338" s="289">
        <v>0</v>
      </c>
      <c r="AG338" s="289">
        <v>2841</v>
      </c>
      <c r="AH338" s="289">
        <v>475</v>
      </c>
      <c r="AI338" s="289">
        <v>0</v>
      </c>
      <c r="AJ338" s="289">
        <v>0</v>
      </c>
      <c r="AK338" s="289">
        <v>12.107100000000001</v>
      </c>
      <c r="AL338" s="289"/>
      <c r="AM338" s="622">
        <v>1.714067E-2</v>
      </c>
      <c r="AN338" s="289">
        <v>0</v>
      </c>
      <c r="AO338" s="289">
        <v>-179.37670829999999</v>
      </c>
      <c r="AP338" s="289">
        <v>0</v>
      </c>
      <c r="AQ338" s="289">
        <v>0</v>
      </c>
      <c r="AR338" s="289">
        <v>1875.5882727600001</v>
      </c>
      <c r="AS338" s="289">
        <v>24.459800000000001</v>
      </c>
      <c r="AT338" s="289">
        <v>78</v>
      </c>
      <c r="AU338" s="289">
        <v>18</v>
      </c>
      <c r="AV338" s="625">
        <v>119939</v>
      </c>
      <c r="AW338" s="289">
        <v>-55.271700000000003</v>
      </c>
      <c r="AX338" s="625">
        <v>19.333333329999999</v>
      </c>
      <c r="AY338" s="289">
        <v>601</v>
      </c>
      <c r="AZ338" s="289">
        <v>100</v>
      </c>
      <c r="BA338" s="290">
        <v>52</v>
      </c>
      <c r="BB338" s="289">
        <v>4435</v>
      </c>
      <c r="BC338" s="289">
        <v>901</v>
      </c>
      <c r="BD338" s="289">
        <v>63.040700000000001</v>
      </c>
      <c r="BE338" s="289">
        <v>118211.60638529999</v>
      </c>
      <c r="BF338" s="289">
        <v>0</v>
      </c>
      <c r="BG338" s="289">
        <v>11</v>
      </c>
      <c r="BH338" s="289">
        <v>-23.1465</v>
      </c>
      <c r="BI338" s="289">
        <v>867</v>
      </c>
      <c r="BJ338" s="289">
        <v>-2.9163000000000001</v>
      </c>
      <c r="BK338" s="289">
        <v>0</v>
      </c>
      <c r="BL338" s="289">
        <v>0</v>
      </c>
      <c r="BM338" s="289">
        <v>0</v>
      </c>
      <c r="BN338" s="289">
        <v>0</v>
      </c>
      <c r="BO338" s="517">
        <v>0</v>
      </c>
      <c r="BP338" s="517">
        <v>0</v>
      </c>
      <c r="BQ338" s="289">
        <f t="shared" si="10"/>
        <v>-2.9162791133999999</v>
      </c>
      <c r="BR338" s="289">
        <v>0</v>
      </c>
      <c r="BS338" s="289">
        <f t="shared" si="11"/>
        <v>0</v>
      </c>
      <c r="BT338" s="289">
        <v>7</v>
      </c>
      <c r="BU338" s="289">
        <v>0</v>
      </c>
      <c r="BV338" s="289">
        <v>39</v>
      </c>
      <c r="BW338" s="289">
        <v>0</v>
      </c>
      <c r="BX338" s="289">
        <v>57.956000000000003</v>
      </c>
      <c r="CC338" s="517"/>
      <c r="CD338" s="85"/>
      <c r="CE338" s="517"/>
    </row>
    <row r="339" spans="1:83" ht="13">
      <c r="A339" s="1">
        <v>4648</v>
      </c>
      <c r="B339" s="2" t="s">
        <v>77</v>
      </c>
      <c r="C339" s="289">
        <v>3767</v>
      </c>
      <c r="D339" s="289">
        <v>55</v>
      </c>
      <c r="E339" s="289">
        <v>141</v>
      </c>
      <c r="F339" s="289">
        <v>474</v>
      </c>
      <c r="G339" s="289">
        <v>362</v>
      </c>
      <c r="H339" s="289">
        <v>1941</v>
      </c>
      <c r="I339" s="289">
        <v>525</v>
      </c>
      <c r="J339" s="289">
        <v>256</v>
      </c>
      <c r="K339" s="289">
        <v>63</v>
      </c>
      <c r="L339" s="289">
        <v>29</v>
      </c>
      <c r="M339" s="289">
        <v>378</v>
      </c>
      <c r="N339" s="290">
        <v>27</v>
      </c>
      <c r="O339" s="290">
        <v>81</v>
      </c>
      <c r="P339" s="624">
        <v>114892.74033333</v>
      </c>
      <c r="Q339" s="624">
        <v>14929.58333333</v>
      </c>
      <c r="R339" s="624">
        <v>17</v>
      </c>
      <c r="S339" s="289">
        <v>0</v>
      </c>
      <c r="T339" s="289">
        <v>219</v>
      </c>
      <c r="U339" s="716">
        <v>2.2845700272237771E-3</v>
      </c>
      <c r="V339" s="289">
        <v>1574.5061623500001</v>
      </c>
      <c r="W339" s="743">
        <v>1</v>
      </c>
      <c r="X339" s="289">
        <v>0</v>
      </c>
      <c r="Y339" s="289">
        <v>392</v>
      </c>
      <c r="Z339" s="289">
        <v>105303</v>
      </c>
      <c r="AA339" s="289">
        <v>0</v>
      </c>
      <c r="AB339" s="290">
        <v>59</v>
      </c>
      <c r="AC339" s="289">
        <v>0</v>
      </c>
      <c r="AD339" s="289">
        <v>0</v>
      </c>
      <c r="AE339" s="289">
        <v>0</v>
      </c>
      <c r="AF339" s="289">
        <v>0</v>
      </c>
      <c r="AG339" s="289">
        <v>3817</v>
      </c>
      <c r="AH339" s="289">
        <v>544</v>
      </c>
      <c r="AI339" s="289">
        <v>0</v>
      </c>
      <c r="AJ339" s="289">
        <v>0</v>
      </c>
      <c r="AK339" s="289">
        <v>13.0906</v>
      </c>
      <c r="AL339" s="289"/>
      <c r="AM339" s="622">
        <v>6.7167009999999999E-2</v>
      </c>
      <c r="AN339" s="289">
        <v>5383</v>
      </c>
      <c r="AO339" s="289">
        <v>-230.92842639</v>
      </c>
      <c r="AP339" s="289">
        <v>0</v>
      </c>
      <c r="AQ339" s="289">
        <v>0</v>
      </c>
      <c r="AR339" s="289">
        <v>5021.2916902899997</v>
      </c>
      <c r="AS339" s="289">
        <v>35.098199999999999</v>
      </c>
      <c r="AT339" s="289">
        <v>117</v>
      </c>
      <c r="AU339" s="289">
        <v>59</v>
      </c>
      <c r="AV339" s="625">
        <v>148615</v>
      </c>
      <c r="AW339" s="289">
        <v>-74.259799999999998</v>
      </c>
      <c r="AX339" s="625">
        <v>13.33333333</v>
      </c>
      <c r="AY339" s="289">
        <v>541</v>
      </c>
      <c r="AZ339" s="289">
        <v>144</v>
      </c>
      <c r="BA339" s="290">
        <v>65</v>
      </c>
      <c r="BB339" s="289">
        <v>0</v>
      </c>
      <c r="BC339" s="289">
        <v>774</v>
      </c>
      <c r="BD339" s="289">
        <v>72.198099999999997</v>
      </c>
      <c r="BE339" s="289">
        <v>144413.62814288001</v>
      </c>
      <c r="BF339" s="289">
        <v>0</v>
      </c>
      <c r="BG339" s="289">
        <v>11</v>
      </c>
      <c r="BH339" s="289">
        <v>-31.098299999999998</v>
      </c>
      <c r="BI339" s="289">
        <v>936</v>
      </c>
      <c r="BJ339" s="289">
        <v>-3.9180999999999999</v>
      </c>
      <c r="BK339" s="289">
        <v>0</v>
      </c>
      <c r="BL339" s="289">
        <v>0</v>
      </c>
      <c r="BM339" s="289">
        <v>0</v>
      </c>
      <c r="BN339" s="289">
        <v>0</v>
      </c>
      <c r="BO339" s="517">
        <v>0</v>
      </c>
      <c r="BP339" s="517">
        <v>0</v>
      </c>
      <c r="BQ339" s="289">
        <f t="shared" si="10"/>
        <v>-3.9181405757999999</v>
      </c>
      <c r="BR339" s="289">
        <v>0</v>
      </c>
      <c r="BS339" s="289">
        <f t="shared" si="11"/>
        <v>0</v>
      </c>
      <c r="BT339" s="289">
        <v>7</v>
      </c>
      <c r="BU339" s="289">
        <v>0</v>
      </c>
      <c r="BV339" s="289">
        <v>55</v>
      </c>
      <c r="BW339" s="289">
        <v>366.76</v>
      </c>
      <c r="BX339" s="289">
        <v>77.668999999999997</v>
      </c>
      <c r="CC339" s="517"/>
      <c r="CD339" s="85"/>
      <c r="CE339" s="517"/>
    </row>
    <row r="340" spans="1:83" ht="13">
      <c r="A340" s="1">
        <v>4650</v>
      </c>
      <c r="B340" s="2" t="s">
        <v>82</v>
      </c>
      <c r="C340" s="289">
        <v>5874</v>
      </c>
      <c r="D340" s="289">
        <v>112</v>
      </c>
      <c r="E340" s="289">
        <v>265</v>
      </c>
      <c r="F340" s="289">
        <v>765</v>
      </c>
      <c r="G340" s="289">
        <v>578</v>
      </c>
      <c r="H340" s="289">
        <v>3005</v>
      </c>
      <c r="I340" s="289">
        <v>749</v>
      </c>
      <c r="J340" s="289">
        <v>258</v>
      </c>
      <c r="K340" s="289">
        <v>107</v>
      </c>
      <c r="L340" s="289">
        <v>42</v>
      </c>
      <c r="M340" s="289">
        <v>478</v>
      </c>
      <c r="N340" s="290">
        <v>75</v>
      </c>
      <c r="O340" s="290">
        <v>74</v>
      </c>
      <c r="P340" s="624">
        <v>61844.025999999998</v>
      </c>
      <c r="Q340" s="624">
        <v>22963.29266667</v>
      </c>
      <c r="R340" s="624">
        <v>42</v>
      </c>
      <c r="S340" s="289">
        <v>0</v>
      </c>
      <c r="T340" s="289">
        <v>400</v>
      </c>
      <c r="U340" s="716">
        <v>5.3957996234178752E-3</v>
      </c>
      <c r="V340" s="289">
        <v>2414.22840357</v>
      </c>
      <c r="W340" s="743">
        <v>0.75993405000000003</v>
      </c>
      <c r="X340" s="289">
        <v>0</v>
      </c>
      <c r="Y340" s="289">
        <v>392</v>
      </c>
      <c r="Z340" s="289">
        <v>169864</v>
      </c>
      <c r="AA340" s="289">
        <v>0</v>
      </c>
      <c r="AB340" s="290">
        <v>80</v>
      </c>
      <c r="AC340" s="289">
        <v>0</v>
      </c>
      <c r="AD340" s="289">
        <v>0</v>
      </c>
      <c r="AE340" s="289">
        <v>0</v>
      </c>
      <c r="AF340" s="289">
        <v>0</v>
      </c>
      <c r="AG340" s="289">
        <v>5839</v>
      </c>
      <c r="AH340" s="289">
        <v>865</v>
      </c>
      <c r="AI340" s="289">
        <v>0</v>
      </c>
      <c r="AJ340" s="289">
        <v>0</v>
      </c>
      <c r="AK340" s="289">
        <v>26.157800000000002</v>
      </c>
      <c r="AL340" s="289"/>
      <c r="AM340" s="622">
        <v>1.8269690000000002E-2</v>
      </c>
      <c r="AN340" s="289">
        <v>5992</v>
      </c>
      <c r="AO340" s="289">
        <v>-335.78985540000002</v>
      </c>
      <c r="AP340" s="289">
        <v>0</v>
      </c>
      <c r="AQ340" s="289">
        <v>0</v>
      </c>
      <c r="AR340" s="289">
        <v>-417.33783247999997</v>
      </c>
      <c r="AS340" s="289">
        <v>54.5379</v>
      </c>
      <c r="AT340" s="289">
        <v>165</v>
      </c>
      <c r="AU340" s="289">
        <v>23</v>
      </c>
      <c r="AV340" s="625">
        <v>194350</v>
      </c>
      <c r="AW340" s="289">
        <v>-2.9649999999999999</v>
      </c>
      <c r="AX340" s="625">
        <v>37.708333330000002</v>
      </c>
      <c r="AY340" s="289">
        <v>1367</v>
      </c>
      <c r="AZ340" s="289">
        <v>161</v>
      </c>
      <c r="BA340" s="290">
        <v>129</v>
      </c>
      <c r="BB340" s="289">
        <v>0</v>
      </c>
      <c r="BC340" s="289">
        <v>1434</v>
      </c>
      <c r="BD340" s="289">
        <v>114.8004</v>
      </c>
      <c r="BE340" s="289">
        <v>200540.46111716001</v>
      </c>
      <c r="BF340" s="289">
        <v>0</v>
      </c>
      <c r="BG340" s="289">
        <v>11</v>
      </c>
      <c r="BH340" s="289">
        <v>-47.572099999999999</v>
      </c>
      <c r="BI340" s="289">
        <v>1257</v>
      </c>
      <c r="BJ340" s="289">
        <v>-5.9936999999999996</v>
      </c>
      <c r="BK340" s="289">
        <v>0</v>
      </c>
      <c r="BL340" s="289">
        <v>0</v>
      </c>
      <c r="BM340" s="289">
        <v>0</v>
      </c>
      <c r="BN340" s="289">
        <v>0</v>
      </c>
      <c r="BO340" s="517">
        <v>0</v>
      </c>
      <c r="BP340" s="517">
        <v>0</v>
      </c>
      <c r="BQ340" s="289">
        <f t="shared" si="10"/>
        <v>-5.9937183186</v>
      </c>
      <c r="BR340" s="289">
        <v>0</v>
      </c>
      <c r="BS340" s="289">
        <f t="shared" si="11"/>
        <v>0</v>
      </c>
      <c r="BT340" s="289">
        <v>15</v>
      </c>
      <c r="BU340" s="289">
        <v>0</v>
      </c>
      <c r="BV340" s="289">
        <v>67</v>
      </c>
      <c r="BW340" s="289">
        <v>0</v>
      </c>
      <c r="BX340" s="289">
        <v>121.375</v>
      </c>
      <c r="CC340" s="517"/>
      <c r="CD340" s="85"/>
      <c r="CE340" s="517"/>
    </row>
    <row r="341" spans="1:83" ht="13">
      <c r="A341" s="1">
        <v>4651</v>
      </c>
      <c r="B341" s="2" t="s">
        <v>83</v>
      </c>
      <c r="C341" s="289">
        <v>7195</v>
      </c>
      <c r="D341" s="289">
        <v>167</v>
      </c>
      <c r="E341" s="289">
        <v>333</v>
      </c>
      <c r="F341" s="289">
        <v>972</v>
      </c>
      <c r="G341" s="289">
        <v>662</v>
      </c>
      <c r="H341" s="289">
        <v>3913</v>
      </c>
      <c r="I341" s="289">
        <v>810</v>
      </c>
      <c r="J341" s="289">
        <v>282</v>
      </c>
      <c r="K341" s="289">
        <v>88</v>
      </c>
      <c r="L341" s="289">
        <v>51</v>
      </c>
      <c r="M341" s="289">
        <v>517</v>
      </c>
      <c r="N341" s="290">
        <v>90</v>
      </c>
      <c r="O341" s="290">
        <v>141</v>
      </c>
      <c r="P341" s="624">
        <v>75360.306666670003</v>
      </c>
      <c r="Q341" s="624">
        <v>23498.845000000001</v>
      </c>
      <c r="R341" s="624">
        <v>39</v>
      </c>
      <c r="S341" s="289">
        <v>0</v>
      </c>
      <c r="T341" s="289">
        <v>533</v>
      </c>
      <c r="U341" s="716">
        <v>5.6952199672794289E-3</v>
      </c>
      <c r="V341" s="289">
        <v>2813.77058855</v>
      </c>
      <c r="W341" s="743">
        <v>0.78640697999999998</v>
      </c>
      <c r="X341" s="289">
        <v>500</v>
      </c>
      <c r="Y341" s="289">
        <v>392</v>
      </c>
      <c r="Z341" s="289">
        <v>181528</v>
      </c>
      <c r="AA341" s="289">
        <v>0</v>
      </c>
      <c r="AB341" s="290">
        <v>73</v>
      </c>
      <c r="AC341" s="289">
        <v>601</v>
      </c>
      <c r="AD341" s="289">
        <v>0</v>
      </c>
      <c r="AE341" s="289">
        <v>0</v>
      </c>
      <c r="AF341" s="289">
        <v>0</v>
      </c>
      <c r="AG341" s="289">
        <v>7227</v>
      </c>
      <c r="AH341" s="289">
        <v>1125</v>
      </c>
      <c r="AI341" s="289">
        <v>50</v>
      </c>
      <c r="AJ341" s="289">
        <v>0</v>
      </c>
      <c r="AK341" s="289">
        <v>32.752899999999997</v>
      </c>
      <c r="AL341" s="289"/>
      <c r="AM341" s="622">
        <v>8.1904779999999996E-2</v>
      </c>
      <c r="AN341" s="289">
        <v>5427</v>
      </c>
      <c r="AO341" s="289">
        <v>-391.36132176000001</v>
      </c>
      <c r="AP341" s="289">
        <v>0</v>
      </c>
      <c r="AQ341" s="289">
        <v>0</v>
      </c>
      <c r="AR341" s="289">
        <v>-516.54401700999995</v>
      </c>
      <c r="AS341" s="289">
        <v>71.118399999999994</v>
      </c>
      <c r="AT341" s="289">
        <v>254</v>
      </c>
      <c r="AU341" s="289">
        <v>56</v>
      </c>
      <c r="AV341" s="625">
        <v>217670</v>
      </c>
      <c r="AW341" s="289">
        <v>-3.6699000000000002</v>
      </c>
      <c r="AX341" s="625">
        <v>59.666666659999997</v>
      </c>
      <c r="AY341" s="289">
        <v>1299</v>
      </c>
      <c r="AZ341" s="289">
        <v>300</v>
      </c>
      <c r="BA341" s="290">
        <v>157</v>
      </c>
      <c r="BB341" s="289">
        <v>0</v>
      </c>
      <c r="BC341" s="289">
        <v>1615</v>
      </c>
      <c r="BD341" s="289">
        <v>149.30680000000001</v>
      </c>
      <c r="BE341" s="289">
        <v>221574.80842731</v>
      </c>
      <c r="BF341" s="289">
        <v>0</v>
      </c>
      <c r="BG341" s="289">
        <v>11</v>
      </c>
      <c r="BH341" s="289">
        <v>-58.880600000000001</v>
      </c>
      <c r="BI341" s="289">
        <v>1517</v>
      </c>
      <c r="BJ341" s="289">
        <v>-7.4184999999999999</v>
      </c>
      <c r="BK341" s="289">
        <v>0</v>
      </c>
      <c r="BL341" s="289">
        <v>0</v>
      </c>
      <c r="BM341" s="289">
        <v>0</v>
      </c>
      <c r="BN341" s="289">
        <v>0</v>
      </c>
      <c r="BO341" s="517">
        <v>0</v>
      </c>
      <c r="BP341" s="517">
        <v>0</v>
      </c>
      <c r="BQ341" s="289">
        <f t="shared" si="10"/>
        <v>-7.4184967097999994</v>
      </c>
      <c r="BR341" s="289">
        <v>0</v>
      </c>
      <c r="BS341" s="289">
        <f t="shared" si="11"/>
        <v>0</v>
      </c>
      <c r="BT341" s="289">
        <v>19</v>
      </c>
      <c r="BU341" s="289">
        <v>0</v>
      </c>
      <c r="BV341" s="289">
        <v>79</v>
      </c>
      <c r="BW341" s="289">
        <v>52.393999999999998</v>
      </c>
      <c r="BX341" s="289">
        <v>150.10300000000001</v>
      </c>
      <c r="CC341" s="517"/>
      <c r="CD341" s="85"/>
      <c r="CE341" s="517"/>
    </row>
    <row r="342" spans="1:83" ht="13">
      <c r="A342" s="1">
        <v>5001</v>
      </c>
      <c r="B342" s="2" t="s">
        <v>118</v>
      </c>
      <c r="C342" s="289">
        <v>193501</v>
      </c>
      <c r="D342" s="289">
        <v>4597</v>
      </c>
      <c r="E342" s="289">
        <v>8869</v>
      </c>
      <c r="F342" s="289">
        <v>21278</v>
      </c>
      <c r="G342" s="289">
        <v>17675</v>
      </c>
      <c r="H342" s="289">
        <v>115018</v>
      </c>
      <c r="I342" s="289">
        <v>17182</v>
      </c>
      <c r="J342" s="289">
        <v>5179</v>
      </c>
      <c r="K342" s="289">
        <v>1346</v>
      </c>
      <c r="L342" s="289">
        <v>1417</v>
      </c>
      <c r="M342" s="289">
        <v>10677</v>
      </c>
      <c r="N342" s="290">
        <v>4926</v>
      </c>
      <c r="O342" s="290">
        <v>1281</v>
      </c>
      <c r="P342" s="624">
        <v>398572.41800000001</v>
      </c>
      <c r="Q342" s="624">
        <v>140936.10866667001</v>
      </c>
      <c r="R342" s="624">
        <v>573</v>
      </c>
      <c r="S342" s="289">
        <v>0</v>
      </c>
      <c r="T342" s="289">
        <v>16689</v>
      </c>
      <c r="U342" s="716">
        <v>4.6567546019236246E-3</v>
      </c>
      <c r="V342" s="289">
        <v>-25923.123321660001</v>
      </c>
      <c r="W342" s="743">
        <v>0.52878999999999998</v>
      </c>
      <c r="X342" s="289">
        <v>7500</v>
      </c>
      <c r="Y342" s="289">
        <v>4312</v>
      </c>
      <c r="Z342" s="289">
        <v>6030359</v>
      </c>
      <c r="AA342" s="289">
        <v>0</v>
      </c>
      <c r="AB342" s="290">
        <v>3399</v>
      </c>
      <c r="AC342" s="289">
        <v>0</v>
      </c>
      <c r="AD342" s="289">
        <v>5688.1440000000002</v>
      </c>
      <c r="AE342" s="289">
        <v>13098</v>
      </c>
      <c r="AF342" s="289">
        <v>0</v>
      </c>
      <c r="AG342" s="289">
        <v>191144</v>
      </c>
      <c r="AH342" s="289">
        <v>25861</v>
      </c>
      <c r="AI342" s="289">
        <v>20320</v>
      </c>
      <c r="AJ342" s="289">
        <v>0</v>
      </c>
      <c r="AK342" s="289">
        <v>942.28449999999998</v>
      </c>
      <c r="AL342" s="289"/>
      <c r="AM342" s="622">
        <v>4.7779269600000003</v>
      </c>
      <c r="AN342" s="289">
        <v>0</v>
      </c>
      <c r="AO342" s="289">
        <v>-8468.6252077000008</v>
      </c>
      <c r="AP342" s="289">
        <v>68758</v>
      </c>
      <c r="AQ342" s="289">
        <v>0</v>
      </c>
      <c r="AR342" s="289">
        <v>-13661.86378675</v>
      </c>
      <c r="AS342" s="289">
        <v>2551.2107000000001</v>
      </c>
      <c r="AT342" s="289">
        <v>8861</v>
      </c>
      <c r="AU342" s="289">
        <v>2541</v>
      </c>
      <c r="AV342" s="625">
        <v>3623411</v>
      </c>
      <c r="AW342" s="289">
        <v>-97.0625</v>
      </c>
      <c r="AX342" s="625">
        <v>1702.9999999700001</v>
      </c>
      <c r="AY342" s="289">
        <v>63852</v>
      </c>
      <c r="AZ342" s="289">
        <v>7698</v>
      </c>
      <c r="BA342" s="290">
        <v>4069</v>
      </c>
      <c r="BB342" s="289">
        <v>0</v>
      </c>
      <c r="BC342" s="289">
        <v>29662</v>
      </c>
      <c r="BD342" s="289">
        <v>3432.1988000000001</v>
      </c>
      <c r="BE342" s="289">
        <v>3752891.3129801</v>
      </c>
      <c r="BF342" s="289">
        <v>0</v>
      </c>
      <c r="BG342" s="289">
        <v>121</v>
      </c>
      <c r="BH342" s="289">
        <v>-1557.3087</v>
      </c>
      <c r="BI342" s="289">
        <v>35861.144</v>
      </c>
      <c r="BJ342" s="289">
        <v>-371.39179999999999</v>
      </c>
      <c r="BK342" s="289">
        <v>0</v>
      </c>
      <c r="BL342" s="289">
        <v>0</v>
      </c>
      <c r="BM342" s="289">
        <v>0</v>
      </c>
      <c r="BN342" s="289">
        <v>0</v>
      </c>
      <c r="BO342" s="517">
        <v>0</v>
      </c>
      <c r="BP342" s="517">
        <v>0</v>
      </c>
      <c r="BQ342" s="289">
        <f t="shared" si="10"/>
        <v>-196.20881902560001</v>
      </c>
      <c r="BR342" s="289">
        <v>5512.9610000000002</v>
      </c>
      <c r="BS342" s="289">
        <f t="shared" si="11"/>
        <v>-175.18299999999999</v>
      </c>
      <c r="BT342" s="289">
        <v>540</v>
      </c>
      <c r="BU342" s="289">
        <v>0</v>
      </c>
      <c r="BV342" s="289">
        <v>1598</v>
      </c>
      <c r="BW342" s="289">
        <v>391.90899999999999</v>
      </c>
      <c r="BX342" s="289">
        <v>4030.8960000000002</v>
      </c>
      <c r="CC342" s="517"/>
      <c r="CD342" s="85"/>
      <c r="CE342" s="517"/>
    </row>
    <row r="343" spans="1:83" ht="13">
      <c r="A343" s="1">
        <v>5004</v>
      </c>
      <c r="B343" s="2" t="s">
        <v>144</v>
      </c>
      <c r="C343" s="289">
        <v>22096</v>
      </c>
      <c r="D343" s="289">
        <v>406</v>
      </c>
      <c r="E343" s="289">
        <v>957</v>
      </c>
      <c r="F343" s="289">
        <v>2629</v>
      </c>
      <c r="G343" s="289">
        <v>2070</v>
      </c>
      <c r="H343" s="289">
        <v>11973</v>
      </c>
      <c r="I343" s="289">
        <v>2806</v>
      </c>
      <c r="J343" s="289">
        <v>965</v>
      </c>
      <c r="K343" s="289">
        <v>209</v>
      </c>
      <c r="L343" s="289">
        <v>171</v>
      </c>
      <c r="M343" s="289">
        <v>1717</v>
      </c>
      <c r="N343" s="290">
        <v>294</v>
      </c>
      <c r="O343" s="290">
        <v>162</v>
      </c>
      <c r="P343" s="624">
        <v>108970.53966667</v>
      </c>
      <c r="Q343" s="624">
        <v>52044.830333329999</v>
      </c>
      <c r="R343" s="624">
        <v>94</v>
      </c>
      <c r="S343" s="289">
        <v>0</v>
      </c>
      <c r="T343" s="289">
        <v>1627</v>
      </c>
      <c r="U343" s="716">
        <v>1.0323925592914856E-2</v>
      </c>
      <c r="V343" s="289">
        <v>-2042.8169516800001</v>
      </c>
      <c r="W343" s="743">
        <v>0.60719628999999997</v>
      </c>
      <c r="X343" s="289">
        <v>1400</v>
      </c>
      <c r="Y343" s="289">
        <v>784</v>
      </c>
      <c r="Z343" s="289">
        <v>507896</v>
      </c>
      <c r="AA343" s="289">
        <v>0</v>
      </c>
      <c r="AB343" s="290">
        <v>466</v>
      </c>
      <c r="AC343" s="289">
        <v>0</v>
      </c>
      <c r="AD343" s="289">
        <v>4448.7359999999999</v>
      </c>
      <c r="AE343" s="289">
        <v>0</v>
      </c>
      <c r="AF343" s="289">
        <v>0</v>
      </c>
      <c r="AG343" s="289">
        <v>22015</v>
      </c>
      <c r="AH343" s="289">
        <v>3096</v>
      </c>
      <c r="AI343" s="289">
        <v>3470</v>
      </c>
      <c r="AJ343" s="289">
        <v>0</v>
      </c>
      <c r="AK343" s="289">
        <v>95.084299999999999</v>
      </c>
      <c r="AL343" s="289"/>
      <c r="AM343" s="622">
        <v>0.40065489999999998</v>
      </c>
      <c r="AN343" s="289">
        <v>10038</v>
      </c>
      <c r="AO343" s="289">
        <v>-1093.3672875300001</v>
      </c>
      <c r="AP343" s="289">
        <v>0</v>
      </c>
      <c r="AQ343" s="289">
        <v>0</v>
      </c>
      <c r="AR343" s="289">
        <v>-1573.5044326</v>
      </c>
      <c r="AS343" s="289">
        <v>248.99039999999999</v>
      </c>
      <c r="AT343" s="289">
        <v>1080</v>
      </c>
      <c r="AU343" s="289">
        <v>244</v>
      </c>
      <c r="AV343" s="625">
        <v>553311</v>
      </c>
      <c r="AW343" s="289">
        <v>-11.1792</v>
      </c>
      <c r="AX343" s="625">
        <v>153.20833332999999</v>
      </c>
      <c r="AY343" s="289">
        <v>4721</v>
      </c>
      <c r="AZ343" s="289">
        <v>734</v>
      </c>
      <c r="BA343" s="290">
        <v>528</v>
      </c>
      <c r="BB343" s="289">
        <v>0</v>
      </c>
      <c r="BC343" s="289">
        <v>4443</v>
      </c>
      <c r="BD343" s="289">
        <v>410.89240000000001</v>
      </c>
      <c r="BE343" s="289">
        <v>564134.78606169997</v>
      </c>
      <c r="BF343" s="289">
        <v>0</v>
      </c>
      <c r="BG343" s="289">
        <v>22</v>
      </c>
      <c r="BH343" s="289">
        <v>-179.3629</v>
      </c>
      <c r="BI343" s="289">
        <v>8328.7360000000008</v>
      </c>
      <c r="BJ343" s="289">
        <v>-196.8023</v>
      </c>
      <c r="BK343" s="289">
        <v>0</v>
      </c>
      <c r="BL343" s="289">
        <v>0</v>
      </c>
      <c r="BM343" s="289">
        <v>4285</v>
      </c>
      <c r="BN343" s="289">
        <v>0</v>
      </c>
      <c r="BO343" s="517">
        <v>0</v>
      </c>
      <c r="BP343" s="517">
        <v>0</v>
      </c>
      <c r="BQ343" s="289">
        <f t="shared" si="10"/>
        <v>-22.598340261000001</v>
      </c>
      <c r="BR343" s="289">
        <v>4274.5320000000002</v>
      </c>
      <c r="BS343" s="289">
        <f t="shared" si="11"/>
        <v>-174.20399999999972</v>
      </c>
      <c r="BT343" s="289">
        <v>54</v>
      </c>
      <c r="BU343" s="289">
        <v>0</v>
      </c>
      <c r="BV343" s="289">
        <v>216</v>
      </c>
      <c r="BW343" s="289">
        <v>319.60500000000002</v>
      </c>
      <c r="BX343" s="289">
        <v>460.01100000000002</v>
      </c>
      <c r="CC343" s="517"/>
      <c r="CD343" s="85"/>
      <c r="CE343" s="517"/>
    </row>
    <row r="344" spans="1:83" ht="13">
      <c r="A344" s="1">
        <v>5005</v>
      </c>
      <c r="B344" s="2" t="s">
        <v>145</v>
      </c>
      <c r="C344" s="289">
        <v>13078</v>
      </c>
      <c r="D344" s="289">
        <v>308</v>
      </c>
      <c r="E344" s="289">
        <v>600</v>
      </c>
      <c r="F344" s="289">
        <v>1663</v>
      </c>
      <c r="G344" s="289">
        <v>1351</v>
      </c>
      <c r="H344" s="289">
        <v>7093</v>
      </c>
      <c r="I344" s="289">
        <v>1513</v>
      </c>
      <c r="J344" s="289">
        <v>487</v>
      </c>
      <c r="K344" s="289">
        <v>127</v>
      </c>
      <c r="L344" s="289">
        <v>105</v>
      </c>
      <c r="M344" s="289">
        <v>973</v>
      </c>
      <c r="N344" s="290">
        <v>190</v>
      </c>
      <c r="O344" s="290">
        <v>109</v>
      </c>
      <c r="P344" s="624">
        <v>66482.145000000004</v>
      </c>
      <c r="Q344" s="624">
        <v>23595.135999999999</v>
      </c>
      <c r="R344" s="624">
        <v>70</v>
      </c>
      <c r="S344" s="289">
        <v>0</v>
      </c>
      <c r="T344" s="289">
        <v>923</v>
      </c>
      <c r="U344" s="716">
        <v>1.7190032277799446E-3</v>
      </c>
      <c r="V344" s="289">
        <v>-940.48145777000002</v>
      </c>
      <c r="W344" s="743">
        <v>0.58997378</v>
      </c>
      <c r="X344" s="289">
        <v>700</v>
      </c>
      <c r="Y344" s="289">
        <v>392</v>
      </c>
      <c r="Z344" s="289">
        <v>318589</v>
      </c>
      <c r="AA344" s="289">
        <v>0</v>
      </c>
      <c r="AB344" s="290">
        <v>293</v>
      </c>
      <c r="AC344" s="289">
        <v>0</v>
      </c>
      <c r="AD344" s="289">
        <v>2444.9580000000001</v>
      </c>
      <c r="AE344" s="289">
        <v>0</v>
      </c>
      <c r="AF344" s="289">
        <v>0</v>
      </c>
      <c r="AG344" s="289">
        <v>13142</v>
      </c>
      <c r="AH344" s="289">
        <v>2009</v>
      </c>
      <c r="AI344" s="289">
        <v>6380</v>
      </c>
      <c r="AJ344" s="289">
        <v>0</v>
      </c>
      <c r="AK344" s="289">
        <v>60.6631</v>
      </c>
      <c r="AL344" s="289">
        <v>22317</v>
      </c>
      <c r="AM344" s="622">
        <v>0.21805184</v>
      </c>
      <c r="AN344" s="289">
        <v>0</v>
      </c>
      <c r="AO344" s="289">
        <v>-668.75090511999997</v>
      </c>
      <c r="AP344" s="289">
        <v>0</v>
      </c>
      <c r="AQ344" s="289">
        <v>0</v>
      </c>
      <c r="AR344" s="289">
        <v>-939.31388841</v>
      </c>
      <c r="AS344" s="289">
        <v>147.45269999999999</v>
      </c>
      <c r="AT344" s="289">
        <v>655</v>
      </c>
      <c r="AU344" s="289">
        <v>123</v>
      </c>
      <c r="AV344" s="625">
        <v>361531</v>
      </c>
      <c r="AW344" s="289">
        <v>-6.6734999999999998</v>
      </c>
      <c r="AX344" s="625">
        <v>114.91666667</v>
      </c>
      <c r="AY344" s="289">
        <v>2890</v>
      </c>
      <c r="AZ344" s="289">
        <v>461</v>
      </c>
      <c r="BA344" s="290">
        <v>409</v>
      </c>
      <c r="BB344" s="289">
        <v>0</v>
      </c>
      <c r="BC344" s="289">
        <v>2395</v>
      </c>
      <c r="BD344" s="289">
        <v>266.62880000000001</v>
      </c>
      <c r="BE344" s="289">
        <v>370620.23994751001</v>
      </c>
      <c r="BF344" s="289">
        <v>0</v>
      </c>
      <c r="BG344" s="289">
        <v>11</v>
      </c>
      <c r="BH344" s="289">
        <v>-107.0719</v>
      </c>
      <c r="BI344" s="289">
        <v>4845.9579999999996</v>
      </c>
      <c r="BJ344" s="289">
        <v>600.85270000000003</v>
      </c>
      <c r="BK344" s="289">
        <v>1487</v>
      </c>
      <c r="BL344" s="289">
        <v>0</v>
      </c>
      <c r="BM344" s="289">
        <v>3561</v>
      </c>
      <c r="BN344" s="289">
        <v>0</v>
      </c>
      <c r="BO344" s="517">
        <v>0</v>
      </c>
      <c r="BP344" s="517">
        <v>0</v>
      </c>
      <c r="BQ344" s="289">
        <f t="shared" si="10"/>
        <v>-13.490228830800001</v>
      </c>
      <c r="BR344" s="289">
        <v>4546.7420000000002</v>
      </c>
      <c r="BS344" s="289">
        <f t="shared" si="11"/>
        <v>2101.7840000000001</v>
      </c>
      <c r="BT344" s="289">
        <v>35</v>
      </c>
      <c r="BU344" s="289">
        <v>0</v>
      </c>
      <c r="BV344" s="289">
        <v>128</v>
      </c>
      <c r="BW344" s="289">
        <v>332.17899999999997</v>
      </c>
      <c r="BX344" s="289">
        <v>271.22899999999998</v>
      </c>
      <c r="CC344" s="517"/>
      <c r="CD344" s="85"/>
      <c r="CE344" s="517"/>
    </row>
    <row r="345" spans="1:83" ht="13">
      <c r="A345" s="1">
        <v>5011</v>
      </c>
      <c r="B345" s="2" t="s">
        <v>119</v>
      </c>
      <c r="C345" s="289">
        <v>4225</v>
      </c>
      <c r="D345" s="289">
        <v>97</v>
      </c>
      <c r="E345" s="289">
        <v>175</v>
      </c>
      <c r="F345" s="289">
        <v>492</v>
      </c>
      <c r="G345" s="289">
        <v>435</v>
      </c>
      <c r="H345" s="289">
        <v>2266</v>
      </c>
      <c r="I345" s="289">
        <v>577</v>
      </c>
      <c r="J345" s="289">
        <v>196</v>
      </c>
      <c r="K345" s="289">
        <v>35</v>
      </c>
      <c r="L345" s="289">
        <v>34</v>
      </c>
      <c r="M345" s="289">
        <v>347</v>
      </c>
      <c r="N345" s="290">
        <v>29</v>
      </c>
      <c r="O345" s="290">
        <v>34</v>
      </c>
      <c r="P345" s="624">
        <v>23249.486333330002</v>
      </c>
      <c r="Q345" s="624">
        <v>11524.21766667</v>
      </c>
      <c r="R345" s="624">
        <v>16</v>
      </c>
      <c r="S345" s="289">
        <v>0</v>
      </c>
      <c r="T345" s="289">
        <v>301</v>
      </c>
      <c r="U345" s="716">
        <v>2.2970062047930331E-3</v>
      </c>
      <c r="V345" s="289">
        <v>1577.2422072100001</v>
      </c>
      <c r="W345" s="743">
        <v>0.78683082000000004</v>
      </c>
      <c r="X345" s="289">
        <v>300</v>
      </c>
      <c r="Y345" s="289">
        <v>392</v>
      </c>
      <c r="Z345" s="289">
        <v>111639</v>
      </c>
      <c r="AA345" s="289">
        <v>0</v>
      </c>
      <c r="AB345" s="290">
        <v>118</v>
      </c>
      <c r="AC345" s="289">
        <v>0</v>
      </c>
      <c r="AD345" s="289">
        <v>1148.0940000000001</v>
      </c>
      <c r="AE345" s="289">
        <v>0</v>
      </c>
      <c r="AF345" s="289">
        <v>0</v>
      </c>
      <c r="AG345" s="289">
        <v>4273</v>
      </c>
      <c r="AH345" s="289">
        <v>618</v>
      </c>
      <c r="AI345" s="289">
        <v>500</v>
      </c>
      <c r="AJ345" s="289">
        <v>0</v>
      </c>
      <c r="AK345" s="289">
        <v>17.616499999999998</v>
      </c>
      <c r="AL345" s="289"/>
      <c r="AM345" s="622">
        <v>7.0799509999999996E-2</v>
      </c>
      <c r="AN345" s="289">
        <v>5831</v>
      </c>
      <c r="AO345" s="289">
        <v>-219.37523886</v>
      </c>
      <c r="AP345" s="289">
        <v>0</v>
      </c>
      <c r="AQ345" s="289">
        <v>0</v>
      </c>
      <c r="AR345" s="289">
        <v>-305.40924100000001</v>
      </c>
      <c r="AS345" s="289">
        <v>47.364400000000003</v>
      </c>
      <c r="AT345" s="289">
        <v>218</v>
      </c>
      <c r="AU345" s="289">
        <v>43</v>
      </c>
      <c r="AV345" s="625">
        <v>117666</v>
      </c>
      <c r="AW345" s="289">
        <v>-2.1698</v>
      </c>
      <c r="AX345" s="625">
        <v>40.5</v>
      </c>
      <c r="AY345" s="289">
        <v>600</v>
      </c>
      <c r="AZ345" s="289">
        <v>137</v>
      </c>
      <c r="BA345" s="290">
        <v>104</v>
      </c>
      <c r="BB345" s="289">
        <v>0</v>
      </c>
      <c r="BC345" s="289">
        <v>1067</v>
      </c>
      <c r="BD345" s="289">
        <v>82.019199999999998</v>
      </c>
      <c r="BE345" s="289">
        <v>122450.37342957</v>
      </c>
      <c r="BF345" s="289">
        <v>0</v>
      </c>
      <c r="BG345" s="289">
        <v>11</v>
      </c>
      <c r="BH345" s="289">
        <v>-34.813400000000001</v>
      </c>
      <c r="BI345" s="289">
        <v>2158.0940000000001</v>
      </c>
      <c r="BJ345" s="289">
        <v>80.205399999999997</v>
      </c>
      <c r="BK345" s="289">
        <v>205</v>
      </c>
      <c r="BL345" s="289">
        <v>0</v>
      </c>
      <c r="BM345" s="289">
        <v>0</v>
      </c>
      <c r="BN345" s="289">
        <v>0</v>
      </c>
      <c r="BO345" s="517">
        <v>0</v>
      </c>
      <c r="BP345" s="517">
        <v>0</v>
      </c>
      <c r="BQ345" s="289">
        <f t="shared" si="10"/>
        <v>-4.3862233901999996</v>
      </c>
      <c r="BR345" s="289">
        <v>1437.498</v>
      </c>
      <c r="BS345" s="289">
        <f t="shared" si="11"/>
        <v>289.404</v>
      </c>
      <c r="BT345" s="289">
        <v>10</v>
      </c>
      <c r="BU345" s="289">
        <v>0</v>
      </c>
      <c r="BV345" s="289">
        <v>48</v>
      </c>
      <c r="BW345" s="289">
        <v>197.00200000000001</v>
      </c>
      <c r="BX345" s="289">
        <v>87.992999999999995</v>
      </c>
      <c r="CC345" s="517"/>
      <c r="CD345" s="85"/>
      <c r="CE345" s="517"/>
    </row>
    <row r="346" spans="1:83" ht="13">
      <c r="A346" s="1">
        <v>5012</v>
      </c>
      <c r="B346" s="2" t="s">
        <v>120</v>
      </c>
      <c r="C346" s="289">
        <v>987</v>
      </c>
      <c r="D346" s="289">
        <v>19</v>
      </c>
      <c r="E346" s="289">
        <v>36</v>
      </c>
      <c r="F346" s="289">
        <v>96</v>
      </c>
      <c r="G346" s="289">
        <v>93</v>
      </c>
      <c r="H346" s="289">
        <v>530</v>
      </c>
      <c r="I346" s="289">
        <v>134</v>
      </c>
      <c r="J346" s="289">
        <v>62</v>
      </c>
      <c r="K346" s="289">
        <v>12</v>
      </c>
      <c r="L346" s="289">
        <v>7</v>
      </c>
      <c r="M346" s="289">
        <v>102</v>
      </c>
      <c r="N346" s="290">
        <v>3</v>
      </c>
      <c r="O346" s="290">
        <v>6</v>
      </c>
      <c r="P346" s="624">
        <v>22338.319</v>
      </c>
      <c r="Q346" s="624">
        <v>11021.33533333</v>
      </c>
      <c r="R346" s="624">
        <v>1</v>
      </c>
      <c r="S346" s="289">
        <v>0</v>
      </c>
      <c r="T346" s="289">
        <v>81</v>
      </c>
      <c r="U346" s="716">
        <v>1.3201935653889495E-3</v>
      </c>
      <c r="V346" s="289">
        <v>467.84647923</v>
      </c>
      <c r="W346" s="743">
        <v>1</v>
      </c>
      <c r="X346" s="289">
        <v>100</v>
      </c>
      <c r="Y346" s="289">
        <v>392</v>
      </c>
      <c r="Z346" s="289">
        <v>25630</v>
      </c>
      <c r="AA346" s="289">
        <v>0</v>
      </c>
      <c r="AB346" s="290">
        <v>17</v>
      </c>
      <c r="AC346" s="289">
        <v>0</v>
      </c>
      <c r="AD346" s="289">
        <v>0</v>
      </c>
      <c r="AE346" s="289">
        <v>0</v>
      </c>
      <c r="AF346" s="289">
        <v>0</v>
      </c>
      <c r="AG346" s="289">
        <v>982</v>
      </c>
      <c r="AH346" s="289">
        <v>123</v>
      </c>
      <c r="AI346" s="289">
        <v>0</v>
      </c>
      <c r="AJ346" s="289">
        <v>0</v>
      </c>
      <c r="AK346" s="289">
        <v>3.3243999999999998</v>
      </c>
      <c r="AL346" s="289"/>
      <c r="AM346" s="622">
        <v>3.1358800000000002E-3</v>
      </c>
      <c r="AN346" s="289">
        <v>0</v>
      </c>
      <c r="AO346" s="289">
        <v>-65.071764290000004</v>
      </c>
      <c r="AP346" s="289">
        <v>0</v>
      </c>
      <c r="AQ346" s="289">
        <v>0</v>
      </c>
      <c r="AR346" s="289">
        <v>293.70877010999999</v>
      </c>
      <c r="AS346" s="289">
        <v>9.6579999999999995</v>
      </c>
      <c r="AT346" s="289">
        <v>36</v>
      </c>
      <c r="AU346" s="289">
        <v>4</v>
      </c>
      <c r="AV346" s="625">
        <v>47952</v>
      </c>
      <c r="AW346" s="289">
        <v>32.895200000000003</v>
      </c>
      <c r="AX346" s="625">
        <v>3.6666666700000001</v>
      </c>
      <c r="AY346" s="289">
        <v>122</v>
      </c>
      <c r="AZ346" s="289">
        <v>21</v>
      </c>
      <c r="BA346" s="290">
        <v>9</v>
      </c>
      <c r="BB346" s="289">
        <v>5543</v>
      </c>
      <c r="BC346" s="289">
        <v>564</v>
      </c>
      <c r="BD346" s="289">
        <v>16.324200000000001</v>
      </c>
      <c r="BE346" s="289">
        <v>47672.893552809997</v>
      </c>
      <c r="BF346" s="289">
        <v>0</v>
      </c>
      <c r="BG346" s="289">
        <v>11</v>
      </c>
      <c r="BH346" s="289">
        <v>-8.0007000000000001</v>
      </c>
      <c r="BI346" s="289">
        <v>515</v>
      </c>
      <c r="BJ346" s="289">
        <v>-1.008</v>
      </c>
      <c r="BK346" s="289">
        <v>0</v>
      </c>
      <c r="BL346" s="289">
        <v>0</v>
      </c>
      <c r="BM346" s="289">
        <v>104</v>
      </c>
      <c r="BN346" s="289">
        <v>0</v>
      </c>
      <c r="BO346" s="517">
        <v>0</v>
      </c>
      <c r="BP346" s="517">
        <v>0</v>
      </c>
      <c r="BQ346" s="289">
        <f t="shared" si="10"/>
        <v>-1.0080204468</v>
      </c>
      <c r="BR346" s="289">
        <v>0</v>
      </c>
      <c r="BS346" s="289">
        <f t="shared" si="11"/>
        <v>0</v>
      </c>
      <c r="BT346" s="289">
        <v>2</v>
      </c>
      <c r="BU346" s="289">
        <v>0</v>
      </c>
      <c r="BV346" s="289">
        <v>21</v>
      </c>
      <c r="BW346" s="289">
        <v>152.99100000000001</v>
      </c>
      <c r="BX346" s="289">
        <v>20.481999999999999</v>
      </c>
      <c r="CC346" s="517"/>
      <c r="CD346" s="85"/>
      <c r="CE346" s="517"/>
    </row>
    <row r="347" spans="1:83" ht="13">
      <c r="A347" s="1">
        <v>5013</v>
      </c>
      <c r="B347" s="2" t="s">
        <v>121</v>
      </c>
      <c r="C347" s="289">
        <v>4648</v>
      </c>
      <c r="D347" s="289">
        <v>95</v>
      </c>
      <c r="E347" s="289">
        <v>187</v>
      </c>
      <c r="F347" s="289">
        <v>492</v>
      </c>
      <c r="G347" s="289">
        <v>401</v>
      </c>
      <c r="H347" s="289">
        <v>2612</v>
      </c>
      <c r="I347" s="289">
        <v>643</v>
      </c>
      <c r="J347" s="289">
        <v>182</v>
      </c>
      <c r="K347" s="289">
        <v>38</v>
      </c>
      <c r="L347" s="289">
        <v>39</v>
      </c>
      <c r="M347" s="289">
        <v>389</v>
      </c>
      <c r="N347" s="290">
        <v>26</v>
      </c>
      <c r="O347" s="290">
        <v>51</v>
      </c>
      <c r="P347" s="624">
        <v>64119.531000000003</v>
      </c>
      <c r="Q347" s="624">
        <v>22492.891</v>
      </c>
      <c r="R347" s="624">
        <v>24</v>
      </c>
      <c r="S347" s="289">
        <v>0</v>
      </c>
      <c r="T347" s="289">
        <v>434</v>
      </c>
      <c r="U347" s="716">
        <v>1.9194515448493388E-3</v>
      </c>
      <c r="V347" s="289">
        <v>989.63932680000005</v>
      </c>
      <c r="W347" s="743">
        <v>0.93690653000000002</v>
      </c>
      <c r="X347" s="289">
        <v>400</v>
      </c>
      <c r="Y347" s="289">
        <v>392</v>
      </c>
      <c r="Z347" s="289">
        <v>114744</v>
      </c>
      <c r="AA347" s="289">
        <v>0</v>
      </c>
      <c r="AB347" s="290">
        <v>92</v>
      </c>
      <c r="AC347" s="289">
        <v>0</v>
      </c>
      <c r="AD347" s="289">
        <v>0</v>
      </c>
      <c r="AE347" s="289">
        <v>0</v>
      </c>
      <c r="AF347" s="289">
        <v>0</v>
      </c>
      <c r="AG347" s="289">
        <v>4650</v>
      </c>
      <c r="AH347" s="289">
        <v>609</v>
      </c>
      <c r="AI347" s="289">
        <v>3390</v>
      </c>
      <c r="AJ347" s="289">
        <v>0</v>
      </c>
      <c r="AK347" s="289">
        <v>18.247199999999999</v>
      </c>
      <c r="AL347" s="289"/>
      <c r="AM347" s="622">
        <v>0.14066122</v>
      </c>
      <c r="AN347" s="289">
        <v>2507</v>
      </c>
      <c r="AO347" s="289">
        <v>-245.66244323000001</v>
      </c>
      <c r="AP347" s="289">
        <v>0</v>
      </c>
      <c r="AQ347" s="289">
        <v>0</v>
      </c>
      <c r="AR347" s="289">
        <v>-332.35501302</v>
      </c>
      <c r="AS347" s="289">
        <v>57.787399999999998</v>
      </c>
      <c r="AT347" s="289">
        <v>233</v>
      </c>
      <c r="AU347" s="289">
        <v>78</v>
      </c>
      <c r="AV347" s="625">
        <v>131544</v>
      </c>
      <c r="AW347" s="289">
        <v>-2.3613</v>
      </c>
      <c r="AX347" s="625">
        <v>32.75</v>
      </c>
      <c r="AY347" s="289">
        <v>684</v>
      </c>
      <c r="AZ347" s="289">
        <v>168</v>
      </c>
      <c r="BA347" s="290">
        <v>126</v>
      </c>
      <c r="BB347" s="289">
        <v>0</v>
      </c>
      <c r="BC347" s="289">
        <v>1102</v>
      </c>
      <c r="BD347" s="289">
        <v>80.824799999999996</v>
      </c>
      <c r="BE347" s="289">
        <v>134542.44946256999</v>
      </c>
      <c r="BF347" s="289">
        <v>0</v>
      </c>
      <c r="BG347" s="289">
        <v>11</v>
      </c>
      <c r="BH347" s="289">
        <v>-37.884999999999998</v>
      </c>
      <c r="BI347" s="289">
        <v>1001</v>
      </c>
      <c r="BJ347" s="289">
        <v>-4.7732000000000001</v>
      </c>
      <c r="BK347" s="289">
        <v>0</v>
      </c>
      <c r="BL347" s="289">
        <v>0</v>
      </c>
      <c r="BM347" s="289">
        <v>0</v>
      </c>
      <c r="BN347" s="289">
        <v>0</v>
      </c>
      <c r="BO347" s="517">
        <v>0</v>
      </c>
      <c r="BP347" s="517">
        <v>0</v>
      </c>
      <c r="BQ347" s="289">
        <f t="shared" si="10"/>
        <v>-4.7732129099999998</v>
      </c>
      <c r="BR347" s="289">
        <v>0</v>
      </c>
      <c r="BS347" s="289">
        <f t="shared" si="11"/>
        <v>0</v>
      </c>
      <c r="BT347" s="289">
        <v>10</v>
      </c>
      <c r="BU347" s="289">
        <v>0</v>
      </c>
      <c r="BV347" s="289">
        <v>57</v>
      </c>
      <c r="BW347" s="289">
        <v>261.971</v>
      </c>
      <c r="BX347" s="289">
        <v>96.697000000000003</v>
      </c>
      <c r="CC347" s="517"/>
      <c r="CD347" s="85"/>
      <c r="CE347" s="517"/>
    </row>
    <row r="348" spans="1:83" ht="13">
      <c r="A348" s="1">
        <v>5014</v>
      </c>
      <c r="B348" s="2" t="s">
        <v>122</v>
      </c>
      <c r="C348" s="289">
        <v>4962</v>
      </c>
      <c r="D348" s="289">
        <v>118</v>
      </c>
      <c r="E348" s="289">
        <v>243</v>
      </c>
      <c r="F348" s="289">
        <v>507</v>
      </c>
      <c r="G348" s="289">
        <v>421</v>
      </c>
      <c r="H348" s="289">
        <v>2910</v>
      </c>
      <c r="I348" s="289">
        <v>486</v>
      </c>
      <c r="J348" s="289">
        <v>203</v>
      </c>
      <c r="K348" s="289">
        <v>49</v>
      </c>
      <c r="L348" s="289">
        <v>39</v>
      </c>
      <c r="M348" s="289">
        <v>341</v>
      </c>
      <c r="N348" s="290">
        <v>14</v>
      </c>
      <c r="O348" s="290">
        <v>77</v>
      </c>
      <c r="P348" s="624">
        <v>63915.755666669997</v>
      </c>
      <c r="Q348" s="624">
        <v>19955.208999999999</v>
      </c>
      <c r="R348" s="624">
        <v>22</v>
      </c>
      <c r="S348" s="289">
        <v>0</v>
      </c>
      <c r="T348" s="289">
        <v>392</v>
      </c>
      <c r="U348" s="716">
        <v>1.4731617508093563E-3</v>
      </c>
      <c r="V348" s="289">
        <v>1816.8775874800001</v>
      </c>
      <c r="W348" s="743">
        <v>0.84562459000000001</v>
      </c>
      <c r="X348" s="289">
        <v>400</v>
      </c>
      <c r="Y348" s="289">
        <v>392</v>
      </c>
      <c r="Z348" s="289">
        <v>199096</v>
      </c>
      <c r="AA348" s="289">
        <v>0</v>
      </c>
      <c r="AB348" s="290">
        <v>90</v>
      </c>
      <c r="AC348" s="289">
        <v>0</v>
      </c>
      <c r="AD348" s="289">
        <v>0</v>
      </c>
      <c r="AE348" s="289">
        <v>3899</v>
      </c>
      <c r="AF348" s="289">
        <v>0</v>
      </c>
      <c r="AG348" s="289">
        <v>4937</v>
      </c>
      <c r="AH348" s="289">
        <v>664</v>
      </c>
      <c r="AI348" s="289">
        <v>1860</v>
      </c>
      <c r="AJ348" s="289">
        <v>0</v>
      </c>
      <c r="AK348" s="289">
        <v>22.617100000000001</v>
      </c>
      <c r="AL348" s="289"/>
      <c r="AM348" s="622">
        <v>8.867042E-2</v>
      </c>
      <c r="AN348" s="289">
        <v>0</v>
      </c>
      <c r="AO348" s="289">
        <v>-252.70561040000001</v>
      </c>
      <c r="AP348" s="289">
        <v>0</v>
      </c>
      <c r="AQ348" s="289">
        <v>0</v>
      </c>
      <c r="AR348" s="289">
        <v>2476.8371516900002</v>
      </c>
      <c r="AS348" s="289">
        <v>53.092300000000002</v>
      </c>
      <c r="AT348" s="289">
        <v>250</v>
      </c>
      <c r="AU348" s="289">
        <v>65</v>
      </c>
      <c r="AV348" s="625">
        <v>136346</v>
      </c>
      <c r="AW348" s="289">
        <v>-96.049400000000006</v>
      </c>
      <c r="AX348" s="625">
        <v>32.416666669999998</v>
      </c>
      <c r="AY348" s="289">
        <v>679</v>
      </c>
      <c r="AZ348" s="289">
        <v>133</v>
      </c>
      <c r="BA348" s="290">
        <v>104</v>
      </c>
      <c r="BB348" s="289">
        <v>0</v>
      </c>
      <c r="BC348" s="289">
        <v>1169</v>
      </c>
      <c r="BD348" s="289">
        <v>88.124200000000002</v>
      </c>
      <c r="BE348" s="289">
        <v>136470.11504703999</v>
      </c>
      <c r="BF348" s="289">
        <v>0</v>
      </c>
      <c r="BG348" s="289">
        <v>11</v>
      </c>
      <c r="BH348" s="289">
        <v>-40.223300000000002</v>
      </c>
      <c r="BI348" s="289">
        <v>1056</v>
      </c>
      <c r="BJ348" s="289">
        <v>-5.0678000000000001</v>
      </c>
      <c r="BK348" s="289">
        <v>0</v>
      </c>
      <c r="BL348" s="289">
        <v>0</v>
      </c>
      <c r="BM348" s="289">
        <v>0</v>
      </c>
      <c r="BN348" s="289">
        <v>0</v>
      </c>
      <c r="BO348" s="517">
        <v>0</v>
      </c>
      <c r="BP348" s="517">
        <v>0</v>
      </c>
      <c r="BQ348" s="289">
        <f t="shared" si="10"/>
        <v>-5.0678176638000005</v>
      </c>
      <c r="BR348" s="289">
        <v>0</v>
      </c>
      <c r="BS348" s="289">
        <f t="shared" si="11"/>
        <v>0</v>
      </c>
      <c r="BT348" s="289">
        <v>13</v>
      </c>
      <c r="BU348" s="289">
        <v>0</v>
      </c>
      <c r="BV348" s="289">
        <v>56</v>
      </c>
      <c r="BW348" s="289">
        <v>188.619</v>
      </c>
      <c r="BX348" s="289">
        <v>104.50700000000001</v>
      </c>
      <c r="CC348" s="517"/>
      <c r="CD348" s="85"/>
      <c r="CE348" s="517"/>
    </row>
    <row r="349" spans="1:83" ht="13">
      <c r="A349" s="1">
        <v>5015</v>
      </c>
      <c r="B349" s="2" t="s">
        <v>123</v>
      </c>
      <c r="C349" s="289">
        <v>5351</v>
      </c>
      <c r="D349" s="289">
        <v>106</v>
      </c>
      <c r="E349" s="289">
        <v>240</v>
      </c>
      <c r="F349" s="289">
        <v>587</v>
      </c>
      <c r="G349" s="289">
        <v>504</v>
      </c>
      <c r="H349" s="289">
        <v>2976</v>
      </c>
      <c r="I349" s="289">
        <v>616</v>
      </c>
      <c r="J349" s="289">
        <v>237</v>
      </c>
      <c r="K349" s="289">
        <v>45</v>
      </c>
      <c r="L349" s="289">
        <v>45</v>
      </c>
      <c r="M349" s="289">
        <v>452</v>
      </c>
      <c r="N349" s="290">
        <v>5</v>
      </c>
      <c r="O349" s="290">
        <v>26</v>
      </c>
      <c r="P349" s="624">
        <v>17350.362000000001</v>
      </c>
      <c r="Q349" s="624">
        <v>11737.603999999999</v>
      </c>
      <c r="R349" s="624">
        <v>18</v>
      </c>
      <c r="S349" s="289">
        <v>0</v>
      </c>
      <c r="T349" s="289">
        <v>380</v>
      </c>
      <c r="U349" s="716">
        <v>2.4185857899393106E-3</v>
      </c>
      <c r="V349" s="289">
        <v>1874.8725637699999</v>
      </c>
      <c r="W349" s="743">
        <v>0.64182459999999997</v>
      </c>
      <c r="X349" s="289">
        <v>2500</v>
      </c>
      <c r="Y349" s="289">
        <v>392</v>
      </c>
      <c r="Z349" s="289">
        <v>140446</v>
      </c>
      <c r="AA349" s="289">
        <v>-2919.4718792499998</v>
      </c>
      <c r="AB349" s="290">
        <v>136</v>
      </c>
      <c r="AC349" s="289">
        <v>0</v>
      </c>
      <c r="AD349" s="289">
        <v>3892.6439999999998</v>
      </c>
      <c r="AE349" s="289">
        <v>0</v>
      </c>
      <c r="AF349" s="289">
        <v>0</v>
      </c>
      <c r="AG349" s="289">
        <v>5311</v>
      </c>
      <c r="AH349" s="289">
        <v>715</v>
      </c>
      <c r="AI349" s="289">
        <v>400</v>
      </c>
      <c r="AJ349" s="289">
        <v>0</v>
      </c>
      <c r="AK349" s="289">
        <v>23.019400000000001</v>
      </c>
      <c r="AL349" s="289"/>
      <c r="AM349" s="622">
        <v>6.6132560000000007E-2</v>
      </c>
      <c r="AN349" s="289">
        <v>6952</v>
      </c>
      <c r="AO349" s="289">
        <v>-260.77200737999999</v>
      </c>
      <c r="AP349" s="289">
        <v>0</v>
      </c>
      <c r="AQ349" s="289">
        <v>0</v>
      </c>
      <c r="AR349" s="289">
        <v>-379.59945679999998</v>
      </c>
      <c r="AS349" s="289">
        <v>55.365200000000002</v>
      </c>
      <c r="AT349" s="289">
        <v>232</v>
      </c>
      <c r="AU349" s="289">
        <v>60</v>
      </c>
      <c r="AV349" s="625">
        <v>134323</v>
      </c>
      <c r="AW349" s="289">
        <v>-2.6968999999999999</v>
      </c>
      <c r="AX349" s="625">
        <v>34.125</v>
      </c>
      <c r="AY349" s="289">
        <v>926</v>
      </c>
      <c r="AZ349" s="289">
        <v>133</v>
      </c>
      <c r="BA349" s="290">
        <v>121</v>
      </c>
      <c r="BB349" s="289">
        <v>0</v>
      </c>
      <c r="BC349" s="289">
        <v>-2829.2337415900001</v>
      </c>
      <c r="BD349" s="289">
        <v>94.892799999999994</v>
      </c>
      <c r="BE349" s="289">
        <v>143112.47460545</v>
      </c>
      <c r="BF349" s="289">
        <v>0</v>
      </c>
      <c r="BG349" s="289">
        <v>11</v>
      </c>
      <c r="BH349" s="289">
        <v>-43.270299999999999</v>
      </c>
      <c r="BI349" s="289">
        <v>2080.17212075</v>
      </c>
      <c r="BJ349" s="289">
        <v>-170.7337</v>
      </c>
      <c r="BK349" s="289">
        <v>0</v>
      </c>
      <c r="BL349" s="289">
        <v>0</v>
      </c>
      <c r="BM349" s="289">
        <v>2002</v>
      </c>
      <c r="BN349" s="289">
        <v>0</v>
      </c>
      <c r="BO349" s="517">
        <v>0</v>
      </c>
      <c r="BP349" s="517">
        <v>0</v>
      </c>
      <c r="BQ349" s="289">
        <f t="shared" si="10"/>
        <v>-5.4517276914000004</v>
      </c>
      <c r="BR349" s="289">
        <v>3727.3620000000001</v>
      </c>
      <c r="BS349" s="289">
        <f t="shared" si="11"/>
        <v>-165.2819999999997</v>
      </c>
      <c r="BT349" s="289">
        <v>13</v>
      </c>
      <c r="BU349" s="289">
        <v>0</v>
      </c>
      <c r="BV349" s="289">
        <v>55</v>
      </c>
      <c r="BW349" s="289">
        <v>0</v>
      </c>
      <c r="BX349" s="289">
        <v>111.383</v>
      </c>
      <c r="CC349" s="517"/>
      <c r="CD349" s="85"/>
      <c r="CE349" s="517"/>
    </row>
    <row r="350" spans="1:83" ht="13">
      <c r="A350" s="1">
        <v>5016</v>
      </c>
      <c r="B350" s="2" t="s">
        <v>124</v>
      </c>
      <c r="C350" s="289">
        <v>1684</v>
      </c>
      <c r="D350" s="289">
        <v>30</v>
      </c>
      <c r="E350" s="289">
        <v>60</v>
      </c>
      <c r="F350" s="289">
        <v>177</v>
      </c>
      <c r="G350" s="289">
        <v>159</v>
      </c>
      <c r="H350" s="289">
        <v>892</v>
      </c>
      <c r="I350" s="289">
        <v>243</v>
      </c>
      <c r="J350" s="289">
        <v>111</v>
      </c>
      <c r="K350" s="289">
        <v>37</v>
      </c>
      <c r="L350" s="289">
        <v>11</v>
      </c>
      <c r="M350" s="289">
        <v>188</v>
      </c>
      <c r="N350" s="290">
        <v>4</v>
      </c>
      <c r="O350" s="290">
        <v>21</v>
      </c>
      <c r="P350" s="624">
        <v>15078.61833333</v>
      </c>
      <c r="Q350" s="624">
        <v>8237.1433333299992</v>
      </c>
      <c r="R350" s="624">
        <v>18</v>
      </c>
      <c r="S350" s="289">
        <v>0</v>
      </c>
      <c r="T350" s="289">
        <v>103</v>
      </c>
      <c r="U350" s="716">
        <v>1.486083975144596E-3</v>
      </c>
      <c r="V350" s="289">
        <v>814.17759294999996</v>
      </c>
      <c r="W350" s="743">
        <v>1</v>
      </c>
      <c r="X350" s="289">
        <v>1000</v>
      </c>
      <c r="Y350" s="289">
        <v>330</v>
      </c>
      <c r="Z350" s="289">
        <v>36630</v>
      </c>
      <c r="AA350" s="289">
        <v>-1287.39539087</v>
      </c>
      <c r="AB350" s="290">
        <v>37</v>
      </c>
      <c r="AC350" s="289">
        <v>0</v>
      </c>
      <c r="AD350" s="289">
        <v>0</v>
      </c>
      <c r="AE350" s="289">
        <v>0</v>
      </c>
      <c r="AF350" s="289">
        <v>0</v>
      </c>
      <c r="AG350" s="289">
        <v>1709</v>
      </c>
      <c r="AH350" s="289">
        <v>211</v>
      </c>
      <c r="AI350" s="289">
        <v>1730</v>
      </c>
      <c r="AJ350" s="289">
        <v>0</v>
      </c>
      <c r="AK350" s="289">
        <v>6.2725</v>
      </c>
      <c r="AL350" s="289"/>
      <c r="AM350" s="622">
        <v>4.7132710000000001E-2</v>
      </c>
      <c r="AN350" s="289">
        <v>0</v>
      </c>
      <c r="AO350" s="289">
        <v>-113.24221677</v>
      </c>
      <c r="AP350" s="289">
        <v>0</v>
      </c>
      <c r="AQ350" s="289">
        <v>0</v>
      </c>
      <c r="AR350" s="289">
        <v>-122.14940156</v>
      </c>
      <c r="AS350" s="289">
        <v>17.389199999999999</v>
      </c>
      <c r="AT350" s="289">
        <v>87</v>
      </c>
      <c r="AU350" s="289">
        <v>26</v>
      </c>
      <c r="AV350" s="625">
        <v>75851</v>
      </c>
      <c r="AW350" s="289">
        <v>-0.86780000000000002</v>
      </c>
      <c r="AX350" s="625">
        <v>16.625</v>
      </c>
      <c r="AY350" s="289">
        <v>233</v>
      </c>
      <c r="AZ350" s="289">
        <v>61</v>
      </c>
      <c r="BA350" s="290">
        <v>36</v>
      </c>
      <c r="BB350" s="289">
        <v>5543</v>
      </c>
      <c r="BC350" s="289">
        <v>-1219.15700419</v>
      </c>
      <c r="BD350" s="289">
        <v>28.003299999999999</v>
      </c>
      <c r="BE350" s="289">
        <v>78274.059458909993</v>
      </c>
      <c r="BF350" s="289">
        <v>0</v>
      </c>
      <c r="BG350" s="289">
        <v>11</v>
      </c>
      <c r="BH350" s="289">
        <v>-13.9237</v>
      </c>
      <c r="BI350" s="289">
        <v>-746.39539087000003</v>
      </c>
      <c r="BJ350" s="289">
        <v>-1.7543</v>
      </c>
      <c r="BK350" s="289">
        <v>0</v>
      </c>
      <c r="BL350" s="289">
        <v>0</v>
      </c>
      <c r="BM350" s="289">
        <v>413</v>
      </c>
      <c r="BN350" s="289">
        <v>0</v>
      </c>
      <c r="BO350" s="517">
        <v>0</v>
      </c>
      <c r="BP350" s="517">
        <v>0</v>
      </c>
      <c r="BQ350" s="289">
        <f t="shared" si="10"/>
        <v>-1.7542840566</v>
      </c>
      <c r="BR350" s="289">
        <v>0</v>
      </c>
      <c r="BS350" s="289">
        <f t="shared" si="11"/>
        <v>0</v>
      </c>
      <c r="BT350" s="289">
        <v>4</v>
      </c>
      <c r="BU350" s="289">
        <v>0</v>
      </c>
      <c r="BV350" s="289">
        <v>27</v>
      </c>
      <c r="BW350" s="289">
        <v>0</v>
      </c>
      <c r="BX350" s="289">
        <v>34.856999999999999</v>
      </c>
      <c r="CC350" s="517"/>
      <c r="CD350" s="85"/>
      <c r="CE350" s="517"/>
    </row>
    <row r="351" spans="1:83" ht="13">
      <c r="A351" s="1">
        <v>5017</v>
      </c>
      <c r="B351" s="2" t="s">
        <v>126</v>
      </c>
      <c r="C351" s="289">
        <v>4864</v>
      </c>
      <c r="D351" s="289">
        <v>118</v>
      </c>
      <c r="E351" s="289">
        <v>246</v>
      </c>
      <c r="F351" s="289">
        <v>578</v>
      </c>
      <c r="G351" s="289">
        <v>403</v>
      </c>
      <c r="H351" s="289">
        <v>2609</v>
      </c>
      <c r="I351" s="289">
        <v>662</v>
      </c>
      <c r="J351" s="289">
        <v>200</v>
      </c>
      <c r="K351" s="289">
        <v>46</v>
      </c>
      <c r="L351" s="289">
        <v>41</v>
      </c>
      <c r="M351" s="289">
        <v>409</v>
      </c>
      <c r="N351" s="290">
        <v>4</v>
      </c>
      <c r="O351" s="290">
        <v>15</v>
      </c>
      <c r="P351" s="624">
        <v>38227.430999999997</v>
      </c>
      <c r="Q351" s="624">
        <v>13808.476000000001</v>
      </c>
      <c r="R351" s="624">
        <v>14</v>
      </c>
      <c r="S351" s="289">
        <v>0</v>
      </c>
      <c r="T351" s="289">
        <v>422</v>
      </c>
      <c r="U351" s="716">
        <v>2.7202446062810207E-3</v>
      </c>
      <c r="V351" s="289">
        <v>1833.8904494200001</v>
      </c>
      <c r="W351" s="743">
        <v>0.72313989000000001</v>
      </c>
      <c r="X351" s="289">
        <v>2400</v>
      </c>
      <c r="Y351" s="289">
        <v>392</v>
      </c>
      <c r="Z351" s="289">
        <v>111956</v>
      </c>
      <c r="AA351" s="289">
        <v>-6817.56866911</v>
      </c>
      <c r="AB351" s="290">
        <v>107</v>
      </c>
      <c r="AC351" s="289">
        <v>0</v>
      </c>
      <c r="AD351" s="289">
        <v>2617.326</v>
      </c>
      <c r="AE351" s="289">
        <v>0</v>
      </c>
      <c r="AF351" s="289">
        <v>0</v>
      </c>
      <c r="AG351" s="289">
        <v>4862</v>
      </c>
      <c r="AH351" s="289">
        <v>700</v>
      </c>
      <c r="AI351" s="289">
        <v>1890</v>
      </c>
      <c r="AJ351" s="289">
        <v>0</v>
      </c>
      <c r="AK351" s="289">
        <v>23.824999999999999</v>
      </c>
      <c r="AL351" s="289"/>
      <c r="AM351" s="622">
        <v>7.5572329999999993E-2</v>
      </c>
      <c r="AN351" s="289">
        <v>6443</v>
      </c>
      <c r="AO351" s="289">
        <v>-255.07189292000001</v>
      </c>
      <c r="AP351" s="289">
        <v>0</v>
      </c>
      <c r="AQ351" s="289">
        <v>0</v>
      </c>
      <c r="AR351" s="289">
        <v>-347.50754264</v>
      </c>
      <c r="AS351" s="289">
        <v>53.199599999999997</v>
      </c>
      <c r="AT351" s="289">
        <v>256</v>
      </c>
      <c r="AU351" s="289">
        <v>44</v>
      </c>
      <c r="AV351" s="625">
        <v>133770</v>
      </c>
      <c r="AW351" s="289">
        <v>-2.4689000000000001</v>
      </c>
      <c r="AX351" s="625">
        <v>45.416666669999998</v>
      </c>
      <c r="AY351" s="289">
        <v>747</v>
      </c>
      <c r="AZ351" s="289">
        <v>156</v>
      </c>
      <c r="BA351" s="290">
        <v>164</v>
      </c>
      <c r="BB351" s="289">
        <v>0</v>
      </c>
      <c r="BC351" s="289">
        <v>-8926.2056565900002</v>
      </c>
      <c r="BD351" s="289">
        <v>92.902000000000001</v>
      </c>
      <c r="BE351" s="289">
        <v>143106.97899901</v>
      </c>
      <c r="BF351" s="289">
        <v>0</v>
      </c>
      <c r="BG351" s="289">
        <v>11</v>
      </c>
      <c r="BH351" s="289">
        <v>-39.612200000000001</v>
      </c>
      <c r="BI351" s="289">
        <v>-3108.24266911</v>
      </c>
      <c r="BJ351" s="289">
        <v>-179.0718</v>
      </c>
      <c r="BK351" s="289">
        <v>0</v>
      </c>
      <c r="BL351" s="289">
        <v>0</v>
      </c>
      <c r="BM351" s="289">
        <v>1824</v>
      </c>
      <c r="BN351" s="289">
        <v>0</v>
      </c>
      <c r="BO351" s="517">
        <v>0</v>
      </c>
      <c r="BP351" s="517">
        <v>0</v>
      </c>
      <c r="BQ351" s="289">
        <f t="shared" si="10"/>
        <v>-4.9908303588000003</v>
      </c>
      <c r="BR351" s="289">
        <v>2443.2449999999999</v>
      </c>
      <c r="BS351" s="289">
        <f t="shared" si="11"/>
        <v>-174.08100000000013</v>
      </c>
      <c r="BT351" s="289">
        <v>14</v>
      </c>
      <c r="BU351" s="289">
        <v>0</v>
      </c>
      <c r="BV351" s="289">
        <v>54</v>
      </c>
      <c r="BW351" s="289">
        <v>269.30599999999998</v>
      </c>
      <c r="BX351" s="289">
        <v>101.08</v>
      </c>
      <c r="CC351" s="517"/>
      <c r="CD351" s="85"/>
      <c r="CE351" s="517"/>
    </row>
    <row r="352" spans="1:83" ht="13">
      <c r="A352" s="1">
        <v>5018</v>
      </c>
      <c r="B352" s="2" t="s">
        <v>127</v>
      </c>
      <c r="C352" s="289">
        <v>3277</v>
      </c>
      <c r="D352" s="289">
        <v>65</v>
      </c>
      <c r="E352" s="289">
        <v>130</v>
      </c>
      <c r="F352" s="289">
        <v>319</v>
      </c>
      <c r="G352" s="289">
        <v>324</v>
      </c>
      <c r="H352" s="289">
        <v>1744</v>
      </c>
      <c r="I352" s="289">
        <v>453</v>
      </c>
      <c r="J352" s="289">
        <v>186</v>
      </c>
      <c r="K352" s="289">
        <v>43</v>
      </c>
      <c r="L352" s="289">
        <v>26</v>
      </c>
      <c r="M352" s="289">
        <v>323</v>
      </c>
      <c r="N352" s="290">
        <v>1.5</v>
      </c>
      <c r="O352" s="290">
        <v>11</v>
      </c>
      <c r="P352" s="624">
        <v>38516.152000000002</v>
      </c>
      <c r="Q352" s="624">
        <v>14531.07</v>
      </c>
      <c r="R352" s="624">
        <v>21</v>
      </c>
      <c r="S352" s="289">
        <v>0</v>
      </c>
      <c r="T352" s="289">
        <v>232</v>
      </c>
      <c r="U352" s="716">
        <v>2.459797311396512E-3</v>
      </c>
      <c r="V352" s="289">
        <v>1205.2817239599999</v>
      </c>
      <c r="W352" s="743">
        <v>1</v>
      </c>
      <c r="X352" s="289">
        <v>300</v>
      </c>
      <c r="Y352" s="289">
        <v>392</v>
      </c>
      <c r="Z352" s="289">
        <v>84883</v>
      </c>
      <c r="AA352" s="289">
        <v>0</v>
      </c>
      <c r="AB352" s="290">
        <v>78</v>
      </c>
      <c r="AC352" s="289">
        <v>0</v>
      </c>
      <c r="AD352" s="289">
        <v>0</v>
      </c>
      <c r="AE352" s="289">
        <v>0</v>
      </c>
      <c r="AF352" s="289">
        <v>0</v>
      </c>
      <c r="AG352" s="289">
        <v>3264</v>
      </c>
      <c r="AH352" s="289">
        <v>420</v>
      </c>
      <c r="AI352" s="289">
        <v>2860</v>
      </c>
      <c r="AJ352" s="289">
        <v>0</v>
      </c>
      <c r="AK352" s="289">
        <v>12.94</v>
      </c>
      <c r="AL352" s="289"/>
      <c r="AM352" s="622">
        <v>2.028783E-2</v>
      </c>
      <c r="AN352" s="289">
        <v>4748</v>
      </c>
      <c r="AO352" s="289">
        <v>-184.00791132000001</v>
      </c>
      <c r="AP352" s="289">
        <v>0</v>
      </c>
      <c r="AQ352" s="289">
        <v>0</v>
      </c>
      <c r="AR352" s="289">
        <v>-233.29177687999999</v>
      </c>
      <c r="AS352" s="289">
        <v>31.831800000000001</v>
      </c>
      <c r="AT352" s="289">
        <v>134</v>
      </c>
      <c r="AU352" s="289">
        <v>26</v>
      </c>
      <c r="AV352" s="625">
        <v>109066</v>
      </c>
      <c r="AW352" s="289">
        <v>-1.6575</v>
      </c>
      <c r="AX352" s="625">
        <v>26.625</v>
      </c>
      <c r="AY352" s="289">
        <v>480</v>
      </c>
      <c r="AZ352" s="289">
        <v>62</v>
      </c>
      <c r="BA352" s="290">
        <v>61</v>
      </c>
      <c r="BB352" s="289">
        <v>0</v>
      </c>
      <c r="BC352" s="289">
        <v>793</v>
      </c>
      <c r="BD352" s="289">
        <v>55.741199999999999</v>
      </c>
      <c r="BE352" s="289">
        <v>109962.7079423</v>
      </c>
      <c r="BF352" s="289">
        <v>0</v>
      </c>
      <c r="BG352" s="289">
        <v>11</v>
      </c>
      <c r="BH352" s="289">
        <v>-26.5928</v>
      </c>
      <c r="BI352" s="289">
        <v>812</v>
      </c>
      <c r="BJ352" s="289">
        <v>-3.3504999999999998</v>
      </c>
      <c r="BK352" s="289">
        <v>0</v>
      </c>
      <c r="BL352" s="289">
        <v>0</v>
      </c>
      <c r="BM352" s="289">
        <v>0</v>
      </c>
      <c r="BN352" s="289">
        <v>0</v>
      </c>
      <c r="BO352" s="517">
        <v>0</v>
      </c>
      <c r="BP352" s="517">
        <v>0</v>
      </c>
      <c r="BQ352" s="289">
        <f t="shared" si="10"/>
        <v>-3.3504875136000001</v>
      </c>
      <c r="BR352" s="289">
        <v>0</v>
      </c>
      <c r="BS352" s="289">
        <f t="shared" si="11"/>
        <v>0</v>
      </c>
      <c r="BT352" s="289">
        <v>7</v>
      </c>
      <c r="BU352" s="289">
        <v>0</v>
      </c>
      <c r="BV352" s="289">
        <v>43</v>
      </c>
      <c r="BW352" s="289">
        <v>264.06700000000001</v>
      </c>
      <c r="BX352" s="289">
        <v>68.882000000000005</v>
      </c>
      <c r="CC352" s="517"/>
      <c r="CD352" s="85"/>
      <c r="CE352" s="517"/>
    </row>
    <row r="353" spans="1:83" ht="13">
      <c r="A353" s="1">
        <v>5019</v>
      </c>
      <c r="B353" s="2" t="s">
        <v>128</v>
      </c>
      <c r="C353" s="289">
        <v>953</v>
      </c>
      <c r="D353" s="289">
        <v>20</v>
      </c>
      <c r="E353" s="289">
        <v>33</v>
      </c>
      <c r="F353" s="289">
        <v>89</v>
      </c>
      <c r="G353" s="289">
        <v>93</v>
      </c>
      <c r="H353" s="289">
        <v>505</v>
      </c>
      <c r="I353" s="289">
        <v>160</v>
      </c>
      <c r="J353" s="289">
        <v>41</v>
      </c>
      <c r="K353" s="289">
        <v>14</v>
      </c>
      <c r="L353" s="289">
        <v>8</v>
      </c>
      <c r="M353" s="289">
        <v>116</v>
      </c>
      <c r="N353" s="290">
        <v>1.5</v>
      </c>
      <c r="O353" s="290">
        <v>15</v>
      </c>
      <c r="P353" s="624">
        <v>15611.730666670001</v>
      </c>
      <c r="Q353" s="624">
        <v>5560.6710000000003</v>
      </c>
      <c r="R353" s="624">
        <v>5</v>
      </c>
      <c r="S353" s="289">
        <v>0</v>
      </c>
      <c r="T353" s="289">
        <v>74</v>
      </c>
      <c r="U353" s="716">
        <v>1.0221780752540399E-3</v>
      </c>
      <c r="V353" s="289">
        <v>461.29577273000001</v>
      </c>
      <c r="W353" s="743">
        <v>1</v>
      </c>
      <c r="X353" s="289">
        <v>100</v>
      </c>
      <c r="Y353" s="289">
        <v>392</v>
      </c>
      <c r="Z353" s="289">
        <v>20843</v>
      </c>
      <c r="AA353" s="289">
        <v>0</v>
      </c>
      <c r="AB353" s="290">
        <v>19</v>
      </c>
      <c r="AC353" s="289">
        <v>0</v>
      </c>
      <c r="AD353" s="289">
        <v>0</v>
      </c>
      <c r="AE353" s="289">
        <v>0</v>
      </c>
      <c r="AF353" s="289">
        <v>0</v>
      </c>
      <c r="AG353" s="289">
        <v>955</v>
      </c>
      <c r="AH353" s="289">
        <v>115</v>
      </c>
      <c r="AI353" s="289">
        <v>0</v>
      </c>
      <c r="AJ353" s="289">
        <v>0</v>
      </c>
      <c r="AK353" s="289">
        <v>3.2568999999999999</v>
      </c>
      <c r="AL353" s="289"/>
      <c r="AM353" s="622">
        <v>7.6037199999999996E-3</v>
      </c>
      <c r="AN353" s="289">
        <v>0</v>
      </c>
      <c r="AO353" s="289">
        <v>-64.160640560000004</v>
      </c>
      <c r="AP353" s="289">
        <v>0</v>
      </c>
      <c r="AQ353" s="289">
        <v>0</v>
      </c>
      <c r="AR353" s="289">
        <v>258.81704465000001</v>
      </c>
      <c r="AS353" s="289">
        <v>9.452</v>
      </c>
      <c r="AT353" s="289">
        <v>37</v>
      </c>
      <c r="AU353" s="289">
        <v>9</v>
      </c>
      <c r="AV353" s="625">
        <v>47136</v>
      </c>
      <c r="AW353" s="289">
        <v>-18.579499999999999</v>
      </c>
      <c r="AX353" s="625">
        <v>6.4166666699999997</v>
      </c>
      <c r="AY353" s="289">
        <v>119</v>
      </c>
      <c r="AZ353" s="289">
        <v>21</v>
      </c>
      <c r="BA353" s="290">
        <v>18</v>
      </c>
      <c r="BB353" s="289">
        <v>5543</v>
      </c>
      <c r="BC353" s="289">
        <v>111</v>
      </c>
      <c r="BD353" s="289">
        <v>15.262499999999999</v>
      </c>
      <c r="BE353" s="289">
        <v>47331.40902893</v>
      </c>
      <c r="BF353" s="289">
        <v>0</v>
      </c>
      <c r="BG353" s="289">
        <v>11</v>
      </c>
      <c r="BH353" s="289">
        <v>-7.7807000000000004</v>
      </c>
      <c r="BI353" s="289">
        <v>507</v>
      </c>
      <c r="BJ353" s="289">
        <v>-0.98029999999999995</v>
      </c>
      <c r="BK353" s="289">
        <v>0</v>
      </c>
      <c r="BL353" s="289">
        <v>0</v>
      </c>
      <c r="BM353" s="289">
        <v>0</v>
      </c>
      <c r="BN353" s="289">
        <v>0</v>
      </c>
      <c r="BO353" s="517">
        <v>0</v>
      </c>
      <c r="BP353" s="517">
        <v>0</v>
      </c>
      <c r="BQ353" s="289">
        <f t="shared" si="10"/>
        <v>-0.98030501700000006</v>
      </c>
      <c r="BR353" s="289">
        <v>0</v>
      </c>
      <c r="BS353" s="289">
        <f t="shared" si="11"/>
        <v>0</v>
      </c>
      <c r="BT353" s="289">
        <v>2</v>
      </c>
      <c r="BU353" s="289">
        <v>0</v>
      </c>
      <c r="BV353" s="289">
        <v>19</v>
      </c>
      <c r="BW353" s="289">
        <v>174.99700000000001</v>
      </c>
      <c r="BX353" s="289">
        <v>19.63</v>
      </c>
      <c r="CC353" s="517"/>
      <c r="CD353" s="85"/>
      <c r="CE353" s="517"/>
    </row>
    <row r="354" spans="1:83" ht="13">
      <c r="A354" s="1">
        <v>5020</v>
      </c>
      <c r="B354" s="2" t="s">
        <v>129</v>
      </c>
      <c r="C354" s="289">
        <v>967</v>
      </c>
      <c r="D354" s="289">
        <v>14</v>
      </c>
      <c r="E354" s="289">
        <v>24</v>
      </c>
      <c r="F354" s="289">
        <v>110</v>
      </c>
      <c r="G354" s="289">
        <v>87</v>
      </c>
      <c r="H354" s="289">
        <v>482</v>
      </c>
      <c r="I354" s="289">
        <v>176</v>
      </c>
      <c r="J354" s="289">
        <v>55</v>
      </c>
      <c r="K354" s="289">
        <v>21</v>
      </c>
      <c r="L354" s="289">
        <v>8</v>
      </c>
      <c r="M354" s="289">
        <v>119</v>
      </c>
      <c r="N354" s="290">
        <v>0</v>
      </c>
      <c r="O354" s="290">
        <v>0</v>
      </c>
      <c r="P354" s="624">
        <v>15642.842000000001</v>
      </c>
      <c r="Q354" s="624">
        <v>14666.294</v>
      </c>
      <c r="R354" s="624">
        <v>2</v>
      </c>
      <c r="S354" s="289">
        <v>0</v>
      </c>
      <c r="T354" s="289">
        <v>67</v>
      </c>
      <c r="U354" s="716">
        <v>7.3271513269345073E-4</v>
      </c>
      <c r="V354" s="289">
        <v>492.77115209999999</v>
      </c>
      <c r="W354" s="743">
        <v>1</v>
      </c>
      <c r="X354" s="289">
        <v>100</v>
      </c>
      <c r="Y354" s="289">
        <v>0</v>
      </c>
      <c r="Z354" s="289">
        <v>20690</v>
      </c>
      <c r="AA354" s="289">
        <v>0</v>
      </c>
      <c r="AB354" s="290">
        <v>18</v>
      </c>
      <c r="AC354" s="289">
        <v>0</v>
      </c>
      <c r="AD354" s="289">
        <v>0</v>
      </c>
      <c r="AE354" s="289">
        <v>0</v>
      </c>
      <c r="AF354" s="289">
        <v>0</v>
      </c>
      <c r="AG354" s="289">
        <v>969</v>
      </c>
      <c r="AH354" s="289">
        <v>122</v>
      </c>
      <c r="AI354" s="289">
        <v>0</v>
      </c>
      <c r="AJ354" s="289">
        <v>0</v>
      </c>
      <c r="AK354" s="289">
        <v>2.7353000000000001</v>
      </c>
      <c r="AL354" s="289"/>
      <c r="AM354" s="622">
        <v>3.7763300000000001E-3</v>
      </c>
      <c r="AN354" s="289">
        <v>0</v>
      </c>
      <c r="AO354" s="289">
        <v>-68.538483630000002</v>
      </c>
      <c r="AP354" s="289">
        <v>0</v>
      </c>
      <c r="AQ354" s="289">
        <v>0</v>
      </c>
      <c r="AR354" s="289">
        <v>1027.03008344</v>
      </c>
      <c r="AS354" s="289">
        <v>8.4968000000000004</v>
      </c>
      <c r="AT354" s="289">
        <v>43</v>
      </c>
      <c r="AU354" s="289">
        <v>3</v>
      </c>
      <c r="AV354" s="625">
        <v>51978</v>
      </c>
      <c r="AW354" s="289">
        <v>-18.851900000000001</v>
      </c>
      <c r="AX354" s="625">
        <v>8.8333333300000003</v>
      </c>
      <c r="AY354" s="289">
        <v>134</v>
      </c>
      <c r="AZ354" s="289">
        <v>28</v>
      </c>
      <c r="BA354" s="290">
        <v>20</v>
      </c>
      <c r="BB354" s="289">
        <v>5543</v>
      </c>
      <c r="BC354" s="289">
        <v>121</v>
      </c>
      <c r="BD354" s="289">
        <v>16.191500000000001</v>
      </c>
      <c r="BE354" s="289">
        <v>51109.07826645</v>
      </c>
      <c r="BF354" s="289">
        <v>0</v>
      </c>
      <c r="BG354" s="289">
        <v>0</v>
      </c>
      <c r="BH354" s="289">
        <v>-7.8947000000000003</v>
      </c>
      <c r="BI354" s="289">
        <v>122</v>
      </c>
      <c r="BJ354" s="289">
        <v>-0.99470000000000003</v>
      </c>
      <c r="BK354" s="289">
        <v>0</v>
      </c>
      <c r="BL354" s="289">
        <v>0</v>
      </c>
      <c r="BM354" s="289">
        <v>0</v>
      </c>
      <c r="BN354" s="289">
        <v>0</v>
      </c>
      <c r="BO354" s="517">
        <v>0</v>
      </c>
      <c r="BP354" s="517">
        <v>0</v>
      </c>
      <c r="BQ354" s="289">
        <f t="shared" si="10"/>
        <v>-0.99467598059999995</v>
      </c>
      <c r="BR354" s="289">
        <v>0</v>
      </c>
      <c r="BS354" s="289">
        <f t="shared" si="11"/>
        <v>0</v>
      </c>
      <c r="BT354" s="289">
        <v>2</v>
      </c>
      <c r="BU354" s="289">
        <v>0</v>
      </c>
      <c r="BV354" s="289">
        <v>21</v>
      </c>
      <c r="BW354" s="289">
        <v>181.28399999999999</v>
      </c>
      <c r="BX354" s="289">
        <v>19.817</v>
      </c>
      <c r="CC354" s="517"/>
      <c r="CD354" s="85"/>
      <c r="CE354" s="517"/>
    </row>
    <row r="355" spans="1:83" ht="13">
      <c r="A355" s="1">
        <v>5021</v>
      </c>
      <c r="B355" s="2" t="s">
        <v>130</v>
      </c>
      <c r="C355" s="289">
        <v>6970</v>
      </c>
      <c r="D355" s="289">
        <v>141</v>
      </c>
      <c r="E355" s="289">
        <v>318</v>
      </c>
      <c r="F355" s="289">
        <v>816</v>
      </c>
      <c r="G355" s="289">
        <v>624</v>
      </c>
      <c r="H355" s="289">
        <v>3783</v>
      </c>
      <c r="I355" s="289">
        <v>932</v>
      </c>
      <c r="J355" s="289">
        <v>302</v>
      </c>
      <c r="K355" s="289">
        <v>68</v>
      </c>
      <c r="L355" s="289">
        <v>52</v>
      </c>
      <c r="M355" s="289">
        <v>555</v>
      </c>
      <c r="N355" s="290">
        <v>90</v>
      </c>
      <c r="O355" s="290">
        <v>55</v>
      </c>
      <c r="P355" s="624">
        <v>28165.044666670001</v>
      </c>
      <c r="Q355" s="624">
        <v>16345.24333333</v>
      </c>
      <c r="R355" s="624">
        <v>23</v>
      </c>
      <c r="S355" s="289">
        <v>0</v>
      </c>
      <c r="T355" s="289">
        <v>548</v>
      </c>
      <c r="U355" s="716">
        <v>4.8331321560933791E-3</v>
      </c>
      <c r="V355" s="289">
        <v>-323.60073685999998</v>
      </c>
      <c r="W355" s="743">
        <v>0.60312885999999999</v>
      </c>
      <c r="X355" s="289">
        <v>600</v>
      </c>
      <c r="Y355" s="289">
        <v>392</v>
      </c>
      <c r="Z355" s="289">
        <v>174333</v>
      </c>
      <c r="AA355" s="289">
        <v>0</v>
      </c>
      <c r="AB355" s="290">
        <v>156</v>
      </c>
      <c r="AC355" s="289">
        <v>1805</v>
      </c>
      <c r="AD355" s="289">
        <v>0</v>
      </c>
      <c r="AE355" s="289">
        <v>0</v>
      </c>
      <c r="AF355" s="289">
        <v>0</v>
      </c>
      <c r="AG355" s="289">
        <v>6984</v>
      </c>
      <c r="AH355" s="289">
        <v>988</v>
      </c>
      <c r="AI355" s="289">
        <v>690</v>
      </c>
      <c r="AJ355" s="289">
        <v>0</v>
      </c>
      <c r="AK355" s="289">
        <v>31.6206</v>
      </c>
      <c r="AL355" s="289"/>
      <c r="AM355" s="622">
        <v>8.8664709999999994E-2</v>
      </c>
      <c r="AN355" s="289">
        <v>8781</v>
      </c>
      <c r="AO355" s="289">
        <v>-348.80442575000001</v>
      </c>
      <c r="AP355" s="289">
        <v>0</v>
      </c>
      <c r="AQ355" s="289">
        <v>0</v>
      </c>
      <c r="AR355" s="289">
        <v>-499.17578729000002</v>
      </c>
      <c r="AS355" s="289">
        <v>78.8874</v>
      </c>
      <c r="AT355" s="289">
        <v>284</v>
      </c>
      <c r="AU355" s="289">
        <v>69</v>
      </c>
      <c r="AV355" s="625">
        <v>181159</v>
      </c>
      <c r="AW355" s="289">
        <v>-3.5465</v>
      </c>
      <c r="AX355" s="625">
        <v>61.583333330000002</v>
      </c>
      <c r="AY355" s="289">
        <v>1264</v>
      </c>
      <c r="AZ355" s="289">
        <v>220</v>
      </c>
      <c r="BA355" s="290">
        <v>141</v>
      </c>
      <c r="BB355" s="289">
        <v>0</v>
      </c>
      <c r="BC355" s="289">
        <v>1325</v>
      </c>
      <c r="BD355" s="289">
        <v>131.12459999999999</v>
      </c>
      <c r="BE355" s="289">
        <v>184421.88336576999</v>
      </c>
      <c r="BF355" s="289">
        <v>0</v>
      </c>
      <c r="BG355" s="289">
        <v>11</v>
      </c>
      <c r="BH355" s="289">
        <v>-56.900799999999997</v>
      </c>
      <c r="BI355" s="289">
        <v>1380</v>
      </c>
      <c r="BJ355" s="289">
        <v>-7.1691000000000003</v>
      </c>
      <c r="BK355" s="289">
        <v>0</v>
      </c>
      <c r="BL355" s="289">
        <v>0</v>
      </c>
      <c r="BM355" s="289">
        <v>0</v>
      </c>
      <c r="BN355" s="289">
        <v>0</v>
      </c>
      <c r="BO355" s="517">
        <v>0</v>
      </c>
      <c r="BP355" s="517">
        <v>0</v>
      </c>
      <c r="BQ355" s="289">
        <f t="shared" si="10"/>
        <v>-7.1690578415999999</v>
      </c>
      <c r="BR355" s="289">
        <v>0</v>
      </c>
      <c r="BS355" s="289">
        <f t="shared" si="11"/>
        <v>0</v>
      </c>
      <c r="BT355" s="289">
        <v>18</v>
      </c>
      <c r="BU355" s="289">
        <v>0</v>
      </c>
      <c r="BV355" s="289">
        <v>72</v>
      </c>
      <c r="BW355" s="289">
        <v>321.70100000000002</v>
      </c>
      <c r="BX355" s="289">
        <v>144.88900000000001</v>
      </c>
      <c r="CC355" s="517"/>
      <c r="CD355" s="85"/>
      <c r="CE355" s="517"/>
    </row>
    <row r="356" spans="1:83" ht="13">
      <c r="A356" s="1">
        <v>5022</v>
      </c>
      <c r="B356" s="2" t="s">
        <v>131</v>
      </c>
      <c r="C356" s="289">
        <v>2541</v>
      </c>
      <c r="D356" s="289">
        <v>43</v>
      </c>
      <c r="E356" s="289">
        <v>84</v>
      </c>
      <c r="F356" s="289">
        <v>292</v>
      </c>
      <c r="G356" s="289">
        <v>240</v>
      </c>
      <c r="H356" s="289">
        <v>1332</v>
      </c>
      <c r="I356" s="289">
        <v>412</v>
      </c>
      <c r="J356" s="289">
        <v>119</v>
      </c>
      <c r="K356" s="289">
        <v>37</v>
      </c>
      <c r="L356" s="289">
        <v>20</v>
      </c>
      <c r="M356" s="289">
        <v>224</v>
      </c>
      <c r="N356" s="290">
        <v>0</v>
      </c>
      <c r="O356" s="290">
        <v>19</v>
      </c>
      <c r="P356" s="624">
        <v>23327.135999999999</v>
      </c>
      <c r="Q356" s="624">
        <v>15014.491</v>
      </c>
      <c r="R356" s="624">
        <v>12</v>
      </c>
      <c r="S356" s="289">
        <v>0</v>
      </c>
      <c r="T356" s="289">
        <v>209</v>
      </c>
      <c r="U356" s="716">
        <v>3.1467958421316005E-3</v>
      </c>
      <c r="V356" s="289">
        <v>1028.5705808600001</v>
      </c>
      <c r="W356" s="743">
        <v>0.91891560000000005</v>
      </c>
      <c r="X356" s="289">
        <v>200</v>
      </c>
      <c r="Y356" s="289">
        <v>392</v>
      </c>
      <c r="Z356" s="289">
        <v>60864</v>
      </c>
      <c r="AA356" s="289">
        <v>0</v>
      </c>
      <c r="AB356" s="290">
        <v>58</v>
      </c>
      <c r="AC356" s="289">
        <v>0</v>
      </c>
      <c r="AD356" s="289">
        <v>0</v>
      </c>
      <c r="AE356" s="289">
        <v>0</v>
      </c>
      <c r="AF356" s="289">
        <v>0</v>
      </c>
      <c r="AG356" s="289">
        <v>2559</v>
      </c>
      <c r="AH356" s="289">
        <v>333</v>
      </c>
      <c r="AI356" s="289">
        <v>1060</v>
      </c>
      <c r="AJ356" s="289">
        <v>0</v>
      </c>
      <c r="AK356" s="289">
        <v>7.9298999999999999</v>
      </c>
      <c r="AL356" s="289"/>
      <c r="AM356" s="622">
        <v>2.1015180000000001E-2</v>
      </c>
      <c r="AN356" s="289">
        <v>0</v>
      </c>
      <c r="AO356" s="289">
        <v>-143.06167805000001</v>
      </c>
      <c r="AP356" s="289">
        <v>0</v>
      </c>
      <c r="AQ356" s="289">
        <v>0</v>
      </c>
      <c r="AR356" s="289">
        <v>1750.7202896599999</v>
      </c>
      <c r="AS356" s="289">
        <v>26.145900000000001</v>
      </c>
      <c r="AT356" s="289">
        <v>113</v>
      </c>
      <c r="AU356" s="289">
        <v>15</v>
      </c>
      <c r="AV356" s="625">
        <v>88405</v>
      </c>
      <c r="AW356" s="289">
        <v>-49.785400000000003</v>
      </c>
      <c r="AX356" s="625">
        <v>8.5</v>
      </c>
      <c r="AY356" s="289">
        <v>367</v>
      </c>
      <c r="AZ356" s="289">
        <v>81</v>
      </c>
      <c r="BA356" s="290">
        <v>43</v>
      </c>
      <c r="BB356" s="289">
        <v>5543</v>
      </c>
      <c r="BC356" s="289">
        <v>699</v>
      </c>
      <c r="BD356" s="289">
        <v>44.194800000000001</v>
      </c>
      <c r="BE356" s="289">
        <v>86933.12127992</v>
      </c>
      <c r="BF356" s="289">
        <v>0</v>
      </c>
      <c r="BG356" s="289">
        <v>11</v>
      </c>
      <c r="BH356" s="289">
        <v>-20.849</v>
      </c>
      <c r="BI356" s="289">
        <v>725</v>
      </c>
      <c r="BJ356" s="289">
        <v>-2.6267999999999998</v>
      </c>
      <c r="BK356" s="289">
        <v>0</v>
      </c>
      <c r="BL356" s="289">
        <v>0</v>
      </c>
      <c r="BM356" s="289">
        <v>0</v>
      </c>
      <c r="BN356" s="289">
        <v>0</v>
      </c>
      <c r="BO356" s="517">
        <v>0</v>
      </c>
      <c r="BP356" s="517">
        <v>0</v>
      </c>
      <c r="BQ356" s="289">
        <f t="shared" si="10"/>
        <v>-2.6268068466000001</v>
      </c>
      <c r="BR356" s="289">
        <v>0</v>
      </c>
      <c r="BS356" s="289">
        <f t="shared" si="11"/>
        <v>0</v>
      </c>
      <c r="BT356" s="289">
        <v>5</v>
      </c>
      <c r="BU356" s="289">
        <v>0</v>
      </c>
      <c r="BV356" s="289">
        <v>35</v>
      </c>
      <c r="BW356" s="289">
        <v>194.90700000000001</v>
      </c>
      <c r="BX356" s="289">
        <v>52.243000000000002</v>
      </c>
      <c r="CC356" s="517"/>
      <c r="CD356" s="85"/>
      <c r="CE356" s="517"/>
    </row>
    <row r="357" spans="1:83" ht="13">
      <c r="A357" s="1">
        <v>5023</v>
      </c>
      <c r="B357" s="2" t="s">
        <v>132</v>
      </c>
      <c r="C357" s="289">
        <v>3930</v>
      </c>
      <c r="D357" s="289">
        <v>75</v>
      </c>
      <c r="E357" s="289">
        <v>167</v>
      </c>
      <c r="F357" s="289">
        <v>445</v>
      </c>
      <c r="G357" s="289">
        <v>341</v>
      </c>
      <c r="H357" s="289">
        <v>2111</v>
      </c>
      <c r="I357" s="289">
        <v>529</v>
      </c>
      <c r="J357" s="289">
        <v>191</v>
      </c>
      <c r="K357" s="289">
        <v>71</v>
      </c>
      <c r="L357" s="289">
        <v>32</v>
      </c>
      <c r="M357" s="289">
        <v>369</v>
      </c>
      <c r="N357" s="290">
        <v>3</v>
      </c>
      <c r="O357" s="290">
        <v>23</v>
      </c>
      <c r="P357" s="624">
        <v>29445.800999999999</v>
      </c>
      <c r="Q357" s="624">
        <v>10863.831666669999</v>
      </c>
      <c r="R357" s="624">
        <v>17</v>
      </c>
      <c r="S357" s="289">
        <v>0</v>
      </c>
      <c r="T357" s="289">
        <v>291</v>
      </c>
      <c r="U357" s="716">
        <v>2.2841670420914811E-3</v>
      </c>
      <c r="V357" s="289">
        <v>-9362.5979533000009</v>
      </c>
      <c r="W357" s="743">
        <v>0.72071218000000004</v>
      </c>
      <c r="X357" s="289">
        <v>2400</v>
      </c>
      <c r="Y357" s="289">
        <v>392</v>
      </c>
      <c r="Z357" s="289">
        <v>88373</v>
      </c>
      <c r="AA357" s="289">
        <v>-6796.3224647400002</v>
      </c>
      <c r="AB357" s="290">
        <v>120</v>
      </c>
      <c r="AC357" s="289">
        <v>0</v>
      </c>
      <c r="AD357" s="289">
        <v>281.12400000000002</v>
      </c>
      <c r="AE357" s="289">
        <v>0</v>
      </c>
      <c r="AF357" s="289">
        <v>0</v>
      </c>
      <c r="AG357" s="289">
        <v>3930</v>
      </c>
      <c r="AH357" s="289">
        <v>533</v>
      </c>
      <c r="AI357" s="289">
        <v>200</v>
      </c>
      <c r="AJ357" s="289">
        <v>0</v>
      </c>
      <c r="AK357" s="289">
        <v>15.867699999999999</v>
      </c>
      <c r="AL357" s="289"/>
      <c r="AM357" s="622">
        <v>5.561932E-2</v>
      </c>
      <c r="AN357" s="289">
        <v>5506</v>
      </c>
      <c r="AO357" s="289">
        <v>-213.36105759</v>
      </c>
      <c r="AP357" s="289">
        <v>0</v>
      </c>
      <c r="AQ357" s="289">
        <v>0</v>
      </c>
      <c r="AR357" s="289">
        <v>10540.23930291</v>
      </c>
      <c r="AS357" s="289">
        <v>42.939599999999999</v>
      </c>
      <c r="AT357" s="289">
        <v>178</v>
      </c>
      <c r="AU357" s="289">
        <v>50</v>
      </c>
      <c r="AV357" s="625">
        <v>116972</v>
      </c>
      <c r="AW357" s="289">
        <v>399.54180000000002</v>
      </c>
      <c r="AX357" s="625">
        <v>24.5</v>
      </c>
      <c r="AY357" s="289">
        <v>552</v>
      </c>
      <c r="AZ357" s="289">
        <v>98</v>
      </c>
      <c r="BA357" s="290">
        <v>97</v>
      </c>
      <c r="BB357" s="289">
        <v>0</v>
      </c>
      <c r="BC357" s="289">
        <v>-8936.1439542900007</v>
      </c>
      <c r="BD357" s="289">
        <v>70.738299999999995</v>
      </c>
      <c r="BE357" s="289">
        <v>109379.50720923999</v>
      </c>
      <c r="BF357" s="289">
        <v>0</v>
      </c>
      <c r="BG357" s="289">
        <v>11</v>
      </c>
      <c r="BH357" s="289">
        <v>-32.018900000000002</v>
      </c>
      <c r="BI357" s="289">
        <v>-5590.1984647400004</v>
      </c>
      <c r="BJ357" s="289">
        <v>417.59190000000001</v>
      </c>
      <c r="BK357" s="289">
        <v>1021</v>
      </c>
      <c r="BL357" s="289">
        <v>0</v>
      </c>
      <c r="BM357" s="289">
        <v>957</v>
      </c>
      <c r="BN357" s="289">
        <v>0</v>
      </c>
      <c r="BO357" s="517">
        <v>0</v>
      </c>
      <c r="BP357" s="289">
        <v>1020.4497064102569</v>
      </c>
      <c r="BQ357" s="289">
        <f t="shared" si="10"/>
        <v>-4.0341347819999998</v>
      </c>
      <c r="BR357" s="289">
        <v>1723.587</v>
      </c>
      <c r="BS357" s="289">
        <f t="shared" si="11"/>
        <v>1442.463</v>
      </c>
      <c r="BT357" s="289">
        <v>9</v>
      </c>
      <c r="BU357" s="289">
        <v>0</v>
      </c>
      <c r="BV357" s="289">
        <v>46</v>
      </c>
      <c r="BW357" s="289">
        <v>176.04499999999999</v>
      </c>
      <c r="BX357" s="289">
        <v>81.594999999999999</v>
      </c>
      <c r="CC357" s="517"/>
      <c r="CD357" s="85"/>
      <c r="CE357" s="517"/>
    </row>
    <row r="358" spans="1:83" ht="13">
      <c r="A358" s="1">
        <v>5024</v>
      </c>
      <c r="B358" s="2" t="s">
        <v>133</v>
      </c>
      <c r="C358" s="289">
        <v>11933</v>
      </c>
      <c r="D358" s="289">
        <v>217</v>
      </c>
      <c r="E358" s="289">
        <v>568</v>
      </c>
      <c r="F358" s="289">
        <v>1559</v>
      </c>
      <c r="G358" s="289">
        <v>1017</v>
      </c>
      <c r="H358" s="289">
        <v>6657</v>
      </c>
      <c r="I358" s="289">
        <v>1376</v>
      </c>
      <c r="J358" s="289">
        <v>439</v>
      </c>
      <c r="K358" s="289">
        <v>93</v>
      </c>
      <c r="L358" s="289">
        <v>96</v>
      </c>
      <c r="M358" s="289">
        <v>848</v>
      </c>
      <c r="N358" s="290">
        <v>205</v>
      </c>
      <c r="O358" s="290">
        <v>104</v>
      </c>
      <c r="P358" s="624">
        <v>56224.534666669999</v>
      </c>
      <c r="Q358" s="624">
        <v>21490.651000000002</v>
      </c>
      <c r="R358" s="624">
        <v>36</v>
      </c>
      <c r="S358" s="289">
        <v>0</v>
      </c>
      <c r="T358" s="289">
        <v>828</v>
      </c>
      <c r="U358" s="716">
        <v>3.5526029146434627E-3</v>
      </c>
      <c r="V358" s="289">
        <v>3728.1430633300001</v>
      </c>
      <c r="W358" s="743">
        <v>0.58617001999999996</v>
      </c>
      <c r="X358" s="289">
        <v>800</v>
      </c>
      <c r="Y358" s="289">
        <v>392</v>
      </c>
      <c r="Z358" s="289">
        <v>289138</v>
      </c>
      <c r="AA358" s="289">
        <v>0</v>
      </c>
      <c r="AB358" s="290">
        <v>315</v>
      </c>
      <c r="AC358" s="289">
        <v>0</v>
      </c>
      <c r="AD358" s="289">
        <v>4778.0820000000003</v>
      </c>
      <c r="AE358" s="289">
        <v>0</v>
      </c>
      <c r="AF358" s="289">
        <v>0</v>
      </c>
      <c r="AG358" s="289">
        <v>11926</v>
      </c>
      <c r="AH358" s="289">
        <v>1769</v>
      </c>
      <c r="AI358" s="289">
        <v>1450</v>
      </c>
      <c r="AJ358" s="289">
        <v>0</v>
      </c>
      <c r="AK358" s="289">
        <v>53.3232</v>
      </c>
      <c r="AL358" s="289"/>
      <c r="AM358" s="622">
        <v>0.17422918000000001</v>
      </c>
      <c r="AN358" s="289">
        <v>0</v>
      </c>
      <c r="AO358" s="289">
        <v>-582.64224157000001</v>
      </c>
      <c r="AP358" s="289">
        <v>0</v>
      </c>
      <c r="AQ358" s="289">
        <v>0</v>
      </c>
      <c r="AR358" s="289">
        <v>2343.9963536199998</v>
      </c>
      <c r="AS358" s="289">
        <v>138.8058</v>
      </c>
      <c r="AT358" s="289">
        <v>623</v>
      </c>
      <c r="AU358" s="289">
        <v>147</v>
      </c>
      <c r="AV358" s="625">
        <v>293668</v>
      </c>
      <c r="AW358" s="289">
        <v>1208.9793999999999</v>
      </c>
      <c r="AX358" s="625">
        <v>66.166666669999998</v>
      </c>
      <c r="AY358" s="289">
        <v>2085</v>
      </c>
      <c r="AZ358" s="289">
        <v>269</v>
      </c>
      <c r="BA358" s="290">
        <v>291</v>
      </c>
      <c r="BB358" s="289">
        <v>0</v>
      </c>
      <c r="BC358" s="289">
        <v>2167</v>
      </c>
      <c r="BD358" s="289">
        <v>234.77670000000001</v>
      </c>
      <c r="BE358" s="289">
        <v>298090.59937638999</v>
      </c>
      <c r="BF358" s="289">
        <v>0</v>
      </c>
      <c r="BG358" s="289">
        <v>11</v>
      </c>
      <c r="BH358" s="289">
        <v>-97.1648</v>
      </c>
      <c r="BI358" s="289">
        <v>6939.0820000000003</v>
      </c>
      <c r="BJ358" s="289">
        <v>-183.756</v>
      </c>
      <c r="BK358" s="289">
        <v>0</v>
      </c>
      <c r="BL358" s="289">
        <v>0</v>
      </c>
      <c r="BM358" s="289">
        <v>2873</v>
      </c>
      <c r="BN358" s="289">
        <v>0</v>
      </c>
      <c r="BO358" s="517">
        <v>0</v>
      </c>
      <c r="BP358" s="517">
        <v>0</v>
      </c>
      <c r="BQ358" s="289">
        <f t="shared" si="10"/>
        <v>-12.2420079924</v>
      </c>
      <c r="BR358" s="289">
        <v>4606.5680000000002</v>
      </c>
      <c r="BS358" s="289">
        <f t="shared" si="11"/>
        <v>-171.51400000000012</v>
      </c>
      <c r="BT358" s="289">
        <v>31</v>
      </c>
      <c r="BU358" s="289">
        <v>0</v>
      </c>
      <c r="BV358" s="289">
        <v>115</v>
      </c>
      <c r="BW358" s="289">
        <v>0</v>
      </c>
      <c r="BX358" s="289">
        <v>250.435</v>
      </c>
      <c r="CC358" s="517"/>
      <c r="CD358" s="85"/>
      <c r="CE358" s="517"/>
    </row>
    <row r="359" spans="1:83" ht="13">
      <c r="A359" s="1">
        <v>5025</v>
      </c>
      <c r="B359" s="2" t="s">
        <v>134</v>
      </c>
      <c r="C359" s="289">
        <v>5663</v>
      </c>
      <c r="D359" s="289">
        <v>101</v>
      </c>
      <c r="E359" s="289">
        <v>180</v>
      </c>
      <c r="F359" s="289">
        <v>574</v>
      </c>
      <c r="G359" s="289">
        <v>524</v>
      </c>
      <c r="H359" s="289">
        <v>3123</v>
      </c>
      <c r="I359" s="289">
        <v>815</v>
      </c>
      <c r="J359" s="289">
        <v>291</v>
      </c>
      <c r="K359" s="289">
        <v>61</v>
      </c>
      <c r="L359" s="289">
        <v>46</v>
      </c>
      <c r="M359" s="289">
        <v>531</v>
      </c>
      <c r="N359" s="290">
        <v>66</v>
      </c>
      <c r="O359" s="290">
        <v>21</v>
      </c>
      <c r="P359" s="624">
        <v>35139.217666670003</v>
      </c>
      <c r="Q359" s="624">
        <v>18031.737000000001</v>
      </c>
      <c r="R359" s="624">
        <v>21</v>
      </c>
      <c r="S359" s="289">
        <v>0</v>
      </c>
      <c r="T359" s="289">
        <v>527</v>
      </c>
      <c r="U359" s="716">
        <v>2.4067256644280171E-3</v>
      </c>
      <c r="V359" s="289">
        <v>2013.4973970200001</v>
      </c>
      <c r="W359" s="743">
        <v>0.68295419999999996</v>
      </c>
      <c r="X359" s="289">
        <v>900</v>
      </c>
      <c r="Y359" s="289">
        <v>392</v>
      </c>
      <c r="Z359" s="289">
        <v>150634</v>
      </c>
      <c r="AA359" s="289">
        <v>0</v>
      </c>
      <c r="AB359" s="290">
        <v>94</v>
      </c>
      <c r="AC359" s="289">
        <v>1281</v>
      </c>
      <c r="AD359" s="289">
        <v>0</v>
      </c>
      <c r="AE359" s="289">
        <v>0</v>
      </c>
      <c r="AF359" s="289">
        <v>0</v>
      </c>
      <c r="AG359" s="289">
        <v>5669</v>
      </c>
      <c r="AH359" s="289">
        <v>672</v>
      </c>
      <c r="AI359" s="289">
        <v>950</v>
      </c>
      <c r="AJ359" s="289">
        <v>0</v>
      </c>
      <c r="AK359" s="289">
        <v>19.8369</v>
      </c>
      <c r="AL359" s="289"/>
      <c r="AM359" s="622">
        <v>3.9488580000000002E-2</v>
      </c>
      <c r="AN359" s="289">
        <v>7313</v>
      </c>
      <c r="AO359" s="289">
        <v>-280.05303838999998</v>
      </c>
      <c r="AP359" s="289">
        <v>0</v>
      </c>
      <c r="AQ359" s="289">
        <v>0</v>
      </c>
      <c r="AR359" s="289">
        <v>4564.8408132300001</v>
      </c>
      <c r="AS359" s="289">
        <v>63.7774</v>
      </c>
      <c r="AT359" s="289">
        <v>231</v>
      </c>
      <c r="AU359" s="289">
        <v>47</v>
      </c>
      <c r="AV359" s="625">
        <v>153181</v>
      </c>
      <c r="AW359" s="289">
        <v>-110.29049999999999</v>
      </c>
      <c r="AX359" s="625">
        <v>48</v>
      </c>
      <c r="AY359" s="289">
        <v>1230</v>
      </c>
      <c r="AZ359" s="289">
        <v>115</v>
      </c>
      <c r="BA359" s="290">
        <v>128</v>
      </c>
      <c r="BB359" s="289">
        <v>0</v>
      </c>
      <c r="BC359" s="289">
        <v>1167</v>
      </c>
      <c r="BD359" s="289">
        <v>89.185900000000004</v>
      </c>
      <c r="BE359" s="289">
        <v>149353.22162739999</v>
      </c>
      <c r="BF359" s="289">
        <v>0</v>
      </c>
      <c r="BG359" s="289">
        <v>11</v>
      </c>
      <c r="BH359" s="289">
        <v>-46.187100000000001</v>
      </c>
      <c r="BI359" s="289">
        <v>1064</v>
      </c>
      <c r="BJ359" s="289">
        <v>-5.8192000000000004</v>
      </c>
      <c r="BK359" s="289">
        <v>0</v>
      </c>
      <c r="BL359" s="289">
        <v>0</v>
      </c>
      <c r="BM359" s="289">
        <v>0</v>
      </c>
      <c r="BN359" s="289">
        <v>0</v>
      </c>
      <c r="BO359" s="517">
        <v>0</v>
      </c>
      <c r="BP359" s="517">
        <v>0</v>
      </c>
      <c r="BQ359" s="289">
        <f t="shared" si="10"/>
        <v>-5.8192137605999994</v>
      </c>
      <c r="BR359" s="289">
        <v>0</v>
      </c>
      <c r="BS359" s="289">
        <f t="shared" si="11"/>
        <v>0</v>
      </c>
      <c r="BT359" s="289">
        <v>11</v>
      </c>
      <c r="BU359" s="289">
        <v>0</v>
      </c>
      <c r="BV359" s="289">
        <v>62</v>
      </c>
      <c r="BW359" s="289">
        <v>212.721</v>
      </c>
      <c r="BX359" s="289">
        <v>116.76300000000001</v>
      </c>
      <c r="CC359" s="517"/>
      <c r="CD359" s="85"/>
      <c r="CE359" s="517"/>
    </row>
    <row r="360" spans="1:83" ht="13">
      <c r="A360" s="1">
        <v>5026</v>
      </c>
      <c r="B360" s="2" t="s">
        <v>135</v>
      </c>
      <c r="C360" s="289">
        <v>2028</v>
      </c>
      <c r="D360" s="289">
        <v>32</v>
      </c>
      <c r="E360" s="289">
        <v>66</v>
      </c>
      <c r="F360" s="289">
        <v>226</v>
      </c>
      <c r="G360" s="289">
        <v>183</v>
      </c>
      <c r="H360" s="289">
        <v>1085</v>
      </c>
      <c r="I360" s="289">
        <v>347</v>
      </c>
      <c r="J360" s="289">
        <v>86</v>
      </c>
      <c r="K360" s="289">
        <v>21</v>
      </c>
      <c r="L360" s="289">
        <v>19</v>
      </c>
      <c r="M360" s="289">
        <v>191</v>
      </c>
      <c r="N360" s="290">
        <v>1.5</v>
      </c>
      <c r="O360" s="290">
        <v>13</v>
      </c>
      <c r="P360" s="624">
        <v>14930.415999999999</v>
      </c>
      <c r="Q360" s="624">
        <v>4903.1149999999998</v>
      </c>
      <c r="R360" s="624">
        <v>11</v>
      </c>
      <c r="S360" s="289">
        <v>0</v>
      </c>
      <c r="T360" s="289">
        <v>126</v>
      </c>
      <c r="U360" s="716">
        <v>2.1445531867714685E-3</v>
      </c>
      <c r="V360" s="289">
        <v>819.19911494999997</v>
      </c>
      <c r="W360" s="743">
        <v>1</v>
      </c>
      <c r="X360" s="289">
        <v>200</v>
      </c>
      <c r="Y360" s="289">
        <v>268</v>
      </c>
      <c r="Z360" s="289">
        <v>42917</v>
      </c>
      <c r="AA360" s="289">
        <v>0</v>
      </c>
      <c r="AB360" s="290">
        <v>40</v>
      </c>
      <c r="AC360" s="289">
        <v>0</v>
      </c>
      <c r="AD360" s="289">
        <v>0</v>
      </c>
      <c r="AE360" s="289">
        <v>0</v>
      </c>
      <c r="AF360" s="289">
        <v>0</v>
      </c>
      <c r="AG360" s="289">
        <v>2046</v>
      </c>
      <c r="AH360" s="289">
        <v>260</v>
      </c>
      <c r="AI360" s="289">
        <v>0</v>
      </c>
      <c r="AJ360" s="289">
        <v>0</v>
      </c>
      <c r="AK360" s="289">
        <v>6.4406999999999996</v>
      </c>
      <c r="AL360" s="289"/>
      <c r="AM360" s="622">
        <v>9.1674500000000006E-3</v>
      </c>
      <c r="AN360" s="289">
        <v>0</v>
      </c>
      <c r="AO360" s="289">
        <v>-113.94064950000001</v>
      </c>
      <c r="AP360" s="289">
        <v>0</v>
      </c>
      <c r="AQ360" s="289">
        <v>0</v>
      </c>
      <c r="AR360" s="289">
        <v>287.37964570000003</v>
      </c>
      <c r="AS360" s="289">
        <v>17.765499999999999</v>
      </c>
      <c r="AT360" s="289">
        <v>72</v>
      </c>
      <c r="AU360" s="289">
        <v>13</v>
      </c>
      <c r="AV360" s="625">
        <v>70220</v>
      </c>
      <c r="AW360" s="289">
        <v>-39.805</v>
      </c>
      <c r="AX360" s="625">
        <v>8.9166666699999997</v>
      </c>
      <c r="AY360" s="289">
        <v>320</v>
      </c>
      <c r="AZ360" s="289">
        <v>41</v>
      </c>
      <c r="BA360" s="290">
        <v>37</v>
      </c>
      <c r="BB360" s="289">
        <v>5543</v>
      </c>
      <c r="BC360" s="289">
        <v>575</v>
      </c>
      <c r="BD360" s="289">
        <v>34.506500000000003</v>
      </c>
      <c r="BE360" s="289">
        <v>70148.122864100005</v>
      </c>
      <c r="BF360" s="289">
        <v>0</v>
      </c>
      <c r="BG360" s="289">
        <v>13</v>
      </c>
      <c r="BH360" s="289">
        <v>-16.6694</v>
      </c>
      <c r="BI360" s="289">
        <v>528</v>
      </c>
      <c r="BJ360" s="289">
        <v>-2.1002000000000001</v>
      </c>
      <c r="BK360" s="289">
        <v>0</v>
      </c>
      <c r="BL360" s="289">
        <v>0</v>
      </c>
      <c r="BM360" s="289">
        <v>0</v>
      </c>
      <c r="BN360" s="289">
        <v>0</v>
      </c>
      <c r="BO360" s="517">
        <v>0</v>
      </c>
      <c r="BP360" s="517">
        <v>0</v>
      </c>
      <c r="BQ360" s="289">
        <f t="shared" si="10"/>
        <v>-2.1002136804</v>
      </c>
      <c r="BR360" s="289">
        <v>0</v>
      </c>
      <c r="BS360" s="289">
        <f t="shared" si="11"/>
        <v>0</v>
      </c>
      <c r="BT360" s="289">
        <v>4</v>
      </c>
      <c r="BU360" s="289">
        <v>0</v>
      </c>
      <c r="BV360" s="289">
        <v>29</v>
      </c>
      <c r="BW360" s="289">
        <v>0</v>
      </c>
      <c r="BX360" s="289">
        <v>42.231000000000002</v>
      </c>
      <c r="CC360" s="517"/>
      <c r="CD360" s="85"/>
      <c r="CE360" s="517"/>
    </row>
    <row r="361" spans="1:83" ht="13">
      <c r="A361" s="1">
        <v>5027</v>
      </c>
      <c r="B361" s="2" t="s">
        <v>136</v>
      </c>
      <c r="C361" s="289">
        <v>6225</v>
      </c>
      <c r="D361" s="289">
        <v>153</v>
      </c>
      <c r="E361" s="289">
        <v>317</v>
      </c>
      <c r="F361" s="289">
        <v>679</v>
      </c>
      <c r="G361" s="289">
        <v>557</v>
      </c>
      <c r="H361" s="289">
        <v>3478</v>
      </c>
      <c r="I361" s="289">
        <v>746</v>
      </c>
      <c r="J361" s="289">
        <v>282</v>
      </c>
      <c r="K361" s="289">
        <v>58</v>
      </c>
      <c r="L361" s="289">
        <v>52</v>
      </c>
      <c r="M361" s="289">
        <v>486</v>
      </c>
      <c r="N361" s="290">
        <v>41</v>
      </c>
      <c r="O361" s="290">
        <v>53</v>
      </c>
      <c r="P361" s="624">
        <v>106305.38800000001</v>
      </c>
      <c r="Q361" s="624">
        <v>21928.745999999999</v>
      </c>
      <c r="R361" s="624">
        <v>28</v>
      </c>
      <c r="S361" s="289">
        <v>0</v>
      </c>
      <c r="T361" s="289">
        <v>382</v>
      </c>
      <c r="U361" s="716">
        <v>6.0360520660514535E-3</v>
      </c>
      <c r="V361" s="289">
        <v>2378.49502893</v>
      </c>
      <c r="W361" s="743">
        <v>0.78714892999999997</v>
      </c>
      <c r="X361" s="289">
        <v>3400</v>
      </c>
      <c r="Y361" s="289">
        <v>392</v>
      </c>
      <c r="Z361" s="289">
        <v>138350</v>
      </c>
      <c r="AA361" s="289">
        <v>0</v>
      </c>
      <c r="AB361" s="290">
        <v>108</v>
      </c>
      <c r="AC361" s="289">
        <v>0</v>
      </c>
      <c r="AD361" s="289">
        <v>0</v>
      </c>
      <c r="AE361" s="289">
        <v>0</v>
      </c>
      <c r="AF361" s="289">
        <v>0</v>
      </c>
      <c r="AG361" s="289">
        <v>6270</v>
      </c>
      <c r="AH361" s="289">
        <v>888</v>
      </c>
      <c r="AI361" s="289">
        <v>500</v>
      </c>
      <c r="AJ361" s="289">
        <v>0</v>
      </c>
      <c r="AK361" s="289">
        <v>29.533300000000001</v>
      </c>
      <c r="AL361" s="289"/>
      <c r="AM361" s="622">
        <v>0.16898103</v>
      </c>
      <c r="AN361" s="289">
        <v>0</v>
      </c>
      <c r="AO361" s="289">
        <v>-330.81977689000001</v>
      </c>
      <c r="AP361" s="289">
        <v>0</v>
      </c>
      <c r="AQ361" s="289">
        <v>0</v>
      </c>
      <c r="AR361" s="289">
        <v>-448.14321109999997</v>
      </c>
      <c r="AS361" s="289">
        <v>64.196799999999996</v>
      </c>
      <c r="AT361" s="289">
        <v>276</v>
      </c>
      <c r="AU361" s="289">
        <v>87</v>
      </c>
      <c r="AV361" s="625">
        <v>179123</v>
      </c>
      <c r="AW361" s="289">
        <v>-3.1839</v>
      </c>
      <c r="AX361" s="625">
        <v>44.25</v>
      </c>
      <c r="AY361" s="289">
        <v>841</v>
      </c>
      <c r="AZ361" s="289">
        <v>281</v>
      </c>
      <c r="BA361" s="290">
        <v>115</v>
      </c>
      <c r="BB361" s="289">
        <v>0</v>
      </c>
      <c r="BC361" s="289">
        <v>1230</v>
      </c>
      <c r="BD361" s="289">
        <v>117.8528</v>
      </c>
      <c r="BE361" s="289">
        <v>181429.50832222</v>
      </c>
      <c r="BF361" s="289">
        <v>0</v>
      </c>
      <c r="BG361" s="289">
        <v>11</v>
      </c>
      <c r="BH361" s="289">
        <v>-51.083599999999997</v>
      </c>
      <c r="BI361" s="289">
        <v>1280</v>
      </c>
      <c r="BJ361" s="289">
        <v>-6.4360999999999997</v>
      </c>
      <c r="BK361" s="289">
        <v>0</v>
      </c>
      <c r="BL361" s="289">
        <v>0</v>
      </c>
      <c r="BM361" s="289">
        <v>0</v>
      </c>
      <c r="BN361" s="289">
        <v>0</v>
      </c>
      <c r="BO361" s="517">
        <v>0</v>
      </c>
      <c r="BP361" s="517">
        <v>0</v>
      </c>
      <c r="BQ361" s="289">
        <f t="shared" si="10"/>
        <v>-6.4361386979999997</v>
      </c>
      <c r="BR361" s="289">
        <v>0</v>
      </c>
      <c r="BS361" s="289">
        <f t="shared" si="11"/>
        <v>0</v>
      </c>
      <c r="BT361" s="289">
        <v>17</v>
      </c>
      <c r="BU361" s="289">
        <v>0</v>
      </c>
      <c r="BV361" s="289">
        <v>72</v>
      </c>
      <c r="BW361" s="289">
        <v>210.625</v>
      </c>
      <c r="BX361" s="289">
        <v>129.435</v>
      </c>
      <c r="CC361" s="517"/>
      <c r="CD361" s="85"/>
      <c r="CE361" s="517"/>
    </row>
    <row r="362" spans="1:83" ht="13">
      <c r="A362" s="1">
        <v>5028</v>
      </c>
      <c r="B362" s="2" t="s">
        <v>137</v>
      </c>
      <c r="C362" s="289">
        <v>16424</v>
      </c>
      <c r="D362" s="289">
        <v>394</v>
      </c>
      <c r="E362" s="289">
        <v>855</v>
      </c>
      <c r="F362" s="289">
        <v>2162</v>
      </c>
      <c r="G362" s="289">
        <v>1531</v>
      </c>
      <c r="H362" s="289">
        <v>9017</v>
      </c>
      <c r="I362" s="289">
        <v>1712</v>
      </c>
      <c r="J362" s="289">
        <v>549</v>
      </c>
      <c r="K362" s="289">
        <v>112</v>
      </c>
      <c r="L362" s="289">
        <v>113</v>
      </c>
      <c r="M362" s="289">
        <v>939</v>
      </c>
      <c r="N362" s="290">
        <v>173</v>
      </c>
      <c r="O362" s="290">
        <v>82</v>
      </c>
      <c r="P362" s="624">
        <v>91142.184333330006</v>
      </c>
      <c r="Q362" s="624">
        <v>31433.732</v>
      </c>
      <c r="R362" s="624">
        <v>79</v>
      </c>
      <c r="S362" s="289">
        <v>0</v>
      </c>
      <c r="T362" s="289">
        <v>925</v>
      </c>
      <c r="U362" s="716">
        <v>5.56198143702007E-3</v>
      </c>
      <c r="V362" s="289">
        <v>1402.93105154</v>
      </c>
      <c r="W362" s="743">
        <v>0.61472621000000005</v>
      </c>
      <c r="X362" s="289">
        <v>900</v>
      </c>
      <c r="Y362" s="289">
        <v>392</v>
      </c>
      <c r="Z362" s="289">
        <v>405508</v>
      </c>
      <c r="AA362" s="289">
        <v>0</v>
      </c>
      <c r="AB362" s="290">
        <v>336</v>
      </c>
      <c r="AC362" s="289">
        <v>0</v>
      </c>
      <c r="AD362" s="289">
        <v>0</v>
      </c>
      <c r="AE362" s="289">
        <v>0</v>
      </c>
      <c r="AF362" s="289">
        <v>0</v>
      </c>
      <c r="AG362" s="289">
        <v>16332</v>
      </c>
      <c r="AH362" s="289">
        <v>2578</v>
      </c>
      <c r="AI362" s="289">
        <v>3980</v>
      </c>
      <c r="AJ362" s="289">
        <v>0</v>
      </c>
      <c r="AK362" s="289">
        <v>81.639700000000005</v>
      </c>
      <c r="AL362" s="289"/>
      <c r="AM362" s="622">
        <v>0.25884333999999998</v>
      </c>
      <c r="AN362" s="289">
        <v>0</v>
      </c>
      <c r="AO362" s="289">
        <v>-803.75131919</v>
      </c>
      <c r="AP362" s="289">
        <v>0</v>
      </c>
      <c r="AQ362" s="289">
        <v>0</v>
      </c>
      <c r="AR362" s="289">
        <v>-1167.3165747600001</v>
      </c>
      <c r="AS362" s="289">
        <v>163.1686</v>
      </c>
      <c r="AT362" s="289">
        <v>742</v>
      </c>
      <c r="AU362" s="289">
        <v>186</v>
      </c>
      <c r="AV362" s="625">
        <v>388386</v>
      </c>
      <c r="AW362" s="289">
        <v>-8.2933000000000003</v>
      </c>
      <c r="AX362" s="625">
        <v>129.25</v>
      </c>
      <c r="AY362" s="289">
        <v>2900</v>
      </c>
      <c r="AZ362" s="289">
        <v>493</v>
      </c>
      <c r="BA362" s="290">
        <v>367</v>
      </c>
      <c r="BB362" s="289">
        <v>0</v>
      </c>
      <c r="BC362" s="289">
        <v>3286</v>
      </c>
      <c r="BD362" s="289">
        <v>342.14490000000001</v>
      </c>
      <c r="BE362" s="289">
        <v>399873.49733047001</v>
      </c>
      <c r="BF362" s="289">
        <v>0</v>
      </c>
      <c r="BG362" s="289">
        <v>11</v>
      </c>
      <c r="BH362" s="289">
        <v>-133.06180000000001</v>
      </c>
      <c r="BI362" s="289">
        <v>2970</v>
      </c>
      <c r="BJ362" s="289">
        <v>-16.764800000000001</v>
      </c>
      <c r="BK362" s="289">
        <v>0</v>
      </c>
      <c r="BL362" s="289">
        <v>0</v>
      </c>
      <c r="BM362" s="289">
        <v>0</v>
      </c>
      <c r="BN362" s="289">
        <v>0</v>
      </c>
      <c r="BO362" s="517">
        <v>0</v>
      </c>
      <c r="BP362" s="517">
        <v>0</v>
      </c>
      <c r="BQ362" s="289">
        <f t="shared" si="10"/>
        <v>-16.764755536799999</v>
      </c>
      <c r="BR362" s="289">
        <v>0</v>
      </c>
      <c r="BS362" s="289">
        <f t="shared" si="11"/>
        <v>0</v>
      </c>
      <c r="BT362" s="289">
        <v>47</v>
      </c>
      <c r="BU362" s="289">
        <v>0</v>
      </c>
      <c r="BV362" s="289">
        <v>155</v>
      </c>
      <c r="BW362" s="289">
        <v>295.50299999999999</v>
      </c>
      <c r="BX362" s="289">
        <v>343.72500000000002</v>
      </c>
      <c r="CC362" s="517"/>
      <c r="CD362" s="85"/>
      <c r="CE362" s="517"/>
    </row>
    <row r="363" spans="1:83" ht="13">
      <c r="A363" s="1">
        <v>5029</v>
      </c>
      <c r="B363" s="2" t="s">
        <v>138</v>
      </c>
      <c r="C363" s="289">
        <v>8142</v>
      </c>
      <c r="D363" s="289">
        <v>240</v>
      </c>
      <c r="E363" s="289">
        <v>512</v>
      </c>
      <c r="F363" s="289">
        <v>1172</v>
      </c>
      <c r="G363" s="289">
        <v>639</v>
      </c>
      <c r="H363" s="289">
        <v>4503</v>
      </c>
      <c r="I363" s="289">
        <v>741</v>
      </c>
      <c r="J363" s="289">
        <v>203</v>
      </c>
      <c r="K363" s="289">
        <v>51</v>
      </c>
      <c r="L363" s="289">
        <v>57</v>
      </c>
      <c r="M363" s="289">
        <v>383</v>
      </c>
      <c r="N363" s="290">
        <v>55</v>
      </c>
      <c r="O363" s="290">
        <v>32</v>
      </c>
      <c r="P363" s="624">
        <v>31858.329666670001</v>
      </c>
      <c r="Q363" s="624">
        <v>16555.244666670002</v>
      </c>
      <c r="R363" s="624">
        <v>19</v>
      </c>
      <c r="S363" s="289">
        <v>0</v>
      </c>
      <c r="T363" s="289">
        <v>431</v>
      </c>
      <c r="U363" s="716">
        <v>2.9070937791606582E-3</v>
      </c>
      <c r="V363" s="289">
        <v>1718.1237716400001</v>
      </c>
      <c r="W363" s="743">
        <v>0.62669081999999998</v>
      </c>
      <c r="X363" s="289">
        <v>400</v>
      </c>
      <c r="Y363" s="289">
        <v>392</v>
      </c>
      <c r="Z363" s="289">
        <v>194457</v>
      </c>
      <c r="AA363" s="289">
        <v>0</v>
      </c>
      <c r="AB363" s="290">
        <v>155</v>
      </c>
      <c r="AC363" s="289">
        <v>0</v>
      </c>
      <c r="AD363" s="289">
        <v>0</v>
      </c>
      <c r="AE363" s="289">
        <v>5810</v>
      </c>
      <c r="AF363" s="289">
        <v>0</v>
      </c>
      <c r="AG363" s="289">
        <v>8061</v>
      </c>
      <c r="AH363" s="289">
        <v>1362</v>
      </c>
      <c r="AI363" s="289">
        <v>500</v>
      </c>
      <c r="AJ363" s="289">
        <v>0</v>
      </c>
      <c r="AK363" s="289">
        <v>49.590699999999998</v>
      </c>
      <c r="AL363" s="289"/>
      <c r="AM363" s="622">
        <v>8.6725499999999997E-2</v>
      </c>
      <c r="AN363" s="289">
        <v>0</v>
      </c>
      <c r="AO363" s="289">
        <v>-399.22718282</v>
      </c>
      <c r="AP363" s="289">
        <v>0</v>
      </c>
      <c r="AQ363" s="289">
        <v>0</v>
      </c>
      <c r="AR363" s="289">
        <v>-576.15349676000005</v>
      </c>
      <c r="AS363" s="289">
        <v>73.272000000000006</v>
      </c>
      <c r="AT363" s="289">
        <v>408</v>
      </c>
      <c r="AU363" s="289">
        <v>76</v>
      </c>
      <c r="AV363" s="625">
        <v>198741</v>
      </c>
      <c r="AW363" s="289">
        <v>-4.0933999999999999</v>
      </c>
      <c r="AX363" s="625">
        <v>91.166666669999998</v>
      </c>
      <c r="AY363" s="289">
        <v>1656</v>
      </c>
      <c r="AZ363" s="289">
        <v>179</v>
      </c>
      <c r="BA363" s="290">
        <v>170</v>
      </c>
      <c r="BB363" s="289">
        <v>0</v>
      </c>
      <c r="BC363" s="289">
        <v>1744</v>
      </c>
      <c r="BD363" s="289">
        <v>180.76079999999999</v>
      </c>
      <c r="BE363" s="289">
        <v>207035.47026070001</v>
      </c>
      <c r="BF363" s="289">
        <v>0</v>
      </c>
      <c r="BG363" s="289">
        <v>11</v>
      </c>
      <c r="BH363" s="289">
        <v>-65.675399999999996</v>
      </c>
      <c r="BI363" s="289">
        <v>1754</v>
      </c>
      <c r="BJ363" s="289">
        <v>-8.2745999999999995</v>
      </c>
      <c r="BK363" s="289">
        <v>0</v>
      </c>
      <c r="BL363" s="289">
        <v>0</v>
      </c>
      <c r="BM363" s="289">
        <v>0</v>
      </c>
      <c r="BN363" s="289">
        <v>0</v>
      </c>
      <c r="BO363" s="517">
        <v>0</v>
      </c>
      <c r="BP363" s="517">
        <v>0</v>
      </c>
      <c r="BQ363" s="289">
        <f t="shared" si="10"/>
        <v>-8.2745955414000001</v>
      </c>
      <c r="BR363" s="289">
        <v>0</v>
      </c>
      <c r="BS363" s="289">
        <f t="shared" si="11"/>
        <v>0</v>
      </c>
      <c r="BT363" s="289">
        <v>28</v>
      </c>
      <c r="BU363" s="289">
        <v>0</v>
      </c>
      <c r="BV363" s="289">
        <v>77</v>
      </c>
      <c r="BW363" s="289">
        <v>243.10900000000001</v>
      </c>
      <c r="BX363" s="289">
        <v>170.04499999999999</v>
      </c>
      <c r="CC363" s="517"/>
      <c r="CD363" s="85"/>
      <c r="CE363" s="517"/>
    </row>
    <row r="364" spans="1:83" ht="13">
      <c r="A364" s="1">
        <v>5030</v>
      </c>
      <c r="B364" s="2" t="s">
        <v>139</v>
      </c>
      <c r="C364" s="289">
        <v>6094</v>
      </c>
      <c r="D364" s="289">
        <v>140</v>
      </c>
      <c r="E364" s="289">
        <v>337</v>
      </c>
      <c r="F364" s="289">
        <v>945</v>
      </c>
      <c r="G364" s="289">
        <v>622</v>
      </c>
      <c r="H364" s="289">
        <v>3346</v>
      </c>
      <c r="I364" s="289">
        <v>538</v>
      </c>
      <c r="J364" s="289">
        <v>125</v>
      </c>
      <c r="K364" s="289">
        <v>22</v>
      </c>
      <c r="L364" s="289">
        <v>41</v>
      </c>
      <c r="M364" s="289">
        <v>247</v>
      </c>
      <c r="N364" s="290">
        <v>45</v>
      </c>
      <c r="O364" s="290">
        <v>24</v>
      </c>
      <c r="P364" s="624">
        <v>15560.83266667</v>
      </c>
      <c r="Q364" s="624">
        <v>14024.94266667</v>
      </c>
      <c r="R364" s="624">
        <v>16</v>
      </c>
      <c r="S364" s="289">
        <v>0</v>
      </c>
      <c r="T364" s="289">
        <v>341</v>
      </c>
      <c r="U364" s="716">
        <v>8.9996386097852062E-4</v>
      </c>
      <c r="V364" s="289">
        <v>1176.9358434400001</v>
      </c>
      <c r="W364" s="743">
        <v>0.61385802</v>
      </c>
      <c r="X364" s="289">
        <v>300</v>
      </c>
      <c r="Y364" s="289">
        <v>392</v>
      </c>
      <c r="Z364" s="289">
        <v>151440</v>
      </c>
      <c r="AA364" s="289">
        <v>0</v>
      </c>
      <c r="AB364" s="290">
        <v>118</v>
      </c>
      <c r="AC364" s="289">
        <v>0</v>
      </c>
      <c r="AD364" s="289">
        <v>3505.8420000000001</v>
      </c>
      <c r="AE364" s="289">
        <v>0</v>
      </c>
      <c r="AF364" s="289">
        <v>0</v>
      </c>
      <c r="AG364" s="289">
        <v>6075</v>
      </c>
      <c r="AH364" s="289">
        <v>1072</v>
      </c>
      <c r="AI364" s="289">
        <v>2595</v>
      </c>
      <c r="AJ364" s="289">
        <v>0</v>
      </c>
      <c r="AK364" s="289">
        <v>31.6355</v>
      </c>
      <c r="AL364" s="289"/>
      <c r="AM364" s="622">
        <v>0.16484294999999999</v>
      </c>
      <c r="AN364" s="289">
        <v>0</v>
      </c>
      <c r="AO364" s="289">
        <v>-294.96860411</v>
      </c>
      <c r="AP364" s="289">
        <v>0</v>
      </c>
      <c r="AQ364" s="289">
        <v>0</v>
      </c>
      <c r="AR364" s="289">
        <v>631.52185615999997</v>
      </c>
      <c r="AS364" s="289">
        <v>62.5047</v>
      </c>
      <c r="AT364" s="289">
        <v>296</v>
      </c>
      <c r="AU364" s="289">
        <v>91</v>
      </c>
      <c r="AV364" s="625">
        <v>145287</v>
      </c>
      <c r="AW364" s="289">
        <v>-118.1893</v>
      </c>
      <c r="AX364" s="625">
        <v>43.583333330000002</v>
      </c>
      <c r="AY364" s="289">
        <v>1108</v>
      </c>
      <c r="AZ364" s="289">
        <v>224</v>
      </c>
      <c r="BA364" s="290">
        <v>192</v>
      </c>
      <c r="BB364" s="289">
        <v>0</v>
      </c>
      <c r="BC364" s="289">
        <v>1434</v>
      </c>
      <c r="BD364" s="289">
        <v>142.27279999999999</v>
      </c>
      <c r="BE364" s="289">
        <v>149111.01048046999</v>
      </c>
      <c r="BF364" s="289">
        <v>0</v>
      </c>
      <c r="BG364" s="289">
        <v>11</v>
      </c>
      <c r="BH364" s="289">
        <v>-49.494900000000001</v>
      </c>
      <c r="BI364" s="289">
        <v>4969.8419999999996</v>
      </c>
      <c r="BJ364" s="289">
        <v>187.88040000000001</v>
      </c>
      <c r="BK364" s="289">
        <v>470</v>
      </c>
      <c r="BL364" s="289">
        <v>0</v>
      </c>
      <c r="BM364" s="289">
        <v>0</v>
      </c>
      <c r="BN364" s="289">
        <v>0</v>
      </c>
      <c r="BO364" s="517">
        <v>0</v>
      </c>
      <c r="BP364" s="517">
        <v>0</v>
      </c>
      <c r="BQ364" s="289">
        <f t="shared" si="10"/>
        <v>-6.2359717049999999</v>
      </c>
      <c r="BR364" s="289">
        <v>4169.951</v>
      </c>
      <c r="BS364" s="289">
        <f t="shared" si="11"/>
        <v>664.10899999999992</v>
      </c>
      <c r="BT364" s="289">
        <v>18</v>
      </c>
      <c r="BU364" s="289">
        <v>0</v>
      </c>
      <c r="BV364" s="289">
        <v>58</v>
      </c>
      <c r="BW364" s="289">
        <v>263.01900000000001</v>
      </c>
      <c r="BX364" s="289">
        <v>126.60899999999999</v>
      </c>
      <c r="CC364" s="517"/>
      <c r="CD364" s="85"/>
      <c r="CE364" s="517"/>
    </row>
    <row r="365" spans="1:83" ht="13">
      <c r="A365" s="1">
        <v>5031</v>
      </c>
      <c r="B365" s="2" t="s">
        <v>141</v>
      </c>
      <c r="C365" s="289">
        <v>13958</v>
      </c>
      <c r="D365" s="289">
        <v>336</v>
      </c>
      <c r="E365" s="289">
        <v>750</v>
      </c>
      <c r="F365" s="289">
        <v>1992</v>
      </c>
      <c r="G365" s="289">
        <v>1320</v>
      </c>
      <c r="H365" s="289">
        <v>7859</v>
      </c>
      <c r="I365" s="289">
        <v>1232</v>
      </c>
      <c r="J365" s="289">
        <v>323</v>
      </c>
      <c r="K365" s="289">
        <v>72</v>
      </c>
      <c r="L365" s="289">
        <v>95</v>
      </c>
      <c r="M365" s="289">
        <v>567</v>
      </c>
      <c r="N365" s="290">
        <v>144</v>
      </c>
      <c r="O365" s="290">
        <v>91</v>
      </c>
      <c r="P365" s="624">
        <v>30595.48466667</v>
      </c>
      <c r="Q365" s="624">
        <v>20875.125666669999</v>
      </c>
      <c r="R365" s="624">
        <v>54</v>
      </c>
      <c r="S365" s="289">
        <v>0</v>
      </c>
      <c r="T365" s="289">
        <v>763</v>
      </c>
      <c r="U365" s="716">
        <v>1.4032507626160261E-3</v>
      </c>
      <c r="V365" s="289">
        <v>1171.4280915100001</v>
      </c>
      <c r="W365" s="743">
        <v>0.56136691999999999</v>
      </c>
      <c r="X365" s="289">
        <v>600</v>
      </c>
      <c r="Y365" s="289">
        <v>0</v>
      </c>
      <c r="Z365" s="289">
        <v>397644</v>
      </c>
      <c r="AA365" s="289">
        <v>0</v>
      </c>
      <c r="AB365" s="290">
        <v>284</v>
      </c>
      <c r="AC365" s="289">
        <v>0</v>
      </c>
      <c r="AD365" s="289">
        <v>0</v>
      </c>
      <c r="AE365" s="289">
        <v>0</v>
      </c>
      <c r="AF365" s="289">
        <v>0</v>
      </c>
      <c r="AG365" s="289">
        <v>13884</v>
      </c>
      <c r="AH365" s="289">
        <v>2302</v>
      </c>
      <c r="AI365" s="289">
        <v>980</v>
      </c>
      <c r="AJ365" s="289">
        <v>0</v>
      </c>
      <c r="AK365" s="289">
        <v>74.1096</v>
      </c>
      <c r="AL365" s="289"/>
      <c r="AM365" s="622">
        <v>0.25157022000000001</v>
      </c>
      <c r="AN365" s="289">
        <v>0</v>
      </c>
      <c r="AO365" s="289">
        <v>-657.33312022999996</v>
      </c>
      <c r="AP365" s="289">
        <v>0</v>
      </c>
      <c r="AQ365" s="289">
        <v>0</v>
      </c>
      <c r="AR365" s="289">
        <v>-992.3477421</v>
      </c>
      <c r="AS365" s="289">
        <v>139.86000000000001</v>
      </c>
      <c r="AT365" s="289">
        <v>704</v>
      </c>
      <c r="AU365" s="289">
        <v>175</v>
      </c>
      <c r="AV365" s="625">
        <v>306586</v>
      </c>
      <c r="AW365" s="289">
        <v>-7.0503</v>
      </c>
      <c r="AX365" s="625">
        <v>118.16666667</v>
      </c>
      <c r="AY365" s="289">
        <v>3566</v>
      </c>
      <c r="AZ365" s="289">
        <v>390</v>
      </c>
      <c r="BA365" s="290">
        <v>273</v>
      </c>
      <c r="BB365" s="289">
        <v>0</v>
      </c>
      <c r="BC365" s="289">
        <v>2257</v>
      </c>
      <c r="BD365" s="289">
        <v>305.51490000000001</v>
      </c>
      <c r="BE365" s="289">
        <v>312851.30953750998</v>
      </c>
      <c r="BF365" s="289">
        <v>0</v>
      </c>
      <c r="BG365" s="289">
        <v>0</v>
      </c>
      <c r="BH365" s="289">
        <v>-113.1172</v>
      </c>
      <c r="BI365" s="289">
        <v>2302</v>
      </c>
      <c r="BJ365" s="289">
        <v>-14.251899999999999</v>
      </c>
      <c r="BK365" s="289">
        <v>0</v>
      </c>
      <c r="BL365" s="289">
        <v>0</v>
      </c>
      <c r="BM365" s="289">
        <v>0</v>
      </c>
      <c r="BN365" s="289">
        <v>0</v>
      </c>
      <c r="BO365" s="517">
        <v>0</v>
      </c>
      <c r="BP365" s="517">
        <v>0</v>
      </c>
      <c r="BQ365" s="289">
        <f t="shared" si="10"/>
        <v>-14.2518899016</v>
      </c>
      <c r="BR365" s="289">
        <v>0</v>
      </c>
      <c r="BS365" s="289">
        <f t="shared" si="11"/>
        <v>0</v>
      </c>
      <c r="BT365" s="289">
        <v>42</v>
      </c>
      <c r="BU365" s="289">
        <v>0</v>
      </c>
      <c r="BV365" s="289">
        <v>123</v>
      </c>
      <c r="BW365" s="289">
        <v>258.82799999999997</v>
      </c>
      <c r="BX365" s="289">
        <v>290.61</v>
      </c>
      <c r="CC365" s="517"/>
      <c r="CD365" s="85"/>
      <c r="CE365" s="517"/>
    </row>
    <row r="366" spans="1:83" ht="13">
      <c r="A366" s="1">
        <v>5032</v>
      </c>
      <c r="B366" s="2" t="s">
        <v>142</v>
      </c>
      <c r="C366" s="289">
        <v>4093</v>
      </c>
      <c r="D366" s="289">
        <v>84</v>
      </c>
      <c r="E366" s="289">
        <v>155</v>
      </c>
      <c r="F366" s="289">
        <v>502</v>
      </c>
      <c r="G366" s="289">
        <v>353</v>
      </c>
      <c r="H366" s="289">
        <v>2200</v>
      </c>
      <c r="I366" s="289">
        <v>553</v>
      </c>
      <c r="J366" s="289">
        <v>188</v>
      </c>
      <c r="K366" s="289">
        <v>69</v>
      </c>
      <c r="L366" s="289">
        <v>34</v>
      </c>
      <c r="M366" s="289">
        <v>347</v>
      </c>
      <c r="N366" s="290">
        <v>20</v>
      </c>
      <c r="O366" s="290">
        <v>13</v>
      </c>
      <c r="P366" s="624">
        <v>31806.198</v>
      </c>
      <c r="Q366" s="624">
        <v>16224.22533333</v>
      </c>
      <c r="R366" s="624">
        <v>23</v>
      </c>
      <c r="S366" s="289">
        <v>0</v>
      </c>
      <c r="T366" s="289">
        <v>288</v>
      </c>
      <c r="U366" s="716">
        <v>3.3477483741430297E-3</v>
      </c>
      <c r="V366" s="289">
        <v>1623.91991577</v>
      </c>
      <c r="W366" s="743">
        <v>0.79414803</v>
      </c>
      <c r="X366" s="289">
        <v>2500</v>
      </c>
      <c r="Y366" s="289">
        <v>392</v>
      </c>
      <c r="Z366" s="289">
        <v>97338</v>
      </c>
      <c r="AA366" s="289">
        <v>0</v>
      </c>
      <c r="AB366" s="290">
        <v>92</v>
      </c>
      <c r="AC366" s="289">
        <v>0</v>
      </c>
      <c r="AD366" s="289">
        <v>0</v>
      </c>
      <c r="AE366" s="289">
        <v>0</v>
      </c>
      <c r="AF366" s="289">
        <v>0</v>
      </c>
      <c r="AG366" s="289">
        <v>4104</v>
      </c>
      <c r="AH366" s="289">
        <v>562</v>
      </c>
      <c r="AI366" s="289">
        <v>1690</v>
      </c>
      <c r="AJ366" s="289">
        <v>0</v>
      </c>
      <c r="AK366" s="289">
        <v>15.7608</v>
      </c>
      <c r="AL366" s="289"/>
      <c r="AM366" s="622">
        <v>4.2425200000000003E-2</v>
      </c>
      <c r="AN366" s="289">
        <v>0</v>
      </c>
      <c r="AO366" s="289">
        <v>-225.86754131999999</v>
      </c>
      <c r="AP366" s="289">
        <v>0</v>
      </c>
      <c r="AQ366" s="289">
        <v>0</v>
      </c>
      <c r="AR366" s="289">
        <v>989.14905434000002</v>
      </c>
      <c r="AS366" s="289">
        <v>41.3123</v>
      </c>
      <c r="AT366" s="289">
        <v>166</v>
      </c>
      <c r="AU366" s="289">
        <v>37</v>
      </c>
      <c r="AV366" s="625">
        <v>39258</v>
      </c>
      <c r="AW366" s="289">
        <v>-79.843400000000003</v>
      </c>
      <c r="AX366" s="625">
        <v>32.666666669999998</v>
      </c>
      <c r="AY366" s="289">
        <v>700</v>
      </c>
      <c r="AZ366" s="289">
        <v>116</v>
      </c>
      <c r="BA366" s="290">
        <v>78</v>
      </c>
      <c r="BB366" s="289">
        <v>0</v>
      </c>
      <c r="BC366" s="289">
        <v>-89953.240449999998</v>
      </c>
      <c r="BD366" s="289">
        <v>74.587100000000007</v>
      </c>
      <c r="BE366" s="289">
        <v>34776.08866098</v>
      </c>
      <c r="BF366" s="289">
        <v>0</v>
      </c>
      <c r="BG366" s="289">
        <v>11</v>
      </c>
      <c r="BH366" s="289">
        <v>-33.436500000000002</v>
      </c>
      <c r="BI366" s="289">
        <v>-93075.815900000001</v>
      </c>
      <c r="BJ366" s="289">
        <v>-4.2126999999999999</v>
      </c>
      <c r="BK366" s="289">
        <v>0</v>
      </c>
      <c r="BL366" s="289">
        <v>-94029.815900000001</v>
      </c>
      <c r="BM366" s="289">
        <v>0</v>
      </c>
      <c r="BN366" s="289">
        <v>-103.37009999999999</v>
      </c>
      <c r="BO366" s="517">
        <v>0</v>
      </c>
      <c r="BP366" s="517">
        <v>0</v>
      </c>
      <c r="BQ366" s="289">
        <f t="shared" si="10"/>
        <v>-4.2127453296000006</v>
      </c>
      <c r="BR366" s="289">
        <v>0</v>
      </c>
      <c r="BS366" s="289">
        <f t="shared" si="11"/>
        <v>0</v>
      </c>
      <c r="BT366" s="289">
        <v>9</v>
      </c>
      <c r="BU366" s="289">
        <v>0</v>
      </c>
      <c r="BV366" s="289">
        <v>49</v>
      </c>
      <c r="BW366" s="289">
        <v>0</v>
      </c>
      <c r="BX366" s="289">
        <v>85.396000000000001</v>
      </c>
      <c r="CC366" s="517"/>
      <c r="CD366" s="85"/>
      <c r="CE366" s="517"/>
    </row>
    <row r="367" spans="1:83" ht="13">
      <c r="A367" s="1">
        <v>5033</v>
      </c>
      <c r="B367" s="2" t="s">
        <v>143</v>
      </c>
      <c r="C367" s="289">
        <v>834</v>
      </c>
      <c r="D367" s="289">
        <v>13</v>
      </c>
      <c r="E367" s="289">
        <v>28</v>
      </c>
      <c r="F367" s="289">
        <v>74</v>
      </c>
      <c r="G367" s="289">
        <v>69</v>
      </c>
      <c r="H367" s="289">
        <v>471</v>
      </c>
      <c r="I367" s="289">
        <v>119</v>
      </c>
      <c r="J367" s="289">
        <v>53</v>
      </c>
      <c r="K367" s="289">
        <v>15</v>
      </c>
      <c r="L367" s="289">
        <v>6</v>
      </c>
      <c r="M367" s="289">
        <v>79</v>
      </c>
      <c r="N367" s="290">
        <v>0</v>
      </c>
      <c r="O367" s="290">
        <v>8</v>
      </c>
      <c r="P367" s="624">
        <v>5282.3149999999996</v>
      </c>
      <c r="Q367" s="624">
        <v>4564.6623333300004</v>
      </c>
      <c r="R367" s="624">
        <v>1</v>
      </c>
      <c r="S367" s="289">
        <v>0</v>
      </c>
      <c r="T367" s="289">
        <v>47</v>
      </c>
      <c r="U367" s="716">
        <v>9.7967623609125209E-4</v>
      </c>
      <c r="V367" s="289">
        <v>394.12760147</v>
      </c>
      <c r="W367" s="743">
        <v>1</v>
      </c>
      <c r="X367" s="289">
        <v>100</v>
      </c>
      <c r="Y367" s="289">
        <v>244</v>
      </c>
      <c r="Z367" s="289">
        <v>34850</v>
      </c>
      <c r="AA367" s="289">
        <v>0</v>
      </c>
      <c r="AB367" s="290">
        <v>15</v>
      </c>
      <c r="AC367" s="289">
        <v>0</v>
      </c>
      <c r="AD367" s="289">
        <v>0</v>
      </c>
      <c r="AE367" s="289">
        <v>0</v>
      </c>
      <c r="AF367" s="289">
        <v>0</v>
      </c>
      <c r="AG367" s="289">
        <v>842</v>
      </c>
      <c r="AH367" s="289">
        <v>100</v>
      </c>
      <c r="AI367" s="289">
        <v>0</v>
      </c>
      <c r="AJ367" s="289">
        <v>0</v>
      </c>
      <c r="AK367" s="289">
        <v>2.819</v>
      </c>
      <c r="AL367" s="289"/>
      <c r="AM367" s="622">
        <v>4.1277700000000002E-3</v>
      </c>
      <c r="AN367" s="289">
        <v>0</v>
      </c>
      <c r="AO367" s="289">
        <v>-54.818363550000001</v>
      </c>
      <c r="AP367" s="289">
        <v>0</v>
      </c>
      <c r="AQ367" s="289">
        <v>0</v>
      </c>
      <c r="AR367" s="289">
        <v>-60.181273330000003</v>
      </c>
      <c r="AS367" s="289">
        <v>6.9744999999999999</v>
      </c>
      <c r="AT367" s="289">
        <v>34</v>
      </c>
      <c r="AU367" s="289">
        <v>6</v>
      </c>
      <c r="AV367" s="625">
        <v>33941</v>
      </c>
      <c r="AW367" s="289">
        <v>-0.42759999999999998</v>
      </c>
      <c r="AX367" s="625">
        <v>4.8333333300000003</v>
      </c>
      <c r="AY367" s="289">
        <v>145</v>
      </c>
      <c r="AZ367" s="289">
        <v>15</v>
      </c>
      <c r="BA367" s="290">
        <v>18</v>
      </c>
      <c r="BB367" s="289">
        <v>0</v>
      </c>
      <c r="BC367" s="289">
        <v>425</v>
      </c>
      <c r="BD367" s="289">
        <v>13.271699999999999</v>
      </c>
      <c r="BE367" s="289">
        <v>34940.165328559997</v>
      </c>
      <c r="BF367" s="289">
        <v>0</v>
      </c>
      <c r="BG367" s="289">
        <v>13</v>
      </c>
      <c r="BH367" s="289">
        <v>-6.86</v>
      </c>
      <c r="BI367" s="289">
        <v>344</v>
      </c>
      <c r="BJ367" s="289">
        <v>-0.86429999999999996</v>
      </c>
      <c r="BK367" s="289">
        <v>0</v>
      </c>
      <c r="BL367" s="289">
        <v>0</v>
      </c>
      <c r="BM367" s="289">
        <v>0</v>
      </c>
      <c r="BN367" s="289">
        <v>0</v>
      </c>
      <c r="BO367" s="517">
        <v>0</v>
      </c>
      <c r="BP367" s="517">
        <v>0</v>
      </c>
      <c r="BQ367" s="289">
        <f t="shared" si="10"/>
        <v>-0.86431081080000005</v>
      </c>
      <c r="BR367" s="289">
        <v>0</v>
      </c>
      <c r="BS367" s="289">
        <f t="shared" si="11"/>
        <v>0</v>
      </c>
      <c r="BT367" s="289">
        <v>2</v>
      </c>
      <c r="BU367" s="289">
        <v>0</v>
      </c>
      <c r="BV367" s="289">
        <v>17</v>
      </c>
      <c r="BW367" s="289">
        <v>168.709</v>
      </c>
      <c r="BX367" s="289">
        <v>17.283000000000001</v>
      </c>
      <c r="CC367" s="517"/>
      <c r="CD367" s="85"/>
      <c r="CE367" s="517"/>
    </row>
    <row r="368" spans="1:83" ht="13">
      <c r="A368" s="1">
        <v>5034</v>
      </c>
      <c r="B368" s="2" t="s">
        <v>146</v>
      </c>
      <c r="C368" s="289">
        <v>2469</v>
      </c>
      <c r="D368" s="289">
        <v>49</v>
      </c>
      <c r="E368" s="289">
        <v>104</v>
      </c>
      <c r="F368" s="289">
        <v>257</v>
      </c>
      <c r="G368" s="289">
        <v>211</v>
      </c>
      <c r="H368" s="289">
        <v>1361</v>
      </c>
      <c r="I368" s="289">
        <v>346</v>
      </c>
      <c r="J368" s="289">
        <v>113</v>
      </c>
      <c r="K368" s="289">
        <v>44</v>
      </c>
      <c r="L368" s="289">
        <v>22</v>
      </c>
      <c r="M368" s="289">
        <v>261</v>
      </c>
      <c r="N368" s="290">
        <v>43</v>
      </c>
      <c r="O368" s="290">
        <v>33</v>
      </c>
      <c r="P368" s="624">
        <v>8841.3770000000004</v>
      </c>
      <c r="Q368" s="624">
        <v>11104.599</v>
      </c>
      <c r="R368" s="624">
        <v>10</v>
      </c>
      <c r="S368" s="289">
        <v>0</v>
      </c>
      <c r="T368" s="289">
        <v>220</v>
      </c>
      <c r="U368" s="716">
        <v>1.2939255453333991E-3</v>
      </c>
      <c r="V368" s="289">
        <v>777.32568589000005</v>
      </c>
      <c r="W368" s="743">
        <v>1</v>
      </c>
      <c r="X368" s="289">
        <v>900</v>
      </c>
      <c r="Y368" s="289">
        <v>244</v>
      </c>
      <c r="Z368" s="289">
        <v>57823</v>
      </c>
      <c r="AA368" s="289">
        <v>0</v>
      </c>
      <c r="AB368" s="290">
        <v>39</v>
      </c>
      <c r="AC368" s="289">
        <v>0</v>
      </c>
      <c r="AD368" s="289">
        <v>0</v>
      </c>
      <c r="AE368" s="289">
        <v>0</v>
      </c>
      <c r="AF368" s="289">
        <v>0</v>
      </c>
      <c r="AG368" s="289">
        <v>2485</v>
      </c>
      <c r="AH368" s="289">
        <v>322</v>
      </c>
      <c r="AI368" s="289">
        <v>450</v>
      </c>
      <c r="AJ368" s="289">
        <v>0</v>
      </c>
      <c r="AK368" s="289">
        <v>10.452</v>
      </c>
      <c r="AL368" s="289"/>
      <c r="AM368" s="622">
        <v>5.8034389999999998E-2</v>
      </c>
      <c r="AN368" s="289">
        <v>0</v>
      </c>
      <c r="AO368" s="289">
        <v>-143.91777841999999</v>
      </c>
      <c r="AP368" s="289">
        <v>0</v>
      </c>
      <c r="AQ368" s="289">
        <v>0</v>
      </c>
      <c r="AR368" s="289">
        <v>282.01540163999999</v>
      </c>
      <c r="AS368" s="289">
        <v>30.308700000000002</v>
      </c>
      <c r="AT368" s="289">
        <v>108</v>
      </c>
      <c r="AU368" s="289">
        <v>20</v>
      </c>
      <c r="AV368" s="625">
        <v>90359</v>
      </c>
      <c r="AW368" s="289">
        <v>-48.345700000000001</v>
      </c>
      <c r="AX368" s="625">
        <v>22.333333329999999</v>
      </c>
      <c r="AY368" s="289">
        <v>400</v>
      </c>
      <c r="AZ368" s="289">
        <v>169</v>
      </c>
      <c r="BA368" s="290">
        <v>66</v>
      </c>
      <c r="BB368" s="289">
        <v>5543</v>
      </c>
      <c r="BC368" s="289">
        <v>618</v>
      </c>
      <c r="BD368" s="289">
        <v>42.734900000000003</v>
      </c>
      <c r="BE368" s="289">
        <v>90059.738008040003</v>
      </c>
      <c r="BF368" s="289">
        <v>0</v>
      </c>
      <c r="BG368" s="289">
        <v>13</v>
      </c>
      <c r="BH368" s="289">
        <v>-20.246099999999998</v>
      </c>
      <c r="BI368" s="289">
        <v>566</v>
      </c>
      <c r="BJ368" s="289">
        <v>-2.5508000000000002</v>
      </c>
      <c r="BK368" s="289">
        <v>0</v>
      </c>
      <c r="BL368" s="289">
        <v>0</v>
      </c>
      <c r="BM368" s="289">
        <v>0</v>
      </c>
      <c r="BN368" s="289">
        <v>0</v>
      </c>
      <c r="BO368" s="517">
        <v>0</v>
      </c>
      <c r="BP368" s="517">
        <v>0</v>
      </c>
      <c r="BQ368" s="289">
        <f t="shared" si="10"/>
        <v>-2.5508460390000001</v>
      </c>
      <c r="BR368" s="289">
        <v>0</v>
      </c>
      <c r="BS368" s="289">
        <f t="shared" si="11"/>
        <v>0</v>
      </c>
      <c r="BT368" s="289">
        <v>6</v>
      </c>
      <c r="BU368" s="289">
        <v>0</v>
      </c>
      <c r="BV368" s="289">
        <v>33</v>
      </c>
      <c r="BW368" s="289">
        <v>216.91200000000001</v>
      </c>
      <c r="BX368" s="289">
        <v>51.08</v>
      </c>
      <c r="CC368" s="517"/>
      <c r="CD368" s="85"/>
      <c r="CE368" s="517"/>
    </row>
    <row r="369" spans="1:83" ht="13">
      <c r="A369" s="1">
        <v>5035</v>
      </c>
      <c r="B369" s="2" t="s">
        <v>147</v>
      </c>
      <c r="C369" s="289">
        <v>23964</v>
      </c>
      <c r="D369" s="289">
        <v>534</v>
      </c>
      <c r="E369" s="289">
        <v>1147</v>
      </c>
      <c r="F369" s="289">
        <v>3130</v>
      </c>
      <c r="G369" s="289">
        <v>2365</v>
      </c>
      <c r="H369" s="289">
        <v>12930</v>
      </c>
      <c r="I369" s="289">
        <v>2683</v>
      </c>
      <c r="J369" s="289">
        <v>763</v>
      </c>
      <c r="K369" s="289">
        <v>190</v>
      </c>
      <c r="L369" s="289">
        <v>171</v>
      </c>
      <c r="M369" s="289">
        <v>1450</v>
      </c>
      <c r="N369" s="290">
        <v>409</v>
      </c>
      <c r="O369" s="290">
        <v>180</v>
      </c>
      <c r="P369" s="624">
        <v>69250.864333329999</v>
      </c>
      <c r="Q369" s="624">
        <v>46468.951000000001</v>
      </c>
      <c r="R369" s="624">
        <v>96</v>
      </c>
      <c r="S369" s="289">
        <v>0</v>
      </c>
      <c r="T369" s="289">
        <v>1595</v>
      </c>
      <c r="U369" s="716">
        <v>7.113797513338742E-3</v>
      </c>
      <c r="V369" s="289">
        <v>-1687.87109689</v>
      </c>
      <c r="W369" s="743">
        <v>0.58383368000000002</v>
      </c>
      <c r="X369" s="289">
        <v>1000</v>
      </c>
      <c r="Y369" s="289">
        <v>392</v>
      </c>
      <c r="Z369" s="289">
        <v>597732</v>
      </c>
      <c r="AA369" s="289">
        <v>0</v>
      </c>
      <c r="AB369" s="290">
        <v>495</v>
      </c>
      <c r="AC369" s="289">
        <v>0</v>
      </c>
      <c r="AD369" s="289">
        <v>0</v>
      </c>
      <c r="AE369" s="289">
        <v>0</v>
      </c>
      <c r="AF369" s="289">
        <v>0</v>
      </c>
      <c r="AG369" s="289">
        <v>23742</v>
      </c>
      <c r="AH369" s="289">
        <v>3701</v>
      </c>
      <c r="AI369" s="289">
        <v>2270</v>
      </c>
      <c r="AJ369" s="289">
        <v>0</v>
      </c>
      <c r="AK369" s="289">
        <v>112.9858</v>
      </c>
      <c r="AL369" s="289"/>
      <c r="AM369" s="622">
        <v>0.34087925000000002</v>
      </c>
      <c r="AN369" s="289">
        <v>0</v>
      </c>
      <c r="AO369" s="289">
        <v>-1149.5512509</v>
      </c>
      <c r="AP369" s="289">
        <v>0</v>
      </c>
      <c r="AQ369" s="289">
        <v>0</v>
      </c>
      <c r="AR369" s="289">
        <v>-1696.9403696899999</v>
      </c>
      <c r="AS369" s="289">
        <v>261.36279999999999</v>
      </c>
      <c r="AT369" s="289">
        <v>1224</v>
      </c>
      <c r="AU369" s="289">
        <v>232</v>
      </c>
      <c r="AV369" s="625">
        <v>243865</v>
      </c>
      <c r="AW369" s="289">
        <v>-12.056100000000001</v>
      </c>
      <c r="AX369" s="625">
        <v>192.29166667000001</v>
      </c>
      <c r="AY369" s="289">
        <v>4946</v>
      </c>
      <c r="AZ369" s="289">
        <v>670</v>
      </c>
      <c r="BA369" s="290">
        <v>543</v>
      </c>
      <c r="BB369" s="289">
        <v>0</v>
      </c>
      <c r="BC369" s="289">
        <v>-299929.03350999998</v>
      </c>
      <c r="BD369" s="289">
        <v>491.18630000000002</v>
      </c>
      <c r="BE369" s="289">
        <v>243386.85498531</v>
      </c>
      <c r="BF369" s="289">
        <v>0</v>
      </c>
      <c r="BG369" s="289">
        <v>11</v>
      </c>
      <c r="BH369" s="289">
        <v>-193.4333</v>
      </c>
      <c r="BI369" s="289">
        <v>-310157.35090000002</v>
      </c>
      <c r="BJ369" s="289">
        <v>-24.371099999999998</v>
      </c>
      <c r="BK369" s="289">
        <v>0</v>
      </c>
      <c r="BL369" s="289">
        <v>-314250.35090000002</v>
      </c>
      <c r="BM369" s="289">
        <v>0</v>
      </c>
      <c r="BN369" s="289">
        <v>1228.0300999999999</v>
      </c>
      <c r="BO369" s="517">
        <v>0</v>
      </c>
      <c r="BP369" s="517">
        <v>0</v>
      </c>
      <c r="BQ369" s="289">
        <f t="shared" si="10"/>
        <v>-24.371101270800001</v>
      </c>
      <c r="BR369" s="289">
        <v>0</v>
      </c>
      <c r="BS369" s="289">
        <f t="shared" si="11"/>
        <v>0</v>
      </c>
      <c r="BT369" s="289">
        <v>65</v>
      </c>
      <c r="BU369" s="289">
        <v>0</v>
      </c>
      <c r="BV369" s="289">
        <v>221</v>
      </c>
      <c r="BW369" s="289">
        <v>0</v>
      </c>
      <c r="BX369" s="289">
        <v>499.5</v>
      </c>
      <c r="CC369" s="517"/>
      <c r="CD369" s="85"/>
      <c r="CE369" s="517"/>
    </row>
    <row r="370" spans="1:83" ht="13">
      <c r="A370" s="1">
        <v>5036</v>
      </c>
      <c r="B370" s="2" t="s">
        <v>148</v>
      </c>
      <c r="C370" s="289">
        <v>2616</v>
      </c>
      <c r="D370" s="289">
        <v>47</v>
      </c>
      <c r="E370" s="289">
        <v>111</v>
      </c>
      <c r="F370" s="289">
        <v>317</v>
      </c>
      <c r="G370" s="289">
        <v>271</v>
      </c>
      <c r="H370" s="289">
        <v>1369</v>
      </c>
      <c r="I370" s="289">
        <v>352</v>
      </c>
      <c r="J370" s="289">
        <v>112</v>
      </c>
      <c r="K370" s="289">
        <v>38</v>
      </c>
      <c r="L370" s="289">
        <v>20</v>
      </c>
      <c r="M370" s="289">
        <v>219</v>
      </c>
      <c r="N370" s="290">
        <v>9</v>
      </c>
      <c r="O370" s="290">
        <v>22</v>
      </c>
      <c r="P370" s="624">
        <v>10868.901666670001</v>
      </c>
      <c r="Q370" s="624">
        <v>6454.8456666700004</v>
      </c>
      <c r="R370" s="624">
        <v>13</v>
      </c>
      <c r="S370" s="289">
        <v>0</v>
      </c>
      <c r="T370" s="289">
        <v>156</v>
      </c>
      <c r="U370" s="716">
        <v>2.3000200465276358E-3</v>
      </c>
      <c r="V370" s="289">
        <v>944.36596178000002</v>
      </c>
      <c r="W370" s="743">
        <v>0.76732659999999997</v>
      </c>
      <c r="X370" s="289">
        <v>1300</v>
      </c>
      <c r="Y370" s="289">
        <v>244</v>
      </c>
      <c r="Z370" s="289">
        <v>57821</v>
      </c>
      <c r="AA370" s="289">
        <v>0</v>
      </c>
      <c r="AB370" s="290">
        <v>52</v>
      </c>
      <c r="AC370" s="289">
        <v>0</v>
      </c>
      <c r="AD370" s="289">
        <v>0</v>
      </c>
      <c r="AE370" s="289">
        <v>0</v>
      </c>
      <c r="AF370" s="289">
        <v>0</v>
      </c>
      <c r="AG370" s="289">
        <v>2617</v>
      </c>
      <c r="AH370" s="289">
        <v>371</v>
      </c>
      <c r="AI370" s="289">
        <v>70</v>
      </c>
      <c r="AJ370" s="289">
        <v>0</v>
      </c>
      <c r="AK370" s="289">
        <v>10.671099999999999</v>
      </c>
      <c r="AL370" s="289"/>
      <c r="AM370" s="622">
        <v>4.0521040000000001E-2</v>
      </c>
      <c r="AN370" s="289">
        <v>0</v>
      </c>
      <c r="AO370" s="289">
        <v>-143.28357617</v>
      </c>
      <c r="AP370" s="289">
        <v>0</v>
      </c>
      <c r="AQ370" s="289">
        <v>0</v>
      </c>
      <c r="AR370" s="289">
        <v>2669.6068557600001</v>
      </c>
      <c r="AS370" s="289">
        <v>24.724799999999998</v>
      </c>
      <c r="AT370" s="289">
        <v>98</v>
      </c>
      <c r="AU370" s="289">
        <v>26</v>
      </c>
      <c r="AV370" s="625">
        <v>87882</v>
      </c>
      <c r="AW370" s="289">
        <v>-50.913800000000002</v>
      </c>
      <c r="AX370" s="625">
        <v>17.291666670000001</v>
      </c>
      <c r="AY370" s="289">
        <v>395</v>
      </c>
      <c r="AZ370" s="289">
        <v>110</v>
      </c>
      <c r="BA370" s="290">
        <v>42</v>
      </c>
      <c r="BB370" s="289">
        <v>4435</v>
      </c>
      <c r="BC370" s="289">
        <v>668</v>
      </c>
      <c r="BD370" s="289">
        <v>49.238100000000003</v>
      </c>
      <c r="BE370" s="289">
        <v>85425.519024520006</v>
      </c>
      <c r="BF370" s="289">
        <v>0</v>
      </c>
      <c r="BG370" s="289">
        <v>13</v>
      </c>
      <c r="BH370" s="289">
        <v>-21.3215</v>
      </c>
      <c r="BI370" s="289">
        <v>615</v>
      </c>
      <c r="BJ370" s="289">
        <v>-2.6863000000000001</v>
      </c>
      <c r="BK370" s="289">
        <v>0</v>
      </c>
      <c r="BL370" s="289">
        <v>0</v>
      </c>
      <c r="BM370" s="289">
        <v>0</v>
      </c>
      <c r="BN370" s="289">
        <v>0</v>
      </c>
      <c r="BO370" s="517">
        <v>0</v>
      </c>
      <c r="BP370" s="517">
        <v>0</v>
      </c>
      <c r="BQ370" s="289">
        <f t="shared" si="10"/>
        <v>-2.6863436958000002</v>
      </c>
      <c r="BR370" s="289">
        <v>0</v>
      </c>
      <c r="BS370" s="289">
        <f t="shared" si="11"/>
        <v>0</v>
      </c>
      <c r="BT370" s="289">
        <v>6</v>
      </c>
      <c r="BU370" s="289">
        <v>0</v>
      </c>
      <c r="BV370" s="289">
        <v>32</v>
      </c>
      <c r="BW370" s="289">
        <v>0</v>
      </c>
      <c r="BX370" s="289">
        <v>54.527999999999999</v>
      </c>
      <c r="CC370" s="517"/>
      <c r="CD370" s="85"/>
      <c r="CE370" s="517"/>
    </row>
    <row r="371" spans="1:83" ht="13">
      <c r="A371" s="1">
        <v>5037</v>
      </c>
      <c r="B371" s="2" t="s">
        <v>150</v>
      </c>
      <c r="C371" s="289">
        <v>20115</v>
      </c>
      <c r="D371" s="289">
        <v>466</v>
      </c>
      <c r="E371" s="289">
        <v>932</v>
      </c>
      <c r="F371" s="289">
        <v>2547</v>
      </c>
      <c r="G371" s="289">
        <v>1872</v>
      </c>
      <c r="H371" s="289">
        <v>11020</v>
      </c>
      <c r="I371" s="289">
        <v>2213</v>
      </c>
      <c r="J371" s="289">
        <v>733</v>
      </c>
      <c r="K371" s="289">
        <v>150</v>
      </c>
      <c r="L371" s="289">
        <v>155</v>
      </c>
      <c r="M371" s="289">
        <v>1259</v>
      </c>
      <c r="N371" s="290">
        <v>294</v>
      </c>
      <c r="O371" s="290">
        <v>148</v>
      </c>
      <c r="P371" s="624">
        <v>89495.369666669998</v>
      </c>
      <c r="Q371" s="624">
        <v>37780.078333329999</v>
      </c>
      <c r="R371" s="624">
        <v>90</v>
      </c>
      <c r="S371" s="289">
        <v>0</v>
      </c>
      <c r="T371" s="289">
        <v>1325</v>
      </c>
      <c r="U371" s="716">
        <v>9.1912705963078569E-3</v>
      </c>
      <c r="V371" s="289">
        <v>-5843.6628121100002</v>
      </c>
      <c r="W371" s="743">
        <v>0.59841833</v>
      </c>
      <c r="X371" s="289">
        <v>1300</v>
      </c>
      <c r="Y371" s="289">
        <v>392</v>
      </c>
      <c r="Z371" s="289">
        <v>490350</v>
      </c>
      <c r="AA371" s="289">
        <v>0</v>
      </c>
      <c r="AB371" s="290">
        <v>377</v>
      </c>
      <c r="AC371" s="289">
        <v>0</v>
      </c>
      <c r="AD371" s="289">
        <v>0</v>
      </c>
      <c r="AE371" s="289">
        <v>0</v>
      </c>
      <c r="AF371" s="289">
        <v>0</v>
      </c>
      <c r="AG371" s="289">
        <v>19933</v>
      </c>
      <c r="AH371" s="289">
        <v>2958</v>
      </c>
      <c r="AI371" s="289">
        <v>3575</v>
      </c>
      <c r="AJ371" s="289">
        <v>0</v>
      </c>
      <c r="AK371" s="289">
        <v>95.983999999999995</v>
      </c>
      <c r="AL371" s="289"/>
      <c r="AM371" s="622">
        <v>0.32843609000000001</v>
      </c>
      <c r="AN371" s="289">
        <v>0</v>
      </c>
      <c r="AO371" s="289">
        <v>-982.39661645000001</v>
      </c>
      <c r="AP371" s="289">
        <v>0</v>
      </c>
      <c r="AQ371" s="289">
        <v>0</v>
      </c>
      <c r="AR371" s="289">
        <v>-1424.69515581</v>
      </c>
      <c r="AS371" s="289">
        <v>214.14830000000001</v>
      </c>
      <c r="AT371" s="289">
        <v>896</v>
      </c>
      <c r="AU371" s="289">
        <v>237</v>
      </c>
      <c r="AV371" s="625">
        <v>463771</v>
      </c>
      <c r="AW371" s="289">
        <v>-10.1219</v>
      </c>
      <c r="AX371" s="625">
        <v>181.75</v>
      </c>
      <c r="AY371" s="289">
        <v>5211</v>
      </c>
      <c r="AZ371" s="289">
        <v>612</v>
      </c>
      <c r="BA371" s="290">
        <v>460</v>
      </c>
      <c r="BB371" s="289">
        <v>0</v>
      </c>
      <c r="BC371" s="289">
        <v>3445</v>
      </c>
      <c r="BD371" s="289">
        <v>392.57740000000001</v>
      </c>
      <c r="BE371" s="289">
        <v>481879.91865324997</v>
      </c>
      <c r="BF371" s="289">
        <v>0</v>
      </c>
      <c r="BG371" s="289">
        <v>11</v>
      </c>
      <c r="BH371" s="289">
        <v>-162.40029999999999</v>
      </c>
      <c r="BI371" s="289">
        <v>3350</v>
      </c>
      <c r="BJ371" s="289">
        <v>-20.461200000000002</v>
      </c>
      <c r="BK371" s="289">
        <v>0</v>
      </c>
      <c r="BL371" s="289">
        <v>0</v>
      </c>
      <c r="BM371" s="289">
        <v>0</v>
      </c>
      <c r="BN371" s="289">
        <v>0</v>
      </c>
      <c r="BO371" s="517">
        <v>0</v>
      </c>
      <c r="BP371" s="517">
        <v>0</v>
      </c>
      <c r="BQ371" s="289">
        <f t="shared" si="10"/>
        <v>-20.4611726742</v>
      </c>
      <c r="BR371" s="289">
        <v>0</v>
      </c>
      <c r="BS371" s="289">
        <f t="shared" si="11"/>
        <v>0</v>
      </c>
      <c r="BT371" s="289">
        <v>55</v>
      </c>
      <c r="BU371" s="289">
        <v>0</v>
      </c>
      <c r="BV371" s="289">
        <v>188</v>
      </c>
      <c r="BW371" s="289">
        <v>292.36</v>
      </c>
      <c r="BX371" s="289">
        <v>418.86</v>
      </c>
      <c r="CC371" s="517"/>
      <c r="CD371" s="85"/>
      <c r="CE371" s="517"/>
    </row>
    <row r="372" spans="1:83" ht="13">
      <c r="A372" s="1">
        <v>5038</v>
      </c>
      <c r="B372" s="2" t="s">
        <v>151</v>
      </c>
      <c r="C372" s="289">
        <v>14943</v>
      </c>
      <c r="D372" s="289">
        <v>295</v>
      </c>
      <c r="E372" s="289">
        <v>652</v>
      </c>
      <c r="F372" s="289">
        <v>1854</v>
      </c>
      <c r="G372" s="289">
        <v>1470</v>
      </c>
      <c r="H372" s="289">
        <v>8214</v>
      </c>
      <c r="I372" s="289">
        <v>1847</v>
      </c>
      <c r="J372" s="289">
        <v>478</v>
      </c>
      <c r="K372" s="289">
        <v>132</v>
      </c>
      <c r="L372" s="289">
        <v>126</v>
      </c>
      <c r="M372" s="289">
        <v>1023</v>
      </c>
      <c r="N372" s="290">
        <v>178</v>
      </c>
      <c r="O372" s="290">
        <v>89</v>
      </c>
      <c r="P372" s="624">
        <v>63358.408666670002</v>
      </c>
      <c r="Q372" s="624">
        <v>32507.724666670001</v>
      </c>
      <c r="R372" s="624">
        <v>74</v>
      </c>
      <c r="S372" s="289">
        <v>0</v>
      </c>
      <c r="T372" s="289">
        <v>1103</v>
      </c>
      <c r="U372" s="716">
        <v>6.8510315339960024E-3</v>
      </c>
      <c r="V372" s="289">
        <v>3892.2703978999998</v>
      </c>
      <c r="W372" s="743">
        <v>0.59221886999999995</v>
      </c>
      <c r="X372" s="289">
        <v>1000</v>
      </c>
      <c r="Y372" s="289">
        <v>392</v>
      </c>
      <c r="Z372" s="289">
        <v>334369</v>
      </c>
      <c r="AA372" s="289">
        <v>0</v>
      </c>
      <c r="AB372" s="290">
        <v>378</v>
      </c>
      <c r="AC372" s="289">
        <v>0</v>
      </c>
      <c r="AD372" s="289">
        <v>0</v>
      </c>
      <c r="AE372" s="289">
        <v>0</v>
      </c>
      <c r="AF372" s="289">
        <v>0</v>
      </c>
      <c r="AG372" s="289">
        <v>14942</v>
      </c>
      <c r="AH372" s="289">
        <v>2183</v>
      </c>
      <c r="AI372" s="289">
        <v>1485</v>
      </c>
      <c r="AJ372" s="289">
        <v>0</v>
      </c>
      <c r="AK372" s="289">
        <v>64.127799999999993</v>
      </c>
      <c r="AL372" s="289"/>
      <c r="AM372" s="622">
        <v>0.44960408000000002</v>
      </c>
      <c r="AN372" s="289">
        <v>3477</v>
      </c>
      <c r="AO372" s="289">
        <v>-737.42579269999999</v>
      </c>
      <c r="AP372" s="289">
        <v>0</v>
      </c>
      <c r="AQ372" s="289">
        <v>0</v>
      </c>
      <c r="AR372" s="289">
        <v>-1067.9674418300001</v>
      </c>
      <c r="AS372" s="289">
        <v>183.49469999999999</v>
      </c>
      <c r="AT372" s="289">
        <v>677</v>
      </c>
      <c r="AU372" s="289">
        <v>256</v>
      </c>
      <c r="AV372" s="625">
        <v>364825</v>
      </c>
      <c r="AW372" s="289">
        <v>-7.5875000000000004</v>
      </c>
      <c r="AX372" s="625">
        <v>114.83333333</v>
      </c>
      <c r="AY372" s="289">
        <v>2602</v>
      </c>
      <c r="AZ372" s="289">
        <v>572</v>
      </c>
      <c r="BA372" s="290">
        <v>422</v>
      </c>
      <c r="BB372" s="289">
        <v>0</v>
      </c>
      <c r="BC372" s="289">
        <v>2532</v>
      </c>
      <c r="BD372" s="289">
        <v>289.72160000000002</v>
      </c>
      <c r="BE372" s="289">
        <v>374100.42990882997</v>
      </c>
      <c r="BF372" s="289">
        <v>0</v>
      </c>
      <c r="BG372" s="289">
        <v>11</v>
      </c>
      <c r="BH372" s="289">
        <v>-121.7371</v>
      </c>
      <c r="BI372" s="289">
        <v>2575</v>
      </c>
      <c r="BJ372" s="289">
        <v>-15.337899999999999</v>
      </c>
      <c r="BK372" s="289">
        <v>0</v>
      </c>
      <c r="BL372" s="289">
        <v>0</v>
      </c>
      <c r="BM372" s="289">
        <v>0</v>
      </c>
      <c r="BN372" s="289">
        <v>0</v>
      </c>
      <c r="BO372" s="517">
        <v>0</v>
      </c>
      <c r="BP372" s="517">
        <v>0</v>
      </c>
      <c r="BQ372" s="289">
        <f t="shared" si="10"/>
        <v>-15.337924150799999</v>
      </c>
      <c r="BR372" s="289">
        <v>0</v>
      </c>
      <c r="BS372" s="289">
        <f t="shared" si="11"/>
        <v>0</v>
      </c>
      <c r="BT372" s="289">
        <v>37</v>
      </c>
      <c r="BU372" s="289">
        <v>0</v>
      </c>
      <c r="BV372" s="289">
        <v>144</v>
      </c>
      <c r="BW372" s="289">
        <v>391.90899999999999</v>
      </c>
      <c r="BX372" s="289">
        <v>311.23700000000002</v>
      </c>
      <c r="CC372" s="517"/>
      <c r="CD372" s="85"/>
      <c r="CE372" s="517"/>
    </row>
    <row r="373" spans="1:83" ht="13">
      <c r="A373" s="1">
        <v>5039</v>
      </c>
      <c r="B373" s="2" t="s">
        <v>153</v>
      </c>
      <c r="C373" s="289">
        <v>2473</v>
      </c>
      <c r="D373" s="289">
        <v>48</v>
      </c>
      <c r="E373" s="289">
        <v>100</v>
      </c>
      <c r="F373" s="289">
        <v>262</v>
      </c>
      <c r="G373" s="289">
        <v>213</v>
      </c>
      <c r="H373" s="289">
        <v>1355</v>
      </c>
      <c r="I373" s="289">
        <v>327</v>
      </c>
      <c r="J373" s="289">
        <v>159</v>
      </c>
      <c r="K373" s="289">
        <v>43</v>
      </c>
      <c r="L373" s="289">
        <v>21</v>
      </c>
      <c r="M373" s="289">
        <v>250</v>
      </c>
      <c r="N373" s="290">
        <v>9</v>
      </c>
      <c r="O373" s="290">
        <v>30</v>
      </c>
      <c r="P373" s="624">
        <v>17966.267333330001</v>
      </c>
      <c r="Q373" s="624">
        <v>6553.2106666700001</v>
      </c>
      <c r="R373" s="624">
        <v>7</v>
      </c>
      <c r="S373" s="289">
        <v>0</v>
      </c>
      <c r="T373" s="289">
        <v>205</v>
      </c>
      <c r="U373" s="716">
        <v>1.2956698951915523E-3</v>
      </c>
      <c r="V373" s="289">
        <v>1019.76872641</v>
      </c>
      <c r="W373" s="743">
        <v>0.83449368000000002</v>
      </c>
      <c r="X373" s="289">
        <v>300</v>
      </c>
      <c r="Y373" s="289">
        <v>392</v>
      </c>
      <c r="Z373" s="289">
        <v>50171</v>
      </c>
      <c r="AA373" s="289">
        <v>0</v>
      </c>
      <c r="AB373" s="290">
        <v>71</v>
      </c>
      <c r="AC373" s="289">
        <v>0</v>
      </c>
      <c r="AD373" s="289">
        <v>179.55</v>
      </c>
      <c r="AE373" s="289">
        <v>0</v>
      </c>
      <c r="AF373" s="289">
        <v>0</v>
      </c>
      <c r="AG373" s="289">
        <v>2507</v>
      </c>
      <c r="AH373" s="289">
        <v>318</v>
      </c>
      <c r="AI373" s="289">
        <v>450</v>
      </c>
      <c r="AJ373" s="289">
        <v>0</v>
      </c>
      <c r="AK373" s="289">
        <v>9.5934000000000008</v>
      </c>
      <c r="AL373" s="289"/>
      <c r="AM373" s="622">
        <v>0.12058433</v>
      </c>
      <c r="AN373" s="289">
        <v>0</v>
      </c>
      <c r="AO373" s="289">
        <v>-141.83744698000001</v>
      </c>
      <c r="AP373" s="289">
        <v>0</v>
      </c>
      <c r="AQ373" s="289">
        <v>0</v>
      </c>
      <c r="AR373" s="289">
        <v>-179.18581024</v>
      </c>
      <c r="AS373" s="289">
        <v>33.261499999999998</v>
      </c>
      <c r="AT373" s="289">
        <v>117</v>
      </c>
      <c r="AU373" s="289">
        <v>53</v>
      </c>
      <c r="AV373" s="625">
        <v>85334</v>
      </c>
      <c r="AW373" s="289">
        <v>-1.2729999999999999</v>
      </c>
      <c r="AX373" s="625">
        <v>16.166666670000001</v>
      </c>
      <c r="AY373" s="289">
        <v>329</v>
      </c>
      <c r="AZ373" s="289">
        <v>123</v>
      </c>
      <c r="BA373" s="290">
        <v>58</v>
      </c>
      <c r="BB373" s="289">
        <v>5543</v>
      </c>
      <c r="BC373" s="289">
        <v>307</v>
      </c>
      <c r="BD373" s="289">
        <v>42.204099999999997</v>
      </c>
      <c r="BE373" s="289">
        <v>87796.009778649997</v>
      </c>
      <c r="BF373" s="289">
        <v>0</v>
      </c>
      <c r="BG373" s="289">
        <v>11</v>
      </c>
      <c r="BH373" s="289">
        <v>-20.4253</v>
      </c>
      <c r="BI373" s="289">
        <v>889.55</v>
      </c>
      <c r="BJ373" s="289">
        <v>145.70480000000001</v>
      </c>
      <c r="BK373" s="289">
        <v>359</v>
      </c>
      <c r="BL373" s="289">
        <v>0</v>
      </c>
      <c r="BM373" s="289">
        <v>491</v>
      </c>
      <c r="BN373" s="289">
        <v>0</v>
      </c>
      <c r="BO373" s="517">
        <v>0</v>
      </c>
      <c r="BP373" s="517">
        <v>0</v>
      </c>
      <c r="BQ373" s="289">
        <f t="shared" si="10"/>
        <v>-2.5734289818000002</v>
      </c>
      <c r="BR373" s="289">
        <v>686.83799999999997</v>
      </c>
      <c r="BS373" s="289">
        <f t="shared" si="11"/>
        <v>507.28799999999995</v>
      </c>
      <c r="BT373" s="289">
        <v>5</v>
      </c>
      <c r="BU373" s="289">
        <v>0</v>
      </c>
      <c r="BV373" s="289">
        <v>32</v>
      </c>
      <c r="BW373" s="289">
        <v>233.678</v>
      </c>
      <c r="BX373" s="289">
        <v>50.914000000000001</v>
      </c>
      <c r="CC373" s="517"/>
      <c r="CD373" s="85"/>
      <c r="CE373" s="517"/>
    </row>
    <row r="374" spans="1:83" ht="13">
      <c r="A374" s="1">
        <v>5040</v>
      </c>
      <c r="B374" s="2" t="s">
        <v>154</v>
      </c>
      <c r="C374" s="289">
        <v>1585</v>
      </c>
      <c r="D374" s="289">
        <v>25</v>
      </c>
      <c r="E374" s="289">
        <v>63</v>
      </c>
      <c r="F374" s="289">
        <v>186</v>
      </c>
      <c r="G374" s="289">
        <v>144</v>
      </c>
      <c r="H374" s="289">
        <v>837</v>
      </c>
      <c r="I374" s="289">
        <v>220</v>
      </c>
      <c r="J374" s="289">
        <v>96</v>
      </c>
      <c r="K374" s="289">
        <v>25</v>
      </c>
      <c r="L374" s="289">
        <v>13</v>
      </c>
      <c r="M374" s="289">
        <v>141</v>
      </c>
      <c r="N374" s="290">
        <v>3</v>
      </c>
      <c r="O374" s="290">
        <v>4</v>
      </c>
      <c r="P374" s="624">
        <v>18022.636999999999</v>
      </c>
      <c r="Q374" s="624">
        <v>7967.1993333299997</v>
      </c>
      <c r="R374" s="624">
        <v>17</v>
      </c>
      <c r="S374" s="289">
        <v>0</v>
      </c>
      <c r="T374" s="289">
        <v>127</v>
      </c>
      <c r="U374" s="716">
        <v>2.0352440260589483E-3</v>
      </c>
      <c r="V374" s="289">
        <v>418.50696871000002</v>
      </c>
      <c r="W374" s="743">
        <v>0.93331511</v>
      </c>
      <c r="X374" s="289">
        <v>500</v>
      </c>
      <c r="Y374" s="289">
        <v>268</v>
      </c>
      <c r="Z374" s="289">
        <v>32121</v>
      </c>
      <c r="AA374" s="289">
        <v>0</v>
      </c>
      <c r="AB374" s="290">
        <v>43</v>
      </c>
      <c r="AC374" s="289">
        <v>0</v>
      </c>
      <c r="AD374" s="289">
        <v>0</v>
      </c>
      <c r="AE374" s="289">
        <v>0</v>
      </c>
      <c r="AF374" s="289">
        <v>0</v>
      </c>
      <c r="AG374" s="289">
        <v>1596</v>
      </c>
      <c r="AH374" s="289">
        <v>216</v>
      </c>
      <c r="AI374" s="289">
        <v>1160</v>
      </c>
      <c r="AJ374" s="289">
        <v>0</v>
      </c>
      <c r="AK374" s="289">
        <v>6.1125999999999996</v>
      </c>
      <c r="AL374" s="289">
        <v>2724</v>
      </c>
      <c r="AM374" s="622">
        <v>3.5873759999999998E-2</v>
      </c>
      <c r="AN374" s="289">
        <v>0</v>
      </c>
      <c r="AO374" s="289">
        <v>-105.94419008</v>
      </c>
      <c r="AP374" s="289">
        <v>0</v>
      </c>
      <c r="AQ374" s="289">
        <v>0</v>
      </c>
      <c r="AR374" s="289">
        <v>-114.07281737</v>
      </c>
      <c r="AS374" s="289">
        <v>18.218</v>
      </c>
      <c r="AT374" s="289">
        <v>85</v>
      </c>
      <c r="AU374" s="289">
        <v>17</v>
      </c>
      <c r="AV374" s="625">
        <v>75193</v>
      </c>
      <c r="AW374" s="289">
        <v>-0.81040000000000001</v>
      </c>
      <c r="AX374" s="625">
        <v>10.5</v>
      </c>
      <c r="AY374" s="289">
        <v>230</v>
      </c>
      <c r="AZ374" s="289">
        <v>63</v>
      </c>
      <c r="BA374" s="290">
        <v>37</v>
      </c>
      <c r="BB374" s="289">
        <v>5543</v>
      </c>
      <c r="BC374" s="289">
        <v>459</v>
      </c>
      <c r="BD374" s="289">
        <v>28.666899999999998</v>
      </c>
      <c r="BE374" s="289">
        <v>76838.636963319994</v>
      </c>
      <c r="BF374" s="289">
        <v>0</v>
      </c>
      <c r="BG374" s="289">
        <v>13</v>
      </c>
      <c r="BH374" s="289">
        <v>-13.0031</v>
      </c>
      <c r="BI374" s="289">
        <v>484</v>
      </c>
      <c r="BJ374" s="289">
        <v>-1.6383000000000001</v>
      </c>
      <c r="BK374" s="289">
        <v>0</v>
      </c>
      <c r="BL374" s="289">
        <v>0</v>
      </c>
      <c r="BM374" s="289">
        <v>435</v>
      </c>
      <c r="BN374" s="289">
        <v>0</v>
      </c>
      <c r="BO374" s="517">
        <v>0</v>
      </c>
      <c r="BP374" s="517">
        <v>0</v>
      </c>
      <c r="BQ374" s="289">
        <f t="shared" si="10"/>
        <v>-1.6382898504000001</v>
      </c>
      <c r="BR374" s="289">
        <v>0</v>
      </c>
      <c r="BS374" s="289">
        <f t="shared" si="11"/>
        <v>0</v>
      </c>
      <c r="BT374" s="289">
        <v>3</v>
      </c>
      <c r="BU374" s="289">
        <v>0</v>
      </c>
      <c r="BV374" s="289">
        <v>25</v>
      </c>
      <c r="BW374" s="289">
        <v>173.94900000000001</v>
      </c>
      <c r="BX374" s="289">
        <v>32.924999999999997</v>
      </c>
      <c r="CC374" s="517"/>
      <c r="CD374" s="85"/>
      <c r="CE374" s="517"/>
    </row>
    <row r="375" spans="1:83" ht="13">
      <c r="A375" s="1">
        <v>5041</v>
      </c>
      <c r="B375" s="2" t="s">
        <v>156</v>
      </c>
      <c r="C375" s="289">
        <v>2094</v>
      </c>
      <c r="D375" s="289">
        <v>35</v>
      </c>
      <c r="E375" s="289">
        <v>86</v>
      </c>
      <c r="F375" s="289">
        <v>257</v>
      </c>
      <c r="G375" s="289">
        <v>209</v>
      </c>
      <c r="H375" s="289">
        <v>1099</v>
      </c>
      <c r="I375" s="289">
        <v>326</v>
      </c>
      <c r="J375" s="289">
        <v>104</v>
      </c>
      <c r="K375" s="289">
        <v>26</v>
      </c>
      <c r="L375" s="289">
        <v>16</v>
      </c>
      <c r="M375" s="289">
        <v>178</v>
      </c>
      <c r="N375" s="290">
        <v>1.5</v>
      </c>
      <c r="O375" s="290">
        <v>18</v>
      </c>
      <c r="P375" s="624">
        <v>12246.037333329999</v>
      </c>
      <c r="Q375" s="624">
        <v>6857.0366666700002</v>
      </c>
      <c r="R375" s="624">
        <v>16</v>
      </c>
      <c r="S375" s="289">
        <v>0</v>
      </c>
      <c r="T375" s="289">
        <v>139</v>
      </c>
      <c r="U375" s="716">
        <v>2.9682294922496956E-3</v>
      </c>
      <c r="V375" s="289">
        <v>-4145.7695236299996</v>
      </c>
      <c r="W375" s="743">
        <v>0.98835470000000003</v>
      </c>
      <c r="X375" s="289">
        <v>300</v>
      </c>
      <c r="Y375" s="289">
        <v>392</v>
      </c>
      <c r="Z375" s="289">
        <v>43014</v>
      </c>
      <c r="AA375" s="289">
        <v>0</v>
      </c>
      <c r="AB375" s="290">
        <v>44</v>
      </c>
      <c r="AC375" s="289">
        <v>0</v>
      </c>
      <c r="AD375" s="289">
        <v>0</v>
      </c>
      <c r="AE375" s="289">
        <v>0</v>
      </c>
      <c r="AF375" s="289">
        <v>0</v>
      </c>
      <c r="AG375" s="289">
        <v>2142</v>
      </c>
      <c r="AH375" s="289">
        <v>299</v>
      </c>
      <c r="AI375" s="289">
        <v>0</v>
      </c>
      <c r="AJ375" s="289">
        <v>0</v>
      </c>
      <c r="AK375" s="289">
        <v>8.6767000000000003</v>
      </c>
      <c r="AL375" s="289">
        <v>3692</v>
      </c>
      <c r="AM375" s="622">
        <v>1.1005559999999999E-2</v>
      </c>
      <c r="AN375" s="289">
        <v>0</v>
      </c>
      <c r="AO375" s="289">
        <v>-127.46435122</v>
      </c>
      <c r="AP375" s="289">
        <v>0</v>
      </c>
      <c r="AQ375" s="289">
        <v>0</v>
      </c>
      <c r="AR375" s="289">
        <v>488.21102678</v>
      </c>
      <c r="AS375" s="289">
        <v>19.160900000000002</v>
      </c>
      <c r="AT375" s="289">
        <v>95</v>
      </c>
      <c r="AU375" s="289">
        <v>10</v>
      </c>
      <c r="AV375" s="625">
        <v>80787</v>
      </c>
      <c r="AW375" s="289">
        <v>-41.672699999999999</v>
      </c>
      <c r="AX375" s="625">
        <v>15.58333333</v>
      </c>
      <c r="AY375" s="289">
        <v>432</v>
      </c>
      <c r="AZ375" s="289">
        <v>54</v>
      </c>
      <c r="BA375" s="290">
        <v>41</v>
      </c>
      <c r="BB375" s="289">
        <v>5543</v>
      </c>
      <c r="BC375" s="289">
        <v>656</v>
      </c>
      <c r="BD375" s="289">
        <v>39.682400000000001</v>
      </c>
      <c r="BE375" s="289">
        <v>80505.122885560006</v>
      </c>
      <c r="BF375" s="289">
        <v>0</v>
      </c>
      <c r="BG375" s="289">
        <v>11</v>
      </c>
      <c r="BH375" s="289">
        <v>-17.451499999999999</v>
      </c>
      <c r="BI375" s="289">
        <v>691</v>
      </c>
      <c r="BJ375" s="289">
        <v>-2.1987999999999999</v>
      </c>
      <c r="BK375" s="289">
        <v>0</v>
      </c>
      <c r="BL375" s="289">
        <v>0</v>
      </c>
      <c r="BM375" s="289">
        <v>0</v>
      </c>
      <c r="BN375" s="289">
        <v>0</v>
      </c>
      <c r="BO375" s="517">
        <v>0</v>
      </c>
      <c r="BP375" s="517">
        <v>0</v>
      </c>
      <c r="BQ375" s="289">
        <f t="shared" si="10"/>
        <v>-2.1987574307999997</v>
      </c>
      <c r="BR375" s="289">
        <v>0</v>
      </c>
      <c r="BS375" s="289">
        <f t="shared" si="11"/>
        <v>0</v>
      </c>
      <c r="BT375" s="289">
        <v>5</v>
      </c>
      <c r="BU375" s="289">
        <v>0</v>
      </c>
      <c r="BV375" s="289">
        <v>30</v>
      </c>
      <c r="BW375" s="289">
        <v>180.23599999999999</v>
      </c>
      <c r="BX375" s="289">
        <v>43.725999999999999</v>
      </c>
      <c r="CC375" s="517"/>
      <c r="CD375" s="85"/>
      <c r="CE375" s="517"/>
    </row>
    <row r="376" spans="1:83" ht="13">
      <c r="A376" s="1">
        <v>5042</v>
      </c>
      <c r="B376" s="2" t="s">
        <v>157</v>
      </c>
      <c r="C376" s="289">
        <v>1379</v>
      </c>
      <c r="D376" s="289">
        <v>18</v>
      </c>
      <c r="E376" s="289">
        <v>56</v>
      </c>
      <c r="F376" s="289">
        <v>153</v>
      </c>
      <c r="G376" s="289">
        <v>131</v>
      </c>
      <c r="H376" s="289">
        <v>703</v>
      </c>
      <c r="I376" s="289">
        <v>218</v>
      </c>
      <c r="J376" s="289">
        <v>75</v>
      </c>
      <c r="K376" s="289">
        <v>13</v>
      </c>
      <c r="L376" s="289">
        <v>11</v>
      </c>
      <c r="M376" s="289">
        <v>163</v>
      </c>
      <c r="N376" s="290">
        <v>0</v>
      </c>
      <c r="O376" s="290">
        <v>11</v>
      </c>
      <c r="P376" s="624">
        <v>31590.439666670001</v>
      </c>
      <c r="Q376" s="624">
        <v>12886.446666669999</v>
      </c>
      <c r="R376" s="624">
        <v>17</v>
      </c>
      <c r="S376" s="289">
        <v>0</v>
      </c>
      <c r="T376" s="289">
        <v>98</v>
      </c>
      <c r="U376" s="716">
        <v>1.9544715222383486E-3</v>
      </c>
      <c r="V376" s="289">
        <v>695.51853700000004</v>
      </c>
      <c r="W376" s="743">
        <v>1</v>
      </c>
      <c r="X376" s="289">
        <v>900</v>
      </c>
      <c r="Y376" s="289">
        <v>392</v>
      </c>
      <c r="Z376" s="289">
        <v>31031</v>
      </c>
      <c r="AA376" s="289">
        <v>0</v>
      </c>
      <c r="AB376" s="290">
        <v>19</v>
      </c>
      <c r="AC376" s="289">
        <v>0</v>
      </c>
      <c r="AD376" s="289">
        <v>0</v>
      </c>
      <c r="AE376" s="289">
        <v>0</v>
      </c>
      <c r="AF376" s="289">
        <v>0</v>
      </c>
      <c r="AG376" s="289">
        <v>1367</v>
      </c>
      <c r="AH376" s="289">
        <v>193</v>
      </c>
      <c r="AI376" s="289">
        <v>1210</v>
      </c>
      <c r="AJ376" s="289">
        <v>0</v>
      </c>
      <c r="AK376" s="289">
        <v>5.3334999999999999</v>
      </c>
      <c r="AL376" s="289">
        <v>2375</v>
      </c>
      <c r="AM376" s="622">
        <v>6.30688E-3</v>
      </c>
      <c r="AN376" s="289">
        <v>0</v>
      </c>
      <c r="AO376" s="289">
        <v>-96.738182940000002</v>
      </c>
      <c r="AP376" s="289">
        <v>0</v>
      </c>
      <c r="AQ376" s="289">
        <v>0</v>
      </c>
      <c r="AR376" s="289">
        <v>2212.78840988</v>
      </c>
      <c r="AS376" s="289">
        <v>11.8264</v>
      </c>
      <c r="AT376" s="289">
        <v>36</v>
      </c>
      <c r="AU376" s="289">
        <v>13</v>
      </c>
      <c r="AV376" s="625">
        <v>75673</v>
      </c>
      <c r="AW376" s="289">
        <v>-26.594999999999999</v>
      </c>
      <c r="AX376" s="625">
        <v>7</v>
      </c>
      <c r="AY376" s="289">
        <v>227</v>
      </c>
      <c r="AZ376" s="289">
        <v>26</v>
      </c>
      <c r="BA376" s="290">
        <v>14</v>
      </c>
      <c r="BB376" s="289">
        <v>5543</v>
      </c>
      <c r="BC376" s="289">
        <v>545</v>
      </c>
      <c r="BD376" s="289">
        <v>25.6144</v>
      </c>
      <c r="BE376" s="289">
        <v>73421.800777059994</v>
      </c>
      <c r="BF376" s="289">
        <v>0</v>
      </c>
      <c r="BG376" s="289">
        <v>11</v>
      </c>
      <c r="BH376" s="289">
        <v>-11.1374</v>
      </c>
      <c r="BI376" s="289">
        <v>585</v>
      </c>
      <c r="BJ376" s="289">
        <v>-1.4032</v>
      </c>
      <c r="BK376" s="289">
        <v>0</v>
      </c>
      <c r="BL376" s="289">
        <v>0</v>
      </c>
      <c r="BM376" s="289">
        <v>0</v>
      </c>
      <c r="BN376" s="289">
        <v>0</v>
      </c>
      <c r="BO376" s="517">
        <v>0</v>
      </c>
      <c r="BP376" s="517">
        <v>0</v>
      </c>
      <c r="BQ376" s="289">
        <f t="shared" si="10"/>
        <v>-1.4032219457999999</v>
      </c>
      <c r="BR376" s="289">
        <v>0</v>
      </c>
      <c r="BS376" s="289">
        <f t="shared" si="11"/>
        <v>0</v>
      </c>
      <c r="BT376" s="289">
        <v>3</v>
      </c>
      <c r="BU376" s="289">
        <v>0</v>
      </c>
      <c r="BV376" s="289">
        <v>25</v>
      </c>
      <c r="BW376" s="289">
        <v>172.90100000000001</v>
      </c>
      <c r="BX376" s="289">
        <v>28.853000000000002</v>
      </c>
      <c r="CC376" s="517"/>
      <c r="CD376" s="85"/>
      <c r="CE376" s="517"/>
    </row>
    <row r="377" spans="1:83" ht="13">
      <c r="A377" s="1">
        <v>5043</v>
      </c>
      <c r="B377" s="2" t="s">
        <v>164</v>
      </c>
      <c r="C377" s="289">
        <v>474</v>
      </c>
      <c r="D377" s="289">
        <v>11</v>
      </c>
      <c r="E377" s="289">
        <v>19</v>
      </c>
      <c r="F377" s="289">
        <v>59</v>
      </c>
      <c r="G377" s="289">
        <v>29</v>
      </c>
      <c r="H377" s="289">
        <v>240</v>
      </c>
      <c r="I377" s="289">
        <v>81</v>
      </c>
      <c r="J377" s="289">
        <v>20</v>
      </c>
      <c r="K377" s="289">
        <v>10</v>
      </c>
      <c r="L377" s="289">
        <v>3</v>
      </c>
      <c r="M377" s="289">
        <v>58</v>
      </c>
      <c r="N377" s="290">
        <v>0</v>
      </c>
      <c r="O377" s="290">
        <v>7</v>
      </c>
      <c r="P377" s="624">
        <v>3595.8483333300001</v>
      </c>
      <c r="Q377" s="624">
        <v>4288.2573333299997</v>
      </c>
      <c r="R377" s="624">
        <v>0</v>
      </c>
      <c r="S377" s="289">
        <v>0</v>
      </c>
      <c r="T377" s="289">
        <v>20</v>
      </c>
      <c r="U377" s="716">
        <v>7.6415567925987239E-4</v>
      </c>
      <c r="V377" s="289">
        <v>285.92511829</v>
      </c>
      <c r="W377" s="743">
        <v>1</v>
      </c>
      <c r="X377" s="289">
        <v>300</v>
      </c>
      <c r="Y377" s="289">
        <v>0</v>
      </c>
      <c r="Z377" s="289">
        <v>13341</v>
      </c>
      <c r="AA377" s="289">
        <v>0</v>
      </c>
      <c r="AB377" s="290">
        <v>2</v>
      </c>
      <c r="AC377" s="289">
        <v>0</v>
      </c>
      <c r="AD377" s="289">
        <v>0</v>
      </c>
      <c r="AE377" s="289">
        <v>0</v>
      </c>
      <c r="AF377" s="289">
        <v>0</v>
      </c>
      <c r="AG377" s="289">
        <v>469</v>
      </c>
      <c r="AH377" s="289">
        <v>100</v>
      </c>
      <c r="AI377" s="289">
        <v>210</v>
      </c>
      <c r="AJ377" s="289">
        <v>0</v>
      </c>
      <c r="AK377" s="289">
        <v>1.9128000000000001</v>
      </c>
      <c r="AL377" s="289">
        <v>802</v>
      </c>
      <c r="AM377" s="622">
        <v>1.80032E-3</v>
      </c>
      <c r="AN377" s="289">
        <v>0</v>
      </c>
      <c r="AO377" s="289">
        <v>-39.768712020000002</v>
      </c>
      <c r="AP377" s="289">
        <v>0</v>
      </c>
      <c r="AQ377" s="289">
        <v>0</v>
      </c>
      <c r="AR377" s="289">
        <v>-33.521398089999998</v>
      </c>
      <c r="AS377" s="289">
        <v>2.7795999999999998</v>
      </c>
      <c r="AT377" s="289">
        <v>12</v>
      </c>
      <c r="AU377" s="289">
        <v>3</v>
      </c>
      <c r="AV377" s="625">
        <v>34300</v>
      </c>
      <c r="AW377" s="289">
        <v>-0.2382</v>
      </c>
      <c r="AX377" s="625">
        <v>4</v>
      </c>
      <c r="AY377" s="289">
        <v>77</v>
      </c>
      <c r="AZ377" s="289">
        <v>11</v>
      </c>
      <c r="BA377" s="290">
        <v>10</v>
      </c>
      <c r="BB377" s="289">
        <v>5543</v>
      </c>
      <c r="BC377" s="289">
        <v>100</v>
      </c>
      <c r="BD377" s="289">
        <v>13.271699999999999</v>
      </c>
      <c r="BE377" s="289">
        <v>35521.044646319999</v>
      </c>
      <c r="BF377" s="289">
        <v>0</v>
      </c>
      <c r="BG377" s="289">
        <v>0</v>
      </c>
      <c r="BH377" s="289">
        <v>-3.8210999999999999</v>
      </c>
      <c r="BI377" s="289">
        <v>100</v>
      </c>
      <c r="BJ377" s="289">
        <v>-0.48139999999999999</v>
      </c>
      <c r="BK377" s="289">
        <v>0</v>
      </c>
      <c r="BL377" s="289">
        <v>0</v>
      </c>
      <c r="BM377" s="289">
        <v>0</v>
      </c>
      <c r="BN377" s="289">
        <v>0</v>
      </c>
      <c r="BO377" s="517">
        <v>0</v>
      </c>
      <c r="BP377" s="517">
        <v>0</v>
      </c>
      <c r="BQ377" s="289">
        <f t="shared" si="10"/>
        <v>-0.48142728060000001</v>
      </c>
      <c r="BR377" s="289">
        <v>0</v>
      </c>
      <c r="BS377" s="289">
        <f t="shared" si="11"/>
        <v>0</v>
      </c>
      <c r="BT377" s="289">
        <v>1</v>
      </c>
      <c r="BU377" s="289">
        <v>0</v>
      </c>
      <c r="BV377" s="289">
        <v>14</v>
      </c>
      <c r="BW377" s="289">
        <v>163.47</v>
      </c>
      <c r="BX377" s="289">
        <v>9.8670000000000009</v>
      </c>
      <c r="CC377" s="517"/>
      <c r="CD377" s="85"/>
      <c r="CE377" s="517"/>
    </row>
    <row r="378" spans="1:83" ht="13">
      <c r="A378" s="1">
        <v>5044</v>
      </c>
      <c r="B378" s="2" t="s">
        <v>165</v>
      </c>
      <c r="C378" s="289">
        <v>902</v>
      </c>
      <c r="D378" s="289">
        <v>9</v>
      </c>
      <c r="E378" s="289">
        <v>23</v>
      </c>
      <c r="F378" s="289">
        <v>106</v>
      </c>
      <c r="G378" s="289">
        <v>87</v>
      </c>
      <c r="H378" s="289">
        <v>453</v>
      </c>
      <c r="I378" s="289">
        <v>142</v>
      </c>
      <c r="J378" s="289">
        <v>65</v>
      </c>
      <c r="K378" s="289">
        <v>8</v>
      </c>
      <c r="L378" s="289">
        <v>7</v>
      </c>
      <c r="M378" s="289">
        <v>89</v>
      </c>
      <c r="N378" s="290">
        <v>1.5</v>
      </c>
      <c r="O378" s="290">
        <v>12</v>
      </c>
      <c r="P378" s="624">
        <v>12104.858666669999</v>
      </c>
      <c r="Q378" s="624">
        <v>9411.7749999999996</v>
      </c>
      <c r="R378" s="624">
        <v>8</v>
      </c>
      <c r="S378" s="289">
        <v>0</v>
      </c>
      <c r="T378" s="289">
        <v>64</v>
      </c>
      <c r="U378" s="716">
        <v>8.1020552379492056E-4</v>
      </c>
      <c r="V378" s="289">
        <v>471.18596757</v>
      </c>
      <c r="W378" s="743">
        <v>1</v>
      </c>
      <c r="X378" s="289">
        <v>300</v>
      </c>
      <c r="Y378" s="289">
        <v>567</v>
      </c>
      <c r="Z378" s="289">
        <v>29002</v>
      </c>
      <c r="AA378" s="289">
        <v>0</v>
      </c>
      <c r="AB378" s="290">
        <v>22</v>
      </c>
      <c r="AC378" s="289">
        <v>0</v>
      </c>
      <c r="AD378" s="289">
        <v>0</v>
      </c>
      <c r="AE378" s="289">
        <v>0</v>
      </c>
      <c r="AF378" s="289">
        <v>0</v>
      </c>
      <c r="AG378" s="289">
        <v>893</v>
      </c>
      <c r="AH378" s="289">
        <v>112</v>
      </c>
      <c r="AI378" s="289">
        <v>210</v>
      </c>
      <c r="AJ378" s="289">
        <v>0</v>
      </c>
      <c r="AK378" s="289">
        <v>2.3424</v>
      </c>
      <c r="AL378" s="289">
        <v>1491</v>
      </c>
      <c r="AM378" s="622">
        <v>1.14337E-2</v>
      </c>
      <c r="AN378" s="289">
        <v>0</v>
      </c>
      <c r="AO378" s="289">
        <v>-65.536246559999995</v>
      </c>
      <c r="AP378" s="289">
        <v>0</v>
      </c>
      <c r="AQ378" s="289">
        <v>0</v>
      </c>
      <c r="AR378" s="289">
        <v>-63.826457339999997</v>
      </c>
      <c r="AS378" s="289">
        <v>9.0732999999999997</v>
      </c>
      <c r="AT378" s="289">
        <v>42</v>
      </c>
      <c r="AU378" s="289">
        <v>9</v>
      </c>
      <c r="AV378" s="625">
        <v>50242</v>
      </c>
      <c r="AW378" s="289">
        <v>-0.45350000000000001</v>
      </c>
      <c r="AX378" s="625">
        <v>4.8333333300000003</v>
      </c>
      <c r="AY378" s="289">
        <v>106</v>
      </c>
      <c r="AZ378" s="289">
        <v>23</v>
      </c>
      <c r="BA378" s="290">
        <v>16</v>
      </c>
      <c r="BB378" s="289">
        <v>5543</v>
      </c>
      <c r="BC378" s="289">
        <v>719</v>
      </c>
      <c r="BD378" s="289">
        <v>14.8643</v>
      </c>
      <c r="BE378" s="289">
        <v>52258.036629299997</v>
      </c>
      <c r="BF378" s="289">
        <v>0</v>
      </c>
      <c r="BG378" s="289">
        <v>23</v>
      </c>
      <c r="BH378" s="289">
        <v>-7.2755000000000001</v>
      </c>
      <c r="BI378" s="289">
        <v>679</v>
      </c>
      <c r="BJ378" s="289">
        <v>-0.91669999999999996</v>
      </c>
      <c r="BK378" s="289">
        <v>0</v>
      </c>
      <c r="BL378" s="289">
        <v>0</v>
      </c>
      <c r="BM378" s="289">
        <v>0</v>
      </c>
      <c r="BN378" s="289">
        <v>0</v>
      </c>
      <c r="BO378" s="517">
        <v>0</v>
      </c>
      <c r="BP378" s="517">
        <v>0</v>
      </c>
      <c r="BQ378" s="289">
        <f t="shared" si="10"/>
        <v>-0.91666217819999996</v>
      </c>
      <c r="BR378" s="289">
        <v>0</v>
      </c>
      <c r="BS378" s="289">
        <f t="shared" si="11"/>
        <v>0</v>
      </c>
      <c r="BT378" s="289">
        <v>1</v>
      </c>
      <c r="BU378" s="289">
        <v>0</v>
      </c>
      <c r="BV378" s="289">
        <v>19</v>
      </c>
      <c r="BW378" s="289">
        <v>171.85300000000001</v>
      </c>
      <c r="BX378" s="289">
        <v>18.861999999999998</v>
      </c>
      <c r="CC378" s="517"/>
      <c r="CD378" s="85"/>
      <c r="CE378" s="517"/>
    </row>
    <row r="379" spans="1:83" ht="13">
      <c r="A379" s="1">
        <v>5045</v>
      </c>
      <c r="B379" s="2" t="s">
        <v>166</v>
      </c>
      <c r="C379" s="289">
        <v>2400</v>
      </c>
      <c r="D379" s="289">
        <v>49</v>
      </c>
      <c r="E379" s="289">
        <v>102</v>
      </c>
      <c r="F379" s="289">
        <v>256</v>
      </c>
      <c r="G379" s="289">
        <v>245</v>
      </c>
      <c r="H379" s="289">
        <v>1279</v>
      </c>
      <c r="I379" s="289">
        <v>303</v>
      </c>
      <c r="J379" s="289">
        <v>145</v>
      </c>
      <c r="K379" s="289">
        <v>31</v>
      </c>
      <c r="L379" s="289">
        <v>17</v>
      </c>
      <c r="M379" s="289">
        <v>218</v>
      </c>
      <c r="N379" s="290">
        <v>58</v>
      </c>
      <c r="O379" s="290">
        <v>31</v>
      </c>
      <c r="P379" s="624">
        <v>16404.920666670001</v>
      </c>
      <c r="Q379" s="624">
        <v>6416.7023333300003</v>
      </c>
      <c r="R379" s="624">
        <v>9</v>
      </c>
      <c r="S379" s="289">
        <v>0</v>
      </c>
      <c r="T379" s="289">
        <v>195</v>
      </c>
      <c r="U379" s="716">
        <v>1.4723595969004548E-3</v>
      </c>
      <c r="V379" s="289">
        <v>901.83685359000003</v>
      </c>
      <c r="W379" s="743">
        <v>0.85551584999999997</v>
      </c>
      <c r="X379" s="289">
        <v>3900</v>
      </c>
      <c r="Y379" s="289">
        <v>392</v>
      </c>
      <c r="Z379" s="289">
        <v>62432</v>
      </c>
      <c r="AA379" s="289">
        <v>0</v>
      </c>
      <c r="AB379" s="290">
        <v>40</v>
      </c>
      <c r="AC379" s="289">
        <v>147</v>
      </c>
      <c r="AD379" s="289">
        <v>0</v>
      </c>
      <c r="AE379" s="289">
        <v>0</v>
      </c>
      <c r="AF379" s="289">
        <v>0</v>
      </c>
      <c r="AG379" s="289">
        <v>2410</v>
      </c>
      <c r="AH379" s="289">
        <v>345</v>
      </c>
      <c r="AI379" s="289">
        <v>2495</v>
      </c>
      <c r="AJ379" s="289">
        <v>0</v>
      </c>
      <c r="AK379" s="289">
        <v>10.7927</v>
      </c>
      <c r="AL379" s="289">
        <v>4219</v>
      </c>
      <c r="AM379" s="622">
        <v>5.4550630000000003E-2</v>
      </c>
      <c r="AN379" s="289">
        <v>0</v>
      </c>
      <c r="AO379" s="289">
        <v>-137.36829363999999</v>
      </c>
      <c r="AP379" s="289">
        <v>0</v>
      </c>
      <c r="AQ379" s="289">
        <v>0</v>
      </c>
      <c r="AR379" s="289">
        <v>243.81818960999999</v>
      </c>
      <c r="AS379" s="289">
        <v>29.6614</v>
      </c>
      <c r="AT379" s="289">
        <v>125</v>
      </c>
      <c r="AU379" s="289">
        <v>16</v>
      </c>
      <c r="AV379" s="625">
        <v>94054</v>
      </c>
      <c r="AW379" s="289">
        <v>-46.886600000000001</v>
      </c>
      <c r="AX379" s="625">
        <v>28.75</v>
      </c>
      <c r="AY379" s="289">
        <v>442</v>
      </c>
      <c r="AZ379" s="289">
        <v>166</v>
      </c>
      <c r="BA379" s="290">
        <v>61</v>
      </c>
      <c r="BB379" s="289">
        <v>5543</v>
      </c>
      <c r="BC379" s="289">
        <v>948</v>
      </c>
      <c r="BD379" s="289">
        <v>45.787399999999998</v>
      </c>
      <c r="BE379" s="289">
        <v>92823.019779659997</v>
      </c>
      <c r="BF379" s="289">
        <v>0</v>
      </c>
      <c r="BG379" s="289">
        <v>11</v>
      </c>
      <c r="BH379" s="289">
        <v>-19.635000000000002</v>
      </c>
      <c r="BI379" s="289">
        <v>737</v>
      </c>
      <c r="BJ379" s="289">
        <v>-2.4739</v>
      </c>
      <c r="BK379" s="289">
        <v>0</v>
      </c>
      <c r="BL379" s="289">
        <v>0</v>
      </c>
      <c r="BM379" s="289">
        <v>0</v>
      </c>
      <c r="BN379" s="289">
        <v>0</v>
      </c>
      <c r="BO379" s="517">
        <v>0</v>
      </c>
      <c r="BP379" s="517">
        <v>0</v>
      </c>
      <c r="BQ379" s="289">
        <f t="shared" si="10"/>
        <v>-2.4738587339999998</v>
      </c>
      <c r="BR379" s="289">
        <v>0</v>
      </c>
      <c r="BS379" s="289">
        <f t="shared" si="11"/>
        <v>0</v>
      </c>
      <c r="BT379" s="289">
        <v>6</v>
      </c>
      <c r="BU379" s="289">
        <v>0</v>
      </c>
      <c r="BV379" s="289">
        <v>31</v>
      </c>
      <c r="BW379" s="289">
        <v>187.571</v>
      </c>
      <c r="BX379" s="289">
        <v>49.750999999999998</v>
      </c>
      <c r="CC379" s="517"/>
      <c r="CD379" s="85"/>
      <c r="CE379" s="517"/>
    </row>
    <row r="380" spans="1:83" ht="13">
      <c r="A380" s="1">
        <v>5046</v>
      </c>
      <c r="B380" s="2" t="s">
        <v>167</v>
      </c>
      <c r="C380" s="289">
        <v>1268</v>
      </c>
      <c r="D380" s="289">
        <v>20</v>
      </c>
      <c r="E380" s="289">
        <v>51</v>
      </c>
      <c r="F380" s="289">
        <v>195</v>
      </c>
      <c r="G380" s="289">
        <v>116</v>
      </c>
      <c r="H380" s="289">
        <v>614</v>
      </c>
      <c r="I380" s="289">
        <v>192</v>
      </c>
      <c r="J380" s="289">
        <v>69</v>
      </c>
      <c r="K380" s="289">
        <v>11</v>
      </c>
      <c r="L380" s="289">
        <v>8</v>
      </c>
      <c r="M380" s="289">
        <v>100</v>
      </c>
      <c r="N380" s="290">
        <v>0</v>
      </c>
      <c r="O380" s="290">
        <v>2</v>
      </c>
      <c r="P380" s="624">
        <v>9154.01333333</v>
      </c>
      <c r="Q380" s="624">
        <v>6889.5159999999996</v>
      </c>
      <c r="R380" s="624">
        <v>18</v>
      </c>
      <c r="S380" s="289">
        <v>0</v>
      </c>
      <c r="T380" s="289">
        <v>70</v>
      </c>
      <c r="U380" s="716">
        <v>1.5748212245226669E-3</v>
      </c>
      <c r="V380" s="289">
        <v>657.68324375999998</v>
      </c>
      <c r="W380" s="743">
        <v>1</v>
      </c>
      <c r="X380" s="289">
        <v>300</v>
      </c>
      <c r="Y380" s="289">
        <v>392</v>
      </c>
      <c r="Z380" s="289">
        <v>26225</v>
      </c>
      <c r="AA380" s="289">
        <v>0</v>
      </c>
      <c r="AB380" s="290">
        <v>24</v>
      </c>
      <c r="AC380" s="289">
        <v>0</v>
      </c>
      <c r="AD380" s="289">
        <v>0</v>
      </c>
      <c r="AE380" s="289">
        <v>0</v>
      </c>
      <c r="AF380" s="289">
        <v>0</v>
      </c>
      <c r="AG380" s="289">
        <v>1268</v>
      </c>
      <c r="AH380" s="289">
        <v>200</v>
      </c>
      <c r="AI380" s="289">
        <v>1000</v>
      </c>
      <c r="AJ380" s="289">
        <v>0</v>
      </c>
      <c r="AK380" s="289">
        <v>5.4314999999999998</v>
      </c>
      <c r="AL380" s="289">
        <v>2161</v>
      </c>
      <c r="AM380" s="622">
        <v>3.0681699999999998E-3</v>
      </c>
      <c r="AN380" s="289">
        <v>0</v>
      </c>
      <c r="AO380" s="289">
        <v>-91.475753080000004</v>
      </c>
      <c r="AP380" s="289">
        <v>0</v>
      </c>
      <c r="AQ380" s="289">
        <v>0</v>
      </c>
      <c r="AR380" s="289">
        <v>-90.629280969999996</v>
      </c>
      <c r="AS380" s="289">
        <v>9.9847999999999999</v>
      </c>
      <c r="AT380" s="289">
        <v>38</v>
      </c>
      <c r="AU380" s="289">
        <v>3</v>
      </c>
      <c r="AV380" s="625">
        <v>67071</v>
      </c>
      <c r="AW380" s="289">
        <v>-0.64390000000000003</v>
      </c>
      <c r="AX380" s="625">
        <v>13.91666667</v>
      </c>
      <c r="AY380" s="289">
        <v>251</v>
      </c>
      <c r="AZ380" s="289">
        <v>43</v>
      </c>
      <c r="BA380" s="290">
        <v>23</v>
      </c>
      <c r="BB380" s="289">
        <v>5543</v>
      </c>
      <c r="BC380" s="289">
        <v>562</v>
      </c>
      <c r="BD380" s="289">
        <v>26.543399999999998</v>
      </c>
      <c r="BE380" s="289">
        <v>69783.680020130007</v>
      </c>
      <c r="BF380" s="289">
        <v>0</v>
      </c>
      <c r="BG380" s="289">
        <v>11</v>
      </c>
      <c r="BH380" s="289">
        <v>-10.3308</v>
      </c>
      <c r="BI380" s="289">
        <v>592</v>
      </c>
      <c r="BJ380" s="289">
        <v>-1.3016000000000001</v>
      </c>
      <c r="BK380" s="289">
        <v>0</v>
      </c>
      <c r="BL380" s="289">
        <v>0</v>
      </c>
      <c r="BM380" s="289">
        <v>0</v>
      </c>
      <c r="BN380" s="289">
        <v>0</v>
      </c>
      <c r="BO380" s="517">
        <v>0</v>
      </c>
      <c r="BP380" s="517">
        <v>0</v>
      </c>
      <c r="BQ380" s="289">
        <f t="shared" si="10"/>
        <v>-1.3015987032</v>
      </c>
      <c r="BR380" s="289">
        <v>0</v>
      </c>
      <c r="BS380" s="289">
        <f t="shared" si="11"/>
        <v>0</v>
      </c>
      <c r="BT380" s="289">
        <v>3</v>
      </c>
      <c r="BU380" s="289">
        <v>0</v>
      </c>
      <c r="BV380" s="289">
        <v>22</v>
      </c>
      <c r="BW380" s="289">
        <v>171.85300000000001</v>
      </c>
      <c r="BX380" s="289">
        <v>26.381</v>
      </c>
      <c r="CC380" s="517"/>
      <c r="CD380" s="85"/>
      <c r="CE380" s="517"/>
    </row>
    <row r="381" spans="1:83" ht="13">
      <c r="A381" s="1">
        <v>5047</v>
      </c>
      <c r="B381" s="2" t="s">
        <v>168</v>
      </c>
      <c r="C381" s="289">
        <v>3845</v>
      </c>
      <c r="D381" s="289">
        <v>101</v>
      </c>
      <c r="E381" s="289">
        <v>209</v>
      </c>
      <c r="F381" s="289">
        <v>528</v>
      </c>
      <c r="G381" s="289">
        <v>336</v>
      </c>
      <c r="H381" s="289">
        <v>2080</v>
      </c>
      <c r="I381" s="289">
        <v>425</v>
      </c>
      <c r="J381" s="289">
        <v>147</v>
      </c>
      <c r="K381" s="289">
        <v>40</v>
      </c>
      <c r="L381" s="289">
        <v>30</v>
      </c>
      <c r="M381" s="289">
        <v>240</v>
      </c>
      <c r="N381" s="290">
        <v>18</v>
      </c>
      <c r="O381" s="290">
        <v>44</v>
      </c>
      <c r="P381" s="624">
        <v>34718.905333330003</v>
      </c>
      <c r="Q381" s="624">
        <v>15117.724333329999</v>
      </c>
      <c r="R381" s="624">
        <v>15</v>
      </c>
      <c r="S381" s="289">
        <v>0</v>
      </c>
      <c r="T381" s="289">
        <v>211</v>
      </c>
      <c r="U381" s="716">
        <v>2.7733861297850513E-3</v>
      </c>
      <c r="V381" s="289">
        <v>1224.5405557399999</v>
      </c>
      <c r="W381" s="743">
        <v>0.73399186999999999</v>
      </c>
      <c r="X381" s="289">
        <v>400</v>
      </c>
      <c r="Y381" s="289">
        <v>784</v>
      </c>
      <c r="Z381" s="289">
        <v>93345</v>
      </c>
      <c r="AA381" s="289">
        <v>0</v>
      </c>
      <c r="AB381" s="290">
        <v>74</v>
      </c>
      <c r="AC381" s="289">
        <v>0</v>
      </c>
      <c r="AD381" s="289">
        <v>0</v>
      </c>
      <c r="AE381" s="289">
        <v>0</v>
      </c>
      <c r="AF381" s="289">
        <v>0</v>
      </c>
      <c r="AG381" s="289">
        <v>3866</v>
      </c>
      <c r="AH381" s="289">
        <v>615</v>
      </c>
      <c r="AI381" s="289">
        <v>150</v>
      </c>
      <c r="AJ381" s="289">
        <v>0</v>
      </c>
      <c r="AK381" s="289">
        <v>20.5383</v>
      </c>
      <c r="AL381" s="289">
        <v>6566</v>
      </c>
      <c r="AM381" s="622">
        <v>2.6367189999999999E-2</v>
      </c>
      <c r="AN381" s="289">
        <v>0</v>
      </c>
      <c r="AO381" s="289">
        <v>-211.23836951000001</v>
      </c>
      <c r="AP381" s="289">
        <v>0</v>
      </c>
      <c r="AQ381" s="289">
        <v>0</v>
      </c>
      <c r="AR381" s="289">
        <v>3000.5549222700001</v>
      </c>
      <c r="AS381" s="289">
        <v>33.630299999999998</v>
      </c>
      <c r="AT381" s="289">
        <v>144</v>
      </c>
      <c r="AU381" s="289">
        <v>27</v>
      </c>
      <c r="AV381" s="625">
        <v>126715</v>
      </c>
      <c r="AW381" s="289">
        <v>-75.213099999999997</v>
      </c>
      <c r="AX381" s="625">
        <v>39.666666669999998</v>
      </c>
      <c r="AY381" s="289">
        <v>741</v>
      </c>
      <c r="AZ381" s="289">
        <v>100</v>
      </c>
      <c r="BA381" s="290">
        <v>88</v>
      </c>
      <c r="BB381" s="289">
        <v>0</v>
      </c>
      <c r="BC381" s="289">
        <v>1334</v>
      </c>
      <c r="BD381" s="289">
        <v>81.621099999999998</v>
      </c>
      <c r="BE381" s="289">
        <v>124568.46538557</v>
      </c>
      <c r="BF381" s="289">
        <v>0</v>
      </c>
      <c r="BG381" s="289">
        <v>22</v>
      </c>
      <c r="BH381" s="289">
        <v>-31.497499999999999</v>
      </c>
      <c r="BI381" s="289">
        <v>1399</v>
      </c>
      <c r="BJ381" s="289">
        <v>-3.9683999999999999</v>
      </c>
      <c r="BK381" s="289">
        <v>0</v>
      </c>
      <c r="BL381" s="289">
        <v>0</v>
      </c>
      <c r="BM381" s="289">
        <v>0</v>
      </c>
      <c r="BN381" s="289">
        <v>0</v>
      </c>
      <c r="BO381" s="517">
        <v>0</v>
      </c>
      <c r="BP381" s="517">
        <v>0</v>
      </c>
      <c r="BQ381" s="289">
        <f t="shared" si="10"/>
        <v>-3.9684389483999998</v>
      </c>
      <c r="BR381" s="289">
        <v>0</v>
      </c>
      <c r="BS381" s="289">
        <f t="shared" si="11"/>
        <v>0</v>
      </c>
      <c r="BT381" s="289">
        <v>12</v>
      </c>
      <c r="BU381" s="289">
        <v>0</v>
      </c>
      <c r="BV381" s="289">
        <v>44</v>
      </c>
      <c r="BW381" s="289">
        <v>228.43899999999999</v>
      </c>
      <c r="BX381" s="289">
        <v>79.891999999999996</v>
      </c>
      <c r="CC381" s="517"/>
      <c r="CD381" s="85"/>
      <c r="CE381" s="517"/>
    </row>
    <row r="382" spans="1:83" ht="13">
      <c r="A382" s="1">
        <v>5048</v>
      </c>
      <c r="B382" s="2" t="s">
        <v>169</v>
      </c>
      <c r="C382" s="289">
        <v>618</v>
      </c>
      <c r="D382" s="289">
        <v>12</v>
      </c>
      <c r="E382" s="289">
        <v>20</v>
      </c>
      <c r="F382" s="289">
        <v>52</v>
      </c>
      <c r="G382" s="289">
        <v>53</v>
      </c>
      <c r="H382" s="289">
        <v>325</v>
      </c>
      <c r="I382" s="289">
        <v>108</v>
      </c>
      <c r="J382" s="289">
        <v>43</v>
      </c>
      <c r="K382" s="289">
        <v>11</v>
      </c>
      <c r="L382" s="289">
        <v>3</v>
      </c>
      <c r="M382" s="289">
        <v>68</v>
      </c>
      <c r="N382" s="290">
        <v>1.5</v>
      </c>
      <c r="O382" s="290">
        <v>4</v>
      </c>
      <c r="P382" s="624">
        <v>4796.4883333300004</v>
      </c>
      <c r="Q382" s="624">
        <v>4862.8756666700001</v>
      </c>
      <c r="R382" s="624">
        <v>2</v>
      </c>
      <c r="S382" s="289">
        <v>0</v>
      </c>
      <c r="T382" s="289">
        <v>37</v>
      </c>
      <c r="U382" s="716">
        <v>7.1148950987503417E-4</v>
      </c>
      <c r="V382" s="289">
        <v>332.53237190999999</v>
      </c>
      <c r="W382" s="743">
        <v>1</v>
      </c>
      <c r="X382" s="289">
        <v>1200</v>
      </c>
      <c r="Y382" s="289">
        <v>0</v>
      </c>
      <c r="Z382" s="289">
        <v>12474</v>
      </c>
      <c r="AA382" s="289">
        <v>0</v>
      </c>
      <c r="AB382" s="290">
        <v>9</v>
      </c>
      <c r="AC382" s="289">
        <v>0</v>
      </c>
      <c r="AD382" s="289">
        <v>0</v>
      </c>
      <c r="AE382" s="289">
        <v>0</v>
      </c>
      <c r="AF382" s="289">
        <v>0</v>
      </c>
      <c r="AG382" s="289">
        <v>624</v>
      </c>
      <c r="AH382" s="289">
        <v>100</v>
      </c>
      <c r="AI382" s="289">
        <v>0</v>
      </c>
      <c r="AJ382" s="289">
        <v>0</v>
      </c>
      <c r="AK382" s="289">
        <v>2.1616</v>
      </c>
      <c r="AL382" s="289">
        <v>1074</v>
      </c>
      <c r="AM382" s="622">
        <v>7.8806399999999995E-3</v>
      </c>
      <c r="AN382" s="289">
        <v>0</v>
      </c>
      <c r="AO382" s="289">
        <v>-46.251215049999999</v>
      </c>
      <c r="AP382" s="289">
        <v>0</v>
      </c>
      <c r="AQ382" s="289">
        <v>0</v>
      </c>
      <c r="AR382" s="289">
        <v>-44.599898520000004</v>
      </c>
      <c r="AS382" s="289">
        <v>5.3674999999999997</v>
      </c>
      <c r="AT382" s="289">
        <v>37</v>
      </c>
      <c r="AU382" s="289">
        <v>3</v>
      </c>
      <c r="AV382" s="625">
        <v>39213</v>
      </c>
      <c r="AW382" s="289">
        <v>-0.31690000000000002</v>
      </c>
      <c r="AX382" s="625">
        <v>5.8333333300000003</v>
      </c>
      <c r="AY382" s="289">
        <v>102</v>
      </c>
      <c r="AZ382" s="289">
        <v>28</v>
      </c>
      <c r="BA382" s="290">
        <v>8</v>
      </c>
      <c r="BB382" s="289">
        <v>5543</v>
      </c>
      <c r="BC382" s="289">
        <v>205</v>
      </c>
      <c r="BD382" s="289">
        <v>13.271699999999999</v>
      </c>
      <c r="BE382" s="289">
        <v>39477.759274980002</v>
      </c>
      <c r="BF382" s="289">
        <v>0</v>
      </c>
      <c r="BG382" s="289">
        <v>0</v>
      </c>
      <c r="BH382" s="289">
        <v>-5.0838999999999999</v>
      </c>
      <c r="BI382" s="289">
        <v>100</v>
      </c>
      <c r="BJ382" s="289">
        <v>-0.64049999999999996</v>
      </c>
      <c r="BK382" s="289">
        <v>0</v>
      </c>
      <c r="BL382" s="289">
        <v>0</v>
      </c>
      <c r="BM382" s="289">
        <v>171</v>
      </c>
      <c r="BN382" s="289">
        <v>0</v>
      </c>
      <c r="BO382" s="517">
        <v>0</v>
      </c>
      <c r="BP382" s="517">
        <v>0</v>
      </c>
      <c r="BQ382" s="289">
        <f t="shared" si="10"/>
        <v>-0.64053437759999998</v>
      </c>
      <c r="BR382" s="289">
        <v>0</v>
      </c>
      <c r="BS382" s="289">
        <f t="shared" si="11"/>
        <v>0</v>
      </c>
      <c r="BT382" s="289">
        <v>1</v>
      </c>
      <c r="BU382" s="289">
        <v>0</v>
      </c>
      <c r="BV382" s="289">
        <v>15</v>
      </c>
      <c r="BW382" s="289">
        <v>164.518</v>
      </c>
      <c r="BX382" s="289">
        <v>12.734</v>
      </c>
      <c r="CC382" s="517"/>
      <c r="CD382" s="85"/>
      <c r="CE382" s="517"/>
    </row>
    <row r="383" spans="1:83" ht="13">
      <c r="A383" s="1">
        <v>5049</v>
      </c>
      <c r="B383" s="2" t="s">
        <v>170</v>
      </c>
      <c r="C383" s="289">
        <v>1105</v>
      </c>
      <c r="D383" s="289">
        <v>16</v>
      </c>
      <c r="E383" s="289">
        <v>29</v>
      </c>
      <c r="F383" s="289">
        <v>105</v>
      </c>
      <c r="G383" s="289">
        <v>113</v>
      </c>
      <c r="H383" s="289">
        <v>610</v>
      </c>
      <c r="I383" s="289">
        <v>167</v>
      </c>
      <c r="J383" s="289">
        <v>45</v>
      </c>
      <c r="K383" s="289">
        <v>13</v>
      </c>
      <c r="L383" s="289">
        <v>10</v>
      </c>
      <c r="M383" s="289">
        <v>91</v>
      </c>
      <c r="N383" s="290">
        <v>0</v>
      </c>
      <c r="O383" s="290">
        <v>5</v>
      </c>
      <c r="P383" s="624">
        <v>15382.90566667</v>
      </c>
      <c r="Q383" s="624">
        <v>7262.08</v>
      </c>
      <c r="R383" s="624">
        <v>9</v>
      </c>
      <c r="S383" s="289">
        <v>0</v>
      </c>
      <c r="T383" s="289">
        <v>82</v>
      </c>
      <c r="U383" s="716">
        <v>1.0656394547333434E-3</v>
      </c>
      <c r="V383" s="289">
        <v>-2071.85236854</v>
      </c>
      <c r="W383" s="743">
        <v>1</v>
      </c>
      <c r="X383" s="289">
        <v>400</v>
      </c>
      <c r="Y383" s="289">
        <v>315</v>
      </c>
      <c r="Z383" s="289">
        <v>29062</v>
      </c>
      <c r="AA383" s="289">
        <v>0</v>
      </c>
      <c r="AB383" s="290">
        <v>18</v>
      </c>
      <c r="AC383" s="289">
        <v>0</v>
      </c>
      <c r="AD383" s="289">
        <v>0</v>
      </c>
      <c r="AE383" s="289">
        <v>0</v>
      </c>
      <c r="AF383" s="289">
        <v>0</v>
      </c>
      <c r="AG383" s="289">
        <v>1098</v>
      </c>
      <c r="AH383" s="289">
        <v>130</v>
      </c>
      <c r="AI383" s="289">
        <v>400</v>
      </c>
      <c r="AJ383" s="289">
        <v>0</v>
      </c>
      <c r="AK383" s="289">
        <v>3.2454999999999998</v>
      </c>
      <c r="AL383" s="289">
        <v>1864</v>
      </c>
      <c r="AM383" s="622">
        <v>1.149903E-2</v>
      </c>
      <c r="AN383" s="289">
        <v>0</v>
      </c>
      <c r="AO383" s="289">
        <v>-69.842638050000005</v>
      </c>
      <c r="AP383" s="289">
        <v>0</v>
      </c>
      <c r="AQ383" s="289">
        <v>0</v>
      </c>
      <c r="AR383" s="289">
        <v>-78.478667590000001</v>
      </c>
      <c r="AS383" s="289">
        <v>10.557700000000001</v>
      </c>
      <c r="AT383" s="289">
        <v>46</v>
      </c>
      <c r="AU383" s="289">
        <v>9</v>
      </c>
      <c r="AV383" s="625">
        <v>49095</v>
      </c>
      <c r="AW383" s="289">
        <v>-0.55759999999999998</v>
      </c>
      <c r="AX383" s="625">
        <v>8.4166666699999997</v>
      </c>
      <c r="AY383" s="289">
        <v>201</v>
      </c>
      <c r="AZ383" s="289">
        <v>33</v>
      </c>
      <c r="BA383" s="290">
        <v>16</v>
      </c>
      <c r="BB383" s="289">
        <v>5543</v>
      </c>
      <c r="BC383" s="289">
        <v>497</v>
      </c>
      <c r="BD383" s="289">
        <v>17.2532</v>
      </c>
      <c r="BE383" s="289">
        <v>48961.564242139997</v>
      </c>
      <c r="BF383" s="289">
        <v>0</v>
      </c>
      <c r="BG383" s="289">
        <v>11</v>
      </c>
      <c r="BH383" s="289">
        <v>-8.9457000000000004</v>
      </c>
      <c r="BI383" s="289">
        <v>445</v>
      </c>
      <c r="BJ383" s="289">
        <v>-1.1271</v>
      </c>
      <c r="BK383" s="289">
        <v>0</v>
      </c>
      <c r="BL383" s="289">
        <v>0</v>
      </c>
      <c r="BM383" s="289">
        <v>0</v>
      </c>
      <c r="BN383" s="289">
        <v>0</v>
      </c>
      <c r="BO383" s="517">
        <v>0</v>
      </c>
      <c r="BP383" s="517">
        <v>0</v>
      </c>
      <c r="BQ383" s="289">
        <f t="shared" si="10"/>
        <v>-1.1270941452000001</v>
      </c>
      <c r="BR383" s="289">
        <v>0</v>
      </c>
      <c r="BS383" s="289">
        <f t="shared" si="11"/>
        <v>0</v>
      </c>
      <c r="BT383" s="289">
        <v>2</v>
      </c>
      <c r="BU383" s="289">
        <v>0</v>
      </c>
      <c r="BV383" s="289">
        <v>20</v>
      </c>
      <c r="BW383" s="289">
        <v>173.94900000000001</v>
      </c>
      <c r="BX383" s="289">
        <v>23.181999999999999</v>
      </c>
      <c r="CC383" s="517"/>
      <c r="CD383" s="85"/>
      <c r="CE383" s="517"/>
    </row>
    <row r="384" spans="1:83" ht="13">
      <c r="A384" s="1">
        <v>5050</v>
      </c>
      <c r="B384" s="2" t="s">
        <v>171</v>
      </c>
      <c r="C384" s="289">
        <v>4492</v>
      </c>
      <c r="D384" s="289">
        <v>113</v>
      </c>
      <c r="E384" s="289">
        <v>239</v>
      </c>
      <c r="F384" s="289">
        <v>579</v>
      </c>
      <c r="G384" s="289">
        <v>438</v>
      </c>
      <c r="H384" s="289">
        <v>2443</v>
      </c>
      <c r="I384" s="289">
        <v>462</v>
      </c>
      <c r="J384" s="289">
        <v>186</v>
      </c>
      <c r="K384" s="289">
        <v>33</v>
      </c>
      <c r="L384" s="289">
        <v>34</v>
      </c>
      <c r="M384" s="289">
        <v>317</v>
      </c>
      <c r="N384" s="290">
        <v>25</v>
      </c>
      <c r="O384" s="290">
        <v>49</v>
      </c>
      <c r="P384" s="624">
        <v>24819.09</v>
      </c>
      <c r="Q384" s="624">
        <v>11983.48733333</v>
      </c>
      <c r="R384" s="624">
        <v>36</v>
      </c>
      <c r="S384" s="289">
        <v>0</v>
      </c>
      <c r="T384" s="289">
        <v>331</v>
      </c>
      <c r="U384" s="716">
        <v>1.3976012962104074E-3</v>
      </c>
      <c r="V384" s="289">
        <v>1768.96004305</v>
      </c>
      <c r="W384" s="743">
        <v>0.69659771999999998</v>
      </c>
      <c r="X384" s="289">
        <v>200</v>
      </c>
      <c r="Y384" s="289">
        <v>392</v>
      </c>
      <c r="Z384" s="289">
        <v>127124</v>
      </c>
      <c r="AA384" s="289">
        <v>0</v>
      </c>
      <c r="AB384" s="290">
        <v>75</v>
      </c>
      <c r="AC384" s="289">
        <v>0</v>
      </c>
      <c r="AD384" s="289">
        <v>3020.5439999999999</v>
      </c>
      <c r="AE384" s="289">
        <v>0</v>
      </c>
      <c r="AF384" s="289">
        <v>0</v>
      </c>
      <c r="AG384" s="289">
        <v>4493</v>
      </c>
      <c r="AH384" s="289">
        <v>689</v>
      </c>
      <c r="AI384" s="289">
        <v>1580</v>
      </c>
      <c r="AJ384" s="289">
        <v>0</v>
      </c>
      <c r="AK384" s="289">
        <v>22.590299999999999</v>
      </c>
      <c r="AL384" s="289">
        <v>7555</v>
      </c>
      <c r="AM384" s="622">
        <v>8.5522390000000004E-2</v>
      </c>
      <c r="AN384" s="289">
        <v>0</v>
      </c>
      <c r="AO384" s="289">
        <v>-246.04086183000001</v>
      </c>
      <c r="AP384" s="289">
        <v>0</v>
      </c>
      <c r="AQ384" s="289">
        <v>0</v>
      </c>
      <c r="AR384" s="289">
        <v>-321.13356419000002</v>
      </c>
      <c r="AS384" s="289">
        <v>46.658099999999997</v>
      </c>
      <c r="AT384" s="289">
        <v>212</v>
      </c>
      <c r="AU384" s="289">
        <v>62</v>
      </c>
      <c r="AV384" s="625">
        <v>139103</v>
      </c>
      <c r="AW384" s="289">
        <v>-2.2814999999999999</v>
      </c>
      <c r="AX384" s="625">
        <v>38.458333340000003</v>
      </c>
      <c r="AY384" s="289">
        <v>634</v>
      </c>
      <c r="AZ384" s="289">
        <v>127</v>
      </c>
      <c r="BA384" s="290">
        <v>113</v>
      </c>
      <c r="BB384" s="289">
        <v>0</v>
      </c>
      <c r="BC384" s="289">
        <v>1112</v>
      </c>
      <c r="BD384" s="289">
        <v>91.442099999999996</v>
      </c>
      <c r="BE384" s="289">
        <v>149303.58866359</v>
      </c>
      <c r="BF384" s="289">
        <v>0</v>
      </c>
      <c r="BG384" s="289">
        <v>11</v>
      </c>
      <c r="BH384" s="289">
        <v>-36.605800000000002</v>
      </c>
      <c r="BI384" s="289">
        <v>4101.5439999999999</v>
      </c>
      <c r="BJ384" s="289">
        <v>-163.08510000000001</v>
      </c>
      <c r="BK384" s="289">
        <v>0</v>
      </c>
      <c r="BL384" s="289">
        <v>0</v>
      </c>
      <c r="BM384" s="289">
        <v>1493</v>
      </c>
      <c r="BN384" s="289">
        <v>0</v>
      </c>
      <c r="BO384" s="517">
        <v>322</v>
      </c>
      <c r="BP384" s="289">
        <v>0</v>
      </c>
      <c r="BQ384" s="289">
        <f t="shared" si="10"/>
        <v>-4.6120528181999996</v>
      </c>
      <c r="BR384" s="289">
        <v>2862.0709999999999</v>
      </c>
      <c r="BS384" s="289">
        <f t="shared" si="11"/>
        <v>-158.47299999999996</v>
      </c>
      <c r="BT384" s="289">
        <v>13</v>
      </c>
      <c r="BU384" s="289">
        <v>0</v>
      </c>
      <c r="BV384" s="289">
        <v>48</v>
      </c>
      <c r="BW384" s="289">
        <v>232.63</v>
      </c>
      <c r="BX384" s="289">
        <v>94.245999999999995</v>
      </c>
      <c r="CC384" s="517"/>
      <c r="CD384" s="85"/>
      <c r="CE384" s="517"/>
    </row>
    <row r="385" spans="1:83" ht="13">
      <c r="A385" s="1">
        <v>5051</v>
      </c>
      <c r="B385" s="2" t="s">
        <v>172</v>
      </c>
      <c r="C385" s="289">
        <v>5117</v>
      </c>
      <c r="D385" s="289">
        <v>82</v>
      </c>
      <c r="E385" s="289">
        <v>272</v>
      </c>
      <c r="F385" s="289">
        <v>561</v>
      </c>
      <c r="G385" s="289">
        <v>503</v>
      </c>
      <c r="H385" s="289">
        <v>2770</v>
      </c>
      <c r="I385" s="289">
        <v>651</v>
      </c>
      <c r="J385" s="289">
        <v>221</v>
      </c>
      <c r="K385" s="289">
        <v>48</v>
      </c>
      <c r="L385" s="289">
        <v>47</v>
      </c>
      <c r="M385" s="289">
        <v>448</v>
      </c>
      <c r="N385" s="290">
        <v>16</v>
      </c>
      <c r="O385" s="290">
        <v>61</v>
      </c>
      <c r="P385" s="624">
        <v>73296.891333330001</v>
      </c>
      <c r="Q385" s="624">
        <v>25263.948333330001</v>
      </c>
      <c r="R385" s="624">
        <v>27</v>
      </c>
      <c r="S385" s="289">
        <v>0</v>
      </c>
      <c r="T385" s="289">
        <v>415</v>
      </c>
      <c r="U385" s="716">
        <v>3.4474788099335802E-3</v>
      </c>
      <c r="V385" s="289">
        <v>2019.5365059200001</v>
      </c>
      <c r="W385" s="743">
        <v>0.86772841000000001</v>
      </c>
      <c r="X385" s="289">
        <v>400</v>
      </c>
      <c r="Y385" s="289">
        <v>392</v>
      </c>
      <c r="Z385" s="289">
        <v>125626</v>
      </c>
      <c r="AA385" s="289">
        <v>0</v>
      </c>
      <c r="AB385" s="290">
        <v>136</v>
      </c>
      <c r="AC385" s="289">
        <v>0</v>
      </c>
      <c r="AD385" s="289">
        <v>324.21600000000001</v>
      </c>
      <c r="AE385" s="289">
        <v>0</v>
      </c>
      <c r="AF385" s="289">
        <v>0</v>
      </c>
      <c r="AG385" s="289">
        <v>5108</v>
      </c>
      <c r="AH385" s="289">
        <v>729</v>
      </c>
      <c r="AI385" s="289">
        <v>1200</v>
      </c>
      <c r="AJ385" s="289">
        <v>0</v>
      </c>
      <c r="AK385" s="289">
        <v>24.654599999999999</v>
      </c>
      <c r="AL385" s="289">
        <v>8786</v>
      </c>
      <c r="AM385" s="622">
        <v>5.3389659999999999E-2</v>
      </c>
      <c r="AN385" s="289">
        <v>0</v>
      </c>
      <c r="AO385" s="289">
        <v>-280.89300510999999</v>
      </c>
      <c r="AP385" s="289">
        <v>0</v>
      </c>
      <c r="AQ385" s="289">
        <v>0</v>
      </c>
      <c r="AR385" s="289">
        <v>-365.09019495000001</v>
      </c>
      <c r="AS385" s="289">
        <v>56.3827</v>
      </c>
      <c r="AT385" s="289">
        <v>196</v>
      </c>
      <c r="AU385" s="289">
        <v>47</v>
      </c>
      <c r="AV385" s="625">
        <v>164231</v>
      </c>
      <c r="AW385" s="289">
        <v>-2.5937999999999999</v>
      </c>
      <c r="AX385" s="625">
        <v>27.125</v>
      </c>
      <c r="AY385" s="289">
        <v>723</v>
      </c>
      <c r="AZ385" s="289">
        <v>153</v>
      </c>
      <c r="BA385" s="290">
        <v>96</v>
      </c>
      <c r="BB385" s="289">
        <v>0</v>
      </c>
      <c r="BC385" s="289">
        <v>1275</v>
      </c>
      <c r="BD385" s="289">
        <v>96.750799999999998</v>
      </c>
      <c r="BE385" s="289">
        <v>168147.33633118001</v>
      </c>
      <c r="BF385" s="289">
        <v>0</v>
      </c>
      <c r="BG385" s="289">
        <v>11</v>
      </c>
      <c r="BH385" s="289">
        <v>-41.616399999999999</v>
      </c>
      <c r="BI385" s="289">
        <v>1445.2159999999999</v>
      </c>
      <c r="BJ385" s="289">
        <v>-170.1763</v>
      </c>
      <c r="BK385" s="289">
        <v>0</v>
      </c>
      <c r="BL385" s="289">
        <v>0</v>
      </c>
      <c r="BM385" s="289">
        <v>1737</v>
      </c>
      <c r="BN385" s="289">
        <v>0</v>
      </c>
      <c r="BO385" s="517">
        <v>373</v>
      </c>
      <c r="BP385" s="289">
        <v>0</v>
      </c>
      <c r="BQ385" s="289">
        <f t="shared" si="10"/>
        <v>-5.2433487192000001</v>
      </c>
      <c r="BR385" s="289">
        <v>159.28299999999999</v>
      </c>
      <c r="BS385" s="289">
        <f t="shared" si="11"/>
        <v>-164.93300000000002</v>
      </c>
      <c r="BT385" s="289">
        <v>14</v>
      </c>
      <c r="BU385" s="289">
        <v>0</v>
      </c>
      <c r="BV385" s="289">
        <v>62</v>
      </c>
      <c r="BW385" s="289">
        <v>208.529</v>
      </c>
      <c r="BX385" s="289">
        <v>106.41800000000001</v>
      </c>
      <c r="CC385" s="517"/>
      <c r="CD385" s="85"/>
      <c r="CE385" s="517"/>
    </row>
    <row r="386" spans="1:83" ht="13">
      <c r="A386" s="1">
        <v>5052</v>
      </c>
      <c r="B386" s="2" t="s">
        <v>173</v>
      </c>
      <c r="C386" s="289">
        <v>582</v>
      </c>
      <c r="D386" s="289">
        <v>8</v>
      </c>
      <c r="E386" s="289">
        <v>19</v>
      </c>
      <c r="F386" s="289">
        <v>54</v>
      </c>
      <c r="G386" s="289">
        <v>44</v>
      </c>
      <c r="H386" s="289">
        <v>307</v>
      </c>
      <c r="I386" s="289">
        <v>109</v>
      </c>
      <c r="J386" s="289">
        <v>35</v>
      </c>
      <c r="K386" s="289">
        <v>10</v>
      </c>
      <c r="L386" s="289">
        <v>5</v>
      </c>
      <c r="M386" s="289">
        <v>62</v>
      </c>
      <c r="N386" s="290">
        <v>0</v>
      </c>
      <c r="O386" s="290">
        <v>2</v>
      </c>
      <c r="P386" s="624">
        <v>2964.95533333</v>
      </c>
      <c r="Q386" s="624">
        <v>2805.1593333300002</v>
      </c>
      <c r="R386" s="624">
        <v>1</v>
      </c>
      <c r="S386" s="289">
        <v>0</v>
      </c>
      <c r="T386" s="289">
        <v>39</v>
      </c>
      <c r="U386" s="716">
        <v>9.4361403972935724E-4</v>
      </c>
      <c r="V386" s="289">
        <v>315.03338029999998</v>
      </c>
      <c r="W386" s="743">
        <v>1</v>
      </c>
      <c r="X386" s="289">
        <v>1200</v>
      </c>
      <c r="Y386" s="289">
        <v>0</v>
      </c>
      <c r="Z386" s="289">
        <v>13678</v>
      </c>
      <c r="AA386" s="289">
        <v>0</v>
      </c>
      <c r="AB386" s="290">
        <v>10</v>
      </c>
      <c r="AC386" s="289">
        <v>0</v>
      </c>
      <c r="AD386" s="289">
        <v>0</v>
      </c>
      <c r="AE386" s="289">
        <v>84</v>
      </c>
      <c r="AF386" s="289">
        <v>0</v>
      </c>
      <c r="AG386" s="289">
        <v>586</v>
      </c>
      <c r="AH386" s="289">
        <v>100</v>
      </c>
      <c r="AI386" s="289">
        <v>0</v>
      </c>
      <c r="AJ386" s="289">
        <v>0</v>
      </c>
      <c r="AK386" s="289">
        <v>1.9642999999999999</v>
      </c>
      <c r="AL386" s="289">
        <v>999</v>
      </c>
      <c r="AM386" s="622">
        <v>4.4508799999999999E-3</v>
      </c>
      <c r="AN386" s="289">
        <v>0</v>
      </c>
      <c r="AO386" s="289">
        <v>-43.817317809999999</v>
      </c>
      <c r="AP386" s="289">
        <v>0</v>
      </c>
      <c r="AQ386" s="289">
        <v>0</v>
      </c>
      <c r="AR386" s="289">
        <v>-41.883879059999998</v>
      </c>
      <c r="AS386" s="289">
        <v>5.1296999999999997</v>
      </c>
      <c r="AT386" s="289">
        <v>23</v>
      </c>
      <c r="AU386" s="289">
        <v>3</v>
      </c>
      <c r="AV386" s="625">
        <v>36727</v>
      </c>
      <c r="AW386" s="289">
        <v>-0.29759999999999998</v>
      </c>
      <c r="AX386" s="625">
        <v>4.7083333300000003</v>
      </c>
      <c r="AY386" s="289">
        <v>80</v>
      </c>
      <c r="AZ386" s="289">
        <v>22</v>
      </c>
      <c r="BA386" s="290">
        <v>14</v>
      </c>
      <c r="BB386" s="289">
        <v>5543</v>
      </c>
      <c r="BC386" s="289">
        <v>140</v>
      </c>
      <c r="BD386" s="289">
        <v>13.271699999999999</v>
      </c>
      <c r="BE386" s="289">
        <v>37997.435254000004</v>
      </c>
      <c r="BF386" s="289">
        <v>0</v>
      </c>
      <c r="BG386" s="289">
        <v>0</v>
      </c>
      <c r="BH386" s="289">
        <v>-4.7743000000000002</v>
      </c>
      <c r="BI386" s="289">
        <v>100</v>
      </c>
      <c r="BJ386" s="289">
        <v>-0.60150000000000003</v>
      </c>
      <c r="BK386" s="289">
        <v>0</v>
      </c>
      <c r="BL386" s="289">
        <v>0</v>
      </c>
      <c r="BM386" s="289">
        <v>197</v>
      </c>
      <c r="BN386" s="289">
        <v>0</v>
      </c>
      <c r="BO386" s="517">
        <v>-197</v>
      </c>
      <c r="BP386" s="289">
        <v>0</v>
      </c>
      <c r="BQ386" s="289">
        <f t="shared" si="10"/>
        <v>-0.60152747639999993</v>
      </c>
      <c r="BR386" s="289">
        <v>0</v>
      </c>
      <c r="BS386" s="289">
        <f t="shared" si="11"/>
        <v>0</v>
      </c>
      <c r="BT386" s="289">
        <v>1</v>
      </c>
      <c r="BU386" s="289">
        <v>0</v>
      </c>
      <c r="BV386" s="289">
        <v>15</v>
      </c>
      <c r="BW386" s="289">
        <v>0</v>
      </c>
      <c r="BX386" s="289">
        <v>11.903</v>
      </c>
      <c r="CC386" s="517"/>
      <c r="CD386" s="85"/>
      <c r="CE386" s="517"/>
    </row>
    <row r="387" spans="1:83" ht="13">
      <c r="A387" s="1">
        <v>5053</v>
      </c>
      <c r="B387" s="2" t="s">
        <v>155</v>
      </c>
      <c r="C387" s="289">
        <v>6785</v>
      </c>
      <c r="D387" s="289">
        <v>144</v>
      </c>
      <c r="E387" s="289">
        <v>301</v>
      </c>
      <c r="F387" s="289">
        <v>879</v>
      </c>
      <c r="G387" s="289">
        <v>671</v>
      </c>
      <c r="H387" s="289">
        <v>3592</v>
      </c>
      <c r="I387" s="289">
        <v>879</v>
      </c>
      <c r="J387" s="289">
        <v>258</v>
      </c>
      <c r="K387" s="289">
        <v>57</v>
      </c>
      <c r="L387" s="289">
        <v>52</v>
      </c>
      <c r="M387" s="289">
        <v>490</v>
      </c>
      <c r="N387" s="290">
        <v>28</v>
      </c>
      <c r="O387" s="290">
        <v>32</v>
      </c>
      <c r="P387" s="624">
        <v>57105.714666669999</v>
      </c>
      <c r="Q387" s="624">
        <v>20198.126333330001</v>
      </c>
      <c r="R387" s="624">
        <v>29</v>
      </c>
      <c r="S387" s="289">
        <v>0</v>
      </c>
      <c r="T387" s="289">
        <v>380</v>
      </c>
      <c r="U387" s="716">
        <v>4.8462027145476103E-3</v>
      </c>
      <c r="V387" s="289">
        <v>2403.5469267899998</v>
      </c>
      <c r="W387" s="743">
        <v>0.68517086999999999</v>
      </c>
      <c r="X387" s="289">
        <v>100</v>
      </c>
      <c r="Y387" s="289">
        <v>629</v>
      </c>
      <c r="Z387" s="289">
        <v>157899</v>
      </c>
      <c r="AA387" s="289">
        <v>-3901.14813172</v>
      </c>
      <c r="AB387" s="290">
        <v>129</v>
      </c>
      <c r="AC387" s="289">
        <v>0</v>
      </c>
      <c r="AD387" s="289">
        <v>0</v>
      </c>
      <c r="AE387" s="289">
        <v>0</v>
      </c>
      <c r="AF387" s="289">
        <v>19174.623071549999</v>
      </c>
      <c r="AG387" s="289">
        <v>6781</v>
      </c>
      <c r="AH387" s="289">
        <v>1021</v>
      </c>
      <c r="AI387" s="289">
        <v>525</v>
      </c>
      <c r="AJ387" s="289">
        <v>0</v>
      </c>
      <c r="AK387" s="289">
        <v>29.8734</v>
      </c>
      <c r="AL387" s="289"/>
      <c r="AM387" s="622">
        <v>6.8133739999999998E-2</v>
      </c>
      <c r="AN387" s="289">
        <v>6877</v>
      </c>
      <c r="AO387" s="289">
        <v>-346.23792982999998</v>
      </c>
      <c r="AP387" s="289">
        <v>0</v>
      </c>
      <c r="AQ387" s="289">
        <v>0</v>
      </c>
      <c r="AR387" s="289">
        <v>864.06399798999996</v>
      </c>
      <c r="AS387" s="289">
        <v>60.556100000000001</v>
      </c>
      <c r="AT387" s="289">
        <v>329</v>
      </c>
      <c r="AU387" s="289">
        <v>56</v>
      </c>
      <c r="AV387" s="625">
        <v>200773</v>
      </c>
      <c r="AW387" s="289">
        <v>-131.92449999999999</v>
      </c>
      <c r="AX387" s="625">
        <v>46.416666669999998</v>
      </c>
      <c r="AY387" s="289">
        <v>1522</v>
      </c>
      <c r="AZ387" s="289">
        <v>171</v>
      </c>
      <c r="BA387" s="290">
        <v>164</v>
      </c>
      <c r="BB387" s="289">
        <v>0</v>
      </c>
      <c r="BC387" s="289">
        <v>14562.283502890001</v>
      </c>
      <c r="BD387" s="289">
        <v>135.5042</v>
      </c>
      <c r="BE387" s="289">
        <v>203017.04498482001</v>
      </c>
      <c r="BF387" s="289">
        <v>0</v>
      </c>
      <c r="BG387" s="289">
        <v>22</v>
      </c>
      <c r="BH387" s="289">
        <v>-55.246899999999997</v>
      </c>
      <c r="BI387" s="289">
        <v>16923.47493982</v>
      </c>
      <c r="BJ387" s="289">
        <v>-6.9607000000000001</v>
      </c>
      <c r="BK387" s="289">
        <v>0</v>
      </c>
      <c r="BL387" s="289">
        <v>0</v>
      </c>
      <c r="BM387" s="289">
        <v>0</v>
      </c>
      <c r="BN387" s="289">
        <v>0</v>
      </c>
      <c r="BO387" s="517">
        <v>0</v>
      </c>
      <c r="BP387" s="289">
        <v>0</v>
      </c>
      <c r="BQ387" s="289">
        <f t="shared" si="10"/>
        <v>-6.9606788693999997</v>
      </c>
      <c r="BR387" s="289">
        <v>0</v>
      </c>
      <c r="BS387" s="289">
        <f t="shared" si="11"/>
        <v>0</v>
      </c>
      <c r="BT387" s="289">
        <v>17</v>
      </c>
      <c r="BU387" s="289">
        <v>0</v>
      </c>
      <c r="BV387" s="289">
        <v>73</v>
      </c>
      <c r="BW387" s="289">
        <v>253.58799999999999</v>
      </c>
      <c r="BX387" s="289">
        <v>141.27500000000001</v>
      </c>
      <c r="CC387" s="517"/>
      <c r="CD387" s="85"/>
      <c r="CE387" s="517"/>
    </row>
    <row r="388" spans="1:83" ht="13">
      <c r="A388" s="1">
        <v>5054</v>
      </c>
      <c r="B388" s="2" t="s">
        <v>1234</v>
      </c>
      <c r="C388" s="289">
        <v>10090</v>
      </c>
      <c r="D388" s="289">
        <v>197</v>
      </c>
      <c r="E388" s="289">
        <v>419</v>
      </c>
      <c r="F388" s="289">
        <v>1298</v>
      </c>
      <c r="G388" s="289">
        <v>906</v>
      </c>
      <c r="H388" s="289">
        <v>5354</v>
      </c>
      <c r="I388" s="289">
        <v>1361</v>
      </c>
      <c r="J388" s="289">
        <v>432</v>
      </c>
      <c r="K388" s="289">
        <v>129</v>
      </c>
      <c r="L388" s="289">
        <v>82</v>
      </c>
      <c r="M388" s="289">
        <v>851</v>
      </c>
      <c r="N388" s="290">
        <v>23</v>
      </c>
      <c r="O388" s="290">
        <v>72</v>
      </c>
      <c r="P388" s="624">
        <v>96130.86</v>
      </c>
      <c r="Q388" s="624">
        <v>35085.084000000003</v>
      </c>
      <c r="R388" s="624">
        <v>56</v>
      </c>
      <c r="S388" s="289">
        <v>0</v>
      </c>
      <c r="T388" s="289">
        <v>687</v>
      </c>
      <c r="U388" s="716">
        <v>7.0304693896569908E-3</v>
      </c>
      <c r="V388" s="289">
        <v>1740.89041681</v>
      </c>
      <c r="W388" s="743">
        <v>0.80825427999999999</v>
      </c>
      <c r="X388" s="289">
        <v>3800</v>
      </c>
      <c r="Y388" s="289">
        <v>784</v>
      </c>
      <c r="Z388" s="289">
        <v>227993</v>
      </c>
      <c r="AA388" s="289">
        <v>0</v>
      </c>
      <c r="AB388" s="290">
        <v>211</v>
      </c>
      <c r="AC388" s="289">
        <v>0</v>
      </c>
      <c r="AD388" s="289">
        <v>0</v>
      </c>
      <c r="AE388" s="289">
        <v>0</v>
      </c>
      <c r="AF388" s="289">
        <v>15161.63805</v>
      </c>
      <c r="AG388" s="289">
        <v>10096</v>
      </c>
      <c r="AH388" s="289">
        <v>1477</v>
      </c>
      <c r="AI388" s="289">
        <v>5580</v>
      </c>
      <c r="AJ388" s="289">
        <v>4000</v>
      </c>
      <c r="AK388" s="289">
        <v>40.829900000000002</v>
      </c>
      <c r="AL388" s="289"/>
      <c r="AM388" s="622">
        <v>0.26058013000000002</v>
      </c>
      <c r="AN388" s="289">
        <v>7311</v>
      </c>
      <c r="AO388" s="289">
        <v>-540.48017131999995</v>
      </c>
      <c r="AP388" s="289">
        <v>0</v>
      </c>
      <c r="AQ388" s="289">
        <v>0</v>
      </c>
      <c r="AR388" s="289">
        <v>1313.93704428</v>
      </c>
      <c r="AS388" s="289">
        <v>105.6932</v>
      </c>
      <c r="AT388" s="289">
        <v>445</v>
      </c>
      <c r="AU388" s="289">
        <v>147</v>
      </c>
      <c r="AV388" s="625">
        <v>324317</v>
      </c>
      <c r="AW388" s="289">
        <v>1711.5821000000001</v>
      </c>
      <c r="AX388" s="625">
        <v>69.458333330000002</v>
      </c>
      <c r="AY388" s="289">
        <v>1623</v>
      </c>
      <c r="AZ388" s="289">
        <v>407</v>
      </c>
      <c r="BA388" s="290">
        <v>215</v>
      </c>
      <c r="BB388" s="289">
        <v>0</v>
      </c>
      <c r="BC388" s="289">
        <v>2189</v>
      </c>
      <c r="BD388" s="289">
        <v>196.02330000000001</v>
      </c>
      <c r="BE388" s="289">
        <v>322885.59458123002</v>
      </c>
      <c r="BF388" s="289">
        <v>0</v>
      </c>
      <c r="BG388" s="289">
        <v>22</v>
      </c>
      <c r="BH388" s="289">
        <v>-82.255200000000002</v>
      </c>
      <c r="BI388" s="289">
        <v>17422.638050000001</v>
      </c>
      <c r="BJ388" s="289">
        <v>-10.3635</v>
      </c>
      <c r="BK388" s="289">
        <v>0</v>
      </c>
      <c r="BL388" s="289">
        <v>0</v>
      </c>
      <c r="BM388" s="289">
        <v>3826</v>
      </c>
      <c r="BN388" s="289">
        <v>0</v>
      </c>
      <c r="BO388" s="517">
        <v>0</v>
      </c>
      <c r="BP388" s="289">
        <v>0</v>
      </c>
      <c r="BQ388" s="289">
        <f t="shared" ref="BQ388:BQ425" si="12">-1.0264974*AG388/1000</f>
        <v>-10.3635177504</v>
      </c>
      <c r="BR388" s="289">
        <v>0</v>
      </c>
      <c r="BS388" s="289">
        <f t="shared" ref="BS388:BS425" si="13">+BR388-AD388</f>
        <v>0</v>
      </c>
      <c r="BT388" s="289">
        <v>23</v>
      </c>
      <c r="BU388" s="289">
        <v>0</v>
      </c>
      <c r="BV388" s="289">
        <v>110</v>
      </c>
      <c r="BW388" s="289">
        <v>0</v>
      </c>
      <c r="BX388" s="289">
        <v>209.01499999999999</v>
      </c>
      <c r="CC388" s="517"/>
      <c r="CD388" s="85"/>
      <c r="CE388" s="517"/>
    </row>
    <row r="389" spans="1:83" ht="13">
      <c r="A389" s="1">
        <v>5061</v>
      </c>
      <c r="B389" s="2" t="s">
        <v>114</v>
      </c>
      <c r="C389" s="289">
        <v>2039</v>
      </c>
      <c r="D389" s="289">
        <v>46</v>
      </c>
      <c r="E389" s="289">
        <v>90</v>
      </c>
      <c r="F389" s="289">
        <v>231</v>
      </c>
      <c r="G389" s="289">
        <v>198</v>
      </c>
      <c r="H389" s="289">
        <v>1033</v>
      </c>
      <c r="I389" s="289">
        <v>297</v>
      </c>
      <c r="J389" s="289">
        <v>115</v>
      </c>
      <c r="K389" s="289">
        <v>24</v>
      </c>
      <c r="L389" s="289">
        <v>15</v>
      </c>
      <c r="M389" s="289">
        <v>172</v>
      </c>
      <c r="N389" s="290">
        <v>0</v>
      </c>
      <c r="O389" s="290">
        <v>9</v>
      </c>
      <c r="P389" s="624">
        <v>10401.053</v>
      </c>
      <c r="Q389" s="624">
        <v>6933.2333333300003</v>
      </c>
      <c r="R389" s="624">
        <v>9</v>
      </c>
      <c r="S389" s="289">
        <v>0</v>
      </c>
      <c r="T389" s="289">
        <v>116</v>
      </c>
      <c r="U389" s="716">
        <v>1.9943220016747469E-3</v>
      </c>
      <c r="V389" s="289">
        <v>738.48050001000001</v>
      </c>
      <c r="W389" s="743">
        <v>0.88518953</v>
      </c>
      <c r="X389" s="289">
        <v>110</v>
      </c>
      <c r="Y389" s="289">
        <v>268</v>
      </c>
      <c r="Z389" s="289">
        <v>50708</v>
      </c>
      <c r="AA389" s="289">
        <v>0</v>
      </c>
      <c r="AB389" s="290">
        <v>38</v>
      </c>
      <c r="AC389" s="289">
        <v>0</v>
      </c>
      <c r="AD389" s="289">
        <v>0</v>
      </c>
      <c r="AE389" s="289">
        <v>0</v>
      </c>
      <c r="AF389" s="289">
        <v>0</v>
      </c>
      <c r="AG389" s="289">
        <v>2034</v>
      </c>
      <c r="AH389" s="289">
        <v>280</v>
      </c>
      <c r="AI389" s="289">
        <v>250</v>
      </c>
      <c r="AJ389" s="289">
        <v>0</v>
      </c>
      <c r="AK389" s="289">
        <v>8.3238000000000003</v>
      </c>
      <c r="AL389" s="289"/>
      <c r="AM389" s="622">
        <v>2.5726799999999999E-3</v>
      </c>
      <c r="AN389" s="289">
        <v>0</v>
      </c>
      <c r="AO389" s="289">
        <v>-114.64740845999999</v>
      </c>
      <c r="AP389" s="289">
        <v>0</v>
      </c>
      <c r="AQ389" s="289">
        <v>0</v>
      </c>
      <c r="AR389" s="289">
        <v>2934.6095876300001</v>
      </c>
      <c r="AS389" s="289">
        <v>16.357299999999999</v>
      </c>
      <c r="AT389" s="289">
        <v>48</v>
      </c>
      <c r="AU389" s="289">
        <v>11</v>
      </c>
      <c r="AV389" s="625">
        <v>73618</v>
      </c>
      <c r="AW389" s="289">
        <v>-39.5715</v>
      </c>
      <c r="AX389" s="625">
        <v>9.1666666699999997</v>
      </c>
      <c r="AY389" s="289">
        <v>311</v>
      </c>
      <c r="AZ389" s="289">
        <v>20</v>
      </c>
      <c r="BA389" s="290">
        <v>26</v>
      </c>
      <c r="BB389" s="289">
        <v>5543</v>
      </c>
      <c r="BC389" s="289">
        <v>629</v>
      </c>
      <c r="BD389" s="289">
        <v>37.160800000000002</v>
      </c>
      <c r="BE389" s="289">
        <v>71041.391775180004</v>
      </c>
      <c r="BF389" s="289">
        <v>0</v>
      </c>
      <c r="BG389" s="289">
        <v>13</v>
      </c>
      <c r="BH389" s="289">
        <v>-16.5716</v>
      </c>
      <c r="BI389" s="289">
        <v>548</v>
      </c>
      <c r="BJ389" s="289">
        <v>-2.0878999999999999</v>
      </c>
      <c r="BK389" s="289">
        <v>0</v>
      </c>
      <c r="BL389" s="289">
        <v>0</v>
      </c>
      <c r="BM389" s="289">
        <v>0</v>
      </c>
      <c r="BN389" s="289">
        <v>0</v>
      </c>
      <c r="BO389" s="517">
        <v>0</v>
      </c>
      <c r="BP389" s="517">
        <v>0</v>
      </c>
      <c r="BQ389" s="289">
        <f t="shared" si="12"/>
        <v>-2.0878957116000003</v>
      </c>
      <c r="BR389" s="289">
        <v>0</v>
      </c>
      <c r="BS389" s="289">
        <f t="shared" si="13"/>
        <v>0</v>
      </c>
      <c r="BT389" s="289">
        <v>5</v>
      </c>
      <c r="BU389" s="289">
        <v>0</v>
      </c>
      <c r="BV389" s="289">
        <v>28</v>
      </c>
      <c r="BW389" s="289">
        <v>157.18299999999999</v>
      </c>
      <c r="BX389" s="289">
        <v>42.584000000000003</v>
      </c>
      <c r="CC389" s="517"/>
      <c r="CD389" s="85"/>
      <c r="CE389" s="517"/>
    </row>
    <row r="390" spans="1:83" ht="13">
      <c r="A390" s="1">
        <v>5401</v>
      </c>
      <c r="B390" s="2" t="s">
        <v>217</v>
      </c>
      <c r="C390" s="289">
        <v>75638</v>
      </c>
      <c r="D390" s="289">
        <v>1821</v>
      </c>
      <c r="E390" s="289">
        <v>3456</v>
      </c>
      <c r="F390" s="289">
        <v>8853</v>
      </c>
      <c r="G390" s="289">
        <v>6851</v>
      </c>
      <c r="H390" s="289">
        <v>45736</v>
      </c>
      <c r="I390" s="289">
        <v>6377</v>
      </c>
      <c r="J390" s="289">
        <v>1663</v>
      </c>
      <c r="K390" s="289">
        <v>368</v>
      </c>
      <c r="L390" s="289">
        <v>572</v>
      </c>
      <c r="M390" s="289">
        <v>3840</v>
      </c>
      <c r="N390" s="290">
        <v>1040</v>
      </c>
      <c r="O390" s="290">
        <v>593</v>
      </c>
      <c r="P390" s="624">
        <v>324079.40833333001</v>
      </c>
      <c r="Q390" s="624">
        <v>127923.715</v>
      </c>
      <c r="R390" s="624">
        <v>171</v>
      </c>
      <c r="S390" s="289">
        <v>0</v>
      </c>
      <c r="T390" s="289">
        <v>6829</v>
      </c>
      <c r="U390" s="716">
        <v>3.4724291747175494E-3</v>
      </c>
      <c r="V390" s="289">
        <v>2695.9771549900001</v>
      </c>
      <c r="W390" s="743">
        <v>0.57407790000000003</v>
      </c>
      <c r="X390" s="289">
        <v>44112</v>
      </c>
      <c r="Y390" s="289">
        <v>784</v>
      </c>
      <c r="Z390" s="289">
        <v>2296830</v>
      </c>
      <c r="AA390" s="289">
        <v>0</v>
      </c>
      <c r="AB390" s="290">
        <v>976</v>
      </c>
      <c r="AC390" s="289">
        <v>0</v>
      </c>
      <c r="AD390" s="289">
        <v>0</v>
      </c>
      <c r="AE390" s="289">
        <v>0</v>
      </c>
      <c r="AF390" s="289">
        <v>0</v>
      </c>
      <c r="AG390" s="289">
        <v>75125</v>
      </c>
      <c r="AH390" s="289">
        <v>10550</v>
      </c>
      <c r="AI390" s="289">
        <v>0</v>
      </c>
      <c r="AJ390" s="289">
        <v>0</v>
      </c>
      <c r="AK390" s="289">
        <v>371.41750000000002</v>
      </c>
      <c r="AL390" s="289">
        <v>244420</v>
      </c>
      <c r="AM390" s="622">
        <v>1.5214709900000001</v>
      </c>
      <c r="AN390" s="289">
        <v>0</v>
      </c>
      <c r="AO390" s="289">
        <v>-3298.7435313199999</v>
      </c>
      <c r="AP390" s="289">
        <v>0</v>
      </c>
      <c r="AQ390" s="289">
        <v>0</v>
      </c>
      <c r="AR390" s="289">
        <v>-5369.4990006500002</v>
      </c>
      <c r="AS390" s="289">
        <v>901.87879999999996</v>
      </c>
      <c r="AT390" s="289">
        <v>3587</v>
      </c>
      <c r="AU390" s="289">
        <v>800</v>
      </c>
      <c r="AV390" s="625">
        <v>1640916</v>
      </c>
      <c r="AW390" s="289">
        <v>-38.148299999999999</v>
      </c>
      <c r="AX390" s="625">
        <v>785.70833330000005</v>
      </c>
      <c r="AY390" s="289">
        <v>23237</v>
      </c>
      <c r="AZ390" s="289">
        <v>2946</v>
      </c>
      <c r="BA390" s="290">
        <v>1930</v>
      </c>
      <c r="BB390" s="289">
        <v>0</v>
      </c>
      <c r="BC390" s="289">
        <v>11035</v>
      </c>
      <c r="BD390" s="289">
        <v>1400.1661999999999</v>
      </c>
      <c r="BE390" s="289">
        <v>1708026.2955571001</v>
      </c>
      <c r="BF390" s="289">
        <v>0</v>
      </c>
      <c r="BG390" s="289">
        <v>22</v>
      </c>
      <c r="BH390" s="289">
        <v>-612.06640000000004</v>
      </c>
      <c r="BI390" s="289">
        <v>11334</v>
      </c>
      <c r="BJ390" s="289">
        <v>-77.115600000000001</v>
      </c>
      <c r="BK390" s="289">
        <v>0</v>
      </c>
      <c r="BL390" s="289">
        <v>0</v>
      </c>
      <c r="BM390" s="289">
        <v>0</v>
      </c>
      <c r="BN390" s="289">
        <v>0</v>
      </c>
      <c r="BO390" s="517">
        <v>0</v>
      </c>
      <c r="BP390" s="517">
        <v>0</v>
      </c>
      <c r="BQ390" s="289">
        <f t="shared" si="12"/>
        <v>-77.115617175000011</v>
      </c>
      <c r="BR390" s="289">
        <v>0</v>
      </c>
      <c r="BS390" s="289">
        <f t="shared" si="13"/>
        <v>0</v>
      </c>
      <c r="BT390" s="289">
        <v>213</v>
      </c>
      <c r="BU390" s="289">
        <v>0</v>
      </c>
      <c r="BV390" s="289">
        <v>642</v>
      </c>
      <c r="BW390" s="289">
        <v>548.976</v>
      </c>
      <c r="BX390" s="289">
        <v>1580.1980000000001</v>
      </c>
      <c r="CC390" s="517"/>
      <c r="CD390" s="85"/>
      <c r="CE390" s="517"/>
    </row>
    <row r="391" spans="1:83" ht="13">
      <c r="A391" s="1">
        <v>5402</v>
      </c>
      <c r="B391" s="2" t="s">
        <v>216</v>
      </c>
      <c r="C391" s="289">
        <v>24820</v>
      </c>
      <c r="D391" s="289">
        <v>484</v>
      </c>
      <c r="E391" s="289">
        <v>1113</v>
      </c>
      <c r="F391" s="289">
        <v>2867</v>
      </c>
      <c r="G391" s="289">
        <v>2245</v>
      </c>
      <c r="H391" s="289">
        <v>14015</v>
      </c>
      <c r="I391" s="289">
        <v>2988</v>
      </c>
      <c r="J391" s="289">
        <v>930</v>
      </c>
      <c r="K391" s="289">
        <v>207</v>
      </c>
      <c r="L391" s="289">
        <v>180</v>
      </c>
      <c r="M391" s="289">
        <v>1803</v>
      </c>
      <c r="N391" s="290">
        <v>472</v>
      </c>
      <c r="O391" s="290">
        <v>224</v>
      </c>
      <c r="P391" s="624">
        <v>97502.078333330006</v>
      </c>
      <c r="Q391" s="624">
        <v>38907.646000000001</v>
      </c>
      <c r="R391" s="624">
        <v>86</v>
      </c>
      <c r="S391" s="289">
        <v>0</v>
      </c>
      <c r="T391" s="289">
        <v>2019</v>
      </c>
      <c r="U391" s="716">
        <v>2.9220194518979133E-3</v>
      </c>
      <c r="V391" s="289">
        <v>6315.6818084200004</v>
      </c>
      <c r="W391" s="743">
        <v>0.57560758999999995</v>
      </c>
      <c r="X391" s="289">
        <v>3199</v>
      </c>
      <c r="Y391" s="289">
        <v>392</v>
      </c>
      <c r="Z391" s="289">
        <v>674405</v>
      </c>
      <c r="AA391" s="289">
        <v>0</v>
      </c>
      <c r="AB391" s="290">
        <v>500</v>
      </c>
      <c r="AC391" s="289">
        <v>0</v>
      </c>
      <c r="AD391" s="289">
        <v>0</v>
      </c>
      <c r="AE391" s="289">
        <v>0</v>
      </c>
      <c r="AF391" s="289">
        <v>19586.761273069998</v>
      </c>
      <c r="AG391" s="289">
        <v>24849</v>
      </c>
      <c r="AH391" s="289">
        <v>3429</v>
      </c>
      <c r="AI391" s="289">
        <v>1530</v>
      </c>
      <c r="AJ391" s="289">
        <v>0</v>
      </c>
      <c r="AK391" s="289">
        <v>111.2141</v>
      </c>
      <c r="AL391" s="289">
        <v>81467</v>
      </c>
      <c r="AM391" s="622">
        <v>0.52359087999999998</v>
      </c>
      <c r="AN391" s="289">
        <v>0</v>
      </c>
      <c r="AO391" s="289">
        <v>-1176.77810303</v>
      </c>
      <c r="AP391" s="289">
        <v>0</v>
      </c>
      <c r="AQ391" s="289">
        <v>0</v>
      </c>
      <c r="AR391" s="289">
        <v>-1776.0623050500001</v>
      </c>
      <c r="AS391" s="289">
        <v>305.42829999999998</v>
      </c>
      <c r="AT391" s="289">
        <v>1231</v>
      </c>
      <c r="AU391" s="289">
        <v>295</v>
      </c>
      <c r="AV391" s="625">
        <v>652334</v>
      </c>
      <c r="AW391" s="289">
        <v>-12.6183</v>
      </c>
      <c r="AX391" s="625">
        <v>168.25</v>
      </c>
      <c r="AY391" s="289">
        <v>6079</v>
      </c>
      <c r="AZ391" s="289">
        <v>890</v>
      </c>
      <c r="BA391" s="290">
        <v>622</v>
      </c>
      <c r="BB391" s="289">
        <v>0</v>
      </c>
      <c r="BC391" s="289">
        <v>22962.410597530001</v>
      </c>
      <c r="BD391" s="289">
        <v>455.0872</v>
      </c>
      <c r="BE391" s="289">
        <v>667346.79270297999</v>
      </c>
      <c r="BF391" s="289">
        <v>0</v>
      </c>
      <c r="BG391" s="289">
        <v>11</v>
      </c>
      <c r="BH391" s="289">
        <v>-202.45240000000001</v>
      </c>
      <c r="BI391" s="289">
        <v>23407.761273069998</v>
      </c>
      <c r="BJ391" s="289">
        <v>-25.507400000000001</v>
      </c>
      <c r="BK391" s="289">
        <v>0</v>
      </c>
      <c r="BL391" s="289">
        <v>0</v>
      </c>
      <c r="BM391" s="289">
        <v>0</v>
      </c>
      <c r="BN391" s="289">
        <v>0</v>
      </c>
      <c r="BO391" s="517">
        <v>0</v>
      </c>
      <c r="BP391" s="517">
        <v>0</v>
      </c>
      <c r="BQ391" s="289">
        <f t="shared" si="12"/>
        <v>-25.507433892600002</v>
      </c>
      <c r="BR391" s="289">
        <v>0</v>
      </c>
      <c r="BS391" s="289">
        <f t="shared" si="13"/>
        <v>0</v>
      </c>
      <c r="BT391" s="289">
        <v>64</v>
      </c>
      <c r="BU391" s="289">
        <v>0</v>
      </c>
      <c r="BV391" s="289">
        <v>232</v>
      </c>
      <c r="BW391" s="289">
        <v>285.74700000000001</v>
      </c>
      <c r="BX391" s="289">
        <v>515.45299999999997</v>
      </c>
      <c r="CC391" s="517"/>
      <c r="CD391" s="85"/>
      <c r="CE391" s="517"/>
    </row>
    <row r="392" spans="1:83" ht="13">
      <c r="A392" s="1">
        <v>5403</v>
      </c>
      <c r="B392" s="2" t="s">
        <v>245</v>
      </c>
      <c r="C392" s="289">
        <v>20635</v>
      </c>
      <c r="D392" s="289">
        <v>515</v>
      </c>
      <c r="E392" s="289">
        <v>1072</v>
      </c>
      <c r="F392" s="289">
        <v>2751</v>
      </c>
      <c r="G392" s="289">
        <v>2236</v>
      </c>
      <c r="H392" s="289">
        <v>11525</v>
      </c>
      <c r="I392" s="289">
        <v>1800</v>
      </c>
      <c r="J392" s="289">
        <v>549</v>
      </c>
      <c r="K392" s="289">
        <v>71</v>
      </c>
      <c r="L392" s="289">
        <v>164</v>
      </c>
      <c r="M392" s="289">
        <v>1090</v>
      </c>
      <c r="N392" s="290">
        <v>224</v>
      </c>
      <c r="O392" s="290">
        <v>152</v>
      </c>
      <c r="P392" s="624">
        <v>117431.266</v>
      </c>
      <c r="Q392" s="624">
        <v>74104.04066667</v>
      </c>
      <c r="R392" s="624">
        <v>106</v>
      </c>
      <c r="S392" s="289">
        <v>0</v>
      </c>
      <c r="T392" s="289">
        <v>1538</v>
      </c>
      <c r="U392" s="716">
        <v>3.3907661746166327E-3</v>
      </c>
      <c r="V392" s="289">
        <v>-952.53922842999998</v>
      </c>
      <c r="W392" s="743">
        <v>0.60889707999999998</v>
      </c>
      <c r="X392" s="289">
        <v>500</v>
      </c>
      <c r="Y392" s="289">
        <v>392</v>
      </c>
      <c r="Z392" s="289">
        <v>542406</v>
      </c>
      <c r="AA392" s="289">
        <v>0</v>
      </c>
      <c r="AB392" s="290">
        <v>363</v>
      </c>
      <c r="AC392" s="289">
        <v>0</v>
      </c>
      <c r="AD392" s="289">
        <v>0</v>
      </c>
      <c r="AE392" s="289">
        <v>0</v>
      </c>
      <c r="AF392" s="289">
        <v>0</v>
      </c>
      <c r="AG392" s="289">
        <v>20519</v>
      </c>
      <c r="AH392" s="289">
        <v>3360</v>
      </c>
      <c r="AI392" s="289">
        <v>2000</v>
      </c>
      <c r="AJ392" s="289">
        <v>0</v>
      </c>
      <c r="AK392" s="289">
        <v>106.3351</v>
      </c>
      <c r="AL392" s="289">
        <v>163732</v>
      </c>
      <c r="AM392" s="622">
        <v>0.42783032999999998</v>
      </c>
      <c r="AN392" s="289">
        <v>0</v>
      </c>
      <c r="AO392" s="289">
        <v>-1013.1522218699999</v>
      </c>
      <c r="AP392" s="289">
        <v>0</v>
      </c>
      <c r="AQ392" s="289">
        <v>0</v>
      </c>
      <c r="AR392" s="289">
        <v>-1466.57903487</v>
      </c>
      <c r="AS392" s="289">
        <v>229.67789999999999</v>
      </c>
      <c r="AT392" s="289">
        <v>1161</v>
      </c>
      <c r="AU392" s="289">
        <v>232</v>
      </c>
      <c r="AV392" s="625">
        <v>675044</v>
      </c>
      <c r="AW392" s="289">
        <v>-10.419499999999999</v>
      </c>
      <c r="AX392" s="625">
        <v>189.04166667000001</v>
      </c>
      <c r="AY392" s="289">
        <v>4690</v>
      </c>
      <c r="AZ392" s="289">
        <v>664</v>
      </c>
      <c r="BA392" s="290">
        <v>678</v>
      </c>
      <c r="BB392" s="289">
        <v>0</v>
      </c>
      <c r="BC392" s="289">
        <v>28474.495999999999</v>
      </c>
      <c r="BD392" s="289">
        <v>445.92970000000003</v>
      </c>
      <c r="BE392" s="289">
        <v>691720.54809265002</v>
      </c>
      <c r="BF392" s="289">
        <v>0</v>
      </c>
      <c r="BG392" s="289">
        <v>11</v>
      </c>
      <c r="BH392" s="289">
        <v>-167.1746</v>
      </c>
      <c r="BI392" s="289">
        <v>29238.348896</v>
      </c>
      <c r="BJ392" s="289">
        <v>-21.0627</v>
      </c>
      <c r="BK392" s="289">
        <v>0</v>
      </c>
      <c r="BL392" s="289">
        <v>0</v>
      </c>
      <c r="BM392" s="289">
        <v>0</v>
      </c>
      <c r="BN392" s="289">
        <v>0</v>
      </c>
      <c r="BO392" s="517">
        <v>0</v>
      </c>
      <c r="BP392" s="517">
        <v>0</v>
      </c>
      <c r="BQ392" s="289">
        <f t="shared" si="12"/>
        <v>-21.062700150600001</v>
      </c>
      <c r="BR392" s="289">
        <v>0</v>
      </c>
      <c r="BS392" s="289">
        <f t="shared" si="13"/>
        <v>0</v>
      </c>
      <c r="BT392" s="289">
        <v>61</v>
      </c>
      <c r="BU392" s="289">
        <v>25486.348896</v>
      </c>
      <c r="BV392" s="289">
        <v>193</v>
      </c>
      <c r="BW392" s="289">
        <v>314.36500000000001</v>
      </c>
      <c r="BX392" s="289">
        <v>428.87299999999999</v>
      </c>
      <c r="CC392" s="517"/>
      <c r="CD392" s="85"/>
      <c r="CE392" s="517"/>
    </row>
    <row r="393" spans="1:83" ht="13">
      <c r="A393" s="1">
        <v>5404</v>
      </c>
      <c r="B393" s="2" t="s">
        <v>241</v>
      </c>
      <c r="C393" s="289">
        <v>2110</v>
      </c>
      <c r="D393" s="289">
        <v>31</v>
      </c>
      <c r="E393" s="289">
        <v>66</v>
      </c>
      <c r="F393" s="289">
        <v>173</v>
      </c>
      <c r="G393" s="289">
        <v>166</v>
      </c>
      <c r="H393" s="289">
        <v>1265</v>
      </c>
      <c r="I393" s="289">
        <v>290</v>
      </c>
      <c r="J393" s="289">
        <v>102</v>
      </c>
      <c r="K393" s="289">
        <v>16</v>
      </c>
      <c r="L393" s="289">
        <v>25</v>
      </c>
      <c r="M393" s="289">
        <v>237</v>
      </c>
      <c r="N393" s="290">
        <v>9</v>
      </c>
      <c r="O393" s="290">
        <v>14</v>
      </c>
      <c r="P393" s="624">
        <v>5164.0110000000004</v>
      </c>
      <c r="Q393" s="624">
        <v>2367.0410000000002</v>
      </c>
      <c r="R393" s="624">
        <v>8</v>
      </c>
      <c r="S393" s="289">
        <v>0</v>
      </c>
      <c r="T393" s="289">
        <v>294</v>
      </c>
      <c r="U393" s="716">
        <v>1.8920736196954493E-4</v>
      </c>
      <c r="V393" s="289">
        <v>807.71539874999996</v>
      </c>
      <c r="W393" s="743">
        <v>1</v>
      </c>
      <c r="X393" s="289">
        <v>1800</v>
      </c>
      <c r="Y393" s="289">
        <v>392</v>
      </c>
      <c r="Z393" s="289">
        <v>46676</v>
      </c>
      <c r="AA393" s="289">
        <v>0</v>
      </c>
      <c r="AB393" s="290">
        <v>30</v>
      </c>
      <c r="AC393" s="289">
        <v>0</v>
      </c>
      <c r="AD393" s="289">
        <v>0</v>
      </c>
      <c r="AE393" s="289">
        <v>0</v>
      </c>
      <c r="AF393" s="289">
        <v>0</v>
      </c>
      <c r="AG393" s="289">
        <v>2109</v>
      </c>
      <c r="AH393" s="289">
        <v>214</v>
      </c>
      <c r="AI393" s="289">
        <v>350</v>
      </c>
      <c r="AJ393" s="289">
        <v>0</v>
      </c>
      <c r="AK393" s="289">
        <v>6.5327999999999999</v>
      </c>
      <c r="AL393" s="289">
        <v>16849</v>
      </c>
      <c r="AM393" s="622">
        <v>0.14429242</v>
      </c>
      <c r="AN393" s="289">
        <v>0</v>
      </c>
      <c r="AO393" s="289">
        <v>-112.34340403</v>
      </c>
      <c r="AP393" s="289">
        <v>0</v>
      </c>
      <c r="AQ393" s="289">
        <v>0</v>
      </c>
      <c r="AR393" s="289">
        <v>1441.2021462600001</v>
      </c>
      <c r="AS393" s="289">
        <v>35.229900000000001</v>
      </c>
      <c r="AT393" s="289">
        <v>106</v>
      </c>
      <c r="AU393" s="289">
        <v>46</v>
      </c>
      <c r="AV393" s="625">
        <v>93917</v>
      </c>
      <c r="AW393" s="289">
        <v>-41.0306</v>
      </c>
      <c r="AX393" s="625">
        <v>10.5</v>
      </c>
      <c r="AY393" s="289">
        <v>316</v>
      </c>
      <c r="AZ393" s="289">
        <v>131</v>
      </c>
      <c r="BA393" s="290">
        <v>60</v>
      </c>
      <c r="BB393" s="289">
        <v>12005</v>
      </c>
      <c r="BC393" s="289">
        <v>643</v>
      </c>
      <c r="BD393" s="289">
        <v>28.401499999999999</v>
      </c>
      <c r="BE393" s="289">
        <v>91817.568146189995</v>
      </c>
      <c r="BF393" s="289">
        <v>0</v>
      </c>
      <c r="BG393" s="289">
        <v>11</v>
      </c>
      <c r="BH393" s="289">
        <v>-17.182700000000001</v>
      </c>
      <c r="BI393" s="289">
        <v>606</v>
      </c>
      <c r="BJ393" s="289">
        <v>-2.1648999999999998</v>
      </c>
      <c r="BK393" s="289">
        <v>0</v>
      </c>
      <c r="BL393" s="289">
        <v>0</v>
      </c>
      <c r="BM393" s="289">
        <v>0</v>
      </c>
      <c r="BN393" s="289">
        <v>0</v>
      </c>
      <c r="BO393" s="517">
        <v>0</v>
      </c>
      <c r="BP393" s="517">
        <v>0</v>
      </c>
      <c r="BQ393" s="289">
        <f t="shared" si="12"/>
        <v>-2.1648830165999997</v>
      </c>
      <c r="BR393" s="289">
        <v>0</v>
      </c>
      <c r="BS393" s="289">
        <f t="shared" si="13"/>
        <v>0</v>
      </c>
      <c r="BT393" s="289">
        <v>4</v>
      </c>
      <c r="BU393" s="289">
        <v>0</v>
      </c>
      <c r="BV393" s="289">
        <v>27</v>
      </c>
      <c r="BW393" s="289">
        <v>104.788</v>
      </c>
      <c r="BX393" s="289">
        <v>43.664000000000001</v>
      </c>
      <c r="CC393" s="517"/>
      <c r="CD393" s="85"/>
      <c r="CE393" s="517"/>
    </row>
    <row r="394" spans="1:83" ht="13">
      <c r="A394" s="1">
        <v>5405</v>
      </c>
      <c r="B394" s="2" t="s">
        <v>242</v>
      </c>
      <c r="C394" s="289">
        <v>6033</v>
      </c>
      <c r="D394" s="289">
        <v>123</v>
      </c>
      <c r="E394" s="289">
        <v>209</v>
      </c>
      <c r="F394" s="289">
        <v>726</v>
      </c>
      <c r="G394" s="289">
        <v>713</v>
      </c>
      <c r="H394" s="289">
        <v>3381</v>
      </c>
      <c r="I394" s="289">
        <v>719</v>
      </c>
      <c r="J394" s="289">
        <v>209</v>
      </c>
      <c r="K394" s="289">
        <v>22</v>
      </c>
      <c r="L394" s="289">
        <v>58</v>
      </c>
      <c r="M394" s="289">
        <v>425</v>
      </c>
      <c r="N394" s="290">
        <v>241</v>
      </c>
      <c r="O394" s="290">
        <v>147</v>
      </c>
      <c r="P394" s="624">
        <v>22286.08233333</v>
      </c>
      <c r="Q394" s="624">
        <v>6553.0813333300002</v>
      </c>
      <c r="R394" s="624">
        <v>19</v>
      </c>
      <c r="S394" s="289">
        <v>0</v>
      </c>
      <c r="T394" s="289">
        <v>574</v>
      </c>
      <c r="U394" s="716">
        <v>8.2706518793901709E-4</v>
      </c>
      <c r="V394" s="289">
        <v>2114.1159274199999</v>
      </c>
      <c r="W394" s="743">
        <v>0.59129054000000003</v>
      </c>
      <c r="X394" s="289">
        <v>640</v>
      </c>
      <c r="Y394" s="289">
        <v>392</v>
      </c>
      <c r="Z394" s="289">
        <v>152909</v>
      </c>
      <c r="AA394" s="289">
        <v>0</v>
      </c>
      <c r="AB394" s="290">
        <v>86</v>
      </c>
      <c r="AC394" s="289">
        <v>0</v>
      </c>
      <c r="AD394" s="289">
        <v>0</v>
      </c>
      <c r="AE394" s="289">
        <v>0</v>
      </c>
      <c r="AF394" s="289">
        <v>0</v>
      </c>
      <c r="AG394" s="289">
        <v>6102</v>
      </c>
      <c r="AH394" s="289">
        <v>917</v>
      </c>
      <c r="AI394" s="289">
        <v>680</v>
      </c>
      <c r="AJ394" s="289">
        <v>0</v>
      </c>
      <c r="AK394" s="289">
        <v>22.305399999999999</v>
      </c>
      <c r="AL394" s="289">
        <v>49281</v>
      </c>
      <c r="AM394" s="622">
        <v>0.34048021000000001</v>
      </c>
      <c r="AN394" s="289">
        <v>0</v>
      </c>
      <c r="AO394" s="289">
        <v>-294.04785418</v>
      </c>
      <c r="AP394" s="289">
        <v>0</v>
      </c>
      <c r="AQ394" s="289">
        <v>0</v>
      </c>
      <c r="AR394" s="289">
        <v>812.17554137000002</v>
      </c>
      <c r="AS394" s="289">
        <v>97.673699999999997</v>
      </c>
      <c r="AT394" s="289">
        <v>321</v>
      </c>
      <c r="AU394" s="289">
        <v>78</v>
      </c>
      <c r="AV394" s="625">
        <v>194472</v>
      </c>
      <c r="AW394" s="289">
        <v>-118.7145</v>
      </c>
      <c r="AX394" s="625">
        <v>46.083333330000002</v>
      </c>
      <c r="AY394" s="289">
        <v>1375</v>
      </c>
      <c r="AZ394" s="289">
        <v>515</v>
      </c>
      <c r="BA394" s="290">
        <v>181</v>
      </c>
      <c r="BB394" s="289">
        <v>0</v>
      </c>
      <c r="BC394" s="289">
        <v>1388</v>
      </c>
      <c r="BD394" s="289">
        <v>121.7016</v>
      </c>
      <c r="BE394" s="289">
        <v>194347.72291827001</v>
      </c>
      <c r="BF394" s="289">
        <v>0</v>
      </c>
      <c r="BG394" s="289">
        <v>11</v>
      </c>
      <c r="BH394" s="289">
        <v>-49.7149</v>
      </c>
      <c r="BI394" s="289">
        <v>1309</v>
      </c>
      <c r="BJ394" s="289">
        <v>-6.2637</v>
      </c>
      <c r="BK394" s="289">
        <v>0</v>
      </c>
      <c r="BL394" s="289">
        <v>0</v>
      </c>
      <c r="BM394" s="289">
        <v>0</v>
      </c>
      <c r="BN394" s="289">
        <v>0</v>
      </c>
      <c r="BO394" s="517">
        <v>0</v>
      </c>
      <c r="BP394" s="517">
        <v>0</v>
      </c>
      <c r="BQ394" s="289">
        <f t="shared" si="12"/>
        <v>-6.2636871348000005</v>
      </c>
      <c r="BR394" s="289">
        <v>0</v>
      </c>
      <c r="BS394" s="289">
        <f t="shared" si="13"/>
        <v>0</v>
      </c>
      <c r="BT394" s="289">
        <v>13</v>
      </c>
      <c r="BU394" s="289">
        <v>0</v>
      </c>
      <c r="BV394" s="289">
        <v>60</v>
      </c>
      <c r="BW394" s="289">
        <v>261.971</v>
      </c>
      <c r="BX394" s="289">
        <v>124.241</v>
      </c>
      <c r="CC394" s="517"/>
      <c r="CD394" s="85"/>
      <c r="CE394" s="517"/>
    </row>
    <row r="395" spans="1:83" ht="13">
      <c r="A395" s="1">
        <v>5411</v>
      </c>
      <c r="B395" s="2" t="s">
        <v>218</v>
      </c>
      <c r="C395" s="289">
        <v>2928</v>
      </c>
      <c r="D395" s="289">
        <v>49</v>
      </c>
      <c r="E395" s="289">
        <v>111</v>
      </c>
      <c r="F395" s="289">
        <v>341</v>
      </c>
      <c r="G395" s="289">
        <v>310</v>
      </c>
      <c r="H395" s="289">
        <v>1607</v>
      </c>
      <c r="I395" s="289">
        <v>420</v>
      </c>
      <c r="J395" s="289">
        <v>122</v>
      </c>
      <c r="K395" s="289">
        <v>27</v>
      </c>
      <c r="L395" s="289">
        <v>26</v>
      </c>
      <c r="M395" s="289">
        <v>274</v>
      </c>
      <c r="N395" s="290">
        <v>90</v>
      </c>
      <c r="O395" s="290">
        <v>39</v>
      </c>
      <c r="P395" s="624">
        <v>25874.374</v>
      </c>
      <c r="Q395" s="624">
        <v>11953.83666667</v>
      </c>
      <c r="R395" s="624">
        <v>30</v>
      </c>
      <c r="S395" s="289">
        <v>0</v>
      </c>
      <c r="T395" s="289">
        <v>235</v>
      </c>
      <c r="U395" s="716">
        <v>1.5778436928107435E-3</v>
      </c>
      <c r="V395" s="289">
        <v>1246.95562993</v>
      </c>
      <c r="W395" s="743">
        <v>0.80024238999999997</v>
      </c>
      <c r="X395" s="289">
        <v>1789</v>
      </c>
      <c r="Y395" s="289">
        <v>392</v>
      </c>
      <c r="Z395" s="289">
        <v>68090</v>
      </c>
      <c r="AA395" s="289">
        <v>0</v>
      </c>
      <c r="AB395" s="290">
        <v>65</v>
      </c>
      <c r="AC395" s="289">
        <v>0</v>
      </c>
      <c r="AD395" s="289">
        <v>0</v>
      </c>
      <c r="AE395" s="289">
        <v>0</v>
      </c>
      <c r="AF395" s="289">
        <v>0</v>
      </c>
      <c r="AG395" s="289">
        <v>2987</v>
      </c>
      <c r="AH395" s="289">
        <v>398</v>
      </c>
      <c r="AI395" s="289">
        <v>0</v>
      </c>
      <c r="AJ395" s="289">
        <v>0</v>
      </c>
      <c r="AK395" s="289">
        <v>11.0206</v>
      </c>
      <c r="AL395" s="289">
        <v>9791</v>
      </c>
      <c r="AM395" s="622">
        <v>0.11984393</v>
      </c>
      <c r="AN395" s="289">
        <v>0</v>
      </c>
      <c r="AO395" s="289">
        <v>-173.43638657</v>
      </c>
      <c r="AP395" s="289">
        <v>0</v>
      </c>
      <c r="AQ395" s="289">
        <v>0</v>
      </c>
      <c r="AR395" s="289">
        <v>-10.50565958</v>
      </c>
      <c r="AS395" s="289">
        <v>42.150500000000001</v>
      </c>
      <c r="AT395" s="289">
        <v>153</v>
      </c>
      <c r="AU395" s="289">
        <v>36</v>
      </c>
      <c r="AV395" s="625">
        <v>118090</v>
      </c>
      <c r="AW395" s="289">
        <v>-58.112099999999998</v>
      </c>
      <c r="AX395" s="625">
        <v>16.416666670000001</v>
      </c>
      <c r="AY395" s="289">
        <v>584</v>
      </c>
      <c r="AZ395" s="289">
        <v>194</v>
      </c>
      <c r="BA395" s="290">
        <v>82</v>
      </c>
      <c r="BB395" s="289">
        <v>5543</v>
      </c>
      <c r="BC395" s="289">
        <v>854</v>
      </c>
      <c r="BD395" s="289">
        <v>52.821399999999997</v>
      </c>
      <c r="BE395" s="289">
        <v>118511.63902708</v>
      </c>
      <c r="BF395" s="289">
        <v>0</v>
      </c>
      <c r="BG395" s="289">
        <v>11</v>
      </c>
      <c r="BH395" s="289">
        <v>-24.335999999999999</v>
      </c>
      <c r="BI395" s="289">
        <v>790</v>
      </c>
      <c r="BJ395" s="289">
        <v>-3.0661</v>
      </c>
      <c r="BK395" s="289">
        <v>0</v>
      </c>
      <c r="BL395" s="289">
        <v>0</v>
      </c>
      <c r="BM395" s="289">
        <v>0</v>
      </c>
      <c r="BN395" s="289">
        <v>0</v>
      </c>
      <c r="BO395" s="517">
        <v>0</v>
      </c>
      <c r="BP395" s="517">
        <v>0</v>
      </c>
      <c r="BQ395" s="289">
        <f t="shared" si="12"/>
        <v>-3.0661477337999998</v>
      </c>
      <c r="BR395" s="289">
        <v>0</v>
      </c>
      <c r="BS395" s="289">
        <f t="shared" si="13"/>
        <v>0</v>
      </c>
      <c r="BT395" s="289">
        <v>6</v>
      </c>
      <c r="BU395" s="289">
        <v>0</v>
      </c>
      <c r="BV395" s="289">
        <v>37</v>
      </c>
      <c r="BW395" s="289">
        <v>172.35</v>
      </c>
      <c r="BX395" s="289">
        <v>60.075000000000003</v>
      </c>
      <c r="CC395" s="517"/>
      <c r="CD395" s="85"/>
      <c r="CE395" s="517"/>
    </row>
    <row r="396" spans="1:83" ht="13">
      <c r="A396" s="1">
        <v>5413</v>
      </c>
      <c r="B396" s="2" t="s">
        <v>221</v>
      </c>
      <c r="C396" s="289">
        <v>1380</v>
      </c>
      <c r="D396" s="289">
        <v>17</v>
      </c>
      <c r="E396" s="289">
        <v>40</v>
      </c>
      <c r="F396" s="289">
        <v>127</v>
      </c>
      <c r="G396" s="289">
        <v>138</v>
      </c>
      <c r="H396" s="289">
        <v>698</v>
      </c>
      <c r="I396" s="289">
        <v>253</v>
      </c>
      <c r="J396" s="289">
        <v>104</v>
      </c>
      <c r="K396" s="289">
        <v>24</v>
      </c>
      <c r="L396" s="289">
        <v>12</v>
      </c>
      <c r="M396" s="289">
        <v>190</v>
      </c>
      <c r="N396" s="290">
        <v>17</v>
      </c>
      <c r="O396" s="290">
        <v>11</v>
      </c>
      <c r="P396" s="624">
        <v>12218.11033333</v>
      </c>
      <c r="Q396" s="624">
        <v>5149.87066667</v>
      </c>
      <c r="R396" s="624">
        <v>10</v>
      </c>
      <c r="S396" s="289">
        <v>0</v>
      </c>
      <c r="T396" s="289">
        <v>129</v>
      </c>
      <c r="U396" s="716">
        <v>1.0476223100782554E-3</v>
      </c>
      <c r="V396" s="289">
        <v>-2089.1828575300001</v>
      </c>
      <c r="W396" s="743">
        <v>1</v>
      </c>
      <c r="X396" s="289">
        <v>1703</v>
      </c>
      <c r="Y396" s="289">
        <v>392</v>
      </c>
      <c r="Z396" s="289">
        <v>38050</v>
      </c>
      <c r="AA396" s="289">
        <v>0</v>
      </c>
      <c r="AB396" s="290">
        <v>22</v>
      </c>
      <c r="AC396" s="289">
        <v>0</v>
      </c>
      <c r="AD396" s="289">
        <v>0</v>
      </c>
      <c r="AE396" s="289">
        <v>0</v>
      </c>
      <c r="AF396" s="289">
        <v>0</v>
      </c>
      <c r="AG396" s="289">
        <v>1401</v>
      </c>
      <c r="AH396" s="289">
        <v>161</v>
      </c>
      <c r="AI396" s="289">
        <v>0</v>
      </c>
      <c r="AJ396" s="289">
        <v>0</v>
      </c>
      <c r="AK396" s="289">
        <v>3.8102999999999998</v>
      </c>
      <c r="AL396" s="289">
        <v>4571</v>
      </c>
      <c r="AM396" s="622">
        <v>2.138083E-2</v>
      </c>
      <c r="AN396" s="289">
        <v>0</v>
      </c>
      <c r="AO396" s="289">
        <v>-91.299653759999998</v>
      </c>
      <c r="AP396" s="289">
        <v>0</v>
      </c>
      <c r="AQ396" s="289">
        <v>0</v>
      </c>
      <c r="AR396" s="289">
        <v>867.80293319999998</v>
      </c>
      <c r="AS396" s="289">
        <v>15.9452</v>
      </c>
      <c r="AT396" s="289">
        <v>68</v>
      </c>
      <c r="AU396" s="289">
        <v>13</v>
      </c>
      <c r="AV396" s="625">
        <v>68107</v>
      </c>
      <c r="AW396" s="289">
        <v>-27.256499999999999</v>
      </c>
      <c r="AX396" s="625">
        <v>3.6666666700000001</v>
      </c>
      <c r="AY396" s="289">
        <v>202</v>
      </c>
      <c r="AZ396" s="289">
        <v>47</v>
      </c>
      <c r="BA396" s="290">
        <v>42</v>
      </c>
      <c r="BB396" s="289">
        <v>5543</v>
      </c>
      <c r="BC396" s="289">
        <v>599</v>
      </c>
      <c r="BD396" s="289">
        <v>21.3675</v>
      </c>
      <c r="BE396" s="289">
        <v>67113.142215669999</v>
      </c>
      <c r="BF396" s="289">
        <v>0</v>
      </c>
      <c r="BG396" s="289">
        <v>11</v>
      </c>
      <c r="BH396" s="289">
        <v>-11.414400000000001</v>
      </c>
      <c r="BI396" s="289">
        <v>553</v>
      </c>
      <c r="BJ396" s="289">
        <v>-1.4380999999999999</v>
      </c>
      <c r="BK396" s="289">
        <v>0</v>
      </c>
      <c r="BL396" s="289">
        <v>0</v>
      </c>
      <c r="BM396" s="289">
        <v>0</v>
      </c>
      <c r="BN396" s="289">
        <v>0</v>
      </c>
      <c r="BO396" s="517">
        <v>0</v>
      </c>
      <c r="BP396" s="517">
        <v>0</v>
      </c>
      <c r="BQ396" s="289">
        <f t="shared" si="12"/>
        <v>-1.4381228574</v>
      </c>
      <c r="BR396" s="289">
        <v>0</v>
      </c>
      <c r="BS396" s="289">
        <f t="shared" si="13"/>
        <v>0</v>
      </c>
      <c r="BT396" s="289">
        <v>2</v>
      </c>
      <c r="BU396" s="289">
        <v>0</v>
      </c>
      <c r="BV396" s="289">
        <v>24</v>
      </c>
      <c r="BW396" s="289">
        <v>164.33099999999999</v>
      </c>
      <c r="BX396" s="289">
        <v>28.791</v>
      </c>
      <c r="CC396" s="517"/>
      <c r="CD396" s="85"/>
      <c r="CE396" s="517"/>
    </row>
    <row r="397" spans="1:83" ht="13">
      <c r="A397" s="1">
        <v>5414</v>
      </c>
      <c r="B397" s="2" t="s">
        <v>222</v>
      </c>
      <c r="C397" s="289">
        <v>1117</v>
      </c>
      <c r="D397" s="289">
        <v>17</v>
      </c>
      <c r="E397" s="289">
        <v>41</v>
      </c>
      <c r="F397" s="289">
        <v>120</v>
      </c>
      <c r="G397" s="289">
        <v>96</v>
      </c>
      <c r="H397" s="289">
        <v>598</v>
      </c>
      <c r="I397" s="289">
        <v>164</v>
      </c>
      <c r="J397" s="289">
        <v>68</v>
      </c>
      <c r="K397" s="289">
        <v>19</v>
      </c>
      <c r="L397" s="289">
        <v>8</v>
      </c>
      <c r="M397" s="289">
        <v>134</v>
      </c>
      <c r="N397" s="290">
        <v>12</v>
      </c>
      <c r="O397" s="290">
        <v>23</v>
      </c>
      <c r="P397" s="624">
        <v>9168.3306666699991</v>
      </c>
      <c r="Q397" s="624">
        <v>4977.2526666699996</v>
      </c>
      <c r="R397" s="624">
        <v>7</v>
      </c>
      <c r="S397" s="289">
        <v>0</v>
      </c>
      <c r="T397" s="289">
        <v>98</v>
      </c>
      <c r="U397" s="716">
        <v>6.7831281748795638E-4</v>
      </c>
      <c r="V397" s="289">
        <v>-4341.8916777300001</v>
      </c>
      <c r="W397" s="743">
        <v>1</v>
      </c>
      <c r="X397" s="289">
        <v>2400</v>
      </c>
      <c r="Y397" s="289">
        <v>392</v>
      </c>
      <c r="Z397" s="289">
        <v>26493</v>
      </c>
      <c r="AA397" s="289">
        <v>0</v>
      </c>
      <c r="AB397" s="290">
        <v>32</v>
      </c>
      <c r="AC397" s="289">
        <v>0</v>
      </c>
      <c r="AD397" s="289">
        <v>0</v>
      </c>
      <c r="AE397" s="289">
        <v>0</v>
      </c>
      <c r="AF397" s="289">
        <v>0</v>
      </c>
      <c r="AG397" s="289">
        <v>1123</v>
      </c>
      <c r="AH397" s="289">
        <v>143</v>
      </c>
      <c r="AI397" s="289">
        <v>0</v>
      </c>
      <c r="AJ397" s="289">
        <v>0</v>
      </c>
      <c r="AK397" s="289">
        <v>4.0050999999999997</v>
      </c>
      <c r="AL397" s="289">
        <v>3676</v>
      </c>
      <c r="AM397" s="622">
        <v>3.129374E-2</v>
      </c>
      <c r="AN397" s="289">
        <v>0</v>
      </c>
      <c r="AO397" s="289">
        <v>-76.318664760000004</v>
      </c>
      <c r="AP397" s="289">
        <v>0</v>
      </c>
      <c r="AQ397" s="289">
        <v>0</v>
      </c>
      <c r="AR397" s="289">
        <v>1032.93431781</v>
      </c>
      <c r="AS397" s="289">
        <v>14.547800000000001</v>
      </c>
      <c r="AT397" s="289">
        <v>55</v>
      </c>
      <c r="AU397" s="289">
        <v>13</v>
      </c>
      <c r="AV397" s="625">
        <v>57640</v>
      </c>
      <c r="AW397" s="289">
        <v>-21.847999999999999</v>
      </c>
      <c r="AX397" s="625">
        <v>6</v>
      </c>
      <c r="AY397" s="289">
        <v>187</v>
      </c>
      <c r="AZ397" s="289">
        <v>55</v>
      </c>
      <c r="BA397" s="290">
        <v>23</v>
      </c>
      <c r="BB397" s="289">
        <v>5543</v>
      </c>
      <c r="BC397" s="289">
        <v>501</v>
      </c>
      <c r="BD397" s="289">
        <v>18.9786</v>
      </c>
      <c r="BE397" s="289">
        <v>56591.255164009999</v>
      </c>
      <c r="BF397" s="289">
        <v>0</v>
      </c>
      <c r="BG397" s="289">
        <v>11</v>
      </c>
      <c r="BH397" s="289">
        <v>-9.1494</v>
      </c>
      <c r="BI397" s="289">
        <v>535</v>
      </c>
      <c r="BJ397" s="289">
        <v>-1.1528</v>
      </c>
      <c r="BK397" s="289">
        <v>0</v>
      </c>
      <c r="BL397" s="289">
        <v>0</v>
      </c>
      <c r="BM397" s="289">
        <v>0</v>
      </c>
      <c r="BN397" s="289">
        <v>0</v>
      </c>
      <c r="BO397" s="517">
        <v>0</v>
      </c>
      <c r="BP397" s="517">
        <v>0</v>
      </c>
      <c r="BQ397" s="289">
        <f t="shared" si="12"/>
        <v>-1.1527565801999999</v>
      </c>
      <c r="BR397" s="289">
        <v>0</v>
      </c>
      <c r="BS397" s="289">
        <f t="shared" si="13"/>
        <v>0</v>
      </c>
      <c r="BT397" s="289">
        <v>2</v>
      </c>
      <c r="BU397" s="289">
        <v>0</v>
      </c>
      <c r="BV397" s="289">
        <v>20</v>
      </c>
      <c r="BW397" s="289">
        <v>162.96899999999999</v>
      </c>
      <c r="BX397" s="289">
        <v>22.85</v>
      </c>
      <c r="CC397" s="517"/>
      <c r="CD397" s="85"/>
      <c r="CE397" s="517"/>
    </row>
    <row r="398" spans="1:83" ht="13">
      <c r="A398" s="1">
        <v>5415</v>
      </c>
      <c r="B398" s="2" t="s">
        <v>223</v>
      </c>
      <c r="C398" s="289">
        <v>1061</v>
      </c>
      <c r="D398" s="289">
        <v>18</v>
      </c>
      <c r="E398" s="289">
        <v>51</v>
      </c>
      <c r="F398" s="289">
        <v>153</v>
      </c>
      <c r="G398" s="289">
        <v>86</v>
      </c>
      <c r="H398" s="289">
        <v>518</v>
      </c>
      <c r="I398" s="289">
        <v>165</v>
      </c>
      <c r="J398" s="289">
        <v>62</v>
      </c>
      <c r="K398" s="289">
        <v>16</v>
      </c>
      <c r="L398" s="289">
        <v>8</v>
      </c>
      <c r="M398" s="289">
        <v>108</v>
      </c>
      <c r="N398" s="290">
        <v>0</v>
      </c>
      <c r="O398" s="290">
        <v>28</v>
      </c>
      <c r="P398" s="624">
        <v>3382.1446666699999</v>
      </c>
      <c r="Q398" s="624">
        <v>4119.30366667</v>
      </c>
      <c r="R398" s="624">
        <v>6</v>
      </c>
      <c r="S398" s="289">
        <v>0</v>
      </c>
      <c r="T398" s="289">
        <v>64</v>
      </c>
      <c r="U398" s="716">
        <v>6.92327756327551E-4</v>
      </c>
      <c r="V398" s="289">
        <v>372.05689035</v>
      </c>
      <c r="W398" s="743">
        <v>0.97675504000000002</v>
      </c>
      <c r="X398" s="289">
        <v>1800</v>
      </c>
      <c r="Y398" s="289">
        <v>392</v>
      </c>
      <c r="Z398" s="289">
        <v>21842</v>
      </c>
      <c r="AA398" s="289">
        <v>0</v>
      </c>
      <c r="AB398" s="290">
        <v>29</v>
      </c>
      <c r="AC398" s="289">
        <v>0</v>
      </c>
      <c r="AD398" s="289">
        <v>0</v>
      </c>
      <c r="AE398" s="289">
        <v>368</v>
      </c>
      <c r="AF398" s="289">
        <v>0</v>
      </c>
      <c r="AG398" s="289">
        <v>1069</v>
      </c>
      <c r="AH398" s="289">
        <v>160</v>
      </c>
      <c r="AI398" s="289">
        <v>2000</v>
      </c>
      <c r="AJ398" s="289">
        <v>0</v>
      </c>
      <c r="AK398" s="289">
        <v>4.5789999999999997</v>
      </c>
      <c r="AL398" s="289">
        <v>3528</v>
      </c>
      <c r="AM398" s="622">
        <v>1.037506E-2</v>
      </c>
      <c r="AN398" s="289">
        <v>0</v>
      </c>
      <c r="AO398" s="289">
        <v>-75.616071919999996</v>
      </c>
      <c r="AP398" s="289">
        <v>0</v>
      </c>
      <c r="AQ398" s="289">
        <v>0</v>
      </c>
      <c r="AR398" s="289">
        <v>-76.405915899999997</v>
      </c>
      <c r="AS398" s="289">
        <v>9.8553999999999995</v>
      </c>
      <c r="AT398" s="289">
        <v>39</v>
      </c>
      <c r="AU398" s="289">
        <v>11</v>
      </c>
      <c r="AV398" s="625">
        <v>61077</v>
      </c>
      <c r="AW398" s="289">
        <v>-0.54279999999999995</v>
      </c>
      <c r="AX398" s="625">
        <v>3</v>
      </c>
      <c r="AY398" s="289">
        <v>177</v>
      </c>
      <c r="AZ398" s="289">
        <v>28</v>
      </c>
      <c r="BA398" s="290">
        <v>38</v>
      </c>
      <c r="BB398" s="289">
        <v>5543</v>
      </c>
      <c r="BC398" s="289">
        <v>523</v>
      </c>
      <c r="BD398" s="289">
        <v>21.2347</v>
      </c>
      <c r="BE398" s="289">
        <v>61647.581454059997</v>
      </c>
      <c r="BF398" s="289">
        <v>0</v>
      </c>
      <c r="BG398" s="289">
        <v>11</v>
      </c>
      <c r="BH398" s="289">
        <v>-8.7095000000000002</v>
      </c>
      <c r="BI398" s="289">
        <v>552</v>
      </c>
      <c r="BJ398" s="289">
        <v>-1.0972999999999999</v>
      </c>
      <c r="BK398" s="289">
        <v>0</v>
      </c>
      <c r="BL398" s="289">
        <v>0</v>
      </c>
      <c r="BM398" s="289">
        <v>0</v>
      </c>
      <c r="BN398" s="289">
        <v>0</v>
      </c>
      <c r="BO398" s="517">
        <v>0</v>
      </c>
      <c r="BP398" s="517">
        <v>0</v>
      </c>
      <c r="BQ398" s="289">
        <f t="shared" si="12"/>
        <v>-1.0973257206</v>
      </c>
      <c r="BR398" s="289">
        <v>0</v>
      </c>
      <c r="BS398" s="289">
        <f t="shared" si="13"/>
        <v>0</v>
      </c>
      <c r="BT398" s="289">
        <v>3</v>
      </c>
      <c r="BU398" s="289">
        <v>0</v>
      </c>
      <c r="BV398" s="289">
        <v>19</v>
      </c>
      <c r="BW398" s="289">
        <v>162.679</v>
      </c>
      <c r="BX398" s="289">
        <v>21.893999999999998</v>
      </c>
      <c r="CC398" s="517"/>
      <c r="CD398" s="85"/>
      <c r="CE398" s="517"/>
    </row>
    <row r="399" spans="1:83" ht="13">
      <c r="A399" s="1">
        <v>5416</v>
      </c>
      <c r="B399" s="2" t="s">
        <v>224</v>
      </c>
      <c r="C399" s="289">
        <v>3979</v>
      </c>
      <c r="D399" s="289">
        <v>88</v>
      </c>
      <c r="E399" s="289">
        <v>186</v>
      </c>
      <c r="F399" s="289">
        <v>482</v>
      </c>
      <c r="G399" s="289">
        <v>382</v>
      </c>
      <c r="H399" s="289">
        <v>2161</v>
      </c>
      <c r="I399" s="289">
        <v>506</v>
      </c>
      <c r="J399" s="289">
        <v>138</v>
      </c>
      <c r="K399" s="289">
        <v>35</v>
      </c>
      <c r="L399" s="289">
        <v>32</v>
      </c>
      <c r="M399" s="289">
        <v>296</v>
      </c>
      <c r="N399" s="290">
        <v>55</v>
      </c>
      <c r="O399" s="290">
        <v>29</v>
      </c>
      <c r="P399" s="624">
        <v>23643.91366667</v>
      </c>
      <c r="Q399" s="624">
        <v>11673.876666669999</v>
      </c>
      <c r="R399" s="624">
        <v>15</v>
      </c>
      <c r="S399" s="289">
        <v>0</v>
      </c>
      <c r="T399" s="289">
        <v>282</v>
      </c>
      <c r="U399" s="716">
        <v>1.6176138884822049E-3</v>
      </c>
      <c r="V399" s="289">
        <v>1459.7198292600001</v>
      </c>
      <c r="W399" s="743">
        <v>0.78785139999999998</v>
      </c>
      <c r="X399" s="289">
        <v>1777</v>
      </c>
      <c r="Y399" s="289">
        <v>392</v>
      </c>
      <c r="Z399" s="289">
        <v>120113</v>
      </c>
      <c r="AA399" s="289">
        <v>0</v>
      </c>
      <c r="AB399" s="290">
        <v>68</v>
      </c>
      <c r="AC399" s="289">
        <v>0</v>
      </c>
      <c r="AD399" s="289">
        <v>0</v>
      </c>
      <c r="AE399" s="289">
        <v>0</v>
      </c>
      <c r="AF399" s="289">
        <v>0</v>
      </c>
      <c r="AG399" s="289">
        <v>3978</v>
      </c>
      <c r="AH399" s="289">
        <v>539</v>
      </c>
      <c r="AI399" s="289">
        <v>250</v>
      </c>
      <c r="AJ399" s="289">
        <v>0</v>
      </c>
      <c r="AK399" s="289">
        <v>17.8065</v>
      </c>
      <c r="AL399" s="289">
        <v>13096</v>
      </c>
      <c r="AM399" s="622">
        <v>3.0710810000000002E-2</v>
      </c>
      <c r="AN399" s="289">
        <v>0</v>
      </c>
      <c r="AO399" s="289">
        <v>-203.02930314</v>
      </c>
      <c r="AP399" s="289">
        <v>0</v>
      </c>
      <c r="AQ399" s="289">
        <v>0</v>
      </c>
      <c r="AR399" s="289">
        <v>221.69910436999999</v>
      </c>
      <c r="AS399" s="289">
        <v>40.719700000000003</v>
      </c>
      <c r="AT399" s="289">
        <v>142</v>
      </c>
      <c r="AU399" s="289">
        <v>23</v>
      </c>
      <c r="AV399" s="625">
        <v>120699</v>
      </c>
      <c r="AW399" s="289">
        <v>-77.392099999999999</v>
      </c>
      <c r="AX399" s="625">
        <v>21.083333329999999</v>
      </c>
      <c r="AY399" s="289">
        <v>861</v>
      </c>
      <c r="AZ399" s="289">
        <v>150</v>
      </c>
      <c r="BA399" s="290">
        <v>62</v>
      </c>
      <c r="BB399" s="289">
        <v>0</v>
      </c>
      <c r="BC399" s="289">
        <v>1127</v>
      </c>
      <c r="BD399" s="289">
        <v>71.534599999999998</v>
      </c>
      <c r="BE399" s="289">
        <v>120840.61122481</v>
      </c>
      <c r="BF399" s="289">
        <v>0</v>
      </c>
      <c r="BG399" s="289">
        <v>11</v>
      </c>
      <c r="BH399" s="289">
        <v>-32.409999999999997</v>
      </c>
      <c r="BI399" s="289">
        <v>931</v>
      </c>
      <c r="BJ399" s="289">
        <v>-4.0834000000000001</v>
      </c>
      <c r="BK399" s="289">
        <v>0</v>
      </c>
      <c r="BL399" s="289">
        <v>0</v>
      </c>
      <c r="BM399" s="289">
        <v>0</v>
      </c>
      <c r="BN399" s="289">
        <v>0</v>
      </c>
      <c r="BO399" s="517">
        <v>0</v>
      </c>
      <c r="BP399" s="517">
        <v>0</v>
      </c>
      <c r="BQ399" s="289">
        <f t="shared" si="12"/>
        <v>-4.0834066572000003</v>
      </c>
      <c r="BR399" s="289">
        <v>0</v>
      </c>
      <c r="BS399" s="289">
        <f t="shared" si="13"/>
        <v>0</v>
      </c>
      <c r="BT399" s="289">
        <v>10</v>
      </c>
      <c r="BU399" s="289">
        <v>0</v>
      </c>
      <c r="BV399" s="289">
        <v>45</v>
      </c>
      <c r="BW399" s="289">
        <v>177.79400000000001</v>
      </c>
      <c r="BX399" s="289">
        <v>82.738</v>
      </c>
      <c r="CC399" s="517"/>
      <c r="CD399" s="85"/>
      <c r="CE399" s="517"/>
    </row>
    <row r="400" spans="1:83" ht="13">
      <c r="A400" s="1">
        <v>5417</v>
      </c>
      <c r="B400" s="2" t="s">
        <v>225</v>
      </c>
      <c r="C400" s="289">
        <v>2226</v>
      </c>
      <c r="D400" s="289">
        <v>34</v>
      </c>
      <c r="E400" s="289">
        <v>73</v>
      </c>
      <c r="F400" s="289">
        <v>245</v>
      </c>
      <c r="G400" s="289">
        <v>288</v>
      </c>
      <c r="H400" s="289">
        <v>1169</v>
      </c>
      <c r="I400" s="289">
        <v>335</v>
      </c>
      <c r="J400" s="289">
        <v>81</v>
      </c>
      <c r="K400" s="289">
        <v>15</v>
      </c>
      <c r="L400" s="289">
        <v>21</v>
      </c>
      <c r="M400" s="289">
        <v>219</v>
      </c>
      <c r="N400" s="290">
        <v>37</v>
      </c>
      <c r="O400" s="290">
        <v>37</v>
      </c>
      <c r="P400" s="624">
        <v>10804.88733333</v>
      </c>
      <c r="Q400" s="624">
        <v>6402.5903333300002</v>
      </c>
      <c r="R400" s="624">
        <v>10</v>
      </c>
      <c r="S400" s="289">
        <v>0</v>
      </c>
      <c r="T400" s="289">
        <v>211</v>
      </c>
      <c r="U400" s="716">
        <v>9.4697032150258269E-4</v>
      </c>
      <c r="V400" s="289">
        <v>875.70366951000005</v>
      </c>
      <c r="W400" s="743">
        <v>0.88411675999999995</v>
      </c>
      <c r="X400" s="289">
        <v>1921</v>
      </c>
      <c r="Y400" s="289">
        <v>392</v>
      </c>
      <c r="Z400" s="289">
        <v>52604</v>
      </c>
      <c r="AA400" s="289">
        <v>0</v>
      </c>
      <c r="AB400" s="290">
        <v>57</v>
      </c>
      <c r="AC400" s="289">
        <v>0</v>
      </c>
      <c r="AD400" s="289">
        <v>0</v>
      </c>
      <c r="AE400" s="289">
        <v>0</v>
      </c>
      <c r="AF400" s="289">
        <v>0</v>
      </c>
      <c r="AG400" s="289">
        <v>2240</v>
      </c>
      <c r="AH400" s="289">
        <v>318</v>
      </c>
      <c r="AI400" s="289">
        <v>765</v>
      </c>
      <c r="AJ400" s="289">
        <v>0</v>
      </c>
      <c r="AK400" s="289">
        <v>7.7885</v>
      </c>
      <c r="AL400" s="289">
        <v>7279</v>
      </c>
      <c r="AM400" s="622">
        <v>5.4404670000000002E-2</v>
      </c>
      <c r="AN400" s="289">
        <v>0</v>
      </c>
      <c r="AO400" s="289">
        <v>-121.79974692</v>
      </c>
      <c r="AP400" s="289">
        <v>0</v>
      </c>
      <c r="AQ400" s="289">
        <v>0</v>
      </c>
      <c r="AR400" s="289">
        <v>-160.10219982000001</v>
      </c>
      <c r="AS400" s="289">
        <v>30.175000000000001</v>
      </c>
      <c r="AT400" s="289">
        <v>98</v>
      </c>
      <c r="AU400" s="289">
        <v>18</v>
      </c>
      <c r="AV400" s="625">
        <v>81521</v>
      </c>
      <c r="AW400" s="289">
        <v>-1.1375</v>
      </c>
      <c r="AX400" s="625">
        <v>17.416666670000001</v>
      </c>
      <c r="AY400" s="289">
        <v>440</v>
      </c>
      <c r="AZ400" s="289">
        <v>152</v>
      </c>
      <c r="BA400" s="290">
        <v>62</v>
      </c>
      <c r="BB400" s="289">
        <v>5543</v>
      </c>
      <c r="BC400" s="289">
        <v>683</v>
      </c>
      <c r="BD400" s="289">
        <v>42.204099999999997</v>
      </c>
      <c r="BE400" s="289">
        <v>82337.984823770006</v>
      </c>
      <c r="BF400" s="289">
        <v>0</v>
      </c>
      <c r="BG400" s="289">
        <v>11</v>
      </c>
      <c r="BH400" s="289">
        <v>-18.25</v>
      </c>
      <c r="BI400" s="289">
        <v>710</v>
      </c>
      <c r="BJ400" s="289">
        <v>-2.2993999999999999</v>
      </c>
      <c r="BK400" s="289">
        <v>0</v>
      </c>
      <c r="BL400" s="289">
        <v>0</v>
      </c>
      <c r="BM400" s="289">
        <v>0</v>
      </c>
      <c r="BN400" s="289">
        <v>0</v>
      </c>
      <c r="BO400" s="517">
        <v>0</v>
      </c>
      <c r="BP400" s="517">
        <v>0</v>
      </c>
      <c r="BQ400" s="289">
        <f t="shared" si="12"/>
        <v>-2.299354176</v>
      </c>
      <c r="BR400" s="289">
        <v>0</v>
      </c>
      <c r="BS400" s="289">
        <f t="shared" si="13"/>
        <v>0</v>
      </c>
      <c r="BT400" s="289">
        <v>4</v>
      </c>
      <c r="BU400" s="289">
        <v>0</v>
      </c>
      <c r="BV400" s="289">
        <v>29</v>
      </c>
      <c r="BW400" s="289">
        <v>168.71299999999999</v>
      </c>
      <c r="BX400" s="289">
        <v>46.198</v>
      </c>
      <c r="CC400" s="517"/>
      <c r="CD400" s="85"/>
      <c r="CE400" s="517"/>
    </row>
    <row r="401" spans="1:83" ht="13">
      <c r="A401" s="1">
        <v>5418</v>
      </c>
      <c r="B401" s="2" t="s">
        <v>226</v>
      </c>
      <c r="C401" s="289">
        <v>6798</v>
      </c>
      <c r="D401" s="289">
        <v>148</v>
      </c>
      <c r="E401" s="289">
        <v>285</v>
      </c>
      <c r="F401" s="289">
        <v>760</v>
      </c>
      <c r="G401" s="289">
        <v>665</v>
      </c>
      <c r="H401" s="289">
        <v>3787</v>
      </c>
      <c r="I401" s="289">
        <v>796</v>
      </c>
      <c r="J401" s="289">
        <v>275</v>
      </c>
      <c r="K401" s="289">
        <v>70</v>
      </c>
      <c r="L401" s="289">
        <v>52</v>
      </c>
      <c r="M401" s="289">
        <v>501</v>
      </c>
      <c r="N401" s="290">
        <v>26</v>
      </c>
      <c r="O401" s="290">
        <v>40</v>
      </c>
      <c r="P401" s="624">
        <v>82912.364333329999</v>
      </c>
      <c r="Q401" s="624">
        <v>32705.14766667</v>
      </c>
      <c r="R401" s="624">
        <v>31</v>
      </c>
      <c r="S401" s="289">
        <v>0</v>
      </c>
      <c r="T401" s="289">
        <v>473</v>
      </c>
      <c r="U401" s="716">
        <v>2.8519720870863806E-3</v>
      </c>
      <c r="V401" s="289">
        <v>-169.37693077</v>
      </c>
      <c r="W401" s="743">
        <v>0.82121763999999997</v>
      </c>
      <c r="X401" s="289">
        <v>1887</v>
      </c>
      <c r="Y401" s="289">
        <v>392</v>
      </c>
      <c r="Z401" s="289">
        <v>184693</v>
      </c>
      <c r="AA401" s="289">
        <v>0</v>
      </c>
      <c r="AB401" s="290">
        <v>140</v>
      </c>
      <c r="AC401" s="289">
        <v>0</v>
      </c>
      <c r="AD401" s="289">
        <v>0</v>
      </c>
      <c r="AE401" s="289">
        <v>0</v>
      </c>
      <c r="AF401" s="289">
        <v>0</v>
      </c>
      <c r="AG401" s="289">
        <v>6786</v>
      </c>
      <c r="AH401" s="289">
        <v>943</v>
      </c>
      <c r="AI401" s="289">
        <v>2340</v>
      </c>
      <c r="AJ401" s="289">
        <v>0</v>
      </c>
      <c r="AK401" s="289">
        <v>28.9938</v>
      </c>
      <c r="AL401" s="289">
        <v>22235</v>
      </c>
      <c r="AM401" s="622">
        <v>5.269099E-2</v>
      </c>
      <c r="AN401" s="289">
        <v>0</v>
      </c>
      <c r="AO401" s="289">
        <v>-346.38760817999997</v>
      </c>
      <c r="AP401" s="289">
        <v>0</v>
      </c>
      <c r="AQ401" s="289">
        <v>0</v>
      </c>
      <c r="AR401" s="289">
        <v>-485.02389642000003</v>
      </c>
      <c r="AS401" s="289">
        <v>66.732699999999994</v>
      </c>
      <c r="AT401" s="289">
        <v>295</v>
      </c>
      <c r="AU401" s="289">
        <v>43</v>
      </c>
      <c r="AV401" s="625">
        <v>193439</v>
      </c>
      <c r="AW401" s="289">
        <v>-3.4459</v>
      </c>
      <c r="AX401" s="625">
        <v>56.75</v>
      </c>
      <c r="AY401" s="289">
        <v>1392</v>
      </c>
      <c r="AZ401" s="289">
        <v>191</v>
      </c>
      <c r="BA401" s="290">
        <v>148</v>
      </c>
      <c r="BB401" s="289">
        <v>0</v>
      </c>
      <c r="BC401" s="289">
        <v>1364</v>
      </c>
      <c r="BD401" s="289">
        <v>125.1523</v>
      </c>
      <c r="BE401" s="289">
        <v>202022.34451624</v>
      </c>
      <c r="BF401" s="289">
        <v>0</v>
      </c>
      <c r="BG401" s="289">
        <v>11</v>
      </c>
      <c r="BH401" s="289">
        <v>-55.287599999999998</v>
      </c>
      <c r="BI401" s="289">
        <v>1335</v>
      </c>
      <c r="BJ401" s="289">
        <v>-6.9657999999999998</v>
      </c>
      <c r="BK401" s="289">
        <v>0</v>
      </c>
      <c r="BL401" s="289">
        <v>0</v>
      </c>
      <c r="BM401" s="289">
        <v>0</v>
      </c>
      <c r="BN401" s="289">
        <v>0</v>
      </c>
      <c r="BO401" s="517">
        <v>0</v>
      </c>
      <c r="BP401" s="517">
        <v>0</v>
      </c>
      <c r="BQ401" s="289">
        <f t="shared" si="12"/>
        <v>-6.9658113564000006</v>
      </c>
      <c r="BR401" s="289">
        <v>0</v>
      </c>
      <c r="BS401" s="289">
        <f t="shared" si="13"/>
        <v>0</v>
      </c>
      <c r="BT401" s="289">
        <v>17</v>
      </c>
      <c r="BU401" s="289">
        <v>0</v>
      </c>
      <c r="BV401" s="289">
        <v>77</v>
      </c>
      <c r="BW401" s="289">
        <v>192.39599999999999</v>
      </c>
      <c r="BX401" s="289">
        <v>140.922</v>
      </c>
      <c r="CC401" s="517"/>
      <c r="CD401" s="85"/>
      <c r="CE401" s="517"/>
    </row>
    <row r="402" spans="1:83" ht="13">
      <c r="A402" s="1">
        <v>5419</v>
      </c>
      <c r="B402" s="2" t="s">
        <v>227</v>
      </c>
      <c r="C402" s="289">
        <v>3494</v>
      </c>
      <c r="D402" s="289">
        <v>60</v>
      </c>
      <c r="E402" s="289">
        <v>153</v>
      </c>
      <c r="F402" s="289">
        <v>426</v>
      </c>
      <c r="G402" s="289">
        <v>363</v>
      </c>
      <c r="H402" s="289">
        <v>1931</v>
      </c>
      <c r="I402" s="289">
        <v>428</v>
      </c>
      <c r="J402" s="289">
        <v>120</v>
      </c>
      <c r="K402" s="289">
        <v>33</v>
      </c>
      <c r="L402" s="289">
        <v>28</v>
      </c>
      <c r="M402" s="289">
        <v>258</v>
      </c>
      <c r="N402" s="290">
        <v>19</v>
      </c>
      <c r="O402" s="290">
        <v>34</v>
      </c>
      <c r="P402" s="624">
        <v>14163.71066667</v>
      </c>
      <c r="Q402" s="624">
        <v>10197.620999999999</v>
      </c>
      <c r="R402" s="624">
        <v>10</v>
      </c>
      <c r="S402" s="289">
        <v>0</v>
      </c>
      <c r="T402" s="289">
        <v>273</v>
      </c>
      <c r="U402" s="716">
        <v>1.0096867319164995E-3</v>
      </c>
      <c r="V402" s="289">
        <v>1175.1297930000001</v>
      </c>
      <c r="W402" s="743">
        <v>0.70892242000000005</v>
      </c>
      <c r="X402" s="289">
        <v>1313</v>
      </c>
      <c r="Y402" s="289">
        <v>392</v>
      </c>
      <c r="Z402" s="289">
        <v>86393</v>
      </c>
      <c r="AA402" s="289">
        <v>0</v>
      </c>
      <c r="AB402" s="290">
        <v>71</v>
      </c>
      <c r="AC402" s="289">
        <v>0</v>
      </c>
      <c r="AD402" s="289">
        <v>0</v>
      </c>
      <c r="AE402" s="289">
        <v>0</v>
      </c>
      <c r="AF402" s="289">
        <v>0</v>
      </c>
      <c r="AG402" s="289">
        <v>3514</v>
      </c>
      <c r="AH402" s="289">
        <v>514</v>
      </c>
      <c r="AI402" s="289">
        <v>0</v>
      </c>
      <c r="AJ402" s="289">
        <v>0</v>
      </c>
      <c r="AK402" s="289">
        <v>14.5543</v>
      </c>
      <c r="AL402" s="289">
        <v>11463</v>
      </c>
      <c r="AM402" s="622">
        <v>3.280375E-2</v>
      </c>
      <c r="AN402" s="289">
        <v>0</v>
      </c>
      <c r="AO402" s="289">
        <v>-175.38002295999999</v>
      </c>
      <c r="AP402" s="289">
        <v>0</v>
      </c>
      <c r="AQ402" s="289">
        <v>0</v>
      </c>
      <c r="AR402" s="289">
        <v>5642.8332312599996</v>
      </c>
      <c r="AS402" s="289">
        <v>36.660800000000002</v>
      </c>
      <c r="AT402" s="289">
        <v>176</v>
      </c>
      <c r="AU402" s="289">
        <v>34</v>
      </c>
      <c r="AV402" s="625">
        <v>107676</v>
      </c>
      <c r="AW402" s="289">
        <v>-68.364900000000006</v>
      </c>
      <c r="AX402" s="625">
        <v>18.25</v>
      </c>
      <c r="AY402" s="289">
        <v>638</v>
      </c>
      <c r="AZ402" s="289">
        <v>67</v>
      </c>
      <c r="BA402" s="290">
        <v>100</v>
      </c>
      <c r="BB402" s="289">
        <v>0</v>
      </c>
      <c r="BC402" s="289">
        <v>1043</v>
      </c>
      <c r="BD402" s="289">
        <v>68.2166</v>
      </c>
      <c r="BE402" s="289">
        <v>102273.07670755</v>
      </c>
      <c r="BF402" s="289">
        <v>0</v>
      </c>
      <c r="BG402" s="289">
        <v>11</v>
      </c>
      <c r="BH402" s="289">
        <v>-28.6296</v>
      </c>
      <c r="BI402" s="289">
        <v>906</v>
      </c>
      <c r="BJ402" s="289">
        <v>-3.6071</v>
      </c>
      <c r="BK402" s="289">
        <v>0</v>
      </c>
      <c r="BL402" s="289">
        <v>0</v>
      </c>
      <c r="BM402" s="289">
        <v>0</v>
      </c>
      <c r="BN402" s="289">
        <v>0</v>
      </c>
      <c r="BO402" s="517">
        <v>0</v>
      </c>
      <c r="BP402" s="517">
        <v>0</v>
      </c>
      <c r="BQ402" s="289">
        <f t="shared" si="12"/>
        <v>-3.6071118636000001</v>
      </c>
      <c r="BR402" s="289">
        <v>0</v>
      </c>
      <c r="BS402" s="289">
        <f t="shared" si="13"/>
        <v>0</v>
      </c>
      <c r="BT402" s="289">
        <v>8</v>
      </c>
      <c r="BU402" s="289">
        <v>0</v>
      </c>
      <c r="BV402" s="289">
        <v>39</v>
      </c>
      <c r="BW402" s="289">
        <v>0</v>
      </c>
      <c r="BX402" s="289">
        <v>72.620999999999995</v>
      </c>
      <c r="CC402" s="517"/>
      <c r="CD402" s="85"/>
      <c r="CE402" s="517"/>
    </row>
    <row r="403" spans="1:83" ht="13">
      <c r="A403" s="1">
        <v>5420</v>
      </c>
      <c r="B403" s="2" t="s">
        <v>228</v>
      </c>
      <c r="C403" s="289">
        <v>1165</v>
      </c>
      <c r="D403" s="289">
        <v>15</v>
      </c>
      <c r="E403" s="289">
        <v>34</v>
      </c>
      <c r="F403" s="289">
        <v>117</v>
      </c>
      <c r="G403" s="289">
        <v>100</v>
      </c>
      <c r="H403" s="289">
        <v>614</v>
      </c>
      <c r="I403" s="289">
        <v>182</v>
      </c>
      <c r="J403" s="289">
        <v>64</v>
      </c>
      <c r="K403" s="289">
        <v>17</v>
      </c>
      <c r="L403" s="289">
        <v>12</v>
      </c>
      <c r="M403" s="289">
        <v>149</v>
      </c>
      <c r="N403" s="290">
        <v>1.5</v>
      </c>
      <c r="O403" s="290">
        <v>5</v>
      </c>
      <c r="P403" s="624">
        <v>6008.2809999999999</v>
      </c>
      <c r="Q403" s="624">
        <v>6813.5776666700003</v>
      </c>
      <c r="R403" s="624">
        <v>11</v>
      </c>
      <c r="S403" s="289">
        <v>0</v>
      </c>
      <c r="T403" s="289">
        <v>129</v>
      </c>
      <c r="U403" s="716">
        <v>8.7967812850054164E-4</v>
      </c>
      <c r="V403" s="289">
        <v>562.04376517000003</v>
      </c>
      <c r="W403" s="743">
        <v>0.98206267999999997</v>
      </c>
      <c r="X403" s="289">
        <v>3275</v>
      </c>
      <c r="Y403" s="289">
        <v>392</v>
      </c>
      <c r="Z403" s="289">
        <v>25457</v>
      </c>
      <c r="AA403" s="289">
        <v>0</v>
      </c>
      <c r="AB403" s="290">
        <v>39</v>
      </c>
      <c r="AC403" s="289">
        <v>0</v>
      </c>
      <c r="AD403" s="289">
        <v>0</v>
      </c>
      <c r="AE403" s="289">
        <v>0</v>
      </c>
      <c r="AF403" s="289">
        <v>0</v>
      </c>
      <c r="AG403" s="289">
        <v>1143</v>
      </c>
      <c r="AH403" s="289">
        <v>132</v>
      </c>
      <c r="AI403" s="289">
        <v>0</v>
      </c>
      <c r="AJ403" s="289">
        <v>0</v>
      </c>
      <c r="AK403" s="289">
        <v>3.4994000000000001</v>
      </c>
      <c r="AL403" s="289">
        <v>3732</v>
      </c>
      <c r="AM403" s="622">
        <v>1.5740009999999999E-2</v>
      </c>
      <c r="AN403" s="289">
        <v>0</v>
      </c>
      <c r="AO403" s="289">
        <v>-78.173462939999993</v>
      </c>
      <c r="AP403" s="289">
        <v>0</v>
      </c>
      <c r="AQ403" s="289">
        <v>0</v>
      </c>
      <c r="AR403" s="289">
        <v>-81.695006430000007</v>
      </c>
      <c r="AS403" s="289">
        <v>15.378399999999999</v>
      </c>
      <c r="AT403" s="289">
        <v>56</v>
      </c>
      <c r="AU403" s="289">
        <v>14</v>
      </c>
      <c r="AV403" s="625">
        <v>63582</v>
      </c>
      <c r="AW403" s="289">
        <v>-0.58040000000000003</v>
      </c>
      <c r="AX403" s="625">
        <v>6.6666666699999997</v>
      </c>
      <c r="AY403" s="289">
        <v>188</v>
      </c>
      <c r="AZ403" s="289">
        <v>26</v>
      </c>
      <c r="BA403" s="290">
        <v>25</v>
      </c>
      <c r="BB403" s="289">
        <v>5543</v>
      </c>
      <c r="BC403" s="289">
        <v>503</v>
      </c>
      <c r="BD403" s="289">
        <v>17.518699999999999</v>
      </c>
      <c r="BE403" s="289">
        <v>63793.50879123</v>
      </c>
      <c r="BF403" s="289">
        <v>0</v>
      </c>
      <c r="BG403" s="289">
        <v>11</v>
      </c>
      <c r="BH403" s="289">
        <v>-9.3124000000000002</v>
      </c>
      <c r="BI403" s="289">
        <v>524</v>
      </c>
      <c r="BJ403" s="289">
        <v>-1.1733</v>
      </c>
      <c r="BK403" s="289">
        <v>0</v>
      </c>
      <c r="BL403" s="289">
        <v>0</v>
      </c>
      <c r="BM403" s="289">
        <v>0</v>
      </c>
      <c r="BN403" s="289">
        <v>0</v>
      </c>
      <c r="BO403" s="517">
        <v>0</v>
      </c>
      <c r="BP403" s="517">
        <v>0</v>
      </c>
      <c r="BQ403" s="289">
        <f t="shared" si="12"/>
        <v>-1.1732865282</v>
      </c>
      <c r="BR403" s="289">
        <v>0</v>
      </c>
      <c r="BS403" s="289">
        <f t="shared" si="13"/>
        <v>0</v>
      </c>
      <c r="BT403" s="289">
        <v>2</v>
      </c>
      <c r="BU403" s="289">
        <v>0</v>
      </c>
      <c r="BV403" s="289">
        <v>20</v>
      </c>
      <c r="BW403" s="289">
        <v>0</v>
      </c>
      <c r="BX403" s="289">
        <v>23.972000000000001</v>
      </c>
      <c r="CC403" s="517"/>
      <c r="CD403" s="85"/>
      <c r="CE403" s="517"/>
    </row>
    <row r="404" spans="1:83" ht="13">
      <c r="A404" s="1">
        <v>5422</v>
      </c>
      <c r="B404" s="2" t="s">
        <v>233</v>
      </c>
      <c r="C404" s="289">
        <v>5653</v>
      </c>
      <c r="D404" s="289">
        <v>99</v>
      </c>
      <c r="E404" s="289">
        <v>191</v>
      </c>
      <c r="F404" s="289">
        <v>624</v>
      </c>
      <c r="G404" s="289">
        <v>520</v>
      </c>
      <c r="H404" s="289">
        <v>3039</v>
      </c>
      <c r="I404" s="289">
        <v>849</v>
      </c>
      <c r="J404" s="289">
        <v>305</v>
      </c>
      <c r="K404" s="289">
        <v>59</v>
      </c>
      <c r="L404" s="289">
        <v>47</v>
      </c>
      <c r="M404" s="289">
        <v>619</v>
      </c>
      <c r="N404" s="290">
        <v>1.5</v>
      </c>
      <c r="O404" s="290">
        <v>30</v>
      </c>
      <c r="P404" s="624">
        <v>95867.768333329994</v>
      </c>
      <c r="Q404" s="624">
        <v>29004.778333329999</v>
      </c>
      <c r="R404" s="624">
        <v>33</v>
      </c>
      <c r="S404" s="289">
        <v>0</v>
      </c>
      <c r="T404" s="289">
        <v>473</v>
      </c>
      <c r="U404" s="716">
        <v>4.3347811892912383E-3</v>
      </c>
      <c r="V404" s="289">
        <v>369.13454892999999</v>
      </c>
      <c r="W404" s="743">
        <v>0.93266729000000004</v>
      </c>
      <c r="X404" s="289">
        <v>1686</v>
      </c>
      <c r="Y404" s="289">
        <v>0</v>
      </c>
      <c r="Z404" s="289">
        <v>123856</v>
      </c>
      <c r="AA404" s="289">
        <v>0</v>
      </c>
      <c r="AB404" s="290">
        <v>133</v>
      </c>
      <c r="AC404" s="289">
        <v>0</v>
      </c>
      <c r="AD404" s="289">
        <v>0</v>
      </c>
      <c r="AE404" s="289">
        <v>0</v>
      </c>
      <c r="AF404" s="289">
        <v>0</v>
      </c>
      <c r="AG404" s="289">
        <v>5686</v>
      </c>
      <c r="AH404" s="289">
        <v>746</v>
      </c>
      <c r="AI404" s="289">
        <v>0</v>
      </c>
      <c r="AJ404" s="289">
        <v>0</v>
      </c>
      <c r="AK404" s="289">
        <v>19.614599999999999</v>
      </c>
      <c r="AL404" s="289">
        <v>18641</v>
      </c>
      <c r="AM404" s="622">
        <v>9.8129830000000001E-2</v>
      </c>
      <c r="AN404" s="289">
        <v>0</v>
      </c>
      <c r="AO404" s="289">
        <v>-313.88437263999998</v>
      </c>
      <c r="AP404" s="289">
        <v>0</v>
      </c>
      <c r="AQ404" s="289">
        <v>0</v>
      </c>
      <c r="AR404" s="289">
        <v>-406.40228043000002</v>
      </c>
      <c r="AS404" s="289">
        <v>62.256300000000003</v>
      </c>
      <c r="AT404" s="289">
        <v>260</v>
      </c>
      <c r="AU404" s="289">
        <v>57</v>
      </c>
      <c r="AV404" s="625">
        <v>190252</v>
      </c>
      <c r="AW404" s="289">
        <v>-2.8873000000000002</v>
      </c>
      <c r="AX404" s="625">
        <v>47.291666669999998</v>
      </c>
      <c r="AY404" s="289">
        <v>744</v>
      </c>
      <c r="AZ404" s="289">
        <v>214</v>
      </c>
      <c r="BA404" s="290">
        <v>127</v>
      </c>
      <c r="BB404" s="289">
        <v>0</v>
      </c>
      <c r="BC404" s="289">
        <v>837</v>
      </c>
      <c r="BD404" s="289">
        <v>99.007000000000005</v>
      </c>
      <c r="BE404" s="289">
        <v>193841.24387631001</v>
      </c>
      <c r="BF404" s="289">
        <v>0</v>
      </c>
      <c r="BG404" s="289">
        <v>0</v>
      </c>
      <c r="BH404" s="289">
        <v>-46.325600000000001</v>
      </c>
      <c r="BI404" s="289">
        <v>746</v>
      </c>
      <c r="BJ404" s="289">
        <v>-5.8367000000000004</v>
      </c>
      <c r="BK404" s="289">
        <v>0</v>
      </c>
      <c r="BL404" s="289">
        <v>0</v>
      </c>
      <c r="BM404" s="289">
        <v>0</v>
      </c>
      <c r="BN404" s="289">
        <v>0</v>
      </c>
      <c r="BO404" s="517">
        <v>0</v>
      </c>
      <c r="BP404" s="517">
        <v>0</v>
      </c>
      <c r="BQ404" s="289">
        <f t="shared" si="12"/>
        <v>-5.8366642164000009</v>
      </c>
      <c r="BR404" s="289">
        <v>0</v>
      </c>
      <c r="BS404" s="289">
        <f t="shared" si="13"/>
        <v>0</v>
      </c>
      <c r="BT404" s="289">
        <v>11</v>
      </c>
      <c r="BU404" s="289">
        <v>0</v>
      </c>
      <c r="BV404" s="289">
        <v>71</v>
      </c>
      <c r="BW404" s="289">
        <v>186.465</v>
      </c>
      <c r="BX404" s="289">
        <v>116.76300000000001</v>
      </c>
      <c r="CC404" s="517"/>
      <c r="CD404" s="85"/>
      <c r="CE404" s="517"/>
    </row>
    <row r="405" spans="1:83" ht="13">
      <c r="A405" s="1">
        <v>5423</v>
      </c>
      <c r="B405" s="2" t="s">
        <v>234</v>
      </c>
      <c r="C405" s="289">
        <v>2263</v>
      </c>
      <c r="D405" s="289">
        <v>34</v>
      </c>
      <c r="E405" s="289">
        <v>76</v>
      </c>
      <c r="F405" s="289">
        <v>180</v>
      </c>
      <c r="G405" s="289">
        <v>187</v>
      </c>
      <c r="H405" s="289">
        <v>1269</v>
      </c>
      <c r="I405" s="289">
        <v>379</v>
      </c>
      <c r="J405" s="289">
        <v>126</v>
      </c>
      <c r="K405" s="289">
        <v>26</v>
      </c>
      <c r="L405" s="289">
        <v>18</v>
      </c>
      <c r="M405" s="289">
        <v>262</v>
      </c>
      <c r="N405" s="290">
        <v>10</v>
      </c>
      <c r="O405" s="290">
        <v>22</v>
      </c>
      <c r="P405" s="624">
        <v>65923.419333330006</v>
      </c>
      <c r="Q405" s="624">
        <v>15666.78933333</v>
      </c>
      <c r="R405" s="624">
        <v>17</v>
      </c>
      <c r="S405" s="289">
        <v>0</v>
      </c>
      <c r="T405" s="289">
        <v>203</v>
      </c>
      <c r="U405" s="716">
        <v>1.1423744434221933E-3</v>
      </c>
      <c r="V405" s="289">
        <v>-1595.48540172</v>
      </c>
      <c r="W405" s="743">
        <v>1</v>
      </c>
      <c r="X405" s="289">
        <v>1483</v>
      </c>
      <c r="Y405" s="289">
        <v>392</v>
      </c>
      <c r="Z405" s="289">
        <v>57505</v>
      </c>
      <c r="AA405" s="289">
        <v>0</v>
      </c>
      <c r="AB405" s="290">
        <v>36</v>
      </c>
      <c r="AC405" s="289">
        <v>0</v>
      </c>
      <c r="AD405" s="289">
        <v>0</v>
      </c>
      <c r="AE405" s="289">
        <v>0</v>
      </c>
      <c r="AF405" s="289">
        <v>0</v>
      </c>
      <c r="AG405" s="289">
        <v>2277</v>
      </c>
      <c r="AH405" s="289">
        <v>233</v>
      </c>
      <c r="AI405" s="289">
        <v>100</v>
      </c>
      <c r="AJ405" s="289">
        <v>0</v>
      </c>
      <c r="AK405" s="289">
        <v>7.3837000000000002</v>
      </c>
      <c r="AL405" s="289">
        <v>8783</v>
      </c>
      <c r="AM405" s="622">
        <v>5.172641E-2</v>
      </c>
      <c r="AN405" s="289">
        <v>0</v>
      </c>
      <c r="AO405" s="289">
        <v>-136.0994987</v>
      </c>
      <c r="AP405" s="289">
        <v>0</v>
      </c>
      <c r="AQ405" s="289">
        <v>0</v>
      </c>
      <c r="AR405" s="289">
        <v>1770.4279455799999</v>
      </c>
      <c r="AS405" s="289">
        <v>25.698799999999999</v>
      </c>
      <c r="AT405" s="289">
        <v>101</v>
      </c>
      <c r="AU405" s="289">
        <v>27</v>
      </c>
      <c r="AV405" s="625">
        <v>102709</v>
      </c>
      <c r="AW405" s="289">
        <v>-44.299100000000003</v>
      </c>
      <c r="AX405" s="625">
        <v>12.66666667</v>
      </c>
      <c r="AY405" s="289">
        <v>282</v>
      </c>
      <c r="AZ405" s="289">
        <v>98</v>
      </c>
      <c r="BA405" s="290">
        <v>42</v>
      </c>
      <c r="BB405" s="289">
        <v>12005</v>
      </c>
      <c r="BC405" s="289">
        <v>697</v>
      </c>
      <c r="BD405" s="289">
        <v>30.923100000000002</v>
      </c>
      <c r="BE405" s="289">
        <v>101034.70768462001</v>
      </c>
      <c r="BF405" s="289">
        <v>0</v>
      </c>
      <c r="BG405" s="289">
        <v>11</v>
      </c>
      <c r="BH405" s="289">
        <v>-18.551400000000001</v>
      </c>
      <c r="BI405" s="289">
        <v>625</v>
      </c>
      <c r="BJ405" s="289">
        <v>-2.3372999999999999</v>
      </c>
      <c r="BK405" s="289">
        <v>0</v>
      </c>
      <c r="BL405" s="289">
        <v>0</v>
      </c>
      <c r="BM405" s="289">
        <v>0</v>
      </c>
      <c r="BN405" s="289">
        <v>0</v>
      </c>
      <c r="BO405" s="517">
        <v>0</v>
      </c>
      <c r="BP405" s="517">
        <v>0</v>
      </c>
      <c r="BQ405" s="289">
        <f t="shared" si="12"/>
        <v>-2.3373345797999998</v>
      </c>
      <c r="BR405" s="289">
        <v>0</v>
      </c>
      <c r="BS405" s="289">
        <f t="shared" si="13"/>
        <v>0</v>
      </c>
      <c r="BT405" s="289">
        <v>4</v>
      </c>
      <c r="BU405" s="289">
        <v>0</v>
      </c>
      <c r="BV405" s="289">
        <v>36</v>
      </c>
      <c r="BW405" s="289">
        <v>168.904</v>
      </c>
      <c r="BX405" s="289">
        <v>46.822000000000003</v>
      </c>
      <c r="CC405" s="517"/>
      <c r="CD405" s="85"/>
      <c r="CE405" s="517"/>
    </row>
    <row r="406" spans="1:83" ht="13">
      <c r="A406" s="1">
        <v>5424</v>
      </c>
      <c r="B406" s="2" t="s">
        <v>235</v>
      </c>
      <c r="C406" s="289">
        <v>2877</v>
      </c>
      <c r="D406" s="289">
        <v>41</v>
      </c>
      <c r="E406" s="289">
        <v>86</v>
      </c>
      <c r="F406" s="289">
        <v>312</v>
      </c>
      <c r="G406" s="289">
        <v>270</v>
      </c>
      <c r="H406" s="289">
        <v>1479</v>
      </c>
      <c r="I406" s="289">
        <v>481</v>
      </c>
      <c r="J406" s="289">
        <v>169</v>
      </c>
      <c r="K406" s="289">
        <v>33</v>
      </c>
      <c r="L406" s="289">
        <v>24</v>
      </c>
      <c r="M406" s="289">
        <v>309</v>
      </c>
      <c r="N406" s="290">
        <v>12</v>
      </c>
      <c r="O406" s="290">
        <v>9</v>
      </c>
      <c r="P406" s="624">
        <v>55424.557333329998</v>
      </c>
      <c r="Q406" s="624">
        <v>13930.183000000001</v>
      </c>
      <c r="R406" s="624">
        <v>35</v>
      </c>
      <c r="S406" s="289">
        <v>0</v>
      </c>
      <c r="T406" s="289">
        <v>252</v>
      </c>
      <c r="U406" s="716">
        <v>1.6344644927512992E-3</v>
      </c>
      <c r="V406" s="289">
        <v>1291.1226389799999</v>
      </c>
      <c r="W406" s="743">
        <v>1</v>
      </c>
      <c r="X406" s="289">
        <v>3387</v>
      </c>
      <c r="Y406" s="289">
        <v>392</v>
      </c>
      <c r="Z406" s="289">
        <v>64289</v>
      </c>
      <c r="AA406" s="289">
        <v>0</v>
      </c>
      <c r="AB406" s="290">
        <v>83</v>
      </c>
      <c r="AC406" s="289">
        <v>0</v>
      </c>
      <c r="AD406" s="289">
        <v>0</v>
      </c>
      <c r="AE406" s="289">
        <v>0</v>
      </c>
      <c r="AF406" s="289">
        <v>0</v>
      </c>
      <c r="AG406" s="289">
        <v>2871</v>
      </c>
      <c r="AH406" s="289">
        <v>363</v>
      </c>
      <c r="AI406" s="289">
        <v>0</v>
      </c>
      <c r="AJ406" s="289">
        <v>0</v>
      </c>
      <c r="AK406" s="289">
        <v>8.9322999999999997</v>
      </c>
      <c r="AL406" s="289">
        <v>11113</v>
      </c>
      <c r="AM406" s="622">
        <v>4.1583410000000001E-2</v>
      </c>
      <c r="AN406" s="289">
        <v>0</v>
      </c>
      <c r="AO406" s="289">
        <v>-179.57948121000001</v>
      </c>
      <c r="AP406" s="289">
        <v>0</v>
      </c>
      <c r="AQ406" s="289">
        <v>0</v>
      </c>
      <c r="AR406" s="289">
        <v>-205.20241772</v>
      </c>
      <c r="AS406" s="289">
        <v>33.733800000000002</v>
      </c>
      <c r="AT406" s="289">
        <v>148</v>
      </c>
      <c r="AU406" s="289">
        <v>28</v>
      </c>
      <c r="AV406" s="625">
        <v>136239</v>
      </c>
      <c r="AW406" s="289">
        <v>-1.4579</v>
      </c>
      <c r="AX406" s="625">
        <v>19.166666670000001</v>
      </c>
      <c r="AY406" s="289">
        <v>445</v>
      </c>
      <c r="AZ406" s="289">
        <v>83</v>
      </c>
      <c r="BA406" s="290">
        <v>65</v>
      </c>
      <c r="BB406" s="289">
        <v>12005</v>
      </c>
      <c r="BC406" s="289">
        <v>903</v>
      </c>
      <c r="BD406" s="289">
        <v>48.176299999999998</v>
      </c>
      <c r="BE406" s="289">
        <v>137286.33945197001</v>
      </c>
      <c r="BF406" s="289">
        <v>0</v>
      </c>
      <c r="BG406" s="289">
        <v>11</v>
      </c>
      <c r="BH406" s="289">
        <v>-23.390899999999998</v>
      </c>
      <c r="BI406" s="289">
        <v>755</v>
      </c>
      <c r="BJ406" s="289">
        <v>-2.9470999999999998</v>
      </c>
      <c r="BK406" s="289">
        <v>0</v>
      </c>
      <c r="BL406" s="289">
        <v>0</v>
      </c>
      <c r="BM406" s="289">
        <v>0</v>
      </c>
      <c r="BN406" s="289">
        <v>0</v>
      </c>
      <c r="BO406" s="517">
        <v>0</v>
      </c>
      <c r="BP406" s="517">
        <v>0</v>
      </c>
      <c r="BQ406" s="289">
        <f t="shared" si="12"/>
        <v>-2.9470740354</v>
      </c>
      <c r="BR406" s="289">
        <v>0</v>
      </c>
      <c r="BS406" s="289">
        <f t="shared" si="13"/>
        <v>0</v>
      </c>
      <c r="BT406" s="289">
        <v>5</v>
      </c>
      <c r="BU406" s="289">
        <v>0</v>
      </c>
      <c r="BV406" s="289">
        <v>42</v>
      </c>
      <c r="BW406" s="289">
        <v>172.08500000000001</v>
      </c>
      <c r="BX406" s="289">
        <v>59.887999999999998</v>
      </c>
      <c r="CC406" s="517"/>
      <c r="CD406" s="85"/>
      <c r="CE406" s="517"/>
    </row>
    <row r="407" spans="1:83" ht="13">
      <c r="A407" s="1">
        <v>5425</v>
      </c>
      <c r="B407" s="2" t="s">
        <v>236</v>
      </c>
      <c r="C407" s="289">
        <v>1856</v>
      </c>
      <c r="D407" s="289">
        <v>27</v>
      </c>
      <c r="E407" s="289">
        <v>64</v>
      </c>
      <c r="F407" s="289">
        <v>209</v>
      </c>
      <c r="G407" s="289">
        <v>180</v>
      </c>
      <c r="H407" s="289">
        <v>1021</v>
      </c>
      <c r="I407" s="289">
        <v>284</v>
      </c>
      <c r="J407" s="289">
        <v>66</v>
      </c>
      <c r="K407" s="289">
        <v>16</v>
      </c>
      <c r="L407" s="289">
        <v>19</v>
      </c>
      <c r="M407" s="289">
        <v>168</v>
      </c>
      <c r="N407" s="290">
        <v>1.5</v>
      </c>
      <c r="O407" s="290">
        <v>10</v>
      </c>
      <c r="P407" s="624">
        <v>36358.850666669998</v>
      </c>
      <c r="Q407" s="624">
        <v>10711.455</v>
      </c>
      <c r="R407" s="624">
        <v>16</v>
      </c>
      <c r="S407" s="289">
        <v>0</v>
      </c>
      <c r="T407" s="289">
        <v>164</v>
      </c>
      <c r="U407" s="716">
        <v>9.5825400733811044E-4</v>
      </c>
      <c r="V407" s="289">
        <v>822.37500698999997</v>
      </c>
      <c r="W407" s="743">
        <v>1</v>
      </c>
      <c r="X407" s="289">
        <v>1920</v>
      </c>
      <c r="Y407" s="289">
        <v>392</v>
      </c>
      <c r="Z407" s="289">
        <v>51883</v>
      </c>
      <c r="AA407" s="289">
        <v>0</v>
      </c>
      <c r="AB407" s="290">
        <v>33</v>
      </c>
      <c r="AC407" s="289">
        <v>0</v>
      </c>
      <c r="AD407" s="289">
        <v>0</v>
      </c>
      <c r="AE407" s="289">
        <v>0</v>
      </c>
      <c r="AF407" s="289">
        <v>0</v>
      </c>
      <c r="AG407" s="289">
        <v>1867</v>
      </c>
      <c r="AH407" s="289">
        <v>245</v>
      </c>
      <c r="AI407" s="289">
        <v>0</v>
      </c>
      <c r="AJ407" s="289">
        <v>0</v>
      </c>
      <c r="AK407" s="289">
        <v>6.1455000000000002</v>
      </c>
      <c r="AL407" s="289">
        <v>7303</v>
      </c>
      <c r="AM407" s="622">
        <v>3.574368E-2</v>
      </c>
      <c r="AN407" s="289">
        <v>0</v>
      </c>
      <c r="AO407" s="289">
        <v>-114.38237752000001</v>
      </c>
      <c r="AP407" s="289">
        <v>0</v>
      </c>
      <c r="AQ407" s="289">
        <v>0</v>
      </c>
      <c r="AR407" s="289">
        <v>-133.44232457999999</v>
      </c>
      <c r="AS407" s="289">
        <v>20.4147</v>
      </c>
      <c r="AT407" s="289">
        <v>112</v>
      </c>
      <c r="AU407" s="289">
        <v>12</v>
      </c>
      <c r="AV407" s="625">
        <v>88791</v>
      </c>
      <c r="AW407" s="289">
        <v>-0.94810000000000005</v>
      </c>
      <c r="AX407" s="625">
        <v>7.0833333300000003</v>
      </c>
      <c r="AY407" s="289">
        <v>310</v>
      </c>
      <c r="AZ407" s="289">
        <v>95</v>
      </c>
      <c r="BA407" s="290">
        <v>73</v>
      </c>
      <c r="BB407" s="289">
        <v>12005</v>
      </c>
      <c r="BC407" s="289">
        <v>712</v>
      </c>
      <c r="BD407" s="289">
        <v>32.515700000000002</v>
      </c>
      <c r="BE407" s="289">
        <v>90932.362784879995</v>
      </c>
      <c r="BF407" s="289">
        <v>0</v>
      </c>
      <c r="BG407" s="289">
        <v>11</v>
      </c>
      <c r="BH407" s="289">
        <v>-15.211</v>
      </c>
      <c r="BI407" s="289">
        <v>637</v>
      </c>
      <c r="BJ407" s="289">
        <v>-1.9165000000000001</v>
      </c>
      <c r="BK407" s="289">
        <v>0</v>
      </c>
      <c r="BL407" s="289">
        <v>0</v>
      </c>
      <c r="BM407" s="289">
        <v>0</v>
      </c>
      <c r="BN407" s="289">
        <v>0</v>
      </c>
      <c r="BO407" s="517">
        <v>0</v>
      </c>
      <c r="BP407" s="517">
        <v>0</v>
      </c>
      <c r="BQ407" s="289">
        <f t="shared" si="12"/>
        <v>-1.9164706458</v>
      </c>
      <c r="BR407" s="289">
        <v>0</v>
      </c>
      <c r="BS407" s="289">
        <f t="shared" si="13"/>
        <v>0</v>
      </c>
      <c r="BT407" s="289">
        <v>4</v>
      </c>
      <c r="BU407" s="289">
        <v>0</v>
      </c>
      <c r="BV407" s="289">
        <v>29</v>
      </c>
      <c r="BW407" s="289">
        <v>166.79599999999999</v>
      </c>
      <c r="BX407" s="289">
        <v>38.595999999999997</v>
      </c>
      <c r="CC407" s="517"/>
      <c r="CD407" s="85"/>
      <c r="CE407" s="517"/>
    </row>
    <row r="408" spans="1:83" ht="13">
      <c r="A408" s="1">
        <v>5426</v>
      </c>
      <c r="B408" s="2" t="s">
        <v>237</v>
      </c>
      <c r="C408" s="289">
        <v>2132</v>
      </c>
      <c r="D408" s="289">
        <v>33</v>
      </c>
      <c r="E408" s="289">
        <v>76</v>
      </c>
      <c r="F408" s="289">
        <v>215</v>
      </c>
      <c r="G408" s="289">
        <v>166</v>
      </c>
      <c r="H408" s="289">
        <v>1157</v>
      </c>
      <c r="I408" s="289">
        <v>346</v>
      </c>
      <c r="J408" s="289">
        <v>122</v>
      </c>
      <c r="K408" s="289">
        <v>21</v>
      </c>
      <c r="L408" s="289">
        <v>20</v>
      </c>
      <c r="M408" s="289">
        <v>237</v>
      </c>
      <c r="N408" s="290">
        <v>0</v>
      </c>
      <c r="O408" s="290">
        <v>4</v>
      </c>
      <c r="P408" s="624">
        <v>46287.06</v>
      </c>
      <c r="Q408" s="624">
        <v>6211.0266666699999</v>
      </c>
      <c r="R408" s="624">
        <v>13</v>
      </c>
      <c r="S408" s="289">
        <v>0</v>
      </c>
      <c r="T408" s="289">
        <v>175</v>
      </c>
      <c r="U408" s="716">
        <v>1.5761429889399677E-3</v>
      </c>
      <c r="V408" s="289">
        <v>-3037.2677726799998</v>
      </c>
      <c r="W408" s="743">
        <v>1</v>
      </c>
      <c r="X408" s="289">
        <v>1924</v>
      </c>
      <c r="Y408" s="289">
        <v>392</v>
      </c>
      <c r="Z408" s="289">
        <v>51110</v>
      </c>
      <c r="AA408" s="289">
        <v>0</v>
      </c>
      <c r="AB408" s="290">
        <v>45</v>
      </c>
      <c r="AC408" s="289">
        <v>0</v>
      </c>
      <c r="AD408" s="289">
        <v>0</v>
      </c>
      <c r="AE408" s="289">
        <v>0</v>
      </c>
      <c r="AF408" s="289">
        <v>0</v>
      </c>
      <c r="AG408" s="289">
        <v>2136</v>
      </c>
      <c r="AH408" s="289">
        <v>243</v>
      </c>
      <c r="AI408" s="289">
        <v>150</v>
      </c>
      <c r="AJ408" s="289">
        <v>0</v>
      </c>
      <c r="AK408" s="289">
        <v>6.9898999999999996</v>
      </c>
      <c r="AL408" s="289">
        <v>8238</v>
      </c>
      <c r="AM408" s="622">
        <v>4.2350279999999997E-2</v>
      </c>
      <c r="AN408" s="289">
        <v>0</v>
      </c>
      <c r="AO408" s="289">
        <v>-126.50488854</v>
      </c>
      <c r="AP408" s="289">
        <v>0</v>
      </c>
      <c r="AQ408" s="289">
        <v>0</v>
      </c>
      <c r="AR408" s="289">
        <v>2549.1614129</v>
      </c>
      <c r="AS408" s="289">
        <v>22.9849</v>
      </c>
      <c r="AT408" s="289">
        <v>100</v>
      </c>
      <c r="AU408" s="289">
        <v>25</v>
      </c>
      <c r="AV408" s="625">
        <v>96198</v>
      </c>
      <c r="AW408" s="289">
        <v>-41.555900000000001</v>
      </c>
      <c r="AX408" s="625">
        <v>4.5833333300000003</v>
      </c>
      <c r="AY408" s="289">
        <v>338</v>
      </c>
      <c r="AZ408" s="289">
        <v>77</v>
      </c>
      <c r="BA408" s="290">
        <v>41</v>
      </c>
      <c r="BB408" s="289">
        <v>12005</v>
      </c>
      <c r="BC408" s="289">
        <v>1105</v>
      </c>
      <c r="BD408" s="289">
        <v>32.250300000000003</v>
      </c>
      <c r="BE408" s="289">
        <v>93361.734768099996</v>
      </c>
      <c r="BF408" s="289">
        <v>0</v>
      </c>
      <c r="BG408" s="289">
        <v>11</v>
      </c>
      <c r="BH408" s="289">
        <v>-17.4026</v>
      </c>
      <c r="BI408" s="289">
        <v>635</v>
      </c>
      <c r="BJ408" s="289">
        <v>-2.1926000000000001</v>
      </c>
      <c r="BK408" s="289">
        <v>0</v>
      </c>
      <c r="BL408" s="289">
        <v>0</v>
      </c>
      <c r="BM408" s="289">
        <v>0</v>
      </c>
      <c r="BN408" s="289">
        <v>0</v>
      </c>
      <c r="BO408" s="517">
        <v>0</v>
      </c>
      <c r="BP408" s="517">
        <v>0</v>
      </c>
      <c r="BQ408" s="289">
        <f t="shared" si="12"/>
        <v>-2.1925984463999999</v>
      </c>
      <c r="BR408" s="289">
        <v>0</v>
      </c>
      <c r="BS408" s="289">
        <f t="shared" si="13"/>
        <v>0</v>
      </c>
      <c r="BT408" s="289">
        <v>4</v>
      </c>
      <c r="BU408" s="289">
        <v>0</v>
      </c>
      <c r="BV408" s="289">
        <v>32</v>
      </c>
      <c r="BW408" s="289">
        <v>168.226</v>
      </c>
      <c r="BX408" s="289">
        <v>43.893000000000001</v>
      </c>
      <c r="CC408" s="517"/>
      <c r="CD408" s="85"/>
      <c r="CE408" s="517"/>
    </row>
    <row r="409" spans="1:83" ht="13">
      <c r="A409" s="1">
        <v>5427</v>
      </c>
      <c r="B409" s="2" t="s">
        <v>238</v>
      </c>
      <c r="C409" s="289">
        <v>2925</v>
      </c>
      <c r="D409" s="289">
        <v>60</v>
      </c>
      <c r="E409" s="289">
        <v>120</v>
      </c>
      <c r="F409" s="289">
        <v>305</v>
      </c>
      <c r="G409" s="289">
        <v>285</v>
      </c>
      <c r="H409" s="289">
        <v>1554</v>
      </c>
      <c r="I409" s="289">
        <v>422</v>
      </c>
      <c r="J409" s="289">
        <v>113</v>
      </c>
      <c r="K409" s="289">
        <v>31</v>
      </c>
      <c r="L409" s="289">
        <v>23</v>
      </c>
      <c r="M409" s="289">
        <v>252</v>
      </c>
      <c r="N409" s="290">
        <v>35</v>
      </c>
      <c r="O409" s="290">
        <v>28</v>
      </c>
      <c r="P409" s="624">
        <v>20663.82366667</v>
      </c>
      <c r="Q409" s="624">
        <v>12028.87166667</v>
      </c>
      <c r="R409" s="624">
        <v>18</v>
      </c>
      <c r="S409" s="289">
        <v>0</v>
      </c>
      <c r="T409" s="289">
        <v>198</v>
      </c>
      <c r="U409" s="716">
        <v>3.4486580055484309E-4</v>
      </c>
      <c r="V409" s="289">
        <v>-783.69714123000006</v>
      </c>
      <c r="W409" s="743">
        <v>1</v>
      </c>
      <c r="X409" s="289">
        <v>1763</v>
      </c>
      <c r="Y409" s="289">
        <v>392</v>
      </c>
      <c r="Z409" s="289">
        <v>69371</v>
      </c>
      <c r="AA409" s="289">
        <v>0</v>
      </c>
      <c r="AB409" s="290">
        <v>70</v>
      </c>
      <c r="AC409" s="289">
        <v>0</v>
      </c>
      <c r="AD409" s="289">
        <v>0</v>
      </c>
      <c r="AE409" s="289">
        <v>0</v>
      </c>
      <c r="AF409" s="289">
        <v>0</v>
      </c>
      <c r="AG409" s="289">
        <v>2890</v>
      </c>
      <c r="AH409" s="289">
        <v>395</v>
      </c>
      <c r="AI409" s="289">
        <v>500</v>
      </c>
      <c r="AJ409" s="289">
        <v>0</v>
      </c>
      <c r="AK409" s="289">
        <v>12.0367</v>
      </c>
      <c r="AL409" s="289">
        <v>11252</v>
      </c>
      <c r="AM409" s="622">
        <v>3.6982250000000001E-2</v>
      </c>
      <c r="AN409" s="289">
        <v>0</v>
      </c>
      <c r="AO409" s="289">
        <v>-158.65791630999999</v>
      </c>
      <c r="AP409" s="289">
        <v>0</v>
      </c>
      <c r="AQ409" s="289">
        <v>0</v>
      </c>
      <c r="AR409" s="289">
        <v>-206.56042744999999</v>
      </c>
      <c r="AS409" s="289">
        <v>31.439699999999998</v>
      </c>
      <c r="AT409" s="289">
        <v>140</v>
      </c>
      <c r="AU409" s="289">
        <v>32</v>
      </c>
      <c r="AV409" s="625">
        <v>109600</v>
      </c>
      <c r="AW409" s="289">
        <v>-1.4675</v>
      </c>
      <c r="AX409" s="625">
        <v>27.916666670000001</v>
      </c>
      <c r="AY409" s="289">
        <v>387</v>
      </c>
      <c r="AZ409" s="289">
        <v>70</v>
      </c>
      <c r="BA409" s="290">
        <v>59</v>
      </c>
      <c r="BB409" s="289">
        <v>12005</v>
      </c>
      <c r="BC409" s="289">
        <v>392</v>
      </c>
      <c r="BD409" s="289">
        <v>52.423299999999998</v>
      </c>
      <c r="BE409" s="289">
        <v>111744.28673645</v>
      </c>
      <c r="BF409" s="289">
        <v>0</v>
      </c>
      <c r="BG409" s="289">
        <v>11</v>
      </c>
      <c r="BH409" s="289">
        <v>-23.5457</v>
      </c>
      <c r="BI409" s="289">
        <v>787</v>
      </c>
      <c r="BJ409" s="289">
        <v>-2.9666000000000001</v>
      </c>
      <c r="BK409" s="289">
        <v>0</v>
      </c>
      <c r="BL409" s="289">
        <v>0</v>
      </c>
      <c r="BM409" s="289">
        <v>0</v>
      </c>
      <c r="BN409" s="289">
        <v>0</v>
      </c>
      <c r="BO409" s="517">
        <v>0</v>
      </c>
      <c r="BP409" s="517">
        <v>0</v>
      </c>
      <c r="BQ409" s="289">
        <f t="shared" si="12"/>
        <v>-2.9665774860000003</v>
      </c>
      <c r="BR409" s="289">
        <v>0</v>
      </c>
      <c r="BS409" s="289">
        <f t="shared" si="13"/>
        <v>0</v>
      </c>
      <c r="BT409" s="289">
        <v>7</v>
      </c>
      <c r="BU409" s="289">
        <v>0</v>
      </c>
      <c r="BV409" s="289">
        <v>38</v>
      </c>
      <c r="BW409" s="289">
        <v>172.334</v>
      </c>
      <c r="BX409" s="289">
        <v>60.926000000000002</v>
      </c>
      <c r="CC409" s="517"/>
      <c r="CD409" s="85"/>
      <c r="CE409" s="517"/>
    </row>
    <row r="410" spans="1:83" ht="13">
      <c r="A410" s="1">
        <v>5428</v>
      </c>
      <c r="B410" s="2" t="s">
        <v>239</v>
      </c>
      <c r="C410" s="289">
        <v>4944</v>
      </c>
      <c r="D410" s="289">
        <v>83</v>
      </c>
      <c r="E410" s="289">
        <v>217</v>
      </c>
      <c r="F410" s="289">
        <v>615</v>
      </c>
      <c r="G410" s="289">
        <v>458</v>
      </c>
      <c r="H410" s="289">
        <v>2691</v>
      </c>
      <c r="I410" s="289">
        <v>625</v>
      </c>
      <c r="J410" s="289">
        <v>196</v>
      </c>
      <c r="K410" s="289">
        <v>43</v>
      </c>
      <c r="L410" s="289">
        <v>47</v>
      </c>
      <c r="M410" s="289">
        <v>462</v>
      </c>
      <c r="N410" s="290">
        <v>35</v>
      </c>
      <c r="O410" s="290">
        <v>37</v>
      </c>
      <c r="P410" s="624">
        <v>42555.536333329997</v>
      </c>
      <c r="Q410" s="624">
        <v>18957.82766667</v>
      </c>
      <c r="R410" s="624">
        <v>33</v>
      </c>
      <c r="S410" s="289">
        <v>0</v>
      </c>
      <c r="T410" s="289">
        <v>425</v>
      </c>
      <c r="U410" s="716">
        <v>2.0773923098390793E-3</v>
      </c>
      <c r="V410" s="289">
        <v>-10138.49508371</v>
      </c>
      <c r="W410" s="743">
        <v>0.85959682999999998</v>
      </c>
      <c r="X410" s="289">
        <v>2074</v>
      </c>
      <c r="Y410" s="289">
        <v>392</v>
      </c>
      <c r="Z410" s="289">
        <v>111919</v>
      </c>
      <c r="AA410" s="289">
        <v>0</v>
      </c>
      <c r="AB410" s="290">
        <v>107</v>
      </c>
      <c r="AC410" s="289">
        <v>0</v>
      </c>
      <c r="AD410" s="289">
        <v>0</v>
      </c>
      <c r="AE410" s="289">
        <v>0</v>
      </c>
      <c r="AF410" s="289">
        <v>0</v>
      </c>
      <c r="AG410" s="289">
        <v>4928</v>
      </c>
      <c r="AH410" s="289">
        <v>707</v>
      </c>
      <c r="AI410" s="289">
        <v>1200</v>
      </c>
      <c r="AJ410" s="289">
        <v>0</v>
      </c>
      <c r="AK410" s="289">
        <v>20.581600000000002</v>
      </c>
      <c r="AL410" s="289">
        <v>19007</v>
      </c>
      <c r="AM410" s="622">
        <v>9.7571099999999994E-2</v>
      </c>
      <c r="AN410" s="289">
        <v>0</v>
      </c>
      <c r="AO410" s="289">
        <v>-272.51552236999999</v>
      </c>
      <c r="AP410" s="289">
        <v>0</v>
      </c>
      <c r="AQ410" s="289">
        <v>0</v>
      </c>
      <c r="AR410" s="289">
        <v>-352.2248396</v>
      </c>
      <c r="AS410" s="289">
        <v>57.585299999999997</v>
      </c>
      <c r="AT410" s="289">
        <v>265</v>
      </c>
      <c r="AU410" s="289">
        <v>59</v>
      </c>
      <c r="AV410" s="625">
        <v>160441</v>
      </c>
      <c r="AW410" s="289">
        <v>-2.5024000000000002</v>
      </c>
      <c r="AX410" s="625">
        <v>25.833333339999999</v>
      </c>
      <c r="AY410" s="289">
        <v>878</v>
      </c>
      <c r="AZ410" s="289">
        <v>151</v>
      </c>
      <c r="BA410" s="290">
        <v>155</v>
      </c>
      <c r="BB410" s="289">
        <v>0</v>
      </c>
      <c r="BC410" s="289">
        <v>1053</v>
      </c>
      <c r="BD410" s="289">
        <v>93.831000000000003</v>
      </c>
      <c r="BE410" s="289">
        <v>161946.55109751999</v>
      </c>
      <c r="BF410" s="289">
        <v>0</v>
      </c>
      <c r="BG410" s="289">
        <v>11</v>
      </c>
      <c r="BH410" s="289">
        <v>-40.149900000000002</v>
      </c>
      <c r="BI410" s="289">
        <v>1099</v>
      </c>
      <c r="BJ410" s="289">
        <v>-5.0586000000000002</v>
      </c>
      <c r="BK410" s="289">
        <v>0</v>
      </c>
      <c r="BL410" s="289">
        <v>0</v>
      </c>
      <c r="BM410" s="289">
        <v>0</v>
      </c>
      <c r="BN410" s="289">
        <v>0</v>
      </c>
      <c r="BO410" s="517">
        <v>0</v>
      </c>
      <c r="BP410" s="517">
        <v>0</v>
      </c>
      <c r="BQ410" s="289">
        <f t="shared" si="12"/>
        <v>-5.0585791872000003</v>
      </c>
      <c r="BR410" s="289">
        <v>0</v>
      </c>
      <c r="BS410" s="289">
        <f t="shared" si="13"/>
        <v>0</v>
      </c>
      <c r="BT410" s="289">
        <v>12</v>
      </c>
      <c r="BU410" s="289">
        <v>0</v>
      </c>
      <c r="BV410" s="289">
        <v>56</v>
      </c>
      <c r="BW410" s="289">
        <v>182.792</v>
      </c>
      <c r="BX410" s="289">
        <v>102.139</v>
      </c>
      <c r="CC410" s="517"/>
      <c r="CD410" s="85"/>
      <c r="CE410" s="517"/>
    </row>
    <row r="411" spans="1:83" ht="13">
      <c r="A411" s="1">
        <v>5429</v>
      </c>
      <c r="B411" s="2" t="s">
        <v>240</v>
      </c>
      <c r="C411" s="289">
        <v>1224</v>
      </c>
      <c r="D411" s="289">
        <v>20</v>
      </c>
      <c r="E411" s="289">
        <v>42</v>
      </c>
      <c r="F411" s="289">
        <v>119</v>
      </c>
      <c r="G411" s="289">
        <v>112</v>
      </c>
      <c r="H411" s="289">
        <v>656</v>
      </c>
      <c r="I411" s="289">
        <v>202</v>
      </c>
      <c r="J411" s="289">
        <v>79</v>
      </c>
      <c r="K411" s="289">
        <v>6</v>
      </c>
      <c r="L411" s="289">
        <v>13</v>
      </c>
      <c r="M411" s="289">
        <v>142</v>
      </c>
      <c r="N411" s="290">
        <v>0</v>
      </c>
      <c r="O411" s="290">
        <v>6</v>
      </c>
      <c r="P411" s="624">
        <v>15293.96766667</v>
      </c>
      <c r="Q411" s="624">
        <v>9788.6586666700005</v>
      </c>
      <c r="R411" s="624">
        <v>16</v>
      </c>
      <c r="S411" s="289">
        <v>0</v>
      </c>
      <c r="T411" s="289">
        <v>114</v>
      </c>
      <c r="U411" s="716">
        <v>8.6296248791599265E-4</v>
      </c>
      <c r="V411" s="289">
        <v>621.02827607999996</v>
      </c>
      <c r="W411" s="743">
        <v>1</v>
      </c>
      <c r="X411" s="289">
        <v>2959</v>
      </c>
      <c r="Y411" s="289">
        <v>0</v>
      </c>
      <c r="Z411" s="289">
        <v>32637</v>
      </c>
      <c r="AA411" s="289">
        <v>0</v>
      </c>
      <c r="AB411" s="290">
        <v>36</v>
      </c>
      <c r="AC411" s="289">
        <v>0</v>
      </c>
      <c r="AD411" s="289">
        <v>0</v>
      </c>
      <c r="AE411" s="289">
        <v>0</v>
      </c>
      <c r="AF411" s="289">
        <v>0</v>
      </c>
      <c r="AG411" s="289">
        <v>1236</v>
      </c>
      <c r="AH411" s="289">
        <v>151</v>
      </c>
      <c r="AI411" s="289">
        <v>0</v>
      </c>
      <c r="AJ411" s="289">
        <v>0</v>
      </c>
      <c r="AK411" s="289">
        <v>4.4893999999999998</v>
      </c>
      <c r="AL411" s="289">
        <v>4764</v>
      </c>
      <c r="AM411" s="622">
        <v>3.530908E-2</v>
      </c>
      <c r="AN411" s="289">
        <v>0</v>
      </c>
      <c r="AO411" s="289">
        <v>-86.377492169999996</v>
      </c>
      <c r="AP411" s="289">
        <v>0</v>
      </c>
      <c r="AQ411" s="289">
        <v>0</v>
      </c>
      <c r="AR411" s="289">
        <v>48.426164759999999</v>
      </c>
      <c r="AS411" s="289">
        <v>15.5192</v>
      </c>
      <c r="AT411" s="289">
        <v>61</v>
      </c>
      <c r="AU411" s="289">
        <v>16</v>
      </c>
      <c r="AV411" s="625">
        <v>76974</v>
      </c>
      <c r="AW411" s="289">
        <v>-24.046399999999998</v>
      </c>
      <c r="AX411" s="625">
        <v>12.41666667</v>
      </c>
      <c r="AY411" s="289">
        <v>186</v>
      </c>
      <c r="AZ411" s="289">
        <v>55</v>
      </c>
      <c r="BA411" s="290">
        <v>27</v>
      </c>
      <c r="BB411" s="289">
        <v>12005</v>
      </c>
      <c r="BC411" s="289">
        <v>144</v>
      </c>
      <c r="BD411" s="289">
        <v>20.040299999999998</v>
      </c>
      <c r="BE411" s="289">
        <v>76634.018310269996</v>
      </c>
      <c r="BF411" s="289">
        <v>0</v>
      </c>
      <c r="BG411" s="289">
        <v>0</v>
      </c>
      <c r="BH411" s="289">
        <v>-10.0701</v>
      </c>
      <c r="BI411" s="289">
        <v>151</v>
      </c>
      <c r="BJ411" s="289">
        <v>-1.2687999999999999</v>
      </c>
      <c r="BK411" s="289">
        <v>0</v>
      </c>
      <c r="BL411" s="289">
        <v>0</v>
      </c>
      <c r="BM411" s="289">
        <v>0</v>
      </c>
      <c r="BN411" s="289">
        <v>0</v>
      </c>
      <c r="BO411" s="517">
        <v>0</v>
      </c>
      <c r="BP411" s="517">
        <v>0</v>
      </c>
      <c r="BQ411" s="289">
        <f t="shared" si="12"/>
        <v>-1.2687507863999998</v>
      </c>
      <c r="BR411" s="289">
        <v>0</v>
      </c>
      <c r="BS411" s="289">
        <f t="shared" si="13"/>
        <v>0</v>
      </c>
      <c r="BT411" s="289">
        <v>3</v>
      </c>
      <c r="BU411" s="289">
        <v>0</v>
      </c>
      <c r="BV411" s="289">
        <v>22</v>
      </c>
      <c r="BW411" s="289">
        <v>163.52199999999999</v>
      </c>
      <c r="BX411" s="289">
        <v>25.363</v>
      </c>
      <c r="CC411" s="517"/>
      <c r="CD411" s="85"/>
      <c r="CE411" s="517"/>
    </row>
    <row r="412" spans="1:83" ht="13">
      <c r="A412" s="1">
        <v>5430</v>
      </c>
      <c r="B412" s="2" t="s">
        <v>244</v>
      </c>
      <c r="C412" s="289">
        <v>2946</v>
      </c>
      <c r="D412" s="289">
        <v>74</v>
      </c>
      <c r="E412" s="289">
        <v>145</v>
      </c>
      <c r="F412" s="289">
        <v>344</v>
      </c>
      <c r="G412" s="289">
        <v>266</v>
      </c>
      <c r="H412" s="289">
        <v>1687</v>
      </c>
      <c r="I412" s="289">
        <v>312</v>
      </c>
      <c r="J412" s="289">
        <v>91</v>
      </c>
      <c r="K412" s="289">
        <v>19</v>
      </c>
      <c r="L412" s="289">
        <v>28</v>
      </c>
      <c r="M412" s="289">
        <v>222</v>
      </c>
      <c r="N412" s="290">
        <v>0</v>
      </c>
      <c r="O412" s="290">
        <v>7</v>
      </c>
      <c r="P412" s="624">
        <v>32723.518333330001</v>
      </c>
      <c r="Q412" s="624">
        <v>22725.088666669999</v>
      </c>
      <c r="R412" s="624">
        <v>21</v>
      </c>
      <c r="S412" s="289">
        <v>0</v>
      </c>
      <c r="T412" s="289">
        <v>226</v>
      </c>
      <c r="U412" s="716">
        <v>1.6736185002552597E-3</v>
      </c>
      <c r="V412" s="289">
        <v>1228.63246508</v>
      </c>
      <c r="W412" s="743">
        <v>1</v>
      </c>
      <c r="X412" s="289">
        <v>2900</v>
      </c>
      <c r="Y412" s="289">
        <v>392</v>
      </c>
      <c r="Z412" s="289">
        <v>56500</v>
      </c>
      <c r="AA412" s="289">
        <v>0</v>
      </c>
      <c r="AB412" s="290">
        <v>55</v>
      </c>
      <c r="AC412" s="289">
        <v>0</v>
      </c>
      <c r="AD412" s="289">
        <v>0</v>
      </c>
      <c r="AE412" s="289">
        <v>0</v>
      </c>
      <c r="AF412" s="289">
        <v>0</v>
      </c>
      <c r="AG412" s="289">
        <v>2938</v>
      </c>
      <c r="AH412" s="289">
        <v>427</v>
      </c>
      <c r="AI412" s="289">
        <v>2370</v>
      </c>
      <c r="AJ412" s="289">
        <v>0</v>
      </c>
      <c r="AK412" s="289">
        <v>14.2484</v>
      </c>
      <c r="AL412" s="289">
        <v>23528</v>
      </c>
      <c r="AM412" s="622">
        <v>0.15891111999999999</v>
      </c>
      <c r="AN412" s="289">
        <v>0</v>
      </c>
      <c r="AO412" s="289">
        <v>-170.88785683</v>
      </c>
      <c r="AP412" s="289">
        <v>0</v>
      </c>
      <c r="AQ412" s="289">
        <v>0</v>
      </c>
      <c r="AR412" s="289">
        <v>-209.99118887</v>
      </c>
      <c r="AS412" s="289">
        <v>36.448500000000003</v>
      </c>
      <c r="AT412" s="289">
        <v>82</v>
      </c>
      <c r="AU412" s="289">
        <v>82</v>
      </c>
      <c r="AV412" s="625">
        <v>139470</v>
      </c>
      <c r="AW412" s="289">
        <v>-1.4919</v>
      </c>
      <c r="AX412" s="625">
        <v>22.958333329999999</v>
      </c>
      <c r="AY412" s="289">
        <v>649</v>
      </c>
      <c r="AZ412" s="289">
        <v>204</v>
      </c>
      <c r="BA412" s="290">
        <v>109</v>
      </c>
      <c r="BB412" s="289">
        <v>12005</v>
      </c>
      <c r="BC412" s="289">
        <v>919</v>
      </c>
      <c r="BD412" s="289">
        <v>56.670200000000001</v>
      </c>
      <c r="BE412" s="289">
        <v>138507.47095019999</v>
      </c>
      <c r="BF412" s="289">
        <v>0</v>
      </c>
      <c r="BG412" s="289">
        <v>11</v>
      </c>
      <c r="BH412" s="289">
        <v>-23.936800000000002</v>
      </c>
      <c r="BI412" s="289">
        <v>819</v>
      </c>
      <c r="BJ412" s="289">
        <v>-3.0158</v>
      </c>
      <c r="BK412" s="289">
        <v>0</v>
      </c>
      <c r="BL412" s="289">
        <v>0</v>
      </c>
      <c r="BM412" s="289">
        <v>0</v>
      </c>
      <c r="BN412" s="289">
        <v>0</v>
      </c>
      <c r="BO412" s="517">
        <v>0</v>
      </c>
      <c r="BP412" s="517">
        <v>0</v>
      </c>
      <c r="BQ412" s="289">
        <f t="shared" si="12"/>
        <v>-3.0158493612000004</v>
      </c>
      <c r="BR412" s="289">
        <v>0</v>
      </c>
      <c r="BS412" s="289">
        <f t="shared" si="13"/>
        <v>0</v>
      </c>
      <c r="BT412" s="289">
        <v>8</v>
      </c>
      <c r="BU412" s="289">
        <v>0</v>
      </c>
      <c r="BV412" s="289">
        <v>39</v>
      </c>
      <c r="BW412" s="289">
        <v>104.788</v>
      </c>
      <c r="BX412" s="289">
        <v>60.843000000000004</v>
      </c>
      <c r="CC412" s="517"/>
      <c r="CD412" s="85"/>
      <c r="CE412" s="517"/>
    </row>
    <row r="413" spans="1:83" ht="13">
      <c r="A413" s="1">
        <v>5432</v>
      </c>
      <c r="B413" s="2" t="s">
        <v>246</v>
      </c>
      <c r="C413" s="289">
        <v>941</v>
      </c>
      <c r="D413" s="289">
        <v>13</v>
      </c>
      <c r="E413" s="289">
        <v>24</v>
      </c>
      <c r="F413" s="289">
        <v>69</v>
      </c>
      <c r="G413" s="289">
        <v>83</v>
      </c>
      <c r="H413" s="289">
        <v>510</v>
      </c>
      <c r="I413" s="289">
        <v>171</v>
      </c>
      <c r="J413" s="289">
        <v>57</v>
      </c>
      <c r="K413" s="289">
        <v>18</v>
      </c>
      <c r="L413" s="289">
        <v>9</v>
      </c>
      <c r="M413" s="289">
        <v>126</v>
      </c>
      <c r="N413" s="290">
        <v>1.5</v>
      </c>
      <c r="O413" s="290">
        <v>13</v>
      </c>
      <c r="P413" s="624">
        <v>28237.650333329999</v>
      </c>
      <c r="Q413" s="624">
        <v>10175.64566667</v>
      </c>
      <c r="R413" s="624">
        <v>4</v>
      </c>
      <c r="S413" s="289">
        <v>0</v>
      </c>
      <c r="T413" s="289">
        <v>119</v>
      </c>
      <c r="U413" s="716">
        <v>2.6061124339583544E-4</v>
      </c>
      <c r="V413" s="289">
        <v>477.06240077000001</v>
      </c>
      <c r="W413" s="743">
        <v>1</v>
      </c>
      <c r="X413" s="289">
        <v>2770</v>
      </c>
      <c r="Y413" s="289">
        <v>0</v>
      </c>
      <c r="Z413" s="289">
        <v>21026</v>
      </c>
      <c r="AA413" s="289">
        <v>0</v>
      </c>
      <c r="AB413" s="290">
        <v>14</v>
      </c>
      <c r="AC413" s="289">
        <v>0</v>
      </c>
      <c r="AD413" s="289">
        <v>0</v>
      </c>
      <c r="AE413" s="289">
        <v>0</v>
      </c>
      <c r="AF413" s="289">
        <v>0</v>
      </c>
      <c r="AG413" s="289">
        <v>945</v>
      </c>
      <c r="AH413" s="289">
        <v>100</v>
      </c>
      <c r="AI413" s="289">
        <v>1060</v>
      </c>
      <c r="AJ413" s="289">
        <v>0</v>
      </c>
      <c r="AK413" s="289">
        <v>2.5638999999999998</v>
      </c>
      <c r="AL413" s="289">
        <v>7752</v>
      </c>
      <c r="AM413" s="622">
        <v>1.5747730000000001E-2</v>
      </c>
      <c r="AN413" s="289">
        <v>0</v>
      </c>
      <c r="AO413" s="289">
        <v>-66.353587070000003</v>
      </c>
      <c r="AP413" s="289">
        <v>0</v>
      </c>
      <c r="AQ413" s="289">
        <v>0</v>
      </c>
      <c r="AR413" s="289">
        <v>679.30263650999996</v>
      </c>
      <c r="AS413" s="289">
        <v>11.966100000000001</v>
      </c>
      <c r="AT413" s="289">
        <v>34</v>
      </c>
      <c r="AU413" s="289">
        <v>14</v>
      </c>
      <c r="AV413" s="625">
        <v>68529</v>
      </c>
      <c r="AW413" s="289">
        <v>-18.385000000000002</v>
      </c>
      <c r="AX413" s="625">
        <v>5.8333333300000003</v>
      </c>
      <c r="AY413" s="289">
        <v>143</v>
      </c>
      <c r="AZ413" s="289">
        <v>31</v>
      </c>
      <c r="BA413" s="290">
        <v>15</v>
      </c>
      <c r="BB413" s="289">
        <v>12005</v>
      </c>
      <c r="BC413" s="289">
        <v>230</v>
      </c>
      <c r="BD413" s="289">
        <v>13.271699999999999</v>
      </c>
      <c r="BE413" s="289">
        <v>66343.401833879994</v>
      </c>
      <c r="BF413" s="289">
        <v>0</v>
      </c>
      <c r="BG413" s="289">
        <v>0</v>
      </c>
      <c r="BH413" s="289">
        <v>-7.6992000000000003</v>
      </c>
      <c r="BI413" s="289">
        <v>100</v>
      </c>
      <c r="BJ413" s="289">
        <v>-0.97</v>
      </c>
      <c r="BK413" s="289">
        <v>0</v>
      </c>
      <c r="BL413" s="289">
        <v>0</v>
      </c>
      <c r="BM413" s="289">
        <v>0</v>
      </c>
      <c r="BN413" s="289">
        <v>0</v>
      </c>
      <c r="BO413" s="517">
        <v>0</v>
      </c>
      <c r="BP413" s="517">
        <v>0</v>
      </c>
      <c r="BQ413" s="289">
        <f t="shared" si="12"/>
        <v>-0.97004004300000002</v>
      </c>
      <c r="BR413" s="289">
        <v>0</v>
      </c>
      <c r="BS413" s="289">
        <f t="shared" si="13"/>
        <v>0</v>
      </c>
      <c r="BT413" s="289">
        <v>1</v>
      </c>
      <c r="BU413" s="289">
        <v>0</v>
      </c>
      <c r="BV413" s="289">
        <v>21</v>
      </c>
      <c r="BW413" s="289">
        <v>230.535</v>
      </c>
      <c r="BX413" s="289">
        <v>19.027999999999999</v>
      </c>
      <c r="CC413" s="517"/>
      <c r="CD413" s="85"/>
      <c r="CE413" s="517"/>
    </row>
    <row r="414" spans="1:83" ht="13">
      <c r="A414" s="1">
        <v>5433</v>
      </c>
      <c r="B414" s="2" t="s">
        <v>247</v>
      </c>
      <c r="C414" s="289">
        <v>1022</v>
      </c>
      <c r="D414" s="289">
        <v>20</v>
      </c>
      <c r="E414" s="289">
        <v>40</v>
      </c>
      <c r="F414" s="289">
        <v>98</v>
      </c>
      <c r="G414" s="289">
        <v>77</v>
      </c>
      <c r="H414" s="289">
        <v>616</v>
      </c>
      <c r="I414" s="289">
        <v>128</v>
      </c>
      <c r="J414" s="289">
        <v>42</v>
      </c>
      <c r="K414" s="289">
        <v>9</v>
      </c>
      <c r="L414" s="289">
        <v>9</v>
      </c>
      <c r="M414" s="289">
        <v>109</v>
      </c>
      <c r="N414" s="290">
        <v>3</v>
      </c>
      <c r="O414" s="290">
        <v>12</v>
      </c>
      <c r="P414" s="624">
        <v>14513.248333330001</v>
      </c>
      <c r="Q414" s="624">
        <v>3439.66066667</v>
      </c>
      <c r="R414" s="624">
        <v>2</v>
      </c>
      <c r="S414" s="289">
        <v>0</v>
      </c>
      <c r="T414" s="289">
        <v>118</v>
      </c>
      <c r="U414" s="716">
        <v>1.7171106480302892E-4</v>
      </c>
      <c r="V414" s="289">
        <v>464.22077634999999</v>
      </c>
      <c r="W414" s="743">
        <v>1</v>
      </c>
      <c r="X414" s="289">
        <v>1870</v>
      </c>
      <c r="Y414" s="289">
        <v>0</v>
      </c>
      <c r="Z414" s="289">
        <v>22383</v>
      </c>
      <c r="AA414" s="289">
        <v>0</v>
      </c>
      <c r="AB414" s="290">
        <v>24</v>
      </c>
      <c r="AC414" s="289">
        <v>0</v>
      </c>
      <c r="AD414" s="289">
        <v>0</v>
      </c>
      <c r="AE414" s="289">
        <v>0</v>
      </c>
      <c r="AF414" s="289">
        <v>0</v>
      </c>
      <c r="AG414" s="289">
        <v>1030</v>
      </c>
      <c r="AH414" s="289">
        <v>120</v>
      </c>
      <c r="AI414" s="289">
        <v>600</v>
      </c>
      <c r="AJ414" s="289">
        <v>0</v>
      </c>
      <c r="AK414" s="289">
        <v>3.8614999999999999</v>
      </c>
      <c r="AL414" s="289">
        <v>8304</v>
      </c>
      <c r="AM414" s="622">
        <v>9.1440240000000006E-2</v>
      </c>
      <c r="AN414" s="289">
        <v>0</v>
      </c>
      <c r="AO414" s="289">
        <v>-64.567473039999996</v>
      </c>
      <c r="AP414" s="289">
        <v>0</v>
      </c>
      <c r="AQ414" s="289">
        <v>0</v>
      </c>
      <c r="AR414" s="289">
        <v>753.68623742</v>
      </c>
      <c r="AS414" s="289">
        <v>17.632300000000001</v>
      </c>
      <c r="AT414" s="289">
        <v>52</v>
      </c>
      <c r="AU414" s="289">
        <v>31</v>
      </c>
      <c r="AV414" s="625">
        <v>63623</v>
      </c>
      <c r="AW414" s="289">
        <v>-20.038699999999999</v>
      </c>
      <c r="AX414" s="625">
        <v>6.8333333300000003</v>
      </c>
      <c r="AY414" s="289">
        <v>132</v>
      </c>
      <c r="AZ414" s="289">
        <v>61</v>
      </c>
      <c r="BA414" s="290">
        <v>35</v>
      </c>
      <c r="BB414" s="289">
        <v>12005</v>
      </c>
      <c r="BC414" s="289">
        <v>216</v>
      </c>
      <c r="BD414" s="289">
        <v>15.9261</v>
      </c>
      <c r="BE414" s="289">
        <v>61918.597928869996</v>
      </c>
      <c r="BF414" s="289">
        <v>0</v>
      </c>
      <c r="BG414" s="289">
        <v>0</v>
      </c>
      <c r="BH414" s="289">
        <v>-8.3917000000000002</v>
      </c>
      <c r="BI414" s="289">
        <v>120</v>
      </c>
      <c r="BJ414" s="289">
        <v>-1.0572999999999999</v>
      </c>
      <c r="BK414" s="289">
        <v>0</v>
      </c>
      <c r="BL414" s="289">
        <v>0</v>
      </c>
      <c r="BM414" s="289">
        <v>0</v>
      </c>
      <c r="BN414" s="289">
        <v>0</v>
      </c>
      <c r="BO414" s="517">
        <v>0</v>
      </c>
      <c r="BP414" s="517">
        <v>0</v>
      </c>
      <c r="BQ414" s="289">
        <f t="shared" si="12"/>
        <v>-1.0572923220000001</v>
      </c>
      <c r="BR414" s="289">
        <v>0</v>
      </c>
      <c r="BS414" s="289">
        <f t="shared" si="13"/>
        <v>0</v>
      </c>
      <c r="BT414" s="289">
        <v>2</v>
      </c>
      <c r="BU414" s="289">
        <v>0</v>
      </c>
      <c r="BV414" s="289">
        <v>19</v>
      </c>
      <c r="BW414" s="289">
        <v>0</v>
      </c>
      <c r="BX414" s="289">
        <v>21.105</v>
      </c>
      <c r="CC414" s="517"/>
      <c r="CD414" s="85"/>
      <c r="CE414" s="517"/>
    </row>
    <row r="415" spans="1:83" ht="13">
      <c r="A415" s="1">
        <v>5434</v>
      </c>
      <c r="B415" s="2" t="s">
        <v>249</v>
      </c>
      <c r="C415" s="289">
        <v>1231</v>
      </c>
      <c r="D415" s="289">
        <v>15</v>
      </c>
      <c r="E415" s="289">
        <v>36</v>
      </c>
      <c r="F415" s="289">
        <v>107</v>
      </c>
      <c r="G415" s="289">
        <v>103</v>
      </c>
      <c r="H415" s="289">
        <v>665</v>
      </c>
      <c r="I415" s="289">
        <v>217</v>
      </c>
      <c r="J415" s="289">
        <v>72</v>
      </c>
      <c r="K415" s="289">
        <v>9</v>
      </c>
      <c r="L415" s="289">
        <v>12</v>
      </c>
      <c r="M415" s="289">
        <v>176</v>
      </c>
      <c r="N415" s="290">
        <v>4</v>
      </c>
      <c r="O415" s="290">
        <v>11</v>
      </c>
      <c r="P415" s="624">
        <v>13818.12833333</v>
      </c>
      <c r="Q415" s="624">
        <v>5676.2309999999998</v>
      </c>
      <c r="R415" s="624">
        <v>4</v>
      </c>
      <c r="S415" s="289">
        <v>0</v>
      </c>
      <c r="T415" s="289">
        <v>133</v>
      </c>
      <c r="U415" s="716">
        <v>2.0277237247528951E-4</v>
      </c>
      <c r="V415" s="289">
        <v>542.11942638000005</v>
      </c>
      <c r="W415" s="743">
        <v>1</v>
      </c>
      <c r="X415" s="289">
        <v>2380</v>
      </c>
      <c r="Y415" s="289">
        <v>0</v>
      </c>
      <c r="Z415" s="289">
        <v>34428</v>
      </c>
      <c r="AA415" s="289">
        <v>0</v>
      </c>
      <c r="AB415" s="290">
        <v>13</v>
      </c>
      <c r="AC415" s="289">
        <v>0</v>
      </c>
      <c r="AD415" s="289">
        <v>0</v>
      </c>
      <c r="AE415" s="289">
        <v>0</v>
      </c>
      <c r="AF415" s="289">
        <v>0</v>
      </c>
      <c r="AG415" s="289">
        <v>1224</v>
      </c>
      <c r="AH415" s="289">
        <v>128</v>
      </c>
      <c r="AI415" s="289">
        <v>0</v>
      </c>
      <c r="AJ415" s="289">
        <v>0</v>
      </c>
      <c r="AK415" s="289">
        <v>3.6173999999999999</v>
      </c>
      <c r="AL415" s="289">
        <v>9642</v>
      </c>
      <c r="AM415" s="622">
        <v>4.6545429999999999E-2</v>
      </c>
      <c r="AN415" s="289">
        <v>0</v>
      </c>
      <c r="AO415" s="289">
        <v>-75.402229349999999</v>
      </c>
      <c r="AP415" s="289">
        <v>0</v>
      </c>
      <c r="AQ415" s="289">
        <v>0</v>
      </c>
      <c r="AR415" s="289">
        <v>-87.484416330000002</v>
      </c>
      <c r="AS415" s="289">
        <v>15.4566</v>
      </c>
      <c r="AT415" s="289">
        <v>51</v>
      </c>
      <c r="AU415" s="289">
        <v>27</v>
      </c>
      <c r="AV415" s="625">
        <v>69789</v>
      </c>
      <c r="AW415" s="289">
        <v>-0.62150000000000005</v>
      </c>
      <c r="AX415" s="625">
        <v>7.5</v>
      </c>
      <c r="AY415" s="289">
        <v>145</v>
      </c>
      <c r="AZ415" s="289">
        <v>49</v>
      </c>
      <c r="BA415" s="290">
        <v>29</v>
      </c>
      <c r="BB415" s="289">
        <v>12005</v>
      </c>
      <c r="BC415" s="289">
        <v>220</v>
      </c>
      <c r="BD415" s="289">
        <v>16.9878</v>
      </c>
      <c r="BE415" s="289">
        <v>69863.470256519999</v>
      </c>
      <c r="BF415" s="289">
        <v>0</v>
      </c>
      <c r="BG415" s="289">
        <v>0</v>
      </c>
      <c r="BH415" s="289">
        <v>-9.9723000000000006</v>
      </c>
      <c r="BI415" s="289">
        <v>128</v>
      </c>
      <c r="BJ415" s="289">
        <v>-1.2564</v>
      </c>
      <c r="BK415" s="289">
        <v>0</v>
      </c>
      <c r="BL415" s="289">
        <v>0</v>
      </c>
      <c r="BM415" s="289">
        <v>0</v>
      </c>
      <c r="BN415" s="289">
        <v>0</v>
      </c>
      <c r="BO415" s="517">
        <v>0</v>
      </c>
      <c r="BP415" s="517">
        <v>0</v>
      </c>
      <c r="BQ415" s="289">
        <f t="shared" si="12"/>
        <v>-1.2564328175999999</v>
      </c>
      <c r="BR415" s="289">
        <v>0</v>
      </c>
      <c r="BS415" s="289">
        <f t="shared" si="13"/>
        <v>0</v>
      </c>
      <c r="BT415" s="289">
        <v>2</v>
      </c>
      <c r="BU415" s="289">
        <v>0</v>
      </c>
      <c r="BV415" s="289">
        <v>22</v>
      </c>
      <c r="BW415" s="289">
        <v>104.788</v>
      </c>
      <c r="BX415" s="289">
        <v>25.675000000000001</v>
      </c>
      <c r="CC415" s="517"/>
      <c r="CD415" s="85"/>
      <c r="CE415" s="517"/>
    </row>
    <row r="416" spans="1:83" ht="13">
      <c r="A416" s="1">
        <v>5435</v>
      </c>
      <c r="B416" s="2" t="s">
        <v>250</v>
      </c>
      <c r="C416" s="289">
        <v>3239</v>
      </c>
      <c r="D416" s="289">
        <v>44</v>
      </c>
      <c r="E416" s="289">
        <v>111</v>
      </c>
      <c r="F416" s="289">
        <v>345</v>
      </c>
      <c r="G416" s="289">
        <v>300</v>
      </c>
      <c r="H416" s="289">
        <v>1900</v>
      </c>
      <c r="I416" s="289">
        <v>408</v>
      </c>
      <c r="J416" s="289">
        <v>140</v>
      </c>
      <c r="K416" s="289">
        <v>24</v>
      </c>
      <c r="L416" s="289">
        <v>28</v>
      </c>
      <c r="M416" s="289">
        <v>319</v>
      </c>
      <c r="N416" s="290">
        <v>40</v>
      </c>
      <c r="O416" s="290">
        <v>50</v>
      </c>
      <c r="P416" s="624">
        <v>14952.76</v>
      </c>
      <c r="Q416" s="624">
        <v>8563.0380000000005</v>
      </c>
      <c r="R416" s="624">
        <v>16</v>
      </c>
      <c r="S416" s="289">
        <v>0</v>
      </c>
      <c r="T416" s="289">
        <v>372</v>
      </c>
      <c r="U416" s="716">
        <v>1.4158254306333452E-4</v>
      </c>
      <c r="V416" s="289">
        <v>1241.53426061</v>
      </c>
      <c r="W416" s="743">
        <v>1</v>
      </c>
      <c r="X416" s="289">
        <v>1800</v>
      </c>
      <c r="Y416" s="289">
        <v>0</v>
      </c>
      <c r="Z416" s="289">
        <v>87685</v>
      </c>
      <c r="AA416" s="289">
        <v>0</v>
      </c>
      <c r="AB416" s="290">
        <v>59</v>
      </c>
      <c r="AC416" s="289">
        <v>0</v>
      </c>
      <c r="AD416" s="289">
        <v>0</v>
      </c>
      <c r="AE416" s="289">
        <v>0</v>
      </c>
      <c r="AF416" s="289">
        <v>0</v>
      </c>
      <c r="AG416" s="289">
        <v>3272</v>
      </c>
      <c r="AH416" s="289">
        <v>407</v>
      </c>
      <c r="AI416" s="289">
        <v>600</v>
      </c>
      <c r="AJ416" s="289">
        <v>0</v>
      </c>
      <c r="AK416" s="289">
        <v>11.296799999999999</v>
      </c>
      <c r="AL416" s="289">
        <v>26354</v>
      </c>
      <c r="AM416" s="622">
        <v>0.18339401</v>
      </c>
      <c r="AN416" s="289">
        <v>0</v>
      </c>
      <c r="AO416" s="289">
        <v>-172.68233993000001</v>
      </c>
      <c r="AP416" s="289">
        <v>0</v>
      </c>
      <c r="AQ416" s="289">
        <v>0</v>
      </c>
      <c r="AR416" s="289">
        <v>378.93788979999999</v>
      </c>
      <c r="AS416" s="289">
        <v>50.607300000000002</v>
      </c>
      <c r="AT416" s="289">
        <v>183</v>
      </c>
      <c r="AU416" s="289">
        <v>54</v>
      </c>
      <c r="AV416" s="625">
        <v>121734</v>
      </c>
      <c r="AW416" s="289">
        <v>-63.656799999999997</v>
      </c>
      <c r="AX416" s="625">
        <v>23.291666670000001</v>
      </c>
      <c r="AY416" s="289">
        <v>509</v>
      </c>
      <c r="AZ416" s="289">
        <v>201</v>
      </c>
      <c r="BA416" s="290">
        <v>83</v>
      </c>
      <c r="BB416" s="289">
        <v>0</v>
      </c>
      <c r="BC416" s="289">
        <v>508</v>
      </c>
      <c r="BD416" s="289">
        <v>54.015900000000002</v>
      </c>
      <c r="BE416" s="289">
        <v>120843.31624009</v>
      </c>
      <c r="BF416" s="289">
        <v>0</v>
      </c>
      <c r="BG416" s="289">
        <v>0</v>
      </c>
      <c r="BH416" s="289">
        <v>-26.658000000000001</v>
      </c>
      <c r="BI416" s="289">
        <v>407</v>
      </c>
      <c r="BJ416" s="289">
        <v>-3.3586999999999998</v>
      </c>
      <c r="BK416" s="289">
        <v>0</v>
      </c>
      <c r="BL416" s="289">
        <v>0</v>
      </c>
      <c r="BM416" s="289">
        <v>0</v>
      </c>
      <c r="BN416" s="289">
        <v>0</v>
      </c>
      <c r="BO416" s="517">
        <v>0</v>
      </c>
      <c r="BP416" s="517">
        <v>0</v>
      </c>
      <c r="BQ416" s="289">
        <f t="shared" si="12"/>
        <v>-3.3586994928</v>
      </c>
      <c r="BR416" s="289">
        <v>0</v>
      </c>
      <c r="BS416" s="289">
        <f t="shared" si="13"/>
        <v>0</v>
      </c>
      <c r="BT416" s="289">
        <v>6</v>
      </c>
      <c r="BU416" s="289">
        <v>0</v>
      </c>
      <c r="BV416" s="289">
        <v>39</v>
      </c>
      <c r="BW416" s="289">
        <v>104.788</v>
      </c>
      <c r="BX416" s="289">
        <v>66.617999999999995</v>
      </c>
      <c r="CC416" s="517"/>
      <c r="CD416" s="85"/>
      <c r="CE416" s="517"/>
    </row>
    <row r="417" spans="1:83" ht="13">
      <c r="A417" s="1">
        <v>5436</v>
      </c>
      <c r="B417" s="2" t="s">
        <v>251</v>
      </c>
      <c r="C417" s="289">
        <v>3964</v>
      </c>
      <c r="D417" s="289">
        <v>68</v>
      </c>
      <c r="E417" s="289">
        <v>144</v>
      </c>
      <c r="F417" s="289">
        <v>418</v>
      </c>
      <c r="G417" s="289">
        <v>362</v>
      </c>
      <c r="H417" s="289">
        <v>2256</v>
      </c>
      <c r="I417" s="289">
        <v>543</v>
      </c>
      <c r="J417" s="289">
        <v>146</v>
      </c>
      <c r="K417" s="289">
        <v>31</v>
      </c>
      <c r="L417" s="289">
        <v>38</v>
      </c>
      <c r="M417" s="289">
        <v>372</v>
      </c>
      <c r="N417" s="290">
        <v>32</v>
      </c>
      <c r="O417" s="290">
        <v>36</v>
      </c>
      <c r="P417" s="624">
        <v>43307.20933333</v>
      </c>
      <c r="Q417" s="624">
        <v>16228.44933333</v>
      </c>
      <c r="R417" s="624">
        <v>7</v>
      </c>
      <c r="S417" s="289">
        <v>0</v>
      </c>
      <c r="T417" s="289">
        <v>446</v>
      </c>
      <c r="U417" s="716">
        <v>1.8513075298920876E-3</v>
      </c>
      <c r="V417" s="289">
        <v>1443.69266743</v>
      </c>
      <c r="W417" s="743">
        <v>1</v>
      </c>
      <c r="X417" s="289">
        <v>2450</v>
      </c>
      <c r="Y417" s="289">
        <v>392</v>
      </c>
      <c r="Z417" s="289">
        <v>95910</v>
      </c>
      <c r="AA417" s="289">
        <v>0</v>
      </c>
      <c r="AB417" s="290">
        <v>66</v>
      </c>
      <c r="AC417" s="289">
        <v>0</v>
      </c>
      <c r="AD417" s="289">
        <v>0</v>
      </c>
      <c r="AE417" s="289">
        <v>0</v>
      </c>
      <c r="AF417" s="289">
        <v>0</v>
      </c>
      <c r="AG417" s="289">
        <v>3968</v>
      </c>
      <c r="AH417" s="289">
        <v>490</v>
      </c>
      <c r="AI417" s="289">
        <v>2600</v>
      </c>
      <c r="AJ417" s="289">
        <v>0</v>
      </c>
      <c r="AK417" s="289">
        <v>14.3406</v>
      </c>
      <c r="AL417" s="289">
        <v>31800</v>
      </c>
      <c r="AM417" s="622">
        <v>8.0810000000000007E-2</v>
      </c>
      <c r="AN417" s="289">
        <v>0</v>
      </c>
      <c r="AO417" s="289">
        <v>-200.80011954</v>
      </c>
      <c r="AP417" s="289">
        <v>0</v>
      </c>
      <c r="AQ417" s="289">
        <v>0</v>
      </c>
      <c r="AR417" s="289">
        <v>552.29987581</v>
      </c>
      <c r="AS417" s="289">
        <v>51.24</v>
      </c>
      <c r="AT417" s="289">
        <v>222</v>
      </c>
      <c r="AU417" s="289">
        <v>41</v>
      </c>
      <c r="AV417" s="625">
        <v>139354</v>
      </c>
      <c r="AW417" s="289">
        <v>-77.197500000000005</v>
      </c>
      <c r="AX417" s="625">
        <v>21.666666670000001</v>
      </c>
      <c r="AY417" s="289">
        <v>767</v>
      </c>
      <c r="AZ417" s="289">
        <v>140</v>
      </c>
      <c r="BA417" s="290">
        <v>104</v>
      </c>
      <c r="BB417" s="289">
        <v>0</v>
      </c>
      <c r="BC417" s="289">
        <v>932</v>
      </c>
      <c r="BD417" s="289">
        <v>65.031400000000005</v>
      </c>
      <c r="BE417" s="289">
        <v>138124.91098027001</v>
      </c>
      <c r="BF417" s="289">
        <v>0</v>
      </c>
      <c r="BG417" s="289">
        <v>11</v>
      </c>
      <c r="BH417" s="289">
        <v>-32.328499999999998</v>
      </c>
      <c r="BI417" s="289">
        <v>882</v>
      </c>
      <c r="BJ417" s="289">
        <v>-4.0731000000000002</v>
      </c>
      <c r="BK417" s="289">
        <v>0</v>
      </c>
      <c r="BL417" s="289">
        <v>0</v>
      </c>
      <c r="BM417" s="289">
        <v>0</v>
      </c>
      <c r="BN417" s="289">
        <v>0</v>
      </c>
      <c r="BO417" s="517">
        <v>0</v>
      </c>
      <c r="BP417" s="517">
        <v>0</v>
      </c>
      <c r="BQ417" s="289">
        <f t="shared" si="12"/>
        <v>-4.0731416832000003</v>
      </c>
      <c r="BR417" s="289">
        <v>0</v>
      </c>
      <c r="BS417" s="289">
        <f t="shared" si="13"/>
        <v>0</v>
      </c>
      <c r="BT417" s="289">
        <v>8</v>
      </c>
      <c r="BU417" s="289">
        <v>0</v>
      </c>
      <c r="BV417" s="289">
        <v>49</v>
      </c>
      <c r="BW417" s="289">
        <v>104.788</v>
      </c>
      <c r="BX417" s="289">
        <v>82.738</v>
      </c>
      <c r="CC417" s="517"/>
      <c r="CD417" s="85"/>
      <c r="CE417" s="517"/>
    </row>
    <row r="418" spans="1:83" ht="13">
      <c r="A418" s="1">
        <v>5437</v>
      </c>
      <c r="B418" s="2" t="s">
        <v>252</v>
      </c>
      <c r="C418" s="289">
        <v>2701</v>
      </c>
      <c r="D418" s="289">
        <v>56</v>
      </c>
      <c r="E418" s="289">
        <v>86</v>
      </c>
      <c r="F418" s="289">
        <v>308</v>
      </c>
      <c r="G418" s="289">
        <v>285</v>
      </c>
      <c r="H418" s="289">
        <v>1567</v>
      </c>
      <c r="I418" s="289">
        <v>286</v>
      </c>
      <c r="J418" s="289">
        <v>101</v>
      </c>
      <c r="K418" s="289">
        <v>14</v>
      </c>
      <c r="L418" s="289">
        <v>21</v>
      </c>
      <c r="M418" s="289">
        <v>231</v>
      </c>
      <c r="N418" s="290">
        <v>1.5</v>
      </c>
      <c r="O418" s="290">
        <v>10</v>
      </c>
      <c r="P418" s="624">
        <v>10706.212333330001</v>
      </c>
      <c r="Q418" s="624">
        <v>12431.63066667</v>
      </c>
      <c r="R418" s="624">
        <v>16</v>
      </c>
      <c r="S418" s="289">
        <v>0</v>
      </c>
      <c r="T418" s="289">
        <v>218</v>
      </c>
      <c r="U418" s="716">
        <v>1.4970491678500653E-3</v>
      </c>
      <c r="V418" s="289">
        <v>1037.4773573299999</v>
      </c>
      <c r="W418" s="743">
        <v>1</v>
      </c>
      <c r="X418" s="289">
        <v>2380</v>
      </c>
      <c r="Y418" s="289">
        <v>392</v>
      </c>
      <c r="Z418" s="289">
        <v>56961</v>
      </c>
      <c r="AA418" s="289">
        <v>0</v>
      </c>
      <c r="AB418" s="290">
        <v>43</v>
      </c>
      <c r="AC418" s="289">
        <v>0</v>
      </c>
      <c r="AD418" s="289">
        <v>0</v>
      </c>
      <c r="AE418" s="289">
        <v>0</v>
      </c>
      <c r="AF418" s="289">
        <v>0</v>
      </c>
      <c r="AG418" s="289">
        <v>2703</v>
      </c>
      <c r="AH418" s="289">
        <v>355</v>
      </c>
      <c r="AI418" s="289">
        <v>1400</v>
      </c>
      <c r="AJ418" s="289">
        <v>0</v>
      </c>
      <c r="AK418" s="289">
        <v>9.7737999999999996</v>
      </c>
      <c r="AL418" s="289">
        <v>21590</v>
      </c>
      <c r="AM418" s="622">
        <v>0.11317789</v>
      </c>
      <c r="AN418" s="289">
        <v>0</v>
      </c>
      <c r="AO418" s="289">
        <v>-144.30050251</v>
      </c>
      <c r="AP418" s="289">
        <v>0</v>
      </c>
      <c r="AQ418" s="289">
        <v>0</v>
      </c>
      <c r="AR418" s="289">
        <v>-193.19475273</v>
      </c>
      <c r="AS418" s="289">
        <v>31.979500000000002</v>
      </c>
      <c r="AT418" s="289">
        <v>123</v>
      </c>
      <c r="AU418" s="289">
        <v>44</v>
      </c>
      <c r="AV418" s="625">
        <v>114894</v>
      </c>
      <c r="AW418" s="289">
        <v>-1.3726</v>
      </c>
      <c r="AX418" s="625">
        <v>24.916666670000001</v>
      </c>
      <c r="AY418" s="289">
        <v>667</v>
      </c>
      <c r="AZ418" s="289">
        <v>152</v>
      </c>
      <c r="BA418" s="290">
        <v>86</v>
      </c>
      <c r="BB418" s="289">
        <v>12005</v>
      </c>
      <c r="BC418" s="289">
        <v>800</v>
      </c>
      <c r="BD418" s="289">
        <v>47.114600000000003</v>
      </c>
      <c r="BE418" s="289">
        <v>114662.35486757</v>
      </c>
      <c r="BF418" s="289">
        <v>0</v>
      </c>
      <c r="BG418" s="289">
        <v>11</v>
      </c>
      <c r="BH418" s="289">
        <v>-22.022200000000002</v>
      </c>
      <c r="BI418" s="289">
        <v>747</v>
      </c>
      <c r="BJ418" s="289">
        <v>-2.7746</v>
      </c>
      <c r="BK418" s="289">
        <v>0</v>
      </c>
      <c r="BL418" s="289">
        <v>0</v>
      </c>
      <c r="BM418" s="289">
        <v>0</v>
      </c>
      <c r="BN418" s="289">
        <v>0</v>
      </c>
      <c r="BO418" s="517">
        <v>0</v>
      </c>
      <c r="BP418" s="517">
        <v>0</v>
      </c>
      <c r="BQ418" s="289">
        <f t="shared" si="12"/>
        <v>-2.7746224722000004</v>
      </c>
      <c r="BR418" s="289">
        <v>0</v>
      </c>
      <c r="BS418" s="289">
        <f t="shared" si="13"/>
        <v>0</v>
      </c>
      <c r="BT418" s="289">
        <v>6</v>
      </c>
      <c r="BU418" s="289">
        <v>0</v>
      </c>
      <c r="BV418" s="289">
        <v>34</v>
      </c>
      <c r="BW418" s="289">
        <v>0</v>
      </c>
      <c r="BX418" s="289">
        <v>55.857999999999997</v>
      </c>
      <c r="CC418" s="517"/>
      <c r="CD418" s="85"/>
      <c r="CE418" s="517"/>
    </row>
    <row r="419" spans="1:83" ht="13">
      <c r="A419" s="1">
        <v>5438</v>
      </c>
      <c r="B419" s="2" t="s">
        <v>253</v>
      </c>
      <c r="C419" s="289">
        <v>1349</v>
      </c>
      <c r="D419" s="289">
        <v>17</v>
      </c>
      <c r="E419" s="289">
        <v>55</v>
      </c>
      <c r="F419" s="289">
        <v>145</v>
      </c>
      <c r="G419" s="289">
        <v>119</v>
      </c>
      <c r="H419" s="289">
        <v>767</v>
      </c>
      <c r="I419" s="289">
        <v>181</v>
      </c>
      <c r="J419" s="289">
        <v>55</v>
      </c>
      <c r="K419" s="289">
        <v>11</v>
      </c>
      <c r="L419" s="289">
        <v>13</v>
      </c>
      <c r="M419" s="289">
        <v>148</v>
      </c>
      <c r="N419" s="290">
        <v>3</v>
      </c>
      <c r="O419" s="290">
        <v>19</v>
      </c>
      <c r="P419" s="624">
        <v>35671.985999999997</v>
      </c>
      <c r="Q419" s="624">
        <v>10555.343000000001</v>
      </c>
      <c r="R419" s="624">
        <v>12</v>
      </c>
      <c r="S419" s="289">
        <v>0</v>
      </c>
      <c r="T419" s="289">
        <v>159</v>
      </c>
      <c r="U419" s="716">
        <v>7.1894058595066987E-4</v>
      </c>
      <c r="V419" s="289">
        <v>658.36389363000001</v>
      </c>
      <c r="W419" s="743">
        <v>1</v>
      </c>
      <c r="X419" s="289">
        <v>1680</v>
      </c>
      <c r="Y419" s="289">
        <v>0</v>
      </c>
      <c r="Z419" s="289">
        <v>33468</v>
      </c>
      <c r="AA419" s="289">
        <v>0</v>
      </c>
      <c r="AB419" s="290">
        <v>36</v>
      </c>
      <c r="AC419" s="289">
        <v>0</v>
      </c>
      <c r="AD419" s="289">
        <v>0</v>
      </c>
      <c r="AE419" s="289">
        <v>0</v>
      </c>
      <c r="AF419" s="289">
        <v>0</v>
      </c>
      <c r="AG419" s="289">
        <v>1350</v>
      </c>
      <c r="AH419" s="289">
        <v>177</v>
      </c>
      <c r="AI419" s="289">
        <v>0</v>
      </c>
      <c r="AJ419" s="289">
        <v>0</v>
      </c>
      <c r="AK419" s="289">
        <v>5.1841999999999997</v>
      </c>
      <c r="AL419" s="289">
        <v>10651</v>
      </c>
      <c r="AM419" s="622">
        <v>7.9964950000000007E-2</v>
      </c>
      <c r="AN419" s="289">
        <v>0</v>
      </c>
      <c r="AO419" s="289">
        <v>-91.570423210000001</v>
      </c>
      <c r="AP419" s="289">
        <v>0</v>
      </c>
      <c r="AQ419" s="289">
        <v>0</v>
      </c>
      <c r="AR419" s="289">
        <v>-96.490165070000003</v>
      </c>
      <c r="AS419" s="289">
        <v>21.36</v>
      </c>
      <c r="AT419" s="289">
        <v>75</v>
      </c>
      <c r="AU419" s="289">
        <v>23</v>
      </c>
      <c r="AV419" s="625">
        <v>83135</v>
      </c>
      <c r="AW419" s="289">
        <v>-0.6855</v>
      </c>
      <c r="AX419" s="625">
        <v>6.8333333300000003</v>
      </c>
      <c r="AY419" s="289">
        <v>199</v>
      </c>
      <c r="AZ419" s="289">
        <v>82</v>
      </c>
      <c r="BA419" s="290">
        <v>25</v>
      </c>
      <c r="BB419" s="289">
        <v>12005</v>
      </c>
      <c r="BC419" s="289">
        <v>276</v>
      </c>
      <c r="BD419" s="289">
        <v>23.4909</v>
      </c>
      <c r="BE419" s="289">
        <v>83630.570230140002</v>
      </c>
      <c r="BF419" s="289">
        <v>0</v>
      </c>
      <c r="BG419" s="289">
        <v>0</v>
      </c>
      <c r="BH419" s="289">
        <v>-10.998900000000001</v>
      </c>
      <c r="BI419" s="289">
        <v>177</v>
      </c>
      <c r="BJ419" s="289">
        <v>-1.3857999999999999</v>
      </c>
      <c r="BK419" s="289">
        <v>0</v>
      </c>
      <c r="BL419" s="289">
        <v>0</v>
      </c>
      <c r="BM419" s="289">
        <v>0</v>
      </c>
      <c r="BN419" s="289">
        <v>0</v>
      </c>
      <c r="BO419" s="517">
        <v>0</v>
      </c>
      <c r="BP419" s="517">
        <v>0</v>
      </c>
      <c r="BQ419" s="289">
        <f t="shared" si="12"/>
        <v>-1.38577149</v>
      </c>
      <c r="BR419" s="289">
        <v>0</v>
      </c>
      <c r="BS419" s="289">
        <f t="shared" si="13"/>
        <v>0</v>
      </c>
      <c r="BT419" s="289">
        <v>3</v>
      </c>
      <c r="BU419" s="289">
        <v>0</v>
      </c>
      <c r="BV419" s="289">
        <v>24</v>
      </c>
      <c r="BW419" s="289">
        <v>104.788</v>
      </c>
      <c r="BX419" s="289">
        <v>28.209</v>
      </c>
      <c r="CC419" s="517"/>
      <c r="CD419" s="85"/>
      <c r="CE419" s="517"/>
    </row>
    <row r="420" spans="1:83" ht="13">
      <c r="A420" s="1">
        <v>5439</v>
      </c>
      <c r="B420" s="2" t="s">
        <v>254</v>
      </c>
      <c r="C420" s="289">
        <v>1153</v>
      </c>
      <c r="D420" s="289">
        <v>19</v>
      </c>
      <c r="E420" s="289">
        <v>40</v>
      </c>
      <c r="F420" s="289">
        <v>83</v>
      </c>
      <c r="G420" s="289">
        <v>84</v>
      </c>
      <c r="H420" s="289">
        <v>726</v>
      </c>
      <c r="I420" s="289">
        <v>165</v>
      </c>
      <c r="J420" s="289">
        <v>28</v>
      </c>
      <c r="K420" s="289">
        <v>8</v>
      </c>
      <c r="L420" s="289">
        <v>11</v>
      </c>
      <c r="M420" s="289">
        <v>108</v>
      </c>
      <c r="N420" s="290">
        <v>1.5</v>
      </c>
      <c r="O420" s="290">
        <v>14</v>
      </c>
      <c r="P420" s="624">
        <v>14977.304333329999</v>
      </c>
      <c r="Q420" s="624">
        <v>9934.5609999999997</v>
      </c>
      <c r="R420" s="624">
        <v>3</v>
      </c>
      <c r="S420" s="289">
        <v>0</v>
      </c>
      <c r="T420" s="289">
        <v>167</v>
      </c>
      <c r="U420" s="716">
        <v>3.232716750000117E-4</v>
      </c>
      <c r="V420" s="289">
        <v>483.85529262</v>
      </c>
      <c r="W420" s="743">
        <v>1</v>
      </c>
      <c r="X420" s="289">
        <v>2830</v>
      </c>
      <c r="Y420" s="289">
        <v>392</v>
      </c>
      <c r="Z420" s="289">
        <v>26285</v>
      </c>
      <c r="AA420" s="289">
        <v>0</v>
      </c>
      <c r="AB420" s="290">
        <v>18</v>
      </c>
      <c r="AC420" s="289">
        <v>0</v>
      </c>
      <c r="AD420" s="289">
        <v>0</v>
      </c>
      <c r="AE420" s="289">
        <v>0</v>
      </c>
      <c r="AF420" s="289">
        <v>0</v>
      </c>
      <c r="AG420" s="289">
        <v>1153</v>
      </c>
      <c r="AH420" s="289">
        <v>113</v>
      </c>
      <c r="AI420" s="289">
        <v>350</v>
      </c>
      <c r="AJ420" s="289">
        <v>0</v>
      </c>
      <c r="AK420" s="289">
        <v>3.8426</v>
      </c>
      <c r="AL420" s="289">
        <v>9105</v>
      </c>
      <c r="AM420" s="622">
        <v>0.15778534</v>
      </c>
      <c r="AN420" s="289">
        <v>0</v>
      </c>
      <c r="AO420" s="289">
        <v>-67.298395839999998</v>
      </c>
      <c r="AP420" s="289">
        <v>0</v>
      </c>
      <c r="AQ420" s="289">
        <v>0</v>
      </c>
      <c r="AR420" s="289">
        <v>-82.409748390000004</v>
      </c>
      <c r="AS420" s="289">
        <v>24.0304</v>
      </c>
      <c r="AT420" s="289">
        <v>70</v>
      </c>
      <c r="AU420" s="289">
        <v>31</v>
      </c>
      <c r="AV420" s="625">
        <v>65087</v>
      </c>
      <c r="AW420" s="289">
        <v>-0.58550000000000002</v>
      </c>
      <c r="AX420" s="625">
        <v>6.3333333300000003</v>
      </c>
      <c r="AY420" s="289">
        <v>138</v>
      </c>
      <c r="AZ420" s="289">
        <v>94</v>
      </c>
      <c r="BA420" s="290">
        <v>20</v>
      </c>
      <c r="BB420" s="289">
        <v>12005</v>
      </c>
      <c r="BC420" s="289">
        <v>555</v>
      </c>
      <c r="BD420" s="289">
        <v>14.997</v>
      </c>
      <c r="BE420" s="289">
        <v>63640.009961169999</v>
      </c>
      <c r="BF420" s="289">
        <v>0</v>
      </c>
      <c r="BG420" s="289">
        <v>11</v>
      </c>
      <c r="BH420" s="289">
        <v>-9.3938000000000006</v>
      </c>
      <c r="BI420" s="289">
        <v>505</v>
      </c>
      <c r="BJ420" s="289">
        <v>-1.1836</v>
      </c>
      <c r="BK420" s="289">
        <v>0</v>
      </c>
      <c r="BL420" s="289">
        <v>0</v>
      </c>
      <c r="BM420" s="289">
        <v>0</v>
      </c>
      <c r="BN420" s="289">
        <v>0</v>
      </c>
      <c r="BO420" s="517">
        <v>0</v>
      </c>
      <c r="BP420" s="517">
        <v>0</v>
      </c>
      <c r="BQ420" s="289">
        <f t="shared" si="12"/>
        <v>-1.1835515022</v>
      </c>
      <c r="BR420" s="289">
        <v>0</v>
      </c>
      <c r="BS420" s="289">
        <f t="shared" si="13"/>
        <v>0</v>
      </c>
      <c r="BT420" s="289">
        <v>2</v>
      </c>
      <c r="BU420" s="289">
        <v>0</v>
      </c>
      <c r="BV420" s="289">
        <v>20</v>
      </c>
      <c r="BW420" s="289">
        <v>303.887</v>
      </c>
      <c r="BX420" s="289">
        <v>23.992000000000001</v>
      </c>
      <c r="CC420" s="517"/>
      <c r="CD420" s="85"/>
      <c r="CE420" s="517"/>
    </row>
    <row r="421" spans="1:83" ht="13">
      <c r="A421" s="1">
        <v>5440</v>
      </c>
      <c r="B421" s="2" t="s">
        <v>255</v>
      </c>
      <c r="C421" s="289">
        <v>983</v>
      </c>
      <c r="D421" s="289">
        <v>18</v>
      </c>
      <c r="E421" s="289">
        <v>23</v>
      </c>
      <c r="F421" s="289">
        <v>87</v>
      </c>
      <c r="G421" s="289">
        <v>77</v>
      </c>
      <c r="H421" s="289">
        <v>568</v>
      </c>
      <c r="I421" s="289">
        <v>149</v>
      </c>
      <c r="J421" s="289">
        <v>53</v>
      </c>
      <c r="K421" s="289">
        <v>13</v>
      </c>
      <c r="L421" s="289">
        <v>10</v>
      </c>
      <c r="M421" s="289">
        <v>131</v>
      </c>
      <c r="N421" s="290">
        <v>1.5</v>
      </c>
      <c r="O421" s="290">
        <v>7</v>
      </c>
      <c r="P421" s="624">
        <v>1682.7993333300001</v>
      </c>
      <c r="Q421" s="624">
        <v>1526.499</v>
      </c>
      <c r="R421" s="624">
        <v>3</v>
      </c>
      <c r="S421" s="289">
        <v>0</v>
      </c>
      <c r="T421" s="289">
        <v>113</v>
      </c>
      <c r="U421" s="716">
        <v>1.8824612359216088E-4</v>
      </c>
      <c r="V421" s="289">
        <v>441.46403084000002</v>
      </c>
      <c r="W421" s="743">
        <v>1</v>
      </c>
      <c r="X421" s="289">
        <v>1800</v>
      </c>
      <c r="Y421" s="289">
        <v>0</v>
      </c>
      <c r="Z421" s="289">
        <v>26464</v>
      </c>
      <c r="AA421" s="289">
        <v>0</v>
      </c>
      <c r="AB421" s="290">
        <v>20</v>
      </c>
      <c r="AC421" s="289">
        <v>0</v>
      </c>
      <c r="AD421" s="289">
        <v>0</v>
      </c>
      <c r="AE421" s="289">
        <v>0</v>
      </c>
      <c r="AF421" s="289">
        <v>0</v>
      </c>
      <c r="AG421" s="289">
        <v>988</v>
      </c>
      <c r="AH421" s="289">
        <v>103</v>
      </c>
      <c r="AI421" s="289">
        <v>900</v>
      </c>
      <c r="AJ421" s="289">
        <v>0</v>
      </c>
      <c r="AK421" s="289">
        <v>2.4011999999999998</v>
      </c>
      <c r="AL421" s="289">
        <v>7936</v>
      </c>
      <c r="AM421" s="622">
        <v>6.4772659999999996E-2</v>
      </c>
      <c r="AN421" s="289">
        <v>0</v>
      </c>
      <c r="AO421" s="289">
        <v>-61.402286070000002</v>
      </c>
      <c r="AP421" s="289">
        <v>0</v>
      </c>
      <c r="AQ421" s="289">
        <v>0</v>
      </c>
      <c r="AR421" s="289">
        <v>718.81317795999996</v>
      </c>
      <c r="AS421" s="289">
        <v>15.154999999999999</v>
      </c>
      <c r="AT421" s="289">
        <v>54</v>
      </c>
      <c r="AU421" s="289">
        <v>19</v>
      </c>
      <c r="AV421" s="625">
        <v>60924</v>
      </c>
      <c r="AW421" s="289">
        <v>-19.221599999999999</v>
      </c>
      <c r="AX421" s="625">
        <v>5.0833333300000003</v>
      </c>
      <c r="AY421" s="289">
        <v>126</v>
      </c>
      <c r="AZ421" s="289">
        <v>62</v>
      </c>
      <c r="BA421" s="290">
        <v>25</v>
      </c>
      <c r="BB421" s="289">
        <v>12005</v>
      </c>
      <c r="BC421" s="289">
        <v>180</v>
      </c>
      <c r="BD421" s="289">
        <v>13.6699</v>
      </c>
      <c r="BE421" s="289">
        <v>59296.855817199998</v>
      </c>
      <c r="BF421" s="289">
        <v>0</v>
      </c>
      <c r="BG421" s="289">
        <v>0</v>
      </c>
      <c r="BH421" s="289">
        <v>-8.0495000000000001</v>
      </c>
      <c r="BI421" s="289">
        <v>103</v>
      </c>
      <c r="BJ421" s="289">
        <v>-1.0142</v>
      </c>
      <c r="BK421" s="289">
        <v>0</v>
      </c>
      <c r="BL421" s="289">
        <v>0</v>
      </c>
      <c r="BM421" s="289">
        <v>0</v>
      </c>
      <c r="BN421" s="289">
        <v>0</v>
      </c>
      <c r="BO421" s="517">
        <v>0</v>
      </c>
      <c r="BP421" s="517">
        <v>0</v>
      </c>
      <c r="BQ421" s="289">
        <f t="shared" si="12"/>
        <v>-1.0141794311999999</v>
      </c>
      <c r="BR421" s="289">
        <v>0</v>
      </c>
      <c r="BS421" s="289">
        <f t="shared" si="13"/>
        <v>0</v>
      </c>
      <c r="BT421" s="289">
        <v>1</v>
      </c>
      <c r="BU421" s="289">
        <v>0</v>
      </c>
      <c r="BV421" s="289">
        <v>18</v>
      </c>
      <c r="BW421" s="289">
        <v>104.788</v>
      </c>
      <c r="BX421" s="289">
        <v>20.378</v>
      </c>
      <c r="CC421" s="517"/>
      <c r="CD421" s="85"/>
      <c r="CE421" s="517"/>
    </row>
    <row r="422" spans="1:83" ht="13">
      <c r="A422" s="1">
        <v>5441</v>
      </c>
      <c r="B422" s="2" t="s">
        <v>256</v>
      </c>
      <c r="C422" s="289">
        <v>2922</v>
      </c>
      <c r="D422" s="289">
        <v>52</v>
      </c>
      <c r="E422" s="289">
        <v>84</v>
      </c>
      <c r="F422" s="289">
        <v>296</v>
      </c>
      <c r="G422" s="289">
        <v>259</v>
      </c>
      <c r="H422" s="289">
        <v>1701</v>
      </c>
      <c r="I422" s="289">
        <v>412</v>
      </c>
      <c r="J422" s="289">
        <v>115</v>
      </c>
      <c r="K422" s="289">
        <v>18</v>
      </c>
      <c r="L422" s="289">
        <v>29</v>
      </c>
      <c r="M422" s="289">
        <v>293</v>
      </c>
      <c r="N422" s="290">
        <v>5</v>
      </c>
      <c r="O422" s="290">
        <v>25</v>
      </c>
      <c r="P422" s="624">
        <v>44926.044333329999</v>
      </c>
      <c r="Q422" s="624">
        <v>28416.763999999999</v>
      </c>
      <c r="R422" s="624">
        <v>23</v>
      </c>
      <c r="S422" s="289">
        <v>0</v>
      </c>
      <c r="T422" s="289">
        <v>304</v>
      </c>
      <c r="U422" s="716">
        <v>2.4993081365622433E-3</v>
      </c>
      <c r="V422" s="289">
        <v>-1122.3321033</v>
      </c>
      <c r="W422" s="743">
        <v>1</v>
      </c>
      <c r="X422" s="289">
        <v>2260</v>
      </c>
      <c r="Y422" s="289">
        <v>392</v>
      </c>
      <c r="Z422" s="289">
        <v>70134</v>
      </c>
      <c r="AA422" s="289">
        <v>0</v>
      </c>
      <c r="AB422" s="290">
        <v>59</v>
      </c>
      <c r="AC422" s="289">
        <v>0</v>
      </c>
      <c r="AD422" s="289">
        <v>0</v>
      </c>
      <c r="AE422" s="289">
        <v>0</v>
      </c>
      <c r="AF422" s="289">
        <v>0</v>
      </c>
      <c r="AG422" s="289">
        <v>2937</v>
      </c>
      <c r="AH422" s="289">
        <v>348</v>
      </c>
      <c r="AI422" s="289">
        <v>1500</v>
      </c>
      <c r="AJ422" s="289">
        <v>0</v>
      </c>
      <c r="AK422" s="289">
        <v>9.09</v>
      </c>
      <c r="AL422" s="289">
        <v>23311</v>
      </c>
      <c r="AM422" s="622">
        <v>6.231826E-2</v>
      </c>
      <c r="AN422" s="289">
        <v>0</v>
      </c>
      <c r="AO422" s="289">
        <v>-166.10816265</v>
      </c>
      <c r="AP422" s="289">
        <v>0</v>
      </c>
      <c r="AQ422" s="289">
        <v>0</v>
      </c>
      <c r="AR422" s="289">
        <v>-209.91971466999999</v>
      </c>
      <c r="AS422" s="289">
        <v>36.232399999999998</v>
      </c>
      <c r="AT422" s="289">
        <v>140</v>
      </c>
      <c r="AU422" s="289">
        <v>41</v>
      </c>
      <c r="AV422" s="625">
        <v>130267</v>
      </c>
      <c r="AW422" s="289">
        <v>-1.4914000000000001</v>
      </c>
      <c r="AX422" s="625">
        <v>20.916666670000001</v>
      </c>
      <c r="AY422" s="289">
        <v>540</v>
      </c>
      <c r="AZ422" s="289">
        <v>92</v>
      </c>
      <c r="BA422" s="290">
        <v>58</v>
      </c>
      <c r="BB422" s="289">
        <v>12005</v>
      </c>
      <c r="BC422" s="289">
        <v>811</v>
      </c>
      <c r="BD422" s="289">
        <v>46.185600000000001</v>
      </c>
      <c r="BE422" s="289">
        <v>130332.39510819</v>
      </c>
      <c r="BF422" s="289">
        <v>0</v>
      </c>
      <c r="BG422" s="289">
        <v>11</v>
      </c>
      <c r="BH422" s="289">
        <v>-23.928599999999999</v>
      </c>
      <c r="BI422" s="289">
        <v>740</v>
      </c>
      <c r="BJ422" s="289">
        <v>-3.0148000000000001</v>
      </c>
      <c r="BK422" s="289">
        <v>0</v>
      </c>
      <c r="BL422" s="289">
        <v>0</v>
      </c>
      <c r="BM422" s="289">
        <v>0</v>
      </c>
      <c r="BN422" s="289">
        <v>0</v>
      </c>
      <c r="BO422" s="517">
        <v>0</v>
      </c>
      <c r="BP422" s="517">
        <v>0</v>
      </c>
      <c r="BQ422" s="289">
        <f t="shared" si="12"/>
        <v>-3.0148228638000001</v>
      </c>
      <c r="BR422" s="289">
        <v>0</v>
      </c>
      <c r="BS422" s="289">
        <f t="shared" si="13"/>
        <v>0</v>
      </c>
      <c r="BT422" s="289">
        <v>5</v>
      </c>
      <c r="BU422" s="289">
        <v>0</v>
      </c>
      <c r="BV422" s="289">
        <v>41</v>
      </c>
      <c r="BW422" s="289">
        <v>104.788</v>
      </c>
      <c r="BX422" s="289">
        <v>60.511000000000003</v>
      </c>
      <c r="CC422" s="517"/>
      <c r="CD422" s="85"/>
      <c r="CE422" s="517"/>
    </row>
    <row r="423" spans="1:83" ht="13">
      <c r="A423" s="1">
        <v>5442</v>
      </c>
      <c r="B423" s="2" t="s">
        <v>257</v>
      </c>
      <c r="C423" s="289">
        <v>944</v>
      </c>
      <c r="D423" s="289">
        <v>9</v>
      </c>
      <c r="E423" s="289">
        <v>45</v>
      </c>
      <c r="F423" s="289">
        <v>96</v>
      </c>
      <c r="G423" s="289">
        <v>71</v>
      </c>
      <c r="H423" s="289">
        <v>515</v>
      </c>
      <c r="I423" s="289">
        <v>155</v>
      </c>
      <c r="J423" s="289">
        <v>46</v>
      </c>
      <c r="K423" s="289">
        <v>8</v>
      </c>
      <c r="L423" s="289">
        <v>10</v>
      </c>
      <c r="M423" s="289">
        <v>129</v>
      </c>
      <c r="N423" s="290">
        <v>3</v>
      </c>
      <c r="O423" s="290">
        <v>20</v>
      </c>
      <c r="P423" s="624">
        <v>7145.7216666699996</v>
      </c>
      <c r="Q423" s="624">
        <v>4353.8816666700004</v>
      </c>
      <c r="R423" s="624">
        <v>5</v>
      </c>
      <c r="S423" s="289">
        <v>0</v>
      </c>
      <c r="T423" s="289">
        <v>101</v>
      </c>
      <c r="U423" s="716">
        <v>7.9693837522569119E-4</v>
      </c>
      <c r="V423" s="289">
        <v>472.67877103000001</v>
      </c>
      <c r="W423" s="743">
        <v>1</v>
      </c>
      <c r="X423" s="289">
        <v>1420</v>
      </c>
      <c r="Y423" s="289">
        <v>0</v>
      </c>
      <c r="Z423" s="289">
        <v>20492</v>
      </c>
      <c r="AA423" s="289">
        <v>0</v>
      </c>
      <c r="AB423" s="290">
        <v>12</v>
      </c>
      <c r="AC423" s="289">
        <v>0</v>
      </c>
      <c r="AD423" s="289">
        <v>0</v>
      </c>
      <c r="AE423" s="289">
        <v>0</v>
      </c>
      <c r="AF423" s="289">
        <v>0</v>
      </c>
      <c r="AG423" s="289">
        <v>945</v>
      </c>
      <c r="AH423" s="289">
        <v>116</v>
      </c>
      <c r="AI423" s="289">
        <v>0</v>
      </c>
      <c r="AJ423" s="289">
        <v>0</v>
      </c>
      <c r="AK423" s="289">
        <v>4.1062000000000003</v>
      </c>
      <c r="AL423" s="289">
        <v>7616</v>
      </c>
      <c r="AM423" s="622">
        <v>2.786375E-2</v>
      </c>
      <c r="AN423" s="289">
        <v>0</v>
      </c>
      <c r="AO423" s="289">
        <v>-65.743877400000002</v>
      </c>
      <c r="AP423" s="289">
        <v>0</v>
      </c>
      <c r="AQ423" s="289">
        <v>0</v>
      </c>
      <c r="AR423" s="289">
        <v>-67.543115549999996</v>
      </c>
      <c r="AS423" s="289">
        <v>11.523099999999999</v>
      </c>
      <c r="AT423" s="289">
        <v>40</v>
      </c>
      <c r="AU423" s="289">
        <v>10</v>
      </c>
      <c r="AV423" s="625">
        <v>64515</v>
      </c>
      <c r="AW423" s="289">
        <v>-0.47989999999999999</v>
      </c>
      <c r="AX423" s="625">
        <v>3.0833333299999999</v>
      </c>
      <c r="AY423" s="289">
        <v>174</v>
      </c>
      <c r="AZ423" s="289">
        <v>63</v>
      </c>
      <c r="BA423" s="290">
        <v>16</v>
      </c>
      <c r="BB423" s="289">
        <v>12005</v>
      </c>
      <c r="BC423" s="289">
        <v>124</v>
      </c>
      <c r="BD423" s="289">
        <v>15.395200000000001</v>
      </c>
      <c r="BE423" s="289">
        <v>64242.105750069997</v>
      </c>
      <c r="BF423" s="289">
        <v>0</v>
      </c>
      <c r="BG423" s="289">
        <v>0</v>
      </c>
      <c r="BH423" s="289">
        <v>-7.6992000000000003</v>
      </c>
      <c r="BI423" s="289">
        <v>116</v>
      </c>
      <c r="BJ423" s="289">
        <v>-0.97</v>
      </c>
      <c r="BK423" s="289">
        <v>0</v>
      </c>
      <c r="BL423" s="289">
        <v>0</v>
      </c>
      <c r="BM423" s="289">
        <v>0</v>
      </c>
      <c r="BN423" s="289">
        <v>0</v>
      </c>
      <c r="BO423" s="517">
        <v>0</v>
      </c>
      <c r="BP423" s="517">
        <v>0</v>
      </c>
      <c r="BQ423" s="289">
        <f t="shared" si="12"/>
        <v>-0.97004004300000002</v>
      </c>
      <c r="BR423" s="289">
        <v>0</v>
      </c>
      <c r="BS423" s="289">
        <f t="shared" si="13"/>
        <v>0</v>
      </c>
      <c r="BT423" s="289">
        <v>2</v>
      </c>
      <c r="BU423" s="289">
        <v>0</v>
      </c>
      <c r="BV423" s="289">
        <v>18</v>
      </c>
      <c r="BW423" s="289">
        <v>209.577</v>
      </c>
      <c r="BX423" s="289">
        <v>19.795999999999999</v>
      </c>
      <c r="CC423" s="517"/>
      <c r="CD423" s="85"/>
      <c r="CE423" s="517"/>
    </row>
    <row r="424" spans="1:83" ht="13">
      <c r="A424" s="1">
        <v>5443</v>
      </c>
      <c r="B424" s="2" t="s">
        <v>258</v>
      </c>
      <c r="C424" s="289">
        <v>2263</v>
      </c>
      <c r="D424" s="289">
        <v>43</v>
      </c>
      <c r="E424" s="289">
        <v>93</v>
      </c>
      <c r="F424" s="289">
        <v>239</v>
      </c>
      <c r="G424" s="289">
        <v>184</v>
      </c>
      <c r="H424" s="289">
        <v>1393</v>
      </c>
      <c r="I424" s="289">
        <v>255</v>
      </c>
      <c r="J424" s="289">
        <v>58</v>
      </c>
      <c r="K424" s="289">
        <v>10</v>
      </c>
      <c r="L424" s="289">
        <v>21</v>
      </c>
      <c r="M424" s="289">
        <v>156</v>
      </c>
      <c r="N424" s="290">
        <v>29</v>
      </c>
      <c r="O424" s="290">
        <v>55</v>
      </c>
      <c r="P424" s="624">
        <v>2879.9780000000001</v>
      </c>
      <c r="Q424" s="624">
        <v>2605.8276666699999</v>
      </c>
      <c r="R424" s="624">
        <v>9</v>
      </c>
      <c r="S424" s="289">
        <v>0</v>
      </c>
      <c r="T424" s="289">
        <v>245</v>
      </c>
      <c r="U424" s="716">
        <v>2.1031840626103499E-4</v>
      </c>
      <c r="V424" s="289">
        <v>837.02629998999998</v>
      </c>
      <c r="W424" s="743">
        <v>1</v>
      </c>
      <c r="X424" s="289">
        <v>1930</v>
      </c>
      <c r="Y424" s="289">
        <v>392</v>
      </c>
      <c r="Z424" s="289">
        <v>61493</v>
      </c>
      <c r="AA424" s="289">
        <v>0</v>
      </c>
      <c r="AB424" s="290">
        <v>44</v>
      </c>
      <c r="AC424" s="289">
        <v>0</v>
      </c>
      <c r="AD424" s="289">
        <v>0</v>
      </c>
      <c r="AE424" s="289">
        <v>0</v>
      </c>
      <c r="AF424" s="289">
        <v>0</v>
      </c>
      <c r="AG424" s="289">
        <v>2275</v>
      </c>
      <c r="AH424" s="289">
        <v>287</v>
      </c>
      <c r="AI424" s="289">
        <v>900</v>
      </c>
      <c r="AJ424" s="289">
        <v>0</v>
      </c>
      <c r="AK424" s="289">
        <v>8.7742000000000004</v>
      </c>
      <c r="AL424" s="289">
        <v>18154</v>
      </c>
      <c r="AM424" s="622">
        <v>0.17147897000000001</v>
      </c>
      <c r="AN424" s="289">
        <v>0</v>
      </c>
      <c r="AO424" s="289">
        <v>-116.42019447</v>
      </c>
      <c r="AP424" s="289">
        <v>0</v>
      </c>
      <c r="AQ424" s="289">
        <v>0</v>
      </c>
      <c r="AR424" s="289">
        <v>-162.60379669</v>
      </c>
      <c r="AS424" s="289">
        <v>37.458399999999997</v>
      </c>
      <c r="AT424" s="289">
        <v>120</v>
      </c>
      <c r="AU424" s="289">
        <v>54</v>
      </c>
      <c r="AV424" s="625">
        <v>91886</v>
      </c>
      <c r="AW424" s="289">
        <v>-1.1552</v>
      </c>
      <c r="AX424" s="625">
        <v>14.66666667</v>
      </c>
      <c r="AY424" s="289">
        <v>248</v>
      </c>
      <c r="AZ424" s="289">
        <v>136</v>
      </c>
      <c r="BA424" s="290">
        <v>59</v>
      </c>
      <c r="BB424" s="289">
        <v>12005</v>
      </c>
      <c r="BC424" s="289">
        <v>709</v>
      </c>
      <c r="BD424" s="289">
        <v>38.089799999999997</v>
      </c>
      <c r="BE424" s="289">
        <v>93157.550399440006</v>
      </c>
      <c r="BF424" s="289">
        <v>0</v>
      </c>
      <c r="BG424" s="289">
        <v>11</v>
      </c>
      <c r="BH424" s="289">
        <v>-18.5351</v>
      </c>
      <c r="BI424" s="289">
        <v>679</v>
      </c>
      <c r="BJ424" s="289">
        <v>-2.3353000000000002</v>
      </c>
      <c r="BK424" s="289">
        <v>0</v>
      </c>
      <c r="BL424" s="289">
        <v>0</v>
      </c>
      <c r="BM424" s="289">
        <v>0</v>
      </c>
      <c r="BN424" s="289">
        <v>0</v>
      </c>
      <c r="BO424" s="517">
        <v>0</v>
      </c>
      <c r="BP424" s="517">
        <v>0</v>
      </c>
      <c r="BQ424" s="289">
        <f t="shared" si="12"/>
        <v>-2.3352815850000002</v>
      </c>
      <c r="BR424" s="289">
        <v>0</v>
      </c>
      <c r="BS424" s="289">
        <f t="shared" si="13"/>
        <v>0</v>
      </c>
      <c r="BT424" s="289">
        <v>5</v>
      </c>
      <c r="BU424" s="289">
        <v>0</v>
      </c>
      <c r="BV424" s="289">
        <v>27</v>
      </c>
      <c r="BW424" s="289">
        <v>104.788</v>
      </c>
      <c r="BX424" s="289">
        <v>47.569000000000003</v>
      </c>
      <c r="CC424" s="517"/>
      <c r="CD424" s="85"/>
      <c r="CE424" s="517"/>
    </row>
    <row r="425" spans="1:83" ht="13">
      <c r="A425" s="1">
        <v>5444</v>
      </c>
      <c r="B425" s="4" t="s">
        <v>260</v>
      </c>
      <c r="C425" s="289">
        <v>10171</v>
      </c>
      <c r="D425" s="289">
        <v>173</v>
      </c>
      <c r="E425" s="289">
        <v>399</v>
      </c>
      <c r="F425" s="289">
        <v>1140</v>
      </c>
      <c r="G425" s="289">
        <v>992</v>
      </c>
      <c r="H425" s="289">
        <v>5954</v>
      </c>
      <c r="I425" s="289">
        <v>1090</v>
      </c>
      <c r="J425" s="289">
        <v>346</v>
      </c>
      <c r="K425" s="289">
        <v>76</v>
      </c>
      <c r="L425" s="289">
        <v>86</v>
      </c>
      <c r="M425" s="289">
        <v>763</v>
      </c>
      <c r="N425" s="290">
        <v>110</v>
      </c>
      <c r="O425" s="290">
        <v>113</v>
      </c>
      <c r="P425" s="624">
        <v>89786.50266667</v>
      </c>
      <c r="Q425" s="624">
        <v>42564.967333330002</v>
      </c>
      <c r="R425" s="624">
        <v>29</v>
      </c>
      <c r="S425" s="289">
        <v>0</v>
      </c>
      <c r="T425" s="289">
        <v>956</v>
      </c>
      <c r="U425" s="716">
        <v>1.5204673070776538E-3</v>
      </c>
      <c r="V425" s="289">
        <v>3413.6823049</v>
      </c>
      <c r="W425" s="743">
        <v>0.68458116999999996</v>
      </c>
      <c r="X425" s="289">
        <v>770</v>
      </c>
      <c r="Y425" s="289">
        <v>392</v>
      </c>
      <c r="Z425" s="289">
        <v>262229</v>
      </c>
      <c r="AA425" s="289">
        <v>0</v>
      </c>
      <c r="AB425" s="290">
        <v>178</v>
      </c>
      <c r="AC425" s="289">
        <v>0</v>
      </c>
      <c r="AD425" s="289">
        <v>0</v>
      </c>
      <c r="AE425" s="289">
        <v>0</v>
      </c>
      <c r="AF425" s="289">
        <v>0</v>
      </c>
      <c r="AG425" s="289">
        <v>10170</v>
      </c>
      <c r="AH425" s="289">
        <v>1373</v>
      </c>
      <c r="AI425" s="289">
        <v>3420</v>
      </c>
      <c r="AJ425" s="289">
        <v>0</v>
      </c>
      <c r="AK425" s="289">
        <v>40.040399999999998</v>
      </c>
      <c r="AL425" s="289">
        <v>81674</v>
      </c>
      <c r="AM425" s="622">
        <v>0.50356082000000002</v>
      </c>
      <c r="AN425" s="289">
        <v>0</v>
      </c>
      <c r="AO425" s="289">
        <v>-486.73549502999998</v>
      </c>
      <c r="AP425" s="289">
        <v>0</v>
      </c>
      <c r="AQ425" s="289">
        <v>0</v>
      </c>
      <c r="AR425" s="289">
        <v>-726.89257685999996</v>
      </c>
      <c r="AS425" s="289">
        <v>141.3416</v>
      </c>
      <c r="AT425" s="289">
        <v>586</v>
      </c>
      <c r="AU425" s="289">
        <v>239</v>
      </c>
      <c r="AV425" s="625">
        <v>316629</v>
      </c>
      <c r="AW425" s="289">
        <v>-5.1642999999999999</v>
      </c>
      <c r="AX425" s="625">
        <v>61.5</v>
      </c>
      <c r="AY425" s="289">
        <v>2224</v>
      </c>
      <c r="AZ425" s="289">
        <v>374</v>
      </c>
      <c r="BA425" s="290">
        <v>272</v>
      </c>
      <c r="BB425" s="289">
        <v>0</v>
      </c>
      <c r="BC425" s="289">
        <v>1777</v>
      </c>
      <c r="BD425" s="289">
        <v>182.22069999999999</v>
      </c>
      <c r="BE425" s="289">
        <v>319190.07461856998</v>
      </c>
      <c r="BF425" s="289">
        <v>0</v>
      </c>
      <c r="BG425" s="289">
        <v>11</v>
      </c>
      <c r="BH425" s="289">
        <v>-82.858099999999993</v>
      </c>
      <c r="BI425" s="289">
        <v>1765</v>
      </c>
      <c r="BJ425" s="289">
        <v>-10.439500000000001</v>
      </c>
      <c r="BK425" s="289">
        <v>0</v>
      </c>
      <c r="BL425" s="289">
        <v>0</v>
      </c>
      <c r="BM425" s="289">
        <v>0</v>
      </c>
      <c r="BN425" s="289">
        <v>0</v>
      </c>
      <c r="BO425" s="517">
        <v>0</v>
      </c>
      <c r="BP425" s="517">
        <v>0</v>
      </c>
      <c r="BQ425" s="289">
        <f t="shared" si="12"/>
        <v>-10.439478558000001</v>
      </c>
      <c r="BR425" s="289">
        <v>0</v>
      </c>
      <c r="BS425" s="289">
        <f t="shared" si="13"/>
        <v>0</v>
      </c>
      <c r="BT425" s="289">
        <v>23</v>
      </c>
      <c r="BU425" s="289">
        <v>0</v>
      </c>
      <c r="BV425" s="289">
        <v>104</v>
      </c>
      <c r="BW425" s="289">
        <v>167.66200000000001</v>
      </c>
      <c r="BX425" s="289">
        <v>209.63800000000001</v>
      </c>
      <c r="CC425" s="517"/>
      <c r="CD425" s="85"/>
      <c r="CE425" s="517"/>
    </row>
    <row r="426" spans="1:83"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row>
    <row r="427" spans="1:83" ht="13">
      <c r="A427" s="1"/>
      <c r="B427" s="2" t="s">
        <v>261</v>
      </c>
      <c r="C427" s="289">
        <f t="shared" ref="C427:AH427" si="14">SUM(C4:C425)</f>
        <v>5295619</v>
      </c>
      <c r="D427" s="289">
        <f t="shared" si="14"/>
        <v>118267</v>
      </c>
      <c r="E427" s="289">
        <f t="shared" si="14"/>
        <v>246598</v>
      </c>
      <c r="F427" s="289">
        <f t="shared" si="14"/>
        <v>634798</v>
      </c>
      <c r="G427" s="289">
        <f t="shared" si="14"/>
        <v>465492</v>
      </c>
      <c r="H427" s="289">
        <f t="shared" si="14"/>
        <v>3035065</v>
      </c>
      <c r="I427" s="289">
        <f t="shared" si="14"/>
        <v>555836</v>
      </c>
      <c r="J427" s="289">
        <f t="shared" si="14"/>
        <v>177201</v>
      </c>
      <c r="K427" s="289">
        <f t="shared" si="14"/>
        <v>44561</v>
      </c>
      <c r="L427" s="289">
        <f t="shared" si="14"/>
        <v>41160</v>
      </c>
      <c r="M427" s="289">
        <f t="shared" si="14"/>
        <v>342622</v>
      </c>
      <c r="N427" s="290">
        <f t="shared" si="14"/>
        <v>147902</v>
      </c>
      <c r="O427" s="289">
        <f t="shared" si="14"/>
        <v>49464</v>
      </c>
      <c r="P427" s="289">
        <f t="shared" si="14"/>
        <v>20473408.768499982</v>
      </c>
      <c r="Q427" s="289">
        <f t="shared" si="14"/>
        <v>9385626.614166623</v>
      </c>
      <c r="R427" s="289">
        <f t="shared" si="14"/>
        <v>19487</v>
      </c>
      <c r="S427" s="289">
        <f t="shared" si="14"/>
        <v>0</v>
      </c>
      <c r="T427" s="289">
        <f t="shared" si="14"/>
        <v>449127</v>
      </c>
      <c r="U427" s="716">
        <f t="shared" si="14"/>
        <v>1</v>
      </c>
      <c r="V427" s="178">
        <f t="shared" si="14"/>
        <v>8.0013705883175135E-8</v>
      </c>
      <c r="W427" s="801">
        <f t="shared" si="14"/>
        <v>325.06474423000014</v>
      </c>
      <c r="X427" s="289">
        <f t="shared" si="14"/>
        <v>760642</v>
      </c>
      <c r="Y427" s="289">
        <f t="shared" si="14"/>
        <v>169900</v>
      </c>
      <c r="Z427" s="289">
        <f t="shared" si="14"/>
        <v>162536856</v>
      </c>
      <c r="AA427" s="289">
        <f t="shared" si="14"/>
        <v>-114945.25329613002</v>
      </c>
      <c r="AB427" s="289">
        <f t="shared" si="14"/>
        <v>94623</v>
      </c>
      <c r="AC427" s="289">
        <f t="shared" si="14"/>
        <v>40000</v>
      </c>
      <c r="AD427" s="289">
        <f t="shared" si="14"/>
        <v>254159.69400000002</v>
      </c>
      <c r="AE427" s="289">
        <f t="shared" si="14"/>
        <v>312444</v>
      </c>
      <c r="AF427" s="289">
        <f t="shared" si="14"/>
        <v>180271.91845107003</v>
      </c>
      <c r="AG427" s="289">
        <f t="shared" si="14"/>
        <v>5277818</v>
      </c>
      <c r="AH427" s="289">
        <f t="shared" si="14"/>
        <v>753482</v>
      </c>
      <c r="AI427" s="289">
        <f t="shared" ref="AI427:BL427" si="15">SUM(AI4:AI425)</f>
        <v>338995</v>
      </c>
      <c r="AJ427" s="289">
        <f t="shared" si="15"/>
        <v>6948.9619999999995</v>
      </c>
      <c r="AK427" s="289">
        <f t="shared" si="15"/>
        <v>24799.999999999989</v>
      </c>
      <c r="AL427" s="289">
        <f t="shared" si="15"/>
        <v>1645503</v>
      </c>
      <c r="AM427" s="617">
        <f t="shared" si="15"/>
        <v>223.69054585000003</v>
      </c>
      <c r="AN427" s="289">
        <f t="shared" si="15"/>
        <v>430495</v>
      </c>
      <c r="AO427" s="289">
        <f t="shared" si="15"/>
        <v>-257504.99999990009</v>
      </c>
      <c r="AP427" s="289">
        <f t="shared" si="15"/>
        <v>490158</v>
      </c>
      <c r="AQ427" s="289">
        <f t="shared" si="15"/>
        <v>-1784.3836068799999</v>
      </c>
      <c r="AR427" s="289">
        <f t="shared" si="15"/>
        <v>-4.0036866266746074E-8</v>
      </c>
      <c r="AS427" s="176">
        <f t="shared" si="15"/>
        <v>75000.000300000072</v>
      </c>
      <c r="AT427" s="289">
        <f t="shared" si="15"/>
        <v>288669</v>
      </c>
      <c r="AU427" s="289">
        <f t="shared" si="15"/>
        <v>77808</v>
      </c>
      <c r="AV427" s="289">
        <f t="shared" si="15"/>
        <v>126648032</v>
      </c>
      <c r="AW427" s="289">
        <f t="shared" si="15"/>
        <v>-4.9999999948280305E-4</v>
      </c>
      <c r="AX427" s="625">
        <f t="shared" si="15"/>
        <v>40654.208333949959</v>
      </c>
      <c r="AY427" s="289">
        <f t="shared" si="15"/>
        <v>1321033</v>
      </c>
      <c r="AZ427" s="289">
        <f t="shared" si="15"/>
        <v>260937</v>
      </c>
      <c r="BA427" s="289">
        <f t="shared" si="15"/>
        <v>122673</v>
      </c>
      <c r="BB427" s="289">
        <f t="shared" si="15"/>
        <v>894937</v>
      </c>
      <c r="BC427" s="289">
        <f t="shared" si="15"/>
        <v>-97100.029768969907</v>
      </c>
      <c r="BD427" s="289">
        <f t="shared" si="15"/>
        <v>99999.999499999991</v>
      </c>
      <c r="BE427" s="289">
        <f t="shared" si="15"/>
        <v>130202067.00000043</v>
      </c>
      <c r="BF427" s="289">
        <f t="shared" si="15"/>
        <v>-28094.118834600002</v>
      </c>
      <c r="BG427" s="289">
        <f t="shared" si="15"/>
        <v>5000</v>
      </c>
      <c r="BH427" s="289">
        <f t="shared" si="15"/>
        <v>-42999.999799999976</v>
      </c>
      <c r="BI427" s="289">
        <f t="shared" si="15"/>
        <v>246290.16952032986</v>
      </c>
      <c r="BJ427" s="289">
        <f t="shared" si="15"/>
        <v>1.0999999990382037E-3</v>
      </c>
      <c r="BK427" s="71">
        <f t="shared" si="15"/>
        <v>35003</v>
      </c>
      <c r="BL427" s="71">
        <f t="shared" si="15"/>
        <v>-1043736.0408000001</v>
      </c>
      <c r="BM427" s="71">
        <f t="shared" ref="BM427:BN427" si="16">SUM(BM4:BM425)</f>
        <v>200000</v>
      </c>
      <c r="BN427" s="71">
        <f t="shared" si="16"/>
        <v>-2.2737367544323206E-13</v>
      </c>
      <c r="BO427" s="71">
        <f t="shared" ref="BO427:BX427" si="17">SUM(BO4:BO425)</f>
        <v>0</v>
      </c>
      <c r="BP427" s="71">
        <f t="shared" si="17"/>
        <v>18224.713747145619</v>
      </c>
      <c r="BQ427" s="71">
        <f t="shared" si="17"/>
        <v>-5417.6664546732063</v>
      </c>
      <c r="BR427" s="71">
        <f t="shared" si="17"/>
        <v>294577.36300000013</v>
      </c>
      <c r="BS427" s="71">
        <f t="shared" si="17"/>
        <v>40417.669000000024</v>
      </c>
      <c r="BT427" s="71">
        <f t="shared" si="17"/>
        <v>14200</v>
      </c>
      <c r="BU427" s="71">
        <f t="shared" si="17"/>
        <v>75251.97</v>
      </c>
      <c r="BV427" s="71">
        <f t="shared" si="17"/>
        <v>50000</v>
      </c>
      <c r="BW427" s="71">
        <f t="shared" si="17"/>
        <v>72499.999999999927</v>
      </c>
      <c r="BX427" s="71">
        <f t="shared" si="17"/>
        <v>110355.00000000007</v>
      </c>
    </row>
    <row r="429" spans="1:83">
      <c r="N429" s="5"/>
      <c r="AC429" s="5"/>
      <c r="AK429" s="5"/>
      <c r="BE429" s="5"/>
      <c r="BH429" s="5"/>
      <c r="BI429" s="5"/>
      <c r="BJ429" s="5"/>
      <c r="BL429" s="5"/>
      <c r="BM429" s="5"/>
      <c r="BP429" s="5">
        <f>+AD427-BQ427+BP427</f>
        <v>277802.07420181885</v>
      </c>
      <c r="BU429" s="5"/>
    </row>
    <row r="430" spans="1:83">
      <c r="C430" s="5"/>
      <c r="BI430" s="5"/>
      <c r="BL430" s="5">
        <f>SUMIF(BL4:BL425,"&lt;0")</f>
        <v>-1043736.0408000001</v>
      </c>
      <c r="BN430" s="5"/>
      <c r="BU430" s="5"/>
    </row>
    <row r="431" spans="1:83">
      <c r="AF431" s="5"/>
      <c r="BE431" s="5"/>
      <c r="BL431" s="5"/>
      <c r="BU431" s="5"/>
    </row>
    <row r="432" spans="1:83">
      <c r="BJ432" s="5"/>
      <c r="BK432" s="5"/>
      <c r="BM432" s="5"/>
      <c r="BP432" s="5"/>
    </row>
    <row r="433" spans="63:63">
      <c r="BK433" s="5"/>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3"/>
  <sheetViews>
    <sheetView zoomScale="106" zoomScaleNormal="106" workbookViewId="0">
      <pane xSplit="2" ySplit="4" topLeftCell="F5" activePane="bottomRight" state="frozen"/>
      <selection activeCell="J9" sqref="J9"/>
      <selection pane="topRight" activeCell="J9" sqref="J9"/>
      <selection pane="bottomLeft" activeCell="J9" sqref="J9"/>
      <selection pane="bottomRight" activeCell="K14" sqref="K14"/>
    </sheetView>
  </sheetViews>
  <sheetFormatPr baseColWidth="10" defaultColWidth="9.1796875" defaultRowHeight="13"/>
  <cols>
    <col min="1" max="1" width="32.7265625" style="7" customWidth="1"/>
    <col min="2" max="2" width="43.1796875" style="8" customWidth="1"/>
    <col min="3" max="3" width="12" style="7" customWidth="1"/>
    <col min="4" max="5" width="11.26953125" style="7" customWidth="1"/>
    <col min="6" max="6" width="11.81640625" style="7" customWidth="1"/>
    <col min="7" max="7" width="11.26953125" style="7" customWidth="1"/>
    <col min="8" max="8" width="11.453125" style="7" bestFit="1" customWidth="1"/>
    <col min="9" max="11" width="11.26953125" style="335" bestFit="1" customWidth="1"/>
    <col min="12" max="12" width="11.26953125" style="335" customWidth="1"/>
    <col min="13" max="14" width="10.453125" style="335" bestFit="1" customWidth="1"/>
    <col min="15" max="15" width="10.7265625" style="335" bestFit="1" customWidth="1"/>
    <col min="16" max="16" width="13.453125" style="335" bestFit="1" customWidth="1"/>
    <col min="17" max="17" width="12" style="335" customWidth="1"/>
    <col min="18" max="27" width="9.1796875" style="335"/>
    <col min="28" max="33" width="9.1796875" style="653"/>
    <col min="34" max="16384" width="9.1796875" style="7"/>
  </cols>
  <sheetData>
    <row r="1" spans="1:33">
      <c r="A1" s="7" t="str">
        <f>A2</f>
        <v>HEIM (FRA 1.1.2020)</v>
      </c>
      <c r="B1" s="76" t="s">
        <v>719</v>
      </c>
      <c r="C1" s="190">
        <f t="shared" ref="C1:F1" si="0">C4</f>
        <v>2018</v>
      </c>
      <c r="D1" s="190">
        <f t="shared" si="0"/>
        <v>2019</v>
      </c>
      <c r="E1" s="190">
        <f t="shared" si="0"/>
        <v>2020</v>
      </c>
      <c r="F1" s="190">
        <f t="shared" si="0"/>
        <v>2021</v>
      </c>
      <c r="G1" s="190">
        <f t="shared" ref="G1:H1" si="1">G4</f>
        <v>2022</v>
      </c>
      <c r="H1" s="190">
        <f t="shared" si="1"/>
        <v>2023</v>
      </c>
      <c r="I1" s="190">
        <f t="shared" ref="I1:K1" si="2">I4</f>
        <v>2024</v>
      </c>
      <c r="J1" s="190">
        <f t="shared" si="2"/>
        <v>2025</v>
      </c>
      <c r="K1" s="190">
        <f t="shared" si="2"/>
        <v>2026</v>
      </c>
      <c r="AB1" s="335"/>
      <c r="AC1" s="335"/>
      <c r="AD1" s="335"/>
      <c r="AE1" s="335"/>
      <c r="AF1" s="335"/>
      <c r="AG1" s="335"/>
    </row>
    <row r="2" spans="1:33" ht="15.75" customHeight="1">
      <c r="A2" s="286" t="str">
        <f>Gdata!C3</f>
        <v>HEIM (FRA 1.1.2020)</v>
      </c>
      <c r="B2" s="306">
        <f>Inngang!C8</f>
        <v>5055</v>
      </c>
      <c r="C2" s="6"/>
      <c r="D2" s="575"/>
      <c r="E2" s="575"/>
      <c r="F2" s="575"/>
      <c r="G2" s="575"/>
      <c r="H2" s="575"/>
      <c r="I2" s="575"/>
      <c r="J2" s="575"/>
      <c r="K2" s="575"/>
      <c r="AB2" s="335"/>
      <c r="AC2" s="335"/>
      <c r="AD2" s="335"/>
      <c r="AE2" s="335"/>
      <c r="AF2" s="335"/>
      <c r="AG2" s="335"/>
    </row>
    <row r="3" spans="1:33">
      <c r="A3" s="187" t="str">
        <f>IF(Gdata!B24=1,"2022-prisnivå for årene 2023-2026","2023-prisnivå for årene 2023-2026")</f>
        <v>2023-prisnivå for årene 2023-2026</v>
      </c>
      <c r="B3" s="13"/>
      <c r="C3" s="6"/>
      <c r="D3" s="6"/>
      <c r="E3" s="6"/>
      <c r="F3" s="6"/>
      <c r="G3" s="1262" t="s">
        <v>267</v>
      </c>
      <c r="H3" s="1252"/>
      <c r="I3" s="1252"/>
      <c r="J3" s="1252"/>
      <c r="K3" s="1252"/>
      <c r="AB3" s="335"/>
      <c r="AC3" s="335"/>
      <c r="AD3" s="335"/>
      <c r="AE3" s="335"/>
      <c r="AF3" s="335"/>
      <c r="AG3" s="335"/>
    </row>
    <row r="4" spans="1:33">
      <c r="A4" s="226" t="s">
        <v>268</v>
      </c>
      <c r="B4" s="29"/>
      <c r="C4" s="253">
        <f>Gdata!B90</f>
        <v>2018</v>
      </c>
      <c r="D4" s="253">
        <f>Gdata!C90</f>
        <v>2019</v>
      </c>
      <c r="E4" s="253">
        <f>Gdata!D90</f>
        <v>2020</v>
      </c>
      <c r="F4" s="253">
        <f>Gdata!E90</f>
        <v>2021</v>
      </c>
      <c r="G4" s="253">
        <f>Gdata!F90</f>
        <v>2022</v>
      </c>
      <c r="H4" s="253">
        <f>Gdata!G90</f>
        <v>2023</v>
      </c>
      <c r="I4" s="253">
        <f>Gdata!H90</f>
        <v>2024</v>
      </c>
      <c r="J4" s="253">
        <f>Gdata!I90</f>
        <v>2025</v>
      </c>
      <c r="K4" s="253">
        <f>Gdata!J90</f>
        <v>2026</v>
      </c>
      <c r="AB4" s="335"/>
      <c r="AC4" s="335"/>
      <c r="AD4" s="335"/>
      <c r="AE4" s="335"/>
      <c r="AF4" s="335"/>
      <c r="AG4" s="335"/>
    </row>
    <row r="5" spans="1:33">
      <c r="A5" s="335" t="s">
        <v>341</v>
      </c>
      <c r="B5" s="336"/>
      <c r="C5" s="336" t="e">
        <f>+Bregn!C99</f>
        <v>#N/A</v>
      </c>
      <c r="D5" s="930" t="e">
        <f>+Bregn!D99</f>
        <v>#N/A</v>
      </c>
      <c r="E5" s="930">
        <f>+Bregn!E99</f>
        <v>150149.72163855183</v>
      </c>
      <c r="F5" s="930">
        <f>+Bregn!F99</f>
        <v>146834.83479891607</v>
      </c>
      <c r="G5" s="386">
        <f>+Bregn!G99</f>
        <v>154841.11074497987</v>
      </c>
      <c r="H5" s="386">
        <f>+Bregn!H99</f>
        <v>165232.59126483425</v>
      </c>
      <c r="I5" s="337">
        <f>+Bregn!I99</f>
        <v>166525.29142115437</v>
      </c>
      <c r="J5" s="337">
        <f>+Bregn!J99</f>
        <v>167504.66971833838</v>
      </c>
      <c r="K5" s="337">
        <f>+Bregn!K99</f>
        <v>167508.16056462613</v>
      </c>
      <c r="L5" s="339"/>
      <c r="N5" s="908"/>
      <c r="AB5" s="335"/>
      <c r="AC5" s="335"/>
      <c r="AD5" s="335"/>
      <c r="AE5" s="335"/>
      <c r="AF5" s="335"/>
      <c r="AG5" s="335"/>
    </row>
    <row r="6" spans="1:33">
      <c r="A6" s="338" t="s">
        <v>1167</v>
      </c>
      <c r="B6" s="336"/>
      <c r="C6" s="336" t="e">
        <f>'Ut18'!G41</f>
        <v>#N/A</v>
      </c>
      <c r="D6" s="930" t="e">
        <f>'Ut19'!G41</f>
        <v>#N/A</v>
      </c>
      <c r="E6" s="930">
        <f>'Ut20'!G41</f>
        <v>29758.037715705228</v>
      </c>
      <c r="F6" s="930">
        <f>'Ut21'!G41</f>
        <v>34138.044591092097</v>
      </c>
      <c r="G6" s="386">
        <f>'Ut22'!G41</f>
        <v>42441.562147826939</v>
      </c>
      <c r="H6" s="386">
        <f>'Ut23'!G41</f>
        <v>44901.176583663109</v>
      </c>
      <c r="I6" s="337">
        <f>'Ut24'!G41</f>
        <v>45169.454304881663</v>
      </c>
      <c r="J6" s="337">
        <f>'Ut25'!G41</f>
        <v>45102.162956344131</v>
      </c>
      <c r="K6" s="337">
        <f>'Ut26'!G41</f>
        <v>45102.549466177385</v>
      </c>
      <c r="L6" s="908"/>
      <c r="N6" s="908"/>
      <c r="AB6" s="335"/>
      <c r="AC6" s="335"/>
      <c r="AD6" s="335"/>
      <c r="AE6" s="335"/>
      <c r="AF6" s="335"/>
      <c r="AG6" s="335"/>
    </row>
    <row r="7" spans="1:33">
      <c r="A7" s="338" t="s">
        <v>1101</v>
      </c>
      <c r="B7" s="336"/>
      <c r="C7" s="336" t="e">
        <f>Bregn!C5</f>
        <v>#N/A</v>
      </c>
      <c r="D7" s="930" t="e">
        <f>Bregn!D5</f>
        <v>#N/A</v>
      </c>
      <c r="E7" s="930">
        <f>Bregn!E5</f>
        <v>-322.43866600000001</v>
      </c>
      <c r="F7" s="930">
        <f>Bregn!F5</f>
        <v>-223.95529289999999</v>
      </c>
      <c r="G7" s="386">
        <f>Bregn!G5</f>
        <v>-285.82580510000003</v>
      </c>
      <c r="H7" s="386">
        <f>Bregn!H5</f>
        <v>-241.51219477999999</v>
      </c>
      <c r="I7" s="776">
        <f>Gdata!H164</f>
        <v>0</v>
      </c>
      <c r="J7" s="776">
        <f>Gdata!I164</f>
        <v>0</v>
      </c>
      <c r="K7" s="776">
        <f>Gdata!J164</f>
        <v>0</v>
      </c>
      <c r="L7" s="339"/>
      <c r="N7" s="908"/>
      <c r="AB7" s="335"/>
      <c r="AC7" s="335"/>
      <c r="AD7" s="335"/>
      <c r="AE7" s="335"/>
      <c r="AF7" s="335"/>
      <c r="AG7" s="335"/>
    </row>
    <row r="8" spans="1:33">
      <c r="A8" s="338" t="s">
        <v>2425</v>
      </c>
      <c r="B8" s="336"/>
      <c r="C8" s="386" t="e">
        <f>+Bregn!C70+Bregn!C73+Bregn!C74+Bregn!C75+Bregn!C76</f>
        <v>#N/A</v>
      </c>
      <c r="D8" s="930" t="e">
        <f>+Bregn!D70+Bregn!D73+Bregn!D74+Bregn!D75+Bregn!D76+Bregn!D77</f>
        <v>#N/A</v>
      </c>
      <c r="E8" s="930">
        <f>+Bregn!E70+Bregn!E71+Bregn!E73+Bregn!E74+Bregn!E75+Bregn!E76+Bregn!E77</f>
        <v>3193.9147526200004</v>
      </c>
      <c r="F8" s="930">
        <f>+Bregn!F70+Bregn!F71+Bregn!F73+Bregn!F74+Bregn!F75+Bregn!F76+Bregn!F77+Bregn!F78</f>
        <v>1711</v>
      </c>
      <c r="G8" s="386">
        <f>+Bregn!G70+Bregn!G71+Bregn!G73+Bregn!G74+Bregn!G75+Bregn!G76+Bregn!G77+Bregn!G78+Bregn!G79</f>
        <v>1613.6053634887357</v>
      </c>
      <c r="H8" s="386">
        <f>+Bregn!H70+Bregn!H71+Bregn!H72+Bregn!H73+Bregn!H74+Bregn!H75+Bregn!H76+Bregn!H77+Bregn!H78+Bregn!H79+Bregn!H80+Bregn!H81+Bregn!H82</f>
        <v>4443</v>
      </c>
      <c r="I8" s="565">
        <f>+Bregn!I70+Bregn!I71+Bregn!I72+Bregn!I73+Bregn!I74+Bregn!I75+Bregn!I76+Bregn!I77+Bregn!I78+Bregn!I79+Bregn!I80+Bregn!I81+Bregn!I82</f>
        <v>4443</v>
      </c>
      <c r="J8" s="565">
        <f>+Bregn!J70+Bregn!J71+Bregn!J72+Bregn!J73+Bregn!J74+Bregn!J75+Bregn!J76+Bregn!J77+Bregn!J78+Bregn!J79+Bregn!J80+Bregn!J81+Bregn!J82</f>
        <v>3579</v>
      </c>
      <c r="K8" s="565">
        <f>+Bregn!K70+Bregn!K71+Bregn!K72+Bregn!K73+Bregn!K74+Bregn!K75+Bregn!K76+Bregn!K77+Bregn!K78+Bregn!K79+Bregn!K80+Bregn!K81+Bregn!K82</f>
        <v>3579</v>
      </c>
      <c r="L8" s="339"/>
      <c r="N8" s="908"/>
      <c r="AB8" s="335"/>
      <c r="AC8" s="335"/>
      <c r="AD8" s="335"/>
      <c r="AE8" s="335"/>
      <c r="AF8" s="335"/>
      <c r="AG8" s="335"/>
    </row>
    <row r="9" spans="1:33">
      <c r="A9" s="338" t="s">
        <v>1958</v>
      </c>
      <c r="B9" s="336"/>
      <c r="C9" s="825" t="e">
        <f>Bregn!C80</f>
        <v>#N/A</v>
      </c>
      <c r="D9" s="928" t="e">
        <f>Bregn!D80</f>
        <v>#N/A</v>
      </c>
      <c r="E9" s="928"/>
      <c r="F9" s="928"/>
      <c r="G9" s="825"/>
      <c r="H9" s="825"/>
      <c r="I9" s="907"/>
      <c r="J9" s="339"/>
      <c r="K9" s="339"/>
      <c r="L9" s="339"/>
      <c r="AB9" s="335"/>
      <c r="AC9" s="335"/>
      <c r="AD9" s="335"/>
      <c r="AE9" s="335"/>
      <c r="AF9" s="335"/>
      <c r="AG9" s="335"/>
    </row>
    <row r="10" spans="1:33">
      <c r="A10" s="338" t="s">
        <v>1143</v>
      </c>
      <c r="B10" s="336"/>
      <c r="C10" s="565">
        <f>+Bregn!C101+Bregn!C102</f>
        <v>0</v>
      </c>
      <c r="D10" s="930">
        <f>+Bregn!D101+Bregn!D102</f>
        <v>0</v>
      </c>
      <c r="E10" s="930">
        <f>+Bregn!E101+Bregn!E102</f>
        <v>0</v>
      </c>
      <c r="F10" s="930">
        <f>+Bregn!F101+Bregn!F102</f>
        <v>0</v>
      </c>
      <c r="G10" s="930">
        <f>+Bregn!G102</f>
        <v>0</v>
      </c>
      <c r="H10" s="386"/>
      <c r="I10" s="565"/>
      <c r="J10" s="565"/>
      <c r="K10" s="339"/>
      <c r="L10" s="339"/>
      <c r="AB10" s="335"/>
      <c r="AC10" s="335"/>
      <c r="AD10" s="335"/>
      <c r="AE10" s="335"/>
      <c r="AF10" s="335"/>
      <c r="AG10" s="335"/>
    </row>
    <row r="11" spans="1:33">
      <c r="A11" s="653" t="s">
        <v>322</v>
      </c>
      <c r="B11" s="336"/>
      <c r="C11" s="825" t="e">
        <f>Bregn!C95+Bregn!C96</f>
        <v>#N/A</v>
      </c>
      <c r="D11" s="928" t="e">
        <f>Bregn!D95+Bregn!D96</f>
        <v>#N/A</v>
      </c>
      <c r="E11" s="928">
        <f>Bregn!E95+Bregn!E96</f>
        <v>24822.926100000001</v>
      </c>
      <c r="F11" s="928">
        <f>Bregn!F95+Bregn!F96</f>
        <v>25493</v>
      </c>
      <c r="G11" s="825">
        <f>Bregn!G95+Bregn!G96</f>
        <v>26130</v>
      </c>
      <c r="H11" s="825">
        <f>Bregn!H95+Bregn!H96</f>
        <v>27097</v>
      </c>
      <c r="I11" s="340">
        <f>Bregn!I95+Bregn!I96</f>
        <v>27097</v>
      </c>
      <c r="J11" s="340">
        <f>Bregn!J95+Bregn!J96</f>
        <v>27097</v>
      </c>
      <c r="K11" s="340">
        <f>Bregn!K95+Bregn!K96</f>
        <v>27097</v>
      </c>
      <c r="L11" s="909"/>
      <c r="AB11" s="335"/>
      <c r="AC11" s="335"/>
      <c r="AD11" s="335"/>
      <c r="AE11" s="335"/>
      <c r="AF11" s="335"/>
      <c r="AG11" s="335"/>
    </row>
    <row r="12" spans="1:33">
      <c r="A12" s="338" t="s">
        <v>497</v>
      </c>
      <c r="B12" s="336"/>
      <c r="C12" s="386" t="e">
        <f>Distriktogvekst!C11</f>
        <v>#N/A</v>
      </c>
      <c r="D12" s="930" t="e">
        <f>Distriktogvekst!D11</f>
        <v>#N/A</v>
      </c>
      <c r="E12" s="930">
        <f>Distriktogvekst!E11</f>
        <v>0</v>
      </c>
      <c r="F12" s="930">
        <f>Distriktogvekst!F11</f>
        <v>0</v>
      </c>
      <c r="G12" s="386">
        <f>Distriktogvekst!G11</f>
        <v>0</v>
      </c>
      <c r="H12" s="386">
        <f>Distriktogvekst!H11</f>
        <v>0</v>
      </c>
      <c r="I12" s="337">
        <f>Distriktogvekst!I11</f>
        <v>0</v>
      </c>
      <c r="J12" s="337">
        <f>Distriktogvekst!J11</f>
        <v>0</v>
      </c>
      <c r="K12" s="337">
        <f>Distriktogvekst!K11</f>
        <v>0</v>
      </c>
      <c r="L12" s="339"/>
      <c r="AB12" s="335"/>
      <c r="AC12" s="335"/>
      <c r="AD12" s="335"/>
      <c r="AE12" s="335"/>
      <c r="AF12" s="335"/>
      <c r="AG12" s="335"/>
    </row>
    <row r="13" spans="1:33">
      <c r="A13" s="338" t="s">
        <v>11</v>
      </c>
      <c r="B13" s="336"/>
      <c r="C13" s="386" t="e">
        <f>Distriktogvekst!C14</f>
        <v>#N/A</v>
      </c>
      <c r="D13" s="930" t="e">
        <f>Distriktogvekst!D14</f>
        <v>#N/A</v>
      </c>
      <c r="E13" s="930">
        <f>Distriktogvekst!E14</f>
        <v>0</v>
      </c>
      <c r="F13" s="930">
        <f>Distriktogvekst!F14</f>
        <v>0</v>
      </c>
      <c r="G13" s="386">
        <f>Distriktogvekst!G14</f>
        <v>0</v>
      </c>
      <c r="H13" s="386">
        <f>Distriktogvekst!H14</f>
        <v>0</v>
      </c>
      <c r="I13" s="337">
        <f>Distriktogvekst!I14</f>
        <v>0</v>
      </c>
      <c r="J13" s="337">
        <f>Distriktogvekst!J14</f>
        <v>0</v>
      </c>
      <c r="K13" s="337">
        <f>Distriktogvekst!K14</f>
        <v>0</v>
      </c>
      <c r="L13" s="908"/>
      <c r="N13" s="908"/>
      <c r="AB13" s="335"/>
      <c r="AC13" s="335"/>
      <c r="AD13" s="335"/>
      <c r="AE13" s="335"/>
      <c r="AF13" s="335"/>
      <c r="AG13" s="335"/>
    </row>
    <row r="14" spans="1:33">
      <c r="A14" s="338" t="s">
        <v>1212</v>
      </c>
      <c r="B14" s="336"/>
      <c r="C14" s="386" t="e">
        <f>Distriktogvekst!C36</f>
        <v>#N/A</v>
      </c>
      <c r="D14" s="930" t="e">
        <f>Distriktogvekst!D36</f>
        <v>#N/A</v>
      </c>
      <c r="E14" s="928">
        <f>Distriktogvekst!E36</f>
        <v>0</v>
      </c>
      <c r="F14" s="928">
        <f>Distriktogvekst!F36</f>
        <v>0</v>
      </c>
      <c r="G14" s="825">
        <f>Distriktogvekst!G36</f>
        <v>0</v>
      </c>
      <c r="H14" s="825">
        <f>Distriktogvekst!H36</f>
        <v>0</v>
      </c>
      <c r="I14" s="985">
        <f>Distriktogvekst!I36</f>
        <v>0</v>
      </c>
      <c r="J14" s="985">
        <f>Distriktogvekst!J36</f>
        <v>0</v>
      </c>
      <c r="K14" s="985">
        <f>Distriktogvekst!K36</f>
        <v>0</v>
      </c>
      <c r="L14" s="339"/>
      <c r="N14" s="908"/>
      <c r="AB14" s="335"/>
      <c r="AC14" s="335"/>
      <c r="AD14" s="335"/>
      <c r="AE14" s="335"/>
      <c r="AF14" s="335"/>
      <c r="AG14" s="335"/>
    </row>
    <row r="15" spans="1:33">
      <c r="A15" s="338" t="s">
        <v>1876</v>
      </c>
      <c r="B15" s="336"/>
      <c r="C15" s="825" t="e">
        <f>Distriktogvekst!C52</f>
        <v>#N/A</v>
      </c>
      <c r="D15" s="928" t="e">
        <f>Distriktogvekst!D52</f>
        <v>#N/A</v>
      </c>
      <c r="E15" s="928">
        <f>Distriktogvekst!E52</f>
        <v>8197</v>
      </c>
      <c r="F15" s="928">
        <f>Distriktogvekst!F52</f>
        <v>8361</v>
      </c>
      <c r="G15" s="825">
        <f>Distriktogvekst!G52</f>
        <v>8335</v>
      </c>
      <c r="H15" s="825">
        <f>Distriktogvekst!H52</f>
        <v>8575</v>
      </c>
      <c r="I15" s="985">
        <f>Distriktogvekst!I52</f>
        <v>8519</v>
      </c>
      <c r="J15" s="985">
        <f>Distriktogvekst!J52</f>
        <v>8519</v>
      </c>
      <c r="K15" s="985">
        <f>Distriktogvekst!K52</f>
        <v>8519</v>
      </c>
      <c r="L15" s="339"/>
      <c r="N15" s="908"/>
      <c r="AB15" s="335"/>
      <c r="AC15" s="335"/>
      <c r="AD15" s="335"/>
      <c r="AE15" s="335"/>
      <c r="AF15" s="335"/>
      <c r="AG15" s="335"/>
    </row>
    <row r="16" spans="1:33">
      <c r="A16" s="338" t="s">
        <v>1228</v>
      </c>
      <c r="B16" s="336"/>
      <c r="C16" s="825" t="e">
        <f>+Distriktogvekst!C83</f>
        <v>#N/A</v>
      </c>
      <c r="D16" s="928" t="e">
        <f>+Distriktogvekst!D81</f>
        <v>#N/A</v>
      </c>
      <c r="E16" s="928">
        <f>+Distriktogvekst!E81</f>
        <v>0</v>
      </c>
      <c r="F16" s="928">
        <f>+Distriktogvekst!F81</f>
        <v>0</v>
      </c>
      <c r="G16" s="825">
        <f>+Distriktogvekst!G81</f>
        <v>0</v>
      </c>
      <c r="H16" s="825">
        <f>+Distriktogvekst!H81</f>
        <v>0</v>
      </c>
      <c r="I16" s="340">
        <f>+Distriktogvekst!I81</f>
        <v>0</v>
      </c>
      <c r="J16" s="340">
        <f>+Distriktogvekst!J81</f>
        <v>0</v>
      </c>
      <c r="K16" s="340">
        <f>+Distriktogvekst!K81</f>
        <v>0</v>
      </c>
      <c r="L16" s="339"/>
      <c r="N16" s="908"/>
      <c r="AB16" s="335"/>
      <c r="AC16" s="335"/>
      <c r="AD16" s="335"/>
      <c r="AE16" s="335"/>
      <c r="AF16" s="335"/>
      <c r="AG16" s="335"/>
    </row>
    <row r="17" spans="1:33">
      <c r="A17" s="338" t="s">
        <v>1061</v>
      </c>
      <c r="B17" s="336"/>
      <c r="C17" s="825" t="e">
        <f>Distriktogvekst!C93</f>
        <v>#N/A</v>
      </c>
      <c r="D17" s="928" t="e">
        <f>Distriktogvekst!D93</f>
        <v>#N/A</v>
      </c>
      <c r="E17" s="928">
        <f>Distriktogvekst!E93</f>
        <v>0</v>
      </c>
      <c r="F17" s="928">
        <f>Distriktogvekst!F93</f>
        <v>0</v>
      </c>
      <c r="G17" s="825">
        <f>Distriktogvekst!G93</f>
        <v>0</v>
      </c>
      <c r="H17" s="825">
        <f>Distriktogvekst!H93</f>
        <v>0</v>
      </c>
      <c r="I17" s="775">
        <f>Distriktogvekst!I93</f>
        <v>0</v>
      </c>
      <c r="J17" s="750">
        <f>Distriktogvekst!J93</f>
        <v>0</v>
      </c>
      <c r="K17" s="750">
        <f>Distriktogvekst!K93</f>
        <v>0</v>
      </c>
      <c r="L17" s="908"/>
      <c r="N17" s="908"/>
      <c r="AB17" s="335"/>
      <c r="AC17" s="335"/>
      <c r="AD17" s="335"/>
      <c r="AE17" s="335"/>
      <c r="AF17" s="335"/>
      <c r="AG17" s="335"/>
    </row>
    <row r="18" spans="1:33">
      <c r="A18" s="338" t="s">
        <v>269</v>
      </c>
      <c r="B18" s="336"/>
      <c r="C18" s="825" t="e">
        <f>Gdata!B141</f>
        <v>#N/A</v>
      </c>
      <c r="D18" s="930" t="e">
        <f>Gdata!C141</f>
        <v>#N/A</v>
      </c>
      <c r="E18" s="928">
        <f>Gdata!D141</f>
        <v>30</v>
      </c>
      <c r="F18" s="928">
        <f>Gdata!E141</f>
        <v>0</v>
      </c>
      <c r="G18" s="825">
        <f>Gdata!F141</f>
        <v>0</v>
      </c>
      <c r="H18" s="825">
        <f>Gdata!G141</f>
        <v>0</v>
      </c>
      <c r="I18" s="775">
        <f>Gdata!H141</f>
        <v>0</v>
      </c>
      <c r="J18" s="775">
        <f>Gdata!I141</f>
        <v>0</v>
      </c>
      <c r="K18" s="775">
        <f>Gdata!J141</f>
        <v>0</v>
      </c>
      <c r="L18" s="908"/>
      <c r="N18" s="908"/>
      <c r="AB18" s="335"/>
      <c r="AC18" s="335"/>
      <c r="AD18" s="335"/>
      <c r="AE18" s="335"/>
      <c r="AF18" s="335"/>
      <c r="AG18" s="335"/>
    </row>
    <row r="19" spans="1:33">
      <c r="A19" s="1143" t="s">
        <v>2563</v>
      </c>
      <c r="B19" s="1133"/>
      <c r="C19" s="826"/>
      <c r="D19" s="927"/>
      <c r="E19" s="927"/>
      <c r="F19" s="826">
        <f>+Gdata!E153</f>
        <v>0</v>
      </c>
      <c r="G19" s="825"/>
      <c r="H19" s="340"/>
      <c r="I19" s="907"/>
      <c r="J19" s="339"/>
      <c r="K19" s="339"/>
      <c r="L19" s="339"/>
      <c r="AB19" s="335"/>
      <c r="AC19" s="335"/>
      <c r="AD19" s="335"/>
      <c r="AE19" s="335"/>
      <c r="AF19" s="335"/>
      <c r="AG19" s="335"/>
    </row>
    <row r="20" spans="1:33">
      <c r="A20" s="1143" t="s">
        <v>1887</v>
      </c>
      <c r="B20" s="820"/>
      <c r="C20" s="826"/>
      <c r="D20" s="927"/>
      <c r="E20" s="927">
        <f>+Gdata!D151</f>
        <v>0</v>
      </c>
      <c r="F20" s="826">
        <f>+Gdata!E151</f>
        <v>0</v>
      </c>
      <c r="G20" s="825"/>
      <c r="H20" s="340"/>
      <c r="I20" s="907"/>
      <c r="J20" s="339"/>
      <c r="K20" s="339"/>
      <c r="L20" s="339"/>
      <c r="AB20" s="335"/>
      <c r="AC20" s="335"/>
      <c r="AD20" s="335"/>
      <c r="AE20" s="335"/>
      <c r="AF20" s="335"/>
      <c r="AG20" s="335"/>
    </row>
    <row r="21" spans="1:33" ht="32.25" customHeight="1">
      <c r="A21" s="1259" t="s">
        <v>2564</v>
      </c>
      <c r="B21" s="1260"/>
      <c r="C21" s="826" t="e">
        <f>Gdata!B144+Gdata!B145+Gdata!B146+Gdata!B147+Gdata!B149</f>
        <v>#N/A</v>
      </c>
      <c r="D21" s="927" t="e">
        <f>Gdata!C144+Gdata!C145+Gdata!C146+Gdata!C148+Gdata!C149</f>
        <v>#N/A</v>
      </c>
      <c r="E21" s="927">
        <f>Gdata!D144+Gdata!D145+Gdata!D146+Gdata!D148+Gdata!D149</f>
        <v>0</v>
      </c>
      <c r="F21" s="826">
        <f>Gdata!E144+Gdata!E145+Gdata!E146+Gdata!E148+Gdata!E149</f>
        <v>0</v>
      </c>
      <c r="G21" s="826">
        <f>Gdata!F144+Gdata!F145+Gdata!F146+Gdata!F148+Gdata!F149</f>
        <v>0</v>
      </c>
      <c r="H21" s="806"/>
      <c r="I21" s="907"/>
      <c r="J21" s="339"/>
      <c r="K21" s="339"/>
      <c r="L21" s="339"/>
      <c r="AB21" s="335"/>
      <c r="AC21" s="335"/>
      <c r="AD21" s="335"/>
      <c r="AE21" s="335"/>
      <c r="AF21" s="335"/>
      <c r="AG21" s="335"/>
    </row>
    <row r="22" spans="1:33" s="1099" customFormat="1" ht="30.75" customHeight="1">
      <c r="A22" s="1261" t="s">
        <v>2348</v>
      </c>
      <c r="B22" s="1261"/>
      <c r="C22" s="826"/>
      <c r="D22" s="927"/>
      <c r="E22" s="1126">
        <f>+Bregn!E9</f>
        <v>6668</v>
      </c>
      <c r="F22" s="1126">
        <f>+Bregn!F9</f>
        <v>9536.5</v>
      </c>
      <c r="G22" s="1126">
        <f>Bregn!G37+Bregn!G38+Bregn!G47+Bregn!G60+Bregn!G61</f>
        <v>6596.6384935680617</v>
      </c>
      <c r="H22" s="806"/>
      <c r="I22" s="1095"/>
      <c r="J22" s="1096"/>
      <c r="K22" s="1097"/>
      <c r="L22" s="1096"/>
      <c r="M22" s="1098"/>
      <c r="N22" s="1096"/>
      <c r="O22" s="1098"/>
      <c r="P22" s="1098"/>
      <c r="Q22" s="1098"/>
      <c r="R22" s="1098"/>
      <c r="S22" s="1098"/>
      <c r="T22" s="1098"/>
      <c r="U22" s="1098"/>
      <c r="V22" s="1098"/>
      <c r="W22" s="1098"/>
      <c r="X22" s="1098"/>
      <c r="Y22" s="1098"/>
      <c r="Z22" s="1098"/>
      <c r="AA22" s="1098"/>
      <c r="AB22" s="1098"/>
      <c r="AC22" s="1098"/>
      <c r="AD22" s="1098"/>
      <c r="AE22" s="1098"/>
      <c r="AF22" s="1098"/>
      <c r="AG22" s="1098"/>
    </row>
    <row r="23" spans="1:33">
      <c r="A23" s="786" t="s">
        <v>2475</v>
      </c>
      <c r="B23" s="336"/>
      <c r="C23" s="339"/>
      <c r="D23" s="339"/>
      <c r="E23" s="928"/>
      <c r="F23" s="985"/>
      <c r="G23" s="985">
        <f>+Bregn!G18+Bregn!G19+Bregn!G20+Bregn!G21+Bregn!G22</f>
        <v>2463.1699300463197</v>
      </c>
      <c r="H23" s="985"/>
      <c r="I23" s="985"/>
      <c r="J23" s="985"/>
      <c r="K23" s="339"/>
      <c r="L23" s="339"/>
      <c r="AB23" s="335"/>
      <c r="AC23" s="335"/>
      <c r="AD23" s="335"/>
      <c r="AE23" s="335"/>
      <c r="AF23" s="335"/>
      <c r="AG23" s="335"/>
    </row>
    <row r="24" spans="1:33">
      <c r="A24" s="786" t="s">
        <v>2476</v>
      </c>
      <c r="B24" s="336"/>
      <c r="C24" s="339"/>
      <c r="D24" s="339"/>
      <c r="E24" s="928"/>
      <c r="F24" s="985"/>
      <c r="G24" s="985">
        <f>+Bregn!G26+Bregn!G27</f>
        <v>1139</v>
      </c>
      <c r="H24" s="985"/>
      <c r="I24" s="985"/>
      <c r="J24" s="985"/>
      <c r="K24" s="339"/>
      <c r="L24" s="339"/>
      <c r="AB24" s="335"/>
      <c r="AC24" s="335"/>
      <c r="AD24" s="335"/>
      <c r="AE24" s="335"/>
      <c r="AF24" s="335"/>
      <c r="AG24" s="335"/>
    </row>
    <row r="25" spans="1:33">
      <c r="A25" s="786" t="s">
        <v>2477</v>
      </c>
      <c r="B25" s="336"/>
      <c r="C25" s="339"/>
      <c r="D25" s="339"/>
      <c r="E25" s="928"/>
      <c r="F25" s="985"/>
      <c r="G25" s="985">
        <f>+Bregn!G24</f>
        <v>-2760.7752935350554</v>
      </c>
      <c r="H25" s="985"/>
      <c r="I25" s="985"/>
      <c r="J25" s="985"/>
      <c r="K25" s="339"/>
      <c r="L25" s="339"/>
      <c r="AB25" s="335"/>
      <c r="AC25" s="335"/>
      <c r="AD25" s="335"/>
      <c r="AE25" s="335"/>
      <c r="AF25" s="335"/>
      <c r="AG25" s="335"/>
    </row>
    <row r="26" spans="1:33">
      <c r="A26" s="786" t="s">
        <v>2342</v>
      </c>
      <c r="B26" s="336"/>
      <c r="C26" s="339"/>
      <c r="D26" s="339"/>
      <c r="E26" s="928"/>
      <c r="F26" s="985"/>
      <c r="G26" s="985">
        <f>Bregn!G30+Bregn!G31+Bregn!G32</f>
        <v>-148</v>
      </c>
      <c r="H26" s="985"/>
      <c r="I26" s="985"/>
      <c r="J26" s="985"/>
      <c r="K26" s="339"/>
      <c r="L26" s="339"/>
      <c r="AB26" s="335"/>
      <c r="AC26" s="335"/>
      <c r="AD26" s="335"/>
      <c r="AE26" s="335"/>
      <c r="AF26" s="335"/>
      <c r="AG26" s="335"/>
    </row>
    <row r="27" spans="1:33">
      <c r="A27" s="786" t="s">
        <v>2361</v>
      </c>
      <c r="B27" s="336"/>
      <c r="C27" s="339"/>
      <c r="D27" s="339"/>
      <c r="E27" s="928"/>
      <c r="F27" s="985"/>
      <c r="G27" s="985">
        <f>Bregn!G42</f>
        <v>242</v>
      </c>
      <c r="H27" s="985"/>
      <c r="I27" s="985"/>
      <c r="J27" s="985"/>
      <c r="K27" s="339"/>
      <c r="L27" s="339"/>
      <c r="AB27" s="335"/>
      <c r="AC27" s="335"/>
      <c r="AD27" s="335"/>
      <c r="AE27" s="335"/>
      <c r="AF27" s="335"/>
      <c r="AG27" s="335"/>
    </row>
    <row r="28" spans="1:33">
      <c r="A28" s="1239" t="s">
        <v>2342</v>
      </c>
      <c r="B28" s="336"/>
      <c r="C28" s="339"/>
      <c r="D28" s="339"/>
      <c r="E28" s="928"/>
      <c r="F28" s="985"/>
      <c r="G28" s="985"/>
      <c r="H28" s="1240">
        <f>+Bregn!H65+Bregn!H66</f>
        <v>795.92557704791977</v>
      </c>
      <c r="I28" s="1240">
        <f>+Bregn!I65+Bregn!I66</f>
        <v>1742.1635422326963</v>
      </c>
      <c r="J28" s="1240">
        <f>+Bregn!J65+Bregn!J66</f>
        <v>1742.1635422326963</v>
      </c>
      <c r="K28" s="1240">
        <f>+Bregn!K65+Bregn!K66</f>
        <v>1742.1635422326963</v>
      </c>
      <c r="L28" s="339"/>
      <c r="AB28" s="335"/>
      <c r="AC28" s="335"/>
      <c r="AD28" s="335"/>
      <c r="AE28" s="335"/>
      <c r="AF28" s="335"/>
      <c r="AG28" s="335"/>
    </row>
    <row r="29" spans="1:33">
      <c r="A29" s="338" t="s">
        <v>2346</v>
      </c>
      <c r="B29" s="336"/>
      <c r="C29" s="339" t="e">
        <f>Bregn!C11+Bregn!C12</f>
        <v>#N/A</v>
      </c>
      <c r="D29" s="339" t="e">
        <f>Bregn!D11+Bregn!D12</f>
        <v>#N/A</v>
      </c>
      <c r="E29" s="339"/>
      <c r="F29" s="339">
        <f>Bregn!F11+Bregn!F12</f>
        <v>372</v>
      </c>
      <c r="G29" s="985"/>
      <c r="H29" s="985"/>
      <c r="I29" s="985"/>
      <c r="J29" s="985"/>
      <c r="K29" s="339"/>
      <c r="L29" s="339"/>
      <c r="AB29" s="335"/>
      <c r="AC29" s="335"/>
      <c r="AD29" s="335"/>
      <c r="AE29" s="335"/>
      <c r="AF29" s="335"/>
      <c r="AG29" s="335"/>
    </row>
    <row r="30" spans="1:33">
      <c r="A30" s="338" t="s">
        <v>2499</v>
      </c>
      <c r="B30" s="336"/>
      <c r="C30" s="339" t="e">
        <f>Bregn!C13+Bregn!C14</f>
        <v>#N/A</v>
      </c>
      <c r="D30" s="339" t="e">
        <f>Bregn!D13+Bregn!D14</f>
        <v>#N/A</v>
      </c>
      <c r="E30" s="339">
        <f>Bregn!E13+Bregn!E14</f>
        <v>959</v>
      </c>
      <c r="F30" s="339">
        <f>Bregn!F13+Bregn!F14</f>
        <v>226</v>
      </c>
      <c r="G30" s="985">
        <f>Bregn!G51+Bregn!G52+Bregn!G53+Bregn!G54+Bregn!G55+Bregn!G56</f>
        <v>-9784</v>
      </c>
      <c r="H30" s="985"/>
      <c r="I30" s="985"/>
      <c r="J30" s="985"/>
      <c r="K30" s="339"/>
      <c r="L30" s="339"/>
      <c r="AB30" s="335"/>
      <c r="AC30" s="335"/>
      <c r="AD30" s="335"/>
      <c r="AE30" s="335"/>
      <c r="AF30" s="335"/>
      <c r="AG30" s="335"/>
    </row>
    <row r="31" spans="1:33">
      <c r="A31" s="338" t="s">
        <v>2471</v>
      </c>
      <c r="B31" s="336"/>
      <c r="C31" s="339" t="e">
        <f>Bregn!C15</f>
        <v>#N/A</v>
      </c>
      <c r="D31" s="339"/>
      <c r="E31" s="339"/>
      <c r="F31" s="339">
        <f>Bregn!F15</f>
        <v>0</v>
      </c>
      <c r="G31" s="340"/>
      <c r="H31" s="340"/>
      <c r="J31" s="908"/>
      <c r="L31" s="339"/>
      <c r="N31" s="908"/>
      <c r="AB31" s="335"/>
      <c r="AC31" s="335"/>
      <c r="AD31" s="335"/>
      <c r="AE31" s="335"/>
      <c r="AF31" s="335"/>
      <c r="AG31" s="335"/>
    </row>
    <row r="32" spans="1:33" ht="13.5" thickBot="1">
      <c r="A32" s="341" t="s">
        <v>2349</v>
      </c>
      <c r="B32" s="341"/>
      <c r="C32" s="342" t="e">
        <f t="shared" ref="C32:K32" si="3">ROUND(SUM(C5:C31),0)</f>
        <v>#N/A</v>
      </c>
      <c r="D32" s="931" t="e">
        <f t="shared" si="3"/>
        <v>#N/A</v>
      </c>
      <c r="E32" s="931">
        <f t="shared" si="3"/>
        <v>223456</v>
      </c>
      <c r="F32" s="342">
        <f t="shared" si="3"/>
        <v>226448</v>
      </c>
      <c r="G32" s="342">
        <f t="shared" si="3"/>
        <v>230823</v>
      </c>
      <c r="H32" s="342">
        <f t="shared" si="3"/>
        <v>250803</v>
      </c>
      <c r="I32" s="343">
        <f t="shared" si="3"/>
        <v>253496</v>
      </c>
      <c r="J32" s="343">
        <f t="shared" si="3"/>
        <v>253544</v>
      </c>
      <c r="K32" s="343">
        <f t="shared" si="3"/>
        <v>253548</v>
      </c>
      <c r="L32" s="928"/>
      <c r="M32" s="1063"/>
      <c r="N32" s="908"/>
      <c r="AB32" s="335"/>
      <c r="AC32" s="335"/>
      <c r="AD32" s="335"/>
      <c r="AE32" s="335"/>
      <c r="AF32" s="335"/>
      <c r="AG32" s="335"/>
    </row>
    <row r="33" spans="1:33">
      <c r="A33" s="338"/>
      <c r="B33" s="344"/>
      <c r="C33" s="337"/>
      <c r="D33" s="337"/>
      <c r="E33" s="337"/>
      <c r="F33" s="337"/>
      <c r="G33" s="337"/>
      <c r="K33" s="339"/>
      <c r="L33" s="339"/>
      <c r="AB33" s="335"/>
      <c r="AC33" s="335"/>
      <c r="AD33" s="335"/>
      <c r="AE33" s="335"/>
      <c r="AF33" s="335"/>
      <c r="AG33" s="335"/>
    </row>
    <row r="34" spans="1:33">
      <c r="A34" s="335" t="s">
        <v>50</v>
      </c>
      <c r="B34" s="336"/>
      <c r="C34" s="827" t="e">
        <f>ROUND(Inntektsutj!C33,0)</f>
        <v>#N/A</v>
      </c>
      <c r="D34" s="827" t="e">
        <f>ROUND(Inntektsutj!D33,0)</f>
        <v>#N/A</v>
      </c>
      <c r="E34" s="825">
        <f>ROUND(Inntektsutj!E33,0)</f>
        <v>19346</v>
      </c>
      <c r="F34" s="825">
        <f>ROUND(Inntektsutj!F33,0)</f>
        <v>27052</v>
      </c>
      <c r="G34" s="340">
        <f>ROUND(Inntektsutj!G33,0)</f>
        <v>28188</v>
      </c>
      <c r="H34" s="340">
        <f>ROUND(Inntektsutj!H33,0)</f>
        <v>23057</v>
      </c>
      <c r="I34" s="340">
        <f>ROUND(Inntektsutj!I33,0)</f>
        <v>15512</v>
      </c>
      <c r="J34" s="340">
        <f>ROUND(Inntektsutj!J33,0)</f>
        <v>15512</v>
      </c>
      <c r="K34" s="340">
        <f>ROUND(Inntektsutj!K33,0)</f>
        <v>15512</v>
      </c>
      <c r="L34" s="908"/>
      <c r="N34" s="908"/>
      <c r="AB34" s="335"/>
      <c r="AC34" s="335"/>
      <c r="AD34" s="335"/>
      <c r="AE34" s="335"/>
      <c r="AF34" s="335"/>
      <c r="AG34" s="335"/>
    </row>
    <row r="35" spans="1:33" s="31" customFormat="1" ht="13.5" thickBot="1">
      <c r="A35" s="341" t="s">
        <v>2176</v>
      </c>
      <c r="B35" s="342"/>
      <c r="C35" s="342" t="e">
        <f t="shared" ref="C35:K35" si="4">C34+C32+C33</f>
        <v>#N/A</v>
      </c>
      <c r="D35" s="342" t="e">
        <f t="shared" si="4"/>
        <v>#N/A</v>
      </c>
      <c r="E35" s="342">
        <f t="shared" si="4"/>
        <v>242802</v>
      </c>
      <c r="F35" s="342">
        <f t="shared" si="4"/>
        <v>253500</v>
      </c>
      <c r="G35" s="343">
        <f t="shared" si="4"/>
        <v>259011</v>
      </c>
      <c r="H35" s="343">
        <f t="shared" si="4"/>
        <v>273860</v>
      </c>
      <c r="I35" s="343">
        <f t="shared" si="4"/>
        <v>269008</v>
      </c>
      <c r="J35" s="343">
        <f t="shared" si="4"/>
        <v>269056</v>
      </c>
      <c r="K35" s="343">
        <f t="shared" si="4"/>
        <v>269060</v>
      </c>
      <c r="L35" s="339"/>
      <c r="M35" s="910"/>
      <c r="N35" s="910"/>
      <c r="O35" s="910"/>
      <c r="P35" s="910"/>
      <c r="Q35" s="910"/>
      <c r="R35" s="910"/>
      <c r="S35" s="910"/>
      <c r="T35" s="910"/>
      <c r="U35" s="910"/>
      <c r="V35" s="910"/>
      <c r="W35" s="910"/>
      <c r="X35" s="910"/>
      <c r="Y35" s="910"/>
      <c r="Z35" s="910"/>
      <c r="AA35" s="910"/>
      <c r="AB35" s="910"/>
      <c r="AC35" s="910"/>
      <c r="AD35" s="910"/>
      <c r="AE35" s="910"/>
      <c r="AF35" s="910"/>
      <c r="AG35" s="910"/>
    </row>
    <row r="36" spans="1:33" s="31" customFormat="1">
      <c r="A36" s="335" t="s">
        <v>271</v>
      </c>
      <c r="B36" s="344"/>
      <c r="C36" s="699"/>
      <c r="D36" s="699" t="e">
        <f t="shared" ref="D36:K36" si="5">(D35-C35)*100/C35</f>
        <v>#N/A</v>
      </c>
      <c r="E36" s="699" t="e">
        <f t="shared" si="5"/>
        <v>#N/A</v>
      </c>
      <c r="F36" s="699">
        <f t="shared" si="5"/>
        <v>4.4060592581609708</v>
      </c>
      <c r="G36" s="345">
        <f t="shared" si="5"/>
        <v>2.1739644970414203</v>
      </c>
      <c r="H36" s="345">
        <f t="shared" si="5"/>
        <v>5.7329611483682159</v>
      </c>
      <c r="I36" s="345">
        <f t="shared" si="5"/>
        <v>-1.7717081720587162</v>
      </c>
      <c r="J36" s="345">
        <f t="shared" si="5"/>
        <v>1.7843335514185453E-2</v>
      </c>
      <c r="K36" s="345">
        <f t="shared" si="5"/>
        <v>1.4866793529971455E-3</v>
      </c>
      <c r="L36" s="339"/>
      <c r="M36" s="910"/>
      <c r="N36" s="910"/>
      <c r="O36" s="910"/>
      <c r="P36" s="910"/>
      <c r="Q36" s="910"/>
      <c r="R36" s="910"/>
      <c r="S36" s="910"/>
      <c r="T36" s="910"/>
      <c r="U36" s="910"/>
      <c r="V36" s="910"/>
      <c r="W36" s="910"/>
      <c r="X36" s="910"/>
      <c r="Y36" s="910"/>
      <c r="Z36" s="910"/>
      <c r="AA36" s="910"/>
      <c r="AB36" s="910"/>
      <c r="AC36" s="910"/>
      <c r="AD36" s="910"/>
      <c r="AE36" s="910"/>
      <c r="AF36" s="910"/>
      <c r="AG36" s="910"/>
    </row>
    <row r="37" spans="1:33" s="31" customFormat="1" ht="6.65" customHeight="1">
      <c r="A37" s="335"/>
      <c r="B37" s="344"/>
      <c r="C37" s="699"/>
      <c r="D37" s="699"/>
      <c r="E37" s="699"/>
      <c r="F37" s="345"/>
      <c r="G37" s="345"/>
      <c r="H37" s="345"/>
      <c r="I37" s="335"/>
      <c r="J37" s="335"/>
      <c r="K37" s="335"/>
      <c r="L37" s="339"/>
      <c r="M37" s="910"/>
      <c r="N37" s="910"/>
      <c r="O37" s="910"/>
      <c r="P37" s="910"/>
      <c r="Q37" s="910"/>
      <c r="R37" s="910"/>
      <c r="S37" s="910"/>
      <c r="T37" s="910"/>
      <c r="U37" s="910"/>
      <c r="V37" s="910"/>
      <c r="W37" s="910"/>
      <c r="X37" s="910"/>
      <c r="Y37" s="910"/>
      <c r="Z37" s="910"/>
      <c r="AA37" s="910"/>
      <c r="AB37" s="910"/>
      <c r="AC37" s="910"/>
      <c r="AD37" s="910"/>
      <c r="AE37" s="910"/>
      <c r="AF37" s="910"/>
      <c r="AG37" s="910"/>
    </row>
    <row r="38" spans="1:33">
      <c r="A38" s="346" t="s">
        <v>313</v>
      </c>
      <c r="B38" s="347"/>
      <c r="C38" s="348" t="e">
        <f>ROUND(IF(C34="","",Gdata!B119),0)</f>
        <v>#N/A</v>
      </c>
      <c r="D38" s="348" t="e">
        <f>ROUND(IF(D34="","",Gdata!C119),0)</f>
        <v>#N/A</v>
      </c>
      <c r="E38" s="348">
        <f>ROUND(Gdata!D119,0)</f>
        <v>158118</v>
      </c>
      <c r="F38" s="348">
        <f>ROUND(Gdata!E119,0)</f>
        <v>176810</v>
      </c>
      <c r="G38" s="349">
        <f>ROUND(Gdata!F119,0)</f>
        <v>196667</v>
      </c>
      <c r="H38" s="349">
        <f>ROUND(Gdata!G119,0)</f>
        <v>179483</v>
      </c>
      <c r="I38" s="349">
        <f>ROUND(Gdata!H119,0)</f>
        <v>188323</v>
      </c>
      <c r="J38" s="349">
        <f>ROUND(Gdata!I119,0)</f>
        <v>188323</v>
      </c>
      <c r="K38" s="349">
        <f>ROUND(Gdata!J119,0)</f>
        <v>188323</v>
      </c>
      <c r="L38" s="908"/>
      <c r="N38" s="908"/>
      <c r="AB38" s="335"/>
      <c r="AC38" s="335"/>
      <c r="AD38" s="335"/>
      <c r="AE38" s="335"/>
      <c r="AF38" s="335"/>
      <c r="AG38" s="335"/>
    </row>
    <row r="39" spans="1:33">
      <c r="A39" s="335" t="s">
        <v>272</v>
      </c>
      <c r="B39" s="350"/>
      <c r="C39" s="828"/>
      <c r="D39" s="699" t="e">
        <f t="shared" ref="D39:K39" si="6">(D38-C38)*100/C38</f>
        <v>#N/A</v>
      </c>
      <c r="E39" s="699" t="e">
        <f t="shared" si="6"/>
        <v>#N/A</v>
      </c>
      <c r="F39" s="699">
        <f t="shared" si="6"/>
        <v>11.82155099356177</v>
      </c>
      <c r="G39" s="345">
        <f t="shared" si="6"/>
        <v>11.230699621062158</v>
      </c>
      <c r="H39" s="351">
        <f t="shared" si="6"/>
        <v>-8.7376123091316789</v>
      </c>
      <c r="I39" s="351">
        <f t="shared" si="6"/>
        <v>4.9252575452828404</v>
      </c>
      <c r="J39" s="351">
        <f t="shared" si="6"/>
        <v>0</v>
      </c>
      <c r="K39" s="351">
        <f t="shared" si="6"/>
        <v>0</v>
      </c>
      <c r="AB39" s="335"/>
      <c r="AC39" s="335"/>
      <c r="AD39" s="335"/>
      <c r="AE39" s="335"/>
      <c r="AF39" s="335"/>
      <c r="AG39" s="335"/>
    </row>
    <row r="40" spans="1:33" ht="5.5" customHeight="1">
      <c r="A40" s="335"/>
      <c r="B40" s="350"/>
      <c r="C40" s="828"/>
      <c r="D40" s="828"/>
      <c r="E40" s="828"/>
      <c r="F40" s="351"/>
      <c r="G40" s="351"/>
      <c r="H40" s="351"/>
      <c r="AB40" s="335"/>
      <c r="AC40" s="335"/>
      <c r="AD40" s="335"/>
      <c r="AE40" s="335"/>
      <c r="AF40" s="335"/>
      <c r="AG40" s="335"/>
    </row>
    <row r="41" spans="1:33">
      <c r="A41" s="335" t="s">
        <v>273</v>
      </c>
      <c r="B41" s="336"/>
      <c r="C41" s="825">
        <f>Gdata!B137</f>
        <v>0</v>
      </c>
      <c r="D41" s="825">
        <f>Gdata!C137</f>
        <v>0</v>
      </c>
      <c r="E41" s="825">
        <f>Gdata!D137</f>
        <v>0</v>
      </c>
      <c r="F41" s="825">
        <f>Gdata!E137</f>
        <v>0</v>
      </c>
      <c r="G41" s="340">
        <f>Gdata!F137</f>
        <v>0</v>
      </c>
      <c r="H41" s="340">
        <f>Gdata!G137</f>
        <v>0</v>
      </c>
      <c r="I41" s="340">
        <f>Gdata!H137</f>
        <v>0</v>
      </c>
      <c r="J41" s="340">
        <f>Gdata!I137</f>
        <v>0</v>
      </c>
      <c r="K41" s="340">
        <f>Gdata!J137</f>
        <v>0</v>
      </c>
      <c r="AB41" s="335"/>
      <c r="AC41" s="335"/>
      <c r="AD41" s="335"/>
      <c r="AE41" s="335"/>
      <c r="AF41" s="335"/>
      <c r="AG41" s="335"/>
    </row>
    <row r="42" spans="1:33" ht="13.5" thickBot="1">
      <c r="A42" s="352" t="s">
        <v>2177</v>
      </c>
      <c r="B42" s="342"/>
      <c r="C42" s="353" t="e">
        <f>(C35+C38+C41)</f>
        <v>#N/A</v>
      </c>
      <c r="D42" s="353" t="e">
        <f>D35+D38+D41</f>
        <v>#N/A</v>
      </c>
      <c r="E42" s="342">
        <f>ROUND((E35+E38+E41),0)</f>
        <v>400920</v>
      </c>
      <c r="F42" s="342">
        <f>ROUND((F35+F38+F41),0)</f>
        <v>430310</v>
      </c>
      <c r="G42" s="343">
        <f>ROUND((G35+G38+G41),-2)</f>
        <v>455700</v>
      </c>
      <c r="H42" s="343">
        <f>ROUND((H35+H38+H41),-2)</f>
        <v>453300</v>
      </c>
      <c r="I42" s="343">
        <f>ROUND((I35+I38+I41),-2)</f>
        <v>457300</v>
      </c>
      <c r="J42" s="343">
        <f>ROUND((J35+J38+J41),-2)</f>
        <v>457400</v>
      </c>
      <c r="K42" s="343">
        <f>ROUND((K35+K38+K41),-2)</f>
        <v>457400</v>
      </c>
      <c r="L42" s="1005"/>
      <c r="M42" s="1005"/>
      <c r="N42" s="1005"/>
      <c r="O42" s="1005"/>
      <c r="AB42" s="335"/>
      <c r="AC42" s="335"/>
      <c r="AD42" s="335"/>
      <c r="AE42" s="335"/>
      <c r="AF42" s="335"/>
      <c r="AG42" s="335"/>
    </row>
    <row r="43" spans="1:33" ht="9.75" customHeight="1">
      <c r="A43" s="354"/>
      <c r="B43" s="344"/>
      <c r="C43" s="632"/>
      <c r="D43" s="632"/>
      <c r="E43" s="632"/>
      <c r="F43" s="632"/>
      <c r="G43" s="1263" t="s">
        <v>498</v>
      </c>
      <c r="H43" s="1264"/>
      <c r="I43" s="1264"/>
      <c r="J43" s="1264"/>
      <c r="K43" s="1264"/>
      <c r="AB43" s="335"/>
      <c r="AC43" s="335"/>
      <c r="AD43" s="335"/>
      <c r="AE43" s="335"/>
      <c r="AF43" s="335"/>
      <c r="AG43" s="335"/>
    </row>
    <row r="44" spans="1:33">
      <c r="A44" s="335" t="s">
        <v>274</v>
      </c>
      <c r="B44" s="336"/>
      <c r="C44" s="699"/>
      <c r="D44" s="699" t="e">
        <f t="shared" ref="D44:F44" si="7">(D42-C42)*100/C42</f>
        <v>#N/A</v>
      </c>
      <c r="E44" s="699" t="e">
        <f t="shared" si="7"/>
        <v>#N/A</v>
      </c>
      <c r="F44" s="699">
        <f t="shared" si="7"/>
        <v>7.3306395290831086</v>
      </c>
      <c r="G44" s="345">
        <f>(G42-F42)*100/F42</f>
        <v>5.9003973879296323</v>
      </c>
      <c r="H44" s="345">
        <f>(H42-G42)*100/G42</f>
        <v>-0.5266622778143516</v>
      </c>
      <c r="I44" s="345">
        <f>(I42-H42)*100/H42</f>
        <v>0.88241782484006182</v>
      </c>
      <c r="J44" s="345">
        <f>(J42-I42)*100/I42</f>
        <v>2.1867483052700636E-2</v>
      </c>
      <c r="K44" s="345">
        <f>(K42-J42)*100/J42</f>
        <v>0</v>
      </c>
      <c r="M44" s="927"/>
      <c r="N44" s="927"/>
      <c r="O44" s="927"/>
      <c r="AB44" s="335"/>
      <c r="AC44" s="335"/>
      <c r="AD44" s="335"/>
      <c r="AE44" s="335"/>
      <c r="AF44" s="335"/>
      <c r="AG44" s="335"/>
    </row>
    <row r="45" spans="1:33">
      <c r="A45" s="338" t="s">
        <v>2091</v>
      </c>
      <c r="B45" s="336"/>
      <c r="C45" s="699"/>
      <c r="D45" s="699"/>
      <c r="E45" s="699" t="e">
        <f>(E42-E22)*100/(D42)-100</f>
        <v>#N/A</v>
      </c>
      <c r="F45" s="699">
        <f>(F42-F22)*100/(E42-E22)-100</f>
        <v>6.7270426021935208</v>
      </c>
      <c r="G45" s="345">
        <f>(G42-G22)*100/(F42-F22)-100</f>
        <v>6.7328055370482929</v>
      </c>
      <c r="H45" s="345">
        <f>(H42-H22)*100/(G42-G22)-100</f>
        <v>0.93444824805835935</v>
      </c>
      <c r="I45" s="345"/>
      <c r="K45" s="927"/>
      <c r="L45" s="1047"/>
      <c r="M45" s="927"/>
      <c r="N45" s="927"/>
      <c r="O45" s="927"/>
      <c r="AB45" s="335"/>
      <c r="AC45" s="335"/>
      <c r="AD45" s="335"/>
      <c r="AE45" s="335"/>
      <c r="AF45" s="335"/>
      <c r="AG45" s="335"/>
    </row>
    <row r="46" spans="1:33" ht="6" customHeight="1">
      <c r="A46" s="335"/>
      <c r="B46" s="336"/>
      <c r="C46" s="699"/>
      <c r="D46" s="699"/>
      <c r="E46" s="345"/>
      <c r="F46" s="345"/>
      <c r="G46" s="345"/>
      <c r="H46" s="345"/>
      <c r="I46" s="345"/>
      <c r="K46" s="927"/>
      <c r="L46" s="927"/>
      <c r="M46" s="927"/>
      <c r="N46" s="927"/>
      <c r="O46" s="927"/>
      <c r="AB46" s="335"/>
      <c r="AC46" s="335"/>
      <c r="AD46" s="335"/>
      <c r="AE46" s="335"/>
      <c r="AF46" s="335"/>
      <c r="AG46" s="335"/>
    </row>
    <row r="47" spans="1:33" ht="15.5">
      <c r="A47" s="1034" t="s">
        <v>2370</v>
      </c>
      <c r="B47" s="336"/>
      <c r="C47" s="699"/>
      <c r="D47" s="699"/>
      <c r="E47" s="583"/>
      <c r="F47" s="345"/>
      <c r="G47" s="345"/>
      <c r="H47" s="345"/>
      <c r="I47" s="345"/>
      <c r="AB47" s="335"/>
      <c r="AC47" s="335"/>
      <c r="AD47" s="335"/>
      <c r="AE47" s="335"/>
      <c r="AF47" s="335"/>
      <c r="AG47" s="335"/>
    </row>
    <row r="48" spans="1:33" ht="13.5">
      <c r="A48" s="355" t="s">
        <v>2088</v>
      </c>
      <c r="B48" s="336"/>
      <c r="C48" s="699"/>
      <c r="D48" s="699"/>
      <c r="E48" s="344">
        <f>+Gdata!D156</f>
        <v>1041</v>
      </c>
      <c r="F48" s="344">
        <f>+Gdata!E156</f>
        <v>1100</v>
      </c>
      <c r="G48" s="344">
        <f>+Gdata!F156</f>
        <v>0</v>
      </c>
      <c r="H48" s="345"/>
      <c r="I48" s="345"/>
      <c r="AB48" s="335"/>
      <c r="AC48" s="335"/>
      <c r="AD48" s="335"/>
      <c r="AE48" s="335"/>
      <c r="AF48" s="335"/>
      <c r="AG48" s="335"/>
    </row>
    <row r="49" spans="1:238" ht="13.5">
      <c r="A49" s="355" t="s">
        <v>2089</v>
      </c>
      <c r="B49" s="336"/>
      <c r="C49" s="699"/>
      <c r="D49" s="699"/>
      <c r="E49" s="344">
        <f>+Gdata!D157</f>
        <v>0</v>
      </c>
      <c r="F49" s="344"/>
      <c r="G49" s="345"/>
      <c r="H49" s="345"/>
      <c r="I49" s="345"/>
      <c r="AB49" s="335"/>
      <c r="AC49" s="335"/>
      <c r="AD49" s="335"/>
      <c r="AE49" s="335"/>
      <c r="AF49" s="335"/>
      <c r="AG49" s="335"/>
    </row>
    <row r="50" spans="1:238" ht="13.5">
      <c r="A50" s="355"/>
      <c r="B50" s="336"/>
      <c r="C50" s="699"/>
      <c r="D50" s="699"/>
      <c r="E50" s="344"/>
      <c r="F50" s="344"/>
      <c r="G50" s="345"/>
      <c r="H50" s="345"/>
      <c r="I50" s="345"/>
      <c r="AB50" s="335"/>
      <c r="AC50" s="335"/>
      <c r="AD50" s="335"/>
      <c r="AE50" s="335"/>
      <c r="AF50" s="335"/>
      <c r="AG50" s="335"/>
    </row>
    <row r="51" spans="1:238" ht="13.5">
      <c r="A51" s="355" t="s">
        <v>2090</v>
      </c>
      <c r="B51" s="356"/>
      <c r="C51" s="344" t="e">
        <f>Gdata!B155</f>
        <v>#N/A</v>
      </c>
      <c r="D51" s="344" t="e">
        <f>Gdata!C155</f>
        <v>#N/A</v>
      </c>
      <c r="E51" s="344">
        <f>Gdata!D155</f>
        <v>0</v>
      </c>
      <c r="F51" s="344">
        <f>Gdata!E155</f>
        <v>250</v>
      </c>
      <c r="G51" s="344">
        <f>Gdata!F155</f>
        <v>550</v>
      </c>
      <c r="H51" s="340"/>
      <c r="AB51" s="335"/>
      <c r="AC51" s="335"/>
      <c r="AD51" s="335"/>
      <c r="AE51" s="335"/>
      <c r="AF51" s="335"/>
      <c r="AG51" s="335"/>
    </row>
    <row r="52" spans="1:238" ht="12" customHeight="1">
      <c r="A52" s="357"/>
      <c r="B52" s="336"/>
      <c r="C52" s="340"/>
      <c r="D52" s="340"/>
      <c r="E52" s="825"/>
      <c r="F52" s="340"/>
      <c r="G52" s="340"/>
      <c r="H52" s="340"/>
      <c r="AB52" s="335"/>
      <c r="AC52" s="335"/>
      <c r="AD52" s="335"/>
      <c r="AE52" s="335"/>
      <c r="AF52" s="335"/>
      <c r="AG52" s="335"/>
    </row>
    <row r="53" spans="1:238" ht="12" customHeight="1">
      <c r="A53" s="357"/>
      <c r="B53" s="336"/>
      <c r="C53" s="340"/>
      <c r="D53" s="340"/>
      <c r="E53" s="825"/>
      <c r="F53" s="340"/>
      <c r="G53" s="340"/>
      <c r="H53" s="340"/>
      <c r="AB53" s="335"/>
      <c r="AC53" s="335"/>
      <c r="AD53" s="335"/>
      <c r="AE53" s="335"/>
      <c r="AF53" s="335"/>
      <c r="AG53" s="335"/>
    </row>
    <row r="54" spans="1:238" ht="12" customHeight="1">
      <c r="A54" s="357"/>
      <c r="B54" s="336"/>
      <c r="C54" s="340"/>
      <c r="D54" s="340"/>
      <c r="E54" s="825"/>
      <c r="F54" s="340"/>
      <c r="G54" s="340"/>
      <c r="H54" s="340"/>
      <c r="AB54" s="335"/>
      <c r="AC54" s="335"/>
      <c r="AD54" s="335"/>
      <c r="AE54" s="335"/>
      <c r="AF54" s="335"/>
      <c r="AG54" s="335"/>
    </row>
    <row r="55" spans="1:238" ht="11.25" customHeight="1">
      <c r="A55" s="335"/>
      <c r="B55" s="336"/>
      <c r="C55" s="340"/>
      <c r="D55" s="340"/>
      <c r="E55" s="340"/>
      <c r="F55" s="340"/>
      <c r="G55" s="340"/>
      <c r="H55" s="340"/>
      <c r="AB55" s="335"/>
      <c r="AC55" s="335"/>
      <c r="AD55" s="335"/>
      <c r="AE55" s="335"/>
      <c r="AF55" s="335"/>
      <c r="AG55" s="335"/>
    </row>
    <row r="56" spans="1:238" s="123" customFormat="1">
      <c r="A56" s="358" t="s">
        <v>1385</v>
      </c>
      <c r="B56" s="358"/>
      <c r="C56" s="359" t="e">
        <f t="shared" ref="C56:K56" si="8">C34+C38</f>
        <v>#N/A</v>
      </c>
      <c r="D56" s="359" t="e">
        <f t="shared" si="8"/>
        <v>#N/A</v>
      </c>
      <c r="E56" s="359">
        <f t="shared" si="8"/>
        <v>177464</v>
      </c>
      <c r="F56" s="359">
        <f t="shared" si="8"/>
        <v>203862</v>
      </c>
      <c r="G56" s="360">
        <f t="shared" si="8"/>
        <v>224855</v>
      </c>
      <c r="H56" s="360">
        <f t="shared" si="8"/>
        <v>202540</v>
      </c>
      <c r="I56" s="360">
        <f t="shared" si="8"/>
        <v>203835</v>
      </c>
      <c r="J56" s="360">
        <f t="shared" si="8"/>
        <v>203835</v>
      </c>
      <c r="K56" s="360">
        <f t="shared" si="8"/>
        <v>203835</v>
      </c>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row>
    <row r="57" spans="1:238" ht="12" customHeight="1">
      <c r="A57" s="358" t="s">
        <v>274</v>
      </c>
      <c r="B57" s="361"/>
      <c r="C57" s="361"/>
      <c r="D57" s="361" t="e">
        <f>(D56-C56)*100/C56</f>
        <v>#N/A</v>
      </c>
      <c r="E57" s="361" t="e">
        <f t="shared" ref="E57:K57" si="9">(E56-D56)*100/D56</f>
        <v>#N/A</v>
      </c>
      <c r="F57" s="361">
        <f t="shared" si="9"/>
        <v>14.87512960375062</v>
      </c>
      <c r="G57" s="362">
        <f t="shared" si="9"/>
        <v>10.297652333441249</v>
      </c>
      <c r="H57" s="362">
        <f t="shared" si="9"/>
        <v>-9.9241733561628607</v>
      </c>
      <c r="I57" s="362">
        <f t="shared" si="9"/>
        <v>0.63937987558013232</v>
      </c>
      <c r="J57" s="362">
        <f t="shared" si="9"/>
        <v>0</v>
      </c>
      <c r="K57" s="362">
        <f t="shared" si="9"/>
        <v>0</v>
      </c>
      <c r="AB57" s="335"/>
      <c r="AC57" s="335"/>
      <c r="AD57" s="335"/>
      <c r="AE57" s="335"/>
      <c r="AF57" s="335"/>
      <c r="AG57" s="335"/>
    </row>
    <row r="58" spans="1:238">
      <c r="A58" s="358" t="s">
        <v>2365</v>
      </c>
      <c r="B58" s="359"/>
      <c r="C58" s="359" t="e">
        <f>C35*1000/Gdata!B28</f>
        <v>#N/A</v>
      </c>
      <c r="D58" s="359" t="e">
        <f>D35*1000/Gdata!C28</f>
        <v>#N/A</v>
      </c>
      <c r="E58" s="359">
        <f>E35*1000/Gdata!D28</f>
        <v>40561.643835616436</v>
      </c>
      <c r="F58" s="359">
        <f>F35*1000/Gdata!E28</f>
        <v>42748.73524451939</v>
      </c>
      <c r="G58" s="360">
        <f>G35*1000/Gdata!F28</f>
        <v>43714.936708860761</v>
      </c>
      <c r="H58" s="360">
        <f>H35*1000/Gdata!G28</f>
        <v>46535.259133389976</v>
      </c>
      <c r="I58" s="360">
        <f>I35*1000/Gdata!H28</f>
        <v>45710.790144435006</v>
      </c>
      <c r="J58" s="360">
        <f>J35*1000/Gdata!I28</f>
        <v>45718.946474086661</v>
      </c>
      <c r="K58" s="360">
        <f>K35*1000/Gdata!J28</f>
        <v>45719.626168224298</v>
      </c>
      <c r="AB58" s="335"/>
      <c r="AC58" s="335"/>
      <c r="AD58" s="335"/>
      <c r="AE58" s="335"/>
      <c r="AF58" s="335"/>
      <c r="AG58" s="335"/>
    </row>
    <row r="59" spans="1:238">
      <c r="A59" s="358" t="s">
        <v>1100</v>
      </c>
      <c r="B59" s="359"/>
      <c r="C59" s="359" t="e">
        <f>(C38+C41)*1000/Gdata!B28</f>
        <v>#N/A</v>
      </c>
      <c r="D59" s="359" t="e">
        <f>(D38+D41)*1000/Gdata!C28</f>
        <v>#N/A</v>
      </c>
      <c r="E59" s="359">
        <f>(E38+E41)*1000/Gdata!D28</f>
        <v>26414.634146341465</v>
      </c>
      <c r="F59" s="359">
        <f>(F38+F41)*1000/Gdata!E28</f>
        <v>29816.188870151771</v>
      </c>
      <c r="G59" s="360">
        <f>(G38+G41)*1000/Gdata!F28</f>
        <v>33192.742616033756</v>
      </c>
      <c r="H59" s="360">
        <f>(H38+H41)*1000/Gdata!G28</f>
        <v>30498.385726423108</v>
      </c>
      <c r="I59" s="360">
        <f>(I38+I41)*1000/Gdata!H28</f>
        <v>32000.509770603228</v>
      </c>
      <c r="J59" s="360">
        <f>(J38+J41)*1000/Gdata!I28</f>
        <v>32000.509770603228</v>
      </c>
      <c r="K59" s="360">
        <f>(K38+K41)*1000/Gdata!J28</f>
        <v>32000.509770603228</v>
      </c>
      <c r="AB59" s="335"/>
      <c r="AC59" s="335"/>
      <c r="AD59" s="335"/>
      <c r="AE59" s="335"/>
      <c r="AF59" s="335"/>
      <c r="AG59" s="335"/>
    </row>
    <row r="60" spans="1:238" ht="12" customHeight="1">
      <c r="A60" s="358" t="s">
        <v>275</v>
      </c>
      <c r="B60" s="359"/>
      <c r="C60" s="363" t="e">
        <f>'Ut18'!E35</f>
        <v>#N/A</v>
      </c>
      <c r="D60" s="363" t="e">
        <f>'Ut19'!E35</f>
        <v>#N/A</v>
      </c>
      <c r="E60" s="363">
        <f>'Ut20'!E35</f>
        <v>1.0816070734171817</v>
      </c>
      <c r="F60" s="363">
        <f>'Ut21'!E35</f>
        <v>1.0923122612223066</v>
      </c>
      <c r="G60" s="364">
        <f>'Ut22'!E35</f>
        <v>1.1114531914513148</v>
      </c>
      <c r="H60" s="364">
        <f>'Ut23'!E35</f>
        <v>1.1111291794581537</v>
      </c>
      <c r="I60" s="364">
        <f>'Ut24'!E35</f>
        <v>1.1111931876595214</v>
      </c>
      <c r="J60" s="364">
        <f>'Ut25'!E35</f>
        <v>1.1107209545772501</v>
      </c>
      <c r="K60" s="364">
        <f>'Ut26'!E35</f>
        <v>1.1107209545772501</v>
      </c>
      <c r="AB60" s="335"/>
      <c r="AC60" s="335"/>
      <c r="AD60" s="335"/>
      <c r="AE60" s="335"/>
      <c r="AF60" s="335"/>
      <c r="AG60" s="335"/>
    </row>
    <row r="61" spans="1:238">
      <c r="A61" s="358" t="s">
        <v>2368</v>
      </c>
      <c r="B61" s="12"/>
      <c r="C61" s="1134" t="e">
        <f t="shared" ref="C61:E61" si="10">+C35+C48+C49+C51</f>
        <v>#N/A</v>
      </c>
      <c r="D61" s="1134" t="e">
        <f t="shared" si="10"/>
        <v>#N/A</v>
      </c>
      <c r="E61" s="1134">
        <f t="shared" si="10"/>
        <v>243843</v>
      </c>
      <c r="F61" s="1134">
        <f>+F32+F48+F49+F51</f>
        <v>227798</v>
      </c>
      <c r="G61" s="1136">
        <f>+G32+G48+G49+G51</f>
        <v>231373</v>
      </c>
      <c r="H61" s="335"/>
      <c r="AB61" s="335"/>
      <c r="AC61" s="335"/>
      <c r="AD61" s="335"/>
      <c r="AE61" s="335"/>
      <c r="AF61" s="335"/>
      <c r="AG61" s="335"/>
    </row>
    <row r="62" spans="1:238">
      <c r="A62" s="12"/>
      <c r="B62" s="12"/>
      <c r="C62" s="339"/>
      <c r="D62" s="339"/>
      <c r="E62" s="339"/>
      <c r="F62" s="339"/>
      <c r="G62" s="339"/>
      <c r="H62" s="339"/>
      <c r="AB62" s="335"/>
      <c r="AC62" s="335"/>
      <c r="AD62" s="335"/>
      <c r="AE62" s="335"/>
      <c r="AF62" s="335"/>
      <c r="AG62" s="335"/>
    </row>
    <row r="63" spans="1:238">
      <c r="A63" s="12"/>
      <c r="B63" s="12"/>
      <c r="C63" s="141"/>
      <c r="D63" s="141"/>
      <c r="E63" s="141"/>
      <c r="F63" s="141"/>
      <c r="G63" s="141"/>
      <c r="H63" s="141"/>
      <c r="AB63" s="335"/>
      <c r="AC63" s="335"/>
      <c r="AD63" s="335"/>
      <c r="AE63" s="335"/>
      <c r="AF63" s="335"/>
      <c r="AG63" s="335"/>
    </row>
    <row r="64" spans="1:238">
      <c r="A64" s="12"/>
      <c r="B64" s="12"/>
      <c r="C64" s="141"/>
      <c r="D64" s="141"/>
      <c r="E64" s="141"/>
      <c r="F64" s="141"/>
      <c r="G64" s="141"/>
      <c r="H64" s="141"/>
      <c r="AB64" s="335"/>
      <c r="AC64" s="335"/>
      <c r="AD64" s="335"/>
      <c r="AE64" s="335"/>
      <c r="AF64" s="335"/>
      <c r="AG64" s="335"/>
    </row>
    <row r="65" spans="1:33">
      <c r="A65" s="141"/>
      <c r="B65" s="141"/>
      <c r="C65" s="141"/>
      <c r="D65" s="141"/>
      <c r="E65" s="141"/>
      <c r="F65" s="141"/>
      <c r="G65" s="141"/>
      <c r="H65" s="141"/>
      <c r="AB65" s="335"/>
      <c r="AC65" s="335"/>
      <c r="AD65" s="335"/>
      <c r="AE65" s="335"/>
      <c r="AF65" s="335"/>
      <c r="AG65" s="335"/>
    </row>
    <row r="66" spans="1:33">
      <c r="B66" s="72"/>
      <c r="C66" s="246">
        <f t="shared" ref="C66:K66" si="11">C1</f>
        <v>2018</v>
      </c>
      <c r="D66" s="650">
        <f t="shared" si="11"/>
        <v>2019</v>
      </c>
      <c r="E66" s="650">
        <f t="shared" si="11"/>
        <v>2020</v>
      </c>
      <c r="F66" s="650">
        <f t="shared" si="11"/>
        <v>2021</v>
      </c>
      <c r="G66" s="650">
        <f t="shared" si="11"/>
        <v>2022</v>
      </c>
      <c r="H66" s="650">
        <f t="shared" si="11"/>
        <v>2023</v>
      </c>
      <c r="I66" s="650">
        <f t="shared" si="11"/>
        <v>2024</v>
      </c>
      <c r="J66" s="650">
        <f t="shared" si="11"/>
        <v>2025</v>
      </c>
      <c r="K66" s="650">
        <f t="shared" si="11"/>
        <v>2026</v>
      </c>
      <c r="AB66" s="335"/>
      <c r="AC66" s="335"/>
      <c r="AD66" s="335"/>
      <c r="AE66" s="335"/>
      <c r="AF66" s="335"/>
      <c r="AG66" s="335"/>
    </row>
    <row r="67" spans="1:33">
      <c r="A67" s="8" t="str">
        <f>A5</f>
        <v>Innbyggertilskudd (likt beløp pr innb)</v>
      </c>
      <c r="C67" s="8" t="e">
        <f t="shared" ref="C67:K67" si="12">C5+C33</f>
        <v>#N/A</v>
      </c>
      <c r="D67" s="651" t="e">
        <f t="shared" si="12"/>
        <v>#N/A</v>
      </c>
      <c r="E67" s="651">
        <f>E5+E33</f>
        <v>150149.72163855183</v>
      </c>
      <c r="F67" s="651">
        <f t="shared" si="12"/>
        <v>146834.83479891607</v>
      </c>
      <c r="G67" s="651">
        <f t="shared" si="12"/>
        <v>154841.11074497987</v>
      </c>
      <c r="H67" s="651">
        <f t="shared" si="12"/>
        <v>165232.59126483425</v>
      </c>
      <c r="I67" s="651">
        <f t="shared" si="12"/>
        <v>166525.29142115437</v>
      </c>
      <c r="J67" s="651">
        <f t="shared" si="12"/>
        <v>167504.66971833838</v>
      </c>
      <c r="K67" s="651">
        <f t="shared" si="12"/>
        <v>167508.16056462613</v>
      </c>
      <c r="AB67" s="335"/>
      <c r="AC67" s="335"/>
      <c r="AD67" s="335"/>
      <c r="AE67" s="335"/>
      <c r="AF67" s="335"/>
      <c r="AG67" s="335"/>
    </row>
    <row r="68" spans="1:33">
      <c r="A68" s="8" t="str">
        <f>A6</f>
        <v>Utgiftsutjevningen</v>
      </c>
      <c r="C68" s="8" t="e">
        <f t="shared" ref="C68:K68" si="13">C6</f>
        <v>#N/A</v>
      </c>
      <c r="D68" s="651" t="e">
        <f t="shared" si="13"/>
        <v>#N/A</v>
      </c>
      <c r="E68" s="651">
        <f t="shared" si="13"/>
        <v>29758.037715705228</v>
      </c>
      <c r="F68" s="651">
        <f t="shared" si="13"/>
        <v>34138.044591092097</v>
      </c>
      <c r="G68" s="651">
        <f t="shared" si="13"/>
        <v>42441.562147826939</v>
      </c>
      <c r="H68" s="651">
        <f t="shared" si="13"/>
        <v>44901.176583663109</v>
      </c>
      <c r="I68" s="651">
        <f t="shared" si="13"/>
        <v>45169.454304881663</v>
      </c>
      <c r="J68" s="651">
        <f t="shared" si="13"/>
        <v>45102.162956344131</v>
      </c>
      <c r="K68" s="651">
        <f t="shared" si="13"/>
        <v>45102.549466177385</v>
      </c>
      <c r="AB68" s="335"/>
      <c r="AC68" s="335"/>
      <c r="AD68" s="335"/>
      <c r="AE68" s="335"/>
      <c r="AF68" s="335"/>
      <c r="AG68" s="335"/>
    </row>
    <row r="69" spans="1:33">
      <c r="A69" s="322" t="s">
        <v>1136</v>
      </c>
      <c r="B69" s="11"/>
      <c r="C69" s="11" t="e">
        <f t="shared" ref="C69:K69" si="14">C7</f>
        <v>#N/A</v>
      </c>
      <c r="D69" s="652" t="e">
        <f t="shared" si="14"/>
        <v>#N/A</v>
      </c>
      <c r="E69" s="652">
        <f t="shared" si="14"/>
        <v>-322.43866600000001</v>
      </c>
      <c r="F69" s="652">
        <f t="shared" si="14"/>
        <v>-223.95529289999999</v>
      </c>
      <c r="G69" s="652">
        <f t="shared" si="14"/>
        <v>-285.82580510000003</v>
      </c>
      <c r="H69" s="652">
        <f t="shared" si="14"/>
        <v>-241.51219477999999</v>
      </c>
      <c r="I69" s="652">
        <f t="shared" si="14"/>
        <v>0</v>
      </c>
      <c r="J69" s="652">
        <f t="shared" si="14"/>
        <v>0</v>
      </c>
      <c r="K69" s="652">
        <f t="shared" si="14"/>
        <v>0</v>
      </c>
      <c r="AB69" s="335"/>
      <c r="AC69" s="335"/>
      <c r="AD69" s="335"/>
      <c r="AE69" s="335"/>
      <c r="AF69" s="335"/>
      <c r="AG69" s="335"/>
    </row>
    <row r="70" spans="1:33">
      <c r="A70" s="8" t="s">
        <v>262</v>
      </c>
      <c r="C70" s="8" t="e">
        <f t="shared" ref="C70:K70" si="15">C8+C10</f>
        <v>#N/A</v>
      </c>
      <c r="D70" s="8" t="e">
        <f t="shared" si="15"/>
        <v>#N/A</v>
      </c>
      <c r="E70" s="8">
        <f t="shared" si="15"/>
        <v>3193.9147526200004</v>
      </c>
      <c r="F70" s="8">
        <f t="shared" si="15"/>
        <v>1711</v>
      </c>
      <c r="G70" s="8">
        <f t="shared" si="15"/>
        <v>1613.6053634887357</v>
      </c>
      <c r="H70" s="8">
        <f t="shared" si="15"/>
        <v>4443</v>
      </c>
      <c r="I70" s="8">
        <f t="shared" si="15"/>
        <v>4443</v>
      </c>
      <c r="J70" s="8">
        <f t="shared" si="15"/>
        <v>3579</v>
      </c>
      <c r="K70" s="8">
        <f t="shared" si="15"/>
        <v>3579</v>
      </c>
      <c r="AB70" s="335"/>
      <c r="AC70" s="335"/>
      <c r="AD70" s="335"/>
      <c r="AE70" s="335"/>
      <c r="AF70" s="335"/>
      <c r="AG70" s="335"/>
    </row>
    <row r="71" spans="1:33">
      <c r="A71" s="307" t="s">
        <v>2337</v>
      </c>
      <c r="C71" s="8" t="e">
        <f>C29+C30+C31</f>
        <v>#N/A</v>
      </c>
      <c r="D71" s="8" t="e">
        <f t="shared" ref="D71" si="16">D29+D30+D31</f>
        <v>#N/A</v>
      </c>
      <c r="E71" s="8">
        <f>E22+E29+E30+E31</f>
        <v>7627</v>
      </c>
      <c r="F71" s="8">
        <f>F22+F29+F30+F31</f>
        <v>10134.5</v>
      </c>
      <c r="G71" s="8">
        <f>+G22+G24+G23+G25+G26+G27+G30</f>
        <v>-2251.966869920675</v>
      </c>
      <c r="H71" s="8">
        <f>+H22+H24+H23+H25+H26+H27+H28</f>
        <v>795.92557704791977</v>
      </c>
      <c r="I71" s="8">
        <f t="shared" ref="I71:K71" si="17">+I22+I24+I23+I25+I26+I27+I28</f>
        <v>1742.1635422326963</v>
      </c>
      <c r="J71" s="8">
        <f t="shared" si="17"/>
        <v>1742.1635422326963</v>
      </c>
      <c r="K71" s="8">
        <f t="shared" si="17"/>
        <v>1742.1635422326963</v>
      </c>
      <c r="AB71" s="335"/>
      <c r="AC71" s="335"/>
      <c r="AD71" s="335"/>
      <c r="AE71" s="335"/>
      <c r="AF71" s="335"/>
      <c r="AG71" s="335"/>
    </row>
    <row r="72" spans="1:33">
      <c r="A72" s="307" t="s">
        <v>1212</v>
      </c>
      <c r="C72" s="8" t="e">
        <f t="shared" ref="C72:K72" si="18">C14</f>
        <v>#N/A</v>
      </c>
      <c r="D72" s="8" t="e">
        <f t="shared" si="18"/>
        <v>#N/A</v>
      </c>
      <c r="E72" s="8">
        <f t="shared" si="18"/>
        <v>0</v>
      </c>
      <c r="F72" s="8">
        <f t="shared" si="18"/>
        <v>0</v>
      </c>
      <c r="G72" s="8">
        <f t="shared" si="18"/>
        <v>0</v>
      </c>
      <c r="H72" s="8">
        <f t="shared" si="18"/>
        <v>0</v>
      </c>
      <c r="I72" s="8">
        <f t="shared" si="18"/>
        <v>0</v>
      </c>
      <c r="J72" s="8">
        <f t="shared" si="18"/>
        <v>0</v>
      </c>
      <c r="K72" s="8">
        <f t="shared" si="18"/>
        <v>0</v>
      </c>
      <c r="AB72" s="335"/>
      <c r="AC72" s="335"/>
      <c r="AD72" s="335"/>
      <c r="AE72" s="335"/>
      <c r="AF72" s="335"/>
      <c r="AG72" s="335"/>
    </row>
    <row r="73" spans="1:33">
      <c r="A73" s="307" t="s">
        <v>1211</v>
      </c>
      <c r="C73" s="8" t="e">
        <f t="shared" ref="C73:K73" si="19">+C15</f>
        <v>#N/A</v>
      </c>
      <c r="D73" s="8" t="e">
        <f t="shared" si="19"/>
        <v>#N/A</v>
      </c>
      <c r="E73" s="8">
        <f t="shared" si="19"/>
        <v>8197</v>
      </c>
      <c r="F73" s="8">
        <f t="shared" si="19"/>
        <v>8361</v>
      </c>
      <c r="G73" s="8">
        <f t="shared" si="19"/>
        <v>8335</v>
      </c>
      <c r="H73" s="8">
        <f t="shared" si="19"/>
        <v>8575</v>
      </c>
      <c r="I73" s="8">
        <f t="shared" si="19"/>
        <v>8519</v>
      </c>
      <c r="J73" s="8">
        <f t="shared" si="19"/>
        <v>8519</v>
      </c>
      <c r="K73" s="8">
        <f t="shared" si="19"/>
        <v>8519</v>
      </c>
      <c r="AB73" s="335"/>
      <c r="AC73" s="335"/>
      <c r="AD73" s="335"/>
      <c r="AE73" s="335"/>
      <c r="AF73" s="335"/>
      <c r="AG73" s="335"/>
    </row>
    <row r="74" spans="1:33">
      <c r="A74" s="8" t="str">
        <f>A12</f>
        <v>Nord-Norge-tilskudd/Namdalstilskudd</v>
      </c>
      <c r="C74" s="8" t="e">
        <f t="shared" ref="C74:K74" si="20">C12</f>
        <v>#N/A</v>
      </c>
      <c r="D74" s="651" t="e">
        <f t="shared" si="20"/>
        <v>#N/A</v>
      </c>
      <c r="E74" s="651">
        <f t="shared" si="20"/>
        <v>0</v>
      </c>
      <c r="F74" s="651">
        <f t="shared" si="20"/>
        <v>0</v>
      </c>
      <c r="G74" s="651">
        <f t="shared" si="20"/>
        <v>0</v>
      </c>
      <c r="H74" s="651">
        <f t="shared" si="20"/>
        <v>0</v>
      </c>
      <c r="I74" s="651">
        <f t="shared" si="20"/>
        <v>0</v>
      </c>
      <c r="J74" s="651">
        <f t="shared" si="20"/>
        <v>0</v>
      </c>
      <c r="K74" s="651">
        <f t="shared" si="20"/>
        <v>0</v>
      </c>
      <c r="AB74" s="335"/>
      <c r="AC74" s="335"/>
      <c r="AD74" s="335"/>
      <c r="AE74" s="335"/>
      <c r="AF74" s="335"/>
      <c r="AG74" s="335"/>
    </row>
    <row r="75" spans="1:33">
      <c r="A75" s="307" t="s">
        <v>1233</v>
      </c>
      <c r="C75" s="8" t="e">
        <f t="shared" ref="C75:K75" si="21">C16</f>
        <v>#N/A</v>
      </c>
      <c r="D75" s="8" t="e">
        <f t="shared" si="21"/>
        <v>#N/A</v>
      </c>
      <c r="E75" s="8">
        <f t="shared" si="21"/>
        <v>0</v>
      </c>
      <c r="F75" s="8">
        <f t="shared" si="21"/>
        <v>0</v>
      </c>
      <c r="G75" s="8">
        <f t="shared" si="21"/>
        <v>0</v>
      </c>
      <c r="H75" s="8">
        <f t="shared" si="21"/>
        <v>0</v>
      </c>
      <c r="I75" s="8">
        <f t="shared" si="21"/>
        <v>0</v>
      </c>
      <c r="J75" s="8">
        <f t="shared" si="21"/>
        <v>0</v>
      </c>
      <c r="K75" s="8">
        <f t="shared" si="21"/>
        <v>0</v>
      </c>
      <c r="AB75" s="335"/>
      <c r="AC75" s="335"/>
      <c r="AD75" s="335"/>
      <c r="AE75" s="335"/>
      <c r="AF75" s="335"/>
      <c r="AG75" s="335"/>
    </row>
    <row r="76" spans="1:33">
      <c r="A76" s="307" t="s">
        <v>1213</v>
      </c>
      <c r="C76" s="8" t="e">
        <f t="shared" ref="C76:K76" si="22">C11</f>
        <v>#N/A</v>
      </c>
      <c r="D76" s="651" t="e">
        <f t="shared" si="22"/>
        <v>#N/A</v>
      </c>
      <c r="E76" s="651">
        <f t="shared" si="22"/>
        <v>24822.926100000001</v>
      </c>
      <c r="F76" s="651">
        <f t="shared" si="22"/>
        <v>25493</v>
      </c>
      <c r="G76" s="651">
        <f t="shared" si="22"/>
        <v>26130</v>
      </c>
      <c r="H76" s="651">
        <f t="shared" si="22"/>
        <v>27097</v>
      </c>
      <c r="I76" s="651">
        <f t="shared" si="22"/>
        <v>27097</v>
      </c>
      <c r="J76" s="651">
        <f t="shared" si="22"/>
        <v>27097</v>
      </c>
      <c r="K76" s="651">
        <f t="shared" si="22"/>
        <v>27097</v>
      </c>
      <c r="AB76" s="335"/>
      <c r="AC76" s="335"/>
      <c r="AD76" s="335"/>
      <c r="AE76" s="335"/>
      <c r="AF76" s="335"/>
      <c r="AG76" s="335"/>
    </row>
    <row r="77" spans="1:33">
      <c r="A77" s="307" t="s">
        <v>1184</v>
      </c>
      <c r="C77" s="8" t="e">
        <f>+C9</f>
        <v>#N/A</v>
      </c>
      <c r="D77" s="8" t="e">
        <f>+D9</f>
        <v>#N/A</v>
      </c>
      <c r="E77" s="651"/>
      <c r="F77" s="651"/>
      <c r="G77" s="651"/>
      <c r="H77" s="651"/>
      <c r="I77" s="651"/>
      <c r="J77" s="651"/>
      <c r="K77" s="651"/>
      <c r="AB77" s="335"/>
      <c r="AC77" s="335"/>
      <c r="AD77" s="335"/>
      <c r="AE77" s="335"/>
      <c r="AF77" s="335"/>
      <c r="AG77" s="335"/>
    </row>
    <row r="78" spans="1:33">
      <c r="A78" s="8" t="s">
        <v>917</v>
      </c>
      <c r="C78" s="8" t="e">
        <f t="shared" ref="C78:K78" si="23">C17</f>
        <v>#N/A</v>
      </c>
      <c r="D78" s="651" t="e">
        <f t="shared" si="23"/>
        <v>#N/A</v>
      </c>
      <c r="E78" s="651">
        <f t="shared" si="23"/>
        <v>0</v>
      </c>
      <c r="F78" s="651">
        <f t="shared" si="23"/>
        <v>0</v>
      </c>
      <c r="G78" s="651">
        <f t="shared" si="23"/>
        <v>0</v>
      </c>
      <c r="H78" s="651">
        <f t="shared" si="23"/>
        <v>0</v>
      </c>
      <c r="I78" s="651">
        <f t="shared" si="23"/>
        <v>0</v>
      </c>
      <c r="J78" s="651">
        <f t="shared" si="23"/>
        <v>0</v>
      </c>
      <c r="K78" s="651">
        <f t="shared" si="23"/>
        <v>0</v>
      </c>
      <c r="AB78" s="335"/>
      <c r="AC78" s="335"/>
      <c r="AD78" s="335"/>
      <c r="AE78" s="335"/>
      <c r="AF78" s="335"/>
      <c r="AG78" s="335"/>
    </row>
    <row r="79" spans="1:33">
      <c r="A79" s="8" t="s">
        <v>11</v>
      </c>
      <c r="C79" s="8" t="e">
        <f t="shared" ref="C79:K79" si="24">C13</f>
        <v>#N/A</v>
      </c>
      <c r="D79" s="651" t="e">
        <f t="shared" si="24"/>
        <v>#N/A</v>
      </c>
      <c r="E79" s="651">
        <f t="shared" si="24"/>
        <v>0</v>
      </c>
      <c r="F79" s="651">
        <f t="shared" si="24"/>
        <v>0</v>
      </c>
      <c r="G79" s="651">
        <f t="shared" si="24"/>
        <v>0</v>
      </c>
      <c r="H79" s="651">
        <f t="shared" si="24"/>
        <v>0</v>
      </c>
      <c r="I79" s="651">
        <f t="shared" si="24"/>
        <v>0</v>
      </c>
      <c r="J79" s="651">
        <f t="shared" si="24"/>
        <v>0</v>
      </c>
      <c r="K79" s="651">
        <f t="shared" si="24"/>
        <v>0</v>
      </c>
      <c r="AB79" s="335"/>
      <c r="AC79" s="335"/>
      <c r="AD79" s="335"/>
      <c r="AE79" s="335"/>
      <c r="AF79" s="335"/>
      <c r="AG79" s="335"/>
    </row>
    <row r="80" spans="1:33">
      <c r="A80" s="8" t="s">
        <v>712</v>
      </c>
      <c r="B80" s="7"/>
      <c r="C80" s="8" t="e">
        <f>C18+C21</f>
        <v>#N/A</v>
      </c>
      <c r="D80" s="8" t="e">
        <f>D18+D21</f>
        <v>#N/A</v>
      </c>
      <c r="E80" s="8">
        <f>E18+E20+E21</f>
        <v>30</v>
      </c>
      <c r="F80" s="8">
        <f>F18+F20+F21</f>
        <v>0</v>
      </c>
      <c r="G80" s="8">
        <f>G18+G21</f>
        <v>0</v>
      </c>
      <c r="H80" s="8">
        <f>H18+H21</f>
        <v>0</v>
      </c>
      <c r="I80" s="8">
        <f>I18+I21</f>
        <v>0</v>
      </c>
      <c r="J80" s="8">
        <f>J18+J21</f>
        <v>0</v>
      </c>
      <c r="K80" s="8">
        <f>K18+K21</f>
        <v>0</v>
      </c>
      <c r="AB80" s="335"/>
      <c r="AC80" s="335"/>
      <c r="AD80" s="335"/>
      <c r="AE80" s="335"/>
      <c r="AF80" s="335"/>
      <c r="AG80" s="335"/>
    </row>
    <row r="81" spans="1:33">
      <c r="A81" s="8" t="s">
        <v>276</v>
      </c>
      <c r="B81" s="11"/>
      <c r="C81" s="11" t="e">
        <f t="shared" ref="C81:H81" si="25">SUM(C67:C80)</f>
        <v>#N/A</v>
      </c>
      <c r="D81" s="652" t="e">
        <f t="shared" si="25"/>
        <v>#N/A</v>
      </c>
      <c r="E81" s="652">
        <f t="shared" si="25"/>
        <v>223456.16154087707</v>
      </c>
      <c r="F81" s="652">
        <f t="shared" si="25"/>
        <v>226448.42409710816</v>
      </c>
      <c r="G81" s="652">
        <f t="shared" si="25"/>
        <v>230823.4855812749</v>
      </c>
      <c r="H81" s="652">
        <f t="shared" si="25"/>
        <v>250803.1812307653</v>
      </c>
      <c r="I81" s="652">
        <f t="shared" ref="I81:J81" si="26">SUM(I67:I80)</f>
        <v>253495.90926826873</v>
      </c>
      <c r="J81" s="652">
        <f t="shared" si="26"/>
        <v>253543.99621691523</v>
      </c>
      <c r="K81" s="652">
        <f t="shared" ref="K81" si="27">SUM(K67:K80)</f>
        <v>253547.87357303622</v>
      </c>
      <c r="AB81" s="335"/>
      <c r="AC81" s="335"/>
      <c r="AD81" s="335"/>
      <c r="AE81" s="335"/>
      <c r="AF81" s="335"/>
      <c r="AG81" s="335"/>
    </row>
    <row r="82" spans="1:33">
      <c r="A82" s="8" t="s">
        <v>1001</v>
      </c>
      <c r="C82" s="8" t="e">
        <f t="shared" ref="C82:I82" si="28">C38+C41+C34</f>
        <v>#N/A</v>
      </c>
      <c r="D82" s="651" t="e">
        <f t="shared" si="28"/>
        <v>#N/A</v>
      </c>
      <c r="E82" s="651">
        <f t="shared" si="28"/>
        <v>177464</v>
      </c>
      <c r="F82" s="651">
        <f t="shared" si="28"/>
        <v>203862</v>
      </c>
      <c r="G82" s="651">
        <f t="shared" si="28"/>
        <v>224855</v>
      </c>
      <c r="H82" s="651">
        <f t="shared" si="28"/>
        <v>202540</v>
      </c>
      <c r="I82" s="651">
        <f t="shared" si="28"/>
        <v>203835</v>
      </c>
      <c r="J82" s="651">
        <f t="shared" ref="J82:K82" si="29">J38+J41+J34</f>
        <v>203835</v>
      </c>
      <c r="K82" s="651">
        <f t="shared" si="29"/>
        <v>203835</v>
      </c>
      <c r="AB82" s="335"/>
      <c r="AC82" s="335"/>
      <c r="AD82" s="335"/>
      <c r="AE82" s="335"/>
      <c r="AF82" s="335"/>
      <c r="AG82" s="335"/>
    </row>
    <row r="83" spans="1:33">
      <c r="A83" s="8" t="s">
        <v>277</v>
      </c>
      <c r="C83" s="8" t="e">
        <f t="shared" ref="C83:E83" si="30">C82+C81</f>
        <v>#N/A</v>
      </c>
      <c r="D83" s="651" t="e">
        <f>D82+D81</f>
        <v>#N/A</v>
      </c>
      <c r="E83" s="651">
        <f t="shared" si="30"/>
        <v>400920.16154087707</v>
      </c>
      <c r="F83" s="651">
        <f t="shared" ref="F83" si="31">F82+F81</f>
        <v>430310.42409710819</v>
      </c>
      <c r="G83" s="651">
        <f t="shared" ref="G83:I83" si="32">G82+G81</f>
        <v>455678.4855812749</v>
      </c>
      <c r="H83" s="651">
        <f t="shared" si="32"/>
        <v>453343.1812307653</v>
      </c>
      <c r="I83" s="651">
        <f t="shared" si="32"/>
        <v>457330.90926826873</v>
      </c>
      <c r="J83" s="651">
        <f t="shared" ref="J83:K83" si="33">J82+J81</f>
        <v>457378.9962169152</v>
      </c>
      <c r="K83" s="651">
        <f t="shared" si="33"/>
        <v>457382.87357303622</v>
      </c>
      <c r="AB83" s="335"/>
      <c r="AC83" s="335"/>
      <c r="AD83" s="335"/>
      <c r="AE83" s="335"/>
      <c r="AF83" s="335"/>
      <c r="AG83" s="335"/>
    </row>
    <row r="84" spans="1:33">
      <c r="A84" s="8" t="s">
        <v>995</v>
      </c>
      <c r="C84" s="8" t="e">
        <f t="shared" ref="C84:E84" si="34">C42</f>
        <v>#N/A</v>
      </c>
      <c r="D84" s="651" t="e">
        <f t="shared" si="34"/>
        <v>#N/A</v>
      </c>
      <c r="E84" s="651">
        <f t="shared" si="34"/>
        <v>400920</v>
      </c>
      <c r="F84" s="651">
        <f t="shared" ref="F84" si="35">F42</f>
        <v>430310</v>
      </c>
      <c r="G84" s="651">
        <f t="shared" ref="G84:I84" si="36">G42</f>
        <v>455700</v>
      </c>
      <c r="H84" s="651">
        <f t="shared" si="36"/>
        <v>453300</v>
      </c>
      <c r="I84" s="651">
        <f t="shared" si="36"/>
        <v>457300</v>
      </c>
      <c r="J84" s="651">
        <f t="shared" ref="J84:K84" si="37">J42</f>
        <v>457400</v>
      </c>
      <c r="K84" s="651">
        <f t="shared" si="37"/>
        <v>457400</v>
      </c>
      <c r="AB84" s="335"/>
      <c r="AC84" s="335"/>
      <c r="AD84" s="335"/>
      <c r="AE84" s="335"/>
      <c r="AF84" s="335"/>
      <c r="AG84" s="335"/>
    </row>
    <row r="85" spans="1:33">
      <c r="C85" s="8"/>
      <c r="D85" s="8"/>
      <c r="E85" s="8"/>
      <c r="F85" s="8"/>
      <c r="G85" s="8"/>
      <c r="H85" s="8"/>
      <c r="I85" s="8"/>
      <c r="J85" s="8"/>
      <c r="K85" s="8"/>
      <c r="AB85" s="335"/>
      <c r="AC85" s="335"/>
      <c r="AD85" s="335"/>
      <c r="AE85" s="335"/>
      <c r="AF85" s="335"/>
      <c r="AG85" s="335"/>
    </row>
    <row r="86" spans="1:33">
      <c r="B86" s="7"/>
      <c r="D86" s="653"/>
      <c r="E86" s="653"/>
      <c r="F86" s="653"/>
      <c r="G86" s="653"/>
      <c r="H86" s="653"/>
      <c r="I86" s="653"/>
      <c r="J86" s="653"/>
      <c r="K86" s="653"/>
      <c r="AB86" s="335"/>
      <c r="AC86" s="335"/>
      <c r="AD86" s="335"/>
      <c r="AE86" s="335"/>
      <c r="AF86" s="335"/>
      <c r="AG86" s="335"/>
    </row>
    <row r="87" spans="1:33">
      <c r="C87" s="247"/>
      <c r="D87" s="654" t="s">
        <v>1099</v>
      </c>
      <c r="E87" s="654" t="s">
        <v>1115</v>
      </c>
      <c r="F87" s="654" t="s">
        <v>1204</v>
      </c>
      <c r="G87" s="654" t="s">
        <v>1460</v>
      </c>
      <c r="H87" s="654" t="s">
        <v>1461</v>
      </c>
      <c r="I87" s="654" t="s">
        <v>1974</v>
      </c>
      <c r="J87" s="654" t="s">
        <v>2460</v>
      </c>
      <c r="K87" s="654" t="s">
        <v>2461</v>
      </c>
      <c r="AB87" s="335"/>
      <c r="AC87" s="335"/>
      <c r="AD87" s="335"/>
      <c r="AE87" s="335"/>
      <c r="AF87" s="335"/>
      <c r="AG87" s="335"/>
    </row>
    <row r="88" spans="1:33">
      <c r="A88" s="7" t="s">
        <v>271</v>
      </c>
      <c r="C88" s="73"/>
      <c r="D88" s="655" t="e">
        <f t="shared" ref="D88:E88" si="38">D36</f>
        <v>#N/A</v>
      </c>
      <c r="E88" s="655" t="e">
        <f t="shared" si="38"/>
        <v>#N/A</v>
      </c>
      <c r="F88" s="655">
        <f t="shared" ref="F88" si="39">F36</f>
        <v>4.4060592581609708</v>
      </c>
      <c r="G88" s="655">
        <f t="shared" ref="G88" si="40">G36</f>
        <v>2.1739644970414203</v>
      </c>
      <c r="H88" s="655">
        <f>H36</f>
        <v>5.7329611483682159</v>
      </c>
      <c r="I88" s="655">
        <f>I36</f>
        <v>-1.7717081720587162</v>
      </c>
      <c r="J88" s="655">
        <f>J36</f>
        <v>1.7843335514185453E-2</v>
      </c>
      <c r="K88" s="655">
        <f>K36</f>
        <v>1.4866793529971455E-3</v>
      </c>
      <c r="AB88" s="335"/>
      <c r="AC88" s="335"/>
      <c r="AD88" s="335"/>
      <c r="AE88" s="335"/>
      <c r="AF88" s="335"/>
      <c r="AG88" s="335"/>
    </row>
    <row r="89" spans="1:33">
      <c r="A89" s="7" t="s">
        <v>272</v>
      </c>
      <c r="C89" s="73"/>
      <c r="D89" s="655" t="e">
        <f t="shared" ref="D89:E89" si="41">D39</f>
        <v>#N/A</v>
      </c>
      <c r="E89" s="655" t="e">
        <f t="shared" si="41"/>
        <v>#N/A</v>
      </c>
      <c r="F89" s="655">
        <f t="shared" ref="F89" si="42">F39</f>
        <v>11.82155099356177</v>
      </c>
      <c r="G89" s="655">
        <f t="shared" ref="G89:I89" si="43">G39</f>
        <v>11.230699621062158</v>
      </c>
      <c r="H89" s="655">
        <f t="shared" si="43"/>
        <v>-8.7376123091316789</v>
      </c>
      <c r="I89" s="655">
        <f t="shared" si="43"/>
        <v>4.9252575452828404</v>
      </c>
      <c r="J89" s="655">
        <f t="shared" ref="J89:K89" si="44">J39</f>
        <v>0</v>
      </c>
      <c r="K89" s="655">
        <f t="shared" si="44"/>
        <v>0</v>
      </c>
      <c r="AB89" s="335"/>
      <c r="AC89" s="335"/>
      <c r="AD89" s="335"/>
      <c r="AE89" s="335"/>
      <c r="AF89" s="335"/>
      <c r="AG89" s="335"/>
    </row>
    <row r="90" spans="1:33">
      <c r="A90" s="7" t="s">
        <v>140</v>
      </c>
      <c r="C90" s="73"/>
      <c r="D90" s="655" t="e">
        <f t="shared" ref="D90:E90" si="45">D44</f>
        <v>#N/A</v>
      </c>
      <c r="E90" s="655" t="e">
        <f t="shared" si="45"/>
        <v>#N/A</v>
      </c>
      <c r="F90" s="655">
        <f t="shared" ref="F90" si="46">F44</f>
        <v>7.3306395290831086</v>
      </c>
      <c r="G90" s="655">
        <f t="shared" ref="G90:H90" si="47">G44</f>
        <v>5.9003973879296323</v>
      </c>
      <c r="H90" s="655">
        <f t="shared" si="47"/>
        <v>-0.5266622778143516</v>
      </c>
      <c r="I90" s="655">
        <f>I44</f>
        <v>0.88241782484006182</v>
      </c>
      <c r="J90" s="655">
        <f t="shared" ref="J90:K90" si="48">J44</f>
        <v>2.1867483052700636E-2</v>
      </c>
      <c r="K90" s="655">
        <f t="shared" si="48"/>
        <v>0</v>
      </c>
      <c r="AB90" s="335"/>
      <c r="AC90" s="335"/>
      <c r="AD90" s="335"/>
      <c r="AE90" s="335"/>
      <c r="AF90" s="335"/>
      <c r="AG90" s="335"/>
    </row>
    <row r="91" spans="1:33">
      <c r="A91" s="141"/>
      <c r="B91" s="141"/>
      <c r="C91" s="141"/>
      <c r="D91" s="141"/>
      <c r="E91" s="141"/>
      <c r="F91" s="141"/>
      <c r="G91" s="141"/>
      <c r="H91" s="141"/>
      <c r="AB91" s="335"/>
      <c r="AC91" s="335"/>
      <c r="AD91" s="335"/>
      <c r="AE91" s="335"/>
      <c r="AF91" s="335"/>
      <c r="AG91" s="335"/>
    </row>
    <row r="92" spans="1:33">
      <c r="A92" s="141"/>
      <c r="B92" s="141"/>
      <c r="C92" s="141"/>
      <c r="D92" s="141"/>
      <c r="E92" s="141"/>
      <c r="F92" s="141"/>
      <c r="G92" s="141"/>
      <c r="H92" s="141"/>
      <c r="AB92" s="335"/>
      <c r="AC92" s="335"/>
      <c r="AD92" s="335"/>
      <c r="AE92" s="335"/>
      <c r="AF92" s="335"/>
      <c r="AG92" s="335"/>
    </row>
    <row r="93" spans="1:33">
      <c r="A93" s="141"/>
      <c r="B93" s="141"/>
      <c r="C93" s="141"/>
      <c r="D93" s="141"/>
      <c r="E93" s="141"/>
      <c r="F93" s="141"/>
      <c r="G93" s="141"/>
      <c r="H93" s="141"/>
      <c r="AB93" s="335"/>
      <c r="AC93" s="335"/>
      <c r="AD93" s="335"/>
      <c r="AE93" s="335"/>
      <c r="AF93" s="335"/>
      <c r="AG93" s="335"/>
    </row>
    <row r="94" spans="1:33">
      <c r="A94" s="141"/>
      <c r="B94" s="141"/>
      <c r="C94" s="141"/>
      <c r="D94" s="141"/>
      <c r="E94" s="141"/>
      <c r="F94" s="141"/>
      <c r="G94" s="141"/>
      <c r="H94" s="141"/>
      <c r="AB94" s="335"/>
      <c r="AC94" s="335"/>
      <c r="AD94" s="335"/>
      <c r="AE94" s="335"/>
      <c r="AF94" s="335"/>
      <c r="AG94" s="335"/>
    </row>
    <row r="95" spans="1:33">
      <c r="A95" s="141"/>
      <c r="B95" s="141"/>
      <c r="C95" s="141"/>
      <c r="D95" s="141"/>
      <c r="E95" s="141"/>
      <c r="F95" s="141"/>
      <c r="G95" s="141"/>
      <c r="H95" s="141"/>
      <c r="AB95" s="335"/>
      <c r="AC95" s="335"/>
      <c r="AD95" s="335"/>
      <c r="AE95" s="335"/>
      <c r="AF95" s="335"/>
      <c r="AG95" s="335"/>
    </row>
    <row r="96" spans="1:33">
      <c r="A96" s="141"/>
      <c r="B96" s="141"/>
      <c r="C96" s="141"/>
      <c r="D96" s="141"/>
      <c r="E96" s="141"/>
      <c r="F96" s="141"/>
      <c r="G96" s="141"/>
      <c r="H96" s="141"/>
      <c r="AB96" s="335"/>
      <c r="AC96" s="335"/>
      <c r="AD96" s="335"/>
      <c r="AE96" s="335"/>
      <c r="AF96" s="335"/>
      <c r="AG96" s="335"/>
    </row>
    <row r="97" spans="1:33">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row>
    <row r="98" spans="1:33">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row>
    <row r="99" spans="1:33">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row>
    <row r="100" spans="1:33">
      <c r="A100" s="141"/>
      <c r="B100" s="141"/>
      <c r="C100" s="141"/>
      <c r="D100" s="141"/>
      <c r="E100" s="141"/>
      <c r="F100" s="141"/>
      <c r="G100" s="141"/>
      <c r="H100" s="141"/>
      <c r="AB100" s="335"/>
      <c r="AC100" s="335"/>
      <c r="AD100" s="335"/>
      <c r="AE100" s="335"/>
      <c r="AF100" s="335"/>
      <c r="AG100" s="335"/>
    </row>
    <row r="101" spans="1:33">
      <c r="A101" s="141"/>
      <c r="B101" s="141"/>
      <c r="C101" s="141"/>
      <c r="D101" s="141"/>
      <c r="E101" s="141"/>
      <c r="F101" s="141"/>
      <c r="G101" s="141"/>
      <c r="H101" s="141"/>
      <c r="AB101" s="335"/>
      <c r="AC101" s="335"/>
      <c r="AD101" s="335"/>
      <c r="AE101" s="335"/>
      <c r="AF101" s="335"/>
      <c r="AG101" s="335"/>
    </row>
    <row r="102" spans="1:33">
      <c r="A102" s="141"/>
      <c r="B102" s="141"/>
      <c r="C102" s="141"/>
      <c r="D102" s="141"/>
      <c r="E102" s="141"/>
      <c r="F102" s="141"/>
      <c r="G102" s="141"/>
      <c r="H102" s="141"/>
      <c r="AB102" s="335"/>
      <c r="AC102" s="335"/>
      <c r="AD102" s="335"/>
      <c r="AE102" s="335"/>
      <c r="AF102" s="335"/>
      <c r="AG102" s="335"/>
    </row>
    <row r="103" spans="1:33">
      <c r="A103" s="141"/>
      <c r="B103" s="141"/>
      <c r="C103" s="141"/>
      <c r="D103" s="141"/>
      <c r="E103" s="141"/>
      <c r="F103" s="141"/>
      <c r="G103" s="141"/>
      <c r="H103" s="141"/>
      <c r="AB103" s="335"/>
      <c r="AC103" s="335"/>
      <c r="AD103" s="335"/>
      <c r="AE103" s="335"/>
      <c r="AF103" s="335"/>
      <c r="AG103" s="335"/>
    </row>
    <row r="104" spans="1:33">
      <c r="A104" s="141"/>
      <c r="B104" s="141"/>
      <c r="C104" s="141"/>
      <c r="D104" s="141"/>
      <c r="E104" s="141"/>
      <c r="F104" s="141"/>
      <c r="G104" s="141"/>
      <c r="H104" s="141"/>
      <c r="AB104" s="335"/>
      <c r="AC104" s="335"/>
      <c r="AD104" s="335"/>
      <c r="AE104" s="335"/>
      <c r="AF104" s="335"/>
      <c r="AG104" s="335"/>
    </row>
    <row r="105" spans="1:33">
      <c r="A105" s="141"/>
      <c r="B105" s="141"/>
      <c r="C105" s="141"/>
      <c r="D105" s="141"/>
      <c r="E105" s="141"/>
      <c r="F105" s="141"/>
      <c r="G105" s="141"/>
      <c r="H105" s="141"/>
      <c r="AB105" s="335"/>
      <c r="AC105" s="335"/>
      <c r="AD105" s="335"/>
      <c r="AE105" s="335"/>
      <c r="AF105" s="335"/>
      <c r="AG105" s="335"/>
    </row>
    <row r="106" spans="1:33">
      <c r="A106" s="141"/>
      <c r="B106" s="141"/>
      <c r="C106" s="141"/>
      <c r="D106" s="141"/>
      <c r="E106" s="141"/>
      <c r="F106" s="141"/>
      <c r="G106" s="141"/>
      <c r="H106" s="141"/>
      <c r="AB106" s="335"/>
      <c r="AC106" s="335"/>
      <c r="AD106" s="335"/>
      <c r="AE106" s="335"/>
      <c r="AF106" s="335"/>
      <c r="AG106" s="335"/>
    </row>
    <row r="107" spans="1:33">
      <c r="A107" s="141"/>
      <c r="B107" s="141"/>
      <c r="C107" s="141"/>
      <c r="D107" s="141"/>
      <c r="E107" s="141"/>
      <c r="F107" s="141"/>
      <c r="G107" s="141"/>
      <c r="H107" s="141"/>
      <c r="AB107" s="335"/>
      <c r="AC107" s="335"/>
      <c r="AD107" s="335"/>
      <c r="AE107" s="335"/>
      <c r="AF107" s="335"/>
      <c r="AG107" s="335"/>
    </row>
    <row r="108" spans="1:33">
      <c r="A108" s="141"/>
      <c r="B108" s="141"/>
      <c r="C108" s="141"/>
      <c r="D108" s="141"/>
      <c r="E108" s="141"/>
      <c r="F108" s="141"/>
      <c r="G108" s="141"/>
      <c r="H108" s="141"/>
      <c r="AB108" s="335"/>
      <c r="AC108" s="335"/>
      <c r="AD108" s="335"/>
      <c r="AE108" s="335"/>
      <c r="AF108" s="335"/>
      <c r="AG108" s="335"/>
    </row>
    <row r="109" spans="1:33">
      <c r="A109" s="141"/>
      <c r="B109" s="141"/>
      <c r="C109" s="141"/>
      <c r="D109" s="141"/>
      <c r="E109" s="141"/>
      <c r="F109" s="141"/>
      <c r="G109" s="141"/>
      <c r="H109" s="141"/>
      <c r="AB109" s="335"/>
      <c r="AC109" s="335"/>
      <c r="AD109" s="335"/>
      <c r="AE109" s="335"/>
      <c r="AF109" s="335"/>
      <c r="AG109" s="335"/>
    </row>
    <row r="110" spans="1:33">
      <c r="A110" s="141"/>
      <c r="B110" s="141"/>
      <c r="C110" s="141"/>
      <c r="D110" s="141"/>
      <c r="E110" s="141"/>
      <c r="F110" s="141"/>
      <c r="G110" s="141"/>
      <c r="H110" s="141"/>
      <c r="AB110" s="335"/>
      <c r="AC110" s="335"/>
      <c r="AD110" s="335"/>
      <c r="AE110" s="335"/>
      <c r="AF110" s="335"/>
      <c r="AG110" s="335"/>
    </row>
    <row r="111" spans="1:33">
      <c r="A111" s="141"/>
      <c r="B111" s="141"/>
      <c r="C111" s="141"/>
      <c r="D111" s="141"/>
      <c r="E111" s="141"/>
      <c r="F111" s="141"/>
      <c r="G111" s="141"/>
      <c r="H111" s="141"/>
      <c r="AB111" s="335"/>
      <c r="AC111" s="335"/>
      <c r="AD111" s="335"/>
      <c r="AE111" s="335"/>
      <c r="AF111" s="335"/>
      <c r="AG111" s="335"/>
    </row>
    <row r="112" spans="1:33">
      <c r="A112" s="141"/>
      <c r="B112" s="141"/>
      <c r="C112" s="141"/>
      <c r="D112" s="141"/>
      <c r="E112" s="141"/>
      <c r="F112" s="141"/>
      <c r="G112" s="141"/>
      <c r="H112" s="141"/>
      <c r="AB112" s="335"/>
      <c r="AC112" s="335"/>
      <c r="AD112" s="335"/>
      <c r="AE112" s="335"/>
      <c r="AF112" s="335"/>
      <c r="AG112" s="335"/>
    </row>
    <row r="113" spans="1:33">
      <c r="A113" s="141"/>
      <c r="B113" s="141"/>
      <c r="C113" s="141"/>
      <c r="D113" s="141"/>
      <c r="E113" s="141"/>
      <c r="F113" s="141"/>
      <c r="G113" s="141"/>
      <c r="H113" s="141"/>
      <c r="AB113" s="335"/>
      <c r="AC113" s="335"/>
      <c r="AD113" s="335"/>
      <c r="AE113" s="335"/>
      <c r="AF113" s="335"/>
      <c r="AG113" s="335"/>
    </row>
    <row r="114" spans="1:33">
      <c r="A114" s="141"/>
      <c r="B114" s="141"/>
      <c r="C114" s="141"/>
      <c r="D114" s="141"/>
      <c r="E114" s="141"/>
      <c r="F114" s="141"/>
      <c r="G114" s="141"/>
      <c r="H114" s="141"/>
      <c r="AB114" s="335"/>
      <c r="AC114" s="335"/>
      <c r="AD114" s="335"/>
      <c r="AE114" s="335"/>
      <c r="AF114" s="335"/>
      <c r="AG114" s="335"/>
    </row>
    <row r="115" spans="1:33">
      <c r="A115" s="141"/>
      <c r="B115" s="141"/>
      <c r="C115" s="141"/>
      <c r="D115" s="141"/>
      <c r="E115" s="141"/>
      <c r="F115" s="141"/>
      <c r="G115" s="141"/>
      <c r="H115" s="141"/>
      <c r="AB115" s="335"/>
      <c r="AC115" s="335"/>
      <c r="AD115" s="335"/>
      <c r="AE115" s="335"/>
      <c r="AF115" s="335"/>
      <c r="AG115" s="335"/>
    </row>
    <row r="116" spans="1:33">
      <c r="A116" s="141"/>
      <c r="B116" s="141"/>
      <c r="C116" s="141"/>
      <c r="D116" s="141"/>
      <c r="E116" s="141"/>
      <c r="F116" s="141"/>
      <c r="G116" s="141"/>
      <c r="H116" s="141"/>
      <c r="AB116" s="335"/>
      <c r="AC116" s="335"/>
      <c r="AD116" s="335"/>
      <c r="AE116" s="335"/>
      <c r="AF116" s="335"/>
      <c r="AG116" s="335"/>
    </row>
    <row r="117" spans="1:33">
      <c r="A117" s="141"/>
      <c r="B117" s="141"/>
      <c r="C117" s="141"/>
      <c r="D117" s="141"/>
      <c r="E117" s="141"/>
      <c r="F117" s="141"/>
      <c r="G117" s="141"/>
      <c r="H117" s="141"/>
      <c r="AB117" s="335"/>
      <c r="AC117" s="335"/>
      <c r="AD117" s="335"/>
      <c r="AE117" s="335"/>
      <c r="AF117" s="335"/>
      <c r="AG117" s="335"/>
    </row>
    <row r="118" spans="1:33">
      <c r="A118" s="141"/>
      <c r="B118" s="141"/>
      <c r="C118" s="141"/>
      <c r="D118" s="141"/>
      <c r="E118" s="141"/>
      <c r="F118" s="141"/>
      <c r="G118" s="141"/>
      <c r="H118" s="141"/>
      <c r="AB118" s="335"/>
      <c r="AC118" s="335"/>
      <c r="AD118" s="335"/>
      <c r="AE118" s="335"/>
      <c r="AF118" s="335"/>
      <c r="AG118" s="335"/>
    </row>
    <row r="119" spans="1:33">
      <c r="A119" s="141"/>
      <c r="B119" s="141"/>
      <c r="C119" s="141"/>
      <c r="D119" s="141"/>
      <c r="E119" s="141"/>
      <c r="F119" s="141"/>
      <c r="G119" s="141"/>
      <c r="H119" s="141"/>
      <c r="AB119" s="335"/>
      <c r="AC119" s="335"/>
      <c r="AD119" s="335"/>
      <c r="AE119" s="335"/>
      <c r="AF119" s="335"/>
      <c r="AG119" s="335"/>
    </row>
    <row r="120" spans="1:33">
      <c r="A120" s="141"/>
      <c r="B120" s="141"/>
      <c r="C120" s="141"/>
      <c r="D120" s="141"/>
      <c r="E120" s="141"/>
      <c r="F120" s="141"/>
      <c r="G120" s="141"/>
      <c r="H120" s="141"/>
      <c r="AB120" s="335"/>
      <c r="AC120" s="335"/>
      <c r="AD120" s="335"/>
      <c r="AE120" s="335"/>
      <c r="AF120" s="335"/>
      <c r="AG120" s="335"/>
    </row>
    <row r="121" spans="1:33">
      <c r="A121" s="141"/>
      <c r="B121" s="141"/>
      <c r="C121" s="141"/>
      <c r="D121" s="141"/>
      <c r="E121" s="141"/>
      <c r="F121" s="141"/>
      <c r="G121" s="141"/>
      <c r="H121" s="141"/>
      <c r="AB121" s="335"/>
      <c r="AC121" s="335"/>
      <c r="AD121" s="335"/>
      <c r="AE121" s="335"/>
      <c r="AF121" s="335"/>
      <c r="AG121" s="335"/>
    </row>
    <row r="122" spans="1:33">
      <c r="A122" s="141"/>
      <c r="B122" s="141"/>
      <c r="C122" s="141"/>
      <c r="D122" s="141"/>
      <c r="E122" s="141"/>
      <c r="F122" s="141"/>
      <c r="G122" s="141"/>
      <c r="H122" s="141"/>
      <c r="AB122" s="335"/>
      <c r="AC122" s="335"/>
      <c r="AD122" s="335"/>
      <c r="AE122" s="335"/>
      <c r="AF122" s="335"/>
      <c r="AG122" s="335"/>
    </row>
    <row r="123" spans="1:33">
      <c r="A123" s="141"/>
      <c r="B123" s="141"/>
      <c r="C123" s="141"/>
      <c r="D123" s="141"/>
      <c r="E123" s="141"/>
      <c r="F123" s="141"/>
      <c r="G123" s="141"/>
      <c r="H123" s="141"/>
      <c r="AB123" s="335"/>
      <c r="AC123" s="335"/>
      <c r="AD123" s="335"/>
      <c r="AE123" s="335"/>
      <c r="AF123" s="335"/>
      <c r="AG123" s="335"/>
    </row>
    <row r="124" spans="1:33">
      <c r="A124" s="141"/>
      <c r="B124" s="141"/>
      <c r="C124" s="141"/>
      <c r="D124" s="141"/>
      <c r="E124" s="141"/>
      <c r="F124" s="141"/>
      <c r="G124" s="141"/>
      <c r="H124" s="141"/>
      <c r="AB124" s="335"/>
      <c r="AC124" s="335"/>
      <c r="AD124" s="335"/>
      <c r="AE124" s="335"/>
      <c r="AF124" s="335"/>
      <c r="AG124" s="335"/>
    </row>
    <row r="125" spans="1:33">
      <c r="A125" s="141"/>
      <c r="B125" s="141"/>
      <c r="C125" s="141"/>
      <c r="D125" s="141"/>
      <c r="E125" s="141"/>
      <c r="F125" s="141"/>
      <c r="G125" s="141"/>
      <c r="H125" s="141"/>
      <c r="AB125" s="335"/>
      <c r="AC125" s="335"/>
      <c r="AD125" s="335"/>
      <c r="AE125" s="335"/>
      <c r="AF125" s="335"/>
      <c r="AG125" s="335"/>
    </row>
    <row r="126" spans="1:33">
      <c r="A126" s="141"/>
      <c r="B126" s="141"/>
      <c r="C126" s="141"/>
      <c r="D126" s="141"/>
      <c r="E126" s="141"/>
      <c r="F126" s="141"/>
      <c r="G126" s="141"/>
      <c r="H126" s="141"/>
      <c r="AB126" s="335"/>
      <c r="AC126" s="335"/>
      <c r="AD126" s="335"/>
      <c r="AE126" s="335"/>
      <c r="AF126" s="335"/>
      <c r="AG126" s="335"/>
    </row>
    <row r="127" spans="1:33">
      <c r="A127" s="141"/>
      <c r="B127" s="141"/>
      <c r="C127" s="141"/>
      <c r="D127" s="141"/>
      <c r="E127" s="141"/>
      <c r="F127" s="141"/>
      <c r="G127" s="141"/>
      <c r="H127" s="141"/>
      <c r="AB127" s="335"/>
      <c r="AC127" s="335"/>
      <c r="AD127" s="335"/>
      <c r="AE127" s="335"/>
      <c r="AF127" s="335"/>
      <c r="AG127" s="335"/>
    </row>
    <row r="128" spans="1:33">
      <c r="A128" s="141"/>
      <c r="B128" s="141"/>
      <c r="C128" s="141"/>
      <c r="D128" s="141"/>
      <c r="E128" s="141"/>
      <c r="F128" s="141"/>
      <c r="G128" s="141"/>
      <c r="H128" s="141"/>
      <c r="AB128" s="335"/>
      <c r="AC128" s="335"/>
      <c r="AD128" s="335"/>
      <c r="AE128" s="335"/>
      <c r="AF128" s="335"/>
      <c r="AG128" s="335"/>
    </row>
    <row r="129" spans="1:37">
      <c r="A129" s="141"/>
      <c r="B129" s="141"/>
      <c r="C129" s="141"/>
      <c r="D129" s="141"/>
      <c r="E129" s="141"/>
      <c r="F129" s="141"/>
      <c r="G129" s="141"/>
      <c r="H129" s="141"/>
      <c r="AB129" s="335"/>
      <c r="AC129" s="335"/>
      <c r="AD129" s="335"/>
      <c r="AE129" s="335"/>
      <c r="AF129" s="335"/>
      <c r="AG129" s="335"/>
    </row>
    <row r="130" spans="1:37">
      <c r="A130" s="141"/>
      <c r="B130" s="141"/>
      <c r="C130" s="141"/>
      <c r="D130" s="141"/>
      <c r="E130" s="141"/>
      <c r="F130" s="141"/>
      <c r="G130" s="141"/>
      <c r="H130" s="141"/>
      <c r="AB130" s="335"/>
      <c r="AC130" s="335"/>
      <c r="AD130" s="335"/>
      <c r="AE130" s="335"/>
      <c r="AF130" s="335"/>
      <c r="AG130" s="335"/>
    </row>
    <row r="131" spans="1:37">
      <c r="A131" s="141"/>
      <c r="B131" s="141"/>
      <c r="C131" s="141"/>
      <c r="D131" s="141"/>
      <c r="E131" s="141"/>
      <c r="F131" s="141"/>
      <c r="G131" s="141"/>
      <c r="H131" s="141"/>
      <c r="AB131" s="335"/>
      <c r="AC131" s="335"/>
      <c r="AD131" s="335"/>
      <c r="AE131" s="335"/>
      <c r="AF131" s="335"/>
      <c r="AG131" s="335"/>
    </row>
    <row r="132" spans="1:37">
      <c r="AB132" s="335"/>
      <c r="AC132" s="335"/>
      <c r="AD132" s="335"/>
      <c r="AE132" s="335"/>
      <c r="AF132" s="335"/>
      <c r="AG132" s="335"/>
    </row>
    <row r="133" spans="1:37">
      <c r="A133" s="653"/>
      <c r="B133" s="651"/>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H133" s="653"/>
      <c r="AI133" s="653"/>
      <c r="AJ133" s="653"/>
      <c r="AK133" s="653"/>
    </row>
    <row r="134" spans="1:37">
      <c r="A134" s="653"/>
      <c r="B134" s="651"/>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H134" s="653"/>
      <c r="AI134" s="653"/>
      <c r="AJ134" s="653"/>
      <c r="AK134" s="653"/>
    </row>
    <row r="135" spans="1:37">
      <c r="A135" s="653"/>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H135" s="653"/>
      <c r="AI135" s="653"/>
      <c r="AJ135" s="653"/>
      <c r="AK135" s="653"/>
    </row>
    <row r="136" spans="1:37">
      <c r="A136" s="653"/>
      <c r="B136" s="651"/>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H136" s="653"/>
      <c r="AI136" s="653"/>
      <c r="AJ136" s="653"/>
      <c r="AK136" s="653"/>
    </row>
    <row r="137" spans="1:37">
      <c r="A137" s="653"/>
      <c r="B137" s="651"/>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H137" s="653"/>
      <c r="AI137" s="653"/>
      <c r="AJ137" s="653"/>
      <c r="AK137" s="653"/>
    </row>
    <row r="138" spans="1:37">
      <c r="A138" s="653"/>
      <c r="B138" s="651"/>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H138" s="653"/>
      <c r="AI138" s="653"/>
      <c r="AJ138" s="653"/>
      <c r="AK138" s="653"/>
    </row>
    <row r="139" spans="1:37">
      <c r="A139" s="653"/>
      <c r="B139" s="651"/>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H139" s="653"/>
      <c r="AI139" s="653"/>
      <c r="AJ139" s="653"/>
      <c r="AK139" s="653"/>
    </row>
    <row r="140" spans="1:37">
      <c r="A140" s="653"/>
      <c r="B140" s="651"/>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H140" s="653"/>
      <c r="AI140" s="653"/>
      <c r="AJ140" s="653"/>
      <c r="AK140" s="653"/>
    </row>
    <row r="141" spans="1:37">
      <c r="A141" s="653"/>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H141" s="653"/>
      <c r="AI141" s="653"/>
      <c r="AJ141" s="653"/>
      <c r="AK141" s="653"/>
    </row>
    <row r="142" spans="1:37">
      <c r="A142" s="653"/>
      <c r="B142" s="651"/>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H142" s="653"/>
      <c r="AI142" s="653"/>
      <c r="AJ142" s="653"/>
      <c r="AK142" s="653"/>
    </row>
    <row r="143" spans="1:37">
      <c r="A143" s="653"/>
      <c r="B143" s="651"/>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H143" s="653"/>
      <c r="AI143" s="653"/>
      <c r="AJ143" s="653"/>
      <c r="AK143" s="653"/>
    </row>
    <row r="144" spans="1:37">
      <c r="A144" s="653"/>
      <c r="B144" s="651"/>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H144" s="653"/>
      <c r="AI144" s="653"/>
      <c r="AJ144" s="653"/>
      <c r="AK144" s="653"/>
    </row>
    <row r="145" spans="1:37">
      <c r="A145" s="653"/>
      <c r="B145" s="651"/>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H145" s="653"/>
      <c r="AI145" s="653"/>
      <c r="AJ145" s="653"/>
      <c r="AK145" s="653"/>
    </row>
    <row r="146" spans="1:37">
      <c r="A146" s="653"/>
      <c r="B146" s="651"/>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H146" s="653"/>
      <c r="AI146" s="653"/>
      <c r="AJ146" s="653"/>
      <c r="AK146" s="653"/>
    </row>
    <row r="147" spans="1:37">
      <c r="A147" s="653"/>
      <c r="B147" s="651"/>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H147" s="653"/>
      <c r="AI147" s="653"/>
      <c r="AJ147" s="653"/>
      <c r="AK147" s="653"/>
    </row>
    <row r="148" spans="1:37">
      <c r="A148" s="653"/>
      <c r="B148" s="651"/>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H148" s="653"/>
      <c r="AI148" s="653"/>
      <c r="AJ148" s="653"/>
      <c r="AK148" s="653"/>
    </row>
    <row r="149" spans="1:37">
      <c r="A149" s="653"/>
      <c r="B149" s="651"/>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H149" s="653"/>
      <c r="AI149" s="653"/>
      <c r="AJ149" s="653"/>
      <c r="AK149" s="653"/>
    </row>
    <row r="150" spans="1:37">
      <c r="A150" s="653"/>
      <c r="B150" s="651"/>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H150" s="653"/>
      <c r="AI150" s="653"/>
      <c r="AJ150" s="653"/>
      <c r="AK150" s="653"/>
    </row>
    <row r="151" spans="1:37">
      <c r="A151" s="653"/>
      <c r="B151" s="651"/>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H151" s="653"/>
      <c r="AI151" s="653"/>
      <c r="AJ151" s="653"/>
      <c r="AK151" s="653"/>
    </row>
    <row r="152" spans="1:37">
      <c r="A152" s="653"/>
      <c r="B152" s="651"/>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H152" s="653"/>
      <c r="AI152" s="653"/>
      <c r="AJ152" s="653"/>
      <c r="AK152" s="653"/>
    </row>
    <row r="153" spans="1:37">
      <c r="A153" s="653"/>
      <c r="B153" s="651"/>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H153" s="653"/>
      <c r="AI153" s="653"/>
      <c r="AJ153" s="653"/>
      <c r="AK153" s="653"/>
    </row>
    <row r="154" spans="1:37">
      <c r="A154" s="653"/>
      <c r="B154" s="651"/>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H154" s="653"/>
      <c r="AI154" s="653"/>
      <c r="AJ154" s="653"/>
      <c r="AK154" s="653"/>
    </row>
    <row r="155" spans="1:37">
      <c r="A155" s="653"/>
      <c r="B155" s="651"/>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H155" s="653"/>
      <c r="AI155" s="653"/>
      <c r="AJ155" s="653"/>
      <c r="AK155" s="653"/>
    </row>
    <row r="156" spans="1:37">
      <c r="A156" s="653"/>
      <c r="B156" s="651"/>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H156" s="653"/>
      <c r="AI156" s="653"/>
      <c r="AJ156" s="653"/>
      <c r="AK156" s="653"/>
    </row>
    <row r="157" spans="1:37">
      <c r="A157" s="653"/>
      <c r="B157" s="651"/>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H157" s="653"/>
      <c r="AI157" s="653"/>
      <c r="AJ157" s="653"/>
      <c r="AK157" s="653"/>
    </row>
    <row r="158" spans="1:37">
      <c r="A158" s="653"/>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H158" s="653"/>
      <c r="AI158" s="653"/>
      <c r="AJ158" s="653"/>
      <c r="AK158" s="653"/>
    </row>
    <row r="159" spans="1:37">
      <c r="A159" s="653"/>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H159" s="653"/>
      <c r="AI159" s="653"/>
      <c r="AJ159" s="653"/>
      <c r="AK159" s="653"/>
    </row>
    <row r="160" spans="1:37">
      <c r="A160" s="653"/>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H160" s="653"/>
      <c r="AI160" s="653"/>
      <c r="AJ160" s="653"/>
      <c r="AK160" s="653"/>
    </row>
    <row r="161" spans="1:37">
      <c r="A161" s="653"/>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H161" s="653"/>
      <c r="AI161" s="653"/>
      <c r="AJ161" s="653"/>
      <c r="AK161" s="653"/>
    </row>
    <row r="162" spans="1:37">
      <c r="A162" s="653"/>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H162" s="653"/>
      <c r="AI162" s="653"/>
      <c r="AJ162" s="653"/>
      <c r="AK162" s="653"/>
    </row>
    <row r="163" spans="1:37">
      <c r="A163" s="653"/>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H163" s="653"/>
      <c r="AI163" s="653"/>
      <c r="AJ163" s="653"/>
      <c r="AK163" s="653"/>
    </row>
    <row r="164" spans="1:37">
      <c r="A164" s="653"/>
      <c r="B164" s="651"/>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H164" s="653"/>
      <c r="AI164" s="653"/>
      <c r="AJ164" s="653"/>
      <c r="AK164" s="653"/>
    </row>
    <row r="165" spans="1:37">
      <c r="A165" s="653"/>
      <c r="B165" s="651"/>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H165" s="653"/>
      <c r="AI165" s="653"/>
      <c r="AJ165" s="653"/>
      <c r="AK165" s="653"/>
    </row>
    <row r="166" spans="1:37">
      <c r="A166" s="653"/>
      <c r="B166" s="651"/>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H166" s="653"/>
      <c r="AI166" s="653"/>
      <c r="AJ166" s="653"/>
      <c r="AK166" s="653"/>
    </row>
    <row r="167" spans="1:37">
      <c r="A167" s="653"/>
      <c r="B167" s="651"/>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H167" s="653"/>
      <c r="AI167" s="653"/>
      <c r="AJ167" s="653"/>
      <c r="AK167" s="653"/>
    </row>
    <row r="168" spans="1:37">
      <c r="A168" s="653"/>
      <c r="B168" s="651"/>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H168" s="653"/>
      <c r="AI168" s="653"/>
      <c r="AJ168" s="653"/>
      <c r="AK168" s="653"/>
    </row>
    <row r="169" spans="1:37">
      <c r="A169" s="653"/>
      <c r="B169" s="651"/>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H169" s="653"/>
      <c r="AI169" s="653"/>
      <c r="AJ169" s="653"/>
      <c r="AK169" s="653"/>
    </row>
    <row r="170" spans="1:37">
      <c r="A170" s="653"/>
      <c r="B170" s="651"/>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H170" s="653"/>
      <c r="AI170" s="653"/>
      <c r="AJ170" s="653"/>
      <c r="AK170" s="653"/>
    </row>
    <row r="171" spans="1:37">
      <c r="A171" s="653"/>
      <c r="B171" s="651"/>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H171" s="653"/>
      <c r="AI171" s="653"/>
      <c r="AJ171" s="653"/>
      <c r="AK171" s="653"/>
    </row>
    <row r="172" spans="1:37">
      <c r="A172" s="653"/>
      <c r="B172" s="651"/>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H172" s="653"/>
      <c r="AI172" s="653"/>
      <c r="AJ172" s="653"/>
      <c r="AK172" s="653"/>
    </row>
    <row r="173" spans="1:37">
      <c r="A173" s="653"/>
      <c r="B173" s="651"/>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H173" s="653"/>
      <c r="AI173" s="653"/>
      <c r="AJ173" s="653"/>
      <c r="AK173" s="653"/>
    </row>
    <row r="174" spans="1:37">
      <c r="A174" s="653"/>
      <c r="B174" s="651"/>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H174" s="653"/>
      <c r="AI174" s="653"/>
      <c r="AJ174" s="653"/>
      <c r="AK174" s="653"/>
    </row>
    <row r="175" spans="1:37">
      <c r="A175" s="653"/>
      <c r="B175" s="651"/>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H175" s="653"/>
      <c r="AI175" s="653"/>
      <c r="AJ175" s="653"/>
      <c r="AK175" s="653"/>
    </row>
    <row r="176" spans="1:37">
      <c r="A176" s="653"/>
      <c r="B176" s="651"/>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H176" s="653"/>
      <c r="AI176" s="653"/>
      <c r="AJ176" s="653"/>
      <c r="AK176" s="653"/>
    </row>
    <row r="177" spans="1:37">
      <c r="A177" s="653"/>
      <c r="B177" s="651"/>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H177" s="653"/>
      <c r="AI177" s="653"/>
      <c r="AJ177" s="653"/>
      <c r="AK177" s="653"/>
    </row>
    <row r="178" spans="1:37">
      <c r="A178" s="653"/>
      <c r="B178" s="651"/>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H178" s="653"/>
      <c r="AI178" s="653"/>
      <c r="AJ178" s="653"/>
      <c r="AK178" s="653"/>
    </row>
    <row r="179" spans="1:37">
      <c r="A179" s="653"/>
      <c r="B179" s="651"/>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H179" s="653"/>
      <c r="AI179" s="653"/>
      <c r="AJ179" s="653"/>
      <c r="AK179" s="653"/>
    </row>
    <row r="180" spans="1:37">
      <c r="A180" s="653"/>
      <c r="B180" s="651"/>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H180" s="653"/>
      <c r="AI180" s="653"/>
      <c r="AJ180" s="653"/>
      <c r="AK180" s="653"/>
    </row>
    <row r="181" spans="1:37">
      <c r="A181" s="653"/>
      <c r="B181" s="651"/>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H181" s="653"/>
      <c r="AI181" s="653"/>
      <c r="AJ181" s="653"/>
      <c r="AK181" s="653"/>
    </row>
    <row r="182" spans="1:37">
      <c r="A182" s="653"/>
      <c r="B182" s="651"/>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H182" s="653"/>
      <c r="AI182" s="653"/>
      <c r="AJ182" s="653"/>
      <c r="AK182" s="653"/>
    </row>
    <row r="183" spans="1:37">
      <c r="A183" s="653"/>
      <c r="B183" s="651"/>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H183" s="653"/>
      <c r="AI183" s="653"/>
      <c r="AJ183" s="653"/>
      <c r="AK183" s="653"/>
    </row>
    <row r="184" spans="1:37">
      <c r="A184" s="653"/>
      <c r="B184" s="651"/>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H184" s="653"/>
      <c r="AI184" s="653"/>
      <c r="AJ184" s="653"/>
      <c r="AK184" s="653"/>
    </row>
    <row r="185" spans="1:37">
      <c r="A185" s="653"/>
      <c r="B185" s="651"/>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H185" s="653"/>
      <c r="AI185" s="653"/>
      <c r="AJ185" s="653"/>
      <c r="AK185" s="653"/>
    </row>
    <row r="186" spans="1:37">
      <c r="A186" s="653"/>
      <c r="B186" s="651"/>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H186" s="653"/>
      <c r="AI186" s="653"/>
      <c r="AJ186" s="653"/>
      <c r="AK186" s="653"/>
    </row>
    <row r="187" spans="1:37">
      <c r="A187" s="653"/>
      <c r="B187" s="651"/>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H187" s="653"/>
      <c r="AI187" s="653"/>
      <c r="AJ187" s="653"/>
      <c r="AK187" s="653"/>
    </row>
    <row r="188" spans="1:37">
      <c r="A188" s="653"/>
      <c r="B188" s="651"/>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H188" s="653"/>
      <c r="AI188" s="653"/>
      <c r="AJ188" s="653"/>
      <c r="AK188" s="653"/>
    </row>
    <row r="189" spans="1:37">
      <c r="A189" s="653"/>
      <c r="B189" s="651"/>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H189" s="653"/>
      <c r="AI189" s="653"/>
      <c r="AJ189" s="653"/>
      <c r="AK189" s="653"/>
    </row>
    <row r="190" spans="1:37">
      <c r="A190" s="653"/>
      <c r="B190" s="651"/>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H190" s="653"/>
      <c r="AI190" s="653"/>
      <c r="AJ190" s="653"/>
      <c r="AK190" s="653"/>
    </row>
    <row r="191" spans="1:37">
      <c r="A191" s="653"/>
      <c r="B191" s="651"/>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H191" s="653"/>
      <c r="AI191" s="653"/>
      <c r="AJ191" s="653"/>
      <c r="AK191" s="653"/>
    </row>
    <row r="192" spans="1:37">
      <c r="A192" s="653"/>
      <c r="B192" s="651"/>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H192" s="653"/>
      <c r="AI192" s="653"/>
      <c r="AJ192" s="653"/>
      <c r="AK192" s="653"/>
    </row>
    <row r="193" spans="1:37">
      <c r="A193" s="653"/>
      <c r="B193" s="651"/>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H193" s="653"/>
      <c r="AI193" s="653"/>
      <c r="AJ193" s="653"/>
      <c r="AK193" s="653"/>
    </row>
    <row r="194" spans="1:37">
      <c r="A194" s="653"/>
      <c r="B194" s="651"/>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H194" s="653"/>
      <c r="AI194" s="653"/>
      <c r="AJ194" s="653"/>
      <c r="AK194" s="653"/>
    </row>
    <row r="195" spans="1:37">
      <c r="A195" s="653"/>
      <c r="B195" s="651"/>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H195" s="653"/>
      <c r="AI195" s="653"/>
      <c r="AJ195" s="653"/>
      <c r="AK195" s="653"/>
    </row>
    <row r="196" spans="1:37">
      <c r="A196" s="653"/>
      <c r="B196" s="651"/>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H196" s="653"/>
      <c r="AI196" s="653"/>
      <c r="AJ196" s="653"/>
      <c r="AK196" s="653"/>
    </row>
    <row r="197" spans="1:37">
      <c r="A197" s="653"/>
      <c r="B197" s="651"/>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H197" s="653"/>
      <c r="AI197" s="653"/>
      <c r="AJ197" s="653"/>
      <c r="AK197" s="653"/>
    </row>
    <row r="198" spans="1:37">
      <c r="A198" s="653"/>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H198" s="653"/>
      <c r="AI198" s="653"/>
      <c r="AJ198" s="653"/>
      <c r="AK198" s="653"/>
    </row>
    <row r="199" spans="1:37">
      <c r="A199" s="653"/>
      <c r="B199" s="651"/>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H199" s="653"/>
      <c r="AI199" s="653"/>
      <c r="AJ199" s="653"/>
      <c r="AK199" s="653"/>
    </row>
    <row r="200" spans="1:37">
      <c r="A200" s="653"/>
      <c r="B200" s="651"/>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H200" s="653"/>
      <c r="AI200" s="653"/>
      <c r="AJ200" s="653"/>
      <c r="AK200" s="653"/>
    </row>
    <row r="201" spans="1:37">
      <c r="A201" s="653"/>
      <c r="B201" s="651"/>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H201" s="653"/>
      <c r="AI201" s="653"/>
      <c r="AJ201" s="653"/>
      <c r="AK201" s="653"/>
    </row>
    <row r="202" spans="1:37">
      <c r="A202" s="653"/>
      <c r="B202" s="651"/>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H202" s="653"/>
      <c r="AI202" s="653"/>
      <c r="AJ202" s="653"/>
      <c r="AK202" s="653"/>
    </row>
    <row r="203" spans="1:37">
      <c r="A203" s="653"/>
      <c r="B203" s="651"/>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H203" s="653"/>
      <c r="AI203" s="653"/>
      <c r="AJ203" s="653"/>
      <c r="AK203" s="653"/>
    </row>
    <row r="204" spans="1:37">
      <c r="A204" s="653"/>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H204" s="653"/>
      <c r="AI204" s="653"/>
      <c r="AJ204" s="653"/>
      <c r="AK204" s="653"/>
    </row>
    <row r="205" spans="1:37">
      <c r="A205" s="653"/>
      <c r="B205" s="651"/>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H205" s="653"/>
      <c r="AI205" s="653"/>
      <c r="AJ205" s="653"/>
      <c r="AK205" s="653"/>
    </row>
    <row r="206" spans="1:37">
      <c r="A206" s="653"/>
      <c r="B206" s="651"/>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H206" s="653"/>
      <c r="AI206" s="653"/>
      <c r="AJ206" s="653"/>
      <c r="AK206" s="653"/>
    </row>
    <row r="207" spans="1:37">
      <c r="A207" s="653"/>
      <c r="B207" s="651"/>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H207" s="653"/>
      <c r="AI207" s="653"/>
      <c r="AJ207" s="653"/>
      <c r="AK207" s="653"/>
    </row>
    <row r="208" spans="1:37">
      <c r="A208" s="653"/>
      <c r="B208" s="651"/>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H208" s="653"/>
      <c r="AI208" s="653"/>
      <c r="AJ208" s="653"/>
      <c r="AK208" s="653"/>
    </row>
    <row r="209" spans="1:37">
      <c r="A209" s="653"/>
      <c r="B209" s="651"/>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H209" s="653"/>
      <c r="AI209" s="653"/>
      <c r="AJ209" s="653"/>
      <c r="AK209" s="653"/>
    </row>
    <row r="210" spans="1:37">
      <c r="A210" s="653"/>
      <c r="B210" s="651"/>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H210" s="653"/>
      <c r="AI210" s="653"/>
      <c r="AJ210" s="653"/>
      <c r="AK210" s="653"/>
    </row>
    <row r="211" spans="1:37">
      <c r="A211" s="653"/>
      <c r="B211" s="651"/>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H211" s="653"/>
      <c r="AI211" s="653"/>
      <c r="AJ211" s="653"/>
      <c r="AK211" s="653"/>
    </row>
    <row r="212" spans="1:37">
      <c r="A212" s="653"/>
      <c r="B212" s="651"/>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H212" s="653"/>
      <c r="AI212" s="653"/>
      <c r="AJ212" s="653"/>
      <c r="AK212" s="653"/>
    </row>
    <row r="213" spans="1:37">
      <c r="A213" s="653"/>
      <c r="B213" s="651"/>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H213" s="653"/>
      <c r="AI213" s="653"/>
      <c r="AJ213" s="653"/>
      <c r="AK213" s="653"/>
    </row>
    <row r="214" spans="1:37">
      <c r="A214" s="653"/>
      <c r="B214" s="651"/>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H214" s="653"/>
      <c r="AI214" s="653"/>
      <c r="AJ214" s="653"/>
      <c r="AK214" s="653"/>
    </row>
    <row r="215" spans="1:37">
      <c r="A215" s="653"/>
      <c r="B215" s="651"/>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H215" s="653"/>
      <c r="AI215" s="653"/>
      <c r="AJ215" s="653"/>
      <c r="AK215" s="653"/>
    </row>
    <row r="216" spans="1:37">
      <c r="A216" s="653"/>
      <c r="B216" s="651"/>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H216" s="653"/>
      <c r="AI216" s="653"/>
      <c r="AJ216" s="653"/>
      <c r="AK216" s="653"/>
    </row>
    <row r="217" spans="1:37">
      <c r="A217" s="653"/>
      <c r="B217" s="651"/>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H217" s="653"/>
      <c r="AI217" s="653"/>
      <c r="AJ217" s="653"/>
      <c r="AK217" s="653"/>
    </row>
    <row r="218" spans="1:37">
      <c r="A218" s="653"/>
      <c r="B218" s="651"/>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H218" s="653"/>
      <c r="AI218" s="653"/>
      <c r="AJ218" s="653"/>
      <c r="AK218" s="653"/>
    </row>
    <row r="219" spans="1:37">
      <c r="A219" s="653"/>
      <c r="B219" s="651"/>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H219" s="653"/>
      <c r="AI219" s="653"/>
      <c r="AJ219" s="653"/>
      <c r="AK219" s="653"/>
    </row>
    <row r="220" spans="1:37">
      <c r="A220" s="653"/>
      <c r="B220" s="651"/>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H220" s="653"/>
      <c r="AI220" s="653"/>
      <c r="AJ220" s="653"/>
      <c r="AK220" s="653"/>
    </row>
    <row r="221" spans="1:37">
      <c r="A221" s="653"/>
      <c r="B221" s="651"/>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H221" s="653"/>
      <c r="AI221" s="653"/>
      <c r="AJ221" s="653"/>
      <c r="AK221" s="653"/>
    </row>
    <row r="222" spans="1:37">
      <c r="A222" s="653"/>
      <c r="B222" s="651"/>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H222" s="653"/>
      <c r="AI222" s="653"/>
      <c r="AJ222" s="653"/>
      <c r="AK222" s="653"/>
    </row>
    <row r="223" spans="1:37">
      <c r="A223" s="653"/>
      <c r="B223" s="651"/>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H223" s="653"/>
      <c r="AI223" s="653"/>
      <c r="AJ223" s="653"/>
      <c r="AK223" s="653"/>
    </row>
    <row r="224" spans="1:37">
      <c r="A224" s="653"/>
      <c r="B224" s="651"/>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H224" s="653"/>
      <c r="AI224" s="653"/>
      <c r="AJ224" s="653"/>
      <c r="AK224" s="653"/>
    </row>
    <row r="225" spans="1:37">
      <c r="A225" s="653"/>
      <c r="B225" s="651"/>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H225" s="653"/>
      <c r="AI225" s="653"/>
      <c r="AJ225" s="653"/>
      <c r="AK225" s="653"/>
    </row>
    <row r="226" spans="1:37">
      <c r="A226" s="653"/>
      <c r="B226" s="651"/>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H226" s="653"/>
      <c r="AI226" s="653"/>
      <c r="AJ226" s="653"/>
      <c r="AK226" s="653"/>
    </row>
    <row r="227" spans="1:37">
      <c r="A227" s="653"/>
      <c r="B227" s="651"/>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H227" s="653"/>
      <c r="AI227" s="653"/>
      <c r="AJ227" s="653"/>
      <c r="AK227" s="653"/>
    </row>
    <row r="228" spans="1:37">
      <c r="A228" s="653"/>
      <c r="B228" s="651"/>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H228" s="653"/>
      <c r="AI228" s="653"/>
      <c r="AJ228" s="653"/>
      <c r="AK228" s="653"/>
    </row>
    <row r="229" spans="1:37">
      <c r="A229" s="653"/>
      <c r="B229" s="651"/>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H229" s="653"/>
      <c r="AI229" s="653"/>
      <c r="AJ229" s="653"/>
      <c r="AK229" s="653"/>
    </row>
    <row r="230" spans="1:37">
      <c r="A230" s="653"/>
      <c r="B230" s="651"/>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H230" s="653"/>
      <c r="AI230" s="653"/>
      <c r="AJ230" s="653"/>
      <c r="AK230" s="653"/>
    </row>
    <row r="231" spans="1:37">
      <c r="A231" s="653"/>
      <c r="B231" s="651"/>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H231" s="653"/>
      <c r="AI231" s="653"/>
      <c r="AJ231" s="653"/>
      <c r="AK231" s="653"/>
    </row>
    <row r="232" spans="1:37">
      <c r="A232" s="653"/>
      <c r="B232" s="651"/>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H232" s="653"/>
      <c r="AI232" s="653"/>
      <c r="AJ232" s="653"/>
      <c r="AK232" s="653"/>
    </row>
    <row r="233" spans="1:37">
      <c r="A233" s="653"/>
      <c r="B233" s="651"/>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H233" s="653"/>
      <c r="AI233" s="653"/>
      <c r="AJ233" s="653"/>
      <c r="AK233" s="653"/>
    </row>
    <row r="234" spans="1:37">
      <c r="A234" s="653"/>
      <c r="B234" s="651"/>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H234" s="653"/>
      <c r="AI234" s="653"/>
      <c r="AJ234" s="653"/>
      <c r="AK234" s="653"/>
    </row>
    <row r="235" spans="1:37">
      <c r="A235" s="653"/>
      <c r="B235" s="651"/>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H235" s="653"/>
      <c r="AI235" s="653"/>
      <c r="AJ235" s="653"/>
      <c r="AK235" s="653"/>
    </row>
    <row r="236" spans="1:37">
      <c r="A236" s="653"/>
      <c r="B236" s="651"/>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H236" s="653"/>
      <c r="AI236" s="653"/>
      <c r="AJ236" s="653"/>
      <c r="AK236" s="653"/>
    </row>
    <row r="237" spans="1:37">
      <c r="A237" s="653"/>
      <c r="B237" s="651"/>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H237" s="653"/>
      <c r="AI237" s="653"/>
      <c r="AJ237" s="653"/>
      <c r="AK237" s="653"/>
    </row>
    <row r="238" spans="1:37">
      <c r="A238" s="653"/>
      <c r="B238" s="651"/>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H238" s="653"/>
      <c r="AI238" s="653"/>
      <c r="AJ238" s="653"/>
      <c r="AK238" s="653"/>
    </row>
    <row r="239" spans="1:37">
      <c r="A239" s="653"/>
      <c r="B239" s="651"/>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H239" s="653"/>
      <c r="AI239" s="653"/>
      <c r="AJ239" s="653"/>
      <c r="AK239" s="653"/>
    </row>
    <row r="240" spans="1:37">
      <c r="A240" s="653"/>
      <c r="B240" s="651"/>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H240" s="653"/>
      <c r="AI240" s="653"/>
      <c r="AJ240" s="653"/>
      <c r="AK240" s="653"/>
    </row>
    <row r="241" spans="1:37">
      <c r="A241" s="653"/>
      <c r="B241" s="651"/>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H241" s="653"/>
      <c r="AI241" s="653"/>
      <c r="AJ241" s="653"/>
      <c r="AK241" s="653"/>
    </row>
    <row r="242" spans="1:37">
      <c r="A242" s="653"/>
      <c r="B242" s="651"/>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H242" s="653"/>
      <c r="AI242" s="653"/>
      <c r="AJ242" s="653"/>
      <c r="AK242" s="653"/>
    </row>
    <row r="243" spans="1:37">
      <c r="A243" s="653"/>
      <c r="B243" s="651"/>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H243" s="653"/>
      <c r="AI243" s="653"/>
      <c r="AJ243" s="653"/>
      <c r="AK243" s="653"/>
    </row>
    <row r="244" spans="1:37">
      <c r="A244" s="653"/>
      <c r="B244" s="651"/>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H244" s="653"/>
      <c r="AI244" s="653"/>
      <c r="AJ244" s="653"/>
      <c r="AK244" s="653"/>
    </row>
    <row r="245" spans="1:37">
      <c r="A245" s="653"/>
      <c r="B245" s="651"/>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H245" s="653"/>
      <c r="AI245" s="653"/>
      <c r="AJ245" s="653"/>
      <c r="AK245" s="653"/>
    </row>
    <row r="246" spans="1:37">
      <c r="A246" s="653"/>
      <c r="B246" s="651"/>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H246" s="653"/>
      <c r="AI246" s="653"/>
      <c r="AJ246" s="653"/>
      <c r="AK246" s="653"/>
    </row>
    <row r="247" spans="1:37">
      <c r="A247" s="653"/>
      <c r="B247" s="651"/>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H247" s="653"/>
      <c r="AI247" s="653"/>
      <c r="AJ247" s="653"/>
      <c r="AK247" s="653"/>
    </row>
    <row r="248" spans="1:37">
      <c r="A248" s="653"/>
      <c r="B248" s="651"/>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H248" s="653"/>
      <c r="AI248" s="653"/>
      <c r="AJ248" s="653"/>
      <c r="AK248" s="653"/>
    </row>
    <row r="249" spans="1:37">
      <c r="A249" s="653"/>
      <c r="B249" s="651"/>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H249" s="653"/>
      <c r="AI249" s="653"/>
      <c r="AJ249" s="653"/>
      <c r="AK249" s="653"/>
    </row>
    <row r="250" spans="1:37">
      <c r="A250" s="653"/>
      <c r="B250" s="651"/>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H250" s="653"/>
      <c r="AI250" s="653"/>
      <c r="AJ250" s="653"/>
      <c r="AK250" s="653"/>
    </row>
    <row r="251" spans="1:37">
      <c r="A251" s="653"/>
      <c r="B251" s="651"/>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H251" s="653"/>
      <c r="AI251" s="653"/>
      <c r="AJ251" s="653"/>
      <c r="AK251" s="653"/>
    </row>
    <row r="252" spans="1:37">
      <c r="A252" s="653"/>
      <c r="B252" s="651"/>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H252" s="653"/>
      <c r="AI252" s="653"/>
      <c r="AJ252" s="653"/>
      <c r="AK252" s="653"/>
    </row>
    <row r="253" spans="1:37">
      <c r="A253" s="653"/>
      <c r="B253" s="651"/>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H253" s="653"/>
      <c r="AI253" s="653"/>
      <c r="AJ253" s="653"/>
      <c r="AK253" s="653"/>
    </row>
    <row r="254" spans="1:37">
      <c r="A254" s="653"/>
      <c r="B254" s="651"/>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H254" s="653"/>
      <c r="AI254" s="653"/>
      <c r="AJ254" s="653"/>
      <c r="AK254" s="653"/>
    </row>
    <row r="255" spans="1:37">
      <c r="A255" s="653"/>
      <c r="B255" s="651"/>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H255" s="653"/>
      <c r="AI255" s="653"/>
      <c r="AJ255" s="653"/>
      <c r="AK255" s="653"/>
    </row>
    <row r="256" spans="1:37">
      <c r="A256" s="653"/>
      <c r="B256" s="651"/>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H256" s="653"/>
      <c r="AI256" s="653"/>
      <c r="AJ256" s="653"/>
      <c r="AK256" s="653"/>
    </row>
    <row r="257" spans="1:37">
      <c r="A257" s="653"/>
      <c r="B257" s="651"/>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H257" s="653"/>
      <c r="AI257" s="653"/>
      <c r="AJ257" s="653"/>
      <c r="AK257" s="653"/>
    </row>
    <row r="258" spans="1:37">
      <c r="A258" s="653"/>
      <c r="B258" s="651"/>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H258" s="653"/>
      <c r="AI258" s="653"/>
      <c r="AJ258" s="653"/>
      <c r="AK258" s="653"/>
    </row>
    <row r="259" spans="1:37">
      <c r="A259" s="653"/>
      <c r="B259" s="651"/>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H259" s="653"/>
      <c r="AI259" s="653"/>
      <c r="AJ259" s="653"/>
      <c r="AK259" s="653"/>
    </row>
    <row r="260" spans="1:37">
      <c r="A260" s="653"/>
      <c r="B260" s="651"/>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H260" s="653"/>
      <c r="AI260" s="653"/>
      <c r="AJ260" s="653"/>
      <c r="AK260" s="653"/>
    </row>
    <row r="261" spans="1:37">
      <c r="A261" s="653"/>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H261" s="653"/>
      <c r="AI261" s="653"/>
      <c r="AJ261" s="653"/>
      <c r="AK261" s="653"/>
    </row>
    <row r="262" spans="1:37">
      <c r="A262" s="653"/>
      <c r="B262" s="651"/>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H262" s="653"/>
      <c r="AI262" s="653"/>
      <c r="AJ262" s="653"/>
      <c r="AK262" s="653"/>
    </row>
    <row r="263" spans="1:37">
      <c r="A263" s="653"/>
      <c r="B263" s="651"/>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H263" s="653"/>
      <c r="AI263" s="653"/>
      <c r="AJ263" s="653"/>
      <c r="AK263" s="653"/>
    </row>
    <row r="264" spans="1:37">
      <c r="A264" s="653"/>
      <c r="B264" s="651"/>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H264" s="653"/>
      <c r="AI264" s="653"/>
      <c r="AJ264" s="653"/>
      <c r="AK264" s="653"/>
    </row>
    <row r="265" spans="1:37">
      <c r="A265" s="653"/>
      <c r="B265" s="651"/>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H265" s="653"/>
      <c r="AI265" s="653"/>
      <c r="AJ265" s="653"/>
      <c r="AK265" s="653"/>
    </row>
    <row r="266" spans="1:37">
      <c r="A266" s="653"/>
      <c r="B266" s="651"/>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H266" s="653"/>
      <c r="AI266" s="653"/>
      <c r="AJ266" s="653"/>
      <c r="AK266" s="653"/>
    </row>
    <row r="267" spans="1:37">
      <c r="A267" s="653"/>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H267" s="653"/>
      <c r="AI267" s="653"/>
      <c r="AJ267" s="653"/>
      <c r="AK267" s="653"/>
    </row>
    <row r="268" spans="1:37">
      <c r="A268" s="653"/>
      <c r="B268" s="651"/>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H268" s="653"/>
      <c r="AI268" s="653"/>
      <c r="AJ268" s="653"/>
      <c r="AK268" s="653"/>
    </row>
    <row r="269" spans="1:37">
      <c r="A269" s="653"/>
      <c r="B269" s="651"/>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H269" s="653"/>
      <c r="AI269" s="653"/>
      <c r="AJ269" s="653"/>
      <c r="AK269" s="653"/>
    </row>
    <row r="270" spans="1:37">
      <c r="A270" s="653"/>
      <c r="B270" s="651"/>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H270" s="653"/>
      <c r="AI270" s="653"/>
      <c r="AJ270" s="653"/>
      <c r="AK270" s="653"/>
    </row>
    <row r="271" spans="1:37">
      <c r="A271" s="653"/>
      <c r="B271" s="651"/>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H271" s="653"/>
      <c r="AI271" s="653"/>
      <c r="AJ271" s="653"/>
      <c r="AK271" s="653"/>
    </row>
    <row r="272" spans="1:37">
      <c r="A272" s="653"/>
      <c r="B272" s="651"/>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H272" s="653"/>
      <c r="AI272" s="653"/>
      <c r="AJ272" s="653"/>
      <c r="AK272" s="653"/>
    </row>
    <row r="273" spans="1:37">
      <c r="A273" s="653"/>
      <c r="B273" s="651"/>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H273" s="653"/>
      <c r="AI273" s="653"/>
      <c r="AJ273" s="653"/>
      <c r="AK273" s="653"/>
    </row>
    <row r="274" spans="1:37">
      <c r="A274" s="653"/>
      <c r="B274" s="651"/>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H274" s="653"/>
      <c r="AI274" s="653"/>
      <c r="AJ274" s="653"/>
      <c r="AK274" s="653"/>
    </row>
    <row r="275" spans="1:37">
      <c r="A275" s="653"/>
      <c r="B275" s="651"/>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H275" s="653"/>
      <c r="AI275" s="653"/>
      <c r="AJ275" s="653"/>
      <c r="AK275" s="653"/>
    </row>
    <row r="276" spans="1:37">
      <c r="A276" s="653"/>
      <c r="B276" s="651"/>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H276" s="653"/>
      <c r="AI276" s="653"/>
      <c r="AJ276" s="653"/>
      <c r="AK276" s="653"/>
    </row>
    <row r="277" spans="1:37">
      <c r="A277" s="653"/>
      <c r="B277" s="651"/>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H277" s="653"/>
      <c r="AI277" s="653"/>
      <c r="AJ277" s="653"/>
      <c r="AK277" s="653"/>
    </row>
    <row r="278" spans="1:37">
      <c r="A278" s="653"/>
      <c r="B278" s="651"/>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H278" s="653"/>
      <c r="AI278" s="653"/>
      <c r="AJ278" s="653"/>
      <c r="AK278" s="653"/>
    </row>
    <row r="279" spans="1:37">
      <c r="A279" s="653"/>
      <c r="B279" s="651"/>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H279" s="653"/>
      <c r="AI279" s="653"/>
      <c r="AJ279" s="653"/>
      <c r="AK279" s="653"/>
    </row>
    <row r="280" spans="1:37">
      <c r="A280" s="653"/>
      <c r="B280" s="651"/>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H280" s="653"/>
      <c r="AI280" s="653"/>
      <c r="AJ280" s="653"/>
      <c r="AK280" s="653"/>
    </row>
    <row r="281" spans="1:37">
      <c r="A281" s="653"/>
      <c r="B281" s="651"/>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H281" s="653"/>
      <c r="AI281" s="653"/>
      <c r="AJ281" s="653"/>
      <c r="AK281" s="653"/>
    </row>
    <row r="282" spans="1:37">
      <c r="A282" s="653"/>
      <c r="B282" s="651"/>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H282" s="653"/>
      <c r="AI282" s="653"/>
      <c r="AJ282" s="653"/>
      <c r="AK282" s="653"/>
    </row>
    <row r="283" spans="1:37">
      <c r="A283" s="653"/>
      <c r="B283" s="651"/>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H283" s="653"/>
      <c r="AI283" s="653"/>
      <c r="AJ283" s="653"/>
      <c r="AK283" s="653"/>
    </row>
    <row r="284" spans="1:37">
      <c r="A284" s="653"/>
      <c r="B284" s="651"/>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H284" s="653"/>
      <c r="AI284" s="653"/>
      <c r="AJ284" s="653"/>
      <c r="AK284" s="653"/>
    </row>
    <row r="285" spans="1:37">
      <c r="A285" s="653"/>
      <c r="B285" s="651"/>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H285" s="653"/>
      <c r="AI285" s="653"/>
      <c r="AJ285" s="653"/>
      <c r="AK285" s="653"/>
    </row>
    <row r="286" spans="1:37">
      <c r="A286" s="653"/>
      <c r="B286" s="651"/>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H286" s="653"/>
      <c r="AI286" s="653"/>
      <c r="AJ286" s="653"/>
      <c r="AK286" s="653"/>
    </row>
    <row r="287" spans="1:37">
      <c r="A287" s="653"/>
      <c r="B287" s="651"/>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H287" s="653"/>
      <c r="AI287" s="653"/>
      <c r="AJ287" s="653"/>
      <c r="AK287" s="653"/>
    </row>
    <row r="288" spans="1:37">
      <c r="A288" s="653"/>
      <c r="B288" s="651"/>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H288" s="653"/>
      <c r="AI288" s="653"/>
      <c r="AJ288" s="653"/>
      <c r="AK288" s="653"/>
    </row>
    <row r="289" spans="1:37">
      <c r="A289" s="653"/>
      <c r="B289" s="651"/>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H289" s="653"/>
      <c r="AI289" s="653"/>
      <c r="AJ289" s="653"/>
      <c r="AK289" s="653"/>
    </row>
    <row r="290" spans="1:37">
      <c r="A290" s="653"/>
      <c r="B290" s="651"/>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H290" s="653"/>
      <c r="AI290" s="653"/>
      <c r="AJ290" s="653"/>
      <c r="AK290" s="653"/>
    </row>
    <row r="291" spans="1:37">
      <c r="A291" s="653"/>
      <c r="B291" s="651"/>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H291" s="653"/>
      <c r="AI291" s="653"/>
      <c r="AJ291" s="653"/>
      <c r="AK291" s="653"/>
    </row>
    <row r="292" spans="1:37">
      <c r="A292" s="653"/>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H292" s="653"/>
      <c r="AI292" s="653"/>
      <c r="AJ292" s="653"/>
      <c r="AK292" s="653"/>
    </row>
    <row r="293" spans="1:37">
      <c r="A293" s="653"/>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H293" s="653"/>
      <c r="AI293" s="653"/>
      <c r="AJ293" s="653"/>
      <c r="AK293" s="653"/>
    </row>
    <row r="294" spans="1:37">
      <c r="A294" s="653"/>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H294" s="653"/>
      <c r="AI294" s="653"/>
      <c r="AJ294" s="653"/>
      <c r="AK294" s="653"/>
    </row>
    <row r="295" spans="1:37">
      <c r="A295" s="653"/>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H295" s="653"/>
      <c r="AI295" s="653"/>
      <c r="AJ295" s="653"/>
      <c r="AK295" s="653"/>
    </row>
    <row r="296" spans="1:37">
      <c r="A296" s="653"/>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H296" s="653"/>
      <c r="AI296" s="653"/>
      <c r="AJ296" s="653"/>
      <c r="AK296" s="653"/>
    </row>
    <row r="297" spans="1:37">
      <c r="A297" s="653"/>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H297" s="653"/>
      <c r="AI297" s="653"/>
      <c r="AJ297" s="653"/>
      <c r="AK297" s="653"/>
    </row>
    <row r="298" spans="1:37">
      <c r="A298" s="653"/>
      <c r="B298" s="651"/>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H298" s="653"/>
      <c r="AI298" s="653"/>
      <c r="AJ298" s="653"/>
      <c r="AK298" s="653"/>
    </row>
    <row r="299" spans="1:37">
      <c r="A299" s="653"/>
      <c r="B299" s="651"/>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H299" s="653"/>
      <c r="AI299" s="653"/>
      <c r="AJ299" s="653"/>
      <c r="AK299" s="653"/>
    </row>
    <row r="300" spans="1:37">
      <c r="A300" s="653"/>
      <c r="B300" s="651"/>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H300" s="653"/>
      <c r="AI300" s="653"/>
      <c r="AJ300" s="653"/>
      <c r="AK300" s="653"/>
    </row>
    <row r="301" spans="1:37">
      <c r="A301" s="653"/>
      <c r="B301" s="651"/>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H301" s="653"/>
      <c r="AI301" s="653"/>
      <c r="AJ301" s="653"/>
      <c r="AK301" s="653"/>
    </row>
    <row r="302" spans="1:37">
      <c r="A302" s="653"/>
      <c r="B302" s="651"/>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H302" s="653"/>
      <c r="AI302" s="653"/>
      <c r="AJ302" s="653"/>
      <c r="AK302" s="653"/>
    </row>
    <row r="303" spans="1:37">
      <c r="A303" s="653"/>
      <c r="B303" s="651"/>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H303" s="653"/>
      <c r="AI303" s="653"/>
      <c r="AJ303" s="653"/>
      <c r="AK303" s="653"/>
    </row>
    <row r="304" spans="1:37">
      <c r="A304" s="653"/>
      <c r="B304" s="651"/>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H304" s="653"/>
      <c r="AI304" s="653"/>
      <c r="AJ304" s="653"/>
      <c r="AK304" s="653"/>
    </row>
    <row r="305" spans="1:37">
      <c r="A305" s="653"/>
      <c r="B305" s="651"/>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H305" s="653"/>
      <c r="AI305" s="653"/>
      <c r="AJ305" s="653"/>
      <c r="AK305" s="653"/>
    </row>
    <row r="306" spans="1:37">
      <c r="A306" s="653"/>
      <c r="B306" s="651"/>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H306" s="653"/>
      <c r="AI306" s="653"/>
      <c r="AJ306" s="653"/>
      <c r="AK306" s="653"/>
    </row>
    <row r="307" spans="1:37">
      <c r="A307" s="653"/>
      <c r="B307" s="651"/>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H307" s="653"/>
      <c r="AI307" s="653"/>
      <c r="AJ307" s="653"/>
      <c r="AK307" s="653"/>
    </row>
    <row r="308" spans="1:37">
      <c r="A308" s="653"/>
      <c r="B308" s="651"/>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H308" s="653"/>
      <c r="AI308" s="653"/>
      <c r="AJ308" s="653"/>
      <c r="AK308" s="653"/>
    </row>
    <row r="309" spans="1:37">
      <c r="A309" s="653"/>
      <c r="B309" s="651"/>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H309" s="653"/>
      <c r="AI309" s="653"/>
      <c r="AJ309" s="653"/>
      <c r="AK309" s="653"/>
    </row>
    <row r="310" spans="1:37">
      <c r="A310" s="653"/>
      <c r="B310" s="651"/>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H310" s="653"/>
      <c r="AI310" s="653"/>
      <c r="AJ310" s="653"/>
      <c r="AK310" s="653"/>
    </row>
    <row r="311" spans="1:37">
      <c r="A311" s="653"/>
      <c r="B311" s="651"/>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H311" s="653"/>
      <c r="AI311" s="653"/>
      <c r="AJ311" s="653"/>
      <c r="AK311" s="653"/>
    </row>
    <row r="312" spans="1:37">
      <c r="A312" s="653"/>
      <c r="B312" s="651"/>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H312" s="653"/>
      <c r="AI312" s="653"/>
      <c r="AJ312" s="653"/>
      <c r="AK312" s="653"/>
    </row>
    <row r="313" spans="1:37">
      <c r="A313" s="653"/>
      <c r="B313" s="651"/>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H313" s="653"/>
      <c r="AI313" s="653"/>
      <c r="AJ313" s="653"/>
      <c r="AK313" s="653"/>
    </row>
    <row r="314" spans="1:37">
      <c r="A314" s="653"/>
      <c r="B314" s="651"/>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H314" s="653"/>
      <c r="AI314" s="653"/>
      <c r="AJ314" s="653"/>
      <c r="AK314" s="653"/>
    </row>
    <row r="315" spans="1:37">
      <c r="A315" s="653"/>
      <c r="B315" s="651"/>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H315" s="653"/>
      <c r="AI315" s="653"/>
      <c r="AJ315" s="653"/>
      <c r="AK315" s="653"/>
    </row>
    <row r="316" spans="1:37">
      <c r="A316" s="653"/>
      <c r="B316" s="651"/>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H316" s="653"/>
      <c r="AI316" s="653"/>
      <c r="AJ316" s="653"/>
      <c r="AK316" s="653"/>
    </row>
    <row r="317" spans="1:37">
      <c r="A317" s="653"/>
      <c r="B317" s="651"/>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H317" s="653"/>
      <c r="AI317" s="653"/>
      <c r="AJ317" s="653"/>
      <c r="AK317" s="653"/>
    </row>
    <row r="318" spans="1:37">
      <c r="A318" s="653"/>
      <c r="B318" s="651"/>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H318" s="653"/>
      <c r="AI318" s="653"/>
      <c r="AJ318" s="653"/>
      <c r="AK318" s="653"/>
    </row>
    <row r="319" spans="1:37">
      <c r="A319" s="653"/>
      <c r="B319" s="651"/>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H319" s="653"/>
      <c r="AI319" s="653"/>
      <c r="AJ319" s="653"/>
      <c r="AK319" s="653"/>
    </row>
    <row r="320" spans="1:37">
      <c r="A320" s="653"/>
      <c r="B320" s="651"/>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H320" s="653"/>
      <c r="AI320" s="653"/>
      <c r="AJ320" s="653"/>
      <c r="AK320" s="653"/>
    </row>
    <row r="321" spans="1:37">
      <c r="A321" s="653"/>
      <c r="B321" s="651"/>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H321" s="653"/>
      <c r="AI321" s="653"/>
      <c r="AJ321" s="653"/>
      <c r="AK321" s="653"/>
    </row>
    <row r="322" spans="1:37">
      <c r="A322" s="653"/>
      <c r="B322" s="651"/>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H322" s="653"/>
      <c r="AI322" s="653"/>
      <c r="AJ322" s="653"/>
      <c r="AK322" s="653"/>
    </row>
    <row r="323" spans="1:37">
      <c r="A323" s="653"/>
      <c r="B323" s="651"/>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H323" s="653"/>
      <c r="AI323" s="653"/>
      <c r="AJ323" s="653"/>
      <c r="AK323" s="653"/>
    </row>
    <row r="324" spans="1:37">
      <c r="A324" s="653"/>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H324" s="653"/>
      <c r="AI324" s="653"/>
      <c r="AJ324" s="653"/>
      <c r="AK324" s="653"/>
    </row>
    <row r="325" spans="1:37">
      <c r="A325" s="653"/>
      <c r="B325" s="651"/>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H325" s="653"/>
      <c r="AI325" s="653"/>
      <c r="AJ325" s="653"/>
      <c r="AK325" s="653"/>
    </row>
    <row r="326" spans="1:37">
      <c r="A326" s="653"/>
      <c r="B326" s="651"/>
      <c r="C326" s="653"/>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H326" s="653"/>
      <c r="AI326" s="653"/>
      <c r="AJ326" s="653"/>
      <c r="AK326" s="653"/>
    </row>
    <row r="327" spans="1:37">
      <c r="A327" s="653"/>
      <c r="B327" s="651"/>
      <c r="C327" s="653"/>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H327" s="653"/>
      <c r="AI327" s="653"/>
      <c r="AJ327" s="653"/>
      <c r="AK327" s="653"/>
    </row>
    <row r="328" spans="1:37">
      <c r="A328" s="653"/>
      <c r="B328" s="651"/>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H328" s="653"/>
      <c r="AI328" s="653"/>
      <c r="AJ328" s="653"/>
      <c r="AK328" s="653"/>
    </row>
    <row r="329" spans="1:37">
      <c r="A329" s="653"/>
      <c r="B329" s="651"/>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H329" s="653"/>
      <c r="AI329" s="653"/>
      <c r="AJ329" s="653"/>
      <c r="AK329" s="653"/>
    </row>
    <row r="330" spans="1:37">
      <c r="A330" s="653"/>
      <c r="B330" s="651"/>
      <c r="C330" s="653"/>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H330" s="653"/>
      <c r="AI330" s="653"/>
      <c r="AJ330" s="653"/>
      <c r="AK330" s="653"/>
    </row>
    <row r="331" spans="1:37">
      <c r="A331" s="653"/>
      <c r="B331" s="651"/>
      <c r="C331" s="653"/>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H331" s="653"/>
      <c r="AI331" s="653"/>
      <c r="AJ331" s="653"/>
      <c r="AK331" s="653"/>
    </row>
    <row r="332" spans="1:37">
      <c r="A332" s="653"/>
      <c r="B332" s="651"/>
      <c r="C332" s="653"/>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H332" s="653"/>
      <c r="AI332" s="653"/>
      <c r="AJ332" s="653"/>
      <c r="AK332" s="653"/>
    </row>
    <row r="333" spans="1:37">
      <c r="A333" s="653"/>
      <c r="B333" s="651"/>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H333" s="653"/>
      <c r="AI333" s="653"/>
      <c r="AJ333" s="653"/>
      <c r="AK333" s="653"/>
    </row>
    <row r="334" spans="1:37">
      <c r="A334" s="653"/>
      <c r="B334" s="651"/>
      <c r="C334" s="653"/>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H334" s="653"/>
      <c r="AI334" s="653"/>
      <c r="AJ334" s="653"/>
      <c r="AK334" s="653"/>
    </row>
    <row r="335" spans="1:37">
      <c r="A335" s="653"/>
      <c r="B335" s="651"/>
      <c r="C335" s="653"/>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H335" s="653"/>
      <c r="AI335" s="653"/>
      <c r="AJ335" s="653"/>
      <c r="AK335" s="653"/>
    </row>
    <row r="336" spans="1:37">
      <c r="A336" s="653"/>
      <c r="B336" s="651"/>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H336" s="653"/>
      <c r="AI336" s="653"/>
      <c r="AJ336" s="653"/>
      <c r="AK336" s="653"/>
    </row>
    <row r="337" spans="1:37">
      <c r="A337" s="653"/>
      <c r="B337" s="651"/>
      <c r="C337" s="653"/>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H337" s="653"/>
      <c r="AI337" s="653"/>
      <c r="AJ337" s="653"/>
      <c r="AK337" s="653"/>
    </row>
    <row r="338" spans="1:37">
      <c r="A338" s="653"/>
      <c r="B338" s="651"/>
      <c r="C338" s="653"/>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H338" s="653"/>
      <c r="AI338" s="653"/>
      <c r="AJ338" s="653"/>
      <c r="AK338" s="653"/>
    </row>
    <row r="339" spans="1:37">
      <c r="A339" s="653"/>
      <c r="B339" s="651"/>
      <c r="C339" s="653"/>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H339" s="653"/>
      <c r="AI339" s="653"/>
      <c r="AJ339" s="653"/>
      <c r="AK339" s="653"/>
    </row>
    <row r="340" spans="1:37">
      <c r="A340" s="653"/>
      <c r="B340" s="651"/>
      <c r="C340" s="653"/>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H340" s="653"/>
      <c r="AI340" s="653"/>
      <c r="AJ340" s="653"/>
      <c r="AK340" s="653"/>
    </row>
    <row r="341" spans="1:37">
      <c r="A341" s="653"/>
      <c r="B341" s="651"/>
      <c r="C341" s="653"/>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H341" s="653"/>
      <c r="AI341" s="653"/>
      <c r="AJ341" s="653"/>
      <c r="AK341" s="653"/>
    </row>
    <row r="342" spans="1:37">
      <c r="A342" s="653"/>
      <c r="B342" s="651"/>
      <c r="C342" s="653"/>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H342" s="653"/>
      <c r="AI342" s="653"/>
      <c r="AJ342" s="653"/>
      <c r="AK342" s="653"/>
    </row>
    <row r="343" spans="1:37">
      <c r="A343" s="653"/>
      <c r="B343" s="651"/>
      <c r="C343" s="653"/>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H343" s="653"/>
      <c r="AI343" s="653"/>
      <c r="AJ343" s="653"/>
      <c r="AK343" s="653"/>
    </row>
    <row r="344" spans="1:37">
      <c r="A344" s="653"/>
      <c r="B344" s="651"/>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H344" s="653"/>
      <c r="AI344" s="653"/>
      <c r="AJ344" s="653"/>
      <c r="AK344" s="653"/>
    </row>
    <row r="345" spans="1:37">
      <c r="A345" s="653"/>
      <c r="B345" s="651"/>
      <c r="C345" s="653"/>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H345" s="653"/>
      <c r="AI345" s="653"/>
      <c r="AJ345" s="653"/>
      <c r="AK345" s="653"/>
    </row>
    <row r="346" spans="1:37">
      <c r="A346" s="653"/>
      <c r="B346" s="651"/>
      <c r="C346" s="653"/>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H346" s="653"/>
      <c r="AI346" s="653"/>
      <c r="AJ346" s="653"/>
      <c r="AK346" s="653"/>
    </row>
    <row r="347" spans="1:37">
      <c r="A347" s="653"/>
      <c r="B347" s="651"/>
      <c r="C347" s="653"/>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H347" s="653"/>
      <c r="AI347" s="653"/>
      <c r="AJ347" s="653"/>
      <c r="AK347" s="653"/>
    </row>
    <row r="348" spans="1:37">
      <c r="A348" s="653"/>
      <c r="B348" s="651"/>
      <c r="C348" s="653"/>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H348" s="653"/>
      <c r="AI348" s="653"/>
      <c r="AJ348" s="653"/>
      <c r="AK348" s="653"/>
    </row>
    <row r="349" spans="1:37">
      <c r="A349" s="653"/>
      <c r="B349" s="651"/>
      <c r="C349" s="653"/>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H349" s="653"/>
      <c r="AI349" s="653"/>
      <c r="AJ349" s="653"/>
      <c r="AK349" s="653"/>
    </row>
    <row r="350" spans="1:37">
      <c r="A350" s="653"/>
      <c r="B350" s="651"/>
      <c r="C350" s="653"/>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H350" s="653"/>
      <c r="AI350" s="653"/>
      <c r="AJ350" s="653"/>
      <c r="AK350" s="653"/>
    </row>
    <row r="351" spans="1:37">
      <c r="A351" s="653"/>
      <c r="B351" s="651"/>
      <c r="C351" s="653"/>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H351" s="653"/>
      <c r="AI351" s="653"/>
      <c r="AJ351" s="653"/>
      <c r="AK351" s="653"/>
    </row>
    <row r="352" spans="1:37">
      <c r="A352" s="653"/>
      <c r="B352" s="651"/>
      <c r="C352" s="653"/>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H352" s="653"/>
      <c r="AI352" s="653"/>
      <c r="AJ352" s="653"/>
      <c r="AK352" s="653"/>
    </row>
    <row r="353" spans="1:37">
      <c r="A353" s="653"/>
      <c r="B353" s="651"/>
      <c r="C353" s="653"/>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H353" s="653"/>
      <c r="AI353" s="653"/>
      <c r="AJ353" s="653"/>
      <c r="AK353" s="653"/>
    </row>
    <row r="354" spans="1:37">
      <c r="A354" s="653"/>
      <c r="B354" s="651"/>
      <c r="C354" s="653"/>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H354" s="653"/>
      <c r="AI354" s="653"/>
      <c r="AJ354" s="653"/>
      <c r="AK354" s="653"/>
    </row>
    <row r="355" spans="1:37">
      <c r="A355" s="653"/>
      <c r="B355" s="651"/>
      <c r="C355" s="653"/>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H355" s="653"/>
      <c r="AI355" s="653"/>
      <c r="AJ355" s="653"/>
      <c r="AK355" s="653"/>
    </row>
    <row r="356" spans="1:37">
      <c r="A356" s="653"/>
      <c r="B356" s="651"/>
      <c r="C356" s="653"/>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H356" s="653"/>
      <c r="AI356" s="653"/>
      <c r="AJ356" s="653"/>
      <c r="AK356" s="653"/>
    </row>
    <row r="357" spans="1:37">
      <c r="A357" s="653"/>
      <c r="B357" s="651"/>
      <c r="C357" s="653"/>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H357" s="653"/>
      <c r="AI357" s="653"/>
      <c r="AJ357" s="653"/>
      <c r="AK357" s="653"/>
    </row>
    <row r="358" spans="1:37">
      <c r="A358" s="653"/>
      <c r="B358" s="651"/>
      <c r="C358" s="653"/>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H358" s="653"/>
      <c r="AI358" s="653"/>
      <c r="AJ358" s="653"/>
      <c r="AK358" s="653"/>
    </row>
    <row r="359" spans="1:37">
      <c r="A359" s="653"/>
      <c r="B359" s="651"/>
      <c r="C359" s="653"/>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H359" s="653"/>
      <c r="AI359" s="653"/>
      <c r="AJ359" s="653"/>
      <c r="AK359" s="653"/>
    </row>
    <row r="360" spans="1:37">
      <c r="A360" s="653"/>
      <c r="B360" s="651"/>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H360" s="653"/>
      <c r="AI360" s="653"/>
      <c r="AJ360" s="653"/>
      <c r="AK360" s="653"/>
    </row>
    <row r="361" spans="1:37">
      <c r="A361" s="653"/>
      <c r="B361" s="651"/>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H361" s="653"/>
      <c r="AI361" s="653"/>
      <c r="AJ361" s="653"/>
      <c r="AK361" s="653"/>
    </row>
    <row r="362" spans="1:37">
      <c r="A362" s="653"/>
      <c r="B362" s="651"/>
      <c r="C362" s="653"/>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H362" s="653"/>
      <c r="AI362" s="653"/>
      <c r="AJ362" s="653"/>
      <c r="AK362" s="653"/>
    </row>
    <row r="363" spans="1:37">
      <c r="A363" s="653"/>
      <c r="B363" s="651"/>
      <c r="C363" s="653"/>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H363" s="653"/>
      <c r="AI363" s="653"/>
      <c r="AJ363" s="653"/>
      <c r="AK363" s="653"/>
    </row>
    <row r="364" spans="1:37">
      <c r="A364" s="653"/>
      <c r="B364" s="651"/>
      <c r="C364" s="653"/>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H364" s="653"/>
      <c r="AI364" s="653"/>
      <c r="AJ364" s="653"/>
      <c r="AK364" s="653"/>
    </row>
    <row r="365" spans="1:37">
      <c r="A365" s="653"/>
      <c r="B365" s="651"/>
      <c r="C365" s="653"/>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H365" s="653"/>
      <c r="AI365" s="653"/>
      <c r="AJ365" s="653"/>
      <c r="AK365" s="653"/>
    </row>
    <row r="366" spans="1:37">
      <c r="A366" s="653"/>
      <c r="B366" s="651"/>
      <c r="C366" s="653"/>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H366" s="653"/>
      <c r="AI366" s="653"/>
      <c r="AJ366" s="653"/>
      <c r="AK366" s="653"/>
    </row>
    <row r="367" spans="1:37">
      <c r="A367" s="653"/>
      <c r="B367" s="651"/>
      <c r="C367" s="653"/>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H367" s="653"/>
      <c r="AI367" s="653"/>
      <c r="AJ367" s="653"/>
      <c r="AK367" s="653"/>
    </row>
    <row r="368" spans="1:37">
      <c r="A368" s="653"/>
      <c r="B368" s="651"/>
      <c r="C368" s="653"/>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H368" s="653"/>
      <c r="AI368" s="653"/>
      <c r="AJ368" s="653"/>
      <c r="AK368" s="653"/>
    </row>
    <row r="369" spans="1:37">
      <c r="A369" s="653"/>
      <c r="B369" s="651"/>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H369" s="653"/>
      <c r="AI369" s="653"/>
      <c r="AJ369" s="653"/>
      <c r="AK369" s="653"/>
    </row>
    <row r="370" spans="1:37">
      <c r="A370" s="653"/>
      <c r="B370" s="651"/>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H370" s="653"/>
      <c r="AI370" s="653"/>
      <c r="AJ370" s="653"/>
      <c r="AK370" s="653"/>
    </row>
    <row r="371" spans="1:37">
      <c r="A371" s="653"/>
      <c r="B371" s="651"/>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H371" s="653"/>
      <c r="AI371" s="653"/>
      <c r="AJ371" s="653"/>
      <c r="AK371" s="653"/>
    </row>
    <row r="372" spans="1:37">
      <c r="A372" s="653"/>
      <c r="B372" s="651"/>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H372" s="653"/>
      <c r="AI372" s="653"/>
      <c r="AJ372" s="653"/>
      <c r="AK372" s="653"/>
    </row>
    <row r="373" spans="1:37">
      <c r="A373" s="653"/>
      <c r="B373" s="651"/>
      <c r="C373" s="653"/>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H373" s="653"/>
      <c r="AI373" s="653"/>
      <c r="AJ373" s="653"/>
      <c r="AK373" s="653"/>
    </row>
    <row r="374" spans="1:37">
      <c r="A374" s="653"/>
      <c r="B374" s="651"/>
      <c r="C374" s="653"/>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H374" s="653"/>
      <c r="AI374" s="653"/>
      <c r="AJ374" s="653"/>
      <c r="AK374" s="653"/>
    </row>
    <row r="375" spans="1:37">
      <c r="A375" s="653"/>
      <c r="B375" s="651"/>
      <c r="C375" s="653"/>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H375" s="653"/>
      <c r="AI375" s="653"/>
      <c r="AJ375" s="653"/>
      <c r="AK375" s="653"/>
    </row>
    <row r="376" spans="1:37">
      <c r="A376" s="653"/>
      <c r="B376" s="651"/>
      <c r="C376" s="653"/>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H376" s="653"/>
      <c r="AI376" s="653"/>
      <c r="AJ376" s="653"/>
      <c r="AK376" s="653"/>
    </row>
    <row r="377" spans="1:37">
      <c r="A377" s="653"/>
      <c r="B377" s="651"/>
      <c r="C377" s="653"/>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H377" s="653"/>
      <c r="AI377" s="653"/>
      <c r="AJ377" s="653"/>
      <c r="AK377" s="653"/>
    </row>
    <row r="378" spans="1:37">
      <c r="A378" s="653"/>
      <c r="B378" s="651"/>
      <c r="C378" s="653"/>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H378" s="653"/>
      <c r="AI378" s="653"/>
      <c r="AJ378" s="653"/>
      <c r="AK378" s="653"/>
    </row>
    <row r="379" spans="1:37">
      <c r="A379" s="653"/>
      <c r="B379" s="651"/>
      <c r="C379" s="653"/>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H379" s="653"/>
      <c r="AI379" s="653"/>
      <c r="AJ379" s="653"/>
      <c r="AK379" s="653"/>
    </row>
    <row r="380" spans="1:37">
      <c r="A380" s="653"/>
      <c r="B380" s="651"/>
      <c r="C380" s="653"/>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H380" s="653"/>
      <c r="AI380" s="653"/>
      <c r="AJ380" s="653"/>
      <c r="AK380" s="653"/>
    </row>
    <row r="381" spans="1:37">
      <c r="A381" s="653"/>
      <c r="B381" s="651"/>
      <c r="C381" s="653"/>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H381" s="653"/>
      <c r="AI381" s="653"/>
      <c r="AJ381" s="653"/>
      <c r="AK381" s="653"/>
    </row>
    <row r="382" spans="1:37">
      <c r="A382" s="653"/>
      <c r="B382" s="651"/>
      <c r="C382" s="653"/>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H382" s="653"/>
      <c r="AI382" s="653"/>
      <c r="AJ382" s="653"/>
      <c r="AK382" s="653"/>
    </row>
    <row r="383" spans="1:37">
      <c r="A383" s="653"/>
      <c r="B383" s="651"/>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H383" s="653"/>
      <c r="AI383" s="653"/>
      <c r="AJ383" s="653"/>
      <c r="AK383" s="653"/>
    </row>
    <row r="384" spans="1:37">
      <c r="A384" s="653"/>
      <c r="B384" s="651"/>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H384" s="653"/>
      <c r="AI384" s="653"/>
      <c r="AJ384" s="653"/>
      <c r="AK384" s="653"/>
    </row>
    <row r="385" spans="1:37">
      <c r="A385" s="653"/>
      <c r="B385" s="651"/>
      <c r="C385" s="653"/>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H385" s="653"/>
      <c r="AI385" s="653"/>
      <c r="AJ385" s="653"/>
      <c r="AK385" s="653"/>
    </row>
    <row r="386" spans="1:37">
      <c r="A386" s="653"/>
      <c r="B386" s="651"/>
      <c r="C386" s="653"/>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H386" s="653"/>
      <c r="AI386" s="653"/>
      <c r="AJ386" s="653"/>
      <c r="AK386" s="653"/>
    </row>
    <row r="387" spans="1:37">
      <c r="A387" s="653"/>
      <c r="B387" s="651"/>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H387" s="653"/>
      <c r="AI387" s="653"/>
      <c r="AJ387" s="653"/>
      <c r="AK387" s="653"/>
    </row>
    <row r="388" spans="1:37">
      <c r="A388" s="653"/>
      <c r="B388" s="651"/>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H388" s="653"/>
      <c r="AI388" s="653"/>
      <c r="AJ388" s="653"/>
      <c r="AK388" s="653"/>
    </row>
    <row r="389" spans="1:37">
      <c r="A389" s="653"/>
      <c r="B389" s="651"/>
      <c r="C389" s="653"/>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H389" s="653"/>
      <c r="AI389" s="653"/>
      <c r="AJ389" s="653"/>
      <c r="AK389" s="653"/>
    </row>
    <row r="390" spans="1:37">
      <c r="A390" s="653"/>
      <c r="B390" s="651"/>
      <c r="C390" s="653"/>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H390" s="653"/>
      <c r="AI390" s="653"/>
      <c r="AJ390" s="653"/>
      <c r="AK390" s="653"/>
    </row>
    <row r="391" spans="1:37">
      <c r="A391" s="653"/>
      <c r="B391" s="651"/>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H391" s="653"/>
      <c r="AI391" s="653"/>
      <c r="AJ391" s="653"/>
      <c r="AK391" s="653"/>
    </row>
    <row r="392" spans="1:37">
      <c r="A392" s="653"/>
      <c r="B392" s="651"/>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H392" s="653"/>
      <c r="AI392" s="653"/>
      <c r="AJ392" s="653"/>
      <c r="AK392" s="653"/>
    </row>
    <row r="393" spans="1:37">
      <c r="A393" s="653"/>
      <c r="B393" s="651"/>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H393" s="653"/>
      <c r="AI393" s="653"/>
      <c r="AJ393" s="653"/>
      <c r="AK393" s="653"/>
    </row>
    <row r="394" spans="1:37">
      <c r="A394" s="653"/>
      <c r="B394" s="651"/>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H394" s="653"/>
      <c r="AI394" s="653"/>
      <c r="AJ394" s="653"/>
      <c r="AK394" s="653"/>
    </row>
    <row r="395" spans="1:37">
      <c r="A395" s="653"/>
      <c r="B395" s="651"/>
      <c r="C395" s="653"/>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H395" s="653"/>
      <c r="AI395" s="653"/>
      <c r="AJ395" s="653"/>
      <c r="AK395" s="653"/>
    </row>
    <row r="396" spans="1:37">
      <c r="A396" s="653"/>
      <c r="B396" s="651"/>
      <c r="C396" s="653"/>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H396" s="653"/>
      <c r="AI396" s="653"/>
      <c r="AJ396" s="653"/>
      <c r="AK396" s="653"/>
    </row>
    <row r="397" spans="1:37">
      <c r="A397" s="653"/>
      <c r="B397" s="651"/>
      <c r="C397" s="653"/>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H397" s="653"/>
      <c r="AI397" s="653"/>
      <c r="AJ397" s="653"/>
      <c r="AK397" s="653"/>
    </row>
    <row r="398" spans="1:37">
      <c r="A398" s="653"/>
      <c r="B398" s="651"/>
      <c r="C398" s="653"/>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H398" s="653"/>
      <c r="AI398" s="653"/>
      <c r="AJ398" s="653"/>
      <c r="AK398" s="653"/>
    </row>
    <row r="399" spans="1:37">
      <c r="A399" s="653"/>
      <c r="B399" s="651"/>
      <c r="C399" s="653"/>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H399" s="653"/>
      <c r="AI399" s="653"/>
      <c r="AJ399" s="653"/>
      <c r="AK399" s="653"/>
    </row>
    <row r="400" spans="1:37">
      <c r="A400" s="653"/>
      <c r="B400" s="651"/>
      <c r="C400" s="653"/>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H400" s="653"/>
      <c r="AI400" s="653"/>
      <c r="AJ400" s="653"/>
      <c r="AK400" s="653"/>
    </row>
    <row r="401" spans="1:37">
      <c r="A401" s="653"/>
      <c r="B401" s="651"/>
      <c r="C401" s="653"/>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H401" s="653"/>
      <c r="AI401" s="653"/>
      <c r="AJ401" s="653"/>
      <c r="AK401" s="653"/>
    </row>
    <row r="402" spans="1:37">
      <c r="A402" s="653"/>
      <c r="B402" s="651"/>
      <c r="C402" s="653"/>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H402" s="653"/>
      <c r="AI402" s="653"/>
      <c r="AJ402" s="653"/>
      <c r="AK402" s="653"/>
    </row>
    <row r="403" spans="1:37">
      <c r="A403" s="653"/>
      <c r="B403" s="651"/>
      <c r="C403" s="653"/>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H403" s="653"/>
      <c r="AI403" s="653"/>
      <c r="AJ403" s="653"/>
      <c r="AK403" s="653"/>
    </row>
    <row r="404" spans="1:37">
      <c r="A404" s="653"/>
      <c r="B404" s="651"/>
      <c r="C404" s="653"/>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H404" s="653"/>
      <c r="AI404" s="653"/>
      <c r="AJ404" s="653"/>
      <c r="AK404" s="653"/>
    </row>
    <row r="405" spans="1:37">
      <c r="A405" s="653"/>
      <c r="B405" s="651"/>
      <c r="C405" s="653"/>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H405" s="653"/>
      <c r="AI405" s="653"/>
      <c r="AJ405" s="653"/>
      <c r="AK405" s="653"/>
    </row>
    <row r="406" spans="1:37">
      <c r="A406" s="653"/>
      <c r="B406" s="651"/>
      <c r="C406" s="653"/>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H406" s="653"/>
      <c r="AI406" s="653"/>
      <c r="AJ406" s="653"/>
      <c r="AK406" s="653"/>
    </row>
    <row r="407" spans="1:37">
      <c r="A407" s="653"/>
      <c r="B407" s="651"/>
      <c r="C407" s="653"/>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H407" s="653"/>
      <c r="AI407" s="653"/>
      <c r="AJ407" s="653"/>
      <c r="AK407" s="653"/>
    </row>
    <row r="408" spans="1:37">
      <c r="A408" s="653"/>
      <c r="B408" s="651"/>
      <c r="C408" s="653"/>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H408" s="653"/>
      <c r="AI408" s="653"/>
      <c r="AJ408" s="653"/>
      <c r="AK408" s="653"/>
    </row>
    <row r="409" spans="1:37">
      <c r="A409" s="653"/>
      <c r="B409" s="651"/>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H409" s="653"/>
      <c r="AI409" s="653"/>
      <c r="AJ409" s="653"/>
      <c r="AK409" s="653"/>
    </row>
    <row r="410" spans="1:37">
      <c r="A410" s="653"/>
      <c r="B410" s="651"/>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H410" s="653"/>
      <c r="AI410" s="653"/>
      <c r="AJ410" s="653"/>
      <c r="AK410" s="653"/>
    </row>
    <row r="411" spans="1:37">
      <c r="A411" s="653"/>
      <c r="B411" s="651"/>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H411" s="653"/>
      <c r="AI411" s="653"/>
      <c r="AJ411" s="653"/>
      <c r="AK411" s="653"/>
    </row>
    <row r="412" spans="1:37">
      <c r="A412" s="653"/>
      <c r="B412" s="651"/>
      <c r="C412" s="653"/>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H412" s="653"/>
      <c r="AI412" s="653"/>
      <c r="AJ412" s="653"/>
      <c r="AK412" s="653"/>
    </row>
    <row r="413" spans="1:37">
      <c r="A413" s="653"/>
      <c r="B413" s="651"/>
      <c r="C413" s="653"/>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H413" s="653"/>
      <c r="AI413" s="653"/>
      <c r="AJ413" s="653"/>
      <c r="AK413" s="653"/>
    </row>
    <row r="414" spans="1:37">
      <c r="A414" s="653"/>
      <c r="B414" s="651"/>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H414" s="653"/>
      <c r="AI414" s="653"/>
      <c r="AJ414" s="653"/>
      <c r="AK414" s="653"/>
    </row>
    <row r="415" spans="1:37">
      <c r="A415" s="653"/>
      <c r="B415" s="651"/>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H415" s="653"/>
      <c r="AI415" s="653"/>
      <c r="AJ415" s="653"/>
      <c r="AK415" s="653"/>
    </row>
    <row r="416" spans="1:37">
      <c r="A416" s="653"/>
      <c r="B416" s="651"/>
      <c r="C416" s="653"/>
      <c r="D416" s="653"/>
      <c r="E416" s="653"/>
      <c r="F416" s="653"/>
      <c r="G416" s="653"/>
      <c r="H416" s="653"/>
      <c r="I416" s="653"/>
      <c r="J416" s="653"/>
      <c r="K416" s="653"/>
      <c r="L416" s="653"/>
      <c r="M416" s="653"/>
      <c r="N416" s="653"/>
      <c r="O416" s="653"/>
      <c r="P416" s="653"/>
      <c r="Q416" s="653"/>
      <c r="R416" s="653"/>
      <c r="S416" s="653"/>
      <c r="T416" s="653"/>
      <c r="U416" s="653"/>
      <c r="V416" s="653"/>
      <c r="W416" s="653"/>
      <c r="X416" s="653"/>
      <c r="Y416" s="653"/>
      <c r="Z416" s="653"/>
      <c r="AA416" s="653"/>
      <c r="AH416" s="653"/>
      <c r="AI416" s="653"/>
      <c r="AJ416" s="653"/>
      <c r="AK416" s="653"/>
    </row>
    <row r="417" spans="1:37">
      <c r="A417" s="653"/>
      <c r="B417" s="651"/>
      <c r="C417" s="653"/>
      <c r="D417" s="653"/>
      <c r="E417" s="653"/>
      <c r="F417" s="653"/>
      <c r="G417" s="653"/>
      <c r="H417" s="653"/>
      <c r="I417" s="653"/>
      <c r="J417" s="653"/>
      <c r="K417" s="653"/>
      <c r="L417" s="653"/>
      <c r="M417" s="653"/>
      <c r="N417" s="653"/>
      <c r="O417" s="653"/>
      <c r="P417" s="653"/>
      <c r="Q417" s="653"/>
      <c r="R417" s="653"/>
      <c r="S417" s="653"/>
      <c r="T417" s="653"/>
      <c r="U417" s="653"/>
      <c r="V417" s="653"/>
      <c r="W417" s="653"/>
      <c r="X417" s="653"/>
      <c r="Y417" s="653"/>
      <c r="Z417" s="653"/>
      <c r="AA417" s="653"/>
      <c r="AH417" s="653"/>
      <c r="AI417" s="653"/>
      <c r="AJ417" s="653"/>
      <c r="AK417" s="653"/>
    </row>
    <row r="418" spans="1:37">
      <c r="A418" s="653"/>
      <c r="B418" s="651"/>
      <c r="C418" s="653"/>
      <c r="D418" s="653"/>
      <c r="E418" s="653"/>
      <c r="F418" s="653"/>
      <c r="G418" s="653"/>
      <c r="H418" s="653"/>
      <c r="I418" s="653"/>
      <c r="J418" s="653"/>
      <c r="K418" s="653"/>
      <c r="L418" s="653"/>
      <c r="M418" s="653"/>
      <c r="N418" s="653"/>
      <c r="O418" s="653"/>
      <c r="P418" s="653"/>
      <c r="Q418" s="653"/>
      <c r="R418" s="653"/>
      <c r="S418" s="653"/>
      <c r="T418" s="653"/>
      <c r="U418" s="653"/>
      <c r="V418" s="653"/>
      <c r="W418" s="653"/>
      <c r="X418" s="653"/>
      <c r="Y418" s="653"/>
      <c r="Z418" s="653"/>
      <c r="AA418" s="653"/>
      <c r="AH418" s="653"/>
      <c r="AI418" s="653"/>
      <c r="AJ418" s="653"/>
      <c r="AK418" s="653"/>
    </row>
    <row r="419" spans="1:37">
      <c r="A419" s="653"/>
      <c r="B419" s="651"/>
      <c r="C419" s="653"/>
      <c r="D419" s="653"/>
      <c r="E419" s="653"/>
      <c r="F419" s="653"/>
      <c r="G419" s="653"/>
      <c r="H419" s="653"/>
      <c r="I419" s="653"/>
      <c r="J419" s="653"/>
      <c r="K419" s="653"/>
      <c r="L419" s="653"/>
      <c r="M419" s="653"/>
      <c r="N419" s="653"/>
      <c r="O419" s="653"/>
      <c r="P419" s="653"/>
      <c r="Q419" s="653"/>
      <c r="R419" s="653"/>
      <c r="S419" s="653"/>
      <c r="T419" s="653"/>
      <c r="U419" s="653"/>
      <c r="V419" s="653"/>
      <c r="W419" s="653"/>
      <c r="X419" s="653"/>
      <c r="Y419" s="653"/>
      <c r="Z419" s="653"/>
      <c r="AA419" s="653"/>
      <c r="AH419" s="653"/>
      <c r="AI419" s="653"/>
      <c r="AJ419" s="653"/>
      <c r="AK419" s="653"/>
    </row>
    <row r="420" spans="1:37">
      <c r="A420" s="653"/>
      <c r="B420" s="651"/>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H420" s="653"/>
      <c r="AI420" s="653"/>
      <c r="AJ420" s="653"/>
      <c r="AK420" s="653"/>
    </row>
    <row r="421" spans="1:37">
      <c r="A421" s="653"/>
      <c r="B421" s="651"/>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H421" s="653"/>
      <c r="AI421" s="653"/>
      <c r="AJ421" s="653"/>
      <c r="AK421" s="653"/>
    </row>
    <row r="422" spans="1:37">
      <c r="A422" s="653"/>
      <c r="B422" s="651"/>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H422" s="653"/>
      <c r="AI422" s="653"/>
      <c r="AJ422" s="653"/>
      <c r="AK422" s="653"/>
    </row>
    <row r="423" spans="1:37">
      <c r="A423" s="653"/>
      <c r="B423" s="651"/>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H423" s="653"/>
      <c r="AI423" s="653"/>
      <c r="AJ423" s="653"/>
      <c r="AK423" s="653"/>
    </row>
    <row r="424" spans="1:37">
      <c r="A424" s="653"/>
      <c r="B424" s="651"/>
      <c r="C424" s="653"/>
      <c r="D424" s="653"/>
      <c r="E424" s="653"/>
      <c r="F424" s="653"/>
      <c r="G424" s="653"/>
      <c r="H424" s="653"/>
      <c r="I424" s="653"/>
      <c r="J424" s="653"/>
      <c r="K424" s="653"/>
      <c r="L424" s="653"/>
      <c r="M424" s="653"/>
      <c r="N424" s="653"/>
      <c r="O424" s="653"/>
      <c r="P424" s="653"/>
      <c r="Q424" s="653"/>
      <c r="R424" s="653"/>
      <c r="S424" s="653"/>
      <c r="T424" s="653"/>
      <c r="U424" s="653"/>
      <c r="V424" s="653"/>
      <c r="W424" s="653"/>
      <c r="X424" s="653"/>
      <c r="Y424" s="653"/>
      <c r="Z424" s="653"/>
      <c r="AA424" s="653"/>
      <c r="AH424" s="653"/>
      <c r="AI424" s="653"/>
      <c r="AJ424" s="653"/>
      <c r="AK424" s="653"/>
    </row>
    <row r="425" spans="1:37">
      <c r="A425" s="653"/>
      <c r="B425" s="651"/>
      <c r="C425" s="653"/>
      <c r="D425" s="653"/>
      <c r="E425" s="653"/>
      <c r="F425" s="653"/>
      <c r="G425" s="653"/>
      <c r="H425" s="653"/>
      <c r="I425" s="653"/>
      <c r="J425" s="653"/>
      <c r="K425" s="653"/>
      <c r="L425" s="653"/>
      <c r="M425" s="653"/>
      <c r="N425" s="653"/>
      <c r="O425" s="653"/>
      <c r="P425" s="653"/>
      <c r="Q425" s="653"/>
      <c r="R425" s="653"/>
      <c r="S425" s="653"/>
      <c r="T425" s="653"/>
      <c r="U425" s="653"/>
      <c r="V425" s="653"/>
      <c r="W425" s="653"/>
      <c r="X425" s="653"/>
      <c r="Y425" s="653"/>
      <c r="Z425" s="653"/>
      <c r="AA425" s="653"/>
      <c r="AH425" s="653"/>
      <c r="AI425" s="653"/>
      <c r="AJ425" s="653"/>
      <c r="AK425" s="653"/>
    </row>
    <row r="426" spans="1:37">
      <c r="A426" s="653"/>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H426" s="653"/>
      <c r="AI426" s="653"/>
      <c r="AJ426" s="653"/>
      <c r="AK426" s="653"/>
    </row>
    <row r="427" spans="1:37">
      <c r="A427" s="653"/>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H427" s="653"/>
      <c r="AI427" s="653"/>
      <c r="AJ427" s="653"/>
      <c r="AK427" s="653"/>
    </row>
    <row r="428" spans="1:37">
      <c r="A428" s="653"/>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H428" s="653"/>
      <c r="AI428" s="653"/>
      <c r="AJ428" s="653"/>
      <c r="AK428" s="653"/>
    </row>
    <row r="429" spans="1:37">
      <c r="A429" s="653"/>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H429" s="653"/>
      <c r="AI429" s="653"/>
      <c r="AJ429" s="653"/>
      <c r="AK429" s="653"/>
    </row>
    <row r="430" spans="1:37">
      <c r="A430" s="653"/>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H430" s="653"/>
      <c r="AI430" s="653"/>
      <c r="AJ430" s="653"/>
      <c r="AK430" s="653"/>
    </row>
    <row r="431" spans="1:37">
      <c r="A431" s="653"/>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H431" s="653"/>
      <c r="AI431" s="653"/>
      <c r="AJ431" s="653"/>
      <c r="AK431" s="653"/>
    </row>
    <row r="432" spans="1:37">
      <c r="A432" s="653"/>
      <c r="B432" s="651"/>
      <c r="C432" s="653"/>
      <c r="D432" s="653"/>
      <c r="E432" s="653"/>
      <c r="F432" s="653"/>
      <c r="G432" s="653"/>
      <c r="H432" s="653"/>
      <c r="I432" s="653"/>
      <c r="J432" s="653"/>
      <c r="K432" s="653"/>
      <c r="L432" s="653"/>
      <c r="M432" s="653"/>
      <c r="N432" s="653"/>
      <c r="O432" s="653"/>
      <c r="P432" s="653"/>
      <c r="Q432" s="653"/>
      <c r="R432" s="653"/>
      <c r="S432" s="653"/>
      <c r="T432" s="653"/>
      <c r="U432" s="653"/>
      <c r="V432" s="653"/>
      <c r="W432" s="653"/>
      <c r="X432" s="653"/>
      <c r="Y432" s="653"/>
      <c r="Z432" s="653"/>
      <c r="AA432" s="653"/>
      <c r="AH432" s="653"/>
      <c r="AI432" s="653"/>
      <c r="AJ432" s="653"/>
      <c r="AK432" s="653"/>
    </row>
    <row r="433" spans="1:37">
      <c r="A433" s="653"/>
      <c r="B433" s="651"/>
      <c r="C433" s="653"/>
      <c r="D433" s="653"/>
      <c r="E433" s="653"/>
      <c r="F433" s="653"/>
      <c r="G433" s="653"/>
      <c r="H433" s="653"/>
      <c r="I433" s="653"/>
      <c r="J433" s="653"/>
      <c r="K433" s="653"/>
      <c r="L433" s="653"/>
      <c r="M433" s="653"/>
      <c r="N433" s="653"/>
      <c r="O433" s="653"/>
      <c r="P433" s="653"/>
      <c r="Q433" s="653"/>
      <c r="R433" s="653"/>
      <c r="S433" s="653"/>
      <c r="T433" s="653"/>
      <c r="U433" s="653"/>
      <c r="V433" s="653"/>
      <c r="W433" s="653"/>
      <c r="X433" s="653"/>
      <c r="Y433" s="653"/>
      <c r="Z433" s="653"/>
      <c r="AA433" s="653"/>
      <c r="AH433" s="653"/>
      <c r="AI433" s="653"/>
      <c r="AJ433" s="653"/>
      <c r="AK433" s="653"/>
    </row>
    <row r="434" spans="1:37">
      <c r="A434" s="653"/>
      <c r="B434" s="651"/>
      <c r="C434" s="653"/>
      <c r="D434" s="653"/>
      <c r="E434" s="653"/>
      <c r="F434" s="653"/>
      <c r="G434" s="653"/>
      <c r="H434" s="653"/>
      <c r="I434" s="653"/>
      <c r="J434" s="653"/>
      <c r="K434" s="653"/>
      <c r="L434" s="653"/>
      <c r="M434" s="653"/>
      <c r="N434" s="653"/>
      <c r="O434" s="653"/>
      <c r="P434" s="653"/>
      <c r="Q434" s="653"/>
      <c r="R434" s="653"/>
      <c r="S434" s="653"/>
      <c r="T434" s="653"/>
      <c r="U434" s="653"/>
      <c r="V434" s="653"/>
      <c r="W434" s="653"/>
      <c r="X434" s="653"/>
      <c r="Y434" s="653"/>
      <c r="Z434" s="653"/>
      <c r="AA434" s="653"/>
      <c r="AH434" s="653"/>
      <c r="AI434" s="653"/>
      <c r="AJ434" s="653"/>
      <c r="AK434" s="653"/>
    </row>
    <row r="435" spans="1:37">
      <c r="A435" s="653"/>
      <c r="B435" s="651"/>
      <c r="C435" s="653"/>
      <c r="D435" s="653"/>
      <c r="E435" s="653"/>
      <c r="F435" s="653"/>
      <c r="G435" s="653"/>
      <c r="H435" s="653"/>
      <c r="I435" s="653"/>
      <c r="J435" s="653"/>
      <c r="K435" s="653"/>
      <c r="L435" s="653"/>
      <c r="M435" s="653"/>
      <c r="N435" s="653"/>
      <c r="O435" s="653"/>
      <c r="P435" s="653"/>
      <c r="Q435" s="653"/>
      <c r="R435" s="653"/>
      <c r="S435" s="653"/>
      <c r="T435" s="653"/>
      <c r="U435" s="653"/>
      <c r="V435" s="653"/>
      <c r="W435" s="653"/>
      <c r="X435" s="653"/>
      <c r="Y435" s="653"/>
      <c r="Z435" s="653"/>
      <c r="AA435" s="653"/>
      <c r="AH435" s="653"/>
      <c r="AI435" s="653"/>
      <c r="AJ435" s="653"/>
      <c r="AK435" s="653"/>
    </row>
    <row r="436" spans="1:37">
      <c r="A436" s="653"/>
      <c r="B436" s="651"/>
      <c r="C436" s="653"/>
      <c r="D436" s="653"/>
      <c r="E436" s="653"/>
      <c r="F436" s="653"/>
      <c r="G436" s="653"/>
      <c r="H436" s="653"/>
      <c r="I436" s="653"/>
      <c r="J436" s="653"/>
      <c r="K436" s="653"/>
      <c r="L436" s="653"/>
      <c r="M436" s="653"/>
      <c r="N436" s="653"/>
      <c r="O436" s="653"/>
      <c r="P436" s="653"/>
      <c r="Q436" s="653"/>
      <c r="R436" s="653"/>
      <c r="S436" s="653"/>
      <c r="T436" s="653"/>
      <c r="U436" s="653"/>
      <c r="V436" s="653"/>
      <c r="W436" s="653"/>
      <c r="X436" s="653"/>
      <c r="Y436" s="653"/>
      <c r="Z436" s="653"/>
      <c r="AA436" s="653"/>
      <c r="AH436" s="653"/>
      <c r="AI436" s="653"/>
      <c r="AJ436" s="653"/>
      <c r="AK436" s="653"/>
    </row>
    <row r="437" spans="1:37">
      <c r="A437" s="653"/>
      <c r="B437" s="651"/>
      <c r="C437" s="653"/>
      <c r="D437" s="653"/>
      <c r="E437" s="653"/>
      <c r="F437" s="653"/>
      <c r="G437" s="653"/>
      <c r="H437" s="653"/>
      <c r="I437" s="653"/>
      <c r="J437" s="653"/>
      <c r="K437" s="653"/>
      <c r="L437" s="653"/>
      <c r="M437" s="653"/>
      <c r="N437" s="653"/>
      <c r="O437" s="653"/>
      <c r="P437" s="653"/>
      <c r="Q437" s="653"/>
      <c r="R437" s="653"/>
      <c r="S437" s="653"/>
      <c r="T437" s="653"/>
      <c r="U437" s="653"/>
      <c r="V437" s="653"/>
      <c r="W437" s="653"/>
      <c r="X437" s="653"/>
      <c r="Y437" s="653"/>
      <c r="Z437" s="653"/>
      <c r="AA437" s="653"/>
      <c r="AH437" s="653"/>
      <c r="AI437" s="653"/>
      <c r="AJ437" s="653"/>
      <c r="AK437" s="653"/>
    </row>
    <row r="438" spans="1:37">
      <c r="A438" s="653"/>
      <c r="B438" s="651"/>
      <c r="C438" s="653"/>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H438" s="653"/>
      <c r="AI438" s="653"/>
      <c r="AJ438" s="653"/>
      <c r="AK438" s="653"/>
    </row>
    <row r="439" spans="1:37">
      <c r="A439" s="653"/>
      <c r="B439" s="651"/>
      <c r="C439" s="653"/>
      <c r="D439" s="653"/>
      <c r="E439" s="653"/>
      <c r="F439" s="653"/>
      <c r="G439" s="653"/>
      <c r="H439" s="653"/>
      <c r="I439" s="653"/>
      <c r="J439" s="653"/>
      <c r="K439" s="653"/>
      <c r="L439" s="653"/>
      <c r="M439" s="653"/>
      <c r="N439" s="653"/>
      <c r="O439" s="653"/>
      <c r="P439" s="653"/>
      <c r="Q439" s="653"/>
      <c r="R439" s="653"/>
      <c r="S439" s="653"/>
      <c r="T439" s="653"/>
      <c r="U439" s="653"/>
      <c r="V439" s="653"/>
      <c r="W439" s="653"/>
      <c r="X439" s="653"/>
      <c r="Y439" s="653"/>
      <c r="Z439" s="653"/>
      <c r="AA439" s="653"/>
      <c r="AH439" s="653"/>
      <c r="AI439" s="653"/>
      <c r="AJ439" s="653"/>
      <c r="AK439" s="653"/>
    </row>
    <row r="440" spans="1:37">
      <c r="A440" s="653"/>
      <c r="B440" s="651"/>
      <c r="C440" s="653"/>
      <c r="D440" s="653"/>
      <c r="E440" s="653"/>
      <c r="F440" s="653"/>
      <c r="G440" s="653"/>
      <c r="H440" s="653"/>
      <c r="I440" s="653"/>
      <c r="J440" s="653"/>
      <c r="K440" s="653"/>
      <c r="L440" s="653"/>
      <c r="M440" s="653"/>
      <c r="N440" s="653"/>
      <c r="O440" s="653"/>
      <c r="P440" s="653"/>
      <c r="Q440" s="653"/>
      <c r="R440" s="653"/>
      <c r="S440" s="653"/>
      <c r="T440" s="653"/>
      <c r="U440" s="653"/>
      <c r="V440" s="653"/>
      <c r="W440" s="653"/>
      <c r="X440" s="653"/>
      <c r="Y440" s="653"/>
      <c r="Z440" s="653"/>
      <c r="AA440" s="653"/>
      <c r="AH440" s="653"/>
      <c r="AI440" s="653"/>
      <c r="AJ440" s="653"/>
      <c r="AK440" s="653"/>
    </row>
    <row r="441" spans="1:37">
      <c r="A441" s="653"/>
      <c r="B441" s="651"/>
      <c r="C441" s="653"/>
      <c r="D441" s="653"/>
      <c r="E441" s="653"/>
      <c r="F441" s="653"/>
      <c r="G441" s="653"/>
      <c r="H441" s="653"/>
      <c r="I441" s="653"/>
      <c r="J441" s="653"/>
      <c r="K441" s="653"/>
      <c r="L441" s="653"/>
      <c r="M441" s="653"/>
      <c r="N441" s="653"/>
      <c r="O441" s="653"/>
      <c r="P441" s="653"/>
      <c r="Q441" s="653"/>
      <c r="R441" s="653"/>
      <c r="S441" s="653"/>
      <c r="T441" s="653"/>
      <c r="U441" s="653"/>
      <c r="V441" s="653"/>
      <c r="W441" s="653"/>
      <c r="X441" s="653"/>
      <c r="Y441" s="653"/>
      <c r="Z441" s="653"/>
      <c r="AA441" s="653"/>
      <c r="AH441" s="653"/>
      <c r="AI441" s="653"/>
      <c r="AJ441" s="653"/>
      <c r="AK441" s="653"/>
    </row>
    <row r="442" spans="1:37">
      <c r="A442" s="653"/>
      <c r="B442" s="651"/>
      <c r="C442" s="653"/>
      <c r="D442" s="653"/>
      <c r="E442" s="653"/>
      <c r="F442" s="653"/>
      <c r="G442" s="653"/>
      <c r="H442" s="653"/>
      <c r="I442" s="653"/>
      <c r="J442" s="653"/>
      <c r="K442" s="653"/>
      <c r="L442" s="653"/>
      <c r="M442" s="653"/>
      <c r="N442" s="653"/>
      <c r="O442" s="653"/>
      <c r="P442" s="653"/>
      <c r="Q442" s="653"/>
      <c r="R442" s="653"/>
      <c r="S442" s="653"/>
      <c r="T442" s="653"/>
      <c r="U442" s="653"/>
      <c r="V442" s="653"/>
      <c r="W442" s="653"/>
      <c r="X442" s="653"/>
      <c r="Y442" s="653"/>
      <c r="Z442" s="653"/>
      <c r="AA442" s="653"/>
      <c r="AH442" s="653"/>
      <c r="AI442" s="653"/>
      <c r="AJ442" s="653"/>
      <c r="AK442" s="653"/>
    </row>
    <row r="443" spans="1:37">
      <c r="A443" s="653"/>
      <c r="B443" s="651"/>
      <c r="C443" s="653"/>
      <c r="D443" s="653"/>
      <c r="E443" s="653"/>
      <c r="F443" s="653"/>
      <c r="G443" s="653"/>
      <c r="H443" s="653"/>
      <c r="I443" s="653"/>
      <c r="J443" s="653"/>
      <c r="K443" s="653"/>
      <c r="L443" s="653"/>
      <c r="M443" s="653"/>
      <c r="N443" s="653"/>
      <c r="O443" s="653"/>
      <c r="P443" s="653"/>
      <c r="Q443" s="653"/>
      <c r="R443" s="653"/>
      <c r="S443" s="653"/>
      <c r="T443" s="653"/>
      <c r="U443" s="653"/>
      <c r="V443" s="653"/>
      <c r="W443" s="653"/>
      <c r="X443" s="653"/>
      <c r="Y443" s="653"/>
      <c r="Z443" s="653"/>
      <c r="AA443" s="653"/>
      <c r="AH443" s="653"/>
      <c r="AI443" s="653"/>
      <c r="AJ443" s="653"/>
      <c r="AK443" s="653"/>
    </row>
    <row r="444" spans="1:37">
      <c r="A444" s="653"/>
      <c r="B444" s="651"/>
      <c r="C444" s="653"/>
      <c r="D444" s="653"/>
      <c r="E444" s="653"/>
      <c r="F444" s="653"/>
      <c r="G444" s="653"/>
      <c r="H444" s="653"/>
      <c r="I444" s="653"/>
      <c r="J444" s="653"/>
      <c r="K444" s="653"/>
      <c r="L444" s="653"/>
      <c r="M444" s="653"/>
      <c r="N444" s="653"/>
      <c r="O444" s="653"/>
      <c r="P444" s="653"/>
      <c r="Q444" s="653"/>
      <c r="R444" s="653"/>
      <c r="S444" s="653"/>
      <c r="T444" s="653"/>
      <c r="U444" s="653"/>
      <c r="V444" s="653"/>
      <c r="W444" s="653"/>
      <c r="X444" s="653"/>
      <c r="Y444" s="653"/>
      <c r="Z444" s="653"/>
      <c r="AA444" s="653"/>
      <c r="AH444" s="653"/>
      <c r="AI444" s="653"/>
      <c r="AJ444" s="653"/>
      <c r="AK444" s="653"/>
    </row>
    <row r="445" spans="1:37">
      <c r="A445" s="653"/>
      <c r="B445" s="651"/>
      <c r="C445" s="653"/>
      <c r="D445" s="653"/>
      <c r="E445" s="653"/>
      <c r="F445" s="653"/>
      <c r="G445" s="653"/>
      <c r="H445" s="653"/>
      <c r="I445" s="653"/>
      <c r="J445" s="653"/>
      <c r="K445" s="653"/>
      <c r="L445" s="653"/>
      <c r="M445" s="653"/>
      <c r="N445" s="653"/>
      <c r="O445" s="653"/>
      <c r="P445" s="653"/>
      <c r="Q445" s="653"/>
      <c r="R445" s="653"/>
      <c r="S445" s="653"/>
      <c r="T445" s="653"/>
      <c r="U445" s="653"/>
      <c r="V445" s="653"/>
      <c r="W445" s="653"/>
      <c r="X445" s="653"/>
      <c r="Y445" s="653"/>
      <c r="Z445" s="653"/>
      <c r="AA445" s="653"/>
      <c r="AH445" s="653"/>
      <c r="AI445" s="653"/>
      <c r="AJ445" s="653"/>
      <c r="AK445" s="653"/>
    </row>
    <row r="446" spans="1:37">
      <c r="A446" s="653"/>
      <c r="B446" s="651"/>
      <c r="C446" s="653"/>
      <c r="D446" s="653"/>
      <c r="E446" s="653"/>
      <c r="F446" s="653"/>
      <c r="G446" s="653"/>
      <c r="H446" s="653"/>
      <c r="I446" s="653"/>
      <c r="J446" s="653"/>
      <c r="K446" s="653"/>
      <c r="L446" s="653"/>
      <c r="M446" s="653"/>
      <c r="N446" s="653"/>
      <c r="O446" s="653"/>
      <c r="P446" s="653"/>
      <c r="Q446" s="653"/>
      <c r="R446" s="653"/>
      <c r="S446" s="653"/>
      <c r="T446" s="653"/>
      <c r="U446" s="653"/>
      <c r="V446" s="653"/>
      <c r="W446" s="653"/>
      <c r="X446" s="653"/>
      <c r="Y446" s="653"/>
      <c r="Z446" s="653"/>
      <c r="AA446" s="653"/>
      <c r="AH446" s="653"/>
      <c r="AI446" s="653"/>
      <c r="AJ446" s="653"/>
      <c r="AK446" s="653"/>
    </row>
    <row r="447" spans="1:37">
      <c r="A447" s="653"/>
      <c r="B447" s="651"/>
      <c r="C447" s="653"/>
      <c r="D447" s="653"/>
      <c r="E447" s="653"/>
      <c r="F447" s="653"/>
      <c r="G447" s="653"/>
      <c r="H447" s="653"/>
      <c r="I447" s="653"/>
      <c r="J447" s="653"/>
      <c r="K447" s="653"/>
      <c r="L447" s="653"/>
      <c r="M447" s="653"/>
      <c r="N447" s="653"/>
      <c r="O447" s="653"/>
      <c r="P447" s="653"/>
      <c r="Q447" s="653"/>
      <c r="R447" s="653"/>
      <c r="S447" s="653"/>
      <c r="T447" s="653"/>
      <c r="U447" s="653"/>
      <c r="V447" s="653"/>
      <c r="W447" s="653"/>
      <c r="X447" s="653"/>
      <c r="Y447" s="653"/>
      <c r="Z447" s="653"/>
      <c r="AA447" s="653"/>
      <c r="AH447" s="653"/>
      <c r="AI447" s="653"/>
      <c r="AJ447" s="653"/>
      <c r="AK447" s="653"/>
    </row>
    <row r="448" spans="1:37">
      <c r="A448" s="653"/>
      <c r="B448" s="651"/>
      <c r="C448" s="653"/>
      <c r="D448" s="653"/>
      <c r="E448" s="653"/>
      <c r="F448" s="653"/>
      <c r="G448" s="653"/>
      <c r="H448" s="653"/>
      <c r="I448" s="653"/>
      <c r="J448" s="653"/>
      <c r="K448" s="653"/>
      <c r="L448" s="653"/>
      <c r="M448" s="653"/>
      <c r="N448" s="653"/>
      <c r="O448" s="653"/>
      <c r="P448" s="653"/>
      <c r="Q448" s="653"/>
      <c r="R448" s="653"/>
      <c r="S448" s="653"/>
      <c r="T448" s="653"/>
      <c r="U448" s="653"/>
      <c r="V448" s="653"/>
      <c r="W448" s="653"/>
      <c r="X448" s="653"/>
      <c r="Y448" s="653"/>
      <c r="Z448" s="653"/>
      <c r="AA448" s="653"/>
      <c r="AH448" s="653"/>
      <c r="AI448" s="653"/>
      <c r="AJ448" s="653"/>
      <c r="AK448" s="653"/>
    </row>
    <row r="449" spans="1:37">
      <c r="A449" s="653"/>
      <c r="B449" s="651"/>
      <c r="C449" s="653"/>
      <c r="D449" s="653"/>
      <c r="E449" s="653"/>
      <c r="F449" s="653"/>
      <c r="G449" s="653"/>
      <c r="H449" s="653"/>
      <c r="I449" s="653"/>
      <c r="J449" s="653"/>
      <c r="K449" s="653"/>
      <c r="L449" s="653"/>
      <c r="M449" s="653"/>
      <c r="N449" s="653"/>
      <c r="O449" s="653"/>
      <c r="P449" s="653"/>
      <c r="Q449" s="653"/>
      <c r="R449" s="653"/>
      <c r="S449" s="653"/>
      <c r="T449" s="653"/>
      <c r="U449" s="653"/>
      <c r="V449" s="653"/>
      <c r="W449" s="653"/>
      <c r="X449" s="653"/>
      <c r="Y449" s="653"/>
      <c r="Z449" s="653"/>
      <c r="AA449" s="653"/>
      <c r="AH449" s="653"/>
      <c r="AI449" s="653"/>
      <c r="AJ449" s="653"/>
      <c r="AK449" s="653"/>
    </row>
    <row r="450" spans="1:37">
      <c r="A450" s="653"/>
      <c r="B450" s="651"/>
      <c r="C450" s="653"/>
      <c r="D450" s="653"/>
      <c r="E450" s="653"/>
      <c r="F450" s="653"/>
      <c r="G450" s="653"/>
      <c r="H450" s="653"/>
      <c r="I450" s="653"/>
      <c r="J450" s="653"/>
      <c r="K450" s="653"/>
      <c r="L450" s="653"/>
      <c r="M450" s="653"/>
      <c r="N450" s="653"/>
      <c r="O450" s="653"/>
      <c r="P450" s="653"/>
      <c r="Q450" s="653"/>
      <c r="R450" s="653"/>
      <c r="S450" s="653"/>
      <c r="T450" s="653"/>
      <c r="U450" s="653"/>
      <c r="V450" s="653"/>
      <c r="W450" s="653"/>
      <c r="X450" s="653"/>
      <c r="Y450" s="653"/>
      <c r="Z450" s="653"/>
      <c r="AA450" s="653"/>
      <c r="AH450" s="653"/>
      <c r="AI450" s="653"/>
      <c r="AJ450" s="653"/>
      <c r="AK450" s="653"/>
    </row>
    <row r="451" spans="1:37">
      <c r="A451" s="653"/>
      <c r="B451" s="651"/>
      <c r="C451" s="653"/>
      <c r="D451" s="653"/>
      <c r="E451" s="653"/>
      <c r="F451" s="653"/>
      <c r="G451" s="653"/>
      <c r="H451" s="653"/>
      <c r="I451" s="653"/>
      <c r="J451" s="653"/>
      <c r="K451" s="653"/>
      <c r="L451" s="653"/>
      <c r="M451" s="653"/>
      <c r="N451" s="653"/>
      <c r="O451" s="653"/>
      <c r="P451" s="653"/>
      <c r="Q451" s="653"/>
      <c r="R451" s="653"/>
      <c r="S451" s="653"/>
      <c r="T451" s="653"/>
      <c r="U451" s="653"/>
      <c r="V451" s="653"/>
      <c r="W451" s="653"/>
      <c r="X451" s="653"/>
      <c r="Y451" s="653"/>
      <c r="Z451" s="653"/>
      <c r="AA451" s="653"/>
      <c r="AH451" s="653"/>
      <c r="AI451" s="653"/>
      <c r="AJ451" s="653"/>
      <c r="AK451" s="653"/>
    </row>
    <row r="452" spans="1:37">
      <c r="A452" s="653"/>
      <c r="B452" s="651"/>
      <c r="C452" s="653"/>
      <c r="D452" s="653"/>
      <c r="E452" s="653"/>
      <c r="F452" s="653"/>
      <c r="G452" s="653"/>
      <c r="H452" s="653"/>
      <c r="I452" s="653"/>
      <c r="J452" s="653"/>
      <c r="K452" s="653"/>
      <c r="L452" s="653"/>
      <c r="M452" s="653"/>
      <c r="N452" s="653"/>
      <c r="O452" s="653"/>
      <c r="P452" s="653"/>
      <c r="Q452" s="653"/>
      <c r="R452" s="653"/>
      <c r="S452" s="653"/>
      <c r="T452" s="653"/>
      <c r="U452" s="653"/>
      <c r="V452" s="653"/>
      <c r="W452" s="653"/>
      <c r="X452" s="653"/>
      <c r="Y452" s="653"/>
      <c r="Z452" s="653"/>
      <c r="AA452" s="653"/>
      <c r="AH452" s="653"/>
      <c r="AI452" s="653"/>
      <c r="AJ452" s="653"/>
      <c r="AK452" s="653"/>
    </row>
    <row r="453" spans="1:37">
      <c r="A453" s="653"/>
      <c r="B453" s="651"/>
      <c r="C453" s="653"/>
      <c r="D453" s="653"/>
      <c r="E453" s="653"/>
      <c r="F453" s="653"/>
      <c r="G453" s="653"/>
      <c r="H453" s="653"/>
      <c r="I453" s="653"/>
      <c r="J453" s="653"/>
      <c r="K453" s="653"/>
      <c r="L453" s="653"/>
      <c r="M453" s="653"/>
      <c r="N453" s="653"/>
      <c r="O453" s="653"/>
      <c r="P453" s="653"/>
      <c r="Q453" s="653"/>
      <c r="R453" s="653"/>
      <c r="S453" s="653"/>
      <c r="T453" s="653"/>
      <c r="U453" s="653"/>
      <c r="V453" s="653"/>
      <c r="W453" s="653"/>
      <c r="X453" s="653"/>
      <c r="Y453" s="653"/>
      <c r="Z453" s="653"/>
      <c r="AA453" s="653"/>
      <c r="AH453" s="653"/>
      <c r="AI453" s="653"/>
      <c r="AJ453" s="653"/>
      <c r="AK453" s="653"/>
    </row>
    <row r="454" spans="1:37">
      <c r="A454" s="653"/>
      <c r="B454" s="651"/>
      <c r="C454" s="653"/>
      <c r="D454" s="653"/>
      <c r="E454" s="653"/>
      <c r="F454" s="653"/>
      <c r="G454" s="653"/>
      <c r="H454" s="653"/>
      <c r="I454" s="653"/>
      <c r="J454" s="653"/>
      <c r="K454" s="653"/>
      <c r="L454" s="653"/>
      <c r="M454" s="653"/>
      <c r="N454" s="653"/>
      <c r="O454" s="653"/>
      <c r="P454" s="653"/>
      <c r="Q454" s="653"/>
      <c r="R454" s="653"/>
      <c r="S454" s="653"/>
      <c r="T454" s="653"/>
      <c r="U454" s="653"/>
      <c r="V454" s="653"/>
      <c r="W454" s="653"/>
      <c r="X454" s="653"/>
      <c r="Y454" s="653"/>
      <c r="Z454" s="653"/>
      <c r="AA454" s="653"/>
      <c r="AH454" s="653"/>
      <c r="AI454" s="653"/>
      <c r="AJ454" s="653"/>
      <c r="AK454" s="653"/>
    </row>
    <row r="455" spans="1:37">
      <c r="A455" s="653"/>
      <c r="B455" s="651"/>
      <c r="C455" s="653"/>
      <c r="D455" s="653"/>
      <c r="E455" s="653"/>
      <c r="F455" s="653"/>
      <c r="G455" s="653"/>
      <c r="H455" s="653"/>
      <c r="I455" s="653"/>
      <c r="J455" s="653"/>
      <c r="K455" s="653"/>
      <c r="L455" s="653"/>
      <c r="M455" s="653"/>
      <c r="N455" s="653"/>
      <c r="O455" s="653"/>
      <c r="P455" s="653"/>
      <c r="Q455" s="653"/>
      <c r="R455" s="653"/>
      <c r="S455" s="653"/>
      <c r="T455" s="653"/>
      <c r="U455" s="653"/>
      <c r="V455" s="653"/>
      <c r="W455" s="653"/>
      <c r="X455" s="653"/>
      <c r="Y455" s="653"/>
      <c r="Z455" s="653"/>
      <c r="AA455" s="653"/>
      <c r="AH455" s="653"/>
      <c r="AI455" s="653"/>
      <c r="AJ455" s="653"/>
      <c r="AK455" s="653"/>
    </row>
    <row r="456" spans="1:37">
      <c r="A456" s="653"/>
      <c r="B456" s="651"/>
      <c r="C456" s="653"/>
      <c r="D456" s="65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H456" s="653"/>
      <c r="AI456" s="653"/>
      <c r="AJ456" s="653"/>
      <c r="AK456" s="653"/>
    </row>
    <row r="457" spans="1:37">
      <c r="A457" s="653"/>
      <c r="B457" s="651"/>
      <c r="C457" s="653"/>
      <c r="D457" s="653"/>
      <c r="E457" s="653"/>
      <c r="F457" s="653"/>
      <c r="G457" s="653"/>
      <c r="H457" s="653"/>
      <c r="I457" s="653"/>
      <c r="J457" s="653"/>
      <c r="K457" s="653"/>
      <c r="L457" s="653"/>
      <c r="M457" s="653"/>
      <c r="N457" s="653"/>
      <c r="O457" s="653"/>
      <c r="P457" s="653"/>
      <c r="Q457" s="653"/>
      <c r="R457" s="653"/>
      <c r="S457" s="653"/>
      <c r="T457" s="653"/>
      <c r="U457" s="653"/>
      <c r="V457" s="653"/>
      <c r="W457" s="653"/>
      <c r="X457" s="653"/>
      <c r="Y457" s="653"/>
      <c r="Z457" s="653"/>
      <c r="AA457" s="653"/>
      <c r="AH457" s="653"/>
      <c r="AI457" s="653"/>
      <c r="AJ457" s="653"/>
      <c r="AK457" s="653"/>
    </row>
    <row r="458" spans="1:37">
      <c r="A458" s="653"/>
      <c r="B458" s="651"/>
      <c r="C458" s="653"/>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H458" s="653"/>
      <c r="AI458" s="653"/>
      <c r="AJ458" s="653"/>
      <c r="AK458" s="653"/>
    </row>
    <row r="459" spans="1:37">
      <c r="A459" s="653"/>
      <c r="B459" s="651"/>
      <c r="C459" s="653"/>
      <c r="D459" s="653"/>
      <c r="E459" s="653"/>
      <c r="F459" s="653"/>
      <c r="G459" s="653"/>
      <c r="H459" s="653"/>
      <c r="I459" s="653"/>
      <c r="J459" s="653"/>
      <c r="K459" s="653"/>
      <c r="L459" s="653"/>
      <c r="M459" s="653"/>
      <c r="N459" s="653"/>
      <c r="O459" s="653"/>
      <c r="P459" s="653"/>
      <c r="Q459" s="653"/>
      <c r="R459" s="653"/>
      <c r="S459" s="653"/>
      <c r="T459" s="653"/>
      <c r="U459" s="653"/>
      <c r="V459" s="653"/>
      <c r="W459" s="653"/>
      <c r="X459" s="653"/>
      <c r="Y459" s="653"/>
      <c r="Z459" s="653"/>
      <c r="AA459" s="653"/>
      <c r="AH459" s="653"/>
      <c r="AI459" s="653"/>
      <c r="AJ459" s="653"/>
      <c r="AK459" s="653"/>
    </row>
    <row r="460" spans="1:37">
      <c r="A460" s="653"/>
      <c r="B460" s="651"/>
      <c r="C460" s="653"/>
      <c r="D460" s="653"/>
      <c r="E460" s="653"/>
      <c r="F460" s="653"/>
      <c r="G460" s="653"/>
      <c r="H460" s="653"/>
      <c r="I460" s="653"/>
      <c r="J460" s="653"/>
      <c r="K460" s="653"/>
      <c r="L460" s="653"/>
      <c r="M460" s="653"/>
      <c r="N460" s="653"/>
      <c r="O460" s="653"/>
      <c r="P460" s="653"/>
      <c r="Q460" s="653"/>
      <c r="R460" s="653"/>
      <c r="S460" s="653"/>
      <c r="T460" s="653"/>
      <c r="U460" s="653"/>
      <c r="V460" s="653"/>
      <c r="W460" s="653"/>
      <c r="X460" s="653"/>
      <c r="Y460" s="653"/>
      <c r="Z460" s="653"/>
      <c r="AA460" s="653"/>
      <c r="AH460" s="653"/>
      <c r="AI460" s="653"/>
      <c r="AJ460" s="653"/>
      <c r="AK460" s="653"/>
    </row>
    <row r="461" spans="1:37">
      <c r="A461" s="653"/>
      <c r="B461" s="651"/>
      <c r="C461" s="653"/>
      <c r="D461" s="653"/>
      <c r="E461" s="653"/>
      <c r="F461" s="653"/>
      <c r="G461" s="653"/>
      <c r="H461" s="653"/>
      <c r="I461" s="653"/>
      <c r="J461" s="653"/>
      <c r="K461" s="653"/>
      <c r="L461" s="653"/>
      <c r="M461" s="653"/>
      <c r="N461" s="653"/>
      <c r="O461" s="653"/>
      <c r="P461" s="653"/>
      <c r="Q461" s="653"/>
      <c r="R461" s="653"/>
      <c r="S461" s="653"/>
      <c r="T461" s="653"/>
      <c r="U461" s="653"/>
      <c r="V461" s="653"/>
      <c r="W461" s="653"/>
      <c r="X461" s="653"/>
      <c r="Y461" s="653"/>
      <c r="Z461" s="653"/>
      <c r="AA461" s="653"/>
      <c r="AH461" s="653"/>
      <c r="AI461" s="653"/>
      <c r="AJ461" s="653"/>
      <c r="AK461" s="653"/>
    </row>
    <row r="462" spans="1:37">
      <c r="A462" s="653"/>
      <c r="B462" s="651"/>
      <c r="C462" s="653"/>
      <c r="D462" s="653"/>
      <c r="E462" s="653"/>
      <c r="F462" s="653"/>
      <c r="G462" s="653"/>
      <c r="H462" s="653"/>
      <c r="I462" s="653"/>
      <c r="J462" s="653"/>
      <c r="K462" s="653"/>
      <c r="L462" s="653"/>
      <c r="M462" s="653"/>
      <c r="N462" s="653"/>
      <c r="O462" s="653"/>
      <c r="P462" s="653"/>
      <c r="Q462" s="653"/>
      <c r="R462" s="653"/>
      <c r="S462" s="653"/>
      <c r="T462" s="653"/>
      <c r="U462" s="653"/>
      <c r="V462" s="653"/>
      <c r="W462" s="653"/>
      <c r="X462" s="653"/>
      <c r="Y462" s="653"/>
      <c r="Z462" s="653"/>
      <c r="AA462" s="653"/>
      <c r="AH462" s="653"/>
      <c r="AI462" s="653"/>
      <c r="AJ462" s="653"/>
      <c r="AK462" s="653"/>
    </row>
    <row r="463" spans="1:37">
      <c r="A463" s="653"/>
      <c r="B463" s="651"/>
      <c r="C463" s="653"/>
      <c r="D463" s="653"/>
      <c r="E463" s="653"/>
      <c r="F463" s="653"/>
      <c r="G463" s="653"/>
      <c r="H463" s="653"/>
      <c r="I463" s="653"/>
      <c r="J463" s="653"/>
      <c r="K463" s="653"/>
      <c r="L463" s="653"/>
      <c r="M463" s="653"/>
      <c r="N463" s="653"/>
      <c r="O463" s="653"/>
      <c r="P463" s="653"/>
      <c r="Q463" s="653"/>
      <c r="R463" s="653"/>
      <c r="S463" s="653"/>
      <c r="T463" s="653"/>
      <c r="U463" s="653"/>
      <c r="V463" s="653"/>
      <c r="W463" s="653"/>
      <c r="X463" s="653"/>
      <c r="Y463" s="653"/>
      <c r="Z463" s="653"/>
      <c r="AA463" s="653"/>
      <c r="AH463" s="653"/>
      <c r="AI463" s="653"/>
      <c r="AJ463" s="653"/>
      <c r="AK463" s="653"/>
    </row>
    <row r="464" spans="1:37">
      <c r="A464" s="653"/>
      <c r="B464" s="651"/>
      <c r="C464" s="653"/>
      <c r="D464" s="653"/>
      <c r="E464" s="653"/>
      <c r="F464" s="653"/>
      <c r="G464" s="653"/>
      <c r="H464" s="653"/>
      <c r="I464" s="653"/>
      <c r="J464" s="653"/>
      <c r="K464" s="653"/>
      <c r="L464" s="653"/>
      <c r="M464" s="653"/>
      <c r="N464" s="653"/>
      <c r="O464" s="653"/>
      <c r="P464" s="653"/>
      <c r="Q464" s="653"/>
      <c r="R464" s="653"/>
      <c r="S464" s="653"/>
      <c r="T464" s="653"/>
      <c r="U464" s="653"/>
      <c r="V464" s="653"/>
      <c r="W464" s="653"/>
      <c r="X464" s="653"/>
      <c r="Y464" s="653"/>
      <c r="Z464" s="653"/>
      <c r="AA464" s="653"/>
      <c r="AH464" s="653"/>
      <c r="AI464" s="653"/>
      <c r="AJ464" s="653"/>
      <c r="AK464" s="653"/>
    </row>
    <row r="465" spans="1:37">
      <c r="A465" s="653"/>
      <c r="B465" s="651"/>
      <c r="C465" s="653"/>
      <c r="D465" s="653"/>
      <c r="E465" s="653"/>
      <c r="F465" s="653"/>
      <c r="G465" s="653"/>
      <c r="H465" s="653"/>
      <c r="I465" s="653"/>
      <c r="J465" s="653"/>
      <c r="K465" s="653"/>
      <c r="L465" s="653"/>
      <c r="M465" s="653"/>
      <c r="N465" s="653"/>
      <c r="O465" s="653"/>
      <c r="P465" s="653"/>
      <c r="Q465" s="653"/>
      <c r="R465" s="653"/>
      <c r="S465" s="653"/>
      <c r="T465" s="653"/>
      <c r="U465" s="653"/>
      <c r="V465" s="653"/>
      <c r="W465" s="653"/>
      <c r="X465" s="653"/>
      <c r="Y465" s="653"/>
      <c r="Z465" s="653"/>
      <c r="AA465" s="653"/>
      <c r="AH465" s="653"/>
      <c r="AI465" s="653"/>
      <c r="AJ465" s="653"/>
      <c r="AK465" s="653"/>
    </row>
    <row r="466" spans="1:37">
      <c r="A466" s="653"/>
      <c r="B466" s="651"/>
      <c r="C466" s="653"/>
      <c r="D466" s="653"/>
      <c r="E466" s="653"/>
      <c r="F466" s="653"/>
      <c r="G466" s="653"/>
      <c r="H466" s="653"/>
      <c r="I466" s="653"/>
      <c r="J466" s="653"/>
      <c r="K466" s="653"/>
      <c r="L466" s="653"/>
      <c r="M466" s="653"/>
      <c r="N466" s="653"/>
      <c r="O466" s="653"/>
      <c r="P466" s="653"/>
      <c r="Q466" s="653"/>
      <c r="R466" s="653"/>
      <c r="S466" s="653"/>
      <c r="T466" s="653"/>
      <c r="U466" s="653"/>
      <c r="V466" s="653"/>
      <c r="W466" s="653"/>
      <c r="X466" s="653"/>
      <c r="Y466" s="653"/>
      <c r="Z466" s="653"/>
      <c r="AA466" s="653"/>
      <c r="AH466" s="653"/>
      <c r="AI466" s="653"/>
      <c r="AJ466" s="653"/>
      <c r="AK466" s="653"/>
    </row>
    <row r="467" spans="1:37">
      <c r="A467" s="653"/>
      <c r="B467" s="651"/>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H467" s="653"/>
      <c r="AI467" s="653"/>
      <c r="AJ467" s="653"/>
      <c r="AK467" s="653"/>
    </row>
    <row r="468" spans="1:37">
      <c r="A468" s="653"/>
      <c r="B468" s="651"/>
      <c r="C468" s="653"/>
      <c r="D468" s="653"/>
      <c r="E468" s="653"/>
      <c r="F468" s="653"/>
      <c r="G468" s="653"/>
      <c r="H468" s="653"/>
      <c r="I468" s="653"/>
      <c r="J468" s="653"/>
      <c r="K468" s="653"/>
      <c r="L468" s="653"/>
      <c r="M468" s="653"/>
      <c r="N468" s="653"/>
      <c r="O468" s="653"/>
      <c r="P468" s="653"/>
      <c r="Q468" s="653"/>
      <c r="R468" s="653"/>
      <c r="S468" s="653"/>
      <c r="T468" s="653"/>
      <c r="U468" s="653"/>
      <c r="V468" s="653"/>
      <c r="W468" s="653"/>
      <c r="X468" s="653"/>
      <c r="Y468" s="653"/>
      <c r="Z468" s="653"/>
      <c r="AA468" s="653"/>
      <c r="AH468" s="653"/>
      <c r="AI468" s="653"/>
      <c r="AJ468" s="653"/>
      <c r="AK468" s="653"/>
    </row>
    <row r="469" spans="1:37">
      <c r="A469" s="653"/>
      <c r="B469" s="651"/>
      <c r="C469" s="653"/>
      <c r="D469" s="653"/>
      <c r="E469" s="653"/>
      <c r="F469" s="653"/>
      <c r="G469" s="653"/>
      <c r="H469" s="653"/>
      <c r="I469" s="653"/>
      <c r="J469" s="653"/>
      <c r="K469" s="653"/>
      <c r="L469" s="653"/>
      <c r="M469" s="653"/>
      <c r="N469" s="653"/>
      <c r="O469" s="653"/>
      <c r="P469" s="653"/>
      <c r="Q469" s="653"/>
      <c r="R469" s="653"/>
      <c r="S469" s="653"/>
      <c r="T469" s="653"/>
      <c r="U469" s="653"/>
      <c r="V469" s="653"/>
      <c r="W469" s="653"/>
      <c r="X469" s="653"/>
      <c r="Y469" s="653"/>
      <c r="Z469" s="653"/>
      <c r="AA469" s="653"/>
      <c r="AH469" s="653"/>
      <c r="AI469" s="653"/>
      <c r="AJ469" s="653"/>
      <c r="AK469" s="653"/>
    </row>
    <row r="470" spans="1:37">
      <c r="A470" s="653"/>
      <c r="B470" s="651"/>
      <c r="C470" s="653"/>
      <c r="D470" s="653"/>
      <c r="E470" s="653"/>
      <c r="F470" s="653"/>
      <c r="G470" s="653"/>
      <c r="H470" s="653"/>
      <c r="I470" s="653"/>
      <c r="J470" s="653"/>
      <c r="K470" s="653"/>
      <c r="L470" s="653"/>
      <c r="M470" s="653"/>
      <c r="N470" s="653"/>
      <c r="O470" s="653"/>
      <c r="P470" s="653"/>
      <c r="Q470" s="653"/>
      <c r="R470" s="653"/>
      <c r="S470" s="653"/>
      <c r="T470" s="653"/>
      <c r="U470" s="653"/>
      <c r="V470" s="653"/>
      <c r="W470" s="653"/>
      <c r="X470" s="653"/>
      <c r="Y470" s="653"/>
      <c r="Z470" s="653"/>
      <c r="AA470" s="653"/>
      <c r="AH470" s="653"/>
      <c r="AI470" s="653"/>
      <c r="AJ470" s="653"/>
      <c r="AK470" s="653"/>
    </row>
    <row r="471" spans="1:37">
      <c r="A471" s="653"/>
      <c r="B471" s="651"/>
      <c r="C471" s="653"/>
      <c r="D471" s="653"/>
      <c r="E471" s="653"/>
      <c r="F471" s="653"/>
      <c r="G471" s="653"/>
      <c r="H471" s="653"/>
      <c r="I471" s="653"/>
      <c r="J471" s="653"/>
      <c r="K471" s="653"/>
      <c r="L471" s="653"/>
      <c r="M471" s="653"/>
      <c r="N471" s="653"/>
      <c r="O471" s="653"/>
      <c r="P471" s="653"/>
      <c r="Q471" s="653"/>
      <c r="R471" s="653"/>
      <c r="S471" s="653"/>
      <c r="T471" s="653"/>
      <c r="U471" s="653"/>
      <c r="V471" s="653"/>
      <c r="W471" s="653"/>
      <c r="X471" s="653"/>
      <c r="Y471" s="653"/>
      <c r="Z471" s="653"/>
      <c r="AA471" s="653"/>
      <c r="AH471" s="653"/>
      <c r="AI471" s="653"/>
      <c r="AJ471" s="653"/>
      <c r="AK471" s="653"/>
    </row>
    <row r="472" spans="1:37">
      <c r="A472" s="653"/>
      <c r="B472" s="651"/>
      <c r="C472" s="653"/>
      <c r="D472" s="653"/>
      <c r="E472" s="653"/>
      <c r="F472" s="653"/>
      <c r="G472" s="653"/>
      <c r="H472" s="653"/>
      <c r="I472" s="653"/>
      <c r="J472" s="653"/>
      <c r="K472" s="653"/>
      <c r="L472" s="653"/>
      <c r="M472" s="653"/>
      <c r="N472" s="653"/>
      <c r="O472" s="653"/>
      <c r="P472" s="653"/>
      <c r="Q472" s="653"/>
      <c r="R472" s="653"/>
      <c r="S472" s="653"/>
      <c r="T472" s="653"/>
      <c r="U472" s="653"/>
      <c r="V472" s="653"/>
      <c r="W472" s="653"/>
      <c r="X472" s="653"/>
      <c r="Y472" s="653"/>
      <c r="Z472" s="653"/>
      <c r="AA472" s="653"/>
      <c r="AH472" s="653"/>
      <c r="AI472" s="653"/>
      <c r="AJ472" s="653"/>
      <c r="AK472" s="653"/>
    </row>
    <row r="473" spans="1:37">
      <c r="A473" s="653"/>
      <c r="B473" s="651"/>
      <c r="C473" s="653"/>
      <c r="D473" s="653"/>
      <c r="E473" s="653"/>
      <c r="F473" s="653"/>
      <c r="G473" s="653"/>
      <c r="H473" s="653"/>
      <c r="I473" s="653"/>
      <c r="J473" s="653"/>
      <c r="K473" s="653"/>
      <c r="L473" s="653"/>
      <c r="M473" s="653"/>
      <c r="N473" s="653"/>
      <c r="O473" s="653"/>
      <c r="P473" s="653"/>
      <c r="Q473" s="653"/>
      <c r="R473" s="653"/>
      <c r="S473" s="653"/>
      <c r="T473" s="653"/>
      <c r="U473" s="653"/>
      <c r="V473" s="653"/>
      <c r="W473" s="653"/>
      <c r="X473" s="653"/>
      <c r="Y473" s="653"/>
      <c r="Z473" s="653"/>
      <c r="AA473" s="653"/>
      <c r="AH473" s="653"/>
      <c r="AI473" s="653"/>
      <c r="AJ473" s="653"/>
      <c r="AK473" s="653"/>
    </row>
    <row r="474" spans="1:37">
      <c r="A474" s="653"/>
      <c r="B474" s="651"/>
      <c r="C474" s="653"/>
      <c r="D474" s="653"/>
      <c r="E474" s="653"/>
      <c r="F474" s="653"/>
      <c r="G474" s="653"/>
      <c r="H474" s="653"/>
      <c r="I474" s="653"/>
      <c r="J474" s="653"/>
      <c r="K474" s="653"/>
      <c r="L474" s="653"/>
      <c r="M474" s="653"/>
      <c r="N474" s="653"/>
      <c r="O474" s="653"/>
      <c r="P474" s="653"/>
      <c r="Q474" s="653"/>
      <c r="R474" s="653"/>
      <c r="S474" s="653"/>
      <c r="T474" s="653"/>
      <c r="U474" s="653"/>
      <c r="V474" s="653"/>
      <c r="W474" s="653"/>
      <c r="X474" s="653"/>
      <c r="Y474" s="653"/>
      <c r="Z474" s="653"/>
      <c r="AA474" s="653"/>
      <c r="AH474" s="653"/>
      <c r="AI474" s="653"/>
      <c r="AJ474" s="653"/>
      <c r="AK474" s="653"/>
    </row>
    <row r="475" spans="1:37">
      <c r="A475" s="653"/>
      <c r="B475" s="651"/>
      <c r="C475" s="653"/>
      <c r="D475" s="653"/>
      <c r="E475" s="653"/>
      <c r="F475" s="653"/>
      <c r="G475" s="653"/>
      <c r="H475" s="653"/>
      <c r="I475" s="653"/>
      <c r="J475" s="653"/>
      <c r="K475" s="653"/>
      <c r="L475" s="653"/>
      <c r="M475" s="653"/>
      <c r="N475" s="653"/>
      <c r="O475" s="653"/>
      <c r="P475" s="653"/>
      <c r="Q475" s="653"/>
      <c r="R475" s="653"/>
      <c r="S475" s="653"/>
      <c r="T475" s="653"/>
      <c r="U475" s="653"/>
      <c r="V475" s="653"/>
      <c r="W475" s="653"/>
      <c r="X475" s="653"/>
      <c r="Y475" s="653"/>
      <c r="Z475" s="653"/>
      <c r="AA475" s="653"/>
      <c r="AH475" s="653"/>
      <c r="AI475" s="653"/>
      <c r="AJ475" s="653"/>
      <c r="AK475" s="653"/>
    </row>
    <row r="476" spans="1:37">
      <c r="A476" s="653"/>
      <c r="B476" s="651"/>
      <c r="C476" s="653"/>
      <c r="D476" s="653"/>
      <c r="E476" s="653"/>
      <c r="F476" s="653"/>
      <c r="G476" s="653"/>
      <c r="H476" s="653"/>
      <c r="I476" s="653"/>
      <c r="J476" s="653"/>
      <c r="K476" s="653"/>
      <c r="L476" s="653"/>
      <c r="M476" s="653"/>
      <c r="N476" s="653"/>
      <c r="O476" s="653"/>
      <c r="P476" s="653"/>
      <c r="Q476" s="653"/>
      <c r="R476" s="653"/>
      <c r="S476" s="653"/>
      <c r="T476" s="653"/>
      <c r="U476" s="653"/>
      <c r="V476" s="653"/>
      <c r="W476" s="653"/>
      <c r="X476" s="653"/>
      <c r="Y476" s="653"/>
      <c r="Z476" s="653"/>
      <c r="AA476" s="653"/>
      <c r="AH476" s="653"/>
      <c r="AI476" s="653"/>
      <c r="AJ476" s="653"/>
      <c r="AK476" s="653"/>
    </row>
    <row r="477" spans="1:37">
      <c r="A477" s="653"/>
      <c r="B477" s="651"/>
      <c r="C477" s="653"/>
      <c r="D477" s="653"/>
      <c r="E477" s="653"/>
      <c r="F477" s="653"/>
      <c r="G477" s="653"/>
      <c r="H477" s="653"/>
      <c r="I477" s="653"/>
      <c r="J477" s="653"/>
      <c r="K477" s="653"/>
      <c r="L477" s="653"/>
      <c r="M477" s="653"/>
      <c r="N477" s="653"/>
      <c r="O477" s="653"/>
      <c r="P477" s="653"/>
      <c r="Q477" s="653"/>
      <c r="R477" s="653"/>
      <c r="S477" s="653"/>
      <c r="T477" s="653"/>
      <c r="U477" s="653"/>
      <c r="V477" s="653"/>
      <c r="W477" s="653"/>
      <c r="X477" s="653"/>
      <c r="Y477" s="653"/>
      <c r="Z477" s="653"/>
      <c r="AA477" s="653"/>
      <c r="AH477" s="653"/>
      <c r="AI477" s="653"/>
      <c r="AJ477" s="653"/>
      <c r="AK477" s="653"/>
    </row>
    <row r="478" spans="1:37">
      <c r="A478" s="653"/>
      <c r="B478" s="651"/>
      <c r="C478" s="653"/>
      <c r="D478" s="653"/>
      <c r="E478" s="653"/>
      <c r="F478" s="653"/>
      <c r="G478" s="653"/>
      <c r="H478" s="653"/>
      <c r="I478" s="653"/>
      <c r="J478" s="653"/>
      <c r="K478" s="653"/>
      <c r="L478" s="653"/>
      <c r="M478" s="653"/>
      <c r="N478" s="653"/>
      <c r="O478" s="653"/>
      <c r="P478" s="653"/>
      <c r="Q478" s="653"/>
      <c r="R478" s="653"/>
      <c r="S478" s="653"/>
      <c r="T478" s="653"/>
      <c r="U478" s="653"/>
      <c r="V478" s="653"/>
      <c r="W478" s="653"/>
      <c r="X478" s="653"/>
      <c r="Y478" s="653"/>
      <c r="Z478" s="653"/>
      <c r="AA478" s="653"/>
      <c r="AH478" s="653"/>
      <c r="AI478" s="653"/>
      <c r="AJ478" s="653"/>
      <c r="AK478" s="653"/>
    </row>
    <row r="479" spans="1:37">
      <c r="A479" s="653"/>
      <c r="B479" s="651"/>
      <c r="C479" s="653"/>
      <c r="D479" s="653"/>
      <c r="E479" s="653"/>
      <c r="F479" s="653"/>
      <c r="G479" s="653"/>
      <c r="H479" s="653"/>
      <c r="I479" s="653"/>
      <c r="J479" s="653"/>
      <c r="K479" s="653"/>
      <c r="L479" s="653"/>
      <c r="M479" s="653"/>
      <c r="N479" s="653"/>
      <c r="O479" s="653"/>
      <c r="P479" s="653"/>
      <c r="Q479" s="653"/>
      <c r="R479" s="653"/>
      <c r="S479" s="653"/>
      <c r="T479" s="653"/>
      <c r="U479" s="653"/>
      <c r="V479" s="653"/>
      <c r="W479" s="653"/>
      <c r="X479" s="653"/>
      <c r="Y479" s="653"/>
      <c r="Z479" s="653"/>
      <c r="AA479" s="653"/>
      <c r="AH479" s="653"/>
      <c r="AI479" s="653"/>
      <c r="AJ479" s="653"/>
      <c r="AK479" s="653"/>
    </row>
    <row r="480" spans="1:37">
      <c r="A480" s="653"/>
      <c r="B480" s="651"/>
      <c r="C480" s="653"/>
      <c r="D480" s="653"/>
      <c r="E480" s="653"/>
      <c r="F480" s="653"/>
      <c r="G480" s="653"/>
      <c r="H480" s="653"/>
      <c r="I480" s="653"/>
      <c r="J480" s="653"/>
      <c r="K480" s="653"/>
      <c r="L480" s="653"/>
      <c r="M480" s="653"/>
      <c r="N480" s="653"/>
      <c r="O480" s="653"/>
      <c r="P480" s="653"/>
      <c r="Q480" s="653"/>
      <c r="R480" s="653"/>
      <c r="S480" s="653"/>
      <c r="T480" s="653"/>
      <c r="U480" s="653"/>
      <c r="V480" s="653"/>
      <c r="W480" s="653"/>
      <c r="X480" s="653"/>
      <c r="Y480" s="653"/>
      <c r="Z480" s="653"/>
      <c r="AA480" s="653"/>
      <c r="AH480" s="653"/>
      <c r="AI480" s="653"/>
      <c r="AJ480" s="653"/>
      <c r="AK480" s="653"/>
    </row>
    <row r="481" spans="1:37">
      <c r="A481" s="653"/>
      <c r="B481" s="651"/>
      <c r="C481" s="653"/>
      <c r="D481" s="653"/>
      <c r="E481" s="653"/>
      <c r="F481" s="653"/>
      <c r="G481" s="653"/>
      <c r="H481" s="653"/>
      <c r="I481" s="653"/>
      <c r="J481" s="653"/>
      <c r="K481" s="653"/>
      <c r="L481" s="653"/>
      <c r="M481" s="653"/>
      <c r="N481" s="653"/>
      <c r="O481" s="653"/>
      <c r="P481" s="653"/>
      <c r="Q481" s="653"/>
      <c r="R481" s="653"/>
      <c r="S481" s="653"/>
      <c r="T481" s="653"/>
      <c r="U481" s="653"/>
      <c r="V481" s="653"/>
      <c r="W481" s="653"/>
      <c r="X481" s="653"/>
      <c r="Y481" s="653"/>
      <c r="Z481" s="653"/>
      <c r="AA481" s="653"/>
      <c r="AH481" s="653"/>
      <c r="AI481" s="653"/>
      <c r="AJ481" s="653"/>
      <c r="AK481" s="653"/>
    </row>
    <row r="482" spans="1:37">
      <c r="A482" s="653"/>
      <c r="B482" s="651"/>
      <c r="C482" s="653"/>
      <c r="D482" s="653"/>
      <c r="E482" s="653"/>
      <c r="F482" s="653"/>
      <c r="G482" s="653"/>
      <c r="H482" s="653"/>
      <c r="I482" s="653"/>
      <c r="J482" s="653"/>
      <c r="K482" s="653"/>
      <c r="L482" s="653"/>
      <c r="M482" s="653"/>
      <c r="N482" s="653"/>
      <c r="O482" s="653"/>
      <c r="P482" s="653"/>
      <c r="Q482" s="653"/>
      <c r="R482" s="653"/>
      <c r="S482" s="653"/>
      <c r="T482" s="653"/>
      <c r="U482" s="653"/>
      <c r="V482" s="653"/>
      <c r="W482" s="653"/>
      <c r="X482" s="653"/>
      <c r="Y482" s="653"/>
      <c r="Z482" s="653"/>
      <c r="AA482" s="653"/>
      <c r="AH482" s="653"/>
      <c r="AI482" s="653"/>
      <c r="AJ482" s="653"/>
      <c r="AK482" s="653"/>
    </row>
    <row r="483" spans="1:37">
      <c r="A483" s="653"/>
      <c r="B483" s="651"/>
      <c r="C483" s="653"/>
      <c r="D483" s="653"/>
      <c r="E483" s="653"/>
      <c r="F483" s="653"/>
      <c r="G483" s="653"/>
      <c r="H483" s="653"/>
      <c r="I483" s="653"/>
      <c r="J483" s="653"/>
      <c r="K483" s="653"/>
      <c r="L483" s="653"/>
      <c r="M483" s="653"/>
      <c r="N483" s="653"/>
      <c r="O483" s="653"/>
      <c r="P483" s="653"/>
      <c r="Q483" s="653"/>
      <c r="R483" s="653"/>
      <c r="S483" s="653"/>
      <c r="T483" s="653"/>
      <c r="U483" s="653"/>
      <c r="V483" s="653"/>
      <c r="W483" s="653"/>
      <c r="X483" s="653"/>
      <c r="Y483" s="653"/>
      <c r="Z483" s="653"/>
      <c r="AA483" s="653"/>
      <c r="AH483" s="653"/>
      <c r="AI483" s="653"/>
      <c r="AJ483" s="653"/>
      <c r="AK483" s="653"/>
    </row>
    <row r="484" spans="1:37">
      <c r="A484" s="653"/>
      <c r="B484" s="651"/>
      <c r="C484" s="653"/>
      <c r="D484" s="653"/>
      <c r="E484" s="653"/>
      <c r="F484" s="653"/>
      <c r="G484" s="653"/>
      <c r="H484" s="653"/>
      <c r="I484" s="653"/>
      <c r="J484" s="653"/>
      <c r="K484" s="653"/>
      <c r="L484" s="653"/>
      <c r="M484" s="653"/>
      <c r="N484" s="653"/>
      <c r="O484" s="653"/>
      <c r="P484" s="653"/>
      <c r="Q484" s="653"/>
      <c r="R484" s="653"/>
      <c r="S484" s="653"/>
      <c r="T484" s="653"/>
      <c r="U484" s="653"/>
      <c r="V484" s="653"/>
      <c r="W484" s="653"/>
      <c r="X484" s="653"/>
      <c r="Y484" s="653"/>
      <c r="Z484" s="653"/>
      <c r="AA484" s="653"/>
      <c r="AH484" s="653"/>
      <c r="AI484" s="653"/>
      <c r="AJ484" s="653"/>
      <c r="AK484" s="653"/>
    </row>
    <row r="485" spans="1:37">
      <c r="A485" s="653"/>
      <c r="B485" s="651"/>
      <c r="C485" s="653"/>
      <c r="D485" s="653"/>
      <c r="E485" s="653"/>
      <c r="F485" s="653"/>
      <c r="G485" s="653"/>
      <c r="H485" s="653"/>
      <c r="I485" s="653"/>
      <c r="J485" s="653"/>
      <c r="K485" s="653"/>
      <c r="L485" s="653"/>
      <c r="M485" s="653"/>
      <c r="N485" s="653"/>
      <c r="O485" s="653"/>
      <c r="P485" s="653"/>
      <c r="Q485" s="653"/>
      <c r="R485" s="653"/>
      <c r="S485" s="653"/>
      <c r="T485" s="653"/>
      <c r="U485" s="653"/>
      <c r="V485" s="653"/>
      <c r="W485" s="653"/>
      <c r="X485" s="653"/>
      <c r="Y485" s="653"/>
      <c r="Z485" s="653"/>
      <c r="AA485" s="653"/>
      <c r="AH485" s="653"/>
      <c r="AI485" s="653"/>
      <c r="AJ485" s="653"/>
      <c r="AK485" s="653"/>
    </row>
    <row r="486" spans="1:37">
      <c r="A486" s="653"/>
      <c r="B486" s="651"/>
      <c r="C486" s="653"/>
      <c r="D486" s="653"/>
      <c r="E486" s="653"/>
      <c r="F486" s="653"/>
      <c r="G486" s="653"/>
      <c r="H486" s="653"/>
      <c r="I486" s="653"/>
      <c r="J486" s="653"/>
      <c r="K486" s="653"/>
      <c r="L486" s="653"/>
      <c r="M486" s="653"/>
      <c r="N486" s="653"/>
      <c r="O486" s="653"/>
      <c r="P486" s="653"/>
      <c r="Q486" s="653"/>
      <c r="R486" s="653"/>
      <c r="S486" s="653"/>
      <c r="T486" s="653"/>
      <c r="U486" s="653"/>
      <c r="V486" s="653"/>
      <c r="W486" s="653"/>
      <c r="X486" s="653"/>
      <c r="Y486" s="653"/>
      <c r="Z486" s="653"/>
      <c r="AA486" s="653"/>
      <c r="AH486" s="653"/>
      <c r="AI486" s="653"/>
      <c r="AJ486" s="653"/>
      <c r="AK486" s="653"/>
    </row>
    <row r="487" spans="1:37">
      <c r="A487" s="653"/>
      <c r="B487" s="651"/>
      <c r="C487" s="653"/>
      <c r="D487" s="653"/>
      <c r="E487" s="653"/>
      <c r="F487" s="653"/>
      <c r="G487" s="653"/>
      <c r="H487" s="653"/>
      <c r="I487" s="653"/>
      <c r="J487" s="653"/>
      <c r="K487" s="653"/>
      <c r="L487" s="653"/>
      <c r="M487" s="653"/>
      <c r="N487" s="653"/>
      <c r="O487" s="653"/>
      <c r="P487" s="653"/>
      <c r="Q487" s="653"/>
      <c r="R487" s="653"/>
      <c r="S487" s="653"/>
      <c r="T487" s="653"/>
      <c r="U487" s="653"/>
      <c r="V487" s="653"/>
      <c r="W487" s="653"/>
      <c r="X487" s="653"/>
      <c r="Y487" s="653"/>
      <c r="Z487" s="653"/>
      <c r="AA487" s="653"/>
      <c r="AH487" s="653"/>
      <c r="AI487" s="653"/>
      <c r="AJ487" s="653"/>
      <c r="AK487" s="653"/>
    </row>
    <row r="488" spans="1:37">
      <c r="A488" s="653"/>
      <c r="B488" s="651"/>
      <c r="C488" s="653"/>
      <c r="D488" s="653"/>
      <c r="E488" s="653"/>
      <c r="F488" s="653"/>
      <c r="G488" s="653"/>
      <c r="H488" s="653"/>
      <c r="I488" s="653"/>
      <c r="J488" s="653"/>
      <c r="K488" s="653"/>
      <c r="L488" s="653"/>
      <c r="M488" s="653"/>
      <c r="N488" s="653"/>
      <c r="O488" s="653"/>
      <c r="P488" s="653"/>
      <c r="Q488" s="653"/>
      <c r="R488" s="653"/>
      <c r="S488" s="653"/>
      <c r="T488" s="653"/>
      <c r="U488" s="653"/>
      <c r="V488" s="653"/>
      <c r="W488" s="653"/>
      <c r="X488" s="653"/>
      <c r="Y488" s="653"/>
      <c r="Z488" s="653"/>
      <c r="AA488" s="653"/>
      <c r="AH488" s="653"/>
      <c r="AI488" s="653"/>
      <c r="AJ488" s="653"/>
      <c r="AK488" s="653"/>
    </row>
    <row r="489" spans="1:37">
      <c r="A489" s="653"/>
      <c r="B489" s="651"/>
      <c r="C489" s="653"/>
      <c r="D489" s="653"/>
      <c r="E489" s="653"/>
      <c r="F489" s="653"/>
      <c r="G489" s="653"/>
      <c r="H489" s="653"/>
      <c r="I489" s="653"/>
      <c r="J489" s="653"/>
      <c r="K489" s="653"/>
      <c r="L489" s="653"/>
      <c r="M489" s="653"/>
      <c r="N489" s="653"/>
      <c r="O489" s="653"/>
      <c r="P489" s="653"/>
      <c r="Q489" s="653"/>
      <c r="R489" s="653"/>
      <c r="S489" s="653"/>
      <c r="T489" s="653"/>
      <c r="U489" s="653"/>
      <c r="V489" s="653"/>
      <c r="W489" s="653"/>
      <c r="X489" s="653"/>
      <c r="Y489" s="653"/>
      <c r="Z489" s="653"/>
      <c r="AA489" s="653"/>
      <c r="AH489" s="653"/>
      <c r="AI489" s="653"/>
      <c r="AJ489" s="653"/>
      <c r="AK489" s="653"/>
    </row>
    <row r="490" spans="1:37">
      <c r="A490" s="653"/>
      <c r="B490" s="651"/>
      <c r="C490" s="653"/>
      <c r="D490" s="653"/>
      <c r="E490" s="653"/>
      <c r="F490" s="653"/>
      <c r="G490" s="653"/>
      <c r="H490" s="653"/>
      <c r="I490" s="653"/>
      <c r="J490" s="653"/>
      <c r="K490" s="653"/>
      <c r="L490" s="653"/>
      <c r="M490" s="653"/>
      <c r="N490" s="653"/>
      <c r="O490" s="653"/>
      <c r="P490" s="653"/>
      <c r="Q490" s="653"/>
      <c r="R490" s="653"/>
      <c r="S490" s="653"/>
      <c r="T490" s="653"/>
      <c r="U490" s="653"/>
      <c r="V490" s="653"/>
      <c r="W490" s="653"/>
      <c r="X490" s="653"/>
      <c r="Y490" s="653"/>
      <c r="Z490" s="653"/>
      <c r="AA490" s="653"/>
      <c r="AH490" s="653"/>
      <c r="AI490" s="653"/>
      <c r="AJ490" s="653"/>
      <c r="AK490" s="653"/>
    </row>
    <row r="491" spans="1:37">
      <c r="A491" s="653"/>
      <c r="B491" s="651"/>
      <c r="C491" s="653"/>
      <c r="D491" s="653"/>
      <c r="E491" s="653"/>
      <c r="F491" s="653"/>
      <c r="G491" s="653"/>
      <c r="H491" s="653"/>
      <c r="I491" s="653"/>
      <c r="J491" s="653"/>
      <c r="K491" s="653"/>
      <c r="L491" s="653"/>
      <c r="M491" s="653"/>
      <c r="N491" s="653"/>
      <c r="O491" s="653"/>
      <c r="P491" s="653"/>
      <c r="Q491" s="653"/>
      <c r="R491" s="653"/>
      <c r="S491" s="653"/>
      <c r="T491" s="653"/>
      <c r="U491" s="653"/>
      <c r="V491" s="653"/>
      <c r="W491" s="653"/>
      <c r="X491" s="653"/>
      <c r="Y491" s="653"/>
      <c r="Z491" s="653"/>
      <c r="AA491" s="653"/>
      <c r="AH491" s="653"/>
      <c r="AI491" s="653"/>
      <c r="AJ491" s="653"/>
      <c r="AK491" s="653"/>
    </row>
    <row r="492" spans="1:37">
      <c r="A492" s="653"/>
      <c r="B492" s="651"/>
      <c r="C492" s="653"/>
      <c r="D492" s="653"/>
      <c r="E492" s="653"/>
      <c r="F492" s="653"/>
      <c r="G492" s="653"/>
      <c r="H492" s="653"/>
      <c r="I492" s="653"/>
      <c r="J492" s="653"/>
      <c r="K492" s="653"/>
      <c r="L492" s="653"/>
      <c r="M492" s="653"/>
      <c r="N492" s="653"/>
      <c r="O492" s="653"/>
      <c r="P492" s="653"/>
      <c r="Q492" s="653"/>
      <c r="R492" s="653"/>
      <c r="S492" s="653"/>
      <c r="T492" s="653"/>
      <c r="U492" s="653"/>
      <c r="V492" s="653"/>
      <c r="W492" s="653"/>
      <c r="X492" s="653"/>
      <c r="Y492" s="653"/>
      <c r="Z492" s="653"/>
      <c r="AA492" s="653"/>
      <c r="AH492" s="653"/>
      <c r="AI492" s="653"/>
      <c r="AJ492" s="653"/>
      <c r="AK492" s="653"/>
    </row>
    <row r="493" spans="1:37">
      <c r="A493" s="653"/>
      <c r="B493" s="651"/>
      <c r="C493" s="653"/>
      <c r="D493" s="653"/>
      <c r="E493" s="653"/>
      <c r="F493" s="653"/>
      <c r="G493" s="653"/>
      <c r="H493" s="653"/>
      <c r="I493" s="653"/>
      <c r="J493" s="653"/>
      <c r="K493" s="653"/>
      <c r="L493" s="653"/>
      <c r="M493" s="653"/>
      <c r="N493" s="653"/>
      <c r="O493" s="653"/>
      <c r="P493" s="653"/>
      <c r="Q493" s="653"/>
      <c r="R493" s="653"/>
      <c r="S493" s="653"/>
      <c r="T493" s="653"/>
      <c r="U493" s="653"/>
      <c r="V493" s="653"/>
      <c r="W493" s="653"/>
      <c r="X493" s="653"/>
      <c r="Y493" s="653"/>
      <c r="Z493" s="653"/>
      <c r="AA493" s="653"/>
      <c r="AH493" s="653"/>
      <c r="AI493" s="653"/>
      <c r="AJ493" s="653"/>
      <c r="AK493" s="653"/>
    </row>
    <row r="494" spans="1:37">
      <c r="A494" s="653"/>
      <c r="B494" s="651"/>
      <c r="C494" s="653"/>
      <c r="D494" s="653"/>
      <c r="E494" s="653"/>
      <c r="F494" s="653"/>
      <c r="G494" s="653"/>
      <c r="H494" s="653"/>
      <c r="I494" s="653"/>
      <c r="J494" s="653"/>
      <c r="K494" s="653"/>
      <c r="L494" s="653"/>
      <c r="M494" s="653"/>
      <c r="N494" s="653"/>
      <c r="O494" s="653"/>
      <c r="P494" s="653"/>
      <c r="Q494" s="653"/>
      <c r="R494" s="653"/>
      <c r="S494" s="653"/>
      <c r="T494" s="653"/>
      <c r="U494" s="653"/>
      <c r="V494" s="653"/>
      <c r="W494" s="653"/>
      <c r="X494" s="653"/>
      <c r="Y494" s="653"/>
      <c r="Z494" s="653"/>
      <c r="AA494" s="653"/>
      <c r="AH494" s="653"/>
      <c r="AI494" s="653"/>
      <c r="AJ494" s="653"/>
      <c r="AK494" s="653"/>
    </row>
    <row r="495" spans="1:37">
      <c r="A495" s="653"/>
      <c r="B495" s="651"/>
      <c r="C495" s="653"/>
      <c r="D495" s="653"/>
      <c r="E495" s="653"/>
      <c r="F495" s="653"/>
      <c r="G495" s="653"/>
      <c r="H495" s="653"/>
      <c r="I495" s="653"/>
      <c r="J495" s="653"/>
      <c r="K495" s="653"/>
      <c r="L495" s="653"/>
      <c r="M495" s="653"/>
      <c r="N495" s="653"/>
      <c r="O495" s="653"/>
      <c r="P495" s="653"/>
      <c r="Q495" s="653"/>
      <c r="R495" s="653"/>
      <c r="S495" s="653"/>
      <c r="T495" s="653"/>
      <c r="U495" s="653"/>
      <c r="V495" s="653"/>
      <c r="W495" s="653"/>
      <c r="X495" s="653"/>
      <c r="Y495" s="653"/>
      <c r="Z495" s="653"/>
      <c r="AA495" s="653"/>
      <c r="AH495" s="653"/>
      <c r="AI495" s="653"/>
      <c r="AJ495" s="653"/>
      <c r="AK495" s="653"/>
    </row>
    <row r="496" spans="1:37">
      <c r="A496" s="653"/>
      <c r="B496" s="651"/>
      <c r="C496" s="653"/>
      <c r="D496" s="653"/>
      <c r="E496" s="653"/>
      <c r="F496" s="653"/>
      <c r="G496" s="653"/>
      <c r="H496" s="653"/>
      <c r="I496" s="653"/>
      <c r="J496" s="653"/>
      <c r="K496" s="653"/>
      <c r="L496" s="653"/>
      <c r="M496" s="653"/>
      <c r="N496" s="653"/>
      <c r="O496" s="653"/>
      <c r="P496" s="653"/>
      <c r="Q496" s="653"/>
      <c r="R496" s="653"/>
      <c r="S496" s="653"/>
      <c r="T496" s="653"/>
      <c r="U496" s="653"/>
      <c r="V496" s="653"/>
      <c r="W496" s="653"/>
      <c r="X496" s="653"/>
      <c r="Y496" s="653"/>
      <c r="Z496" s="653"/>
      <c r="AA496" s="653"/>
      <c r="AH496" s="653"/>
      <c r="AI496" s="653"/>
      <c r="AJ496" s="653"/>
      <c r="AK496" s="653"/>
    </row>
    <row r="497" spans="1:37">
      <c r="A497" s="653"/>
      <c r="B497" s="651"/>
      <c r="C497" s="653"/>
      <c r="D497" s="653"/>
      <c r="E497" s="653"/>
      <c r="F497" s="653"/>
      <c r="G497" s="653"/>
      <c r="H497" s="653"/>
      <c r="I497" s="653"/>
      <c r="J497" s="653"/>
      <c r="K497" s="653"/>
      <c r="L497" s="653"/>
      <c r="M497" s="653"/>
      <c r="N497" s="653"/>
      <c r="O497" s="653"/>
      <c r="P497" s="653"/>
      <c r="Q497" s="653"/>
      <c r="R497" s="653"/>
      <c r="S497" s="653"/>
      <c r="T497" s="653"/>
      <c r="U497" s="653"/>
      <c r="V497" s="653"/>
      <c r="W497" s="653"/>
      <c r="X497" s="653"/>
      <c r="Y497" s="653"/>
      <c r="Z497" s="653"/>
      <c r="AA497" s="653"/>
      <c r="AH497" s="653"/>
      <c r="AI497" s="653"/>
      <c r="AJ497" s="653"/>
      <c r="AK497" s="653"/>
    </row>
    <row r="498" spans="1:37">
      <c r="A498" s="653"/>
      <c r="B498" s="651"/>
      <c r="C498" s="653"/>
      <c r="D498" s="653"/>
      <c r="E498" s="653"/>
      <c r="F498" s="653"/>
      <c r="G498" s="653"/>
      <c r="H498" s="653"/>
      <c r="I498" s="653"/>
      <c r="J498" s="653"/>
      <c r="K498" s="653"/>
      <c r="L498" s="653"/>
      <c r="M498" s="653"/>
      <c r="N498" s="653"/>
      <c r="O498" s="653"/>
      <c r="P498" s="653"/>
      <c r="Q498" s="653"/>
      <c r="R498" s="653"/>
      <c r="S498" s="653"/>
      <c r="T498" s="653"/>
      <c r="U498" s="653"/>
      <c r="V498" s="653"/>
      <c r="W498" s="653"/>
      <c r="X498" s="653"/>
      <c r="Y498" s="653"/>
      <c r="Z498" s="653"/>
      <c r="AA498" s="653"/>
      <c r="AH498" s="653"/>
      <c r="AI498" s="653"/>
      <c r="AJ498" s="653"/>
      <c r="AK498" s="653"/>
    </row>
    <row r="499" spans="1:37">
      <c r="A499" s="653"/>
      <c r="B499" s="651"/>
      <c r="C499" s="653"/>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H499" s="653"/>
      <c r="AI499" s="653"/>
      <c r="AJ499" s="653"/>
      <c r="AK499" s="653"/>
    </row>
    <row r="500" spans="1:37">
      <c r="A500" s="653"/>
      <c r="B500" s="651"/>
      <c r="C500" s="653"/>
      <c r="D500" s="653"/>
      <c r="E500" s="653"/>
      <c r="F500" s="653"/>
      <c r="G500" s="653"/>
      <c r="H500" s="653"/>
      <c r="I500" s="653"/>
      <c r="J500" s="653"/>
      <c r="K500" s="653"/>
      <c r="L500" s="653"/>
      <c r="M500" s="653"/>
      <c r="N500" s="653"/>
      <c r="O500" s="653"/>
      <c r="P500" s="653"/>
      <c r="Q500" s="653"/>
      <c r="R500" s="653"/>
      <c r="S500" s="653"/>
      <c r="T500" s="653"/>
      <c r="U500" s="653"/>
      <c r="V500" s="653"/>
      <c r="W500" s="653"/>
      <c r="X500" s="653"/>
      <c r="Y500" s="653"/>
      <c r="Z500" s="653"/>
      <c r="AA500" s="653"/>
      <c r="AH500" s="653"/>
      <c r="AI500" s="653"/>
      <c r="AJ500" s="653"/>
      <c r="AK500" s="653"/>
    </row>
    <row r="501" spans="1:37">
      <c r="A501" s="653"/>
      <c r="B501" s="651"/>
      <c r="C501" s="653"/>
      <c r="D501" s="653"/>
      <c r="E501" s="653"/>
      <c r="F501" s="653"/>
      <c r="G501" s="653"/>
      <c r="H501" s="653"/>
      <c r="I501" s="653"/>
      <c r="J501" s="653"/>
      <c r="K501" s="653"/>
      <c r="L501" s="653"/>
      <c r="M501" s="653"/>
      <c r="N501" s="653"/>
      <c r="O501" s="653"/>
      <c r="P501" s="653"/>
      <c r="Q501" s="653"/>
      <c r="R501" s="653"/>
      <c r="S501" s="653"/>
      <c r="T501" s="653"/>
      <c r="U501" s="653"/>
      <c r="V501" s="653"/>
      <c r="W501" s="653"/>
      <c r="X501" s="653"/>
      <c r="Y501" s="653"/>
      <c r="Z501" s="653"/>
      <c r="AA501" s="653"/>
      <c r="AH501" s="653"/>
      <c r="AI501" s="653"/>
      <c r="AJ501" s="653"/>
      <c r="AK501" s="653"/>
    </row>
    <row r="502" spans="1:37">
      <c r="A502" s="653"/>
      <c r="B502" s="651"/>
      <c r="C502" s="653"/>
      <c r="D502" s="653"/>
      <c r="E502" s="653"/>
      <c r="F502" s="653"/>
      <c r="G502" s="653"/>
      <c r="H502" s="653"/>
      <c r="I502" s="653"/>
      <c r="J502" s="653"/>
      <c r="K502" s="653"/>
      <c r="L502" s="653"/>
      <c r="M502" s="653"/>
      <c r="N502" s="653"/>
      <c r="O502" s="653"/>
      <c r="P502" s="653"/>
      <c r="Q502" s="653"/>
      <c r="R502" s="653"/>
      <c r="S502" s="653"/>
      <c r="T502" s="653"/>
      <c r="U502" s="653"/>
      <c r="V502" s="653"/>
      <c r="W502" s="653"/>
      <c r="X502" s="653"/>
      <c r="Y502" s="653"/>
      <c r="Z502" s="653"/>
      <c r="AA502" s="653"/>
      <c r="AH502" s="653"/>
      <c r="AI502" s="653"/>
      <c r="AJ502" s="653"/>
      <c r="AK502" s="653"/>
    </row>
    <row r="503" spans="1:37">
      <c r="A503" s="653"/>
      <c r="B503" s="651"/>
      <c r="C503" s="653"/>
      <c r="D503" s="653"/>
      <c r="E503" s="653"/>
      <c r="F503" s="653"/>
      <c r="G503" s="653"/>
      <c r="H503" s="653"/>
      <c r="I503" s="653"/>
      <c r="J503" s="653"/>
      <c r="K503" s="653"/>
      <c r="L503" s="653"/>
      <c r="M503" s="653"/>
      <c r="N503" s="653"/>
      <c r="O503" s="653"/>
      <c r="P503" s="653"/>
      <c r="Q503" s="653"/>
      <c r="R503" s="653"/>
      <c r="S503" s="653"/>
      <c r="T503" s="653"/>
      <c r="U503" s="653"/>
      <c r="V503" s="653"/>
      <c r="W503" s="653"/>
      <c r="X503" s="653"/>
      <c r="Y503" s="653"/>
      <c r="Z503" s="653"/>
      <c r="AA503" s="653"/>
      <c r="AH503" s="653"/>
      <c r="AI503" s="653"/>
      <c r="AJ503" s="653"/>
      <c r="AK503" s="653"/>
    </row>
    <row r="504" spans="1:37">
      <c r="A504" s="653"/>
      <c r="B504" s="651"/>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H504" s="653"/>
      <c r="AI504" s="653"/>
      <c r="AJ504" s="653"/>
      <c r="AK504" s="653"/>
    </row>
    <row r="505" spans="1:37">
      <c r="A505" s="653"/>
      <c r="B505" s="651"/>
      <c r="C505" s="653"/>
      <c r="D505" s="653"/>
      <c r="E505" s="653"/>
      <c r="F505" s="653"/>
      <c r="G505" s="653"/>
      <c r="H505" s="653"/>
      <c r="I505" s="653"/>
      <c r="J505" s="653"/>
      <c r="K505" s="653"/>
      <c r="L505" s="653"/>
      <c r="M505" s="653"/>
      <c r="N505" s="653"/>
      <c r="O505" s="653"/>
      <c r="P505" s="653"/>
      <c r="Q505" s="653"/>
      <c r="R505" s="653"/>
      <c r="S505" s="653"/>
      <c r="T505" s="653"/>
      <c r="U505" s="653"/>
      <c r="V505" s="653"/>
      <c r="W505" s="653"/>
      <c r="X505" s="653"/>
      <c r="Y505" s="653"/>
      <c r="Z505" s="653"/>
      <c r="AA505" s="653"/>
      <c r="AH505" s="653"/>
      <c r="AI505" s="653"/>
      <c r="AJ505" s="653"/>
      <c r="AK505" s="653"/>
    </row>
    <row r="506" spans="1:37">
      <c r="A506" s="653"/>
      <c r="B506" s="651"/>
      <c r="C506" s="653"/>
      <c r="D506" s="653"/>
      <c r="E506" s="653"/>
      <c r="F506" s="653"/>
      <c r="G506" s="653"/>
      <c r="H506" s="653"/>
      <c r="I506" s="653"/>
      <c r="J506" s="653"/>
      <c r="K506" s="653"/>
      <c r="L506" s="653"/>
      <c r="M506" s="653"/>
      <c r="N506" s="653"/>
      <c r="O506" s="653"/>
      <c r="P506" s="653"/>
      <c r="Q506" s="653"/>
      <c r="R506" s="653"/>
      <c r="S506" s="653"/>
      <c r="T506" s="653"/>
      <c r="U506" s="653"/>
      <c r="V506" s="653"/>
      <c r="W506" s="653"/>
      <c r="X506" s="653"/>
      <c r="Y506" s="653"/>
      <c r="Z506" s="653"/>
      <c r="AA506" s="653"/>
      <c r="AH506" s="653"/>
      <c r="AI506" s="653"/>
      <c r="AJ506" s="653"/>
      <c r="AK506" s="653"/>
    </row>
    <row r="507" spans="1:37">
      <c r="A507" s="653"/>
      <c r="B507" s="651"/>
      <c r="C507" s="653"/>
      <c r="D507" s="653"/>
      <c r="E507" s="653"/>
      <c r="F507" s="653"/>
      <c r="G507" s="653"/>
      <c r="H507" s="653"/>
      <c r="I507" s="653"/>
      <c r="J507" s="653"/>
      <c r="K507" s="653"/>
      <c r="L507" s="653"/>
      <c r="M507" s="653"/>
      <c r="N507" s="653"/>
      <c r="O507" s="653"/>
      <c r="P507" s="653"/>
      <c r="Q507" s="653"/>
      <c r="R507" s="653"/>
      <c r="S507" s="653"/>
      <c r="T507" s="653"/>
      <c r="U507" s="653"/>
      <c r="V507" s="653"/>
      <c r="W507" s="653"/>
      <c r="X507" s="653"/>
      <c r="Y507" s="653"/>
      <c r="Z507" s="653"/>
      <c r="AA507" s="653"/>
      <c r="AH507" s="653"/>
      <c r="AI507" s="653"/>
      <c r="AJ507" s="653"/>
      <c r="AK507" s="653"/>
    </row>
    <row r="508" spans="1:37">
      <c r="A508" s="653"/>
      <c r="B508" s="651"/>
      <c r="C508" s="653"/>
      <c r="D508" s="653"/>
      <c r="E508" s="653"/>
      <c r="F508" s="653"/>
      <c r="G508" s="653"/>
      <c r="H508" s="653"/>
      <c r="I508" s="653"/>
      <c r="J508" s="653"/>
      <c r="K508" s="653"/>
      <c r="L508" s="653"/>
      <c r="M508" s="653"/>
      <c r="N508" s="653"/>
      <c r="O508" s="653"/>
      <c r="P508" s="653"/>
      <c r="Q508" s="653"/>
      <c r="R508" s="653"/>
      <c r="S508" s="653"/>
      <c r="T508" s="653"/>
      <c r="U508" s="653"/>
      <c r="V508" s="653"/>
      <c r="W508" s="653"/>
      <c r="X508" s="653"/>
      <c r="Y508" s="653"/>
      <c r="Z508" s="653"/>
      <c r="AA508" s="653"/>
      <c r="AH508" s="653"/>
      <c r="AI508" s="653"/>
      <c r="AJ508" s="653"/>
      <c r="AK508" s="653"/>
    </row>
    <row r="509" spans="1:37">
      <c r="A509" s="653"/>
      <c r="B509" s="651"/>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H509" s="653"/>
      <c r="AI509" s="653"/>
      <c r="AJ509" s="653"/>
      <c r="AK509" s="653"/>
    </row>
    <row r="510" spans="1:37">
      <c r="A510" s="653"/>
      <c r="B510" s="651"/>
      <c r="C510" s="653"/>
      <c r="D510" s="653"/>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H510" s="653"/>
      <c r="AI510" s="653"/>
      <c r="AJ510" s="653"/>
      <c r="AK510" s="653"/>
    </row>
    <row r="511" spans="1:37">
      <c r="A511" s="653"/>
      <c r="B511" s="651"/>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H511" s="653"/>
      <c r="AI511" s="653"/>
      <c r="AJ511" s="653"/>
      <c r="AK511" s="653"/>
    </row>
    <row r="512" spans="1:37">
      <c r="A512" s="653"/>
      <c r="B512" s="651"/>
      <c r="C512" s="653"/>
      <c r="D512" s="653"/>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H512" s="653"/>
      <c r="AI512" s="653"/>
      <c r="AJ512" s="653"/>
      <c r="AK512" s="653"/>
    </row>
    <row r="513" spans="1:37">
      <c r="A513" s="653"/>
      <c r="B513" s="651"/>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H513" s="653"/>
      <c r="AI513" s="653"/>
      <c r="AJ513" s="653"/>
      <c r="AK513" s="653"/>
    </row>
    <row r="514" spans="1:37">
      <c r="A514" s="653"/>
      <c r="B514" s="651"/>
      <c r="C514" s="653"/>
      <c r="D514" s="653"/>
      <c r="E514" s="653"/>
      <c r="F514" s="653"/>
      <c r="G514" s="653"/>
      <c r="H514" s="653"/>
      <c r="I514" s="653"/>
      <c r="J514" s="653"/>
      <c r="K514" s="653"/>
      <c r="L514" s="653"/>
      <c r="M514" s="653"/>
      <c r="N514" s="653"/>
      <c r="O514" s="653"/>
      <c r="P514" s="653"/>
      <c r="Q514" s="653"/>
      <c r="R514" s="653"/>
      <c r="S514" s="653"/>
      <c r="T514" s="653"/>
      <c r="U514" s="653"/>
      <c r="V514" s="653"/>
      <c r="W514" s="653"/>
      <c r="X514" s="653"/>
      <c r="Y514" s="653"/>
      <c r="Z514" s="653"/>
      <c r="AA514" s="653"/>
      <c r="AH514" s="653"/>
      <c r="AI514" s="653"/>
      <c r="AJ514" s="653"/>
      <c r="AK514" s="653"/>
    </row>
    <row r="515" spans="1:37">
      <c r="A515" s="653"/>
      <c r="B515" s="651"/>
      <c r="C515" s="653"/>
      <c r="D515" s="653"/>
      <c r="E515" s="653"/>
      <c r="F515" s="653"/>
      <c r="G515" s="653"/>
      <c r="H515" s="653"/>
      <c r="I515" s="653"/>
      <c r="J515" s="653"/>
      <c r="K515" s="653"/>
      <c r="L515" s="653"/>
      <c r="M515" s="653"/>
      <c r="N515" s="653"/>
      <c r="O515" s="653"/>
      <c r="P515" s="653"/>
      <c r="Q515" s="653"/>
      <c r="R515" s="653"/>
      <c r="S515" s="653"/>
      <c r="T515" s="653"/>
      <c r="U515" s="653"/>
      <c r="V515" s="653"/>
      <c r="W515" s="653"/>
      <c r="X515" s="653"/>
      <c r="Y515" s="653"/>
      <c r="Z515" s="653"/>
      <c r="AA515" s="653"/>
      <c r="AH515" s="653"/>
      <c r="AI515" s="653"/>
      <c r="AJ515" s="653"/>
      <c r="AK515" s="653"/>
    </row>
    <row r="516" spans="1:37">
      <c r="A516" s="653"/>
      <c r="B516" s="651"/>
      <c r="C516" s="653"/>
      <c r="D516" s="653"/>
      <c r="E516" s="653"/>
      <c r="F516" s="653"/>
      <c r="G516" s="653"/>
      <c r="H516" s="653"/>
      <c r="I516" s="653"/>
      <c r="J516" s="653"/>
      <c r="K516" s="653"/>
      <c r="L516" s="653"/>
      <c r="M516" s="653"/>
      <c r="N516" s="653"/>
      <c r="O516" s="653"/>
      <c r="P516" s="653"/>
      <c r="Q516" s="653"/>
      <c r="R516" s="653"/>
      <c r="S516" s="653"/>
      <c r="T516" s="653"/>
      <c r="U516" s="653"/>
      <c r="V516" s="653"/>
      <c r="W516" s="653"/>
      <c r="X516" s="653"/>
      <c r="Y516" s="653"/>
      <c r="Z516" s="653"/>
      <c r="AA516" s="653"/>
      <c r="AH516" s="653"/>
      <c r="AI516" s="653"/>
      <c r="AJ516" s="653"/>
      <c r="AK516" s="653"/>
    </row>
    <row r="517" spans="1:37">
      <c r="A517" s="653"/>
      <c r="B517" s="651"/>
      <c r="C517" s="653"/>
      <c r="D517" s="653"/>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H517" s="653"/>
      <c r="AI517" s="653"/>
      <c r="AJ517" s="653"/>
      <c r="AK517" s="653"/>
    </row>
    <row r="518" spans="1:37">
      <c r="A518" s="653"/>
      <c r="B518" s="651"/>
      <c r="C518" s="653"/>
      <c r="D518" s="653"/>
      <c r="E518" s="653"/>
      <c r="F518" s="653"/>
      <c r="G518" s="653"/>
      <c r="H518" s="653"/>
      <c r="I518" s="653"/>
      <c r="J518" s="653"/>
      <c r="K518" s="653"/>
      <c r="L518" s="653"/>
      <c r="M518" s="653"/>
      <c r="N518" s="653"/>
      <c r="O518" s="653"/>
      <c r="P518" s="653"/>
      <c r="Q518" s="653"/>
      <c r="R518" s="653"/>
      <c r="S518" s="653"/>
      <c r="T518" s="653"/>
      <c r="U518" s="653"/>
      <c r="V518" s="653"/>
      <c r="W518" s="653"/>
      <c r="X518" s="653"/>
      <c r="Y518" s="653"/>
      <c r="Z518" s="653"/>
      <c r="AA518" s="653"/>
      <c r="AH518" s="653"/>
      <c r="AI518" s="653"/>
      <c r="AJ518" s="653"/>
      <c r="AK518" s="653"/>
    </row>
    <row r="519" spans="1:37">
      <c r="A519" s="653"/>
      <c r="B519" s="651"/>
      <c r="C519" s="653"/>
      <c r="D519" s="653"/>
      <c r="E519" s="653"/>
      <c r="F519" s="653"/>
      <c r="G519" s="653"/>
      <c r="H519" s="653"/>
      <c r="I519" s="653"/>
      <c r="J519" s="653"/>
      <c r="K519" s="653"/>
      <c r="L519" s="653"/>
      <c r="M519" s="653"/>
      <c r="N519" s="653"/>
      <c r="O519" s="653"/>
      <c r="P519" s="653"/>
      <c r="Q519" s="653"/>
      <c r="R519" s="653"/>
      <c r="S519" s="653"/>
      <c r="T519" s="653"/>
      <c r="U519" s="653"/>
      <c r="V519" s="653"/>
      <c r="W519" s="653"/>
      <c r="X519" s="653"/>
      <c r="Y519" s="653"/>
      <c r="Z519" s="653"/>
      <c r="AA519" s="653"/>
      <c r="AH519" s="653"/>
      <c r="AI519" s="653"/>
      <c r="AJ519" s="653"/>
      <c r="AK519" s="653"/>
    </row>
    <row r="520" spans="1:37">
      <c r="A520" s="653"/>
      <c r="B520" s="651"/>
      <c r="C520" s="653"/>
      <c r="D520" s="653"/>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H520" s="653"/>
      <c r="AI520" s="653"/>
      <c r="AJ520" s="653"/>
      <c r="AK520" s="653"/>
    </row>
    <row r="521" spans="1:37">
      <c r="A521" s="653"/>
      <c r="B521" s="651"/>
      <c r="C521" s="653"/>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H521" s="653"/>
      <c r="AI521" s="653"/>
      <c r="AJ521" s="653"/>
      <c r="AK521" s="653"/>
    </row>
    <row r="522" spans="1:37">
      <c r="A522" s="653"/>
      <c r="B522" s="651"/>
      <c r="C522" s="653"/>
      <c r="D522" s="653"/>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H522" s="653"/>
      <c r="AI522" s="653"/>
      <c r="AJ522" s="653"/>
      <c r="AK522" s="653"/>
    </row>
    <row r="523" spans="1:37">
      <c r="A523" s="653"/>
      <c r="B523" s="651"/>
      <c r="C523" s="653"/>
      <c r="D523" s="653"/>
      <c r="E523" s="653"/>
      <c r="F523" s="653"/>
      <c r="G523" s="653"/>
      <c r="H523" s="653"/>
      <c r="I523" s="653"/>
      <c r="J523" s="653"/>
      <c r="K523" s="653"/>
      <c r="L523" s="653"/>
      <c r="M523" s="653"/>
      <c r="N523" s="653"/>
      <c r="O523" s="653"/>
      <c r="P523" s="653"/>
      <c r="Q523" s="653"/>
      <c r="R523" s="653"/>
      <c r="S523" s="653"/>
      <c r="T523" s="653"/>
      <c r="U523" s="653"/>
      <c r="V523" s="653"/>
      <c r="W523" s="653"/>
      <c r="X523" s="653"/>
      <c r="Y523" s="653"/>
      <c r="Z523" s="653"/>
      <c r="AA523" s="653"/>
      <c r="AH523" s="653"/>
      <c r="AI523" s="653"/>
      <c r="AJ523" s="653"/>
      <c r="AK523" s="653"/>
    </row>
    <row r="524" spans="1:37">
      <c r="A524" s="653"/>
      <c r="B524" s="651"/>
      <c r="C524" s="653"/>
      <c r="D524" s="653"/>
      <c r="E524" s="653"/>
      <c r="F524" s="653"/>
      <c r="G524" s="653"/>
      <c r="H524" s="653"/>
      <c r="I524" s="653"/>
      <c r="J524" s="653"/>
      <c r="K524" s="653"/>
      <c r="L524" s="653"/>
      <c r="M524" s="653"/>
      <c r="N524" s="653"/>
      <c r="O524" s="653"/>
      <c r="P524" s="653"/>
      <c r="Q524" s="653"/>
      <c r="R524" s="653"/>
      <c r="S524" s="653"/>
      <c r="T524" s="653"/>
      <c r="U524" s="653"/>
      <c r="V524" s="653"/>
      <c r="W524" s="653"/>
      <c r="X524" s="653"/>
      <c r="Y524" s="653"/>
      <c r="Z524" s="653"/>
      <c r="AA524" s="653"/>
      <c r="AH524" s="653"/>
      <c r="AI524" s="653"/>
      <c r="AJ524" s="653"/>
      <c r="AK524" s="653"/>
    </row>
    <row r="525" spans="1:37">
      <c r="A525" s="653"/>
      <c r="B525" s="651"/>
      <c r="C525" s="653"/>
      <c r="D525" s="653"/>
      <c r="E525" s="653"/>
      <c r="F525" s="653"/>
      <c r="G525" s="653"/>
      <c r="H525" s="653"/>
      <c r="I525" s="653"/>
      <c r="J525" s="653"/>
      <c r="K525" s="653"/>
      <c r="L525" s="653"/>
      <c r="M525" s="653"/>
      <c r="N525" s="653"/>
      <c r="O525" s="653"/>
      <c r="P525" s="653"/>
      <c r="Q525" s="653"/>
      <c r="R525" s="653"/>
      <c r="S525" s="653"/>
      <c r="T525" s="653"/>
      <c r="U525" s="653"/>
      <c r="V525" s="653"/>
      <c r="W525" s="653"/>
      <c r="X525" s="653"/>
      <c r="Y525" s="653"/>
      <c r="Z525" s="653"/>
      <c r="AA525" s="653"/>
      <c r="AH525" s="653"/>
      <c r="AI525" s="653"/>
      <c r="AJ525" s="653"/>
      <c r="AK525" s="653"/>
    </row>
    <row r="526" spans="1:37">
      <c r="A526" s="653"/>
      <c r="B526" s="651"/>
      <c r="C526" s="653"/>
      <c r="D526" s="653"/>
      <c r="E526" s="653"/>
      <c r="F526" s="653"/>
      <c r="G526" s="653"/>
      <c r="H526" s="653"/>
      <c r="I526" s="653"/>
      <c r="J526" s="653"/>
      <c r="K526" s="653"/>
      <c r="L526" s="653"/>
      <c r="M526" s="653"/>
      <c r="N526" s="653"/>
      <c r="O526" s="653"/>
      <c r="P526" s="653"/>
      <c r="Q526" s="653"/>
      <c r="R526" s="653"/>
      <c r="S526" s="653"/>
      <c r="T526" s="653"/>
      <c r="U526" s="653"/>
      <c r="V526" s="653"/>
      <c r="W526" s="653"/>
      <c r="X526" s="653"/>
      <c r="Y526" s="653"/>
      <c r="Z526" s="653"/>
      <c r="AA526" s="653"/>
      <c r="AH526" s="653"/>
      <c r="AI526" s="653"/>
      <c r="AJ526" s="653"/>
      <c r="AK526" s="653"/>
    </row>
    <row r="527" spans="1:37">
      <c r="A527" s="653"/>
      <c r="B527" s="651"/>
      <c r="C527" s="653"/>
      <c r="D527" s="653"/>
      <c r="E527" s="653"/>
      <c r="F527" s="653"/>
      <c r="G527" s="653"/>
      <c r="H527" s="653"/>
      <c r="I527" s="653"/>
      <c r="J527" s="653"/>
      <c r="K527" s="653"/>
      <c r="L527" s="653"/>
      <c r="M527" s="653"/>
      <c r="N527" s="653"/>
      <c r="O527" s="653"/>
      <c r="P527" s="653"/>
      <c r="Q527" s="653"/>
      <c r="R527" s="653"/>
      <c r="S527" s="653"/>
      <c r="T527" s="653"/>
      <c r="U527" s="653"/>
      <c r="V527" s="653"/>
      <c r="W527" s="653"/>
      <c r="X527" s="653"/>
      <c r="Y527" s="653"/>
      <c r="Z527" s="653"/>
      <c r="AA527" s="653"/>
      <c r="AH527" s="653"/>
      <c r="AI527" s="653"/>
      <c r="AJ527" s="653"/>
      <c r="AK527" s="653"/>
    </row>
    <row r="528" spans="1:37">
      <c r="A528" s="653"/>
      <c r="B528" s="651"/>
      <c r="C528" s="653"/>
      <c r="D528" s="653"/>
      <c r="E528" s="653"/>
      <c r="F528" s="653"/>
      <c r="G528" s="653"/>
      <c r="H528" s="653"/>
      <c r="I528" s="653"/>
      <c r="J528" s="653"/>
      <c r="K528" s="653"/>
      <c r="L528" s="653"/>
      <c r="M528" s="653"/>
      <c r="N528" s="653"/>
      <c r="O528" s="653"/>
      <c r="P528" s="653"/>
      <c r="Q528" s="653"/>
      <c r="R528" s="653"/>
      <c r="S528" s="653"/>
      <c r="T528" s="653"/>
      <c r="U528" s="653"/>
      <c r="V528" s="653"/>
      <c r="W528" s="653"/>
      <c r="X528" s="653"/>
      <c r="Y528" s="653"/>
      <c r="Z528" s="653"/>
      <c r="AA528" s="653"/>
      <c r="AH528" s="653"/>
      <c r="AI528" s="653"/>
      <c r="AJ528" s="653"/>
      <c r="AK528" s="653"/>
    </row>
    <row r="529" spans="1:37">
      <c r="A529" s="653"/>
      <c r="B529" s="651"/>
      <c r="C529" s="653"/>
      <c r="D529" s="653"/>
      <c r="E529" s="653"/>
      <c r="F529" s="653"/>
      <c r="G529" s="653"/>
      <c r="H529" s="653"/>
      <c r="I529" s="653"/>
      <c r="J529" s="653"/>
      <c r="K529" s="653"/>
      <c r="L529" s="653"/>
      <c r="M529" s="653"/>
      <c r="N529" s="653"/>
      <c r="O529" s="653"/>
      <c r="P529" s="653"/>
      <c r="Q529" s="653"/>
      <c r="R529" s="653"/>
      <c r="S529" s="653"/>
      <c r="T529" s="653"/>
      <c r="U529" s="653"/>
      <c r="V529" s="653"/>
      <c r="W529" s="653"/>
      <c r="X529" s="653"/>
      <c r="Y529" s="653"/>
      <c r="Z529" s="653"/>
      <c r="AA529" s="653"/>
      <c r="AH529" s="653"/>
      <c r="AI529" s="653"/>
      <c r="AJ529" s="653"/>
      <c r="AK529" s="653"/>
    </row>
    <row r="530" spans="1:37">
      <c r="A530" s="653"/>
      <c r="B530" s="651"/>
      <c r="C530" s="653"/>
      <c r="D530" s="653"/>
      <c r="E530" s="653"/>
      <c r="F530" s="653"/>
      <c r="G530" s="653"/>
      <c r="H530" s="653"/>
      <c r="I530" s="653"/>
      <c r="J530" s="653"/>
      <c r="K530" s="653"/>
      <c r="L530" s="653"/>
      <c r="M530" s="653"/>
      <c r="N530" s="653"/>
      <c r="O530" s="653"/>
      <c r="P530" s="653"/>
      <c r="Q530" s="653"/>
      <c r="R530" s="653"/>
      <c r="S530" s="653"/>
      <c r="T530" s="653"/>
      <c r="U530" s="653"/>
      <c r="V530" s="653"/>
      <c r="W530" s="653"/>
      <c r="X530" s="653"/>
      <c r="Y530" s="653"/>
      <c r="Z530" s="653"/>
      <c r="AA530" s="653"/>
      <c r="AH530" s="653"/>
      <c r="AI530" s="653"/>
      <c r="AJ530" s="653"/>
      <c r="AK530" s="653"/>
    </row>
    <row r="531" spans="1:37">
      <c r="A531" s="653"/>
      <c r="B531" s="651"/>
      <c r="C531" s="653"/>
      <c r="D531" s="653"/>
      <c r="E531" s="653"/>
      <c r="F531" s="653"/>
      <c r="G531" s="653"/>
      <c r="H531" s="653"/>
      <c r="I531" s="653"/>
      <c r="J531" s="653"/>
      <c r="K531" s="653"/>
      <c r="L531" s="653"/>
      <c r="M531" s="653"/>
      <c r="N531" s="653"/>
      <c r="O531" s="653"/>
      <c r="P531" s="653"/>
      <c r="Q531" s="653"/>
      <c r="R531" s="653"/>
      <c r="S531" s="653"/>
      <c r="T531" s="653"/>
      <c r="U531" s="653"/>
      <c r="V531" s="653"/>
      <c r="W531" s="653"/>
      <c r="X531" s="653"/>
      <c r="Y531" s="653"/>
      <c r="Z531" s="653"/>
      <c r="AA531" s="653"/>
      <c r="AH531" s="653"/>
      <c r="AI531" s="653"/>
      <c r="AJ531" s="653"/>
      <c r="AK531" s="653"/>
    </row>
    <row r="532" spans="1:37">
      <c r="A532" s="653"/>
      <c r="B532" s="651"/>
      <c r="C532" s="653"/>
      <c r="D532" s="653"/>
      <c r="E532" s="653"/>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H532" s="653"/>
      <c r="AI532" s="653"/>
      <c r="AJ532" s="653"/>
      <c r="AK532" s="653"/>
    </row>
    <row r="533" spans="1:37">
      <c r="A533" s="653"/>
      <c r="B533" s="651"/>
      <c r="C533" s="653"/>
      <c r="D533" s="653"/>
      <c r="E533" s="653"/>
      <c r="F533" s="653"/>
      <c r="G533" s="653"/>
      <c r="H533" s="653"/>
      <c r="I533" s="653"/>
      <c r="J533" s="653"/>
      <c r="K533" s="653"/>
      <c r="L533" s="653"/>
      <c r="M533" s="653"/>
      <c r="N533" s="653"/>
      <c r="O533" s="653"/>
      <c r="P533" s="653"/>
      <c r="Q533" s="653"/>
      <c r="R533" s="653"/>
      <c r="S533" s="653"/>
      <c r="T533" s="653"/>
      <c r="U533" s="653"/>
      <c r="V533" s="653"/>
      <c r="W533" s="653"/>
      <c r="X533" s="653"/>
      <c r="Y533" s="653"/>
      <c r="Z533" s="653"/>
      <c r="AA533" s="653"/>
      <c r="AH533" s="653"/>
      <c r="AI533" s="653"/>
      <c r="AJ533" s="653"/>
      <c r="AK533" s="653"/>
    </row>
    <row r="534" spans="1:37">
      <c r="A534" s="653"/>
      <c r="B534" s="651"/>
      <c r="C534" s="653"/>
      <c r="D534" s="653"/>
      <c r="E534" s="653"/>
      <c r="F534" s="653"/>
      <c r="G534" s="653"/>
      <c r="H534" s="653"/>
      <c r="I534" s="653"/>
      <c r="J534" s="653"/>
      <c r="K534" s="653"/>
      <c r="L534" s="653"/>
      <c r="M534" s="653"/>
      <c r="N534" s="653"/>
      <c r="O534" s="653"/>
      <c r="P534" s="653"/>
      <c r="Q534" s="653"/>
      <c r="R534" s="653"/>
      <c r="S534" s="653"/>
      <c r="T534" s="653"/>
      <c r="U534" s="653"/>
      <c r="V534" s="653"/>
      <c r="W534" s="653"/>
      <c r="X534" s="653"/>
      <c r="Y534" s="653"/>
      <c r="Z534" s="653"/>
      <c r="AA534" s="653"/>
      <c r="AH534" s="653"/>
      <c r="AI534" s="653"/>
      <c r="AJ534" s="653"/>
      <c r="AK534" s="653"/>
    </row>
    <row r="535" spans="1:37">
      <c r="A535" s="653"/>
      <c r="B535" s="651"/>
      <c r="C535" s="653"/>
      <c r="D535" s="653"/>
      <c r="E535" s="653"/>
      <c r="F535" s="653"/>
      <c r="G535" s="653"/>
      <c r="H535" s="653"/>
      <c r="I535" s="653"/>
      <c r="J535" s="653"/>
      <c r="K535" s="653"/>
      <c r="L535" s="653"/>
      <c r="M535" s="653"/>
      <c r="N535" s="653"/>
      <c r="O535" s="653"/>
      <c r="P535" s="653"/>
      <c r="Q535" s="653"/>
      <c r="R535" s="653"/>
      <c r="S535" s="653"/>
      <c r="T535" s="653"/>
      <c r="U535" s="653"/>
      <c r="V535" s="653"/>
      <c r="W535" s="653"/>
      <c r="X535" s="653"/>
      <c r="Y535" s="653"/>
      <c r="Z535" s="653"/>
      <c r="AA535" s="653"/>
      <c r="AH535" s="653"/>
      <c r="AI535" s="653"/>
      <c r="AJ535" s="653"/>
      <c r="AK535" s="653"/>
    </row>
    <row r="536" spans="1:37">
      <c r="A536" s="653"/>
      <c r="B536" s="651"/>
      <c r="C536" s="653"/>
      <c r="D536" s="653"/>
      <c r="E536" s="653"/>
      <c r="F536" s="653"/>
      <c r="G536" s="653"/>
      <c r="H536" s="653"/>
      <c r="I536" s="653"/>
      <c r="J536" s="653"/>
      <c r="K536" s="653"/>
      <c r="L536" s="653"/>
      <c r="M536" s="653"/>
      <c r="N536" s="653"/>
      <c r="O536" s="653"/>
      <c r="P536" s="653"/>
      <c r="Q536" s="653"/>
      <c r="R536" s="653"/>
      <c r="S536" s="653"/>
      <c r="T536" s="653"/>
      <c r="U536" s="653"/>
      <c r="V536" s="653"/>
      <c r="W536" s="653"/>
      <c r="X536" s="653"/>
      <c r="Y536" s="653"/>
      <c r="Z536" s="653"/>
      <c r="AA536" s="653"/>
      <c r="AH536" s="653"/>
      <c r="AI536" s="653"/>
      <c r="AJ536" s="653"/>
      <c r="AK536" s="653"/>
    </row>
    <row r="537" spans="1:37">
      <c r="A537" s="653"/>
      <c r="B537" s="651"/>
      <c r="C537" s="653"/>
      <c r="D537" s="653"/>
      <c r="E537" s="653"/>
      <c r="F537" s="653"/>
      <c r="G537" s="653"/>
      <c r="H537" s="653"/>
      <c r="I537" s="653"/>
      <c r="J537" s="653"/>
      <c r="K537" s="653"/>
      <c r="L537" s="653"/>
      <c r="M537" s="653"/>
      <c r="N537" s="653"/>
      <c r="O537" s="653"/>
      <c r="P537" s="653"/>
      <c r="Q537" s="653"/>
      <c r="R537" s="653"/>
      <c r="S537" s="653"/>
      <c r="T537" s="653"/>
      <c r="U537" s="653"/>
      <c r="V537" s="653"/>
      <c r="W537" s="653"/>
      <c r="X537" s="653"/>
      <c r="Y537" s="653"/>
      <c r="Z537" s="653"/>
      <c r="AA537" s="653"/>
      <c r="AH537" s="653"/>
      <c r="AI537" s="653"/>
      <c r="AJ537" s="653"/>
      <c r="AK537" s="653"/>
    </row>
    <row r="538" spans="1:37">
      <c r="A538" s="653"/>
      <c r="B538" s="651"/>
      <c r="C538" s="653"/>
      <c r="D538" s="653"/>
      <c r="E538" s="653"/>
      <c r="F538" s="653"/>
      <c r="G538" s="653"/>
      <c r="H538" s="653"/>
      <c r="I538" s="653"/>
      <c r="J538" s="653"/>
      <c r="K538" s="653"/>
      <c r="L538" s="653"/>
      <c r="M538" s="653"/>
      <c r="N538" s="653"/>
      <c r="O538" s="653"/>
      <c r="P538" s="653"/>
      <c r="Q538" s="653"/>
      <c r="R538" s="653"/>
      <c r="S538" s="653"/>
      <c r="T538" s="653"/>
      <c r="U538" s="653"/>
      <c r="V538" s="653"/>
      <c r="W538" s="653"/>
      <c r="X538" s="653"/>
      <c r="Y538" s="653"/>
      <c r="Z538" s="653"/>
      <c r="AA538" s="653"/>
      <c r="AH538" s="653"/>
      <c r="AI538" s="653"/>
      <c r="AJ538" s="653"/>
      <c r="AK538" s="653"/>
    </row>
    <row r="539" spans="1:37">
      <c r="A539" s="653"/>
      <c r="B539" s="651"/>
      <c r="C539" s="653"/>
      <c r="D539" s="653"/>
      <c r="E539" s="653"/>
      <c r="F539" s="653"/>
      <c r="G539" s="653"/>
      <c r="H539" s="653"/>
      <c r="I539" s="653"/>
      <c r="J539" s="653"/>
      <c r="K539" s="653"/>
      <c r="L539" s="653"/>
      <c r="M539" s="653"/>
      <c r="N539" s="653"/>
      <c r="O539" s="653"/>
      <c r="P539" s="653"/>
      <c r="Q539" s="653"/>
      <c r="R539" s="653"/>
      <c r="S539" s="653"/>
      <c r="T539" s="653"/>
      <c r="U539" s="653"/>
      <c r="V539" s="653"/>
      <c r="W539" s="653"/>
      <c r="X539" s="653"/>
      <c r="Y539" s="653"/>
      <c r="Z539" s="653"/>
      <c r="AA539" s="653"/>
      <c r="AH539" s="653"/>
      <c r="AI539" s="653"/>
      <c r="AJ539" s="653"/>
      <c r="AK539" s="653"/>
    </row>
    <row r="540" spans="1:37">
      <c r="A540" s="653"/>
      <c r="B540" s="651"/>
      <c r="C540" s="653"/>
      <c r="D540" s="653"/>
      <c r="E540" s="653"/>
      <c r="F540" s="653"/>
      <c r="G540" s="653"/>
      <c r="H540" s="653"/>
      <c r="I540" s="653"/>
      <c r="J540" s="653"/>
      <c r="K540" s="653"/>
      <c r="L540" s="653"/>
      <c r="M540" s="653"/>
      <c r="N540" s="653"/>
      <c r="O540" s="653"/>
      <c r="P540" s="653"/>
      <c r="Q540" s="653"/>
      <c r="R540" s="653"/>
      <c r="S540" s="653"/>
      <c r="T540" s="653"/>
      <c r="U540" s="653"/>
      <c r="V540" s="653"/>
      <c r="W540" s="653"/>
      <c r="X540" s="653"/>
      <c r="Y540" s="653"/>
      <c r="Z540" s="653"/>
      <c r="AA540" s="653"/>
      <c r="AH540" s="653"/>
      <c r="AI540" s="653"/>
      <c r="AJ540" s="653"/>
      <c r="AK540" s="653"/>
    </row>
    <row r="541" spans="1:37">
      <c r="A541" s="653"/>
      <c r="B541" s="651"/>
      <c r="C541" s="653"/>
      <c r="D541" s="653"/>
      <c r="E541" s="653"/>
      <c r="F541" s="653"/>
      <c r="G541" s="653"/>
      <c r="H541" s="653"/>
      <c r="I541" s="653"/>
      <c r="J541" s="653"/>
      <c r="K541" s="653"/>
      <c r="L541" s="653"/>
      <c r="M541" s="653"/>
      <c r="N541" s="653"/>
      <c r="O541" s="653"/>
      <c r="P541" s="653"/>
      <c r="Q541" s="653"/>
      <c r="R541" s="653"/>
      <c r="S541" s="653"/>
      <c r="T541" s="653"/>
      <c r="U541" s="653"/>
      <c r="V541" s="653"/>
      <c r="W541" s="653"/>
      <c r="X541" s="653"/>
      <c r="Y541" s="653"/>
      <c r="Z541" s="653"/>
      <c r="AA541" s="653"/>
      <c r="AH541" s="653"/>
      <c r="AI541" s="653"/>
      <c r="AJ541" s="653"/>
      <c r="AK541" s="653"/>
    </row>
    <row r="542" spans="1:37">
      <c r="A542" s="653"/>
      <c r="B542" s="651"/>
      <c r="C542" s="653"/>
      <c r="D542" s="653"/>
      <c r="E542" s="653"/>
      <c r="F542" s="653"/>
      <c r="G542" s="653"/>
      <c r="H542" s="653"/>
      <c r="I542" s="653"/>
      <c r="J542" s="653"/>
      <c r="K542" s="653"/>
      <c r="L542" s="653"/>
      <c r="M542" s="653"/>
      <c r="N542" s="653"/>
      <c r="O542" s="653"/>
      <c r="P542" s="653"/>
      <c r="Q542" s="653"/>
      <c r="R542" s="653"/>
      <c r="S542" s="653"/>
      <c r="T542" s="653"/>
      <c r="U542" s="653"/>
      <c r="V542" s="653"/>
      <c r="W542" s="653"/>
      <c r="X542" s="653"/>
      <c r="Y542" s="653"/>
      <c r="Z542" s="653"/>
      <c r="AA542" s="653"/>
      <c r="AH542" s="653"/>
      <c r="AI542" s="653"/>
      <c r="AJ542" s="653"/>
      <c r="AK542" s="653"/>
    </row>
    <row r="543" spans="1:37">
      <c r="A543" s="653"/>
      <c r="B543" s="651"/>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H543" s="653"/>
      <c r="AI543" s="653"/>
      <c r="AJ543" s="653"/>
      <c r="AK543" s="653"/>
    </row>
    <row r="544" spans="1:37">
      <c r="A544" s="653"/>
      <c r="B544" s="651"/>
      <c r="C544" s="653"/>
      <c r="D544" s="653"/>
      <c r="E544" s="653"/>
      <c r="F544" s="653"/>
      <c r="G544" s="653"/>
      <c r="H544" s="653"/>
      <c r="I544" s="653"/>
      <c r="J544" s="653"/>
      <c r="K544" s="653"/>
      <c r="L544" s="653"/>
      <c r="M544" s="653"/>
      <c r="N544" s="653"/>
      <c r="O544" s="653"/>
      <c r="P544" s="653"/>
      <c r="Q544" s="653"/>
      <c r="R544" s="653"/>
      <c r="S544" s="653"/>
      <c r="T544" s="653"/>
      <c r="U544" s="653"/>
      <c r="V544" s="653"/>
      <c r="W544" s="653"/>
      <c r="X544" s="653"/>
      <c r="Y544" s="653"/>
      <c r="Z544" s="653"/>
      <c r="AA544" s="653"/>
      <c r="AH544" s="653"/>
      <c r="AI544" s="653"/>
      <c r="AJ544" s="653"/>
      <c r="AK544" s="653"/>
    </row>
    <row r="545" spans="1:37">
      <c r="A545" s="653"/>
      <c r="B545" s="651"/>
      <c r="C545" s="653"/>
      <c r="D545" s="653"/>
      <c r="E545" s="653"/>
      <c r="F545" s="653"/>
      <c r="G545" s="653"/>
      <c r="H545" s="653"/>
      <c r="I545" s="653"/>
      <c r="J545" s="653"/>
      <c r="K545" s="653"/>
      <c r="L545" s="653"/>
      <c r="M545" s="653"/>
      <c r="N545" s="653"/>
      <c r="O545" s="653"/>
      <c r="P545" s="653"/>
      <c r="Q545" s="653"/>
      <c r="R545" s="653"/>
      <c r="S545" s="653"/>
      <c r="T545" s="653"/>
      <c r="U545" s="653"/>
      <c r="V545" s="653"/>
      <c r="W545" s="653"/>
      <c r="X545" s="653"/>
      <c r="Y545" s="653"/>
      <c r="Z545" s="653"/>
      <c r="AA545" s="653"/>
      <c r="AH545" s="653"/>
      <c r="AI545" s="653"/>
      <c r="AJ545" s="653"/>
      <c r="AK545" s="653"/>
    </row>
    <row r="546" spans="1:37">
      <c r="A546" s="653"/>
      <c r="B546" s="651"/>
      <c r="C546" s="653"/>
      <c r="D546" s="653"/>
      <c r="E546" s="653"/>
      <c r="F546" s="653"/>
      <c r="G546" s="653"/>
      <c r="H546" s="653"/>
      <c r="I546" s="653"/>
      <c r="J546" s="653"/>
      <c r="K546" s="653"/>
      <c r="L546" s="653"/>
      <c r="M546" s="653"/>
      <c r="N546" s="653"/>
      <c r="O546" s="653"/>
      <c r="P546" s="653"/>
      <c r="Q546" s="653"/>
      <c r="R546" s="653"/>
      <c r="S546" s="653"/>
      <c r="T546" s="653"/>
      <c r="U546" s="653"/>
      <c r="V546" s="653"/>
      <c r="W546" s="653"/>
      <c r="X546" s="653"/>
      <c r="Y546" s="653"/>
      <c r="Z546" s="653"/>
      <c r="AA546" s="653"/>
      <c r="AH546" s="653"/>
      <c r="AI546" s="653"/>
      <c r="AJ546" s="653"/>
      <c r="AK546" s="653"/>
    </row>
    <row r="547" spans="1:37">
      <c r="A547" s="653"/>
      <c r="B547" s="651"/>
      <c r="C547" s="653"/>
      <c r="D547" s="653"/>
      <c r="E547" s="653"/>
      <c r="F547" s="653"/>
      <c r="G547" s="653"/>
      <c r="H547" s="653"/>
      <c r="I547" s="653"/>
      <c r="J547" s="653"/>
      <c r="K547" s="653"/>
      <c r="L547" s="653"/>
      <c r="M547" s="653"/>
      <c r="N547" s="653"/>
      <c r="O547" s="653"/>
      <c r="P547" s="653"/>
      <c r="Q547" s="653"/>
      <c r="R547" s="653"/>
      <c r="S547" s="653"/>
      <c r="T547" s="653"/>
      <c r="U547" s="653"/>
      <c r="V547" s="653"/>
      <c r="W547" s="653"/>
      <c r="X547" s="653"/>
      <c r="Y547" s="653"/>
      <c r="Z547" s="653"/>
      <c r="AA547" s="653"/>
      <c r="AH547" s="653"/>
      <c r="AI547" s="653"/>
      <c r="AJ547" s="653"/>
      <c r="AK547" s="653"/>
    </row>
    <row r="548" spans="1:37">
      <c r="A548" s="653"/>
      <c r="B548" s="651"/>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H548" s="653"/>
      <c r="AI548" s="653"/>
      <c r="AJ548" s="653"/>
      <c r="AK548" s="653"/>
    </row>
    <row r="549" spans="1:37">
      <c r="A549" s="653"/>
      <c r="B549" s="651"/>
      <c r="C549" s="653"/>
      <c r="D549" s="653"/>
      <c r="E549" s="653"/>
      <c r="F549" s="653"/>
      <c r="G549" s="653"/>
      <c r="H549" s="653"/>
      <c r="I549" s="653"/>
      <c r="J549" s="653"/>
      <c r="K549" s="653"/>
      <c r="L549" s="653"/>
      <c r="M549" s="653"/>
      <c r="N549" s="653"/>
      <c r="O549" s="653"/>
      <c r="P549" s="653"/>
      <c r="Q549" s="653"/>
      <c r="R549" s="653"/>
      <c r="S549" s="653"/>
      <c r="T549" s="653"/>
      <c r="U549" s="653"/>
      <c r="V549" s="653"/>
      <c r="W549" s="653"/>
      <c r="X549" s="653"/>
      <c r="Y549" s="653"/>
      <c r="Z549" s="653"/>
      <c r="AA549" s="653"/>
      <c r="AH549" s="653"/>
      <c r="AI549" s="653"/>
      <c r="AJ549" s="653"/>
      <c r="AK549" s="653"/>
    </row>
    <row r="550" spans="1:37">
      <c r="A550" s="653"/>
      <c r="B550" s="651"/>
      <c r="C550" s="653"/>
      <c r="D550" s="653"/>
      <c r="E550" s="653"/>
      <c r="F550" s="653"/>
      <c r="G550" s="653"/>
      <c r="H550" s="653"/>
      <c r="I550" s="653"/>
      <c r="J550" s="653"/>
      <c r="K550" s="653"/>
      <c r="L550" s="653"/>
      <c r="M550" s="653"/>
      <c r="N550" s="653"/>
      <c r="O550" s="653"/>
      <c r="P550" s="653"/>
      <c r="Q550" s="653"/>
      <c r="R550" s="653"/>
      <c r="S550" s="653"/>
      <c r="T550" s="653"/>
      <c r="U550" s="653"/>
      <c r="V550" s="653"/>
      <c r="W550" s="653"/>
      <c r="X550" s="653"/>
      <c r="Y550" s="653"/>
      <c r="Z550" s="653"/>
      <c r="AA550" s="653"/>
      <c r="AH550" s="653"/>
      <c r="AI550" s="653"/>
      <c r="AJ550" s="653"/>
      <c r="AK550" s="653"/>
    </row>
    <row r="551" spans="1:37">
      <c r="A551" s="653"/>
      <c r="B551" s="651"/>
      <c r="C551" s="653"/>
      <c r="D551" s="653"/>
      <c r="E551" s="653"/>
      <c r="F551" s="653"/>
      <c r="G551" s="653"/>
      <c r="H551" s="653"/>
      <c r="I551" s="653"/>
      <c r="J551" s="653"/>
      <c r="K551" s="653"/>
      <c r="L551" s="653"/>
      <c r="M551" s="653"/>
      <c r="N551" s="653"/>
      <c r="O551" s="653"/>
      <c r="P551" s="653"/>
      <c r="Q551" s="653"/>
      <c r="R551" s="653"/>
      <c r="S551" s="653"/>
      <c r="T551" s="653"/>
      <c r="U551" s="653"/>
      <c r="V551" s="653"/>
      <c r="W551" s="653"/>
      <c r="X551" s="653"/>
      <c r="Y551" s="653"/>
      <c r="Z551" s="653"/>
      <c r="AA551" s="653"/>
      <c r="AH551" s="653"/>
      <c r="AI551" s="653"/>
      <c r="AJ551" s="653"/>
      <c r="AK551" s="653"/>
    </row>
    <row r="552" spans="1:37">
      <c r="A552" s="653"/>
      <c r="B552" s="651"/>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H552" s="653"/>
      <c r="AI552" s="653"/>
      <c r="AJ552" s="653"/>
      <c r="AK552" s="653"/>
    </row>
    <row r="553" spans="1:37">
      <c r="A553" s="653"/>
      <c r="B553" s="651"/>
      <c r="C553" s="653"/>
      <c r="D553" s="653"/>
      <c r="E553" s="653"/>
      <c r="F553" s="653"/>
      <c r="G553" s="653"/>
      <c r="H553" s="653"/>
      <c r="I553" s="653"/>
      <c r="J553" s="653"/>
      <c r="K553" s="653"/>
      <c r="L553" s="653"/>
      <c r="M553" s="653"/>
      <c r="N553" s="653"/>
      <c r="O553" s="653"/>
      <c r="P553" s="653"/>
      <c r="Q553" s="653"/>
      <c r="R553" s="653"/>
      <c r="S553" s="653"/>
      <c r="T553" s="653"/>
      <c r="U553" s="653"/>
      <c r="V553" s="653"/>
      <c r="W553" s="653"/>
      <c r="X553" s="653"/>
      <c r="Y553" s="653"/>
      <c r="Z553" s="653"/>
      <c r="AA553" s="653"/>
      <c r="AH553" s="653"/>
      <c r="AI553" s="653"/>
      <c r="AJ553" s="653"/>
      <c r="AK553" s="653"/>
    </row>
    <row r="554" spans="1:37">
      <c r="A554" s="653"/>
      <c r="B554" s="651"/>
      <c r="C554" s="653"/>
      <c r="D554" s="653"/>
      <c r="E554" s="653"/>
      <c r="F554" s="653"/>
      <c r="G554" s="653"/>
      <c r="H554" s="653"/>
      <c r="I554" s="653"/>
      <c r="J554" s="653"/>
      <c r="K554" s="653"/>
      <c r="L554" s="653"/>
      <c r="M554" s="653"/>
      <c r="N554" s="653"/>
      <c r="O554" s="653"/>
      <c r="P554" s="653"/>
      <c r="Q554" s="653"/>
      <c r="R554" s="653"/>
      <c r="S554" s="653"/>
      <c r="T554" s="653"/>
      <c r="U554" s="653"/>
      <c r="V554" s="653"/>
      <c r="W554" s="653"/>
      <c r="X554" s="653"/>
      <c r="Y554" s="653"/>
      <c r="Z554" s="653"/>
      <c r="AA554" s="653"/>
      <c r="AH554" s="653"/>
      <c r="AI554" s="653"/>
      <c r="AJ554" s="653"/>
      <c r="AK554" s="653"/>
    </row>
    <row r="555" spans="1:37">
      <c r="A555" s="653"/>
      <c r="B555" s="651"/>
      <c r="C555" s="653"/>
      <c r="D555" s="653"/>
      <c r="E555" s="653"/>
      <c r="F555" s="653"/>
      <c r="G555" s="653"/>
      <c r="H555" s="653"/>
      <c r="I555" s="653"/>
      <c r="J555" s="653"/>
      <c r="K555" s="653"/>
      <c r="L555" s="653"/>
      <c r="M555" s="653"/>
      <c r="N555" s="653"/>
      <c r="O555" s="653"/>
      <c r="P555" s="653"/>
      <c r="Q555" s="653"/>
      <c r="R555" s="653"/>
      <c r="S555" s="653"/>
      <c r="T555" s="653"/>
      <c r="U555" s="653"/>
      <c r="V555" s="653"/>
      <c r="W555" s="653"/>
      <c r="X555" s="653"/>
      <c r="Y555" s="653"/>
      <c r="Z555" s="653"/>
      <c r="AA555" s="653"/>
      <c r="AH555" s="653"/>
      <c r="AI555" s="653"/>
      <c r="AJ555" s="653"/>
      <c r="AK555" s="653"/>
    </row>
    <row r="556" spans="1:37">
      <c r="A556" s="653"/>
      <c r="B556" s="651"/>
      <c r="C556" s="653"/>
      <c r="D556" s="653"/>
      <c r="E556" s="653"/>
      <c r="F556" s="653"/>
      <c r="G556" s="653"/>
      <c r="H556" s="653"/>
      <c r="I556" s="653"/>
      <c r="J556" s="653"/>
      <c r="K556" s="653"/>
      <c r="L556" s="653"/>
      <c r="M556" s="653"/>
      <c r="N556" s="653"/>
      <c r="O556" s="653"/>
      <c r="P556" s="653"/>
      <c r="Q556" s="653"/>
      <c r="R556" s="653"/>
      <c r="S556" s="653"/>
      <c r="T556" s="653"/>
      <c r="U556" s="653"/>
      <c r="V556" s="653"/>
      <c r="W556" s="653"/>
      <c r="X556" s="653"/>
      <c r="Y556" s="653"/>
      <c r="Z556" s="653"/>
      <c r="AA556" s="653"/>
      <c r="AH556" s="653"/>
      <c r="AI556" s="653"/>
      <c r="AJ556" s="653"/>
      <c r="AK556" s="653"/>
    </row>
    <row r="557" spans="1:37">
      <c r="A557" s="653"/>
      <c r="B557" s="651"/>
      <c r="C557" s="653"/>
      <c r="D557" s="653"/>
      <c r="E557" s="653"/>
      <c r="F557" s="653"/>
      <c r="G557" s="653"/>
      <c r="H557" s="653"/>
      <c r="I557" s="653"/>
      <c r="J557" s="653"/>
      <c r="K557" s="653"/>
      <c r="L557" s="653"/>
      <c r="M557" s="653"/>
      <c r="N557" s="653"/>
      <c r="O557" s="653"/>
      <c r="P557" s="653"/>
      <c r="Q557" s="653"/>
      <c r="R557" s="653"/>
      <c r="S557" s="653"/>
      <c r="T557" s="653"/>
      <c r="U557" s="653"/>
      <c r="V557" s="653"/>
      <c r="W557" s="653"/>
      <c r="X557" s="653"/>
      <c r="Y557" s="653"/>
      <c r="Z557" s="653"/>
      <c r="AA557" s="653"/>
      <c r="AH557" s="653"/>
      <c r="AI557" s="653"/>
      <c r="AJ557" s="653"/>
      <c r="AK557" s="653"/>
    </row>
    <row r="558" spans="1:37">
      <c r="A558" s="653"/>
      <c r="B558" s="651"/>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H558" s="653"/>
      <c r="AI558" s="653"/>
      <c r="AJ558" s="653"/>
      <c r="AK558" s="653"/>
    </row>
    <row r="559" spans="1:37">
      <c r="A559" s="653"/>
      <c r="B559" s="651"/>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H559" s="653"/>
      <c r="AI559" s="653"/>
      <c r="AJ559" s="653"/>
      <c r="AK559" s="653"/>
    </row>
    <row r="560" spans="1:37">
      <c r="A560" s="653"/>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H560" s="653"/>
      <c r="AI560" s="653"/>
      <c r="AJ560" s="653"/>
      <c r="AK560" s="653"/>
    </row>
    <row r="561" spans="1:37">
      <c r="A561" s="653"/>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H561" s="653"/>
      <c r="AI561" s="653"/>
      <c r="AJ561" s="653"/>
      <c r="AK561" s="653"/>
    </row>
    <row r="562" spans="1:37">
      <c r="A562" s="653"/>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H562" s="653"/>
      <c r="AI562" s="653"/>
      <c r="AJ562" s="653"/>
      <c r="AK562" s="653"/>
    </row>
    <row r="563" spans="1:37">
      <c r="A563" s="653"/>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H563" s="653"/>
      <c r="AI563" s="653"/>
      <c r="AJ563" s="653"/>
      <c r="AK563" s="653"/>
    </row>
    <row r="564" spans="1:37">
      <c r="A564" s="653"/>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H564" s="653"/>
      <c r="AI564" s="653"/>
      <c r="AJ564" s="653"/>
      <c r="AK564" s="653"/>
    </row>
    <row r="565" spans="1:37">
      <c r="A565" s="653"/>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H565" s="653"/>
      <c r="AI565" s="653"/>
      <c r="AJ565" s="653"/>
      <c r="AK565" s="653"/>
    </row>
    <row r="566" spans="1:37">
      <c r="A566" s="653"/>
      <c r="B566" s="651"/>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H566" s="653"/>
      <c r="AI566" s="653"/>
      <c r="AJ566" s="653"/>
      <c r="AK566" s="653"/>
    </row>
    <row r="567" spans="1:37">
      <c r="A567" s="653"/>
      <c r="B567" s="651"/>
      <c r="C567" s="653"/>
      <c r="D567" s="653"/>
      <c r="E567" s="653"/>
      <c r="F567" s="653"/>
      <c r="G567" s="653"/>
      <c r="H567" s="653"/>
      <c r="I567" s="653"/>
      <c r="J567" s="653"/>
      <c r="K567" s="653"/>
      <c r="L567" s="653"/>
      <c r="M567" s="653"/>
      <c r="N567" s="653"/>
      <c r="O567" s="653"/>
      <c r="P567" s="653"/>
      <c r="Q567" s="653"/>
      <c r="R567" s="653"/>
      <c r="S567" s="653"/>
      <c r="T567" s="653"/>
      <c r="U567" s="653"/>
      <c r="V567" s="653"/>
      <c r="W567" s="653"/>
      <c r="X567" s="653"/>
      <c r="Y567" s="653"/>
      <c r="Z567" s="653"/>
      <c r="AA567" s="653"/>
      <c r="AH567" s="653"/>
      <c r="AI567" s="653"/>
      <c r="AJ567" s="653"/>
      <c r="AK567" s="653"/>
    </row>
    <row r="568" spans="1:37">
      <c r="A568" s="653"/>
      <c r="B568" s="651"/>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H568" s="653"/>
      <c r="AI568" s="653"/>
      <c r="AJ568" s="653"/>
      <c r="AK568" s="653"/>
    </row>
    <row r="569" spans="1:37">
      <c r="A569" s="653"/>
      <c r="B569" s="651"/>
      <c r="C569" s="653"/>
      <c r="D569" s="653"/>
      <c r="E569" s="653"/>
      <c r="F569" s="653"/>
      <c r="G569" s="653"/>
      <c r="H569" s="653"/>
      <c r="I569" s="653"/>
      <c r="J569" s="653"/>
      <c r="K569" s="653"/>
      <c r="L569" s="653"/>
      <c r="M569" s="653"/>
      <c r="N569" s="653"/>
      <c r="O569" s="653"/>
      <c r="P569" s="653"/>
      <c r="Q569" s="653"/>
      <c r="R569" s="653"/>
      <c r="S569" s="653"/>
      <c r="T569" s="653"/>
      <c r="U569" s="653"/>
      <c r="V569" s="653"/>
      <c r="W569" s="653"/>
      <c r="X569" s="653"/>
      <c r="Y569" s="653"/>
      <c r="Z569" s="653"/>
      <c r="AA569" s="653"/>
      <c r="AH569" s="653"/>
      <c r="AI569" s="653"/>
      <c r="AJ569" s="653"/>
      <c r="AK569" s="653"/>
    </row>
    <row r="570" spans="1:37">
      <c r="A570" s="653"/>
      <c r="B570" s="651"/>
      <c r="C570" s="653"/>
      <c r="D570" s="653"/>
      <c r="E570" s="653"/>
      <c r="F570" s="653"/>
      <c r="G570" s="653"/>
      <c r="H570" s="653"/>
      <c r="I570" s="653"/>
      <c r="J570" s="653"/>
      <c r="K570" s="653"/>
      <c r="L570" s="653"/>
      <c r="M570" s="653"/>
      <c r="N570" s="653"/>
      <c r="O570" s="653"/>
      <c r="P570" s="653"/>
      <c r="Q570" s="653"/>
      <c r="R570" s="653"/>
      <c r="S570" s="653"/>
      <c r="T570" s="653"/>
      <c r="U570" s="653"/>
      <c r="V570" s="653"/>
      <c r="W570" s="653"/>
      <c r="X570" s="653"/>
      <c r="Y570" s="653"/>
      <c r="Z570" s="653"/>
      <c r="AA570" s="653"/>
      <c r="AH570" s="653"/>
      <c r="AI570" s="653"/>
      <c r="AJ570" s="653"/>
      <c r="AK570" s="653"/>
    </row>
    <row r="571" spans="1:37">
      <c r="A571" s="653"/>
      <c r="B571" s="651"/>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H571" s="653"/>
      <c r="AI571" s="653"/>
      <c r="AJ571" s="653"/>
      <c r="AK571" s="653"/>
    </row>
    <row r="572" spans="1:37">
      <c r="A572" s="653"/>
      <c r="B572" s="651"/>
      <c r="C572" s="653"/>
      <c r="D572" s="653"/>
      <c r="E572" s="653"/>
      <c r="F572" s="653"/>
      <c r="G572" s="653"/>
      <c r="H572" s="653"/>
      <c r="I572" s="653"/>
      <c r="J572" s="653"/>
      <c r="K572" s="653"/>
      <c r="L572" s="653"/>
      <c r="M572" s="653"/>
      <c r="N572" s="653"/>
      <c r="O572" s="653"/>
      <c r="P572" s="653"/>
      <c r="Q572" s="653"/>
      <c r="R572" s="653"/>
      <c r="S572" s="653"/>
      <c r="T572" s="653"/>
      <c r="U572" s="653"/>
      <c r="V572" s="653"/>
      <c r="W572" s="653"/>
      <c r="X572" s="653"/>
      <c r="Y572" s="653"/>
      <c r="Z572" s="653"/>
      <c r="AA572" s="653"/>
      <c r="AH572" s="653"/>
      <c r="AI572" s="653"/>
      <c r="AJ572" s="653"/>
      <c r="AK572" s="653"/>
    </row>
    <row r="573" spans="1:37">
      <c r="A573" s="653"/>
      <c r="B573" s="651"/>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H573" s="653"/>
      <c r="AI573" s="653"/>
      <c r="AJ573" s="653"/>
      <c r="AK573" s="653"/>
    </row>
    <row r="574" spans="1:37">
      <c r="A574" s="653"/>
      <c r="B574" s="651"/>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H574" s="653"/>
      <c r="AI574" s="653"/>
      <c r="AJ574" s="653"/>
      <c r="AK574" s="653"/>
    </row>
    <row r="575" spans="1:37">
      <c r="A575" s="653"/>
      <c r="B575" s="651"/>
      <c r="C575" s="653"/>
      <c r="D575" s="653"/>
      <c r="E575" s="653"/>
      <c r="F575" s="653"/>
      <c r="G575" s="653"/>
      <c r="H575" s="653"/>
      <c r="I575" s="653"/>
      <c r="J575" s="653"/>
      <c r="K575" s="653"/>
      <c r="L575" s="653"/>
      <c r="M575" s="653"/>
      <c r="N575" s="653"/>
      <c r="O575" s="653"/>
      <c r="P575" s="653"/>
      <c r="Q575" s="653"/>
      <c r="R575" s="653"/>
      <c r="S575" s="653"/>
      <c r="T575" s="653"/>
      <c r="U575" s="653"/>
      <c r="V575" s="653"/>
      <c r="W575" s="653"/>
      <c r="X575" s="653"/>
      <c r="Y575" s="653"/>
      <c r="Z575" s="653"/>
      <c r="AA575" s="653"/>
      <c r="AH575" s="653"/>
      <c r="AI575" s="653"/>
      <c r="AJ575" s="653"/>
      <c r="AK575" s="653"/>
    </row>
    <row r="576" spans="1:37">
      <c r="A576" s="653"/>
      <c r="B576" s="651"/>
      <c r="C576" s="653"/>
      <c r="D576" s="653"/>
      <c r="E576" s="653"/>
      <c r="F576" s="653"/>
      <c r="G576" s="653"/>
      <c r="H576" s="653"/>
      <c r="I576" s="653"/>
      <c r="J576" s="653"/>
      <c r="K576" s="653"/>
      <c r="L576" s="653"/>
      <c r="M576" s="653"/>
      <c r="N576" s="653"/>
      <c r="O576" s="653"/>
      <c r="P576" s="653"/>
      <c r="Q576" s="653"/>
      <c r="R576" s="653"/>
      <c r="S576" s="653"/>
      <c r="T576" s="653"/>
      <c r="U576" s="653"/>
      <c r="V576" s="653"/>
      <c r="W576" s="653"/>
      <c r="X576" s="653"/>
      <c r="Y576" s="653"/>
      <c r="Z576" s="653"/>
      <c r="AA576" s="653"/>
      <c r="AH576" s="653"/>
      <c r="AI576" s="653"/>
      <c r="AJ576" s="653"/>
      <c r="AK576" s="653"/>
    </row>
    <row r="577" spans="1:37">
      <c r="A577" s="653"/>
      <c r="B577" s="651"/>
      <c r="C577" s="653"/>
      <c r="D577" s="653"/>
      <c r="E577" s="653"/>
      <c r="F577" s="653"/>
      <c r="G577" s="653"/>
      <c r="H577" s="653"/>
      <c r="I577" s="653"/>
      <c r="J577" s="653"/>
      <c r="K577" s="653"/>
      <c r="L577" s="653"/>
      <c r="M577" s="653"/>
      <c r="N577" s="653"/>
      <c r="O577" s="653"/>
      <c r="P577" s="653"/>
      <c r="Q577" s="653"/>
      <c r="R577" s="653"/>
      <c r="S577" s="653"/>
      <c r="T577" s="653"/>
      <c r="U577" s="653"/>
      <c r="V577" s="653"/>
      <c r="W577" s="653"/>
      <c r="X577" s="653"/>
      <c r="Y577" s="653"/>
      <c r="Z577" s="653"/>
      <c r="AA577" s="653"/>
      <c r="AH577" s="653"/>
      <c r="AI577" s="653"/>
      <c r="AJ577" s="653"/>
      <c r="AK577" s="653"/>
    </row>
    <row r="578" spans="1:37">
      <c r="A578" s="653"/>
      <c r="B578" s="651"/>
      <c r="C578" s="653"/>
      <c r="D578" s="653"/>
      <c r="E578" s="653"/>
      <c r="F578" s="653"/>
      <c r="G578" s="653"/>
      <c r="H578" s="653"/>
      <c r="I578" s="653"/>
      <c r="J578" s="653"/>
      <c r="K578" s="653"/>
      <c r="L578" s="653"/>
      <c r="M578" s="653"/>
      <c r="N578" s="653"/>
      <c r="O578" s="653"/>
      <c r="P578" s="653"/>
      <c r="Q578" s="653"/>
      <c r="R578" s="653"/>
      <c r="S578" s="653"/>
      <c r="T578" s="653"/>
      <c r="U578" s="653"/>
      <c r="V578" s="653"/>
      <c r="W578" s="653"/>
      <c r="X578" s="653"/>
      <c r="Y578" s="653"/>
      <c r="Z578" s="653"/>
      <c r="AA578" s="653"/>
      <c r="AH578" s="653"/>
      <c r="AI578" s="653"/>
      <c r="AJ578" s="653"/>
      <c r="AK578" s="653"/>
    </row>
    <row r="579" spans="1:37">
      <c r="A579" s="653"/>
      <c r="B579" s="651"/>
      <c r="C579" s="653"/>
      <c r="D579" s="653"/>
      <c r="E579" s="653"/>
      <c r="F579" s="653"/>
      <c r="G579" s="653"/>
      <c r="H579" s="653"/>
      <c r="I579" s="653"/>
      <c r="J579" s="653"/>
      <c r="K579" s="653"/>
      <c r="L579" s="653"/>
      <c r="M579" s="653"/>
      <c r="N579" s="653"/>
      <c r="O579" s="653"/>
      <c r="P579" s="653"/>
      <c r="Q579" s="653"/>
      <c r="R579" s="653"/>
      <c r="S579" s="653"/>
      <c r="T579" s="653"/>
      <c r="U579" s="653"/>
      <c r="V579" s="653"/>
      <c r="W579" s="653"/>
      <c r="X579" s="653"/>
      <c r="Y579" s="653"/>
      <c r="Z579" s="653"/>
      <c r="AA579" s="653"/>
      <c r="AH579" s="653"/>
      <c r="AI579" s="653"/>
      <c r="AJ579" s="653"/>
      <c r="AK579" s="653"/>
    </row>
    <row r="580" spans="1:37">
      <c r="A580" s="653"/>
      <c r="B580" s="651"/>
      <c r="C580" s="653"/>
      <c r="D580" s="653"/>
      <c r="E580" s="653"/>
      <c r="F580" s="653"/>
      <c r="G580" s="653"/>
      <c r="H580" s="653"/>
      <c r="I580" s="653"/>
      <c r="J580" s="653"/>
      <c r="K580" s="653"/>
      <c r="L580" s="653"/>
      <c r="M580" s="653"/>
      <c r="N580" s="653"/>
      <c r="O580" s="653"/>
      <c r="P580" s="653"/>
      <c r="Q580" s="653"/>
      <c r="R580" s="653"/>
      <c r="S580" s="653"/>
      <c r="T580" s="653"/>
      <c r="U580" s="653"/>
      <c r="V580" s="653"/>
      <c r="W580" s="653"/>
      <c r="X580" s="653"/>
      <c r="Y580" s="653"/>
      <c r="Z580" s="653"/>
      <c r="AA580" s="653"/>
      <c r="AH580" s="653"/>
      <c r="AI580" s="653"/>
      <c r="AJ580" s="653"/>
      <c r="AK580" s="653"/>
    </row>
    <row r="581" spans="1:37">
      <c r="A581" s="653"/>
      <c r="B581" s="651"/>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H581" s="653"/>
      <c r="AI581" s="653"/>
      <c r="AJ581" s="653"/>
      <c r="AK581" s="653"/>
    </row>
    <row r="582" spans="1:37">
      <c r="A582" s="653"/>
      <c r="B582" s="651"/>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H582" s="653"/>
      <c r="AI582" s="653"/>
      <c r="AJ582" s="653"/>
      <c r="AK582" s="653"/>
    </row>
    <row r="583" spans="1:37">
      <c r="A583" s="653"/>
      <c r="B583" s="651"/>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H583" s="653"/>
      <c r="AI583" s="653"/>
      <c r="AJ583" s="653"/>
      <c r="AK583" s="653"/>
    </row>
    <row r="584" spans="1:37">
      <c r="A584" s="653"/>
      <c r="B584" s="651"/>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H584" s="653"/>
      <c r="AI584" s="653"/>
      <c r="AJ584" s="653"/>
      <c r="AK584" s="653"/>
    </row>
    <row r="585" spans="1:37">
      <c r="A585" s="653"/>
      <c r="B585" s="651"/>
      <c r="C585" s="653"/>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H585" s="653"/>
      <c r="AI585" s="653"/>
      <c r="AJ585" s="653"/>
      <c r="AK585" s="653"/>
    </row>
    <row r="586" spans="1:37">
      <c r="A586" s="653"/>
      <c r="B586" s="651"/>
      <c r="C586" s="653"/>
      <c r="D586" s="653"/>
      <c r="E586" s="653"/>
      <c r="F586" s="653"/>
      <c r="G586" s="653"/>
      <c r="H586" s="653"/>
      <c r="I586" s="653"/>
      <c r="J586" s="653"/>
      <c r="K586" s="653"/>
      <c r="L586" s="653"/>
      <c r="M586" s="653"/>
      <c r="N586" s="653"/>
      <c r="O586" s="653"/>
      <c r="P586" s="653"/>
      <c r="Q586" s="653"/>
      <c r="R586" s="653"/>
      <c r="S586" s="653"/>
      <c r="T586" s="653"/>
      <c r="U586" s="653"/>
      <c r="V586" s="653"/>
      <c r="W586" s="653"/>
      <c r="X586" s="653"/>
      <c r="Y586" s="653"/>
      <c r="Z586" s="653"/>
      <c r="AA586" s="653"/>
      <c r="AH586" s="653"/>
      <c r="AI586" s="653"/>
      <c r="AJ586" s="653"/>
      <c r="AK586" s="653"/>
    </row>
    <row r="587" spans="1:37">
      <c r="A587" s="653"/>
      <c r="B587" s="651"/>
      <c r="C587" s="653"/>
      <c r="D587" s="653"/>
      <c r="E587" s="653"/>
      <c r="F587" s="653"/>
      <c r="G587" s="653"/>
      <c r="H587" s="653"/>
      <c r="I587" s="653"/>
      <c r="J587" s="653"/>
      <c r="K587" s="653"/>
      <c r="L587" s="653"/>
      <c r="M587" s="653"/>
      <c r="N587" s="653"/>
      <c r="O587" s="653"/>
      <c r="P587" s="653"/>
      <c r="Q587" s="653"/>
      <c r="R587" s="653"/>
      <c r="S587" s="653"/>
      <c r="T587" s="653"/>
      <c r="U587" s="653"/>
      <c r="V587" s="653"/>
      <c r="W587" s="653"/>
      <c r="X587" s="653"/>
      <c r="Y587" s="653"/>
      <c r="Z587" s="653"/>
      <c r="AA587" s="653"/>
      <c r="AH587" s="653"/>
      <c r="AI587" s="653"/>
      <c r="AJ587" s="653"/>
      <c r="AK587" s="653"/>
    </row>
    <row r="588" spans="1:37">
      <c r="A588" s="653"/>
      <c r="B588" s="651"/>
      <c r="C588" s="653"/>
      <c r="D588" s="653"/>
      <c r="E588" s="653"/>
      <c r="F588" s="653"/>
      <c r="G588" s="653"/>
      <c r="H588" s="653"/>
      <c r="I588" s="653"/>
      <c r="J588" s="653"/>
      <c r="K588" s="653"/>
      <c r="L588" s="653"/>
      <c r="M588" s="653"/>
      <c r="N588" s="653"/>
      <c r="O588" s="653"/>
      <c r="P588" s="653"/>
      <c r="Q588" s="653"/>
      <c r="R588" s="653"/>
      <c r="S588" s="653"/>
      <c r="T588" s="653"/>
      <c r="U588" s="653"/>
      <c r="V588" s="653"/>
      <c r="W588" s="653"/>
      <c r="X588" s="653"/>
      <c r="Y588" s="653"/>
      <c r="Z588" s="653"/>
      <c r="AA588" s="653"/>
      <c r="AH588" s="653"/>
      <c r="AI588" s="653"/>
      <c r="AJ588" s="653"/>
      <c r="AK588" s="653"/>
    </row>
    <row r="589" spans="1:37">
      <c r="A589" s="653"/>
      <c r="B589" s="651"/>
      <c r="C589" s="653"/>
      <c r="D589" s="653"/>
      <c r="E589" s="653"/>
      <c r="F589" s="653"/>
      <c r="G589" s="653"/>
      <c r="H589" s="653"/>
      <c r="I589" s="653"/>
      <c r="J589" s="653"/>
      <c r="K589" s="653"/>
      <c r="L589" s="653"/>
      <c r="M589" s="653"/>
      <c r="N589" s="653"/>
      <c r="O589" s="653"/>
      <c r="P589" s="653"/>
      <c r="Q589" s="653"/>
      <c r="R589" s="653"/>
      <c r="S589" s="653"/>
      <c r="T589" s="653"/>
      <c r="U589" s="653"/>
      <c r="V589" s="653"/>
      <c r="W589" s="653"/>
      <c r="X589" s="653"/>
      <c r="Y589" s="653"/>
      <c r="Z589" s="653"/>
      <c r="AA589" s="653"/>
      <c r="AH589" s="653"/>
      <c r="AI589" s="653"/>
      <c r="AJ589" s="653"/>
      <c r="AK589" s="653"/>
    </row>
    <row r="590" spans="1:37">
      <c r="A590" s="653"/>
      <c r="B590" s="651"/>
      <c r="C590" s="653"/>
      <c r="D590" s="653"/>
      <c r="E590" s="653"/>
      <c r="F590" s="653"/>
      <c r="G590" s="653"/>
      <c r="H590" s="653"/>
      <c r="I590" s="653"/>
      <c r="J590" s="653"/>
      <c r="K590" s="653"/>
      <c r="L590" s="653"/>
      <c r="M590" s="653"/>
      <c r="N590" s="653"/>
      <c r="O590" s="653"/>
      <c r="P590" s="653"/>
      <c r="Q590" s="653"/>
      <c r="R590" s="653"/>
      <c r="S590" s="653"/>
      <c r="T590" s="653"/>
      <c r="U590" s="653"/>
      <c r="V590" s="653"/>
      <c r="W590" s="653"/>
      <c r="X590" s="653"/>
      <c r="Y590" s="653"/>
      <c r="Z590" s="653"/>
      <c r="AA590" s="653"/>
      <c r="AH590" s="653"/>
      <c r="AI590" s="653"/>
      <c r="AJ590" s="653"/>
      <c r="AK590" s="653"/>
    </row>
    <row r="591" spans="1:37">
      <c r="A591" s="653"/>
      <c r="B591" s="651"/>
      <c r="C591" s="653"/>
      <c r="D591" s="653"/>
      <c r="E591" s="653"/>
      <c r="F591" s="653"/>
      <c r="G591" s="653"/>
      <c r="H591" s="653"/>
      <c r="I591" s="653"/>
      <c r="J591" s="653"/>
      <c r="K591" s="653"/>
      <c r="L591" s="653"/>
      <c r="M591" s="653"/>
      <c r="N591" s="653"/>
      <c r="O591" s="653"/>
      <c r="P591" s="653"/>
      <c r="Q591" s="653"/>
      <c r="R591" s="653"/>
      <c r="S591" s="653"/>
      <c r="T591" s="653"/>
      <c r="U591" s="653"/>
      <c r="V591" s="653"/>
      <c r="W591" s="653"/>
      <c r="X591" s="653"/>
      <c r="Y591" s="653"/>
      <c r="Z591" s="653"/>
      <c r="AA591" s="653"/>
      <c r="AH591" s="653"/>
      <c r="AI591" s="653"/>
      <c r="AJ591" s="653"/>
      <c r="AK591" s="653"/>
    </row>
    <row r="592" spans="1:37">
      <c r="A592" s="653"/>
      <c r="B592" s="651"/>
      <c r="C592" s="653"/>
      <c r="D592" s="653"/>
      <c r="E592" s="653"/>
      <c r="F592" s="653"/>
      <c r="G592" s="653"/>
      <c r="H592" s="653"/>
      <c r="I592" s="653"/>
      <c r="J592" s="653"/>
      <c r="K592" s="653"/>
      <c r="L592" s="653"/>
      <c r="M592" s="653"/>
      <c r="N592" s="653"/>
      <c r="O592" s="653"/>
      <c r="P592" s="653"/>
      <c r="Q592" s="653"/>
      <c r="R592" s="653"/>
      <c r="S592" s="653"/>
      <c r="T592" s="653"/>
      <c r="U592" s="653"/>
      <c r="V592" s="653"/>
      <c r="W592" s="653"/>
      <c r="X592" s="653"/>
      <c r="Y592" s="653"/>
      <c r="Z592" s="653"/>
      <c r="AA592" s="653"/>
      <c r="AH592" s="653"/>
      <c r="AI592" s="653"/>
      <c r="AJ592" s="653"/>
      <c r="AK592" s="653"/>
    </row>
    <row r="593" spans="1:37">
      <c r="A593" s="653"/>
      <c r="B593" s="651"/>
      <c r="C593" s="653"/>
      <c r="D593" s="653"/>
      <c r="E593" s="653"/>
      <c r="F593" s="653"/>
      <c r="G593" s="653"/>
      <c r="H593" s="653"/>
      <c r="I593" s="653"/>
      <c r="J593" s="653"/>
      <c r="K593" s="653"/>
      <c r="L593" s="653"/>
      <c r="M593" s="653"/>
      <c r="N593" s="653"/>
      <c r="O593" s="653"/>
      <c r="P593" s="653"/>
      <c r="Q593" s="653"/>
      <c r="R593" s="653"/>
      <c r="S593" s="653"/>
      <c r="T593" s="653"/>
      <c r="U593" s="653"/>
      <c r="V593" s="653"/>
      <c r="W593" s="653"/>
      <c r="X593" s="653"/>
      <c r="Y593" s="653"/>
      <c r="Z593" s="653"/>
      <c r="AA593" s="653"/>
      <c r="AH593" s="653"/>
      <c r="AI593" s="653"/>
      <c r="AJ593" s="653"/>
      <c r="AK593" s="653"/>
    </row>
    <row r="594" spans="1:37">
      <c r="A594" s="653"/>
      <c r="B594" s="651"/>
      <c r="C594" s="653"/>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H594" s="653"/>
      <c r="AI594" s="653"/>
      <c r="AJ594" s="653"/>
      <c r="AK594" s="653"/>
    </row>
    <row r="595" spans="1:37">
      <c r="A595" s="653"/>
      <c r="B595" s="651"/>
      <c r="C595" s="653"/>
      <c r="D595" s="653"/>
      <c r="E595" s="653"/>
      <c r="F595" s="653"/>
      <c r="G595" s="653"/>
      <c r="H595" s="653"/>
      <c r="I595" s="653"/>
      <c r="J595" s="653"/>
      <c r="K595" s="653"/>
      <c r="L595" s="653"/>
      <c r="M595" s="653"/>
      <c r="N595" s="653"/>
      <c r="O595" s="653"/>
      <c r="P595" s="653"/>
      <c r="Q595" s="653"/>
      <c r="R595" s="653"/>
      <c r="S595" s="653"/>
      <c r="T595" s="653"/>
      <c r="U595" s="653"/>
      <c r="V595" s="653"/>
      <c r="W595" s="653"/>
      <c r="X595" s="653"/>
      <c r="Y595" s="653"/>
      <c r="Z595" s="653"/>
      <c r="AA595" s="653"/>
      <c r="AH595" s="653"/>
      <c r="AI595" s="653"/>
      <c r="AJ595" s="653"/>
      <c r="AK595" s="653"/>
    </row>
    <row r="596" spans="1:37">
      <c r="A596" s="653"/>
      <c r="B596" s="651"/>
      <c r="C596" s="653"/>
      <c r="D596" s="653"/>
      <c r="E596" s="653"/>
      <c r="F596" s="653"/>
      <c r="G596" s="653"/>
      <c r="H596" s="653"/>
      <c r="I596" s="653"/>
      <c r="J596" s="653"/>
      <c r="K596" s="653"/>
      <c r="L596" s="653"/>
      <c r="M596" s="653"/>
      <c r="N596" s="653"/>
      <c r="O596" s="653"/>
      <c r="P596" s="653"/>
      <c r="Q596" s="653"/>
      <c r="R596" s="653"/>
      <c r="S596" s="653"/>
      <c r="T596" s="653"/>
      <c r="U596" s="653"/>
      <c r="V596" s="653"/>
      <c r="W596" s="653"/>
      <c r="X596" s="653"/>
      <c r="Y596" s="653"/>
      <c r="Z596" s="653"/>
      <c r="AA596" s="653"/>
      <c r="AH596" s="653"/>
      <c r="AI596" s="653"/>
      <c r="AJ596" s="653"/>
      <c r="AK596" s="653"/>
    </row>
    <row r="597" spans="1:37">
      <c r="A597" s="653"/>
      <c r="B597" s="651"/>
      <c r="C597" s="653"/>
      <c r="D597" s="653"/>
      <c r="E597" s="653"/>
      <c r="F597" s="653"/>
      <c r="G597" s="653"/>
      <c r="H597" s="653"/>
      <c r="I597" s="653"/>
      <c r="J597" s="653"/>
      <c r="K597" s="653"/>
      <c r="L597" s="653"/>
      <c r="M597" s="653"/>
      <c r="N597" s="653"/>
      <c r="O597" s="653"/>
      <c r="P597" s="653"/>
      <c r="Q597" s="653"/>
      <c r="R597" s="653"/>
      <c r="S597" s="653"/>
      <c r="T597" s="653"/>
      <c r="U597" s="653"/>
      <c r="V597" s="653"/>
      <c r="W597" s="653"/>
      <c r="X597" s="653"/>
      <c r="Y597" s="653"/>
      <c r="Z597" s="653"/>
      <c r="AA597" s="653"/>
      <c r="AH597" s="653"/>
      <c r="AI597" s="653"/>
      <c r="AJ597" s="653"/>
      <c r="AK597" s="653"/>
    </row>
    <row r="598" spans="1:37">
      <c r="A598" s="653"/>
      <c r="B598" s="651"/>
      <c r="C598" s="653"/>
      <c r="D598" s="653"/>
      <c r="E598" s="653"/>
      <c r="F598" s="653"/>
      <c r="G598" s="653"/>
      <c r="H598" s="653"/>
      <c r="I598" s="653"/>
      <c r="J598" s="653"/>
      <c r="K598" s="653"/>
      <c r="L598" s="653"/>
      <c r="M598" s="653"/>
      <c r="N598" s="653"/>
      <c r="O598" s="653"/>
      <c r="P598" s="653"/>
      <c r="Q598" s="653"/>
      <c r="R598" s="653"/>
      <c r="S598" s="653"/>
      <c r="T598" s="653"/>
      <c r="U598" s="653"/>
      <c r="V598" s="653"/>
      <c r="W598" s="653"/>
      <c r="X598" s="653"/>
      <c r="Y598" s="653"/>
      <c r="Z598" s="653"/>
      <c r="AA598" s="653"/>
      <c r="AH598" s="653"/>
      <c r="AI598" s="653"/>
      <c r="AJ598" s="653"/>
      <c r="AK598" s="653"/>
    </row>
    <row r="599" spans="1:37">
      <c r="A599" s="653"/>
      <c r="B599" s="651"/>
      <c r="C599" s="653"/>
      <c r="D599" s="653"/>
      <c r="E599" s="653"/>
      <c r="F599" s="653"/>
      <c r="G599" s="653"/>
      <c r="H599" s="653"/>
      <c r="I599" s="653"/>
      <c r="J599" s="653"/>
      <c r="K599" s="653"/>
      <c r="L599" s="653"/>
      <c r="M599" s="653"/>
      <c r="N599" s="653"/>
      <c r="O599" s="653"/>
      <c r="P599" s="653"/>
      <c r="Q599" s="653"/>
      <c r="R599" s="653"/>
      <c r="S599" s="653"/>
      <c r="T599" s="653"/>
      <c r="U599" s="653"/>
      <c r="V599" s="653"/>
      <c r="W599" s="653"/>
      <c r="X599" s="653"/>
      <c r="Y599" s="653"/>
      <c r="Z599" s="653"/>
      <c r="AA599" s="653"/>
      <c r="AH599" s="653"/>
      <c r="AI599" s="653"/>
      <c r="AJ599" s="653"/>
      <c r="AK599" s="653"/>
    </row>
    <row r="600" spans="1:37">
      <c r="A600" s="653"/>
      <c r="B600" s="651"/>
      <c r="C600" s="653"/>
      <c r="D600" s="653"/>
      <c r="E600" s="653"/>
      <c r="F600" s="653"/>
      <c r="G600" s="653"/>
      <c r="H600" s="653"/>
      <c r="I600" s="653"/>
      <c r="J600" s="653"/>
      <c r="K600" s="653"/>
      <c r="L600" s="653"/>
      <c r="M600" s="653"/>
      <c r="N600" s="653"/>
      <c r="O600" s="653"/>
      <c r="P600" s="653"/>
      <c r="Q600" s="653"/>
      <c r="R600" s="653"/>
      <c r="S600" s="653"/>
      <c r="T600" s="653"/>
      <c r="U600" s="653"/>
      <c r="V600" s="653"/>
      <c r="W600" s="653"/>
      <c r="X600" s="653"/>
      <c r="Y600" s="653"/>
      <c r="Z600" s="653"/>
      <c r="AA600" s="653"/>
      <c r="AH600" s="653"/>
      <c r="AI600" s="653"/>
      <c r="AJ600" s="653"/>
      <c r="AK600" s="653"/>
    </row>
    <row r="601" spans="1:37">
      <c r="A601" s="653"/>
      <c r="B601" s="651"/>
      <c r="C601" s="653"/>
      <c r="D601" s="653"/>
      <c r="E601" s="653"/>
      <c r="F601" s="653"/>
      <c r="G601" s="653"/>
      <c r="H601" s="653"/>
      <c r="I601" s="653"/>
      <c r="J601" s="653"/>
      <c r="K601" s="653"/>
      <c r="L601" s="653"/>
      <c r="M601" s="653"/>
      <c r="N601" s="653"/>
      <c r="O601" s="653"/>
      <c r="P601" s="653"/>
      <c r="Q601" s="653"/>
      <c r="R601" s="653"/>
      <c r="S601" s="653"/>
      <c r="T601" s="653"/>
      <c r="U601" s="653"/>
      <c r="V601" s="653"/>
      <c r="W601" s="653"/>
      <c r="X601" s="653"/>
      <c r="Y601" s="653"/>
      <c r="Z601" s="653"/>
      <c r="AA601" s="653"/>
      <c r="AH601" s="653"/>
      <c r="AI601" s="653"/>
      <c r="AJ601" s="653"/>
      <c r="AK601" s="653"/>
    </row>
    <row r="602" spans="1:37">
      <c r="A602" s="653"/>
      <c r="B602" s="651"/>
      <c r="C602" s="653"/>
      <c r="D602" s="653"/>
      <c r="E602" s="653"/>
      <c r="F602" s="653"/>
      <c r="G602" s="653"/>
      <c r="H602" s="653"/>
      <c r="I602" s="653"/>
      <c r="J602" s="653"/>
      <c r="K602" s="653"/>
      <c r="L602" s="653"/>
      <c r="M602" s="653"/>
      <c r="N602" s="653"/>
      <c r="O602" s="653"/>
      <c r="P602" s="653"/>
      <c r="Q602" s="653"/>
      <c r="R602" s="653"/>
      <c r="S602" s="653"/>
      <c r="T602" s="653"/>
      <c r="U602" s="653"/>
      <c r="V602" s="653"/>
      <c r="W602" s="653"/>
      <c r="X602" s="653"/>
      <c r="Y602" s="653"/>
      <c r="Z602" s="653"/>
      <c r="AA602" s="653"/>
      <c r="AH602" s="653"/>
      <c r="AI602" s="653"/>
      <c r="AJ602" s="653"/>
      <c r="AK602" s="653"/>
    </row>
    <row r="603" spans="1:37">
      <c r="A603" s="653"/>
      <c r="B603" s="651"/>
      <c r="C603" s="653"/>
      <c r="D603" s="653"/>
      <c r="E603" s="653"/>
      <c r="F603" s="653"/>
      <c r="G603" s="653"/>
      <c r="H603" s="653"/>
      <c r="I603" s="653"/>
      <c r="J603" s="653"/>
      <c r="K603" s="653"/>
      <c r="L603" s="653"/>
      <c r="M603" s="653"/>
      <c r="N603" s="653"/>
      <c r="O603" s="653"/>
      <c r="P603" s="653"/>
      <c r="Q603" s="653"/>
      <c r="R603" s="653"/>
      <c r="S603" s="653"/>
      <c r="T603" s="653"/>
      <c r="U603" s="653"/>
      <c r="V603" s="653"/>
      <c r="W603" s="653"/>
      <c r="X603" s="653"/>
      <c r="Y603" s="653"/>
      <c r="Z603" s="653"/>
      <c r="AA603" s="653"/>
      <c r="AH603" s="653"/>
      <c r="AI603" s="653"/>
      <c r="AJ603" s="653"/>
      <c r="AK603" s="653"/>
    </row>
    <row r="604" spans="1:37">
      <c r="A604" s="653"/>
      <c r="B604" s="651"/>
      <c r="C604" s="653"/>
      <c r="D604" s="653"/>
      <c r="E604" s="653"/>
      <c r="F604" s="653"/>
      <c r="G604" s="653"/>
      <c r="H604" s="653"/>
      <c r="I604" s="653"/>
      <c r="J604" s="653"/>
      <c r="K604" s="653"/>
      <c r="L604" s="653"/>
      <c r="M604" s="653"/>
      <c r="N604" s="653"/>
      <c r="O604" s="653"/>
      <c r="P604" s="653"/>
      <c r="Q604" s="653"/>
      <c r="R604" s="653"/>
      <c r="S604" s="653"/>
      <c r="T604" s="653"/>
      <c r="U604" s="653"/>
      <c r="V604" s="653"/>
      <c r="W604" s="653"/>
      <c r="X604" s="653"/>
      <c r="Y604" s="653"/>
      <c r="Z604" s="653"/>
      <c r="AA604" s="653"/>
      <c r="AH604" s="653"/>
      <c r="AI604" s="653"/>
      <c r="AJ604" s="653"/>
      <c r="AK604" s="653"/>
    </row>
    <row r="605" spans="1:37">
      <c r="A605" s="653"/>
      <c r="B605" s="651"/>
      <c r="C605" s="653"/>
      <c r="D605" s="653"/>
      <c r="E605" s="653"/>
      <c r="F605" s="653"/>
      <c r="G605" s="653"/>
      <c r="H605" s="653"/>
      <c r="I605" s="653"/>
      <c r="J605" s="653"/>
      <c r="K605" s="653"/>
      <c r="L605" s="653"/>
      <c r="M605" s="653"/>
      <c r="N605" s="653"/>
      <c r="O605" s="653"/>
      <c r="P605" s="653"/>
      <c r="Q605" s="653"/>
      <c r="R605" s="653"/>
      <c r="S605" s="653"/>
      <c r="T605" s="653"/>
      <c r="U605" s="653"/>
      <c r="V605" s="653"/>
      <c r="W605" s="653"/>
      <c r="X605" s="653"/>
      <c r="Y605" s="653"/>
      <c r="Z605" s="653"/>
      <c r="AA605" s="653"/>
      <c r="AH605" s="653"/>
      <c r="AI605" s="653"/>
      <c r="AJ605" s="653"/>
      <c r="AK605" s="653"/>
    </row>
    <row r="606" spans="1:37">
      <c r="A606" s="653"/>
      <c r="B606" s="651"/>
      <c r="C606" s="653"/>
      <c r="D606" s="653"/>
      <c r="E606" s="653"/>
      <c r="F606" s="653"/>
      <c r="G606" s="653"/>
      <c r="H606" s="653"/>
      <c r="I606" s="653"/>
      <c r="J606" s="653"/>
      <c r="K606" s="653"/>
      <c r="L606" s="653"/>
      <c r="M606" s="653"/>
      <c r="N606" s="653"/>
      <c r="O606" s="653"/>
      <c r="P606" s="653"/>
      <c r="Q606" s="653"/>
      <c r="R606" s="653"/>
      <c r="S606" s="653"/>
      <c r="T606" s="653"/>
      <c r="U606" s="653"/>
      <c r="V606" s="653"/>
      <c r="W606" s="653"/>
      <c r="X606" s="653"/>
      <c r="Y606" s="653"/>
      <c r="Z606" s="653"/>
      <c r="AA606" s="653"/>
      <c r="AH606" s="653"/>
      <c r="AI606" s="653"/>
      <c r="AJ606" s="653"/>
      <c r="AK606" s="653"/>
    </row>
    <row r="607" spans="1:37">
      <c r="A607" s="653"/>
      <c r="B607" s="651"/>
      <c r="C607" s="653"/>
      <c r="D607" s="653"/>
      <c r="E607" s="653"/>
      <c r="F607" s="653"/>
      <c r="G607" s="653"/>
      <c r="H607" s="653"/>
      <c r="I607" s="653"/>
      <c r="J607" s="653"/>
      <c r="K607" s="653"/>
      <c r="L607" s="653"/>
      <c r="M607" s="653"/>
      <c r="N607" s="653"/>
      <c r="O607" s="653"/>
      <c r="P607" s="653"/>
      <c r="Q607" s="653"/>
      <c r="R607" s="653"/>
      <c r="S607" s="653"/>
      <c r="T607" s="653"/>
      <c r="U607" s="653"/>
      <c r="V607" s="653"/>
      <c r="W607" s="653"/>
      <c r="X607" s="653"/>
      <c r="Y607" s="653"/>
      <c r="Z607" s="653"/>
      <c r="AA607" s="653"/>
      <c r="AH607" s="653"/>
      <c r="AI607" s="653"/>
      <c r="AJ607" s="653"/>
      <c r="AK607" s="653"/>
    </row>
    <row r="608" spans="1:37">
      <c r="A608" s="653"/>
      <c r="B608" s="651"/>
      <c r="C608" s="653"/>
      <c r="D608" s="653"/>
      <c r="E608" s="653"/>
      <c r="F608" s="653"/>
      <c r="G608" s="653"/>
      <c r="H608" s="653"/>
      <c r="I608" s="653"/>
      <c r="J608" s="653"/>
      <c r="K608" s="653"/>
      <c r="L608" s="653"/>
      <c r="M608" s="653"/>
      <c r="N608" s="653"/>
      <c r="O608" s="653"/>
      <c r="P608" s="653"/>
      <c r="Q608" s="653"/>
      <c r="R608" s="653"/>
      <c r="S608" s="653"/>
      <c r="T608" s="653"/>
      <c r="U608" s="653"/>
      <c r="V608" s="653"/>
      <c r="W608" s="653"/>
      <c r="X608" s="653"/>
      <c r="Y608" s="653"/>
      <c r="Z608" s="653"/>
      <c r="AA608" s="653"/>
      <c r="AH608" s="653"/>
      <c r="AI608" s="653"/>
      <c r="AJ608" s="653"/>
      <c r="AK608" s="653"/>
    </row>
    <row r="609" spans="1:37">
      <c r="A609" s="653"/>
      <c r="B609" s="651"/>
      <c r="C609" s="653"/>
      <c r="D609" s="653"/>
      <c r="E609" s="653"/>
      <c r="F609" s="653"/>
      <c r="G609" s="653"/>
      <c r="H609" s="653"/>
      <c r="I609" s="653"/>
      <c r="J609" s="653"/>
      <c r="K609" s="653"/>
      <c r="L609" s="653"/>
      <c r="M609" s="653"/>
      <c r="N609" s="653"/>
      <c r="O609" s="653"/>
      <c r="P609" s="653"/>
      <c r="Q609" s="653"/>
      <c r="R609" s="653"/>
      <c r="S609" s="653"/>
      <c r="T609" s="653"/>
      <c r="U609" s="653"/>
      <c r="V609" s="653"/>
      <c r="W609" s="653"/>
      <c r="X609" s="653"/>
      <c r="Y609" s="653"/>
      <c r="Z609" s="653"/>
      <c r="AA609" s="653"/>
      <c r="AH609" s="653"/>
      <c r="AI609" s="653"/>
      <c r="AJ609" s="653"/>
      <c r="AK609" s="653"/>
    </row>
    <row r="610" spans="1:37">
      <c r="A610" s="653"/>
      <c r="B610" s="651"/>
      <c r="C610" s="653"/>
      <c r="D610" s="653"/>
      <c r="E610" s="653"/>
      <c r="F610" s="653"/>
      <c r="G610" s="653"/>
      <c r="H610" s="653"/>
      <c r="I610" s="653"/>
      <c r="J610" s="653"/>
      <c r="K610" s="653"/>
      <c r="L610" s="653"/>
      <c r="M610" s="653"/>
      <c r="N610" s="653"/>
      <c r="O610" s="653"/>
      <c r="P610" s="653"/>
      <c r="Q610" s="653"/>
      <c r="R610" s="653"/>
      <c r="S610" s="653"/>
      <c r="T610" s="653"/>
      <c r="U610" s="653"/>
      <c r="V610" s="653"/>
      <c r="W610" s="653"/>
      <c r="X610" s="653"/>
      <c r="Y610" s="653"/>
      <c r="Z610" s="653"/>
      <c r="AA610" s="653"/>
      <c r="AH610" s="653"/>
      <c r="AI610" s="653"/>
      <c r="AJ610" s="653"/>
      <c r="AK610" s="653"/>
    </row>
    <row r="611" spans="1:37">
      <c r="A611" s="653"/>
      <c r="B611" s="651"/>
      <c r="C611" s="653"/>
      <c r="D611" s="653"/>
      <c r="E611" s="653"/>
      <c r="F611" s="653"/>
      <c r="G611" s="653"/>
      <c r="H611" s="653"/>
      <c r="I611" s="653"/>
      <c r="J611" s="653"/>
      <c r="K611" s="653"/>
      <c r="L611" s="653"/>
      <c r="M611" s="653"/>
      <c r="N611" s="653"/>
      <c r="O611" s="653"/>
      <c r="P611" s="653"/>
      <c r="Q611" s="653"/>
      <c r="R611" s="653"/>
      <c r="S611" s="653"/>
      <c r="T611" s="653"/>
      <c r="U611" s="653"/>
      <c r="V611" s="653"/>
      <c r="W611" s="653"/>
      <c r="X611" s="653"/>
      <c r="Y611" s="653"/>
      <c r="Z611" s="653"/>
      <c r="AA611" s="653"/>
      <c r="AH611" s="653"/>
      <c r="AI611" s="653"/>
      <c r="AJ611" s="653"/>
      <c r="AK611" s="653"/>
    </row>
    <row r="612" spans="1:37">
      <c r="A612" s="653"/>
      <c r="B612" s="651"/>
      <c r="C612" s="653"/>
      <c r="D612" s="653"/>
      <c r="E612" s="653"/>
      <c r="F612" s="653"/>
      <c r="G612" s="653"/>
      <c r="H612" s="653"/>
      <c r="I612" s="653"/>
      <c r="J612" s="653"/>
      <c r="K612" s="653"/>
      <c r="L612" s="653"/>
      <c r="M612" s="653"/>
      <c r="N612" s="653"/>
      <c r="O612" s="653"/>
      <c r="P612" s="653"/>
      <c r="Q612" s="653"/>
      <c r="R612" s="653"/>
      <c r="S612" s="653"/>
      <c r="T612" s="653"/>
      <c r="U612" s="653"/>
      <c r="V612" s="653"/>
      <c r="W612" s="653"/>
      <c r="X612" s="653"/>
      <c r="Y612" s="653"/>
      <c r="Z612" s="653"/>
      <c r="AA612" s="653"/>
      <c r="AH612" s="653"/>
      <c r="AI612" s="653"/>
      <c r="AJ612" s="653"/>
      <c r="AK612" s="653"/>
    </row>
    <row r="613" spans="1:37">
      <c r="A613" s="653"/>
      <c r="B613" s="651"/>
      <c r="C613" s="653"/>
      <c r="D613" s="653"/>
      <c r="E613" s="653"/>
      <c r="F613" s="653"/>
      <c r="G613" s="653"/>
      <c r="H613" s="653"/>
      <c r="I613" s="653"/>
      <c r="J613" s="653"/>
      <c r="K613" s="653"/>
      <c r="L613" s="653"/>
      <c r="M613" s="653"/>
      <c r="N613" s="653"/>
      <c r="O613" s="653"/>
      <c r="P613" s="653"/>
      <c r="Q613" s="653"/>
      <c r="R613" s="653"/>
      <c r="S613" s="653"/>
      <c r="T613" s="653"/>
      <c r="U613" s="653"/>
      <c r="V613" s="653"/>
      <c r="W613" s="653"/>
      <c r="X613" s="653"/>
      <c r="Y613" s="653"/>
      <c r="Z613" s="653"/>
      <c r="AA613" s="653"/>
      <c r="AH613" s="653"/>
      <c r="AI613" s="653"/>
      <c r="AJ613" s="653"/>
      <c r="AK613" s="653"/>
    </row>
    <row r="614" spans="1:37">
      <c r="A614" s="653"/>
      <c r="B614" s="651"/>
      <c r="C614" s="653"/>
      <c r="D614" s="653"/>
      <c r="E614" s="653"/>
      <c r="F614" s="653"/>
      <c r="G614" s="653"/>
      <c r="H614" s="653"/>
      <c r="I614" s="653"/>
      <c r="J614" s="653"/>
      <c r="K614" s="653"/>
      <c r="L614" s="653"/>
      <c r="M614" s="653"/>
      <c r="N614" s="653"/>
      <c r="O614" s="653"/>
      <c r="P614" s="653"/>
      <c r="Q614" s="653"/>
      <c r="R614" s="653"/>
      <c r="S614" s="653"/>
      <c r="T614" s="653"/>
      <c r="U614" s="653"/>
      <c r="V614" s="653"/>
      <c r="W614" s="653"/>
      <c r="X614" s="653"/>
      <c r="Y614" s="653"/>
      <c r="Z614" s="653"/>
      <c r="AA614" s="653"/>
      <c r="AH614" s="653"/>
      <c r="AI614" s="653"/>
      <c r="AJ614" s="653"/>
      <c r="AK614" s="653"/>
    </row>
    <row r="615" spans="1:37">
      <c r="A615" s="653"/>
      <c r="B615" s="651"/>
      <c r="C615" s="653"/>
      <c r="D615" s="653"/>
      <c r="E615" s="653"/>
      <c r="F615" s="653"/>
      <c r="G615" s="653"/>
      <c r="H615" s="653"/>
      <c r="I615" s="653"/>
      <c r="J615" s="653"/>
      <c r="K615" s="653"/>
      <c r="L615" s="653"/>
      <c r="M615" s="653"/>
      <c r="N615" s="653"/>
      <c r="O615" s="653"/>
      <c r="P615" s="653"/>
      <c r="Q615" s="653"/>
      <c r="R615" s="653"/>
      <c r="S615" s="653"/>
      <c r="T615" s="653"/>
      <c r="U615" s="653"/>
      <c r="V615" s="653"/>
      <c r="W615" s="653"/>
      <c r="X615" s="653"/>
      <c r="Y615" s="653"/>
      <c r="Z615" s="653"/>
      <c r="AA615" s="653"/>
      <c r="AH615" s="653"/>
      <c r="AI615" s="653"/>
      <c r="AJ615" s="653"/>
      <c r="AK615" s="653"/>
    </row>
    <row r="616" spans="1:37">
      <c r="A616" s="653"/>
      <c r="B616" s="651"/>
      <c r="C616" s="653"/>
      <c r="D616" s="653"/>
      <c r="E616" s="653"/>
      <c r="F616" s="653"/>
      <c r="G616" s="653"/>
      <c r="H616" s="653"/>
      <c r="I616" s="653"/>
      <c r="J616" s="653"/>
      <c r="K616" s="653"/>
      <c r="L616" s="653"/>
      <c r="M616" s="653"/>
      <c r="N616" s="653"/>
      <c r="O616" s="653"/>
      <c r="P616" s="653"/>
      <c r="Q616" s="653"/>
      <c r="R616" s="653"/>
      <c r="S616" s="653"/>
      <c r="T616" s="653"/>
      <c r="U616" s="653"/>
      <c r="V616" s="653"/>
      <c r="W616" s="653"/>
      <c r="X616" s="653"/>
      <c r="Y616" s="653"/>
      <c r="Z616" s="653"/>
      <c r="AA616" s="653"/>
      <c r="AH616" s="653"/>
      <c r="AI616" s="653"/>
      <c r="AJ616" s="653"/>
      <c r="AK616" s="653"/>
    </row>
    <row r="617" spans="1:37">
      <c r="A617" s="653"/>
      <c r="B617" s="651"/>
      <c r="C617" s="653"/>
      <c r="D617" s="653"/>
      <c r="E617" s="653"/>
      <c r="F617" s="653"/>
      <c r="G617" s="653"/>
      <c r="H617" s="653"/>
      <c r="I617" s="653"/>
      <c r="J617" s="653"/>
      <c r="K617" s="653"/>
      <c r="L617" s="653"/>
      <c r="M617" s="653"/>
      <c r="N617" s="653"/>
      <c r="O617" s="653"/>
      <c r="P617" s="653"/>
      <c r="Q617" s="653"/>
      <c r="R617" s="653"/>
      <c r="S617" s="653"/>
      <c r="T617" s="653"/>
      <c r="U617" s="653"/>
      <c r="V617" s="653"/>
      <c r="W617" s="653"/>
      <c r="X617" s="653"/>
      <c r="Y617" s="653"/>
      <c r="Z617" s="653"/>
      <c r="AA617" s="653"/>
      <c r="AH617" s="653"/>
      <c r="AI617" s="653"/>
      <c r="AJ617" s="653"/>
      <c r="AK617" s="653"/>
    </row>
    <row r="618" spans="1:37">
      <c r="A618" s="653"/>
      <c r="B618" s="651"/>
      <c r="C618" s="653"/>
      <c r="D618" s="653"/>
      <c r="E618" s="653"/>
      <c r="F618" s="653"/>
      <c r="G618" s="653"/>
      <c r="H618" s="653"/>
      <c r="I618" s="653"/>
      <c r="J618" s="653"/>
      <c r="K618" s="653"/>
      <c r="L618" s="653"/>
      <c r="M618" s="653"/>
      <c r="N618" s="653"/>
      <c r="O618" s="653"/>
      <c r="P618" s="653"/>
      <c r="Q618" s="653"/>
      <c r="R618" s="653"/>
      <c r="S618" s="653"/>
      <c r="T618" s="653"/>
      <c r="U618" s="653"/>
      <c r="V618" s="653"/>
      <c r="W618" s="653"/>
      <c r="X618" s="653"/>
      <c r="Y618" s="653"/>
      <c r="Z618" s="653"/>
      <c r="AA618" s="653"/>
      <c r="AH618" s="653"/>
      <c r="AI618" s="653"/>
      <c r="AJ618" s="653"/>
      <c r="AK618" s="653"/>
    </row>
    <row r="619" spans="1:37">
      <c r="A619" s="653"/>
      <c r="B619" s="651"/>
      <c r="C619" s="653"/>
      <c r="D619" s="653"/>
      <c r="E619" s="653"/>
      <c r="F619" s="653"/>
      <c r="G619" s="653"/>
      <c r="H619" s="653"/>
      <c r="I619" s="653"/>
      <c r="J619" s="653"/>
      <c r="K619" s="653"/>
      <c r="L619" s="653"/>
      <c r="M619" s="653"/>
      <c r="N619" s="653"/>
      <c r="O619" s="653"/>
      <c r="P619" s="653"/>
      <c r="Q619" s="653"/>
      <c r="R619" s="653"/>
      <c r="S619" s="653"/>
      <c r="T619" s="653"/>
      <c r="U619" s="653"/>
      <c r="V619" s="653"/>
      <c r="W619" s="653"/>
      <c r="X619" s="653"/>
      <c r="Y619" s="653"/>
      <c r="Z619" s="653"/>
      <c r="AA619" s="653"/>
      <c r="AH619" s="653"/>
      <c r="AI619" s="653"/>
      <c r="AJ619" s="653"/>
      <c r="AK619" s="653"/>
    </row>
    <row r="620" spans="1:37">
      <c r="A620" s="653"/>
      <c r="B620" s="651"/>
      <c r="C620" s="653"/>
      <c r="D620" s="653"/>
      <c r="E620" s="653"/>
      <c r="F620" s="653"/>
      <c r="G620" s="653"/>
      <c r="H620" s="653"/>
      <c r="I620" s="653"/>
      <c r="J620" s="653"/>
      <c r="K620" s="653"/>
      <c r="L620" s="653"/>
      <c r="M620" s="653"/>
      <c r="N620" s="653"/>
      <c r="O620" s="653"/>
      <c r="P620" s="653"/>
      <c r="Q620" s="653"/>
      <c r="R620" s="653"/>
      <c r="S620" s="653"/>
      <c r="T620" s="653"/>
      <c r="U620" s="653"/>
      <c r="V620" s="653"/>
      <c r="W620" s="653"/>
      <c r="X620" s="653"/>
      <c r="Y620" s="653"/>
      <c r="Z620" s="653"/>
      <c r="AA620" s="653"/>
      <c r="AH620" s="653"/>
      <c r="AI620" s="653"/>
      <c r="AJ620" s="653"/>
      <c r="AK620" s="653"/>
    </row>
    <row r="621" spans="1:37">
      <c r="A621" s="653"/>
      <c r="B621" s="651"/>
      <c r="C621" s="653"/>
      <c r="D621" s="653"/>
      <c r="E621" s="653"/>
      <c r="F621" s="653"/>
      <c r="G621" s="653"/>
      <c r="H621" s="653"/>
      <c r="I621" s="653"/>
      <c r="J621" s="653"/>
      <c r="K621" s="653"/>
      <c r="L621" s="653"/>
      <c r="M621" s="653"/>
      <c r="N621" s="653"/>
      <c r="O621" s="653"/>
      <c r="P621" s="653"/>
      <c r="Q621" s="653"/>
      <c r="R621" s="653"/>
      <c r="S621" s="653"/>
      <c r="T621" s="653"/>
      <c r="U621" s="653"/>
      <c r="V621" s="653"/>
      <c r="W621" s="653"/>
      <c r="X621" s="653"/>
      <c r="Y621" s="653"/>
      <c r="Z621" s="653"/>
      <c r="AA621" s="653"/>
      <c r="AH621" s="653"/>
      <c r="AI621" s="653"/>
      <c r="AJ621" s="653"/>
      <c r="AK621" s="653"/>
    </row>
    <row r="622" spans="1:37">
      <c r="A622" s="653"/>
      <c r="B622" s="651"/>
      <c r="C622" s="653"/>
      <c r="D622" s="653"/>
      <c r="E622" s="653"/>
      <c r="F622" s="653"/>
      <c r="G622" s="653"/>
      <c r="H622" s="653"/>
      <c r="I622" s="653"/>
      <c r="J622" s="653"/>
      <c r="K622" s="653"/>
      <c r="L622" s="653"/>
      <c r="M622" s="653"/>
      <c r="N622" s="653"/>
      <c r="O622" s="653"/>
      <c r="P622" s="653"/>
      <c r="Q622" s="653"/>
      <c r="R622" s="653"/>
      <c r="S622" s="653"/>
      <c r="T622" s="653"/>
      <c r="U622" s="653"/>
      <c r="V622" s="653"/>
      <c r="W622" s="653"/>
      <c r="X622" s="653"/>
      <c r="Y622" s="653"/>
      <c r="Z622" s="653"/>
      <c r="AA622" s="653"/>
      <c r="AH622" s="653"/>
      <c r="AI622" s="653"/>
      <c r="AJ622" s="653"/>
      <c r="AK622" s="653"/>
    </row>
    <row r="623" spans="1:37">
      <c r="A623" s="653"/>
      <c r="B623" s="651"/>
      <c r="C623" s="653"/>
      <c r="D623" s="653"/>
      <c r="E623" s="653"/>
      <c r="F623" s="653"/>
      <c r="G623" s="653"/>
      <c r="H623" s="653"/>
      <c r="I623" s="653"/>
      <c r="J623" s="653"/>
      <c r="K623" s="653"/>
      <c r="L623" s="653"/>
      <c r="M623" s="653"/>
      <c r="N623" s="653"/>
      <c r="O623" s="653"/>
      <c r="P623" s="653"/>
      <c r="Q623" s="653"/>
      <c r="R623" s="653"/>
      <c r="S623" s="653"/>
      <c r="T623" s="653"/>
      <c r="U623" s="653"/>
      <c r="V623" s="653"/>
      <c r="W623" s="653"/>
      <c r="X623" s="653"/>
      <c r="Y623" s="653"/>
      <c r="Z623" s="653"/>
      <c r="AA623" s="653"/>
      <c r="AH623" s="653"/>
      <c r="AI623" s="653"/>
      <c r="AJ623" s="653"/>
      <c r="AK623" s="653"/>
    </row>
    <row r="624" spans="1:37">
      <c r="A624" s="653"/>
      <c r="B624" s="651"/>
      <c r="C624" s="653"/>
      <c r="D624" s="653"/>
      <c r="E624" s="653"/>
      <c r="F624" s="653"/>
      <c r="G624" s="653"/>
      <c r="H624" s="653"/>
      <c r="I624" s="653"/>
      <c r="J624" s="653"/>
      <c r="K624" s="653"/>
      <c r="L624" s="653"/>
      <c r="M624" s="653"/>
      <c r="N624" s="653"/>
      <c r="O624" s="653"/>
      <c r="P624" s="653"/>
      <c r="Q624" s="653"/>
      <c r="R624" s="653"/>
      <c r="S624" s="653"/>
      <c r="T624" s="653"/>
      <c r="U624" s="653"/>
      <c r="V624" s="653"/>
      <c r="W624" s="653"/>
      <c r="X624" s="653"/>
      <c r="Y624" s="653"/>
      <c r="Z624" s="653"/>
      <c r="AA624" s="653"/>
      <c r="AH624" s="653"/>
      <c r="AI624" s="653"/>
      <c r="AJ624" s="653"/>
      <c r="AK624" s="653"/>
    </row>
    <row r="625" spans="1:37">
      <c r="A625" s="653"/>
      <c r="B625" s="651"/>
      <c r="C625" s="653"/>
      <c r="D625" s="653"/>
      <c r="E625" s="653"/>
      <c r="F625" s="653"/>
      <c r="G625" s="653"/>
      <c r="H625" s="653"/>
      <c r="I625" s="653"/>
      <c r="J625" s="653"/>
      <c r="K625" s="653"/>
      <c r="L625" s="653"/>
      <c r="M625" s="653"/>
      <c r="N625" s="653"/>
      <c r="O625" s="653"/>
      <c r="P625" s="653"/>
      <c r="Q625" s="653"/>
      <c r="R625" s="653"/>
      <c r="S625" s="653"/>
      <c r="T625" s="653"/>
      <c r="U625" s="653"/>
      <c r="V625" s="653"/>
      <c r="W625" s="653"/>
      <c r="X625" s="653"/>
      <c r="Y625" s="653"/>
      <c r="Z625" s="653"/>
      <c r="AA625" s="653"/>
      <c r="AH625" s="653"/>
      <c r="AI625" s="653"/>
      <c r="AJ625" s="653"/>
      <c r="AK625" s="653"/>
    </row>
    <row r="626" spans="1:37">
      <c r="A626" s="653"/>
      <c r="B626" s="651"/>
      <c r="C626" s="653"/>
      <c r="D626" s="653"/>
      <c r="E626" s="653"/>
      <c r="F626" s="653"/>
      <c r="G626" s="653"/>
      <c r="H626" s="653"/>
      <c r="I626" s="653"/>
      <c r="J626" s="653"/>
      <c r="K626" s="653"/>
      <c r="L626" s="653"/>
      <c r="M626" s="653"/>
      <c r="N626" s="653"/>
      <c r="O626" s="653"/>
      <c r="P626" s="653"/>
      <c r="Q626" s="653"/>
      <c r="R626" s="653"/>
      <c r="S626" s="653"/>
      <c r="T626" s="653"/>
      <c r="U626" s="653"/>
      <c r="V626" s="653"/>
      <c r="W626" s="653"/>
      <c r="X626" s="653"/>
      <c r="Y626" s="653"/>
      <c r="Z626" s="653"/>
      <c r="AA626" s="653"/>
      <c r="AH626" s="653"/>
      <c r="AI626" s="653"/>
      <c r="AJ626" s="653"/>
      <c r="AK626" s="653"/>
    </row>
    <row r="627" spans="1:37">
      <c r="A627" s="653"/>
      <c r="B627" s="651"/>
      <c r="C627" s="653"/>
      <c r="D627" s="653"/>
      <c r="E627" s="653"/>
      <c r="F627" s="653"/>
      <c r="G627" s="653"/>
      <c r="H627" s="653"/>
      <c r="I627" s="653"/>
      <c r="J627" s="653"/>
      <c r="K627" s="653"/>
      <c r="L627" s="653"/>
      <c r="M627" s="653"/>
      <c r="N627" s="653"/>
      <c r="O627" s="653"/>
      <c r="P627" s="653"/>
      <c r="Q627" s="653"/>
      <c r="R627" s="653"/>
      <c r="S627" s="653"/>
      <c r="T627" s="653"/>
      <c r="U627" s="653"/>
      <c r="V627" s="653"/>
      <c r="W627" s="653"/>
      <c r="X627" s="653"/>
      <c r="Y627" s="653"/>
      <c r="Z627" s="653"/>
      <c r="AA627" s="653"/>
      <c r="AH627" s="653"/>
      <c r="AI627" s="653"/>
      <c r="AJ627" s="653"/>
      <c r="AK627" s="653"/>
    </row>
    <row r="628" spans="1:37">
      <c r="A628" s="653"/>
      <c r="B628" s="651"/>
      <c r="C628" s="653"/>
      <c r="D628" s="653"/>
      <c r="E628" s="653"/>
      <c r="F628" s="653"/>
      <c r="G628" s="653"/>
      <c r="H628" s="653"/>
      <c r="I628" s="653"/>
      <c r="J628" s="653"/>
      <c r="K628" s="653"/>
      <c r="L628" s="653"/>
      <c r="M628" s="653"/>
      <c r="N628" s="653"/>
      <c r="O628" s="653"/>
      <c r="P628" s="653"/>
      <c r="Q628" s="653"/>
      <c r="R628" s="653"/>
      <c r="S628" s="653"/>
      <c r="T628" s="653"/>
      <c r="U628" s="653"/>
      <c r="V628" s="653"/>
      <c r="W628" s="653"/>
      <c r="X628" s="653"/>
      <c r="Y628" s="653"/>
      <c r="Z628" s="653"/>
      <c r="AA628" s="653"/>
      <c r="AH628" s="653"/>
      <c r="AI628" s="653"/>
      <c r="AJ628" s="653"/>
      <c r="AK628" s="653"/>
    </row>
    <row r="629" spans="1:37">
      <c r="A629" s="653"/>
      <c r="B629" s="651"/>
      <c r="C629" s="653"/>
      <c r="D629" s="653"/>
      <c r="E629" s="653"/>
      <c r="F629" s="653"/>
      <c r="G629" s="653"/>
      <c r="H629" s="653"/>
      <c r="I629" s="653"/>
      <c r="J629" s="653"/>
      <c r="K629" s="653"/>
      <c r="L629" s="653"/>
      <c r="M629" s="653"/>
      <c r="N629" s="653"/>
      <c r="O629" s="653"/>
      <c r="P629" s="653"/>
      <c r="Q629" s="653"/>
      <c r="R629" s="653"/>
      <c r="S629" s="653"/>
      <c r="T629" s="653"/>
      <c r="U629" s="653"/>
      <c r="V629" s="653"/>
      <c r="W629" s="653"/>
      <c r="X629" s="653"/>
      <c r="Y629" s="653"/>
      <c r="Z629" s="653"/>
      <c r="AA629" s="653"/>
      <c r="AH629" s="653"/>
      <c r="AI629" s="653"/>
      <c r="AJ629" s="653"/>
      <c r="AK629" s="653"/>
    </row>
    <row r="630" spans="1:37">
      <c r="A630" s="653"/>
      <c r="B630" s="651"/>
      <c r="C630" s="653"/>
      <c r="D630" s="653"/>
      <c r="E630" s="653"/>
      <c r="F630" s="653"/>
      <c r="G630" s="653"/>
      <c r="H630" s="653"/>
      <c r="I630" s="653"/>
      <c r="J630" s="653"/>
      <c r="K630" s="653"/>
      <c r="L630" s="653"/>
      <c r="M630" s="653"/>
      <c r="N630" s="653"/>
      <c r="O630" s="653"/>
      <c r="P630" s="653"/>
      <c r="Q630" s="653"/>
      <c r="R630" s="653"/>
      <c r="S630" s="653"/>
      <c r="T630" s="653"/>
      <c r="U630" s="653"/>
      <c r="V630" s="653"/>
      <c r="W630" s="653"/>
      <c r="X630" s="653"/>
      <c r="Y630" s="653"/>
      <c r="Z630" s="653"/>
      <c r="AA630" s="653"/>
      <c r="AH630" s="653"/>
      <c r="AI630" s="653"/>
      <c r="AJ630" s="653"/>
      <c r="AK630" s="653"/>
    </row>
    <row r="631" spans="1:37">
      <c r="A631" s="653"/>
      <c r="B631" s="651"/>
      <c r="C631" s="653"/>
      <c r="D631" s="653"/>
      <c r="E631" s="653"/>
      <c r="F631" s="653"/>
      <c r="G631" s="653"/>
      <c r="H631" s="653"/>
      <c r="I631" s="653"/>
      <c r="J631" s="653"/>
      <c r="K631" s="653"/>
      <c r="L631" s="653"/>
      <c r="M631" s="653"/>
      <c r="N631" s="653"/>
      <c r="O631" s="653"/>
      <c r="P631" s="653"/>
      <c r="Q631" s="653"/>
      <c r="R631" s="653"/>
      <c r="S631" s="653"/>
      <c r="T631" s="653"/>
      <c r="U631" s="653"/>
      <c r="V631" s="653"/>
      <c r="W631" s="653"/>
      <c r="X631" s="653"/>
      <c r="Y631" s="653"/>
      <c r="Z631" s="653"/>
      <c r="AA631" s="653"/>
      <c r="AH631" s="653"/>
      <c r="AI631" s="653"/>
      <c r="AJ631" s="653"/>
      <c r="AK631" s="653"/>
    </row>
    <row r="632" spans="1:37">
      <c r="A632" s="653"/>
      <c r="B632" s="651"/>
      <c r="C632" s="653"/>
      <c r="D632" s="653"/>
      <c r="E632" s="653"/>
      <c r="F632" s="653"/>
      <c r="G632" s="653"/>
      <c r="H632" s="653"/>
      <c r="I632" s="653"/>
      <c r="J632" s="653"/>
      <c r="K632" s="653"/>
      <c r="L632" s="653"/>
      <c r="M632" s="653"/>
      <c r="N632" s="653"/>
      <c r="O632" s="653"/>
      <c r="P632" s="653"/>
      <c r="Q632" s="653"/>
      <c r="R632" s="653"/>
      <c r="S632" s="653"/>
      <c r="T632" s="653"/>
      <c r="U632" s="653"/>
      <c r="V632" s="653"/>
      <c r="W632" s="653"/>
      <c r="X632" s="653"/>
      <c r="Y632" s="653"/>
      <c r="Z632" s="653"/>
      <c r="AA632" s="653"/>
      <c r="AH632" s="653"/>
      <c r="AI632" s="653"/>
      <c r="AJ632" s="653"/>
      <c r="AK632" s="653"/>
    </row>
    <row r="633" spans="1:37">
      <c r="A633" s="653"/>
      <c r="B633" s="651"/>
      <c r="C633" s="653"/>
      <c r="D633" s="653"/>
      <c r="E633" s="653"/>
      <c r="F633" s="653"/>
      <c r="G633" s="653"/>
      <c r="H633" s="653"/>
      <c r="I633" s="653"/>
      <c r="J633" s="653"/>
      <c r="K633" s="653"/>
      <c r="L633" s="653"/>
      <c r="M633" s="653"/>
      <c r="N633" s="653"/>
      <c r="O633" s="653"/>
      <c r="P633" s="653"/>
      <c r="Q633" s="653"/>
      <c r="R633" s="653"/>
      <c r="S633" s="653"/>
      <c r="T633" s="653"/>
      <c r="U633" s="653"/>
      <c r="V633" s="653"/>
      <c r="W633" s="653"/>
      <c r="X633" s="653"/>
      <c r="Y633" s="653"/>
      <c r="Z633" s="653"/>
      <c r="AA633" s="653"/>
      <c r="AH633" s="653"/>
      <c r="AI633" s="653"/>
      <c r="AJ633" s="653"/>
      <c r="AK633" s="653"/>
    </row>
    <row r="634" spans="1:37">
      <c r="A634" s="653"/>
      <c r="B634" s="651"/>
      <c r="C634" s="653"/>
      <c r="D634" s="653"/>
      <c r="E634" s="653"/>
      <c r="F634" s="653"/>
      <c r="G634" s="653"/>
      <c r="H634" s="653"/>
      <c r="I634" s="653"/>
      <c r="J634" s="653"/>
      <c r="K634" s="653"/>
      <c r="L634" s="653"/>
      <c r="M634" s="653"/>
      <c r="N634" s="653"/>
      <c r="O634" s="653"/>
      <c r="P634" s="653"/>
      <c r="Q634" s="653"/>
      <c r="R634" s="653"/>
      <c r="S634" s="653"/>
      <c r="T634" s="653"/>
      <c r="U634" s="653"/>
      <c r="V634" s="653"/>
      <c r="W634" s="653"/>
      <c r="X634" s="653"/>
      <c r="Y634" s="653"/>
      <c r="Z634" s="653"/>
      <c r="AA634" s="653"/>
      <c r="AH634" s="653"/>
      <c r="AI634" s="653"/>
      <c r="AJ634" s="653"/>
      <c r="AK634" s="653"/>
    </row>
    <row r="635" spans="1:37">
      <c r="A635" s="653"/>
      <c r="B635" s="651"/>
      <c r="C635" s="653"/>
      <c r="D635" s="653"/>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H635" s="653"/>
      <c r="AI635" s="653"/>
      <c r="AJ635" s="653"/>
      <c r="AK635" s="653"/>
    </row>
    <row r="636" spans="1:37">
      <c r="A636" s="653"/>
      <c r="B636" s="651"/>
      <c r="C636" s="653"/>
      <c r="D636" s="653"/>
      <c r="E636" s="653"/>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H636" s="653"/>
      <c r="AI636" s="653"/>
      <c r="AJ636" s="653"/>
      <c r="AK636" s="653"/>
    </row>
    <row r="637" spans="1:37">
      <c r="A637" s="653"/>
      <c r="B637" s="651"/>
      <c r="C637" s="653"/>
      <c r="D637" s="653"/>
      <c r="E637" s="653"/>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H637" s="653"/>
      <c r="AI637" s="653"/>
      <c r="AJ637" s="653"/>
      <c r="AK637" s="653"/>
    </row>
    <row r="638" spans="1:37">
      <c r="A638" s="653"/>
      <c r="B638" s="651"/>
      <c r="C638" s="653"/>
      <c r="D638" s="65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H638" s="653"/>
      <c r="AI638" s="653"/>
      <c r="AJ638" s="653"/>
      <c r="AK638" s="653"/>
    </row>
    <row r="639" spans="1:37">
      <c r="A639" s="653"/>
      <c r="B639" s="651"/>
      <c r="C639" s="653"/>
      <c r="D639" s="653"/>
      <c r="E639" s="653"/>
      <c r="F639" s="653"/>
      <c r="G639" s="653"/>
      <c r="H639" s="653"/>
      <c r="I639" s="653"/>
      <c r="J639" s="653"/>
      <c r="K639" s="653"/>
      <c r="L639" s="653"/>
      <c r="M639" s="653"/>
      <c r="N639" s="653"/>
      <c r="O639" s="653"/>
      <c r="P639" s="653"/>
      <c r="Q639" s="653"/>
      <c r="R639" s="653"/>
      <c r="S639" s="653"/>
      <c r="T639" s="653"/>
      <c r="U639" s="653"/>
      <c r="V639" s="653"/>
      <c r="W639" s="653"/>
      <c r="X639" s="653"/>
      <c r="Y639" s="653"/>
      <c r="Z639" s="653"/>
      <c r="AA639" s="653"/>
      <c r="AH639" s="653"/>
      <c r="AI639" s="653"/>
      <c r="AJ639" s="653"/>
      <c r="AK639" s="653"/>
    </row>
    <row r="640" spans="1:37">
      <c r="A640" s="653"/>
      <c r="B640" s="651"/>
      <c r="C640" s="653"/>
      <c r="D640" s="653"/>
      <c r="E640" s="653"/>
      <c r="F640" s="653"/>
      <c r="G640" s="653"/>
      <c r="H640" s="653"/>
      <c r="I640" s="653"/>
      <c r="J640" s="653"/>
      <c r="K640" s="653"/>
      <c r="L640" s="653"/>
      <c r="M640" s="653"/>
      <c r="N640" s="653"/>
      <c r="O640" s="653"/>
      <c r="P640" s="653"/>
      <c r="Q640" s="653"/>
      <c r="R640" s="653"/>
      <c r="S640" s="653"/>
      <c r="T640" s="653"/>
      <c r="U640" s="653"/>
      <c r="V640" s="653"/>
      <c r="W640" s="653"/>
      <c r="X640" s="653"/>
      <c r="Y640" s="653"/>
      <c r="Z640" s="653"/>
      <c r="AA640" s="653"/>
      <c r="AH640" s="653"/>
      <c r="AI640" s="653"/>
      <c r="AJ640" s="653"/>
      <c r="AK640" s="653"/>
    </row>
    <row r="641" spans="1:37">
      <c r="A641" s="653"/>
      <c r="B641" s="651"/>
      <c r="C641" s="653"/>
      <c r="D641" s="653"/>
      <c r="E641" s="653"/>
      <c r="F641" s="653"/>
      <c r="G641" s="653"/>
      <c r="H641" s="653"/>
      <c r="I641" s="653"/>
      <c r="J641" s="653"/>
      <c r="K641" s="653"/>
      <c r="L641" s="653"/>
      <c r="M641" s="653"/>
      <c r="N641" s="653"/>
      <c r="O641" s="653"/>
      <c r="P641" s="653"/>
      <c r="Q641" s="653"/>
      <c r="R641" s="653"/>
      <c r="S641" s="653"/>
      <c r="T641" s="653"/>
      <c r="U641" s="653"/>
      <c r="V641" s="653"/>
      <c r="W641" s="653"/>
      <c r="X641" s="653"/>
      <c r="Y641" s="653"/>
      <c r="Z641" s="653"/>
      <c r="AA641" s="653"/>
      <c r="AH641" s="653"/>
      <c r="AI641" s="653"/>
      <c r="AJ641" s="653"/>
      <c r="AK641" s="653"/>
    </row>
    <row r="642" spans="1:37">
      <c r="A642" s="653"/>
      <c r="B642" s="651"/>
      <c r="C642" s="653"/>
      <c r="D642" s="653"/>
      <c r="E642" s="653"/>
      <c r="F642" s="653"/>
      <c r="G642" s="653"/>
      <c r="H642" s="653"/>
      <c r="I642" s="653"/>
      <c r="J642" s="653"/>
      <c r="K642" s="653"/>
      <c r="L642" s="653"/>
      <c r="M642" s="653"/>
      <c r="N642" s="653"/>
      <c r="O642" s="653"/>
      <c r="P642" s="653"/>
      <c r="Q642" s="653"/>
      <c r="R642" s="653"/>
      <c r="S642" s="653"/>
      <c r="T642" s="653"/>
      <c r="U642" s="653"/>
      <c r="V642" s="653"/>
      <c r="W642" s="653"/>
      <c r="X642" s="653"/>
      <c r="Y642" s="653"/>
      <c r="Z642" s="653"/>
      <c r="AA642" s="653"/>
      <c r="AH642" s="653"/>
      <c r="AI642" s="653"/>
      <c r="AJ642" s="653"/>
      <c r="AK642" s="653"/>
    </row>
    <row r="643" spans="1:37">
      <c r="A643" s="653"/>
      <c r="B643" s="651"/>
      <c r="C643" s="653"/>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H643" s="653"/>
      <c r="AI643" s="653"/>
      <c r="AJ643" s="653"/>
      <c r="AK643" s="653"/>
    </row>
    <row r="644" spans="1:37">
      <c r="A644" s="653"/>
      <c r="B644" s="651"/>
      <c r="C644" s="653"/>
      <c r="D644" s="653"/>
      <c r="E644" s="653"/>
      <c r="F644" s="653"/>
      <c r="G644" s="653"/>
      <c r="H644" s="653"/>
      <c r="I644" s="653"/>
      <c r="J644" s="653"/>
      <c r="K644" s="653"/>
      <c r="L644" s="653"/>
      <c r="M644" s="653"/>
      <c r="N644" s="653"/>
      <c r="O644" s="653"/>
      <c r="P644" s="653"/>
      <c r="Q644" s="653"/>
      <c r="R644" s="653"/>
      <c r="S644" s="653"/>
      <c r="T644" s="653"/>
      <c r="U644" s="653"/>
      <c r="V644" s="653"/>
      <c r="W644" s="653"/>
      <c r="X644" s="653"/>
      <c r="Y644" s="653"/>
      <c r="Z644" s="653"/>
      <c r="AA644" s="653"/>
      <c r="AH644" s="653"/>
      <c r="AI644" s="653"/>
      <c r="AJ644" s="653"/>
      <c r="AK644" s="653"/>
    </row>
    <row r="645" spans="1:37">
      <c r="A645" s="653"/>
      <c r="B645" s="651"/>
      <c r="C645" s="653"/>
      <c r="D645" s="653"/>
      <c r="E645" s="653"/>
      <c r="F645" s="653"/>
      <c r="G645" s="653"/>
      <c r="H645" s="653"/>
      <c r="I645" s="653"/>
      <c r="J645" s="653"/>
      <c r="K645" s="653"/>
      <c r="L645" s="653"/>
      <c r="M645" s="653"/>
      <c r="N645" s="653"/>
      <c r="O645" s="653"/>
      <c r="P645" s="653"/>
      <c r="Q645" s="653"/>
      <c r="R645" s="653"/>
      <c r="S645" s="653"/>
      <c r="T645" s="653"/>
      <c r="U645" s="653"/>
      <c r="V645" s="653"/>
      <c r="W645" s="653"/>
      <c r="X645" s="653"/>
      <c r="Y645" s="653"/>
      <c r="Z645" s="653"/>
      <c r="AA645" s="653"/>
      <c r="AH645" s="653"/>
      <c r="AI645" s="653"/>
      <c r="AJ645" s="653"/>
      <c r="AK645" s="653"/>
    </row>
    <row r="646" spans="1:37">
      <c r="A646" s="653"/>
      <c r="B646" s="651"/>
      <c r="C646" s="653"/>
      <c r="D646" s="653"/>
      <c r="E646" s="653"/>
      <c r="F646" s="653"/>
      <c r="G646" s="653"/>
      <c r="H646" s="653"/>
      <c r="I646" s="653"/>
      <c r="J646" s="653"/>
      <c r="K646" s="653"/>
      <c r="L646" s="653"/>
      <c r="M646" s="653"/>
      <c r="N646" s="653"/>
      <c r="O646" s="653"/>
      <c r="P646" s="653"/>
      <c r="Q646" s="653"/>
      <c r="R646" s="653"/>
      <c r="S646" s="653"/>
      <c r="T646" s="653"/>
      <c r="U646" s="653"/>
      <c r="V646" s="653"/>
      <c r="W646" s="653"/>
      <c r="X646" s="653"/>
      <c r="Y646" s="653"/>
      <c r="Z646" s="653"/>
      <c r="AA646" s="653"/>
      <c r="AH646" s="653"/>
      <c r="AI646" s="653"/>
      <c r="AJ646" s="653"/>
      <c r="AK646" s="653"/>
    </row>
    <row r="647" spans="1:37">
      <c r="A647" s="653"/>
      <c r="B647" s="651"/>
      <c r="C647" s="653"/>
      <c r="D647" s="653"/>
      <c r="E647" s="653"/>
      <c r="F647" s="653"/>
      <c r="G647" s="653"/>
      <c r="H647" s="653"/>
      <c r="I647" s="653"/>
      <c r="J647" s="653"/>
      <c r="K647" s="653"/>
      <c r="L647" s="653"/>
      <c r="M647" s="653"/>
      <c r="N647" s="653"/>
      <c r="O647" s="653"/>
      <c r="P647" s="653"/>
      <c r="Q647" s="653"/>
      <c r="R647" s="653"/>
      <c r="S647" s="653"/>
      <c r="T647" s="653"/>
      <c r="U647" s="653"/>
      <c r="V647" s="653"/>
      <c r="W647" s="653"/>
      <c r="X647" s="653"/>
      <c r="Y647" s="653"/>
      <c r="Z647" s="653"/>
      <c r="AA647" s="653"/>
      <c r="AH647" s="653"/>
      <c r="AI647" s="653"/>
      <c r="AJ647" s="653"/>
      <c r="AK647" s="653"/>
    </row>
    <row r="648" spans="1:37">
      <c r="A648" s="653"/>
      <c r="B648" s="651"/>
      <c r="C648" s="653"/>
      <c r="D648" s="653"/>
      <c r="E648" s="653"/>
      <c r="F648" s="653"/>
      <c r="G648" s="653"/>
      <c r="H648" s="653"/>
      <c r="I648" s="653"/>
      <c r="J648" s="653"/>
      <c r="K648" s="653"/>
      <c r="L648" s="653"/>
      <c r="M648" s="653"/>
      <c r="N648" s="653"/>
      <c r="O648" s="653"/>
      <c r="P648" s="653"/>
      <c r="Q648" s="653"/>
      <c r="R648" s="653"/>
      <c r="S648" s="653"/>
      <c r="T648" s="653"/>
      <c r="U648" s="653"/>
      <c r="V648" s="653"/>
      <c r="W648" s="653"/>
      <c r="X648" s="653"/>
      <c r="Y648" s="653"/>
      <c r="Z648" s="653"/>
      <c r="AA648" s="653"/>
      <c r="AH648" s="653"/>
      <c r="AI648" s="653"/>
      <c r="AJ648" s="653"/>
      <c r="AK648" s="653"/>
    </row>
    <row r="649" spans="1:37">
      <c r="A649" s="653"/>
      <c r="B649" s="651"/>
      <c r="C649" s="653"/>
      <c r="D649" s="653"/>
      <c r="E649" s="653"/>
      <c r="F649" s="653"/>
      <c r="G649" s="653"/>
      <c r="H649" s="653"/>
      <c r="I649" s="653"/>
      <c r="J649" s="653"/>
      <c r="K649" s="653"/>
      <c r="L649" s="653"/>
      <c r="M649" s="653"/>
      <c r="N649" s="653"/>
      <c r="O649" s="653"/>
      <c r="P649" s="653"/>
      <c r="Q649" s="653"/>
      <c r="R649" s="653"/>
      <c r="S649" s="653"/>
      <c r="T649" s="653"/>
      <c r="U649" s="653"/>
      <c r="V649" s="653"/>
      <c r="W649" s="653"/>
      <c r="X649" s="653"/>
      <c r="Y649" s="653"/>
      <c r="Z649" s="653"/>
      <c r="AA649" s="653"/>
      <c r="AH649" s="653"/>
      <c r="AI649" s="653"/>
      <c r="AJ649" s="653"/>
      <c r="AK649" s="653"/>
    </row>
    <row r="650" spans="1:37">
      <c r="A650" s="653"/>
      <c r="B650" s="651"/>
      <c r="C650" s="653"/>
      <c r="D650" s="653"/>
      <c r="E650" s="653"/>
      <c r="F650" s="653"/>
      <c r="G650" s="653"/>
      <c r="H650" s="653"/>
      <c r="I650" s="653"/>
      <c r="J650" s="653"/>
      <c r="K650" s="653"/>
      <c r="L650" s="653"/>
      <c r="M650" s="653"/>
      <c r="N650" s="653"/>
      <c r="O650" s="653"/>
      <c r="P650" s="653"/>
      <c r="Q650" s="653"/>
      <c r="R650" s="653"/>
      <c r="S650" s="653"/>
      <c r="T650" s="653"/>
      <c r="U650" s="653"/>
      <c r="V650" s="653"/>
      <c r="W650" s="653"/>
      <c r="X650" s="653"/>
      <c r="Y650" s="653"/>
      <c r="Z650" s="653"/>
      <c r="AA650" s="653"/>
      <c r="AH650" s="653"/>
      <c r="AI650" s="653"/>
      <c r="AJ650" s="653"/>
      <c r="AK650" s="653"/>
    </row>
    <row r="651" spans="1:37">
      <c r="A651" s="653"/>
      <c r="B651" s="651"/>
      <c r="C651" s="653"/>
      <c r="D651" s="653"/>
      <c r="E651" s="653"/>
      <c r="F651" s="653"/>
      <c r="G651" s="653"/>
      <c r="H651" s="653"/>
      <c r="I651" s="653"/>
      <c r="J651" s="653"/>
      <c r="K651" s="653"/>
      <c r="L651" s="653"/>
      <c r="M651" s="653"/>
      <c r="N651" s="653"/>
      <c r="O651" s="653"/>
      <c r="P651" s="653"/>
      <c r="Q651" s="653"/>
      <c r="R651" s="653"/>
      <c r="S651" s="653"/>
      <c r="T651" s="653"/>
      <c r="U651" s="653"/>
      <c r="V651" s="653"/>
      <c r="W651" s="653"/>
      <c r="X651" s="653"/>
      <c r="Y651" s="653"/>
      <c r="Z651" s="653"/>
      <c r="AA651" s="653"/>
      <c r="AH651" s="653"/>
      <c r="AI651" s="653"/>
      <c r="AJ651" s="653"/>
      <c r="AK651" s="653"/>
    </row>
    <row r="652" spans="1:37">
      <c r="A652" s="653"/>
      <c r="B652" s="651"/>
      <c r="C652" s="653"/>
      <c r="D652" s="653"/>
      <c r="E652" s="653"/>
      <c r="F652" s="653"/>
      <c r="G652" s="653"/>
      <c r="H652" s="653"/>
      <c r="I652" s="653"/>
      <c r="J652" s="653"/>
      <c r="K652" s="653"/>
      <c r="L652" s="653"/>
      <c r="M652" s="653"/>
      <c r="N652" s="653"/>
      <c r="O652" s="653"/>
      <c r="P652" s="653"/>
      <c r="Q652" s="653"/>
      <c r="R652" s="653"/>
      <c r="S652" s="653"/>
      <c r="T652" s="653"/>
      <c r="U652" s="653"/>
      <c r="V652" s="653"/>
      <c r="W652" s="653"/>
      <c r="X652" s="653"/>
      <c r="Y652" s="653"/>
      <c r="Z652" s="653"/>
      <c r="AA652" s="653"/>
      <c r="AH652" s="653"/>
      <c r="AI652" s="653"/>
      <c r="AJ652" s="653"/>
      <c r="AK652" s="653"/>
    </row>
    <row r="653" spans="1:37">
      <c r="A653" s="653"/>
      <c r="B653" s="651"/>
      <c r="C653" s="653"/>
      <c r="D653" s="653"/>
      <c r="E653" s="653"/>
      <c r="F653" s="653"/>
      <c r="G653" s="653"/>
      <c r="H653" s="653"/>
      <c r="I653" s="653"/>
      <c r="J653" s="653"/>
      <c r="K653" s="653"/>
      <c r="L653" s="653"/>
      <c r="M653" s="653"/>
      <c r="N653" s="653"/>
      <c r="O653" s="653"/>
      <c r="P653" s="653"/>
      <c r="Q653" s="653"/>
      <c r="R653" s="653"/>
      <c r="S653" s="653"/>
      <c r="T653" s="653"/>
      <c r="U653" s="653"/>
      <c r="V653" s="653"/>
      <c r="W653" s="653"/>
      <c r="X653" s="653"/>
      <c r="Y653" s="653"/>
      <c r="Z653" s="653"/>
      <c r="AA653" s="653"/>
      <c r="AH653" s="653"/>
      <c r="AI653" s="653"/>
      <c r="AJ653" s="653"/>
      <c r="AK653" s="653"/>
    </row>
    <row r="654" spans="1:37">
      <c r="A654" s="653"/>
      <c r="B654" s="651"/>
      <c r="C654" s="653"/>
      <c r="D654" s="653"/>
      <c r="E654" s="653"/>
      <c r="F654" s="653"/>
      <c r="G654" s="653"/>
      <c r="H654" s="653"/>
      <c r="I654" s="653"/>
      <c r="J654" s="653"/>
      <c r="K654" s="653"/>
      <c r="L654" s="653"/>
      <c r="M654" s="653"/>
      <c r="N654" s="653"/>
      <c r="O654" s="653"/>
      <c r="P654" s="653"/>
      <c r="Q654" s="653"/>
      <c r="R654" s="653"/>
      <c r="S654" s="653"/>
      <c r="T654" s="653"/>
      <c r="U654" s="653"/>
      <c r="V654" s="653"/>
      <c r="W654" s="653"/>
      <c r="X654" s="653"/>
      <c r="Y654" s="653"/>
      <c r="Z654" s="653"/>
      <c r="AA654" s="653"/>
      <c r="AH654" s="653"/>
      <c r="AI654" s="653"/>
      <c r="AJ654" s="653"/>
      <c r="AK654" s="653"/>
    </row>
    <row r="655" spans="1:37">
      <c r="A655" s="653"/>
      <c r="B655" s="651"/>
      <c r="C655" s="653"/>
      <c r="D655" s="653"/>
      <c r="E655" s="653"/>
      <c r="F655" s="653"/>
      <c r="G655" s="653"/>
      <c r="H655" s="653"/>
      <c r="I655" s="653"/>
      <c r="J655" s="653"/>
      <c r="K655" s="653"/>
      <c r="L655" s="653"/>
      <c r="M655" s="653"/>
      <c r="N655" s="653"/>
      <c r="O655" s="653"/>
      <c r="P655" s="653"/>
      <c r="Q655" s="653"/>
      <c r="R655" s="653"/>
      <c r="S655" s="653"/>
      <c r="T655" s="653"/>
      <c r="U655" s="653"/>
      <c r="V655" s="653"/>
      <c r="W655" s="653"/>
      <c r="X655" s="653"/>
      <c r="Y655" s="653"/>
      <c r="Z655" s="653"/>
      <c r="AA655" s="653"/>
      <c r="AH655" s="653"/>
      <c r="AI655" s="653"/>
      <c r="AJ655" s="653"/>
      <c r="AK655" s="653"/>
    </row>
    <row r="656" spans="1:37">
      <c r="A656" s="653"/>
      <c r="B656" s="651"/>
      <c r="C656" s="653"/>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H656" s="653"/>
      <c r="AI656" s="653"/>
      <c r="AJ656" s="653"/>
      <c r="AK656" s="653"/>
    </row>
    <row r="657" spans="1:37">
      <c r="A657" s="653"/>
      <c r="B657" s="651"/>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H657" s="653"/>
      <c r="AI657" s="653"/>
      <c r="AJ657" s="653"/>
      <c r="AK657" s="653"/>
    </row>
    <row r="658" spans="1:37">
      <c r="A658" s="653"/>
      <c r="B658" s="651"/>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H658" s="653"/>
      <c r="AI658" s="653"/>
      <c r="AJ658" s="653"/>
      <c r="AK658" s="653"/>
    </row>
    <row r="659" spans="1:37">
      <c r="A659" s="653"/>
      <c r="B659" s="651"/>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H659" s="653"/>
      <c r="AI659" s="653"/>
      <c r="AJ659" s="653"/>
      <c r="AK659" s="653"/>
    </row>
    <row r="660" spans="1:37">
      <c r="A660" s="653"/>
      <c r="B660" s="651"/>
      <c r="C660" s="653"/>
      <c r="D660" s="653"/>
      <c r="E660" s="653"/>
      <c r="F660" s="653"/>
      <c r="G660" s="653"/>
      <c r="H660" s="653"/>
      <c r="I660" s="653"/>
      <c r="J660" s="653"/>
      <c r="K660" s="653"/>
      <c r="L660" s="653"/>
      <c r="M660" s="653"/>
      <c r="N660" s="653"/>
      <c r="O660" s="653"/>
      <c r="P660" s="653"/>
      <c r="Q660" s="653"/>
      <c r="R660" s="653"/>
      <c r="S660" s="653"/>
      <c r="T660" s="653"/>
      <c r="U660" s="653"/>
      <c r="V660" s="653"/>
      <c r="W660" s="653"/>
      <c r="X660" s="653"/>
      <c r="Y660" s="653"/>
      <c r="Z660" s="653"/>
      <c r="AA660" s="653"/>
      <c r="AH660" s="653"/>
      <c r="AI660" s="653"/>
      <c r="AJ660" s="653"/>
      <c r="AK660" s="653"/>
    </row>
    <row r="661" spans="1:37">
      <c r="A661" s="653"/>
      <c r="B661" s="651"/>
      <c r="C661" s="653"/>
      <c r="D661" s="653"/>
      <c r="E661" s="653"/>
      <c r="F661" s="653"/>
      <c r="G661" s="653"/>
      <c r="H661" s="653"/>
      <c r="I661" s="653"/>
      <c r="J661" s="653"/>
      <c r="K661" s="653"/>
      <c r="L661" s="653"/>
      <c r="M661" s="653"/>
      <c r="N661" s="653"/>
      <c r="O661" s="653"/>
      <c r="P661" s="653"/>
      <c r="Q661" s="653"/>
      <c r="R661" s="653"/>
      <c r="S661" s="653"/>
      <c r="T661" s="653"/>
      <c r="U661" s="653"/>
      <c r="V661" s="653"/>
      <c r="W661" s="653"/>
      <c r="X661" s="653"/>
      <c r="Y661" s="653"/>
      <c r="Z661" s="653"/>
      <c r="AA661" s="653"/>
      <c r="AH661" s="653"/>
      <c r="AI661" s="653"/>
      <c r="AJ661" s="653"/>
      <c r="AK661" s="653"/>
    </row>
    <row r="662" spans="1:37">
      <c r="A662" s="653"/>
      <c r="B662" s="651"/>
      <c r="C662" s="653"/>
      <c r="D662" s="653"/>
      <c r="E662" s="653"/>
      <c r="F662" s="653"/>
      <c r="G662" s="653"/>
      <c r="H662" s="653"/>
      <c r="I662" s="653"/>
      <c r="J662" s="653"/>
      <c r="K662" s="653"/>
      <c r="L662" s="653"/>
      <c r="M662" s="653"/>
      <c r="N662" s="653"/>
      <c r="O662" s="653"/>
      <c r="P662" s="653"/>
      <c r="Q662" s="653"/>
      <c r="R662" s="653"/>
      <c r="S662" s="653"/>
      <c r="T662" s="653"/>
      <c r="U662" s="653"/>
      <c r="V662" s="653"/>
      <c r="W662" s="653"/>
      <c r="X662" s="653"/>
      <c r="Y662" s="653"/>
      <c r="Z662" s="653"/>
      <c r="AA662" s="653"/>
      <c r="AH662" s="653"/>
      <c r="AI662" s="653"/>
      <c r="AJ662" s="653"/>
      <c r="AK662" s="653"/>
    </row>
    <row r="663" spans="1:37">
      <c r="A663" s="653"/>
      <c r="B663" s="651"/>
      <c r="C663" s="653"/>
      <c r="D663" s="653"/>
      <c r="E663" s="653"/>
      <c r="F663" s="653"/>
      <c r="G663" s="653"/>
      <c r="H663" s="653"/>
      <c r="I663" s="653"/>
      <c r="J663" s="653"/>
      <c r="K663" s="653"/>
      <c r="L663" s="653"/>
      <c r="M663" s="653"/>
      <c r="N663" s="653"/>
      <c r="O663" s="653"/>
      <c r="P663" s="653"/>
      <c r="Q663" s="653"/>
      <c r="R663" s="653"/>
      <c r="S663" s="653"/>
      <c r="T663" s="653"/>
      <c r="U663" s="653"/>
      <c r="V663" s="653"/>
      <c r="W663" s="653"/>
      <c r="X663" s="653"/>
      <c r="Y663" s="653"/>
      <c r="Z663" s="653"/>
      <c r="AA663" s="653"/>
      <c r="AH663" s="653"/>
      <c r="AI663" s="653"/>
      <c r="AJ663" s="653"/>
      <c r="AK663" s="653"/>
    </row>
    <row r="664" spans="1:37">
      <c r="A664" s="653"/>
      <c r="B664" s="651"/>
      <c r="C664" s="653"/>
      <c r="D664" s="653"/>
      <c r="E664" s="653"/>
      <c r="F664" s="653"/>
      <c r="G664" s="653"/>
      <c r="H664" s="653"/>
      <c r="I664" s="653"/>
      <c r="J664" s="653"/>
      <c r="K664" s="653"/>
      <c r="L664" s="653"/>
      <c r="M664" s="653"/>
      <c r="N664" s="653"/>
      <c r="O664" s="653"/>
      <c r="P664" s="653"/>
      <c r="Q664" s="653"/>
      <c r="R664" s="653"/>
      <c r="S664" s="653"/>
      <c r="T664" s="653"/>
      <c r="U664" s="653"/>
      <c r="V664" s="653"/>
      <c r="W664" s="653"/>
      <c r="X664" s="653"/>
      <c r="Y664" s="653"/>
      <c r="Z664" s="653"/>
      <c r="AA664" s="653"/>
      <c r="AH664" s="653"/>
      <c r="AI664" s="653"/>
      <c r="AJ664" s="653"/>
      <c r="AK664" s="653"/>
    </row>
    <row r="665" spans="1:37">
      <c r="A665" s="653"/>
      <c r="B665" s="651"/>
      <c r="C665" s="653"/>
      <c r="D665" s="653"/>
      <c r="E665" s="653"/>
      <c r="F665" s="653"/>
      <c r="G665" s="653"/>
      <c r="H665" s="653"/>
      <c r="I665" s="653"/>
      <c r="J665" s="653"/>
      <c r="K665" s="653"/>
      <c r="L665" s="653"/>
      <c r="M665" s="653"/>
      <c r="N665" s="653"/>
      <c r="O665" s="653"/>
      <c r="P665" s="653"/>
      <c r="Q665" s="653"/>
      <c r="R665" s="653"/>
      <c r="S665" s="653"/>
      <c r="T665" s="653"/>
      <c r="U665" s="653"/>
      <c r="V665" s="653"/>
      <c r="W665" s="653"/>
      <c r="X665" s="653"/>
      <c r="Y665" s="653"/>
      <c r="Z665" s="653"/>
      <c r="AA665" s="653"/>
      <c r="AH665" s="653"/>
      <c r="AI665" s="653"/>
      <c r="AJ665" s="653"/>
      <c r="AK665" s="653"/>
    </row>
    <row r="666" spans="1:37">
      <c r="A666" s="653"/>
      <c r="B666" s="651"/>
      <c r="C666" s="653"/>
      <c r="D666" s="653"/>
      <c r="E666" s="653"/>
      <c r="F666" s="653"/>
      <c r="G666" s="653"/>
      <c r="H666" s="653"/>
      <c r="I666" s="653"/>
      <c r="J666" s="653"/>
      <c r="K666" s="653"/>
      <c r="L666" s="653"/>
      <c r="M666" s="653"/>
      <c r="N666" s="653"/>
      <c r="O666" s="653"/>
      <c r="P666" s="653"/>
      <c r="Q666" s="653"/>
      <c r="R666" s="653"/>
      <c r="S666" s="653"/>
      <c r="T666" s="653"/>
      <c r="U666" s="653"/>
      <c r="V666" s="653"/>
      <c r="W666" s="653"/>
      <c r="X666" s="653"/>
      <c r="Y666" s="653"/>
      <c r="Z666" s="653"/>
      <c r="AA666" s="653"/>
      <c r="AH666" s="653"/>
      <c r="AI666" s="653"/>
      <c r="AJ666" s="653"/>
      <c r="AK666" s="653"/>
    </row>
    <row r="667" spans="1:37">
      <c r="A667" s="653"/>
      <c r="B667" s="651"/>
      <c r="C667" s="653"/>
      <c r="D667" s="653"/>
      <c r="E667" s="653"/>
      <c r="F667" s="653"/>
      <c r="G667" s="653"/>
      <c r="H667" s="653"/>
      <c r="I667" s="653"/>
      <c r="J667" s="653"/>
      <c r="K667" s="653"/>
      <c r="L667" s="653"/>
      <c r="M667" s="653"/>
      <c r="N667" s="653"/>
      <c r="O667" s="653"/>
      <c r="P667" s="653"/>
      <c r="Q667" s="653"/>
      <c r="R667" s="653"/>
      <c r="S667" s="653"/>
      <c r="T667" s="653"/>
      <c r="U667" s="653"/>
      <c r="V667" s="653"/>
      <c r="W667" s="653"/>
      <c r="X667" s="653"/>
      <c r="Y667" s="653"/>
      <c r="Z667" s="653"/>
      <c r="AA667" s="653"/>
      <c r="AH667" s="653"/>
      <c r="AI667" s="653"/>
      <c r="AJ667" s="653"/>
      <c r="AK667" s="653"/>
    </row>
    <row r="668" spans="1:37">
      <c r="A668" s="653"/>
      <c r="B668" s="651"/>
      <c r="C668" s="653"/>
      <c r="D668" s="653"/>
      <c r="E668" s="653"/>
      <c r="F668" s="653"/>
      <c r="G668" s="653"/>
      <c r="H668" s="653"/>
      <c r="I668" s="653"/>
      <c r="J668" s="653"/>
      <c r="K668" s="653"/>
      <c r="L668" s="653"/>
      <c r="M668" s="653"/>
      <c r="N668" s="653"/>
      <c r="O668" s="653"/>
      <c r="P668" s="653"/>
      <c r="Q668" s="653"/>
      <c r="R668" s="653"/>
      <c r="S668" s="653"/>
      <c r="T668" s="653"/>
      <c r="U668" s="653"/>
      <c r="V668" s="653"/>
      <c r="W668" s="653"/>
      <c r="X668" s="653"/>
      <c r="Y668" s="653"/>
      <c r="Z668" s="653"/>
      <c r="AA668" s="653"/>
      <c r="AH668" s="653"/>
      <c r="AI668" s="653"/>
      <c r="AJ668" s="653"/>
      <c r="AK668" s="653"/>
    </row>
    <row r="669" spans="1:37">
      <c r="A669" s="653"/>
      <c r="B669" s="651"/>
      <c r="C669" s="653"/>
      <c r="D669" s="653"/>
      <c r="E669" s="653"/>
      <c r="F669" s="653"/>
      <c r="G669" s="653"/>
      <c r="H669" s="653"/>
      <c r="I669" s="653"/>
      <c r="J669" s="653"/>
      <c r="K669" s="653"/>
      <c r="L669" s="653"/>
      <c r="M669" s="653"/>
      <c r="N669" s="653"/>
      <c r="O669" s="653"/>
      <c r="P669" s="653"/>
      <c r="Q669" s="653"/>
      <c r="R669" s="653"/>
      <c r="S669" s="653"/>
      <c r="T669" s="653"/>
      <c r="U669" s="653"/>
      <c r="V669" s="653"/>
      <c r="W669" s="653"/>
      <c r="X669" s="653"/>
      <c r="Y669" s="653"/>
      <c r="Z669" s="653"/>
      <c r="AA669" s="653"/>
      <c r="AH669" s="653"/>
      <c r="AI669" s="653"/>
      <c r="AJ669" s="653"/>
      <c r="AK669" s="653"/>
    </row>
    <row r="670" spans="1:37">
      <c r="A670" s="653"/>
      <c r="B670" s="651"/>
      <c r="C670" s="653"/>
      <c r="D670" s="653"/>
      <c r="E670" s="653"/>
      <c r="F670" s="653"/>
      <c r="G670" s="653"/>
      <c r="H670" s="653"/>
      <c r="I670" s="653"/>
      <c r="J670" s="653"/>
      <c r="K670" s="653"/>
      <c r="L670" s="653"/>
      <c r="M670" s="653"/>
      <c r="N670" s="653"/>
      <c r="O670" s="653"/>
      <c r="P670" s="653"/>
      <c r="Q670" s="653"/>
      <c r="R670" s="653"/>
      <c r="S670" s="653"/>
      <c r="T670" s="653"/>
      <c r="U670" s="653"/>
      <c r="V670" s="653"/>
      <c r="W670" s="653"/>
      <c r="X670" s="653"/>
      <c r="Y670" s="653"/>
      <c r="Z670" s="653"/>
      <c r="AA670" s="653"/>
      <c r="AH670" s="653"/>
      <c r="AI670" s="653"/>
      <c r="AJ670" s="653"/>
      <c r="AK670" s="653"/>
    </row>
    <row r="671" spans="1:37">
      <c r="A671" s="653"/>
      <c r="B671" s="651"/>
      <c r="C671" s="653"/>
      <c r="D671" s="653"/>
      <c r="E671" s="653"/>
      <c r="F671" s="653"/>
      <c r="G671" s="653"/>
      <c r="H671" s="653"/>
      <c r="I671" s="653"/>
      <c r="J671" s="653"/>
      <c r="K671" s="653"/>
      <c r="L671" s="653"/>
      <c r="M671" s="653"/>
      <c r="N671" s="653"/>
      <c r="O671" s="653"/>
      <c r="P671" s="653"/>
      <c r="Q671" s="653"/>
      <c r="R671" s="653"/>
      <c r="S671" s="653"/>
      <c r="T671" s="653"/>
      <c r="U671" s="653"/>
      <c r="V671" s="653"/>
      <c r="W671" s="653"/>
      <c r="X671" s="653"/>
      <c r="Y671" s="653"/>
      <c r="Z671" s="653"/>
      <c r="AA671" s="653"/>
      <c r="AH671" s="653"/>
      <c r="AI671" s="653"/>
      <c r="AJ671" s="653"/>
      <c r="AK671" s="653"/>
    </row>
    <row r="672" spans="1:37">
      <c r="A672" s="653"/>
      <c r="B672" s="651"/>
      <c r="C672" s="653"/>
      <c r="D672" s="653"/>
      <c r="E672" s="653"/>
      <c r="F672" s="653"/>
      <c r="G672" s="653"/>
      <c r="H672" s="653"/>
      <c r="I672" s="653"/>
      <c r="J672" s="653"/>
      <c r="K672" s="653"/>
      <c r="L672" s="653"/>
      <c r="M672" s="653"/>
      <c r="N672" s="653"/>
      <c r="O672" s="653"/>
      <c r="P672" s="653"/>
      <c r="Q672" s="653"/>
      <c r="R672" s="653"/>
      <c r="S672" s="653"/>
      <c r="T672" s="653"/>
      <c r="U672" s="653"/>
      <c r="V672" s="653"/>
      <c r="W672" s="653"/>
      <c r="X672" s="653"/>
      <c r="Y672" s="653"/>
      <c r="Z672" s="653"/>
      <c r="AA672" s="653"/>
      <c r="AH672" s="653"/>
      <c r="AI672" s="653"/>
      <c r="AJ672" s="653"/>
      <c r="AK672" s="653"/>
    </row>
    <row r="673" spans="1:37">
      <c r="A673" s="653"/>
      <c r="B673" s="651"/>
      <c r="C673" s="653"/>
      <c r="D673" s="653"/>
      <c r="E673" s="653"/>
      <c r="F673" s="653"/>
      <c r="G673" s="653"/>
      <c r="H673" s="653"/>
      <c r="I673" s="653"/>
      <c r="J673" s="653"/>
      <c r="K673" s="653"/>
      <c r="L673" s="653"/>
      <c r="M673" s="653"/>
      <c r="N673" s="653"/>
      <c r="O673" s="653"/>
      <c r="P673" s="653"/>
      <c r="Q673" s="653"/>
      <c r="R673" s="653"/>
      <c r="S673" s="653"/>
      <c r="T673" s="653"/>
      <c r="U673" s="653"/>
      <c r="V673" s="653"/>
      <c r="W673" s="653"/>
      <c r="X673" s="653"/>
      <c r="Y673" s="653"/>
      <c r="Z673" s="653"/>
      <c r="AA673" s="653"/>
      <c r="AH673" s="653"/>
      <c r="AI673" s="653"/>
      <c r="AJ673" s="653"/>
      <c r="AK673" s="653"/>
    </row>
    <row r="674" spans="1:37">
      <c r="A674" s="653"/>
      <c r="B674" s="651"/>
      <c r="C674" s="653"/>
      <c r="D674" s="653"/>
      <c r="E674" s="653"/>
      <c r="F674" s="653"/>
      <c r="G674" s="653"/>
      <c r="H674" s="653"/>
      <c r="I674" s="653"/>
      <c r="J674" s="653"/>
      <c r="K674" s="653"/>
      <c r="L674" s="653"/>
      <c r="M674" s="653"/>
      <c r="N674" s="653"/>
      <c r="O674" s="653"/>
      <c r="P674" s="653"/>
      <c r="Q674" s="653"/>
      <c r="R674" s="653"/>
      <c r="S674" s="653"/>
      <c r="T674" s="653"/>
      <c r="U674" s="653"/>
      <c r="V674" s="653"/>
      <c r="W674" s="653"/>
      <c r="X674" s="653"/>
      <c r="Y674" s="653"/>
      <c r="Z674" s="653"/>
      <c r="AA674" s="653"/>
      <c r="AH674" s="653"/>
      <c r="AI674" s="653"/>
      <c r="AJ674" s="653"/>
      <c r="AK674" s="653"/>
    </row>
    <row r="675" spans="1:37">
      <c r="A675" s="653"/>
      <c r="B675" s="651"/>
      <c r="C675" s="653"/>
      <c r="D675" s="653"/>
      <c r="E675" s="653"/>
      <c r="F675" s="653"/>
      <c r="G675" s="653"/>
      <c r="H675" s="653"/>
      <c r="I675" s="653"/>
      <c r="J675" s="653"/>
      <c r="K675" s="653"/>
      <c r="L675" s="653"/>
      <c r="M675" s="653"/>
      <c r="N675" s="653"/>
      <c r="O675" s="653"/>
      <c r="P675" s="653"/>
      <c r="Q675" s="653"/>
      <c r="R675" s="653"/>
      <c r="S675" s="653"/>
      <c r="T675" s="653"/>
      <c r="U675" s="653"/>
      <c r="V675" s="653"/>
      <c r="W675" s="653"/>
      <c r="X675" s="653"/>
      <c r="Y675" s="653"/>
      <c r="Z675" s="653"/>
      <c r="AA675" s="653"/>
      <c r="AH675" s="653"/>
      <c r="AI675" s="653"/>
      <c r="AJ675" s="653"/>
      <c r="AK675" s="653"/>
    </row>
    <row r="676" spans="1:37">
      <c r="A676" s="653"/>
      <c r="B676" s="651"/>
      <c r="C676" s="653"/>
      <c r="D676" s="653"/>
      <c r="E676" s="653"/>
      <c r="F676" s="653"/>
      <c r="G676" s="653"/>
      <c r="H676" s="653"/>
      <c r="I676" s="653"/>
      <c r="J676" s="653"/>
      <c r="K676" s="653"/>
      <c r="L676" s="653"/>
      <c r="M676" s="653"/>
      <c r="N676" s="653"/>
      <c r="O676" s="653"/>
      <c r="P676" s="653"/>
      <c r="Q676" s="653"/>
      <c r="R676" s="653"/>
      <c r="S676" s="653"/>
      <c r="T676" s="653"/>
      <c r="U676" s="653"/>
      <c r="V676" s="653"/>
      <c r="W676" s="653"/>
      <c r="X676" s="653"/>
      <c r="Y676" s="653"/>
      <c r="Z676" s="653"/>
      <c r="AA676" s="653"/>
      <c r="AH676" s="653"/>
      <c r="AI676" s="653"/>
      <c r="AJ676" s="653"/>
      <c r="AK676" s="653"/>
    </row>
    <row r="677" spans="1:37">
      <c r="A677" s="653"/>
      <c r="B677" s="651"/>
      <c r="C677" s="653"/>
      <c r="D677" s="65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H677" s="653"/>
      <c r="AI677" s="653"/>
      <c r="AJ677" s="653"/>
      <c r="AK677" s="653"/>
    </row>
    <row r="678" spans="1:37">
      <c r="A678" s="653"/>
      <c r="B678" s="651"/>
      <c r="C678" s="653"/>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H678" s="653"/>
      <c r="AI678" s="653"/>
      <c r="AJ678" s="653"/>
      <c r="AK678" s="653"/>
    </row>
    <row r="679" spans="1:37">
      <c r="A679" s="653"/>
      <c r="B679" s="651"/>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H679" s="653"/>
      <c r="AI679" s="653"/>
      <c r="AJ679" s="653"/>
      <c r="AK679" s="653"/>
    </row>
    <row r="680" spans="1:37">
      <c r="A680" s="653"/>
      <c r="B680" s="651"/>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H680" s="653"/>
      <c r="AI680" s="653"/>
      <c r="AJ680" s="653"/>
      <c r="AK680" s="653"/>
    </row>
    <row r="681" spans="1:37">
      <c r="A681" s="653"/>
      <c r="B681" s="651"/>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H681" s="653"/>
      <c r="AI681" s="653"/>
      <c r="AJ681" s="653"/>
      <c r="AK681" s="653"/>
    </row>
    <row r="682" spans="1:37">
      <c r="A682" s="653"/>
      <c r="B682" s="651"/>
      <c r="C682" s="653"/>
      <c r="D682" s="653"/>
      <c r="E682" s="653"/>
      <c r="F682" s="653"/>
      <c r="G682" s="653"/>
      <c r="H682" s="653"/>
      <c r="I682" s="653"/>
      <c r="J682" s="653"/>
      <c r="K682" s="653"/>
      <c r="L682" s="653"/>
      <c r="M682" s="653"/>
      <c r="N682" s="653"/>
      <c r="O682" s="653"/>
      <c r="P682" s="653"/>
      <c r="Q682" s="653"/>
      <c r="R682" s="653"/>
      <c r="S682" s="653"/>
      <c r="T682" s="653"/>
      <c r="U682" s="653"/>
      <c r="V682" s="653"/>
      <c r="W682" s="653"/>
      <c r="X682" s="653"/>
      <c r="Y682" s="653"/>
      <c r="Z682" s="653"/>
      <c r="AA682" s="653"/>
      <c r="AH682" s="653"/>
      <c r="AI682" s="653"/>
      <c r="AJ682" s="653"/>
      <c r="AK682" s="653"/>
    </row>
    <row r="683" spans="1:37">
      <c r="A683" s="653"/>
      <c r="B683" s="651"/>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H683" s="653"/>
      <c r="AI683" s="653"/>
      <c r="AJ683" s="653"/>
      <c r="AK683" s="653"/>
    </row>
    <row r="684" spans="1:37">
      <c r="A684" s="653"/>
      <c r="B684" s="651"/>
      <c r="C684" s="653"/>
      <c r="D684" s="653"/>
      <c r="E684" s="653"/>
      <c r="F684" s="653"/>
      <c r="G684" s="653"/>
      <c r="H684" s="653"/>
      <c r="I684" s="653"/>
      <c r="J684" s="653"/>
      <c r="K684" s="653"/>
      <c r="L684" s="653"/>
      <c r="M684" s="653"/>
      <c r="N684" s="653"/>
      <c r="O684" s="653"/>
      <c r="P684" s="653"/>
      <c r="Q684" s="653"/>
      <c r="R684" s="653"/>
      <c r="S684" s="653"/>
      <c r="T684" s="653"/>
      <c r="U684" s="653"/>
      <c r="V684" s="653"/>
      <c r="W684" s="653"/>
      <c r="X684" s="653"/>
      <c r="Y684" s="653"/>
      <c r="Z684" s="653"/>
      <c r="AA684" s="653"/>
      <c r="AH684" s="653"/>
      <c r="AI684" s="653"/>
      <c r="AJ684" s="653"/>
      <c r="AK684" s="653"/>
    </row>
    <row r="685" spans="1:37">
      <c r="A685" s="653"/>
      <c r="B685" s="651"/>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H685" s="653"/>
      <c r="AI685" s="653"/>
      <c r="AJ685" s="653"/>
      <c r="AK685" s="653"/>
    </row>
    <row r="686" spans="1:37">
      <c r="A686" s="653"/>
      <c r="B686" s="651"/>
      <c r="C686" s="653"/>
      <c r="D686" s="653"/>
      <c r="E686" s="653"/>
      <c r="F686" s="653"/>
      <c r="G686" s="653"/>
      <c r="H686" s="653"/>
      <c r="I686" s="653"/>
      <c r="J686" s="653"/>
      <c r="K686" s="653"/>
      <c r="L686" s="653"/>
      <c r="M686" s="653"/>
      <c r="N686" s="653"/>
      <c r="O686" s="653"/>
      <c r="P686" s="653"/>
      <c r="Q686" s="653"/>
      <c r="R686" s="653"/>
      <c r="S686" s="653"/>
      <c r="T686" s="653"/>
      <c r="U686" s="653"/>
      <c r="V686" s="653"/>
      <c r="W686" s="653"/>
      <c r="X686" s="653"/>
      <c r="Y686" s="653"/>
      <c r="Z686" s="653"/>
      <c r="AA686" s="653"/>
      <c r="AH686" s="653"/>
      <c r="AI686" s="653"/>
      <c r="AJ686" s="653"/>
      <c r="AK686" s="653"/>
    </row>
    <row r="687" spans="1:37">
      <c r="A687" s="653"/>
      <c r="B687" s="651"/>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H687" s="653"/>
      <c r="AI687" s="653"/>
      <c r="AJ687" s="653"/>
      <c r="AK687" s="653"/>
    </row>
    <row r="688" spans="1:37">
      <c r="A688" s="653"/>
      <c r="B688" s="651"/>
      <c r="C688" s="653"/>
      <c r="D688" s="653"/>
      <c r="E688" s="653"/>
      <c r="F688" s="653"/>
      <c r="G688" s="653"/>
      <c r="H688" s="653"/>
      <c r="I688" s="653"/>
      <c r="J688" s="653"/>
      <c r="K688" s="653"/>
      <c r="L688" s="653"/>
      <c r="M688" s="653"/>
      <c r="N688" s="653"/>
      <c r="O688" s="653"/>
      <c r="P688" s="653"/>
      <c r="Q688" s="653"/>
      <c r="R688" s="653"/>
      <c r="S688" s="653"/>
      <c r="T688" s="653"/>
      <c r="U688" s="653"/>
      <c r="V688" s="653"/>
      <c r="W688" s="653"/>
      <c r="X688" s="653"/>
      <c r="Y688" s="653"/>
      <c r="Z688" s="653"/>
      <c r="AA688" s="653"/>
      <c r="AH688" s="653"/>
      <c r="AI688" s="653"/>
      <c r="AJ688" s="653"/>
      <c r="AK688" s="653"/>
    </row>
    <row r="689" spans="1:37">
      <c r="A689" s="653"/>
      <c r="B689" s="651"/>
      <c r="C689" s="653"/>
      <c r="D689" s="653"/>
      <c r="E689" s="653"/>
      <c r="F689" s="653"/>
      <c r="G689" s="653"/>
      <c r="H689" s="653"/>
      <c r="I689" s="653"/>
      <c r="J689" s="653"/>
      <c r="K689" s="653"/>
      <c r="L689" s="653"/>
      <c r="M689" s="653"/>
      <c r="N689" s="653"/>
      <c r="O689" s="653"/>
      <c r="P689" s="653"/>
      <c r="Q689" s="653"/>
      <c r="R689" s="653"/>
      <c r="S689" s="653"/>
      <c r="T689" s="653"/>
      <c r="U689" s="653"/>
      <c r="V689" s="653"/>
      <c r="W689" s="653"/>
      <c r="X689" s="653"/>
      <c r="Y689" s="653"/>
      <c r="Z689" s="653"/>
      <c r="AA689" s="653"/>
      <c r="AH689" s="653"/>
      <c r="AI689" s="653"/>
      <c r="AJ689" s="653"/>
      <c r="AK689" s="653"/>
    </row>
    <row r="690" spans="1:37">
      <c r="A690" s="653"/>
      <c r="B690" s="651"/>
      <c r="C690" s="653"/>
      <c r="D690" s="653"/>
      <c r="E690" s="653"/>
      <c r="F690" s="653"/>
      <c r="G690" s="653"/>
      <c r="H690" s="653"/>
      <c r="I690" s="653"/>
      <c r="J690" s="653"/>
      <c r="K690" s="653"/>
      <c r="L690" s="653"/>
      <c r="M690" s="653"/>
      <c r="N690" s="653"/>
      <c r="O690" s="653"/>
      <c r="P690" s="653"/>
      <c r="Q690" s="653"/>
      <c r="R690" s="653"/>
      <c r="S690" s="653"/>
      <c r="T690" s="653"/>
      <c r="U690" s="653"/>
      <c r="V690" s="653"/>
      <c r="W690" s="653"/>
      <c r="X690" s="653"/>
      <c r="Y690" s="653"/>
      <c r="Z690" s="653"/>
      <c r="AA690" s="653"/>
      <c r="AH690" s="653"/>
      <c r="AI690" s="653"/>
      <c r="AJ690" s="653"/>
      <c r="AK690" s="653"/>
    </row>
    <row r="691" spans="1:37">
      <c r="A691" s="653"/>
      <c r="B691" s="651"/>
      <c r="C691" s="653"/>
      <c r="D691" s="653"/>
      <c r="E691" s="653"/>
      <c r="F691" s="653"/>
      <c r="G691" s="653"/>
      <c r="H691" s="653"/>
      <c r="I691" s="653"/>
      <c r="J691" s="653"/>
      <c r="K691" s="653"/>
      <c r="L691" s="653"/>
      <c r="M691" s="653"/>
      <c r="N691" s="653"/>
      <c r="O691" s="653"/>
      <c r="P691" s="653"/>
      <c r="Q691" s="653"/>
      <c r="R691" s="653"/>
      <c r="S691" s="653"/>
      <c r="T691" s="653"/>
      <c r="U691" s="653"/>
      <c r="V691" s="653"/>
      <c r="W691" s="653"/>
      <c r="X691" s="653"/>
      <c r="Y691" s="653"/>
      <c r="Z691" s="653"/>
      <c r="AA691" s="653"/>
      <c r="AH691" s="653"/>
      <c r="AI691" s="653"/>
      <c r="AJ691" s="653"/>
      <c r="AK691" s="653"/>
    </row>
    <row r="692" spans="1:37">
      <c r="A692" s="653"/>
      <c r="B692" s="651"/>
      <c r="C692" s="653"/>
      <c r="D692" s="653"/>
      <c r="E692" s="653"/>
      <c r="F692" s="653"/>
      <c r="G692" s="653"/>
      <c r="H692" s="653"/>
      <c r="I692" s="653"/>
      <c r="J692" s="653"/>
      <c r="K692" s="653"/>
      <c r="L692" s="653"/>
      <c r="M692" s="653"/>
      <c r="N692" s="653"/>
      <c r="O692" s="653"/>
      <c r="P692" s="653"/>
      <c r="Q692" s="653"/>
      <c r="R692" s="653"/>
      <c r="S692" s="653"/>
      <c r="T692" s="653"/>
      <c r="U692" s="653"/>
      <c r="V692" s="653"/>
      <c r="W692" s="653"/>
      <c r="X692" s="653"/>
      <c r="Y692" s="653"/>
      <c r="Z692" s="653"/>
      <c r="AA692" s="653"/>
      <c r="AH692" s="653"/>
      <c r="AI692" s="653"/>
      <c r="AJ692" s="653"/>
      <c r="AK692" s="653"/>
    </row>
    <row r="693" spans="1:37">
      <c r="A693" s="653"/>
      <c r="B693" s="651"/>
      <c r="C693" s="653"/>
      <c r="D693" s="653"/>
      <c r="E693" s="653"/>
      <c r="F693" s="653"/>
      <c r="G693" s="653"/>
      <c r="H693" s="653"/>
      <c r="I693" s="653"/>
      <c r="J693" s="653"/>
      <c r="K693" s="653"/>
      <c r="L693" s="653"/>
      <c r="M693" s="653"/>
      <c r="N693" s="653"/>
      <c r="O693" s="653"/>
      <c r="P693" s="653"/>
      <c r="Q693" s="653"/>
      <c r="R693" s="653"/>
      <c r="S693" s="653"/>
      <c r="T693" s="653"/>
      <c r="U693" s="653"/>
      <c r="V693" s="653"/>
      <c r="W693" s="653"/>
      <c r="X693" s="653"/>
      <c r="Y693" s="653"/>
      <c r="Z693" s="653"/>
      <c r="AA693" s="653"/>
      <c r="AH693" s="653"/>
      <c r="AI693" s="653"/>
      <c r="AJ693" s="653"/>
      <c r="AK693" s="653"/>
    </row>
    <row r="694" spans="1:37">
      <c r="A694" s="653"/>
      <c r="B694" s="651"/>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H694" s="653"/>
      <c r="AI694" s="653"/>
      <c r="AJ694" s="653"/>
      <c r="AK694" s="653"/>
    </row>
    <row r="695" spans="1:37">
      <c r="A695" s="653"/>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H695" s="653"/>
      <c r="AI695" s="653"/>
      <c r="AJ695" s="653"/>
      <c r="AK695" s="653"/>
    </row>
    <row r="696" spans="1:37">
      <c r="A696" s="653"/>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H696" s="653"/>
      <c r="AI696" s="653"/>
      <c r="AJ696" s="653"/>
      <c r="AK696" s="653"/>
    </row>
    <row r="697" spans="1:37">
      <c r="A697" s="653"/>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H697" s="653"/>
      <c r="AI697" s="653"/>
      <c r="AJ697" s="653"/>
      <c r="AK697" s="653"/>
    </row>
    <row r="698" spans="1:37">
      <c r="A698" s="653"/>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H698" s="653"/>
      <c r="AI698" s="653"/>
      <c r="AJ698" s="653"/>
      <c r="AK698" s="653"/>
    </row>
    <row r="699" spans="1:37">
      <c r="A699" s="653"/>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H699" s="653"/>
      <c r="AI699" s="653"/>
      <c r="AJ699" s="653"/>
      <c r="AK699" s="653"/>
    </row>
    <row r="700" spans="1:37">
      <c r="A700" s="653"/>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H700" s="653"/>
      <c r="AI700" s="653"/>
      <c r="AJ700" s="653"/>
      <c r="AK700" s="653"/>
    </row>
    <row r="701" spans="1:37">
      <c r="A701" s="653"/>
      <c r="B701" s="651"/>
      <c r="C701" s="653"/>
      <c r="D701" s="653"/>
      <c r="E701" s="653"/>
      <c r="F701" s="653"/>
      <c r="G701" s="653"/>
      <c r="H701" s="653"/>
      <c r="I701" s="653"/>
      <c r="J701" s="653"/>
      <c r="K701" s="653"/>
      <c r="L701" s="653"/>
      <c r="M701" s="653"/>
      <c r="N701" s="653"/>
      <c r="O701" s="653"/>
      <c r="P701" s="653"/>
      <c r="Q701" s="653"/>
      <c r="R701" s="653"/>
      <c r="S701" s="653"/>
      <c r="T701" s="653"/>
      <c r="U701" s="653"/>
      <c r="V701" s="653"/>
      <c r="W701" s="653"/>
      <c r="X701" s="653"/>
      <c r="Y701" s="653"/>
      <c r="Z701" s="653"/>
      <c r="AA701" s="653"/>
      <c r="AH701" s="653"/>
      <c r="AI701" s="653"/>
      <c r="AJ701" s="653"/>
      <c r="AK701" s="653"/>
    </row>
    <row r="702" spans="1:37">
      <c r="A702" s="653"/>
      <c r="B702" s="651"/>
      <c r="C702" s="653"/>
      <c r="D702" s="653"/>
      <c r="E702" s="653"/>
      <c r="F702" s="653"/>
      <c r="G702" s="653"/>
      <c r="H702" s="653"/>
      <c r="I702" s="653"/>
      <c r="J702" s="653"/>
      <c r="K702" s="653"/>
      <c r="L702" s="653"/>
      <c r="M702" s="653"/>
      <c r="N702" s="653"/>
      <c r="O702" s="653"/>
      <c r="P702" s="653"/>
      <c r="Q702" s="653"/>
      <c r="R702" s="653"/>
      <c r="S702" s="653"/>
      <c r="T702" s="653"/>
      <c r="U702" s="653"/>
      <c r="V702" s="653"/>
      <c r="W702" s="653"/>
      <c r="X702" s="653"/>
      <c r="Y702" s="653"/>
      <c r="Z702" s="653"/>
      <c r="AA702" s="653"/>
      <c r="AH702" s="653"/>
      <c r="AI702" s="653"/>
      <c r="AJ702" s="653"/>
      <c r="AK702" s="653"/>
    </row>
    <row r="703" spans="1:37">
      <c r="A703" s="653"/>
      <c r="B703" s="651"/>
      <c r="C703" s="653"/>
      <c r="D703" s="653"/>
      <c r="E703" s="653"/>
      <c r="F703" s="653"/>
      <c r="G703" s="653"/>
      <c r="H703" s="653"/>
      <c r="I703" s="653"/>
      <c r="J703" s="653"/>
      <c r="K703" s="653"/>
      <c r="L703" s="653"/>
      <c r="M703" s="653"/>
      <c r="N703" s="653"/>
      <c r="O703" s="653"/>
      <c r="P703" s="653"/>
      <c r="Q703" s="653"/>
      <c r="R703" s="653"/>
      <c r="S703" s="653"/>
      <c r="T703" s="653"/>
      <c r="U703" s="653"/>
      <c r="V703" s="653"/>
      <c r="W703" s="653"/>
      <c r="X703" s="653"/>
      <c r="Y703" s="653"/>
      <c r="Z703" s="653"/>
      <c r="AA703" s="653"/>
      <c r="AH703" s="653"/>
      <c r="AI703" s="653"/>
      <c r="AJ703" s="653"/>
      <c r="AK703" s="653"/>
    </row>
    <row r="704" spans="1:37">
      <c r="A704" s="653"/>
      <c r="B704" s="651"/>
      <c r="C704" s="653"/>
      <c r="D704" s="653"/>
      <c r="E704" s="653"/>
      <c r="F704" s="653"/>
      <c r="G704" s="653"/>
      <c r="H704" s="653"/>
      <c r="I704" s="653"/>
      <c r="J704" s="653"/>
      <c r="K704" s="653"/>
      <c r="L704" s="653"/>
      <c r="M704" s="653"/>
      <c r="N704" s="653"/>
      <c r="O704" s="653"/>
      <c r="P704" s="653"/>
      <c r="Q704" s="653"/>
      <c r="R704" s="653"/>
      <c r="S704" s="653"/>
      <c r="T704" s="653"/>
      <c r="U704" s="653"/>
      <c r="V704" s="653"/>
      <c r="W704" s="653"/>
      <c r="X704" s="653"/>
      <c r="Y704" s="653"/>
      <c r="Z704" s="653"/>
      <c r="AA704" s="653"/>
      <c r="AH704" s="653"/>
      <c r="AI704" s="653"/>
      <c r="AJ704" s="653"/>
      <c r="AK704" s="653"/>
    </row>
    <row r="705" spans="1:37">
      <c r="A705" s="653"/>
      <c r="B705" s="651"/>
      <c r="C705" s="653"/>
      <c r="D705" s="653"/>
      <c r="E705" s="653"/>
      <c r="F705" s="653"/>
      <c r="G705" s="653"/>
      <c r="H705" s="653"/>
      <c r="I705" s="653"/>
      <c r="J705" s="653"/>
      <c r="K705" s="653"/>
      <c r="L705" s="653"/>
      <c r="M705" s="653"/>
      <c r="N705" s="653"/>
      <c r="O705" s="653"/>
      <c r="P705" s="653"/>
      <c r="Q705" s="653"/>
      <c r="R705" s="653"/>
      <c r="S705" s="653"/>
      <c r="T705" s="653"/>
      <c r="U705" s="653"/>
      <c r="V705" s="653"/>
      <c r="W705" s="653"/>
      <c r="X705" s="653"/>
      <c r="Y705" s="653"/>
      <c r="Z705" s="653"/>
      <c r="AA705" s="653"/>
      <c r="AH705" s="653"/>
      <c r="AI705" s="653"/>
      <c r="AJ705" s="653"/>
      <c r="AK705" s="653"/>
    </row>
    <row r="706" spans="1:37">
      <c r="A706" s="653"/>
      <c r="B706" s="651"/>
      <c r="C706" s="653"/>
      <c r="D706" s="653"/>
      <c r="E706" s="653"/>
      <c r="F706" s="653"/>
      <c r="G706" s="653"/>
      <c r="H706" s="653"/>
      <c r="I706" s="653"/>
      <c r="J706" s="653"/>
      <c r="K706" s="653"/>
      <c r="L706" s="653"/>
      <c r="M706" s="653"/>
      <c r="N706" s="653"/>
      <c r="O706" s="653"/>
      <c r="P706" s="653"/>
      <c r="Q706" s="653"/>
      <c r="R706" s="653"/>
      <c r="S706" s="653"/>
      <c r="T706" s="653"/>
      <c r="U706" s="653"/>
      <c r="V706" s="653"/>
      <c r="W706" s="653"/>
      <c r="X706" s="653"/>
      <c r="Y706" s="653"/>
      <c r="Z706" s="653"/>
      <c r="AA706" s="653"/>
      <c r="AH706" s="653"/>
      <c r="AI706" s="653"/>
      <c r="AJ706" s="653"/>
      <c r="AK706" s="653"/>
    </row>
    <row r="707" spans="1:37">
      <c r="A707" s="653"/>
      <c r="B707" s="651"/>
      <c r="C707" s="653"/>
      <c r="D707" s="653"/>
      <c r="E707" s="653"/>
      <c r="F707" s="653"/>
      <c r="G707" s="653"/>
      <c r="H707" s="653"/>
      <c r="I707" s="653"/>
      <c r="J707" s="653"/>
      <c r="K707" s="653"/>
      <c r="L707" s="653"/>
      <c r="M707" s="653"/>
      <c r="N707" s="653"/>
      <c r="O707" s="653"/>
      <c r="P707" s="653"/>
      <c r="Q707" s="653"/>
      <c r="R707" s="653"/>
      <c r="S707" s="653"/>
      <c r="T707" s="653"/>
      <c r="U707" s="653"/>
      <c r="V707" s="653"/>
      <c r="W707" s="653"/>
      <c r="X707" s="653"/>
      <c r="Y707" s="653"/>
      <c r="Z707" s="653"/>
      <c r="AA707" s="653"/>
      <c r="AH707" s="653"/>
      <c r="AI707" s="653"/>
      <c r="AJ707" s="653"/>
      <c r="AK707" s="653"/>
    </row>
    <row r="708" spans="1:37">
      <c r="A708" s="653"/>
      <c r="B708" s="651"/>
      <c r="C708" s="653"/>
      <c r="D708" s="653"/>
      <c r="E708" s="653"/>
      <c r="F708" s="653"/>
      <c r="G708" s="653"/>
      <c r="H708" s="653"/>
      <c r="I708" s="653"/>
      <c r="J708" s="653"/>
      <c r="K708" s="653"/>
      <c r="L708" s="653"/>
      <c r="M708" s="653"/>
      <c r="N708" s="653"/>
      <c r="O708" s="653"/>
      <c r="P708" s="653"/>
      <c r="Q708" s="653"/>
      <c r="R708" s="653"/>
      <c r="S708" s="653"/>
      <c r="T708" s="653"/>
      <c r="U708" s="653"/>
      <c r="V708" s="653"/>
      <c r="W708" s="653"/>
      <c r="X708" s="653"/>
      <c r="Y708" s="653"/>
      <c r="Z708" s="653"/>
      <c r="AA708" s="653"/>
      <c r="AH708" s="653"/>
      <c r="AI708" s="653"/>
      <c r="AJ708" s="653"/>
      <c r="AK708" s="653"/>
    </row>
    <row r="709" spans="1:37">
      <c r="A709" s="653"/>
      <c r="B709" s="651"/>
      <c r="C709" s="653"/>
      <c r="D709" s="653"/>
      <c r="E709" s="653"/>
      <c r="F709" s="653"/>
      <c r="G709" s="653"/>
      <c r="H709" s="653"/>
      <c r="I709" s="653"/>
      <c r="J709" s="653"/>
      <c r="K709" s="653"/>
      <c r="L709" s="653"/>
      <c r="M709" s="653"/>
      <c r="N709" s="653"/>
      <c r="O709" s="653"/>
      <c r="P709" s="653"/>
      <c r="Q709" s="653"/>
      <c r="R709" s="653"/>
      <c r="S709" s="653"/>
      <c r="T709" s="653"/>
      <c r="U709" s="653"/>
      <c r="V709" s="653"/>
      <c r="W709" s="653"/>
      <c r="X709" s="653"/>
      <c r="Y709" s="653"/>
      <c r="Z709" s="653"/>
      <c r="AA709" s="653"/>
      <c r="AH709" s="653"/>
      <c r="AI709" s="653"/>
      <c r="AJ709" s="653"/>
      <c r="AK709" s="653"/>
    </row>
    <row r="710" spans="1:37">
      <c r="A710" s="653"/>
      <c r="B710" s="651"/>
      <c r="C710" s="653"/>
      <c r="D710" s="653"/>
      <c r="E710" s="653"/>
      <c r="F710" s="653"/>
      <c r="G710" s="653"/>
      <c r="H710" s="653"/>
      <c r="I710" s="653"/>
      <c r="J710" s="653"/>
      <c r="K710" s="653"/>
      <c r="L710" s="653"/>
      <c r="M710" s="653"/>
      <c r="N710" s="653"/>
      <c r="O710" s="653"/>
      <c r="P710" s="653"/>
      <c r="Q710" s="653"/>
      <c r="R710" s="653"/>
      <c r="S710" s="653"/>
      <c r="T710" s="653"/>
      <c r="U710" s="653"/>
      <c r="V710" s="653"/>
      <c r="W710" s="653"/>
      <c r="X710" s="653"/>
      <c r="Y710" s="653"/>
      <c r="Z710" s="653"/>
      <c r="AA710" s="653"/>
      <c r="AH710" s="653"/>
      <c r="AI710" s="653"/>
      <c r="AJ710" s="653"/>
      <c r="AK710" s="653"/>
    </row>
    <row r="711" spans="1:37">
      <c r="A711" s="653"/>
      <c r="B711" s="651"/>
      <c r="C711" s="653"/>
      <c r="D711" s="653"/>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H711" s="653"/>
      <c r="AI711" s="653"/>
      <c r="AJ711" s="653"/>
      <c r="AK711" s="653"/>
    </row>
    <row r="712" spans="1:37">
      <c r="A712" s="653"/>
      <c r="B712" s="651"/>
      <c r="C712" s="653"/>
      <c r="D712" s="653"/>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H712" s="653"/>
      <c r="AI712" s="653"/>
      <c r="AJ712" s="653"/>
      <c r="AK712" s="653"/>
    </row>
    <row r="713" spans="1:37">
      <c r="A713" s="653"/>
      <c r="B713" s="651"/>
      <c r="C713" s="653"/>
      <c r="D713" s="653"/>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H713" s="653"/>
      <c r="AI713" s="653"/>
      <c r="AJ713" s="653"/>
      <c r="AK713" s="653"/>
    </row>
    <row r="714" spans="1:37">
      <c r="A714" s="653"/>
      <c r="B714" s="651"/>
      <c r="C714" s="653"/>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H714" s="653"/>
      <c r="AI714" s="653"/>
      <c r="AJ714" s="653"/>
      <c r="AK714" s="653"/>
    </row>
    <row r="715" spans="1:37">
      <c r="A715" s="653"/>
      <c r="B715" s="651"/>
      <c r="C715" s="653"/>
      <c r="D715" s="653"/>
      <c r="E715" s="653"/>
      <c r="F715" s="653"/>
      <c r="G715" s="653"/>
      <c r="H715" s="653"/>
      <c r="I715" s="653"/>
      <c r="J715" s="653"/>
      <c r="K715" s="653"/>
      <c r="L715" s="653"/>
      <c r="M715" s="653"/>
      <c r="N715" s="653"/>
      <c r="O715" s="653"/>
      <c r="P715" s="653"/>
      <c r="Q715" s="653"/>
      <c r="R715" s="653"/>
      <c r="S715" s="653"/>
      <c r="T715" s="653"/>
      <c r="U715" s="653"/>
      <c r="V715" s="653"/>
      <c r="W715" s="653"/>
      <c r="X715" s="653"/>
      <c r="Y715" s="653"/>
      <c r="Z715" s="653"/>
      <c r="AA715" s="653"/>
      <c r="AH715" s="653"/>
      <c r="AI715" s="653"/>
      <c r="AJ715" s="653"/>
      <c r="AK715" s="653"/>
    </row>
    <row r="716" spans="1:37">
      <c r="A716" s="653"/>
      <c r="B716" s="651"/>
      <c r="C716" s="653"/>
      <c r="D716" s="653"/>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H716" s="653"/>
      <c r="AI716" s="653"/>
      <c r="AJ716" s="653"/>
      <c r="AK716" s="653"/>
    </row>
    <row r="717" spans="1:37">
      <c r="A717" s="653"/>
      <c r="B717" s="651"/>
      <c r="C717" s="653"/>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H717" s="653"/>
      <c r="AI717" s="653"/>
      <c r="AJ717" s="653"/>
      <c r="AK717" s="653"/>
    </row>
    <row r="718" spans="1:37">
      <c r="A718" s="653"/>
      <c r="B718" s="651"/>
      <c r="C718" s="653"/>
      <c r="D718" s="653"/>
      <c r="E718" s="653"/>
      <c r="F718" s="653"/>
      <c r="G718" s="653"/>
      <c r="H718" s="653"/>
      <c r="I718" s="653"/>
      <c r="J718" s="653"/>
      <c r="K718" s="653"/>
      <c r="L718" s="653"/>
      <c r="M718" s="653"/>
      <c r="N718" s="653"/>
      <c r="O718" s="653"/>
      <c r="P718" s="653"/>
      <c r="Q718" s="653"/>
      <c r="R718" s="653"/>
      <c r="S718" s="653"/>
      <c r="T718" s="653"/>
      <c r="U718" s="653"/>
      <c r="V718" s="653"/>
      <c r="W718" s="653"/>
      <c r="X718" s="653"/>
      <c r="Y718" s="653"/>
      <c r="Z718" s="653"/>
      <c r="AA718" s="653"/>
      <c r="AH718" s="653"/>
      <c r="AI718" s="653"/>
      <c r="AJ718" s="653"/>
      <c r="AK718" s="653"/>
    </row>
    <row r="719" spans="1:37">
      <c r="A719" s="653"/>
      <c r="B719" s="651"/>
      <c r="C719" s="653"/>
      <c r="D719" s="653"/>
      <c r="E719" s="653"/>
      <c r="F719" s="653"/>
      <c r="G719" s="653"/>
      <c r="H719" s="653"/>
      <c r="I719" s="653"/>
      <c r="J719" s="653"/>
      <c r="K719" s="653"/>
      <c r="L719" s="653"/>
      <c r="M719" s="653"/>
      <c r="N719" s="653"/>
      <c r="O719" s="653"/>
      <c r="P719" s="653"/>
      <c r="Q719" s="653"/>
      <c r="R719" s="653"/>
      <c r="S719" s="653"/>
      <c r="T719" s="653"/>
      <c r="U719" s="653"/>
      <c r="V719" s="653"/>
      <c r="W719" s="653"/>
      <c r="X719" s="653"/>
      <c r="Y719" s="653"/>
      <c r="Z719" s="653"/>
      <c r="AA719" s="653"/>
      <c r="AH719" s="653"/>
      <c r="AI719" s="653"/>
      <c r="AJ719" s="653"/>
      <c r="AK719" s="653"/>
    </row>
    <row r="720" spans="1:37">
      <c r="A720" s="653"/>
      <c r="B720" s="651"/>
      <c r="C720" s="653"/>
      <c r="D720" s="653"/>
      <c r="E720" s="653"/>
      <c r="F720" s="653"/>
      <c r="G720" s="653"/>
      <c r="H720" s="653"/>
      <c r="I720" s="653"/>
      <c r="J720" s="653"/>
      <c r="K720" s="653"/>
      <c r="L720" s="653"/>
      <c r="M720" s="653"/>
      <c r="N720" s="653"/>
      <c r="O720" s="653"/>
      <c r="P720" s="653"/>
      <c r="Q720" s="653"/>
      <c r="R720" s="653"/>
      <c r="S720" s="653"/>
      <c r="T720" s="653"/>
      <c r="U720" s="653"/>
      <c r="V720" s="653"/>
      <c r="W720" s="653"/>
      <c r="X720" s="653"/>
      <c r="Y720" s="653"/>
      <c r="Z720" s="653"/>
      <c r="AA720" s="653"/>
      <c r="AH720" s="653"/>
      <c r="AI720" s="653"/>
      <c r="AJ720" s="653"/>
      <c r="AK720" s="653"/>
    </row>
    <row r="721" spans="1:37">
      <c r="A721" s="653"/>
      <c r="B721" s="651"/>
      <c r="C721" s="653"/>
      <c r="D721" s="653"/>
      <c r="E721" s="653"/>
      <c r="F721" s="653"/>
      <c r="G721" s="653"/>
      <c r="H721" s="653"/>
      <c r="I721" s="653"/>
      <c r="J721" s="653"/>
      <c r="K721" s="653"/>
      <c r="L721" s="653"/>
      <c r="M721" s="653"/>
      <c r="N721" s="653"/>
      <c r="O721" s="653"/>
      <c r="P721" s="653"/>
      <c r="Q721" s="653"/>
      <c r="R721" s="653"/>
      <c r="S721" s="653"/>
      <c r="T721" s="653"/>
      <c r="U721" s="653"/>
      <c r="V721" s="653"/>
      <c r="W721" s="653"/>
      <c r="X721" s="653"/>
      <c r="Y721" s="653"/>
      <c r="Z721" s="653"/>
      <c r="AA721" s="653"/>
      <c r="AH721" s="653"/>
      <c r="AI721" s="653"/>
      <c r="AJ721" s="653"/>
      <c r="AK721" s="653"/>
    </row>
    <row r="722" spans="1:37">
      <c r="A722" s="653"/>
      <c r="B722" s="651"/>
      <c r="C722" s="653"/>
      <c r="D722" s="653"/>
      <c r="E722" s="653"/>
      <c r="F722" s="653"/>
      <c r="G722" s="653"/>
      <c r="H722" s="653"/>
      <c r="I722" s="653"/>
      <c r="J722" s="653"/>
      <c r="K722" s="653"/>
      <c r="L722" s="653"/>
      <c r="M722" s="653"/>
      <c r="N722" s="653"/>
      <c r="O722" s="653"/>
      <c r="P722" s="653"/>
      <c r="Q722" s="653"/>
      <c r="R722" s="653"/>
      <c r="S722" s="653"/>
      <c r="T722" s="653"/>
      <c r="U722" s="653"/>
      <c r="V722" s="653"/>
      <c r="W722" s="653"/>
      <c r="X722" s="653"/>
      <c r="Y722" s="653"/>
      <c r="Z722" s="653"/>
      <c r="AA722" s="653"/>
      <c r="AH722" s="653"/>
      <c r="AI722" s="653"/>
      <c r="AJ722" s="653"/>
      <c r="AK722" s="653"/>
    </row>
    <row r="723" spans="1:37">
      <c r="A723" s="653"/>
      <c r="B723" s="651"/>
      <c r="C723" s="653"/>
      <c r="D723" s="653"/>
      <c r="E723" s="653"/>
      <c r="F723" s="653"/>
      <c r="G723" s="653"/>
      <c r="H723" s="653"/>
      <c r="I723" s="653"/>
      <c r="J723" s="653"/>
      <c r="K723" s="653"/>
      <c r="L723" s="653"/>
      <c r="M723" s="653"/>
      <c r="N723" s="653"/>
      <c r="O723" s="653"/>
      <c r="P723" s="653"/>
      <c r="Q723" s="653"/>
      <c r="R723" s="653"/>
      <c r="S723" s="653"/>
      <c r="T723" s="653"/>
      <c r="U723" s="653"/>
      <c r="V723" s="653"/>
      <c r="W723" s="653"/>
      <c r="X723" s="653"/>
      <c r="Y723" s="653"/>
      <c r="Z723" s="653"/>
      <c r="AA723" s="653"/>
      <c r="AH723" s="653"/>
      <c r="AI723" s="653"/>
      <c r="AJ723" s="653"/>
      <c r="AK723" s="653"/>
    </row>
    <row r="724" spans="1:37">
      <c r="A724" s="653"/>
      <c r="B724" s="651"/>
      <c r="C724" s="653"/>
      <c r="D724" s="653"/>
      <c r="E724" s="653"/>
      <c r="F724" s="653"/>
      <c r="G724" s="653"/>
      <c r="H724" s="653"/>
      <c r="I724" s="653"/>
      <c r="J724" s="653"/>
      <c r="K724" s="653"/>
      <c r="L724" s="653"/>
      <c r="M724" s="653"/>
      <c r="N724" s="653"/>
      <c r="O724" s="653"/>
      <c r="P724" s="653"/>
      <c r="Q724" s="653"/>
      <c r="R724" s="653"/>
      <c r="S724" s="653"/>
      <c r="T724" s="653"/>
      <c r="U724" s="653"/>
      <c r="V724" s="653"/>
      <c r="W724" s="653"/>
      <c r="X724" s="653"/>
      <c r="Y724" s="653"/>
      <c r="Z724" s="653"/>
      <c r="AA724" s="653"/>
      <c r="AH724" s="653"/>
      <c r="AI724" s="653"/>
      <c r="AJ724" s="653"/>
      <c r="AK724" s="653"/>
    </row>
    <row r="725" spans="1:37">
      <c r="A725" s="653"/>
      <c r="B725" s="651"/>
      <c r="C725" s="653"/>
      <c r="D725" s="653"/>
      <c r="E725" s="653"/>
      <c r="F725" s="653"/>
      <c r="G725" s="653"/>
      <c r="H725" s="653"/>
      <c r="I725" s="653"/>
      <c r="J725" s="653"/>
      <c r="K725" s="653"/>
      <c r="L725" s="653"/>
      <c r="M725" s="653"/>
      <c r="N725" s="653"/>
      <c r="O725" s="653"/>
      <c r="P725" s="653"/>
      <c r="Q725" s="653"/>
      <c r="R725" s="653"/>
      <c r="S725" s="653"/>
      <c r="T725" s="653"/>
      <c r="U725" s="653"/>
      <c r="V725" s="653"/>
      <c r="W725" s="653"/>
      <c r="X725" s="653"/>
      <c r="Y725" s="653"/>
      <c r="Z725" s="653"/>
      <c r="AA725" s="653"/>
      <c r="AH725" s="653"/>
      <c r="AI725" s="653"/>
      <c r="AJ725" s="653"/>
      <c r="AK725" s="653"/>
    </row>
    <row r="726" spans="1:37">
      <c r="A726" s="653"/>
      <c r="B726" s="651"/>
      <c r="C726" s="653"/>
      <c r="D726" s="653"/>
      <c r="E726" s="653"/>
      <c r="F726" s="653"/>
      <c r="G726" s="653"/>
      <c r="H726" s="653"/>
      <c r="I726" s="653"/>
      <c r="J726" s="653"/>
      <c r="K726" s="653"/>
      <c r="L726" s="653"/>
      <c r="M726" s="653"/>
      <c r="N726" s="653"/>
      <c r="O726" s="653"/>
      <c r="P726" s="653"/>
      <c r="Q726" s="653"/>
      <c r="R726" s="653"/>
      <c r="S726" s="653"/>
      <c r="T726" s="653"/>
      <c r="U726" s="653"/>
      <c r="V726" s="653"/>
      <c r="W726" s="653"/>
      <c r="X726" s="653"/>
      <c r="Y726" s="653"/>
      <c r="Z726" s="653"/>
      <c r="AA726" s="653"/>
      <c r="AH726" s="653"/>
      <c r="AI726" s="653"/>
      <c r="AJ726" s="653"/>
      <c r="AK726" s="653"/>
    </row>
    <row r="727" spans="1:37">
      <c r="A727" s="653"/>
      <c r="B727" s="651"/>
      <c r="C727" s="653"/>
      <c r="D727" s="653"/>
      <c r="E727" s="653"/>
      <c r="F727" s="653"/>
      <c r="G727" s="653"/>
      <c r="H727" s="653"/>
      <c r="I727" s="653"/>
      <c r="J727" s="653"/>
      <c r="K727" s="653"/>
      <c r="L727" s="653"/>
      <c r="M727" s="653"/>
      <c r="N727" s="653"/>
      <c r="O727" s="653"/>
      <c r="P727" s="653"/>
      <c r="Q727" s="653"/>
      <c r="R727" s="653"/>
      <c r="S727" s="653"/>
      <c r="T727" s="653"/>
      <c r="U727" s="653"/>
      <c r="V727" s="653"/>
      <c r="W727" s="653"/>
      <c r="X727" s="653"/>
      <c r="Y727" s="653"/>
      <c r="Z727" s="653"/>
      <c r="AA727" s="653"/>
      <c r="AH727" s="653"/>
      <c r="AI727" s="653"/>
      <c r="AJ727" s="653"/>
      <c r="AK727" s="653"/>
    </row>
    <row r="728" spans="1:37">
      <c r="A728" s="653"/>
      <c r="B728" s="651"/>
      <c r="C728" s="653"/>
      <c r="D728" s="653"/>
      <c r="E728" s="653"/>
      <c r="F728" s="653"/>
      <c r="G728" s="653"/>
      <c r="H728" s="653"/>
      <c r="I728" s="653"/>
      <c r="J728" s="653"/>
      <c r="K728" s="653"/>
      <c r="L728" s="653"/>
      <c r="M728" s="653"/>
      <c r="N728" s="653"/>
      <c r="O728" s="653"/>
      <c r="P728" s="653"/>
      <c r="Q728" s="653"/>
      <c r="R728" s="653"/>
      <c r="S728" s="653"/>
      <c r="T728" s="653"/>
      <c r="U728" s="653"/>
      <c r="V728" s="653"/>
      <c r="W728" s="653"/>
      <c r="X728" s="653"/>
      <c r="Y728" s="653"/>
      <c r="Z728" s="653"/>
      <c r="AA728" s="653"/>
      <c r="AH728" s="653"/>
      <c r="AI728" s="653"/>
      <c r="AJ728" s="653"/>
      <c r="AK728" s="653"/>
    </row>
    <row r="729" spans="1:37">
      <c r="A729" s="653"/>
      <c r="B729" s="651"/>
      <c r="C729" s="653"/>
      <c r="D729" s="653"/>
      <c r="E729" s="653"/>
      <c r="F729" s="653"/>
      <c r="G729" s="653"/>
      <c r="H729" s="653"/>
      <c r="I729" s="653"/>
      <c r="J729" s="653"/>
      <c r="K729" s="653"/>
      <c r="L729" s="653"/>
      <c r="M729" s="653"/>
      <c r="N729" s="653"/>
      <c r="O729" s="653"/>
      <c r="P729" s="653"/>
      <c r="Q729" s="653"/>
      <c r="R729" s="653"/>
      <c r="S729" s="653"/>
      <c r="T729" s="653"/>
      <c r="U729" s="653"/>
      <c r="V729" s="653"/>
      <c r="W729" s="653"/>
      <c r="X729" s="653"/>
      <c r="Y729" s="653"/>
      <c r="Z729" s="653"/>
      <c r="AA729" s="653"/>
      <c r="AH729" s="653"/>
      <c r="AI729" s="653"/>
      <c r="AJ729" s="653"/>
      <c r="AK729" s="653"/>
    </row>
    <row r="730" spans="1:37">
      <c r="A730" s="653"/>
      <c r="B730" s="651"/>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H730" s="653"/>
      <c r="AI730" s="653"/>
      <c r="AJ730" s="653"/>
      <c r="AK730" s="653"/>
    </row>
    <row r="731" spans="1:37">
      <c r="A731" s="653"/>
      <c r="B731" s="651"/>
      <c r="C731" s="653"/>
      <c r="D731" s="653"/>
      <c r="E731" s="653"/>
      <c r="F731" s="653"/>
      <c r="G731" s="653"/>
      <c r="H731" s="653"/>
      <c r="I731" s="653"/>
      <c r="J731" s="653"/>
      <c r="K731" s="653"/>
      <c r="L731" s="653"/>
      <c r="M731" s="653"/>
      <c r="N731" s="653"/>
      <c r="O731" s="653"/>
      <c r="P731" s="653"/>
      <c r="Q731" s="653"/>
      <c r="R731" s="653"/>
      <c r="S731" s="653"/>
      <c r="T731" s="653"/>
      <c r="U731" s="653"/>
      <c r="V731" s="653"/>
      <c r="W731" s="653"/>
      <c r="X731" s="653"/>
      <c r="Y731" s="653"/>
      <c r="Z731" s="653"/>
      <c r="AA731" s="653"/>
      <c r="AH731" s="653"/>
      <c r="AI731" s="653"/>
      <c r="AJ731" s="653"/>
      <c r="AK731" s="653"/>
    </row>
    <row r="732" spans="1:37">
      <c r="A732" s="653"/>
      <c r="B732" s="651"/>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H732" s="653"/>
      <c r="AI732" s="653"/>
      <c r="AJ732" s="653"/>
      <c r="AK732" s="653"/>
    </row>
    <row r="733" spans="1:37">
      <c r="A733" s="653"/>
      <c r="B733" s="651"/>
      <c r="C733" s="653"/>
      <c r="D733" s="653"/>
      <c r="E733" s="653"/>
      <c r="F733" s="653"/>
      <c r="G733" s="653"/>
      <c r="H733" s="653"/>
      <c r="I733" s="653"/>
      <c r="J733" s="653"/>
      <c r="K733" s="653"/>
      <c r="L733" s="653"/>
      <c r="M733" s="653"/>
      <c r="N733" s="653"/>
      <c r="O733" s="653"/>
      <c r="P733" s="653"/>
      <c r="Q733" s="653"/>
      <c r="R733" s="653"/>
      <c r="S733" s="653"/>
      <c r="T733" s="653"/>
      <c r="U733" s="653"/>
      <c r="V733" s="653"/>
      <c r="W733" s="653"/>
      <c r="X733" s="653"/>
      <c r="Y733" s="653"/>
      <c r="Z733" s="653"/>
      <c r="AA733" s="653"/>
      <c r="AH733" s="653"/>
      <c r="AI733" s="653"/>
      <c r="AJ733" s="653"/>
      <c r="AK733" s="653"/>
    </row>
    <row r="734" spans="1:37">
      <c r="A734" s="653"/>
      <c r="B734" s="651"/>
      <c r="C734" s="653"/>
      <c r="D734" s="653"/>
      <c r="E734" s="653"/>
      <c r="F734" s="653"/>
      <c r="G734" s="653"/>
      <c r="H734" s="653"/>
      <c r="I734" s="653"/>
      <c r="J734" s="653"/>
      <c r="K734" s="653"/>
      <c r="L734" s="653"/>
      <c r="M734" s="653"/>
      <c r="N734" s="653"/>
      <c r="O734" s="653"/>
      <c r="P734" s="653"/>
      <c r="Q734" s="653"/>
      <c r="R734" s="653"/>
      <c r="S734" s="653"/>
      <c r="T734" s="653"/>
      <c r="U734" s="653"/>
      <c r="V734" s="653"/>
      <c r="W734" s="653"/>
      <c r="X734" s="653"/>
      <c r="Y734" s="653"/>
      <c r="Z734" s="653"/>
      <c r="AA734" s="653"/>
      <c r="AH734" s="653"/>
      <c r="AI734" s="653"/>
      <c r="AJ734" s="653"/>
      <c r="AK734" s="653"/>
    </row>
    <row r="735" spans="1:37">
      <c r="A735" s="653"/>
      <c r="B735" s="651"/>
      <c r="C735" s="653"/>
      <c r="D735" s="653"/>
      <c r="E735" s="653"/>
      <c r="F735" s="653"/>
      <c r="G735" s="653"/>
      <c r="H735" s="653"/>
      <c r="I735" s="653"/>
      <c r="J735" s="653"/>
      <c r="K735" s="653"/>
      <c r="L735" s="653"/>
      <c r="M735" s="653"/>
      <c r="N735" s="653"/>
      <c r="O735" s="653"/>
      <c r="P735" s="653"/>
      <c r="Q735" s="653"/>
      <c r="R735" s="653"/>
      <c r="S735" s="653"/>
      <c r="T735" s="653"/>
      <c r="U735" s="653"/>
      <c r="V735" s="653"/>
      <c r="W735" s="653"/>
      <c r="X735" s="653"/>
      <c r="Y735" s="653"/>
      <c r="Z735" s="653"/>
      <c r="AA735" s="653"/>
      <c r="AH735" s="653"/>
      <c r="AI735" s="653"/>
      <c r="AJ735" s="653"/>
      <c r="AK735" s="653"/>
    </row>
    <row r="736" spans="1:37">
      <c r="A736" s="653"/>
      <c r="B736" s="651"/>
      <c r="C736" s="653"/>
      <c r="D736" s="653"/>
      <c r="E736" s="653"/>
      <c r="F736" s="653"/>
      <c r="G736" s="653"/>
      <c r="H736" s="653"/>
      <c r="I736" s="653"/>
      <c r="J736" s="653"/>
      <c r="K736" s="653"/>
      <c r="L736" s="653"/>
      <c r="M736" s="653"/>
      <c r="N736" s="653"/>
      <c r="O736" s="653"/>
      <c r="P736" s="653"/>
      <c r="Q736" s="653"/>
      <c r="R736" s="653"/>
      <c r="S736" s="653"/>
      <c r="T736" s="653"/>
      <c r="U736" s="653"/>
      <c r="V736" s="653"/>
      <c r="W736" s="653"/>
      <c r="X736" s="653"/>
      <c r="Y736" s="653"/>
      <c r="Z736" s="653"/>
      <c r="AA736" s="653"/>
      <c r="AH736" s="653"/>
      <c r="AI736" s="653"/>
      <c r="AJ736" s="653"/>
      <c r="AK736" s="653"/>
    </row>
    <row r="737" spans="1:37">
      <c r="A737" s="653"/>
      <c r="B737" s="651"/>
      <c r="C737" s="653"/>
      <c r="D737" s="653"/>
      <c r="E737" s="653"/>
      <c r="F737" s="653"/>
      <c r="G737" s="653"/>
      <c r="H737" s="653"/>
      <c r="I737" s="653"/>
      <c r="J737" s="653"/>
      <c r="K737" s="653"/>
      <c r="L737" s="653"/>
      <c r="M737" s="653"/>
      <c r="N737" s="653"/>
      <c r="O737" s="653"/>
      <c r="P737" s="653"/>
      <c r="Q737" s="653"/>
      <c r="R737" s="653"/>
      <c r="S737" s="653"/>
      <c r="T737" s="653"/>
      <c r="U737" s="653"/>
      <c r="V737" s="653"/>
      <c r="W737" s="653"/>
      <c r="X737" s="653"/>
      <c r="Y737" s="653"/>
      <c r="Z737" s="653"/>
      <c r="AA737" s="653"/>
      <c r="AH737" s="653"/>
      <c r="AI737" s="653"/>
      <c r="AJ737" s="653"/>
      <c r="AK737" s="653"/>
    </row>
    <row r="738" spans="1:37">
      <c r="A738" s="653"/>
      <c r="B738" s="651"/>
      <c r="C738" s="653"/>
      <c r="D738" s="653"/>
      <c r="E738" s="653"/>
      <c r="F738" s="653"/>
      <c r="G738" s="653"/>
      <c r="H738" s="653"/>
      <c r="I738" s="653"/>
      <c r="J738" s="653"/>
      <c r="K738" s="653"/>
      <c r="L738" s="653"/>
      <c r="M738" s="653"/>
      <c r="N738" s="653"/>
      <c r="O738" s="653"/>
      <c r="P738" s="653"/>
      <c r="Q738" s="653"/>
      <c r="R738" s="653"/>
      <c r="S738" s="653"/>
      <c r="T738" s="653"/>
      <c r="U738" s="653"/>
      <c r="V738" s="653"/>
      <c r="W738" s="653"/>
      <c r="X738" s="653"/>
      <c r="Y738" s="653"/>
      <c r="Z738" s="653"/>
      <c r="AA738" s="653"/>
      <c r="AH738" s="653"/>
      <c r="AI738" s="653"/>
      <c r="AJ738" s="653"/>
      <c r="AK738" s="653"/>
    </row>
    <row r="739" spans="1:37">
      <c r="A739" s="653"/>
      <c r="B739" s="651"/>
      <c r="C739" s="653"/>
      <c r="D739" s="653"/>
      <c r="E739" s="653"/>
      <c r="F739" s="653"/>
      <c r="G739" s="653"/>
      <c r="H739" s="653"/>
      <c r="I739" s="653"/>
      <c r="J739" s="653"/>
      <c r="K739" s="653"/>
      <c r="L739" s="653"/>
      <c r="M739" s="653"/>
      <c r="N739" s="653"/>
      <c r="O739" s="653"/>
      <c r="P739" s="653"/>
      <c r="Q739" s="653"/>
      <c r="R739" s="653"/>
      <c r="S739" s="653"/>
      <c r="T739" s="653"/>
      <c r="U739" s="653"/>
      <c r="V739" s="653"/>
      <c r="W739" s="653"/>
      <c r="X739" s="653"/>
      <c r="Y739" s="653"/>
      <c r="Z739" s="653"/>
      <c r="AA739" s="653"/>
      <c r="AH739" s="653"/>
      <c r="AI739" s="653"/>
      <c r="AJ739" s="653"/>
      <c r="AK739" s="653"/>
    </row>
    <row r="740" spans="1:37">
      <c r="A740" s="653"/>
      <c r="B740" s="651"/>
      <c r="C740" s="653"/>
      <c r="D740" s="653"/>
      <c r="E740" s="653"/>
      <c r="F740" s="653"/>
      <c r="G740" s="653"/>
      <c r="H740" s="653"/>
      <c r="I740" s="653"/>
      <c r="J740" s="653"/>
      <c r="K740" s="653"/>
      <c r="L740" s="653"/>
      <c r="M740" s="653"/>
      <c r="N740" s="653"/>
      <c r="O740" s="653"/>
      <c r="P740" s="653"/>
      <c r="Q740" s="653"/>
      <c r="R740" s="653"/>
      <c r="S740" s="653"/>
      <c r="T740" s="653"/>
      <c r="U740" s="653"/>
      <c r="V740" s="653"/>
      <c r="W740" s="653"/>
      <c r="X740" s="653"/>
      <c r="Y740" s="653"/>
      <c r="Z740" s="653"/>
      <c r="AA740" s="653"/>
      <c r="AH740" s="653"/>
      <c r="AI740" s="653"/>
      <c r="AJ740" s="653"/>
      <c r="AK740" s="653"/>
    </row>
    <row r="741" spans="1:37">
      <c r="A741" s="653"/>
      <c r="B741" s="651"/>
      <c r="C741" s="653"/>
      <c r="D741" s="65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H741" s="653"/>
      <c r="AI741" s="653"/>
      <c r="AJ741" s="653"/>
      <c r="AK741" s="653"/>
    </row>
    <row r="742" spans="1:37">
      <c r="A742" s="653"/>
      <c r="B742" s="651"/>
      <c r="C742" s="653"/>
      <c r="D742" s="653"/>
      <c r="E742" s="653"/>
      <c r="F742" s="653"/>
      <c r="G742" s="653"/>
      <c r="H742" s="653"/>
      <c r="I742" s="653"/>
      <c r="J742" s="653"/>
      <c r="K742" s="653"/>
      <c r="L742" s="653"/>
      <c r="M742" s="653"/>
      <c r="N742" s="653"/>
      <c r="O742" s="653"/>
      <c r="P742" s="653"/>
      <c r="Q742" s="653"/>
      <c r="R742" s="653"/>
      <c r="S742" s="653"/>
      <c r="T742" s="653"/>
      <c r="U742" s="653"/>
      <c r="V742" s="653"/>
      <c r="W742" s="653"/>
      <c r="X742" s="653"/>
      <c r="Y742" s="653"/>
      <c r="Z742" s="653"/>
      <c r="AA742" s="653"/>
      <c r="AH742" s="653"/>
      <c r="AI742" s="653"/>
      <c r="AJ742" s="653"/>
      <c r="AK742" s="653"/>
    </row>
    <row r="743" spans="1:37">
      <c r="A743" s="653"/>
      <c r="B743" s="651"/>
      <c r="C743" s="653"/>
      <c r="D743" s="653"/>
      <c r="E743" s="653"/>
      <c r="F743" s="653"/>
      <c r="G743" s="653"/>
      <c r="H743" s="653"/>
      <c r="I743" s="653"/>
      <c r="J743" s="653"/>
      <c r="K743" s="653"/>
      <c r="L743" s="653"/>
      <c r="M743" s="653"/>
      <c r="N743" s="653"/>
      <c r="O743" s="653"/>
      <c r="P743" s="653"/>
      <c r="Q743" s="653"/>
      <c r="R743" s="653"/>
      <c r="S743" s="653"/>
      <c r="T743" s="653"/>
      <c r="U743" s="653"/>
      <c r="V743" s="653"/>
      <c r="W743" s="653"/>
      <c r="X743" s="653"/>
      <c r="Y743" s="653"/>
      <c r="Z743" s="653"/>
      <c r="AA743" s="653"/>
      <c r="AH743" s="653"/>
      <c r="AI743" s="653"/>
      <c r="AJ743" s="653"/>
      <c r="AK743" s="653"/>
    </row>
    <row r="744" spans="1:37">
      <c r="A744" s="653"/>
      <c r="B744" s="651"/>
      <c r="C744" s="653"/>
      <c r="D744" s="653"/>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H744" s="653"/>
      <c r="AI744" s="653"/>
      <c r="AJ744" s="653"/>
      <c r="AK744" s="653"/>
    </row>
    <row r="745" spans="1:37">
      <c r="A745" s="653"/>
      <c r="B745" s="651"/>
      <c r="C745" s="653"/>
      <c r="D745" s="653"/>
      <c r="E745" s="653"/>
      <c r="F745" s="653"/>
      <c r="G745" s="653"/>
      <c r="H745" s="653"/>
      <c r="I745" s="653"/>
      <c r="J745" s="653"/>
      <c r="K745" s="653"/>
      <c r="L745" s="653"/>
      <c r="M745" s="653"/>
      <c r="N745" s="653"/>
      <c r="O745" s="653"/>
      <c r="P745" s="653"/>
      <c r="Q745" s="653"/>
      <c r="R745" s="653"/>
      <c r="S745" s="653"/>
      <c r="T745" s="653"/>
      <c r="U745" s="653"/>
      <c r="V745" s="653"/>
      <c r="W745" s="653"/>
      <c r="X745" s="653"/>
      <c r="Y745" s="653"/>
      <c r="Z745" s="653"/>
      <c r="AA745" s="653"/>
      <c r="AH745" s="653"/>
      <c r="AI745" s="653"/>
      <c r="AJ745" s="653"/>
      <c r="AK745" s="653"/>
    </row>
    <row r="746" spans="1:37">
      <c r="A746" s="653"/>
      <c r="B746" s="651"/>
      <c r="C746" s="653"/>
      <c r="D746" s="653"/>
      <c r="E746" s="653"/>
      <c r="F746" s="653"/>
      <c r="G746" s="653"/>
      <c r="H746" s="653"/>
      <c r="I746" s="653"/>
      <c r="J746" s="653"/>
      <c r="K746" s="653"/>
      <c r="L746" s="653"/>
      <c r="M746" s="653"/>
      <c r="N746" s="653"/>
      <c r="O746" s="653"/>
      <c r="P746" s="653"/>
      <c r="Q746" s="653"/>
      <c r="R746" s="653"/>
      <c r="S746" s="653"/>
      <c r="T746" s="653"/>
      <c r="U746" s="653"/>
      <c r="V746" s="653"/>
      <c r="W746" s="653"/>
      <c r="X746" s="653"/>
      <c r="Y746" s="653"/>
      <c r="Z746" s="653"/>
      <c r="AA746" s="653"/>
      <c r="AH746" s="653"/>
      <c r="AI746" s="653"/>
      <c r="AJ746" s="653"/>
      <c r="AK746" s="653"/>
    </row>
    <row r="747" spans="1:37">
      <c r="A747" s="653"/>
      <c r="B747" s="651"/>
      <c r="C747" s="653"/>
      <c r="D747" s="653"/>
      <c r="E747" s="653"/>
      <c r="F747" s="653"/>
      <c r="G747" s="653"/>
      <c r="H747" s="653"/>
      <c r="I747" s="653"/>
      <c r="J747" s="653"/>
      <c r="K747" s="653"/>
      <c r="L747" s="653"/>
      <c r="M747" s="653"/>
      <c r="N747" s="653"/>
      <c r="O747" s="653"/>
      <c r="P747" s="653"/>
      <c r="Q747" s="653"/>
      <c r="R747" s="653"/>
      <c r="S747" s="653"/>
      <c r="T747" s="653"/>
      <c r="U747" s="653"/>
      <c r="V747" s="653"/>
      <c r="W747" s="653"/>
      <c r="X747" s="653"/>
      <c r="Y747" s="653"/>
      <c r="Z747" s="653"/>
      <c r="AA747" s="653"/>
      <c r="AH747" s="653"/>
      <c r="AI747" s="653"/>
      <c r="AJ747" s="653"/>
      <c r="AK747" s="653"/>
    </row>
    <row r="748" spans="1:37">
      <c r="A748" s="653"/>
      <c r="B748" s="651"/>
      <c r="C748" s="653"/>
      <c r="D748" s="653"/>
      <c r="E748" s="653"/>
      <c r="F748" s="653"/>
      <c r="G748" s="653"/>
      <c r="H748" s="653"/>
      <c r="I748" s="653"/>
      <c r="J748" s="653"/>
      <c r="K748" s="653"/>
      <c r="L748" s="653"/>
      <c r="M748" s="653"/>
      <c r="N748" s="653"/>
      <c r="O748" s="653"/>
      <c r="P748" s="653"/>
      <c r="Q748" s="653"/>
      <c r="R748" s="653"/>
      <c r="S748" s="653"/>
      <c r="T748" s="653"/>
      <c r="U748" s="653"/>
      <c r="V748" s="653"/>
      <c r="W748" s="653"/>
      <c r="X748" s="653"/>
      <c r="Y748" s="653"/>
      <c r="Z748" s="653"/>
      <c r="AA748" s="653"/>
      <c r="AH748" s="653"/>
      <c r="AI748" s="653"/>
      <c r="AJ748" s="653"/>
      <c r="AK748" s="653"/>
    </row>
    <row r="749" spans="1:37">
      <c r="A749" s="653"/>
      <c r="B749" s="651"/>
      <c r="C749" s="653"/>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H749" s="653"/>
      <c r="AI749" s="653"/>
      <c r="AJ749" s="653"/>
      <c r="AK749" s="653"/>
    </row>
    <row r="750" spans="1:37">
      <c r="A750" s="653"/>
      <c r="B750" s="651"/>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H750" s="653"/>
      <c r="AI750" s="653"/>
      <c r="AJ750" s="653"/>
      <c r="AK750" s="653"/>
    </row>
    <row r="751" spans="1:37">
      <c r="A751" s="653"/>
      <c r="B751" s="651"/>
      <c r="C751" s="653"/>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H751" s="653"/>
      <c r="AI751" s="653"/>
      <c r="AJ751" s="653"/>
      <c r="AK751" s="653"/>
    </row>
    <row r="752" spans="1:37">
      <c r="A752" s="653"/>
      <c r="B752" s="651"/>
      <c r="C752" s="653"/>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H752" s="653"/>
      <c r="AI752" s="653"/>
      <c r="AJ752" s="653"/>
      <c r="AK752" s="653"/>
    </row>
    <row r="753" spans="1:37">
      <c r="A753" s="653"/>
      <c r="B753" s="651"/>
      <c r="C753" s="653"/>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H753" s="653"/>
      <c r="AI753" s="653"/>
      <c r="AJ753" s="653"/>
      <c r="AK753" s="653"/>
    </row>
  </sheetData>
  <sheetProtection sheet="1" objects="1" scenarios="1"/>
  <mergeCells count="4">
    <mergeCell ref="A21:B21"/>
    <mergeCell ref="A22:B22"/>
    <mergeCell ref="G3:K3"/>
    <mergeCell ref="G43:K43"/>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59" orientation="landscape" horizontalDpi="300" verticalDpi="300" r:id="rId1"/>
  <headerFooter alignWithMargins="0">
    <oddHeader>&amp;C&amp;D&amp;R&amp;F</oddHeader>
  </headerFooter>
  <rowBreaks count="1" manualBreakCount="1">
    <brk id="52"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7" max="37" width="12.7265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s>
  <sheetData>
    <row r="1" spans="1:80"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0" s="85" customFormat="1" ht="80.25" customHeight="1">
      <c r="A2" s="120" t="s">
        <v>775</v>
      </c>
      <c r="B2" s="120" t="s">
        <v>776</v>
      </c>
      <c r="C2" s="122" t="s">
        <v>1391</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c r="T2" s="122" t="s">
        <v>1120</v>
      </c>
      <c r="U2" s="122" t="s">
        <v>747</v>
      </c>
      <c r="V2" s="122" t="s">
        <v>768</v>
      </c>
      <c r="W2" s="122" t="s">
        <v>1145</v>
      </c>
      <c r="X2" s="122" t="s">
        <v>269</v>
      </c>
      <c r="Y2" s="122" t="s">
        <v>1182</v>
      </c>
      <c r="Z2" s="122" t="s">
        <v>1965</v>
      </c>
      <c r="AA2" s="122" t="s">
        <v>1062</v>
      </c>
      <c r="AB2" s="122" t="s">
        <v>759</v>
      </c>
      <c r="AC2" s="120" t="s">
        <v>1232</v>
      </c>
      <c r="AD2" s="120" t="s">
        <v>1309</v>
      </c>
      <c r="AE2" s="122" t="s">
        <v>917</v>
      </c>
      <c r="AF2" s="122" t="s">
        <v>1064</v>
      </c>
      <c r="AG2" s="122" t="s">
        <v>1392</v>
      </c>
      <c r="AH2" s="122" t="s">
        <v>1024</v>
      </c>
      <c r="AI2" s="122" t="s">
        <v>259</v>
      </c>
      <c r="AJ2" s="122" t="s">
        <v>1313</v>
      </c>
      <c r="AK2" s="122" t="s">
        <v>1939</v>
      </c>
      <c r="AL2" s="122" t="s">
        <v>1168</v>
      </c>
      <c r="AM2" s="120" t="s">
        <v>758</v>
      </c>
      <c r="AN2" s="122" t="s">
        <v>1395</v>
      </c>
      <c r="AO2" s="122" t="s">
        <v>1431</v>
      </c>
      <c r="AP2" s="122" t="s">
        <v>11</v>
      </c>
      <c r="AQ2" s="122" t="s">
        <v>1179</v>
      </c>
      <c r="AR2" s="122" t="s">
        <v>1432</v>
      </c>
      <c r="AS2" s="122"/>
      <c r="AT2" s="122" t="s">
        <v>977</v>
      </c>
      <c r="AU2" s="122" t="s">
        <v>978</v>
      </c>
      <c r="AV2" s="122" t="s">
        <v>1394</v>
      </c>
      <c r="AW2" s="122"/>
      <c r="AX2" s="120" t="s">
        <v>1002</v>
      </c>
      <c r="AY2" s="122" t="s">
        <v>161</v>
      </c>
      <c r="AZ2" s="122" t="s">
        <v>975</v>
      </c>
      <c r="BA2" s="122" t="s">
        <v>159</v>
      </c>
      <c r="BB2" s="122" t="s">
        <v>1428</v>
      </c>
      <c r="BC2" s="122" t="s">
        <v>1393</v>
      </c>
      <c r="BD2" s="122" t="s">
        <v>1484</v>
      </c>
      <c r="BE2" s="122" t="s">
        <v>1387</v>
      </c>
      <c r="BF2" s="122" t="s">
        <v>1169</v>
      </c>
      <c r="BG2" s="122" t="s">
        <v>1438</v>
      </c>
      <c r="BH2" s="122" t="s">
        <v>1440</v>
      </c>
      <c r="BI2" s="122" t="s">
        <v>1388</v>
      </c>
      <c r="BJ2" s="122" t="s">
        <v>1450</v>
      </c>
      <c r="BK2" s="122" t="s">
        <v>1491</v>
      </c>
      <c r="BL2" s="122" t="s">
        <v>1389</v>
      </c>
      <c r="BM2" s="122" t="s">
        <v>1390</v>
      </c>
      <c r="BN2" s="122" t="s">
        <v>1485</v>
      </c>
      <c r="BO2" s="122" t="s">
        <v>1486</v>
      </c>
      <c r="BP2" s="122" t="s">
        <v>1488</v>
      </c>
      <c r="BQ2" s="122" t="s">
        <v>1489</v>
      </c>
      <c r="BR2" s="122" t="s">
        <v>1487</v>
      </c>
      <c r="BS2" s="122" t="s">
        <v>1492</v>
      </c>
      <c r="BT2" s="122" t="s">
        <v>1429</v>
      </c>
      <c r="BU2" s="122" t="s">
        <v>1376</v>
      </c>
      <c r="BV2" s="122" t="s">
        <v>1490</v>
      </c>
    </row>
    <row r="3" spans="1:8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648">
        <v>19</v>
      </c>
      <c r="T3" s="121">
        <v>20</v>
      </c>
      <c r="U3" s="121">
        <v>21</v>
      </c>
      <c r="V3" s="121">
        <v>22</v>
      </c>
      <c r="W3" s="121">
        <v>23</v>
      </c>
      <c r="X3" s="121">
        <v>24</v>
      </c>
      <c r="Y3" s="121">
        <v>25</v>
      </c>
      <c r="Z3" s="121">
        <v>26</v>
      </c>
      <c r="AA3" s="121">
        <v>27</v>
      </c>
      <c r="AB3" s="121">
        <v>28</v>
      </c>
      <c r="AC3" s="121">
        <v>29</v>
      </c>
      <c r="AD3" s="121">
        <v>30</v>
      </c>
      <c r="AE3" s="121">
        <v>31</v>
      </c>
      <c r="AF3" s="121">
        <v>32</v>
      </c>
      <c r="AG3" s="121">
        <v>33</v>
      </c>
      <c r="AH3" s="121">
        <v>34</v>
      </c>
      <c r="AI3" s="803">
        <v>35</v>
      </c>
      <c r="AJ3" s="803">
        <v>36</v>
      </c>
      <c r="AK3" s="803">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648">
        <v>59</v>
      </c>
      <c r="BH3" s="648">
        <v>60</v>
      </c>
      <c r="BI3" s="803">
        <v>61</v>
      </c>
      <c r="BJ3" s="648">
        <v>62</v>
      </c>
      <c r="BK3" s="851">
        <v>63</v>
      </c>
      <c r="BL3" s="803">
        <v>64</v>
      </c>
      <c r="BM3" s="803">
        <v>65</v>
      </c>
      <c r="BN3" s="852">
        <v>66</v>
      </c>
      <c r="BO3" s="852">
        <v>67</v>
      </c>
      <c r="BP3" s="852">
        <v>68</v>
      </c>
      <c r="BQ3" s="852">
        <v>69</v>
      </c>
      <c r="BR3" s="852">
        <v>70</v>
      </c>
      <c r="BS3" s="852">
        <v>71</v>
      </c>
      <c r="BT3" s="803">
        <v>72</v>
      </c>
      <c r="BU3" s="803">
        <v>73</v>
      </c>
      <c r="BV3" s="852">
        <v>71</v>
      </c>
    </row>
    <row r="4" spans="1:80" s="85" customFormat="1" ht="13">
      <c r="A4" s="1">
        <v>104</v>
      </c>
      <c r="B4" s="2" t="s">
        <v>784</v>
      </c>
      <c r="C4" s="289">
        <v>32726</v>
      </c>
      <c r="D4" s="289">
        <v>550</v>
      </c>
      <c r="E4" s="289">
        <v>1397</v>
      </c>
      <c r="F4" s="289">
        <v>3872</v>
      </c>
      <c r="G4" s="289">
        <v>2705</v>
      </c>
      <c r="H4" s="289">
        <v>18393</v>
      </c>
      <c r="I4" s="289">
        <v>4254</v>
      </c>
      <c r="J4" s="289">
        <v>1264</v>
      </c>
      <c r="K4" s="289">
        <v>280</v>
      </c>
      <c r="L4" s="289">
        <v>272</v>
      </c>
      <c r="M4" s="289">
        <v>2653</v>
      </c>
      <c r="N4" s="290">
        <v>1336</v>
      </c>
      <c r="O4" s="290">
        <v>365</v>
      </c>
      <c r="P4" s="624">
        <v>42833.833666669998</v>
      </c>
      <c r="Q4" s="624">
        <v>19251.602666670002</v>
      </c>
      <c r="R4" s="624">
        <v>126</v>
      </c>
      <c r="S4" s="289"/>
      <c r="T4" s="289">
        <v>3215</v>
      </c>
      <c r="U4" s="716">
        <v>3.4175627135751488E-4</v>
      </c>
      <c r="V4" s="289">
        <v>-19842.227431529998</v>
      </c>
      <c r="W4" s="743">
        <v>0.52735514999999999</v>
      </c>
      <c r="X4" s="289">
        <v>5000</v>
      </c>
      <c r="Y4" s="289">
        <v>414.28399999999999</v>
      </c>
      <c r="Z4" s="289">
        <v>900954</v>
      </c>
      <c r="AA4" s="289">
        <v>0</v>
      </c>
      <c r="AB4" s="290">
        <v>925</v>
      </c>
      <c r="AC4" s="289">
        <v>0</v>
      </c>
      <c r="AD4" s="289">
        <v>5680.6632360000003</v>
      </c>
      <c r="AE4" s="289">
        <v>0</v>
      </c>
      <c r="AF4" s="289">
        <v>0</v>
      </c>
      <c r="AG4" s="289">
        <v>32715</v>
      </c>
      <c r="AH4" s="289">
        <v>5145.7120533500001</v>
      </c>
      <c r="AI4" s="289">
        <v>0</v>
      </c>
      <c r="AJ4" s="289">
        <v>0</v>
      </c>
      <c r="AK4" s="289">
        <v>0</v>
      </c>
      <c r="AL4" s="289">
        <v>0</v>
      </c>
      <c r="AM4" s="836">
        <v>2.3019297500000002</v>
      </c>
      <c r="AN4" s="289">
        <v>0</v>
      </c>
      <c r="AO4" s="289">
        <v>1274.8576978000001</v>
      </c>
      <c r="AP4" s="289">
        <v>0</v>
      </c>
      <c r="AQ4" s="289">
        <v>0</v>
      </c>
      <c r="AR4" s="289">
        <v>-1741.34421918</v>
      </c>
      <c r="AS4" s="289"/>
      <c r="AT4" s="289">
        <v>2383</v>
      </c>
      <c r="AU4" s="289">
        <v>521</v>
      </c>
      <c r="AV4" s="625">
        <v>779347</v>
      </c>
      <c r="AW4" s="289"/>
      <c r="AX4" s="625">
        <v>122.88666665</v>
      </c>
      <c r="AY4" s="289">
        <v>7611</v>
      </c>
      <c r="AZ4" s="289">
        <v>1969</v>
      </c>
      <c r="BA4" s="290">
        <v>918</v>
      </c>
      <c r="BB4" s="289">
        <v>0</v>
      </c>
      <c r="BC4" s="289">
        <v>10963.864828399999</v>
      </c>
      <c r="BD4" s="289">
        <v>734.14586642039569</v>
      </c>
      <c r="BE4" s="289">
        <v>820477.77815605002</v>
      </c>
      <c r="BF4" s="289">
        <v>0</v>
      </c>
      <c r="BG4" s="289">
        <v>-1172.9909</v>
      </c>
      <c r="BH4" s="289">
        <v>-92.371600000000001</v>
      </c>
      <c r="BI4" s="289">
        <v>11240.65928935</v>
      </c>
      <c r="BJ4" s="289">
        <v>0</v>
      </c>
      <c r="BK4" s="289">
        <v>0</v>
      </c>
      <c r="BL4" s="289">
        <v>0</v>
      </c>
      <c r="BM4" s="289">
        <v>4257</v>
      </c>
      <c r="BN4" s="289">
        <v>2289.736882501049</v>
      </c>
      <c r="BO4" s="289">
        <v>1202.8809206625692</v>
      </c>
      <c r="BP4" s="289">
        <v>2962.0501277362778</v>
      </c>
      <c r="BQ4" s="289">
        <v>44.359964022205304</v>
      </c>
      <c r="BR4" s="289">
        <v>49.758775390715705</v>
      </c>
      <c r="BS4" s="289">
        <v>6.8750510140720191</v>
      </c>
      <c r="BT4" s="289">
        <v>0</v>
      </c>
      <c r="BU4" s="289">
        <v>0</v>
      </c>
      <c r="BV4" s="289">
        <v>3.1099820693533928</v>
      </c>
      <c r="BW4" s="517"/>
      <c r="BX4" s="517"/>
      <c r="CA4" s="517"/>
      <c r="CB4" s="517"/>
    </row>
    <row r="5" spans="1:80" s="85" customFormat="1" ht="13">
      <c r="A5" s="1">
        <v>121</v>
      </c>
      <c r="B5" s="2" t="s">
        <v>790</v>
      </c>
      <c r="C5" s="289">
        <v>673</v>
      </c>
      <c r="D5" s="289">
        <v>7</v>
      </c>
      <c r="E5" s="289">
        <v>21</v>
      </c>
      <c r="F5" s="289">
        <v>72</v>
      </c>
      <c r="G5" s="289">
        <v>58</v>
      </c>
      <c r="H5" s="289">
        <v>372</v>
      </c>
      <c r="I5" s="289">
        <v>89</v>
      </c>
      <c r="J5" s="289">
        <v>51</v>
      </c>
      <c r="K5" s="289">
        <v>11</v>
      </c>
      <c r="L5" s="289">
        <v>4</v>
      </c>
      <c r="M5" s="289">
        <v>62</v>
      </c>
      <c r="N5" s="290">
        <v>1.5</v>
      </c>
      <c r="O5" s="290">
        <v>11</v>
      </c>
      <c r="P5" s="624">
        <v>1594.127</v>
      </c>
      <c r="Q5" s="624">
        <v>2152.1999999999998</v>
      </c>
      <c r="R5" s="624">
        <v>4</v>
      </c>
      <c r="S5" s="289"/>
      <c r="T5" s="289">
        <v>58</v>
      </c>
      <c r="U5" s="716">
        <v>3.8985980372841878E-4</v>
      </c>
      <c r="V5" s="289">
        <v>406.38688057000002</v>
      </c>
      <c r="W5" s="743">
        <v>0.97513521999999997</v>
      </c>
      <c r="X5" s="289">
        <v>0</v>
      </c>
      <c r="Y5" s="289">
        <v>265.22399999999999</v>
      </c>
      <c r="Z5" s="289">
        <v>20151</v>
      </c>
      <c r="AA5" s="289">
        <v>0</v>
      </c>
      <c r="AB5" s="290">
        <v>21</v>
      </c>
      <c r="AC5" s="289">
        <v>0</v>
      </c>
      <c r="AD5" s="289">
        <v>224.06493599999999</v>
      </c>
      <c r="AE5" s="289">
        <v>0</v>
      </c>
      <c r="AF5" s="289">
        <v>0</v>
      </c>
      <c r="AG5" s="289">
        <v>681</v>
      </c>
      <c r="AH5" s="289">
        <v>100</v>
      </c>
      <c r="AI5" s="289">
        <v>0</v>
      </c>
      <c r="AJ5" s="289">
        <v>0</v>
      </c>
      <c r="AK5" s="289">
        <v>0</v>
      </c>
      <c r="AL5" s="289">
        <v>0</v>
      </c>
      <c r="AM5" s="836">
        <v>0</v>
      </c>
      <c r="AN5" s="289">
        <v>0</v>
      </c>
      <c r="AO5" s="289">
        <v>38.772545430000001</v>
      </c>
      <c r="AP5" s="289">
        <v>0</v>
      </c>
      <c r="AQ5" s="289">
        <v>0</v>
      </c>
      <c r="AR5" s="289">
        <v>-36.248063979999998</v>
      </c>
      <c r="AS5" s="289"/>
      <c r="AT5" s="289">
        <v>26</v>
      </c>
      <c r="AU5" s="289">
        <v>0</v>
      </c>
      <c r="AV5" s="625">
        <v>36209</v>
      </c>
      <c r="AW5" s="289"/>
      <c r="AX5" s="625">
        <v>3.34</v>
      </c>
      <c r="AY5" s="289">
        <v>102</v>
      </c>
      <c r="AZ5" s="289">
        <v>12</v>
      </c>
      <c r="BA5" s="290">
        <v>2</v>
      </c>
      <c r="BB5" s="289">
        <v>2850</v>
      </c>
      <c r="BC5" s="289">
        <v>588.23371716999998</v>
      </c>
      <c r="BD5" s="289">
        <v>8.7562288682126734</v>
      </c>
      <c r="BE5" s="289">
        <v>37608.405354959999</v>
      </c>
      <c r="BF5" s="289">
        <v>0</v>
      </c>
      <c r="BG5" s="289">
        <v>-32.161099999999998</v>
      </c>
      <c r="BH5" s="289">
        <v>-1.9228000000000001</v>
      </c>
      <c r="BI5" s="289">
        <v>589.28893600000004</v>
      </c>
      <c r="BJ5" s="289">
        <v>0</v>
      </c>
      <c r="BK5" s="289">
        <v>0</v>
      </c>
      <c r="BL5" s="289">
        <v>0</v>
      </c>
      <c r="BM5" s="289">
        <v>171</v>
      </c>
      <c r="BN5" s="289">
        <v>79.144959366048454</v>
      </c>
      <c r="BO5" s="289">
        <v>60.4941049988659</v>
      </c>
      <c r="BP5" s="289">
        <v>61.658448326101336</v>
      </c>
      <c r="BQ5" s="289">
        <v>50.603802523948744</v>
      </c>
      <c r="BR5" s="289">
        <v>0.59347773440108142</v>
      </c>
      <c r="BS5" s="289">
        <v>0.46539385979846937</v>
      </c>
      <c r="BT5" s="289">
        <v>0</v>
      </c>
      <c r="BU5" s="289">
        <v>0</v>
      </c>
      <c r="BV5" s="289">
        <v>3.5477242139286105</v>
      </c>
      <c r="BW5" s="517"/>
      <c r="BX5" s="517"/>
      <c r="BY5"/>
      <c r="CA5" s="517"/>
      <c r="CB5" s="517"/>
    </row>
    <row r="6" spans="1:80" s="85" customFormat="1" ht="13">
      <c r="A6" s="1">
        <v>122</v>
      </c>
      <c r="B6" s="2" t="s">
        <v>791</v>
      </c>
      <c r="C6" s="289">
        <v>5347</v>
      </c>
      <c r="D6" s="289">
        <v>102</v>
      </c>
      <c r="E6" s="289">
        <v>217</v>
      </c>
      <c r="F6" s="289">
        <v>625</v>
      </c>
      <c r="G6" s="289">
        <v>450</v>
      </c>
      <c r="H6" s="289">
        <v>3042</v>
      </c>
      <c r="I6" s="289">
        <v>668</v>
      </c>
      <c r="J6" s="289">
        <v>182</v>
      </c>
      <c r="K6" s="289">
        <v>53</v>
      </c>
      <c r="L6" s="289">
        <v>46</v>
      </c>
      <c r="M6" s="289">
        <v>420</v>
      </c>
      <c r="N6" s="290">
        <v>50</v>
      </c>
      <c r="O6" s="290">
        <v>38</v>
      </c>
      <c r="P6" s="624">
        <v>19388.704666670001</v>
      </c>
      <c r="Q6" s="624">
        <v>13054.365333330001</v>
      </c>
      <c r="R6" s="624">
        <v>34</v>
      </c>
      <c r="S6" s="289"/>
      <c r="T6" s="289">
        <v>468</v>
      </c>
      <c r="U6" s="716">
        <v>3.1903305101215374E-3</v>
      </c>
      <c r="V6" s="289">
        <v>1104.95500674</v>
      </c>
      <c r="W6" s="743">
        <v>0.64119225999999996</v>
      </c>
      <c r="X6" s="289">
        <v>500</v>
      </c>
      <c r="Y6" s="289">
        <v>414.28399999999999</v>
      </c>
      <c r="Z6" s="289">
        <v>136422</v>
      </c>
      <c r="AA6" s="289">
        <v>0</v>
      </c>
      <c r="AB6" s="290">
        <v>149</v>
      </c>
      <c r="AC6" s="289">
        <v>0</v>
      </c>
      <c r="AD6" s="289">
        <v>3820.2299560000001</v>
      </c>
      <c r="AE6" s="289">
        <v>0</v>
      </c>
      <c r="AF6" s="289">
        <v>0</v>
      </c>
      <c r="AG6" s="289">
        <v>5339</v>
      </c>
      <c r="AH6" s="289">
        <v>839.49015070999997</v>
      </c>
      <c r="AI6" s="289">
        <v>0</v>
      </c>
      <c r="AJ6" s="289">
        <v>0</v>
      </c>
      <c r="AK6" s="289">
        <v>0</v>
      </c>
      <c r="AL6" s="289">
        <v>0</v>
      </c>
      <c r="AM6" s="836">
        <v>9.7245120000000004E-2</v>
      </c>
      <c r="AN6" s="289">
        <v>0</v>
      </c>
      <c r="AO6" s="289">
        <v>214.87352691000001</v>
      </c>
      <c r="AP6" s="289">
        <v>0</v>
      </c>
      <c r="AQ6" s="289">
        <v>0</v>
      </c>
      <c r="AR6" s="289">
        <v>5138.1741952100001</v>
      </c>
      <c r="AS6" s="289"/>
      <c r="AT6" s="289">
        <v>352</v>
      </c>
      <c r="AU6" s="289">
        <v>43</v>
      </c>
      <c r="AV6" s="625">
        <v>151696</v>
      </c>
      <c r="AW6" s="289"/>
      <c r="AX6" s="625">
        <v>32.52000005</v>
      </c>
      <c r="AY6" s="289">
        <v>773</v>
      </c>
      <c r="AZ6" s="289">
        <v>183</v>
      </c>
      <c r="BA6" s="290">
        <v>112</v>
      </c>
      <c r="BB6" s="289">
        <v>0</v>
      </c>
      <c r="BC6" s="289">
        <v>4957.3877070899998</v>
      </c>
      <c r="BD6" s="289">
        <v>79.637867434850563</v>
      </c>
      <c r="BE6" s="289">
        <v>150418.04167897999</v>
      </c>
      <c r="BF6" s="289">
        <v>0</v>
      </c>
      <c r="BG6" s="289">
        <v>-198.5393</v>
      </c>
      <c r="BH6" s="289">
        <v>-15.0748</v>
      </c>
      <c r="BI6" s="289">
        <v>5074.0041067100001</v>
      </c>
      <c r="BJ6" s="289">
        <v>0</v>
      </c>
      <c r="BK6" s="289">
        <v>0</v>
      </c>
      <c r="BL6" s="289">
        <v>0</v>
      </c>
      <c r="BM6" s="289">
        <v>734</v>
      </c>
      <c r="BN6" s="289">
        <v>416.92498089247744</v>
      </c>
      <c r="BO6" s="289">
        <v>222.50814748210161</v>
      </c>
      <c r="BP6" s="289">
        <v>483.39861323502947</v>
      </c>
      <c r="BQ6" s="289">
        <v>414.10490021377547</v>
      </c>
      <c r="BR6" s="289">
        <v>5.3976776816954262</v>
      </c>
      <c r="BS6" s="289">
        <v>1.3082426738728117</v>
      </c>
      <c r="BT6" s="289">
        <v>0</v>
      </c>
      <c r="BU6" s="289">
        <v>0</v>
      </c>
      <c r="BV6" s="289">
        <v>29.032007642105985</v>
      </c>
      <c r="BW6" s="517"/>
      <c r="BX6" s="517"/>
      <c r="BY6"/>
      <c r="CA6" s="517"/>
      <c r="CB6" s="517"/>
    </row>
    <row r="7" spans="1:80" s="85" customFormat="1" ht="13">
      <c r="A7" s="1">
        <v>123</v>
      </c>
      <c r="B7" s="2" t="s">
        <v>792</v>
      </c>
      <c r="C7" s="289">
        <v>6042</v>
      </c>
      <c r="D7" s="289">
        <v>133</v>
      </c>
      <c r="E7" s="289">
        <v>295</v>
      </c>
      <c r="F7" s="289">
        <v>733</v>
      </c>
      <c r="G7" s="289">
        <v>496</v>
      </c>
      <c r="H7" s="289">
        <v>3342</v>
      </c>
      <c r="I7" s="289">
        <v>766</v>
      </c>
      <c r="J7" s="289">
        <v>184</v>
      </c>
      <c r="K7" s="289">
        <v>31</v>
      </c>
      <c r="L7" s="289">
        <v>49</v>
      </c>
      <c r="M7" s="289">
        <v>381</v>
      </c>
      <c r="N7" s="290">
        <v>129</v>
      </c>
      <c r="O7" s="290">
        <v>48</v>
      </c>
      <c r="P7" s="624">
        <v>17904.146000000001</v>
      </c>
      <c r="Q7" s="624">
        <v>11434.44833333</v>
      </c>
      <c r="R7" s="624">
        <v>23</v>
      </c>
      <c r="S7" s="289"/>
      <c r="T7" s="289">
        <v>414</v>
      </c>
      <c r="U7" s="716">
        <v>2.1250377771748715E-3</v>
      </c>
      <c r="V7" s="289">
        <v>905.22901434000005</v>
      </c>
      <c r="W7" s="743">
        <v>0.57276548000000005</v>
      </c>
      <c r="X7" s="289">
        <v>700</v>
      </c>
      <c r="Y7" s="289">
        <v>414.28399999999999</v>
      </c>
      <c r="Z7" s="289">
        <v>175085</v>
      </c>
      <c r="AA7" s="289">
        <v>0</v>
      </c>
      <c r="AB7" s="290">
        <v>145</v>
      </c>
      <c r="AC7" s="289">
        <v>0</v>
      </c>
      <c r="AD7" s="289">
        <v>4999.8126679999996</v>
      </c>
      <c r="AE7" s="289">
        <v>0</v>
      </c>
      <c r="AF7" s="289">
        <v>0</v>
      </c>
      <c r="AG7" s="289">
        <v>5980</v>
      </c>
      <c r="AH7" s="289">
        <v>1018.68364633</v>
      </c>
      <c r="AI7" s="289">
        <v>0</v>
      </c>
      <c r="AJ7" s="289">
        <v>0</v>
      </c>
      <c r="AK7" s="289">
        <v>0</v>
      </c>
      <c r="AL7" s="289">
        <v>0</v>
      </c>
      <c r="AM7" s="836">
        <v>0.15736659</v>
      </c>
      <c r="AN7" s="289">
        <v>0</v>
      </c>
      <c r="AO7" s="289">
        <v>232.3020823</v>
      </c>
      <c r="AP7" s="289">
        <v>0</v>
      </c>
      <c r="AQ7" s="289">
        <v>0</v>
      </c>
      <c r="AR7" s="289">
        <v>-318.3016485</v>
      </c>
      <c r="AS7" s="289"/>
      <c r="AT7" s="289">
        <v>349</v>
      </c>
      <c r="AU7" s="289">
        <v>57</v>
      </c>
      <c r="AV7" s="625">
        <v>39236</v>
      </c>
      <c r="AW7" s="289"/>
      <c r="AX7" s="625">
        <v>48.680000049999997</v>
      </c>
      <c r="AY7" s="289">
        <v>1075</v>
      </c>
      <c r="AZ7" s="289">
        <v>271</v>
      </c>
      <c r="BA7" s="290">
        <v>153</v>
      </c>
      <c r="BB7" s="289">
        <v>0</v>
      </c>
      <c r="BC7" s="289">
        <v>-106426.3001868</v>
      </c>
      <c r="BD7" s="289">
        <v>89.360306243651365</v>
      </c>
      <c r="BE7" s="289">
        <v>41405.367045209998</v>
      </c>
      <c r="BF7" s="289">
        <v>0</v>
      </c>
      <c r="BG7" s="289">
        <v>-229.1069</v>
      </c>
      <c r="BH7" s="289">
        <v>-16.884699999999999</v>
      </c>
      <c r="BI7" s="289">
        <v>-109873.59548829999</v>
      </c>
      <c r="BJ7" s="289">
        <v>0</v>
      </c>
      <c r="BK7" s="289">
        <f>-BL7*8/12</f>
        <v>77537.583868400005</v>
      </c>
      <c r="BL7" s="289">
        <v>-116306.3758026</v>
      </c>
      <c r="BM7" s="289">
        <v>804</v>
      </c>
      <c r="BN7" s="289">
        <v>381.53160306521528</v>
      </c>
      <c r="BO7" s="289">
        <v>241.08730125983632</v>
      </c>
      <c r="BP7" s="289">
        <v>541.43541995607336</v>
      </c>
      <c r="BQ7" s="289">
        <v>275.82990347729827</v>
      </c>
      <c r="BR7" s="289">
        <v>6.0566429787363694</v>
      </c>
      <c r="BS7" s="289">
        <v>1.4172327942228959</v>
      </c>
      <c r="BT7" s="289">
        <v>0</v>
      </c>
      <c r="BU7" s="289">
        <v>0</v>
      </c>
      <c r="BV7" s="289">
        <v>19.337843772291329</v>
      </c>
      <c r="BW7" s="517"/>
      <c r="BX7" s="517"/>
      <c r="BY7"/>
      <c r="CA7" s="517"/>
      <c r="CB7" s="517"/>
    </row>
    <row r="8" spans="1:80" s="85" customFormat="1" ht="13">
      <c r="A8" s="1">
        <v>124</v>
      </c>
      <c r="B8" s="2" t="s">
        <v>793</v>
      </c>
      <c r="C8" s="289">
        <v>15865</v>
      </c>
      <c r="D8" s="289">
        <v>286</v>
      </c>
      <c r="E8" s="289">
        <v>649</v>
      </c>
      <c r="F8" s="289">
        <v>2037</v>
      </c>
      <c r="G8" s="289">
        <v>1338</v>
      </c>
      <c r="H8" s="289">
        <v>8953</v>
      </c>
      <c r="I8" s="289">
        <v>1995</v>
      </c>
      <c r="J8" s="289">
        <v>494</v>
      </c>
      <c r="K8" s="289">
        <v>139</v>
      </c>
      <c r="L8" s="289">
        <v>137</v>
      </c>
      <c r="M8" s="289">
        <v>1169</v>
      </c>
      <c r="N8" s="290">
        <v>848</v>
      </c>
      <c r="O8" s="290">
        <v>160</v>
      </c>
      <c r="P8" s="624">
        <v>20650.39766667</v>
      </c>
      <c r="Q8" s="624">
        <v>24538.02266667</v>
      </c>
      <c r="R8" s="624">
        <v>49</v>
      </c>
      <c r="S8" s="289"/>
      <c r="T8" s="289">
        <v>1366</v>
      </c>
      <c r="U8" s="716">
        <v>1.7324122226208992E-3</v>
      </c>
      <c r="V8" s="289">
        <v>631.78908215000001</v>
      </c>
      <c r="W8" s="743">
        <v>0.53655783999999995</v>
      </c>
      <c r="X8" s="289">
        <v>1200</v>
      </c>
      <c r="Y8" s="289">
        <v>414.28399999999999</v>
      </c>
      <c r="Z8" s="289">
        <v>439426</v>
      </c>
      <c r="AA8" s="289">
        <v>0</v>
      </c>
      <c r="AB8" s="290">
        <v>423</v>
      </c>
      <c r="AC8" s="289">
        <v>0</v>
      </c>
      <c r="AD8" s="289">
        <v>5547.5105080000003</v>
      </c>
      <c r="AE8" s="289">
        <v>0</v>
      </c>
      <c r="AF8" s="289">
        <v>0</v>
      </c>
      <c r="AG8" s="289">
        <v>15891</v>
      </c>
      <c r="AH8" s="289">
        <v>2600.7460649</v>
      </c>
      <c r="AI8" s="289">
        <v>300</v>
      </c>
      <c r="AJ8" s="289">
        <v>0</v>
      </c>
      <c r="AK8" s="289">
        <v>0</v>
      </c>
      <c r="AL8" s="289">
        <v>0</v>
      </c>
      <c r="AM8" s="836">
        <v>1.1404293400000001</v>
      </c>
      <c r="AN8" s="289">
        <v>0</v>
      </c>
      <c r="AO8" s="289">
        <v>616.65880177999998</v>
      </c>
      <c r="AP8" s="289">
        <v>0</v>
      </c>
      <c r="AQ8" s="289">
        <v>0</v>
      </c>
      <c r="AR8" s="289">
        <v>-845.84138734999999</v>
      </c>
      <c r="AS8" s="289"/>
      <c r="AT8" s="289">
        <v>1137</v>
      </c>
      <c r="AU8" s="289">
        <v>274</v>
      </c>
      <c r="AV8" s="625">
        <v>391883</v>
      </c>
      <c r="AW8" s="289"/>
      <c r="AX8" s="625">
        <v>77.456666650000003</v>
      </c>
      <c r="AY8" s="289">
        <v>2649</v>
      </c>
      <c r="AZ8" s="289">
        <v>915</v>
      </c>
      <c r="BA8" s="290">
        <v>482</v>
      </c>
      <c r="BB8" s="289">
        <v>0</v>
      </c>
      <c r="BC8" s="289">
        <v>8351.4227879400005</v>
      </c>
      <c r="BD8" s="289">
        <v>360.29902941744024</v>
      </c>
      <c r="BE8" s="289">
        <v>407288.20594322</v>
      </c>
      <c r="BF8" s="289">
        <v>0</v>
      </c>
      <c r="BG8" s="289">
        <v>-621.45659999999998</v>
      </c>
      <c r="BH8" s="289">
        <v>-44.868600000000001</v>
      </c>
      <c r="BI8" s="289">
        <v>8562.5405728999995</v>
      </c>
      <c r="BJ8" s="289">
        <v>0</v>
      </c>
      <c r="BK8" s="289">
        <v>0</v>
      </c>
      <c r="BL8" s="289">
        <v>0</v>
      </c>
      <c r="BM8" s="289">
        <v>2173</v>
      </c>
      <c r="BN8" s="289">
        <v>1035.365619628054</v>
      </c>
      <c r="BO8" s="289">
        <v>595.20186525064628</v>
      </c>
      <c r="BP8" s="289">
        <v>1438.7876686491577</v>
      </c>
      <c r="BQ8" s="289">
        <v>224.86710649619269</v>
      </c>
      <c r="BR8" s="289">
        <v>24.420267549404283</v>
      </c>
      <c r="BS8" s="289">
        <v>3.4344462620169369</v>
      </c>
      <c r="BT8" s="289">
        <v>0</v>
      </c>
      <c r="BU8" s="289">
        <v>0</v>
      </c>
      <c r="BV8" s="289">
        <v>15.764951225850179</v>
      </c>
      <c r="BW8" s="517"/>
      <c r="BX8" s="517"/>
      <c r="BY8"/>
      <c r="CA8" s="517"/>
      <c r="CB8" s="517"/>
    </row>
    <row r="9" spans="1:80" s="85" customFormat="1" ht="13">
      <c r="A9" s="1">
        <v>125</v>
      </c>
      <c r="B9" s="2" t="s">
        <v>794</v>
      </c>
      <c r="C9" s="289">
        <v>11424</v>
      </c>
      <c r="D9" s="289">
        <v>212</v>
      </c>
      <c r="E9" s="289">
        <v>459</v>
      </c>
      <c r="F9" s="289">
        <v>1318</v>
      </c>
      <c r="G9" s="289">
        <v>1013</v>
      </c>
      <c r="H9" s="289">
        <v>6428</v>
      </c>
      <c r="I9" s="289">
        <v>1401</v>
      </c>
      <c r="J9" s="289">
        <v>446</v>
      </c>
      <c r="K9" s="289">
        <v>133</v>
      </c>
      <c r="L9" s="289">
        <v>83</v>
      </c>
      <c r="M9" s="289">
        <v>885</v>
      </c>
      <c r="N9" s="290">
        <v>402</v>
      </c>
      <c r="O9" s="290">
        <v>141</v>
      </c>
      <c r="P9" s="624">
        <v>44829.52933333</v>
      </c>
      <c r="Q9" s="624">
        <v>19112.055666669999</v>
      </c>
      <c r="R9" s="624">
        <v>55</v>
      </c>
      <c r="S9" s="289"/>
      <c r="T9" s="289">
        <v>1011</v>
      </c>
      <c r="U9" s="716">
        <v>4.5279503374848701E-3</v>
      </c>
      <c r="V9" s="289">
        <v>3139.2315017699998</v>
      </c>
      <c r="W9" s="743">
        <v>0.57109226000000002</v>
      </c>
      <c r="X9" s="289">
        <v>2200</v>
      </c>
      <c r="Y9" s="289">
        <v>414.28399999999999</v>
      </c>
      <c r="Z9" s="289">
        <v>296904</v>
      </c>
      <c r="AA9" s="289">
        <v>0</v>
      </c>
      <c r="AB9" s="290">
        <v>326</v>
      </c>
      <c r="AC9" s="289">
        <v>0</v>
      </c>
      <c r="AD9" s="289">
        <v>4961.5217240000002</v>
      </c>
      <c r="AE9" s="289">
        <v>0</v>
      </c>
      <c r="AF9" s="289">
        <v>0</v>
      </c>
      <c r="AG9" s="289">
        <v>11410</v>
      </c>
      <c r="AH9" s="289">
        <v>1810.0634811</v>
      </c>
      <c r="AI9" s="289">
        <v>300</v>
      </c>
      <c r="AJ9" s="289">
        <v>0</v>
      </c>
      <c r="AK9" s="289">
        <v>0</v>
      </c>
      <c r="AL9" s="289">
        <v>0</v>
      </c>
      <c r="AM9" s="836">
        <v>0.60702500000000004</v>
      </c>
      <c r="AN9" s="289">
        <v>0</v>
      </c>
      <c r="AO9" s="289">
        <v>454.56471577000002</v>
      </c>
      <c r="AP9" s="289">
        <v>0</v>
      </c>
      <c r="AQ9" s="289">
        <v>0</v>
      </c>
      <c r="AR9" s="289">
        <v>-607.32806176999998</v>
      </c>
      <c r="AS9" s="289"/>
      <c r="AT9" s="289">
        <v>825</v>
      </c>
      <c r="AU9" s="289">
        <v>167</v>
      </c>
      <c r="AV9" s="625">
        <v>299896</v>
      </c>
      <c r="AW9" s="289"/>
      <c r="AX9" s="625">
        <v>67.856666700000005</v>
      </c>
      <c r="AY9" s="289">
        <v>1836</v>
      </c>
      <c r="AZ9" s="289">
        <v>574</v>
      </c>
      <c r="BA9" s="290">
        <v>332</v>
      </c>
      <c r="BB9" s="289">
        <v>0</v>
      </c>
      <c r="BC9" s="289">
        <v>7029.2705858999998</v>
      </c>
      <c r="BD9" s="289">
        <v>228.63061913299788</v>
      </c>
      <c r="BE9" s="289">
        <v>313440.17385933001</v>
      </c>
      <c r="BF9" s="289">
        <v>0</v>
      </c>
      <c r="BG9" s="289">
        <v>-415.32159999999999</v>
      </c>
      <c r="BH9" s="289">
        <v>-32.2164</v>
      </c>
      <c r="BI9" s="289">
        <v>7185.8692050999998</v>
      </c>
      <c r="BJ9" s="289">
        <v>0</v>
      </c>
      <c r="BK9" s="289">
        <v>0</v>
      </c>
      <c r="BL9" s="289">
        <v>0</v>
      </c>
      <c r="BM9" s="289">
        <v>1569</v>
      </c>
      <c r="BN9" s="289">
        <v>850.11360271524632</v>
      </c>
      <c r="BO9" s="289">
        <v>447.84787897238499</v>
      </c>
      <c r="BP9" s="289">
        <v>1033.0732678426084</v>
      </c>
      <c r="BQ9" s="289">
        <v>587.727953805536</v>
      </c>
      <c r="BR9" s="289">
        <v>15.496075296792078</v>
      </c>
      <c r="BS9" s="289">
        <v>2.5296544568868971</v>
      </c>
      <c r="BT9" s="289">
        <v>0</v>
      </c>
      <c r="BU9" s="289">
        <v>0</v>
      </c>
      <c r="BV9" s="289">
        <v>41.204348071112307</v>
      </c>
      <c r="BW9" s="517"/>
      <c r="BX9" s="517"/>
      <c r="BY9"/>
      <c r="CA9" s="517"/>
      <c r="CB9" s="517"/>
    </row>
    <row r="10" spans="1:80" s="85" customFormat="1" ht="13">
      <c r="A10" s="1">
        <v>136</v>
      </c>
      <c r="B10" s="2" t="s">
        <v>798</v>
      </c>
      <c r="C10" s="289">
        <v>16145</v>
      </c>
      <c r="D10" s="289">
        <v>299</v>
      </c>
      <c r="E10" s="289">
        <v>656</v>
      </c>
      <c r="F10" s="289">
        <v>1912</v>
      </c>
      <c r="G10" s="289">
        <v>1449</v>
      </c>
      <c r="H10" s="289">
        <v>9132</v>
      </c>
      <c r="I10" s="289">
        <v>1926</v>
      </c>
      <c r="J10" s="289">
        <v>637</v>
      </c>
      <c r="K10" s="289">
        <v>117</v>
      </c>
      <c r="L10" s="289">
        <v>121</v>
      </c>
      <c r="M10" s="289">
        <v>1101</v>
      </c>
      <c r="N10" s="290">
        <v>317</v>
      </c>
      <c r="O10" s="290">
        <v>107</v>
      </c>
      <c r="P10" s="624">
        <v>42844.71666667</v>
      </c>
      <c r="Q10" s="624">
        <v>18356.469333329998</v>
      </c>
      <c r="R10" s="624">
        <v>57</v>
      </c>
      <c r="S10" s="289"/>
      <c r="T10" s="289">
        <v>1184</v>
      </c>
      <c r="U10" s="716">
        <v>1.5866069609887041E-3</v>
      </c>
      <c r="V10" s="289">
        <v>-1296.61458526</v>
      </c>
      <c r="W10" s="743">
        <v>0.55321218999999999</v>
      </c>
      <c r="X10" s="289">
        <v>600</v>
      </c>
      <c r="Y10" s="289">
        <v>414.28399999999999</v>
      </c>
      <c r="Z10" s="289">
        <v>476607</v>
      </c>
      <c r="AA10" s="289">
        <v>0</v>
      </c>
      <c r="AB10" s="290">
        <v>446</v>
      </c>
      <c r="AC10" s="289">
        <v>0</v>
      </c>
      <c r="AD10" s="289">
        <v>5250.051512</v>
      </c>
      <c r="AE10" s="289">
        <v>3843</v>
      </c>
      <c r="AF10" s="289">
        <v>0</v>
      </c>
      <c r="AG10" s="289">
        <v>16128</v>
      </c>
      <c r="AH10" s="289">
        <v>2604.9295706399998</v>
      </c>
      <c r="AI10" s="289">
        <v>0</v>
      </c>
      <c r="AJ10" s="289">
        <v>0</v>
      </c>
      <c r="AK10" s="289">
        <v>0</v>
      </c>
      <c r="AL10" s="289">
        <v>0</v>
      </c>
      <c r="AM10" s="836">
        <v>0.38902618</v>
      </c>
      <c r="AN10" s="289">
        <v>0</v>
      </c>
      <c r="AO10" s="289">
        <v>596.85175827</v>
      </c>
      <c r="AP10" s="289">
        <v>0</v>
      </c>
      <c r="AQ10" s="289">
        <v>0</v>
      </c>
      <c r="AR10" s="289">
        <v>-858.45635234999997</v>
      </c>
      <c r="AS10" s="289"/>
      <c r="AT10" s="289">
        <v>1067</v>
      </c>
      <c r="AU10" s="289">
        <v>174</v>
      </c>
      <c r="AV10" s="625">
        <v>352749</v>
      </c>
      <c r="AW10" s="289"/>
      <c r="AX10" s="625">
        <v>89.216666649999993</v>
      </c>
      <c r="AY10" s="289">
        <v>3460</v>
      </c>
      <c r="AZ10" s="289">
        <v>542</v>
      </c>
      <c r="BA10" s="290">
        <v>391</v>
      </c>
      <c r="BB10" s="289">
        <v>0</v>
      </c>
      <c r="BC10" s="289">
        <v>8031.4824243000003</v>
      </c>
      <c r="BD10" s="289">
        <v>247.02902830437768</v>
      </c>
      <c r="BE10" s="289">
        <v>374947.66852280998</v>
      </c>
      <c r="BF10" s="289">
        <v>0</v>
      </c>
      <c r="BG10" s="289">
        <v>-581.55999999999995</v>
      </c>
      <c r="BH10" s="289">
        <v>-45.537799999999997</v>
      </c>
      <c r="BI10" s="289">
        <v>8269.2650826400004</v>
      </c>
      <c r="BJ10" s="289">
        <v>0</v>
      </c>
      <c r="BK10" s="289">
        <v>0</v>
      </c>
      <c r="BL10" s="289">
        <v>0</v>
      </c>
      <c r="BM10" s="289">
        <v>2101</v>
      </c>
      <c r="BN10" s="289">
        <v>1065.4354883062044</v>
      </c>
      <c r="BO10" s="289">
        <v>607.64795160456481</v>
      </c>
      <c r="BP10" s="289">
        <v>1460.2458951591225</v>
      </c>
      <c r="BQ10" s="289">
        <v>205.94158353633372</v>
      </c>
      <c r="BR10" s="289">
        <v>16.743078585074489</v>
      </c>
      <c r="BS10" s="289">
        <v>3.4923664248101374</v>
      </c>
      <c r="BT10" s="289">
        <v>0</v>
      </c>
      <c r="BU10" s="289">
        <v>0</v>
      </c>
      <c r="BV10" s="289">
        <v>14.4381233449972</v>
      </c>
      <c r="BW10" s="517"/>
      <c r="BX10" s="517"/>
      <c r="BY10"/>
      <c r="CA10" s="517"/>
      <c r="CB10" s="517"/>
    </row>
    <row r="11" spans="1:80" ht="13">
      <c r="A11" s="1">
        <v>138</v>
      </c>
      <c r="B11" s="2" t="s">
        <v>800</v>
      </c>
      <c r="C11" s="289">
        <v>5642</v>
      </c>
      <c r="D11" s="289">
        <v>130</v>
      </c>
      <c r="E11" s="289">
        <v>304</v>
      </c>
      <c r="F11" s="289">
        <v>608</v>
      </c>
      <c r="G11" s="289">
        <v>454</v>
      </c>
      <c r="H11" s="289">
        <v>3358</v>
      </c>
      <c r="I11" s="289">
        <v>567</v>
      </c>
      <c r="J11" s="289">
        <v>161</v>
      </c>
      <c r="K11" s="289">
        <v>27</v>
      </c>
      <c r="L11" s="289">
        <v>42</v>
      </c>
      <c r="M11" s="289">
        <v>289</v>
      </c>
      <c r="N11" s="290">
        <v>88</v>
      </c>
      <c r="O11" s="290">
        <v>43</v>
      </c>
      <c r="P11" s="624">
        <v>21680.21</v>
      </c>
      <c r="Q11" s="624">
        <v>12234.625333329999</v>
      </c>
      <c r="R11" s="624">
        <v>20</v>
      </c>
      <c r="S11" s="289"/>
      <c r="T11" s="289">
        <v>404</v>
      </c>
      <c r="U11" s="716">
        <v>1.5986416343352434E-3</v>
      </c>
      <c r="V11" s="289">
        <v>448.30606647000002</v>
      </c>
      <c r="W11" s="743">
        <v>0.61527686000000004</v>
      </c>
      <c r="X11" s="289">
        <v>400</v>
      </c>
      <c r="Y11" s="289">
        <v>414.28399999999999</v>
      </c>
      <c r="Z11" s="289">
        <v>156525</v>
      </c>
      <c r="AA11" s="289">
        <v>0</v>
      </c>
      <c r="AB11" s="290">
        <v>131</v>
      </c>
      <c r="AC11" s="289">
        <v>0</v>
      </c>
      <c r="AD11" s="289">
        <v>4310.5540879999999</v>
      </c>
      <c r="AE11" s="289">
        <v>1008</v>
      </c>
      <c r="AF11" s="289">
        <v>0</v>
      </c>
      <c r="AG11" s="289">
        <v>5609</v>
      </c>
      <c r="AH11" s="289">
        <v>918.27950870999996</v>
      </c>
      <c r="AI11" s="289">
        <v>500</v>
      </c>
      <c r="AJ11" s="289">
        <v>0</v>
      </c>
      <c r="AK11" s="289">
        <v>0</v>
      </c>
      <c r="AL11" s="289">
        <v>0</v>
      </c>
      <c r="AM11" s="836">
        <v>0.15263371000000001</v>
      </c>
      <c r="AN11" s="289">
        <v>0</v>
      </c>
      <c r="AO11" s="289">
        <v>208.43836074999999</v>
      </c>
      <c r="AP11" s="289">
        <v>0</v>
      </c>
      <c r="AQ11" s="289">
        <v>0</v>
      </c>
      <c r="AR11" s="289">
        <v>-298.55417165</v>
      </c>
      <c r="AS11" s="289"/>
      <c r="AT11" s="289">
        <v>340</v>
      </c>
      <c r="AU11" s="289">
        <v>72</v>
      </c>
      <c r="AV11" s="625">
        <v>38970</v>
      </c>
      <c r="AW11" s="289"/>
      <c r="AX11" s="625">
        <v>44.5266667</v>
      </c>
      <c r="AY11" s="289">
        <v>1079</v>
      </c>
      <c r="AZ11" s="289">
        <v>197</v>
      </c>
      <c r="BA11" s="290">
        <v>130</v>
      </c>
      <c r="BB11" s="289">
        <v>0</v>
      </c>
      <c r="BC11" s="289">
        <v>-86938.648062599998</v>
      </c>
      <c r="BD11" s="289">
        <v>83.150993793286659</v>
      </c>
      <c r="BE11" s="289">
        <v>39115.56428975</v>
      </c>
      <c r="BF11" s="289">
        <v>0</v>
      </c>
      <c r="BG11" s="289">
        <v>-194.04490000000001</v>
      </c>
      <c r="BH11" s="289">
        <v>-15.837199999999999</v>
      </c>
      <c r="BI11" s="289">
        <v>-90380.841624950001</v>
      </c>
      <c r="BJ11" s="289">
        <v>0</v>
      </c>
      <c r="BK11" s="289">
        <v>0</v>
      </c>
      <c r="BL11" s="289">
        <v>-96023.959221659999</v>
      </c>
      <c r="BM11" s="289">
        <v>773</v>
      </c>
      <c r="BN11" s="289">
        <v>328.85280453591577</v>
      </c>
      <c r="BO11" s="289">
        <v>221.31151239390667</v>
      </c>
      <c r="BP11" s="289">
        <v>507.84469406916656</v>
      </c>
      <c r="BQ11" s="289">
        <v>207.50368413671458</v>
      </c>
      <c r="BR11" s="289">
        <v>5.6357895793227613</v>
      </c>
      <c r="BS11" s="289">
        <v>1.3594266066861451</v>
      </c>
      <c r="BT11" s="289">
        <v>0</v>
      </c>
      <c r="BU11" s="289">
        <v>0</v>
      </c>
      <c r="BV11" s="289">
        <v>14.54763887245071</v>
      </c>
      <c r="BW11" s="517"/>
      <c r="BX11" s="517"/>
      <c r="CA11" s="517"/>
      <c r="CB11" s="517"/>
    </row>
    <row r="12" spans="1:80" ht="13">
      <c r="A12" s="1">
        <v>213</v>
      </c>
      <c r="B12" s="2" t="s">
        <v>802</v>
      </c>
      <c r="C12" s="289">
        <v>30843</v>
      </c>
      <c r="D12" s="289">
        <v>605</v>
      </c>
      <c r="E12" s="289">
        <v>1534</v>
      </c>
      <c r="F12" s="289">
        <v>4490</v>
      </c>
      <c r="G12" s="289">
        <v>2766</v>
      </c>
      <c r="H12" s="289">
        <v>17165</v>
      </c>
      <c r="I12" s="289">
        <v>3161</v>
      </c>
      <c r="J12" s="289">
        <v>916</v>
      </c>
      <c r="K12" s="289">
        <v>182</v>
      </c>
      <c r="L12" s="289">
        <v>221</v>
      </c>
      <c r="M12" s="289">
        <v>1691</v>
      </c>
      <c r="N12" s="290">
        <v>1216</v>
      </c>
      <c r="O12" s="290">
        <v>314</v>
      </c>
      <c r="P12" s="624">
        <v>57199.173000000003</v>
      </c>
      <c r="Q12" s="624">
        <v>32995.63733333</v>
      </c>
      <c r="R12" s="624">
        <v>89</v>
      </c>
      <c r="S12" s="289"/>
      <c r="T12" s="289">
        <v>1984</v>
      </c>
      <c r="U12" s="716">
        <v>1.857600087459892E-3</v>
      </c>
      <c r="V12" s="289">
        <v>8618.7788554800009</v>
      </c>
      <c r="W12" s="743">
        <v>0.54451534999999995</v>
      </c>
      <c r="X12" s="289">
        <v>0</v>
      </c>
      <c r="Y12" s="289">
        <v>318.68</v>
      </c>
      <c r="Z12" s="289">
        <v>1039585</v>
      </c>
      <c r="AA12" s="289">
        <v>0</v>
      </c>
      <c r="AB12" s="290">
        <v>422</v>
      </c>
      <c r="AC12" s="289">
        <v>0</v>
      </c>
      <c r="AD12" s="289">
        <v>5411.1401400000004</v>
      </c>
      <c r="AE12" s="289">
        <v>0</v>
      </c>
      <c r="AF12" s="289">
        <v>0</v>
      </c>
      <c r="AG12" s="289">
        <v>30819</v>
      </c>
      <c r="AH12" s="289">
        <v>5789.2746854999996</v>
      </c>
      <c r="AI12" s="289">
        <v>600</v>
      </c>
      <c r="AJ12" s="289">
        <v>0</v>
      </c>
      <c r="AK12" s="289">
        <v>0</v>
      </c>
      <c r="AL12" s="289">
        <v>0</v>
      </c>
      <c r="AM12" s="836">
        <v>0.78595610999999999</v>
      </c>
      <c r="AN12" s="289">
        <v>0</v>
      </c>
      <c r="AO12" s="289">
        <v>1179.50757703</v>
      </c>
      <c r="AP12" s="289">
        <v>0</v>
      </c>
      <c r="AQ12" s="289">
        <v>0</v>
      </c>
      <c r="AR12" s="289">
        <v>-1640.42449919</v>
      </c>
      <c r="AS12" s="289"/>
      <c r="AT12" s="289">
        <v>1790</v>
      </c>
      <c r="AU12" s="289">
        <v>293</v>
      </c>
      <c r="AV12" s="625">
        <v>731869</v>
      </c>
      <c r="AW12" s="289"/>
      <c r="AX12" s="625">
        <v>218.53666670000001</v>
      </c>
      <c r="AY12" s="289">
        <v>8418</v>
      </c>
      <c r="AZ12" s="289">
        <v>1429</v>
      </c>
      <c r="BA12" s="290">
        <v>695</v>
      </c>
      <c r="BB12" s="289">
        <v>0</v>
      </c>
      <c r="BC12" s="289">
        <v>11228.27912135</v>
      </c>
      <c r="BD12" s="289">
        <v>464.66100118375482</v>
      </c>
      <c r="BE12" s="289">
        <v>767162.86622605997</v>
      </c>
      <c r="BF12" s="289">
        <v>0</v>
      </c>
      <c r="BG12" s="289">
        <v>-1353.4064000000001</v>
      </c>
      <c r="BH12" s="289">
        <v>-87.018199999999993</v>
      </c>
      <c r="BI12" s="289">
        <v>11519.0948255</v>
      </c>
      <c r="BJ12" s="289">
        <v>0</v>
      </c>
      <c r="BK12" s="289">
        <v>0</v>
      </c>
      <c r="BL12" s="289">
        <v>0</v>
      </c>
      <c r="BM12" s="289">
        <v>3710</v>
      </c>
      <c r="BN12" s="289">
        <v>1731.1179395785239</v>
      </c>
      <c r="BO12" s="289">
        <v>1108.3479567285417</v>
      </c>
      <c r="BP12" s="289">
        <v>2790.3843156565595</v>
      </c>
      <c r="BQ12" s="289">
        <v>241.11649135229396</v>
      </c>
      <c r="BR12" s="289">
        <v>31.493690080232273</v>
      </c>
      <c r="BS12" s="289">
        <v>6.5174794218645724</v>
      </c>
      <c r="BT12" s="289">
        <v>0</v>
      </c>
      <c r="BU12" s="289">
        <v>0</v>
      </c>
      <c r="BV12" s="289">
        <v>16.904160795885012</v>
      </c>
      <c r="BW12" s="517"/>
      <c r="BX12" s="517"/>
      <c r="CA12" s="517"/>
      <c r="CB12" s="517"/>
    </row>
    <row r="13" spans="1:80" ht="13">
      <c r="A13" s="1">
        <v>217</v>
      </c>
      <c r="B13" s="2" t="s">
        <v>806</v>
      </c>
      <c r="C13" s="289">
        <v>27394</v>
      </c>
      <c r="D13" s="289">
        <v>528</v>
      </c>
      <c r="E13" s="289">
        <v>1323</v>
      </c>
      <c r="F13" s="289">
        <v>3811</v>
      </c>
      <c r="G13" s="289">
        <v>2385</v>
      </c>
      <c r="H13" s="289">
        <v>14984</v>
      </c>
      <c r="I13" s="289">
        <v>3086</v>
      </c>
      <c r="J13" s="289">
        <v>1006</v>
      </c>
      <c r="K13" s="289">
        <v>203</v>
      </c>
      <c r="L13" s="289">
        <v>175</v>
      </c>
      <c r="M13" s="289">
        <v>1678</v>
      </c>
      <c r="N13" s="290">
        <v>627</v>
      </c>
      <c r="O13" s="290">
        <v>159</v>
      </c>
      <c r="P13" s="624">
        <v>42688.046999999999</v>
      </c>
      <c r="Q13" s="624">
        <v>31138.445666669999</v>
      </c>
      <c r="R13" s="624">
        <v>71</v>
      </c>
      <c r="S13" s="289"/>
      <c r="T13" s="289">
        <v>1647</v>
      </c>
      <c r="U13" s="716">
        <v>9.3548324815761533E-5</v>
      </c>
      <c r="V13" s="289">
        <v>5793.1883259300002</v>
      </c>
      <c r="W13" s="743">
        <v>0.53428149000000003</v>
      </c>
      <c r="X13" s="289">
        <v>0</v>
      </c>
      <c r="Y13" s="289">
        <v>414.28399999999999</v>
      </c>
      <c r="Z13" s="289">
        <v>1058845</v>
      </c>
      <c r="AA13" s="289">
        <v>0</v>
      </c>
      <c r="AB13" s="290">
        <v>276</v>
      </c>
      <c r="AC13" s="289">
        <v>0</v>
      </c>
      <c r="AD13" s="289">
        <v>5617.6211359999998</v>
      </c>
      <c r="AE13" s="289">
        <v>0</v>
      </c>
      <c r="AF13" s="289">
        <v>0</v>
      </c>
      <c r="AG13" s="289">
        <v>27326</v>
      </c>
      <c r="AH13" s="289">
        <v>4973.4910672799997</v>
      </c>
      <c r="AI13" s="289">
        <v>0</v>
      </c>
      <c r="AJ13" s="289">
        <v>0</v>
      </c>
      <c r="AK13" s="289">
        <v>0</v>
      </c>
      <c r="AL13" s="289">
        <v>0</v>
      </c>
      <c r="AM13" s="836">
        <v>0.47530231000000001</v>
      </c>
      <c r="AN13" s="289">
        <v>0</v>
      </c>
      <c r="AO13" s="289">
        <v>1036.1293902100001</v>
      </c>
      <c r="AP13" s="289">
        <v>0</v>
      </c>
      <c r="AQ13" s="289">
        <v>0</v>
      </c>
      <c r="AR13" s="289">
        <v>-1454.5001416299999</v>
      </c>
      <c r="AS13" s="289"/>
      <c r="AT13" s="289">
        <v>1399</v>
      </c>
      <c r="AU13" s="289">
        <v>239</v>
      </c>
      <c r="AV13" s="625">
        <v>630791</v>
      </c>
      <c r="AW13" s="289"/>
      <c r="AX13" s="625">
        <v>211.02500004999999</v>
      </c>
      <c r="AY13" s="289">
        <v>9097</v>
      </c>
      <c r="AZ13" s="289">
        <v>1050</v>
      </c>
      <c r="BA13" s="290">
        <v>454</v>
      </c>
      <c r="BB13" s="289">
        <v>0</v>
      </c>
      <c r="BC13" s="289">
        <v>10690.72171729</v>
      </c>
      <c r="BD13" s="289">
        <v>335.9091904835696</v>
      </c>
      <c r="BE13" s="289">
        <v>666038.11629318004</v>
      </c>
      <c r="BF13" s="289">
        <v>0</v>
      </c>
      <c r="BG13" s="289">
        <v>-1137.9570000000001</v>
      </c>
      <c r="BH13" s="289">
        <v>-77.155600000000007</v>
      </c>
      <c r="BI13" s="289">
        <v>11005.396203279999</v>
      </c>
      <c r="BJ13" s="289">
        <v>0</v>
      </c>
      <c r="BK13" s="289">
        <v>0</v>
      </c>
      <c r="BL13" s="289">
        <v>0</v>
      </c>
      <c r="BM13" s="289">
        <v>3265</v>
      </c>
      <c r="BN13" s="289">
        <v>1638.8196251514121</v>
      </c>
      <c r="BO13" s="289">
        <v>1007.676069008347</v>
      </c>
      <c r="BP13" s="289">
        <v>2474.1244624949268</v>
      </c>
      <c r="BQ13" s="289">
        <v>12.142572561085785</v>
      </c>
      <c r="BR13" s="289">
        <v>22.767178466108611</v>
      </c>
      <c r="BS13" s="289">
        <v>5.7888799297750566</v>
      </c>
      <c r="BT13" s="289">
        <v>0</v>
      </c>
      <c r="BU13" s="289">
        <v>0</v>
      </c>
      <c r="BV13" s="289">
        <v>0.85128975582343003</v>
      </c>
      <c r="BW13" s="517"/>
      <c r="BX13" s="517"/>
      <c r="CA13" s="517"/>
      <c r="CB13" s="517"/>
    </row>
    <row r="14" spans="1:80" ht="13">
      <c r="A14" s="1">
        <v>220</v>
      </c>
      <c r="B14" s="2" t="s">
        <v>808</v>
      </c>
      <c r="C14" s="289">
        <v>61523</v>
      </c>
      <c r="D14" s="289">
        <v>1224</v>
      </c>
      <c r="E14" s="289">
        <v>3131</v>
      </c>
      <c r="F14" s="289">
        <v>8617</v>
      </c>
      <c r="G14" s="289">
        <v>5626</v>
      </c>
      <c r="H14" s="289">
        <v>34046</v>
      </c>
      <c r="I14" s="289">
        <v>6071</v>
      </c>
      <c r="J14" s="289">
        <v>2108</v>
      </c>
      <c r="K14" s="289">
        <v>476</v>
      </c>
      <c r="L14" s="289">
        <v>384</v>
      </c>
      <c r="M14" s="289">
        <v>3303</v>
      </c>
      <c r="N14" s="290">
        <v>1827</v>
      </c>
      <c r="O14" s="290">
        <v>671</v>
      </c>
      <c r="P14" s="624">
        <v>92239.199333330005</v>
      </c>
      <c r="Q14" s="624">
        <v>78809.193333329997</v>
      </c>
      <c r="R14" s="624">
        <v>204</v>
      </c>
      <c r="S14" s="289"/>
      <c r="T14" s="289">
        <v>3893</v>
      </c>
      <c r="U14" s="716">
        <v>1.0366263547502456E-3</v>
      </c>
      <c r="V14" s="289">
        <v>-16967.813382789998</v>
      </c>
      <c r="W14" s="743">
        <v>0.53832833999999996</v>
      </c>
      <c r="X14" s="289">
        <v>0</v>
      </c>
      <c r="Y14" s="289">
        <v>2071.42</v>
      </c>
      <c r="Z14" s="289">
        <v>3113350</v>
      </c>
      <c r="AA14" s="289">
        <v>0</v>
      </c>
      <c r="AB14" s="290">
        <v>684</v>
      </c>
      <c r="AC14" s="289">
        <v>0</v>
      </c>
      <c r="AD14" s="289">
        <v>5508.2624960000003</v>
      </c>
      <c r="AE14" s="289">
        <v>0</v>
      </c>
      <c r="AF14" s="289">
        <v>0</v>
      </c>
      <c r="AG14" s="289">
        <v>61299</v>
      </c>
      <c r="AH14" s="289">
        <v>11394.47511868</v>
      </c>
      <c r="AI14" s="289">
        <v>300</v>
      </c>
      <c r="AJ14" s="289">
        <v>0</v>
      </c>
      <c r="AK14" s="289">
        <v>0</v>
      </c>
      <c r="AL14" s="289">
        <v>0</v>
      </c>
      <c r="AM14" s="836">
        <v>1.7770692800000001</v>
      </c>
      <c r="AN14" s="289">
        <v>0</v>
      </c>
      <c r="AO14" s="289">
        <v>2376.1341009299999</v>
      </c>
      <c r="AP14" s="289">
        <v>0</v>
      </c>
      <c r="AQ14" s="289">
        <v>0</v>
      </c>
      <c r="AR14" s="289">
        <v>-3262.80480794</v>
      </c>
      <c r="AS14" s="289"/>
      <c r="AT14" s="289">
        <v>3178</v>
      </c>
      <c r="AU14" s="289">
        <v>534</v>
      </c>
      <c r="AV14" s="625">
        <v>1458249</v>
      </c>
      <c r="AW14" s="289"/>
      <c r="AX14" s="625">
        <v>412.72666665000003</v>
      </c>
      <c r="AY14" s="289">
        <v>22724</v>
      </c>
      <c r="AZ14" s="289">
        <v>3887</v>
      </c>
      <c r="BA14" s="290">
        <v>1218</v>
      </c>
      <c r="BB14" s="289">
        <v>0</v>
      </c>
      <c r="BC14" s="289">
        <v>18442.14420228</v>
      </c>
      <c r="BD14" s="289">
        <v>870.14121251069889</v>
      </c>
      <c r="BE14" s="289">
        <v>1527186.1121083</v>
      </c>
      <c r="BF14" s="289">
        <v>0</v>
      </c>
      <c r="BG14" s="289">
        <v>-2603.0068000000001</v>
      </c>
      <c r="BH14" s="289">
        <v>-173.07929999999999</v>
      </c>
      <c r="BI14" s="289">
        <v>18974.15761468</v>
      </c>
      <c r="BJ14" s="289">
        <v>0</v>
      </c>
      <c r="BK14" s="289">
        <v>0</v>
      </c>
      <c r="BL14" s="289">
        <v>0</v>
      </c>
      <c r="BM14" s="289">
        <v>6078</v>
      </c>
      <c r="BN14" s="289">
        <v>3622.6190441541326</v>
      </c>
      <c r="BO14" s="289">
        <v>2200.8213457931774</v>
      </c>
      <c r="BP14" s="289">
        <v>5550.0752187102589</v>
      </c>
      <c r="BQ14" s="289">
        <v>134.55410084658206</v>
      </c>
      <c r="BR14" s="289">
        <v>58.976237736836261</v>
      </c>
      <c r="BS14" s="289">
        <v>12.789792552301769</v>
      </c>
      <c r="BT14" s="289">
        <v>0</v>
      </c>
      <c r="BU14" s="289">
        <v>0</v>
      </c>
      <c r="BV14" s="289">
        <v>9.4332998282272484</v>
      </c>
      <c r="BW14" s="517"/>
      <c r="BX14" s="517"/>
      <c r="CA14" s="517"/>
      <c r="CB14" s="517"/>
    </row>
    <row r="15" spans="1:80" ht="13">
      <c r="A15" s="1">
        <v>221</v>
      </c>
      <c r="B15" s="2" t="s">
        <v>809</v>
      </c>
      <c r="C15" s="289">
        <v>16500</v>
      </c>
      <c r="D15" s="289">
        <v>336</v>
      </c>
      <c r="E15" s="289">
        <v>723</v>
      </c>
      <c r="F15" s="289">
        <v>1993</v>
      </c>
      <c r="G15" s="289">
        <v>1332</v>
      </c>
      <c r="H15" s="289">
        <v>9356</v>
      </c>
      <c r="I15" s="289">
        <v>2010</v>
      </c>
      <c r="J15" s="289">
        <v>574</v>
      </c>
      <c r="K15" s="289">
        <v>134</v>
      </c>
      <c r="L15" s="289">
        <v>131</v>
      </c>
      <c r="M15" s="289">
        <v>1201</v>
      </c>
      <c r="N15" s="290">
        <v>207</v>
      </c>
      <c r="O15" s="290">
        <v>185</v>
      </c>
      <c r="P15" s="624">
        <v>56003.56</v>
      </c>
      <c r="Q15" s="624">
        <v>43258.282666669998</v>
      </c>
      <c r="R15" s="624">
        <v>47</v>
      </c>
      <c r="S15" s="289"/>
      <c r="T15" s="289">
        <v>1215</v>
      </c>
      <c r="U15" s="716">
        <v>5.9021819010375079E-3</v>
      </c>
      <c r="V15" s="289">
        <v>6250.6463074000003</v>
      </c>
      <c r="W15" s="743">
        <v>0.63288454999999999</v>
      </c>
      <c r="X15" s="289">
        <v>3200</v>
      </c>
      <c r="Y15" s="289">
        <v>414.28399999999999</v>
      </c>
      <c r="Z15" s="289">
        <v>410305</v>
      </c>
      <c r="AA15" s="289">
        <v>0</v>
      </c>
      <c r="AB15" s="290">
        <v>312</v>
      </c>
      <c r="AC15" s="289">
        <v>0</v>
      </c>
      <c r="AD15" s="289">
        <v>3900.1579839999999</v>
      </c>
      <c r="AE15" s="289">
        <v>0</v>
      </c>
      <c r="AF15" s="289">
        <v>0</v>
      </c>
      <c r="AG15" s="289">
        <v>16458</v>
      </c>
      <c r="AH15" s="289">
        <v>2675.35191717</v>
      </c>
      <c r="AI15" s="289">
        <v>0</v>
      </c>
      <c r="AJ15" s="289">
        <v>0</v>
      </c>
      <c r="AK15" s="289">
        <v>0</v>
      </c>
      <c r="AL15" s="289">
        <v>0</v>
      </c>
      <c r="AM15" s="836">
        <v>0.67474537000000001</v>
      </c>
      <c r="AN15" s="289">
        <v>0</v>
      </c>
      <c r="AO15" s="289">
        <v>623.72445096000001</v>
      </c>
      <c r="AP15" s="289">
        <v>0</v>
      </c>
      <c r="AQ15" s="289">
        <v>0</v>
      </c>
      <c r="AR15" s="289">
        <v>-876.02149348</v>
      </c>
      <c r="AS15" s="289"/>
      <c r="AT15" s="289">
        <v>1137</v>
      </c>
      <c r="AU15" s="289">
        <v>193</v>
      </c>
      <c r="AV15" s="625">
        <v>381023</v>
      </c>
      <c r="AW15" s="289"/>
      <c r="AX15" s="625">
        <v>118.08166665</v>
      </c>
      <c r="AY15" s="289">
        <v>2394</v>
      </c>
      <c r="AZ15" s="289">
        <v>826</v>
      </c>
      <c r="BA15" s="290">
        <v>338</v>
      </c>
      <c r="BB15" s="289">
        <v>0</v>
      </c>
      <c r="BC15" s="289">
        <v>6778.3904344000002</v>
      </c>
      <c r="BD15" s="289">
        <v>248.87565726162831</v>
      </c>
      <c r="BE15" s="289">
        <v>409178.07732457999</v>
      </c>
      <c r="BF15" s="289">
        <v>0</v>
      </c>
      <c r="BG15" s="289">
        <v>-626.3777</v>
      </c>
      <c r="BH15" s="289">
        <v>-46.4696</v>
      </c>
      <c r="BI15" s="289">
        <v>6989.79390117</v>
      </c>
      <c r="BJ15" s="289">
        <v>0</v>
      </c>
      <c r="BK15" s="289">
        <v>0</v>
      </c>
      <c r="BL15" s="289">
        <v>0</v>
      </c>
      <c r="BM15" s="289">
        <v>4109</v>
      </c>
      <c r="BN15" s="289">
        <v>1077.2418439669793</v>
      </c>
      <c r="BO15" s="289">
        <v>639.41857618615495</v>
      </c>
      <c r="BP15" s="289">
        <v>1490.1244384008455</v>
      </c>
      <c r="BQ15" s="289">
        <v>766.10321075466823</v>
      </c>
      <c r="BR15" s="289">
        <v>16.86823899217703</v>
      </c>
      <c r="BS15" s="289">
        <v>3.585508314200073</v>
      </c>
      <c r="BT15" s="289">
        <v>0</v>
      </c>
      <c r="BU15" s="289">
        <v>0</v>
      </c>
      <c r="BV15" s="289">
        <v>53.709855299441308</v>
      </c>
      <c r="BW15" s="517"/>
      <c r="BX15" s="517"/>
      <c r="CA15" s="517"/>
      <c r="CB15" s="517"/>
    </row>
    <row r="16" spans="1:80" ht="13">
      <c r="A16" s="1">
        <v>226</v>
      </c>
      <c r="B16" s="2" t="s">
        <v>810</v>
      </c>
      <c r="C16" s="289">
        <v>18263</v>
      </c>
      <c r="D16" s="289">
        <v>435</v>
      </c>
      <c r="E16" s="289">
        <v>1001</v>
      </c>
      <c r="F16" s="289">
        <v>2633</v>
      </c>
      <c r="G16" s="289">
        <v>1516</v>
      </c>
      <c r="H16" s="289">
        <v>10464</v>
      </c>
      <c r="I16" s="289">
        <v>1570</v>
      </c>
      <c r="J16" s="289">
        <v>490</v>
      </c>
      <c r="K16" s="289">
        <v>89</v>
      </c>
      <c r="L16" s="289">
        <v>123</v>
      </c>
      <c r="M16" s="289">
        <v>878</v>
      </c>
      <c r="N16" s="290">
        <v>425</v>
      </c>
      <c r="O16" s="290">
        <v>187</v>
      </c>
      <c r="P16" s="624">
        <v>49170.998</v>
      </c>
      <c r="Q16" s="624">
        <v>40893.347333329999</v>
      </c>
      <c r="R16" s="624">
        <v>53</v>
      </c>
      <c r="S16" s="289"/>
      <c r="T16" s="289">
        <v>1074</v>
      </c>
      <c r="U16" s="716">
        <v>4.0275622414840178E-3</v>
      </c>
      <c r="V16" s="289">
        <v>3931.6570047499999</v>
      </c>
      <c r="W16" s="743">
        <v>0.57663721999999995</v>
      </c>
      <c r="X16" s="289">
        <v>2800</v>
      </c>
      <c r="Y16" s="289">
        <v>414.28399999999999</v>
      </c>
      <c r="Z16" s="289">
        <v>561660</v>
      </c>
      <c r="AA16" s="289">
        <v>0</v>
      </c>
      <c r="AB16" s="290">
        <v>245</v>
      </c>
      <c r="AC16" s="289">
        <v>0</v>
      </c>
      <c r="AD16" s="289">
        <v>4907.5578919999998</v>
      </c>
      <c r="AE16" s="289">
        <v>3262</v>
      </c>
      <c r="AF16" s="289">
        <v>0</v>
      </c>
      <c r="AG16" s="289">
        <v>18198</v>
      </c>
      <c r="AH16" s="289">
        <v>3470.9152576699998</v>
      </c>
      <c r="AI16" s="289">
        <v>0</v>
      </c>
      <c r="AJ16" s="289">
        <v>0</v>
      </c>
      <c r="AK16" s="289">
        <v>0</v>
      </c>
      <c r="AL16" s="289">
        <v>0</v>
      </c>
      <c r="AM16" s="836">
        <v>0.42469878999999999</v>
      </c>
      <c r="AN16" s="289">
        <v>0</v>
      </c>
      <c r="AO16" s="289">
        <v>694.34644754999999</v>
      </c>
      <c r="AP16" s="289">
        <v>0</v>
      </c>
      <c r="AQ16" s="289">
        <v>0</v>
      </c>
      <c r="AR16" s="289">
        <v>-968.63769220999995</v>
      </c>
      <c r="AS16" s="290"/>
      <c r="AT16" s="289">
        <v>1087</v>
      </c>
      <c r="AU16" s="289">
        <v>182</v>
      </c>
      <c r="AV16" s="625">
        <v>435776</v>
      </c>
      <c r="AW16" s="289"/>
      <c r="AX16" s="625">
        <v>165.18666669999999</v>
      </c>
      <c r="AY16" s="289">
        <v>3917</v>
      </c>
      <c r="AZ16" s="289">
        <v>694</v>
      </c>
      <c r="BA16" s="290">
        <v>404</v>
      </c>
      <c r="BB16" s="289">
        <v>0</v>
      </c>
      <c r="BC16" s="289">
        <v>8488.9540101799994</v>
      </c>
      <c r="BD16" s="289">
        <v>240.02163698871058</v>
      </c>
      <c r="BE16" s="289">
        <v>456682.16233727999</v>
      </c>
      <c r="BF16" s="289">
        <v>0</v>
      </c>
      <c r="BG16" s="289">
        <v>-807.84090000000003</v>
      </c>
      <c r="BH16" s="289">
        <v>-51.3825</v>
      </c>
      <c r="BI16" s="289">
        <v>8792.7571496700002</v>
      </c>
      <c r="BJ16" s="289">
        <v>0</v>
      </c>
      <c r="BK16" s="289">
        <v>0</v>
      </c>
      <c r="BL16" s="289">
        <v>0</v>
      </c>
      <c r="BM16" s="289">
        <v>1859</v>
      </c>
      <c r="BN16" s="289">
        <v>963.90504054023575</v>
      </c>
      <c r="BO16" s="289">
        <v>662.08473519266784</v>
      </c>
      <c r="BP16" s="289">
        <v>1647.6658482208402</v>
      </c>
      <c r="BQ16" s="289">
        <v>522.77757894462547</v>
      </c>
      <c r="BR16" s="289">
        <v>16.268133173679271</v>
      </c>
      <c r="BS16" s="289">
        <v>3.942529172080635</v>
      </c>
      <c r="BT16" s="289">
        <v>0</v>
      </c>
      <c r="BU16" s="289">
        <v>0</v>
      </c>
      <c r="BV16" s="289">
        <v>36.650816397504556</v>
      </c>
      <c r="BW16" s="517"/>
      <c r="BX16" s="517"/>
      <c r="CA16" s="517"/>
      <c r="CB16" s="517"/>
    </row>
    <row r="17" spans="1:80" ht="13">
      <c r="A17" s="1">
        <v>227</v>
      </c>
      <c r="B17" s="2" t="s">
        <v>811</v>
      </c>
      <c r="C17" s="289">
        <v>11842</v>
      </c>
      <c r="D17" s="289">
        <v>255</v>
      </c>
      <c r="E17" s="289">
        <v>582</v>
      </c>
      <c r="F17" s="289">
        <v>1570</v>
      </c>
      <c r="G17" s="289">
        <v>962</v>
      </c>
      <c r="H17" s="289">
        <v>6797</v>
      </c>
      <c r="I17" s="289">
        <v>1197</v>
      </c>
      <c r="J17" s="289">
        <v>370</v>
      </c>
      <c r="K17" s="289">
        <v>60</v>
      </c>
      <c r="L17" s="289">
        <v>82</v>
      </c>
      <c r="M17" s="289">
        <v>570</v>
      </c>
      <c r="N17" s="290">
        <v>232</v>
      </c>
      <c r="O17" s="290">
        <v>99</v>
      </c>
      <c r="P17" s="624">
        <v>33970.872000000003</v>
      </c>
      <c r="Q17" s="624">
        <v>24347.497666669999</v>
      </c>
      <c r="R17" s="624">
        <v>29</v>
      </c>
      <c r="S17" s="289"/>
      <c r="T17" s="289">
        <v>665</v>
      </c>
      <c r="U17" s="716">
        <v>1.658319040061108E-3</v>
      </c>
      <c r="V17" s="289">
        <v>2527.1070442499999</v>
      </c>
      <c r="W17" s="743">
        <v>0.58247402999999998</v>
      </c>
      <c r="X17" s="289">
        <v>2700</v>
      </c>
      <c r="Y17" s="289">
        <v>414.28399999999999</v>
      </c>
      <c r="Z17" s="289">
        <v>388463</v>
      </c>
      <c r="AA17" s="289">
        <v>0</v>
      </c>
      <c r="AB17" s="290">
        <v>146</v>
      </c>
      <c r="AC17" s="289">
        <v>0</v>
      </c>
      <c r="AD17" s="289">
        <v>4821.7620399999996</v>
      </c>
      <c r="AE17" s="289">
        <v>0</v>
      </c>
      <c r="AF17" s="289">
        <v>0</v>
      </c>
      <c r="AG17" s="289">
        <v>11793</v>
      </c>
      <c r="AH17" s="289">
        <v>2068.0463347199998</v>
      </c>
      <c r="AI17" s="289">
        <v>0</v>
      </c>
      <c r="AJ17" s="289">
        <v>0</v>
      </c>
      <c r="AK17" s="289">
        <v>0</v>
      </c>
      <c r="AL17" s="289">
        <v>0</v>
      </c>
      <c r="AM17" s="836">
        <v>0.29329368</v>
      </c>
      <c r="AN17" s="289">
        <v>0</v>
      </c>
      <c r="AO17" s="289">
        <v>432.64717267999998</v>
      </c>
      <c r="AP17" s="289">
        <v>0</v>
      </c>
      <c r="AQ17" s="289">
        <v>0</v>
      </c>
      <c r="AR17" s="289">
        <v>-627.71427102999996</v>
      </c>
      <c r="AS17" s="289"/>
      <c r="AT17" s="289">
        <v>673</v>
      </c>
      <c r="AU17" s="289">
        <v>130</v>
      </c>
      <c r="AV17" s="625">
        <v>259439</v>
      </c>
      <c r="AW17" s="289"/>
      <c r="AX17" s="625">
        <v>76.433333300000001</v>
      </c>
      <c r="AY17" s="289">
        <v>2555</v>
      </c>
      <c r="AZ17" s="289">
        <v>456</v>
      </c>
      <c r="BA17" s="290">
        <v>204</v>
      </c>
      <c r="BB17" s="289">
        <v>0</v>
      </c>
      <c r="BC17" s="289">
        <v>7091.54309096</v>
      </c>
      <c r="BD17" s="289">
        <v>149.77145800915889</v>
      </c>
      <c r="BE17" s="289">
        <v>272916.45791691</v>
      </c>
      <c r="BF17" s="289">
        <v>0</v>
      </c>
      <c r="BG17" s="289">
        <v>-483.41820000000001</v>
      </c>
      <c r="BH17" s="289">
        <v>-33.297800000000002</v>
      </c>
      <c r="BI17" s="289">
        <v>7304.0923747200004</v>
      </c>
      <c r="BJ17" s="289">
        <v>0</v>
      </c>
      <c r="BK17" s="289">
        <v>0</v>
      </c>
      <c r="BL17" s="289">
        <v>0</v>
      </c>
      <c r="BM17" s="289">
        <v>1206</v>
      </c>
      <c r="BN17" s="289">
        <v>648.68363635934838</v>
      </c>
      <c r="BO17" s="289">
        <v>443.38494359167112</v>
      </c>
      <c r="BP17" s="289">
        <v>1067.7504862110325</v>
      </c>
      <c r="BQ17" s="289">
        <v>215.24981139993173</v>
      </c>
      <c r="BR17" s="289">
        <v>10.151176598398546</v>
      </c>
      <c r="BS17" s="289">
        <v>2.6191616346322393</v>
      </c>
      <c r="BT17" s="289">
        <v>0</v>
      </c>
      <c r="BU17" s="289">
        <v>0</v>
      </c>
      <c r="BV17" s="289">
        <v>15.090703264556078</v>
      </c>
      <c r="BW17" s="517"/>
      <c r="BX17" s="517"/>
      <c r="CA17" s="517"/>
      <c r="CB17" s="517"/>
    </row>
    <row r="18" spans="1:80" ht="13">
      <c r="A18" s="1">
        <v>231</v>
      </c>
      <c r="B18" s="2" t="s">
        <v>815</v>
      </c>
      <c r="C18" s="289">
        <v>55652</v>
      </c>
      <c r="D18" s="289">
        <v>1193</v>
      </c>
      <c r="E18" s="289">
        <v>2554</v>
      </c>
      <c r="F18" s="289">
        <v>6921</v>
      </c>
      <c r="G18" s="289">
        <v>4897</v>
      </c>
      <c r="H18" s="289">
        <v>31996</v>
      </c>
      <c r="I18" s="289">
        <v>5415</v>
      </c>
      <c r="J18" s="289">
        <v>1725</v>
      </c>
      <c r="K18" s="289">
        <v>343</v>
      </c>
      <c r="L18" s="289">
        <v>407</v>
      </c>
      <c r="M18" s="289">
        <v>3272</v>
      </c>
      <c r="N18" s="290">
        <v>3117</v>
      </c>
      <c r="O18" s="290">
        <v>534</v>
      </c>
      <c r="P18" s="624">
        <v>92373.307666670007</v>
      </c>
      <c r="Q18" s="624">
        <v>33413.197666669999</v>
      </c>
      <c r="R18" s="624">
        <v>151</v>
      </c>
      <c r="S18" s="289"/>
      <c r="T18" s="289">
        <v>4244</v>
      </c>
      <c r="U18" s="716">
        <v>9.4146371279538567E-4</v>
      </c>
      <c r="V18" s="289">
        <v>8400.22643393</v>
      </c>
      <c r="W18" s="743">
        <v>0.52626561000000005</v>
      </c>
      <c r="X18" s="289">
        <v>0</v>
      </c>
      <c r="Y18" s="289">
        <v>828.56799999999998</v>
      </c>
      <c r="Z18" s="289">
        <v>1799911</v>
      </c>
      <c r="AA18" s="289">
        <v>0</v>
      </c>
      <c r="AB18" s="290">
        <v>783</v>
      </c>
      <c r="AC18" s="289">
        <v>0</v>
      </c>
      <c r="AD18" s="289">
        <v>5704.5148920000001</v>
      </c>
      <c r="AE18" s="289">
        <v>4983</v>
      </c>
      <c r="AF18" s="289">
        <v>0</v>
      </c>
      <c r="AG18" s="289">
        <v>55044</v>
      </c>
      <c r="AH18" s="289">
        <v>9394.7593776199992</v>
      </c>
      <c r="AI18" s="289">
        <v>0</v>
      </c>
      <c r="AJ18" s="289">
        <v>0</v>
      </c>
      <c r="AK18" s="289">
        <v>0</v>
      </c>
      <c r="AL18" s="289">
        <v>0</v>
      </c>
      <c r="AM18" s="836">
        <v>2.2703546000000001</v>
      </c>
      <c r="AN18" s="289">
        <v>0</v>
      </c>
      <c r="AO18" s="289">
        <v>2023.6627124700001</v>
      </c>
      <c r="AP18" s="289">
        <v>0</v>
      </c>
      <c r="AQ18" s="289">
        <v>0</v>
      </c>
      <c r="AR18" s="289">
        <v>-2929.8655418200001</v>
      </c>
      <c r="AS18" s="289"/>
      <c r="AT18" s="289">
        <v>3386</v>
      </c>
      <c r="AU18" s="289">
        <v>625</v>
      </c>
      <c r="AV18" s="625">
        <v>1190825</v>
      </c>
      <c r="AW18" s="289"/>
      <c r="AX18" s="625">
        <v>368.67333335000001</v>
      </c>
      <c r="AY18" s="289">
        <v>13060</v>
      </c>
      <c r="AZ18" s="289">
        <v>3149</v>
      </c>
      <c r="BA18" s="290">
        <v>1227</v>
      </c>
      <c r="BB18" s="289">
        <v>0</v>
      </c>
      <c r="BC18" s="289">
        <v>15340.98432345</v>
      </c>
      <c r="BD18" s="289">
        <v>1037.89861341033</v>
      </c>
      <c r="BE18" s="289">
        <v>1250412.4097493</v>
      </c>
      <c r="BF18" s="289">
        <v>0</v>
      </c>
      <c r="BG18" s="289">
        <v>-2082.4648999999999</v>
      </c>
      <c r="BH18" s="289">
        <v>-155.41810000000001</v>
      </c>
      <c r="BI18" s="289">
        <v>15927.84226962</v>
      </c>
      <c r="BJ18" s="289">
        <v>0</v>
      </c>
      <c r="BK18" s="289">
        <v>0</v>
      </c>
      <c r="BL18" s="289">
        <v>0</v>
      </c>
      <c r="BM18" s="289">
        <v>5603</v>
      </c>
      <c r="BN18" s="289">
        <v>3135.3088314116403</v>
      </c>
      <c r="BO18" s="289">
        <v>1917.6497209459831</v>
      </c>
      <c r="BP18" s="289">
        <v>4983.7410127194162</v>
      </c>
      <c r="BQ18" s="289">
        <v>122.20198992084102</v>
      </c>
      <c r="BR18" s="289">
        <v>70.346461575589046</v>
      </c>
      <c r="BS18" s="289">
        <v>11.496782567009145</v>
      </c>
      <c r="BT18" s="289">
        <v>0</v>
      </c>
      <c r="BU18" s="289">
        <v>0</v>
      </c>
      <c r="BV18" s="289">
        <v>8.5673197864380199</v>
      </c>
      <c r="BW18" s="517"/>
      <c r="BX18" s="517"/>
      <c r="CA18" s="517"/>
      <c r="CB18" s="517"/>
    </row>
    <row r="19" spans="1:80" ht="13">
      <c r="A19" s="1">
        <v>301</v>
      </c>
      <c r="B19" s="3" t="s">
        <v>823</v>
      </c>
      <c r="C19" s="289">
        <v>681071</v>
      </c>
      <c r="D19" s="289">
        <v>18067</v>
      </c>
      <c r="E19" s="289">
        <v>32754</v>
      </c>
      <c r="F19" s="289">
        <v>69887</v>
      </c>
      <c r="G19" s="289">
        <v>48857</v>
      </c>
      <c r="H19" s="289">
        <v>432967</v>
      </c>
      <c r="I19" s="289">
        <v>52877</v>
      </c>
      <c r="J19" s="289">
        <v>16191</v>
      </c>
      <c r="K19" s="289">
        <v>4846</v>
      </c>
      <c r="L19" s="289">
        <v>5176</v>
      </c>
      <c r="M19" s="289">
        <v>38409</v>
      </c>
      <c r="N19" s="290">
        <v>38876</v>
      </c>
      <c r="O19" s="290">
        <v>6415</v>
      </c>
      <c r="P19" s="624">
        <v>1219590.0643333001</v>
      </c>
      <c r="Q19" s="624">
        <v>514041.94566666998</v>
      </c>
      <c r="R19" s="624">
        <v>1678</v>
      </c>
      <c r="S19" s="289"/>
      <c r="T19" s="289">
        <v>85556</v>
      </c>
      <c r="U19" s="716">
        <v>8.0613897939014957E-4</v>
      </c>
      <c r="V19" s="289">
        <v>-60333.966949850001</v>
      </c>
      <c r="W19" s="743">
        <v>0.51900851999999997</v>
      </c>
      <c r="X19" s="289">
        <v>0</v>
      </c>
      <c r="Y19" s="289">
        <v>13257.088</v>
      </c>
      <c r="Z19" s="289">
        <v>29417306</v>
      </c>
      <c r="AA19" s="289">
        <v>0</v>
      </c>
      <c r="AB19" s="290">
        <v>7054</v>
      </c>
      <c r="AC19" s="289">
        <v>0</v>
      </c>
      <c r="AD19" s="289">
        <v>0</v>
      </c>
      <c r="AE19" s="289">
        <v>0</v>
      </c>
      <c r="AF19" s="289">
        <v>0</v>
      </c>
      <c r="AG19" s="289">
        <v>676446</v>
      </c>
      <c r="AH19" s="289">
        <v>101260.36179998</v>
      </c>
      <c r="AI19" s="289">
        <v>5700</v>
      </c>
      <c r="AJ19" s="289">
        <v>0</v>
      </c>
      <c r="AK19" s="289">
        <v>0</v>
      </c>
      <c r="AL19" s="289">
        <v>0</v>
      </c>
      <c r="AM19" s="836">
        <v>48.7887214</v>
      </c>
      <c r="AN19" s="289">
        <v>0</v>
      </c>
      <c r="AO19" s="289">
        <v>24255.455701880001</v>
      </c>
      <c r="AP19" s="289">
        <v>249857</v>
      </c>
      <c r="AQ19" s="289">
        <v>0</v>
      </c>
      <c r="AR19" s="289">
        <v>-36005.665037109997</v>
      </c>
      <c r="AS19" s="289"/>
      <c r="AT19" s="289">
        <v>36967</v>
      </c>
      <c r="AU19" s="289">
        <v>9735</v>
      </c>
      <c r="AV19" s="625">
        <v>13766542</v>
      </c>
      <c r="AW19" s="289"/>
      <c r="AX19" s="625">
        <v>5734.1650003499999</v>
      </c>
      <c r="AY19" s="289">
        <v>259636</v>
      </c>
      <c r="AZ19" s="289">
        <v>61490</v>
      </c>
      <c r="BA19" s="290">
        <v>14528</v>
      </c>
      <c r="BB19" s="289">
        <v>0</v>
      </c>
      <c r="BC19" s="289">
        <v>81924.449622240005</v>
      </c>
      <c r="BD19" s="289">
        <v>16576.033362707345</v>
      </c>
      <c r="BE19" s="289">
        <v>14383679.418637</v>
      </c>
      <c r="BF19" s="289">
        <v>-28880.754161969999</v>
      </c>
      <c r="BG19" s="289">
        <v>-21217.276699999999</v>
      </c>
      <c r="BH19" s="289">
        <v>-1909.9622999999999</v>
      </c>
      <c r="BI19" s="289">
        <v>85636.695638010002</v>
      </c>
      <c r="BJ19" s="289">
        <v>0</v>
      </c>
      <c r="BK19" s="289">
        <v>0</v>
      </c>
      <c r="BL19" s="289">
        <v>0</v>
      </c>
      <c r="BM19" s="289">
        <v>0</v>
      </c>
      <c r="BN19" s="289">
        <v>35869.345283269809</v>
      </c>
      <c r="BO19" s="289">
        <v>22054.177433480629</v>
      </c>
      <c r="BP19" s="289">
        <v>61246.124429365562</v>
      </c>
      <c r="BQ19" s="289">
        <v>104.6368395248428</v>
      </c>
      <c r="BR19" s="289">
        <v>1123.4867056946089</v>
      </c>
      <c r="BS19" s="289">
        <v>139.60929669358859</v>
      </c>
      <c r="BT19" s="289">
        <v>0</v>
      </c>
      <c r="BU19" s="289">
        <v>0</v>
      </c>
      <c r="BV19" s="289">
        <v>7.3358647124503022</v>
      </c>
      <c r="BW19" s="517"/>
      <c r="BX19" s="517"/>
      <c r="CA19" s="517"/>
      <c r="CB19" s="517"/>
    </row>
    <row r="20" spans="1:80" ht="13">
      <c r="A20" s="1">
        <v>602</v>
      </c>
      <c r="B20" s="2" t="s">
        <v>871</v>
      </c>
      <c r="C20" s="289">
        <v>68933</v>
      </c>
      <c r="D20" s="289">
        <v>1508</v>
      </c>
      <c r="E20" s="289">
        <v>3076</v>
      </c>
      <c r="F20" s="289">
        <v>8082</v>
      </c>
      <c r="G20" s="289">
        <v>5664</v>
      </c>
      <c r="H20" s="289">
        <v>39857</v>
      </c>
      <c r="I20" s="289">
        <v>7643</v>
      </c>
      <c r="J20" s="289">
        <v>2450</v>
      </c>
      <c r="K20" s="289">
        <v>613</v>
      </c>
      <c r="L20" s="289">
        <v>542</v>
      </c>
      <c r="M20" s="289">
        <v>5031</v>
      </c>
      <c r="N20" s="290">
        <v>4355</v>
      </c>
      <c r="O20" s="290">
        <v>934</v>
      </c>
      <c r="P20" s="624">
        <v>119509.69500000001</v>
      </c>
      <c r="Q20" s="624">
        <v>41951.616666670001</v>
      </c>
      <c r="R20" s="624">
        <v>215</v>
      </c>
      <c r="S20" s="289"/>
      <c r="T20" s="289">
        <v>6573</v>
      </c>
      <c r="U20" s="716">
        <v>9.0970023995209904E-4</v>
      </c>
      <c r="V20" s="289">
        <v>13070.78147337</v>
      </c>
      <c r="W20" s="743">
        <v>0.52568192999999996</v>
      </c>
      <c r="X20" s="289">
        <v>3500</v>
      </c>
      <c r="Y20" s="289">
        <v>1242.8520000000001</v>
      </c>
      <c r="Z20" s="289">
        <v>2125721</v>
      </c>
      <c r="AA20" s="289">
        <v>0</v>
      </c>
      <c r="AB20" s="290">
        <v>1283</v>
      </c>
      <c r="AC20" s="289">
        <v>0</v>
      </c>
      <c r="AD20" s="289">
        <v>5719.6079879999998</v>
      </c>
      <c r="AE20" s="289">
        <v>0</v>
      </c>
      <c r="AF20" s="289">
        <v>0</v>
      </c>
      <c r="AG20" s="289">
        <v>68893</v>
      </c>
      <c r="AH20" s="289">
        <v>11101.62971727</v>
      </c>
      <c r="AI20" s="289">
        <v>1100</v>
      </c>
      <c r="AJ20" s="289">
        <v>0</v>
      </c>
      <c r="AK20" s="289">
        <v>0</v>
      </c>
      <c r="AL20" s="289">
        <v>0</v>
      </c>
      <c r="AM20" s="836">
        <v>4.9898268899999998</v>
      </c>
      <c r="AN20" s="289">
        <v>0</v>
      </c>
      <c r="AO20" s="289">
        <v>2651.6908957700002</v>
      </c>
      <c r="AP20" s="289">
        <v>0</v>
      </c>
      <c r="AQ20" s="289">
        <v>0</v>
      </c>
      <c r="AR20" s="289">
        <v>-3667.0159649100001</v>
      </c>
      <c r="AS20" s="289"/>
      <c r="AT20" s="289">
        <v>4435</v>
      </c>
      <c r="AU20" s="289">
        <v>1089</v>
      </c>
      <c r="AV20" s="625">
        <v>1656010</v>
      </c>
      <c r="AW20" s="289"/>
      <c r="AX20" s="625">
        <v>478.04999994999997</v>
      </c>
      <c r="AY20" s="289">
        <v>17295</v>
      </c>
      <c r="AZ20" s="289">
        <v>4878</v>
      </c>
      <c r="BA20" s="290">
        <v>1752</v>
      </c>
      <c r="BB20" s="289">
        <v>0</v>
      </c>
      <c r="BC20" s="289">
        <v>17594.800858840001</v>
      </c>
      <c r="BD20" s="289">
        <v>1617.7460131495059</v>
      </c>
      <c r="BE20" s="289">
        <v>1723203.1195109</v>
      </c>
      <c r="BF20" s="289">
        <v>0</v>
      </c>
      <c r="BG20" s="289">
        <v>-2467.8496</v>
      </c>
      <c r="BH20" s="289">
        <v>-194.52109999999999</v>
      </c>
      <c r="BI20" s="289">
        <v>18064.089705269998</v>
      </c>
      <c r="BJ20" s="289">
        <v>0</v>
      </c>
      <c r="BK20" s="289">
        <v>0</v>
      </c>
      <c r="BL20" s="289">
        <v>0</v>
      </c>
      <c r="BM20" s="289">
        <v>6680</v>
      </c>
      <c r="BN20" s="289">
        <v>4454.0206789925915</v>
      </c>
      <c r="BO20" s="289">
        <v>2449.9712750138679</v>
      </c>
      <c r="BP20" s="289">
        <v>6237.6438774303961</v>
      </c>
      <c r="BQ20" s="289">
        <v>118.07909114578251</v>
      </c>
      <c r="BR20" s="289">
        <v>109.64722978013317</v>
      </c>
      <c r="BS20" s="289">
        <v>14.320594374123649</v>
      </c>
      <c r="BT20" s="289">
        <v>0</v>
      </c>
      <c r="BU20" s="289">
        <v>0</v>
      </c>
      <c r="BV20" s="289">
        <v>8.2782721835640984</v>
      </c>
      <c r="BW20" s="517"/>
      <c r="BX20" s="517"/>
      <c r="CA20" s="517"/>
      <c r="CB20" s="517"/>
    </row>
    <row r="21" spans="1:80" ht="13">
      <c r="A21" s="1">
        <v>625</v>
      </c>
      <c r="B21" s="2" t="s">
        <v>885</v>
      </c>
      <c r="C21" s="289">
        <v>24963</v>
      </c>
      <c r="D21" s="289">
        <v>510</v>
      </c>
      <c r="E21" s="289">
        <v>1166</v>
      </c>
      <c r="F21" s="289">
        <v>3308</v>
      </c>
      <c r="G21" s="289">
        <v>2217</v>
      </c>
      <c r="H21" s="289">
        <v>14356</v>
      </c>
      <c r="I21" s="289">
        <v>2590</v>
      </c>
      <c r="J21" s="289">
        <v>690</v>
      </c>
      <c r="K21" s="289">
        <v>148</v>
      </c>
      <c r="L21" s="289">
        <v>205</v>
      </c>
      <c r="M21" s="289">
        <v>1395</v>
      </c>
      <c r="N21" s="290">
        <v>1053</v>
      </c>
      <c r="O21" s="290">
        <v>266</v>
      </c>
      <c r="P21" s="624">
        <v>56175.456666669998</v>
      </c>
      <c r="Q21" s="624">
        <v>27626.348999999998</v>
      </c>
      <c r="R21" s="624">
        <v>109</v>
      </c>
      <c r="S21" s="289"/>
      <c r="T21" s="289">
        <v>1691</v>
      </c>
      <c r="U21" s="716">
        <v>8.002386333215007E-4</v>
      </c>
      <c r="V21" s="289">
        <v>3467.41425884</v>
      </c>
      <c r="W21" s="743">
        <v>0.53811432000000003</v>
      </c>
      <c r="X21" s="289">
        <v>3750</v>
      </c>
      <c r="Y21" s="289">
        <v>414.28399999999999</v>
      </c>
      <c r="Z21" s="289">
        <v>664991</v>
      </c>
      <c r="AA21" s="289">
        <v>0</v>
      </c>
      <c r="AB21" s="290">
        <v>485</v>
      </c>
      <c r="AC21" s="289">
        <v>0</v>
      </c>
      <c r="AD21" s="289">
        <v>5496.0539680000002</v>
      </c>
      <c r="AE21" s="289">
        <v>0</v>
      </c>
      <c r="AF21" s="289">
        <v>0</v>
      </c>
      <c r="AG21" s="289">
        <v>24985</v>
      </c>
      <c r="AH21" s="289">
        <v>4396.86452689</v>
      </c>
      <c r="AI21" s="289">
        <v>0</v>
      </c>
      <c r="AJ21" s="289">
        <v>0</v>
      </c>
      <c r="AK21" s="289">
        <v>0</v>
      </c>
      <c r="AL21" s="289">
        <v>0</v>
      </c>
      <c r="AM21" s="836">
        <v>1.1213440800000001</v>
      </c>
      <c r="AN21" s="289">
        <v>0</v>
      </c>
      <c r="AO21" s="289">
        <v>951.04704088999995</v>
      </c>
      <c r="AP21" s="289">
        <v>0</v>
      </c>
      <c r="AQ21" s="289">
        <v>0</v>
      </c>
      <c r="AR21" s="289">
        <v>-1329.89409495</v>
      </c>
      <c r="AS21" s="289"/>
      <c r="AT21" s="289">
        <v>1658</v>
      </c>
      <c r="AU21" s="289">
        <v>340</v>
      </c>
      <c r="AV21" s="625">
        <v>583353</v>
      </c>
      <c r="AW21" s="289"/>
      <c r="AX21" s="625">
        <v>187.97333330000001</v>
      </c>
      <c r="AY21" s="289">
        <v>4527</v>
      </c>
      <c r="AZ21" s="289">
        <v>1235</v>
      </c>
      <c r="BA21" s="290">
        <v>631</v>
      </c>
      <c r="BB21" s="289">
        <v>0</v>
      </c>
      <c r="BC21" s="289">
        <v>10004.97441424</v>
      </c>
      <c r="BD21" s="289">
        <v>443.04890598152571</v>
      </c>
      <c r="BE21" s="289">
        <v>615554.57792197005</v>
      </c>
      <c r="BF21" s="289">
        <v>0</v>
      </c>
      <c r="BG21" s="289">
        <v>-1006.0516</v>
      </c>
      <c r="BH21" s="289">
        <v>-70.5458</v>
      </c>
      <c r="BI21" s="289">
        <v>10307.20249489</v>
      </c>
      <c r="BJ21" s="289">
        <v>0</v>
      </c>
      <c r="BK21" s="289">
        <v>0</v>
      </c>
      <c r="BL21" s="289">
        <v>0</v>
      </c>
      <c r="BM21" s="289">
        <v>2422</v>
      </c>
      <c r="BN21" s="289">
        <v>1511.5786166493408</v>
      </c>
      <c r="BO21" s="289">
        <v>895.46989992655517</v>
      </c>
      <c r="BP21" s="289">
        <v>2262.1678875589455</v>
      </c>
      <c r="BQ21" s="289">
        <v>103.87097460513081</v>
      </c>
      <c r="BR21" s="289">
        <v>30.028870294303413</v>
      </c>
      <c r="BS21" s="289">
        <v>5.3144522423611473</v>
      </c>
      <c r="BT21" s="289">
        <v>0</v>
      </c>
      <c r="BU21" s="289">
        <v>0</v>
      </c>
      <c r="BV21" s="289">
        <v>7.2821715632256527</v>
      </c>
      <c r="BW21" s="517"/>
      <c r="BX21" s="517"/>
      <c r="CA21" s="517"/>
      <c r="CB21" s="517"/>
    </row>
    <row r="22" spans="1:80" ht="13">
      <c r="A22" s="1">
        <v>627</v>
      </c>
      <c r="B22" s="2" t="s">
        <v>887</v>
      </c>
      <c r="C22" s="289">
        <v>22635</v>
      </c>
      <c r="D22" s="289">
        <v>501</v>
      </c>
      <c r="E22" s="289">
        <v>1200</v>
      </c>
      <c r="F22" s="289">
        <v>3065</v>
      </c>
      <c r="G22" s="289">
        <v>1958</v>
      </c>
      <c r="H22" s="289">
        <v>12920</v>
      </c>
      <c r="I22" s="289">
        <v>2315</v>
      </c>
      <c r="J22" s="289">
        <v>562</v>
      </c>
      <c r="K22" s="289">
        <v>110</v>
      </c>
      <c r="L22" s="289">
        <v>181</v>
      </c>
      <c r="M22" s="289">
        <v>1154</v>
      </c>
      <c r="N22" s="290">
        <v>387</v>
      </c>
      <c r="O22" s="290">
        <v>253</v>
      </c>
      <c r="P22" s="624">
        <v>51878.299333329996</v>
      </c>
      <c r="Q22" s="624">
        <v>37793.743666670001</v>
      </c>
      <c r="R22" s="624">
        <v>64</v>
      </c>
      <c r="S22" s="289"/>
      <c r="T22" s="289">
        <v>1401</v>
      </c>
      <c r="U22" s="716">
        <v>1.158867013087213E-3</v>
      </c>
      <c r="V22" s="289">
        <v>988.44118016000004</v>
      </c>
      <c r="W22" s="743">
        <v>0.56379626000000005</v>
      </c>
      <c r="X22" s="289">
        <v>0</v>
      </c>
      <c r="Y22" s="289">
        <v>414.28399999999999</v>
      </c>
      <c r="Z22" s="289">
        <v>711117</v>
      </c>
      <c r="AA22" s="289">
        <v>0</v>
      </c>
      <c r="AB22" s="290">
        <v>307</v>
      </c>
      <c r="AC22" s="289">
        <v>0</v>
      </c>
      <c r="AD22" s="289">
        <v>5123.5129360000001</v>
      </c>
      <c r="AE22" s="289">
        <v>10454</v>
      </c>
      <c r="AF22" s="289">
        <v>0</v>
      </c>
      <c r="AG22" s="289">
        <v>22631</v>
      </c>
      <c r="AH22" s="289">
        <v>4145.1569318600004</v>
      </c>
      <c r="AI22" s="289">
        <v>0</v>
      </c>
      <c r="AJ22" s="289">
        <v>0</v>
      </c>
      <c r="AK22" s="289">
        <v>0</v>
      </c>
      <c r="AL22" s="289">
        <v>0</v>
      </c>
      <c r="AM22" s="836">
        <v>0.4504341</v>
      </c>
      <c r="AN22" s="289">
        <v>0</v>
      </c>
      <c r="AO22" s="289">
        <v>842.22728409000001</v>
      </c>
      <c r="AP22" s="289">
        <v>0</v>
      </c>
      <c r="AQ22" s="289">
        <v>0</v>
      </c>
      <c r="AR22" s="289">
        <v>-1204.5960881599999</v>
      </c>
      <c r="AS22" s="289"/>
      <c r="AT22" s="289">
        <v>1359</v>
      </c>
      <c r="AU22" s="289">
        <v>249</v>
      </c>
      <c r="AV22" s="625">
        <v>520051</v>
      </c>
      <c r="AW22" s="289"/>
      <c r="AX22" s="625">
        <v>179.78333334999999</v>
      </c>
      <c r="AY22" s="289">
        <v>5672</v>
      </c>
      <c r="AZ22" s="289">
        <v>671</v>
      </c>
      <c r="BA22" s="290">
        <v>571</v>
      </c>
      <c r="BB22" s="289">
        <v>0</v>
      </c>
      <c r="BC22" s="289">
        <v>30436.470991509999</v>
      </c>
      <c r="BD22" s="289">
        <v>284.51799338719991</v>
      </c>
      <c r="BE22" s="289">
        <v>558561.32678647002</v>
      </c>
      <c r="BF22" s="289">
        <v>0</v>
      </c>
      <c r="BG22" s="289">
        <v>-938.30079999999998</v>
      </c>
      <c r="BH22" s="289">
        <v>-63.8992</v>
      </c>
      <c r="BI22" s="289">
        <v>31342.030661659999</v>
      </c>
      <c r="BJ22" s="289">
        <v>0</v>
      </c>
      <c r="BK22" s="289">
        <v>0</v>
      </c>
      <c r="BL22" s="289">
        <v>0</v>
      </c>
      <c r="BM22" s="289">
        <v>2240</v>
      </c>
      <c r="BN22" s="289">
        <v>1225.6488356386451</v>
      </c>
      <c r="BO22" s="289">
        <v>819.05644532821429</v>
      </c>
      <c r="BP22" s="289">
        <v>2049.0342791013209</v>
      </c>
      <c r="BQ22" s="289">
        <v>150.42093829872022</v>
      </c>
      <c r="BR22" s="289">
        <v>19.283997329576888</v>
      </c>
      <c r="BS22" s="289">
        <v>4.8421492168710492</v>
      </c>
      <c r="BT22" s="289">
        <v>0</v>
      </c>
      <c r="BU22" s="289">
        <v>21659.076793799999</v>
      </c>
      <c r="BV22" s="289">
        <v>10.545689819093639</v>
      </c>
      <c r="BW22" s="517"/>
      <c r="BX22" s="517"/>
      <c r="CA22" s="517"/>
      <c r="CB22" s="517"/>
    </row>
    <row r="23" spans="1:80" ht="13">
      <c r="A23" s="1">
        <v>628</v>
      </c>
      <c r="B23" s="2" t="s">
        <v>888</v>
      </c>
      <c r="C23" s="289">
        <v>9521</v>
      </c>
      <c r="D23" s="289">
        <v>161</v>
      </c>
      <c r="E23" s="289">
        <v>351</v>
      </c>
      <c r="F23" s="289">
        <v>1142</v>
      </c>
      <c r="G23" s="289">
        <v>794</v>
      </c>
      <c r="H23" s="289">
        <v>5307</v>
      </c>
      <c r="I23" s="289">
        <v>1334</v>
      </c>
      <c r="J23" s="289">
        <v>322</v>
      </c>
      <c r="K23" s="289">
        <v>86</v>
      </c>
      <c r="L23" s="289">
        <v>76</v>
      </c>
      <c r="M23" s="289">
        <v>711</v>
      </c>
      <c r="N23" s="290">
        <v>111</v>
      </c>
      <c r="O23" s="290">
        <v>122</v>
      </c>
      <c r="P23" s="624">
        <v>22331.828000000001</v>
      </c>
      <c r="Q23" s="624">
        <v>21901.39666667</v>
      </c>
      <c r="R23" s="624">
        <v>41</v>
      </c>
      <c r="S23" s="289"/>
      <c r="T23" s="289">
        <v>770</v>
      </c>
      <c r="U23" s="716">
        <v>1.2163363435986668E-3</v>
      </c>
      <c r="V23" s="289">
        <v>-3074.9448980299999</v>
      </c>
      <c r="W23" s="743">
        <v>0.62539398000000002</v>
      </c>
      <c r="X23" s="289">
        <v>1500</v>
      </c>
      <c r="Y23" s="289">
        <v>828.56799999999998</v>
      </c>
      <c r="Z23" s="289">
        <v>269702</v>
      </c>
      <c r="AA23" s="289">
        <v>0</v>
      </c>
      <c r="AB23" s="290">
        <v>171</v>
      </c>
      <c r="AC23" s="289">
        <v>0</v>
      </c>
      <c r="AD23" s="289">
        <v>4122.1401919999998</v>
      </c>
      <c r="AE23" s="289">
        <v>0</v>
      </c>
      <c r="AF23" s="289">
        <v>0</v>
      </c>
      <c r="AG23" s="289">
        <v>9497</v>
      </c>
      <c r="AH23" s="289">
        <v>1502.57580962</v>
      </c>
      <c r="AI23" s="289">
        <v>0</v>
      </c>
      <c r="AJ23" s="289">
        <v>0</v>
      </c>
      <c r="AK23" s="289">
        <v>0</v>
      </c>
      <c r="AL23" s="289">
        <v>0</v>
      </c>
      <c r="AM23" s="836">
        <v>0.21950112999999999</v>
      </c>
      <c r="AN23" s="289">
        <v>0</v>
      </c>
      <c r="AO23" s="289">
        <v>363.33787092</v>
      </c>
      <c r="AP23" s="289">
        <v>0</v>
      </c>
      <c r="AQ23" s="289">
        <v>0</v>
      </c>
      <c r="AR23" s="289">
        <v>2544.2942204699998</v>
      </c>
      <c r="AS23" s="289"/>
      <c r="AT23" s="289">
        <v>605</v>
      </c>
      <c r="AU23" s="289">
        <v>90</v>
      </c>
      <c r="AV23" s="625">
        <v>229989</v>
      </c>
      <c r="AW23" s="289"/>
      <c r="AX23" s="625">
        <v>68.860000049999996</v>
      </c>
      <c r="AY23" s="289">
        <v>1977</v>
      </c>
      <c r="AZ23" s="289">
        <v>360</v>
      </c>
      <c r="BA23" s="290">
        <v>213</v>
      </c>
      <c r="BB23" s="289">
        <v>0</v>
      </c>
      <c r="BC23" s="289">
        <v>5876.3345858900002</v>
      </c>
      <c r="BD23" s="289">
        <v>132.83768149522317</v>
      </c>
      <c r="BE23" s="289">
        <v>234698.33364021999</v>
      </c>
      <c r="BF23" s="289">
        <v>0</v>
      </c>
      <c r="BG23" s="289">
        <v>-360.16149999999999</v>
      </c>
      <c r="BH23" s="289">
        <v>-26.815000000000001</v>
      </c>
      <c r="BI23" s="289">
        <v>6453.2840016199998</v>
      </c>
      <c r="BJ23" s="289">
        <v>0</v>
      </c>
      <c r="BK23" s="289">
        <v>0</v>
      </c>
      <c r="BL23" s="289">
        <v>0</v>
      </c>
      <c r="BM23" s="289">
        <v>943</v>
      </c>
      <c r="BN23" s="289">
        <v>672.548564027569</v>
      </c>
      <c r="BO23" s="289">
        <v>380.29882370520932</v>
      </c>
      <c r="BP23" s="289">
        <v>859.8682580807407</v>
      </c>
      <c r="BQ23" s="289">
        <v>157.88045739910694</v>
      </c>
      <c r="BR23" s="289">
        <v>9.0034428568984577</v>
      </c>
      <c r="BS23" s="289">
        <v>2.1504601152886722</v>
      </c>
      <c r="BT23" s="289">
        <v>0</v>
      </c>
      <c r="BU23" s="289">
        <v>0</v>
      </c>
      <c r="BV23" s="289">
        <v>11.068660726747865</v>
      </c>
      <c r="BW23" s="517"/>
      <c r="BX23" s="517"/>
      <c r="CA23" s="517"/>
      <c r="CB23" s="517"/>
    </row>
    <row r="24" spans="1:80" ht="13">
      <c r="A24" s="1">
        <v>704</v>
      </c>
      <c r="B24" s="2" t="s">
        <v>893</v>
      </c>
      <c r="C24" s="289">
        <v>45976</v>
      </c>
      <c r="D24" s="289">
        <v>884</v>
      </c>
      <c r="E24" s="289">
        <v>2015</v>
      </c>
      <c r="F24" s="289">
        <v>5284</v>
      </c>
      <c r="G24" s="289">
        <v>3835</v>
      </c>
      <c r="H24" s="289">
        <v>26260</v>
      </c>
      <c r="I24" s="289">
        <v>5050</v>
      </c>
      <c r="J24" s="289">
        <v>1788</v>
      </c>
      <c r="K24" s="289">
        <v>425</v>
      </c>
      <c r="L24" s="289">
        <v>340</v>
      </c>
      <c r="M24" s="289">
        <v>3349</v>
      </c>
      <c r="N24" s="290">
        <v>1167</v>
      </c>
      <c r="O24" s="290">
        <v>328</v>
      </c>
      <c r="P24" s="624">
        <v>83925.833333329996</v>
      </c>
      <c r="Q24" s="624">
        <v>56269.639000000003</v>
      </c>
      <c r="R24" s="624">
        <v>179</v>
      </c>
      <c r="S24" s="289"/>
      <c r="T24" s="289">
        <v>4359</v>
      </c>
      <c r="U24" s="716">
        <v>2.3383627098097289E-3</v>
      </c>
      <c r="V24" s="289">
        <v>-19253.430639480001</v>
      </c>
      <c r="W24" s="743">
        <v>0.53943733000000005</v>
      </c>
      <c r="X24" s="289">
        <v>3100</v>
      </c>
      <c r="Y24" s="289">
        <v>414.28399999999999</v>
      </c>
      <c r="Z24" s="289">
        <v>1430688</v>
      </c>
      <c r="AA24" s="289">
        <v>0</v>
      </c>
      <c r="AB24" s="290">
        <v>879</v>
      </c>
      <c r="AC24" s="289">
        <v>0</v>
      </c>
      <c r="AD24" s="289">
        <v>5529.9183439999997</v>
      </c>
      <c r="AE24" s="289">
        <v>0</v>
      </c>
      <c r="AF24" s="289">
        <v>0</v>
      </c>
      <c r="AG24" s="289">
        <v>45541</v>
      </c>
      <c r="AH24" s="289">
        <v>7230.4924110100001</v>
      </c>
      <c r="AI24" s="289">
        <v>1112</v>
      </c>
      <c r="AJ24" s="289">
        <v>0</v>
      </c>
      <c r="AK24" s="289">
        <v>0</v>
      </c>
      <c r="AL24" s="289">
        <v>0</v>
      </c>
      <c r="AM24" s="836">
        <v>2.2410072699999999</v>
      </c>
      <c r="AN24" s="289">
        <v>0</v>
      </c>
      <c r="AO24" s="289">
        <v>1744.45539732</v>
      </c>
      <c r="AP24" s="289">
        <v>0</v>
      </c>
      <c r="AQ24" s="289">
        <v>0</v>
      </c>
      <c r="AR24" s="289">
        <v>-2424.0427047500002</v>
      </c>
      <c r="AS24" s="289"/>
      <c r="AT24" s="289">
        <v>2990</v>
      </c>
      <c r="AU24" s="289">
        <v>724</v>
      </c>
      <c r="AV24" s="625">
        <v>1035911</v>
      </c>
      <c r="AW24" s="289"/>
      <c r="AX24" s="625">
        <v>299.36999995000002</v>
      </c>
      <c r="AY24" s="289">
        <v>13078</v>
      </c>
      <c r="AZ24" s="289">
        <v>2130</v>
      </c>
      <c r="BA24" s="290">
        <v>1203</v>
      </c>
      <c r="BB24" s="289">
        <v>0</v>
      </c>
      <c r="BC24" s="289">
        <v>12787.02099006</v>
      </c>
      <c r="BD24" s="289">
        <v>841.08518576061942</v>
      </c>
      <c r="BE24" s="289">
        <v>1103033.4694006001</v>
      </c>
      <c r="BF24" s="289">
        <v>0</v>
      </c>
      <c r="BG24" s="289">
        <v>-1597.3092999999999</v>
      </c>
      <c r="BH24" s="289">
        <v>-128.58619999999999</v>
      </c>
      <c r="BI24" s="289">
        <v>13174.694755009999</v>
      </c>
      <c r="BJ24" s="289">
        <v>0</v>
      </c>
      <c r="BK24" s="289">
        <v>0</v>
      </c>
      <c r="BL24" s="289">
        <v>0</v>
      </c>
      <c r="BM24" s="289">
        <v>5587</v>
      </c>
      <c r="BN24" s="289">
        <v>3113.1544855919892</v>
      </c>
      <c r="BO24" s="289">
        <v>1655.0799520079104</v>
      </c>
      <c r="BP24" s="289">
        <v>4123.3295083979165</v>
      </c>
      <c r="BQ24" s="289">
        <v>303.51947973330255</v>
      </c>
      <c r="BR24" s="289">
        <v>57.006884812664204</v>
      </c>
      <c r="BS24" s="289">
        <v>9.5298078694669588</v>
      </c>
      <c r="BT24" s="289">
        <v>0</v>
      </c>
      <c r="BU24" s="289">
        <v>0</v>
      </c>
      <c r="BV24" s="289">
        <v>21.279100659268529</v>
      </c>
      <c r="BW24" s="517"/>
      <c r="BX24" s="517"/>
      <c r="CA24" s="517"/>
      <c r="CB24" s="517"/>
    </row>
    <row r="25" spans="1:80" ht="13">
      <c r="A25" s="1">
        <v>711</v>
      </c>
      <c r="B25" s="2" t="s">
        <v>896</v>
      </c>
      <c r="C25" s="289">
        <v>6685</v>
      </c>
      <c r="D25" s="289">
        <v>100</v>
      </c>
      <c r="E25" s="289">
        <v>240</v>
      </c>
      <c r="F25" s="289">
        <v>754</v>
      </c>
      <c r="G25" s="289">
        <v>561</v>
      </c>
      <c r="H25" s="289">
        <v>3855</v>
      </c>
      <c r="I25" s="289">
        <v>894</v>
      </c>
      <c r="J25" s="289">
        <v>218</v>
      </c>
      <c r="K25" s="289">
        <v>38</v>
      </c>
      <c r="L25" s="289">
        <v>59</v>
      </c>
      <c r="M25" s="289">
        <v>497</v>
      </c>
      <c r="N25" s="290">
        <v>76</v>
      </c>
      <c r="O25" s="290">
        <v>67</v>
      </c>
      <c r="P25" s="624">
        <v>32021.63933333</v>
      </c>
      <c r="Q25" s="624">
        <v>10196.75</v>
      </c>
      <c r="R25" s="624">
        <v>23</v>
      </c>
      <c r="S25" s="289"/>
      <c r="T25" s="289">
        <v>529</v>
      </c>
      <c r="U25" s="716">
        <v>6.0704553560933896E-4</v>
      </c>
      <c r="V25" s="289">
        <v>1999.07111089</v>
      </c>
      <c r="W25" s="743">
        <v>0.60091832000000001</v>
      </c>
      <c r="X25" s="289">
        <v>500</v>
      </c>
      <c r="Y25" s="289">
        <v>414.28399999999999</v>
      </c>
      <c r="Z25" s="289">
        <v>178213</v>
      </c>
      <c r="AA25" s="289">
        <v>0</v>
      </c>
      <c r="AB25" s="290">
        <v>172</v>
      </c>
      <c r="AC25" s="289">
        <v>0</v>
      </c>
      <c r="AD25" s="289">
        <v>3105.1140919999998</v>
      </c>
      <c r="AE25" s="289">
        <v>0</v>
      </c>
      <c r="AF25" s="289">
        <v>0</v>
      </c>
      <c r="AG25" s="289">
        <v>6660</v>
      </c>
      <c r="AH25" s="289">
        <v>996.37161575000005</v>
      </c>
      <c r="AI25" s="289">
        <v>1568</v>
      </c>
      <c r="AJ25" s="289">
        <v>0</v>
      </c>
      <c r="AK25" s="289">
        <v>0</v>
      </c>
      <c r="AL25" s="289">
        <v>0</v>
      </c>
      <c r="AM25" s="836">
        <v>0.24425818999999999</v>
      </c>
      <c r="AN25" s="289">
        <v>0</v>
      </c>
      <c r="AO25" s="289">
        <v>245.45331628</v>
      </c>
      <c r="AP25" s="289">
        <v>0</v>
      </c>
      <c r="AQ25" s="289">
        <v>0</v>
      </c>
      <c r="AR25" s="289">
        <v>905.45512100999997</v>
      </c>
      <c r="AS25" s="289"/>
      <c r="AT25" s="289">
        <v>469</v>
      </c>
      <c r="AU25" s="289">
        <v>84</v>
      </c>
      <c r="AV25" s="625">
        <v>151745</v>
      </c>
      <c r="AW25" s="289"/>
      <c r="AX25" s="625">
        <v>31.331666649999999</v>
      </c>
      <c r="AY25" s="289">
        <v>1172</v>
      </c>
      <c r="AZ25" s="289">
        <v>276</v>
      </c>
      <c r="BA25" s="290">
        <v>154</v>
      </c>
      <c r="BB25" s="289">
        <v>0</v>
      </c>
      <c r="BC25" s="289">
        <v>4410.1356565899996</v>
      </c>
      <c r="BD25" s="289">
        <v>105.47147145243574</v>
      </c>
      <c r="BE25" s="289">
        <v>155545.18381252</v>
      </c>
      <c r="BF25" s="289">
        <v>0</v>
      </c>
      <c r="BG25" s="289">
        <v>-239.56190000000001</v>
      </c>
      <c r="BH25" s="289">
        <v>-18.8047</v>
      </c>
      <c r="BI25" s="289">
        <v>4515.7697077499997</v>
      </c>
      <c r="BJ25" s="289">
        <v>0</v>
      </c>
      <c r="BK25" s="289">
        <v>0</v>
      </c>
      <c r="BL25" s="289">
        <v>0</v>
      </c>
      <c r="BM25" s="289">
        <v>649</v>
      </c>
      <c r="BN25" s="289">
        <v>443.57920732837243</v>
      </c>
      <c r="BO25" s="289">
        <v>268.43908155391455</v>
      </c>
      <c r="BP25" s="289">
        <v>603.00332724204839</v>
      </c>
      <c r="BQ25" s="289">
        <v>78.794510522092196</v>
      </c>
      <c r="BR25" s="289">
        <v>7.1486219539984219</v>
      </c>
      <c r="BS25" s="289">
        <v>1.563096018048509</v>
      </c>
      <c r="BT25" s="289">
        <v>0</v>
      </c>
      <c r="BU25" s="289">
        <v>0</v>
      </c>
      <c r="BV25" s="289">
        <v>5.5241143740449843</v>
      </c>
      <c r="BW25" s="517"/>
      <c r="BX25" s="517"/>
      <c r="CA25" s="517"/>
      <c r="CB25" s="517"/>
    </row>
    <row r="26" spans="1:80" ht="13">
      <c r="A26" s="1">
        <v>713</v>
      </c>
      <c r="B26" s="2" t="s">
        <v>897</v>
      </c>
      <c r="C26" s="289">
        <v>9904</v>
      </c>
      <c r="D26" s="289">
        <v>226</v>
      </c>
      <c r="E26" s="289">
        <v>494</v>
      </c>
      <c r="F26" s="289">
        <v>1255</v>
      </c>
      <c r="G26" s="289">
        <v>805</v>
      </c>
      <c r="H26" s="289">
        <v>5527</v>
      </c>
      <c r="I26" s="289">
        <v>1098</v>
      </c>
      <c r="J26" s="289">
        <v>323</v>
      </c>
      <c r="K26" s="289">
        <v>76</v>
      </c>
      <c r="L26" s="289">
        <v>69</v>
      </c>
      <c r="M26" s="289">
        <v>594</v>
      </c>
      <c r="N26" s="290">
        <v>132</v>
      </c>
      <c r="O26" s="290">
        <v>75</v>
      </c>
      <c r="P26" s="624">
        <v>23319.526333329999</v>
      </c>
      <c r="Q26" s="624">
        <v>22910.636666670001</v>
      </c>
      <c r="R26" s="624">
        <v>35</v>
      </c>
      <c r="S26" s="289"/>
      <c r="T26" s="289">
        <v>650</v>
      </c>
      <c r="U26" s="716">
        <v>2.2379108623463663E-3</v>
      </c>
      <c r="V26" s="289">
        <v>3199.4737628100002</v>
      </c>
      <c r="W26" s="743">
        <v>0.58619012000000004</v>
      </c>
      <c r="X26" s="289">
        <v>1100</v>
      </c>
      <c r="Y26" s="289">
        <v>414.28399999999999</v>
      </c>
      <c r="Z26" s="289">
        <v>287853</v>
      </c>
      <c r="AA26" s="289">
        <v>0</v>
      </c>
      <c r="AB26" s="290">
        <v>199</v>
      </c>
      <c r="AC26" s="289">
        <v>0</v>
      </c>
      <c r="AD26" s="289">
        <v>4641.7551279999998</v>
      </c>
      <c r="AE26" s="289">
        <v>3771</v>
      </c>
      <c r="AF26" s="289">
        <v>0</v>
      </c>
      <c r="AG26" s="289">
        <v>9804</v>
      </c>
      <c r="AH26" s="289">
        <v>1709.6593434700001</v>
      </c>
      <c r="AI26" s="289">
        <v>75</v>
      </c>
      <c r="AJ26" s="289">
        <v>0</v>
      </c>
      <c r="AK26" s="289">
        <v>0</v>
      </c>
      <c r="AL26" s="289">
        <v>0</v>
      </c>
      <c r="AM26" s="836">
        <v>0.23208422000000001</v>
      </c>
      <c r="AN26" s="289">
        <v>0</v>
      </c>
      <c r="AO26" s="289">
        <v>378.22329391</v>
      </c>
      <c r="AP26" s="289">
        <v>0</v>
      </c>
      <c r="AQ26" s="289">
        <v>0</v>
      </c>
      <c r="AR26" s="289">
        <v>-521.84437490000005</v>
      </c>
      <c r="AS26" s="289"/>
      <c r="AT26" s="289">
        <v>536</v>
      </c>
      <c r="AU26" s="289">
        <v>111</v>
      </c>
      <c r="AV26" s="625">
        <v>236630</v>
      </c>
      <c r="AW26" s="289"/>
      <c r="AX26" s="625">
        <v>79.12</v>
      </c>
      <c r="AY26" s="289">
        <v>1912</v>
      </c>
      <c r="AZ26" s="289">
        <v>369</v>
      </c>
      <c r="BA26" s="290">
        <v>241</v>
      </c>
      <c r="BB26" s="289">
        <v>0</v>
      </c>
      <c r="BC26" s="289">
        <v>6550.5714444799996</v>
      </c>
      <c r="BD26" s="289">
        <v>131.91676823974879</v>
      </c>
      <c r="BE26" s="289">
        <v>257275.38476042001</v>
      </c>
      <c r="BF26" s="289">
        <v>0</v>
      </c>
      <c r="BG26" s="289">
        <v>-387.7783</v>
      </c>
      <c r="BH26" s="289">
        <v>-27.681799999999999</v>
      </c>
      <c r="BI26" s="289">
        <v>6765.6984714700002</v>
      </c>
      <c r="BJ26" s="289">
        <v>0</v>
      </c>
      <c r="BK26" s="289">
        <v>0</v>
      </c>
      <c r="BL26" s="289">
        <v>0</v>
      </c>
      <c r="BM26" s="289">
        <v>1922</v>
      </c>
      <c r="BN26" s="289">
        <v>617.29260136874814</v>
      </c>
      <c r="BO26" s="289">
        <v>380.00170482885733</v>
      </c>
      <c r="BP26" s="289">
        <v>887.66435739955591</v>
      </c>
      <c r="BQ26" s="289">
        <v>290.48082993255827</v>
      </c>
      <c r="BR26" s="289">
        <v>8.9410254029163063</v>
      </c>
      <c r="BS26" s="289">
        <v>2.2095191825724925</v>
      </c>
      <c r="BT26" s="289">
        <v>0</v>
      </c>
      <c r="BU26" s="289">
        <v>0</v>
      </c>
      <c r="BV26" s="289">
        <v>20.364988847351931</v>
      </c>
      <c r="BW26" s="517"/>
      <c r="BX26" s="517"/>
      <c r="CA26" s="517"/>
      <c r="CB26" s="517"/>
    </row>
    <row r="27" spans="1:80" ht="13">
      <c r="A27" s="1">
        <v>715</v>
      </c>
      <c r="B27" s="2" t="s">
        <v>1238</v>
      </c>
      <c r="C27" s="289">
        <v>14371</v>
      </c>
      <c r="D27" s="289">
        <v>275</v>
      </c>
      <c r="E27" s="289">
        <v>617</v>
      </c>
      <c r="F27" s="289">
        <v>1652</v>
      </c>
      <c r="G27" s="289">
        <v>1135</v>
      </c>
      <c r="H27" s="289">
        <v>8179</v>
      </c>
      <c r="I27" s="289">
        <v>1871</v>
      </c>
      <c r="J27" s="289">
        <v>470</v>
      </c>
      <c r="K27" s="289">
        <v>132</v>
      </c>
      <c r="L27" s="289">
        <v>124</v>
      </c>
      <c r="M27" s="289">
        <v>1072</v>
      </c>
      <c r="N27" s="290">
        <v>185</v>
      </c>
      <c r="O27" s="290">
        <v>115</v>
      </c>
      <c r="P27" s="624">
        <v>37031.887499999997</v>
      </c>
      <c r="Q27" s="624">
        <v>25175.405999999999</v>
      </c>
      <c r="R27" s="624">
        <v>43</v>
      </c>
      <c r="S27" s="289"/>
      <c r="T27" s="289">
        <v>1229</v>
      </c>
      <c r="U27" s="716">
        <v>2.4781667783935007E-3</v>
      </c>
      <c r="V27" s="289">
        <v>-2479.45106093</v>
      </c>
      <c r="W27" s="743">
        <v>0.57467217000000004</v>
      </c>
      <c r="X27" s="289">
        <v>2100</v>
      </c>
      <c r="Y27" s="289">
        <v>828.56799999999998</v>
      </c>
      <c r="Z27" s="289">
        <v>384230</v>
      </c>
      <c r="AA27" s="289">
        <v>0</v>
      </c>
      <c r="AB27" s="290">
        <v>387</v>
      </c>
      <c r="AC27" s="289">
        <v>0</v>
      </c>
      <c r="AD27" s="289">
        <v>0</v>
      </c>
      <c r="AE27" s="289">
        <v>0</v>
      </c>
      <c r="AF27" s="289">
        <v>20189.471535000001</v>
      </c>
      <c r="AG27" s="289">
        <v>14331</v>
      </c>
      <c r="AH27" s="289">
        <v>2244.4508265200002</v>
      </c>
      <c r="AI27" s="289">
        <v>794</v>
      </c>
      <c r="AJ27" s="289">
        <v>0</v>
      </c>
      <c r="AK27" s="289">
        <v>0</v>
      </c>
      <c r="AL27" s="289">
        <v>0</v>
      </c>
      <c r="AM27" s="836">
        <v>0.40315486</v>
      </c>
      <c r="AN27" s="289">
        <v>0</v>
      </c>
      <c r="AO27" s="289">
        <v>538.72574569000005</v>
      </c>
      <c r="AP27" s="289">
        <v>0</v>
      </c>
      <c r="AQ27" s="289">
        <v>0</v>
      </c>
      <c r="AR27" s="289">
        <v>-762.80617469000003</v>
      </c>
      <c r="AS27" s="289"/>
      <c r="AT27" s="289">
        <v>917</v>
      </c>
      <c r="AU27" s="289">
        <v>200</v>
      </c>
      <c r="AV27" s="625">
        <v>341035</v>
      </c>
      <c r="AW27" s="289"/>
      <c r="AX27" s="625">
        <v>103.95833330000001</v>
      </c>
      <c r="AY27" s="289">
        <v>3014</v>
      </c>
      <c r="AZ27" s="289">
        <v>444</v>
      </c>
      <c r="BA27" s="290">
        <v>371</v>
      </c>
      <c r="BB27" s="289">
        <v>0</v>
      </c>
      <c r="BC27" s="289">
        <v>22613.584416720001</v>
      </c>
      <c r="BD27" s="289">
        <v>225.83403432632824</v>
      </c>
      <c r="BE27" s="289">
        <v>358165.63701072999</v>
      </c>
      <c r="BF27" s="289">
        <v>0</v>
      </c>
      <c r="BG27" s="289">
        <v>-509.53980000000001</v>
      </c>
      <c r="BH27" s="289">
        <v>-40.463900000000002</v>
      </c>
      <c r="BI27" s="289">
        <v>23262.490361519998</v>
      </c>
      <c r="BJ27" s="289">
        <v>0</v>
      </c>
      <c r="BK27" s="289">
        <v>0</v>
      </c>
      <c r="BL27" s="289">
        <v>0</v>
      </c>
      <c r="BM27" s="289">
        <v>2809</v>
      </c>
      <c r="BN27" s="289">
        <v>958.51053785845033</v>
      </c>
      <c r="BO27" s="289">
        <v>549.0429602371081</v>
      </c>
      <c r="BP27" s="289">
        <v>1297.5436460519211</v>
      </c>
      <c r="BQ27" s="289">
        <v>321.66604783547643</v>
      </c>
      <c r="BR27" s="289">
        <v>15.306528993228913</v>
      </c>
      <c r="BS27" s="289">
        <v>3.1263702064452108</v>
      </c>
      <c r="BT27" s="289">
        <v>0</v>
      </c>
      <c r="BU27" s="289">
        <v>0</v>
      </c>
      <c r="BV27" s="289">
        <v>22.551317683380855</v>
      </c>
      <c r="BW27" s="517"/>
      <c r="BX27" s="517"/>
      <c r="CA27" s="517"/>
      <c r="CB27" s="517"/>
    </row>
    <row r="28" spans="1:80" ht="13">
      <c r="A28" s="1">
        <v>716</v>
      </c>
      <c r="B28" s="4" t="s">
        <v>350</v>
      </c>
      <c r="C28" s="289">
        <v>9730</v>
      </c>
      <c r="D28" s="289">
        <v>196</v>
      </c>
      <c r="E28" s="289">
        <v>462</v>
      </c>
      <c r="F28" s="289">
        <v>1301</v>
      </c>
      <c r="G28" s="289">
        <v>842</v>
      </c>
      <c r="H28" s="289">
        <v>5621</v>
      </c>
      <c r="I28" s="289">
        <v>976</v>
      </c>
      <c r="J28" s="289">
        <v>273</v>
      </c>
      <c r="K28" s="289">
        <v>77</v>
      </c>
      <c r="L28" s="289">
        <v>73</v>
      </c>
      <c r="M28" s="289">
        <v>493</v>
      </c>
      <c r="N28" s="290">
        <v>136</v>
      </c>
      <c r="O28" s="290">
        <v>73</v>
      </c>
      <c r="P28" s="624">
        <v>38626.959666670002</v>
      </c>
      <c r="Q28" s="624">
        <v>30223.884666670001</v>
      </c>
      <c r="R28" s="624">
        <v>50</v>
      </c>
      <c r="S28" s="289"/>
      <c r="T28" s="289">
        <v>695</v>
      </c>
      <c r="U28" s="716">
        <v>5.0297862629847204E-3</v>
      </c>
      <c r="V28" s="289">
        <v>-5362.5692810999999</v>
      </c>
      <c r="W28" s="743">
        <v>0.61377875000000004</v>
      </c>
      <c r="X28" s="289">
        <v>1900</v>
      </c>
      <c r="Y28" s="289">
        <v>0</v>
      </c>
      <c r="Z28" s="289">
        <v>254091</v>
      </c>
      <c r="AA28" s="289">
        <v>0</v>
      </c>
      <c r="AB28" s="290">
        <v>259</v>
      </c>
      <c r="AC28" s="289">
        <v>0</v>
      </c>
      <c r="AD28" s="289">
        <v>4233.8889319999998</v>
      </c>
      <c r="AE28" s="289">
        <v>0</v>
      </c>
      <c r="AF28" s="289">
        <v>3764.0787058400001</v>
      </c>
      <c r="AG28" s="289">
        <v>9748</v>
      </c>
      <c r="AH28" s="289">
        <v>1708.2648415599999</v>
      </c>
      <c r="AI28" s="289">
        <v>130</v>
      </c>
      <c r="AJ28" s="289">
        <v>700</v>
      </c>
      <c r="AK28" s="289">
        <v>0</v>
      </c>
      <c r="AL28" s="289">
        <v>0</v>
      </c>
      <c r="AM28" s="836">
        <v>0.34678842999999998</v>
      </c>
      <c r="AN28" s="289">
        <v>0</v>
      </c>
      <c r="AO28" s="289">
        <v>382.22632173</v>
      </c>
      <c r="AP28" s="289">
        <v>0</v>
      </c>
      <c r="AQ28" s="289">
        <v>-1830.77758066</v>
      </c>
      <c r="AR28" s="289">
        <v>-518.86362368000005</v>
      </c>
      <c r="AS28" s="289"/>
      <c r="AT28" s="289">
        <v>600</v>
      </c>
      <c r="AU28" s="289">
        <v>125</v>
      </c>
      <c r="AV28" s="625">
        <v>238614</v>
      </c>
      <c r="AW28" s="289"/>
      <c r="AX28" s="625">
        <v>57.260000050000002</v>
      </c>
      <c r="AY28" s="289">
        <v>1744</v>
      </c>
      <c r="AZ28" s="289">
        <v>428</v>
      </c>
      <c r="BA28" s="290">
        <v>206</v>
      </c>
      <c r="BB28" s="289">
        <v>0</v>
      </c>
      <c r="BC28" s="289">
        <v>11264.66881273</v>
      </c>
      <c r="BD28" s="289">
        <v>151.15452714492093</v>
      </c>
      <c r="BE28" s="289">
        <v>254897.22499849001</v>
      </c>
      <c r="BF28" s="289">
        <v>0</v>
      </c>
      <c r="BG28" s="289">
        <v>-406.77330000000001</v>
      </c>
      <c r="BH28" s="289">
        <v>-27.523700000000002</v>
      </c>
      <c r="BI28" s="289">
        <v>9706.2324793999996</v>
      </c>
      <c r="BJ28" s="289">
        <v>0</v>
      </c>
      <c r="BK28" s="289">
        <v>0</v>
      </c>
      <c r="BL28" s="289">
        <v>0</v>
      </c>
      <c r="BM28" s="289">
        <v>1185</v>
      </c>
      <c r="BN28" s="289">
        <v>626.15640082720927</v>
      </c>
      <c r="BO28" s="289">
        <v>379.51887310462484</v>
      </c>
      <c r="BP28" s="289">
        <v>882.59405915247555</v>
      </c>
      <c r="BQ28" s="289">
        <v>652.86625693541669</v>
      </c>
      <c r="BR28" s="289">
        <v>10.244917950933532</v>
      </c>
      <c r="BS28" s="289">
        <v>2.2091599024235831</v>
      </c>
      <c r="BT28" s="289">
        <v>0</v>
      </c>
      <c r="BU28" s="289">
        <v>0</v>
      </c>
      <c r="BV28" s="289">
        <v>45.771054993160952</v>
      </c>
      <c r="BW28" s="517"/>
      <c r="BX28" s="517"/>
      <c r="CA28" s="517"/>
      <c r="CB28" s="517"/>
    </row>
    <row r="29" spans="1:80" ht="13">
      <c r="A29" s="1">
        <v>821</v>
      </c>
      <c r="B29" s="2" t="s">
        <v>913</v>
      </c>
      <c r="C29" s="289">
        <v>6630</v>
      </c>
      <c r="D29" s="289">
        <v>142</v>
      </c>
      <c r="E29" s="289">
        <v>286</v>
      </c>
      <c r="F29" s="289">
        <v>761</v>
      </c>
      <c r="G29" s="289">
        <v>657</v>
      </c>
      <c r="H29" s="289">
        <v>3580</v>
      </c>
      <c r="I29" s="289">
        <v>717</v>
      </c>
      <c r="J29" s="289">
        <v>232</v>
      </c>
      <c r="K29" s="289">
        <v>48</v>
      </c>
      <c r="L29" s="289">
        <v>48</v>
      </c>
      <c r="M29" s="289">
        <v>432</v>
      </c>
      <c r="N29" s="290">
        <v>195</v>
      </c>
      <c r="O29" s="290">
        <v>62</v>
      </c>
      <c r="P29" s="624">
        <v>18161.900333329999</v>
      </c>
      <c r="Q29" s="624">
        <v>12161.744000000001</v>
      </c>
      <c r="R29" s="624">
        <v>23</v>
      </c>
      <c r="S29" s="289"/>
      <c r="T29" s="289">
        <v>446</v>
      </c>
      <c r="U29" s="716">
        <v>2.5849425169070413E-3</v>
      </c>
      <c r="V29" s="289">
        <v>2319.17920641</v>
      </c>
      <c r="W29" s="743">
        <v>0.58369974999999996</v>
      </c>
      <c r="X29" s="289">
        <v>3000</v>
      </c>
      <c r="Y29" s="289">
        <v>414.28399999999999</v>
      </c>
      <c r="Z29" s="289">
        <v>157438</v>
      </c>
      <c r="AA29" s="289">
        <v>0</v>
      </c>
      <c r="AB29" s="290">
        <v>152</v>
      </c>
      <c r="AC29" s="289">
        <v>0</v>
      </c>
      <c r="AD29" s="289">
        <v>4773.1129680000004</v>
      </c>
      <c r="AE29" s="289">
        <v>4649</v>
      </c>
      <c r="AF29" s="289">
        <v>0</v>
      </c>
      <c r="AG29" s="289">
        <v>6423</v>
      </c>
      <c r="AH29" s="289">
        <v>1040.29842596</v>
      </c>
      <c r="AI29" s="289">
        <v>3155</v>
      </c>
      <c r="AJ29" s="289">
        <v>0</v>
      </c>
      <c r="AK29" s="289">
        <v>0</v>
      </c>
      <c r="AL29" s="289">
        <v>0</v>
      </c>
      <c r="AM29" s="836">
        <v>0.15066495999999999</v>
      </c>
      <c r="AN29" s="289">
        <v>0</v>
      </c>
      <c r="AO29" s="289">
        <v>248.63117389999999</v>
      </c>
      <c r="AP29" s="289">
        <v>0</v>
      </c>
      <c r="AQ29" s="289">
        <v>0</v>
      </c>
      <c r="AR29" s="289">
        <v>-341.88151979000003</v>
      </c>
      <c r="AS29" s="289"/>
      <c r="AT29" s="289">
        <v>290</v>
      </c>
      <c r="AU29" s="289">
        <v>73</v>
      </c>
      <c r="AV29" s="625">
        <v>170852</v>
      </c>
      <c r="AW29" s="289"/>
      <c r="AX29" s="625">
        <v>46.104999999999997</v>
      </c>
      <c r="AY29" s="289">
        <v>1671</v>
      </c>
      <c r="AZ29" s="289">
        <v>297</v>
      </c>
      <c r="BA29" s="290">
        <v>174</v>
      </c>
      <c r="BB29" s="289">
        <v>0</v>
      </c>
      <c r="BC29" s="289">
        <v>6041.7643939600002</v>
      </c>
      <c r="BD29" s="289">
        <v>99.905167489586077</v>
      </c>
      <c r="BE29" s="289">
        <v>177215.39092527999</v>
      </c>
      <c r="BF29" s="289">
        <v>0</v>
      </c>
      <c r="BG29" s="289">
        <v>-239.1096</v>
      </c>
      <c r="BH29" s="289">
        <v>-18.1355</v>
      </c>
      <c r="BI29" s="289">
        <v>6227.6953939599998</v>
      </c>
      <c r="BJ29" s="289">
        <v>0</v>
      </c>
      <c r="BK29" s="289">
        <v>0</v>
      </c>
      <c r="BL29" s="289">
        <v>0</v>
      </c>
      <c r="BM29" s="289">
        <v>2310</v>
      </c>
      <c r="BN29" s="289">
        <v>421.86774367468047</v>
      </c>
      <c r="BO29" s="289">
        <v>256.34339178733433</v>
      </c>
      <c r="BP29" s="289">
        <v>581.5451007320836</v>
      </c>
      <c r="BQ29" s="289">
        <v>335.52553869453391</v>
      </c>
      <c r="BR29" s="289">
        <v>6.7713502409608353</v>
      </c>
      <c r="BS29" s="289">
        <v>1.5147735618857086</v>
      </c>
      <c r="BT29" s="289">
        <v>0</v>
      </c>
      <c r="BU29" s="289">
        <v>0</v>
      </c>
      <c r="BV29" s="289">
        <v>23.522976903854072</v>
      </c>
      <c r="BW29" s="517"/>
      <c r="BX29" s="517"/>
      <c r="CA29" s="517"/>
      <c r="CB29" s="517"/>
    </row>
    <row r="30" spans="1:80" ht="13">
      <c r="A30" s="1">
        <v>822</v>
      </c>
      <c r="B30" s="2" t="s">
        <v>914</v>
      </c>
      <c r="C30" s="289">
        <v>4293</v>
      </c>
      <c r="D30" s="289">
        <v>71</v>
      </c>
      <c r="E30" s="289">
        <v>193</v>
      </c>
      <c r="F30" s="289">
        <v>492</v>
      </c>
      <c r="G30" s="289">
        <v>365</v>
      </c>
      <c r="H30" s="289">
        <v>2416</v>
      </c>
      <c r="I30" s="289">
        <v>581</v>
      </c>
      <c r="J30" s="289">
        <v>174</v>
      </c>
      <c r="K30" s="289">
        <v>43</v>
      </c>
      <c r="L30" s="289">
        <v>36</v>
      </c>
      <c r="M30" s="289">
        <v>347</v>
      </c>
      <c r="N30" s="290">
        <v>100</v>
      </c>
      <c r="O30" s="290">
        <v>71</v>
      </c>
      <c r="P30" s="624">
        <v>20278.471666670001</v>
      </c>
      <c r="Q30" s="624">
        <v>11893.208000000001</v>
      </c>
      <c r="R30" s="624">
        <v>14</v>
      </c>
      <c r="S30" s="289"/>
      <c r="T30" s="289">
        <v>333</v>
      </c>
      <c r="U30" s="716">
        <v>3.4459832397305272E-3</v>
      </c>
      <c r="V30" s="289">
        <v>-6664.3110208799999</v>
      </c>
      <c r="W30" s="743">
        <v>0.65529786999999995</v>
      </c>
      <c r="X30" s="289">
        <v>3000</v>
      </c>
      <c r="Y30" s="289">
        <v>414.28399999999999</v>
      </c>
      <c r="Z30" s="289">
        <v>108230</v>
      </c>
      <c r="AA30" s="289">
        <v>0</v>
      </c>
      <c r="AB30" s="290">
        <v>127</v>
      </c>
      <c r="AC30" s="289">
        <v>0</v>
      </c>
      <c r="AD30" s="289">
        <v>1955.6199120000001</v>
      </c>
      <c r="AE30" s="289">
        <v>0</v>
      </c>
      <c r="AF30" s="289">
        <v>0</v>
      </c>
      <c r="AG30" s="289">
        <v>4335</v>
      </c>
      <c r="AH30" s="289">
        <v>674.93892515000005</v>
      </c>
      <c r="AI30" s="289">
        <v>205</v>
      </c>
      <c r="AJ30" s="289">
        <v>0</v>
      </c>
      <c r="AK30" s="289">
        <v>0</v>
      </c>
      <c r="AL30" s="289">
        <v>0</v>
      </c>
      <c r="AM30" s="836">
        <v>0.11729393</v>
      </c>
      <c r="AN30" s="289">
        <v>6104</v>
      </c>
      <c r="AO30" s="289">
        <v>175.94077747</v>
      </c>
      <c r="AP30" s="289">
        <v>0</v>
      </c>
      <c r="AQ30" s="289">
        <v>0</v>
      </c>
      <c r="AR30" s="289">
        <v>352.33300494000002</v>
      </c>
      <c r="AS30" s="289"/>
      <c r="AT30" s="289">
        <v>201</v>
      </c>
      <c r="AU30" s="289">
        <v>48</v>
      </c>
      <c r="AV30" s="625">
        <v>122384</v>
      </c>
      <c r="AW30" s="289"/>
      <c r="AX30" s="625">
        <v>24.106666700000002</v>
      </c>
      <c r="AY30" s="289">
        <v>896</v>
      </c>
      <c r="AZ30" s="289">
        <v>231</v>
      </c>
      <c r="BA30" s="290">
        <v>70</v>
      </c>
      <c r="BB30" s="289">
        <v>0</v>
      </c>
      <c r="BC30" s="289">
        <v>2963.46267678</v>
      </c>
      <c r="BD30" s="289">
        <v>70.006607112571587</v>
      </c>
      <c r="BE30" s="289">
        <v>125147.81992074</v>
      </c>
      <c r="BF30" s="289">
        <v>0</v>
      </c>
      <c r="BG30" s="289">
        <v>-163.7089</v>
      </c>
      <c r="BH30" s="289">
        <v>-12.24</v>
      </c>
      <c r="BI30" s="289">
        <v>3044.8428371499999</v>
      </c>
      <c r="BJ30" s="289">
        <v>0</v>
      </c>
      <c r="BK30" s="289">
        <v>0</v>
      </c>
      <c r="BL30" s="289">
        <v>0</v>
      </c>
      <c r="BM30" s="289">
        <v>1559</v>
      </c>
      <c r="BN30" s="289">
        <v>319.87905863990295</v>
      </c>
      <c r="BO30" s="289">
        <v>190.85462977929475</v>
      </c>
      <c r="BP30" s="289">
        <v>392.49540894809002</v>
      </c>
      <c r="BQ30" s="289">
        <v>447.28862451702241</v>
      </c>
      <c r="BR30" s="289">
        <v>4.7448922598520742</v>
      </c>
      <c r="BS30" s="289">
        <v>1.1064847441697327</v>
      </c>
      <c r="BT30" s="289">
        <v>0</v>
      </c>
      <c r="BU30" s="289">
        <v>0</v>
      </c>
      <c r="BV30" s="289">
        <v>31.358447481547792</v>
      </c>
      <c r="BW30" s="517"/>
      <c r="BX30" s="517"/>
      <c r="CA30" s="517"/>
      <c r="CB30" s="517"/>
    </row>
    <row r="31" spans="1:80" ht="13">
      <c r="A31" s="1">
        <v>1001</v>
      </c>
      <c r="B31" s="2" t="s">
        <v>942</v>
      </c>
      <c r="C31" s="289">
        <v>92282</v>
      </c>
      <c r="D31" s="289">
        <v>2014</v>
      </c>
      <c r="E31" s="289">
        <v>4412</v>
      </c>
      <c r="F31" s="289">
        <v>11346</v>
      </c>
      <c r="G31" s="289">
        <v>9221</v>
      </c>
      <c r="H31" s="289">
        <v>52012</v>
      </c>
      <c r="I31" s="289">
        <v>8713</v>
      </c>
      <c r="J31" s="289">
        <v>2938</v>
      </c>
      <c r="K31" s="289">
        <v>685</v>
      </c>
      <c r="L31" s="289">
        <v>671</v>
      </c>
      <c r="M31" s="289">
        <v>5206</v>
      </c>
      <c r="N31" s="290">
        <v>4553</v>
      </c>
      <c r="O31" s="290">
        <v>929</v>
      </c>
      <c r="P31" s="624">
        <v>148306.41500000001</v>
      </c>
      <c r="Q31" s="624">
        <v>113137.60433333</v>
      </c>
      <c r="R31" s="624">
        <v>351</v>
      </c>
      <c r="S31" s="289"/>
      <c r="T31" s="289">
        <v>7714</v>
      </c>
      <c r="U31" s="716">
        <v>1.3304815563939447E-3</v>
      </c>
      <c r="V31" s="289">
        <v>3687.9992705700001</v>
      </c>
      <c r="W31" s="743">
        <v>0.54021556999999998</v>
      </c>
      <c r="X31" s="289">
        <v>8620</v>
      </c>
      <c r="Y31" s="289">
        <v>1657.136</v>
      </c>
      <c r="Z31" s="289">
        <v>2593992</v>
      </c>
      <c r="AA31" s="289">
        <v>0</v>
      </c>
      <c r="AB31" s="290">
        <v>2047</v>
      </c>
      <c r="AC31" s="289">
        <v>0</v>
      </c>
      <c r="AD31" s="289">
        <v>5470.6119959999996</v>
      </c>
      <c r="AE31" s="289">
        <v>5368</v>
      </c>
      <c r="AF31" s="289">
        <v>0</v>
      </c>
      <c r="AG31" s="289">
        <v>91341</v>
      </c>
      <c r="AH31" s="289">
        <v>15607.962644200001</v>
      </c>
      <c r="AI31" s="289">
        <v>2451</v>
      </c>
      <c r="AJ31" s="289">
        <v>0</v>
      </c>
      <c r="AK31" s="289">
        <v>0</v>
      </c>
      <c r="AL31" s="289">
        <v>0</v>
      </c>
      <c r="AM31" s="836">
        <v>4.1815496400000001</v>
      </c>
      <c r="AN31" s="289">
        <v>0</v>
      </c>
      <c r="AO31" s="289">
        <v>3472.7353806299998</v>
      </c>
      <c r="AP31" s="289">
        <v>33924</v>
      </c>
      <c r="AQ31" s="289">
        <v>0</v>
      </c>
      <c r="AR31" s="289">
        <v>-4861.8713839000002</v>
      </c>
      <c r="AS31" s="289"/>
      <c r="AT31" s="289">
        <v>5359</v>
      </c>
      <c r="AU31" s="289">
        <v>1495</v>
      </c>
      <c r="AV31" s="625">
        <v>2136483</v>
      </c>
      <c r="AW31" s="289"/>
      <c r="AX31" s="625">
        <v>639.11666664999996</v>
      </c>
      <c r="AY31" s="289">
        <v>25495</v>
      </c>
      <c r="AZ31" s="289">
        <v>4364</v>
      </c>
      <c r="BA31" s="290">
        <v>2320</v>
      </c>
      <c r="BB31" s="289">
        <v>0</v>
      </c>
      <c r="BC31" s="289">
        <v>22072.372000359999</v>
      </c>
      <c r="BD31" s="289">
        <v>1821.666051766905</v>
      </c>
      <c r="BE31" s="289">
        <v>2246194.9535893002</v>
      </c>
      <c r="BF31" s="289">
        <v>0</v>
      </c>
      <c r="BG31" s="289">
        <v>-3439.3932</v>
      </c>
      <c r="BH31" s="289">
        <v>-257.90359999999998</v>
      </c>
      <c r="BI31" s="289">
        <v>22735.710640199999</v>
      </c>
      <c r="BJ31" s="289">
        <v>0</v>
      </c>
      <c r="BK31" s="289">
        <v>0</v>
      </c>
      <c r="BL31" s="289">
        <v>0</v>
      </c>
      <c r="BM31" s="289">
        <v>0</v>
      </c>
      <c r="BN31" s="289">
        <v>5542.1209739222004</v>
      </c>
      <c r="BO31" s="289">
        <v>3226.9641135619945</v>
      </c>
      <c r="BP31" s="289">
        <v>8270.109146188579</v>
      </c>
      <c r="BQ31" s="289">
        <v>172.69650601993408</v>
      </c>
      <c r="BR31" s="289">
        <v>123.46847684197911</v>
      </c>
      <c r="BS31" s="289">
        <v>18.984206894741423</v>
      </c>
      <c r="BT31" s="289">
        <v>0</v>
      </c>
      <c r="BU31" s="289">
        <v>0</v>
      </c>
      <c r="BV31" s="289">
        <v>12.107382163184866</v>
      </c>
      <c r="BW31" s="517"/>
      <c r="BX31" s="517"/>
      <c r="CA31" s="517"/>
      <c r="CB31" s="517"/>
    </row>
    <row r="32" spans="1:80" ht="13">
      <c r="A32" s="1">
        <v>1002</v>
      </c>
      <c r="B32" s="2" t="s">
        <v>943</v>
      </c>
      <c r="C32" s="289">
        <v>15659</v>
      </c>
      <c r="D32" s="289">
        <v>287</v>
      </c>
      <c r="E32" s="289">
        <v>713</v>
      </c>
      <c r="F32" s="289">
        <v>2074</v>
      </c>
      <c r="G32" s="289">
        <v>1474</v>
      </c>
      <c r="H32" s="289">
        <v>8533</v>
      </c>
      <c r="I32" s="289">
        <v>1821</v>
      </c>
      <c r="J32" s="289">
        <v>561</v>
      </c>
      <c r="K32" s="289">
        <v>163</v>
      </c>
      <c r="L32" s="289">
        <v>120</v>
      </c>
      <c r="M32" s="289">
        <v>1068</v>
      </c>
      <c r="N32" s="290">
        <v>316</v>
      </c>
      <c r="O32" s="290">
        <v>170</v>
      </c>
      <c r="P32" s="624">
        <v>51157.175666670002</v>
      </c>
      <c r="Q32" s="624">
        <v>30585.408666669999</v>
      </c>
      <c r="R32" s="624">
        <v>70</v>
      </c>
      <c r="S32" s="289"/>
      <c r="T32" s="289">
        <v>1279</v>
      </c>
      <c r="U32" s="716">
        <v>2.304538507034967E-3</v>
      </c>
      <c r="V32" s="289">
        <v>256.67551528000001</v>
      </c>
      <c r="W32" s="743">
        <v>0.56305693000000001</v>
      </c>
      <c r="X32" s="289">
        <v>2200</v>
      </c>
      <c r="Y32" s="289">
        <v>414.28399999999999</v>
      </c>
      <c r="Z32" s="289">
        <v>413427</v>
      </c>
      <c r="AA32" s="289">
        <v>0</v>
      </c>
      <c r="AB32" s="290">
        <v>534</v>
      </c>
      <c r="AC32" s="289">
        <v>0</v>
      </c>
      <c r="AD32" s="289">
        <v>5069.1111760000003</v>
      </c>
      <c r="AE32" s="289">
        <v>0</v>
      </c>
      <c r="AF32" s="289">
        <v>0</v>
      </c>
      <c r="AG32" s="289">
        <v>15626</v>
      </c>
      <c r="AH32" s="289">
        <v>2742.2880089199998</v>
      </c>
      <c r="AI32" s="289">
        <v>326</v>
      </c>
      <c r="AJ32" s="289">
        <v>0</v>
      </c>
      <c r="AK32" s="289">
        <v>0</v>
      </c>
      <c r="AL32" s="289">
        <v>0</v>
      </c>
      <c r="AM32" s="836">
        <v>0.39620673000000001</v>
      </c>
      <c r="AN32" s="289">
        <v>0</v>
      </c>
      <c r="AO32" s="289">
        <v>626.47498702999997</v>
      </c>
      <c r="AP32" s="289">
        <v>0</v>
      </c>
      <c r="AQ32" s="289">
        <v>0</v>
      </c>
      <c r="AR32" s="289">
        <v>-831.73604674000001</v>
      </c>
      <c r="AS32" s="289"/>
      <c r="AT32" s="289">
        <v>966</v>
      </c>
      <c r="AU32" s="289">
        <v>163</v>
      </c>
      <c r="AV32" s="625">
        <v>408218</v>
      </c>
      <c r="AW32" s="289"/>
      <c r="AX32" s="625">
        <v>99.345000049999996</v>
      </c>
      <c r="AY32" s="289">
        <v>3468</v>
      </c>
      <c r="AZ32" s="289">
        <v>617</v>
      </c>
      <c r="BA32" s="290">
        <v>360</v>
      </c>
      <c r="BB32" s="289">
        <v>0</v>
      </c>
      <c r="BC32" s="289">
        <v>8057.0940808699997</v>
      </c>
      <c r="BD32" s="289">
        <v>259.29331983841638</v>
      </c>
      <c r="BE32" s="289">
        <v>429158.20669184002</v>
      </c>
      <c r="BF32" s="289">
        <v>0</v>
      </c>
      <c r="BG32" s="289">
        <v>-641.43979999999999</v>
      </c>
      <c r="BH32" s="289">
        <v>-44.120399999999997</v>
      </c>
      <c r="BI32" s="289">
        <v>8225.6831849200007</v>
      </c>
      <c r="BJ32" s="289">
        <v>0</v>
      </c>
      <c r="BK32" s="289">
        <v>0</v>
      </c>
      <c r="BL32" s="289">
        <v>0</v>
      </c>
      <c r="BM32" s="289">
        <v>3188</v>
      </c>
      <c r="BN32" s="289">
        <v>1096.0909379183286</v>
      </c>
      <c r="BO32" s="289">
        <v>604.64191023246815</v>
      </c>
      <c r="BP32" s="289">
        <v>1414.7942930156528</v>
      </c>
      <c r="BQ32" s="289">
        <v>299.12909821313872</v>
      </c>
      <c r="BR32" s="289">
        <v>17.574325011270442</v>
      </c>
      <c r="BS32" s="289">
        <v>3.394888251858359</v>
      </c>
      <c r="BT32" s="289">
        <v>0</v>
      </c>
      <c r="BU32" s="289">
        <v>0</v>
      </c>
      <c r="BV32" s="289">
        <v>20.971300414018195</v>
      </c>
      <c r="BW32" s="517"/>
      <c r="BX32" s="517"/>
      <c r="CA32" s="517"/>
      <c r="CB32" s="517"/>
    </row>
    <row r="33" spans="1:80" ht="13">
      <c r="A33" s="1">
        <v>1017</v>
      </c>
      <c r="B33" s="2" t="s">
        <v>948</v>
      </c>
      <c r="C33" s="289">
        <v>6706</v>
      </c>
      <c r="D33" s="289">
        <v>182</v>
      </c>
      <c r="E33" s="289">
        <v>353</v>
      </c>
      <c r="F33" s="289">
        <v>960</v>
      </c>
      <c r="G33" s="289">
        <v>612</v>
      </c>
      <c r="H33" s="289">
        <v>3766</v>
      </c>
      <c r="I33" s="289">
        <v>625</v>
      </c>
      <c r="J33" s="289">
        <v>179</v>
      </c>
      <c r="K33" s="289">
        <v>36</v>
      </c>
      <c r="L33" s="289">
        <v>53</v>
      </c>
      <c r="M33" s="289">
        <v>326</v>
      </c>
      <c r="N33" s="290">
        <v>287</v>
      </c>
      <c r="O33" s="290">
        <v>93</v>
      </c>
      <c r="P33" s="624">
        <v>46452.112999999998</v>
      </c>
      <c r="Q33" s="624">
        <v>13724.47033333</v>
      </c>
      <c r="R33" s="624">
        <v>26</v>
      </c>
      <c r="S33" s="289"/>
      <c r="T33" s="289">
        <v>451</v>
      </c>
      <c r="U33" s="716">
        <v>1.3505487509334257E-3</v>
      </c>
      <c r="V33" s="289">
        <v>-6971.9432295300003</v>
      </c>
      <c r="W33" s="743">
        <v>0.61768940000000006</v>
      </c>
      <c r="X33" s="289">
        <v>1730</v>
      </c>
      <c r="Y33" s="289">
        <v>318.68</v>
      </c>
      <c r="Z33" s="289">
        <v>146015</v>
      </c>
      <c r="AA33" s="289">
        <v>0</v>
      </c>
      <c r="AB33" s="290">
        <v>260</v>
      </c>
      <c r="AC33" s="289">
        <v>0</v>
      </c>
      <c r="AD33" s="289">
        <v>4178.5876719999997</v>
      </c>
      <c r="AE33" s="289">
        <v>626</v>
      </c>
      <c r="AF33" s="289">
        <v>0</v>
      </c>
      <c r="AG33" s="289">
        <v>6713</v>
      </c>
      <c r="AH33" s="289">
        <v>1285.73076238</v>
      </c>
      <c r="AI33" s="289">
        <v>514</v>
      </c>
      <c r="AJ33" s="289">
        <v>0</v>
      </c>
      <c r="AK33" s="289">
        <v>0</v>
      </c>
      <c r="AL33" s="289">
        <v>0</v>
      </c>
      <c r="AM33" s="836">
        <v>0.31637700000000002</v>
      </c>
      <c r="AN33" s="289">
        <v>0</v>
      </c>
      <c r="AO33" s="289">
        <v>274.28423522000003</v>
      </c>
      <c r="AP33" s="289">
        <v>0</v>
      </c>
      <c r="AQ33" s="289">
        <v>0</v>
      </c>
      <c r="AR33" s="289">
        <v>-357.31755291000002</v>
      </c>
      <c r="AS33" s="289"/>
      <c r="AT33" s="289">
        <v>405</v>
      </c>
      <c r="AU33" s="289">
        <v>112</v>
      </c>
      <c r="AV33" s="625">
        <v>175539</v>
      </c>
      <c r="AW33" s="289"/>
      <c r="AX33" s="625">
        <v>60.268333349999999</v>
      </c>
      <c r="AY33" s="289">
        <v>1031</v>
      </c>
      <c r="AZ33" s="289">
        <v>309</v>
      </c>
      <c r="BA33" s="290">
        <v>195</v>
      </c>
      <c r="BB33" s="289">
        <v>0</v>
      </c>
      <c r="BC33" s="289">
        <v>5607.17028286</v>
      </c>
      <c r="BD33" s="289">
        <v>133.08586020009218</v>
      </c>
      <c r="BE33" s="289">
        <v>186529.86210256</v>
      </c>
      <c r="BF33" s="289">
        <v>0</v>
      </c>
      <c r="BG33" s="289">
        <v>-305.80560000000003</v>
      </c>
      <c r="BH33" s="289">
        <v>-18.9543</v>
      </c>
      <c r="BI33" s="289">
        <v>5782.9984343799997</v>
      </c>
      <c r="BJ33" s="289">
        <v>0</v>
      </c>
      <c r="BK33" s="289">
        <v>0</v>
      </c>
      <c r="BL33" s="289">
        <v>0</v>
      </c>
      <c r="BM33" s="289">
        <v>0</v>
      </c>
      <c r="BN33" s="289">
        <v>395.67826516532313</v>
      </c>
      <c r="BO33" s="289">
        <v>268.73794015301223</v>
      </c>
      <c r="BP33" s="289">
        <v>607.8020023687493</v>
      </c>
      <c r="BQ33" s="289">
        <v>175.30122787115866</v>
      </c>
      <c r="BR33" s="289">
        <v>9.0202638580062473</v>
      </c>
      <c r="BS33" s="289">
        <v>1.5891772277162661</v>
      </c>
      <c r="BT33" s="289">
        <v>0</v>
      </c>
      <c r="BU33" s="289">
        <v>0</v>
      </c>
      <c r="BV33" s="289">
        <v>12.289993633494172</v>
      </c>
      <c r="BW33" s="517"/>
      <c r="BX33" s="517"/>
      <c r="CA33" s="517"/>
      <c r="CB33" s="517"/>
    </row>
    <row r="34" spans="1:80" ht="13">
      <c r="A34" s="1">
        <v>1018</v>
      </c>
      <c r="B34" s="2" t="s">
        <v>949</v>
      </c>
      <c r="C34" s="289">
        <v>11403</v>
      </c>
      <c r="D34" s="289">
        <v>261</v>
      </c>
      <c r="E34" s="289">
        <v>554</v>
      </c>
      <c r="F34" s="289">
        <v>1565</v>
      </c>
      <c r="G34" s="289">
        <v>1150</v>
      </c>
      <c r="H34" s="289">
        <v>6305</v>
      </c>
      <c r="I34" s="289">
        <v>1200</v>
      </c>
      <c r="J34" s="289">
        <v>327</v>
      </c>
      <c r="K34" s="289">
        <v>63</v>
      </c>
      <c r="L34" s="289">
        <v>88</v>
      </c>
      <c r="M34" s="289">
        <v>588</v>
      </c>
      <c r="N34" s="290">
        <v>222</v>
      </c>
      <c r="O34" s="290">
        <v>100</v>
      </c>
      <c r="P34" s="624">
        <v>31584.263666669998</v>
      </c>
      <c r="Q34" s="624">
        <v>18685.724333329999</v>
      </c>
      <c r="R34" s="624">
        <v>46</v>
      </c>
      <c r="S34" s="289"/>
      <c r="T34" s="289">
        <v>775</v>
      </c>
      <c r="U34" s="716">
        <v>1.351471988948494E-3</v>
      </c>
      <c r="V34" s="289">
        <v>-15075.887910449999</v>
      </c>
      <c r="W34" s="743">
        <v>0.56739561999999999</v>
      </c>
      <c r="X34" s="289">
        <v>2140</v>
      </c>
      <c r="Y34" s="289">
        <v>414.28399999999999</v>
      </c>
      <c r="Z34" s="289">
        <v>311780</v>
      </c>
      <c r="AA34" s="289">
        <v>0</v>
      </c>
      <c r="AB34" s="290">
        <v>318</v>
      </c>
      <c r="AC34" s="289">
        <v>0</v>
      </c>
      <c r="AD34" s="289">
        <v>5079.0796920000003</v>
      </c>
      <c r="AE34" s="289">
        <v>0</v>
      </c>
      <c r="AF34" s="289">
        <v>0</v>
      </c>
      <c r="AG34" s="289">
        <v>11425</v>
      </c>
      <c r="AH34" s="289">
        <v>2137.0741793399998</v>
      </c>
      <c r="AI34" s="289">
        <v>91</v>
      </c>
      <c r="AJ34" s="289">
        <v>0</v>
      </c>
      <c r="AK34" s="289">
        <v>0</v>
      </c>
      <c r="AL34" s="289">
        <v>0</v>
      </c>
      <c r="AM34" s="836">
        <v>0.43916991999999999</v>
      </c>
      <c r="AN34" s="289">
        <v>0</v>
      </c>
      <c r="AO34" s="289">
        <v>440.56651517</v>
      </c>
      <c r="AP34" s="289">
        <v>0</v>
      </c>
      <c r="AQ34" s="289">
        <v>0</v>
      </c>
      <c r="AR34" s="289">
        <v>-608.12647728000002</v>
      </c>
      <c r="AS34" s="289"/>
      <c r="AT34" s="289">
        <v>733</v>
      </c>
      <c r="AU34" s="289">
        <v>178</v>
      </c>
      <c r="AV34" s="625">
        <v>256367</v>
      </c>
      <c r="AW34" s="289"/>
      <c r="AX34" s="625">
        <v>81.873333349999996</v>
      </c>
      <c r="AY34" s="289">
        <v>2471</v>
      </c>
      <c r="AZ34" s="289">
        <v>433</v>
      </c>
      <c r="BA34" s="290">
        <v>298</v>
      </c>
      <c r="BB34" s="289">
        <v>0</v>
      </c>
      <c r="BC34" s="289">
        <v>7418.8768586300002</v>
      </c>
      <c r="BD34" s="289">
        <v>183.33008080624143</v>
      </c>
      <c r="BE34" s="289">
        <v>274719.05878679</v>
      </c>
      <c r="BF34" s="289">
        <v>0</v>
      </c>
      <c r="BG34" s="289">
        <v>-479.25069999999999</v>
      </c>
      <c r="BH34" s="289">
        <v>-32.258800000000001</v>
      </c>
      <c r="BI34" s="289">
        <v>7630.4378713400001</v>
      </c>
      <c r="BJ34" s="289">
        <v>0</v>
      </c>
      <c r="BK34" s="289">
        <v>0</v>
      </c>
      <c r="BL34" s="289">
        <v>0</v>
      </c>
      <c r="BM34" s="289">
        <v>0</v>
      </c>
      <c r="BN34" s="289">
        <v>678.82457219391108</v>
      </c>
      <c r="BO34" s="289">
        <v>431.85115572510864</v>
      </c>
      <c r="BP34" s="289">
        <v>1034.4313834445047</v>
      </c>
      <c r="BQ34" s="289">
        <v>175.42106416551445</v>
      </c>
      <c r="BR34" s="289">
        <v>12.425705476867478</v>
      </c>
      <c r="BS34" s="289">
        <v>2.5390101087289922</v>
      </c>
      <c r="BT34" s="289">
        <v>0</v>
      </c>
      <c r="BU34" s="289">
        <v>0</v>
      </c>
      <c r="BV34" s="289">
        <v>12.298395099431293</v>
      </c>
      <c r="BW34" s="517"/>
      <c r="BX34" s="517"/>
      <c r="CA34" s="517"/>
      <c r="CB34" s="517"/>
    </row>
    <row r="35" spans="1:80" ht="13">
      <c r="A35" s="1">
        <v>1021</v>
      </c>
      <c r="B35" s="2" t="s">
        <v>950</v>
      </c>
      <c r="C35" s="289">
        <v>2297</v>
      </c>
      <c r="D35" s="289">
        <v>49</v>
      </c>
      <c r="E35" s="289">
        <v>108</v>
      </c>
      <c r="F35" s="289">
        <v>325</v>
      </c>
      <c r="G35" s="289">
        <v>196</v>
      </c>
      <c r="H35" s="289">
        <v>1272</v>
      </c>
      <c r="I35" s="289">
        <v>245</v>
      </c>
      <c r="J35" s="289">
        <v>80</v>
      </c>
      <c r="K35" s="289">
        <v>18</v>
      </c>
      <c r="L35" s="289">
        <v>17</v>
      </c>
      <c r="M35" s="289">
        <v>123</v>
      </c>
      <c r="N35" s="290">
        <v>36</v>
      </c>
      <c r="O35" s="290">
        <v>22</v>
      </c>
      <c r="P35" s="624">
        <v>26160.62866667</v>
      </c>
      <c r="Q35" s="624">
        <v>10560.75233333</v>
      </c>
      <c r="R35" s="624">
        <v>16</v>
      </c>
      <c r="S35" s="289"/>
      <c r="T35" s="289">
        <v>179</v>
      </c>
      <c r="U35" s="716">
        <v>1.83644385942656E-3</v>
      </c>
      <c r="V35" s="289">
        <v>725.83964248999996</v>
      </c>
      <c r="W35" s="743">
        <v>0.78604225999999999</v>
      </c>
      <c r="X35" s="289">
        <v>300</v>
      </c>
      <c r="Y35" s="289">
        <v>335.12799999999999</v>
      </c>
      <c r="Z35" s="289">
        <v>60047</v>
      </c>
      <c r="AA35" s="289">
        <v>0</v>
      </c>
      <c r="AB35" s="290">
        <v>83</v>
      </c>
      <c r="AC35" s="289">
        <v>0</v>
      </c>
      <c r="AD35" s="289">
        <v>395.93317200000001</v>
      </c>
      <c r="AE35" s="289">
        <v>0</v>
      </c>
      <c r="AF35" s="289">
        <v>0</v>
      </c>
      <c r="AG35" s="289">
        <v>2293</v>
      </c>
      <c r="AH35" s="289">
        <v>418.35057344000001</v>
      </c>
      <c r="AI35" s="289">
        <v>219</v>
      </c>
      <c r="AJ35" s="289">
        <v>134.69</v>
      </c>
      <c r="AK35" s="289">
        <v>0</v>
      </c>
      <c r="AL35" s="289">
        <v>0</v>
      </c>
      <c r="AM35" s="836">
        <v>7.1465689999999998E-2</v>
      </c>
      <c r="AN35" s="289">
        <v>0</v>
      </c>
      <c r="AO35" s="289">
        <v>105.73488944</v>
      </c>
      <c r="AP35" s="289">
        <v>0</v>
      </c>
      <c r="AQ35" s="289">
        <v>0</v>
      </c>
      <c r="AR35" s="289">
        <v>3627.5194050499999</v>
      </c>
      <c r="AS35" s="289"/>
      <c r="AT35" s="289">
        <v>132</v>
      </c>
      <c r="AU35" s="289">
        <v>28</v>
      </c>
      <c r="AV35" s="625">
        <v>88740</v>
      </c>
      <c r="AW35" s="289"/>
      <c r="AX35" s="625">
        <v>11.32</v>
      </c>
      <c r="AY35" s="289">
        <v>341</v>
      </c>
      <c r="AZ35" s="289">
        <v>103</v>
      </c>
      <c r="BA35" s="290">
        <v>54</v>
      </c>
      <c r="BB35" s="289">
        <v>4559</v>
      </c>
      <c r="BC35" s="289">
        <v>1123.45805051</v>
      </c>
      <c r="BD35" s="289">
        <v>38.073334533299438</v>
      </c>
      <c r="BE35" s="289">
        <v>86790.69691821</v>
      </c>
      <c r="BF35" s="289">
        <v>0</v>
      </c>
      <c r="BG35" s="289">
        <v>-112.17659999999999</v>
      </c>
      <c r="BH35" s="289">
        <v>-6.4743000000000004</v>
      </c>
      <c r="BI35" s="289">
        <v>1149.41174544</v>
      </c>
      <c r="BJ35" s="289">
        <v>0</v>
      </c>
      <c r="BK35" s="289">
        <v>0</v>
      </c>
      <c r="BL35" s="289">
        <v>0</v>
      </c>
      <c r="BM35" s="289">
        <v>470</v>
      </c>
      <c r="BN35" s="289">
        <v>179.5732819513014</v>
      </c>
      <c r="BO35" s="289">
        <v>120.26499825553698</v>
      </c>
      <c r="BP35" s="289">
        <v>207.61060500991246</v>
      </c>
      <c r="BQ35" s="289">
        <v>238.37041295356744</v>
      </c>
      <c r="BR35" s="289">
        <v>2.580526007256962</v>
      </c>
      <c r="BS35" s="289">
        <v>0.73391401640609333</v>
      </c>
      <c r="BT35" s="289">
        <v>0</v>
      </c>
      <c r="BU35" s="289">
        <v>0</v>
      </c>
      <c r="BV35" s="289">
        <v>16.71163912078169</v>
      </c>
      <c r="BW35" s="517"/>
      <c r="BX35" s="517"/>
      <c r="CA35" s="517"/>
      <c r="CB35" s="517"/>
    </row>
    <row r="36" spans="1:80" ht="13">
      <c r="A36" s="1">
        <v>1027</v>
      </c>
      <c r="B36" s="2" t="s">
        <v>952</v>
      </c>
      <c r="C36" s="289">
        <v>1780</v>
      </c>
      <c r="D36" s="289">
        <v>51</v>
      </c>
      <c r="E36" s="289">
        <v>91</v>
      </c>
      <c r="F36" s="289">
        <v>246</v>
      </c>
      <c r="G36" s="289">
        <v>188</v>
      </c>
      <c r="H36" s="289">
        <v>945</v>
      </c>
      <c r="I36" s="289">
        <v>186</v>
      </c>
      <c r="J36" s="289">
        <v>68</v>
      </c>
      <c r="K36" s="289">
        <v>15</v>
      </c>
      <c r="L36" s="289">
        <v>13</v>
      </c>
      <c r="M36" s="289">
        <v>93</v>
      </c>
      <c r="N36" s="290">
        <v>1.5</v>
      </c>
      <c r="O36" s="290">
        <v>18</v>
      </c>
      <c r="P36" s="624">
        <v>17376.240333329999</v>
      </c>
      <c r="Q36" s="624">
        <v>10158.275</v>
      </c>
      <c r="R36" s="624">
        <v>6</v>
      </c>
      <c r="S36" s="289"/>
      <c r="T36" s="289">
        <v>101</v>
      </c>
      <c r="U36" s="716">
        <v>1.2568574304930747E-3</v>
      </c>
      <c r="V36" s="289">
        <v>754.60434437000004</v>
      </c>
      <c r="W36" s="743">
        <v>0.85884665000000004</v>
      </c>
      <c r="X36" s="289">
        <v>1190</v>
      </c>
      <c r="Y36" s="289">
        <v>382.416</v>
      </c>
      <c r="Z36" s="289">
        <v>42130</v>
      </c>
      <c r="AA36" s="289">
        <v>0</v>
      </c>
      <c r="AB36" s="290">
        <v>41</v>
      </c>
      <c r="AC36" s="289">
        <v>0</v>
      </c>
      <c r="AD36" s="289">
        <v>673.39653999999996</v>
      </c>
      <c r="AE36" s="289">
        <v>0</v>
      </c>
      <c r="AF36" s="289">
        <v>0</v>
      </c>
      <c r="AG36" s="289">
        <v>1790</v>
      </c>
      <c r="AH36" s="289">
        <v>352.80898359999998</v>
      </c>
      <c r="AI36" s="289">
        <v>203</v>
      </c>
      <c r="AJ36" s="289">
        <v>0</v>
      </c>
      <c r="AK36" s="289">
        <v>16.692</v>
      </c>
      <c r="AL36" s="289">
        <v>0</v>
      </c>
      <c r="AM36" s="836">
        <v>1.748388E-2</v>
      </c>
      <c r="AN36" s="289">
        <v>0</v>
      </c>
      <c r="AO36" s="289">
        <v>81.11626665</v>
      </c>
      <c r="AP36" s="289">
        <v>0</v>
      </c>
      <c r="AQ36" s="289">
        <v>0</v>
      </c>
      <c r="AR36" s="289">
        <v>6479.90869707</v>
      </c>
      <c r="AS36" s="289"/>
      <c r="AT36" s="289">
        <v>65</v>
      </c>
      <c r="AU36" s="289">
        <v>13</v>
      </c>
      <c r="AV36" s="625">
        <v>72443</v>
      </c>
      <c r="AW36" s="289"/>
      <c r="AX36" s="625">
        <v>11.953333300000001</v>
      </c>
      <c r="AY36" s="289">
        <v>306</v>
      </c>
      <c r="AZ36" s="289">
        <v>66</v>
      </c>
      <c r="BA36" s="290">
        <v>18</v>
      </c>
      <c r="BB36" s="289">
        <v>2850</v>
      </c>
      <c r="BC36" s="289">
        <v>1365.7374343500001</v>
      </c>
      <c r="BD36" s="289">
        <v>19.325418237462785</v>
      </c>
      <c r="BE36" s="289">
        <v>67069.510172840004</v>
      </c>
      <c r="BF36" s="289">
        <v>0</v>
      </c>
      <c r="BG36" s="289">
        <v>-87.941400000000002</v>
      </c>
      <c r="BH36" s="289">
        <v>-5.0541</v>
      </c>
      <c r="BI36" s="289">
        <v>1408.6215236</v>
      </c>
      <c r="BJ36" s="289">
        <v>0</v>
      </c>
      <c r="BK36" s="289">
        <v>0</v>
      </c>
      <c r="BL36" s="289">
        <v>0</v>
      </c>
      <c r="BM36" s="289">
        <v>662</v>
      </c>
      <c r="BN36" s="289">
        <v>130.072246392241</v>
      </c>
      <c r="BO36" s="289">
        <v>103.61461201212029</v>
      </c>
      <c r="BP36" s="289">
        <v>162.06846182631628</v>
      </c>
      <c r="BQ36" s="289">
        <v>163.14009447800106</v>
      </c>
      <c r="BR36" s="289">
        <v>1.3098339027613666</v>
      </c>
      <c r="BS36" s="289">
        <v>0.65563627208143771</v>
      </c>
      <c r="BT36" s="289">
        <v>0</v>
      </c>
      <c r="BU36" s="289">
        <v>0</v>
      </c>
      <c r="BV36" s="289">
        <v>11.437402617486978</v>
      </c>
      <c r="BW36" s="517"/>
      <c r="BX36" s="517"/>
      <c r="CA36" s="517"/>
      <c r="CB36" s="517"/>
    </row>
    <row r="37" spans="1:80" ht="13">
      <c r="A37" s="1">
        <v>1029</v>
      </c>
      <c r="B37" s="2" t="s">
        <v>953</v>
      </c>
      <c r="C37" s="289">
        <v>4953</v>
      </c>
      <c r="D37" s="289">
        <v>108</v>
      </c>
      <c r="E37" s="289">
        <v>274</v>
      </c>
      <c r="F37" s="289">
        <v>648</v>
      </c>
      <c r="G37" s="289">
        <v>440</v>
      </c>
      <c r="H37" s="289">
        <v>2662</v>
      </c>
      <c r="I37" s="289">
        <v>631</v>
      </c>
      <c r="J37" s="289">
        <v>167</v>
      </c>
      <c r="K37" s="289">
        <v>42</v>
      </c>
      <c r="L37" s="289">
        <v>44</v>
      </c>
      <c r="M37" s="289">
        <v>342</v>
      </c>
      <c r="N37" s="290">
        <v>106</v>
      </c>
      <c r="O37" s="290">
        <v>55</v>
      </c>
      <c r="P37" s="624">
        <v>35553.304666670003</v>
      </c>
      <c r="Q37" s="624">
        <v>12913.43266667</v>
      </c>
      <c r="R37" s="624">
        <v>29</v>
      </c>
      <c r="S37" s="289"/>
      <c r="T37" s="289">
        <v>338</v>
      </c>
      <c r="U37" s="716">
        <v>2.4823935714834945E-3</v>
      </c>
      <c r="V37" s="289">
        <v>-1288.53222637</v>
      </c>
      <c r="W37" s="743">
        <v>0.70831549999999999</v>
      </c>
      <c r="X37" s="289">
        <v>1100</v>
      </c>
      <c r="Y37" s="289">
        <v>414.28399999999999</v>
      </c>
      <c r="Z37" s="289">
        <v>122123</v>
      </c>
      <c r="AA37" s="289">
        <v>0</v>
      </c>
      <c r="AB37" s="290">
        <v>163</v>
      </c>
      <c r="AC37" s="289">
        <v>0</v>
      </c>
      <c r="AD37" s="289">
        <v>2248.53926</v>
      </c>
      <c r="AE37" s="289">
        <v>0</v>
      </c>
      <c r="AF37" s="289">
        <v>0</v>
      </c>
      <c r="AG37" s="289">
        <v>4972</v>
      </c>
      <c r="AH37" s="289">
        <v>901.54548577000003</v>
      </c>
      <c r="AI37" s="289">
        <v>390</v>
      </c>
      <c r="AJ37" s="289">
        <v>0</v>
      </c>
      <c r="AK37" s="289">
        <v>568.22500000000002</v>
      </c>
      <c r="AL37" s="289">
        <v>0</v>
      </c>
      <c r="AM37" s="836">
        <v>0.13732494000000001</v>
      </c>
      <c r="AN37" s="289">
        <v>0</v>
      </c>
      <c r="AO37" s="289">
        <v>214.54081708999999</v>
      </c>
      <c r="AP37" s="289">
        <v>0</v>
      </c>
      <c r="AQ37" s="289">
        <v>0</v>
      </c>
      <c r="AR37" s="289">
        <v>-264.64812647999997</v>
      </c>
      <c r="AS37" s="289"/>
      <c r="AT37" s="289">
        <v>278</v>
      </c>
      <c r="AU37" s="289">
        <v>55</v>
      </c>
      <c r="AV37" s="625">
        <v>147923</v>
      </c>
      <c r="AW37" s="289"/>
      <c r="AX37" s="625">
        <v>27.835000050000001</v>
      </c>
      <c r="AY37" s="289">
        <v>767</v>
      </c>
      <c r="AZ37" s="289">
        <v>219</v>
      </c>
      <c r="BA37" s="290">
        <v>116</v>
      </c>
      <c r="BB37" s="289">
        <v>0</v>
      </c>
      <c r="BC37" s="289">
        <v>3459.08907073</v>
      </c>
      <c r="BD37" s="289">
        <v>78.060148955406049</v>
      </c>
      <c r="BE37" s="289">
        <v>157057.22614196999</v>
      </c>
      <c r="BF37" s="289">
        <v>0</v>
      </c>
      <c r="BG37" s="289">
        <v>-210.53120000000001</v>
      </c>
      <c r="BH37" s="289">
        <v>-14.038600000000001</v>
      </c>
      <c r="BI37" s="289">
        <v>3564.3687457699998</v>
      </c>
      <c r="BJ37" s="289">
        <v>0</v>
      </c>
      <c r="BK37" s="289">
        <v>0</v>
      </c>
      <c r="BL37" s="289">
        <v>0</v>
      </c>
      <c r="BM37" s="289">
        <v>1005</v>
      </c>
      <c r="BN37" s="289">
        <v>375.54846336457155</v>
      </c>
      <c r="BO37" s="289">
        <v>219.81690231812752</v>
      </c>
      <c r="BP37" s="289">
        <v>450.17005150862832</v>
      </c>
      <c r="BQ37" s="289">
        <v>322.21468557855758</v>
      </c>
      <c r="BR37" s="289">
        <v>5.2907434291997442</v>
      </c>
      <c r="BS37" s="289">
        <v>1.2566490288044652</v>
      </c>
      <c r="BT37" s="289">
        <v>0</v>
      </c>
      <c r="BU37" s="289">
        <v>0</v>
      </c>
      <c r="BV37" s="289">
        <v>22.589781500499797</v>
      </c>
      <c r="BW37" s="517"/>
      <c r="BX37" s="517"/>
      <c r="CA37" s="517"/>
      <c r="CB37" s="517"/>
    </row>
    <row r="38" spans="1:80" ht="13">
      <c r="A38" s="1">
        <v>1032</v>
      </c>
      <c r="B38" s="2" t="s">
        <v>954</v>
      </c>
      <c r="C38" s="289">
        <v>8609</v>
      </c>
      <c r="D38" s="289">
        <v>204</v>
      </c>
      <c r="E38" s="289">
        <v>498</v>
      </c>
      <c r="F38" s="289">
        <v>1270</v>
      </c>
      <c r="G38" s="289">
        <v>883</v>
      </c>
      <c r="H38" s="289">
        <v>4552</v>
      </c>
      <c r="I38" s="289">
        <v>902</v>
      </c>
      <c r="J38" s="289">
        <v>258</v>
      </c>
      <c r="K38" s="289">
        <v>68</v>
      </c>
      <c r="L38" s="289">
        <v>68</v>
      </c>
      <c r="M38" s="289">
        <v>473</v>
      </c>
      <c r="N38" s="290">
        <v>254</v>
      </c>
      <c r="O38" s="290">
        <v>124</v>
      </c>
      <c r="P38" s="624">
        <v>24437.134333329999</v>
      </c>
      <c r="Q38" s="624">
        <v>40685.404000000002</v>
      </c>
      <c r="R38" s="624">
        <v>35</v>
      </c>
      <c r="S38" s="289"/>
      <c r="T38" s="289">
        <v>554</v>
      </c>
      <c r="U38" s="716">
        <v>2.5455468971161349E-3</v>
      </c>
      <c r="V38" s="289">
        <v>-12830.62599296</v>
      </c>
      <c r="W38" s="743">
        <v>0.62204755</v>
      </c>
      <c r="X38" s="289">
        <v>1730</v>
      </c>
      <c r="Y38" s="289">
        <v>414.28399999999999</v>
      </c>
      <c r="Z38" s="289">
        <v>200153</v>
      </c>
      <c r="AA38" s="289">
        <v>0</v>
      </c>
      <c r="AB38" s="290">
        <v>252</v>
      </c>
      <c r="AC38" s="289">
        <v>0</v>
      </c>
      <c r="AD38" s="289">
        <v>4179.6033360000001</v>
      </c>
      <c r="AE38" s="289">
        <v>0</v>
      </c>
      <c r="AF38" s="289">
        <v>0</v>
      </c>
      <c r="AG38" s="289">
        <v>8635</v>
      </c>
      <c r="AH38" s="289">
        <v>1754.2834046400001</v>
      </c>
      <c r="AI38" s="289">
        <v>69</v>
      </c>
      <c r="AJ38" s="289">
        <v>0</v>
      </c>
      <c r="AK38" s="289">
        <v>0</v>
      </c>
      <c r="AL38" s="289">
        <v>0</v>
      </c>
      <c r="AM38" s="836">
        <v>0.23376085999999999</v>
      </c>
      <c r="AN38" s="289">
        <v>0</v>
      </c>
      <c r="AO38" s="289">
        <v>362.91033877000001</v>
      </c>
      <c r="AP38" s="289">
        <v>0</v>
      </c>
      <c r="AQ38" s="289">
        <v>0</v>
      </c>
      <c r="AR38" s="289">
        <v>-459.62119310999998</v>
      </c>
      <c r="AS38" s="289"/>
      <c r="AT38" s="289">
        <v>454</v>
      </c>
      <c r="AU38" s="289">
        <v>85</v>
      </c>
      <c r="AV38" s="625">
        <v>244311</v>
      </c>
      <c r="AW38" s="289"/>
      <c r="AX38" s="625">
        <v>54.1</v>
      </c>
      <c r="AY38" s="289">
        <v>1437</v>
      </c>
      <c r="AZ38" s="289">
        <v>445</v>
      </c>
      <c r="BA38" s="290">
        <v>215</v>
      </c>
      <c r="BB38" s="289">
        <v>0</v>
      </c>
      <c r="BC38" s="289">
        <v>6172.3686263</v>
      </c>
      <c r="BD38" s="289">
        <v>136.26198593344526</v>
      </c>
      <c r="BE38" s="289">
        <v>250495.31651117001</v>
      </c>
      <c r="BF38" s="289">
        <v>0</v>
      </c>
      <c r="BG38" s="289">
        <v>-405.02170000000001</v>
      </c>
      <c r="BH38" s="289">
        <v>-24.3811</v>
      </c>
      <c r="BI38" s="289">
        <v>6348.1707406400001</v>
      </c>
      <c r="BJ38" s="289">
        <v>0</v>
      </c>
      <c r="BK38" s="289">
        <v>0</v>
      </c>
      <c r="BL38" s="289">
        <v>0</v>
      </c>
      <c r="BM38" s="289">
        <v>3177</v>
      </c>
      <c r="BN38" s="289">
        <v>553.54988792218785</v>
      </c>
      <c r="BO38" s="289">
        <v>355.17755352897541</v>
      </c>
      <c r="BP38" s="289">
        <v>781.82188149175488</v>
      </c>
      <c r="BQ38" s="289">
        <v>330.41198724567425</v>
      </c>
      <c r="BR38" s="289">
        <v>9.235534602155731</v>
      </c>
      <c r="BS38" s="289">
        <v>1.9849974383730442</v>
      </c>
      <c r="BT38" s="289">
        <v>0</v>
      </c>
      <c r="BU38" s="289">
        <v>0</v>
      </c>
      <c r="BV38" s="289">
        <v>23.164476763756824</v>
      </c>
      <c r="BW38" s="517"/>
      <c r="BX38" s="517"/>
      <c r="CA38" s="517"/>
      <c r="CB38" s="517"/>
    </row>
    <row r="39" spans="1:80" ht="13">
      <c r="A39" s="1">
        <v>1101</v>
      </c>
      <c r="B39" s="2" t="s">
        <v>958</v>
      </c>
      <c r="C39" s="289">
        <v>14830</v>
      </c>
      <c r="D39" s="289">
        <v>335</v>
      </c>
      <c r="E39" s="289">
        <v>699</v>
      </c>
      <c r="F39" s="289">
        <v>1944</v>
      </c>
      <c r="G39" s="289">
        <v>1401</v>
      </c>
      <c r="H39" s="289">
        <v>8285</v>
      </c>
      <c r="I39" s="289">
        <v>1620</v>
      </c>
      <c r="J39" s="289">
        <v>503</v>
      </c>
      <c r="K39" s="289">
        <v>126</v>
      </c>
      <c r="L39" s="289">
        <v>114</v>
      </c>
      <c r="M39" s="289">
        <v>949</v>
      </c>
      <c r="N39" s="290">
        <v>273</v>
      </c>
      <c r="O39" s="290">
        <v>157</v>
      </c>
      <c r="P39" s="624">
        <v>58165.24333333</v>
      </c>
      <c r="Q39" s="624">
        <v>26774.523000000001</v>
      </c>
      <c r="R39" s="624">
        <v>75</v>
      </c>
      <c r="S39" s="289"/>
      <c r="T39" s="289">
        <v>1053</v>
      </c>
      <c r="U39" s="716">
        <v>3.7976673337561848E-3</v>
      </c>
      <c r="V39" s="289">
        <v>-4232.0377865500004</v>
      </c>
      <c r="W39" s="743">
        <v>0.57624810000000004</v>
      </c>
      <c r="X39" s="289">
        <v>2000</v>
      </c>
      <c r="Y39" s="289">
        <v>414.28399999999999</v>
      </c>
      <c r="Z39" s="289">
        <v>455451</v>
      </c>
      <c r="AA39" s="289">
        <v>0</v>
      </c>
      <c r="AB39" s="290">
        <v>389</v>
      </c>
      <c r="AC39" s="289">
        <v>997.5</v>
      </c>
      <c r="AD39" s="289">
        <v>0</v>
      </c>
      <c r="AE39" s="289">
        <v>0</v>
      </c>
      <c r="AF39" s="289">
        <v>0</v>
      </c>
      <c r="AG39" s="289">
        <v>14913</v>
      </c>
      <c r="AH39" s="289">
        <v>2657.9206432699998</v>
      </c>
      <c r="AI39" s="289">
        <v>500</v>
      </c>
      <c r="AJ39" s="289">
        <v>0</v>
      </c>
      <c r="AK39" s="289">
        <v>0</v>
      </c>
      <c r="AL39" s="289">
        <v>0</v>
      </c>
      <c r="AM39" s="836">
        <v>0.36844023999999997</v>
      </c>
      <c r="AN39" s="289">
        <v>0</v>
      </c>
      <c r="AO39" s="289">
        <v>581.29804632000003</v>
      </c>
      <c r="AP39" s="289">
        <v>0</v>
      </c>
      <c r="AQ39" s="289">
        <v>0</v>
      </c>
      <c r="AR39" s="289">
        <v>-657.90071971999998</v>
      </c>
      <c r="AS39" s="289"/>
      <c r="AT39" s="289">
        <v>769</v>
      </c>
      <c r="AU39" s="289">
        <v>260</v>
      </c>
      <c r="AV39" s="625">
        <v>363590</v>
      </c>
      <c r="AW39" s="289"/>
      <c r="AX39" s="625">
        <v>83.68</v>
      </c>
      <c r="AY39" s="289">
        <v>2584</v>
      </c>
      <c r="AZ39" s="289">
        <v>409</v>
      </c>
      <c r="BA39" s="290">
        <v>270</v>
      </c>
      <c r="BB39" s="289">
        <v>0</v>
      </c>
      <c r="BC39" s="289">
        <v>3009.3822121799999</v>
      </c>
      <c r="BD39" s="289">
        <v>221.59894883821636</v>
      </c>
      <c r="BE39" s="289">
        <v>374768.08058229001</v>
      </c>
      <c r="BF39" s="289">
        <v>0</v>
      </c>
      <c r="BG39" s="289">
        <v>-602.55520000000001</v>
      </c>
      <c r="BH39" s="289">
        <v>-42.107199999999999</v>
      </c>
      <c r="BI39" s="289">
        <v>3072.2046432699999</v>
      </c>
      <c r="BJ39" s="289">
        <v>0</v>
      </c>
      <c r="BK39" s="289">
        <v>0</v>
      </c>
      <c r="BL39" s="289">
        <v>0</v>
      </c>
      <c r="BM39" s="289">
        <v>0</v>
      </c>
      <c r="BN39" s="289">
        <v>1014.8647373304573</v>
      </c>
      <c r="BO39" s="289">
        <v>570.439391940625</v>
      </c>
      <c r="BP39" s="289">
        <v>1350.2385314055055</v>
      </c>
      <c r="BQ39" s="289">
        <v>492.9372199215527</v>
      </c>
      <c r="BR39" s="289">
        <v>15.019484310145776</v>
      </c>
      <c r="BS39" s="289">
        <v>3.2570338280100199</v>
      </c>
      <c r="BT39" s="289">
        <v>0</v>
      </c>
      <c r="BU39" s="289">
        <v>0</v>
      </c>
      <c r="BV39" s="289">
        <v>34.558772737181272</v>
      </c>
      <c r="BW39" s="517"/>
      <c r="BX39" s="517"/>
      <c r="CA39" s="517"/>
      <c r="CB39" s="517"/>
    </row>
    <row r="40" spans="1:80" ht="13">
      <c r="A40" s="1">
        <v>1102</v>
      </c>
      <c r="B40" s="2" t="s">
        <v>959</v>
      </c>
      <c r="C40" s="289">
        <v>77246</v>
      </c>
      <c r="D40" s="289">
        <v>2139</v>
      </c>
      <c r="E40" s="289">
        <v>4406</v>
      </c>
      <c r="F40" s="289">
        <v>10611</v>
      </c>
      <c r="G40" s="289">
        <v>6813</v>
      </c>
      <c r="H40" s="289">
        <v>44650</v>
      </c>
      <c r="I40" s="289">
        <v>6045</v>
      </c>
      <c r="J40" s="289">
        <v>1782</v>
      </c>
      <c r="K40" s="289">
        <v>400</v>
      </c>
      <c r="L40" s="289">
        <v>558</v>
      </c>
      <c r="M40" s="289">
        <v>3200</v>
      </c>
      <c r="N40" s="290">
        <v>2633</v>
      </c>
      <c r="O40" s="290">
        <v>970</v>
      </c>
      <c r="P40" s="624">
        <v>157549.033</v>
      </c>
      <c r="Q40" s="624">
        <v>94881.020666669996</v>
      </c>
      <c r="R40" s="624">
        <v>211</v>
      </c>
      <c r="S40" s="289"/>
      <c r="T40" s="289">
        <v>5531</v>
      </c>
      <c r="U40" s="716">
        <v>6.251529244257429E-3</v>
      </c>
      <c r="V40" s="289">
        <v>-1245.7797897299999</v>
      </c>
      <c r="W40" s="743">
        <v>0.53574069000000002</v>
      </c>
      <c r="X40" s="289">
        <v>0</v>
      </c>
      <c r="Y40" s="289">
        <v>414.28399999999999</v>
      </c>
      <c r="Z40" s="289">
        <v>2431286</v>
      </c>
      <c r="AA40" s="289">
        <v>0</v>
      </c>
      <c r="AB40" s="290">
        <v>1218</v>
      </c>
      <c r="AC40" s="289">
        <v>0</v>
      </c>
      <c r="AD40" s="289">
        <v>5548.281508</v>
      </c>
      <c r="AE40" s="289">
        <v>0</v>
      </c>
      <c r="AF40" s="289">
        <v>0</v>
      </c>
      <c r="AG40" s="289">
        <v>76846</v>
      </c>
      <c r="AH40" s="289">
        <v>14730.820941890001</v>
      </c>
      <c r="AI40" s="289">
        <v>200</v>
      </c>
      <c r="AJ40" s="289">
        <v>0</v>
      </c>
      <c r="AK40" s="289">
        <v>0</v>
      </c>
      <c r="AL40" s="289">
        <v>0</v>
      </c>
      <c r="AM40" s="836">
        <v>4.9964362400000004</v>
      </c>
      <c r="AN40" s="289">
        <v>0</v>
      </c>
      <c r="AO40" s="289">
        <v>2900.1941782099998</v>
      </c>
      <c r="AP40" s="289">
        <v>0</v>
      </c>
      <c r="AQ40" s="289">
        <v>0</v>
      </c>
      <c r="AR40" s="289">
        <v>-4090.3358663399999</v>
      </c>
      <c r="AS40" s="289"/>
      <c r="AT40" s="289">
        <v>4261</v>
      </c>
      <c r="AU40" s="289">
        <v>1726</v>
      </c>
      <c r="AV40" s="625">
        <v>1733822</v>
      </c>
      <c r="AW40" s="289"/>
      <c r="AX40" s="625">
        <v>711.36666664999996</v>
      </c>
      <c r="AY40" s="289">
        <v>18392</v>
      </c>
      <c r="AZ40" s="289">
        <v>3958</v>
      </c>
      <c r="BA40" s="290">
        <v>1636</v>
      </c>
      <c r="BB40" s="289">
        <v>0</v>
      </c>
      <c r="BC40" s="289">
        <v>19908.15337407</v>
      </c>
      <c r="BD40" s="289">
        <v>1428.1524147809837</v>
      </c>
      <c r="BE40" s="289">
        <v>1825804.0131367999</v>
      </c>
      <c r="BF40" s="289">
        <v>0</v>
      </c>
      <c r="BG40" s="289">
        <v>-3226.9198999999999</v>
      </c>
      <c r="BH40" s="289">
        <v>-216.97659999999999</v>
      </c>
      <c r="BI40" s="289">
        <v>20693.38644989</v>
      </c>
      <c r="BJ40" s="289">
        <v>0</v>
      </c>
      <c r="BK40" s="289">
        <v>0</v>
      </c>
      <c r="BL40" s="289">
        <v>0</v>
      </c>
      <c r="BM40" s="289">
        <v>8124</v>
      </c>
      <c r="BN40" s="289">
        <v>3824.128237183666</v>
      </c>
      <c r="BO40" s="289">
        <v>2629.8593418667174</v>
      </c>
      <c r="BP40" s="289">
        <v>6957.7167695559228</v>
      </c>
      <c r="BQ40" s="289">
        <v>811.44849590461422</v>
      </c>
      <c r="BR40" s="289">
        <v>96.79699700182222</v>
      </c>
      <c r="BS40" s="289">
        <v>16.037203935291625</v>
      </c>
      <c r="BT40" s="289">
        <v>0</v>
      </c>
      <c r="BU40" s="289">
        <v>0</v>
      </c>
      <c r="BV40" s="289">
        <v>56.888916122742586</v>
      </c>
      <c r="BW40" s="517"/>
      <c r="BX40" s="517"/>
      <c r="CA40" s="517"/>
      <c r="CB40" s="517"/>
    </row>
    <row r="41" spans="1:80" ht="13">
      <c r="A41" s="1">
        <v>1103</v>
      </c>
      <c r="B41" s="2" t="s">
        <v>960</v>
      </c>
      <c r="C41" s="289">
        <v>134037</v>
      </c>
      <c r="D41" s="289">
        <v>3265</v>
      </c>
      <c r="E41" s="289">
        <v>6654</v>
      </c>
      <c r="F41" s="289">
        <v>16401</v>
      </c>
      <c r="G41" s="289">
        <v>11707</v>
      </c>
      <c r="H41" s="289">
        <v>79258</v>
      </c>
      <c r="I41" s="289">
        <v>11588</v>
      </c>
      <c r="J41" s="289">
        <v>3587</v>
      </c>
      <c r="K41" s="289">
        <v>937</v>
      </c>
      <c r="L41" s="289">
        <v>1041</v>
      </c>
      <c r="M41" s="289">
        <v>6718</v>
      </c>
      <c r="N41" s="290">
        <v>4458</v>
      </c>
      <c r="O41" s="290">
        <v>1552</v>
      </c>
      <c r="P41" s="624">
        <v>210048.30366666999</v>
      </c>
      <c r="Q41" s="624">
        <v>155430.24433332999</v>
      </c>
      <c r="R41" s="624">
        <v>343</v>
      </c>
      <c r="S41" s="289"/>
      <c r="T41" s="289">
        <v>12532</v>
      </c>
      <c r="U41" s="716">
        <v>1.2972116758883827E-3</v>
      </c>
      <c r="V41" s="289">
        <v>11303.722355149999</v>
      </c>
      <c r="W41" s="743">
        <v>0.52544846000000001</v>
      </c>
      <c r="X41" s="289">
        <v>0</v>
      </c>
      <c r="Y41" s="289">
        <v>2071.42</v>
      </c>
      <c r="Z41" s="289">
        <v>5317364</v>
      </c>
      <c r="AA41" s="289">
        <v>0</v>
      </c>
      <c r="AB41" s="290">
        <v>2100</v>
      </c>
      <c r="AC41" s="289">
        <v>0</v>
      </c>
      <c r="AD41" s="289">
        <v>5727.1350039999998</v>
      </c>
      <c r="AE41" s="289">
        <v>0</v>
      </c>
      <c r="AF41" s="289">
        <v>0</v>
      </c>
      <c r="AG41" s="289">
        <v>133397</v>
      </c>
      <c r="AH41" s="289">
        <v>22786.85848449</v>
      </c>
      <c r="AI41" s="289">
        <v>3300</v>
      </c>
      <c r="AJ41" s="289">
        <v>0</v>
      </c>
      <c r="AK41" s="289">
        <v>0</v>
      </c>
      <c r="AL41" s="289">
        <v>0</v>
      </c>
      <c r="AM41" s="836">
        <v>8.1890994300000006</v>
      </c>
      <c r="AN41" s="289">
        <v>0</v>
      </c>
      <c r="AO41" s="289">
        <v>4909.2857769900002</v>
      </c>
      <c r="AP41" s="289">
        <v>49395</v>
      </c>
      <c r="AQ41" s="289">
        <v>0</v>
      </c>
      <c r="AR41" s="289">
        <v>-7100.4155526900004</v>
      </c>
      <c r="AS41" s="289"/>
      <c r="AT41" s="289">
        <v>7190</v>
      </c>
      <c r="AU41" s="289">
        <v>2794</v>
      </c>
      <c r="AV41" s="625">
        <v>2887305</v>
      </c>
      <c r="AW41" s="289"/>
      <c r="AX41" s="625">
        <v>1029.8149999499999</v>
      </c>
      <c r="AY41" s="289">
        <v>42486</v>
      </c>
      <c r="AZ41" s="289">
        <v>7226</v>
      </c>
      <c r="BA41" s="290">
        <v>2830</v>
      </c>
      <c r="BB41" s="289">
        <v>0</v>
      </c>
      <c r="BC41" s="289">
        <v>29290.384040929999</v>
      </c>
      <c r="BD41" s="289">
        <v>2635.0287103338314</v>
      </c>
      <c r="BE41" s="289">
        <v>3043774.7739815</v>
      </c>
      <c r="BF41" s="289">
        <v>0</v>
      </c>
      <c r="BG41" s="289">
        <v>-4987.9427999999998</v>
      </c>
      <c r="BH41" s="289">
        <v>-376.64980000000003</v>
      </c>
      <c r="BI41" s="289">
        <v>30585.413488490001</v>
      </c>
      <c r="BJ41" s="289">
        <v>0</v>
      </c>
      <c r="BK41" s="289">
        <v>0</v>
      </c>
      <c r="BL41" s="289">
        <v>0</v>
      </c>
      <c r="BM41" s="289">
        <v>0</v>
      </c>
      <c r="BN41" s="289">
        <v>7237.4717210348417</v>
      </c>
      <c r="BO41" s="289">
        <v>4560.7056170063352</v>
      </c>
      <c r="BP41" s="289">
        <v>12077.903129745875</v>
      </c>
      <c r="BQ41" s="289">
        <v>168.37807553031234</v>
      </c>
      <c r="BR41" s="289">
        <v>178.5963903670708</v>
      </c>
      <c r="BS41" s="289">
        <v>27.657532162373741</v>
      </c>
      <c r="BT41" s="289">
        <v>0</v>
      </c>
      <c r="BU41" s="289">
        <v>0</v>
      </c>
      <c r="BV41" s="289">
        <v>11.804626250584306</v>
      </c>
      <c r="BW41" s="517"/>
      <c r="BX41" s="517"/>
      <c r="CA41" s="517"/>
      <c r="CB41" s="517"/>
    </row>
    <row r="42" spans="1:80" ht="13">
      <c r="A42" s="1">
        <v>1106</v>
      </c>
      <c r="B42" s="2" t="s">
        <v>961</v>
      </c>
      <c r="C42" s="289">
        <v>37250</v>
      </c>
      <c r="D42" s="289">
        <v>786</v>
      </c>
      <c r="E42" s="289">
        <v>1662</v>
      </c>
      <c r="F42" s="289">
        <v>4437</v>
      </c>
      <c r="G42" s="289">
        <v>3343</v>
      </c>
      <c r="H42" s="289">
        <v>21739</v>
      </c>
      <c r="I42" s="289">
        <v>3770</v>
      </c>
      <c r="J42" s="289">
        <v>1162</v>
      </c>
      <c r="K42" s="289">
        <v>314</v>
      </c>
      <c r="L42" s="289">
        <v>316</v>
      </c>
      <c r="M42" s="289">
        <v>2451</v>
      </c>
      <c r="N42" s="290">
        <v>1113</v>
      </c>
      <c r="O42" s="290">
        <v>404</v>
      </c>
      <c r="P42" s="624">
        <v>64792.78</v>
      </c>
      <c r="Q42" s="624">
        <v>34209.485000000001</v>
      </c>
      <c r="R42" s="624">
        <v>156</v>
      </c>
      <c r="S42" s="289"/>
      <c r="T42" s="289">
        <v>3838</v>
      </c>
      <c r="U42" s="716">
        <v>7.2568202645025611E-4</v>
      </c>
      <c r="V42" s="289">
        <v>-388.85521489000001</v>
      </c>
      <c r="W42" s="743">
        <v>0.53340597000000001</v>
      </c>
      <c r="X42" s="289">
        <v>5500</v>
      </c>
      <c r="Y42" s="289">
        <v>414.28399999999999</v>
      </c>
      <c r="Z42" s="289">
        <v>1152023</v>
      </c>
      <c r="AA42" s="289">
        <v>0</v>
      </c>
      <c r="AB42" s="290">
        <v>865</v>
      </c>
      <c r="AC42" s="289">
        <v>0</v>
      </c>
      <c r="AD42" s="289">
        <v>0</v>
      </c>
      <c r="AE42" s="289">
        <v>0</v>
      </c>
      <c r="AF42" s="289">
        <v>0</v>
      </c>
      <c r="AG42" s="289">
        <v>37213</v>
      </c>
      <c r="AH42" s="289">
        <v>6127.44139903</v>
      </c>
      <c r="AI42" s="289">
        <v>0</v>
      </c>
      <c r="AJ42" s="289">
        <v>0</v>
      </c>
      <c r="AK42" s="289">
        <v>0</v>
      </c>
      <c r="AL42" s="289">
        <v>0</v>
      </c>
      <c r="AM42" s="836">
        <v>2.0669603599999999</v>
      </c>
      <c r="AN42" s="289">
        <v>0</v>
      </c>
      <c r="AO42" s="289">
        <v>1422.26035355</v>
      </c>
      <c r="AP42" s="289">
        <v>0</v>
      </c>
      <c r="AQ42" s="289">
        <v>0</v>
      </c>
      <c r="AR42" s="289">
        <v>-1980.76241566</v>
      </c>
      <c r="AS42" s="289"/>
      <c r="AT42" s="289">
        <v>2331</v>
      </c>
      <c r="AU42" s="289">
        <v>624</v>
      </c>
      <c r="AV42" s="625">
        <v>866031</v>
      </c>
      <c r="AW42" s="289"/>
      <c r="AX42" s="625">
        <v>300.94999995000001</v>
      </c>
      <c r="AY42" s="289">
        <v>9252</v>
      </c>
      <c r="AZ42" s="289">
        <v>1963</v>
      </c>
      <c r="BA42" s="290">
        <v>984</v>
      </c>
      <c r="BB42" s="289">
        <v>0</v>
      </c>
      <c r="BC42" s="289">
        <v>6386.0121011499996</v>
      </c>
      <c r="BD42" s="289">
        <v>756.01476657178898</v>
      </c>
      <c r="BE42" s="289">
        <v>906536.92943432997</v>
      </c>
      <c r="BF42" s="289">
        <v>0</v>
      </c>
      <c r="BG42" s="289">
        <v>-1349.6804999999999</v>
      </c>
      <c r="BH42" s="289">
        <v>-105.0718</v>
      </c>
      <c r="BI42" s="289">
        <v>6541.7253990299996</v>
      </c>
      <c r="BJ42" s="289">
        <v>0</v>
      </c>
      <c r="BK42" s="289">
        <v>0</v>
      </c>
      <c r="BL42" s="289">
        <v>0</v>
      </c>
      <c r="BM42" s="289">
        <v>0</v>
      </c>
      <c r="BN42" s="289">
        <v>2408.4315144962984</v>
      </c>
      <c r="BO42" s="289">
        <v>1315.3057946695715</v>
      </c>
      <c r="BP42" s="289">
        <v>3369.3037262249768</v>
      </c>
      <c r="BQ42" s="289">
        <v>94.193527033243299</v>
      </c>
      <c r="BR42" s="289">
        <v>51.241000845421247</v>
      </c>
      <c r="BS42" s="289">
        <v>7.8282198899307271</v>
      </c>
      <c r="BT42" s="289">
        <v>0</v>
      </c>
      <c r="BU42" s="289">
        <v>0</v>
      </c>
      <c r="BV42" s="289">
        <v>6.60370644069733</v>
      </c>
      <c r="BW42" s="517"/>
      <c r="BX42" s="517"/>
      <c r="CA42" s="517"/>
      <c r="CB42" s="517"/>
    </row>
    <row r="43" spans="1:80" ht="13">
      <c r="A43" s="1">
        <v>1111</v>
      </c>
      <c r="B43" s="2" t="s">
        <v>962</v>
      </c>
      <c r="C43" s="289">
        <v>3305</v>
      </c>
      <c r="D43" s="289">
        <v>78</v>
      </c>
      <c r="E43" s="289">
        <v>161</v>
      </c>
      <c r="F43" s="289">
        <v>469</v>
      </c>
      <c r="G43" s="289">
        <v>272</v>
      </c>
      <c r="H43" s="289">
        <v>1781</v>
      </c>
      <c r="I43" s="289">
        <v>381</v>
      </c>
      <c r="J43" s="289">
        <v>149</v>
      </c>
      <c r="K43" s="289">
        <v>37</v>
      </c>
      <c r="L43" s="289">
        <v>30</v>
      </c>
      <c r="M43" s="289">
        <v>255</v>
      </c>
      <c r="N43" s="290">
        <v>7</v>
      </c>
      <c r="O43" s="290">
        <v>31</v>
      </c>
      <c r="P43" s="624">
        <v>10356.60166667</v>
      </c>
      <c r="Q43" s="624">
        <v>7040.7753333299997</v>
      </c>
      <c r="R43" s="624">
        <v>24</v>
      </c>
      <c r="S43" s="289"/>
      <c r="T43" s="289">
        <v>243</v>
      </c>
      <c r="U43" s="716">
        <v>1.8716764073711996E-3</v>
      </c>
      <c r="V43" s="289">
        <v>1582.1328906799999</v>
      </c>
      <c r="W43" s="743">
        <v>0.76362892999999998</v>
      </c>
      <c r="X43" s="289">
        <v>1000</v>
      </c>
      <c r="Y43" s="289">
        <v>414.28399999999999</v>
      </c>
      <c r="Z43" s="289">
        <v>85248</v>
      </c>
      <c r="AA43" s="289">
        <v>0</v>
      </c>
      <c r="AB43" s="290">
        <v>82</v>
      </c>
      <c r="AC43" s="289">
        <v>0</v>
      </c>
      <c r="AD43" s="289">
        <v>0</v>
      </c>
      <c r="AE43" s="289">
        <v>0</v>
      </c>
      <c r="AF43" s="289">
        <v>0</v>
      </c>
      <c r="AG43" s="289">
        <v>3328</v>
      </c>
      <c r="AH43" s="289">
        <v>601.03032384999995</v>
      </c>
      <c r="AI43" s="289">
        <v>1300</v>
      </c>
      <c r="AJ43" s="289">
        <v>747.39400000000001</v>
      </c>
      <c r="AK43" s="289">
        <v>89.072000000000003</v>
      </c>
      <c r="AL43" s="289">
        <v>0</v>
      </c>
      <c r="AM43" s="836">
        <v>5.2886009999999997E-2</v>
      </c>
      <c r="AN43" s="289">
        <v>1982</v>
      </c>
      <c r="AO43" s="289">
        <v>150.94808006</v>
      </c>
      <c r="AP43" s="289">
        <v>0</v>
      </c>
      <c r="AQ43" s="289">
        <v>0</v>
      </c>
      <c r="AR43" s="289">
        <v>-177.14178699000001</v>
      </c>
      <c r="AS43" s="289"/>
      <c r="AT43" s="289">
        <v>163</v>
      </c>
      <c r="AU43" s="289">
        <v>48</v>
      </c>
      <c r="AV43" s="625">
        <v>108528</v>
      </c>
      <c r="AW43" s="289"/>
      <c r="AX43" s="625">
        <v>21.053333299999998</v>
      </c>
      <c r="AY43" s="289">
        <v>438</v>
      </c>
      <c r="AZ43" s="289">
        <v>75</v>
      </c>
      <c r="BA43" s="290">
        <v>91</v>
      </c>
      <c r="BB43" s="289">
        <v>0</v>
      </c>
      <c r="BC43" s="289">
        <v>985.21662628000001</v>
      </c>
      <c r="BD43" s="289">
        <v>41.818679134230422</v>
      </c>
      <c r="BE43" s="289">
        <v>117695.03921149</v>
      </c>
      <c r="BF43" s="289">
        <v>0</v>
      </c>
      <c r="BG43" s="289">
        <v>-150.0258</v>
      </c>
      <c r="BH43" s="289">
        <v>-9.3966999999999992</v>
      </c>
      <c r="BI43" s="289">
        <v>1015.3143238500001</v>
      </c>
      <c r="BJ43" s="289">
        <v>0</v>
      </c>
      <c r="BK43" s="289">
        <v>0</v>
      </c>
      <c r="BL43" s="289">
        <v>0</v>
      </c>
      <c r="BM43" s="289">
        <v>0</v>
      </c>
      <c r="BN43" s="289">
        <v>286.92544542483603</v>
      </c>
      <c r="BO43" s="289">
        <v>152.62876347504647</v>
      </c>
      <c r="BP43" s="289">
        <v>301.32058154077129</v>
      </c>
      <c r="BQ43" s="289">
        <v>242.94359767678168</v>
      </c>
      <c r="BR43" s="289">
        <v>2.8343771413200622</v>
      </c>
      <c r="BS43" s="289">
        <v>0.93865160407192749</v>
      </c>
      <c r="BT43" s="289">
        <v>0</v>
      </c>
      <c r="BU43" s="289">
        <v>0</v>
      </c>
      <c r="BV43" s="289">
        <v>17.032255307077911</v>
      </c>
      <c r="BW43" s="517"/>
      <c r="BX43" s="517"/>
      <c r="CA43" s="517"/>
      <c r="CB43" s="517"/>
    </row>
    <row r="44" spans="1:80" ht="13">
      <c r="A44" s="1">
        <v>1112</v>
      </c>
      <c r="B44" s="2" t="s">
        <v>963</v>
      </c>
      <c r="C44" s="289">
        <v>3213</v>
      </c>
      <c r="D44" s="289">
        <v>82</v>
      </c>
      <c r="E44" s="289">
        <v>159</v>
      </c>
      <c r="F44" s="289">
        <v>434</v>
      </c>
      <c r="G44" s="289">
        <v>320</v>
      </c>
      <c r="H44" s="289">
        <v>1711</v>
      </c>
      <c r="I44" s="289">
        <v>351</v>
      </c>
      <c r="J44" s="289">
        <v>128</v>
      </c>
      <c r="K44" s="289">
        <v>41</v>
      </c>
      <c r="L44" s="289">
        <v>24</v>
      </c>
      <c r="M44" s="289">
        <v>190</v>
      </c>
      <c r="N44" s="290">
        <v>84</v>
      </c>
      <c r="O44" s="290">
        <v>35</v>
      </c>
      <c r="P44" s="624">
        <v>18007.45733333</v>
      </c>
      <c r="Q44" s="624">
        <v>8020.4189999999999</v>
      </c>
      <c r="R44" s="624">
        <v>10</v>
      </c>
      <c r="S44" s="289"/>
      <c r="T44" s="289">
        <v>229</v>
      </c>
      <c r="U44" s="716">
        <v>2.2221090529013624E-3</v>
      </c>
      <c r="V44" s="289">
        <v>1448.1714029499999</v>
      </c>
      <c r="W44" s="743">
        <v>0.78851316999999999</v>
      </c>
      <c r="X44" s="289">
        <v>1200</v>
      </c>
      <c r="Y44" s="289">
        <v>265.22399999999999</v>
      </c>
      <c r="Z44" s="289">
        <v>82728</v>
      </c>
      <c r="AA44" s="289">
        <v>0</v>
      </c>
      <c r="AB44" s="290">
        <v>77</v>
      </c>
      <c r="AC44" s="289">
        <v>0</v>
      </c>
      <c r="AD44" s="289">
        <v>0</v>
      </c>
      <c r="AE44" s="289">
        <v>0</v>
      </c>
      <c r="AF44" s="289">
        <v>0</v>
      </c>
      <c r="AG44" s="289">
        <v>3226</v>
      </c>
      <c r="AH44" s="289">
        <v>601.03032384999995</v>
      </c>
      <c r="AI44" s="289">
        <v>0</v>
      </c>
      <c r="AJ44" s="289">
        <v>0</v>
      </c>
      <c r="AK44" s="289">
        <v>0</v>
      </c>
      <c r="AL44" s="289">
        <v>0</v>
      </c>
      <c r="AM44" s="836">
        <v>4.4252010000000001E-2</v>
      </c>
      <c r="AN44" s="289">
        <v>2910</v>
      </c>
      <c r="AO44" s="289">
        <v>138.16708707000001</v>
      </c>
      <c r="AP44" s="289">
        <v>0</v>
      </c>
      <c r="AQ44" s="289">
        <v>0</v>
      </c>
      <c r="AR44" s="289">
        <v>-171.71256155</v>
      </c>
      <c r="AS44" s="289"/>
      <c r="AT44" s="289">
        <v>168</v>
      </c>
      <c r="AU44" s="289">
        <v>24</v>
      </c>
      <c r="AV44" s="625">
        <v>100828</v>
      </c>
      <c r="AW44" s="289"/>
      <c r="AX44" s="625">
        <v>28.341666650000001</v>
      </c>
      <c r="AY44" s="289">
        <v>470</v>
      </c>
      <c r="AZ44" s="289">
        <v>115</v>
      </c>
      <c r="BA44" s="290">
        <v>57</v>
      </c>
      <c r="BB44" s="289">
        <v>0</v>
      </c>
      <c r="BC44" s="289">
        <v>858.47281820000001</v>
      </c>
      <c r="BD44" s="289">
        <v>46.305383513619915</v>
      </c>
      <c r="BE44" s="289">
        <v>104089.07655554</v>
      </c>
      <c r="BF44" s="289">
        <v>0</v>
      </c>
      <c r="BG44" s="289">
        <v>-142.42689999999999</v>
      </c>
      <c r="BH44" s="289">
        <v>-9.1087000000000007</v>
      </c>
      <c r="BI44" s="289">
        <v>866.25432384999999</v>
      </c>
      <c r="BJ44" s="289">
        <v>0</v>
      </c>
      <c r="BK44" s="289">
        <v>0</v>
      </c>
      <c r="BL44" s="289">
        <v>0</v>
      </c>
      <c r="BM44" s="289">
        <v>0</v>
      </c>
      <c r="BN44" s="289">
        <v>232.07206038742885</v>
      </c>
      <c r="BO44" s="289">
        <v>151.88949590941363</v>
      </c>
      <c r="BP44" s="289">
        <v>292.0853954478751</v>
      </c>
      <c r="BQ44" s="289">
        <v>288.42975506659684</v>
      </c>
      <c r="BR44" s="289">
        <v>3.1384759937009057</v>
      </c>
      <c r="BS44" s="289">
        <v>0.92696183033561796</v>
      </c>
      <c r="BT44" s="289">
        <v>0</v>
      </c>
      <c r="BU44" s="289">
        <v>0</v>
      </c>
      <c r="BV44" s="289">
        <v>20.221192381402396</v>
      </c>
      <c r="BW44" s="517"/>
      <c r="BX44" s="517"/>
      <c r="CA44" s="517"/>
      <c r="CB44" s="517"/>
    </row>
    <row r="45" spans="1:80" ht="13">
      <c r="A45" s="1">
        <v>1114</v>
      </c>
      <c r="B45" s="2" t="s">
        <v>0</v>
      </c>
      <c r="C45" s="289">
        <v>2807</v>
      </c>
      <c r="D45" s="289">
        <v>63</v>
      </c>
      <c r="E45" s="289">
        <v>161</v>
      </c>
      <c r="F45" s="289">
        <v>449</v>
      </c>
      <c r="G45" s="289">
        <v>252</v>
      </c>
      <c r="H45" s="289">
        <v>1540</v>
      </c>
      <c r="I45" s="289">
        <v>256</v>
      </c>
      <c r="J45" s="289">
        <v>70</v>
      </c>
      <c r="K45" s="289">
        <v>19</v>
      </c>
      <c r="L45" s="289">
        <v>23</v>
      </c>
      <c r="M45" s="289">
        <v>119</v>
      </c>
      <c r="N45" s="290">
        <v>14</v>
      </c>
      <c r="O45" s="290">
        <v>27</v>
      </c>
      <c r="P45" s="624">
        <v>18651.618999999999</v>
      </c>
      <c r="Q45" s="624">
        <v>11820.12933333</v>
      </c>
      <c r="R45" s="624">
        <v>6</v>
      </c>
      <c r="S45" s="289"/>
      <c r="T45" s="289">
        <v>143</v>
      </c>
      <c r="U45" s="716">
        <v>3.6390814972315543E-3</v>
      </c>
      <c r="V45" s="289">
        <v>1161.8330351699999</v>
      </c>
      <c r="W45" s="743">
        <v>0.80507024000000005</v>
      </c>
      <c r="X45" s="289">
        <v>600</v>
      </c>
      <c r="Y45" s="289">
        <v>0</v>
      </c>
      <c r="Z45" s="289">
        <v>73711</v>
      </c>
      <c r="AA45" s="289">
        <v>0</v>
      </c>
      <c r="AB45" s="290">
        <v>58</v>
      </c>
      <c r="AC45" s="289">
        <v>0</v>
      </c>
      <c r="AD45" s="289">
        <v>0</v>
      </c>
      <c r="AE45" s="289">
        <v>0</v>
      </c>
      <c r="AF45" s="289">
        <v>0</v>
      </c>
      <c r="AG45" s="289">
        <v>2810</v>
      </c>
      <c r="AH45" s="289">
        <v>582.90179899999998</v>
      </c>
      <c r="AI45" s="289">
        <v>0</v>
      </c>
      <c r="AJ45" s="289">
        <v>0</v>
      </c>
      <c r="AK45" s="289">
        <v>46.764000000000003</v>
      </c>
      <c r="AL45" s="289">
        <v>0</v>
      </c>
      <c r="AM45" s="836">
        <v>2.2272710000000001E-2</v>
      </c>
      <c r="AN45" s="289">
        <v>0</v>
      </c>
      <c r="AO45" s="289">
        <v>119.96912749000001</v>
      </c>
      <c r="AP45" s="289">
        <v>0</v>
      </c>
      <c r="AQ45" s="289">
        <v>0</v>
      </c>
      <c r="AR45" s="289">
        <v>3281.3475195699998</v>
      </c>
      <c r="AS45" s="289"/>
      <c r="AT45" s="289">
        <v>108</v>
      </c>
      <c r="AU45" s="289">
        <v>27</v>
      </c>
      <c r="AV45" s="625">
        <v>91038</v>
      </c>
      <c r="AW45" s="289"/>
      <c r="AX45" s="625">
        <v>15.82</v>
      </c>
      <c r="AY45" s="289">
        <v>427</v>
      </c>
      <c r="AZ45" s="289">
        <v>61</v>
      </c>
      <c r="BA45" s="290">
        <v>44</v>
      </c>
      <c r="BB45" s="289">
        <v>2850</v>
      </c>
      <c r="BC45" s="289">
        <v>569.75673739000001</v>
      </c>
      <c r="BD45" s="289">
        <v>29.339032406402062</v>
      </c>
      <c r="BE45" s="289">
        <v>89750.675063029994</v>
      </c>
      <c r="BF45" s="289">
        <v>0</v>
      </c>
      <c r="BG45" s="289">
        <v>-147.6627</v>
      </c>
      <c r="BH45" s="289">
        <v>-7.9340999999999999</v>
      </c>
      <c r="BI45" s="289">
        <v>582.90179899999998</v>
      </c>
      <c r="BJ45" s="289">
        <v>0</v>
      </c>
      <c r="BK45" s="289">
        <v>0</v>
      </c>
      <c r="BL45" s="289">
        <v>0</v>
      </c>
      <c r="BM45" s="289">
        <v>0</v>
      </c>
      <c r="BN45" s="289">
        <v>163.89362517518074</v>
      </c>
      <c r="BO45" s="289">
        <v>134.98523240359427</v>
      </c>
      <c r="BP45" s="289">
        <v>254.42032275527868</v>
      </c>
      <c r="BQ45" s="289">
        <v>472.35277834065556</v>
      </c>
      <c r="BR45" s="289">
        <v>1.9885344186561404</v>
      </c>
      <c r="BS45" s="289">
        <v>0.84795580682196647</v>
      </c>
      <c r="BT45" s="289">
        <v>0</v>
      </c>
      <c r="BU45" s="289">
        <v>0</v>
      </c>
      <c r="BV45" s="289">
        <v>33.115641624807132</v>
      </c>
      <c r="BW45" s="517"/>
      <c r="BX45" s="517"/>
      <c r="CA45" s="517"/>
      <c r="CB45" s="517"/>
    </row>
    <row r="46" spans="1:80" ht="13">
      <c r="A46" s="1">
        <v>1119</v>
      </c>
      <c r="B46" s="2" t="s">
        <v>1</v>
      </c>
      <c r="C46" s="289">
        <v>18814</v>
      </c>
      <c r="D46" s="289">
        <v>518</v>
      </c>
      <c r="E46" s="289">
        <v>1150</v>
      </c>
      <c r="F46" s="289">
        <v>2817</v>
      </c>
      <c r="G46" s="289">
        <v>1783</v>
      </c>
      <c r="H46" s="289">
        <v>10343</v>
      </c>
      <c r="I46" s="289">
        <v>1616</v>
      </c>
      <c r="J46" s="289">
        <v>481</v>
      </c>
      <c r="K46" s="289">
        <v>124</v>
      </c>
      <c r="L46" s="289">
        <v>131</v>
      </c>
      <c r="M46" s="289">
        <v>783</v>
      </c>
      <c r="N46" s="290">
        <v>261</v>
      </c>
      <c r="O46" s="290">
        <v>205</v>
      </c>
      <c r="P46" s="624">
        <v>44416.808666669996</v>
      </c>
      <c r="Q46" s="624">
        <v>32914.786999999997</v>
      </c>
      <c r="R46" s="624">
        <v>62</v>
      </c>
      <c r="S46" s="289"/>
      <c r="T46" s="289">
        <v>1230</v>
      </c>
      <c r="U46" s="716">
        <v>8.6073602885450868E-3</v>
      </c>
      <c r="V46" s="289">
        <v>-14182.450268840001</v>
      </c>
      <c r="W46" s="743">
        <v>0.56869917000000003</v>
      </c>
      <c r="X46" s="289">
        <v>0</v>
      </c>
      <c r="Y46" s="289">
        <v>414.28399999999999</v>
      </c>
      <c r="Z46" s="289">
        <v>500305</v>
      </c>
      <c r="AA46" s="289">
        <v>0</v>
      </c>
      <c r="AB46" s="290">
        <v>371</v>
      </c>
      <c r="AC46" s="289">
        <v>0</v>
      </c>
      <c r="AD46" s="289">
        <v>0</v>
      </c>
      <c r="AE46" s="289">
        <v>0</v>
      </c>
      <c r="AF46" s="289">
        <v>0</v>
      </c>
      <c r="AG46" s="289">
        <v>18832</v>
      </c>
      <c r="AH46" s="289">
        <v>3850.91702854</v>
      </c>
      <c r="AI46" s="289">
        <v>0</v>
      </c>
      <c r="AJ46" s="289">
        <v>0</v>
      </c>
      <c r="AK46" s="289">
        <v>0</v>
      </c>
      <c r="AL46" s="289">
        <v>0</v>
      </c>
      <c r="AM46" s="836">
        <v>0.44486467000000002</v>
      </c>
      <c r="AN46" s="289">
        <v>0</v>
      </c>
      <c r="AO46" s="289">
        <v>735.59061701999997</v>
      </c>
      <c r="AP46" s="289">
        <v>0</v>
      </c>
      <c r="AQ46" s="289">
        <v>0</v>
      </c>
      <c r="AR46" s="289">
        <v>-1002.38405428</v>
      </c>
      <c r="AS46" s="289"/>
      <c r="AT46" s="289">
        <v>959</v>
      </c>
      <c r="AU46" s="289">
        <v>237</v>
      </c>
      <c r="AV46" s="625">
        <v>434527</v>
      </c>
      <c r="AW46" s="289"/>
      <c r="AX46" s="625">
        <v>126.49666670000001</v>
      </c>
      <c r="AY46" s="289">
        <v>2779</v>
      </c>
      <c r="AZ46" s="289">
        <v>689</v>
      </c>
      <c r="BA46" s="290">
        <v>427</v>
      </c>
      <c r="BB46" s="289">
        <v>0</v>
      </c>
      <c r="BC46" s="289">
        <v>4168.1518788800004</v>
      </c>
      <c r="BD46" s="289">
        <v>251.416707601702</v>
      </c>
      <c r="BE46" s="289">
        <v>464345.85959137999</v>
      </c>
      <c r="BF46" s="289">
        <v>0</v>
      </c>
      <c r="BG46" s="289">
        <v>-858.54880000000003</v>
      </c>
      <c r="BH46" s="289">
        <v>-53.172600000000003</v>
      </c>
      <c r="BI46" s="289">
        <v>4265.2010285400002</v>
      </c>
      <c r="BJ46" s="289">
        <v>0</v>
      </c>
      <c r="BK46" s="289">
        <v>0</v>
      </c>
      <c r="BL46" s="289">
        <v>0</v>
      </c>
      <c r="BM46" s="289">
        <v>0</v>
      </c>
      <c r="BN46" s="289">
        <v>1013.2350243424919</v>
      </c>
      <c r="BO46" s="289">
        <v>686.12948839989122</v>
      </c>
      <c r="BP46" s="289">
        <v>1705.0688676609991</v>
      </c>
      <c r="BQ46" s="289">
        <v>1117.2353654531521</v>
      </c>
      <c r="BR46" s="289">
        <v>17.040465737448692</v>
      </c>
      <c r="BS46" s="289">
        <v>4.0748412304813186</v>
      </c>
      <c r="BT46" s="289">
        <v>0</v>
      </c>
      <c r="BU46" s="289">
        <v>0</v>
      </c>
      <c r="BV46" s="289">
        <v>78.326978625760262</v>
      </c>
      <c r="BW46" s="517"/>
      <c r="BX46" s="517"/>
      <c r="CA46" s="517"/>
      <c r="CB46" s="517"/>
    </row>
    <row r="47" spans="1:80" ht="13">
      <c r="A47" s="1">
        <v>1120</v>
      </c>
      <c r="B47" s="2" t="s">
        <v>2</v>
      </c>
      <c r="C47" s="289">
        <v>19354</v>
      </c>
      <c r="D47" s="289">
        <v>477</v>
      </c>
      <c r="E47" s="289">
        <v>1105</v>
      </c>
      <c r="F47" s="289">
        <v>2814</v>
      </c>
      <c r="G47" s="289">
        <v>1871</v>
      </c>
      <c r="H47" s="289">
        <v>10840</v>
      </c>
      <c r="I47" s="289">
        <v>1687</v>
      </c>
      <c r="J47" s="289">
        <v>441</v>
      </c>
      <c r="K47" s="289">
        <v>92</v>
      </c>
      <c r="L47" s="289">
        <v>137</v>
      </c>
      <c r="M47" s="289">
        <v>738</v>
      </c>
      <c r="N47" s="290">
        <v>360</v>
      </c>
      <c r="O47" s="290">
        <v>198</v>
      </c>
      <c r="P47" s="624">
        <v>35637.962333329997</v>
      </c>
      <c r="Q47" s="624">
        <v>24778.963333330001</v>
      </c>
      <c r="R47" s="624">
        <v>70</v>
      </c>
      <c r="S47" s="289"/>
      <c r="T47" s="289">
        <v>1162</v>
      </c>
      <c r="U47" s="716">
        <v>5.7936578940011359E-3</v>
      </c>
      <c r="V47" s="289">
        <v>1278.6939010999999</v>
      </c>
      <c r="W47" s="743">
        <v>0.54914587999999998</v>
      </c>
      <c r="X47" s="289">
        <v>1300</v>
      </c>
      <c r="Y47" s="289">
        <v>414.28399999999999</v>
      </c>
      <c r="Z47" s="289">
        <v>568602</v>
      </c>
      <c r="AA47" s="289">
        <v>0</v>
      </c>
      <c r="AB47" s="290">
        <v>389</v>
      </c>
      <c r="AC47" s="289">
        <v>0</v>
      </c>
      <c r="AD47" s="289">
        <v>0</v>
      </c>
      <c r="AE47" s="289">
        <v>0</v>
      </c>
      <c r="AF47" s="289">
        <v>0</v>
      </c>
      <c r="AG47" s="289">
        <v>19327</v>
      </c>
      <c r="AH47" s="289">
        <v>3818.8434845800002</v>
      </c>
      <c r="AI47" s="289">
        <v>4000</v>
      </c>
      <c r="AJ47" s="289">
        <v>0</v>
      </c>
      <c r="AK47" s="289">
        <v>0</v>
      </c>
      <c r="AL47" s="289">
        <v>0</v>
      </c>
      <c r="AM47" s="836">
        <v>0.76362063000000002</v>
      </c>
      <c r="AN47" s="289">
        <v>0</v>
      </c>
      <c r="AO47" s="289">
        <v>733.10468329000003</v>
      </c>
      <c r="AP47" s="289">
        <v>0</v>
      </c>
      <c r="AQ47" s="289">
        <v>0</v>
      </c>
      <c r="AR47" s="289">
        <v>-1028.7317659800001</v>
      </c>
      <c r="AS47" s="289"/>
      <c r="AT47" s="289">
        <v>1027</v>
      </c>
      <c r="AU47" s="289">
        <v>358</v>
      </c>
      <c r="AV47" s="625">
        <v>430853</v>
      </c>
      <c r="AW47" s="289"/>
      <c r="AX47" s="625">
        <v>140.59666665</v>
      </c>
      <c r="AY47" s="289">
        <v>3200</v>
      </c>
      <c r="AZ47" s="289">
        <v>767</v>
      </c>
      <c r="BA47" s="290">
        <v>417</v>
      </c>
      <c r="BB47" s="289">
        <v>0</v>
      </c>
      <c r="BC47" s="289">
        <v>4144.3648182699999</v>
      </c>
      <c r="BD47" s="289">
        <v>285.91681318462827</v>
      </c>
      <c r="BE47" s="289">
        <v>464066.53295306</v>
      </c>
      <c r="BF47" s="289">
        <v>0</v>
      </c>
      <c r="BG47" s="289">
        <v>-851.88760000000002</v>
      </c>
      <c r="BH47" s="289">
        <v>-54.570300000000003</v>
      </c>
      <c r="BI47" s="289">
        <v>4233.1274845799999</v>
      </c>
      <c r="BJ47" s="289">
        <v>0</v>
      </c>
      <c r="BK47" s="289">
        <v>0</v>
      </c>
      <c r="BL47" s="289">
        <v>0</v>
      </c>
      <c r="BM47" s="289">
        <v>0</v>
      </c>
      <c r="BN47" s="289">
        <v>996.41731565376676</v>
      </c>
      <c r="BO47" s="289">
        <v>687.05532193479769</v>
      </c>
      <c r="BP47" s="289">
        <v>1749.8866825235837</v>
      </c>
      <c r="BQ47" s="289">
        <v>752.01679464134736</v>
      </c>
      <c r="BR47" s="289">
        <v>19.37880622695814</v>
      </c>
      <c r="BS47" s="289">
        <v>4.1679157910603308</v>
      </c>
      <c r="BT47" s="289">
        <v>0</v>
      </c>
      <c r="BU47" s="289">
        <v>0</v>
      </c>
      <c r="BV47" s="289">
        <v>52.722286835410316</v>
      </c>
      <c r="BW47" s="517"/>
      <c r="BX47" s="517"/>
      <c r="CA47" s="517"/>
      <c r="CB47" s="517"/>
    </row>
    <row r="48" spans="1:80" ht="13">
      <c r="A48" s="1">
        <v>1121</v>
      </c>
      <c r="B48" s="2" t="s">
        <v>3</v>
      </c>
      <c r="C48" s="289">
        <v>18795</v>
      </c>
      <c r="D48" s="289">
        <v>494</v>
      </c>
      <c r="E48" s="289">
        <v>1090</v>
      </c>
      <c r="F48" s="289">
        <v>2684</v>
      </c>
      <c r="G48" s="289">
        <v>1701</v>
      </c>
      <c r="H48" s="289">
        <v>10630</v>
      </c>
      <c r="I48" s="289">
        <v>1592</v>
      </c>
      <c r="J48" s="289">
        <v>517</v>
      </c>
      <c r="K48" s="289">
        <v>112</v>
      </c>
      <c r="L48" s="289">
        <v>127</v>
      </c>
      <c r="M48" s="289">
        <v>781</v>
      </c>
      <c r="N48" s="290">
        <v>429</v>
      </c>
      <c r="O48" s="290">
        <v>168</v>
      </c>
      <c r="P48" s="624">
        <v>36862.332666670001</v>
      </c>
      <c r="Q48" s="624">
        <v>22283.003333330002</v>
      </c>
      <c r="R48" s="624">
        <v>57</v>
      </c>
      <c r="S48" s="289"/>
      <c r="T48" s="289">
        <v>1334</v>
      </c>
      <c r="U48" s="716">
        <v>4.9159915018165985E-3</v>
      </c>
      <c r="V48" s="289">
        <v>562.38506170000005</v>
      </c>
      <c r="W48" s="743">
        <v>0.54996303000000002</v>
      </c>
      <c r="X48" s="289">
        <v>0</v>
      </c>
      <c r="Y48" s="289">
        <v>414.28399999999999</v>
      </c>
      <c r="Z48" s="289">
        <v>561432</v>
      </c>
      <c r="AA48" s="289">
        <v>0</v>
      </c>
      <c r="AB48" s="290">
        <v>370</v>
      </c>
      <c r="AC48" s="289">
        <v>1083</v>
      </c>
      <c r="AD48" s="289">
        <v>0</v>
      </c>
      <c r="AE48" s="289">
        <v>0</v>
      </c>
      <c r="AF48" s="289">
        <v>0</v>
      </c>
      <c r="AG48" s="289">
        <v>18820</v>
      </c>
      <c r="AH48" s="289">
        <v>3677.9987915199999</v>
      </c>
      <c r="AI48" s="289">
        <v>400</v>
      </c>
      <c r="AJ48" s="289">
        <v>0</v>
      </c>
      <c r="AK48" s="289">
        <v>0</v>
      </c>
      <c r="AL48" s="289">
        <v>0</v>
      </c>
      <c r="AM48" s="836">
        <v>0.59887970999999995</v>
      </c>
      <c r="AN48" s="289">
        <v>0</v>
      </c>
      <c r="AO48" s="289">
        <v>719.48912327999994</v>
      </c>
      <c r="AP48" s="289">
        <v>0</v>
      </c>
      <c r="AQ48" s="289">
        <v>0</v>
      </c>
      <c r="AR48" s="289">
        <v>-1001.74532187</v>
      </c>
      <c r="AS48" s="289"/>
      <c r="AT48" s="289">
        <v>990</v>
      </c>
      <c r="AU48" s="289">
        <v>295</v>
      </c>
      <c r="AV48" s="625">
        <v>429496</v>
      </c>
      <c r="AW48" s="289"/>
      <c r="AX48" s="625">
        <v>159.67833335</v>
      </c>
      <c r="AY48" s="289">
        <v>4100</v>
      </c>
      <c r="AZ48" s="289">
        <v>717</v>
      </c>
      <c r="BA48" s="290">
        <v>385</v>
      </c>
      <c r="BB48" s="289">
        <v>0</v>
      </c>
      <c r="BC48" s="289">
        <v>3961.99735362</v>
      </c>
      <c r="BD48" s="289">
        <v>286.21878619391902</v>
      </c>
      <c r="BE48" s="289">
        <v>457499.78839121998</v>
      </c>
      <c r="BF48" s="289">
        <v>0</v>
      </c>
      <c r="BG48" s="289">
        <v>-810.51049999999998</v>
      </c>
      <c r="BH48" s="289">
        <v>-53.1387</v>
      </c>
      <c r="BI48" s="289">
        <v>4092.28279152</v>
      </c>
      <c r="BJ48" s="289">
        <v>0</v>
      </c>
      <c r="BK48" s="289">
        <v>0</v>
      </c>
      <c r="BL48" s="289">
        <v>0</v>
      </c>
      <c r="BM48" s="289">
        <v>0</v>
      </c>
      <c r="BN48" s="289">
        <v>992.4477587741477</v>
      </c>
      <c r="BO48" s="289">
        <v>670.79905147394413</v>
      </c>
      <c r="BP48" s="289">
        <v>1703.982375179482</v>
      </c>
      <c r="BQ48" s="289">
        <v>638.09569693579442</v>
      </c>
      <c r="BR48" s="289">
        <v>19.399273286476735</v>
      </c>
      <c r="BS48" s="289">
        <v>4.06506136201335</v>
      </c>
      <c r="BT48" s="289">
        <v>0</v>
      </c>
      <c r="BU48" s="289">
        <v>0</v>
      </c>
      <c r="BV48" s="289">
        <v>44.73552266653104</v>
      </c>
      <c r="BW48" s="517"/>
      <c r="BX48" s="517"/>
      <c r="CA48" s="517"/>
      <c r="CB48" s="517"/>
    </row>
    <row r="49" spans="1:80" ht="13">
      <c r="A49" s="1">
        <v>1122</v>
      </c>
      <c r="B49" s="2" t="s">
        <v>4</v>
      </c>
      <c r="C49" s="289">
        <v>11899</v>
      </c>
      <c r="D49" s="289">
        <v>318</v>
      </c>
      <c r="E49" s="289">
        <v>757</v>
      </c>
      <c r="F49" s="289">
        <v>1768</v>
      </c>
      <c r="G49" s="289">
        <v>1126</v>
      </c>
      <c r="H49" s="289">
        <v>6801</v>
      </c>
      <c r="I49" s="289">
        <v>859</v>
      </c>
      <c r="J49" s="289">
        <v>229</v>
      </c>
      <c r="K49" s="289">
        <v>42</v>
      </c>
      <c r="L49" s="289">
        <v>95</v>
      </c>
      <c r="M49" s="289">
        <v>401</v>
      </c>
      <c r="N49" s="290">
        <v>202</v>
      </c>
      <c r="O49" s="290">
        <v>139</v>
      </c>
      <c r="P49" s="624">
        <v>68375.650333330006</v>
      </c>
      <c r="Q49" s="624">
        <v>23602.03966667</v>
      </c>
      <c r="R49" s="624">
        <v>36</v>
      </c>
      <c r="S49" s="289"/>
      <c r="T49" s="289">
        <v>639</v>
      </c>
      <c r="U49" s="716">
        <v>3.0190844360692792E-3</v>
      </c>
      <c r="V49" s="289">
        <v>2821.2230847400001</v>
      </c>
      <c r="W49" s="743">
        <v>0.59747461000000002</v>
      </c>
      <c r="X49" s="289">
        <v>1400</v>
      </c>
      <c r="Y49" s="289">
        <v>414.28399999999999</v>
      </c>
      <c r="Z49" s="289">
        <v>328082</v>
      </c>
      <c r="AA49" s="289">
        <v>0</v>
      </c>
      <c r="AB49" s="290">
        <v>184</v>
      </c>
      <c r="AC49" s="289">
        <v>933.5</v>
      </c>
      <c r="AD49" s="289">
        <v>0</v>
      </c>
      <c r="AE49" s="289">
        <v>0</v>
      </c>
      <c r="AF49" s="289">
        <v>0</v>
      </c>
      <c r="AG49" s="289">
        <v>11900</v>
      </c>
      <c r="AH49" s="289">
        <v>2451.5343603800002</v>
      </c>
      <c r="AI49" s="289">
        <v>300</v>
      </c>
      <c r="AJ49" s="289">
        <v>0</v>
      </c>
      <c r="AK49" s="289">
        <v>0</v>
      </c>
      <c r="AL49" s="289">
        <v>0</v>
      </c>
      <c r="AM49" s="836">
        <v>0.48516325999999999</v>
      </c>
      <c r="AN49" s="289">
        <v>0</v>
      </c>
      <c r="AO49" s="289">
        <v>460.70818568999999</v>
      </c>
      <c r="AP49" s="289">
        <v>0</v>
      </c>
      <c r="AQ49" s="289">
        <v>0</v>
      </c>
      <c r="AR49" s="289">
        <v>-633.40963497999996</v>
      </c>
      <c r="AS49" s="289"/>
      <c r="AT49" s="289">
        <v>616</v>
      </c>
      <c r="AU49" s="289">
        <v>232</v>
      </c>
      <c r="AV49" s="625">
        <v>290294</v>
      </c>
      <c r="AW49" s="289"/>
      <c r="AX49" s="625">
        <v>84.151666649999996</v>
      </c>
      <c r="AY49" s="289">
        <v>2075</v>
      </c>
      <c r="AZ49" s="289">
        <v>478</v>
      </c>
      <c r="BA49" s="290">
        <v>267</v>
      </c>
      <c r="BB49" s="289">
        <v>0</v>
      </c>
      <c r="BC49" s="289">
        <v>2814.55485864</v>
      </c>
      <c r="BD49" s="289">
        <v>165.37027455298002</v>
      </c>
      <c r="BE49" s="289">
        <v>301218.67115087999</v>
      </c>
      <c r="BF49" s="289">
        <v>0</v>
      </c>
      <c r="BG49" s="289">
        <v>-550.82500000000005</v>
      </c>
      <c r="BH49" s="289">
        <v>-33.599899999999998</v>
      </c>
      <c r="BI49" s="289">
        <v>2865.8183603799998</v>
      </c>
      <c r="BJ49" s="289">
        <v>0</v>
      </c>
      <c r="BK49" s="289">
        <v>0</v>
      </c>
      <c r="BL49" s="289">
        <v>0</v>
      </c>
      <c r="BM49" s="289">
        <v>0</v>
      </c>
      <c r="BN49" s="289">
        <v>579.06297658491496</v>
      </c>
      <c r="BO49" s="289">
        <v>439.72455332291855</v>
      </c>
      <c r="BP49" s="289">
        <v>1077.4383775045608</v>
      </c>
      <c r="BQ49" s="289">
        <v>391.87715980179235</v>
      </c>
      <c r="BR49" s="289">
        <v>11.20842971970198</v>
      </c>
      <c r="BS49" s="289">
        <v>2.6584392299526702</v>
      </c>
      <c r="BT49" s="289">
        <v>0</v>
      </c>
      <c r="BU49" s="289">
        <v>0</v>
      </c>
      <c r="BV49" s="289">
        <v>27.473668368230431</v>
      </c>
      <c r="BW49" s="517"/>
      <c r="BX49" s="517"/>
      <c r="CA49" s="517"/>
      <c r="CB49" s="517"/>
    </row>
    <row r="50" spans="1:80" ht="13">
      <c r="A50" s="1">
        <v>1124</v>
      </c>
      <c r="B50" s="2" t="s">
        <v>5</v>
      </c>
      <c r="C50" s="289">
        <v>26582</v>
      </c>
      <c r="D50" s="289">
        <v>707</v>
      </c>
      <c r="E50" s="289">
        <v>1490</v>
      </c>
      <c r="F50" s="289">
        <v>3724</v>
      </c>
      <c r="G50" s="289">
        <v>2296</v>
      </c>
      <c r="H50" s="289">
        <v>15287</v>
      </c>
      <c r="I50" s="289">
        <v>2073</v>
      </c>
      <c r="J50" s="289">
        <v>679</v>
      </c>
      <c r="K50" s="289">
        <v>141</v>
      </c>
      <c r="L50" s="289">
        <v>168</v>
      </c>
      <c r="M50" s="289">
        <v>1045</v>
      </c>
      <c r="N50" s="290">
        <v>449</v>
      </c>
      <c r="O50" s="290">
        <v>345</v>
      </c>
      <c r="P50" s="624">
        <v>38051.486666670004</v>
      </c>
      <c r="Q50" s="624">
        <v>46399.178</v>
      </c>
      <c r="R50" s="624">
        <v>69</v>
      </c>
      <c r="S50" s="289"/>
      <c r="T50" s="289">
        <v>1671</v>
      </c>
      <c r="U50" s="716">
        <v>3.1469602978080502E-3</v>
      </c>
      <c r="V50" s="289">
        <v>6938.8520958700001</v>
      </c>
      <c r="W50" s="743">
        <v>0.5564808</v>
      </c>
      <c r="X50" s="289">
        <v>0</v>
      </c>
      <c r="Y50" s="289">
        <v>414.28399999999999</v>
      </c>
      <c r="Z50" s="289">
        <v>1049894</v>
      </c>
      <c r="AA50" s="289">
        <v>0</v>
      </c>
      <c r="AB50" s="290">
        <v>340</v>
      </c>
      <c r="AC50" s="289">
        <v>0</v>
      </c>
      <c r="AD50" s="289">
        <v>0</v>
      </c>
      <c r="AE50" s="289">
        <v>0</v>
      </c>
      <c r="AF50" s="289">
        <v>0</v>
      </c>
      <c r="AG50" s="289">
        <v>26397</v>
      </c>
      <c r="AH50" s="289">
        <v>5008.3536150700002</v>
      </c>
      <c r="AI50" s="289">
        <v>1150</v>
      </c>
      <c r="AJ50" s="289">
        <v>0</v>
      </c>
      <c r="AK50" s="289">
        <v>0</v>
      </c>
      <c r="AL50" s="289">
        <v>0</v>
      </c>
      <c r="AM50" s="836">
        <v>1.37693004</v>
      </c>
      <c r="AN50" s="289">
        <v>0</v>
      </c>
      <c r="AO50" s="289">
        <v>990.37781417999997</v>
      </c>
      <c r="AP50" s="289">
        <v>0</v>
      </c>
      <c r="AQ50" s="289">
        <v>0</v>
      </c>
      <c r="AR50" s="289">
        <v>-1405.0516079399999</v>
      </c>
      <c r="AS50" s="289"/>
      <c r="AT50" s="289">
        <v>1287</v>
      </c>
      <c r="AU50" s="289">
        <v>626</v>
      </c>
      <c r="AV50" s="625">
        <v>591109</v>
      </c>
      <c r="AW50" s="289"/>
      <c r="AX50" s="625">
        <v>247.9266667</v>
      </c>
      <c r="AY50" s="289">
        <v>6739</v>
      </c>
      <c r="AZ50" s="289">
        <v>1179</v>
      </c>
      <c r="BA50" s="290">
        <v>522</v>
      </c>
      <c r="BB50" s="289">
        <v>0</v>
      </c>
      <c r="BC50" s="289">
        <v>5282.7455758699998</v>
      </c>
      <c r="BD50" s="289">
        <v>400.38826449556814</v>
      </c>
      <c r="BE50" s="289">
        <v>622156.50882860005</v>
      </c>
      <c r="BF50" s="289">
        <v>0</v>
      </c>
      <c r="BG50" s="289">
        <v>-1138.5088000000001</v>
      </c>
      <c r="BH50" s="289">
        <v>-74.532600000000002</v>
      </c>
      <c r="BI50" s="289">
        <v>5422.6376150699998</v>
      </c>
      <c r="BJ50" s="289">
        <v>0</v>
      </c>
      <c r="BK50" s="289">
        <v>0</v>
      </c>
      <c r="BL50" s="289">
        <v>0</v>
      </c>
      <c r="BM50" s="289">
        <v>0</v>
      </c>
      <c r="BN50" s="289">
        <v>1307.906150685789</v>
      </c>
      <c r="BO50" s="289">
        <v>923.7688402812604</v>
      </c>
      <c r="BP50" s="289">
        <v>2390.0118362174699</v>
      </c>
      <c r="BQ50" s="289">
        <v>408.47544665548486</v>
      </c>
      <c r="BR50" s="289">
        <v>27.137426815810731</v>
      </c>
      <c r="BS50" s="289">
        <v>5.6325509001156213</v>
      </c>
      <c r="BT50" s="289">
        <v>0</v>
      </c>
      <c r="BU50" s="289">
        <v>0</v>
      </c>
      <c r="BV50" s="289">
        <v>28.637338710053257</v>
      </c>
      <c r="BW50" s="517"/>
      <c r="BX50" s="517"/>
      <c r="CA50" s="517"/>
      <c r="CB50" s="517"/>
    </row>
    <row r="51" spans="1:80" ht="13">
      <c r="A51" s="1">
        <v>1127</v>
      </c>
      <c r="B51" s="2" t="s">
        <v>6</v>
      </c>
      <c r="C51" s="289">
        <v>11053</v>
      </c>
      <c r="D51" s="289">
        <v>266</v>
      </c>
      <c r="E51" s="289">
        <v>621</v>
      </c>
      <c r="F51" s="289">
        <v>1573</v>
      </c>
      <c r="G51" s="289">
        <v>1114</v>
      </c>
      <c r="H51" s="289">
        <v>6122</v>
      </c>
      <c r="I51" s="289">
        <v>962</v>
      </c>
      <c r="J51" s="289">
        <v>328</v>
      </c>
      <c r="K51" s="289">
        <v>56</v>
      </c>
      <c r="L51" s="289">
        <v>73</v>
      </c>
      <c r="M51" s="289">
        <v>423</v>
      </c>
      <c r="N51" s="290">
        <v>190</v>
      </c>
      <c r="O51" s="290">
        <v>107</v>
      </c>
      <c r="P51" s="624">
        <v>6576.2466666700002</v>
      </c>
      <c r="Q51" s="624">
        <v>15352.087666670001</v>
      </c>
      <c r="R51" s="624">
        <v>37</v>
      </c>
      <c r="S51" s="289"/>
      <c r="T51" s="289">
        <v>632</v>
      </c>
      <c r="U51" s="716">
        <v>1.4355030995901942E-3</v>
      </c>
      <c r="V51" s="289">
        <v>-671.32666228999994</v>
      </c>
      <c r="W51" s="743">
        <v>0.54449588999999998</v>
      </c>
      <c r="X51" s="289">
        <v>6600</v>
      </c>
      <c r="Y51" s="289">
        <v>414.28399999999999</v>
      </c>
      <c r="Z51" s="289">
        <v>377149</v>
      </c>
      <c r="AA51" s="289">
        <v>0</v>
      </c>
      <c r="AB51" s="290">
        <v>163</v>
      </c>
      <c r="AC51" s="289">
        <v>0</v>
      </c>
      <c r="AD51" s="289">
        <v>0</v>
      </c>
      <c r="AE51" s="289">
        <v>0</v>
      </c>
      <c r="AF51" s="289">
        <v>0</v>
      </c>
      <c r="AG51" s="289">
        <v>11042</v>
      </c>
      <c r="AH51" s="289">
        <v>2151.0191984500002</v>
      </c>
      <c r="AI51" s="289">
        <v>0</v>
      </c>
      <c r="AJ51" s="289">
        <v>0</v>
      </c>
      <c r="AK51" s="289">
        <v>0</v>
      </c>
      <c r="AL51" s="289">
        <v>0</v>
      </c>
      <c r="AM51" s="836">
        <v>0.35131148000000001</v>
      </c>
      <c r="AN51" s="289">
        <v>0</v>
      </c>
      <c r="AO51" s="289">
        <v>419.36316803</v>
      </c>
      <c r="AP51" s="289">
        <v>0</v>
      </c>
      <c r="AQ51" s="289">
        <v>0</v>
      </c>
      <c r="AR51" s="289">
        <v>-587.74026802000003</v>
      </c>
      <c r="AS51" s="289"/>
      <c r="AT51" s="289">
        <v>531</v>
      </c>
      <c r="AU51" s="289">
        <v>191</v>
      </c>
      <c r="AV51" s="625">
        <v>258993</v>
      </c>
      <c r="AW51" s="289"/>
      <c r="AX51" s="625">
        <v>78.153333349999997</v>
      </c>
      <c r="AY51" s="289">
        <v>2455</v>
      </c>
      <c r="AZ51" s="289">
        <v>417</v>
      </c>
      <c r="BA51" s="290">
        <v>248</v>
      </c>
      <c r="BB51" s="289">
        <v>0</v>
      </c>
      <c r="BC51" s="289">
        <v>2493.99589904</v>
      </c>
      <c r="BD51" s="289">
        <v>147.02950231552171</v>
      </c>
      <c r="BE51" s="289">
        <v>270440.24479575001</v>
      </c>
      <c r="BF51" s="289">
        <v>0</v>
      </c>
      <c r="BG51" s="289">
        <v>-476.16829999999999</v>
      </c>
      <c r="BH51" s="289">
        <v>-31.177399999999999</v>
      </c>
      <c r="BI51" s="289">
        <v>2565.3031984499999</v>
      </c>
      <c r="BJ51" s="289">
        <v>0</v>
      </c>
      <c r="BK51" s="289">
        <v>0</v>
      </c>
      <c r="BL51" s="289">
        <v>0</v>
      </c>
      <c r="BM51" s="289">
        <v>0</v>
      </c>
      <c r="BN51" s="289">
        <v>589.21625868772389</v>
      </c>
      <c r="BO51" s="289">
        <v>401.95989437275944</v>
      </c>
      <c r="BP51" s="289">
        <v>999.75416507608065</v>
      </c>
      <c r="BQ51" s="289">
        <v>186.32830232680715</v>
      </c>
      <c r="BR51" s="289">
        <v>9.9653329347186936</v>
      </c>
      <c r="BS51" s="289">
        <v>2.4588133745889098</v>
      </c>
      <c r="BT51" s="289">
        <v>0</v>
      </c>
      <c r="BU51" s="289">
        <v>0</v>
      </c>
      <c r="BV51" s="289">
        <v>13.063078206270767</v>
      </c>
      <c r="BW51" s="517"/>
      <c r="BX51" s="517"/>
      <c r="CA51" s="517"/>
      <c r="CB51" s="517"/>
    </row>
    <row r="52" spans="1:80" ht="13">
      <c r="A52" s="1">
        <v>1129</v>
      </c>
      <c r="B52" s="2" t="s">
        <v>7</v>
      </c>
      <c r="C52" s="289">
        <v>1193</v>
      </c>
      <c r="D52" s="289">
        <v>21</v>
      </c>
      <c r="E52" s="289">
        <v>58</v>
      </c>
      <c r="F52" s="289">
        <v>202</v>
      </c>
      <c r="G52" s="289">
        <v>113</v>
      </c>
      <c r="H52" s="289">
        <v>642</v>
      </c>
      <c r="I52" s="289">
        <v>137</v>
      </c>
      <c r="J52" s="289">
        <v>48</v>
      </c>
      <c r="K52" s="289">
        <v>10</v>
      </c>
      <c r="L52" s="289">
        <v>10</v>
      </c>
      <c r="M52" s="289">
        <v>82</v>
      </c>
      <c r="N52" s="290">
        <v>1.5</v>
      </c>
      <c r="O52" s="290">
        <v>24</v>
      </c>
      <c r="P52" s="624">
        <v>6124.0649999999996</v>
      </c>
      <c r="Q52" s="624">
        <v>10540.84333333</v>
      </c>
      <c r="R52" s="624">
        <v>11</v>
      </c>
      <c r="S52" s="289"/>
      <c r="T52" s="289">
        <v>74</v>
      </c>
      <c r="U52" s="716">
        <v>1.3498366986556629E-3</v>
      </c>
      <c r="V52" s="289">
        <v>-555.17977840000003</v>
      </c>
      <c r="W52" s="743">
        <v>0.84380714999999995</v>
      </c>
      <c r="X52" s="289">
        <v>0</v>
      </c>
      <c r="Y52" s="289">
        <v>0</v>
      </c>
      <c r="Z52" s="289">
        <v>51579</v>
      </c>
      <c r="AA52" s="289">
        <v>0</v>
      </c>
      <c r="AB52" s="290">
        <v>20</v>
      </c>
      <c r="AC52" s="289">
        <v>0</v>
      </c>
      <c r="AD52" s="289">
        <v>628.34443999999996</v>
      </c>
      <c r="AE52" s="289">
        <v>0</v>
      </c>
      <c r="AF52" s="289">
        <v>0</v>
      </c>
      <c r="AG52" s="289">
        <v>1231</v>
      </c>
      <c r="AH52" s="289">
        <v>242.64333260000001</v>
      </c>
      <c r="AI52" s="289">
        <v>0</v>
      </c>
      <c r="AJ52" s="289">
        <v>0</v>
      </c>
      <c r="AK52" s="289">
        <v>19.751999999999999</v>
      </c>
      <c r="AL52" s="289">
        <v>0</v>
      </c>
      <c r="AM52" s="836">
        <v>2.7702129999999998E-2</v>
      </c>
      <c r="AN52" s="289">
        <v>0</v>
      </c>
      <c r="AO52" s="289">
        <v>65.604446300000006</v>
      </c>
      <c r="AP52" s="289">
        <v>0</v>
      </c>
      <c r="AQ52" s="289">
        <v>0</v>
      </c>
      <c r="AR52" s="289">
        <v>696.77263559000005</v>
      </c>
      <c r="AS52" s="289"/>
      <c r="AT52" s="289">
        <v>64</v>
      </c>
      <c r="AU52" s="289">
        <v>12</v>
      </c>
      <c r="AV52" s="625">
        <v>54918</v>
      </c>
      <c r="AW52" s="289"/>
      <c r="AX52" s="625">
        <v>-0.8</v>
      </c>
      <c r="AY52" s="289">
        <v>203</v>
      </c>
      <c r="AZ52" s="289">
        <v>56</v>
      </c>
      <c r="BA52" s="290">
        <v>27</v>
      </c>
      <c r="BB52" s="289">
        <v>0</v>
      </c>
      <c r="BC52" s="289">
        <v>855.89690910000002</v>
      </c>
      <c r="BD52" s="289">
        <v>13.878675690975008</v>
      </c>
      <c r="BE52" s="289">
        <v>55116.146244459997</v>
      </c>
      <c r="BF52" s="289">
        <v>0</v>
      </c>
      <c r="BG52" s="289">
        <v>-73.886799999999994</v>
      </c>
      <c r="BH52" s="289">
        <v>-3.4758</v>
      </c>
      <c r="BI52" s="289">
        <v>870.98777259999997</v>
      </c>
      <c r="BJ52" s="289">
        <v>0</v>
      </c>
      <c r="BK52" s="289">
        <v>0</v>
      </c>
      <c r="BL52" s="289">
        <v>0</v>
      </c>
      <c r="BM52" s="289">
        <v>133</v>
      </c>
      <c r="BN52" s="289">
        <v>114.77078772068415</v>
      </c>
      <c r="BO52" s="289">
        <v>80.7856376773195</v>
      </c>
      <c r="BP52" s="289">
        <v>111.45602039563987</v>
      </c>
      <c r="BQ52" s="289">
        <v>175.20880348550503</v>
      </c>
      <c r="BR52" s="289">
        <v>0.94066579683275076</v>
      </c>
      <c r="BS52" s="289">
        <v>0.53487932800449534</v>
      </c>
      <c r="BT52" s="289">
        <v>0</v>
      </c>
      <c r="BU52" s="289">
        <v>0</v>
      </c>
      <c r="BV52" s="289">
        <v>12.28351395776653</v>
      </c>
      <c r="BW52" s="517"/>
      <c r="BX52" s="517"/>
      <c r="CA52" s="517"/>
      <c r="CB52" s="517"/>
    </row>
    <row r="53" spans="1:80" ht="13">
      <c r="A53" s="1">
        <v>1130</v>
      </c>
      <c r="B53" s="2" t="s">
        <v>12</v>
      </c>
      <c r="C53" s="289">
        <v>12720</v>
      </c>
      <c r="D53" s="289">
        <v>306</v>
      </c>
      <c r="E53" s="289">
        <v>713</v>
      </c>
      <c r="F53" s="289">
        <v>1857</v>
      </c>
      <c r="G53" s="289">
        <v>1183</v>
      </c>
      <c r="H53" s="289">
        <v>6904</v>
      </c>
      <c r="I53" s="289">
        <v>1236</v>
      </c>
      <c r="J53" s="289">
        <v>414</v>
      </c>
      <c r="K53" s="289">
        <v>98</v>
      </c>
      <c r="L53" s="289">
        <v>87</v>
      </c>
      <c r="M53" s="289">
        <v>624</v>
      </c>
      <c r="N53" s="290">
        <v>165</v>
      </c>
      <c r="O53" s="290">
        <v>125</v>
      </c>
      <c r="P53" s="624">
        <v>27605.454666670001</v>
      </c>
      <c r="Q53" s="624">
        <v>20620.614666670001</v>
      </c>
      <c r="R53" s="624">
        <v>53</v>
      </c>
      <c r="S53" s="289"/>
      <c r="T53" s="289">
        <v>814</v>
      </c>
      <c r="U53" s="716">
        <v>3.0662684255073308E-3</v>
      </c>
      <c r="V53" s="289">
        <v>-6616.0330139500002</v>
      </c>
      <c r="W53" s="743">
        <v>0.57745438000000004</v>
      </c>
      <c r="X53" s="289">
        <v>3100</v>
      </c>
      <c r="Y53" s="289">
        <v>414.28399999999999</v>
      </c>
      <c r="Z53" s="289">
        <v>359232</v>
      </c>
      <c r="AA53" s="289">
        <v>0</v>
      </c>
      <c r="AB53" s="290">
        <v>247</v>
      </c>
      <c r="AC53" s="289">
        <v>989.5</v>
      </c>
      <c r="AD53" s="289">
        <v>0</v>
      </c>
      <c r="AE53" s="289">
        <v>0</v>
      </c>
      <c r="AF53" s="289">
        <v>0</v>
      </c>
      <c r="AG53" s="289">
        <v>12711</v>
      </c>
      <c r="AH53" s="289">
        <v>2516.3786992599998</v>
      </c>
      <c r="AI53" s="289">
        <v>2000</v>
      </c>
      <c r="AJ53" s="289">
        <v>0</v>
      </c>
      <c r="AK53" s="289">
        <v>0</v>
      </c>
      <c r="AL53" s="289">
        <v>0</v>
      </c>
      <c r="AM53" s="836">
        <v>0.52083886000000001</v>
      </c>
      <c r="AN53" s="289">
        <v>0</v>
      </c>
      <c r="AO53" s="289">
        <v>508.90293753999998</v>
      </c>
      <c r="AP53" s="289">
        <v>0</v>
      </c>
      <c r="AQ53" s="289">
        <v>0</v>
      </c>
      <c r="AR53" s="289">
        <v>3132.5632793099999</v>
      </c>
      <c r="AS53" s="289"/>
      <c r="AT53" s="289">
        <v>631</v>
      </c>
      <c r="AU53" s="289">
        <v>235</v>
      </c>
      <c r="AV53" s="625">
        <v>330531</v>
      </c>
      <c r="AW53" s="289"/>
      <c r="AX53" s="625">
        <v>58.046666700000003</v>
      </c>
      <c r="AY53" s="289">
        <v>2201</v>
      </c>
      <c r="AZ53" s="289">
        <v>561</v>
      </c>
      <c r="BA53" s="290">
        <v>363</v>
      </c>
      <c r="BB53" s="289">
        <v>0</v>
      </c>
      <c r="BC53" s="289">
        <v>2859.8635455100002</v>
      </c>
      <c r="BD53" s="289">
        <v>183.97980851959534</v>
      </c>
      <c r="BE53" s="289">
        <v>336279.93475140003</v>
      </c>
      <c r="BF53" s="289">
        <v>0</v>
      </c>
      <c r="BG53" s="289">
        <v>-566.02670000000001</v>
      </c>
      <c r="BH53" s="289">
        <v>-35.889800000000001</v>
      </c>
      <c r="BI53" s="289">
        <v>2930.66269926</v>
      </c>
      <c r="BJ53" s="289">
        <v>0</v>
      </c>
      <c r="BK53" s="289">
        <v>0</v>
      </c>
      <c r="BL53" s="289">
        <v>0</v>
      </c>
      <c r="BM53" s="289">
        <v>0</v>
      </c>
      <c r="BN53" s="289">
        <v>777.67809258512909</v>
      </c>
      <c r="BO53" s="289">
        <v>478.66373810308062</v>
      </c>
      <c r="BP53" s="289">
        <v>1150.8671610470988</v>
      </c>
      <c r="BQ53" s="289">
        <v>398.00164163085151</v>
      </c>
      <c r="BR53" s="289">
        <v>12.469742577439241</v>
      </c>
      <c r="BS53" s="289">
        <v>2.8102013364290981</v>
      </c>
      <c r="BT53" s="289">
        <v>0</v>
      </c>
      <c r="BU53" s="289">
        <v>0</v>
      </c>
      <c r="BV53" s="289">
        <v>27.903042672116698</v>
      </c>
      <c r="BW53" s="517"/>
      <c r="BX53" s="517"/>
      <c r="CA53" s="517"/>
      <c r="CB53" s="517"/>
    </row>
    <row r="54" spans="1:80" ht="13">
      <c r="A54" s="1">
        <v>1133</v>
      </c>
      <c r="B54" s="2" t="s">
        <v>13</v>
      </c>
      <c r="C54" s="289">
        <v>2684</v>
      </c>
      <c r="D54" s="289">
        <v>58</v>
      </c>
      <c r="E54" s="289">
        <v>146</v>
      </c>
      <c r="F54" s="289">
        <v>384</v>
      </c>
      <c r="G54" s="289">
        <v>235</v>
      </c>
      <c r="H54" s="289">
        <v>1391</v>
      </c>
      <c r="I54" s="289">
        <v>345</v>
      </c>
      <c r="J54" s="289">
        <v>112</v>
      </c>
      <c r="K54" s="289">
        <v>34</v>
      </c>
      <c r="L54" s="289">
        <v>21</v>
      </c>
      <c r="M54" s="289">
        <v>197</v>
      </c>
      <c r="N54" s="290">
        <v>56</v>
      </c>
      <c r="O54" s="290">
        <v>50</v>
      </c>
      <c r="P54" s="624">
        <v>29291.820666669999</v>
      </c>
      <c r="Q54" s="624">
        <v>14229.555666669999</v>
      </c>
      <c r="R54" s="624">
        <v>6</v>
      </c>
      <c r="S54" s="289"/>
      <c r="T54" s="289">
        <v>168</v>
      </c>
      <c r="U54" s="716">
        <v>4.0511986183471432E-3</v>
      </c>
      <c r="V54" s="289">
        <v>1150.4791242399999</v>
      </c>
      <c r="W54" s="743">
        <v>1</v>
      </c>
      <c r="X54" s="289">
        <v>1000</v>
      </c>
      <c r="Y54" s="289">
        <v>414.28399999999999</v>
      </c>
      <c r="Z54" s="289">
        <v>95706</v>
      </c>
      <c r="AA54" s="289">
        <v>0</v>
      </c>
      <c r="AB54" s="290">
        <v>39</v>
      </c>
      <c r="AC54" s="289">
        <v>0</v>
      </c>
      <c r="AD54" s="289">
        <v>0</v>
      </c>
      <c r="AE54" s="289">
        <v>0</v>
      </c>
      <c r="AF54" s="289">
        <v>0</v>
      </c>
      <c r="AG54" s="289">
        <v>2705</v>
      </c>
      <c r="AH54" s="289">
        <v>509.69044864</v>
      </c>
      <c r="AI54" s="289">
        <v>0</v>
      </c>
      <c r="AJ54" s="289">
        <v>0</v>
      </c>
      <c r="AK54" s="289">
        <v>126.113</v>
      </c>
      <c r="AL54" s="289">
        <v>0</v>
      </c>
      <c r="AM54" s="836">
        <v>4.6575539999999999E-2</v>
      </c>
      <c r="AN54" s="289">
        <v>0</v>
      </c>
      <c r="AO54" s="289">
        <v>128.00687543999999</v>
      </c>
      <c r="AP54" s="289">
        <v>0</v>
      </c>
      <c r="AQ54" s="289">
        <v>0</v>
      </c>
      <c r="AR54" s="289">
        <v>-143.98092962999999</v>
      </c>
      <c r="AS54" s="289"/>
      <c r="AT54" s="289">
        <v>105</v>
      </c>
      <c r="AU54" s="289">
        <v>23</v>
      </c>
      <c r="AV54" s="625">
        <v>99183</v>
      </c>
      <c r="AW54" s="289"/>
      <c r="AX54" s="625">
        <v>22.28499995</v>
      </c>
      <c r="AY54" s="289">
        <v>512</v>
      </c>
      <c r="AZ54" s="289">
        <v>143</v>
      </c>
      <c r="BA54" s="290">
        <v>40</v>
      </c>
      <c r="BB54" s="289">
        <v>0</v>
      </c>
      <c r="BC54" s="289">
        <v>911.59001010999998</v>
      </c>
      <c r="BD54" s="289">
        <v>33.634302810982661</v>
      </c>
      <c r="BE54" s="289">
        <v>101382.86230967</v>
      </c>
      <c r="BF54" s="289">
        <v>0</v>
      </c>
      <c r="BG54" s="289">
        <v>-136.2055</v>
      </c>
      <c r="BH54" s="289">
        <v>-7.6375999999999999</v>
      </c>
      <c r="BI54" s="289">
        <v>923.97444863999999</v>
      </c>
      <c r="BJ54" s="289">
        <v>0</v>
      </c>
      <c r="BK54" s="289">
        <v>0</v>
      </c>
      <c r="BL54" s="289">
        <v>0</v>
      </c>
      <c r="BM54" s="289">
        <v>0</v>
      </c>
      <c r="BN54" s="289">
        <v>209.80500194809687</v>
      </c>
      <c r="BO54" s="289">
        <v>150.32877125988733</v>
      </c>
      <c r="BP54" s="289">
        <v>244.9135135420031</v>
      </c>
      <c r="BQ54" s="289">
        <v>525.84558066145905</v>
      </c>
      <c r="BR54" s="289">
        <v>2.279658301633269</v>
      </c>
      <c r="BS54" s="289">
        <v>0.88910284417311802</v>
      </c>
      <c r="BT54" s="289">
        <v>0</v>
      </c>
      <c r="BU54" s="289">
        <v>0</v>
      </c>
      <c r="BV54" s="289">
        <v>36.865907426958991</v>
      </c>
      <c r="BW54" s="517"/>
      <c r="BX54" s="517"/>
      <c r="CA54" s="517"/>
      <c r="CB54" s="517"/>
    </row>
    <row r="55" spans="1:80" ht="13">
      <c r="A55" s="1">
        <v>1134</v>
      </c>
      <c r="B55" s="2" t="s">
        <v>14</v>
      </c>
      <c r="C55" s="289">
        <v>3794</v>
      </c>
      <c r="D55" s="289">
        <v>82</v>
      </c>
      <c r="E55" s="289">
        <v>193</v>
      </c>
      <c r="F55" s="289">
        <v>512</v>
      </c>
      <c r="G55" s="289">
        <v>341</v>
      </c>
      <c r="H55" s="289">
        <v>2011</v>
      </c>
      <c r="I55" s="289">
        <v>486</v>
      </c>
      <c r="J55" s="289">
        <v>163</v>
      </c>
      <c r="K55" s="289">
        <v>41</v>
      </c>
      <c r="L55" s="289">
        <v>32</v>
      </c>
      <c r="M55" s="289">
        <v>260</v>
      </c>
      <c r="N55" s="290">
        <v>50</v>
      </c>
      <c r="O55" s="290">
        <v>39</v>
      </c>
      <c r="P55" s="624">
        <v>70526.648333329998</v>
      </c>
      <c r="Q55" s="624">
        <v>22948.651333329999</v>
      </c>
      <c r="R55" s="624">
        <v>15</v>
      </c>
      <c r="S55" s="289"/>
      <c r="T55" s="289">
        <v>261</v>
      </c>
      <c r="U55" s="716">
        <v>4.4067566053411491E-3</v>
      </c>
      <c r="V55" s="289">
        <v>1836.3136549000001</v>
      </c>
      <c r="W55" s="743">
        <v>1</v>
      </c>
      <c r="X55" s="289">
        <v>0</v>
      </c>
      <c r="Y55" s="289">
        <v>0</v>
      </c>
      <c r="Z55" s="289">
        <v>156911</v>
      </c>
      <c r="AA55" s="289">
        <v>0</v>
      </c>
      <c r="AB55" s="290">
        <v>60</v>
      </c>
      <c r="AC55" s="289">
        <v>0</v>
      </c>
      <c r="AD55" s="289">
        <v>0</v>
      </c>
      <c r="AE55" s="289">
        <v>0</v>
      </c>
      <c r="AF55" s="289">
        <v>0</v>
      </c>
      <c r="AG55" s="289">
        <v>3829</v>
      </c>
      <c r="AH55" s="289">
        <v>686.79219139999998</v>
      </c>
      <c r="AI55" s="289">
        <v>0</v>
      </c>
      <c r="AJ55" s="289">
        <v>0</v>
      </c>
      <c r="AK55" s="289">
        <v>380.74799999999999</v>
      </c>
      <c r="AL55" s="289">
        <v>0</v>
      </c>
      <c r="AM55" s="836">
        <v>2.2745700000000001E-2</v>
      </c>
      <c r="AN55" s="289">
        <v>0</v>
      </c>
      <c r="AO55" s="289">
        <v>175.19894961</v>
      </c>
      <c r="AP55" s="289">
        <v>0</v>
      </c>
      <c r="AQ55" s="289">
        <v>0</v>
      </c>
      <c r="AR55" s="289">
        <v>2352.8843268400001</v>
      </c>
      <c r="AS55" s="289"/>
      <c r="AT55" s="289">
        <v>161</v>
      </c>
      <c r="AU55" s="289">
        <v>13</v>
      </c>
      <c r="AV55" s="625">
        <v>133205</v>
      </c>
      <c r="AW55" s="289"/>
      <c r="AX55" s="625">
        <v>25.27833335</v>
      </c>
      <c r="AY55" s="289">
        <v>706</v>
      </c>
      <c r="AZ55" s="289">
        <v>161</v>
      </c>
      <c r="BA55" s="290">
        <v>52</v>
      </c>
      <c r="BB55" s="289">
        <v>0</v>
      </c>
      <c r="BC55" s="289">
        <v>670.56856567</v>
      </c>
      <c r="BD55" s="289">
        <v>44.009644855183552</v>
      </c>
      <c r="BE55" s="289">
        <v>133579.27427652001</v>
      </c>
      <c r="BF55" s="289">
        <v>0</v>
      </c>
      <c r="BG55" s="289">
        <v>-182.86510000000001</v>
      </c>
      <c r="BH55" s="289">
        <v>-10.811299999999999</v>
      </c>
      <c r="BI55" s="289">
        <v>686.79219139999998</v>
      </c>
      <c r="BJ55" s="289">
        <v>0</v>
      </c>
      <c r="BK55" s="289">
        <v>0</v>
      </c>
      <c r="BL55" s="289">
        <v>0</v>
      </c>
      <c r="BM55" s="289">
        <v>0</v>
      </c>
      <c r="BN55" s="289">
        <v>309.1880029129473</v>
      </c>
      <c r="BO55" s="289">
        <v>207.91932897456343</v>
      </c>
      <c r="BP55" s="289">
        <v>346.68164264411456</v>
      </c>
      <c r="BQ55" s="289">
        <v>571.99700737328112</v>
      </c>
      <c r="BR55" s="289">
        <v>2.9828759290735514</v>
      </c>
      <c r="BS55" s="289">
        <v>1.1195825244680171</v>
      </c>
      <c r="BT55" s="289">
        <v>0</v>
      </c>
      <c r="BU55" s="289">
        <v>0</v>
      </c>
      <c r="BV55" s="289">
        <v>40.10148510860445</v>
      </c>
      <c r="BW55" s="517"/>
      <c r="BX55" s="517"/>
      <c r="CA55" s="517"/>
      <c r="CB55" s="517"/>
    </row>
    <row r="56" spans="1:80" ht="13">
      <c r="A56" s="1">
        <v>1135</v>
      </c>
      <c r="B56" s="2" t="s">
        <v>15</v>
      </c>
      <c r="C56" s="289">
        <v>4597</v>
      </c>
      <c r="D56" s="289">
        <v>85</v>
      </c>
      <c r="E56" s="289">
        <v>215</v>
      </c>
      <c r="F56" s="289">
        <v>574</v>
      </c>
      <c r="G56" s="289">
        <v>382</v>
      </c>
      <c r="H56" s="289">
        <v>2528</v>
      </c>
      <c r="I56" s="289">
        <v>556</v>
      </c>
      <c r="J56" s="289">
        <v>283</v>
      </c>
      <c r="K56" s="289">
        <v>51</v>
      </c>
      <c r="L56" s="289">
        <v>38</v>
      </c>
      <c r="M56" s="289">
        <v>405</v>
      </c>
      <c r="N56" s="290">
        <v>38</v>
      </c>
      <c r="O56" s="290">
        <v>73</v>
      </c>
      <c r="P56" s="624">
        <v>10786.883</v>
      </c>
      <c r="Q56" s="624">
        <v>7105.3063333299997</v>
      </c>
      <c r="R56" s="624">
        <v>24</v>
      </c>
      <c r="S56" s="289"/>
      <c r="T56" s="289">
        <v>341</v>
      </c>
      <c r="U56" s="716">
        <v>1.3865797827564224E-3</v>
      </c>
      <c r="V56" s="289">
        <v>2094.4218356599999</v>
      </c>
      <c r="W56" s="743">
        <v>0.67461769000000005</v>
      </c>
      <c r="X56" s="289">
        <v>5600</v>
      </c>
      <c r="Y56" s="289">
        <v>414.28399999999999</v>
      </c>
      <c r="Z56" s="289">
        <v>152473</v>
      </c>
      <c r="AA56" s="289">
        <v>-2028.2496654300001</v>
      </c>
      <c r="AB56" s="290">
        <v>87</v>
      </c>
      <c r="AC56" s="289">
        <v>0</v>
      </c>
      <c r="AD56" s="289">
        <v>0</v>
      </c>
      <c r="AE56" s="289">
        <v>0</v>
      </c>
      <c r="AF56" s="289">
        <v>0</v>
      </c>
      <c r="AG56" s="289">
        <v>4674</v>
      </c>
      <c r="AH56" s="289">
        <v>753.72828315000004</v>
      </c>
      <c r="AI56" s="289">
        <v>470</v>
      </c>
      <c r="AJ56" s="289">
        <v>0</v>
      </c>
      <c r="AK56" s="289">
        <v>248.60300000000001</v>
      </c>
      <c r="AL56" s="289">
        <v>0</v>
      </c>
      <c r="AM56" s="836">
        <v>5.9735179999999999E-2</v>
      </c>
      <c r="AN56" s="289">
        <v>6444</v>
      </c>
      <c r="AO56" s="289">
        <v>199.82452598</v>
      </c>
      <c r="AP56" s="289">
        <v>0</v>
      </c>
      <c r="AQ56" s="289">
        <v>0</v>
      </c>
      <c r="AR56" s="289">
        <v>-248.78627175</v>
      </c>
      <c r="AS56" s="289"/>
      <c r="AT56" s="289">
        <v>181</v>
      </c>
      <c r="AU56" s="289">
        <v>46</v>
      </c>
      <c r="AV56" s="625">
        <v>149315</v>
      </c>
      <c r="AW56" s="289"/>
      <c r="AX56" s="625">
        <v>27.8466667</v>
      </c>
      <c r="AY56" s="289">
        <v>796</v>
      </c>
      <c r="AZ56" s="289">
        <v>156</v>
      </c>
      <c r="BA56" s="290">
        <v>97</v>
      </c>
      <c r="BB56" s="289">
        <v>0</v>
      </c>
      <c r="BC56" s="289">
        <v>-2769.3651939400002</v>
      </c>
      <c r="BD56" s="289">
        <v>57.334720201382765</v>
      </c>
      <c r="BE56" s="289">
        <v>154294.61724004001</v>
      </c>
      <c r="BF56" s="289">
        <v>0</v>
      </c>
      <c r="BG56" s="289">
        <v>-184.0232</v>
      </c>
      <c r="BH56" s="289">
        <v>-13.1972</v>
      </c>
      <c r="BI56" s="289">
        <v>-860.23738228000002</v>
      </c>
      <c r="BJ56" s="289">
        <v>0</v>
      </c>
      <c r="BK56" s="289">
        <v>0</v>
      </c>
      <c r="BL56" s="289">
        <v>0</v>
      </c>
      <c r="BM56" s="289">
        <v>0</v>
      </c>
      <c r="BN56" s="289">
        <v>401.11602407218766</v>
      </c>
      <c r="BO56" s="289">
        <v>201.46406657328109</v>
      </c>
      <c r="BP56" s="289">
        <v>423.18882155095105</v>
      </c>
      <c r="BQ56" s="289">
        <v>179.9780558017836</v>
      </c>
      <c r="BR56" s="289">
        <v>3.8860199247603866</v>
      </c>
      <c r="BS56" s="289">
        <v>1.1845200217415053</v>
      </c>
      <c r="BT56" s="289">
        <v>0</v>
      </c>
      <c r="BU56" s="289">
        <v>0</v>
      </c>
      <c r="BV56" s="289">
        <v>12.617876023083442</v>
      </c>
      <c r="BW56" s="517"/>
      <c r="BX56" s="517"/>
      <c r="CA56" s="517"/>
      <c r="CB56" s="517"/>
    </row>
    <row r="57" spans="1:80" ht="13">
      <c r="A57" s="1">
        <v>1141</v>
      </c>
      <c r="B57" s="2" t="s">
        <v>16</v>
      </c>
      <c r="C57" s="289">
        <v>3150</v>
      </c>
      <c r="D57" s="289">
        <v>89</v>
      </c>
      <c r="E57" s="289">
        <v>170</v>
      </c>
      <c r="F57" s="289">
        <v>427</v>
      </c>
      <c r="G57" s="289">
        <v>269</v>
      </c>
      <c r="H57" s="289">
        <v>1771</v>
      </c>
      <c r="I57" s="289">
        <v>337</v>
      </c>
      <c r="J57" s="289">
        <v>114</v>
      </c>
      <c r="K57" s="289">
        <v>29</v>
      </c>
      <c r="L57" s="289">
        <v>21</v>
      </c>
      <c r="M57" s="289">
        <v>191</v>
      </c>
      <c r="N57" s="290">
        <v>4</v>
      </c>
      <c r="O57" s="290">
        <v>34</v>
      </c>
      <c r="P57" s="624">
        <v>34326.40833333</v>
      </c>
      <c r="Q57" s="624">
        <v>14937.269</v>
      </c>
      <c r="R57" s="624">
        <v>12</v>
      </c>
      <c r="S57" s="289"/>
      <c r="T57" s="289">
        <v>196</v>
      </c>
      <c r="U57" s="716">
        <v>4.0454005924200759E-3</v>
      </c>
      <c r="V57" s="289">
        <v>308.56611521999997</v>
      </c>
      <c r="W57" s="743">
        <v>0.88341959000000003</v>
      </c>
      <c r="X57" s="289">
        <v>5800</v>
      </c>
      <c r="Y57" s="289">
        <v>414.28399999999999</v>
      </c>
      <c r="Z57" s="289">
        <v>90709</v>
      </c>
      <c r="AA57" s="289">
        <v>0</v>
      </c>
      <c r="AB57" s="290">
        <v>35</v>
      </c>
      <c r="AC57" s="289">
        <v>0</v>
      </c>
      <c r="AD57" s="289">
        <v>1484.595452</v>
      </c>
      <c r="AE57" s="289">
        <v>0</v>
      </c>
      <c r="AF57" s="289">
        <v>0</v>
      </c>
      <c r="AG57" s="289">
        <v>3206</v>
      </c>
      <c r="AH57" s="289">
        <v>600.33307289000004</v>
      </c>
      <c r="AI57" s="289">
        <v>0</v>
      </c>
      <c r="AJ57" s="289">
        <v>0</v>
      </c>
      <c r="AK57" s="289">
        <v>0</v>
      </c>
      <c r="AL57" s="289">
        <v>0</v>
      </c>
      <c r="AM57" s="836">
        <v>4.6169340000000003E-2</v>
      </c>
      <c r="AN57" s="289">
        <v>0</v>
      </c>
      <c r="AO57" s="289">
        <v>138.89168312000001</v>
      </c>
      <c r="AP57" s="289">
        <v>0</v>
      </c>
      <c r="AQ57" s="289">
        <v>0</v>
      </c>
      <c r="AR57" s="289">
        <v>178.84279574000001</v>
      </c>
      <c r="AS57" s="289"/>
      <c r="AT57" s="289">
        <v>113</v>
      </c>
      <c r="AU57" s="289">
        <v>29</v>
      </c>
      <c r="AV57" s="625">
        <v>109957</v>
      </c>
      <c r="AW57" s="289"/>
      <c r="AX57" s="625">
        <v>28.988333350000001</v>
      </c>
      <c r="AY57" s="289">
        <v>592</v>
      </c>
      <c r="AZ57" s="289">
        <v>144</v>
      </c>
      <c r="BA57" s="290">
        <v>37</v>
      </c>
      <c r="BB57" s="289">
        <v>2850</v>
      </c>
      <c r="BC57" s="289">
        <v>2423.71204042</v>
      </c>
      <c r="BD57" s="289">
        <v>33.042179594086363</v>
      </c>
      <c r="BE57" s="289">
        <v>110652.70677739001</v>
      </c>
      <c r="BF57" s="289">
        <v>0</v>
      </c>
      <c r="BG57" s="289">
        <v>-146.95240000000001</v>
      </c>
      <c r="BH57" s="289">
        <v>-9.0521999999999991</v>
      </c>
      <c r="BI57" s="289">
        <v>2499.2125248900002</v>
      </c>
      <c r="BJ57" s="289">
        <v>0</v>
      </c>
      <c r="BK57" s="289">
        <v>0</v>
      </c>
      <c r="BL57" s="289">
        <v>0</v>
      </c>
      <c r="BM57" s="289">
        <v>0</v>
      </c>
      <c r="BN57" s="289">
        <v>225.007182811261</v>
      </c>
      <c r="BO57" s="289">
        <v>160.63648037777693</v>
      </c>
      <c r="BP57" s="289">
        <v>290.27457464534638</v>
      </c>
      <c r="BQ57" s="289">
        <v>525.09299689612578</v>
      </c>
      <c r="BR57" s="289">
        <v>2.2395255058214092</v>
      </c>
      <c r="BS57" s="289">
        <v>0.95478824593398004</v>
      </c>
      <c r="BT57" s="289">
        <v>0</v>
      </c>
      <c r="BU57" s="289">
        <v>0</v>
      </c>
      <c r="BV57" s="289">
        <v>36.81314539102268</v>
      </c>
      <c r="BW57" s="517"/>
      <c r="BX57" s="517"/>
      <c r="CA57" s="517"/>
      <c r="CB57" s="517"/>
    </row>
    <row r="58" spans="1:80" ht="13">
      <c r="A58" s="1">
        <v>1142</v>
      </c>
      <c r="B58" s="2" t="s">
        <v>17</v>
      </c>
      <c r="C58" s="289">
        <v>4847</v>
      </c>
      <c r="D58" s="289">
        <v>110</v>
      </c>
      <c r="E58" s="289">
        <v>270</v>
      </c>
      <c r="F58" s="289">
        <v>776</v>
      </c>
      <c r="G58" s="289">
        <v>434</v>
      </c>
      <c r="H58" s="289">
        <v>2716</v>
      </c>
      <c r="I58" s="289">
        <v>387</v>
      </c>
      <c r="J58" s="289">
        <v>117</v>
      </c>
      <c r="K58" s="289">
        <v>28</v>
      </c>
      <c r="L58" s="289">
        <v>35</v>
      </c>
      <c r="M58" s="289">
        <v>192</v>
      </c>
      <c r="N58" s="290">
        <v>38</v>
      </c>
      <c r="O58" s="290">
        <v>53</v>
      </c>
      <c r="P58" s="624">
        <v>21138.411</v>
      </c>
      <c r="Q58" s="624">
        <v>23034.918333329999</v>
      </c>
      <c r="R58" s="624">
        <v>6</v>
      </c>
      <c r="S58" s="289"/>
      <c r="T58" s="289">
        <v>254</v>
      </c>
      <c r="U58" s="716">
        <v>2.6302644376698329E-3</v>
      </c>
      <c r="V58" s="289">
        <v>1924.0344111300001</v>
      </c>
      <c r="W58" s="743">
        <v>0.69471574999999997</v>
      </c>
      <c r="X58" s="289">
        <v>1500</v>
      </c>
      <c r="Y58" s="289">
        <v>414.28399999999999</v>
      </c>
      <c r="Z58" s="289">
        <v>158491</v>
      </c>
      <c r="AA58" s="289">
        <v>0</v>
      </c>
      <c r="AB58" s="290">
        <v>66</v>
      </c>
      <c r="AC58" s="289">
        <v>0</v>
      </c>
      <c r="AD58" s="289">
        <v>2213.0033560000002</v>
      </c>
      <c r="AE58" s="289">
        <v>0</v>
      </c>
      <c r="AF58" s="289">
        <v>0</v>
      </c>
      <c r="AG58" s="289">
        <v>4838</v>
      </c>
      <c r="AH58" s="289">
        <v>1000.55512148</v>
      </c>
      <c r="AI58" s="289">
        <v>500</v>
      </c>
      <c r="AJ58" s="289">
        <v>0</v>
      </c>
      <c r="AK58" s="289">
        <v>52.546999999999997</v>
      </c>
      <c r="AL58" s="289">
        <v>0</v>
      </c>
      <c r="AM58" s="836">
        <v>0.12129392999999999</v>
      </c>
      <c r="AN58" s="289">
        <v>0</v>
      </c>
      <c r="AO58" s="289">
        <v>192.68920997000001</v>
      </c>
      <c r="AP58" s="289">
        <v>0</v>
      </c>
      <c r="AQ58" s="289">
        <v>0</v>
      </c>
      <c r="AR58" s="289">
        <v>5162.1991731999997</v>
      </c>
      <c r="AS58" s="289"/>
      <c r="AT58" s="289">
        <v>188</v>
      </c>
      <c r="AU58" s="289">
        <v>82</v>
      </c>
      <c r="AV58" s="625">
        <v>135098</v>
      </c>
      <c r="AW58" s="289"/>
      <c r="AX58" s="625">
        <v>36.14</v>
      </c>
      <c r="AY58" s="289">
        <v>914</v>
      </c>
      <c r="AZ58" s="289">
        <v>185</v>
      </c>
      <c r="BA58" s="290">
        <v>58</v>
      </c>
      <c r="BB58" s="289">
        <v>0</v>
      </c>
      <c r="BC58" s="289">
        <v>3552.5181111299999</v>
      </c>
      <c r="BD58" s="289">
        <v>55.697689443541165</v>
      </c>
      <c r="BE58" s="289">
        <v>133907.75561585999</v>
      </c>
      <c r="BF58" s="289">
        <v>0</v>
      </c>
      <c r="BG58" s="289">
        <v>-248.3715</v>
      </c>
      <c r="BH58" s="289">
        <v>-13.6602</v>
      </c>
      <c r="BI58" s="289">
        <v>3627.8424774800001</v>
      </c>
      <c r="BJ58" s="289">
        <v>0</v>
      </c>
      <c r="BK58" s="289">
        <v>0</v>
      </c>
      <c r="BL58" s="289">
        <v>0</v>
      </c>
      <c r="BM58" s="289">
        <v>0</v>
      </c>
      <c r="BN58" s="289">
        <v>245.07931024119534</v>
      </c>
      <c r="BO58" s="289">
        <v>204.115222817275</v>
      </c>
      <c r="BP58" s="289">
        <v>438.0375521316862</v>
      </c>
      <c r="BQ58" s="289">
        <v>341.40832400954429</v>
      </c>
      <c r="BR58" s="289">
        <v>3.7750656178400126</v>
      </c>
      <c r="BS58" s="289">
        <v>1.2299598894639212</v>
      </c>
      <c r="BT58" s="289">
        <v>0</v>
      </c>
      <c r="BU58" s="289">
        <v>0</v>
      </c>
      <c r="BV58" s="289">
        <v>23.935406382795477</v>
      </c>
      <c r="BW58" s="517"/>
      <c r="BX58" s="517"/>
      <c r="CA58" s="517"/>
      <c r="CB58" s="517"/>
    </row>
    <row r="59" spans="1:80" ht="13">
      <c r="A59" s="1">
        <v>1144</v>
      </c>
      <c r="B59" s="2" t="s">
        <v>18</v>
      </c>
      <c r="C59" s="289">
        <v>516</v>
      </c>
      <c r="D59" s="289">
        <v>8</v>
      </c>
      <c r="E59" s="289">
        <v>22</v>
      </c>
      <c r="F59" s="289">
        <v>75</v>
      </c>
      <c r="G59" s="289">
        <v>42</v>
      </c>
      <c r="H59" s="289">
        <v>285</v>
      </c>
      <c r="I59" s="289">
        <v>73</v>
      </c>
      <c r="J59" s="289">
        <v>30</v>
      </c>
      <c r="K59" s="289">
        <v>7</v>
      </c>
      <c r="L59" s="289">
        <v>4</v>
      </c>
      <c r="M59" s="289">
        <v>34</v>
      </c>
      <c r="N59" s="290">
        <v>0</v>
      </c>
      <c r="O59" s="290">
        <v>8</v>
      </c>
      <c r="P59" s="624">
        <v>367.31666667000002</v>
      </c>
      <c r="Q59" s="624">
        <v>443.58333333000002</v>
      </c>
      <c r="R59" s="624">
        <v>0</v>
      </c>
      <c r="S59" s="289"/>
      <c r="T59" s="289">
        <v>29</v>
      </c>
      <c r="U59" s="716">
        <v>2.3324191389068849E-4</v>
      </c>
      <c r="V59" s="289">
        <v>335.16659636000003</v>
      </c>
      <c r="W59" s="743">
        <v>1</v>
      </c>
      <c r="X59" s="289">
        <v>1700</v>
      </c>
      <c r="Y59" s="289">
        <v>0</v>
      </c>
      <c r="Z59" s="289">
        <v>14046</v>
      </c>
      <c r="AA59" s="289">
        <v>0</v>
      </c>
      <c r="AB59" s="290">
        <v>5</v>
      </c>
      <c r="AC59" s="289">
        <v>0</v>
      </c>
      <c r="AD59" s="289">
        <v>0</v>
      </c>
      <c r="AE59" s="289">
        <v>0</v>
      </c>
      <c r="AF59" s="289">
        <v>0</v>
      </c>
      <c r="AG59" s="289">
        <v>542</v>
      </c>
      <c r="AH59" s="289">
        <v>100</v>
      </c>
      <c r="AI59" s="289">
        <v>0</v>
      </c>
      <c r="AJ59" s="289">
        <v>0</v>
      </c>
      <c r="AK59" s="289">
        <v>0</v>
      </c>
      <c r="AL59" s="289">
        <v>0</v>
      </c>
      <c r="AM59" s="836">
        <v>2.0220300000000002E-3</v>
      </c>
      <c r="AN59" s="289">
        <v>0</v>
      </c>
      <c r="AO59" s="289">
        <v>31.977563020000002</v>
      </c>
      <c r="AP59" s="289">
        <v>0</v>
      </c>
      <c r="AQ59" s="289">
        <v>0</v>
      </c>
      <c r="AR59" s="289">
        <v>-28.849413630000001</v>
      </c>
      <c r="AS59" s="289"/>
      <c r="AT59" s="289">
        <v>22</v>
      </c>
      <c r="AU59" s="289">
        <v>3</v>
      </c>
      <c r="AV59" s="625">
        <v>32247</v>
      </c>
      <c r="AW59" s="289"/>
      <c r="AX59" s="625">
        <v>2.3683333499999999</v>
      </c>
      <c r="AY59" s="289">
        <v>90</v>
      </c>
      <c r="AZ59" s="289">
        <v>9</v>
      </c>
      <c r="BA59" s="290">
        <v>7</v>
      </c>
      <c r="BB59" s="289">
        <v>2850</v>
      </c>
      <c r="BC59" s="289">
        <v>113.27171717</v>
      </c>
      <c r="BD59" s="289">
        <v>4.5956787996330393</v>
      </c>
      <c r="BE59" s="289">
        <v>33231.835277110004</v>
      </c>
      <c r="BF59" s="289">
        <v>0</v>
      </c>
      <c r="BG59" s="289">
        <v>-32.0246</v>
      </c>
      <c r="BH59" s="289">
        <v>-1.5304</v>
      </c>
      <c r="BI59" s="289">
        <v>100</v>
      </c>
      <c r="BJ59" s="289">
        <v>0</v>
      </c>
      <c r="BK59" s="289">
        <v>0</v>
      </c>
      <c r="BL59" s="289">
        <v>0</v>
      </c>
      <c r="BM59" s="289">
        <v>0</v>
      </c>
      <c r="BN59" s="289">
        <v>51.435384160512321</v>
      </c>
      <c r="BO59" s="289">
        <v>54.405836823264451</v>
      </c>
      <c r="BP59" s="289">
        <v>49.073243748527055</v>
      </c>
      <c r="BQ59" s="289">
        <v>30.274800423011364</v>
      </c>
      <c r="BR59" s="289">
        <v>0.31148489641957278</v>
      </c>
      <c r="BS59" s="289">
        <v>0.44525268522026268</v>
      </c>
      <c r="BT59" s="289">
        <v>0</v>
      </c>
      <c r="BU59" s="289">
        <v>0</v>
      </c>
      <c r="BV59" s="289">
        <v>2.1225014164052647</v>
      </c>
      <c r="BW59" s="517"/>
      <c r="BX59" s="517"/>
      <c r="CA59" s="517"/>
      <c r="CB59" s="517"/>
    </row>
    <row r="60" spans="1:80" ht="13">
      <c r="A60" s="1">
        <v>1145</v>
      </c>
      <c r="B60" s="2" t="s">
        <v>19</v>
      </c>
      <c r="C60" s="289">
        <v>840</v>
      </c>
      <c r="D60" s="289">
        <v>16</v>
      </c>
      <c r="E60" s="289">
        <v>30</v>
      </c>
      <c r="F60" s="289">
        <v>114</v>
      </c>
      <c r="G60" s="289">
        <v>82</v>
      </c>
      <c r="H60" s="289">
        <v>433</v>
      </c>
      <c r="I60" s="289">
        <v>108</v>
      </c>
      <c r="J60" s="289">
        <v>43</v>
      </c>
      <c r="K60" s="289">
        <v>13</v>
      </c>
      <c r="L60" s="289">
        <v>4</v>
      </c>
      <c r="M60" s="289">
        <v>67</v>
      </c>
      <c r="N60" s="290">
        <v>0</v>
      </c>
      <c r="O60" s="290">
        <v>7</v>
      </c>
      <c r="P60" s="624">
        <v>2283.0949999999998</v>
      </c>
      <c r="Q60" s="624">
        <v>2313.44866667</v>
      </c>
      <c r="R60" s="624">
        <v>4</v>
      </c>
      <c r="S60" s="289"/>
      <c r="T60" s="289">
        <v>39</v>
      </c>
      <c r="U60" s="716">
        <v>8.5571905006005269E-4</v>
      </c>
      <c r="V60" s="289">
        <v>81.802234780000006</v>
      </c>
      <c r="W60" s="743">
        <v>0.90682516999999996</v>
      </c>
      <c r="X60" s="289">
        <v>1800</v>
      </c>
      <c r="Y60" s="289">
        <v>0</v>
      </c>
      <c r="Z60" s="289">
        <v>23216</v>
      </c>
      <c r="AA60" s="289">
        <v>0</v>
      </c>
      <c r="AB60" s="290">
        <v>15</v>
      </c>
      <c r="AC60" s="289">
        <v>0</v>
      </c>
      <c r="AD60" s="289">
        <v>0</v>
      </c>
      <c r="AE60" s="289">
        <v>0</v>
      </c>
      <c r="AF60" s="289">
        <v>0</v>
      </c>
      <c r="AG60" s="289">
        <v>839</v>
      </c>
      <c r="AH60" s="289">
        <v>142.93644592999999</v>
      </c>
      <c r="AI60" s="289">
        <v>1580</v>
      </c>
      <c r="AJ60" s="289">
        <v>0</v>
      </c>
      <c r="AK60" s="289">
        <v>55.902000000000001</v>
      </c>
      <c r="AL60" s="289">
        <v>0</v>
      </c>
      <c r="AM60" s="836">
        <v>1.045574E-2</v>
      </c>
      <c r="AN60" s="289">
        <v>0</v>
      </c>
      <c r="AO60" s="289">
        <v>44.288590739999997</v>
      </c>
      <c r="AP60" s="289">
        <v>0</v>
      </c>
      <c r="AQ60" s="289">
        <v>0</v>
      </c>
      <c r="AR60" s="289">
        <v>2344.66933363</v>
      </c>
      <c r="AS60" s="289"/>
      <c r="AT60" s="289">
        <v>38</v>
      </c>
      <c r="AU60" s="289">
        <v>7</v>
      </c>
      <c r="AV60" s="625">
        <v>43208</v>
      </c>
      <c r="AW60" s="289"/>
      <c r="AX60" s="625">
        <v>5.6</v>
      </c>
      <c r="AY60" s="289">
        <v>111</v>
      </c>
      <c r="AZ60" s="289">
        <v>28</v>
      </c>
      <c r="BA60" s="290">
        <v>15</v>
      </c>
      <c r="BB60" s="289">
        <v>2850</v>
      </c>
      <c r="BC60" s="289">
        <v>146.12051514999999</v>
      </c>
      <c r="BD60" s="289">
        <v>8.0906242701505526</v>
      </c>
      <c r="BE60" s="289">
        <v>41560.05872601</v>
      </c>
      <c r="BF60" s="289">
        <v>0</v>
      </c>
      <c r="BG60" s="289">
        <v>-43.353499999999997</v>
      </c>
      <c r="BH60" s="289">
        <v>-2.3689</v>
      </c>
      <c r="BI60" s="289">
        <v>142.93644592999999</v>
      </c>
      <c r="BJ60" s="289">
        <v>0</v>
      </c>
      <c r="BK60" s="289">
        <v>0</v>
      </c>
      <c r="BL60" s="289">
        <v>0</v>
      </c>
      <c r="BM60" s="289">
        <v>0</v>
      </c>
      <c r="BN60" s="289">
        <v>80.354874943433288</v>
      </c>
      <c r="BO60" s="289">
        <v>63.980783305505653</v>
      </c>
      <c r="BP60" s="289">
        <v>75.963932666077866</v>
      </c>
      <c r="BQ60" s="289">
        <v>111.07233269779482</v>
      </c>
      <c r="BR60" s="289">
        <v>0.54836453386575967</v>
      </c>
      <c r="BS60" s="289">
        <v>0.4750913411502441</v>
      </c>
      <c r="BT60" s="289">
        <v>0</v>
      </c>
      <c r="BU60" s="289">
        <v>0</v>
      </c>
      <c r="BV60" s="289">
        <v>7.7870433555464764</v>
      </c>
      <c r="BW60" s="517"/>
      <c r="BX60" s="517"/>
      <c r="CA60" s="517"/>
      <c r="CB60" s="517"/>
    </row>
    <row r="61" spans="1:80" ht="13">
      <c r="A61" s="1">
        <v>1146</v>
      </c>
      <c r="B61" s="2" t="s">
        <v>20</v>
      </c>
      <c r="C61" s="289">
        <v>11028</v>
      </c>
      <c r="D61" s="289">
        <v>267</v>
      </c>
      <c r="E61" s="289">
        <v>627</v>
      </c>
      <c r="F61" s="289">
        <v>1678</v>
      </c>
      <c r="G61" s="289">
        <v>1061</v>
      </c>
      <c r="H61" s="289">
        <v>5883</v>
      </c>
      <c r="I61" s="289">
        <v>1141</v>
      </c>
      <c r="J61" s="289">
        <v>310</v>
      </c>
      <c r="K61" s="289">
        <v>68</v>
      </c>
      <c r="L61" s="289">
        <v>80</v>
      </c>
      <c r="M61" s="289">
        <v>502</v>
      </c>
      <c r="N61" s="290">
        <v>128</v>
      </c>
      <c r="O61" s="290">
        <v>99</v>
      </c>
      <c r="P61" s="624">
        <v>100910.004</v>
      </c>
      <c r="Q61" s="624">
        <v>29730.590666669999</v>
      </c>
      <c r="R61" s="624">
        <v>34</v>
      </c>
      <c r="S61" s="289"/>
      <c r="T61" s="289">
        <v>594</v>
      </c>
      <c r="U61" s="716">
        <v>5.3990673154040965E-3</v>
      </c>
      <c r="V61" s="289">
        <v>2665.1661724000001</v>
      </c>
      <c r="W61" s="743">
        <v>0.66418927000000005</v>
      </c>
      <c r="X61" s="289">
        <v>900</v>
      </c>
      <c r="Y61" s="289">
        <v>414.28399999999999</v>
      </c>
      <c r="Z61" s="289">
        <v>303352</v>
      </c>
      <c r="AA61" s="289">
        <v>0</v>
      </c>
      <c r="AB61" s="290">
        <v>207</v>
      </c>
      <c r="AC61" s="289">
        <v>704</v>
      </c>
      <c r="AD61" s="289">
        <v>0</v>
      </c>
      <c r="AE61" s="289">
        <v>0</v>
      </c>
      <c r="AF61" s="289">
        <v>0</v>
      </c>
      <c r="AG61" s="289">
        <v>11035</v>
      </c>
      <c r="AH61" s="289">
        <v>2254.9095908600002</v>
      </c>
      <c r="AI61" s="289">
        <v>1500</v>
      </c>
      <c r="AJ61" s="289">
        <v>0</v>
      </c>
      <c r="AK61" s="289">
        <v>7756.2560000000003</v>
      </c>
      <c r="AL61" s="289">
        <v>0</v>
      </c>
      <c r="AM61" s="836">
        <v>0.14695506999999999</v>
      </c>
      <c r="AN61" s="289">
        <v>0</v>
      </c>
      <c r="AO61" s="289">
        <v>445.8191132</v>
      </c>
      <c r="AP61" s="289">
        <v>0</v>
      </c>
      <c r="AQ61" s="289">
        <v>0</v>
      </c>
      <c r="AR61" s="289">
        <v>-587.36767411999995</v>
      </c>
      <c r="AS61" s="289"/>
      <c r="AT61" s="289">
        <v>480</v>
      </c>
      <c r="AU61" s="289">
        <v>93</v>
      </c>
      <c r="AV61" s="625">
        <v>293490</v>
      </c>
      <c r="AW61" s="289"/>
      <c r="AX61" s="625">
        <v>92.901666649999996</v>
      </c>
      <c r="AY61" s="289">
        <v>1972</v>
      </c>
      <c r="AZ61" s="289">
        <v>400</v>
      </c>
      <c r="BA61" s="290">
        <v>247</v>
      </c>
      <c r="BB61" s="289">
        <v>0</v>
      </c>
      <c r="BC61" s="289">
        <v>2615.1966364199998</v>
      </c>
      <c r="BD61" s="289">
        <v>125.75467426441904</v>
      </c>
      <c r="BE61" s="289">
        <v>304108.73510326003</v>
      </c>
      <c r="BF61" s="289">
        <v>0</v>
      </c>
      <c r="BG61" s="289">
        <v>-529.6748</v>
      </c>
      <c r="BH61" s="289">
        <v>-31.157599999999999</v>
      </c>
      <c r="BI61" s="289">
        <v>2669.1935908599999</v>
      </c>
      <c r="BJ61" s="289">
        <v>0</v>
      </c>
      <c r="BK61" s="289">
        <v>0</v>
      </c>
      <c r="BL61" s="289">
        <v>0</v>
      </c>
      <c r="BM61" s="289">
        <v>0</v>
      </c>
      <c r="BN61" s="289">
        <v>638.42054837450416</v>
      </c>
      <c r="BO61" s="289">
        <v>452.22400362595539</v>
      </c>
      <c r="BP61" s="289">
        <v>999.12037779519562</v>
      </c>
      <c r="BQ61" s="289">
        <v>700.79893753945169</v>
      </c>
      <c r="BR61" s="289">
        <v>8.5233723668106265</v>
      </c>
      <c r="BS61" s="289">
        <v>2.4926808197562993</v>
      </c>
      <c r="BT61" s="289">
        <v>0</v>
      </c>
      <c r="BU61" s="289">
        <v>0</v>
      </c>
      <c r="BV61" s="289">
        <v>49.131512570177279</v>
      </c>
      <c r="BW61" s="517"/>
      <c r="BX61" s="517"/>
      <c r="CA61" s="517"/>
      <c r="CB61" s="517"/>
    </row>
    <row r="62" spans="1:80" ht="13">
      <c r="A62" s="1">
        <v>1149</v>
      </c>
      <c r="B62" s="2" t="s">
        <v>21</v>
      </c>
      <c r="C62" s="289">
        <v>42161</v>
      </c>
      <c r="D62" s="289">
        <v>920</v>
      </c>
      <c r="E62" s="289">
        <v>2199</v>
      </c>
      <c r="F62" s="289">
        <v>5727</v>
      </c>
      <c r="G62" s="289">
        <v>3933</v>
      </c>
      <c r="H62" s="289">
        <v>23379</v>
      </c>
      <c r="I62" s="289">
        <v>4491</v>
      </c>
      <c r="J62" s="289">
        <v>1391</v>
      </c>
      <c r="K62" s="289">
        <v>294</v>
      </c>
      <c r="L62" s="289">
        <v>321</v>
      </c>
      <c r="M62" s="289">
        <v>2242</v>
      </c>
      <c r="N62" s="290">
        <v>502</v>
      </c>
      <c r="O62" s="290">
        <v>363</v>
      </c>
      <c r="P62" s="624">
        <v>115001.68233333</v>
      </c>
      <c r="Q62" s="624">
        <v>58442.582999999999</v>
      </c>
      <c r="R62" s="624">
        <v>175</v>
      </c>
      <c r="S62" s="289"/>
      <c r="T62" s="289">
        <v>2762</v>
      </c>
      <c r="U62" s="716">
        <v>5.4179412919212952E-3</v>
      </c>
      <c r="V62" s="289">
        <v>-15358.37410678</v>
      </c>
      <c r="W62" s="743">
        <v>0.56009960999999997</v>
      </c>
      <c r="X62" s="289">
        <v>2500</v>
      </c>
      <c r="Y62" s="289">
        <v>414.28399999999999</v>
      </c>
      <c r="Z62" s="289">
        <v>1149890</v>
      </c>
      <c r="AA62" s="289">
        <v>0</v>
      </c>
      <c r="AB62" s="290">
        <v>1020</v>
      </c>
      <c r="AC62" s="289">
        <v>0</v>
      </c>
      <c r="AD62" s="289">
        <v>0</v>
      </c>
      <c r="AE62" s="289">
        <v>0</v>
      </c>
      <c r="AF62" s="289">
        <v>0</v>
      </c>
      <c r="AG62" s="289">
        <v>42334</v>
      </c>
      <c r="AH62" s="289">
        <v>7763.8893921500003</v>
      </c>
      <c r="AI62" s="289">
        <v>0</v>
      </c>
      <c r="AJ62" s="289">
        <v>0</v>
      </c>
      <c r="AK62" s="289">
        <v>4078.8240000000001</v>
      </c>
      <c r="AL62" s="289">
        <v>0</v>
      </c>
      <c r="AM62" s="836">
        <v>1.14465697</v>
      </c>
      <c r="AN62" s="289">
        <v>0</v>
      </c>
      <c r="AO62" s="289">
        <v>1626.7082801199999</v>
      </c>
      <c r="AP62" s="289">
        <v>0</v>
      </c>
      <c r="AQ62" s="289">
        <v>0</v>
      </c>
      <c r="AR62" s="289">
        <v>-2253.34146951</v>
      </c>
      <c r="AS62" s="289"/>
      <c r="AT62" s="289">
        <v>2168</v>
      </c>
      <c r="AU62" s="289">
        <v>611</v>
      </c>
      <c r="AV62" s="625">
        <v>975340</v>
      </c>
      <c r="AW62" s="289"/>
      <c r="AX62" s="625">
        <v>276.29500005</v>
      </c>
      <c r="AY62" s="289">
        <v>7289</v>
      </c>
      <c r="AZ62" s="289">
        <v>1542</v>
      </c>
      <c r="BA62" s="290">
        <v>1037</v>
      </c>
      <c r="BB62" s="289">
        <v>0</v>
      </c>
      <c r="BC62" s="289">
        <v>8043.1773234100001</v>
      </c>
      <c r="BD62" s="289">
        <v>588.11898230465897</v>
      </c>
      <c r="BE62" s="289">
        <v>1025138.4367884001</v>
      </c>
      <c r="BF62" s="289">
        <v>0</v>
      </c>
      <c r="BG62" s="289">
        <v>-1735.2077999999999</v>
      </c>
      <c r="BH62" s="289">
        <v>-119.5311</v>
      </c>
      <c r="BI62" s="289">
        <v>8178.1733921499999</v>
      </c>
      <c r="BJ62" s="289">
        <v>0</v>
      </c>
      <c r="BK62" s="289">
        <v>0</v>
      </c>
      <c r="BL62" s="289">
        <v>0</v>
      </c>
      <c r="BM62" s="289">
        <v>0</v>
      </c>
      <c r="BN62" s="289">
        <v>2621.0269047927814</v>
      </c>
      <c r="BO62" s="289">
        <v>1552.3118754693503</v>
      </c>
      <c r="BP62" s="289">
        <v>3832.9643927124434</v>
      </c>
      <c r="BQ62" s="289">
        <v>703.24877969138402</v>
      </c>
      <c r="BR62" s="289">
        <v>39.861397689537995</v>
      </c>
      <c r="BS62" s="289">
        <v>8.8907930731437954</v>
      </c>
      <c r="BT62" s="289">
        <v>0</v>
      </c>
      <c r="BU62" s="289">
        <v>0</v>
      </c>
      <c r="BV62" s="289">
        <v>49.303265756483768</v>
      </c>
      <c r="BW62" s="517"/>
      <c r="BX62" s="517"/>
      <c r="CA62" s="517"/>
      <c r="CB62" s="517"/>
    </row>
    <row r="63" spans="1:80" ht="13">
      <c r="A63" s="1">
        <v>1151</v>
      </c>
      <c r="B63" s="2" t="s">
        <v>22</v>
      </c>
      <c r="C63" s="289">
        <v>196</v>
      </c>
      <c r="D63" s="289">
        <v>4</v>
      </c>
      <c r="E63" s="289">
        <v>13</v>
      </c>
      <c r="F63" s="289">
        <v>25</v>
      </c>
      <c r="G63" s="289">
        <v>19</v>
      </c>
      <c r="H63" s="289">
        <v>118</v>
      </c>
      <c r="I63" s="289">
        <v>23</v>
      </c>
      <c r="J63" s="289">
        <v>6</v>
      </c>
      <c r="K63" s="289">
        <v>3</v>
      </c>
      <c r="L63" s="289">
        <v>2</v>
      </c>
      <c r="M63" s="289">
        <v>12</v>
      </c>
      <c r="N63" s="290">
        <v>1.5</v>
      </c>
      <c r="O63" s="290">
        <v>3</v>
      </c>
      <c r="P63" s="624">
        <v>0</v>
      </c>
      <c r="Q63" s="624">
        <v>0</v>
      </c>
      <c r="R63" s="624">
        <v>0</v>
      </c>
      <c r="S63" s="289"/>
      <c r="T63" s="289">
        <v>16</v>
      </c>
      <c r="U63" s="716">
        <v>1.5675539897285967E-4</v>
      </c>
      <c r="V63" s="289">
        <v>206.24763518</v>
      </c>
      <c r="W63" s="743">
        <v>1</v>
      </c>
      <c r="X63" s="289">
        <v>200</v>
      </c>
      <c r="Y63" s="289">
        <v>0</v>
      </c>
      <c r="Z63" s="289">
        <v>5709</v>
      </c>
      <c r="AA63" s="289">
        <v>0</v>
      </c>
      <c r="AB63" s="290">
        <v>2</v>
      </c>
      <c r="AC63" s="289">
        <v>0</v>
      </c>
      <c r="AD63" s="289">
        <v>0</v>
      </c>
      <c r="AE63" s="289">
        <v>0</v>
      </c>
      <c r="AF63" s="289">
        <v>0</v>
      </c>
      <c r="AG63" s="289">
        <v>211</v>
      </c>
      <c r="AH63" s="289">
        <v>100</v>
      </c>
      <c r="AI63" s="289">
        <v>0</v>
      </c>
      <c r="AJ63" s="289">
        <v>0</v>
      </c>
      <c r="AK63" s="289">
        <v>0</v>
      </c>
      <c r="AL63" s="289">
        <v>0</v>
      </c>
      <c r="AM63" s="836">
        <v>4.3685299999999998E-3</v>
      </c>
      <c r="AN63" s="289">
        <v>0</v>
      </c>
      <c r="AO63" s="289">
        <v>19.677667240000002</v>
      </c>
      <c r="AP63" s="289">
        <v>0</v>
      </c>
      <c r="AQ63" s="289">
        <v>0</v>
      </c>
      <c r="AR63" s="289">
        <v>275.22478920999998</v>
      </c>
      <c r="AS63" s="289"/>
      <c r="AT63" s="289">
        <v>9</v>
      </c>
      <c r="AU63" s="289">
        <v>3</v>
      </c>
      <c r="AV63" s="625">
        <v>27494</v>
      </c>
      <c r="AW63" s="289"/>
      <c r="AX63" s="625">
        <v>1.1933332999999999</v>
      </c>
      <c r="AY63" s="289">
        <v>47</v>
      </c>
      <c r="AZ63" s="290">
        <v>7</v>
      </c>
      <c r="BA63" s="290">
        <v>4</v>
      </c>
      <c r="BB63" s="289">
        <v>5698</v>
      </c>
      <c r="BC63" s="289">
        <v>113.27171717</v>
      </c>
      <c r="BD63" s="289">
        <v>2.5795370691654713</v>
      </c>
      <c r="BE63" s="289">
        <v>26964.914851609999</v>
      </c>
      <c r="BF63" s="289">
        <v>0</v>
      </c>
      <c r="BG63" s="289">
        <v>-16.866499999999998</v>
      </c>
      <c r="BH63" s="289">
        <v>-0.5958</v>
      </c>
      <c r="BI63" s="289">
        <v>100</v>
      </c>
      <c r="BJ63" s="289">
        <v>0</v>
      </c>
      <c r="BK63" s="289">
        <v>0</v>
      </c>
      <c r="BL63" s="289">
        <v>0</v>
      </c>
      <c r="BM63" s="289">
        <v>0</v>
      </c>
      <c r="BN63" s="289">
        <v>27.26480661184722</v>
      </c>
      <c r="BO63" s="289">
        <v>41.157878350562747</v>
      </c>
      <c r="BP63" s="289">
        <v>19.104159466677508</v>
      </c>
      <c r="BQ63" s="289">
        <v>20.346850786677184</v>
      </c>
      <c r="BR63" s="289">
        <v>0.17483529024343752</v>
      </c>
      <c r="BS63" s="289">
        <v>0.37774005989453363</v>
      </c>
      <c r="BT63" s="289">
        <v>0</v>
      </c>
      <c r="BU63" s="289">
        <v>0</v>
      </c>
      <c r="BV63" s="289">
        <v>1.4264741306530231</v>
      </c>
      <c r="BW63" s="517"/>
      <c r="BX63" s="517"/>
      <c r="CA63" s="517"/>
      <c r="CB63" s="517"/>
    </row>
    <row r="64" spans="1:80" ht="13">
      <c r="A64" s="1">
        <v>1160</v>
      </c>
      <c r="B64" s="4" t="s">
        <v>711</v>
      </c>
      <c r="C64" s="289">
        <v>8743</v>
      </c>
      <c r="D64" s="289">
        <v>210</v>
      </c>
      <c r="E64" s="289">
        <v>439</v>
      </c>
      <c r="F64" s="289">
        <v>1116</v>
      </c>
      <c r="G64" s="289">
        <v>842</v>
      </c>
      <c r="H64" s="289">
        <v>4815</v>
      </c>
      <c r="I64" s="289">
        <v>898</v>
      </c>
      <c r="J64" s="289">
        <v>357</v>
      </c>
      <c r="K64" s="289">
        <v>108</v>
      </c>
      <c r="L64" s="289">
        <v>62</v>
      </c>
      <c r="M64" s="289">
        <v>548</v>
      </c>
      <c r="N64" s="290">
        <v>85</v>
      </c>
      <c r="O64" s="290">
        <v>97</v>
      </c>
      <c r="P64" s="624">
        <v>63598.729333329997</v>
      </c>
      <c r="Q64" s="624">
        <v>25160.284333330001</v>
      </c>
      <c r="R64" s="624">
        <v>28</v>
      </c>
      <c r="S64" s="289"/>
      <c r="T64" s="289">
        <v>567</v>
      </c>
      <c r="U64" s="716">
        <v>7.9680713451598436E-3</v>
      </c>
      <c r="V64" s="289">
        <v>3415.17162809</v>
      </c>
      <c r="W64" s="743">
        <v>0.74341413999999995</v>
      </c>
      <c r="X64" s="289">
        <v>6700</v>
      </c>
      <c r="Y64" s="289">
        <v>414.28399999999999</v>
      </c>
      <c r="Z64" s="289">
        <v>307150</v>
      </c>
      <c r="AA64" s="289">
        <v>0</v>
      </c>
      <c r="AB64" s="290">
        <v>118</v>
      </c>
      <c r="AC64" s="289">
        <v>0</v>
      </c>
      <c r="AD64" s="289">
        <v>0</v>
      </c>
      <c r="AE64" s="289">
        <v>0</v>
      </c>
      <c r="AF64" s="289">
        <v>10402.57067752</v>
      </c>
      <c r="AG64" s="289">
        <v>8785</v>
      </c>
      <c r="AH64" s="289">
        <v>1580.6679166599999</v>
      </c>
      <c r="AI64" s="289">
        <v>0</v>
      </c>
      <c r="AJ64" s="289">
        <v>0</v>
      </c>
      <c r="AK64" s="289">
        <v>0</v>
      </c>
      <c r="AL64" s="289">
        <v>0</v>
      </c>
      <c r="AM64" s="836">
        <v>0.18027604</v>
      </c>
      <c r="AN64" s="289">
        <v>0</v>
      </c>
      <c r="AO64" s="289">
        <v>353.19758093000002</v>
      </c>
      <c r="AP64" s="289">
        <v>0</v>
      </c>
      <c r="AQ64" s="289">
        <v>0</v>
      </c>
      <c r="AR64" s="289">
        <v>-467.60534817000001</v>
      </c>
      <c r="AS64" s="289"/>
      <c r="AT64" s="289">
        <v>327</v>
      </c>
      <c r="AU64" s="289">
        <v>125</v>
      </c>
      <c r="AV64" s="625">
        <v>250652</v>
      </c>
      <c r="AW64" s="289"/>
      <c r="AX64" s="625">
        <v>54.458333349999997</v>
      </c>
      <c r="AY64" s="289">
        <v>1445</v>
      </c>
      <c r="AZ64" s="289">
        <v>341</v>
      </c>
      <c r="BA64" s="290">
        <v>140</v>
      </c>
      <c r="BB64" s="289">
        <v>0</v>
      </c>
      <c r="BC64" s="289">
        <v>12091.045459450001</v>
      </c>
      <c r="BD64" s="289">
        <v>105.89213896166521</v>
      </c>
      <c r="BE64" s="289">
        <v>257327.53766311999</v>
      </c>
      <c r="BF64" s="289">
        <v>0</v>
      </c>
      <c r="BG64" s="289">
        <v>-359.97050000000002</v>
      </c>
      <c r="BH64" s="289">
        <v>-24.8047</v>
      </c>
      <c r="BI64" s="289">
        <v>12397.52259418</v>
      </c>
      <c r="BJ64" s="289">
        <v>0</v>
      </c>
      <c r="BK64" s="289">
        <v>0</v>
      </c>
      <c r="BL64" s="289">
        <v>0</v>
      </c>
      <c r="BM64" s="289">
        <v>0</v>
      </c>
      <c r="BN64" s="289">
        <v>613.96096789474313</v>
      </c>
      <c r="BO64" s="289">
        <v>367.72162373073002</v>
      </c>
      <c r="BP64" s="289">
        <v>795.40303751071997</v>
      </c>
      <c r="BQ64" s="289">
        <v>1034.2556606017474</v>
      </c>
      <c r="BR64" s="289">
        <v>7.1771338629573069</v>
      </c>
      <c r="BS64" s="289">
        <v>2.0559967047942571</v>
      </c>
      <c r="BT64" s="289">
        <v>0</v>
      </c>
      <c r="BU64" s="289">
        <v>0</v>
      </c>
      <c r="BV64" s="289">
        <v>72.509449240954552</v>
      </c>
      <c r="BW64" s="517"/>
      <c r="BX64" s="517"/>
      <c r="CA64" s="517"/>
      <c r="CB64" s="517"/>
    </row>
    <row r="65" spans="1:80" ht="13">
      <c r="A65" s="1">
        <v>1227</v>
      </c>
      <c r="B65" s="2" t="s">
        <v>31</v>
      </c>
      <c r="C65" s="289">
        <v>1087</v>
      </c>
      <c r="D65" s="289">
        <v>17</v>
      </c>
      <c r="E65" s="289">
        <v>50</v>
      </c>
      <c r="F65" s="289">
        <v>129</v>
      </c>
      <c r="G65" s="289">
        <v>88</v>
      </c>
      <c r="H65" s="289">
        <v>555</v>
      </c>
      <c r="I65" s="289">
        <v>186</v>
      </c>
      <c r="J65" s="289">
        <v>45</v>
      </c>
      <c r="K65" s="289">
        <v>19</v>
      </c>
      <c r="L65" s="289">
        <v>8</v>
      </c>
      <c r="M65" s="289">
        <v>108</v>
      </c>
      <c r="N65" s="290">
        <v>0</v>
      </c>
      <c r="O65" s="290">
        <v>8</v>
      </c>
      <c r="P65" s="624">
        <v>8120.8103333299996</v>
      </c>
      <c r="Q65" s="624">
        <v>5253.2950000000001</v>
      </c>
      <c r="R65" s="624">
        <v>5</v>
      </c>
      <c r="S65" s="289"/>
      <c r="T65" s="289">
        <v>83</v>
      </c>
      <c r="U65" s="716">
        <v>1.1523112483064466E-3</v>
      </c>
      <c r="V65" s="289">
        <v>600.61960041999998</v>
      </c>
      <c r="W65" s="743">
        <v>1</v>
      </c>
      <c r="X65" s="289">
        <v>1300</v>
      </c>
      <c r="Y65" s="289">
        <v>265.22399999999999</v>
      </c>
      <c r="Z65" s="289">
        <v>30456</v>
      </c>
      <c r="AA65" s="289">
        <v>-448.68714204999998</v>
      </c>
      <c r="AB65" s="290">
        <v>19</v>
      </c>
      <c r="AC65" s="289">
        <v>0</v>
      </c>
      <c r="AD65" s="289">
        <v>0</v>
      </c>
      <c r="AE65" s="289">
        <v>0</v>
      </c>
      <c r="AF65" s="289">
        <v>0</v>
      </c>
      <c r="AG65" s="289">
        <v>1089</v>
      </c>
      <c r="AH65" s="289">
        <v>172.91823701999999</v>
      </c>
      <c r="AI65" s="289">
        <v>0</v>
      </c>
      <c r="AJ65" s="289">
        <v>0</v>
      </c>
      <c r="AK65" s="289">
        <v>0</v>
      </c>
      <c r="AL65" s="289">
        <v>0</v>
      </c>
      <c r="AM65" s="836">
        <v>2.1852899999999999E-3</v>
      </c>
      <c r="AN65" s="289">
        <v>0</v>
      </c>
      <c r="AO65" s="289">
        <v>57.303894040000003</v>
      </c>
      <c r="AP65" s="289">
        <v>0</v>
      </c>
      <c r="AQ65" s="289">
        <v>0</v>
      </c>
      <c r="AR65" s="289">
        <v>383.38441908999999</v>
      </c>
      <c r="AS65" s="289"/>
      <c r="AT65" s="289">
        <v>35</v>
      </c>
      <c r="AU65" s="289">
        <v>3</v>
      </c>
      <c r="AV65" s="625">
        <v>54707</v>
      </c>
      <c r="AW65" s="289"/>
      <c r="AX65" s="625">
        <v>6.7733333</v>
      </c>
      <c r="AY65" s="289">
        <v>216</v>
      </c>
      <c r="AZ65" s="289">
        <v>25</v>
      </c>
      <c r="BA65" s="290">
        <v>14</v>
      </c>
      <c r="BB65" s="289">
        <v>5698</v>
      </c>
      <c r="BC65" s="289">
        <v>-444.89189003000001</v>
      </c>
      <c r="BD65" s="289">
        <v>11.559998196476636</v>
      </c>
      <c r="BE65" s="289">
        <v>55337.451243060001</v>
      </c>
      <c r="BF65" s="289">
        <v>0</v>
      </c>
      <c r="BG65" s="289">
        <v>-50.890700000000002</v>
      </c>
      <c r="BH65" s="289">
        <v>-3.0748000000000002</v>
      </c>
      <c r="BI65" s="289">
        <v>-10.54490502</v>
      </c>
      <c r="BJ65" s="289">
        <v>0</v>
      </c>
      <c r="BK65" s="289">
        <v>0</v>
      </c>
      <c r="BL65" s="289">
        <v>0</v>
      </c>
      <c r="BM65" s="289">
        <v>378</v>
      </c>
      <c r="BN65" s="289">
        <v>109.11214643813972</v>
      </c>
      <c r="BO65" s="289">
        <v>81.246890428693291</v>
      </c>
      <c r="BP65" s="289">
        <v>98.599192697686291</v>
      </c>
      <c r="BQ65" s="289">
        <v>149.57000003017677</v>
      </c>
      <c r="BR65" s="289">
        <v>0.7835109888723053</v>
      </c>
      <c r="BS65" s="289">
        <v>0.55629424761793467</v>
      </c>
      <c r="BT65" s="289">
        <v>0</v>
      </c>
      <c r="BU65" s="289">
        <v>0</v>
      </c>
      <c r="BV65" s="289">
        <v>10.486032359588661</v>
      </c>
      <c r="BW65" s="517"/>
      <c r="BX65" s="517"/>
      <c r="CA65" s="517"/>
      <c r="CB65" s="517"/>
    </row>
    <row r="66" spans="1:80" ht="13">
      <c r="A66" s="1">
        <v>1228</v>
      </c>
      <c r="B66" s="2" t="s">
        <v>32</v>
      </c>
      <c r="C66" s="289">
        <v>6745</v>
      </c>
      <c r="D66" s="289">
        <v>107</v>
      </c>
      <c r="E66" s="289">
        <v>267</v>
      </c>
      <c r="F66" s="289">
        <v>718</v>
      </c>
      <c r="G66" s="289">
        <v>580</v>
      </c>
      <c r="H66" s="289">
        <v>3810</v>
      </c>
      <c r="I66" s="289">
        <v>889</v>
      </c>
      <c r="J66" s="289">
        <v>361</v>
      </c>
      <c r="K66" s="289">
        <v>116</v>
      </c>
      <c r="L66" s="289">
        <v>56</v>
      </c>
      <c r="M66" s="289">
        <v>664</v>
      </c>
      <c r="N66" s="290">
        <v>55</v>
      </c>
      <c r="O66" s="290">
        <v>80</v>
      </c>
      <c r="P66" s="624">
        <v>53786.907333329997</v>
      </c>
      <c r="Q66" s="624">
        <v>11178.739333330001</v>
      </c>
      <c r="R66" s="624">
        <v>27</v>
      </c>
      <c r="S66" s="289"/>
      <c r="T66" s="289">
        <v>642</v>
      </c>
      <c r="U66" s="716">
        <v>1.6223296879589392E-3</v>
      </c>
      <c r="V66" s="289">
        <v>2934.0172301799998</v>
      </c>
      <c r="W66" s="743">
        <v>0.63839060000000003</v>
      </c>
      <c r="X66" s="289">
        <v>0</v>
      </c>
      <c r="Y66" s="289">
        <v>414.28399999999999</v>
      </c>
      <c r="Z66" s="289">
        <v>227221</v>
      </c>
      <c r="AA66" s="289">
        <v>0</v>
      </c>
      <c r="AB66" s="290">
        <v>139</v>
      </c>
      <c r="AC66" s="289">
        <v>0</v>
      </c>
      <c r="AD66" s="289">
        <v>3278.5520839999999</v>
      </c>
      <c r="AE66" s="289">
        <v>0</v>
      </c>
      <c r="AF66" s="289">
        <v>0</v>
      </c>
      <c r="AG66" s="289">
        <v>6848</v>
      </c>
      <c r="AH66" s="289">
        <v>988.00460427999997</v>
      </c>
      <c r="AI66" s="289">
        <v>100</v>
      </c>
      <c r="AJ66" s="289">
        <v>2000</v>
      </c>
      <c r="AK66" s="289">
        <v>139.089</v>
      </c>
      <c r="AL66" s="289">
        <v>0</v>
      </c>
      <c r="AM66" s="836">
        <v>8.1559640000000003E-2</v>
      </c>
      <c r="AN66" s="289">
        <v>8870</v>
      </c>
      <c r="AO66" s="289">
        <v>279.92861432000001</v>
      </c>
      <c r="AP66" s="289">
        <v>0</v>
      </c>
      <c r="AQ66" s="289">
        <v>0</v>
      </c>
      <c r="AR66" s="289">
        <v>-364.50329246000001</v>
      </c>
      <c r="AS66" s="289"/>
      <c r="AT66" s="289">
        <v>324</v>
      </c>
      <c r="AU66" s="289">
        <v>70</v>
      </c>
      <c r="AV66" s="625">
        <v>201521</v>
      </c>
      <c r="AW66" s="289"/>
      <c r="AX66" s="625">
        <v>39.4733333</v>
      </c>
      <c r="AY66" s="289">
        <v>1274</v>
      </c>
      <c r="AZ66" s="289">
        <v>168</v>
      </c>
      <c r="BA66" s="290">
        <v>161</v>
      </c>
      <c r="BB66" s="289">
        <v>0</v>
      </c>
      <c r="BC66" s="289">
        <v>4621.8929091199998</v>
      </c>
      <c r="BD66" s="289">
        <v>94.908587497003751</v>
      </c>
      <c r="BE66" s="289">
        <v>208108.86872222001</v>
      </c>
      <c r="BF66" s="289">
        <v>0</v>
      </c>
      <c r="BG66" s="289">
        <v>-235.36089999999999</v>
      </c>
      <c r="BH66" s="289">
        <v>-19.3355</v>
      </c>
      <c r="BI66" s="289">
        <v>4680.84068828</v>
      </c>
      <c r="BJ66" s="289">
        <v>0</v>
      </c>
      <c r="BK66" s="289">
        <v>0</v>
      </c>
      <c r="BL66" s="289">
        <v>0</v>
      </c>
      <c r="BM66" s="289">
        <v>2360</v>
      </c>
      <c r="BN66" s="289">
        <v>596.81495297859578</v>
      </c>
      <c r="BO66" s="289">
        <v>294.56036238716393</v>
      </c>
      <c r="BP66" s="289">
        <v>620.02504278581785</v>
      </c>
      <c r="BQ66" s="289">
        <v>210.57839349707027</v>
      </c>
      <c r="BR66" s="289">
        <v>6.4326931525746982</v>
      </c>
      <c r="BS66" s="289">
        <v>1.6156075506277208</v>
      </c>
      <c r="BT66" s="289">
        <v>0</v>
      </c>
      <c r="BU66" s="289">
        <v>0</v>
      </c>
      <c r="BV66" s="289">
        <v>14.76320016042634</v>
      </c>
      <c r="BW66" s="517"/>
      <c r="BX66" s="517"/>
      <c r="CA66" s="517"/>
      <c r="CB66" s="517"/>
    </row>
    <row r="67" spans="1:80" ht="13">
      <c r="A67" s="1">
        <v>1231</v>
      </c>
      <c r="B67" s="2" t="s">
        <v>33</v>
      </c>
      <c r="C67" s="289">
        <v>3320</v>
      </c>
      <c r="D67" s="289">
        <v>52</v>
      </c>
      <c r="E67" s="289">
        <v>139</v>
      </c>
      <c r="F67" s="289">
        <v>410</v>
      </c>
      <c r="G67" s="289">
        <v>301</v>
      </c>
      <c r="H67" s="289">
        <v>1718</v>
      </c>
      <c r="I67" s="289">
        <v>483</v>
      </c>
      <c r="J67" s="289">
        <v>179</v>
      </c>
      <c r="K67" s="289">
        <v>59</v>
      </c>
      <c r="L67" s="289">
        <v>26</v>
      </c>
      <c r="M67" s="289">
        <v>303</v>
      </c>
      <c r="N67" s="290">
        <v>37</v>
      </c>
      <c r="O67" s="290">
        <v>52</v>
      </c>
      <c r="P67" s="624">
        <v>70744.474000000002</v>
      </c>
      <c r="Q67" s="624">
        <v>14780.85266667</v>
      </c>
      <c r="R67" s="624">
        <v>18</v>
      </c>
      <c r="S67" s="289"/>
      <c r="T67" s="289">
        <v>232</v>
      </c>
      <c r="U67" s="716">
        <v>5.0549578626950618E-3</v>
      </c>
      <c r="V67" s="289">
        <v>1683.8477903999999</v>
      </c>
      <c r="W67" s="743">
        <v>0.95766372</v>
      </c>
      <c r="X67" s="289">
        <v>2800</v>
      </c>
      <c r="Y67" s="289">
        <v>265.22399999999999</v>
      </c>
      <c r="Z67" s="289">
        <v>91437</v>
      </c>
      <c r="AA67" s="289">
        <v>0</v>
      </c>
      <c r="AB67" s="290">
        <v>43</v>
      </c>
      <c r="AC67" s="289">
        <v>0</v>
      </c>
      <c r="AD67" s="289">
        <v>0</v>
      </c>
      <c r="AE67" s="289">
        <v>0</v>
      </c>
      <c r="AF67" s="289">
        <v>0</v>
      </c>
      <c r="AG67" s="289">
        <v>3341</v>
      </c>
      <c r="AH67" s="289">
        <v>548.03925120999997</v>
      </c>
      <c r="AI67" s="289">
        <v>1050</v>
      </c>
      <c r="AJ67" s="289">
        <v>0</v>
      </c>
      <c r="AK67" s="289">
        <v>0</v>
      </c>
      <c r="AL67" s="289">
        <v>0</v>
      </c>
      <c r="AM67" s="836">
        <v>4.0106919999999997E-2</v>
      </c>
      <c r="AN67" s="289">
        <v>4991</v>
      </c>
      <c r="AO67" s="289">
        <v>160.65249169000001</v>
      </c>
      <c r="AP67" s="289">
        <v>0</v>
      </c>
      <c r="AQ67" s="289">
        <v>0</v>
      </c>
      <c r="AR67" s="289">
        <v>-177.83374710000001</v>
      </c>
      <c r="AS67" s="289"/>
      <c r="AT67" s="289">
        <v>135</v>
      </c>
      <c r="AU67" s="289">
        <v>24</v>
      </c>
      <c r="AV67" s="625">
        <v>130876</v>
      </c>
      <c r="AW67" s="289"/>
      <c r="AX67" s="625">
        <v>19.216666650000001</v>
      </c>
      <c r="AY67" s="289">
        <v>681</v>
      </c>
      <c r="AZ67" s="289">
        <v>140</v>
      </c>
      <c r="BA67" s="290">
        <v>61</v>
      </c>
      <c r="BB67" s="289">
        <v>0</v>
      </c>
      <c r="BC67" s="289">
        <v>784.84620202999997</v>
      </c>
      <c r="BD67" s="289">
        <v>38.541068399267829</v>
      </c>
      <c r="BE67" s="289">
        <v>136314.32808832999</v>
      </c>
      <c r="BF67" s="289">
        <v>0</v>
      </c>
      <c r="BG67" s="289">
        <v>-151.33590000000001</v>
      </c>
      <c r="BH67" s="289">
        <v>-9.4334000000000007</v>
      </c>
      <c r="BI67" s="289">
        <v>813.26325121000002</v>
      </c>
      <c r="BJ67" s="289">
        <v>0</v>
      </c>
      <c r="BK67" s="289">
        <v>0</v>
      </c>
      <c r="BL67" s="289">
        <v>0</v>
      </c>
      <c r="BM67" s="289">
        <v>1161</v>
      </c>
      <c r="BN67" s="289">
        <v>326.70953428888328</v>
      </c>
      <c r="BO67" s="289">
        <v>188.87769094893051</v>
      </c>
      <c r="BP67" s="289">
        <v>302.49761506241498</v>
      </c>
      <c r="BQ67" s="289">
        <v>656.13353057781899</v>
      </c>
      <c r="BR67" s="289">
        <v>2.6122279692837083</v>
      </c>
      <c r="BS67" s="289">
        <v>1.0033342428611076</v>
      </c>
      <c r="BT67" s="289">
        <v>0</v>
      </c>
      <c r="BU67" s="289">
        <v>0</v>
      </c>
      <c r="BV67" s="289">
        <v>46.00011655052505</v>
      </c>
      <c r="BW67" s="517"/>
      <c r="BX67" s="517"/>
      <c r="CA67" s="517"/>
      <c r="CB67" s="517"/>
    </row>
    <row r="68" spans="1:80" ht="13">
      <c r="A68" s="1">
        <v>1234</v>
      </c>
      <c r="B68" s="2" t="s">
        <v>36</v>
      </c>
      <c r="C68" s="289">
        <v>937</v>
      </c>
      <c r="D68" s="289">
        <v>28</v>
      </c>
      <c r="E68" s="289">
        <v>40</v>
      </c>
      <c r="F68" s="289">
        <v>84</v>
      </c>
      <c r="G68" s="289">
        <v>78</v>
      </c>
      <c r="H68" s="289">
        <v>503</v>
      </c>
      <c r="I68" s="289">
        <v>135</v>
      </c>
      <c r="J68" s="289">
        <v>43</v>
      </c>
      <c r="K68" s="289">
        <v>18</v>
      </c>
      <c r="L68" s="289">
        <v>5</v>
      </c>
      <c r="M68" s="289">
        <v>97</v>
      </c>
      <c r="N68" s="290">
        <v>6</v>
      </c>
      <c r="O68" s="290">
        <v>7</v>
      </c>
      <c r="P68" s="624">
        <v>3539.5790000000002</v>
      </c>
      <c r="Q68" s="624">
        <v>2476.74366667</v>
      </c>
      <c r="R68" s="624">
        <v>3</v>
      </c>
      <c r="S68" s="289"/>
      <c r="T68" s="289">
        <v>60</v>
      </c>
      <c r="U68" s="716">
        <v>8.4877883852598889E-4</v>
      </c>
      <c r="V68" s="289">
        <v>474.76263705999997</v>
      </c>
      <c r="W68" s="743">
        <v>0.85898284000000003</v>
      </c>
      <c r="X68" s="289">
        <v>1600</v>
      </c>
      <c r="Y68" s="289">
        <v>0</v>
      </c>
      <c r="Z68" s="289">
        <v>23115</v>
      </c>
      <c r="AA68" s="289">
        <v>0</v>
      </c>
      <c r="AB68" s="290">
        <v>13</v>
      </c>
      <c r="AC68" s="289">
        <v>0</v>
      </c>
      <c r="AD68" s="289">
        <v>194.46984399999999</v>
      </c>
      <c r="AE68" s="289">
        <v>0</v>
      </c>
      <c r="AF68" s="289">
        <v>0</v>
      </c>
      <c r="AG68" s="289">
        <v>929</v>
      </c>
      <c r="AH68" s="289">
        <v>140.14744210000001</v>
      </c>
      <c r="AI68" s="289">
        <v>0</v>
      </c>
      <c r="AJ68" s="289">
        <v>0</v>
      </c>
      <c r="AK68" s="289">
        <v>7.4249999999999998</v>
      </c>
      <c r="AL68" s="289">
        <v>0</v>
      </c>
      <c r="AM68" s="836">
        <v>4.9194599999999996E-3</v>
      </c>
      <c r="AN68" s="289">
        <v>0</v>
      </c>
      <c r="AO68" s="289">
        <v>45.29613724</v>
      </c>
      <c r="AP68" s="289">
        <v>0</v>
      </c>
      <c r="AQ68" s="289">
        <v>0</v>
      </c>
      <c r="AR68" s="289">
        <v>42.2552065</v>
      </c>
      <c r="AS68" s="289"/>
      <c r="AT68" s="289">
        <v>41</v>
      </c>
      <c r="AU68" s="289">
        <v>4</v>
      </c>
      <c r="AV68" s="625">
        <v>43388</v>
      </c>
      <c r="AW68" s="289"/>
      <c r="AX68" s="625">
        <v>3.4466667000000002</v>
      </c>
      <c r="AY68" s="289">
        <v>178</v>
      </c>
      <c r="AZ68" s="289">
        <v>26</v>
      </c>
      <c r="BA68" s="290">
        <v>19</v>
      </c>
      <c r="BB68" s="289">
        <v>5698</v>
      </c>
      <c r="BC68" s="289">
        <v>317.17004041000001</v>
      </c>
      <c r="BD68" s="289">
        <v>9.7772530316955883</v>
      </c>
      <c r="BE68" s="289">
        <v>43922.713762760002</v>
      </c>
      <c r="BF68" s="289">
        <v>0</v>
      </c>
      <c r="BG68" s="289">
        <v>-34.578200000000002</v>
      </c>
      <c r="BH68" s="289">
        <v>-2.6231</v>
      </c>
      <c r="BI68" s="289">
        <v>334.6172861</v>
      </c>
      <c r="BJ68" s="289">
        <v>0</v>
      </c>
      <c r="BK68" s="289">
        <v>0</v>
      </c>
      <c r="BL68" s="289">
        <v>0</v>
      </c>
      <c r="BM68" s="289">
        <v>251</v>
      </c>
      <c r="BN68" s="289">
        <v>89.092447862782578</v>
      </c>
      <c r="BO68" s="289">
        <v>66.245898220022482</v>
      </c>
      <c r="BP68" s="289">
        <v>84.112626277456883</v>
      </c>
      <c r="BQ68" s="289">
        <v>110.17149324067331</v>
      </c>
      <c r="BR68" s="289">
        <v>0.66268048325936779</v>
      </c>
      <c r="BS68" s="289">
        <v>0.47734990200551097</v>
      </c>
      <c r="BT68" s="289">
        <v>0</v>
      </c>
      <c r="BU68" s="289">
        <v>0</v>
      </c>
      <c r="BV68" s="289">
        <v>7.7238874305864975</v>
      </c>
      <c r="BW68" s="517"/>
      <c r="BX68" s="517"/>
      <c r="CA68" s="517"/>
      <c r="CB68" s="517"/>
    </row>
    <row r="69" spans="1:80" ht="13">
      <c r="A69" s="1">
        <v>1235</v>
      </c>
      <c r="B69" s="2" t="s">
        <v>37</v>
      </c>
      <c r="C69" s="289">
        <v>14606</v>
      </c>
      <c r="D69" s="289">
        <v>288</v>
      </c>
      <c r="E69" s="289">
        <v>680</v>
      </c>
      <c r="F69" s="289">
        <v>1779</v>
      </c>
      <c r="G69" s="289">
        <v>1282</v>
      </c>
      <c r="H69" s="289">
        <v>7845</v>
      </c>
      <c r="I69" s="289">
        <v>1776</v>
      </c>
      <c r="J69" s="289">
        <v>755</v>
      </c>
      <c r="K69" s="289">
        <v>204</v>
      </c>
      <c r="L69" s="289">
        <v>103</v>
      </c>
      <c r="M69" s="289">
        <v>1175</v>
      </c>
      <c r="N69" s="290">
        <v>192</v>
      </c>
      <c r="O69" s="290">
        <v>129</v>
      </c>
      <c r="P69" s="624">
        <v>84262.650333330006</v>
      </c>
      <c r="Q69" s="624">
        <v>36996.284666669999</v>
      </c>
      <c r="R69" s="624">
        <v>63</v>
      </c>
      <c r="S69" s="289"/>
      <c r="T69" s="289">
        <v>1078</v>
      </c>
      <c r="U69" s="716">
        <v>7.9538986455876762E-3</v>
      </c>
      <c r="V69" s="289">
        <v>6303.2681045299996</v>
      </c>
      <c r="W69" s="743">
        <v>0.61757267000000005</v>
      </c>
      <c r="X69" s="289">
        <v>5200</v>
      </c>
      <c r="Y69" s="289">
        <v>414.28399999999999</v>
      </c>
      <c r="Z69" s="289">
        <v>427963</v>
      </c>
      <c r="AA69" s="289">
        <v>0</v>
      </c>
      <c r="AB69" s="290">
        <v>231</v>
      </c>
      <c r="AC69" s="289">
        <v>0</v>
      </c>
      <c r="AD69" s="289">
        <v>4169.2585719999997</v>
      </c>
      <c r="AE69" s="289">
        <v>0</v>
      </c>
      <c r="AF69" s="289">
        <v>0</v>
      </c>
      <c r="AG69" s="289">
        <v>14609</v>
      </c>
      <c r="AH69" s="289">
        <v>2438.98384317</v>
      </c>
      <c r="AI69" s="289">
        <v>0</v>
      </c>
      <c r="AJ69" s="289">
        <v>0</v>
      </c>
      <c r="AK69" s="289">
        <v>0</v>
      </c>
      <c r="AL69" s="289">
        <v>0</v>
      </c>
      <c r="AM69" s="836">
        <v>0.12244399</v>
      </c>
      <c r="AN69" s="289">
        <v>0</v>
      </c>
      <c r="AO69" s="289">
        <v>601.38198508999994</v>
      </c>
      <c r="AP69" s="289">
        <v>0</v>
      </c>
      <c r="AQ69" s="289">
        <v>0</v>
      </c>
      <c r="AR69" s="289">
        <v>-777.60347540999999</v>
      </c>
      <c r="AS69" s="289"/>
      <c r="AT69" s="289">
        <v>532</v>
      </c>
      <c r="AU69" s="289">
        <v>99</v>
      </c>
      <c r="AV69" s="625">
        <v>420271</v>
      </c>
      <c r="AW69" s="289"/>
      <c r="AX69" s="625">
        <v>83.453333299999997</v>
      </c>
      <c r="AY69" s="289">
        <v>3258</v>
      </c>
      <c r="AZ69" s="289">
        <v>494</v>
      </c>
      <c r="BA69" s="290">
        <v>308</v>
      </c>
      <c r="BB69" s="289">
        <v>0</v>
      </c>
      <c r="BC69" s="289">
        <v>6838.5377778299999</v>
      </c>
      <c r="BD69" s="289">
        <v>177.42915855218496</v>
      </c>
      <c r="BE69" s="289">
        <v>431892.22989734</v>
      </c>
      <c r="BF69" s="289">
        <v>0</v>
      </c>
      <c r="BG69" s="289">
        <v>-561.35630000000003</v>
      </c>
      <c r="BH69" s="289">
        <v>-41.248899999999999</v>
      </c>
      <c r="BI69" s="289">
        <v>7022.5264151700003</v>
      </c>
      <c r="BJ69" s="289">
        <v>0</v>
      </c>
      <c r="BK69" s="289">
        <v>0</v>
      </c>
      <c r="BL69" s="289">
        <v>0</v>
      </c>
      <c r="BM69" s="289">
        <v>3927</v>
      </c>
      <c r="BN69" s="289">
        <v>1177.1478154941346</v>
      </c>
      <c r="BO69" s="289">
        <v>601.76888376233524</v>
      </c>
      <c r="BP69" s="289">
        <v>1322.7140552070698</v>
      </c>
      <c r="BQ69" s="289">
        <v>1032.4160441972801</v>
      </c>
      <c r="BR69" s="289">
        <v>12.025754079648092</v>
      </c>
      <c r="BS69" s="289">
        <v>3.2034169131304697</v>
      </c>
      <c r="BT69" s="289">
        <v>0</v>
      </c>
      <c r="BU69" s="289">
        <v>0</v>
      </c>
      <c r="BV69" s="289">
        <v>72.380477674847839</v>
      </c>
      <c r="BW69" s="517"/>
      <c r="BX69" s="517"/>
      <c r="CA69" s="517"/>
      <c r="CB69" s="517"/>
    </row>
    <row r="70" spans="1:80" ht="13">
      <c r="A70" s="1">
        <v>1241</v>
      </c>
      <c r="B70" s="2" t="s">
        <v>39</v>
      </c>
      <c r="C70" s="289">
        <v>3861</v>
      </c>
      <c r="D70" s="289">
        <v>63</v>
      </c>
      <c r="E70" s="289">
        <v>160</v>
      </c>
      <c r="F70" s="289">
        <v>531</v>
      </c>
      <c r="G70" s="289">
        <v>389</v>
      </c>
      <c r="H70" s="289">
        <v>2037</v>
      </c>
      <c r="I70" s="289">
        <v>485</v>
      </c>
      <c r="J70" s="289">
        <v>175</v>
      </c>
      <c r="K70" s="289">
        <v>48</v>
      </c>
      <c r="L70" s="289">
        <v>30</v>
      </c>
      <c r="M70" s="289">
        <v>295</v>
      </c>
      <c r="N70" s="290">
        <v>9</v>
      </c>
      <c r="O70" s="290">
        <v>38</v>
      </c>
      <c r="P70" s="624">
        <v>62868.535666670003</v>
      </c>
      <c r="Q70" s="624">
        <v>16272.24366667</v>
      </c>
      <c r="R70" s="624">
        <v>20</v>
      </c>
      <c r="S70" s="289"/>
      <c r="T70" s="289">
        <v>236</v>
      </c>
      <c r="U70" s="716">
        <v>2.6324883193614892E-3</v>
      </c>
      <c r="V70" s="289">
        <v>-9940.5540751600001</v>
      </c>
      <c r="W70" s="743">
        <v>0.87655161999999998</v>
      </c>
      <c r="X70" s="289">
        <v>4800</v>
      </c>
      <c r="Y70" s="289">
        <v>414.28399999999999</v>
      </c>
      <c r="Z70" s="289">
        <v>114901</v>
      </c>
      <c r="AA70" s="289">
        <v>0</v>
      </c>
      <c r="AB70" s="290">
        <v>60</v>
      </c>
      <c r="AC70" s="289">
        <v>0</v>
      </c>
      <c r="AD70" s="289">
        <v>6.0405280000000001</v>
      </c>
      <c r="AE70" s="289">
        <v>0</v>
      </c>
      <c r="AF70" s="289">
        <v>0</v>
      </c>
      <c r="AG70" s="289">
        <v>3888</v>
      </c>
      <c r="AH70" s="289">
        <v>704.22346530000004</v>
      </c>
      <c r="AI70" s="289">
        <v>0</v>
      </c>
      <c r="AJ70" s="289">
        <v>0</v>
      </c>
      <c r="AK70" s="289">
        <v>27.381</v>
      </c>
      <c r="AL70" s="289">
        <v>0</v>
      </c>
      <c r="AM70" s="836">
        <v>3.177348E-2</v>
      </c>
      <c r="AN70" s="289">
        <v>0</v>
      </c>
      <c r="AO70" s="289">
        <v>173.47514425</v>
      </c>
      <c r="AP70" s="289">
        <v>0</v>
      </c>
      <c r="AQ70" s="289">
        <v>0</v>
      </c>
      <c r="AR70" s="289">
        <v>8664.9452941300005</v>
      </c>
      <c r="AS70" s="289"/>
      <c r="AT70" s="289">
        <v>138</v>
      </c>
      <c r="AU70" s="289">
        <v>29</v>
      </c>
      <c r="AV70" s="625">
        <v>129840</v>
      </c>
      <c r="AW70" s="289"/>
      <c r="AX70" s="625">
        <v>22.378333349999998</v>
      </c>
      <c r="AY70" s="289">
        <v>722</v>
      </c>
      <c r="AZ70" s="289">
        <v>122</v>
      </c>
      <c r="BA70" s="290">
        <v>67</v>
      </c>
      <c r="BB70" s="289">
        <v>0</v>
      </c>
      <c r="BC70" s="289">
        <v>1094.1698889100001</v>
      </c>
      <c r="BD70" s="289">
        <v>39.929270359489649</v>
      </c>
      <c r="BE70" s="289">
        <v>123847.71643633</v>
      </c>
      <c r="BF70" s="289">
        <v>0</v>
      </c>
      <c r="BG70" s="289">
        <v>-182.99299999999999</v>
      </c>
      <c r="BH70" s="289">
        <v>-10.9779</v>
      </c>
      <c r="BI70" s="289">
        <v>1124.5479932999999</v>
      </c>
      <c r="BJ70" s="289">
        <v>0</v>
      </c>
      <c r="BK70" s="289">
        <v>0</v>
      </c>
      <c r="BL70" s="289">
        <v>0</v>
      </c>
      <c r="BM70" s="289">
        <v>763</v>
      </c>
      <c r="BN70" s="289">
        <v>328.57771563070389</v>
      </c>
      <c r="BO70" s="289">
        <v>199.87416799789276</v>
      </c>
      <c r="BP70" s="289">
        <v>352.02356401157414</v>
      </c>
      <c r="BQ70" s="289">
        <v>341.6969838531212</v>
      </c>
      <c r="BR70" s="289">
        <v>2.7063172132542981</v>
      </c>
      <c r="BS70" s="289">
        <v>1.090066493712468</v>
      </c>
      <c r="BT70" s="289">
        <v>0</v>
      </c>
      <c r="BU70" s="289">
        <v>0</v>
      </c>
      <c r="BV70" s="289">
        <v>23.955643706189548</v>
      </c>
      <c r="BW70" s="517"/>
      <c r="BX70" s="517"/>
      <c r="CA70" s="517"/>
      <c r="CB70" s="517"/>
    </row>
    <row r="71" spans="1:80" ht="13">
      <c r="A71" s="1">
        <v>1243</v>
      </c>
      <c r="B71" s="2" t="s">
        <v>844</v>
      </c>
      <c r="C71" s="289">
        <v>20804</v>
      </c>
      <c r="D71" s="289">
        <v>538</v>
      </c>
      <c r="E71" s="289">
        <v>1211</v>
      </c>
      <c r="F71" s="289">
        <v>2976</v>
      </c>
      <c r="G71" s="289">
        <v>1743</v>
      </c>
      <c r="H71" s="289">
        <v>11485</v>
      </c>
      <c r="I71" s="289">
        <v>2060</v>
      </c>
      <c r="J71" s="289">
        <v>549</v>
      </c>
      <c r="K71" s="289">
        <v>115</v>
      </c>
      <c r="L71" s="289">
        <v>141</v>
      </c>
      <c r="M71" s="289">
        <v>968</v>
      </c>
      <c r="N71" s="290">
        <v>220</v>
      </c>
      <c r="O71" s="290">
        <v>202</v>
      </c>
      <c r="P71" s="624">
        <v>65422.481666669999</v>
      </c>
      <c r="Q71" s="624">
        <v>38649.252999999997</v>
      </c>
      <c r="R71" s="624">
        <v>72</v>
      </c>
      <c r="S71" s="289"/>
      <c r="T71" s="289">
        <v>1324</v>
      </c>
      <c r="U71" s="716">
        <v>1.1027266094609319E-3</v>
      </c>
      <c r="V71" s="289">
        <v>6699.3662714900001</v>
      </c>
      <c r="W71" s="743">
        <v>0.57582007000000002</v>
      </c>
      <c r="X71" s="289">
        <v>1100</v>
      </c>
      <c r="Y71" s="289">
        <v>414.28399999999999</v>
      </c>
      <c r="Z71" s="289">
        <v>591258</v>
      </c>
      <c r="AA71" s="289">
        <v>0</v>
      </c>
      <c r="AB71" s="290">
        <v>320</v>
      </c>
      <c r="AC71" s="289">
        <v>0</v>
      </c>
      <c r="AD71" s="289">
        <v>4859.9409320000004</v>
      </c>
      <c r="AE71" s="289">
        <v>13458</v>
      </c>
      <c r="AF71" s="289">
        <v>0</v>
      </c>
      <c r="AG71" s="289">
        <v>20677</v>
      </c>
      <c r="AH71" s="289">
        <v>3995.9452273400002</v>
      </c>
      <c r="AI71" s="289">
        <v>400</v>
      </c>
      <c r="AJ71" s="289">
        <v>0</v>
      </c>
      <c r="AK71" s="289">
        <v>0</v>
      </c>
      <c r="AL71" s="289">
        <v>0</v>
      </c>
      <c r="AM71" s="836">
        <v>0.56202277</v>
      </c>
      <c r="AN71" s="289">
        <v>0</v>
      </c>
      <c r="AO71" s="289">
        <v>803.35093211000003</v>
      </c>
      <c r="AP71" s="289">
        <v>0</v>
      </c>
      <c r="AQ71" s="289">
        <v>0</v>
      </c>
      <c r="AR71" s="289">
        <v>-1100.58916155</v>
      </c>
      <c r="AS71" s="289"/>
      <c r="AT71" s="289">
        <v>1010</v>
      </c>
      <c r="AU71" s="289">
        <v>320</v>
      </c>
      <c r="AV71" s="625">
        <v>253619</v>
      </c>
      <c r="AW71" s="289"/>
      <c r="AX71" s="625">
        <v>177.56166665000001</v>
      </c>
      <c r="AY71" s="289">
        <v>4493</v>
      </c>
      <c r="AZ71" s="289">
        <v>736</v>
      </c>
      <c r="BA71" s="290">
        <v>524</v>
      </c>
      <c r="BB71" s="289">
        <v>0</v>
      </c>
      <c r="BC71" s="289">
        <v>-243552.50750899999</v>
      </c>
      <c r="BD71" s="289">
        <v>264.7842011857353</v>
      </c>
      <c r="BE71" s="289">
        <v>288183.01435069001</v>
      </c>
      <c r="BF71" s="289">
        <v>0</v>
      </c>
      <c r="BG71" s="289">
        <v>-910.14380000000006</v>
      </c>
      <c r="BH71" s="289">
        <v>-58.381999999999998</v>
      </c>
      <c r="BI71" s="289">
        <v>-251989.6165879</v>
      </c>
      <c r="BJ71" s="289">
        <v>0</v>
      </c>
      <c r="BK71" s="289">
        <v>0</v>
      </c>
      <c r="BL71" s="289">
        <v>-261259.78674720001</v>
      </c>
      <c r="BM71" s="289">
        <v>4005</v>
      </c>
      <c r="BN71" s="289">
        <v>1143.0159944900975</v>
      </c>
      <c r="BO71" s="289">
        <v>764.95735827993212</v>
      </c>
      <c r="BP71" s="289">
        <v>1872.1170866942691</v>
      </c>
      <c r="BQ71" s="289">
        <v>143.13391390802894</v>
      </c>
      <c r="BR71" s="289">
        <v>17.946484747033171</v>
      </c>
      <c r="BS71" s="289">
        <v>4.448381164131515</v>
      </c>
      <c r="BT71" s="289">
        <v>0</v>
      </c>
      <c r="BU71" s="289">
        <v>0</v>
      </c>
      <c r="BV71" s="289">
        <v>10.034812146094481</v>
      </c>
      <c r="BW71" s="517"/>
      <c r="BX71" s="517"/>
      <c r="CA71" s="517"/>
      <c r="CB71" s="517"/>
    </row>
    <row r="72" spans="1:80" ht="13">
      <c r="A72" s="1">
        <v>1245</v>
      </c>
      <c r="B72" s="2" t="s">
        <v>42</v>
      </c>
      <c r="C72" s="289">
        <v>7062</v>
      </c>
      <c r="D72" s="289">
        <v>157</v>
      </c>
      <c r="E72" s="289">
        <v>403</v>
      </c>
      <c r="F72" s="289">
        <v>1061</v>
      </c>
      <c r="G72" s="289">
        <v>546</v>
      </c>
      <c r="H72" s="289">
        <v>3938</v>
      </c>
      <c r="I72" s="289">
        <v>741</v>
      </c>
      <c r="J72" s="289">
        <v>178</v>
      </c>
      <c r="K72" s="289">
        <v>52</v>
      </c>
      <c r="L72" s="289">
        <v>47</v>
      </c>
      <c r="M72" s="289">
        <v>347</v>
      </c>
      <c r="N72" s="290">
        <v>120</v>
      </c>
      <c r="O72" s="290">
        <v>69</v>
      </c>
      <c r="P72" s="624">
        <v>43982.246333329997</v>
      </c>
      <c r="Q72" s="624">
        <v>23046.733666669999</v>
      </c>
      <c r="R72" s="624">
        <v>24</v>
      </c>
      <c r="S72" s="289"/>
      <c r="T72" s="289">
        <v>420</v>
      </c>
      <c r="U72" s="716">
        <v>8.8425260477257694E-4</v>
      </c>
      <c r="V72" s="289">
        <v>1853.9279392000001</v>
      </c>
      <c r="W72" s="743">
        <v>0.65249621000000002</v>
      </c>
      <c r="X72" s="289">
        <v>1500</v>
      </c>
      <c r="Y72" s="289">
        <v>0</v>
      </c>
      <c r="Z72" s="289">
        <v>186915</v>
      </c>
      <c r="AA72" s="289">
        <v>0</v>
      </c>
      <c r="AB72" s="290">
        <v>171</v>
      </c>
      <c r="AC72" s="289">
        <v>0</v>
      </c>
      <c r="AD72" s="289">
        <v>3683.636512</v>
      </c>
      <c r="AE72" s="289">
        <v>907</v>
      </c>
      <c r="AF72" s="289">
        <v>0</v>
      </c>
      <c r="AG72" s="289">
        <v>7076</v>
      </c>
      <c r="AH72" s="289">
        <v>1365.21737134</v>
      </c>
      <c r="AI72" s="289">
        <v>0</v>
      </c>
      <c r="AJ72" s="289">
        <v>0</v>
      </c>
      <c r="AK72" s="289">
        <v>0</v>
      </c>
      <c r="AL72" s="289">
        <v>0</v>
      </c>
      <c r="AM72" s="836">
        <v>0.25208963000000001</v>
      </c>
      <c r="AN72" s="289">
        <v>0</v>
      </c>
      <c r="AO72" s="289">
        <v>286.33151051999999</v>
      </c>
      <c r="AP72" s="289">
        <v>0</v>
      </c>
      <c r="AQ72" s="289">
        <v>0</v>
      </c>
      <c r="AR72" s="289">
        <v>-376.63920816000001</v>
      </c>
      <c r="AS72" s="289"/>
      <c r="AT72" s="289">
        <v>325</v>
      </c>
      <c r="AU72" s="289">
        <v>124</v>
      </c>
      <c r="AV72" s="625">
        <v>193410</v>
      </c>
      <c r="AW72" s="289"/>
      <c r="AX72" s="625">
        <v>38.516666700000002</v>
      </c>
      <c r="AY72" s="289">
        <v>1014</v>
      </c>
      <c r="AZ72" s="289">
        <v>314</v>
      </c>
      <c r="BA72" s="290">
        <v>157</v>
      </c>
      <c r="BB72" s="289">
        <v>0</v>
      </c>
      <c r="BC72" s="289">
        <v>4917.6448283099999</v>
      </c>
      <c r="BD72" s="289">
        <v>102.97644997650463</v>
      </c>
      <c r="BE72" s="289">
        <v>201993.90609090999</v>
      </c>
      <c r="BF72" s="289">
        <v>0</v>
      </c>
      <c r="BG72" s="289">
        <v>-335.834</v>
      </c>
      <c r="BH72" s="289">
        <v>-19.979299999999999</v>
      </c>
      <c r="BI72" s="289">
        <v>5048.8538833399998</v>
      </c>
      <c r="BJ72" s="289">
        <v>0</v>
      </c>
      <c r="BK72" s="289">
        <v>0</v>
      </c>
      <c r="BL72" s="289">
        <v>0</v>
      </c>
      <c r="BM72" s="289">
        <v>1059</v>
      </c>
      <c r="BN72" s="289">
        <v>413.78601245551863</v>
      </c>
      <c r="BO72" s="289">
        <v>290.59806244151241</v>
      </c>
      <c r="BP72" s="289">
        <v>640.66839993464487</v>
      </c>
      <c r="BQ72" s="289">
        <v>114.77598809948049</v>
      </c>
      <c r="BR72" s="289">
        <v>6.9795149428519805</v>
      </c>
      <c r="BS72" s="289">
        <v>1.6726432410370307</v>
      </c>
      <c r="BT72" s="289">
        <v>0</v>
      </c>
      <c r="BU72" s="289">
        <v>0</v>
      </c>
      <c r="BV72" s="289">
        <v>8.0466987034304474</v>
      </c>
      <c r="BW72" s="517"/>
      <c r="BX72" s="517"/>
      <c r="CA72" s="517"/>
      <c r="CB72" s="517"/>
    </row>
    <row r="73" spans="1:80" ht="13">
      <c r="A73" s="1">
        <v>1246</v>
      </c>
      <c r="B73" s="2" t="s">
        <v>43</v>
      </c>
      <c r="C73" s="289">
        <v>26166</v>
      </c>
      <c r="D73" s="289">
        <v>716</v>
      </c>
      <c r="E73" s="289">
        <v>1392</v>
      </c>
      <c r="F73" s="289">
        <v>3621</v>
      </c>
      <c r="G73" s="289">
        <v>2633</v>
      </c>
      <c r="H73" s="289">
        <v>14615</v>
      </c>
      <c r="I73" s="289">
        <v>2312</v>
      </c>
      <c r="J73" s="289">
        <v>497</v>
      </c>
      <c r="K73" s="289">
        <v>118</v>
      </c>
      <c r="L73" s="289">
        <v>187</v>
      </c>
      <c r="M73" s="289">
        <v>1041</v>
      </c>
      <c r="N73" s="290">
        <v>349</v>
      </c>
      <c r="O73" s="290">
        <v>235</v>
      </c>
      <c r="P73" s="624">
        <v>87700.005000000005</v>
      </c>
      <c r="Q73" s="624">
        <v>66611.860666670007</v>
      </c>
      <c r="R73" s="624">
        <v>98</v>
      </c>
      <c r="S73" s="289"/>
      <c r="T73" s="289">
        <v>1442</v>
      </c>
      <c r="U73" s="716">
        <v>1.1279242376948072E-3</v>
      </c>
      <c r="V73" s="289">
        <v>-22611.13045982</v>
      </c>
      <c r="W73" s="743">
        <v>0.58103428000000001</v>
      </c>
      <c r="X73" s="289">
        <v>1600</v>
      </c>
      <c r="Y73" s="289">
        <v>828.56799999999998</v>
      </c>
      <c r="Z73" s="289">
        <v>777937</v>
      </c>
      <c r="AA73" s="289">
        <v>0</v>
      </c>
      <c r="AB73" s="290">
        <v>511</v>
      </c>
      <c r="AC73" s="289">
        <v>0</v>
      </c>
      <c r="AD73" s="289">
        <v>4887.6866520000003</v>
      </c>
      <c r="AE73" s="289">
        <v>5154</v>
      </c>
      <c r="AF73" s="289">
        <v>0</v>
      </c>
      <c r="AG73" s="289">
        <v>25904</v>
      </c>
      <c r="AH73" s="289">
        <v>5041.8216609399997</v>
      </c>
      <c r="AI73" s="289">
        <v>2150</v>
      </c>
      <c r="AJ73" s="289">
        <v>0</v>
      </c>
      <c r="AK73" s="289">
        <v>0</v>
      </c>
      <c r="AL73" s="289">
        <v>0</v>
      </c>
      <c r="AM73" s="836">
        <v>0.97787597999999998</v>
      </c>
      <c r="AN73" s="289">
        <v>0</v>
      </c>
      <c r="AO73" s="289">
        <v>971.22155905</v>
      </c>
      <c r="AP73" s="289">
        <v>0</v>
      </c>
      <c r="AQ73" s="289">
        <v>0</v>
      </c>
      <c r="AR73" s="289">
        <v>-1378.81035163</v>
      </c>
      <c r="AS73" s="289"/>
      <c r="AT73" s="289">
        <v>1353</v>
      </c>
      <c r="AU73" s="289">
        <v>546</v>
      </c>
      <c r="AV73" s="625">
        <v>551946</v>
      </c>
      <c r="AW73" s="289"/>
      <c r="AX73" s="625">
        <v>263.11000005</v>
      </c>
      <c r="AY73" s="289">
        <v>5108</v>
      </c>
      <c r="AZ73" s="289">
        <v>876</v>
      </c>
      <c r="BA73" s="290">
        <v>640</v>
      </c>
      <c r="BB73" s="289">
        <v>0</v>
      </c>
      <c r="BC73" s="289">
        <v>10405.190343550001</v>
      </c>
      <c r="BD73" s="289">
        <v>360.54351842897921</v>
      </c>
      <c r="BE73" s="289">
        <v>596263.26645471004</v>
      </c>
      <c r="BF73" s="289">
        <v>0</v>
      </c>
      <c r="BG73" s="289">
        <v>-1114.42</v>
      </c>
      <c r="BH73" s="289">
        <v>-73.140600000000006</v>
      </c>
      <c r="BI73" s="289">
        <v>10758.07631294</v>
      </c>
      <c r="BJ73" s="289">
        <v>0</v>
      </c>
      <c r="BK73" s="289">
        <v>0</v>
      </c>
      <c r="BL73" s="289">
        <v>0</v>
      </c>
      <c r="BM73" s="289">
        <v>3847</v>
      </c>
      <c r="BN73" s="289">
        <v>1338.0458394257566</v>
      </c>
      <c r="BO73" s="289">
        <v>944.01410776373359</v>
      </c>
      <c r="BP73" s="289">
        <v>2345.375103435138</v>
      </c>
      <c r="BQ73" s="289">
        <v>146.40456605278598</v>
      </c>
      <c r="BR73" s="289">
        <v>24.436838471297481</v>
      </c>
      <c r="BS73" s="289">
        <v>5.5339210651120254</v>
      </c>
      <c r="BT73" s="289">
        <v>0</v>
      </c>
      <c r="BU73" s="289">
        <v>0</v>
      </c>
      <c r="BV73" s="289">
        <v>10.26411056302274</v>
      </c>
      <c r="BW73" s="517"/>
      <c r="BX73" s="517"/>
      <c r="CA73" s="517"/>
      <c r="CB73" s="517"/>
    </row>
    <row r="74" spans="1:80" ht="13">
      <c r="A74" s="1">
        <v>1256</v>
      </c>
      <c r="B74" s="2" t="s">
        <v>48</v>
      </c>
      <c r="C74" s="289">
        <v>8187</v>
      </c>
      <c r="D74" s="289">
        <v>215</v>
      </c>
      <c r="E74" s="289">
        <v>508</v>
      </c>
      <c r="F74" s="289">
        <v>1227</v>
      </c>
      <c r="G74" s="289">
        <v>711</v>
      </c>
      <c r="H74" s="289">
        <v>4460</v>
      </c>
      <c r="I74" s="289">
        <v>729</v>
      </c>
      <c r="J74" s="289">
        <v>191</v>
      </c>
      <c r="K74" s="289">
        <v>53</v>
      </c>
      <c r="L74" s="289">
        <v>52</v>
      </c>
      <c r="M74" s="289">
        <v>316</v>
      </c>
      <c r="N74" s="290">
        <v>55</v>
      </c>
      <c r="O74" s="290">
        <v>82</v>
      </c>
      <c r="P74" s="624">
        <v>25397.673999999999</v>
      </c>
      <c r="Q74" s="624">
        <v>20112.93266667</v>
      </c>
      <c r="R74" s="624">
        <v>27</v>
      </c>
      <c r="S74" s="289"/>
      <c r="T74" s="289">
        <v>447</v>
      </c>
      <c r="U74" s="716">
        <v>1.7736016267918793E-3</v>
      </c>
      <c r="V74" s="289">
        <v>-3184.0906090100002</v>
      </c>
      <c r="W74" s="743">
        <v>0.60356434000000003</v>
      </c>
      <c r="X74" s="289">
        <v>3800</v>
      </c>
      <c r="Y74" s="289">
        <v>414.28399999999999</v>
      </c>
      <c r="Z74" s="289">
        <v>213576</v>
      </c>
      <c r="AA74" s="289">
        <v>0</v>
      </c>
      <c r="AB74" s="290">
        <v>169</v>
      </c>
      <c r="AC74" s="289">
        <v>0</v>
      </c>
      <c r="AD74" s="289">
        <v>3763.8122880000001</v>
      </c>
      <c r="AE74" s="289">
        <v>269</v>
      </c>
      <c r="AF74" s="289">
        <v>0</v>
      </c>
      <c r="AG74" s="289">
        <v>8094</v>
      </c>
      <c r="AH74" s="289">
        <v>1657.36552179</v>
      </c>
      <c r="AI74" s="289">
        <v>1250</v>
      </c>
      <c r="AJ74" s="289">
        <v>0</v>
      </c>
      <c r="AK74" s="289">
        <v>0</v>
      </c>
      <c r="AL74" s="289">
        <v>0</v>
      </c>
      <c r="AM74" s="836">
        <v>0.18116336</v>
      </c>
      <c r="AN74" s="289">
        <v>0</v>
      </c>
      <c r="AO74" s="289">
        <v>325.56149624</v>
      </c>
      <c r="AP74" s="289">
        <v>0</v>
      </c>
      <c r="AQ74" s="289">
        <v>0</v>
      </c>
      <c r="AR74" s="289">
        <v>-430.82500719000001</v>
      </c>
      <c r="AS74" s="289"/>
      <c r="AT74" s="289">
        <v>368</v>
      </c>
      <c r="AU74" s="289">
        <v>116</v>
      </c>
      <c r="AV74" s="625">
        <v>210593</v>
      </c>
      <c r="AW74" s="289"/>
      <c r="AX74" s="625">
        <v>92.606666700000005</v>
      </c>
      <c r="AY74" s="289">
        <v>1644</v>
      </c>
      <c r="AZ74" s="289">
        <v>277</v>
      </c>
      <c r="BA74" s="290">
        <v>202</v>
      </c>
      <c r="BB74" s="289">
        <v>0</v>
      </c>
      <c r="BC74" s="289">
        <v>5668.2235151900004</v>
      </c>
      <c r="BD74" s="289">
        <v>97.547255747070921</v>
      </c>
      <c r="BE74" s="289">
        <v>224672.70230636001</v>
      </c>
      <c r="BF74" s="289">
        <v>0</v>
      </c>
      <c r="BG74" s="289">
        <v>-379.91480000000001</v>
      </c>
      <c r="BH74" s="289">
        <v>-22.8536</v>
      </c>
      <c r="BI74" s="289">
        <v>5835.4618097900002</v>
      </c>
      <c r="BJ74" s="289">
        <v>0</v>
      </c>
      <c r="BK74" s="289">
        <v>0</v>
      </c>
      <c r="BL74" s="289">
        <v>0</v>
      </c>
      <c r="BM74" s="289">
        <v>1411</v>
      </c>
      <c r="BN74" s="289">
        <v>433.62871079635272</v>
      </c>
      <c r="BO74" s="289">
        <v>312.73993230401567</v>
      </c>
      <c r="BP74" s="289">
        <v>732.83917878335421</v>
      </c>
      <c r="BQ74" s="289">
        <v>230.21349115758591</v>
      </c>
      <c r="BR74" s="289">
        <v>6.611536222857028</v>
      </c>
      <c r="BS74" s="289">
        <v>1.8702234606259462</v>
      </c>
      <c r="BT74" s="289">
        <v>0</v>
      </c>
      <c r="BU74" s="289">
        <v>0</v>
      </c>
      <c r="BV74" s="289">
        <v>16.139774803806098</v>
      </c>
      <c r="BW74" s="517"/>
      <c r="BX74" s="517"/>
      <c r="CA74" s="517"/>
      <c r="CB74" s="517"/>
    </row>
    <row r="75" spans="1:80" ht="13">
      <c r="A75" s="1">
        <v>1259</v>
      </c>
      <c r="B75" s="2" t="s">
        <v>49</v>
      </c>
      <c r="C75" s="289">
        <v>4889</v>
      </c>
      <c r="D75" s="289">
        <v>136</v>
      </c>
      <c r="E75" s="289">
        <v>244</v>
      </c>
      <c r="F75" s="289">
        <v>685</v>
      </c>
      <c r="G75" s="289">
        <v>436</v>
      </c>
      <c r="H75" s="289">
        <v>2675</v>
      </c>
      <c r="I75" s="289">
        <v>508</v>
      </c>
      <c r="J75" s="289">
        <v>153</v>
      </c>
      <c r="K75" s="289">
        <v>59</v>
      </c>
      <c r="L75" s="289">
        <v>40</v>
      </c>
      <c r="M75" s="289">
        <v>289</v>
      </c>
      <c r="N75" s="290">
        <v>76</v>
      </c>
      <c r="O75" s="290">
        <v>55</v>
      </c>
      <c r="P75" s="624">
        <v>33284.555333329998</v>
      </c>
      <c r="Q75" s="624">
        <v>15984.019666669999</v>
      </c>
      <c r="R75" s="624">
        <v>13</v>
      </c>
      <c r="S75" s="289"/>
      <c r="T75" s="289">
        <v>301</v>
      </c>
      <c r="U75" s="716">
        <v>7.3435557802758924E-4</v>
      </c>
      <c r="V75" s="289">
        <v>1256.2358896600001</v>
      </c>
      <c r="W75" s="743">
        <v>0.68601891000000004</v>
      </c>
      <c r="X75" s="289">
        <v>0</v>
      </c>
      <c r="Y75" s="289">
        <v>414.28399999999999</v>
      </c>
      <c r="Z75" s="289">
        <v>123517</v>
      </c>
      <c r="AA75" s="289">
        <v>0</v>
      </c>
      <c r="AB75" s="290">
        <v>89</v>
      </c>
      <c r="AC75" s="289">
        <v>0</v>
      </c>
      <c r="AD75" s="289">
        <v>3098.5287239999998</v>
      </c>
      <c r="AE75" s="289">
        <v>0</v>
      </c>
      <c r="AF75" s="289">
        <v>0</v>
      </c>
      <c r="AG75" s="289">
        <v>4896</v>
      </c>
      <c r="AH75" s="289">
        <v>923.16026539999996</v>
      </c>
      <c r="AI75" s="289">
        <v>1600</v>
      </c>
      <c r="AJ75" s="289">
        <v>0</v>
      </c>
      <c r="AK75" s="289">
        <v>1502.192</v>
      </c>
      <c r="AL75" s="289">
        <v>0</v>
      </c>
      <c r="AM75" s="836">
        <v>0.26082263</v>
      </c>
      <c r="AN75" s="289">
        <v>0</v>
      </c>
      <c r="AO75" s="289">
        <v>203.43228794000001</v>
      </c>
      <c r="AP75" s="289">
        <v>0</v>
      </c>
      <c r="AQ75" s="289">
        <v>0</v>
      </c>
      <c r="AR75" s="289">
        <v>-260.60282124999998</v>
      </c>
      <c r="AS75" s="289"/>
      <c r="AT75" s="289">
        <v>225</v>
      </c>
      <c r="AU75" s="289">
        <v>113</v>
      </c>
      <c r="AV75" s="625">
        <v>138818</v>
      </c>
      <c r="AW75" s="289"/>
      <c r="AX75" s="625">
        <v>42.029999949999997</v>
      </c>
      <c r="AY75" s="289">
        <v>658</v>
      </c>
      <c r="AZ75" s="289">
        <v>244</v>
      </c>
      <c r="BA75" s="290">
        <v>107</v>
      </c>
      <c r="BB75" s="289">
        <v>0</v>
      </c>
      <c r="BC75" s="289">
        <v>4341.4302121399996</v>
      </c>
      <c r="BD75" s="289">
        <v>75.182612432166636</v>
      </c>
      <c r="BE75" s="289">
        <v>146188.72034604999</v>
      </c>
      <c r="BF75" s="289">
        <v>0</v>
      </c>
      <c r="BG75" s="289">
        <v>-221.76669999999999</v>
      </c>
      <c r="BH75" s="289">
        <v>-13.824</v>
      </c>
      <c r="BI75" s="289">
        <v>4435.9729894000002</v>
      </c>
      <c r="BJ75" s="289">
        <v>0</v>
      </c>
      <c r="BK75" s="289">
        <v>0</v>
      </c>
      <c r="BL75" s="289">
        <v>0</v>
      </c>
      <c r="BM75" s="289">
        <v>729</v>
      </c>
      <c r="BN75" s="289">
        <v>326.19315449081387</v>
      </c>
      <c r="BO75" s="289">
        <v>213.03310356325895</v>
      </c>
      <c r="BP75" s="289">
        <v>443.28893245901929</v>
      </c>
      <c r="BQ75" s="289">
        <v>95.319354027981092</v>
      </c>
      <c r="BR75" s="289">
        <v>5.0957103981801826</v>
      </c>
      <c r="BS75" s="289">
        <v>1.2363649652184816</v>
      </c>
      <c r="BT75" s="289">
        <v>0</v>
      </c>
      <c r="BU75" s="289">
        <v>0</v>
      </c>
      <c r="BV75" s="289">
        <v>6.6826357600510597</v>
      </c>
      <c r="BW75" s="517"/>
      <c r="BX75" s="517"/>
      <c r="CA75" s="517"/>
      <c r="CB75" s="517"/>
    </row>
    <row r="76" spans="1:80" ht="13">
      <c r="A76" s="1">
        <v>1260</v>
      </c>
      <c r="B76" s="2" t="s">
        <v>53</v>
      </c>
      <c r="C76" s="289">
        <v>5091</v>
      </c>
      <c r="D76" s="289">
        <v>112</v>
      </c>
      <c r="E76" s="289">
        <v>268</v>
      </c>
      <c r="F76" s="289">
        <v>618</v>
      </c>
      <c r="G76" s="289">
        <v>473</v>
      </c>
      <c r="H76" s="289">
        <v>2830</v>
      </c>
      <c r="I76" s="289">
        <v>590</v>
      </c>
      <c r="J76" s="289">
        <v>198</v>
      </c>
      <c r="K76" s="289">
        <v>47</v>
      </c>
      <c r="L76" s="289">
        <v>37</v>
      </c>
      <c r="M76" s="289">
        <v>299</v>
      </c>
      <c r="N76" s="290">
        <v>30</v>
      </c>
      <c r="O76" s="290">
        <v>57</v>
      </c>
      <c r="P76" s="624">
        <v>30152.35133333</v>
      </c>
      <c r="Q76" s="624">
        <v>11243.298000000001</v>
      </c>
      <c r="R76" s="624">
        <v>32</v>
      </c>
      <c r="S76" s="289"/>
      <c r="T76" s="289">
        <v>339</v>
      </c>
      <c r="U76" s="716">
        <v>3.4684747734631291E-3</v>
      </c>
      <c r="V76" s="289">
        <v>-363.19952253999998</v>
      </c>
      <c r="W76" s="743">
        <v>0.66794427999999995</v>
      </c>
      <c r="X76" s="289">
        <v>3500</v>
      </c>
      <c r="Y76" s="289">
        <v>414.28399999999999</v>
      </c>
      <c r="Z76" s="289">
        <v>124781</v>
      </c>
      <c r="AA76" s="289">
        <v>0</v>
      </c>
      <c r="AB76" s="290">
        <v>92</v>
      </c>
      <c r="AC76" s="289">
        <v>0</v>
      </c>
      <c r="AD76" s="289">
        <v>3412.8870120000001</v>
      </c>
      <c r="AE76" s="289">
        <v>0</v>
      </c>
      <c r="AF76" s="289">
        <v>0</v>
      </c>
      <c r="AG76" s="289">
        <v>5136</v>
      </c>
      <c r="AH76" s="289">
        <v>884.11421187999997</v>
      </c>
      <c r="AI76" s="289">
        <v>250</v>
      </c>
      <c r="AJ76" s="289">
        <v>0</v>
      </c>
      <c r="AK76" s="289">
        <v>0</v>
      </c>
      <c r="AL76" s="289">
        <v>0</v>
      </c>
      <c r="AM76" s="836">
        <v>0.13429719000000001</v>
      </c>
      <c r="AN76" s="289">
        <v>0</v>
      </c>
      <c r="AO76" s="289">
        <v>211.61491276000001</v>
      </c>
      <c r="AP76" s="289">
        <v>0</v>
      </c>
      <c r="AQ76" s="289">
        <v>0</v>
      </c>
      <c r="AR76" s="289">
        <v>-273.37746935000001</v>
      </c>
      <c r="AS76" s="289"/>
      <c r="AT76" s="289">
        <v>218</v>
      </c>
      <c r="AU76" s="289">
        <v>74</v>
      </c>
      <c r="AV76" s="625">
        <v>145653</v>
      </c>
      <c r="AW76" s="289"/>
      <c r="AX76" s="625">
        <v>32.503333349999998</v>
      </c>
      <c r="AY76" s="289">
        <v>748</v>
      </c>
      <c r="AZ76" s="289">
        <v>219</v>
      </c>
      <c r="BA76" s="290">
        <v>105</v>
      </c>
      <c r="BB76" s="289">
        <v>0</v>
      </c>
      <c r="BC76" s="289">
        <v>4587.1922020399998</v>
      </c>
      <c r="BD76" s="289">
        <v>65.261535482189942</v>
      </c>
      <c r="BE76" s="289">
        <v>152945.73652420001</v>
      </c>
      <c r="BF76" s="289">
        <v>0</v>
      </c>
      <c r="BG76" s="289">
        <v>-200.0874</v>
      </c>
      <c r="BH76" s="289">
        <v>-14.5016</v>
      </c>
      <c r="BI76" s="289">
        <v>4711.2852238799996</v>
      </c>
      <c r="BJ76" s="289">
        <v>0</v>
      </c>
      <c r="BK76" s="289">
        <v>0</v>
      </c>
      <c r="BL76" s="289">
        <v>0</v>
      </c>
      <c r="BM76" s="289">
        <v>896</v>
      </c>
      <c r="BN76" s="289">
        <v>382.56333876153565</v>
      </c>
      <c r="BO76" s="289">
        <v>219.3994667345531</v>
      </c>
      <c r="BP76" s="289">
        <v>465.01878208936341</v>
      </c>
      <c r="BQ76" s="289">
        <v>450.20802559551407</v>
      </c>
      <c r="BR76" s="289">
        <v>4.4232818493484301</v>
      </c>
      <c r="BS76" s="289">
        <v>1.2783150656082634</v>
      </c>
      <c r="BT76" s="289">
        <v>0</v>
      </c>
      <c r="BU76" s="289">
        <v>0</v>
      </c>
      <c r="BV76" s="289">
        <v>31.563120438514471</v>
      </c>
      <c r="BW76" s="517"/>
      <c r="BX76" s="517"/>
      <c r="CA76" s="517"/>
      <c r="CB76" s="517"/>
    </row>
    <row r="77" spans="1:80" ht="13">
      <c r="A77" s="1">
        <v>1263</v>
      </c>
      <c r="B77" s="2" t="s">
        <v>54</v>
      </c>
      <c r="C77" s="289">
        <v>15812</v>
      </c>
      <c r="D77" s="289">
        <v>330</v>
      </c>
      <c r="E77" s="289">
        <v>827</v>
      </c>
      <c r="F77" s="289">
        <v>2196</v>
      </c>
      <c r="G77" s="289">
        <v>1495</v>
      </c>
      <c r="H77" s="289">
        <v>8529</v>
      </c>
      <c r="I77" s="289">
        <v>1841</v>
      </c>
      <c r="J77" s="289">
        <v>486</v>
      </c>
      <c r="K77" s="289">
        <v>137</v>
      </c>
      <c r="L77" s="289">
        <v>106</v>
      </c>
      <c r="M77" s="289">
        <v>905</v>
      </c>
      <c r="N77" s="290">
        <v>112</v>
      </c>
      <c r="O77" s="290">
        <v>140</v>
      </c>
      <c r="P77" s="624">
        <v>81840.521999999997</v>
      </c>
      <c r="Q77" s="624">
        <v>43511.178999999996</v>
      </c>
      <c r="R77" s="624">
        <v>68</v>
      </c>
      <c r="S77" s="289"/>
      <c r="T77" s="289">
        <v>1006</v>
      </c>
      <c r="U77" s="716">
        <v>5.3453655609932201E-3</v>
      </c>
      <c r="V77" s="289">
        <v>-13191.48656992</v>
      </c>
      <c r="W77" s="743">
        <v>0.65636795000000003</v>
      </c>
      <c r="X77" s="289">
        <v>0</v>
      </c>
      <c r="Y77" s="289">
        <v>414.28399999999999</v>
      </c>
      <c r="Z77" s="289">
        <v>455022</v>
      </c>
      <c r="AA77" s="289">
        <v>0</v>
      </c>
      <c r="AB77" s="290">
        <v>327</v>
      </c>
      <c r="AC77" s="289">
        <v>0</v>
      </c>
      <c r="AD77" s="289">
        <v>3654.0352520000001</v>
      </c>
      <c r="AE77" s="289">
        <v>0</v>
      </c>
      <c r="AF77" s="289">
        <v>0</v>
      </c>
      <c r="AG77" s="289">
        <v>15841</v>
      </c>
      <c r="AH77" s="289">
        <v>2977.2615810000002</v>
      </c>
      <c r="AI77" s="289">
        <v>300</v>
      </c>
      <c r="AJ77" s="289">
        <v>0</v>
      </c>
      <c r="AK77" s="289">
        <v>18405.168000000001</v>
      </c>
      <c r="AL77" s="289">
        <v>0</v>
      </c>
      <c r="AM77" s="836">
        <v>0.38854291000000002</v>
      </c>
      <c r="AN77" s="289">
        <v>0</v>
      </c>
      <c r="AO77" s="289">
        <v>629.47441450999997</v>
      </c>
      <c r="AP77" s="289">
        <v>0</v>
      </c>
      <c r="AQ77" s="289">
        <v>0</v>
      </c>
      <c r="AR77" s="289">
        <v>-843.18000232999998</v>
      </c>
      <c r="AS77" s="289"/>
      <c r="AT77" s="289">
        <v>761</v>
      </c>
      <c r="AU77" s="289">
        <v>203</v>
      </c>
      <c r="AV77" s="625">
        <v>391595</v>
      </c>
      <c r="AW77" s="289"/>
      <c r="AX77" s="625">
        <v>97.6683333</v>
      </c>
      <c r="AY77" s="289">
        <v>2896</v>
      </c>
      <c r="AZ77" s="289">
        <v>627</v>
      </c>
      <c r="BA77" s="290">
        <v>351</v>
      </c>
      <c r="BB77" s="289">
        <v>0</v>
      </c>
      <c r="BC77" s="289">
        <v>6857.2649596600004</v>
      </c>
      <c r="BD77" s="289">
        <v>201.74884470260486</v>
      </c>
      <c r="BE77" s="289">
        <v>410021.35811263003</v>
      </c>
      <c r="BF77" s="289">
        <v>0</v>
      </c>
      <c r="BG77" s="289">
        <v>-684.93230000000005</v>
      </c>
      <c r="BH77" s="289">
        <v>-44.727499999999999</v>
      </c>
      <c r="BI77" s="289">
        <v>7045.580833</v>
      </c>
      <c r="BJ77" s="289">
        <v>0</v>
      </c>
      <c r="BK77" s="289">
        <v>0</v>
      </c>
      <c r="BL77" s="289">
        <v>0</v>
      </c>
      <c r="BM77" s="289">
        <v>2757</v>
      </c>
      <c r="BN77" s="289">
        <v>1020.6582583902959</v>
      </c>
      <c r="BO77" s="289">
        <v>629.92117360654095</v>
      </c>
      <c r="BP77" s="289">
        <v>1434.2606166428361</v>
      </c>
      <c r="BQ77" s="289">
        <v>693.82844981691983</v>
      </c>
      <c r="BR77" s="289">
        <v>13.674088363176548</v>
      </c>
      <c r="BS77" s="289">
        <v>3.4721701597904735</v>
      </c>
      <c r="BT77" s="289">
        <v>0</v>
      </c>
      <c r="BU77" s="289">
        <v>0</v>
      </c>
      <c r="BV77" s="289">
        <v>48.642826605038294</v>
      </c>
      <c r="BW77" s="517"/>
      <c r="BX77" s="517"/>
      <c r="CA77" s="517"/>
      <c r="CB77" s="517"/>
    </row>
    <row r="78" spans="1:80" ht="13">
      <c r="A78" s="1">
        <v>1401</v>
      </c>
      <c r="B78" s="2" t="s">
        <v>58</v>
      </c>
      <c r="C78" s="289">
        <v>11852</v>
      </c>
      <c r="D78" s="289">
        <v>220</v>
      </c>
      <c r="E78" s="289">
        <v>501</v>
      </c>
      <c r="F78" s="289">
        <v>1627</v>
      </c>
      <c r="G78" s="289">
        <v>1216</v>
      </c>
      <c r="H78" s="289">
        <v>6667</v>
      </c>
      <c r="I78" s="289">
        <v>1208</v>
      </c>
      <c r="J78" s="289">
        <v>395</v>
      </c>
      <c r="K78" s="289">
        <v>109</v>
      </c>
      <c r="L78" s="289">
        <v>93</v>
      </c>
      <c r="M78" s="289">
        <v>745</v>
      </c>
      <c r="N78" s="290">
        <v>292</v>
      </c>
      <c r="O78" s="290">
        <v>150</v>
      </c>
      <c r="P78" s="624">
        <v>98364.097999999998</v>
      </c>
      <c r="Q78" s="624">
        <v>35757.595000000001</v>
      </c>
      <c r="R78" s="624">
        <v>54</v>
      </c>
      <c r="S78" s="289"/>
      <c r="T78" s="289">
        <v>914</v>
      </c>
      <c r="U78" s="716">
        <v>3.1030043009326875E-3</v>
      </c>
      <c r="V78" s="289">
        <v>5011.3290521600002</v>
      </c>
      <c r="W78" s="743">
        <v>0.63385734999999999</v>
      </c>
      <c r="X78" s="289">
        <v>11500</v>
      </c>
      <c r="Y78" s="289">
        <v>414.28399999999999</v>
      </c>
      <c r="Z78" s="289">
        <v>364786</v>
      </c>
      <c r="AA78" s="289">
        <v>0</v>
      </c>
      <c r="AB78" s="290">
        <v>231</v>
      </c>
      <c r="AC78" s="289">
        <v>0</v>
      </c>
      <c r="AD78" s="289">
        <v>4265.3991880000003</v>
      </c>
      <c r="AE78" s="289">
        <v>0</v>
      </c>
      <c r="AF78" s="289">
        <v>0</v>
      </c>
      <c r="AG78" s="289">
        <v>11943</v>
      </c>
      <c r="AH78" s="289">
        <v>2121.7346583100002</v>
      </c>
      <c r="AI78" s="289">
        <v>4105</v>
      </c>
      <c r="AJ78" s="289">
        <v>0</v>
      </c>
      <c r="AK78" s="289">
        <v>11.378</v>
      </c>
      <c r="AL78" s="289">
        <v>0</v>
      </c>
      <c r="AM78" s="836">
        <v>0.2947806</v>
      </c>
      <c r="AN78" s="289">
        <v>0</v>
      </c>
      <c r="AO78" s="289">
        <v>478.12070870999997</v>
      </c>
      <c r="AP78" s="289">
        <v>0</v>
      </c>
      <c r="AQ78" s="289">
        <v>0</v>
      </c>
      <c r="AR78" s="289">
        <v>-635.69842609</v>
      </c>
      <c r="AS78" s="289"/>
      <c r="AT78" s="289">
        <v>528</v>
      </c>
      <c r="AU78" s="289">
        <v>154</v>
      </c>
      <c r="AV78" s="625">
        <v>331972</v>
      </c>
      <c r="AW78" s="289"/>
      <c r="AX78" s="625">
        <v>72.163333350000002</v>
      </c>
      <c r="AY78" s="289">
        <v>2339</v>
      </c>
      <c r="AZ78" s="289">
        <v>521</v>
      </c>
      <c r="BA78" s="290">
        <v>295</v>
      </c>
      <c r="BB78" s="289">
        <v>0</v>
      </c>
      <c r="BC78" s="289">
        <v>6680.5965657099996</v>
      </c>
      <c r="BD78" s="289">
        <v>181.16630658064884</v>
      </c>
      <c r="BE78" s="289">
        <v>342670.33993086999</v>
      </c>
      <c r="BF78" s="289">
        <v>0</v>
      </c>
      <c r="BG78" s="289">
        <v>-522.18330000000003</v>
      </c>
      <c r="BH78" s="289">
        <v>-33.721400000000003</v>
      </c>
      <c r="BI78" s="289">
        <v>6801.4178463099997</v>
      </c>
      <c r="BJ78" s="289">
        <v>0</v>
      </c>
      <c r="BK78" s="289">
        <v>0</v>
      </c>
      <c r="BL78" s="289">
        <v>0</v>
      </c>
      <c r="BM78" s="289">
        <v>2892</v>
      </c>
      <c r="BN78" s="289">
        <v>814.69744588803883</v>
      </c>
      <c r="BO78" s="289">
        <v>482.8039622291958</v>
      </c>
      <c r="BP78" s="289">
        <v>1081.3316422299974</v>
      </c>
      <c r="BQ78" s="289">
        <v>402.76995826106281</v>
      </c>
      <c r="BR78" s="289">
        <v>12.279049668243976</v>
      </c>
      <c r="BS78" s="289">
        <v>2.6670511995185966</v>
      </c>
      <c r="BT78" s="289">
        <v>0</v>
      </c>
      <c r="BU78" s="289">
        <v>0</v>
      </c>
      <c r="BV78" s="289">
        <v>28.237339138487449</v>
      </c>
      <c r="BW78" s="517"/>
      <c r="BX78" s="517"/>
      <c r="CA78" s="517"/>
      <c r="CB78" s="517"/>
    </row>
    <row r="79" spans="1:80" ht="13">
      <c r="A79" s="1">
        <v>1418</v>
      </c>
      <c r="B79" s="2" t="s">
        <v>64</v>
      </c>
      <c r="C79" s="289">
        <v>1279</v>
      </c>
      <c r="D79" s="289">
        <v>26</v>
      </c>
      <c r="E79" s="289">
        <v>57</v>
      </c>
      <c r="F79" s="289">
        <v>129</v>
      </c>
      <c r="G79" s="289">
        <v>118</v>
      </c>
      <c r="H79" s="289">
        <v>714</v>
      </c>
      <c r="I79" s="289">
        <v>160</v>
      </c>
      <c r="J79" s="289">
        <v>55</v>
      </c>
      <c r="K79" s="289">
        <v>18</v>
      </c>
      <c r="L79" s="289">
        <v>10</v>
      </c>
      <c r="M79" s="289">
        <v>97</v>
      </c>
      <c r="N79" s="290">
        <v>20</v>
      </c>
      <c r="O79" s="290">
        <v>29</v>
      </c>
      <c r="P79" s="624">
        <v>7731.9546666699998</v>
      </c>
      <c r="Q79" s="624">
        <v>6588.8819999999996</v>
      </c>
      <c r="R79" s="624">
        <v>18</v>
      </c>
      <c r="S79" s="289"/>
      <c r="T79" s="289">
        <v>106</v>
      </c>
      <c r="U79" s="716">
        <v>1.0457503568867457E-3</v>
      </c>
      <c r="V79" s="289">
        <v>721.83466197999996</v>
      </c>
      <c r="W79" s="743">
        <v>1</v>
      </c>
      <c r="X79" s="289">
        <v>1200</v>
      </c>
      <c r="Y79" s="289">
        <v>0</v>
      </c>
      <c r="Z79" s="289">
        <v>34068</v>
      </c>
      <c r="AA79" s="289">
        <v>0</v>
      </c>
      <c r="AB79" s="290">
        <v>27</v>
      </c>
      <c r="AC79" s="289">
        <v>0</v>
      </c>
      <c r="AD79" s="289">
        <v>0</v>
      </c>
      <c r="AE79" s="289">
        <v>0</v>
      </c>
      <c r="AF79" s="289">
        <v>0</v>
      </c>
      <c r="AG79" s="289">
        <v>1277</v>
      </c>
      <c r="AH79" s="289">
        <v>191.04676187000001</v>
      </c>
      <c r="AI79" s="289">
        <v>20</v>
      </c>
      <c r="AJ79" s="289">
        <v>0</v>
      </c>
      <c r="AK79" s="289">
        <v>7.468</v>
      </c>
      <c r="AL79" s="289">
        <v>0</v>
      </c>
      <c r="AM79" s="836">
        <v>2.1164809999999999E-2</v>
      </c>
      <c r="AN79" s="289">
        <v>0</v>
      </c>
      <c r="AO79" s="289">
        <v>68.868776440000005</v>
      </c>
      <c r="AP79" s="289">
        <v>0</v>
      </c>
      <c r="AQ79" s="289">
        <v>0</v>
      </c>
      <c r="AR79" s="289">
        <v>-67.971773429999999</v>
      </c>
      <c r="AS79" s="289"/>
      <c r="AT79" s="289">
        <v>53</v>
      </c>
      <c r="AU79" s="289">
        <v>12</v>
      </c>
      <c r="AV79" s="625">
        <v>59259</v>
      </c>
      <c r="AW79" s="289"/>
      <c r="AX79" s="625">
        <v>9.0950000000000006</v>
      </c>
      <c r="AY79" s="289">
        <v>318</v>
      </c>
      <c r="AZ79" s="289">
        <v>53</v>
      </c>
      <c r="BA79" s="290">
        <v>17</v>
      </c>
      <c r="BB79" s="289">
        <v>5698</v>
      </c>
      <c r="BC79" s="289">
        <v>193.69463637000001</v>
      </c>
      <c r="BD79" s="289">
        <v>18.295438063420178</v>
      </c>
      <c r="BE79" s="289">
        <v>66043.940734999996</v>
      </c>
      <c r="BF79" s="289">
        <v>0</v>
      </c>
      <c r="BG79" s="289">
        <v>-53.6233</v>
      </c>
      <c r="BH79" s="289">
        <v>-3.6055999999999999</v>
      </c>
      <c r="BI79" s="289">
        <v>191.04676187000001</v>
      </c>
      <c r="BJ79" s="289">
        <v>0</v>
      </c>
      <c r="BK79" s="289">
        <v>0</v>
      </c>
      <c r="BL79" s="289">
        <v>0</v>
      </c>
      <c r="BM79" s="289">
        <v>425</v>
      </c>
      <c r="BN79" s="289">
        <v>145.96580617292884</v>
      </c>
      <c r="BO79" s="289">
        <v>85.988365608072229</v>
      </c>
      <c r="BP79" s="289">
        <v>115.62090824145582</v>
      </c>
      <c r="BQ79" s="289">
        <v>135.73839632389956</v>
      </c>
      <c r="BR79" s="289">
        <v>1.2400241354095898</v>
      </c>
      <c r="BS79" s="289">
        <v>0.59621324594080516</v>
      </c>
      <c r="BT79" s="289">
        <v>0</v>
      </c>
      <c r="BU79" s="289">
        <v>0</v>
      </c>
      <c r="BV79" s="289">
        <v>9.5163282476693833</v>
      </c>
      <c r="BW79" s="517"/>
      <c r="BX79" s="517"/>
      <c r="CA79" s="517"/>
      <c r="CB79" s="517"/>
    </row>
    <row r="80" spans="1:80" ht="13">
      <c r="A80" s="1">
        <v>1419</v>
      </c>
      <c r="B80" s="2" t="s">
        <v>65</v>
      </c>
      <c r="C80" s="289">
        <v>2331</v>
      </c>
      <c r="D80" s="289">
        <v>53</v>
      </c>
      <c r="E80" s="289">
        <v>102</v>
      </c>
      <c r="F80" s="289">
        <v>306</v>
      </c>
      <c r="G80" s="289">
        <v>220</v>
      </c>
      <c r="H80" s="289">
        <v>1238</v>
      </c>
      <c r="I80" s="289">
        <v>305</v>
      </c>
      <c r="J80" s="289">
        <v>91</v>
      </c>
      <c r="K80" s="289">
        <v>24</v>
      </c>
      <c r="L80" s="289">
        <v>15</v>
      </c>
      <c r="M80" s="289">
        <v>163</v>
      </c>
      <c r="N80" s="290">
        <v>18</v>
      </c>
      <c r="O80" s="290">
        <v>20</v>
      </c>
      <c r="P80" s="624">
        <v>3186.4053333299998</v>
      </c>
      <c r="Q80" s="624">
        <v>3472.8626666700002</v>
      </c>
      <c r="R80" s="624">
        <v>5</v>
      </c>
      <c r="S80" s="289"/>
      <c r="T80" s="289">
        <v>154</v>
      </c>
      <c r="U80" s="716">
        <v>9.5625305539539108E-4</v>
      </c>
      <c r="V80" s="289">
        <v>1005.01680258</v>
      </c>
      <c r="W80" s="743">
        <v>0.78458306</v>
      </c>
      <c r="X80" s="289">
        <v>0</v>
      </c>
      <c r="Y80" s="289">
        <v>414.28399999999999</v>
      </c>
      <c r="Z80" s="289">
        <v>66133</v>
      </c>
      <c r="AA80" s="289">
        <v>0</v>
      </c>
      <c r="AB80" s="290">
        <v>26</v>
      </c>
      <c r="AC80" s="289">
        <v>0</v>
      </c>
      <c r="AD80" s="289">
        <v>4431.1508240000003</v>
      </c>
      <c r="AE80" s="289">
        <v>0</v>
      </c>
      <c r="AF80" s="289">
        <v>0</v>
      </c>
      <c r="AG80" s="289">
        <v>2339</v>
      </c>
      <c r="AH80" s="289">
        <v>419.74507534999998</v>
      </c>
      <c r="AI80" s="289">
        <v>0</v>
      </c>
      <c r="AJ80" s="289">
        <v>0</v>
      </c>
      <c r="AK80" s="289">
        <v>0</v>
      </c>
      <c r="AL80" s="289">
        <v>0</v>
      </c>
      <c r="AM80" s="836">
        <v>1.104487E-2</v>
      </c>
      <c r="AN80" s="289">
        <v>0</v>
      </c>
      <c r="AO80" s="289">
        <v>95.88660831</v>
      </c>
      <c r="AP80" s="289">
        <v>0</v>
      </c>
      <c r="AQ80" s="289">
        <v>0</v>
      </c>
      <c r="AR80" s="289">
        <v>1975.56770835</v>
      </c>
      <c r="AS80" s="289"/>
      <c r="AT80" s="289">
        <v>73</v>
      </c>
      <c r="AU80" s="289">
        <v>13</v>
      </c>
      <c r="AV80" s="625">
        <v>75110</v>
      </c>
      <c r="AW80" s="289"/>
      <c r="AX80" s="625">
        <v>8.3000000000000007</v>
      </c>
      <c r="AY80" s="289">
        <v>746</v>
      </c>
      <c r="AZ80" s="289">
        <v>64</v>
      </c>
      <c r="BA80" s="290">
        <v>45</v>
      </c>
      <c r="BB80" s="289">
        <v>2850</v>
      </c>
      <c r="BC80" s="289">
        <v>5117.8380303100002</v>
      </c>
      <c r="BD80" s="289">
        <v>24.251543818018316</v>
      </c>
      <c r="BE80" s="289">
        <v>74924.65177697</v>
      </c>
      <c r="BF80" s="289">
        <v>0</v>
      </c>
      <c r="BG80" s="289">
        <v>-99.436000000000007</v>
      </c>
      <c r="BH80" s="289">
        <v>-6.6041999999999996</v>
      </c>
      <c r="BI80" s="289">
        <v>5265.1798993499997</v>
      </c>
      <c r="BJ80" s="289">
        <v>0</v>
      </c>
      <c r="BK80" s="289">
        <v>0</v>
      </c>
      <c r="BL80" s="289">
        <v>0</v>
      </c>
      <c r="BM80" s="289">
        <v>789</v>
      </c>
      <c r="BN80" s="289">
        <v>161.1508225325108</v>
      </c>
      <c r="BO80" s="289">
        <v>114.37114629494063</v>
      </c>
      <c r="BP80" s="289">
        <v>211.7754928557284</v>
      </c>
      <c r="BQ80" s="289">
        <v>124.12164659032173</v>
      </c>
      <c r="BR80" s="289">
        <v>1.6437157476656863</v>
      </c>
      <c r="BS80" s="289">
        <v>0.74168483852038791</v>
      </c>
      <c r="BT80" s="289">
        <v>0</v>
      </c>
      <c r="BU80" s="289">
        <v>0</v>
      </c>
      <c r="BV80" s="289">
        <v>8.7019028040980562</v>
      </c>
      <c r="BW80" s="517"/>
      <c r="BX80" s="517"/>
      <c r="CA80" s="517"/>
      <c r="CB80" s="517"/>
    </row>
    <row r="81" spans="1:80" ht="13">
      <c r="A81" s="1">
        <v>1420</v>
      </c>
      <c r="B81" s="2" t="s">
        <v>66</v>
      </c>
      <c r="C81" s="289">
        <v>8191</v>
      </c>
      <c r="D81" s="289">
        <v>209</v>
      </c>
      <c r="E81" s="289">
        <v>390</v>
      </c>
      <c r="F81" s="289">
        <v>942</v>
      </c>
      <c r="G81" s="289">
        <v>776</v>
      </c>
      <c r="H81" s="289">
        <v>4533</v>
      </c>
      <c r="I81" s="289">
        <v>841</v>
      </c>
      <c r="J81" s="289">
        <v>258</v>
      </c>
      <c r="K81" s="289">
        <v>74</v>
      </c>
      <c r="L81" s="289">
        <v>54</v>
      </c>
      <c r="M81" s="289">
        <v>495</v>
      </c>
      <c r="N81" s="290">
        <v>123</v>
      </c>
      <c r="O81" s="290">
        <v>81</v>
      </c>
      <c r="P81" s="624">
        <v>38224.396999999997</v>
      </c>
      <c r="Q81" s="624">
        <v>19388.370999999999</v>
      </c>
      <c r="R81" s="624">
        <v>26</v>
      </c>
      <c r="S81" s="289"/>
      <c r="T81" s="289">
        <v>460</v>
      </c>
      <c r="U81" s="716">
        <v>3.7958211200148952E-3</v>
      </c>
      <c r="V81" s="289">
        <v>3188.87139617</v>
      </c>
      <c r="W81" s="743">
        <v>0.62348729999999997</v>
      </c>
      <c r="X81" s="289">
        <v>5300</v>
      </c>
      <c r="Y81" s="289">
        <v>414.28399999999999</v>
      </c>
      <c r="Z81" s="289">
        <v>224983</v>
      </c>
      <c r="AA81" s="289">
        <v>0</v>
      </c>
      <c r="AB81" s="290">
        <v>85</v>
      </c>
      <c r="AC81" s="289">
        <v>0</v>
      </c>
      <c r="AD81" s="289">
        <v>4166.8612759999996</v>
      </c>
      <c r="AE81" s="289">
        <v>1099</v>
      </c>
      <c r="AF81" s="289">
        <v>0</v>
      </c>
      <c r="AG81" s="289">
        <v>8023</v>
      </c>
      <c r="AH81" s="289">
        <v>1354.06135604</v>
      </c>
      <c r="AI81" s="289">
        <v>280</v>
      </c>
      <c r="AJ81" s="289">
        <v>0</v>
      </c>
      <c r="AK81" s="289">
        <v>0</v>
      </c>
      <c r="AL81" s="289">
        <v>0</v>
      </c>
      <c r="AM81" s="836">
        <v>4.3545889999999997E-2</v>
      </c>
      <c r="AN81" s="289">
        <v>0</v>
      </c>
      <c r="AO81" s="289">
        <v>304.24373176</v>
      </c>
      <c r="AP81" s="289">
        <v>0</v>
      </c>
      <c r="AQ81" s="289">
        <v>0</v>
      </c>
      <c r="AR81" s="289">
        <v>-427.04584046000002</v>
      </c>
      <c r="AS81" s="289"/>
      <c r="AT81" s="289">
        <v>252</v>
      </c>
      <c r="AU81" s="289">
        <v>43</v>
      </c>
      <c r="AV81" s="625">
        <v>197020</v>
      </c>
      <c r="AW81" s="289"/>
      <c r="AX81" s="625">
        <v>75.099999999999994</v>
      </c>
      <c r="AY81" s="289">
        <v>2373</v>
      </c>
      <c r="AZ81" s="289">
        <v>261</v>
      </c>
      <c r="BA81" s="290">
        <v>143</v>
      </c>
      <c r="BB81" s="289">
        <v>0</v>
      </c>
      <c r="BC81" s="289">
        <v>5772.5843535699996</v>
      </c>
      <c r="BD81" s="289">
        <v>85.886663482381636</v>
      </c>
      <c r="BE81" s="289">
        <v>207938.63738656999</v>
      </c>
      <c r="BF81" s="289">
        <v>0</v>
      </c>
      <c r="BG81" s="289">
        <v>-300.13569999999999</v>
      </c>
      <c r="BH81" s="289">
        <v>-22.653099999999998</v>
      </c>
      <c r="BI81" s="289">
        <v>5935.2066320399999</v>
      </c>
      <c r="BJ81" s="289">
        <v>0</v>
      </c>
      <c r="BK81" s="289">
        <v>0</v>
      </c>
      <c r="BL81" s="289">
        <v>0</v>
      </c>
      <c r="BM81" s="289">
        <v>2711</v>
      </c>
      <c r="BN81" s="289">
        <v>507.20908015716134</v>
      </c>
      <c r="BO81" s="289">
        <v>320.06283666723124</v>
      </c>
      <c r="BP81" s="289">
        <v>726.41076493437754</v>
      </c>
      <c r="BQ81" s="289">
        <v>492.69758137793326</v>
      </c>
      <c r="BR81" s="289">
        <v>5.8212071915836443</v>
      </c>
      <c r="BS81" s="289">
        <v>1.858648261334537</v>
      </c>
      <c r="BT81" s="289">
        <v>0</v>
      </c>
      <c r="BU81" s="289">
        <v>0</v>
      </c>
      <c r="BV81" s="289">
        <v>34.541972192135539</v>
      </c>
      <c r="BW81" s="517"/>
      <c r="BX81" s="517"/>
      <c r="CA81" s="517"/>
      <c r="CB81" s="517"/>
    </row>
    <row r="82" spans="1:80" ht="13">
      <c r="A82" s="1">
        <v>1430</v>
      </c>
      <c r="B82" s="2" t="s">
        <v>73</v>
      </c>
      <c r="C82" s="289">
        <v>3027</v>
      </c>
      <c r="D82" s="289">
        <v>62</v>
      </c>
      <c r="E82" s="289">
        <v>157</v>
      </c>
      <c r="F82" s="289">
        <v>429</v>
      </c>
      <c r="G82" s="289">
        <v>256</v>
      </c>
      <c r="H82" s="289">
        <v>1616</v>
      </c>
      <c r="I82" s="289">
        <v>333</v>
      </c>
      <c r="J82" s="289">
        <v>126</v>
      </c>
      <c r="K82" s="289">
        <v>41</v>
      </c>
      <c r="L82" s="289">
        <v>19</v>
      </c>
      <c r="M82" s="289">
        <v>207</v>
      </c>
      <c r="N82" s="290">
        <v>0</v>
      </c>
      <c r="O82" s="290">
        <v>31</v>
      </c>
      <c r="P82" s="624">
        <v>30645.70733333</v>
      </c>
      <c r="Q82" s="624">
        <v>11653.72533333</v>
      </c>
      <c r="R82" s="624">
        <v>19</v>
      </c>
      <c r="S82" s="289"/>
      <c r="T82" s="289">
        <v>173</v>
      </c>
      <c r="U82" s="716">
        <v>3.3258363710305708E-3</v>
      </c>
      <c r="V82" s="289">
        <v>1463.7386892899999</v>
      </c>
      <c r="W82" s="743">
        <v>0.84046072000000005</v>
      </c>
      <c r="X82" s="289">
        <v>1100</v>
      </c>
      <c r="Y82" s="289">
        <v>265.22399999999999</v>
      </c>
      <c r="Z82" s="289">
        <v>76689</v>
      </c>
      <c r="AA82" s="289">
        <v>0</v>
      </c>
      <c r="AB82" s="290">
        <v>42</v>
      </c>
      <c r="AC82" s="289">
        <v>0</v>
      </c>
      <c r="AD82" s="289">
        <v>3577.7895199999998</v>
      </c>
      <c r="AE82" s="289">
        <v>0</v>
      </c>
      <c r="AF82" s="289">
        <v>0</v>
      </c>
      <c r="AG82" s="289">
        <v>3020</v>
      </c>
      <c r="AH82" s="289">
        <v>555.01176077000002</v>
      </c>
      <c r="AI82" s="289">
        <v>60</v>
      </c>
      <c r="AJ82" s="289">
        <v>0</v>
      </c>
      <c r="AK82" s="289">
        <v>0</v>
      </c>
      <c r="AL82" s="289">
        <v>0</v>
      </c>
      <c r="AM82" s="836">
        <v>9.3503400000000004E-3</v>
      </c>
      <c r="AN82" s="289">
        <v>0</v>
      </c>
      <c r="AO82" s="289">
        <v>139.65233018999999</v>
      </c>
      <c r="AP82" s="289">
        <v>0</v>
      </c>
      <c r="AQ82" s="289">
        <v>0</v>
      </c>
      <c r="AR82" s="289">
        <v>-160.74765525999999</v>
      </c>
      <c r="AS82" s="289"/>
      <c r="AT82" s="289">
        <v>85</v>
      </c>
      <c r="AU82" s="289">
        <v>14</v>
      </c>
      <c r="AV82" s="625">
        <v>112469</v>
      </c>
      <c r="AW82" s="289"/>
      <c r="AX82" s="625">
        <v>26.18</v>
      </c>
      <c r="AY82" s="289">
        <v>634</v>
      </c>
      <c r="AZ82" s="289">
        <v>71</v>
      </c>
      <c r="BA82" s="290">
        <v>48</v>
      </c>
      <c r="BB82" s="289">
        <v>2850</v>
      </c>
      <c r="BC82" s="289">
        <v>4276.51337375</v>
      </c>
      <c r="BD82" s="289">
        <v>27.962867878360139</v>
      </c>
      <c r="BE82" s="289">
        <v>115793.42525696001</v>
      </c>
      <c r="BF82" s="289">
        <v>0</v>
      </c>
      <c r="BG82" s="289">
        <v>-144.81460000000001</v>
      </c>
      <c r="BH82" s="289">
        <v>-8.5269999999999992</v>
      </c>
      <c r="BI82" s="289">
        <v>4398.0252807699999</v>
      </c>
      <c r="BJ82" s="289">
        <v>0</v>
      </c>
      <c r="BK82" s="289">
        <v>0</v>
      </c>
      <c r="BL82" s="289">
        <v>0</v>
      </c>
      <c r="BM82" s="289">
        <v>630</v>
      </c>
      <c r="BN82" s="289">
        <v>251.43957047508192</v>
      </c>
      <c r="BO82" s="289">
        <v>152.4349105345552</v>
      </c>
      <c r="BP82" s="289">
        <v>273.43394118182971</v>
      </c>
      <c r="BQ82" s="289">
        <v>431.69356095976798</v>
      </c>
      <c r="BR82" s="289">
        <v>1.8952610450888538</v>
      </c>
      <c r="BS82" s="289">
        <v>0.90142127010991491</v>
      </c>
      <c r="BT82" s="289">
        <v>0</v>
      </c>
      <c r="BU82" s="289">
        <v>0</v>
      </c>
      <c r="BV82" s="289">
        <v>30.265110976378189</v>
      </c>
      <c r="BW82" s="517"/>
      <c r="BX82" s="517"/>
      <c r="CA82" s="517"/>
      <c r="CB82" s="517"/>
    </row>
    <row r="83" spans="1:80" ht="13">
      <c r="A83" s="1">
        <v>1431</v>
      </c>
      <c r="B83" s="2" t="s">
        <v>74</v>
      </c>
      <c r="C83" s="289">
        <v>3047</v>
      </c>
      <c r="D83" s="289">
        <v>76</v>
      </c>
      <c r="E83" s="289">
        <v>137</v>
      </c>
      <c r="F83" s="289">
        <v>441</v>
      </c>
      <c r="G83" s="289">
        <v>297</v>
      </c>
      <c r="H83" s="289">
        <v>1586</v>
      </c>
      <c r="I83" s="289">
        <v>348</v>
      </c>
      <c r="J83" s="289">
        <v>120</v>
      </c>
      <c r="K83" s="289">
        <v>41</v>
      </c>
      <c r="L83" s="289">
        <v>21</v>
      </c>
      <c r="M83" s="289">
        <v>205</v>
      </c>
      <c r="N83" s="290">
        <v>33</v>
      </c>
      <c r="O83" s="290">
        <v>30</v>
      </c>
      <c r="P83" s="624">
        <v>38547.260333329999</v>
      </c>
      <c r="Q83" s="624">
        <v>8538.2766666700008</v>
      </c>
      <c r="R83" s="624">
        <v>10</v>
      </c>
      <c r="S83" s="289"/>
      <c r="T83" s="289">
        <v>207</v>
      </c>
      <c r="U83" s="716">
        <v>3.2127397945132135E-3</v>
      </c>
      <c r="V83" s="289">
        <v>1438.3409095</v>
      </c>
      <c r="W83" s="743">
        <v>0.83830110000000002</v>
      </c>
      <c r="X83" s="289">
        <v>1500</v>
      </c>
      <c r="Y83" s="289">
        <v>414.28399999999999</v>
      </c>
      <c r="Z83" s="289">
        <v>84585</v>
      </c>
      <c r="AA83" s="289">
        <v>0</v>
      </c>
      <c r="AB83" s="290">
        <v>34</v>
      </c>
      <c r="AC83" s="289">
        <v>0</v>
      </c>
      <c r="AD83" s="289">
        <v>1890.0170639999999</v>
      </c>
      <c r="AE83" s="289">
        <v>0</v>
      </c>
      <c r="AF83" s="289">
        <v>0</v>
      </c>
      <c r="AG83" s="289">
        <v>3046</v>
      </c>
      <c r="AH83" s="289">
        <v>583.59904994999999</v>
      </c>
      <c r="AI83" s="289">
        <v>545</v>
      </c>
      <c r="AJ83" s="289">
        <v>29641.567999999999</v>
      </c>
      <c r="AK83" s="289">
        <v>0</v>
      </c>
      <c r="AL83" s="289">
        <v>0</v>
      </c>
      <c r="AM83" s="836">
        <v>2.4590029999999999E-2</v>
      </c>
      <c r="AN83" s="289">
        <v>0</v>
      </c>
      <c r="AO83" s="289">
        <v>137.2291797</v>
      </c>
      <c r="AP83" s="289">
        <v>0</v>
      </c>
      <c r="AQ83" s="289">
        <v>0</v>
      </c>
      <c r="AR83" s="289">
        <v>-162.13157547</v>
      </c>
      <c r="AS83" s="289"/>
      <c r="AT83" s="289">
        <v>110</v>
      </c>
      <c r="AU83" s="289">
        <v>18</v>
      </c>
      <c r="AV83" s="625">
        <v>106821</v>
      </c>
      <c r="AW83" s="289"/>
      <c r="AX83" s="625">
        <v>36.15</v>
      </c>
      <c r="AY83" s="289">
        <v>623</v>
      </c>
      <c r="AZ83" s="289">
        <v>115</v>
      </c>
      <c r="BA83" s="290">
        <v>77</v>
      </c>
      <c r="BB83" s="289">
        <v>2850</v>
      </c>
      <c r="BC83" s="289">
        <v>2803.3657171899999</v>
      </c>
      <c r="BD83" s="289">
        <v>33.567755924273364</v>
      </c>
      <c r="BE83" s="289">
        <v>110675.8605559</v>
      </c>
      <c r="BF83" s="289">
        <v>0</v>
      </c>
      <c r="BG83" s="289">
        <v>-148.34469999999999</v>
      </c>
      <c r="BH83" s="289">
        <v>-8.6005000000000003</v>
      </c>
      <c r="BI83" s="289">
        <v>2887.9001139500001</v>
      </c>
      <c r="BJ83" s="289">
        <v>0</v>
      </c>
      <c r="BK83" s="289">
        <v>0</v>
      </c>
      <c r="BL83" s="289">
        <v>0</v>
      </c>
      <c r="BM83" s="289">
        <v>638</v>
      </c>
      <c r="BN83" s="289">
        <v>230.32345708844727</v>
      </c>
      <c r="BO83" s="289">
        <v>154.54905654036364</v>
      </c>
      <c r="BP83" s="289">
        <v>275.78800822511698</v>
      </c>
      <c r="BQ83" s="289">
        <v>417.01362532781502</v>
      </c>
      <c r="BR83" s="289">
        <v>2.2751479015340839</v>
      </c>
      <c r="BS83" s="289">
        <v>0.90592583443096064</v>
      </c>
      <c r="BT83" s="289">
        <v>0</v>
      </c>
      <c r="BU83" s="289">
        <v>0</v>
      </c>
      <c r="BV83" s="289">
        <v>29.235932130070239</v>
      </c>
      <c r="BW83" s="517"/>
      <c r="BX83" s="517"/>
      <c r="CA83" s="517"/>
      <c r="CB83" s="517"/>
    </row>
    <row r="84" spans="1:80" ht="13">
      <c r="A84" s="1">
        <v>1432</v>
      </c>
      <c r="B84" s="2" t="s">
        <v>75</v>
      </c>
      <c r="C84" s="289">
        <v>13092</v>
      </c>
      <c r="D84" s="289">
        <v>313</v>
      </c>
      <c r="E84" s="289">
        <v>648</v>
      </c>
      <c r="F84" s="289">
        <v>1867</v>
      </c>
      <c r="G84" s="289">
        <v>1295</v>
      </c>
      <c r="H84" s="289">
        <v>7453</v>
      </c>
      <c r="I84" s="289">
        <v>1088</v>
      </c>
      <c r="J84" s="289">
        <v>360</v>
      </c>
      <c r="K84" s="289">
        <v>82</v>
      </c>
      <c r="L84" s="289">
        <v>91</v>
      </c>
      <c r="M84" s="289">
        <v>652</v>
      </c>
      <c r="N84" s="290">
        <v>243</v>
      </c>
      <c r="O84" s="290">
        <v>127</v>
      </c>
      <c r="P84" s="624">
        <v>49518.642333329997</v>
      </c>
      <c r="Q84" s="624">
        <v>30915.665333329998</v>
      </c>
      <c r="R84" s="624">
        <v>60</v>
      </c>
      <c r="S84" s="289"/>
      <c r="T84" s="289">
        <v>1131</v>
      </c>
      <c r="U84" s="716">
        <v>2.8147646975611152E-3</v>
      </c>
      <c r="V84" s="289">
        <v>5336.9207385399995</v>
      </c>
      <c r="W84" s="743">
        <v>0.57928323999999998</v>
      </c>
      <c r="X84" s="289">
        <v>9200</v>
      </c>
      <c r="Y84" s="289">
        <v>414.28399999999999</v>
      </c>
      <c r="Z84" s="289">
        <v>408872</v>
      </c>
      <c r="AA84" s="289">
        <v>0</v>
      </c>
      <c r="AB84" s="290">
        <v>218</v>
      </c>
      <c r="AC84" s="289">
        <v>0</v>
      </c>
      <c r="AD84" s="289">
        <v>4840.8581679999998</v>
      </c>
      <c r="AE84" s="289">
        <v>0</v>
      </c>
      <c r="AF84" s="289">
        <v>0</v>
      </c>
      <c r="AG84" s="289">
        <v>13106</v>
      </c>
      <c r="AH84" s="289">
        <v>2473.84639096</v>
      </c>
      <c r="AI84" s="289">
        <v>0</v>
      </c>
      <c r="AJ84" s="289">
        <v>0</v>
      </c>
      <c r="AK84" s="289">
        <v>0</v>
      </c>
      <c r="AL84" s="289">
        <v>0</v>
      </c>
      <c r="AM84" s="836">
        <v>8.7874759999999996E-2</v>
      </c>
      <c r="AN84" s="289">
        <v>0</v>
      </c>
      <c r="AO84" s="289">
        <v>509.18474904999999</v>
      </c>
      <c r="AP84" s="289">
        <v>0</v>
      </c>
      <c r="AQ84" s="289">
        <v>0</v>
      </c>
      <c r="AR84" s="289">
        <v>-697.60224168000002</v>
      </c>
      <c r="AS84" s="289"/>
      <c r="AT84" s="289">
        <v>553</v>
      </c>
      <c r="AU84" s="289">
        <v>82</v>
      </c>
      <c r="AV84" s="625">
        <v>335466</v>
      </c>
      <c r="AW84" s="289"/>
      <c r="AX84" s="625">
        <v>91.105000000000004</v>
      </c>
      <c r="AY84" s="289">
        <v>3584</v>
      </c>
      <c r="AZ84" s="289">
        <v>332</v>
      </c>
      <c r="BA84" s="290">
        <v>335</v>
      </c>
      <c r="BB84" s="289">
        <v>0</v>
      </c>
      <c r="BC84" s="289">
        <v>7528.0917273300001</v>
      </c>
      <c r="BD84" s="289">
        <v>179.08456390733988</v>
      </c>
      <c r="BE84" s="289">
        <v>351361.00465914002</v>
      </c>
      <c r="BF84" s="289">
        <v>0</v>
      </c>
      <c r="BG84" s="289">
        <v>-577.26819999999998</v>
      </c>
      <c r="BH84" s="289">
        <v>-37.005099999999999</v>
      </c>
      <c r="BI84" s="289">
        <v>7728.9885589599999</v>
      </c>
      <c r="BJ84" s="289">
        <v>0</v>
      </c>
      <c r="BK84" s="289">
        <v>0</v>
      </c>
      <c r="BL84" s="289">
        <v>0</v>
      </c>
      <c r="BM84" s="289">
        <v>2742</v>
      </c>
      <c r="BN84" s="289">
        <v>773.8515963633929</v>
      </c>
      <c r="BO84" s="289">
        <v>488.63423137419488</v>
      </c>
      <c r="BP84" s="289">
        <v>1186.6308718970399</v>
      </c>
      <c r="BQ84" s="289">
        <v>365.35645774343277</v>
      </c>
      <c r="BR84" s="289">
        <v>12.137953775941924</v>
      </c>
      <c r="BS84" s="289">
        <v>2.8956437859042712</v>
      </c>
      <c r="BT84" s="289">
        <v>0</v>
      </c>
      <c r="BU84" s="289">
        <v>0</v>
      </c>
      <c r="BV84" s="289">
        <v>25.614358747806147</v>
      </c>
      <c r="BW84" s="517"/>
      <c r="BX84" s="517"/>
      <c r="CA84" s="517"/>
      <c r="CB84" s="517"/>
    </row>
    <row r="85" spans="1:80" ht="13">
      <c r="A85" s="1">
        <v>1433</v>
      </c>
      <c r="B85" s="2" t="s">
        <v>76</v>
      </c>
      <c r="C85" s="289">
        <v>2793</v>
      </c>
      <c r="D85" s="289">
        <v>54</v>
      </c>
      <c r="E85" s="289">
        <v>143</v>
      </c>
      <c r="F85" s="289">
        <v>377</v>
      </c>
      <c r="G85" s="289">
        <v>248</v>
      </c>
      <c r="H85" s="289">
        <v>1477</v>
      </c>
      <c r="I85" s="289">
        <v>346</v>
      </c>
      <c r="J85" s="289">
        <v>112</v>
      </c>
      <c r="K85" s="289">
        <v>41</v>
      </c>
      <c r="L85" s="289">
        <v>19</v>
      </c>
      <c r="M85" s="289">
        <v>178</v>
      </c>
      <c r="N85" s="290">
        <v>5</v>
      </c>
      <c r="O85" s="290">
        <v>23</v>
      </c>
      <c r="P85" s="624">
        <v>18657.43166667</v>
      </c>
      <c r="Q85" s="624">
        <v>9373.57</v>
      </c>
      <c r="R85" s="624">
        <v>21</v>
      </c>
      <c r="S85" s="289"/>
      <c r="T85" s="289">
        <v>197</v>
      </c>
      <c r="U85" s="716">
        <v>2.391041358839498E-3</v>
      </c>
      <c r="V85" s="289">
        <v>1345.9428781300001</v>
      </c>
      <c r="W85" s="743">
        <v>0.76434880999999999</v>
      </c>
      <c r="X85" s="289">
        <v>1200</v>
      </c>
      <c r="Y85" s="289">
        <v>414.28399999999999</v>
      </c>
      <c r="Z85" s="289">
        <v>71495</v>
      </c>
      <c r="AA85" s="289">
        <v>0</v>
      </c>
      <c r="AB85" s="290">
        <v>50</v>
      </c>
      <c r="AC85" s="289">
        <v>0</v>
      </c>
      <c r="AD85" s="289">
        <v>4616.9001440000002</v>
      </c>
      <c r="AE85" s="289">
        <v>0</v>
      </c>
      <c r="AF85" s="289">
        <v>0</v>
      </c>
      <c r="AG85" s="289">
        <v>2798</v>
      </c>
      <c r="AH85" s="289">
        <v>500.62618622000002</v>
      </c>
      <c r="AI85" s="289">
        <v>1550</v>
      </c>
      <c r="AJ85" s="289">
        <v>0</v>
      </c>
      <c r="AK85" s="289">
        <v>0</v>
      </c>
      <c r="AL85" s="289">
        <v>0</v>
      </c>
      <c r="AM85" s="836">
        <v>1.7998589999999998E-2</v>
      </c>
      <c r="AN85" s="289">
        <v>0</v>
      </c>
      <c r="AO85" s="289">
        <v>128.41367152000001</v>
      </c>
      <c r="AP85" s="289">
        <v>0</v>
      </c>
      <c r="AQ85" s="289">
        <v>0</v>
      </c>
      <c r="AR85" s="289">
        <v>-148.93110576999999</v>
      </c>
      <c r="AS85" s="289"/>
      <c r="AT85" s="289">
        <v>105</v>
      </c>
      <c r="AU85" s="289">
        <v>19</v>
      </c>
      <c r="AV85" s="625">
        <v>103664</v>
      </c>
      <c r="AW85" s="289"/>
      <c r="AX85" s="625">
        <v>18.6333333</v>
      </c>
      <c r="AY85" s="289">
        <v>515</v>
      </c>
      <c r="AZ85" s="289">
        <v>72</v>
      </c>
      <c r="BA85" s="290">
        <v>62</v>
      </c>
      <c r="BB85" s="289">
        <v>2850</v>
      </c>
      <c r="BC85" s="289">
        <v>5400.4725757699998</v>
      </c>
      <c r="BD85" s="289">
        <v>30.593952353827088</v>
      </c>
      <c r="BE85" s="289">
        <v>107812.98830057999</v>
      </c>
      <c r="BF85" s="289">
        <v>0</v>
      </c>
      <c r="BG85" s="289">
        <v>-125.1772</v>
      </c>
      <c r="BH85" s="289">
        <v>-7.9001999999999999</v>
      </c>
      <c r="BI85" s="289">
        <v>5531.8103302199997</v>
      </c>
      <c r="BJ85" s="289">
        <v>0</v>
      </c>
      <c r="BK85" s="289">
        <v>0</v>
      </c>
      <c r="BL85" s="289">
        <v>0</v>
      </c>
      <c r="BM85" s="289">
        <v>592</v>
      </c>
      <c r="BN85" s="289">
        <v>241.1791463852816</v>
      </c>
      <c r="BO85" s="289">
        <v>138.5975482000083</v>
      </c>
      <c r="BP85" s="289">
        <v>253.33383027376144</v>
      </c>
      <c r="BQ85" s="289">
        <v>310.35716837736675</v>
      </c>
      <c r="BR85" s="289">
        <v>2.0735901039816138</v>
      </c>
      <c r="BS85" s="289">
        <v>0.82944377918539436</v>
      </c>
      <c r="BT85" s="289">
        <v>0</v>
      </c>
      <c r="BU85" s="289">
        <v>0</v>
      </c>
      <c r="BV85" s="289">
        <v>21.758476365439428</v>
      </c>
      <c r="BW85" s="517"/>
      <c r="BX85" s="517"/>
      <c r="CA85" s="517"/>
      <c r="CB85" s="517"/>
    </row>
    <row r="86" spans="1:80" ht="13">
      <c r="A86" s="1">
        <v>1439</v>
      </c>
      <c r="B86" s="2" t="s">
        <v>78</v>
      </c>
      <c r="C86" s="289">
        <v>5970</v>
      </c>
      <c r="D86" s="289">
        <v>106</v>
      </c>
      <c r="E86" s="289">
        <v>270</v>
      </c>
      <c r="F86" s="289">
        <v>787</v>
      </c>
      <c r="G86" s="289">
        <v>530</v>
      </c>
      <c r="H86" s="289">
        <v>3214</v>
      </c>
      <c r="I86" s="289">
        <v>719</v>
      </c>
      <c r="J86" s="289">
        <v>291</v>
      </c>
      <c r="K86" s="289">
        <v>79</v>
      </c>
      <c r="L86" s="289">
        <v>46</v>
      </c>
      <c r="M86" s="289">
        <v>509</v>
      </c>
      <c r="N86" s="290">
        <v>36</v>
      </c>
      <c r="O86" s="290">
        <v>66</v>
      </c>
      <c r="P86" s="624">
        <v>31409.936666670001</v>
      </c>
      <c r="Q86" s="624">
        <v>11959.276666670001</v>
      </c>
      <c r="R86" s="624">
        <v>31</v>
      </c>
      <c r="S86" s="289"/>
      <c r="T86" s="289">
        <v>407</v>
      </c>
      <c r="U86" s="716">
        <v>9.9517771195394055E-4</v>
      </c>
      <c r="V86" s="289">
        <v>2640.4965196399999</v>
      </c>
      <c r="W86" s="743">
        <v>0.64654266999999999</v>
      </c>
      <c r="X86" s="289">
        <v>1400</v>
      </c>
      <c r="Y86" s="289">
        <v>288.86799999999999</v>
      </c>
      <c r="Z86" s="289">
        <v>182486</v>
      </c>
      <c r="AA86" s="289">
        <v>0</v>
      </c>
      <c r="AB86" s="290">
        <v>84</v>
      </c>
      <c r="AC86" s="289">
        <v>0</v>
      </c>
      <c r="AD86" s="289">
        <v>3692.2778800000001</v>
      </c>
      <c r="AE86" s="289">
        <v>0</v>
      </c>
      <c r="AF86" s="289">
        <v>0</v>
      </c>
      <c r="AG86" s="289">
        <v>5996</v>
      </c>
      <c r="AH86" s="289">
        <v>1015.19739156</v>
      </c>
      <c r="AI86" s="289">
        <v>30</v>
      </c>
      <c r="AJ86" s="289">
        <v>0</v>
      </c>
      <c r="AK86" s="289">
        <v>0</v>
      </c>
      <c r="AL86" s="289">
        <v>0</v>
      </c>
      <c r="AM86" s="836">
        <v>5.9704100000000003E-2</v>
      </c>
      <c r="AN86" s="289">
        <v>6353</v>
      </c>
      <c r="AO86" s="289">
        <v>251.92440053000001</v>
      </c>
      <c r="AP86" s="289">
        <v>0</v>
      </c>
      <c r="AQ86" s="289">
        <v>0</v>
      </c>
      <c r="AR86" s="289">
        <v>-319.15329171000002</v>
      </c>
      <c r="AS86" s="289"/>
      <c r="AT86" s="289">
        <v>216</v>
      </c>
      <c r="AU86" s="289">
        <v>63</v>
      </c>
      <c r="AV86" s="625">
        <v>184587</v>
      </c>
      <c r="AW86" s="289"/>
      <c r="AX86" s="625">
        <v>30.38</v>
      </c>
      <c r="AY86" s="289">
        <v>1034</v>
      </c>
      <c r="AZ86" s="289">
        <v>158</v>
      </c>
      <c r="BA86" s="290">
        <v>107</v>
      </c>
      <c r="BB86" s="289">
        <v>0</v>
      </c>
      <c r="BC86" s="289">
        <v>4886.4918687099998</v>
      </c>
      <c r="BD86" s="289">
        <v>66.351564490407426</v>
      </c>
      <c r="BE86" s="289">
        <v>191770.96801357999</v>
      </c>
      <c r="BF86" s="289">
        <v>0</v>
      </c>
      <c r="BG86" s="289">
        <v>-249.95740000000001</v>
      </c>
      <c r="BH86" s="289">
        <v>-16.9299</v>
      </c>
      <c r="BI86" s="289">
        <v>4996.3432715600002</v>
      </c>
      <c r="BJ86" s="289">
        <v>0</v>
      </c>
      <c r="BK86" s="289">
        <v>0</v>
      </c>
      <c r="BL86" s="289">
        <v>0</v>
      </c>
      <c r="BM86" s="289">
        <v>1448</v>
      </c>
      <c r="BN86" s="289">
        <v>495.83208862560338</v>
      </c>
      <c r="BO86" s="289">
        <v>255.99229574767048</v>
      </c>
      <c r="BP86" s="289">
        <v>542.88407659809639</v>
      </c>
      <c r="BQ86" s="289">
        <v>129.17406701162145</v>
      </c>
      <c r="BR86" s="289">
        <v>4.4971615932387259</v>
      </c>
      <c r="BS86" s="289">
        <v>1.4460345396596588</v>
      </c>
      <c r="BT86" s="289">
        <v>0</v>
      </c>
      <c r="BU86" s="289">
        <v>0</v>
      </c>
      <c r="BV86" s="289">
        <v>9.0561171787808572</v>
      </c>
      <c r="BW86" s="517"/>
      <c r="BX86" s="517"/>
      <c r="CA86" s="517"/>
      <c r="CB86" s="517"/>
    </row>
    <row r="87" spans="1:80" ht="13">
      <c r="A87" s="1">
        <v>1441</v>
      </c>
      <c r="B87" s="2" t="s">
        <v>79</v>
      </c>
      <c r="C87" s="289">
        <v>2747</v>
      </c>
      <c r="D87" s="289">
        <v>50</v>
      </c>
      <c r="E87" s="289">
        <v>111</v>
      </c>
      <c r="F87" s="289">
        <v>300</v>
      </c>
      <c r="G87" s="289">
        <v>277</v>
      </c>
      <c r="H87" s="289">
        <v>1472</v>
      </c>
      <c r="I87" s="289">
        <v>373</v>
      </c>
      <c r="J87" s="289">
        <v>142</v>
      </c>
      <c r="K87" s="289">
        <v>44</v>
      </c>
      <c r="L87" s="289">
        <v>20</v>
      </c>
      <c r="M87" s="289">
        <v>262</v>
      </c>
      <c r="N87" s="290">
        <v>6</v>
      </c>
      <c r="O87" s="290">
        <v>26</v>
      </c>
      <c r="P87" s="624">
        <v>49576.290333329998</v>
      </c>
      <c r="Q87" s="624">
        <v>13286.903</v>
      </c>
      <c r="R87" s="624">
        <v>16</v>
      </c>
      <c r="S87" s="289"/>
      <c r="T87" s="289">
        <v>181</v>
      </c>
      <c r="U87" s="716">
        <v>1.8012910781811263E-3</v>
      </c>
      <c r="V87" s="289">
        <v>1339.5471305799999</v>
      </c>
      <c r="W87" s="743">
        <v>0.99482470000000001</v>
      </c>
      <c r="X87" s="289">
        <v>1300</v>
      </c>
      <c r="Y87" s="289">
        <v>414.28399999999999</v>
      </c>
      <c r="Z87" s="289">
        <v>77604</v>
      </c>
      <c r="AA87" s="289">
        <v>0</v>
      </c>
      <c r="AB87" s="290">
        <v>49</v>
      </c>
      <c r="AC87" s="289">
        <v>0</v>
      </c>
      <c r="AD87" s="289">
        <v>0</v>
      </c>
      <c r="AE87" s="289">
        <v>0</v>
      </c>
      <c r="AF87" s="289">
        <v>0</v>
      </c>
      <c r="AG87" s="289">
        <v>2769</v>
      </c>
      <c r="AH87" s="289">
        <v>428.11208682</v>
      </c>
      <c r="AI87" s="289">
        <v>150</v>
      </c>
      <c r="AJ87" s="289">
        <v>0</v>
      </c>
      <c r="AK87" s="289">
        <v>0</v>
      </c>
      <c r="AL87" s="289">
        <v>0</v>
      </c>
      <c r="AM87" s="836">
        <v>2.6497260000000002E-2</v>
      </c>
      <c r="AN87" s="289">
        <v>0</v>
      </c>
      <c r="AO87" s="289">
        <v>127.80346625999999</v>
      </c>
      <c r="AP87" s="289">
        <v>0</v>
      </c>
      <c r="AQ87" s="289">
        <v>0</v>
      </c>
      <c r="AR87" s="289">
        <v>-147.38750246000001</v>
      </c>
      <c r="AS87" s="289"/>
      <c r="AT87" s="289">
        <v>89</v>
      </c>
      <c r="AU87" s="289">
        <v>31</v>
      </c>
      <c r="AV87" s="625">
        <v>98703</v>
      </c>
      <c r="AW87" s="289"/>
      <c r="AX87" s="625">
        <v>19.559999999999999</v>
      </c>
      <c r="AY87" s="289">
        <v>415</v>
      </c>
      <c r="AZ87" s="289">
        <v>73</v>
      </c>
      <c r="BA87" s="290">
        <v>45</v>
      </c>
      <c r="BB87" s="289">
        <v>5698</v>
      </c>
      <c r="BC87" s="289">
        <v>428.16709092000002</v>
      </c>
      <c r="BD87" s="289">
        <v>30.331702840773456</v>
      </c>
      <c r="BE87" s="289">
        <v>106606.67966187</v>
      </c>
      <c r="BF87" s="289">
        <v>0</v>
      </c>
      <c r="BG87" s="289">
        <v>-112.76600000000001</v>
      </c>
      <c r="BH87" s="289">
        <v>-7.8182999999999998</v>
      </c>
      <c r="BI87" s="289">
        <v>842.39608682000005</v>
      </c>
      <c r="BJ87" s="289">
        <v>0</v>
      </c>
      <c r="BK87" s="289">
        <v>0</v>
      </c>
      <c r="BL87" s="289">
        <v>0</v>
      </c>
      <c r="BM87" s="289">
        <v>1158</v>
      </c>
      <c r="BN87" s="289">
        <v>266.94088143504018</v>
      </c>
      <c r="BO87" s="289">
        <v>159.11336295616121</v>
      </c>
      <c r="BP87" s="289">
        <v>250.70814011009489</v>
      </c>
      <c r="BQ87" s="289">
        <v>233.80758194791014</v>
      </c>
      <c r="BR87" s="289">
        <v>2.0558154147635341</v>
      </c>
      <c r="BS87" s="289">
        <v>0.89972339714743099</v>
      </c>
      <c r="BT87" s="289">
        <v>0</v>
      </c>
      <c r="BU87" s="289">
        <v>0</v>
      </c>
      <c r="BV87" s="289">
        <v>16.391748811448245</v>
      </c>
      <c r="BW87" s="517"/>
      <c r="BX87" s="517"/>
      <c r="CA87" s="517"/>
      <c r="CB87" s="517"/>
    </row>
    <row r="88" spans="1:80" ht="13">
      <c r="A88" s="1">
        <v>1443</v>
      </c>
      <c r="B88" s="2" t="s">
        <v>80</v>
      </c>
      <c r="C88" s="289">
        <v>6151</v>
      </c>
      <c r="D88" s="289">
        <v>137</v>
      </c>
      <c r="E88" s="289">
        <v>292</v>
      </c>
      <c r="F88" s="289">
        <v>832</v>
      </c>
      <c r="G88" s="289">
        <v>630</v>
      </c>
      <c r="H88" s="289">
        <v>3275</v>
      </c>
      <c r="I88" s="289">
        <v>702</v>
      </c>
      <c r="J88" s="289">
        <v>229</v>
      </c>
      <c r="K88" s="289">
        <v>76</v>
      </c>
      <c r="L88" s="289">
        <v>39</v>
      </c>
      <c r="M88" s="289">
        <v>441</v>
      </c>
      <c r="N88" s="290">
        <v>60</v>
      </c>
      <c r="O88" s="290">
        <v>67</v>
      </c>
      <c r="P88" s="624">
        <v>36708.731</v>
      </c>
      <c r="Q88" s="624">
        <v>15138.196666669999</v>
      </c>
      <c r="R88" s="624">
        <v>30</v>
      </c>
      <c r="S88" s="289"/>
      <c r="T88" s="289">
        <v>425</v>
      </c>
      <c r="U88" s="716">
        <v>3.6632640943532551E-3</v>
      </c>
      <c r="V88" s="289">
        <v>-656.40307826000003</v>
      </c>
      <c r="W88" s="743">
        <v>0.66658236000000004</v>
      </c>
      <c r="X88" s="289">
        <v>1200</v>
      </c>
      <c r="Y88" s="289">
        <v>414.28399999999999</v>
      </c>
      <c r="Z88" s="289">
        <v>157880</v>
      </c>
      <c r="AA88" s="289">
        <v>0</v>
      </c>
      <c r="AB88" s="290">
        <v>105</v>
      </c>
      <c r="AC88" s="289">
        <v>0</v>
      </c>
      <c r="AD88" s="289">
        <v>3396.8697440000001</v>
      </c>
      <c r="AE88" s="289">
        <v>0</v>
      </c>
      <c r="AF88" s="289">
        <v>0</v>
      </c>
      <c r="AG88" s="289">
        <v>6173</v>
      </c>
      <c r="AH88" s="289">
        <v>1139.30806168</v>
      </c>
      <c r="AI88" s="289">
        <v>300</v>
      </c>
      <c r="AJ88" s="289">
        <v>0</v>
      </c>
      <c r="AK88" s="289">
        <v>0</v>
      </c>
      <c r="AL88" s="289">
        <v>0</v>
      </c>
      <c r="AM88" s="836">
        <v>3.9833019999999997E-2</v>
      </c>
      <c r="AN88" s="289">
        <v>3245</v>
      </c>
      <c r="AO88" s="289">
        <v>256.60896998999999</v>
      </c>
      <c r="AP88" s="289">
        <v>0</v>
      </c>
      <c r="AQ88" s="289">
        <v>0</v>
      </c>
      <c r="AR88" s="289">
        <v>-328.57459468000002</v>
      </c>
      <c r="AS88" s="289"/>
      <c r="AT88" s="289">
        <v>251</v>
      </c>
      <c r="AU88" s="289">
        <v>32</v>
      </c>
      <c r="AV88" s="625">
        <v>175341</v>
      </c>
      <c r="AW88" s="289"/>
      <c r="AX88" s="625">
        <v>54.116666649999999</v>
      </c>
      <c r="AY88" s="289">
        <v>1343</v>
      </c>
      <c r="AZ88" s="289">
        <v>188</v>
      </c>
      <c r="BA88" s="290">
        <v>117</v>
      </c>
      <c r="BB88" s="289">
        <v>0</v>
      </c>
      <c r="BC88" s="289">
        <v>4798.1546363899997</v>
      </c>
      <c r="BD88" s="289">
        <v>71.225291858833401</v>
      </c>
      <c r="BE88" s="289">
        <v>187704.71033032</v>
      </c>
      <c r="BF88" s="289">
        <v>0</v>
      </c>
      <c r="BG88" s="289">
        <v>-265.43040000000002</v>
      </c>
      <c r="BH88" s="289">
        <v>-17.429600000000001</v>
      </c>
      <c r="BI88" s="289">
        <v>4950.46180568</v>
      </c>
      <c r="BJ88" s="289">
        <v>0</v>
      </c>
      <c r="BK88" s="289">
        <v>0</v>
      </c>
      <c r="BL88" s="289">
        <v>0</v>
      </c>
      <c r="BM88" s="289">
        <v>2586</v>
      </c>
      <c r="BN88" s="289">
        <v>454.32610322289395</v>
      </c>
      <c r="BO88" s="289">
        <v>262.77352335548215</v>
      </c>
      <c r="BP88" s="289">
        <v>558.90984070047512</v>
      </c>
      <c r="BQ88" s="289">
        <v>475.49167944705243</v>
      </c>
      <c r="BR88" s="289">
        <v>4.827492003765375</v>
      </c>
      <c r="BS88" s="289">
        <v>1.4909601920385873</v>
      </c>
      <c r="BT88" s="289">
        <v>0</v>
      </c>
      <c r="BU88" s="289">
        <v>0</v>
      </c>
      <c r="BV88" s="289">
        <v>33.335703258614608</v>
      </c>
      <c r="BW88" s="517"/>
      <c r="BX88" s="517"/>
      <c r="CA88" s="517"/>
      <c r="CB88" s="517"/>
    </row>
    <row r="89" spans="1:80" ht="13">
      <c r="A89" s="1">
        <v>1444</v>
      </c>
      <c r="B89" s="2" t="s">
        <v>81</v>
      </c>
      <c r="C89" s="289">
        <v>1152</v>
      </c>
      <c r="D89" s="289">
        <v>19</v>
      </c>
      <c r="E89" s="289">
        <v>43</v>
      </c>
      <c r="F89" s="289">
        <v>148</v>
      </c>
      <c r="G89" s="289">
        <v>123</v>
      </c>
      <c r="H89" s="289">
        <v>606</v>
      </c>
      <c r="I89" s="289">
        <v>136</v>
      </c>
      <c r="J89" s="289">
        <v>61</v>
      </c>
      <c r="K89" s="289">
        <v>20</v>
      </c>
      <c r="L89" s="289">
        <v>7</v>
      </c>
      <c r="M89" s="289">
        <v>92</v>
      </c>
      <c r="N89" s="290">
        <v>4</v>
      </c>
      <c r="O89" s="290">
        <v>2</v>
      </c>
      <c r="P89" s="624">
        <v>4426.1013333299998</v>
      </c>
      <c r="Q89" s="624">
        <v>3287.6456666700001</v>
      </c>
      <c r="R89" s="624">
        <v>4</v>
      </c>
      <c r="S89" s="289"/>
      <c r="T89" s="289">
        <v>67</v>
      </c>
      <c r="U89" s="716">
        <v>1.4251923833047404E-3</v>
      </c>
      <c r="V89" s="289">
        <v>585.12483781000003</v>
      </c>
      <c r="W89" s="743">
        <v>0.88904238000000002</v>
      </c>
      <c r="X89" s="289">
        <v>200</v>
      </c>
      <c r="Y89" s="289">
        <v>414.28399999999999</v>
      </c>
      <c r="Z89" s="289">
        <v>28142</v>
      </c>
      <c r="AA89" s="289">
        <v>0</v>
      </c>
      <c r="AB89" s="290">
        <v>9</v>
      </c>
      <c r="AC89" s="289">
        <v>0</v>
      </c>
      <c r="AD89" s="289">
        <v>-82.409620000000004</v>
      </c>
      <c r="AE89" s="289">
        <v>0</v>
      </c>
      <c r="AF89" s="289">
        <v>0</v>
      </c>
      <c r="AG89" s="289">
        <v>1156</v>
      </c>
      <c r="AH89" s="289">
        <v>198.01927143</v>
      </c>
      <c r="AI89" s="289">
        <v>0</v>
      </c>
      <c r="AJ89" s="289">
        <v>82</v>
      </c>
      <c r="AK89" s="289">
        <v>0</v>
      </c>
      <c r="AL89" s="289">
        <v>0</v>
      </c>
      <c r="AM89" s="836">
        <v>2.4036999999999999E-3</v>
      </c>
      <c r="AN89" s="289">
        <v>0</v>
      </c>
      <c r="AO89" s="289">
        <v>55.82557027</v>
      </c>
      <c r="AP89" s="289">
        <v>0</v>
      </c>
      <c r="AQ89" s="289">
        <v>0</v>
      </c>
      <c r="AR89" s="289">
        <v>998.23652491999997</v>
      </c>
      <c r="AS89" s="289"/>
      <c r="AT89" s="289">
        <v>30</v>
      </c>
      <c r="AU89" s="289">
        <v>3</v>
      </c>
      <c r="AV89" s="625">
        <v>51264</v>
      </c>
      <c r="AW89" s="289"/>
      <c r="AX89" s="625">
        <v>4.4494809000000002</v>
      </c>
      <c r="AY89" s="289">
        <v>212</v>
      </c>
      <c r="AZ89" s="289">
        <v>36</v>
      </c>
      <c r="BA89" s="290">
        <v>18</v>
      </c>
      <c r="BB89" s="289">
        <v>5698</v>
      </c>
      <c r="BC89" s="289">
        <v>530.12224243000003</v>
      </c>
      <c r="BD89" s="289">
        <v>10.37451582771007</v>
      </c>
      <c r="BE89" s="289">
        <v>50974.915651110001</v>
      </c>
      <c r="BF89" s="289">
        <v>0</v>
      </c>
      <c r="BG89" s="289">
        <v>-53.202300000000001</v>
      </c>
      <c r="BH89" s="289">
        <v>-3.2639999999999998</v>
      </c>
      <c r="BI89" s="289">
        <v>529.89365142999998</v>
      </c>
      <c r="BJ89" s="289">
        <v>0</v>
      </c>
      <c r="BK89" s="289">
        <v>0</v>
      </c>
      <c r="BL89" s="289">
        <v>0</v>
      </c>
      <c r="BM89" s="289">
        <v>435</v>
      </c>
      <c r="BN89" s="289">
        <v>105.11604163521905</v>
      </c>
      <c r="BO89" s="289">
        <v>75.958159221829618</v>
      </c>
      <c r="BP89" s="289">
        <v>104.66544238615735</v>
      </c>
      <c r="BQ89" s="289">
        <v>184.98997135295528</v>
      </c>
      <c r="BR89" s="289">
        <v>0.70316162832257156</v>
      </c>
      <c r="BS89" s="289">
        <v>0.53444430670151699</v>
      </c>
      <c r="BT89" s="289">
        <v>0</v>
      </c>
      <c r="BU89" s="289">
        <v>0</v>
      </c>
      <c r="BV89" s="289">
        <v>12.969250688073133</v>
      </c>
      <c r="BW89" s="517"/>
      <c r="BX89" s="517"/>
      <c r="CA89" s="517"/>
      <c r="CB89" s="517"/>
    </row>
    <row r="90" spans="1:80" ht="13">
      <c r="A90" s="1">
        <v>1502</v>
      </c>
      <c r="B90" s="2" t="s">
        <v>84</v>
      </c>
      <c r="C90" s="289">
        <v>27001</v>
      </c>
      <c r="D90" s="289">
        <v>533</v>
      </c>
      <c r="E90" s="289">
        <v>1192</v>
      </c>
      <c r="F90" s="289">
        <v>3213</v>
      </c>
      <c r="G90" s="289">
        <v>2373</v>
      </c>
      <c r="H90" s="289">
        <v>15126</v>
      </c>
      <c r="I90" s="289">
        <v>3249</v>
      </c>
      <c r="J90" s="289">
        <v>1008</v>
      </c>
      <c r="K90" s="289">
        <v>264</v>
      </c>
      <c r="L90" s="289">
        <v>191</v>
      </c>
      <c r="M90" s="289">
        <v>1828</v>
      </c>
      <c r="N90" s="290">
        <v>490</v>
      </c>
      <c r="O90" s="290">
        <v>286</v>
      </c>
      <c r="P90" s="624">
        <v>80700.460333330004</v>
      </c>
      <c r="Q90" s="624">
        <v>56453.745666670002</v>
      </c>
      <c r="R90" s="624">
        <v>94</v>
      </c>
      <c r="S90" s="289"/>
      <c r="T90" s="289">
        <v>2427</v>
      </c>
      <c r="U90" s="716">
        <v>1.7109293054053264E-3</v>
      </c>
      <c r="V90" s="289">
        <v>6725.5820878799996</v>
      </c>
      <c r="W90" s="743">
        <v>0.57975018</v>
      </c>
      <c r="X90" s="289">
        <v>4500</v>
      </c>
      <c r="Y90" s="289">
        <v>414.28399999999999</v>
      </c>
      <c r="Z90" s="289">
        <v>799325</v>
      </c>
      <c r="AA90" s="289">
        <v>0</v>
      </c>
      <c r="AB90" s="290">
        <v>392</v>
      </c>
      <c r="AC90" s="289">
        <v>0</v>
      </c>
      <c r="AD90" s="289">
        <v>4845.3926760000004</v>
      </c>
      <c r="AE90" s="289">
        <v>0</v>
      </c>
      <c r="AF90" s="289">
        <v>0</v>
      </c>
      <c r="AG90" s="289">
        <v>26958</v>
      </c>
      <c r="AH90" s="289">
        <v>4356.42397145</v>
      </c>
      <c r="AI90" s="289">
        <v>475</v>
      </c>
      <c r="AJ90" s="289">
        <v>0</v>
      </c>
      <c r="AK90" s="289">
        <v>0</v>
      </c>
      <c r="AL90" s="289">
        <v>0</v>
      </c>
      <c r="AM90" s="836">
        <v>0.63357390999999996</v>
      </c>
      <c r="AN90" s="289">
        <v>0</v>
      </c>
      <c r="AO90" s="289">
        <v>1024.75616558</v>
      </c>
      <c r="AP90" s="289">
        <v>0</v>
      </c>
      <c r="AQ90" s="289">
        <v>0</v>
      </c>
      <c r="AR90" s="289">
        <v>-1434.9123478700001</v>
      </c>
      <c r="AS90" s="289"/>
      <c r="AT90" s="289">
        <v>1409</v>
      </c>
      <c r="AU90" s="289">
        <v>319</v>
      </c>
      <c r="AV90" s="625">
        <v>613175</v>
      </c>
      <c r="AW90" s="289"/>
      <c r="AX90" s="625">
        <v>179.1766667</v>
      </c>
      <c r="AY90" s="289">
        <v>7843</v>
      </c>
      <c r="AZ90" s="289">
        <v>1020</v>
      </c>
      <c r="BA90" s="290">
        <v>593</v>
      </c>
      <c r="BB90" s="289">
        <v>0</v>
      </c>
      <c r="BC90" s="289">
        <v>9360.7082425200006</v>
      </c>
      <c r="BD90" s="289">
        <v>400.88282766604488</v>
      </c>
      <c r="BE90" s="289">
        <v>666034.24779153999</v>
      </c>
      <c r="BF90" s="289">
        <v>0</v>
      </c>
      <c r="BG90" s="289">
        <v>-997.30290000000002</v>
      </c>
      <c r="BH90" s="289">
        <v>-76.116600000000005</v>
      </c>
      <c r="BI90" s="289">
        <v>9616.1006474500009</v>
      </c>
      <c r="BJ90" s="289">
        <v>0</v>
      </c>
      <c r="BK90" s="289">
        <v>0</v>
      </c>
      <c r="BL90" s="289">
        <v>0</v>
      </c>
      <c r="BM90" s="289">
        <v>4432</v>
      </c>
      <c r="BN90" s="289">
        <v>1806.7007588472889</v>
      </c>
      <c r="BO90" s="289">
        <v>1027.0673288266487</v>
      </c>
      <c r="BP90" s="289">
        <v>2440.8053597283993</v>
      </c>
      <c r="BQ90" s="289">
        <v>222.07862384161132</v>
      </c>
      <c r="BR90" s="289">
        <v>27.170947208476377</v>
      </c>
      <c r="BS90" s="289">
        <v>5.7226742526006511</v>
      </c>
      <c r="BT90" s="289">
        <v>0</v>
      </c>
      <c r="BU90" s="289">
        <v>0</v>
      </c>
      <c r="BV90" s="289">
        <v>15.56945667918847</v>
      </c>
      <c r="BW90" s="517"/>
      <c r="BX90" s="517"/>
      <c r="CA90" s="517"/>
      <c r="CB90" s="517"/>
    </row>
    <row r="91" spans="1:80" ht="13">
      <c r="A91" s="1">
        <v>1504</v>
      </c>
      <c r="B91" s="2" t="s">
        <v>85</v>
      </c>
      <c r="C91" s="289">
        <v>47998</v>
      </c>
      <c r="D91" s="289">
        <v>1037</v>
      </c>
      <c r="E91" s="289">
        <v>2194</v>
      </c>
      <c r="F91" s="289">
        <v>5761</v>
      </c>
      <c r="G91" s="289">
        <v>4332</v>
      </c>
      <c r="H91" s="289">
        <v>27536</v>
      </c>
      <c r="I91" s="289">
        <v>4792</v>
      </c>
      <c r="J91" s="289">
        <v>1606</v>
      </c>
      <c r="K91" s="289">
        <v>441</v>
      </c>
      <c r="L91" s="289">
        <v>339</v>
      </c>
      <c r="M91" s="289">
        <v>2871</v>
      </c>
      <c r="N91" s="290">
        <v>768</v>
      </c>
      <c r="O91" s="290">
        <v>459</v>
      </c>
      <c r="P91" s="624">
        <v>85382.147666670004</v>
      </c>
      <c r="Q91" s="624">
        <v>67659.111999999994</v>
      </c>
      <c r="R91" s="624">
        <v>138</v>
      </c>
      <c r="S91" s="289"/>
      <c r="T91" s="289">
        <v>4168</v>
      </c>
      <c r="U91" s="716">
        <v>5.976066584239113E-4</v>
      </c>
      <c r="V91" s="289">
        <v>-3349.8417123200002</v>
      </c>
      <c r="W91" s="743">
        <v>0.54428188</v>
      </c>
      <c r="X91" s="289">
        <v>9500</v>
      </c>
      <c r="Y91" s="289">
        <v>414.28399999999999</v>
      </c>
      <c r="Z91" s="289">
        <v>1559319</v>
      </c>
      <c r="AA91" s="289">
        <v>0</v>
      </c>
      <c r="AB91" s="290">
        <v>698</v>
      </c>
      <c r="AC91" s="289">
        <v>0</v>
      </c>
      <c r="AD91" s="289">
        <v>5416.4189200000001</v>
      </c>
      <c r="AE91" s="289">
        <v>0</v>
      </c>
      <c r="AF91" s="289">
        <v>0</v>
      </c>
      <c r="AG91" s="289">
        <v>47699</v>
      </c>
      <c r="AH91" s="289">
        <v>7973.7619298199998</v>
      </c>
      <c r="AI91" s="289">
        <v>300</v>
      </c>
      <c r="AJ91" s="289">
        <v>0</v>
      </c>
      <c r="AK91" s="289">
        <v>0</v>
      </c>
      <c r="AL91" s="289">
        <v>0</v>
      </c>
      <c r="AM91" s="836">
        <v>1.0395976300000001</v>
      </c>
      <c r="AN91" s="289">
        <v>0</v>
      </c>
      <c r="AO91" s="289">
        <v>1750.86575616</v>
      </c>
      <c r="AP91" s="289">
        <v>0</v>
      </c>
      <c r="AQ91" s="289">
        <v>0</v>
      </c>
      <c r="AR91" s="289">
        <v>-2538.90808225</v>
      </c>
      <c r="AS91" s="289"/>
      <c r="AT91" s="289">
        <v>2137</v>
      </c>
      <c r="AU91" s="289">
        <v>606</v>
      </c>
      <c r="AV91" s="625">
        <v>1018799</v>
      </c>
      <c r="AW91" s="289"/>
      <c r="AX91" s="625">
        <v>370.16333335000002</v>
      </c>
      <c r="AY91" s="289">
        <v>12653</v>
      </c>
      <c r="AZ91" s="289">
        <v>1812</v>
      </c>
      <c r="BA91" s="290">
        <v>1015</v>
      </c>
      <c r="BB91" s="289">
        <v>0</v>
      </c>
      <c r="BC91" s="289">
        <v>13369.835899170001</v>
      </c>
      <c r="BD91" s="289">
        <v>691.8524294573001</v>
      </c>
      <c r="BE91" s="289">
        <v>1074956.6639586999</v>
      </c>
      <c r="BF91" s="289">
        <v>0</v>
      </c>
      <c r="BG91" s="289">
        <v>-1753.4507000000001</v>
      </c>
      <c r="BH91" s="289">
        <v>-134.67930000000001</v>
      </c>
      <c r="BI91" s="289">
        <v>13804.46484982</v>
      </c>
      <c r="BJ91" s="289">
        <v>0</v>
      </c>
      <c r="BK91" s="289">
        <v>0</v>
      </c>
      <c r="BL91" s="289">
        <v>0</v>
      </c>
      <c r="BM91" s="289">
        <v>5429</v>
      </c>
      <c r="BN91" s="289">
        <v>2907.4263071597557</v>
      </c>
      <c r="BO91" s="289">
        <v>1708.8124794919111</v>
      </c>
      <c r="BP91" s="289">
        <v>4318.7170729907602</v>
      </c>
      <c r="BQ91" s="289">
        <v>77.569344263423773</v>
      </c>
      <c r="BR91" s="289">
        <v>46.892220218772565</v>
      </c>
      <c r="BS91" s="289">
        <v>9.9905194938942685</v>
      </c>
      <c r="BT91" s="289">
        <v>0</v>
      </c>
      <c r="BU91" s="289">
        <v>0</v>
      </c>
      <c r="BV91" s="289">
        <v>5.438220591657597</v>
      </c>
      <c r="BW91" s="517"/>
      <c r="BX91" s="517"/>
      <c r="CA91" s="517"/>
      <c r="CB91" s="517"/>
    </row>
    <row r="92" spans="1:80" ht="13">
      <c r="A92" s="1">
        <v>1505</v>
      </c>
      <c r="B92" s="4" t="s">
        <v>680</v>
      </c>
      <c r="C92" s="289">
        <v>24274</v>
      </c>
      <c r="D92" s="289">
        <v>428</v>
      </c>
      <c r="E92" s="289">
        <v>946</v>
      </c>
      <c r="F92" s="289">
        <v>2850</v>
      </c>
      <c r="G92" s="289">
        <v>2118</v>
      </c>
      <c r="H92" s="289">
        <v>13873</v>
      </c>
      <c r="I92" s="289">
        <v>3073</v>
      </c>
      <c r="J92" s="289">
        <v>847</v>
      </c>
      <c r="K92" s="289">
        <v>200</v>
      </c>
      <c r="L92" s="289">
        <v>220</v>
      </c>
      <c r="M92" s="289">
        <v>1802</v>
      </c>
      <c r="N92" s="290">
        <v>436</v>
      </c>
      <c r="O92" s="290">
        <v>270</v>
      </c>
      <c r="P92" s="624">
        <v>36109.86</v>
      </c>
      <c r="Q92" s="624">
        <v>25992.483666669999</v>
      </c>
      <c r="R92" s="624">
        <v>112</v>
      </c>
      <c r="S92" s="289"/>
      <c r="T92" s="289">
        <v>2404</v>
      </c>
      <c r="U92" s="716">
        <v>5.2101737480027906E-4</v>
      </c>
      <c r="V92" s="289">
        <v>9703.8992334400009</v>
      </c>
      <c r="W92" s="743">
        <v>0.55148059999999999</v>
      </c>
      <c r="X92" s="289">
        <v>3000</v>
      </c>
      <c r="Y92" s="289">
        <v>414.28399999999999</v>
      </c>
      <c r="Z92" s="289">
        <v>663317</v>
      </c>
      <c r="AA92" s="289">
        <v>0</v>
      </c>
      <c r="AB92" s="290">
        <v>657</v>
      </c>
      <c r="AC92" s="289">
        <v>0</v>
      </c>
      <c r="AD92" s="289">
        <v>0</v>
      </c>
      <c r="AE92" s="289">
        <v>0</v>
      </c>
      <c r="AF92" s="289">
        <v>10353.18097385</v>
      </c>
      <c r="AG92" s="289">
        <v>24335</v>
      </c>
      <c r="AH92" s="289">
        <v>3804.2012145100002</v>
      </c>
      <c r="AI92" s="289">
        <v>100</v>
      </c>
      <c r="AJ92" s="289">
        <v>0</v>
      </c>
      <c r="AK92" s="289">
        <v>0</v>
      </c>
      <c r="AL92" s="289">
        <v>0</v>
      </c>
      <c r="AM92" s="836">
        <v>1.05460303</v>
      </c>
      <c r="AN92" s="289">
        <v>0</v>
      </c>
      <c r="AO92" s="289">
        <v>925.8292821</v>
      </c>
      <c r="AP92" s="289">
        <v>0</v>
      </c>
      <c r="AQ92" s="289">
        <v>0</v>
      </c>
      <c r="AR92" s="289">
        <v>-1295.29608968</v>
      </c>
      <c r="AS92" s="289"/>
      <c r="AT92" s="289">
        <v>1288</v>
      </c>
      <c r="AU92" s="289">
        <v>464</v>
      </c>
      <c r="AV92" s="625">
        <v>580722</v>
      </c>
      <c r="AW92" s="289"/>
      <c r="AX92" s="625">
        <v>147.76500005</v>
      </c>
      <c r="AY92" s="289">
        <v>5050</v>
      </c>
      <c r="AZ92" s="289">
        <v>1042</v>
      </c>
      <c r="BA92" s="290">
        <v>685</v>
      </c>
      <c r="BB92" s="289">
        <v>0</v>
      </c>
      <c r="BC92" s="289">
        <v>14241.60503097</v>
      </c>
      <c r="BD92" s="289">
        <v>445.3343594506091</v>
      </c>
      <c r="BE92" s="289">
        <v>606745.88898636994</v>
      </c>
      <c r="BF92" s="289">
        <v>0</v>
      </c>
      <c r="BG92" s="289">
        <v>-870.61569999999995</v>
      </c>
      <c r="BH92" s="289">
        <v>-68.710499999999996</v>
      </c>
      <c r="BI92" s="289">
        <v>14571.666188360001</v>
      </c>
      <c r="BJ92" s="289">
        <v>0</v>
      </c>
      <c r="BK92" s="289">
        <v>0</v>
      </c>
      <c r="BL92" s="289">
        <v>0</v>
      </c>
      <c r="BM92" s="289">
        <v>0</v>
      </c>
      <c r="BN92" s="289">
        <v>1706.2774082217547</v>
      </c>
      <c r="BO92" s="289">
        <v>897.44700378145285</v>
      </c>
      <c r="BP92" s="289">
        <v>2203.3162114767638</v>
      </c>
      <c r="BQ92" s="289">
        <v>67.628055249076283</v>
      </c>
      <c r="BR92" s="289">
        <v>30.183773251652397</v>
      </c>
      <c r="BS92" s="289">
        <v>5.1688334036599182</v>
      </c>
      <c r="BT92" s="289">
        <v>0</v>
      </c>
      <c r="BU92" s="289">
        <v>0</v>
      </c>
      <c r="BV92" s="289">
        <v>4.7412581106825371</v>
      </c>
      <c r="BW92" s="517"/>
      <c r="BX92" s="517"/>
      <c r="CA92" s="517"/>
      <c r="CB92" s="517"/>
    </row>
    <row r="93" spans="1:80" ht="13">
      <c r="A93" s="1">
        <v>1511</v>
      </c>
      <c r="B93" s="2" t="s">
        <v>86</v>
      </c>
      <c r="C93" s="289">
        <v>3163</v>
      </c>
      <c r="D93" s="289">
        <v>53</v>
      </c>
      <c r="E93" s="289">
        <v>92</v>
      </c>
      <c r="F93" s="289">
        <v>309</v>
      </c>
      <c r="G93" s="289">
        <v>319</v>
      </c>
      <c r="H93" s="289">
        <v>1628</v>
      </c>
      <c r="I93" s="289">
        <v>527</v>
      </c>
      <c r="J93" s="289">
        <v>175</v>
      </c>
      <c r="K93" s="289">
        <v>67</v>
      </c>
      <c r="L93" s="289">
        <v>23</v>
      </c>
      <c r="M93" s="289">
        <v>344</v>
      </c>
      <c r="N93" s="290">
        <v>1.5</v>
      </c>
      <c r="O93" s="290">
        <v>21</v>
      </c>
      <c r="P93" s="624">
        <v>38796.174333329996</v>
      </c>
      <c r="Q93" s="624">
        <v>11475.45966667</v>
      </c>
      <c r="R93" s="624">
        <v>26</v>
      </c>
      <c r="S93" s="289"/>
      <c r="T93" s="289">
        <v>199</v>
      </c>
      <c r="U93" s="716">
        <v>2.7099795977373977E-3</v>
      </c>
      <c r="V93" s="289">
        <v>1129.3229539700001</v>
      </c>
      <c r="W93" s="743">
        <v>0.91968559000000005</v>
      </c>
      <c r="X93" s="289">
        <v>2600</v>
      </c>
      <c r="Y93" s="289">
        <v>0</v>
      </c>
      <c r="Z93" s="289">
        <v>88973</v>
      </c>
      <c r="AA93" s="289">
        <v>-2826.6439691999999</v>
      </c>
      <c r="AB93" s="290">
        <v>70</v>
      </c>
      <c r="AC93" s="289">
        <v>0</v>
      </c>
      <c r="AD93" s="289">
        <v>0</v>
      </c>
      <c r="AE93" s="289">
        <v>0</v>
      </c>
      <c r="AF93" s="289">
        <v>0</v>
      </c>
      <c r="AG93" s="289">
        <v>3170</v>
      </c>
      <c r="AH93" s="289">
        <v>440.66260403000001</v>
      </c>
      <c r="AI93" s="289">
        <v>0</v>
      </c>
      <c r="AJ93" s="289">
        <v>0</v>
      </c>
      <c r="AK93" s="289">
        <v>0</v>
      </c>
      <c r="AL93" s="289">
        <v>0</v>
      </c>
      <c r="AM93" s="836">
        <v>1.929906E-2</v>
      </c>
      <c r="AN93" s="289">
        <v>0</v>
      </c>
      <c r="AO93" s="289">
        <v>144.23041125</v>
      </c>
      <c r="AP93" s="289">
        <v>0</v>
      </c>
      <c r="AQ93" s="289">
        <v>0</v>
      </c>
      <c r="AR93" s="289">
        <v>1999.6550872299999</v>
      </c>
      <c r="AS93" s="289"/>
      <c r="AT93" s="289">
        <v>110</v>
      </c>
      <c r="AU93" s="289">
        <v>22</v>
      </c>
      <c r="AV93" s="625">
        <v>110215</v>
      </c>
      <c r="AW93" s="289"/>
      <c r="AX93" s="625">
        <v>20.226666699999999</v>
      </c>
      <c r="AY93" s="289">
        <v>473</v>
      </c>
      <c r="AZ93" s="289">
        <v>81</v>
      </c>
      <c r="BA93" s="290">
        <v>47</v>
      </c>
      <c r="BB93" s="289">
        <v>5698</v>
      </c>
      <c r="BC93" s="289">
        <v>-5047.3531815400002</v>
      </c>
      <c r="BD93" s="289">
        <v>33.920937802982522</v>
      </c>
      <c r="BE93" s="289">
        <v>114440.26372666001</v>
      </c>
      <c r="BF93" s="289">
        <v>0</v>
      </c>
      <c r="BG93" s="289">
        <v>-111.40600000000001</v>
      </c>
      <c r="BH93" s="289">
        <v>-8.9505999999999997</v>
      </c>
      <c r="BI93" s="289">
        <v>-2385.9813651700001</v>
      </c>
      <c r="BJ93" s="289">
        <v>0</v>
      </c>
      <c r="BK93" s="289">
        <v>0</v>
      </c>
      <c r="BL93" s="289">
        <v>0</v>
      </c>
      <c r="BM93" s="289">
        <v>0</v>
      </c>
      <c r="BN93" s="289">
        <v>345.94828587742552</v>
      </c>
      <c r="BO93" s="289">
        <v>172.82746272904063</v>
      </c>
      <c r="BP93" s="289">
        <v>287.0150972007948</v>
      </c>
      <c r="BQ93" s="289">
        <v>351.75535178631424</v>
      </c>
      <c r="BR93" s="289">
        <v>2.2990857844243706</v>
      </c>
      <c r="BS93" s="289">
        <v>0.95381616252683754</v>
      </c>
      <c r="BT93" s="289">
        <v>0</v>
      </c>
      <c r="BU93" s="289">
        <v>0</v>
      </c>
      <c r="BV93" s="289">
        <v>24.660814339410315</v>
      </c>
      <c r="BW93" s="517"/>
      <c r="BX93" s="517"/>
      <c r="CA93" s="517"/>
      <c r="CB93" s="517"/>
    </row>
    <row r="94" spans="1:80" ht="13">
      <c r="A94" s="1">
        <v>1514</v>
      </c>
      <c r="B94" s="2" t="s">
        <v>897</v>
      </c>
      <c r="C94" s="289">
        <v>2493</v>
      </c>
      <c r="D94" s="289">
        <v>45</v>
      </c>
      <c r="E94" s="289">
        <v>86</v>
      </c>
      <c r="F94" s="289">
        <v>274</v>
      </c>
      <c r="G94" s="289">
        <v>228</v>
      </c>
      <c r="H94" s="289">
        <v>1380</v>
      </c>
      <c r="I94" s="289">
        <v>318</v>
      </c>
      <c r="J94" s="289">
        <v>147</v>
      </c>
      <c r="K94" s="289">
        <v>32</v>
      </c>
      <c r="L94" s="289">
        <v>19</v>
      </c>
      <c r="M94" s="289">
        <v>227</v>
      </c>
      <c r="N94" s="290">
        <v>1.5</v>
      </c>
      <c r="O94" s="290">
        <v>45</v>
      </c>
      <c r="P94" s="624">
        <v>29573.330666670001</v>
      </c>
      <c r="Q94" s="624">
        <v>14169.278666669999</v>
      </c>
      <c r="R94" s="624">
        <v>16</v>
      </c>
      <c r="S94" s="289"/>
      <c r="T94" s="289">
        <v>162</v>
      </c>
      <c r="U94" s="716">
        <v>9.9459475959427042E-4</v>
      </c>
      <c r="V94" s="289">
        <v>-48.037187009999997</v>
      </c>
      <c r="W94" s="743">
        <v>0.88635744999999999</v>
      </c>
      <c r="X94" s="289">
        <v>3700</v>
      </c>
      <c r="Y94" s="289">
        <v>0</v>
      </c>
      <c r="Z94" s="289">
        <v>75383</v>
      </c>
      <c r="AA94" s="289">
        <v>-935.20616235</v>
      </c>
      <c r="AB94" s="290">
        <v>35</v>
      </c>
      <c r="AC94" s="289">
        <v>543</v>
      </c>
      <c r="AD94" s="289">
        <v>0</v>
      </c>
      <c r="AE94" s="289">
        <v>0</v>
      </c>
      <c r="AF94" s="289">
        <v>0</v>
      </c>
      <c r="AG94" s="289">
        <v>2510</v>
      </c>
      <c r="AH94" s="289">
        <v>382.09352374000002</v>
      </c>
      <c r="AI94" s="289">
        <v>0</v>
      </c>
      <c r="AJ94" s="289">
        <v>0</v>
      </c>
      <c r="AK94" s="289">
        <v>0</v>
      </c>
      <c r="AL94" s="289">
        <v>0</v>
      </c>
      <c r="AM94" s="836">
        <v>3.854109E-2</v>
      </c>
      <c r="AN94" s="289">
        <v>0</v>
      </c>
      <c r="AO94" s="289">
        <v>113.9898891</v>
      </c>
      <c r="AP94" s="289">
        <v>0</v>
      </c>
      <c r="AQ94" s="289">
        <v>0</v>
      </c>
      <c r="AR94" s="289">
        <v>1114.18746504</v>
      </c>
      <c r="AS94" s="289"/>
      <c r="AT94" s="289">
        <v>103</v>
      </c>
      <c r="AU94" s="289">
        <v>34</v>
      </c>
      <c r="AV94" s="625">
        <v>88985</v>
      </c>
      <c r="AW94" s="289"/>
      <c r="AX94" s="625">
        <v>13.0733333</v>
      </c>
      <c r="AY94" s="289">
        <v>368</v>
      </c>
      <c r="AZ94" s="289">
        <v>70</v>
      </c>
      <c r="BA94" s="290">
        <v>57</v>
      </c>
      <c r="BB94" s="289">
        <v>4559</v>
      </c>
      <c r="BC94" s="289">
        <v>-1444.53785808</v>
      </c>
      <c r="BD94" s="289">
        <v>27.325741471236334</v>
      </c>
      <c r="BE94" s="289">
        <v>92410.462543059999</v>
      </c>
      <c r="BF94" s="289">
        <v>0</v>
      </c>
      <c r="BG94" s="289">
        <v>-103.009</v>
      </c>
      <c r="BH94" s="289">
        <v>-7.0869999999999997</v>
      </c>
      <c r="BI94" s="289">
        <v>-553.11263860999998</v>
      </c>
      <c r="BJ94" s="289">
        <v>0</v>
      </c>
      <c r="BK94" s="289">
        <v>0</v>
      </c>
      <c r="BL94" s="289">
        <v>0</v>
      </c>
      <c r="BM94" s="289">
        <v>0</v>
      </c>
      <c r="BN94" s="289">
        <v>242.36251753165669</v>
      </c>
      <c r="BO94" s="289">
        <v>139.48267221629828</v>
      </c>
      <c r="BP94" s="289">
        <v>227.25801071734855</v>
      </c>
      <c r="BQ94" s="289">
        <v>129.09839979533629</v>
      </c>
      <c r="BR94" s="289">
        <v>1.8520780330504627</v>
      </c>
      <c r="BS94" s="289">
        <v>0.81059854675564558</v>
      </c>
      <c r="BT94" s="289">
        <v>0</v>
      </c>
      <c r="BU94" s="289">
        <v>0</v>
      </c>
      <c r="BV94" s="289">
        <v>9.0508123123078583</v>
      </c>
      <c r="BW94" s="517"/>
      <c r="BX94" s="517"/>
      <c r="CA94" s="517"/>
      <c r="CB94" s="517"/>
    </row>
    <row r="95" spans="1:80" ht="13">
      <c r="A95" s="1">
        <v>1515</v>
      </c>
      <c r="B95" s="2" t="s">
        <v>87</v>
      </c>
      <c r="C95" s="289">
        <v>8927</v>
      </c>
      <c r="D95" s="289">
        <v>178</v>
      </c>
      <c r="E95" s="289">
        <v>377</v>
      </c>
      <c r="F95" s="289">
        <v>1148</v>
      </c>
      <c r="G95" s="289">
        <v>797</v>
      </c>
      <c r="H95" s="289">
        <v>4922</v>
      </c>
      <c r="I95" s="289">
        <v>1062</v>
      </c>
      <c r="J95" s="289">
        <v>375</v>
      </c>
      <c r="K95" s="289">
        <v>99</v>
      </c>
      <c r="L95" s="289">
        <v>64</v>
      </c>
      <c r="M95" s="289">
        <v>605</v>
      </c>
      <c r="N95" s="290">
        <v>81</v>
      </c>
      <c r="O95" s="290">
        <v>105</v>
      </c>
      <c r="P95" s="624">
        <v>39535.966999999997</v>
      </c>
      <c r="Q95" s="624">
        <v>17086.259333329999</v>
      </c>
      <c r="R95" s="624">
        <v>30</v>
      </c>
      <c r="S95" s="289"/>
      <c r="T95" s="289">
        <v>587</v>
      </c>
      <c r="U95" s="716">
        <v>1.7440369757577086E-3</v>
      </c>
      <c r="V95" s="289">
        <v>-4755.4326346500002</v>
      </c>
      <c r="W95" s="743">
        <v>0.61687225000000001</v>
      </c>
      <c r="X95" s="289">
        <v>1900</v>
      </c>
      <c r="Y95" s="289">
        <v>414.28399999999999</v>
      </c>
      <c r="Z95" s="289">
        <v>303238</v>
      </c>
      <c r="AA95" s="289">
        <v>0</v>
      </c>
      <c r="AB95" s="290">
        <v>153</v>
      </c>
      <c r="AC95" s="289">
        <v>0</v>
      </c>
      <c r="AD95" s="289">
        <v>0</v>
      </c>
      <c r="AE95" s="289">
        <v>0</v>
      </c>
      <c r="AF95" s="289">
        <v>0</v>
      </c>
      <c r="AG95" s="289">
        <v>8958</v>
      </c>
      <c r="AH95" s="289">
        <v>1516.5208287299999</v>
      </c>
      <c r="AI95" s="289">
        <v>0</v>
      </c>
      <c r="AJ95" s="289">
        <v>0</v>
      </c>
      <c r="AK95" s="289">
        <v>0</v>
      </c>
      <c r="AL95" s="289">
        <v>0</v>
      </c>
      <c r="AM95" s="836">
        <v>0.22739803</v>
      </c>
      <c r="AN95" s="289">
        <v>0</v>
      </c>
      <c r="AO95" s="289">
        <v>348.94197896999998</v>
      </c>
      <c r="AP95" s="289">
        <v>0</v>
      </c>
      <c r="AQ95" s="289">
        <v>0</v>
      </c>
      <c r="AR95" s="289">
        <v>-476.81374034999999</v>
      </c>
      <c r="AS95" s="289"/>
      <c r="AT95" s="289">
        <v>357</v>
      </c>
      <c r="AU95" s="289">
        <v>179</v>
      </c>
      <c r="AV95" s="625">
        <v>215716</v>
      </c>
      <c r="AW95" s="289"/>
      <c r="AX95" s="625">
        <v>66.438333299999996</v>
      </c>
      <c r="AY95" s="289">
        <v>1425</v>
      </c>
      <c r="AZ95" s="289">
        <v>286</v>
      </c>
      <c r="BA95" s="290">
        <v>159</v>
      </c>
      <c r="BB95" s="289">
        <v>0</v>
      </c>
      <c r="BC95" s="289">
        <v>1902.71753539</v>
      </c>
      <c r="BD95" s="289">
        <v>114.49216698160456</v>
      </c>
      <c r="BE95" s="289">
        <v>223371.21096992001</v>
      </c>
      <c r="BF95" s="289">
        <v>0</v>
      </c>
      <c r="BG95" s="289">
        <v>-361.20800000000003</v>
      </c>
      <c r="BH95" s="289">
        <v>-25.293099999999999</v>
      </c>
      <c r="BI95" s="289">
        <v>1930.8048287300001</v>
      </c>
      <c r="BJ95" s="289">
        <v>0</v>
      </c>
      <c r="BK95" s="289">
        <v>0</v>
      </c>
      <c r="BL95" s="289">
        <v>0</v>
      </c>
      <c r="BM95" s="289">
        <v>0</v>
      </c>
      <c r="BN95" s="289">
        <v>629.18570345940202</v>
      </c>
      <c r="BO95" s="289">
        <v>361.85399991832207</v>
      </c>
      <c r="BP95" s="289">
        <v>811.066637452593</v>
      </c>
      <c r="BQ95" s="289">
        <v>226.37599945335054</v>
      </c>
      <c r="BR95" s="289">
        <v>7.7600246509754243</v>
      </c>
      <c r="BS95" s="289">
        <v>2.0437679733040319</v>
      </c>
      <c r="BT95" s="289">
        <v>0</v>
      </c>
      <c r="BU95" s="289">
        <v>0</v>
      </c>
      <c r="BV95" s="289">
        <v>15.870736479395145</v>
      </c>
      <c r="BW95" s="517"/>
      <c r="BX95" s="517"/>
      <c r="CA95" s="517"/>
      <c r="CB95" s="517"/>
    </row>
    <row r="96" spans="1:80" ht="13">
      <c r="A96" s="1">
        <v>1516</v>
      </c>
      <c r="B96" s="2" t="s">
        <v>88</v>
      </c>
      <c r="C96" s="289">
        <v>8609</v>
      </c>
      <c r="D96" s="289">
        <v>179</v>
      </c>
      <c r="E96" s="289">
        <v>396</v>
      </c>
      <c r="F96" s="289">
        <v>1162</v>
      </c>
      <c r="G96" s="289">
        <v>818</v>
      </c>
      <c r="H96" s="289">
        <v>4847</v>
      </c>
      <c r="I96" s="289">
        <v>837</v>
      </c>
      <c r="J96" s="289">
        <v>267</v>
      </c>
      <c r="K96" s="289">
        <v>68</v>
      </c>
      <c r="L96" s="289">
        <v>54</v>
      </c>
      <c r="M96" s="289">
        <v>442</v>
      </c>
      <c r="N96" s="290">
        <v>162</v>
      </c>
      <c r="O96" s="290">
        <v>106</v>
      </c>
      <c r="P96" s="624">
        <v>22991.269</v>
      </c>
      <c r="Q96" s="624">
        <v>14277.632666670001</v>
      </c>
      <c r="R96" s="624">
        <v>38</v>
      </c>
      <c r="S96" s="289"/>
      <c r="T96" s="289">
        <v>580</v>
      </c>
      <c r="U96" s="716">
        <v>9.1218998079239098E-4</v>
      </c>
      <c r="V96" s="289">
        <v>388.09844987999998</v>
      </c>
      <c r="W96" s="743">
        <v>0.56949687000000004</v>
      </c>
      <c r="X96" s="289">
        <v>3050</v>
      </c>
      <c r="Y96" s="289">
        <v>414.28399999999999</v>
      </c>
      <c r="Z96" s="289">
        <v>275729</v>
      </c>
      <c r="AA96" s="289">
        <v>0</v>
      </c>
      <c r="AB96" s="290">
        <v>119</v>
      </c>
      <c r="AC96" s="289">
        <v>1014.5</v>
      </c>
      <c r="AD96" s="289">
        <v>0</v>
      </c>
      <c r="AE96" s="289">
        <v>0</v>
      </c>
      <c r="AF96" s="289">
        <v>0</v>
      </c>
      <c r="AG96" s="289">
        <v>8574</v>
      </c>
      <c r="AH96" s="289">
        <v>1570.9064032799999</v>
      </c>
      <c r="AI96" s="289">
        <v>0</v>
      </c>
      <c r="AJ96" s="289">
        <v>0</v>
      </c>
      <c r="AK96" s="289">
        <v>0</v>
      </c>
      <c r="AL96" s="289">
        <v>0</v>
      </c>
      <c r="AM96" s="836">
        <v>0.37995723999999997</v>
      </c>
      <c r="AN96" s="289">
        <v>0</v>
      </c>
      <c r="AO96" s="289">
        <v>328.89973115999999</v>
      </c>
      <c r="AP96" s="289">
        <v>0</v>
      </c>
      <c r="AQ96" s="289">
        <v>0</v>
      </c>
      <c r="AR96" s="289">
        <v>471.33739839999998</v>
      </c>
      <c r="AS96" s="289"/>
      <c r="AT96" s="289">
        <v>415</v>
      </c>
      <c r="AU96" s="289">
        <v>192</v>
      </c>
      <c r="AV96" s="625">
        <v>205331</v>
      </c>
      <c r="AW96" s="289"/>
      <c r="AX96" s="625">
        <v>37.633333299999997</v>
      </c>
      <c r="AY96" s="289">
        <v>2021</v>
      </c>
      <c r="AZ96" s="289">
        <v>349</v>
      </c>
      <c r="BA96" s="290">
        <v>168</v>
      </c>
      <c r="BB96" s="289">
        <v>0</v>
      </c>
      <c r="BC96" s="289">
        <v>1931.0354646799999</v>
      </c>
      <c r="BD96" s="289">
        <v>129.27670152994975</v>
      </c>
      <c r="BE96" s="289">
        <v>213236.80572896</v>
      </c>
      <c r="BF96" s="289">
        <v>0</v>
      </c>
      <c r="BG96" s="289">
        <v>-360.73689999999999</v>
      </c>
      <c r="BH96" s="289">
        <v>-24.2089</v>
      </c>
      <c r="BI96" s="289">
        <v>1985.1904032800001</v>
      </c>
      <c r="BJ96" s="289">
        <v>0</v>
      </c>
      <c r="BK96" s="289">
        <v>0</v>
      </c>
      <c r="BL96" s="289">
        <v>0</v>
      </c>
      <c r="BM96" s="289">
        <v>0</v>
      </c>
      <c r="BN96" s="289">
        <v>528.29733692351908</v>
      </c>
      <c r="BO96" s="289">
        <v>326.29653190949324</v>
      </c>
      <c r="BP96" s="289">
        <v>776.29887804404234</v>
      </c>
      <c r="BQ96" s="289">
        <v>118.40225950685233</v>
      </c>
      <c r="BR96" s="289">
        <v>8.7620875481410394</v>
      </c>
      <c r="BS96" s="289">
        <v>1.9541386771991811</v>
      </c>
      <c r="BT96" s="289">
        <v>0</v>
      </c>
      <c r="BU96" s="289">
        <v>0</v>
      </c>
      <c r="BV96" s="289">
        <v>8.3009288252107574</v>
      </c>
      <c r="BW96" s="517"/>
      <c r="BX96" s="517"/>
      <c r="CA96" s="517"/>
      <c r="CB96" s="517"/>
    </row>
    <row r="97" spans="1:80" ht="13">
      <c r="A97" s="1">
        <v>1517</v>
      </c>
      <c r="B97" s="2" t="s">
        <v>89</v>
      </c>
      <c r="C97" s="289">
        <v>5155</v>
      </c>
      <c r="D97" s="289">
        <v>116</v>
      </c>
      <c r="E97" s="289">
        <v>264</v>
      </c>
      <c r="F97" s="289">
        <v>669</v>
      </c>
      <c r="G97" s="289">
        <v>450</v>
      </c>
      <c r="H97" s="289">
        <v>2855</v>
      </c>
      <c r="I97" s="289">
        <v>539</v>
      </c>
      <c r="J97" s="289">
        <v>206</v>
      </c>
      <c r="K97" s="289">
        <v>62</v>
      </c>
      <c r="L97" s="289">
        <v>34</v>
      </c>
      <c r="M97" s="289">
        <v>385</v>
      </c>
      <c r="N97" s="290">
        <v>107</v>
      </c>
      <c r="O97" s="290">
        <v>83</v>
      </c>
      <c r="P97" s="624">
        <v>13055.352999999999</v>
      </c>
      <c r="Q97" s="624">
        <v>5792.6040000000003</v>
      </c>
      <c r="R97" s="624">
        <v>20</v>
      </c>
      <c r="S97" s="289"/>
      <c r="T97" s="289">
        <v>358</v>
      </c>
      <c r="U97" s="716">
        <v>6.3532011282193949E-4</v>
      </c>
      <c r="V97" s="289">
        <v>-731.53079046000005</v>
      </c>
      <c r="W97" s="743">
        <v>0.58932253999999995</v>
      </c>
      <c r="X97" s="289">
        <v>1500</v>
      </c>
      <c r="Y97" s="289">
        <v>414.28399999999999</v>
      </c>
      <c r="Z97" s="289">
        <v>130558</v>
      </c>
      <c r="AA97" s="289">
        <v>0</v>
      </c>
      <c r="AB97" s="290">
        <v>82</v>
      </c>
      <c r="AC97" s="289">
        <v>0</v>
      </c>
      <c r="AD97" s="289">
        <v>0</v>
      </c>
      <c r="AE97" s="289">
        <v>0</v>
      </c>
      <c r="AF97" s="289">
        <v>0</v>
      </c>
      <c r="AG97" s="289">
        <v>5161</v>
      </c>
      <c r="AH97" s="289">
        <v>909.21524627999997</v>
      </c>
      <c r="AI97" s="289">
        <v>0</v>
      </c>
      <c r="AJ97" s="289">
        <v>0</v>
      </c>
      <c r="AK97" s="289">
        <v>0</v>
      </c>
      <c r="AL97" s="289">
        <v>0</v>
      </c>
      <c r="AM97" s="836">
        <v>0.23045022000000001</v>
      </c>
      <c r="AN97" s="289">
        <v>0</v>
      </c>
      <c r="AO97" s="289">
        <v>212.95718187</v>
      </c>
      <c r="AP97" s="289">
        <v>0</v>
      </c>
      <c r="AQ97" s="289">
        <v>0</v>
      </c>
      <c r="AR97" s="289">
        <v>-274.70816186000002</v>
      </c>
      <c r="AS97" s="289"/>
      <c r="AT97" s="289">
        <v>202</v>
      </c>
      <c r="AU97" s="289">
        <v>123</v>
      </c>
      <c r="AV97" s="625">
        <v>137874</v>
      </c>
      <c r="AW97" s="289"/>
      <c r="AX97" s="625">
        <v>41.18</v>
      </c>
      <c r="AY97" s="289">
        <v>900</v>
      </c>
      <c r="AZ97" s="289">
        <v>246</v>
      </c>
      <c r="BA97" s="290">
        <v>123</v>
      </c>
      <c r="BB97" s="289">
        <v>0</v>
      </c>
      <c r="BC97" s="289">
        <v>1295.5811313300001</v>
      </c>
      <c r="BD97" s="289">
        <v>79.779747966869138</v>
      </c>
      <c r="BE97" s="289">
        <v>147417.25236618999</v>
      </c>
      <c r="BF97" s="289">
        <v>0</v>
      </c>
      <c r="BG97" s="289">
        <v>-211.50819999999999</v>
      </c>
      <c r="BH97" s="289">
        <v>-14.5722</v>
      </c>
      <c r="BI97" s="289">
        <v>1323.4992462800001</v>
      </c>
      <c r="BJ97" s="289">
        <v>0</v>
      </c>
      <c r="BK97" s="289">
        <v>0</v>
      </c>
      <c r="BL97" s="289">
        <v>0</v>
      </c>
      <c r="BM97" s="289">
        <v>0</v>
      </c>
      <c r="BN97" s="289">
        <v>366.93421000272116</v>
      </c>
      <c r="BO97" s="289">
        <v>208.11348996996546</v>
      </c>
      <c r="BP97" s="289">
        <v>467.28230809252426</v>
      </c>
      <c r="BQ97" s="289">
        <v>82.464550644287726</v>
      </c>
      <c r="BR97" s="289">
        <v>5.4072940288655742</v>
      </c>
      <c r="BS97" s="289">
        <v>1.2582172933057201</v>
      </c>
      <c r="BT97" s="289">
        <v>0</v>
      </c>
      <c r="BU97" s="289">
        <v>0</v>
      </c>
      <c r="BV97" s="289">
        <v>5.7814130266796493</v>
      </c>
      <c r="BW97" s="517"/>
      <c r="BX97" s="517"/>
      <c r="CA97" s="517"/>
      <c r="CB97" s="517"/>
    </row>
    <row r="98" spans="1:80" ht="13">
      <c r="A98" s="1">
        <v>1519</v>
      </c>
      <c r="B98" s="2" t="s">
        <v>90</v>
      </c>
      <c r="C98" s="289">
        <v>9197</v>
      </c>
      <c r="D98" s="289">
        <v>198</v>
      </c>
      <c r="E98" s="289">
        <v>378</v>
      </c>
      <c r="F98" s="289">
        <v>1137</v>
      </c>
      <c r="G98" s="289">
        <v>941</v>
      </c>
      <c r="H98" s="289">
        <v>4965</v>
      </c>
      <c r="I98" s="289">
        <v>1062</v>
      </c>
      <c r="J98" s="289">
        <v>371</v>
      </c>
      <c r="K98" s="289">
        <v>104</v>
      </c>
      <c r="L98" s="289">
        <v>64</v>
      </c>
      <c r="M98" s="289">
        <v>596</v>
      </c>
      <c r="N98" s="290">
        <v>162</v>
      </c>
      <c r="O98" s="290">
        <v>76</v>
      </c>
      <c r="P98" s="624">
        <v>57467.983666669999</v>
      </c>
      <c r="Q98" s="624">
        <v>23453.400666670001</v>
      </c>
      <c r="R98" s="624">
        <v>41</v>
      </c>
      <c r="S98" s="289"/>
      <c r="T98" s="289">
        <v>597</v>
      </c>
      <c r="U98" s="716">
        <v>2.7092311793188066E-3</v>
      </c>
      <c r="V98" s="289">
        <v>2280.3262974600002</v>
      </c>
      <c r="W98" s="743">
        <v>0.61539359999999999</v>
      </c>
      <c r="X98" s="289">
        <v>1850</v>
      </c>
      <c r="Y98" s="289">
        <v>414.28399999999999</v>
      </c>
      <c r="Z98" s="289">
        <v>227273</v>
      </c>
      <c r="AA98" s="289">
        <v>0</v>
      </c>
      <c r="AB98" s="290">
        <v>124</v>
      </c>
      <c r="AC98" s="289">
        <v>0</v>
      </c>
      <c r="AD98" s="289">
        <v>4274.9729520000001</v>
      </c>
      <c r="AE98" s="289">
        <v>0</v>
      </c>
      <c r="AF98" s="289">
        <v>0</v>
      </c>
      <c r="AG98" s="289">
        <v>9156</v>
      </c>
      <c r="AH98" s="289">
        <v>1527.6768440200001</v>
      </c>
      <c r="AI98" s="289">
        <v>0</v>
      </c>
      <c r="AJ98" s="289">
        <v>0</v>
      </c>
      <c r="AK98" s="289">
        <v>0</v>
      </c>
      <c r="AL98" s="289">
        <v>0</v>
      </c>
      <c r="AM98" s="836">
        <v>0.15219450000000001</v>
      </c>
      <c r="AN98" s="289">
        <v>0</v>
      </c>
      <c r="AO98" s="289">
        <v>363.49731628000001</v>
      </c>
      <c r="AP98" s="289">
        <v>0</v>
      </c>
      <c r="AQ98" s="289">
        <v>0</v>
      </c>
      <c r="AR98" s="289">
        <v>-487.35282503000002</v>
      </c>
      <c r="AS98" s="289"/>
      <c r="AT98" s="289">
        <v>377</v>
      </c>
      <c r="AU98" s="289">
        <v>96</v>
      </c>
      <c r="AV98" s="625">
        <v>233621</v>
      </c>
      <c r="AW98" s="289"/>
      <c r="AX98" s="625">
        <v>67.746666700000006</v>
      </c>
      <c r="AY98" s="289">
        <v>2802</v>
      </c>
      <c r="AZ98" s="289">
        <v>355</v>
      </c>
      <c r="BA98" s="290">
        <v>169</v>
      </c>
      <c r="BB98" s="289">
        <v>0</v>
      </c>
      <c r="BC98" s="289">
        <v>6065.7824040799997</v>
      </c>
      <c r="BD98" s="289">
        <v>114.5629246970658</v>
      </c>
      <c r="BE98" s="289">
        <v>252247.33612573001</v>
      </c>
      <c r="BF98" s="289">
        <v>0</v>
      </c>
      <c r="BG98" s="289">
        <v>-360.73070000000001</v>
      </c>
      <c r="BH98" s="289">
        <v>-25.8522</v>
      </c>
      <c r="BI98" s="289">
        <v>6216.93379602</v>
      </c>
      <c r="BJ98" s="289">
        <v>0</v>
      </c>
      <c r="BK98" s="289">
        <v>0</v>
      </c>
      <c r="BL98" s="289">
        <v>0</v>
      </c>
      <c r="BM98" s="289">
        <v>3404</v>
      </c>
      <c r="BN98" s="289">
        <v>665.85005898921452</v>
      </c>
      <c r="BO98" s="289">
        <v>378.23488574615914</v>
      </c>
      <c r="BP98" s="289">
        <v>828.99376339762682</v>
      </c>
      <c r="BQ98" s="289">
        <v>351.65820707558106</v>
      </c>
      <c r="BR98" s="289">
        <v>7.7648204516900137</v>
      </c>
      <c r="BS98" s="289">
        <v>2.0854996524625591</v>
      </c>
      <c r="BT98" s="289">
        <v>0</v>
      </c>
      <c r="BU98" s="289">
        <v>0</v>
      </c>
      <c r="BV98" s="289">
        <v>24.654003731801133</v>
      </c>
      <c r="BW98" s="517"/>
      <c r="BX98" s="517"/>
      <c r="CA98" s="517"/>
      <c r="CB98" s="517"/>
    </row>
    <row r="99" spans="1:80" ht="13">
      <c r="A99" s="1">
        <v>1520</v>
      </c>
      <c r="B99" s="2" t="s">
        <v>91</v>
      </c>
      <c r="C99" s="289">
        <v>10857</v>
      </c>
      <c r="D99" s="289">
        <v>224</v>
      </c>
      <c r="E99" s="289">
        <v>501</v>
      </c>
      <c r="F99" s="289">
        <v>1383</v>
      </c>
      <c r="G99" s="289">
        <v>992</v>
      </c>
      <c r="H99" s="289">
        <v>5905</v>
      </c>
      <c r="I99" s="289">
        <v>1248</v>
      </c>
      <c r="J99" s="289">
        <v>463</v>
      </c>
      <c r="K99" s="289">
        <v>143</v>
      </c>
      <c r="L99" s="289">
        <v>74</v>
      </c>
      <c r="M99" s="289">
        <v>771</v>
      </c>
      <c r="N99" s="290">
        <v>142</v>
      </c>
      <c r="O99" s="290">
        <v>91</v>
      </c>
      <c r="P99" s="624">
        <v>90094.078333330006</v>
      </c>
      <c r="Q99" s="624">
        <v>20935.13</v>
      </c>
      <c r="R99" s="624">
        <v>37</v>
      </c>
      <c r="S99" s="289"/>
      <c r="T99" s="289">
        <v>799</v>
      </c>
      <c r="U99" s="716">
        <v>4.3002162478149629E-3</v>
      </c>
      <c r="V99" s="289">
        <v>647.62987754999995</v>
      </c>
      <c r="W99" s="743">
        <v>0.62263122999999998</v>
      </c>
      <c r="X99" s="289">
        <v>2700</v>
      </c>
      <c r="Y99" s="289">
        <v>414.28399999999999</v>
      </c>
      <c r="Z99" s="289">
        <v>286052</v>
      </c>
      <c r="AA99" s="289">
        <v>0</v>
      </c>
      <c r="AB99" s="290">
        <v>183</v>
      </c>
      <c r="AC99" s="289">
        <v>0</v>
      </c>
      <c r="AD99" s="289">
        <v>0</v>
      </c>
      <c r="AE99" s="289">
        <v>0</v>
      </c>
      <c r="AF99" s="289">
        <v>0</v>
      </c>
      <c r="AG99" s="289">
        <v>10859</v>
      </c>
      <c r="AH99" s="289">
        <v>1866.54080851</v>
      </c>
      <c r="AI99" s="289">
        <v>250</v>
      </c>
      <c r="AJ99" s="289">
        <v>0</v>
      </c>
      <c r="AK99" s="289">
        <v>0</v>
      </c>
      <c r="AL99" s="289">
        <v>0</v>
      </c>
      <c r="AM99" s="836">
        <v>0.12150262000000001</v>
      </c>
      <c r="AN99" s="289">
        <v>0</v>
      </c>
      <c r="AO99" s="289">
        <v>435.75011002999997</v>
      </c>
      <c r="AP99" s="289">
        <v>0</v>
      </c>
      <c r="AQ99" s="289">
        <v>0</v>
      </c>
      <c r="AR99" s="289">
        <v>-577.99959883999998</v>
      </c>
      <c r="AS99" s="289"/>
      <c r="AT99" s="289">
        <v>424</v>
      </c>
      <c r="AU99" s="289">
        <v>139</v>
      </c>
      <c r="AV99" s="625">
        <v>280438</v>
      </c>
      <c r="AW99" s="289"/>
      <c r="AX99" s="625">
        <v>82.766666700000002</v>
      </c>
      <c r="AY99" s="289">
        <v>2208</v>
      </c>
      <c r="AZ99" s="289">
        <v>241</v>
      </c>
      <c r="BA99" s="290">
        <v>222</v>
      </c>
      <c r="BB99" s="289">
        <v>0</v>
      </c>
      <c r="BC99" s="289">
        <v>2206.2857374199998</v>
      </c>
      <c r="BD99" s="289">
        <v>135.90104709533733</v>
      </c>
      <c r="BE99" s="289">
        <v>294755.76679700997</v>
      </c>
      <c r="BF99" s="289">
        <v>0</v>
      </c>
      <c r="BG99" s="289">
        <v>-438.12490000000003</v>
      </c>
      <c r="BH99" s="289">
        <v>-30.660699999999999</v>
      </c>
      <c r="BI99" s="289">
        <v>2280.8248085099999</v>
      </c>
      <c r="BJ99" s="289">
        <v>0</v>
      </c>
      <c r="BK99" s="289">
        <v>0</v>
      </c>
      <c r="BL99" s="289">
        <v>0</v>
      </c>
      <c r="BM99" s="289">
        <v>0</v>
      </c>
      <c r="BN99" s="289">
        <v>791.1788846135953</v>
      </c>
      <c r="BO99" s="289">
        <v>448.09715304453493</v>
      </c>
      <c r="BP99" s="289">
        <v>983.18515473294337</v>
      </c>
      <c r="BQ99" s="289">
        <v>558.16806896638207</v>
      </c>
      <c r="BR99" s="289">
        <v>9.2110709697950828</v>
      </c>
      <c r="BS99" s="289">
        <v>2.4375255232528525</v>
      </c>
      <c r="BT99" s="289">
        <v>0</v>
      </c>
      <c r="BU99" s="289">
        <v>0</v>
      </c>
      <c r="BV99" s="289">
        <v>39.131967855116152</v>
      </c>
      <c r="BW99" s="517"/>
      <c r="BX99" s="517"/>
      <c r="CA99" s="517"/>
      <c r="CB99" s="517"/>
    </row>
    <row r="100" spans="1:80" ht="13">
      <c r="A100" s="1">
        <v>1523</v>
      </c>
      <c r="B100" s="2" t="s">
        <v>92</v>
      </c>
      <c r="C100" s="289">
        <v>2250</v>
      </c>
      <c r="D100" s="289">
        <v>45</v>
      </c>
      <c r="E100" s="289">
        <v>90</v>
      </c>
      <c r="F100" s="289">
        <v>282</v>
      </c>
      <c r="G100" s="289">
        <v>193</v>
      </c>
      <c r="H100" s="289">
        <v>1239</v>
      </c>
      <c r="I100" s="289">
        <v>320</v>
      </c>
      <c r="J100" s="289">
        <v>64</v>
      </c>
      <c r="K100" s="289">
        <v>29</v>
      </c>
      <c r="L100" s="289">
        <v>18</v>
      </c>
      <c r="M100" s="289">
        <v>151</v>
      </c>
      <c r="N100" s="290">
        <v>36</v>
      </c>
      <c r="O100" s="290">
        <v>28</v>
      </c>
      <c r="P100" s="624">
        <v>6141.21833333</v>
      </c>
      <c r="Q100" s="624">
        <v>5009.5763333300001</v>
      </c>
      <c r="R100" s="624">
        <v>8</v>
      </c>
      <c r="S100" s="289"/>
      <c r="T100" s="289">
        <v>169</v>
      </c>
      <c r="U100" s="716">
        <v>7.6328771879700247E-4</v>
      </c>
      <c r="V100" s="289">
        <v>309.52661970999998</v>
      </c>
      <c r="W100" s="743">
        <v>0.66586248000000003</v>
      </c>
      <c r="X100" s="289">
        <v>100</v>
      </c>
      <c r="Y100" s="289">
        <v>414.28399999999999</v>
      </c>
      <c r="Z100" s="289">
        <v>62662</v>
      </c>
      <c r="AA100" s="289">
        <v>0</v>
      </c>
      <c r="AB100" s="290">
        <v>39</v>
      </c>
      <c r="AC100" s="289">
        <v>0</v>
      </c>
      <c r="AD100" s="289">
        <v>1103.41922</v>
      </c>
      <c r="AE100" s="289">
        <v>0</v>
      </c>
      <c r="AF100" s="289">
        <v>0</v>
      </c>
      <c r="AG100" s="289">
        <v>2262</v>
      </c>
      <c r="AH100" s="289">
        <v>376.51551610000001</v>
      </c>
      <c r="AI100" s="289">
        <v>0</v>
      </c>
      <c r="AJ100" s="289">
        <v>0</v>
      </c>
      <c r="AK100" s="289">
        <v>0</v>
      </c>
      <c r="AL100" s="289">
        <v>0</v>
      </c>
      <c r="AM100" s="836">
        <v>3.2934520000000002E-2</v>
      </c>
      <c r="AN100" s="289">
        <v>0</v>
      </c>
      <c r="AO100" s="289">
        <v>93.378315450000002</v>
      </c>
      <c r="AP100" s="289">
        <v>0</v>
      </c>
      <c r="AQ100" s="289">
        <v>0</v>
      </c>
      <c r="AR100" s="289">
        <v>7504.80064786</v>
      </c>
      <c r="AS100" s="289"/>
      <c r="AT100" s="289">
        <v>93</v>
      </c>
      <c r="AU100" s="289">
        <v>20</v>
      </c>
      <c r="AV100" s="625">
        <v>75037</v>
      </c>
      <c r="AW100" s="289"/>
      <c r="AX100" s="625">
        <v>19.353333299999999</v>
      </c>
      <c r="AY100" s="289">
        <v>532</v>
      </c>
      <c r="AZ100" s="289">
        <v>91</v>
      </c>
      <c r="BA100" s="290">
        <v>40</v>
      </c>
      <c r="BB100" s="289">
        <v>2850</v>
      </c>
      <c r="BC100" s="289">
        <v>1859.22340405</v>
      </c>
      <c r="BD100" s="289">
        <v>29.696257285817403</v>
      </c>
      <c r="BE100" s="289">
        <v>69163.57114416</v>
      </c>
      <c r="BF100" s="289">
        <v>0</v>
      </c>
      <c r="BG100" s="289">
        <v>-93.447500000000005</v>
      </c>
      <c r="BH100" s="289">
        <v>-6.3868</v>
      </c>
      <c r="BI100" s="289">
        <v>1894.2187360999999</v>
      </c>
      <c r="BJ100" s="289">
        <v>0</v>
      </c>
      <c r="BK100" s="289">
        <v>0</v>
      </c>
      <c r="BL100" s="289">
        <v>0</v>
      </c>
      <c r="BM100" s="289">
        <v>259</v>
      </c>
      <c r="BN100" s="289">
        <v>163.49990926819413</v>
      </c>
      <c r="BO100" s="289">
        <v>108.55719409724799</v>
      </c>
      <c r="BP100" s="289">
        <v>204.80383276599298</v>
      </c>
      <c r="BQ100" s="289">
        <v>99.07474589985091</v>
      </c>
      <c r="BR100" s="289">
        <v>2.0127463271498458</v>
      </c>
      <c r="BS100" s="289">
        <v>0.68514014386194233</v>
      </c>
      <c r="BT100" s="289">
        <v>0</v>
      </c>
      <c r="BU100" s="289">
        <v>0</v>
      </c>
      <c r="BV100" s="289">
        <v>6.9459182410527207</v>
      </c>
      <c r="BW100" s="517"/>
      <c r="BX100" s="517"/>
      <c r="CA100" s="517"/>
      <c r="CB100" s="517"/>
    </row>
    <row r="101" spans="1:80" ht="13">
      <c r="A101" s="1">
        <v>1524</v>
      </c>
      <c r="B101" s="2" t="s">
        <v>93</v>
      </c>
      <c r="C101" s="289">
        <v>1645</v>
      </c>
      <c r="D101" s="289">
        <v>29</v>
      </c>
      <c r="E101" s="289">
        <v>55</v>
      </c>
      <c r="F101" s="289">
        <v>207</v>
      </c>
      <c r="G101" s="289">
        <v>171</v>
      </c>
      <c r="H101" s="289">
        <v>838</v>
      </c>
      <c r="I101" s="289">
        <v>243</v>
      </c>
      <c r="J101" s="289">
        <v>93</v>
      </c>
      <c r="K101" s="289">
        <v>34</v>
      </c>
      <c r="L101" s="289">
        <v>11</v>
      </c>
      <c r="M101" s="289">
        <v>154</v>
      </c>
      <c r="N101" s="290">
        <v>4</v>
      </c>
      <c r="O101" s="290">
        <v>11</v>
      </c>
      <c r="P101" s="624">
        <v>16663.76533333</v>
      </c>
      <c r="Q101" s="624">
        <v>7180.1779999999999</v>
      </c>
      <c r="R101" s="624">
        <v>11</v>
      </c>
      <c r="S101" s="289"/>
      <c r="T101" s="289">
        <v>131</v>
      </c>
      <c r="U101" s="716">
        <v>2.1282553089984626E-3</v>
      </c>
      <c r="V101" s="289">
        <v>876.88075614000002</v>
      </c>
      <c r="W101" s="743">
        <v>1</v>
      </c>
      <c r="X101" s="289">
        <v>1130</v>
      </c>
      <c r="Y101" s="289">
        <v>265.22399999999999</v>
      </c>
      <c r="Z101" s="289">
        <v>46265</v>
      </c>
      <c r="AA101" s="289">
        <v>0</v>
      </c>
      <c r="AB101" s="290">
        <v>30</v>
      </c>
      <c r="AC101" s="289">
        <v>0</v>
      </c>
      <c r="AD101" s="289">
        <v>0</v>
      </c>
      <c r="AE101" s="289">
        <v>0</v>
      </c>
      <c r="AF101" s="289">
        <v>0</v>
      </c>
      <c r="AG101" s="289">
        <v>1670</v>
      </c>
      <c r="AH101" s="289">
        <v>276.80862943</v>
      </c>
      <c r="AI101" s="289">
        <v>420</v>
      </c>
      <c r="AJ101" s="289">
        <v>0</v>
      </c>
      <c r="AK101" s="289">
        <v>0</v>
      </c>
      <c r="AL101" s="289">
        <v>0</v>
      </c>
      <c r="AM101" s="836">
        <v>1.4270140000000001E-2</v>
      </c>
      <c r="AN101" s="289">
        <v>0</v>
      </c>
      <c r="AO101" s="289">
        <v>83.661408820000005</v>
      </c>
      <c r="AP101" s="289">
        <v>0</v>
      </c>
      <c r="AQ101" s="289">
        <v>0</v>
      </c>
      <c r="AR101" s="289">
        <v>-88.890259700000001</v>
      </c>
      <c r="AS101" s="289"/>
      <c r="AT101" s="289">
        <v>54</v>
      </c>
      <c r="AU101" s="289">
        <v>11</v>
      </c>
      <c r="AV101" s="625">
        <v>72436</v>
      </c>
      <c r="AW101" s="289"/>
      <c r="AX101" s="625">
        <v>7.4550000499999998</v>
      </c>
      <c r="AY101" s="289">
        <v>307</v>
      </c>
      <c r="AZ101" s="289">
        <v>67</v>
      </c>
      <c r="BA101" s="290">
        <v>20</v>
      </c>
      <c r="BB101" s="289">
        <v>5698</v>
      </c>
      <c r="BC101" s="289">
        <v>523.18853535999995</v>
      </c>
      <c r="BD101" s="289">
        <v>19.415072911131965</v>
      </c>
      <c r="BE101" s="289">
        <v>75198.244049179993</v>
      </c>
      <c r="BF101" s="289">
        <v>0</v>
      </c>
      <c r="BG101" s="289">
        <v>-75.975099999999998</v>
      </c>
      <c r="BH101" s="289">
        <v>-4.7153</v>
      </c>
      <c r="BI101" s="289">
        <v>542.03262943000004</v>
      </c>
      <c r="BJ101" s="289">
        <v>0</v>
      </c>
      <c r="BK101" s="289">
        <v>0</v>
      </c>
      <c r="BL101" s="289">
        <v>0</v>
      </c>
      <c r="BM101" s="289">
        <v>0</v>
      </c>
      <c r="BN101" s="289">
        <v>175.69569714529467</v>
      </c>
      <c r="BO101" s="289">
        <v>107.30166421807033</v>
      </c>
      <c r="BP101" s="289">
        <v>151.20353701114425</v>
      </c>
      <c r="BQ101" s="289">
        <v>276.24753910800041</v>
      </c>
      <c r="BR101" s="289">
        <v>1.3159104973100553</v>
      </c>
      <c r="BS101" s="289">
        <v>0.67578427863835455</v>
      </c>
      <c r="BT101" s="289">
        <v>0</v>
      </c>
      <c r="BU101" s="289">
        <v>0</v>
      </c>
      <c r="BV101" s="289">
        <v>19.367123311886004</v>
      </c>
      <c r="BW101" s="517"/>
      <c r="BX101" s="517"/>
      <c r="CA101" s="517"/>
      <c r="CB101" s="517"/>
    </row>
    <row r="102" spans="1:80" ht="13">
      <c r="A102" s="1">
        <v>1525</v>
      </c>
      <c r="B102" s="2" t="s">
        <v>94</v>
      </c>
      <c r="C102" s="289">
        <v>4565</v>
      </c>
      <c r="D102" s="289">
        <v>82</v>
      </c>
      <c r="E102" s="289">
        <v>166</v>
      </c>
      <c r="F102" s="289">
        <v>501</v>
      </c>
      <c r="G102" s="289">
        <v>414</v>
      </c>
      <c r="H102" s="289">
        <v>2515</v>
      </c>
      <c r="I102" s="289">
        <v>594</v>
      </c>
      <c r="J102" s="289">
        <v>266</v>
      </c>
      <c r="K102" s="289">
        <v>68</v>
      </c>
      <c r="L102" s="289">
        <v>29</v>
      </c>
      <c r="M102" s="289">
        <v>383</v>
      </c>
      <c r="N102" s="290">
        <v>50</v>
      </c>
      <c r="O102" s="290">
        <v>53</v>
      </c>
      <c r="P102" s="624">
        <v>45391.217333330002</v>
      </c>
      <c r="Q102" s="624">
        <v>27809.760333329999</v>
      </c>
      <c r="R102" s="624">
        <v>9</v>
      </c>
      <c r="S102" s="289"/>
      <c r="T102" s="289">
        <v>321</v>
      </c>
      <c r="U102" s="716">
        <v>2.2722941666182585E-3</v>
      </c>
      <c r="V102" s="289">
        <v>1867.80145849</v>
      </c>
      <c r="W102" s="743">
        <v>0.80281334000000004</v>
      </c>
      <c r="X102" s="289">
        <v>2350</v>
      </c>
      <c r="Y102" s="289">
        <v>414.28399999999999</v>
      </c>
      <c r="Z102" s="289">
        <v>128492</v>
      </c>
      <c r="AA102" s="289">
        <v>0</v>
      </c>
      <c r="AB102" s="290">
        <v>52</v>
      </c>
      <c r="AC102" s="289">
        <v>0</v>
      </c>
      <c r="AD102" s="289">
        <v>0</v>
      </c>
      <c r="AE102" s="289">
        <v>0</v>
      </c>
      <c r="AF102" s="289">
        <v>0</v>
      </c>
      <c r="AG102" s="289">
        <v>4606</v>
      </c>
      <c r="AH102" s="289">
        <v>695.15920286999994</v>
      </c>
      <c r="AI102" s="289">
        <v>100</v>
      </c>
      <c r="AJ102" s="289">
        <v>0</v>
      </c>
      <c r="AK102" s="289">
        <v>0</v>
      </c>
      <c r="AL102" s="289">
        <v>0</v>
      </c>
      <c r="AM102" s="836">
        <v>4.6921350000000001E-2</v>
      </c>
      <c r="AN102" s="289">
        <v>2543</v>
      </c>
      <c r="AO102" s="289">
        <v>187.32413837999999</v>
      </c>
      <c r="AP102" s="289">
        <v>0</v>
      </c>
      <c r="AQ102" s="289">
        <v>0</v>
      </c>
      <c r="AR102" s="289">
        <v>7930.90124801</v>
      </c>
      <c r="AS102" s="289"/>
      <c r="AT102" s="289">
        <v>138</v>
      </c>
      <c r="AU102" s="289">
        <v>49</v>
      </c>
      <c r="AV102" s="625">
        <v>136394</v>
      </c>
      <c r="AW102" s="289"/>
      <c r="AX102" s="625">
        <v>26.135000000000002</v>
      </c>
      <c r="AY102" s="289">
        <v>762</v>
      </c>
      <c r="AZ102" s="289">
        <v>146</v>
      </c>
      <c r="BA102" s="290">
        <v>55</v>
      </c>
      <c r="BB102" s="289">
        <v>0</v>
      </c>
      <c r="BC102" s="289">
        <v>1103.01921214</v>
      </c>
      <c r="BD102" s="289">
        <v>52.611537071366577</v>
      </c>
      <c r="BE102" s="289">
        <v>133877.14725849</v>
      </c>
      <c r="BF102" s="289">
        <v>0</v>
      </c>
      <c r="BG102" s="289">
        <v>-176.6935</v>
      </c>
      <c r="BH102" s="289">
        <v>-13.0052</v>
      </c>
      <c r="BI102" s="289">
        <v>1109.4432028700001</v>
      </c>
      <c r="BJ102" s="289">
        <v>0</v>
      </c>
      <c r="BK102" s="289">
        <v>0</v>
      </c>
      <c r="BL102" s="289">
        <v>0</v>
      </c>
      <c r="BM102" s="289">
        <v>0</v>
      </c>
      <c r="BN102" s="289">
        <v>377.09717353003361</v>
      </c>
      <c r="BO102" s="289">
        <v>227.5690233997467</v>
      </c>
      <c r="BP102" s="289">
        <v>417.03203082235353</v>
      </c>
      <c r="BQ102" s="289">
        <v>294.94378282704986</v>
      </c>
      <c r="BR102" s="289">
        <v>3.5658930681704013</v>
      </c>
      <c r="BS102" s="289">
        <v>1.2118727878463451</v>
      </c>
      <c r="BT102" s="289">
        <v>0</v>
      </c>
      <c r="BU102" s="289">
        <v>0</v>
      </c>
      <c r="BV102" s="289">
        <v>20.67787691622615</v>
      </c>
      <c r="BW102" s="517"/>
      <c r="BX102" s="517"/>
      <c r="CA102" s="517"/>
      <c r="CB102" s="517"/>
    </row>
    <row r="103" spans="1:80" ht="13">
      <c r="A103" s="1">
        <v>1526</v>
      </c>
      <c r="B103" s="2" t="s">
        <v>95</v>
      </c>
      <c r="C103" s="289">
        <v>947</v>
      </c>
      <c r="D103" s="289">
        <v>10</v>
      </c>
      <c r="E103" s="289">
        <v>32</v>
      </c>
      <c r="F103" s="289">
        <v>132</v>
      </c>
      <c r="G103" s="289">
        <v>98</v>
      </c>
      <c r="H103" s="289">
        <v>513</v>
      </c>
      <c r="I103" s="289">
        <v>112</v>
      </c>
      <c r="J103" s="289">
        <v>58</v>
      </c>
      <c r="K103" s="289">
        <v>15</v>
      </c>
      <c r="L103" s="289">
        <v>7</v>
      </c>
      <c r="M103" s="289">
        <v>83</v>
      </c>
      <c r="N103" s="290">
        <v>8</v>
      </c>
      <c r="O103" s="290">
        <v>14</v>
      </c>
      <c r="P103" s="624">
        <v>1832.78366667</v>
      </c>
      <c r="Q103" s="624">
        <v>3364.3440000000001</v>
      </c>
      <c r="R103" s="624">
        <v>3</v>
      </c>
      <c r="S103" s="289"/>
      <c r="T103" s="289">
        <v>68</v>
      </c>
      <c r="U103" s="716">
        <v>5.573593902024294E-4</v>
      </c>
      <c r="V103" s="289">
        <v>427.63888398</v>
      </c>
      <c r="W103" s="743">
        <v>0.89600763000000005</v>
      </c>
      <c r="X103" s="289">
        <v>1400</v>
      </c>
      <c r="Y103" s="289">
        <v>414.28399999999999</v>
      </c>
      <c r="Z103" s="289">
        <v>22435</v>
      </c>
      <c r="AA103" s="289">
        <v>-312.43642190000003</v>
      </c>
      <c r="AB103" s="290">
        <v>16</v>
      </c>
      <c r="AC103" s="289">
        <v>0</v>
      </c>
      <c r="AD103" s="289">
        <v>-213.01804799999999</v>
      </c>
      <c r="AE103" s="289">
        <v>0</v>
      </c>
      <c r="AF103" s="289">
        <v>0</v>
      </c>
      <c r="AG103" s="289">
        <v>970</v>
      </c>
      <c r="AH103" s="289">
        <v>164.55122555</v>
      </c>
      <c r="AI103" s="289">
        <v>0</v>
      </c>
      <c r="AJ103" s="289">
        <v>213</v>
      </c>
      <c r="AK103" s="289">
        <v>0</v>
      </c>
      <c r="AL103" s="289">
        <v>0</v>
      </c>
      <c r="AM103" s="836">
        <v>2.5402629999999999E-2</v>
      </c>
      <c r="AN103" s="289">
        <v>0</v>
      </c>
      <c r="AO103" s="289">
        <v>49.92115733</v>
      </c>
      <c r="AP103" s="289">
        <v>0</v>
      </c>
      <c r="AQ103" s="289">
        <v>0</v>
      </c>
      <c r="AR103" s="289">
        <v>2347.81275749</v>
      </c>
      <c r="AS103" s="289"/>
      <c r="AT103" s="289">
        <v>48</v>
      </c>
      <c r="AU103" s="289">
        <v>10</v>
      </c>
      <c r="AV103" s="625">
        <v>49053</v>
      </c>
      <c r="AW103" s="289"/>
      <c r="AX103" s="625">
        <v>-7.8333349999999996E-2</v>
      </c>
      <c r="AY103" s="289">
        <v>149</v>
      </c>
      <c r="AZ103" s="289">
        <v>50</v>
      </c>
      <c r="BA103" s="290">
        <v>29</v>
      </c>
      <c r="BB103" s="289">
        <v>5698</v>
      </c>
      <c r="BC103" s="289">
        <v>-241.02866796999999</v>
      </c>
      <c r="BD103" s="289">
        <v>12.581442143129063</v>
      </c>
      <c r="BE103" s="289">
        <v>48259.895453949997</v>
      </c>
      <c r="BF103" s="289">
        <v>0</v>
      </c>
      <c r="BG103" s="289">
        <v>-49.520099999999999</v>
      </c>
      <c r="BH103" s="289">
        <v>-2.7387999999999999</v>
      </c>
      <c r="BI103" s="289">
        <v>53.380755649999998</v>
      </c>
      <c r="BJ103" s="289">
        <v>0</v>
      </c>
      <c r="BK103" s="289">
        <v>0</v>
      </c>
      <c r="BL103" s="289">
        <v>0</v>
      </c>
      <c r="BM103" s="289">
        <v>0</v>
      </c>
      <c r="BN103" s="289">
        <v>92.51281780725688</v>
      </c>
      <c r="BO103" s="289">
        <v>68.687070645973364</v>
      </c>
      <c r="BP103" s="289">
        <v>87.824808922640671</v>
      </c>
      <c r="BQ103" s="289">
        <v>72.345248848275332</v>
      </c>
      <c r="BR103" s="289">
        <v>0.85274218970096949</v>
      </c>
      <c r="BS103" s="289">
        <v>0.49848806677390134</v>
      </c>
      <c r="BT103" s="289">
        <v>0</v>
      </c>
      <c r="BU103" s="289">
        <v>0</v>
      </c>
      <c r="BV103" s="289">
        <v>5.0719704508421062</v>
      </c>
      <c r="BW103" s="517"/>
      <c r="BX103" s="517"/>
      <c r="CA103" s="517"/>
      <c r="CB103" s="517"/>
    </row>
    <row r="104" spans="1:80" ht="13">
      <c r="A104" s="1">
        <v>1528</v>
      </c>
      <c r="B104" s="2" t="s">
        <v>96</v>
      </c>
      <c r="C104" s="289">
        <v>7657</v>
      </c>
      <c r="D104" s="289">
        <v>132</v>
      </c>
      <c r="E104" s="289">
        <v>350</v>
      </c>
      <c r="F104" s="289">
        <v>988</v>
      </c>
      <c r="G104" s="289">
        <v>724</v>
      </c>
      <c r="H104" s="289">
        <v>4236</v>
      </c>
      <c r="I104" s="289">
        <v>907</v>
      </c>
      <c r="J104" s="289">
        <v>283</v>
      </c>
      <c r="K104" s="289">
        <v>83</v>
      </c>
      <c r="L104" s="289">
        <v>52</v>
      </c>
      <c r="M104" s="289">
        <v>486</v>
      </c>
      <c r="N104" s="290">
        <v>130</v>
      </c>
      <c r="O104" s="290">
        <v>64</v>
      </c>
      <c r="P104" s="624">
        <v>32244.980333330001</v>
      </c>
      <c r="Q104" s="624">
        <v>19128.726666670002</v>
      </c>
      <c r="R104" s="624">
        <v>34</v>
      </c>
      <c r="S104" s="289"/>
      <c r="T104" s="289">
        <v>555</v>
      </c>
      <c r="U104" s="716">
        <v>1.8772343722221192E-3</v>
      </c>
      <c r="V104" s="289">
        <v>-6199.7116335399996</v>
      </c>
      <c r="W104" s="743">
        <v>0.59885599</v>
      </c>
      <c r="X104" s="289">
        <v>650</v>
      </c>
      <c r="Y104" s="289">
        <v>414.28399999999999</v>
      </c>
      <c r="Z104" s="289">
        <v>203942</v>
      </c>
      <c r="AA104" s="289">
        <v>0</v>
      </c>
      <c r="AB104" s="290">
        <v>129</v>
      </c>
      <c r="AC104" s="289">
        <v>0</v>
      </c>
      <c r="AD104" s="289">
        <v>0</v>
      </c>
      <c r="AE104" s="289">
        <v>0</v>
      </c>
      <c r="AF104" s="289">
        <v>0</v>
      </c>
      <c r="AG104" s="289">
        <v>7703</v>
      </c>
      <c r="AH104" s="289">
        <v>1342.2080897999999</v>
      </c>
      <c r="AI104" s="289">
        <v>100</v>
      </c>
      <c r="AJ104" s="289">
        <v>0</v>
      </c>
      <c r="AK104" s="289">
        <v>0</v>
      </c>
      <c r="AL104" s="289">
        <v>0</v>
      </c>
      <c r="AM104" s="836">
        <v>8.4379540000000003E-2</v>
      </c>
      <c r="AN104" s="289">
        <v>1971</v>
      </c>
      <c r="AO104" s="289">
        <v>302.35627314999999</v>
      </c>
      <c r="AP104" s="289">
        <v>0</v>
      </c>
      <c r="AQ104" s="289">
        <v>0</v>
      </c>
      <c r="AR104" s="289">
        <v>6967.7658666799998</v>
      </c>
      <c r="AS104" s="289"/>
      <c r="AT104" s="289">
        <v>314</v>
      </c>
      <c r="AU104" s="289">
        <v>68</v>
      </c>
      <c r="AV104" s="625">
        <v>195350</v>
      </c>
      <c r="AW104" s="289"/>
      <c r="AX104" s="625">
        <v>43.673333300000003</v>
      </c>
      <c r="AY104" s="289">
        <v>1429</v>
      </c>
      <c r="AZ104" s="289">
        <v>234</v>
      </c>
      <c r="BA104" s="290">
        <v>142</v>
      </c>
      <c r="BB104" s="289">
        <v>0</v>
      </c>
      <c r="BC104" s="289">
        <v>1724.8809394299999</v>
      </c>
      <c r="BD104" s="289">
        <v>98.366100656475595</v>
      </c>
      <c r="BE104" s="289">
        <v>194157.47463695999</v>
      </c>
      <c r="BF104" s="289">
        <v>0</v>
      </c>
      <c r="BG104" s="289">
        <v>-310.0874</v>
      </c>
      <c r="BH104" s="289">
        <v>-21.749600000000001</v>
      </c>
      <c r="BI104" s="289">
        <v>1756.4920898</v>
      </c>
      <c r="BJ104" s="289">
        <v>0</v>
      </c>
      <c r="BK104" s="289">
        <v>0</v>
      </c>
      <c r="BL104" s="289">
        <v>0</v>
      </c>
      <c r="BM104" s="289">
        <v>0</v>
      </c>
      <c r="BN104" s="289">
        <v>538.79462470546025</v>
      </c>
      <c r="BO104" s="289">
        <v>313.65577053582564</v>
      </c>
      <c r="BP104" s="289">
        <v>697.43763209391864</v>
      </c>
      <c r="BQ104" s="289">
        <v>243.66502151443103</v>
      </c>
      <c r="BR104" s="289">
        <v>6.667035711161124</v>
      </c>
      <c r="BS104" s="289">
        <v>1.7805894698242102</v>
      </c>
      <c r="BT104" s="289">
        <v>0</v>
      </c>
      <c r="BU104" s="289">
        <v>0</v>
      </c>
      <c r="BV104" s="289">
        <v>17.082832787221282</v>
      </c>
      <c r="BW104" s="517"/>
      <c r="BX104" s="517"/>
      <c r="CA104" s="517"/>
      <c r="CB104" s="517"/>
    </row>
    <row r="105" spans="1:80" ht="13">
      <c r="A105" s="1">
        <v>1529</v>
      </c>
      <c r="B105" s="2" t="s">
        <v>97</v>
      </c>
      <c r="C105" s="289">
        <v>4764</v>
      </c>
      <c r="D105" s="289">
        <v>129</v>
      </c>
      <c r="E105" s="289">
        <v>264</v>
      </c>
      <c r="F105" s="289">
        <v>645</v>
      </c>
      <c r="G105" s="289">
        <v>412</v>
      </c>
      <c r="H105" s="289">
        <v>2676</v>
      </c>
      <c r="I105" s="289">
        <v>446</v>
      </c>
      <c r="J105" s="289">
        <v>136</v>
      </c>
      <c r="K105" s="289">
        <v>24</v>
      </c>
      <c r="L105" s="289">
        <v>29</v>
      </c>
      <c r="M105" s="289">
        <v>238</v>
      </c>
      <c r="N105" s="290">
        <v>25</v>
      </c>
      <c r="O105" s="290">
        <v>36</v>
      </c>
      <c r="P105" s="624">
        <v>19536.933333329998</v>
      </c>
      <c r="Q105" s="624">
        <v>14423.941999999999</v>
      </c>
      <c r="R105" s="624">
        <v>22</v>
      </c>
      <c r="S105" s="289"/>
      <c r="T105" s="289">
        <v>296</v>
      </c>
      <c r="U105" s="716">
        <v>6.9893486502653327E-4</v>
      </c>
      <c r="V105" s="289">
        <v>-8640.2023158100001</v>
      </c>
      <c r="W105" s="743">
        <v>0.63440211999999996</v>
      </c>
      <c r="X105" s="289">
        <v>2100</v>
      </c>
      <c r="Y105" s="289">
        <v>414.28399999999999</v>
      </c>
      <c r="Z105" s="289">
        <v>129233</v>
      </c>
      <c r="AA105" s="289">
        <v>0</v>
      </c>
      <c r="AB105" s="290">
        <v>76</v>
      </c>
      <c r="AC105" s="289">
        <v>0</v>
      </c>
      <c r="AD105" s="289">
        <v>2133.9768840000002</v>
      </c>
      <c r="AE105" s="289">
        <v>495</v>
      </c>
      <c r="AF105" s="289">
        <v>0</v>
      </c>
      <c r="AG105" s="289">
        <v>4732</v>
      </c>
      <c r="AH105" s="289">
        <v>890.38947048</v>
      </c>
      <c r="AI105" s="289">
        <v>0</v>
      </c>
      <c r="AJ105" s="289">
        <v>0</v>
      </c>
      <c r="AK105" s="289">
        <v>0</v>
      </c>
      <c r="AL105" s="289">
        <v>0</v>
      </c>
      <c r="AM105" s="836">
        <v>5.6694019999999998E-2</v>
      </c>
      <c r="AN105" s="289">
        <v>0</v>
      </c>
      <c r="AO105" s="289">
        <v>188.087042</v>
      </c>
      <c r="AP105" s="289">
        <v>0</v>
      </c>
      <c r="AQ105" s="289">
        <v>0</v>
      </c>
      <c r="AR105" s="289">
        <v>7091.8085067299999</v>
      </c>
      <c r="AS105" s="289"/>
      <c r="AT105" s="289">
        <v>211</v>
      </c>
      <c r="AU105" s="289">
        <v>55</v>
      </c>
      <c r="AV105" s="625">
        <v>124573</v>
      </c>
      <c r="AW105" s="289"/>
      <c r="AX105" s="625">
        <v>53.993333300000003</v>
      </c>
      <c r="AY105" s="289">
        <v>916</v>
      </c>
      <c r="AZ105" s="289">
        <v>107</v>
      </c>
      <c r="BA105" s="290">
        <v>88</v>
      </c>
      <c r="BB105" s="289">
        <v>0</v>
      </c>
      <c r="BC105" s="289">
        <v>3329.5235959800002</v>
      </c>
      <c r="BD105" s="289">
        <v>52.933153432528485</v>
      </c>
      <c r="BE105" s="289">
        <v>121491.14853863</v>
      </c>
      <c r="BF105" s="289">
        <v>0</v>
      </c>
      <c r="BG105" s="289">
        <v>-204.5822</v>
      </c>
      <c r="BH105" s="289">
        <v>-13.360900000000001</v>
      </c>
      <c r="BI105" s="289">
        <v>3438.6503544799998</v>
      </c>
      <c r="BJ105" s="289">
        <v>0</v>
      </c>
      <c r="BK105" s="289">
        <v>0</v>
      </c>
      <c r="BL105" s="289">
        <v>0</v>
      </c>
      <c r="BM105" s="289">
        <v>535</v>
      </c>
      <c r="BN105" s="289">
        <v>285.04279784783444</v>
      </c>
      <c r="BO105" s="289">
        <v>195.52582158471552</v>
      </c>
      <c r="BP105" s="289">
        <v>428.4402018782842</v>
      </c>
      <c r="BQ105" s="289">
        <v>90.721745480444</v>
      </c>
      <c r="BR105" s="289">
        <v>3.5876915104269305</v>
      </c>
      <c r="BS105" s="289">
        <v>1.1867702903227204</v>
      </c>
      <c r="BT105" s="289">
        <v>0</v>
      </c>
      <c r="BU105" s="289">
        <v>0</v>
      </c>
      <c r="BV105" s="289">
        <v>6.3603072717414513</v>
      </c>
      <c r="BW105" s="517"/>
      <c r="BX105" s="517"/>
      <c r="CA105" s="517"/>
      <c r="CB105" s="517"/>
    </row>
    <row r="106" spans="1:80" ht="13">
      <c r="A106" s="1">
        <v>1531</v>
      </c>
      <c r="B106" s="2" t="s">
        <v>98</v>
      </c>
      <c r="C106" s="289">
        <v>9271</v>
      </c>
      <c r="D106" s="289">
        <v>262</v>
      </c>
      <c r="E106" s="289">
        <v>544</v>
      </c>
      <c r="F106" s="289">
        <v>1289</v>
      </c>
      <c r="G106" s="289">
        <v>796</v>
      </c>
      <c r="H106" s="289">
        <v>5075</v>
      </c>
      <c r="I106" s="289">
        <v>846</v>
      </c>
      <c r="J106" s="289">
        <v>326</v>
      </c>
      <c r="K106" s="289">
        <v>90</v>
      </c>
      <c r="L106" s="289">
        <v>66</v>
      </c>
      <c r="M106" s="289">
        <v>466</v>
      </c>
      <c r="N106" s="290">
        <v>64</v>
      </c>
      <c r="O106" s="290">
        <v>89</v>
      </c>
      <c r="P106" s="624">
        <v>22049.535333330001</v>
      </c>
      <c r="Q106" s="624">
        <v>14737.973</v>
      </c>
      <c r="R106" s="624">
        <v>54</v>
      </c>
      <c r="S106" s="289"/>
      <c r="T106" s="289">
        <v>580</v>
      </c>
      <c r="U106" s="716">
        <v>3.3780577843618205E-4</v>
      </c>
      <c r="V106" s="289">
        <v>3226.55541941</v>
      </c>
      <c r="W106" s="743">
        <v>0.56412700999999998</v>
      </c>
      <c r="X106" s="289">
        <v>400</v>
      </c>
      <c r="Y106" s="289">
        <v>414.28399999999999</v>
      </c>
      <c r="Z106" s="289">
        <v>242024</v>
      </c>
      <c r="AA106" s="289">
        <v>0</v>
      </c>
      <c r="AB106" s="290">
        <v>118</v>
      </c>
      <c r="AC106" s="289">
        <v>0</v>
      </c>
      <c r="AD106" s="289">
        <v>0</v>
      </c>
      <c r="AE106" s="289">
        <v>0</v>
      </c>
      <c r="AF106" s="289">
        <v>0</v>
      </c>
      <c r="AG106" s="289">
        <v>9228</v>
      </c>
      <c r="AH106" s="289">
        <v>1798.2102148500001</v>
      </c>
      <c r="AI106" s="289">
        <v>0</v>
      </c>
      <c r="AJ106" s="289">
        <v>0</v>
      </c>
      <c r="AK106" s="289">
        <v>0</v>
      </c>
      <c r="AL106" s="289">
        <v>0</v>
      </c>
      <c r="AM106" s="836">
        <v>9.4566289999999997E-2</v>
      </c>
      <c r="AN106" s="289">
        <v>0</v>
      </c>
      <c r="AO106" s="289">
        <v>380.80709967000001</v>
      </c>
      <c r="AP106" s="289">
        <v>0</v>
      </c>
      <c r="AQ106" s="289">
        <v>0</v>
      </c>
      <c r="AR106" s="289">
        <v>-491.18521945999998</v>
      </c>
      <c r="AS106" s="289"/>
      <c r="AT106" s="289">
        <v>382</v>
      </c>
      <c r="AU106" s="289">
        <v>86</v>
      </c>
      <c r="AV106" s="625">
        <v>250466</v>
      </c>
      <c r="AW106" s="289"/>
      <c r="AX106" s="625">
        <v>104.61333329999999</v>
      </c>
      <c r="AY106" s="289">
        <v>1805</v>
      </c>
      <c r="AZ106" s="289">
        <v>240</v>
      </c>
      <c r="BA106" s="290">
        <v>214</v>
      </c>
      <c r="BB106" s="289">
        <v>0</v>
      </c>
      <c r="BC106" s="289">
        <v>2099.81032327</v>
      </c>
      <c r="BD106" s="289">
        <v>99.499143065870896</v>
      </c>
      <c r="BE106" s="289">
        <v>265730.58537925</v>
      </c>
      <c r="BF106" s="289">
        <v>0</v>
      </c>
      <c r="BG106" s="289">
        <v>-395.36559999999997</v>
      </c>
      <c r="BH106" s="289">
        <v>-26.055499999999999</v>
      </c>
      <c r="BI106" s="289">
        <v>2212.4942148499999</v>
      </c>
      <c r="BJ106" s="289">
        <v>0</v>
      </c>
      <c r="BK106" s="289">
        <v>0</v>
      </c>
      <c r="BL106" s="289">
        <v>0</v>
      </c>
      <c r="BM106" s="289">
        <v>0</v>
      </c>
      <c r="BN106" s="289">
        <v>632.33826915513487</v>
      </c>
      <c r="BO106" s="289">
        <v>352.01189578598343</v>
      </c>
      <c r="BP106" s="289">
        <v>835.51271828672998</v>
      </c>
      <c r="BQ106" s="289">
        <v>43.847190041016432</v>
      </c>
      <c r="BR106" s="289">
        <v>6.7438308077979157</v>
      </c>
      <c r="BS106" s="289">
        <v>2.0905582021936304</v>
      </c>
      <c r="BT106" s="289">
        <v>0</v>
      </c>
      <c r="BU106" s="289">
        <v>0</v>
      </c>
      <c r="BV106" s="289">
        <v>3.0740325837692559</v>
      </c>
      <c r="BW106" s="517"/>
      <c r="BX106" s="517"/>
      <c r="CA106" s="517"/>
      <c r="CB106" s="517"/>
    </row>
    <row r="107" spans="1:80" ht="13">
      <c r="A107" s="1">
        <v>1532</v>
      </c>
      <c r="B107" s="2" t="s">
        <v>99</v>
      </c>
      <c r="C107" s="289">
        <v>8398</v>
      </c>
      <c r="D107" s="289">
        <v>236</v>
      </c>
      <c r="E107" s="289">
        <v>502</v>
      </c>
      <c r="F107" s="289">
        <v>1184</v>
      </c>
      <c r="G107" s="289">
        <v>775</v>
      </c>
      <c r="H107" s="289">
        <v>4558</v>
      </c>
      <c r="I107" s="289">
        <v>793</v>
      </c>
      <c r="J107" s="289">
        <v>259</v>
      </c>
      <c r="K107" s="289">
        <v>67</v>
      </c>
      <c r="L107" s="289">
        <v>57</v>
      </c>
      <c r="M107" s="289">
        <v>408</v>
      </c>
      <c r="N107" s="290">
        <v>56</v>
      </c>
      <c r="O107" s="290">
        <v>84</v>
      </c>
      <c r="P107" s="624">
        <v>32944.181333330002</v>
      </c>
      <c r="Q107" s="624">
        <v>11641.688333329999</v>
      </c>
      <c r="R107" s="624">
        <v>23</v>
      </c>
      <c r="S107" s="289"/>
      <c r="T107" s="289">
        <v>466</v>
      </c>
      <c r="U107" s="716">
        <v>9.6912666100646186E-4</v>
      </c>
      <c r="V107" s="289">
        <v>2324.4495754</v>
      </c>
      <c r="W107" s="743">
        <v>0.61652203999999999</v>
      </c>
      <c r="X107" s="289">
        <v>250</v>
      </c>
      <c r="Y107" s="289">
        <v>414.28399999999999</v>
      </c>
      <c r="Z107" s="289">
        <v>241624</v>
      </c>
      <c r="AA107" s="289">
        <v>0</v>
      </c>
      <c r="AB107" s="290">
        <v>100</v>
      </c>
      <c r="AC107" s="289">
        <v>0</v>
      </c>
      <c r="AD107" s="289">
        <v>0</v>
      </c>
      <c r="AE107" s="289">
        <v>608</v>
      </c>
      <c r="AF107" s="289">
        <v>0</v>
      </c>
      <c r="AG107" s="289">
        <v>8374</v>
      </c>
      <c r="AH107" s="289">
        <v>1662.94352944</v>
      </c>
      <c r="AI107" s="289">
        <v>0</v>
      </c>
      <c r="AJ107" s="289">
        <v>0</v>
      </c>
      <c r="AK107" s="289">
        <v>0</v>
      </c>
      <c r="AL107" s="289">
        <v>0</v>
      </c>
      <c r="AM107" s="836">
        <v>0.12270644999999999</v>
      </c>
      <c r="AN107" s="289">
        <v>0</v>
      </c>
      <c r="AO107" s="289">
        <v>331.22302250000001</v>
      </c>
      <c r="AP107" s="289">
        <v>0</v>
      </c>
      <c r="AQ107" s="289">
        <v>0</v>
      </c>
      <c r="AR107" s="289">
        <v>-445.72876330000003</v>
      </c>
      <c r="AS107" s="289"/>
      <c r="AT107" s="289">
        <v>360</v>
      </c>
      <c r="AU107" s="289">
        <v>84</v>
      </c>
      <c r="AV107" s="625">
        <v>205720</v>
      </c>
      <c r="AW107" s="289"/>
      <c r="AX107" s="625">
        <v>89.983333299999998</v>
      </c>
      <c r="AY107" s="289">
        <v>1640</v>
      </c>
      <c r="AZ107" s="289">
        <v>279</v>
      </c>
      <c r="BA107" s="290">
        <v>203</v>
      </c>
      <c r="BB107" s="289">
        <v>0</v>
      </c>
      <c r="BC107" s="289">
        <v>1994.4676262999999</v>
      </c>
      <c r="BD107" s="289">
        <v>88.305226054817297</v>
      </c>
      <c r="BE107" s="289">
        <v>221726.72739118</v>
      </c>
      <c r="BF107" s="289">
        <v>0</v>
      </c>
      <c r="BG107" s="289">
        <v>-365.89859999999999</v>
      </c>
      <c r="BH107" s="289">
        <v>-23.644200000000001</v>
      </c>
      <c r="BI107" s="289">
        <v>2077.2275294400001</v>
      </c>
      <c r="BJ107" s="289">
        <v>0</v>
      </c>
      <c r="BK107" s="289">
        <v>0</v>
      </c>
      <c r="BL107" s="289">
        <v>0</v>
      </c>
      <c r="BM107" s="289">
        <v>0</v>
      </c>
      <c r="BN107" s="289">
        <v>483.47944703965754</v>
      </c>
      <c r="BO107" s="289">
        <v>325.16303530887978</v>
      </c>
      <c r="BP107" s="289">
        <v>758.19067001875567</v>
      </c>
      <c r="BQ107" s="289">
        <v>125.79264059863874</v>
      </c>
      <c r="BR107" s="289">
        <v>5.9851319881598384</v>
      </c>
      <c r="BS107" s="289">
        <v>1.9318020769393351</v>
      </c>
      <c r="BT107" s="289">
        <v>0</v>
      </c>
      <c r="BU107" s="289">
        <v>0</v>
      </c>
      <c r="BV107" s="289">
        <v>8.8190526151587996</v>
      </c>
      <c r="BW107" s="517"/>
      <c r="BX107" s="517"/>
      <c r="CA107" s="517"/>
      <c r="CB107" s="517"/>
    </row>
    <row r="108" spans="1:80" ht="13">
      <c r="A108" s="1">
        <v>1534</v>
      </c>
      <c r="B108" s="2" t="s">
        <v>100</v>
      </c>
      <c r="C108" s="289">
        <v>9383</v>
      </c>
      <c r="D108" s="289">
        <v>207</v>
      </c>
      <c r="E108" s="289">
        <v>439</v>
      </c>
      <c r="F108" s="289">
        <v>1169</v>
      </c>
      <c r="G108" s="289">
        <v>805</v>
      </c>
      <c r="H108" s="289">
        <v>5135</v>
      </c>
      <c r="I108" s="289">
        <v>1072</v>
      </c>
      <c r="J108" s="289">
        <v>410</v>
      </c>
      <c r="K108" s="289">
        <v>122</v>
      </c>
      <c r="L108" s="289">
        <v>59</v>
      </c>
      <c r="M108" s="289">
        <v>643</v>
      </c>
      <c r="N108" s="290">
        <v>154</v>
      </c>
      <c r="O108" s="290">
        <v>161</v>
      </c>
      <c r="P108" s="624">
        <v>67577.513666669998</v>
      </c>
      <c r="Q108" s="624">
        <v>29843.08633333</v>
      </c>
      <c r="R108" s="624">
        <v>29</v>
      </c>
      <c r="S108" s="289"/>
      <c r="T108" s="289">
        <v>637</v>
      </c>
      <c r="U108" s="716">
        <v>2.2863803994152792E-3</v>
      </c>
      <c r="V108" s="289">
        <v>-7990.4180169499996</v>
      </c>
      <c r="W108" s="743">
        <v>0.76343437000000003</v>
      </c>
      <c r="X108" s="289">
        <v>2000</v>
      </c>
      <c r="Y108" s="289">
        <v>414.28399999999999</v>
      </c>
      <c r="Z108" s="289">
        <v>265960</v>
      </c>
      <c r="AA108" s="289">
        <v>0</v>
      </c>
      <c r="AB108" s="290">
        <v>147</v>
      </c>
      <c r="AC108" s="289">
        <v>0</v>
      </c>
      <c r="AD108" s="289">
        <v>1834.365256</v>
      </c>
      <c r="AE108" s="289">
        <v>0</v>
      </c>
      <c r="AF108" s="289">
        <v>0</v>
      </c>
      <c r="AG108" s="289">
        <v>9359</v>
      </c>
      <c r="AH108" s="289">
        <v>1594.6129357699999</v>
      </c>
      <c r="AI108" s="289">
        <v>0</v>
      </c>
      <c r="AJ108" s="289">
        <v>0</v>
      </c>
      <c r="AK108" s="289">
        <v>0</v>
      </c>
      <c r="AL108" s="289">
        <v>0</v>
      </c>
      <c r="AM108" s="836">
        <v>0.19477675</v>
      </c>
      <c r="AN108" s="289">
        <v>0</v>
      </c>
      <c r="AO108" s="289">
        <v>377.77566074999999</v>
      </c>
      <c r="AP108" s="289">
        <v>0</v>
      </c>
      <c r="AQ108" s="289">
        <v>0</v>
      </c>
      <c r="AR108" s="289">
        <v>-498.15804821</v>
      </c>
      <c r="AS108" s="289"/>
      <c r="AT108" s="289">
        <v>392</v>
      </c>
      <c r="AU108" s="289">
        <v>128</v>
      </c>
      <c r="AV108" s="625">
        <v>243093</v>
      </c>
      <c r="AW108" s="289"/>
      <c r="AX108" s="625">
        <v>62.88166665</v>
      </c>
      <c r="AY108" s="289">
        <v>1603</v>
      </c>
      <c r="AZ108" s="289">
        <v>339</v>
      </c>
      <c r="BA108" s="290">
        <v>176</v>
      </c>
      <c r="BB108" s="289">
        <v>0</v>
      </c>
      <c r="BC108" s="289">
        <v>3744.88811115</v>
      </c>
      <c r="BD108" s="289">
        <v>122.3809425656585</v>
      </c>
      <c r="BE108" s="289">
        <v>251105.12816314999</v>
      </c>
      <c r="BF108" s="289">
        <v>0</v>
      </c>
      <c r="BG108" s="289">
        <v>-384.91399999999999</v>
      </c>
      <c r="BH108" s="289">
        <v>-26.4254</v>
      </c>
      <c r="BI108" s="289">
        <v>3843.2621917699998</v>
      </c>
      <c r="BJ108" s="289">
        <v>0</v>
      </c>
      <c r="BK108" s="289">
        <v>0</v>
      </c>
      <c r="BL108" s="289">
        <v>0</v>
      </c>
      <c r="BM108" s="289">
        <v>1068</v>
      </c>
      <c r="BN108" s="289">
        <v>675.97091580027654</v>
      </c>
      <c r="BO108" s="289">
        <v>397.84696770908778</v>
      </c>
      <c r="BP108" s="289">
        <v>847.37359454329294</v>
      </c>
      <c r="BQ108" s="289">
        <v>296.77217584410323</v>
      </c>
      <c r="BR108" s="289">
        <v>8.294708329450188</v>
      </c>
      <c r="BS108" s="289">
        <v>2.1767894461138275</v>
      </c>
      <c r="BT108" s="289">
        <v>0</v>
      </c>
      <c r="BU108" s="289">
        <v>0</v>
      </c>
      <c r="BV108" s="289">
        <v>20.806061634679036</v>
      </c>
      <c r="BW108" s="517"/>
      <c r="BX108" s="517"/>
      <c r="CA108" s="517"/>
      <c r="CB108" s="517"/>
    </row>
    <row r="109" spans="1:80" ht="13">
      <c r="A109" s="1">
        <v>1535</v>
      </c>
      <c r="B109" s="2" t="s">
        <v>101</v>
      </c>
      <c r="C109" s="289">
        <v>6536</v>
      </c>
      <c r="D109" s="289">
        <v>109</v>
      </c>
      <c r="E109" s="289">
        <v>265</v>
      </c>
      <c r="F109" s="289">
        <v>763</v>
      </c>
      <c r="G109" s="289">
        <v>565</v>
      </c>
      <c r="H109" s="289">
        <v>3689</v>
      </c>
      <c r="I109" s="289">
        <v>822</v>
      </c>
      <c r="J109" s="289">
        <v>274</v>
      </c>
      <c r="K109" s="289">
        <v>73</v>
      </c>
      <c r="L109" s="289">
        <v>54</v>
      </c>
      <c r="M109" s="289">
        <v>520</v>
      </c>
      <c r="N109" s="290">
        <v>16</v>
      </c>
      <c r="O109" s="290">
        <v>61</v>
      </c>
      <c r="P109" s="624">
        <v>47059.577333330002</v>
      </c>
      <c r="Q109" s="624">
        <v>16963.003000000001</v>
      </c>
      <c r="R109" s="624">
        <v>33</v>
      </c>
      <c r="S109" s="289"/>
      <c r="T109" s="289">
        <v>516</v>
      </c>
      <c r="U109" s="716">
        <v>2.3758784737665656E-3</v>
      </c>
      <c r="V109" s="289">
        <v>-2587.8412391000002</v>
      </c>
      <c r="W109" s="743">
        <v>0.67990972000000005</v>
      </c>
      <c r="X109" s="289">
        <v>3700</v>
      </c>
      <c r="Y109" s="289">
        <v>414.28399999999999</v>
      </c>
      <c r="Z109" s="289">
        <v>194195</v>
      </c>
      <c r="AA109" s="289">
        <v>-2943.6914082500002</v>
      </c>
      <c r="AB109" s="290">
        <v>122</v>
      </c>
      <c r="AC109" s="289">
        <v>0</v>
      </c>
      <c r="AD109" s="289">
        <v>0</v>
      </c>
      <c r="AE109" s="289">
        <v>0</v>
      </c>
      <c r="AF109" s="289">
        <v>0</v>
      </c>
      <c r="AG109" s="289">
        <v>6560</v>
      </c>
      <c r="AH109" s="289">
        <v>1013.10563869</v>
      </c>
      <c r="AI109" s="289">
        <v>370</v>
      </c>
      <c r="AJ109" s="289">
        <v>0</v>
      </c>
      <c r="AK109" s="289">
        <v>46.578000000000003</v>
      </c>
      <c r="AL109" s="289">
        <v>0</v>
      </c>
      <c r="AM109" s="836">
        <v>0.14940233</v>
      </c>
      <c r="AN109" s="289">
        <v>5136</v>
      </c>
      <c r="AO109" s="289">
        <v>263.87541611</v>
      </c>
      <c r="AP109" s="289">
        <v>0</v>
      </c>
      <c r="AQ109" s="289">
        <v>0</v>
      </c>
      <c r="AR109" s="289">
        <v>-349.17371473999998</v>
      </c>
      <c r="AS109" s="289"/>
      <c r="AT109" s="289">
        <v>278</v>
      </c>
      <c r="AU109" s="289">
        <v>80</v>
      </c>
      <c r="AV109" s="625">
        <v>167444</v>
      </c>
      <c r="AW109" s="289"/>
      <c r="AX109" s="625">
        <v>26.706666649999999</v>
      </c>
      <c r="AY109" s="289">
        <v>1040</v>
      </c>
      <c r="AZ109" s="289">
        <v>289</v>
      </c>
      <c r="BA109" s="290">
        <v>163</v>
      </c>
      <c r="BB109" s="289">
        <v>0</v>
      </c>
      <c r="BC109" s="289">
        <v>-4304.5806315099999</v>
      </c>
      <c r="BD109" s="289">
        <v>85.864512795901547</v>
      </c>
      <c r="BE109" s="289">
        <v>180254.33010322999</v>
      </c>
      <c r="BF109" s="289">
        <v>0</v>
      </c>
      <c r="BG109" s="289">
        <v>-247.70160000000001</v>
      </c>
      <c r="BH109" s="289">
        <v>-18.522300000000001</v>
      </c>
      <c r="BI109" s="289">
        <v>-1516.3017695599999</v>
      </c>
      <c r="BJ109" s="289">
        <v>0</v>
      </c>
      <c r="BK109" s="289">
        <v>0</v>
      </c>
      <c r="BL109" s="289">
        <v>0</v>
      </c>
      <c r="BM109" s="289">
        <v>0</v>
      </c>
      <c r="BN109" s="289">
        <v>517.20654756960755</v>
      </c>
      <c r="BO109" s="289">
        <v>280.56226263811124</v>
      </c>
      <c r="BP109" s="289">
        <v>593.94922322940499</v>
      </c>
      <c r="BQ109" s="289">
        <v>308.38902589490021</v>
      </c>
      <c r="BR109" s="289">
        <v>5.8197058672777704</v>
      </c>
      <c r="BS109" s="289">
        <v>1.5712832004792472</v>
      </c>
      <c r="BT109" s="289">
        <v>0</v>
      </c>
      <c r="BU109" s="289">
        <v>0</v>
      </c>
      <c r="BV109" s="289">
        <v>21.620494111275747</v>
      </c>
      <c r="BW109" s="517"/>
      <c r="BX109" s="517"/>
      <c r="CA109" s="517"/>
      <c r="CB109" s="517"/>
    </row>
    <row r="110" spans="1:80" ht="13">
      <c r="A110" s="1">
        <v>1539</v>
      </c>
      <c r="B110" s="2" t="s">
        <v>102</v>
      </c>
      <c r="C110" s="289">
        <v>7487</v>
      </c>
      <c r="D110" s="289">
        <v>168</v>
      </c>
      <c r="E110" s="289">
        <v>316</v>
      </c>
      <c r="F110" s="289">
        <v>908</v>
      </c>
      <c r="G110" s="289">
        <v>599</v>
      </c>
      <c r="H110" s="289">
        <v>4020</v>
      </c>
      <c r="I110" s="289">
        <v>1013</v>
      </c>
      <c r="J110" s="289">
        <v>358</v>
      </c>
      <c r="K110" s="289">
        <v>104</v>
      </c>
      <c r="L110" s="289">
        <v>52</v>
      </c>
      <c r="M110" s="289">
        <v>654</v>
      </c>
      <c r="N110" s="290">
        <v>9</v>
      </c>
      <c r="O110" s="290">
        <v>62</v>
      </c>
      <c r="P110" s="624">
        <v>72317.795333329996</v>
      </c>
      <c r="Q110" s="624">
        <v>20343.11266667</v>
      </c>
      <c r="R110" s="624">
        <v>32</v>
      </c>
      <c r="S110" s="289"/>
      <c r="T110" s="289">
        <v>590</v>
      </c>
      <c r="U110" s="716">
        <v>3.9675282917419966E-3</v>
      </c>
      <c r="V110" s="289">
        <v>-738.10484943999995</v>
      </c>
      <c r="W110" s="743">
        <v>0.73086501000000004</v>
      </c>
      <c r="X110" s="289">
        <v>130</v>
      </c>
      <c r="Y110" s="289">
        <v>414.28399999999999</v>
      </c>
      <c r="Z110" s="289">
        <v>214556</v>
      </c>
      <c r="AA110" s="289">
        <v>0</v>
      </c>
      <c r="AB110" s="290">
        <v>139</v>
      </c>
      <c r="AC110" s="289">
        <v>0</v>
      </c>
      <c r="AD110" s="289">
        <v>0</v>
      </c>
      <c r="AE110" s="289">
        <v>0</v>
      </c>
      <c r="AF110" s="289">
        <v>0</v>
      </c>
      <c r="AG110" s="289">
        <v>7486</v>
      </c>
      <c r="AH110" s="289">
        <v>1204.84965152</v>
      </c>
      <c r="AI110" s="289">
        <v>30</v>
      </c>
      <c r="AJ110" s="289">
        <v>0</v>
      </c>
      <c r="AK110" s="289">
        <v>0</v>
      </c>
      <c r="AL110" s="289">
        <v>0</v>
      </c>
      <c r="AM110" s="836">
        <v>0.10143616</v>
      </c>
      <c r="AN110" s="289">
        <v>5771</v>
      </c>
      <c r="AO110" s="289">
        <v>312.66098067000001</v>
      </c>
      <c r="AP110" s="289">
        <v>0</v>
      </c>
      <c r="AQ110" s="289">
        <v>0</v>
      </c>
      <c r="AR110" s="289">
        <v>2282.4545632999998</v>
      </c>
      <c r="AS110" s="289"/>
      <c r="AT110" s="289">
        <v>335</v>
      </c>
      <c r="AU110" s="289">
        <v>79</v>
      </c>
      <c r="AV110" s="625">
        <v>219822</v>
      </c>
      <c r="AW110" s="289"/>
      <c r="AX110" s="625">
        <v>70.06</v>
      </c>
      <c r="AY110" s="289">
        <v>1294</v>
      </c>
      <c r="AZ110" s="289">
        <v>216</v>
      </c>
      <c r="BA110" s="290">
        <v>140</v>
      </c>
      <c r="BB110" s="289">
        <v>0</v>
      </c>
      <c r="BC110" s="289">
        <v>1564.03510104</v>
      </c>
      <c r="BD110" s="289">
        <v>90.378867483966715</v>
      </c>
      <c r="BE110" s="289">
        <v>222664.87088733001</v>
      </c>
      <c r="BF110" s="289">
        <v>0</v>
      </c>
      <c r="BG110" s="289">
        <v>-295.95699999999999</v>
      </c>
      <c r="BH110" s="289">
        <v>-21.136900000000001</v>
      </c>
      <c r="BI110" s="289">
        <v>1619.1336515200001</v>
      </c>
      <c r="BJ110" s="289">
        <v>0</v>
      </c>
      <c r="BK110" s="289">
        <v>0</v>
      </c>
      <c r="BL110" s="289">
        <v>0</v>
      </c>
      <c r="BM110" s="289">
        <v>0</v>
      </c>
      <c r="BN110" s="289">
        <v>615.04596358852075</v>
      </c>
      <c r="BO110" s="289">
        <v>333.76365884517492</v>
      </c>
      <c r="BP110" s="289">
        <v>677.79022638648257</v>
      </c>
      <c r="BQ110" s="289">
        <v>514.985172268111</v>
      </c>
      <c r="BR110" s="289">
        <v>6.1256787961355208</v>
      </c>
      <c r="BS110" s="289">
        <v>1.7769787649326574</v>
      </c>
      <c r="BT110" s="289">
        <v>0</v>
      </c>
      <c r="BU110" s="289">
        <v>0</v>
      </c>
      <c r="BV110" s="289">
        <v>36.104507454852161</v>
      </c>
      <c r="BW110" s="517"/>
      <c r="BX110" s="517"/>
      <c r="CA110" s="517"/>
      <c r="CB110" s="517"/>
    </row>
    <row r="111" spans="1:80" ht="13">
      <c r="A111" s="1">
        <v>1543</v>
      </c>
      <c r="B111" s="2" t="s">
        <v>103</v>
      </c>
      <c r="C111" s="289">
        <v>2956</v>
      </c>
      <c r="D111" s="289">
        <v>64</v>
      </c>
      <c r="E111" s="289">
        <v>120</v>
      </c>
      <c r="F111" s="289">
        <v>302</v>
      </c>
      <c r="G111" s="289">
        <v>268</v>
      </c>
      <c r="H111" s="289">
        <v>1606</v>
      </c>
      <c r="I111" s="289">
        <v>401</v>
      </c>
      <c r="J111" s="289">
        <v>156</v>
      </c>
      <c r="K111" s="289">
        <v>47</v>
      </c>
      <c r="L111" s="289">
        <v>20</v>
      </c>
      <c r="M111" s="289">
        <v>291</v>
      </c>
      <c r="N111" s="290">
        <v>4</v>
      </c>
      <c r="O111" s="290">
        <v>23</v>
      </c>
      <c r="P111" s="624">
        <v>29745.013666669998</v>
      </c>
      <c r="Q111" s="624">
        <v>11000.424999999999</v>
      </c>
      <c r="R111" s="624">
        <v>18</v>
      </c>
      <c r="S111" s="289"/>
      <c r="T111" s="289">
        <v>193</v>
      </c>
      <c r="U111" s="716">
        <v>2.4495914014396178E-3</v>
      </c>
      <c r="V111" s="289">
        <v>1281.9610425999999</v>
      </c>
      <c r="W111" s="743">
        <v>0.92525000999999996</v>
      </c>
      <c r="X111" s="289">
        <v>1330</v>
      </c>
      <c r="Y111" s="289">
        <v>414.28399999999999</v>
      </c>
      <c r="Z111" s="289">
        <v>85030</v>
      </c>
      <c r="AA111" s="289">
        <v>-1200.2269410500001</v>
      </c>
      <c r="AB111" s="290">
        <v>49</v>
      </c>
      <c r="AC111" s="289">
        <v>0</v>
      </c>
      <c r="AD111" s="289">
        <v>0</v>
      </c>
      <c r="AE111" s="289">
        <v>0</v>
      </c>
      <c r="AF111" s="289">
        <v>0</v>
      </c>
      <c r="AG111" s="289">
        <v>2964</v>
      </c>
      <c r="AH111" s="289">
        <v>461.58013269999998</v>
      </c>
      <c r="AI111" s="289">
        <v>0</v>
      </c>
      <c r="AJ111" s="289">
        <v>0</v>
      </c>
      <c r="AK111" s="289">
        <v>0</v>
      </c>
      <c r="AL111" s="289">
        <v>0</v>
      </c>
      <c r="AM111" s="836">
        <v>4.6602589999999999E-2</v>
      </c>
      <c r="AN111" s="289">
        <v>0</v>
      </c>
      <c r="AO111" s="289">
        <v>131.43029626000001</v>
      </c>
      <c r="AP111" s="289">
        <v>0</v>
      </c>
      <c r="AQ111" s="289">
        <v>0</v>
      </c>
      <c r="AR111" s="289">
        <v>-157.76690403999999</v>
      </c>
      <c r="AS111" s="289"/>
      <c r="AT111" s="289">
        <v>90</v>
      </c>
      <c r="AU111" s="289">
        <v>42</v>
      </c>
      <c r="AV111" s="625">
        <v>99051</v>
      </c>
      <c r="AW111" s="289"/>
      <c r="AX111" s="625">
        <v>21.533333299999999</v>
      </c>
      <c r="AY111" s="289">
        <v>414</v>
      </c>
      <c r="AZ111" s="289">
        <v>107</v>
      </c>
      <c r="BA111" s="290">
        <v>37</v>
      </c>
      <c r="BB111" s="289">
        <v>5698</v>
      </c>
      <c r="BC111" s="289">
        <v>-1500.5066273100001</v>
      </c>
      <c r="BD111" s="289">
        <v>33.289799678403597</v>
      </c>
      <c r="BE111" s="289">
        <v>104260.74478348999</v>
      </c>
      <c r="BF111" s="289">
        <v>0</v>
      </c>
      <c r="BG111" s="289">
        <v>-107.8096</v>
      </c>
      <c r="BH111" s="289">
        <v>-8.3689</v>
      </c>
      <c r="BI111" s="289">
        <v>-324.36280835000002</v>
      </c>
      <c r="BJ111" s="289">
        <v>0</v>
      </c>
      <c r="BK111" s="289">
        <v>0</v>
      </c>
      <c r="BL111" s="289">
        <v>0</v>
      </c>
      <c r="BM111" s="289">
        <v>485</v>
      </c>
      <c r="BN111" s="289">
        <v>281.36282411069931</v>
      </c>
      <c r="BO111" s="289">
        <v>156.49427083226442</v>
      </c>
      <c r="BP111" s="289">
        <v>268.36364293474941</v>
      </c>
      <c r="BQ111" s="289">
        <v>317.95696390686231</v>
      </c>
      <c r="BR111" s="289">
        <v>2.2563086448695775</v>
      </c>
      <c r="BS111" s="289">
        <v>0.91637689723034033</v>
      </c>
      <c r="BT111" s="289">
        <v>0</v>
      </c>
      <c r="BU111" s="289">
        <v>0</v>
      </c>
      <c r="BV111" s="289">
        <v>22.291281753100513</v>
      </c>
      <c r="BW111" s="517"/>
      <c r="BX111" s="517"/>
      <c r="CA111" s="517"/>
      <c r="CB111" s="517"/>
    </row>
    <row r="112" spans="1:80" ht="13">
      <c r="A112" s="1">
        <v>1545</v>
      </c>
      <c r="B112" s="2" t="s">
        <v>104</v>
      </c>
      <c r="C112" s="289">
        <v>2019</v>
      </c>
      <c r="D112" s="289">
        <v>33</v>
      </c>
      <c r="E112" s="289">
        <v>103</v>
      </c>
      <c r="F112" s="289">
        <v>274</v>
      </c>
      <c r="G112" s="289">
        <v>191</v>
      </c>
      <c r="H112" s="289">
        <v>1012</v>
      </c>
      <c r="I112" s="289">
        <v>271</v>
      </c>
      <c r="J112" s="289">
        <v>107</v>
      </c>
      <c r="K112" s="289">
        <v>32</v>
      </c>
      <c r="L112" s="289">
        <v>12</v>
      </c>
      <c r="M112" s="289">
        <v>150</v>
      </c>
      <c r="N112" s="290">
        <v>15</v>
      </c>
      <c r="O112" s="290">
        <v>29</v>
      </c>
      <c r="P112" s="624">
        <v>10893.65566667</v>
      </c>
      <c r="Q112" s="624">
        <v>6996.9023333300001</v>
      </c>
      <c r="R112" s="624">
        <v>11</v>
      </c>
      <c r="S112" s="289"/>
      <c r="T112" s="289">
        <v>127</v>
      </c>
      <c r="U112" s="716">
        <v>8.1881928146575428E-4</v>
      </c>
      <c r="V112" s="289">
        <v>-2029.84512098</v>
      </c>
      <c r="W112" s="743">
        <v>0.94394723999999997</v>
      </c>
      <c r="X112" s="289">
        <v>1250</v>
      </c>
      <c r="Y112" s="289">
        <v>414.28399999999999</v>
      </c>
      <c r="Z112" s="289">
        <v>62064</v>
      </c>
      <c r="AA112" s="289">
        <v>0</v>
      </c>
      <c r="AB112" s="290">
        <v>40</v>
      </c>
      <c r="AC112" s="289">
        <v>0</v>
      </c>
      <c r="AD112" s="289">
        <v>892.14157599999999</v>
      </c>
      <c r="AE112" s="289">
        <v>0</v>
      </c>
      <c r="AF112" s="289">
        <v>0</v>
      </c>
      <c r="AG112" s="289">
        <v>2023</v>
      </c>
      <c r="AH112" s="289">
        <v>362.57049697999997</v>
      </c>
      <c r="AI112" s="289">
        <v>500</v>
      </c>
      <c r="AJ112" s="289">
        <v>0</v>
      </c>
      <c r="AK112" s="289">
        <v>0</v>
      </c>
      <c r="AL112" s="289">
        <v>0</v>
      </c>
      <c r="AM112" s="836">
        <v>3.0224839999999999E-2</v>
      </c>
      <c r="AN112" s="289">
        <v>0</v>
      </c>
      <c r="AO112" s="289">
        <v>98.208654659999993</v>
      </c>
      <c r="AP112" s="289">
        <v>0</v>
      </c>
      <c r="AQ112" s="289">
        <v>0</v>
      </c>
      <c r="AR112" s="289">
        <v>-107.67963795</v>
      </c>
      <c r="AS112" s="289"/>
      <c r="AT112" s="289">
        <v>103</v>
      </c>
      <c r="AU112" s="289">
        <v>28</v>
      </c>
      <c r="AV112" s="625">
        <v>78475</v>
      </c>
      <c r="AW112" s="289"/>
      <c r="AX112" s="625">
        <v>5.42</v>
      </c>
      <c r="AY112" s="289">
        <v>288</v>
      </c>
      <c r="AZ112" s="289">
        <v>44</v>
      </c>
      <c r="BA112" s="290">
        <v>72</v>
      </c>
      <c r="BB112" s="289">
        <v>2850</v>
      </c>
      <c r="BC112" s="289">
        <v>1653.7004040500001</v>
      </c>
      <c r="BD112" s="289">
        <v>23.559965528561506</v>
      </c>
      <c r="BE112" s="289">
        <v>80943.374640619993</v>
      </c>
      <c r="BF112" s="289">
        <v>0</v>
      </c>
      <c r="BG112" s="289">
        <v>-95.523700000000005</v>
      </c>
      <c r="BH112" s="289">
        <v>-5.7119999999999997</v>
      </c>
      <c r="BI112" s="289">
        <v>1668.99607298</v>
      </c>
      <c r="BJ112" s="289">
        <v>0</v>
      </c>
      <c r="BK112" s="289">
        <v>0</v>
      </c>
      <c r="BL112" s="289">
        <v>0</v>
      </c>
      <c r="BM112" s="289">
        <v>338</v>
      </c>
      <c r="BN112" s="289">
        <v>183.42709598718983</v>
      </c>
      <c r="BO112" s="289">
        <v>115.85524039520232</v>
      </c>
      <c r="BP112" s="289">
        <v>183.16452417577534</v>
      </c>
      <c r="BQ112" s="289">
        <v>106.28274273425487</v>
      </c>
      <c r="BR112" s="289">
        <v>1.5968421080469466</v>
      </c>
      <c r="BS112" s="289">
        <v>0.73011547855206049</v>
      </c>
      <c r="BT112" s="289">
        <v>0</v>
      </c>
      <c r="BU112" s="289">
        <v>0</v>
      </c>
      <c r="BV112" s="289">
        <v>7.451255461338361</v>
      </c>
      <c r="BW112" s="517"/>
      <c r="BX112" s="517"/>
      <c r="CA112" s="517"/>
      <c r="CB112" s="517"/>
    </row>
    <row r="113" spans="1:80" ht="13">
      <c r="A113" s="1">
        <v>1546</v>
      </c>
      <c r="B113" s="2" t="s">
        <v>105</v>
      </c>
      <c r="C113" s="289">
        <v>1238</v>
      </c>
      <c r="D113" s="289">
        <v>18</v>
      </c>
      <c r="E113" s="289">
        <v>43</v>
      </c>
      <c r="F113" s="289">
        <v>160</v>
      </c>
      <c r="G113" s="289">
        <v>106</v>
      </c>
      <c r="H113" s="289">
        <v>666</v>
      </c>
      <c r="I113" s="289">
        <v>169</v>
      </c>
      <c r="J113" s="289">
        <v>72</v>
      </c>
      <c r="K113" s="289">
        <v>18</v>
      </c>
      <c r="L113" s="289">
        <v>9</v>
      </c>
      <c r="M113" s="289">
        <v>115</v>
      </c>
      <c r="N113" s="290">
        <v>0</v>
      </c>
      <c r="O113" s="290">
        <v>19</v>
      </c>
      <c r="P113" s="624">
        <v>4843.7250000000004</v>
      </c>
      <c r="Q113" s="624">
        <v>3964.8226666700002</v>
      </c>
      <c r="R113" s="624">
        <v>3</v>
      </c>
      <c r="S113" s="289"/>
      <c r="T113" s="289">
        <v>92</v>
      </c>
      <c r="U113" s="716">
        <v>3.8942139387664623E-4</v>
      </c>
      <c r="V113" s="289">
        <v>636.43366289999994</v>
      </c>
      <c r="W113" s="743">
        <v>1</v>
      </c>
      <c r="X113" s="289">
        <v>350</v>
      </c>
      <c r="Y113" s="289">
        <v>0</v>
      </c>
      <c r="Z113" s="289">
        <v>43169</v>
      </c>
      <c r="AA113" s="289">
        <v>0</v>
      </c>
      <c r="AB113" s="290">
        <v>13</v>
      </c>
      <c r="AC113" s="289">
        <v>0</v>
      </c>
      <c r="AD113" s="289">
        <v>0</v>
      </c>
      <c r="AE113" s="289">
        <v>0</v>
      </c>
      <c r="AF113" s="289">
        <v>0</v>
      </c>
      <c r="AG113" s="289">
        <v>1252</v>
      </c>
      <c r="AH113" s="289">
        <v>198.71652238999999</v>
      </c>
      <c r="AI113" s="289">
        <v>0</v>
      </c>
      <c r="AJ113" s="289">
        <v>0</v>
      </c>
      <c r="AK113" s="289">
        <v>0</v>
      </c>
      <c r="AL113" s="289">
        <v>0</v>
      </c>
      <c r="AM113" s="836">
        <v>8.2937900000000005E-3</v>
      </c>
      <c r="AN113" s="289">
        <v>0</v>
      </c>
      <c r="AO113" s="289">
        <v>60.720840879999997</v>
      </c>
      <c r="AP113" s="289">
        <v>0</v>
      </c>
      <c r="AQ113" s="289">
        <v>0</v>
      </c>
      <c r="AR113" s="289">
        <v>360.84138523000001</v>
      </c>
      <c r="AS113" s="289"/>
      <c r="AT113" s="289">
        <v>49</v>
      </c>
      <c r="AU113" s="289">
        <v>9</v>
      </c>
      <c r="AV113" s="625">
        <v>54035</v>
      </c>
      <c r="AW113" s="289"/>
      <c r="AX113" s="625">
        <v>5.7733333</v>
      </c>
      <c r="AY113" s="289">
        <v>187</v>
      </c>
      <c r="AZ113" s="289">
        <v>30</v>
      </c>
      <c r="BA113" s="290">
        <v>17</v>
      </c>
      <c r="BB113" s="289">
        <v>5698</v>
      </c>
      <c r="BC113" s="289">
        <v>194.82735353999999</v>
      </c>
      <c r="BD113" s="289">
        <v>12.816460243300799</v>
      </c>
      <c r="BE113" s="289">
        <v>54518.89933932</v>
      </c>
      <c r="BF113" s="289">
        <v>0</v>
      </c>
      <c r="BG113" s="289">
        <v>-59.875300000000003</v>
      </c>
      <c r="BH113" s="289">
        <v>-3.5350999999999999</v>
      </c>
      <c r="BI113" s="289">
        <v>198.71652238999999</v>
      </c>
      <c r="BJ113" s="289">
        <v>0</v>
      </c>
      <c r="BK113" s="289">
        <v>0</v>
      </c>
      <c r="BL113" s="289">
        <v>0</v>
      </c>
      <c r="BM113" s="289">
        <v>144</v>
      </c>
      <c r="BN113" s="289">
        <v>115.35921313143885</v>
      </c>
      <c r="BO113" s="289">
        <v>84.406616585392698</v>
      </c>
      <c r="BP113" s="289">
        <v>113.35738223829497</v>
      </c>
      <c r="BQ113" s="289">
        <v>50.546896925188662</v>
      </c>
      <c r="BR113" s="289">
        <v>0.86867119426816541</v>
      </c>
      <c r="BS113" s="289">
        <v>0.59046297483292198</v>
      </c>
      <c r="BT113" s="289">
        <v>0</v>
      </c>
      <c r="BU113" s="289">
        <v>0</v>
      </c>
      <c r="BV113" s="289">
        <v>3.5437346842774797</v>
      </c>
      <c r="BW113" s="517"/>
      <c r="BX113" s="517"/>
      <c r="CA113" s="517"/>
      <c r="CB113" s="517"/>
    </row>
    <row r="114" spans="1:80" ht="13">
      <c r="A114" s="1">
        <v>1547</v>
      </c>
      <c r="B114" s="2" t="s">
        <v>106</v>
      </c>
      <c r="C114" s="289">
        <v>3539</v>
      </c>
      <c r="D114" s="289">
        <v>72</v>
      </c>
      <c r="E114" s="289">
        <v>151</v>
      </c>
      <c r="F114" s="289">
        <v>506</v>
      </c>
      <c r="G114" s="289">
        <v>330</v>
      </c>
      <c r="H114" s="289">
        <v>1876</v>
      </c>
      <c r="I114" s="289">
        <v>439</v>
      </c>
      <c r="J114" s="289">
        <v>151</v>
      </c>
      <c r="K114" s="289">
        <v>37</v>
      </c>
      <c r="L114" s="289">
        <v>25</v>
      </c>
      <c r="M114" s="289">
        <v>212</v>
      </c>
      <c r="N114" s="290">
        <v>30</v>
      </c>
      <c r="O114" s="290">
        <v>58</v>
      </c>
      <c r="P114" s="624">
        <v>47600.41566667</v>
      </c>
      <c r="Q114" s="624">
        <v>8352.0750000000007</v>
      </c>
      <c r="R114" s="624">
        <v>12</v>
      </c>
      <c r="S114" s="289"/>
      <c r="T114" s="289">
        <v>227</v>
      </c>
      <c r="U114" s="716">
        <v>6.9744099467104954E-4</v>
      </c>
      <c r="V114" s="289">
        <v>1224.5335368799999</v>
      </c>
      <c r="W114" s="743">
        <v>0.75493209999999999</v>
      </c>
      <c r="X114" s="289">
        <v>0</v>
      </c>
      <c r="Y114" s="289">
        <v>414.28399999999999</v>
      </c>
      <c r="Z114" s="289">
        <v>106389</v>
      </c>
      <c r="AA114" s="289">
        <v>0</v>
      </c>
      <c r="AB114" s="290">
        <v>52</v>
      </c>
      <c r="AC114" s="289">
        <v>0</v>
      </c>
      <c r="AD114" s="289">
        <v>0</v>
      </c>
      <c r="AE114" s="289">
        <v>0</v>
      </c>
      <c r="AF114" s="289">
        <v>0</v>
      </c>
      <c r="AG114" s="289">
        <v>3562</v>
      </c>
      <c r="AH114" s="289">
        <v>648.44338884000001</v>
      </c>
      <c r="AI114" s="289">
        <v>0</v>
      </c>
      <c r="AJ114" s="289">
        <v>0</v>
      </c>
      <c r="AK114" s="289">
        <v>959.48699999999997</v>
      </c>
      <c r="AL114" s="289">
        <v>0</v>
      </c>
      <c r="AM114" s="836">
        <v>8.8517310000000002E-2</v>
      </c>
      <c r="AN114" s="289">
        <v>0</v>
      </c>
      <c r="AO114" s="289">
        <v>153.31425924999999</v>
      </c>
      <c r="AP114" s="289">
        <v>0</v>
      </c>
      <c r="AQ114" s="289">
        <v>0</v>
      </c>
      <c r="AR114" s="289">
        <v>-189.59706889</v>
      </c>
      <c r="AS114" s="289"/>
      <c r="AT114" s="289">
        <v>187</v>
      </c>
      <c r="AU114" s="289">
        <v>53</v>
      </c>
      <c r="AV114" s="625">
        <v>105306</v>
      </c>
      <c r="AW114" s="289"/>
      <c r="AX114" s="625">
        <v>28.726666699999999</v>
      </c>
      <c r="AY114" s="289">
        <v>673</v>
      </c>
      <c r="AZ114" s="289">
        <v>113</v>
      </c>
      <c r="BA114" s="290">
        <v>96</v>
      </c>
      <c r="BB114" s="289">
        <v>0</v>
      </c>
      <c r="BC114" s="289">
        <v>1036.188899</v>
      </c>
      <c r="BD114" s="289">
        <v>43.447326171825409</v>
      </c>
      <c r="BE114" s="289">
        <v>111145.95528556</v>
      </c>
      <c r="BF114" s="289">
        <v>0</v>
      </c>
      <c r="BG114" s="289">
        <v>-170.86670000000001</v>
      </c>
      <c r="BH114" s="289">
        <v>-10.057399999999999</v>
      </c>
      <c r="BI114" s="289">
        <v>1062.72738884</v>
      </c>
      <c r="BJ114" s="289">
        <v>0</v>
      </c>
      <c r="BK114" s="289">
        <v>0</v>
      </c>
      <c r="BL114" s="289">
        <v>0</v>
      </c>
      <c r="BM114" s="289">
        <v>0</v>
      </c>
      <c r="BN114" s="289">
        <v>260.25819703067424</v>
      </c>
      <c r="BO114" s="289">
        <v>173.41276726933029</v>
      </c>
      <c r="BP114" s="289">
        <v>322.5071849303568</v>
      </c>
      <c r="BQ114" s="289">
        <v>90.527841108302198</v>
      </c>
      <c r="BR114" s="289">
        <v>2.9447632183126107</v>
      </c>
      <c r="BS114" s="289">
        <v>0.98278956753580382</v>
      </c>
      <c r="BT114" s="289">
        <v>0</v>
      </c>
      <c r="BU114" s="289">
        <v>0</v>
      </c>
      <c r="BV114" s="289">
        <v>6.3467130515065495</v>
      </c>
      <c r="BW114" s="517"/>
      <c r="BX114" s="517"/>
      <c r="CA114" s="517"/>
      <c r="CB114" s="517"/>
    </row>
    <row r="115" spans="1:80" ht="13">
      <c r="A115" s="1">
        <v>1548</v>
      </c>
      <c r="B115" s="2" t="s">
        <v>107</v>
      </c>
      <c r="C115" s="289">
        <v>9800</v>
      </c>
      <c r="D115" s="289">
        <v>222</v>
      </c>
      <c r="E115" s="289">
        <v>504</v>
      </c>
      <c r="F115" s="289">
        <v>1236</v>
      </c>
      <c r="G115" s="289">
        <v>861</v>
      </c>
      <c r="H115" s="289">
        <v>5387</v>
      </c>
      <c r="I115" s="289">
        <v>1170</v>
      </c>
      <c r="J115" s="289">
        <v>316</v>
      </c>
      <c r="K115" s="289">
        <v>86</v>
      </c>
      <c r="L115" s="289">
        <v>78</v>
      </c>
      <c r="M115" s="289">
        <v>629</v>
      </c>
      <c r="N115" s="290">
        <v>50</v>
      </c>
      <c r="O115" s="290">
        <v>92</v>
      </c>
      <c r="P115" s="624">
        <v>71057.706333330003</v>
      </c>
      <c r="Q115" s="624">
        <v>31559.856</v>
      </c>
      <c r="R115" s="624">
        <v>46</v>
      </c>
      <c r="S115" s="289"/>
      <c r="T115" s="289">
        <v>668</v>
      </c>
      <c r="U115" s="716">
        <v>4.3266419709881666E-3</v>
      </c>
      <c r="V115" s="289">
        <v>4062.2036096000002</v>
      </c>
      <c r="W115" s="743">
        <v>0.68228336000000001</v>
      </c>
      <c r="X115" s="289">
        <v>3050</v>
      </c>
      <c r="Y115" s="289">
        <v>414.28399999999999</v>
      </c>
      <c r="Z115" s="289">
        <v>257648</v>
      </c>
      <c r="AA115" s="289">
        <v>0</v>
      </c>
      <c r="AB115" s="290">
        <v>171</v>
      </c>
      <c r="AC115" s="289">
        <v>0</v>
      </c>
      <c r="AD115" s="289">
        <v>3137.444692</v>
      </c>
      <c r="AE115" s="289">
        <v>0</v>
      </c>
      <c r="AF115" s="289">
        <v>0</v>
      </c>
      <c r="AG115" s="289">
        <v>9782</v>
      </c>
      <c r="AH115" s="289">
        <v>1725.69611545</v>
      </c>
      <c r="AI115" s="289">
        <v>300</v>
      </c>
      <c r="AJ115" s="289">
        <v>0</v>
      </c>
      <c r="AK115" s="289">
        <v>1766.1859999999999</v>
      </c>
      <c r="AL115" s="289">
        <v>0</v>
      </c>
      <c r="AM115" s="836">
        <v>0.28910044000000001</v>
      </c>
      <c r="AN115" s="289">
        <v>0</v>
      </c>
      <c r="AO115" s="289">
        <v>396.68758284</v>
      </c>
      <c r="AP115" s="289">
        <v>0</v>
      </c>
      <c r="AQ115" s="289">
        <v>0</v>
      </c>
      <c r="AR115" s="289">
        <v>-520.67336549000004</v>
      </c>
      <c r="AS115" s="289"/>
      <c r="AT115" s="289">
        <v>488</v>
      </c>
      <c r="AU115" s="289">
        <v>166</v>
      </c>
      <c r="AV115" s="625">
        <v>266717</v>
      </c>
      <c r="AW115" s="289"/>
      <c r="AX115" s="625">
        <v>81.379999949999998</v>
      </c>
      <c r="AY115" s="289">
        <v>1480</v>
      </c>
      <c r="AZ115" s="289">
        <v>341</v>
      </c>
      <c r="BA115" s="290">
        <v>269</v>
      </c>
      <c r="BB115" s="289">
        <v>0</v>
      </c>
      <c r="BC115" s="289">
        <v>5126.8795454900001</v>
      </c>
      <c r="BD115" s="289">
        <v>127.07386348291911</v>
      </c>
      <c r="BE115" s="289">
        <v>281431.96168986999</v>
      </c>
      <c r="BF115" s="289">
        <v>0</v>
      </c>
      <c r="BG115" s="289">
        <v>-397.27620000000002</v>
      </c>
      <c r="BH115" s="289">
        <v>-27.619700000000002</v>
      </c>
      <c r="BI115" s="289">
        <v>5277.4248074500001</v>
      </c>
      <c r="BJ115" s="289">
        <v>0</v>
      </c>
      <c r="BK115" s="289">
        <v>0</v>
      </c>
      <c r="BL115" s="289">
        <v>0</v>
      </c>
      <c r="BM115" s="289">
        <v>2978</v>
      </c>
      <c r="BN115" s="289">
        <v>682.33578171861075</v>
      </c>
      <c r="BO115" s="289">
        <v>406.89102590045542</v>
      </c>
      <c r="BP115" s="289">
        <v>885.67245451677422</v>
      </c>
      <c r="BQ115" s="289">
        <v>561.59812783426389</v>
      </c>
      <c r="BR115" s="289">
        <v>8.6127840805089626</v>
      </c>
      <c r="BS115" s="289">
        <v>2.2358336902890943</v>
      </c>
      <c r="BT115" s="289">
        <v>0</v>
      </c>
      <c r="BU115" s="289">
        <v>0</v>
      </c>
      <c r="BV115" s="289">
        <v>39.372441935992306</v>
      </c>
      <c r="BW115" s="517"/>
      <c r="BX115" s="517"/>
      <c r="CA115" s="517"/>
      <c r="CB115" s="517"/>
    </row>
    <row r="116" spans="1:80" s="657" customFormat="1" ht="13">
      <c r="A116" s="1">
        <v>1551</v>
      </c>
      <c r="B116" s="2" t="s">
        <v>108</v>
      </c>
      <c r="C116" s="289">
        <v>3433</v>
      </c>
      <c r="D116" s="289">
        <v>65</v>
      </c>
      <c r="E116" s="289">
        <v>163</v>
      </c>
      <c r="F116" s="289">
        <v>492</v>
      </c>
      <c r="G116" s="289">
        <v>318</v>
      </c>
      <c r="H116" s="289">
        <v>1854</v>
      </c>
      <c r="I116" s="289">
        <v>402</v>
      </c>
      <c r="J116" s="289">
        <v>123</v>
      </c>
      <c r="K116" s="289">
        <v>28</v>
      </c>
      <c r="L116" s="289">
        <v>27</v>
      </c>
      <c r="M116" s="289">
        <v>243</v>
      </c>
      <c r="N116" s="290">
        <v>12</v>
      </c>
      <c r="O116" s="290">
        <v>29</v>
      </c>
      <c r="P116" s="624">
        <v>17680.346333329999</v>
      </c>
      <c r="Q116" s="624">
        <v>8132.1493333300004</v>
      </c>
      <c r="R116" s="624">
        <v>21</v>
      </c>
      <c r="S116" s="289"/>
      <c r="T116" s="289">
        <v>229</v>
      </c>
      <c r="U116" s="716">
        <v>1.7620575498031295E-3</v>
      </c>
      <c r="V116" s="289">
        <v>1558.00691542</v>
      </c>
      <c r="W116" s="743">
        <v>0.71557258999999995</v>
      </c>
      <c r="X116" s="289">
        <v>800</v>
      </c>
      <c r="Y116" s="289">
        <v>0</v>
      </c>
      <c r="Z116" s="289">
        <v>88737</v>
      </c>
      <c r="AA116" s="289">
        <v>0</v>
      </c>
      <c r="AB116" s="290">
        <v>55</v>
      </c>
      <c r="AC116" s="289">
        <v>0</v>
      </c>
      <c r="AD116" s="289">
        <v>1522.528652</v>
      </c>
      <c r="AE116" s="289">
        <v>0</v>
      </c>
      <c r="AF116" s="289">
        <v>0</v>
      </c>
      <c r="AG116" s="289">
        <v>3445</v>
      </c>
      <c r="AH116" s="289">
        <v>633.80111877000002</v>
      </c>
      <c r="AI116" s="289">
        <v>0</v>
      </c>
      <c r="AJ116" s="289">
        <v>0</v>
      </c>
      <c r="AK116" s="289">
        <v>0</v>
      </c>
      <c r="AL116" s="289">
        <v>0</v>
      </c>
      <c r="AM116" s="836">
        <v>7.0870740000000002E-2</v>
      </c>
      <c r="AN116" s="289">
        <v>0</v>
      </c>
      <c r="AO116" s="289">
        <v>148.64626985000001</v>
      </c>
      <c r="AP116" s="289">
        <v>0</v>
      </c>
      <c r="AQ116" s="289">
        <v>0</v>
      </c>
      <c r="AR116" s="289">
        <v>-183.36942794000001</v>
      </c>
      <c r="AS116" s="289"/>
      <c r="AT116" s="289">
        <v>168</v>
      </c>
      <c r="AU116" s="289">
        <v>48</v>
      </c>
      <c r="AV116" s="625">
        <v>108523</v>
      </c>
      <c r="AW116" s="289"/>
      <c r="AX116" s="625">
        <v>18.295000049999999</v>
      </c>
      <c r="AY116" s="289">
        <v>537</v>
      </c>
      <c r="AZ116" s="289">
        <v>104</v>
      </c>
      <c r="BA116" s="290">
        <v>99</v>
      </c>
      <c r="BB116" s="289">
        <v>0</v>
      </c>
      <c r="BC116" s="289">
        <v>2099.52257577</v>
      </c>
      <c r="BD116" s="289">
        <v>40.720871986821308</v>
      </c>
      <c r="BE116" s="289">
        <v>111342.29082572</v>
      </c>
      <c r="BF116" s="289">
        <v>0</v>
      </c>
      <c r="BG116" s="289">
        <v>-157.7525</v>
      </c>
      <c r="BH116" s="289">
        <v>-9.7270000000000003</v>
      </c>
      <c r="BI116" s="289">
        <v>2156.3297707699999</v>
      </c>
      <c r="BJ116" s="289">
        <v>0</v>
      </c>
      <c r="BK116" s="289">
        <v>0</v>
      </c>
      <c r="BL116" s="289">
        <v>0</v>
      </c>
      <c r="BM116" s="289">
        <v>1048</v>
      </c>
      <c r="BN116" s="289">
        <v>260.95256251105525</v>
      </c>
      <c r="BO116" s="289">
        <v>156.2048224893251</v>
      </c>
      <c r="BP116" s="289">
        <v>311.91388323556407</v>
      </c>
      <c r="BQ116" s="289">
        <v>228.71506996444617</v>
      </c>
      <c r="BR116" s="289">
        <v>2.7599702124401109</v>
      </c>
      <c r="BS116" s="289">
        <v>0.94625386605609785</v>
      </c>
      <c r="BT116" s="289">
        <v>0</v>
      </c>
      <c r="BU116" s="289">
        <v>0</v>
      </c>
      <c r="BV116" s="289">
        <v>16.034723703208478</v>
      </c>
      <c r="BW116" s="517"/>
      <c r="BX116" s="517"/>
      <c r="BY116"/>
      <c r="CA116" s="517"/>
      <c r="CB116" s="517"/>
    </row>
    <row r="117" spans="1:80" ht="13">
      <c r="A117" s="1">
        <v>1554</v>
      </c>
      <c r="B117" s="2" t="s">
        <v>109</v>
      </c>
      <c r="C117" s="289">
        <v>5849</v>
      </c>
      <c r="D117" s="289">
        <v>96</v>
      </c>
      <c r="E117" s="289">
        <v>234</v>
      </c>
      <c r="F117" s="289">
        <v>770</v>
      </c>
      <c r="G117" s="289">
        <v>488</v>
      </c>
      <c r="H117" s="289">
        <v>3247</v>
      </c>
      <c r="I117" s="289">
        <v>776</v>
      </c>
      <c r="J117" s="289">
        <v>190</v>
      </c>
      <c r="K117" s="289">
        <v>65</v>
      </c>
      <c r="L117" s="289">
        <v>44</v>
      </c>
      <c r="M117" s="289">
        <v>445</v>
      </c>
      <c r="N117" s="290">
        <v>15</v>
      </c>
      <c r="O117" s="290">
        <v>50</v>
      </c>
      <c r="P117" s="624">
        <v>41305.384333330003</v>
      </c>
      <c r="Q117" s="624">
        <v>18129.026333329999</v>
      </c>
      <c r="R117" s="624">
        <v>23</v>
      </c>
      <c r="S117" s="289"/>
      <c r="T117" s="289">
        <v>404</v>
      </c>
      <c r="U117" s="716">
        <v>2.1681809391264511E-3</v>
      </c>
      <c r="V117" s="289">
        <v>-2509.3017605199998</v>
      </c>
      <c r="W117" s="743">
        <v>0.72471691999999999</v>
      </c>
      <c r="X117" s="289">
        <v>700</v>
      </c>
      <c r="Y117" s="289">
        <v>0</v>
      </c>
      <c r="Z117" s="289">
        <v>163113</v>
      </c>
      <c r="AA117" s="289">
        <v>0</v>
      </c>
      <c r="AB117" s="290">
        <v>107</v>
      </c>
      <c r="AC117" s="289">
        <v>0</v>
      </c>
      <c r="AD117" s="289">
        <v>0</v>
      </c>
      <c r="AE117" s="289">
        <v>0</v>
      </c>
      <c r="AF117" s="289">
        <v>0</v>
      </c>
      <c r="AG117" s="289">
        <v>5866</v>
      </c>
      <c r="AH117" s="289">
        <v>965.69257370000003</v>
      </c>
      <c r="AI117" s="289">
        <v>0</v>
      </c>
      <c r="AJ117" s="289">
        <v>0</v>
      </c>
      <c r="AK117" s="289">
        <v>23.303000000000001</v>
      </c>
      <c r="AL117" s="289">
        <v>0</v>
      </c>
      <c r="AM117" s="836">
        <v>9.2014070000000003E-2</v>
      </c>
      <c r="AN117" s="289">
        <v>0</v>
      </c>
      <c r="AO117" s="289">
        <v>234.884702</v>
      </c>
      <c r="AP117" s="289">
        <v>0</v>
      </c>
      <c r="AQ117" s="289">
        <v>0</v>
      </c>
      <c r="AR117" s="289">
        <v>1250.0229547399999</v>
      </c>
      <c r="AS117" s="289"/>
      <c r="AT117" s="289">
        <v>284</v>
      </c>
      <c r="AU117" s="289">
        <v>67</v>
      </c>
      <c r="AV117" s="625">
        <v>152300</v>
      </c>
      <c r="AW117" s="289"/>
      <c r="AX117" s="625">
        <v>33.453333299999997</v>
      </c>
      <c r="AY117" s="289">
        <v>1007</v>
      </c>
      <c r="AZ117" s="289">
        <v>166</v>
      </c>
      <c r="BA117" s="290">
        <v>147</v>
      </c>
      <c r="BB117" s="289">
        <v>0</v>
      </c>
      <c r="BC117" s="289">
        <v>946.95155557999999</v>
      </c>
      <c r="BD117" s="289">
        <v>69.12264855001996</v>
      </c>
      <c r="BE117" s="289">
        <v>154658.33181743999</v>
      </c>
      <c r="BF117" s="289">
        <v>0</v>
      </c>
      <c r="BG117" s="289">
        <v>-248.35120000000001</v>
      </c>
      <c r="BH117" s="289">
        <v>-16.562799999999999</v>
      </c>
      <c r="BI117" s="289">
        <v>965.69257370000003</v>
      </c>
      <c r="BJ117" s="289">
        <v>0</v>
      </c>
      <c r="BK117" s="289">
        <v>0</v>
      </c>
      <c r="BL117" s="289">
        <v>0</v>
      </c>
      <c r="BM117" s="289">
        <v>0</v>
      </c>
      <c r="BN117" s="289">
        <v>423.04192645090149</v>
      </c>
      <c r="BO117" s="289">
        <v>256.27631165175757</v>
      </c>
      <c r="BP117" s="289">
        <v>531.11374138166002</v>
      </c>
      <c r="BQ117" s="289">
        <v>281.42988589861329</v>
      </c>
      <c r="BR117" s="289">
        <v>4.6849795128346869</v>
      </c>
      <c r="BS117" s="289">
        <v>1.4426440246434071</v>
      </c>
      <c r="BT117" s="289">
        <v>0</v>
      </c>
      <c r="BU117" s="289">
        <v>0</v>
      </c>
      <c r="BV117" s="289">
        <v>19.7304465460507</v>
      </c>
      <c r="BW117" s="517"/>
      <c r="BX117" s="517"/>
      <c r="CA117" s="517"/>
      <c r="CB117" s="517"/>
    </row>
    <row r="118" spans="1:80" ht="13">
      <c r="A118" s="1">
        <v>1557</v>
      </c>
      <c r="B118" s="2" t="s">
        <v>110</v>
      </c>
      <c r="C118" s="289">
        <v>2641</v>
      </c>
      <c r="D118" s="289">
        <v>53</v>
      </c>
      <c r="E118" s="289">
        <v>119</v>
      </c>
      <c r="F118" s="289">
        <v>330</v>
      </c>
      <c r="G118" s="289">
        <v>222</v>
      </c>
      <c r="H118" s="289">
        <v>1401</v>
      </c>
      <c r="I118" s="289">
        <v>383</v>
      </c>
      <c r="J118" s="289">
        <v>101</v>
      </c>
      <c r="K118" s="289">
        <v>31</v>
      </c>
      <c r="L118" s="289">
        <v>20</v>
      </c>
      <c r="M118" s="289">
        <v>216</v>
      </c>
      <c r="N118" s="290">
        <v>10</v>
      </c>
      <c r="O118" s="290">
        <v>14</v>
      </c>
      <c r="P118" s="624">
        <v>31782.940999999999</v>
      </c>
      <c r="Q118" s="624">
        <v>14526.114333330001</v>
      </c>
      <c r="R118" s="624">
        <v>13</v>
      </c>
      <c r="S118" s="289"/>
      <c r="T118" s="289">
        <v>166</v>
      </c>
      <c r="U118" s="716">
        <v>2.7623200934336475E-3</v>
      </c>
      <c r="V118" s="289">
        <v>-1727.0974862200001</v>
      </c>
      <c r="W118" s="743">
        <v>0.84822366999999999</v>
      </c>
      <c r="X118" s="289">
        <v>1100</v>
      </c>
      <c r="Y118" s="289">
        <v>0</v>
      </c>
      <c r="Z118" s="289">
        <v>65161</v>
      </c>
      <c r="AA118" s="289">
        <v>0</v>
      </c>
      <c r="AB118" s="290">
        <v>40</v>
      </c>
      <c r="AC118" s="289">
        <v>0</v>
      </c>
      <c r="AD118" s="289">
        <v>0</v>
      </c>
      <c r="AE118" s="289">
        <v>0</v>
      </c>
      <c r="AF118" s="289">
        <v>0</v>
      </c>
      <c r="AG118" s="289">
        <v>2640</v>
      </c>
      <c r="AH118" s="289">
        <v>452.51587026999999</v>
      </c>
      <c r="AI118" s="289">
        <v>325</v>
      </c>
      <c r="AJ118" s="289">
        <v>0</v>
      </c>
      <c r="AK118" s="289">
        <v>77.534000000000006</v>
      </c>
      <c r="AL118" s="289">
        <v>0</v>
      </c>
      <c r="AM118" s="836">
        <v>2.0839139999999999E-2</v>
      </c>
      <c r="AN118" s="289">
        <v>0</v>
      </c>
      <c r="AO118" s="289">
        <v>117.97218902</v>
      </c>
      <c r="AP118" s="289">
        <v>0</v>
      </c>
      <c r="AQ118" s="289">
        <v>0</v>
      </c>
      <c r="AR118" s="289">
        <v>-140.5211291</v>
      </c>
      <c r="AS118" s="289"/>
      <c r="AT118" s="289">
        <v>103</v>
      </c>
      <c r="AU118" s="289">
        <v>24</v>
      </c>
      <c r="AV118" s="625">
        <v>88266</v>
      </c>
      <c r="AW118" s="289"/>
      <c r="AX118" s="625">
        <v>14.97500005</v>
      </c>
      <c r="AY118" s="289">
        <v>461</v>
      </c>
      <c r="AZ118" s="289">
        <v>58</v>
      </c>
      <c r="BA118" s="290">
        <v>45</v>
      </c>
      <c r="BB118" s="289">
        <v>3990</v>
      </c>
      <c r="BC118" s="289">
        <v>433.83067677999998</v>
      </c>
      <c r="BD118" s="289">
        <v>27.546043810421011</v>
      </c>
      <c r="BE118" s="289">
        <v>90362.084355329993</v>
      </c>
      <c r="BF118" s="289">
        <v>0</v>
      </c>
      <c r="BG118" s="289">
        <v>-115.94540000000001</v>
      </c>
      <c r="BH118" s="289">
        <v>-7.4541000000000004</v>
      </c>
      <c r="BI118" s="289">
        <v>452.51587026999999</v>
      </c>
      <c r="BJ118" s="289">
        <v>0</v>
      </c>
      <c r="BK118" s="289">
        <v>0</v>
      </c>
      <c r="BL118" s="289">
        <v>0</v>
      </c>
      <c r="BM118" s="289">
        <v>0</v>
      </c>
      <c r="BN118" s="289">
        <v>221.41763659186395</v>
      </c>
      <c r="BO118" s="289">
        <v>143.94012386281051</v>
      </c>
      <c r="BP118" s="289">
        <v>239.02834593378495</v>
      </c>
      <c r="BQ118" s="289">
        <v>358.54914812768749</v>
      </c>
      <c r="BR118" s="289">
        <v>1.8670096360396469</v>
      </c>
      <c r="BS118" s="289">
        <v>0.82346901963973962</v>
      </c>
      <c r="BT118" s="289">
        <v>0</v>
      </c>
      <c r="BU118" s="289">
        <v>0</v>
      </c>
      <c r="BV118" s="289">
        <v>25.13711285024619</v>
      </c>
      <c r="BW118" s="517"/>
      <c r="BX118" s="517"/>
      <c r="CA118" s="517"/>
      <c r="CB118" s="517"/>
    </row>
    <row r="119" spans="1:80" ht="13">
      <c r="A119" s="1">
        <v>1560</v>
      </c>
      <c r="B119" s="2" t="s">
        <v>111</v>
      </c>
      <c r="C119" s="289">
        <v>3045</v>
      </c>
      <c r="D119" s="289">
        <v>47</v>
      </c>
      <c r="E119" s="289">
        <v>114</v>
      </c>
      <c r="F119" s="289">
        <v>358</v>
      </c>
      <c r="G119" s="289">
        <v>257</v>
      </c>
      <c r="H119" s="289">
        <v>1628</v>
      </c>
      <c r="I119" s="289">
        <v>471</v>
      </c>
      <c r="J119" s="289">
        <v>154</v>
      </c>
      <c r="K119" s="289">
        <v>46</v>
      </c>
      <c r="L119" s="289">
        <v>24</v>
      </c>
      <c r="M119" s="289">
        <v>297</v>
      </c>
      <c r="N119" s="290">
        <v>28</v>
      </c>
      <c r="O119" s="290">
        <v>27</v>
      </c>
      <c r="P119" s="624">
        <v>37420.339</v>
      </c>
      <c r="Q119" s="624">
        <v>11649.152</v>
      </c>
      <c r="R119" s="624">
        <v>23</v>
      </c>
      <c r="S119" s="289"/>
      <c r="T119" s="289">
        <v>230</v>
      </c>
      <c r="U119" s="716">
        <v>2.0113164989348873E-3</v>
      </c>
      <c r="V119" s="289">
        <v>1497.1868768500001</v>
      </c>
      <c r="W119" s="743">
        <v>0.97079652999999999</v>
      </c>
      <c r="X119" s="289">
        <v>100</v>
      </c>
      <c r="Y119" s="289">
        <v>414.28399999999999</v>
      </c>
      <c r="Z119" s="289">
        <v>75985</v>
      </c>
      <c r="AA119" s="289">
        <v>0</v>
      </c>
      <c r="AB119" s="290">
        <v>60</v>
      </c>
      <c r="AC119" s="289">
        <v>0</v>
      </c>
      <c r="AD119" s="289">
        <v>0</v>
      </c>
      <c r="AE119" s="289">
        <v>0</v>
      </c>
      <c r="AF119" s="289">
        <v>0</v>
      </c>
      <c r="AG119" s="289">
        <v>3075</v>
      </c>
      <c r="AH119" s="289">
        <v>469.94714417</v>
      </c>
      <c r="AI119" s="289">
        <v>0</v>
      </c>
      <c r="AJ119" s="289">
        <v>0</v>
      </c>
      <c r="AK119" s="289">
        <v>0</v>
      </c>
      <c r="AL119" s="289">
        <v>0</v>
      </c>
      <c r="AM119" s="836">
        <v>3.1384990000000001E-2</v>
      </c>
      <c r="AN119" s="289">
        <v>0</v>
      </c>
      <c r="AO119" s="289">
        <v>142.84355371000001</v>
      </c>
      <c r="AP119" s="289">
        <v>0</v>
      </c>
      <c r="AQ119" s="289">
        <v>0</v>
      </c>
      <c r="AR119" s="289">
        <v>-163.67517878999999</v>
      </c>
      <c r="AS119" s="289"/>
      <c r="AT119" s="289">
        <v>128</v>
      </c>
      <c r="AU119" s="289">
        <v>23</v>
      </c>
      <c r="AV119" s="625">
        <v>112226</v>
      </c>
      <c r="AW119" s="289"/>
      <c r="AX119" s="625">
        <v>14.1333333</v>
      </c>
      <c r="AY119" s="289">
        <v>603</v>
      </c>
      <c r="AZ119" s="289">
        <v>101</v>
      </c>
      <c r="BA119" s="290">
        <v>72</v>
      </c>
      <c r="BB119" s="289">
        <v>5698</v>
      </c>
      <c r="BC119" s="289">
        <v>871.94490910000002</v>
      </c>
      <c r="BD119" s="289">
        <v>37.842004925680172</v>
      </c>
      <c r="BE119" s="289">
        <v>116324.86060012</v>
      </c>
      <c r="BF119" s="289">
        <v>0</v>
      </c>
      <c r="BG119" s="289">
        <v>-126.4349</v>
      </c>
      <c r="BH119" s="289">
        <v>-8.6822999999999997</v>
      </c>
      <c r="BI119" s="289">
        <v>884.23114416999999</v>
      </c>
      <c r="BJ119" s="289">
        <v>0</v>
      </c>
      <c r="BK119" s="289">
        <v>0</v>
      </c>
      <c r="BL119" s="289">
        <v>0</v>
      </c>
      <c r="BM119" s="289">
        <v>0</v>
      </c>
      <c r="BN119" s="289">
        <v>304.83823704112632</v>
      </c>
      <c r="BO119" s="289">
        <v>166.75065310877673</v>
      </c>
      <c r="BP119" s="289">
        <v>278.41369838878359</v>
      </c>
      <c r="BQ119" s="289">
        <v>261.06888156174836</v>
      </c>
      <c r="BR119" s="289">
        <v>2.5648470005183226</v>
      </c>
      <c r="BS119" s="289">
        <v>0.95233446650460318</v>
      </c>
      <c r="BT119" s="289">
        <v>0</v>
      </c>
      <c r="BU119" s="289">
        <v>0</v>
      </c>
      <c r="BV119" s="289">
        <v>18.302980140307472</v>
      </c>
      <c r="BW119" s="517"/>
      <c r="BX119" s="517"/>
      <c r="CA119" s="517"/>
      <c r="CB119" s="517"/>
    </row>
    <row r="120" spans="1:80" ht="13">
      <c r="A120" s="1">
        <v>1563</v>
      </c>
      <c r="B120" s="2" t="s">
        <v>112</v>
      </c>
      <c r="C120" s="289">
        <v>7106</v>
      </c>
      <c r="D120" s="289">
        <v>134</v>
      </c>
      <c r="E120" s="289">
        <v>293</v>
      </c>
      <c r="F120" s="289">
        <v>768</v>
      </c>
      <c r="G120" s="289">
        <v>678</v>
      </c>
      <c r="H120" s="289">
        <v>3952</v>
      </c>
      <c r="I120" s="289">
        <v>856</v>
      </c>
      <c r="J120" s="289">
        <v>328</v>
      </c>
      <c r="K120" s="289">
        <v>101</v>
      </c>
      <c r="L120" s="289">
        <v>59</v>
      </c>
      <c r="M120" s="289">
        <v>592</v>
      </c>
      <c r="N120" s="290">
        <v>154</v>
      </c>
      <c r="O120" s="290">
        <v>87</v>
      </c>
      <c r="P120" s="624">
        <v>62232.866666670001</v>
      </c>
      <c r="Q120" s="624">
        <v>17796.784</v>
      </c>
      <c r="R120" s="624">
        <v>36</v>
      </c>
      <c r="S120" s="289"/>
      <c r="T120" s="289">
        <v>661</v>
      </c>
      <c r="U120" s="716">
        <v>2.3273311352594536E-3</v>
      </c>
      <c r="V120" s="289">
        <v>3092.4201519799999</v>
      </c>
      <c r="W120" s="743">
        <v>0.64224289000000001</v>
      </c>
      <c r="X120" s="289">
        <v>1830</v>
      </c>
      <c r="Y120" s="289">
        <v>414.28399999999999</v>
      </c>
      <c r="Z120" s="289">
        <v>207823</v>
      </c>
      <c r="AA120" s="289">
        <v>0</v>
      </c>
      <c r="AB120" s="290">
        <v>108</v>
      </c>
      <c r="AC120" s="289">
        <v>0</v>
      </c>
      <c r="AD120" s="289">
        <v>0</v>
      </c>
      <c r="AE120" s="289">
        <v>0</v>
      </c>
      <c r="AF120" s="289">
        <v>0</v>
      </c>
      <c r="AG120" s="289">
        <v>7110</v>
      </c>
      <c r="AH120" s="289">
        <v>1095.3812514700001</v>
      </c>
      <c r="AI120" s="289">
        <v>0</v>
      </c>
      <c r="AJ120" s="289">
        <v>0</v>
      </c>
      <c r="AK120" s="289">
        <v>1601.4490000000001</v>
      </c>
      <c r="AL120" s="289">
        <v>0</v>
      </c>
      <c r="AM120" s="836">
        <v>0.11795683</v>
      </c>
      <c r="AN120" s="289">
        <v>9187</v>
      </c>
      <c r="AO120" s="289">
        <v>295.04151480000002</v>
      </c>
      <c r="AP120" s="289">
        <v>0</v>
      </c>
      <c r="AQ120" s="289">
        <v>0</v>
      </c>
      <c r="AR120" s="289">
        <v>-378.44894997</v>
      </c>
      <c r="AS120" s="289"/>
      <c r="AT120" s="289">
        <v>341</v>
      </c>
      <c r="AU120" s="289">
        <v>47</v>
      </c>
      <c r="AV120" s="625">
        <v>206421</v>
      </c>
      <c r="AW120" s="289"/>
      <c r="AX120" s="625">
        <v>57.773333299999997</v>
      </c>
      <c r="AY120" s="289">
        <v>1335</v>
      </c>
      <c r="AZ120" s="289">
        <v>373</v>
      </c>
      <c r="BA120" s="290">
        <v>184</v>
      </c>
      <c r="BB120" s="289">
        <v>0</v>
      </c>
      <c r="BC120" s="289">
        <v>1502.8683737599999</v>
      </c>
      <c r="BD120" s="289">
        <v>106.00508173118641</v>
      </c>
      <c r="BE120" s="289">
        <v>218071.53596524001</v>
      </c>
      <c r="BF120" s="289">
        <v>0</v>
      </c>
      <c r="BG120" s="289">
        <v>-254.71899999999999</v>
      </c>
      <c r="BH120" s="289">
        <v>-20.075299999999999</v>
      </c>
      <c r="BI120" s="289">
        <v>1509.6652514699999</v>
      </c>
      <c r="BJ120" s="289">
        <v>0</v>
      </c>
      <c r="BK120" s="289">
        <v>0</v>
      </c>
      <c r="BL120" s="289">
        <v>0</v>
      </c>
      <c r="BM120" s="289">
        <v>0</v>
      </c>
      <c r="BN120" s="289">
        <v>593.59464827222882</v>
      </c>
      <c r="BO120" s="289">
        <v>305.9323905990957</v>
      </c>
      <c r="BP120" s="289">
        <v>643.74679529894354</v>
      </c>
      <c r="BQ120" s="289">
        <v>302.08758135667711</v>
      </c>
      <c r="BR120" s="289">
        <v>7.1847888728915246</v>
      </c>
      <c r="BS120" s="289">
        <v>1.673146627659265</v>
      </c>
      <c r="BT120" s="289">
        <v>0</v>
      </c>
      <c r="BU120" s="289">
        <v>0</v>
      </c>
      <c r="BV120" s="289">
        <v>21.178713330861026</v>
      </c>
      <c r="BW120" s="517"/>
      <c r="BX120" s="517"/>
      <c r="CA120" s="517"/>
      <c r="CB120" s="517"/>
    </row>
    <row r="121" spans="1:80" ht="13">
      <c r="A121" s="1">
        <v>1566</v>
      </c>
      <c r="B121" s="2" t="s">
        <v>113</v>
      </c>
      <c r="C121" s="289">
        <v>5928</v>
      </c>
      <c r="D121" s="289">
        <v>101</v>
      </c>
      <c r="E121" s="289">
        <v>241</v>
      </c>
      <c r="F121" s="289">
        <v>655</v>
      </c>
      <c r="G121" s="289">
        <v>594</v>
      </c>
      <c r="H121" s="289">
        <v>3202</v>
      </c>
      <c r="I121" s="289">
        <v>874</v>
      </c>
      <c r="J121" s="289">
        <v>246</v>
      </c>
      <c r="K121" s="289">
        <v>56</v>
      </c>
      <c r="L121" s="289">
        <v>50</v>
      </c>
      <c r="M121" s="289">
        <v>476</v>
      </c>
      <c r="N121" s="290">
        <v>14</v>
      </c>
      <c r="O121" s="290">
        <v>34</v>
      </c>
      <c r="P121" s="624">
        <v>46962.810333330002</v>
      </c>
      <c r="Q121" s="624">
        <v>16173.678333330001</v>
      </c>
      <c r="R121" s="624">
        <v>34</v>
      </c>
      <c r="S121" s="289"/>
      <c r="T121" s="289">
        <v>422</v>
      </c>
      <c r="U121" s="716">
        <v>3.6091732782254837E-3</v>
      </c>
      <c r="V121" s="289">
        <v>2514.5801097100002</v>
      </c>
      <c r="W121" s="743">
        <v>0.73232421000000003</v>
      </c>
      <c r="X121" s="289">
        <v>2080</v>
      </c>
      <c r="Y121" s="289">
        <v>0</v>
      </c>
      <c r="Z121" s="289">
        <v>151417</v>
      </c>
      <c r="AA121" s="289">
        <v>0</v>
      </c>
      <c r="AB121" s="290">
        <v>119</v>
      </c>
      <c r="AC121" s="289">
        <v>472</v>
      </c>
      <c r="AD121" s="289">
        <v>0</v>
      </c>
      <c r="AE121" s="289">
        <v>0</v>
      </c>
      <c r="AF121" s="289">
        <v>0</v>
      </c>
      <c r="AG121" s="289">
        <v>5969</v>
      </c>
      <c r="AH121" s="289">
        <v>938.49978641999996</v>
      </c>
      <c r="AI121" s="289">
        <v>0</v>
      </c>
      <c r="AJ121" s="289">
        <v>0</v>
      </c>
      <c r="AK121" s="289">
        <v>68.698999999999998</v>
      </c>
      <c r="AL121" s="289">
        <v>0</v>
      </c>
      <c r="AM121" s="836">
        <v>4.1136779999999998E-2</v>
      </c>
      <c r="AN121" s="289">
        <v>7912</v>
      </c>
      <c r="AO121" s="289">
        <v>239.91097205</v>
      </c>
      <c r="AP121" s="289">
        <v>0</v>
      </c>
      <c r="AQ121" s="289">
        <v>0</v>
      </c>
      <c r="AR121" s="289">
        <v>3426.9365923800001</v>
      </c>
      <c r="AS121" s="289"/>
      <c r="AT121" s="289">
        <v>259</v>
      </c>
      <c r="AU121" s="289">
        <v>43</v>
      </c>
      <c r="AV121" s="625">
        <v>171200</v>
      </c>
      <c r="AW121" s="289"/>
      <c r="AX121" s="625">
        <v>43.998333350000003</v>
      </c>
      <c r="AY121" s="289">
        <v>1032</v>
      </c>
      <c r="AZ121" s="289">
        <v>132</v>
      </c>
      <c r="BA121" s="290">
        <v>124</v>
      </c>
      <c r="BB121" s="289">
        <v>0</v>
      </c>
      <c r="BC121" s="289">
        <v>918.63362628000004</v>
      </c>
      <c r="BD121" s="289">
        <v>67.861114221308412</v>
      </c>
      <c r="BE121" s="289">
        <v>172895.78082479001</v>
      </c>
      <c r="BF121" s="289">
        <v>0</v>
      </c>
      <c r="BG121" s="289">
        <v>-213.8939</v>
      </c>
      <c r="BH121" s="289">
        <v>-16.8536</v>
      </c>
      <c r="BI121" s="289">
        <v>938.49978641999996</v>
      </c>
      <c r="BJ121" s="289">
        <v>0</v>
      </c>
      <c r="BK121" s="289">
        <v>0</v>
      </c>
      <c r="BL121" s="289">
        <v>0</v>
      </c>
      <c r="BM121" s="289">
        <v>0</v>
      </c>
      <c r="BN121" s="289">
        <v>481.82492359923845</v>
      </c>
      <c r="BO121" s="289">
        <v>267.47646424147831</v>
      </c>
      <c r="BP121" s="289">
        <v>540.43946851468274</v>
      </c>
      <c r="BQ121" s="289">
        <v>468.47069151366776</v>
      </c>
      <c r="BR121" s="289">
        <v>4.599475519444236</v>
      </c>
      <c r="BS121" s="289">
        <v>1.4653602755629533</v>
      </c>
      <c r="BT121" s="289">
        <v>0</v>
      </c>
      <c r="BU121" s="289">
        <v>0</v>
      </c>
      <c r="BV121" s="289">
        <v>32.843476831851895</v>
      </c>
      <c r="BW121" s="517"/>
      <c r="BX121" s="517"/>
      <c r="CA121" s="517"/>
      <c r="CB121" s="517"/>
    </row>
    <row r="122" spans="1:80" ht="13">
      <c r="A122" s="1">
        <v>1571</v>
      </c>
      <c r="B122" s="2" t="s">
        <v>115</v>
      </c>
      <c r="C122" s="289">
        <v>1574</v>
      </c>
      <c r="D122" s="289">
        <v>21</v>
      </c>
      <c r="E122" s="289">
        <v>49</v>
      </c>
      <c r="F122" s="289">
        <v>176</v>
      </c>
      <c r="G122" s="289">
        <v>122</v>
      </c>
      <c r="H122" s="289">
        <v>825</v>
      </c>
      <c r="I122" s="289">
        <v>277</v>
      </c>
      <c r="J122" s="289">
        <v>87</v>
      </c>
      <c r="K122" s="289">
        <v>26</v>
      </c>
      <c r="L122" s="289">
        <v>14</v>
      </c>
      <c r="M122" s="289">
        <v>158</v>
      </c>
      <c r="N122" s="290">
        <v>3</v>
      </c>
      <c r="O122" s="290">
        <v>17</v>
      </c>
      <c r="P122" s="624">
        <v>22435.105666669999</v>
      </c>
      <c r="Q122" s="624">
        <v>7188.56</v>
      </c>
      <c r="R122" s="624">
        <v>6</v>
      </c>
      <c r="S122" s="289"/>
      <c r="T122" s="289">
        <v>113</v>
      </c>
      <c r="U122" s="716">
        <v>1.6045536381280063E-3</v>
      </c>
      <c r="V122" s="289">
        <v>815.21030309000002</v>
      </c>
      <c r="W122" s="743">
        <v>1</v>
      </c>
      <c r="X122" s="289">
        <v>130</v>
      </c>
      <c r="Y122" s="289">
        <v>265.22399999999999</v>
      </c>
      <c r="Z122" s="289">
        <v>39984</v>
      </c>
      <c r="AA122" s="289">
        <v>0</v>
      </c>
      <c r="AB122" s="290">
        <v>33</v>
      </c>
      <c r="AC122" s="289">
        <v>0</v>
      </c>
      <c r="AD122" s="289">
        <v>0</v>
      </c>
      <c r="AE122" s="289">
        <v>0</v>
      </c>
      <c r="AF122" s="289">
        <v>0</v>
      </c>
      <c r="AG122" s="289">
        <v>1583</v>
      </c>
      <c r="AH122" s="289">
        <v>230.79006634999999</v>
      </c>
      <c r="AI122" s="289">
        <v>0</v>
      </c>
      <c r="AJ122" s="289">
        <v>0</v>
      </c>
      <c r="AK122" s="289">
        <v>10.375999999999999</v>
      </c>
      <c r="AL122" s="289">
        <v>0</v>
      </c>
      <c r="AM122" s="836">
        <v>1.750376E-2</v>
      </c>
      <c r="AN122" s="289">
        <v>0</v>
      </c>
      <c r="AO122" s="289">
        <v>77.777556369999999</v>
      </c>
      <c r="AP122" s="289">
        <v>0</v>
      </c>
      <c r="AQ122" s="289">
        <v>0</v>
      </c>
      <c r="AR122" s="289">
        <v>-84.259449759999995</v>
      </c>
      <c r="AS122" s="289"/>
      <c r="AT122" s="289">
        <v>60</v>
      </c>
      <c r="AU122" s="289">
        <v>12</v>
      </c>
      <c r="AV122" s="625">
        <v>66914</v>
      </c>
      <c r="AW122" s="289"/>
      <c r="AX122" s="625">
        <v>14.125000050000001</v>
      </c>
      <c r="AY122" s="289">
        <v>241</v>
      </c>
      <c r="AZ122" s="289">
        <v>60</v>
      </c>
      <c r="BA122" s="290">
        <v>29</v>
      </c>
      <c r="BB122" s="289">
        <v>5698</v>
      </c>
      <c r="BC122" s="289">
        <v>476.74713131999999</v>
      </c>
      <c r="BD122" s="289">
        <v>18.299492894009049</v>
      </c>
      <c r="BE122" s="289">
        <v>68542.195464329998</v>
      </c>
      <c r="BF122" s="289">
        <v>0</v>
      </c>
      <c r="BG122" s="289">
        <v>-68.776700000000005</v>
      </c>
      <c r="BH122" s="289">
        <v>-4.4695999999999998</v>
      </c>
      <c r="BI122" s="289">
        <v>496.01406635000001</v>
      </c>
      <c r="BJ122" s="289">
        <v>0</v>
      </c>
      <c r="BK122" s="289">
        <v>0</v>
      </c>
      <c r="BL122" s="289">
        <v>0</v>
      </c>
      <c r="BM122" s="289">
        <v>0</v>
      </c>
      <c r="BN122" s="289">
        <v>160.48164627993413</v>
      </c>
      <c r="BO122" s="289">
        <v>106.25509043468401</v>
      </c>
      <c r="BP122" s="289">
        <v>143.32646652014452</v>
      </c>
      <c r="BQ122" s="289">
        <v>208.27106222901523</v>
      </c>
      <c r="BR122" s="289">
        <v>1.2402989628161689</v>
      </c>
      <c r="BS122" s="289">
        <v>0.65645993424306248</v>
      </c>
      <c r="BT122" s="289">
        <v>0</v>
      </c>
      <c r="BU122" s="289">
        <v>0</v>
      </c>
      <c r="BV122" s="289">
        <v>14.601438106964853</v>
      </c>
      <c r="BW122" s="517"/>
      <c r="BX122" s="517"/>
      <c r="CA122" s="517"/>
      <c r="CB122" s="517"/>
    </row>
    <row r="123" spans="1:80" ht="13">
      <c r="A123" s="1">
        <v>1573</v>
      </c>
      <c r="B123" s="2" t="s">
        <v>116</v>
      </c>
      <c r="C123" s="289">
        <v>2134</v>
      </c>
      <c r="D123" s="289">
        <v>37</v>
      </c>
      <c r="E123" s="289">
        <v>60</v>
      </c>
      <c r="F123" s="289">
        <v>238</v>
      </c>
      <c r="G123" s="289">
        <v>171</v>
      </c>
      <c r="H123" s="289">
        <v>1188</v>
      </c>
      <c r="I123" s="289">
        <v>312</v>
      </c>
      <c r="J123" s="289">
        <v>114</v>
      </c>
      <c r="K123" s="289">
        <v>32</v>
      </c>
      <c r="L123" s="289">
        <v>19</v>
      </c>
      <c r="M123" s="289">
        <v>204</v>
      </c>
      <c r="N123" s="290">
        <v>1.5</v>
      </c>
      <c r="O123" s="290">
        <v>28</v>
      </c>
      <c r="P123" s="624">
        <v>36132.397333330002</v>
      </c>
      <c r="Q123" s="624">
        <v>9415.4380000000001</v>
      </c>
      <c r="R123" s="624">
        <v>13</v>
      </c>
      <c r="S123" s="289"/>
      <c r="T123" s="289">
        <v>193</v>
      </c>
      <c r="U123" s="716">
        <v>1.6143380116018476E-3</v>
      </c>
      <c r="V123" s="289">
        <v>1057.79791998</v>
      </c>
      <c r="W123" s="743">
        <v>1</v>
      </c>
      <c r="X123" s="289">
        <v>100</v>
      </c>
      <c r="Y123" s="289">
        <v>0</v>
      </c>
      <c r="Z123" s="289">
        <v>56072</v>
      </c>
      <c r="AA123" s="289">
        <v>0</v>
      </c>
      <c r="AB123" s="290">
        <v>41</v>
      </c>
      <c r="AC123" s="289">
        <v>0</v>
      </c>
      <c r="AD123" s="289">
        <v>0</v>
      </c>
      <c r="AE123" s="289">
        <v>0</v>
      </c>
      <c r="AF123" s="289">
        <v>0</v>
      </c>
      <c r="AG123" s="289">
        <v>2152</v>
      </c>
      <c r="AH123" s="289">
        <v>304.69866766000001</v>
      </c>
      <c r="AI123" s="289">
        <v>0</v>
      </c>
      <c r="AJ123" s="289">
        <v>0</v>
      </c>
      <c r="AK123" s="289">
        <v>369.11599999999999</v>
      </c>
      <c r="AL123" s="289">
        <v>0</v>
      </c>
      <c r="AM123" s="836">
        <v>1.199894E-2</v>
      </c>
      <c r="AN123" s="289">
        <v>0</v>
      </c>
      <c r="AO123" s="289">
        <v>100.92234732999999</v>
      </c>
      <c r="AP123" s="289">
        <v>0</v>
      </c>
      <c r="AQ123" s="289">
        <v>0</v>
      </c>
      <c r="AR123" s="289">
        <v>-114.5460113</v>
      </c>
      <c r="AS123" s="289"/>
      <c r="AT123" s="289">
        <v>83</v>
      </c>
      <c r="AU123" s="289">
        <v>11</v>
      </c>
      <c r="AV123" s="625">
        <v>81858</v>
      </c>
      <c r="AW123" s="289"/>
      <c r="AX123" s="625">
        <v>15.3333333</v>
      </c>
      <c r="AY123" s="289">
        <v>308</v>
      </c>
      <c r="AZ123" s="289">
        <v>62</v>
      </c>
      <c r="BA123" s="290">
        <v>36</v>
      </c>
      <c r="BB123" s="289">
        <v>5698</v>
      </c>
      <c r="BC123" s="289">
        <v>301.30276767999999</v>
      </c>
      <c r="BD123" s="289">
        <v>26.395225533629024</v>
      </c>
      <c r="BE123" s="289">
        <v>84134.793826499998</v>
      </c>
      <c r="BF123" s="289">
        <v>0</v>
      </c>
      <c r="BG123" s="289">
        <v>-91.193799999999996</v>
      </c>
      <c r="BH123" s="289">
        <v>-6.0762</v>
      </c>
      <c r="BI123" s="289">
        <v>304.69866766000001</v>
      </c>
      <c r="BJ123" s="289">
        <v>0</v>
      </c>
      <c r="BK123" s="289">
        <v>0</v>
      </c>
      <c r="BL123" s="289">
        <v>0</v>
      </c>
      <c r="BM123" s="289">
        <v>0</v>
      </c>
      <c r="BN123" s="289">
        <v>216.15706279395945</v>
      </c>
      <c r="BO123" s="289">
        <v>129.93991434894011</v>
      </c>
      <c r="BP123" s="289">
        <v>194.84431835208531</v>
      </c>
      <c r="BQ123" s="289">
        <v>209.54107390591975</v>
      </c>
      <c r="BR123" s="289">
        <v>1.789009730612634</v>
      </c>
      <c r="BS123" s="289">
        <v>0.77385514617346107</v>
      </c>
      <c r="BT123" s="289">
        <v>0</v>
      </c>
      <c r="BU123" s="289">
        <v>0</v>
      </c>
      <c r="BV123" s="289">
        <v>14.690475905576807</v>
      </c>
      <c r="BW123" s="517"/>
      <c r="BX123" s="517"/>
      <c r="CA123" s="517"/>
      <c r="CB123" s="517"/>
    </row>
    <row r="124" spans="1:80" ht="13">
      <c r="A124" s="1">
        <v>1576</v>
      </c>
      <c r="B124" s="4" t="s">
        <v>710</v>
      </c>
      <c r="C124" s="289">
        <v>3553</v>
      </c>
      <c r="D124" s="289">
        <v>61</v>
      </c>
      <c r="E124" s="289">
        <v>134</v>
      </c>
      <c r="F124" s="289">
        <v>396</v>
      </c>
      <c r="G124" s="289">
        <v>318</v>
      </c>
      <c r="H124" s="289">
        <v>1923</v>
      </c>
      <c r="I124" s="289">
        <v>529</v>
      </c>
      <c r="J124" s="289">
        <v>174</v>
      </c>
      <c r="K124" s="289">
        <v>48</v>
      </c>
      <c r="L124" s="289">
        <v>26</v>
      </c>
      <c r="M124" s="289">
        <v>343</v>
      </c>
      <c r="N124" s="290">
        <v>35</v>
      </c>
      <c r="O124" s="290">
        <v>47</v>
      </c>
      <c r="P124" s="624">
        <v>68035.928666670006</v>
      </c>
      <c r="Q124" s="624">
        <v>26492.272333329998</v>
      </c>
      <c r="R124" s="624">
        <v>15</v>
      </c>
      <c r="S124" s="289"/>
      <c r="T124" s="289">
        <v>283</v>
      </c>
      <c r="U124" s="716">
        <v>2.5996105428663084E-3</v>
      </c>
      <c r="V124" s="289">
        <v>1593.9449371999999</v>
      </c>
      <c r="W124" s="743">
        <v>1</v>
      </c>
      <c r="X124" s="289">
        <v>100</v>
      </c>
      <c r="Y124" s="289">
        <v>414.28399999999999</v>
      </c>
      <c r="Z124" s="289">
        <v>94244</v>
      </c>
      <c r="AA124" s="289">
        <v>0</v>
      </c>
      <c r="AB124" s="290">
        <v>56</v>
      </c>
      <c r="AC124" s="289">
        <v>0</v>
      </c>
      <c r="AD124" s="289">
        <v>0</v>
      </c>
      <c r="AE124" s="289">
        <v>0</v>
      </c>
      <c r="AF124" s="289">
        <v>25141.8308392</v>
      </c>
      <c r="AG124" s="289">
        <v>3583</v>
      </c>
      <c r="AH124" s="289">
        <v>545.25024739000003</v>
      </c>
      <c r="AI124" s="289">
        <v>0</v>
      </c>
      <c r="AJ124" s="289">
        <v>0</v>
      </c>
      <c r="AK124" s="289">
        <v>2867.18</v>
      </c>
      <c r="AL124" s="289">
        <v>0</v>
      </c>
      <c r="AM124" s="836">
        <v>5.3308960000000002E-2</v>
      </c>
      <c r="AN124" s="289">
        <v>5248</v>
      </c>
      <c r="AO124" s="289">
        <v>161.19604487000001</v>
      </c>
      <c r="AP124" s="289">
        <v>0</v>
      </c>
      <c r="AQ124" s="289">
        <v>0</v>
      </c>
      <c r="AR124" s="289">
        <v>-190.71485060000001</v>
      </c>
      <c r="AS124" s="289"/>
      <c r="AT124" s="289">
        <v>148</v>
      </c>
      <c r="AU124" s="289">
        <v>31</v>
      </c>
      <c r="AV124" s="625">
        <v>148346</v>
      </c>
      <c r="AW124" s="289"/>
      <c r="AX124" s="625">
        <v>21.6866667</v>
      </c>
      <c r="AY124" s="289">
        <v>587</v>
      </c>
      <c r="AZ124" s="289">
        <v>150</v>
      </c>
      <c r="BA124" s="290">
        <v>64</v>
      </c>
      <c r="BB124" s="289">
        <v>0</v>
      </c>
      <c r="BC124" s="289">
        <v>25401.472698369998</v>
      </c>
      <c r="BD124" s="289">
        <v>45.473108530803728</v>
      </c>
      <c r="BE124" s="289">
        <v>151969.12299025999</v>
      </c>
      <c r="BF124" s="289">
        <v>0</v>
      </c>
      <c r="BG124" s="289">
        <v>-151.3415</v>
      </c>
      <c r="BH124" s="289">
        <v>-10.1167</v>
      </c>
      <c r="BI124" s="289">
        <v>26101.365086590002</v>
      </c>
      <c r="BJ124" s="289">
        <v>0</v>
      </c>
      <c r="BK124" s="289">
        <v>0</v>
      </c>
      <c r="BL124" s="289">
        <v>0</v>
      </c>
      <c r="BM124" s="289">
        <v>0</v>
      </c>
      <c r="BN124" s="289">
        <v>323.81997267807265</v>
      </c>
      <c r="BO124" s="289">
        <v>203.45397089421402</v>
      </c>
      <c r="BP124" s="289">
        <v>324.40854677301189</v>
      </c>
      <c r="BQ124" s="289">
        <v>337.4294484640468</v>
      </c>
      <c r="BR124" s="289">
        <v>3.0820662448655858</v>
      </c>
      <c r="BS124" s="289">
        <v>1.0665366916201755</v>
      </c>
      <c r="BT124" s="289">
        <v>0</v>
      </c>
      <c r="BU124" s="289">
        <v>0</v>
      </c>
      <c r="BV124" s="289">
        <v>23.656455940083401</v>
      </c>
      <c r="BW124" s="517"/>
      <c r="BX124" s="517"/>
      <c r="CA124" s="517"/>
      <c r="CB124" s="517"/>
    </row>
    <row r="125" spans="1:80" ht="13">
      <c r="A125" s="1">
        <v>1804</v>
      </c>
      <c r="B125" s="2" t="s">
        <v>174</v>
      </c>
      <c r="C125" s="289">
        <v>52024</v>
      </c>
      <c r="D125" s="289">
        <v>1091</v>
      </c>
      <c r="E125" s="289">
        <v>2428</v>
      </c>
      <c r="F125" s="289">
        <v>6223</v>
      </c>
      <c r="G125" s="289">
        <v>4696</v>
      </c>
      <c r="H125" s="289">
        <v>30313</v>
      </c>
      <c r="I125" s="289">
        <v>5153</v>
      </c>
      <c r="J125" s="289">
        <v>1567</v>
      </c>
      <c r="K125" s="289">
        <v>312</v>
      </c>
      <c r="L125" s="289">
        <v>399</v>
      </c>
      <c r="M125" s="289">
        <v>2921</v>
      </c>
      <c r="N125" s="290">
        <v>843</v>
      </c>
      <c r="O125" s="290">
        <v>337</v>
      </c>
      <c r="P125" s="624">
        <v>228179.08666666999</v>
      </c>
      <c r="Q125" s="624">
        <v>59695.864999999998</v>
      </c>
      <c r="R125" s="624">
        <v>194</v>
      </c>
      <c r="S125" s="289"/>
      <c r="T125" s="289">
        <v>4399</v>
      </c>
      <c r="U125" s="716">
        <v>3.4403046345406183E-3</v>
      </c>
      <c r="V125" s="289">
        <v>12026.630783819999</v>
      </c>
      <c r="W125" s="743">
        <v>0.56210358000000005</v>
      </c>
      <c r="X125" s="289">
        <v>0</v>
      </c>
      <c r="Y125" s="289">
        <v>414.28399999999999</v>
      </c>
      <c r="Z125" s="289">
        <v>1602846</v>
      </c>
      <c r="AA125" s="289">
        <v>0</v>
      </c>
      <c r="AB125" s="290">
        <v>1014</v>
      </c>
      <c r="AC125" s="289">
        <v>0</v>
      </c>
      <c r="AD125" s="289">
        <v>0</v>
      </c>
      <c r="AE125" s="289">
        <v>0</v>
      </c>
      <c r="AF125" s="289">
        <v>15088.7105827</v>
      </c>
      <c r="AG125" s="289">
        <v>51783</v>
      </c>
      <c r="AH125" s="289">
        <v>8564.3334893299998</v>
      </c>
      <c r="AI125" s="289">
        <v>2484</v>
      </c>
      <c r="AJ125" s="289">
        <v>0</v>
      </c>
      <c r="AK125" s="289">
        <v>0</v>
      </c>
      <c r="AL125" s="289">
        <v>90639</v>
      </c>
      <c r="AM125" s="836">
        <v>0.74249374999999995</v>
      </c>
      <c r="AN125" s="289">
        <v>0</v>
      </c>
      <c r="AO125" s="289">
        <v>1895.35849564</v>
      </c>
      <c r="AP125" s="289">
        <v>0</v>
      </c>
      <c r="AQ125" s="289">
        <v>0</v>
      </c>
      <c r="AR125" s="289">
        <v>-2756.2900107599999</v>
      </c>
      <c r="AS125" s="289"/>
      <c r="AT125" s="289">
        <v>2522</v>
      </c>
      <c r="AU125" s="289">
        <v>455</v>
      </c>
      <c r="AV125" s="625">
        <v>1200988</v>
      </c>
      <c r="AW125" s="289"/>
      <c r="AX125" s="625">
        <v>422.76833334999998</v>
      </c>
      <c r="AY125" s="289">
        <v>14520</v>
      </c>
      <c r="AZ125" s="289">
        <v>1720</v>
      </c>
      <c r="BA125" s="290">
        <v>1218</v>
      </c>
      <c r="BB125" s="289">
        <v>0</v>
      </c>
      <c r="BC125" s="289">
        <v>23407.33795936</v>
      </c>
      <c r="BD125" s="289">
        <v>741.8094308818105</v>
      </c>
      <c r="BE125" s="289">
        <v>1258854.0000420001</v>
      </c>
      <c r="BF125" s="289">
        <v>0</v>
      </c>
      <c r="BG125" s="289">
        <v>-1896.2879</v>
      </c>
      <c r="BH125" s="289">
        <v>-146.2106</v>
      </c>
      <c r="BI125" s="289">
        <v>24067.32807204</v>
      </c>
      <c r="BJ125" s="289">
        <v>0</v>
      </c>
      <c r="BK125" s="289">
        <v>0</v>
      </c>
      <c r="BL125" s="289">
        <v>0</v>
      </c>
      <c r="BM125" s="289">
        <v>0</v>
      </c>
      <c r="BN125" s="289">
        <v>3087.6330352145569</v>
      </c>
      <c r="BO125" s="289">
        <v>1860.148662672543</v>
      </c>
      <c r="BP125" s="289">
        <v>4688.4866808671159</v>
      </c>
      <c r="BQ125" s="289">
        <v>446.55154156337221</v>
      </c>
      <c r="BR125" s="289">
        <v>50.27819475976716</v>
      </c>
      <c r="BS125" s="289">
        <v>10.837121253096186</v>
      </c>
      <c r="BT125" s="289">
        <v>0</v>
      </c>
      <c r="BU125" s="289">
        <v>0</v>
      </c>
      <c r="BV125" s="289">
        <v>31.306772174319633</v>
      </c>
      <c r="BW125" s="517"/>
      <c r="BX125" s="517"/>
      <c r="CA125" s="517"/>
      <c r="CB125" s="517"/>
    </row>
    <row r="126" spans="1:80" ht="13">
      <c r="A126" s="1">
        <v>1805</v>
      </c>
      <c r="B126" s="2" t="s">
        <v>175</v>
      </c>
      <c r="C126" s="289">
        <v>18630</v>
      </c>
      <c r="D126" s="289">
        <v>365</v>
      </c>
      <c r="E126" s="289">
        <v>761</v>
      </c>
      <c r="F126" s="289">
        <v>2093</v>
      </c>
      <c r="G126" s="289">
        <v>1571</v>
      </c>
      <c r="H126" s="289">
        <v>10594</v>
      </c>
      <c r="I126" s="289">
        <v>2217</v>
      </c>
      <c r="J126" s="289">
        <v>816</v>
      </c>
      <c r="K126" s="289">
        <v>209</v>
      </c>
      <c r="L126" s="289">
        <v>150</v>
      </c>
      <c r="M126" s="289">
        <v>1507</v>
      </c>
      <c r="N126" s="290">
        <v>294</v>
      </c>
      <c r="O126" s="290">
        <v>146</v>
      </c>
      <c r="P126" s="624">
        <v>106887.44433333</v>
      </c>
      <c r="Q126" s="624">
        <v>21187.584999999999</v>
      </c>
      <c r="R126" s="624">
        <v>72</v>
      </c>
      <c r="S126" s="289"/>
      <c r="T126" s="289">
        <v>1572</v>
      </c>
      <c r="U126" s="716">
        <v>1.2461385385334057E-3</v>
      </c>
      <c r="V126" s="289">
        <v>-2921.2816042099998</v>
      </c>
      <c r="W126" s="743">
        <v>0.59780535999999995</v>
      </c>
      <c r="X126" s="289">
        <v>0</v>
      </c>
      <c r="Y126" s="289">
        <v>414.28399999999999</v>
      </c>
      <c r="Z126" s="289">
        <v>524405</v>
      </c>
      <c r="AA126" s="289">
        <v>0</v>
      </c>
      <c r="AB126" s="290">
        <v>357</v>
      </c>
      <c r="AC126" s="289">
        <v>0</v>
      </c>
      <c r="AD126" s="289">
        <v>4568.9316079999999</v>
      </c>
      <c r="AE126" s="289">
        <v>0</v>
      </c>
      <c r="AF126" s="289">
        <v>0</v>
      </c>
      <c r="AG126" s="289">
        <v>18626</v>
      </c>
      <c r="AH126" s="289">
        <v>2830.1416293399998</v>
      </c>
      <c r="AI126" s="289">
        <v>5000</v>
      </c>
      <c r="AJ126" s="289">
        <v>2500</v>
      </c>
      <c r="AK126" s="289">
        <v>3289.1619999999998</v>
      </c>
      <c r="AL126" s="289">
        <v>32766</v>
      </c>
      <c r="AM126" s="836">
        <v>0.32989054000000001</v>
      </c>
      <c r="AN126" s="289">
        <v>0</v>
      </c>
      <c r="AO126" s="289">
        <v>715.47562828000002</v>
      </c>
      <c r="AP126" s="289">
        <v>0</v>
      </c>
      <c r="AQ126" s="289">
        <v>0</v>
      </c>
      <c r="AR126" s="289">
        <v>-991.41914799000006</v>
      </c>
      <c r="AS126" s="289"/>
      <c r="AT126" s="289">
        <v>883</v>
      </c>
      <c r="AU126" s="289">
        <v>210</v>
      </c>
      <c r="AV126" s="625">
        <v>479512</v>
      </c>
      <c r="AW126" s="289"/>
      <c r="AX126" s="625">
        <v>125.58500005</v>
      </c>
      <c r="AY126" s="289">
        <v>4355</v>
      </c>
      <c r="AZ126" s="289">
        <v>618</v>
      </c>
      <c r="BA126" s="290">
        <v>393</v>
      </c>
      <c r="BB126" s="289">
        <v>0</v>
      </c>
      <c r="BC126" s="289">
        <v>7644.1646970399997</v>
      </c>
      <c r="BD126" s="289">
        <v>266.84496096542961</v>
      </c>
      <c r="BE126" s="289">
        <v>494321.92581543</v>
      </c>
      <c r="BF126" s="289">
        <v>0</v>
      </c>
      <c r="BG126" s="289">
        <v>-651.12130000000002</v>
      </c>
      <c r="BH126" s="289">
        <v>-52.591000000000001</v>
      </c>
      <c r="BI126" s="289">
        <v>7813.3572373400002</v>
      </c>
      <c r="BJ126" s="289">
        <v>0</v>
      </c>
      <c r="BK126" s="289">
        <v>0</v>
      </c>
      <c r="BL126" s="289">
        <v>0</v>
      </c>
      <c r="BM126" s="289">
        <v>3890</v>
      </c>
      <c r="BN126" s="289">
        <v>1388.4984936212659</v>
      </c>
      <c r="BO126" s="289">
        <v>722.58546407794233</v>
      </c>
      <c r="BP126" s="289">
        <v>1686.4174133949539</v>
      </c>
      <c r="BQ126" s="289">
        <v>161.74878230163608</v>
      </c>
      <c r="BR126" s="289">
        <v>18.086158465434668</v>
      </c>
      <c r="BS126" s="289">
        <v>4.0196192053171229</v>
      </c>
      <c r="BT126" s="289">
        <v>0</v>
      </c>
      <c r="BU126" s="289">
        <v>0</v>
      </c>
      <c r="BV126" s="289">
        <v>11.33986070065399</v>
      </c>
      <c r="BW126" s="517"/>
      <c r="BX126" s="517"/>
      <c r="CA126" s="517"/>
      <c r="CB126" s="517"/>
    </row>
    <row r="127" spans="1:80" ht="13">
      <c r="A127" s="1">
        <v>1811</v>
      </c>
      <c r="B127" s="2" t="s">
        <v>176</v>
      </c>
      <c r="C127" s="289">
        <v>1450</v>
      </c>
      <c r="D127" s="289">
        <v>28</v>
      </c>
      <c r="E127" s="289">
        <v>53</v>
      </c>
      <c r="F127" s="289">
        <v>172</v>
      </c>
      <c r="G127" s="289">
        <v>116</v>
      </c>
      <c r="H127" s="289">
        <v>746</v>
      </c>
      <c r="I127" s="289">
        <v>258</v>
      </c>
      <c r="J127" s="289">
        <v>85</v>
      </c>
      <c r="K127" s="289">
        <v>14</v>
      </c>
      <c r="L127" s="289">
        <v>15</v>
      </c>
      <c r="M127" s="289">
        <v>178</v>
      </c>
      <c r="N127" s="290">
        <v>1.5</v>
      </c>
      <c r="O127" s="290">
        <v>11</v>
      </c>
      <c r="P127" s="624">
        <v>30389.699333330002</v>
      </c>
      <c r="Q127" s="624">
        <v>13382.314333329999</v>
      </c>
      <c r="R127" s="624">
        <v>10</v>
      </c>
      <c r="S127" s="289"/>
      <c r="T127" s="289">
        <v>112</v>
      </c>
      <c r="U127" s="716">
        <v>1.3307857434052576E-3</v>
      </c>
      <c r="V127" s="289">
        <v>-5295.4595555300002</v>
      </c>
      <c r="W127" s="743">
        <v>1</v>
      </c>
      <c r="X127" s="289">
        <v>0</v>
      </c>
      <c r="Y127" s="289">
        <v>414.28399999999999</v>
      </c>
      <c r="Z127" s="289">
        <v>38970</v>
      </c>
      <c r="AA127" s="289">
        <v>0</v>
      </c>
      <c r="AB127" s="290">
        <v>34</v>
      </c>
      <c r="AC127" s="289">
        <v>0</v>
      </c>
      <c r="AD127" s="289">
        <v>0</v>
      </c>
      <c r="AE127" s="289">
        <v>0</v>
      </c>
      <c r="AF127" s="289">
        <v>0</v>
      </c>
      <c r="AG127" s="289">
        <v>1472</v>
      </c>
      <c r="AH127" s="289">
        <v>216.84504723000001</v>
      </c>
      <c r="AI127" s="289">
        <v>0</v>
      </c>
      <c r="AJ127" s="289">
        <v>0</v>
      </c>
      <c r="AK127" s="289">
        <v>39.793999999999997</v>
      </c>
      <c r="AL127" s="289">
        <v>2612</v>
      </c>
      <c r="AM127" s="836">
        <v>1.420164E-2</v>
      </c>
      <c r="AN127" s="289">
        <v>0</v>
      </c>
      <c r="AO127" s="289">
        <v>78.515073430000001</v>
      </c>
      <c r="AP127" s="289">
        <v>0</v>
      </c>
      <c r="AQ127" s="289">
        <v>0</v>
      </c>
      <c r="AR127" s="289">
        <v>-78.351175019999999</v>
      </c>
      <c r="AS127" s="289"/>
      <c r="AT127" s="289">
        <v>49</v>
      </c>
      <c r="AU127" s="289">
        <v>10</v>
      </c>
      <c r="AV127" s="625">
        <v>67455</v>
      </c>
      <c r="AW127" s="289"/>
      <c r="AX127" s="625">
        <v>6.0866667000000003</v>
      </c>
      <c r="AY127" s="289">
        <v>235</v>
      </c>
      <c r="AZ127" s="289">
        <v>64</v>
      </c>
      <c r="BA127" s="290">
        <v>26</v>
      </c>
      <c r="BB127" s="289">
        <v>5698</v>
      </c>
      <c r="BC127" s="289">
        <v>615.95082829</v>
      </c>
      <c r="BD127" s="289">
        <v>17.426662672042767</v>
      </c>
      <c r="BE127" s="289">
        <v>69105.865929770007</v>
      </c>
      <c r="BF127" s="289">
        <v>0</v>
      </c>
      <c r="BG127" s="289">
        <v>-70.910499999999999</v>
      </c>
      <c r="BH127" s="289">
        <v>-4.1562000000000001</v>
      </c>
      <c r="BI127" s="289">
        <v>631.12904722999997</v>
      </c>
      <c r="BJ127" s="289">
        <v>0</v>
      </c>
      <c r="BK127" s="289">
        <v>0</v>
      </c>
      <c r="BL127" s="289">
        <v>0</v>
      </c>
      <c r="BM127" s="289">
        <v>0</v>
      </c>
      <c r="BN127" s="289">
        <v>165.27001541382256</v>
      </c>
      <c r="BO127" s="289">
        <v>108.3491074898381</v>
      </c>
      <c r="BP127" s="289">
        <v>133.2764110661104</v>
      </c>
      <c r="BQ127" s="289">
        <v>172.73598949400241</v>
      </c>
      <c r="BR127" s="289">
        <v>1.1811404699940098</v>
      </c>
      <c r="BS127" s="289">
        <v>0.63416711623856059</v>
      </c>
      <c r="BT127" s="289">
        <v>0</v>
      </c>
      <c r="BU127" s="289">
        <v>0</v>
      </c>
      <c r="BV127" s="289">
        <v>12.110150264987841</v>
      </c>
      <c r="BW127" s="517"/>
      <c r="BX127" s="517"/>
      <c r="CA127" s="517"/>
      <c r="CB127" s="517"/>
    </row>
    <row r="128" spans="1:80" ht="13">
      <c r="A128" s="1">
        <v>1812</v>
      </c>
      <c r="B128" s="2" t="s">
        <v>177</v>
      </c>
      <c r="C128" s="289">
        <v>2014</v>
      </c>
      <c r="D128" s="289">
        <v>26</v>
      </c>
      <c r="E128" s="289">
        <v>74</v>
      </c>
      <c r="F128" s="289">
        <v>250</v>
      </c>
      <c r="G128" s="289">
        <v>192</v>
      </c>
      <c r="H128" s="289">
        <v>1081</v>
      </c>
      <c r="I128" s="289">
        <v>277</v>
      </c>
      <c r="J128" s="289">
        <v>94</v>
      </c>
      <c r="K128" s="289">
        <v>23</v>
      </c>
      <c r="L128" s="289">
        <v>18</v>
      </c>
      <c r="M128" s="289">
        <v>212</v>
      </c>
      <c r="N128" s="290">
        <v>19</v>
      </c>
      <c r="O128" s="290">
        <v>21</v>
      </c>
      <c r="P128" s="624">
        <v>14664.64633333</v>
      </c>
      <c r="Q128" s="624">
        <v>5528.2226666699999</v>
      </c>
      <c r="R128" s="624">
        <v>14</v>
      </c>
      <c r="S128" s="289"/>
      <c r="T128" s="289">
        <v>164</v>
      </c>
      <c r="U128" s="716">
        <v>1.9069322219032537E-3</v>
      </c>
      <c r="V128" s="289">
        <v>999.48236698000005</v>
      </c>
      <c r="W128" s="743">
        <v>0.93139810999999995</v>
      </c>
      <c r="X128" s="289">
        <v>0</v>
      </c>
      <c r="Y128" s="289">
        <v>414.28399999999999</v>
      </c>
      <c r="Z128" s="289">
        <v>46881</v>
      </c>
      <c r="AA128" s="289">
        <v>0</v>
      </c>
      <c r="AB128" s="290">
        <v>61</v>
      </c>
      <c r="AC128" s="289">
        <v>0</v>
      </c>
      <c r="AD128" s="289">
        <v>0</v>
      </c>
      <c r="AE128" s="289">
        <v>0</v>
      </c>
      <c r="AF128" s="289">
        <v>0</v>
      </c>
      <c r="AG128" s="289">
        <v>2017</v>
      </c>
      <c r="AH128" s="289">
        <v>324.91894537000002</v>
      </c>
      <c r="AI128" s="289">
        <v>2500</v>
      </c>
      <c r="AJ128" s="289">
        <v>0</v>
      </c>
      <c r="AK128" s="289">
        <v>0</v>
      </c>
      <c r="AL128" s="289">
        <v>3551</v>
      </c>
      <c r="AM128" s="836">
        <v>2.522547E-2</v>
      </c>
      <c r="AN128" s="289">
        <v>0</v>
      </c>
      <c r="AO128" s="289">
        <v>95.358579059999997</v>
      </c>
      <c r="AP128" s="289">
        <v>0</v>
      </c>
      <c r="AQ128" s="289">
        <v>0</v>
      </c>
      <c r="AR128" s="289">
        <v>1239.4242900900001</v>
      </c>
      <c r="AS128" s="289"/>
      <c r="AT128" s="289">
        <v>94</v>
      </c>
      <c r="AU128" s="289">
        <v>15</v>
      </c>
      <c r="AV128" s="625">
        <v>84138</v>
      </c>
      <c r="AW128" s="289"/>
      <c r="AX128" s="625">
        <v>8.6733332999999995</v>
      </c>
      <c r="AY128" s="289">
        <v>340</v>
      </c>
      <c r="AZ128" s="289">
        <v>73</v>
      </c>
      <c r="BA128" s="290">
        <v>34</v>
      </c>
      <c r="BB128" s="289">
        <v>5698</v>
      </c>
      <c r="BC128" s="289">
        <v>729.22254545999999</v>
      </c>
      <c r="BD128" s="289">
        <v>28.543036589921986</v>
      </c>
      <c r="BE128" s="289">
        <v>84169.662813329996</v>
      </c>
      <c r="BF128" s="289">
        <v>0</v>
      </c>
      <c r="BG128" s="289">
        <v>-87.749099999999999</v>
      </c>
      <c r="BH128" s="289">
        <v>-5.6951000000000001</v>
      </c>
      <c r="BI128" s="289">
        <v>739.20294536999995</v>
      </c>
      <c r="BJ128" s="289">
        <v>0</v>
      </c>
      <c r="BK128" s="289">
        <v>0</v>
      </c>
      <c r="BL128" s="289">
        <v>0</v>
      </c>
      <c r="BM128" s="289">
        <v>0</v>
      </c>
      <c r="BN128" s="289">
        <v>193.45204618559308</v>
      </c>
      <c r="BO128" s="289">
        <v>113.21960599474269</v>
      </c>
      <c r="BP128" s="289">
        <v>182.62127793501676</v>
      </c>
      <c r="BQ128" s="289">
        <v>247.51980240304232</v>
      </c>
      <c r="BR128" s="289">
        <v>1.934583591094712</v>
      </c>
      <c r="BS128" s="289">
        <v>0.72399169964164367</v>
      </c>
      <c r="BT128" s="289">
        <v>0</v>
      </c>
      <c r="BU128" s="289">
        <v>0</v>
      </c>
      <c r="BV128" s="289">
        <v>17.353083219319608</v>
      </c>
      <c r="BW128" s="517"/>
      <c r="BX128" s="517"/>
      <c r="CA128" s="517"/>
      <c r="CB128" s="517"/>
    </row>
    <row r="129" spans="1:80" ht="13">
      <c r="A129" s="1">
        <v>1813</v>
      </c>
      <c r="B129" s="2" t="s">
        <v>178</v>
      </c>
      <c r="C129" s="289">
        <v>7916</v>
      </c>
      <c r="D129" s="289">
        <v>127</v>
      </c>
      <c r="E129" s="289">
        <v>374</v>
      </c>
      <c r="F129" s="289">
        <v>1006</v>
      </c>
      <c r="G129" s="289">
        <v>736</v>
      </c>
      <c r="H129" s="289">
        <v>4425</v>
      </c>
      <c r="I129" s="289">
        <v>890</v>
      </c>
      <c r="J129" s="289">
        <v>305</v>
      </c>
      <c r="K129" s="289">
        <v>60</v>
      </c>
      <c r="L129" s="289">
        <v>66</v>
      </c>
      <c r="M129" s="289">
        <v>597</v>
      </c>
      <c r="N129" s="290">
        <v>104</v>
      </c>
      <c r="O129" s="290">
        <v>87</v>
      </c>
      <c r="P129" s="624">
        <v>84917.998666669999</v>
      </c>
      <c r="Q129" s="624">
        <v>17560.838</v>
      </c>
      <c r="R129" s="624">
        <v>55</v>
      </c>
      <c r="S129" s="289"/>
      <c r="T129" s="289">
        <v>639</v>
      </c>
      <c r="U129" s="716">
        <v>3.0367574365516171E-3</v>
      </c>
      <c r="V129" s="289">
        <v>3515.4013587600002</v>
      </c>
      <c r="W129" s="743">
        <v>0.64424685999999998</v>
      </c>
      <c r="X129" s="289">
        <v>0</v>
      </c>
      <c r="Y129" s="289">
        <v>414.28399999999999</v>
      </c>
      <c r="Z129" s="289">
        <v>198525</v>
      </c>
      <c r="AA129" s="289">
        <v>0</v>
      </c>
      <c r="AB129" s="290">
        <v>197</v>
      </c>
      <c r="AC129" s="289">
        <v>775</v>
      </c>
      <c r="AD129" s="289">
        <v>0</v>
      </c>
      <c r="AE129" s="289">
        <v>0</v>
      </c>
      <c r="AF129" s="289">
        <v>0</v>
      </c>
      <c r="AG129" s="289">
        <v>7923</v>
      </c>
      <c r="AH129" s="289">
        <v>1343.6025917100001</v>
      </c>
      <c r="AI129" s="289">
        <v>750</v>
      </c>
      <c r="AJ129" s="289">
        <v>0</v>
      </c>
      <c r="AK129" s="289">
        <v>0</v>
      </c>
      <c r="AL129" s="289">
        <v>13973</v>
      </c>
      <c r="AM129" s="836">
        <v>0.19597033</v>
      </c>
      <c r="AN129" s="289">
        <v>0</v>
      </c>
      <c r="AO129" s="289">
        <v>335.39729112999999</v>
      </c>
      <c r="AP129" s="289">
        <v>0</v>
      </c>
      <c r="AQ129" s="289">
        <v>0</v>
      </c>
      <c r="AR129" s="289">
        <v>-421.72307040999999</v>
      </c>
      <c r="AS129" s="289"/>
      <c r="AT129" s="289">
        <v>427</v>
      </c>
      <c r="AU129" s="289">
        <v>96</v>
      </c>
      <c r="AV129" s="625">
        <v>246260</v>
      </c>
      <c r="AW129" s="289"/>
      <c r="AX129" s="625">
        <v>50.586666700000002</v>
      </c>
      <c r="AY129" s="289">
        <v>1458</v>
      </c>
      <c r="AZ129" s="289">
        <v>302</v>
      </c>
      <c r="BA129" s="290">
        <v>227</v>
      </c>
      <c r="BB129" s="289">
        <v>0</v>
      </c>
      <c r="BC129" s="289">
        <v>1756.59702023</v>
      </c>
      <c r="BD129" s="289">
        <v>118.57038976256629</v>
      </c>
      <c r="BE129" s="289">
        <v>253788.85253522999</v>
      </c>
      <c r="BF129" s="289">
        <v>0</v>
      </c>
      <c r="BG129" s="289">
        <v>-327.22629999999998</v>
      </c>
      <c r="BH129" s="289">
        <v>-22.370799999999999</v>
      </c>
      <c r="BI129" s="289">
        <v>1757.8865917099999</v>
      </c>
      <c r="BJ129" s="289">
        <v>0</v>
      </c>
      <c r="BK129" s="289">
        <v>0</v>
      </c>
      <c r="BL129" s="289">
        <v>0</v>
      </c>
      <c r="BM129" s="289">
        <v>0</v>
      </c>
      <c r="BN129" s="289">
        <v>621.61558583802844</v>
      </c>
      <c r="BO129" s="289">
        <v>334.03740411654326</v>
      </c>
      <c r="BP129" s="289">
        <v>717.35666092173403</v>
      </c>
      <c r="BQ129" s="289">
        <v>394.17111526439987</v>
      </c>
      <c r="BR129" s="289">
        <v>8.0364375283517138</v>
      </c>
      <c r="BS129" s="289">
        <v>1.8420223683801977</v>
      </c>
      <c r="BT129" s="289">
        <v>0</v>
      </c>
      <c r="BU129" s="289">
        <v>0</v>
      </c>
      <c r="BV129" s="289">
        <v>27.634492672619707</v>
      </c>
      <c r="BW129" s="517"/>
      <c r="BX129" s="517"/>
      <c r="CA129" s="517"/>
      <c r="CB129" s="517"/>
    </row>
    <row r="130" spans="1:80" ht="13">
      <c r="A130" s="1">
        <v>1815</v>
      </c>
      <c r="B130" s="2" t="s">
        <v>179</v>
      </c>
      <c r="C130" s="289">
        <v>1232</v>
      </c>
      <c r="D130" s="289">
        <v>18</v>
      </c>
      <c r="E130" s="289">
        <v>38</v>
      </c>
      <c r="F130" s="289">
        <v>138</v>
      </c>
      <c r="G130" s="289">
        <v>106</v>
      </c>
      <c r="H130" s="289">
        <v>647</v>
      </c>
      <c r="I130" s="289">
        <v>210</v>
      </c>
      <c r="J130" s="289">
        <v>54</v>
      </c>
      <c r="K130" s="289">
        <v>18</v>
      </c>
      <c r="L130" s="289">
        <v>9</v>
      </c>
      <c r="M130" s="289">
        <v>153</v>
      </c>
      <c r="N130" s="290">
        <v>0</v>
      </c>
      <c r="O130" s="290">
        <v>13</v>
      </c>
      <c r="P130" s="624">
        <v>5740.3073333299999</v>
      </c>
      <c r="Q130" s="624">
        <v>5907.6450000000004</v>
      </c>
      <c r="R130" s="624">
        <v>2</v>
      </c>
      <c r="S130" s="289"/>
      <c r="T130" s="289">
        <v>98</v>
      </c>
      <c r="U130" s="716">
        <v>1.3753266321137692E-3</v>
      </c>
      <c r="V130" s="289">
        <v>616.57814858999996</v>
      </c>
      <c r="W130" s="743">
        <v>1</v>
      </c>
      <c r="X130" s="289">
        <v>809</v>
      </c>
      <c r="Y130" s="289">
        <v>414.28399999999999</v>
      </c>
      <c r="Z130" s="289">
        <v>27921</v>
      </c>
      <c r="AA130" s="289">
        <v>0</v>
      </c>
      <c r="AB130" s="290">
        <v>21</v>
      </c>
      <c r="AC130" s="289">
        <v>0</v>
      </c>
      <c r="AD130" s="289">
        <v>0</v>
      </c>
      <c r="AE130" s="289">
        <v>0</v>
      </c>
      <c r="AF130" s="289">
        <v>0</v>
      </c>
      <c r="AG130" s="289">
        <v>1229</v>
      </c>
      <c r="AH130" s="289">
        <v>173.61548798000001</v>
      </c>
      <c r="AI130" s="289">
        <f>6450-5500</f>
        <v>950</v>
      </c>
      <c r="AJ130" s="289">
        <v>0</v>
      </c>
      <c r="AK130" s="289">
        <v>0</v>
      </c>
      <c r="AL130" s="289">
        <v>2147</v>
      </c>
      <c r="AM130" s="836">
        <v>5.7470899999999998E-3</v>
      </c>
      <c r="AN130" s="289">
        <v>0</v>
      </c>
      <c r="AO130" s="289">
        <v>58.82646665</v>
      </c>
      <c r="AP130" s="289">
        <v>0</v>
      </c>
      <c r="AQ130" s="289">
        <v>0</v>
      </c>
      <c r="AR130" s="289">
        <v>99.230942519999999</v>
      </c>
      <c r="AS130" s="289"/>
      <c r="AT130" s="289">
        <v>51</v>
      </c>
      <c r="AU130" s="289">
        <v>4</v>
      </c>
      <c r="AV130" s="625">
        <v>56571</v>
      </c>
      <c r="AW130" s="289"/>
      <c r="AX130" s="625">
        <v>3.895</v>
      </c>
      <c r="AY130" s="289">
        <v>202</v>
      </c>
      <c r="AZ130" s="289">
        <v>42</v>
      </c>
      <c r="BA130" s="290">
        <v>19</v>
      </c>
      <c r="BB130" s="289">
        <v>5698</v>
      </c>
      <c r="BC130" s="289">
        <v>579.70387878999998</v>
      </c>
      <c r="BD130" s="289">
        <v>13.714276110997666</v>
      </c>
      <c r="BE130" s="289">
        <v>55425.690213610003</v>
      </c>
      <c r="BF130" s="289">
        <v>0</v>
      </c>
      <c r="BG130" s="289">
        <v>-53.842199999999998</v>
      </c>
      <c r="BH130" s="289">
        <v>-3.4701</v>
      </c>
      <c r="BI130" s="289">
        <v>587.89948798</v>
      </c>
      <c r="BJ130" s="289">
        <v>0</v>
      </c>
      <c r="BK130" s="289">
        <v>0</v>
      </c>
      <c r="BL130" s="289">
        <v>0</v>
      </c>
      <c r="BM130" s="289">
        <v>0</v>
      </c>
      <c r="BN130" s="289">
        <v>114.00363261682122</v>
      </c>
      <c r="BO130" s="289">
        <v>85.911150817919733</v>
      </c>
      <c r="BP130" s="289">
        <v>111.274938315387</v>
      </c>
      <c r="BQ130" s="289">
        <v>178.51739684836718</v>
      </c>
      <c r="BR130" s="289">
        <v>0.92952315863428625</v>
      </c>
      <c r="BS130" s="289">
        <v>0.5846115502188427</v>
      </c>
      <c r="BT130" s="289">
        <v>0</v>
      </c>
      <c r="BU130" s="289">
        <v>0</v>
      </c>
      <c r="BV130" s="289">
        <v>12.515472352235296</v>
      </c>
      <c r="BW130" s="517"/>
      <c r="BX130" s="517"/>
      <c r="CA130" s="517"/>
      <c r="CB130" s="517"/>
    </row>
    <row r="131" spans="1:80" ht="13">
      <c r="A131" s="1">
        <v>1816</v>
      </c>
      <c r="B131" s="2" t="s">
        <v>180</v>
      </c>
      <c r="C131" s="289">
        <v>497</v>
      </c>
      <c r="D131" s="289">
        <v>10</v>
      </c>
      <c r="E131" s="289">
        <v>23</v>
      </c>
      <c r="F131" s="289">
        <v>49</v>
      </c>
      <c r="G131" s="289">
        <v>44</v>
      </c>
      <c r="H131" s="289">
        <v>261</v>
      </c>
      <c r="I131" s="289">
        <v>90</v>
      </c>
      <c r="J131" s="289">
        <v>21</v>
      </c>
      <c r="K131" s="289">
        <v>4</v>
      </c>
      <c r="L131" s="289">
        <v>7</v>
      </c>
      <c r="M131" s="289">
        <v>54</v>
      </c>
      <c r="N131" s="290">
        <v>1.5</v>
      </c>
      <c r="O131" s="290">
        <v>11</v>
      </c>
      <c r="P131" s="624">
        <v>3426.0883333299998</v>
      </c>
      <c r="Q131" s="624">
        <v>5480.4480000000003</v>
      </c>
      <c r="R131" s="624">
        <v>1</v>
      </c>
      <c r="S131" s="289"/>
      <c r="T131" s="289">
        <v>42</v>
      </c>
      <c r="U131" s="716">
        <v>8.3839701106898064E-4</v>
      </c>
      <c r="V131" s="289">
        <v>341.37606183000003</v>
      </c>
      <c r="W131" s="743">
        <v>1</v>
      </c>
      <c r="X131" s="289">
        <v>0</v>
      </c>
      <c r="Y131" s="289">
        <v>414.28399999999999</v>
      </c>
      <c r="Z131" s="289">
        <v>13562</v>
      </c>
      <c r="AA131" s="289">
        <v>0</v>
      </c>
      <c r="AB131" s="290">
        <v>9</v>
      </c>
      <c r="AC131" s="289">
        <v>0</v>
      </c>
      <c r="AD131" s="289">
        <v>0</v>
      </c>
      <c r="AE131" s="289">
        <v>0</v>
      </c>
      <c r="AF131" s="289">
        <v>0</v>
      </c>
      <c r="AG131" s="289">
        <v>502</v>
      </c>
      <c r="AH131" s="289">
        <v>100</v>
      </c>
      <c r="AI131" s="289">
        <v>0</v>
      </c>
      <c r="AJ131" s="289">
        <v>0</v>
      </c>
      <c r="AK131" s="289">
        <v>0</v>
      </c>
      <c r="AL131" s="289">
        <v>890</v>
      </c>
      <c r="AM131" s="836">
        <v>5.4133000000000002E-3</v>
      </c>
      <c r="AN131" s="289">
        <v>0</v>
      </c>
      <c r="AO131" s="289">
        <v>32.569995489999997</v>
      </c>
      <c r="AP131" s="289">
        <v>0</v>
      </c>
      <c r="AQ131" s="289">
        <v>0</v>
      </c>
      <c r="AR131" s="289">
        <v>-26.72030561</v>
      </c>
      <c r="AS131" s="289"/>
      <c r="AT131" s="289">
        <v>21</v>
      </c>
      <c r="AU131" s="289">
        <v>3</v>
      </c>
      <c r="AV131" s="625">
        <v>36786</v>
      </c>
      <c r="AW131" s="289"/>
      <c r="AX131" s="625">
        <v>1.8583333500000001</v>
      </c>
      <c r="AY131" s="289">
        <v>72</v>
      </c>
      <c r="AZ131" s="289">
        <v>22</v>
      </c>
      <c r="BA131" s="290">
        <v>9</v>
      </c>
      <c r="BB131" s="289">
        <v>5698</v>
      </c>
      <c r="BC131" s="289">
        <v>516.27171716999999</v>
      </c>
      <c r="BD131" s="289">
        <v>6.1317634714081759</v>
      </c>
      <c r="BE131" s="289">
        <v>37593.624979569999</v>
      </c>
      <c r="BF131" s="289">
        <v>0</v>
      </c>
      <c r="BG131" s="289">
        <v>-27.4467</v>
      </c>
      <c r="BH131" s="289">
        <v>-1.4174</v>
      </c>
      <c r="BI131" s="289">
        <v>514.28399999999999</v>
      </c>
      <c r="BJ131" s="289">
        <v>0</v>
      </c>
      <c r="BK131" s="289">
        <v>0</v>
      </c>
      <c r="BL131" s="289">
        <v>0</v>
      </c>
      <c r="BM131" s="289">
        <v>0</v>
      </c>
      <c r="BN131" s="289">
        <v>57.149641437877548</v>
      </c>
      <c r="BO131" s="289">
        <v>57.395430239095674</v>
      </c>
      <c r="BP131" s="289">
        <v>45.451602143469714</v>
      </c>
      <c r="BQ131" s="289">
        <v>108.82393203675366</v>
      </c>
      <c r="BR131" s="289">
        <v>0.41559730195099853</v>
      </c>
      <c r="BS131" s="289">
        <v>0.43664537563215772</v>
      </c>
      <c r="BT131" s="289">
        <v>0</v>
      </c>
      <c r="BU131" s="289">
        <v>0</v>
      </c>
      <c r="BV131" s="289">
        <v>7.6294128007277209</v>
      </c>
      <c r="BW131" s="517"/>
      <c r="BX131" s="517"/>
      <c r="CA131" s="517"/>
      <c r="CB131" s="517"/>
    </row>
    <row r="132" spans="1:80" ht="13">
      <c r="A132" s="1">
        <v>1818</v>
      </c>
      <c r="B132" s="2" t="s">
        <v>87</v>
      </c>
      <c r="C132" s="289">
        <v>1780</v>
      </c>
      <c r="D132" s="289">
        <v>42</v>
      </c>
      <c r="E132" s="289">
        <v>79</v>
      </c>
      <c r="F132" s="289">
        <v>197</v>
      </c>
      <c r="G132" s="289">
        <v>124</v>
      </c>
      <c r="H132" s="289">
        <v>1002</v>
      </c>
      <c r="I132" s="289">
        <v>256</v>
      </c>
      <c r="J132" s="289">
        <v>61</v>
      </c>
      <c r="K132" s="289">
        <v>21</v>
      </c>
      <c r="L132" s="289">
        <v>17</v>
      </c>
      <c r="M132" s="289">
        <v>178</v>
      </c>
      <c r="N132" s="290">
        <v>20</v>
      </c>
      <c r="O132" s="290">
        <v>40</v>
      </c>
      <c r="P132" s="624">
        <v>9278.5516666700005</v>
      </c>
      <c r="Q132" s="624">
        <v>4463.768</v>
      </c>
      <c r="R132" s="624">
        <v>9</v>
      </c>
      <c r="S132" s="289"/>
      <c r="T132" s="289">
        <v>151</v>
      </c>
      <c r="U132" s="716">
        <v>7.2018437907277221E-4</v>
      </c>
      <c r="V132" s="289">
        <v>876.19813080999995</v>
      </c>
      <c r="W132" s="743">
        <v>1</v>
      </c>
      <c r="X132" s="289">
        <v>0</v>
      </c>
      <c r="Y132" s="289">
        <v>414.28399999999999</v>
      </c>
      <c r="Z132" s="289">
        <v>51439</v>
      </c>
      <c r="AA132" s="289">
        <v>0</v>
      </c>
      <c r="AB132" s="290">
        <v>47</v>
      </c>
      <c r="AC132" s="289">
        <v>0</v>
      </c>
      <c r="AD132" s="289">
        <v>0</v>
      </c>
      <c r="AE132" s="289">
        <v>0</v>
      </c>
      <c r="AF132" s="289">
        <v>0</v>
      </c>
      <c r="AG132" s="289">
        <v>1782</v>
      </c>
      <c r="AH132" s="289">
        <v>264.95536318000001</v>
      </c>
      <c r="AI132" s="289">
        <v>0</v>
      </c>
      <c r="AJ132" s="289">
        <v>0</v>
      </c>
      <c r="AK132" s="289">
        <v>0</v>
      </c>
      <c r="AL132" s="289">
        <v>3147</v>
      </c>
      <c r="AM132" s="836">
        <v>6.4404980000000001E-2</v>
      </c>
      <c r="AN132" s="289">
        <v>0</v>
      </c>
      <c r="AO132" s="289">
        <v>83.596280930000006</v>
      </c>
      <c r="AP132" s="289">
        <v>0</v>
      </c>
      <c r="AQ132" s="289">
        <v>0</v>
      </c>
      <c r="AR132" s="289">
        <v>-94.851762149999999</v>
      </c>
      <c r="AS132" s="289"/>
      <c r="AT132" s="289">
        <v>67</v>
      </c>
      <c r="AU132" s="289">
        <v>40</v>
      </c>
      <c r="AV132" s="625">
        <v>69446</v>
      </c>
      <c r="AW132" s="289"/>
      <c r="AX132" s="625">
        <v>14.269999950000001</v>
      </c>
      <c r="AY132" s="289">
        <v>218</v>
      </c>
      <c r="AZ132" s="289">
        <v>77</v>
      </c>
      <c r="BA132" s="290">
        <v>37</v>
      </c>
      <c r="BB132" s="289">
        <v>5698</v>
      </c>
      <c r="BC132" s="289">
        <v>656.72864646999994</v>
      </c>
      <c r="BD132" s="289">
        <v>28.503004602150178</v>
      </c>
      <c r="BE132" s="289">
        <v>74175.188015749998</v>
      </c>
      <c r="BF132" s="289">
        <v>0</v>
      </c>
      <c r="BG132" s="289">
        <v>-73.796300000000002</v>
      </c>
      <c r="BH132" s="289">
        <v>-5.0315000000000003</v>
      </c>
      <c r="BI132" s="289">
        <v>679.23936318000005</v>
      </c>
      <c r="BJ132" s="289">
        <v>0</v>
      </c>
      <c r="BK132" s="289">
        <v>0</v>
      </c>
      <c r="BL132" s="289">
        <v>0</v>
      </c>
      <c r="BM132" s="289">
        <v>0</v>
      </c>
      <c r="BN132" s="289">
        <v>157.26300291370873</v>
      </c>
      <c r="BO132" s="289">
        <v>103.28125138688993</v>
      </c>
      <c r="BP132" s="289">
        <v>161.34413350530482</v>
      </c>
      <c r="BQ132" s="289">
        <v>93.479932403645847</v>
      </c>
      <c r="BR132" s="289">
        <v>1.9318703119235123</v>
      </c>
      <c r="BS132" s="289">
        <v>0.69871718704534636</v>
      </c>
      <c r="BT132" s="289">
        <v>0</v>
      </c>
      <c r="BU132" s="289">
        <v>0</v>
      </c>
      <c r="BV132" s="289">
        <v>6.5536778495622272</v>
      </c>
      <c r="BW132" s="517"/>
      <c r="BX132" s="517"/>
      <c r="CA132" s="517"/>
      <c r="CB132" s="517"/>
    </row>
    <row r="133" spans="1:80" ht="13">
      <c r="A133" s="1">
        <v>1820</v>
      </c>
      <c r="B133" s="2" t="s">
        <v>181</v>
      </c>
      <c r="C133" s="289">
        <v>7415</v>
      </c>
      <c r="D133" s="289">
        <v>143</v>
      </c>
      <c r="E133" s="289">
        <v>326</v>
      </c>
      <c r="F133" s="289">
        <v>868</v>
      </c>
      <c r="G133" s="289">
        <v>689</v>
      </c>
      <c r="H133" s="289">
        <v>4142</v>
      </c>
      <c r="I133" s="289">
        <v>987</v>
      </c>
      <c r="J133" s="289">
        <v>262</v>
      </c>
      <c r="K133" s="289">
        <v>55</v>
      </c>
      <c r="L133" s="289">
        <v>63</v>
      </c>
      <c r="M133" s="289">
        <v>565</v>
      </c>
      <c r="N133" s="290">
        <v>142</v>
      </c>
      <c r="O133" s="290">
        <v>114</v>
      </c>
      <c r="P133" s="624">
        <v>44497.670333330003</v>
      </c>
      <c r="Q133" s="624">
        <v>13395.662333329999</v>
      </c>
      <c r="R133" s="624">
        <v>41</v>
      </c>
      <c r="S133" s="289"/>
      <c r="T133" s="289">
        <v>605</v>
      </c>
      <c r="U133" s="716">
        <v>1.7162713926987718E-3</v>
      </c>
      <c r="V133" s="289">
        <v>3110.4733912500001</v>
      </c>
      <c r="W133" s="743">
        <v>0.60782521</v>
      </c>
      <c r="X133" s="289">
        <v>3476</v>
      </c>
      <c r="Y133" s="289">
        <v>414.28399999999999</v>
      </c>
      <c r="Z133" s="289">
        <v>193762</v>
      </c>
      <c r="AA133" s="289">
        <v>0</v>
      </c>
      <c r="AB133" s="290">
        <v>183</v>
      </c>
      <c r="AC133" s="289">
        <v>891.5</v>
      </c>
      <c r="AD133" s="289">
        <v>0</v>
      </c>
      <c r="AE133" s="289">
        <v>0</v>
      </c>
      <c r="AF133" s="289">
        <v>0</v>
      </c>
      <c r="AG133" s="289">
        <v>7472</v>
      </c>
      <c r="AH133" s="289">
        <v>1204.84965152</v>
      </c>
      <c r="AI133" s="289">
        <f>1500+5500</f>
        <v>7000</v>
      </c>
      <c r="AJ133" s="289">
        <v>0</v>
      </c>
      <c r="AK133" s="289">
        <v>0</v>
      </c>
      <c r="AL133" s="289">
        <v>13097</v>
      </c>
      <c r="AM133" s="836">
        <v>0.12132408</v>
      </c>
      <c r="AN133" s="289">
        <v>0</v>
      </c>
      <c r="AO133" s="289">
        <v>296.76393761999998</v>
      </c>
      <c r="AP133" s="289">
        <v>0</v>
      </c>
      <c r="AQ133" s="289">
        <v>0</v>
      </c>
      <c r="AR133" s="289">
        <v>-397.71737753000002</v>
      </c>
      <c r="AS133" s="289"/>
      <c r="AT133" s="289">
        <v>305</v>
      </c>
      <c r="AU133" s="289">
        <v>83</v>
      </c>
      <c r="AV133" s="625">
        <v>210741</v>
      </c>
      <c r="AW133" s="289"/>
      <c r="AX133" s="625">
        <v>41.024999950000002</v>
      </c>
      <c r="AY133" s="289">
        <v>1612</v>
      </c>
      <c r="AZ133" s="289">
        <v>266</v>
      </c>
      <c r="BA133" s="290">
        <v>194</v>
      </c>
      <c r="BB133" s="289">
        <v>0</v>
      </c>
      <c r="BC133" s="289">
        <v>1574.2295555799999</v>
      </c>
      <c r="BD133" s="289">
        <v>110.33736930162711</v>
      </c>
      <c r="BE133" s="289">
        <v>216098.77404207</v>
      </c>
      <c r="BF133" s="289">
        <v>0</v>
      </c>
      <c r="BG133" s="289">
        <v>-281.04820000000001</v>
      </c>
      <c r="BH133" s="289">
        <v>-21.0974</v>
      </c>
      <c r="BI133" s="289">
        <v>1619.1336515200001</v>
      </c>
      <c r="BJ133" s="289">
        <v>0</v>
      </c>
      <c r="BK133" s="289">
        <v>0</v>
      </c>
      <c r="BL133" s="289">
        <v>0</v>
      </c>
      <c r="BM133" s="289">
        <v>0</v>
      </c>
      <c r="BN133" s="289">
        <v>549.76715768144368</v>
      </c>
      <c r="BO133" s="289">
        <v>307.12898844262611</v>
      </c>
      <c r="BP133" s="289">
        <v>676.52265182471251</v>
      </c>
      <c r="BQ133" s="289">
        <v>222.77202677230056</v>
      </c>
      <c r="BR133" s="289">
        <v>7.4784216971102815</v>
      </c>
      <c r="BS133" s="289">
        <v>1.733669386328559</v>
      </c>
      <c r="BT133" s="289">
        <v>0</v>
      </c>
      <c r="BU133" s="289">
        <v>0</v>
      </c>
      <c r="BV133" s="289">
        <v>15.61806967355882</v>
      </c>
      <c r="BW133" s="517"/>
      <c r="BX133" s="517"/>
      <c r="CA133" s="517"/>
      <c r="CB133" s="517"/>
    </row>
    <row r="134" spans="1:80" ht="13">
      <c r="A134" s="1">
        <v>1822</v>
      </c>
      <c r="B134" s="2" t="s">
        <v>182</v>
      </c>
      <c r="C134" s="289">
        <v>2320</v>
      </c>
      <c r="D134" s="289">
        <v>60</v>
      </c>
      <c r="E134" s="289">
        <v>148</v>
      </c>
      <c r="F134" s="289">
        <v>256</v>
      </c>
      <c r="G134" s="289">
        <v>183</v>
      </c>
      <c r="H134" s="289">
        <v>1270</v>
      </c>
      <c r="I134" s="289">
        <v>261</v>
      </c>
      <c r="J134" s="289">
        <v>87</v>
      </c>
      <c r="K134" s="289">
        <v>32</v>
      </c>
      <c r="L134" s="289">
        <v>18</v>
      </c>
      <c r="M134" s="289">
        <v>199</v>
      </c>
      <c r="N134" s="290">
        <v>43</v>
      </c>
      <c r="O134" s="290">
        <v>47</v>
      </c>
      <c r="P134" s="624">
        <v>17747.113333329999</v>
      </c>
      <c r="Q134" s="624">
        <v>9210.9459999999999</v>
      </c>
      <c r="R134" s="624">
        <v>10</v>
      </c>
      <c r="S134" s="289"/>
      <c r="T134" s="289">
        <v>172</v>
      </c>
      <c r="U134" s="716">
        <v>1.8291738210883151E-3</v>
      </c>
      <c r="V134" s="289">
        <v>1133.50206923</v>
      </c>
      <c r="W134" s="743">
        <v>0.84211448</v>
      </c>
      <c r="X134" s="289">
        <v>1808</v>
      </c>
      <c r="Y134" s="289">
        <v>414.28399999999999</v>
      </c>
      <c r="Z134" s="289">
        <v>50052</v>
      </c>
      <c r="AA134" s="289">
        <v>0</v>
      </c>
      <c r="AB134" s="290">
        <v>56</v>
      </c>
      <c r="AC134" s="289">
        <v>0</v>
      </c>
      <c r="AD134" s="289">
        <v>0</v>
      </c>
      <c r="AE134" s="289">
        <v>517</v>
      </c>
      <c r="AF134" s="289">
        <v>0</v>
      </c>
      <c r="AG134" s="289">
        <v>2297</v>
      </c>
      <c r="AH134" s="289">
        <v>388.36878235</v>
      </c>
      <c r="AI134" s="289">
        <v>0</v>
      </c>
      <c r="AJ134" s="289">
        <v>0</v>
      </c>
      <c r="AK134" s="289">
        <v>0</v>
      </c>
      <c r="AL134" s="289">
        <v>4056</v>
      </c>
      <c r="AM134" s="836">
        <v>5.8465509999999998E-2</v>
      </c>
      <c r="AN134" s="289">
        <v>0</v>
      </c>
      <c r="AO134" s="289">
        <v>108.14512618000001</v>
      </c>
      <c r="AP134" s="289">
        <v>0</v>
      </c>
      <c r="AQ134" s="289">
        <v>0</v>
      </c>
      <c r="AR134" s="289">
        <v>-122.26402786</v>
      </c>
      <c r="AS134" s="289"/>
      <c r="AT134" s="289">
        <v>88</v>
      </c>
      <c r="AU134" s="289">
        <v>34</v>
      </c>
      <c r="AV134" s="625">
        <v>88060</v>
      </c>
      <c r="AW134" s="289"/>
      <c r="AX134" s="625">
        <v>22.823333349999999</v>
      </c>
      <c r="AY134" s="289">
        <v>406</v>
      </c>
      <c r="AZ134" s="289">
        <v>104</v>
      </c>
      <c r="BA134" s="290">
        <v>53</v>
      </c>
      <c r="BB134" s="289">
        <v>5698</v>
      </c>
      <c r="BC134" s="289">
        <v>773.39851515999999</v>
      </c>
      <c r="BD134" s="289">
        <v>34.361661809416482</v>
      </c>
      <c r="BE134" s="289">
        <v>96746.892939169993</v>
      </c>
      <c r="BF134" s="289">
        <v>0</v>
      </c>
      <c r="BG134" s="289">
        <v>-93.486099999999993</v>
      </c>
      <c r="BH134" s="289">
        <v>-6.4855999999999998</v>
      </c>
      <c r="BI134" s="289">
        <v>802.65278235000005</v>
      </c>
      <c r="BJ134" s="289">
        <v>0</v>
      </c>
      <c r="BK134" s="289">
        <v>0</v>
      </c>
      <c r="BL134" s="289">
        <v>0</v>
      </c>
      <c r="BM134" s="289">
        <v>0</v>
      </c>
      <c r="BN134" s="289">
        <v>189.60385827125847</v>
      </c>
      <c r="BO134" s="289">
        <v>120.66883611968703</v>
      </c>
      <c r="BP134" s="289">
        <v>207.97276917041819</v>
      </c>
      <c r="BQ134" s="289">
        <v>237.42676197726323</v>
      </c>
      <c r="BR134" s="289">
        <v>2.3289570781937843</v>
      </c>
      <c r="BS134" s="289">
        <v>0.75381947645724079</v>
      </c>
      <c r="BT134" s="289">
        <v>0</v>
      </c>
      <c r="BU134" s="289">
        <v>0</v>
      </c>
      <c r="BV134" s="289">
        <v>16.645481771903665</v>
      </c>
      <c r="BW134" s="517"/>
      <c r="BX134" s="517"/>
      <c r="CA134" s="517"/>
      <c r="CB134" s="517"/>
    </row>
    <row r="135" spans="1:80" ht="13">
      <c r="A135" s="1">
        <v>1824</v>
      </c>
      <c r="B135" s="2" t="s">
        <v>183</v>
      </c>
      <c r="C135" s="289">
        <v>13403</v>
      </c>
      <c r="D135" s="289">
        <v>250</v>
      </c>
      <c r="E135" s="289">
        <v>559</v>
      </c>
      <c r="F135" s="289">
        <v>1484</v>
      </c>
      <c r="G135" s="289">
        <v>1219</v>
      </c>
      <c r="H135" s="289">
        <v>7394</v>
      </c>
      <c r="I135" s="289">
        <v>1765</v>
      </c>
      <c r="J135" s="289">
        <v>616</v>
      </c>
      <c r="K135" s="289">
        <v>148</v>
      </c>
      <c r="L135" s="289">
        <v>104</v>
      </c>
      <c r="M135" s="289">
        <v>1163</v>
      </c>
      <c r="N135" s="290">
        <v>146</v>
      </c>
      <c r="O135" s="290">
        <v>85</v>
      </c>
      <c r="P135" s="624">
        <v>52839.392666669999</v>
      </c>
      <c r="Q135" s="624">
        <v>26999.571666669999</v>
      </c>
      <c r="R135" s="624">
        <v>80</v>
      </c>
      <c r="S135" s="289"/>
      <c r="T135" s="289">
        <v>1157</v>
      </c>
      <c r="U135" s="716">
        <v>2.8654748703382613E-3</v>
      </c>
      <c r="V135" s="289">
        <v>5535.0836295500003</v>
      </c>
      <c r="W135" s="743">
        <v>0.59560683000000003</v>
      </c>
      <c r="X135" s="289">
        <v>0</v>
      </c>
      <c r="Y135" s="289">
        <v>414.28399999999999</v>
      </c>
      <c r="Z135" s="289">
        <v>353905</v>
      </c>
      <c r="AA135" s="289">
        <v>0</v>
      </c>
      <c r="AB135" s="290">
        <v>393</v>
      </c>
      <c r="AC135" s="289">
        <v>925</v>
      </c>
      <c r="AD135" s="289">
        <v>0</v>
      </c>
      <c r="AE135" s="289">
        <v>0</v>
      </c>
      <c r="AF135" s="289">
        <v>0</v>
      </c>
      <c r="AG135" s="289">
        <v>13435</v>
      </c>
      <c r="AH135" s="289">
        <v>2081.2941028800001</v>
      </c>
      <c r="AI135" s="289">
        <v>1210</v>
      </c>
      <c r="AJ135" s="289">
        <v>0</v>
      </c>
      <c r="AK135" s="289">
        <v>2645.355</v>
      </c>
      <c r="AL135" s="289">
        <v>23642</v>
      </c>
      <c r="AM135" s="836">
        <v>0.11632199</v>
      </c>
      <c r="AN135" s="289">
        <v>0</v>
      </c>
      <c r="AO135" s="289">
        <v>537.21206878999999</v>
      </c>
      <c r="AP135" s="289">
        <v>0</v>
      </c>
      <c r="AQ135" s="289">
        <v>0</v>
      </c>
      <c r="AR135" s="289">
        <v>-715.11415511999996</v>
      </c>
      <c r="AS135" s="289"/>
      <c r="AT135" s="289">
        <v>718</v>
      </c>
      <c r="AU135" s="289">
        <v>83</v>
      </c>
      <c r="AV135" s="625">
        <v>369437</v>
      </c>
      <c r="AW135" s="289"/>
      <c r="AX135" s="625">
        <v>112.89</v>
      </c>
      <c r="AY135" s="289">
        <v>2562</v>
      </c>
      <c r="AZ135" s="289">
        <v>353</v>
      </c>
      <c r="BA135" s="290">
        <v>313</v>
      </c>
      <c r="BB135" s="289">
        <v>0</v>
      </c>
      <c r="BC135" s="289">
        <v>2443.0236263100001</v>
      </c>
      <c r="BD135" s="289">
        <v>191.52126316574765</v>
      </c>
      <c r="BE135" s="289">
        <v>386810.55248031003</v>
      </c>
      <c r="BF135" s="289">
        <v>0</v>
      </c>
      <c r="BG135" s="289">
        <v>-461.8306</v>
      </c>
      <c r="BH135" s="289">
        <v>-37.934100000000001</v>
      </c>
      <c r="BI135" s="289">
        <v>2495.5781028800002</v>
      </c>
      <c r="BJ135" s="289">
        <v>0</v>
      </c>
      <c r="BK135" s="289">
        <v>0</v>
      </c>
      <c r="BL135" s="289">
        <v>0</v>
      </c>
      <c r="BM135" s="289">
        <v>0</v>
      </c>
      <c r="BN135" s="289">
        <v>1095.9180082533419</v>
      </c>
      <c r="BO135" s="289">
        <v>538.56746444308703</v>
      </c>
      <c r="BP135" s="289">
        <v>1216.4188740986367</v>
      </c>
      <c r="BQ135" s="289">
        <v>371.93863816990626</v>
      </c>
      <c r="BR135" s="289">
        <v>12.980885614567343</v>
      </c>
      <c r="BS135" s="289">
        <v>2.9510413739445935</v>
      </c>
      <c r="BT135" s="289">
        <v>0</v>
      </c>
      <c r="BU135" s="289">
        <v>0</v>
      </c>
      <c r="BV135" s="289">
        <v>26.075821320078177</v>
      </c>
      <c r="BW135" s="517"/>
      <c r="BX135" s="517"/>
      <c r="CA135" s="517"/>
      <c r="CB135" s="517"/>
    </row>
    <row r="136" spans="1:80" ht="13">
      <c r="A136" s="1">
        <v>1825</v>
      </c>
      <c r="B136" s="2" t="s">
        <v>184</v>
      </c>
      <c r="C136" s="289">
        <v>1493</v>
      </c>
      <c r="D136" s="289">
        <v>19</v>
      </c>
      <c r="E136" s="289">
        <v>56</v>
      </c>
      <c r="F136" s="289">
        <v>170</v>
      </c>
      <c r="G136" s="289">
        <v>137</v>
      </c>
      <c r="H136" s="289">
        <v>784</v>
      </c>
      <c r="I136" s="289">
        <v>224</v>
      </c>
      <c r="J136" s="289">
        <v>76</v>
      </c>
      <c r="K136" s="289">
        <v>24</v>
      </c>
      <c r="L136" s="289">
        <v>8</v>
      </c>
      <c r="M136" s="289">
        <v>159</v>
      </c>
      <c r="N136" s="290">
        <v>0</v>
      </c>
      <c r="O136" s="290">
        <v>12</v>
      </c>
      <c r="P136" s="624">
        <v>10946.115333330001</v>
      </c>
      <c r="Q136" s="624">
        <v>8054.5240000000003</v>
      </c>
      <c r="R136" s="624">
        <v>11</v>
      </c>
      <c r="S136" s="289"/>
      <c r="T136" s="289">
        <v>127</v>
      </c>
      <c r="U136" s="716">
        <v>1.1888370807928649E-3</v>
      </c>
      <c r="V136" s="289">
        <v>778.68354950000003</v>
      </c>
      <c r="W136" s="743">
        <v>1</v>
      </c>
      <c r="X136" s="289">
        <v>0</v>
      </c>
      <c r="Y136" s="289">
        <v>414.28399999999999</v>
      </c>
      <c r="Z136" s="289">
        <v>35715</v>
      </c>
      <c r="AA136" s="289">
        <v>0</v>
      </c>
      <c r="AB136" s="290">
        <v>40</v>
      </c>
      <c r="AC136" s="289">
        <v>0</v>
      </c>
      <c r="AD136" s="289">
        <v>0</v>
      </c>
      <c r="AE136" s="289">
        <v>0</v>
      </c>
      <c r="AF136" s="289">
        <v>0</v>
      </c>
      <c r="AG136" s="289">
        <v>1490</v>
      </c>
      <c r="AH136" s="289">
        <v>234.27632113000001</v>
      </c>
      <c r="AI136" s="289">
        <v>0</v>
      </c>
      <c r="AJ136" s="289">
        <v>0</v>
      </c>
      <c r="AK136" s="289">
        <v>0</v>
      </c>
      <c r="AL136" s="289">
        <v>2572</v>
      </c>
      <c r="AM136" s="836">
        <v>3.5470499999999999E-3</v>
      </c>
      <c r="AN136" s="289">
        <v>0</v>
      </c>
      <c r="AO136" s="289">
        <v>74.292613130000007</v>
      </c>
      <c r="AP136" s="289">
        <v>0</v>
      </c>
      <c r="AQ136" s="289">
        <v>0</v>
      </c>
      <c r="AR136" s="289">
        <v>-79.309273619999999</v>
      </c>
      <c r="AS136" s="289"/>
      <c r="AT136" s="289">
        <v>73</v>
      </c>
      <c r="AU136" s="289">
        <v>8</v>
      </c>
      <c r="AV136" s="625">
        <v>66786</v>
      </c>
      <c r="AW136" s="289"/>
      <c r="AX136" s="625">
        <v>8.4600000000000009</v>
      </c>
      <c r="AY136" s="289">
        <v>187</v>
      </c>
      <c r="AZ136" s="289">
        <v>13</v>
      </c>
      <c r="BA136" s="290">
        <v>25</v>
      </c>
      <c r="BB136" s="289">
        <v>5698</v>
      </c>
      <c r="BC136" s="289">
        <v>619.34897980000005</v>
      </c>
      <c r="BD136" s="289">
        <v>18.433121928452397</v>
      </c>
      <c r="BE136" s="289">
        <v>68957.616117600002</v>
      </c>
      <c r="BF136" s="289">
        <v>0</v>
      </c>
      <c r="BG136" s="289">
        <v>-64.745699999999999</v>
      </c>
      <c r="BH136" s="289">
        <v>-4.2070999999999996</v>
      </c>
      <c r="BI136" s="289">
        <v>648.56032113000003</v>
      </c>
      <c r="BJ136" s="289">
        <v>0</v>
      </c>
      <c r="BK136" s="289">
        <v>0</v>
      </c>
      <c r="BL136" s="289">
        <v>0</v>
      </c>
      <c r="BM136" s="289">
        <v>0</v>
      </c>
      <c r="BN136" s="289">
        <v>154.58711804133455</v>
      </c>
      <c r="BO136" s="289">
        <v>98.246663716424536</v>
      </c>
      <c r="BP136" s="289">
        <v>134.90614978838619</v>
      </c>
      <c r="BQ136" s="289">
        <v>154.31105308691383</v>
      </c>
      <c r="BR136" s="289">
        <v>1.2493560418173291</v>
      </c>
      <c r="BS136" s="289">
        <v>0.63867517840377408</v>
      </c>
      <c r="BT136" s="289">
        <v>0</v>
      </c>
      <c r="BU136" s="289">
        <v>0</v>
      </c>
      <c r="BV136" s="289">
        <v>10.818417435215068</v>
      </c>
      <c r="BW136" s="517"/>
      <c r="BX136" s="517"/>
      <c r="CA136" s="517"/>
      <c r="CB136" s="517"/>
    </row>
    <row r="137" spans="1:80" ht="13">
      <c r="A137" s="1">
        <v>1826</v>
      </c>
      <c r="B137" s="2" t="s">
        <v>185</v>
      </c>
      <c r="C137" s="289">
        <v>1359</v>
      </c>
      <c r="D137" s="289">
        <v>16</v>
      </c>
      <c r="E137" s="289">
        <v>48</v>
      </c>
      <c r="F137" s="289">
        <v>171</v>
      </c>
      <c r="G137" s="289">
        <v>123</v>
      </c>
      <c r="H137" s="289">
        <v>697</v>
      </c>
      <c r="I137" s="289">
        <v>238</v>
      </c>
      <c r="J137" s="289">
        <v>78</v>
      </c>
      <c r="K137" s="289">
        <v>22</v>
      </c>
      <c r="L137" s="289">
        <v>9</v>
      </c>
      <c r="M137" s="289">
        <v>137</v>
      </c>
      <c r="N137" s="290">
        <v>14</v>
      </c>
      <c r="O137" s="290">
        <v>21</v>
      </c>
      <c r="P137" s="624">
        <v>14629.43166667</v>
      </c>
      <c r="Q137" s="624">
        <v>10401.871999999999</v>
      </c>
      <c r="R137" s="624">
        <v>9</v>
      </c>
      <c r="S137" s="289"/>
      <c r="T137" s="289">
        <v>102</v>
      </c>
      <c r="U137" s="716">
        <v>2.1446728218533877E-3</v>
      </c>
      <c r="V137" s="289">
        <v>770.15543205999995</v>
      </c>
      <c r="W137" s="743">
        <v>1</v>
      </c>
      <c r="X137" s="289">
        <v>0</v>
      </c>
      <c r="Y137" s="289">
        <v>414.28399999999999</v>
      </c>
      <c r="Z137" s="289">
        <v>29557</v>
      </c>
      <c r="AA137" s="289">
        <v>0</v>
      </c>
      <c r="AB137" s="290">
        <v>25</v>
      </c>
      <c r="AC137" s="289">
        <v>0</v>
      </c>
      <c r="AD137" s="289">
        <v>0</v>
      </c>
      <c r="AE137" s="289">
        <v>0</v>
      </c>
      <c r="AF137" s="289">
        <v>0</v>
      </c>
      <c r="AG137" s="289">
        <v>1393</v>
      </c>
      <c r="AH137" s="289">
        <v>211.26703959</v>
      </c>
      <c r="AI137" s="289">
        <v>0</v>
      </c>
      <c r="AJ137" s="289">
        <v>0</v>
      </c>
      <c r="AK137" s="289">
        <v>0</v>
      </c>
      <c r="AL137" s="289">
        <v>2481</v>
      </c>
      <c r="AM137" s="836">
        <v>1.755168E-2</v>
      </c>
      <c r="AN137" s="289">
        <v>0</v>
      </c>
      <c r="AO137" s="289">
        <v>73.478962800000005</v>
      </c>
      <c r="AP137" s="289">
        <v>0</v>
      </c>
      <c r="AQ137" s="289">
        <v>0</v>
      </c>
      <c r="AR137" s="289">
        <v>-74.14618668</v>
      </c>
      <c r="AS137" s="289"/>
      <c r="AT137" s="289">
        <v>48</v>
      </c>
      <c r="AU137" s="289">
        <v>7</v>
      </c>
      <c r="AV137" s="625">
        <v>66167</v>
      </c>
      <c r="AW137" s="289"/>
      <c r="AX137" s="625">
        <v>6.5433333500000002</v>
      </c>
      <c r="AY137" s="289">
        <v>194</v>
      </c>
      <c r="AZ137" s="289">
        <v>104</v>
      </c>
      <c r="BA137" s="290">
        <v>25</v>
      </c>
      <c r="BB137" s="289">
        <v>5698</v>
      </c>
      <c r="BC137" s="289">
        <v>620.48169697000003</v>
      </c>
      <c r="BD137" s="289">
        <v>16.946431098178756</v>
      </c>
      <c r="BE137" s="289">
        <v>70411.006058629995</v>
      </c>
      <c r="BF137" s="289">
        <v>0</v>
      </c>
      <c r="BG137" s="289">
        <v>-67.619799999999998</v>
      </c>
      <c r="BH137" s="289">
        <v>-3.9331999999999998</v>
      </c>
      <c r="BI137" s="289">
        <v>625.55103958999996</v>
      </c>
      <c r="BJ137" s="289">
        <v>0</v>
      </c>
      <c r="BK137" s="289">
        <v>0</v>
      </c>
      <c r="BL137" s="289">
        <v>0</v>
      </c>
      <c r="BM137" s="289">
        <v>0</v>
      </c>
      <c r="BN137" s="289">
        <v>148.42739927844178</v>
      </c>
      <c r="BO137" s="289">
        <v>99.038765333520359</v>
      </c>
      <c r="BP137" s="289">
        <v>126.12366889612213</v>
      </c>
      <c r="BQ137" s="289">
        <v>278.37853227656967</v>
      </c>
      <c r="BR137" s="289">
        <v>1.1485914410987825</v>
      </c>
      <c r="BS137" s="289">
        <v>0.61807375706026457</v>
      </c>
      <c r="BT137" s="289">
        <v>0</v>
      </c>
      <c r="BU137" s="289">
        <v>0</v>
      </c>
      <c r="BV137" s="289">
        <v>19.516522678865819</v>
      </c>
      <c r="BW137" s="517"/>
      <c r="BX137" s="517"/>
      <c r="CA137" s="517"/>
      <c r="CB137" s="517"/>
    </row>
    <row r="138" spans="1:80" ht="13">
      <c r="A138" s="1">
        <v>1827</v>
      </c>
      <c r="B138" s="2" t="s">
        <v>186</v>
      </c>
      <c r="C138" s="289">
        <v>1391</v>
      </c>
      <c r="D138" s="289">
        <v>16</v>
      </c>
      <c r="E138" s="289">
        <v>43</v>
      </c>
      <c r="F138" s="289">
        <v>170</v>
      </c>
      <c r="G138" s="289">
        <v>136</v>
      </c>
      <c r="H138" s="289">
        <v>746</v>
      </c>
      <c r="I138" s="289">
        <v>222</v>
      </c>
      <c r="J138" s="289">
        <v>58</v>
      </c>
      <c r="K138" s="289">
        <v>13</v>
      </c>
      <c r="L138" s="289">
        <v>14</v>
      </c>
      <c r="M138" s="289">
        <v>132</v>
      </c>
      <c r="N138" s="290">
        <v>6</v>
      </c>
      <c r="O138" s="290">
        <v>13</v>
      </c>
      <c r="P138" s="624">
        <v>17934.917000000001</v>
      </c>
      <c r="Q138" s="624">
        <v>14444.446666669999</v>
      </c>
      <c r="R138" s="624">
        <v>14</v>
      </c>
      <c r="S138" s="289"/>
      <c r="T138" s="289">
        <v>114</v>
      </c>
      <c r="U138" s="716">
        <v>1.6046328926885927E-3</v>
      </c>
      <c r="V138" s="289">
        <v>-1522.0434168500001</v>
      </c>
      <c r="W138" s="743">
        <v>1</v>
      </c>
      <c r="X138" s="289">
        <v>1019</v>
      </c>
      <c r="Y138" s="289">
        <v>414.28399999999999</v>
      </c>
      <c r="Z138" s="289">
        <v>43441</v>
      </c>
      <c r="AA138" s="289">
        <v>0</v>
      </c>
      <c r="AB138" s="290">
        <v>31</v>
      </c>
      <c r="AC138" s="289">
        <v>0</v>
      </c>
      <c r="AD138" s="289">
        <v>0</v>
      </c>
      <c r="AE138" s="289">
        <v>0</v>
      </c>
      <c r="AF138" s="289">
        <v>0</v>
      </c>
      <c r="AG138" s="289">
        <v>1404</v>
      </c>
      <c r="AH138" s="289">
        <v>213.35879245999999</v>
      </c>
      <c r="AI138" s="289">
        <v>0</v>
      </c>
      <c r="AJ138" s="289">
        <v>0</v>
      </c>
      <c r="AK138" s="289">
        <v>0</v>
      </c>
      <c r="AL138" s="289">
        <v>2466</v>
      </c>
      <c r="AM138" s="836">
        <v>1.8776589999999999E-2</v>
      </c>
      <c r="AN138" s="289">
        <v>0</v>
      </c>
      <c r="AO138" s="289">
        <v>73.688970139999995</v>
      </c>
      <c r="AP138" s="289">
        <v>0</v>
      </c>
      <c r="AQ138" s="289">
        <v>0</v>
      </c>
      <c r="AR138" s="289">
        <v>-74.731691389999995</v>
      </c>
      <c r="AS138" s="289"/>
      <c r="AT138" s="289">
        <v>56</v>
      </c>
      <c r="AU138" s="289">
        <v>11</v>
      </c>
      <c r="AV138" s="625">
        <v>67242</v>
      </c>
      <c r="AW138" s="289"/>
      <c r="AX138" s="625">
        <v>2.7216667000000001</v>
      </c>
      <c r="AY138" s="289">
        <v>253</v>
      </c>
      <c r="AZ138" s="289">
        <v>60</v>
      </c>
      <c r="BA138" s="290">
        <v>32</v>
      </c>
      <c r="BB138" s="289">
        <v>5698</v>
      </c>
      <c r="BC138" s="289">
        <v>619.34897980000005</v>
      </c>
      <c r="BD138" s="289">
        <v>18.132443132944946</v>
      </c>
      <c r="BE138" s="289">
        <v>69105.218450040004</v>
      </c>
      <c r="BF138" s="289">
        <v>0</v>
      </c>
      <c r="BG138" s="289">
        <v>-68.687200000000004</v>
      </c>
      <c r="BH138" s="289">
        <v>-3.9641999999999999</v>
      </c>
      <c r="BI138" s="289">
        <v>627.64279246000001</v>
      </c>
      <c r="BJ138" s="289">
        <v>0</v>
      </c>
      <c r="BK138" s="289">
        <v>0</v>
      </c>
      <c r="BL138" s="289">
        <v>0</v>
      </c>
      <c r="BM138" s="289">
        <v>0</v>
      </c>
      <c r="BN138" s="289">
        <v>152.22070403961533</v>
      </c>
      <c r="BO138" s="289">
        <v>100.2276083373567</v>
      </c>
      <c r="BP138" s="289">
        <v>127.1196203375129</v>
      </c>
      <c r="BQ138" s="289">
        <v>208.28134947097931</v>
      </c>
      <c r="BR138" s="289">
        <v>1.2289767012329351</v>
      </c>
      <c r="BS138" s="289">
        <v>0.62068622726721223</v>
      </c>
      <c r="BT138" s="289">
        <v>0</v>
      </c>
      <c r="BU138" s="289">
        <v>0</v>
      </c>
      <c r="BV138" s="289">
        <v>14.602159323466189</v>
      </c>
      <c r="BW138" s="517"/>
      <c r="BX138" s="517"/>
      <c r="CA138" s="517"/>
      <c r="CB138" s="517"/>
    </row>
    <row r="139" spans="1:80" ht="13">
      <c r="A139" s="1">
        <v>1828</v>
      </c>
      <c r="B139" s="2" t="s">
        <v>187</v>
      </c>
      <c r="C139" s="289">
        <v>1792</v>
      </c>
      <c r="D139" s="289">
        <v>28</v>
      </c>
      <c r="E139" s="289">
        <v>79</v>
      </c>
      <c r="F139" s="289">
        <v>221</v>
      </c>
      <c r="G139" s="289">
        <v>189</v>
      </c>
      <c r="H139" s="289">
        <v>999</v>
      </c>
      <c r="I139" s="289">
        <v>219</v>
      </c>
      <c r="J139" s="289">
        <v>66</v>
      </c>
      <c r="K139" s="289">
        <v>25</v>
      </c>
      <c r="L139" s="289">
        <v>16</v>
      </c>
      <c r="M139" s="289">
        <v>145</v>
      </c>
      <c r="N139" s="290">
        <v>38</v>
      </c>
      <c r="O139" s="290">
        <v>38</v>
      </c>
      <c r="P139" s="624">
        <v>7602.27233333</v>
      </c>
      <c r="Q139" s="624">
        <v>4623.4963333300002</v>
      </c>
      <c r="R139" s="624">
        <v>8</v>
      </c>
      <c r="S139" s="289"/>
      <c r="T139" s="289">
        <v>165</v>
      </c>
      <c r="U139" s="716">
        <v>1.1872597546050286E-3</v>
      </c>
      <c r="V139" s="289">
        <v>895.09024376000002</v>
      </c>
      <c r="W139" s="743">
        <v>1</v>
      </c>
      <c r="X139" s="289">
        <v>1114</v>
      </c>
      <c r="Y139" s="289">
        <v>335.12799999999999</v>
      </c>
      <c r="Z139" s="289">
        <v>43755</v>
      </c>
      <c r="AA139" s="289">
        <v>0</v>
      </c>
      <c r="AB139" s="290">
        <v>39</v>
      </c>
      <c r="AC139" s="289">
        <v>0</v>
      </c>
      <c r="AD139" s="289">
        <v>0</v>
      </c>
      <c r="AE139" s="289">
        <v>0</v>
      </c>
      <c r="AF139" s="289">
        <v>0</v>
      </c>
      <c r="AG139" s="289">
        <v>1826</v>
      </c>
      <c r="AH139" s="289">
        <v>301.90966383</v>
      </c>
      <c r="AI139" s="289">
        <v>0</v>
      </c>
      <c r="AJ139" s="289">
        <v>0</v>
      </c>
      <c r="AK139" s="289">
        <v>0</v>
      </c>
      <c r="AL139" s="289">
        <v>3173</v>
      </c>
      <c r="AM139" s="836">
        <v>5.5232539999999997E-2</v>
      </c>
      <c r="AN139" s="289">
        <v>0</v>
      </c>
      <c r="AO139" s="289">
        <v>85.398738989999998</v>
      </c>
      <c r="AP139" s="289">
        <v>0</v>
      </c>
      <c r="AQ139" s="289">
        <v>0</v>
      </c>
      <c r="AR139" s="289">
        <v>-77.549363999999997</v>
      </c>
      <c r="AS139" s="289"/>
      <c r="AT139" s="289">
        <v>77</v>
      </c>
      <c r="AU139" s="289">
        <v>19</v>
      </c>
      <c r="AV139" s="625">
        <v>75403</v>
      </c>
      <c r="AW139" s="289"/>
      <c r="AX139" s="625">
        <v>10.7683333</v>
      </c>
      <c r="AY139" s="289">
        <v>416</v>
      </c>
      <c r="AZ139" s="289">
        <v>123</v>
      </c>
      <c r="BA139" s="290">
        <v>27</v>
      </c>
      <c r="BB139" s="289">
        <v>5698</v>
      </c>
      <c r="BC139" s="289">
        <v>634.09907070999998</v>
      </c>
      <c r="BD139" s="289">
        <v>29.867284575689258</v>
      </c>
      <c r="BE139" s="289">
        <v>76513.146029390002</v>
      </c>
      <c r="BF139" s="289">
        <v>0</v>
      </c>
      <c r="BG139" s="289">
        <v>-80.234700000000004</v>
      </c>
      <c r="BH139" s="289">
        <v>-5.1558000000000002</v>
      </c>
      <c r="BI139" s="289">
        <v>637.03766383000004</v>
      </c>
      <c r="BJ139" s="289">
        <v>0</v>
      </c>
      <c r="BK139" s="289">
        <v>0</v>
      </c>
      <c r="BL139" s="289">
        <v>0</v>
      </c>
      <c r="BM139" s="289">
        <v>0</v>
      </c>
      <c r="BN139" s="289">
        <v>152.73165287767333</v>
      </c>
      <c r="BO139" s="289">
        <v>103.8495692389466</v>
      </c>
      <c r="BP139" s="289">
        <v>165.32793927086792</v>
      </c>
      <c r="BQ139" s="289">
        <v>154.10631614773271</v>
      </c>
      <c r="BR139" s="289">
        <v>2.0243381767967161</v>
      </c>
      <c r="BS139" s="289">
        <v>0.7088976064809962</v>
      </c>
      <c r="BT139" s="289">
        <v>0</v>
      </c>
      <c r="BU139" s="289">
        <v>0</v>
      </c>
      <c r="BV139" s="289">
        <v>10.804063766905758</v>
      </c>
      <c r="BW139" s="517"/>
      <c r="BX139" s="517"/>
      <c r="CA139" s="517"/>
      <c r="CB139" s="517"/>
    </row>
    <row r="140" spans="1:80" ht="13">
      <c r="A140" s="1">
        <v>1832</v>
      </c>
      <c r="B140" s="2" t="s">
        <v>188</v>
      </c>
      <c r="C140" s="289">
        <v>4501</v>
      </c>
      <c r="D140" s="289">
        <v>90</v>
      </c>
      <c r="E140" s="289">
        <v>185</v>
      </c>
      <c r="F140" s="289">
        <v>499</v>
      </c>
      <c r="G140" s="289">
        <v>393</v>
      </c>
      <c r="H140" s="289">
        <v>2407</v>
      </c>
      <c r="I140" s="289">
        <v>646</v>
      </c>
      <c r="J140" s="289">
        <v>238</v>
      </c>
      <c r="K140" s="289">
        <v>54</v>
      </c>
      <c r="L140" s="289">
        <v>35</v>
      </c>
      <c r="M140" s="289">
        <v>449</v>
      </c>
      <c r="N140" s="290">
        <v>37</v>
      </c>
      <c r="O140" s="290">
        <v>19</v>
      </c>
      <c r="P140" s="624">
        <v>70099.475333330003</v>
      </c>
      <c r="Q140" s="624">
        <v>18434.255000000001</v>
      </c>
      <c r="R140" s="624">
        <v>24</v>
      </c>
      <c r="S140" s="289"/>
      <c r="T140" s="289">
        <v>371</v>
      </c>
      <c r="U140" s="716">
        <v>2.0751601406409229E-3</v>
      </c>
      <c r="V140" s="289">
        <v>2001.5339811900001</v>
      </c>
      <c r="W140" s="743">
        <v>0.90896533000000002</v>
      </c>
      <c r="X140" s="289">
        <v>4043</v>
      </c>
      <c r="Y140" s="289">
        <v>414.28399999999999</v>
      </c>
      <c r="Z140" s="289">
        <v>131414</v>
      </c>
      <c r="AA140" s="289">
        <v>0</v>
      </c>
      <c r="AB140" s="290">
        <v>108</v>
      </c>
      <c r="AC140" s="289">
        <v>0</v>
      </c>
      <c r="AD140" s="289">
        <v>0</v>
      </c>
      <c r="AE140" s="289">
        <v>0</v>
      </c>
      <c r="AF140" s="289">
        <v>0</v>
      </c>
      <c r="AG140" s="289">
        <v>4512</v>
      </c>
      <c r="AH140" s="289">
        <v>697.94820669000001</v>
      </c>
      <c r="AI140" s="289">
        <v>0</v>
      </c>
      <c r="AJ140" s="289">
        <v>0</v>
      </c>
      <c r="AK140" s="289">
        <v>0</v>
      </c>
      <c r="AL140" s="289">
        <v>7916</v>
      </c>
      <c r="AM140" s="836">
        <v>4.0621379999999999E-2</v>
      </c>
      <c r="AN140" s="289">
        <v>0</v>
      </c>
      <c r="AO140" s="289">
        <v>200.08328627</v>
      </c>
      <c r="AP140" s="289">
        <v>0</v>
      </c>
      <c r="AQ140" s="289">
        <v>0</v>
      </c>
      <c r="AR140" s="289">
        <v>-240.16338429000001</v>
      </c>
      <c r="AS140" s="289"/>
      <c r="AT140" s="289">
        <v>195</v>
      </c>
      <c r="AU140" s="289">
        <v>32</v>
      </c>
      <c r="AV140" s="625">
        <v>155945</v>
      </c>
      <c r="AW140" s="289"/>
      <c r="AX140" s="625">
        <v>43.663333299999998</v>
      </c>
      <c r="AY140" s="289">
        <v>702</v>
      </c>
      <c r="AZ140" s="289">
        <v>132</v>
      </c>
      <c r="BA140" s="290">
        <v>116</v>
      </c>
      <c r="BB140" s="289">
        <v>0</v>
      </c>
      <c r="BC140" s="289">
        <v>1103.01921214</v>
      </c>
      <c r="BD140" s="289">
        <v>59.216407946837315</v>
      </c>
      <c r="BE140" s="289">
        <v>160906.16935583999</v>
      </c>
      <c r="BF140" s="289">
        <v>0</v>
      </c>
      <c r="BG140" s="289">
        <v>-174.23390000000001</v>
      </c>
      <c r="BH140" s="289">
        <v>-12.739699999999999</v>
      </c>
      <c r="BI140" s="289">
        <v>1112.2322066900001</v>
      </c>
      <c r="BJ140" s="289">
        <v>0</v>
      </c>
      <c r="BK140" s="289">
        <v>0</v>
      </c>
      <c r="BL140" s="289">
        <v>0</v>
      </c>
      <c r="BM140" s="289">
        <v>0</v>
      </c>
      <c r="BN140" s="289">
        <v>411.51528739662126</v>
      </c>
      <c r="BO140" s="289">
        <v>230.70323806945646</v>
      </c>
      <c r="BP140" s="289">
        <v>408.5211730504688</v>
      </c>
      <c r="BQ140" s="289">
        <v>269.35578625519179</v>
      </c>
      <c r="BR140" s="289">
        <v>4.0135565386189747</v>
      </c>
      <c r="BS140" s="289">
        <v>1.2269109607739139</v>
      </c>
      <c r="BT140" s="289">
        <v>0</v>
      </c>
      <c r="BU140" s="289">
        <v>0</v>
      </c>
      <c r="BV140" s="289">
        <v>18.883957279832394</v>
      </c>
      <c r="BW140" s="517"/>
      <c r="BX140" s="517"/>
      <c r="CA140" s="517"/>
      <c r="CB140" s="517"/>
    </row>
    <row r="141" spans="1:80" ht="13">
      <c r="A141" s="1">
        <v>1833</v>
      </c>
      <c r="B141" s="2" t="s">
        <v>189</v>
      </c>
      <c r="C141" s="289">
        <v>26315</v>
      </c>
      <c r="D141" s="289">
        <v>508</v>
      </c>
      <c r="E141" s="289">
        <v>1087</v>
      </c>
      <c r="F141" s="289">
        <v>3097</v>
      </c>
      <c r="G141" s="289">
        <v>2407</v>
      </c>
      <c r="H141" s="289">
        <v>14720</v>
      </c>
      <c r="I141" s="289">
        <v>3133</v>
      </c>
      <c r="J141" s="289">
        <v>1066</v>
      </c>
      <c r="K141" s="289">
        <v>267</v>
      </c>
      <c r="L141" s="289">
        <v>206</v>
      </c>
      <c r="M141" s="289">
        <v>1994</v>
      </c>
      <c r="N141" s="290">
        <v>321</v>
      </c>
      <c r="O141" s="290">
        <v>195</v>
      </c>
      <c r="P141" s="624">
        <v>123243.16666667</v>
      </c>
      <c r="Q141" s="624">
        <v>44784.353666670002</v>
      </c>
      <c r="R141" s="624">
        <v>111</v>
      </c>
      <c r="S141" s="289"/>
      <c r="T141" s="289">
        <v>2075</v>
      </c>
      <c r="U141" s="716">
        <v>3.5503579176566083E-3</v>
      </c>
      <c r="V141" s="289">
        <v>4396.3133218599996</v>
      </c>
      <c r="W141" s="743">
        <v>0.59348612999999995</v>
      </c>
      <c r="X141" s="289">
        <v>0</v>
      </c>
      <c r="Y141" s="289">
        <v>414.28399999999999</v>
      </c>
      <c r="Z141" s="289">
        <v>712344</v>
      </c>
      <c r="AA141" s="289">
        <v>0</v>
      </c>
      <c r="AB141" s="290">
        <v>520</v>
      </c>
      <c r="AC141" s="289">
        <v>0</v>
      </c>
      <c r="AD141" s="289">
        <v>0</v>
      </c>
      <c r="AE141" s="289">
        <v>0</v>
      </c>
      <c r="AF141" s="289">
        <v>0</v>
      </c>
      <c r="AG141" s="289">
        <v>26285</v>
      </c>
      <c r="AH141" s="289">
        <v>4173.7442210500003</v>
      </c>
      <c r="AI141" s="289">
        <v>2550</v>
      </c>
      <c r="AJ141" s="289">
        <v>0</v>
      </c>
      <c r="AK141" s="289">
        <v>258.505</v>
      </c>
      <c r="AL141" s="289">
        <v>46112</v>
      </c>
      <c r="AM141" s="836">
        <v>0.30063013</v>
      </c>
      <c r="AN141" s="289">
        <v>0</v>
      </c>
      <c r="AO141" s="289">
        <v>1003.18740458</v>
      </c>
      <c r="AP141" s="289">
        <v>0</v>
      </c>
      <c r="AQ141" s="289">
        <v>0</v>
      </c>
      <c r="AR141" s="289">
        <v>-1399.09010549</v>
      </c>
      <c r="AS141" s="289"/>
      <c r="AT141" s="289">
        <v>1338</v>
      </c>
      <c r="AU141" s="289">
        <v>227</v>
      </c>
      <c r="AV141" s="625">
        <v>647890</v>
      </c>
      <c r="AW141" s="289"/>
      <c r="AX141" s="625">
        <v>176.6333333</v>
      </c>
      <c r="AY141" s="289">
        <v>5277</v>
      </c>
      <c r="AZ141" s="289">
        <v>681</v>
      </c>
      <c r="BA141" s="290">
        <v>621</v>
      </c>
      <c r="BB141" s="289">
        <v>0</v>
      </c>
      <c r="BC141" s="289">
        <v>4502.3034445399999</v>
      </c>
      <c r="BD141" s="289">
        <v>347.33513999362475</v>
      </c>
      <c r="BE141" s="289">
        <v>685282.37952439999</v>
      </c>
      <c r="BF141" s="289">
        <v>0</v>
      </c>
      <c r="BG141" s="289">
        <v>-957.40570000000002</v>
      </c>
      <c r="BH141" s="289">
        <v>-74.216399999999993</v>
      </c>
      <c r="BI141" s="289">
        <v>4588.02822105</v>
      </c>
      <c r="BJ141" s="289">
        <v>0</v>
      </c>
      <c r="BK141" s="289">
        <v>0</v>
      </c>
      <c r="BL141" s="289">
        <v>0</v>
      </c>
      <c r="BM141" s="289">
        <v>0</v>
      </c>
      <c r="BN141" s="289">
        <v>1900.9758430345516</v>
      </c>
      <c r="BO141" s="289">
        <v>1012.2235263968487</v>
      </c>
      <c r="BP141" s="289">
        <v>2379.8712397233094</v>
      </c>
      <c r="BQ141" s="289">
        <v>460.83645771182773</v>
      </c>
      <c r="BR141" s="289">
        <v>23.541603932901232</v>
      </c>
      <c r="BS141" s="289">
        <v>5.5897975755214251</v>
      </c>
      <c r="BT141" s="289">
        <v>0</v>
      </c>
      <c r="BU141" s="289">
        <v>0</v>
      </c>
      <c r="BV141" s="289">
        <v>32.308257050675124</v>
      </c>
      <c r="BW141" s="517"/>
      <c r="BX141" s="517"/>
      <c r="CA141" s="517"/>
      <c r="CB141" s="517"/>
    </row>
    <row r="142" spans="1:80" ht="13">
      <c r="A142" s="1">
        <v>1834</v>
      </c>
      <c r="B142" s="2" t="s">
        <v>190</v>
      </c>
      <c r="C142" s="289">
        <v>1904</v>
      </c>
      <c r="D142" s="289">
        <v>33</v>
      </c>
      <c r="E142" s="289">
        <v>88</v>
      </c>
      <c r="F142" s="289">
        <v>205</v>
      </c>
      <c r="G142" s="289">
        <v>150</v>
      </c>
      <c r="H142" s="289">
        <v>1029</v>
      </c>
      <c r="I142" s="289">
        <v>282</v>
      </c>
      <c r="J142" s="289">
        <v>101</v>
      </c>
      <c r="K142" s="289">
        <v>17</v>
      </c>
      <c r="L142" s="289">
        <v>14</v>
      </c>
      <c r="M142" s="289">
        <v>190</v>
      </c>
      <c r="N142" s="290">
        <v>1.5</v>
      </c>
      <c r="O142" s="290">
        <v>9</v>
      </c>
      <c r="P142" s="624">
        <v>174831.96633333</v>
      </c>
      <c r="Q142" s="624">
        <v>66099.418000000005</v>
      </c>
      <c r="R142" s="624">
        <v>16</v>
      </c>
      <c r="S142" s="289"/>
      <c r="T142" s="289">
        <v>149</v>
      </c>
      <c r="U142" s="716">
        <v>1.0834470530883458E-3</v>
      </c>
      <c r="V142" s="289">
        <v>1258.5376867800001</v>
      </c>
      <c r="W142" s="743">
        <v>1</v>
      </c>
      <c r="X142" s="289">
        <v>45</v>
      </c>
      <c r="Y142" s="289">
        <v>0</v>
      </c>
      <c r="Z142" s="289">
        <v>78651</v>
      </c>
      <c r="AA142" s="289">
        <v>0</v>
      </c>
      <c r="AB142" s="290">
        <v>47</v>
      </c>
      <c r="AC142" s="289">
        <v>0</v>
      </c>
      <c r="AD142" s="289">
        <v>0</v>
      </c>
      <c r="AE142" s="289">
        <v>0</v>
      </c>
      <c r="AF142" s="289">
        <v>0</v>
      </c>
      <c r="AG142" s="289">
        <v>1905</v>
      </c>
      <c r="AH142" s="289">
        <v>285.17564090000002</v>
      </c>
      <c r="AI142" s="289">
        <v>0</v>
      </c>
      <c r="AJ142" s="289">
        <v>0</v>
      </c>
      <c r="AK142" s="289">
        <v>33.951000000000001</v>
      </c>
      <c r="AL142" s="289">
        <v>3375</v>
      </c>
      <c r="AM142" s="836">
        <v>5.3125000000000004E-3</v>
      </c>
      <c r="AN142" s="289">
        <v>0</v>
      </c>
      <c r="AO142" s="289">
        <v>120.07452005</v>
      </c>
      <c r="AP142" s="289">
        <v>0</v>
      </c>
      <c r="AQ142" s="289">
        <v>0</v>
      </c>
      <c r="AR142" s="289">
        <v>5445.6403322100005</v>
      </c>
      <c r="AS142" s="289"/>
      <c r="AT142" s="289">
        <v>68</v>
      </c>
      <c r="AU142" s="289">
        <v>12</v>
      </c>
      <c r="AV142" s="625">
        <v>124761</v>
      </c>
      <c r="AW142" s="289"/>
      <c r="AX142" s="625">
        <v>7.48</v>
      </c>
      <c r="AY142" s="289">
        <v>292</v>
      </c>
      <c r="AZ142" s="289">
        <v>24</v>
      </c>
      <c r="BA142" s="290">
        <v>37</v>
      </c>
      <c r="BB142" s="289">
        <v>5698</v>
      </c>
      <c r="BC142" s="289">
        <v>291.10831314000001</v>
      </c>
      <c r="BD142" s="289">
        <v>22.4510445234475</v>
      </c>
      <c r="BE142" s="289">
        <v>120317.07820228999</v>
      </c>
      <c r="BF142" s="289">
        <v>0</v>
      </c>
      <c r="BG142" s="289">
        <v>-127.75149999999999</v>
      </c>
      <c r="BH142" s="289">
        <v>-5.3788</v>
      </c>
      <c r="BI142" s="289">
        <v>285.17564090000002</v>
      </c>
      <c r="BJ142" s="289">
        <v>0</v>
      </c>
      <c r="BK142" s="289">
        <v>0</v>
      </c>
      <c r="BL142" s="289">
        <v>0</v>
      </c>
      <c r="BM142" s="289">
        <v>0</v>
      </c>
      <c r="BN142" s="289">
        <v>244.18570003120345</v>
      </c>
      <c r="BO142" s="289">
        <v>196.76510327367072</v>
      </c>
      <c r="BP142" s="289">
        <v>172.48068144085616</v>
      </c>
      <c r="BQ142" s="289">
        <v>140.63142749086728</v>
      </c>
      <c r="BR142" s="289">
        <v>1.5216819065892198</v>
      </c>
      <c r="BS142" s="289">
        <v>0.72379233505864526</v>
      </c>
      <c r="BT142" s="289">
        <v>0</v>
      </c>
      <c r="BU142" s="289">
        <v>0</v>
      </c>
      <c r="BV142" s="289">
        <v>9.8593681831039444</v>
      </c>
      <c r="BW142" s="517"/>
      <c r="BX142" s="517"/>
      <c r="CA142" s="517"/>
      <c r="CB142" s="517"/>
    </row>
    <row r="143" spans="1:80" ht="13">
      <c r="A143" s="1">
        <v>1835</v>
      </c>
      <c r="B143" s="2" t="s">
        <v>191</v>
      </c>
      <c r="C143" s="289">
        <v>456</v>
      </c>
      <c r="D143" s="289">
        <v>6</v>
      </c>
      <c r="E143" s="289">
        <v>12</v>
      </c>
      <c r="F143" s="289">
        <v>55</v>
      </c>
      <c r="G143" s="289">
        <v>48</v>
      </c>
      <c r="H143" s="289">
        <v>263</v>
      </c>
      <c r="I143" s="289">
        <v>53</v>
      </c>
      <c r="J143" s="289">
        <v>20</v>
      </c>
      <c r="K143" s="289">
        <v>1</v>
      </c>
      <c r="L143" s="289">
        <v>7</v>
      </c>
      <c r="M143" s="289">
        <v>34</v>
      </c>
      <c r="N143" s="290">
        <v>0</v>
      </c>
      <c r="O143" s="290">
        <v>4</v>
      </c>
      <c r="P143" s="624">
        <v>2136.9290000000001</v>
      </c>
      <c r="Q143" s="624">
        <v>7000.665</v>
      </c>
      <c r="R143" s="624">
        <v>2</v>
      </c>
      <c r="S143" s="289"/>
      <c r="T143" s="289">
        <v>45</v>
      </c>
      <c r="U143" s="716">
        <v>4.2590077370190445E-5</v>
      </c>
      <c r="V143" s="289">
        <v>313.92344735</v>
      </c>
      <c r="W143" s="743">
        <v>1</v>
      </c>
      <c r="X143" s="289">
        <v>0</v>
      </c>
      <c r="Y143" s="289">
        <v>0</v>
      </c>
      <c r="Z143" s="289">
        <v>12554</v>
      </c>
      <c r="AA143" s="289">
        <v>0</v>
      </c>
      <c r="AB143" s="290">
        <v>7</v>
      </c>
      <c r="AC143" s="289">
        <v>0</v>
      </c>
      <c r="AD143" s="289">
        <v>0</v>
      </c>
      <c r="AE143" s="289">
        <v>0</v>
      </c>
      <c r="AF143" s="289">
        <v>0</v>
      </c>
      <c r="AG143" s="289">
        <v>458</v>
      </c>
      <c r="AH143" s="289">
        <v>100</v>
      </c>
      <c r="AI143" s="289">
        <v>0</v>
      </c>
      <c r="AJ143" s="289">
        <v>0</v>
      </c>
      <c r="AK143" s="289">
        <v>0</v>
      </c>
      <c r="AL143" s="289">
        <v>798</v>
      </c>
      <c r="AM143" s="836">
        <v>1.187681E-2</v>
      </c>
      <c r="AN143" s="289">
        <v>0</v>
      </c>
      <c r="AO143" s="289">
        <v>29.950797399999999</v>
      </c>
      <c r="AP143" s="289">
        <v>0</v>
      </c>
      <c r="AQ143" s="289">
        <v>0</v>
      </c>
      <c r="AR143" s="289">
        <v>-24.378286790000001</v>
      </c>
      <c r="AS143" s="289"/>
      <c r="AT143" s="289">
        <v>17</v>
      </c>
      <c r="AU143" s="289">
        <v>6</v>
      </c>
      <c r="AV143" s="625">
        <v>33684</v>
      </c>
      <c r="AW143" s="289"/>
      <c r="AX143" s="625">
        <v>-0.28333334999999998</v>
      </c>
      <c r="AY143" s="289">
        <v>65</v>
      </c>
      <c r="AZ143" s="289">
        <v>24</v>
      </c>
      <c r="BA143" s="290">
        <v>9</v>
      </c>
      <c r="BB143" s="289">
        <v>5698</v>
      </c>
      <c r="BC143" s="289">
        <v>113.27171717</v>
      </c>
      <c r="BD143" s="289">
        <v>6.5410391165224073</v>
      </c>
      <c r="BE143" s="289">
        <v>34735.418393519998</v>
      </c>
      <c r="BF143" s="289">
        <v>0</v>
      </c>
      <c r="BG143" s="289">
        <v>-28.783999999999999</v>
      </c>
      <c r="BH143" s="289">
        <v>-1.2931999999999999</v>
      </c>
      <c r="BI143" s="289">
        <v>100</v>
      </c>
      <c r="BJ143" s="289">
        <v>0</v>
      </c>
      <c r="BK143" s="289">
        <v>0</v>
      </c>
      <c r="BL143" s="289">
        <v>0</v>
      </c>
      <c r="BM143" s="289">
        <v>0</v>
      </c>
      <c r="BN143" s="289">
        <v>51.998813305043875</v>
      </c>
      <c r="BO143" s="289">
        <v>54.749381542899613</v>
      </c>
      <c r="BP143" s="289">
        <v>41.467796377906623</v>
      </c>
      <c r="BQ143" s="289">
        <v>5.5281920426507192</v>
      </c>
      <c r="BR143" s="289">
        <v>0.44333709567540763</v>
      </c>
      <c r="BS143" s="289">
        <v>0.42825077077584273</v>
      </c>
      <c r="BT143" s="289">
        <v>0</v>
      </c>
      <c r="BU143" s="289">
        <v>0</v>
      </c>
      <c r="BV143" s="289">
        <v>0.38756970406873309</v>
      </c>
      <c r="BW143" s="517"/>
      <c r="BX143" s="517"/>
      <c r="CA143" s="517"/>
      <c r="CB143" s="517"/>
    </row>
    <row r="144" spans="1:80" ht="13">
      <c r="A144" s="1">
        <v>1836</v>
      </c>
      <c r="B144" s="2" t="s">
        <v>192</v>
      </c>
      <c r="C144" s="289">
        <v>1238</v>
      </c>
      <c r="D144" s="289">
        <v>24</v>
      </c>
      <c r="E144" s="289">
        <v>60</v>
      </c>
      <c r="F144" s="289">
        <v>150</v>
      </c>
      <c r="G144" s="289">
        <v>138</v>
      </c>
      <c r="H144" s="289">
        <v>630</v>
      </c>
      <c r="I144" s="289">
        <v>173</v>
      </c>
      <c r="J144" s="289">
        <v>55</v>
      </c>
      <c r="K144" s="289">
        <v>11</v>
      </c>
      <c r="L144" s="289">
        <v>12</v>
      </c>
      <c r="M144" s="289">
        <v>122</v>
      </c>
      <c r="N144" s="290">
        <v>0</v>
      </c>
      <c r="O144" s="290">
        <v>7</v>
      </c>
      <c r="P144" s="624">
        <v>58661.161666669999</v>
      </c>
      <c r="Q144" s="624">
        <v>21023.756000000001</v>
      </c>
      <c r="R144" s="624">
        <v>6</v>
      </c>
      <c r="S144" s="289"/>
      <c r="T144" s="289">
        <v>96</v>
      </c>
      <c r="U144" s="716">
        <v>1.390346194131334E-3</v>
      </c>
      <c r="V144" s="289">
        <v>752.40990018000002</v>
      </c>
      <c r="W144" s="743">
        <v>1</v>
      </c>
      <c r="X144" s="289">
        <v>400</v>
      </c>
      <c r="Y144" s="289">
        <v>0</v>
      </c>
      <c r="Z144" s="289">
        <v>30314</v>
      </c>
      <c r="AA144" s="289">
        <v>0</v>
      </c>
      <c r="AB144" s="290">
        <v>28</v>
      </c>
      <c r="AC144" s="289">
        <v>0</v>
      </c>
      <c r="AD144" s="289">
        <v>0</v>
      </c>
      <c r="AE144" s="289">
        <v>0</v>
      </c>
      <c r="AF144" s="289">
        <v>0</v>
      </c>
      <c r="AG144" s="289">
        <v>1241</v>
      </c>
      <c r="AH144" s="289">
        <v>225.90930965999999</v>
      </c>
      <c r="AI144" s="289">
        <v>0</v>
      </c>
      <c r="AJ144" s="289">
        <v>0</v>
      </c>
      <c r="AK144" s="289">
        <v>148.017</v>
      </c>
      <c r="AL144" s="289">
        <v>2196</v>
      </c>
      <c r="AM144" s="836">
        <v>9.1589700000000007E-3</v>
      </c>
      <c r="AN144" s="289">
        <v>0</v>
      </c>
      <c r="AO144" s="289">
        <v>71.78589771</v>
      </c>
      <c r="AP144" s="289">
        <v>0</v>
      </c>
      <c r="AQ144" s="289">
        <v>0</v>
      </c>
      <c r="AR144" s="289">
        <v>3422.5833829500002</v>
      </c>
      <c r="AS144" s="289"/>
      <c r="AT144" s="289">
        <v>47</v>
      </c>
      <c r="AU144" s="289">
        <v>8</v>
      </c>
      <c r="AV144" s="625">
        <v>75143</v>
      </c>
      <c r="AW144" s="289"/>
      <c r="AX144" s="625">
        <v>7.8150000000000004</v>
      </c>
      <c r="AY144" s="289">
        <v>163</v>
      </c>
      <c r="AZ144" s="289">
        <v>38</v>
      </c>
      <c r="BA144" s="290">
        <v>27</v>
      </c>
      <c r="BB144" s="289">
        <v>5698</v>
      </c>
      <c r="BC144" s="289">
        <v>226.54343435000001</v>
      </c>
      <c r="BD144" s="289">
        <v>14.657846433759836</v>
      </c>
      <c r="BE144" s="289">
        <v>72013.414410120007</v>
      </c>
      <c r="BF144" s="289">
        <v>0</v>
      </c>
      <c r="BG144" s="289">
        <v>-72.397000000000006</v>
      </c>
      <c r="BH144" s="289">
        <v>-3.504</v>
      </c>
      <c r="BI144" s="289">
        <v>225.90930965999999</v>
      </c>
      <c r="BJ144" s="289">
        <v>0</v>
      </c>
      <c r="BK144" s="289">
        <v>0</v>
      </c>
      <c r="BL144" s="289">
        <v>0</v>
      </c>
      <c r="BM144" s="289">
        <v>0</v>
      </c>
      <c r="BN144" s="289">
        <v>132.17446816105189</v>
      </c>
      <c r="BO144" s="289">
        <v>110.11266805388078</v>
      </c>
      <c r="BP144" s="289">
        <v>112.3614307969042</v>
      </c>
      <c r="BQ144" s="289">
        <v>180.4669359982471</v>
      </c>
      <c r="BR144" s="289">
        <v>0.99347625828816688</v>
      </c>
      <c r="BS144" s="289">
        <v>0.58862827753420244</v>
      </c>
      <c r="BT144" s="289">
        <v>0</v>
      </c>
      <c r="BU144" s="289">
        <v>0</v>
      </c>
      <c r="BV144" s="289">
        <v>12.652150366595135</v>
      </c>
      <c r="BW144" s="517"/>
      <c r="BX144" s="517"/>
      <c r="CA144" s="517"/>
      <c r="CB144" s="517"/>
    </row>
    <row r="145" spans="1:80" ht="13">
      <c r="A145" s="1">
        <v>1837</v>
      </c>
      <c r="B145" s="2" t="s">
        <v>193</v>
      </c>
      <c r="C145" s="289">
        <v>6331</v>
      </c>
      <c r="D145" s="289">
        <v>119</v>
      </c>
      <c r="E145" s="289">
        <v>284</v>
      </c>
      <c r="F145" s="289">
        <v>755</v>
      </c>
      <c r="G145" s="289">
        <v>596</v>
      </c>
      <c r="H145" s="289">
        <v>3373</v>
      </c>
      <c r="I145" s="289">
        <v>812</v>
      </c>
      <c r="J145" s="289">
        <v>299</v>
      </c>
      <c r="K145" s="289">
        <v>89</v>
      </c>
      <c r="L145" s="289">
        <v>53</v>
      </c>
      <c r="M145" s="289">
        <v>541</v>
      </c>
      <c r="N145" s="290">
        <v>32</v>
      </c>
      <c r="O145" s="290">
        <v>62</v>
      </c>
      <c r="P145" s="624">
        <v>98027.663666670007</v>
      </c>
      <c r="Q145" s="624">
        <v>34204.841</v>
      </c>
      <c r="R145" s="624">
        <v>43</v>
      </c>
      <c r="S145" s="289"/>
      <c r="T145" s="289">
        <v>490</v>
      </c>
      <c r="U145" s="716">
        <v>1.9523358132600883E-3</v>
      </c>
      <c r="V145" s="289">
        <v>3001.1030514200002</v>
      </c>
      <c r="W145" s="743">
        <v>0.95130161000000002</v>
      </c>
      <c r="X145" s="289">
        <v>2003</v>
      </c>
      <c r="Y145" s="289">
        <v>414.28399999999999</v>
      </c>
      <c r="Z145" s="289">
        <v>186474</v>
      </c>
      <c r="AA145" s="289">
        <v>0</v>
      </c>
      <c r="AB145" s="290">
        <v>143</v>
      </c>
      <c r="AC145" s="289">
        <v>0</v>
      </c>
      <c r="AD145" s="289">
        <v>0</v>
      </c>
      <c r="AE145" s="289">
        <v>0</v>
      </c>
      <c r="AF145" s="289">
        <v>0</v>
      </c>
      <c r="AG145" s="289">
        <v>6327</v>
      </c>
      <c r="AH145" s="289">
        <v>1044.4819316999999</v>
      </c>
      <c r="AI145" s="289">
        <v>150</v>
      </c>
      <c r="AJ145" s="289">
        <v>0</v>
      </c>
      <c r="AK145" s="289">
        <v>963.50599999999997</v>
      </c>
      <c r="AL145" s="289">
        <v>11156</v>
      </c>
      <c r="AM145" s="836">
        <v>0.13659531999999999</v>
      </c>
      <c r="AN145" s="289">
        <v>0</v>
      </c>
      <c r="AO145" s="289">
        <v>286.32913602999997</v>
      </c>
      <c r="AP145" s="289">
        <v>0</v>
      </c>
      <c r="AQ145" s="289">
        <v>0</v>
      </c>
      <c r="AR145" s="289">
        <v>-336.77166054999998</v>
      </c>
      <c r="AS145" s="289"/>
      <c r="AT145" s="289">
        <v>316</v>
      </c>
      <c r="AU145" s="289">
        <v>68</v>
      </c>
      <c r="AV145" s="625">
        <v>218891</v>
      </c>
      <c r="AW145" s="289"/>
      <c r="AX145" s="625">
        <v>48.633333350000001</v>
      </c>
      <c r="AY145" s="289">
        <v>922</v>
      </c>
      <c r="AZ145" s="289">
        <v>256</v>
      </c>
      <c r="BA145" s="290">
        <v>132</v>
      </c>
      <c r="BB145" s="289">
        <v>0</v>
      </c>
      <c r="BC145" s="289">
        <v>1456.42696972</v>
      </c>
      <c r="BD145" s="289">
        <v>84.935181996125635</v>
      </c>
      <c r="BE145" s="289">
        <v>229895.86113373999</v>
      </c>
      <c r="BF145" s="289">
        <v>0</v>
      </c>
      <c r="BG145" s="289">
        <v>-264.29259999999999</v>
      </c>
      <c r="BH145" s="289">
        <v>-17.8644</v>
      </c>
      <c r="BI145" s="289">
        <v>1458.7659317</v>
      </c>
      <c r="BJ145" s="289">
        <v>0</v>
      </c>
      <c r="BK145" s="289">
        <v>0</v>
      </c>
      <c r="BL145" s="289">
        <v>0</v>
      </c>
      <c r="BM145" s="289">
        <v>0</v>
      </c>
      <c r="BN145" s="289">
        <v>583.78871589608889</v>
      </c>
      <c r="BO145" s="289">
        <v>313.67882348766676</v>
      </c>
      <c r="BP145" s="289">
        <v>572.85316087994602</v>
      </c>
      <c r="BQ145" s="289">
        <v>253.41318856115942</v>
      </c>
      <c r="BR145" s="289">
        <v>5.7567178908485168</v>
      </c>
      <c r="BS145" s="289">
        <v>1.6149363014716371</v>
      </c>
      <c r="BT145" s="289">
        <v>0</v>
      </c>
      <c r="BU145" s="289">
        <v>0</v>
      </c>
      <c r="BV145" s="289">
        <v>17.766255900666799</v>
      </c>
      <c r="BW145" s="517"/>
      <c r="BX145" s="517"/>
      <c r="CA145" s="517"/>
      <c r="CB145" s="517"/>
    </row>
    <row r="146" spans="1:80" ht="13">
      <c r="A146" s="1">
        <v>1838</v>
      </c>
      <c r="B146" s="2" t="s">
        <v>194</v>
      </c>
      <c r="C146" s="289">
        <v>1978</v>
      </c>
      <c r="D146" s="289">
        <v>22</v>
      </c>
      <c r="E146" s="289">
        <v>79</v>
      </c>
      <c r="F146" s="289">
        <v>215</v>
      </c>
      <c r="G146" s="289">
        <v>154</v>
      </c>
      <c r="H146" s="289">
        <v>1080</v>
      </c>
      <c r="I146" s="289">
        <v>314</v>
      </c>
      <c r="J146" s="289">
        <v>100</v>
      </c>
      <c r="K146" s="289">
        <v>29</v>
      </c>
      <c r="L146" s="289">
        <v>22</v>
      </c>
      <c r="M146" s="289">
        <v>219</v>
      </c>
      <c r="N146" s="290">
        <v>38</v>
      </c>
      <c r="O146" s="290">
        <v>37</v>
      </c>
      <c r="P146" s="624">
        <v>36780.824000000001</v>
      </c>
      <c r="Q146" s="624">
        <v>6618.9333333300001</v>
      </c>
      <c r="R146" s="624">
        <v>16</v>
      </c>
      <c r="S146" s="289"/>
      <c r="T146" s="289">
        <v>181</v>
      </c>
      <c r="U146" s="716">
        <v>1.3129901551715748E-3</v>
      </c>
      <c r="V146" s="289">
        <v>863.94046897999999</v>
      </c>
      <c r="W146" s="743">
        <v>1</v>
      </c>
      <c r="X146" s="289">
        <v>0</v>
      </c>
      <c r="Y146" s="289">
        <v>0</v>
      </c>
      <c r="Z146" s="289">
        <v>52828</v>
      </c>
      <c r="AA146" s="289">
        <v>0</v>
      </c>
      <c r="AB146" s="290">
        <v>48</v>
      </c>
      <c r="AC146" s="289">
        <v>0</v>
      </c>
      <c r="AD146" s="289">
        <v>0</v>
      </c>
      <c r="AE146" s="289">
        <v>0</v>
      </c>
      <c r="AF146" s="289">
        <v>0</v>
      </c>
      <c r="AG146" s="289">
        <v>1993</v>
      </c>
      <c r="AH146" s="289">
        <v>284.47838994</v>
      </c>
      <c r="AI146" s="289">
        <v>0</v>
      </c>
      <c r="AJ146" s="289">
        <v>0</v>
      </c>
      <c r="AK146" s="289">
        <v>195.68899999999999</v>
      </c>
      <c r="AL146" s="289">
        <v>3512</v>
      </c>
      <c r="AM146" s="836">
        <v>2.9679830000000001E-2</v>
      </c>
      <c r="AN146" s="289">
        <v>0</v>
      </c>
      <c r="AO146" s="289">
        <v>100.66880533</v>
      </c>
      <c r="AP146" s="289">
        <v>0</v>
      </c>
      <c r="AQ146" s="289">
        <v>0</v>
      </c>
      <c r="AR146" s="289">
        <v>188.45464084</v>
      </c>
      <c r="AS146" s="289"/>
      <c r="AT146" s="289">
        <v>93</v>
      </c>
      <c r="AU146" s="289">
        <v>13</v>
      </c>
      <c r="AV146" s="625">
        <v>90145</v>
      </c>
      <c r="AW146" s="289"/>
      <c r="AX146" s="625">
        <v>2.8766666500000002</v>
      </c>
      <c r="AY146" s="289">
        <v>362</v>
      </c>
      <c r="AZ146" s="289">
        <v>98</v>
      </c>
      <c r="BA146" s="290">
        <v>40</v>
      </c>
      <c r="BB146" s="289">
        <v>5698</v>
      </c>
      <c r="BC146" s="289">
        <v>286.57744444999997</v>
      </c>
      <c r="BD146" s="289">
        <v>30.118150527791055</v>
      </c>
      <c r="BE146" s="289">
        <v>91374.969354910005</v>
      </c>
      <c r="BF146" s="289">
        <v>0</v>
      </c>
      <c r="BG146" s="289">
        <v>-84.559100000000001</v>
      </c>
      <c r="BH146" s="289">
        <v>-5.6273</v>
      </c>
      <c r="BI146" s="289">
        <v>284.47838994</v>
      </c>
      <c r="BJ146" s="289">
        <v>0</v>
      </c>
      <c r="BK146" s="289">
        <v>0</v>
      </c>
      <c r="BL146" s="289">
        <v>0</v>
      </c>
      <c r="BM146" s="289">
        <v>0</v>
      </c>
      <c r="BN146" s="289">
        <v>218.40971271697822</v>
      </c>
      <c r="BO146" s="289">
        <v>123.44625862504569</v>
      </c>
      <c r="BP146" s="289">
        <v>180.44829297198234</v>
      </c>
      <c r="BQ146" s="289">
        <v>170.42612214127041</v>
      </c>
      <c r="BR146" s="289">
        <v>2.0413413135502831</v>
      </c>
      <c r="BS146" s="289">
        <v>0.74085906432106152</v>
      </c>
      <c r="BT146" s="289">
        <v>0</v>
      </c>
      <c r="BU146" s="289">
        <v>0</v>
      </c>
      <c r="BV146" s="289">
        <v>11.94821041206133</v>
      </c>
      <c r="BW146" s="517"/>
      <c r="BX146" s="517"/>
      <c r="CA146" s="517"/>
      <c r="CB146" s="517"/>
    </row>
    <row r="147" spans="1:80" ht="13">
      <c r="A147" s="1">
        <v>1839</v>
      </c>
      <c r="B147" s="2" t="s">
        <v>195</v>
      </c>
      <c r="C147" s="289">
        <v>1022</v>
      </c>
      <c r="D147" s="289">
        <v>9</v>
      </c>
      <c r="E147" s="289">
        <v>32</v>
      </c>
      <c r="F147" s="289">
        <v>85</v>
      </c>
      <c r="G147" s="289">
        <v>77</v>
      </c>
      <c r="H147" s="289">
        <v>546</v>
      </c>
      <c r="I147" s="289">
        <v>190</v>
      </c>
      <c r="J147" s="289">
        <v>70</v>
      </c>
      <c r="K147" s="289">
        <v>14</v>
      </c>
      <c r="L147" s="289">
        <v>10</v>
      </c>
      <c r="M147" s="289">
        <v>114</v>
      </c>
      <c r="N147" s="290">
        <v>0</v>
      </c>
      <c r="O147" s="290">
        <v>12</v>
      </c>
      <c r="P147" s="624">
        <v>10822.665999999999</v>
      </c>
      <c r="Q147" s="624">
        <v>5550.7463333300002</v>
      </c>
      <c r="R147" s="624">
        <v>8</v>
      </c>
      <c r="S147" s="289"/>
      <c r="T147" s="289">
        <v>84</v>
      </c>
      <c r="U147" s="716">
        <v>1.2888136986939156E-3</v>
      </c>
      <c r="V147" s="289">
        <v>578.37277795</v>
      </c>
      <c r="W147" s="743">
        <v>1</v>
      </c>
      <c r="X147" s="289">
        <v>380</v>
      </c>
      <c r="Y147" s="289">
        <v>414.28399999999999</v>
      </c>
      <c r="Z147" s="289">
        <v>27743</v>
      </c>
      <c r="AA147" s="289">
        <v>0</v>
      </c>
      <c r="AB147" s="290">
        <v>32</v>
      </c>
      <c r="AC147" s="289">
        <v>0</v>
      </c>
      <c r="AD147" s="289">
        <v>0</v>
      </c>
      <c r="AE147" s="289">
        <v>0</v>
      </c>
      <c r="AF147" s="289">
        <v>0</v>
      </c>
      <c r="AG147" s="289">
        <v>1023</v>
      </c>
      <c r="AH147" s="289">
        <v>122.71616821000001</v>
      </c>
      <c r="AI147" s="289">
        <v>0</v>
      </c>
      <c r="AJ147" s="289">
        <v>0</v>
      </c>
      <c r="AK147" s="289">
        <v>0</v>
      </c>
      <c r="AL147" s="289">
        <v>1809</v>
      </c>
      <c r="AM147" s="836">
        <v>1.3713110000000001E-2</v>
      </c>
      <c r="AN147" s="289">
        <v>0</v>
      </c>
      <c r="AO147" s="289">
        <v>55.181369969999999</v>
      </c>
      <c r="AP147" s="289">
        <v>0</v>
      </c>
      <c r="AQ147" s="289">
        <v>0</v>
      </c>
      <c r="AR147" s="289">
        <v>-54.451937530000002</v>
      </c>
      <c r="AS147" s="289"/>
      <c r="AT147" s="289">
        <v>44</v>
      </c>
      <c r="AU147" s="289">
        <v>6</v>
      </c>
      <c r="AV147" s="625">
        <v>53820</v>
      </c>
      <c r="AW147" s="289"/>
      <c r="AX147" s="625">
        <v>0.7733333</v>
      </c>
      <c r="AY147" s="289">
        <v>127</v>
      </c>
      <c r="AZ147" s="289">
        <v>55</v>
      </c>
      <c r="BA147" s="290">
        <v>20</v>
      </c>
      <c r="BB147" s="289">
        <v>5698</v>
      </c>
      <c r="BC147" s="289">
        <v>529.86432323999998</v>
      </c>
      <c r="BD147" s="289">
        <v>13.727299529874422</v>
      </c>
      <c r="BE147" s="289">
        <v>55326.847475390001</v>
      </c>
      <c r="BF147" s="289">
        <v>0</v>
      </c>
      <c r="BG147" s="289">
        <v>-39.290300000000002</v>
      </c>
      <c r="BH147" s="289">
        <v>-2.8885000000000001</v>
      </c>
      <c r="BI147" s="289">
        <v>537.00016820999997</v>
      </c>
      <c r="BJ147" s="289">
        <v>0</v>
      </c>
      <c r="BK147" s="289">
        <v>0</v>
      </c>
      <c r="BL147" s="289">
        <v>0</v>
      </c>
      <c r="BM147" s="289">
        <v>0</v>
      </c>
      <c r="BN147" s="289">
        <v>125.05059359358027</v>
      </c>
      <c r="BO147" s="289">
        <v>80.76920981407855</v>
      </c>
      <c r="BP147" s="289">
        <v>92.623484049341656</v>
      </c>
      <c r="BQ147" s="289">
        <v>167.28801809047022</v>
      </c>
      <c r="BR147" s="289">
        <v>0.93040585702482215</v>
      </c>
      <c r="BS147" s="289">
        <v>0.54224426819361227</v>
      </c>
      <c r="BT147" s="289">
        <v>0</v>
      </c>
      <c r="BU147" s="289">
        <v>0</v>
      </c>
      <c r="BV147" s="289">
        <v>11.728204658114628</v>
      </c>
      <c r="BW147" s="517"/>
      <c r="BX147" s="517"/>
      <c r="CA147" s="517"/>
      <c r="CB147" s="517"/>
    </row>
    <row r="148" spans="1:80" ht="13">
      <c r="A148" s="1">
        <v>1840</v>
      </c>
      <c r="B148" s="2" t="s">
        <v>196</v>
      </c>
      <c r="C148" s="289">
        <v>4657</v>
      </c>
      <c r="D148" s="289">
        <v>91</v>
      </c>
      <c r="E148" s="289">
        <v>196</v>
      </c>
      <c r="F148" s="289">
        <v>531</v>
      </c>
      <c r="G148" s="289">
        <v>359</v>
      </c>
      <c r="H148" s="289">
        <v>2527</v>
      </c>
      <c r="I148" s="289">
        <v>703</v>
      </c>
      <c r="J148" s="289">
        <v>207</v>
      </c>
      <c r="K148" s="289">
        <v>48</v>
      </c>
      <c r="L148" s="289">
        <v>39</v>
      </c>
      <c r="M148" s="289">
        <v>393</v>
      </c>
      <c r="N148" s="290">
        <v>68</v>
      </c>
      <c r="O148" s="290">
        <v>46</v>
      </c>
      <c r="P148" s="624">
        <v>32707.670999999998</v>
      </c>
      <c r="Q148" s="624">
        <v>11383.25433333</v>
      </c>
      <c r="R148" s="624">
        <v>37</v>
      </c>
      <c r="S148" s="289"/>
      <c r="T148" s="289">
        <v>402</v>
      </c>
      <c r="U148" s="716">
        <v>1.9213351865357054E-3</v>
      </c>
      <c r="V148" s="289">
        <v>2132.7894380100001</v>
      </c>
      <c r="W148" s="743">
        <v>0.76121638999999996</v>
      </c>
      <c r="X148" s="289">
        <v>945</v>
      </c>
      <c r="Y148" s="289">
        <v>414.28399999999999</v>
      </c>
      <c r="Z148" s="289">
        <v>111043</v>
      </c>
      <c r="AA148" s="289">
        <v>0</v>
      </c>
      <c r="AB148" s="290">
        <v>138</v>
      </c>
      <c r="AC148" s="289">
        <v>0</v>
      </c>
      <c r="AD148" s="289">
        <v>0</v>
      </c>
      <c r="AE148" s="289">
        <v>0</v>
      </c>
      <c r="AF148" s="289">
        <v>0</v>
      </c>
      <c r="AG148" s="289">
        <v>4662</v>
      </c>
      <c r="AH148" s="289">
        <v>718.16848441000002</v>
      </c>
      <c r="AI148" s="289">
        <v>3650</v>
      </c>
      <c r="AJ148" s="289">
        <v>0</v>
      </c>
      <c r="AK148" s="289">
        <v>0</v>
      </c>
      <c r="AL148" s="289">
        <v>8247</v>
      </c>
      <c r="AM148" s="836">
        <v>0.10445689</v>
      </c>
      <c r="AN148" s="289">
        <v>0</v>
      </c>
      <c r="AO148" s="289">
        <v>203.48510085999999</v>
      </c>
      <c r="AP148" s="289">
        <v>0</v>
      </c>
      <c r="AQ148" s="289">
        <v>0</v>
      </c>
      <c r="AR148" s="289">
        <v>-248.14753934999999</v>
      </c>
      <c r="AS148" s="289"/>
      <c r="AT148" s="289">
        <v>219</v>
      </c>
      <c r="AU148" s="289">
        <v>41</v>
      </c>
      <c r="AV148" s="625">
        <v>153031</v>
      </c>
      <c r="AW148" s="289"/>
      <c r="AX148" s="625">
        <v>37.46</v>
      </c>
      <c r="AY148" s="289">
        <v>849</v>
      </c>
      <c r="AZ148" s="289">
        <v>256</v>
      </c>
      <c r="BA148" s="290">
        <v>95</v>
      </c>
      <c r="BB148" s="289">
        <v>0</v>
      </c>
      <c r="BC148" s="289">
        <v>1101.8864949700001</v>
      </c>
      <c r="BD148" s="289">
        <v>72.556891423381089</v>
      </c>
      <c r="BE148" s="289">
        <v>158749.07729347999</v>
      </c>
      <c r="BF148" s="289">
        <v>0</v>
      </c>
      <c r="BG148" s="289">
        <v>-175.28700000000001</v>
      </c>
      <c r="BH148" s="289">
        <v>-13.1633</v>
      </c>
      <c r="BI148" s="289">
        <v>1132.4524844099999</v>
      </c>
      <c r="BJ148" s="289">
        <v>0</v>
      </c>
      <c r="BK148" s="289">
        <v>0</v>
      </c>
      <c r="BL148" s="289">
        <v>0</v>
      </c>
      <c r="BM148" s="289">
        <v>0</v>
      </c>
      <c r="BN148" s="289">
        <v>416.55435000009612</v>
      </c>
      <c r="BO148" s="289">
        <v>214.3581702970942</v>
      </c>
      <c r="BP148" s="289">
        <v>422.10232906943384</v>
      </c>
      <c r="BQ148" s="289">
        <v>249.38930721233453</v>
      </c>
      <c r="BR148" s="289">
        <v>4.9177448631402738</v>
      </c>
      <c r="BS148" s="289">
        <v>1.2068943871674869</v>
      </c>
      <c r="BT148" s="289">
        <v>0</v>
      </c>
      <c r="BU148" s="289">
        <v>0</v>
      </c>
      <c r="BV148" s="289">
        <v>17.484150197474918</v>
      </c>
      <c r="BW148" s="517"/>
      <c r="BX148" s="517"/>
      <c r="CA148" s="517"/>
      <c r="CB148" s="517"/>
    </row>
    <row r="149" spans="1:80" ht="13">
      <c r="A149" s="1">
        <v>1841</v>
      </c>
      <c r="B149" s="2" t="s">
        <v>197</v>
      </c>
      <c r="C149" s="289">
        <v>9760</v>
      </c>
      <c r="D149" s="289">
        <v>192</v>
      </c>
      <c r="E149" s="289">
        <v>358</v>
      </c>
      <c r="F149" s="289">
        <v>1060</v>
      </c>
      <c r="G149" s="289">
        <v>892</v>
      </c>
      <c r="H149" s="289">
        <v>5447</v>
      </c>
      <c r="I149" s="289">
        <v>1357</v>
      </c>
      <c r="J149" s="289">
        <v>393</v>
      </c>
      <c r="K149" s="289">
        <v>92</v>
      </c>
      <c r="L149" s="289">
        <v>84</v>
      </c>
      <c r="M149" s="289">
        <v>837</v>
      </c>
      <c r="N149" s="290">
        <v>140</v>
      </c>
      <c r="O149" s="290">
        <v>75</v>
      </c>
      <c r="P149" s="624">
        <v>70678.422000000006</v>
      </c>
      <c r="Q149" s="624">
        <v>16238.400666670001</v>
      </c>
      <c r="R149" s="624">
        <v>47</v>
      </c>
      <c r="S149" s="289"/>
      <c r="T149" s="289">
        <v>832</v>
      </c>
      <c r="U149" s="716">
        <v>1.8825502086152607E-3</v>
      </c>
      <c r="V149" s="289">
        <v>3974.8502640800002</v>
      </c>
      <c r="W149" s="743">
        <v>0.62126930999999996</v>
      </c>
      <c r="X149" s="289">
        <v>512</v>
      </c>
      <c r="Y149" s="289">
        <v>414.28399999999999</v>
      </c>
      <c r="Z149" s="289">
        <v>266024</v>
      </c>
      <c r="AA149" s="289">
        <v>0</v>
      </c>
      <c r="AB149" s="290">
        <v>204</v>
      </c>
      <c r="AC149" s="289">
        <v>0</v>
      </c>
      <c r="AD149" s="289">
        <v>0</v>
      </c>
      <c r="AE149" s="289">
        <v>0</v>
      </c>
      <c r="AF149" s="289">
        <v>0</v>
      </c>
      <c r="AG149" s="289">
        <v>9791</v>
      </c>
      <c r="AH149" s="289">
        <v>1489.3280414599999</v>
      </c>
      <c r="AI149" s="289">
        <v>1400</v>
      </c>
      <c r="AJ149" s="289">
        <v>0</v>
      </c>
      <c r="AK149" s="289">
        <v>0</v>
      </c>
      <c r="AL149" s="289">
        <v>17184</v>
      </c>
      <c r="AM149" s="836">
        <v>0.16538014000000001</v>
      </c>
      <c r="AN149" s="289">
        <v>0</v>
      </c>
      <c r="AO149" s="289">
        <v>379.23237638000001</v>
      </c>
      <c r="AP149" s="289">
        <v>0</v>
      </c>
      <c r="AQ149" s="289">
        <v>0</v>
      </c>
      <c r="AR149" s="289">
        <v>-521.15241478999997</v>
      </c>
      <c r="AS149" s="289"/>
      <c r="AT149" s="289">
        <v>487</v>
      </c>
      <c r="AU149" s="289">
        <v>96</v>
      </c>
      <c r="AV149" s="625">
        <v>254322</v>
      </c>
      <c r="AW149" s="289"/>
      <c r="AX149" s="625">
        <v>77.42</v>
      </c>
      <c r="AY149" s="289">
        <v>1849</v>
      </c>
      <c r="AZ149" s="289">
        <v>338</v>
      </c>
      <c r="BA149" s="290">
        <v>224</v>
      </c>
      <c r="BB149" s="289">
        <v>0</v>
      </c>
      <c r="BC149" s="289">
        <v>1859.6742828599999</v>
      </c>
      <c r="BD149" s="289">
        <v>140.08346460695736</v>
      </c>
      <c r="BE149" s="289">
        <v>265813.18087480002</v>
      </c>
      <c r="BF149" s="289">
        <v>0</v>
      </c>
      <c r="BG149" s="289">
        <v>-338.09219999999999</v>
      </c>
      <c r="BH149" s="289">
        <v>-27.645099999999999</v>
      </c>
      <c r="BI149" s="289">
        <v>1903.61204146</v>
      </c>
      <c r="BJ149" s="289">
        <v>0</v>
      </c>
      <c r="BK149" s="289">
        <v>0</v>
      </c>
      <c r="BL149" s="289">
        <v>0</v>
      </c>
      <c r="BM149" s="289">
        <v>0</v>
      </c>
      <c r="BN149" s="289">
        <v>755.90269369762404</v>
      </c>
      <c r="BO149" s="289">
        <v>403.99904118386428</v>
      </c>
      <c r="BP149" s="289">
        <v>886.48732387791222</v>
      </c>
      <c r="BQ149" s="289">
        <v>244.35501707826077</v>
      </c>
      <c r="BR149" s="289">
        <v>9.4945459344715548</v>
      </c>
      <c r="BS149" s="289">
        <v>2.2108495590116006</v>
      </c>
      <c r="BT149" s="289">
        <v>0</v>
      </c>
      <c r="BU149" s="289">
        <v>0</v>
      </c>
      <c r="BV149" s="289">
        <v>17.131206898398869</v>
      </c>
      <c r="BW149" s="517"/>
      <c r="BX149" s="517"/>
      <c r="CA149" s="517"/>
      <c r="CB149" s="517"/>
    </row>
    <row r="150" spans="1:80" ht="13">
      <c r="A150" s="1">
        <v>1845</v>
      </c>
      <c r="B150" s="2" t="s">
        <v>198</v>
      </c>
      <c r="C150" s="289">
        <v>1975</v>
      </c>
      <c r="D150" s="289">
        <v>36</v>
      </c>
      <c r="E150" s="289">
        <v>73</v>
      </c>
      <c r="F150" s="289">
        <v>221</v>
      </c>
      <c r="G150" s="289">
        <v>160</v>
      </c>
      <c r="H150" s="289">
        <v>1019</v>
      </c>
      <c r="I150" s="289">
        <v>342</v>
      </c>
      <c r="J150" s="289">
        <v>92</v>
      </c>
      <c r="K150" s="289">
        <v>31</v>
      </c>
      <c r="L150" s="289">
        <v>18</v>
      </c>
      <c r="M150" s="289">
        <v>209</v>
      </c>
      <c r="N150" s="290">
        <v>1.5</v>
      </c>
      <c r="O150" s="290">
        <v>21</v>
      </c>
      <c r="P150" s="624">
        <v>28975.458999999999</v>
      </c>
      <c r="Q150" s="624">
        <v>15800.007</v>
      </c>
      <c r="R150" s="624">
        <v>8</v>
      </c>
      <c r="S150" s="289"/>
      <c r="T150" s="289">
        <v>145</v>
      </c>
      <c r="U150" s="716">
        <v>1.1952339243448981E-3</v>
      </c>
      <c r="V150" s="289">
        <v>996.85940549999998</v>
      </c>
      <c r="W150" s="743">
        <v>0.97219736000000001</v>
      </c>
      <c r="X150" s="289">
        <v>0</v>
      </c>
      <c r="Y150" s="289">
        <v>0</v>
      </c>
      <c r="Z150" s="289">
        <v>60172</v>
      </c>
      <c r="AA150" s="289">
        <v>0</v>
      </c>
      <c r="AB150" s="290">
        <v>36</v>
      </c>
      <c r="AC150" s="289">
        <v>0</v>
      </c>
      <c r="AD150" s="289">
        <v>0</v>
      </c>
      <c r="AE150" s="289">
        <v>0</v>
      </c>
      <c r="AF150" s="289">
        <v>0</v>
      </c>
      <c r="AG150" s="289">
        <v>1974</v>
      </c>
      <c r="AH150" s="289">
        <v>299.12066000999999</v>
      </c>
      <c r="AI150" s="289">
        <v>0</v>
      </c>
      <c r="AJ150" s="289">
        <v>0</v>
      </c>
      <c r="AK150" s="289">
        <v>870.19200000000001</v>
      </c>
      <c r="AL150" s="289">
        <v>3479</v>
      </c>
      <c r="AM150" s="836">
        <v>2.804179E-2</v>
      </c>
      <c r="AN150" s="289">
        <v>0</v>
      </c>
      <c r="AO150" s="289">
        <v>95.108327650000007</v>
      </c>
      <c r="AP150" s="289">
        <v>0</v>
      </c>
      <c r="AQ150" s="289">
        <v>0</v>
      </c>
      <c r="AR150" s="289">
        <v>-105.07148063</v>
      </c>
      <c r="AS150" s="289"/>
      <c r="AT150" s="289">
        <v>96</v>
      </c>
      <c r="AU150" s="289">
        <v>22</v>
      </c>
      <c r="AV150" s="625">
        <v>81522</v>
      </c>
      <c r="AW150" s="289"/>
      <c r="AX150" s="625">
        <v>12.646666700000001</v>
      </c>
      <c r="AY150" s="289">
        <v>277</v>
      </c>
      <c r="AZ150" s="289">
        <v>52</v>
      </c>
      <c r="BA150" s="290">
        <v>44</v>
      </c>
      <c r="BB150" s="289">
        <v>5698</v>
      </c>
      <c r="BC150" s="289">
        <v>291.10831314000001</v>
      </c>
      <c r="BD150" s="289">
        <v>22.849499685276754</v>
      </c>
      <c r="BE150" s="289">
        <v>84502.738676880006</v>
      </c>
      <c r="BF150" s="289">
        <v>0</v>
      </c>
      <c r="BG150" s="289">
        <v>-86.522000000000006</v>
      </c>
      <c r="BH150" s="289">
        <v>-5.5735999999999999</v>
      </c>
      <c r="BI150" s="289">
        <v>299.12066000999999</v>
      </c>
      <c r="BJ150" s="289">
        <v>0</v>
      </c>
      <c r="BK150" s="289">
        <v>0</v>
      </c>
      <c r="BL150" s="289">
        <v>0</v>
      </c>
      <c r="BM150" s="289">
        <v>0</v>
      </c>
      <c r="BN150" s="289">
        <v>194.79945552756374</v>
      </c>
      <c r="BO150" s="289">
        <v>127.11757226355121</v>
      </c>
      <c r="BP150" s="289">
        <v>178.7280132095801</v>
      </c>
      <c r="BQ150" s="289">
        <v>155.14136337996774</v>
      </c>
      <c r="BR150" s="289">
        <v>1.5486883120020911</v>
      </c>
      <c r="BS150" s="289">
        <v>0.72713620623724573</v>
      </c>
      <c r="BT150" s="289">
        <v>0</v>
      </c>
      <c r="BU150" s="289">
        <v>0</v>
      </c>
      <c r="BV150" s="289">
        <v>10.87662871153857</v>
      </c>
      <c r="BW150" s="517"/>
      <c r="BX150" s="517"/>
      <c r="CA150" s="517"/>
      <c r="CB150" s="517"/>
    </row>
    <row r="151" spans="1:80" ht="13">
      <c r="A151" s="1">
        <v>1848</v>
      </c>
      <c r="B151" s="2" t="s">
        <v>199</v>
      </c>
      <c r="C151" s="289">
        <v>2576</v>
      </c>
      <c r="D151" s="289">
        <v>39</v>
      </c>
      <c r="E151" s="289">
        <v>90</v>
      </c>
      <c r="F151" s="289">
        <v>270</v>
      </c>
      <c r="G151" s="289">
        <v>192</v>
      </c>
      <c r="H151" s="289">
        <v>1365</v>
      </c>
      <c r="I151" s="289">
        <v>436</v>
      </c>
      <c r="J151" s="289">
        <v>123</v>
      </c>
      <c r="K151" s="289">
        <v>39</v>
      </c>
      <c r="L151" s="289">
        <v>20</v>
      </c>
      <c r="M151" s="289">
        <v>313</v>
      </c>
      <c r="N151" s="290">
        <v>19</v>
      </c>
      <c r="O151" s="290">
        <v>22</v>
      </c>
      <c r="P151" s="624">
        <v>45363.207666670001</v>
      </c>
      <c r="Q151" s="624">
        <v>15247.589666669999</v>
      </c>
      <c r="R151" s="624">
        <v>13</v>
      </c>
      <c r="S151" s="289"/>
      <c r="T151" s="289">
        <v>209</v>
      </c>
      <c r="U151" s="716">
        <v>2.6289450994758678E-3</v>
      </c>
      <c r="V151" s="289">
        <v>1267.3594291100001</v>
      </c>
      <c r="W151" s="743">
        <v>1</v>
      </c>
      <c r="X151" s="289">
        <v>6068</v>
      </c>
      <c r="Y151" s="289">
        <v>414.28399999999999</v>
      </c>
      <c r="Z151" s="289">
        <v>66236</v>
      </c>
      <c r="AA151" s="289">
        <v>0</v>
      </c>
      <c r="AB151" s="290">
        <v>68</v>
      </c>
      <c r="AC151" s="289">
        <v>0</v>
      </c>
      <c r="AD151" s="289">
        <v>0</v>
      </c>
      <c r="AE151" s="289">
        <v>0</v>
      </c>
      <c r="AF151" s="289">
        <v>0</v>
      </c>
      <c r="AG151" s="289">
        <v>2554</v>
      </c>
      <c r="AH151" s="289">
        <v>349.32272882000001</v>
      </c>
      <c r="AI151" s="289">
        <v>150</v>
      </c>
      <c r="AJ151" s="289">
        <v>0</v>
      </c>
      <c r="AK151" s="289">
        <v>3.8250000000000002</v>
      </c>
      <c r="AL151" s="289">
        <v>4455</v>
      </c>
      <c r="AM151" s="836">
        <v>2.8248809999999999E-2</v>
      </c>
      <c r="AN151" s="289">
        <v>0</v>
      </c>
      <c r="AO151" s="289">
        <v>120.91618453</v>
      </c>
      <c r="AP151" s="289">
        <v>0</v>
      </c>
      <c r="AQ151" s="289">
        <v>0</v>
      </c>
      <c r="AR151" s="289">
        <v>-135.94354687000001</v>
      </c>
      <c r="AS151" s="289"/>
      <c r="AT151" s="289">
        <v>97</v>
      </c>
      <c r="AU151" s="289">
        <v>17</v>
      </c>
      <c r="AV151" s="625">
        <v>105102</v>
      </c>
      <c r="AW151" s="289"/>
      <c r="AX151" s="625">
        <v>18.203333300000001</v>
      </c>
      <c r="AY151" s="289">
        <v>429</v>
      </c>
      <c r="AZ151" s="289">
        <v>110</v>
      </c>
      <c r="BA151" s="290">
        <v>47</v>
      </c>
      <c r="BB151" s="289">
        <v>5698</v>
      </c>
      <c r="BC151" s="289">
        <v>749.61145454999996</v>
      </c>
      <c r="BD151" s="289">
        <v>34.216060891566293</v>
      </c>
      <c r="BE151" s="289">
        <v>111146.81156848</v>
      </c>
      <c r="BF151" s="289">
        <v>0</v>
      </c>
      <c r="BG151" s="289">
        <v>-103.7663</v>
      </c>
      <c r="BH151" s="289">
        <v>-7.2112999999999996</v>
      </c>
      <c r="BI151" s="289">
        <v>763.60672881999994</v>
      </c>
      <c r="BJ151" s="289">
        <v>0</v>
      </c>
      <c r="BK151" s="289">
        <v>0</v>
      </c>
      <c r="BL151" s="289">
        <v>0</v>
      </c>
      <c r="BM151" s="289">
        <v>0</v>
      </c>
      <c r="BN151" s="289">
        <v>256.09495781942093</v>
      </c>
      <c r="BO151" s="289">
        <v>153.74704402020731</v>
      </c>
      <c r="BP151" s="289">
        <v>231.24181648291164</v>
      </c>
      <c r="BQ151" s="289">
        <v>341.23707391196763</v>
      </c>
      <c r="BR151" s="289">
        <v>2.3190885715394933</v>
      </c>
      <c r="BS151" s="289">
        <v>0.85444764831883391</v>
      </c>
      <c r="BT151" s="289">
        <v>0</v>
      </c>
      <c r="BU151" s="289">
        <v>0</v>
      </c>
      <c r="BV151" s="289">
        <v>23.923400405230392</v>
      </c>
      <c r="BW151" s="517"/>
      <c r="BX151" s="517"/>
      <c r="CA151" s="517"/>
      <c r="CB151" s="517"/>
    </row>
    <row r="152" spans="1:80" ht="13">
      <c r="A152" s="1">
        <v>1849</v>
      </c>
      <c r="B152" s="2" t="s">
        <v>200</v>
      </c>
      <c r="C152" s="289">
        <v>1747</v>
      </c>
      <c r="D152" s="289">
        <v>27</v>
      </c>
      <c r="E152" s="289">
        <v>58</v>
      </c>
      <c r="F152" s="289">
        <v>174</v>
      </c>
      <c r="G152" s="289">
        <v>152</v>
      </c>
      <c r="H152" s="289">
        <v>940</v>
      </c>
      <c r="I152" s="289">
        <v>316</v>
      </c>
      <c r="J152" s="289">
        <v>84</v>
      </c>
      <c r="K152" s="289">
        <v>29</v>
      </c>
      <c r="L152" s="289">
        <v>15</v>
      </c>
      <c r="M152" s="289">
        <v>224</v>
      </c>
      <c r="N152" s="290">
        <v>24</v>
      </c>
      <c r="O152" s="290">
        <v>24</v>
      </c>
      <c r="P152" s="624">
        <v>30155.554666669999</v>
      </c>
      <c r="Q152" s="624">
        <v>11122.634666669999</v>
      </c>
      <c r="R152" s="624">
        <v>16</v>
      </c>
      <c r="S152" s="289"/>
      <c r="T152" s="289">
        <v>184</v>
      </c>
      <c r="U152" s="716">
        <v>1.0479184531617231E-3</v>
      </c>
      <c r="V152" s="289">
        <v>-866.22858984000004</v>
      </c>
      <c r="W152" s="743">
        <v>1</v>
      </c>
      <c r="X152" s="289">
        <v>4961</v>
      </c>
      <c r="Y152" s="289">
        <v>414.28399999999999</v>
      </c>
      <c r="Z152" s="289">
        <v>50853</v>
      </c>
      <c r="AA152" s="289">
        <v>0</v>
      </c>
      <c r="AB152" s="290">
        <v>34</v>
      </c>
      <c r="AC152" s="289">
        <v>0</v>
      </c>
      <c r="AD152" s="289">
        <v>0</v>
      </c>
      <c r="AE152" s="289">
        <v>0</v>
      </c>
      <c r="AF152" s="289">
        <v>0</v>
      </c>
      <c r="AG152" s="289">
        <v>1780</v>
      </c>
      <c r="AH152" s="289">
        <v>237.76257591000001</v>
      </c>
      <c r="AI152" s="289">
        <v>277</v>
      </c>
      <c r="AJ152" s="289">
        <v>2000</v>
      </c>
      <c r="AK152" s="289">
        <v>191.38399999999999</v>
      </c>
      <c r="AL152" s="289">
        <v>3166</v>
      </c>
      <c r="AM152" s="836">
        <v>3.6897260000000001E-2</v>
      </c>
      <c r="AN152" s="289">
        <v>0</v>
      </c>
      <c r="AO152" s="289">
        <v>90.653920999999997</v>
      </c>
      <c r="AP152" s="289">
        <v>0</v>
      </c>
      <c r="AQ152" s="289">
        <v>0</v>
      </c>
      <c r="AR152" s="289">
        <v>538.28352123000002</v>
      </c>
      <c r="AS152" s="290"/>
      <c r="AT152" s="289">
        <v>80</v>
      </c>
      <c r="AU152" s="289">
        <v>17</v>
      </c>
      <c r="AV152" s="625">
        <v>85062</v>
      </c>
      <c r="AW152" s="289"/>
      <c r="AX152" s="625">
        <v>9.1883333500000006</v>
      </c>
      <c r="AY152" s="289">
        <v>376</v>
      </c>
      <c r="AZ152" s="289">
        <v>88</v>
      </c>
      <c r="BA152" s="290">
        <v>26</v>
      </c>
      <c r="BB152" s="289">
        <v>5698</v>
      </c>
      <c r="BC152" s="289">
        <v>654.46321212999999</v>
      </c>
      <c r="BD152" s="289">
        <v>27.373511636520679</v>
      </c>
      <c r="BE152" s="289">
        <v>86973.749827759995</v>
      </c>
      <c r="BF152" s="289">
        <v>0</v>
      </c>
      <c r="BG152" s="289">
        <v>-71.946899999999999</v>
      </c>
      <c r="BH152" s="289">
        <v>-5.0259</v>
      </c>
      <c r="BI152" s="289">
        <v>652.04657591</v>
      </c>
      <c r="BJ152" s="289">
        <v>0</v>
      </c>
      <c r="BK152" s="289">
        <v>0</v>
      </c>
      <c r="BL152" s="289">
        <v>0</v>
      </c>
      <c r="BM152" s="289">
        <v>0</v>
      </c>
      <c r="BN152" s="289">
        <v>203.51806182959155</v>
      </c>
      <c r="BO152" s="289">
        <v>117.93496781485364</v>
      </c>
      <c r="BP152" s="289">
        <v>161.16305142505198</v>
      </c>
      <c r="BQ152" s="289">
        <v>136.01981522039165</v>
      </c>
      <c r="BR152" s="289">
        <v>1.8553157886975127</v>
      </c>
      <c r="BS152" s="289">
        <v>0.69660373118957808</v>
      </c>
      <c r="BT152" s="289">
        <v>0</v>
      </c>
      <c r="BU152" s="289">
        <v>0</v>
      </c>
      <c r="BV152" s="289">
        <v>9.5360579237716792</v>
      </c>
      <c r="BW152" s="517"/>
      <c r="BX152" s="517"/>
      <c r="CA152" s="517"/>
      <c r="CB152" s="517"/>
    </row>
    <row r="153" spans="1:80" ht="13">
      <c r="A153" s="1">
        <v>1850</v>
      </c>
      <c r="B153" s="2" t="s">
        <v>201</v>
      </c>
      <c r="C153" s="289">
        <v>1925</v>
      </c>
      <c r="D153" s="289">
        <v>32</v>
      </c>
      <c r="E153" s="289">
        <v>57</v>
      </c>
      <c r="F153" s="289">
        <v>217</v>
      </c>
      <c r="G153" s="289">
        <v>139</v>
      </c>
      <c r="H153" s="289">
        <v>1082</v>
      </c>
      <c r="I153" s="289">
        <v>322</v>
      </c>
      <c r="J153" s="289">
        <v>88</v>
      </c>
      <c r="K153" s="289">
        <v>21</v>
      </c>
      <c r="L153" s="289">
        <v>19</v>
      </c>
      <c r="M153" s="289">
        <v>236</v>
      </c>
      <c r="N153" s="290">
        <v>11</v>
      </c>
      <c r="O153" s="290">
        <v>14</v>
      </c>
      <c r="P153" s="624">
        <v>55057.016333330001</v>
      </c>
      <c r="Q153" s="624">
        <v>8017.3043333300002</v>
      </c>
      <c r="R153" s="624">
        <v>20</v>
      </c>
      <c r="S153" s="289"/>
      <c r="T153" s="289">
        <v>192</v>
      </c>
      <c r="U153" s="716">
        <v>6.4088321510712631E-4</v>
      </c>
      <c r="V153" s="289">
        <v>1037.9271679200001</v>
      </c>
      <c r="W153" s="743">
        <v>1</v>
      </c>
      <c r="X153" s="289">
        <v>4275</v>
      </c>
      <c r="Y153" s="289">
        <v>0</v>
      </c>
      <c r="Z153" s="289">
        <v>47833</v>
      </c>
      <c r="AA153" s="289">
        <v>0</v>
      </c>
      <c r="AB153" s="290">
        <v>40</v>
      </c>
      <c r="AC153" s="289">
        <v>0</v>
      </c>
      <c r="AD153" s="289">
        <v>0</v>
      </c>
      <c r="AE153" s="289">
        <v>0</v>
      </c>
      <c r="AF153" s="289">
        <v>0</v>
      </c>
      <c r="AG153" s="289">
        <v>1958</v>
      </c>
      <c r="AH153" s="289">
        <v>264.25811221999999</v>
      </c>
      <c r="AI153" s="289">
        <v>1150</v>
      </c>
      <c r="AJ153" s="289">
        <v>0</v>
      </c>
      <c r="AK153" s="289">
        <v>880.49</v>
      </c>
      <c r="AL153" s="289">
        <v>3433</v>
      </c>
      <c r="AM153" s="836">
        <v>3.8763480000000003E-2</v>
      </c>
      <c r="AN153" s="289">
        <v>0</v>
      </c>
      <c r="AO153" s="289">
        <v>99.026519300000004</v>
      </c>
      <c r="AP153" s="289">
        <v>0</v>
      </c>
      <c r="AQ153" s="289">
        <v>0</v>
      </c>
      <c r="AR153" s="289">
        <v>-104.21983742</v>
      </c>
      <c r="AS153" s="289"/>
      <c r="AT153" s="289">
        <v>74</v>
      </c>
      <c r="AU153" s="289">
        <v>27</v>
      </c>
      <c r="AV153" s="625">
        <v>88136</v>
      </c>
      <c r="AW153" s="289"/>
      <c r="AX153" s="625">
        <v>11.433333299999999</v>
      </c>
      <c r="AY153" s="289">
        <v>316</v>
      </c>
      <c r="AZ153" s="289">
        <v>74</v>
      </c>
      <c r="BA153" s="290">
        <v>37</v>
      </c>
      <c r="BB153" s="289">
        <v>5698</v>
      </c>
      <c r="BC153" s="289">
        <v>258.25951515999998</v>
      </c>
      <c r="BD153" s="289">
        <v>28.308275299859343</v>
      </c>
      <c r="BE153" s="289">
        <v>94665.62690576</v>
      </c>
      <c r="BF153" s="289">
        <v>0</v>
      </c>
      <c r="BG153" s="289">
        <v>-86.562399999999997</v>
      </c>
      <c r="BH153" s="289">
        <v>-5.5285000000000002</v>
      </c>
      <c r="BI153" s="289">
        <v>264.25811221999999</v>
      </c>
      <c r="BJ153" s="289">
        <v>0</v>
      </c>
      <c r="BK153" s="289">
        <v>0</v>
      </c>
      <c r="BL153" s="289">
        <v>0</v>
      </c>
      <c r="BM153" s="289">
        <v>194</v>
      </c>
      <c r="BN153" s="289">
        <v>220.09285896163516</v>
      </c>
      <c r="BO153" s="289">
        <v>127.54814234846492</v>
      </c>
      <c r="BP153" s="289">
        <v>177.27935656755716</v>
      </c>
      <c r="BQ153" s="289">
        <v>83.186641320904968</v>
      </c>
      <c r="BR153" s="289">
        <v>1.9186719925460223</v>
      </c>
      <c r="BS153" s="289">
        <v>0.73316621479127198</v>
      </c>
      <c r="BT153" s="289">
        <v>0</v>
      </c>
      <c r="BU153" s="289">
        <v>0</v>
      </c>
      <c r="BV153" s="289">
        <v>5.8320372574748482</v>
      </c>
      <c r="BW153" s="517"/>
      <c r="BX153" s="517"/>
      <c r="CA153" s="517"/>
      <c r="CB153" s="517"/>
    </row>
    <row r="154" spans="1:80" ht="13">
      <c r="A154" s="1">
        <v>1851</v>
      </c>
      <c r="B154" s="2" t="s">
        <v>202</v>
      </c>
      <c r="C154" s="289">
        <v>2077</v>
      </c>
      <c r="D154" s="289">
        <v>23</v>
      </c>
      <c r="E154" s="289">
        <v>55</v>
      </c>
      <c r="F154" s="289">
        <v>215</v>
      </c>
      <c r="G154" s="289">
        <v>179</v>
      </c>
      <c r="H154" s="289">
        <v>1102</v>
      </c>
      <c r="I154" s="289">
        <v>355</v>
      </c>
      <c r="J154" s="289">
        <v>116</v>
      </c>
      <c r="K154" s="289">
        <v>34</v>
      </c>
      <c r="L154" s="289">
        <v>15</v>
      </c>
      <c r="M154" s="289">
        <v>232</v>
      </c>
      <c r="N154" s="290">
        <v>49</v>
      </c>
      <c r="O154" s="290">
        <v>37</v>
      </c>
      <c r="P154" s="624">
        <v>15354.366333329999</v>
      </c>
      <c r="Q154" s="624">
        <v>6496.0196666700003</v>
      </c>
      <c r="R154" s="624">
        <v>18</v>
      </c>
      <c r="S154" s="289"/>
      <c r="T154" s="289">
        <v>171</v>
      </c>
      <c r="U154" s="716">
        <v>6.8995814968780443E-4</v>
      </c>
      <c r="V154" s="289">
        <v>1052.9054399700001</v>
      </c>
      <c r="W154" s="743">
        <v>1</v>
      </c>
      <c r="X154" s="289">
        <v>587</v>
      </c>
      <c r="Y154" s="289">
        <v>414.28399999999999</v>
      </c>
      <c r="Z154" s="289">
        <v>52472</v>
      </c>
      <c r="AA154" s="289">
        <v>0</v>
      </c>
      <c r="AB154" s="290">
        <v>57</v>
      </c>
      <c r="AC154" s="289">
        <v>0</v>
      </c>
      <c r="AD154" s="289">
        <v>0</v>
      </c>
      <c r="AE154" s="289">
        <v>0</v>
      </c>
      <c r="AF154" s="289">
        <v>0</v>
      </c>
      <c r="AG154" s="289">
        <v>2079</v>
      </c>
      <c r="AH154" s="289">
        <v>277.50588038000001</v>
      </c>
      <c r="AI154" s="289">
        <v>2000</v>
      </c>
      <c r="AJ154" s="289">
        <v>0</v>
      </c>
      <c r="AK154" s="289">
        <v>0</v>
      </c>
      <c r="AL154" s="289">
        <v>3695</v>
      </c>
      <c r="AM154" s="836">
        <v>0.10107722</v>
      </c>
      <c r="AN154" s="289">
        <v>0</v>
      </c>
      <c r="AO154" s="289">
        <v>100.45556576</v>
      </c>
      <c r="AP154" s="289">
        <v>0</v>
      </c>
      <c r="AQ154" s="289">
        <v>0</v>
      </c>
      <c r="AR154" s="289">
        <v>-110.66038917</v>
      </c>
      <c r="AS154" s="289"/>
      <c r="AT154" s="289">
        <v>110</v>
      </c>
      <c r="AU154" s="289">
        <v>29</v>
      </c>
      <c r="AV154" s="625">
        <v>87491</v>
      </c>
      <c r="AW154" s="289"/>
      <c r="AX154" s="625">
        <v>6.0866667000000003</v>
      </c>
      <c r="AY154" s="289">
        <v>366</v>
      </c>
      <c r="AZ154" s="289">
        <v>140</v>
      </c>
      <c r="BA154" s="290">
        <v>48</v>
      </c>
      <c r="BB154" s="289">
        <v>5698</v>
      </c>
      <c r="BC154" s="289">
        <v>697.50646465</v>
      </c>
      <c r="BD154" s="289">
        <v>37.213075660976173</v>
      </c>
      <c r="BE154" s="289">
        <v>90081.604105170001</v>
      </c>
      <c r="BF154" s="289">
        <v>0</v>
      </c>
      <c r="BG154" s="289">
        <v>-80.5732</v>
      </c>
      <c r="BH154" s="289">
        <v>-5.8700999999999999</v>
      </c>
      <c r="BI154" s="289">
        <v>691.78988038</v>
      </c>
      <c r="BJ154" s="289">
        <v>0</v>
      </c>
      <c r="BK154" s="289">
        <v>0</v>
      </c>
      <c r="BL154" s="289">
        <v>0</v>
      </c>
      <c r="BM154" s="289">
        <v>0</v>
      </c>
      <c r="BN154" s="289">
        <v>226.46659606010456</v>
      </c>
      <c r="BO154" s="289">
        <v>122.42784958874537</v>
      </c>
      <c r="BP154" s="289">
        <v>188.23482242285561</v>
      </c>
      <c r="BQ154" s="289">
        <v>89.556567829477018</v>
      </c>
      <c r="BR154" s="289">
        <v>2.5222195725772747</v>
      </c>
      <c r="BS154" s="289">
        <v>0.75753071756276646</v>
      </c>
      <c r="BT154" s="289">
        <v>0</v>
      </c>
      <c r="BU154" s="289">
        <v>0</v>
      </c>
      <c r="BV154" s="289">
        <v>6.2786191621590195</v>
      </c>
      <c r="BW154" s="517"/>
      <c r="BX154" s="517"/>
      <c r="CA154" s="517"/>
      <c r="CB154" s="517"/>
    </row>
    <row r="155" spans="1:80" ht="13">
      <c r="A155" s="1">
        <v>1852</v>
      </c>
      <c r="B155" s="2" t="s">
        <v>203</v>
      </c>
      <c r="C155" s="289">
        <v>1259</v>
      </c>
      <c r="D155" s="289">
        <v>14</v>
      </c>
      <c r="E155" s="289">
        <v>37</v>
      </c>
      <c r="F155" s="289">
        <v>135</v>
      </c>
      <c r="G155" s="289">
        <v>87</v>
      </c>
      <c r="H155" s="289">
        <v>645</v>
      </c>
      <c r="I155" s="289">
        <v>230</v>
      </c>
      <c r="J155" s="289">
        <v>77</v>
      </c>
      <c r="K155" s="289">
        <v>26</v>
      </c>
      <c r="L155" s="289">
        <v>8</v>
      </c>
      <c r="M155" s="289">
        <v>125</v>
      </c>
      <c r="N155" s="290">
        <v>1.5</v>
      </c>
      <c r="O155" s="290">
        <v>2</v>
      </c>
      <c r="P155" s="624">
        <v>20583.91666667</v>
      </c>
      <c r="Q155" s="624">
        <v>4726.49533333</v>
      </c>
      <c r="R155" s="624">
        <v>6</v>
      </c>
      <c r="S155" s="289"/>
      <c r="T155" s="289">
        <v>87</v>
      </c>
      <c r="U155" s="716">
        <v>6.1969187210463299E-4</v>
      </c>
      <c r="V155" s="289">
        <v>673.17129640999997</v>
      </c>
      <c r="W155" s="743">
        <v>0.99605043000000004</v>
      </c>
      <c r="X155" s="289">
        <v>257</v>
      </c>
      <c r="Y155" s="289">
        <v>414.28399999999999</v>
      </c>
      <c r="Z155" s="289">
        <v>27623</v>
      </c>
      <c r="AA155" s="289">
        <v>0</v>
      </c>
      <c r="AB155" s="290">
        <v>40</v>
      </c>
      <c r="AC155" s="289">
        <v>0</v>
      </c>
      <c r="AD155" s="289">
        <v>0</v>
      </c>
      <c r="AE155" s="289">
        <v>0</v>
      </c>
      <c r="AF155" s="289">
        <v>0</v>
      </c>
      <c r="AG155" s="289">
        <v>1251</v>
      </c>
      <c r="AH155" s="289">
        <v>166.64297841999999</v>
      </c>
      <c r="AI155" s="289">
        <v>140</v>
      </c>
      <c r="AJ155" s="289">
        <v>0</v>
      </c>
      <c r="AK155" s="289">
        <v>0</v>
      </c>
      <c r="AL155" s="289">
        <v>2213</v>
      </c>
      <c r="AM155" s="836">
        <v>9.0708300000000002E-3</v>
      </c>
      <c r="AN155" s="289">
        <v>0</v>
      </c>
      <c r="AO155" s="289">
        <v>64.225903740000007</v>
      </c>
      <c r="AP155" s="289">
        <v>0</v>
      </c>
      <c r="AQ155" s="289">
        <v>0</v>
      </c>
      <c r="AR155" s="289">
        <v>585.19258946000002</v>
      </c>
      <c r="AS155" s="289"/>
      <c r="AT155" s="289">
        <v>79</v>
      </c>
      <c r="AU155" s="289">
        <v>7</v>
      </c>
      <c r="AV155" s="625">
        <v>61610</v>
      </c>
      <c r="AW155" s="289"/>
      <c r="AX155" s="625">
        <v>3.2299999499999998</v>
      </c>
      <c r="AY155" s="289">
        <v>193</v>
      </c>
      <c r="AZ155" s="289">
        <v>26</v>
      </c>
      <c r="BA155" s="290">
        <v>39</v>
      </c>
      <c r="BB155" s="289">
        <v>5698</v>
      </c>
      <c r="BC155" s="289">
        <v>158.58040403999999</v>
      </c>
      <c r="BD155" s="289">
        <v>15.172465340023344</v>
      </c>
      <c r="BE155" s="289">
        <v>61675.848358509997</v>
      </c>
      <c r="BF155" s="289">
        <v>0</v>
      </c>
      <c r="BG155" s="289">
        <v>-54.009300000000003</v>
      </c>
      <c r="BH155" s="289">
        <v>-3.5322</v>
      </c>
      <c r="BI155" s="289">
        <v>580.92697841999995</v>
      </c>
      <c r="BJ155" s="289">
        <v>0</v>
      </c>
      <c r="BK155" s="289">
        <v>0</v>
      </c>
      <c r="BL155" s="289">
        <v>0</v>
      </c>
      <c r="BM155" s="289">
        <v>0</v>
      </c>
      <c r="BN155" s="289">
        <v>137.97300233850763</v>
      </c>
      <c r="BO155" s="289">
        <v>92.248230046353683</v>
      </c>
      <c r="BP155" s="289">
        <v>113.26684119816854</v>
      </c>
      <c r="BQ155" s="289">
        <v>80.436004999181364</v>
      </c>
      <c r="BR155" s="289">
        <v>1.0283559841571379</v>
      </c>
      <c r="BS155" s="289">
        <v>0.58720926572005638</v>
      </c>
      <c r="BT155" s="289">
        <v>0</v>
      </c>
      <c r="BU155" s="289">
        <v>0</v>
      </c>
      <c r="BV155" s="289">
        <v>5.6391960361521596</v>
      </c>
      <c r="BW155" s="517"/>
      <c r="BX155" s="517"/>
      <c r="CA155" s="517"/>
      <c r="CB155" s="517"/>
    </row>
    <row r="156" spans="1:80" ht="13">
      <c r="A156" s="1">
        <v>1853</v>
      </c>
      <c r="B156" s="2" t="s">
        <v>204</v>
      </c>
      <c r="C156" s="289">
        <v>1387</v>
      </c>
      <c r="D156" s="289">
        <v>17</v>
      </c>
      <c r="E156" s="289">
        <v>52</v>
      </c>
      <c r="F156" s="289">
        <v>147</v>
      </c>
      <c r="G156" s="289">
        <v>120</v>
      </c>
      <c r="H156" s="289">
        <v>725</v>
      </c>
      <c r="I156" s="289">
        <v>249</v>
      </c>
      <c r="J156" s="289">
        <v>81</v>
      </c>
      <c r="K156" s="289">
        <v>20</v>
      </c>
      <c r="L156" s="289">
        <v>12</v>
      </c>
      <c r="M156" s="289">
        <v>170</v>
      </c>
      <c r="N156" s="290">
        <v>14</v>
      </c>
      <c r="O156" s="290">
        <v>20</v>
      </c>
      <c r="P156" s="624">
        <v>11369.289000000001</v>
      </c>
      <c r="Q156" s="624">
        <v>6161.9636666699998</v>
      </c>
      <c r="R156" s="624">
        <v>9</v>
      </c>
      <c r="S156" s="289"/>
      <c r="T156" s="289">
        <v>108</v>
      </c>
      <c r="U156" s="716">
        <v>8.6642989773562948E-4</v>
      </c>
      <c r="V156" s="289">
        <v>750.39654540000004</v>
      </c>
      <c r="W156" s="743">
        <v>0.92846024999999999</v>
      </c>
      <c r="X156" s="289">
        <v>4421</v>
      </c>
      <c r="Y156" s="289">
        <v>0</v>
      </c>
      <c r="Z156" s="289">
        <v>30761</v>
      </c>
      <c r="AA156" s="289">
        <v>0</v>
      </c>
      <c r="AB156" s="290">
        <v>35</v>
      </c>
      <c r="AC156" s="289">
        <v>0</v>
      </c>
      <c r="AD156" s="289">
        <v>0</v>
      </c>
      <c r="AE156" s="289">
        <v>0</v>
      </c>
      <c r="AF156" s="289">
        <v>0</v>
      </c>
      <c r="AG156" s="289">
        <v>1411</v>
      </c>
      <c r="AH156" s="289">
        <v>204.29453003</v>
      </c>
      <c r="AI156" s="289">
        <v>0</v>
      </c>
      <c r="AJ156" s="289">
        <v>3000</v>
      </c>
      <c r="AK156" s="289">
        <v>0</v>
      </c>
      <c r="AL156" s="289">
        <v>2438</v>
      </c>
      <c r="AM156" s="836">
        <v>2.648967E-2</v>
      </c>
      <c r="AN156" s="289">
        <v>0</v>
      </c>
      <c r="AO156" s="289">
        <v>71.593807620000007</v>
      </c>
      <c r="AP156" s="289">
        <v>0</v>
      </c>
      <c r="AQ156" s="289">
        <v>0</v>
      </c>
      <c r="AR156" s="289">
        <v>-75.104285290000007</v>
      </c>
      <c r="AS156" s="289"/>
      <c r="AT156" s="289">
        <v>70</v>
      </c>
      <c r="AU156" s="289">
        <v>8</v>
      </c>
      <c r="AV156" s="625">
        <v>67075</v>
      </c>
      <c r="AW156" s="289"/>
      <c r="AX156" s="625">
        <v>9.0666667000000007</v>
      </c>
      <c r="AY156" s="289">
        <v>215</v>
      </c>
      <c r="AZ156" s="289">
        <v>91</v>
      </c>
      <c r="BA156" s="290">
        <v>26</v>
      </c>
      <c r="BB156" s="289">
        <v>5698</v>
      </c>
      <c r="BC156" s="289">
        <v>199.35822223</v>
      </c>
      <c r="BD156" s="289">
        <v>19.214274032199505</v>
      </c>
      <c r="BE156" s="289">
        <v>71305.254963629995</v>
      </c>
      <c r="BF156" s="289">
        <v>0</v>
      </c>
      <c r="BG156" s="289">
        <v>-57.652799999999999</v>
      </c>
      <c r="BH156" s="289">
        <v>-3.984</v>
      </c>
      <c r="BI156" s="289">
        <v>204.29453003</v>
      </c>
      <c r="BJ156" s="289">
        <v>0</v>
      </c>
      <c r="BK156" s="289">
        <v>0</v>
      </c>
      <c r="BL156" s="289">
        <v>0</v>
      </c>
      <c r="BM156" s="289">
        <v>0</v>
      </c>
      <c r="BN156" s="289">
        <v>152.95622296948514</v>
      </c>
      <c r="BO156" s="289">
        <v>93.632247844428207</v>
      </c>
      <c r="BP156" s="289">
        <v>127.75340761839793</v>
      </c>
      <c r="BQ156" s="289">
        <v>112.46260072608472</v>
      </c>
      <c r="BR156" s="289">
        <v>1.3023007955157442</v>
      </c>
      <c r="BS156" s="289">
        <v>0.59768863545212714</v>
      </c>
      <c r="BT156" s="289">
        <v>0</v>
      </c>
      <c r="BU156" s="289">
        <v>0</v>
      </c>
      <c r="BV156" s="289">
        <v>7.8845120693942263</v>
      </c>
      <c r="BW156" s="517"/>
      <c r="BX156" s="517"/>
      <c r="CA156" s="517"/>
      <c r="CB156" s="517"/>
    </row>
    <row r="157" spans="1:80" ht="13">
      <c r="A157" s="1">
        <v>1854</v>
      </c>
      <c r="B157" s="2" t="s">
        <v>205</v>
      </c>
      <c r="C157" s="289">
        <v>2470</v>
      </c>
      <c r="D157" s="289">
        <v>39</v>
      </c>
      <c r="E157" s="289">
        <v>81</v>
      </c>
      <c r="F157" s="289">
        <v>293</v>
      </c>
      <c r="G157" s="289">
        <v>214</v>
      </c>
      <c r="H157" s="289">
        <v>1311</v>
      </c>
      <c r="I157" s="289">
        <v>403</v>
      </c>
      <c r="J157" s="289">
        <v>129</v>
      </c>
      <c r="K157" s="289">
        <v>29</v>
      </c>
      <c r="L157" s="289">
        <v>23</v>
      </c>
      <c r="M157" s="289">
        <v>273</v>
      </c>
      <c r="N157" s="290">
        <v>11</v>
      </c>
      <c r="O157" s="290">
        <v>26</v>
      </c>
      <c r="P157" s="624">
        <v>14799.641</v>
      </c>
      <c r="Q157" s="624">
        <v>6818.9733333300001</v>
      </c>
      <c r="R157" s="624">
        <v>17</v>
      </c>
      <c r="S157" s="289"/>
      <c r="T157" s="289">
        <v>215</v>
      </c>
      <c r="U157" s="716">
        <v>1.299333640158271E-3</v>
      </c>
      <c r="V157" s="289">
        <v>1204.63148559</v>
      </c>
      <c r="W157" s="743">
        <v>0.98496050000000002</v>
      </c>
      <c r="X157" s="289">
        <v>984</v>
      </c>
      <c r="Y157" s="289">
        <v>265.22399999999999</v>
      </c>
      <c r="Z157" s="289">
        <v>52910</v>
      </c>
      <c r="AA157" s="289">
        <v>0</v>
      </c>
      <c r="AB157" s="290">
        <v>64</v>
      </c>
      <c r="AC157" s="289">
        <v>0</v>
      </c>
      <c r="AD157" s="289">
        <v>0</v>
      </c>
      <c r="AE157" s="289">
        <v>0</v>
      </c>
      <c r="AF157" s="289">
        <v>0</v>
      </c>
      <c r="AG157" s="289">
        <v>2499</v>
      </c>
      <c r="AH157" s="289">
        <v>378.60726897000001</v>
      </c>
      <c r="AI157" s="289">
        <v>0</v>
      </c>
      <c r="AJ157" s="289">
        <v>0</v>
      </c>
      <c r="AK157" s="289">
        <v>0</v>
      </c>
      <c r="AL157" s="289">
        <v>4434</v>
      </c>
      <c r="AM157" s="836">
        <v>2.8002900000000001E-2</v>
      </c>
      <c r="AN157" s="289">
        <v>0</v>
      </c>
      <c r="AO157" s="289">
        <v>114.93143907</v>
      </c>
      <c r="AP157" s="289">
        <v>0</v>
      </c>
      <c r="AQ157" s="289">
        <v>0</v>
      </c>
      <c r="AR157" s="289">
        <v>-133.01602335000001</v>
      </c>
      <c r="AS157" s="289"/>
      <c r="AT157" s="289">
        <v>88</v>
      </c>
      <c r="AU157" s="289">
        <v>23</v>
      </c>
      <c r="AV157" s="625">
        <v>97963</v>
      </c>
      <c r="AW157" s="289"/>
      <c r="AX157" s="625">
        <v>11.7333333</v>
      </c>
      <c r="AY157" s="289">
        <v>348</v>
      </c>
      <c r="AZ157" s="289">
        <v>88</v>
      </c>
      <c r="BA157" s="290">
        <v>54</v>
      </c>
      <c r="BB157" s="289">
        <v>5698</v>
      </c>
      <c r="BC157" s="289">
        <v>640.99112121999997</v>
      </c>
      <c r="BD157" s="289">
        <v>33.301059388671767</v>
      </c>
      <c r="BE157" s="289">
        <v>99818.208675200003</v>
      </c>
      <c r="BF157" s="289">
        <v>0</v>
      </c>
      <c r="BG157" s="289">
        <v>-101.6913</v>
      </c>
      <c r="BH157" s="289">
        <v>-7.056</v>
      </c>
      <c r="BI157" s="289">
        <v>643.83126897</v>
      </c>
      <c r="BJ157" s="289">
        <v>0</v>
      </c>
      <c r="BK157" s="289">
        <v>0</v>
      </c>
      <c r="BL157" s="289">
        <v>0</v>
      </c>
      <c r="BM157" s="289">
        <v>526</v>
      </c>
      <c r="BN157" s="289">
        <v>246.26237265965793</v>
      </c>
      <c r="BO157" s="289">
        <v>136.67290864907798</v>
      </c>
      <c r="BP157" s="289">
        <v>226.2620592759578</v>
      </c>
      <c r="BQ157" s="289">
        <v>168.65350649254356</v>
      </c>
      <c r="BR157" s="289">
        <v>2.2570718030099752</v>
      </c>
      <c r="BS157" s="289">
        <v>0.83891744979927108</v>
      </c>
      <c r="BT157" s="289">
        <v>0</v>
      </c>
      <c r="BU157" s="289">
        <v>0</v>
      </c>
      <c r="BV157" s="289">
        <v>11.823936125440262</v>
      </c>
      <c r="BW157" s="517"/>
      <c r="BX157" s="517"/>
      <c r="CA157" s="517"/>
      <c r="CB157" s="517"/>
    </row>
    <row r="158" spans="1:80" ht="13">
      <c r="A158" s="1">
        <v>1856</v>
      </c>
      <c r="B158" s="2" t="s">
        <v>206</v>
      </c>
      <c r="C158" s="289">
        <v>508</v>
      </c>
      <c r="D158" s="289">
        <v>6</v>
      </c>
      <c r="E158" s="289">
        <v>12</v>
      </c>
      <c r="F158" s="289">
        <v>53</v>
      </c>
      <c r="G158" s="289">
        <v>42</v>
      </c>
      <c r="H158" s="289">
        <v>302</v>
      </c>
      <c r="I158" s="289">
        <v>63</v>
      </c>
      <c r="J158" s="289">
        <v>33</v>
      </c>
      <c r="K158" s="289">
        <v>6</v>
      </c>
      <c r="L158" s="289">
        <v>6</v>
      </c>
      <c r="M158" s="289">
        <v>60</v>
      </c>
      <c r="N158" s="290">
        <v>0</v>
      </c>
      <c r="O158" s="290">
        <v>4</v>
      </c>
      <c r="P158" s="624">
        <v>320.12900000000002</v>
      </c>
      <c r="Q158" s="624">
        <v>717.74433333000002</v>
      </c>
      <c r="R158" s="624">
        <v>0</v>
      </c>
      <c r="S158" s="289"/>
      <c r="T158" s="289">
        <v>59</v>
      </c>
      <c r="U158" s="716">
        <v>1.6732631104732139E-4</v>
      </c>
      <c r="V158" s="289">
        <v>322.37023440000002</v>
      </c>
      <c r="W158" s="743">
        <v>1</v>
      </c>
      <c r="X158" s="289">
        <v>400</v>
      </c>
      <c r="Y158" s="289">
        <v>0</v>
      </c>
      <c r="Z158" s="289">
        <v>18474</v>
      </c>
      <c r="AA158" s="289">
        <v>0</v>
      </c>
      <c r="AB158" s="290">
        <v>8</v>
      </c>
      <c r="AC158" s="289">
        <v>0</v>
      </c>
      <c r="AD158" s="289">
        <v>0</v>
      </c>
      <c r="AE158" s="289">
        <v>0</v>
      </c>
      <c r="AF158" s="289">
        <v>0</v>
      </c>
      <c r="AG158" s="289">
        <v>517</v>
      </c>
      <c r="AH158" s="289">
        <v>100</v>
      </c>
      <c r="AI158" s="289">
        <v>0</v>
      </c>
      <c r="AJ158" s="289">
        <v>0</v>
      </c>
      <c r="AK158" s="289">
        <v>19.114999999999998</v>
      </c>
      <c r="AL158" s="289">
        <v>909</v>
      </c>
      <c r="AM158" s="836">
        <v>1.9753900000000001E-2</v>
      </c>
      <c r="AN158" s="289">
        <v>0</v>
      </c>
      <c r="AO158" s="289">
        <v>30.756688159999999</v>
      </c>
      <c r="AP158" s="289">
        <v>0</v>
      </c>
      <c r="AQ158" s="289">
        <v>0</v>
      </c>
      <c r="AR158" s="289">
        <v>-27.518721119999999</v>
      </c>
      <c r="AS158" s="289"/>
      <c r="AT158" s="289">
        <v>32</v>
      </c>
      <c r="AU158" s="289">
        <v>11</v>
      </c>
      <c r="AV158" s="625">
        <v>32981</v>
      </c>
      <c r="AW158" s="289"/>
      <c r="AX158" s="625">
        <v>2.1666666999999999</v>
      </c>
      <c r="AY158" s="289">
        <v>57</v>
      </c>
      <c r="AZ158" s="289">
        <v>15</v>
      </c>
      <c r="BA158" s="290">
        <v>18</v>
      </c>
      <c r="BB158" s="289">
        <v>5698</v>
      </c>
      <c r="BC158" s="289">
        <v>113.27171717</v>
      </c>
      <c r="BD158" s="289">
        <v>8.3919321338518476</v>
      </c>
      <c r="BE158" s="289">
        <v>34716.377730460001</v>
      </c>
      <c r="BF158" s="289">
        <v>0</v>
      </c>
      <c r="BG158" s="289">
        <v>-25.368600000000001</v>
      </c>
      <c r="BH158" s="289">
        <v>-1.4598</v>
      </c>
      <c r="BI158" s="289">
        <v>100</v>
      </c>
      <c r="BJ158" s="289">
        <v>0</v>
      </c>
      <c r="BK158" s="289">
        <v>0</v>
      </c>
      <c r="BL158" s="289">
        <v>0</v>
      </c>
      <c r="BM158" s="289">
        <v>0</v>
      </c>
      <c r="BN158" s="289">
        <v>56.646468448515229</v>
      </c>
      <c r="BO158" s="289">
        <v>52.993392344865249</v>
      </c>
      <c r="BP158" s="289">
        <v>46.809717745366214</v>
      </c>
      <c r="BQ158" s="289">
        <v>21.718955173942312</v>
      </c>
      <c r="BR158" s="289">
        <v>0.56878651129440316</v>
      </c>
      <c r="BS158" s="289">
        <v>0.44018390184865036</v>
      </c>
      <c r="BT158" s="289">
        <v>0</v>
      </c>
      <c r="BU158" s="289">
        <v>0</v>
      </c>
      <c r="BV158" s="289">
        <v>1.5226694305306245</v>
      </c>
      <c r="BW158" s="517"/>
      <c r="BX158" s="517"/>
      <c r="CA158" s="517"/>
      <c r="CB158" s="517"/>
    </row>
    <row r="159" spans="1:80" ht="13">
      <c r="A159" s="1">
        <v>1857</v>
      </c>
      <c r="B159" s="2" t="s">
        <v>207</v>
      </c>
      <c r="C159" s="289">
        <v>732</v>
      </c>
      <c r="D159" s="289">
        <v>18</v>
      </c>
      <c r="E159" s="289">
        <v>28</v>
      </c>
      <c r="F159" s="289">
        <v>78</v>
      </c>
      <c r="G159" s="289">
        <v>61</v>
      </c>
      <c r="H159" s="289">
        <v>414</v>
      </c>
      <c r="I159" s="289">
        <v>105</v>
      </c>
      <c r="J159" s="289">
        <v>32</v>
      </c>
      <c r="K159" s="289">
        <v>10</v>
      </c>
      <c r="L159" s="289">
        <v>7</v>
      </c>
      <c r="M159" s="289">
        <v>63</v>
      </c>
      <c r="N159" s="290">
        <v>0</v>
      </c>
      <c r="O159" s="290">
        <v>5</v>
      </c>
      <c r="P159" s="624">
        <v>215.14266667000001</v>
      </c>
      <c r="Q159" s="624">
        <v>4107.6499999999996</v>
      </c>
      <c r="R159" s="624">
        <v>8</v>
      </c>
      <c r="S159" s="289"/>
      <c r="T159" s="289">
        <v>65</v>
      </c>
      <c r="U159" s="716">
        <v>5.8848291743027241E-5</v>
      </c>
      <c r="V159" s="289">
        <v>451.74422541000001</v>
      </c>
      <c r="W159" s="743">
        <v>1</v>
      </c>
      <c r="X159" s="289">
        <v>400</v>
      </c>
      <c r="Y159" s="289">
        <v>0</v>
      </c>
      <c r="Z159" s="289">
        <v>22943</v>
      </c>
      <c r="AA159" s="289">
        <v>0</v>
      </c>
      <c r="AB159" s="290">
        <v>12</v>
      </c>
      <c r="AC159" s="289">
        <v>0</v>
      </c>
      <c r="AD159" s="289">
        <v>0</v>
      </c>
      <c r="AE159" s="289">
        <v>0</v>
      </c>
      <c r="AF159" s="289">
        <v>0</v>
      </c>
      <c r="AG159" s="289">
        <v>746</v>
      </c>
      <c r="AH159" s="289">
        <v>109.46840005</v>
      </c>
      <c r="AI159" s="289">
        <v>1158</v>
      </c>
      <c r="AJ159" s="289">
        <v>0</v>
      </c>
      <c r="AK159" s="289">
        <v>3.391</v>
      </c>
      <c r="AL159" s="289">
        <v>1311</v>
      </c>
      <c r="AM159" s="836">
        <v>4.582079E-2</v>
      </c>
      <c r="AN159" s="289">
        <v>0</v>
      </c>
      <c r="AO159" s="289">
        <v>43.099997420000001</v>
      </c>
      <c r="AP159" s="289">
        <v>0</v>
      </c>
      <c r="AQ159" s="289">
        <v>0</v>
      </c>
      <c r="AR159" s="289">
        <v>-39.70786451</v>
      </c>
      <c r="AS159" s="289"/>
      <c r="AT159" s="289">
        <v>30</v>
      </c>
      <c r="AU159" s="289">
        <v>17</v>
      </c>
      <c r="AV159" s="625">
        <v>43078</v>
      </c>
      <c r="AW159" s="289"/>
      <c r="AX159" s="625">
        <v>6.2866666999999996</v>
      </c>
      <c r="AY159" s="289">
        <v>68</v>
      </c>
      <c r="AZ159" s="289">
        <v>50</v>
      </c>
      <c r="BA159" s="290">
        <v>8</v>
      </c>
      <c r="BB159" s="289">
        <v>5698</v>
      </c>
      <c r="BC159" s="289">
        <v>113.27171717</v>
      </c>
      <c r="BD159" s="289">
        <v>12.041138811354953</v>
      </c>
      <c r="BE159" s="289">
        <v>45614.702522929998</v>
      </c>
      <c r="BF159" s="289">
        <v>0</v>
      </c>
      <c r="BG159" s="289">
        <v>-33.996299999999998</v>
      </c>
      <c r="BH159" s="289">
        <v>-2.1063000000000001</v>
      </c>
      <c r="BI159" s="289">
        <v>109.46840005</v>
      </c>
      <c r="BJ159" s="289">
        <v>0</v>
      </c>
      <c r="BK159" s="289">
        <v>0</v>
      </c>
      <c r="BL159" s="289">
        <v>0</v>
      </c>
      <c r="BM159" s="289">
        <v>0</v>
      </c>
      <c r="BN159" s="289">
        <v>86.957369502779457</v>
      </c>
      <c r="BO159" s="289">
        <v>63.629334286171122</v>
      </c>
      <c r="BP159" s="289">
        <v>67.543615934319533</v>
      </c>
      <c r="BQ159" s="289">
        <v>7.6385082682449337</v>
      </c>
      <c r="BR159" s="289">
        <v>0.81612163054739129</v>
      </c>
      <c r="BS159" s="289">
        <v>0.48697169427287879</v>
      </c>
      <c r="BT159" s="289">
        <v>0</v>
      </c>
      <c r="BU159" s="289">
        <v>0</v>
      </c>
      <c r="BV159" s="289">
        <v>0.53551945486154795</v>
      </c>
      <c r="BW159" s="517"/>
      <c r="BX159" s="517"/>
      <c r="CA159" s="517"/>
      <c r="CB159" s="517"/>
    </row>
    <row r="160" spans="1:80" ht="13">
      <c r="A160" s="1">
        <v>1859</v>
      </c>
      <c r="B160" s="2" t="s">
        <v>208</v>
      </c>
      <c r="C160" s="289">
        <v>1292</v>
      </c>
      <c r="D160" s="289">
        <v>11</v>
      </c>
      <c r="E160" s="289">
        <v>54</v>
      </c>
      <c r="F160" s="289">
        <v>124</v>
      </c>
      <c r="G160" s="289">
        <v>136</v>
      </c>
      <c r="H160" s="289">
        <v>686</v>
      </c>
      <c r="I160" s="289">
        <v>179</v>
      </c>
      <c r="J160" s="289">
        <v>88</v>
      </c>
      <c r="K160" s="289">
        <v>18</v>
      </c>
      <c r="L160" s="289">
        <v>11</v>
      </c>
      <c r="M160" s="289">
        <v>136</v>
      </c>
      <c r="N160" s="290">
        <v>0</v>
      </c>
      <c r="O160" s="290">
        <v>16</v>
      </c>
      <c r="P160" s="624">
        <v>13117.685333330001</v>
      </c>
      <c r="Q160" s="624">
        <v>5576.0096666700001</v>
      </c>
      <c r="R160" s="624">
        <v>9</v>
      </c>
      <c r="S160" s="289"/>
      <c r="T160" s="289">
        <v>86</v>
      </c>
      <c r="U160" s="716">
        <v>6.0135942947034133E-4</v>
      </c>
      <c r="V160" s="289">
        <v>-2187.4611599899999</v>
      </c>
      <c r="W160" s="743">
        <v>0.93268220999999996</v>
      </c>
      <c r="X160" s="289">
        <v>2363</v>
      </c>
      <c r="Y160" s="289">
        <v>0</v>
      </c>
      <c r="Z160" s="289">
        <v>40548</v>
      </c>
      <c r="AA160" s="289">
        <v>0</v>
      </c>
      <c r="AB160" s="290">
        <v>23</v>
      </c>
      <c r="AC160" s="289">
        <v>0</v>
      </c>
      <c r="AD160" s="289">
        <v>0</v>
      </c>
      <c r="AE160" s="289">
        <v>0</v>
      </c>
      <c r="AF160" s="289">
        <v>0</v>
      </c>
      <c r="AG160" s="289">
        <v>1296</v>
      </c>
      <c r="AH160" s="289">
        <v>185.46875423</v>
      </c>
      <c r="AI160" s="289">
        <v>0</v>
      </c>
      <c r="AJ160" s="289">
        <v>0</v>
      </c>
      <c r="AK160" s="289">
        <v>7.5960000000000001</v>
      </c>
      <c r="AL160" s="289">
        <v>2287</v>
      </c>
      <c r="AM160" s="836">
        <v>1.8092859999999999E-2</v>
      </c>
      <c r="AN160" s="289">
        <v>0</v>
      </c>
      <c r="AO160" s="289">
        <v>64.928826090000001</v>
      </c>
      <c r="AP160" s="289">
        <v>0</v>
      </c>
      <c r="AQ160" s="289">
        <v>0</v>
      </c>
      <c r="AR160" s="289">
        <v>1937.91316742</v>
      </c>
      <c r="AS160" s="289"/>
      <c r="AT160" s="289">
        <v>48</v>
      </c>
      <c r="AU160" s="289">
        <v>22</v>
      </c>
      <c r="AV160" s="625">
        <v>60981</v>
      </c>
      <c r="AW160" s="289"/>
      <c r="AX160" s="625">
        <v>-3.9666667000000002</v>
      </c>
      <c r="AY160" s="289">
        <v>186</v>
      </c>
      <c r="AZ160" s="289">
        <v>29</v>
      </c>
      <c r="BA160" s="290">
        <v>26</v>
      </c>
      <c r="BB160" s="289">
        <v>5698</v>
      </c>
      <c r="BC160" s="289">
        <v>200.4909394</v>
      </c>
      <c r="BD160" s="289">
        <v>14.511307693611524</v>
      </c>
      <c r="BE160" s="289">
        <v>60308.262967429997</v>
      </c>
      <c r="BF160" s="289">
        <v>0</v>
      </c>
      <c r="BG160" s="289">
        <v>-50.735700000000001</v>
      </c>
      <c r="BH160" s="289">
        <v>-3.6593</v>
      </c>
      <c r="BI160" s="289">
        <v>185.46875423</v>
      </c>
      <c r="BJ160" s="289">
        <v>0</v>
      </c>
      <c r="BK160" s="289">
        <v>0</v>
      </c>
      <c r="BL160" s="289">
        <v>0</v>
      </c>
      <c r="BM160" s="289">
        <v>0</v>
      </c>
      <c r="BN160" s="289">
        <v>143.43581452516167</v>
      </c>
      <c r="BO160" s="289">
        <v>87.998970157403619</v>
      </c>
      <c r="BP160" s="289">
        <v>117.34118800385805</v>
      </c>
      <c r="BQ160" s="289">
        <v>78.056453945250297</v>
      </c>
      <c r="BR160" s="289">
        <v>0.98354418812255895</v>
      </c>
      <c r="BS160" s="289">
        <v>0.57713057474778051</v>
      </c>
      <c r="BT160" s="289">
        <v>0</v>
      </c>
      <c r="BU160" s="289">
        <v>0</v>
      </c>
      <c r="BV160" s="289">
        <v>5.4723708081801057</v>
      </c>
      <c r="BW160" s="517"/>
      <c r="BX160" s="517"/>
      <c r="CA160" s="517"/>
      <c r="CB160" s="517"/>
    </row>
    <row r="161" spans="1:80" ht="13">
      <c r="A161" s="1">
        <v>1860</v>
      </c>
      <c r="B161" s="2" t="s">
        <v>209</v>
      </c>
      <c r="C161" s="289">
        <v>11480</v>
      </c>
      <c r="D161" s="289">
        <v>242</v>
      </c>
      <c r="E161" s="289">
        <v>532</v>
      </c>
      <c r="F161" s="289">
        <v>1415</v>
      </c>
      <c r="G161" s="289">
        <v>1095</v>
      </c>
      <c r="H161" s="289">
        <v>6232</v>
      </c>
      <c r="I161" s="289">
        <v>1335</v>
      </c>
      <c r="J161" s="289">
        <v>470</v>
      </c>
      <c r="K161" s="289">
        <v>105</v>
      </c>
      <c r="L161" s="289">
        <v>100</v>
      </c>
      <c r="M161" s="289">
        <v>915</v>
      </c>
      <c r="N161" s="290">
        <v>196</v>
      </c>
      <c r="O161" s="290">
        <v>130</v>
      </c>
      <c r="P161" s="624">
        <v>57247.358999999997</v>
      </c>
      <c r="Q161" s="624">
        <v>24737.609333330001</v>
      </c>
      <c r="R161" s="624">
        <v>45</v>
      </c>
      <c r="S161" s="289"/>
      <c r="T161" s="289">
        <v>906</v>
      </c>
      <c r="U161" s="716">
        <v>3.6717736192240511E-3</v>
      </c>
      <c r="V161" s="289">
        <v>-8057.1701053999996</v>
      </c>
      <c r="W161" s="743">
        <v>0.63619207</v>
      </c>
      <c r="X161" s="289">
        <v>5334</v>
      </c>
      <c r="Y161" s="289">
        <v>414.28399999999999</v>
      </c>
      <c r="Z161" s="289">
        <v>290256</v>
      </c>
      <c r="AA161" s="289">
        <v>0</v>
      </c>
      <c r="AB161" s="290">
        <v>218</v>
      </c>
      <c r="AC161" s="289">
        <v>777</v>
      </c>
      <c r="AD161" s="289">
        <v>0</v>
      </c>
      <c r="AE161" s="289">
        <v>0</v>
      </c>
      <c r="AF161" s="289">
        <v>0</v>
      </c>
      <c r="AG161" s="289">
        <v>11426</v>
      </c>
      <c r="AH161" s="289">
        <v>1959.97243658</v>
      </c>
      <c r="AI161" s="289">
        <v>600</v>
      </c>
      <c r="AJ161" s="289">
        <v>0</v>
      </c>
      <c r="AK161" s="289">
        <v>0</v>
      </c>
      <c r="AL161" s="289">
        <v>20036</v>
      </c>
      <c r="AM161" s="836">
        <v>0.36700089000000002</v>
      </c>
      <c r="AN161" s="289">
        <v>0</v>
      </c>
      <c r="AO161" s="289">
        <v>462.61699470999997</v>
      </c>
      <c r="AP161" s="289">
        <v>0</v>
      </c>
      <c r="AQ161" s="289">
        <v>0</v>
      </c>
      <c r="AR161" s="289">
        <v>4856.6110159500004</v>
      </c>
      <c r="AS161" s="289"/>
      <c r="AT161" s="289">
        <v>563</v>
      </c>
      <c r="AU161" s="289">
        <v>168</v>
      </c>
      <c r="AV161" s="625">
        <v>320916</v>
      </c>
      <c r="AW161" s="289"/>
      <c r="AX161" s="625">
        <v>88.556666649999997</v>
      </c>
      <c r="AY161" s="289">
        <v>2072</v>
      </c>
      <c r="AZ161" s="289">
        <v>504</v>
      </c>
      <c r="BA161" s="290">
        <v>289</v>
      </c>
      <c r="BB161" s="289">
        <v>0</v>
      </c>
      <c r="BC161" s="289">
        <v>2328.6191919600001</v>
      </c>
      <c r="BD161" s="289">
        <v>173.17678605974399</v>
      </c>
      <c r="BE161" s="289">
        <v>329468.45436363999</v>
      </c>
      <c r="BF161" s="289">
        <v>0</v>
      </c>
      <c r="BG161" s="289">
        <v>-447.15019999999998</v>
      </c>
      <c r="BH161" s="289">
        <v>-32.261600000000001</v>
      </c>
      <c r="BI161" s="289">
        <v>2374.2564365799999</v>
      </c>
      <c r="BJ161" s="289">
        <v>0</v>
      </c>
      <c r="BK161" s="289">
        <v>0</v>
      </c>
      <c r="BL161" s="289">
        <v>0</v>
      </c>
      <c r="BM161" s="289">
        <v>0</v>
      </c>
      <c r="BN161" s="289">
        <v>836.96954330795313</v>
      </c>
      <c r="BO161" s="289">
        <v>459.47337769452156</v>
      </c>
      <c r="BP161" s="289">
        <v>1034.5219244846312</v>
      </c>
      <c r="BQ161" s="289">
        <v>476.59621577528168</v>
      </c>
      <c r="BR161" s="289">
        <v>11.737537721827092</v>
      </c>
      <c r="BS161" s="289">
        <v>2.5585374880340463</v>
      </c>
      <c r="BT161" s="289">
        <v>0</v>
      </c>
      <c r="BU161" s="289">
        <v>0</v>
      </c>
      <c r="BV161" s="289">
        <v>33.413139934938854</v>
      </c>
      <c r="BW161" s="517"/>
      <c r="BX161" s="517"/>
      <c r="CA161" s="517"/>
      <c r="CB161" s="517"/>
    </row>
    <row r="162" spans="1:80" ht="13">
      <c r="A162" s="1">
        <v>1865</v>
      </c>
      <c r="B162" s="2" t="s">
        <v>210</v>
      </c>
      <c r="C162" s="289">
        <v>9595</v>
      </c>
      <c r="D162" s="289">
        <v>204</v>
      </c>
      <c r="E162" s="289">
        <v>400</v>
      </c>
      <c r="F162" s="289">
        <v>1121</v>
      </c>
      <c r="G162" s="289">
        <v>830</v>
      </c>
      <c r="H162" s="289">
        <v>5416</v>
      </c>
      <c r="I162" s="289">
        <v>1180</v>
      </c>
      <c r="J162" s="289">
        <v>352</v>
      </c>
      <c r="K162" s="289">
        <v>85</v>
      </c>
      <c r="L162" s="289">
        <v>81</v>
      </c>
      <c r="M162" s="289">
        <v>736</v>
      </c>
      <c r="N162" s="290">
        <v>182</v>
      </c>
      <c r="O162" s="290">
        <v>148</v>
      </c>
      <c r="P162" s="624">
        <v>79160.772666670004</v>
      </c>
      <c r="Q162" s="624">
        <v>32604.248666669999</v>
      </c>
      <c r="R162" s="624">
        <v>49</v>
      </c>
      <c r="S162" s="289"/>
      <c r="T162" s="289">
        <v>885</v>
      </c>
      <c r="U162" s="716">
        <v>1.2402720493506973E-3</v>
      </c>
      <c r="V162" s="289">
        <v>-1015.17318045</v>
      </c>
      <c r="W162" s="743">
        <v>0.67621308000000002</v>
      </c>
      <c r="X162" s="289">
        <v>0</v>
      </c>
      <c r="Y162" s="289">
        <v>414.28399999999999</v>
      </c>
      <c r="Z162" s="289">
        <v>278063</v>
      </c>
      <c r="AA162" s="289">
        <v>0</v>
      </c>
      <c r="AB162" s="290">
        <v>155</v>
      </c>
      <c r="AC162" s="289">
        <v>0</v>
      </c>
      <c r="AD162" s="289">
        <v>0</v>
      </c>
      <c r="AE162" s="289">
        <v>0</v>
      </c>
      <c r="AF162" s="289">
        <v>0</v>
      </c>
      <c r="AG162" s="289">
        <v>9588</v>
      </c>
      <c r="AH162" s="289">
        <v>1547.8971217400001</v>
      </c>
      <c r="AI162" s="289">
        <v>900</v>
      </c>
      <c r="AJ162" s="289">
        <v>0</v>
      </c>
      <c r="AK162" s="289">
        <v>0</v>
      </c>
      <c r="AL162" s="289">
        <v>16896</v>
      </c>
      <c r="AM162" s="836">
        <v>0.20594386000000001</v>
      </c>
      <c r="AN162" s="289">
        <v>0</v>
      </c>
      <c r="AO162" s="289">
        <v>386.55747133</v>
      </c>
      <c r="AP162" s="289">
        <v>0</v>
      </c>
      <c r="AQ162" s="289">
        <v>0</v>
      </c>
      <c r="AR162" s="289">
        <v>-510.34719160999998</v>
      </c>
      <c r="AS162" s="289"/>
      <c r="AT162" s="289">
        <v>443</v>
      </c>
      <c r="AU162" s="289">
        <v>102</v>
      </c>
      <c r="AV162" s="625">
        <v>259418</v>
      </c>
      <c r="AW162" s="289"/>
      <c r="AX162" s="625">
        <v>80.496666700000006</v>
      </c>
      <c r="AY162" s="289">
        <v>1863</v>
      </c>
      <c r="AZ162" s="289">
        <v>421</v>
      </c>
      <c r="BA162" s="290">
        <v>222</v>
      </c>
      <c r="BB162" s="289">
        <v>0</v>
      </c>
      <c r="BC162" s="289">
        <v>1894.78851519</v>
      </c>
      <c r="BD162" s="289">
        <v>144.90319058440784</v>
      </c>
      <c r="BE162" s="289">
        <v>275574.12023002002</v>
      </c>
      <c r="BF162" s="289">
        <v>0</v>
      </c>
      <c r="BG162" s="289">
        <v>-372.12400000000002</v>
      </c>
      <c r="BH162" s="289">
        <v>-27.071999999999999</v>
      </c>
      <c r="BI162" s="289">
        <v>1962.18112174</v>
      </c>
      <c r="BJ162" s="289">
        <v>0</v>
      </c>
      <c r="BK162" s="289">
        <v>0</v>
      </c>
      <c r="BL162" s="289">
        <v>0</v>
      </c>
      <c r="BM162" s="289">
        <v>0</v>
      </c>
      <c r="BN162" s="289">
        <v>720.09281538926132</v>
      </c>
      <c r="BO162" s="289">
        <v>403.11987905297474</v>
      </c>
      <c r="BP162" s="289">
        <v>868.10749273224621</v>
      </c>
      <c r="BQ162" s="289">
        <v>160.98731200572047</v>
      </c>
      <c r="BR162" s="289">
        <v>9.8212162507209779</v>
      </c>
      <c r="BS162" s="289">
        <v>2.1917387793264309</v>
      </c>
      <c r="BT162" s="289">
        <v>0</v>
      </c>
      <c r="BU162" s="289">
        <v>0</v>
      </c>
      <c r="BV162" s="289">
        <v>11.28647564909134</v>
      </c>
      <c r="BW162" s="517"/>
      <c r="BX162" s="517"/>
      <c r="CA162" s="517"/>
      <c r="CB162" s="517"/>
    </row>
    <row r="163" spans="1:80" ht="13">
      <c r="A163" s="1">
        <v>1866</v>
      </c>
      <c r="B163" s="2" t="s">
        <v>211</v>
      </c>
      <c r="C163" s="289">
        <v>8091</v>
      </c>
      <c r="D163" s="289">
        <v>150</v>
      </c>
      <c r="E163" s="289">
        <v>350</v>
      </c>
      <c r="F163" s="289">
        <v>890</v>
      </c>
      <c r="G163" s="289">
        <v>725</v>
      </c>
      <c r="H163" s="289">
        <v>4417</v>
      </c>
      <c r="I163" s="289">
        <v>1135</v>
      </c>
      <c r="J163" s="289">
        <v>340</v>
      </c>
      <c r="K163" s="289">
        <v>87</v>
      </c>
      <c r="L163" s="289">
        <v>69</v>
      </c>
      <c r="M163" s="289">
        <v>702</v>
      </c>
      <c r="N163" s="290">
        <v>232</v>
      </c>
      <c r="O163" s="290">
        <v>90</v>
      </c>
      <c r="P163" s="624">
        <v>69916.200666670004</v>
      </c>
      <c r="Q163" s="624">
        <v>16798.850666670001</v>
      </c>
      <c r="R163" s="624">
        <v>39</v>
      </c>
      <c r="S163" s="289"/>
      <c r="T163" s="289">
        <v>721</v>
      </c>
      <c r="U163" s="716">
        <v>2.6559175811541416E-3</v>
      </c>
      <c r="V163" s="289">
        <v>3400.0166569200001</v>
      </c>
      <c r="W163" s="743">
        <v>0.71600061999999998</v>
      </c>
      <c r="X163" s="289">
        <v>0</v>
      </c>
      <c r="Y163" s="289">
        <v>414.28399999999999</v>
      </c>
      <c r="Z163" s="289">
        <v>199930</v>
      </c>
      <c r="AA163" s="289">
        <v>0</v>
      </c>
      <c r="AB163" s="290">
        <v>148</v>
      </c>
      <c r="AC163" s="289">
        <v>0</v>
      </c>
      <c r="AD163" s="289">
        <v>0</v>
      </c>
      <c r="AE163" s="289">
        <v>0</v>
      </c>
      <c r="AF163" s="289">
        <v>0</v>
      </c>
      <c r="AG163" s="289">
        <v>8094</v>
      </c>
      <c r="AH163" s="289">
        <v>1267.6022375299999</v>
      </c>
      <c r="AI163" s="289">
        <v>1000</v>
      </c>
      <c r="AJ163" s="289">
        <v>0</v>
      </c>
      <c r="AK163" s="289">
        <v>0</v>
      </c>
      <c r="AL163" s="289">
        <v>14138</v>
      </c>
      <c r="AM163" s="836">
        <v>0.18723882999999999</v>
      </c>
      <c r="AN163" s="289">
        <v>0</v>
      </c>
      <c r="AO163" s="289">
        <v>333.50967298</v>
      </c>
      <c r="AP163" s="289">
        <v>0</v>
      </c>
      <c r="AQ163" s="289">
        <v>0</v>
      </c>
      <c r="AR163" s="289">
        <v>-430.82500719000001</v>
      </c>
      <c r="AS163" s="289"/>
      <c r="AT163" s="289">
        <v>384</v>
      </c>
      <c r="AU163" s="289">
        <v>85</v>
      </c>
      <c r="AV163" s="625">
        <v>232509</v>
      </c>
      <c r="AW163" s="289"/>
      <c r="AX163" s="625">
        <v>65.56</v>
      </c>
      <c r="AY163" s="289">
        <v>1615</v>
      </c>
      <c r="AZ163" s="289">
        <v>371</v>
      </c>
      <c r="BA163" s="290">
        <v>215</v>
      </c>
      <c r="BB163" s="289">
        <v>0</v>
      </c>
      <c r="BC163" s="289">
        <v>1631.9981313400001</v>
      </c>
      <c r="BD163" s="289">
        <v>129.43447203291407</v>
      </c>
      <c r="BE163" s="289">
        <v>246497.14392353999</v>
      </c>
      <c r="BF163" s="289">
        <v>0</v>
      </c>
      <c r="BG163" s="289">
        <v>-291.81670000000003</v>
      </c>
      <c r="BH163" s="289">
        <v>-22.8536</v>
      </c>
      <c r="BI163" s="289">
        <v>1681.88623753</v>
      </c>
      <c r="BJ163" s="289">
        <v>0</v>
      </c>
      <c r="BK163" s="289">
        <v>0</v>
      </c>
      <c r="BL163" s="289">
        <v>0</v>
      </c>
      <c r="BM163" s="289">
        <v>0</v>
      </c>
      <c r="BN163" s="289">
        <v>648.14958530102456</v>
      </c>
      <c r="BO163" s="289">
        <v>349.56409989769787</v>
      </c>
      <c r="BP163" s="289">
        <v>732.83917878335421</v>
      </c>
      <c r="BQ163" s="289">
        <v>344.73810203380754</v>
      </c>
      <c r="BR163" s="289">
        <v>8.7727808822308404</v>
      </c>
      <c r="BS163" s="289">
        <v>1.8955850045709712</v>
      </c>
      <c r="BT163" s="289">
        <v>0</v>
      </c>
      <c r="BU163" s="289">
        <v>0</v>
      </c>
      <c r="BV163" s="289">
        <v>24.168849988502682</v>
      </c>
      <c r="BW163" s="517"/>
      <c r="BX163" s="517"/>
      <c r="CA163" s="517"/>
      <c r="CB163" s="517"/>
    </row>
    <row r="164" spans="1:80" ht="13">
      <c r="A164" s="1">
        <v>1867</v>
      </c>
      <c r="B164" s="2" t="s">
        <v>913</v>
      </c>
      <c r="C164" s="289">
        <v>2616</v>
      </c>
      <c r="D164" s="289">
        <v>39</v>
      </c>
      <c r="E164" s="289">
        <v>83</v>
      </c>
      <c r="F164" s="289">
        <v>239</v>
      </c>
      <c r="G164" s="289">
        <v>219</v>
      </c>
      <c r="H164" s="289">
        <v>1366</v>
      </c>
      <c r="I164" s="289">
        <v>447</v>
      </c>
      <c r="J164" s="289">
        <v>189</v>
      </c>
      <c r="K164" s="289">
        <v>47</v>
      </c>
      <c r="L164" s="289">
        <v>23</v>
      </c>
      <c r="M164" s="289">
        <v>364</v>
      </c>
      <c r="N164" s="290">
        <v>22</v>
      </c>
      <c r="O164" s="290">
        <v>37</v>
      </c>
      <c r="P164" s="624">
        <v>19730.106666669999</v>
      </c>
      <c r="Q164" s="624">
        <v>6148.6576666700003</v>
      </c>
      <c r="R164" s="624">
        <v>17</v>
      </c>
      <c r="S164" s="289"/>
      <c r="T164" s="289">
        <v>254</v>
      </c>
      <c r="U164" s="716">
        <v>1.4290300571537125E-3</v>
      </c>
      <c r="V164" s="289">
        <v>1314.94508034</v>
      </c>
      <c r="W164" s="743">
        <v>1</v>
      </c>
      <c r="X164" s="289">
        <v>396</v>
      </c>
      <c r="Y164" s="289">
        <v>414.28399999999999</v>
      </c>
      <c r="Z164" s="289">
        <v>64569</v>
      </c>
      <c r="AA164" s="289">
        <v>0</v>
      </c>
      <c r="AB164" s="290">
        <v>66</v>
      </c>
      <c r="AC164" s="289">
        <v>0</v>
      </c>
      <c r="AD164" s="289">
        <v>0</v>
      </c>
      <c r="AE164" s="289">
        <v>0</v>
      </c>
      <c r="AF164" s="289">
        <v>0</v>
      </c>
      <c r="AG164" s="289">
        <v>2629</v>
      </c>
      <c r="AH164" s="289">
        <v>343.04747021999998</v>
      </c>
      <c r="AI164" s="289">
        <v>1000</v>
      </c>
      <c r="AJ164" s="289">
        <v>0</v>
      </c>
      <c r="AK164" s="289">
        <v>0</v>
      </c>
      <c r="AL164" s="289">
        <v>4611</v>
      </c>
      <c r="AM164" s="836">
        <v>6.2636029999999995E-2</v>
      </c>
      <c r="AN164" s="289">
        <v>0</v>
      </c>
      <c r="AO164" s="289">
        <v>125.4562347</v>
      </c>
      <c r="AP164" s="289">
        <v>0</v>
      </c>
      <c r="AQ164" s="289">
        <v>0</v>
      </c>
      <c r="AR164" s="289">
        <v>-139.93562439999999</v>
      </c>
      <c r="AS164" s="289"/>
      <c r="AT164" s="289">
        <v>134</v>
      </c>
      <c r="AU164" s="289">
        <v>24</v>
      </c>
      <c r="AV164" s="625">
        <v>106411</v>
      </c>
      <c r="AW164" s="289"/>
      <c r="AX164" s="625">
        <v>18.826666700000001</v>
      </c>
      <c r="AY164" s="289">
        <v>353</v>
      </c>
      <c r="AZ164" s="289">
        <v>134</v>
      </c>
      <c r="BA164" s="290">
        <v>52</v>
      </c>
      <c r="BB164" s="289">
        <v>5698</v>
      </c>
      <c r="BC164" s="289">
        <v>734.88613132</v>
      </c>
      <c r="BD164" s="289">
        <v>40.143112776087676</v>
      </c>
      <c r="BE164" s="289">
        <v>109736.27821277</v>
      </c>
      <c r="BF164" s="289">
        <v>0</v>
      </c>
      <c r="BG164" s="289">
        <v>-88.137600000000006</v>
      </c>
      <c r="BH164" s="289">
        <v>-7.423</v>
      </c>
      <c r="BI164" s="289">
        <v>757.33147022000003</v>
      </c>
      <c r="BJ164" s="289">
        <v>0</v>
      </c>
      <c r="BK164" s="289">
        <v>0</v>
      </c>
      <c r="BL164" s="289">
        <v>0</v>
      </c>
      <c r="BM164" s="289">
        <v>0</v>
      </c>
      <c r="BN164" s="289">
        <v>300.40533545320937</v>
      </c>
      <c r="BO164" s="289">
        <v>147.24683009810545</v>
      </c>
      <c r="BP164" s="289">
        <v>238.03239449239413</v>
      </c>
      <c r="BQ164" s="289">
        <v>185.48810141855188</v>
      </c>
      <c r="BR164" s="289">
        <v>2.7208109770459421</v>
      </c>
      <c r="BS164" s="289">
        <v>0.87001671811204107</v>
      </c>
      <c r="BT164" s="289">
        <v>0</v>
      </c>
      <c r="BU164" s="289">
        <v>0</v>
      </c>
      <c r="BV164" s="289">
        <v>13.004173520098783</v>
      </c>
      <c r="BW164" s="517"/>
      <c r="BX164" s="517"/>
      <c r="CA164" s="517"/>
      <c r="CB164" s="517"/>
    </row>
    <row r="165" spans="1:80" ht="13">
      <c r="A165" s="1">
        <v>1868</v>
      </c>
      <c r="B165" s="2" t="s">
        <v>212</v>
      </c>
      <c r="C165" s="289">
        <v>4449</v>
      </c>
      <c r="D165" s="289">
        <v>77</v>
      </c>
      <c r="E165" s="289">
        <v>175</v>
      </c>
      <c r="F165" s="289">
        <v>481</v>
      </c>
      <c r="G165" s="289">
        <v>421</v>
      </c>
      <c r="H165" s="289">
        <v>2544</v>
      </c>
      <c r="I165" s="289">
        <v>566</v>
      </c>
      <c r="J165" s="289">
        <v>206</v>
      </c>
      <c r="K165" s="289">
        <v>39</v>
      </c>
      <c r="L165" s="289">
        <v>38</v>
      </c>
      <c r="M165" s="289">
        <v>407</v>
      </c>
      <c r="N165" s="290">
        <v>12</v>
      </c>
      <c r="O165" s="290">
        <v>34</v>
      </c>
      <c r="P165" s="624">
        <v>25013.305666669999</v>
      </c>
      <c r="Q165" s="624">
        <v>15452.437666670001</v>
      </c>
      <c r="R165" s="624">
        <v>30</v>
      </c>
      <c r="S165" s="289"/>
      <c r="T165" s="289">
        <v>401</v>
      </c>
      <c r="U165" s="716">
        <v>1.0234796839274532E-3</v>
      </c>
      <c r="V165" s="289">
        <v>1880.0394947100001</v>
      </c>
      <c r="W165" s="743">
        <v>0.79380521000000004</v>
      </c>
      <c r="X165" s="289">
        <v>0</v>
      </c>
      <c r="Y165" s="289">
        <v>414.28399999999999</v>
      </c>
      <c r="Z165" s="289">
        <v>126035</v>
      </c>
      <c r="AA165" s="289">
        <v>0</v>
      </c>
      <c r="AB165" s="290">
        <v>135</v>
      </c>
      <c r="AC165" s="289">
        <v>0</v>
      </c>
      <c r="AD165" s="289">
        <v>0</v>
      </c>
      <c r="AE165" s="289">
        <v>0</v>
      </c>
      <c r="AF165" s="289">
        <v>0</v>
      </c>
      <c r="AG165" s="289">
        <v>4509</v>
      </c>
      <c r="AH165" s="289">
        <v>681.91143470999998</v>
      </c>
      <c r="AI165" s="289">
        <v>250</v>
      </c>
      <c r="AJ165" s="289">
        <v>0</v>
      </c>
      <c r="AK165" s="289">
        <v>30.027000000000001</v>
      </c>
      <c r="AL165" s="289">
        <v>7983</v>
      </c>
      <c r="AM165" s="836">
        <v>0.18039540000000001</v>
      </c>
      <c r="AN165" s="289">
        <v>0</v>
      </c>
      <c r="AO165" s="289">
        <v>188.49174450999999</v>
      </c>
      <c r="AP165" s="289">
        <v>0</v>
      </c>
      <c r="AQ165" s="289">
        <v>0</v>
      </c>
      <c r="AR165" s="289">
        <v>1220.83309764</v>
      </c>
      <c r="AS165" s="289"/>
      <c r="AT165" s="289">
        <v>229</v>
      </c>
      <c r="AU165" s="289">
        <v>62</v>
      </c>
      <c r="AV165" s="625">
        <v>139442</v>
      </c>
      <c r="AW165" s="289"/>
      <c r="AX165" s="625">
        <v>29.9933333</v>
      </c>
      <c r="AY165" s="289">
        <v>615</v>
      </c>
      <c r="AZ165" s="289">
        <v>262</v>
      </c>
      <c r="BA165" s="290">
        <v>103</v>
      </c>
      <c r="BB165" s="289">
        <v>0</v>
      </c>
      <c r="BC165" s="289">
        <v>1091.69204042</v>
      </c>
      <c r="BD165" s="289">
        <v>73.735897230032663</v>
      </c>
      <c r="BE165" s="289">
        <v>141218.22465551001</v>
      </c>
      <c r="BF165" s="289">
        <v>0</v>
      </c>
      <c r="BG165" s="289">
        <v>-160.131</v>
      </c>
      <c r="BH165" s="289">
        <v>-12.731299999999999</v>
      </c>
      <c r="BI165" s="289">
        <v>1096.19543471</v>
      </c>
      <c r="BJ165" s="289">
        <v>0</v>
      </c>
      <c r="BK165" s="289">
        <v>0</v>
      </c>
      <c r="BL165" s="289">
        <v>0</v>
      </c>
      <c r="BM165" s="289">
        <v>0</v>
      </c>
      <c r="BN165" s="289">
        <v>383.70380207406743</v>
      </c>
      <c r="BO165" s="289">
        <v>204.38974527024405</v>
      </c>
      <c r="BP165" s="289">
        <v>408.24954993008953</v>
      </c>
      <c r="BQ165" s="289">
        <v>132.8476629737834</v>
      </c>
      <c r="BR165" s="289">
        <v>4.9976552567022141</v>
      </c>
      <c r="BS165" s="289">
        <v>1.1894423404118355</v>
      </c>
      <c r="BT165" s="289">
        <v>0</v>
      </c>
      <c r="BU165" s="289">
        <v>0</v>
      </c>
      <c r="BV165" s="289">
        <v>9.3136651237398205</v>
      </c>
      <c r="BW165" s="517"/>
      <c r="BX165" s="517"/>
      <c r="CA165" s="517"/>
      <c r="CB165" s="517"/>
    </row>
    <row r="166" spans="1:80" ht="13">
      <c r="A166" s="1">
        <v>1870</v>
      </c>
      <c r="B166" s="2" t="s">
        <v>213</v>
      </c>
      <c r="C166" s="289">
        <v>10518</v>
      </c>
      <c r="D166" s="289">
        <v>218</v>
      </c>
      <c r="E166" s="289">
        <v>468</v>
      </c>
      <c r="F166" s="289">
        <v>1270</v>
      </c>
      <c r="G166" s="289">
        <v>1077</v>
      </c>
      <c r="H166" s="289">
        <v>5822</v>
      </c>
      <c r="I166" s="289">
        <v>1174</v>
      </c>
      <c r="J166" s="289">
        <v>339</v>
      </c>
      <c r="K166" s="289">
        <v>107</v>
      </c>
      <c r="L166" s="289">
        <v>82</v>
      </c>
      <c r="M166" s="289">
        <v>766</v>
      </c>
      <c r="N166" s="290">
        <v>160</v>
      </c>
      <c r="O166" s="290">
        <v>85</v>
      </c>
      <c r="P166" s="624">
        <v>51083.254000000001</v>
      </c>
      <c r="Q166" s="624">
        <v>26174.768666669999</v>
      </c>
      <c r="R166" s="624">
        <v>41</v>
      </c>
      <c r="S166" s="289"/>
      <c r="T166" s="289">
        <v>858</v>
      </c>
      <c r="U166" s="716">
        <v>2.4097236889664441E-3</v>
      </c>
      <c r="V166" s="289">
        <v>-477.40565791</v>
      </c>
      <c r="W166" s="743">
        <v>0.61136619999999997</v>
      </c>
      <c r="X166" s="289">
        <v>0</v>
      </c>
      <c r="Y166" s="289">
        <v>414.28399999999999</v>
      </c>
      <c r="Z166" s="289">
        <v>279319</v>
      </c>
      <c r="AA166" s="289">
        <v>0</v>
      </c>
      <c r="AB166" s="290">
        <v>208</v>
      </c>
      <c r="AC166" s="289">
        <v>0</v>
      </c>
      <c r="AD166" s="289">
        <v>0</v>
      </c>
      <c r="AE166" s="289">
        <v>0</v>
      </c>
      <c r="AF166" s="289">
        <v>0</v>
      </c>
      <c r="AG166" s="289">
        <v>10475</v>
      </c>
      <c r="AH166" s="289">
        <v>1797.51296389</v>
      </c>
      <c r="AI166" s="289">
        <v>2655</v>
      </c>
      <c r="AJ166" s="289">
        <v>0</v>
      </c>
      <c r="AK166" s="289">
        <v>0</v>
      </c>
      <c r="AL166" s="289">
        <v>18285</v>
      </c>
      <c r="AM166" s="836">
        <v>0.2155791</v>
      </c>
      <c r="AN166" s="289">
        <v>0</v>
      </c>
      <c r="AO166" s="289">
        <v>410.50177202999998</v>
      </c>
      <c r="AP166" s="289">
        <v>0</v>
      </c>
      <c r="AQ166" s="289">
        <v>0</v>
      </c>
      <c r="AR166" s="289">
        <v>6351.9713355399999</v>
      </c>
      <c r="AS166" s="289"/>
      <c r="AT166" s="289">
        <v>549</v>
      </c>
      <c r="AU166" s="289">
        <v>120</v>
      </c>
      <c r="AV166" s="625">
        <v>284612</v>
      </c>
      <c r="AW166" s="289"/>
      <c r="AX166" s="625">
        <v>95.5</v>
      </c>
      <c r="AY166" s="289">
        <v>2012</v>
      </c>
      <c r="AZ166" s="289">
        <v>354</v>
      </c>
      <c r="BA166" s="290">
        <v>322</v>
      </c>
      <c r="BB166" s="289">
        <v>0</v>
      </c>
      <c r="BC166" s="289">
        <v>2187.0295455</v>
      </c>
      <c r="BD166" s="289">
        <v>151.34679014945283</v>
      </c>
      <c r="BE166" s="289">
        <v>285632.31401927001</v>
      </c>
      <c r="BF166" s="289">
        <v>0</v>
      </c>
      <c r="BG166" s="289">
        <v>-399.8107</v>
      </c>
      <c r="BH166" s="289">
        <v>-29.5764</v>
      </c>
      <c r="BI166" s="289">
        <v>2211.7969638899999</v>
      </c>
      <c r="BJ166" s="289">
        <v>0</v>
      </c>
      <c r="BK166" s="289">
        <v>0</v>
      </c>
      <c r="BL166" s="289">
        <v>0</v>
      </c>
      <c r="BM166" s="289">
        <v>0</v>
      </c>
      <c r="BN166" s="289">
        <v>719.00576745209253</v>
      </c>
      <c r="BO166" s="289">
        <v>416.60701460862043</v>
      </c>
      <c r="BP166" s="289">
        <v>948.41739532439283</v>
      </c>
      <c r="BQ166" s="289">
        <v>312.78213482784446</v>
      </c>
      <c r="BR166" s="289">
        <v>10.257949110129582</v>
      </c>
      <c r="BS166" s="289">
        <v>2.3559917501874001</v>
      </c>
      <c r="BT166" s="289">
        <v>0</v>
      </c>
      <c r="BU166" s="289">
        <v>0</v>
      </c>
      <c r="BV166" s="289">
        <v>21.928485569594638</v>
      </c>
      <c r="BW166" s="517"/>
      <c r="BX166" s="517"/>
      <c r="CA166" s="517"/>
      <c r="CB166" s="517"/>
    </row>
    <row r="167" spans="1:80" ht="13">
      <c r="A167" s="1">
        <v>1871</v>
      </c>
      <c r="B167" s="2" t="s">
        <v>214</v>
      </c>
      <c r="C167" s="289">
        <v>4771</v>
      </c>
      <c r="D167" s="289">
        <v>82</v>
      </c>
      <c r="E167" s="289">
        <v>177</v>
      </c>
      <c r="F167" s="289">
        <v>492</v>
      </c>
      <c r="G167" s="289">
        <v>444</v>
      </c>
      <c r="H167" s="289">
        <v>2548</v>
      </c>
      <c r="I167" s="289">
        <v>760</v>
      </c>
      <c r="J167" s="289">
        <v>246</v>
      </c>
      <c r="K167" s="289">
        <v>73</v>
      </c>
      <c r="L167" s="289">
        <v>39</v>
      </c>
      <c r="M167" s="289">
        <v>485</v>
      </c>
      <c r="N167" s="290">
        <v>65</v>
      </c>
      <c r="O167" s="290">
        <v>67</v>
      </c>
      <c r="P167" s="624">
        <v>85950.659333329997</v>
      </c>
      <c r="Q167" s="624">
        <v>16732.491333329999</v>
      </c>
      <c r="R167" s="624">
        <v>31</v>
      </c>
      <c r="S167" s="289"/>
      <c r="T167" s="289">
        <v>401</v>
      </c>
      <c r="U167" s="716">
        <v>1.7156915263867084E-3</v>
      </c>
      <c r="V167" s="289">
        <v>-7774.2237872799997</v>
      </c>
      <c r="W167" s="743">
        <v>1</v>
      </c>
      <c r="X167" s="289">
        <v>500</v>
      </c>
      <c r="Y167" s="289">
        <v>414.28399999999999</v>
      </c>
      <c r="Z167" s="289">
        <v>127446</v>
      </c>
      <c r="AA167" s="289">
        <v>0</v>
      </c>
      <c r="AB167" s="290">
        <v>92</v>
      </c>
      <c r="AC167" s="289">
        <v>0</v>
      </c>
      <c r="AD167" s="289">
        <v>0</v>
      </c>
      <c r="AE167" s="289">
        <v>0</v>
      </c>
      <c r="AF167" s="289">
        <v>0</v>
      </c>
      <c r="AG167" s="289">
        <v>4822</v>
      </c>
      <c r="AH167" s="289">
        <v>693.76470096000003</v>
      </c>
      <c r="AI167" s="289">
        <v>1000</v>
      </c>
      <c r="AJ167" s="289">
        <v>0</v>
      </c>
      <c r="AK167" s="289">
        <v>0</v>
      </c>
      <c r="AL167" s="289">
        <v>8618</v>
      </c>
      <c r="AM167" s="836">
        <v>0.12488970000000001</v>
      </c>
      <c r="AN167" s="289">
        <v>0</v>
      </c>
      <c r="AO167" s="289">
        <v>215.98228252999999</v>
      </c>
      <c r="AP167" s="289">
        <v>0</v>
      </c>
      <c r="AQ167" s="289">
        <v>0</v>
      </c>
      <c r="AR167" s="289">
        <v>-256.66397142</v>
      </c>
      <c r="AS167" s="289"/>
      <c r="AT167" s="289">
        <v>247</v>
      </c>
      <c r="AU167" s="289">
        <v>54</v>
      </c>
      <c r="AV167" s="625">
        <v>156436</v>
      </c>
      <c r="AW167" s="289"/>
      <c r="AX167" s="625">
        <v>33.8333333</v>
      </c>
      <c r="AY167" s="289">
        <v>788</v>
      </c>
      <c r="AZ167" s="289">
        <v>225</v>
      </c>
      <c r="BA167" s="290">
        <v>96</v>
      </c>
      <c r="BB167" s="289">
        <v>0</v>
      </c>
      <c r="BC167" s="289">
        <v>1109.81551517</v>
      </c>
      <c r="BD167" s="289">
        <v>69.815968434595817</v>
      </c>
      <c r="BE167" s="289">
        <v>161211.78809637</v>
      </c>
      <c r="BF167" s="289">
        <v>0</v>
      </c>
      <c r="BG167" s="289">
        <v>-180.4983</v>
      </c>
      <c r="BH167" s="289">
        <v>-13.615</v>
      </c>
      <c r="BI167" s="289">
        <v>1108.0487009599999</v>
      </c>
      <c r="BJ167" s="289">
        <v>0</v>
      </c>
      <c r="BK167" s="289">
        <v>0</v>
      </c>
      <c r="BL167" s="289">
        <v>0</v>
      </c>
      <c r="BM167" s="289">
        <v>0</v>
      </c>
      <c r="BN167" s="289">
        <v>469.88186810173477</v>
      </c>
      <c r="BO167" s="289">
        <v>251.88256858211764</v>
      </c>
      <c r="BP167" s="289">
        <v>436.58889548966323</v>
      </c>
      <c r="BQ167" s="289">
        <v>222.69676012499471</v>
      </c>
      <c r="BR167" s="289">
        <v>4.7319711939003826</v>
      </c>
      <c r="BS167" s="289">
        <v>1.318697013540961</v>
      </c>
      <c r="BT167" s="289">
        <v>0</v>
      </c>
      <c r="BU167" s="289">
        <v>0</v>
      </c>
      <c r="BV167" s="289">
        <v>15.612792890119042</v>
      </c>
      <c r="BW167" s="517"/>
      <c r="BX167" s="517"/>
      <c r="CA167" s="517"/>
      <c r="CB167" s="517"/>
    </row>
    <row r="168" spans="1:80" ht="13">
      <c r="A168" s="1">
        <v>1874</v>
      </c>
      <c r="B168" s="2" t="s">
        <v>215</v>
      </c>
      <c r="C168" s="289">
        <v>1039</v>
      </c>
      <c r="D168" s="289">
        <v>12</v>
      </c>
      <c r="E168" s="289">
        <v>20</v>
      </c>
      <c r="F168" s="289">
        <v>103</v>
      </c>
      <c r="G168" s="289">
        <v>88</v>
      </c>
      <c r="H168" s="289">
        <v>603</v>
      </c>
      <c r="I168" s="289">
        <v>149</v>
      </c>
      <c r="J168" s="289">
        <v>75</v>
      </c>
      <c r="K168" s="289">
        <v>17</v>
      </c>
      <c r="L168" s="289">
        <v>8</v>
      </c>
      <c r="M168" s="289">
        <v>114</v>
      </c>
      <c r="N168" s="290">
        <v>1.5</v>
      </c>
      <c r="O168" s="290">
        <v>15</v>
      </c>
      <c r="P168" s="624">
        <v>3782.9636666699998</v>
      </c>
      <c r="Q168" s="624">
        <v>4563.5013333300003</v>
      </c>
      <c r="R168" s="624">
        <v>5</v>
      </c>
      <c r="S168" s="289"/>
      <c r="T168" s="289">
        <v>88</v>
      </c>
      <c r="U168" s="716">
        <v>4.6099082971712881E-5</v>
      </c>
      <c r="V168" s="289">
        <v>457.57433032</v>
      </c>
      <c r="W168" s="743">
        <v>1</v>
      </c>
      <c r="X168" s="289">
        <v>0</v>
      </c>
      <c r="Y168" s="289">
        <v>0</v>
      </c>
      <c r="Z168" s="289">
        <v>34001</v>
      </c>
      <c r="AA168" s="289">
        <v>0</v>
      </c>
      <c r="AB168" s="290">
        <v>20</v>
      </c>
      <c r="AC168" s="289">
        <v>0</v>
      </c>
      <c r="AD168" s="289">
        <v>0</v>
      </c>
      <c r="AE168" s="289">
        <v>0</v>
      </c>
      <c r="AF168" s="289">
        <v>0</v>
      </c>
      <c r="AG168" s="289">
        <v>1067</v>
      </c>
      <c r="AH168" s="289">
        <v>127.5969249</v>
      </c>
      <c r="AI168" s="289">
        <v>2000</v>
      </c>
      <c r="AJ168" s="289">
        <v>0</v>
      </c>
      <c r="AK168" s="289">
        <v>0</v>
      </c>
      <c r="AL168" s="289">
        <v>1878</v>
      </c>
      <c r="AM168" s="836">
        <v>3.4282989999999999E-2</v>
      </c>
      <c r="AN168" s="289">
        <v>0</v>
      </c>
      <c r="AO168" s="289">
        <v>52.777237360000001</v>
      </c>
      <c r="AP168" s="289">
        <v>0</v>
      </c>
      <c r="AQ168" s="289">
        <v>0</v>
      </c>
      <c r="AR168" s="289">
        <v>-56.793956350000002</v>
      </c>
      <c r="AS168" s="289"/>
      <c r="AT168" s="289">
        <v>52</v>
      </c>
      <c r="AU168" s="289">
        <v>16</v>
      </c>
      <c r="AV168" s="625">
        <v>47626</v>
      </c>
      <c r="AW168" s="289"/>
      <c r="AX168" s="625">
        <v>2.82</v>
      </c>
      <c r="AY168" s="289">
        <v>125</v>
      </c>
      <c r="AZ168" s="289">
        <v>47</v>
      </c>
      <c r="BA168" s="290">
        <v>17</v>
      </c>
      <c r="BB168" s="289">
        <v>5698</v>
      </c>
      <c r="BC168" s="289">
        <v>133.66062626999999</v>
      </c>
      <c r="BD168" s="289">
        <v>14.93258626940791</v>
      </c>
      <c r="BE168" s="289">
        <v>50024.908560800002</v>
      </c>
      <c r="BF168" s="289">
        <v>0</v>
      </c>
      <c r="BG168" s="289">
        <v>-43.101700000000001</v>
      </c>
      <c r="BH168" s="289">
        <v>-3.0127000000000002</v>
      </c>
      <c r="BI168" s="289">
        <v>127.5969249</v>
      </c>
      <c r="BJ168" s="289">
        <v>0</v>
      </c>
      <c r="BK168" s="289">
        <v>0</v>
      </c>
      <c r="BL168" s="289">
        <v>0</v>
      </c>
      <c r="BM168" s="289">
        <v>0</v>
      </c>
      <c r="BN168" s="289">
        <v>116.23626640702054</v>
      </c>
      <c r="BO168" s="289">
        <v>77.72439142395416</v>
      </c>
      <c r="BP168" s="289">
        <v>96.607289814904746</v>
      </c>
      <c r="BQ168" s="289">
        <v>5.9836609697283336</v>
      </c>
      <c r="BR168" s="289">
        <v>1.0120975138154251</v>
      </c>
      <c r="BS168" s="289">
        <v>0.55226170664653251</v>
      </c>
      <c r="BT168" s="289">
        <v>0</v>
      </c>
      <c r="BU168" s="289">
        <v>0</v>
      </c>
      <c r="BV168" s="289">
        <v>0.41950165504258718</v>
      </c>
      <c r="BW168" s="517"/>
      <c r="BX168" s="517"/>
      <c r="CA168" s="517"/>
      <c r="CB168" s="517"/>
    </row>
    <row r="169" spans="1:80" ht="13">
      <c r="A169" s="1">
        <v>1913</v>
      </c>
      <c r="B169" s="2" t="s">
        <v>219</v>
      </c>
      <c r="C169" s="289">
        <v>3009</v>
      </c>
      <c r="D169" s="289">
        <v>43</v>
      </c>
      <c r="E169" s="289">
        <v>108</v>
      </c>
      <c r="F169" s="289">
        <v>328</v>
      </c>
      <c r="G169" s="289">
        <v>246</v>
      </c>
      <c r="H169" s="289">
        <v>1638</v>
      </c>
      <c r="I169" s="289">
        <v>486</v>
      </c>
      <c r="J169" s="289">
        <v>134</v>
      </c>
      <c r="K169" s="289">
        <v>36</v>
      </c>
      <c r="L169" s="289">
        <v>22</v>
      </c>
      <c r="M169" s="289">
        <v>299</v>
      </c>
      <c r="N169" s="290">
        <v>12</v>
      </c>
      <c r="O169" s="290">
        <v>13</v>
      </c>
      <c r="P169" s="624">
        <v>40352.123666669999</v>
      </c>
      <c r="Q169" s="624">
        <v>11731.409333330001</v>
      </c>
      <c r="R169" s="624">
        <v>23</v>
      </c>
      <c r="S169" s="289"/>
      <c r="T169" s="289">
        <v>228</v>
      </c>
      <c r="U169" s="716">
        <v>1.4624104773045621E-3</v>
      </c>
      <c r="V169" s="289">
        <v>1404.14040854</v>
      </c>
      <c r="W169" s="743">
        <v>0.87804972999999997</v>
      </c>
      <c r="X169" s="289">
        <v>1343</v>
      </c>
      <c r="Y169" s="289">
        <v>414.28399999999999</v>
      </c>
      <c r="Z169" s="289">
        <v>73309</v>
      </c>
      <c r="AA169" s="289">
        <v>0</v>
      </c>
      <c r="AB169" s="290">
        <v>71</v>
      </c>
      <c r="AC169" s="289">
        <v>0</v>
      </c>
      <c r="AD169" s="289">
        <v>47.496684000000002</v>
      </c>
      <c r="AE169" s="289">
        <v>0</v>
      </c>
      <c r="AF169" s="289">
        <v>0</v>
      </c>
      <c r="AG169" s="289">
        <v>3019</v>
      </c>
      <c r="AH169" s="289">
        <v>437.8736002</v>
      </c>
      <c r="AI169" s="289">
        <v>0</v>
      </c>
      <c r="AJ169" s="289">
        <v>0</v>
      </c>
      <c r="AK169" s="289">
        <v>0</v>
      </c>
      <c r="AL169" s="289">
        <v>10093</v>
      </c>
      <c r="AM169" s="836">
        <v>4.1156459999999999E-2</v>
      </c>
      <c r="AN169" s="289">
        <v>0</v>
      </c>
      <c r="AO169" s="289">
        <v>133.96617947999999</v>
      </c>
      <c r="AP169" s="289">
        <v>0</v>
      </c>
      <c r="AQ169" s="289">
        <v>0</v>
      </c>
      <c r="AR169" s="289">
        <v>1146.3845887</v>
      </c>
      <c r="AS169" s="289"/>
      <c r="AT169" s="289">
        <v>122</v>
      </c>
      <c r="AU169" s="289">
        <v>28</v>
      </c>
      <c r="AV169" s="625">
        <v>115750</v>
      </c>
      <c r="AW169" s="289"/>
      <c r="AX169" s="625">
        <v>15.2533333</v>
      </c>
      <c r="AY169" s="289">
        <v>581</v>
      </c>
      <c r="AZ169" s="289">
        <v>108</v>
      </c>
      <c r="BA169" s="290">
        <v>50</v>
      </c>
      <c r="BB169" s="289">
        <v>5130</v>
      </c>
      <c r="BC169" s="289">
        <v>900.02443434999998</v>
      </c>
      <c r="BD169" s="289">
        <v>38.186094681580492</v>
      </c>
      <c r="BE169" s="289">
        <v>116568.52903493</v>
      </c>
      <c r="BF169" s="289">
        <v>0</v>
      </c>
      <c r="BG169" s="289">
        <v>-116.0009</v>
      </c>
      <c r="BH169" s="289">
        <v>-8.5242000000000004</v>
      </c>
      <c r="BI169" s="289">
        <v>899.65428420000001</v>
      </c>
      <c r="BJ169" s="289">
        <v>0</v>
      </c>
      <c r="BK169" s="289">
        <v>0</v>
      </c>
      <c r="BL169" s="289">
        <v>0</v>
      </c>
      <c r="BM169" s="289">
        <v>0</v>
      </c>
      <c r="BN169" s="289">
        <v>286.48615144079213</v>
      </c>
      <c r="BO169" s="289">
        <v>161.27545485280305</v>
      </c>
      <c r="BP169" s="289">
        <v>273.34340014170334</v>
      </c>
      <c r="BQ169" s="289">
        <v>189.82087995413212</v>
      </c>
      <c r="BR169" s="289">
        <v>2.5881686395293451</v>
      </c>
      <c r="BS169" s="289">
        <v>0.90913809695171643</v>
      </c>
      <c r="BT169" s="289">
        <v>0</v>
      </c>
      <c r="BU169" s="289">
        <v>0</v>
      </c>
      <c r="BV169" s="289">
        <v>13.307935343471513</v>
      </c>
      <c r="BW169" s="517"/>
      <c r="BX169" s="517"/>
      <c r="CA169" s="517"/>
      <c r="CB169" s="517"/>
    </row>
    <row r="170" spans="1:80" ht="13">
      <c r="A170" s="1">
        <v>1927</v>
      </c>
      <c r="B170" s="2" t="s">
        <v>229</v>
      </c>
      <c r="C170" s="289">
        <v>1513</v>
      </c>
      <c r="D170" s="289">
        <v>25</v>
      </c>
      <c r="E170" s="289">
        <v>59</v>
      </c>
      <c r="F170" s="289">
        <v>176</v>
      </c>
      <c r="G170" s="289">
        <v>123</v>
      </c>
      <c r="H170" s="289">
        <v>783</v>
      </c>
      <c r="I170" s="289">
        <v>250</v>
      </c>
      <c r="J170" s="289">
        <v>93</v>
      </c>
      <c r="K170" s="289">
        <v>24</v>
      </c>
      <c r="L170" s="289">
        <v>12</v>
      </c>
      <c r="M170" s="289">
        <v>163</v>
      </c>
      <c r="N170" s="290">
        <v>14</v>
      </c>
      <c r="O170" s="290">
        <v>31</v>
      </c>
      <c r="P170" s="624">
        <v>33097.177666670003</v>
      </c>
      <c r="Q170" s="624">
        <v>8932.3343333299999</v>
      </c>
      <c r="R170" s="624">
        <v>7</v>
      </c>
      <c r="S170" s="289"/>
      <c r="T170" s="289">
        <v>151</v>
      </c>
      <c r="U170" s="716">
        <v>8.0737374069719738E-4</v>
      </c>
      <c r="V170" s="289">
        <v>754.43354141999998</v>
      </c>
      <c r="W170" s="743">
        <v>1</v>
      </c>
      <c r="X170" s="289">
        <v>2010</v>
      </c>
      <c r="Y170" s="289">
        <v>0</v>
      </c>
      <c r="Z170" s="289">
        <v>34453</v>
      </c>
      <c r="AA170" s="289">
        <v>0</v>
      </c>
      <c r="AB170" s="290">
        <v>34</v>
      </c>
      <c r="AC170" s="289">
        <v>0</v>
      </c>
      <c r="AD170" s="289">
        <v>0</v>
      </c>
      <c r="AE170" s="289">
        <v>0</v>
      </c>
      <c r="AF170" s="289">
        <v>0</v>
      </c>
      <c r="AG170" s="289">
        <v>1533</v>
      </c>
      <c r="AH170" s="289">
        <v>230.09281539</v>
      </c>
      <c r="AI170" s="289">
        <v>400</v>
      </c>
      <c r="AJ170" s="289">
        <v>0</v>
      </c>
      <c r="AK170" s="289">
        <v>0</v>
      </c>
      <c r="AL170" s="289">
        <v>5178</v>
      </c>
      <c r="AM170" s="836">
        <v>2.5990800000000001E-2</v>
      </c>
      <c r="AN170" s="289">
        <v>0</v>
      </c>
      <c r="AO170" s="289">
        <v>81.099970690000006</v>
      </c>
      <c r="AP170" s="289">
        <v>0</v>
      </c>
      <c r="AQ170" s="289">
        <v>0</v>
      </c>
      <c r="AR170" s="289">
        <v>-81.598064739999998</v>
      </c>
      <c r="AS170" s="289"/>
      <c r="AT170" s="289">
        <v>73</v>
      </c>
      <c r="AU170" s="289">
        <v>12</v>
      </c>
      <c r="AV170" s="625">
        <v>78928</v>
      </c>
      <c r="AW170" s="289"/>
      <c r="AX170" s="625">
        <v>11.72</v>
      </c>
      <c r="AY170" s="289">
        <v>268</v>
      </c>
      <c r="AZ170" s="289">
        <v>70</v>
      </c>
      <c r="BA170" s="290">
        <v>46</v>
      </c>
      <c r="BB170" s="289">
        <v>5698</v>
      </c>
      <c r="BC170" s="289">
        <v>220.87984849</v>
      </c>
      <c r="BD170" s="289">
        <v>22.309742817291756</v>
      </c>
      <c r="BE170" s="289">
        <v>81564.054518789999</v>
      </c>
      <c r="BF170" s="289">
        <v>0</v>
      </c>
      <c r="BG170" s="289">
        <v>-72.945499999999996</v>
      </c>
      <c r="BH170" s="289">
        <v>-4.3285</v>
      </c>
      <c r="BI170" s="289">
        <v>230.09281539</v>
      </c>
      <c r="BJ170" s="289">
        <v>0</v>
      </c>
      <c r="BK170" s="289">
        <v>0</v>
      </c>
      <c r="BL170" s="289">
        <v>0</v>
      </c>
      <c r="BM170" s="289">
        <v>424</v>
      </c>
      <c r="BN170" s="289">
        <v>162.70069770392911</v>
      </c>
      <c r="BO170" s="289">
        <v>108.56792879378989</v>
      </c>
      <c r="BP170" s="289">
        <v>138.79941451382285</v>
      </c>
      <c r="BQ170" s="289">
        <v>104.7971115424962</v>
      </c>
      <c r="BR170" s="289">
        <v>1.5121047909497747</v>
      </c>
      <c r="BS170" s="289">
        <v>0.64703582333724863</v>
      </c>
      <c r="BT170" s="289">
        <v>0</v>
      </c>
      <c r="BU170" s="289">
        <v>0</v>
      </c>
      <c r="BV170" s="289">
        <v>7.3471010403444943</v>
      </c>
      <c r="BW170" s="517"/>
      <c r="BX170" s="517"/>
      <c r="CA170" s="517"/>
      <c r="CB170" s="517"/>
    </row>
    <row r="171" spans="1:80" ht="13">
      <c r="A171" s="1">
        <v>1928</v>
      </c>
      <c r="B171" s="2" t="s">
        <v>230</v>
      </c>
      <c r="C171" s="289">
        <v>931</v>
      </c>
      <c r="D171" s="289">
        <v>16</v>
      </c>
      <c r="E171" s="289">
        <v>33</v>
      </c>
      <c r="F171" s="289">
        <v>101</v>
      </c>
      <c r="G171" s="289">
        <v>74</v>
      </c>
      <c r="H171" s="289">
        <v>501</v>
      </c>
      <c r="I171" s="289">
        <v>149</v>
      </c>
      <c r="J171" s="289">
        <v>60</v>
      </c>
      <c r="K171" s="289">
        <v>12</v>
      </c>
      <c r="L171" s="289">
        <v>9</v>
      </c>
      <c r="M171" s="289">
        <v>120</v>
      </c>
      <c r="N171" s="290">
        <v>5</v>
      </c>
      <c r="O171" s="290">
        <v>34</v>
      </c>
      <c r="P171" s="624">
        <v>24459.826000000001</v>
      </c>
      <c r="Q171" s="624">
        <v>5642.2179999999998</v>
      </c>
      <c r="R171" s="624">
        <v>7</v>
      </c>
      <c r="S171" s="289"/>
      <c r="T171" s="289">
        <v>87</v>
      </c>
      <c r="U171" s="716">
        <v>1.6703713874242709E-4</v>
      </c>
      <c r="V171" s="289">
        <v>588.90344345999995</v>
      </c>
      <c r="W171" s="743">
        <v>1</v>
      </c>
      <c r="X171" s="289">
        <v>1225</v>
      </c>
      <c r="Y171" s="289">
        <v>0</v>
      </c>
      <c r="Z171" s="289">
        <v>21142</v>
      </c>
      <c r="AA171" s="289">
        <v>0</v>
      </c>
      <c r="AB171" s="290">
        <v>14</v>
      </c>
      <c r="AC171" s="289">
        <v>0</v>
      </c>
      <c r="AD171" s="289">
        <v>0</v>
      </c>
      <c r="AE171" s="289">
        <v>431</v>
      </c>
      <c r="AF171" s="289">
        <v>0</v>
      </c>
      <c r="AG171" s="289">
        <v>946</v>
      </c>
      <c r="AH171" s="289">
        <v>135.96393637</v>
      </c>
      <c r="AI171" s="289">
        <v>300</v>
      </c>
      <c r="AJ171" s="289">
        <v>0</v>
      </c>
      <c r="AK171" s="289">
        <v>0</v>
      </c>
      <c r="AL171" s="289">
        <v>3179</v>
      </c>
      <c r="AM171" s="836">
        <v>6.3856129999999997E-2</v>
      </c>
      <c r="AN171" s="289">
        <v>0</v>
      </c>
      <c r="AO171" s="289">
        <v>56.186079339999999</v>
      </c>
      <c r="AP171" s="289">
        <v>0</v>
      </c>
      <c r="AQ171" s="289">
        <v>0</v>
      </c>
      <c r="AR171" s="289">
        <v>-50.353404599999998</v>
      </c>
      <c r="AS171" s="289"/>
      <c r="AT171" s="289">
        <v>56</v>
      </c>
      <c r="AU171" s="289">
        <v>13</v>
      </c>
      <c r="AV171" s="625">
        <v>57414</v>
      </c>
      <c r="AW171" s="289"/>
      <c r="AX171" s="625">
        <v>5.4666666499999996</v>
      </c>
      <c r="AY171" s="289">
        <v>100</v>
      </c>
      <c r="AZ171" s="289">
        <v>78</v>
      </c>
      <c r="BA171" s="290">
        <v>18</v>
      </c>
      <c r="BB171" s="289">
        <v>5698</v>
      </c>
      <c r="BC171" s="289">
        <v>129.12975757999999</v>
      </c>
      <c r="BD171" s="289">
        <v>16.170810499437355</v>
      </c>
      <c r="BE171" s="289">
        <v>61322.860683760002</v>
      </c>
      <c r="BF171" s="289">
        <v>0</v>
      </c>
      <c r="BG171" s="289">
        <v>-48.811100000000003</v>
      </c>
      <c r="BH171" s="289">
        <v>-2.6711</v>
      </c>
      <c r="BI171" s="289">
        <v>135.96393637</v>
      </c>
      <c r="BJ171" s="289">
        <v>0</v>
      </c>
      <c r="BK171" s="289">
        <v>0</v>
      </c>
      <c r="BL171" s="289">
        <v>0</v>
      </c>
      <c r="BM171" s="289">
        <v>260</v>
      </c>
      <c r="BN171" s="289">
        <v>116.31486832143753</v>
      </c>
      <c r="BO171" s="289">
        <v>80.68379154092716</v>
      </c>
      <c r="BP171" s="289">
        <v>85.651823959606261</v>
      </c>
      <c r="BQ171" s="289">
        <v>21.681420608767034</v>
      </c>
      <c r="BR171" s="289">
        <v>1.0960216005174208</v>
      </c>
      <c r="BS171" s="289">
        <v>0.52740522352525943</v>
      </c>
      <c r="BT171" s="289">
        <v>0</v>
      </c>
      <c r="BU171" s="289">
        <v>0</v>
      </c>
      <c r="BV171" s="289">
        <v>1.5200379625560863</v>
      </c>
      <c r="BW171" s="517"/>
      <c r="BX171" s="517"/>
      <c r="CA171" s="517"/>
      <c r="CB171" s="517"/>
    </row>
    <row r="172" spans="1:80" ht="13">
      <c r="A172" s="1">
        <v>1929</v>
      </c>
      <c r="B172" s="2" t="s">
        <v>231</v>
      </c>
      <c r="C172" s="289">
        <v>888</v>
      </c>
      <c r="D172" s="289">
        <v>21</v>
      </c>
      <c r="E172" s="289">
        <v>35</v>
      </c>
      <c r="F172" s="289">
        <v>85</v>
      </c>
      <c r="G172" s="289">
        <v>57</v>
      </c>
      <c r="H172" s="289">
        <v>506</v>
      </c>
      <c r="I172" s="289">
        <v>128</v>
      </c>
      <c r="J172" s="289">
        <v>50</v>
      </c>
      <c r="K172" s="289">
        <v>11</v>
      </c>
      <c r="L172" s="289">
        <v>9</v>
      </c>
      <c r="M172" s="289">
        <v>89</v>
      </c>
      <c r="N172" s="290">
        <v>12</v>
      </c>
      <c r="O172" s="290">
        <v>20</v>
      </c>
      <c r="P172" s="624">
        <v>7422.7616666699996</v>
      </c>
      <c r="Q172" s="624">
        <v>3999.384</v>
      </c>
      <c r="R172" s="624">
        <v>4</v>
      </c>
      <c r="S172" s="289"/>
      <c r="T172" s="289">
        <v>82</v>
      </c>
      <c r="U172" s="716">
        <v>1.0622424895183821E-4</v>
      </c>
      <c r="V172" s="289">
        <v>-1879.17089534</v>
      </c>
      <c r="W172" s="743">
        <v>1</v>
      </c>
      <c r="X172" s="289">
        <v>1057</v>
      </c>
      <c r="Y172" s="289">
        <v>0</v>
      </c>
      <c r="Z172" s="289">
        <v>25764</v>
      </c>
      <c r="AA172" s="289">
        <v>0</v>
      </c>
      <c r="AB172" s="290">
        <v>19</v>
      </c>
      <c r="AC172" s="289">
        <v>0</v>
      </c>
      <c r="AD172" s="289">
        <v>0</v>
      </c>
      <c r="AE172" s="289">
        <v>0</v>
      </c>
      <c r="AF172" s="289">
        <v>0</v>
      </c>
      <c r="AG172" s="289">
        <v>893</v>
      </c>
      <c r="AH172" s="289">
        <v>123.41341917</v>
      </c>
      <c r="AI172" s="289">
        <v>0</v>
      </c>
      <c r="AJ172" s="289">
        <v>200</v>
      </c>
      <c r="AK172" s="289">
        <v>94.927999999999997</v>
      </c>
      <c r="AL172" s="289">
        <v>3041</v>
      </c>
      <c r="AM172" s="836">
        <v>1.7766629999999999E-2</v>
      </c>
      <c r="AN172" s="289">
        <v>0</v>
      </c>
      <c r="AO172" s="289">
        <v>48.737165529999999</v>
      </c>
      <c r="AP172" s="289">
        <v>0</v>
      </c>
      <c r="AQ172" s="289">
        <v>0</v>
      </c>
      <c r="AR172" s="289">
        <v>-47.532336469999997</v>
      </c>
      <c r="AS172" s="289"/>
      <c r="AT172" s="289">
        <v>35</v>
      </c>
      <c r="AU172" s="289">
        <v>7</v>
      </c>
      <c r="AV172" s="625">
        <v>45277</v>
      </c>
      <c r="AW172" s="289"/>
      <c r="AX172" s="625">
        <v>11.68</v>
      </c>
      <c r="AY172" s="289">
        <v>114</v>
      </c>
      <c r="AZ172" s="289">
        <v>59</v>
      </c>
      <c r="BA172" s="290">
        <v>18</v>
      </c>
      <c r="BB172" s="289">
        <v>5698</v>
      </c>
      <c r="BC172" s="289">
        <v>120.06802020000001</v>
      </c>
      <c r="BD172" s="289">
        <v>13.269736032773757</v>
      </c>
      <c r="BE172" s="289">
        <v>49494.27374579</v>
      </c>
      <c r="BF172" s="289">
        <v>0</v>
      </c>
      <c r="BG172" s="289">
        <v>-38.911900000000003</v>
      </c>
      <c r="BH172" s="289">
        <v>-2.5213999999999999</v>
      </c>
      <c r="BI172" s="289">
        <v>123.41341917</v>
      </c>
      <c r="BJ172" s="289">
        <v>0</v>
      </c>
      <c r="BK172" s="289">
        <v>0</v>
      </c>
      <c r="BL172" s="289">
        <v>0</v>
      </c>
      <c r="BM172" s="289">
        <v>249</v>
      </c>
      <c r="BN172" s="289">
        <v>94.625867694153015</v>
      </c>
      <c r="BO172" s="289">
        <v>71.348877581980375</v>
      </c>
      <c r="BP172" s="289">
        <v>80.853148832905276</v>
      </c>
      <c r="BQ172" s="289">
        <v>13.787907513948596</v>
      </c>
      <c r="BR172" s="289">
        <v>0.89939321999911037</v>
      </c>
      <c r="BS172" s="289">
        <v>0.51693797157702148</v>
      </c>
      <c r="BT172" s="289">
        <v>0</v>
      </c>
      <c r="BU172" s="289">
        <v>0</v>
      </c>
      <c r="BV172" s="289">
        <v>0.96664066546172733</v>
      </c>
      <c r="BW172" s="517"/>
      <c r="BX172" s="517"/>
      <c r="CA172" s="517"/>
      <c r="CB172" s="517"/>
    </row>
    <row r="173" spans="1:80" ht="13">
      <c r="A173" s="1">
        <v>1931</v>
      </c>
      <c r="B173" s="2" t="s">
        <v>232</v>
      </c>
      <c r="C173" s="289">
        <v>11679</v>
      </c>
      <c r="D173" s="289">
        <v>214</v>
      </c>
      <c r="E173" s="289">
        <v>505</v>
      </c>
      <c r="F173" s="289">
        <v>1526</v>
      </c>
      <c r="G173" s="289">
        <v>1169</v>
      </c>
      <c r="H173" s="289">
        <v>6358</v>
      </c>
      <c r="I173" s="289">
        <v>1380</v>
      </c>
      <c r="J173" s="289">
        <v>420</v>
      </c>
      <c r="K173" s="289">
        <v>95</v>
      </c>
      <c r="L173" s="289">
        <v>103</v>
      </c>
      <c r="M173" s="289">
        <v>885</v>
      </c>
      <c r="N173" s="290">
        <v>158</v>
      </c>
      <c r="O173" s="290">
        <v>115</v>
      </c>
      <c r="P173" s="624">
        <v>123481.72566667</v>
      </c>
      <c r="Q173" s="624">
        <v>45225.106</v>
      </c>
      <c r="R173" s="624">
        <v>93</v>
      </c>
      <c r="S173" s="289"/>
      <c r="T173" s="289">
        <v>928</v>
      </c>
      <c r="U173" s="716">
        <v>2.2338362674712803E-3</v>
      </c>
      <c r="V173" s="289">
        <v>-3843.7879917300002</v>
      </c>
      <c r="W173" s="743">
        <v>0.7058835</v>
      </c>
      <c r="X173" s="289">
        <v>1537</v>
      </c>
      <c r="Y173" s="289">
        <v>414.28399999999999</v>
      </c>
      <c r="Z173" s="289">
        <v>311153</v>
      </c>
      <c r="AA173" s="289">
        <v>0</v>
      </c>
      <c r="AB173" s="290">
        <v>309</v>
      </c>
      <c r="AC173" s="289">
        <v>0</v>
      </c>
      <c r="AD173" s="289">
        <v>2804.8537959999999</v>
      </c>
      <c r="AE173" s="289">
        <v>0</v>
      </c>
      <c r="AF173" s="289">
        <v>0</v>
      </c>
      <c r="AG173" s="289">
        <v>11667</v>
      </c>
      <c r="AH173" s="289">
        <v>2054.1013156099998</v>
      </c>
      <c r="AI173" s="289">
        <v>900</v>
      </c>
      <c r="AJ173" s="289">
        <v>0</v>
      </c>
      <c r="AK173" s="289">
        <v>0</v>
      </c>
      <c r="AL173" s="289">
        <v>39252</v>
      </c>
      <c r="AM173" s="836">
        <v>0.23074064999999999</v>
      </c>
      <c r="AN173" s="289">
        <v>0</v>
      </c>
      <c r="AO173" s="289">
        <v>499.76714993000002</v>
      </c>
      <c r="AP173" s="289">
        <v>0</v>
      </c>
      <c r="AQ173" s="289">
        <v>0</v>
      </c>
      <c r="AR173" s="289">
        <v>-621.00758078000001</v>
      </c>
      <c r="AS173" s="289"/>
      <c r="AT173" s="289">
        <v>628</v>
      </c>
      <c r="AU173" s="289">
        <v>104</v>
      </c>
      <c r="AV173" s="625">
        <v>378219</v>
      </c>
      <c r="AW173" s="289"/>
      <c r="AX173" s="625">
        <v>74.305000050000004</v>
      </c>
      <c r="AY173" s="289">
        <v>1995</v>
      </c>
      <c r="AZ173" s="289">
        <v>479</v>
      </c>
      <c r="BA173" s="290">
        <v>352</v>
      </c>
      <c r="BB173" s="289">
        <v>0</v>
      </c>
      <c r="BC173" s="289">
        <v>5177.1442121700002</v>
      </c>
      <c r="BD173" s="289">
        <v>171.1271491659457</v>
      </c>
      <c r="BE173" s="289">
        <v>398746.94599417999</v>
      </c>
      <c r="BF173" s="289">
        <v>0</v>
      </c>
      <c r="BG173" s="289">
        <v>-498.43090000000001</v>
      </c>
      <c r="BH173" s="289">
        <v>-32.942100000000003</v>
      </c>
      <c r="BI173" s="289">
        <v>5273.2391116099998</v>
      </c>
      <c r="BJ173" s="289">
        <v>0</v>
      </c>
      <c r="BK173" s="289">
        <v>0</v>
      </c>
      <c r="BL173" s="289">
        <v>0</v>
      </c>
      <c r="BM173" s="289">
        <v>3213</v>
      </c>
      <c r="BN173" s="289">
        <v>954.40066811023348</v>
      </c>
      <c r="BO173" s="289">
        <v>499.72022051464603</v>
      </c>
      <c r="BP173" s="289">
        <v>1056.3423151551017</v>
      </c>
      <c r="BQ173" s="289">
        <v>289.95194751777211</v>
      </c>
      <c r="BR173" s="289">
        <v>11.598617887914099</v>
      </c>
      <c r="BS173" s="289">
        <v>2.6298971223701244</v>
      </c>
      <c r="BT173" s="289">
        <v>0</v>
      </c>
      <c r="BU173" s="289">
        <v>0</v>
      </c>
      <c r="BV173" s="289">
        <v>20.327910033988648</v>
      </c>
      <c r="BW173" s="517"/>
      <c r="BX173" s="517"/>
      <c r="CA173" s="517"/>
      <c r="CB173" s="517"/>
    </row>
    <row r="174" spans="1:80" ht="13">
      <c r="A174" s="1">
        <v>2004</v>
      </c>
      <c r="B174" s="2" t="s">
        <v>243</v>
      </c>
      <c r="C174" s="289">
        <v>10536</v>
      </c>
      <c r="D174" s="289">
        <v>231</v>
      </c>
      <c r="E174" s="289">
        <v>523</v>
      </c>
      <c r="F174" s="289">
        <v>1275</v>
      </c>
      <c r="G174" s="289">
        <v>901</v>
      </c>
      <c r="H174" s="289">
        <v>6206</v>
      </c>
      <c r="I174" s="289">
        <v>1035</v>
      </c>
      <c r="J174" s="289">
        <v>297</v>
      </c>
      <c r="K174" s="289">
        <v>67</v>
      </c>
      <c r="L174" s="289">
        <v>96</v>
      </c>
      <c r="M174" s="289">
        <v>673</v>
      </c>
      <c r="N174" s="290">
        <v>341</v>
      </c>
      <c r="O174" s="290">
        <v>180</v>
      </c>
      <c r="P174" s="624">
        <v>26278.008000000002</v>
      </c>
      <c r="Q174" s="624">
        <v>18067.093000000001</v>
      </c>
      <c r="R174" s="624">
        <v>48</v>
      </c>
      <c r="S174" s="289"/>
      <c r="T174" s="289">
        <v>1026</v>
      </c>
      <c r="U174" s="716">
        <v>2.5176301711855186E-4</v>
      </c>
      <c r="V174" s="289">
        <v>4279.9405262</v>
      </c>
      <c r="W174" s="743">
        <v>0.56517762999999999</v>
      </c>
      <c r="X174" s="289">
        <v>440</v>
      </c>
      <c r="Y174" s="289">
        <v>414.28399999999999</v>
      </c>
      <c r="Z174" s="289">
        <v>316078</v>
      </c>
      <c r="AA174" s="289">
        <v>0</v>
      </c>
      <c r="AB174" s="290">
        <v>161</v>
      </c>
      <c r="AC174" s="289">
        <v>0</v>
      </c>
      <c r="AD174" s="289">
        <v>5226.813572</v>
      </c>
      <c r="AE174" s="289">
        <v>0</v>
      </c>
      <c r="AF174" s="289">
        <v>0</v>
      </c>
      <c r="AG174" s="289">
        <v>10535</v>
      </c>
      <c r="AH174" s="289">
        <v>1773.10918044</v>
      </c>
      <c r="AI174" s="289">
        <v>1725</v>
      </c>
      <c r="AJ174" s="289">
        <v>0</v>
      </c>
      <c r="AK174" s="289">
        <v>87.090999999999994</v>
      </c>
      <c r="AL174" s="289">
        <v>86708</v>
      </c>
      <c r="AM174" s="836">
        <v>0.34049005999999998</v>
      </c>
      <c r="AN174" s="289">
        <v>0</v>
      </c>
      <c r="AO174" s="289">
        <v>408.34041754999998</v>
      </c>
      <c r="AP174" s="289">
        <v>0</v>
      </c>
      <c r="AQ174" s="289">
        <v>0</v>
      </c>
      <c r="AR174" s="289">
        <v>-560.75382391000005</v>
      </c>
      <c r="AS174" s="289"/>
      <c r="AT174" s="289">
        <v>512</v>
      </c>
      <c r="AU174" s="289">
        <v>155</v>
      </c>
      <c r="AV174" s="625">
        <v>346417</v>
      </c>
      <c r="AW174" s="289"/>
      <c r="AX174" s="625">
        <v>78.641666700000002</v>
      </c>
      <c r="AY174" s="289">
        <v>2334</v>
      </c>
      <c r="AZ174" s="289">
        <v>476</v>
      </c>
      <c r="BA174" s="290">
        <v>242</v>
      </c>
      <c r="BB174" s="289">
        <v>0</v>
      </c>
      <c r="BC174" s="289">
        <v>7210.3118182199996</v>
      </c>
      <c r="BD174" s="289">
        <v>184.59077161676117</v>
      </c>
      <c r="BE174" s="289">
        <v>363451.03268270002</v>
      </c>
      <c r="BF174" s="289">
        <v>0</v>
      </c>
      <c r="BG174" s="289">
        <v>-403.29809999999998</v>
      </c>
      <c r="BH174" s="289">
        <v>-29.745799999999999</v>
      </c>
      <c r="BI174" s="289">
        <v>7414.2067524399999</v>
      </c>
      <c r="BJ174" s="289">
        <v>0</v>
      </c>
      <c r="BK174" s="289">
        <v>0</v>
      </c>
      <c r="BL174" s="289">
        <v>0</v>
      </c>
      <c r="BM174" s="289">
        <v>3570</v>
      </c>
      <c r="BN174" s="289">
        <v>675.26210862210064</v>
      </c>
      <c r="BO174" s="289">
        <v>389.61036198529894</v>
      </c>
      <c r="BP174" s="289">
        <v>953.84985773197889</v>
      </c>
      <c r="BQ174" s="289">
        <v>32.678839621988033</v>
      </c>
      <c r="BR174" s="289">
        <v>12.511152298469367</v>
      </c>
      <c r="BS174" s="289">
        <v>2.3558990911868576</v>
      </c>
      <c r="BT174" s="289">
        <v>0</v>
      </c>
      <c r="BU174" s="289">
        <v>0</v>
      </c>
      <c r="BV174" s="289">
        <v>2.2910434557788228</v>
      </c>
      <c r="BW174" s="517"/>
      <c r="BX174" s="517"/>
      <c r="CA174" s="517"/>
      <c r="CB174" s="517"/>
    </row>
    <row r="175" spans="1:80" ht="13">
      <c r="A175" s="1">
        <v>2017</v>
      </c>
      <c r="B175" s="2" t="s">
        <v>248</v>
      </c>
      <c r="C175" s="289">
        <v>988</v>
      </c>
      <c r="D175" s="289">
        <v>16</v>
      </c>
      <c r="E175" s="289">
        <v>37</v>
      </c>
      <c r="F175" s="289">
        <v>92</v>
      </c>
      <c r="G175" s="289">
        <v>78</v>
      </c>
      <c r="H175" s="289">
        <v>529</v>
      </c>
      <c r="I175" s="289">
        <v>218</v>
      </c>
      <c r="J175" s="289">
        <v>40</v>
      </c>
      <c r="K175" s="289">
        <v>8</v>
      </c>
      <c r="L175" s="289">
        <v>11</v>
      </c>
      <c r="M175" s="289">
        <v>147</v>
      </c>
      <c r="N175" s="290">
        <v>3</v>
      </c>
      <c r="O175" s="290">
        <v>12</v>
      </c>
      <c r="P175" s="624">
        <v>17381.84366667</v>
      </c>
      <c r="Q175" s="624">
        <v>14422.447666669999</v>
      </c>
      <c r="R175" s="624">
        <v>4</v>
      </c>
      <c r="S175" s="289"/>
      <c r="T175" s="289">
        <v>105</v>
      </c>
      <c r="U175" s="716">
        <v>4.493268569332184E-4</v>
      </c>
      <c r="V175" s="289">
        <v>578.19086565999999</v>
      </c>
      <c r="W175" s="743">
        <v>1</v>
      </c>
      <c r="X175" s="289">
        <v>1070</v>
      </c>
      <c r="Y175" s="289">
        <v>0</v>
      </c>
      <c r="Z175" s="289">
        <v>24502</v>
      </c>
      <c r="AA175" s="289">
        <v>0</v>
      </c>
      <c r="AB175" s="290">
        <v>25</v>
      </c>
      <c r="AC175" s="289">
        <v>0</v>
      </c>
      <c r="AD175" s="289">
        <v>0</v>
      </c>
      <c r="AE175" s="289">
        <v>0</v>
      </c>
      <c r="AF175" s="289">
        <v>0</v>
      </c>
      <c r="AG175" s="289">
        <v>1018</v>
      </c>
      <c r="AH175" s="289">
        <v>131.08317968</v>
      </c>
      <c r="AI175" s="289">
        <v>150</v>
      </c>
      <c r="AJ175" s="289">
        <v>0</v>
      </c>
      <c r="AK175" s="289">
        <v>7.7889999999999997</v>
      </c>
      <c r="AL175" s="289">
        <v>8454</v>
      </c>
      <c r="AM175" s="836">
        <v>2.05247E-2</v>
      </c>
      <c r="AN175" s="289">
        <v>0</v>
      </c>
      <c r="AO175" s="289">
        <v>55.164014090000002</v>
      </c>
      <c r="AP175" s="289">
        <v>0</v>
      </c>
      <c r="AQ175" s="289">
        <v>0</v>
      </c>
      <c r="AR175" s="289">
        <v>-54.185799029999998</v>
      </c>
      <c r="AS175" s="289"/>
      <c r="AT175" s="289">
        <v>41</v>
      </c>
      <c r="AU175" s="289">
        <v>16</v>
      </c>
      <c r="AV175" s="625">
        <v>66943</v>
      </c>
      <c r="AW175" s="289"/>
      <c r="AX175" s="625">
        <v>7.36</v>
      </c>
      <c r="AY175" s="289">
        <v>154</v>
      </c>
      <c r="AZ175" s="289">
        <v>33</v>
      </c>
      <c r="BA175" s="290">
        <v>17</v>
      </c>
      <c r="BB175" s="289">
        <v>12341</v>
      </c>
      <c r="BC175" s="289">
        <v>124.59888889</v>
      </c>
      <c r="BD175" s="289">
        <v>15.113585484349805</v>
      </c>
      <c r="BE175" s="289">
        <v>69361.18966032</v>
      </c>
      <c r="BF175" s="289">
        <v>0</v>
      </c>
      <c r="BG175" s="289">
        <v>-46.0471</v>
      </c>
      <c r="BH175" s="289">
        <v>-2.8742999999999999</v>
      </c>
      <c r="BI175" s="289">
        <v>131.08317968</v>
      </c>
      <c r="BJ175" s="289">
        <v>0</v>
      </c>
      <c r="BK175" s="289">
        <v>0</v>
      </c>
      <c r="BL175" s="289">
        <v>0</v>
      </c>
      <c r="BM175" s="289">
        <v>348</v>
      </c>
      <c r="BN175" s="289">
        <v>110.72970439086311</v>
      </c>
      <c r="BO175" s="289">
        <v>87.73854205687195</v>
      </c>
      <c r="BP175" s="289">
        <v>92.170778848709489</v>
      </c>
      <c r="BQ175" s="289">
        <v>58.32262602993174</v>
      </c>
      <c r="BR175" s="289">
        <v>1.0243652383837092</v>
      </c>
      <c r="BS175" s="289">
        <v>0.54063393760285627</v>
      </c>
      <c r="BT175" s="289">
        <v>0</v>
      </c>
      <c r="BU175" s="289">
        <v>0</v>
      </c>
      <c r="BV175" s="289">
        <v>4.0888743980922868</v>
      </c>
      <c r="BW175" s="517"/>
      <c r="BX175" s="517"/>
      <c r="CA175" s="517"/>
      <c r="CB175" s="517"/>
    </row>
    <row r="176" spans="1:80" ht="13">
      <c r="A176" s="1">
        <v>3001</v>
      </c>
      <c r="B176" s="2" t="s">
        <v>783</v>
      </c>
      <c r="C176" s="289">
        <v>31177</v>
      </c>
      <c r="D176" s="289">
        <v>578</v>
      </c>
      <c r="E176" s="289">
        <v>1287</v>
      </c>
      <c r="F176" s="289">
        <v>3624</v>
      </c>
      <c r="G176" s="289">
        <v>2720</v>
      </c>
      <c r="H176" s="289">
        <v>17460</v>
      </c>
      <c r="I176" s="289">
        <v>3951</v>
      </c>
      <c r="J176" s="289">
        <v>1205</v>
      </c>
      <c r="K176" s="289">
        <v>300</v>
      </c>
      <c r="L176" s="289">
        <v>258</v>
      </c>
      <c r="M176" s="289">
        <v>2374</v>
      </c>
      <c r="N176" s="290">
        <v>1040</v>
      </c>
      <c r="O176" s="290">
        <v>211</v>
      </c>
      <c r="P176" s="624">
        <v>85975.563999999998</v>
      </c>
      <c r="Q176" s="624">
        <v>60798.218333329998</v>
      </c>
      <c r="R176" s="624">
        <v>121</v>
      </c>
      <c r="S176" s="289"/>
      <c r="T176" s="289">
        <v>2755</v>
      </c>
      <c r="U176" s="716">
        <v>4.2483813533561645E-3</v>
      </c>
      <c r="V176" s="289">
        <v>9283.8376251499994</v>
      </c>
      <c r="W176" s="743">
        <v>0.55727848999999996</v>
      </c>
      <c r="X176" s="289">
        <v>3300</v>
      </c>
      <c r="Y176" s="289">
        <v>414.28399999999999</v>
      </c>
      <c r="Z176" s="289">
        <v>767877</v>
      </c>
      <c r="AA176" s="289">
        <v>0</v>
      </c>
      <c r="AB176" s="290">
        <v>910</v>
      </c>
      <c r="AC176" s="289">
        <v>0</v>
      </c>
      <c r="AD176" s="289">
        <v>0</v>
      </c>
      <c r="AE176" s="289">
        <v>0</v>
      </c>
      <c r="AF176" s="289">
        <v>0</v>
      </c>
      <c r="AG176" s="289">
        <v>31125</v>
      </c>
      <c r="AH176" s="289">
        <v>4866.8116710499999</v>
      </c>
      <c r="AI176" s="289">
        <v>600</v>
      </c>
      <c r="AJ176" s="289">
        <v>0</v>
      </c>
      <c r="AK176" s="289">
        <v>1382.5630000000001</v>
      </c>
      <c r="AL176" s="289">
        <v>0</v>
      </c>
      <c r="AM176" s="836">
        <v>1.3067521799999999</v>
      </c>
      <c r="AN176" s="289">
        <v>0</v>
      </c>
      <c r="AO176" s="289">
        <v>1204.98711088</v>
      </c>
      <c r="AP176" s="289">
        <v>0</v>
      </c>
      <c r="AQ176" s="289">
        <v>0</v>
      </c>
      <c r="AR176" s="289">
        <v>-1656.7121755200001</v>
      </c>
      <c r="AS176" s="289"/>
      <c r="AT176" s="289">
        <v>2047</v>
      </c>
      <c r="AU176" s="289">
        <v>387</v>
      </c>
      <c r="AV176" s="625">
        <v>753245</v>
      </c>
      <c r="AW176" s="289"/>
      <c r="AX176" s="625">
        <v>198.55500000000001</v>
      </c>
      <c r="AY176" s="289">
        <v>6603</v>
      </c>
      <c r="AZ176" s="289">
        <v>1589</v>
      </c>
      <c r="BA176" s="290">
        <v>820</v>
      </c>
      <c r="BB176" s="289">
        <v>0</v>
      </c>
      <c r="BC176" s="289">
        <v>5153.6158182899999</v>
      </c>
      <c r="BD176" s="289">
        <v>592.56017286660403</v>
      </c>
      <c r="BE176" s="289">
        <v>787157.59623014997</v>
      </c>
      <c r="BF176" s="289">
        <v>0</v>
      </c>
      <c r="BG176" s="289">
        <v>-1109.8281999999999</v>
      </c>
      <c r="BH176" s="289">
        <v>-87.882199999999997</v>
      </c>
      <c r="BI176" s="289">
        <v>5281.0956710500004</v>
      </c>
      <c r="BJ176" s="289">
        <v>0</v>
      </c>
      <c r="BK176" s="289">
        <v>0</v>
      </c>
      <c r="BL176" s="289">
        <v>0</v>
      </c>
      <c r="BM176" s="289">
        <v>0</v>
      </c>
      <c r="BN176" s="289">
        <v>2210.7824525683118</v>
      </c>
      <c r="BO176" s="289">
        <v>1185.3446461870094</v>
      </c>
      <c r="BP176" s="289">
        <v>2818.0898739352483</v>
      </c>
      <c r="BQ176" s="289">
        <v>551.43989966563015</v>
      </c>
      <c r="BR176" s="289">
        <v>40.162411716514278</v>
      </c>
      <c r="BS176" s="289">
        <v>6.5631666152973258</v>
      </c>
      <c r="BT176" s="289">
        <v>0</v>
      </c>
      <c r="BU176" s="289">
        <v>0</v>
      </c>
      <c r="BV176" s="289">
        <v>38.660270315541091</v>
      </c>
      <c r="BW176" s="517"/>
      <c r="BX176" s="517"/>
      <c r="BY176" s="85"/>
      <c r="CA176" s="517"/>
      <c r="CB176" s="517"/>
    </row>
    <row r="177" spans="1:80" ht="13">
      <c r="A177" s="1">
        <v>3003</v>
      </c>
      <c r="B177" s="2" t="s">
        <v>785</v>
      </c>
      <c r="C177" s="289">
        <v>55997</v>
      </c>
      <c r="D177" s="289">
        <v>1132</v>
      </c>
      <c r="E177" s="289">
        <v>2453</v>
      </c>
      <c r="F177" s="289">
        <v>6767</v>
      </c>
      <c r="G177" s="289">
        <v>4893</v>
      </c>
      <c r="H177" s="289">
        <v>31387</v>
      </c>
      <c r="I177" s="289">
        <v>6646</v>
      </c>
      <c r="J177" s="289">
        <v>2093</v>
      </c>
      <c r="K177" s="289">
        <v>470</v>
      </c>
      <c r="L177" s="289">
        <v>469</v>
      </c>
      <c r="M177" s="289">
        <v>4146</v>
      </c>
      <c r="N177" s="290">
        <v>3150</v>
      </c>
      <c r="O177" s="290">
        <v>560</v>
      </c>
      <c r="P177" s="624">
        <v>142341.625</v>
      </c>
      <c r="Q177" s="624">
        <v>73131.273666669993</v>
      </c>
      <c r="R177" s="624">
        <v>246</v>
      </c>
      <c r="S177" s="289"/>
      <c r="T177" s="289">
        <v>4529</v>
      </c>
      <c r="U177" s="716">
        <v>5.6579701561227302E-3</v>
      </c>
      <c r="V177" s="289">
        <v>12094.660572950001</v>
      </c>
      <c r="W177" s="743">
        <v>0.54694735000000005</v>
      </c>
      <c r="X177" s="289">
        <v>4600</v>
      </c>
      <c r="Y177" s="289">
        <v>828.56799999999998</v>
      </c>
      <c r="Z177" s="289">
        <v>1416352</v>
      </c>
      <c r="AA177" s="289">
        <v>0</v>
      </c>
      <c r="AB177" s="290">
        <v>1630</v>
      </c>
      <c r="AC177" s="289">
        <v>0</v>
      </c>
      <c r="AD177" s="289">
        <v>0</v>
      </c>
      <c r="AE177" s="289">
        <v>0</v>
      </c>
      <c r="AF177" s="289">
        <v>0</v>
      </c>
      <c r="AG177" s="289">
        <v>55841</v>
      </c>
      <c r="AH177" s="289">
        <v>9206.5016195699991</v>
      </c>
      <c r="AI177" s="289">
        <v>2350</v>
      </c>
      <c r="AJ177" s="289">
        <v>0</v>
      </c>
      <c r="AK177" s="289">
        <v>207.59399999999999</v>
      </c>
      <c r="AL177" s="289">
        <v>0</v>
      </c>
      <c r="AM177" s="836">
        <v>2.4969374100000001</v>
      </c>
      <c r="AN177" s="289">
        <v>0</v>
      </c>
      <c r="AO177" s="289">
        <v>2193.7211270900002</v>
      </c>
      <c r="AP177" s="289">
        <v>0</v>
      </c>
      <c r="AQ177" s="289">
        <v>0</v>
      </c>
      <c r="AR177" s="289">
        <v>-2972.28801905</v>
      </c>
      <c r="AS177" s="289"/>
      <c r="AT177" s="289">
        <v>3819</v>
      </c>
      <c r="AU177" s="289">
        <v>714</v>
      </c>
      <c r="AV177" s="625">
        <v>1369544</v>
      </c>
      <c r="AW177" s="289"/>
      <c r="AX177" s="625">
        <v>400.19</v>
      </c>
      <c r="AY177" s="289">
        <v>10297</v>
      </c>
      <c r="AZ177" s="289">
        <v>2825</v>
      </c>
      <c r="BA177" s="290">
        <v>1570</v>
      </c>
      <c r="BB177" s="289">
        <v>0</v>
      </c>
      <c r="BC177" s="289">
        <v>9742.0057678899993</v>
      </c>
      <c r="BD177" s="289">
        <v>1159.8867731436576</v>
      </c>
      <c r="BE177" s="289">
        <v>1449953.7882300001</v>
      </c>
      <c r="BF177" s="289">
        <v>0</v>
      </c>
      <c r="BG177" s="289">
        <v>-2066.2287999999999</v>
      </c>
      <c r="BH177" s="289">
        <v>-157.66849999999999</v>
      </c>
      <c r="BI177" s="289">
        <v>10035.06961957</v>
      </c>
      <c r="BJ177" s="289">
        <v>0</v>
      </c>
      <c r="BK177" s="289">
        <v>0</v>
      </c>
      <c r="BL177" s="289">
        <v>0</v>
      </c>
      <c r="BM177" s="289">
        <v>0</v>
      </c>
      <c r="BN177" s="289">
        <v>3899.2000189926616</v>
      </c>
      <c r="BO177" s="289">
        <v>2063.7025669366299</v>
      </c>
      <c r="BP177" s="289">
        <v>5055.902221700183</v>
      </c>
      <c r="BQ177" s="289">
        <v>734.40452626473041</v>
      </c>
      <c r="BR177" s="289">
        <v>78.614547957514588</v>
      </c>
      <c r="BS177" s="289">
        <v>11.637528614238562</v>
      </c>
      <c r="BT177" s="289">
        <v>0</v>
      </c>
      <c r="BU177" s="289">
        <v>0</v>
      </c>
      <c r="BV177" s="289">
        <v>51.487528420716849</v>
      </c>
      <c r="BW177" s="517"/>
      <c r="BX177" s="517"/>
      <c r="BY177" s="85"/>
      <c r="CA177" s="517"/>
      <c r="CB177" s="517"/>
    </row>
    <row r="178" spans="1:80" ht="13">
      <c r="A178" s="1">
        <v>3004</v>
      </c>
      <c r="B178" s="2" t="s">
        <v>786</v>
      </c>
      <c r="C178" s="289">
        <v>81772</v>
      </c>
      <c r="D178" s="289">
        <v>1524</v>
      </c>
      <c r="E178" s="289">
        <v>3401</v>
      </c>
      <c r="F178" s="289">
        <v>9705</v>
      </c>
      <c r="G178" s="289">
        <v>7129</v>
      </c>
      <c r="H178" s="289">
        <v>46312</v>
      </c>
      <c r="I178" s="289">
        <v>9533</v>
      </c>
      <c r="J178" s="289">
        <v>3074</v>
      </c>
      <c r="K178" s="289">
        <v>611</v>
      </c>
      <c r="L178" s="289">
        <v>688</v>
      </c>
      <c r="M178" s="289">
        <v>5712</v>
      </c>
      <c r="N178" s="290">
        <v>4481</v>
      </c>
      <c r="O178" s="290">
        <v>707</v>
      </c>
      <c r="P178" s="624">
        <v>161064.05866667</v>
      </c>
      <c r="Q178" s="624">
        <v>99836.54066667</v>
      </c>
      <c r="R178" s="624">
        <v>272</v>
      </c>
      <c r="S178" s="289"/>
      <c r="T178" s="289">
        <v>6429</v>
      </c>
      <c r="U178" s="716">
        <v>5.0678400018921623E-3</v>
      </c>
      <c r="V178" s="289">
        <v>1938.28290818</v>
      </c>
      <c r="W178" s="743">
        <v>0.54313396999999997</v>
      </c>
      <c r="X178" s="289">
        <v>8300</v>
      </c>
      <c r="Y178" s="289">
        <v>1657.136</v>
      </c>
      <c r="Z178" s="289">
        <v>2241352</v>
      </c>
      <c r="AA178" s="289">
        <v>0</v>
      </c>
      <c r="AB178" s="290">
        <v>2261</v>
      </c>
      <c r="AC178" s="289">
        <v>0</v>
      </c>
      <c r="AD178" s="289">
        <v>0</v>
      </c>
      <c r="AE178" s="289">
        <v>0</v>
      </c>
      <c r="AF178" s="289">
        <v>0</v>
      </c>
      <c r="AG178" s="289">
        <v>81289</v>
      </c>
      <c r="AH178" s="289">
        <v>13016.280841719999</v>
      </c>
      <c r="AI178" s="289">
        <v>200</v>
      </c>
      <c r="AJ178" s="289">
        <v>0</v>
      </c>
      <c r="AK178" s="289">
        <v>516.23900000000003</v>
      </c>
      <c r="AL178" s="289">
        <v>0</v>
      </c>
      <c r="AM178" s="836">
        <v>4.1407581499999999</v>
      </c>
      <c r="AN178" s="289">
        <v>0</v>
      </c>
      <c r="AO178" s="289">
        <v>3085.4061024799998</v>
      </c>
      <c r="AP178" s="289">
        <v>0</v>
      </c>
      <c r="AQ178" s="289">
        <v>0</v>
      </c>
      <c r="AR178" s="289">
        <v>-4326.8265393000001</v>
      </c>
      <c r="AS178" s="289"/>
      <c r="AT178" s="289">
        <v>5455</v>
      </c>
      <c r="AU178" s="289">
        <v>1149</v>
      </c>
      <c r="AV178" s="625">
        <v>1838569</v>
      </c>
      <c r="AW178" s="289"/>
      <c r="AX178" s="625">
        <v>454.48999995000003</v>
      </c>
      <c r="AY178" s="289">
        <v>18305</v>
      </c>
      <c r="AZ178" s="289">
        <v>4332</v>
      </c>
      <c r="BA178" s="290">
        <v>2208</v>
      </c>
      <c r="BB178" s="289">
        <v>0</v>
      </c>
      <c r="BC178" s="289">
        <v>14263.31809121</v>
      </c>
      <c r="BD178" s="289">
        <v>1700.5055966810185</v>
      </c>
      <c r="BE178" s="289">
        <v>1950792.9892078999</v>
      </c>
      <c r="BF178" s="289">
        <v>0</v>
      </c>
      <c r="BG178" s="289">
        <v>-2940.7323999999999</v>
      </c>
      <c r="BH178" s="289">
        <v>-229.5215</v>
      </c>
      <c r="BI178" s="289">
        <v>14673.41684172</v>
      </c>
      <c r="BJ178" s="289">
        <v>0</v>
      </c>
      <c r="BK178" s="289">
        <v>0</v>
      </c>
      <c r="BL178" s="289">
        <v>0</v>
      </c>
      <c r="BM178" s="289">
        <v>0</v>
      </c>
      <c r="BN178" s="289">
        <v>5355.3545306763353</v>
      </c>
      <c r="BO178" s="289">
        <v>2959.013088888229</v>
      </c>
      <c r="BP178" s="289">
        <v>7359.9906108376681</v>
      </c>
      <c r="BQ178" s="289">
        <v>657.80563224560228</v>
      </c>
      <c r="BR178" s="289">
        <v>115.25649044171347</v>
      </c>
      <c r="BS178" s="289">
        <v>16.855586898192144</v>
      </c>
      <c r="BT178" s="289">
        <v>0</v>
      </c>
      <c r="BU178" s="289">
        <v>0</v>
      </c>
      <c r="BV178" s="289">
        <v>46.117344017218656</v>
      </c>
      <c r="BW178" s="517"/>
      <c r="BX178" s="517"/>
      <c r="BY178" s="85"/>
      <c r="CA178" s="517"/>
      <c r="CB178" s="517"/>
    </row>
    <row r="179" spans="1:80" ht="13">
      <c r="A179" s="1">
        <v>3006</v>
      </c>
      <c r="B179" s="2" t="s">
        <v>872</v>
      </c>
      <c r="C179" s="289">
        <v>27481</v>
      </c>
      <c r="D179" s="289">
        <v>523</v>
      </c>
      <c r="E179" s="289">
        <v>1156</v>
      </c>
      <c r="F179" s="289">
        <v>3398</v>
      </c>
      <c r="G179" s="289">
        <v>2276</v>
      </c>
      <c r="H179" s="289">
        <v>15567</v>
      </c>
      <c r="I179" s="289">
        <v>3284</v>
      </c>
      <c r="J179" s="289">
        <v>992</v>
      </c>
      <c r="K179" s="289">
        <v>235</v>
      </c>
      <c r="L179" s="289">
        <v>187</v>
      </c>
      <c r="M179" s="289">
        <v>1826</v>
      </c>
      <c r="N179" s="290">
        <v>780</v>
      </c>
      <c r="O179" s="290">
        <v>303</v>
      </c>
      <c r="P179" s="624">
        <v>77924.619333330003</v>
      </c>
      <c r="Q179" s="624">
        <v>37687.014000000003</v>
      </c>
      <c r="R179" s="624">
        <v>92</v>
      </c>
      <c r="S179" s="289"/>
      <c r="T179" s="289">
        <v>2492</v>
      </c>
      <c r="U179" s="716">
        <v>3.7786278026612392E-3</v>
      </c>
      <c r="V179" s="289">
        <v>-4709.0532833400002</v>
      </c>
      <c r="W179" s="743">
        <v>0.56422428999999996</v>
      </c>
      <c r="X179" s="289">
        <v>1500</v>
      </c>
      <c r="Y179" s="289">
        <v>414.28399999999999</v>
      </c>
      <c r="Z179" s="289">
        <v>895667</v>
      </c>
      <c r="AA179" s="289">
        <v>0</v>
      </c>
      <c r="AB179" s="290">
        <v>494</v>
      </c>
      <c r="AC179" s="289">
        <v>0</v>
      </c>
      <c r="AD179" s="289">
        <v>0</v>
      </c>
      <c r="AE179" s="289">
        <v>0</v>
      </c>
      <c r="AF179" s="289">
        <v>0</v>
      </c>
      <c r="AG179" s="289">
        <v>27431</v>
      </c>
      <c r="AH179" s="289">
        <v>4428.2408198900002</v>
      </c>
      <c r="AI179" s="289">
        <v>900</v>
      </c>
      <c r="AJ179" s="289">
        <v>0</v>
      </c>
      <c r="AK179" s="289">
        <v>0</v>
      </c>
      <c r="AL179" s="289">
        <v>0</v>
      </c>
      <c r="AM179" s="836">
        <v>0.72375498000000005</v>
      </c>
      <c r="AN179" s="289">
        <v>0</v>
      </c>
      <c r="AO179" s="289">
        <v>1037.4420502800001</v>
      </c>
      <c r="AP179" s="289">
        <v>0</v>
      </c>
      <c r="AQ179" s="289">
        <v>0</v>
      </c>
      <c r="AR179" s="289">
        <v>-1460.0890501700001</v>
      </c>
      <c r="AS179" s="289"/>
      <c r="AT179" s="289">
        <v>1538</v>
      </c>
      <c r="AU179" s="289">
        <v>304</v>
      </c>
      <c r="AV179" s="625">
        <v>611385</v>
      </c>
      <c r="AW179" s="289"/>
      <c r="AX179" s="625">
        <v>184.13499999999999</v>
      </c>
      <c r="AY179" s="289">
        <v>7958</v>
      </c>
      <c r="AZ179" s="289">
        <v>1163</v>
      </c>
      <c r="BA179" s="290">
        <v>661</v>
      </c>
      <c r="BB179" s="289">
        <v>0</v>
      </c>
      <c r="BC179" s="289">
        <v>4699.3962324200002</v>
      </c>
      <c r="BD179" s="289">
        <v>450.05586947995675</v>
      </c>
      <c r="BE179" s="289">
        <v>646485.49276345002</v>
      </c>
      <c r="BF179" s="289">
        <v>0</v>
      </c>
      <c r="BG179" s="289">
        <v>-1044.1785</v>
      </c>
      <c r="BH179" s="289">
        <v>-77.452100000000002</v>
      </c>
      <c r="BI179" s="289">
        <v>4842.5248198899999</v>
      </c>
      <c r="BJ179" s="289">
        <v>0</v>
      </c>
      <c r="BK179" s="289">
        <v>0</v>
      </c>
      <c r="BL179" s="289">
        <v>0</v>
      </c>
      <c r="BM179" s="289">
        <v>0</v>
      </c>
      <c r="BN179" s="289">
        <v>1765.8206813478321</v>
      </c>
      <c r="BO179" s="289">
        <v>1023.2046504844665</v>
      </c>
      <c r="BP179" s="289">
        <v>2483.6312717082023</v>
      </c>
      <c r="BQ179" s="289">
        <v>490.46588878542877</v>
      </c>
      <c r="BR179" s="289">
        <v>30.503786709197069</v>
      </c>
      <c r="BS179" s="289">
        <v>5.8127214276719084</v>
      </c>
      <c r="BT179" s="289">
        <v>0</v>
      </c>
      <c r="BU179" s="289">
        <v>0</v>
      </c>
      <c r="BV179" s="289">
        <v>34.385513004217266</v>
      </c>
      <c r="BW179" s="517"/>
      <c r="BX179" s="517"/>
      <c r="CA179" s="517"/>
      <c r="CB179" s="517"/>
    </row>
    <row r="180" spans="1:80" ht="13">
      <c r="A180" s="1">
        <v>3007</v>
      </c>
      <c r="B180" s="2" t="s">
        <v>873</v>
      </c>
      <c r="C180" s="289">
        <v>30442</v>
      </c>
      <c r="D180" s="289">
        <v>514</v>
      </c>
      <c r="E180" s="289">
        <v>1212</v>
      </c>
      <c r="F180" s="289">
        <v>3363</v>
      </c>
      <c r="G180" s="289">
        <v>2400</v>
      </c>
      <c r="H180" s="289">
        <v>17469</v>
      </c>
      <c r="I180" s="289">
        <v>3898</v>
      </c>
      <c r="J180" s="289">
        <v>1215</v>
      </c>
      <c r="K180" s="289">
        <v>308</v>
      </c>
      <c r="L180" s="289">
        <v>246</v>
      </c>
      <c r="M180" s="289">
        <v>2509</v>
      </c>
      <c r="N180" s="290">
        <v>771</v>
      </c>
      <c r="O180" s="290">
        <v>288</v>
      </c>
      <c r="P180" s="624">
        <v>134540.93666666999</v>
      </c>
      <c r="Q180" s="624">
        <v>81091.093999999997</v>
      </c>
      <c r="R180" s="624">
        <v>90</v>
      </c>
      <c r="S180" s="289"/>
      <c r="T180" s="289">
        <v>2819</v>
      </c>
      <c r="U180" s="716">
        <v>6.3878632717286315E-3</v>
      </c>
      <c r="V180" s="289">
        <v>3797.1500239400002</v>
      </c>
      <c r="W180" s="743">
        <v>0.61049067999999995</v>
      </c>
      <c r="X180" s="289">
        <v>4500</v>
      </c>
      <c r="Y180" s="289">
        <v>414.28399999999999</v>
      </c>
      <c r="Z180" s="289">
        <v>840146</v>
      </c>
      <c r="AA180" s="289">
        <v>0</v>
      </c>
      <c r="AB180" s="290">
        <v>662</v>
      </c>
      <c r="AC180" s="289">
        <v>0</v>
      </c>
      <c r="AD180" s="289">
        <v>0</v>
      </c>
      <c r="AE180" s="289">
        <v>0</v>
      </c>
      <c r="AF180" s="289">
        <v>0</v>
      </c>
      <c r="AG180" s="289">
        <v>30379</v>
      </c>
      <c r="AH180" s="289">
        <v>4482.6263944399998</v>
      </c>
      <c r="AI180" s="289">
        <v>1420</v>
      </c>
      <c r="AJ180" s="289">
        <v>0</v>
      </c>
      <c r="AK180" s="289">
        <v>0</v>
      </c>
      <c r="AL180" s="289">
        <v>0</v>
      </c>
      <c r="AM180" s="836">
        <v>1.0723530100000001</v>
      </c>
      <c r="AN180" s="289">
        <v>0</v>
      </c>
      <c r="AO180" s="289">
        <v>1155.80548767</v>
      </c>
      <c r="AP180" s="289">
        <v>0</v>
      </c>
      <c r="AQ180" s="289">
        <v>0</v>
      </c>
      <c r="AR180" s="289">
        <v>-1617.00431101</v>
      </c>
      <c r="AS180" s="289"/>
      <c r="AT180" s="289">
        <v>1894</v>
      </c>
      <c r="AU180" s="289">
        <v>345</v>
      </c>
      <c r="AV180" s="625">
        <v>696031</v>
      </c>
      <c r="AW180" s="289"/>
      <c r="AX180" s="625">
        <v>192.03833334999999</v>
      </c>
      <c r="AY180" s="289">
        <v>6308</v>
      </c>
      <c r="AZ180" s="289">
        <v>1505</v>
      </c>
      <c r="BA180" s="290">
        <v>701</v>
      </c>
      <c r="BB180" s="289">
        <v>0</v>
      </c>
      <c r="BC180" s="289">
        <v>4735.6431819199997</v>
      </c>
      <c r="BD180" s="289">
        <v>527.78847500283371</v>
      </c>
      <c r="BE180" s="289">
        <v>736627.54613984004</v>
      </c>
      <c r="BF180" s="289">
        <v>0</v>
      </c>
      <c r="BG180" s="289">
        <v>-1060.6469</v>
      </c>
      <c r="BH180" s="289">
        <v>-85.775899999999993</v>
      </c>
      <c r="BI180" s="289">
        <v>4896.9103944400003</v>
      </c>
      <c r="BJ180" s="289">
        <v>0</v>
      </c>
      <c r="BK180" s="289">
        <v>0</v>
      </c>
      <c r="BL180" s="289">
        <v>0</v>
      </c>
      <c r="BM180" s="289">
        <v>0</v>
      </c>
      <c r="BN180" s="289">
        <v>2156.097540827087</v>
      </c>
      <c r="BO180" s="289">
        <v>1182.7912499806821</v>
      </c>
      <c r="BP180" s="289">
        <v>2750.5462580009289</v>
      </c>
      <c r="BQ180" s="289">
        <v>829.1446526703761</v>
      </c>
      <c r="BR180" s="289">
        <v>35.772329972414283</v>
      </c>
      <c r="BS180" s="289">
        <v>6.4240281987375241</v>
      </c>
      <c r="BT180" s="289">
        <v>0</v>
      </c>
      <c r="BU180" s="289">
        <v>0</v>
      </c>
      <c r="BV180" s="289">
        <v>58.129555772730527</v>
      </c>
      <c r="BW180" s="517"/>
      <c r="BX180" s="517"/>
      <c r="CA180" s="517"/>
      <c r="CB180" s="517"/>
    </row>
    <row r="181" spans="1:80" ht="13">
      <c r="A181" s="1">
        <v>3011</v>
      </c>
      <c r="B181" s="2" t="s">
        <v>787</v>
      </c>
      <c r="C181" s="289">
        <v>4599</v>
      </c>
      <c r="D181" s="289">
        <v>56</v>
      </c>
      <c r="E181" s="289">
        <v>136</v>
      </c>
      <c r="F181" s="289">
        <v>464</v>
      </c>
      <c r="G181" s="289">
        <v>332</v>
      </c>
      <c r="H181" s="289">
        <v>2563</v>
      </c>
      <c r="I181" s="289">
        <v>828</v>
      </c>
      <c r="J181" s="289">
        <v>162</v>
      </c>
      <c r="K181" s="289">
        <v>42</v>
      </c>
      <c r="L181" s="289">
        <v>34</v>
      </c>
      <c r="M181" s="289">
        <v>367</v>
      </c>
      <c r="N181" s="290">
        <v>23</v>
      </c>
      <c r="O181" s="290">
        <v>21</v>
      </c>
      <c r="P181" s="624">
        <v>32413.416333329998</v>
      </c>
      <c r="Q181" s="624">
        <v>14917.638000000001</v>
      </c>
      <c r="R181" s="624">
        <v>20</v>
      </c>
      <c r="S181" s="289"/>
      <c r="T181" s="289">
        <v>376</v>
      </c>
      <c r="U181" s="716">
        <v>6.7794434632887041E-4</v>
      </c>
      <c r="V181" s="289">
        <v>1146.4710123299999</v>
      </c>
      <c r="W181" s="743">
        <v>0.71693450999999997</v>
      </c>
      <c r="X181" s="289">
        <v>200</v>
      </c>
      <c r="Y181" s="289">
        <v>0</v>
      </c>
      <c r="Z181" s="289">
        <v>157813</v>
      </c>
      <c r="AA181" s="289">
        <v>0</v>
      </c>
      <c r="AB181" s="290">
        <v>117</v>
      </c>
      <c r="AC181" s="289">
        <v>0</v>
      </c>
      <c r="AD181" s="289">
        <v>0</v>
      </c>
      <c r="AE181" s="289">
        <v>0</v>
      </c>
      <c r="AF181" s="289">
        <v>0</v>
      </c>
      <c r="AG181" s="289">
        <v>4583</v>
      </c>
      <c r="AH181" s="289">
        <v>601.72757479999996</v>
      </c>
      <c r="AI181" s="289">
        <v>150</v>
      </c>
      <c r="AJ181" s="289">
        <v>0</v>
      </c>
      <c r="AK181" s="289">
        <v>0</v>
      </c>
      <c r="AL181" s="289">
        <v>0</v>
      </c>
      <c r="AM181" s="836">
        <v>6.6702250000000005E-2</v>
      </c>
      <c r="AN181" s="289">
        <v>0</v>
      </c>
      <c r="AO181" s="289">
        <v>173.22947708000001</v>
      </c>
      <c r="AP181" s="289">
        <v>0</v>
      </c>
      <c r="AQ181" s="289">
        <v>0</v>
      </c>
      <c r="AR181" s="289">
        <v>-243.94255102</v>
      </c>
      <c r="AS181" s="289"/>
      <c r="AT181" s="289">
        <v>285</v>
      </c>
      <c r="AU181" s="289">
        <v>36</v>
      </c>
      <c r="AV181" s="625">
        <v>103218</v>
      </c>
      <c r="AW181" s="289"/>
      <c r="AX181" s="625">
        <v>24.986666700000001</v>
      </c>
      <c r="AY181" s="289">
        <v>1112</v>
      </c>
      <c r="AZ181" s="289">
        <v>134</v>
      </c>
      <c r="BA181" s="290">
        <v>80</v>
      </c>
      <c r="BB181" s="289">
        <v>0</v>
      </c>
      <c r="BC181" s="289">
        <v>595.80923233999999</v>
      </c>
      <c r="BD181" s="289">
        <v>61.849274391157998</v>
      </c>
      <c r="BE181" s="289">
        <v>109551.16470677999</v>
      </c>
      <c r="BF181" s="289">
        <v>0</v>
      </c>
      <c r="BG181" s="289">
        <v>-154.2654</v>
      </c>
      <c r="BH181" s="289">
        <v>-12.940200000000001</v>
      </c>
      <c r="BI181" s="289">
        <v>601.72757479999996</v>
      </c>
      <c r="BJ181" s="289">
        <v>0</v>
      </c>
      <c r="BK181" s="289">
        <v>0</v>
      </c>
      <c r="BL181" s="289">
        <v>0</v>
      </c>
      <c r="BM181" s="289">
        <v>0</v>
      </c>
      <c r="BN181" s="289">
        <v>350.52065929447627</v>
      </c>
      <c r="BO181" s="289">
        <v>212.89754442638781</v>
      </c>
      <c r="BP181" s="289">
        <v>414.94958689944559</v>
      </c>
      <c r="BQ181" s="289">
        <v>87.997176153487359</v>
      </c>
      <c r="BR181" s="289">
        <v>4.1920063754007098</v>
      </c>
      <c r="BS181" s="289">
        <v>1.1710264507405248</v>
      </c>
      <c r="BT181" s="289">
        <v>0</v>
      </c>
      <c r="BU181" s="289">
        <v>0</v>
      </c>
      <c r="BV181" s="289">
        <v>6.1692935515927196</v>
      </c>
      <c r="BW181" s="517"/>
      <c r="BX181" s="517"/>
      <c r="BY181" s="85"/>
      <c r="CA181" s="517"/>
      <c r="CB181" s="517"/>
    </row>
    <row r="182" spans="1:80" ht="13">
      <c r="A182" s="1">
        <v>3012</v>
      </c>
      <c r="B182" s="2" t="s">
        <v>788</v>
      </c>
      <c r="C182" s="289">
        <v>1357</v>
      </c>
      <c r="D182" s="289">
        <v>14</v>
      </c>
      <c r="E182" s="289">
        <v>52</v>
      </c>
      <c r="F182" s="289">
        <v>162</v>
      </c>
      <c r="G182" s="289">
        <v>111</v>
      </c>
      <c r="H182" s="289">
        <v>761</v>
      </c>
      <c r="I182" s="289">
        <v>191</v>
      </c>
      <c r="J182" s="289">
        <v>68</v>
      </c>
      <c r="K182" s="289">
        <v>16</v>
      </c>
      <c r="L182" s="289">
        <v>10</v>
      </c>
      <c r="M182" s="289">
        <v>121</v>
      </c>
      <c r="N182" s="290">
        <v>1.5</v>
      </c>
      <c r="O182" s="290">
        <v>10</v>
      </c>
      <c r="P182" s="624">
        <v>7615.1956666699998</v>
      </c>
      <c r="Q182" s="624">
        <v>8391.4703333300004</v>
      </c>
      <c r="R182" s="624">
        <v>3</v>
      </c>
      <c r="S182" s="289"/>
      <c r="T182" s="289">
        <v>107</v>
      </c>
      <c r="U182" s="716">
        <v>1.3571321580329075E-3</v>
      </c>
      <c r="V182" s="289">
        <v>673.59044012000004</v>
      </c>
      <c r="W182" s="743">
        <v>0.88999572000000005</v>
      </c>
      <c r="X182" s="289">
        <v>600</v>
      </c>
      <c r="Y182" s="289">
        <v>265.22399999999999</v>
      </c>
      <c r="Z182" s="289">
        <v>36601</v>
      </c>
      <c r="AA182" s="289">
        <v>0</v>
      </c>
      <c r="AB182" s="290">
        <v>33</v>
      </c>
      <c r="AC182" s="289">
        <v>0</v>
      </c>
      <c r="AD182" s="289">
        <v>0</v>
      </c>
      <c r="AE182" s="289">
        <v>0</v>
      </c>
      <c r="AF182" s="289">
        <v>0</v>
      </c>
      <c r="AG182" s="289">
        <v>1375</v>
      </c>
      <c r="AH182" s="289">
        <v>214.75329436999999</v>
      </c>
      <c r="AI182" s="289">
        <v>650</v>
      </c>
      <c r="AJ182" s="289">
        <v>0</v>
      </c>
      <c r="AK182" s="289">
        <v>0</v>
      </c>
      <c r="AL182" s="289">
        <v>0</v>
      </c>
      <c r="AM182" s="836">
        <v>3.0747989999999999E-2</v>
      </c>
      <c r="AN182" s="289">
        <v>0</v>
      </c>
      <c r="AO182" s="289">
        <v>64.265893390000002</v>
      </c>
      <c r="AP182" s="289">
        <v>0</v>
      </c>
      <c r="AQ182" s="289">
        <v>0</v>
      </c>
      <c r="AR182" s="289">
        <v>410.21034864000001</v>
      </c>
      <c r="AS182" s="289"/>
      <c r="AT182" s="289">
        <v>85</v>
      </c>
      <c r="AU182" s="289">
        <v>12</v>
      </c>
      <c r="AV182" s="625">
        <v>55764</v>
      </c>
      <c r="AW182" s="289"/>
      <c r="AX182" s="625">
        <v>3.4066667000000002</v>
      </c>
      <c r="AY182" s="289">
        <v>208</v>
      </c>
      <c r="AZ182" s="289">
        <v>59</v>
      </c>
      <c r="BA182" s="290">
        <v>39</v>
      </c>
      <c r="BB182" s="289">
        <v>5698</v>
      </c>
      <c r="BC182" s="289">
        <v>468.81811112000003</v>
      </c>
      <c r="BD182" s="289">
        <v>18.348108962372983</v>
      </c>
      <c r="BE182" s="289">
        <v>56339.801575359998</v>
      </c>
      <c r="BF182" s="289">
        <v>0</v>
      </c>
      <c r="BG182" s="289">
        <v>-60.722999999999999</v>
      </c>
      <c r="BH182" s="289">
        <v>-3.8822999999999999</v>
      </c>
      <c r="BI182" s="289">
        <v>479.97729436999998</v>
      </c>
      <c r="BJ182" s="289">
        <v>0</v>
      </c>
      <c r="BK182" s="289">
        <v>0</v>
      </c>
      <c r="BL182" s="289">
        <v>0</v>
      </c>
      <c r="BM182" s="289">
        <v>0</v>
      </c>
      <c r="BN182" s="289">
        <v>117.36119029549192</v>
      </c>
      <c r="BO182" s="289">
        <v>87.813870685727863</v>
      </c>
      <c r="BP182" s="289">
        <v>124.49393017384631</v>
      </c>
      <c r="BQ182" s="289">
        <v>176.15575411267139</v>
      </c>
      <c r="BR182" s="289">
        <v>1.2435940518941688</v>
      </c>
      <c r="BS182" s="289">
        <v>0.57861421141867297</v>
      </c>
      <c r="BT182" s="289">
        <v>0</v>
      </c>
      <c r="BU182" s="289">
        <v>0</v>
      </c>
      <c r="BV182" s="289">
        <v>12.349902638099458</v>
      </c>
      <c r="BW182" s="517"/>
      <c r="BX182" s="517"/>
      <c r="BY182" s="85"/>
      <c r="CA182" s="517"/>
      <c r="CB182" s="517"/>
    </row>
    <row r="183" spans="1:80" ht="13">
      <c r="A183" s="1">
        <v>3013</v>
      </c>
      <c r="B183" s="2" t="s">
        <v>789</v>
      </c>
      <c r="C183" s="289">
        <v>3592</v>
      </c>
      <c r="D183" s="289">
        <v>56</v>
      </c>
      <c r="E183" s="289">
        <v>132</v>
      </c>
      <c r="F183" s="289">
        <v>368</v>
      </c>
      <c r="G183" s="289">
        <v>291</v>
      </c>
      <c r="H183" s="289">
        <v>1917</v>
      </c>
      <c r="I183" s="289">
        <v>559</v>
      </c>
      <c r="J183" s="289">
        <v>192</v>
      </c>
      <c r="K183" s="289">
        <v>41</v>
      </c>
      <c r="L183" s="289">
        <v>26</v>
      </c>
      <c r="M183" s="289">
        <v>331</v>
      </c>
      <c r="N183" s="290">
        <v>59</v>
      </c>
      <c r="O183" s="290">
        <v>16</v>
      </c>
      <c r="P183" s="624">
        <v>19969.56733333</v>
      </c>
      <c r="Q183" s="624">
        <v>13461.11966667</v>
      </c>
      <c r="R183" s="624">
        <v>10</v>
      </c>
      <c r="S183" s="289"/>
      <c r="T183" s="289">
        <v>286</v>
      </c>
      <c r="U183" s="716">
        <v>2.8558618834476622E-3</v>
      </c>
      <c r="V183" s="289">
        <v>1434.0458427999999</v>
      </c>
      <c r="W183" s="743">
        <v>0.75213043000000002</v>
      </c>
      <c r="X183" s="289">
        <v>300</v>
      </c>
      <c r="Y183" s="289">
        <v>280.64400000000001</v>
      </c>
      <c r="Z183" s="289">
        <v>92254</v>
      </c>
      <c r="AA183" s="289">
        <v>0</v>
      </c>
      <c r="AB183" s="290">
        <v>115</v>
      </c>
      <c r="AC183" s="289">
        <v>0</v>
      </c>
      <c r="AD183" s="289">
        <v>0</v>
      </c>
      <c r="AE183" s="289">
        <v>0</v>
      </c>
      <c r="AF183" s="289">
        <v>0</v>
      </c>
      <c r="AG183" s="289">
        <v>3556</v>
      </c>
      <c r="AH183" s="289">
        <v>518.75471106999998</v>
      </c>
      <c r="AI183" s="289">
        <v>150</v>
      </c>
      <c r="AJ183" s="289">
        <v>0</v>
      </c>
      <c r="AK183" s="289">
        <v>120.611</v>
      </c>
      <c r="AL183" s="289">
        <v>0</v>
      </c>
      <c r="AM183" s="836">
        <v>6.4616709999999994E-2</v>
      </c>
      <c r="AN183" s="289">
        <v>5219</v>
      </c>
      <c r="AO183" s="289">
        <v>145.94039760999999</v>
      </c>
      <c r="AP183" s="289">
        <v>0</v>
      </c>
      <c r="AQ183" s="289">
        <v>0</v>
      </c>
      <c r="AR183" s="289">
        <v>207.32338539</v>
      </c>
      <c r="AS183" s="289"/>
      <c r="AT183" s="289">
        <v>210</v>
      </c>
      <c r="AU183" s="289">
        <v>27</v>
      </c>
      <c r="AV183" s="625">
        <v>104610</v>
      </c>
      <c r="AW183" s="289"/>
      <c r="AX183" s="625">
        <v>20.345000049999999</v>
      </c>
      <c r="AY183" s="289">
        <v>536</v>
      </c>
      <c r="AZ183" s="289">
        <v>145</v>
      </c>
      <c r="BA183" s="290">
        <v>70</v>
      </c>
      <c r="BB183" s="289">
        <v>0</v>
      </c>
      <c r="BC183" s="289">
        <v>786.51903031999996</v>
      </c>
      <c r="BD183" s="289">
        <v>54.446549566815861</v>
      </c>
      <c r="BE183" s="289">
        <v>106816.43984147999</v>
      </c>
      <c r="BF183" s="289">
        <v>0</v>
      </c>
      <c r="BG183" s="289">
        <v>-123.59059999999999</v>
      </c>
      <c r="BH183" s="289">
        <v>-10.0405</v>
      </c>
      <c r="BI183" s="289">
        <v>799.39871106999999</v>
      </c>
      <c r="BJ183" s="289">
        <v>0</v>
      </c>
      <c r="BK183" s="289">
        <v>0</v>
      </c>
      <c r="BL183" s="289">
        <v>0</v>
      </c>
      <c r="BM183" s="289">
        <v>0</v>
      </c>
      <c r="BN183" s="289">
        <v>294.23794238809671</v>
      </c>
      <c r="BO183" s="289">
        <v>173.50521727852529</v>
      </c>
      <c r="BP183" s="289">
        <v>321.96393868959819</v>
      </c>
      <c r="BQ183" s="289">
        <v>370.69087247150657</v>
      </c>
      <c r="BR183" s="289">
        <v>3.6902661373064074</v>
      </c>
      <c r="BS183" s="289">
        <v>0.97716539269259728</v>
      </c>
      <c r="BT183" s="289">
        <v>0</v>
      </c>
      <c r="BU183" s="289">
        <v>0</v>
      </c>
      <c r="BV183" s="289">
        <v>25.988343139373725</v>
      </c>
      <c r="BW183" s="517"/>
      <c r="BX183" s="517"/>
      <c r="BY183" s="85"/>
      <c r="CA183" s="517"/>
      <c r="CB183" s="517"/>
    </row>
    <row r="184" spans="1:80" ht="13">
      <c r="A184" s="1">
        <v>3015</v>
      </c>
      <c r="B184" s="2" t="s">
        <v>2369</v>
      </c>
      <c r="C184" s="289">
        <v>3797</v>
      </c>
      <c r="D184" s="289">
        <v>72</v>
      </c>
      <c r="E184" s="289">
        <v>175</v>
      </c>
      <c r="F184" s="289">
        <v>511</v>
      </c>
      <c r="G184" s="289">
        <v>346</v>
      </c>
      <c r="H184" s="289">
        <v>2135</v>
      </c>
      <c r="I184" s="289">
        <v>415</v>
      </c>
      <c r="J184" s="289">
        <v>116</v>
      </c>
      <c r="K184" s="289">
        <v>32</v>
      </c>
      <c r="L184" s="289">
        <v>32</v>
      </c>
      <c r="M184" s="289">
        <v>269</v>
      </c>
      <c r="N184" s="290">
        <v>49</v>
      </c>
      <c r="O184" s="290">
        <v>51</v>
      </c>
      <c r="P184" s="624">
        <v>11521.71066667</v>
      </c>
      <c r="Q184" s="624">
        <v>9648.5216666699998</v>
      </c>
      <c r="R184" s="624">
        <v>16</v>
      </c>
      <c r="S184" s="289"/>
      <c r="T184" s="289">
        <v>241</v>
      </c>
      <c r="U184" s="716">
        <v>2.2349747936933656E-3</v>
      </c>
      <c r="V184" s="289">
        <v>962.39208242999996</v>
      </c>
      <c r="W184" s="743">
        <v>0.64613408999999999</v>
      </c>
      <c r="X184" s="289">
        <v>600</v>
      </c>
      <c r="Y184" s="289">
        <v>414.28399999999999</v>
      </c>
      <c r="Z184" s="289">
        <v>97504</v>
      </c>
      <c r="AA184" s="289">
        <v>0</v>
      </c>
      <c r="AB184" s="290">
        <v>83</v>
      </c>
      <c r="AC184" s="289">
        <v>0</v>
      </c>
      <c r="AD184" s="289">
        <v>0</v>
      </c>
      <c r="AE184" s="289">
        <v>0</v>
      </c>
      <c r="AF184" s="289">
        <v>0</v>
      </c>
      <c r="AG184" s="289">
        <v>3802</v>
      </c>
      <c r="AH184" s="289">
        <v>680.51693279999995</v>
      </c>
      <c r="AI184" s="289">
        <v>650</v>
      </c>
      <c r="AJ184" s="289">
        <v>0</v>
      </c>
      <c r="AK184" s="289">
        <v>0</v>
      </c>
      <c r="AL184" s="289">
        <v>0</v>
      </c>
      <c r="AM184" s="836">
        <v>7.5352799999999998E-2</v>
      </c>
      <c r="AN184" s="289">
        <v>0</v>
      </c>
      <c r="AO184" s="289">
        <v>155.66688091</v>
      </c>
      <c r="AP184" s="289">
        <v>0</v>
      </c>
      <c r="AQ184" s="289">
        <v>0</v>
      </c>
      <c r="AR184" s="289">
        <v>-202.37171699000001</v>
      </c>
      <c r="AS184" s="289"/>
      <c r="AT184" s="289">
        <v>240</v>
      </c>
      <c r="AU184" s="289">
        <v>36</v>
      </c>
      <c r="AV184" s="625">
        <v>105036</v>
      </c>
      <c r="AW184" s="289"/>
      <c r="AX184" s="625">
        <v>24.921666699999999</v>
      </c>
      <c r="AY184" s="289">
        <v>525</v>
      </c>
      <c r="AZ184" s="289">
        <v>128</v>
      </c>
      <c r="BA184" s="290">
        <v>118</v>
      </c>
      <c r="BB184" s="289">
        <v>0</v>
      </c>
      <c r="BC184" s="289">
        <v>1082.6303030500001</v>
      </c>
      <c r="BD184" s="289">
        <v>49.834951090936386</v>
      </c>
      <c r="BE184" s="289">
        <v>108075.21583508</v>
      </c>
      <c r="BF184" s="289">
        <v>0</v>
      </c>
      <c r="BG184" s="289">
        <v>-164.41730000000001</v>
      </c>
      <c r="BH184" s="289">
        <v>-10.734999999999999</v>
      </c>
      <c r="BI184" s="289">
        <v>1094.8009328000001</v>
      </c>
      <c r="BJ184" s="289">
        <v>0</v>
      </c>
      <c r="BK184" s="289">
        <v>0</v>
      </c>
      <c r="BL184" s="289">
        <v>0</v>
      </c>
      <c r="BM184" s="289">
        <v>0</v>
      </c>
      <c r="BN184" s="289">
        <v>261.29048656977727</v>
      </c>
      <c r="BO184" s="289">
        <v>162.16021800988653</v>
      </c>
      <c r="BP184" s="289">
        <v>344.23703456070086</v>
      </c>
      <c r="BQ184" s="289">
        <v>290.09972822139878</v>
      </c>
      <c r="BR184" s="289">
        <v>3.3777022406079111</v>
      </c>
      <c r="BS184" s="289">
        <v>0.99682370124606434</v>
      </c>
      <c r="BT184" s="289">
        <v>0</v>
      </c>
      <c r="BU184" s="289">
        <v>0</v>
      </c>
      <c r="BV184" s="289">
        <v>20.33827062260962</v>
      </c>
      <c r="BW184" s="517"/>
      <c r="BX184" s="517"/>
      <c r="CA184" s="517"/>
      <c r="CB184" s="517"/>
    </row>
    <row r="185" spans="1:80" ht="13">
      <c r="A185" s="1">
        <v>3016</v>
      </c>
      <c r="B185" s="2" t="s">
        <v>796</v>
      </c>
      <c r="C185" s="289">
        <v>8230</v>
      </c>
      <c r="D185" s="289">
        <v>156</v>
      </c>
      <c r="E185" s="289">
        <v>358</v>
      </c>
      <c r="F185" s="289">
        <v>996</v>
      </c>
      <c r="G185" s="289">
        <v>682</v>
      </c>
      <c r="H185" s="289">
        <v>4575</v>
      </c>
      <c r="I185" s="289">
        <v>1009</v>
      </c>
      <c r="J185" s="289">
        <v>323</v>
      </c>
      <c r="K185" s="289">
        <v>81</v>
      </c>
      <c r="L185" s="289">
        <v>66</v>
      </c>
      <c r="M185" s="289">
        <v>621</v>
      </c>
      <c r="N185" s="290">
        <v>291</v>
      </c>
      <c r="O185" s="290">
        <v>78</v>
      </c>
      <c r="P185" s="624">
        <v>30707.474999999999</v>
      </c>
      <c r="Q185" s="624">
        <v>17951.210666669998</v>
      </c>
      <c r="R185" s="624">
        <v>69</v>
      </c>
      <c r="S185" s="289"/>
      <c r="T185" s="289">
        <v>632</v>
      </c>
      <c r="U185" s="716">
        <v>5.824912986125085E-3</v>
      </c>
      <c r="V185" s="289">
        <v>3128.1076059400002</v>
      </c>
      <c r="W185" s="743">
        <v>0.60025682000000002</v>
      </c>
      <c r="X185" s="289">
        <v>1000</v>
      </c>
      <c r="Y185" s="289">
        <v>414.28399999999999</v>
      </c>
      <c r="Z185" s="289">
        <v>215542</v>
      </c>
      <c r="AA185" s="289">
        <v>0</v>
      </c>
      <c r="AB185" s="290">
        <v>251</v>
      </c>
      <c r="AC185" s="289">
        <v>0</v>
      </c>
      <c r="AD185" s="289">
        <v>0</v>
      </c>
      <c r="AE185" s="289">
        <v>0</v>
      </c>
      <c r="AF185" s="289">
        <v>0</v>
      </c>
      <c r="AG185" s="289">
        <v>8180</v>
      </c>
      <c r="AH185" s="289">
        <v>1341.5108388399999</v>
      </c>
      <c r="AI185" s="289">
        <v>0</v>
      </c>
      <c r="AJ185" s="289">
        <v>0</v>
      </c>
      <c r="AK185" s="289">
        <v>0</v>
      </c>
      <c r="AL185" s="289">
        <v>0</v>
      </c>
      <c r="AM185" s="836">
        <v>0.24268812000000001</v>
      </c>
      <c r="AN185" s="289">
        <v>0</v>
      </c>
      <c r="AO185" s="289">
        <v>344.05138962000001</v>
      </c>
      <c r="AP185" s="289">
        <v>0</v>
      </c>
      <c r="AQ185" s="289">
        <v>0</v>
      </c>
      <c r="AR185" s="289">
        <v>-435.40258942000003</v>
      </c>
      <c r="AS185" s="289"/>
      <c r="AT185" s="289">
        <v>466</v>
      </c>
      <c r="AU185" s="289">
        <v>91</v>
      </c>
      <c r="AV185" s="625">
        <v>236689</v>
      </c>
      <c r="AW185" s="289"/>
      <c r="AX185" s="625">
        <v>47.928333299999998</v>
      </c>
      <c r="AY185" s="289">
        <v>1126</v>
      </c>
      <c r="AZ185" s="289">
        <v>385</v>
      </c>
      <c r="BA185" s="290">
        <v>148</v>
      </c>
      <c r="BB185" s="289">
        <v>0</v>
      </c>
      <c r="BC185" s="289">
        <v>1726.0136566000001</v>
      </c>
      <c r="BD185" s="289">
        <v>144.16424487131314</v>
      </c>
      <c r="BE185" s="289">
        <v>245028.63733331001</v>
      </c>
      <c r="BF185" s="289">
        <v>0</v>
      </c>
      <c r="BG185" s="289">
        <v>-313.16199999999998</v>
      </c>
      <c r="BH185" s="289">
        <v>-23.096399999999999</v>
      </c>
      <c r="BI185" s="289">
        <v>1755.79483884</v>
      </c>
      <c r="BJ185" s="289">
        <v>0</v>
      </c>
      <c r="BK185" s="289">
        <v>0</v>
      </c>
      <c r="BL185" s="289">
        <v>0</v>
      </c>
      <c r="BM185" s="289">
        <v>0</v>
      </c>
      <c r="BN185" s="289">
        <v>681.82056157792749</v>
      </c>
      <c r="BO185" s="289">
        <v>330.1154932474015</v>
      </c>
      <c r="BP185" s="289">
        <v>740.62570823422755</v>
      </c>
      <c r="BQ185" s="289">
        <v>756.07370559903609</v>
      </c>
      <c r="BR185" s="289">
        <v>9.7711321523890042</v>
      </c>
      <c r="BS185" s="289">
        <v>1.877418659798165</v>
      </c>
      <c r="BT185" s="289">
        <v>0</v>
      </c>
      <c r="BU185" s="289">
        <v>0</v>
      </c>
      <c r="BV185" s="289">
        <v>53.006708173738275</v>
      </c>
      <c r="BW185" s="517"/>
      <c r="BX185" s="517"/>
      <c r="CA185" s="517"/>
      <c r="CB185" s="517"/>
    </row>
    <row r="186" spans="1:80" ht="13">
      <c r="A186" s="1">
        <v>3017</v>
      </c>
      <c r="B186" s="2" t="s">
        <v>797</v>
      </c>
      <c r="C186" s="289">
        <v>7542</v>
      </c>
      <c r="D186" s="289">
        <v>151</v>
      </c>
      <c r="E186" s="289">
        <v>329</v>
      </c>
      <c r="F186" s="289">
        <v>895</v>
      </c>
      <c r="G186" s="289">
        <v>593</v>
      </c>
      <c r="H186" s="289">
        <v>4188</v>
      </c>
      <c r="I186" s="289">
        <v>979</v>
      </c>
      <c r="J186" s="289">
        <v>325</v>
      </c>
      <c r="K186" s="289">
        <v>75</v>
      </c>
      <c r="L186" s="289">
        <v>53</v>
      </c>
      <c r="M186" s="289">
        <v>535</v>
      </c>
      <c r="N186" s="290">
        <v>124</v>
      </c>
      <c r="O186" s="290">
        <v>75</v>
      </c>
      <c r="P186" s="624">
        <v>24232.748</v>
      </c>
      <c r="Q186" s="624">
        <v>10785.358</v>
      </c>
      <c r="R186" s="624">
        <v>28</v>
      </c>
      <c r="S186" s="289"/>
      <c r="T186" s="289">
        <v>444</v>
      </c>
      <c r="U186" s="716">
        <v>2.3994285435830352E-3</v>
      </c>
      <c r="V186" s="289">
        <v>757.55331366999997</v>
      </c>
      <c r="W186" s="743">
        <v>0.58179307000000002</v>
      </c>
      <c r="X186" s="289">
        <v>1700</v>
      </c>
      <c r="Y186" s="289">
        <v>265.22399999999999</v>
      </c>
      <c r="Z186" s="289">
        <v>209112</v>
      </c>
      <c r="AA186" s="289">
        <v>0</v>
      </c>
      <c r="AB186" s="290">
        <v>172</v>
      </c>
      <c r="AC186" s="289">
        <v>0</v>
      </c>
      <c r="AD186" s="289">
        <v>0</v>
      </c>
      <c r="AE186" s="289">
        <v>0</v>
      </c>
      <c r="AF186" s="289">
        <v>0</v>
      </c>
      <c r="AG186" s="289">
        <v>7535</v>
      </c>
      <c r="AH186" s="289">
        <v>1220.1891725400001</v>
      </c>
      <c r="AI186" s="289">
        <v>0</v>
      </c>
      <c r="AJ186" s="289">
        <v>0</v>
      </c>
      <c r="AK186" s="289">
        <v>0</v>
      </c>
      <c r="AL186" s="289">
        <v>0</v>
      </c>
      <c r="AM186" s="836">
        <v>0.15370281999999999</v>
      </c>
      <c r="AN186" s="289">
        <v>0</v>
      </c>
      <c r="AO186" s="289">
        <v>291.18065609000001</v>
      </c>
      <c r="AP186" s="289">
        <v>0</v>
      </c>
      <c r="AQ186" s="289">
        <v>0</v>
      </c>
      <c r="AR186" s="289">
        <v>-401.07072264999999</v>
      </c>
      <c r="AS186" s="289"/>
      <c r="AT186" s="289">
        <v>409</v>
      </c>
      <c r="AU186" s="289">
        <v>74</v>
      </c>
      <c r="AV186" s="625">
        <v>178450</v>
      </c>
      <c r="AW186" s="289"/>
      <c r="AX186" s="625">
        <v>40.78499995</v>
      </c>
      <c r="AY186" s="289">
        <v>1450</v>
      </c>
      <c r="AZ186" s="289">
        <v>283</v>
      </c>
      <c r="BA186" s="290">
        <v>151</v>
      </c>
      <c r="BB186" s="289">
        <v>0</v>
      </c>
      <c r="BC186" s="289">
        <v>1419.16781821</v>
      </c>
      <c r="BD186" s="289">
        <v>99.133286716351009</v>
      </c>
      <c r="BE186" s="289">
        <v>189460.23626817999</v>
      </c>
      <c r="BF186" s="289">
        <v>0</v>
      </c>
      <c r="BG186" s="289">
        <v>-279.58319999999998</v>
      </c>
      <c r="BH186" s="289">
        <v>-21.275300000000001</v>
      </c>
      <c r="BI186" s="289">
        <v>1485.41317254</v>
      </c>
      <c r="BJ186" s="289">
        <v>0</v>
      </c>
      <c r="BK186" s="289">
        <v>0</v>
      </c>
      <c r="BL186" s="289">
        <v>0</v>
      </c>
      <c r="BM186" s="289">
        <v>0</v>
      </c>
      <c r="BN186" s="289">
        <v>537.9217572065113</v>
      </c>
      <c r="BO186" s="289">
        <v>303.68463935587658</v>
      </c>
      <c r="BP186" s="289">
        <v>682.2267373526779</v>
      </c>
      <c r="BQ186" s="289">
        <v>311.44582495707789</v>
      </c>
      <c r="BR186" s="289">
        <v>6.7190338774415679</v>
      </c>
      <c r="BS186" s="289">
        <v>1.7378371949982474</v>
      </c>
      <c r="BT186" s="289">
        <v>0</v>
      </c>
      <c r="BU186" s="289">
        <v>0</v>
      </c>
      <c r="BV186" s="289">
        <v>21.834799746605615</v>
      </c>
      <c r="BW186" s="517"/>
      <c r="BX186" s="517"/>
      <c r="CA186" s="517"/>
      <c r="CB186" s="517"/>
    </row>
    <row r="187" spans="1:80" ht="13">
      <c r="A187" s="1">
        <v>3018</v>
      </c>
      <c r="B187" s="2" t="s">
        <v>799</v>
      </c>
      <c r="C187" s="289">
        <v>5593</v>
      </c>
      <c r="D187" s="289">
        <v>159</v>
      </c>
      <c r="E187" s="289">
        <v>299</v>
      </c>
      <c r="F187" s="289">
        <v>747</v>
      </c>
      <c r="G187" s="289">
        <v>419</v>
      </c>
      <c r="H187" s="289">
        <v>3251</v>
      </c>
      <c r="I187" s="289">
        <v>544</v>
      </c>
      <c r="J187" s="289">
        <v>120</v>
      </c>
      <c r="K187" s="289">
        <v>18</v>
      </c>
      <c r="L187" s="289">
        <v>46</v>
      </c>
      <c r="M187" s="289">
        <v>250</v>
      </c>
      <c r="N187" s="290">
        <v>63</v>
      </c>
      <c r="O187" s="290">
        <v>51</v>
      </c>
      <c r="P187" s="624">
        <v>36164.32666667</v>
      </c>
      <c r="Q187" s="624">
        <v>15751.41633333</v>
      </c>
      <c r="R187" s="624">
        <v>10</v>
      </c>
      <c r="S187" s="289"/>
      <c r="T187" s="289">
        <v>342</v>
      </c>
      <c r="U187" s="716">
        <v>2.0391711355036597E-3</v>
      </c>
      <c r="V187" s="289">
        <v>-19.118091280000002</v>
      </c>
      <c r="W187" s="743">
        <v>0.65043386999999997</v>
      </c>
      <c r="X187" s="289">
        <v>300</v>
      </c>
      <c r="Y187" s="289">
        <v>828.56799999999998</v>
      </c>
      <c r="Z187" s="289">
        <v>145443</v>
      </c>
      <c r="AA187" s="289">
        <v>0</v>
      </c>
      <c r="AB187" s="290">
        <v>142</v>
      </c>
      <c r="AC187" s="289">
        <v>0</v>
      </c>
      <c r="AD187" s="289">
        <v>0</v>
      </c>
      <c r="AE187" s="289">
        <v>3115</v>
      </c>
      <c r="AF187" s="289">
        <v>0</v>
      </c>
      <c r="AG187" s="289">
        <v>5557</v>
      </c>
      <c r="AH187" s="289">
        <v>1023.56440302</v>
      </c>
      <c r="AI187" s="289">
        <v>0</v>
      </c>
      <c r="AJ187" s="289">
        <v>0</v>
      </c>
      <c r="AK187" s="289">
        <v>0</v>
      </c>
      <c r="AL187" s="289">
        <v>0</v>
      </c>
      <c r="AM187" s="836">
        <v>0.11325784999999999</v>
      </c>
      <c r="AN187" s="289">
        <v>0</v>
      </c>
      <c r="AO187" s="289">
        <v>209.44738034</v>
      </c>
      <c r="AP187" s="289">
        <v>0</v>
      </c>
      <c r="AQ187" s="289">
        <v>0</v>
      </c>
      <c r="AR187" s="289">
        <v>-295.78633122000002</v>
      </c>
      <c r="AS187" s="289"/>
      <c r="AT187" s="289">
        <v>329</v>
      </c>
      <c r="AU187" s="289">
        <v>56</v>
      </c>
      <c r="AV187" s="625">
        <v>126395</v>
      </c>
      <c r="AW187" s="289"/>
      <c r="AX187" s="625">
        <v>52.6533333</v>
      </c>
      <c r="AY187" s="289">
        <v>966</v>
      </c>
      <c r="AZ187" s="289">
        <v>184</v>
      </c>
      <c r="BA187" s="290">
        <v>102</v>
      </c>
      <c r="BB187" s="289">
        <v>0</v>
      </c>
      <c r="BC187" s="289">
        <v>1347.68612123</v>
      </c>
      <c r="BD187" s="289">
        <v>73.998304064104758</v>
      </c>
      <c r="BE187" s="289">
        <v>134912.03318162001</v>
      </c>
      <c r="BF187" s="289">
        <v>0</v>
      </c>
      <c r="BG187" s="289">
        <v>-239.25970000000001</v>
      </c>
      <c r="BH187" s="289">
        <v>-15.690300000000001</v>
      </c>
      <c r="BI187" s="289">
        <v>1852.1324030200001</v>
      </c>
      <c r="BJ187" s="289">
        <v>-414.28399999999999</v>
      </c>
      <c r="BK187" s="289">
        <v>0</v>
      </c>
      <c r="BL187" s="289">
        <v>0</v>
      </c>
      <c r="BM187" s="289">
        <v>0</v>
      </c>
      <c r="BN187" s="289">
        <v>283.59268165664594</v>
      </c>
      <c r="BO187" s="289">
        <v>225.84991037521232</v>
      </c>
      <c r="BP187" s="289">
        <v>503.13655998259202</v>
      </c>
      <c r="BQ187" s="289">
        <v>264.68441338837499</v>
      </c>
      <c r="BR187" s="289">
        <v>5.0154406087893229</v>
      </c>
      <c r="BS187" s="289">
        <v>1.360950060801525</v>
      </c>
      <c r="BT187" s="289">
        <v>0</v>
      </c>
      <c r="BU187" s="289">
        <v>0</v>
      </c>
      <c r="BV187" s="289">
        <v>18.556457333083301</v>
      </c>
      <c r="BW187" s="517"/>
      <c r="BX187" s="517"/>
      <c r="CA187" s="517"/>
      <c r="CB187" s="517"/>
    </row>
    <row r="188" spans="1:80" ht="13">
      <c r="A188" s="1">
        <v>3019</v>
      </c>
      <c r="B188" s="2" t="s">
        <v>801</v>
      </c>
      <c r="C188" s="289">
        <v>17824</v>
      </c>
      <c r="D188" s="289">
        <v>413</v>
      </c>
      <c r="E188" s="289">
        <v>956</v>
      </c>
      <c r="F188" s="289">
        <v>2469</v>
      </c>
      <c r="G188" s="289">
        <v>1419</v>
      </c>
      <c r="H188" s="289">
        <v>9856</v>
      </c>
      <c r="I188" s="289">
        <v>2034</v>
      </c>
      <c r="J188" s="289">
        <v>402</v>
      </c>
      <c r="K188" s="289">
        <v>78</v>
      </c>
      <c r="L188" s="289">
        <v>132</v>
      </c>
      <c r="M188" s="289">
        <v>874</v>
      </c>
      <c r="N188" s="290">
        <v>499</v>
      </c>
      <c r="O188" s="290">
        <v>125</v>
      </c>
      <c r="P188" s="624">
        <v>50573.635999999999</v>
      </c>
      <c r="Q188" s="624">
        <v>19623.624</v>
      </c>
      <c r="R188" s="624">
        <v>53</v>
      </c>
      <c r="S188" s="289"/>
      <c r="T188" s="289">
        <v>1192</v>
      </c>
      <c r="U188" s="716">
        <v>1.787360176483429E-3</v>
      </c>
      <c r="V188" s="289">
        <v>1266.9141094199999</v>
      </c>
      <c r="W188" s="743">
        <v>0.55708393</v>
      </c>
      <c r="X188" s="289">
        <v>2600</v>
      </c>
      <c r="Y188" s="289">
        <v>414.28399999999999</v>
      </c>
      <c r="Z188" s="289">
        <v>560651</v>
      </c>
      <c r="AA188" s="289">
        <v>0</v>
      </c>
      <c r="AB188" s="290">
        <v>292</v>
      </c>
      <c r="AC188" s="289">
        <v>0</v>
      </c>
      <c r="AD188" s="289">
        <v>0</v>
      </c>
      <c r="AE188" s="289">
        <v>9745</v>
      </c>
      <c r="AF188" s="289">
        <v>0</v>
      </c>
      <c r="AG188" s="289">
        <v>17627</v>
      </c>
      <c r="AH188" s="289">
        <v>3302.8777773299998</v>
      </c>
      <c r="AI188" s="289">
        <v>0</v>
      </c>
      <c r="AJ188" s="289">
        <v>0</v>
      </c>
      <c r="AK188" s="289">
        <v>0</v>
      </c>
      <c r="AL188" s="289">
        <v>0</v>
      </c>
      <c r="AM188" s="836">
        <v>0.42928752999999997</v>
      </c>
      <c r="AN188" s="289">
        <v>0</v>
      </c>
      <c r="AO188" s="289">
        <v>668.13378690000002</v>
      </c>
      <c r="AP188" s="289">
        <v>0</v>
      </c>
      <c r="AQ188" s="289">
        <v>0</v>
      </c>
      <c r="AR188" s="289">
        <v>-938.24467527000002</v>
      </c>
      <c r="AS188" s="289"/>
      <c r="AT188" s="289">
        <v>1070</v>
      </c>
      <c r="AU188" s="289">
        <v>164</v>
      </c>
      <c r="AV188" s="625">
        <v>406392</v>
      </c>
      <c r="AW188" s="289"/>
      <c r="AX188" s="625">
        <v>150.3016667</v>
      </c>
      <c r="AY188" s="289">
        <v>4412</v>
      </c>
      <c r="AZ188" s="289">
        <v>748</v>
      </c>
      <c r="BA188" s="290">
        <v>441</v>
      </c>
      <c r="BB188" s="289">
        <v>0</v>
      </c>
      <c r="BC188" s="289">
        <v>3532.6975455299998</v>
      </c>
      <c r="BD188" s="289">
        <v>255.17839058191149</v>
      </c>
      <c r="BE188" s="289">
        <v>433705.76134497998</v>
      </c>
      <c r="BF188" s="289">
        <v>0</v>
      </c>
      <c r="BG188" s="289">
        <v>-745.58180000000004</v>
      </c>
      <c r="BH188" s="289">
        <v>-49.770299999999999</v>
      </c>
      <c r="BI188" s="289">
        <v>3717.1617773299999</v>
      </c>
      <c r="BJ188" s="289">
        <v>0</v>
      </c>
      <c r="BK188" s="289">
        <v>0</v>
      </c>
      <c r="BL188" s="289">
        <v>0</v>
      </c>
      <c r="BM188" s="289">
        <v>0</v>
      </c>
      <c r="BN188" s="289">
        <v>941.80424738037777</v>
      </c>
      <c r="BO188" s="289">
        <v>648.45544384596974</v>
      </c>
      <c r="BP188" s="289">
        <v>1595.9669143086464</v>
      </c>
      <c r="BQ188" s="289">
        <v>231.99935090754906</v>
      </c>
      <c r="BR188" s="289">
        <v>17.295424250551775</v>
      </c>
      <c r="BS188" s="289">
        <v>3.8051798821397202</v>
      </c>
      <c r="BT188" s="289">
        <v>0</v>
      </c>
      <c r="BU188" s="289">
        <v>0</v>
      </c>
      <c r="BV188" s="289">
        <v>16.264977605999199</v>
      </c>
      <c r="BW188" s="517"/>
      <c r="BX188" s="517"/>
      <c r="CA188" s="517"/>
      <c r="CB188" s="517"/>
    </row>
    <row r="189" spans="1:80" ht="13">
      <c r="A189" s="1">
        <v>3021</v>
      </c>
      <c r="B189" s="2" t="s">
        <v>803</v>
      </c>
      <c r="C189" s="289">
        <v>20335</v>
      </c>
      <c r="D189" s="289">
        <v>430</v>
      </c>
      <c r="E189" s="289">
        <v>948</v>
      </c>
      <c r="F189" s="289">
        <v>2521</v>
      </c>
      <c r="G189" s="289">
        <v>2025</v>
      </c>
      <c r="H189" s="289">
        <v>11588</v>
      </c>
      <c r="I189" s="289">
        <v>1772</v>
      </c>
      <c r="J189" s="289">
        <v>614</v>
      </c>
      <c r="K189" s="289">
        <v>132</v>
      </c>
      <c r="L189" s="289">
        <v>123</v>
      </c>
      <c r="M189" s="289">
        <v>971</v>
      </c>
      <c r="N189" s="290">
        <v>532</v>
      </c>
      <c r="O189" s="290">
        <v>158</v>
      </c>
      <c r="P189" s="624">
        <v>56901.978666670002</v>
      </c>
      <c r="Q189" s="624">
        <v>24821.300666669998</v>
      </c>
      <c r="R189" s="624">
        <v>45</v>
      </c>
      <c r="S189" s="289"/>
      <c r="T189" s="289">
        <v>1251</v>
      </c>
      <c r="U189" s="716">
        <v>1.7944989157535724E-3</v>
      </c>
      <c r="V189" s="289">
        <v>1438.6689410199999</v>
      </c>
      <c r="W189" s="743">
        <v>0.55247285999999995</v>
      </c>
      <c r="X189" s="289">
        <v>3500</v>
      </c>
      <c r="Y189" s="289">
        <v>414.28399999999999</v>
      </c>
      <c r="Z189" s="289">
        <v>611725</v>
      </c>
      <c r="AA189" s="289">
        <v>0</v>
      </c>
      <c r="AB189" s="290">
        <v>227</v>
      </c>
      <c r="AC189" s="289">
        <v>0</v>
      </c>
      <c r="AD189" s="289">
        <v>0</v>
      </c>
      <c r="AE189" s="289">
        <v>16185</v>
      </c>
      <c r="AF189" s="289">
        <v>0</v>
      </c>
      <c r="AG189" s="289">
        <v>20030</v>
      </c>
      <c r="AH189" s="289">
        <v>3364.23586144</v>
      </c>
      <c r="AI189" s="289">
        <v>200</v>
      </c>
      <c r="AJ189" s="289">
        <v>0</v>
      </c>
      <c r="AK189" s="289">
        <v>0</v>
      </c>
      <c r="AL189" s="289">
        <v>0</v>
      </c>
      <c r="AM189" s="836">
        <v>0.60634748999999999</v>
      </c>
      <c r="AN189" s="289">
        <v>0</v>
      </c>
      <c r="AO189" s="289">
        <v>722.49293614999999</v>
      </c>
      <c r="AP189" s="289">
        <v>0</v>
      </c>
      <c r="AQ189" s="289">
        <v>0</v>
      </c>
      <c r="AR189" s="289">
        <v>-1066.15083938</v>
      </c>
      <c r="AS189" s="289"/>
      <c r="AT189" s="289">
        <v>1039</v>
      </c>
      <c r="AU189" s="289">
        <v>200</v>
      </c>
      <c r="AV189" s="625">
        <v>422657</v>
      </c>
      <c r="AW189" s="289"/>
      <c r="AX189" s="625">
        <v>157.80833329999999</v>
      </c>
      <c r="AY189" s="289">
        <v>6620</v>
      </c>
      <c r="AZ189" s="289">
        <v>1177</v>
      </c>
      <c r="BA189" s="290">
        <v>377</v>
      </c>
      <c r="BB189" s="289">
        <v>0</v>
      </c>
      <c r="BC189" s="289">
        <v>3677.6853435100002</v>
      </c>
      <c r="BD189" s="289">
        <v>283.60177018069919</v>
      </c>
      <c r="BE189" s="289">
        <v>448436.66362253</v>
      </c>
      <c r="BF189" s="289">
        <v>0</v>
      </c>
      <c r="BG189" s="289">
        <v>-767.29179999999997</v>
      </c>
      <c r="BH189" s="289">
        <v>-56.555199999999999</v>
      </c>
      <c r="BI189" s="289">
        <v>3778.5198614400001</v>
      </c>
      <c r="BJ189" s="289">
        <v>0</v>
      </c>
      <c r="BK189" s="289">
        <v>0</v>
      </c>
      <c r="BL189" s="289">
        <v>0</v>
      </c>
      <c r="BM189" s="289">
        <v>0</v>
      </c>
      <c r="BN189" s="289">
        <v>1064.5323106554101</v>
      </c>
      <c r="BO189" s="289">
        <v>719.04689933264137</v>
      </c>
      <c r="BP189" s="289">
        <v>1813.5370337324666</v>
      </c>
      <c r="BQ189" s="289">
        <v>232.92595926481368</v>
      </c>
      <c r="BR189" s="289">
        <v>19.221897756691835</v>
      </c>
      <c r="BS189" s="289">
        <v>4.3108727471585624</v>
      </c>
      <c r="BT189" s="289">
        <v>0</v>
      </c>
      <c r="BU189" s="289">
        <v>0</v>
      </c>
      <c r="BV189" s="289">
        <v>16.329940133357507</v>
      </c>
      <c r="BW189" s="517"/>
      <c r="BX189" s="517"/>
      <c r="CA189" s="517"/>
      <c r="CB189" s="517"/>
    </row>
    <row r="190" spans="1:80" ht="13">
      <c r="A190" s="1">
        <v>3022</v>
      </c>
      <c r="B190" s="2" t="s">
        <v>804</v>
      </c>
      <c r="C190" s="289">
        <v>15761</v>
      </c>
      <c r="D190" s="289">
        <v>236</v>
      </c>
      <c r="E190" s="289">
        <v>591</v>
      </c>
      <c r="F190" s="289">
        <v>2014</v>
      </c>
      <c r="G190" s="289">
        <v>1376</v>
      </c>
      <c r="H190" s="289">
        <v>8835</v>
      </c>
      <c r="I190" s="289">
        <v>2106</v>
      </c>
      <c r="J190" s="289">
        <v>551</v>
      </c>
      <c r="K190" s="289">
        <v>90</v>
      </c>
      <c r="L190" s="289">
        <v>118</v>
      </c>
      <c r="M190" s="289">
        <v>1123</v>
      </c>
      <c r="N190" s="290">
        <v>202</v>
      </c>
      <c r="O190" s="290">
        <v>107</v>
      </c>
      <c r="P190" s="624">
        <v>31474.772333329998</v>
      </c>
      <c r="Q190" s="624">
        <v>21042.75666667</v>
      </c>
      <c r="R190" s="624">
        <v>49</v>
      </c>
      <c r="S190" s="289"/>
      <c r="T190" s="289">
        <v>1229</v>
      </c>
      <c r="U190" s="716">
        <v>9.0268317389521327E-4</v>
      </c>
      <c r="V190" s="289">
        <v>-8162.93256793</v>
      </c>
      <c r="W190" s="743">
        <v>0.54644150000000002</v>
      </c>
      <c r="X190" s="289">
        <v>2000</v>
      </c>
      <c r="Y190" s="289">
        <v>414.28399999999999</v>
      </c>
      <c r="Z190" s="289">
        <v>611625</v>
      </c>
      <c r="AA190" s="289">
        <v>0</v>
      </c>
      <c r="AB190" s="290">
        <v>184</v>
      </c>
      <c r="AC190" s="289">
        <v>0</v>
      </c>
      <c r="AD190" s="289">
        <v>0</v>
      </c>
      <c r="AE190" s="289">
        <v>0</v>
      </c>
      <c r="AF190" s="289">
        <v>0</v>
      </c>
      <c r="AG190" s="289">
        <v>15799</v>
      </c>
      <c r="AH190" s="289">
        <v>2535.2044750599998</v>
      </c>
      <c r="AI190" s="289">
        <v>400</v>
      </c>
      <c r="AJ190" s="289">
        <v>0</v>
      </c>
      <c r="AK190" s="289">
        <v>0</v>
      </c>
      <c r="AL190" s="289">
        <v>0</v>
      </c>
      <c r="AM190" s="836">
        <v>0.34724331000000003</v>
      </c>
      <c r="AN190" s="289">
        <v>0</v>
      </c>
      <c r="AO190" s="289">
        <v>580.22043421000001</v>
      </c>
      <c r="AP190" s="289">
        <v>0</v>
      </c>
      <c r="AQ190" s="289">
        <v>0</v>
      </c>
      <c r="AR190" s="289">
        <v>-840.94443891000003</v>
      </c>
      <c r="AS190" s="289"/>
      <c r="AT190" s="289">
        <v>1019</v>
      </c>
      <c r="AU190" s="289">
        <v>119</v>
      </c>
      <c r="AV190" s="625">
        <v>331088</v>
      </c>
      <c r="AW190" s="289"/>
      <c r="AX190" s="625">
        <v>101.4666667</v>
      </c>
      <c r="AY190" s="289">
        <v>4573</v>
      </c>
      <c r="AZ190" s="289">
        <v>709</v>
      </c>
      <c r="BA190" s="290">
        <v>347</v>
      </c>
      <c r="BB190" s="289">
        <v>0</v>
      </c>
      <c r="BC190" s="289">
        <v>2916.4994041</v>
      </c>
      <c r="BD190" s="289">
        <v>207.80954624989965</v>
      </c>
      <c r="BE190" s="289">
        <v>344825.79093681002</v>
      </c>
      <c r="BF190" s="289">
        <v>0</v>
      </c>
      <c r="BG190" s="289">
        <v>-609.7998</v>
      </c>
      <c r="BH190" s="289">
        <v>-44.608899999999998</v>
      </c>
      <c r="BI190" s="289">
        <v>2949.4884750599999</v>
      </c>
      <c r="BJ190" s="289">
        <v>0</v>
      </c>
      <c r="BK190" s="289">
        <v>0</v>
      </c>
      <c r="BL190" s="289">
        <v>0</v>
      </c>
      <c r="BM190" s="289">
        <v>0</v>
      </c>
      <c r="BN190" s="289">
        <v>995.67547104569007</v>
      </c>
      <c r="BO190" s="289">
        <v>599.05202422033528</v>
      </c>
      <c r="BP190" s="289">
        <v>1430.4578929575257</v>
      </c>
      <c r="BQ190" s="289">
        <v>117.16827597159869</v>
      </c>
      <c r="BR190" s="289">
        <v>14.084869245826535</v>
      </c>
      <c r="BS190" s="289">
        <v>3.4150355625498192</v>
      </c>
      <c r="BT190" s="289">
        <v>0</v>
      </c>
      <c r="BU190" s="289">
        <v>0</v>
      </c>
      <c r="BV190" s="289">
        <v>8.2144168824464394</v>
      </c>
      <c r="BW190" s="517"/>
      <c r="BX190" s="517"/>
      <c r="CA190" s="517"/>
      <c r="CB190" s="517"/>
    </row>
    <row r="191" spans="1:80" ht="13">
      <c r="A191" s="1">
        <v>3023</v>
      </c>
      <c r="B191" s="2" t="s">
        <v>805</v>
      </c>
      <c r="C191" s="289">
        <v>19488</v>
      </c>
      <c r="D191" s="289">
        <v>347</v>
      </c>
      <c r="E191" s="289">
        <v>1054</v>
      </c>
      <c r="F191" s="289">
        <v>2659</v>
      </c>
      <c r="G191" s="289">
        <v>1648</v>
      </c>
      <c r="H191" s="289">
        <v>11027</v>
      </c>
      <c r="I191" s="289">
        <v>1976</v>
      </c>
      <c r="J191" s="289">
        <v>539</v>
      </c>
      <c r="K191" s="289">
        <v>112</v>
      </c>
      <c r="L191" s="289">
        <v>133</v>
      </c>
      <c r="M191" s="289">
        <v>1096</v>
      </c>
      <c r="N191" s="290">
        <v>299</v>
      </c>
      <c r="O191" s="290">
        <v>159</v>
      </c>
      <c r="P191" s="624">
        <v>27973.83433333</v>
      </c>
      <c r="Q191" s="624">
        <v>20680.935666670001</v>
      </c>
      <c r="R191" s="624">
        <v>44</v>
      </c>
      <c r="S191" s="289"/>
      <c r="T191" s="289">
        <v>1396</v>
      </c>
      <c r="U191" s="716">
        <v>4.7835930058732243E-4</v>
      </c>
      <c r="V191" s="289">
        <v>-17041.639534760001</v>
      </c>
      <c r="W191" s="743">
        <v>0.55576091999999999</v>
      </c>
      <c r="X191" s="289">
        <v>2900</v>
      </c>
      <c r="Y191" s="289">
        <v>414.28399999999999</v>
      </c>
      <c r="Z191" s="289">
        <v>642751</v>
      </c>
      <c r="AA191" s="289">
        <v>0</v>
      </c>
      <c r="AB191" s="290">
        <v>264</v>
      </c>
      <c r="AC191" s="289">
        <v>0</v>
      </c>
      <c r="AD191" s="289">
        <v>0</v>
      </c>
      <c r="AE191" s="289">
        <v>2646</v>
      </c>
      <c r="AF191" s="289">
        <v>0</v>
      </c>
      <c r="AG191" s="289">
        <v>19362</v>
      </c>
      <c r="AH191" s="289">
        <v>3535.75959655</v>
      </c>
      <c r="AI191" s="289">
        <v>0</v>
      </c>
      <c r="AJ191" s="289">
        <v>0</v>
      </c>
      <c r="AK191" s="289">
        <v>0</v>
      </c>
      <c r="AL191" s="289">
        <v>0</v>
      </c>
      <c r="AM191" s="836">
        <v>0.50852209000000004</v>
      </c>
      <c r="AN191" s="289">
        <v>0</v>
      </c>
      <c r="AO191" s="289">
        <v>727.31022973999995</v>
      </c>
      <c r="AP191" s="289">
        <v>0</v>
      </c>
      <c r="AQ191" s="289">
        <v>0</v>
      </c>
      <c r="AR191" s="289">
        <v>-1030.5947355000001</v>
      </c>
      <c r="AS191" s="289"/>
      <c r="AT191" s="289">
        <v>1162</v>
      </c>
      <c r="AU191" s="289">
        <v>153</v>
      </c>
      <c r="AV191" s="625">
        <v>411778</v>
      </c>
      <c r="AW191" s="289"/>
      <c r="AX191" s="625">
        <v>103.7</v>
      </c>
      <c r="AY191" s="289">
        <v>6683</v>
      </c>
      <c r="AZ191" s="289">
        <v>1064</v>
      </c>
      <c r="BA191" s="290">
        <v>444</v>
      </c>
      <c r="BB191" s="289">
        <v>0</v>
      </c>
      <c r="BC191" s="289">
        <v>3785.2934748299999</v>
      </c>
      <c r="BD191" s="289">
        <v>263.21704574337292</v>
      </c>
      <c r="BE191" s="289">
        <v>440917.13254824001</v>
      </c>
      <c r="BF191" s="289">
        <v>0</v>
      </c>
      <c r="BG191" s="289">
        <v>-800.1327</v>
      </c>
      <c r="BH191" s="289">
        <v>-54.6691</v>
      </c>
      <c r="BI191" s="289">
        <v>3950.0435965500001</v>
      </c>
      <c r="BJ191" s="289">
        <v>0</v>
      </c>
      <c r="BK191" s="289">
        <v>0</v>
      </c>
      <c r="BL191" s="289">
        <v>0</v>
      </c>
      <c r="BM191" s="289">
        <v>0</v>
      </c>
      <c r="BN191" s="289">
        <v>1041.4898752314775</v>
      </c>
      <c r="BO191" s="289">
        <v>694.65671150966091</v>
      </c>
      <c r="BP191" s="289">
        <v>1753.0556189280089</v>
      </c>
      <c r="BQ191" s="289">
        <v>62.09103721623444</v>
      </c>
      <c r="BR191" s="289">
        <v>17.840266433717495</v>
      </c>
      <c r="BS191" s="289">
        <v>4.1663132166552286</v>
      </c>
      <c r="BT191" s="289">
        <v>0</v>
      </c>
      <c r="BU191" s="289">
        <v>0</v>
      </c>
      <c r="BV191" s="289">
        <v>4.3530696353446388</v>
      </c>
      <c r="BW191" s="517"/>
      <c r="BX191" s="517"/>
      <c r="CA191" s="517"/>
      <c r="CB191" s="517"/>
    </row>
    <row r="192" spans="1:80" ht="13">
      <c r="A192" s="1">
        <v>3024</v>
      </c>
      <c r="B192" s="2" t="s">
        <v>807</v>
      </c>
      <c r="C192" s="289">
        <v>126841</v>
      </c>
      <c r="D192" s="289">
        <v>2840</v>
      </c>
      <c r="E192" s="289">
        <v>6586</v>
      </c>
      <c r="F192" s="289">
        <v>17180</v>
      </c>
      <c r="G192" s="289">
        <v>10556</v>
      </c>
      <c r="H192" s="289">
        <v>71093</v>
      </c>
      <c r="I192" s="289">
        <v>12267</v>
      </c>
      <c r="J192" s="289">
        <v>4484</v>
      </c>
      <c r="K192" s="289">
        <v>1352</v>
      </c>
      <c r="L192" s="289">
        <v>779</v>
      </c>
      <c r="M192" s="289">
        <v>7867</v>
      </c>
      <c r="N192" s="290">
        <v>3903</v>
      </c>
      <c r="O192" s="290">
        <v>1271</v>
      </c>
      <c r="P192" s="624">
        <v>225106.46666666999</v>
      </c>
      <c r="Q192" s="624">
        <v>82168.584000000003</v>
      </c>
      <c r="R192" s="624">
        <v>332</v>
      </c>
      <c r="S192" s="289"/>
      <c r="T192" s="289">
        <v>8890</v>
      </c>
      <c r="U192" s="716">
        <v>1.0108542892533839E-3</v>
      </c>
      <c r="V192" s="289">
        <v>-2062.9917131000002</v>
      </c>
      <c r="W192" s="743">
        <v>0.52972878000000001</v>
      </c>
      <c r="X192" s="289">
        <v>0</v>
      </c>
      <c r="Y192" s="289">
        <v>1242.8520000000001</v>
      </c>
      <c r="Z192" s="289">
        <v>6827068</v>
      </c>
      <c r="AA192" s="289">
        <v>0</v>
      </c>
      <c r="AB192" s="290">
        <v>1241</v>
      </c>
      <c r="AC192" s="289">
        <v>0</v>
      </c>
      <c r="AD192" s="289">
        <v>0</v>
      </c>
      <c r="AE192" s="289">
        <v>0</v>
      </c>
      <c r="AF192" s="289">
        <v>0</v>
      </c>
      <c r="AG192" s="289">
        <v>126358</v>
      </c>
      <c r="AH192" s="289">
        <v>23014.859547010001</v>
      </c>
      <c r="AI192" s="289">
        <v>0</v>
      </c>
      <c r="AJ192" s="289">
        <v>0</v>
      </c>
      <c r="AK192" s="289">
        <v>0</v>
      </c>
      <c r="AL192" s="289">
        <v>0</v>
      </c>
      <c r="AM192" s="836">
        <v>3.3479480000000001</v>
      </c>
      <c r="AN192" s="289">
        <v>0</v>
      </c>
      <c r="AO192" s="289">
        <v>4910.9349925699998</v>
      </c>
      <c r="AP192" s="289">
        <v>0</v>
      </c>
      <c r="AQ192" s="289">
        <v>0</v>
      </c>
      <c r="AR192" s="289">
        <v>-6725.7457694499999</v>
      </c>
      <c r="AS192" s="289"/>
      <c r="AT192" s="289">
        <v>6081</v>
      </c>
      <c r="AU192" s="289">
        <v>1143</v>
      </c>
      <c r="AV192" s="625">
        <v>3026150</v>
      </c>
      <c r="AW192" s="289"/>
      <c r="AX192" s="625">
        <v>1116.0433333000001</v>
      </c>
      <c r="AY192" s="289">
        <v>49641</v>
      </c>
      <c r="AZ192" s="289">
        <v>7581</v>
      </c>
      <c r="BA192" s="290">
        <v>2112</v>
      </c>
      <c r="BB192" s="289">
        <v>0</v>
      </c>
      <c r="BC192" s="289">
        <v>22965.346030829998</v>
      </c>
      <c r="BD192" s="289">
        <v>1820.3899889945387</v>
      </c>
      <c r="BE192" s="289">
        <v>3171026.6011835998</v>
      </c>
      <c r="BF192" s="289">
        <v>0</v>
      </c>
      <c r="BG192" s="289">
        <v>-5155.0591999999997</v>
      </c>
      <c r="BH192" s="289">
        <v>-356.77499999999998</v>
      </c>
      <c r="BI192" s="289">
        <v>24257.71154701</v>
      </c>
      <c r="BJ192" s="289">
        <v>0</v>
      </c>
      <c r="BK192" s="289">
        <v>0</v>
      </c>
      <c r="BL192" s="289">
        <v>0</v>
      </c>
      <c r="BM192" s="289">
        <v>0</v>
      </c>
      <c r="BN192" s="289">
        <v>7680.1831117810261</v>
      </c>
      <c r="BO192" s="289">
        <v>4473.5405195055273</v>
      </c>
      <c r="BP192" s="289">
        <v>11440.584748295907</v>
      </c>
      <c r="BQ192" s="289">
        <v>131.20888674508933</v>
      </c>
      <c r="BR192" s="289">
        <v>123.38198814296315</v>
      </c>
      <c r="BS192" s="289">
        <v>26.176179088433948</v>
      </c>
      <c r="BT192" s="289">
        <v>0</v>
      </c>
      <c r="BU192" s="289">
        <v>0</v>
      </c>
      <c r="BV192" s="289">
        <v>9.1987740322058187</v>
      </c>
      <c r="BW192" s="517"/>
      <c r="BX192" s="517"/>
      <c r="CA192" s="517"/>
      <c r="CB192" s="517"/>
    </row>
    <row r="193" spans="1:80" ht="13">
      <c r="A193" s="1">
        <v>3027</v>
      </c>
      <c r="B193" s="2" t="s">
        <v>812</v>
      </c>
      <c r="C193" s="289">
        <v>18161</v>
      </c>
      <c r="D193" s="289">
        <v>472</v>
      </c>
      <c r="E193" s="289">
        <v>968</v>
      </c>
      <c r="F193" s="289">
        <v>2457</v>
      </c>
      <c r="G193" s="289">
        <v>1401</v>
      </c>
      <c r="H193" s="289">
        <v>10572</v>
      </c>
      <c r="I193" s="289">
        <v>1673</v>
      </c>
      <c r="J193" s="289">
        <v>432</v>
      </c>
      <c r="K193" s="289">
        <v>72</v>
      </c>
      <c r="L193" s="289">
        <v>135</v>
      </c>
      <c r="M193" s="289">
        <v>926</v>
      </c>
      <c r="N193" s="290">
        <v>818</v>
      </c>
      <c r="O193" s="290">
        <v>169</v>
      </c>
      <c r="P193" s="624">
        <v>20872.84366667</v>
      </c>
      <c r="Q193" s="624">
        <v>18987.044999999998</v>
      </c>
      <c r="R193" s="624">
        <v>50</v>
      </c>
      <c r="S193" s="289"/>
      <c r="T193" s="289">
        <v>1408</v>
      </c>
      <c r="U193" s="716">
        <v>4.9317174876414252E-4</v>
      </c>
      <c r="V193" s="289">
        <v>3677.79578898</v>
      </c>
      <c r="W193" s="743">
        <v>0.54221954000000006</v>
      </c>
      <c r="X193" s="289">
        <v>3400</v>
      </c>
      <c r="Y193" s="289">
        <v>414.28399999999999</v>
      </c>
      <c r="Z193" s="289">
        <v>579991</v>
      </c>
      <c r="AA193" s="289">
        <v>0</v>
      </c>
      <c r="AB193" s="290">
        <v>228</v>
      </c>
      <c r="AC193" s="289">
        <v>0</v>
      </c>
      <c r="AD193" s="289">
        <v>0</v>
      </c>
      <c r="AE193" s="289">
        <v>0</v>
      </c>
      <c r="AF193" s="289">
        <v>0</v>
      </c>
      <c r="AG193" s="289">
        <v>18047</v>
      </c>
      <c r="AH193" s="289">
        <v>3309.15303593</v>
      </c>
      <c r="AI193" s="289">
        <v>0</v>
      </c>
      <c r="AJ193" s="289">
        <v>0</v>
      </c>
      <c r="AK193" s="289">
        <v>0</v>
      </c>
      <c r="AL193" s="289">
        <v>0</v>
      </c>
      <c r="AM193" s="836">
        <v>0.41585412999999999</v>
      </c>
      <c r="AN193" s="289">
        <v>0</v>
      </c>
      <c r="AO193" s="289">
        <v>671.61442971999998</v>
      </c>
      <c r="AP193" s="289">
        <v>0</v>
      </c>
      <c r="AQ193" s="289">
        <v>0</v>
      </c>
      <c r="AR193" s="289">
        <v>-960.60030945000005</v>
      </c>
      <c r="AS193" s="289"/>
      <c r="AT193" s="289">
        <v>1083</v>
      </c>
      <c r="AU193" s="289">
        <v>175</v>
      </c>
      <c r="AV193" s="625">
        <v>397044</v>
      </c>
      <c r="AW193" s="289"/>
      <c r="AX193" s="625">
        <v>180.33500004999999</v>
      </c>
      <c r="AY193" s="289">
        <v>4155</v>
      </c>
      <c r="AZ193" s="289">
        <v>701</v>
      </c>
      <c r="BA193" s="290">
        <v>417</v>
      </c>
      <c r="BB193" s="289">
        <v>0</v>
      </c>
      <c r="BC193" s="289">
        <v>3538.3611313900001</v>
      </c>
      <c r="BD193" s="289">
        <v>294.12261362848068</v>
      </c>
      <c r="BE193" s="289">
        <v>420297.07208208001</v>
      </c>
      <c r="BF193" s="289">
        <v>0</v>
      </c>
      <c r="BG193" s="289">
        <v>-741.04079999999999</v>
      </c>
      <c r="BH193" s="289">
        <v>-50.956200000000003</v>
      </c>
      <c r="BI193" s="289">
        <v>3723.4370359300001</v>
      </c>
      <c r="BJ193" s="289">
        <v>0</v>
      </c>
      <c r="BK193" s="289">
        <v>0</v>
      </c>
      <c r="BL193" s="289">
        <v>0</v>
      </c>
      <c r="BM193" s="289">
        <v>0</v>
      </c>
      <c r="BN193" s="289">
        <v>929.42517488436658</v>
      </c>
      <c r="BO193" s="289">
        <v>631.11866594161211</v>
      </c>
      <c r="BP193" s="289">
        <v>1633.9941511617487</v>
      </c>
      <c r="BQ193" s="289">
        <v>64.013692989585707</v>
      </c>
      <c r="BR193" s="289">
        <v>19.934977145930358</v>
      </c>
      <c r="BS193" s="289">
        <v>3.896674208937819</v>
      </c>
      <c r="BT193" s="289">
        <v>0</v>
      </c>
      <c r="BU193" s="289">
        <v>0</v>
      </c>
      <c r="BV193" s="289">
        <v>4.4878629137536947</v>
      </c>
      <c r="BW193" s="517"/>
      <c r="BX193" s="517"/>
      <c r="CA193" s="517"/>
      <c r="CB193" s="517"/>
    </row>
    <row r="194" spans="1:80" ht="13">
      <c r="A194" s="1">
        <v>3028</v>
      </c>
      <c r="B194" s="2" t="s">
        <v>813</v>
      </c>
      <c r="C194" s="289">
        <v>11026</v>
      </c>
      <c r="D194" s="289">
        <v>221</v>
      </c>
      <c r="E194" s="289">
        <v>541</v>
      </c>
      <c r="F194" s="289">
        <v>1574</v>
      </c>
      <c r="G194" s="289">
        <v>920</v>
      </c>
      <c r="H194" s="289">
        <v>6318</v>
      </c>
      <c r="I194" s="289">
        <v>1140</v>
      </c>
      <c r="J194" s="289">
        <v>236</v>
      </c>
      <c r="K194" s="289">
        <v>50</v>
      </c>
      <c r="L194" s="289">
        <v>84</v>
      </c>
      <c r="M194" s="289">
        <v>545</v>
      </c>
      <c r="N194" s="290">
        <v>225</v>
      </c>
      <c r="O194" s="290">
        <v>109</v>
      </c>
      <c r="P194" s="624">
        <v>34951.383999999998</v>
      </c>
      <c r="Q194" s="624">
        <v>14602.73433333</v>
      </c>
      <c r="R194" s="624">
        <v>37</v>
      </c>
      <c r="S194" s="289"/>
      <c r="T194" s="289">
        <v>714</v>
      </c>
      <c r="U194" s="716">
        <v>1.7181232380630931E-3</v>
      </c>
      <c r="V194" s="289">
        <v>3191.8668062299998</v>
      </c>
      <c r="W194" s="743">
        <v>0.58840811000000004</v>
      </c>
      <c r="X194" s="289">
        <v>2800</v>
      </c>
      <c r="Y194" s="289">
        <v>414.28399999999999</v>
      </c>
      <c r="Z194" s="289">
        <v>299078</v>
      </c>
      <c r="AA194" s="289">
        <v>0</v>
      </c>
      <c r="AB194" s="290">
        <v>200</v>
      </c>
      <c r="AC194" s="289">
        <v>0</v>
      </c>
      <c r="AD194" s="289">
        <v>0</v>
      </c>
      <c r="AE194" s="289">
        <v>0</v>
      </c>
      <c r="AF194" s="289">
        <v>0</v>
      </c>
      <c r="AG194" s="289">
        <v>11000</v>
      </c>
      <c r="AH194" s="289">
        <v>2015.0552620799999</v>
      </c>
      <c r="AI194" s="289">
        <v>200</v>
      </c>
      <c r="AJ194" s="289">
        <v>0</v>
      </c>
      <c r="AK194" s="289">
        <v>0</v>
      </c>
      <c r="AL194" s="289">
        <v>0</v>
      </c>
      <c r="AM194" s="836">
        <v>0.38954629000000002</v>
      </c>
      <c r="AN194" s="289">
        <v>0</v>
      </c>
      <c r="AO194" s="289">
        <v>413.98153561999999</v>
      </c>
      <c r="AP194" s="289">
        <v>0</v>
      </c>
      <c r="AQ194" s="289">
        <v>0</v>
      </c>
      <c r="AR194" s="289">
        <v>-585.50470459999997</v>
      </c>
      <c r="AS194" s="289"/>
      <c r="AT194" s="289">
        <v>622</v>
      </c>
      <c r="AU194" s="289">
        <v>144</v>
      </c>
      <c r="AV194" s="625">
        <v>250880</v>
      </c>
      <c r="AW194" s="289"/>
      <c r="AX194" s="625">
        <v>72.7933333</v>
      </c>
      <c r="AY194" s="289">
        <v>1893</v>
      </c>
      <c r="AZ194" s="289">
        <v>521</v>
      </c>
      <c r="BA194" s="290">
        <v>265</v>
      </c>
      <c r="BB194" s="289">
        <v>0</v>
      </c>
      <c r="BC194" s="289">
        <v>2349.0081010600002</v>
      </c>
      <c r="BD194" s="289">
        <v>162.27816441799271</v>
      </c>
      <c r="BE194" s="289">
        <v>264256.52368733002</v>
      </c>
      <c r="BF194" s="289">
        <v>0</v>
      </c>
      <c r="BG194" s="289">
        <v>-481.9975</v>
      </c>
      <c r="BH194" s="289">
        <v>-31.058800000000002</v>
      </c>
      <c r="BI194" s="289">
        <v>2429.33926208</v>
      </c>
      <c r="BJ194" s="289">
        <v>0</v>
      </c>
      <c r="BK194" s="289">
        <v>0</v>
      </c>
      <c r="BL194" s="289">
        <v>0</v>
      </c>
      <c r="BM194" s="289">
        <v>0</v>
      </c>
      <c r="BN194" s="289">
        <v>592.53907581697558</v>
      </c>
      <c r="BO194" s="289">
        <v>406.92617523223419</v>
      </c>
      <c r="BP194" s="289">
        <v>995.95144139077047</v>
      </c>
      <c r="BQ194" s="289">
        <v>223.01239630058942</v>
      </c>
      <c r="BR194" s="289">
        <v>10.998853366108396</v>
      </c>
      <c r="BS194" s="289">
        <v>2.456915271111999</v>
      </c>
      <c r="BT194" s="289">
        <v>0</v>
      </c>
      <c r="BU194" s="289">
        <v>0</v>
      </c>
      <c r="BV194" s="289">
        <v>15.634921466374147</v>
      </c>
      <c r="BW194" s="517"/>
      <c r="BX194" s="517"/>
      <c r="CA194" s="517"/>
      <c r="CB194" s="517"/>
    </row>
    <row r="195" spans="1:80" ht="13">
      <c r="A195" s="1">
        <v>3029</v>
      </c>
      <c r="B195" s="2" t="s">
        <v>814</v>
      </c>
      <c r="C195" s="289">
        <v>40106</v>
      </c>
      <c r="D195" s="289">
        <v>882</v>
      </c>
      <c r="E195" s="289">
        <v>1886</v>
      </c>
      <c r="F195" s="289">
        <v>4968</v>
      </c>
      <c r="G195" s="289">
        <v>3350</v>
      </c>
      <c r="H195" s="289">
        <v>22953</v>
      </c>
      <c r="I195" s="289">
        <v>4086</v>
      </c>
      <c r="J195" s="289">
        <v>1068</v>
      </c>
      <c r="K195" s="289">
        <v>197</v>
      </c>
      <c r="L195" s="289">
        <v>279</v>
      </c>
      <c r="M195" s="289">
        <v>2094</v>
      </c>
      <c r="N195" s="290">
        <v>2126</v>
      </c>
      <c r="O195" s="290">
        <v>344</v>
      </c>
      <c r="P195" s="624">
        <v>56654.56733333</v>
      </c>
      <c r="Q195" s="624">
        <v>32157.04833333</v>
      </c>
      <c r="R195" s="624">
        <v>92</v>
      </c>
      <c r="S195" s="289"/>
      <c r="T195" s="289">
        <v>2962</v>
      </c>
      <c r="U195" s="716">
        <v>5.2261184425738772E-4</v>
      </c>
      <c r="V195" s="289">
        <v>1508.76002771</v>
      </c>
      <c r="W195" s="743">
        <v>0.52605159999999995</v>
      </c>
      <c r="X195" s="289">
        <v>0</v>
      </c>
      <c r="Y195" s="289">
        <v>414.28399999999999</v>
      </c>
      <c r="Z195" s="289">
        <v>1334160</v>
      </c>
      <c r="AA195" s="289">
        <v>0</v>
      </c>
      <c r="AB195" s="290">
        <v>455</v>
      </c>
      <c r="AC195" s="289">
        <v>0</v>
      </c>
      <c r="AD195" s="289">
        <v>0</v>
      </c>
      <c r="AE195" s="289">
        <v>41906</v>
      </c>
      <c r="AF195" s="289">
        <v>0</v>
      </c>
      <c r="AG195" s="289">
        <v>39390</v>
      </c>
      <c r="AH195" s="289">
        <v>6755.6645101499998</v>
      </c>
      <c r="AI195" s="289">
        <v>0</v>
      </c>
      <c r="AJ195" s="289">
        <v>0</v>
      </c>
      <c r="AK195" s="289">
        <v>910.61699999999996</v>
      </c>
      <c r="AL195" s="289">
        <v>0</v>
      </c>
      <c r="AM195" s="836">
        <v>1.21320563</v>
      </c>
      <c r="AN195" s="289">
        <v>0</v>
      </c>
      <c r="AO195" s="289">
        <v>1411.7669316199999</v>
      </c>
      <c r="AP195" s="289">
        <v>0</v>
      </c>
      <c r="AQ195" s="289">
        <v>0</v>
      </c>
      <c r="AR195" s="289">
        <v>-2096.63911947</v>
      </c>
      <c r="AS195" s="289"/>
      <c r="AT195" s="289">
        <v>2357</v>
      </c>
      <c r="AU195" s="289">
        <v>419</v>
      </c>
      <c r="AV195" s="625">
        <v>787430</v>
      </c>
      <c r="AW195" s="289"/>
      <c r="AX195" s="625">
        <v>298.06</v>
      </c>
      <c r="AY195" s="289">
        <v>9903</v>
      </c>
      <c r="AZ195" s="289">
        <v>1837</v>
      </c>
      <c r="BA195" s="290">
        <v>801</v>
      </c>
      <c r="BB195" s="289">
        <v>0</v>
      </c>
      <c r="BC195" s="289">
        <v>6685.0494344899998</v>
      </c>
      <c r="BD195" s="289">
        <v>685.02068507385059</v>
      </c>
      <c r="BE195" s="289">
        <v>871260.05194929999</v>
      </c>
      <c r="BF195" s="289">
        <v>0</v>
      </c>
      <c r="BG195" s="289">
        <v>-1493.4476999999999</v>
      </c>
      <c r="BH195" s="289">
        <v>-111.2187</v>
      </c>
      <c r="BI195" s="289">
        <v>7169.9485101500004</v>
      </c>
      <c r="BJ195" s="289">
        <v>0</v>
      </c>
      <c r="BK195" s="289">
        <v>0</v>
      </c>
      <c r="BL195" s="289">
        <v>0</v>
      </c>
      <c r="BM195" s="289">
        <v>0</v>
      </c>
      <c r="BN195" s="289">
        <v>2071.0139713204412</v>
      </c>
      <c r="BO195" s="289">
        <v>1376.374824587378</v>
      </c>
      <c r="BP195" s="289">
        <v>3566.4115705802228</v>
      </c>
      <c r="BQ195" s="289">
        <v>67.835017384608818</v>
      </c>
      <c r="BR195" s="289">
        <v>46.429179766116548</v>
      </c>
      <c r="BS195" s="289">
        <v>8.271787993447365</v>
      </c>
      <c r="BT195" s="289">
        <v>0</v>
      </c>
      <c r="BU195" s="289">
        <v>0</v>
      </c>
      <c r="BV195" s="289">
        <v>4.7557677827422324</v>
      </c>
      <c r="BW195" s="517"/>
      <c r="BX195" s="517"/>
      <c r="CA195" s="517"/>
      <c r="CB195" s="517"/>
    </row>
    <row r="196" spans="1:80" ht="13">
      <c r="A196" s="1">
        <v>3031</v>
      </c>
      <c r="B196" s="2" t="s">
        <v>816</v>
      </c>
      <c r="C196" s="289">
        <v>24089</v>
      </c>
      <c r="D196" s="289">
        <v>479</v>
      </c>
      <c r="E196" s="289">
        <v>1243</v>
      </c>
      <c r="F196" s="289">
        <v>3460</v>
      </c>
      <c r="G196" s="289">
        <v>2160</v>
      </c>
      <c r="H196" s="289">
        <v>13446</v>
      </c>
      <c r="I196" s="289">
        <v>2319</v>
      </c>
      <c r="J196" s="289">
        <v>637</v>
      </c>
      <c r="K196" s="289">
        <v>94</v>
      </c>
      <c r="L196" s="289">
        <v>176</v>
      </c>
      <c r="M196" s="289">
        <v>1248</v>
      </c>
      <c r="N196" s="290">
        <v>500</v>
      </c>
      <c r="O196" s="290">
        <v>179</v>
      </c>
      <c r="P196" s="624">
        <v>58199.652999999998</v>
      </c>
      <c r="Q196" s="624">
        <v>23788.835666669998</v>
      </c>
      <c r="R196" s="624">
        <v>80</v>
      </c>
      <c r="S196" s="289"/>
      <c r="T196" s="289">
        <v>1490</v>
      </c>
      <c r="U196" s="716">
        <v>1.109959131747469E-3</v>
      </c>
      <c r="V196" s="289">
        <v>6951.42108302</v>
      </c>
      <c r="W196" s="743">
        <v>0.54550761000000003</v>
      </c>
      <c r="X196" s="289">
        <v>3100</v>
      </c>
      <c r="Y196" s="289">
        <v>414.28399999999999</v>
      </c>
      <c r="Z196" s="289">
        <v>808965</v>
      </c>
      <c r="AA196" s="289">
        <v>0</v>
      </c>
      <c r="AB196" s="290">
        <v>312</v>
      </c>
      <c r="AC196" s="289">
        <v>0</v>
      </c>
      <c r="AD196" s="289">
        <v>0</v>
      </c>
      <c r="AE196" s="289">
        <v>0</v>
      </c>
      <c r="AF196" s="289">
        <v>0</v>
      </c>
      <c r="AG196" s="289">
        <v>23838</v>
      </c>
      <c r="AH196" s="289">
        <v>4508.4246798000004</v>
      </c>
      <c r="AI196" s="289">
        <v>500</v>
      </c>
      <c r="AJ196" s="289">
        <v>0</v>
      </c>
      <c r="AK196" s="289">
        <v>329.56900000000002</v>
      </c>
      <c r="AL196" s="289">
        <v>0</v>
      </c>
      <c r="AM196" s="836">
        <v>0.39574711000000001</v>
      </c>
      <c r="AN196" s="289">
        <v>0</v>
      </c>
      <c r="AO196" s="289">
        <v>901.85534502999997</v>
      </c>
      <c r="AP196" s="289">
        <v>0</v>
      </c>
      <c r="AQ196" s="289">
        <v>0</v>
      </c>
      <c r="AR196" s="289">
        <v>-1268.84192257</v>
      </c>
      <c r="AS196" s="289"/>
      <c r="AT196" s="289">
        <v>1377</v>
      </c>
      <c r="AU196" s="289">
        <v>187</v>
      </c>
      <c r="AV196" s="625">
        <v>538713</v>
      </c>
      <c r="AW196" s="289"/>
      <c r="AX196" s="625">
        <v>220.68999994999999</v>
      </c>
      <c r="AY196" s="289">
        <v>6268</v>
      </c>
      <c r="AZ196" s="289">
        <v>852</v>
      </c>
      <c r="BA196" s="290">
        <v>532</v>
      </c>
      <c r="BB196" s="289">
        <v>0</v>
      </c>
      <c r="BC196" s="289">
        <v>4708.4579697999998</v>
      </c>
      <c r="BD196" s="289">
        <v>301.01265689302176</v>
      </c>
      <c r="BE196" s="289">
        <v>575767.63282881002</v>
      </c>
      <c r="BF196" s="289">
        <v>0</v>
      </c>
      <c r="BG196" s="289">
        <v>-1039.2457999999999</v>
      </c>
      <c r="BH196" s="289">
        <v>-67.307199999999995</v>
      </c>
      <c r="BI196" s="289">
        <v>4922.7086798</v>
      </c>
      <c r="BJ196" s="289">
        <v>0</v>
      </c>
      <c r="BK196" s="289">
        <v>0</v>
      </c>
      <c r="BL196" s="289">
        <v>0</v>
      </c>
      <c r="BM196" s="289">
        <v>0</v>
      </c>
      <c r="BN196" s="289">
        <v>1295.7116738889508</v>
      </c>
      <c r="BO196" s="289">
        <v>852.00961521547083</v>
      </c>
      <c r="BP196" s="289">
        <v>2158.317314533926</v>
      </c>
      <c r="BQ196" s="289">
        <v>144.07269530082147</v>
      </c>
      <c r="BR196" s="289">
        <v>20.401968967193696</v>
      </c>
      <c r="BS196" s="289">
        <v>5.0867079489833706</v>
      </c>
      <c r="BT196" s="289">
        <v>0</v>
      </c>
      <c r="BU196" s="289">
        <v>0</v>
      </c>
      <c r="BV196" s="289">
        <v>10.100628098901964</v>
      </c>
      <c r="BW196" s="517"/>
      <c r="BX196" s="517"/>
      <c r="CA196" s="517"/>
      <c r="CB196" s="517"/>
    </row>
    <row r="197" spans="1:80" ht="13">
      <c r="A197" s="1">
        <v>3032</v>
      </c>
      <c r="B197" s="2" t="s">
        <v>817</v>
      </c>
      <c r="C197" s="289">
        <v>6823</v>
      </c>
      <c r="D197" s="289">
        <v>152</v>
      </c>
      <c r="E197" s="289">
        <v>319</v>
      </c>
      <c r="F197" s="289">
        <v>938</v>
      </c>
      <c r="G197" s="289">
        <v>609</v>
      </c>
      <c r="H197" s="289">
        <v>3893</v>
      </c>
      <c r="I197" s="289">
        <v>660</v>
      </c>
      <c r="J197" s="289">
        <v>207</v>
      </c>
      <c r="K197" s="289">
        <v>20</v>
      </c>
      <c r="L197" s="289">
        <v>53</v>
      </c>
      <c r="M197" s="289">
        <v>318</v>
      </c>
      <c r="N197" s="290">
        <v>94</v>
      </c>
      <c r="O197" s="290">
        <v>62</v>
      </c>
      <c r="P197" s="624">
        <v>20945.28866667</v>
      </c>
      <c r="Q197" s="624">
        <v>10117.594999999999</v>
      </c>
      <c r="R197" s="624">
        <v>23</v>
      </c>
      <c r="S197" s="289"/>
      <c r="T197" s="289">
        <v>405</v>
      </c>
      <c r="U197" s="716">
        <v>1.4613335973748661E-3</v>
      </c>
      <c r="V197" s="289">
        <v>1402.1509214499999</v>
      </c>
      <c r="W197" s="743">
        <v>0.56611151999999998</v>
      </c>
      <c r="X197" s="289">
        <v>1200</v>
      </c>
      <c r="Y197" s="289">
        <v>350.548</v>
      </c>
      <c r="Z197" s="289">
        <v>249562</v>
      </c>
      <c r="AA197" s="289">
        <v>0</v>
      </c>
      <c r="AB197" s="290">
        <v>107</v>
      </c>
      <c r="AC197" s="289">
        <v>0</v>
      </c>
      <c r="AD197" s="289">
        <v>0</v>
      </c>
      <c r="AE197" s="289">
        <v>2181</v>
      </c>
      <c r="AF197" s="289">
        <v>0</v>
      </c>
      <c r="AG197" s="289">
        <v>6798</v>
      </c>
      <c r="AH197" s="289">
        <v>1245.2902069500001</v>
      </c>
      <c r="AI197" s="289">
        <v>0</v>
      </c>
      <c r="AJ197" s="289">
        <v>0</v>
      </c>
      <c r="AK197" s="289">
        <v>0</v>
      </c>
      <c r="AL197" s="289">
        <v>0</v>
      </c>
      <c r="AM197" s="836">
        <v>0.10077663000000001</v>
      </c>
      <c r="AN197" s="289">
        <v>0</v>
      </c>
      <c r="AO197" s="289">
        <v>253.83775019999999</v>
      </c>
      <c r="AP197" s="289">
        <v>0</v>
      </c>
      <c r="AQ197" s="289">
        <v>0</v>
      </c>
      <c r="AR197" s="289">
        <v>-361.84190744</v>
      </c>
      <c r="AS197" s="289"/>
      <c r="AT197" s="289">
        <v>409</v>
      </c>
      <c r="AU197" s="289">
        <v>49</v>
      </c>
      <c r="AV197" s="625">
        <v>150291</v>
      </c>
      <c r="AW197" s="289"/>
      <c r="AX197" s="625">
        <v>55.393333300000002</v>
      </c>
      <c r="AY197" s="289">
        <v>1528</v>
      </c>
      <c r="AZ197" s="289">
        <v>226</v>
      </c>
      <c r="BA197" s="290">
        <v>122</v>
      </c>
      <c r="BB197" s="289">
        <v>0</v>
      </c>
      <c r="BC197" s="289">
        <v>1520.15857579</v>
      </c>
      <c r="BD197" s="289">
        <v>81.467213177331786</v>
      </c>
      <c r="BE197" s="289">
        <v>161779.90352054001</v>
      </c>
      <c r="BF197" s="289">
        <v>0</v>
      </c>
      <c r="BG197" s="289">
        <v>-289.52069999999998</v>
      </c>
      <c r="BH197" s="289">
        <v>-19.194299999999998</v>
      </c>
      <c r="BI197" s="289">
        <v>1595.8382069500001</v>
      </c>
      <c r="BJ197" s="289">
        <v>0</v>
      </c>
      <c r="BK197" s="289">
        <v>0</v>
      </c>
      <c r="BL197" s="289">
        <v>0</v>
      </c>
      <c r="BM197" s="289">
        <v>0</v>
      </c>
      <c r="BN197" s="289">
        <v>380.57557571067781</v>
      </c>
      <c r="BO197" s="289">
        <v>259.89324183987412</v>
      </c>
      <c r="BP197" s="289">
        <v>615.49799077949615</v>
      </c>
      <c r="BQ197" s="289">
        <v>189.68110093925762</v>
      </c>
      <c r="BR197" s="289">
        <v>5.5216666709080426</v>
      </c>
      <c r="BS197" s="289">
        <v>1.5877604898280677</v>
      </c>
      <c r="BT197" s="289">
        <v>0</v>
      </c>
      <c r="BU197" s="289">
        <v>0</v>
      </c>
      <c r="BV197" s="289">
        <v>13.298135736111281</v>
      </c>
      <c r="BW197" s="517"/>
      <c r="BX197" s="517"/>
      <c r="CA197" s="517"/>
      <c r="CB197" s="517"/>
    </row>
    <row r="198" spans="1:80" ht="13">
      <c r="A198" s="1">
        <v>3033</v>
      </c>
      <c r="B198" s="2" t="s">
        <v>818</v>
      </c>
      <c r="C198" s="289">
        <v>38234</v>
      </c>
      <c r="D198" s="289">
        <v>835</v>
      </c>
      <c r="E198" s="289">
        <v>1920</v>
      </c>
      <c r="F198" s="289">
        <v>5135</v>
      </c>
      <c r="G198" s="289">
        <v>3252</v>
      </c>
      <c r="H198" s="289">
        <v>21766</v>
      </c>
      <c r="I198" s="289">
        <v>3294</v>
      </c>
      <c r="J198" s="289">
        <v>924</v>
      </c>
      <c r="K198" s="289">
        <v>156</v>
      </c>
      <c r="L198" s="289">
        <v>256</v>
      </c>
      <c r="M198" s="289">
        <v>1917</v>
      </c>
      <c r="N198" s="290">
        <v>1651</v>
      </c>
      <c r="O198" s="290">
        <v>392</v>
      </c>
      <c r="P198" s="624">
        <v>81701.684333330006</v>
      </c>
      <c r="Q198" s="624">
        <v>55114.947333329997</v>
      </c>
      <c r="R198" s="624">
        <v>76</v>
      </c>
      <c r="S198" s="289"/>
      <c r="T198" s="289">
        <v>2758</v>
      </c>
      <c r="U198" s="716">
        <v>4.1023387365094095E-3</v>
      </c>
      <c r="V198" s="289">
        <v>709.69722802000001</v>
      </c>
      <c r="W198" s="743">
        <v>0.54564380000000001</v>
      </c>
      <c r="X198" s="289">
        <v>5600</v>
      </c>
      <c r="Y198" s="289">
        <v>414.28399999999999</v>
      </c>
      <c r="Z198" s="289">
        <v>1141275</v>
      </c>
      <c r="AA198" s="289">
        <v>0</v>
      </c>
      <c r="AB198" s="290">
        <v>547</v>
      </c>
      <c r="AC198" s="289">
        <v>0</v>
      </c>
      <c r="AD198" s="289">
        <v>0</v>
      </c>
      <c r="AE198" s="289">
        <v>37996</v>
      </c>
      <c r="AF198" s="289">
        <v>-11920</v>
      </c>
      <c r="AG198" s="289">
        <v>37282</v>
      </c>
      <c r="AH198" s="289">
        <v>6868.6191649800003</v>
      </c>
      <c r="AI198" s="289">
        <v>900</v>
      </c>
      <c r="AJ198" s="289">
        <v>0</v>
      </c>
      <c r="AK198" s="289">
        <v>0</v>
      </c>
      <c r="AL198" s="289">
        <v>0</v>
      </c>
      <c r="AM198" s="836">
        <v>1.6109387900000001</v>
      </c>
      <c r="AN198" s="289">
        <v>0</v>
      </c>
      <c r="AO198" s="289">
        <v>1372.0139816599999</v>
      </c>
      <c r="AP198" s="289">
        <v>0</v>
      </c>
      <c r="AQ198" s="289">
        <v>0</v>
      </c>
      <c r="AR198" s="289">
        <v>-1984.4351269900001</v>
      </c>
      <c r="AS198" s="289"/>
      <c r="AT198" s="289">
        <v>2480</v>
      </c>
      <c r="AU198" s="289">
        <v>550</v>
      </c>
      <c r="AV198" s="625">
        <v>799655</v>
      </c>
      <c r="AW198" s="289"/>
      <c r="AX198" s="625">
        <v>284.38</v>
      </c>
      <c r="AY198" s="289">
        <v>7083</v>
      </c>
      <c r="AZ198" s="289">
        <v>1580</v>
      </c>
      <c r="BA198" s="290">
        <v>1060</v>
      </c>
      <c r="BB198" s="289">
        <v>0</v>
      </c>
      <c r="BC198" s="289">
        <v>-5160.1912321700001</v>
      </c>
      <c r="BD198" s="289">
        <v>662.60927191462235</v>
      </c>
      <c r="BE198" s="289">
        <v>864780.13659122004</v>
      </c>
      <c r="BF198" s="289">
        <v>0</v>
      </c>
      <c r="BG198" s="289">
        <v>-1560.5888</v>
      </c>
      <c r="BH198" s="289">
        <v>-105.2667</v>
      </c>
      <c r="BI198" s="289">
        <v>-4637.0968350200001</v>
      </c>
      <c r="BJ198" s="289">
        <v>0</v>
      </c>
      <c r="BK198" s="289">
        <v>0</v>
      </c>
      <c r="BL198" s="289">
        <v>0</v>
      </c>
      <c r="BM198" s="289">
        <v>0</v>
      </c>
      <c r="BN198" s="289">
        <v>1841.8494111667958</v>
      </c>
      <c r="BO198" s="289">
        <v>1302.8798515288913</v>
      </c>
      <c r="BP198" s="289">
        <v>3375.5510579937009</v>
      </c>
      <c r="BQ198" s="289">
        <v>532.48356799892122</v>
      </c>
      <c r="BR198" s="289">
        <v>44.910183985324402</v>
      </c>
      <c r="BS198" s="289">
        <v>7.8607094744144472</v>
      </c>
      <c r="BT198" s="289">
        <v>0</v>
      </c>
      <c r="BU198" s="289">
        <v>0</v>
      </c>
      <c r="BV198" s="289">
        <v>37.331282502235624</v>
      </c>
      <c r="BW198" s="517"/>
      <c r="BX198" s="517"/>
      <c r="CA198" s="517"/>
      <c r="CB198" s="517"/>
    </row>
    <row r="199" spans="1:80" ht="13">
      <c r="A199" s="1">
        <v>3034</v>
      </c>
      <c r="B199" s="2" t="s">
        <v>819</v>
      </c>
      <c r="C199" s="289">
        <v>21885</v>
      </c>
      <c r="D199" s="289">
        <v>495</v>
      </c>
      <c r="E199" s="289">
        <v>1071</v>
      </c>
      <c r="F199" s="289">
        <v>2590</v>
      </c>
      <c r="G199" s="289">
        <v>1867</v>
      </c>
      <c r="H199" s="289">
        <v>12684</v>
      </c>
      <c r="I199" s="289">
        <v>2331</v>
      </c>
      <c r="J199" s="289">
        <v>649</v>
      </c>
      <c r="K199" s="289">
        <v>126</v>
      </c>
      <c r="L199" s="289">
        <v>183</v>
      </c>
      <c r="M199" s="289">
        <v>1265</v>
      </c>
      <c r="N199" s="290">
        <v>375</v>
      </c>
      <c r="O199" s="290">
        <v>161</v>
      </c>
      <c r="P199" s="624">
        <v>96858.54</v>
      </c>
      <c r="Q199" s="624">
        <v>48570.38166667</v>
      </c>
      <c r="R199" s="624">
        <v>80</v>
      </c>
      <c r="S199" s="289"/>
      <c r="T199" s="289">
        <v>1579</v>
      </c>
      <c r="U199" s="716">
        <v>7.2956723235467801E-3</v>
      </c>
      <c r="V199" s="289">
        <v>3911.1936051900002</v>
      </c>
      <c r="W199" s="743">
        <v>0.61146347999999995</v>
      </c>
      <c r="X199" s="289">
        <v>3900</v>
      </c>
      <c r="Y199" s="289">
        <v>414.28399999999999</v>
      </c>
      <c r="Z199" s="289">
        <v>589743</v>
      </c>
      <c r="AA199" s="289">
        <v>0</v>
      </c>
      <c r="AB199" s="290">
        <v>423</v>
      </c>
      <c r="AC199" s="289">
        <v>0</v>
      </c>
      <c r="AD199" s="289">
        <v>0</v>
      </c>
      <c r="AE199" s="289">
        <v>8083</v>
      </c>
      <c r="AF199" s="289">
        <v>0</v>
      </c>
      <c r="AG199" s="289">
        <v>21813</v>
      </c>
      <c r="AH199" s="289">
        <v>3663.3565214499999</v>
      </c>
      <c r="AI199" s="289">
        <v>630</v>
      </c>
      <c r="AJ199" s="289">
        <v>0</v>
      </c>
      <c r="AK199" s="289">
        <v>0</v>
      </c>
      <c r="AL199" s="289">
        <v>0</v>
      </c>
      <c r="AM199" s="836">
        <v>0.56125707000000002</v>
      </c>
      <c r="AN199" s="289">
        <v>0</v>
      </c>
      <c r="AO199" s="289">
        <v>810.96709559999999</v>
      </c>
      <c r="AP199" s="289">
        <v>0</v>
      </c>
      <c r="AQ199" s="289">
        <v>0</v>
      </c>
      <c r="AR199" s="289">
        <v>-1161.0558292200001</v>
      </c>
      <c r="AS199" s="289"/>
      <c r="AT199" s="289">
        <v>1363</v>
      </c>
      <c r="AU199" s="289">
        <v>223</v>
      </c>
      <c r="AV199" s="625">
        <v>485885</v>
      </c>
      <c r="AW199" s="289"/>
      <c r="AX199" s="625">
        <v>181.4266667</v>
      </c>
      <c r="AY199" s="289">
        <v>3544</v>
      </c>
      <c r="AZ199" s="289">
        <v>868</v>
      </c>
      <c r="BA199" s="290">
        <v>481</v>
      </c>
      <c r="BB199" s="289">
        <v>0</v>
      </c>
      <c r="BC199" s="289">
        <v>3895.1670404900001</v>
      </c>
      <c r="BD199" s="289">
        <v>313.7945881616094</v>
      </c>
      <c r="BE199" s="289">
        <v>513842.22189664003</v>
      </c>
      <c r="BF199" s="289">
        <v>0</v>
      </c>
      <c r="BG199" s="289">
        <v>-804.81899999999996</v>
      </c>
      <c r="BH199" s="289">
        <v>-61.589599999999997</v>
      </c>
      <c r="BI199" s="289">
        <v>4077.6405214500001</v>
      </c>
      <c r="BJ199" s="289">
        <v>0</v>
      </c>
      <c r="BK199" s="289">
        <v>0</v>
      </c>
      <c r="BL199" s="289">
        <v>0</v>
      </c>
      <c r="BM199" s="289">
        <v>0</v>
      </c>
      <c r="BN199" s="289">
        <v>1333.3837113415439</v>
      </c>
      <c r="BO199" s="289">
        <v>817.57846449564113</v>
      </c>
      <c r="BP199" s="289">
        <v>1974.971708277898</v>
      </c>
      <c r="BQ199" s="289">
        <v>946.97826759637189</v>
      </c>
      <c r="BR199" s="289">
        <v>21.268299864286856</v>
      </c>
      <c r="BS199" s="289">
        <v>4.6869628219755368</v>
      </c>
      <c r="BT199" s="289">
        <v>0</v>
      </c>
      <c r="BU199" s="289">
        <v>0</v>
      </c>
      <c r="BV199" s="289">
        <v>66.390618144275692</v>
      </c>
      <c r="BW199" s="517"/>
      <c r="BX199" s="517"/>
      <c r="CA199" s="517"/>
      <c r="CB199" s="517"/>
    </row>
    <row r="200" spans="1:80" ht="13">
      <c r="A200" s="1">
        <v>3035</v>
      </c>
      <c r="B200" s="2" t="s">
        <v>820</v>
      </c>
      <c r="C200" s="289">
        <v>24919</v>
      </c>
      <c r="D200" s="289">
        <v>526</v>
      </c>
      <c r="E200" s="289">
        <v>1224</v>
      </c>
      <c r="F200" s="289">
        <v>3196</v>
      </c>
      <c r="G200" s="289">
        <v>1985</v>
      </c>
      <c r="H200" s="289">
        <v>14494</v>
      </c>
      <c r="I200" s="289">
        <v>2638</v>
      </c>
      <c r="J200" s="289">
        <v>654</v>
      </c>
      <c r="K200" s="289">
        <v>144</v>
      </c>
      <c r="L200" s="289">
        <v>202</v>
      </c>
      <c r="M200" s="289">
        <v>1544</v>
      </c>
      <c r="N200" s="290">
        <v>555</v>
      </c>
      <c r="O200" s="290">
        <v>247</v>
      </c>
      <c r="P200" s="624">
        <v>63492.663</v>
      </c>
      <c r="Q200" s="624">
        <v>36442.607333330001</v>
      </c>
      <c r="R200" s="624">
        <v>91</v>
      </c>
      <c r="S200" s="289"/>
      <c r="T200" s="289">
        <v>2001</v>
      </c>
      <c r="U200" s="716">
        <v>4.1238785453158794E-3</v>
      </c>
      <c r="V200" s="289">
        <v>4205.6036791099996</v>
      </c>
      <c r="W200" s="743">
        <v>0.57087823999999998</v>
      </c>
      <c r="X200" s="289">
        <v>4000</v>
      </c>
      <c r="Y200" s="289">
        <v>414.28399999999999</v>
      </c>
      <c r="Z200" s="289">
        <v>645346</v>
      </c>
      <c r="AA200" s="289">
        <v>0</v>
      </c>
      <c r="AB200" s="290">
        <v>483</v>
      </c>
      <c r="AC200" s="289">
        <v>0</v>
      </c>
      <c r="AD200" s="289">
        <v>0</v>
      </c>
      <c r="AE200" s="289">
        <v>8427</v>
      </c>
      <c r="AF200" s="289">
        <v>0</v>
      </c>
      <c r="AG200" s="289">
        <v>24861</v>
      </c>
      <c r="AH200" s="289">
        <v>4276.9373624999998</v>
      </c>
      <c r="AI200" s="289">
        <v>0</v>
      </c>
      <c r="AJ200" s="289">
        <v>0</v>
      </c>
      <c r="AK200" s="289">
        <v>0</v>
      </c>
      <c r="AL200" s="289">
        <v>0</v>
      </c>
      <c r="AM200" s="836">
        <v>0.82363317000000003</v>
      </c>
      <c r="AN200" s="289">
        <v>0</v>
      </c>
      <c r="AO200" s="289">
        <v>939.38717813000005</v>
      </c>
      <c r="AP200" s="289">
        <v>0</v>
      </c>
      <c r="AQ200" s="289">
        <v>0</v>
      </c>
      <c r="AR200" s="289">
        <v>-1323.2938601000001</v>
      </c>
      <c r="AS200" s="289"/>
      <c r="AT200" s="289">
        <v>1607</v>
      </c>
      <c r="AU200" s="289">
        <v>277</v>
      </c>
      <c r="AV200" s="625">
        <v>578686</v>
      </c>
      <c r="AW200" s="289"/>
      <c r="AX200" s="625">
        <v>216.6733333</v>
      </c>
      <c r="AY200" s="289">
        <v>4525</v>
      </c>
      <c r="AZ200" s="289">
        <v>1124</v>
      </c>
      <c r="BA200" s="290">
        <v>678</v>
      </c>
      <c r="BB200" s="289">
        <v>0</v>
      </c>
      <c r="BC200" s="289">
        <v>4558.9393031299996</v>
      </c>
      <c r="BD200" s="289">
        <v>396.03924792912164</v>
      </c>
      <c r="BE200" s="289">
        <v>604601.89015045995</v>
      </c>
      <c r="BF200" s="289">
        <v>0</v>
      </c>
      <c r="BG200" s="289">
        <v>-976.96990000000005</v>
      </c>
      <c r="BH200" s="289">
        <v>-70.195700000000002</v>
      </c>
      <c r="BI200" s="289">
        <v>4691.2213625000004</v>
      </c>
      <c r="BJ200" s="289">
        <v>0</v>
      </c>
      <c r="BK200" s="289">
        <v>0</v>
      </c>
      <c r="BL200" s="289">
        <v>0</v>
      </c>
      <c r="BM200" s="289">
        <v>0</v>
      </c>
      <c r="BN200" s="289">
        <v>1473.2129624642932</v>
      </c>
      <c r="BO200" s="289">
        <v>896.57273316575856</v>
      </c>
      <c r="BP200" s="289">
        <v>2250.9407985832677</v>
      </c>
      <c r="BQ200" s="289">
        <v>535.27943518200107</v>
      </c>
      <c r="BR200" s="289">
        <v>26.842660137418246</v>
      </c>
      <c r="BS200" s="289">
        <v>5.2980577516762546</v>
      </c>
      <c r="BT200" s="289">
        <v>0</v>
      </c>
      <c r="BU200" s="289">
        <v>0</v>
      </c>
      <c r="BV200" s="289">
        <v>37.527294762374495</v>
      </c>
      <c r="BW200" s="517"/>
      <c r="BX200" s="517"/>
      <c r="CA200" s="517"/>
      <c r="CB200" s="517"/>
    </row>
    <row r="201" spans="1:80" ht="13">
      <c r="A201" s="1">
        <v>3036</v>
      </c>
      <c r="B201" s="2" t="s">
        <v>821</v>
      </c>
      <c r="C201" s="289">
        <v>13682</v>
      </c>
      <c r="D201" s="289">
        <v>308</v>
      </c>
      <c r="E201" s="289">
        <v>672</v>
      </c>
      <c r="F201" s="289">
        <v>1823</v>
      </c>
      <c r="G201" s="289">
        <v>1099</v>
      </c>
      <c r="H201" s="289">
        <v>7978</v>
      </c>
      <c r="I201" s="289">
        <v>1210</v>
      </c>
      <c r="J201" s="289">
        <v>305</v>
      </c>
      <c r="K201" s="289">
        <v>51</v>
      </c>
      <c r="L201" s="289">
        <v>104</v>
      </c>
      <c r="M201" s="289">
        <v>672</v>
      </c>
      <c r="N201" s="290">
        <v>310</v>
      </c>
      <c r="O201" s="290">
        <v>156</v>
      </c>
      <c r="P201" s="624">
        <v>30981.846333329999</v>
      </c>
      <c r="Q201" s="624">
        <v>24666.303666669999</v>
      </c>
      <c r="R201" s="624">
        <v>48</v>
      </c>
      <c r="S201" s="289"/>
      <c r="T201" s="289">
        <v>915</v>
      </c>
      <c r="U201" s="716">
        <v>3.0133215335722777E-3</v>
      </c>
      <c r="V201" s="289">
        <v>3694.8834087999999</v>
      </c>
      <c r="W201" s="743">
        <v>0.58299933999999998</v>
      </c>
      <c r="X201" s="289">
        <v>4700</v>
      </c>
      <c r="Y201" s="289">
        <v>414.28399999999999</v>
      </c>
      <c r="Z201" s="289">
        <v>376725</v>
      </c>
      <c r="AA201" s="289">
        <v>0</v>
      </c>
      <c r="AB201" s="290">
        <v>198</v>
      </c>
      <c r="AC201" s="289">
        <v>0</v>
      </c>
      <c r="AD201" s="289">
        <v>0</v>
      </c>
      <c r="AE201" s="289">
        <v>17694</v>
      </c>
      <c r="AF201" s="289">
        <v>-7430</v>
      </c>
      <c r="AG201" s="289">
        <v>13446</v>
      </c>
      <c r="AH201" s="289">
        <v>2425.7360750100001</v>
      </c>
      <c r="AI201" s="289">
        <v>0</v>
      </c>
      <c r="AJ201" s="289">
        <v>0</v>
      </c>
      <c r="AK201" s="289">
        <v>0</v>
      </c>
      <c r="AL201" s="289">
        <v>0</v>
      </c>
      <c r="AM201" s="836">
        <v>0.35688080999999999</v>
      </c>
      <c r="AN201" s="289">
        <v>0</v>
      </c>
      <c r="AO201" s="289">
        <v>498.45733218999999</v>
      </c>
      <c r="AP201" s="289">
        <v>0</v>
      </c>
      <c r="AQ201" s="289">
        <v>0</v>
      </c>
      <c r="AR201" s="289">
        <v>-715.69965981999997</v>
      </c>
      <c r="AS201" s="289"/>
      <c r="AT201" s="289">
        <v>855</v>
      </c>
      <c r="AU201" s="289">
        <v>135</v>
      </c>
      <c r="AV201" s="625">
        <v>297910</v>
      </c>
      <c r="AW201" s="289"/>
      <c r="AX201" s="625">
        <v>109.6233333</v>
      </c>
      <c r="AY201" s="289">
        <v>2152</v>
      </c>
      <c r="AZ201" s="289">
        <v>542</v>
      </c>
      <c r="BA201" s="290">
        <v>348</v>
      </c>
      <c r="BB201" s="289">
        <v>0</v>
      </c>
      <c r="BC201" s="289">
        <v>-4801.2107575199998</v>
      </c>
      <c r="BD201" s="289">
        <v>191.55177219456326</v>
      </c>
      <c r="BE201" s="289">
        <v>323985.92612949002</v>
      </c>
      <c r="BF201" s="289">
        <v>0</v>
      </c>
      <c r="BG201" s="289">
        <v>-561.8922</v>
      </c>
      <c r="BH201" s="289">
        <v>-37.9651</v>
      </c>
      <c r="BI201" s="289">
        <v>-4589.9799249899997</v>
      </c>
      <c r="BJ201" s="289">
        <v>0</v>
      </c>
      <c r="BK201" s="289">
        <v>0</v>
      </c>
      <c r="BL201" s="289">
        <v>0</v>
      </c>
      <c r="BM201" s="289">
        <v>0</v>
      </c>
      <c r="BN201" s="289">
        <v>719.68021813740597</v>
      </c>
      <c r="BO201" s="289">
        <v>483.15558787426664</v>
      </c>
      <c r="BP201" s="289">
        <v>1217.4148255400273</v>
      </c>
      <c r="BQ201" s="289">
        <v>391.12913505768165</v>
      </c>
      <c r="BR201" s="289">
        <v>12.98295344874262</v>
      </c>
      <c r="BS201" s="289">
        <v>2.9628404725754733</v>
      </c>
      <c r="BT201" s="289">
        <v>0</v>
      </c>
      <c r="BU201" s="289">
        <v>0</v>
      </c>
      <c r="BV201" s="289">
        <v>27.421225955507715</v>
      </c>
      <c r="BW201" s="517"/>
      <c r="BX201" s="517"/>
      <c r="CA201" s="517"/>
      <c r="CB201" s="517"/>
    </row>
    <row r="202" spans="1:80" ht="13">
      <c r="A202" s="1">
        <v>3037</v>
      </c>
      <c r="B202" s="2" t="s">
        <v>822</v>
      </c>
      <c r="C202" s="289">
        <v>2864</v>
      </c>
      <c r="D202" s="289">
        <v>50</v>
      </c>
      <c r="E202" s="289">
        <v>145</v>
      </c>
      <c r="F202" s="289">
        <v>328</v>
      </c>
      <c r="G202" s="289">
        <v>232</v>
      </c>
      <c r="H202" s="289">
        <v>1600</v>
      </c>
      <c r="I202" s="289">
        <v>368</v>
      </c>
      <c r="J202" s="289">
        <v>123</v>
      </c>
      <c r="K202" s="289">
        <v>36</v>
      </c>
      <c r="L202" s="289">
        <v>21</v>
      </c>
      <c r="M202" s="289">
        <v>247</v>
      </c>
      <c r="N202" s="290">
        <v>12</v>
      </c>
      <c r="O202" s="290">
        <v>12</v>
      </c>
      <c r="P202" s="624">
        <v>16433.346666670001</v>
      </c>
      <c r="Q202" s="624">
        <v>10544.087333330001</v>
      </c>
      <c r="R202" s="624">
        <v>6</v>
      </c>
      <c r="S202" s="289"/>
      <c r="T202" s="289">
        <v>257</v>
      </c>
      <c r="U202" s="716">
        <v>1.345019496871591E-3</v>
      </c>
      <c r="V202" s="289">
        <v>511.01256898000003</v>
      </c>
      <c r="W202" s="743">
        <v>0.76090508999999995</v>
      </c>
      <c r="X202" s="289">
        <v>1400</v>
      </c>
      <c r="Y202" s="289">
        <v>0</v>
      </c>
      <c r="Z202" s="289">
        <v>69523</v>
      </c>
      <c r="AA202" s="289">
        <v>0</v>
      </c>
      <c r="AB202" s="290">
        <v>51</v>
      </c>
      <c r="AC202" s="289">
        <v>0</v>
      </c>
      <c r="AD202" s="289">
        <v>0</v>
      </c>
      <c r="AE202" s="289">
        <v>677</v>
      </c>
      <c r="AF202" s="289">
        <v>0</v>
      </c>
      <c r="AG202" s="289">
        <v>2882</v>
      </c>
      <c r="AH202" s="289">
        <v>451.12136836000002</v>
      </c>
      <c r="AI202" s="289">
        <v>150</v>
      </c>
      <c r="AJ202" s="289">
        <v>0</v>
      </c>
      <c r="AK202" s="289">
        <v>0</v>
      </c>
      <c r="AL202" s="289">
        <v>0</v>
      </c>
      <c r="AM202" s="836">
        <v>8.156244E-2</v>
      </c>
      <c r="AN202" s="289">
        <v>0</v>
      </c>
      <c r="AO202" s="289">
        <v>121.72268141000001</v>
      </c>
      <c r="AP202" s="289">
        <v>0</v>
      </c>
      <c r="AQ202" s="289">
        <v>0</v>
      </c>
      <c r="AR202" s="289">
        <v>-153.40223261</v>
      </c>
      <c r="AS202" s="289"/>
      <c r="AT202" s="289">
        <v>179</v>
      </c>
      <c r="AU202" s="289">
        <v>30</v>
      </c>
      <c r="AV202" s="625">
        <v>84727</v>
      </c>
      <c r="AW202" s="289"/>
      <c r="AX202" s="625">
        <v>13.56</v>
      </c>
      <c r="AY202" s="289">
        <v>485</v>
      </c>
      <c r="AZ202" s="289">
        <v>128</v>
      </c>
      <c r="BA202" s="290">
        <v>88</v>
      </c>
      <c r="BB202" s="289">
        <v>2850</v>
      </c>
      <c r="BC202" s="289">
        <v>456.48502021000002</v>
      </c>
      <c r="BD202" s="289">
        <v>40.932018776261202</v>
      </c>
      <c r="BE202" s="289">
        <v>90828.132717789995</v>
      </c>
      <c r="BF202" s="289">
        <v>0</v>
      </c>
      <c r="BG202" s="289">
        <v>-109.92829999999999</v>
      </c>
      <c r="BH202" s="289">
        <v>-8.1373999999999995</v>
      </c>
      <c r="BI202" s="289">
        <v>451.12136836000002</v>
      </c>
      <c r="BJ202" s="289">
        <v>0</v>
      </c>
      <c r="BK202" s="289">
        <v>0</v>
      </c>
      <c r="BL202" s="289">
        <v>0</v>
      </c>
      <c r="BM202" s="289">
        <v>0</v>
      </c>
      <c r="BN202" s="289">
        <v>217.76771684306203</v>
      </c>
      <c r="BO202" s="289">
        <v>140.58426845844738</v>
      </c>
      <c r="BP202" s="289">
        <v>260.93927764438189</v>
      </c>
      <c r="BQ202" s="289">
        <v>174.58353069393249</v>
      </c>
      <c r="BR202" s="289">
        <v>2.7742812726132593</v>
      </c>
      <c r="BS202" s="289">
        <v>0.84502611086969004</v>
      </c>
      <c r="BT202" s="289">
        <v>0</v>
      </c>
      <c r="BU202" s="289">
        <v>0</v>
      </c>
      <c r="BV202" s="289">
        <v>12.239677421531477</v>
      </c>
      <c r="BW202" s="517"/>
      <c r="BX202" s="517"/>
      <c r="CA202" s="517"/>
      <c r="CB202" s="517"/>
    </row>
    <row r="203" spans="1:80" ht="13">
      <c r="A203" s="1">
        <v>3038</v>
      </c>
      <c r="B203" s="2" t="s">
        <v>874</v>
      </c>
      <c r="C203" s="289">
        <v>6845</v>
      </c>
      <c r="D203" s="289">
        <v>138</v>
      </c>
      <c r="E203" s="289">
        <v>360</v>
      </c>
      <c r="F203" s="289">
        <v>881</v>
      </c>
      <c r="G203" s="289">
        <v>483</v>
      </c>
      <c r="H203" s="289">
        <v>3964</v>
      </c>
      <c r="I203" s="289">
        <v>751</v>
      </c>
      <c r="J203" s="289">
        <v>233</v>
      </c>
      <c r="K203" s="289">
        <v>52</v>
      </c>
      <c r="L203" s="289">
        <v>50</v>
      </c>
      <c r="M203" s="289">
        <v>456</v>
      </c>
      <c r="N203" s="290">
        <v>99</v>
      </c>
      <c r="O203" s="290">
        <v>41</v>
      </c>
      <c r="P203" s="624">
        <v>31873.346000000001</v>
      </c>
      <c r="Q203" s="624">
        <v>20872.681</v>
      </c>
      <c r="R203" s="624">
        <v>18</v>
      </c>
      <c r="S203" s="289"/>
      <c r="T203" s="289">
        <v>485</v>
      </c>
      <c r="U203" s="716">
        <v>1.6367917561398164E-3</v>
      </c>
      <c r="V203" s="289">
        <v>-342.85632685000002</v>
      </c>
      <c r="W203" s="743">
        <v>0.61665824000000002</v>
      </c>
      <c r="X203" s="289">
        <v>750</v>
      </c>
      <c r="Y203" s="289">
        <v>669.22799999999995</v>
      </c>
      <c r="Z203" s="289">
        <v>257243</v>
      </c>
      <c r="AA203" s="289">
        <v>0</v>
      </c>
      <c r="AB203" s="290">
        <v>97</v>
      </c>
      <c r="AC203" s="289">
        <v>0</v>
      </c>
      <c r="AD203" s="289">
        <v>0</v>
      </c>
      <c r="AE203" s="289">
        <v>0</v>
      </c>
      <c r="AF203" s="289">
        <v>0</v>
      </c>
      <c r="AG203" s="289">
        <v>6862</v>
      </c>
      <c r="AH203" s="289">
        <v>1171.3816056400001</v>
      </c>
      <c r="AI203" s="289">
        <v>0</v>
      </c>
      <c r="AJ203" s="289">
        <v>0</v>
      </c>
      <c r="AK203" s="289">
        <v>0</v>
      </c>
      <c r="AL203" s="289">
        <v>0</v>
      </c>
      <c r="AM203" s="836">
        <v>0.12426738</v>
      </c>
      <c r="AN203" s="289">
        <v>0</v>
      </c>
      <c r="AO203" s="289">
        <v>268.28182461</v>
      </c>
      <c r="AP203" s="289">
        <v>0</v>
      </c>
      <c r="AQ203" s="289">
        <v>0</v>
      </c>
      <c r="AR203" s="289">
        <v>-365.24848027000002</v>
      </c>
      <c r="AS203" s="289"/>
      <c r="AT203" s="289">
        <v>377</v>
      </c>
      <c r="AU203" s="289">
        <v>57</v>
      </c>
      <c r="AV203" s="625">
        <v>164213</v>
      </c>
      <c r="AW203" s="289"/>
      <c r="AX203" s="625">
        <v>49.873333299999999</v>
      </c>
      <c r="AY203" s="289">
        <v>1952</v>
      </c>
      <c r="AZ203" s="289">
        <v>270</v>
      </c>
      <c r="BA203" s="290">
        <v>112</v>
      </c>
      <c r="BB203" s="289">
        <v>0</v>
      </c>
      <c r="BC203" s="289">
        <v>1791.64619195</v>
      </c>
      <c r="BD203" s="289">
        <v>87.696787870536141</v>
      </c>
      <c r="BE203" s="289">
        <v>175393.91832505001</v>
      </c>
      <c r="BF203" s="289">
        <v>0</v>
      </c>
      <c r="BG203" s="289">
        <v>-277.6361</v>
      </c>
      <c r="BH203" s="289">
        <v>-19.375</v>
      </c>
      <c r="BI203" s="289">
        <v>1840.6096056399999</v>
      </c>
      <c r="BJ203" s="289">
        <v>0</v>
      </c>
      <c r="BK203" s="289">
        <v>0</v>
      </c>
      <c r="BL203" s="289">
        <v>0</v>
      </c>
      <c r="BM203" s="289">
        <v>0</v>
      </c>
      <c r="BN203" s="289">
        <v>431.9333171464682</v>
      </c>
      <c r="BO203" s="289">
        <v>278.25022729162475</v>
      </c>
      <c r="BP203" s="289">
        <v>621.29261734758791</v>
      </c>
      <c r="BQ203" s="289">
        <v>212.45556994694812</v>
      </c>
      <c r="BR203" s="289">
        <v>5.9438934001141153</v>
      </c>
      <c r="BS203" s="289">
        <v>1.6152078792241769</v>
      </c>
      <c r="BT203" s="289">
        <v>0</v>
      </c>
      <c r="BU203" s="289">
        <v>0</v>
      </c>
      <c r="BV203" s="289">
        <v>14.894804980872326</v>
      </c>
      <c r="BW203" s="517"/>
      <c r="BX203" s="517"/>
      <c r="CA203" s="517"/>
      <c r="CB203" s="517"/>
    </row>
    <row r="204" spans="1:80" ht="13">
      <c r="A204" s="1">
        <v>3039</v>
      </c>
      <c r="B204" s="2" t="s">
        <v>875</v>
      </c>
      <c r="C204" s="289">
        <v>1052</v>
      </c>
      <c r="D204" s="289">
        <v>18</v>
      </c>
      <c r="E204" s="289">
        <v>34</v>
      </c>
      <c r="F204" s="289">
        <v>114</v>
      </c>
      <c r="G204" s="289">
        <v>90</v>
      </c>
      <c r="H204" s="289">
        <v>582</v>
      </c>
      <c r="I204" s="289">
        <v>148</v>
      </c>
      <c r="J204" s="289">
        <v>64</v>
      </c>
      <c r="K204" s="289">
        <v>16</v>
      </c>
      <c r="L204" s="289">
        <v>10</v>
      </c>
      <c r="M204" s="289">
        <v>123</v>
      </c>
      <c r="N204" s="290">
        <v>4</v>
      </c>
      <c r="O204" s="290">
        <v>35</v>
      </c>
      <c r="P204" s="624">
        <v>5834.1356666700003</v>
      </c>
      <c r="Q204" s="624">
        <v>4033.9323333299999</v>
      </c>
      <c r="R204" s="624">
        <v>2</v>
      </c>
      <c r="S204" s="289"/>
      <c r="T204" s="289">
        <v>111</v>
      </c>
      <c r="U204" s="716">
        <v>8.6324622498946968E-4</v>
      </c>
      <c r="V204" s="289">
        <v>583.37729367999998</v>
      </c>
      <c r="W204" s="743">
        <v>1</v>
      </c>
      <c r="X204" s="289">
        <v>0</v>
      </c>
      <c r="Y204" s="289">
        <v>414.28399999999999</v>
      </c>
      <c r="Z204" s="289">
        <v>33020</v>
      </c>
      <c r="AA204" s="289">
        <v>0</v>
      </c>
      <c r="AB204" s="290">
        <v>19</v>
      </c>
      <c r="AC204" s="289">
        <v>0</v>
      </c>
      <c r="AD204" s="289">
        <v>0</v>
      </c>
      <c r="AE204" s="289">
        <v>0</v>
      </c>
      <c r="AF204" s="289">
        <v>0</v>
      </c>
      <c r="AG204" s="289">
        <v>1066</v>
      </c>
      <c r="AH204" s="289">
        <v>154.09246121999999</v>
      </c>
      <c r="AI204" s="289">
        <v>150</v>
      </c>
      <c r="AJ204" s="289">
        <v>0</v>
      </c>
      <c r="AK204" s="289">
        <v>0</v>
      </c>
      <c r="AL204" s="289">
        <v>0</v>
      </c>
      <c r="AM204" s="836">
        <v>1.9895670000000001E-2</v>
      </c>
      <c r="AN204" s="289">
        <v>0</v>
      </c>
      <c r="AO204" s="289">
        <v>55.658840640000001</v>
      </c>
      <c r="AP204" s="289">
        <v>0</v>
      </c>
      <c r="AQ204" s="289">
        <v>0</v>
      </c>
      <c r="AR204" s="289">
        <v>-56.740728650000001</v>
      </c>
      <c r="AS204" s="289"/>
      <c r="AT204" s="289">
        <v>58</v>
      </c>
      <c r="AU204" s="289">
        <v>7</v>
      </c>
      <c r="AV204" s="625">
        <v>47298</v>
      </c>
      <c r="AW204" s="289"/>
      <c r="AX204" s="625">
        <v>6.4333333000000001</v>
      </c>
      <c r="AY204" s="289">
        <v>165</v>
      </c>
      <c r="AZ204" s="289">
        <v>56</v>
      </c>
      <c r="BA204" s="290">
        <v>41</v>
      </c>
      <c r="BB204" s="289">
        <v>2850</v>
      </c>
      <c r="BC204" s="289">
        <v>551.38594950000004</v>
      </c>
      <c r="BD204" s="289">
        <v>15.339268411424635</v>
      </c>
      <c r="BE204" s="289">
        <v>49785.361002049998</v>
      </c>
      <c r="BF204" s="289">
        <v>0</v>
      </c>
      <c r="BG204" s="289">
        <v>-48.592300000000002</v>
      </c>
      <c r="BH204" s="289">
        <v>-3.0099</v>
      </c>
      <c r="BI204" s="289">
        <v>568.37646122000001</v>
      </c>
      <c r="BJ204" s="289">
        <v>0</v>
      </c>
      <c r="BK204" s="289">
        <v>0</v>
      </c>
      <c r="BL204" s="289">
        <v>0</v>
      </c>
      <c r="BM204" s="289">
        <v>0</v>
      </c>
      <c r="BN204" s="289">
        <v>107.38787785611645</v>
      </c>
      <c r="BO204" s="289">
        <v>77.820675598985275</v>
      </c>
      <c r="BP204" s="289">
        <v>96.516748774778307</v>
      </c>
      <c r="BQ204" s="289">
        <v>112.04936000363313</v>
      </c>
      <c r="BR204" s="289">
        <v>1.0396615256632253</v>
      </c>
      <c r="BS204" s="289">
        <v>0.55234932814577076</v>
      </c>
      <c r="BT204" s="289">
        <v>0</v>
      </c>
      <c r="BU204" s="289">
        <v>0</v>
      </c>
      <c r="BV204" s="289">
        <v>7.8555406474041716</v>
      </c>
      <c r="BW204" s="517"/>
      <c r="BX204" s="517"/>
      <c r="CA204" s="517"/>
      <c r="CB204" s="517"/>
    </row>
    <row r="205" spans="1:80" ht="13">
      <c r="A205" s="1">
        <v>3040</v>
      </c>
      <c r="B205" s="2" t="s">
        <v>1966</v>
      </c>
      <c r="C205" s="289">
        <v>3315</v>
      </c>
      <c r="D205" s="289">
        <v>50</v>
      </c>
      <c r="E205" s="289">
        <v>105</v>
      </c>
      <c r="F205" s="289">
        <v>350</v>
      </c>
      <c r="G205" s="289">
        <v>254</v>
      </c>
      <c r="H205" s="289">
        <v>1857</v>
      </c>
      <c r="I205" s="289">
        <v>497</v>
      </c>
      <c r="J205" s="289">
        <v>174</v>
      </c>
      <c r="K205" s="289">
        <v>48</v>
      </c>
      <c r="L205" s="289">
        <v>26</v>
      </c>
      <c r="M205" s="289">
        <v>289</v>
      </c>
      <c r="N205" s="290">
        <v>37</v>
      </c>
      <c r="O205" s="290">
        <v>37</v>
      </c>
      <c r="P205" s="624">
        <v>13529.27033333</v>
      </c>
      <c r="Q205" s="624">
        <v>10306.18366667</v>
      </c>
      <c r="R205" s="624">
        <v>24</v>
      </c>
      <c r="S205" s="289"/>
      <c r="T205" s="289">
        <v>319</v>
      </c>
      <c r="U205" s="716">
        <v>2.3989711210521906E-3</v>
      </c>
      <c r="V205" s="289">
        <v>1497.7217979300001</v>
      </c>
      <c r="W205" s="743">
        <v>0.74242187999999998</v>
      </c>
      <c r="X205" s="289">
        <v>1000</v>
      </c>
      <c r="Y205" s="289">
        <v>414.28399999999999</v>
      </c>
      <c r="Z205" s="289">
        <v>101815</v>
      </c>
      <c r="AA205" s="289">
        <v>0</v>
      </c>
      <c r="AB205" s="290">
        <v>78</v>
      </c>
      <c r="AC205" s="289">
        <v>0</v>
      </c>
      <c r="AD205" s="289">
        <v>0</v>
      </c>
      <c r="AE205" s="289">
        <v>0</v>
      </c>
      <c r="AF205" s="289">
        <v>0</v>
      </c>
      <c r="AG205" s="289">
        <v>3335</v>
      </c>
      <c r="AH205" s="289">
        <v>451.81861931999998</v>
      </c>
      <c r="AI205" s="289">
        <v>750</v>
      </c>
      <c r="AJ205" s="289">
        <v>0</v>
      </c>
      <c r="AK205" s="289">
        <v>0</v>
      </c>
      <c r="AL205" s="289">
        <v>0</v>
      </c>
      <c r="AM205" s="836">
        <v>4.6921589999999999E-2</v>
      </c>
      <c r="AN205" s="289">
        <v>4967</v>
      </c>
      <c r="AO205" s="289">
        <v>142.89458944</v>
      </c>
      <c r="AP205" s="289">
        <v>0</v>
      </c>
      <c r="AQ205" s="289">
        <v>0</v>
      </c>
      <c r="AR205" s="289">
        <v>-177.51438089000001</v>
      </c>
      <c r="AS205" s="289"/>
      <c r="AT205" s="289">
        <v>157</v>
      </c>
      <c r="AU205" s="289">
        <v>24</v>
      </c>
      <c r="AV205" s="625">
        <v>103127</v>
      </c>
      <c r="AW205" s="289"/>
      <c r="AX205" s="625">
        <v>17.170000049999999</v>
      </c>
      <c r="AY205" s="289">
        <v>605</v>
      </c>
      <c r="AZ205" s="289">
        <v>139</v>
      </c>
      <c r="BA205" s="290">
        <v>70</v>
      </c>
      <c r="BB205" s="289">
        <v>0</v>
      </c>
      <c r="BC205" s="289">
        <v>864.01588890000005</v>
      </c>
      <c r="BD205" s="289">
        <v>48.977956933453541</v>
      </c>
      <c r="BE205" s="289">
        <v>109375.21688275</v>
      </c>
      <c r="BF205" s="289">
        <v>0</v>
      </c>
      <c r="BG205" s="289">
        <v>-118.15470000000001</v>
      </c>
      <c r="BH205" s="289">
        <v>-9.4164999999999992</v>
      </c>
      <c r="BI205" s="289">
        <v>866.10261932000003</v>
      </c>
      <c r="BJ205" s="289">
        <v>0</v>
      </c>
      <c r="BK205" s="289">
        <v>0</v>
      </c>
      <c r="BL205" s="289">
        <v>0</v>
      </c>
      <c r="BM205" s="289">
        <v>0</v>
      </c>
      <c r="BN205" s="289">
        <v>313.48144599274156</v>
      </c>
      <c r="BO205" s="289">
        <v>159.039584422666</v>
      </c>
      <c r="BP205" s="289">
        <v>301.95436882165632</v>
      </c>
      <c r="BQ205" s="289">
        <v>311.3864515125743</v>
      </c>
      <c r="BR205" s="289">
        <v>3.3196170810451844</v>
      </c>
      <c r="BS205" s="289">
        <v>0.92897548133570629</v>
      </c>
      <c r="BT205" s="289">
        <v>0</v>
      </c>
      <c r="BU205" s="289">
        <v>0</v>
      </c>
      <c r="BV205" s="289">
        <v>21.830637201574934</v>
      </c>
      <c r="BW205" s="517"/>
      <c r="BX205" s="517"/>
      <c r="CA205" s="517"/>
      <c r="CB205" s="517"/>
    </row>
    <row r="206" spans="1:80" ht="13">
      <c r="A206" s="1">
        <v>3041</v>
      </c>
      <c r="B206" s="2" t="s">
        <v>876</v>
      </c>
      <c r="C206" s="289">
        <v>4576</v>
      </c>
      <c r="D206" s="289">
        <v>68</v>
      </c>
      <c r="E206" s="289">
        <v>186</v>
      </c>
      <c r="F206" s="289">
        <v>527</v>
      </c>
      <c r="G206" s="289">
        <v>394</v>
      </c>
      <c r="H206" s="289">
        <v>2507</v>
      </c>
      <c r="I206" s="289">
        <v>618</v>
      </c>
      <c r="J206" s="289">
        <v>215</v>
      </c>
      <c r="K206" s="289">
        <v>61</v>
      </c>
      <c r="L206" s="289">
        <v>33</v>
      </c>
      <c r="M206" s="289">
        <v>411</v>
      </c>
      <c r="N206" s="290">
        <v>119</v>
      </c>
      <c r="O206" s="290">
        <v>65</v>
      </c>
      <c r="P206" s="624">
        <v>12602.132666670001</v>
      </c>
      <c r="Q206" s="624">
        <v>13510.56566667</v>
      </c>
      <c r="R206" s="624">
        <v>32</v>
      </c>
      <c r="S206" s="289"/>
      <c r="T206" s="289">
        <v>452</v>
      </c>
      <c r="U206" s="716">
        <v>2.4156487639127753E-3</v>
      </c>
      <c r="V206" s="289">
        <v>2047.9243576199999</v>
      </c>
      <c r="W206" s="743">
        <v>0.66416980999999997</v>
      </c>
      <c r="X206" s="289">
        <v>1500</v>
      </c>
      <c r="Y206" s="289">
        <v>414.28399999999999</v>
      </c>
      <c r="Z206" s="289">
        <v>143094</v>
      </c>
      <c r="AA206" s="289">
        <v>0</v>
      </c>
      <c r="AB206" s="290">
        <v>80</v>
      </c>
      <c r="AC206" s="289">
        <v>698</v>
      </c>
      <c r="AD206" s="289">
        <v>0</v>
      </c>
      <c r="AE206" s="289">
        <v>0</v>
      </c>
      <c r="AF206" s="289">
        <v>0</v>
      </c>
      <c r="AG206" s="289">
        <v>4576</v>
      </c>
      <c r="AH206" s="289">
        <v>704.22346530000004</v>
      </c>
      <c r="AI206" s="289">
        <v>150</v>
      </c>
      <c r="AJ206" s="289">
        <v>0</v>
      </c>
      <c r="AK206" s="289">
        <v>0</v>
      </c>
      <c r="AL206" s="289">
        <v>0</v>
      </c>
      <c r="AM206" s="836">
        <v>7.1943510000000002E-2</v>
      </c>
      <c r="AN206" s="289">
        <v>2534</v>
      </c>
      <c r="AO206" s="289">
        <v>195.38829620999999</v>
      </c>
      <c r="AP206" s="289">
        <v>0</v>
      </c>
      <c r="AQ206" s="289">
        <v>0</v>
      </c>
      <c r="AR206" s="289">
        <v>-243.56995710999999</v>
      </c>
      <c r="AS206" s="289"/>
      <c r="AT206" s="289">
        <v>248</v>
      </c>
      <c r="AU206" s="289">
        <v>24</v>
      </c>
      <c r="AV206" s="625">
        <v>139688</v>
      </c>
      <c r="AW206" s="289"/>
      <c r="AX206" s="625">
        <v>12.401666649999999</v>
      </c>
      <c r="AY206" s="289">
        <v>787</v>
      </c>
      <c r="AZ206" s="289">
        <v>252</v>
      </c>
      <c r="BA206" s="290">
        <v>97</v>
      </c>
      <c r="BB206" s="289">
        <v>0</v>
      </c>
      <c r="BC206" s="289">
        <v>1108.682798</v>
      </c>
      <c r="BD206" s="289">
        <v>71.999687759124811</v>
      </c>
      <c r="BE206" s="289">
        <v>144927.21057294999</v>
      </c>
      <c r="BF206" s="289">
        <v>0</v>
      </c>
      <c r="BG206" s="289">
        <v>-172.43870000000001</v>
      </c>
      <c r="BH206" s="289">
        <v>-12.920500000000001</v>
      </c>
      <c r="BI206" s="289">
        <v>1118.5074652999999</v>
      </c>
      <c r="BJ206" s="289">
        <v>0</v>
      </c>
      <c r="BK206" s="289">
        <v>0</v>
      </c>
      <c r="BL206" s="289">
        <v>0</v>
      </c>
      <c r="BM206" s="289">
        <v>0</v>
      </c>
      <c r="BN206" s="289">
        <v>403.44974487939169</v>
      </c>
      <c r="BO206" s="289">
        <v>201.57209404780824</v>
      </c>
      <c r="BP206" s="289">
        <v>414.3157996185605</v>
      </c>
      <c r="BQ206" s="289">
        <v>313.55120955587824</v>
      </c>
      <c r="BR206" s="289">
        <v>4.8799788370073491</v>
      </c>
      <c r="BS206" s="289">
        <v>1.158448450245547</v>
      </c>
      <c r="BT206" s="289">
        <v>0</v>
      </c>
      <c r="BU206" s="289">
        <v>0</v>
      </c>
      <c r="BV206" s="289">
        <v>21.982403751606252</v>
      </c>
      <c r="BW206" s="517"/>
      <c r="BX206" s="517"/>
      <c r="CA206" s="517"/>
      <c r="CB206" s="517"/>
    </row>
    <row r="207" spans="1:80" ht="13">
      <c r="A207" s="1">
        <v>3042</v>
      </c>
      <c r="B207" s="2" t="s">
        <v>877</v>
      </c>
      <c r="C207" s="289">
        <v>2481</v>
      </c>
      <c r="D207" s="289">
        <v>44</v>
      </c>
      <c r="E207" s="289">
        <v>102</v>
      </c>
      <c r="F207" s="289">
        <v>305</v>
      </c>
      <c r="G207" s="289">
        <v>213</v>
      </c>
      <c r="H207" s="289">
        <v>1434</v>
      </c>
      <c r="I207" s="289">
        <v>226</v>
      </c>
      <c r="J207" s="289">
        <v>98</v>
      </c>
      <c r="K207" s="289">
        <v>21</v>
      </c>
      <c r="L207" s="289">
        <v>14</v>
      </c>
      <c r="M207" s="289">
        <v>140</v>
      </c>
      <c r="N207" s="290">
        <v>21</v>
      </c>
      <c r="O207" s="290">
        <v>44</v>
      </c>
      <c r="P207" s="624">
        <v>9770.62066667</v>
      </c>
      <c r="Q207" s="624">
        <v>11666.77033333</v>
      </c>
      <c r="R207" s="624">
        <v>8</v>
      </c>
      <c r="S207" s="289"/>
      <c r="T207" s="289">
        <v>260</v>
      </c>
      <c r="U207" s="716">
        <v>1.6145029326221059E-3</v>
      </c>
      <c r="V207" s="289">
        <v>1088.9427445399999</v>
      </c>
      <c r="W207" s="743">
        <v>0.91633916000000004</v>
      </c>
      <c r="X207" s="289">
        <v>0</v>
      </c>
      <c r="Y207" s="289">
        <v>414.28399999999999</v>
      </c>
      <c r="Z207" s="289">
        <v>89794</v>
      </c>
      <c r="AA207" s="289">
        <v>0</v>
      </c>
      <c r="AB207" s="290">
        <v>34</v>
      </c>
      <c r="AC207" s="289">
        <v>0</v>
      </c>
      <c r="AD207" s="289">
        <v>0</v>
      </c>
      <c r="AE207" s="289">
        <v>263</v>
      </c>
      <c r="AF207" s="289">
        <v>0</v>
      </c>
      <c r="AG207" s="289">
        <v>2443</v>
      </c>
      <c r="AH207" s="289">
        <v>402.31380145999998</v>
      </c>
      <c r="AI207" s="289">
        <v>150</v>
      </c>
      <c r="AJ207" s="289">
        <v>0</v>
      </c>
      <c r="AK207" s="289">
        <v>0</v>
      </c>
      <c r="AL207" s="289">
        <v>0</v>
      </c>
      <c r="AM207" s="836">
        <v>5.8608059999999997E-2</v>
      </c>
      <c r="AN207" s="289">
        <v>0</v>
      </c>
      <c r="AO207" s="289">
        <v>103.89381167000001</v>
      </c>
      <c r="AP207" s="289">
        <v>0</v>
      </c>
      <c r="AQ207" s="289">
        <v>0</v>
      </c>
      <c r="AR207" s="289">
        <v>-130.03527212</v>
      </c>
      <c r="AS207" s="289"/>
      <c r="AT207" s="289">
        <v>117</v>
      </c>
      <c r="AU207" s="289">
        <v>18</v>
      </c>
      <c r="AV207" s="625">
        <v>73915</v>
      </c>
      <c r="AW207" s="289"/>
      <c r="AX207" s="625">
        <v>15.69333335</v>
      </c>
      <c r="AY207" s="289">
        <v>498</v>
      </c>
      <c r="AZ207" s="289">
        <v>168</v>
      </c>
      <c r="BA207" s="290">
        <v>54</v>
      </c>
      <c r="BB207" s="289">
        <v>2850</v>
      </c>
      <c r="BC207" s="289">
        <v>805.11459596999998</v>
      </c>
      <c r="BD207" s="289">
        <v>37.262940994236288</v>
      </c>
      <c r="BE207" s="289">
        <v>77981.640666299994</v>
      </c>
      <c r="BF207" s="289">
        <v>0</v>
      </c>
      <c r="BG207" s="289">
        <v>-107.4556</v>
      </c>
      <c r="BH207" s="289">
        <v>-6.8978999999999999</v>
      </c>
      <c r="BI207" s="289">
        <v>816.59780146000003</v>
      </c>
      <c r="BJ207" s="289">
        <v>0</v>
      </c>
      <c r="BK207" s="289">
        <v>0</v>
      </c>
      <c r="BL207" s="289">
        <v>0</v>
      </c>
      <c r="BM207" s="289">
        <v>0</v>
      </c>
      <c r="BN207" s="289">
        <v>167.95189763714865</v>
      </c>
      <c r="BO207" s="289">
        <v>123.77533136980132</v>
      </c>
      <c r="BP207" s="289">
        <v>221.19176102887749</v>
      </c>
      <c r="BQ207" s="289">
        <v>209.56248065434932</v>
      </c>
      <c r="BR207" s="289">
        <v>2.5255993340537932</v>
      </c>
      <c r="BS207" s="289">
        <v>0.80890738726515798</v>
      </c>
      <c r="BT207" s="289">
        <v>0</v>
      </c>
      <c r="BU207" s="289">
        <v>0</v>
      </c>
      <c r="BV207" s="289">
        <v>14.69197668686116</v>
      </c>
      <c r="BW207" s="517"/>
      <c r="BX207" s="517"/>
      <c r="CA207" s="517"/>
      <c r="CB207" s="517"/>
    </row>
    <row r="208" spans="1:80" ht="13">
      <c r="A208" s="1">
        <v>3043</v>
      </c>
      <c r="B208" s="2" t="s">
        <v>878</v>
      </c>
      <c r="C208" s="289">
        <v>4671</v>
      </c>
      <c r="D208" s="289">
        <v>72</v>
      </c>
      <c r="E208" s="289">
        <v>165</v>
      </c>
      <c r="F208" s="289">
        <v>589</v>
      </c>
      <c r="G208" s="289">
        <v>432</v>
      </c>
      <c r="H208" s="289">
        <v>2494</v>
      </c>
      <c r="I208" s="289">
        <v>593</v>
      </c>
      <c r="J208" s="289">
        <v>246</v>
      </c>
      <c r="K208" s="289">
        <v>71</v>
      </c>
      <c r="L208" s="289">
        <v>31</v>
      </c>
      <c r="M208" s="289">
        <v>413</v>
      </c>
      <c r="N208" s="290">
        <v>39</v>
      </c>
      <c r="O208" s="290">
        <v>45</v>
      </c>
      <c r="P208" s="624">
        <v>33461.163</v>
      </c>
      <c r="Q208" s="624">
        <v>18598.550999999999</v>
      </c>
      <c r="R208" s="624">
        <v>19</v>
      </c>
      <c r="S208" s="289"/>
      <c r="T208" s="289">
        <v>409</v>
      </c>
      <c r="U208" s="716">
        <v>3.5574440700933715E-3</v>
      </c>
      <c r="V208" s="289">
        <v>2076.82383368</v>
      </c>
      <c r="W208" s="743">
        <v>0.72456127000000004</v>
      </c>
      <c r="X208" s="289">
        <v>1350</v>
      </c>
      <c r="Y208" s="289">
        <v>828.56799999999998</v>
      </c>
      <c r="Z208" s="289">
        <v>146024</v>
      </c>
      <c r="AA208" s="289">
        <v>0</v>
      </c>
      <c r="AB208" s="290">
        <v>67</v>
      </c>
      <c r="AC208" s="289">
        <v>0</v>
      </c>
      <c r="AD208" s="289">
        <v>0</v>
      </c>
      <c r="AE208" s="289">
        <v>0</v>
      </c>
      <c r="AF208" s="289">
        <v>0</v>
      </c>
      <c r="AG208" s="289">
        <v>4662</v>
      </c>
      <c r="AH208" s="289">
        <v>754.42553410999994</v>
      </c>
      <c r="AI208" s="289">
        <v>1550</v>
      </c>
      <c r="AJ208" s="289">
        <v>0</v>
      </c>
      <c r="AK208" s="289">
        <v>0</v>
      </c>
      <c r="AL208" s="289">
        <v>0</v>
      </c>
      <c r="AM208" s="836">
        <v>2.637772E-2</v>
      </c>
      <c r="AN208" s="289">
        <v>3840</v>
      </c>
      <c r="AO208" s="289">
        <v>198.14553642000001</v>
      </c>
      <c r="AP208" s="289">
        <v>0</v>
      </c>
      <c r="AQ208" s="289">
        <v>0</v>
      </c>
      <c r="AR208" s="289">
        <v>3166.7773868499999</v>
      </c>
      <c r="AS208" s="289"/>
      <c r="AT208" s="289">
        <v>224</v>
      </c>
      <c r="AU208" s="289">
        <v>18</v>
      </c>
      <c r="AV208" s="625">
        <v>146044</v>
      </c>
      <c r="AW208" s="289"/>
      <c r="AX208" s="625">
        <v>29.3333333</v>
      </c>
      <c r="AY208" s="289">
        <v>941</v>
      </c>
      <c r="AZ208" s="289">
        <v>140</v>
      </c>
      <c r="BA208" s="290">
        <v>88</v>
      </c>
      <c r="BB208" s="289">
        <v>0</v>
      </c>
      <c r="BC208" s="289">
        <v>1166.45137376</v>
      </c>
      <c r="BD208" s="289">
        <v>57.413636273304675</v>
      </c>
      <c r="BE208" s="289">
        <v>147929.29640619</v>
      </c>
      <c r="BF208" s="289">
        <v>0</v>
      </c>
      <c r="BG208" s="289">
        <v>-194.52539999999999</v>
      </c>
      <c r="BH208" s="289">
        <v>-13.1633</v>
      </c>
      <c r="BI208" s="289">
        <v>1582.9935341099999</v>
      </c>
      <c r="BJ208" s="289">
        <v>0</v>
      </c>
      <c r="BK208" s="289">
        <v>0</v>
      </c>
      <c r="BL208" s="289">
        <v>0</v>
      </c>
      <c r="BM208" s="289">
        <v>0</v>
      </c>
      <c r="BN208" s="289">
        <v>395.97737324339892</v>
      </c>
      <c r="BO208" s="289">
        <v>217.42912284847162</v>
      </c>
      <c r="BP208" s="289">
        <v>422.10232906943384</v>
      </c>
      <c r="BQ208" s="289">
        <v>461.75624029811951</v>
      </c>
      <c r="BR208" s="289">
        <v>3.891368680746206</v>
      </c>
      <c r="BS208" s="289">
        <v>1.1970851732122219</v>
      </c>
      <c r="BT208" s="289">
        <v>0</v>
      </c>
      <c r="BU208" s="289">
        <v>0</v>
      </c>
      <c r="BV208" s="289">
        <v>32.372741037849671</v>
      </c>
      <c r="BW208" s="517"/>
      <c r="BX208" s="517"/>
      <c r="CA208" s="517"/>
      <c r="CB208" s="517"/>
    </row>
    <row r="209" spans="1:80" ht="13">
      <c r="A209" s="1">
        <v>3044</v>
      </c>
      <c r="B209" s="2" t="s">
        <v>880</v>
      </c>
      <c r="C209" s="289">
        <v>4473</v>
      </c>
      <c r="D209" s="289">
        <v>80</v>
      </c>
      <c r="E209" s="289">
        <v>154</v>
      </c>
      <c r="F209" s="289">
        <v>463</v>
      </c>
      <c r="G209" s="289">
        <v>341</v>
      </c>
      <c r="H209" s="289">
        <v>2580</v>
      </c>
      <c r="I209" s="289">
        <v>637</v>
      </c>
      <c r="J209" s="289">
        <v>183</v>
      </c>
      <c r="K209" s="289">
        <v>67</v>
      </c>
      <c r="L209" s="289">
        <v>32</v>
      </c>
      <c r="M209" s="289">
        <v>395</v>
      </c>
      <c r="N209" s="290">
        <v>56</v>
      </c>
      <c r="O209" s="290">
        <v>62</v>
      </c>
      <c r="P209" s="624">
        <v>32711.08</v>
      </c>
      <c r="Q209" s="624">
        <v>12954.721333330001</v>
      </c>
      <c r="R209" s="624">
        <v>13</v>
      </c>
      <c r="S209" s="289"/>
      <c r="T209" s="289">
        <v>433</v>
      </c>
      <c r="U209" s="716">
        <v>2.1802056678506799E-3</v>
      </c>
      <c r="V209" s="289">
        <v>1848.8992136899999</v>
      </c>
      <c r="W209" s="743">
        <v>0.77547765000000002</v>
      </c>
      <c r="X209" s="289">
        <v>0</v>
      </c>
      <c r="Y209" s="289">
        <v>414.28399999999999</v>
      </c>
      <c r="Z209" s="289">
        <v>199023</v>
      </c>
      <c r="AA209" s="289">
        <v>0</v>
      </c>
      <c r="AB209" s="290">
        <v>58</v>
      </c>
      <c r="AC209" s="289">
        <v>0</v>
      </c>
      <c r="AD209" s="289">
        <v>0</v>
      </c>
      <c r="AE209" s="289">
        <v>0</v>
      </c>
      <c r="AF209" s="289">
        <v>0</v>
      </c>
      <c r="AG209" s="289">
        <v>4505</v>
      </c>
      <c r="AH209" s="289">
        <v>626.13135824999995</v>
      </c>
      <c r="AI209" s="289">
        <v>150</v>
      </c>
      <c r="AJ209" s="289">
        <v>0</v>
      </c>
      <c r="AK209" s="289">
        <v>0</v>
      </c>
      <c r="AL209" s="289">
        <v>0</v>
      </c>
      <c r="AM209" s="836">
        <v>3.9740780000000003E-2</v>
      </c>
      <c r="AN209" s="289">
        <v>0</v>
      </c>
      <c r="AO209" s="289">
        <v>176.39971216999999</v>
      </c>
      <c r="AP209" s="289">
        <v>0</v>
      </c>
      <c r="AQ209" s="289">
        <v>0</v>
      </c>
      <c r="AR209" s="289">
        <v>-239.79079038</v>
      </c>
      <c r="AS209" s="289"/>
      <c r="AT209" s="289">
        <v>199</v>
      </c>
      <c r="AU209" s="289">
        <v>20</v>
      </c>
      <c r="AV209" s="625">
        <v>110325</v>
      </c>
      <c r="AW209" s="289"/>
      <c r="AX209" s="625">
        <v>22.286666700000001</v>
      </c>
      <c r="AY209" s="289">
        <v>858</v>
      </c>
      <c r="AZ209" s="289">
        <v>204</v>
      </c>
      <c r="BA209" s="290">
        <v>78</v>
      </c>
      <c r="BB209" s="289">
        <v>0</v>
      </c>
      <c r="BC209" s="289">
        <v>1020.3308586000001</v>
      </c>
      <c r="BD209" s="289">
        <v>60.580443011261309</v>
      </c>
      <c r="BE209" s="289">
        <v>116925.43572484</v>
      </c>
      <c r="BF209" s="289">
        <v>0</v>
      </c>
      <c r="BG209" s="289">
        <v>-158.23140000000001</v>
      </c>
      <c r="BH209" s="289">
        <v>-12.72</v>
      </c>
      <c r="BI209" s="289">
        <v>1040.4153582500001</v>
      </c>
      <c r="BJ209" s="289">
        <v>0</v>
      </c>
      <c r="BK209" s="289">
        <v>0</v>
      </c>
      <c r="BL209" s="289">
        <v>0</v>
      </c>
      <c r="BM209" s="289">
        <v>0</v>
      </c>
      <c r="BN209" s="289">
        <v>351.78240023405965</v>
      </c>
      <c r="BO209" s="289">
        <v>206.02592728821156</v>
      </c>
      <c r="BP209" s="289">
        <v>407.88738576958377</v>
      </c>
      <c r="BQ209" s="289">
        <v>282.99069568701816</v>
      </c>
      <c r="BR209" s="289">
        <v>4.106007804096599</v>
      </c>
      <c r="BS209" s="289">
        <v>1.1798382441794464</v>
      </c>
      <c r="BT209" s="289">
        <v>0</v>
      </c>
      <c r="BU209" s="289">
        <v>0</v>
      </c>
      <c r="BV209" s="289">
        <v>19.839871577441183</v>
      </c>
      <c r="BW209" s="517"/>
      <c r="BX209" s="517"/>
      <c r="CA209" s="517"/>
      <c r="CB209" s="517"/>
    </row>
    <row r="210" spans="1:80" ht="13">
      <c r="A210" s="1">
        <v>3045</v>
      </c>
      <c r="B210" s="2" t="s">
        <v>881</v>
      </c>
      <c r="C210" s="289">
        <v>3490</v>
      </c>
      <c r="D210" s="289">
        <v>63</v>
      </c>
      <c r="E210" s="289">
        <v>117</v>
      </c>
      <c r="F210" s="289">
        <v>407</v>
      </c>
      <c r="G210" s="289">
        <v>302</v>
      </c>
      <c r="H210" s="289">
        <v>1919</v>
      </c>
      <c r="I210" s="289">
        <v>494</v>
      </c>
      <c r="J210" s="289">
        <v>155</v>
      </c>
      <c r="K210" s="289">
        <v>50</v>
      </c>
      <c r="L210" s="289">
        <v>37</v>
      </c>
      <c r="M210" s="289">
        <v>358</v>
      </c>
      <c r="N210" s="290">
        <v>6</v>
      </c>
      <c r="O210" s="290">
        <v>42</v>
      </c>
      <c r="P210" s="624">
        <v>49900.275333329999</v>
      </c>
      <c r="Q210" s="624">
        <v>13016.364</v>
      </c>
      <c r="R210" s="624">
        <v>17</v>
      </c>
      <c r="S210" s="289"/>
      <c r="T210" s="289">
        <v>288</v>
      </c>
      <c r="U210" s="716">
        <v>3.6938761913545581E-3</v>
      </c>
      <c r="V210" s="289">
        <v>1608.67485635</v>
      </c>
      <c r="W210" s="743">
        <v>0.86565625000000002</v>
      </c>
      <c r="X210" s="289">
        <v>1250</v>
      </c>
      <c r="Y210" s="289">
        <v>0</v>
      </c>
      <c r="Z210" s="289">
        <v>106548</v>
      </c>
      <c r="AA210" s="289">
        <v>0</v>
      </c>
      <c r="AB210" s="290">
        <v>49</v>
      </c>
      <c r="AC210" s="289">
        <v>0</v>
      </c>
      <c r="AD210" s="289">
        <v>0</v>
      </c>
      <c r="AE210" s="289">
        <v>0</v>
      </c>
      <c r="AF210" s="289">
        <v>0</v>
      </c>
      <c r="AG210" s="289">
        <v>3507</v>
      </c>
      <c r="AH210" s="289">
        <v>546.64474929999994</v>
      </c>
      <c r="AI210" s="289">
        <v>150</v>
      </c>
      <c r="AJ210" s="289">
        <v>0</v>
      </c>
      <c r="AK210" s="289">
        <v>0</v>
      </c>
      <c r="AL210" s="289">
        <v>0</v>
      </c>
      <c r="AM210" s="836">
        <v>3.7023399999999998E-2</v>
      </c>
      <c r="AN210" s="289">
        <v>0</v>
      </c>
      <c r="AO210" s="289">
        <v>153.48039499999999</v>
      </c>
      <c r="AP210" s="289">
        <v>0</v>
      </c>
      <c r="AQ210" s="289">
        <v>0</v>
      </c>
      <c r="AR210" s="289">
        <v>-186.66954537000001</v>
      </c>
      <c r="AS210" s="289"/>
      <c r="AT210" s="289">
        <v>207</v>
      </c>
      <c r="AU210" s="289">
        <v>16</v>
      </c>
      <c r="AV210" s="625">
        <v>110681</v>
      </c>
      <c r="AW210" s="289"/>
      <c r="AX210" s="625">
        <v>11.00666665</v>
      </c>
      <c r="AY210" s="289">
        <v>468</v>
      </c>
      <c r="AZ210" s="289">
        <v>136</v>
      </c>
      <c r="BA210" s="290">
        <v>54</v>
      </c>
      <c r="BB210" s="289">
        <v>0</v>
      </c>
      <c r="BC210" s="289">
        <v>533.50978788999998</v>
      </c>
      <c r="BD210" s="289">
        <v>41.159887203684917</v>
      </c>
      <c r="BE210" s="289">
        <v>114005.14776747</v>
      </c>
      <c r="BF210" s="289">
        <v>0</v>
      </c>
      <c r="BG210" s="289">
        <v>-143.9974</v>
      </c>
      <c r="BH210" s="289">
        <v>-9.9021000000000008</v>
      </c>
      <c r="BI210" s="289">
        <v>546.64474929999994</v>
      </c>
      <c r="BJ210" s="289">
        <v>0</v>
      </c>
      <c r="BK210" s="289">
        <v>0</v>
      </c>
      <c r="BL210" s="289">
        <v>0</v>
      </c>
      <c r="BM210" s="289">
        <v>0</v>
      </c>
      <c r="BN210" s="289">
        <v>323.58253203228685</v>
      </c>
      <c r="BO210" s="289">
        <v>180.27002182797128</v>
      </c>
      <c r="BP210" s="289">
        <v>317.52742772340292</v>
      </c>
      <c r="BQ210" s="289">
        <v>479.46512963782158</v>
      </c>
      <c r="BR210" s="289">
        <v>2.7897256882497548</v>
      </c>
      <c r="BS210" s="289">
        <v>1.006363444969562</v>
      </c>
      <c r="BT210" s="289">
        <v>0</v>
      </c>
      <c r="BU210" s="289">
        <v>0</v>
      </c>
      <c r="BV210" s="289">
        <v>33.614273341326474</v>
      </c>
      <c r="BW210" s="517"/>
      <c r="BX210" s="517"/>
      <c r="CA210" s="517"/>
      <c r="CB210" s="517"/>
    </row>
    <row r="211" spans="1:80" ht="13">
      <c r="A211" s="1">
        <v>3046</v>
      </c>
      <c r="B211" s="2" t="s">
        <v>882</v>
      </c>
      <c r="C211" s="289">
        <v>2239</v>
      </c>
      <c r="D211" s="289">
        <v>44</v>
      </c>
      <c r="E211" s="289">
        <v>114</v>
      </c>
      <c r="F211" s="289">
        <v>249</v>
      </c>
      <c r="G211" s="289">
        <v>139</v>
      </c>
      <c r="H211" s="289">
        <v>1298</v>
      </c>
      <c r="I211" s="289">
        <v>303</v>
      </c>
      <c r="J211" s="289">
        <v>88</v>
      </c>
      <c r="K211" s="289">
        <v>26</v>
      </c>
      <c r="L211" s="289">
        <v>20</v>
      </c>
      <c r="M211" s="289">
        <v>199</v>
      </c>
      <c r="N211" s="290">
        <v>9</v>
      </c>
      <c r="O211" s="290">
        <v>28</v>
      </c>
      <c r="P211" s="624">
        <v>25672.117666670001</v>
      </c>
      <c r="Q211" s="624">
        <v>9651.9216666699995</v>
      </c>
      <c r="R211" s="624">
        <v>13</v>
      </c>
      <c r="S211" s="289"/>
      <c r="T211" s="289">
        <v>222</v>
      </c>
      <c r="U211" s="716">
        <v>1.2437061667351873E-3</v>
      </c>
      <c r="V211" s="289">
        <v>1080.2897613</v>
      </c>
      <c r="W211" s="743">
        <v>0.86209579999999997</v>
      </c>
      <c r="X211" s="289">
        <v>1000</v>
      </c>
      <c r="Y211" s="289">
        <v>0</v>
      </c>
      <c r="Z211" s="289">
        <v>75843</v>
      </c>
      <c r="AA211" s="289">
        <v>0</v>
      </c>
      <c r="AB211" s="290">
        <v>38</v>
      </c>
      <c r="AC211" s="289">
        <v>0</v>
      </c>
      <c r="AD211" s="289">
        <v>0</v>
      </c>
      <c r="AE211" s="289">
        <v>0</v>
      </c>
      <c r="AF211" s="289">
        <v>0</v>
      </c>
      <c r="AG211" s="289">
        <v>2261</v>
      </c>
      <c r="AH211" s="289">
        <v>343.74472118</v>
      </c>
      <c r="AI211" s="289">
        <v>450</v>
      </c>
      <c r="AJ211" s="289">
        <v>0</v>
      </c>
      <c r="AK211" s="289">
        <v>0</v>
      </c>
      <c r="AL211" s="289">
        <v>0</v>
      </c>
      <c r="AM211" s="836">
        <v>3.3837829999999999E-2</v>
      </c>
      <c r="AN211" s="289">
        <v>0</v>
      </c>
      <c r="AO211" s="289">
        <v>103.06824815</v>
      </c>
      <c r="AP211" s="289">
        <v>0</v>
      </c>
      <c r="AQ211" s="289">
        <v>0</v>
      </c>
      <c r="AR211" s="289">
        <v>-120.34783065000001</v>
      </c>
      <c r="AS211" s="289"/>
      <c r="AT211" s="289">
        <v>129</v>
      </c>
      <c r="AU211" s="289">
        <v>17</v>
      </c>
      <c r="AV211" s="625">
        <v>74816</v>
      </c>
      <c r="AW211" s="289"/>
      <c r="AX211" s="625">
        <v>10.566666700000001</v>
      </c>
      <c r="AY211" s="289">
        <v>385</v>
      </c>
      <c r="AZ211" s="289">
        <v>80</v>
      </c>
      <c r="BA211" s="290">
        <v>39</v>
      </c>
      <c r="BB211" s="289">
        <v>2850</v>
      </c>
      <c r="BC211" s="289">
        <v>330.75341415000003</v>
      </c>
      <c r="BD211" s="289">
        <v>30.856187700921481</v>
      </c>
      <c r="BE211" s="289">
        <v>82141.004235440007</v>
      </c>
      <c r="BF211" s="289">
        <v>0</v>
      </c>
      <c r="BG211" s="289">
        <v>-91.238</v>
      </c>
      <c r="BH211" s="289">
        <v>-6.3840000000000003</v>
      </c>
      <c r="BI211" s="289">
        <v>343.74472118</v>
      </c>
      <c r="BJ211" s="289">
        <v>0</v>
      </c>
      <c r="BK211" s="289">
        <v>0</v>
      </c>
      <c r="BL211" s="289">
        <v>0</v>
      </c>
      <c r="BM211" s="289">
        <v>0</v>
      </c>
      <c r="BN211" s="289">
        <v>198.57983902500209</v>
      </c>
      <c r="BO211" s="289">
        <v>123.00286622970285</v>
      </c>
      <c r="BP211" s="289">
        <v>204.71329172586655</v>
      </c>
      <c r="BQ211" s="289">
        <v>161.43306044222729</v>
      </c>
      <c r="BR211" s="289">
        <v>2.0913638330624558</v>
      </c>
      <c r="BS211" s="289">
        <v>0.75101222621995689</v>
      </c>
      <c r="BT211" s="289">
        <v>0</v>
      </c>
      <c r="BU211" s="289">
        <v>0</v>
      </c>
      <c r="BV211" s="289">
        <v>11.317726117290203</v>
      </c>
      <c r="BW211" s="517"/>
      <c r="BX211" s="517"/>
      <c r="CA211" s="517"/>
      <c r="CB211" s="517"/>
    </row>
    <row r="212" spans="1:80" ht="13">
      <c r="A212" s="1">
        <v>3047</v>
      </c>
      <c r="B212" s="2" t="s">
        <v>883</v>
      </c>
      <c r="C212" s="289">
        <v>13980</v>
      </c>
      <c r="D212" s="289">
        <v>252</v>
      </c>
      <c r="E212" s="289">
        <v>602</v>
      </c>
      <c r="F212" s="289">
        <v>1604</v>
      </c>
      <c r="G212" s="289">
        <v>1104</v>
      </c>
      <c r="H212" s="289">
        <v>7919</v>
      </c>
      <c r="I212" s="289">
        <v>1784</v>
      </c>
      <c r="J212" s="289">
        <v>553</v>
      </c>
      <c r="K212" s="289">
        <v>127</v>
      </c>
      <c r="L212" s="289">
        <v>109</v>
      </c>
      <c r="M212" s="289">
        <v>1119</v>
      </c>
      <c r="N212" s="290">
        <v>282</v>
      </c>
      <c r="O212" s="290">
        <v>136</v>
      </c>
      <c r="P212" s="624">
        <v>47230.951333329998</v>
      </c>
      <c r="Q212" s="624">
        <v>27285.051666669999</v>
      </c>
      <c r="R212" s="624">
        <v>63</v>
      </c>
      <c r="S212" s="289"/>
      <c r="T212" s="289">
        <v>1298</v>
      </c>
      <c r="U212" s="716">
        <v>4.9410510742254055E-3</v>
      </c>
      <c r="V212" s="289">
        <v>5338.9288202199996</v>
      </c>
      <c r="W212" s="743">
        <v>0.58603448000000002</v>
      </c>
      <c r="X212" s="289">
        <v>2250</v>
      </c>
      <c r="Y212" s="289">
        <v>414.28399999999999</v>
      </c>
      <c r="Z212" s="289">
        <v>389481</v>
      </c>
      <c r="AA212" s="289">
        <v>0</v>
      </c>
      <c r="AB212" s="290">
        <v>320</v>
      </c>
      <c r="AC212" s="289">
        <v>0</v>
      </c>
      <c r="AD212" s="289">
        <v>0</v>
      </c>
      <c r="AE212" s="289">
        <v>0</v>
      </c>
      <c r="AF212" s="289">
        <v>0</v>
      </c>
      <c r="AG212" s="289">
        <v>13945</v>
      </c>
      <c r="AH212" s="289">
        <v>2170.5422252100002</v>
      </c>
      <c r="AI212" s="289">
        <v>400</v>
      </c>
      <c r="AJ212" s="289">
        <v>0</v>
      </c>
      <c r="AK212" s="289">
        <v>0</v>
      </c>
      <c r="AL212" s="289">
        <v>0</v>
      </c>
      <c r="AM212" s="836">
        <v>0.51615902999999996</v>
      </c>
      <c r="AN212" s="289">
        <v>0</v>
      </c>
      <c r="AO212" s="289">
        <v>545.86034199999995</v>
      </c>
      <c r="AP212" s="289">
        <v>0</v>
      </c>
      <c r="AQ212" s="289">
        <v>0</v>
      </c>
      <c r="AR212" s="289">
        <v>-742.26028233</v>
      </c>
      <c r="AS212" s="289"/>
      <c r="AT212" s="289">
        <v>913</v>
      </c>
      <c r="AU212" s="289">
        <v>146</v>
      </c>
      <c r="AV212" s="625">
        <v>341929</v>
      </c>
      <c r="AW212" s="289"/>
      <c r="AX212" s="625">
        <v>84.073333300000002</v>
      </c>
      <c r="AY212" s="289">
        <v>2337</v>
      </c>
      <c r="AZ212" s="289">
        <v>746</v>
      </c>
      <c r="BA212" s="290">
        <v>328</v>
      </c>
      <c r="BB212" s="289">
        <v>0</v>
      </c>
      <c r="BC212" s="289">
        <v>2504.1903535900001</v>
      </c>
      <c r="BD212" s="289">
        <v>239.17425809177533</v>
      </c>
      <c r="BE212" s="289">
        <v>362928.99970341998</v>
      </c>
      <c r="BF212" s="289">
        <v>0</v>
      </c>
      <c r="BG212" s="289">
        <v>-500.83499999999998</v>
      </c>
      <c r="BH212" s="289">
        <v>-39.374099999999999</v>
      </c>
      <c r="BI212" s="289">
        <v>2584.8262252099998</v>
      </c>
      <c r="BJ212" s="289">
        <v>0</v>
      </c>
      <c r="BK212" s="289">
        <v>0</v>
      </c>
      <c r="BL212" s="289">
        <v>0</v>
      </c>
      <c r="BM212" s="289">
        <v>0</v>
      </c>
      <c r="BN212" s="289">
        <v>1018.38177836674</v>
      </c>
      <c r="BO212" s="289">
        <v>543.85701873716698</v>
      </c>
      <c r="BP212" s="289">
        <v>1262.5948045631176</v>
      </c>
      <c r="BQ212" s="289">
        <v>641.34842943445756</v>
      </c>
      <c r="BR212" s="289">
        <v>16.210699715109218</v>
      </c>
      <c r="BS212" s="289">
        <v>3.0521423449631389</v>
      </c>
      <c r="BT212" s="289">
        <v>0</v>
      </c>
      <c r="BU212" s="289">
        <v>0</v>
      </c>
      <c r="BV212" s="289">
        <v>44.963564775451175</v>
      </c>
      <c r="BW212" s="517"/>
      <c r="BX212" s="517"/>
      <c r="CA212" s="517"/>
      <c r="CB212" s="517"/>
    </row>
    <row r="213" spans="1:80" ht="13">
      <c r="A213" s="1">
        <v>3048</v>
      </c>
      <c r="B213" s="2" t="s">
        <v>884</v>
      </c>
      <c r="C213" s="289">
        <v>19117</v>
      </c>
      <c r="D213" s="289">
        <v>391</v>
      </c>
      <c r="E213" s="289">
        <v>906</v>
      </c>
      <c r="F213" s="289">
        <v>2302</v>
      </c>
      <c r="G213" s="289">
        <v>1587</v>
      </c>
      <c r="H213" s="289">
        <v>10915</v>
      </c>
      <c r="I213" s="289">
        <v>2087</v>
      </c>
      <c r="J213" s="289">
        <v>675</v>
      </c>
      <c r="K213" s="289">
        <v>164</v>
      </c>
      <c r="L213" s="289">
        <v>148</v>
      </c>
      <c r="M213" s="289">
        <v>1233</v>
      </c>
      <c r="N213" s="290">
        <v>407</v>
      </c>
      <c r="O213" s="290">
        <v>201</v>
      </c>
      <c r="P213" s="624">
        <v>52766.050666670002</v>
      </c>
      <c r="Q213" s="624">
        <v>34625.127999999997</v>
      </c>
      <c r="R213" s="624">
        <v>72</v>
      </c>
      <c r="S213" s="289"/>
      <c r="T213" s="289">
        <v>1390</v>
      </c>
      <c r="U213" s="716">
        <v>4.5431098823968293E-3</v>
      </c>
      <c r="V213" s="289">
        <v>3009.01710465</v>
      </c>
      <c r="W213" s="743">
        <v>0.57181212999999997</v>
      </c>
      <c r="X213" s="289">
        <v>3000</v>
      </c>
      <c r="Y213" s="289">
        <v>414.28399999999999</v>
      </c>
      <c r="Z213" s="289">
        <v>555986</v>
      </c>
      <c r="AA213" s="289">
        <v>0</v>
      </c>
      <c r="AB213" s="290">
        <v>411</v>
      </c>
      <c r="AC213" s="289">
        <v>0</v>
      </c>
      <c r="AD213" s="289">
        <v>0</v>
      </c>
      <c r="AE213" s="289">
        <v>2369</v>
      </c>
      <c r="AF213" s="289">
        <v>0</v>
      </c>
      <c r="AG213" s="289">
        <v>19027</v>
      </c>
      <c r="AH213" s="289">
        <v>3150.1798180300002</v>
      </c>
      <c r="AI213" s="289">
        <v>300</v>
      </c>
      <c r="AJ213" s="289">
        <v>0</v>
      </c>
      <c r="AK213" s="289">
        <v>0</v>
      </c>
      <c r="AL213" s="289">
        <v>0</v>
      </c>
      <c r="AM213" s="836">
        <v>0.49485792000000001</v>
      </c>
      <c r="AN213" s="289">
        <v>0</v>
      </c>
      <c r="AO213" s="289">
        <v>724.89227127000004</v>
      </c>
      <c r="AP213" s="289">
        <v>0</v>
      </c>
      <c r="AQ213" s="289">
        <v>0</v>
      </c>
      <c r="AR213" s="289">
        <v>-1012.76345586</v>
      </c>
      <c r="AS213" s="289"/>
      <c r="AT213" s="289">
        <v>1138</v>
      </c>
      <c r="AU213" s="289">
        <v>220</v>
      </c>
      <c r="AV213" s="625">
        <v>436506</v>
      </c>
      <c r="AW213" s="289"/>
      <c r="AX213" s="625">
        <v>126.08</v>
      </c>
      <c r="AY213" s="289">
        <v>3626</v>
      </c>
      <c r="AZ213" s="289">
        <v>708</v>
      </c>
      <c r="BA213" s="290">
        <v>444</v>
      </c>
      <c r="BB213" s="289">
        <v>0</v>
      </c>
      <c r="BC213" s="289">
        <v>3433.0184344200002</v>
      </c>
      <c r="BD213" s="289">
        <v>285.05987450775285</v>
      </c>
      <c r="BE213" s="289">
        <v>466377.43058687</v>
      </c>
      <c r="BF213" s="289">
        <v>0</v>
      </c>
      <c r="BG213" s="289">
        <v>-712.32169999999996</v>
      </c>
      <c r="BH213" s="289">
        <v>-53.723199999999999</v>
      </c>
      <c r="BI213" s="289">
        <v>3564.4638180299999</v>
      </c>
      <c r="BJ213" s="289">
        <v>0</v>
      </c>
      <c r="BK213" s="289">
        <v>0</v>
      </c>
      <c r="BL213" s="289">
        <v>0</v>
      </c>
      <c r="BM213" s="289">
        <v>0</v>
      </c>
      <c r="BN213" s="289">
        <v>1252.3110700392499</v>
      </c>
      <c r="BO213" s="289">
        <v>711.96686875442219</v>
      </c>
      <c r="BP213" s="289">
        <v>1722.7243704856537</v>
      </c>
      <c r="BQ213" s="289">
        <v>589.69566273510827</v>
      </c>
      <c r="BR213" s="289">
        <v>19.320724827747689</v>
      </c>
      <c r="BS213" s="289">
        <v>4.0987941181914067</v>
      </c>
      <c r="BT213" s="289">
        <v>0</v>
      </c>
      <c r="BU213" s="289">
        <v>0</v>
      </c>
      <c r="BV213" s="289">
        <v>41.342299929811134</v>
      </c>
      <c r="BW213" s="517"/>
      <c r="BX213" s="517"/>
      <c r="CA213" s="517"/>
      <c r="CB213" s="517"/>
    </row>
    <row r="214" spans="1:80" ht="13">
      <c r="A214" s="1">
        <v>3049</v>
      </c>
      <c r="B214" s="2" t="s">
        <v>886</v>
      </c>
      <c r="C214" s="289">
        <v>26373</v>
      </c>
      <c r="D214" s="289">
        <v>545</v>
      </c>
      <c r="E214" s="289">
        <v>1262</v>
      </c>
      <c r="F214" s="289">
        <v>3473</v>
      </c>
      <c r="G214" s="289">
        <v>2198</v>
      </c>
      <c r="H214" s="289">
        <v>14915</v>
      </c>
      <c r="I214" s="289">
        <v>2834</v>
      </c>
      <c r="J214" s="289">
        <v>757</v>
      </c>
      <c r="K214" s="289">
        <v>168</v>
      </c>
      <c r="L214" s="289">
        <v>203</v>
      </c>
      <c r="M214" s="289">
        <v>1529</v>
      </c>
      <c r="N214" s="290">
        <v>873</v>
      </c>
      <c r="O214" s="290">
        <v>258</v>
      </c>
      <c r="P214" s="624">
        <v>57787.848666669997</v>
      </c>
      <c r="Q214" s="624">
        <v>35256.424333329996</v>
      </c>
      <c r="R214" s="624">
        <v>103</v>
      </c>
      <c r="S214" s="289"/>
      <c r="T214" s="289">
        <v>1842</v>
      </c>
      <c r="U214" s="716">
        <v>3.7520150957587499E-3</v>
      </c>
      <c r="V214" s="289">
        <v>7646.4617557000001</v>
      </c>
      <c r="W214" s="743">
        <v>0.56494416000000003</v>
      </c>
      <c r="X214" s="289">
        <v>2750</v>
      </c>
      <c r="Y214" s="289">
        <v>669.22799999999995</v>
      </c>
      <c r="Z214" s="289">
        <v>925263</v>
      </c>
      <c r="AA214" s="289">
        <v>0</v>
      </c>
      <c r="AB214" s="290">
        <v>377</v>
      </c>
      <c r="AC214" s="289">
        <v>0</v>
      </c>
      <c r="AD214" s="289">
        <v>0</v>
      </c>
      <c r="AE214" s="289">
        <v>0</v>
      </c>
      <c r="AF214" s="289">
        <v>0</v>
      </c>
      <c r="AG214" s="289">
        <v>26152</v>
      </c>
      <c r="AH214" s="289">
        <v>4594.8837983200001</v>
      </c>
      <c r="AI214" s="289">
        <v>0</v>
      </c>
      <c r="AJ214" s="289">
        <v>0</v>
      </c>
      <c r="AK214" s="289">
        <v>0</v>
      </c>
      <c r="AL214" s="289">
        <v>0</v>
      </c>
      <c r="AM214" s="836">
        <v>0.68064252999999997</v>
      </c>
      <c r="AN214" s="289">
        <v>0</v>
      </c>
      <c r="AO214" s="289">
        <v>994.04240167</v>
      </c>
      <c r="AP214" s="289">
        <v>0</v>
      </c>
      <c r="AQ214" s="289">
        <v>0</v>
      </c>
      <c r="AR214" s="289">
        <v>-1392.0108213399999</v>
      </c>
      <c r="AS214" s="289"/>
      <c r="AT214" s="289">
        <v>1538</v>
      </c>
      <c r="AU214" s="289">
        <v>254</v>
      </c>
      <c r="AV214" s="625">
        <v>606632</v>
      </c>
      <c r="AW214" s="289"/>
      <c r="AX214" s="625">
        <v>186.59333330000001</v>
      </c>
      <c r="AY214" s="289">
        <v>6819</v>
      </c>
      <c r="AZ214" s="289">
        <v>1176</v>
      </c>
      <c r="BA214" s="290">
        <v>539</v>
      </c>
      <c r="BB214" s="289">
        <v>0</v>
      </c>
      <c r="BC214" s="289">
        <v>5095.7821819199999</v>
      </c>
      <c r="BD214" s="289">
        <v>395.15290950947298</v>
      </c>
      <c r="BE214" s="289">
        <v>637161.82583127997</v>
      </c>
      <c r="BF214" s="289">
        <v>0</v>
      </c>
      <c r="BG214" s="289">
        <v>-1056.2080000000001</v>
      </c>
      <c r="BH214" s="289">
        <v>-73.840800000000002</v>
      </c>
      <c r="BI214" s="289">
        <v>5264.1117983200002</v>
      </c>
      <c r="BJ214" s="289">
        <v>0</v>
      </c>
      <c r="BK214" s="289">
        <v>0</v>
      </c>
      <c r="BL214" s="289">
        <v>0</v>
      </c>
      <c r="BM214" s="289">
        <v>0</v>
      </c>
      <c r="BN214" s="289">
        <v>1584.152620963685</v>
      </c>
      <c r="BO214" s="289">
        <v>949.41028912268939</v>
      </c>
      <c r="BP214" s="289">
        <v>2367.8292813864937</v>
      </c>
      <c r="BQ214" s="289">
        <v>487.01155942948571</v>
      </c>
      <c r="BR214" s="289">
        <v>26.782586088975393</v>
      </c>
      <c r="BS214" s="289">
        <v>5.5603238277448126</v>
      </c>
      <c r="BT214" s="289">
        <v>0</v>
      </c>
      <c r="BU214" s="289">
        <v>0</v>
      </c>
      <c r="BV214" s="289">
        <v>34.14333737140462</v>
      </c>
      <c r="BW214" s="517"/>
      <c r="BX214" s="517"/>
      <c r="CA214" s="517"/>
      <c r="CB214" s="517"/>
    </row>
    <row r="215" spans="1:80" ht="13">
      <c r="A215" s="1">
        <v>3050</v>
      </c>
      <c r="B215" s="2" t="s">
        <v>889</v>
      </c>
      <c r="C215" s="289">
        <v>2694</v>
      </c>
      <c r="D215" s="289">
        <v>54</v>
      </c>
      <c r="E215" s="289">
        <v>120</v>
      </c>
      <c r="F215" s="289">
        <v>321</v>
      </c>
      <c r="G215" s="289">
        <v>238</v>
      </c>
      <c r="H215" s="289">
        <v>1472</v>
      </c>
      <c r="I215" s="289">
        <v>366</v>
      </c>
      <c r="J215" s="289">
        <v>112</v>
      </c>
      <c r="K215" s="289">
        <v>24</v>
      </c>
      <c r="L215" s="289">
        <v>20</v>
      </c>
      <c r="M215" s="289">
        <v>211</v>
      </c>
      <c r="N215" s="290">
        <v>13</v>
      </c>
      <c r="O215" s="290">
        <v>31</v>
      </c>
      <c r="P215" s="624">
        <v>21655.117333329999</v>
      </c>
      <c r="Q215" s="624">
        <v>15746.40633333</v>
      </c>
      <c r="R215" s="624">
        <v>10</v>
      </c>
      <c r="S215" s="289"/>
      <c r="T215" s="289">
        <v>198</v>
      </c>
      <c r="U215" s="716">
        <v>1.6302362808005529E-3</v>
      </c>
      <c r="V215" s="289">
        <v>1032.15042666</v>
      </c>
      <c r="W215" s="743">
        <v>0.80775516999999997</v>
      </c>
      <c r="X215" s="289">
        <v>1250</v>
      </c>
      <c r="Y215" s="289">
        <v>414.28399999999999</v>
      </c>
      <c r="Z215" s="289">
        <v>84542</v>
      </c>
      <c r="AA215" s="289">
        <v>0</v>
      </c>
      <c r="AB215" s="290">
        <v>49</v>
      </c>
      <c r="AC215" s="289">
        <v>0</v>
      </c>
      <c r="AD215" s="289">
        <v>0</v>
      </c>
      <c r="AE215" s="289">
        <v>0</v>
      </c>
      <c r="AF215" s="289">
        <v>0</v>
      </c>
      <c r="AG215" s="289">
        <v>2707</v>
      </c>
      <c r="AH215" s="289">
        <v>449.02961549999998</v>
      </c>
      <c r="AI215" s="289">
        <v>250</v>
      </c>
      <c r="AJ215" s="289">
        <v>0</v>
      </c>
      <c r="AK215" s="289">
        <v>0</v>
      </c>
      <c r="AL215" s="289">
        <v>0</v>
      </c>
      <c r="AM215" s="836">
        <v>5.3652810000000002E-2</v>
      </c>
      <c r="AN215" s="289">
        <v>0</v>
      </c>
      <c r="AO215" s="289">
        <v>116.71737515</v>
      </c>
      <c r="AP215" s="289">
        <v>0</v>
      </c>
      <c r="AQ215" s="289">
        <v>0</v>
      </c>
      <c r="AR215" s="289">
        <v>4263.6797860500001</v>
      </c>
      <c r="AS215" s="289"/>
      <c r="AT215" s="289">
        <v>142</v>
      </c>
      <c r="AU215" s="289">
        <v>14</v>
      </c>
      <c r="AV215" s="625">
        <v>90083</v>
      </c>
      <c r="AW215" s="289"/>
      <c r="AX215" s="625">
        <v>13.0266667</v>
      </c>
      <c r="AY215" s="289">
        <v>421</v>
      </c>
      <c r="AZ215" s="289">
        <v>195</v>
      </c>
      <c r="BA215" s="290">
        <v>61</v>
      </c>
      <c r="BB215" s="289">
        <v>2850</v>
      </c>
      <c r="BC215" s="289">
        <v>842.49426263999999</v>
      </c>
      <c r="BD215" s="289">
        <v>33.958204142762455</v>
      </c>
      <c r="BE215" s="289">
        <v>88999.554102540002</v>
      </c>
      <c r="BF215" s="289">
        <v>0</v>
      </c>
      <c r="BG215" s="289">
        <v>-113.4443</v>
      </c>
      <c r="BH215" s="289">
        <v>-7.6433</v>
      </c>
      <c r="BI215" s="289">
        <v>863.31361549999997</v>
      </c>
      <c r="BJ215" s="289">
        <v>0</v>
      </c>
      <c r="BK215" s="289">
        <v>0</v>
      </c>
      <c r="BL215" s="289">
        <v>0</v>
      </c>
      <c r="BM215" s="289">
        <v>0</v>
      </c>
      <c r="BN215" s="289">
        <v>209.61879853036257</v>
      </c>
      <c r="BO215" s="289">
        <v>141.35714643507171</v>
      </c>
      <c r="BP215" s="289">
        <v>245.09459562225598</v>
      </c>
      <c r="BQ215" s="289">
        <v>211.60466924791172</v>
      </c>
      <c r="BR215" s="289">
        <v>2.3016116141205667</v>
      </c>
      <c r="BS215" s="289">
        <v>0.8243754005046362</v>
      </c>
      <c r="BT215" s="289">
        <v>0</v>
      </c>
      <c r="BU215" s="289">
        <v>0</v>
      </c>
      <c r="BV215" s="289">
        <v>14.835150155285024</v>
      </c>
      <c r="BW215" s="517"/>
      <c r="BX215" s="517"/>
      <c r="CA215" s="517"/>
      <c r="CB215" s="517"/>
    </row>
    <row r="216" spans="1:80" ht="13">
      <c r="A216" s="1">
        <v>3051</v>
      </c>
      <c r="B216" s="2" t="s">
        <v>890</v>
      </c>
      <c r="C216" s="289">
        <v>1419</v>
      </c>
      <c r="D216" s="289">
        <v>34</v>
      </c>
      <c r="E216" s="289">
        <v>63</v>
      </c>
      <c r="F216" s="289">
        <v>119</v>
      </c>
      <c r="G216" s="289">
        <v>144</v>
      </c>
      <c r="H216" s="289">
        <v>761</v>
      </c>
      <c r="I216" s="289">
        <v>209</v>
      </c>
      <c r="J216" s="289">
        <v>79</v>
      </c>
      <c r="K216" s="289">
        <v>26</v>
      </c>
      <c r="L216" s="289">
        <v>9</v>
      </c>
      <c r="M216" s="289">
        <v>137</v>
      </c>
      <c r="N216" s="290">
        <v>12</v>
      </c>
      <c r="O216" s="290">
        <v>10</v>
      </c>
      <c r="P216" s="624">
        <v>11400.01466667</v>
      </c>
      <c r="Q216" s="624">
        <v>4690.5326666700003</v>
      </c>
      <c r="R216" s="624">
        <v>14</v>
      </c>
      <c r="S216" s="289"/>
      <c r="T216" s="289">
        <v>104</v>
      </c>
      <c r="U216" s="716">
        <v>1.2069042953416328E-3</v>
      </c>
      <c r="V216" s="289">
        <v>757.53297547</v>
      </c>
      <c r="W216" s="743">
        <v>0.99721778999999999</v>
      </c>
      <c r="X216" s="289">
        <v>1250</v>
      </c>
      <c r="Y216" s="289">
        <v>414.28399999999999</v>
      </c>
      <c r="Z216" s="289">
        <v>41486</v>
      </c>
      <c r="AA216" s="289">
        <v>-550.18436233</v>
      </c>
      <c r="AB216" s="290">
        <v>33</v>
      </c>
      <c r="AC216" s="289">
        <v>0</v>
      </c>
      <c r="AD216" s="289">
        <v>0</v>
      </c>
      <c r="AE216" s="289">
        <v>0</v>
      </c>
      <c r="AF216" s="289">
        <v>0</v>
      </c>
      <c r="AG216" s="289">
        <v>1435</v>
      </c>
      <c r="AH216" s="289">
        <v>214.05604341</v>
      </c>
      <c r="AI216" s="289">
        <v>250</v>
      </c>
      <c r="AJ216" s="289">
        <v>0</v>
      </c>
      <c r="AK216" s="289">
        <v>8.7769999999999992</v>
      </c>
      <c r="AL216" s="289">
        <v>0</v>
      </c>
      <c r="AM216" s="836">
        <v>1.0993910000000001E-2</v>
      </c>
      <c r="AN216" s="289">
        <v>0</v>
      </c>
      <c r="AO216" s="289">
        <v>72.274679899999995</v>
      </c>
      <c r="AP216" s="289">
        <v>0</v>
      </c>
      <c r="AQ216" s="289">
        <v>0</v>
      </c>
      <c r="AR216" s="289">
        <v>928.70306973000004</v>
      </c>
      <c r="AS216" s="289"/>
      <c r="AT216" s="289">
        <v>64</v>
      </c>
      <c r="AU216" s="289">
        <v>6</v>
      </c>
      <c r="AV216" s="625">
        <v>62876</v>
      </c>
      <c r="AW216" s="289"/>
      <c r="AX216" s="625">
        <v>13.591666650000001</v>
      </c>
      <c r="AY216" s="289">
        <v>258</v>
      </c>
      <c r="AZ216" s="289">
        <v>57</v>
      </c>
      <c r="BA216" s="290">
        <v>17</v>
      </c>
      <c r="BB216" s="289">
        <v>3419</v>
      </c>
      <c r="BC216" s="289">
        <v>-468.03936985000001</v>
      </c>
      <c r="BD216" s="289">
        <v>17.725498055363889</v>
      </c>
      <c r="BE216" s="289">
        <v>63556.088207250003</v>
      </c>
      <c r="BF216" s="289">
        <v>0</v>
      </c>
      <c r="BG216" s="289">
        <v>-48.584400000000002</v>
      </c>
      <c r="BH216" s="289">
        <v>-4.0518000000000001</v>
      </c>
      <c r="BI216" s="289">
        <v>78.155681079999994</v>
      </c>
      <c r="BJ216" s="289">
        <v>0</v>
      </c>
      <c r="BK216" s="289">
        <v>0</v>
      </c>
      <c r="BL216" s="289">
        <v>0</v>
      </c>
      <c r="BM216" s="289">
        <v>0</v>
      </c>
      <c r="BN216" s="289">
        <v>160.23833957450097</v>
      </c>
      <c r="BO216" s="289">
        <v>94.241394042883016</v>
      </c>
      <c r="BP216" s="289">
        <v>129.92639258143234</v>
      </c>
      <c r="BQ216" s="289">
        <v>156.65617753534391</v>
      </c>
      <c r="BR216" s="289">
        <v>1.201394868196886</v>
      </c>
      <c r="BS216" s="289">
        <v>0.62720722862274458</v>
      </c>
      <c r="BT216" s="289">
        <v>0</v>
      </c>
      <c r="BU216" s="289">
        <v>0</v>
      </c>
      <c r="BV216" s="289">
        <v>10.982829087608856</v>
      </c>
      <c r="BW216" s="517"/>
      <c r="BX216" s="517"/>
      <c r="CA216" s="517"/>
      <c r="CB216" s="517"/>
    </row>
    <row r="217" spans="1:80" ht="13">
      <c r="A217" s="1">
        <v>3052</v>
      </c>
      <c r="B217" s="2" t="s">
        <v>891</v>
      </c>
      <c r="C217" s="289">
        <v>2448</v>
      </c>
      <c r="D217" s="289">
        <v>34</v>
      </c>
      <c r="E217" s="289">
        <v>84</v>
      </c>
      <c r="F217" s="289">
        <v>257</v>
      </c>
      <c r="G217" s="289">
        <v>231</v>
      </c>
      <c r="H217" s="289">
        <v>1332</v>
      </c>
      <c r="I217" s="289">
        <v>351</v>
      </c>
      <c r="J217" s="289">
        <v>143</v>
      </c>
      <c r="K217" s="289">
        <v>35</v>
      </c>
      <c r="L217" s="289">
        <v>21</v>
      </c>
      <c r="M217" s="289">
        <v>247</v>
      </c>
      <c r="N217" s="290">
        <v>22</v>
      </c>
      <c r="O217" s="290">
        <v>30</v>
      </c>
      <c r="P217" s="624">
        <v>28612.712</v>
      </c>
      <c r="Q217" s="624">
        <v>15400.45233333</v>
      </c>
      <c r="R217" s="624">
        <v>13</v>
      </c>
      <c r="S217" s="289"/>
      <c r="T217" s="289">
        <v>189</v>
      </c>
      <c r="U217" s="716">
        <v>3.2654289304911589E-3</v>
      </c>
      <c r="V217" s="289">
        <v>1192.6837485000001</v>
      </c>
      <c r="W217" s="743">
        <v>1</v>
      </c>
      <c r="X217" s="289">
        <v>0</v>
      </c>
      <c r="Y217" s="289">
        <v>414.28399999999999</v>
      </c>
      <c r="Z217" s="289">
        <v>93992</v>
      </c>
      <c r="AA217" s="289">
        <v>0</v>
      </c>
      <c r="AB217" s="290">
        <v>30</v>
      </c>
      <c r="AC217" s="289">
        <v>0</v>
      </c>
      <c r="AD217" s="289">
        <v>0</v>
      </c>
      <c r="AE217" s="289">
        <v>0</v>
      </c>
      <c r="AF217" s="289">
        <v>0</v>
      </c>
      <c r="AG217" s="289">
        <v>2467</v>
      </c>
      <c r="AH217" s="289">
        <v>360.47874411999999</v>
      </c>
      <c r="AI217" s="289">
        <v>150</v>
      </c>
      <c r="AJ217" s="289">
        <v>0</v>
      </c>
      <c r="AK217" s="289">
        <v>0</v>
      </c>
      <c r="AL217" s="289">
        <v>0</v>
      </c>
      <c r="AM217" s="836">
        <v>2.0166150000000001E-2</v>
      </c>
      <c r="AN217" s="289">
        <v>0</v>
      </c>
      <c r="AO217" s="289">
        <v>113.79152978</v>
      </c>
      <c r="AP217" s="289">
        <v>0</v>
      </c>
      <c r="AQ217" s="289">
        <v>0</v>
      </c>
      <c r="AR217" s="289">
        <v>1951.1141944999999</v>
      </c>
      <c r="AS217" s="289"/>
      <c r="AT217" s="289">
        <v>101</v>
      </c>
      <c r="AU217" s="289">
        <v>10</v>
      </c>
      <c r="AV217" s="625">
        <v>93537</v>
      </c>
      <c r="AW217" s="289"/>
      <c r="AX217" s="625">
        <v>7.415</v>
      </c>
      <c r="AY217" s="289">
        <v>373</v>
      </c>
      <c r="AZ217" s="289">
        <v>123</v>
      </c>
      <c r="BA217" s="290">
        <v>36</v>
      </c>
      <c r="BB217" s="289">
        <v>5698</v>
      </c>
      <c r="BC217" s="289">
        <v>772.26579799000001</v>
      </c>
      <c r="BD217" s="289">
        <v>28.694734099648393</v>
      </c>
      <c r="BE217" s="289">
        <v>93335.932646810004</v>
      </c>
      <c r="BF217" s="289">
        <v>0</v>
      </c>
      <c r="BG217" s="289">
        <v>-97.877799999999993</v>
      </c>
      <c r="BH217" s="289">
        <v>-6.9656000000000002</v>
      </c>
      <c r="BI217" s="289">
        <v>774.76274411999998</v>
      </c>
      <c r="BJ217" s="289">
        <v>0</v>
      </c>
      <c r="BK217" s="289">
        <v>0</v>
      </c>
      <c r="BL217" s="289">
        <v>0</v>
      </c>
      <c r="BM217" s="289">
        <v>0</v>
      </c>
      <c r="BN217" s="289">
        <v>244.16410005068576</v>
      </c>
      <c r="BO217" s="289">
        <v>144.06864754422088</v>
      </c>
      <c r="BP217" s="289">
        <v>223.36474599191192</v>
      </c>
      <c r="BQ217" s="289">
        <v>423.85267517775236</v>
      </c>
      <c r="BR217" s="289">
        <v>1.9448653111983916</v>
      </c>
      <c r="BS217" s="289">
        <v>0.83872943519987275</v>
      </c>
      <c r="BT217" s="289">
        <v>0</v>
      </c>
      <c r="BU217" s="289">
        <v>0</v>
      </c>
      <c r="BV217" s="289">
        <v>29.71540326746954</v>
      </c>
      <c r="BW217" s="517"/>
      <c r="BX217" s="517"/>
      <c r="CA217" s="517"/>
      <c r="CB217" s="517"/>
    </row>
    <row r="218" spans="1:80" ht="13">
      <c r="A218" s="1">
        <v>3053</v>
      </c>
      <c r="B218" s="2" t="s">
        <v>860</v>
      </c>
      <c r="C218" s="289">
        <v>6846</v>
      </c>
      <c r="D218" s="289">
        <v>155</v>
      </c>
      <c r="E218" s="289">
        <v>267</v>
      </c>
      <c r="F218" s="289">
        <v>825</v>
      </c>
      <c r="G218" s="289">
        <v>578</v>
      </c>
      <c r="H218" s="289">
        <v>3867</v>
      </c>
      <c r="I218" s="289">
        <v>838</v>
      </c>
      <c r="J218" s="289">
        <v>264</v>
      </c>
      <c r="K218" s="289">
        <v>53</v>
      </c>
      <c r="L218" s="289">
        <v>61</v>
      </c>
      <c r="M218" s="289">
        <v>525</v>
      </c>
      <c r="N218" s="290">
        <v>96</v>
      </c>
      <c r="O218" s="290">
        <v>70</v>
      </c>
      <c r="P218" s="624">
        <v>17747.919999999998</v>
      </c>
      <c r="Q218" s="624">
        <v>10164.62833333</v>
      </c>
      <c r="R218" s="624">
        <v>23</v>
      </c>
      <c r="S218" s="289"/>
      <c r="T218" s="289">
        <v>508</v>
      </c>
      <c r="U218" s="716">
        <v>1.3867594012824435E-3</v>
      </c>
      <c r="V218" s="289">
        <v>941.77052485000002</v>
      </c>
      <c r="W218" s="743">
        <v>0.58512003999999995</v>
      </c>
      <c r="X218" s="289">
        <v>1400</v>
      </c>
      <c r="Y218" s="289">
        <v>828.56799999999998</v>
      </c>
      <c r="Z218" s="289">
        <v>172526</v>
      </c>
      <c r="AA218" s="289">
        <v>0</v>
      </c>
      <c r="AB218" s="290">
        <v>168</v>
      </c>
      <c r="AC218" s="289">
        <v>0</v>
      </c>
      <c r="AD218" s="289">
        <v>0</v>
      </c>
      <c r="AE218" s="289">
        <v>0</v>
      </c>
      <c r="AF218" s="289">
        <v>0</v>
      </c>
      <c r="AG218" s="289">
        <v>6847</v>
      </c>
      <c r="AH218" s="289">
        <v>1099.5647572</v>
      </c>
      <c r="AI218" s="289">
        <v>500</v>
      </c>
      <c r="AJ218" s="289">
        <v>0</v>
      </c>
      <c r="AK218" s="289">
        <v>0</v>
      </c>
      <c r="AL218" s="289">
        <v>0</v>
      </c>
      <c r="AM218" s="836">
        <v>0.17240889000000001</v>
      </c>
      <c r="AN218" s="289">
        <v>0</v>
      </c>
      <c r="AO218" s="289">
        <v>263.15143793999999</v>
      </c>
      <c r="AP218" s="289">
        <v>0</v>
      </c>
      <c r="AQ218" s="289">
        <v>0</v>
      </c>
      <c r="AR218" s="289">
        <v>-364.45006475999998</v>
      </c>
      <c r="AS218" s="289"/>
      <c r="AT218" s="289">
        <v>479</v>
      </c>
      <c r="AU218" s="289">
        <v>61</v>
      </c>
      <c r="AV218" s="625">
        <v>164850</v>
      </c>
      <c r="AW218" s="289"/>
      <c r="AX218" s="625">
        <v>62.40999995</v>
      </c>
      <c r="AY218" s="289">
        <v>1209</v>
      </c>
      <c r="AZ218" s="289">
        <v>271</v>
      </c>
      <c r="BA218" s="290">
        <v>158</v>
      </c>
      <c r="BB218" s="289">
        <v>0</v>
      </c>
      <c r="BC218" s="289">
        <v>1468.88685861</v>
      </c>
      <c r="BD218" s="289">
        <v>99.96363986042806</v>
      </c>
      <c r="BE218" s="289">
        <v>170899.90954590999</v>
      </c>
      <c r="BF218" s="289">
        <v>0</v>
      </c>
      <c r="BG218" s="289">
        <v>-257.51249999999999</v>
      </c>
      <c r="BH218" s="289">
        <v>-19.332699999999999</v>
      </c>
      <c r="BI218" s="289">
        <v>1928.1327572</v>
      </c>
      <c r="BJ218" s="289">
        <v>0</v>
      </c>
      <c r="BK218" s="289">
        <v>0</v>
      </c>
      <c r="BL218" s="289">
        <v>0</v>
      </c>
      <c r="BM218" s="289">
        <v>0</v>
      </c>
      <c r="BN218" s="289">
        <v>475.24352789937683</v>
      </c>
      <c r="BO218" s="289">
        <v>271.92454332419408</v>
      </c>
      <c r="BP218" s="289">
        <v>619.93450174569136</v>
      </c>
      <c r="BQ218" s="289">
        <v>180.00137028646114</v>
      </c>
      <c r="BR218" s="289">
        <v>6.775313368317903</v>
      </c>
      <c r="BS218" s="289">
        <v>1.5992979536249989</v>
      </c>
      <c r="BT218" s="289">
        <v>0</v>
      </c>
      <c r="BU218" s="289">
        <v>0</v>
      </c>
      <c r="BV218" s="289">
        <v>12.619510551670233</v>
      </c>
      <c r="BW218" s="517"/>
      <c r="BX218" s="517"/>
      <c r="CA218" s="517"/>
      <c r="CB218" s="517"/>
    </row>
    <row r="219" spans="1:80" ht="13">
      <c r="A219" s="1">
        <v>3054</v>
      </c>
      <c r="B219" s="2" t="s">
        <v>861</v>
      </c>
      <c r="C219" s="289">
        <v>9051</v>
      </c>
      <c r="D219" s="289">
        <v>183</v>
      </c>
      <c r="E219" s="289">
        <v>405</v>
      </c>
      <c r="F219" s="289">
        <v>1123</v>
      </c>
      <c r="G219" s="289">
        <v>740</v>
      </c>
      <c r="H219" s="289">
        <v>5240</v>
      </c>
      <c r="I219" s="289">
        <v>1062</v>
      </c>
      <c r="J219" s="289">
        <v>277</v>
      </c>
      <c r="K219" s="289">
        <v>64</v>
      </c>
      <c r="L219" s="289">
        <v>74</v>
      </c>
      <c r="M219" s="289">
        <v>611</v>
      </c>
      <c r="N219" s="290">
        <v>139</v>
      </c>
      <c r="O219" s="290">
        <v>88</v>
      </c>
      <c r="P219" s="624">
        <v>27083.054666669999</v>
      </c>
      <c r="Q219" s="624">
        <v>21278.64966667</v>
      </c>
      <c r="R219" s="624">
        <v>45</v>
      </c>
      <c r="S219" s="289"/>
      <c r="T219" s="289">
        <v>712</v>
      </c>
      <c r="U219" s="716">
        <v>2.6059852318188145E-3</v>
      </c>
      <c r="V219" s="289">
        <v>3127.1117185600001</v>
      </c>
      <c r="W219" s="743">
        <v>0.62860422999999999</v>
      </c>
      <c r="X219" s="289">
        <v>300</v>
      </c>
      <c r="Y219" s="289">
        <v>414.28399999999999</v>
      </c>
      <c r="Z219" s="289">
        <v>253205</v>
      </c>
      <c r="AA219" s="289">
        <v>0</v>
      </c>
      <c r="AB219" s="290">
        <v>190</v>
      </c>
      <c r="AC219" s="289">
        <v>0</v>
      </c>
      <c r="AD219" s="289">
        <v>0</v>
      </c>
      <c r="AE219" s="289">
        <v>0</v>
      </c>
      <c r="AF219" s="289">
        <v>0</v>
      </c>
      <c r="AG219" s="289">
        <v>9094</v>
      </c>
      <c r="AH219" s="289">
        <v>1502.57580962</v>
      </c>
      <c r="AI219" s="289">
        <v>200</v>
      </c>
      <c r="AJ219" s="289">
        <v>0</v>
      </c>
      <c r="AK219" s="289">
        <v>0</v>
      </c>
      <c r="AL219" s="289">
        <v>0</v>
      </c>
      <c r="AM219" s="836">
        <v>0.22952992999999999</v>
      </c>
      <c r="AN219" s="289">
        <v>0</v>
      </c>
      <c r="AO219" s="289">
        <v>353.07737551999998</v>
      </c>
      <c r="AP219" s="289">
        <v>0</v>
      </c>
      <c r="AQ219" s="289">
        <v>0</v>
      </c>
      <c r="AR219" s="289">
        <v>-484.05270760000002</v>
      </c>
      <c r="AS219" s="289"/>
      <c r="AT219" s="289">
        <v>549</v>
      </c>
      <c r="AU219" s="289">
        <v>84</v>
      </c>
      <c r="AV219" s="625">
        <v>222132</v>
      </c>
      <c r="AW219" s="289"/>
      <c r="AX219" s="625">
        <v>65.433333300000001</v>
      </c>
      <c r="AY219" s="289">
        <v>1778</v>
      </c>
      <c r="AZ219" s="289">
        <v>409</v>
      </c>
      <c r="BA219" s="290">
        <v>225</v>
      </c>
      <c r="BB219" s="289">
        <v>0</v>
      </c>
      <c r="BC219" s="289">
        <v>1886.8594949799999</v>
      </c>
      <c r="BD219" s="289">
        <v>133.39003550253273</v>
      </c>
      <c r="BE219" s="289">
        <v>231475.19622412999</v>
      </c>
      <c r="BF219" s="289">
        <v>0</v>
      </c>
      <c r="BG219" s="289">
        <v>-351.6773</v>
      </c>
      <c r="BH219" s="289">
        <v>-25.677099999999999</v>
      </c>
      <c r="BI219" s="289">
        <v>1916.8598096200001</v>
      </c>
      <c r="BJ219" s="289">
        <v>0</v>
      </c>
      <c r="BK219" s="289">
        <v>0</v>
      </c>
      <c r="BL219" s="289">
        <v>0</v>
      </c>
      <c r="BM219" s="289">
        <v>0</v>
      </c>
      <c r="BN219" s="289">
        <v>613.18778830805286</v>
      </c>
      <c r="BO219" s="289">
        <v>354.79505334641647</v>
      </c>
      <c r="BP219" s="289">
        <v>823.38021890978791</v>
      </c>
      <c r="BQ219" s="289">
        <v>338.25688309008206</v>
      </c>
      <c r="BR219" s="289">
        <v>9.0408801840605513</v>
      </c>
      <c r="BS219" s="289">
        <v>2.0755240734340576</v>
      </c>
      <c r="BT219" s="289">
        <v>0</v>
      </c>
      <c r="BU219" s="289">
        <v>0</v>
      </c>
      <c r="BV219" s="289">
        <v>23.714465609551208</v>
      </c>
      <c r="BW219" s="517"/>
      <c r="BX219" s="517"/>
      <c r="CA219" s="517"/>
      <c r="CB219" s="517"/>
    </row>
    <row r="220" spans="1:80" ht="13">
      <c r="A220" s="1">
        <v>3401</v>
      </c>
      <c r="B220" s="2" t="s">
        <v>824</v>
      </c>
      <c r="C220" s="289">
        <v>17823</v>
      </c>
      <c r="D220" s="289">
        <v>259</v>
      </c>
      <c r="E220" s="289">
        <v>651</v>
      </c>
      <c r="F220" s="289">
        <v>1946</v>
      </c>
      <c r="G220" s="289">
        <v>1500</v>
      </c>
      <c r="H220" s="289">
        <v>9869</v>
      </c>
      <c r="I220" s="289">
        <v>2711</v>
      </c>
      <c r="J220" s="289">
        <v>771</v>
      </c>
      <c r="K220" s="289">
        <v>180</v>
      </c>
      <c r="L220" s="289">
        <v>154</v>
      </c>
      <c r="M220" s="289">
        <v>1795</v>
      </c>
      <c r="N220" s="290">
        <v>569</v>
      </c>
      <c r="O220" s="290">
        <v>144</v>
      </c>
      <c r="P220" s="624">
        <v>99004.93466667</v>
      </c>
      <c r="Q220" s="624">
        <v>32281.734</v>
      </c>
      <c r="R220" s="624">
        <v>94</v>
      </c>
      <c r="S220" s="289"/>
      <c r="T220" s="289">
        <v>1744</v>
      </c>
      <c r="U220" s="716">
        <v>4.2001048881594024E-3</v>
      </c>
      <c r="V220" s="289">
        <v>-3407.7925767800002</v>
      </c>
      <c r="W220" s="743">
        <v>0.59965367999999997</v>
      </c>
      <c r="X220" s="289">
        <v>1800</v>
      </c>
      <c r="Y220" s="289">
        <v>828.56799999999998</v>
      </c>
      <c r="Z220" s="289">
        <v>472995</v>
      </c>
      <c r="AA220" s="289">
        <v>-4690.8773313800002</v>
      </c>
      <c r="AB220" s="290">
        <v>563</v>
      </c>
      <c r="AC220" s="289">
        <v>0</v>
      </c>
      <c r="AD220" s="289">
        <v>0</v>
      </c>
      <c r="AE220" s="289">
        <v>0</v>
      </c>
      <c r="AF220" s="289">
        <v>0</v>
      </c>
      <c r="AG220" s="289">
        <v>17887</v>
      </c>
      <c r="AH220" s="289">
        <v>2609.8103273299998</v>
      </c>
      <c r="AI220" s="289">
        <v>0</v>
      </c>
      <c r="AJ220" s="289">
        <v>0</v>
      </c>
      <c r="AK220" s="289">
        <v>0</v>
      </c>
      <c r="AL220" s="289">
        <v>0</v>
      </c>
      <c r="AM220" s="836">
        <v>0.59877829000000005</v>
      </c>
      <c r="AN220" s="289">
        <v>17021</v>
      </c>
      <c r="AO220" s="289">
        <v>714.66361370000004</v>
      </c>
      <c r="AP220" s="289">
        <v>0</v>
      </c>
      <c r="AQ220" s="289">
        <v>0</v>
      </c>
      <c r="AR220" s="289">
        <v>-952.08387737999999</v>
      </c>
      <c r="AS220" s="289"/>
      <c r="AT220" s="289">
        <v>1159</v>
      </c>
      <c r="AU220" s="289">
        <v>183</v>
      </c>
      <c r="AV220" s="625">
        <v>463128</v>
      </c>
      <c r="AW220" s="289"/>
      <c r="AX220" s="625">
        <v>93.280000049999998</v>
      </c>
      <c r="AY220" s="289">
        <v>3268</v>
      </c>
      <c r="AZ220" s="289">
        <v>908</v>
      </c>
      <c r="BA220" s="290">
        <v>438</v>
      </c>
      <c r="BB220" s="289">
        <v>0</v>
      </c>
      <c r="BC220" s="289">
        <v>-5746.6870748600004</v>
      </c>
      <c r="BD220" s="289">
        <v>339.48335578947035</v>
      </c>
      <c r="BE220" s="289">
        <v>486217.04559472</v>
      </c>
      <c r="BF220" s="289">
        <v>0</v>
      </c>
      <c r="BG220" s="289">
        <v>-611.64400000000001</v>
      </c>
      <c r="BH220" s="289">
        <v>-50.504399999999997</v>
      </c>
      <c r="BI220" s="289">
        <v>-1252.4990040499999</v>
      </c>
      <c r="BJ220" s="289">
        <v>0</v>
      </c>
      <c r="BK220" s="289">
        <v>0</v>
      </c>
      <c r="BL220" s="289">
        <v>0</v>
      </c>
      <c r="BM220" s="289">
        <v>0</v>
      </c>
      <c r="BN220" s="289">
        <v>1466.1753846960341</v>
      </c>
      <c r="BO220" s="289">
        <v>724.702898932881</v>
      </c>
      <c r="BP220" s="289">
        <v>1619.5075847415194</v>
      </c>
      <c r="BQ220" s="289">
        <v>545.17361448309032</v>
      </c>
      <c r="BR220" s="289">
        <v>23.009427447952994</v>
      </c>
      <c r="BS220" s="289">
        <v>3.8520447400854883</v>
      </c>
      <c r="BT220" s="289">
        <v>0</v>
      </c>
      <c r="BU220" s="289">
        <v>0</v>
      </c>
      <c r="BV220" s="289">
        <v>38.220954482250548</v>
      </c>
      <c r="BW220" s="517"/>
      <c r="BX220" s="517"/>
      <c r="CA220" s="517"/>
      <c r="CB220" s="517"/>
    </row>
    <row r="221" spans="1:80" ht="13">
      <c r="A221" s="1">
        <v>3403</v>
      </c>
      <c r="B221" s="2" t="s">
        <v>825</v>
      </c>
      <c r="C221" s="289">
        <v>31144</v>
      </c>
      <c r="D221" s="289">
        <v>558</v>
      </c>
      <c r="E221" s="289">
        <v>1198</v>
      </c>
      <c r="F221" s="289">
        <v>3419</v>
      </c>
      <c r="G221" s="289">
        <v>2640</v>
      </c>
      <c r="H221" s="289">
        <v>17250</v>
      </c>
      <c r="I221" s="289">
        <v>4183</v>
      </c>
      <c r="J221" s="289">
        <v>1349</v>
      </c>
      <c r="K221" s="289">
        <v>375</v>
      </c>
      <c r="L221" s="289">
        <v>233</v>
      </c>
      <c r="M221" s="289">
        <v>2709</v>
      </c>
      <c r="N221" s="290">
        <v>1115</v>
      </c>
      <c r="O221" s="290">
        <v>265</v>
      </c>
      <c r="P221" s="624">
        <v>42824.820666669999</v>
      </c>
      <c r="Q221" s="624">
        <v>25033.821666669999</v>
      </c>
      <c r="R221" s="624">
        <v>117</v>
      </c>
      <c r="S221" s="289"/>
      <c r="T221" s="289">
        <v>3029</v>
      </c>
      <c r="U221" s="716">
        <v>2.5841093205776536E-3</v>
      </c>
      <c r="V221" s="289">
        <v>-1586.8295415099999</v>
      </c>
      <c r="W221" s="743">
        <v>0.53513754999999996</v>
      </c>
      <c r="X221" s="289">
        <v>425</v>
      </c>
      <c r="Y221" s="289">
        <v>414.28399999999999</v>
      </c>
      <c r="Z221" s="289">
        <v>907828</v>
      </c>
      <c r="AA221" s="289">
        <v>0</v>
      </c>
      <c r="AB221" s="290">
        <v>624</v>
      </c>
      <c r="AC221" s="289">
        <v>0</v>
      </c>
      <c r="AD221" s="289">
        <v>0</v>
      </c>
      <c r="AE221" s="289">
        <v>0</v>
      </c>
      <c r="AF221" s="289">
        <v>0</v>
      </c>
      <c r="AG221" s="289">
        <v>30972</v>
      </c>
      <c r="AH221" s="289">
        <v>4605.3425626500002</v>
      </c>
      <c r="AI221" s="289">
        <v>1345</v>
      </c>
      <c r="AJ221" s="289">
        <v>0</v>
      </c>
      <c r="AK221" s="289">
        <v>260.83699999999999</v>
      </c>
      <c r="AL221" s="289">
        <v>0</v>
      </c>
      <c r="AM221" s="836">
        <v>0.67110351000000001</v>
      </c>
      <c r="AN221" s="289">
        <v>0</v>
      </c>
      <c r="AO221" s="289">
        <v>1192.36776962</v>
      </c>
      <c r="AP221" s="289">
        <v>0</v>
      </c>
      <c r="AQ221" s="289">
        <v>0</v>
      </c>
      <c r="AR221" s="289">
        <v>-1648.5683373500001</v>
      </c>
      <c r="AS221" s="289"/>
      <c r="AT221" s="289">
        <v>1748</v>
      </c>
      <c r="AU221" s="289">
        <v>247</v>
      </c>
      <c r="AV221" s="625">
        <v>723041</v>
      </c>
      <c r="AW221" s="289"/>
      <c r="AX221" s="625">
        <v>220.6683333</v>
      </c>
      <c r="AY221" s="289">
        <v>9320</v>
      </c>
      <c r="AZ221" s="289">
        <v>1487</v>
      </c>
      <c r="BA221" s="290">
        <v>693</v>
      </c>
      <c r="BB221" s="289">
        <v>0</v>
      </c>
      <c r="BC221" s="289">
        <v>4856.8439193000004</v>
      </c>
      <c r="BD221" s="289">
        <v>536.71206968556839</v>
      </c>
      <c r="BE221" s="289">
        <v>760324.28837082</v>
      </c>
      <c r="BF221" s="289">
        <v>0</v>
      </c>
      <c r="BG221" s="289">
        <v>-1034.336</v>
      </c>
      <c r="BH221" s="289">
        <v>-87.450199999999995</v>
      </c>
      <c r="BI221" s="289">
        <v>5019.6265626499999</v>
      </c>
      <c r="BJ221" s="289">
        <v>0</v>
      </c>
      <c r="BK221" s="289">
        <v>0</v>
      </c>
      <c r="BL221" s="289">
        <v>0</v>
      </c>
      <c r="BM221" s="289">
        <v>0</v>
      </c>
      <c r="BN221" s="289">
        <v>2320.5778650996322</v>
      </c>
      <c r="BO221" s="289">
        <v>1164.7729272374827</v>
      </c>
      <c r="BP221" s="289">
        <v>2804.2370947959043</v>
      </c>
      <c r="BQ221" s="289">
        <v>335.41738981097944</v>
      </c>
      <c r="BR221" s="289">
        <v>36.377151389799636</v>
      </c>
      <c r="BS221" s="289">
        <v>6.5170226560670814</v>
      </c>
      <c r="BT221" s="289">
        <v>0</v>
      </c>
      <c r="BU221" s="289">
        <v>0</v>
      </c>
      <c r="BV221" s="289">
        <v>23.515394817256649</v>
      </c>
      <c r="BW221" s="517"/>
      <c r="BX221" s="517"/>
      <c r="CA221" s="517"/>
      <c r="CB221" s="517"/>
    </row>
    <row r="222" spans="1:80" ht="13">
      <c r="A222" s="1">
        <v>3405</v>
      </c>
      <c r="B222" s="2" t="s">
        <v>845</v>
      </c>
      <c r="C222" s="289">
        <v>28023</v>
      </c>
      <c r="D222" s="289">
        <v>517</v>
      </c>
      <c r="E222" s="289">
        <v>1109</v>
      </c>
      <c r="F222" s="289">
        <v>3070</v>
      </c>
      <c r="G222" s="289">
        <v>2666</v>
      </c>
      <c r="H222" s="289">
        <v>15625</v>
      </c>
      <c r="I222" s="289">
        <v>3446</v>
      </c>
      <c r="J222" s="289">
        <v>1204</v>
      </c>
      <c r="K222" s="289">
        <v>284</v>
      </c>
      <c r="L222" s="289">
        <v>214</v>
      </c>
      <c r="M222" s="289">
        <v>2228</v>
      </c>
      <c r="N222" s="290">
        <v>899</v>
      </c>
      <c r="O222" s="290">
        <v>204</v>
      </c>
      <c r="P222" s="624">
        <v>72922.912333329994</v>
      </c>
      <c r="Q222" s="624">
        <v>43326.616666670001</v>
      </c>
      <c r="R222" s="624">
        <v>126</v>
      </c>
      <c r="S222" s="289"/>
      <c r="T222" s="289">
        <v>2283</v>
      </c>
      <c r="U222" s="716">
        <v>3.5952583179077557E-3</v>
      </c>
      <c r="V222" s="289">
        <v>-5263.9312923099997</v>
      </c>
      <c r="W222" s="743">
        <v>0.55323164000000002</v>
      </c>
      <c r="X222" s="289">
        <v>1800</v>
      </c>
      <c r="Y222" s="289">
        <v>414.28399999999999</v>
      </c>
      <c r="Z222" s="289">
        <v>836532</v>
      </c>
      <c r="AA222" s="289">
        <v>0</v>
      </c>
      <c r="AB222" s="290">
        <v>483</v>
      </c>
      <c r="AC222" s="289">
        <v>0</v>
      </c>
      <c r="AD222" s="289">
        <v>0</v>
      </c>
      <c r="AE222" s="289">
        <v>0</v>
      </c>
      <c r="AF222" s="289">
        <v>0</v>
      </c>
      <c r="AG222" s="289">
        <v>27921</v>
      </c>
      <c r="AH222" s="289">
        <v>4244.8638185399996</v>
      </c>
      <c r="AI222" s="289">
        <v>1200</v>
      </c>
      <c r="AJ222" s="289">
        <v>0</v>
      </c>
      <c r="AK222" s="289">
        <v>0</v>
      </c>
      <c r="AL222" s="289">
        <v>0</v>
      </c>
      <c r="AM222" s="836">
        <v>0.31680142</v>
      </c>
      <c r="AN222" s="289">
        <v>0</v>
      </c>
      <c r="AO222" s="289">
        <v>1066.5912818199999</v>
      </c>
      <c r="AP222" s="289">
        <v>0</v>
      </c>
      <c r="AQ222" s="289">
        <v>0</v>
      </c>
      <c r="AR222" s="289">
        <v>-1486.1706233800001</v>
      </c>
      <c r="AS222" s="289"/>
      <c r="AT222" s="289">
        <v>1328</v>
      </c>
      <c r="AU222" s="289">
        <v>175</v>
      </c>
      <c r="AV222" s="625">
        <v>641111</v>
      </c>
      <c r="AW222" s="289"/>
      <c r="AX222" s="625">
        <v>209.5516667</v>
      </c>
      <c r="AY222" s="289">
        <v>9026</v>
      </c>
      <c r="AZ222" s="289">
        <v>1064</v>
      </c>
      <c r="BA222" s="290">
        <v>550</v>
      </c>
      <c r="BB222" s="289">
        <v>0</v>
      </c>
      <c r="BC222" s="289">
        <v>4534.0195253499996</v>
      </c>
      <c r="BD222" s="289">
        <v>416.33184695357727</v>
      </c>
      <c r="BE222" s="289">
        <v>671907.56685796997</v>
      </c>
      <c r="BF222" s="289">
        <v>0</v>
      </c>
      <c r="BG222" s="289">
        <v>-940.41380000000004</v>
      </c>
      <c r="BH222" s="289">
        <v>-78.835599999999999</v>
      </c>
      <c r="BI222" s="289">
        <v>4659.1478185400001</v>
      </c>
      <c r="BJ222" s="289">
        <v>0</v>
      </c>
      <c r="BK222" s="289">
        <v>0</v>
      </c>
      <c r="BL222" s="289">
        <v>0</v>
      </c>
      <c r="BM222" s="289">
        <v>0</v>
      </c>
      <c r="BN222" s="289">
        <v>2068.3489815640041</v>
      </c>
      <c r="BO222" s="289">
        <v>1060.6197542602304</v>
      </c>
      <c r="BP222" s="289">
        <v>2527.9963813701552</v>
      </c>
      <c r="BQ222" s="289">
        <v>466.66452966442671</v>
      </c>
      <c r="BR222" s="289">
        <v>28.21804740463136</v>
      </c>
      <c r="BS222" s="289">
        <v>5.909247916033725</v>
      </c>
      <c r="BT222" s="289">
        <v>0</v>
      </c>
      <c r="BU222" s="289">
        <v>0</v>
      </c>
      <c r="BV222" s="289">
        <v>32.71685069296057</v>
      </c>
      <c r="BW222" s="517"/>
      <c r="BX222" s="517"/>
      <c r="CA222" s="517"/>
      <c r="CB222" s="517"/>
    </row>
    <row r="223" spans="1:80" ht="13">
      <c r="A223" s="1">
        <v>3407</v>
      </c>
      <c r="B223" s="2" t="s">
        <v>846</v>
      </c>
      <c r="C223" s="289">
        <v>30676</v>
      </c>
      <c r="D223" s="289">
        <v>540</v>
      </c>
      <c r="E223" s="289">
        <v>1227</v>
      </c>
      <c r="F223" s="289">
        <v>3432</v>
      </c>
      <c r="G223" s="289">
        <v>2908</v>
      </c>
      <c r="H223" s="289">
        <v>17174</v>
      </c>
      <c r="I223" s="289">
        <v>3814</v>
      </c>
      <c r="J223" s="289">
        <v>1148</v>
      </c>
      <c r="K223" s="289">
        <v>284</v>
      </c>
      <c r="L223" s="289">
        <v>250</v>
      </c>
      <c r="M223" s="289">
        <v>2358</v>
      </c>
      <c r="N223" s="290">
        <v>1161</v>
      </c>
      <c r="O223" s="290">
        <v>286</v>
      </c>
      <c r="P223" s="624">
        <v>91544.907333330004</v>
      </c>
      <c r="Q223" s="624">
        <v>51155.066666669998</v>
      </c>
      <c r="R223" s="624">
        <v>117</v>
      </c>
      <c r="S223" s="289"/>
      <c r="T223" s="289">
        <v>2586</v>
      </c>
      <c r="U223" s="716">
        <v>6.3693277432948303E-3</v>
      </c>
      <c r="V223" s="289">
        <v>-2629.04171903</v>
      </c>
      <c r="W223" s="743">
        <v>0.57319350999999996</v>
      </c>
      <c r="X223" s="289">
        <v>4350</v>
      </c>
      <c r="Y223" s="289">
        <v>2071.42</v>
      </c>
      <c r="Z223" s="289">
        <v>835680</v>
      </c>
      <c r="AA223" s="289">
        <v>0</v>
      </c>
      <c r="AB223" s="290">
        <v>714</v>
      </c>
      <c r="AC223" s="289">
        <v>0</v>
      </c>
      <c r="AD223" s="289">
        <v>0</v>
      </c>
      <c r="AE223" s="289">
        <v>0</v>
      </c>
      <c r="AF223" s="289">
        <v>0</v>
      </c>
      <c r="AG223" s="289">
        <v>30527</v>
      </c>
      <c r="AH223" s="289">
        <v>4688.3154263899996</v>
      </c>
      <c r="AI223" s="289">
        <v>1650</v>
      </c>
      <c r="AJ223" s="289">
        <v>0</v>
      </c>
      <c r="AK223" s="289">
        <v>0</v>
      </c>
      <c r="AL223" s="289">
        <v>0</v>
      </c>
      <c r="AM223" s="836">
        <v>0.69364857999999996</v>
      </c>
      <c r="AN223" s="289">
        <v>0</v>
      </c>
      <c r="AO223" s="289">
        <v>1153.8027081800001</v>
      </c>
      <c r="AP223" s="289">
        <v>0</v>
      </c>
      <c r="AQ223" s="289">
        <v>0</v>
      </c>
      <c r="AR223" s="289">
        <v>-1624.88201067</v>
      </c>
      <c r="AS223" s="289"/>
      <c r="AT223" s="289">
        <v>1671</v>
      </c>
      <c r="AU223" s="289">
        <v>290</v>
      </c>
      <c r="AV223" s="625">
        <v>700619</v>
      </c>
      <c r="AW223" s="289"/>
      <c r="AX223" s="625">
        <v>187.21833330000001</v>
      </c>
      <c r="AY223" s="289">
        <v>7244</v>
      </c>
      <c r="AZ223" s="289">
        <v>1344</v>
      </c>
      <c r="BA223" s="290">
        <v>691</v>
      </c>
      <c r="BB223" s="289">
        <v>0</v>
      </c>
      <c r="BC223" s="289">
        <v>6644.41508092</v>
      </c>
      <c r="BD223" s="289">
        <v>523.35675827795433</v>
      </c>
      <c r="BE223" s="289">
        <v>725127.57099262998</v>
      </c>
      <c r="BF223" s="289">
        <v>0</v>
      </c>
      <c r="BG223" s="289">
        <v>-1060.0730000000001</v>
      </c>
      <c r="BH223" s="289">
        <v>-86.193799999999996</v>
      </c>
      <c r="BI223" s="289">
        <v>6759.7354263899997</v>
      </c>
      <c r="BJ223" s="289">
        <v>0</v>
      </c>
      <c r="BK223" s="289">
        <v>0</v>
      </c>
      <c r="BL223" s="289">
        <v>0</v>
      </c>
      <c r="BM223" s="289">
        <v>0</v>
      </c>
      <c r="BN223" s="289">
        <v>2138.3140064498439</v>
      </c>
      <c r="BO223" s="289">
        <v>1155.4313264034363</v>
      </c>
      <c r="BP223" s="289">
        <v>2763.9463319396409</v>
      </c>
      <c r="BQ223" s="289">
        <v>826.7387410796689</v>
      </c>
      <c r="BR223" s="289">
        <v>35.471958061061358</v>
      </c>
      <c r="BS223" s="289">
        <v>6.4481484222018874</v>
      </c>
      <c r="BT223" s="289">
        <v>0</v>
      </c>
      <c r="BU223" s="289">
        <v>0</v>
      </c>
      <c r="BV223" s="289">
        <v>57.960882463982941</v>
      </c>
      <c r="BW223" s="517"/>
      <c r="BX223" s="517"/>
      <c r="CA223" s="517"/>
      <c r="CB223" s="517"/>
    </row>
    <row r="224" spans="1:80" ht="13">
      <c r="A224" s="1">
        <v>3411</v>
      </c>
      <c r="B224" s="2" t="s">
        <v>826</v>
      </c>
      <c r="C224" s="289">
        <v>34488</v>
      </c>
      <c r="D224" s="289">
        <v>676</v>
      </c>
      <c r="E224" s="289">
        <v>1382</v>
      </c>
      <c r="F224" s="289">
        <v>4019</v>
      </c>
      <c r="G224" s="289">
        <v>3014</v>
      </c>
      <c r="H224" s="289">
        <v>19287</v>
      </c>
      <c r="I224" s="289">
        <v>4351</v>
      </c>
      <c r="J224" s="289">
        <v>1332</v>
      </c>
      <c r="K224" s="289">
        <v>299</v>
      </c>
      <c r="L224" s="289">
        <v>268</v>
      </c>
      <c r="M224" s="289">
        <v>2546</v>
      </c>
      <c r="N224" s="290">
        <v>460</v>
      </c>
      <c r="O224" s="290">
        <v>236</v>
      </c>
      <c r="P224" s="624">
        <v>156521.79500000001</v>
      </c>
      <c r="Q224" s="624">
        <v>60098.455666670001</v>
      </c>
      <c r="R224" s="624">
        <v>156</v>
      </c>
      <c r="S224" s="289"/>
      <c r="T224" s="289">
        <v>2601</v>
      </c>
      <c r="U224" s="716">
        <v>1.1846537434528452E-2</v>
      </c>
      <c r="V224" s="289">
        <v>5391.5529405899997</v>
      </c>
      <c r="W224" s="743">
        <v>0.59105412999999996</v>
      </c>
      <c r="X224" s="289">
        <v>2500</v>
      </c>
      <c r="Y224" s="289">
        <v>828.56799999999998</v>
      </c>
      <c r="Z224" s="289">
        <v>888971</v>
      </c>
      <c r="AA224" s="289">
        <v>0</v>
      </c>
      <c r="AB224" s="290">
        <v>832</v>
      </c>
      <c r="AC224" s="289">
        <v>0</v>
      </c>
      <c r="AD224" s="289">
        <v>0</v>
      </c>
      <c r="AE224" s="289">
        <v>0</v>
      </c>
      <c r="AF224" s="289">
        <v>0</v>
      </c>
      <c r="AG224" s="289">
        <v>34360</v>
      </c>
      <c r="AH224" s="289">
        <v>5455.9887286499998</v>
      </c>
      <c r="AI224" s="289">
        <v>3580</v>
      </c>
      <c r="AJ224" s="289">
        <v>0</v>
      </c>
      <c r="AK224" s="289">
        <v>0</v>
      </c>
      <c r="AL224" s="289">
        <v>0</v>
      </c>
      <c r="AM224" s="836">
        <v>0.66077578999999997</v>
      </c>
      <c r="AN224" s="289">
        <v>0</v>
      </c>
      <c r="AO224" s="289">
        <v>1304.7566814899999</v>
      </c>
      <c r="AP224" s="289">
        <v>0</v>
      </c>
      <c r="AQ224" s="289">
        <v>0</v>
      </c>
      <c r="AR224" s="289">
        <v>-1828.90378637</v>
      </c>
      <c r="AS224" s="289"/>
      <c r="AT224" s="289">
        <v>1930</v>
      </c>
      <c r="AU224" s="289">
        <v>296</v>
      </c>
      <c r="AV224" s="625">
        <v>794482</v>
      </c>
      <c r="AW224" s="289"/>
      <c r="AX224" s="625">
        <v>261.81333334999999</v>
      </c>
      <c r="AY224" s="289">
        <v>6314</v>
      </c>
      <c r="AZ224" s="289">
        <v>1349</v>
      </c>
      <c r="BA224" s="290">
        <v>726</v>
      </c>
      <c r="BB224" s="289">
        <v>0</v>
      </c>
      <c r="BC224" s="289">
        <v>6125.2398385099996</v>
      </c>
      <c r="BD224" s="289">
        <v>486.03981590794785</v>
      </c>
      <c r="BE224" s="289">
        <v>829020.22012849001</v>
      </c>
      <c r="BF224" s="289">
        <v>0</v>
      </c>
      <c r="BG224" s="289">
        <v>-1239.0761</v>
      </c>
      <c r="BH224" s="289">
        <v>-97.016300000000001</v>
      </c>
      <c r="BI224" s="289">
        <v>6284.55672865</v>
      </c>
      <c r="BJ224" s="289">
        <v>0</v>
      </c>
      <c r="BK224" s="289">
        <v>0</v>
      </c>
      <c r="BL224" s="289">
        <v>0</v>
      </c>
      <c r="BM224" s="289">
        <v>0</v>
      </c>
      <c r="BN224" s="289">
        <v>2449.3754283525304</v>
      </c>
      <c r="BO224" s="289">
        <v>1319.2890283275683</v>
      </c>
      <c r="BP224" s="289">
        <v>3110.9901387442615</v>
      </c>
      <c r="BQ224" s="289">
        <v>1537.680559001793</v>
      </c>
      <c r="BR224" s="289">
        <v>32.942698633760919</v>
      </c>
      <c r="BS224" s="289">
        <v>7.2377393128906258</v>
      </c>
      <c r="BT224" s="289">
        <v>0</v>
      </c>
      <c r="BU224" s="289">
        <v>0</v>
      </c>
      <c r="BV224" s="289">
        <v>107.8034906542089</v>
      </c>
      <c r="BW224" s="517"/>
      <c r="BX224" s="517"/>
      <c r="CA224" s="517"/>
      <c r="CB224" s="517"/>
    </row>
    <row r="225" spans="1:80" ht="13">
      <c r="A225" s="1">
        <v>3412</v>
      </c>
      <c r="B225" s="2" t="s">
        <v>827</v>
      </c>
      <c r="C225" s="289">
        <v>7663</v>
      </c>
      <c r="D225" s="289">
        <v>150</v>
      </c>
      <c r="E225" s="289">
        <v>321</v>
      </c>
      <c r="F225" s="289">
        <v>854</v>
      </c>
      <c r="G225" s="289">
        <v>605</v>
      </c>
      <c r="H225" s="289">
        <v>4330</v>
      </c>
      <c r="I225" s="289">
        <v>1024</v>
      </c>
      <c r="J225" s="289">
        <v>271</v>
      </c>
      <c r="K225" s="289">
        <v>75</v>
      </c>
      <c r="L225" s="289">
        <v>63</v>
      </c>
      <c r="M225" s="289">
        <v>625</v>
      </c>
      <c r="N225" s="290">
        <v>110</v>
      </c>
      <c r="O225" s="290">
        <v>77</v>
      </c>
      <c r="P225" s="624">
        <v>28898.802333330001</v>
      </c>
      <c r="Q225" s="624">
        <v>13238.570333330001</v>
      </c>
      <c r="R225" s="624">
        <v>36</v>
      </c>
      <c r="S225" s="289"/>
      <c r="T225" s="289">
        <v>588</v>
      </c>
      <c r="U225" s="716">
        <v>2.9938874623103313E-3</v>
      </c>
      <c r="V225" s="289">
        <v>-3294.8438212599999</v>
      </c>
      <c r="W225" s="743">
        <v>0.58498384999999997</v>
      </c>
      <c r="X225" s="289">
        <v>1700</v>
      </c>
      <c r="Y225" s="289">
        <v>414.28399999999999</v>
      </c>
      <c r="Z225" s="289">
        <v>172571</v>
      </c>
      <c r="AA225" s="289">
        <v>0</v>
      </c>
      <c r="AB225" s="290">
        <v>229</v>
      </c>
      <c r="AC225" s="289">
        <v>0</v>
      </c>
      <c r="AD225" s="289">
        <v>0</v>
      </c>
      <c r="AE225" s="289">
        <v>0</v>
      </c>
      <c r="AF225" s="289">
        <v>0</v>
      </c>
      <c r="AG225" s="289">
        <v>7630</v>
      </c>
      <c r="AH225" s="289">
        <v>1158.13383748</v>
      </c>
      <c r="AI225" s="289">
        <v>400</v>
      </c>
      <c r="AJ225" s="289">
        <v>0</v>
      </c>
      <c r="AK225" s="289">
        <v>0</v>
      </c>
      <c r="AL225" s="289">
        <v>0</v>
      </c>
      <c r="AM225" s="836">
        <v>0.19769822000000001</v>
      </c>
      <c r="AN225" s="289">
        <v>0</v>
      </c>
      <c r="AO225" s="289">
        <v>298.24111887999999</v>
      </c>
      <c r="AP225" s="289">
        <v>0</v>
      </c>
      <c r="AQ225" s="289">
        <v>0</v>
      </c>
      <c r="AR225" s="289">
        <v>1518.3968434400001</v>
      </c>
      <c r="AS225" s="289"/>
      <c r="AT225" s="289">
        <v>431</v>
      </c>
      <c r="AU225" s="289">
        <v>67</v>
      </c>
      <c r="AV225" s="625">
        <v>188856</v>
      </c>
      <c r="AW225" s="289"/>
      <c r="AX225" s="625">
        <v>45.24333335</v>
      </c>
      <c r="AY225" s="289">
        <v>1312</v>
      </c>
      <c r="AZ225" s="289">
        <v>397</v>
      </c>
      <c r="BA225" s="290">
        <v>177</v>
      </c>
      <c r="BB225" s="289">
        <v>0</v>
      </c>
      <c r="BC225" s="289">
        <v>1549.3097777999999</v>
      </c>
      <c r="BD225" s="289">
        <v>117.68316327323392</v>
      </c>
      <c r="BE225" s="289">
        <v>192411.8815317</v>
      </c>
      <c r="BF225" s="289">
        <v>0</v>
      </c>
      <c r="BG225" s="289">
        <v>-269.87970000000001</v>
      </c>
      <c r="BH225" s="289">
        <v>-21.543500000000002</v>
      </c>
      <c r="BI225" s="289">
        <v>1572.4178374799999</v>
      </c>
      <c r="BJ225" s="289">
        <v>0</v>
      </c>
      <c r="BK225" s="289">
        <v>0</v>
      </c>
      <c r="BL225" s="289">
        <v>0</v>
      </c>
      <c r="BM225" s="289">
        <v>0</v>
      </c>
      <c r="BN225" s="289">
        <v>565.43620397652171</v>
      </c>
      <c r="BO225" s="289">
        <v>306.85349945063081</v>
      </c>
      <c r="BP225" s="289">
        <v>690.828136164689</v>
      </c>
      <c r="BQ225" s="289">
        <v>388.606592607881</v>
      </c>
      <c r="BR225" s="289">
        <v>7.9763032885191887</v>
      </c>
      <c r="BS225" s="289">
        <v>1.7571974716458851</v>
      </c>
      <c r="BT225" s="289">
        <v>0</v>
      </c>
      <c r="BU225" s="289">
        <v>0</v>
      </c>
      <c r="BV225" s="289">
        <v>27.244375907024015</v>
      </c>
      <c r="BW225" s="517"/>
      <c r="BX225" s="517"/>
      <c r="CA225" s="517"/>
      <c r="CB225" s="517"/>
    </row>
    <row r="226" spans="1:80" ht="13">
      <c r="A226" s="1">
        <v>3413</v>
      </c>
      <c r="B226" s="2" t="s">
        <v>828</v>
      </c>
      <c r="C226" s="289">
        <v>20916</v>
      </c>
      <c r="D226" s="289">
        <v>418</v>
      </c>
      <c r="E226" s="289">
        <v>976</v>
      </c>
      <c r="F226" s="289">
        <v>2344</v>
      </c>
      <c r="G226" s="289">
        <v>1813</v>
      </c>
      <c r="H226" s="289">
        <v>11653</v>
      </c>
      <c r="I226" s="289">
        <v>2573</v>
      </c>
      <c r="J226" s="289">
        <v>793</v>
      </c>
      <c r="K226" s="289">
        <v>181</v>
      </c>
      <c r="L226" s="289">
        <v>159</v>
      </c>
      <c r="M226" s="289">
        <v>1512</v>
      </c>
      <c r="N226" s="290">
        <v>474</v>
      </c>
      <c r="O226" s="290">
        <v>169</v>
      </c>
      <c r="P226" s="624">
        <v>79326.584666669994</v>
      </c>
      <c r="Q226" s="624">
        <v>34638.816333330004</v>
      </c>
      <c r="R226" s="624">
        <v>99</v>
      </c>
      <c r="S226" s="289"/>
      <c r="T226" s="289">
        <v>1704</v>
      </c>
      <c r="U226" s="716">
        <v>6.011682079430764E-3</v>
      </c>
      <c r="V226" s="289">
        <v>-18015.897938080001</v>
      </c>
      <c r="W226" s="743">
        <v>0.58541188</v>
      </c>
      <c r="X226" s="289">
        <v>2300</v>
      </c>
      <c r="Y226" s="289">
        <v>414.28399999999999</v>
      </c>
      <c r="Z226" s="289">
        <v>519985</v>
      </c>
      <c r="AA226" s="289">
        <v>0</v>
      </c>
      <c r="AB226" s="290">
        <v>528</v>
      </c>
      <c r="AC226" s="289">
        <v>0</v>
      </c>
      <c r="AD226" s="289">
        <v>0</v>
      </c>
      <c r="AE226" s="289">
        <v>0</v>
      </c>
      <c r="AF226" s="289">
        <v>0</v>
      </c>
      <c r="AG226" s="289">
        <v>20751</v>
      </c>
      <c r="AH226" s="289">
        <v>3309.85028689</v>
      </c>
      <c r="AI226" s="289">
        <v>0</v>
      </c>
      <c r="AJ226" s="289">
        <v>0</v>
      </c>
      <c r="AK226" s="289">
        <v>0</v>
      </c>
      <c r="AL226" s="289">
        <v>0</v>
      </c>
      <c r="AM226" s="836">
        <v>0.46913259000000002</v>
      </c>
      <c r="AN226" s="289">
        <v>0</v>
      </c>
      <c r="AO226" s="289">
        <v>804.29888566</v>
      </c>
      <c r="AP226" s="289">
        <v>0</v>
      </c>
      <c r="AQ226" s="289">
        <v>0</v>
      </c>
      <c r="AR226" s="289">
        <v>-1104.52801138</v>
      </c>
      <c r="AS226" s="289"/>
      <c r="AT226" s="289">
        <v>1100</v>
      </c>
      <c r="AU226" s="289">
        <v>184</v>
      </c>
      <c r="AV226" s="625">
        <v>480702</v>
      </c>
      <c r="AW226" s="289"/>
      <c r="AX226" s="625">
        <v>139.35166665</v>
      </c>
      <c r="AY226" s="289">
        <v>4542</v>
      </c>
      <c r="AZ226" s="289">
        <v>988</v>
      </c>
      <c r="BA226" s="290">
        <v>442</v>
      </c>
      <c r="BB226" s="289">
        <v>0</v>
      </c>
      <c r="BC226" s="289">
        <v>3582.5371010899999</v>
      </c>
      <c r="BD226" s="289">
        <v>327.61833466535234</v>
      </c>
      <c r="BE226" s="289">
        <v>502158.25022342999</v>
      </c>
      <c r="BF226" s="289">
        <v>0</v>
      </c>
      <c r="BG226" s="289">
        <v>-725.94690000000003</v>
      </c>
      <c r="BH226" s="289">
        <v>-58.591000000000001</v>
      </c>
      <c r="BI226" s="289">
        <v>3724.1342868900001</v>
      </c>
      <c r="BJ226" s="289">
        <v>0</v>
      </c>
      <c r="BK226" s="289">
        <v>0</v>
      </c>
      <c r="BL226" s="289">
        <v>0</v>
      </c>
      <c r="BM226" s="289">
        <v>0</v>
      </c>
      <c r="BN226" s="289">
        <v>1477.4440047347277</v>
      </c>
      <c r="BO226" s="289">
        <v>797.01173452858995</v>
      </c>
      <c r="BP226" s="289">
        <v>1878.8171236636254</v>
      </c>
      <c r="BQ226" s="289">
        <v>780.31633391011292</v>
      </c>
      <c r="BR226" s="289">
        <v>22.20524268287388</v>
      </c>
      <c r="BS226" s="289">
        <v>4.4509175989698546</v>
      </c>
      <c r="BT226" s="289">
        <v>0</v>
      </c>
      <c r="BU226" s="289">
        <v>0</v>
      </c>
      <c r="BV226" s="289">
        <v>54.706306922819934</v>
      </c>
      <c r="BW226" s="517"/>
      <c r="BX226" s="517"/>
      <c r="CA226" s="517"/>
      <c r="CB226" s="517"/>
    </row>
    <row r="227" spans="1:80" ht="13">
      <c r="A227" s="1">
        <v>3414</v>
      </c>
      <c r="B227" s="2" t="s">
        <v>829</v>
      </c>
      <c r="C227" s="289">
        <v>5024</v>
      </c>
      <c r="D227" s="289">
        <v>62</v>
      </c>
      <c r="E227" s="289">
        <v>166</v>
      </c>
      <c r="F227" s="289">
        <v>536</v>
      </c>
      <c r="G227" s="289">
        <v>441</v>
      </c>
      <c r="H227" s="289">
        <v>2754</v>
      </c>
      <c r="I227" s="289">
        <v>788</v>
      </c>
      <c r="J227" s="289">
        <v>271</v>
      </c>
      <c r="K227" s="289">
        <v>52</v>
      </c>
      <c r="L227" s="289">
        <v>49</v>
      </c>
      <c r="M227" s="289">
        <v>534</v>
      </c>
      <c r="N227" s="290">
        <v>13</v>
      </c>
      <c r="O227" s="290">
        <v>23</v>
      </c>
      <c r="P227" s="624">
        <v>22288.894333330001</v>
      </c>
      <c r="Q227" s="624">
        <v>14083.81533333</v>
      </c>
      <c r="R227" s="624">
        <v>41</v>
      </c>
      <c r="S227" s="289"/>
      <c r="T227" s="289">
        <v>431</v>
      </c>
      <c r="U227" s="716">
        <v>2.6584813570395497E-3</v>
      </c>
      <c r="V227" s="289">
        <v>2064.8163890800001</v>
      </c>
      <c r="W227" s="743">
        <v>0.69751741</v>
      </c>
      <c r="X227" s="289">
        <v>2300</v>
      </c>
      <c r="Y227" s="289">
        <v>414.28399999999999</v>
      </c>
      <c r="Z227" s="289">
        <v>112330</v>
      </c>
      <c r="AA227" s="289">
        <v>-1613.5143969000001</v>
      </c>
      <c r="AB227" s="290">
        <v>163</v>
      </c>
      <c r="AC227" s="289">
        <v>0</v>
      </c>
      <c r="AD227" s="289">
        <v>0</v>
      </c>
      <c r="AE227" s="289">
        <v>0</v>
      </c>
      <c r="AF227" s="289">
        <v>0</v>
      </c>
      <c r="AG227" s="289">
        <v>5070</v>
      </c>
      <c r="AH227" s="289">
        <v>716.77398249999999</v>
      </c>
      <c r="AI227" s="289">
        <v>1200</v>
      </c>
      <c r="AJ227" s="289">
        <v>0</v>
      </c>
      <c r="AK227" s="289">
        <v>0</v>
      </c>
      <c r="AL227" s="289">
        <v>0</v>
      </c>
      <c r="AM227" s="836">
        <v>8.5383470000000003E-2</v>
      </c>
      <c r="AN227" s="289">
        <v>5545</v>
      </c>
      <c r="AO227" s="289">
        <v>215.24193353999999</v>
      </c>
      <c r="AP227" s="289">
        <v>0</v>
      </c>
      <c r="AQ227" s="289">
        <v>0</v>
      </c>
      <c r="AR227" s="289">
        <v>-269.86444111999998</v>
      </c>
      <c r="AS227" s="289"/>
      <c r="AT227" s="289">
        <v>282</v>
      </c>
      <c r="AU227" s="289">
        <v>46</v>
      </c>
      <c r="AV227" s="625">
        <v>154193</v>
      </c>
      <c r="AW227" s="289"/>
      <c r="AX227" s="625">
        <v>22.826666700000001</v>
      </c>
      <c r="AY227" s="289">
        <v>699</v>
      </c>
      <c r="AZ227" s="289">
        <v>171</v>
      </c>
      <c r="BA227" s="290">
        <v>129</v>
      </c>
      <c r="BB227" s="289">
        <v>0</v>
      </c>
      <c r="BC227" s="289">
        <v>-2016.85766384</v>
      </c>
      <c r="BD227" s="289">
        <v>72.626085419803317</v>
      </c>
      <c r="BE227" s="289">
        <v>160348.24151343</v>
      </c>
      <c r="BF227" s="289">
        <v>0</v>
      </c>
      <c r="BG227" s="289">
        <v>-172.8039</v>
      </c>
      <c r="BH227" s="289">
        <v>-14.315300000000001</v>
      </c>
      <c r="BI227" s="289">
        <v>-482.45641440000003</v>
      </c>
      <c r="BJ227" s="289">
        <v>0</v>
      </c>
      <c r="BK227" s="289">
        <v>0</v>
      </c>
      <c r="BL227" s="289">
        <v>0</v>
      </c>
      <c r="BM227" s="289">
        <v>0</v>
      </c>
      <c r="BN227" s="289">
        <v>490.8991474417079</v>
      </c>
      <c r="BO227" s="289">
        <v>228.51485063818237</v>
      </c>
      <c r="BP227" s="289">
        <v>459.04307344101875</v>
      </c>
      <c r="BQ227" s="289">
        <v>345.07088014373346</v>
      </c>
      <c r="BR227" s="289">
        <v>4.9224346784533353</v>
      </c>
      <c r="BS227" s="289">
        <v>1.2676393958608232</v>
      </c>
      <c r="BT227" s="289">
        <v>0</v>
      </c>
      <c r="BU227" s="289">
        <v>0</v>
      </c>
      <c r="BV227" s="289">
        <v>24.1921803490599</v>
      </c>
      <c r="BW227" s="517"/>
      <c r="BX227" s="517"/>
      <c r="CA227" s="517"/>
      <c r="CB227" s="517"/>
    </row>
    <row r="228" spans="1:80" ht="13">
      <c r="A228" s="1">
        <v>3415</v>
      </c>
      <c r="B228" s="2" t="s">
        <v>830</v>
      </c>
      <c r="C228" s="289">
        <v>7879</v>
      </c>
      <c r="D228" s="289">
        <v>134</v>
      </c>
      <c r="E228" s="289">
        <v>284</v>
      </c>
      <c r="F228" s="289">
        <v>808</v>
      </c>
      <c r="G228" s="289">
        <v>670</v>
      </c>
      <c r="H228" s="289">
        <v>4579</v>
      </c>
      <c r="I228" s="289">
        <v>1034</v>
      </c>
      <c r="J228" s="289">
        <v>309</v>
      </c>
      <c r="K228" s="289">
        <v>76</v>
      </c>
      <c r="L228" s="289">
        <v>77</v>
      </c>
      <c r="M228" s="289">
        <v>665</v>
      </c>
      <c r="N228" s="290">
        <v>45</v>
      </c>
      <c r="O228" s="290">
        <v>58</v>
      </c>
      <c r="P228" s="624">
        <v>48470.906999999999</v>
      </c>
      <c r="Q228" s="624">
        <v>27054.883666670001</v>
      </c>
      <c r="R228" s="624">
        <v>27</v>
      </c>
      <c r="S228" s="289"/>
      <c r="T228" s="289">
        <v>636</v>
      </c>
      <c r="U228" s="716">
        <v>3.6687814279980397E-3</v>
      </c>
      <c r="V228" s="289">
        <v>2643.54071987</v>
      </c>
      <c r="W228" s="743">
        <v>0.64438304999999996</v>
      </c>
      <c r="X228" s="289">
        <v>1400</v>
      </c>
      <c r="Y228" s="289">
        <v>414.28399999999999</v>
      </c>
      <c r="Z228" s="289">
        <v>200711</v>
      </c>
      <c r="AA228" s="289">
        <v>-2091.24217426</v>
      </c>
      <c r="AB228" s="290">
        <v>215</v>
      </c>
      <c r="AC228" s="289">
        <v>0</v>
      </c>
      <c r="AD228" s="289">
        <v>0</v>
      </c>
      <c r="AE228" s="289">
        <v>0</v>
      </c>
      <c r="AF228" s="289">
        <v>0</v>
      </c>
      <c r="AG228" s="289">
        <v>7894</v>
      </c>
      <c r="AH228" s="289">
        <v>1136.5190578500001</v>
      </c>
      <c r="AI228" s="289">
        <v>400</v>
      </c>
      <c r="AJ228" s="289">
        <v>0</v>
      </c>
      <c r="AK228" s="289">
        <v>0</v>
      </c>
      <c r="AL228" s="289">
        <v>0</v>
      </c>
      <c r="AM228" s="836">
        <v>0.16691079</v>
      </c>
      <c r="AN228" s="289">
        <v>4017</v>
      </c>
      <c r="AO228" s="289">
        <v>297.81984892999998</v>
      </c>
      <c r="AP228" s="289">
        <v>0</v>
      </c>
      <c r="AQ228" s="289">
        <v>0</v>
      </c>
      <c r="AR228" s="289">
        <v>5505.0234791499997</v>
      </c>
      <c r="AS228" s="289"/>
      <c r="AT228" s="289">
        <v>530</v>
      </c>
      <c r="AU228" s="289">
        <v>75</v>
      </c>
      <c r="AV228" s="625">
        <v>190874</v>
      </c>
      <c r="AW228" s="289"/>
      <c r="AX228" s="625">
        <v>42.985000049999996</v>
      </c>
      <c r="AY228" s="289">
        <v>1227</v>
      </c>
      <c r="AZ228" s="289">
        <v>261</v>
      </c>
      <c r="BA228" s="290">
        <v>150</v>
      </c>
      <c r="BB228" s="289">
        <v>0</v>
      </c>
      <c r="BC228" s="289">
        <v>-2550.9708443700001</v>
      </c>
      <c r="BD228" s="289">
        <v>113.28928432024453</v>
      </c>
      <c r="BE228" s="289">
        <v>192105.08996901999</v>
      </c>
      <c r="BF228" s="289">
        <v>0</v>
      </c>
      <c r="BG228" s="289">
        <v>-264.26580000000001</v>
      </c>
      <c r="BH228" s="289">
        <v>-22.288900000000002</v>
      </c>
      <c r="BI228" s="289">
        <v>-540.43911641</v>
      </c>
      <c r="BJ228" s="289">
        <v>0</v>
      </c>
      <c r="BK228" s="289">
        <v>0</v>
      </c>
      <c r="BL228" s="289">
        <v>0</v>
      </c>
      <c r="BM228" s="289">
        <v>0</v>
      </c>
      <c r="BN228" s="289">
        <v>593.1703095311999</v>
      </c>
      <c r="BO228" s="289">
        <v>330.95218023385598</v>
      </c>
      <c r="BP228" s="289">
        <v>714.73097075806754</v>
      </c>
      <c r="BQ228" s="289">
        <v>476.20782935414547</v>
      </c>
      <c r="BR228" s="289">
        <v>7.6784959372610206</v>
      </c>
      <c r="BS228" s="289">
        <v>1.8311227715813911</v>
      </c>
      <c r="BT228" s="289">
        <v>0</v>
      </c>
      <c r="BU228" s="289">
        <v>0</v>
      </c>
      <c r="BV228" s="289">
        <v>33.385910994782151</v>
      </c>
      <c r="BW228" s="517"/>
      <c r="BX228" s="517"/>
      <c r="CA228" s="517"/>
      <c r="CB228" s="517"/>
    </row>
    <row r="229" spans="1:80" ht="13">
      <c r="A229" s="1">
        <v>3416</v>
      </c>
      <c r="B229" s="2" t="s">
        <v>831</v>
      </c>
      <c r="C229" s="289">
        <v>6114</v>
      </c>
      <c r="D229" s="289">
        <v>88</v>
      </c>
      <c r="E229" s="289">
        <v>189</v>
      </c>
      <c r="F229" s="289">
        <v>573</v>
      </c>
      <c r="G229" s="289">
        <v>510</v>
      </c>
      <c r="H229" s="289">
        <v>3446</v>
      </c>
      <c r="I229" s="289">
        <v>949</v>
      </c>
      <c r="J229" s="289">
        <v>292</v>
      </c>
      <c r="K229" s="289">
        <v>93</v>
      </c>
      <c r="L229" s="289">
        <v>59</v>
      </c>
      <c r="M229" s="289">
        <v>662</v>
      </c>
      <c r="N229" s="290">
        <v>51</v>
      </c>
      <c r="O229" s="290">
        <v>19</v>
      </c>
      <c r="P229" s="624">
        <v>35156.654999999999</v>
      </c>
      <c r="Q229" s="624">
        <v>12274.805666669999</v>
      </c>
      <c r="R229" s="624">
        <v>67</v>
      </c>
      <c r="S229" s="289"/>
      <c r="T229" s="289">
        <v>593</v>
      </c>
      <c r="U229" s="716">
        <v>3.3096432486390366E-3</v>
      </c>
      <c r="V229" s="289">
        <v>-2195.0547604600001</v>
      </c>
      <c r="W229" s="743">
        <v>0.64992801</v>
      </c>
      <c r="X229" s="289">
        <v>2700</v>
      </c>
      <c r="Y229" s="289">
        <v>414.28399999999999</v>
      </c>
      <c r="Z229" s="289">
        <v>133453</v>
      </c>
      <c r="AA229" s="289">
        <v>-1956.85762249</v>
      </c>
      <c r="AB229" s="290">
        <v>234</v>
      </c>
      <c r="AC229" s="289">
        <v>0</v>
      </c>
      <c r="AD229" s="289">
        <v>0</v>
      </c>
      <c r="AE229" s="289">
        <v>0</v>
      </c>
      <c r="AF229" s="289">
        <v>0</v>
      </c>
      <c r="AG229" s="289">
        <v>6140</v>
      </c>
      <c r="AH229" s="289">
        <v>805.32485387999998</v>
      </c>
      <c r="AI229" s="289">
        <v>0</v>
      </c>
      <c r="AJ229" s="289">
        <v>0</v>
      </c>
      <c r="AK229" s="289">
        <v>0</v>
      </c>
      <c r="AL229" s="289">
        <v>0</v>
      </c>
      <c r="AM229" s="836">
        <v>0.222944</v>
      </c>
      <c r="AN229" s="289">
        <v>8096</v>
      </c>
      <c r="AO229" s="289">
        <v>264.8663689</v>
      </c>
      <c r="AP229" s="289">
        <v>0</v>
      </c>
      <c r="AQ229" s="289">
        <v>0</v>
      </c>
      <c r="AR229" s="289">
        <v>-326.81808057000001</v>
      </c>
      <c r="AS229" s="289"/>
      <c r="AT229" s="289">
        <v>442</v>
      </c>
      <c r="AU229" s="289">
        <v>67</v>
      </c>
      <c r="AV229" s="625">
        <v>189520</v>
      </c>
      <c r="AW229" s="289"/>
      <c r="AX229" s="625">
        <v>26.86999995</v>
      </c>
      <c r="AY229" s="289">
        <v>816</v>
      </c>
      <c r="AZ229" s="289">
        <v>284</v>
      </c>
      <c r="BA229" s="290">
        <v>151</v>
      </c>
      <c r="BB229" s="289">
        <v>0</v>
      </c>
      <c r="BC229" s="289">
        <v>-2589.6923505700001</v>
      </c>
      <c r="BD229" s="289">
        <v>109.3752090793252</v>
      </c>
      <c r="BE229" s="289">
        <v>196306.97303287001</v>
      </c>
      <c r="BF229" s="289">
        <v>0</v>
      </c>
      <c r="BG229" s="289">
        <v>-184.2046</v>
      </c>
      <c r="BH229" s="289">
        <v>-17.336400000000001</v>
      </c>
      <c r="BI229" s="289">
        <v>-737.24876860999996</v>
      </c>
      <c r="BJ229" s="289">
        <v>0</v>
      </c>
      <c r="BK229" s="289">
        <v>0</v>
      </c>
      <c r="BL229" s="289">
        <v>0</v>
      </c>
      <c r="BM229" s="289">
        <v>0</v>
      </c>
      <c r="BN229" s="289">
        <v>645.84374727753357</v>
      </c>
      <c r="BO229" s="289">
        <v>266.90961884618463</v>
      </c>
      <c r="BP229" s="289">
        <v>555.92198637630281</v>
      </c>
      <c r="BQ229" s="289">
        <v>429.59169367334687</v>
      </c>
      <c r="BR229" s="289">
        <v>7.4132086153764876</v>
      </c>
      <c r="BS229" s="289">
        <v>1.4698881770687686</v>
      </c>
      <c r="BT229" s="289">
        <v>0</v>
      </c>
      <c r="BU229" s="289">
        <v>0</v>
      </c>
      <c r="BV229" s="289">
        <v>30.117753562615228</v>
      </c>
      <c r="BW229" s="517"/>
      <c r="BX229" s="517"/>
      <c r="CA229" s="517"/>
      <c r="CB229" s="517"/>
    </row>
    <row r="230" spans="1:80" ht="13">
      <c r="A230" s="1">
        <v>3417</v>
      </c>
      <c r="B230" s="2" t="s">
        <v>832</v>
      </c>
      <c r="C230" s="289">
        <v>4646</v>
      </c>
      <c r="D230" s="289">
        <v>44</v>
      </c>
      <c r="E230" s="289">
        <v>118</v>
      </c>
      <c r="F230" s="289">
        <v>419</v>
      </c>
      <c r="G230" s="289">
        <v>375</v>
      </c>
      <c r="H230" s="289">
        <v>2548</v>
      </c>
      <c r="I230" s="289">
        <v>825</v>
      </c>
      <c r="J230" s="289">
        <v>275</v>
      </c>
      <c r="K230" s="289">
        <v>83</v>
      </c>
      <c r="L230" s="289">
        <v>44</v>
      </c>
      <c r="M230" s="289">
        <v>574</v>
      </c>
      <c r="N230" s="290">
        <v>78</v>
      </c>
      <c r="O230" s="290">
        <v>35</v>
      </c>
      <c r="P230" s="624">
        <v>34449.27366667</v>
      </c>
      <c r="Q230" s="624">
        <v>15162.516</v>
      </c>
      <c r="R230" s="624">
        <v>30</v>
      </c>
      <c r="S230" s="289"/>
      <c r="T230" s="289">
        <v>486</v>
      </c>
      <c r="U230" s="716">
        <v>3.8329430631187053E-3</v>
      </c>
      <c r="V230" s="289">
        <v>1248.2303821099999</v>
      </c>
      <c r="W230" s="743">
        <v>0.69835402000000002</v>
      </c>
      <c r="X230" s="289">
        <v>3400</v>
      </c>
      <c r="Y230" s="289">
        <v>414.28399999999999</v>
      </c>
      <c r="Z230" s="289">
        <v>108099</v>
      </c>
      <c r="AA230" s="289">
        <v>-1692.2765169700001</v>
      </c>
      <c r="AB230" s="290">
        <v>137</v>
      </c>
      <c r="AC230" s="289">
        <v>0</v>
      </c>
      <c r="AD230" s="289">
        <v>0</v>
      </c>
      <c r="AE230" s="289">
        <v>0</v>
      </c>
      <c r="AF230" s="289">
        <v>0</v>
      </c>
      <c r="AG230" s="289">
        <v>4687</v>
      </c>
      <c r="AH230" s="289">
        <v>557.80076458999997</v>
      </c>
      <c r="AI230" s="289">
        <v>200</v>
      </c>
      <c r="AJ230" s="289">
        <v>0</v>
      </c>
      <c r="AK230" s="289">
        <v>0</v>
      </c>
      <c r="AL230" s="289">
        <v>0</v>
      </c>
      <c r="AM230" s="836">
        <v>0.12870534</v>
      </c>
      <c r="AN230" s="289">
        <v>6530</v>
      </c>
      <c r="AO230" s="289">
        <v>201.18013449</v>
      </c>
      <c r="AP230" s="289">
        <v>0</v>
      </c>
      <c r="AQ230" s="289">
        <v>0</v>
      </c>
      <c r="AR230" s="289">
        <v>3890.0357535799999</v>
      </c>
      <c r="AS230" s="289"/>
      <c r="AT230" s="289">
        <v>315</v>
      </c>
      <c r="AU230" s="289">
        <v>45</v>
      </c>
      <c r="AV230" s="625">
        <v>153445</v>
      </c>
      <c r="AW230" s="289"/>
      <c r="AX230" s="625">
        <v>22.16500005</v>
      </c>
      <c r="AY230" s="289">
        <v>720</v>
      </c>
      <c r="AZ230" s="289">
        <v>204</v>
      </c>
      <c r="BA230" s="290">
        <v>93</v>
      </c>
      <c r="BB230" s="289">
        <v>0</v>
      </c>
      <c r="BC230" s="289">
        <v>-2307.1501382500001</v>
      </c>
      <c r="BD230" s="289">
        <v>81.053393521337298</v>
      </c>
      <c r="BE230" s="289">
        <v>152947.04498755001</v>
      </c>
      <c r="BF230" s="289">
        <v>0</v>
      </c>
      <c r="BG230" s="289">
        <v>-143.14189999999999</v>
      </c>
      <c r="BH230" s="289">
        <v>-13.2339</v>
      </c>
      <c r="BI230" s="289">
        <v>-720.19175238000003</v>
      </c>
      <c r="BJ230" s="289">
        <v>0</v>
      </c>
      <c r="BK230" s="289">
        <v>0</v>
      </c>
      <c r="BL230" s="289">
        <v>0</v>
      </c>
      <c r="BM230" s="289">
        <v>0</v>
      </c>
      <c r="BN230" s="289">
        <v>490.88767788370234</v>
      </c>
      <c r="BO230" s="289">
        <v>224.08867444287932</v>
      </c>
      <c r="BP230" s="289">
        <v>424.36585507259463</v>
      </c>
      <c r="BQ230" s="289">
        <v>497.51600959280785</v>
      </c>
      <c r="BR230" s="289">
        <v>5.4936188942239728</v>
      </c>
      <c r="BS230" s="289">
        <v>1.1865784831941899</v>
      </c>
      <c r="BT230" s="289">
        <v>0</v>
      </c>
      <c r="BU230" s="289">
        <v>0</v>
      </c>
      <c r="BV230" s="289">
        <v>34.879781874380214</v>
      </c>
      <c r="BW230" s="517"/>
      <c r="BX230" s="517"/>
      <c r="CA230" s="517"/>
      <c r="CB230" s="517"/>
    </row>
    <row r="231" spans="1:80" ht="13">
      <c r="A231" s="1">
        <v>3418</v>
      </c>
      <c r="B231" s="2" t="s">
        <v>833</v>
      </c>
      <c r="C231" s="289">
        <v>7214</v>
      </c>
      <c r="D231" s="289">
        <v>99</v>
      </c>
      <c r="E231" s="289">
        <v>235</v>
      </c>
      <c r="F231" s="289">
        <v>684</v>
      </c>
      <c r="G231" s="289">
        <v>552</v>
      </c>
      <c r="H231" s="289">
        <v>3956</v>
      </c>
      <c r="I231" s="289">
        <v>1230</v>
      </c>
      <c r="J231" s="289">
        <v>395</v>
      </c>
      <c r="K231" s="289">
        <v>91</v>
      </c>
      <c r="L231" s="289">
        <v>73</v>
      </c>
      <c r="M231" s="289">
        <v>847</v>
      </c>
      <c r="N231" s="290">
        <v>79</v>
      </c>
      <c r="O231" s="290">
        <v>47</v>
      </c>
      <c r="P231" s="624">
        <v>36445.303333329997</v>
      </c>
      <c r="Q231" s="624">
        <v>26235.94</v>
      </c>
      <c r="R231" s="624">
        <v>50</v>
      </c>
      <c r="S231" s="289"/>
      <c r="T231" s="289">
        <v>722</v>
      </c>
      <c r="U231" s="716">
        <v>6.4177250960366769E-3</v>
      </c>
      <c r="V231" s="289">
        <v>1973.70561677</v>
      </c>
      <c r="W231" s="743">
        <v>0.66062882000000001</v>
      </c>
      <c r="X231" s="289">
        <v>3300</v>
      </c>
      <c r="Y231" s="289">
        <v>414.28399999999999</v>
      </c>
      <c r="Z231" s="289">
        <v>163873</v>
      </c>
      <c r="AA231" s="289">
        <v>-2847.2935085700001</v>
      </c>
      <c r="AB231" s="290">
        <v>268</v>
      </c>
      <c r="AC231" s="289">
        <v>712</v>
      </c>
      <c r="AD231" s="289">
        <v>0</v>
      </c>
      <c r="AE231" s="289">
        <v>0</v>
      </c>
      <c r="AF231" s="289">
        <v>0</v>
      </c>
      <c r="AG231" s="289">
        <v>7242</v>
      </c>
      <c r="AH231" s="289">
        <v>948.26129979999996</v>
      </c>
      <c r="AI231" s="289">
        <v>0</v>
      </c>
      <c r="AJ231" s="289">
        <v>0</v>
      </c>
      <c r="AK231" s="289">
        <v>0</v>
      </c>
      <c r="AL231" s="289">
        <v>0</v>
      </c>
      <c r="AM231" s="836">
        <v>0.21701439</v>
      </c>
      <c r="AN231" s="289">
        <v>9366</v>
      </c>
      <c r="AO231" s="289">
        <v>306.88025651999999</v>
      </c>
      <c r="AP231" s="289">
        <v>0</v>
      </c>
      <c r="AQ231" s="289">
        <v>0</v>
      </c>
      <c r="AR231" s="289">
        <v>6933.58854273</v>
      </c>
      <c r="AS231" s="289"/>
      <c r="AT231" s="289">
        <v>476</v>
      </c>
      <c r="AU231" s="289">
        <v>66</v>
      </c>
      <c r="AV231" s="625">
        <v>226605</v>
      </c>
      <c r="AW231" s="289"/>
      <c r="AX231" s="625">
        <v>30.52000005</v>
      </c>
      <c r="AY231" s="289">
        <v>1116</v>
      </c>
      <c r="AZ231" s="289">
        <v>366</v>
      </c>
      <c r="BA231" s="290">
        <v>158</v>
      </c>
      <c r="BB231" s="289">
        <v>0</v>
      </c>
      <c r="BC231" s="289">
        <v>-4208.7861705300002</v>
      </c>
      <c r="BD231" s="289">
        <v>126.7720199093561</v>
      </c>
      <c r="BE231" s="289">
        <v>227958.30781994999</v>
      </c>
      <c r="BF231" s="289">
        <v>0</v>
      </c>
      <c r="BG231" s="289">
        <v>-225.0472</v>
      </c>
      <c r="BH231" s="289">
        <v>-20.448</v>
      </c>
      <c r="BI231" s="289">
        <v>-1484.74820877</v>
      </c>
      <c r="BJ231" s="289">
        <v>0</v>
      </c>
      <c r="BK231" s="289">
        <v>0</v>
      </c>
      <c r="BL231" s="289">
        <v>0</v>
      </c>
      <c r="BM231" s="289">
        <v>0</v>
      </c>
      <c r="BN231" s="289">
        <v>715.26685046182115</v>
      </c>
      <c r="BO231" s="289">
        <v>324.37472895362885</v>
      </c>
      <c r="BP231" s="289">
        <v>655.69821259563275</v>
      </c>
      <c r="BQ231" s="289">
        <v>833.02071746556055</v>
      </c>
      <c r="BR231" s="289">
        <v>8.5923257938563609</v>
      </c>
      <c r="BS231" s="289">
        <v>1.6956015458668972</v>
      </c>
      <c r="BT231" s="289">
        <v>0</v>
      </c>
      <c r="BU231" s="289">
        <v>0</v>
      </c>
      <c r="BV231" s="289">
        <v>58.401298373933741</v>
      </c>
      <c r="BW231" s="517"/>
      <c r="BX231" s="517"/>
      <c r="CA231" s="517"/>
      <c r="CB231" s="517"/>
    </row>
    <row r="232" spans="1:80" ht="13">
      <c r="A232" s="1">
        <v>3419</v>
      </c>
      <c r="B232" s="2" t="s">
        <v>799</v>
      </c>
      <c r="C232" s="289">
        <v>3705</v>
      </c>
      <c r="D232" s="289">
        <v>54</v>
      </c>
      <c r="E232" s="289">
        <v>105</v>
      </c>
      <c r="F232" s="289">
        <v>353</v>
      </c>
      <c r="G232" s="289">
        <v>269</v>
      </c>
      <c r="H232" s="289">
        <v>2042</v>
      </c>
      <c r="I232" s="289">
        <v>620</v>
      </c>
      <c r="J232" s="289">
        <v>199</v>
      </c>
      <c r="K232" s="289">
        <v>53</v>
      </c>
      <c r="L232" s="289">
        <v>37</v>
      </c>
      <c r="M232" s="289">
        <v>393</v>
      </c>
      <c r="N232" s="290">
        <v>10</v>
      </c>
      <c r="O232" s="290">
        <v>19</v>
      </c>
      <c r="P232" s="624">
        <v>21491.666000000001</v>
      </c>
      <c r="Q232" s="624">
        <v>17728.284666669999</v>
      </c>
      <c r="R232" s="624">
        <v>21</v>
      </c>
      <c r="S232" s="289"/>
      <c r="T232" s="289">
        <v>355</v>
      </c>
      <c r="U232" s="716">
        <v>3.056546105379128E-3</v>
      </c>
      <c r="V232" s="289">
        <v>1556.8845512600001</v>
      </c>
      <c r="W232" s="743">
        <v>0.71018327999999997</v>
      </c>
      <c r="X232" s="289">
        <v>1900</v>
      </c>
      <c r="Y232" s="289">
        <v>0</v>
      </c>
      <c r="Z232" s="289">
        <v>84330</v>
      </c>
      <c r="AA232" s="289">
        <v>-1206.13166297</v>
      </c>
      <c r="AB232" s="290">
        <v>140</v>
      </c>
      <c r="AC232" s="289">
        <v>0</v>
      </c>
      <c r="AD232" s="289">
        <v>0</v>
      </c>
      <c r="AE232" s="289">
        <v>0</v>
      </c>
      <c r="AF232" s="289">
        <v>0</v>
      </c>
      <c r="AG232" s="289">
        <v>3695</v>
      </c>
      <c r="AH232" s="289">
        <v>469.24989320999998</v>
      </c>
      <c r="AI232" s="289">
        <v>600</v>
      </c>
      <c r="AJ232" s="289">
        <v>0</v>
      </c>
      <c r="AK232" s="289">
        <v>6.8819999999999997</v>
      </c>
      <c r="AL232" s="289">
        <v>0</v>
      </c>
      <c r="AM232" s="836">
        <v>7.9920550000000007E-2</v>
      </c>
      <c r="AN232" s="289">
        <v>5346</v>
      </c>
      <c r="AO232" s="289">
        <v>157.66018886000001</v>
      </c>
      <c r="AP232" s="289">
        <v>0</v>
      </c>
      <c r="AQ232" s="289">
        <v>0</v>
      </c>
      <c r="AR232" s="289">
        <v>-196.67635304999999</v>
      </c>
      <c r="AS232" s="289"/>
      <c r="AT232" s="289">
        <v>202</v>
      </c>
      <c r="AU232" s="289">
        <v>38</v>
      </c>
      <c r="AV232" s="625">
        <v>115742</v>
      </c>
      <c r="AW232" s="289"/>
      <c r="AX232" s="625">
        <v>27.06</v>
      </c>
      <c r="AY232" s="289">
        <v>562</v>
      </c>
      <c r="AZ232" s="289">
        <v>141</v>
      </c>
      <c r="BA232" s="290">
        <v>70</v>
      </c>
      <c r="BB232" s="289">
        <v>0</v>
      </c>
      <c r="BC232" s="289">
        <v>-1873.0838778</v>
      </c>
      <c r="BD232" s="289">
        <v>59.123880379905053</v>
      </c>
      <c r="BE232" s="289">
        <v>119127.18881036001</v>
      </c>
      <c r="BF232" s="289">
        <v>0</v>
      </c>
      <c r="BG232" s="289">
        <v>-121.19280000000001</v>
      </c>
      <c r="BH232" s="289">
        <v>-10.4329</v>
      </c>
      <c r="BI232" s="289">
        <v>-736.88176976</v>
      </c>
      <c r="BJ232" s="289">
        <v>414.28399999999999</v>
      </c>
      <c r="BK232" s="289">
        <v>0</v>
      </c>
      <c r="BL232" s="289">
        <v>0</v>
      </c>
      <c r="BM232" s="289">
        <v>0</v>
      </c>
      <c r="BN232" s="289">
        <v>360.42583719375699</v>
      </c>
      <c r="BO232" s="289">
        <v>181.12128102169925</v>
      </c>
      <c r="BP232" s="289">
        <v>334.54914326717244</v>
      </c>
      <c r="BQ232" s="289">
        <v>396.73968447821079</v>
      </c>
      <c r="BR232" s="289">
        <v>4.0072852257491194</v>
      </c>
      <c r="BS232" s="289">
        <v>0.98979622643781218</v>
      </c>
      <c r="BT232" s="289">
        <v>0</v>
      </c>
      <c r="BU232" s="289">
        <v>0</v>
      </c>
      <c r="BV232" s="289">
        <v>27.814569558950065</v>
      </c>
      <c r="BW232" s="517"/>
      <c r="BX232" s="517"/>
      <c r="CA232" s="517"/>
      <c r="CB232" s="517"/>
    </row>
    <row r="233" spans="1:80" ht="13">
      <c r="A233" s="1">
        <v>3420</v>
      </c>
      <c r="B233" s="2" t="s">
        <v>834</v>
      </c>
      <c r="C233" s="289">
        <v>21191</v>
      </c>
      <c r="D233" s="289">
        <v>448</v>
      </c>
      <c r="E233" s="289">
        <v>887</v>
      </c>
      <c r="F233" s="289">
        <v>2524</v>
      </c>
      <c r="G233" s="289">
        <v>1848</v>
      </c>
      <c r="H233" s="289">
        <v>11728</v>
      </c>
      <c r="I233" s="289">
        <v>2632</v>
      </c>
      <c r="J233" s="289">
        <v>823</v>
      </c>
      <c r="K233" s="289">
        <v>206</v>
      </c>
      <c r="L233" s="289">
        <v>173</v>
      </c>
      <c r="M233" s="289">
        <v>1754</v>
      </c>
      <c r="N233" s="290">
        <v>573</v>
      </c>
      <c r="O233" s="290">
        <v>224</v>
      </c>
      <c r="P233" s="624">
        <v>64664.015666669999</v>
      </c>
      <c r="Q233" s="624">
        <v>43526.247666670002</v>
      </c>
      <c r="R233" s="624">
        <v>69</v>
      </c>
      <c r="S233" s="289"/>
      <c r="T233" s="289">
        <v>1743</v>
      </c>
      <c r="U233" s="716">
        <v>4.2176602613183721E-3</v>
      </c>
      <c r="V233" s="289">
        <v>8627.1912988700005</v>
      </c>
      <c r="W233" s="743">
        <v>0.57595626</v>
      </c>
      <c r="X233" s="289">
        <v>2200</v>
      </c>
      <c r="Y233" s="289">
        <v>414.28399999999999</v>
      </c>
      <c r="Z233" s="289">
        <v>535565</v>
      </c>
      <c r="AA233" s="289">
        <v>0</v>
      </c>
      <c r="AB233" s="290">
        <v>517</v>
      </c>
      <c r="AC233" s="289">
        <v>0</v>
      </c>
      <c r="AD233" s="289">
        <v>0</v>
      </c>
      <c r="AE233" s="289">
        <v>0</v>
      </c>
      <c r="AF233" s="289">
        <v>0</v>
      </c>
      <c r="AG233" s="289">
        <v>21096</v>
      </c>
      <c r="AH233" s="289">
        <v>3381.6671353299998</v>
      </c>
      <c r="AI233" s="289">
        <v>400</v>
      </c>
      <c r="AJ233" s="289">
        <v>0</v>
      </c>
      <c r="AK233" s="289">
        <v>0</v>
      </c>
      <c r="AL233" s="289">
        <v>0</v>
      </c>
      <c r="AM233" s="836">
        <v>0.53259234</v>
      </c>
      <c r="AN233" s="289">
        <v>0</v>
      </c>
      <c r="AO233" s="289">
        <v>823.10276876</v>
      </c>
      <c r="AP233" s="289">
        <v>0</v>
      </c>
      <c r="AQ233" s="289">
        <v>0</v>
      </c>
      <c r="AR233" s="289">
        <v>-1122.89156802</v>
      </c>
      <c r="AS233" s="289"/>
      <c r="AT233" s="289">
        <v>1187</v>
      </c>
      <c r="AU233" s="289">
        <v>201</v>
      </c>
      <c r="AV233" s="625">
        <v>519318</v>
      </c>
      <c r="AW233" s="289"/>
      <c r="AX233" s="625">
        <v>167.80666665000001</v>
      </c>
      <c r="AY233" s="289">
        <v>5044</v>
      </c>
      <c r="AZ233" s="289">
        <v>996</v>
      </c>
      <c r="BA233" s="290">
        <v>535</v>
      </c>
      <c r="BB233" s="289">
        <v>0</v>
      </c>
      <c r="BC233" s="289">
        <v>3686.7470808899998</v>
      </c>
      <c r="BD233" s="289">
        <v>343.39682047104804</v>
      </c>
      <c r="BE233" s="289">
        <v>544658.26896700996</v>
      </c>
      <c r="BF233" s="289">
        <v>0</v>
      </c>
      <c r="BG233" s="289">
        <v>-784.40049999999997</v>
      </c>
      <c r="BH233" s="289">
        <v>-59.565100000000001</v>
      </c>
      <c r="BI233" s="289">
        <v>3795.9511353299999</v>
      </c>
      <c r="BJ233" s="289">
        <v>0</v>
      </c>
      <c r="BK233" s="289">
        <v>0</v>
      </c>
      <c r="BL233" s="289">
        <v>0</v>
      </c>
      <c r="BM233" s="289">
        <v>0</v>
      </c>
      <c r="BN233" s="289">
        <v>1490.4431031701461</v>
      </c>
      <c r="BO233" s="289">
        <v>814.4457006979145</v>
      </c>
      <c r="BP233" s="289">
        <v>1910.0537825072449</v>
      </c>
      <c r="BQ233" s="289">
        <v>547.45230191912458</v>
      </c>
      <c r="BR233" s="289">
        <v>23.274673387482146</v>
      </c>
      <c r="BS233" s="289">
        <v>4.5169785978409704</v>
      </c>
      <c r="BT233" s="289">
        <v>0</v>
      </c>
      <c r="BU233" s="289">
        <v>0</v>
      </c>
      <c r="BV233" s="289">
        <v>38.380708377997173</v>
      </c>
      <c r="BW233" s="517"/>
      <c r="BX233" s="517"/>
      <c r="CA233" s="517"/>
      <c r="CB233" s="517"/>
    </row>
    <row r="234" spans="1:80" ht="13">
      <c r="A234" s="1">
        <v>3421</v>
      </c>
      <c r="B234" s="2" t="s">
        <v>835</v>
      </c>
      <c r="C234" s="289">
        <v>6607</v>
      </c>
      <c r="D234" s="289">
        <v>103</v>
      </c>
      <c r="E234" s="289">
        <v>215</v>
      </c>
      <c r="F234" s="289">
        <v>682</v>
      </c>
      <c r="G234" s="289">
        <v>491</v>
      </c>
      <c r="H234" s="289">
        <v>3584</v>
      </c>
      <c r="I234" s="289">
        <v>1068</v>
      </c>
      <c r="J234" s="289">
        <v>344</v>
      </c>
      <c r="K234" s="289">
        <v>90</v>
      </c>
      <c r="L234" s="289">
        <v>57</v>
      </c>
      <c r="M234" s="289">
        <v>724</v>
      </c>
      <c r="N234" s="290">
        <v>65</v>
      </c>
      <c r="O234" s="290">
        <v>42</v>
      </c>
      <c r="P234" s="624">
        <v>99320.888999999996</v>
      </c>
      <c r="Q234" s="624">
        <v>30964.930333330001</v>
      </c>
      <c r="R234" s="624">
        <v>40</v>
      </c>
      <c r="S234" s="289"/>
      <c r="T234" s="289">
        <v>633</v>
      </c>
      <c r="U234" s="716">
        <v>3.1902095905893503E-3</v>
      </c>
      <c r="V234" s="289">
        <v>-1128.4006494099999</v>
      </c>
      <c r="W234" s="743">
        <v>0.83244483999999996</v>
      </c>
      <c r="X234" s="289">
        <v>1200</v>
      </c>
      <c r="Y234" s="289">
        <v>414.28399999999999</v>
      </c>
      <c r="Z234" s="289">
        <v>174031</v>
      </c>
      <c r="AA234" s="289">
        <v>0</v>
      </c>
      <c r="AB234" s="290">
        <v>128</v>
      </c>
      <c r="AC234" s="289">
        <v>0</v>
      </c>
      <c r="AD234" s="289">
        <v>0</v>
      </c>
      <c r="AE234" s="289">
        <v>0</v>
      </c>
      <c r="AF234" s="289">
        <v>0</v>
      </c>
      <c r="AG234" s="289">
        <v>6577</v>
      </c>
      <c r="AH234" s="289">
        <v>901.54548577000003</v>
      </c>
      <c r="AI234" s="289">
        <v>500</v>
      </c>
      <c r="AJ234" s="289">
        <v>0</v>
      </c>
      <c r="AK234" s="289">
        <v>187.328</v>
      </c>
      <c r="AL234" s="289">
        <v>0</v>
      </c>
      <c r="AM234" s="836">
        <v>0.18839981</v>
      </c>
      <c r="AN234" s="289">
        <v>8570</v>
      </c>
      <c r="AO234" s="289">
        <v>284.54465398999997</v>
      </c>
      <c r="AP234" s="289">
        <v>0</v>
      </c>
      <c r="AQ234" s="289">
        <v>0</v>
      </c>
      <c r="AR234" s="289">
        <v>-350.07858564999998</v>
      </c>
      <c r="AS234" s="289"/>
      <c r="AT234" s="289">
        <v>366</v>
      </c>
      <c r="AU234" s="289">
        <v>79</v>
      </c>
      <c r="AV234" s="625">
        <v>206211</v>
      </c>
      <c r="AW234" s="289"/>
      <c r="AX234" s="625">
        <v>36.106666699999998</v>
      </c>
      <c r="AY234" s="289">
        <v>1057</v>
      </c>
      <c r="AZ234" s="289">
        <v>281</v>
      </c>
      <c r="BA234" s="290">
        <v>114</v>
      </c>
      <c r="BB234" s="289">
        <v>0</v>
      </c>
      <c r="BC234" s="289">
        <v>1252.5378788099999</v>
      </c>
      <c r="BD234" s="289">
        <v>100.50185531508777</v>
      </c>
      <c r="BE234" s="289">
        <v>212929.83467660999</v>
      </c>
      <c r="BF234" s="289">
        <v>0</v>
      </c>
      <c r="BG234" s="289">
        <v>-238.97829999999999</v>
      </c>
      <c r="BH234" s="289">
        <v>-18.5703</v>
      </c>
      <c r="BI234" s="289">
        <v>1315.82948577</v>
      </c>
      <c r="BJ234" s="289">
        <v>0</v>
      </c>
      <c r="BK234" s="289">
        <v>0</v>
      </c>
      <c r="BL234" s="289">
        <v>0</v>
      </c>
      <c r="BM234" s="289">
        <v>0</v>
      </c>
      <c r="BN234" s="289">
        <v>636.6807906875739</v>
      </c>
      <c r="BO234" s="289">
        <v>324.27068461169176</v>
      </c>
      <c r="BP234" s="289">
        <v>595.48842091155439</v>
      </c>
      <c r="BQ234" s="289">
        <v>414.08920485849762</v>
      </c>
      <c r="BR234" s="289">
        <v>6.8117924158003929</v>
      </c>
      <c r="BS234" s="289">
        <v>1.6188690804206709</v>
      </c>
      <c r="BT234" s="289">
        <v>0</v>
      </c>
      <c r="BU234" s="289">
        <v>0</v>
      </c>
      <c r="BV234" s="289">
        <v>29.030907274363081</v>
      </c>
      <c r="BW234" s="517"/>
      <c r="BX234" s="517"/>
      <c r="CA234" s="517"/>
      <c r="CB234" s="517"/>
    </row>
    <row r="235" spans="1:80" ht="13">
      <c r="A235" s="1">
        <v>3422</v>
      </c>
      <c r="B235" s="2" t="s">
        <v>836</v>
      </c>
      <c r="C235" s="289">
        <v>4407</v>
      </c>
      <c r="D235" s="289">
        <v>70</v>
      </c>
      <c r="E235" s="289">
        <v>158</v>
      </c>
      <c r="F235" s="289">
        <v>469</v>
      </c>
      <c r="G235" s="289">
        <v>430</v>
      </c>
      <c r="H235" s="289">
        <v>2412</v>
      </c>
      <c r="I235" s="289">
        <v>577</v>
      </c>
      <c r="J235" s="289">
        <v>199</v>
      </c>
      <c r="K235" s="289">
        <v>51</v>
      </c>
      <c r="L235" s="289">
        <v>40</v>
      </c>
      <c r="M235" s="289">
        <v>417</v>
      </c>
      <c r="N235" s="290">
        <v>52</v>
      </c>
      <c r="O235" s="290">
        <v>26</v>
      </c>
      <c r="P235" s="624">
        <v>36462.347999999998</v>
      </c>
      <c r="Q235" s="624">
        <v>12631.64766667</v>
      </c>
      <c r="R235" s="624">
        <v>25</v>
      </c>
      <c r="S235" s="289"/>
      <c r="T235" s="289">
        <v>397</v>
      </c>
      <c r="U235" s="716">
        <v>1.8417020915227752E-3</v>
      </c>
      <c r="V235" s="289">
        <v>1829.37465258</v>
      </c>
      <c r="W235" s="743">
        <v>0.77158643999999998</v>
      </c>
      <c r="X235" s="289">
        <v>2000</v>
      </c>
      <c r="Y235" s="289">
        <v>414.28399999999999</v>
      </c>
      <c r="Z235" s="289">
        <v>107897</v>
      </c>
      <c r="AA235" s="289">
        <v>-1621.25220068</v>
      </c>
      <c r="AB235" s="290">
        <v>81</v>
      </c>
      <c r="AC235" s="289">
        <v>0</v>
      </c>
      <c r="AD235" s="289">
        <v>0</v>
      </c>
      <c r="AE235" s="289">
        <v>0</v>
      </c>
      <c r="AF235" s="289">
        <v>0</v>
      </c>
      <c r="AG235" s="289">
        <v>4366</v>
      </c>
      <c r="AH235" s="289">
        <v>633.80111877000002</v>
      </c>
      <c r="AI235" s="289">
        <v>1100</v>
      </c>
      <c r="AJ235" s="289">
        <v>0</v>
      </c>
      <c r="AK235" s="289">
        <v>0</v>
      </c>
      <c r="AL235" s="289">
        <v>0</v>
      </c>
      <c r="AM235" s="836">
        <v>9.5535709999999996E-2</v>
      </c>
      <c r="AN235" s="289">
        <v>2496</v>
      </c>
      <c r="AO235" s="289">
        <v>183.65791501000001</v>
      </c>
      <c r="AP235" s="289">
        <v>0</v>
      </c>
      <c r="AQ235" s="289">
        <v>0</v>
      </c>
      <c r="AR235" s="289">
        <v>7519.8182698199998</v>
      </c>
      <c r="AS235" s="289"/>
      <c r="AT235" s="289">
        <v>224</v>
      </c>
      <c r="AU235" s="289">
        <v>40</v>
      </c>
      <c r="AV235" s="625">
        <v>138056</v>
      </c>
      <c r="AW235" s="289"/>
      <c r="AX235" s="625">
        <v>30.74499995</v>
      </c>
      <c r="AY235" s="289">
        <v>822</v>
      </c>
      <c r="AZ235" s="289">
        <v>214</v>
      </c>
      <c r="BA235" s="290">
        <v>93</v>
      </c>
      <c r="BB235" s="289">
        <v>0</v>
      </c>
      <c r="BC235" s="289">
        <v>-2087.41489821</v>
      </c>
      <c r="BD235" s="289">
        <v>64.080635531341471</v>
      </c>
      <c r="BE235" s="289">
        <v>133425.44904370999</v>
      </c>
      <c r="BF235" s="289">
        <v>0</v>
      </c>
      <c r="BG235" s="289">
        <v>-156.5866</v>
      </c>
      <c r="BH235" s="289">
        <v>-12.327500000000001</v>
      </c>
      <c r="BI235" s="289">
        <v>-573.16708190999998</v>
      </c>
      <c r="BJ235" s="289">
        <v>0</v>
      </c>
      <c r="BK235" s="289">
        <v>0</v>
      </c>
      <c r="BL235" s="289">
        <v>0</v>
      </c>
      <c r="BM235" s="289">
        <v>0</v>
      </c>
      <c r="BN235" s="289">
        <v>381.80058552404705</v>
      </c>
      <c r="BO235" s="289">
        <v>202.55190725719086</v>
      </c>
      <c r="BP235" s="289">
        <v>395.30218119200947</v>
      </c>
      <c r="BQ235" s="289">
        <v>239.05293147965619</v>
      </c>
      <c r="BR235" s="289">
        <v>4.3432430749020332</v>
      </c>
      <c r="BS235" s="289">
        <v>1.1519056358090698</v>
      </c>
      <c r="BT235" s="289">
        <v>0</v>
      </c>
      <c r="BU235" s="289">
        <v>0</v>
      </c>
      <c r="BV235" s="289">
        <v>16.759489032857253</v>
      </c>
      <c r="BW235" s="517"/>
      <c r="BX235" s="517"/>
      <c r="CA235" s="517"/>
      <c r="CB235" s="517"/>
    </row>
    <row r="236" spans="1:80" ht="13">
      <c r="A236" s="1">
        <v>3423</v>
      </c>
      <c r="B236" s="2" t="s">
        <v>837</v>
      </c>
      <c r="C236" s="289">
        <v>2459</v>
      </c>
      <c r="D236" s="289">
        <v>39</v>
      </c>
      <c r="E236" s="289">
        <v>80</v>
      </c>
      <c r="F236" s="289">
        <v>227</v>
      </c>
      <c r="G236" s="289">
        <v>176</v>
      </c>
      <c r="H236" s="289">
        <v>1364</v>
      </c>
      <c r="I236" s="289">
        <v>408</v>
      </c>
      <c r="J236" s="289">
        <v>152</v>
      </c>
      <c r="K236" s="289">
        <v>27</v>
      </c>
      <c r="L236" s="289">
        <v>23</v>
      </c>
      <c r="M236" s="289">
        <v>287</v>
      </c>
      <c r="N236" s="290">
        <v>32</v>
      </c>
      <c r="O236" s="290">
        <v>31</v>
      </c>
      <c r="P236" s="624">
        <v>33848.488333330002</v>
      </c>
      <c r="Q236" s="624">
        <v>9745.4433333300003</v>
      </c>
      <c r="R236" s="624">
        <v>14</v>
      </c>
      <c r="S236" s="289"/>
      <c r="T236" s="289">
        <v>270</v>
      </c>
      <c r="U236" s="716">
        <v>1.9418704464406532E-3</v>
      </c>
      <c r="V236" s="289">
        <v>1217.4901750700001</v>
      </c>
      <c r="W236" s="743">
        <v>1</v>
      </c>
      <c r="X236" s="289">
        <v>1450</v>
      </c>
      <c r="Y236" s="289">
        <v>414.28399999999999</v>
      </c>
      <c r="Z236" s="289">
        <v>53442</v>
      </c>
      <c r="AA236" s="289">
        <v>0</v>
      </c>
      <c r="AB236" s="290">
        <v>60</v>
      </c>
      <c r="AC236" s="289">
        <v>0</v>
      </c>
      <c r="AD236" s="289">
        <v>0</v>
      </c>
      <c r="AE236" s="289">
        <v>0</v>
      </c>
      <c r="AF236" s="289">
        <v>0</v>
      </c>
      <c r="AG236" s="289">
        <v>2473</v>
      </c>
      <c r="AH236" s="289">
        <v>308.18492243999998</v>
      </c>
      <c r="AI236" s="289">
        <v>0</v>
      </c>
      <c r="AJ236" s="289">
        <v>0</v>
      </c>
      <c r="AK236" s="289">
        <v>8.2850000000000001</v>
      </c>
      <c r="AL236" s="289">
        <v>0</v>
      </c>
      <c r="AM236" s="836">
        <v>0.12077225</v>
      </c>
      <c r="AN236" s="289">
        <v>0</v>
      </c>
      <c r="AO236" s="289">
        <v>116.15826047</v>
      </c>
      <c r="AP236" s="289">
        <v>0</v>
      </c>
      <c r="AQ236" s="289">
        <v>0</v>
      </c>
      <c r="AR236" s="289">
        <v>-131.63210312999999</v>
      </c>
      <c r="AS236" s="289"/>
      <c r="AT236" s="289">
        <v>156</v>
      </c>
      <c r="AU236" s="289">
        <v>25</v>
      </c>
      <c r="AV236" s="625">
        <v>95765</v>
      </c>
      <c r="AW236" s="289"/>
      <c r="AX236" s="625">
        <v>15.26</v>
      </c>
      <c r="AY236" s="289">
        <v>454</v>
      </c>
      <c r="AZ236" s="289">
        <v>192</v>
      </c>
      <c r="BA236" s="290">
        <v>54</v>
      </c>
      <c r="BB236" s="289">
        <v>5698</v>
      </c>
      <c r="BC236" s="289">
        <v>717.89537373999997</v>
      </c>
      <c r="BD236" s="289">
        <v>45.745344601364671</v>
      </c>
      <c r="BE236" s="289">
        <v>97789.818767279998</v>
      </c>
      <c r="BF236" s="289">
        <v>0</v>
      </c>
      <c r="BG236" s="289">
        <v>-88.068200000000004</v>
      </c>
      <c r="BH236" s="289">
        <v>-6.9825999999999997</v>
      </c>
      <c r="BI236" s="289">
        <v>722.46892244000003</v>
      </c>
      <c r="BJ236" s="289">
        <v>0</v>
      </c>
      <c r="BK236" s="289">
        <v>0</v>
      </c>
      <c r="BL236" s="289">
        <v>0</v>
      </c>
      <c r="BM236" s="289">
        <v>0</v>
      </c>
      <c r="BN236" s="289">
        <v>252.853277949041</v>
      </c>
      <c r="BO236" s="289">
        <v>143.61049271736897</v>
      </c>
      <c r="BP236" s="289">
        <v>223.90799223267052</v>
      </c>
      <c r="BQ236" s="289">
        <v>252.05478394799673</v>
      </c>
      <c r="BR236" s="289">
        <v>3.1005178007591603</v>
      </c>
      <c r="BS236" s="289">
        <v>0.83831264652080306</v>
      </c>
      <c r="BT236" s="289">
        <v>0</v>
      </c>
      <c r="BU236" s="289">
        <v>0</v>
      </c>
      <c r="BV236" s="289">
        <v>17.671021062609938</v>
      </c>
      <c r="BW236" s="517"/>
      <c r="BX236" s="517"/>
      <c r="CA236" s="517"/>
      <c r="CB236" s="517"/>
    </row>
    <row r="237" spans="1:80" ht="13">
      <c r="A237" s="1">
        <v>3424</v>
      </c>
      <c r="B237" s="2" t="s">
        <v>838</v>
      </c>
      <c r="C237" s="289">
        <v>1791</v>
      </c>
      <c r="D237" s="289">
        <v>23</v>
      </c>
      <c r="E237" s="289">
        <v>49</v>
      </c>
      <c r="F237" s="289">
        <v>183</v>
      </c>
      <c r="G237" s="289">
        <v>135</v>
      </c>
      <c r="H237" s="289">
        <v>943</v>
      </c>
      <c r="I237" s="289">
        <v>342</v>
      </c>
      <c r="J237" s="289">
        <v>104</v>
      </c>
      <c r="K237" s="289">
        <v>31</v>
      </c>
      <c r="L237" s="289">
        <v>15</v>
      </c>
      <c r="M237" s="289">
        <v>222</v>
      </c>
      <c r="N237" s="290">
        <v>4</v>
      </c>
      <c r="O237" s="290">
        <v>25</v>
      </c>
      <c r="P237" s="624">
        <v>24292.223666670001</v>
      </c>
      <c r="Q237" s="624">
        <v>11411.920333329999</v>
      </c>
      <c r="R237" s="624">
        <v>8</v>
      </c>
      <c r="S237" s="289"/>
      <c r="T237" s="289">
        <v>206</v>
      </c>
      <c r="U237" s="716">
        <v>2.609294892868522E-3</v>
      </c>
      <c r="V237" s="289">
        <v>925.75976477999995</v>
      </c>
      <c r="W237" s="743">
        <v>1</v>
      </c>
      <c r="X237" s="289">
        <v>850</v>
      </c>
      <c r="Y237" s="289">
        <v>350.548</v>
      </c>
      <c r="Z237" s="289">
        <v>42521</v>
      </c>
      <c r="AA237" s="289">
        <v>0</v>
      </c>
      <c r="AB237" s="290">
        <v>32</v>
      </c>
      <c r="AC237" s="289">
        <v>0</v>
      </c>
      <c r="AD237" s="289">
        <v>0</v>
      </c>
      <c r="AE237" s="289">
        <v>0</v>
      </c>
      <c r="AF237" s="289">
        <v>0</v>
      </c>
      <c r="AG237" s="289">
        <v>1810</v>
      </c>
      <c r="AH237" s="289">
        <v>232.18456825999999</v>
      </c>
      <c r="AI237" s="289">
        <v>0</v>
      </c>
      <c r="AJ237" s="289">
        <v>0</v>
      </c>
      <c r="AK237" s="289">
        <v>0</v>
      </c>
      <c r="AL237" s="289">
        <v>0</v>
      </c>
      <c r="AM237" s="836">
        <v>2.9713030000000001E-2</v>
      </c>
      <c r="AN237" s="289">
        <v>0</v>
      </c>
      <c r="AO237" s="289">
        <v>88.324855589999999</v>
      </c>
      <c r="AP237" s="289">
        <v>0</v>
      </c>
      <c r="AQ237" s="289">
        <v>0</v>
      </c>
      <c r="AR237" s="289">
        <v>1540.6909330399999</v>
      </c>
      <c r="AS237" s="289"/>
      <c r="AT237" s="289">
        <v>87</v>
      </c>
      <c r="AU237" s="289">
        <v>12</v>
      </c>
      <c r="AV237" s="625">
        <v>77846</v>
      </c>
      <c r="AW237" s="289"/>
      <c r="AX237" s="625">
        <v>4.8933333000000001</v>
      </c>
      <c r="AY237" s="289">
        <v>300</v>
      </c>
      <c r="AZ237" s="289">
        <v>95</v>
      </c>
      <c r="BA237" s="290">
        <v>31</v>
      </c>
      <c r="BB237" s="289">
        <v>5698</v>
      </c>
      <c r="BC237" s="289">
        <v>578.87060607000001</v>
      </c>
      <c r="BD237" s="289">
        <v>26.236799850725369</v>
      </c>
      <c r="BE237" s="289">
        <v>77446.159298350001</v>
      </c>
      <c r="BF237" s="289">
        <v>0</v>
      </c>
      <c r="BG237" s="289">
        <v>-73.680199999999999</v>
      </c>
      <c r="BH237" s="289">
        <v>-5.1105999999999998</v>
      </c>
      <c r="BI237" s="289">
        <v>582.73256825999999</v>
      </c>
      <c r="BJ237" s="289">
        <v>0</v>
      </c>
      <c r="BK237" s="289">
        <v>0</v>
      </c>
      <c r="BL237" s="289">
        <v>0</v>
      </c>
      <c r="BM237" s="289">
        <v>0</v>
      </c>
      <c r="BN237" s="289">
        <v>193.60222526067253</v>
      </c>
      <c r="BO237" s="289">
        <v>119.34951600590531</v>
      </c>
      <c r="BP237" s="289">
        <v>163.87928262884495</v>
      </c>
      <c r="BQ237" s="289">
        <v>338.68647709433412</v>
      </c>
      <c r="BR237" s="289">
        <v>1.778271989882497</v>
      </c>
      <c r="BS237" s="289">
        <v>0.70192174063901436</v>
      </c>
      <c r="BT237" s="289">
        <v>0</v>
      </c>
      <c r="BU237" s="289">
        <v>0</v>
      </c>
      <c r="BV237" s="289">
        <v>23.744583525103543</v>
      </c>
      <c r="BW237" s="517"/>
      <c r="BX237" s="517"/>
      <c r="CA237" s="517"/>
      <c r="CB237" s="517"/>
    </row>
    <row r="238" spans="1:80" ht="13">
      <c r="A238" s="1">
        <v>3425</v>
      </c>
      <c r="B238" s="2" t="s">
        <v>839</v>
      </c>
      <c r="C238" s="289">
        <v>1286</v>
      </c>
      <c r="D238" s="289">
        <v>18</v>
      </c>
      <c r="E238" s="289">
        <v>31</v>
      </c>
      <c r="F238" s="289">
        <v>134</v>
      </c>
      <c r="G238" s="289">
        <v>123</v>
      </c>
      <c r="H238" s="289">
        <v>661</v>
      </c>
      <c r="I238" s="289">
        <v>245</v>
      </c>
      <c r="J238" s="289">
        <v>70</v>
      </c>
      <c r="K238" s="289">
        <v>13</v>
      </c>
      <c r="L238" s="289">
        <v>12</v>
      </c>
      <c r="M238" s="289">
        <v>160</v>
      </c>
      <c r="N238" s="290">
        <v>10</v>
      </c>
      <c r="O238" s="290">
        <v>21</v>
      </c>
      <c r="P238" s="624">
        <v>40115.471333330002</v>
      </c>
      <c r="Q238" s="624">
        <v>16793.498333330001</v>
      </c>
      <c r="R238" s="624">
        <v>6</v>
      </c>
      <c r="S238" s="289"/>
      <c r="T238" s="289">
        <v>104</v>
      </c>
      <c r="U238" s="716">
        <v>1.2676481735011667E-3</v>
      </c>
      <c r="V238" s="289">
        <v>717.43624166999996</v>
      </c>
      <c r="W238" s="743">
        <v>1</v>
      </c>
      <c r="X238" s="289">
        <v>950</v>
      </c>
      <c r="Y238" s="289">
        <v>414.28399999999999</v>
      </c>
      <c r="Z238" s="289">
        <v>29586</v>
      </c>
      <c r="AA238" s="289">
        <v>0</v>
      </c>
      <c r="AB238" s="290">
        <v>21</v>
      </c>
      <c r="AC238" s="289">
        <v>0</v>
      </c>
      <c r="AD238" s="289">
        <v>0</v>
      </c>
      <c r="AE238" s="289">
        <v>0</v>
      </c>
      <c r="AF238" s="289">
        <v>0</v>
      </c>
      <c r="AG238" s="289">
        <v>1295</v>
      </c>
      <c r="AH238" s="289">
        <v>182.67975039999999</v>
      </c>
      <c r="AI238" s="289">
        <v>700</v>
      </c>
      <c r="AJ238" s="289">
        <v>0</v>
      </c>
      <c r="AK238" s="289">
        <v>0</v>
      </c>
      <c r="AL238" s="289">
        <v>0</v>
      </c>
      <c r="AM238" s="836">
        <v>1.7441689999999999E-2</v>
      </c>
      <c r="AN238" s="289">
        <v>0</v>
      </c>
      <c r="AO238" s="289">
        <v>68.449132109999994</v>
      </c>
      <c r="AP238" s="289">
        <v>0</v>
      </c>
      <c r="AQ238" s="289">
        <v>0</v>
      </c>
      <c r="AR238" s="289">
        <v>1392.3976107599999</v>
      </c>
      <c r="AS238" s="289"/>
      <c r="AT238" s="289">
        <v>59</v>
      </c>
      <c r="AU238" s="289">
        <v>9</v>
      </c>
      <c r="AV238" s="625">
        <v>65895</v>
      </c>
      <c r="AW238" s="289"/>
      <c r="AX238" s="625">
        <v>4.5283332999999999</v>
      </c>
      <c r="AY238" s="289">
        <v>210</v>
      </c>
      <c r="AZ238" s="289">
        <v>55</v>
      </c>
      <c r="BA238" s="290">
        <v>15</v>
      </c>
      <c r="BB238" s="289">
        <v>5698</v>
      </c>
      <c r="BC238" s="289">
        <v>568.37670706999995</v>
      </c>
      <c r="BD238" s="289">
        <v>16.096110265127173</v>
      </c>
      <c r="BE238" s="289">
        <v>64707.245813640002</v>
      </c>
      <c r="BF238" s="289">
        <v>0</v>
      </c>
      <c r="BG238" s="289">
        <v>-64.2166</v>
      </c>
      <c r="BH238" s="289">
        <v>-3.6564999999999999</v>
      </c>
      <c r="BI238" s="289">
        <v>596.96375039999998</v>
      </c>
      <c r="BJ238" s="289">
        <v>0</v>
      </c>
      <c r="BK238" s="289">
        <v>0</v>
      </c>
      <c r="BL238" s="289">
        <v>0</v>
      </c>
      <c r="BM238" s="289">
        <v>0</v>
      </c>
      <c r="BN238" s="289">
        <v>143.78242855185766</v>
      </c>
      <c r="BO238" s="289">
        <v>106.72189602265456</v>
      </c>
      <c r="BP238" s="289">
        <v>117.25064696373161</v>
      </c>
      <c r="BQ238" s="289">
        <v>164.54073292045143</v>
      </c>
      <c r="BR238" s="289">
        <v>1.0909585846363972</v>
      </c>
      <c r="BS238" s="289">
        <v>0.597490540456587</v>
      </c>
      <c r="BT238" s="289">
        <v>0</v>
      </c>
      <c r="BU238" s="289">
        <v>0</v>
      </c>
      <c r="BV238" s="289">
        <v>11.535598378860614</v>
      </c>
      <c r="BW238" s="517"/>
      <c r="BX238" s="517"/>
      <c r="CA238" s="517"/>
      <c r="CB238" s="517"/>
    </row>
    <row r="239" spans="1:80" ht="13">
      <c r="A239" s="1">
        <v>3426</v>
      </c>
      <c r="B239" s="2" t="s">
        <v>840</v>
      </c>
      <c r="C239" s="289">
        <v>1551</v>
      </c>
      <c r="D239" s="289">
        <v>35</v>
      </c>
      <c r="E239" s="289">
        <v>62</v>
      </c>
      <c r="F239" s="289">
        <v>192</v>
      </c>
      <c r="G239" s="289">
        <v>142</v>
      </c>
      <c r="H239" s="289">
        <v>845</v>
      </c>
      <c r="I239" s="289">
        <v>199</v>
      </c>
      <c r="J239" s="289">
        <v>70</v>
      </c>
      <c r="K239" s="289">
        <v>24</v>
      </c>
      <c r="L239" s="289">
        <v>13</v>
      </c>
      <c r="M239" s="289">
        <v>132</v>
      </c>
      <c r="N239" s="290">
        <v>44</v>
      </c>
      <c r="O239" s="290">
        <v>33</v>
      </c>
      <c r="P239" s="624">
        <v>10810.106333330001</v>
      </c>
      <c r="Q239" s="624">
        <v>4803.0659999999998</v>
      </c>
      <c r="R239" s="624">
        <v>7</v>
      </c>
      <c r="S239" s="289"/>
      <c r="T239" s="289">
        <v>122</v>
      </c>
      <c r="U239" s="716">
        <v>2.5793107506808638E-3</v>
      </c>
      <c r="V239" s="289">
        <v>790.96597471999996</v>
      </c>
      <c r="W239" s="743">
        <v>0.87087046000000001</v>
      </c>
      <c r="X239" s="289">
        <v>850</v>
      </c>
      <c r="Y239" s="289">
        <v>414.28399999999999</v>
      </c>
      <c r="Z239" s="289">
        <v>31981</v>
      </c>
      <c r="AA239" s="289">
        <v>0</v>
      </c>
      <c r="AB239" s="290">
        <v>16</v>
      </c>
      <c r="AC239" s="289">
        <v>0</v>
      </c>
      <c r="AD239" s="289">
        <v>0</v>
      </c>
      <c r="AE239" s="289">
        <v>0</v>
      </c>
      <c r="AF239" s="289">
        <v>0</v>
      </c>
      <c r="AG239" s="289">
        <v>1569</v>
      </c>
      <c r="AH239" s="289">
        <v>257.98285362000001</v>
      </c>
      <c r="AI239" s="289">
        <v>900</v>
      </c>
      <c r="AJ239" s="289">
        <v>0</v>
      </c>
      <c r="AK239" s="289">
        <v>0</v>
      </c>
      <c r="AL239" s="289">
        <v>0</v>
      </c>
      <c r="AM239" s="836">
        <v>2.023668E-2</v>
      </c>
      <c r="AN239" s="289">
        <v>0</v>
      </c>
      <c r="AO239" s="289">
        <v>75.464454329999995</v>
      </c>
      <c r="AP239" s="289">
        <v>0</v>
      </c>
      <c r="AQ239" s="289">
        <v>0</v>
      </c>
      <c r="AR239" s="289">
        <v>2211.5887785199998</v>
      </c>
      <c r="AS239" s="289"/>
      <c r="AT239" s="289">
        <v>51</v>
      </c>
      <c r="AU239" s="289">
        <v>11</v>
      </c>
      <c r="AV239" s="625">
        <v>67921</v>
      </c>
      <c r="AW239" s="289"/>
      <c r="AX239" s="625">
        <v>14.3333333</v>
      </c>
      <c r="AY239" s="289">
        <v>369</v>
      </c>
      <c r="AZ239" s="289">
        <v>87</v>
      </c>
      <c r="BA239" s="290">
        <v>14</v>
      </c>
      <c r="BB239" s="289">
        <v>5698</v>
      </c>
      <c r="BC239" s="289">
        <v>670.32125253000004</v>
      </c>
      <c r="BD239" s="289">
        <v>21.214981844030149</v>
      </c>
      <c r="BE239" s="289">
        <v>66675.883650360003</v>
      </c>
      <c r="BF239" s="289">
        <v>0</v>
      </c>
      <c r="BG239" s="289">
        <v>-70.810699999999997</v>
      </c>
      <c r="BH239" s="289">
        <v>-4.4301000000000004</v>
      </c>
      <c r="BI239" s="289">
        <v>672.26685362000001</v>
      </c>
      <c r="BJ239" s="289">
        <v>0</v>
      </c>
      <c r="BK239" s="289">
        <v>0</v>
      </c>
      <c r="BL239" s="289">
        <v>0</v>
      </c>
      <c r="BM239" s="289">
        <v>0</v>
      </c>
      <c r="BN239" s="289">
        <v>140.71680217799022</v>
      </c>
      <c r="BO239" s="289">
        <v>92.702717503824999</v>
      </c>
      <c r="BP239" s="289">
        <v>142.05889195837443</v>
      </c>
      <c r="BQ239" s="289">
        <v>334.7945354383761</v>
      </c>
      <c r="BR239" s="289">
        <v>1.437904324984266</v>
      </c>
      <c r="BS239" s="289">
        <v>0.61275502224853351</v>
      </c>
      <c r="BT239" s="289">
        <v>0</v>
      </c>
      <c r="BU239" s="289">
        <v>0</v>
      </c>
      <c r="BV239" s="289">
        <v>23.471727831195857</v>
      </c>
      <c r="BW239" s="517"/>
      <c r="BX239" s="517"/>
      <c r="CA239" s="517"/>
      <c r="CB239" s="517"/>
    </row>
    <row r="240" spans="1:80" ht="13">
      <c r="A240" s="1">
        <v>3427</v>
      </c>
      <c r="B240" s="2" t="s">
        <v>841</v>
      </c>
      <c r="C240" s="289">
        <v>5591</v>
      </c>
      <c r="D240" s="289">
        <v>90</v>
      </c>
      <c r="E240" s="289">
        <v>210</v>
      </c>
      <c r="F240" s="289">
        <v>728</v>
      </c>
      <c r="G240" s="289">
        <v>553</v>
      </c>
      <c r="H240" s="289">
        <v>3053</v>
      </c>
      <c r="I240" s="289">
        <v>668</v>
      </c>
      <c r="J240" s="289">
        <v>242</v>
      </c>
      <c r="K240" s="289">
        <v>58</v>
      </c>
      <c r="L240" s="289">
        <v>45</v>
      </c>
      <c r="M240" s="289">
        <v>470</v>
      </c>
      <c r="N240" s="290">
        <v>95</v>
      </c>
      <c r="O240" s="290">
        <v>66</v>
      </c>
      <c r="P240" s="624">
        <v>50967.487333329998</v>
      </c>
      <c r="Q240" s="624">
        <v>16085.37833333</v>
      </c>
      <c r="R240" s="624">
        <v>41</v>
      </c>
      <c r="S240" s="289"/>
      <c r="T240" s="289">
        <v>456</v>
      </c>
      <c r="U240" s="716">
        <v>4.9670109398464619E-3</v>
      </c>
      <c r="V240" s="289">
        <v>2444.6252833100002</v>
      </c>
      <c r="W240" s="743">
        <v>0.72086463000000001</v>
      </c>
      <c r="X240" s="289">
        <v>1300</v>
      </c>
      <c r="Y240" s="289">
        <v>414.28399999999999</v>
      </c>
      <c r="Z240" s="289">
        <v>138237</v>
      </c>
      <c r="AA240" s="289">
        <v>0</v>
      </c>
      <c r="AB240" s="290">
        <v>105</v>
      </c>
      <c r="AC240" s="289">
        <v>0</v>
      </c>
      <c r="AD240" s="289">
        <v>0</v>
      </c>
      <c r="AE240" s="289">
        <v>0</v>
      </c>
      <c r="AF240" s="289">
        <v>0</v>
      </c>
      <c r="AG240" s="289">
        <v>5602</v>
      </c>
      <c r="AH240" s="289">
        <v>939.89428834</v>
      </c>
      <c r="AI240" s="289">
        <v>0</v>
      </c>
      <c r="AJ240" s="289">
        <v>0</v>
      </c>
      <c r="AK240" s="289">
        <v>0</v>
      </c>
      <c r="AL240" s="289">
        <v>0</v>
      </c>
      <c r="AM240" s="836">
        <v>3.2937809999999998E-2</v>
      </c>
      <c r="AN240" s="289">
        <v>5999</v>
      </c>
      <c r="AO240" s="289">
        <v>242.35772588</v>
      </c>
      <c r="AP240" s="289">
        <v>0</v>
      </c>
      <c r="AQ240" s="289">
        <v>0</v>
      </c>
      <c r="AR240" s="289">
        <v>-298.18157774000002</v>
      </c>
      <c r="AS240" s="289"/>
      <c r="AT240" s="289">
        <v>225</v>
      </c>
      <c r="AU240" s="289">
        <v>21</v>
      </c>
      <c r="AV240" s="625">
        <v>179478</v>
      </c>
      <c r="AW240" s="289"/>
      <c r="AX240" s="625">
        <v>44.836666700000002</v>
      </c>
      <c r="AY240" s="289">
        <v>1270</v>
      </c>
      <c r="AZ240" s="289">
        <v>219</v>
      </c>
      <c r="BA240" s="290">
        <v>97</v>
      </c>
      <c r="BB240" s="289">
        <v>0</v>
      </c>
      <c r="BC240" s="289">
        <v>1330.6953636600001</v>
      </c>
      <c r="BD240" s="289">
        <v>73.974123805465567</v>
      </c>
      <c r="BE240" s="289">
        <v>183974.14067583001</v>
      </c>
      <c r="BF240" s="289">
        <v>0</v>
      </c>
      <c r="BG240" s="289">
        <v>-238.9324</v>
      </c>
      <c r="BH240" s="289">
        <v>-15.817399999999999</v>
      </c>
      <c r="BI240" s="289">
        <v>1354.1782883400001</v>
      </c>
      <c r="BJ240" s="289">
        <v>0</v>
      </c>
      <c r="BK240" s="289">
        <v>0</v>
      </c>
      <c r="BL240" s="289">
        <v>0</v>
      </c>
      <c r="BM240" s="289">
        <v>0</v>
      </c>
      <c r="BN240" s="289">
        <v>477.76409567433097</v>
      </c>
      <c r="BO240" s="289">
        <v>249.3170046854521</v>
      </c>
      <c r="BP240" s="289">
        <v>507.21090678828153</v>
      </c>
      <c r="BQ240" s="289">
        <v>644.71801999207059</v>
      </c>
      <c r="BR240" s="289">
        <v>5.0138017245926667</v>
      </c>
      <c r="BS240" s="289">
        <v>1.3897332635639223</v>
      </c>
      <c r="BT240" s="289">
        <v>0</v>
      </c>
      <c r="BU240" s="289">
        <v>0</v>
      </c>
      <c r="BV240" s="289">
        <v>45.199799552602798</v>
      </c>
      <c r="BW240" s="517"/>
      <c r="BX240" s="517"/>
      <c r="CA240" s="517"/>
      <c r="CB240" s="517"/>
    </row>
    <row r="241" spans="1:80" ht="13">
      <c r="A241" s="1">
        <v>3428</v>
      </c>
      <c r="B241" s="2" t="s">
        <v>842</v>
      </c>
      <c r="C241" s="289">
        <v>2418</v>
      </c>
      <c r="D241" s="289">
        <v>53</v>
      </c>
      <c r="E241" s="289">
        <v>125</v>
      </c>
      <c r="F241" s="289">
        <v>315</v>
      </c>
      <c r="G241" s="289">
        <v>226</v>
      </c>
      <c r="H241" s="289">
        <v>1299</v>
      </c>
      <c r="I241" s="289">
        <v>285</v>
      </c>
      <c r="J241" s="289">
        <v>101</v>
      </c>
      <c r="K241" s="289">
        <v>37</v>
      </c>
      <c r="L241" s="289">
        <v>20</v>
      </c>
      <c r="M241" s="289">
        <v>192</v>
      </c>
      <c r="N241" s="290">
        <v>19</v>
      </c>
      <c r="O241" s="290">
        <v>20</v>
      </c>
      <c r="P241" s="624">
        <v>11280.793</v>
      </c>
      <c r="Q241" s="624">
        <v>6834.8059999999996</v>
      </c>
      <c r="R241" s="624">
        <v>13</v>
      </c>
      <c r="S241" s="289"/>
      <c r="T241" s="289">
        <v>186</v>
      </c>
      <c r="U241" s="716">
        <v>3.1199852740935105E-3</v>
      </c>
      <c r="V241" s="289">
        <v>1173.7368826100001</v>
      </c>
      <c r="W241" s="743">
        <v>0.81151017999999997</v>
      </c>
      <c r="X241" s="289">
        <v>850</v>
      </c>
      <c r="Y241" s="289">
        <v>414.28399999999999</v>
      </c>
      <c r="Z241" s="289">
        <v>59219</v>
      </c>
      <c r="AA241" s="289">
        <v>0</v>
      </c>
      <c r="AB241" s="290">
        <v>43</v>
      </c>
      <c r="AC241" s="289">
        <v>0</v>
      </c>
      <c r="AD241" s="289">
        <v>0</v>
      </c>
      <c r="AE241" s="289">
        <v>0</v>
      </c>
      <c r="AF241" s="289">
        <v>0</v>
      </c>
      <c r="AG241" s="289">
        <v>2441</v>
      </c>
      <c r="AH241" s="289">
        <v>436.47909829000002</v>
      </c>
      <c r="AI241" s="289">
        <v>0</v>
      </c>
      <c r="AJ241" s="289">
        <v>0</v>
      </c>
      <c r="AK241" s="289">
        <v>0</v>
      </c>
      <c r="AL241" s="289">
        <v>0</v>
      </c>
      <c r="AM241" s="836">
        <v>7.7055400000000003E-3</v>
      </c>
      <c r="AN241" s="289">
        <v>0</v>
      </c>
      <c r="AO241" s="289">
        <v>111.98384786</v>
      </c>
      <c r="AP241" s="289">
        <v>0</v>
      </c>
      <c r="AQ241" s="289">
        <v>0</v>
      </c>
      <c r="AR241" s="289">
        <v>-129.92881671999999</v>
      </c>
      <c r="AS241" s="289"/>
      <c r="AT241" s="289">
        <v>98</v>
      </c>
      <c r="AU241" s="289">
        <v>6</v>
      </c>
      <c r="AV241" s="625">
        <v>87316</v>
      </c>
      <c r="AW241" s="289"/>
      <c r="AX241" s="625">
        <v>18.588333349999999</v>
      </c>
      <c r="AY241" s="289">
        <v>434</v>
      </c>
      <c r="AZ241" s="289">
        <v>77</v>
      </c>
      <c r="BA241" s="290">
        <v>47</v>
      </c>
      <c r="BB241" s="289">
        <v>4559</v>
      </c>
      <c r="BC241" s="289">
        <v>833.43252526000003</v>
      </c>
      <c r="BD241" s="289">
        <v>28.345704878957573</v>
      </c>
      <c r="BE241" s="289">
        <v>91379.278806889997</v>
      </c>
      <c r="BF241" s="289">
        <v>0</v>
      </c>
      <c r="BG241" s="289">
        <v>-105.1035</v>
      </c>
      <c r="BH241" s="289">
        <v>-6.8921999999999999</v>
      </c>
      <c r="BI241" s="289">
        <v>850.76309829000002</v>
      </c>
      <c r="BJ241" s="289">
        <v>0</v>
      </c>
      <c r="BK241" s="289">
        <v>0</v>
      </c>
      <c r="BL241" s="289">
        <v>0</v>
      </c>
      <c r="BM241" s="289">
        <v>0</v>
      </c>
      <c r="BN241" s="289">
        <v>207.95044965175458</v>
      </c>
      <c r="BO241" s="289">
        <v>122.99004067856652</v>
      </c>
      <c r="BP241" s="289">
        <v>221.01067894862462</v>
      </c>
      <c r="BQ241" s="289">
        <v>404.97408857733768</v>
      </c>
      <c r="BR241" s="289">
        <v>1.9212088862404573</v>
      </c>
      <c r="BS241" s="289">
        <v>0.77258837731976171</v>
      </c>
      <c r="BT241" s="289">
        <v>0</v>
      </c>
      <c r="BU241" s="289">
        <v>0</v>
      </c>
      <c r="BV241" s="289">
        <v>28.391865994250939</v>
      </c>
      <c r="BW241" s="517"/>
      <c r="BX241" s="517"/>
      <c r="CA241" s="517"/>
      <c r="CB241" s="517"/>
    </row>
    <row r="242" spans="1:80" ht="13">
      <c r="A242" s="1">
        <v>3429</v>
      </c>
      <c r="B242" s="2" t="s">
        <v>843</v>
      </c>
      <c r="C242" s="289">
        <v>1577</v>
      </c>
      <c r="D242" s="289">
        <v>17</v>
      </c>
      <c r="E242" s="289">
        <v>54</v>
      </c>
      <c r="F242" s="289">
        <v>168</v>
      </c>
      <c r="G242" s="289">
        <v>130</v>
      </c>
      <c r="H242" s="289">
        <v>793</v>
      </c>
      <c r="I242" s="289">
        <v>287</v>
      </c>
      <c r="J242" s="289">
        <v>89</v>
      </c>
      <c r="K242" s="289">
        <v>28</v>
      </c>
      <c r="L242" s="289">
        <v>13</v>
      </c>
      <c r="M242" s="289">
        <v>186</v>
      </c>
      <c r="N242" s="290">
        <v>6</v>
      </c>
      <c r="O242" s="290">
        <v>8</v>
      </c>
      <c r="P242" s="624">
        <v>10007.816999999999</v>
      </c>
      <c r="Q242" s="624">
        <v>5978.4229999999998</v>
      </c>
      <c r="R242" s="624">
        <v>8</v>
      </c>
      <c r="S242" s="289"/>
      <c r="T242" s="289">
        <v>134</v>
      </c>
      <c r="U242" s="716">
        <v>2.5356224682735865E-3</v>
      </c>
      <c r="V242" s="289">
        <v>810.95460158000003</v>
      </c>
      <c r="W242" s="743">
        <v>1</v>
      </c>
      <c r="X242" s="289">
        <v>1000</v>
      </c>
      <c r="Y242" s="289">
        <v>414.28399999999999</v>
      </c>
      <c r="Z242" s="289">
        <v>35614</v>
      </c>
      <c r="AA242" s="289">
        <v>0</v>
      </c>
      <c r="AB242" s="290">
        <v>26</v>
      </c>
      <c r="AC242" s="289">
        <v>0</v>
      </c>
      <c r="AD242" s="289">
        <v>0</v>
      </c>
      <c r="AE242" s="289">
        <v>0</v>
      </c>
      <c r="AF242" s="289">
        <v>0</v>
      </c>
      <c r="AG242" s="289">
        <v>1566</v>
      </c>
      <c r="AH242" s="289">
        <v>217.54229819</v>
      </c>
      <c r="AI242" s="289">
        <v>500</v>
      </c>
      <c r="AJ242" s="289">
        <v>0</v>
      </c>
      <c r="AK242" s="289">
        <v>0</v>
      </c>
      <c r="AL242" s="289">
        <v>0</v>
      </c>
      <c r="AM242" s="836">
        <v>6.0785800000000001E-3</v>
      </c>
      <c r="AN242" s="289">
        <v>0</v>
      </c>
      <c r="AO242" s="289">
        <v>77.371528549999994</v>
      </c>
      <c r="AP242" s="289">
        <v>0</v>
      </c>
      <c r="AQ242" s="289">
        <v>0</v>
      </c>
      <c r="AR242" s="289">
        <v>-83.354578849999996</v>
      </c>
      <c r="AS242" s="289"/>
      <c r="AT242" s="289">
        <v>58</v>
      </c>
      <c r="AU242" s="289">
        <v>6</v>
      </c>
      <c r="AV242" s="625">
        <v>66405</v>
      </c>
      <c r="AW242" s="289"/>
      <c r="AX242" s="625">
        <v>8.0466666999999994</v>
      </c>
      <c r="AY242" s="289">
        <v>304</v>
      </c>
      <c r="AZ242" s="289">
        <v>43</v>
      </c>
      <c r="BA242" s="290">
        <v>14</v>
      </c>
      <c r="BB242" s="289">
        <v>5698</v>
      </c>
      <c r="BC242" s="289">
        <v>628.41071718000001</v>
      </c>
      <c r="BD242" s="289">
        <v>18.209719269979821</v>
      </c>
      <c r="BE242" s="289">
        <v>69464.121281779997</v>
      </c>
      <c r="BF242" s="289">
        <v>0</v>
      </c>
      <c r="BG242" s="289">
        <v>-62.737499999999997</v>
      </c>
      <c r="BH242" s="289">
        <v>-4.4215999999999998</v>
      </c>
      <c r="BI242" s="289">
        <v>631.82629818999999</v>
      </c>
      <c r="BJ242" s="289">
        <v>0</v>
      </c>
      <c r="BK242" s="289">
        <v>0</v>
      </c>
      <c r="BL242" s="289">
        <v>0</v>
      </c>
      <c r="BM242" s="289">
        <v>0</v>
      </c>
      <c r="BN242" s="289">
        <v>167.84197805141503</v>
      </c>
      <c r="BO242" s="289">
        <v>102.3562195312812</v>
      </c>
      <c r="BP242" s="289">
        <v>141.78726883799516</v>
      </c>
      <c r="BQ242" s="289">
        <v>329.12379638191146</v>
      </c>
      <c r="BR242" s="289">
        <v>1.2342143060764101</v>
      </c>
      <c r="BS242" s="289">
        <v>0.65278272063109855</v>
      </c>
      <c r="BT242" s="289">
        <v>0</v>
      </c>
      <c r="BU242" s="289">
        <v>0</v>
      </c>
      <c r="BV242" s="289">
        <v>23.074164461289634</v>
      </c>
      <c r="BW242" s="517"/>
      <c r="BX242" s="517"/>
      <c r="CA242" s="517"/>
      <c r="CB242" s="517"/>
    </row>
    <row r="243" spans="1:80" ht="13">
      <c r="A243" s="1">
        <v>3430</v>
      </c>
      <c r="B243" s="2" t="s">
        <v>844</v>
      </c>
      <c r="C243" s="289">
        <v>1912</v>
      </c>
      <c r="D243" s="289">
        <v>17</v>
      </c>
      <c r="E243" s="289">
        <v>53</v>
      </c>
      <c r="F243" s="289">
        <v>193</v>
      </c>
      <c r="G243" s="289">
        <v>203</v>
      </c>
      <c r="H243" s="289">
        <v>1048</v>
      </c>
      <c r="I243" s="289">
        <v>282</v>
      </c>
      <c r="J243" s="289">
        <v>104</v>
      </c>
      <c r="K243" s="289">
        <v>22</v>
      </c>
      <c r="L243" s="289">
        <v>14</v>
      </c>
      <c r="M243" s="289">
        <v>160</v>
      </c>
      <c r="N243" s="290">
        <v>22</v>
      </c>
      <c r="O243" s="290">
        <v>20</v>
      </c>
      <c r="P243" s="624">
        <v>15624.70866667</v>
      </c>
      <c r="Q243" s="624">
        <v>8070.9229999999998</v>
      </c>
      <c r="R243" s="624">
        <v>16</v>
      </c>
      <c r="S243" s="289"/>
      <c r="T243" s="289">
        <v>167</v>
      </c>
      <c r="U243" s="716">
        <v>2.7560078380790801E-3</v>
      </c>
      <c r="V243" s="289">
        <v>902.01093848999994</v>
      </c>
      <c r="W243" s="743">
        <v>0.82328106000000001</v>
      </c>
      <c r="X243" s="289">
        <v>1200</v>
      </c>
      <c r="Y243" s="289">
        <v>414.28399999999999</v>
      </c>
      <c r="Z243" s="289">
        <v>46734</v>
      </c>
      <c r="AA243" s="289">
        <v>0</v>
      </c>
      <c r="AB243" s="290">
        <v>33</v>
      </c>
      <c r="AC243" s="289">
        <v>0</v>
      </c>
      <c r="AD243" s="289">
        <v>0</v>
      </c>
      <c r="AE243" s="289">
        <v>0</v>
      </c>
      <c r="AF243" s="289">
        <v>0</v>
      </c>
      <c r="AG243" s="289">
        <v>1922</v>
      </c>
      <c r="AH243" s="289">
        <v>257.98285362000001</v>
      </c>
      <c r="AI243" s="289">
        <v>0</v>
      </c>
      <c r="AJ243" s="289">
        <v>0</v>
      </c>
      <c r="AK243" s="289">
        <v>0</v>
      </c>
      <c r="AL243" s="289">
        <v>0</v>
      </c>
      <c r="AM243" s="836">
        <v>2.697049E-2</v>
      </c>
      <c r="AN243" s="289">
        <v>0</v>
      </c>
      <c r="AO243" s="289">
        <v>86.059028389999995</v>
      </c>
      <c r="AP243" s="289">
        <v>0</v>
      </c>
      <c r="AQ243" s="289">
        <v>0</v>
      </c>
      <c r="AR243" s="289">
        <v>4366.11556165</v>
      </c>
      <c r="AS243" s="289"/>
      <c r="AT243" s="289">
        <v>81</v>
      </c>
      <c r="AU243" s="289">
        <v>16</v>
      </c>
      <c r="AV243" s="625">
        <v>75026</v>
      </c>
      <c r="AW243" s="289"/>
      <c r="AX243" s="625">
        <v>2.16</v>
      </c>
      <c r="AY243" s="289">
        <v>401</v>
      </c>
      <c r="AZ243" s="289">
        <v>78</v>
      </c>
      <c r="BA243" s="290">
        <v>23</v>
      </c>
      <c r="BB243" s="289">
        <v>5698</v>
      </c>
      <c r="BC243" s="289">
        <v>678.25027273000001</v>
      </c>
      <c r="BD243" s="289">
        <v>26.1642853841171</v>
      </c>
      <c r="BE243" s="289">
        <v>71712.794898990003</v>
      </c>
      <c r="BF243" s="289">
        <v>0</v>
      </c>
      <c r="BG243" s="289">
        <v>-71.435199999999995</v>
      </c>
      <c r="BH243" s="289">
        <v>-5.4268000000000001</v>
      </c>
      <c r="BI243" s="289">
        <v>672.26685362000001</v>
      </c>
      <c r="BJ243" s="289">
        <v>0</v>
      </c>
      <c r="BK243" s="289">
        <v>0</v>
      </c>
      <c r="BL243" s="289">
        <v>0</v>
      </c>
      <c r="BM243" s="289">
        <v>0</v>
      </c>
      <c r="BN243" s="289">
        <v>188.93231316117692</v>
      </c>
      <c r="BO243" s="289">
        <v>108.84848859252537</v>
      </c>
      <c r="BP243" s="289">
        <v>174.01987912300555</v>
      </c>
      <c r="BQ243" s="289">
        <v>357.72981738266463</v>
      </c>
      <c r="BR243" s="289">
        <v>1.7733571204790479</v>
      </c>
      <c r="BS243" s="289">
        <v>0.667823545778919</v>
      </c>
      <c r="BT243" s="289">
        <v>0</v>
      </c>
      <c r="BU243" s="289">
        <v>0</v>
      </c>
      <c r="BV243" s="289">
        <v>25.079671326519623</v>
      </c>
      <c r="BW243" s="517"/>
      <c r="BX243" s="517"/>
      <c r="CA243" s="517"/>
      <c r="CB243" s="517"/>
    </row>
    <row r="244" spans="1:80" ht="13">
      <c r="A244" s="1">
        <v>3431</v>
      </c>
      <c r="B244" s="2" t="s">
        <v>847</v>
      </c>
      <c r="C244" s="289">
        <v>2615</v>
      </c>
      <c r="D244" s="289">
        <v>42</v>
      </c>
      <c r="E244" s="289">
        <v>88</v>
      </c>
      <c r="F244" s="289">
        <v>261</v>
      </c>
      <c r="G244" s="289">
        <v>233</v>
      </c>
      <c r="H244" s="289">
        <v>1417</v>
      </c>
      <c r="I244" s="289">
        <v>422</v>
      </c>
      <c r="J244" s="289">
        <v>145</v>
      </c>
      <c r="K244" s="289">
        <v>34</v>
      </c>
      <c r="L244" s="289">
        <v>22</v>
      </c>
      <c r="M244" s="289">
        <v>284</v>
      </c>
      <c r="N244" s="290">
        <v>20</v>
      </c>
      <c r="O244" s="290">
        <v>31</v>
      </c>
      <c r="P244" s="624">
        <v>21270.679</v>
      </c>
      <c r="Q244" s="624">
        <v>6039.1310000000003</v>
      </c>
      <c r="R244" s="624">
        <v>15</v>
      </c>
      <c r="S244" s="289"/>
      <c r="T244" s="289">
        <v>228</v>
      </c>
      <c r="U244" s="716">
        <v>2.5333003867936345E-3</v>
      </c>
      <c r="V244" s="289">
        <v>1124.2268926700001</v>
      </c>
      <c r="W244" s="743">
        <v>0.85501380999999999</v>
      </c>
      <c r="X244" s="289">
        <v>1200</v>
      </c>
      <c r="Y244" s="289">
        <v>414.28399999999999</v>
      </c>
      <c r="Z244" s="289">
        <v>62336</v>
      </c>
      <c r="AA244" s="289">
        <v>0</v>
      </c>
      <c r="AB244" s="290">
        <v>59</v>
      </c>
      <c r="AC244" s="289">
        <v>86</v>
      </c>
      <c r="AD244" s="289">
        <v>0</v>
      </c>
      <c r="AE244" s="289">
        <v>0</v>
      </c>
      <c r="AF244" s="289">
        <v>0</v>
      </c>
      <c r="AG244" s="289">
        <v>2642</v>
      </c>
      <c r="AH244" s="289">
        <v>373.72651228000001</v>
      </c>
      <c r="AI244" s="289">
        <v>280</v>
      </c>
      <c r="AJ244" s="289">
        <v>0</v>
      </c>
      <c r="AK244" s="289">
        <v>0</v>
      </c>
      <c r="AL244" s="289">
        <v>0</v>
      </c>
      <c r="AM244" s="836">
        <v>5.0432339999999999E-2</v>
      </c>
      <c r="AN244" s="289">
        <v>0</v>
      </c>
      <c r="AO244" s="289">
        <v>116.38120194</v>
      </c>
      <c r="AP244" s="289">
        <v>0</v>
      </c>
      <c r="AQ244" s="289">
        <v>0</v>
      </c>
      <c r="AR244" s="289">
        <v>-107.02639929999999</v>
      </c>
      <c r="AS244" s="289"/>
      <c r="AT244" s="289">
        <v>159</v>
      </c>
      <c r="AU244" s="289">
        <v>18</v>
      </c>
      <c r="AV244" s="625">
        <v>91723</v>
      </c>
      <c r="AW244" s="289"/>
      <c r="AX244" s="625">
        <v>13.771666700000001</v>
      </c>
      <c r="AY244" s="289">
        <v>396</v>
      </c>
      <c r="AZ244" s="289">
        <v>123</v>
      </c>
      <c r="BA244" s="290">
        <v>56</v>
      </c>
      <c r="BB244" s="289">
        <v>5698</v>
      </c>
      <c r="BC244" s="289">
        <v>781.32753535999996</v>
      </c>
      <c r="BD244" s="289">
        <v>36.966687184730013</v>
      </c>
      <c r="BE244" s="289">
        <v>93152.741815040004</v>
      </c>
      <c r="BF244" s="289">
        <v>0</v>
      </c>
      <c r="BG244" s="289">
        <v>-92.695599999999999</v>
      </c>
      <c r="BH244" s="289">
        <v>-7.4598000000000004</v>
      </c>
      <c r="BI244" s="289">
        <v>788.01051227999994</v>
      </c>
      <c r="BJ244" s="289">
        <v>0</v>
      </c>
      <c r="BK244" s="289">
        <v>0</v>
      </c>
      <c r="BL244" s="289">
        <v>0</v>
      </c>
      <c r="BM244" s="289">
        <v>0</v>
      </c>
      <c r="BN244" s="289">
        <v>253.40618154386837</v>
      </c>
      <c r="BO244" s="289">
        <v>138.92435844616105</v>
      </c>
      <c r="BP244" s="289">
        <v>239.2094280140378</v>
      </c>
      <c r="BQ244" s="289">
        <v>328.82239020581375</v>
      </c>
      <c r="BR244" s="289">
        <v>2.5055199091872562</v>
      </c>
      <c r="BS244" s="289">
        <v>0.82487879885826709</v>
      </c>
      <c r="BT244" s="289">
        <v>0</v>
      </c>
      <c r="BU244" s="289">
        <v>0</v>
      </c>
      <c r="BV244" s="289">
        <v>23.053033519822073</v>
      </c>
      <c r="BW244" s="517"/>
      <c r="BX244" s="517"/>
      <c r="CA244" s="517"/>
      <c r="CB244" s="517"/>
    </row>
    <row r="245" spans="1:80" ht="13">
      <c r="A245" s="1">
        <v>3432</v>
      </c>
      <c r="B245" s="2" t="s">
        <v>848</v>
      </c>
      <c r="C245" s="289">
        <v>2009</v>
      </c>
      <c r="D245" s="289">
        <v>43</v>
      </c>
      <c r="E245" s="289">
        <v>69</v>
      </c>
      <c r="F245" s="289">
        <v>261</v>
      </c>
      <c r="G245" s="289">
        <v>180</v>
      </c>
      <c r="H245" s="289">
        <v>1051</v>
      </c>
      <c r="I245" s="289">
        <v>285</v>
      </c>
      <c r="J245" s="289">
        <v>115</v>
      </c>
      <c r="K245" s="289">
        <v>24</v>
      </c>
      <c r="L245" s="289">
        <v>17</v>
      </c>
      <c r="M245" s="289">
        <v>201</v>
      </c>
      <c r="N245" s="290">
        <v>9</v>
      </c>
      <c r="O245" s="290">
        <v>23</v>
      </c>
      <c r="P245" s="624">
        <v>26986.48866667</v>
      </c>
      <c r="Q245" s="624">
        <v>10003.88733333</v>
      </c>
      <c r="R245" s="624">
        <v>9</v>
      </c>
      <c r="S245" s="289"/>
      <c r="T245" s="289">
        <v>150</v>
      </c>
      <c r="U245" s="716">
        <v>3.9257176952617245E-3</v>
      </c>
      <c r="V245" s="289">
        <v>1025.4028072900001</v>
      </c>
      <c r="W245" s="743">
        <v>1</v>
      </c>
      <c r="X245" s="289">
        <v>1000</v>
      </c>
      <c r="Y245" s="289">
        <v>0</v>
      </c>
      <c r="Z245" s="289">
        <v>49891</v>
      </c>
      <c r="AA245" s="289">
        <v>0</v>
      </c>
      <c r="AB245" s="290">
        <v>12</v>
      </c>
      <c r="AC245" s="289">
        <v>0</v>
      </c>
      <c r="AD245" s="289">
        <v>0</v>
      </c>
      <c r="AE245" s="289">
        <v>0</v>
      </c>
      <c r="AF245" s="289">
        <v>0</v>
      </c>
      <c r="AG245" s="289">
        <v>2028</v>
      </c>
      <c r="AH245" s="289">
        <v>337.46946258000003</v>
      </c>
      <c r="AI245" s="289">
        <v>800</v>
      </c>
      <c r="AJ245" s="289">
        <v>0</v>
      </c>
      <c r="AK245" s="289">
        <v>0</v>
      </c>
      <c r="AL245" s="289">
        <v>0</v>
      </c>
      <c r="AM245" s="836">
        <v>1.4626419999999999E-2</v>
      </c>
      <c r="AN245" s="289">
        <v>0</v>
      </c>
      <c r="AO245" s="289">
        <v>97.831595539999995</v>
      </c>
      <c r="AP245" s="289">
        <v>0</v>
      </c>
      <c r="AQ245" s="289">
        <v>0</v>
      </c>
      <c r="AR245" s="289">
        <v>-107.94577645</v>
      </c>
      <c r="AS245" s="289"/>
      <c r="AT245" s="289">
        <v>75</v>
      </c>
      <c r="AU245" s="289">
        <v>9</v>
      </c>
      <c r="AV245" s="625">
        <v>79987</v>
      </c>
      <c r="AW245" s="289"/>
      <c r="AX245" s="625">
        <v>12.4466667</v>
      </c>
      <c r="AY245" s="289">
        <v>355</v>
      </c>
      <c r="AZ245" s="289">
        <v>90</v>
      </c>
      <c r="BA245" s="290">
        <v>24</v>
      </c>
      <c r="BB245" s="289">
        <v>5698</v>
      </c>
      <c r="BC245" s="289">
        <v>321.69167678000002</v>
      </c>
      <c r="BD245" s="289">
        <v>20.667703861566562</v>
      </c>
      <c r="BE245" s="289">
        <v>84279.90326228</v>
      </c>
      <c r="BF245" s="289">
        <v>0</v>
      </c>
      <c r="BG245" s="289">
        <v>-95.818799999999996</v>
      </c>
      <c r="BH245" s="289">
        <v>-5.7260999999999997</v>
      </c>
      <c r="BI245" s="289">
        <v>337.46946258000003</v>
      </c>
      <c r="BJ245" s="289">
        <v>0</v>
      </c>
      <c r="BK245" s="289">
        <v>0</v>
      </c>
      <c r="BL245" s="289">
        <v>0</v>
      </c>
      <c r="BM245" s="289">
        <v>0</v>
      </c>
      <c r="BN245" s="289">
        <v>193.20531212973469</v>
      </c>
      <c r="BO245" s="289">
        <v>124.19324308142279</v>
      </c>
      <c r="BP245" s="289">
        <v>183.61722937640752</v>
      </c>
      <c r="BQ245" s="289">
        <v>509.55815684497185</v>
      </c>
      <c r="BR245" s="289">
        <v>1.4008110395061777</v>
      </c>
      <c r="BS245" s="289">
        <v>0.74921964901625526</v>
      </c>
      <c r="BT245" s="289">
        <v>0</v>
      </c>
      <c r="BU245" s="289">
        <v>0</v>
      </c>
      <c r="BV245" s="289">
        <v>35.72403102688169</v>
      </c>
      <c r="BW245" s="517"/>
      <c r="BX245" s="517"/>
      <c r="CA245" s="517"/>
      <c r="CB245" s="517"/>
    </row>
    <row r="246" spans="1:80" ht="13">
      <c r="A246" s="1">
        <v>3433</v>
      </c>
      <c r="B246" s="2" t="s">
        <v>849</v>
      </c>
      <c r="C246" s="289">
        <v>2204</v>
      </c>
      <c r="D246" s="289">
        <v>39</v>
      </c>
      <c r="E246" s="289">
        <v>70</v>
      </c>
      <c r="F246" s="289">
        <v>221</v>
      </c>
      <c r="G246" s="289">
        <v>176</v>
      </c>
      <c r="H246" s="289">
        <v>1168</v>
      </c>
      <c r="I246" s="289">
        <v>369</v>
      </c>
      <c r="J246" s="289">
        <v>126</v>
      </c>
      <c r="K246" s="289">
        <v>19</v>
      </c>
      <c r="L246" s="289">
        <v>19</v>
      </c>
      <c r="M246" s="289">
        <v>227</v>
      </c>
      <c r="N246" s="290">
        <v>18</v>
      </c>
      <c r="O246" s="290">
        <v>10</v>
      </c>
      <c r="P246" s="624">
        <v>12261.17666667</v>
      </c>
      <c r="Q246" s="624">
        <v>6767.6790000000001</v>
      </c>
      <c r="R246" s="624">
        <v>7</v>
      </c>
      <c r="S246" s="289"/>
      <c r="T246" s="289">
        <v>186</v>
      </c>
      <c r="U246" s="716">
        <v>3.2079936932490234E-3</v>
      </c>
      <c r="V246" s="289">
        <v>899.27156995999997</v>
      </c>
      <c r="W246" s="743">
        <v>0.93367445999999998</v>
      </c>
      <c r="X246" s="289">
        <v>700</v>
      </c>
      <c r="Y246" s="289">
        <v>414.28399999999999</v>
      </c>
      <c r="Z246" s="289">
        <v>61022</v>
      </c>
      <c r="AA246" s="289">
        <v>0</v>
      </c>
      <c r="AB246" s="290">
        <v>39</v>
      </c>
      <c r="AC246" s="289">
        <v>0</v>
      </c>
      <c r="AD246" s="289">
        <v>0</v>
      </c>
      <c r="AE246" s="289">
        <v>0</v>
      </c>
      <c r="AF246" s="289">
        <v>0</v>
      </c>
      <c r="AG246" s="289">
        <v>2188</v>
      </c>
      <c r="AH246" s="289">
        <v>306.09316956999999</v>
      </c>
      <c r="AI246" s="289">
        <v>450</v>
      </c>
      <c r="AJ246" s="289">
        <v>3766.6080000000002</v>
      </c>
      <c r="AK246" s="289">
        <v>26.341000000000001</v>
      </c>
      <c r="AL246" s="289">
        <v>0</v>
      </c>
      <c r="AM246" s="836">
        <v>1.9902949999999999E-2</v>
      </c>
      <c r="AN246" s="289">
        <v>0</v>
      </c>
      <c r="AO246" s="289">
        <v>94.918672299999997</v>
      </c>
      <c r="AP246" s="289">
        <v>0</v>
      </c>
      <c r="AQ246" s="289">
        <v>0</v>
      </c>
      <c r="AR246" s="289">
        <v>-116.46220852</v>
      </c>
      <c r="AS246" s="289"/>
      <c r="AT246" s="289">
        <v>90</v>
      </c>
      <c r="AU246" s="289">
        <v>14</v>
      </c>
      <c r="AV246" s="625">
        <v>73753</v>
      </c>
      <c r="AW246" s="289"/>
      <c r="AX246" s="625">
        <v>13.40500005</v>
      </c>
      <c r="AY246" s="289">
        <v>348</v>
      </c>
      <c r="AZ246" s="289">
        <v>75</v>
      </c>
      <c r="BA246" s="290">
        <v>44</v>
      </c>
      <c r="BB246" s="289">
        <v>5698</v>
      </c>
      <c r="BC246" s="289">
        <v>698.63918182999998</v>
      </c>
      <c r="BD246" s="289">
        <v>27.696405621650346</v>
      </c>
      <c r="BE246" s="289">
        <v>75889.782480520007</v>
      </c>
      <c r="BF246" s="289">
        <v>0</v>
      </c>
      <c r="BG246" s="289">
        <v>-78.297399999999996</v>
      </c>
      <c r="BH246" s="289">
        <v>-6.1779000000000002</v>
      </c>
      <c r="BI246" s="289">
        <v>720.37716956999998</v>
      </c>
      <c r="BJ246" s="289">
        <v>0</v>
      </c>
      <c r="BK246" s="289">
        <v>0</v>
      </c>
      <c r="BL246" s="289">
        <v>0</v>
      </c>
      <c r="BM246" s="289">
        <v>0</v>
      </c>
      <c r="BN246" s="289">
        <v>195.31765996497222</v>
      </c>
      <c r="BO246" s="289">
        <v>122.87075858717681</v>
      </c>
      <c r="BP246" s="289">
        <v>198.10379579663689</v>
      </c>
      <c r="BQ246" s="289">
        <v>416.39758138372315</v>
      </c>
      <c r="BR246" s="289">
        <v>1.8772008254674117</v>
      </c>
      <c r="BS246" s="289">
        <v>0.75804296417408001</v>
      </c>
      <c r="BT246" s="289">
        <v>0</v>
      </c>
      <c r="BU246" s="289">
        <v>0</v>
      </c>
      <c r="BV246" s="289">
        <v>29.192742608566103</v>
      </c>
      <c r="BW246" s="517"/>
      <c r="BX246" s="517"/>
      <c r="CA246" s="517"/>
      <c r="CB246" s="517"/>
    </row>
    <row r="247" spans="1:80" ht="13">
      <c r="A247" s="1">
        <v>3434</v>
      </c>
      <c r="B247" s="2" t="s">
        <v>850</v>
      </c>
      <c r="C247" s="289">
        <v>2293</v>
      </c>
      <c r="D247" s="289">
        <v>33</v>
      </c>
      <c r="E247" s="289">
        <v>111</v>
      </c>
      <c r="F247" s="289">
        <v>245</v>
      </c>
      <c r="G247" s="289">
        <v>190</v>
      </c>
      <c r="H247" s="289">
        <v>1285</v>
      </c>
      <c r="I247" s="289">
        <v>312</v>
      </c>
      <c r="J247" s="289">
        <v>124</v>
      </c>
      <c r="K247" s="289">
        <v>21</v>
      </c>
      <c r="L247" s="289">
        <v>18</v>
      </c>
      <c r="M247" s="289">
        <v>212</v>
      </c>
      <c r="N247" s="290">
        <v>10</v>
      </c>
      <c r="O247" s="290">
        <v>16</v>
      </c>
      <c r="P247" s="624">
        <v>17450.864000000001</v>
      </c>
      <c r="Q247" s="624">
        <v>8357.0716666699991</v>
      </c>
      <c r="R247" s="624">
        <v>9</v>
      </c>
      <c r="S247" s="289"/>
      <c r="T247" s="289">
        <v>168</v>
      </c>
      <c r="U247" s="716">
        <v>3.2216995931567509E-3</v>
      </c>
      <c r="V247" s="289">
        <v>1063.2089079100001</v>
      </c>
      <c r="W247" s="743">
        <v>0.8590023</v>
      </c>
      <c r="X247" s="289">
        <v>900</v>
      </c>
      <c r="Y247" s="289">
        <v>414.28399999999999</v>
      </c>
      <c r="Z247" s="289">
        <v>55282</v>
      </c>
      <c r="AA247" s="289">
        <v>0</v>
      </c>
      <c r="AB247" s="290">
        <v>29</v>
      </c>
      <c r="AC247" s="289">
        <v>0</v>
      </c>
      <c r="AD247" s="289">
        <v>0</v>
      </c>
      <c r="AE247" s="289">
        <v>0</v>
      </c>
      <c r="AF247" s="289">
        <v>0</v>
      </c>
      <c r="AG247" s="289">
        <v>2321</v>
      </c>
      <c r="AH247" s="289">
        <v>353.50623456</v>
      </c>
      <c r="AI247" s="289">
        <v>350</v>
      </c>
      <c r="AJ247" s="289">
        <v>0</v>
      </c>
      <c r="AK247" s="289">
        <v>0</v>
      </c>
      <c r="AL247" s="289">
        <v>0</v>
      </c>
      <c r="AM247" s="836">
        <v>1.485656E-2</v>
      </c>
      <c r="AN247" s="289">
        <v>0</v>
      </c>
      <c r="AO247" s="289">
        <v>101.43859868</v>
      </c>
      <c r="AP247" s="289">
        <v>0</v>
      </c>
      <c r="AQ247" s="289">
        <v>0</v>
      </c>
      <c r="AR247" s="289">
        <v>-123.54149267</v>
      </c>
      <c r="AS247" s="289"/>
      <c r="AT247" s="289">
        <v>93</v>
      </c>
      <c r="AU247" s="289">
        <v>14</v>
      </c>
      <c r="AV247" s="625">
        <v>77709</v>
      </c>
      <c r="AW247" s="289"/>
      <c r="AX247" s="625">
        <v>12.2</v>
      </c>
      <c r="AY247" s="289">
        <v>404</v>
      </c>
      <c r="AZ247" s="289">
        <v>62</v>
      </c>
      <c r="BA247" s="290">
        <v>34</v>
      </c>
      <c r="BB247" s="289">
        <v>5698</v>
      </c>
      <c r="BC247" s="289">
        <v>754.14232324</v>
      </c>
      <c r="BD247" s="289">
        <v>25.185846450883837</v>
      </c>
      <c r="BE247" s="289">
        <v>81440.126124310002</v>
      </c>
      <c r="BF247" s="289">
        <v>0</v>
      </c>
      <c r="BG247" s="289">
        <v>-86.734300000000005</v>
      </c>
      <c r="BH247" s="289">
        <v>-6.5533999999999999</v>
      </c>
      <c r="BI247" s="289">
        <v>767.79023456000004</v>
      </c>
      <c r="BJ247" s="289">
        <v>0</v>
      </c>
      <c r="BK247" s="289">
        <v>0</v>
      </c>
      <c r="BL247" s="289">
        <v>0</v>
      </c>
      <c r="BM247" s="289">
        <v>0</v>
      </c>
      <c r="BN247" s="289">
        <v>196.8405562838725</v>
      </c>
      <c r="BO247" s="289">
        <v>124.03653791967415</v>
      </c>
      <c r="BP247" s="289">
        <v>210.14575413345258</v>
      </c>
      <c r="BQ247" s="289">
        <v>418.17660719174614</v>
      </c>
      <c r="BR247" s="289">
        <v>1.7070407038932383</v>
      </c>
      <c r="BS247" s="289">
        <v>0.76242857617547377</v>
      </c>
      <c r="BT247" s="289">
        <v>0</v>
      </c>
      <c r="BU247" s="289">
        <v>0</v>
      </c>
      <c r="BV247" s="289">
        <v>29.317466297726423</v>
      </c>
      <c r="BW247" s="517"/>
      <c r="BX247" s="517"/>
      <c r="CA247" s="517"/>
      <c r="CB247" s="517"/>
    </row>
    <row r="248" spans="1:80" ht="13">
      <c r="A248" s="1">
        <v>3435</v>
      </c>
      <c r="B248" s="2" t="s">
        <v>851</v>
      </c>
      <c r="C248" s="289">
        <v>3589</v>
      </c>
      <c r="D248" s="289">
        <v>58</v>
      </c>
      <c r="E248" s="289">
        <v>113</v>
      </c>
      <c r="F248" s="289">
        <v>431</v>
      </c>
      <c r="G248" s="289">
        <v>325</v>
      </c>
      <c r="H248" s="289">
        <v>1937</v>
      </c>
      <c r="I248" s="289">
        <v>537</v>
      </c>
      <c r="J248" s="289">
        <v>176</v>
      </c>
      <c r="K248" s="289">
        <v>50</v>
      </c>
      <c r="L248" s="289">
        <v>33</v>
      </c>
      <c r="M248" s="289">
        <v>345</v>
      </c>
      <c r="N248" s="290">
        <v>26</v>
      </c>
      <c r="O248" s="290">
        <v>27</v>
      </c>
      <c r="P248" s="624">
        <v>22029.918000000001</v>
      </c>
      <c r="Q248" s="624">
        <v>12181.22533333</v>
      </c>
      <c r="R248" s="624">
        <v>22</v>
      </c>
      <c r="S248" s="289"/>
      <c r="T248" s="289">
        <v>285</v>
      </c>
      <c r="U248" s="716">
        <v>3.9174379678916307E-3</v>
      </c>
      <c r="V248" s="289">
        <v>1636.2596495499999</v>
      </c>
      <c r="W248" s="743">
        <v>0.76051597000000004</v>
      </c>
      <c r="X248" s="289">
        <v>1600</v>
      </c>
      <c r="Y248" s="289">
        <v>414.28399999999999</v>
      </c>
      <c r="Z248" s="289">
        <v>89927</v>
      </c>
      <c r="AA248" s="289">
        <v>0</v>
      </c>
      <c r="AB248" s="290">
        <v>53</v>
      </c>
      <c r="AC248" s="289">
        <v>0</v>
      </c>
      <c r="AD248" s="289">
        <v>0</v>
      </c>
      <c r="AE248" s="289">
        <v>0</v>
      </c>
      <c r="AF248" s="289">
        <v>0</v>
      </c>
      <c r="AG248" s="289">
        <v>3627</v>
      </c>
      <c r="AH248" s="289">
        <v>548.73650216999999</v>
      </c>
      <c r="AI248" s="289">
        <v>550</v>
      </c>
      <c r="AJ248" s="289">
        <v>0</v>
      </c>
      <c r="AK248" s="289">
        <v>0</v>
      </c>
      <c r="AL248" s="289">
        <v>0</v>
      </c>
      <c r="AM248" s="836">
        <v>3.2946620000000003E-2</v>
      </c>
      <c r="AN248" s="289">
        <v>5299</v>
      </c>
      <c r="AO248" s="289">
        <v>156.11220399000001</v>
      </c>
      <c r="AP248" s="289">
        <v>0</v>
      </c>
      <c r="AQ248" s="289">
        <v>0</v>
      </c>
      <c r="AR248" s="289">
        <v>1846.6825001899999</v>
      </c>
      <c r="AS248" s="289"/>
      <c r="AT248" s="289">
        <v>153</v>
      </c>
      <c r="AU248" s="289">
        <v>30</v>
      </c>
      <c r="AV248" s="625">
        <v>119607</v>
      </c>
      <c r="AW248" s="289"/>
      <c r="AX248" s="625">
        <v>21.033333299999999</v>
      </c>
      <c r="AY248" s="289">
        <v>608</v>
      </c>
      <c r="AZ248" s="289">
        <v>95</v>
      </c>
      <c r="BA248" s="290">
        <v>63</v>
      </c>
      <c r="BB248" s="289">
        <v>0</v>
      </c>
      <c r="BC248" s="289">
        <v>937.64250505999996</v>
      </c>
      <c r="BD248" s="289">
        <v>43.048776551486746</v>
      </c>
      <c r="BE248" s="289">
        <v>120343.77024298</v>
      </c>
      <c r="BF248" s="289">
        <v>0</v>
      </c>
      <c r="BG248" s="289">
        <v>-142.8364</v>
      </c>
      <c r="BH248" s="289">
        <v>-10.2409</v>
      </c>
      <c r="BI248" s="289">
        <v>963.02050216999999</v>
      </c>
      <c r="BJ248" s="289">
        <v>0</v>
      </c>
      <c r="BK248" s="289">
        <v>0</v>
      </c>
      <c r="BL248" s="289">
        <v>0</v>
      </c>
      <c r="BM248" s="289">
        <v>0</v>
      </c>
      <c r="BN248" s="289">
        <v>334.19111312083044</v>
      </c>
      <c r="BO248" s="289">
        <v>174.89320969522609</v>
      </c>
      <c r="BP248" s="289">
        <v>328.39235253857493</v>
      </c>
      <c r="BQ248" s="289">
        <v>508.4834482323335</v>
      </c>
      <c r="BR248" s="289">
        <v>2.9177504107118795</v>
      </c>
      <c r="BS248" s="289">
        <v>0.99502799149122079</v>
      </c>
      <c r="BT248" s="289">
        <v>0</v>
      </c>
      <c r="BU248" s="289">
        <v>0</v>
      </c>
      <c r="BV248" s="289">
        <v>35.64868550781383</v>
      </c>
      <c r="BW248" s="517"/>
      <c r="BX248" s="517"/>
      <c r="CA248" s="517"/>
      <c r="CB248" s="517"/>
    </row>
    <row r="249" spans="1:80" ht="13">
      <c r="A249" s="1">
        <v>3436</v>
      </c>
      <c r="B249" s="2" t="s">
        <v>852</v>
      </c>
      <c r="C249" s="289">
        <v>5742</v>
      </c>
      <c r="D249" s="289">
        <v>89</v>
      </c>
      <c r="E249" s="289">
        <v>216</v>
      </c>
      <c r="F249" s="289">
        <v>610</v>
      </c>
      <c r="G249" s="289">
        <v>528</v>
      </c>
      <c r="H249" s="289">
        <v>3080</v>
      </c>
      <c r="I249" s="289">
        <v>892</v>
      </c>
      <c r="J249" s="289">
        <v>275</v>
      </c>
      <c r="K249" s="289">
        <v>56</v>
      </c>
      <c r="L249" s="289">
        <v>49</v>
      </c>
      <c r="M249" s="289">
        <v>592</v>
      </c>
      <c r="N249" s="290">
        <v>54</v>
      </c>
      <c r="O249" s="290">
        <v>52</v>
      </c>
      <c r="P249" s="624">
        <v>46762.737999999998</v>
      </c>
      <c r="Q249" s="624">
        <v>14453.975</v>
      </c>
      <c r="R249" s="624">
        <v>40</v>
      </c>
      <c r="S249" s="289"/>
      <c r="T249" s="289">
        <v>535</v>
      </c>
      <c r="U249" s="716">
        <v>4.4594368081475972E-3</v>
      </c>
      <c r="V249" s="289">
        <v>2429.3192820099998</v>
      </c>
      <c r="W249" s="743">
        <v>0.66457838999999996</v>
      </c>
      <c r="X249" s="289">
        <v>900</v>
      </c>
      <c r="Y249" s="289">
        <v>414.28399999999999</v>
      </c>
      <c r="Z249" s="289">
        <v>163393</v>
      </c>
      <c r="AA249" s="289">
        <v>0</v>
      </c>
      <c r="AB249" s="290">
        <v>117</v>
      </c>
      <c r="AC249" s="289">
        <v>0</v>
      </c>
      <c r="AD249" s="289">
        <v>0</v>
      </c>
      <c r="AE249" s="289">
        <v>0</v>
      </c>
      <c r="AF249" s="289">
        <v>0</v>
      </c>
      <c r="AG249" s="289">
        <v>5746</v>
      </c>
      <c r="AH249" s="289">
        <v>854.82967173999998</v>
      </c>
      <c r="AI249" s="289">
        <v>1400</v>
      </c>
      <c r="AJ249" s="289">
        <v>0</v>
      </c>
      <c r="AK249" s="289">
        <v>0</v>
      </c>
      <c r="AL249" s="289">
        <v>0</v>
      </c>
      <c r="AM249" s="836">
        <v>9.3561519999999995E-2</v>
      </c>
      <c r="AN249" s="289">
        <v>7633</v>
      </c>
      <c r="AO249" s="289">
        <v>240.89741144000001</v>
      </c>
      <c r="AP249" s="289">
        <v>0</v>
      </c>
      <c r="AQ249" s="289">
        <v>0</v>
      </c>
      <c r="AR249" s="289">
        <v>-305.84636660000001</v>
      </c>
      <c r="AS249" s="289"/>
      <c r="AT249" s="289">
        <v>287</v>
      </c>
      <c r="AU249" s="289">
        <v>56</v>
      </c>
      <c r="AV249" s="625">
        <v>166704</v>
      </c>
      <c r="AW249" s="289"/>
      <c r="AX249" s="625">
        <v>31.713333299999999</v>
      </c>
      <c r="AY249" s="289">
        <v>933</v>
      </c>
      <c r="AZ249" s="289">
        <v>191</v>
      </c>
      <c r="BA249" s="290">
        <v>120</v>
      </c>
      <c r="BB249" s="289">
        <v>0</v>
      </c>
      <c r="BC249" s="289">
        <v>1248.0070101199999</v>
      </c>
      <c r="BD249" s="289">
        <v>81.631505235314549</v>
      </c>
      <c r="BE249" s="289">
        <v>179164.19762803</v>
      </c>
      <c r="BF249" s="289">
        <v>0</v>
      </c>
      <c r="BG249" s="289">
        <v>-201.54839999999999</v>
      </c>
      <c r="BH249" s="289">
        <v>-16.224</v>
      </c>
      <c r="BI249" s="289">
        <v>1269.11367174</v>
      </c>
      <c r="BJ249" s="289">
        <v>0</v>
      </c>
      <c r="BK249" s="289">
        <v>0</v>
      </c>
      <c r="BL249" s="289">
        <v>0</v>
      </c>
      <c r="BM249" s="289">
        <v>0</v>
      </c>
      <c r="BN249" s="289">
        <v>518.34269689557254</v>
      </c>
      <c r="BO249" s="289">
        <v>259.32096755191509</v>
      </c>
      <c r="BP249" s="289">
        <v>520.2488165664879</v>
      </c>
      <c r="BQ249" s="289">
        <v>578.83489769755806</v>
      </c>
      <c r="BR249" s="289">
        <v>5.5328020215046525</v>
      </c>
      <c r="BS249" s="289">
        <v>1.3953764345165174</v>
      </c>
      <c r="BT249" s="289">
        <v>0</v>
      </c>
      <c r="BU249" s="289">
        <v>0</v>
      </c>
      <c r="BV249" s="289">
        <v>40.580874954143127</v>
      </c>
      <c r="BW249" s="517"/>
      <c r="BX249" s="517"/>
      <c r="CA249" s="517"/>
      <c r="CB249" s="517"/>
    </row>
    <row r="250" spans="1:80" ht="13">
      <c r="A250" s="1">
        <v>3437</v>
      </c>
      <c r="B250" s="2" t="s">
        <v>853</v>
      </c>
      <c r="C250" s="289">
        <v>5789</v>
      </c>
      <c r="D250" s="289">
        <v>91</v>
      </c>
      <c r="E250" s="289">
        <v>215</v>
      </c>
      <c r="F250" s="289">
        <v>626</v>
      </c>
      <c r="G250" s="289">
        <v>523</v>
      </c>
      <c r="H250" s="289">
        <v>3153</v>
      </c>
      <c r="I250" s="289">
        <v>853</v>
      </c>
      <c r="J250" s="289">
        <v>312</v>
      </c>
      <c r="K250" s="289">
        <v>64</v>
      </c>
      <c r="L250" s="289">
        <v>44</v>
      </c>
      <c r="M250" s="289">
        <v>550</v>
      </c>
      <c r="N250" s="290">
        <v>42</v>
      </c>
      <c r="O250" s="290">
        <v>50</v>
      </c>
      <c r="P250" s="624">
        <v>68815.195333330004</v>
      </c>
      <c r="Q250" s="624">
        <v>14796.85</v>
      </c>
      <c r="R250" s="624">
        <v>45</v>
      </c>
      <c r="S250" s="289"/>
      <c r="T250" s="289">
        <v>491</v>
      </c>
      <c r="U250" s="716">
        <v>3.5707582345807605E-3</v>
      </c>
      <c r="V250" s="289">
        <v>2515.8687898799999</v>
      </c>
      <c r="W250" s="743">
        <v>0.72930852999999995</v>
      </c>
      <c r="X250" s="289">
        <v>1900</v>
      </c>
      <c r="Y250" s="289">
        <v>414.28399999999999</v>
      </c>
      <c r="Z250" s="289">
        <v>121998</v>
      </c>
      <c r="AA250" s="289">
        <v>0</v>
      </c>
      <c r="AB250" s="290">
        <v>134</v>
      </c>
      <c r="AC250" s="289">
        <v>0</v>
      </c>
      <c r="AD250" s="289">
        <v>0</v>
      </c>
      <c r="AE250" s="289">
        <v>0</v>
      </c>
      <c r="AF250" s="289">
        <v>0</v>
      </c>
      <c r="AG250" s="289">
        <v>5837</v>
      </c>
      <c r="AH250" s="289">
        <v>853.43516982000006</v>
      </c>
      <c r="AI250" s="289">
        <v>2530</v>
      </c>
      <c r="AJ250" s="289">
        <v>0</v>
      </c>
      <c r="AK250" s="289">
        <v>0</v>
      </c>
      <c r="AL250" s="289">
        <v>0</v>
      </c>
      <c r="AM250" s="836">
        <v>0.17233567</v>
      </c>
      <c r="AN250" s="289">
        <v>7794</v>
      </c>
      <c r="AO250" s="289">
        <v>249.15492388999999</v>
      </c>
      <c r="AP250" s="289">
        <v>0</v>
      </c>
      <c r="AQ250" s="289">
        <v>0</v>
      </c>
      <c r="AR250" s="289">
        <v>-310.69008733999999</v>
      </c>
      <c r="AS250" s="289"/>
      <c r="AT250" s="289">
        <v>275</v>
      </c>
      <c r="AU250" s="289">
        <v>74</v>
      </c>
      <c r="AV250" s="625">
        <v>180812</v>
      </c>
      <c r="AW250" s="289"/>
      <c r="AX250" s="625">
        <v>21.9016667</v>
      </c>
      <c r="AY250" s="289">
        <v>904</v>
      </c>
      <c r="AZ250" s="289">
        <v>292</v>
      </c>
      <c r="BA250" s="290">
        <v>99</v>
      </c>
      <c r="BB250" s="289">
        <v>0</v>
      </c>
      <c r="BC250" s="289">
        <v>1276.3249394100001</v>
      </c>
      <c r="BD250" s="289">
        <v>85.964219552749697</v>
      </c>
      <c r="BE250" s="289">
        <v>189054.59914979001</v>
      </c>
      <c r="BF250" s="289">
        <v>0</v>
      </c>
      <c r="BG250" s="289">
        <v>-210.72569999999999</v>
      </c>
      <c r="BH250" s="289">
        <v>-16.480899999999998</v>
      </c>
      <c r="BI250" s="289">
        <v>1267.7191698199999</v>
      </c>
      <c r="BJ250" s="289">
        <v>0</v>
      </c>
      <c r="BK250" s="289">
        <v>0</v>
      </c>
      <c r="BL250" s="289">
        <v>0</v>
      </c>
      <c r="BM250" s="289">
        <v>0</v>
      </c>
      <c r="BN250" s="289">
        <v>544.30029046732034</v>
      </c>
      <c r="BO250" s="289">
        <v>270.99362101123944</v>
      </c>
      <c r="BP250" s="289">
        <v>528.48805121799342</v>
      </c>
      <c r="BQ250" s="289">
        <v>463.48441884858261</v>
      </c>
      <c r="BR250" s="289">
        <v>5.8264637696863684</v>
      </c>
      <c r="BS250" s="289">
        <v>1.4368285676426014</v>
      </c>
      <c r="BT250" s="289">
        <v>0</v>
      </c>
      <c r="BU250" s="289">
        <v>0</v>
      </c>
      <c r="BV250" s="289">
        <v>32.493899934684919</v>
      </c>
      <c r="BW250" s="517"/>
      <c r="BX250" s="517"/>
      <c r="CA250" s="517"/>
      <c r="CB250" s="517"/>
    </row>
    <row r="251" spans="1:80" ht="13">
      <c r="A251" s="1">
        <v>3438</v>
      </c>
      <c r="B251" s="2" t="s">
        <v>854</v>
      </c>
      <c r="C251" s="289">
        <v>3127</v>
      </c>
      <c r="D251" s="289">
        <v>48</v>
      </c>
      <c r="E251" s="289">
        <v>126</v>
      </c>
      <c r="F251" s="289">
        <v>372</v>
      </c>
      <c r="G251" s="289">
        <v>264</v>
      </c>
      <c r="H251" s="289">
        <v>1700</v>
      </c>
      <c r="I251" s="289">
        <v>427</v>
      </c>
      <c r="J251" s="289">
        <v>154</v>
      </c>
      <c r="K251" s="289">
        <v>37</v>
      </c>
      <c r="L251" s="289">
        <v>29</v>
      </c>
      <c r="M251" s="289">
        <v>274</v>
      </c>
      <c r="N251" s="290">
        <v>26</v>
      </c>
      <c r="O251" s="290">
        <v>20</v>
      </c>
      <c r="P251" s="624">
        <v>16093.231333330001</v>
      </c>
      <c r="Q251" s="624">
        <v>9999.8803333300002</v>
      </c>
      <c r="R251" s="624">
        <v>11</v>
      </c>
      <c r="S251" s="289"/>
      <c r="T251" s="289">
        <v>256</v>
      </c>
      <c r="U251" s="716">
        <v>3.4684636818626017E-3</v>
      </c>
      <c r="V251" s="289">
        <v>999.78706634000002</v>
      </c>
      <c r="W251" s="743">
        <v>0.66660180999999996</v>
      </c>
      <c r="X251" s="289">
        <v>500</v>
      </c>
      <c r="Y251" s="289">
        <v>414.28399999999999</v>
      </c>
      <c r="Z251" s="289">
        <v>86652</v>
      </c>
      <c r="AA251" s="289">
        <v>0</v>
      </c>
      <c r="AB251" s="290">
        <v>73</v>
      </c>
      <c r="AC251" s="289">
        <v>682.5</v>
      </c>
      <c r="AD251" s="289">
        <v>0</v>
      </c>
      <c r="AE251" s="289">
        <v>0</v>
      </c>
      <c r="AF251" s="289">
        <v>0</v>
      </c>
      <c r="AG251" s="289">
        <v>3128</v>
      </c>
      <c r="AH251" s="289">
        <v>497.13993144</v>
      </c>
      <c r="AI251" s="289">
        <v>300</v>
      </c>
      <c r="AJ251" s="289">
        <v>0</v>
      </c>
      <c r="AK251" s="289">
        <v>0</v>
      </c>
      <c r="AL251" s="289">
        <v>0</v>
      </c>
      <c r="AM251" s="836">
        <v>2.9139209999999999E-2</v>
      </c>
      <c r="AN251" s="289">
        <v>0</v>
      </c>
      <c r="AO251" s="289">
        <v>131.87165576999999</v>
      </c>
      <c r="AP251" s="289">
        <v>0</v>
      </c>
      <c r="AQ251" s="289">
        <v>0</v>
      </c>
      <c r="AR251" s="289">
        <v>714.15357983000001</v>
      </c>
      <c r="AS251" s="289"/>
      <c r="AT251" s="289">
        <v>140</v>
      </c>
      <c r="AU251" s="289">
        <v>20</v>
      </c>
      <c r="AV251" s="625">
        <v>97497</v>
      </c>
      <c r="AW251" s="289"/>
      <c r="AX251" s="625">
        <v>14.96</v>
      </c>
      <c r="AY251" s="289">
        <v>482</v>
      </c>
      <c r="AZ251" s="289">
        <v>103</v>
      </c>
      <c r="BA251" s="290">
        <v>54</v>
      </c>
      <c r="BB251" s="289">
        <v>5130</v>
      </c>
      <c r="BC251" s="289">
        <v>492.73196970999999</v>
      </c>
      <c r="BD251" s="289">
        <v>41.026601167095933</v>
      </c>
      <c r="BE251" s="289">
        <v>99404.912334790002</v>
      </c>
      <c r="BF251" s="289">
        <v>0</v>
      </c>
      <c r="BG251" s="289">
        <v>-122.27970000000001</v>
      </c>
      <c r="BH251" s="289">
        <v>-8.8320000000000007</v>
      </c>
      <c r="BI251" s="289">
        <v>911.42393144000005</v>
      </c>
      <c r="BJ251" s="289">
        <v>0</v>
      </c>
      <c r="BK251" s="289">
        <v>0</v>
      </c>
      <c r="BL251" s="289">
        <v>0</v>
      </c>
      <c r="BM251" s="289">
        <v>0</v>
      </c>
      <c r="BN251" s="289">
        <v>259.39394529756049</v>
      </c>
      <c r="BO251" s="289">
        <v>148.14628834771258</v>
      </c>
      <c r="BP251" s="289">
        <v>283.21237351548456</v>
      </c>
      <c r="BQ251" s="289">
        <v>450.20658590576562</v>
      </c>
      <c r="BR251" s="289">
        <v>2.7806918568809467</v>
      </c>
      <c r="BS251" s="289">
        <v>0.86285417294124345</v>
      </c>
      <c r="BT251" s="289">
        <v>0</v>
      </c>
      <c r="BU251" s="289">
        <v>0</v>
      </c>
      <c r="BV251" s="289">
        <v>31.563019504949665</v>
      </c>
      <c r="BW251" s="517"/>
      <c r="BX251" s="517"/>
      <c r="CA251" s="517"/>
      <c r="CB251" s="517"/>
    </row>
    <row r="252" spans="1:80" ht="13">
      <c r="A252" s="1">
        <v>3439</v>
      </c>
      <c r="B252" s="2" t="s">
        <v>855</v>
      </c>
      <c r="C252" s="289">
        <v>4425</v>
      </c>
      <c r="D252" s="289">
        <v>66</v>
      </c>
      <c r="E252" s="289">
        <v>154</v>
      </c>
      <c r="F252" s="289">
        <v>458</v>
      </c>
      <c r="G252" s="289">
        <v>382</v>
      </c>
      <c r="H252" s="289">
        <v>2413</v>
      </c>
      <c r="I252" s="289">
        <v>690</v>
      </c>
      <c r="J252" s="289">
        <v>225</v>
      </c>
      <c r="K252" s="289">
        <v>61</v>
      </c>
      <c r="L252" s="289">
        <v>32</v>
      </c>
      <c r="M252" s="289">
        <v>431</v>
      </c>
      <c r="N252" s="290">
        <v>43</v>
      </c>
      <c r="O252" s="290">
        <v>44</v>
      </c>
      <c r="P252" s="624">
        <v>20756.327333329999</v>
      </c>
      <c r="Q252" s="624">
        <v>12191.92566667</v>
      </c>
      <c r="R252" s="624">
        <v>25</v>
      </c>
      <c r="S252" s="289"/>
      <c r="T252" s="289">
        <v>370</v>
      </c>
      <c r="U252" s="716">
        <v>4.7528085783547875E-3</v>
      </c>
      <c r="V252" s="289">
        <v>-2575.49162927</v>
      </c>
      <c r="W252" s="743">
        <v>0.70162263000000002</v>
      </c>
      <c r="X252" s="289">
        <v>500</v>
      </c>
      <c r="Y252" s="289">
        <v>414.28399999999999</v>
      </c>
      <c r="Z252" s="289">
        <v>118676</v>
      </c>
      <c r="AA252" s="289">
        <v>0</v>
      </c>
      <c r="AB252" s="290">
        <v>85</v>
      </c>
      <c r="AC252" s="289">
        <v>0</v>
      </c>
      <c r="AD252" s="289">
        <v>0</v>
      </c>
      <c r="AE252" s="289">
        <v>0</v>
      </c>
      <c r="AF252" s="289">
        <v>0</v>
      </c>
      <c r="AG252" s="289">
        <v>4449</v>
      </c>
      <c r="AH252" s="289">
        <v>637.28737353999998</v>
      </c>
      <c r="AI252" s="289">
        <v>420</v>
      </c>
      <c r="AJ252" s="289">
        <v>0</v>
      </c>
      <c r="AK252" s="289">
        <v>0</v>
      </c>
      <c r="AL252" s="289">
        <v>0</v>
      </c>
      <c r="AM252" s="836">
        <v>4.0495379999999997E-2</v>
      </c>
      <c r="AN252" s="289">
        <v>6210</v>
      </c>
      <c r="AO252" s="289">
        <v>182.96465384000001</v>
      </c>
      <c r="AP252" s="289">
        <v>0</v>
      </c>
      <c r="AQ252" s="289">
        <v>0</v>
      </c>
      <c r="AR252" s="289">
        <v>10826.45422252</v>
      </c>
      <c r="AS252" s="289"/>
      <c r="AT252" s="289">
        <v>179</v>
      </c>
      <c r="AU252" s="289">
        <v>22</v>
      </c>
      <c r="AV252" s="625">
        <v>137826</v>
      </c>
      <c r="AW252" s="289"/>
      <c r="AX252" s="625">
        <v>20.5433333</v>
      </c>
      <c r="AY252" s="289">
        <v>709</v>
      </c>
      <c r="AZ252" s="289">
        <v>204</v>
      </c>
      <c r="BA252" s="290">
        <v>74</v>
      </c>
      <c r="BB252" s="289">
        <v>0</v>
      </c>
      <c r="BC252" s="289">
        <v>1046.38335355</v>
      </c>
      <c r="BD252" s="289">
        <v>57.293613154405399</v>
      </c>
      <c r="BE252" s="289">
        <v>129634.02636685999</v>
      </c>
      <c r="BF252" s="289">
        <v>0</v>
      </c>
      <c r="BG252" s="289">
        <v>-151.65559999999999</v>
      </c>
      <c r="BH252" s="289">
        <v>-12.5619</v>
      </c>
      <c r="BI252" s="289">
        <v>1051.57137354</v>
      </c>
      <c r="BJ252" s="289">
        <v>0</v>
      </c>
      <c r="BK252" s="289">
        <v>0</v>
      </c>
      <c r="BL252" s="289">
        <v>0</v>
      </c>
      <c r="BM252" s="289">
        <v>0</v>
      </c>
      <c r="BN252" s="289">
        <v>395.70758699246062</v>
      </c>
      <c r="BO252" s="289">
        <v>203.94969641856997</v>
      </c>
      <c r="BP252" s="289">
        <v>402.81708752250347</v>
      </c>
      <c r="BQ252" s="289">
        <v>616.91455347045144</v>
      </c>
      <c r="BR252" s="289">
        <v>3.8832337804652557</v>
      </c>
      <c r="BS252" s="289">
        <v>1.1425585573612305</v>
      </c>
      <c r="BT252" s="289">
        <v>0</v>
      </c>
      <c r="BU252" s="289">
        <v>0</v>
      </c>
      <c r="BV252" s="289">
        <v>43.250558063028564</v>
      </c>
      <c r="BW252" s="517"/>
      <c r="BX252" s="517"/>
      <c r="CA252" s="517"/>
      <c r="CB252" s="517"/>
    </row>
    <row r="253" spans="1:80" ht="13">
      <c r="A253" s="1">
        <v>3440</v>
      </c>
      <c r="B253" s="2" t="s">
        <v>856</v>
      </c>
      <c r="C253" s="289">
        <v>5119</v>
      </c>
      <c r="D253" s="289">
        <v>101</v>
      </c>
      <c r="E253" s="289">
        <v>206</v>
      </c>
      <c r="F253" s="289">
        <v>555</v>
      </c>
      <c r="G253" s="289">
        <v>439</v>
      </c>
      <c r="H253" s="289">
        <v>2904</v>
      </c>
      <c r="I253" s="289">
        <v>651</v>
      </c>
      <c r="J253" s="289">
        <v>218</v>
      </c>
      <c r="K253" s="289">
        <v>55</v>
      </c>
      <c r="L253" s="289">
        <v>39</v>
      </c>
      <c r="M253" s="289">
        <v>397</v>
      </c>
      <c r="N253" s="290">
        <v>149</v>
      </c>
      <c r="O253" s="290">
        <v>54</v>
      </c>
      <c r="P253" s="624">
        <v>37089.239666670001</v>
      </c>
      <c r="Q253" s="624">
        <v>12104.862999999999</v>
      </c>
      <c r="R253" s="624">
        <v>29</v>
      </c>
      <c r="S253" s="289"/>
      <c r="T253" s="289">
        <v>400</v>
      </c>
      <c r="U253" s="716">
        <v>3.3515069679727724E-3</v>
      </c>
      <c r="V253" s="289">
        <v>1613.16634879</v>
      </c>
      <c r="W253" s="743">
        <v>0.65734075000000003</v>
      </c>
      <c r="X253" s="289">
        <v>2300</v>
      </c>
      <c r="Y253" s="289">
        <v>335.12799999999999</v>
      </c>
      <c r="Z253" s="289">
        <v>155837</v>
      </c>
      <c r="AA253" s="289">
        <v>0</v>
      </c>
      <c r="AB253" s="290">
        <v>104</v>
      </c>
      <c r="AC253" s="289">
        <v>0</v>
      </c>
      <c r="AD253" s="289">
        <v>0</v>
      </c>
      <c r="AE253" s="289">
        <v>0</v>
      </c>
      <c r="AF253" s="289">
        <v>0</v>
      </c>
      <c r="AG253" s="289">
        <v>5129</v>
      </c>
      <c r="AH253" s="289">
        <v>763.48979653000004</v>
      </c>
      <c r="AI253" s="289">
        <v>0</v>
      </c>
      <c r="AJ253" s="289">
        <v>0</v>
      </c>
      <c r="AK253" s="289">
        <v>0</v>
      </c>
      <c r="AL253" s="289">
        <v>0</v>
      </c>
      <c r="AM253" s="836">
        <v>8.6389430000000003E-2</v>
      </c>
      <c r="AN253" s="289">
        <v>1396</v>
      </c>
      <c r="AO253" s="289">
        <v>208.6349281</v>
      </c>
      <c r="AP253" s="289">
        <v>0</v>
      </c>
      <c r="AQ253" s="289">
        <v>0</v>
      </c>
      <c r="AR253" s="289">
        <v>-273.00487544999999</v>
      </c>
      <c r="AS253" s="289"/>
      <c r="AT253" s="289">
        <v>231</v>
      </c>
      <c r="AU253" s="289">
        <v>37</v>
      </c>
      <c r="AV253" s="625">
        <v>134572</v>
      </c>
      <c r="AW253" s="289"/>
      <c r="AX253" s="625">
        <v>35.2066667</v>
      </c>
      <c r="AY253" s="289">
        <v>995</v>
      </c>
      <c r="AZ253" s="289">
        <v>266</v>
      </c>
      <c r="BA253" s="290">
        <v>108</v>
      </c>
      <c r="BB253" s="289">
        <v>0</v>
      </c>
      <c r="BC253" s="289">
        <v>1072.46061618</v>
      </c>
      <c r="BD253" s="289">
        <v>77.424782154882891</v>
      </c>
      <c r="BE253" s="289">
        <v>146777.29243869</v>
      </c>
      <c r="BF253" s="289">
        <v>0</v>
      </c>
      <c r="BG253" s="289">
        <v>-183.17230000000001</v>
      </c>
      <c r="BH253" s="289">
        <v>-14.4819</v>
      </c>
      <c r="BI253" s="289">
        <v>1098.6177965300001</v>
      </c>
      <c r="BJ253" s="289">
        <v>0</v>
      </c>
      <c r="BK253" s="289">
        <v>0</v>
      </c>
      <c r="BL253" s="289">
        <v>0</v>
      </c>
      <c r="BM253" s="289">
        <v>0</v>
      </c>
      <c r="BN253" s="289">
        <v>409.09787786484543</v>
      </c>
      <c r="BO253" s="289">
        <v>223.02284293901923</v>
      </c>
      <c r="BP253" s="289">
        <v>464.38499480847838</v>
      </c>
      <c r="BQ253" s="289">
        <v>435.02560444286581</v>
      </c>
      <c r="BR253" s="289">
        <v>5.2476796793865059</v>
      </c>
      <c r="BS253" s="289">
        <v>1.2706528631457434</v>
      </c>
      <c r="BT253" s="289">
        <v>0</v>
      </c>
      <c r="BU253" s="289">
        <v>0</v>
      </c>
      <c r="BV253" s="289">
        <v>30.49871340855222</v>
      </c>
      <c r="BW253" s="517"/>
      <c r="BX253" s="517"/>
      <c r="CA253" s="517"/>
      <c r="CB253" s="517"/>
    </row>
    <row r="254" spans="1:80" ht="13">
      <c r="A254" s="1">
        <v>3441</v>
      </c>
      <c r="B254" s="2" t="s">
        <v>857</v>
      </c>
      <c r="C254" s="289">
        <v>6112</v>
      </c>
      <c r="D254" s="289">
        <v>89</v>
      </c>
      <c r="E254" s="289">
        <v>237</v>
      </c>
      <c r="F254" s="289">
        <v>680</v>
      </c>
      <c r="G254" s="289">
        <v>530</v>
      </c>
      <c r="H254" s="289">
        <v>3385</v>
      </c>
      <c r="I254" s="289">
        <v>853</v>
      </c>
      <c r="J254" s="289">
        <v>305</v>
      </c>
      <c r="K254" s="289">
        <v>73</v>
      </c>
      <c r="L254" s="289">
        <v>51</v>
      </c>
      <c r="M254" s="289">
        <v>517</v>
      </c>
      <c r="N254" s="290">
        <v>58</v>
      </c>
      <c r="O254" s="290">
        <v>23</v>
      </c>
      <c r="P254" s="624">
        <v>55771.28</v>
      </c>
      <c r="Q254" s="624">
        <v>16250.30866667</v>
      </c>
      <c r="R254" s="624">
        <v>19</v>
      </c>
      <c r="S254" s="289"/>
      <c r="T254" s="289">
        <v>475</v>
      </c>
      <c r="U254" s="716">
        <v>5.878084829101413E-3</v>
      </c>
      <c r="V254" s="289">
        <v>2099.7466999100002</v>
      </c>
      <c r="W254" s="743">
        <v>0.66860578000000004</v>
      </c>
      <c r="X254" s="289">
        <v>2400</v>
      </c>
      <c r="Y254" s="289">
        <v>414.28399999999999</v>
      </c>
      <c r="Z254" s="289">
        <v>158541</v>
      </c>
      <c r="AA254" s="289">
        <v>0</v>
      </c>
      <c r="AB254" s="290">
        <v>132</v>
      </c>
      <c r="AC254" s="289">
        <v>0</v>
      </c>
      <c r="AD254" s="289">
        <v>0</v>
      </c>
      <c r="AE254" s="289">
        <v>0</v>
      </c>
      <c r="AF254" s="289">
        <v>0</v>
      </c>
      <c r="AG254" s="289">
        <v>6152</v>
      </c>
      <c r="AH254" s="289">
        <v>903.63723863999996</v>
      </c>
      <c r="AI254" s="289">
        <v>500</v>
      </c>
      <c r="AJ254" s="289">
        <v>0</v>
      </c>
      <c r="AK254" s="289">
        <v>0</v>
      </c>
      <c r="AL254" s="289">
        <v>0</v>
      </c>
      <c r="AM254" s="836">
        <v>5.824037E-2</v>
      </c>
      <c r="AN254" s="289">
        <v>3241</v>
      </c>
      <c r="AO254" s="289">
        <v>245.9375679</v>
      </c>
      <c r="AP254" s="289">
        <v>0</v>
      </c>
      <c r="AQ254" s="289">
        <v>0</v>
      </c>
      <c r="AR254" s="289">
        <v>-327.45681296999999</v>
      </c>
      <c r="AS254" s="289"/>
      <c r="AT254" s="289">
        <v>327</v>
      </c>
      <c r="AU254" s="289">
        <v>34</v>
      </c>
      <c r="AV254" s="625">
        <v>165608</v>
      </c>
      <c r="AW254" s="289"/>
      <c r="AX254" s="625">
        <v>28.089999949999999</v>
      </c>
      <c r="AY254" s="289">
        <v>1051</v>
      </c>
      <c r="AZ254" s="289">
        <v>198</v>
      </c>
      <c r="BA254" s="290">
        <v>159</v>
      </c>
      <c r="BB254" s="289">
        <v>0</v>
      </c>
      <c r="BC254" s="289">
        <v>1325.0317778000001</v>
      </c>
      <c r="BD254" s="289">
        <v>78.607861707197998</v>
      </c>
      <c r="BE254" s="289">
        <v>171603.15800776001</v>
      </c>
      <c r="BF254" s="289">
        <v>0</v>
      </c>
      <c r="BG254" s="289">
        <v>-220.9435</v>
      </c>
      <c r="BH254" s="289">
        <v>-17.3703</v>
      </c>
      <c r="BI254" s="289">
        <v>1317.92123864</v>
      </c>
      <c r="BJ254" s="289">
        <v>0</v>
      </c>
      <c r="BK254" s="289">
        <v>0</v>
      </c>
      <c r="BL254" s="289">
        <v>0</v>
      </c>
      <c r="BM254" s="289">
        <v>0</v>
      </c>
      <c r="BN254" s="289">
        <v>489.25660344108655</v>
      </c>
      <c r="BO254" s="289">
        <v>274.21569436398414</v>
      </c>
      <c r="BP254" s="289">
        <v>557.00847885782002</v>
      </c>
      <c r="BQ254" s="289">
        <v>762.97541081736313</v>
      </c>
      <c r="BR254" s="289">
        <v>5.3278661823767539</v>
      </c>
      <c r="BS254" s="289">
        <v>1.4817680030707923</v>
      </c>
      <c r="BT254" s="289">
        <v>0</v>
      </c>
      <c r="BU254" s="289">
        <v>0</v>
      </c>
      <c r="BV254" s="289">
        <v>53.49057194482284</v>
      </c>
      <c r="BW254" s="517"/>
      <c r="BX254" s="517"/>
      <c r="CA254" s="517"/>
      <c r="CB254" s="517"/>
    </row>
    <row r="255" spans="1:80" ht="13">
      <c r="A255" s="1">
        <v>3442</v>
      </c>
      <c r="B255" s="2" t="s">
        <v>858</v>
      </c>
      <c r="C255" s="289">
        <v>14948</v>
      </c>
      <c r="D255" s="289">
        <v>267</v>
      </c>
      <c r="E255" s="289">
        <v>614</v>
      </c>
      <c r="F255" s="289">
        <v>1611</v>
      </c>
      <c r="G255" s="289">
        <v>1218</v>
      </c>
      <c r="H255" s="289">
        <v>8354</v>
      </c>
      <c r="I255" s="289">
        <v>2046</v>
      </c>
      <c r="J255" s="289">
        <v>668</v>
      </c>
      <c r="K255" s="289">
        <v>154</v>
      </c>
      <c r="L255" s="289">
        <v>125</v>
      </c>
      <c r="M255" s="289">
        <v>1269</v>
      </c>
      <c r="N255" s="290">
        <v>211</v>
      </c>
      <c r="O255" s="290">
        <v>117</v>
      </c>
      <c r="P255" s="624">
        <v>55704.603999999999</v>
      </c>
      <c r="Q255" s="624">
        <v>32359.633000000002</v>
      </c>
      <c r="R255" s="624">
        <v>75</v>
      </c>
      <c r="S255" s="289"/>
      <c r="T255" s="289">
        <v>1194</v>
      </c>
      <c r="U255" s="716">
        <v>7.5054462707661107E-3</v>
      </c>
      <c r="V255" s="289">
        <v>380.56239227999998</v>
      </c>
      <c r="W255" s="743">
        <v>0.60089886999999997</v>
      </c>
      <c r="X255" s="289">
        <v>1700</v>
      </c>
      <c r="Y255" s="289">
        <v>414.28399999999999</v>
      </c>
      <c r="Z255" s="289">
        <v>387332</v>
      </c>
      <c r="AA255" s="289">
        <v>0</v>
      </c>
      <c r="AB255" s="290">
        <v>389</v>
      </c>
      <c r="AC255" s="289">
        <v>0</v>
      </c>
      <c r="AD255" s="289">
        <v>0</v>
      </c>
      <c r="AE255" s="289">
        <v>0</v>
      </c>
      <c r="AF255" s="289">
        <v>0</v>
      </c>
      <c r="AG255" s="289">
        <v>14932</v>
      </c>
      <c r="AH255" s="289">
        <v>2240.2673207900002</v>
      </c>
      <c r="AI255" s="289">
        <v>900</v>
      </c>
      <c r="AJ255" s="289">
        <v>0</v>
      </c>
      <c r="AK255" s="289">
        <v>0</v>
      </c>
      <c r="AL255" s="289">
        <v>0</v>
      </c>
      <c r="AM255" s="836">
        <v>0.20345582000000001</v>
      </c>
      <c r="AN255" s="289">
        <v>0</v>
      </c>
      <c r="AO255" s="289">
        <v>583.56877296000005</v>
      </c>
      <c r="AP255" s="289">
        <v>0</v>
      </c>
      <c r="AQ255" s="289">
        <v>0</v>
      </c>
      <c r="AR255" s="289">
        <v>3190.3217460800001</v>
      </c>
      <c r="AS255" s="289"/>
      <c r="AT255" s="289">
        <v>893</v>
      </c>
      <c r="AU255" s="289">
        <v>101</v>
      </c>
      <c r="AV255" s="625">
        <v>373851</v>
      </c>
      <c r="AW255" s="289"/>
      <c r="AX255" s="625">
        <v>89.218333299999998</v>
      </c>
      <c r="AY255" s="289">
        <v>2770</v>
      </c>
      <c r="AZ255" s="289">
        <v>500</v>
      </c>
      <c r="BA255" s="290">
        <v>315</v>
      </c>
      <c r="BB255" s="289">
        <v>0</v>
      </c>
      <c r="BC255" s="289">
        <v>2581.2151212600002</v>
      </c>
      <c r="BD255" s="289">
        <v>211.91650257122944</v>
      </c>
      <c r="BE255" s="289">
        <v>381206.22526618</v>
      </c>
      <c r="BF255" s="289">
        <v>0</v>
      </c>
      <c r="BG255" s="289">
        <v>-504.51280000000003</v>
      </c>
      <c r="BH255" s="289">
        <v>-42.160899999999998</v>
      </c>
      <c r="BI255" s="289">
        <v>2654.5513207899999</v>
      </c>
      <c r="BJ255" s="289">
        <v>0</v>
      </c>
      <c r="BK255" s="289">
        <v>0</v>
      </c>
      <c r="BL255" s="289">
        <v>0</v>
      </c>
      <c r="BM255" s="289">
        <v>0</v>
      </c>
      <c r="BN255" s="289">
        <v>1180.4975355245522</v>
      </c>
      <c r="BO255" s="289">
        <v>596.02236602489256</v>
      </c>
      <c r="BP255" s="289">
        <v>1351.9588111679079</v>
      </c>
      <c r="BQ255" s="289">
        <v>974.20692594544084</v>
      </c>
      <c r="BR255" s="289">
        <v>14.363229618716661</v>
      </c>
      <c r="BS255" s="289">
        <v>3.2561337030908124</v>
      </c>
      <c r="BT255" s="289">
        <v>0</v>
      </c>
      <c r="BU255" s="289">
        <v>0</v>
      </c>
      <c r="BV255" s="289">
        <v>68.299561063971581</v>
      </c>
      <c r="BW255" s="517"/>
      <c r="BX255" s="517"/>
      <c r="CA255" s="517"/>
      <c r="CB255" s="517"/>
    </row>
    <row r="256" spans="1:80" ht="13">
      <c r="A256" s="1">
        <v>3443</v>
      </c>
      <c r="B256" s="2" t="s">
        <v>859</v>
      </c>
      <c r="C256" s="289">
        <v>13384</v>
      </c>
      <c r="D256" s="289">
        <v>257</v>
      </c>
      <c r="E256" s="289">
        <v>501</v>
      </c>
      <c r="F256" s="289">
        <v>1490</v>
      </c>
      <c r="G256" s="289">
        <v>1145</v>
      </c>
      <c r="H256" s="289">
        <v>7554</v>
      </c>
      <c r="I256" s="289">
        <v>1776</v>
      </c>
      <c r="J256" s="289">
        <v>575</v>
      </c>
      <c r="K256" s="289">
        <v>106</v>
      </c>
      <c r="L256" s="289">
        <v>111</v>
      </c>
      <c r="M256" s="289">
        <v>1059</v>
      </c>
      <c r="N256" s="290">
        <v>237</v>
      </c>
      <c r="O256" s="290">
        <v>110</v>
      </c>
      <c r="P256" s="624">
        <v>44168.23</v>
      </c>
      <c r="Q256" s="624">
        <v>17874.413</v>
      </c>
      <c r="R256" s="624">
        <v>61</v>
      </c>
      <c r="S256" s="289"/>
      <c r="T256" s="289">
        <v>1166</v>
      </c>
      <c r="U256" s="716">
        <v>4.4658426742323299E-3</v>
      </c>
      <c r="V256" s="289">
        <v>3318.5342500800002</v>
      </c>
      <c r="W256" s="743">
        <v>0.57408848999999995</v>
      </c>
      <c r="X256" s="289">
        <v>1500</v>
      </c>
      <c r="Y256" s="289">
        <v>414.28399999999999</v>
      </c>
      <c r="Z256" s="289">
        <v>330293</v>
      </c>
      <c r="AA256" s="289">
        <v>0</v>
      </c>
      <c r="AB256" s="290">
        <v>400</v>
      </c>
      <c r="AC256" s="289">
        <v>0</v>
      </c>
      <c r="AD256" s="289">
        <v>0</v>
      </c>
      <c r="AE256" s="289">
        <v>0</v>
      </c>
      <c r="AF256" s="289">
        <v>0</v>
      </c>
      <c r="AG256" s="289">
        <v>13404</v>
      </c>
      <c r="AH256" s="289">
        <v>2042.94530031</v>
      </c>
      <c r="AI256" s="289">
        <v>0</v>
      </c>
      <c r="AJ256" s="289">
        <v>0</v>
      </c>
      <c r="AK256" s="289">
        <v>445.29300000000001</v>
      </c>
      <c r="AL256" s="289">
        <v>0</v>
      </c>
      <c r="AM256" s="836">
        <v>0.18757509</v>
      </c>
      <c r="AN256" s="289">
        <v>0</v>
      </c>
      <c r="AO256" s="289">
        <v>508.15563213000001</v>
      </c>
      <c r="AP256" s="289">
        <v>0</v>
      </c>
      <c r="AQ256" s="289">
        <v>0</v>
      </c>
      <c r="AR256" s="289">
        <v>-713.46409641000002</v>
      </c>
      <c r="AS256" s="289"/>
      <c r="AT256" s="289">
        <v>832</v>
      </c>
      <c r="AU256" s="289">
        <v>97</v>
      </c>
      <c r="AV256" s="625">
        <v>310292</v>
      </c>
      <c r="AW256" s="289"/>
      <c r="AX256" s="625">
        <v>82.326666700000004</v>
      </c>
      <c r="AY256" s="289">
        <v>2286</v>
      </c>
      <c r="AZ256" s="289">
        <v>412</v>
      </c>
      <c r="BA256" s="290">
        <v>348</v>
      </c>
      <c r="BB256" s="289">
        <v>0</v>
      </c>
      <c r="BC256" s="289">
        <v>2380.72418186</v>
      </c>
      <c r="BD256" s="289">
        <v>206.87337100787275</v>
      </c>
      <c r="BE256" s="289">
        <v>324020.88377458003</v>
      </c>
      <c r="BF256" s="289">
        <v>0</v>
      </c>
      <c r="BG256" s="289">
        <v>-460.82409999999999</v>
      </c>
      <c r="BH256" s="289">
        <v>-37.846499999999999</v>
      </c>
      <c r="BI256" s="289">
        <v>2457.2293003099999</v>
      </c>
      <c r="BJ256" s="289">
        <v>0</v>
      </c>
      <c r="BK256" s="289">
        <v>0</v>
      </c>
      <c r="BL256" s="289">
        <v>0</v>
      </c>
      <c r="BM256" s="289">
        <v>0</v>
      </c>
      <c r="BN256" s="289">
        <v>988.08126163014515</v>
      </c>
      <c r="BO256" s="289">
        <v>521.90803399415654</v>
      </c>
      <c r="BP256" s="289">
        <v>1213.6121018547171</v>
      </c>
      <c r="BQ256" s="289">
        <v>579.66637911535634</v>
      </c>
      <c r="BR256" s="289">
        <v>14.021417368311376</v>
      </c>
      <c r="BS256" s="289">
        <v>2.9358669951874563</v>
      </c>
      <c r="BT256" s="289">
        <v>0</v>
      </c>
      <c r="BU256" s="289">
        <v>0</v>
      </c>
      <c r="BV256" s="289">
        <v>40.639168335514185</v>
      </c>
      <c r="BW256" s="517"/>
      <c r="BX256" s="517"/>
      <c r="CA256" s="517"/>
      <c r="CB256" s="517"/>
    </row>
    <row r="257" spans="1:80" ht="13">
      <c r="A257" s="1">
        <v>3446</v>
      </c>
      <c r="B257" s="2" t="s">
        <v>862</v>
      </c>
      <c r="C257" s="289">
        <v>13642</v>
      </c>
      <c r="D257" s="289">
        <v>224</v>
      </c>
      <c r="E257" s="289">
        <v>548</v>
      </c>
      <c r="F257" s="289">
        <v>1614</v>
      </c>
      <c r="G257" s="289">
        <v>1195</v>
      </c>
      <c r="H257" s="289">
        <v>7617</v>
      </c>
      <c r="I257" s="289">
        <v>1821</v>
      </c>
      <c r="J257" s="289">
        <v>581</v>
      </c>
      <c r="K257" s="289">
        <v>135</v>
      </c>
      <c r="L257" s="289">
        <v>119</v>
      </c>
      <c r="M257" s="289">
        <v>1205</v>
      </c>
      <c r="N257" s="290">
        <v>287</v>
      </c>
      <c r="O257" s="290">
        <v>109</v>
      </c>
      <c r="P257" s="624">
        <v>59352.568666669998</v>
      </c>
      <c r="Q257" s="624">
        <v>29015.32566667</v>
      </c>
      <c r="R257" s="624">
        <v>72</v>
      </c>
      <c r="S257" s="289"/>
      <c r="T257" s="289">
        <v>1128</v>
      </c>
      <c r="U257" s="716">
        <v>6.5435513343430288E-3</v>
      </c>
      <c r="V257" s="289">
        <v>5576.2848688000004</v>
      </c>
      <c r="W257" s="743">
        <v>0.60276664000000002</v>
      </c>
      <c r="X257" s="289">
        <v>500</v>
      </c>
      <c r="Y257" s="289">
        <v>1242.8520000000001</v>
      </c>
      <c r="Z257" s="289">
        <v>362027</v>
      </c>
      <c r="AA257" s="289">
        <v>0</v>
      </c>
      <c r="AB257" s="290">
        <v>341</v>
      </c>
      <c r="AC257" s="289">
        <v>0</v>
      </c>
      <c r="AD257" s="289">
        <v>0</v>
      </c>
      <c r="AE257" s="289">
        <v>0</v>
      </c>
      <c r="AF257" s="289">
        <v>0</v>
      </c>
      <c r="AG257" s="289">
        <v>13735</v>
      </c>
      <c r="AH257" s="289">
        <v>2170.5422252100002</v>
      </c>
      <c r="AI257" s="289">
        <v>500</v>
      </c>
      <c r="AJ257" s="289">
        <v>0</v>
      </c>
      <c r="AK257" s="289">
        <v>0</v>
      </c>
      <c r="AL257" s="289">
        <v>0</v>
      </c>
      <c r="AM257" s="836">
        <v>0.35676132999999999</v>
      </c>
      <c r="AN257" s="289">
        <v>0</v>
      </c>
      <c r="AO257" s="289">
        <v>550.26399667999999</v>
      </c>
      <c r="AP257" s="289">
        <v>0</v>
      </c>
      <c r="AQ257" s="289">
        <v>0</v>
      </c>
      <c r="AR257" s="289">
        <v>-731.08246524000003</v>
      </c>
      <c r="AS257" s="289"/>
      <c r="AT257" s="289">
        <v>795</v>
      </c>
      <c r="AU257" s="289">
        <v>134</v>
      </c>
      <c r="AV257" s="625">
        <v>359972</v>
      </c>
      <c r="AW257" s="289"/>
      <c r="AX257" s="625">
        <v>83.303333350000003</v>
      </c>
      <c r="AY257" s="289">
        <v>2367</v>
      </c>
      <c r="AZ257" s="289">
        <v>635</v>
      </c>
      <c r="BA257" s="290">
        <v>320</v>
      </c>
      <c r="BB257" s="289">
        <v>0</v>
      </c>
      <c r="BC257" s="289">
        <v>2957.0299091400002</v>
      </c>
      <c r="BD257" s="289">
        <v>216.6672700338398</v>
      </c>
      <c r="BE257" s="289">
        <v>373984.25313725998</v>
      </c>
      <c r="BF257" s="289">
        <v>0</v>
      </c>
      <c r="BG257" s="289">
        <v>-503.86349999999999</v>
      </c>
      <c r="BH257" s="289">
        <v>-38.781100000000002</v>
      </c>
      <c r="BI257" s="289">
        <v>3413.3942252100001</v>
      </c>
      <c r="BJ257" s="289">
        <v>0</v>
      </c>
      <c r="BK257" s="289">
        <v>0</v>
      </c>
      <c r="BL257" s="289">
        <v>0</v>
      </c>
      <c r="BM257" s="289">
        <v>0</v>
      </c>
      <c r="BN257" s="289">
        <v>1083.0877091702325</v>
      </c>
      <c r="BO257" s="289">
        <v>549.15839376284362</v>
      </c>
      <c r="BP257" s="289">
        <v>1243.5811861365667</v>
      </c>
      <c r="BQ257" s="289">
        <v>849.35296319772488</v>
      </c>
      <c r="BR257" s="289">
        <v>14.685226080071363</v>
      </c>
      <c r="BS257" s="289">
        <v>3.0130144939142283</v>
      </c>
      <c r="BT257" s="289">
        <v>0</v>
      </c>
      <c r="BU257" s="289">
        <v>0</v>
      </c>
      <c r="BV257" s="289">
        <v>59.546317142521545</v>
      </c>
      <c r="BW257" s="517"/>
      <c r="BX257" s="517"/>
      <c r="CA257" s="517"/>
      <c r="CB257" s="517"/>
    </row>
    <row r="258" spans="1:80" ht="13">
      <c r="A258" s="1">
        <v>3447</v>
      </c>
      <c r="B258" s="2" t="s">
        <v>863</v>
      </c>
      <c r="C258" s="289">
        <v>5623</v>
      </c>
      <c r="D258" s="289">
        <v>103</v>
      </c>
      <c r="E258" s="289">
        <v>223</v>
      </c>
      <c r="F258" s="289">
        <v>568</v>
      </c>
      <c r="G258" s="289">
        <v>473</v>
      </c>
      <c r="H258" s="289">
        <v>3190</v>
      </c>
      <c r="I258" s="289">
        <v>797</v>
      </c>
      <c r="J258" s="289">
        <v>244</v>
      </c>
      <c r="K258" s="289">
        <v>50</v>
      </c>
      <c r="L258" s="289">
        <v>61</v>
      </c>
      <c r="M258" s="289">
        <v>560</v>
      </c>
      <c r="N258" s="290">
        <v>78</v>
      </c>
      <c r="O258" s="290">
        <v>59</v>
      </c>
      <c r="P258" s="624">
        <v>35240.023000000001</v>
      </c>
      <c r="Q258" s="624">
        <v>24939.51</v>
      </c>
      <c r="R258" s="624">
        <v>31</v>
      </c>
      <c r="S258" s="289"/>
      <c r="T258" s="289">
        <v>519</v>
      </c>
      <c r="U258" s="716">
        <v>2.8447826356551723E-3</v>
      </c>
      <c r="V258" s="289">
        <v>-333.83521445000002</v>
      </c>
      <c r="W258" s="743">
        <v>0.75016537999999999</v>
      </c>
      <c r="X258" s="289">
        <v>2000</v>
      </c>
      <c r="Y258" s="289">
        <v>414.28399999999999</v>
      </c>
      <c r="Z258" s="289">
        <v>123933</v>
      </c>
      <c r="AA258" s="289">
        <v>-2395.3918670899998</v>
      </c>
      <c r="AB258" s="290">
        <v>180</v>
      </c>
      <c r="AC258" s="289">
        <v>0</v>
      </c>
      <c r="AD258" s="289">
        <v>0</v>
      </c>
      <c r="AE258" s="289">
        <v>0</v>
      </c>
      <c r="AF258" s="289">
        <v>0</v>
      </c>
      <c r="AG258" s="289">
        <v>5648</v>
      </c>
      <c r="AH258" s="289">
        <v>817.17812013000002</v>
      </c>
      <c r="AI258" s="289">
        <v>970</v>
      </c>
      <c r="AJ258" s="289">
        <v>0</v>
      </c>
      <c r="AK258" s="289">
        <v>0</v>
      </c>
      <c r="AL258" s="289">
        <v>0</v>
      </c>
      <c r="AM258" s="836">
        <v>0.11248142</v>
      </c>
      <c r="AN258" s="289">
        <v>7546</v>
      </c>
      <c r="AO258" s="289">
        <v>232.65850463000001</v>
      </c>
      <c r="AP258" s="289">
        <v>0</v>
      </c>
      <c r="AQ258" s="289">
        <v>0</v>
      </c>
      <c r="AR258" s="289">
        <v>-300.63005196</v>
      </c>
      <c r="AS258" s="289"/>
      <c r="AT258" s="289">
        <v>331</v>
      </c>
      <c r="AU258" s="289">
        <v>48</v>
      </c>
      <c r="AV258" s="625">
        <v>159705</v>
      </c>
      <c r="AW258" s="289"/>
      <c r="AX258" s="625">
        <v>28.388333299999999</v>
      </c>
      <c r="AY258" s="289">
        <v>931</v>
      </c>
      <c r="AZ258" s="289">
        <v>226</v>
      </c>
      <c r="BA258" s="290">
        <v>105</v>
      </c>
      <c r="BB258" s="289">
        <v>0</v>
      </c>
      <c r="BC258" s="289">
        <v>-3441.7390976000002</v>
      </c>
      <c r="BD258" s="289">
        <v>90.871267073385809</v>
      </c>
      <c r="BE258" s="289">
        <v>166554.92264383001</v>
      </c>
      <c r="BF258" s="289">
        <v>0</v>
      </c>
      <c r="BG258" s="289">
        <v>-193.09909999999999</v>
      </c>
      <c r="BH258" s="289">
        <v>-15.9473</v>
      </c>
      <c r="BI258" s="289">
        <v>-1163.9297469600001</v>
      </c>
      <c r="BJ258" s="289">
        <v>0</v>
      </c>
      <c r="BK258" s="289">
        <v>0</v>
      </c>
      <c r="BL258" s="289">
        <v>0</v>
      </c>
      <c r="BM258" s="289">
        <v>0</v>
      </c>
      <c r="BN258" s="289">
        <v>485.83047155387362</v>
      </c>
      <c r="BO258" s="289">
        <v>254.70575256628865</v>
      </c>
      <c r="BP258" s="289">
        <v>511.37579463409742</v>
      </c>
      <c r="BQ258" s="289">
        <v>369.25278610804128</v>
      </c>
      <c r="BR258" s="289">
        <v>6.1590525460850376</v>
      </c>
      <c r="BS258" s="289">
        <v>1.4059062721458901</v>
      </c>
      <c r="BT258" s="289">
        <v>0</v>
      </c>
      <c r="BU258" s="289">
        <v>0</v>
      </c>
      <c r="BV258" s="289">
        <v>25.887521984462062</v>
      </c>
      <c r="BW258" s="517"/>
      <c r="BX258" s="517"/>
      <c r="CA258" s="517"/>
      <c r="CB258" s="517"/>
    </row>
    <row r="259" spans="1:80" ht="13">
      <c r="A259" s="1">
        <v>3448</v>
      </c>
      <c r="B259" s="2" t="s">
        <v>864</v>
      </c>
      <c r="C259" s="289">
        <v>6671</v>
      </c>
      <c r="D259" s="289">
        <v>112</v>
      </c>
      <c r="E259" s="289">
        <v>251</v>
      </c>
      <c r="F259" s="289">
        <v>733</v>
      </c>
      <c r="G259" s="289">
        <v>583</v>
      </c>
      <c r="H259" s="289">
        <v>3711</v>
      </c>
      <c r="I259" s="289">
        <v>954</v>
      </c>
      <c r="J259" s="289">
        <v>319</v>
      </c>
      <c r="K259" s="289">
        <v>47</v>
      </c>
      <c r="L259" s="289">
        <v>69</v>
      </c>
      <c r="M259" s="289">
        <v>651</v>
      </c>
      <c r="N259" s="290">
        <v>65</v>
      </c>
      <c r="O259" s="290">
        <v>63</v>
      </c>
      <c r="P259" s="624">
        <v>53128.819333330001</v>
      </c>
      <c r="Q259" s="624">
        <v>25814.21666667</v>
      </c>
      <c r="R259" s="624">
        <v>36</v>
      </c>
      <c r="S259" s="289"/>
      <c r="T259" s="289">
        <v>559</v>
      </c>
      <c r="U259" s="716">
        <v>5.1474710770358844E-3</v>
      </c>
      <c r="V259" s="289">
        <v>2131.13503524</v>
      </c>
      <c r="W259" s="743">
        <v>0.68788669000000002</v>
      </c>
      <c r="X259" s="289">
        <v>1600</v>
      </c>
      <c r="Y259" s="289">
        <v>414.28399999999999</v>
      </c>
      <c r="Z259" s="289">
        <v>155140</v>
      </c>
      <c r="AA259" s="289">
        <v>-2461.3772623099999</v>
      </c>
      <c r="AB259" s="290">
        <v>213</v>
      </c>
      <c r="AC259" s="289">
        <v>0</v>
      </c>
      <c r="AD259" s="289">
        <v>0</v>
      </c>
      <c r="AE259" s="289">
        <v>0</v>
      </c>
      <c r="AF259" s="289">
        <v>0</v>
      </c>
      <c r="AG259" s="289">
        <v>6710</v>
      </c>
      <c r="AH259" s="289">
        <v>999.16061956999999</v>
      </c>
      <c r="AI259" s="289">
        <v>1200</v>
      </c>
      <c r="AJ259" s="289">
        <v>0</v>
      </c>
      <c r="AK259" s="289">
        <v>0</v>
      </c>
      <c r="AL259" s="289">
        <v>0</v>
      </c>
      <c r="AM259" s="836">
        <v>0.12300796</v>
      </c>
      <c r="AN259" s="289">
        <v>5264</v>
      </c>
      <c r="AO259" s="289">
        <v>276.29526958000002</v>
      </c>
      <c r="AP259" s="289">
        <v>0</v>
      </c>
      <c r="AQ259" s="289">
        <v>0</v>
      </c>
      <c r="AR259" s="289">
        <v>-357.15786981000002</v>
      </c>
      <c r="AS259" s="289"/>
      <c r="AT259" s="289">
        <v>350</v>
      </c>
      <c r="AU259" s="289">
        <v>67</v>
      </c>
      <c r="AV259" s="625">
        <v>189246</v>
      </c>
      <c r="AW259" s="289"/>
      <c r="AX259" s="625">
        <v>42.960000049999998</v>
      </c>
      <c r="AY259" s="289">
        <v>986</v>
      </c>
      <c r="AZ259" s="289">
        <v>239</v>
      </c>
      <c r="BA259" s="290">
        <v>139</v>
      </c>
      <c r="BB259" s="289">
        <v>0</v>
      </c>
      <c r="BC259" s="289">
        <v>-3386.61517108</v>
      </c>
      <c r="BD259" s="289">
        <v>100.43900243802183</v>
      </c>
      <c r="BE259" s="289">
        <v>196109.12183051999</v>
      </c>
      <c r="BF259" s="289">
        <v>0</v>
      </c>
      <c r="BG259" s="289">
        <v>-244.01519999999999</v>
      </c>
      <c r="BH259" s="289">
        <v>-18.945900000000002</v>
      </c>
      <c r="BI259" s="289">
        <v>-1047.9326427399999</v>
      </c>
      <c r="BJ259" s="289">
        <v>0</v>
      </c>
      <c r="BK259" s="289">
        <v>0</v>
      </c>
      <c r="BL259" s="289">
        <v>0</v>
      </c>
      <c r="BM259" s="289">
        <v>0</v>
      </c>
      <c r="BN259" s="289">
        <v>568.22611108322951</v>
      </c>
      <c r="BO259" s="289">
        <v>299.01765391547315</v>
      </c>
      <c r="BP259" s="289">
        <v>607.53037924837008</v>
      </c>
      <c r="BQ259" s="289">
        <v>668.14174579925771</v>
      </c>
      <c r="BR259" s="289">
        <v>6.8075323874659253</v>
      </c>
      <c r="BS259" s="289">
        <v>1.6019770511372797</v>
      </c>
      <c r="BT259" s="289">
        <v>0</v>
      </c>
      <c r="BU259" s="289">
        <v>0</v>
      </c>
      <c r="BV259" s="289">
        <v>46.841986801026543</v>
      </c>
      <c r="BW259" s="517"/>
      <c r="BX259" s="517"/>
      <c r="CA259" s="517"/>
      <c r="CB259" s="517"/>
    </row>
    <row r="260" spans="1:80" ht="13">
      <c r="A260" s="1">
        <v>3449</v>
      </c>
      <c r="B260" s="2" t="s">
        <v>865</v>
      </c>
      <c r="C260" s="289">
        <v>2981</v>
      </c>
      <c r="D260" s="289">
        <v>49</v>
      </c>
      <c r="E260" s="289">
        <v>109</v>
      </c>
      <c r="F260" s="289">
        <v>339</v>
      </c>
      <c r="G260" s="289">
        <v>251</v>
      </c>
      <c r="H260" s="289">
        <v>1577</v>
      </c>
      <c r="I260" s="289">
        <v>479</v>
      </c>
      <c r="J260" s="289">
        <v>162</v>
      </c>
      <c r="K260" s="289">
        <v>45</v>
      </c>
      <c r="L260" s="289">
        <v>26</v>
      </c>
      <c r="M260" s="289">
        <v>313</v>
      </c>
      <c r="N260" s="290">
        <v>40</v>
      </c>
      <c r="O260" s="290">
        <v>34</v>
      </c>
      <c r="P260" s="624">
        <v>48028.071000000004</v>
      </c>
      <c r="Q260" s="624">
        <v>10622.075999999999</v>
      </c>
      <c r="R260" s="624">
        <v>30</v>
      </c>
      <c r="S260" s="289"/>
      <c r="T260" s="289">
        <v>286</v>
      </c>
      <c r="U260" s="716">
        <v>3.054987582640366E-3</v>
      </c>
      <c r="V260" s="289">
        <v>1532.86413356</v>
      </c>
      <c r="W260" s="743">
        <v>0.92826569000000003</v>
      </c>
      <c r="X260" s="289">
        <v>1750</v>
      </c>
      <c r="Y260" s="289">
        <v>828.56799999999998</v>
      </c>
      <c r="Z260" s="289">
        <v>74443</v>
      </c>
      <c r="AA260" s="289">
        <v>0</v>
      </c>
      <c r="AB260" s="290">
        <v>74</v>
      </c>
      <c r="AC260" s="289">
        <v>0</v>
      </c>
      <c r="AD260" s="289">
        <v>0</v>
      </c>
      <c r="AE260" s="289">
        <v>0</v>
      </c>
      <c r="AF260" s="289">
        <v>0</v>
      </c>
      <c r="AG260" s="289">
        <v>3011</v>
      </c>
      <c r="AH260" s="289">
        <v>449.72686644999999</v>
      </c>
      <c r="AI260" s="289">
        <v>0</v>
      </c>
      <c r="AJ260" s="289">
        <v>0</v>
      </c>
      <c r="AK260" s="289">
        <v>0</v>
      </c>
      <c r="AL260" s="289">
        <v>0</v>
      </c>
      <c r="AM260" s="836">
        <v>3.0750550000000001E-2</v>
      </c>
      <c r="AN260" s="289">
        <v>0</v>
      </c>
      <c r="AO260" s="289">
        <v>146.24744819</v>
      </c>
      <c r="AP260" s="289">
        <v>0</v>
      </c>
      <c r="AQ260" s="289">
        <v>0</v>
      </c>
      <c r="AR260" s="289">
        <v>-160.26860596</v>
      </c>
      <c r="AS260" s="289"/>
      <c r="AT260" s="289">
        <v>158</v>
      </c>
      <c r="AU260" s="289">
        <v>13</v>
      </c>
      <c r="AV260" s="625">
        <v>116348</v>
      </c>
      <c r="AW260" s="289"/>
      <c r="AX260" s="625">
        <v>14.01</v>
      </c>
      <c r="AY260" s="289">
        <v>470</v>
      </c>
      <c r="AZ260" s="289">
        <v>136</v>
      </c>
      <c r="BA260" s="290">
        <v>47</v>
      </c>
      <c r="BB260" s="289">
        <v>5698</v>
      </c>
      <c r="BC260" s="289">
        <v>853.82143435</v>
      </c>
      <c r="BD260" s="289">
        <v>43.646716728318296</v>
      </c>
      <c r="BE260" s="289">
        <v>124767.29321889</v>
      </c>
      <c r="BF260" s="289">
        <v>0</v>
      </c>
      <c r="BG260" s="289">
        <v>-122.8717</v>
      </c>
      <c r="BH260" s="289">
        <v>-8.5015999999999998</v>
      </c>
      <c r="BI260" s="289">
        <v>1278.29486645</v>
      </c>
      <c r="BJ260" s="289">
        <v>0</v>
      </c>
      <c r="BK260" s="289">
        <v>0</v>
      </c>
      <c r="BL260" s="289">
        <v>0</v>
      </c>
      <c r="BM260" s="289">
        <v>0</v>
      </c>
      <c r="BN260" s="289">
        <v>329.28621398155019</v>
      </c>
      <c r="BO260" s="289">
        <v>166.75701689777316</v>
      </c>
      <c r="BP260" s="289">
        <v>272.61907182069183</v>
      </c>
      <c r="BQ260" s="289">
        <v>396.53738822671943</v>
      </c>
      <c r="BR260" s="289">
        <v>2.9582774671415732</v>
      </c>
      <c r="BS260" s="289">
        <v>0.92468514132345847</v>
      </c>
      <c r="BT260" s="289">
        <v>0</v>
      </c>
      <c r="BU260" s="289">
        <v>0</v>
      </c>
      <c r="BV260" s="289">
        <v>27.800387002027325</v>
      </c>
      <c r="BW260" s="517"/>
      <c r="BX260" s="517"/>
      <c r="CA260" s="517"/>
      <c r="CB260" s="517"/>
    </row>
    <row r="261" spans="1:80" ht="13">
      <c r="A261" s="1">
        <v>3450</v>
      </c>
      <c r="B261" s="2" t="s">
        <v>866</v>
      </c>
      <c r="C261" s="289">
        <v>1305</v>
      </c>
      <c r="D261" s="289">
        <v>14</v>
      </c>
      <c r="E261" s="289">
        <v>48</v>
      </c>
      <c r="F261" s="289">
        <v>158</v>
      </c>
      <c r="G261" s="289">
        <v>107</v>
      </c>
      <c r="H261" s="289">
        <v>691</v>
      </c>
      <c r="I261" s="289">
        <v>207</v>
      </c>
      <c r="J261" s="289">
        <v>79</v>
      </c>
      <c r="K261" s="289">
        <v>22</v>
      </c>
      <c r="L261" s="289">
        <v>11</v>
      </c>
      <c r="M261" s="289">
        <v>169</v>
      </c>
      <c r="N261" s="290">
        <v>16</v>
      </c>
      <c r="O261" s="290">
        <v>25</v>
      </c>
      <c r="P261" s="624">
        <v>11980.681</v>
      </c>
      <c r="Q261" s="624">
        <v>8254.9583333299997</v>
      </c>
      <c r="R261" s="624">
        <v>7</v>
      </c>
      <c r="S261" s="289"/>
      <c r="T261" s="289">
        <v>152</v>
      </c>
      <c r="U261" s="716">
        <v>1.6181764890025666E-3</v>
      </c>
      <c r="V261" s="289">
        <v>727.53244361999998</v>
      </c>
      <c r="W261" s="743">
        <v>0.89707771000000003</v>
      </c>
      <c r="X261" s="289">
        <v>700</v>
      </c>
      <c r="Y261" s="289">
        <v>265.22399999999999</v>
      </c>
      <c r="Z261" s="289">
        <v>30753</v>
      </c>
      <c r="AA261" s="289">
        <v>0</v>
      </c>
      <c r="AB261" s="290">
        <v>34</v>
      </c>
      <c r="AC261" s="289">
        <v>0</v>
      </c>
      <c r="AD261" s="289">
        <v>0</v>
      </c>
      <c r="AE261" s="289">
        <v>0</v>
      </c>
      <c r="AF261" s="289">
        <v>0</v>
      </c>
      <c r="AG261" s="289">
        <v>1326</v>
      </c>
      <c r="AH261" s="289">
        <v>202.90002812</v>
      </c>
      <c r="AI261" s="289">
        <v>300</v>
      </c>
      <c r="AJ261" s="289">
        <v>0</v>
      </c>
      <c r="AK261" s="289">
        <v>0</v>
      </c>
      <c r="AL261" s="289">
        <v>0</v>
      </c>
      <c r="AM261" s="836">
        <v>2.304279E-2</v>
      </c>
      <c r="AN261" s="289">
        <v>0</v>
      </c>
      <c r="AO261" s="289">
        <v>69.412390189999996</v>
      </c>
      <c r="AP261" s="289">
        <v>0</v>
      </c>
      <c r="AQ261" s="289">
        <v>0</v>
      </c>
      <c r="AR261" s="289">
        <v>470.11659232</v>
      </c>
      <c r="AS261" s="289"/>
      <c r="AT261" s="289">
        <v>72</v>
      </c>
      <c r="AU261" s="289">
        <v>9</v>
      </c>
      <c r="AV261" s="625">
        <v>63741</v>
      </c>
      <c r="AW261" s="289"/>
      <c r="AX261" s="625">
        <v>-3.76166665</v>
      </c>
      <c r="AY261" s="289">
        <v>215</v>
      </c>
      <c r="AZ261" s="289">
        <v>65</v>
      </c>
      <c r="BA261" s="290">
        <v>29</v>
      </c>
      <c r="BB261" s="289">
        <v>5698</v>
      </c>
      <c r="BC261" s="289">
        <v>451.82735353999999</v>
      </c>
      <c r="BD261" s="289">
        <v>21.660105042843369</v>
      </c>
      <c r="BE261" s="289">
        <v>64784.729315800003</v>
      </c>
      <c r="BF261" s="289">
        <v>0</v>
      </c>
      <c r="BG261" s="289">
        <v>-62.009300000000003</v>
      </c>
      <c r="BH261" s="289">
        <v>-3.7440000000000002</v>
      </c>
      <c r="BI261" s="289">
        <v>468.12402811999999</v>
      </c>
      <c r="BJ261" s="289">
        <v>0</v>
      </c>
      <c r="BK261" s="289">
        <v>0</v>
      </c>
      <c r="BL261" s="289">
        <v>0</v>
      </c>
      <c r="BM261" s="289">
        <v>0</v>
      </c>
      <c r="BN261" s="289">
        <v>144.88193588310833</v>
      </c>
      <c r="BO261" s="289">
        <v>89.895711685576245</v>
      </c>
      <c r="BP261" s="289">
        <v>120.05741920765107</v>
      </c>
      <c r="BQ261" s="289">
        <v>210.03930827253311</v>
      </c>
      <c r="BR261" s="289">
        <v>1.4680737862371616</v>
      </c>
      <c r="BS261" s="289">
        <v>0.5704397614738661</v>
      </c>
      <c r="BT261" s="289">
        <v>0</v>
      </c>
      <c r="BU261" s="289">
        <v>0</v>
      </c>
      <c r="BV261" s="289">
        <v>14.725406049923352</v>
      </c>
      <c r="BW261" s="517"/>
      <c r="BX261" s="517"/>
      <c r="CA261" s="517"/>
      <c r="CB261" s="517"/>
    </row>
    <row r="262" spans="1:80" ht="13">
      <c r="A262" s="1">
        <v>3451</v>
      </c>
      <c r="B262" s="2" t="s">
        <v>867</v>
      </c>
      <c r="C262" s="289">
        <v>6418</v>
      </c>
      <c r="D262" s="289">
        <v>115</v>
      </c>
      <c r="E262" s="289">
        <v>242</v>
      </c>
      <c r="F262" s="289">
        <v>674</v>
      </c>
      <c r="G262" s="289">
        <v>527</v>
      </c>
      <c r="H262" s="289">
        <v>3595</v>
      </c>
      <c r="I262" s="289">
        <v>946</v>
      </c>
      <c r="J262" s="289">
        <v>287</v>
      </c>
      <c r="K262" s="289">
        <v>67</v>
      </c>
      <c r="L262" s="289">
        <v>58</v>
      </c>
      <c r="M262" s="289">
        <v>627</v>
      </c>
      <c r="N262" s="290">
        <v>66</v>
      </c>
      <c r="O262" s="290">
        <v>62</v>
      </c>
      <c r="P262" s="624">
        <v>46780.494333330003</v>
      </c>
      <c r="Q262" s="624">
        <v>15681.248333330001</v>
      </c>
      <c r="R262" s="624">
        <v>38</v>
      </c>
      <c r="S262" s="289"/>
      <c r="T262" s="289">
        <v>634</v>
      </c>
      <c r="U262" s="716">
        <v>4.5367397910645625E-3</v>
      </c>
      <c r="V262" s="289">
        <v>-3073.3711340700002</v>
      </c>
      <c r="W262" s="743">
        <v>0.65737966000000003</v>
      </c>
      <c r="X262" s="289">
        <v>600</v>
      </c>
      <c r="Y262" s="289">
        <v>414.28399999999999</v>
      </c>
      <c r="Z262" s="289">
        <v>177318</v>
      </c>
      <c r="AA262" s="289">
        <v>0</v>
      </c>
      <c r="AB262" s="290">
        <v>138</v>
      </c>
      <c r="AC262" s="289">
        <v>724.5</v>
      </c>
      <c r="AD262" s="289">
        <v>0</v>
      </c>
      <c r="AE262" s="289">
        <v>0</v>
      </c>
      <c r="AF262" s="289">
        <v>0</v>
      </c>
      <c r="AG262" s="289">
        <v>6453</v>
      </c>
      <c r="AH262" s="289">
        <v>949.65580172</v>
      </c>
      <c r="AI262" s="289">
        <v>300</v>
      </c>
      <c r="AJ262" s="289">
        <v>0</v>
      </c>
      <c r="AK262" s="289">
        <v>0</v>
      </c>
      <c r="AL262" s="289">
        <v>0</v>
      </c>
      <c r="AM262" s="836">
        <v>8.6703080000000002E-2</v>
      </c>
      <c r="AN262" s="289">
        <v>8432</v>
      </c>
      <c r="AO262" s="289">
        <v>263.15700414999998</v>
      </c>
      <c r="AP262" s="289">
        <v>0</v>
      </c>
      <c r="AQ262" s="289">
        <v>0</v>
      </c>
      <c r="AR262" s="289">
        <v>-343.47835079999999</v>
      </c>
      <c r="AS262" s="289"/>
      <c r="AT262" s="289">
        <v>395</v>
      </c>
      <c r="AU262" s="289">
        <v>34</v>
      </c>
      <c r="AV262" s="625">
        <v>169952</v>
      </c>
      <c r="AW262" s="289"/>
      <c r="AX262" s="625">
        <v>38.061666700000004</v>
      </c>
      <c r="AY262" s="289">
        <v>1221</v>
      </c>
      <c r="AZ262" s="289">
        <v>268</v>
      </c>
      <c r="BA262" s="290">
        <v>125</v>
      </c>
      <c r="BB262" s="289">
        <v>0</v>
      </c>
      <c r="BC262" s="289">
        <v>1340.8898182</v>
      </c>
      <c r="BD262" s="289">
        <v>93.997441423476971</v>
      </c>
      <c r="BE262" s="289">
        <v>184825.37997364</v>
      </c>
      <c r="BF262" s="289">
        <v>0</v>
      </c>
      <c r="BG262" s="289">
        <v>-221.45269999999999</v>
      </c>
      <c r="BH262" s="289">
        <v>-18.220199999999998</v>
      </c>
      <c r="BI262" s="289">
        <v>1363.9398017200001</v>
      </c>
      <c r="BJ262" s="289">
        <v>0</v>
      </c>
      <c r="BK262" s="289">
        <v>0</v>
      </c>
      <c r="BL262" s="289">
        <v>0</v>
      </c>
      <c r="BM262" s="289">
        <v>0</v>
      </c>
      <c r="BN262" s="289">
        <v>552.76345982098655</v>
      </c>
      <c r="BO262" s="289">
        <v>280.9408195155188</v>
      </c>
      <c r="BP262" s="289">
        <v>584.26133193587657</v>
      </c>
      <c r="BQ262" s="289">
        <v>588.86882488018023</v>
      </c>
      <c r="BR262" s="289">
        <v>6.370937696480107</v>
      </c>
      <c r="BS262" s="289">
        <v>1.5383400425197189</v>
      </c>
      <c r="BT262" s="289">
        <v>0</v>
      </c>
      <c r="BU262" s="289">
        <v>0</v>
      </c>
      <c r="BV262" s="289">
        <v>41.284332098687514</v>
      </c>
      <c r="BW262" s="517"/>
      <c r="BX262" s="517"/>
      <c r="CA262" s="517"/>
      <c r="CB262" s="517"/>
    </row>
    <row r="263" spans="1:80" ht="13">
      <c r="A263" s="1">
        <v>3452</v>
      </c>
      <c r="B263" s="2" t="s">
        <v>868</v>
      </c>
      <c r="C263" s="289">
        <v>2135</v>
      </c>
      <c r="D263" s="289">
        <v>26</v>
      </c>
      <c r="E263" s="289">
        <v>71</v>
      </c>
      <c r="F263" s="289">
        <v>256</v>
      </c>
      <c r="G263" s="289">
        <v>167</v>
      </c>
      <c r="H263" s="289">
        <v>1181</v>
      </c>
      <c r="I263" s="289">
        <v>303</v>
      </c>
      <c r="J263" s="289">
        <v>100</v>
      </c>
      <c r="K263" s="289">
        <v>27</v>
      </c>
      <c r="L263" s="289">
        <v>17</v>
      </c>
      <c r="M263" s="289">
        <v>202</v>
      </c>
      <c r="N263" s="290">
        <v>21</v>
      </c>
      <c r="O263" s="290">
        <v>32</v>
      </c>
      <c r="P263" s="624">
        <v>14696.945</v>
      </c>
      <c r="Q263" s="624">
        <v>7242.5013333300003</v>
      </c>
      <c r="R263" s="624">
        <v>5</v>
      </c>
      <c r="S263" s="289"/>
      <c r="T263" s="289">
        <v>205</v>
      </c>
      <c r="U263" s="716">
        <v>3.2128837045921469E-3</v>
      </c>
      <c r="V263" s="289">
        <v>495.67590200000001</v>
      </c>
      <c r="W263" s="743">
        <v>0.76162496999999996</v>
      </c>
      <c r="X263" s="289">
        <v>500</v>
      </c>
      <c r="Y263" s="289">
        <v>414.28399999999999</v>
      </c>
      <c r="Z263" s="289">
        <v>67700</v>
      </c>
      <c r="AA263" s="289">
        <v>0</v>
      </c>
      <c r="AB263" s="290">
        <v>36</v>
      </c>
      <c r="AC263" s="289">
        <v>0</v>
      </c>
      <c r="AD263" s="289">
        <v>0</v>
      </c>
      <c r="AE263" s="289">
        <v>0</v>
      </c>
      <c r="AF263" s="289">
        <v>0</v>
      </c>
      <c r="AG263" s="289">
        <v>2131</v>
      </c>
      <c r="AH263" s="289">
        <v>314.46018104000001</v>
      </c>
      <c r="AI263" s="289">
        <v>400</v>
      </c>
      <c r="AJ263" s="289">
        <v>0</v>
      </c>
      <c r="AK263" s="289">
        <v>0</v>
      </c>
      <c r="AL263" s="289">
        <v>0</v>
      </c>
      <c r="AM263" s="836">
        <v>2.988905E-2</v>
      </c>
      <c r="AN263" s="289">
        <v>0</v>
      </c>
      <c r="AO263" s="289">
        <v>92.896436750000007</v>
      </c>
      <c r="AP263" s="289">
        <v>0</v>
      </c>
      <c r="AQ263" s="289">
        <v>0</v>
      </c>
      <c r="AR263" s="289">
        <v>-113.42822959</v>
      </c>
      <c r="AS263" s="289"/>
      <c r="AT263" s="289">
        <v>112</v>
      </c>
      <c r="AU263" s="289">
        <v>11</v>
      </c>
      <c r="AV263" s="625">
        <v>71485</v>
      </c>
      <c r="AW263" s="289"/>
      <c r="AX263" s="625">
        <v>9.6266666999999995</v>
      </c>
      <c r="AY263" s="289">
        <v>377</v>
      </c>
      <c r="AZ263" s="289">
        <v>111</v>
      </c>
      <c r="BA263" s="290">
        <v>46</v>
      </c>
      <c r="BB263" s="289">
        <v>5698</v>
      </c>
      <c r="BC263" s="289">
        <v>709.96635354</v>
      </c>
      <c r="BD263" s="289">
        <v>29.724238885005704</v>
      </c>
      <c r="BE263" s="289">
        <v>74134.923556209993</v>
      </c>
      <c r="BF263" s="289">
        <v>0</v>
      </c>
      <c r="BG263" s="289">
        <v>-89.765000000000001</v>
      </c>
      <c r="BH263" s="289">
        <v>-6.0168999999999997</v>
      </c>
      <c r="BI263" s="289">
        <v>728.74418103999994</v>
      </c>
      <c r="BJ263" s="289">
        <v>0</v>
      </c>
      <c r="BK263" s="289">
        <v>0</v>
      </c>
      <c r="BL263" s="289">
        <v>0</v>
      </c>
      <c r="BM263" s="289">
        <v>0</v>
      </c>
      <c r="BN263" s="289">
        <v>175.28053183891691</v>
      </c>
      <c r="BO263" s="289">
        <v>112.44692254539238</v>
      </c>
      <c r="BP263" s="289">
        <v>192.94295650943019</v>
      </c>
      <c r="BQ263" s="289">
        <v>417.03230485606065</v>
      </c>
      <c r="BR263" s="289">
        <v>2.0146428577614977</v>
      </c>
      <c r="BS263" s="289">
        <v>0.68991370874365454</v>
      </c>
      <c r="BT263" s="289">
        <v>0</v>
      </c>
      <c r="BU263" s="289">
        <v>0</v>
      </c>
      <c r="BV263" s="289">
        <v>29.237241711788528</v>
      </c>
      <c r="BW263" s="517"/>
      <c r="BX263" s="517"/>
      <c r="CA263" s="517"/>
      <c r="CB263" s="517"/>
    </row>
    <row r="264" spans="1:80" ht="13">
      <c r="A264" s="1">
        <v>3453</v>
      </c>
      <c r="B264" s="2" t="s">
        <v>869</v>
      </c>
      <c r="C264" s="289">
        <v>3208</v>
      </c>
      <c r="D264" s="289">
        <v>53</v>
      </c>
      <c r="E264" s="289">
        <v>113</v>
      </c>
      <c r="F264" s="289">
        <v>360</v>
      </c>
      <c r="G264" s="289">
        <v>265</v>
      </c>
      <c r="H264" s="289">
        <v>1779</v>
      </c>
      <c r="I264" s="289">
        <v>473</v>
      </c>
      <c r="J264" s="289">
        <v>116</v>
      </c>
      <c r="K264" s="289">
        <v>37</v>
      </c>
      <c r="L264" s="289">
        <v>29</v>
      </c>
      <c r="M264" s="289">
        <v>274</v>
      </c>
      <c r="N264" s="290">
        <v>21</v>
      </c>
      <c r="O264" s="290">
        <v>26</v>
      </c>
      <c r="P264" s="624">
        <v>52303.354666669999</v>
      </c>
      <c r="Q264" s="624">
        <v>14308.982666669999</v>
      </c>
      <c r="R264" s="624">
        <v>14</v>
      </c>
      <c r="S264" s="289"/>
      <c r="T264" s="289">
        <v>284</v>
      </c>
      <c r="U264" s="716">
        <v>3.3774706551178636E-3</v>
      </c>
      <c r="V264" s="289">
        <v>1230.7150878699999</v>
      </c>
      <c r="W264" s="743">
        <v>0.78915522000000005</v>
      </c>
      <c r="X264" s="289">
        <v>400</v>
      </c>
      <c r="Y264" s="289">
        <v>414.28399999999999</v>
      </c>
      <c r="Z264" s="289">
        <v>101589</v>
      </c>
      <c r="AA264" s="289">
        <v>0</v>
      </c>
      <c r="AB264" s="290">
        <v>51</v>
      </c>
      <c r="AC264" s="289">
        <v>0</v>
      </c>
      <c r="AD264" s="289">
        <v>0</v>
      </c>
      <c r="AE264" s="289">
        <v>0</v>
      </c>
      <c r="AF264" s="289">
        <v>0</v>
      </c>
      <c r="AG264" s="289">
        <v>3196</v>
      </c>
      <c r="AH264" s="289">
        <v>465.06638748</v>
      </c>
      <c r="AI264" s="289">
        <v>500</v>
      </c>
      <c r="AJ264" s="289">
        <v>0</v>
      </c>
      <c r="AK264" s="289">
        <v>0</v>
      </c>
      <c r="AL264" s="289">
        <v>0</v>
      </c>
      <c r="AM264" s="836">
        <v>2.7143549999999999E-2</v>
      </c>
      <c r="AN264" s="289">
        <v>3868</v>
      </c>
      <c r="AO264" s="289">
        <v>135.66202547</v>
      </c>
      <c r="AP264" s="289">
        <v>0</v>
      </c>
      <c r="AQ264" s="289">
        <v>0</v>
      </c>
      <c r="AR264" s="289">
        <v>-170.11573053999999</v>
      </c>
      <c r="AS264" s="289"/>
      <c r="AT264" s="289">
        <v>149</v>
      </c>
      <c r="AU264" s="289">
        <v>18</v>
      </c>
      <c r="AV264" s="625">
        <v>97078</v>
      </c>
      <c r="AW264" s="289"/>
      <c r="AX264" s="625">
        <v>19.353333299999999</v>
      </c>
      <c r="AY264" s="289">
        <v>608</v>
      </c>
      <c r="AZ264" s="289">
        <v>105</v>
      </c>
      <c r="BA264" s="290">
        <v>46</v>
      </c>
      <c r="BB264" s="289">
        <v>0</v>
      </c>
      <c r="BC264" s="289">
        <v>885.53751516</v>
      </c>
      <c r="BD264" s="289">
        <v>40.549190495802918</v>
      </c>
      <c r="BE264" s="289">
        <v>101486.33873745</v>
      </c>
      <c r="BF264" s="289">
        <v>0</v>
      </c>
      <c r="BG264" s="289">
        <v>-128.99809999999999</v>
      </c>
      <c r="BH264" s="289">
        <v>-9.0239999999999991</v>
      </c>
      <c r="BI264" s="289">
        <v>879.35038747999999</v>
      </c>
      <c r="BJ264" s="289">
        <v>0</v>
      </c>
      <c r="BK264" s="289">
        <v>0</v>
      </c>
      <c r="BL264" s="289">
        <v>0</v>
      </c>
      <c r="BM264" s="289">
        <v>0</v>
      </c>
      <c r="BN264" s="289">
        <v>266.10781801915653</v>
      </c>
      <c r="BO264" s="289">
        <v>166.50512595447142</v>
      </c>
      <c r="BP264" s="289">
        <v>289.36916424408207</v>
      </c>
      <c r="BQ264" s="289">
        <v>438.39569103429864</v>
      </c>
      <c r="BR264" s="289">
        <v>2.7483340224933088</v>
      </c>
      <c r="BS264" s="289">
        <v>0.91652923685333887</v>
      </c>
      <c r="BT264" s="289">
        <v>0</v>
      </c>
      <c r="BU264" s="289">
        <v>0</v>
      </c>
      <c r="BV264" s="289">
        <v>30.734982961572548</v>
      </c>
      <c r="BW264" s="517"/>
      <c r="BX264" s="517"/>
      <c r="CA264" s="517"/>
      <c r="CB264" s="517"/>
    </row>
    <row r="265" spans="1:80" ht="13">
      <c r="A265" s="1">
        <v>3454</v>
      </c>
      <c r="B265" s="2" t="s">
        <v>870</v>
      </c>
      <c r="C265" s="289">
        <v>1610</v>
      </c>
      <c r="D265" s="289">
        <v>29</v>
      </c>
      <c r="E265" s="289">
        <v>60</v>
      </c>
      <c r="F265" s="289">
        <v>177</v>
      </c>
      <c r="G265" s="289">
        <v>120</v>
      </c>
      <c r="H265" s="289">
        <v>887</v>
      </c>
      <c r="I265" s="289">
        <v>236</v>
      </c>
      <c r="J265" s="289">
        <v>61</v>
      </c>
      <c r="K265" s="289">
        <v>23</v>
      </c>
      <c r="L265" s="289">
        <v>15</v>
      </c>
      <c r="M265" s="289">
        <v>142</v>
      </c>
      <c r="N265" s="290">
        <v>12</v>
      </c>
      <c r="O265" s="290">
        <v>31</v>
      </c>
      <c r="P265" s="624">
        <v>17727.34466667</v>
      </c>
      <c r="Q265" s="624">
        <v>7103.8446666700002</v>
      </c>
      <c r="R265" s="624">
        <v>10</v>
      </c>
      <c r="S265" s="289"/>
      <c r="T265" s="289">
        <v>122</v>
      </c>
      <c r="U265" s="716">
        <v>2.4375345339367419E-3</v>
      </c>
      <c r="V265" s="289">
        <v>818.02604974999997</v>
      </c>
      <c r="W265" s="743">
        <v>0.97529087000000003</v>
      </c>
      <c r="X265" s="289">
        <v>0</v>
      </c>
      <c r="Y265" s="289">
        <v>414.28399999999999</v>
      </c>
      <c r="Z265" s="289">
        <v>49799</v>
      </c>
      <c r="AA265" s="289">
        <v>0</v>
      </c>
      <c r="AB265" s="290">
        <v>29</v>
      </c>
      <c r="AC265" s="289">
        <v>0</v>
      </c>
      <c r="AD265" s="289">
        <v>0</v>
      </c>
      <c r="AE265" s="289">
        <v>0</v>
      </c>
      <c r="AF265" s="289">
        <v>0</v>
      </c>
      <c r="AG265" s="289">
        <v>1593</v>
      </c>
      <c r="AH265" s="289">
        <v>236.36807400000001</v>
      </c>
      <c r="AI265" s="289">
        <v>0</v>
      </c>
      <c r="AJ265" s="289">
        <v>0</v>
      </c>
      <c r="AK265" s="289">
        <v>0</v>
      </c>
      <c r="AL265" s="289">
        <v>0</v>
      </c>
      <c r="AM265" s="836">
        <v>2.2827710000000001E-2</v>
      </c>
      <c r="AN265" s="289">
        <v>0</v>
      </c>
      <c r="AO265" s="289">
        <v>78.046201030000006</v>
      </c>
      <c r="AP265" s="289">
        <v>0</v>
      </c>
      <c r="AQ265" s="289">
        <v>0</v>
      </c>
      <c r="AR265" s="289">
        <v>-84.791726769999997</v>
      </c>
      <c r="AS265" s="289"/>
      <c r="AT265" s="289">
        <v>69</v>
      </c>
      <c r="AU265" s="289">
        <v>8</v>
      </c>
      <c r="AV265" s="625">
        <v>66414</v>
      </c>
      <c r="AW265" s="289"/>
      <c r="AX265" s="625">
        <v>10.34333335</v>
      </c>
      <c r="AY265" s="289">
        <v>316</v>
      </c>
      <c r="AZ265" s="289">
        <v>106</v>
      </c>
      <c r="BA265" s="290">
        <v>22</v>
      </c>
      <c r="BB265" s="289">
        <v>5698</v>
      </c>
      <c r="BC265" s="289">
        <v>636.33973737999997</v>
      </c>
      <c r="BD265" s="289">
        <v>20.06037738669702</v>
      </c>
      <c r="BE265" s="289">
        <v>68656.749262509999</v>
      </c>
      <c r="BF265" s="289">
        <v>0</v>
      </c>
      <c r="BG265" s="289">
        <v>-69.448300000000003</v>
      </c>
      <c r="BH265" s="289">
        <v>-4.4978999999999996</v>
      </c>
      <c r="BI265" s="289">
        <v>650.65207399999997</v>
      </c>
      <c r="BJ265" s="289">
        <v>0</v>
      </c>
      <c r="BK265" s="289">
        <v>0</v>
      </c>
      <c r="BL265" s="289">
        <v>0</v>
      </c>
      <c r="BM265" s="289">
        <v>0</v>
      </c>
      <c r="BN265" s="289">
        <v>153.54153663715084</v>
      </c>
      <c r="BO265" s="289">
        <v>100.59981711138411</v>
      </c>
      <c r="BP265" s="289">
        <v>144.23187692140885</v>
      </c>
      <c r="BQ265" s="289">
        <v>316.39198250498902</v>
      </c>
      <c r="BR265" s="289">
        <v>1.3596478006539094</v>
      </c>
      <c r="BS265" s="289">
        <v>0.65142353234013461</v>
      </c>
      <c r="BT265" s="289">
        <v>0</v>
      </c>
      <c r="BU265" s="289">
        <v>0</v>
      </c>
      <c r="BV265" s="289">
        <v>22.181564258824345</v>
      </c>
      <c r="BW265" s="517"/>
      <c r="BX265" s="517"/>
      <c r="CA265" s="517"/>
      <c r="CB265" s="517"/>
    </row>
    <row r="266" spans="1:80" ht="13">
      <c r="A266" s="1">
        <v>3801</v>
      </c>
      <c r="B266" s="4" t="s">
        <v>346</v>
      </c>
      <c r="C266" s="289">
        <v>27334</v>
      </c>
      <c r="D266" s="289">
        <v>484</v>
      </c>
      <c r="E266" s="289">
        <v>1175</v>
      </c>
      <c r="F266" s="289">
        <v>3198</v>
      </c>
      <c r="G266" s="289">
        <v>2437</v>
      </c>
      <c r="H266" s="289">
        <v>15315</v>
      </c>
      <c r="I266" s="289">
        <v>3414</v>
      </c>
      <c r="J266" s="289">
        <v>1091</v>
      </c>
      <c r="K266" s="289">
        <v>253</v>
      </c>
      <c r="L266" s="289">
        <v>223</v>
      </c>
      <c r="M266" s="289">
        <v>2043</v>
      </c>
      <c r="N266" s="290">
        <v>833</v>
      </c>
      <c r="O266" s="290">
        <v>262</v>
      </c>
      <c r="P266" s="624">
        <v>34320.999000000003</v>
      </c>
      <c r="Q266" s="624">
        <v>26504.739333329999</v>
      </c>
      <c r="R266" s="624">
        <v>111</v>
      </c>
      <c r="S266" s="289"/>
      <c r="T266" s="289">
        <v>2323</v>
      </c>
      <c r="U266" s="716">
        <v>1.086376809232626E-3</v>
      </c>
      <c r="V266" s="289">
        <v>202.10916158000001</v>
      </c>
      <c r="W266" s="743">
        <v>0.53677185999999999</v>
      </c>
      <c r="X266" s="289">
        <v>2400</v>
      </c>
      <c r="Y266" s="289">
        <v>414.28399999999999</v>
      </c>
      <c r="Z266" s="289">
        <v>692275</v>
      </c>
      <c r="AA266" s="289">
        <v>0</v>
      </c>
      <c r="AB266" s="290">
        <v>673</v>
      </c>
      <c r="AC266" s="289">
        <v>0</v>
      </c>
      <c r="AD266" s="289">
        <v>0</v>
      </c>
      <c r="AE266" s="289">
        <v>0</v>
      </c>
      <c r="AF266" s="289">
        <v>0</v>
      </c>
      <c r="AG266" s="289">
        <v>27367</v>
      </c>
      <c r="AH266" s="289">
        <v>4351.5432147600004</v>
      </c>
      <c r="AI266" s="289">
        <v>314</v>
      </c>
      <c r="AJ266" s="289">
        <v>0</v>
      </c>
      <c r="AK266" s="289">
        <v>0</v>
      </c>
      <c r="AL266" s="289">
        <v>0</v>
      </c>
      <c r="AM266" s="836">
        <v>1.7221332899999999</v>
      </c>
      <c r="AN266" s="289">
        <v>0</v>
      </c>
      <c r="AO266" s="289">
        <v>1059.0769937699999</v>
      </c>
      <c r="AP266" s="289">
        <v>0</v>
      </c>
      <c r="AQ266" s="289">
        <v>0</v>
      </c>
      <c r="AR266" s="289">
        <v>-1456.68247735</v>
      </c>
      <c r="AS266" s="289"/>
      <c r="AT266" s="289">
        <v>1884</v>
      </c>
      <c r="AU266" s="289">
        <v>478</v>
      </c>
      <c r="AV266" s="625">
        <v>649033</v>
      </c>
      <c r="AW266" s="289"/>
      <c r="AX266" s="625">
        <v>158.66999995</v>
      </c>
      <c r="AY266" s="289">
        <v>6754</v>
      </c>
      <c r="AZ266" s="289">
        <v>1427</v>
      </c>
      <c r="BA266" s="290">
        <v>663</v>
      </c>
      <c r="BB266" s="289">
        <v>0</v>
      </c>
      <c r="BC266" s="289">
        <v>4692.5999293900004</v>
      </c>
      <c r="BD266" s="289">
        <v>539.32855544344136</v>
      </c>
      <c r="BE266" s="289">
        <v>683208.03269966005</v>
      </c>
      <c r="BF266" s="289">
        <v>0</v>
      </c>
      <c r="BG266" s="289">
        <v>-969.52329999999995</v>
      </c>
      <c r="BH266" s="289">
        <v>-77.2714</v>
      </c>
      <c r="BI266" s="289">
        <v>4765.8272147600001</v>
      </c>
      <c r="BJ266" s="289">
        <v>0</v>
      </c>
      <c r="BK266" s="289">
        <v>0</v>
      </c>
      <c r="BL266" s="289">
        <v>0</v>
      </c>
      <c r="BM266" s="289">
        <v>0</v>
      </c>
      <c r="BN266" s="289">
        <v>1926.7537469400445</v>
      </c>
      <c r="BO266" s="289">
        <v>1014.6372879547741</v>
      </c>
      <c r="BP266" s="289">
        <v>2477.8366451401107</v>
      </c>
      <c r="BQ266" s="289">
        <v>141.01170983839472</v>
      </c>
      <c r="BR266" s="289">
        <v>36.554490980055469</v>
      </c>
      <c r="BS266" s="289">
        <v>5.7884720243730996</v>
      </c>
      <c r="BT266" s="289">
        <v>0</v>
      </c>
      <c r="BU266" s="289">
        <v>0</v>
      </c>
      <c r="BV266" s="289">
        <v>9.8860289640169015</v>
      </c>
      <c r="BW266" s="517"/>
      <c r="BX266" s="517"/>
      <c r="CA266" s="517"/>
      <c r="CB266" s="517"/>
    </row>
    <row r="267" spans="1:80" ht="13">
      <c r="A267" s="755">
        <v>3804</v>
      </c>
      <c r="B267" s="756" t="s">
        <v>1153</v>
      </c>
      <c r="C267" s="290">
        <v>63271</v>
      </c>
      <c r="D267" s="290">
        <v>1249</v>
      </c>
      <c r="E267" s="290">
        <v>2684</v>
      </c>
      <c r="F267" s="290">
        <v>7589</v>
      </c>
      <c r="G267" s="290">
        <v>5745</v>
      </c>
      <c r="H267" s="290">
        <v>35446</v>
      </c>
      <c r="I267" s="290">
        <v>7351</v>
      </c>
      <c r="J267" s="290">
        <v>2401</v>
      </c>
      <c r="K267" s="290">
        <v>533</v>
      </c>
      <c r="L267" s="290">
        <v>505</v>
      </c>
      <c r="M267" s="290">
        <v>4526</v>
      </c>
      <c r="N267" s="290">
        <v>1912</v>
      </c>
      <c r="O267" s="290">
        <v>677</v>
      </c>
      <c r="P267" s="624">
        <v>161212.83333333</v>
      </c>
      <c r="Q267" s="624">
        <v>77513.536333330005</v>
      </c>
      <c r="R267" s="624">
        <v>230</v>
      </c>
      <c r="S267" s="290"/>
      <c r="T267" s="290">
        <v>5277</v>
      </c>
      <c r="U267" s="764">
        <v>7.7624492985324187E-3</v>
      </c>
      <c r="V267" s="290">
        <v>-14319.266504560001</v>
      </c>
      <c r="W267" s="765">
        <v>0.55144168999999998</v>
      </c>
      <c r="X267" s="290">
        <v>5000</v>
      </c>
      <c r="Y267" s="290">
        <v>828.56799999999998</v>
      </c>
      <c r="Z267" s="289">
        <v>1778055</v>
      </c>
      <c r="AA267" s="290">
        <v>0</v>
      </c>
      <c r="AB267" s="290">
        <v>1567</v>
      </c>
      <c r="AC267" s="289">
        <v>0</v>
      </c>
      <c r="AD267" s="289">
        <v>0</v>
      </c>
      <c r="AE267" s="290">
        <v>0</v>
      </c>
      <c r="AF267" s="290">
        <v>28496.641103999998</v>
      </c>
      <c r="AG267" s="290">
        <v>62998</v>
      </c>
      <c r="AH267" s="290">
        <v>10313.736137280001</v>
      </c>
      <c r="AI267" s="290">
        <v>1462</v>
      </c>
      <c r="AJ267" s="290">
        <v>0</v>
      </c>
      <c r="AK267" s="290">
        <v>0</v>
      </c>
      <c r="AL267" s="290">
        <v>0</v>
      </c>
      <c r="AM267" s="836">
        <v>3.3123596399999999</v>
      </c>
      <c r="AN267" s="290">
        <v>0</v>
      </c>
      <c r="AO267" s="290">
        <v>2412.89926255</v>
      </c>
      <c r="AP267" s="290">
        <v>0</v>
      </c>
      <c r="AQ267" s="290">
        <v>0</v>
      </c>
      <c r="AR267" s="290">
        <v>-3353.2386709500001</v>
      </c>
      <c r="AS267" s="289"/>
      <c r="AT267" s="290">
        <v>4379</v>
      </c>
      <c r="AU267" s="290">
        <v>961</v>
      </c>
      <c r="AV267" s="766">
        <v>1491872</v>
      </c>
      <c r="AW267" s="290"/>
      <c r="AX267" s="766">
        <v>422.26</v>
      </c>
      <c r="AY267" s="290">
        <v>13280</v>
      </c>
      <c r="AZ267" s="290">
        <v>3086</v>
      </c>
      <c r="BA267" s="290">
        <v>1655</v>
      </c>
      <c r="BB267" s="290">
        <v>0</v>
      </c>
      <c r="BC267" s="290">
        <v>38577.067464879998</v>
      </c>
      <c r="BD267" s="290">
        <v>1189.0774457945924</v>
      </c>
      <c r="BE267" s="290">
        <v>1559502.4720691999</v>
      </c>
      <c r="BF267" s="290">
        <v>0</v>
      </c>
      <c r="BG267" s="290">
        <v>-2320.4295000000002</v>
      </c>
      <c r="BH267" s="290">
        <v>-177.87639999999999</v>
      </c>
      <c r="BI267" s="290">
        <v>39638.945241280002</v>
      </c>
      <c r="BJ267" s="289">
        <v>0</v>
      </c>
      <c r="BK267" s="289">
        <v>0</v>
      </c>
      <c r="BL267" s="289">
        <v>0</v>
      </c>
      <c r="BM267" s="290">
        <v>7274</v>
      </c>
      <c r="BN267" s="289">
        <v>4241.667208267254</v>
      </c>
      <c r="BO267" s="289">
        <v>2319.2675730904652</v>
      </c>
      <c r="BP267" s="289">
        <v>5703.9044458850694</v>
      </c>
      <c r="BQ267" s="289">
        <v>1007.5659189495079</v>
      </c>
      <c r="BR267" s="289">
        <v>80.593026881633492</v>
      </c>
      <c r="BS267" s="289">
        <v>13.110763524103859</v>
      </c>
      <c r="BT267" s="289">
        <v>0</v>
      </c>
      <c r="BU267" s="289">
        <v>0</v>
      </c>
      <c r="BV267" s="289">
        <v>70.638288616644999</v>
      </c>
      <c r="BW267" s="517"/>
      <c r="BX267" s="517"/>
      <c r="BY267" s="657"/>
      <c r="CA267" s="517"/>
      <c r="CB267" s="517"/>
    </row>
    <row r="268" spans="1:80" ht="13">
      <c r="A268" s="1">
        <v>3805</v>
      </c>
      <c r="B268" s="2" t="s">
        <v>1235</v>
      </c>
      <c r="C268" s="289">
        <v>47107</v>
      </c>
      <c r="D268" s="289">
        <v>887</v>
      </c>
      <c r="E268" s="289">
        <v>1871</v>
      </c>
      <c r="F268" s="289">
        <v>5484</v>
      </c>
      <c r="G268" s="289">
        <v>3951</v>
      </c>
      <c r="H268" s="289">
        <v>26472</v>
      </c>
      <c r="I268" s="289">
        <v>5950</v>
      </c>
      <c r="J268" s="289">
        <v>1947</v>
      </c>
      <c r="K268" s="289">
        <v>512</v>
      </c>
      <c r="L268" s="289">
        <v>362</v>
      </c>
      <c r="M268" s="289">
        <v>3573</v>
      </c>
      <c r="N268" s="290">
        <v>1265</v>
      </c>
      <c r="O268" s="290">
        <v>396</v>
      </c>
      <c r="P268" s="624">
        <v>110695.8005</v>
      </c>
      <c r="Q268" s="624">
        <v>74426.159</v>
      </c>
      <c r="R268" s="624">
        <v>220</v>
      </c>
      <c r="S268" s="289"/>
      <c r="T268" s="289">
        <v>4030</v>
      </c>
      <c r="U268" s="716">
        <v>7.899993615984308E-3</v>
      </c>
      <c r="V268" s="289">
        <v>9182.0186044999991</v>
      </c>
      <c r="W268" s="743">
        <v>0.57169539999999996</v>
      </c>
      <c r="X268" s="289">
        <v>4000</v>
      </c>
      <c r="Y268" s="289">
        <v>679.50800000000004</v>
      </c>
      <c r="Z268" s="289">
        <v>1285032</v>
      </c>
      <c r="AA268" s="289">
        <v>0</v>
      </c>
      <c r="AB268" s="290">
        <v>1346</v>
      </c>
      <c r="AC268" s="289">
        <v>0</v>
      </c>
      <c r="AD268" s="289">
        <v>0</v>
      </c>
      <c r="AE268" s="289">
        <v>0</v>
      </c>
      <c r="AF268" s="289">
        <v>20189.471535000001</v>
      </c>
      <c r="AG268" s="289">
        <v>47074</v>
      </c>
      <c r="AH268" s="289">
        <v>7355.9975830399999</v>
      </c>
      <c r="AI268" s="289">
        <v>1354</v>
      </c>
      <c r="AJ268" s="289">
        <v>149</v>
      </c>
      <c r="AK268" s="289">
        <v>0</v>
      </c>
      <c r="AL268" s="289">
        <v>0</v>
      </c>
      <c r="AM268" s="836">
        <v>1.4100265599999999</v>
      </c>
      <c r="AN268" s="289">
        <v>0</v>
      </c>
      <c r="AO268" s="289">
        <v>1824.6218681</v>
      </c>
      <c r="AP268" s="289">
        <v>0</v>
      </c>
      <c r="AQ268" s="289">
        <v>0</v>
      </c>
      <c r="AR268" s="289">
        <v>-2505.6407694899999</v>
      </c>
      <c r="AS268" s="289"/>
      <c r="AT268" s="289">
        <v>3101</v>
      </c>
      <c r="AU268" s="289">
        <v>483</v>
      </c>
      <c r="AV268" s="625">
        <v>1147075</v>
      </c>
      <c r="AW268" s="289"/>
      <c r="AX268" s="625">
        <v>324.90166670000002</v>
      </c>
      <c r="AY268" s="289">
        <v>9776</v>
      </c>
      <c r="AZ268" s="289">
        <v>2062</v>
      </c>
      <c r="BA268" s="290">
        <v>1184</v>
      </c>
      <c r="BB268" s="289">
        <v>0</v>
      </c>
      <c r="BC268" s="289">
        <v>27457.203558249999</v>
      </c>
      <c r="BD268" s="289">
        <v>812.10631892021377</v>
      </c>
      <c r="BE268" s="289">
        <v>1214074.8147120001</v>
      </c>
      <c r="BF268" s="289">
        <v>0</v>
      </c>
      <c r="BG268" s="289">
        <v>-1674.6189999999999</v>
      </c>
      <c r="BH268" s="289">
        <v>-132.91460000000001</v>
      </c>
      <c r="BI268" s="289">
        <v>28224.977118039998</v>
      </c>
      <c r="BJ268" s="289">
        <v>0</v>
      </c>
      <c r="BK268" s="289">
        <v>0</v>
      </c>
      <c r="BL268" s="289">
        <v>0</v>
      </c>
      <c r="BM268" s="289">
        <v>6234</v>
      </c>
      <c r="BN268" s="289">
        <v>3479.2242579597123</v>
      </c>
      <c r="BO268" s="289">
        <v>1772.6117323652113</v>
      </c>
      <c r="BP268" s="289">
        <v>4262.1289229117392</v>
      </c>
      <c r="BQ268" s="289">
        <v>1025.419171354763</v>
      </c>
      <c r="BR268" s="289">
        <v>55.042761615703384</v>
      </c>
      <c r="BS268" s="289">
        <v>9.8345478543315057</v>
      </c>
      <c r="BT268" s="289">
        <v>0</v>
      </c>
      <c r="BU268" s="289">
        <v>0</v>
      </c>
      <c r="BV268" s="289">
        <v>71.889941905457178</v>
      </c>
      <c r="BW268" s="517"/>
      <c r="BX268" s="517"/>
      <c r="CA268" s="517"/>
      <c r="CB268" s="517"/>
    </row>
    <row r="269" spans="1:80" ht="13">
      <c r="A269" s="1">
        <v>3806</v>
      </c>
      <c r="B269" s="2" t="s">
        <v>904</v>
      </c>
      <c r="C269" s="289">
        <v>36224</v>
      </c>
      <c r="D269" s="289">
        <v>646</v>
      </c>
      <c r="E269" s="289">
        <v>1461</v>
      </c>
      <c r="F269" s="289">
        <v>4144</v>
      </c>
      <c r="G269" s="289">
        <v>3217</v>
      </c>
      <c r="H269" s="289">
        <v>20516</v>
      </c>
      <c r="I269" s="289">
        <v>4407</v>
      </c>
      <c r="J269" s="289">
        <v>1352</v>
      </c>
      <c r="K269" s="289">
        <v>369</v>
      </c>
      <c r="L269" s="289">
        <v>307</v>
      </c>
      <c r="M269" s="289">
        <v>2744</v>
      </c>
      <c r="N269" s="290">
        <v>1086</v>
      </c>
      <c r="O269" s="290">
        <v>275</v>
      </c>
      <c r="P269" s="624">
        <v>84280.463000000003</v>
      </c>
      <c r="Q269" s="624">
        <v>36822.929333330001</v>
      </c>
      <c r="R269" s="624">
        <v>141</v>
      </c>
      <c r="S269" s="289"/>
      <c r="T269" s="289">
        <v>3325</v>
      </c>
      <c r="U269" s="716">
        <v>1.011138254060332E-3</v>
      </c>
      <c r="V269" s="289">
        <v>-7531.5613525299996</v>
      </c>
      <c r="W269" s="743">
        <v>0.54019611999999995</v>
      </c>
      <c r="X269" s="289">
        <v>0</v>
      </c>
      <c r="Y269" s="289">
        <v>828.56799999999998</v>
      </c>
      <c r="Z269" s="289">
        <v>1030160</v>
      </c>
      <c r="AA269" s="289">
        <v>0</v>
      </c>
      <c r="AB269" s="290">
        <v>936</v>
      </c>
      <c r="AC269" s="289">
        <v>0</v>
      </c>
      <c r="AD269" s="289">
        <v>0</v>
      </c>
      <c r="AE269" s="289">
        <v>0</v>
      </c>
      <c r="AF269" s="289">
        <v>0</v>
      </c>
      <c r="AG269" s="289">
        <v>36112</v>
      </c>
      <c r="AH269" s="289">
        <v>5616.35644847</v>
      </c>
      <c r="AI269" s="289">
        <v>150</v>
      </c>
      <c r="AJ269" s="289">
        <v>0</v>
      </c>
      <c r="AK269" s="289">
        <v>2964.165</v>
      </c>
      <c r="AL269" s="289">
        <v>0</v>
      </c>
      <c r="AM269" s="836">
        <v>1.5655547400000001</v>
      </c>
      <c r="AN269" s="289">
        <v>0</v>
      </c>
      <c r="AO269" s="289">
        <v>1379.2593979799999</v>
      </c>
      <c r="AP269" s="289">
        <v>0</v>
      </c>
      <c r="AQ269" s="289">
        <v>0</v>
      </c>
      <c r="AR269" s="289">
        <v>-1922.1587175</v>
      </c>
      <c r="AS269" s="289"/>
      <c r="AT269" s="289">
        <v>2468</v>
      </c>
      <c r="AU269" s="289">
        <v>493</v>
      </c>
      <c r="AV269" s="625">
        <v>819282</v>
      </c>
      <c r="AW269" s="289"/>
      <c r="AX269" s="625">
        <v>235.66500005</v>
      </c>
      <c r="AY269" s="289">
        <v>8118</v>
      </c>
      <c r="AZ269" s="289">
        <v>1676</v>
      </c>
      <c r="BA269" s="290">
        <v>1018</v>
      </c>
      <c r="BB269" s="289">
        <v>0</v>
      </c>
      <c r="BC269" s="289">
        <v>6372.1721819499999</v>
      </c>
      <c r="BD269" s="289">
        <v>679.18096494189774</v>
      </c>
      <c r="BE269" s="289">
        <v>866076.50074520998</v>
      </c>
      <c r="BF269" s="289">
        <v>0</v>
      </c>
      <c r="BG269" s="289">
        <v>-1256.1909000000001</v>
      </c>
      <c r="BH269" s="289">
        <v>-101.9631</v>
      </c>
      <c r="BI269" s="289">
        <v>6444.9244484700002</v>
      </c>
      <c r="BJ269" s="289">
        <v>0</v>
      </c>
      <c r="BK269" s="289">
        <v>0</v>
      </c>
      <c r="BL269" s="289">
        <v>0</v>
      </c>
      <c r="BM269" s="289">
        <v>0</v>
      </c>
      <c r="BN269" s="289">
        <v>2544.9693407260665</v>
      </c>
      <c r="BO269" s="289">
        <v>1333.9265657770077</v>
      </c>
      <c r="BP269" s="289">
        <v>3269.6180410457732</v>
      </c>
      <c r="BQ269" s="289">
        <v>131.2457453770312</v>
      </c>
      <c r="BR269" s="289">
        <v>46.033376512728637</v>
      </c>
      <c r="BS269" s="289">
        <v>7.5827734999167058</v>
      </c>
      <c r="BT269" s="289">
        <v>0</v>
      </c>
      <c r="BU269" s="289">
        <v>0</v>
      </c>
      <c r="BV269" s="289">
        <v>9.2013581119490127</v>
      </c>
      <c r="BW269" s="517"/>
      <c r="BX269" s="517"/>
      <c r="CA269" s="517"/>
      <c r="CB269" s="517"/>
    </row>
    <row r="270" spans="1:80" ht="13">
      <c r="A270" s="1">
        <v>3807</v>
      </c>
      <c r="B270" s="2" t="s">
        <v>905</v>
      </c>
      <c r="C270" s="289">
        <v>54645</v>
      </c>
      <c r="D270" s="289">
        <v>1093</v>
      </c>
      <c r="E270" s="289">
        <v>2334</v>
      </c>
      <c r="F270" s="289">
        <v>6489</v>
      </c>
      <c r="G270" s="289">
        <v>4641</v>
      </c>
      <c r="H270" s="289">
        <v>30982</v>
      </c>
      <c r="I270" s="289">
        <v>6686</v>
      </c>
      <c r="J270" s="289">
        <v>2015</v>
      </c>
      <c r="K270" s="289">
        <v>506</v>
      </c>
      <c r="L270" s="289">
        <v>444</v>
      </c>
      <c r="M270" s="289">
        <v>3978</v>
      </c>
      <c r="N270" s="290">
        <v>2574</v>
      </c>
      <c r="O270" s="290">
        <v>553</v>
      </c>
      <c r="P270" s="624">
        <v>140958.78233332999</v>
      </c>
      <c r="Q270" s="624">
        <v>57861.430333329998</v>
      </c>
      <c r="R270" s="624">
        <v>194</v>
      </c>
      <c r="S270" s="289"/>
      <c r="T270" s="289">
        <v>4973</v>
      </c>
      <c r="U270" s="716">
        <v>4.6853207696510952E-3</v>
      </c>
      <c r="V270" s="289">
        <v>-11309.82599988</v>
      </c>
      <c r="W270" s="743">
        <v>0.54148021000000002</v>
      </c>
      <c r="X270" s="289">
        <v>0</v>
      </c>
      <c r="Y270" s="289">
        <v>1657.136</v>
      </c>
      <c r="Z270" s="289">
        <v>1431339</v>
      </c>
      <c r="AA270" s="289">
        <v>0</v>
      </c>
      <c r="AB270" s="290">
        <v>1381</v>
      </c>
      <c r="AC270" s="289">
        <v>0</v>
      </c>
      <c r="AD270" s="289">
        <v>0</v>
      </c>
      <c r="AE270" s="289">
        <v>0</v>
      </c>
      <c r="AF270" s="289">
        <v>0</v>
      </c>
      <c r="AG270" s="289">
        <v>54746</v>
      </c>
      <c r="AH270" s="289">
        <v>8753.2884983399999</v>
      </c>
      <c r="AI270" s="289">
        <v>2550</v>
      </c>
      <c r="AJ270" s="289">
        <v>0</v>
      </c>
      <c r="AK270" s="289">
        <v>0</v>
      </c>
      <c r="AL270" s="289">
        <v>0</v>
      </c>
      <c r="AM270" s="836">
        <v>3.0859509599999999</v>
      </c>
      <c r="AN270" s="289">
        <v>0</v>
      </c>
      <c r="AO270" s="289">
        <v>2113.30303413</v>
      </c>
      <c r="AP270" s="289">
        <v>0</v>
      </c>
      <c r="AQ270" s="289">
        <v>0</v>
      </c>
      <c r="AR270" s="289">
        <v>-2914.0036871000002</v>
      </c>
      <c r="AS270" s="289"/>
      <c r="AT270" s="289">
        <v>3658</v>
      </c>
      <c r="AU270" s="289">
        <v>793</v>
      </c>
      <c r="AV270" s="625">
        <v>1275956</v>
      </c>
      <c r="AW270" s="289"/>
      <c r="AX270" s="625">
        <v>349.49333330000002</v>
      </c>
      <c r="AY270" s="289">
        <v>12072</v>
      </c>
      <c r="AZ270" s="289">
        <v>3161</v>
      </c>
      <c r="BA270" s="290">
        <v>1552</v>
      </c>
      <c r="BB270" s="289">
        <v>0</v>
      </c>
      <c r="BC270" s="289">
        <v>10109.64422242</v>
      </c>
      <c r="BD270" s="289">
        <v>1155.9332862781202</v>
      </c>
      <c r="BE270" s="289">
        <v>1343897.4982056001</v>
      </c>
      <c r="BF270" s="289">
        <v>0</v>
      </c>
      <c r="BG270" s="289">
        <v>-1979.1617000000001</v>
      </c>
      <c r="BH270" s="289">
        <v>-154.57669999999999</v>
      </c>
      <c r="BI270" s="289">
        <v>10410.42449834</v>
      </c>
      <c r="BJ270" s="289">
        <v>0</v>
      </c>
      <c r="BK270" s="289">
        <v>0</v>
      </c>
      <c r="BL270" s="289">
        <v>0</v>
      </c>
      <c r="BM270" s="289">
        <v>0</v>
      </c>
      <c r="BN270" s="289">
        <v>3704.6943781167097</v>
      </c>
      <c r="BO270" s="289">
        <v>2016.8462299752766</v>
      </c>
      <c r="BP270" s="289">
        <v>4956.7597827617383</v>
      </c>
      <c r="BQ270" s="289">
        <v>608.15463590071215</v>
      </c>
      <c r="BR270" s="289">
        <v>78.346589403294814</v>
      </c>
      <c r="BS270" s="289">
        <v>11.40445299280421</v>
      </c>
      <c r="BT270" s="289">
        <v>0</v>
      </c>
      <c r="BU270" s="289">
        <v>0</v>
      </c>
      <c r="BV270" s="289">
        <v>42.636419003824955</v>
      </c>
      <c r="BW270" s="517"/>
      <c r="BX270" s="517"/>
      <c r="CA270" s="517"/>
      <c r="CB270" s="517"/>
    </row>
    <row r="271" spans="1:80" ht="13">
      <c r="A271" s="1">
        <v>3808</v>
      </c>
      <c r="B271" s="2" t="s">
        <v>906</v>
      </c>
      <c r="C271" s="289">
        <v>12682</v>
      </c>
      <c r="D271" s="289">
        <v>238</v>
      </c>
      <c r="E271" s="289">
        <v>539</v>
      </c>
      <c r="F271" s="289">
        <v>1418</v>
      </c>
      <c r="G271" s="289">
        <v>1084</v>
      </c>
      <c r="H271" s="289">
        <v>7069</v>
      </c>
      <c r="I271" s="289">
        <v>1607</v>
      </c>
      <c r="J271" s="289">
        <v>556</v>
      </c>
      <c r="K271" s="289">
        <v>172</v>
      </c>
      <c r="L271" s="289">
        <v>110</v>
      </c>
      <c r="M271" s="289">
        <v>1087</v>
      </c>
      <c r="N271" s="290">
        <v>260</v>
      </c>
      <c r="O271" s="290">
        <v>137</v>
      </c>
      <c r="P271" s="624">
        <v>53372.806666670003</v>
      </c>
      <c r="Q271" s="624">
        <v>18257.285333330001</v>
      </c>
      <c r="R271" s="624">
        <v>71</v>
      </c>
      <c r="S271" s="289"/>
      <c r="T271" s="289">
        <v>1181</v>
      </c>
      <c r="U271" s="716">
        <v>2.9675325558616897E-3</v>
      </c>
      <c r="V271" s="289">
        <v>-2737.27968027</v>
      </c>
      <c r="W271" s="743">
        <v>0.58348573999999997</v>
      </c>
      <c r="X271" s="289">
        <v>3000</v>
      </c>
      <c r="Y271" s="289">
        <v>414.28399999999999</v>
      </c>
      <c r="Z271" s="289">
        <v>330479</v>
      </c>
      <c r="AA271" s="289">
        <v>0</v>
      </c>
      <c r="AB271" s="290">
        <v>388</v>
      </c>
      <c r="AC271" s="289">
        <v>0</v>
      </c>
      <c r="AD271" s="289">
        <v>0</v>
      </c>
      <c r="AE271" s="289">
        <v>0</v>
      </c>
      <c r="AF271" s="289">
        <v>0</v>
      </c>
      <c r="AG271" s="289">
        <v>12683</v>
      </c>
      <c r="AH271" s="289">
        <v>1969.0366990099999</v>
      </c>
      <c r="AI271" s="289">
        <v>1445</v>
      </c>
      <c r="AJ271" s="289">
        <v>0</v>
      </c>
      <c r="AK271" s="289">
        <v>0</v>
      </c>
      <c r="AL271" s="289">
        <v>0</v>
      </c>
      <c r="AM271" s="836">
        <v>0.61314393</v>
      </c>
      <c r="AN271" s="289">
        <v>6154</v>
      </c>
      <c r="AO271" s="289">
        <v>523.24784319000003</v>
      </c>
      <c r="AP271" s="289">
        <v>0</v>
      </c>
      <c r="AQ271" s="289">
        <v>0</v>
      </c>
      <c r="AR271" s="289">
        <v>-675.08692440000004</v>
      </c>
      <c r="AS271" s="289"/>
      <c r="AT271" s="289">
        <v>731</v>
      </c>
      <c r="AU271" s="289">
        <v>190</v>
      </c>
      <c r="AV271" s="625">
        <v>355680</v>
      </c>
      <c r="AW271" s="289"/>
      <c r="AX271" s="625">
        <v>90.946666699999994</v>
      </c>
      <c r="AY271" s="289">
        <v>2609</v>
      </c>
      <c r="AZ271" s="289">
        <v>708</v>
      </c>
      <c r="BA271" s="290">
        <v>302</v>
      </c>
      <c r="BB271" s="289">
        <v>0</v>
      </c>
      <c r="BC271" s="289">
        <v>2332.0173434799999</v>
      </c>
      <c r="BD271" s="289">
        <v>238.67449238516292</v>
      </c>
      <c r="BE271" s="289">
        <v>365813.71764584002</v>
      </c>
      <c r="BF271" s="289">
        <v>0</v>
      </c>
      <c r="BG271" s="289">
        <v>-444.97930000000002</v>
      </c>
      <c r="BH271" s="289">
        <v>-35.8108</v>
      </c>
      <c r="BI271" s="289">
        <v>2383.3206990100002</v>
      </c>
      <c r="BJ271" s="289">
        <v>0</v>
      </c>
      <c r="BK271" s="289">
        <v>0</v>
      </c>
      <c r="BL271" s="289">
        <v>0</v>
      </c>
      <c r="BM271" s="289">
        <v>0</v>
      </c>
      <c r="BN271" s="289">
        <v>1046.6043783969103</v>
      </c>
      <c r="BO271" s="289">
        <v>502.11784924113266</v>
      </c>
      <c r="BP271" s="289">
        <v>1148.3320119235586</v>
      </c>
      <c r="BQ271" s="289">
        <v>385.18572575084721</v>
      </c>
      <c r="BR271" s="289">
        <v>16.176826706105491</v>
      </c>
      <c r="BS271" s="289">
        <v>2.7939095582038638</v>
      </c>
      <c r="BT271" s="289">
        <v>0</v>
      </c>
      <c r="BU271" s="289">
        <v>0</v>
      </c>
      <c r="BV271" s="289">
        <v>27.004546258341367</v>
      </c>
      <c r="BW271" s="517"/>
      <c r="BX271" s="517"/>
      <c r="CA271" s="517"/>
      <c r="CB271" s="517"/>
    </row>
    <row r="272" spans="1:80" ht="13">
      <c r="A272" s="1">
        <v>3811</v>
      </c>
      <c r="B272" s="2" t="s">
        <v>1241</v>
      </c>
      <c r="C272" s="289">
        <v>26700</v>
      </c>
      <c r="D272" s="289">
        <v>469</v>
      </c>
      <c r="E272" s="289">
        <v>1102</v>
      </c>
      <c r="F272" s="289">
        <v>3259</v>
      </c>
      <c r="G272" s="289">
        <v>2313</v>
      </c>
      <c r="H272" s="289">
        <v>14838</v>
      </c>
      <c r="I272" s="289">
        <v>3437</v>
      </c>
      <c r="J272" s="289">
        <v>1113</v>
      </c>
      <c r="K272" s="289">
        <v>274</v>
      </c>
      <c r="L272" s="289">
        <v>192</v>
      </c>
      <c r="M272" s="289">
        <v>2055</v>
      </c>
      <c r="N272" s="290">
        <v>604</v>
      </c>
      <c r="O272" s="290">
        <v>226</v>
      </c>
      <c r="P272" s="624">
        <v>61672.373500000002</v>
      </c>
      <c r="Q272" s="624">
        <v>46142.313000000002</v>
      </c>
      <c r="R272" s="624">
        <v>88</v>
      </c>
      <c r="S272" s="289"/>
      <c r="T272" s="289">
        <v>2018</v>
      </c>
      <c r="U272" s="716">
        <v>1.3284026556447657E-3</v>
      </c>
      <c r="V272" s="289">
        <v>-15530.11888174</v>
      </c>
      <c r="W272" s="743">
        <v>0.55638352000000002</v>
      </c>
      <c r="X272" s="289">
        <v>1600</v>
      </c>
      <c r="Y272" s="289">
        <v>828.56799999999998</v>
      </c>
      <c r="Z272" s="289">
        <v>861791</v>
      </c>
      <c r="AA272" s="289">
        <v>0</v>
      </c>
      <c r="AB272" s="290">
        <v>501</v>
      </c>
      <c r="AC272" s="289">
        <v>0</v>
      </c>
      <c r="AD272" s="289">
        <v>0</v>
      </c>
      <c r="AE272" s="289">
        <v>0</v>
      </c>
      <c r="AF272" s="289">
        <v>14270.46984</v>
      </c>
      <c r="AG272" s="289">
        <v>26805</v>
      </c>
      <c r="AH272" s="289">
        <v>4319.4696708000001</v>
      </c>
      <c r="AI272" s="289">
        <v>2709</v>
      </c>
      <c r="AJ272" s="289">
        <v>0</v>
      </c>
      <c r="AK272" s="289">
        <v>0</v>
      </c>
      <c r="AL272" s="289">
        <v>0</v>
      </c>
      <c r="AM272" s="836">
        <v>0.85818251999999995</v>
      </c>
      <c r="AN272" s="289">
        <v>0</v>
      </c>
      <c r="AO272" s="289">
        <v>1029.55509373</v>
      </c>
      <c r="AP272" s="289">
        <v>0</v>
      </c>
      <c r="AQ272" s="289">
        <v>0</v>
      </c>
      <c r="AR272" s="289">
        <v>-1426.76850971</v>
      </c>
      <c r="AS272" s="289"/>
      <c r="AT272" s="289">
        <v>1722</v>
      </c>
      <c r="AU272" s="289">
        <v>291</v>
      </c>
      <c r="AV272" s="625">
        <v>658533</v>
      </c>
      <c r="AW272" s="289"/>
      <c r="AX272" s="625">
        <v>148.75333330000001</v>
      </c>
      <c r="AY272" s="289">
        <v>7633</v>
      </c>
      <c r="AZ272" s="289">
        <v>1224</v>
      </c>
      <c r="BA272" s="290">
        <v>698</v>
      </c>
      <c r="BB272" s="289">
        <v>0</v>
      </c>
      <c r="BC272" s="289">
        <v>47627.418779350002</v>
      </c>
      <c r="BD272" s="289">
        <v>410.14485048379709</v>
      </c>
      <c r="BE272" s="289">
        <v>691365.29438019998</v>
      </c>
      <c r="BF272" s="289">
        <v>0</v>
      </c>
      <c r="BG272" s="289">
        <v>-996.20809999999994</v>
      </c>
      <c r="BH272" s="289">
        <v>-75.684600000000003</v>
      </c>
      <c r="BI272" s="289">
        <v>48918.489211909997</v>
      </c>
      <c r="BJ272" s="289">
        <v>0</v>
      </c>
      <c r="BK272" s="289">
        <v>0</v>
      </c>
      <c r="BL272" s="289">
        <v>0</v>
      </c>
      <c r="BM272" s="289">
        <v>4915</v>
      </c>
      <c r="BN272" s="289">
        <v>1871.2137006914563</v>
      </c>
      <c r="BO272" s="289">
        <v>1024.6790577848428</v>
      </c>
      <c r="BP272" s="289">
        <v>2426.9525805890553</v>
      </c>
      <c r="BQ272" s="289">
        <v>172.42666470269057</v>
      </c>
      <c r="BR272" s="289">
        <v>27.798706532790689</v>
      </c>
      <c r="BS272" s="289">
        <v>5.6763488192922544</v>
      </c>
      <c r="BT272" s="289">
        <v>0</v>
      </c>
      <c r="BU272" s="289">
        <v>29499.981701109999</v>
      </c>
      <c r="BV272" s="289">
        <v>12.088464166367359</v>
      </c>
      <c r="BW272" s="517"/>
      <c r="BX272" s="517"/>
      <c r="CA272" s="517"/>
      <c r="CB272" s="517"/>
    </row>
    <row r="273" spans="1:80" ht="13">
      <c r="A273" s="1">
        <v>3812</v>
      </c>
      <c r="B273" s="2" t="s">
        <v>907</v>
      </c>
      <c r="C273" s="289">
        <v>2329</v>
      </c>
      <c r="D273" s="289">
        <v>38</v>
      </c>
      <c r="E273" s="289">
        <v>94</v>
      </c>
      <c r="F273" s="289">
        <v>306</v>
      </c>
      <c r="G273" s="289">
        <v>195</v>
      </c>
      <c r="H273" s="289">
        <v>1319</v>
      </c>
      <c r="I273" s="289">
        <v>271</v>
      </c>
      <c r="J273" s="289">
        <v>102</v>
      </c>
      <c r="K273" s="289">
        <v>26</v>
      </c>
      <c r="L273" s="289">
        <v>15</v>
      </c>
      <c r="M273" s="289">
        <v>142</v>
      </c>
      <c r="N273" s="290">
        <v>48</v>
      </c>
      <c r="O273" s="290">
        <v>28</v>
      </c>
      <c r="P273" s="624">
        <v>8128.0826666700004</v>
      </c>
      <c r="Q273" s="624">
        <v>6360.7696666700003</v>
      </c>
      <c r="R273" s="624">
        <v>2</v>
      </c>
      <c r="S273" s="289"/>
      <c r="T273" s="289">
        <v>119</v>
      </c>
      <c r="U273" s="716">
        <v>8.4133280615750639E-4</v>
      </c>
      <c r="V273" s="289">
        <v>693.82392132999996</v>
      </c>
      <c r="W273" s="743">
        <v>0.68706953999999998</v>
      </c>
      <c r="X273" s="289">
        <v>500</v>
      </c>
      <c r="Y273" s="289">
        <v>414.28399999999999</v>
      </c>
      <c r="Z273" s="289">
        <v>61369</v>
      </c>
      <c r="AA273" s="289">
        <v>0</v>
      </c>
      <c r="AB273" s="290">
        <v>51</v>
      </c>
      <c r="AC273" s="289">
        <v>0</v>
      </c>
      <c r="AD273" s="289">
        <v>0</v>
      </c>
      <c r="AE273" s="289">
        <v>0</v>
      </c>
      <c r="AF273" s="289">
        <v>0</v>
      </c>
      <c r="AG273" s="289">
        <v>2351</v>
      </c>
      <c r="AH273" s="289">
        <v>392.55228807999998</v>
      </c>
      <c r="AI273" s="289">
        <v>184</v>
      </c>
      <c r="AJ273" s="289">
        <v>0</v>
      </c>
      <c r="AK273" s="289">
        <v>0</v>
      </c>
      <c r="AL273" s="289">
        <v>0</v>
      </c>
      <c r="AM273" s="836">
        <v>3.6224480000000003E-2</v>
      </c>
      <c r="AN273" s="289">
        <v>0</v>
      </c>
      <c r="AO273" s="289">
        <v>93.559333140000007</v>
      </c>
      <c r="AP273" s="289">
        <v>0</v>
      </c>
      <c r="AQ273" s="289">
        <v>0</v>
      </c>
      <c r="AR273" s="289">
        <v>5665.8229519099996</v>
      </c>
      <c r="AS273" s="289"/>
      <c r="AT273" s="289">
        <v>141</v>
      </c>
      <c r="AU273" s="289">
        <v>20</v>
      </c>
      <c r="AV273" s="625">
        <v>69983</v>
      </c>
      <c r="AW273" s="289"/>
      <c r="AX273" s="625">
        <v>5.6316666499999997</v>
      </c>
      <c r="AY273" s="289">
        <v>435</v>
      </c>
      <c r="AZ273" s="289">
        <v>71</v>
      </c>
      <c r="BA273" s="290">
        <v>50</v>
      </c>
      <c r="BB273" s="289">
        <v>2850</v>
      </c>
      <c r="BC273" s="289">
        <v>382.85840404999999</v>
      </c>
      <c r="BD273" s="289">
        <v>29.390177980901786</v>
      </c>
      <c r="BE273" s="289">
        <v>66391.652212989997</v>
      </c>
      <c r="BF273" s="289">
        <v>0</v>
      </c>
      <c r="BG273" s="289">
        <v>-101.449</v>
      </c>
      <c r="BH273" s="289">
        <v>-6.6380999999999997</v>
      </c>
      <c r="BI273" s="289">
        <v>806.83628808000003</v>
      </c>
      <c r="BJ273" s="289">
        <v>0</v>
      </c>
      <c r="BK273" s="289">
        <v>0</v>
      </c>
      <c r="BL273" s="289">
        <v>0</v>
      </c>
      <c r="BM273" s="289">
        <v>0</v>
      </c>
      <c r="BN273" s="289">
        <v>155.71352029218463</v>
      </c>
      <c r="BO273" s="289">
        <v>112.60293385276857</v>
      </c>
      <c r="BP273" s="289">
        <v>212.86198533724559</v>
      </c>
      <c r="BQ273" s="289">
        <v>109.2049982392443</v>
      </c>
      <c r="BR273" s="289">
        <v>1.9920009520388984</v>
      </c>
      <c r="BS273" s="289">
        <v>0.71185159829588518</v>
      </c>
      <c r="BT273" s="289">
        <v>0</v>
      </c>
      <c r="BU273" s="289">
        <v>0</v>
      </c>
      <c r="BV273" s="289">
        <v>7.6561285360333056</v>
      </c>
      <c r="BW273" s="517"/>
      <c r="BX273" s="517"/>
      <c r="CA273" s="517"/>
      <c r="CB273" s="517"/>
    </row>
    <row r="274" spans="1:80" ht="13">
      <c r="A274" s="1">
        <v>3813</v>
      </c>
      <c r="B274" s="2" t="s">
        <v>908</v>
      </c>
      <c r="C274" s="289">
        <v>14089</v>
      </c>
      <c r="D274" s="289">
        <v>271</v>
      </c>
      <c r="E274" s="289">
        <v>560</v>
      </c>
      <c r="F274" s="289">
        <v>1681</v>
      </c>
      <c r="G274" s="289">
        <v>1278</v>
      </c>
      <c r="H274" s="289">
        <v>7859</v>
      </c>
      <c r="I274" s="289">
        <v>1957</v>
      </c>
      <c r="J274" s="289">
        <v>476</v>
      </c>
      <c r="K274" s="289">
        <v>100</v>
      </c>
      <c r="L274" s="289">
        <v>116</v>
      </c>
      <c r="M274" s="289">
        <v>945</v>
      </c>
      <c r="N274" s="290">
        <v>315</v>
      </c>
      <c r="O274" s="290">
        <v>133</v>
      </c>
      <c r="P274" s="624">
        <v>84413.311666669993</v>
      </c>
      <c r="Q274" s="624">
        <v>36919.365666669997</v>
      </c>
      <c r="R274" s="624">
        <v>56</v>
      </c>
      <c r="S274" s="289"/>
      <c r="T274" s="289">
        <v>1021</v>
      </c>
      <c r="U274" s="716">
        <v>1.3088283489076718E-3</v>
      </c>
      <c r="V274" s="289">
        <v>1890.1217554899999</v>
      </c>
      <c r="W274" s="743">
        <v>0.59687146999999996</v>
      </c>
      <c r="X274" s="289">
        <v>1500</v>
      </c>
      <c r="Y274" s="289">
        <v>414.28399999999999</v>
      </c>
      <c r="Z274" s="289">
        <v>395478</v>
      </c>
      <c r="AA274" s="289">
        <v>0</v>
      </c>
      <c r="AB274" s="290">
        <v>343</v>
      </c>
      <c r="AC274" s="289">
        <v>0</v>
      </c>
      <c r="AD274" s="289">
        <v>0</v>
      </c>
      <c r="AE274" s="289">
        <v>0</v>
      </c>
      <c r="AF274" s="289">
        <v>0</v>
      </c>
      <c r="AG274" s="289">
        <v>14182</v>
      </c>
      <c r="AH274" s="289">
        <v>2286.98313482</v>
      </c>
      <c r="AI274" s="289">
        <v>253</v>
      </c>
      <c r="AJ274" s="289">
        <v>0</v>
      </c>
      <c r="AK274" s="289">
        <v>4224.1880000000001</v>
      </c>
      <c r="AL274" s="289">
        <v>0</v>
      </c>
      <c r="AM274" s="836">
        <v>0.37683625999999998</v>
      </c>
      <c r="AN274" s="289">
        <v>6833</v>
      </c>
      <c r="AO274" s="289">
        <v>536.05172913000001</v>
      </c>
      <c r="AP274" s="289">
        <v>0</v>
      </c>
      <c r="AQ274" s="289">
        <v>0</v>
      </c>
      <c r="AR274" s="289">
        <v>-754.87524732999998</v>
      </c>
      <c r="AS274" s="289"/>
      <c r="AT274" s="289">
        <v>802</v>
      </c>
      <c r="AU274" s="289">
        <v>178</v>
      </c>
      <c r="AV274" s="625">
        <v>322023</v>
      </c>
      <c r="AW274" s="289"/>
      <c r="AX274" s="625">
        <v>105.46</v>
      </c>
      <c r="AY274" s="289">
        <v>2620</v>
      </c>
      <c r="AZ274" s="289">
        <v>531</v>
      </c>
      <c r="BA274" s="290">
        <v>312</v>
      </c>
      <c r="BB274" s="289">
        <v>0</v>
      </c>
      <c r="BC274" s="289">
        <v>2619.7275051000001</v>
      </c>
      <c r="BD274" s="289">
        <v>215.75505729770873</v>
      </c>
      <c r="BE274" s="289">
        <v>345895.04249222</v>
      </c>
      <c r="BF274" s="289">
        <v>0</v>
      </c>
      <c r="BG274" s="289">
        <v>-533.42150000000004</v>
      </c>
      <c r="BH274" s="289">
        <v>-40.043199999999999</v>
      </c>
      <c r="BI274" s="289">
        <v>2701.2671348200001</v>
      </c>
      <c r="BJ274" s="289">
        <v>0</v>
      </c>
      <c r="BK274" s="289">
        <v>0</v>
      </c>
      <c r="BL274" s="289">
        <v>0</v>
      </c>
      <c r="BM274" s="289">
        <v>0</v>
      </c>
      <c r="BN274" s="289">
        <v>958.47506654165716</v>
      </c>
      <c r="BO274" s="289">
        <v>572.84224432783719</v>
      </c>
      <c r="BP274" s="289">
        <v>1284.0530310730824</v>
      </c>
      <c r="BQ274" s="289">
        <v>169.88591968821578</v>
      </c>
      <c r="BR274" s="289">
        <v>14.623398327955815</v>
      </c>
      <c r="BS274" s="289">
        <v>3.101213516808079</v>
      </c>
      <c r="BT274" s="289">
        <v>0</v>
      </c>
      <c r="BU274" s="289">
        <v>0</v>
      </c>
      <c r="BV274" s="289">
        <v>11.910337975059814</v>
      </c>
      <c r="BW274" s="517"/>
      <c r="BX274" s="517"/>
      <c r="CA274" s="517"/>
      <c r="CB274" s="517"/>
    </row>
    <row r="275" spans="1:80" ht="13">
      <c r="A275" s="1">
        <v>3814</v>
      </c>
      <c r="B275" s="2" t="s">
        <v>910</v>
      </c>
      <c r="C275" s="289">
        <v>10406</v>
      </c>
      <c r="D275" s="289">
        <v>147</v>
      </c>
      <c r="E275" s="289">
        <v>373</v>
      </c>
      <c r="F275" s="289">
        <v>1118</v>
      </c>
      <c r="G275" s="289">
        <v>873</v>
      </c>
      <c r="H275" s="289">
        <v>5763</v>
      </c>
      <c r="I275" s="289">
        <v>1652</v>
      </c>
      <c r="J275" s="289">
        <v>467</v>
      </c>
      <c r="K275" s="289">
        <v>107</v>
      </c>
      <c r="L275" s="289">
        <v>87</v>
      </c>
      <c r="M275" s="289">
        <v>996</v>
      </c>
      <c r="N275" s="290">
        <v>215</v>
      </c>
      <c r="O275" s="290">
        <v>128</v>
      </c>
      <c r="P275" s="624">
        <v>47169.977666669998</v>
      </c>
      <c r="Q275" s="624">
        <v>30656.055333330001</v>
      </c>
      <c r="R275" s="624">
        <v>50</v>
      </c>
      <c r="S275" s="289"/>
      <c r="T275" s="289">
        <v>1040</v>
      </c>
      <c r="U275" s="716">
        <v>9.4304666340927295E-4</v>
      </c>
      <c r="V275" s="289">
        <v>-396.44755185000002</v>
      </c>
      <c r="W275" s="743">
        <v>0.59698821000000002</v>
      </c>
      <c r="X275" s="289">
        <v>2000</v>
      </c>
      <c r="Y275" s="289">
        <v>414.28399999999999</v>
      </c>
      <c r="Z275" s="289">
        <v>268676</v>
      </c>
      <c r="AA275" s="289">
        <v>0</v>
      </c>
      <c r="AB275" s="290">
        <v>294</v>
      </c>
      <c r="AC275" s="289">
        <v>0</v>
      </c>
      <c r="AD275" s="289">
        <v>0</v>
      </c>
      <c r="AE275" s="289">
        <v>0</v>
      </c>
      <c r="AF275" s="289">
        <v>0</v>
      </c>
      <c r="AG275" s="289">
        <v>10500</v>
      </c>
      <c r="AH275" s="289">
        <v>1495.60330006</v>
      </c>
      <c r="AI275" s="289">
        <v>287</v>
      </c>
      <c r="AJ275" s="289">
        <v>0</v>
      </c>
      <c r="AK275" s="289">
        <v>0</v>
      </c>
      <c r="AL275" s="289">
        <v>0</v>
      </c>
      <c r="AM275" s="836">
        <v>0.42351583999999998</v>
      </c>
      <c r="AN275" s="289">
        <v>12970</v>
      </c>
      <c r="AO275" s="289">
        <v>418.22582020999999</v>
      </c>
      <c r="AP275" s="289">
        <v>0</v>
      </c>
      <c r="AQ275" s="289">
        <v>0</v>
      </c>
      <c r="AR275" s="289">
        <v>717.72363213999995</v>
      </c>
      <c r="AS275" s="289"/>
      <c r="AT275" s="289">
        <v>630</v>
      </c>
      <c r="AU275" s="289">
        <v>140</v>
      </c>
      <c r="AV275" s="625">
        <v>285180</v>
      </c>
      <c r="AW275" s="289"/>
      <c r="AX275" s="625">
        <v>55.751666700000001</v>
      </c>
      <c r="AY275" s="289">
        <v>2089</v>
      </c>
      <c r="AZ275" s="289">
        <v>530</v>
      </c>
      <c r="BA275" s="290">
        <v>251</v>
      </c>
      <c r="BB275" s="289">
        <v>0</v>
      </c>
      <c r="BC275" s="289">
        <v>1903.8502525599999</v>
      </c>
      <c r="BD275" s="289">
        <v>191.66885738776597</v>
      </c>
      <c r="BE275" s="289">
        <v>291840.11152446002</v>
      </c>
      <c r="BF275" s="289">
        <v>0</v>
      </c>
      <c r="BG275" s="289">
        <v>-361.7022</v>
      </c>
      <c r="BH275" s="289">
        <v>-29.646999999999998</v>
      </c>
      <c r="BI275" s="289">
        <v>1909.8873000599999</v>
      </c>
      <c r="BJ275" s="289">
        <v>0</v>
      </c>
      <c r="BK275" s="289">
        <v>0</v>
      </c>
      <c r="BL275" s="289">
        <v>0</v>
      </c>
      <c r="BM275" s="289">
        <v>0</v>
      </c>
      <c r="BN275" s="289">
        <v>853.01566004546407</v>
      </c>
      <c r="BO275" s="289">
        <v>441.17509404192299</v>
      </c>
      <c r="BP275" s="289">
        <v>950.68092132755373</v>
      </c>
      <c r="BQ275" s="289">
        <v>122.40745691052356</v>
      </c>
      <c r="BR275" s="289">
        <v>12.990889222948582</v>
      </c>
      <c r="BS275" s="289">
        <v>2.3414865108986773</v>
      </c>
      <c r="BT275" s="289">
        <v>0</v>
      </c>
      <c r="BU275" s="289">
        <v>0</v>
      </c>
      <c r="BV275" s="289">
        <v>8.5817246370243847</v>
      </c>
      <c r="BW275" s="517"/>
      <c r="BX275" s="517"/>
      <c r="CA275" s="517"/>
      <c r="CB275" s="517"/>
    </row>
    <row r="276" spans="1:80" ht="13">
      <c r="A276" s="1">
        <v>3815</v>
      </c>
      <c r="B276" s="2" t="s">
        <v>911</v>
      </c>
      <c r="C276" s="289">
        <v>4080</v>
      </c>
      <c r="D276" s="289">
        <v>74</v>
      </c>
      <c r="E276" s="289">
        <v>154</v>
      </c>
      <c r="F276" s="289">
        <v>485</v>
      </c>
      <c r="G276" s="289">
        <v>379</v>
      </c>
      <c r="H276" s="289">
        <v>2222</v>
      </c>
      <c r="I276" s="289">
        <v>560</v>
      </c>
      <c r="J276" s="289">
        <v>159</v>
      </c>
      <c r="K276" s="289">
        <v>64</v>
      </c>
      <c r="L276" s="289">
        <v>35</v>
      </c>
      <c r="M276" s="289">
        <v>366</v>
      </c>
      <c r="N276" s="290">
        <v>31</v>
      </c>
      <c r="O276" s="290">
        <v>70</v>
      </c>
      <c r="P276" s="624">
        <v>52366.052000000003</v>
      </c>
      <c r="Q276" s="624">
        <v>19346.563999999998</v>
      </c>
      <c r="R276" s="624">
        <v>19</v>
      </c>
      <c r="S276" s="289"/>
      <c r="T276" s="289">
        <v>354</v>
      </c>
      <c r="U276" s="716">
        <v>2.1846568348856195E-3</v>
      </c>
      <c r="V276" s="289">
        <v>1883.9956485</v>
      </c>
      <c r="W276" s="743">
        <v>0.92696213999999999</v>
      </c>
      <c r="X276" s="289">
        <v>2000</v>
      </c>
      <c r="Y276" s="289">
        <v>828.56799999999998</v>
      </c>
      <c r="Z276" s="289">
        <v>91475</v>
      </c>
      <c r="AA276" s="289">
        <v>-1361.3103133300001</v>
      </c>
      <c r="AB276" s="290">
        <v>90</v>
      </c>
      <c r="AC276" s="289">
        <v>0</v>
      </c>
      <c r="AD276" s="289">
        <v>0</v>
      </c>
      <c r="AE276" s="289">
        <v>0</v>
      </c>
      <c r="AF276" s="289">
        <v>0</v>
      </c>
      <c r="AG276" s="289">
        <v>4097</v>
      </c>
      <c r="AH276" s="289">
        <v>651.92964361999998</v>
      </c>
      <c r="AI276" s="289">
        <v>218</v>
      </c>
      <c r="AJ276" s="289">
        <v>0</v>
      </c>
      <c r="AK276" s="289">
        <v>0</v>
      </c>
      <c r="AL276" s="289">
        <v>0</v>
      </c>
      <c r="AM276" s="836">
        <v>0.12847052</v>
      </c>
      <c r="AN276" s="289">
        <v>4658</v>
      </c>
      <c r="AO276" s="289">
        <v>179.74819160999999</v>
      </c>
      <c r="AP276" s="289">
        <v>0</v>
      </c>
      <c r="AQ276" s="289">
        <v>0</v>
      </c>
      <c r="AR276" s="289">
        <v>4635.5841368399997</v>
      </c>
      <c r="AS276" s="289"/>
      <c r="AT276" s="289">
        <v>228</v>
      </c>
      <c r="AU276" s="289">
        <v>45</v>
      </c>
      <c r="AV276" s="625">
        <v>139502</v>
      </c>
      <c r="AW276" s="289"/>
      <c r="AX276" s="625">
        <v>15.2666667</v>
      </c>
      <c r="AY276" s="289">
        <v>547</v>
      </c>
      <c r="AZ276" s="289">
        <v>211</v>
      </c>
      <c r="BA276" s="290">
        <v>95</v>
      </c>
      <c r="BB276" s="289">
        <v>0</v>
      </c>
      <c r="BC276" s="289">
        <v>-1593.0185536900001</v>
      </c>
      <c r="BD276" s="289">
        <v>61.400387070778081</v>
      </c>
      <c r="BE276" s="289">
        <v>138471.58762137001</v>
      </c>
      <c r="BF276" s="289">
        <v>0</v>
      </c>
      <c r="BG276" s="289">
        <v>-172.99940000000001</v>
      </c>
      <c r="BH276" s="289">
        <v>-11.568</v>
      </c>
      <c r="BI276" s="289">
        <v>119.18733028</v>
      </c>
      <c r="BJ276" s="289">
        <v>0</v>
      </c>
      <c r="BK276" s="289">
        <v>0</v>
      </c>
      <c r="BL276" s="289">
        <v>0</v>
      </c>
      <c r="BM276" s="289">
        <v>0</v>
      </c>
      <c r="BN276" s="289">
        <v>354.44173964411215</v>
      </c>
      <c r="BO276" s="289">
        <v>207.73964383244723</v>
      </c>
      <c r="BP276" s="289">
        <v>370.9466413979988</v>
      </c>
      <c r="BQ276" s="289">
        <v>283.56845716815337</v>
      </c>
      <c r="BR276" s="289">
        <v>4.1615817903527361</v>
      </c>
      <c r="BS276" s="289">
        <v>1.1482191250135596</v>
      </c>
      <c r="BT276" s="289">
        <v>0</v>
      </c>
      <c r="BU276" s="289">
        <v>0</v>
      </c>
      <c r="BV276" s="289">
        <v>19.880377197459136</v>
      </c>
      <c r="BW276" s="517"/>
      <c r="BX276" s="517"/>
      <c r="CA276" s="517"/>
      <c r="CB276" s="517"/>
    </row>
    <row r="277" spans="1:80" ht="13">
      <c r="A277" s="1">
        <v>3816</v>
      </c>
      <c r="B277" s="2" t="s">
        <v>912</v>
      </c>
      <c r="C277" s="289">
        <v>6538</v>
      </c>
      <c r="D277" s="289">
        <v>123</v>
      </c>
      <c r="E277" s="289">
        <v>248</v>
      </c>
      <c r="F277" s="289">
        <v>715</v>
      </c>
      <c r="G277" s="289">
        <v>617</v>
      </c>
      <c r="H277" s="289">
        <v>3606</v>
      </c>
      <c r="I277" s="289">
        <v>908</v>
      </c>
      <c r="J277" s="289">
        <v>272</v>
      </c>
      <c r="K277" s="289">
        <v>93</v>
      </c>
      <c r="L277" s="289">
        <v>58</v>
      </c>
      <c r="M277" s="289">
        <v>569</v>
      </c>
      <c r="N277" s="290">
        <v>174</v>
      </c>
      <c r="O277" s="290">
        <v>102</v>
      </c>
      <c r="P277" s="624">
        <v>18173.427333330001</v>
      </c>
      <c r="Q277" s="624">
        <v>16739.503333330002</v>
      </c>
      <c r="R277" s="624">
        <v>35</v>
      </c>
      <c r="S277" s="289"/>
      <c r="T277" s="289">
        <v>596</v>
      </c>
      <c r="U277" s="716">
        <v>3.0090185300018614E-3</v>
      </c>
      <c r="V277" s="289">
        <v>-408.03130069999997</v>
      </c>
      <c r="W277" s="743">
        <v>0.66428655000000003</v>
      </c>
      <c r="X277" s="289">
        <v>5000</v>
      </c>
      <c r="Y277" s="289">
        <v>0</v>
      </c>
      <c r="Z277" s="289">
        <v>161297</v>
      </c>
      <c r="AA277" s="289">
        <v>-2578.8557143100002</v>
      </c>
      <c r="AB277" s="290">
        <v>181</v>
      </c>
      <c r="AC277" s="289">
        <v>0</v>
      </c>
      <c r="AD277" s="289">
        <v>0</v>
      </c>
      <c r="AE277" s="289">
        <v>0</v>
      </c>
      <c r="AF277" s="289">
        <v>0</v>
      </c>
      <c r="AG277" s="289">
        <v>6582</v>
      </c>
      <c r="AH277" s="289">
        <v>1004.73862722</v>
      </c>
      <c r="AI277" s="289">
        <v>354</v>
      </c>
      <c r="AJ277" s="289">
        <v>0</v>
      </c>
      <c r="AK277" s="289">
        <v>0</v>
      </c>
      <c r="AL277" s="289">
        <v>0</v>
      </c>
      <c r="AM277" s="836">
        <v>0.19654542</v>
      </c>
      <c r="AN277" s="289">
        <v>6896</v>
      </c>
      <c r="AO277" s="289">
        <v>271.18461445999998</v>
      </c>
      <c r="AP277" s="289">
        <v>0</v>
      </c>
      <c r="AQ277" s="289">
        <v>0</v>
      </c>
      <c r="AR277" s="289">
        <v>-350.34472414999999</v>
      </c>
      <c r="AS277" s="289"/>
      <c r="AT277" s="289">
        <v>399</v>
      </c>
      <c r="AU277" s="289">
        <v>66</v>
      </c>
      <c r="AV277" s="625">
        <v>189549</v>
      </c>
      <c r="AW277" s="289"/>
      <c r="AX277" s="625">
        <v>58.111666649999997</v>
      </c>
      <c r="AY277" s="289">
        <v>1186</v>
      </c>
      <c r="AZ277" s="289">
        <v>326</v>
      </c>
      <c r="BA277" s="290">
        <v>143</v>
      </c>
      <c r="BB277" s="289">
        <v>0</v>
      </c>
      <c r="BC277" s="289">
        <v>-4028.3669252300001</v>
      </c>
      <c r="BD277" s="289">
        <v>114.51239198466665</v>
      </c>
      <c r="BE277" s="289">
        <v>194702.45067624</v>
      </c>
      <c r="BF277" s="289">
        <v>0</v>
      </c>
      <c r="BG277" s="289">
        <v>-232.79509999999999</v>
      </c>
      <c r="BH277" s="289">
        <v>-18.584399999999999</v>
      </c>
      <c r="BI277" s="289">
        <v>-1574.11708709</v>
      </c>
      <c r="BJ277" s="289">
        <v>0</v>
      </c>
      <c r="BK277" s="289">
        <v>0</v>
      </c>
      <c r="BL277" s="289">
        <v>0</v>
      </c>
      <c r="BM277" s="289">
        <v>0</v>
      </c>
      <c r="BN277" s="289">
        <v>547.81059397817182</v>
      </c>
      <c r="BO277" s="289">
        <v>277.70294840429648</v>
      </c>
      <c r="BP277" s="289">
        <v>595.94112611218645</v>
      </c>
      <c r="BQ277" s="289">
        <v>390.57060519424147</v>
      </c>
      <c r="BR277" s="289">
        <v>7.7613954567385166</v>
      </c>
      <c r="BS277" s="289">
        <v>1.5689038435819496</v>
      </c>
      <c r="BT277" s="289">
        <v>0</v>
      </c>
      <c r="BU277" s="289">
        <v>0</v>
      </c>
      <c r="BV277" s="289">
        <v>27.382068623016934</v>
      </c>
      <c r="BW277" s="517"/>
      <c r="BX277" s="517"/>
      <c r="CA277" s="517"/>
      <c r="CB277" s="517"/>
    </row>
    <row r="278" spans="1:80" ht="13">
      <c r="A278" s="1">
        <v>3818</v>
      </c>
      <c r="B278" s="2" t="s">
        <v>920</v>
      </c>
      <c r="C278" s="289">
        <v>5780</v>
      </c>
      <c r="D278" s="289">
        <v>66</v>
      </c>
      <c r="E278" s="289">
        <v>199</v>
      </c>
      <c r="F278" s="289">
        <v>638</v>
      </c>
      <c r="G278" s="289">
        <v>526</v>
      </c>
      <c r="H278" s="289">
        <v>3170</v>
      </c>
      <c r="I278" s="289">
        <v>859</v>
      </c>
      <c r="J278" s="289">
        <v>257</v>
      </c>
      <c r="K278" s="289">
        <v>76</v>
      </c>
      <c r="L278" s="289">
        <v>52</v>
      </c>
      <c r="M278" s="289">
        <v>561</v>
      </c>
      <c r="N278" s="290">
        <v>94</v>
      </c>
      <c r="O278" s="290">
        <v>82</v>
      </c>
      <c r="P278" s="624">
        <v>35621.139000000003</v>
      </c>
      <c r="Q278" s="624">
        <v>15309.15766667</v>
      </c>
      <c r="R278" s="624">
        <v>25</v>
      </c>
      <c r="S278" s="289"/>
      <c r="T278" s="289">
        <v>595</v>
      </c>
      <c r="U278" s="716">
        <v>2.3322289402119803E-3</v>
      </c>
      <c r="V278" s="289">
        <v>-1608.07110676</v>
      </c>
      <c r="W278" s="743">
        <v>0.79701544999999996</v>
      </c>
      <c r="X278" s="289">
        <v>0</v>
      </c>
      <c r="Y278" s="289">
        <v>414.28399999999999</v>
      </c>
      <c r="Z278" s="289">
        <v>205109</v>
      </c>
      <c r="AA278" s="289">
        <v>0</v>
      </c>
      <c r="AB278" s="290">
        <v>170</v>
      </c>
      <c r="AC278" s="289">
        <v>0</v>
      </c>
      <c r="AD278" s="289">
        <v>0</v>
      </c>
      <c r="AE278" s="289">
        <v>0</v>
      </c>
      <c r="AF278" s="289">
        <v>0</v>
      </c>
      <c r="AG278" s="289">
        <v>5791</v>
      </c>
      <c r="AH278" s="289">
        <v>855.52692268999999</v>
      </c>
      <c r="AI278" s="289">
        <v>150</v>
      </c>
      <c r="AJ278" s="289">
        <v>0</v>
      </c>
      <c r="AK278" s="289">
        <v>77.864999999999995</v>
      </c>
      <c r="AL278" s="289">
        <v>0</v>
      </c>
      <c r="AM278" s="836">
        <v>0.12088274</v>
      </c>
      <c r="AN278" s="289">
        <v>7776</v>
      </c>
      <c r="AO278" s="289">
        <v>238.78027159999999</v>
      </c>
      <c r="AP278" s="289">
        <v>0</v>
      </c>
      <c r="AQ278" s="289">
        <v>0</v>
      </c>
      <c r="AR278" s="289">
        <v>15075.88243899</v>
      </c>
      <c r="AS278" s="289"/>
      <c r="AT278" s="289">
        <v>282</v>
      </c>
      <c r="AU278" s="289">
        <v>50</v>
      </c>
      <c r="AV278" s="625">
        <v>181275</v>
      </c>
      <c r="AW278" s="289"/>
      <c r="AX278" s="625">
        <v>22.074999949999999</v>
      </c>
      <c r="AY278" s="289">
        <v>986</v>
      </c>
      <c r="AZ278" s="289">
        <v>294</v>
      </c>
      <c r="BA278" s="290">
        <v>143</v>
      </c>
      <c r="BB278" s="289">
        <v>0</v>
      </c>
      <c r="BC278" s="289">
        <v>1272.9267878999999</v>
      </c>
      <c r="BD278" s="289">
        <v>97.186092054699472</v>
      </c>
      <c r="BE278" s="289">
        <v>170269.84264597</v>
      </c>
      <c r="BF278" s="289">
        <v>0</v>
      </c>
      <c r="BG278" s="289">
        <v>-212.3749</v>
      </c>
      <c r="BH278" s="289">
        <v>-16.350999999999999</v>
      </c>
      <c r="BI278" s="289">
        <v>1269.8109226900001</v>
      </c>
      <c r="BJ278" s="289">
        <v>0</v>
      </c>
      <c r="BK278" s="289">
        <v>0</v>
      </c>
      <c r="BL278" s="289">
        <v>0</v>
      </c>
      <c r="BM278" s="289">
        <v>0</v>
      </c>
      <c r="BN278" s="289">
        <v>489.12561732303539</v>
      </c>
      <c r="BO278" s="289">
        <v>259.99918560446577</v>
      </c>
      <c r="BP278" s="289">
        <v>524.32316337217753</v>
      </c>
      <c r="BQ278" s="289">
        <v>302.72331643951497</v>
      </c>
      <c r="BR278" s="289">
        <v>6.5870573503740761</v>
      </c>
      <c r="BS278" s="289">
        <v>1.4489446490468854</v>
      </c>
      <c r="BT278" s="289">
        <v>0</v>
      </c>
      <c r="BU278" s="289">
        <v>0</v>
      </c>
      <c r="BV278" s="289">
        <v>21.223283355929016</v>
      </c>
      <c r="BW278" s="517"/>
      <c r="BX278" s="517"/>
      <c r="CA278" s="517"/>
      <c r="CB278" s="517"/>
    </row>
    <row r="279" spans="1:80" ht="13">
      <c r="A279" s="1">
        <v>3819</v>
      </c>
      <c r="B279" s="2" t="s">
        <v>921</v>
      </c>
      <c r="C279" s="289">
        <v>1572</v>
      </c>
      <c r="D279" s="289">
        <v>30</v>
      </c>
      <c r="E279" s="289">
        <v>62</v>
      </c>
      <c r="F279" s="289">
        <v>191</v>
      </c>
      <c r="G279" s="289">
        <v>145</v>
      </c>
      <c r="H279" s="289">
        <v>809</v>
      </c>
      <c r="I279" s="289">
        <v>237</v>
      </c>
      <c r="J279" s="289">
        <v>87</v>
      </c>
      <c r="K279" s="289">
        <v>24</v>
      </c>
      <c r="L279" s="289">
        <v>13</v>
      </c>
      <c r="M279" s="289">
        <v>173</v>
      </c>
      <c r="N279" s="290">
        <v>1.5</v>
      </c>
      <c r="O279" s="290">
        <v>26</v>
      </c>
      <c r="P279" s="624">
        <v>16323.240666670001</v>
      </c>
      <c r="Q279" s="624">
        <v>6773.6563333300001</v>
      </c>
      <c r="R279" s="624">
        <v>8</v>
      </c>
      <c r="S279" s="289"/>
      <c r="T279" s="289">
        <v>119</v>
      </c>
      <c r="U279" s="716">
        <v>2.0106807094712373E-3</v>
      </c>
      <c r="V279" s="289">
        <v>821.75308418999998</v>
      </c>
      <c r="W279" s="743">
        <v>0.88485933000000005</v>
      </c>
      <c r="X279" s="289">
        <v>1000</v>
      </c>
      <c r="Y279" s="289">
        <v>318.68</v>
      </c>
      <c r="Z279" s="289">
        <v>48046</v>
      </c>
      <c r="AA279" s="289">
        <v>-642.55059220999999</v>
      </c>
      <c r="AB279" s="290">
        <v>42</v>
      </c>
      <c r="AC279" s="289">
        <v>0</v>
      </c>
      <c r="AD279" s="289">
        <v>0</v>
      </c>
      <c r="AE279" s="289">
        <v>0</v>
      </c>
      <c r="AF279" s="289">
        <v>0</v>
      </c>
      <c r="AG279" s="289">
        <v>1585</v>
      </c>
      <c r="AH279" s="289">
        <v>253.10209692999999</v>
      </c>
      <c r="AI279" s="289">
        <v>181</v>
      </c>
      <c r="AJ279" s="289">
        <v>0</v>
      </c>
      <c r="AK279" s="289">
        <v>0</v>
      </c>
      <c r="AL279" s="289">
        <v>0</v>
      </c>
      <c r="AM279" s="836">
        <v>1.140648E-2</v>
      </c>
      <c r="AN279" s="289">
        <v>0</v>
      </c>
      <c r="AO279" s="289">
        <v>78.401789809999997</v>
      </c>
      <c r="AP279" s="289">
        <v>0</v>
      </c>
      <c r="AQ279" s="289">
        <v>0</v>
      </c>
      <c r="AR279" s="289">
        <v>-84.365905159999997</v>
      </c>
      <c r="AS279" s="289"/>
      <c r="AT279" s="289">
        <v>57</v>
      </c>
      <c r="AU279" s="289">
        <v>8</v>
      </c>
      <c r="AV279" s="625">
        <v>65198</v>
      </c>
      <c r="AW279" s="289"/>
      <c r="AX279" s="625">
        <v>7.6333333000000003</v>
      </c>
      <c r="AY279" s="289">
        <v>249</v>
      </c>
      <c r="AZ279" s="289">
        <v>63</v>
      </c>
      <c r="BA279" s="290">
        <v>19</v>
      </c>
      <c r="BB279" s="289">
        <v>3419</v>
      </c>
      <c r="BC279" s="289">
        <v>-692.03336781999997</v>
      </c>
      <c r="BD279" s="289">
        <v>19.052643090448591</v>
      </c>
      <c r="BE279" s="289">
        <v>67360.978199660007</v>
      </c>
      <c r="BF279" s="289">
        <v>0</v>
      </c>
      <c r="BG279" s="289">
        <v>-71.696200000000005</v>
      </c>
      <c r="BH279" s="289">
        <v>-4.4752999999999998</v>
      </c>
      <c r="BI279" s="289">
        <v>-70.768495279999996</v>
      </c>
      <c r="BJ279" s="289">
        <v>0</v>
      </c>
      <c r="BK279" s="289">
        <v>0</v>
      </c>
      <c r="BL279" s="289">
        <v>0</v>
      </c>
      <c r="BM279" s="289">
        <v>0</v>
      </c>
      <c r="BN279" s="289">
        <v>159.34210614306255</v>
      </c>
      <c r="BO279" s="289">
        <v>99.351314085883502</v>
      </c>
      <c r="BP279" s="289">
        <v>143.5075486003974</v>
      </c>
      <c r="BQ279" s="289">
        <v>260.98635608936661</v>
      </c>
      <c r="BR279" s="289">
        <v>1.291345809463738</v>
      </c>
      <c r="BS279" s="289">
        <v>0.61982930173309503</v>
      </c>
      <c r="BT279" s="289">
        <v>0</v>
      </c>
      <c r="BU279" s="289">
        <v>0</v>
      </c>
      <c r="BV279" s="289">
        <v>18.297194456188254</v>
      </c>
      <c r="BW279" s="517"/>
      <c r="BX279" s="517"/>
      <c r="CA279" s="517"/>
      <c r="CB279" s="517"/>
    </row>
    <row r="280" spans="1:80" ht="13">
      <c r="A280" s="1">
        <v>3820</v>
      </c>
      <c r="B280" s="2" t="s">
        <v>922</v>
      </c>
      <c r="C280" s="289">
        <v>2934</v>
      </c>
      <c r="D280" s="289">
        <v>42</v>
      </c>
      <c r="E280" s="289">
        <v>110</v>
      </c>
      <c r="F280" s="289">
        <v>379</v>
      </c>
      <c r="G280" s="289">
        <v>221</v>
      </c>
      <c r="H280" s="289">
        <v>1603</v>
      </c>
      <c r="I280" s="289">
        <v>421</v>
      </c>
      <c r="J280" s="289">
        <v>125</v>
      </c>
      <c r="K280" s="289">
        <v>33</v>
      </c>
      <c r="L280" s="289">
        <v>28</v>
      </c>
      <c r="M280" s="289">
        <v>273</v>
      </c>
      <c r="N280" s="290">
        <v>31</v>
      </c>
      <c r="O280" s="290">
        <v>37</v>
      </c>
      <c r="P280" s="624">
        <v>24055.028666670001</v>
      </c>
      <c r="Q280" s="624">
        <v>13482.141</v>
      </c>
      <c r="R280" s="624">
        <v>13</v>
      </c>
      <c r="S280" s="289"/>
      <c r="T280" s="289">
        <v>239</v>
      </c>
      <c r="U280" s="716">
        <v>1.8289194082248448E-3</v>
      </c>
      <c r="V280" s="289">
        <v>1358.8537233300001</v>
      </c>
      <c r="W280" s="743">
        <v>0.82546012999999996</v>
      </c>
      <c r="X280" s="289">
        <v>2000</v>
      </c>
      <c r="Y280" s="289">
        <v>414.28399999999999</v>
      </c>
      <c r="Z280" s="289">
        <v>79899</v>
      </c>
      <c r="AA280" s="289">
        <v>0</v>
      </c>
      <c r="AB280" s="290">
        <v>58</v>
      </c>
      <c r="AC280" s="289">
        <v>0</v>
      </c>
      <c r="AD280" s="289">
        <v>0</v>
      </c>
      <c r="AE280" s="289">
        <v>0</v>
      </c>
      <c r="AF280" s="289">
        <v>0</v>
      </c>
      <c r="AG280" s="289">
        <v>2934</v>
      </c>
      <c r="AH280" s="289">
        <v>456.69937600999998</v>
      </c>
      <c r="AI280" s="289">
        <v>287</v>
      </c>
      <c r="AJ280" s="289">
        <v>0</v>
      </c>
      <c r="AK280" s="289">
        <v>0</v>
      </c>
      <c r="AL280" s="289">
        <v>0</v>
      </c>
      <c r="AM280" s="836">
        <v>3.7367740000000003E-2</v>
      </c>
      <c r="AN280" s="289">
        <v>0</v>
      </c>
      <c r="AO280" s="289">
        <v>129.64546899000001</v>
      </c>
      <c r="AP280" s="289">
        <v>0</v>
      </c>
      <c r="AQ280" s="289">
        <v>0</v>
      </c>
      <c r="AR280" s="289">
        <v>-46.080172920000003</v>
      </c>
      <c r="AS280" s="289"/>
      <c r="AT280" s="289">
        <v>133</v>
      </c>
      <c r="AU280" s="289">
        <v>20</v>
      </c>
      <c r="AV280" s="625">
        <v>101011</v>
      </c>
      <c r="AW280" s="289"/>
      <c r="AX280" s="625">
        <v>9.9233333500000001</v>
      </c>
      <c r="AY280" s="289">
        <v>605</v>
      </c>
      <c r="AZ280" s="289">
        <v>123</v>
      </c>
      <c r="BA280" s="290">
        <v>44</v>
      </c>
      <c r="BB280" s="289">
        <v>5698</v>
      </c>
      <c r="BC280" s="289">
        <v>866.28132324000001</v>
      </c>
      <c r="BD280" s="289">
        <v>38.590689894115464</v>
      </c>
      <c r="BE280" s="289">
        <v>104134.45446568</v>
      </c>
      <c r="BF280" s="289">
        <v>0</v>
      </c>
      <c r="BG280" s="289">
        <v>-130.46889999999999</v>
      </c>
      <c r="BH280" s="289">
        <v>-8.2842000000000002</v>
      </c>
      <c r="BI280" s="289">
        <v>870.98337601000003</v>
      </c>
      <c r="BJ280" s="289">
        <v>0</v>
      </c>
      <c r="BK280" s="289">
        <v>0</v>
      </c>
      <c r="BL280" s="289">
        <v>0</v>
      </c>
      <c r="BM280" s="289">
        <v>0</v>
      </c>
      <c r="BN280" s="289">
        <v>251.62231445245999</v>
      </c>
      <c r="BO280" s="289">
        <v>150.42086430539553</v>
      </c>
      <c r="BP280" s="289">
        <v>265.64741173095643</v>
      </c>
      <c r="BQ280" s="289">
        <v>237.39373918758486</v>
      </c>
      <c r="BR280" s="289">
        <v>2.6155912039344926</v>
      </c>
      <c r="BS280" s="289">
        <v>0.87533780418599461</v>
      </c>
      <c r="BT280" s="289">
        <v>0</v>
      </c>
      <c r="BU280" s="289">
        <v>0</v>
      </c>
      <c r="BV280" s="289">
        <v>16.643166614846084</v>
      </c>
      <c r="BW280" s="517"/>
      <c r="BX280" s="517"/>
      <c r="CA280" s="517"/>
      <c r="CB280" s="517"/>
    </row>
    <row r="281" spans="1:80" ht="13">
      <c r="A281" s="1">
        <v>3821</v>
      </c>
      <c r="B281" s="2" t="s">
        <v>923</v>
      </c>
      <c r="C281" s="289">
        <v>2403</v>
      </c>
      <c r="D281" s="289">
        <v>39</v>
      </c>
      <c r="E281" s="289">
        <v>81</v>
      </c>
      <c r="F281" s="289">
        <v>221</v>
      </c>
      <c r="G281" s="289">
        <v>204</v>
      </c>
      <c r="H281" s="289">
        <v>1380</v>
      </c>
      <c r="I281" s="289">
        <v>329</v>
      </c>
      <c r="J281" s="289">
        <v>117</v>
      </c>
      <c r="K281" s="289">
        <v>27</v>
      </c>
      <c r="L281" s="289">
        <v>24</v>
      </c>
      <c r="M281" s="289">
        <v>207</v>
      </c>
      <c r="N281" s="290">
        <v>17</v>
      </c>
      <c r="O281" s="290">
        <v>11</v>
      </c>
      <c r="P281" s="624">
        <v>19218.948333330001</v>
      </c>
      <c r="Q281" s="624">
        <v>10508.748333330001</v>
      </c>
      <c r="R281" s="624">
        <v>19</v>
      </c>
      <c r="S281" s="289"/>
      <c r="T281" s="289">
        <v>250</v>
      </c>
      <c r="U281" s="716">
        <v>1.8838410544711236E-3</v>
      </c>
      <c r="V281" s="289">
        <v>1101.7279944700001</v>
      </c>
      <c r="W281" s="743">
        <v>0.86705708000000004</v>
      </c>
      <c r="X281" s="289">
        <v>1500</v>
      </c>
      <c r="Y281" s="289">
        <v>414.28399999999999</v>
      </c>
      <c r="Z281" s="289">
        <v>65310</v>
      </c>
      <c r="AA281" s="289">
        <v>0</v>
      </c>
      <c r="AB281" s="290">
        <v>43</v>
      </c>
      <c r="AC281" s="289">
        <v>0</v>
      </c>
      <c r="AD281" s="289">
        <v>0</v>
      </c>
      <c r="AE281" s="289">
        <v>0</v>
      </c>
      <c r="AF281" s="289">
        <v>0</v>
      </c>
      <c r="AG281" s="289">
        <v>2398</v>
      </c>
      <c r="AH281" s="289">
        <v>326.31344729</v>
      </c>
      <c r="AI281" s="289">
        <v>1963</v>
      </c>
      <c r="AJ281" s="289">
        <v>0</v>
      </c>
      <c r="AK281" s="289">
        <v>0</v>
      </c>
      <c r="AL281" s="289">
        <v>0</v>
      </c>
      <c r="AM281" s="836">
        <v>2.8456510000000001E-2</v>
      </c>
      <c r="AN281" s="289">
        <v>0</v>
      </c>
      <c r="AO281" s="289">
        <v>105.11362635</v>
      </c>
      <c r="AP281" s="289">
        <v>0</v>
      </c>
      <c r="AQ281" s="289">
        <v>0</v>
      </c>
      <c r="AR281" s="289">
        <v>3607.5873843099998</v>
      </c>
      <c r="AS281" s="289"/>
      <c r="AT281" s="289">
        <v>109</v>
      </c>
      <c r="AU281" s="289">
        <v>20</v>
      </c>
      <c r="AV281" s="625">
        <v>86303</v>
      </c>
      <c r="AW281" s="289"/>
      <c r="AX281" s="625">
        <v>12.88666665</v>
      </c>
      <c r="AY281" s="289">
        <v>516</v>
      </c>
      <c r="AZ281" s="289">
        <v>75</v>
      </c>
      <c r="BA281" s="290">
        <v>23</v>
      </c>
      <c r="BB281" s="289">
        <v>5698</v>
      </c>
      <c r="BC281" s="289">
        <v>737.15156565999996</v>
      </c>
      <c r="BD281" s="289">
        <v>34.414638500098221</v>
      </c>
      <c r="BE281" s="289">
        <v>84892.035585449994</v>
      </c>
      <c r="BF281" s="289">
        <v>0</v>
      </c>
      <c r="BG281" s="289">
        <v>-80.553200000000004</v>
      </c>
      <c r="BH281" s="289">
        <v>-6.7708000000000004</v>
      </c>
      <c r="BI281" s="289">
        <v>740.59744728999999</v>
      </c>
      <c r="BJ281" s="289">
        <v>0</v>
      </c>
      <c r="BK281" s="289">
        <v>0</v>
      </c>
      <c r="BL281" s="289">
        <v>0</v>
      </c>
      <c r="BM281" s="289">
        <v>0</v>
      </c>
      <c r="BN281" s="289">
        <v>232.84525606965573</v>
      </c>
      <c r="BO281" s="289">
        <v>127.90101565360911</v>
      </c>
      <c r="BP281" s="289">
        <v>217.11741422318798</v>
      </c>
      <c r="BQ281" s="289">
        <v>244.52256887035179</v>
      </c>
      <c r="BR281" s="289">
        <v>2.3325477205622129</v>
      </c>
      <c r="BS281" s="289">
        <v>0.78035393996539837</v>
      </c>
      <c r="BT281" s="289">
        <v>0</v>
      </c>
      <c r="BU281" s="289">
        <v>0</v>
      </c>
      <c r="BV281" s="289">
        <v>17.142953595687217</v>
      </c>
      <c r="BW281" s="517"/>
      <c r="BX281" s="517"/>
      <c r="CA281" s="517"/>
      <c r="CB281" s="517"/>
    </row>
    <row r="282" spans="1:80" ht="13">
      <c r="A282" s="1">
        <v>3822</v>
      </c>
      <c r="B282" s="2" t="s">
        <v>924</v>
      </c>
      <c r="C282" s="289">
        <v>1476</v>
      </c>
      <c r="D282" s="289">
        <v>26</v>
      </c>
      <c r="E282" s="289">
        <v>70</v>
      </c>
      <c r="F282" s="289">
        <v>181</v>
      </c>
      <c r="G282" s="289">
        <v>107</v>
      </c>
      <c r="H282" s="289">
        <v>825</v>
      </c>
      <c r="I282" s="289">
        <v>198</v>
      </c>
      <c r="J282" s="289">
        <v>61</v>
      </c>
      <c r="K282" s="289">
        <v>16</v>
      </c>
      <c r="L282" s="289">
        <v>10</v>
      </c>
      <c r="M282" s="289">
        <v>122</v>
      </c>
      <c r="N282" s="290">
        <v>1.5</v>
      </c>
      <c r="O282" s="290">
        <v>24</v>
      </c>
      <c r="P282" s="624">
        <v>14973.098666669999</v>
      </c>
      <c r="Q282" s="624">
        <v>10353.347</v>
      </c>
      <c r="R282" s="624">
        <v>9</v>
      </c>
      <c r="S282" s="289"/>
      <c r="T282" s="289">
        <v>120</v>
      </c>
      <c r="U282" s="716">
        <v>9.5761649269785279E-4</v>
      </c>
      <c r="V282" s="289">
        <v>776.63047778999999</v>
      </c>
      <c r="W282" s="743">
        <v>1</v>
      </c>
      <c r="X282" s="289">
        <v>0</v>
      </c>
      <c r="Y282" s="289">
        <v>414.28399999999999</v>
      </c>
      <c r="Z282" s="289">
        <v>43819</v>
      </c>
      <c r="AA282" s="289">
        <v>0</v>
      </c>
      <c r="AB282" s="290">
        <v>32</v>
      </c>
      <c r="AC282" s="289">
        <v>0</v>
      </c>
      <c r="AD282" s="289">
        <v>0</v>
      </c>
      <c r="AE282" s="289">
        <v>0</v>
      </c>
      <c r="AF282" s="289">
        <v>0</v>
      </c>
      <c r="AG282" s="289">
        <v>1484</v>
      </c>
      <c r="AH282" s="289">
        <v>232.18456825999999</v>
      </c>
      <c r="AI282" s="289">
        <v>150</v>
      </c>
      <c r="AJ282" s="289">
        <v>0</v>
      </c>
      <c r="AK282" s="289">
        <v>0</v>
      </c>
      <c r="AL282" s="289">
        <v>0</v>
      </c>
      <c r="AM282" s="836">
        <v>2.7134289999999998E-2</v>
      </c>
      <c r="AN282" s="289">
        <v>0</v>
      </c>
      <c r="AO282" s="289">
        <v>74.096733740000005</v>
      </c>
      <c r="AP282" s="289">
        <v>0</v>
      </c>
      <c r="AQ282" s="289">
        <v>0</v>
      </c>
      <c r="AR282" s="289">
        <v>-78.989907419999994</v>
      </c>
      <c r="AS282" s="289"/>
      <c r="AT282" s="289">
        <v>94</v>
      </c>
      <c r="AU282" s="289">
        <v>10</v>
      </c>
      <c r="AV282" s="625">
        <v>61931</v>
      </c>
      <c r="AW282" s="289"/>
      <c r="AX282" s="625">
        <v>9.3016666499999996</v>
      </c>
      <c r="AY282" s="289">
        <v>286</v>
      </c>
      <c r="AZ282" s="289">
        <v>64</v>
      </c>
      <c r="BA282" s="290">
        <v>21</v>
      </c>
      <c r="BB282" s="289">
        <v>5130</v>
      </c>
      <c r="BC282" s="289">
        <v>628.41071718000001</v>
      </c>
      <c r="BD282" s="289">
        <v>19.193339094463532</v>
      </c>
      <c r="BE282" s="289">
        <v>65714.350629880006</v>
      </c>
      <c r="BF282" s="289">
        <v>0</v>
      </c>
      <c r="BG282" s="289">
        <v>-70.8626</v>
      </c>
      <c r="BH282" s="289">
        <v>-4.1901000000000002</v>
      </c>
      <c r="BI282" s="289">
        <v>646.46856825999998</v>
      </c>
      <c r="BJ282" s="289">
        <v>0</v>
      </c>
      <c r="BK282" s="289">
        <v>0</v>
      </c>
      <c r="BL282" s="289">
        <v>0</v>
      </c>
      <c r="BM282" s="289">
        <v>0</v>
      </c>
      <c r="BN282" s="289">
        <v>135.04715064152472</v>
      </c>
      <c r="BO282" s="289">
        <v>97.97530978330343</v>
      </c>
      <c r="BP282" s="289">
        <v>134.36290354762758</v>
      </c>
      <c r="BQ282" s="289">
        <v>124.29862075218126</v>
      </c>
      <c r="BR282" s="289">
        <v>1.3008818719580841</v>
      </c>
      <c r="BS282" s="289">
        <v>0.63811312166871603</v>
      </c>
      <c r="BT282" s="289">
        <v>0</v>
      </c>
      <c r="BU282" s="289">
        <v>0</v>
      </c>
      <c r="BV282" s="289">
        <v>8.7143100835504583</v>
      </c>
      <c r="BW282" s="517"/>
      <c r="BX282" s="517"/>
      <c r="CA282" s="517"/>
      <c r="CB282" s="517"/>
    </row>
    <row r="283" spans="1:80" ht="13">
      <c r="A283" s="1">
        <v>3823</v>
      </c>
      <c r="B283" s="2" t="s">
        <v>925</v>
      </c>
      <c r="C283" s="289">
        <v>1286</v>
      </c>
      <c r="D283" s="289">
        <v>14</v>
      </c>
      <c r="E283" s="289">
        <v>46</v>
      </c>
      <c r="F283" s="289">
        <v>184</v>
      </c>
      <c r="G283" s="289">
        <v>107</v>
      </c>
      <c r="H283" s="289">
        <v>721</v>
      </c>
      <c r="I283" s="289">
        <v>181</v>
      </c>
      <c r="J283" s="289">
        <v>53</v>
      </c>
      <c r="K283" s="289">
        <v>13</v>
      </c>
      <c r="L283" s="289">
        <v>12</v>
      </c>
      <c r="M283" s="289">
        <v>123</v>
      </c>
      <c r="N283" s="290">
        <v>4</v>
      </c>
      <c r="O283" s="290">
        <v>26</v>
      </c>
      <c r="P283" s="624">
        <v>9194.5503333300003</v>
      </c>
      <c r="Q283" s="624">
        <v>6870.9336666700001</v>
      </c>
      <c r="R283" s="624">
        <v>6</v>
      </c>
      <c r="S283" s="289"/>
      <c r="T283" s="289">
        <v>114</v>
      </c>
      <c r="U283" s="716">
        <v>1.42789611233703E-3</v>
      </c>
      <c r="V283" s="289">
        <v>706.37500709000005</v>
      </c>
      <c r="W283" s="743">
        <v>1</v>
      </c>
      <c r="X283" s="289">
        <v>0</v>
      </c>
      <c r="Y283" s="289">
        <v>265.22399999999999</v>
      </c>
      <c r="Z283" s="289">
        <v>35476</v>
      </c>
      <c r="AA283" s="289">
        <v>0</v>
      </c>
      <c r="AB283" s="290">
        <v>23</v>
      </c>
      <c r="AC283" s="289">
        <v>0</v>
      </c>
      <c r="AD283" s="289">
        <v>0</v>
      </c>
      <c r="AE283" s="289">
        <v>0</v>
      </c>
      <c r="AF283" s="289">
        <v>0</v>
      </c>
      <c r="AG283" s="289">
        <v>1319</v>
      </c>
      <c r="AH283" s="289">
        <v>214.75329436999999</v>
      </c>
      <c r="AI283" s="289">
        <v>150</v>
      </c>
      <c r="AJ283" s="289">
        <v>0</v>
      </c>
      <c r="AK283" s="289">
        <v>1.901</v>
      </c>
      <c r="AL283" s="289">
        <v>0</v>
      </c>
      <c r="AM283" s="836">
        <v>3.393939E-2</v>
      </c>
      <c r="AN283" s="289">
        <v>0</v>
      </c>
      <c r="AO283" s="289">
        <v>67.393802219999998</v>
      </c>
      <c r="AP283" s="289">
        <v>0</v>
      </c>
      <c r="AQ283" s="289">
        <v>0</v>
      </c>
      <c r="AR283" s="289">
        <v>-70.207336850000004</v>
      </c>
      <c r="AS283" s="289"/>
      <c r="AT283" s="289">
        <v>56</v>
      </c>
      <c r="AU283" s="289">
        <v>12</v>
      </c>
      <c r="AV283" s="625">
        <v>60209</v>
      </c>
      <c r="AW283" s="289"/>
      <c r="AX283" s="625">
        <v>4.6066666999999999</v>
      </c>
      <c r="AY283" s="289">
        <v>272</v>
      </c>
      <c r="AZ283" s="289">
        <v>88</v>
      </c>
      <c r="BA283" s="290">
        <v>44</v>
      </c>
      <c r="BB283" s="289">
        <v>5698</v>
      </c>
      <c r="BC283" s="289">
        <v>466.55267677000001</v>
      </c>
      <c r="BD283" s="289">
        <v>17.998138434042218</v>
      </c>
      <c r="BE283" s="289">
        <v>61541.878337590002</v>
      </c>
      <c r="BF283" s="289">
        <v>0</v>
      </c>
      <c r="BG283" s="289">
        <v>-69.490200000000002</v>
      </c>
      <c r="BH283" s="289">
        <v>-3.7242000000000002</v>
      </c>
      <c r="BI283" s="289">
        <v>479.97729436999998</v>
      </c>
      <c r="BJ283" s="289">
        <v>0</v>
      </c>
      <c r="BK283" s="289">
        <v>0</v>
      </c>
      <c r="BL283" s="289">
        <v>0</v>
      </c>
      <c r="BM283" s="289">
        <v>0</v>
      </c>
      <c r="BN283" s="289">
        <v>119.23894317360018</v>
      </c>
      <c r="BO283" s="289">
        <v>88.420244194260022</v>
      </c>
      <c r="BP283" s="289">
        <v>119.42363192676603</v>
      </c>
      <c r="BQ283" s="289">
        <v>185.34091538134646</v>
      </c>
      <c r="BR283" s="289">
        <v>1.2198738271961946</v>
      </c>
      <c r="BS283" s="289">
        <v>0.6038993201376881</v>
      </c>
      <c r="BT283" s="289">
        <v>0</v>
      </c>
      <c r="BU283" s="289">
        <v>0</v>
      </c>
      <c r="BV283" s="289">
        <v>12.993854622266969</v>
      </c>
      <c r="BW283" s="517"/>
      <c r="BX283" s="517"/>
      <c r="CA283" s="517"/>
      <c r="CB283" s="517"/>
    </row>
    <row r="284" spans="1:80" ht="13">
      <c r="A284" s="1">
        <v>3824</v>
      </c>
      <c r="B284" s="2" t="s">
        <v>926</v>
      </c>
      <c r="C284" s="289">
        <v>2228</v>
      </c>
      <c r="D284" s="289">
        <v>37</v>
      </c>
      <c r="E284" s="289">
        <v>82</v>
      </c>
      <c r="F284" s="289">
        <v>257</v>
      </c>
      <c r="G284" s="289">
        <v>216</v>
      </c>
      <c r="H284" s="289">
        <v>1213</v>
      </c>
      <c r="I284" s="289">
        <v>290</v>
      </c>
      <c r="J284" s="289">
        <v>112</v>
      </c>
      <c r="K284" s="289">
        <v>31</v>
      </c>
      <c r="L284" s="289">
        <v>21</v>
      </c>
      <c r="M284" s="289">
        <v>218</v>
      </c>
      <c r="N284" s="290">
        <v>17</v>
      </c>
      <c r="O284" s="290">
        <v>29</v>
      </c>
      <c r="P284" s="624">
        <v>21599.802666669999</v>
      </c>
      <c r="Q284" s="624">
        <v>8819.7756666700006</v>
      </c>
      <c r="R284" s="624">
        <v>8</v>
      </c>
      <c r="S284" s="289"/>
      <c r="T284" s="289">
        <v>194</v>
      </c>
      <c r="U284" s="716">
        <v>1.882864156788231E-3</v>
      </c>
      <c r="V284" s="289">
        <v>1065.6417253499999</v>
      </c>
      <c r="W284" s="743">
        <v>0.98175025999999999</v>
      </c>
      <c r="X284" s="289">
        <v>0</v>
      </c>
      <c r="Y284" s="289">
        <v>0</v>
      </c>
      <c r="Z284" s="289">
        <v>83047</v>
      </c>
      <c r="AA284" s="289">
        <v>0</v>
      </c>
      <c r="AB284" s="290">
        <v>39</v>
      </c>
      <c r="AC284" s="289">
        <v>0</v>
      </c>
      <c r="AD284" s="289">
        <v>0</v>
      </c>
      <c r="AE284" s="289">
        <v>0</v>
      </c>
      <c r="AF284" s="289">
        <v>0</v>
      </c>
      <c r="AG284" s="289">
        <v>2238</v>
      </c>
      <c r="AH284" s="289">
        <v>347.23097596000002</v>
      </c>
      <c r="AI284" s="289">
        <v>150</v>
      </c>
      <c r="AJ284" s="289">
        <v>0</v>
      </c>
      <c r="AK284" s="289">
        <v>0</v>
      </c>
      <c r="AL284" s="289">
        <v>0</v>
      </c>
      <c r="AM284" s="836">
        <v>2.3313420000000001E-2</v>
      </c>
      <c r="AN284" s="289">
        <v>0</v>
      </c>
      <c r="AO284" s="289">
        <v>101.67070884</v>
      </c>
      <c r="AP284" s="289">
        <v>0</v>
      </c>
      <c r="AQ284" s="289">
        <v>0</v>
      </c>
      <c r="AR284" s="289">
        <v>-119.12359354</v>
      </c>
      <c r="AS284" s="289"/>
      <c r="AT284" s="289">
        <v>124</v>
      </c>
      <c r="AU284" s="289">
        <v>20</v>
      </c>
      <c r="AV284" s="625">
        <v>73755</v>
      </c>
      <c r="AW284" s="289"/>
      <c r="AX284" s="625">
        <v>12.9616667</v>
      </c>
      <c r="AY284" s="289">
        <v>424</v>
      </c>
      <c r="AZ284" s="289">
        <v>47</v>
      </c>
      <c r="BA284" s="290">
        <v>30</v>
      </c>
      <c r="BB284" s="289">
        <v>5698</v>
      </c>
      <c r="BC284" s="289">
        <v>344.34602021000001</v>
      </c>
      <c r="BD284" s="289">
        <v>28.934480627194127</v>
      </c>
      <c r="BE284" s="289">
        <v>82724.40002406</v>
      </c>
      <c r="BF284" s="289">
        <v>0</v>
      </c>
      <c r="BG284" s="289">
        <v>-93.685000000000002</v>
      </c>
      <c r="BH284" s="289">
        <v>-6.319</v>
      </c>
      <c r="BI284" s="289">
        <v>347.23097596000002</v>
      </c>
      <c r="BJ284" s="289">
        <v>0</v>
      </c>
      <c r="BK284" s="289">
        <v>0</v>
      </c>
      <c r="BL284" s="289">
        <v>0</v>
      </c>
      <c r="BM284" s="289">
        <v>0</v>
      </c>
      <c r="BN284" s="289">
        <v>202.81209454963712</v>
      </c>
      <c r="BO284" s="289">
        <v>126.87803227506475</v>
      </c>
      <c r="BP284" s="289">
        <v>202.63084780295858</v>
      </c>
      <c r="BQ284" s="289">
        <v>244.3957675511123</v>
      </c>
      <c r="BR284" s="289">
        <v>1.9611147980653798</v>
      </c>
      <c r="BS284" s="289">
        <v>0.78663969471241901</v>
      </c>
      <c r="BT284" s="289">
        <v>0</v>
      </c>
      <c r="BU284" s="289">
        <v>0</v>
      </c>
      <c r="BV284" s="289">
        <v>17.134063826772898</v>
      </c>
      <c r="BW284" s="517"/>
      <c r="BX284" s="517"/>
      <c r="CA284" s="517"/>
      <c r="CB284" s="517"/>
    </row>
    <row r="285" spans="1:80" ht="13">
      <c r="A285" s="1">
        <v>3825</v>
      </c>
      <c r="B285" s="2" t="s">
        <v>927</v>
      </c>
      <c r="C285" s="289">
        <v>3723</v>
      </c>
      <c r="D285" s="289">
        <v>62</v>
      </c>
      <c r="E285" s="289">
        <v>166</v>
      </c>
      <c r="F285" s="289">
        <v>412</v>
      </c>
      <c r="G285" s="289">
        <v>310</v>
      </c>
      <c r="H285" s="289">
        <v>2069</v>
      </c>
      <c r="I285" s="289">
        <v>499</v>
      </c>
      <c r="J285" s="289">
        <v>151</v>
      </c>
      <c r="K285" s="289">
        <v>46</v>
      </c>
      <c r="L285" s="289">
        <v>31</v>
      </c>
      <c r="M285" s="289">
        <v>324</v>
      </c>
      <c r="N285" s="290">
        <v>54</v>
      </c>
      <c r="O285" s="290">
        <v>22</v>
      </c>
      <c r="P285" s="624">
        <v>74235.498666669999</v>
      </c>
      <c r="Q285" s="624">
        <v>21830.79166667</v>
      </c>
      <c r="R285" s="624">
        <v>13</v>
      </c>
      <c r="S285" s="289"/>
      <c r="T285" s="289">
        <v>324</v>
      </c>
      <c r="U285" s="716">
        <v>2.7570263309246814E-3</v>
      </c>
      <c r="V285" s="289">
        <v>1707.31516536</v>
      </c>
      <c r="W285" s="743">
        <v>1</v>
      </c>
      <c r="X285" s="289">
        <v>0</v>
      </c>
      <c r="Y285" s="289">
        <v>414.28399999999999</v>
      </c>
      <c r="Z285" s="289">
        <v>154659</v>
      </c>
      <c r="AA285" s="289">
        <v>0</v>
      </c>
      <c r="AB285" s="290">
        <v>51</v>
      </c>
      <c r="AC285" s="289">
        <v>0</v>
      </c>
      <c r="AD285" s="289">
        <v>0</v>
      </c>
      <c r="AE285" s="289">
        <v>0</v>
      </c>
      <c r="AF285" s="289">
        <v>0</v>
      </c>
      <c r="AG285" s="289">
        <v>3715</v>
      </c>
      <c r="AH285" s="289">
        <v>566.86502701999996</v>
      </c>
      <c r="AI285" s="289">
        <v>450</v>
      </c>
      <c r="AJ285" s="289">
        <v>0</v>
      </c>
      <c r="AK285" s="289">
        <v>0</v>
      </c>
      <c r="AL285" s="289">
        <v>0</v>
      </c>
      <c r="AM285" s="836">
        <v>1.6391449999999998E-2</v>
      </c>
      <c r="AN285" s="289">
        <v>0</v>
      </c>
      <c r="AO285" s="289">
        <v>162.89146618999999</v>
      </c>
      <c r="AP285" s="289">
        <v>0</v>
      </c>
      <c r="AQ285" s="289">
        <v>0</v>
      </c>
      <c r="AR285" s="289">
        <v>-197.74090705</v>
      </c>
      <c r="AS285" s="289"/>
      <c r="AT285" s="289">
        <v>129</v>
      </c>
      <c r="AU285" s="289">
        <v>19</v>
      </c>
      <c r="AV285" s="625">
        <v>116494</v>
      </c>
      <c r="AW285" s="289"/>
      <c r="AX285" s="625">
        <v>19.3333333</v>
      </c>
      <c r="AY285" s="289">
        <v>796</v>
      </c>
      <c r="AZ285" s="289">
        <v>92</v>
      </c>
      <c r="BA285" s="290">
        <v>64</v>
      </c>
      <c r="BB285" s="289">
        <v>0</v>
      </c>
      <c r="BC285" s="289">
        <v>971.62402022000003</v>
      </c>
      <c r="BD285" s="289">
        <v>47.301166218470584</v>
      </c>
      <c r="BE285" s="289">
        <v>120264.20157479</v>
      </c>
      <c r="BF285" s="289">
        <v>0</v>
      </c>
      <c r="BG285" s="289">
        <v>-152.5164</v>
      </c>
      <c r="BH285" s="289">
        <v>-10.4894</v>
      </c>
      <c r="BI285" s="289">
        <v>981.14902701999995</v>
      </c>
      <c r="BJ285" s="289">
        <v>0</v>
      </c>
      <c r="BK285" s="289">
        <v>0</v>
      </c>
      <c r="BL285" s="289">
        <v>0</v>
      </c>
      <c r="BM285" s="289">
        <v>0</v>
      </c>
      <c r="BN285" s="289">
        <v>310.67971360607584</v>
      </c>
      <c r="BO285" s="289">
        <v>202.70388903161137</v>
      </c>
      <c r="BP285" s="289">
        <v>336.35996406970116</v>
      </c>
      <c r="BQ285" s="289">
        <v>357.86201775402361</v>
      </c>
      <c r="BR285" s="289">
        <v>3.2059679325852275</v>
      </c>
      <c r="BS285" s="289">
        <v>1.0948047242003422</v>
      </c>
      <c r="BT285" s="289">
        <v>0</v>
      </c>
      <c r="BU285" s="289">
        <v>0</v>
      </c>
      <c r="BV285" s="289">
        <v>25.088939611414599</v>
      </c>
      <c r="BW285" s="517"/>
      <c r="BX285" s="517"/>
      <c r="CA285" s="517"/>
      <c r="CB285" s="517"/>
    </row>
    <row r="286" spans="1:80" ht="13">
      <c r="A286" s="1">
        <v>4201</v>
      </c>
      <c r="B286" s="2" t="s">
        <v>928</v>
      </c>
      <c r="C286" s="289">
        <v>6848</v>
      </c>
      <c r="D286" s="289">
        <v>100</v>
      </c>
      <c r="E286" s="289">
        <v>246</v>
      </c>
      <c r="F286" s="289">
        <v>775</v>
      </c>
      <c r="G286" s="289">
        <v>614</v>
      </c>
      <c r="H286" s="289">
        <v>3736</v>
      </c>
      <c r="I286" s="289">
        <v>1076</v>
      </c>
      <c r="J286" s="289">
        <v>267</v>
      </c>
      <c r="K286" s="289">
        <v>83</v>
      </c>
      <c r="L286" s="289">
        <v>61</v>
      </c>
      <c r="M286" s="289">
        <v>627</v>
      </c>
      <c r="N286" s="290">
        <v>151</v>
      </c>
      <c r="O286" s="290">
        <v>91</v>
      </c>
      <c r="P286" s="624">
        <v>43858.009666669997</v>
      </c>
      <c r="Q286" s="624">
        <v>11267.29166667</v>
      </c>
      <c r="R286" s="624">
        <v>40</v>
      </c>
      <c r="S286" s="289"/>
      <c r="T286" s="289">
        <v>622</v>
      </c>
      <c r="U286" s="716">
        <v>8.1105136897421807E-4</v>
      </c>
      <c r="V286" s="289">
        <v>2946.9781545000001</v>
      </c>
      <c r="W286" s="743">
        <v>0.61517957999999995</v>
      </c>
      <c r="X286" s="289">
        <v>1260</v>
      </c>
      <c r="Y286" s="289">
        <v>414.28399999999999</v>
      </c>
      <c r="Z286" s="289">
        <v>177519</v>
      </c>
      <c r="AA286" s="289">
        <v>-2060.9122750800002</v>
      </c>
      <c r="AB286" s="290">
        <v>203</v>
      </c>
      <c r="AC286" s="289">
        <v>0</v>
      </c>
      <c r="AD286" s="289">
        <v>0</v>
      </c>
      <c r="AE286" s="289">
        <v>0</v>
      </c>
      <c r="AF286" s="289">
        <v>0</v>
      </c>
      <c r="AG286" s="289">
        <v>6897</v>
      </c>
      <c r="AH286" s="289">
        <v>1038.9039240499999</v>
      </c>
      <c r="AI286" s="289">
        <v>385</v>
      </c>
      <c r="AJ286" s="289">
        <v>0</v>
      </c>
      <c r="AK286" s="289">
        <v>1.151</v>
      </c>
      <c r="AL286" s="289">
        <v>0</v>
      </c>
      <c r="AM286" s="836">
        <v>0.23675684999999999</v>
      </c>
      <c r="AN286" s="289">
        <v>8922</v>
      </c>
      <c r="AO286" s="289">
        <v>281.16518974000002</v>
      </c>
      <c r="AP286" s="289">
        <v>0</v>
      </c>
      <c r="AQ286" s="289">
        <v>0</v>
      </c>
      <c r="AR286" s="289">
        <v>-367.11144977999999</v>
      </c>
      <c r="AS286" s="289"/>
      <c r="AT286" s="289">
        <v>395</v>
      </c>
      <c r="AU286" s="289">
        <v>94</v>
      </c>
      <c r="AV286" s="625">
        <v>188915</v>
      </c>
      <c r="AW286" s="289"/>
      <c r="AX286" s="625">
        <v>35.486666700000001</v>
      </c>
      <c r="AY286" s="289">
        <v>1444</v>
      </c>
      <c r="AZ286" s="289">
        <v>302</v>
      </c>
      <c r="BA286" s="290">
        <v>139</v>
      </c>
      <c r="BB286" s="289">
        <v>0</v>
      </c>
      <c r="BC286" s="289">
        <v>-2572.3861775999999</v>
      </c>
      <c r="BD286" s="289">
        <v>120.39331506938035</v>
      </c>
      <c r="BE286" s="289">
        <v>202104.28827846999</v>
      </c>
      <c r="BF286" s="289">
        <v>0</v>
      </c>
      <c r="BG286" s="289">
        <v>-250.92939999999999</v>
      </c>
      <c r="BH286" s="289">
        <v>-19.4739</v>
      </c>
      <c r="BI286" s="289">
        <v>-607.72435102999998</v>
      </c>
      <c r="BJ286" s="289">
        <v>0</v>
      </c>
      <c r="BK286" s="289">
        <v>0</v>
      </c>
      <c r="BL286" s="289">
        <v>0</v>
      </c>
      <c r="BM286" s="289">
        <v>0</v>
      </c>
      <c r="BN286" s="289">
        <v>575.60395860162657</v>
      </c>
      <c r="BO286" s="289">
        <v>294.90962777304469</v>
      </c>
      <c r="BP286" s="289">
        <v>624.46155375201317</v>
      </c>
      <c r="BQ286" s="289">
        <v>105.27446769285351</v>
      </c>
      <c r="BR286" s="289">
        <v>8.159991354702445</v>
      </c>
      <c r="BS286" s="289">
        <v>1.612975139581569</v>
      </c>
      <c r="BT286" s="289">
        <v>0</v>
      </c>
      <c r="BU286" s="289">
        <v>0</v>
      </c>
      <c r="BV286" s="289">
        <v>7.3805674576653812</v>
      </c>
      <c r="BW286" s="517"/>
      <c r="BX286" s="517"/>
      <c r="CA286" s="517"/>
      <c r="CB286" s="517"/>
    </row>
    <row r="287" spans="1:80" ht="13">
      <c r="A287" s="1">
        <v>4202</v>
      </c>
      <c r="B287" s="2" t="s">
        <v>929</v>
      </c>
      <c r="C287" s="289">
        <v>23246</v>
      </c>
      <c r="D287" s="289">
        <v>515</v>
      </c>
      <c r="E287" s="289">
        <v>1101</v>
      </c>
      <c r="F287" s="289">
        <v>3080</v>
      </c>
      <c r="G287" s="289">
        <v>2292</v>
      </c>
      <c r="H287" s="289">
        <v>12791</v>
      </c>
      <c r="I287" s="289">
        <v>2432</v>
      </c>
      <c r="J287" s="289">
        <v>705</v>
      </c>
      <c r="K287" s="289">
        <v>153</v>
      </c>
      <c r="L287" s="289">
        <v>180</v>
      </c>
      <c r="M287" s="289">
        <v>1280</v>
      </c>
      <c r="N287" s="290">
        <v>536</v>
      </c>
      <c r="O287" s="290">
        <v>238</v>
      </c>
      <c r="P287" s="624">
        <v>67810.820999999996</v>
      </c>
      <c r="Q287" s="624">
        <v>36921.183333330002</v>
      </c>
      <c r="R287" s="624">
        <v>86</v>
      </c>
      <c r="S287" s="289"/>
      <c r="T287" s="289">
        <v>1571</v>
      </c>
      <c r="U287" s="716">
        <v>2.9383367751330686E-3</v>
      </c>
      <c r="V287" s="289">
        <v>-8024.1619655200002</v>
      </c>
      <c r="W287" s="743">
        <v>0.55615004000000001</v>
      </c>
      <c r="X287" s="289">
        <v>2070</v>
      </c>
      <c r="Y287" s="289">
        <v>414.28399999999999</v>
      </c>
      <c r="Z287" s="289">
        <v>551458</v>
      </c>
      <c r="AA287" s="289">
        <v>0</v>
      </c>
      <c r="AB287" s="290">
        <v>584</v>
      </c>
      <c r="AC287" s="289">
        <v>0</v>
      </c>
      <c r="AD287" s="289">
        <v>0</v>
      </c>
      <c r="AE287" s="289">
        <v>0</v>
      </c>
      <c r="AF287" s="289">
        <v>0</v>
      </c>
      <c r="AG287" s="289">
        <v>23069</v>
      </c>
      <c r="AH287" s="289">
        <v>4129.8174108399999</v>
      </c>
      <c r="AI287" s="289">
        <v>3173</v>
      </c>
      <c r="AJ287" s="289">
        <v>0</v>
      </c>
      <c r="AK287" s="289">
        <v>0</v>
      </c>
      <c r="AL287" s="289">
        <v>0</v>
      </c>
      <c r="AM287" s="836">
        <v>0.77831028000000002</v>
      </c>
      <c r="AN287" s="289">
        <v>0</v>
      </c>
      <c r="AO287" s="289">
        <v>885.33230273000004</v>
      </c>
      <c r="AP287" s="289">
        <v>0</v>
      </c>
      <c r="AQ287" s="289">
        <v>0</v>
      </c>
      <c r="AR287" s="289">
        <v>-1227.90982095</v>
      </c>
      <c r="AS287" s="289"/>
      <c r="AT287" s="289">
        <v>1309</v>
      </c>
      <c r="AU287" s="289">
        <v>350</v>
      </c>
      <c r="AV287" s="625">
        <v>535176</v>
      </c>
      <c r="AW287" s="289"/>
      <c r="AX287" s="625">
        <v>180.78833330000001</v>
      </c>
      <c r="AY287" s="289">
        <v>5919</v>
      </c>
      <c r="AZ287" s="289">
        <v>900</v>
      </c>
      <c r="BA287" s="290">
        <v>559</v>
      </c>
      <c r="BB287" s="289">
        <v>0</v>
      </c>
      <c r="BC287" s="289">
        <v>4412.8187879699999</v>
      </c>
      <c r="BD287" s="289">
        <v>364.02454826684198</v>
      </c>
      <c r="BE287" s="289">
        <v>558271.74242352997</v>
      </c>
      <c r="BF287" s="289">
        <v>0</v>
      </c>
      <c r="BG287" s="289">
        <v>-943.49810000000002</v>
      </c>
      <c r="BH287" s="289">
        <v>-65.135900000000007</v>
      </c>
      <c r="BI287" s="289">
        <v>4544.1014108400004</v>
      </c>
      <c r="BJ287" s="289">
        <v>0</v>
      </c>
      <c r="BK287" s="289">
        <v>0</v>
      </c>
      <c r="BL287" s="289">
        <v>0</v>
      </c>
      <c r="BM287" s="289">
        <v>0</v>
      </c>
      <c r="BN287" s="289">
        <v>1398.4704964385292</v>
      </c>
      <c r="BO287" s="289">
        <v>854.88649710398897</v>
      </c>
      <c r="BP287" s="289">
        <v>2088.6912546766989</v>
      </c>
      <c r="BQ287" s="289">
        <v>381.39611341227214</v>
      </c>
      <c r="BR287" s="289">
        <v>24.672774938085958</v>
      </c>
      <c r="BS287" s="289">
        <v>4.9288617541835098</v>
      </c>
      <c r="BT287" s="289">
        <v>0</v>
      </c>
      <c r="BU287" s="289">
        <v>0</v>
      </c>
      <c r="BV287" s="289">
        <v>26.738864653710912</v>
      </c>
      <c r="BW287" s="517"/>
      <c r="BX287" s="517"/>
      <c r="CA287" s="517"/>
      <c r="CB287" s="517"/>
    </row>
    <row r="288" spans="1:80" ht="13">
      <c r="A288" s="1">
        <v>4203</v>
      </c>
      <c r="B288" s="2" t="s">
        <v>930</v>
      </c>
      <c r="C288" s="289">
        <v>44785</v>
      </c>
      <c r="D288" s="289">
        <v>891</v>
      </c>
      <c r="E288" s="289">
        <v>1963</v>
      </c>
      <c r="F288" s="289">
        <v>5473</v>
      </c>
      <c r="G288" s="289">
        <v>3875</v>
      </c>
      <c r="H288" s="289">
        <v>25415</v>
      </c>
      <c r="I288" s="289">
        <v>5309</v>
      </c>
      <c r="J288" s="289">
        <v>1528</v>
      </c>
      <c r="K288" s="289">
        <v>374</v>
      </c>
      <c r="L288" s="289">
        <v>373</v>
      </c>
      <c r="M288" s="289">
        <v>3109</v>
      </c>
      <c r="N288" s="290">
        <v>1307</v>
      </c>
      <c r="O288" s="290">
        <v>463</v>
      </c>
      <c r="P288" s="624">
        <v>105631.27366666999</v>
      </c>
      <c r="Q288" s="624">
        <v>82305.394666670007</v>
      </c>
      <c r="R288" s="624">
        <v>180</v>
      </c>
      <c r="S288" s="289"/>
      <c r="T288" s="289">
        <v>4114</v>
      </c>
      <c r="U288" s="716">
        <v>3.1112663081563248E-3</v>
      </c>
      <c r="V288" s="289">
        <v>-31237.378830220001</v>
      </c>
      <c r="W288" s="743">
        <v>0.56155882000000001</v>
      </c>
      <c r="X288" s="289">
        <v>5610</v>
      </c>
      <c r="Y288" s="289">
        <v>1657.136</v>
      </c>
      <c r="Z288" s="289">
        <v>1184748</v>
      </c>
      <c r="AA288" s="289">
        <v>0</v>
      </c>
      <c r="AB288" s="290">
        <v>1413</v>
      </c>
      <c r="AC288" s="289">
        <v>0</v>
      </c>
      <c r="AD288" s="289">
        <v>0</v>
      </c>
      <c r="AE288" s="289">
        <v>0</v>
      </c>
      <c r="AF288" s="289">
        <v>0</v>
      </c>
      <c r="AG288" s="289">
        <v>44828</v>
      </c>
      <c r="AH288" s="289">
        <v>7406.89690281</v>
      </c>
      <c r="AI288" s="289">
        <v>1359</v>
      </c>
      <c r="AJ288" s="289">
        <v>0</v>
      </c>
      <c r="AK288" s="289">
        <v>0</v>
      </c>
      <c r="AL288" s="289">
        <v>0</v>
      </c>
      <c r="AM288" s="836">
        <v>2.1133459999999999</v>
      </c>
      <c r="AN288" s="289">
        <v>0</v>
      </c>
      <c r="AO288" s="289">
        <v>1735.26301248</v>
      </c>
      <c r="AP288" s="289">
        <v>0</v>
      </c>
      <c r="AQ288" s="289">
        <v>0</v>
      </c>
      <c r="AR288" s="289">
        <v>-2386.0913543500001</v>
      </c>
      <c r="AS288" s="289"/>
      <c r="AT288" s="289">
        <v>2994</v>
      </c>
      <c r="AU288" s="289">
        <v>732</v>
      </c>
      <c r="AV288" s="625">
        <v>1043126</v>
      </c>
      <c r="AW288" s="289"/>
      <c r="AX288" s="625">
        <v>316.81166665000001</v>
      </c>
      <c r="AY288" s="289">
        <v>10605</v>
      </c>
      <c r="AZ288" s="289">
        <v>1922</v>
      </c>
      <c r="BA288" s="290">
        <v>1227</v>
      </c>
      <c r="BB288" s="289">
        <v>0</v>
      </c>
      <c r="BC288" s="289">
        <v>8872.7170708800004</v>
      </c>
      <c r="BD288" s="289">
        <v>876.38467175968492</v>
      </c>
      <c r="BE288" s="289">
        <v>1091107.6573002001</v>
      </c>
      <c r="BF288" s="289">
        <v>0</v>
      </c>
      <c r="BG288" s="289">
        <v>-1680.8212000000001</v>
      </c>
      <c r="BH288" s="289">
        <v>-126.57299999999999</v>
      </c>
      <c r="BI288" s="289">
        <v>9064.0329028100005</v>
      </c>
      <c r="BJ288" s="289">
        <v>0</v>
      </c>
      <c r="BK288" s="289">
        <v>0</v>
      </c>
      <c r="BL288" s="289">
        <v>0</v>
      </c>
      <c r="BM288" s="289">
        <v>0</v>
      </c>
      <c r="BN288" s="289">
        <v>3002.5410051478229</v>
      </c>
      <c r="BO288" s="289">
        <v>1661.0599516776617</v>
      </c>
      <c r="BP288" s="289">
        <v>4058.7737467877691</v>
      </c>
      <c r="BQ288" s="289">
        <v>403.84236679869105</v>
      </c>
      <c r="BR288" s="289">
        <v>59.399405530378651</v>
      </c>
      <c r="BS288" s="289">
        <v>9.3825493581074735</v>
      </c>
      <c r="BT288" s="289">
        <v>0</v>
      </c>
      <c r="BU288" s="289">
        <v>0</v>
      </c>
      <c r="BV288" s="289">
        <v>28.312523404222546</v>
      </c>
      <c r="BW288" s="517"/>
      <c r="BX288" s="517"/>
      <c r="CA288" s="517"/>
      <c r="CB288" s="517"/>
    </row>
    <row r="289" spans="1:80" ht="13">
      <c r="A289" s="1">
        <v>4206</v>
      </c>
      <c r="B289" s="2" t="s">
        <v>944</v>
      </c>
      <c r="C289" s="289">
        <v>9695</v>
      </c>
      <c r="D289" s="289">
        <v>190</v>
      </c>
      <c r="E289" s="289">
        <v>432</v>
      </c>
      <c r="F289" s="289">
        <v>1237</v>
      </c>
      <c r="G289" s="289">
        <v>965</v>
      </c>
      <c r="H289" s="289">
        <v>5155</v>
      </c>
      <c r="I289" s="289">
        <v>1270</v>
      </c>
      <c r="J289" s="289">
        <v>381</v>
      </c>
      <c r="K289" s="289">
        <v>83</v>
      </c>
      <c r="L289" s="289">
        <v>79</v>
      </c>
      <c r="M289" s="289">
        <v>707</v>
      </c>
      <c r="N289" s="290">
        <v>143</v>
      </c>
      <c r="O289" s="290">
        <v>118</v>
      </c>
      <c r="P289" s="624">
        <v>28337.607</v>
      </c>
      <c r="Q289" s="624">
        <v>16343.89833333</v>
      </c>
      <c r="R289" s="624">
        <v>39</v>
      </c>
      <c r="S289" s="289"/>
      <c r="T289" s="289">
        <v>694</v>
      </c>
      <c r="U289" s="716">
        <v>3.584336684518628E-3</v>
      </c>
      <c r="V289" s="289">
        <v>3553.9826167900001</v>
      </c>
      <c r="W289" s="743">
        <v>0.60093777999999998</v>
      </c>
      <c r="X289" s="289">
        <v>1310</v>
      </c>
      <c r="Y289" s="289">
        <v>414.28399999999999</v>
      </c>
      <c r="Z289" s="289">
        <v>255900</v>
      </c>
      <c r="AA289" s="289">
        <v>0</v>
      </c>
      <c r="AB289" s="290">
        <v>236</v>
      </c>
      <c r="AC289" s="289">
        <v>917</v>
      </c>
      <c r="AD289" s="289">
        <v>0</v>
      </c>
      <c r="AE289" s="289">
        <v>0</v>
      </c>
      <c r="AF289" s="289">
        <v>0</v>
      </c>
      <c r="AG289" s="289">
        <v>9713</v>
      </c>
      <c r="AH289" s="289">
        <v>1689.4390657500001</v>
      </c>
      <c r="AI289" s="289">
        <v>498</v>
      </c>
      <c r="AJ289" s="289">
        <v>0</v>
      </c>
      <c r="AK289" s="289">
        <v>774.10599999999999</v>
      </c>
      <c r="AL289" s="289">
        <v>0</v>
      </c>
      <c r="AM289" s="836">
        <v>0.31558566999999998</v>
      </c>
      <c r="AN289" s="289">
        <v>2426</v>
      </c>
      <c r="AO289" s="289">
        <v>384.68325791000001</v>
      </c>
      <c r="AP289" s="289">
        <v>0</v>
      </c>
      <c r="AQ289" s="289">
        <v>0</v>
      </c>
      <c r="AR289" s="289">
        <v>-517.00065415999995</v>
      </c>
      <c r="AS289" s="289"/>
      <c r="AT289" s="289">
        <v>509</v>
      </c>
      <c r="AU289" s="289">
        <v>138</v>
      </c>
      <c r="AV289" s="625">
        <v>249225</v>
      </c>
      <c r="AW289" s="289"/>
      <c r="AX289" s="625">
        <v>54.889999950000004</v>
      </c>
      <c r="AY289" s="289">
        <v>1656</v>
      </c>
      <c r="AZ289" s="289">
        <v>425</v>
      </c>
      <c r="BA289" s="290">
        <v>213</v>
      </c>
      <c r="BB289" s="289">
        <v>0</v>
      </c>
      <c r="BC289" s="289">
        <v>2090.7485858999999</v>
      </c>
      <c r="BD289" s="289">
        <v>144.85751012461168</v>
      </c>
      <c r="BE289" s="289">
        <v>261146.13669812001</v>
      </c>
      <c r="BF289" s="289">
        <v>0</v>
      </c>
      <c r="BG289" s="289">
        <v>-385.69479999999999</v>
      </c>
      <c r="BH289" s="289">
        <v>-27.424900000000001</v>
      </c>
      <c r="BI289" s="289">
        <v>2103.7230657499999</v>
      </c>
      <c r="BJ289" s="289">
        <v>0</v>
      </c>
      <c r="BK289" s="289">
        <v>0</v>
      </c>
      <c r="BL289" s="289">
        <v>0</v>
      </c>
      <c r="BM289" s="289">
        <v>0</v>
      </c>
      <c r="BN289" s="289">
        <v>687.87764506327403</v>
      </c>
      <c r="BO289" s="289">
        <v>389.87370433035903</v>
      </c>
      <c r="BP289" s="289">
        <v>879.4251227480504</v>
      </c>
      <c r="BQ289" s="289">
        <v>465.24690165051783</v>
      </c>
      <c r="BR289" s="289">
        <v>9.8181201306681238</v>
      </c>
      <c r="BS289" s="289">
        <v>2.1914386972046134</v>
      </c>
      <c r="BT289" s="289">
        <v>0</v>
      </c>
      <c r="BU289" s="289">
        <v>0</v>
      </c>
      <c r="BV289" s="289">
        <v>32.617463829119508</v>
      </c>
      <c r="BW289" s="517"/>
      <c r="BX289" s="517"/>
      <c r="CA289" s="517"/>
      <c r="CB289" s="517"/>
    </row>
    <row r="290" spans="1:80" ht="13">
      <c r="A290" s="1">
        <v>4207</v>
      </c>
      <c r="B290" s="2" t="s">
        <v>946</v>
      </c>
      <c r="C290" s="289">
        <v>9066</v>
      </c>
      <c r="D290" s="289">
        <v>170</v>
      </c>
      <c r="E290" s="289">
        <v>409</v>
      </c>
      <c r="F290" s="289">
        <v>1168</v>
      </c>
      <c r="G290" s="289">
        <v>807</v>
      </c>
      <c r="H290" s="289">
        <v>4918</v>
      </c>
      <c r="I290" s="289">
        <v>1149</v>
      </c>
      <c r="J290" s="289">
        <v>403</v>
      </c>
      <c r="K290" s="289">
        <v>114</v>
      </c>
      <c r="L290" s="289">
        <v>70</v>
      </c>
      <c r="M290" s="289">
        <v>692</v>
      </c>
      <c r="N290" s="290">
        <v>183</v>
      </c>
      <c r="O290" s="290">
        <v>119</v>
      </c>
      <c r="P290" s="624">
        <v>59197.042999999998</v>
      </c>
      <c r="Q290" s="624">
        <v>18401.517</v>
      </c>
      <c r="R290" s="624">
        <v>55</v>
      </c>
      <c r="S290" s="289"/>
      <c r="T290" s="289">
        <v>647</v>
      </c>
      <c r="U290" s="716">
        <v>2.4658412911709973E-3</v>
      </c>
      <c r="V290" s="289">
        <v>4004.23364902</v>
      </c>
      <c r="W290" s="743">
        <v>0.61737810999999998</v>
      </c>
      <c r="X290" s="289">
        <v>1060</v>
      </c>
      <c r="Y290" s="289">
        <v>414.28399999999999</v>
      </c>
      <c r="Z290" s="289">
        <v>248272</v>
      </c>
      <c r="AA290" s="289">
        <v>0</v>
      </c>
      <c r="AB290" s="290">
        <v>254</v>
      </c>
      <c r="AC290" s="289">
        <v>0</v>
      </c>
      <c r="AD290" s="289">
        <v>0</v>
      </c>
      <c r="AE290" s="289">
        <v>0</v>
      </c>
      <c r="AF290" s="289">
        <v>0</v>
      </c>
      <c r="AG290" s="289">
        <v>9138</v>
      </c>
      <c r="AH290" s="289">
        <v>1538.1356083600001</v>
      </c>
      <c r="AI290" s="289">
        <v>253</v>
      </c>
      <c r="AJ290" s="289">
        <v>0</v>
      </c>
      <c r="AK290" s="289">
        <v>0</v>
      </c>
      <c r="AL290" s="289">
        <v>0</v>
      </c>
      <c r="AM290" s="836">
        <v>0.17614693000000001</v>
      </c>
      <c r="AN290" s="289">
        <v>6815</v>
      </c>
      <c r="AO290" s="289">
        <v>382.03578535000003</v>
      </c>
      <c r="AP290" s="289">
        <v>0</v>
      </c>
      <c r="AQ290" s="289">
        <v>0</v>
      </c>
      <c r="AR290" s="289">
        <v>923.25551509000002</v>
      </c>
      <c r="AS290" s="289"/>
      <c r="AT290" s="289">
        <v>493</v>
      </c>
      <c r="AU290" s="289">
        <v>117</v>
      </c>
      <c r="AV290" s="625">
        <v>272389</v>
      </c>
      <c r="AW290" s="289"/>
      <c r="AX290" s="625">
        <v>47.16</v>
      </c>
      <c r="AY290" s="289">
        <v>1748</v>
      </c>
      <c r="AZ290" s="289">
        <v>251</v>
      </c>
      <c r="BA290" s="290">
        <v>167</v>
      </c>
      <c r="BB290" s="289">
        <v>0</v>
      </c>
      <c r="BC290" s="289">
        <v>1897.05394953</v>
      </c>
      <c r="BD290" s="289">
        <v>133.69040159523115</v>
      </c>
      <c r="BE290" s="289">
        <v>277864.74055535998</v>
      </c>
      <c r="BF290" s="289">
        <v>0</v>
      </c>
      <c r="BG290" s="289">
        <v>-372.61320000000001</v>
      </c>
      <c r="BH290" s="289">
        <v>-25.801400000000001</v>
      </c>
      <c r="BI290" s="289">
        <v>1952.41960836</v>
      </c>
      <c r="BJ290" s="289">
        <v>0</v>
      </c>
      <c r="BK290" s="289">
        <v>0</v>
      </c>
      <c r="BL290" s="289">
        <v>0</v>
      </c>
      <c r="BM290" s="289">
        <v>0</v>
      </c>
      <c r="BN290" s="289">
        <v>742.70952639034806</v>
      </c>
      <c r="BO290" s="289">
        <v>380.43629673132216</v>
      </c>
      <c r="BP290" s="289">
        <v>827.36402467535095</v>
      </c>
      <c r="BQ290" s="289">
        <v>320.06619959399546</v>
      </c>
      <c r="BR290" s="289">
        <v>9.0612383303434445</v>
      </c>
      <c r="BS290" s="289">
        <v>2.0794550799610958</v>
      </c>
      <c r="BT290" s="289">
        <v>0</v>
      </c>
      <c r="BU290" s="289">
        <v>0</v>
      </c>
      <c r="BV290" s="289">
        <v>22.439155749656074</v>
      </c>
      <c r="BW290" s="517"/>
      <c r="BX290" s="517"/>
      <c r="CA290" s="517"/>
      <c r="CB290" s="517"/>
    </row>
    <row r="291" spans="1:80" ht="13">
      <c r="A291" s="1">
        <v>4211</v>
      </c>
      <c r="B291" s="2" t="s">
        <v>931</v>
      </c>
      <c r="C291" s="289">
        <v>2454</v>
      </c>
      <c r="D291" s="289">
        <v>36</v>
      </c>
      <c r="E291" s="289">
        <v>94</v>
      </c>
      <c r="F291" s="289">
        <v>269</v>
      </c>
      <c r="G291" s="289">
        <v>234</v>
      </c>
      <c r="H291" s="289">
        <v>1354</v>
      </c>
      <c r="I291" s="289">
        <v>351</v>
      </c>
      <c r="J291" s="289">
        <v>101</v>
      </c>
      <c r="K291" s="289">
        <v>29</v>
      </c>
      <c r="L291" s="289">
        <v>18</v>
      </c>
      <c r="M291" s="289">
        <v>233</v>
      </c>
      <c r="N291" s="290">
        <v>50</v>
      </c>
      <c r="O291" s="290">
        <v>19</v>
      </c>
      <c r="P291" s="624">
        <v>19515.714</v>
      </c>
      <c r="Q291" s="624">
        <v>4898.7213333299997</v>
      </c>
      <c r="R291" s="624">
        <v>21</v>
      </c>
      <c r="S291" s="289"/>
      <c r="T291" s="289">
        <v>202</v>
      </c>
      <c r="U291" s="716">
        <v>1.0355764924642307E-3</v>
      </c>
      <c r="V291" s="289">
        <v>1053.6456049799999</v>
      </c>
      <c r="W291" s="743">
        <v>0.76002957000000004</v>
      </c>
      <c r="X291" s="289">
        <v>1860</v>
      </c>
      <c r="Y291" s="289">
        <v>288.86799999999999</v>
      </c>
      <c r="Z291" s="289">
        <v>53222</v>
      </c>
      <c r="AA291" s="289">
        <v>-831.45950303999996</v>
      </c>
      <c r="AB291" s="290">
        <v>107</v>
      </c>
      <c r="AC291" s="289">
        <v>398</v>
      </c>
      <c r="AD291" s="289">
        <v>0</v>
      </c>
      <c r="AE291" s="289">
        <v>0</v>
      </c>
      <c r="AF291" s="289">
        <v>0</v>
      </c>
      <c r="AG291" s="289">
        <v>2468</v>
      </c>
      <c r="AH291" s="289">
        <v>373.02926131999999</v>
      </c>
      <c r="AI291" s="289">
        <v>420</v>
      </c>
      <c r="AJ291" s="289">
        <v>0</v>
      </c>
      <c r="AK291" s="289">
        <v>3.04</v>
      </c>
      <c r="AL291" s="289">
        <v>0</v>
      </c>
      <c r="AM291" s="836">
        <v>6.3742080000000007E-2</v>
      </c>
      <c r="AN291" s="289">
        <v>0</v>
      </c>
      <c r="AO291" s="289">
        <v>109.64718489000001</v>
      </c>
      <c r="AP291" s="289">
        <v>0</v>
      </c>
      <c r="AQ291" s="289">
        <v>0</v>
      </c>
      <c r="AR291" s="289">
        <v>-131.36596463000001</v>
      </c>
      <c r="AS291" s="289"/>
      <c r="AT291" s="289">
        <v>163</v>
      </c>
      <c r="AU291" s="289">
        <v>28</v>
      </c>
      <c r="AV291" s="625">
        <v>83825</v>
      </c>
      <c r="AW291" s="289"/>
      <c r="AX291" s="625">
        <v>14.731666649999999</v>
      </c>
      <c r="AY291" s="289">
        <v>316</v>
      </c>
      <c r="AZ291" s="289">
        <v>85</v>
      </c>
      <c r="BA291" s="290">
        <v>51</v>
      </c>
      <c r="BB291" s="289">
        <v>5698</v>
      </c>
      <c r="BC291" s="289">
        <v>-960.56339128000002</v>
      </c>
      <c r="BD291" s="289">
        <v>43.400753780765108</v>
      </c>
      <c r="BE291" s="289">
        <v>88487.065613459999</v>
      </c>
      <c r="BF291" s="289">
        <v>0</v>
      </c>
      <c r="BG291" s="289">
        <v>-92.031400000000005</v>
      </c>
      <c r="BH291" s="289">
        <v>-6.9684999999999997</v>
      </c>
      <c r="BI291" s="289">
        <v>-169.56224172</v>
      </c>
      <c r="BJ291" s="289">
        <v>0</v>
      </c>
      <c r="BK291" s="289">
        <v>0</v>
      </c>
      <c r="BL291" s="289">
        <v>0</v>
      </c>
      <c r="BM291" s="289">
        <v>0</v>
      </c>
      <c r="BN291" s="289">
        <v>228.11600261456704</v>
      </c>
      <c r="BO291" s="289">
        <v>124.23032909783049</v>
      </c>
      <c r="BP291" s="289">
        <v>223.45528703203831</v>
      </c>
      <c r="BQ291" s="289">
        <v>134.41782872185712</v>
      </c>
      <c r="BR291" s="289">
        <v>2.9416066451407459</v>
      </c>
      <c r="BS291" s="289">
        <v>0.7587356478216507</v>
      </c>
      <c r="BT291" s="289">
        <v>0</v>
      </c>
      <c r="BU291" s="289">
        <v>0</v>
      </c>
      <c r="BV291" s="289">
        <v>9.4237460814244969</v>
      </c>
      <c r="BW291" s="517"/>
      <c r="BX291" s="517"/>
      <c r="CA291" s="517"/>
      <c r="CB291" s="517"/>
    </row>
    <row r="292" spans="1:80" ht="13">
      <c r="A292" s="1">
        <v>4212</v>
      </c>
      <c r="B292" s="4" t="s">
        <v>706</v>
      </c>
      <c r="C292" s="289">
        <v>2093</v>
      </c>
      <c r="D292" s="289">
        <v>35</v>
      </c>
      <c r="E292" s="289">
        <v>94</v>
      </c>
      <c r="F292" s="289">
        <v>308</v>
      </c>
      <c r="G292" s="289">
        <v>185</v>
      </c>
      <c r="H292" s="289">
        <v>1165</v>
      </c>
      <c r="I292" s="289">
        <v>208</v>
      </c>
      <c r="J292" s="289">
        <v>82</v>
      </c>
      <c r="K292" s="289">
        <v>29</v>
      </c>
      <c r="L292" s="289">
        <v>17</v>
      </c>
      <c r="M292" s="289">
        <v>152</v>
      </c>
      <c r="N292" s="290">
        <v>37</v>
      </c>
      <c r="O292" s="290">
        <v>28</v>
      </c>
      <c r="P292" s="624">
        <v>11076.73433333</v>
      </c>
      <c r="Q292" s="624">
        <v>8538.4599999999991</v>
      </c>
      <c r="R292" s="624">
        <v>8</v>
      </c>
      <c r="S292" s="289"/>
      <c r="T292" s="289">
        <v>162</v>
      </c>
      <c r="U292" s="716">
        <v>7.3804729560140298E-4</v>
      </c>
      <c r="V292" s="289">
        <v>1019.71263917</v>
      </c>
      <c r="W292" s="743">
        <v>0.81946768000000003</v>
      </c>
      <c r="X292" s="289">
        <v>1630</v>
      </c>
      <c r="Y292" s="289">
        <v>265.22399999999999</v>
      </c>
      <c r="Z292" s="289">
        <v>46962</v>
      </c>
      <c r="AA292" s="289">
        <v>0</v>
      </c>
      <c r="AB292" s="290">
        <v>56</v>
      </c>
      <c r="AC292" s="289">
        <v>0</v>
      </c>
      <c r="AD292" s="289">
        <v>0</v>
      </c>
      <c r="AE292" s="289">
        <v>0</v>
      </c>
      <c r="AF292" s="289">
        <v>0</v>
      </c>
      <c r="AG292" s="289">
        <v>2106</v>
      </c>
      <c r="AH292" s="289">
        <v>377.21276705000002</v>
      </c>
      <c r="AI292" s="289">
        <v>292</v>
      </c>
      <c r="AJ292" s="289">
        <v>0</v>
      </c>
      <c r="AK292" s="289">
        <v>0</v>
      </c>
      <c r="AL292" s="289">
        <v>0</v>
      </c>
      <c r="AM292" s="836">
        <v>3.7292949999999998E-2</v>
      </c>
      <c r="AN292" s="289">
        <v>0</v>
      </c>
      <c r="AO292" s="289">
        <v>97.288708170000007</v>
      </c>
      <c r="AP292" s="289">
        <v>0</v>
      </c>
      <c r="AQ292" s="289">
        <v>0</v>
      </c>
      <c r="AR292" s="289">
        <v>-112.09753708</v>
      </c>
      <c r="AS292" s="289"/>
      <c r="AT292" s="289">
        <v>108</v>
      </c>
      <c r="AU292" s="289">
        <v>16</v>
      </c>
      <c r="AV292" s="625">
        <v>78330</v>
      </c>
      <c r="AW292" s="289"/>
      <c r="AX292" s="625">
        <v>13.77833335</v>
      </c>
      <c r="AY292" s="289">
        <v>374</v>
      </c>
      <c r="AZ292" s="289">
        <v>94</v>
      </c>
      <c r="BA292" s="290">
        <v>53</v>
      </c>
      <c r="BB292" s="289">
        <v>3990</v>
      </c>
      <c r="BC292" s="289">
        <v>634.19481818999998</v>
      </c>
      <c r="BD292" s="289">
        <v>30.886479550944092</v>
      </c>
      <c r="BE292" s="289">
        <v>80616.885612340004</v>
      </c>
      <c r="BF292" s="289">
        <v>0</v>
      </c>
      <c r="BG292" s="289">
        <v>-104.67319999999999</v>
      </c>
      <c r="BH292" s="289">
        <v>-5.9462999999999999</v>
      </c>
      <c r="BI292" s="289">
        <v>642.43676704999996</v>
      </c>
      <c r="BJ292" s="289">
        <v>0</v>
      </c>
      <c r="BK292" s="289">
        <v>0</v>
      </c>
      <c r="BL292" s="289">
        <v>0</v>
      </c>
      <c r="BM292" s="289">
        <v>0</v>
      </c>
      <c r="BN292" s="289">
        <v>166.10671151500884</v>
      </c>
      <c r="BO292" s="289">
        <v>109.63992987894734</v>
      </c>
      <c r="BP292" s="289">
        <v>190.67943050626934</v>
      </c>
      <c r="BQ292" s="289">
        <v>95.798538969062065</v>
      </c>
      <c r="BR292" s="289">
        <v>2.0934169473417663</v>
      </c>
      <c r="BS292" s="289">
        <v>0.70686863690079127</v>
      </c>
      <c r="BT292" s="289">
        <v>0</v>
      </c>
      <c r="BU292" s="289">
        <v>0</v>
      </c>
      <c r="BV292" s="289">
        <v>6.7162303899727647</v>
      </c>
      <c r="BW292" s="517"/>
      <c r="BX292" s="517"/>
      <c r="CA292" s="517"/>
      <c r="CB292" s="517"/>
    </row>
    <row r="293" spans="1:80" ht="13">
      <c r="A293" s="1">
        <v>4213</v>
      </c>
      <c r="B293" s="2" t="s">
        <v>932</v>
      </c>
      <c r="C293" s="289">
        <v>6069</v>
      </c>
      <c r="D293" s="289">
        <v>99</v>
      </c>
      <c r="E293" s="289">
        <v>230</v>
      </c>
      <c r="F293" s="289">
        <v>714</v>
      </c>
      <c r="G293" s="289">
        <v>521</v>
      </c>
      <c r="H293" s="289">
        <v>3392</v>
      </c>
      <c r="I293" s="289">
        <v>838</v>
      </c>
      <c r="J293" s="289">
        <v>240</v>
      </c>
      <c r="K293" s="289">
        <v>64</v>
      </c>
      <c r="L293" s="289">
        <v>53</v>
      </c>
      <c r="M293" s="289">
        <v>513</v>
      </c>
      <c r="N293" s="290">
        <v>124</v>
      </c>
      <c r="O293" s="290">
        <v>69</v>
      </c>
      <c r="P293" s="624">
        <v>49890.880666669997</v>
      </c>
      <c r="Q293" s="624">
        <v>21346.449333330002</v>
      </c>
      <c r="R293" s="624">
        <v>34</v>
      </c>
      <c r="S293" s="289"/>
      <c r="T293" s="289">
        <v>528</v>
      </c>
      <c r="U293" s="716">
        <v>1.1663996406792061E-3</v>
      </c>
      <c r="V293" s="289">
        <v>2455.4712657099999</v>
      </c>
      <c r="W293" s="743">
        <v>0.67662166000000001</v>
      </c>
      <c r="X293" s="289">
        <v>970</v>
      </c>
      <c r="Y293" s="289">
        <v>414.28399999999999</v>
      </c>
      <c r="Z293" s="289">
        <v>160923</v>
      </c>
      <c r="AA293" s="289">
        <v>0</v>
      </c>
      <c r="AB293" s="290">
        <v>177</v>
      </c>
      <c r="AC293" s="289">
        <v>0</v>
      </c>
      <c r="AD293" s="289">
        <v>0</v>
      </c>
      <c r="AE293" s="289">
        <v>0</v>
      </c>
      <c r="AF293" s="289">
        <v>0</v>
      </c>
      <c r="AG293" s="289">
        <v>6098</v>
      </c>
      <c r="AH293" s="289">
        <v>943.38054310999996</v>
      </c>
      <c r="AI293" s="289">
        <v>549</v>
      </c>
      <c r="AJ293" s="289">
        <v>0</v>
      </c>
      <c r="AK293" s="289">
        <v>0</v>
      </c>
      <c r="AL293" s="289">
        <v>0</v>
      </c>
      <c r="AM293" s="836">
        <v>0.23164525</v>
      </c>
      <c r="AN293" s="289">
        <v>4819</v>
      </c>
      <c r="AO293" s="289">
        <v>252.51352048999999</v>
      </c>
      <c r="AP293" s="289">
        <v>0</v>
      </c>
      <c r="AQ293" s="289">
        <v>0</v>
      </c>
      <c r="AR293" s="289">
        <v>762.41667543000005</v>
      </c>
      <c r="AS293" s="289"/>
      <c r="AT293" s="289">
        <v>375</v>
      </c>
      <c r="AU293" s="289">
        <v>88</v>
      </c>
      <c r="AV293" s="625">
        <v>178795</v>
      </c>
      <c r="AW293" s="289"/>
      <c r="AX293" s="625">
        <v>28.961666650000002</v>
      </c>
      <c r="AY293" s="289">
        <v>1237</v>
      </c>
      <c r="AZ293" s="289">
        <v>260</v>
      </c>
      <c r="BA293" s="290">
        <v>139</v>
      </c>
      <c r="BB293" s="289">
        <v>0</v>
      </c>
      <c r="BC293" s="289">
        <v>1332.9607980000001</v>
      </c>
      <c r="BD293" s="289">
        <v>106.05203642208295</v>
      </c>
      <c r="BE293" s="289">
        <v>182518.17047755999</v>
      </c>
      <c r="BF293" s="289">
        <v>0</v>
      </c>
      <c r="BG293" s="289">
        <v>-236.71969999999999</v>
      </c>
      <c r="BH293" s="289">
        <v>-17.2179</v>
      </c>
      <c r="BI293" s="289">
        <v>1357.6645431100001</v>
      </c>
      <c r="BJ293" s="289">
        <v>0</v>
      </c>
      <c r="BK293" s="289">
        <v>0</v>
      </c>
      <c r="BL293" s="289">
        <v>0</v>
      </c>
      <c r="BM293" s="289">
        <v>0</v>
      </c>
      <c r="BN293" s="289">
        <v>495.4455556737592</v>
      </c>
      <c r="BO293" s="289">
        <v>269.9119655638217</v>
      </c>
      <c r="BP293" s="289">
        <v>552.11926269099251</v>
      </c>
      <c r="BQ293" s="289">
        <v>151.3986733601609</v>
      </c>
      <c r="BR293" s="289">
        <v>7.1879713574967328</v>
      </c>
      <c r="BS293" s="289">
        <v>1.4734139292953186</v>
      </c>
      <c r="BT293" s="289">
        <v>0</v>
      </c>
      <c r="BU293" s="289">
        <v>0</v>
      </c>
      <c r="BV293" s="289">
        <v>10.614236730180771</v>
      </c>
      <c r="BW293" s="517"/>
      <c r="BX293" s="517"/>
      <c r="CA293" s="517"/>
      <c r="CB293" s="517"/>
    </row>
    <row r="294" spans="1:80" ht="13">
      <c r="A294" s="1">
        <v>4214</v>
      </c>
      <c r="B294" s="2" t="s">
        <v>933</v>
      </c>
      <c r="C294" s="289">
        <v>5845</v>
      </c>
      <c r="D294" s="289">
        <v>119</v>
      </c>
      <c r="E294" s="289">
        <v>290</v>
      </c>
      <c r="F294" s="289">
        <v>812</v>
      </c>
      <c r="G294" s="289">
        <v>507</v>
      </c>
      <c r="H294" s="289">
        <v>3330</v>
      </c>
      <c r="I294" s="289">
        <v>575</v>
      </c>
      <c r="J294" s="289">
        <v>148</v>
      </c>
      <c r="K294" s="289">
        <v>33</v>
      </c>
      <c r="L294" s="289">
        <v>46</v>
      </c>
      <c r="M294" s="289">
        <v>307</v>
      </c>
      <c r="N294" s="290">
        <v>109</v>
      </c>
      <c r="O294" s="290">
        <v>50</v>
      </c>
      <c r="P294" s="624">
        <v>32311.793000000001</v>
      </c>
      <c r="Q294" s="624">
        <v>20072.864333329999</v>
      </c>
      <c r="R294" s="624">
        <v>23</v>
      </c>
      <c r="S294" s="289"/>
      <c r="T294" s="289">
        <v>395</v>
      </c>
      <c r="U294" s="716">
        <v>1.5173588700057598E-3</v>
      </c>
      <c r="V294" s="289">
        <v>895.36722477000001</v>
      </c>
      <c r="W294" s="743">
        <v>0.64967507999999996</v>
      </c>
      <c r="X294" s="289">
        <v>500</v>
      </c>
      <c r="Y294" s="289">
        <v>414.28399999999999</v>
      </c>
      <c r="Z294" s="289">
        <v>137039</v>
      </c>
      <c r="AA294" s="289">
        <v>0</v>
      </c>
      <c r="AB294" s="290">
        <v>210</v>
      </c>
      <c r="AC294" s="289">
        <v>0</v>
      </c>
      <c r="AD294" s="289">
        <v>0</v>
      </c>
      <c r="AE294" s="289">
        <v>446</v>
      </c>
      <c r="AF294" s="289">
        <v>0</v>
      </c>
      <c r="AG294" s="289">
        <v>5814</v>
      </c>
      <c r="AH294" s="289">
        <v>1061.2159546299999</v>
      </c>
      <c r="AI294" s="289">
        <v>293</v>
      </c>
      <c r="AJ294" s="289">
        <v>0</v>
      </c>
      <c r="AK294" s="289">
        <v>0</v>
      </c>
      <c r="AL294" s="289">
        <v>0</v>
      </c>
      <c r="AM294" s="836">
        <v>0.18240113999999999</v>
      </c>
      <c r="AN294" s="289">
        <v>0</v>
      </c>
      <c r="AO294" s="289">
        <v>231.36118902000001</v>
      </c>
      <c r="AP294" s="289">
        <v>0</v>
      </c>
      <c r="AQ294" s="289">
        <v>0</v>
      </c>
      <c r="AR294" s="289">
        <v>393.85903261999999</v>
      </c>
      <c r="AS294" s="289"/>
      <c r="AT294" s="289">
        <v>347</v>
      </c>
      <c r="AU294" s="289">
        <v>89</v>
      </c>
      <c r="AV294" s="625">
        <v>151327</v>
      </c>
      <c r="AW294" s="289"/>
      <c r="AX294" s="625">
        <v>33.5416667</v>
      </c>
      <c r="AY294" s="289">
        <v>874</v>
      </c>
      <c r="AZ294" s="289">
        <v>198</v>
      </c>
      <c r="BA294" s="290">
        <v>155</v>
      </c>
      <c r="BB294" s="289">
        <v>0</v>
      </c>
      <c r="BC294" s="289">
        <v>1442.83436366</v>
      </c>
      <c r="BD294" s="289">
        <v>94.911687345275894</v>
      </c>
      <c r="BE294" s="289">
        <v>155493.46006047999</v>
      </c>
      <c r="BF294" s="289">
        <v>0</v>
      </c>
      <c r="BG294" s="289">
        <v>-258.84530000000001</v>
      </c>
      <c r="BH294" s="289">
        <v>-16.416</v>
      </c>
      <c r="BI294" s="289">
        <v>1475.49995463</v>
      </c>
      <c r="BJ294" s="289">
        <v>0</v>
      </c>
      <c r="BK294" s="289">
        <v>0</v>
      </c>
      <c r="BL294" s="289">
        <v>0</v>
      </c>
      <c r="BM294" s="289">
        <v>0</v>
      </c>
      <c r="BN294" s="289">
        <v>351.43627863320512</v>
      </c>
      <c r="BO294" s="289">
        <v>238.92430560870716</v>
      </c>
      <c r="BP294" s="289">
        <v>526.40560729508547</v>
      </c>
      <c r="BQ294" s="289">
        <v>196.9531813267476</v>
      </c>
      <c r="BR294" s="289">
        <v>6.4329032534020332</v>
      </c>
      <c r="BS294" s="289">
        <v>1.4128258572513783</v>
      </c>
      <c r="BT294" s="289">
        <v>0</v>
      </c>
      <c r="BU294" s="289">
        <v>0</v>
      </c>
      <c r="BV294" s="289">
        <v>13.807965717052411</v>
      </c>
      <c r="BW294" s="517"/>
      <c r="BX294" s="517"/>
      <c r="CA294" s="517"/>
      <c r="CB294" s="517"/>
    </row>
    <row r="295" spans="1:80" ht="13">
      <c r="A295" s="1">
        <v>4215</v>
      </c>
      <c r="B295" s="2" t="s">
        <v>934</v>
      </c>
      <c r="C295" s="289">
        <v>10990</v>
      </c>
      <c r="D295" s="289">
        <v>229</v>
      </c>
      <c r="E295" s="289">
        <v>540</v>
      </c>
      <c r="F295" s="289">
        <v>1506</v>
      </c>
      <c r="G295" s="289">
        <v>948</v>
      </c>
      <c r="H295" s="289">
        <v>6032</v>
      </c>
      <c r="I295" s="289">
        <v>1274</v>
      </c>
      <c r="J295" s="289">
        <v>340</v>
      </c>
      <c r="K295" s="289">
        <v>79</v>
      </c>
      <c r="L295" s="289">
        <v>76</v>
      </c>
      <c r="M295" s="289">
        <v>642</v>
      </c>
      <c r="N295" s="290">
        <v>222</v>
      </c>
      <c r="O295" s="290">
        <v>87</v>
      </c>
      <c r="P295" s="624">
        <v>86477.953333330006</v>
      </c>
      <c r="Q295" s="624">
        <v>15192.501666669999</v>
      </c>
      <c r="R295" s="624">
        <v>41</v>
      </c>
      <c r="S295" s="289"/>
      <c r="T295" s="289">
        <v>741</v>
      </c>
      <c r="U295" s="716">
        <v>1.107288311961308E-3</v>
      </c>
      <c r="V295" s="289">
        <v>-1024.9971351199999</v>
      </c>
      <c r="W295" s="743">
        <v>0.57838825999999999</v>
      </c>
      <c r="X295" s="289">
        <v>1410</v>
      </c>
      <c r="Y295" s="289">
        <v>414.28399999999999</v>
      </c>
      <c r="Z295" s="289">
        <v>311373</v>
      </c>
      <c r="AA295" s="289">
        <v>0</v>
      </c>
      <c r="AB295" s="290">
        <v>255</v>
      </c>
      <c r="AC295" s="289">
        <v>0</v>
      </c>
      <c r="AD295" s="289">
        <v>0</v>
      </c>
      <c r="AE295" s="289">
        <v>1811</v>
      </c>
      <c r="AF295" s="289">
        <v>0</v>
      </c>
      <c r="AG295" s="289">
        <v>10948</v>
      </c>
      <c r="AH295" s="289">
        <v>1986.4679728999999</v>
      </c>
      <c r="AI295" s="289">
        <v>87</v>
      </c>
      <c r="AJ295" s="289">
        <v>0</v>
      </c>
      <c r="AK295" s="289">
        <v>0</v>
      </c>
      <c r="AL295" s="289">
        <v>0</v>
      </c>
      <c r="AM295" s="836">
        <v>0.23985044999999999</v>
      </c>
      <c r="AN295" s="289">
        <v>0</v>
      </c>
      <c r="AO295" s="289">
        <v>431.22519525000001</v>
      </c>
      <c r="AP295" s="289">
        <v>0</v>
      </c>
      <c r="AQ295" s="289">
        <v>0</v>
      </c>
      <c r="AR295" s="289">
        <v>-582.73686418</v>
      </c>
      <c r="AS295" s="289"/>
      <c r="AT295" s="289">
        <v>624</v>
      </c>
      <c r="AU295" s="289">
        <v>115</v>
      </c>
      <c r="AV295" s="625">
        <v>93939</v>
      </c>
      <c r="AW295" s="289"/>
      <c r="AX295" s="625">
        <v>86.046666700000003</v>
      </c>
      <c r="AY295" s="289">
        <v>2705</v>
      </c>
      <c r="AZ295" s="289">
        <v>395</v>
      </c>
      <c r="BA295" s="290">
        <v>233</v>
      </c>
      <c r="BB295" s="289">
        <v>0</v>
      </c>
      <c r="BC295" s="289">
        <v>-175575.5215343</v>
      </c>
      <c r="BD295" s="289">
        <v>156.11343791493942</v>
      </c>
      <c r="BE295" s="289">
        <v>100899.53724511</v>
      </c>
      <c r="BF295" s="289">
        <v>0</v>
      </c>
      <c r="BG295" s="289">
        <v>-469.68009999999998</v>
      </c>
      <c r="BH295" s="289">
        <v>-30.911999999999999</v>
      </c>
      <c r="BI295" s="289">
        <v>-181857.45884020001</v>
      </c>
      <c r="BJ295" s="289">
        <v>0</v>
      </c>
      <c r="BK295" s="289">
        <v>0</v>
      </c>
      <c r="BL295" s="289">
        <v>-184258.21081310001</v>
      </c>
      <c r="BM295" s="289">
        <v>0</v>
      </c>
      <c r="BN295" s="289">
        <v>686.10279651597853</v>
      </c>
      <c r="BO295" s="289">
        <v>435.70624716837631</v>
      </c>
      <c r="BP295" s="289">
        <v>991.24330730419592</v>
      </c>
      <c r="BQ295" s="289">
        <v>143.72602289257782</v>
      </c>
      <c r="BR295" s="289">
        <v>10.581021903123673</v>
      </c>
      <c r="BS295" s="289">
        <v>2.4403631576424836</v>
      </c>
      <c r="BT295" s="289">
        <v>0</v>
      </c>
      <c r="BU295" s="289">
        <v>0</v>
      </c>
      <c r="BV295" s="289">
        <v>10.076323638847901</v>
      </c>
      <c r="BW295" s="517"/>
      <c r="BX295" s="517"/>
      <c r="CA295" s="517"/>
      <c r="CB295" s="517"/>
    </row>
    <row r="296" spans="1:80" ht="13">
      <c r="A296" s="1">
        <v>4216</v>
      </c>
      <c r="B296" s="2" t="s">
        <v>935</v>
      </c>
      <c r="C296" s="289">
        <v>5212</v>
      </c>
      <c r="D296" s="289">
        <v>140</v>
      </c>
      <c r="E296" s="289">
        <v>284</v>
      </c>
      <c r="F296" s="289">
        <v>761</v>
      </c>
      <c r="G296" s="289">
        <v>491</v>
      </c>
      <c r="H296" s="289">
        <v>2814</v>
      </c>
      <c r="I296" s="289">
        <v>555</v>
      </c>
      <c r="J296" s="289">
        <v>123</v>
      </c>
      <c r="K296" s="289">
        <v>34</v>
      </c>
      <c r="L296" s="289">
        <v>43</v>
      </c>
      <c r="M296" s="289">
        <v>264</v>
      </c>
      <c r="N296" s="290">
        <v>111</v>
      </c>
      <c r="O296" s="290">
        <v>40</v>
      </c>
      <c r="P296" s="624">
        <v>37538.936666670001</v>
      </c>
      <c r="Q296" s="624">
        <v>18895.172666670001</v>
      </c>
      <c r="R296" s="624">
        <v>21</v>
      </c>
      <c r="S296" s="289"/>
      <c r="T296" s="289">
        <v>344</v>
      </c>
      <c r="U296" s="716">
        <v>1.9615242819260403E-3</v>
      </c>
      <c r="V296" s="289">
        <v>1983.02691181</v>
      </c>
      <c r="W296" s="743">
        <v>0.66944239000000005</v>
      </c>
      <c r="X296" s="289">
        <v>1020</v>
      </c>
      <c r="Y296" s="289">
        <v>0</v>
      </c>
      <c r="Z296" s="289">
        <v>121884</v>
      </c>
      <c r="AA296" s="289">
        <v>0</v>
      </c>
      <c r="AB296" s="290">
        <v>175</v>
      </c>
      <c r="AC296" s="289">
        <v>645.5</v>
      </c>
      <c r="AD296" s="289">
        <v>0</v>
      </c>
      <c r="AE296" s="289">
        <v>0</v>
      </c>
      <c r="AF296" s="289">
        <v>0</v>
      </c>
      <c r="AG296" s="289">
        <v>5202</v>
      </c>
      <c r="AH296" s="289">
        <v>1016.5918934699999</v>
      </c>
      <c r="AI296" s="289">
        <v>42</v>
      </c>
      <c r="AJ296" s="289">
        <v>0</v>
      </c>
      <c r="AK296" s="289">
        <v>0</v>
      </c>
      <c r="AL296" s="289">
        <v>0</v>
      </c>
      <c r="AM296" s="836">
        <v>0.1034762</v>
      </c>
      <c r="AN296" s="289">
        <v>0</v>
      </c>
      <c r="AO296" s="289">
        <v>216.55956742000001</v>
      </c>
      <c r="AP296" s="289">
        <v>0</v>
      </c>
      <c r="AQ296" s="289">
        <v>0</v>
      </c>
      <c r="AR296" s="289">
        <v>-276.89049757999999</v>
      </c>
      <c r="AS296" s="289"/>
      <c r="AT296" s="289">
        <v>261</v>
      </c>
      <c r="AU296" s="289">
        <v>52</v>
      </c>
      <c r="AV296" s="625">
        <v>145058</v>
      </c>
      <c r="AW296" s="289"/>
      <c r="AX296" s="625">
        <v>55.810372100000002</v>
      </c>
      <c r="AY296" s="289">
        <v>895</v>
      </c>
      <c r="AZ296" s="289">
        <v>203</v>
      </c>
      <c r="BA296" s="290">
        <v>96</v>
      </c>
      <c r="BB296" s="289">
        <v>0</v>
      </c>
      <c r="BC296" s="289">
        <v>994.52567679000003</v>
      </c>
      <c r="BD296" s="289">
        <v>78.709342451872473</v>
      </c>
      <c r="BE296" s="289">
        <v>153080.13264609</v>
      </c>
      <c r="BF296" s="289">
        <v>0</v>
      </c>
      <c r="BG296" s="289">
        <v>-243.7791</v>
      </c>
      <c r="BH296" s="289">
        <v>-14.688000000000001</v>
      </c>
      <c r="BI296" s="289">
        <v>1016.5918934699999</v>
      </c>
      <c r="BJ296" s="289">
        <v>0</v>
      </c>
      <c r="BK296" s="289">
        <v>0</v>
      </c>
      <c r="BL296" s="289">
        <v>0</v>
      </c>
      <c r="BM296" s="289">
        <v>0</v>
      </c>
      <c r="BN296" s="289">
        <v>321.89702436138339</v>
      </c>
      <c r="BO296" s="289">
        <v>224.27832663424218</v>
      </c>
      <c r="BP296" s="289">
        <v>470.99449073770808</v>
      </c>
      <c r="BQ296" s="289">
        <v>254.60585179400005</v>
      </c>
      <c r="BR296" s="289">
        <v>5.3347443217380226</v>
      </c>
      <c r="BS296" s="289">
        <v>1.2937491274847861</v>
      </c>
      <c r="BT296" s="289">
        <v>0</v>
      </c>
      <c r="BU296" s="289">
        <v>0</v>
      </c>
      <c r="BV296" s="289">
        <v>17.849870965526961</v>
      </c>
      <c r="BW296" s="517"/>
      <c r="BX296" s="517"/>
      <c r="CA296" s="517"/>
      <c r="CB296" s="517"/>
    </row>
    <row r="297" spans="1:80" ht="13">
      <c r="A297" s="1">
        <v>4217</v>
      </c>
      <c r="B297" s="2" t="s">
        <v>936</v>
      </c>
      <c r="C297" s="289">
        <v>1848</v>
      </c>
      <c r="D297" s="289">
        <v>47</v>
      </c>
      <c r="E297" s="289">
        <v>98</v>
      </c>
      <c r="F297" s="289">
        <v>201</v>
      </c>
      <c r="G297" s="289">
        <v>169</v>
      </c>
      <c r="H297" s="289">
        <v>993</v>
      </c>
      <c r="I297" s="289">
        <v>244</v>
      </c>
      <c r="J297" s="289">
        <v>83</v>
      </c>
      <c r="K297" s="289">
        <v>11</v>
      </c>
      <c r="L297" s="289">
        <v>18</v>
      </c>
      <c r="M297" s="289">
        <v>168</v>
      </c>
      <c r="N297" s="290">
        <v>61</v>
      </c>
      <c r="O297" s="290">
        <v>35</v>
      </c>
      <c r="P297" s="624">
        <v>18002.91466667</v>
      </c>
      <c r="Q297" s="624">
        <v>10696.078666670001</v>
      </c>
      <c r="R297" s="624">
        <v>26</v>
      </c>
      <c r="S297" s="289"/>
      <c r="T297" s="289">
        <v>178</v>
      </c>
      <c r="U297" s="716">
        <v>1.3888295041851234E-3</v>
      </c>
      <c r="V297" s="289">
        <v>641.61288127</v>
      </c>
      <c r="W297" s="743">
        <v>1</v>
      </c>
      <c r="X297" s="289">
        <v>1630</v>
      </c>
      <c r="Y297" s="289">
        <v>318.68</v>
      </c>
      <c r="Z297" s="289">
        <v>44108</v>
      </c>
      <c r="AA297" s="289">
        <v>-670.50403568000002</v>
      </c>
      <c r="AB297" s="290">
        <v>68</v>
      </c>
      <c r="AC297" s="289">
        <v>0</v>
      </c>
      <c r="AD297" s="289">
        <v>0</v>
      </c>
      <c r="AE297" s="289">
        <v>0</v>
      </c>
      <c r="AF297" s="289">
        <v>0</v>
      </c>
      <c r="AG297" s="289">
        <v>1846</v>
      </c>
      <c r="AH297" s="289">
        <v>311.67117722</v>
      </c>
      <c r="AI297" s="289">
        <v>15</v>
      </c>
      <c r="AJ297" s="289">
        <v>0</v>
      </c>
      <c r="AK297" s="289">
        <v>5.96</v>
      </c>
      <c r="AL297" s="289">
        <v>0</v>
      </c>
      <c r="AM297" s="836">
        <v>3.9313460000000001E-2</v>
      </c>
      <c r="AN297" s="289">
        <v>0</v>
      </c>
      <c r="AO297" s="289">
        <v>97.698985519999994</v>
      </c>
      <c r="AP297" s="289">
        <v>0</v>
      </c>
      <c r="AQ297" s="289">
        <v>0</v>
      </c>
      <c r="AR297" s="289">
        <v>-98.258334970000007</v>
      </c>
      <c r="AS297" s="289"/>
      <c r="AT297" s="289">
        <v>96</v>
      </c>
      <c r="AU297" s="289">
        <v>17</v>
      </c>
      <c r="AV297" s="625">
        <v>85177</v>
      </c>
      <c r="AW297" s="289"/>
      <c r="AX297" s="625">
        <v>7.2499999500000003</v>
      </c>
      <c r="AY297" s="289">
        <v>303</v>
      </c>
      <c r="AZ297" s="289">
        <v>82</v>
      </c>
      <c r="BA297" s="290">
        <v>34</v>
      </c>
      <c r="BB297" s="289">
        <v>4559</v>
      </c>
      <c r="BC297" s="289">
        <v>-684.11805462999996</v>
      </c>
      <c r="BD297" s="289">
        <v>34.280985098845562</v>
      </c>
      <c r="BE297" s="289">
        <v>87849.359773610006</v>
      </c>
      <c r="BF297" s="289">
        <v>0</v>
      </c>
      <c r="BG297" s="289">
        <v>-78.494799999999998</v>
      </c>
      <c r="BH297" s="289">
        <v>-5.2122000000000002</v>
      </c>
      <c r="BI297" s="289">
        <v>-40.152858459999997</v>
      </c>
      <c r="BJ297" s="289">
        <v>0</v>
      </c>
      <c r="BK297" s="289">
        <v>0</v>
      </c>
      <c r="BL297" s="289">
        <v>0</v>
      </c>
      <c r="BM297" s="289">
        <v>0</v>
      </c>
      <c r="BN297" s="289">
        <v>203.36224711237534</v>
      </c>
      <c r="BO297" s="289">
        <v>112.67597072572352</v>
      </c>
      <c r="BP297" s="289">
        <v>167.13876007339658</v>
      </c>
      <c r="BQ297" s="289">
        <v>180.27006964322899</v>
      </c>
      <c r="BR297" s="289">
        <v>2.3234889900328666</v>
      </c>
      <c r="BS297" s="289">
        <v>0.71299256128070176</v>
      </c>
      <c r="BT297" s="289">
        <v>0</v>
      </c>
      <c r="BU297" s="289">
        <v>0</v>
      </c>
      <c r="BV297" s="289">
        <v>12.638348488084622</v>
      </c>
      <c r="BW297" s="517"/>
      <c r="BX297" s="517"/>
      <c r="CA297" s="517"/>
      <c r="CB297" s="517"/>
    </row>
    <row r="298" spans="1:80" ht="13">
      <c r="A298" s="1">
        <v>4218</v>
      </c>
      <c r="B298" s="2" t="s">
        <v>937</v>
      </c>
      <c r="C298" s="289">
        <v>1326</v>
      </c>
      <c r="D298" s="289">
        <v>37</v>
      </c>
      <c r="E298" s="289">
        <v>89</v>
      </c>
      <c r="F298" s="289">
        <v>172</v>
      </c>
      <c r="G298" s="289">
        <v>114</v>
      </c>
      <c r="H298" s="289">
        <v>752</v>
      </c>
      <c r="I298" s="289">
        <v>128</v>
      </c>
      <c r="J298" s="289">
        <v>31</v>
      </c>
      <c r="K298" s="289">
        <v>11</v>
      </c>
      <c r="L298" s="289">
        <v>9</v>
      </c>
      <c r="M298" s="289">
        <v>65</v>
      </c>
      <c r="N298" s="290">
        <v>20</v>
      </c>
      <c r="O298" s="290">
        <v>31</v>
      </c>
      <c r="P298" s="624">
        <v>10217.598333329999</v>
      </c>
      <c r="Q298" s="624">
        <v>7794.4960000000001</v>
      </c>
      <c r="R298" s="624">
        <v>6</v>
      </c>
      <c r="S298" s="289"/>
      <c r="T298" s="289">
        <v>90</v>
      </c>
      <c r="U298" s="716">
        <v>6.6254041095916262E-4</v>
      </c>
      <c r="V298" s="289">
        <v>677.90185823000002</v>
      </c>
      <c r="W298" s="743">
        <v>0.83419588</v>
      </c>
      <c r="X298" s="289">
        <v>640</v>
      </c>
      <c r="Y298" s="289">
        <v>335.12799999999999</v>
      </c>
      <c r="Z298" s="289">
        <v>32415</v>
      </c>
      <c r="AA298" s="289">
        <v>0</v>
      </c>
      <c r="AB298" s="290">
        <v>56</v>
      </c>
      <c r="AC298" s="289">
        <v>0</v>
      </c>
      <c r="AD298" s="289">
        <v>0</v>
      </c>
      <c r="AE298" s="289">
        <v>0</v>
      </c>
      <c r="AF298" s="289">
        <v>0</v>
      </c>
      <c r="AG298" s="289">
        <v>1334</v>
      </c>
      <c r="AH298" s="289">
        <v>255.89110076</v>
      </c>
      <c r="AI298" s="289">
        <v>11</v>
      </c>
      <c r="AJ298" s="289">
        <v>709.01099999999997</v>
      </c>
      <c r="AK298" s="289">
        <v>131.17599999999999</v>
      </c>
      <c r="AL298" s="289">
        <v>0</v>
      </c>
      <c r="AM298" s="836">
        <v>4.5017809999999998E-2</v>
      </c>
      <c r="AN298" s="289">
        <v>0</v>
      </c>
      <c r="AO298" s="289">
        <v>64.677237020000007</v>
      </c>
      <c r="AP298" s="289">
        <v>0</v>
      </c>
      <c r="AQ298" s="289">
        <v>0</v>
      </c>
      <c r="AR298" s="289">
        <v>-71.005752360000002</v>
      </c>
      <c r="AS298" s="289"/>
      <c r="AT298" s="289">
        <v>79</v>
      </c>
      <c r="AU298" s="289">
        <v>14</v>
      </c>
      <c r="AV298" s="625">
        <v>53556</v>
      </c>
      <c r="AW298" s="289"/>
      <c r="AX298" s="625">
        <v>9.2366666500000001</v>
      </c>
      <c r="AY298" s="289">
        <v>158</v>
      </c>
      <c r="AZ298" s="289">
        <v>72</v>
      </c>
      <c r="BA298" s="290">
        <v>32</v>
      </c>
      <c r="BB298" s="289">
        <v>2850</v>
      </c>
      <c r="BC298" s="289">
        <v>574.06506061000005</v>
      </c>
      <c r="BD298" s="289">
        <v>22.252000581345175</v>
      </c>
      <c r="BE298" s="289">
        <v>55333.424205299998</v>
      </c>
      <c r="BF298" s="289">
        <v>0</v>
      </c>
      <c r="BG298" s="289">
        <v>-65.586699999999993</v>
      </c>
      <c r="BH298" s="289">
        <v>-3.7665999999999999</v>
      </c>
      <c r="BI298" s="289">
        <v>591.01910076000001</v>
      </c>
      <c r="BJ298" s="289">
        <v>0</v>
      </c>
      <c r="BK298" s="289">
        <v>0</v>
      </c>
      <c r="BL298" s="289">
        <v>0</v>
      </c>
      <c r="BM298" s="289">
        <v>0</v>
      </c>
      <c r="BN298" s="289">
        <v>93.654025968584506</v>
      </c>
      <c r="BO298" s="289">
        <v>81.016529548778934</v>
      </c>
      <c r="BP298" s="289">
        <v>120.78174752866254</v>
      </c>
      <c r="BQ298" s="289">
        <v>85.997745342499314</v>
      </c>
      <c r="BR298" s="289">
        <v>1.5081911505133956</v>
      </c>
      <c r="BS298" s="289">
        <v>0.55380794780452702</v>
      </c>
      <c r="BT298" s="289">
        <v>0</v>
      </c>
      <c r="BU298" s="289">
        <v>0</v>
      </c>
      <c r="BV298" s="289">
        <v>6.0291177397283793</v>
      </c>
      <c r="BW298" s="517"/>
      <c r="BX298" s="517"/>
      <c r="CA298" s="517"/>
      <c r="CB298" s="517"/>
    </row>
    <row r="299" spans="1:80" ht="13">
      <c r="A299" s="1">
        <v>4219</v>
      </c>
      <c r="B299" s="4" t="s">
        <v>938</v>
      </c>
      <c r="C299" s="289">
        <v>3638</v>
      </c>
      <c r="D299" s="289">
        <v>69</v>
      </c>
      <c r="E299" s="289">
        <v>179</v>
      </c>
      <c r="F299" s="289">
        <v>497</v>
      </c>
      <c r="G299" s="289">
        <v>343</v>
      </c>
      <c r="H299" s="289">
        <v>1920</v>
      </c>
      <c r="I299" s="289">
        <v>469</v>
      </c>
      <c r="J299" s="289">
        <v>130</v>
      </c>
      <c r="K299" s="289">
        <v>41</v>
      </c>
      <c r="L299" s="289">
        <v>37</v>
      </c>
      <c r="M299" s="289">
        <v>286</v>
      </c>
      <c r="N299" s="290">
        <v>130</v>
      </c>
      <c r="O299" s="290">
        <v>43</v>
      </c>
      <c r="P299" s="624">
        <v>12567.97966667</v>
      </c>
      <c r="Q299" s="624">
        <v>8034.4203333300002</v>
      </c>
      <c r="R299" s="624">
        <v>10</v>
      </c>
      <c r="S299" s="289"/>
      <c r="T299" s="289">
        <v>287</v>
      </c>
      <c r="U299" s="716">
        <v>1.5195336112257258E-3</v>
      </c>
      <c r="V299" s="289">
        <v>1670.5512622700001</v>
      </c>
      <c r="W299" s="743">
        <v>0.72925017000000003</v>
      </c>
      <c r="X299" s="289">
        <v>320</v>
      </c>
      <c r="Y299" s="289">
        <v>414.28399999999999</v>
      </c>
      <c r="Z299" s="289">
        <v>83690</v>
      </c>
      <c r="AA299" s="289">
        <v>0</v>
      </c>
      <c r="AB299" s="290">
        <v>112</v>
      </c>
      <c r="AC299" s="289">
        <v>453</v>
      </c>
      <c r="AD299" s="289">
        <v>0</v>
      </c>
      <c r="AE299" s="289">
        <v>0</v>
      </c>
      <c r="AF299" s="289">
        <v>0</v>
      </c>
      <c r="AG299" s="289">
        <v>3648</v>
      </c>
      <c r="AH299" s="289">
        <v>649.14063979000002</v>
      </c>
      <c r="AI299" s="289">
        <v>169</v>
      </c>
      <c r="AJ299" s="289">
        <v>599.30499999999995</v>
      </c>
      <c r="AK299" s="289">
        <v>0</v>
      </c>
      <c r="AL299" s="289">
        <v>0</v>
      </c>
      <c r="AM299" s="836">
        <v>0.10545077999999999</v>
      </c>
      <c r="AN299" s="289">
        <v>0</v>
      </c>
      <c r="AO299" s="289">
        <v>159.38389699000001</v>
      </c>
      <c r="AP299" s="289">
        <v>0</v>
      </c>
      <c r="AQ299" s="289">
        <v>0</v>
      </c>
      <c r="AR299" s="289">
        <v>-194.17465113</v>
      </c>
      <c r="AS299" s="289"/>
      <c r="AT299" s="289">
        <v>212</v>
      </c>
      <c r="AU299" s="289">
        <v>31</v>
      </c>
      <c r="AV299" s="625">
        <v>110706</v>
      </c>
      <c r="AW299" s="289"/>
      <c r="AX299" s="625">
        <v>26.802961199999999</v>
      </c>
      <c r="AY299" s="289">
        <v>626</v>
      </c>
      <c r="AZ299" s="289">
        <v>214</v>
      </c>
      <c r="BA299" s="290">
        <v>120</v>
      </c>
      <c r="BB299" s="289">
        <v>0</v>
      </c>
      <c r="BC299" s="289">
        <v>1046.38335355</v>
      </c>
      <c r="BD299" s="289">
        <v>63.956578750770824</v>
      </c>
      <c r="BE299" s="289">
        <v>117739.55408359</v>
      </c>
      <c r="BF299" s="289">
        <v>0</v>
      </c>
      <c r="BG299" s="289">
        <v>-159.8535</v>
      </c>
      <c r="BH299" s="289">
        <v>-10.3002</v>
      </c>
      <c r="BI299" s="289">
        <v>1063.4246397899999</v>
      </c>
      <c r="BJ299" s="289">
        <v>0</v>
      </c>
      <c r="BK299" s="289">
        <v>0</v>
      </c>
      <c r="BL299" s="289">
        <v>0</v>
      </c>
      <c r="BM299" s="289">
        <v>0</v>
      </c>
      <c r="BN299" s="289">
        <v>269.15157582203631</v>
      </c>
      <c r="BO299" s="289">
        <v>165.08180267042883</v>
      </c>
      <c r="BP299" s="289">
        <v>330.29371438123007</v>
      </c>
      <c r="BQ299" s="289">
        <v>197.23546273709917</v>
      </c>
      <c r="BR299" s="289">
        <v>4.3348347819966895</v>
      </c>
      <c r="BS299" s="289">
        <v>0.99158548402541602</v>
      </c>
      <c r="BT299" s="289">
        <v>0</v>
      </c>
      <c r="BU299" s="289">
        <v>0</v>
      </c>
      <c r="BV299" s="289">
        <v>13.827755862154099</v>
      </c>
      <c r="BW299" s="517"/>
      <c r="BX299" s="517"/>
      <c r="CA299" s="517"/>
      <c r="CB299" s="517"/>
    </row>
    <row r="300" spans="1:80" ht="13">
      <c r="A300" s="1">
        <v>4220</v>
      </c>
      <c r="B300" s="2" t="s">
        <v>939</v>
      </c>
      <c r="C300" s="289">
        <v>1192</v>
      </c>
      <c r="D300" s="289">
        <v>23</v>
      </c>
      <c r="E300" s="289">
        <v>42</v>
      </c>
      <c r="F300" s="289">
        <v>131</v>
      </c>
      <c r="G300" s="289">
        <v>104</v>
      </c>
      <c r="H300" s="289">
        <v>669</v>
      </c>
      <c r="I300" s="289">
        <v>175</v>
      </c>
      <c r="J300" s="289">
        <v>49</v>
      </c>
      <c r="K300" s="289">
        <v>11</v>
      </c>
      <c r="L300" s="289">
        <v>11</v>
      </c>
      <c r="M300" s="289">
        <v>97</v>
      </c>
      <c r="N300" s="290">
        <v>5</v>
      </c>
      <c r="O300" s="290">
        <v>17</v>
      </c>
      <c r="P300" s="624">
        <v>20490.336666669999</v>
      </c>
      <c r="Q300" s="624">
        <v>6435.4116666700002</v>
      </c>
      <c r="R300" s="624">
        <v>9</v>
      </c>
      <c r="S300" s="289"/>
      <c r="T300" s="289">
        <v>132</v>
      </c>
      <c r="U300" s="716">
        <v>1.2164016929470689E-3</v>
      </c>
      <c r="V300" s="289">
        <v>654.30150507999997</v>
      </c>
      <c r="W300" s="743">
        <v>1</v>
      </c>
      <c r="X300" s="289">
        <v>470</v>
      </c>
      <c r="Y300" s="289">
        <v>350.548</v>
      </c>
      <c r="Z300" s="289">
        <v>31274</v>
      </c>
      <c r="AA300" s="289">
        <v>0</v>
      </c>
      <c r="AB300" s="290">
        <v>30</v>
      </c>
      <c r="AC300" s="289">
        <v>0</v>
      </c>
      <c r="AD300" s="289">
        <v>0</v>
      </c>
      <c r="AE300" s="289">
        <v>0</v>
      </c>
      <c r="AF300" s="289">
        <v>0</v>
      </c>
      <c r="AG300" s="289">
        <v>1204</v>
      </c>
      <c r="AH300" s="289">
        <v>179.89074658000001</v>
      </c>
      <c r="AI300" s="289">
        <v>10</v>
      </c>
      <c r="AJ300" s="289">
        <v>728.12400000000002</v>
      </c>
      <c r="AK300" s="289">
        <v>26.387</v>
      </c>
      <c r="AL300" s="289">
        <v>0</v>
      </c>
      <c r="AM300" s="836">
        <v>1.9348609999999999E-2</v>
      </c>
      <c r="AN300" s="289">
        <v>0</v>
      </c>
      <c r="AO300" s="289">
        <v>62.425575340000002</v>
      </c>
      <c r="AP300" s="289">
        <v>0</v>
      </c>
      <c r="AQ300" s="289">
        <v>0</v>
      </c>
      <c r="AR300" s="289">
        <v>-64.086151299999997</v>
      </c>
      <c r="AS300" s="289"/>
      <c r="AT300" s="289">
        <v>58</v>
      </c>
      <c r="AU300" s="289">
        <v>9</v>
      </c>
      <c r="AV300" s="625">
        <v>56692</v>
      </c>
      <c r="AW300" s="289"/>
      <c r="AX300" s="625">
        <v>10.113333300000001</v>
      </c>
      <c r="AY300" s="289">
        <v>260</v>
      </c>
      <c r="AZ300" s="289">
        <v>54</v>
      </c>
      <c r="BA300" s="290">
        <v>29</v>
      </c>
      <c r="BB300" s="289">
        <v>5698</v>
      </c>
      <c r="BC300" s="289">
        <v>516.57116162</v>
      </c>
      <c r="BD300" s="289">
        <v>18.517931653891395</v>
      </c>
      <c r="BE300" s="289">
        <v>58470.829958939998</v>
      </c>
      <c r="BF300" s="289">
        <v>0</v>
      </c>
      <c r="BG300" s="289">
        <v>-55.183300000000003</v>
      </c>
      <c r="BH300" s="289">
        <v>-3.3995000000000002</v>
      </c>
      <c r="BI300" s="289">
        <v>530.43874658000004</v>
      </c>
      <c r="BJ300" s="289">
        <v>0</v>
      </c>
      <c r="BK300" s="289">
        <v>0</v>
      </c>
      <c r="BL300" s="289">
        <v>0</v>
      </c>
      <c r="BM300" s="289">
        <v>0</v>
      </c>
      <c r="BN300" s="289">
        <v>119.33524807119872</v>
      </c>
      <c r="BO300" s="289">
        <v>87.434219293532195</v>
      </c>
      <c r="BP300" s="289">
        <v>109.01141231222616</v>
      </c>
      <c r="BQ300" s="289">
        <v>157.88893974452949</v>
      </c>
      <c r="BR300" s="289">
        <v>1.255104256541528</v>
      </c>
      <c r="BS300" s="289">
        <v>0.58041696174856083</v>
      </c>
      <c r="BT300" s="289">
        <v>0</v>
      </c>
      <c r="BU300" s="289">
        <v>0</v>
      </c>
      <c r="BV300" s="289">
        <v>11.069255405818325</v>
      </c>
      <c r="BW300" s="517"/>
      <c r="BX300" s="517"/>
      <c r="CA300" s="517"/>
      <c r="CB300" s="517"/>
    </row>
    <row r="301" spans="1:80" ht="13">
      <c r="A301" s="1">
        <v>4221</v>
      </c>
      <c r="B301" s="2" t="s">
        <v>940</v>
      </c>
      <c r="C301" s="289">
        <v>1156</v>
      </c>
      <c r="D301" s="289">
        <v>21</v>
      </c>
      <c r="E301" s="289">
        <v>37</v>
      </c>
      <c r="F301" s="289">
        <v>137</v>
      </c>
      <c r="G301" s="289">
        <v>111</v>
      </c>
      <c r="H301" s="289">
        <v>663</v>
      </c>
      <c r="I301" s="289">
        <v>168</v>
      </c>
      <c r="J301" s="289">
        <v>40</v>
      </c>
      <c r="K301" s="289">
        <v>18</v>
      </c>
      <c r="L301" s="289">
        <v>12</v>
      </c>
      <c r="M301" s="289">
        <v>95</v>
      </c>
      <c r="N301" s="290">
        <v>41</v>
      </c>
      <c r="O301" s="290">
        <v>32</v>
      </c>
      <c r="P301" s="624">
        <v>9870.2360000000008</v>
      </c>
      <c r="Q301" s="624">
        <v>3610.433</v>
      </c>
      <c r="R301" s="624">
        <v>4</v>
      </c>
      <c r="S301" s="289"/>
      <c r="T301" s="289">
        <v>141</v>
      </c>
      <c r="U301" s="716">
        <v>1.5232249963458109E-3</v>
      </c>
      <c r="V301" s="289">
        <v>618.08882189999997</v>
      </c>
      <c r="W301" s="743">
        <v>1</v>
      </c>
      <c r="X301" s="289">
        <v>0</v>
      </c>
      <c r="Y301" s="289">
        <v>350.548</v>
      </c>
      <c r="Z301" s="289">
        <v>47669</v>
      </c>
      <c r="AA301" s="289">
        <v>0</v>
      </c>
      <c r="AB301" s="290">
        <v>22</v>
      </c>
      <c r="AC301" s="289">
        <v>0</v>
      </c>
      <c r="AD301" s="289">
        <v>0</v>
      </c>
      <c r="AE301" s="289">
        <v>0</v>
      </c>
      <c r="AF301" s="289">
        <v>0</v>
      </c>
      <c r="AG301" s="289">
        <v>1195</v>
      </c>
      <c r="AH301" s="289">
        <v>182.67975039999999</v>
      </c>
      <c r="AI301" s="289">
        <v>0</v>
      </c>
      <c r="AJ301" s="289">
        <v>746.89800000000002</v>
      </c>
      <c r="AK301" s="289">
        <v>4.5819999999999999</v>
      </c>
      <c r="AL301" s="289">
        <v>0</v>
      </c>
      <c r="AM301" s="836">
        <v>1.8765509999999999E-2</v>
      </c>
      <c r="AN301" s="289">
        <v>0</v>
      </c>
      <c r="AO301" s="289">
        <v>58.970596919999998</v>
      </c>
      <c r="AP301" s="289">
        <v>0</v>
      </c>
      <c r="AQ301" s="289">
        <v>0</v>
      </c>
      <c r="AR301" s="289">
        <v>516.32685678999997</v>
      </c>
      <c r="AS301" s="289"/>
      <c r="AT301" s="289">
        <v>64</v>
      </c>
      <c r="AU301" s="289">
        <v>8</v>
      </c>
      <c r="AV301" s="625">
        <v>47516</v>
      </c>
      <c r="AW301" s="289"/>
      <c r="AX301" s="625">
        <v>8.5266666999999998</v>
      </c>
      <c r="AY301" s="289">
        <v>229</v>
      </c>
      <c r="AZ301" s="289">
        <v>55</v>
      </c>
      <c r="BA301" s="290">
        <v>17</v>
      </c>
      <c r="BB301" s="289">
        <v>0</v>
      </c>
      <c r="BC301" s="289">
        <v>532.42920202000005</v>
      </c>
      <c r="BD301" s="289">
        <v>21.41166283192095</v>
      </c>
      <c r="BE301" s="289">
        <v>47850.825039490002</v>
      </c>
      <c r="BF301" s="289">
        <v>0</v>
      </c>
      <c r="BG301" s="289">
        <v>-55.451999999999998</v>
      </c>
      <c r="BH301" s="289">
        <v>-3.3740999999999999</v>
      </c>
      <c r="BI301" s="289">
        <v>533.22775039999999</v>
      </c>
      <c r="BJ301" s="289">
        <v>0</v>
      </c>
      <c r="BK301" s="289">
        <v>0</v>
      </c>
      <c r="BL301" s="289">
        <v>0</v>
      </c>
      <c r="BM301" s="289">
        <v>0</v>
      </c>
      <c r="BN301" s="289">
        <v>106.52509737872282</v>
      </c>
      <c r="BO301" s="289">
        <v>81.989374378159056</v>
      </c>
      <c r="BP301" s="289">
        <v>108.19654295108825</v>
      </c>
      <c r="BQ301" s="289">
        <v>197.71460452568624</v>
      </c>
      <c r="BR301" s="289">
        <v>1.4512349252746426</v>
      </c>
      <c r="BS301" s="289">
        <v>0.5786181443562155</v>
      </c>
      <c r="BT301" s="289">
        <v>0</v>
      </c>
      <c r="BU301" s="289">
        <v>0</v>
      </c>
      <c r="BV301" s="289">
        <v>13.861347466746874</v>
      </c>
      <c r="BW301" s="517"/>
      <c r="BX301" s="517"/>
      <c r="CA301" s="517"/>
      <c r="CB301" s="517"/>
    </row>
    <row r="302" spans="1:80" ht="13">
      <c r="A302" s="1">
        <v>4222</v>
      </c>
      <c r="B302" s="2" t="s">
        <v>941</v>
      </c>
      <c r="C302" s="289">
        <v>953</v>
      </c>
      <c r="D302" s="289">
        <v>13</v>
      </c>
      <c r="E302" s="289">
        <v>36</v>
      </c>
      <c r="F302" s="289">
        <v>109</v>
      </c>
      <c r="G302" s="289">
        <v>92</v>
      </c>
      <c r="H302" s="289">
        <v>584</v>
      </c>
      <c r="I302" s="289">
        <v>93</v>
      </c>
      <c r="J302" s="289">
        <v>18</v>
      </c>
      <c r="K302" s="289">
        <v>5</v>
      </c>
      <c r="L302" s="289">
        <v>7</v>
      </c>
      <c r="M302" s="289">
        <v>48</v>
      </c>
      <c r="N302" s="290">
        <v>16</v>
      </c>
      <c r="O302" s="290">
        <v>22</v>
      </c>
      <c r="P302" s="624">
        <v>11199.744000000001</v>
      </c>
      <c r="Q302" s="624">
        <v>11865.91733333</v>
      </c>
      <c r="R302" s="624">
        <v>1</v>
      </c>
      <c r="S302" s="289"/>
      <c r="T302" s="289">
        <v>98</v>
      </c>
      <c r="U302" s="716">
        <v>5.667740709080799E-4</v>
      </c>
      <c r="V302" s="289">
        <v>482.71392729000002</v>
      </c>
      <c r="W302" s="743">
        <v>1</v>
      </c>
      <c r="X302" s="289">
        <v>0</v>
      </c>
      <c r="Y302" s="289">
        <v>414.28399999999999</v>
      </c>
      <c r="Z302" s="289">
        <v>84301</v>
      </c>
      <c r="AA302" s="289">
        <v>0</v>
      </c>
      <c r="AB302" s="290">
        <v>9</v>
      </c>
      <c r="AC302" s="289">
        <v>0</v>
      </c>
      <c r="AD302" s="289">
        <v>0</v>
      </c>
      <c r="AE302" s="289">
        <v>0</v>
      </c>
      <c r="AF302" s="289">
        <v>0</v>
      </c>
      <c r="AG302" s="289">
        <v>950</v>
      </c>
      <c r="AH302" s="289">
        <v>147.11995166</v>
      </c>
      <c r="AI302" s="289">
        <v>0</v>
      </c>
      <c r="AJ302" s="289">
        <v>1255.854</v>
      </c>
      <c r="AK302" s="289">
        <v>25.658999999999999</v>
      </c>
      <c r="AL302" s="289">
        <v>0</v>
      </c>
      <c r="AM302" s="836">
        <v>2.3796970000000001E-2</v>
      </c>
      <c r="AN302" s="289">
        <v>0</v>
      </c>
      <c r="AO302" s="289">
        <v>46.054753660000003</v>
      </c>
      <c r="AP302" s="289">
        <v>0</v>
      </c>
      <c r="AQ302" s="289">
        <v>0</v>
      </c>
      <c r="AR302" s="289">
        <v>0.44089984999999998</v>
      </c>
      <c r="AS302" s="289"/>
      <c r="AT302" s="289">
        <v>52</v>
      </c>
      <c r="AU302" s="289">
        <v>10</v>
      </c>
      <c r="AV302" s="625">
        <v>35964</v>
      </c>
      <c r="AW302" s="289"/>
      <c r="AX302" s="625">
        <v>5.4883333500000004</v>
      </c>
      <c r="AY302" s="289">
        <v>237</v>
      </c>
      <c r="AZ302" s="289">
        <v>42</v>
      </c>
      <c r="BA302" s="290">
        <v>12</v>
      </c>
      <c r="BB302" s="289">
        <v>0</v>
      </c>
      <c r="BC302" s="289">
        <v>146.12051514999999</v>
      </c>
      <c r="BD302" s="289">
        <v>14.835655048982902</v>
      </c>
      <c r="BE302" s="289">
        <v>37054.030021220002</v>
      </c>
      <c r="BF302" s="289">
        <v>0</v>
      </c>
      <c r="BG302" s="289">
        <v>-49.859499999999997</v>
      </c>
      <c r="BH302" s="289">
        <v>-2.6823000000000001</v>
      </c>
      <c r="BI302" s="289">
        <v>561.40395165999996</v>
      </c>
      <c r="BJ302" s="289">
        <v>0</v>
      </c>
      <c r="BK302" s="289">
        <v>0</v>
      </c>
      <c r="BL302" s="289">
        <v>0</v>
      </c>
      <c r="BM302" s="289">
        <v>0</v>
      </c>
      <c r="BN302" s="289">
        <v>65.225318684153052</v>
      </c>
      <c r="BO302" s="289">
        <v>75.293677787258346</v>
      </c>
      <c r="BP302" s="289">
        <v>86.013988120112003</v>
      </c>
      <c r="BQ302" s="289">
        <v>73.567274403868765</v>
      </c>
      <c r="BR302" s="289">
        <v>1.00552773109773</v>
      </c>
      <c r="BS302" s="289">
        <v>0.52952932117259366</v>
      </c>
      <c r="BT302" s="289">
        <v>0</v>
      </c>
      <c r="BU302" s="289">
        <v>0</v>
      </c>
      <c r="BV302" s="289">
        <v>5.1576440452635266</v>
      </c>
      <c r="BW302" s="517"/>
      <c r="BX302" s="517"/>
      <c r="CA302" s="517"/>
      <c r="CB302" s="517"/>
    </row>
    <row r="303" spans="1:80" ht="13">
      <c r="A303" s="1">
        <v>4223</v>
      </c>
      <c r="B303" s="2" t="s">
        <v>947</v>
      </c>
      <c r="C303" s="289">
        <v>14630</v>
      </c>
      <c r="D303" s="289">
        <v>365</v>
      </c>
      <c r="E303" s="289">
        <v>760</v>
      </c>
      <c r="F303" s="289">
        <v>1921</v>
      </c>
      <c r="G303" s="289">
        <v>1372</v>
      </c>
      <c r="H303" s="289">
        <v>8259</v>
      </c>
      <c r="I303" s="289">
        <v>1392</v>
      </c>
      <c r="J303" s="289">
        <v>429</v>
      </c>
      <c r="K303" s="289">
        <v>93</v>
      </c>
      <c r="L303" s="289">
        <v>125</v>
      </c>
      <c r="M303" s="289">
        <v>762</v>
      </c>
      <c r="N303" s="290">
        <v>241</v>
      </c>
      <c r="O303" s="290">
        <v>138</v>
      </c>
      <c r="P303" s="624">
        <v>37207.785333330001</v>
      </c>
      <c r="Q303" s="624">
        <v>52055.012999999999</v>
      </c>
      <c r="R303" s="624">
        <v>74</v>
      </c>
      <c r="S303" s="289"/>
      <c r="T303" s="289">
        <v>1049</v>
      </c>
      <c r="U303" s="716">
        <v>1.9151697726502365E-3</v>
      </c>
      <c r="V303" s="289">
        <v>5967.77599319</v>
      </c>
      <c r="W303" s="743">
        <v>0.59299972999999995</v>
      </c>
      <c r="X303" s="289">
        <v>2180</v>
      </c>
      <c r="Y303" s="289">
        <v>828.56799999999998</v>
      </c>
      <c r="Z303" s="289">
        <v>335821</v>
      </c>
      <c r="AA303" s="289">
        <v>0</v>
      </c>
      <c r="AB303" s="290">
        <v>491</v>
      </c>
      <c r="AC303" s="289">
        <v>947.5</v>
      </c>
      <c r="AD303" s="289">
        <v>0</v>
      </c>
      <c r="AE303" s="289">
        <v>0</v>
      </c>
      <c r="AF303" s="289">
        <v>0</v>
      </c>
      <c r="AG303" s="289">
        <v>14591</v>
      </c>
      <c r="AH303" s="289">
        <v>2647.4618789400001</v>
      </c>
      <c r="AI303" s="289">
        <v>417</v>
      </c>
      <c r="AJ303" s="289">
        <v>0</v>
      </c>
      <c r="AK303" s="289">
        <v>0</v>
      </c>
      <c r="AL303" s="289">
        <v>0</v>
      </c>
      <c r="AM303" s="836">
        <v>0.43278957000000001</v>
      </c>
      <c r="AN303" s="289">
        <v>0</v>
      </c>
      <c r="AO303" s="289">
        <v>578.49436684</v>
      </c>
      <c r="AP303" s="289">
        <v>0</v>
      </c>
      <c r="AQ303" s="289">
        <v>0</v>
      </c>
      <c r="AR303" s="289">
        <v>-776.64537680000001</v>
      </c>
      <c r="AS303" s="289"/>
      <c r="AT303" s="289">
        <v>918</v>
      </c>
      <c r="AU303" s="289">
        <v>190</v>
      </c>
      <c r="AV303" s="625">
        <v>368259</v>
      </c>
      <c r="AW303" s="289"/>
      <c r="AX303" s="625">
        <v>119.3266667</v>
      </c>
      <c r="AY303" s="289">
        <v>2123</v>
      </c>
      <c r="AZ303" s="289">
        <v>524</v>
      </c>
      <c r="BA303" s="290">
        <v>431</v>
      </c>
      <c r="BB303" s="289">
        <v>0</v>
      </c>
      <c r="BC303" s="289">
        <v>3391.9933030900002</v>
      </c>
      <c r="BD303" s="289">
        <v>233.60563031238678</v>
      </c>
      <c r="BE303" s="289">
        <v>390644.43316969997</v>
      </c>
      <c r="BF303" s="289">
        <v>0</v>
      </c>
      <c r="BG303" s="289">
        <v>-600.28049999999996</v>
      </c>
      <c r="BH303" s="289">
        <v>-41.198099999999997</v>
      </c>
      <c r="BI303" s="289">
        <v>3476.0298789399999</v>
      </c>
      <c r="BJ303" s="289">
        <v>0</v>
      </c>
      <c r="BK303" s="289">
        <v>0</v>
      </c>
      <c r="BL303" s="289">
        <v>0</v>
      </c>
      <c r="BM303" s="289">
        <v>0</v>
      </c>
      <c r="BN303" s="289">
        <v>935.76749369968957</v>
      </c>
      <c r="BO303" s="289">
        <v>556.43193035231695</v>
      </c>
      <c r="BP303" s="289">
        <v>1321.084316484794</v>
      </c>
      <c r="BQ303" s="289">
        <v>248.58903649000069</v>
      </c>
      <c r="BR303" s="289">
        <v>15.833270498950661</v>
      </c>
      <c r="BS303" s="289">
        <v>3.202615093206524</v>
      </c>
      <c r="BT303" s="289">
        <v>0</v>
      </c>
      <c r="BU303" s="289">
        <v>0</v>
      </c>
      <c r="BV303" s="289">
        <v>17.428044931117149</v>
      </c>
      <c r="BW303" s="517"/>
      <c r="BX303" s="517"/>
      <c r="CA303" s="517"/>
      <c r="CB303" s="517"/>
    </row>
    <row r="304" spans="1:80" ht="13">
      <c r="A304" s="1">
        <v>4224</v>
      </c>
      <c r="B304" s="2" t="s">
        <v>951</v>
      </c>
      <c r="C304" s="289">
        <v>939</v>
      </c>
      <c r="D304" s="289">
        <v>16</v>
      </c>
      <c r="E304" s="289">
        <v>44</v>
      </c>
      <c r="F304" s="289">
        <v>123</v>
      </c>
      <c r="G304" s="289">
        <v>113</v>
      </c>
      <c r="H304" s="289">
        <v>505</v>
      </c>
      <c r="I304" s="289">
        <v>77</v>
      </c>
      <c r="J304" s="289">
        <v>41</v>
      </c>
      <c r="K304" s="289">
        <v>12</v>
      </c>
      <c r="L304" s="289">
        <v>8</v>
      </c>
      <c r="M304" s="289">
        <v>77</v>
      </c>
      <c r="N304" s="290">
        <v>25</v>
      </c>
      <c r="O304" s="290">
        <v>14</v>
      </c>
      <c r="P304" s="624">
        <v>7464.3760000000002</v>
      </c>
      <c r="Q304" s="624">
        <v>5226.9709999999995</v>
      </c>
      <c r="R304" s="624">
        <v>3</v>
      </c>
      <c r="S304" s="289"/>
      <c r="T304" s="289">
        <v>69</v>
      </c>
      <c r="U304" s="716">
        <v>1.2126876232401848E-3</v>
      </c>
      <c r="V304" s="289">
        <v>530.35998961999996</v>
      </c>
      <c r="W304" s="743">
        <v>1</v>
      </c>
      <c r="X304" s="289">
        <v>0</v>
      </c>
      <c r="Y304" s="289">
        <v>288.86799999999999</v>
      </c>
      <c r="Z304" s="289">
        <v>41061</v>
      </c>
      <c r="AA304" s="289">
        <v>0</v>
      </c>
      <c r="AB304" s="290">
        <v>17</v>
      </c>
      <c r="AC304" s="289">
        <v>0</v>
      </c>
      <c r="AD304" s="289">
        <v>0</v>
      </c>
      <c r="AE304" s="289">
        <v>0</v>
      </c>
      <c r="AF304" s="289">
        <v>0</v>
      </c>
      <c r="AG304" s="289">
        <v>931</v>
      </c>
      <c r="AH304" s="289">
        <v>168.73473129000001</v>
      </c>
      <c r="AI304" s="289">
        <v>0</v>
      </c>
      <c r="AJ304" s="289">
        <v>0</v>
      </c>
      <c r="AK304" s="289">
        <v>0</v>
      </c>
      <c r="AL304" s="289">
        <v>0</v>
      </c>
      <c r="AM304" s="836">
        <v>1.8420039999999999E-2</v>
      </c>
      <c r="AN304" s="289">
        <v>0</v>
      </c>
      <c r="AO304" s="289">
        <v>50.600567529999999</v>
      </c>
      <c r="AP304" s="289">
        <v>0</v>
      </c>
      <c r="AQ304" s="289">
        <v>0</v>
      </c>
      <c r="AR304" s="289">
        <v>515.87468435000005</v>
      </c>
      <c r="AS304" s="289"/>
      <c r="AT304" s="289">
        <v>35</v>
      </c>
      <c r="AU304" s="289">
        <v>9</v>
      </c>
      <c r="AV304" s="625">
        <v>43512</v>
      </c>
      <c r="AW304" s="289"/>
      <c r="AX304" s="625">
        <v>3.47166665</v>
      </c>
      <c r="AY304" s="289">
        <v>127</v>
      </c>
      <c r="AZ304" s="289">
        <v>52</v>
      </c>
      <c r="BA304" s="290">
        <v>16</v>
      </c>
      <c r="BB304" s="289">
        <v>0</v>
      </c>
      <c r="BC304" s="289">
        <v>458.83659596000001</v>
      </c>
      <c r="BD304" s="289">
        <v>13.733674515673254</v>
      </c>
      <c r="BE304" s="289">
        <v>43662.042094780001</v>
      </c>
      <c r="BF304" s="289">
        <v>0</v>
      </c>
      <c r="BG304" s="289">
        <v>-49.683700000000002</v>
      </c>
      <c r="BH304" s="289">
        <v>-2.6286999999999998</v>
      </c>
      <c r="BI304" s="289">
        <v>457.60273129000001</v>
      </c>
      <c r="BJ304" s="289">
        <v>0</v>
      </c>
      <c r="BK304" s="289">
        <v>0</v>
      </c>
      <c r="BL304" s="289">
        <v>0</v>
      </c>
      <c r="BM304" s="289">
        <v>0</v>
      </c>
      <c r="BN304" s="289">
        <v>84.979863285465171</v>
      </c>
      <c r="BO304" s="289">
        <v>71.616226906216269</v>
      </c>
      <c r="BP304" s="289">
        <v>84.293708357709761</v>
      </c>
      <c r="BQ304" s="289">
        <v>157.40685349657596</v>
      </c>
      <c r="BR304" s="289">
        <v>0.93083793939563164</v>
      </c>
      <c r="BS304" s="289">
        <v>0.52637639979885964</v>
      </c>
      <c r="BT304" s="289">
        <v>0</v>
      </c>
      <c r="BU304" s="289">
        <v>0</v>
      </c>
      <c r="BV304" s="289">
        <v>11.035457371485679</v>
      </c>
      <c r="BW304" s="517"/>
      <c r="BX304" s="517"/>
      <c r="CA304" s="517"/>
      <c r="CB304" s="517"/>
    </row>
    <row r="305" spans="1:80" ht="13">
      <c r="A305" s="1">
        <v>4226</v>
      </c>
      <c r="B305" s="2" t="s">
        <v>955</v>
      </c>
      <c r="C305" s="289">
        <v>1683</v>
      </c>
      <c r="D305" s="289">
        <v>44</v>
      </c>
      <c r="E305" s="289">
        <v>94</v>
      </c>
      <c r="F305" s="289">
        <v>224</v>
      </c>
      <c r="G305" s="289">
        <v>165</v>
      </c>
      <c r="H305" s="289">
        <v>905</v>
      </c>
      <c r="I305" s="289">
        <v>195</v>
      </c>
      <c r="J305" s="289">
        <v>61</v>
      </c>
      <c r="K305" s="289">
        <v>17</v>
      </c>
      <c r="L305" s="289">
        <v>12</v>
      </c>
      <c r="M305" s="289">
        <v>113</v>
      </c>
      <c r="N305" s="290">
        <v>6</v>
      </c>
      <c r="O305" s="290">
        <v>24</v>
      </c>
      <c r="P305" s="624">
        <v>13381.71733333</v>
      </c>
      <c r="Q305" s="624">
        <v>6535.9129999999996</v>
      </c>
      <c r="R305" s="624">
        <v>14</v>
      </c>
      <c r="S305" s="289"/>
      <c r="T305" s="289">
        <v>107</v>
      </c>
      <c r="U305" s="716">
        <v>1.68927913894789E-3</v>
      </c>
      <c r="V305" s="289">
        <v>871.08082621999995</v>
      </c>
      <c r="W305" s="743">
        <v>0.88493716</v>
      </c>
      <c r="X305" s="289">
        <v>1450</v>
      </c>
      <c r="Y305" s="289">
        <v>265.22399999999999</v>
      </c>
      <c r="Z305" s="289">
        <v>42575</v>
      </c>
      <c r="AA305" s="289">
        <v>0</v>
      </c>
      <c r="AB305" s="290">
        <v>48</v>
      </c>
      <c r="AC305" s="289">
        <v>0</v>
      </c>
      <c r="AD305" s="289">
        <v>0</v>
      </c>
      <c r="AE305" s="289">
        <v>0</v>
      </c>
      <c r="AF305" s="289">
        <v>0</v>
      </c>
      <c r="AG305" s="289">
        <v>1705</v>
      </c>
      <c r="AH305" s="289">
        <v>315.15743199000002</v>
      </c>
      <c r="AI305" s="289">
        <v>614</v>
      </c>
      <c r="AJ305" s="289">
        <v>0</v>
      </c>
      <c r="AK305" s="289">
        <v>0</v>
      </c>
      <c r="AL305" s="289">
        <v>0</v>
      </c>
      <c r="AM305" s="836">
        <v>2.725004E-2</v>
      </c>
      <c r="AN305" s="289">
        <v>0</v>
      </c>
      <c r="AO305" s="289">
        <v>83.108049309999998</v>
      </c>
      <c r="AP305" s="289">
        <v>0</v>
      </c>
      <c r="AQ305" s="289">
        <v>0</v>
      </c>
      <c r="AR305" s="289">
        <v>-90.753229210000001</v>
      </c>
      <c r="AS305" s="289"/>
      <c r="AT305" s="289">
        <v>60</v>
      </c>
      <c r="AU305" s="289">
        <v>19</v>
      </c>
      <c r="AV305" s="625">
        <v>67230</v>
      </c>
      <c r="AW305" s="289"/>
      <c r="AX305" s="625">
        <v>10.03833335</v>
      </c>
      <c r="AY305" s="289">
        <v>269</v>
      </c>
      <c r="AZ305" s="289">
        <v>69</v>
      </c>
      <c r="BA305" s="290">
        <v>29</v>
      </c>
      <c r="BB305" s="289">
        <v>2850</v>
      </c>
      <c r="BC305" s="289">
        <v>561.70091920000004</v>
      </c>
      <c r="BD305" s="289">
        <v>21.207128927650565</v>
      </c>
      <c r="BE305" s="289">
        <v>70990.158382759997</v>
      </c>
      <c r="BF305" s="289">
        <v>0</v>
      </c>
      <c r="BG305" s="289">
        <v>-80.331299999999999</v>
      </c>
      <c r="BH305" s="289">
        <v>-4.8140999999999998</v>
      </c>
      <c r="BI305" s="289">
        <v>580.38143199000001</v>
      </c>
      <c r="BJ305" s="289">
        <v>0</v>
      </c>
      <c r="BK305" s="289">
        <v>0</v>
      </c>
      <c r="BL305" s="289">
        <v>0</v>
      </c>
      <c r="BM305" s="289">
        <v>0</v>
      </c>
      <c r="BN305" s="289">
        <v>147.90579320027246</v>
      </c>
      <c r="BO305" s="289">
        <v>98.516943700991121</v>
      </c>
      <c r="BP305" s="289">
        <v>154.37247341556943</v>
      </c>
      <c r="BQ305" s="289">
        <v>219.26843223543611</v>
      </c>
      <c r="BR305" s="289">
        <v>1.4373720717629828</v>
      </c>
      <c r="BS305" s="289">
        <v>0.64634793418485503</v>
      </c>
      <c r="BT305" s="289">
        <v>0</v>
      </c>
      <c r="BU305" s="289">
        <v>0</v>
      </c>
      <c r="BV305" s="289">
        <v>15.372440164425797</v>
      </c>
      <c r="BW305" s="517"/>
      <c r="BX305" s="517"/>
      <c r="CA305" s="517"/>
      <c r="CB305" s="517"/>
    </row>
    <row r="306" spans="1:80" ht="13">
      <c r="A306" s="1">
        <v>4227</v>
      </c>
      <c r="B306" s="2" t="s">
        <v>956</v>
      </c>
      <c r="C306" s="289">
        <v>6048</v>
      </c>
      <c r="D306" s="289">
        <v>129</v>
      </c>
      <c r="E306" s="289">
        <v>309</v>
      </c>
      <c r="F306" s="289">
        <v>758</v>
      </c>
      <c r="G306" s="289">
        <v>542</v>
      </c>
      <c r="H306" s="289">
        <v>3339</v>
      </c>
      <c r="I306" s="289">
        <v>665</v>
      </c>
      <c r="J306" s="289">
        <v>222</v>
      </c>
      <c r="K306" s="289">
        <v>59</v>
      </c>
      <c r="L306" s="289">
        <v>54</v>
      </c>
      <c r="M306" s="289">
        <v>410</v>
      </c>
      <c r="N306" s="290">
        <v>106</v>
      </c>
      <c r="O306" s="290">
        <v>80</v>
      </c>
      <c r="P306" s="624">
        <v>66746.187333330003</v>
      </c>
      <c r="Q306" s="624">
        <v>16168.87033333</v>
      </c>
      <c r="R306" s="624">
        <v>36</v>
      </c>
      <c r="S306" s="289"/>
      <c r="T306" s="289">
        <v>469</v>
      </c>
      <c r="U306" s="716">
        <v>3.2276937919013837E-3</v>
      </c>
      <c r="V306" s="289">
        <v>2715.3607717</v>
      </c>
      <c r="W306" s="743">
        <v>0.70689521</v>
      </c>
      <c r="X306" s="289">
        <v>0</v>
      </c>
      <c r="Y306" s="289">
        <v>288.86799999999999</v>
      </c>
      <c r="Z306" s="289">
        <v>177102</v>
      </c>
      <c r="AA306" s="289">
        <v>0</v>
      </c>
      <c r="AB306" s="290">
        <v>206</v>
      </c>
      <c r="AC306" s="289">
        <v>0</v>
      </c>
      <c r="AD306" s="289">
        <v>0</v>
      </c>
      <c r="AE306" s="289">
        <v>0</v>
      </c>
      <c r="AF306" s="289">
        <v>0</v>
      </c>
      <c r="AG306" s="289">
        <v>6023</v>
      </c>
      <c r="AH306" s="289">
        <v>1068.8857151499999</v>
      </c>
      <c r="AI306" s="289">
        <v>150</v>
      </c>
      <c r="AJ306" s="289">
        <v>0</v>
      </c>
      <c r="AK306" s="289">
        <v>531.76599999999996</v>
      </c>
      <c r="AL306" s="289">
        <v>0</v>
      </c>
      <c r="AM306" s="836">
        <v>0.11910498</v>
      </c>
      <c r="AN306" s="289">
        <v>6373</v>
      </c>
      <c r="AO306" s="289">
        <v>259.0670465</v>
      </c>
      <c r="AP306" s="289">
        <v>0</v>
      </c>
      <c r="AQ306" s="289">
        <v>0</v>
      </c>
      <c r="AR306" s="289">
        <v>-320.59043961999998</v>
      </c>
      <c r="AS306" s="289"/>
      <c r="AT306" s="289">
        <v>350</v>
      </c>
      <c r="AU306" s="289">
        <v>53</v>
      </c>
      <c r="AV306" s="625">
        <v>185016</v>
      </c>
      <c r="AW306" s="289"/>
      <c r="AX306" s="625">
        <v>32.4583333</v>
      </c>
      <c r="AY306" s="289">
        <v>883</v>
      </c>
      <c r="AZ306" s="289">
        <v>233</v>
      </c>
      <c r="BA306" s="290">
        <v>175</v>
      </c>
      <c r="BB306" s="289">
        <v>0</v>
      </c>
      <c r="BC306" s="289">
        <v>1309.50719194</v>
      </c>
      <c r="BD306" s="289">
        <v>94.488419615295896</v>
      </c>
      <c r="BE306" s="289">
        <v>194282.51556703</v>
      </c>
      <c r="BF306" s="289">
        <v>0</v>
      </c>
      <c r="BG306" s="289">
        <v>-251.87200000000001</v>
      </c>
      <c r="BH306" s="289">
        <v>-17.0061</v>
      </c>
      <c r="BI306" s="289">
        <v>1357.7537151500001</v>
      </c>
      <c r="BJ306" s="289">
        <v>0</v>
      </c>
      <c r="BK306" s="289">
        <v>0</v>
      </c>
      <c r="BL306" s="289">
        <v>0</v>
      </c>
      <c r="BM306" s="289">
        <v>0</v>
      </c>
      <c r="BN306" s="289">
        <v>468.27743325592769</v>
      </c>
      <c r="BO306" s="289">
        <v>264.03227708943496</v>
      </c>
      <c r="BP306" s="289">
        <v>545.32868468151014</v>
      </c>
      <c r="BQ306" s="289">
        <v>418.95465418879945</v>
      </c>
      <c r="BR306" s="289">
        <v>6.4042151072589437</v>
      </c>
      <c r="BS306" s="289">
        <v>1.4739012189888749</v>
      </c>
      <c r="BT306" s="289">
        <v>0</v>
      </c>
      <c r="BU306" s="289">
        <v>0</v>
      </c>
      <c r="BV306" s="289">
        <v>29.372013506302579</v>
      </c>
      <c r="BW306" s="517"/>
      <c r="BX306" s="517"/>
      <c r="CA306" s="517"/>
      <c r="CB306" s="517"/>
    </row>
    <row r="307" spans="1:80" ht="13">
      <c r="A307" s="1">
        <v>4228</v>
      </c>
      <c r="B307" s="2" t="s">
        <v>957</v>
      </c>
      <c r="C307" s="289">
        <v>1839</v>
      </c>
      <c r="D307" s="289">
        <v>32</v>
      </c>
      <c r="E307" s="289">
        <v>103</v>
      </c>
      <c r="F307" s="289">
        <v>236</v>
      </c>
      <c r="G307" s="289">
        <v>171</v>
      </c>
      <c r="H307" s="289">
        <v>983</v>
      </c>
      <c r="I307" s="289">
        <v>212</v>
      </c>
      <c r="J307" s="289">
        <v>76</v>
      </c>
      <c r="K307" s="289">
        <v>29</v>
      </c>
      <c r="L307" s="289">
        <v>13</v>
      </c>
      <c r="M307" s="289">
        <v>138</v>
      </c>
      <c r="N307" s="290">
        <v>15</v>
      </c>
      <c r="O307" s="290">
        <v>13</v>
      </c>
      <c r="P307" s="624">
        <v>19603.147000000001</v>
      </c>
      <c r="Q307" s="624">
        <v>7639.7516666700003</v>
      </c>
      <c r="R307" s="624">
        <v>8</v>
      </c>
      <c r="S307" s="289"/>
      <c r="T307" s="289">
        <v>138</v>
      </c>
      <c r="U307" s="716">
        <v>1.8105301039844951E-3</v>
      </c>
      <c r="V307" s="289">
        <v>920.72759165000002</v>
      </c>
      <c r="W307" s="743">
        <v>1</v>
      </c>
      <c r="X307" s="289">
        <v>0</v>
      </c>
      <c r="Y307" s="289">
        <v>0</v>
      </c>
      <c r="Z307" s="289">
        <v>112920</v>
      </c>
      <c r="AA307" s="289">
        <v>0</v>
      </c>
      <c r="AB307" s="290">
        <v>35</v>
      </c>
      <c r="AC307" s="289">
        <v>0</v>
      </c>
      <c r="AD307" s="289">
        <v>0</v>
      </c>
      <c r="AE307" s="289">
        <v>0</v>
      </c>
      <c r="AF307" s="289">
        <v>0</v>
      </c>
      <c r="AG307" s="289">
        <v>1842</v>
      </c>
      <c r="AH307" s="289">
        <v>329.79970206000002</v>
      </c>
      <c r="AI307" s="289">
        <v>0</v>
      </c>
      <c r="AJ307" s="289">
        <v>1101.8699999999999</v>
      </c>
      <c r="AK307" s="289">
        <v>12.286</v>
      </c>
      <c r="AL307" s="289">
        <v>0</v>
      </c>
      <c r="AM307" s="836">
        <v>1.052177E-2</v>
      </c>
      <c r="AN307" s="289">
        <v>0</v>
      </c>
      <c r="AO307" s="289">
        <v>87.844746189999995</v>
      </c>
      <c r="AP307" s="289">
        <v>0</v>
      </c>
      <c r="AQ307" s="289">
        <v>0</v>
      </c>
      <c r="AR307" s="289">
        <v>86.637672249999994</v>
      </c>
      <c r="AS307" s="289"/>
      <c r="AT307" s="289">
        <v>85</v>
      </c>
      <c r="AU307" s="289">
        <v>12</v>
      </c>
      <c r="AV307" s="625">
        <v>67871</v>
      </c>
      <c r="AW307" s="289"/>
      <c r="AX307" s="625">
        <v>0.80999995000000002</v>
      </c>
      <c r="AY307" s="289">
        <v>338</v>
      </c>
      <c r="AZ307" s="289">
        <v>35</v>
      </c>
      <c r="BA307" s="290">
        <v>12</v>
      </c>
      <c r="BB307" s="289">
        <v>0</v>
      </c>
      <c r="BC307" s="289">
        <v>312.62993940000001</v>
      </c>
      <c r="BD307" s="289">
        <v>21.938632020422105</v>
      </c>
      <c r="BE307" s="289">
        <v>69109.232089559999</v>
      </c>
      <c r="BF307" s="289">
        <v>0</v>
      </c>
      <c r="BG307" s="289">
        <v>-85.251099999999994</v>
      </c>
      <c r="BH307" s="289">
        <v>-5.2008999999999999</v>
      </c>
      <c r="BI307" s="289">
        <v>329.79970206000002</v>
      </c>
      <c r="BJ307" s="289">
        <v>0</v>
      </c>
      <c r="BK307" s="289">
        <v>0</v>
      </c>
      <c r="BL307" s="289">
        <v>0</v>
      </c>
      <c r="BM307" s="289">
        <v>0</v>
      </c>
      <c r="BN307" s="289">
        <v>158.85044221320655</v>
      </c>
      <c r="BO307" s="289">
        <v>110.57564926575532</v>
      </c>
      <c r="BP307" s="289">
        <v>166.77659591289085</v>
      </c>
      <c r="BQ307" s="289">
        <v>235.00680749718742</v>
      </c>
      <c r="BR307" s="289">
        <v>1.4869517258286091</v>
      </c>
      <c r="BS307" s="289">
        <v>0.7126704573440088</v>
      </c>
      <c r="BT307" s="289">
        <v>0</v>
      </c>
      <c r="BU307" s="289">
        <v>0</v>
      </c>
      <c r="BV307" s="289">
        <v>16.475823946258902</v>
      </c>
      <c r="BW307" s="517"/>
      <c r="BX307" s="517"/>
      <c r="CA307" s="517"/>
      <c r="CB307" s="517"/>
    </row>
    <row r="308" spans="1:80" ht="13">
      <c r="A308" s="1">
        <v>4601</v>
      </c>
      <c r="B308" s="2" t="s">
        <v>23</v>
      </c>
      <c r="C308" s="289">
        <v>281190</v>
      </c>
      <c r="D308" s="289">
        <v>6377</v>
      </c>
      <c r="E308" s="289">
        <v>12788</v>
      </c>
      <c r="F308" s="289">
        <v>31179</v>
      </c>
      <c r="G308" s="289">
        <v>24606</v>
      </c>
      <c r="H308" s="289">
        <v>167111</v>
      </c>
      <c r="I308" s="289">
        <v>26370</v>
      </c>
      <c r="J308" s="289">
        <v>9349</v>
      </c>
      <c r="K308" s="289">
        <v>2416</v>
      </c>
      <c r="L308" s="289">
        <v>2099</v>
      </c>
      <c r="M308" s="289">
        <v>17353</v>
      </c>
      <c r="N308" s="290">
        <v>7773</v>
      </c>
      <c r="O308" s="290">
        <v>2344</v>
      </c>
      <c r="P308" s="624">
        <v>989073.41366666998</v>
      </c>
      <c r="Q308" s="624">
        <v>343296.55333333003</v>
      </c>
      <c r="R308" s="624">
        <v>1036</v>
      </c>
      <c r="S308" s="289"/>
      <c r="T308" s="289">
        <v>26755</v>
      </c>
      <c r="U308" s="716">
        <v>3.1837836856247821E-3</v>
      </c>
      <c r="V308" s="289">
        <v>-44994.876408689997</v>
      </c>
      <c r="W308" s="743">
        <v>0.53721934999999998</v>
      </c>
      <c r="X308" s="289">
        <v>16500</v>
      </c>
      <c r="Y308" s="289">
        <v>4557.1239999999998</v>
      </c>
      <c r="Z308" s="289">
        <v>9648534</v>
      </c>
      <c r="AA308" s="289">
        <v>0</v>
      </c>
      <c r="AB308" s="290">
        <v>4649</v>
      </c>
      <c r="AC308" s="289">
        <v>0</v>
      </c>
      <c r="AD308" s="289">
        <v>0</v>
      </c>
      <c r="AE308" s="289">
        <v>0</v>
      </c>
      <c r="AF308" s="289">
        <v>0</v>
      </c>
      <c r="AG308" s="289">
        <v>280196</v>
      </c>
      <c r="AH308" s="289">
        <v>43834.773085360001</v>
      </c>
      <c r="AI308" s="289">
        <v>8500</v>
      </c>
      <c r="AJ308" s="289">
        <v>0</v>
      </c>
      <c r="AK308" s="289">
        <v>0</v>
      </c>
      <c r="AL308" s="289">
        <v>0</v>
      </c>
      <c r="AM308" s="836">
        <v>10.591862730000001</v>
      </c>
      <c r="AN308" s="289">
        <v>0</v>
      </c>
      <c r="AO308" s="289">
        <v>10327.332514440001</v>
      </c>
      <c r="AP308" s="289">
        <v>103803</v>
      </c>
      <c r="AQ308" s="289">
        <v>0</v>
      </c>
      <c r="AR308" s="289">
        <v>-14914.18874639</v>
      </c>
      <c r="AS308" s="289"/>
      <c r="AT308" s="289">
        <v>13545</v>
      </c>
      <c r="AU308" s="289">
        <v>4371</v>
      </c>
      <c r="AV308" s="625">
        <v>6045449</v>
      </c>
      <c r="AW308" s="289"/>
      <c r="AX308" s="625">
        <v>2163.5916667000001</v>
      </c>
      <c r="AY308" s="289">
        <v>89885</v>
      </c>
      <c r="AZ308" s="289">
        <v>14005</v>
      </c>
      <c r="BA308" s="290">
        <v>5675</v>
      </c>
      <c r="BB308" s="289">
        <v>0</v>
      </c>
      <c r="BC308" s="289">
        <v>46873.894304039997</v>
      </c>
      <c r="BD308" s="289">
        <v>4934.8648658919774</v>
      </c>
      <c r="BE308" s="289">
        <v>6346299.2113154</v>
      </c>
      <c r="BF308" s="289">
        <v>0</v>
      </c>
      <c r="BG308" s="289">
        <v>-9539.8253999999997</v>
      </c>
      <c r="BH308" s="289">
        <v>-791.14049999999997</v>
      </c>
      <c r="BI308" s="289">
        <v>48391.897085359997</v>
      </c>
      <c r="BJ308" s="289">
        <v>0</v>
      </c>
      <c r="BK308" s="289">
        <v>0</v>
      </c>
      <c r="BL308" s="289">
        <v>0</v>
      </c>
      <c r="BM308" s="289">
        <v>0</v>
      </c>
      <c r="BN308" s="289">
        <v>17572.492282121566</v>
      </c>
      <c r="BO308" s="289">
        <v>9883.6605257358733</v>
      </c>
      <c r="BP308" s="289">
        <v>25369.237279266214</v>
      </c>
      <c r="BQ308" s="289">
        <v>413.25512239409727</v>
      </c>
      <c r="BR308" s="289">
        <v>334.47417424378961</v>
      </c>
      <c r="BS308" s="289">
        <v>57.83906478952116</v>
      </c>
      <c r="BT308" s="289">
        <v>0</v>
      </c>
      <c r="BU308" s="289">
        <v>0</v>
      </c>
      <c r="BV308" s="289">
        <v>28.97243153918555</v>
      </c>
      <c r="BW308" s="517"/>
      <c r="BX308" s="517"/>
      <c r="CA308" s="517"/>
      <c r="CB308" s="517"/>
    </row>
    <row r="309" spans="1:80" ht="13">
      <c r="A309" s="1">
        <v>4611</v>
      </c>
      <c r="B309" s="2" t="s">
        <v>24</v>
      </c>
      <c r="C309" s="289">
        <v>4077</v>
      </c>
      <c r="D309" s="289">
        <v>107</v>
      </c>
      <c r="E309" s="289">
        <v>193</v>
      </c>
      <c r="F309" s="289">
        <v>520</v>
      </c>
      <c r="G309" s="289">
        <v>380</v>
      </c>
      <c r="H309" s="289">
        <v>2182</v>
      </c>
      <c r="I309" s="289">
        <v>474</v>
      </c>
      <c r="J309" s="289">
        <v>174</v>
      </c>
      <c r="K309" s="289">
        <v>63</v>
      </c>
      <c r="L309" s="289">
        <v>31</v>
      </c>
      <c r="M309" s="289">
        <v>303</v>
      </c>
      <c r="N309" s="290">
        <v>26</v>
      </c>
      <c r="O309" s="290">
        <v>33</v>
      </c>
      <c r="P309" s="624">
        <v>42588.42533333</v>
      </c>
      <c r="Q309" s="624">
        <v>11636.64766667</v>
      </c>
      <c r="R309" s="624">
        <v>22</v>
      </c>
      <c r="S309" s="289"/>
      <c r="T309" s="289">
        <v>270</v>
      </c>
      <c r="U309" s="716">
        <v>3.4278687457769039E-3</v>
      </c>
      <c r="V309" s="289">
        <v>1876.94492945</v>
      </c>
      <c r="W309" s="743">
        <v>0.77168371999999996</v>
      </c>
      <c r="X309" s="289">
        <v>3500</v>
      </c>
      <c r="Y309" s="289">
        <v>414.28399999999999</v>
      </c>
      <c r="Z309" s="289">
        <v>114533</v>
      </c>
      <c r="AA309" s="289">
        <v>0</v>
      </c>
      <c r="AB309" s="290">
        <v>76</v>
      </c>
      <c r="AC309" s="289">
        <v>0</v>
      </c>
      <c r="AD309" s="289">
        <v>0</v>
      </c>
      <c r="AE309" s="289">
        <v>0</v>
      </c>
      <c r="AF309" s="289">
        <v>0</v>
      </c>
      <c r="AG309" s="289">
        <v>4093</v>
      </c>
      <c r="AH309" s="289">
        <v>732.81075448000001</v>
      </c>
      <c r="AI309" s="289">
        <v>0</v>
      </c>
      <c r="AJ309" s="289">
        <v>0</v>
      </c>
      <c r="AK309" s="289">
        <v>64.241</v>
      </c>
      <c r="AL309" s="289">
        <v>0</v>
      </c>
      <c r="AM309" s="836">
        <v>3.3695139999999998E-2</v>
      </c>
      <c r="AN309" s="289">
        <v>1162</v>
      </c>
      <c r="AO309" s="289">
        <v>179.07549685000001</v>
      </c>
      <c r="AP309" s="289">
        <v>0</v>
      </c>
      <c r="AQ309" s="289">
        <v>0</v>
      </c>
      <c r="AR309" s="289">
        <v>-217.86097781000001</v>
      </c>
      <c r="AS309" s="289"/>
      <c r="AT309" s="289">
        <v>131</v>
      </c>
      <c r="AU309" s="289">
        <v>32</v>
      </c>
      <c r="AV309" s="625">
        <v>129155</v>
      </c>
      <c r="AW309" s="289"/>
      <c r="AX309" s="625">
        <v>34.58</v>
      </c>
      <c r="AY309" s="289">
        <v>696</v>
      </c>
      <c r="AZ309" s="289">
        <v>134</v>
      </c>
      <c r="BA309" s="290">
        <v>61</v>
      </c>
      <c r="BB309" s="289">
        <v>0</v>
      </c>
      <c r="BC309" s="289">
        <v>1122.27540406</v>
      </c>
      <c r="BD309" s="289">
        <v>46.281546393111469</v>
      </c>
      <c r="BE309" s="289">
        <v>136698.11695962001</v>
      </c>
      <c r="BF309" s="289">
        <v>0</v>
      </c>
      <c r="BG309" s="289">
        <v>-172.73349999999999</v>
      </c>
      <c r="BH309" s="289">
        <v>-11.556699999999999</v>
      </c>
      <c r="BI309" s="289">
        <v>1147.0947544799999</v>
      </c>
      <c r="BJ309" s="289">
        <v>0</v>
      </c>
      <c r="BK309" s="289">
        <v>0</v>
      </c>
      <c r="BL309" s="289">
        <v>0</v>
      </c>
      <c r="BM309" s="289">
        <v>0</v>
      </c>
      <c r="BN309" s="289">
        <v>341.86891631103214</v>
      </c>
      <c r="BO309" s="289">
        <v>193.31580656684122</v>
      </c>
      <c r="BP309" s="289">
        <v>370.5844772374931</v>
      </c>
      <c r="BQ309" s="289">
        <v>444.93736320184206</v>
      </c>
      <c r="BR309" s="289">
        <v>3.1368603666442225</v>
      </c>
      <c r="BS309" s="289">
        <v>1.0987018193981943</v>
      </c>
      <c r="BT309" s="289">
        <v>0</v>
      </c>
      <c r="BU309" s="289">
        <v>0</v>
      </c>
      <c r="BV309" s="289">
        <v>31.193605586569817</v>
      </c>
      <c r="BW309" s="517"/>
      <c r="BX309" s="517"/>
      <c r="CA309" s="517"/>
      <c r="CB309" s="517"/>
    </row>
    <row r="310" spans="1:80" ht="13">
      <c r="A310" s="1">
        <v>4612</v>
      </c>
      <c r="B310" s="2" t="s">
        <v>25</v>
      </c>
      <c r="C310" s="289">
        <v>5721</v>
      </c>
      <c r="D310" s="289">
        <v>133</v>
      </c>
      <c r="E310" s="289">
        <v>326</v>
      </c>
      <c r="F310" s="289">
        <v>841</v>
      </c>
      <c r="G310" s="289">
        <v>517</v>
      </c>
      <c r="H310" s="289">
        <v>3123</v>
      </c>
      <c r="I310" s="289">
        <v>611</v>
      </c>
      <c r="J310" s="289">
        <v>168</v>
      </c>
      <c r="K310" s="289">
        <v>37</v>
      </c>
      <c r="L310" s="289">
        <v>45</v>
      </c>
      <c r="M310" s="289">
        <v>286</v>
      </c>
      <c r="N310" s="290">
        <v>68</v>
      </c>
      <c r="O310" s="290">
        <v>69</v>
      </c>
      <c r="P310" s="624">
        <v>44161.038333329998</v>
      </c>
      <c r="Q310" s="624">
        <v>18445.746666669998</v>
      </c>
      <c r="R310" s="624">
        <v>24</v>
      </c>
      <c r="S310" s="289"/>
      <c r="T310" s="289">
        <v>350</v>
      </c>
      <c r="U310" s="716">
        <v>3.2611788302114356E-3</v>
      </c>
      <c r="V310" s="289">
        <v>1753.5315766900001</v>
      </c>
      <c r="W310" s="743">
        <v>0.71450250999999998</v>
      </c>
      <c r="X310" s="289">
        <v>3600</v>
      </c>
      <c r="Y310" s="289">
        <v>414.28399999999999</v>
      </c>
      <c r="Z310" s="289">
        <v>141649</v>
      </c>
      <c r="AA310" s="289">
        <v>0</v>
      </c>
      <c r="AB310" s="290">
        <v>114</v>
      </c>
      <c r="AC310" s="289">
        <v>0</v>
      </c>
      <c r="AD310" s="289">
        <v>0</v>
      </c>
      <c r="AE310" s="289">
        <v>0</v>
      </c>
      <c r="AF310" s="289">
        <v>0</v>
      </c>
      <c r="AG310" s="289">
        <v>5756</v>
      </c>
      <c r="AH310" s="289">
        <v>1124.66579161</v>
      </c>
      <c r="AI310" s="289">
        <v>400</v>
      </c>
      <c r="AJ310" s="289">
        <v>0</v>
      </c>
      <c r="AK310" s="289">
        <v>0</v>
      </c>
      <c r="AL310" s="289">
        <v>0</v>
      </c>
      <c r="AM310" s="836">
        <v>0.13712624000000001</v>
      </c>
      <c r="AN310" s="289">
        <v>0</v>
      </c>
      <c r="AO310" s="289">
        <v>240.26889188000001</v>
      </c>
      <c r="AP310" s="289">
        <v>0</v>
      </c>
      <c r="AQ310" s="289">
        <v>0</v>
      </c>
      <c r="AR310" s="289">
        <v>-306.37864360999998</v>
      </c>
      <c r="AS310" s="289"/>
      <c r="AT310" s="289">
        <v>274</v>
      </c>
      <c r="AU310" s="289">
        <v>65</v>
      </c>
      <c r="AV310" s="625">
        <v>166804</v>
      </c>
      <c r="AW310" s="289"/>
      <c r="AX310" s="625">
        <v>37.408333349999999</v>
      </c>
      <c r="AY310" s="289">
        <v>1025</v>
      </c>
      <c r="AZ310" s="289">
        <v>252</v>
      </c>
      <c r="BA310" s="290">
        <v>124</v>
      </c>
      <c r="BB310" s="289">
        <v>0</v>
      </c>
      <c r="BC310" s="289">
        <v>1489.2757677</v>
      </c>
      <c r="BD310" s="289">
        <v>73.830610623581009</v>
      </c>
      <c r="BE310" s="289">
        <v>172700.51165412</v>
      </c>
      <c r="BF310" s="289">
        <v>0</v>
      </c>
      <c r="BG310" s="289">
        <v>-271.37099999999998</v>
      </c>
      <c r="BH310" s="289">
        <v>-16.252199999999998</v>
      </c>
      <c r="BI310" s="289">
        <v>1538.9497916099999</v>
      </c>
      <c r="BJ310" s="289">
        <v>0</v>
      </c>
      <c r="BK310" s="289">
        <v>0</v>
      </c>
      <c r="BL310" s="289">
        <v>0</v>
      </c>
      <c r="BM310" s="289">
        <v>0</v>
      </c>
      <c r="BN310" s="289">
        <v>364.89788638120513</v>
      </c>
      <c r="BO310" s="289">
        <v>247.54848631882305</v>
      </c>
      <c r="BP310" s="289">
        <v>521.15422696775227</v>
      </c>
      <c r="BQ310" s="289">
        <v>423.30101216144431</v>
      </c>
      <c r="BR310" s="289">
        <v>5.0040747200427145</v>
      </c>
      <c r="BS310" s="289">
        <v>1.4225590340206218</v>
      </c>
      <c r="BT310" s="289">
        <v>0</v>
      </c>
      <c r="BU310" s="289">
        <v>0</v>
      </c>
      <c r="BV310" s="289">
        <v>29.676727354924058</v>
      </c>
      <c r="BW310" s="517"/>
      <c r="BX310" s="517"/>
      <c r="CA310" s="517"/>
      <c r="CB310" s="517"/>
    </row>
    <row r="311" spans="1:80" ht="13">
      <c r="A311" s="1">
        <v>4613</v>
      </c>
      <c r="B311" s="2" t="s">
        <v>26</v>
      </c>
      <c r="C311" s="289">
        <v>11960</v>
      </c>
      <c r="D311" s="289">
        <v>256</v>
      </c>
      <c r="E311" s="289">
        <v>618</v>
      </c>
      <c r="F311" s="289">
        <v>1703</v>
      </c>
      <c r="G311" s="289">
        <v>1203</v>
      </c>
      <c r="H311" s="289">
        <v>6347</v>
      </c>
      <c r="I311" s="289">
        <v>1276</v>
      </c>
      <c r="J311" s="289">
        <v>380</v>
      </c>
      <c r="K311" s="289">
        <v>155</v>
      </c>
      <c r="L311" s="289">
        <v>88</v>
      </c>
      <c r="M311" s="289">
        <v>682</v>
      </c>
      <c r="N311" s="290">
        <v>159</v>
      </c>
      <c r="O311" s="290">
        <v>135</v>
      </c>
      <c r="P311" s="624">
        <v>52165.052333330001</v>
      </c>
      <c r="Q311" s="624">
        <v>29128.628333330002</v>
      </c>
      <c r="R311" s="624">
        <v>55</v>
      </c>
      <c r="S311" s="289"/>
      <c r="T311" s="289">
        <v>726</v>
      </c>
      <c r="U311" s="716">
        <v>2.5486933506507535E-3</v>
      </c>
      <c r="V311" s="289">
        <v>5121.85559457</v>
      </c>
      <c r="W311" s="743">
        <v>0.66876142999999999</v>
      </c>
      <c r="X311" s="289">
        <v>7900</v>
      </c>
      <c r="Y311" s="289">
        <v>414.28399999999999</v>
      </c>
      <c r="Z311" s="289">
        <v>332334</v>
      </c>
      <c r="AA311" s="289">
        <v>0</v>
      </c>
      <c r="AB311" s="290">
        <v>196</v>
      </c>
      <c r="AC311" s="289">
        <v>0</v>
      </c>
      <c r="AD311" s="289">
        <v>0</v>
      </c>
      <c r="AE311" s="289">
        <v>0</v>
      </c>
      <c r="AF311" s="289">
        <v>0</v>
      </c>
      <c r="AG311" s="289">
        <v>11938</v>
      </c>
      <c r="AH311" s="289">
        <v>2296.0473972499999</v>
      </c>
      <c r="AI311" s="289">
        <v>400</v>
      </c>
      <c r="AJ311" s="289">
        <v>0</v>
      </c>
      <c r="AK311" s="289">
        <v>0</v>
      </c>
      <c r="AL311" s="289">
        <v>0</v>
      </c>
      <c r="AM311" s="836">
        <v>0.2325969</v>
      </c>
      <c r="AN311" s="289">
        <v>0</v>
      </c>
      <c r="AO311" s="289">
        <v>488.66582124000001</v>
      </c>
      <c r="AP311" s="289">
        <v>0</v>
      </c>
      <c r="AQ311" s="289">
        <v>0</v>
      </c>
      <c r="AR311" s="289">
        <v>-635.43228758999999</v>
      </c>
      <c r="AS311" s="289"/>
      <c r="AT311" s="289">
        <v>524</v>
      </c>
      <c r="AU311" s="289">
        <v>160</v>
      </c>
      <c r="AV311" s="625">
        <v>332281</v>
      </c>
      <c r="AW311" s="289"/>
      <c r="AX311" s="625">
        <v>89.126666700000001</v>
      </c>
      <c r="AY311" s="289">
        <v>2034</v>
      </c>
      <c r="AZ311" s="289">
        <v>393</v>
      </c>
      <c r="BA311" s="290">
        <v>221</v>
      </c>
      <c r="BB311" s="289">
        <v>0</v>
      </c>
      <c r="BC311" s="289">
        <v>2629.9219596500002</v>
      </c>
      <c r="BD311" s="289">
        <v>146.56385738938366</v>
      </c>
      <c r="BE311" s="289">
        <v>346579.35596547998</v>
      </c>
      <c r="BF311" s="289">
        <v>0</v>
      </c>
      <c r="BG311" s="289">
        <v>-531.60109999999997</v>
      </c>
      <c r="BH311" s="289">
        <v>-33.7072</v>
      </c>
      <c r="BI311" s="289">
        <v>2710.33139725</v>
      </c>
      <c r="BJ311" s="289">
        <v>0</v>
      </c>
      <c r="BK311" s="289">
        <v>0</v>
      </c>
      <c r="BL311" s="289">
        <v>0</v>
      </c>
      <c r="BM311" s="289">
        <v>0</v>
      </c>
      <c r="BN311" s="289">
        <v>828.12163049580533</v>
      </c>
      <c r="BO311" s="289">
        <v>476.2038118776519</v>
      </c>
      <c r="BP311" s="289">
        <v>1080.8789370293655</v>
      </c>
      <c r="BQ311" s="289">
        <v>330.82039691446789</v>
      </c>
      <c r="BR311" s="289">
        <v>9.933772556391558</v>
      </c>
      <c r="BS311" s="289">
        <v>2.6780728270489353</v>
      </c>
      <c r="BT311" s="289">
        <v>0</v>
      </c>
      <c r="BU311" s="289">
        <v>0</v>
      </c>
      <c r="BV311" s="289">
        <v>23.193109490921852</v>
      </c>
      <c r="BW311" s="517"/>
      <c r="BX311" s="517"/>
      <c r="CA311" s="517"/>
      <c r="CB311" s="517"/>
    </row>
    <row r="312" spans="1:80" ht="13">
      <c r="A312" s="1">
        <v>4614</v>
      </c>
      <c r="B312" s="2" t="s">
        <v>27</v>
      </c>
      <c r="C312" s="289">
        <v>18699</v>
      </c>
      <c r="D312" s="289">
        <v>446</v>
      </c>
      <c r="E312" s="289">
        <v>930</v>
      </c>
      <c r="F312" s="289">
        <v>2484</v>
      </c>
      <c r="G312" s="289">
        <v>1884</v>
      </c>
      <c r="H312" s="289">
        <v>10363</v>
      </c>
      <c r="I312" s="289">
        <v>1948</v>
      </c>
      <c r="J312" s="289">
        <v>604</v>
      </c>
      <c r="K312" s="289">
        <v>152</v>
      </c>
      <c r="L312" s="289">
        <v>131</v>
      </c>
      <c r="M312" s="289">
        <v>934</v>
      </c>
      <c r="N312" s="290">
        <v>308</v>
      </c>
      <c r="O312" s="290">
        <v>177</v>
      </c>
      <c r="P312" s="624">
        <v>40173.514000000003</v>
      </c>
      <c r="Q312" s="624">
        <v>23360.756000000001</v>
      </c>
      <c r="R312" s="624">
        <v>73</v>
      </c>
      <c r="S312" s="289"/>
      <c r="T312" s="289">
        <v>1329</v>
      </c>
      <c r="U312" s="716">
        <v>1.5009492609034797E-3</v>
      </c>
      <c r="V312" s="289">
        <v>7531.1746027199997</v>
      </c>
      <c r="W312" s="743">
        <v>0.55017704999999995</v>
      </c>
      <c r="X312" s="289">
        <v>2300</v>
      </c>
      <c r="Y312" s="289">
        <v>414.28399999999999</v>
      </c>
      <c r="Z312" s="289">
        <v>540530</v>
      </c>
      <c r="AA312" s="289">
        <v>0</v>
      </c>
      <c r="AB312" s="290">
        <v>384</v>
      </c>
      <c r="AC312" s="289">
        <v>1062.5</v>
      </c>
      <c r="AD312" s="289">
        <v>0</v>
      </c>
      <c r="AE312" s="289">
        <v>0</v>
      </c>
      <c r="AF312" s="289">
        <v>0</v>
      </c>
      <c r="AG312" s="289">
        <v>18811</v>
      </c>
      <c r="AH312" s="289">
        <v>3438.8417137000001</v>
      </c>
      <c r="AI312" s="289">
        <v>400</v>
      </c>
      <c r="AJ312" s="289">
        <v>0</v>
      </c>
      <c r="AK312" s="289">
        <v>0</v>
      </c>
      <c r="AL312" s="289">
        <v>0</v>
      </c>
      <c r="AM312" s="836">
        <v>0.49806684000000001</v>
      </c>
      <c r="AN312" s="289">
        <v>0</v>
      </c>
      <c r="AO312" s="289">
        <v>718.53404576000003</v>
      </c>
      <c r="AP312" s="289">
        <v>0</v>
      </c>
      <c r="AQ312" s="289">
        <v>0</v>
      </c>
      <c r="AR312" s="289">
        <v>-1001.26627257</v>
      </c>
      <c r="AS312" s="289"/>
      <c r="AT312" s="289">
        <v>903</v>
      </c>
      <c r="AU312" s="289">
        <v>258</v>
      </c>
      <c r="AV312" s="625">
        <v>442557</v>
      </c>
      <c r="AW312" s="289"/>
      <c r="AX312" s="625">
        <v>176.76000005</v>
      </c>
      <c r="AY312" s="289">
        <v>4299</v>
      </c>
      <c r="AZ312" s="289">
        <v>754</v>
      </c>
      <c r="BA312" s="290">
        <v>416</v>
      </c>
      <c r="BB312" s="289">
        <v>0</v>
      </c>
      <c r="BC312" s="289">
        <v>3811.3459697799999</v>
      </c>
      <c r="BD312" s="289">
        <v>268.36564484951265</v>
      </c>
      <c r="BE312" s="289">
        <v>465487.55250686</v>
      </c>
      <c r="BF312" s="289">
        <v>0</v>
      </c>
      <c r="BG312" s="289">
        <v>-755.03300000000002</v>
      </c>
      <c r="BH312" s="289">
        <v>-53.113300000000002</v>
      </c>
      <c r="BI312" s="289">
        <v>3853.1257136999998</v>
      </c>
      <c r="BJ312" s="289">
        <v>0</v>
      </c>
      <c r="BK312" s="289">
        <v>0</v>
      </c>
      <c r="BL312" s="289">
        <v>0</v>
      </c>
      <c r="BM312" s="289">
        <v>0</v>
      </c>
      <c r="BN312" s="289">
        <v>1142.7193143330276</v>
      </c>
      <c r="BO312" s="289">
        <v>694.48032600465763</v>
      </c>
      <c r="BP312" s="289">
        <v>1703.1675058183439</v>
      </c>
      <c r="BQ312" s="289">
        <v>194.82321406527166</v>
      </c>
      <c r="BR312" s="289">
        <v>18.189227039800308</v>
      </c>
      <c r="BS312" s="289">
        <v>4.0533720682800105</v>
      </c>
      <c r="BT312" s="289">
        <v>0</v>
      </c>
      <c r="BU312" s="289">
        <v>0</v>
      </c>
      <c r="BV312" s="289">
        <v>13.658638274221666</v>
      </c>
      <c r="BW312" s="517"/>
      <c r="BX312" s="517"/>
      <c r="CA312" s="517"/>
      <c r="CB312" s="517"/>
    </row>
    <row r="313" spans="1:80" ht="13">
      <c r="A313" s="1">
        <v>4615</v>
      </c>
      <c r="B313" s="2" t="s">
        <v>28</v>
      </c>
      <c r="C313" s="289">
        <v>3201</v>
      </c>
      <c r="D313" s="289">
        <v>75</v>
      </c>
      <c r="E313" s="289">
        <v>152</v>
      </c>
      <c r="F313" s="289">
        <v>471</v>
      </c>
      <c r="G313" s="289">
        <v>305</v>
      </c>
      <c r="H313" s="289">
        <v>1743</v>
      </c>
      <c r="I313" s="289">
        <v>330</v>
      </c>
      <c r="J313" s="289">
        <v>95</v>
      </c>
      <c r="K313" s="289">
        <v>32</v>
      </c>
      <c r="L313" s="289">
        <v>25</v>
      </c>
      <c r="M313" s="289">
        <v>160</v>
      </c>
      <c r="N313" s="290">
        <v>6</v>
      </c>
      <c r="O313" s="290">
        <v>41</v>
      </c>
      <c r="P313" s="624">
        <v>14742.52433333</v>
      </c>
      <c r="Q313" s="624">
        <v>9515.9369999999999</v>
      </c>
      <c r="R313" s="624">
        <v>15</v>
      </c>
      <c r="S313" s="289"/>
      <c r="T313" s="289">
        <v>196</v>
      </c>
      <c r="U313" s="716">
        <v>1.5882111304262459E-3</v>
      </c>
      <c r="V313" s="289">
        <v>1417.50605479</v>
      </c>
      <c r="W313" s="743">
        <v>0.73181836</v>
      </c>
      <c r="X313" s="289">
        <v>3100</v>
      </c>
      <c r="Y313" s="289">
        <v>414.28399999999999</v>
      </c>
      <c r="Z313" s="289">
        <v>90564</v>
      </c>
      <c r="AA313" s="289">
        <v>0</v>
      </c>
      <c r="AB313" s="290">
        <v>66</v>
      </c>
      <c r="AC313" s="289">
        <v>0</v>
      </c>
      <c r="AD313" s="289">
        <v>0</v>
      </c>
      <c r="AE313" s="289">
        <v>0</v>
      </c>
      <c r="AF313" s="289">
        <v>0</v>
      </c>
      <c r="AG313" s="289">
        <v>3203</v>
      </c>
      <c r="AH313" s="289">
        <v>612.88359008999998</v>
      </c>
      <c r="AI313" s="289">
        <v>200</v>
      </c>
      <c r="AJ313" s="289">
        <v>0</v>
      </c>
      <c r="AK313" s="289">
        <v>39.823999999999998</v>
      </c>
      <c r="AL313" s="289">
        <v>0</v>
      </c>
      <c r="AM313" s="836">
        <v>5.6670909999999998E-2</v>
      </c>
      <c r="AN313" s="289">
        <v>0</v>
      </c>
      <c r="AO313" s="289">
        <v>135.24136859999999</v>
      </c>
      <c r="AP313" s="289">
        <v>0</v>
      </c>
      <c r="AQ313" s="289">
        <v>0</v>
      </c>
      <c r="AR313" s="289">
        <v>-170.48832444000001</v>
      </c>
      <c r="AS313" s="289"/>
      <c r="AT313" s="289">
        <v>136</v>
      </c>
      <c r="AU313" s="289">
        <v>39</v>
      </c>
      <c r="AV313" s="625">
        <v>100700</v>
      </c>
      <c r="AW313" s="289"/>
      <c r="AX313" s="625">
        <v>23.699999949999999</v>
      </c>
      <c r="AY313" s="289">
        <v>532</v>
      </c>
      <c r="AZ313" s="289">
        <v>109</v>
      </c>
      <c r="BA313" s="290">
        <v>56</v>
      </c>
      <c r="BB313" s="289">
        <v>2850</v>
      </c>
      <c r="BC313" s="289">
        <v>997.67651517000002</v>
      </c>
      <c r="BD313" s="289">
        <v>37.246975515534636</v>
      </c>
      <c r="BE313" s="289">
        <v>102741.71130005</v>
      </c>
      <c r="BF313" s="289">
        <v>0</v>
      </c>
      <c r="BG313" s="289">
        <v>-153.178</v>
      </c>
      <c r="BH313" s="289">
        <v>-9.0437999999999992</v>
      </c>
      <c r="BI313" s="289">
        <v>1027.16759009</v>
      </c>
      <c r="BJ313" s="289">
        <v>0</v>
      </c>
      <c r="BK313" s="289">
        <v>0</v>
      </c>
      <c r="BL313" s="289">
        <v>0</v>
      </c>
      <c r="BM313" s="289">
        <v>0</v>
      </c>
      <c r="BN313" s="289">
        <v>219.36807990542064</v>
      </c>
      <c r="BO313" s="289">
        <v>145.8156329583569</v>
      </c>
      <c r="BP313" s="289">
        <v>290.0029515249671</v>
      </c>
      <c r="BQ313" s="289">
        <v>206.14980472932672</v>
      </c>
      <c r="BR313" s="289">
        <v>2.5245172293862366</v>
      </c>
      <c r="BS313" s="289">
        <v>0.9032954776841573</v>
      </c>
      <c r="BT313" s="289">
        <v>0</v>
      </c>
      <c r="BU313" s="289">
        <v>0</v>
      </c>
      <c r="BV313" s="289">
        <v>14.452721286878838</v>
      </c>
      <c r="BW313" s="517"/>
      <c r="BX313" s="517"/>
      <c r="CA313" s="517"/>
      <c r="CB313" s="517"/>
    </row>
    <row r="314" spans="1:80" ht="13">
      <c r="A314" s="1">
        <v>4616</v>
      </c>
      <c r="B314" s="2" t="s">
        <v>29</v>
      </c>
      <c r="C314" s="289">
        <v>2846</v>
      </c>
      <c r="D314" s="289">
        <v>67</v>
      </c>
      <c r="E314" s="289">
        <v>125</v>
      </c>
      <c r="F314" s="289">
        <v>302</v>
      </c>
      <c r="G314" s="289">
        <v>233</v>
      </c>
      <c r="H314" s="289">
        <v>1487</v>
      </c>
      <c r="I314" s="289">
        <v>452</v>
      </c>
      <c r="J314" s="289">
        <v>160</v>
      </c>
      <c r="K314" s="289">
        <v>39</v>
      </c>
      <c r="L314" s="289">
        <v>21</v>
      </c>
      <c r="M314" s="289">
        <v>266</v>
      </c>
      <c r="N314" s="290">
        <v>1.5</v>
      </c>
      <c r="O314" s="290">
        <v>29</v>
      </c>
      <c r="P314" s="624">
        <v>25064.794666670001</v>
      </c>
      <c r="Q314" s="624">
        <v>10600.65633333</v>
      </c>
      <c r="R314" s="624">
        <v>21</v>
      </c>
      <c r="S314" s="289"/>
      <c r="T314" s="289">
        <v>225</v>
      </c>
      <c r="U314" s="716">
        <v>2.3593714171737485E-3</v>
      </c>
      <c r="V314" s="289">
        <v>1299.1279937899999</v>
      </c>
      <c r="W314" s="743">
        <v>0.95534845999999995</v>
      </c>
      <c r="X314" s="289">
        <v>3300</v>
      </c>
      <c r="Y314" s="289">
        <v>265.22399999999999</v>
      </c>
      <c r="Z314" s="289">
        <v>105762</v>
      </c>
      <c r="AA314" s="289">
        <v>-1005.0120510100001</v>
      </c>
      <c r="AB314" s="290">
        <v>41</v>
      </c>
      <c r="AC314" s="289">
        <v>0</v>
      </c>
      <c r="AD314" s="289">
        <v>0</v>
      </c>
      <c r="AE314" s="289">
        <v>0</v>
      </c>
      <c r="AF314" s="289">
        <v>0</v>
      </c>
      <c r="AG314" s="289">
        <v>2865</v>
      </c>
      <c r="AH314" s="289">
        <v>448.33236454000001</v>
      </c>
      <c r="AI314" s="289">
        <v>0</v>
      </c>
      <c r="AJ314" s="289">
        <v>0</v>
      </c>
      <c r="AK314" s="289">
        <v>0</v>
      </c>
      <c r="AL314" s="289">
        <v>0</v>
      </c>
      <c r="AM314" s="836">
        <v>4.2481369999999997E-2</v>
      </c>
      <c r="AN314" s="289">
        <v>0</v>
      </c>
      <c r="AO314" s="289">
        <v>133.06816014</v>
      </c>
      <c r="AP314" s="289">
        <v>0</v>
      </c>
      <c r="AQ314" s="289">
        <v>0</v>
      </c>
      <c r="AR314" s="289">
        <v>-152.4973617</v>
      </c>
      <c r="AS314" s="289"/>
      <c r="AT314" s="289">
        <v>112</v>
      </c>
      <c r="AU314" s="289">
        <v>43</v>
      </c>
      <c r="AV314" s="625">
        <v>101964</v>
      </c>
      <c r="AW314" s="289"/>
      <c r="AX314" s="625">
        <v>28.88</v>
      </c>
      <c r="AY314" s="289">
        <v>508</v>
      </c>
      <c r="AZ314" s="289">
        <v>72</v>
      </c>
      <c r="BA314" s="290">
        <v>54</v>
      </c>
      <c r="BB314" s="289">
        <v>2850</v>
      </c>
      <c r="BC314" s="289">
        <v>-1272.37470725</v>
      </c>
      <c r="BD314" s="289">
        <v>33.123451078146473</v>
      </c>
      <c r="BE314" s="289">
        <v>107890.25506424</v>
      </c>
      <c r="BF314" s="289">
        <v>0</v>
      </c>
      <c r="BG314" s="289">
        <v>-107.72069999999999</v>
      </c>
      <c r="BH314" s="289">
        <v>-8.0893999999999995</v>
      </c>
      <c r="BI314" s="289">
        <v>-291.45568646999999</v>
      </c>
      <c r="BJ314" s="289">
        <v>0</v>
      </c>
      <c r="BK314" s="289">
        <v>0</v>
      </c>
      <c r="BL314" s="289">
        <v>0</v>
      </c>
      <c r="BM314" s="289">
        <v>0</v>
      </c>
      <c r="BN314" s="289">
        <v>282.75731318882032</v>
      </c>
      <c r="BO314" s="289">
        <v>155.79342709965653</v>
      </c>
      <c r="BP314" s="289">
        <v>259.4000799622325</v>
      </c>
      <c r="BQ314" s="289">
        <v>306.24640994915251</v>
      </c>
      <c r="BR314" s="289">
        <v>2.2450339064077056</v>
      </c>
      <c r="BS314" s="289">
        <v>0.90470352061170134</v>
      </c>
      <c r="BT314" s="289">
        <v>0</v>
      </c>
      <c r="BU314" s="289">
        <v>0</v>
      </c>
      <c r="BV314" s="289">
        <v>21.470279896281106</v>
      </c>
      <c r="BW314" s="517"/>
      <c r="BX314" s="517"/>
      <c r="CA314" s="517"/>
      <c r="CB314" s="517"/>
    </row>
    <row r="315" spans="1:80" ht="13">
      <c r="A315" s="1">
        <v>4617</v>
      </c>
      <c r="B315" s="2" t="s">
        <v>30</v>
      </c>
      <c r="C315" s="289">
        <v>13137</v>
      </c>
      <c r="D315" s="289">
        <v>236</v>
      </c>
      <c r="E315" s="289">
        <v>537</v>
      </c>
      <c r="F315" s="289">
        <v>1707</v>
      </c>
      <c r="G315" s="289">
        <v>1272</v>
      </c>
      <c r="H315" s="289">
        <v>6919</v>
      </c>
      <c r="I315" s="289">
        <v>1740</v>
      </c>
      <c r="J315" s="289">
        <v>605</v>
      </c>
      <c r="K315" s="289">
        <v>170</v>
      </c>
      <c r="L315" s="289">
        <v>93</v>
      </c>
      <c r="M315" s="289">
        <v>1005</v>
      </c>
      <c r="N315" s="290">
        <v>120</v>
      </c>
      <c r="O315" s="290">
        <v>111</v>
      </c>
      <c r="P315" s="624">
        <v>113446.27833333</v>
      </c>
      <c r="Q315" s="624">
        <v>28251.420999999998</v>
      </c>
      <c r="R315" s="624">
        <v>67</v>
      </c>
      <c r="S315" s="289"/>
      <c r="T315" s="289">
        <v>992</v>
      </c>
      <c r="U315" s="716">
        <v>5.6199712913301532E-3</v>
      </c>
      <c r="V315" s="289">
        <v>3238.89150591</v>
      </c>
      <c r="W315" s="743">
        <v>0.70358768999999999</v>
      </c>
      <c r="X315" s="289">
        <v>0</v>
      </c>
      <c r="Y315" s="289">
        <v>414.28399999999999</v>
      </c>
      <c r="Z315" s="289">
        <v>374901</v>
      </c>
      <c r="AA315" s="289">
        <v>-4944.6551340300002</v>
      </c>
      <c r="AB315" s="290">
        <v>280</v>
      </c>
      <c r="AC315" s="289">
        <v>0</v>
      </c>
      <c r="AD315" s="289">
        <v>0</v>
      </c>
      <c r="AE315" s="289">
        <v>0</v>
      </c>
      <c r="AF315" s="289">
        <v>0</v>
      </c>
      <c r="AG315" s="289">
        <v>13186</v>
      </c>
      <c r="AH315" s="289">
        <v>2261.8821004199999</v>
      </c>
      <c r="AI315" s="289">
        <v>750</v>
      </c>
      <c r="AJ315" s="289">
        <v>0</v>
      </c>
      <c r="AK315" s="289">
        <v>0</v>
      </c>
      <c r="AL315" s="289">
        <v>0</v>
      </c>
      <c r="AM315" s="836">
        <v>0.31574879</v>
      </c>
      <c r="AN315" s="289">
        <v>15957</v>
      </c>
      <c r="AO315" s="289">
        <v>546.16208741000003</v>
      </c>
      <c r="AP315" s="289">
        <v>0</v>
      </c>
      <c r="AQ315" s="289">
        <v>0</v>
      </c>
      <c r="AR315" s="289">
        <v>-701.86045770999999</v>
      </c>
      <c r="AS315" s="289"/>
      <c r="AT315" s="289">
        <v>644</v>
      </c>
      <c r="AU315" s="289">
        <v>167</v>
      </c>
      <c r="AV315" s="625">
        <v>367938</v>
      </c>
      <c r="AW315" s="289"/>
      <c r="AX315" s="625">
        <v>84.708333300000007</v>
      </c>
      <c r="AY315" s="289">
        <v>2359</v>
      </c>
      <c r="AZ315" s="289">
        <v>510</v>
      </c>
      <c r="BA315" s="290">
        <v>305</v>
      </c>
      <c r="BB315" s="289">
        <v>0</v>
      </c>
      <c r="BC315" s="289">
        <v>-6966.2426023799999</v>
      </c>
      <c r="BD315" s="289">
        <v>179.84253624191038</v>
      </c>
      <c r="BE315" s="289">
        <v>391021.07022539002</v>
      </c>
      <c r="BF315" s="289">
        <v>0</v>
      </c>
      <c r="BG315" s="289">
        <v>-541.39080000000001</v>
      </c>
      <c r="BH315" s="289">
        <v>-37.231000000000002</v>
      </c>
      <c r="BI315" s="289">
        <v>-2268.4890336200001</v>
      </c>
      <c r="BJ315" s="289">
        <v>0</v>
      </c>
      <c r="BK315" s="289">
        <v>0</v>
      </c>
      <c r="BL315" s="289">
        <v>0</v>
      </c>
      <c r="BM315" s="289">
        <v>0</v>
      </c>
      <c r="BN315" s="289">
        <v>1054.3755690994485</v>
      </c>
      <c r="BO315" s="289">
        <v>559.15075492257631</v>
      </c>
      <c r="BP315" s="289">
        <v>1193.8741551071546</v>
      </c>
      <c r="BQ315" s="289">
        <v>729.47227361465389</v>
      </c>
      <c r="BR315" s="289">
        <v>12.18932745639615</v>
      </c>
      <c r="BS315" s="289">
        <v>2.9359660385248274</v>
      </c>
      <c r="BT315" s="289">
        <v>0</v>
      </c>
      <c r="BU315" s="289">
        <v>0</v>
      </c>
      <c r="BV315" s="289">
        <v>51.141738751104384</v>
      </c>
      <c r="BW315" s="517"/>
      <c r="BX315" s="517"/>
      <c r="CA315" s="517"/>
      <c r="CB315" s="517"/>
    </row>
    <row r="316" spans="1:80" ht="13">
      <c r="A316" s="1">
        <v>4619</v>
      </c>
      <c r="B316" s="2" t="s">
        <v>34</v>
      </c>
      <c r="C316" s="289">
        <v>906</v>
      </c>
      <c r="D316" s="289">
        <v>28</v>
      </c>
      <c r="E316" s="289">
        <v>29</v>
      </c>
      <c r="F316" s="289">
        <v>98</v>
      </c>
      <c r="G316" s="289">
        <v>67</v>
      </c>
      <c r="H316" s="289">
        <v>534</v>
      </c>
      <c r="I316" s="289">
        <v>112</v>
      </c>
      <c r="J316" s="289">
        <v>46</v>
      </c>
      <c r="K316" s="289">
        <v>13</v>
      </c>
      <c r="L316" s="289">
        <v>8</v>
      </c>
      <c r="M316" s="289">
        <v>98</v>
      </c>
      <c r="N316" s="290">
        <v>5</v>
      </c>
      <c r="O316" s="290">
        <v>14</v>
      </c>
      <c r="P316" s="624">
        <v>3364.9036666699999</v>
      </c>
      <c r="Q316" s="624">
        <v>2320.5396666699999</v>
      </c>
      <c r="R316" s="624">
        <v>1</v>
      </c>
      <c r="S316" s="289"/>
      <c r="T316" s="289">
        <v>76</v>
      </c>
      <c r="U316" s="716">
        <v>6.9039428604483516E-4</v>
      </c>
      <c r="V316" s="289">
        <v>495.37562043000003</v>
      </c>
      <c r="W316" s="743">
        <v>1</v>
      </c>
      <c r="X316" s="289">
        <v>0</v>
      </c>
      <c r="Y316" s="289">
        <v>0</v>
      </c>
      <c r="Z316" s="289">
        <v>56140</v>
      </c>
      <c r="AA316" s="289">
        <v>0</v>
      </c>
      <c r="AB316" s="290">
        <v>8</v>
      </c>
      <c r="AC316" s="289">
        <v>0</v>
      </c>
      <c r="AD316" s="289">
        <v>0</v>
      </c>
      <c r="AE316" s="289">
        <v>0</v>
      </c>
      <c r="AF316" s="289">
        <v>0</v>
      </c>
      <c r="AG316" s="289">
        <v>927</v>
      </c>
      <c r="AH316" s="289">
        <v>135.26668541000001</v>
      </c>
      <c r="AI316" s="289">
        <v>150</v>
      </c>
      <c r="AJ316" s="289">
        <v>0</v>
      </c>
      <c r="AK316" s="289">
        <v>0</v>
      </c>
      <c r="AL316" s="289">
        <v>0</v>
      </c>
      <c r="AM316" s="836">
        <v>9.2712999999999997E-3</v>
      </c>
      <c r="AN316" s="289">
        <v>0</v>
      </c>
      <c r="AO316" s="289">
        <v>47.262780040000003</v>
      </c>
      <c r="AP316" s="289">
        <v>0</v>
      </c>
      <c r="AQ316" s="289">
        <v>0</v>
      </c>
      <c r="AR316" s="289">
        <v>-49.342078290000003</v>
      </c>
      <c r="AS316" s="289"/>
      <c r="AT316" s="289">
        <v>41</v>
      </c>
      <c r="AU316" s="289">
        <v>7</v>
      </c>
      <c r="AV316" s="625">
        <v>35322</v>
      </c>
      <c r="AW316" s="289"/>
      <c r="AX316" s="625">
        <v>18.486666700000001</v>
      </c>
      <c r="AY316" s="289">
        <v>192</v>
      </c>
      <c r="AZ316" s="289">
        <v>28</v>
      </c>
      <c r="BA316" s="290">
        <v>21</v>
      </c>
      <c r="BB316" s="289">
        <v>0</v>
      </c>
      <c r="BC316" s="289">
        <v>124.59888889</v>
      </c>
      <c r="BD316" s="289">
        <v>10.707840266874896</v>
      </c>
      <c r="BE316" s="289">
        <v>38906.550428579998</v>
      </c>
      <c r="BF316" s="289">
        <v>0</v>
      </c>
      <c r="BG316" s="289">
        <v>-40.584600000000002</v>
      </c>
      <c r="BH316" s="289">
        <v>-2.6173999999999999</v>
      </c>
      <c r="BI316" s="289">
        <v>135.26668541000001</v>
      </c>
      <c r="BJ316" s="289">
        <v>0</v>
      </c>
      <c r="BK316" s="289">
        <v>0</v>
      </c>
      <c r="BL316" s="289">
        <v>0</v>
      </c>
      <c r="BM316" s="289">
        <v>0</v>
      </c>
      <c r="BN316" s="289">
        <v>85.436333025390326</v>
      </c>
      <c r="BO316" s="289">
        <v>69.309169876872318</v>
      </c>
      <c r="BP316" s="289">
        <v>83.931544197204033</v>
      </c>
      <c r="BQ316" s="289">
        <v>89.613178328619597</v>
      </c>
      <c r="BR316" s="289">
        <v>0.72575361808818728</v>
      </c>
      <c r="BS316" s="289">
        <v>0.52441364304891602</v>
      </c>
      <c r="BT316" s="289">
        <v>0</v>
      </c>
      <c r="BU316" s="289">
        <v>0</v>
      </c>
      <c r="BV316" s="289">
        <v>6.2825880030079997</v>
      </c>
      <c r="BW316" s="517"/>
      <c r="BX316" s="517"/>
      <c r="CA316" s="517"/>
      <c r="CB316" s="517"/>
    </row>
    <row r="317" spans="1:80" ht="13">
      <c r="A317" s="1">
        <v>4620</v>
      </c>
      <c r="B317" s="2" t="s">
        <v>35</v>
      </c>
      <c r="C317" s="289">
        <v>1093</v>
      </c>
      <c r="D317" s="289">
        <v>23</v>
      </c>
      <c r="E317" s="289">
        <v>57</v>
      </c>
      <c r="F317" s="289">
        <v>124</v>
      </c>
      <c r="G317" s="289">
        <v>91</v>
      </c>
      <c r="H317" s="289">
        <v>577</v>
      </c>
      <c r="I317" s="289">
        <v>179</v>
      </c>
      <c r="J317" s="289">
        <v>43</v>
      </c>
      <c r="K317" s="289">
        <v>20</v>
      </c>
      <c r="L317" s="289">
        <v>10</v>
      </c>
      <c r="M317" s="289">
        <v>101</v>
      </c>
      <c r="N317" s="290">
        <v>5</v>
      </c>
      <c r="O317" s="290">
        <v>23</v>
      </c>
      <c r="P317" s="624">
        <v>3455.0986666700001</v>
      </c>
      <c r="Q317" s="624">
        <v>4232.6270000000004</v>
      </c>
      <c r="R317" s="624">
        <v>5</v>
      </c>
      <c r="S317" s="289"/>
      <c r="T317" s="289">
        <v>89</v>
      </c>
      <c r="U317" s="716">
        <v>1.2521570549575416E-3</v>
      </c>
      <c r="V317" s="289">
        <v>616.10349365000002</v>
      </c>
      <c r="W317" s="743">
        <v>1</v>
      </c>
      <c r="X317" s="289">
        <v>0</v>
      </c>
      <c r="Y317" s="289">
        <v>0</v>
      </c>
      <c r="Z317" s="289">
        <v>35916</v>
      </c>
      <c r="AA317" s="289">
        <v>0</v>
      </c>
      <c r="AB317" s="290">
        <v>15</v>
      </c>
      <c r="AC317" s="289">
        <v>0</v>
      </c>
      <c r="AD317" s="289">
        <v>0</v>
      </c>
      <c r="AE317" s="289">
        <v>0</v>
      </c>
      <c r="AF317" s="289">
        <v>0</v>
      </c>
      <c r="AG317" s="289">
        <v>1114</v>
      </c>
      <c r="AH317" s="289">
        <v>179.89074658000001</v>
      </c>
      <c r="AI317" s="289">
        <v>0</v>
      </c>
      <c r="AJ317" s="289">
        <v>0</v>
      </c>
      <c r="AK317" s="289">
        <v>2.5379999999999998</v>
      </c>
      <c r="AL317" s="289">
        <v>0</v>
      </c>
      <c r="AM317" s="836">
        <v>2.1380329999999999E-2</v>
      </c>
      <c r="AN317" s="289">
        <v>0</v>
      </c>
      <c r="AO317" s="289">
        <v>58.781180790000001</v>
      </c>
      <c r="AP317" s="289">
        <v>0</v>
      </c>
      <c r="AQ317" s="289">
        <v>0</v>
      </c>
      <c r="AR317" s="289">
        <v>-59.295658269999997</v>
      </c>
      <c r="AS317" s="289"/>
      <c r="AT317" s="289">
        <v>39</v>
      </c>
      <c r="AU317" s="289">
        <v>12</v>
      </c>
      <c r="AV317" s="625">
        <v>53949</v>
      </c>
      <c r="AW317" s="289"/>
      <c r="AX317" s="625">
        <v>7.7466666999999996</v>
      </c>
      <c r="AY317" s="289">
        <v>247</v>
      </c>
      <c r="AZ317" s="289">
        <v>57</v>
      </c>
      <c r="BA317" s="290">
        <v>21</v>
      </c>
      <c r="BB317" s="289">
        <v>5698</v>
      </c>
      <c r="BC317" s="289">
        <v>450.90757575999999</v>
      </c>
      <c r="BD317" s="289">
        <v>13.646629500329754</v>
      </c>
      <c r="BE317" s="289">
        <v>55171.377435299997</v>
      </c>
      <c r="BF317" s="289">
        <v>0</v>
      </c>
      <c r="BG317" s="289">
        <v>-49.811199999999999</v>
      </c>
      <c r="BH317" s="289">
        <v>-3.1454</v>
      </c>
      <c r="BI317" s="289">
        <v>179.89074658000001</v>
      </c>
      <c r="BJ317" s="289">
        <v>0</v>
      </c>
      <c r="BK317" s="289">
        <v>0</v>
      </c>
      <c r="BL317" s="289">
        <v>0</v>
      </c>
      <c r="BM317" s="289">
        <v>0</v>
      </c>
      <c r="BN317" s="289">
        <v>109.08331228004386</v>
      </c>
      <c r="BO317" s="289">
        <v>79.582636329517896</v>
      </c>
      <c r="BP317" s="289">
        <v>100.86271870084713</v>
      </c>
      <c r="BQ317" s="289">
        <v>162.5299857334889</v>
      </c>
      <c r="BR317" s="289">
        <v>0.92493822168901663</v>
      </c>
      <c r="BS317" s="289">
        <v>0.56183796167662858</v>
      </c>
      <c r="BT317" s="289">
        <v>0</v>
      </c>
      <c r="BU317" s="289">
        <v>0</v>
      </c>
      <c r="BV317" s="289">
        <v>11.394629200113625</v>
      </c>
      <c r="BW317" s="517"/>
      <c r="BX317" s="517"/>
      <c r="CA317" s="517"/>
      <c r="CB317" s="517"/>
    </row>
    <row r="318" spans="1:80" ht="13">
      <c r="A318" s="1">
        <v>4622</v>
      </c>
      <c r="B318" s="2" t="s">
        <v>38</v>
      </c>
      <c r="C318" s="289">
        <v>8441</v>
      </c>
      <c r="D318" s="289">
        <v>174</v>
      </c>
      <c r="E318" s="289">
        <v>398</v>
      </c>
      <c r="F318" s="289">
        <v>1060</v>
      </c>
      <c r="G318" s="289">
        <v>762</v>
      </c>
      <c r="H318" s="289">
        <v>4459</v>
      </c>
      <c r="I318" s="289">
        <v>1101</v>
      </c>
      <c r="J318" s="289">
        <v>405</v>
      </c>
      <c r="K318" s="289">
        <v>133</v>
      </c>
      <c r="L318" s="289">
        <v>58</v>
      </c>
      <c r="M318" s="289">
        <v>704</v>
      </c>
      <c r="N318" s="290">
        <v>126</v>
      </c>
      <c r="O318" s="290">
        <v>121</v>
      </c>
      <c r="P318" s="624">
        <v>70970.546333329999</v>
      </c>
      <c r="Q318" s="624">
        <v>17787.080000000002</v>
      </c>
      <c r="R318" s="624">
        <v>53</v>
      </c>
      <c r="S318" s="289"/>
      <c r="T318" s="289">
        <v>543</v>
      </c>
      <c r="U318" s="716">
        <v>4.2974088391791445E-3</v>
      </c>
      <c r="V318" s="289">
        <v>1078.7892002200001</v>
      </c>
      <c r="W318" s="743">
        <v>0.67872290999999996</v>
      </c>
      <c r="X318" s="289">
        <v>7000</v>
      </c>
      <c r="Y318" s="289">
        <v>414.28399999999999</v>
      </c>
      <c r="Z318" s="289">
        <v>234746</v>
      </c>
      <c r="AA318" s="289">
        <v>0</v>
      </c>
      <c r="AB318" s="290">
        <v>160</v>
      </c>
      <c r="AC318" s="289">
        <v>651</v>
      </c>
      <c r="AD318" s="289">
        <v>0</v>
      </c>
      <c r="AE318" s="289">
        <v>0</v>
      </c>
      <c r="AF318" s="289">
        <v>0</v>
      </c>
      <c r="AG318" s="289">
        <v>8492</v>
      </c>
      <c r="AH318" s="289">
        <v>1455.85999558</v>
      </c>
      <c r="AI318" s="289">
        <v>0</v>
      </c>
      <c r="AJ318" s="289">
        <v>0</v>
      </c>
      <c r="AK318" s="289">
        <v>0</v>
      </c>
      <c r="AL318" s="289">
        <v>0</v>
      </c>
      <c r="AM318" s="836">
        <v>0.11349976000000001</v>
      </c>
      <c r="AN318" s="289">
        <v>6406</v>
      </c>
      <c r="AO318" s="289">
        <v>367.43412588000001</v>
      </c>
      <c r="AP318" s="289">
        <v>0</v>
      </c>
      <c r="AQ318" s="289">
        <v>0</v>
      </c>
      <c r="AR318" s="289">
        <v>-452.00963195000003</v>
      </c>
      <c r="AS318" s="289"/>
      <c r="AT318" s="289">
        <v>304</v>
      </c>
      <c r="AU318" s="289">
        <v>85</v>
      </c>
      <c r="AV318" s="625">
        <v>265801</v>
      </c>
      <c r="AW318" s="289"/>
      <c r="AX318" s="625">
        <v>66.64</v>
      </c>
      <c r="AY318" s="289">
        <v>1690</v>
      </c>
      <c r="AZ318" s="289">
        <v>314</v>
      </c>
      <c r="BA318" s="290">
        <v>135</v>
      </c>
      <c r="BB318" s="289">
        <v>0</v>
      </c>
      <c r="BC318" s="289">
        <v>1795.10940407</v>
      </c>
      <c r="BD318" s="289">
        <v>104.24467886774407</v>
      </c>
      <c r="BE318" s="289">
        <v>278479.65160838998</v>
      </c>
      <c r="BF318" s="289">
        <v>0</v>
      </c>
      <c r="BG318" s="289">
        <v>-344.27629999999999</v>
      </c>
      <c r="BH318" s="289">
        <v>-23.977399999999999</v>
      </c>
      <c r="BI318" s="289">
        <v>1870.1439955799999</v>
      </c>
      <c r="BJ318" s="289">
        <v>0</v>
      </c>
      <c r="BK318" s="289">
        <v>0</v>
      </c>
      <c r="BL318" s="289">
        <v>0</v>
      </c>
      <c r="BM318" s="289">
        <v>0</v>
      </c>
      <c r="BN318" s="289">
        <v>735.37429568848029</v>
      </c>
      <c r="BO318" s="289">
        <v>367.9949208903077</v>
      </c>
      <c r="BP318" s="289">
        <v>768.87451275367482</v>
      </c>
      <c r="BQ318" s="289">
        <v>557.80366732545281</v>
      </c>
      <c r="BR318" s="289">
        <v>7.0654726788137667</v>
      </c>
      <c r="BS318" s="289">
        <v>1.9674665587778006</v>
      </c>
      <c r="BT318" s="289">
        <v>0</v>
      </c>
      <c r="BU318" s="289">
        <v>0</v>
      </c>
      <c r="BV318" s="289">
        <v>39.106420436530207</v>
      </c>
      <c r="BW318" s="517"/>
      <c r="BX318" s="517"/>
      <c r="CA318" s="517"/>
      <c r="CB318" s="517"/>
    </row>
    <row r="319" spans="1:80" ht="13">
      <c r="A319" s="1">
        <v>4623</v>
      </c>
      <c r="B319" s="2" t="s">
        <v>40</v>
      </c>
      <c r="C319" s="289">
        <v>2465</v>
      </c>
      <c r="D319" s="289">
        <v>55</v>
      </c>
      <c r="E319" s="289">
        <v>122</v>
      </c>
      <c r="F319" s="289">
        <v>279</v>
      </c>
      <c r="G319" s="289">
        <v>211</v>
      </c>
      <c r="H319" s="289">
        <v>1347</v>
      </c>
      <c r="I319" s="289">
        <v>335</v>
      </c>
      <c r="J319" s="289">
        <v>99</v>
      </c>
      <c r="K319" s="289">
        <v>28</v>
      </c>
      <c r="L319" s="289">
        <v>18</v>
      </c>
      <c r="M319" s="289">
        <v>177</v>
      </c>
      <c r="N319" s="290">
        <v>27</v>
      </c>
      <c r="O319" s="290">
        <v>15</v>
      </c>
      <c r="P319" s="624">
        <v>9793.71833333</v>
      </c>
      <c r="Q319" s="624">
        <v>7216.6930000000002</v>
      </c>
      <c r="R319" s="624">
        <v>14</v>
      </c>
      <c r="S319" s="289"/>
      <c r="T319" s="289">
        <v>165</v>
      </c>
      <c r="U319" s="716">
        <v>9.5311088248276174E-4</v>
      </c>
      <c r="V319" s="289">
        <v>1101.63788817</v>
      </c>
      <c r="W319" s="743">
        <v>0.78349352000000005</v>
      </c>
      <c r="X319" s="289">
        <v>2300</v>
      </c>
      <c r="Y319" s="289">
        <v>414.28399999999999</v>
      </c>
      <c r="Z319" s="289">
        <v>67380</v>
      </c>
      <c r="AA319" s="289">
        <v>0</v>
      </c>
      <c r="AB319" s="290">
        <v>55</v>
      </c>
      <c r="AC319" s="289">
        <v>0</v>
      </c>
      <c r="AD319" s="289">
        <v>0</v>
      </c>
      <c r="AE319" s="289">
        <v>0</v>
      </c>
      <c r="AF319" s="289">
        <v>0</v>
      </c>
      <c r="AG319" s="289">
        <v>2476</v>
      </c>
      <c r="AH319" s="289">
        <v>398.13029573</v>
      </c>
      <c r="AI319" s="289">
        <v>1400</v>
      </c>
      <c r="AJ319" s="289">
        <v>0</v>
      </c>
      <c r="AK319" s="289">
        <v>0</v>
      </c>
      <c r="AL319" s="289">
        <v>0</v>
      </c>
      <c r="AM319" s="836">
        <v>3.7991749999999998E-2</v>
      </c>
      <c r="AN319" s="289">
        <v>0</v>
      </c>
      <c r="AO319" s="289">
        <v>105.10502949000001</v>
      </c>
      <c r="AP319" s="289">
        <v>0</v>
      </c>
      <c r="AQ319" s="289">
        <v>0</v>
      </c>
      <c r="AR319" s="289">
        <v>2377.10161432</v>
      </c>
      <c r="AS319" s="289"/>
      <c r="AT319" s="289">
        <v>97</v>
      </c>
      <c r="AU319" s="289">
        <v>33</v>
      </c>
      <c r="AV319" s="625">
        <v>81477</v>
      </c>
      <c r="AW319" s="289"/>
      <c r="AX319" s="625">
        <v>5.84</v>
      </c>
      <c r="AY319" s="289">
        <v>430</v>
      </c>
      <c r="AZ319" s="289">
        <v>72</v>
      </c>
      <c r="BA319" s="290">
        <v>37</v>
      </c>
      <c r="BB319" s="289">
        <v>2850</v>
      </c>
      <c r="BC319" s="289">
        <v>803.9818788</v>
      </c>
      <c r="BD319" s="289">
        <v>31.435851201904491</v>
      </c>
      <c r="BE319" s="289">
        <v>80753.154402319997</v>
      </c>
      <c r="BF319" s="289">
        <v>0</v>
      </c>
      <c r="BG319" s="289">
        <v>-93.831299999999999</v>
      </c>
      <c r="BH319" s="289">
        <v>-6.9909999999999997</v>
      </c>
      <c r="BI319" s="289">
        <v>812.41429573000005</v>
      </c>
      <c r="BJ319" s="289">
        <v>0</v>
      </c>
      <c r="BK319" s="289">
        <v>0</v>
      </c>
      <c r="BL319" s="289">
        <v>0</v>
      </c>
      <c r="BM319" s="289">
        <v>0</v>
      </c>
      <c r="BN319" s="289">
        <v>200.72790931089116</v>
      </c>
      <c r="BO319" s="289">
        <v>123.53830274966452</v>
      </c>
      <c r="BP319" s="289">
        <v>224.1796153530498</v>
      </c>
      <c r="BQ319" s="289">
        <v>123.71379254626245</v>
      </c>
      <c r="BR319" s="289">
        <v>2.1306521370179707</v>
      </c>
      <c r="BS319" s="289">
        <v>0.76916564345500416</v>
      </c>
      <c r="BT319" s="289">
        <v>0</v>
      </c>
      <c r="BU319" s="289">
        <v>0</v>
      </c>
      <c r="BV319" s="289">
        <v>8.6733090305931295</v>
      </c>
      <c r="BW319" s="517"/>
      <c r="BX319" s="517"/>
      <c r="CA319" s="517"/>
      <c r="CB319" s="517"/>
    </row>
    <row r="320" spans="1:80" ht="13">
      <c r="A320" s="1">
        <v>4625</v>
      </c>
      <c r="B320" s="2" t="s">
        <v>41</v>
      </c>
      <c r="C320" s="289">
        <v>5212</v>
      </c>
      <c r="D320" s="289">
        <v>145</v>
      </c>
      <c r="E320" s="289">
        <v>319</v>
      </c>
      <c r="F320" s="289">
        <v>728</v>
      </c>
      <c r="G320" s="289">
        <v>462</v>
      </c>
      <c r="H320" s="289">
        <v>2774</v>
      </c>
      <c r="I320" s="289">
        <v>540</v>
      </c>
      <c r="J320" s="289">
        <v>173</v>
      </c>
      <c r="K320" s="289">
        <v>54</v>
      </c>
      <c r="L320" s="289">
        <v>37</v>
      </c>
      <c r="M320" s="289">
        <v>316</v>
      </c>
      <c r="N320" s="290">
        <v>16</v>
      </c>
      <c r="O320" s="290">
        <v>46</v>
      </c>
      <c r="P320" s="624">
        <v>43259.371333329997</v>
      </c>
      <c r="Q320" s="624">
        <v>28178.57366667</v>
      </c>
      <c r="R320" s="624">
        <v>31</v>
      </c>
      <c r="S320" s="289"/>
      <c r="T320" s="289">
        <v>279</v>
      </c>
      <c r="U320" s="716">
        <v>1.4800749902295018E-3</v>
      </c>
      <c r="V320" s="289">
        <v>-830.22180348999996</v>
      </c>
      <c r="W320" s="743">
        <v>0.84853495999999995</v>
      </c>
      <c r="X320" s="289">
        <v>1400</v>
      </c>
      <c r="Y320" s="289">
        <v>0</v>
      </c>
      <c r="Z320" s="289">
        <v>259138</v>
      </c>
      <c r="AA320" s="289">
        <v>0</v>
      </c>
      <c r="AB320" s="290">
        <v>81</v>
      </c>
      <c r="AC320" s="289">
        <v>0</v>
      </c>
      <c r="AD320" s="289">
        <v>0</v>
      </c>
      <c r="AE320" s="289">
        <v>0</v>
      </c>
      <c r="AF320" s="289">
        <v>0</v>
      </c>
      <c r="AG320" s="289">
        <v>5195</v>
      </c>
      <c r="AH320" s="289">
        <v>1028.4451597100001</v>
      </c>
      <c r="AI320" s="289">
        <v>700</v>
      </c>
      <c r="AJ320" s="289">
        <v>0</v>
      </c>
      <c r="AK320" s="289">
        <v>21.847000000000001</v>
      </c>
      <c r="AL320" s="289">
        <v>0</v>
      </c>
      <c r="AM320" s="836">
        <v>4.7676009999999998E-2</v>
      </c>
      <c r="AN320" s="289">
        <v>0</v>
      </c>
      <c r="AO320" s="289">
        <v>230.90427758000001</v>
      </c>
      <c r="AP320" s="289">
        <v>0</v>
      </c>
      <c r="AQ320" s="289">
        <v>0</v>
      </c>
      <c r="AR320" s="289">
        <v>-276.51790367000001</v>
      </c>
      <c r="AS320" s="289"/>
      <c r="AT320" s="289">
        <v>191</v>
      </c>
      <c r="AU320" s="289">
        <v>47</v>
      </c>
      <c r="AV320" s="625">
        <v>165366</v>
      </c>
      <c r="AW320" s="289"/>
      <c r="AX320" s="625">
        <v>58.866666700000003</v>
      </c>
      <c r="AY320" s="289">
        <v>862</v>
      </c>
      <c r="AZ320" s="289">
        <v>143</v>
      </c>
      <c r="BA320" s="290">
        <v>98</v>
      </c>
      <c r="BB320" s="289">
        <v>0</v>
      </c>
      <c r="BC320" s="289">
        <v>994.52567679000003</v>
      </c>
      <c r="BD320" s="289">
        <v>51.726293911035555</v>
      </c>
      <c r="BE320" s="289">
        <v>170227.73044645</v>
      </c>
      <c r="BF320" s="289">
        <v>0</v>
      </c>
      <c r="BG320" s="289">
        <v>-241.37219999999999</v>
      </c>
      <c r="BH320" s="289">
        <v>-14.668200000000001</v>
      </c>
      <c r="BI320" s="289">
        <v>1028.4451597100001</v>
      </c>
      <c r="BJ320" s="289">
        <v>0</v>
      </c>
      <c r="BK320" s="289">
        <v>0</v>
      </c>
      <c r="BL320" s="289">
        <v>0</v>
      </c>
      <c r="BM320" s="289">
        <v>0</v>
      </c>
      <c r="BN320" s="289">
        <v>388.62066089839118</v>
      </c>
      <c r="BO320" s="289">
        <v>240.97518093930935</v>
      </c>
      <c r="BP320" s="289">
        <v>470.36070345682299</v>
      </c>
      <c r="BQ320" s="289">
        <v>192.1137337317893</v>
      </c>
      <c r="BR320" s="289">
        <v>3.5058932539701879</v>
      </c>
      <c r="BS320" s="289">
        <v>1.3531025684699396</v>
      </c>
      <c r="BT320" s="289">
        <v>0</v>
      </c>
      <c r="BU320" s="289">
        <v>0</v>
      </c>
      <c r="BV320" s="289">
        <v>13.468682411088466</v>
      </c>
      <c r="BW320" s="517"/>
      <c r="BX320" s="517"/>
      <c r="CA320" s="517"/>
      <c r="CB320" s="517"/>
    </row>
    <row r="321" spans="1:80" ht="13">
      <c r="A321" s="1">
        <v>4627</v>
      </c>
      <c r="B321" s="2" t="s">
        <v>44</v>
      </c>
      <c r="C321" s="289">
        <v>29275</v>
      </c>
      <c r="D321" s="289">
        <v>767</v>
      </c>
      <c r="E321" s="289">
        <v>1756</v>
      </c>
      <c r="F321" s="289">
        <v>4368</v>
      </c>
      <c r="G321" s="289">
        <v>2623</v>
      </c>
      <c r="H321" s="289">
        <v>16097</v>
      </c>
      <c r="I321" s="289">
        <v>2707</v>
      </c>
      <c r="J321" s="289">
        <v>699</v>
      </c>
      <c r="K321" s="289">
        <v>160</v>
      </c>
      <c r="L321" s="289">
        <v>220</v>
      </c>
      <c r="M321" s="289">
        <v>1304</v>
      </c>
      <c r="N321" s="290">
        <v>310</v>
      </c>
      <c r="O321" s="290">
        <v>208</v>
      </c>
      <c r="P321" s="624">
        <v>68843.801666669999</v>
      </c>
      <c r="Q321" s="624">
        <v>56805.538999999997</v>
      </c>
      <c r="R321" s="624">
        <v>110</v>
      </c>
      <c r="S321" s="289"/>
      <c r="T321" s="289">
        <v>1568</v>
      </c>
      <c r="U321" s="716">
        <v>1.0299723730569661E-3</v>
      </c>
      <c r="V321" s="289">
        <v>6325.6525904399996</v>
      </c>
      <c r="W321" s="743">
        <v>0.57611190999999995</v>
      </c>
      <c r="X321" s="289">
        <v>1800</v>
      </c>
      <c r="Y321" s="289">
        <v>414.28399999999999</v>
      </c>
      <c r="Z321" s="289">
        <v>770143</v>
      </c>
      <c r="AA321" s="289">
        <v>0</v>
      </c>
      <c r="AB321" s="290">
        <v>538</v>
      </c>
      <c r="AC321" s="289">
        <v>0</v>
      </c>
      <c r="AD321" s="289">
        <v>0</v>
      </c>
      <c r="AE321" s="289">
        <v>527</v>
      </c>
      <c r="AF321" s="289">
        <v>0</v>
      </c>
      <c r="AG321" s="289">
        <v>29177</v>
      </c>
      <c r="AH321" s="289">
        <v>5906.4128460600004</v>
      </c>
      <c r="AI321" s="289">
        <v>4400</v>
      </c>
      <c r="AJ321" s="289">
        <v>0</v>
      </c>
      <c r="AK321" s="289">
        <v>0</v>
      </c>
      <c r="AL321" s="289">
        <v>0</v>
      </c>
      <c r="AM321" s="836">
        <v>0.57711889999999999</v>
      </c>
      <c r="AN321" s="289">
        <v>0</v>
      </c>
      <c r="AO321" s="289">
        <v>1141.6567312699999</v>
      </c>
      <c r="AP321" s="289">
        <v>0</v>
      </c>
      <c r="AQ321" s="289">
        <v>0</v>
      </c>
      <c r="AR321" s="289">
        <v>-1553.0246150999999</v>
      </c>
      <c r="AS321" s="289"/>
      <c r="AT321" s="289">
        <v>1342</v>
      </c>
      <c r="AU321" s="289">
        <v>413</v>
      </c>
      <c r="AV321" s="625">
        <v>721524</v>
      </c>
      <c r="AW321" s="289"/>
      <c r="AX321" s="625">
        <v>297.82666664999999</v>
      </c>
      <c r="AY321" s="289">
        <v>6063</v>
      </c>
      <c r="AZ321" s="289">
        <v>880</v>
      </c>
      <c r="BA321" s="290">
        <v>727</v>
      </c>
      <c r="BB321" s="289">
        <v>0</v>
      </c>
      <c r="BC321" s="289">
        <v>6152.6723637699997</v>
      </c>
      <c r="BD321" s="289">
        <v>345.82165719523005</v>
      </c>
      <c r="BE321" s="289">
        <v>752442.95938012004</v>
      </c>
      <c r="BF321" s="289">
        <v>0</v>
      </c>
      <c r="BG321" s="289">
        <v>-1318.8068000000001</v>
      </c>
      <c r="BH321" s="289">
        <v>-82.382000000000005</v>
      </c>
      <c r="BI321" s="289">
        <v>6320.6968460600001</v>
      </c>
      <c r="BJ321" s="289">
        <v>0</v>
      </c>
      <c r="BK321" s="289">
        <v>0</v>
      </c>
      <c r="BL321" s="289">
        <v>0</v>
      </c>
      <c r="BM321" s="289">
        <v>0</v>
      </c>
      <c r="BN321" s="289">
        <v>1600.2127154268323</v>
      </c>
      <c r="BO321" s="289">
        <v>1058.1160312883624</v>
      </c>
      <c r="BP321" s="289">
        <v>2641.7159277689557</v>
      </c>
      <c r="BQ321" s="289">
        <v>133.69041402279413</v>
      </c>
      <c r="BR321" s="289">
        <v>23.43902343212115</v>
      </c>
      <c r="BS321" s="289">
        <v>6.2043419221847778</v>
      </c>
      <c r="BT321" s="289">
        <v>0</v>
      </c>
      <c r="BU321" s="289">
        <v>0</v>
      </c>
      <c r="BV321" s="289">
        <v>9.3727485948183968</v>
      </c>
      <c r="BW321" s="517"/>
      <c r="BX321" s="517"/>
      <c r="CA321" s="517"/>
      <c r="CB321" s="517"/>
    </row>
    <row r="322" spans="1:80" ht="13">
      <c r="A322" s="1">
        <v>4628</v>
      </c>
      <c r="B322" s="2" t="s">
        <v>45</v>
      </c>
      <c r="C322" s="289">
        <v>4045</v>
      </c>
      <c r="D322" s="289">
        <v>87</v>
      </c>
      <c r="E322" s="289">
        <v>202</v>
      </c>
      <c r="F322" s="289">
        <v>489</v>
      </c>
      <c r="G322" s="289">
        <v>335</v>
      </c>
      <c r="H322" s="289">
        <v>2205</v>
      </c>
      <c r="I322" s="289">
        <v>474</v>
      </c>
      <c r="J322" s="289">
        <v>232</v>
      </c>
      <c r="K322" s="289">
        <v>75</v>
      </c>
      <c r="L322" s="289">
        <v>34</v>
      </c>
      <c r="M322" s="289">
        <v>398</v>
      </c>
      <c r="N322" s="290">
        <v>37</v>
      </c>
      <c r="O322" s="290">
        <v>48</v>
      </c>
      <c r="P322" s="624">
        <v>60703.150999999998</v>
      </c>
      <c r="Q322" s="624">
        <v>11115.44933333</v>
      </c>
      <c r="R322" s="624">
        <v>18</v>
      </c>
      <c r="S322" s="289"/>
      <c r="T322" s="289">
        <v>301</v>
      </c>
      <c r="U322" s="716">
        <v>1.195176044494413E-3</v>
      </c>
      <c r="V322" s="289">
        <v>1680.4719091300001</v>
      </c>
      <c r="W322" s="743">
        <v>0.82474026</v>
      </c>
      <c r="X322" s="289">
        <v>900</v>
      </c>
      <c r="Y322" s="289">
        <v>414.28399999999999</v>
      </c>
      <c r="Z322" s="289">
        <v>109454</v>
      </c>
      <c r="AA322" s="289">
        <v>0</v>
      </c>
      <c r="AB322" s="290">
        <v>90</v>
      </c>
      <c r="AC322" s="289">
        <v>0</v>
      </c>
      <c r="AD322" s="289">
        <v>0</v>
      </c>
      <c r="AE322" s="289">
        <v>0</v>
      </c>
      <c r="AF322" s="289">
        <v>0</v>
      </c>
      <c r="AG322" s="289">
        <v>4099</v>
      </c>
      <c r="AH322" s="289">
        <v>677.72792898</v>
      </c>
      <c r="AI322" s="289">
        <v>0</v>
      </c>
      <c r="AJ322" s="289">
        <v>2000</v>
      </c>
      <c r="AK322" s="289">
        <v>0</v>
      </c>
      <c r="AL322" s="289">
        <v>0</v>
      </c>
      <c r="AM322" s="836">
        <v>7.2016949999999996E-2</v>
      </c>
      <c r="AN322" s="289">
        <v>4678</v>
      </c>
      <c r="AO322" s="289">
        <v>187.69341019999999</v>
      </c>
      <c r="AP322" s="289">
        <v>0</v>
      </c>
      <c r="AQ322" s="289">
        <v>0</v>
      </c>
      <c r="AR322" s="289">
        <v>-218.18034401</v>
      </c>
      <c r="AS322" s="289"/>
      <c r="AT322" s="289">
        <v>169</v>
      </c>
      <c r="AU322" s="289">
        <v>38</v>
      </c>
      <c r="AV322" s="625">
        <v>140560</v>
      </c>
      <c r="AW322" s="289"/>
      <c r="AX322" s="625">
        <v>21.893333299999998</v>
      </c>
      <c r="AY322" s="289">
        <v>671</v>
      </c>
      <c r="AZ322" s="289">
        <v>191</v>
      </c>
      <c r="BA322" s="290">
        <v>67</v>
      </c>
      <c r="BB322" s="289">
        <v>0</v>
      </c>
      <c r="BC322" s="289">
        <v>1063.3741111300001</v>
      </c>
      <c r="BD322" s="289">
        <v>53.590239868892539</v>
      </c>
      <c r="BE322" s="289">
        <v>148837.64897477001</v>
      </c>
      <c r="BF322" s="289">
        <v>0</v>
      </c>
      <c r="BG322" s="289">
        <v>-169.0615</v>
      </c>
      <c r="BH322" s="289">
        <v>-11.573600000000001</v>
      </c>
      <c r="BI322" s="289">
        <v>1092.01192898</v>
      </c>
      <c r="BJ322" s="289">
        <v>0</v>
      </c>
      <c r="BK322" s="289">
        <v>0</v>
      </c>
      <c r="BL322" s="289">
        <v>0</v>
      </c>
      <c r="BM322" s="289">
        <v>0</v>
      </c>
      <c r="BN322" s="289">
        <v>383.68723250417884</v>
      </c>
      <c r="BO322" s="289">
        <v>202.86849864347488</v>
      </c>
      <c r="BP322" s="289">
        <v>371.12772347825165</v>
      </c>
      <c r="BQ322" s="289">
        <v>155.13385057537477</v>
      </c>
      <c r="BR322" s="289">
        <v>3.6322273688916056</v>
      </c>
      <c r="BS322" s="289">
        <v>1.1173630106976877</v>
      </c>
      <c r="BT322" s="289">
        <v>0</v>
      </c>
      <c r="BU322" s="289">
        <v>0</v>
      </c>
      <c r="BV322" s="289">
        <v>10.876102004899154</v>
      </c>
      <c r="BW322" s="517"/>
      <c r="BX322" s="517"/>
      <c r="CA322" s="517"/>
      <c r="CB322" s="517"/>
    </row>
    <row r="323" spans="1:80" ht="13">
      <c r="A323" s="1">
        <v>4629</v>
      </c>
      <c r="B323" s="2" t="s">
        <v>46</v>
      </c>
      <c r="C323" s="289">
        <v>380</v>
      </c>
      <c r="D323" s="289">
        <v>9</v>
      </c>
      <c r="E323" s="289">
        <v>16</v>
      </c>
      <c r="F323" s="289">
        <v>63</v>
      </c>
      <c r="G323" s="289">
        <v>34</v>
      </c>
      <c r="H323" s="289">
        <v>196</v>
      </c>
      <c r="I323" s="289">
        <v>40</v>
      </c>
      <c r="J323" s="289">
        <v>21</v>
      </c>
      <c r="K323" s="289">
        <v>3</v>
      </c>
      <c r="L323" s="289">
        <v>4</v>
      </c>
      <c r="M323" s="289">
        <v>33</v>
      </c>
      <c r="N323" s="290">
        <v>0</v>
      </c>
      <c r="O323" s="290">
        <v>6</v>
      </c>
      <c r="P323" s="624">
        <v>2143.277</v>
      </c>
      <c r="Q323" s="624">
        <v>5894.01</v>
      </c>
      <c r="R323" s="624">
        <v>1</v>
      </c>
      <c r="S323" s="289"/>
      <c r="T323" s="289">
        <v>23</v>
      </c>
      <c r="U323" s="716">
        <v>3.2988975208283247E-4</v>
      </c>
      <c r="V323" s="289">
        <v>309.30047597999999</v>
      </c>
      <c r="W323" s="743">
        <v>1</v>
      </c>
      <c r="X323" s="289">
        <v>0</v>
      </c>
      <c r="Y323" s="289">
        <v>0</v>
      </c>
      <c r="Z323" s="289">
        <v>27481</v>
      </c>
      <c r="AA323" s="289">
        <v>0</v>
      </c>
      <c r="AB323" s="290">
        <v>2</v>
      </c>
      <c r="AC323" s="289">
        <v>0</v>
      </c>
      <c r="AD323" s="289">
        <v>0</v>
      </c>
      <c r="AE323" s="289">
        <v>0</v>
      </c>
      <c r="AF323" s="289">
        <v>0</v>
      </c>
      <c r="AG323" s="289">
        <v>382</v>
      </c>
      <c r="AH323" s="289">
        <v>100</v>
      </c>
      <c r="AI323" s="289">
        <v>0</v>
      </c>
      <c r="AJ323" s="289">
        <v>0</v>
      </c>
      <c r="AK323" s="289">
        <v>0</v>
      </c>
      <c r="AL323" s="289">
        <v>0</v>
      </c>
      <c r="AM323" s="836">
        <v>1.047091E-2</v>
      </c>
      <c r="AN323" s="289">
        <v>0</v>
      </c>
      <c r="AO323" s="289">
        <v>29.509729100000001</v>
      </c>
      <c r="AP323" s="289">
        <v>0</v>
      </c>
      <c r="AQ323" s="289">
        <v>0</v>
      </c>
      <c r="AR323" s="289">
        <v>-20.33298156</v>
      </c>
      <c r="AS323" s="289"/>
      <c r="AT323" s="289">
        <v>21</v>
      </c>
      <c r="AU323" s="289">
        <v>6</v>
      </c>
      <c r="AV323" s="625">
        <v>28483</v>
      </c>
      <c r="AW323" s="289"/>
      <c r="AX323" s="625">
        <v>4</v>
      </c>
      <c r="AY323" s="289">
        <v>73</v>
      </c>
      <c r="AZ323" s="289">
        <v>12</v>
      </c>
      <c r="BA323" s="290">
        <v>11</v>
      </c>
      <c r="BB323" s="289">
        <v>0</v>
      </c>
      <c r="BC323" s="289">
        <v>113.27171717</v>
      </c>
      <c r="BD323" s="289">
        <v>3.9615700481380429</v>
      </c>
      <c r="BE323" s="289">
        <v>29734.86948668</v>
      </c>
      <c r="BF323" s="289">
        <v>0</v>
      </c>
      <c r="BG323" s="289">
        <v>-30.8596</v>
      </c>
      <c r="BH323" s="289">
        <v>-1.0786</v>
      </c>
      <c r="BI323" s="289">
        <v>100</v>
      </c>
      <c r="BJ323" s="289">
        <v>0</v>
      </c>
      <c r="BK323" s="289">
        <v>0</v>
      </c>
      <c r="BL323" s="289">
        <v>0</v>
      </c>
      <c r="BM323" s="289">
        <v>0</v>
      </c>
      <c r="BN323" s="289">
        <v>46.059105124332781</v>
      </c>
      <c r="BO323" s="289">
        <v>52.016158545537294</v>
      </c>
      <c r="BP323" s="289">
        <v>34.586677328297668</v>
      </c>
      <c r="BQ323" s="289">
        <v>42.819689820351655</v>
      </c>
      <c r="BR323" s="289">
        <v>0.26850641437380074</v>
      </c>
      <c r="BS323" s="289">
        <v>0.41288514024485345</v>
      </c>
      <c r="BT323" s="289">
        <v>0</v>
      </c>
      <c r="BU323" s="289">
        <v>0</v>
      </c>
      <c r="BV323" s="289">
        <v>3.0019967439537751</v>
      </c>
      <c r="BW323" s="517"/>
      <c r="BX323" s="517"/>
      <c r="CA323" s="517"/>
      <c r="CB323" s="517"/>
    </row>
    <row r="324" spans="1:80" ht="13">
      <c r="A324" s="1">
        <v>4630</v>
      </c>
      <c r="B324" s="2" t="s">
        <v>47</v>
      </c>
      <c r="C324" s="289">
        <v>8120</v>
      </c>
      <c r="D324" s="289">
        <v>198</v>
      </c>
      <c r="E324" s="289">
        <v>436</v>
      </c>
      <c r="F324" s="289">
        <v>1026</v>
      </c>
      <c r="G324" s="289">
        <v>770</v>
      </c>
      <c r="H324" s="289">
        <v>4411</v>
      </c>
      <c r="I324" s="289">
        <v>895</v>
      </c>
      <c r="J324" s="289">
        <v>302</v>
      </c>
      <c r="K324" s="289">
        <v>89</v>
      </c>
      <c r="L324" s="289">
        <v>53</v>
      </c>
      <c r="M324" s="289">
        <v>476</v>
      </c>
      <c r="N324" s="290">
        <v>24</v>
      </c>
      <c r="O324" s="290">
        <v>77</v>
      </c>
      <c r="P324" s="624">
        <v>61708.141666670002</v>
      </c>
      <c r="Q324" s="624">
        <v>23455.390666669999</v>
      </c>
      <c r="R324" s="624">
        <v>31</v>
      </c>
      <c r="S324" s="289"/>
      <c r="T324" s="289">
        <v>482</v>
      </c>
      <c r="U324" s="716">
        <v>2.9790008727871987E-3</v>
      </c>
      <c r="V324" s="289">
        <v>-17239.4572893</v>
      </c>
      <c r="W324" s="743">
        <v>0.67996809000000002</v>
      </c>
      <c r="X324" s="289">
        <v>4000</v>
      </c>
      <c r="Y324" s="289">
        <v>414.28399999999999</v>
      </c>
      <c r="Z324" s="289">
        <v>204329</v>
      </c>
      <c r="AA324" s="289">
        <v>0</v>
      </c>
      <c r="AB324" s="290">
        <v>123</v>
      </c>
      <c r="AC324" s="289">
        <v>0</v>
      </c>
      <c r="AD324" s="289">
        <v>0</v>
      </c>
      <c r="AE324" s="289">
        <v>0</v>
      </c>
      <c r="AF324" s="289">
        <v>0</v>
      </c>
      <c r="AG324" s="289">
        <v>8127</v>
      </c>
      <c r="AH324" s="289">
        <v>1473.29126948</v>
      </c>
      <c r="AI324" s="289">
        <v>0</v>
      </c>
      <c r="AJ324" s="289">
        <v>0</v>
      </c>
      <c r="AK324" s="289">
        <v>0</v>
      </c>
      <c r="AL324" s="289">
        <v>0</v>
      </c>
      <c r="AM324" s="836">
        <v>0.17459048999999999</v>
      </c>
      <c r="AN324" s="289">
        <v>0</v>
      </c>
      <c r="AO324" s="289">
        <v>325.35477767999998</v>
      </c>
      <c r="AP324" s="289">
        <v>0</v>
      </c>
      <c r="AQ324" s="289">
        <v>0</v>
      </c>
      <c r="AR324" s="289">
        <v>884.51998731000003</v>
      </c>
      <c r="AS324" s="289"/>
      <c r="AT324" s="289">
        <v>373</v>
      </c>
      <c r="AU324" s="289">
        <v>100</v>
      </c>
      <c r="AV324" s="625">
        <v>199329</v>
      </c>
      <c r="AW324" s="289"/>
      <c r="AX324" s="625">
        <v>53.593333299999998</v>
      </c>
      <c r="AY324" s="289">
        <v>1238</v>
      </c>
      <c r="AZ324" s="289">
        <v>309</v>
      </c>
      <c r="BA324" s="290">
        <v>164</v>
      </c>
      <c r="BB324" s="289">
        <v>0</v>
      </c>
      <c r="BC324" s="289">
        <v>1839.28537377</v>
      </c>
      <c r="BD324" s="289">
        <v>92.053090412177355</v>
      </c>
      <c r="BE324" s="289">
        <v>204000.18963767</v>
      </c>
      <c r="BF324" s="289">
        <v>0</v>
      </c>
      <c r="BG324" s="289">
        <v>-330.3152</v>
      </c>
      <c r="BH324" s="289">
        <v>-22.9468</v>
      </c>
      <c r="BI324" s="289">
        <v>1887.5752694800001</v>
      </c>
      <c r="BJ324" s="289">
        <v>0</v>
      </c>
      <c r="BK324" s="289">
        <v>0</v>
      </c>
      <c r="BL324" s="289">
        <v>0</v>
      </c>
      <c r="BM324" s="289">
        <v>0</v>
      </c>
      <c r="BN324" s="289">
        <v>556.05222988022399</v>
      </c>
      <c r="BO324" s="289">
        <v>342.18935128650281</v>
      </c>
      <c r="BP324" s="289">
        <v>735.82703310752663</v>
      </c>
      <c r="BQ324" s="289">
        <v>386.67431328777832</v>
      </c>
      <c r="BR324" s="289">
        <v>6.239153905714244</v>
      </c>
      <c r="BS324" s="289">
        <v>1.8982144103118999</v>
      </c>
      <c r="BT324" s="289">
        <v>0</v>
      </c>
      <c r="BU324" s="289">
        <v>0</v>
      </c>
      <c r="BV324" s="289">
        <v>27.108907942363505</v>
      </c>
      <c r="BW324" s="517"/>
      <c r="BX324" s="517"/>
      <c r="CA324" s="517"/>
      <c r="CB324" s="517"/>
    </row>
    <row r="325" spans="1:80" ht="13">
      <c r="A325" s="1">
        <v>4632</v>
      </c>
      <c r="B325" s="2" t="s">
        <v>55</v>
      </c>
      <c r="C325" s="289">
        <v>2887</v>
      </c>
      <c r="D325" s="289">
        <v>49</v>
      </c>
      <c r="E325" s="289">
        <v>139</v>
      </c>
      <c r="F325" s="289">
        <v>357</v>
      </c>
      <c r="G325" s="289">
        <v>271</v>
      </c>
      <c r="H325" s="289">
        <v>1541</v>
      </c>
      <c r="I325" s="289">
        <v>428</v>
      </c>
      <c r="J325" s="289">
        <v>107</v>
      </c>
      <c r="K325" s="289">
        <v>25</v>
      </c>
      <c r="L325" s="289">
        <v>22</v>
      </c>
      <c r="M325" s="289">
        <v>215</v>
      </c>
      <c r="N325" s="290">
        <v>15</v>
      </c>
      <c r="O325" s="290">
        <v>39</v>
      </c>
      <c r="P325" s="624">
        <v>15103.800999999999</v>
      </c>
      <c r="Q325" s="624">
        <v>6145.3633333300004</v>
      </c>
      <c r="R325" s="624">
        <v>17</v>
      </c>
      <c r="S325" s="289"/>
      <c r="T325" s="289">
        <v>213</v>
      </c>
      <c r="U325" s="716">
        <v>9.0113225326512298E-4</v>
      </c>
      <c r="V325" s="289">
        <v>1194.96550035</v>
      </c>
      <c r="W325" s="743">
        <v>0.71339352</v>
      </c>
      <c r="X325" s="289">
        <v>2000</v>
      </c>
      <c r="Y325" s="289">
        <v>414.28399999999999</v>
      </c>
      <c r="Z325" s="289">
        <v>95029</v>
      </c>
      <c r="AA325" s="289">
        <v>0</v>
      </c>
      <c r="AB325" s="290">
        <v>42</v>
      </c>
      <c r="AC325" s="289">
        <v>0</v>
      </c>
      <c r="AD325" s="289">
        <v>0</v>
      </c>
      <c r="AE325" s="289">
        <v>0</v>
      </c>
      <c r="AF325" s="289">
        <v>0</v>
      </c>
      <c r="AG325" s="289">
        <v>2917</v>
      </c>
      <c r="AH325" s="289">
        <v>502.02068813</v>
      </c>
      <c r="AI325" s="289">
        <v>2400</v>
      </c>
      <c r="AJ325" s="289">
        <v>0</v>
      </c>
      <c r="AK325" s="289">
        <v>491.28300000000002</v>
      </c>
      <c r="AL325" s="289">
        <v>0</v>
      </c>
      <c r="AM325" s="836">
        <v>0.10869901</v>
      </c>
      <c r="AN325" s="289">
        <v>0</v>
      </c>
      <c r="AO325" s="289">
        <v>123.13022857999999</v>
      </c>
      <c r="AP325" s="289">
        <v>0</v>
      </c>
      <c r="AQ325" s="289">
        <v>0</v>
      </c>
      <c r="AR325" s="289">
        <v>-155.26520212</v>
      </c>
      <c r="AS325" s="289"/>
      <c r="AT325" s="289">
        <v>146</v>
      </c>
      <c r="AU325" s="289">
        <v>57</v>
      </c>
      <c r="AV325" s="625">
        <v>89333</v>
      </c>
      <c r="AW325" s="289"/>
      <c r="AX325" s="625">
        <v>5.1483333</v>
      </c>
      <c r="AY325" s="289">
        <v>404</v>
      </c>
      <c r="AZ325" s="289">
        <v>110</v>
      </c>
      <c r="BA325" s="290">
        <v>67</v>
      </c>
      <c r="BB325" s="289">
        <v>2850</v>
      </c>
      <c r="BC325" s="289">
        <v>884.40479799000002</v>
      </c>
      <c r="BD325" s="289">
        <v>39.360916490234288</v>
      </c>
      <c r="BE325" s="289">
        <v>92836.306966439995</v>
      </c>
      <c r="BF325" s="289">
        <v>0</v>
      </c>
      <c r="BG325" s="289">
        <v>-118.741</v>
      </c>
      <c r="BH325" s="289">
        <v>-8.2362000000000002</v>
      </c>
      <c r="BI325" s="289">
        <v>916.30468813000005</v>
      </c>
      <c r="BJ325" s="289">
        <v>0</v>
      </c>
      <c r="BK325" s="289">
        <v>0</v>
      </c>
      <c r="BL325" s="289">
        <v>0</v>
      </c>
      <c r="BM325" s="289">
        <v>0</v>
      </c>
      <c r="BN325" s="289">
        <v>227.65276244136393</v>
      </c>
      <c r="BO325" s="289">
        <v>139.1684178744116</v>
      </c>
      <c r="BP325" s="289">
        <v>264.10821404880704</v>
      </c>
      <c r="BQ325" s="289">
        <v>116.96696647381293</v>
      </c>
      <c r="BR325" s="289">
        <v>2.6677954510047686</v>
      </c>
      <c r="BS325" s="289">
        <v>0.83504643129446698</v>
      </c>
      <c r="BT325" s="289">
        <v>0</v>
      </c>
      <c r="BU325" s="289">
        <v>0</v>
      </c>
      <c r="BV325" s="289">
        <v>8.2003035047126147</v>
      </c>
      <c r="BW325" s="517"/>
      <c r="BX325" s="517"/>
      <c r="CA325" s="517"/>
      <c r="CB325" s="517"/>
    </row>
    <row r="326" spans="1:80" ht="13">
      <c r="A326" s="1">
        <v>4633</v>
      </c>
      <c r="B326" s="2" t="s">
        <v>56</v>
      </c>
      <c r="C326" s="289">
        <v>562</v>
      </c>
      <c r="D326" s="289">
        <v>6</v>
      </c>
      <c r="E326" s="289">
        <v>19</v>
      </c>
      <c r="F326" s="289">
        <v>79</v>
      </c>
      <c r="G326" s="289">
        <v>56</v>
      </c>
      <c r="H326" s="289">
        <v>276</v>
      </c>
      <c r="I326" s="289">
        <v>80</v>
      </c>
      <c r="J326" s="289">
        <v>34</v>
      </c>
      <c r="K326" s="289">
        <v>15</v>
      </c>
      <c r="L326" s="289">
        <v>4</v>
      </c>
      <c r="M326" s="289">
        <v>48</v>
      </c>
      <c r="N326" s="290">
        <v>0</v>
      </c>
      <c r="O326" s="290">
        <v>18</v>
      </c>
      <c r="P326" s="624">
        <v>518.43733333</v>
      </c>
      <c r="Q326" s="624">
        <v>680.26900000000001</v>
      </c>
      <c r="R326" s="624">
        <v>3</v>
      </c>
      <c r="S326" s="289"/>
      <c r="T326" s="289">
        <v>42</v>
      </c>
      <c r="U326" s="716">
        <v>5.2533023236715517E-5</v>
      </c>
      <c r="V326" s="289">
        <v>385.74439630000001</v>
      </c>
      <c r="W326" s="743">
        <v>1</v>
      </c>
      <c r="X326" s="289">
        <v>1200</v>
      </c>
      <c r="Y326" s="289">
        <v>0</v>
      </c>
      <c r="Z326" s="289">
        <v>14851</v>
      </c>
      <c r="AA326" s="289">
        <v>0</v>
      </c>
      <c r="AB326" s="290">
        <v>4</v>
      </c>
      <c r="AC326" s="289">
        <v>0</v>
      </c>
      <c r="AD326" s="289">
        <v>0</v>
      </c>
      <c r="AE326" s="289">
        <v>0</v>
      </c>
      <c r="AF326" s="289">
        <v>0</v>
      </c>
      <c r="AG326" s="289">
        <v>565</v>
      </c>
      <c r="AH326" s="289">
        <v>100</v>
      </c>
      <c r="AI326" s="289">
        <v>0</v>
      </c>
      <c r="AJ326" s="289">
        <v>0</v>
      </c>
      <c r="AK326" s="289">
        <v>0</v>
      </c>
      <c r="AL326" s="289">
        <v>0</v>
      </c>
      <c r="AM326" s="836">
        <v>1.477499E-2</v>
      </c>
      <c r="AN326" s="289">
        <v>0</v>
      </c>
      <c r="AO326" s="289">
        <v>36.803088010000003</v>
      </c>
      <c r="AP326" s="289">
        <v>0</v>
      </c>
      <c r="AQ326" s="289">
        <v>0</v>
      </c>
      <c r="AR326" s="289">
        <v>-30.073650740000001</v>
      </c>
      <c r="AS326" s="289"/>
      <c r="AT326" s="289">
        <v>30</v>
      </c>
      <c r="AU326" s="289">
        <v>5</v>
      </c>
      <c r="AV326" s="625">
        <v>40623</v>
      </c>
      <c r="AW326" s="289"/>
      <c r="AX326" s="625">
        <v>1.34</v>
      </c>
      <c r="AY326" s="289">
        <v>99</v>
      </c>
      <c r="AZ326" s="289">
        <v>31</v>
      </c>
      <c r="BA326" s="290">
        <v>19</v>
      </c>
      <c r="BB326" s="289">
        <v>5698</v>
      </c>
      <c r="BC326" s="289">
        <v>113.27171717</v>
      </c>
      <c r="BD326" s="289">
        <v>6.3926979848429166</v>
      </c>
      <c r="BE326" s="289">
        <v>41514.168426479999</v>
      </c>
      <c r="BF326" s="289">
        <v>0</v>
      </c>
      <c r="BG326" s="289">
        <v>-34.378100000000003</v>
      </c>
      <c r="BH326" s="289">
        <v>-1.5952999999999999</v>
      </c>
      <c r="BI326" s="289">
        <v>100</v>
      </c>
      <c r="BJ326" s="289">
        <v>0</v>
      </c>
      <c r="BK326" s="289">
        <v>0</v>
      </c>
      <c r="BL326" s="289">
        <v>0</v>
      </c>
      <c r="BM326" s="289">
        <v>0</v>
      </c>
      <c r="BN326" s="289">
        <v>69.458081645798899</v>
      </c>
      <c r="BO326" s="289">
        <v>56.429450650859529</v>
      </c>
      <c r="BP326" s="289">
        <v>51.155687671435032</v>
      </c>
      <c r="BQ326" s="289">
        <v>6.8187864161256737</v>
      </c>
      <c r="BR326" s="289">
        <v>0.43328286341713107</v>
      </c>
      <c r="BS326" s="289">
        <v>0.44985117511426415</v>
      </c>
      <c r="BT326" s="289">
        <v>0</v>
      </c>
      <c r="BU326" s="289">
        <v>0</v>
      </c>
      <c r="BV326" s="289">
        <v>0.47805051145411115</v>
      </c>
      <c r="BW326" s="517"/>
      <c r="BX326" s="517"/>
      <c r="CA326" s="517"/>
      <c r="CB326" s="517"/>
    </row>
    <row r="327" spans="1:80" ht="13">
      <c r="A327" s="1">
        <v>4634</v>
      </c>
      <c r="B327" s="2" t="s">
        <v>57</v>
      </c>
      <c r="C327" s="289">
        <v>1711</v>
      </c>
      <c r="D327" s="289">
        <v>39</v>
      </c>
      <c r="E327" s="289">
        <v>78</v>
      </c>
      <c r="F327" s="289">
        <v>220</v>
      </c>
      <c r="G327" s="289">
        <v>162</v>
      </c>
      <c r="H327" s="289">
        <v>877</v>
      </c>
      <c r="I327" s="289">
        <v>240</v>
      </c>
      <c r="J327" s="289">
        <v>97</v>
      </c>
      <c r="K327" s="289">
        <v>29</v>
      </c>
      <c r="L327" s="289">
        <v>12</v>
      </c>
      <c r="M327" s="289">
        <v>152</v>
      </c>
      <c r="N327" s="290">
        <v>1.5</v>
      </c>
      <c r="O327" s="290">
        <v>28</v>
      </c>
      <c r="P327" s="624">
        <v>29419.624666669999</v>
      </c>
      <c r="Q327" s="624">
        <v>13449.117333329999</v>
      </c>
      <c r="R327" s="624">
        <v>9</v>
      </c>
      <c r="S327" s="289"/>
      <c r="T327" s="289">
        <v>101</v>
      </c>
      <c r="U327" s="716">
        <v>1.6597128661629259E-3</v>
      </c>
      <c r="V327" s="289">
        <v>942.47232064000002</v>
      </c>
      <c r="W327" s="743">
        <v>1</v>
      </c>
      <c r="X327" s="289">
        <v>0</v>
      </c>
      <c r="Y327" s="289">
        <v>265.22399999999999</v>
      </c>
      <c r="Z327" s="289">
        <v>58980</v>
      </c>
      <c r="AA327" s="289">
        <v>0</v>
      </c>
      <c r="AB327" s="290">
        <v>20</v>
      </c>
      <c r="AC327" s="289">
        <v>0</v>
      </c>
      <c r="AD327" s="289">
        <v>0</v>
      </c>
      <c r="AE327" s="289">
        <v>0</v>
      </c>
      <c r="AF327" s="289">
        <v>0</v>
      </c>
      <c r="AG327" s="289">
        <v>1742</v>
      </c>
      <c r="AH327" s="289">
        <v>298.42340905999998</v>
      </c>
      <c r="AI327" s="289">
        <v>800</v>
      </c>
      <c r="AJ327" s="289">
        <v>0</v>
      </c>
      <c r="AK327" s="289">
        <v>0</v>
      </c>
      <c r="AL327" s="289">
        <v>0</v>
      </c>
      <c r="AM327" s="836">
        <v>1.091249E-2</v>
      </c>
      <c r="AN327" s="289">
        <v>0</v>
      </c>
      <c r="AO327" s="289">
        <v>89.919366539999999</v>
      </c>
      <c r="AP327" s="289">
        <v>0</v>
      </c>
      <c r="AQ327" s="289">
        <v>0</v>
      </c>
      <c r="AR327" s="289">
        <v>-92.722654129999995</v>
      </c>
      <c r="AS327" s="289"/>
      <c r="AT327" s="289">
        <v>71</v>
      </c>
      <c r="AU327" s="289">
        <v>10</v>
      </c>
      <c r="AV327" s="625">
        <v>74529</v>
      </c>
      <c r="AW327" s="289"/>
      <c r="AX327" s="625">
        <v>18.905000050000002</v>
      </c>
      <c r="AY327" s="289">
        <v>239</v>
      </c>
      <c r="AZ327" s="289">
        <v>46</v>
      </c>
      <c r="BA327" s="290">
        <v>34</v>
      </c>
      <c r="BB327" s="289">
        <v>2850</v>
      </c>
      <c r="BC327" s="289">
        <v>539.04657576</v>
      </c>
      <c r="BD327" s="289">
        <v>16.098991588553847</v>
      </c>
      <c r="BE327" s="289">
        <v>77774.781464200001</v>
      </c>
      <c r="BF327" s="289">
        <v>0</v>
      </c>
      <c r="BG327" s="289">
        <v>-86.395399999999995</v>
      </c>
      <c r="BH327" s="289">
        <v>-4.9185999999999996</v>
      </c>
      <c r="BI327" s="289">
        <v>563.64740905999997</v>
      </c>
      <c r="BJ327" s="289">
        <v>0</v>
      </c>
      <c r="BK327" s="289">
        <v>0</v>
      </c>
      <c r="BL327" s="289">
        <v>0</v>
      </c>
      <c r="BM327" s="289">
        <v>0</v>
      </c>
      <c r="BN327" s="289">
        <v>174.71376730471508</v>
      </c>
      <c r="BO327" s="289">
        <v>116.96858016264414</v>
      </c>
      <c r="BP327" s="289">
        <v>157.72249190024749</v>
      </c>
      <c r="BQ327" s="289">
        <v>215.43073002794776</v>
      </c>
      <c r="BR327" s="289">
        <v>1.0911538743353169</v>
      </c>
      <c r="BS327" s="289">
        <v>0.69116476308835995</v>
      </c>
      <c r="BT327" s="289">
        <v>0</v>
      </c>
      <c r="BU327" s="289">
        <v>0</v>
      </c>
      <c r="BV327" s="289">
        <v>15.103387082082625</v>
      </c>
      <c r="BW327" s="517"/>
      <c r="BX327" s="517"/>
      <c r="CA327" s="517"/>
      <c r="CB327" s="517"/>
    </row>
    <row r="328" spans="1:80" ht="13">
      <c r="A328" s="1">
        <v>4635</v>
      </c>
      <c r="B328" s="2" t="s">
        <v>59</v>
      </c>
      <c r="C328" s="289">
        <v>2322</v>
      </c>
      <c r="D328" s="289">
        <v>38</v>
      </c>
      <c r="E328" s="289">
        <v>101</v>
      </c>
      <c r="F328" s="289">
        <v>274</v>
      </c>
      <c r="G328" s="289">
        <v>217</v>
      </c>
      <c r="H328" s="289">
        <v>1217</v>
      </c>
      <c r="I328" s="289">
        <v>318</v>
      </c>
      <c r="J328" s="289">
        <v>115</v>
      </c>
      <c r="K328" s="289">
        <v>38</v>
      </c>
      <c r="L328" s="289">
        <v>18</v>
      </c>
      <c r="M328" s="289">
        <v>213</v>
      </c>
      <c r="N328" s="290">
        <v>4</v>
      </c>
      <c r="O328" s="290">
        <v>40</v>
      </c>
      <c r="P328" s="624">
        <v>73140.372666669995</v>
      </c>
      <c r="Q328" s="624">
        <v>22011.030666670002</v>
      </c>
      <c r="R328" s="624">
        <v>12</v>
      </c>
      <c r="S328" s="289"/>
      <c r="T328" s="289">
        <v>153</v>
      </c>
      <c r="U328" s="716">
        <v>2.437422171450499E-3</v>
      </c>
      <c r="V328" s="289">
        <v>1216.4857763299999</v>
      </c>
      <c r="W328" s="743">
        <v>1</v>
      </c>
      <c r="X328" s="289">
        <v>0</v>
      </c>
      <c r="Y328" s="289">
        <v>318.68</v>
      </c>
      <c r="Z328" s="289">
        <v>75568</v>
      </c>
      <c r="AA328" s="289">
        <v>0</v>
      </c>
      <c r="AB328" s="290">
        <v>33</v>
      </c>
      <c r="AC328" s="289">
        <v>0</v>
      </c>
      <c r="AD328" s="289">
        <v>0</v>
      </c>
      <c r="AE328" s="289">
        <v>0</v>
      </c>
      <c r="AF328" s="289">
        <v>0</v>
      </c>
      <c r="AG328" s="289">
        <v>2318</v>
      </c>
      <c r="AH328" s="289">
        <v>367.45125367000003</v>
      </c>
      <c r="AI328" s="289">
        <v>0</v>
      </c>
      <c r="AJ328" s="289">
        <v>0</v>
      </c>
      <c r="AK328" s="289">
        <v>308.59699999999998</v>
      </c>
      <c r="AL328" s="289">
        <v>0</v>
      </c>
      <c r="AM328" s="836">
        <v>1.109215E-2</v>
      </c>
      <c r="AN328" s="289">
        <v>0</v>
      </c>
      <c r="AO328" s="289">
        <v>116.06243283000001</v>
      </c>
      <c r="AP328" s="289">
        <v>0</v>
      </c>
      <c r="AQ328" s="289">
        <v>0</v>
      </c>
      <c r="AR328" s="289">
        <v>-123.38180957</v>
      </c>
      <c r="AS328" s="289"/>
      <c r="AT328" s="289">
        <v>92</v>
      </c>
      <c r="AU328" s="289">
        <v>13</v>
      </c>
      <c r="AV328" s="625">
        <v>98076</v>
      </c>
      <c r="AW328" s="289"/>
      <c r="AX328" s="625">
        <v>4.0166666500000003</v>
      </c>
      <c r="AY328" s="289">
        <v>411</v>
      </c>
      <c r="AZ328" s="289">
        <v>51</v>
      </c>
      <c r="BA328" s="290">
        <v>32</v>
      </c>
      <c r="BB328" s="289">
        <v>5698</v>
      </c>
      <c r="BC328" s="289">
        <v>686.06210102</v>
      </c>
      <c r="BD328" s="289">
        <v>23.530362151646791</v>
      </c>
      <c r="BE328" s="289">
        <v>100447.45335875</v>
      </c>
      <c r="BF328" s="289">
        <v>0</v>
      </c>
      <c r="BG328" s="289">
        <v>-114.6649</v>
      </c>
      <c r="BH328" s="289">
        <v>-6.5449000000000002</v>
      </c>
      <c r="BI328" s="289">
        <v>686.13125366999998</v>
      </c>
      <c r="BJ328" s="289">
        <v>0</v>
      </c>
      <c r="BK328" s="289">
        <v>0</v>
      </c>
      <c r="BL328" s="289">
        <v>0</v>
      </c>
      <c r="BM328" s="289">
        <v>0</v>
      </c>
      <c r="BN328" s="289">
        <v>233.42450094024966</v>
      </c>
      <c r="BO328" s="289">
        <v>155.19175096430286</v>
      </c>
      <c r="BP328" s="289">
        <v>209.87413101307328</v>
      </c>
      <c r="BQ328" s="289">
        <v>316.3773978542747</v>
      </c>
      <c r="BR328" s="289">
        <v>1.5948356569449496</v>
      </c>
      <c r="BS328" s="289">
        <v>0.80886145604785842</v>
      </c>
      <c r="BT328" s="289">
        <v>0</v>
      </c>
      <c r="BU328" s="289">
        <v>0</v>
      </c>
      <c r="BV328" s="289">
        <v>22.180541760199535</v>
      </c>
      <c r="BW328" s="517"/>
      <c r="BX328" s="517"/>
      <c r="CA328" s="517"/>
      <c r="CB328" s="517"/>
    </row>
    <row r="329" spans="1:80" ht="13">
      <c r="A329" s="1">
        <v>4636</v>
      </c>
      <c r="B329" s="2" t="s">
        <v>60</v>
      </c>
      <c r="C329" s="289">
        <v>820</v>
      </c>
      <c r="D329" s="289">
        <v>13</v>
      </c>
      <c r="E329" s="289">
        <v>22</v>
      </c>
      <c r="F329" s="289">
        <v>94</v>
      </c>
      <c r="G329" s="289">
        <v>61</v>
      </c>
      <c r="H329" s="289">
        <v>435</v>
      </c>
      <c r="I329" s="289">
        <v>127</v>
      </c>
      <c r="J329" s="289">
        <v>46</v>
      </c>
      <c r="K329" s="289">
        <v>9</v>
      </c>
      <c r="L329" s="289">
        <v>6</v>
      </c>
      <c r="M329" s="289">
        <v>88</v>
      </c>
      <c r="N329" s="290">
        <v>0</v>
      </c>
      <c r="O329" s="290">
        <v>16</v>
      </c>
      <c r="P329" s="624">
        <v>11150.79733333</v>
      </c>
      <c r="Q329" s="624">
        <v>9106.8723333300004</v>
      </c>
      <c r="R329" s="624">
        <v>2</v>
      </c>
      <c r="S329" s="289"/>
      <c r="T329" s="289">
        <v>53</v>
      </c>
      <c r="U329" s="716">
        <v>8.1650219761233522E-4</v>
      </c>
      <c r="V329" s="289">
        <v>470.39301406999999</v>
      </c>
      <c r="W329" s="743">
        <v>1</v>
      </c>
      <c r="X329" s="289">
        <v>1500</v>
      </c>
      <c r="Y329" s="289">
        <v>414.28399999999999</v>
      </c>
      <c r="Z329" s="289">
        <v>24412</v>
      </c>
      <c r="AA329" s="289">
        <v>0</v>
      </c>
      <c r="AB329" s="290">
        <v>7</v>
      </c>
      <c r="AC329" s="289">
        <v>0</v>
      </c>
      <c r="AD329" s="289">
        <v>0</v>
      </c>
      <c r="AE329" s="289">
        <v>0</v>
      </c>
      <c r="AF329" s="289">
        <v>0</v>
      </c>
      <c r="AG329" s="289">
        <v>807</v>
      </c>
      <c r="AH329" s="289">
        <v>112.95465483</v>
      </c>
      <c r="AI329" s="289">
        <v>0</v>
      </c>
      <c r="AJ329" s="289">
        <v>0</v>
      </c>
      <c r="AK329" s="289">
        <v>0</v>
      </c>
      <c r="AL329" s="289">
        <v>0</v>
      </c>
      <c r="AM329" s="836">
        <v>0</v>
      </c>
      <c r="AN329" s="289">
        <v>0</v>
      </c>
      <c r="AO329" s="289">
        <v>44.8792404</v>
      </c>
      <c r="AP329" s="289">
        <v>0</v>
      </c>
      <c r="AQ329" s="289">
        <v>0</v>
      </c>
      <c r="AR329" s="289">
        <v>-42.95475424</v>
      </c>
      <c r="AS329" s="289"/>
      <c r="AT329" s="289">
        <v>19</v>
      </c>
      <c r="AU329" s="289">
        <v>0</v>
      </c>
      <c r="AV329" s="625">
        <v>46014</v>
      </c>
      <c r="AW329" s="289"/>
      <c r="AX329" s="625">
        <v>4.3766666499999998</v>
      </c>
      <c r="AY329" s="289">
        <v>131</v>
      </c>
      <c r="AZ329" s="289">
        <v>24</v>
      </c>
      <c r="BA329" s="290">
        <v>13</v>
      </c>
      <c r="BB329" s="289">
        <v>5698</v>
      </c>
      <c r="BC329" s="289">
        <v>516.27171716999999</v>
      </c>
      <c r="BD329" s="289">
        <v>7.2709614156457505</v>
      </c>
      <c r="BE329" s="289">
        <v>46561.224884410003</v>
      </c>
      <c r="BF329" s="289">
        <v>0</v>
      </c>
      <c r="BG329" s="289">
        <v>-43.789099999999998</v>
      </c>
      <c r="BH329" s="289">
        <v>-2.2786</v>
      </c>
      <c r="BI329" s="289">
        <v>527.23865482999997</v>
      </c>
      <c r="BJ329" s="289">
        <v>0</v>
      </c>
      <c r="BK329" s="289">
        <v>0</v>
      </c>
      <c r="BL329" s="289">
        <v>0</v>
      </c>
      <c r="BM329" s="289">
        <v>0</v>
      </c>
      <c r="BN329" s="289">
        <v>84.866481624527864</v>
      </c>
      <c r="BO329" s="289">
        <v>73.233392735937883</v>
      </c>
      <c r="BP329" s="289">
        <v>73.066619382031988</v>
      </c>
      <c r="BQ329" s="289">
        <v>105.98198525008108</v>
      </c>
      <c r="BR329" s="289">
        <v>0.49280960706043431</v>
      </c>
      <c r="BS329" s="289">
        <v>0.49890599171671779</v>
      </c>
      <c r="BT329" s="289">
        <v>0</v>
      </c>
      <c r="BU329" s="289">
        <v>0</v>
      </c>
      <c r="BV329" s="289">
        <v>7.4301699982722482</v>
      </c>
      <c r="BW329" s="517"/>
      <c r="BX329" s="517"/>
      <c r="CA329" s="517"/>
      <c r="CB329" s="517"/>
    </row>
    <row r="330" spans="1:80" ht="13">
      <c r="A330" s="1">
        <v>4637</v>
      </c>
      <c r="B330" s="2" t="s">
        <v>61</v>
      </c>
      <c r="C330" s="289">
        <v>1366</v>
      </c>
      <c r="D330" s="289">
        <v>21</v>
      </c>
      <c r="E330" s="289">
        <v>47</v>
      </c>
      <c r="F330" s="289">
        <v>135</v>
      </c>
      <c r="G330" s="289">
        <v>146</v>
      </c>
      <c r="H330" s="289">
        <v>712</v>
      </c>
      <c r="I330" s="289">
        <v>237</v>
      </c>
      <c r="J330" s="289">
        <v>71</v>
      </c>
      <c r="K330" s="289">
        <v>19</v>
      </c>
      <c r="L330" s="289">
        <v>9</v>
      </c>
      <c r="M330" s="289">
        <v>139</v>
      </c>
      <c r="N330" s="290">
        <v>3</v>
      </c>
      <c r="O330" s="290">
        <v>13</v>
      </c>
      <c r="P330" s="624">
        <v>18788.650666670001</v>
      </c>
      <c r="Q330" s="624">
        <v>9844.5973333300008</v>
      </c>
      <c r="R330" s="624">
        <v>7</v>
      </c>
      <c r="S330" s="289"/>
      <c r="T330" s="289">
        <v>97</v>
      </c>
      <c r="U330" s="716">
        <v>1.3199769181332088E-3</v>
      </c>
      <c r="V330" s="289">
        <v>697.13036092000004</v>
      </c>
      <c r="W330" s="743">
        <v>1</v>
      </c>
      <c r="X330" s="289">
        <v>1300</v>
      </c>
      <c r="Y330" s="289">
        <v>0</v>
      </c>
      <c r="Z330" s="289">
        <v>38793</v>
      </c>
      <c r="AA330" s="289">
        <v>0</v>
      </c>
      <c r="AB330" s="290">
        <v>18</v>
      </c>
      <c r="AC330" s="289">
        <v>0</v>
      </c>
      <c r="AD330" s="289">
        <v>0</v>
      </c>
      <c r="AE330" s="289">
        <v>0</v>
      </c>
      <c r="AF330" s="289">
        <v>0</v>
      </c>
      <c r="AG330" s="289">
        <v>1388</v>
      </c>
      <c r="AH330" s="289">
        <v>204.29453003</v>
      </c>
      <c r="AI330" s="289">
        <v>500</v>
      </c>
      <c r="AJ330" s="289">
        <v>0</v>
      </c>
      <c r="AK330" s="289">
        <v>17</v>
      </c>
      <c r="AL330" s="289">
        <v>0</v>
      </c>
      <c r="AM330" s="836">
        <v>1.405036E-2</v>
      </c>
      <c r="AN330" s="289">
        <v>0</v>
      </c>
      <c r="AO330" s="289">
        <v>66.511789340000007</v>
      </c>
      <c r="AP330" s="289">
        <v>0</v>
      </c>
      <c r="AQ330" s="289">
        <v>0</v>
      </c>
      <c r="AR330" s="289">
        <v>1028.60993364</v>
      </c>
      <c r="AS330" s="289"/>
      <c r="AT330" s="289">
        <v>46</v>
      </c>
      <c r="AU330" s="289">
        <v>20</v>
      </c>
      <c r="AV330" s="625">
        <v>60120</v>
      </c>
      <c r="AW330" s="289"/>
      <c r="AX330" s="625">
        <v>-0.48666670000000001</v>
      </c>
      <c r="AY330" s="289">
        <v>223</v>
      </c>
      <c r="AZ330" s="289">
        <v>29</v>
      </c>
      <c r="BA330" s="290">
        <v>15</v>
      </c>
      <c r="BB330" s="289">
        <v>5698</v>
      </c>
      <c r="BC330" s="289">
        <v>218.61441414999999</v>
      </c>
      <c r="BD330" s="289">
        <v>14.902287492066574</v>
      </c>
      <c r="BE330" s="289">
        <v>59462.778003669999</v>
      </c>
      <c r="BF330" s="289">
        <v>0</v>
      </c>
      <c r="BG330" s="289">
        <v>-56.948</v>
      </c>
      <c r="BH330" s="289">
        <v>-3.9190999999999998</v>
      </c>
      <c r="BI330" s="289">
        <v>204.29453003</v>
      </c>
      <c r="BJ330" s="289">
        <v>0</v>
      </c>
      <c r="BK330" s="289">
        <v>0</v>
      </c>
      <c r="BL330" s="289">
        <v>0</v>
      </c>
      <c r="BM330" s="289">
        <v>0</v>
      </c>
      <c r="BN330" s="289">
        <v>139.11935854841209</v>
      </c>
      <c r="BO330" s="289">
        <v>98.989320162044265</v>
      </c>
      <c r="BP330" s="289">
        <v>125.67096369548996</v>
      </c>
      <c r="BQ330" s="289">
        <v>171.33300397369047</v>
      </c>
      <c r="BR330" s="289">
        <v>1.0100439300178459</v>
      </c>
      <c r="BS330" s="289">
        <v>0.61730522907521079</v>
      </c>
      <c r="BT330" s="289">
        <v>0</v>
      </c>
      <c r="BU330" s="289">
        <v>0</v>
      </c>
      <c r="BV330" s="289">
        <v>12.011789955012198</v>
      </c>
      <c r="BW330" s="517"/>
      <c r="BX330" s="517"/>
      <c r="CA330" s="517"/>
      <c r="CB330" s="517"/>
    </row>
    <row r="331" spans="1:80" ht="13">
      <c r="A331" s="1">
        <v>4638</v>
      </c>
      <c r="B331" s="2" t="s">
        <v>62</v>
      </c>
      <c r="C331" s="289">
        <v>4091</v>
      </c>
      <c r="D331" s="289">
        <v>60</v>
      </c>
      <c r="E331" s="289">
        <v>169</v>
      </c>
      <c r="F331" s="289">
        <v>474</v>
      </c>
      <c r="G331" s="289">
        <v>424</v>
      </c>
      <c r="H331" s="289">
        <v>2211</v>
      </c>
      <c r="I331" s="289">
        <v>534</v>
      </c>
      <c r="J331" s="289">
        <v>202</v>
      </c>
      <c r="K331" s="289">
        <v>65</v>
      </c>
      <c r="L331" s="289">
        <v>31</v>
      </c>
      <c r="M331" s="289">
        <v>364</v>
      </c>
      <c r="N331" s="290">
        <v>45</v>
      </c>
      <c r="O331" s="290">
        <v>60</v>
      </c>
      <c r="P331" s="624">
        <v>71080.989333329999</v>
      </c>
      <c r="Q331" s="624">
        <v>18034.01233333</v>
      </c>
      <c r="R331" s="624">
        <v>5</v>
      </c>
      <c r="S331" s="289"/>
      <c r="T331" s="289">
        <v>370</v>
      </c>
      <c r="U331" s="716">
        <v>1.7411784236023241E-3</v>
      </c>
      <c r="V331" s="289">
        <v>1862.5462771099999</v>
      </c>
      <c r="W331" s="743">
        <v>0.98466865999999997</v>
      </c>
      <c r="X331" s="289">
        <v>0</v>
      </c>
      <c r="Y331" s="289">
        <v>0</v>
      </c>
      <c r="Z331" s="289">
        <v>127918</v>
      </c>
      <c r="AA331" s="289">
        <v>0</v>
      </c>
      <c r="AB331" s="290">
        <v>75</v>
      </c>
      <c r="AC331" s="289">
        <v>0</v>
      </c>
      <c r="AD331" s="289">
        <v>0</v>
      </c>
      <c r="AE331" s="289">
        <v>0</v>
      </c>
      <c r="AF331" s="289">
        <v>0</v>
      </c>
      <c r="AG331" s="289">
        <v>4139</v>
      </c>
      <c r="AH331" s="289">
        <v>665.87466272999995</v>
      </c>
      <c r="AI331" s="289">
        <v>60</v>
      </c>
      <c r="AJ331" s="289">
        <v>0</v>
      </c>
      <c r="AK331" s="289">
        <v>795.06500000000005</v>
      </c>
      <c r="AL331" s="289">
        <v>0</v>
      </c>
      <c r="AM331" s="836">
        <v>8.3723210000000006E-2</v>
      </c>
      <c r="AN331" s="289">
        <v>5875</v>
      </c>
      <c r="AO331" s="289">
        <v>177.70175072000001</v>
      </c>
      <c r="AP331" s="289">
        <v>0</v>
      </c>
      <c r="AQ331" s="289">
        <v>0</v>
      </c>
      <c r="AR331" s="289">
        <v>4845.3132373500002</v>
      </c>
      <c r="AS331" s="289"/>
      <c r="AT331" s="289">
        <v>202</v>
      </c>
      <c r="AU331" s="289">
        <v>48</v>
      </c>
      <c r="AV331" s="625">
        <v>136217</v>
      </c>
      <c r="AW331" s="289"/>
      <c r="AX331" s="625">
        <v>8.1466667000000008</v>
      </c>
      <c r="AY331" s="289">
        <v>719</v>
      </c>
      <c r="AZ331" s="289">
        <v>149</v>
      </c>
      <c r="BA331" s="290">
        <v>117</v>
      </c>
      <c r="BB331" s="289">
        <v>0</v>
      </c>
      <c r="BC331" s="289">
        <v>664.90497980999999</v>
      </c>
      <c r="BD331" s="289">
        <v>58.875046306184039</v>
      </c>
      <c r="BE331" s="289">
        <v>134291.39016807001</v>
      </c>
      <c r="BF331" s="289">
        <v>0</v>
      </c>
      <c r="BG331" s="289">
        <v>-172.2107</v>
      </c>
      <c r="BH331" s="289">
        <v>-11.6866</v>
      </c>
      <c r="BI331" s="289">
        <v>665.87466272999995</v>
      </c>
      <c r="BJ331" s="289">
        <v>0</v>
      </c>
      <c r="BK331" s="289">
        <v>0</v>
      </c>
      <c r="BL331" s="289">
        <v>0</v>
      </c>
      <c r="BM331" s="289">
        <v>0</v>
      </c>
      <c r="BN331" s="289">
        <v>335.36698571258569</v>
      </c>
      <c r="BO331" s="289">
        <v>217.28654745228442</v>
      </c>
      <c r="BP331" s="289">
        <v>374.74936508330899</v>
      </c>
      <c r="BQ331" s="289">
        <v>226.00495938358159</v>
      </c>
      <c r="BR331" s="289">
        <v>3.9904198051969182</v>
      </c>
      <c r="BS331" s="289">
        <v>1.17726849591939</v>
      </c>
      <c r="BT331" s="289">
        <v>0</v>
      </c>
      <c r="BU331" s="289">
        <v>0</v>
      </c>
      <c r="BV331" s="289">
        <v>15.844723654781141</v>
      </c>
      <c r="BW331" s="517"/>
      <c r="BX331" s="517"/>
      <c r="CA331" s="517"/>
      <c r="CB331" s="517"/>
    </row>
    <row r="332" spans="1:80" ht="13">
      <c r="A332" s="1">
        <v>4639</v>
      </c>
      <c r="B332" s="2" t="s">
        <v>63</v>
      </c>
      <c r="C332" s="289">
        <v>2672</v>
      </c>
      <c r="D332" s="289">
        <v>51</v>
      </c>
      <c r="E332" s="289">
        <v>107</v>
      </c>
      <c r="F332" s="289">
        <v>322</v>
      </c>
      <c r="G332" s="289">
        <v>226</v>
      </c>
      <c r="H332" s="289">
        <v>1354</v>
      </c>
      <c r="I332" s="289">
        <v>395</v>
      </c>
      <c r="J332" s="289">
        <v>169</v>
      </c>
      <c r="K332" s="289">
        <v>55</v>
      </c>
      <c r="L332" s="289">
        <v>18</v>
      </c>
      <c r="M332" s="289">
        <v>259</v>
      </c>
      <c r="N332" s="290">
        <v>23</v>
      </c>
      <c r="O332" s="290">
        <v>29</v>
      </c>
      <c r="P332" s="624">
        <v>24809.92633333</v>
      </c>
      <c r="Q332" s="624">
        <v>10886.474</v>
      </c>
      <c r="R332" s="624">
        <v>10</v>
      </c>
      <c r="S332" s="289"/>
      <c r="T332" s="289">
        <v>197</v>
      </c>
      <c r="U332" s="716">
        <v>3.5415743013907878E-3</v>
      </c>
      <c r="V332" s="289">
        <v>1326.0822962699999</v>
      </c>
      <c r="W332" s="743">
        <v>1</v>
      </c>
      <c r="X332" s="289">
        <v>0</v>
      </c>
      <c r="Y332" s="289">
        <v>414.28399999999999</v>
      </c>
      <c r="Z332" s="289">
        <v>83347</v>
      </c>
      <c r="AA332" s="289">
        <v>0</v>
      </c>
      <c r="AB332" s="290">
        <v>43</v>
      </c>
      <c r="AC332" s="289">
        <v>0</v>
      </c>
      <c r="AD332" s="289">
        <v>0</v>
      </c>
      <c r="AE332" s="289">
        <v>0</v>
      </c>
      <c r="AF332" s="289">
        <v>0</v>
      </c>
      <c r="AG332" s="289">
        <v>2679</v>
      </c>
      <c r="AH332" s="289">
        <v>421.13957727000002</v>
      </c>
      <c r="AI332" s="289">
        <v>1200</v>
      </c>
      <c r="AJ332" s="289">
        <v>0</v>
      </c>
      <c r="AK332" s="289">
        <v>0</v>
      </c>
      <c r="AL332" s="289">
        <v>0</v>
      </c>
      <c r="AM332" s="836">
        <v>1.047037E-2</v>
      </c>
      <c r="AN332" s="289">
        <v>0</v>
      </c>
      <c r="AO332" s="289">
        <v>126.51881381</v>
      </c>
      <c r="AP332" s="289">
        <v>0</v>
      </c>
      <c r="AQ332" s="289">
        <v>0</v>
      </c>
      <c r="AR332" s="289">
        <v>-142.59700942000001</v>
      </c>
      <c r="AS332" s="289"/>
      <c r="AT332" s="289">
        <v>83</v>
      </c>
      <c r="AU332" s="289">
        <v>11</v>
      </c>
      <c r="AV332" s="625">
        <v>100715</v>
      </c>
      <c r="AW332" s="289"/>
      <c r="AX332" s="625">
        <v>14.533333300000001</v>
      </c>
      <c r="AY332" s="289">
        <v>493</v>
      </c>
      <c r="AZ332" s="289">
        <v>82</v>
      </c>
      <c r="BA332" s="290">
        <v>36</v>
      </c>
      <c r="BB332" s="289">
        <v>5698</v>
      </c>
      <c r="BC332" s="289">
        <v>811.91089899999997</v>
      </c>
      <c r="BD332" s="289">
        <v>29.979051872143149</v>
      </c>
      <c r="BE332" s="289">
        <v>104874.93079257999</v>
      </c>
      <c r="BF332" s="289">
        <v>0</v>
      </c>
      <c r="BG332" s="289">
        <v>-113.95480000000001</v>
      </c>
      <c r="BH332" s="289">
        <v>-7.5641999999999996</v>
      </c>
      <c r="BI332" s="289">
        <v>835.42357727000001</v>
      </c>
      <c r="BJ332" s="289">
        <v>0</v>
      </c>
      <c r="BK332" s="289">
        <v>0</v>
      </c>
      <c r="BL332" s="289">
        <v>0</v>
      </c>
      <c r="BM332" s="289">
        <v>0</v>
      </c>
      <c r="BN332" s="289">
        <v>263.43994254049659</v>
      </c>
      <c r="BO332" s="289">
        <v>151.64339301305796</v>
      </c>
      <c r="BP332" s="289">
        <v>242.55944649871583</v>
      </c>
      <c r="BQ332" s="289">
        <v>459.69634432052413</v>
      </c>
      <c r="BR332" s="289">
        <v>2.0319135157785917</v>
      </c>
      <c r="BS332" s="289">
        <v>0.88202604542439533</v>
      </c>
      <c r="BT332" s="289">
        <v>0</v>
      </c>
      <c r="BU332" s="289">
        <v>0</v>
      </c>
      <c r="BV332" s="289">
        <v>32.228326142656158</v>
      </c>
      <c r="BW332" s="517"/>
      <c r="BX332" s="517"/>
      <c r="CA332" s="517"/>
      <c r="CB332" s="517"/>
    </row>
    <row r="333" spans="1:80" ht="13">
      <c r="A333" s="1">
        <v>4641</v>
      </c>
      <c r="B333" s="2" t="s">
        <v>67</v>
      </c>
      <c r="C333" s="289">
        <v>1764</v>
      </c>
      <c r="D333" s="289">
        <v>28</v>
      </c>
      <c r="E333" s="289">
        <v>59</v>
      </c>
      <c r="F333" s="289">
        <v>181</v>
      </c>
      <c r="G333" s="289">
        <v>148</v>
      </c>
      <c r="H333" s="289">
        <v>1030</v>
      </c>
      <c r="I333" s="289">
        <v>218</v>
      </c>
      <c r="J333" s="289">
        <v>77</v>
      </c>
      <c r="K333" s="289">
        <v>31</v>
      </c>
      <c r="L333" s="289">
        <v>12</v>
      </c>
      <c r="M333" s="289">
        <v>157</v>
      </c>
      <c r="N333" s="290">
        <v>0</v>
      </c>
      <c r="O333" s="290">
        <v>15</v>
      </c>
      <c r="P333" s="624">
        <v>11401.438666669999</v>
      </c>
      <c r="Q333" s="624">
        <v>9540.8169999999991</v>
      </c>
      <c r="R333" s="624">
        <v>5</v>
      </c>
      <c r="S333" s="289"/>
      <c r="T333" s="289">
        <v>162</v>
      </c>
      <c r="U333" s="716">
        <v>1.5387810791468105E-3</v>
      </c>
      <c r="V333" s="289">
        <v>817.5734817</v>
      </c>
      <c r="W333" s="743">
        <v>1</v>
      </c>
      <c r="X333" s="289">
        <v>0</v>
      </c>
      <c r="Y333" s="289">
        <v>0</v>
      </c>
      <c r="Z333" s="289">
        <v>85938</v>
      </c>
      <c r="AA333" s="289">
        <v>0</v>
      </c>
      <c r="AB333" s="290">
        <v>27</v>
      </c>
      <c r="AC333" s="289">
        <v>0</v>
      </c>
      <c r="AD333" s="289">
        <v>0</v>
      </c>
      <c r="AE333" s="289">
        <v>0</v>
      </c>
      <c r="AF333" s="289">
        <v>0</v>
      </c>
      <c r="AG333" s="289">
        <v>1772</v>
      </c>
      <c r="AH333" s="289">
        <v>242.64333260000001</v>
      </c>
      <c r="AI333" s="289">
        <v>20</v>
      </c>
      <c r="AJ333" s="289">
        <v>0</v>
      </c>
      <c r="AK333" s="289">
        <v>73.596999999999994</v>
      </c>
      <c r="AL333" s="289">
        <v>0</v>
      </c>
      <c r="AM333" s="836">
        <v>7.1401399999999997E-3</v>
      </c>
      <c r="AN333" s="289">
        <v>0</v>
      </c>
      <c r="AO333" s="289">
        <v>78.003022439999995</v>
      </c>
      <c r="AP333" s="289">
        <v>0</v>
      </c>
      <c r="AQ333" s="289">
        <v>0</v>
      </c>
      <c r="AR333" s="289">
        <v>552.96668051999995</v>
      </c>
      <c r="AS333" s="289"/>
      <c r="AT333" s="289">
        <v>57</v>
      </c>
      <c r="AU333" s="289">
        <v>9</v>
      </c>
      <c r="AV333" s="625">
        <v>56849</v>
      </c>
      <c r="AW333" s="289"/>
      <c r="AX333" s="625">
        <v>6.2399999499999996</v>
      </c>
      <c r="AY333" s="289">
        <v>362</v>
      </c>
      <c r="AZ333" s="289">
        <v>44</v>
      </c>
      <c r="BA333" s="290">
        <v>29</v>
      </c>
      <c r="BB333" s="289">
        <v>0</v>
      </c>
      <c r="BC333" s="289">
        <v>234.47245455000001</v>
      </c>
      <c r="BD333" s="289">
        <v>21.2898734437527</v>
      </c>
      <c r="BE333" s="289">
        <v>57555.705324330003</v>
      </c>
      <c r="BF333" s="289">
        <v>0</v>
      </c>
      <c r="BG333" s="289">
        <v>-68.908799999999999</v>
      </c>
      <c r="BH333" s="289">
        <v>-5.0033000000000003</v>
      </c>
      <c r="BI333" s="289">
        <v>242.64333260000001</v>
      </c>
      <c r="BJ333" s="289">
        <v>0</v>
      </c>
      <c r="BK333" s="289">
        <v>0</v>
      </c>
      <c r="BL333" s="289">
        <v>0</v>
      </c>
      <c r="BM333" s="289">
        <v>0</v>
      </c>
      <c r="BN333" s="289">
        <v>153.59919228823708</v>
      </c>
      <c r="BO333" s="289">
        <v>105.96722627438004</v>
      </c>
      <c r="BP333" s="289">
        <v>160.43872310404049</v>
      </c>
      <c r="BQ333" s="289">
        <v>199.73378407325598</v>
      </c>
      <c r="BR333" s="289">
        <v>1.4429803111876831</v>
      </c>
      <c r="BS333" s="289">
        <v>0.69725786604885287</v>
      </c>
      <c r="BT333" s="289">
        <v>0</v>
      </c>
      <c r="BU333" s="289">
        <v>0</v>
      </c>
      <c r="BV333" s="289">
        <v>14.002907820235972</v>
      </c>
      <c r="BW333" s="517"/>
      <c r="BX333" s="517"/>
      <c r="CA333" s="517"/>
      <c r="CB333" s="517"/>
    </row>
    <row r="334" spans="1:80" ht="13">
      <c r="A334" s="1">
        <v>4642</v>
      </c>
      <c r="B334" s="2" t="s">
        <v>68</v>
      </c>
      <c r="C334" s="289">
        <v>2151</v>
      </c>
      <c r="D334" s="289">
        <v>40</v>
      </c>
      <c r="E334" s="289">
        <v>67</v>
      </c>
      <c r="F334" s="289">
        <v>246</v>
      </c>
      <c r="G334" s="289">
        <v>189</v>
      </c>
      <c r="H334" s="289">
        <v>1178</v>
      </c>
      <c r="I334" s="289">
        <v>314</v>
      </c>
      <c r="J334" s="289">
        <v>98</v>
      </c>
      <c r="K334" s="289">
        <v>30</v>
      </c>
      <c r="L334" s="289">
        <v>15</v>
      </c>
      <c r="M334" s="289">
        <v>187</v>
      </c>
      <c r="N334" s="290">
        <v>15</v>
      </c>
      <c r="O334" s="290">
        <v>24</v>
      </c>
      <c r="P334" s="624">
        <v>15350.962333330001</v>
      </c>
      <c r="Q334" s="624">
        <v>7875.8326666700004</v>
      </c>
      <c r="R334" s="624">
        <v>8</v>
      </c>
      <c r="S334" s="289"/>
      <c r="T334" s="289">
        <v>171</v>
      </c>
      <c r="U334" s="716">
        <v>2.1726160741381102E-3</v>
      </c>
      <c r="V334" s="289">
        <v>1000.5438331300001</v>
      </c>
      <c r="W334" s="743">
        <v>1</v>
      </c>
      <c r="X334" s="289">
        <v>0</v>
      </c>
      <c r="Y334" s="289">
        <v>265.22399999999999</v>
      </c>
      <c r="Z334" s="289">
        <v>75203</v>
      </c>
      <c r="AA334" s="289">
        <v>0</v>
      </c>
      <c r="AB334" s="290">
        <v>35</v>
      </c>
      <c r="AC334" s="289">
        <v>0</v>
      </c>
      <c r="AD334" s="289">
        <v>0</v>
      </c>
      <c r="AE334" s="289">
        <v>0</v>
      </c>
      <c r="AF334" s="289">
        <v>0</v>
      </c>
      <c r="AG334" s="289">
        <v>2162</v>
      </c>
      <c r="AH334" s="289">
        <v>316.55193391</v>
      </c>
      <c r="AI334" s="289">
        <v>40</v>
      </c>
      <c r="AJ334" s="289">
        <v>0</v>
      </c>
      <c r="AK334" s="289">
        <v>13.958</v>
      </c>
      <c r="AL334" s="289">
        <v>0</v>
      </c>
      <c r="AM334" s="836">
        <v>1.2672020000000001E-2</v>
      </c>
      <c r="AN334" s="289">
        <v>0</v>
      </c>
      <c r="AO334" s="289">
        <v>95.459851389999997</v>
      </c>
      <c r="AP334" s="289">
        <v>0</v>
      </c>
      <c r="AQ334" s="289">
        <v>0</v>
      </c>
      <c r="AR334" s="289">
        <v>-115.0782883</v>
      </c>
      <c r="AS334" s="289"/>
      <c r="AT334" s="289">
        <v>89</v>
      </c>
      <c r="AU334" s="289">
        <v>12</v>
      </c>
      <c r="AV334" s="625">
        <v>74189</v>
      </c>
      <c r="AW334" s="289"/>
      <c r="AX334" s="625">
        <v>19.260000000000002</v>
      </c>
      <c r="AY334" s="289">
        <v>493</v>
      </c>
      <c r="AZ334" s="289">
        <v>55</v>
      </c>
      <c r="BA334" s="290">
        <v>39</v>
      </c>
      <c r="BB334" s="289">
        <v>5698</v>
      </c>
      <c r="BC334" s="289">
        <v>580.95711112000004</v>
      </c>
      <c r="BD334" s="289">
        <v>25.604427883307402</v>
      </c>
      <c r="BE334" s="289">
        <v>76600.443650889996</v>
      </c>
      <c r="BF334" s="289">
        <v>0</v>
      </c>
      <c r="BG334" s="289">
        <v>-88.628200000000007</v>
      </c>
      <c r="BH334" s="289">
        <v>-6.1044999999999998</v>
      </c>
      <c r="BI334" s="289">
        <v>581.77593391000005</v>
      </c>
      <c r="BJ334" s="289">
        <v>0</v>
      </c>
      <c r="BK334" s="289">
        <v>0</v>
      </c>
      <c r="BL334" s="289">
        <v>0</v>
      </c>
      <c r="BM334" s="289">
        <v>0</v>
      </c>
      <c r="BN334" s="289">
        <v>185.1167353992987</v>
      </c>
      <c r="BO334" s="289">
        <v>122.84786048661256</v>
      </c>
      <c r="BP334" s="289">
        <v>195.74972875334961</v>
      </c>
      <c r="BQ334" s="289">
        <v>282.00556642312671</v>
      </c>
      <c r="BR334" s="289">
        <v>1.7354112232019463</v>
      </c>
      <c r="BS334" s="289">
        <v>0.77608758787264942</v>
      </c>
      <c r="BT334" s="289">
        <v>0</v>
      </c>
      <c r="BU334" s="289">
        <v>0</v>
      </c>
      <c r="BV334" s="289">
        <v>19.770806274656799</v>
      </c>
      <c r="BW334" s="517"/>
      <c r="BX334" s="517"/>
      <c r="CA334" s="517"/>
      <c r="CB334" s="517"/>
    </row>
    <row r="335" spans="1:80" ht="13">
      <c r="A335" s="1">
        <v>4643</v>
      </c>
      <c r="B335" s="2" t="s">
        <v>69</v>
      </c>
      <c r="C335" s="289">
        <v>5245</v>
      </c>
      <c r="D335" s="289">
        <v>85</v>
      </c>
      <c r="E335" s="289">
        <v>198</v>
      </c>
      <c r="F335" s="289">
        <v>543</v>
      </c>
      <c r="G335" s="289">
        <v>450</v>
      </c>
      <c r="H335" s="289">
        <v>2900</v>
      </c>
      <c r="I335" s="289">
        <v>707</v>
      </c>
      <c r="J335" s="289">
        <v>308</v>
      </c>
      <c r="K335" s="289">
        <v>64</v>
      </c>
      <c r="L335" s="289">
        <v>44</v>
      </c>
      <c r="M335" s="289">
        <v>461</v>
      </c>
      <c r="N335" s="290">
        <v>39</v>
      </c>
      <c r="O335" s="290">
        <v>38</v>
      </c>
      <c r="P335" s="624">
        <v>41002.186333329999</v>
      </c>
      <c r="Q335" s="624">
        <v>7160.8536666700002</v>
      </c>
      <c r="R335" s="624">
        <v>30</v>
      </c>
      <c r="S335" s="289"/>
      <c r="T335" s="289">
        <v>477</v>
      </c>
      <c r="U335" s="716">
        <v>4.2692029072354139E-4</v>
      </c>
      <c r="V335" s="289">
        <v>2241.68155209</v>
      </c>
      <c r="W335" s="743">
        <v>0.67514300000000005</v>
      </c>
      <c r="X335" s="289">
        <v>0</v>
      </c>
      <c r="Y335" s="289">
        <v>414.28399999999999</v>
      </c>
      <c r="Z335" s="289">
        <v>182474</v>
      </c>
      <c r="AA335" s="289">
        <v>0</v>
      </c>
      <c r="AB335" s="290">
        <v>90</v>
      </c>
      <c r="AC335" s="289">
        <v>0</v>
      </c>
      <c r="AD335" s="289">
        <v>0</v>
      </c>
      <c r="AE335" s="289">
        <v>0</v>
      </c>
      <c r="AF335" s="289">
        <v>0</v>
      </c>
      <c r="AG335" s="289">
        <v>5255</v>
      </c>
      <c r="AH335" s="289">
        <v>750.93927932999998</v>
      </c>
      <c r="AI335" s="289">
        <v>980</v>
      </c>
      <c r="AJ335" s="289">
        <v>0</v>
      </c>
      <c r="AK335" s="289">
        <v>2590.569</v>
      </c>
      <c r="AL335" s="289">
        <v>0</v>
      </c>
      <c r="AM335" s="836">
        <v>2.6421420000000001E-2</v>
      </c>
      <c r="AN335" s="289">
        <v>7129</v>
      </c>
      <c r="AO335" s="289">
        <v>213.87427590999999</v>
      </c>
      <c r="AP335" s="289">
        <v>0</v>
      </c>
      <c r="AQ335" s="289">
        <v>0</v>
      </c>
      <c r="AR335" s="289">
        <v>-279.71156569999999</v>
      </c>
      <c r="AS335" s="289"/>
      <c r="AT335" s="289">
        <v>225</v>
      </c>
      <c r="AU335" s="289">
        <v>30</v>
      </c>
      <c r="AV335" s="625">
        <v>148342</v>
      </c>
      <c r="AW335" s="289"/>
      <c r="AX335" s="625">
        <v>25.64</v>
      </c>
      <c r="AY335" s="289">
        <v>916</v>
      </c>
      <c r="AZ335" s="289">
        <v>109</v>
      </c>
      <c r="BA335" s="290">
        <v>89</v>
      </c>
      <c r="BB335" s="289">
        <v>0</v>
      </c>
      <c r="BC335" s="289">
        <v>1169.84952527</v>
      </c>
      <c r="BD335" s="289">
        <v>66.866776371515812</v>
      </c>
      <c r="BE335" s="289">
        <v>154507.71743411999</v>
      </c>
      <c r="BF335" s="289">
        <v>0</v>
      </c>
      <c r="BG335" s="289">
        <v>-176.90549999999999</v>
      </c>
      <c r="BH335" s="289">
        <v>-14.8376</v>
      </c>
      <c r="BI335" s="289">
        <v>1165.22327933</v>
      </c>
      <c r="BJ335" s="289">
        <v>0</v>
      </c>
      <c r="BK335" s="289">
        <v>0</v>
      </c>
      <c r="BL335" s="289">
        <v>0</v>
      </c>
      <c r="BM335" s="289">
        <v>0</v>
      </c>
      <c r="BN335" s="289">
        <v>470.53860312876338</v>
      </c>
      <c r="BO335" s="289">
        <v>232.95006735319856</v>
      </c>
      <c r="BP335" s="289">
        <v>475.79316586440899</v>
      </c>
      <c r="BQ335" s="289">
        <v>55.414253735915679</v>
      </c>
      <c r="BR335" s="289">
        <v>4.5320815096249598</v>
      </c>
      <c r="BS335" s="289">
        <v>1.3012960498896953</v>
      </c>
      <c r="BT335" s="289">
        <v>0</v>
      </c>
      <c r="BU335" s="289">
        <v>0</v>
      </c>
      <c r="BV335" s="289">
        <v>3.8849746455842258</v>
      </c>
      <c r="BW335" s="517"/>
      <c r="BX335" s="517"/>
      <c r="CA335" s="517"/>
      <c r="CB335" s="517"/>
    </row>
    <row r="336" spans="1:80" ht="13">
      <c r="A336" s="1">
        <v>4644</v>
      </c>
      <c r="B336" s="2" t="s">
        <v>70</v>
      </c>
      <c r="C336" s="289">
        <v>5195</v>
      </c>
      <c r="D336" s="289">
        <v>129</v>
      </c>
      <c r="E336" s="289">
        <v>247</v>
      </c>
      <c r="F336" s="289">
        <v>661</v>
      </c>
      <c r="G336" s="289">
        <v>472</v>
      </c>
      <c r="H336" s="289">
        <v>2776</v>
      </c>
      <c r="I336" s="289">
        <v>636</v>
      </c>
      <c r="J336" s="289">
        <v>238</v>
      </c>
      <c r="K336" s="289">
        <v>78</v>
      </c>
      <c r="L336" s="289">
        <v>33</v>
      </c>
      <c r="M336" s="289">
        <v>413</v>
      </c>
      <c r="N336" s="290">
        <v>27</v>
      </c>
      <c r="O336" s="290">
        <v>57</v>
      </c>
      <c r="P336" s="624">
        <v>47491.803333329997</v>
      </c>
      <c r="Q336" s="624">
        <v>17926.546333329999</v>
      </c>
      <c r="R336" s="624">
        <v>31</v>
      </c>
      <c r="S336" s="289"/>
      <c r="T336" s="289">
        <v>361</v>
      </c>
      <c r="U336" s="716">
        <v>5.5800300076961637E-3</v>
      </c>
      <c r="V336" s="289">
        <v>2411.3187955399999</v>
      </c>
      <c r="W336" s="743">
        <v>0.85384645000000003</v>
      </c>
      <c r="X336" s="289">
        <v>0</v>
      </c>
      <c r="Y336" s="289">
        <v>414.28399999999999</v>
      </c>
      <c r="Z336" s="289">
        <v>160085</v>
      </c>
      <c r="AA336" s="289">
        <v>0</v>
      </c>
      <c r="AB336" s="290">
        <v>83</v>
      </c>
      <c r="AC336" s="289">
        <v>0</v>
      </c>
      <c r="AD336" s="289">
        <v>0</v>
      </c>
      <c r="AE336" s="289">
        <v>0</v>
      </c>
      <c r="AF336" s="289">
        <v>0</v>
      </c>
      <c r="AG336" s="289">
        <v>5237</v>
      </c>
      <c r="AH336" s="289">
        <v>906.42624246000003</v>
      </c>
      <c r="AI336" s="289">
        <v>0</v>
      </c>
      <c r="AJ336" s="289">
        <v>720.54</v>
      </c>
      <c r="AK336" s="289">
        <v>0</v>
      </c>
      <c r="AL336" s="289">
        <v>0</v>
      </c>
      <c r="AM336" s="836">
        <v>2.8992960000000002E-2</v>
      </c>
      <c r="AN336" s="289">
        <v>2828</v>
      </c>
      <c r="AO336" s="289">
        <v>230.05902015999999</v>
      </c>
      <c r="AP336" s="289">
        <v>0</v>
      </c>
      <c r="AQ336" s="289">
        <v>0</v>
      </c>
      <c r="AR336" s="289">
        <v>-278.75346709000002</v>
      </c>
      <c r="AS336" s="289"/>
      <c r="AT336" s="289">
        <v>169</v>
      </c>
      <c r="AU336" s="289">
        <v>30</v>
      </c>
      <c r="AV336" s="625">
        <v>164191</v>
      </c>
      <c r="AW336" s="289"/>
      <c r="AX336" s="625">
        <v>45.7933333</v>
      </c>
      <c r="AY336" s="289">
        <v>1100</v>
      </c>
      <c r="AZ336" s="289">
        <v>156</v>
      </c>
      <c r="BA336" s="290">
        <v>77</v>
      </c>
      <c r="BB336" s="289">
        <v>0</v>
      </c>
      <c r="BC336" s="289">
        <v>1259.3341818399999</v>
      </c>
      <c r="BD336" s="289">
        <v>56.964786962603824</v>
      </c>
      <c r="BE336" s="289">
        <v>172889.58570172999</v>
      </c>
      <c r="BF336" s="289">
        <v>0</v>
      </c>
      <c r="BG336" s="289">
        <v>-220.0395</v>
      </c>
      <c r="BH336" s="289">
        <v>-14.786799999999999</v>
      </c>
      <c r="BI336" s="289">
        <v>1320.71024246</v>
      </c>
      <c r="BJ336" s="289">
        <v>0</v>
      </c>
      <c r="BK336" s="289">
        <v>0</v>
      </c>
      <c r="BL336" s="289">
        <v>0</v>
      </c>
      <c r="BM336" s="289">
        <v>0</v>
      </c>
      <c r="BN336" s="289">
        <v>443.52573420944179</v>
      </c>
      <c r="BO336" s="289">
        <v>244.5484198513617</v>
      </c>
      <c r="BP336" s="289">
        <v>474.16342714213323</v>
      </c>
      <c r="BQ336" s="289">
        <v>724.28789499896175</v>
      </c>
      <c r="BR336" s="289">
        <v>3.8609466719098164</v>
      </c>
      <c r="BS336" s="289">
        <v>1.3602708823353185</v>
      </c>
      <c r="BT336" s="289">
        <v>0</v>
      </c>
      <c r="BU336" s="289">
        <v>0</v>
      </c>
      <c r="BV336" s="289">
        <v>50.778273070035077</v>
      </c>
      <c r="BW336" s="517"/>
      <c r="BX336" s="517"/>
      <c r="CA336" s="517"/>
      <c r="CB336" s="517"/>
    </row>
    <row r="337" spans="1:80" ht="13">
      <c r="A337" s="1">
        <v>4645</v>
      </c>
      <c r="B337" s="2" t="s">
        <v>71</v>
      </c>
      <c r="C337" s="289">
        <v>3038</v>
      </c>
      <c r="D337" s="289">
        <v>52</v>
      </c>
      <c r="E337" s="289">
        <v>137</v>
      </c>
      <c r="F337" s="289">
        <v>359</v>
      </c>
      <c r="G337" s="289">
        <v>268</v>
      </c>
      <c r="H337" s="289">
        <v>1529</v>
      </c>
      <c r="I337" s="289">
        <v>454</v>
      </c>
      <c r="J337" s="289">
        <v>191</v>
      </c>
      <c r="K337" s="289">
        <v>41</v>
      </c>
      <c r="L337" s="289">
        <v>25</v>
      </c>
      <c r="M337" s="289">
        <v>305</v>
      </c>
      <c r="N337" s="290">
        <v>3</v>
      </c>
      <c r="O337" s="290">
        <v>28</v>
      </c>
      <c r="P337" s="624">
        <v>60507.168333330002</v>
      </c>
      <c r="Q337" s="624">
        <v>14812.062666670001</v>
      </c>
      <c r="R337" s="624">
        <v>15</v>
      </c>
      <c r="S337" s="289"/>
      <c r="T337" s="289">
        <v>192</v>
      </c>
      <c r="U337" s="716">
        <v>2.5073243166781238E-3</v>
      </c>
      <c r="V337" s="289">
        <v>-2305.8738853999998</v>
      </c>
      <c r="W337" s="743">
        <v>1</v>
      </c>
      <c r="X337" s="289">
        <v>1600</v>
      </c>
      <c r="Y337" s="289">
        <v>414.28399999999999</v>
      </c>
      <c r="Z337" s="289">
        <v>79054</v>
      </c>
      <c r="AA337" s="289">
        <v>0</v>
      </c>
      <c r="AB337" s="290">
        <v>36</v>
      </c>
      <c r="AC337" s="289">
        <v>0</v>
      </c>
      <c r="AD337" s="289">
        <v>0</v>
      </c>
      <c r="AE337" s="289">
        <v>0</v>
      </c>
      <c r="AF337" s="289">
        <v>0</v>
      </c>
      <c r="AG337" s="289">
        <v>3031</v>
      </c>
      <c r="AH337" s="289">
        <v>492.95642571000002</v>
      </c>
      <c r="AI337" s="289">
        <v>0</v>
      </c>
      <c r="AJ337" s="289">
        <v>0</v>
      </c>
      <c r="AK337" s="289">
        <v>0</v>
      </c>
      <c r="AL337" s="289">
        <v>0</v>
      </c>
      <c r="AM337" s="836">
        <v>1.477148E-2</v>
      </c>
      <c r="AN337" s="289">
        <v>0</v>
      </c>
      <c r="AO337" s="289">
        <v>144.84132378000001</v>
      </c>
      <c r="AP337" s="289">
        <v>0</v>
      </c>
      <c r="AQ337" s="289">
        <v>0</v>
      </c>
      <c r="AR337" s="289">
        <v>-161.33315997</v>
      </c>
      <c r="AS337" s="289"/>
      <c r="AT337" s="289">
        <v>98</v>
      </c>
      <c r="AU337" s="289">
        <v>27</v>
      </c>
      <c r="AV337" s="625">
        <v>112857</v>
      </c>
      <c r="AW337" s="289"/>
      <c r="AX337" s="625">
        <v>11.526666649999999</v>
      </c>
      <c r="AY337" s="289">
        <v>556</v>
      </c>
      <c r="AZ337" s="289">
        <v>52</v>
      </c>
      <c r="BA337" s="290">
        <v>59</v>
      </c>
      <c r="BB337" s="289">
        <v>5698</v>
      </c>
      <c r="BC337" s="289">
        <v>878.74121213000001</v>
      </c>
      <c r="BD337" s="289">
        <v>28.852224134779725</v>
      </c>
      <c r="BE337" s="289">
        <v>117956.65672155</v>
      </c>
      <c r="BF337" s="289">
        <v>0</v>
      </c>
      <c r="BG337" s="289">
        <v>-132.60759999999999</v>
      </c>
      <c r="BH337" s="289">
        <v>-8.5580999999999996</v>
      </c>
      <c r="BI337" s="289">
        <v>907.24042570999995</v>
      </c>
      <c r="BJ337" s="289">
        <v>0</v>
      </c>
      <c r="BK337" s="289">
        <v>0</v>
      </c>
      <c r="BL337" s="289">
        <v>0</v>
      </c>
      <c r="BM337" s="289">
        <v>0</v>
      </c>
      <c r="BN337" s="289">
        <v>302.04222385905598</v>
      </c>
      <c r="BO337" s="289">
        <v>177.49415892562462</v>
      </c>
      <c r="BP337" s="289">
        <v>274.4298926232205</v>
      </c>
      <c r="BQ337" s="289">
        <v>325.45069630482044</v>
      </c>
      <c r="BR337" s="289">
        <v>1.9555396358017367</v>
      </c>
      <c r="BS337" s="289">
        <v>0.95407679926680955</v>
      </c>
      <c r="BT337" s="289">
        <v>0</v>
      </c>
      <c r="BU337" s="289">
        <v>0</v>
      </c>
      <c r="BV337" s="289">
        <v>22.81665128177092</v>
      </c>
      <c r="BW337" s="517"/>
      <c r="BX337" s="517"/>
      <c r="CA337" s="517"/>
      <c r="CB337" s="517"/>
    </row>
    <row r="338" spans="1:80" ht="13">
      <c r="A338" s="1">
        <v>4646</v>
      </c>
      <c r="B338" s="2" t="s">
        <v>72</v>
      </c>
      <c r="C338" s="289">
        <v>2770</v>
      </c>
      <c r="D338" s="289">
        <v>48</v>
      </c>
      <c r="E338" s="289">
        <v>110</v>
      </c>
      <c r="F338" s="289">
        <v>371</v>
      </c>
      <c r="G338" s="289">
        <v>336</v>
      </c>
      <c r="H338" s="289">
        <v>1373</v>
      </c>
      <c r="I338" s="289">
        <v>398</v>
      </c>
      <c r="J338" s="289">
        <v>127</v>
      </c>
      <c r="K338" s="289">
        <v>27</v>
      </c>
      <c r="L338" s="289">
        <v>26</v>
      </c>
      <c r="M338" s="289">
        <v>258</v>
      </c>
      <c r="N338" s="290">
        <v>5</v>
      </c>
      <c r="O338" s="290">
        <v>24</v>
      </c>
      <c r="P338" s="624">
        <v>37556.639999999999</v>
      </c>
      <c r="Q338" s="624">
        <v>16339.349</v>
      </c>
      <c r="R338" s="624">
        <v>34</v>
      </c>
      <c r="S338" s="289"/>
      <c r="T338" s="289">
        <v>201</v>
      </c>
      <c r="U338" s="716">
        <v>2.421432253546363E-3</v>
      </c>
      <c r="V338" s="289">
        <v>1470.4074701300001</v>
      </c>
      <c r="W338" s="743">
        <v>0.90147476999999998</v>
      </c>
      <c r="X338" s="289">
        <v>1700</v>
      </c>
      <c r="Y338" s="289">
        <v>414.28399999999999</v>
      </c>
      <c r="Z338" s="289">
        <v>67254</v>
      </c>
      <c r="AA338" s="289">
        <v>0</v>
      </c>
      <c r="AB338" s="290">
        <v>41</v>
      </c>
      <c r="AC338" s="289">
        <v>0</v>
      </c>
      <c r="AD338" s="289">
        <v>0</v>
      </c>
      <c r="AE338" s="289">
        <v>0</v>
      </c>
      <c r="AF338" s="289">
        <v>0</v>
      </c>
      <c r="AG338" s="289">
        <v>2790</v>
      </c>
      <c r="AH338" s="289">
        <v>533.39698113999998</v>
      </c>
      <c r="AI338" s="289">
        <v>70</v>
      </c>
      <c r="AJ338" s="289">
        <v>0</v>
      </c>
      <c r="AK338" s="289">
        <v>0</v>
      </c>
      <c r="AL338" s="289">
        <v>0</v>
      </c>
      <c r="AM338" s="836">
        <v>2.9318810000000001E-2</v>
      </c>
      <c r="AN338" s="289">
        <v>0</v>
      </c>
      <c r="AO338" s="289">
        <v>140.28858500000001</v>
      </c>
      <c r="AP338" s="289">
        <v>0</v>
      </c>
      <c r="AQ338" s="289">
        <v>0</v>
      </c>
      <c r="AR338" s="289">
        <v>855.74869964000004</v>
      </c>
      <c r="AS338" s="289"/>
      <c r="AT338" s="289">
        <v>79</v>
      </c>
      <c r="AU338" s="289">
        <v>18</v>
      </c>
      <c r="AV338" s="625">
        <v>120123</v>
      </c>
      <c r="AW338" s="289"/>
      <c r="AX338" s="625">
        <v>21.421666699999999</v>
      </c>
      <c r="AY338" s="289">
        <v>615</v>
      </c>
      <c r="AZ338" s="289">
        <v>167</v>
      </c>
      <c r="BA338" s="290">
        <v>46</v>
      </c>
      <c r="BB338" s="289">
        <v>3990</v>
      </c>
      <c r="BC338" s="289">
        <v>941.04065658000002</v>
      </c>
      <c r="BD338" s="289">
        <v>30.75396366594186</v>
      </c>
      <c r="BE338" s="289">
        <v>120661.84370383</v>
      </c>
      <c r="BF338" s="289">
        <v>0</v>
      </c>
      <c r="BG338" s="289">
        <v>-131.0951</v>
      </c>
      <c r="BH338" s="289">
        <v>-7.8776000000000002</v>
      </c>
      <c r="BI338" s="289">
        <v>947.68098113999997</v>
      </c>
      <c r="BJ338" s="289">
        <v>0</v>
      </c>
      <c r="BK338" s="289">
        <v>0</v>
      </c>
      <c r="BL338" s="289">
        <v>0</v>
      </c>
      <c r="BM338" s="289">
        <v>0</v>
      </c>
      <c r="BN338" s="289">
        <v>297.00359229398725</v>
      </c>
      <c r="BO338" s="289">
        <v>156.55818103099926</v>
      </c>
      <c r="BP338" s="289">
        <v>252.60950195274998</v>
      </c>
      <c r="BQ338" s="289">
        <v>314.30190651031785</v>
      </c>
      <c r="BR338" s="289">
        <v>2.08443531513606</v>
      </c>
      <c r="BS338" s="289">
        <v>0.87255020514666171</v>
      </c>
      <c r="BT338" s="289">
        <v>0</v>
      </c>
      <c r="BU338" s="289">
        <v>0</v>
      </c>
      <c r="BV338" s="289">
        <v>22.035033507271898</v>
      </c>
      <c r="BW338" s="517"/>
      <c r="BX338" s="517"/>
      <c r="CA338" s="517"/>
      <c r="CB338" s="517"/>
    </row>
    <row r="339" spans="1:80" ht="13">
      <c r="A339" s="1">
        <v>4648</v>
      </c>
      <c r="B339" s="2" t="s">
        <v>77</v>
      </c>
      <c r="C339" s="289">
        <v>3705</v>
      </c>
      <c r="D339" s="289">
        <v>51</v>
      </c>
      <c r="E339" s="289">
        <v>134</v>
      </c>
      <c r="F339" s="289">
        <v>457</v>
      </c>
      <c r="G339" s="289">
        <v>357</v>
      </c>
      <c r="H339" s="289">
        <v>1896</v>
      </c>
      <c r="I339" s="289">
        <v>533</v>
      </c>
      <c r="J339" s="289">
        <v>242</v>
      </c>
      <c r="K339" s="289">
        <v>69</v>
      </c>
      <c r="L339" s="289">
        <v>30</v>
      </c>
      <c r="M339" s="289">
        <v>377</v>
      </c>
      <c r="N339" s="290">
        <v>49</v>
      </c>
      <c r="O339" s="290">
        <v>81</v>
      </c>
      <c r="P339" s="624">
        <v>113173.24033333</v>
      </c>
      <c r="Q339" s="624">
        <v>14708.212</v>
      </c>
      <c r="R339" s="624">
        <v>17</v>
      </c>
      <c r="S339" s="289"/>
      <c r="T339" s="289">
        <v>216</v>
      </c>
      <c r="U339" s="716">
        <v>2.3245912903751189E-3</v>
      </c>
      <c r="V339" s="289">
        <v>1893.92313214</v>
      </c>
      <c r="W339" s="743">
        <v>1</v>
      </c>
      <c r="X339" s="289">
        <v>0</v>
      </c>
      <c r="Y339" s="289">
        <v>414.28399999999999</v>
      </c>
      <c r="Z339" s="289">
        <v>108267</v>
      </c>
      <c r="AA339" s="289">
        <v>0</v>
      </c>
      <c r="AB339" s="290">
        <v>58</v>
      </c>
      <c r="AC339" s="289">
        <v>0</v>
      </c>
      <c r="AD339" s="289">
        <v>0</v>
      </c>
      <c r="AE339" s="289">
        <v>0</v>
      </c>
      <c r="AF339" s="289">
        <v>0</v>
      </c>
      <c r="AG339" s="289">
        <v>3739</v>
      </c>
      <c r="AH339" s="289">
        <v>594.05781429000001</v>
      </c>
      <c r="AI339" s="289">
        <v>40</v>
      </c>
      <c r="AJ339" s="289">
        <v>0</v>
      </c>
      <c r="AK339" s="289">
        <v>269.084</v>
      </c>
      <c r="AL339" s="289">
        <v>0</v>
      </c>
      <c r="AM339" s="836">
        <v>4.3301439999999997E-2</v>
      </c>
      <c r="AN339" s="289">
        <v>5443</v>
      </c>
      <c r="AO339" s="289">
        <v>180.69535261999999</v>
      </c>
      <c r="AP339" s="289">
        <v>0</v>
      </c>
      <c r="AQ339" s="289">
        <v>0</v>
      </c>
      <c r="AR339" s="289">
        <v>2802.4171219899999</v>
      </c>
      <c r="AS339" s="289"/>
      <c r="AT339" s="289">
        <v>110</v>
      </c>
      <c r="AU339" s="289">
        <v>38</v>
      </c>
      <c r="AV339" s="625">
        <v>149464</v>
      </c>
      <c r="AW339" s="289"/>
      <c r="AX339" s="625">
        <v>19.953333300000001</v>
      </c>
      <c r="AY339" s="289">
        <v>546</v>
      </c>
      <c r="AZ339" s="289">
        <v>147</v>
      </c>
      <c r="BA339" s="290">
        <v>54</v>
      </c>
      <c r="BB339" s="289">
        <v>0</v>
      </c>
      <c r="BC339" s="289">
        <v>1019.19814143</v>
      </c>
      <c r="BD339" s="289">
        <v>41.733127904033836</v>
      </c>
      <c r="BE339" s="289">
        <v>149307.55588331999</v>
      </c>
      <c r="BF339" s="289">
        <v>0</v>
      </c>
      <c r="BG339" s="289">
        <v>-176.14570000000001</v>
      </c>
      <c r="BH339" s="289">
        <v>-10.5572</v>
      </c>
      <c r="BI339" s="289">
        <v>1008.34181429</v>
      </c>
      <c r="BJ339" s="289">
        <v>0</v>
      </c>
      <c r="BK339" s="289">
        <v>0</v>
      </c>
      <c r="BL339" s="289">
        <v>0</v>
      </c>
      <c r="BM339" s="289">
        <v>0</v>
      </c>
      <c r="BN339" s="289">
        <v>386.29730374277233</v>
      </c>
      <c r="BO339" s="289">
        <v>219.82934488233585</v>
      </c>
      <c r="BP339" s="289">
        <v>338.53294903273553</v>
      </c>
      <c r="BQ339" s="289">
        <v>301.73194949069034</v>
      </c>
      <c r="BR339" s="289">
        <v>2.8285786690511818</v>
      </c>
      <c r="BS339" s="289">
        <v>1.0989193695287454</v>
      </c>
      <c r="BT339" s="289">
        <v>0</v>
      </c>
      <c r="BU339" s="289">
        <v>0</v>
      </c>
      <c r="BV339" s="289">
        <v>21.153780742413577</v>
      </c>
      <c r="BW339" s="517"/>
      <c r="BX339" s="517"/>
      <c r="CA339" s="517"/>
      <c r="CB339" s="517"/>
    </row>
    <row r="340" spans="1:80" ht="13">
      <c r="A340" s="1">
        <v>4650</v>
      </c>
      <c r="B340" s="2" t="s">
        <v>82</v>
      </c>
      <c r="C340" s="289">
        <v>5836</v>
      </c>
      <c r="D340" s="289">
        <v>108</v>
      </c>
      <c r="E340" s="289">
        <v>245</v>
      </c>
      <c r="F340" s="289">
        <v>776</v>
      </c>
      <c r="G340" s="289">
        <v>569</v>
      </c>
      <c r="H340" s="289">
        <v>3010</v>
      </c>
      <c r="I340" s="289">
        <v>768</v>
      </c>
      <c r="J340" s="289">
        <v>257</v>
      </c>
      <c r="K340" s="289">
        <v>110</v>
      </c>
      <c r="L340" s="289">
        <v>38</v>
      </c>
      <c r="M340" s="289">
        <v>473</v>
      </c>
      <c r="N340" s="290">
        <v>82</v>
      </c>
      <c r="O340" s="290">
        <v>77</v>
      </c>
      <c r="P340" s="624">
        <v>61732.009333330003</v>
      </c>
      <c r="Q340" s="624">
        <v>22940.013999999999</v>
      </c>
      <c r="R340" s="624">
        <v>46</v>
      </c>
      <c r="S340" s="289"/>
      <c r="T340" s="289">
        <v>381</v>
      </c>
      <c r="U340" s="716">
        <v>5.393618606025552E-3</v>
      </c>
      <c r="V340" s="289">
        <v>2799.07404782</v>
      </c>
      <c r="W340" s="743">
        <v>0.75528231000000001</v>
      </c>
      <c r="X340" s="289">
        <v>600</v>
      </c>
      <c r="Y340" s="289">
        <v>414.28399999999999</v>
      </c>
      <c r="Z340" s="289">
        <v>156649</v>
      </c>
      <c r="AA340" s="289">
        <v>0</v>
      </c>
      <c r="AB340" s="290">
        <v>82</v>
      </c>
      <c r="AC340" s="289">
        <v>0</v>
      </c>
      <c r="AD340" s="289">
        <v>0</v>
      </c>
      <c r="AE340" s="289">
        <v>0</v>
      </c>
      <c r="AF340" s="289">
        <v>0</v>
      </c>
      <c r="AG340" s="289">
        <v>5843</v>
      </c>
      <c r="AH340" s="289">
        <v>1009.61938391</v>
      </c>
      <c r="AI340" s="289">
        <v>550</v>
      </c>
      <c r="AJ340" s="289">
        <v>0</v>
      </c>
      <c r="AK340" s="289">
        <v>0</v>
      </c>
      <c r="AL340" s="289">
        <v>0</v>
      </c>
      <c r="AM340" s="836">
        <v>2.1750140000000001E-2</v>
      </c>
      <c r="AN340" s="289">
        <v>6239</v>
      </c>
      <c r="AO340" s="289">
        <v>267.05395985000001</v>
      </c>
      <c r="AP340" s="289">
        <v>0</v>
      </c>
      <c r="AQ340" s="289">
        <v>0</v>
      </c>
      <c r="AR340" s="289">
        <v>-311.00945353999998</v>
      </c>
      <c r="AS340" s="289"/>
      <c r="AT340" s="289">
        <v>176</v>
      </c>
      <c r="AU340" s="289">
        <v>26</v>
      </c>
      <c r="AV340" s="625">
        <v>200288</v>
      </c>
      <c r="AW340" s="289"/>
      <c r="AX340" s="625">
        <v>46.12</v>
      </c>
      <c r="AY340" s="289">
        <v>1415</v>
      </c>
      <c r="AZ340" s="289">
        <v>164</v>
      </c>
      <c r="BA340" s="290">
        <v>121</v>
      </c>
      <c r="BB340" s="289">
        <v>0</v>
      </c>
      <c r="BC340" s="289">
        <v>1382.8003535600001</v>
      </c>
      <c r="BD340" s="289">
        <v>64.466558717492788</v>
      </c>
      <c r="BE340" s="289">
        <v>210650.4479651</v>
      </c>
      <c r="BF340" s="289">
        <v>0</v>
      </c>
      <c r="BG340" s="289">
        <v>-258.9545</v>
      </c>
      <c r="BH340" s="289">
        <v>-16.497900000000001</v>
      </c>
      <c r="BI340" s="289">
        <v>1423.90338391</v>
      </c>
      <c r="BJ340" s="289">
        <v>0</v>
      </c>
      <c r="BK340" s="289">
        <v>0</v>
      </c>
      <c r="BL340" s="289">
        <v>0</v>
      </c>
      <c r="BM340" s="289">
        <v>0</v>
      </c>
      <c r="BN340" s="289">
        <v>544.43487846471476</v>
      </c>
      <c r="BO340" s="289">
        <v>274.5979179025332</v>
      </c>
      <c r="BP340" s="289">
        <v>529.03129745875208</v>
      </c>
      <c r="BQ340" s="289">
        <v>700.0916950621164</v>
      </c>
      <c r="BR340" s="289">
        <v>4.369400090852289</v>
      </c>
      <c r="BS340" s="289">
        <v>1.449429008773877</v>
      </c>
      <c r="BT340" s="289">
        <v>0</v>
      </c>
      <c r="BU340" s="289">
        <v>0</v>
      </c>
      <c r="BV340" s="289">
        <v>49.081929314832507</v>
      </c>
      <c r="BW340" s="517"/>
      <c r="BX340" s="517"/>
      <c r="CA340" s="517"/>
      <c r="CB340" s="517"/>
    </row>
    <row r="341" spans="1:80" ht="13">
      <c r="A341" s="1">
        <v>4651</v>
      </c>
      <c r="B341" s="2" t="s">
        <v>83</v>
      </c>
      <c r="C341" s="289">
        <v>7167</v>
      </c>
      <c r="D341" s="289">
        <v>151</v>
      </c>
      <c r="E341" s="289">
        <v>329</v>
      </c>
      <c r="F341" s="289">
        <v>957</v>
      </c>
      <c r="G341" s="289">
        <v>688</v>
      </c>
      <c r="H341" s="289">
        <v>3877</v>
      </c>
      <c r="I341" s="289">
        <v>843</v>
      </c>
      <c r="J341" s="289">
        <v>297</v>
      </c>
      <c r="K341" s="289">
        <v>84</v>
      </c>
      <c r="L341" s="289">
        <v>53</v>
      </c>
      <c r="M341" s="289">
        <v>516</v>
      </c>
      <c r="N341" s="290">
        <v>90</v>
      </c>
      <c r="O341" s="290">
        <v>132</v>
      </c>
      <c r="P341" s="624">
        <v>74558.005999999994</v>
      </c>
      <c r="Q341" s="624">
        <v>23380.762999999999</v>
      </c>
      <c r="R341" s="624">
        <v>39</v>
      </c>
      <c r="S341" s="289"/>
      <c r="T341" s="289">
        <v>558</v>
      </c>
      <c r="U341" s="716">
        <v>5.7304230880454573E-3</v>
      </c>
      <c r="V341" s="289">
        <v>3234.6151542399998</v>
      </c>
      <c r="W341" s="743">
        <v>0.78730690000000003</v>
      </c>
      <c r="X341" s="289">
        <v>400</v>
      </c>
      <c r="Y341" s="289">
        <v>414.28399999999999</v>
      </c>
      <c r="Z341" s="289">
        <v>190496</v>
      </c>
      <c r="AA341" s="289">
        <v>0</v>
      </c>
      <c r="AB341" s="290">
        <v>81</v>
      </c>
      <c r="AC341" s="289">
        <v>300.5</v>
      </c>
      <c r="AD341" s="289">
        <v>0</v>
      </c>
      <c r="AE341" s="289">
        <v>0</v>
      </c>
      <c r="AF341" s="289">
        <v>0</v>
      </c>
      <c r="AG341" s="289">
        <v>7226</v>
      </c>
      <c r="AH341" s="289">
        <v>1282.2445075999999</v>
      </c>
      <c r="AI341" s="289">
        <v>0</v>
      </c>
      <c r="AJ341" s="289">
        <v>0</v>
      </c>
      <c r="AK341" s="289">
        <v>0</v>
      </c>
      <c r="AL341" s="289">
        <v>0</v>
      </c>
      <c r="AM341" s="836">
        <v>5.2828880000000002E-2</v>
      </c>
      <c r="AN341" s="289">
        <v>0</v>
      </c>
      <c r="AO341" s="289">
        <v>308.60805065</v>
      </c>
      <c r="AP341" s="289">
        <v>0</v>
      </c>
      <c r="AQ341" s="289">
        <v>0</v>
      </c>
      <c r="AR341" s="289">
        <v>3374.6895914699999</v>
      </c>
      <c r="AS341" s="289"/>
      <c r="AT341" s="289">
        <v>250</v>
      </c>
      <c r="AU341" s="289">
        <v>38</v>
      </c>
      <c r="AV341" s="625">
        <v>221271</v>
      </c>
      <c r="AW341" s="289"/>
      <c r="AX341" s="625">
        <v>55.327185849999999</v>
      </c>
      <c r="AY341" s="289">
        <v>1319</v>
      </c>
      <c r="AZ341" s="289">
        <v>289</v>
      </c>
      <c r="BA341" s="290">
        <v>127</v>
      </c>
      <c r="BB341" s="289">
        <v>0</v>
      </c>
      <c r="BC341" s="289">
        <v>1677.3068182100001</v>
      </c>
      <c r="BD341" s="289">
        <v>85.310867123718566</v>
      </c>
      <c r="BE341" s="289">
        <v>222909.52237327999</v>
      </c>
      <c r="BF341" s="289">
        <v>0</v>
      </c>
      <c r="BG341" s="289">
        <v>-319.76459999999997</v>
      </c>
      <c r="BH341" s="289">
        <v>-20.402799999999999</v>
      </c>
      <c r="BI341" s="289">
        <v>1696.5285076</v>
      </c>
      <c r="BJ341" s="289">
        <v>0</v>
      </c>
      <c r="BK341" s="289">
        <v>0</v>
      </c>
      <c r="BL341" s="289">
        <v>0</v>
      </c>
      <c r="BM341" s="289">
        <v>0</v>
      </c>
      <c r="BN341" s="289">
        <v>566.09249206464597</v>
      </c>
      <c r="BO341" s="289">
        <v>321.4149420346202</v>
      </c>
      <c r="BP341" s="289">
        <v>654.24955595360973</v>
      </c>
      <c r="BQ341" s="289">
        <v>743.80891682830043</v>
      </c>
      <c r="BR341" s="289">
        <v>5.7821809939409263</v>
      </c>
      <c r="BS341" s="289">
        <v>1.746563859867758</v>
      </c>
      <c r="BT341" s="289">
        <v>0</v>
      </c>
      <c r="BU341" s="289">
        <v>0</v>
      </c>
      <c r="BV341" s="289">
        <v>52.146850101213651</v>
      </c>
      <c r="BW341" s="517"/>
      <c r="BX341" s="517"/>
      <c r="CA341" s="517"/>
      <c r="CB341" s="517"/>
    </row>
    <row r="342" spans="1:80" ht="13">
      <c r="A342" s="1">
        <v>5001</v>
      </c>
      <c r="B342" s="2" t="s">
        <v>118</v>
      </c>
      <c r="C342" s="289">
        <v>196159</v>
      </c>
      <c r="D342" s="289">
        <v>4344</v>
      </c>
      <c r="E342" s="289">
        <v>8918</v>
      </c>
      <c r="F342" s="289">
        <v>21602</v>
      </c>
      <c r="G342" s="289">
        <v>17748</v>
      </c>
      <c r="H342" s="289">
        <v>117051</v>
      </c>
      <c r="I342" s="289">
        <v>17845</v>
      </c>
      <c r="J342" s="289">
        <v>5194</v>
      </c>
      <c r="K342" s="289">
        <v>1346</v>
      </c>
      <c r="L342" s="289">
        <v>1431</v>
      </c>
      <c r="M342" s="289">
        <v>11006</v>
      </c>
      <c r="N342" s="290">
        <v>5138</v>
      </c>
      <c r="O342" s="290">
        <v>1424</v>
      </c>
      <c r="P342" s="624">
        <v>404996.52866667003</v>
      </c>
      <c r="Q342" s="624">
        <v>150065.28599999999</v>
      </c>
      <c r="R342" s="624">
        <v>597</v>
      </c>
      <c r="S342" s="289"/>
      <c r="T342" s="289">
        <v>16902</v>
      </c>
      <c r="U342" s="716">
        <v>4.6229100609209602E-3</v>
      </c>
      <c r="V342" s="289">
        <v>-25054.239682989999</v>
      </c>
      <c r="W342" s="743">
        <v>0.52889216999999999</v>
      </c>
      <c r="X342" s="289">
        <v>3750</v>
      </c>
      <c r="Y342" s="289">
        <v>5385.692</v>
      </c>
      <c r="Z342" s="289">
        <v>6305500</v>
      </c>
      <c r="AA342" s="289">
        <v>0</v>
      </c>
      <c r="AB342" s="290">
        <v>3670</v>
      </c>
      <c r="AC342" s="289">
        <v>0</v>
      </c>
      <c r="AD342" s="289">
        <v>5667.3239080000003</v>
      </c>
      <c r="AE342" s="289">
        <v>13213</v>
      </c>
      <c r="AF342" s="289">
        <v>0</v>
      </c>
      <c r="AG342" s="289">
        <v>194048</v>
      </c>
      <c r="AH342" s="289">
        <v>30264.874984779999</v>
      </c>
      <c r="AI342" s="289">
        <v>24980</v>
      </c>
      <c r="AJ342" s="289">
        <v>0</v>
      </c>
      <c r="AK342" s="289">
        <v>0</v>
      </c>
      <c r="AL342" s="289">
        <v>0</v>
      </c>
      <c r="AM342" s="836">
        <v>4.0092887099999999</v>
      </c>
      <c r="AN342" s="289">
        <v>0</v>
      </c>
      <c r="AO342" s="289">
        <v>6815.5023839300002</v>
      </c>
      <c r="AP342" s="289">
        <v>71789</v>
      </c>
      <c r="AQ342" s="289">
        <v>0</v>
      </c>
      <c r="AR342" s="289">
        <v>-10328.72881076</v>
      </c>
      <c r="AS342" s="289"/>
      <c r="AT342" s="289">
        <v>8694</v>
      </c>
      <c r="AU342" s="289">
        <v>2230</v>
      </c>
      <c r="AV342" s="625">
        <v>3744790</v>
      </c>
      <c r="AW342" s="289"/>
      <c r="AX342" s="625">
        <v>1594.06999995</v>
      </c>
      <c r="AY342" s="289">
        <v>66026</v>
      </c>
      <c r="AZ342" s="289">
        <v>7743</v>
      </c>
      <c r="BA342" s="290">
        <v>4023</v>
      </c>
      <c r="BB342" s="289">
        <v>0</v>
      </c>
      <c r="BC342" s="289">
        <v>39239.159778469999</v>
      </c>
      <c r="BD342" s="289">
        <v>3085.4420706916421</v>
      </c>
      <c r="BE342" s="289">
        <v>3961342.1235906002</v>
      </c>
      <c r="BF342" s="289">
        <v>0</v>
      </c>
      <c r="BG342" s="289">
        <v>-6502.8707000000004</v>
      </c>
      <c r="BH342" s="289">
        <v>-547.89940000000001</v>
      </c>
      <c r="BI342" s="289">
        <v>42917.89089278</v>
      </c>
      <c r="BJ342" s="289">
        <v>0</v>
      </c>
      <c r="BK342" s="289">
        <v>0</v>
      </c>
      <c r="BL342" s="289">
        <v>0</v>
      </c>
      <c r="BM342" s="289">
        <v>0</v>
      </c>
      <c r="BN342" s="289">
        <v>10852.136610109083</v>
      </c>
      <c r="BO342" s="289">
        <v>6604.4466548645169</v>
      </c>
      <c r="BP342" s="289">
        <v>17569.307754454203</v>
      </c>
      <c r="BQ342" s="289">
        <v>600.05372590754087</v>
      </c>
      <c r="BR342" s="289">
        <v>209.12440701354461</v>
      </c>
      <c r="BS342" s="289">
        <v>40.118778000521566</v>
      </c>
      <c r="BT342" s="289">
        <v>1600</v>
      </c>
      <c r="BU342" s="289">
        <v>0</v>
      </c>
      <c r="BV342" s="289">
        <v>42.06848155438081</v>
      </c>
      <c r="BW342" s="517"/>
      <c r="BX342" s="517"/>
      <c r="CA342" s="517"/>
      <c r="CB342" s="517"/>
    </row>
    <row r="343" spans="1:80" ht="13">
      <c r="A343" s="1">
        <v>5004</v>
      </c>
      <c r="B343" s="2" t="s">
        <v>144</v>
      </c>
      <c r="C343" s="289">
        <v>22090</v>
      </c>
      <c r="D343" s="289">
        <v>426</v>
      </c>
      <c r="E343" s="289">
        <v>957</v>
      </c>
      <c r="F343" s="289">
        <v>2658</v>
      </c>
      <c r="G343" s="289">
        <v>2061</v>
      </c>
      <c r="H343" s="289">
        <v>11983</v>
      </c>
      <c r="I343" s="289">
        <v>2878</v>
      </c>
      <c r="J343" s="289">
        <v>955</v>
      </c>
      <c r="K343" s="289">
        <v>227</v>
      </c>
      <c r="L343" s="289">
        <v>160</v>
      </c>
      <c r="M343" s="289">
        <v>1762</v>
      </c>
      <c r="N343" s="290">
        <v>310</v>
      </c>
      <c r="O343" s="290">
        <v>191</v>
      </c>
      <c r="P343" s="624">
        <v>108625.28766667</v>
      </c>
      <c r="Q343" s="624">
        <v>52015.533000000003</v>
      </c>
      <c r="R343" s="624">
        <v>95</v>
      </c>
      <c r="S343" s="289"/>
      <c r="T343" s="289">
        <v>1633</v>
      </c>
      <c r="U343" s="716">
        <v>1.0537583342904134E-2</v>
      </c>
      <c r="V343" s="289">
        <v>-2300.02505346</v>
      </c>
      <c r="W343" s="743">
        <v>0.60632708999999996</v>
      </c>
      <c r="X343" s="289">
        <v>700</v>
      </c>
      <c r="Y343" s="289">
        <v>828.56799999999998</v>
      </c>
      <c r="Z343" s="289">
        <v>521680</v>
      </c>
      <c r="AA343" s="289">
        <v>0</v>
      </c>
      <c r="AB343" s="290">
        <v>476</v>
      </c>
      <c r="AC343" s="289">
        <v>0</v>
      </c>
      <c r="AD343" s="289">
        <v>4394.2188960000003</v>
      </c>
      <c r="AE343" s="289">
        <v>0</v>
      </c>
      <c r="AF343" s="289">
        <v>0</v>
      </c>
      <c r="AG343" s="289">
        <v>22145</v>
      </c>
      <c r="AH343" s="289">
        <v>3608.2736959499998</v>
      </c>
      <c r="AI343" s="289">
        <v>7769.768</v>
      </c>
      <c r="AJ343" s="289">
        <v>0</v>
      </c>
      <c r="AK343" s="289">
        <v>68.947000000000003</v>
      </c>
      <c r="AL343" s="289">
        <v>0</v>
      </c>
      <c r="AM343" s="836">
        <v>0.40145752000000001</v>
      </c>
      <c r="AN343" s="289">
        <v>10370</v>
      </c>
      <c r="AO343" s="289">
        <v>875.07946815000003</v>
      </c>
      <c r="AP343" s="289">
        <v>0</v>
      </c>
      <c r="AQ343" s="289">
        <v>0</v>
      </c>
      <c r="AR343" s="289">
        <v>-1178.72742576</v>
      </c>
      <c r="AS343" s="289"/>
      <c r="AT343" s="289">
        <v>1061</v>
      </c>
      <c r="AU343" s="289">
        <v>251</v>
      </c>
      <c r="AV343" s="625">
        <v>563005</v>
      </c>
      <c r="AW343" s="289"/>
      <c r="AX343" s="625">
        <v>157.86333329999999</v>
      </c>
      <c r="AY343" s="289">
        <v>4854</v>
      </c>
      <c r="AZ343" s="289">
        <v>736</v>
      </c>
      <c r="BA343" s="290">
        <v>523</v>
      </c>
      <c r="BB343" s="289">
        <v>0</v>
      </c>
      <c r="BC343" s="289">
        <v>8587.4243637199997</v>
      </c>
      <c r="BD343" s="289">
        <v>301.53780812727501</v>
      </c>
      <c r="BE343" s="289">
        <v>593207.96542311995</v>
      </c>
      <c r="BF343" s="289">
        <v>0</v>
      </c>
      <c r="BG343" s="289">
        <v>-831.09900000000005</v>
      </c>
      <c r="BH343" s="289">
        <v>-62.527000000000001</v>
      </c>
      <c r="BI343" s="289">
        <v>8831.0605919499994</v>
      </c>
      <c r="BJ343" s="289">
        <v>0</v>
      </c>
      <c r="BK343" s="289">
        <v>0</v>
      </c>
      <c r="BL343" s="289">
        <v>0</v>
      </c>
      <c r="BM343" s="289">
        <v>4293</v>
      </c>
      <c r="BN343" s="289">
        <v>1645.8109575294441</v>
      </c>
      <c r="BO343" s="289">
        <v>885.43146252195993</v>
      </c>
      <c r="BP343" s="289">
        <v>2005.031333599874</v>
      </c>
      <c r="BQ343" s="289">
        <v>1367.7783179089565</v>
      </c>
      <c r="BR343" s="289">
        <v>20.437562550848643</v>
      </c>
      <c r="BS343" s="289">
        <v>4.7402223259972232</v>
      </c>
      <c r="BT343" s="289">
        <v>0</v>
      </c>
      <c r="BU343" s="289">
        <v>0</v>
      </c>
      <c r="BV343" s="289">
        <v>95.892008420427615</v>
      </c>
      <c r="BW343" s="517"/>
      <c r="BX343" s="517"/>
      <c r="CA343" s="517"/>
      <c r="CB343" s="517"/>
    </row>
    <row r="344" spans="1:80" ht="13">
      <c r="A344" s="1">
        <v>5005</v>
      </c>
      <c r="B344" s="2" t="s">
        <v>145</v>
      </c>
      <c r="C344" s="289">
        <v>13113</v>
      </c>
      <c r="D344" s="289">
        <v>266</v>
      </c>
      <c r="E344" s="289">
        <v>586</v>
      </c>
      <c r="F344" s="289">
        <v>1649</v>
      </c>
      <c r="G344" s="289">
        <v>1338</v>
      </c>
      <c r="H344" s="289">
        <v>7057</v>
      </c>
      <c r="I344" s="289">
        <v>1548</v>
      </c>
      <c r="J344" s="289">
        <v>483</v>
      </c>
      <c r="K344" s="289">
        <v>130</v>
      </c>
      <c r="L344" s="289">
        <v>103</v>
      </c>
      <c r="M344" s="289">
        <v>988</v>
      </c>
      <c r="N344" s="290">
        <v>220</v>
      </c>
      <c r="O344" s="290">
        <v>115</v>
      </c>
      <c r="P344" s="624">
        <v>66335.469666670004</v>
      </c>
      <c r="Q344" s="624">
        <v>23593.839666669999</v>
      </c>
      <c r="R344" s="624">
        <v>68</v>
      </c>
      <c r="S344" s="289"/>
      <c r="T344" s="289">
        <v>953</v>
      </c>
      <c r="U344" s="716">
        <v>1.7022522111942689E-3</v>
      </c>
      <c r="V344" s="289">
        <v>-509.13096338000003</v>
      </c>
      <c r="W344" s="743">
        <v>0.58860266999999999</v>
      </c>
      <c r="X344" s="289">
        <v>350</v>
      </c>
      <c r="Y344" s="289">
        <v>414.28399999999999</v>
      </c>
      <c r="Z344" s="289">
        <v>338235</v>
      </c>
      <c r="AA344" s="289">
        <v>0</v>
      </c>
      <c r="AB344" s="290">
        <v>318</v>
      </c>
      <c r="AC344" s="289">
        <v>0</v>
      </c>
      <c r="AD344" s="289">
        <v>4674.050776</v>
      </c>
      <c r="AE344" s="289">
        <v>0</v>
      </c>
      <c r="AF344" s="289">
        <v>0</v>
      </c>
      <c r="AG344" s="289">
        <v>13057</v>
      </c>
      <c r="AH344" s="289">
        <v>2270.9463628399999</v>
      </c>
      <c r="AI344" s="289">
        <v>4960</v>
      </c>
      <c r="AJ344" s="289">
        <v>0</v>
      </c>
      <c r="AK344" s="289">
        <v>0</v>
      </c>
      <c r="AL344" s="289">
        <v>22991</v>
      </c>
      <c r="AM344" s="836">
        <v>0.17993438</v>
      </c>
      <c r="AN344" s="289">
        <v>0</v>
      </c>
      <c r="AO344" s="289">
        <v>526.04794456000002</v>
      </c>
      <c r="AP344" s="289">
        <v>0</v>
      </c>
      <c r="AQ344" s="289">
        <v>0</v>
      </c>
      <c r="AR344" s="289">
        <v>-694.99408435999999</v>
      </c>
      <c r="AS344" s="289"/>
      <c r="AT344" s="289">
        <v>642</v>
      </c>
      <c r="AU344" s="289">
        <v>107</v>
      </c>
      <c r="AV344" s="625">
        <v>370689</v>
      </c>
      <c r="AW344" s="289"/>
      <c r="AX344" s="625">
        <v>104.44499995</v>
      </c>
      <c r="AY344" s="289">
        <v>2930</v>
      </c>
      <c r="AZ344" s="289">
        <v>448</v>
      </c>
      <c r="BA344" s="290">
        <v>373</v>
      </c>
      <c r="BB344" s="289">
        <v>0</v>
      </c>
      <c r="BC344" s="289">
        <v>7225.3707980299996</v>
      </c>
      <c r="BD344" s="289">
        <v>180.45691719798197</v>
      </c>
      <c r="BE344" s="289">
        <v>384235.28291532001</v>
      </c>
      <c r="BF344" s="289">
        <v>0</v>
      </c>
      <c r="BG344" s="289">
        <v>-513.56100000000004</v>
      </c>
      <c r="BH344" s="289">
        <v>-36.866799999999998</v>
      </c>
      <c r="BI344" s="289">
        <v>7359.2811388399996</v>
      </c>
      <c r="BJ344" s="289">
        <v>0</v>
      </c>
      <c r="BK344" s="289">
        <v>0</v>
      </c>
      <c r="BL344" s="289">
        <v>0</v>
      </c>
      <c r="BM344" s="289">
        <v>3562</v>
      </c>
      <c r="BN344" s="289">
        <v>962.09342323166356</v>
      </c>
      <c r="BO344" s="289">
        <v>517.6706550709921</v>
      </c>
      <c r="BP344" s="289">
        <v>1182.1943609308446</v>
      </c>
      <c r="BQ344" s="289">
        <v>220.95233701301606</v>
      </c>
      <c r="BR344" s="289">
        <v>12.230968832307667</v>
      </c>
      <c r="BS344" s="289">
        <v>2.8768154380065267</v>
      </c>
      <c r="BT344" s="289">
        <v>0</v>
      </c>
      <c r="BU344" s="289">
        <v>0</v>
      </c>
      <c r="BV344" s="289">
        <v>15.490495121867845</v>
      </c>
      <c r="BW344" s="517"/>
      <c r="BX344" s="517"/>
      <c r="CA344" s="517"/>
      <c r="CB344" s="517"/>
    </row>
    <row r="345" spans="1:80" ht="13">
      <c r="A345" s="1">
        <v>5011</v>
      </c>
      <c r="B345" s="2" t="s">
        <v>119</v>
      </c>
      <c r="C345" s="289">
        <v>4228</v>
      </c>
      <c r="D345" s="289">
        <v>91</v>
      </c>
      <c r="E345" s="289">
        <v>187</v>
      </c>
      <c r="F345" s="289">
        <v>470</v>
      </c>
      <c r="G345" s="289">
        <v>427</v>
      </c>
      <c r="H345" s="289">
        <v>2236</v>
      </c>
      <c r="I345" s="289">
        <v>586</v>
      </c>
      <c r="J345" s="289">
        <v>201</v>
      </c>
      <c r="K345" s="289">
        <v>38</v>
      </c>
      <c r="L345" s="289">
        <v>32</v>
      </c>
      <c r="M345" s="289">
        <v>353</v>
      </c>
      <c r="N345" s="290">
        <v>26</v>
      </c>
      <c r="O345" s="290">
        <v>26</v>
      </c>
      <c r="P345" s="624">
        <v>22946.97933333</v>
      </c>
      <c r="Q345" s="624">
        <v>11445.704</v>
      </c>
      <c r="R345" s="624">
        <v>16</v>
      </c>
      <c r="S345" s="289"/>
      <c r="T345" s="289">
        <v>300</v>
      </c>
      <c r="U345" s="716">
        <v>2.2921375236893467E-3</v>
      </c>
      <c r="V345" s="289">
        <v>1801.4607570000001</v>
      </c>
      <c r="W345" s="743">
        <v>0.78442741000000005</v>
      </c>
      <c r="X345" s="289">
        <v>150</v>
      </c>
      <c r="Y345" s="289">
        <v>414.28399999999999</v>
      </c>
      <c r="Z345" s="289">
        <v>118012</v>
      </c>
      <c r="AA345" s="289">
        <v>0</v>
      </c>
      <c r="AB345" s="290">
        <v>115</v>
      </c>
      <c r="AC345" s="289">
        <v>0</v>
      </c>
      <c r="AD345" s="289">
        <v>1477.747944</v>
      </c>
      <c r="AE345" s="289">
        <v>0</v>
      </c>
      <c r="AF345" s="289">
        <v>0</v>
      </c>
      <c r="AG345" s="289">
        <v>4236</v>
      </c>
      <c r="AH345" s="289">
        <v>685.39768948999995</v>
      </c>
      <c r="AI345" s="289">
        <v>0</v>
      </c>
      <c r="AJ345" s="289">
        <v>0</v>
      </c>
      <c r="AK345" s="289">
        <v>207.67699999999999</v>
      </c>
      <c r="AL345" s="289">
        <v>0</v>
      </c>
      <c r="AM345" s="836">
        <v>4.4466789999999999E-2</v>
      </c>
      <c r="AN345" s="289">
        <v>5954</v>
      </c>
      <c r="AO345" s="289">
        <v>171.87370553</v>
      </c>
      <c r="AP345" s="289">
        <v>0</v>
      </c>
      <c r="AQ345" s="289">
        <v>0</v>
      </c>
      <c r="AR345" s="289">
        <v>-225.47253896999999</v>
      </c>
      <c r="AS345" s="289"/>
      <c r="AT345" s="289">
        <v>205</v>
      </c>
      <c r="AU345" s="289">
        <v>32</v>
      </c>
      <c r="AV345" s="625">
        <v>122356</v>
      </c>
      <c r="AW345" s="289"/>
      <c r="AX345" s="625">
        <v>26.1333333</v>
      </c>
      <c r="AY345" s="289">
        <v>607</v>
      </c>
      <c r="AZ345" s="289">
        <v>121</v>
      </c>
      <c r="BA345" s="290">
        <v>96</v>
      </c>
      <c r="BB345" s="289">
        <v>0</v>
      </c>
      <c r="BC345" s="289">
        <v>2540.5172121400001</v>
      </c>
      <c r="BD345" s="289">
        <v>53.712292297001937</v>
      </c>
      <c r="BE345" s="289">
        <v>125823.73710216</v>
      </c>
      <c r="BF345" s="289">
        <v>0</v>
      </c>
      <c r="BG345" s="289">
        <v>-154.0378</v>
      </c>
      <c r="BH345" s="289">
        <v>-11.9605</v>
      </c>
      <c r="BI345" s="289">
        <v>2577.42963349</v>
      </c>
      <c r="BJ345" s="289">
        <v>0</v>
      </c>
      <c r="BK345" s="289">
        <v>0</v>
      </c>
      <c r="BL345" s="289">
        <v>0</v>
      </c>
      <c r="BM345" s="289">
        <v>0</v>
      </c>
      <c r="BN345" s="289">
        <v>328.80558974603628</v>
      </c>
      <c r="BO345" s="289">
        <v>196.49540937243643</v>
      </c>
      <c r="BP345" s="289">
        <v>383.53184597557311</v>
      </c>
      <c r="BQ345" s="289">
        <v>297.51945057487717</v>
      </c>
      <c r="BR345" s="289">
        <v>3.6404998112412414</v>
      </c>
      <c r="BS345" s="289">
        <v>1.1299550031906989</v>
      </c>
      <c r="BT345" s="289">
        <v>0</v>
      </c>
      <c r="BU345" s="289">
        <v>0</v>
      </c>
      <c r="BV345" s="289">
        <v>20.858451465573051</v>
      </c>
      <c r="BW345" s="517"/>
      <c r="BX345" s="517"/>
      <c r="CA345" s="517"/>
      <c r="CB345" s="517"/>
    </row>
    <row r="346" spans="1:80" ht="13">
      <c r="A346" s="1">
        <v>5012</v>
      </c>
      <c r="B346" s="2" t="s">
        <v>120</v>
      </c>
      <c r="C346" s="289">
        <v>999</v>
      </c>
      <c r="D346" s="289">
        <v>24</v>
      </c>
      <c r="E346" s="289">
        <v>40</v>
      </c>
      <c r="F346" s="289">
        <v>90</v>
      </c>
      <c r="G346" s="289">
        <v>79</v>
      </c>
      <c r="H346" s="289">
        <v>550</v>
      </c>
      <c r="I346" s="289">
        <v>133</v>
      </c>
      <c r="J346" s="289">
        <v>60</v>
      </c>
      <c r="K346" s="289">
        <v>10</v>
      </c>
      <c r="L346" s="289">
        <v>7</v>
      </c>
      <c r="M346" s="289">
        <v>94</v>
      </c>
      <c r="N346" s="290">
        <v>1.5</v>
      </c>
      <c r="O346" s="290">
        <v>7</v>
      </c>
      <c r="P346" s="624">
        <v>22342.244666670002</v>
      </c>
      <c r="Q346" s="624">
        <v>10970.43366667</v>
      </c>
      <c r="R346" s="624">
        <v>3</v>
      </c>
      <c r="S346" s="289"/>
      <c r="T346" s="289">
        <v>77</v>
      </c>
      <c r="U346" s="716">
        <v>1.3052527028914645E-3</v>
      </c>
      <c r="V346" s="289">
        <v>456.91936788999999</v>
      </c>
      <c r="W346" s="743">
        <v>1</v>
      </c>
      <c r="X346" s="289">
        <v>0</v>
      </c>
      <c r="Y346" s="289">
        <v>414.28399999999999</v>
      </c>
      <c r="Z346" s="289">
        <v>28822</v>
      </c>
      <c r="AA346" s="289">
        <v>0</v>
      </c>
      <c r="AB346" s="290">
        <v>17</v>
      </c>
      <c r="AC346" s="289">
        <v>0</v>
      </c>
      <c r="AD346" s="289">
        <v>0</v>
      </c>
      <c r="AE346" s="289">
        <v>0</v>
      </c>
      <c r="AF346" s="289">
        <v>0</v>
      </c>
      <c r="AG346" s="289">
        <v>986</v>
      </c>
      <c r="AH346" s="289">
        <v>136.66118732000001</v>
      </c>
      <c r="AI346" s="289">
        <v>650</v>
      </c>
      <c r="AJ346" s="289">
        <v>0</v>
      </c>
      <c r="AK346" s="289">
        <v>26.974</v>
      </c>
      <c r="AL346" s="289">
        <v>0</v>
      </c>
      <c r="AM346" s="836">
        <v>3.2694500000000001E-3</v>
      </c>
      <c r="AN346" s="289">
        <v>0</v>
      </c>
      <c r="AO346" s="289">
        <v>52.714748720000003</v>
      </c>
      <c r="AP346" s="289">
        <v>0</v>
      </c>
      <c r="AQ346" s="289">
        <v>0</v>
      </c>
      <c r="AR346" s="289">
        <v>-52.482512610000001</v>
      </c>
      <c r="AS346" s="289"/>
      <c r="AT346" s="289">
        <v>35</v>
      </c>
      <c r="AU346" s="289">
        <v>7</v>
      </c>
      <c r="AV346" s="625">
        <v>48033</v>
      </c>
      <c r="AW346" s="289"/>
      <c r="AX346" s="625">
        <v>13.046666699999999</v>
      </c>
      <c r="AY346" s="289">
        <v>130</v>
      </c>
      <c r="AZ346" s="289">
        <v>13</v>
      </c>
      <c r="BA346" s="290">
        <v>13</v>
      </c>
      <c r="BB346" s="289">
        <v>5698</v>
      </c>
      <c r="BC346" s="289">
        <v>542.32421211999997</v>
      </c>
      <c r="BD346" s="289">
        <v>11.085967980170103</v>
      </c>
      <c r="BE346" s="289">
        <v>50822.922468999997</v>
      </c>
      <c r="BF346" s="289">
        <v>0</v>
      </c>
      <c r="BG346" s="289">
        <v>-44.465600000000002</v>
      </c>
      <c r="BH346" s="289">
        <v>-2.7839999999999998</v>
      </c>
      <c r="BI346" s="289">
        <v>550.94518731999995</v>
      </c>
      <c r="BJ346" s="289">
        <v>0</v>
      </c>
      <c r="BK346" s="289">
        <v>0</v>
      </c>
      <c r="BL346" s="289">
        <v>0</v>
      </c>
      <c r="BM346" s="289">
        <v>104</v>
      </c>
      <c r="BN346" s="289">
        <v>100.57416079105781</v>
      </c>
      <c r="BO346" s="289">
        <v>83.497115242262922</v>
      </c>
      <c r="BP346" s="289">
        <v>89.27346556466361</v>
      </c>
      <c r="BQ346" s="289">
        <v>169.42180083531207</v>
      </c>
      <c r="BR346" s="289">
        <v>0.75138227421152926</v>
      </c>
      <c r="BS346" s="289">
        <v>0.53632497132295698</v>
      </c>
      <c r="BT346" s="289">
        <v>0</v>
      </c>
      <c r="BU346" s="289">
        <v>0</v>
      </c>
      <c r="BV346" s="289">
        <v>11.877799596312324</v>
      </c>
      <c r="BW346" s="517"/>
      <c r="BX346" s="517"/>
      <c r="CA346" s="517"/>
      <c r="CB346" s="517"/>
    </row>
    <row r="347" spans="1:80" ht="13">
      <c r="A347" s="1">
        <v>5013</v>
      </c>
      <c r="B347" s="2" t="s">
        <v>121</v>
      </c>
      <c r="C347" s="289">
        <v>4694</v>
      </c>
      <c r="D347" s="289">
        <v>103</v>
      </c>
      <c r="E347" s="289">
        <v>184</v>
      </c>
      <c r="F347" s="289">
        <v>478</v>
      </c>
      <c r="G347" s="289">
        <v>399</v>
      </c>
      <c r="H347" s="289">
        <v>2630</v>
      </c>
      <c r="I347" s="289">
        <v>638</v>
      </c>
      <c r="J347" s="289">
        <v>182</v>
      </c>
      <c r="K347" s="289">
        <v>41</v>
      </c>
      <c r="L347" s="289">
        <v>38</v>
      </c>
      <c r="M347" s="289">
        <v>397</v>
      </c>
      <c r="N347" s="290">
        <v>29</v>
      </c>
      <c r="O347" s="290">
        <v>51</v>
      </c>
      <c r="P347" s="624">
        <v>63421.902000000002</v>
      </c>
      <c r="Q347" s="624">
        <v>22352.616000000002</v>
      </c>
      <c r="R347" s="624">
        <v>23</v>
      </c>
      <c r="S347" s="289"/>
      <c r="T347" s="289">
        <v>452</v>
      </c>
      <c r="U347" s="716">
        <v>1.8475772371767138E-3</v>
      </c>
      <c r="V347" s="289">
        <v>2023.5514201399999</v>
      </c>
      <c r="W347" s="743">
        <v>0.91244795999999995</v>
      </c>
      <c r="X347" s="289">
        <v>200</v>
      </c>
      <c r="Y347" s="289">
        <v>414.28399999999999</v>
      </c>
      <c r="Z347" s="289">
        <v>122556</v>
      </c>
      <c r="AA347" s="289">
        <v>0</v>
      </c>
      <c r="AB347" s="290">
        <v>97</v>
      </c>
      <c r="AC347" s="289">
        <v>0</v>
      </c>
      <c r="AD347" s="289">
        <v>0</v>
      </c>
      <c r="AE347" s="289">
        <v>0</v>
      </c>
      <c r="AF347" s="289">
        <v>0</v>
      </c>
      <c r="AG347" s="289">
        <v>4655</v>
      </c>
      <c r="AH347" s="289">
        <v>687.48944236</v>
      </c>
      <c r="AI347" s="289">
        <v>5080</v>
      </c>
      <c r="AJ347" s="289">
        <v>774</v>
      </c>
      <c r="AK347" s="289">
        <v>0</v>
      </c>
      <c r="AL347" s="289">
        <v>0</v>
      </c>
      <c r="AM347" s="836">
        <v>0.12863536</v>
      </c>
      <c r="AN347" s="289">
        <v>1288</v>
      </c>
      <c r="AO347" s="289">
        <v>193.06292382999999</v>
      </c>
      <c r="AP347" s="289">
        <v>0</v>
      </c>
      <c r="AQ347" s="289">
        <v>0</v>
      </c>
      <c r="AR347" s="289">
        <v>407.20152203999999</v>
      </c>
      <c r="AS347" s="289"/>
      <c r="AT347" s="289">
        <v>223</v>
      </c>
      <c r="AU347" s="289">
        <v>62</v>
      </c>
      <c r="AV347" s="625">
        <v>134343</v>
      </c>
      <c r="AW347" s="289"/>
      <c r="AX347" s="625">
        <v>28.06</v>
      </c>
      <c r="AY347" s="289">
        <v>709</v>
      </c>
      <c r="AZ347" s="289">
        <v>201</v>
      </c>
      <c r="BA347" s="290">
        <v>116</v>
      </c>
      <c r="BB347" s="289">
        <v>0</v>
      </c>
      <c r="BC347" s="289">
        <v>1092.82475759</v>
      </c>
      <c r="BD347" s="289">
        <v>71.085334655032383</v>
      </c>
      <c r="BE347" s="289">
        <v>137020.56046795999</v>
      </c>
      <c r="BF347" s="289">
        <v>0</v>
      </c>
      <c r="BG347" s="289">
        <v>-172.02709999999999</v>
      </c>
      <c r="BH347" s="289">
        <v>-13.1435</v>
      </c>
      <c r="BI347" s="289">
        <v>1101.77344236</v>
      </c>
      <c r="BJ347" s="289">
        <v>0</v>
      </c>
      <c r="BK347" s="289">
        <v>0</v>
      </c>
      <c r="BL347" s="289">
        <v>0</v>
      </c>
      <c r="BM347" s="289">
        <v>0</v>
      </c>
      <c r="BN347" s="289">
        <v>375.24403089476152</v>
      </c>
      <c r="BO347" s="289">
        <v>229.49876217892745</v>
      </c>
      <c r="BP347" s="289">
        <v>421.46854178854881</v>
      </c>
      <c r="BQ347" s="289">
        <v>239.81552538553743</v>
      </c>
      <c r="BR347" s="289">
        <v>4.818006015507752</v>
      </c>
      <c r="BS347" s="289">
        <v>1.2578407066577193</v>
      </c>
      <c r="BT347" s="289">
        <v>0</v>
      </c>
      <c r="BU347" s="289">
        <v>0</v>
      </c>
      <c r="BV347" s="289">
        <v>16.81295285830809</v>
      </c>
      <c r="BW347" s="517"/>
      <c r="BX347" s="517"/>
      <c r="CA347" s="517"/>
      <c r="CB347" s="517"/>
    </row>
    <row r="348" spans="1:80" ht="13">
      <c r="A348" s="1">
        <v>5014</v>
      </c>
      <c r="B348" s="2" t="s">
        <v>122</v>
      </c>
      <c r="C348" s="289">
        <v>5068</v>
      </c>
      <c r="D348" s="289">
        <v>123</v>
      </c>
      <c r="E348" s="289">
        <v>257</v>
      </c>
      <c r="F348" s="289">
        <v>499</v>
      </c>
      <c r="G348" s="289">
        <v>422</v>
      </c>
      <c r="H348" s="289">
        <v>2978</v>
      </c>
      <c r="I348" s="289">
        <v>500</v>
      </c>
      <c r="J348" s="289">
        <v>198</v>
      </c>
      <c r="K348" s="289">
        <v>54</v>
      </c>
      <c r="L348" s="289">
        <v>41</v>
      </c>
      <c r="M348" s="289">
        <v>331</v>
      </c>
      <c r="N348" s="290">
        <v>12</v>
      </c>
      <c r="O348" s="290">
        <v>79</v>
      </c>
      <c r="P348" s="624">
        <v>63194.468333329998</v>
      </c>
      <c r="Q348" s="624">
        <v>20135.803666669999</v>
      </c>
      <c r="R348" s="624">
        <v>21</v>
      </c>
      <c r="S348" s="289"/>
      <c r="T348" s="289">
        <v>403</v>
      </c>
      <c r="U348" s="716">
        <v>1.3901202304925373E-3</v>
      </c>
      <c r="V348" s="289">
        <v>2150.3504786399999</v>
      </c>
      <c r="W348" s="743">
        <v>0.84555818999999999</v>
      </c>
      <c r="X348" s="289">
        <v>200</v>
      </c>
      <c r="Y348" s="289">
        <v>414.28399999999999</v>
      </c>
      <c r="Z348" s="289">
        <v>198503</v>
      </c>
      <c r="AA348" s="289">
        <v>0</v>
      </c>
      <c r="AB348" s="290">
        <v>95</v>
      </c>
      <c r="AC348" s="289">
        <v>0</v>
      </c>
      <c r="AD348" s="289">
        <v>0</v>
      </c>
      <c r="AE348" s="289">
        <v>0</v>
      </c>
      <c r="AF348" s="289">
        <v>0</v>
      </c>
      <c r="AG348" s="289">
        <v>5031</v>
      </c>
      <c r="AH348" s="289">
        <v>779.52656851999996</v>
      </c>
      <c r="AI348" s="289">
        <v>0</v>
      </c>
      <c r="AJ348" s="289">
        <v>0</v>
      </c>
      <c r="AK348" s="289">
        <v>0</v>
      </c>
      <c r="AL348" s="289">
        <v>0</v>
      </c>
      <c r="AM348" s="836">
        <v>8.9967749999999999E-2</v>
      </c>
      <c r="AN348" s="289">
        <v>0</v>
      </c>
      <c r="AO348" s="289">
        <v>205.16056402000001</v>
      </c>
      <c r="AP348" s="289">
        <v>0</v>
      </c>
      <c r="AQ348" s="289">
        <v>0</v>
      </c>
      <c r="AR348" s="289">
        <v>-267.78856080000003</v>
      </c>
      <c r="AS348" s="289"/>
      <c r="AT348" s="289">
        <v>248</v>
      </c>
      <c r="AU348" s="289">
        <v>58</v>
      </c>
      <c r="AV348" s="625">
        <v>138993</v>
      </c>
      <c r="AW348" s="289"/>
      <c r="AX348" s="625">
        <v>51.46</v>
      </c>
      <c r="AY348" s="289">
        <v>693</v>
      </c>
      <c r="AZ348" s="289">
        <v>154</v>
      </c>
      <c r="BA348" s="290">
        <v>120</v>
      </c>
      <c r="BB348" s="289">
        <v>0</v>
      </c>
      <c r="BC348" s="289">
        <v>1155.12420204</v>
      </c>
      <c r="BD348" s="289">
        <v>65.363099576095507</v>
      </c>
      <c r="BE348" s="289">
        <v>141923.24452481</v>
      </c>
      <c r="BF348" s="289">
        <v>0</v>
      </c>
      <c r="BG348" s="289">
        <v>-179.54</v>
      </c>
      <c r="BH348" s="289">
        <v>-14.2052</v>
      </c>
      <c r="BI348" s="289">
        <v>1193.8105685200001</v>
      </c>
      <c r="BJ348" s="289">
        <v>0</v>
      </c>
      <c r="BK348" s="289">
        <v>0</v>
      </c>
      <c r="BL348" s="289">
        <v>0</v>
      </c>
      <c r="BM348" s="289">
        <v>0</v>
      </c>
      <c r="BN348" s="289">
        <v>376.30288764036669</v>
      </c>
      <c r="BO348" s="289">
        <v>230.89783822005361</v>
      </c>
      <c r="BP348" s="289">
        <v>455.5119728760879</v>
      </c>
      <c r="BQ348" s="289">
        <v>180.43760591793134</v>
      </c>
      <c r="BR348" s="289">
        <v>4.430165637935362</v>
      </c>
      <c r="BS348" s="289">
        <v>1.3179175963437806</v>
      </c>
      <c r="BT348" s="289">
        <v>0</v>
      </c>
      <c r="BU348" s="289">
        <v>0</v>
      </c>
      <c r="BV348" s="289">
        <v>12.650094097482087</v>
      </c>
      <c r="BW348" s="517"/>
      <c r="BX348" s="517"/>
      <c r="CA348" s="517"/>
      <c r="CB348" s="517"/>
    </row>
    <row r="349" spans="1:80" ht="13">
      <c r="A349" s="1">
        <v>5015</v>
      </c>
      <c r="B349" s="2" t="s">
        <v>123</v>
      </c>
      <c r="C349" s="289">
        <v>5334</v>
      </c>
      <c r="D349" s="289">
        <v>110</v>
      </c>
      <c r="E349" s="289">
        <v>232</v>
      </c>
      <c r="F349" s="289">
        <v>587</v>
      </c>
      <c r="G349" s="289">
        <v>496</v>
      </c>
      <c r="H349" s="289">
        <v>3041</v>
      </c>
      <c r="I349" s="289">
        <v>611</v>
      </c>
      <c r="J349" s="289">
        <v>240</v>
      </c>
      <c r="K349" s="289">
        <v>45</v>
      </c>
      <c r="L349" s="289">
        <v>44</v>
      </c>
      <c r="M349" s="289">
        <v>449</v>
      </c>
      <c r="N349" s="290">
        <v>6</v>
      </c>
      <c r="O349" s="290">
        <v>32</v>
      </c>
      <c r="P349" s="624">
        <v>17954.793000000001</v>
      </c>
      <c r="Q349" s="624">
        <v>11769.981333330001</v>
      </c>
      <c r="R349" s="624">
        <v>18</v>
      </c>
      <c r="S349" s="289"/>
      <c r="T349" s="289">
        <v>387</v>
      </c>
      <c r="U349" s="716">
        <v>2.4331110966275566E-3</v>
      </c>
      <c r="V349" s="289">
        <v>2183.4632935099999</v>
      </c>
      <c r="W349" s="743">
        <v>0.63638662999999995</v>
      </c>
      <c r="X349" s="289">
        <v>1250</v>
      </c>
      <c r="Y349" s="289">
        <v>414.28399999999999</v>
      </c>
      <c r="Z349" s="289">
        <v>144343</v>
      </c>
      <c r="AA349" s="289">
        <v>-1500.60854593</v>
      </c>
      <c r="AB349" s="290">
        <v>131</v>
      </c>
      <c r="AC349" s="289">
        <v>0</v>
      </c>
      <c r="AD349" s="289">
        <v>3831.7281360000002</v>
      </c>
      <c r="AE349" s="289">
        <v>0</v>
      </c>
      <c r="AF349" s="289">
        <v>0</v>
      </c>
      <c r="AG349" s="289">
        <v>5362</v>
      </c>
      <c r="AH349" s="289">
        <v>831.12313924</v>
      </c>
      <c r="AI349" s="289">
        <v>0</v>
      </c>
      <c r="AJ349" s="289">
        <v>0</v>
      </c>
      <c r="AK349" s="289">
        <v>0</v>
      </c>
      <c r="AL349" s="289">
        <v>0</v>
      </c>
      <c r="AM349" s="836">
        <v>4.6742659999999998E-2</v>
      </c>
      <c r="AN349" s="289">
        <v>5772</v>
      </c>
      <c r="AO349" s="289">
        <v>208.31979031</v>
      </c>
      <c r="AP349" s="289">
        <v>0</v>
      </c>
      <c r="AQ349" s="289">
        <v>0</v>
      </c>
      <c r="AR349" s="289">
        <v>-285.40692963999999</v>
      </c>
      <c r="AS349" s="289"/>
      <c r="AT349" s="289">
        <v>227</v>
      </c>
      <c r="AU349" s="289">
        <v>44</v>
      </c>
      <c r="AV349" s="625">
        <v>142713</v>
      </c>
      <c r="AW349" s="289"/>
      <c r="AX349" s="625">
        <v>52.493333300000003</v>
      </c>
      <c r="AY349" s="289">
        <v>972</v>
      </c>
      <c r="AZ349" s="289">
        <v>134</v>
      </c>
      <c r="BA349" s="290">
        <v>130</v>
      </c>
      <c r="BB349" s="289">
        <v>0</v>
      </c>
      <c r="BC349" s="289">
        <v>2020.78289855</v>
      </c>
      <c r="BD349" s="289">
        <v>64.893921794669367</v>
      </c>
      <c r="BE349" s="289">
        <v>148306.41893864999</v>
      </c>
      <c r="BF349" s="289">
        <v>0</v>
      </c>
      <c r="BG349" s="289">
        <v>-186.14619999999999</v>
      </c>
      <c r="BH349" s="289">
        <v>-15.139699999999999</v>
      </c>
      <c r="BI349" s="289">
        <v>3576.5267293100001</v>
      </c>
      <c r="BJ349" s="289">
        <v>0</v>
      </c>
      <c r="BK349" s="289">
        <v>0</v>
      </c>
      <c r="BL349" s="289">
        <v>0</v>
      </c>
      <c r="BM349" s="289">
        <v>2006</v>
      </c>
      <c r="BN349" s="289">
        <v>390.8926177147199</v>
      </c>
      <c r="BO349" s="289">
        <v>222.51331929045614</v>
      </c>
      <c r="BP349" s="289">
        <v>485.48105715793741</v>
      </c>
      <c r="BQ349" s="289">
        <v>315.81782034225682</v>
      </c>
      <c r="BR349" s="289">
        <v>4.39836581052759</v>
      </c>
      <c r="BS349" s="289">
        <v>1.313693287940803</v>
      </c>
      <c r="BT349" s="289">
        <v>0</v>
      </c>
      <c r="BU349" s="289">
        <v>0</v>
      </c>
      <c r="BV349" s="289">
        <v>22.141310979310767</v>
      </c>
      <c r="BW349" s="517"/>
      <c r="BX349" s="517"/>
      <c r="CA349" s="517"/>
      <c r="CB349" s="517"/>
    </row>
    <row r="350" spans="1:80" ht="13">
      <c r="A350" s="1">
        <v>5016</v>
      </c>
      <c r="B350" s="2" t="s">
        <v>124</v>
      </c>
      <c r="C350" s="289">
        <v>1693</v>
      </c>
      <c r="D350" s="289">
        <v>32</v>
      </c>
      <c r="E350" s="289">
        <v>62</v>
      </c>
      <c r="F350" s="289">
        <v>177</v>
      </c>
      <c r="G350" s="289">
        <v>142</v>
      </c>
      <c r="H350" s="289">
        <v>876</v>
      </c>
      <c r="I350" s="289">
        <v>244</v>
      </c>
      <c r="J350" s="289">
        <v>108</v>
      </c>
      <c r="K350" s="289">
        <v>37</v>
      </c>
      <c r="L350" s="289">
        <v>11</v>
      </c>
      <c r="M350" s="289">
        <v>197</v>
      </c>
      <c r="N350" s="290">
        <v>4</v>
      </c>
      <c r="O350" s="290">
        <v>21</v>
      </c>
      <c r="P350" s="624">
        <v>14629.08433333</v>
      </c>
      <c r="Q350" s="624">
        <v>8060.8826666699997</v>
      </c>
      <c r="R350" s="624">
        <v>20</v>
      </c>
      <c r="S350" s="289"/>
      <c r="T350" s="289">
        <v>106</v>
      </c>
      <c r="U350" s="716">
        <v>1.493420937226628E-3</v>
      </c>
      <c r="V350" s="289">
        <v>940.74950108999997</v>
      </c>
      <c r="W350" s="743">
        <v>1</v>
      </c>
      <c r="X350" s="289">
        <v>500</v>
      </c>
      <c r="Y350" s="289">
        <v>350.548</v>
      </c>
      <c r="Z350" s="289">
        <v>39471</v>
      </c>
      <c r="AA350" s="289">
        <v>-661.72123091000003</v>
      </c>
      <c r="AB350" s="290">
        <v>38</v>
      </c>
      <c r="AC350" s="289">
        <v>0</v>
      </c>
      <c r="AD350" s="289">
        <v>0</v>
      </c>
      <c r="AE350" s="289">
        <v>0</v>
      </c>
      <c r="AF350" s="289">
        <v>0</v>
      </c>
      <c r="AG350" s="289">
        <v>1678</v>
      </c>
      <c r="AH350" s="289">
        <v>242.64333260000001</v>
      </c>
      <c r="AI350" s="289">
        <v>1860</v>
      </c>
      <c r="AJ350" s="289">
        <v>0</v>
      </c>
      <c r="AK350" s="289">
        <v>0</v>
      </c>
      <c r="AL350" s="289">
        <v>0</v>
      </c>
      <c r="AM350" s="836">
        <v>2.6891350000000001E-2</v>
      </c>
      <c r="AN350" s="289">
        <v>0</v>
      </c>
      <c r="AO350" s="289">
        <v>89.754995829999999</v>
      </c>
      <c r="AP350" s="289">
        <v>0</v>
      </c>
      <c r="AQ350" s="289">
        <v>0</v>
      </c>
      <c r="AR350" s="289">
        <v>-89.316081299999993</v>
      </c>
      <c r="AS350" s="289"/>
      <c r="AT350" s="289">
        <v>82</v>
      </c>
      <c r="AU350" s="289">
        <v>15</v>
      </c>
      <c r="AV350" s="625">
        <v>78202</v>
      </c>
      <c r="AW350" s="289"/>
      <c r="AX350" s="625">
        <v>7.2883333500000003</v>
      </c>
      <c r="AY350" s="289">
        <v>238</v>
      </c>
      <c r="AZ350" s="289">
        <v>62</v>
      </c>
      <c r="BA350" s="290">
        <v>37</v>
      </c>
      <c r="BB350" s="289">
        <v>5698</v>
      </c>
      <c r="BC350" s="289">
        <v>-707.39206763000004</v>
      </c>
      <c r="BD350" s="289">
        <v>19.60019345941771</v>
      </c>
      <c r="BE350" s="289">
        <v>82438.779105010006</v>
      </c>
      <c r="BF350" s="289">
        <v>0</v>
      </c>
      <c r="BG350" s="289">
        <v>-68.410499999999999</v>
      </c>
      <c r="BH350" s="289">
        <v>-4.7378999999999998</v>
      </c>
      <c r="BI350" s="289">
        <v>-68.529898309999993</v>
      </c>
      <c r="BJ350" s="289">
        <v>0</v>
      </c>
      <c r="BK350" s="289">
        <v>0</v>
      </c>
      <c r="BL350" s="289">
        <v>0</v>
      </c>
      <c r="BM350" s="289">
        <v>407</v>
      </c>
      <c r="BN350" s="289">
        <v>211.69590712366252</v>
      </c>
      <c r="BO350" s="289">
        <v>107.70755166413578</v>
      </c>
      <c r="BP350" s="289">
        <v>151.92786533215573</v>
      </c>
      <c r="BQ350" s="289">
        <v>193.84603765201626</v>
      </c>
      <c r="BR350" s="289">
        <v>1.3284575566938672</v>
      </c>
      <c r="BS350" s="289">
        <v>0.67742714344796851</v>
      </c>
      <c r="BT350" s="289">
        <v>0</v>
      </c>
      <c r="BU350" s="289">
        <v>0</v>
      </c>
      <c r="BV350" s="289">
        <v>13.590130528762311</v>
      </c>
      <c r="BW350" s="517"/>
      <c r="BX350" s="517"/>
      <c r="CA350" s="517"/>
      <c r="CB350" s="517"/>
    </row>
    <row r="351" spans="1:80" ht="13">
      <c r="A351" s="1">
        <v>5017</v>
      </c>
      <c r="B351" s="2" t="s">
        <v>126</v>
      </c>
      <c r="C351" s="289">
        <v>4904</v>
      </c>
      <c r="D351" s="289">
        <v>94</v>
      </c>
      <c r="E351" s="289">
        <v>251</v>
      </c>
      <c r="F351" s="289">
        <v>600</v>
      </c>
      <c r="G351" s="289">
        <v>380</v>
      </c>
      <c r="H351" s="289">
        <v>2607</v>
      </c>
      <c r="I351" s="289">
        <v>696</v>
      </c>
      <c r="J351" s="289">
        <v>194</v>
      </c>
      <c r="K351" s="289">
        <v>44</v>
      </c>
      <c r="L351" s="289">
        <v>41</v>
      </c>
      <c r="M351" s="289">
        <v>425</v>
      </c>
      <c r="N351" s="290">
        <v>5</v>
      </c>
      <c r="O351" s="290">
        <v>14</v>
      </c>
      <c r="P351" s="624">
        <v>38188.221666669997</v>
      </c>
      <c r="Q351" s="624">
        <v>13901.45033333</v>
      </c>
      <c r="R351" s="624">
        <v>14</v>
      </c>
      <c r="S351" s="289"/>
      <c r="T351" s="289">
        <v>422</v>
      </c>
      <c r="U351" s="716">
        <v>2.736815733118327E-3</v>
      </c>
      <c r="V351" s="289">
        <v>2133.1577569999999</v>
      </c>
      <c r="W351" s="743">
        <v>0.72121482999999997</v>
      </c>
      <c r="X351" s="289">
        <v>1250</v>
      </c>
      <c r="Y351" s="289">
        <v>414.28399999999999</v>
      </c>
      <c r="Z351" s="289">
        <v>117097</v>
      </c>
      <c r="AA351" s="289">
        <v>-3504.2302959200001</v>
      </c>
      <c r="AB351" s="290">
        <v>122</v>
      </c>
      <c r="AC351" s="289">
        <v>0</v>
      </c>
      <c r="AD351" s="289">
        <v>2511.6558599999998</v>
      </c>
      <c r="AE351" s="289">
        <v>0</v>
      </c>
      <c r="AF351" s="289">
        <v>0</v>
      </c>
      <c r="AG351" s="289">
        <v>4866</v>
      </c>
      <c r="AH351" s="289">
        <v>805.32485387999998</v>
      </c>
      <c r="AI351" s="289">
        <v>350</v>
      </c>
      <c r="AJ351" s="289">
        <v>0</v>
      </c>
      <c r="AK351" s="289">
        <v>377.661</v>
      </c>
      <c r="AL351" s="289">
        <v>0</v>
      </c>
      <c r="AM351" s="836">
        <v>7.5325500000000004E-2</v>
      </c>
      <c r="AN351" s="289">
        <v>6668</v>
      </c>
      <c r="AO351" s="289">
        <v>203.52024143</v>
      </c>
      <c r="AP351" s="289">
        <v>0</v>
      </c>
      <c r="AQ351" s="289">
        <v>0</v>
      </c>
      <c r="AR351" s="289">
        <v>-259.00599024000002</v>
      </c>
      <c r="AS351" s="289"/>
      <c r="AT351" s="289">
        <v>263</v>
      </c>
      <c r="AU351" s="289">
        <v>44</v>
      </c>
      <c r="AV351" s="625">
        <v>142733</v>
      </c>
      <c r="AW351" s="289"/>
      <c r="AX351" s="625">
        <v>26.215</v>
      </c>
      <c r="AY351" s="289">
        <v>785</v>
      </c>
      <c r="AZ351" s="289">
        <v>154</v>
      </c>
      <c r="BA351" s="290">
        <v>167</v>
      </c>
      <c r="BB351" s="289">
        <v>0</v>
      </c>
      <c r="BC351" s="289">
        <v>-3178.4216488900001</v>
      </c>
      <c r="BD351" s="289">
        <v>65.094506715933449</v>
      </c>
      <c r="BE351" s="289">
        <v>152814.81190338999</v>
      </c>
      <c r="BF351" s="289">
        <v>0</v>
      </c>
      <c r="BG351" s="289">
        <v>-193.298</v>
      </c>
      <c r="BH351" s="289">
        <v>-13.7393</v>
      </c>
      <c r="BI351" s="289">
        <v>227.03441796000001</v>
      </c>
      <c r="BJ351" s="289">
        <v>0</v>
      </c>
      <c r="BK351" s="289">
        <v>0</v>
      </c>
      <c r="BL351" s="289">
        <v>0</v>
      </c>
      <c r="BM351" s="289">
        <v>1823</v>
      </c>
      <c r="BN351" s="289">
        <v>361.54958130436466</v>
      </c>
      <c r="BO351" s="289">
        <v>221.84595551285111</v>
      </c>
      <c r="BP351" s="289">
        <v>440.57270125522632</v>
      </c>
      <c r="BQ351" s="289">
        <v>355.23868215875882</v>
      </c>
      <c r="BR351" s="289">
        <v>4.4119610107465999</v>
      </c>
      <c r="BS351" s="289">
        <v>1.2366737803943852</v>
      </c>
      <c r="BT351" s="289">
        <v>0</v>
      </c>
      <c r="BU351" s="289">
        <v>0</v>
      </c>
      <c r="BV351" s="289">
        <v>24.905023171376776</v>
      </c>
      <c r="BW351" s="517"/>
      <c r="BX351" s="517"/>
      <c r="CA351" s="517"/>
      <c r="CB351" s="517"/>
    </row>
    <row r="352" spans="1:80" ht="13">
      <c r="A352" s="1">
        <v>5018</v>
      </c>
      <c r="B352" s="2" t="s">
        <v>127</v>
      </c>
      <c r="C352" s="289">
        <v>3340</v>
      </c>
      <c r="D352" s="289">
        <v>67</v>
      </c>
      <c r="E352" s="289">
        <v>148</v>
      </c>
      <c r="F352" s="289">
        <v>316</v>
      </c>
      <c r="G352" s="289">
        <v>321</v>
      </c>
      <c r="H352" s="289">
        <v>1776</v>
      </c>
      <c r="I352" s="289">
        <v>464</v>
      </c>
      <c r="J352" s="289">
        <v>177</v>
      </c>
      <c r="K352" s="289">
        <v>47</v>
      </c>
      <c r="L352" s="289">
        <v>29</v>
      </c>
      <c r="M352" s="289">
        <v>332</v>
      </c>
      <c r="N352" s="290">
        <v>4</v>
      </c>
      <c r="O352" s="290">
        <v>23</v>
      </c>
      <c r="P352" s="624">
        <v>38090.236333330002</v>
      </c>
      <c r="Q352" s="624">
        <v>14473.869000000001</v>
      </c>
      <c r="R352" s="624">
        <v>22</v>
      </c>
      <c r="S352" s="289"/>
      <c r="T352" s="289">
        <v>236</v>
      </c>
      <c r="U352" s="716">
        <v>2.446123044488793E-3</v>
      </c>
      <c r="V352" s="289">
        <v>1570.15978311</v>
      </c>
      <c r="W352" s="743">
        <v>1</v>
      </c>
      <c r="X352" s="289">
        <v>150</v>
      </c>
      <c r="Y352" s="289">
        <v>414.28399999999999</v>
      </c>
      <c r="Z352" s="289">
        <v>88086</v>
      </c>
      <c r="AA352" s="289">
        <v>0</v>
      </c>
      <c r="AB352" s="290">
        <v>84</v>
      </c>
      <c r="AC352" s="289">
        <v>0</v>
      </c>
      <c r="AD352" s="289">
        <v>0</v>
      </c>
      <c r="AE352" s="289">
        <v>0</v>
      </c>
      <c r="AF352" s="289">
        <v>0</v>
      </c>
      <c r="AG352" s="289">
        <v>3316</v>
      </c>
      <c r="AH352" s="289">
        <v>497.83718240000002</v>
      </c>
      <c r="AI352" s="289">
        <v>4190</v>
      </c>
      <c r="AJ352" s="289">
        <v>0</v>
      </c>
      <c r="AK352" s="289">
        <v>0</v>
      </c>
      <c r="AL352" s="289">
        <v>0</v>
      </c>
      <c r="AM352" s="836">
        <v>2.1104169999999998E-2</v>
      </c>
      <c r="AN352" s="289">
        <v>4895</v>
      </c>
      <c r="AO352" s="289">
        <v>149.80575023</v>
      </c>
      <c r="AP352" s="289">
        <v>0</v>
      </c>
      <c r="AQ352" s="289">
        <v>0</v>
      </c>
      <c r="AR352" s="289">
        <v>-176.50305459</v>
      </c>
      <c r="AS352" s="289"/>
      <c r="AT352" s="289">
        <v>133</v>
      </c>
      <c r="AU352" s="289">
        <v>24</v>
      </c>
      <c r="AV352" s="625">
        <v>109816</v>
      </c>
      <c r="AW352" s="289"/>
      <c r="AX352" s="625">
        <v>24.451666700000001</v>
      </c>
      <c r="AY352" s="289">
        <v>500</v>
      </c>
      <c r="AZ352" s="289">
        <v>71</v>
      </c>
      <c r="BA352" s="290">
        <v>58</v>
      </c>
      <c r="BB352" s="289">
        <v>0</v>
      </c>
      <c r="BC352" s="289">
        <v>878.74121213000001</v>
      </c>
      <c r="BD352" s="289">
        <v>39.081197953795481</v>
      </c>
      <c r="BE352" s="289">
        <v>118430.80628139</v>
      </c>
      <c r="BF352" s="289">
        <v>0</v>
      </c>
      <c r="BG352" s="289">
        <v>-115.4524</v>
      </c>
      <c r="BH352" s="289">
        <v>-9.3628</v>
      </c>
      <c r="BI352" s="289">
        <v>912.12118239999995</v>
      </c>
      <c r="BJ352" s="289">
        <v>0</v>
      </c>
      <c r="BK352" s="289">
        <v>0</v>
      </c>
      <c r="BL352" s="289">
        <v>0</v>
      </c>
      <c r="BM352" s="289">
        <v>0</v>
      </c>
      <c r="BN352" s="289">
        <v>326.13519485657241</v>
      </c>
      <c r="BO352" s="289">
        <v>177.47836744192344</v>
      </c>
      <c r="BP352" s="289">
        <v>300.23408905925407</v>
      </c>
      <c r="BQ352" s="289">
        <v>317.50677117464528</v>
      </c>
      <c r="BR352" s="289">
        <v>2.6488367502016938</v>
      </c>
      <c r="BS352" s="289">
        <v>1.0133943585811396</v>
      </c>
      <c r="BT352" s="289">
        <v>0</v>
      </c>
      <c r="BU352" s="289">
        <v>0</v>
      </c>
      <c r="BV352" s="289">
        <v>22.259719704848013</v>
      </c>
      <c r="BW352" s="517"/>
      <c r="BX352" s="517"/>
      <c r="CA352" s="517"/>
      <c r="CB352" s="517"/>
    </row>
    <row r="353" spans="1:80" ht="13">
      <c r="A353" s="1">
        <v>5019</v>
      </c>
      <c r="B353" s="2" t="s">
        <v>128</v>
      </c>
      <c r="C353" s="289">
        <v>957</v>
      </c>
      <c r="D353" s="289">
        <v>24</v>
      </c>
      <c r="E353" s="289">
        <v>33</v>
      </c>
      <c r="F353" s="289">
        <v>83</v>
      </c>
      <c r="G353" s="289">
        <v>73</v>
      </c>
      <c r="H353" s="289">
        <v>517</v>
      </c>
      <c r="I353" s="289">
        <v>159</v>
      </c>
      <c r="J353" s="289">
        <v>41</v>
      </c>
      <c r="K353" s="289">
        <v>15</v>
      </c>
      <c r="L353" s="289">
        <v>8</v>
      </c>
      <c r="M353" s="289">
        <v>111</v>
      </c>
      <c r="N353" s="290">
        <v>1.5</v>
      </c>
      <c r="O353" s="290">
        <v>12</v>
      </c>
      <c r="P353" s="624">
        <v>15425.319666670001</v>
      </c>
      <c r="Q353" s="624">
        <v>5563.9040000000005</v>
      </c>
      <c r="R353" s="624">
        <v>5</v>
      </c>
      <c r="S353" s="289"/>
      <c r="T353" s="289">
        <v>62</v>
      </c>
      <c r="U353" s="716">
        <v>1.0016377325192173E-3</v>
      </c>
      <c r="V353" s="289">
        <v>523.54830052</v>
      </c>
      <c r="W353" s="743">
        <v>1</v>
      </c>
      <c r="X353" s="289">
        <v>0</v>
      </c>
      <c r="Y353" s="289">
        <v>414.28399999999999</v>
      </c>
      <c r="Z353" s="289">
        <v>23926</v>
      </c>
      <c r="AA353" s="289">
        <v>0</v>
      </c>
      <c r="AB353" s="290">
        <v>20</v>
      </c>
      <c r="AC353" s="289">
        <v>0</v>
      </c>
      <c r="AD353" s="289">
        <v>0</v>
      </c>
      <c r="AE353" s="289">
        <v>0</v>
      </c>
      <c r="AF353" s="289">
        <v>0</v>
      </c>
      <c r="AG353" s="289">
        <v>945</v>
      </c>
      <c r="AH353" s="289">
        <v>126.89967394</v>
      </c>
      <c r="AI353" s="289">
        <v>0</v>
      </c>
      <c r="AJ353" s="289">
        <v>0</v>
      </c>
      <c r="AK353" s="289">
        <v>52.118000000000002</v>
      </c>
      <c r="AL353" s="289">
        <v>0</v>
      </c>
      <c r="AM353" s="836">
        <v>9.7774899999999998E-3</v>
      </c>
      <c r="AN353" s="289">
        <v>0</v>
      </c>
      <c r="AO353" s="289">
        <v>49.95067813</v>
      </c>
      <c r="AP353" s="289">
        <v>0</v>
      </c>
      <c r="AQ353" s="289">
        <v>0</v>
      </c>
      <c r="AR353" s="289">
        <v>14.788968369999999</v>
      </c>
      <c r="AS353" s="289"/>
      <c r="AT353" s="289">
        <v>37</v>
      </c>
      <c r="AU353" s="289">
        <v>12</v>
      </c>
      <c r="AV353" s="625">
        <v>47604</v>
      </c>
      <c r="AW353" s="289"/>
      <c r="AX353" s="625">
        <v>6.1616666999999996</v>
      </c>
      <c r="AY353" s="289">
        <v>121</v>
      </c>
      <c r="AZ353" s="289">
        <v>20</v>
      </c>
      <c r="BA353" s="290">
        <v>13</v>
      </c>
      <c r="BB353" s="289">
        <v>5698</v>
      </c>
      <c r="BC353" s="289">
        <v>533.26247475000002</v>
      </c>
      <c r="BD353" s="289">
        <v>10.663125141885113</v>
      </c>
      <c r="BE353" s="289">
        <v>48172.904414960001</v>
      </c>
      <c r="BF353" s="289">
        <v>0</v>
      </c>
      <c r="BG353" s="289">
        <v>-39.566299999999998</v>
      </c>
      <c r="BH353" s="289">
        <v>-2.6682000000000001</v>
      </c>
      <c r="BI353" s="289">
        <v>541.18367393999995</v>
      </c>
      <c r="BJ353" s="289">
        <v>0</v>
      </c>
      <c r="BK353" s="289">
        <v>0</v>
      </c>
      <c r="BL353" s="289">
        <v>0</v>
      </c>
      <c r="BM353" s="289">
        <v>0</v>
      </c>
      <c r="BN353" s="289">
        <v>103.13816425469491</v>
      </c>
      <c r="BO353" s="289">
        <v>77.322303415581331</v>
      </c>
      <c r="BP353" s="289">
        <v>85.561282919479837</v>
      </c>
      <c r="BQ353" s="289">
        <v>130.01257768099435</v>
      </c>
      <c r="BR353" s="289">
        <v>0.72272292628332435</v>
      </c>
      <c r="BS353" s="289">
        <v>0.52702274334429899</v>
      </c>
      <c r="BT353" s="289">
        <v>0</v>
      </c>
      <c r="BU353" s="289">
        <v>0</v>
      </c>
      <c r="BV353" s="289">
        <v>9.1149033659248744</v>
      </c>
      <c r="BW353" s="517"/>
      <c r="BX353" s="517"/>
      <c r="CA353" s="517"/>
      <c r="CB353" s="517"/>
    </row>
    <row r="354" spans="1:80" ht="13">
      <c r="A354" s="1">
        <v>5020</v>
      </c>
      <c r="B354" s="2" t="s">
        <v>129</v>
      </c>
      <c r="C354" s="289">
        <v>947</v>
      </c>
      <c r="D354" s="289">
        <v>10</v>
      </c>
      <c r="E354" s="289">
        <v>29</v>
      </c>
      <c r="F354" s="289">
        <v>101</v>
      </c>
      <c r="G354" s="289">
        <v>78</v>
      </c>
      <c r="H354" s="289">
        <v>484</v>
      </c>
      <c r="I354" s="289">
        <v>176</v>
      </c>
      <c r="J354" s="289">
        <v>57</v>
      </c>
      <c r="K354" s="289">
        <v>19</v>
      </c>
      <c r="L354" s="289">
        <v>7</v>
      </c>
      <c r="M354" s="289">
        <v>120</v>
      </c>
      <c r="N354" s="290">
        <v>0</v>
      </c>
      <c r="O354" s="290">
        <v>4</v>
      </c>
      <c r="P354" s="624">
        <v>15198.12133333</v>
      </c>
      <c r="Q354" s="624">
        <v>14315.439666669999</v>
      </c>
      <c r="R354" s="624">
        <v>2</v>
      </c>
      <c r="S354" s="289"/>
      <c r="T354" s="289">
        <v>58</v>
      </c>
      <c r="U354" s="716">
        <v>7.2755921997517535E-4</v>
      </c>
      <c r="V354" s="289">
        <v>554.26701262999995</v>
      </c>
      <c r="W354" s="743">
        <v>1</v>
      </c>
      <c r="X354" s="289">
        <v>0</v>
      </c>
      <c r="Y354" s="289">
        <v>0</v>
      </c>
      <c r="Z354" s="289">
        <v>22381</v>
      </c>
      <c r="AA354" s="289">
        <v>0</v>
      </c>
      <c r="AB354" s="290">
        <v>17</v>
      </c>
      <c r="AC354" s="289">
        <v>0</v>
      </c>
      <c r="AD354" s="289">
        <v>0</v>
      </c>
      <c r="AE354" s="289">
        <v>0</v>
      </c>
      <c r="AF354" s="289">
        <v>0</v>
      </c>
      <c r="AG354" s="289">
        <v>954</v>
      </c>
      <c r="AH354" s="289">
        <v>129.68867777</v>
      </c>
      <c r="AI354" s="289">
        <v>0</v>
      </c>
      <c r="AJ354" s="289">
        <v>0</v>
      </c>
      <c r="AK354" s="289">
        <v>0</v>
      </c>
      <c r="AL354" s="289">
        <v>0</v>
      </c>
      <c r="AM354" s="836">
        <v>3.81461E-3</v>
      </c>
      <c r="AN354" s="289">
        <v>0</v>
      </c>
      <c r="AO354" s="289">
        <v>52.88148795</v>
      </c>
      <c r="AP354" s="289">
        <v>0</v>
      </c>
      <c r="AQ354" s="289">
        <v>0</v>
      </c>
      <c r="AR354" s="289">
        <v>1211.4658260199999</v>
      </c>
      <c r="AS354" s="289"/>
      <c r="AT354" s="289">
        <v>41</v>
      </c>
      <c r="AU354" s="289">
        <v>3</v>
      </c>
      <c r="AV354" s="625">
        <v>52138</v>
      </c>
      <c r="AW354" s="289"/>
      <c r="AX354" s="625">
        <v>2.9466667000000002</v>
      </c>
      <c r="AY354" s="289">
        <v>130</v>
      </c>
      <c r="AZ354" s="289">
        <v>29</v>
      </c>
      <c r="BA354" s="290">
        <v>14</v>
      </c>
      <c r="BB354" s="289">
        <v>5698</v>
      </c>
      <c r="BC354" s="289">
        <v>138.19149494999999</v>
      </c>
      <c r="BD354" s="289">
        <v>9.3242636851344969</v>
      </c>
      <c r="BE354" s="289">
        <v>51502.694555560003</v>
      </c>
      <c r="BF354" s="289">
        <v>0</v>
      </c>
      <c r="BG354" s="289">
        <v>-47.325000000000003</v>
      </c>
      <c r="BH354" s="289">
        <v>-2.6936</v>
      </c>
      <c r="BI354" s="289">
        <v>129.68867777</v>
      </c>
      <c r="BJ354" s="289">
        <v>0</v>
      </c>
      <c r="BK354" s="289">
        <v>0</v>
      </c>
      <c r="BL354" s="289">
        <v>0</v>
      </c>
      <c r="BM354" s="289">
        <v>0</v>
      </c>
      <c r="BN354" s="289">
        <v>109.76229846780046</v>
      </c>
      <c r="BO354" s="289">
        <v>85.138813088555565</v>
      </c>
      <c r="BP354" s="289">
        <v>86.376152280617731</v>
      </c>
      <c r="BQ354" s="289">
        <v>94.437186752777748</v>
      </c>
      <c r="BR354" s="289">
        <v>0.63197787199244915</v>
      </c>
      <c r="BS354" s="289">
        <v>0.52825336900280173</v>
      </c>
      <c r="BT354" s="289">
        <v>0</v>
      </c>
      <c r="BU354" s="289">
        <v>0</v>
      </c>
      <c r="BV354" s="289">
        <v>6.6207889017740946</v>
      </c>
      <c r="BW354" s="517"/>
      <c r="BX354" s="517"/>
      <c r="CA354" s="517"/>
      <c r="CB354" s="517"/>
    </row>
    <row r="355" spans="1:80" ht="13">
      <c r="A355" s="1">
        <v>5021</v>
      </c>
      <c r="B355" s="2" t="s">
        <v>130</v>
      </c>
      <c r="C355" s="289">
        <v>6975</v>
      </c>
      <c r="D355" s="289">
        <v>128</v>
      </c>
      <c r="E355" s="289">
        <v>311</v>
      </c>
      <c r="F355" s="289">
        <v>822</v>
      </c>
      <c r="G355" s="289">
        <v>630</v>
      </c>
      <c r="H355" s="289">
        <v>3769</v>
      </c>
      <c r="I355" s="289">
        <v>941</v>
      </c>
      <c r="J355" s="289">
        <v>309</v>
      </c>
      <c r="K355" s="289">
        <v>65</v>
      </c>
      <c r="L355" s="289">
        <v>48</v>
      </c>
      <c r="M355" s="289">
        <v>562</v>
      </c>
      <c r="N355" s="290">
        <v>94</v>
      </c>
      <c r="O355" s="290">
        <v>54</v>
      </c>
      <c r="P355" s="624">
        <v>27961.692666669998</v>
      </c>
      <c r="Q355" s="624">
        <v>16260.680666669999</v>
      </c>
      <c r="R355" s="624">
        <v>23</v>
      </c>
      <c r="S355" s="289"/>
      <c r="T355" s="289">
        <v>539</v>
      </c>
      <c r="U355" s="716">
        <v>4.7583943803619069E-3</v>
      </c>
      <c r="V355" s="289">
        <v>-278.53647440999998</v>
      </c>
      <c r="W355" s="743">
        <v>0.60218296000000004</v>
      </c>
      <c r="X355" s="289">
        <v>300</v>
      </c>
      <c r="Y355" s="289">
        <v>414.28399999999999</v>
      </c>
      <c r="Z355" s="289">
        <v>183551</v>
      </c>
      <c r="AA355" s="289">
        <v>0</v>
      </c>
      <c r="AB355" s="290">
        <v>163</v>
      </c>
      <c r="AC355" s="289">
        <v>902.5</v>
      </c>
      <c r="AD355" s="289">
        <v>0</v>
      </c>
      <c r="AE355" s="289">
        <v>0</v>
      </c>
      <c r="AF355" s="289">
        <v>0</v>
      </c>
      <c r="AG355" s="289">
        <v>6975</v>
      </c>
      <c r="AH355" s="289">
        <v>1144.8860693199999</v>
      </c>
      <c r="AI355" s="289">
        <v>1510</v>
      </c>
      <c r="AJ355" s="289">
        <v>0</v>
      </c>
      <c r="AK355" s="289">
        <v>0</v>
      </c>
      <c r="AL355" s="289">
        <v>0</v>
      </c>
      <c r="AM355" s="836">
        <v>7.0015659999999993E-2</v>
      </c>
      <c r="AN355" s="289">
        <v>9020</v>
      </c>
      <c r="AO355" s="289">
        <v>274.41845087000002</v>
      </c>
      <c r="AP355" s="289">
        <v>0</v>
      </c>
      <c r="AQ355" s="289">
        <v>0</v>
      </c>
      <c r="AR355" s="289">
        <v>-162.96827809999999</v>
      </c>
      <c r="AS355" s="289"/>
      <c r="AT355" s="289">
        <v>299</v>
      </c>
      <c r="AU355" s="289">
        <v>48</v>
      </c>
      <c r="AV355" s="625">
        <v>184126</v>
      </c>
      <c r="AW355" s="289"/>
      <c r="AX355" s="625">
        <v>49.328333299999997</v>
      </c>
      <c r="AY355" s="289">
        <v>1289</v>
      </c>
      <c r="AZ355" s="289">
        <v>237</v>
      </c>
      <c r="BA355" s="290">
        <v>135</v>
      </c>
      <c r="BB355" s="289">
        <v>0</v>
      </c>
      <c r="BC355" s="289">
        <v>1522.1245656799999</v>
      </c>
      <c r="BD355" s="289">
        <v>93.054451682065235</v>
      </c>
      <c r="BE355" s="289">
        <v>188919.59096736999</v>
      </c>
      <c r="BF355" s="289">
        <v>0</v>
      </c>
      <c r="BG355" s="289">
        <v>-259.38799999999998</v>
      </c>
      <c r="BH355" s="289">
        <v>-19.694099999999999</v>
      </c>
      <c r="BI355" s="289">
        <v>1559.17006932</v>
      </c>
      <c r="BJ355" s="289">
        <v>0</v>
      </c>
      <c r="BK355" s="289">
        <v>0</v>
      </c>
      <c r="BL355" s="289">
        <v>0</v>
      </c>
      <c r="BM355" s="289">
        <v>0</v>
      </c>
      <c r="BN355" s="289">
        <v>504.31865807365375</v>
      </c>
      <c r="BO355" s="289">
        <v>292.26125627684104</v>
      </c>
      <c r="BP355" s="289">
        <v>631.52375488187499</v>
      </c>
      <c r="BQ355" s="289">
        <v>617.63959057097554</v>
      </c>
      <c r="BR355" s="289">
        <v>6.3070239473399763</v>
      </c>
      <c r="BS355" s="289">
        <v>1.6296426050788677</v>
      </c>
      <c r="BT355" s="289">
        <v>0</v>
      </c>
      <c r="BU355" s="289">
        <v>0</v>
      </c>
      <c r="BV355" s="289">
        <v>43.301388861293347</v>
      </c>
      <c r="BW355" s="517"/>
      <c r="BX355" s="517"/>
      <c r="CA355" s="517"/>
      <c r="CB355" s="517"/>
    </row>
    <row r="356" spans="1:80" ht="13">
      <c r="A356" s="1">
        <v>5022</v>
      </c>
      <c r="B356" s="2" t="s">
        <v>131</v>
      </c>
      <c r="C356" s="289">
        <v>2501</v>
      </c>
      <c r="D356" s="289">
        <v>52</v>
      </c>
      <c r="E356" s="289">
        <v>90</v>
      </c>
      <c r="F356" s="289">
        <v>278</v>
      </c>
      <c r="G356" s="289">
        <v>234</v>
      </c>
      <c r="H356" s="289">
        <v>1295</v>
      </c>
      <c r="I356" s="289">
        <v>420</v>
      </c>
      <c r="J356" s="289">
        <v>114</v>
      </c>
      <c r="K356" s="289">
        <v>32</v>
      </c>
      <c r="L356" s="289">
        <v>20</v>
      </c>
      <c r="M356" s="289">
        <v>233</v>
      </c>
      <c r="N356" s="290">
        <v>5</v>
      </c>
      <c r="O356" s="290">
        <v>29</v>
      </c>
      <c r="P356" s="624">
        <v>22886.982</v>
      </c>
      <c r="Q356" s="624">
        <v>15099.037333329999</v>
      </c>
      <c r="R356" s="624">
        <v>13</v>
      </c>
      <c r="S356" s="289"/>
      <c r="T356" s="289">
        <v>199</v>
      </c>
      <c r="U356" s="716">
        <v>3.106591556637834E-3</v>
      </c>
      <c r="V356" s="289">
        <v>995.47832146999997</v>
      </c>
      <c r="W356" s="743">
        <v>0.92293473999999998</v>
      </c>
      <c r="X356" s="289">
        <v>100</v>
      </c>
      <c r="Y356" s="289">
        <v>414.28399999999999</v>
      </c>
      <c r="Z356" s="289">
        <v>60102</v>
      </c>
      <c r="AA356" s="289">
        <v>0</v>
      </c>
      <c r="AB356" s="290">
        <v>57</v>
      </c>
      <c r="AC356" s="289">
        <v>0</v>
      </c>
      <c r="AD356" s="289">
        <v>0</v>
      </c>
      <c r="AE356" s="289">
        <v>0</v>
      </c>
      <c r="AF356" s="289">
        <v>0</v>
      </c>
      <c r="AG356" s="289">
        <v>2515</v>
      </c>
      <c r="AH356" s="289">
        <v>388.36878235</v>
      </c>
      <c r="AI356" s="289">
        <v>690</v>
      </c>
      <c r="AJ356" s="289">
        <v>0</v>
      </c>
      <c r="AK356" s="289">
        <v>6.4980000000000002</v>
      </c>
      <c r="AL356" s="289">
        <v>0</v>
      </c>
      <c r="AM356" s="836">
        <v>2.3194579999999999E-2</v>
      </c>
      <c r="AN356" s="289">
        <v>0</v>
      </c>
      <c r="AO356" s="289">
        <v>113.21856421</v>
      </c>
      <c r="AP356" s="289">
        <v>0</v>
      </c>
      <c r="AQ356" s="289">
        <v>0</v>
      </c>
      <c r="AR356" s="289">
        <v>-133.86766655</v>
      </c>
      <c r="AS356" s="289"/>
      <c r="AT356" s="289">
        <v>117</v>
      </c>
      <c r="AU356" s="289">
        <v>16</v>
      </c>
      <c r="AV356" s="625">
        <v>88705</v>
      </c>
      <c r="AW356" s="289"/>
      <c r="AX356" s="625">
        <v>15.19833335</v>
      </c>
      <c r="AY356" s="289">
        <v>368</v>
      </c>
      <c r="AZ356" s="289">
        <v>80</v>
      </c>
      <c r="BA356" s="290">
        <v>47</v>
      </c>
      <c r="BB356" s="289">
        <v>5698</v>
      </c>
      <c r="BC356" s="289">
        <v>780.19481818999998</v>
      </c>
      <c r="BD356" s="289">
        <v>30.651192537876184</v>
      </c>
      <c r="BE356" s="289">
        <v>91169.000750599997</v>
      </c>
      <c r="BF356" s="289">
        <v>0</v>
      </c>
      <c r="BG356" s="289">
        <v>-101.913</v>
      </c>
      <c r="BH356" s="289">
        <v>-7.1012000000000004</v>
      </c>
      <c r="BI356" s="289">
        <v>802.65278235000005</v>
      </c>
      <c r="BJ356" s="289">
        <v>0</v>
      </c>
      <c r="BK356" s="289">
        <v>0</v>
      </c>
      <c r="BL356" s="289">
        <v>0</v>
      </c>
      <c r="BM356" s="289">
        <v>0</v>
      </c>
      <c r="BN356" s="289">
        <v>229.76093341189011</v>
      </c>
      <c r="BO356" s="289">
        <v>143.16349293426265</v>
      </c>
      <c r="BP356" s="289">
        <v>227.71071591798071</v>
      </c>
      <c r="BQ356" s="289">
        <v>403.23558405159076</v>
      </c>
      <c r="BR356" s="289">
        <v>2.0774697164560525</v>
      </c>
      <c r="BS356" s="289">
        <v>0.82151609280407556</v>
      </c>
      <c r="BT356" s="289">
        <v>0</v>
      </c>
      <c r="BU356" s="289">
        <v>0</v>
      </c>
      <c r="BV356" s="289">
        <v>28.269983165404277</v>
      </c>
      <c r="BW356" s="517"/>
      <c r="BX356" s="517"/>
      <c r="CA356" s="517"/>
      <c r="CB356" s="517"/>
    </row>
    <row r="357" spans="1:80" ht="13">
      <c r="A357" s="1">
        <v>5023</v>
      </c>
      <c r="B357" s="2" t="s">
        <v>132</v>
      </c>
      <c r="C357" s="289">
        <v>3905</v>
      </c>
      <c r="D357" s="289">
        <v>74</v>
      </c>
      <c r="E357" s="289">
        <v>168</v>
      </c>
      <c r="F357" s="289">
        <v>429</v>
      </c>
      <c r="G357" s="289">
        <v>334</v>
      </c>
      <c r="H357" s="289">
        <v>2111</v>
      </c>
      <c r="I357" s="289">
        <v>553</v>
      </c>
      <c r="J357" s="289">
        <v>186</v>
      </c>
      <c r="K357" s="289">
        <v>73</v>
      </c>
      <c r="L357" s="289">
        <v>29</v>
      </c>
      <c r="M357" s="289">
        <v>365</v>
      </c>
      <c r="N357" s="290">
        <v>9</v>
      </c>
      <c r="O357" s="290">
        <v>25</v>
      </c>
      <c r="P357" s="624">
        <v>29276.275333329999</v>
      </c>
      <c r="Q357" s="624">
        <v>10708.141</v>
      </c>
      <c r="R357" s="624">
        <v>18</v>
      </c>
      <c r="S357" s="289"/>
      <c r="T357" s="289">
        <v>296</v>
      </c>
      <c r="U357" s="716">
        <v>2.2620108279694999E-3</v>
      </c>
      <c r="V357" s="289">
        <v>-8565.0177356099994</v>
      </c>
      <c r="W357" s="743">
        <v>0.71372427000000005</v>
      </c>
      <c r="X357" s="289">
        <v>1150</v>
      </c>
      <c r="Y357" s="289">
        <v>414.28399999999999</v>
      </c>
      <c r="Z357" s="289">
        <v>94349</v>
      </c>
      <c r="AA357" s="289">
        <v>-3493.3097468800001</v>
      </c>
      <c r="AB357" s="290">
        <v>126</v>
      </c>
      <c r="AC357" s="289">
        <v>0</v>
      </c>
      <c r="AD357" s="289">
        <v>1771.847436</v>
      </c>
      <c r="AE357" s="289">
        <v>0</v>
      </c>
      <c r="AF357" s="289">
        <v>0</v>
      </c>
      <c r="AG357" s="289">
        <v>3928</v>
      </c>
      <c r="AH357" s="289">
        <v>608.00283339999999</v>
      </c>
      <c r="AI357" s="289">
        <v>610</v>
      </c>
      <c r="AJ357" s="289">
        <v>0</v>
      </c>
      <c r="AK357" s="289">
        <v>0</v>
      </c>
      <c r="AL357" s="289">
        <v>0</v>
      </c>
      <c r="AM357" s="836">
        <v>6.1261389999999999E-2</v>
      </c>
      <c r="AN357" s="289">
        <v>5625</v>
      </c>
      <c r="AO357" s="289">
        <v>167.89724534999999</v>
      </c>
      <c r="AP357" s="289">
        <v>0</v>
      </c>
      <c r="AQ357" s="289">
        <v>0</v>
      </c>
      <c r="AR357" s="289">
        <v>8808.8466330299998</v>
      </c>
      <c r="AS357" s="289"/>
      <c r="AT357" s="289">
        <v>176</v>
      </c>
      <c r="AU357" s="289">
        <v>42</v>
      </c>
      <c r="AV357" s="625">
        <v>120854</v>
      </c>
      <c r="AW357" s="289"/>
      <c r="AX357" s="625">
        <v>19.746666699999999</v>
      </c>
      <c r="AY357" s="289">
        <v>546</v>
      </c>
      <c r="AZ357" s="289">
        <v>128</v>
      </c>
      <c r="BA357" s="290">
        <v>92</v>
      </c>
      <c r="BB357" s="289">
        <v>0</v>
      </c>
      <c r="BC357" s="289">
        <v>-4065.9972121999999</v>
      </c>
      <c r="BD357" s="289">
        <v>53.049345354977504</v>
      </c>
      <c r="BE357" s="289">
        <v>116923.17062807</v>
      </c>
      <c r="BF357" s="289">
        <v>0</v>
      </c>
      <c r="BG357" s="289">
        <v>-142.35120000000001</v>
      </c>
      <c r="BH357" s="289">
        <v>-11.0908</v>
      </c>
      <c r="BI357" s="289">
        <v>-699.17547747000003</v>
      </c>
      <c r="BJ357" s="289">
        <v>0</v>
      </c>
      <c r="BK357" s="289">
        <v>0</v>
      </c>
      <c r="BL357" s="289">
        <v>0</v>
      </c>
      <c r="BM357" s="289">
        <v>949</v>
      </c>
      <c r="BN357" s="289">
        <v>349.3684597606026</v>
      </c>
      <c r="BO357" s="289">
        <v>185.21624207824831</v>
      </c>
      <c r="BP357" s="289">
        <v>355.64520561663153</v>
      </c>
      <c r="BQ357" s="289">
        <v>293.60900547044105</v>
      </c>
      <c r="BR357" s="289">
        <v>3.5955667407262535</v>
      </c>
      <c r="BS357" s="289">
        <v>1.0422225876869737</v>
      </c>
      <c r="BT357" s="289">
        <v>0</v>
      </c>
      <c r="BU357" s="289">
        <v>0</v>
      </c>
      <c r="BV357" s="289">
        <v>20.584298534522446</v>
      </c>
      <c r="BW357" s="517"/>
      <c r="BX357" s="517"/>
      <c r="CA357" s="517"/>
      <c r="CB357" s="517"/>
    </row>
    <row r="358" spans="1:80" ht="13">
      <c r="A358" s="1">
        <v>5024</v>
      </c>
      <c r="B358" s="2" t="s">
        <v>133</v>
      </c>
      <c r="C358" s="289">
        <v>12086</v>
      </c>
      <c r="D358" s="289">
        <v>236</v>
      </c>
      <c r="E358" s="289">
        <v>545</v>
      </c>
      <c r="F358" s="289">
        <v>1577</v>
      </c>
      <c r="G358" s="289">
        <v>1052</v>
      </c>
      <c r="H358" s="289">
        <v>6655</v>
      </c>
      <c r="I358" s="289">
        <v>1457</v>
      </c>
      <c r="J358" s="289">
        <v>441</v>
      </c>
      <c r="K358" s="289">
        <v>93</v>
      </c>
      <c r="L358" s="289">
        <v>97</v>
      </c>
      <c r="M358" s="289">
        <v>875</v>
      </c>
      <c r="N358" s="290">
        <v>223</v>
      </c>
      <c r="O358" s="290">
        <v>111</v>
      </c>
      <c r="P358" s="624">
        <v>56234.722666670001</v>
      </c>
      <c r="Q358" s="624">
        <v>21436.489666670001</v>
      </c>
      <c r="R358" s="624">
        <v>36</v>
      </c>
      <c r="S358" s="289"/>
      <c r="T358" s="289">
        <v>864</v>
      </c>
      <c r="U358" s="716">
        <v>3.5221703605163154E-3</v>
      </c>
      <c r="V358" s="289">
        <v>3957.1528968500002</v>
      </c>
      <c r="W358" s="743">
        <v>0.58362192999999996</v>
      </c>
      <c r="X358" s="289">
        <v>400</v>
      </c>
      <c r="Y358" s="289">
        <v>414.28399999999999</v>
      </c>
      <c r="Z358" s="289">
        <v>309448</v>
      </c>
      <c r="AA358" s="289">
        <v>0</v>
      </c>
      <c r="AB358" s="290">
        <v>347</v>
      </c>
      <c r="AC358" s="289">
        <v>0</v>
      </c>
      <c r="AD358" s="289">
        <v>4735.5519039999999</v>
      </c>
      <c r="AE358" s="289">
        <v>0</v>
      </c>
      <c r="AF358" s="289">
        <v>0</v>
      </c>
      <c r="AG358" s="289">
        <v>12056</v>
      </c>
      <c r="AH358" s="289">
        <v>2086.8721105300001</v>
      </c>
      <c r="AI358" s="289">
        <v>1280</v>
      </c>
      <c r="AJ358" s="289">
        <v>0</v>
      </c>
      <c r="AK358" s="289">
        <v>0</v>
      </c>
      <c r="AL358" s="289">
        <v>0</v>
      </c>
      <c r="AM358" s="836">
        <v>0.14661794</v>
      </c>
      <c r="AN358" s="289">
        <v>0</v>
      </c>
      <c r="AO358" s="289">
        <v>468.75392147999997</v>
      </c>
      <c r="AP358" s="289">
        <v>0</v>
      </c>
      <c r="AQ358" s="289">
        <v>0</v>
      </c>
      <c r="AR358" s="289">
        <v>-641.71315623999999</v>
      </c>
      <c r="AS358" s="289"/>
      <c r="AT358" s="289">
        <v>620</v>
      </c>
      <c r="AU358" s="289">
        <v>113</v>
      </c>
      <c r="AV358" s="625">
        <v>301832</v>
      </c>
      <c r="AW358" s="289"/>
      <c r="AX358" s="625">
        <v>106.59833335</v>
      </c>
      <c r="AY358" s="289">
        <v>2099</v>
      </c>
      <c r="AZ358" s="289">
        <v>298</v>
      </c>
      <c r="BA358" s="290">
        <v>280</v>
      </c>
      <c r="BB358" s="289">
        <v>0</v>
      </c>
      <c r="BC358" s="289">
        <v>7013.3446768200001</v>
      </c>
      <c r="BD358" s="289">
        <v>170.88349074582075</v>
      </c>
      <c r="BE358" s="289">
        <v>315172.18569507002</v>
      </c>
      <c r="BF358" s="289">
        <v>0</v>
      </c>
      <c r="BG358" s="289">
        <v>-489.66829999999999</v>
      </c>
      <c r="BH358" s="289">
        <v>-34.040399999999998</v>
      </c>
      <c r="BI358" s="289">
        <v>7236.7080145299997</v>
      </c>
      <c r="BJ358" s="289">
        <v>0</v>
      </c>
      <c r="BK358" s="289">
        <v>0</v>
      </c>
      <c r="BL358" s="289">
        <v>0</v>
      </c>
      <c r="BM358" s="289">
        <v>2881</v>
      </c>
      <c r="BN358" s="289">
        <v>796.76100352896401</v>
      </c>
      <c r="BO358" s="289">
        <v>474.37813394409875</v>
      </c>
      <c r="BP358" s="289">
        <v>1091.5627797642846</v>
      </c>
      <c r="BQ358" s="289">
        <v>457.17771279501756</v>
      </c>
      <c r="BR358" s="289">
        <v>11.582103261661183</v>
      </c>
      <c r="BS358" s="289">
        <v>2.6676004768500192</v>
      </c>
      <c r="BT358" s="289">
        <v>0</v>
      </c>
      <c r="BU358" s="289">
        <v>0</v>
      </c>
      <c r="BV358" s="289">
        <v>32.051750280698457</v>
      </c>
      <c r="BW358" s="517"/>
      <c r="BX358" s="517"/>
      <c r="CA358" s="517"/>
      <c r="CB358" s="517"/>
    </row>
    <row r="359" spans="1:80" ht="13">
      <c r="A359" s="1">
        <v>5025</v>
      </c>
      <c r="B359" s="2" t="s">
        <v>134</v>
      </c>
      <c r="C359" s="289">
        <v>5610</v>
      </c>
      <c r="D359" s="289">
        <v>97</v>
      </c>
      <c r="E359" s="289">
        <v>186</v>
      </c>
      <c r="F359" s="289">
        <v>574</v>
      </c>
      <c r="G359" s="289">
        <v>493</v>
      </c>
      <c r="H359" s="289">
        <v>3061</v>
      </c>
      <c r="I359" s="289">
        <v>874</v>
      </c>
      <c r="J359" s="289">
        <v>269</v>
      </c>
      <c r="K359" s="289">
        <v>67</v>
      </c>
      <c r="L359" s="289">
        <v>46</v>
      </c>
      <c r="M359" s="289">
        <v>547</v>
      </c>
      <c r="N359" s="290">
        <v>76</v>
      </c>
      <c r="O359" s="290">
        <v>28</v>
      </c>
      <c r="P359" s="624">
        <v>34705.796333329999</v>
      </c>
      <c r="Q359" s="624">
        <v>17900.573333330001</v>
      </c>
      <c r="R359" s="624">
        <v>24</v>
      </c>
      <c r="S359" s="289"/>
      <c r="T359" s="289">
        <v>543</v>
      </c>
      <c r="U359" s="716">
        <v>2.4045045425589071E-3</v>
      </c>
      <c r="V359" s="289">
        <v>2344.52294123</v>
      </c>
      <c r="W359" s="743">
        <v>0.67944278000000002</v>
      </c>
      <c r="X359" s="289">
        <v>300</v>
      </c>
      <c r="Y359" s="289">
        <v>414.28399999999999</v>
      </c>
      <c r="Z359" s="289">
        <v>152303</v>
      </c>
      <c r="AA359" s="289">
        <v>0</v>
      </c>
      <c r="AB359" s="290">
        <v>91</v>
      </c>
      <c r="AC359" s="289">
        <v>640.5</v>
      </c>
      <c r="AD359" s="289">
        <v>0</v>
      </c>
      <c r="AE359" s="289">
        <v>0</v>
      </c>
      <c r="AF359" s="289">
        <v>0</v>
      </c>
      <c r="AG359" s="289">
        <v>5621</v>
      </c>
      <c r="AH359" s="289">
        <v>789.28808189999995</v>
      </c>
      <c r="AI359" s="289">
        <v>350</v>
      </c>
      <c r="AJ359" s="289">
        <v>0</v>
      </c>
      <c r="AK359" s="289">
        <v>0</v>
      </c>
      <c r="AL359" s="289">
        <v>0</v>
      </c>
      <c r="AM359" s="836">
        <v>4.0184820000000003E-2</v>
      </c>
      <c r="AN359" s="289">
        <v>7561</v>
      </c>
      <c r="AO359" s="289">
        <v>223.68616360999999</v>
      </c>
      <c r="AP359" s="289">
        <v>0</v>
      </c>
      <c r="AQ359" s="289">
        <v>0</v>
      </c>
      <c r="AR359" s="289">
        <v>-299.19290404999998</v>
      </c>
      <c r="AS359" s="289"/>
      <c r="AT359" s="289">
        <v>222</v>
      </c>
      <c r="AU359" s="289">
        <v>45</v>
      </c>
      <c r="AV359" s="625">
        <v>153951</v>
      </c>
      <c r="AW359" s="289"/>
      <c r="AX359" s="625">
        <v>31.5066667</v>
      </c>
      <c r="AY359" s="289">
        <v>1275</v>
      </c>
      <c r="AZ359" s="289">
        <v>129</v>
      </c>
      <c r="BA359" s="290">
        <v>139</v>
      </c>
      <c r="BB359" s="289">
        <v>0</v>
      </c>
      <c r="BC359" s="289">
        <v>1164.1859394099999</v>
      </c>
      <c r="BD359" s="289">
        <v>76.92599051286652</v>
      </c>
      <c r="BE359" s="289">
        <v>158541.06984668001</v>
      </c>
      <c r="BF359" s="289">
        <v>0</v>
      </c>
      <c r="BG359" s="289">
        <v>-187.90309999999999</v>
      </c>
      <c r="BH359" s="289">
        <v>-15.871</v>
      </c>
      <c r="BI359" s="289">
        <v>1203.5720819000001</v>
      </c>
      <c r="BJ359" s="289">
        <v>0</v>
      </c>
      <c r="BK359" s="289">
        <v>0</v>
      </c>
      <c r="BL359" s="289">
        <v>0</v>
      </c>
      <c r="BM359" s="289">
        <v>0</v>
      </c>
      <c r="BN359" s="289">
        <v>473.45509365647422</v>
      </c>
      <c r="BO359" s="289">
        <v>253.45562728106785</v>
      </c>
      <c r="BP359" s="289">
        <v>508.93118655068378</v>
      </c>
      <c r="BQ359" s="289">
        <v>312.10468962414609</v>
      </c>
      <c r="BR359" s="289">
        <v>5.2138726903165082</v>
      </c>
      <c r="BS359" s="289">
        <v>1.3744242382105136</v>
      </c>
      <c r="BT359" s="289">
        <v>0</v>
      </c>
      <c r="BU359" s="289">
        <v>0</v>
      </c>
      <c r="BV359" s="289">
        <v>21.880991337286048</v>
      </c>
      <c r="BW359" s="517"/>
      <c r="BX359" s="517"/>
      <c r="CA359" s="517"/>
      <c r="CB359" s="517"/>
    </row>
    <row r="360" spans="1:80" ht="13">
      <c r="A360" s="1">
        <v>5026</v>
      </c>
      <c r="B360" s="2" t="s">
        <v>135</v>
      </c>
      <c r="C360" s="289">
        <v>2025</v>
      </c>
      <c r="D360" s="289">
        <v>33</v>
      </c>
      <c r="E360" s="289">
        <v>64</v>
      </c>
      <c r="F360" s="289">
        <v>230</v>
      </c>
      <c r="G360" s="289">
        <v>165</v>
      </c>
      <c r="H360" s="289">
        <v>1081</v>
      </c>
      <c r="I360" s="289">
        <v>347</v>
      </c>
      <c r="J360" s="289">
        <v>97</v>
      </c>
      <c r="K360" s="289">
        <v>16</v>
      </c>
      <c r="L360" s="289">
        <v>20</v>
      </c>
      <c r="M360" s="289">
        <v>190</v>
      </c>
      <c r="N360" s="290">
        <v>1.5</v>
      </c>
      <c r="O360" s="290">
        <v>13</v>
      </c>
      <c r="P360" s="624">
        <v>14744.544333330001</v>
      </c>
      <c r="Q360" s="624">
        <v>4797.3686666699996</v>
      </c>
      <c r="R360" s="624">
        <v>10</v>
      </c>
      <c r="S360" s="289"/>
      <c r="T360" s="289">
        <v>130</v>
      </c>
      <c r="U360" s="716">
        <v>2.1473012876235169E-3</v>
      </c>
      <c r="V360" s="289">
        <v>949.29777228</v>
      </c>
      <c r="W360" s="743">
        <v>1</v>
      </c>
      <c r="X360" s="289">
        <v>100</v>
      </c>
      <c r="Y360" s="289">
        <v>288.86799999999999</v>
      </c>
      <c r="Z360" s="289">
        <v>44918</v>
      </c>
      <c r="AA360" s="289">
        <v>0</v>
      </c>
      <c r="AB360" s="290">
        <v>47</v>
      </c>
      <c r="AC360" s="289">
        <v>0</v>
      </c>
      <c r="AD360" s="289">
        <v>0</v>
      </c>
      <c r="AE360" s="289">
        <v>0</v>
      </c>
      <c r="AF360" s="289">
        <v>0</v>
      </c>
      <c r="AG360" s="289">
        <v>2033</v>
      </c>
      <c r="AH360" s="289">
        <v>289.35914663</v>
      </c>
      <c r="AI360" s="289">
        <v>0</v>
      </c>
      <c r="AJ360" s="289">
        <v>0</v>
      </c>
      <c r="AK360" s="289">
        <v>45.26</v>
      </c>
      <c r="AL360" s="289">
        <v>0</v>
      </c>
      <c r="AM360" s="836">
        <v>1.3392390000000001E-2</v>
      </c>
      <c r="AN360" s="289">
        <v>0</v>
      </c>
      <c r="AO360" s="289">
        <v>90.570568989999998</v>
      </c>
      <c r="AP360" s="289">
        <v>0</v>
      </c>
      <c r="AQ360" s="289">
        <v>0</v>
      </c>
      <c r="AR360" s="289">
        <v>-108.21191494999999</v>
      </c>
      <c r="AS360" s="289"/>
      <c r="AT360" s="289">
        <v>72</v>
      </c>
      <c r="AU360" s="289">
        <v>15</v>
      </c>
      <c r="AV360" s="625">
        <v>70453</v>
      </c>
      <c r="AW360" s="289"/>
      <c r="AX360" s="625">
        <v>14.306666699999999</v>
      </c>
      <c r="AY360" s="289">
        <v>325</v>
      </c>
      <c r="AZ360" s="289">
        <v>51</v>
      </c>
      <c r="BA360" s="290">
        <v>34</v>
      </c>
      <c r="BB360" s="289">
        <v>5698</v>
      </c>
      <c r="BC360" s="289">
        <v>575.50646465</v>
      </c>
      <c r="BD360" s="289">
        <v>22.22886401808368</v>
      </c>
      <c r="BE360" s="289">
        <v>73598.922006640001</v>
      </c>
      <c r="BF360" s="289">
        <v>0</v>
      </c>
      <c r="BG360" s="289">
        <v>-81.499700000000004</v>
      </c>
      <c r="BH360" s="289">
        <v>-5.7401999999999997</v>
      </c>
      <c r="BI360" s="289">
        <v>578.22714662999999</v>
      </c>
      <c r="BJ360" s="289">
        <v>0</v>
      </c>
      <c r="BK360" s="289">
        <v>0</v>
      </c>
      <c r="BL360" s="289">
        <v>0</v>
      </c>
      <c r="BM360" s="289">
        <v>0</v>
      </c>
      <c r="BN360" s="289">
        <v>183.24127841825512</v>
      </c>
      <c r="BO360" s="289">
        <v>117.91063982138087</v>
      </c>
      <c r="BP360" s="289">
        <v>184.06993457703967</v>
      </c>
      <c r="BQ360" s="289">
        <v>278.71970713353244</v>
      </c>
      <c r="BR360" s="289">
        <v>1.5066230056701166</v>
      </c>
      <c r="BS360" s="289">
        <v>0.74838401534113586</v>
      </c>
      <c r="BT360" s="289">
        <v>0</v>
      </c>
      <c r="BU360" s="289">
        <v>0</v>
      </c>
      <c r="BV360" s="289">
        <v>19.540441717373998</v>
      </c>
      <c r="BW360" s="517"/>
      <c r="BX360" s="517"/>
      <c r="CA360" s="517"/>
      <c r="CB360" s="517"/>
    </row>
    <row r="361" spans="1:80" ht="13">
      <c r="A361" s="1">
        <v>5027</v>
      </c>
      <c r="B361" s="2" t="s">
        <v>136</v>
      </c>
      <c r="C361" s="289">
        <v>6246</v>
      </c>
      <c r="D361" s="289">
        <v>151</v>
      </c>
      <c r="E361" s="289">
        <v>286</v>
      </c>
      <c r="F361" s="289">
        <v>671</v>
      </c>
      <c r="G361" s="289">
        <v>561</v>
      </c>
      <c r="H361" s="289">
        <v>3463</v>
      </c>
      <c r="I361" s="289">
        <v>764</v>
      </c>
      <c r="J361" s="289">
        <v>275</v>
      </c>
      <c r="K361" s="289">
        <v>60</v>
      </c>
      <c r="L361" s="289">
        <v>52</v>
      </c>
      <c r="M361" s="289">
        <v>486</v>
      </c>
      <c r="N361" s="290">
        <v>52</v>
      </c>
      <c r="O361" s="290">
        <v>51</v>
      </c>
      <c r="P361" s="624">
        <v>105885.992</v>
      </c>
      <c r="Q361" s="624">
        <v>21781.505000000001</v>
      </c>
      <c r="R361" s="624">
        <v>28</v>
      </c>
      <c r="S361" s="289"/>
      <c r="T361" s="289">
        <v>378</v>
      </c>
      <c r="U361" s="716">
        <v>5.9628783341801857E-3</v>
      </c>
      <c r="V361" s="289">
        <v>2704.1157714999999</v>
      </c>
      <c r="W361" s="743">
        <v>0.78878556</v>
      </c>
      <c r="X361" s="289">
        <v>1700</v>
      </c>
      <c r="Y361" s="289">
        <v>414.28399999999999</v>
      </c>
      <c r="Z361" s="289">
        <v>142650</v>
      </c>
      <c r="AA361" s="289">
        <v>0</v>
      </c>
      <c r="AB361" s="290">
        <v>103</v>
      </c>
      <c r="AC361" s="289">
        <v>0</v>
      </c>
      <c r="AD361" s="289">
        <v>0</v>
      </c>
      <c r="AE361" s="289">
        <v>0</v>
      </c>
      <c r="AF361" s="289">
        <v>0</v>
      </c>
      <c r="AG361" s="289">
        <v>6231</v>
      </c>
      <c r="AH361" s="289">
        <v>994.27986288</v>
      </c>
      <c r="AI361" s="289">
        <v>2430</v>
      </c>
      <c r="AJ361" s="289">
        <v>0</v>
      </c>
      <c r="AK361" s="289">
        <v>0</v>
      </c>
      <c r="AL361" s="289">
        <v>0</v>
      </c>
      <c r="AM361" s="836">
        <v>0.10306145999999999</v>
      </c>
      <c r="AN361" s="289">
        <v>0</v>
      </c>
      <c r="AO361" s="289">
        <v>257.99418391</v>
      </c>
      <c r="AP361" s="289">
        <v>0</v>
      </c>
      <c r="AQ361" s="289">
        <v>0</v>
      </c>
      <c r="AR361" s="289">
        <v>1380.2188147300001</v>
      </c>
      <c r="AS361" s="289"/>
      <c r="AT361" s="289">
        <v>283</v>
      </c>
      <c r="AU361" s="289">
        <v>63</v>
      </c>
      <c r="AV361" s="625">
        <v>181160</v>
      </c>
      <c r="AW361" s="289"/>
      <c r="AX361" s="625">
        <v>56.726666700000003</v>
      </c>
      <c r="AY361" s="289">
        <v>826</v>
      </c>
      <c r="AZ361" s="289">
        <v>224</v>
      </c>
      <c r="BA361" s="290">
        <v>109</v>
      </c>
      <c r="BB361" s="289">
        <v>0</v>
      </c>
      <c r="BC361" s="289">
        <v>1408.8528485100001</v>
      </c>
      <c r="BD361" s="289">
        <v>72.854876828440524</v>
      </c>
      <c r="BE361" s="289">
        <v>182463.93485327001</v>
      </c>
      <c r="BF361" s="289">
        <v>0</v>
      </c>
      <c r="BG361" s="289">
        <v>-233.9237</v>
      </c>
      <c r="BH361" s="289">
        <v>-17.593399999999999</v>
      </c>
      <c r="BI361" s="289">
        <v>1408.56386288</v>
      </c>
      <c r="BJ361" s="289">
        <v>0</v>
      </c>
      <c r="BK361" s="289">
        <v>0</v>
      </c>
      <c r="BL361" s="289">
        <v>0</v>
      </c>
      <c r="BM361" s="289">
        <v>0</v>
      </c>
      <c r="BN361" s="289">
        <v>496.02578114216084</v>
      </c>
      <c r="BO361" s="289">
        <v>293.34011129385703</v>
      </c>
      <c r="BP361" s="289">
        <v>564.16122102780821</v>
      </c>
      <c r="BQ361" s="289">
        <v>773.98160777658791</v>
      </c>
      <c r="BR361" s="289">
        <v>4.9379416517054135</v>
      </c>
      <c r="BS361" s="289">
        <v>1.542285407156132</v>
      </c>
      <c r="BT361" s="289">
        <v>0</v>
      </c>
      <c r="BU361" s="289">
        <v>0</v>
      </c>
      <c r="BV361" s="289">
        <v>54.262192841039671</v>
      </c>
      <c r="BW361" s="517"/>
      <c r="BX361" s="517"/>
      <c r="CA361" s="517"/>
      <c r="CB361" s="517"/>
    </row>
    <row r="362" spans="1:80" ht="13">
      <c r="A362" s="1">
        <v>5028</v>
      </c>
      <c r="B362" s="2" t="s">
        <v>137</v>
      </c>
      <c r="C362" s="289">
        <v>16562</v>
      </c>
      <c r="D362" s="289">
        <v>390</v>
      </c>
      <c r="E362" s="289">
        <v>863</v>
      </c>
      <c r="F362" s="289">
        <v>2186</v>
      </c>
      <c r="G362" s="289">
        <v>1541</v>
      </c>
      <c r="H362" s="289">
        <v>9115</v>
      </c>
      <c r="I362" s="289">
        <v>1790</v>
      </c>
      <c r="J362" s="289">
        <v>546</v>
      </c>
      <c r="K362" s="289">
        <v>116</v>
      </c>
      <c r="L362" s="289">
        <v>118</v>
      </c>
      <c r="M362" s="289">
        <v>992</v>
      </c>
      <c r="N362" s="290">
        <v>177</v>
      </c>
      <c r="O362" s="290">
        <v>97</v>
      </c>
      <c r="P362" s="624">
        <v>89618.505666669997</v>
      </c>
      <c r="Q362" s="624">
        <v>31684.954000000002</v>
      </c>
      <c r="R362" s="624">
        <v>83</v>
      </c>
      <c r="S362" s="289"/>
      <c r="T362" s="289">
        <v>962</v>
      </c>
      <c r="U362" s="716">
        <v>5.650482309231898E-3</v>
      </c>
      <c r="V362" s="289">
        <v>483.12578110999999</v>
      </c>
      <c r="W362" s="743">
        <v>0.61527686000000004</v>
      </c>
      <c r="X362" s="289">
        <v>450</v>
      </c>
      <c r="Y362" s="289">
        <v>414.28399999999999</v>
      </c>
      <c r="Z362" s="289">
        <v>424578</v>
      </c>
      <c r="AA362" s="289">
        <v>0</v>
      </c>
      <c r="AB362" s="290">
        <v>355</v>
      </c>
      <c r="AC362" s="289">
        <v>0</v>
      </c>
      <c r="AD362" s="289">
        <v>0</v>
      </c>
      <c r="AE362" s="289">
        <v>0</v>
      </c>
      <c r="AF362" s="289">
        <v>0</v>
      </c>
      <c r="AG362" s="289">
        <v>16547</v>
      </c>
      <c r="AH362" s="289">
        <v>3032.3444065100002</v>
      </c>
      <c r="AI362" s="289">
        <v>4290</v>
      </c>
      <c r="AJ362" s="289">
        <v>0</v>
      </c>
      <c r="AK362" s="289">
        <v>0</v>
      </c>
      <c r="AL362" s="289">
        <v>0</v>
      </c>
      <c r="AM362" s="836">
        <v>0.25822593999999999</v>
      </c>
      <c r="AN362" s="289">
        <v>0</v>
      </c>
      <c r="AO362" s="289">
        <v>648.08014615000002</v>
      </c>
      <c r="AP362" s="289">
        <v>0</v>
      </c>
      <c r="AQ362" s="289">
        <v>0</v>
      </c>
      <c r="AR362" s="289">
        <v>-880.75875882000003</v>
      </c>
      <c r="AS362" s="289"/>
      <c r="AT362" s="289">
        <v>767</v>
      </c>
      <c r="AU362" s="289">
        <v>176</v>
      </c>
      <c r="AV362" s="625">
        <v>399193</v>
      </c>
      <c r="AW362" s="289"/>
      <c r="AX362" s="625">
        <v>112.76166665</v>
      </c>
      <c r="AY362" s="289">
        <v>2990</v>
      </c>
      <c r="AZ362" s="289">
        <v>516</v>
      </c>
      <c r="BA362" s="290">
        <v>363</v>
      </c>
      <c r="BB362" s="289">
        <v>0</v>
      </c>
      <c r="BC362" s="289">
        <v>3323.14486876</v>
      </c>
      <c r="BD362" s="289">
        <v>200.98434671687806</v>
      </c>
      <c r="BE362" s="289">
        <v>423452.22998677002</v>
      </c>
      <c r="BF362" s="289">
        <v>0</v>
      </c>
      <c r="BG362" s="289">
        <v>-673.73379999999997</v>
      </c>
      <c r="BH362" s="289">
        <v>-46.7209</v>
      </c>
      <c r="BI362" s="289">
        <v>3446.6284065099999</v>
      </c>
      <c r="BJ362" s="289">
        <v>0</v>
      </c>
      <c r="BK362" s="289">
        <v>0</v>
      </c>
      <c r="BL362" s="289">
        <v>0</v>
      </c>
      <c r="BM362" s="289">
        <v>0</v>
      </c>
      <c r="BN362" s="289">
        <v>1088.8990376917454</v>
      </c>
      <c r="BO362" s="289">
        <v>640.52002303308768</v>
      </c>
      <c r="BP362" s="289">
        <v>1498.1825909720983</v>
      </c>
      <c r="BQ362" s="289">
        <v>733.43260373830049</v>
      </c>
      <c r="BR362" s="289">
        <v>13.622272388588401</v>
      </c>
      <c r="BS362" s="289">
        <v>3.6074706262398077</v>
      </c>
      <c r="BT362" s="289">
        <v>0</v>
      </c>
      <c r="BU362" s="289">
        <v>0</v>
      </c>
      <c r="BV362" s="289">
        <v>51.419389014010264</v>
      </c>
      <c r="BW362" s="517"/>
      <c r="BX362" s="517"/>
      <c r="CA362" s="517"/>
      <c r="CB362" s="517"/>
    </row>
    <row r="363" spans="1:80" ht="13">
      <c r="A363" s="1">
        <v>5029</v>
      </c>
      <c r="B363" s="2" t="s">
        <v>138</v>
      </c>
      <c r="C363" s="289">
        <v>8231</v>
      </c>
      <c r="D363" s="289">
        <v>228</v>
      </c>
      <c r="E363" s="289">
        <v>509</v>
      </c>
      <c r="F363" s="289">
        <v>1210</v>
      </c>
      <c r="G363" s="289">
        <v>659</v>
      </c>
      <c r="H363" s="289">
        <v>4540</v>
      </c>
      <c r="I363" s="289">
        <v>769</v>
      </c>
      <c r="J363" s="289">
        <v>215</v>
      </c>
      <c r="K363" s="289">
        <v>56</v>
      </c>
      <c r="L363" s="289">
        <v>62</v>
      </c>
      <c r="M363" s="289">
        <v>398</v>
      </c>
      <c r="N363" s="290">
        <v>48</v>
      </c>
      <c r="O363" s="290">
        <v>41</v>
      </c>
      <c r="P363" s="624">
        <v>32033.516666669999</v>
      </c>
      <c r="Q363" s="624">
        <v>16800.02</v>
      </c>
      <c r="R363" s="624">
        <v>19</v>
      </c>
      <c r="S363" s="289"/>
      <c r="T363" s="289">
        <v>452</v>
      </c>
      <c r="U363" s="716">
        <v>2.8113894500559158E-3</v>
      </c>
      <c r="V363" s="289">
        <v>1752.21606122</v>
      </c>
      <c r="W363" s="743">
        <v>0.62521888000000003</v>
      </c>
      <c r="X363" s="289">
        <v>200</v>
      </c>
      <c r="Y363" s="289">
        <v>414.28399999999999</v>
      </c>
      <c r="Z363" s="289">
        <v>202229</v>
      </c>
      <c r="AA363" s="289">
        <v>0</v>
      </c>
      <c r="AB363" s="290">
        <v>172</v>
      </c>
      <c r="AC363" s="289">
        <v>0</v>
      </c>
      <c r="AD363" s="289">
        <v>0</v>
      </c>
      <c r="AE363" s="289">
        <v>2965</v>
      </c>
      <c r="AF363" s="289">
        <v>0</v>
      </c>
      <c r="AG363" s="289">
        <v>8186</v>
      </c>
      <c r="AH363" s="289">
        <v>1632.96173834</v>
      </c>
      <c r="AI363" s="289">
        <v>390</v>
      </c>
      <c r="AJ363" s="289">
        <v>0</v>
      </c>
      <c r="AK363" s="289">
        <v>0</v>
      </c>
      <c r="AL363" s="289">
        <v>0</v>
      </c>
      <c r="AM363" s="836">
        <v>7.9874059999999997E-2</v>
      </c>
      <c r="AN363" s="289">
        <v>0</v>
      </c>
      <c r="AO363" s="289">
        <v>325.20912315999999</v>
      </c>
      <c r="AP363" s="289">
        <v>0</v>
      </c>
      <c r="AQ363" s="289">
        <v>0</v>
      </c>
      <c r="AR363" s="289">
        <v>-435.72195562000002</v>
      </c>
      <c r="AS363" s="289"/>
      <c r="AT363" s="289">
        <v>378</v>
      </c>
      <c r="AU363" s="289">
        <v>68</v>
      </c>
      <c r="AV363" s="625">
        <v>206724</v>
      </c>
      <c r="AW363" s="289"/>
      <c r="AX363" s="625">
        <v>90.193333300000006</v>
      </c>
      <c r="AY363" s="289">
        <v>1700</v>
      </c>
      <c r="AZ363" s="289">
        <v>206</v>
      </c>
      <c r="BA363" s="290">
        <v>177</v>
      </c>
      <c r="BB363" s="289">
        <v>0</v>
      </c>
      <c r="BC363" s="289">
        <v>1945.76078792</v>
      </c>
      <c r="BD363" s="289">
        <v>89.796607940173431</v>
      </c>
      <c r="BE363" s="289">
        <v>220492.75696356001</v>
      </c>
      <c r="BF363" s="289">
        <v>0</v>
      </c>
      <c r="BG363" s="289">
        <v>-370.69389999999999</v>
      </c>
      <c r="BH363" s="289">
        <v>-23.113399999999999</v>
      </c>
      <c r="BI363" s="289">
        <v>2047.2457383399999</v>
      </c>
      <c r="BJ363" s="289">
        <v>0</v>
      </c>
      <c r="BK363" s="289">
        <v>0</v>
      </c>
      <c r="BL363" s="289">
        <v>0</v>
      </c>
      <c r="BM363" s="289">
        <v>0</v>
      </c>
      <c r="BN363" s="289">
        <v>450.85652688127948</v>
      </c>
      <c r="BO363" s="289">
        <v>317.97544249586053</v>
      </c>
      <c r="BP363" s="289">
        <v>741.16895447498621</v>
      </c>
      <c r="BQ363" s="289">
        <v>364.91835061725783</v>
      </c>
      <c r="BR363" s="289">
        <v>6.0862145381673134</v>
      </c>
      <c r="BS363" s="289">
        <v>1.8954560818997683</v>
      </c>
      <c r="BT363" s="289">
        <v>0</v>
      </c>
      <c r="BU363" s="289">
        <v>0</v>
      </c>
      <c r="BV363" s="289">
        <v>25.58364399550883</v>
      </c>
      <c r="BW363" s="517"/>
      <c r="BX363" s="517"/>
      <c r="CA363" s="517"/>
      <c r="CB363" s="517"/>
    </row>
    <row r="364" spans="1:80" ht="13">
      <c r="A364" s="1">
        <v>5030</v>
      </c>
      <c r="B364" s="2" t="s">
        <v>139</v>
      </c>
      <c r="C364" s="289">
        <v>6076</v>
      </c>
      <c r="D364" s="289">
        <v>131</v>
      </c>
      <c r="E364" s="289">
        <v>319</v>
      </c>
      <c r="F364" s="289">
        <v>953</v>
      </c>
      <c r="G364" s="289">
        <v>621</v>
      </c>
      <c r="H364" s="289">
        <v>3377</v>
      </c>
      <c r="I364" s="289">
        <v>541</v>
      </c>
      <c r="J364" s="289">
        <v>130</v>
      </c>
      <c r="K364" s="289">
        <v>23</v>
      </c>
      <c r="L364" s="289">
        <v>46</v>
      </c>
      <c r="M364" s="289">
        <v>251</v>
      </c>
      <c r="N364" s="290">
        <v>50</v>
      </c>
      <c r="O364" s="290">
        <v>35</v>
      </c>
      <c r="P364" s="624">
        <v>15602.034333330001</v>
      </c>
      <c r="Q364" s="624">
        <v>14067.70266667</v>
      </c>
      <c r="R364" s="624">
        <v>15</v>
      </c>
      <c r="S364" s="289"/>
      <c r="T364" s="289">
        <v>349</v>
      </c>
      <c r="U364" s="716">
        <v>8.3160355894027231E-4</v>
      </c>
      <c r="V364" s="289">
        <v>1427.0992712899999</v>
      </c>
      <c r="W364" s="743">
        <v>0.60661893</v>
      </c>
      <c r="X364" s="289">
        <v>150</v>
      </c>
      <c r="Y364" s="289">
        <v>414.28399999999999</v>
      </c>
      <c r="Z364" s="289">
        <v>160472</v>
      </c>
      <c r="AA364" s="289">
        <v>0</v>
      </c>
      <c r="AB364" s="290">
        <v>126</v>
      </c>
      <c r="AC364" s="289">
        <v>0</v>
      </c>
      <c r="AD364" s="289">
        <v>4286.7096279999996</v>
      </c>
      <c r="AE364" s="289">
        <v>0</v>
      </c>
      <c r="AF364" s="289">
        <v>0</v>
      </c>
      <c r="AG364" s="289">
        <v>6095</v>
      </c>
      <c r="AH364" s="289">
        <v>1227.85893306</v>
      </c>
      <c r="AI364" s="289">
        <v>1085</v>
      </c>
      <c r="AJ364" s="289">
        <v>0</v>
      </c>
      <c r="AK364" s="289">
        <v>0</v>
      </c>
      <c r="AL364" s="289">
        <v>0</v>
      </c>
      <c r="AM364" s="836">
        <v>0.1241145</v>
      </c>
      <c r="AN364" s="289">
        <v>0</v>
      </c>
      <c r="AO364" s="289">
        <v>236.48765426</v>
      </c>
      <c r="AP364" s="289">
        <v>0</v>
      </c>
      <c r="AQ364" s="289">
        <v>0</v>
      </c>
      <c r="AR364" s="289">
        <v>-324.42283405000001</v>
      </c>
      <c r="AS364" s="289"/>
      <c r="AT364" s="289">
        <v>287</v>
      </c>
      <c r="AU364" s="289">
        <v>73</v>
      </c>
      <c r="AV364" s="625">
        <v>150028</v>
      </c>
      <c r="AW364" s="289"/>
      <c r="AX364" s="625">
        <v>63.133333299999997</v>
      </c>
      <c r="AY364" s="289">
        <v>1142</v>
      </c>
      <c r="AZ364" s="289">
        <v>220</v>
      </c>
      <c r="BA364" s="290">
        <v>191</v>
      </c>
      <c r="BB364" s="289">
        <v>0</v>
      </c>
      <c r="BC364" s="289">
        <v>5787.2238081100004</v>
      </c>
      <c r="BD364" s="289">
        <v>74.590131101070824</v>
      </c>
      <c r="BE364" s="289">
        <v>158857.95939144999</v>
      </c>
      <c r="BF364" s="289">
        <v>0</v>
      </c>
      <c r="BG364" s="289">
        <v>-291.88560000000001</v>
      </c>
      <c r="BH364" s="289">
        <v>-17.209399999999999</v>
      </c>
      <c r="BI364" s="289">
        <v>5928.85256106</v>
      </c>
      <c r="BJ364" s="289">
        <v>0</v>
      </c>
      <c r="BK364" s="289">
        <v>0</v>
      </c>
      <c r="BL364" s="289">
        <v>0</v>
      </c>
      <c r="BM364" s="289">
        <v>0</v>
      </c>
      <c r="BN364" s="289">
        <v>304.4066086549434</v>
      </c>
      <c r="BO364" s="289">
        <v>236.8303226152313</v>
      </c>
      <c r="BP364" s="289">
        <v>551.8476395706133</v>
      </c>
      <c r="BQ364" s="289">
        <v>107.94214195044734</v>
      </c>
      <c r="BR364" s="289">
        <v>5.055553330183689</v>
      </c>
      <c r="BS364" s="289">
        <v>1.4585124062075903</v>
      </c>
      <c r="BT364" s="289">
        <v>0</v>
      </c>
      <c r="BU364" s="289">
        <v>0</v>
      </c>
      <c r="BV364" s="289">
        <v>7.5675923863564778</v>
      </c>
      <c r="BW364" s="517"/>
      <c r="BX364" s="517"/>
      <c r="CA364" s="517"/>
      <c r="CB364" s="517"/>
    </row>
    <row r="365" spans="1:80" ht="13">
      <c r="A365" s="1">
        <v>5031</v>
      </c>
      <c r="B365" s="2" t="s">
        <v>141</v>
      </c>
      <c r="C365" s="289">
        <v>14040</v>
      </c>
      <c r="D365" s="289">
        <v>344</v>
      </c>
      <c r="E365" s="289">
        <v>755</v>
      </c>
      <c r="F365" s="289">
        <v>1984</v>
      </c>
      <c r="G365" s="289">
        <v>1310</v>
      </c>
      <c r="H365" s="289">
        <v>7915</v>
      </c>
      <c r="I365" s="289">
        <v>1255</v>
      </c>
      <c r="J365" s="289">
        <v>354</v>
      </c>
      <c r="K365" s="289">
        <v>73</v>
      </c>
      <c r="L365" s="289">
        <v>93</v>
      </c>
      <c r="M365" s="289">
        <v>577</v>
      </c>
      <c r="N365" s="290">
        <v>149</v>
      </c>
      <c r="O365" s="290">
        <v>105</v>
      </c>
      <c r="P365" s="624">
        <v>30627.945333330001</v>
      </c>
      <c r="Q365" s="624">
        <v>21018.797999999999</v>
      </c>
      <c r="R365" s="624">
        <v>54</v>
      </c>
      <c r="S365" s="289"/>
      <c r="T365" s="289">
        <v>790</v>
      </c>
      <c r="U365" s="716">
        <v>1.4015283483470745E-3</v>
      </c>
      <c r="V365" s="289">
        <v>2563.1254520399998</v>
      </c>
      <c r="W365" s="743">
        <v>0.55974941</v>
      </c>
      <c r="X365" s="289">
        <v>300</v>
      </c>
      <c r="Y365" s="289">
        <v>0</v>
      </c>
      <c r="Z365" s="289">
        <v>412157</v>
      </c>
      <c r="AA365" s="289">
        <v>0</v>
      </c>
      <c r="AB365" s="290">
        <v>303</v>
      </c>
      <c r="AC365" s="289">
        <v>0</v>
      </c>
      <c r="AD365" s="289">
        <v>0</v>
      </c>
      <c r="AE365" s="289">
        <v>0</v>
      </c>
      <c r="AF365" s="289">
        <v>0</v>
      </c>
      <c r="AG365" s="289">
        <v>13990</v>
      </c>
      <c r="AH365" s="289">
        <v>2692.7831910599998</v>
      </c>
      <c r="AI365" s="289">
        <v>1740</v>
      </c>
      <c r="AJ365" s="289">
        <v>0</v>
      </c>
      <c r="AK365" s="289">
        <v>0</v>
      </c>
      <c r="AL365" s="289">
        <v>0</v>
      </c>
      <c r="AM365" s="836">
        <v>0.21115502999999999</v>
      </c>
      <c r="AN365" s="289">
        <v>0</v>
      </c>
      <c r="AO365" s="289">
        <v>527.29363059000002</v>
      </c>
      <c r="AP365" s="289">
        <v>0</v>
      </c>
      <c r="AQ365" s="289">
        <v>0</v>
      </c>
      <c r="AR365" s="289">
        <v>-744.65552885</v>
      </c>
      <c r="AS365" s="289"/>
      <c r="AT365" s="289">
        <v>695</v>
      </c>
      <c r="AU365" s="289">
        <v>151</v>
      </c>
      <c r="AV365" s="625">
        <v>312286</v>
      </c>
      <c r="AW365" s="289"/>
      <c r="AX365" s="625">
        <v>135.46666665000001</v>
      </c>
      <c r="AY365" s="289">
        <v>3678</v>
      </c>
      <c r="AZ365" s="289">
        <v>392</v>
      </c>
      <c r="BA365" s="290">
        <v>262</v>
      </c>
      <c r="BB365" s="289">
        <v>0</v>
      </c>
      <c r="BC365" s="289">
        <v>2607.5149293499999</v>
      </c>
      <c r="BD365" s="289">
        <v>169.35624764713015</v>
      </c>
      <c r="BE365" s="289">
        <v>331991.41853596998</v>
      </c>
      <c r="BF365" s="289">
        <v>0</v>
      </c>
      <c r="BG365" s="289">
        <v>-600.91920000000005</v>
      </c>
      <c r="BH365" s="289">
        <v>-39.501100000000001</v>
      </c>
      <c r="BI365" s="289">
        <v>2692.7831910599998</v>
      </c>
      <c r="BJ365" s="289">
        <v>0</v>
      </c>
      <c r="BK365" s="289">
        <v>0</v>
      </c>
      <c r="BL365" s="289">
        <v>0</v>
      </c>
      <c r="BM365" s="289">
        <v>0</v>
      </c>
      <c r="BN365" s="289">
        <v>753.0647872018352</v>
      </c>
      <c r="BO365" s="289">
        <v>507.70588629652309</v>
      </c>
      <c r="BP365" s="289">
        <v>1266.6691513688072</v>
      </c>
      <c r="BQ365" s="289">
        <v>181.91837961545025</v>
      </c>
      <c r="BR365" s="289">
        <v>11.478590118305487</v>
      </c>
      <c r="BS365" s="289">
        <v>3.0695970438544316</v>
      </c>
      <c r="BT365" s="289">
        <v>0</v>
      </c>
      <c r="BU365" s="289">
        <v>0</v>
      </c>
      <c r="BV365" s="289">
        <v>12.753907969958377</v>
      </c>
      <c r="BW365" s="517"/>
      <c r="BX365" s="517"/>
      <c r="CA365" s="517"/>
      <c r="CB365" s="517"/>
    </row>
    <row r="366" spans="1:80" ht="13">
      <c r="A366" s="1">
        <v>5032</v>
      </c>
      <c r="B366" s="2" t="s">
        <v>142</v>
      </c>
      <c r="C366" s="289">
        <v>4088</v>
      </c>
      <c r="D366" s="289">
        <v>81</v>
      </c>
      <c r="E366" s="289">
        <v>161</v>
      </c>
      <c r="F366" s="289">
        <v>478</v>
      </c>
      <c r="G366" s="289">
        <v>354</v>
      </c>
      <c r="H366" s="289">
        <v>2219</v>
      </c>
      <c r="I366" s="289">
        <v>556</v>
      </c>
      <c r="J366" s="289">
        <v>200</v>
      </c>
      <c r="K366" s="289">
        <v>62</v>
      </c>
      <c r="L366" s="289">
        <v>32</v>
      </c>
      <c r="M366" s="289">
        <v>351</v>
      </c>
      <c r="N366" s="290">
        <v>17</v>
      </c>
      <c r="O366" s="290">
        <v>15</v>
      </c>
      <c r="P366" s="624">
        <v>31367.322333330001</v>
      </c>
      <c r="Q366" s="624">
        <v>15977.930333329999</v>
      </c>
      <c r="R366" s="624">
        <v>21</v>
      </c>
      <c r="S366" s="289"/>
      <c r="T366" s="289">
        <v>298</v>
      </c>
      <c r="U366" s="716">
        <v>3.294243981155652E-3</v>
      </c>
      <c r="V366" s="289">
        <v>1847.20478796</v>
      </c>
      <c r="W366" s="743">
        <v>0.79205417</v>
      </c>
      <c r="X366" s="289">
        <v>1250</v>
      </c>
      <c r="Y366" s="289">
        <v>414.28399999999999</v>
      </c>
      <c r="Z366" s="289">
        <v>100209</v>
      </c>
      <c r="AA366" s="289">
        <v>0</v>
      </c>
      <c r="AB366" s="290">
        <v>88</v>
      </c>
      <c r="AC366" s="289">
        <v>0</v>
      </c>
      <c r="AD366" s="289">
        <v>0</v>
      </c>
      <c r="AE366" s="289">
        <v>0</v>
      </c>
      <c r="AF366" s="289">
        <v>0</v>
      </c>
      <c r="AG366" s="289">
        <v>4111</v>
      </c>
      <c r="AH366" s="289">
        <v>647.04888692999998</v>
      </c>
      <c r="AI366" s="289">
        <v>1310</v>
      </c>
      <c r="AJ366" s="289">
        <v>0</v>
      </c>
      <c r="AK366" s="289">
        <v>143.387</v>
      </c>
      <c r="AL366" s="289">
        <v>0</v>
      </c>
      <c r="AM366" s="836">
        <v>3.65498E-2</v>
      </c>
      <c r="AN366" s="289">
        <v>1164</v>
      </c>
      <c r="AO366" s="289">
        <v>176.23805046000001</v>
      </c>
      <c r="AP366" s="289">
        <v>0</v>
      </c>
      <c r="AQ366" s="289">
        <v>0</v>
      </c>
      <c r="AR366" s="289">
        <v>1390.70624593</v>
      </c>
      <c r="AS366" s="289"/>
      <c r="AT366" s="289">
        <v>153</v>
      </c>
      <c r="AU366" s="289">
        <v>29</v>
      </c>
      <c r="AV366" s="625">
        <v>35696</v>
      </c>
      <c r="AW366" s="289"/>
      <c r="AX366" s="625">
        <v>31</v>
      </c>
      <c r="AY366" s="289">
        <v>714</v>
      </c>
      <c r="AZ366" s="289">
        <v>138</v>
      </c>
      <c r="BA366" s="290">
        <v>75</v>
      </c>
      <c r="BB366" s="289">
        <v>0</v>
      </c>
      <c r="BC366" s="289">
        <v>-92990.228849480001</v>
      </c>
      <c r="BD366" s="289">
        <v>48.865342582870746</v>
      </c>
      <c r="BE366" s="289">
        <v>32727.460353670001</v>
      </c>
      <c r="BF366" s="289">
        <v>0</v>
      </c>
      <c r="BG366" s="289">
        <v>-158.5744</v>
      </c>
      <c r="BH366" s="289">
        <v>-11.6075</v>
      </c>
      <c r="BI366" s="289">
        <v>-96216.789412690006</v>
      </c>
      <c r="BJ366" s="289">
        <v>0</v>
      </c>
      <c r="BK366" s="289">
        <f>-BL366*8/12</f>
        <v>64852.081533073331</v>
      </c>
      <c r="BL366" s="289">
        <v>-97278.122299609997</v>
      </c>
      <c r="BM366" s="289">
        <v>0</v>
      </c>
      <c r="BN366" s="289">
        <v>360.54114083570312</v>
      </c>
      <c r="BO366" s="289">
        <v>197.22363178328368</v>
      </c>
      <c r="BP366" s="289">
        <v>372.21421595976886</v>
      </c>
      <c r="BQ366" s="289">
        <v>427.59286875400352</v>
      </c>
      <c r="BR366" s="289">
        <v>3.3119843306167951</v>
      </c>
      <c r="BS366" s="289">
        <v>1.1063065330909616</v>
      </c>
      <c r="BT366" s="289">
        <v>0</v>
      </c>
      <c r="BU366" s="289">
        <v>0</v>
      </c>
      <c r="BV366" s="289">
        <v>29.977620228516422</v>
      </c>
      <c r="BW366" s="517"/>
      <c r="BX366" s="517"/>
      <c r="CA366" s="517"/>
      <c r="CB366" s="517"/>
    </row>
    <row r="367" spans="1:80" ht="13">
      <c r="A367" s="1">
        <v>5033</v>
      </c>
      <c r="B367" s="2" t="s">
        <v>143</v>
      </c>
      <c r="C367" s="289">
        <v>794</v>
      </c>
      <c r="D367" s="289">
        <v>17</v>
      </c>
      <c r="E367" s="289">
        <v>30</v>
      </c>
      <c r="F367" s="289">
        <v>75</v>
      </c>
      <c r="G367" s="289">
        <v>62</v>
      </c>
      <c r="H367" s="289">
        <v>465</v>
      </c>
      <c r="I367" s="289">
        <v>115</v>
      </c>
      <c r="J367" s="289">
        <v>59</v>
      </c>
      <c r="K367" s="289">
        <v>9</v>
      </c>
      <c r="L367" s="289">
        <v>6</v>
      </c>
      <c r="M367" s="289">
        <v>77</v>
      </c>
      <c r="N367" s="290">
        <v>0</v>
      </c>
      <c r="O367" s="290">
        <v>10</v>
      </c>
      <c r="P367" s="624">
        <v>5177.0586666700001</v>
      </c>
      <c r="Q367" s="624">
        <v>4497.8933333300001</v>
      </c>
      <c r="R367" s="624">
        <v>2</v>
      </c>
      <c r="S367" s="289"/>
      <c r="T367" s="289">
        <v>66</v>
      </c>
      <c r="U367" s="716">
        <v>9.725061865213339E-4</v>
      </c>
      <c r="V367" s="289">
        <v>458.96508039000003</v>
      </c>
      <c r="W367" s="743">
        <v>1</v>
      </c>
      <c r="X367" s="289">
        <v>0</v>
      </c>
      <c r="Y367" s="289">
        <v>265.22399999999999</v>
      </c>
      <c r="Z367" s="289">
        <v>35054</v>
      </c>
      <c r="AA367" s="289">
        <v>0</v>
      </c>
      <c r="AB367" s="290">
        <v>11</v>
      </c>
      <c r="AC367" s="289">
        <v>0</v>
      </c>
      <c r="AD367" s="289">
        <v>0</v>
      </c>
      <c r="AE367" s="289">
        <v>0</v>
      </c>
      <c r="AF367" s="289">
        <v>0</v>
      </c>
      <c r="AG367" s="289">
        <v>832</v>
      </c>
      <c r="AH367" s="289">
        <v>110.16565101</v>
      </c>
      <c r="AI367" s="289">
        <v>0</v>
      </c>
      <c r="AJ367" s="289">
        <v>0</v>
      </c>
      <c r="AK367" s="289">
        <v>9.1959999999999997</v>
      </c>
      <c r="AL367" s="289">
        <v>0</v>
      </c>
      <c r="AM367" s="836">
        <v>3.8645300000000001E-3</v>
      </c>
      <c r="AN367" s="289">
        <v>0</v>
      </c>
      <c r="AO367" s="289">
        <v>43.7889245</v>
      </c>
      <c r="AP367" s="289">
        <v>0</v>
      </c>
      <c r="AQ367" s="289">
        <v>0</v>
      </c>
      <c r="AR367" s="289">
        <v>-44.285446749999998</v>
      </c>
      <c r="AS367" s="289"/>
      <c r="AT367" s="289">
        <v>32</v>
      </c>
      <c r="AU367" s="289">
        <v>6</v>
      </c>
      <c r="AV367" s="625">
        <v>34910</v>
      </c>
      <c r="AW367" s="289"/>
      <c r="AX367" s="625">
        <v>6.2666667</v>
      </c>
      <c r="AY367" s="289">
        <v>142</v>
      </c>
      <c r="AZ367" s="289">
        <v>14</v>
      </c>
      <c r="BA367" s="290">
        <v>17</v>
      </c>
      <c r="BB367" s="289">
        <v>0</v>
      </c>
      <c r="BC367" s="289">
        <v>370.27171716999999</v>
      </c>
      <c r="BD367" s="289">
        <v>9.0350923135715586</v>
      </c>
      <c r="BE367" s="289">
        <v>37037.79432904</v>
      </c>
      <c r="BF367" s="289">
        <v>0</v>
      </c>
      <c r="BG367" s="289">
        <v>-34.742100000000001</v>
      </c>
      <c r="BH367" s="289">
        <v>-2.3492000000000002</v>
      </c>
      <c r="BI367" s="289">
        <v>375.38965101000002</v>
      </c>
      <c r="BJ367" s="289">
        <v>0</v>
      </c>
      <c r="BK367" s="289">
        <v>0</v>
      </c>
      <c r="BL367" s="289">
        <v>0</v>
      </c>
      <c r="BM367" s="289">
        <v>0</v>
      </c>
      <c r="BN367" s="289">
        <v>84.964811169374087</v>
      </c>
      <c r="BO367" s="289">
        <v>69.247695722015777</v>
      </c>
      <c r="BP367" s="289">
        <v>75.330145385192822</v>
      </c>
      <c r="BQ367" s="289">
        <v>126.23130301046912</v>
      </c>
      <c r="BR367" s="289">
        <v>0.61237847903096121</v>
      </c>
      <c r="BS367" s="289">
        <v>0.50460431367657987</v>
      </c>
      <c r="BT367" s="289">
        <v>0</v>
      </c>
      <c r="BU367" s="289">
        <v>0</v>
      </c>
      <c r="BV367" s="289">
        <v>8.8498062973441378</v>
      </c>
      <c r="BW367" s="517"/>
      <c r="BX367" s="517"/>
      <c r="CA367" s="517"/>
      <c r="CB367" s="517"/>
    </row>
    <row r="368" spans="1:80" ht="13">
      <c r="A368" s="1">
        <v>5034</v>
      </c>
      <c r="B368" s="2" t="s">
        <v>146</v>
      </c>
      <c r="C368" s="289">
        <v>2432</v>
      </c>
      <c r="D368" s="289">
        <v>42</v>
      </c>
      <c r="E368" s="289">
        <v>96</v>
      </c>
      <c r="F368" s="289">
        <v>263</v>
      </c>
      <c r="G368" s="289">
        <v>195</v>
      </c>
      <c r="H368" s="289">
        <v>1347</v>
      </c>
      <c r="I368" s="289">
        <v>365</v>
      </c>
      <c r="J368" s="289">
        <v>108</v>
      </c>
      <c r="K368" s="289">
        <v>43</v>
      </c>
      <c r="L368" s="289">
        <v>22</v>
      </c>
      <c r="M368" s="289">
        <v>250</v>
      </c>
      <c r="N368" s="290">
        <v>56</v>
      </c>
      <c r="O368" s="290">
        <v>30</v>
      </c>
      <c r="P368" s="624">
        <v>8622.8986666700002</v>
      </c>
      <c r="Q368" s="624">
        <v>10876.03166667</v>
      </c>
      <c r="R368" s="624">
        <v>9</v>
      </c>
      <c r="S368" s="289"/>
      <c r="T368" s="289">
        <v>225</v>
      </c>
      <c r="U368" s="716">
        <v>1.3163135650068067E-3</v>
      </c>
      <c r="V368" s="289">
        <v>1167.7313321199999</v>
      </c>
      <c r="W368" s="743">
        <v>1</v>
      </c>
      <c r="X368" s="289">
        <v>450</v>
      </c>
      <c r="Y368" s="289">
        <v>265.22399999999999</v>
      </c>
      <c r="Z368" s="289">
        <v>57334</v>
      </c>
      <c r="AA368" s="289">
        <v>0</v>
      </c>
      <c r="AB368" s="290">
        <v>45</v>
      </c>
      <c r="AC368" s="289">
        <v>0</v>
      </c>
      <c r="AD368" s="289">
        <v>0</v>
      </c>
      <c r="AE368" s="289">
        <v>0</v>
      </c>
      <c r="AF368" s="289">
        <v>0</v>
      </c>
      <c r="AG368" s="289">
        <v>2459</v>
      </c>
      <c r="AH368" s="289">
        <v>362.57049697999997</v>
      </c>
      <c r="AI368" s="289">
        <v>830</v>
      </c>
      <c r="AJ368" s="289">
        <v>0</v>
      </c>
      <c r="AK368" s="289">
        <v>28.488</v>
      </c>
      <c r="AL368" s="289">
        <v>0</v>
      </c>
      <c r="AM368" s="836">
        <v>4.1141999999999998E-2</v>
      </c>
      <c r="AN368" s="289">
        <v>0</v>
      </c>
      <c r="AO368" s="289">
        <v>111.41087051</v>
      </c>
      <c r="AP368" s="289">
        <v>0</v>
      </c>
      <c r="AQ368" s="289">
        <v>0</v>
      </c>
      <c r="AR368" s="289">
        <v>1049.9525244199999</v>
      </c>
      <c r="AS368" s="289"/>
      <c r="AT368" s="289">
        <v>110</v>
      </c>
      <c r="AU368" s="289">
        <v>19</v>
      </c>
      <c r="AV368" s="625">
        <v>90373</v>
      </c>
      <c r="AW368" s="289"/>
      <c r="AX368" s="625">
        <v>18.455000049999999</v>
      </c>
      <c r="AY368" s="289">
        <v>394</v>
      </c>
      <c r="AZ368" s="289">
        <v>120</v>
      </c>
      <c r="BA368" s="290">
        <v>56</v>
      </c>
      <c r="BB368" s="289">
        <v>5698</v>
      </c>
      <c r="BC368" s="289">
        <v>621.73492929999998</v>
      </c>
      <c r="BD368" s="289">
        <v>37.096630644803319</v>
      </c>
      <c r="BE368" s="289">
        <v>90618.978319329995</v>
      </c>
      <c r="BF368" s="289">
        <v>0</v>
      </c>
      <c r="BG368" s="289">
        <v>-94.124700000000004</v>
      </c>
      <c r="BH368" s="289">
        <v>-6.9429999999999996</v>
      </c>
      <c r="BI368" s="289">
        <v>627.79449697999996</v>
      </c>
      <c r="BJ368" s="289">
        <v>0</v>
      </c>
      <c r="BK368" s="289">
        <v>0</v>
      </c>
      <c r="BL368" s="289">
        <v>0</v>
      </c>
      <c r="BM368" s="289">
        <v>0</v>
      </c>
      <c r="BN368" s="289">
        <v>224.10057024633051</v>
      </c>
      <c r="BO368" s="289">
        <v>134.09807790132027</v>
      </c>
      <c r="BP368" s="289">
        <v>222.64041767090043</v>
      </c>
      <c r="BQ368" s="289">
        <v>170.85750073788347</v>
      </c>
      <c r="BR368" s="289">
        <v>2.5143271881477807</v>
      </c>
      <c r="BS368" s="289">
        <v>0.83663899734948788</v>
      </c>
      <c r="BT368" s="289">
        <v>0</v>
      </c>
      <c r="BU368" s="289">
        <v>0</v>
      </c>
      <c r="BV368" s="289">
        <v>11.978453441561939</v>
      </c>
      <c r="BW368" s="517"/>
      <c r="BX368" s="517"/>
      <c r="CA368" s="517"/>
      <c r="CB368" s="517"/>
    </row>
    <row r="369" spans="1:80" ht="13">
      <c r="A369" s="1">
        <v>5035</v>
      </c>
      <c r="B369" s="2" t="s">
        <v>147</v>
      </c>
      <c r="C369" s="289">
        <v>24028</v>
      </c>
      <c r="D369" s="289">
        <v>518</v>
      </c>
      <c r="E369" s="289">
        <v>1130</v>
      </c>
      <c r="F369" s="289">
        <v>3178</v>
      </c>
      <c r="G369" s="289">
        <v>2334</v>
      </c>
      <c r="H369" s="289">
        <v>13104</v>
      </c>
      <c r="I369" s="289">
        <v>2785</v>
      </c>
      <c r="J369" s="289">
        <v>800</v>
      </c>
      <c r="K369" s="289">
        <v>197</v>
      </c>
      <c r="L369" s="289">
        <v>174</v>
      </c>
      <c r="M369" s="289">
        <v>1525</v>
      </c>
      <c r="N369" s="290">
        <v>460</v>
      </c>
      <c r="O369" s="290">
        <v>182</v>
      </c>
      <c r="P369" s="624">
        <v>69737.577999999994</v>
      </c>
      <c r="Q369" s="624">
        <v>46991.281999999999</v>
      </c>
      <c r="R369" s="624">
        <v>105</v>
      </c>
      <c r="S369" s="289"/>
      <c r="T369" s="289">
        <v>1680</v>
      </c>
      <c r="U369" s="716">
        <v>7.0385175973174917E-3</v>
      </c>
      <c r="V369" s="289">
        <v>-3220.1213399100002</v>
      </c>
      <c r="W369" s="743">
        <v>0.58292151000000003</v>
      </c>
      <c r="X369" s="289">
        <v>500</v>
      </c>
      <c r="Y369" s="289">
        <v>414.28399999999999</v>
      </c>
      <c r="Z369" s="289">
        <v>615174</v>
      </c>
      <c r="AA369" s="289">
        <v>0</v>
      </c>
      <c r="AB369" s="290">
        <v>528</v>
      </c>
      <c r="AC369" s="289">
        <v>0</v>
      </c>
      <c r="AD369" s="289">
        <v>0</v>
      </c>
      <c r="AE369" s="289">
        <v>582</v>
      </c>
      <c r="AF369" s="289">
        <v>0</v>
      </c>
      <c r="AG369" s="289">
        <v>24046</v>
      </c>
      <c r="AH369" s="289">
        <v>4314.5889141099997</v>
      </c>
      <c r="AI369" s="289">
        <v>4365</v>
      </c>
      <c r="AJ369" s="289">
        <v>0</v>
      </c>
      <c r="AK369" s="289">
        <v>0</v>
      </c>
      <c r="AL369" s="289">
        <v>0</v>
      </c>
      <c r="AM369" s="836">
        <v>0.33791686999999998</v>
      </c>
      <c r="AN369" s="289">
        <v>0</v>
      </c>
      <c r="AO369" s="289">
        <v>933.23097734999999</v>
      </c>
      <c r="AP369" s="289">
        <v>0</v>
      </c>
      <c r="AQ369" s="289">
        <v>0</v>
      </c>
      <c r="AR369" s="289">
        <v>-1279.91328426</v>
      </c>
      <c r="AS369" s="289"/>
      <c r="AT369" s="289">
        <v>1218</v>
      </c>
      <c r="AU369" s="289">
        <v>213</v>
      </c>
      <c r="AV369" s="625">
        <v>243630</v>
      </c>
      <c r="AW369" s="289"/>
      <c r="AX369" s="625">
        <v>211.52333335</v>
      </c>
      <c r="AY369" s="289">
        <v>5124</v>
      </c>
      <c r="AZ369" s="289">
        <v>748</v>
      </c>
      <c r="BA369" s="290">
        <v>531</v>
      </c>
      <c r="BB369" s="289">
        <v>0</v>
      </c>
      <c r="BC369" s="289">
        <v>-309655.16464739997</v>
      </c>
      <c r="BD369" s="289">
        <v>326.61501277856644</v>
      </c>
      <c r="BE369" s="289">
        <v>276548.32525323</v>
      </c>
      <c r="BF369" s="289">
        <v>0</v>
      </c>
      <c r="BG369" s="289">
        <v>-970.23429999999996</v>
      </c>
      <c r="BH369" s="289">
        <v>-67.894499999999994</v>
      </c>
      <c r="BI369" s="289">
        <v>-318751.348459</v>
      </c>
      <c r="BJ369" s="289">
        <v>0</v>
      </c>
      <c r="BK369" s="289">
        <v>0</v>
      </c>
      <c r="BL369" s="289">
        <v>-323480.22137310001</v>
      </c>
      <c r="BM369" s="289">
        <v>0</v>
      </c>
      <c r="BN369" s="289">
        <v>1577.7631827427172</v>
      </c>
      <c r="BO369" s="289">
        <v>913.38855523775919</v>
      </c>
      <c r="BP369" s="289">
        <v>2177.1498508802242</v>
      </c>
      <c r="BQ369" s="289">
        <v>913.59958413181016</v>
      </c>
      <c r="BR369" s="289">
        <v>22.137239754991722</v>
      </c>
      <c r="BS369" s="289">
        <v>5.13194705032131</v>
      </c>
      <c r="BT369" s="289">
        <v>0</v>
      </c>
      <c r="BU369" s="289">
        <v>0</v>
      </c>
      <c r="BV369" s="289">
        <v>64.05051013558915</v>
      </c>
      <c r="BW369" s="517"/>
      <c r="BX369" s="517"/>
      <c r="CA369" s="517"/>
      <c r="CB369" s="517"/>
    </row>
    <row r="370" spans="1:80" ht="13">
      <c r="A370" s="1">
        <v>5036</v>
      </c>
      <c r="B370" s="2" t="s">
        <v>148</v>
      </c>
      <c r="C370" s="289">
        <v>2632</v>
      </c>
      <c r="D370" s="289">
        <v>45</v>
      </c>
      <c r="E370" s="289">
        <v>114</v>
      </c>
      <c r="F370" s="289">
        <v>308</v>
      </c>
      <c r="G370" s="289">
        <v>267</v>
      </c>
      <c r="H370" s="289">
        <v>1373</v>
      </c>
      <c r="I370" s="289">
        <v>368</v>
      </c>
      <c r="J370" s="289">
        <v>117</v>
      </c>
      <c r="K370" s="289">
        <v>33</v>
      </c>
      <c r="L370" s="289">
        <v>20</v>
      </c>
      <c r="M370" s="289">
        <v>219</v>
      </c>
      <c r="N370" s="290">
        <v>10</v>
      </c>
      <c r="O370" s="290">
        <v>31</v>
      </c>
      <c r="P370" s="624">
        <v>10757.177666670001</v>
      </c>
      <c r="Q370" s="624">
        <v>6435.3226666700002</v>
      </c>
      <c r="R370" s="624">
        <v>15</v>
      </c>
      <c r="S370" s="289"/>
      <c r="T370" s="289">
        <v>161</v>
      </c>
      <c r="U370" s="716">
        <v>2.3046756111408523E-3</v>
      </c>
      <c r="V370" s="289">
        <v>1012.65640147</v>
      </c>
      <c r="W370" s="743">
        <v>0.76287015000000002</v>
      </c>
      <c r="X370" s="289">
        <v>550</v>
      </c>
      <c r="Y370" s="289">
        <v>265.22399999999999</v>
      </c>
      <c r="Z370" s="289">
        <v>57477</v>
      </c>
      <c r="AA370" s="289">
        <v>0</v>
      </c>
      <c r="AB370" s="290">
        <v>63</v>
      </c>
      <c r="AC370" s="289">
        <v>0</v>
      </c>
      <c r="AD370" s="289">
        <v>0</v>
      </c>
      <c r="AE370" s="289">
        <v>0</v>
      </c>
      <c r="AF370" s="289">
        <v>0</v>
      </c>
      <c r="AG370" s="289">
        <v>2625</v>
      </c>
      <c r="AH370" s="289">
        <v>436.47909829000002</v>
      </c>
      <c r="AI370" s="289">
        <v>290</v>
      </c>
      <c r="AJ370" s="289">
        <v>0</v>
      </c>
      <c r="AK370" s="289">
        <v>0</v>
      </c>
      <c r="AL370" s="289">
        <v>0</v>
      </c>
      <c r="AM370" s="836">
        <v>4.3934529999999999E-2</v>
      </c>
      <c r="AN370" s="289">
        <v>0</v>
      </c>
      <c r="AO370" s="289">
        <v>114.85748986999999</v>
      </c>
      <c r="AP370" s="289">
        <v>0</v>
      </c>
      <c r="AQ370" s="289">
        <v>0</v>
      </c>
      <c r="AR370" s="289">
        <v>-139.72271359999999</v>
      </c>
      <c r="AS370" s="289"/>
      <c r="AT370" s="289">
        <v>98</v>
      </c>
      <c r="AU370" s="289">
        <v>26</v>
      </c>
      <c r="AV370" s="625">
        <v>88124</v>
      </c>
      <c r="AW370" s="289"/>
      <c r="AX370" s="625">
        <v>17.95166665</v>
      </c>
      <c r="AY370" s="289">
        <v>401</v>
      </c>
      <c r="AZ370" s="289">
        <v>118</v>
      </c>
      <c r="BA370" s="290">
        <v>49</v>
      </c>
      <c r="BB370" s="289">
        <v>4559</v>
      </c>
      <c r="BC370" s="289">
        <v>677.23807072</v>
      </c>
      <c r="BD370" s="289">
        <v>31.473225284929299</v>
      </c>
      <c r="BE370" s="289">
        <v>89576.533827189996</v>
      </c>
      <c r="BF370" s="289">
        <v>0</v>
      </c>
      <c r="BG370" s="289">
        <v>-103.5703</v>
      </c>
      <c r="BH370" s="289">
        <v>-7.4118000000000004</v>
      </c>
      <c r="BI370" s="289">
        <v>701.70309828999996</v>
      </c>
      <c r="BJ370" s="289">
        <v>0</v>
      </c>
      <c r="BK370" s="289">
        <v>0</v>
      </c>
      <c r="BL370" s="289">
        <v>0</v>
      </c>
      <c r="BM370" s="289">
        <v>0</v>
      </c>
      <c r="BN370" s="289">
        <v>224.84524434275437</v>
      </c>
      <c r="BO370" s="289">
        <v>130.13919460180628</v>
      </c>
      <c r="BP370" s="289">
        <v>237.67023033188843</v>
      </c>
      <c r="BQ370" s="289">
        <v>299.14689432608259</v>
      </c>
      <c r="BR370" s="289">
        <v>2.1331852693118747</v>
      </c>
      <c r="BS370" s="289">
        <v>0.79237929098593396</v>
      </c>
      <c r="BT370" s="289">
        <v>0</v>
      </c>
      <c r="BU370" s="289">
        <v>0</v>
      </c>
      <c r="BV370" s="289">
        <v>20.972548061381755</v>
      </c>
      <c r="BW370" s="517"/>
      <c r="BX370" s="517"/>
      <c r="CA370" s="517"/>
      <c r="CB370" s="517"/>
    </row>
    <row r="371" spans="1:80" ht="13">
      <c r="A371" s="1">
        <v>5037</v>
      </c>
      <c r="B371" s="2" t="s">
        <v>150</v>
      </c>
      <c r="C371" s="289">
        <v>20254</v>
      </c>
      <c r="D371" s="289">
        <v>483</v>
      </c>
      <c r="E371" s="289">
        <v>957</v>
      </c>
      <c r="F371" s="289">
        <v>2545</v>
      </c>
      <c r="G371" s="289">
        <v>1889</v>
      </c>
      <c r="H371" s="289">
        <v>11115</v>
      </c>
      <c r="I371" s="289">
        <v>2271</v>
      </c>
      <c r="J371" s="289">
        <v>746</v>
      </c>
      <c r="K371" s="289">
        <v>158</v>
      </c>
      <c r="L371" s="289">
        <v>150</v>
      </c>
      <c r="M371" s="289">
        <v>1285</v>
      </c>
      <c r="N371" s="290">
        <v>320</v>
      </c>
      <c r="O371" s="290">
        <v>153</v>
      </c>
      <c r="P371" s="624">
        <v>90360.867333329996</v>
      </c>
      <c r="Q371" s="624">
        <v>37977.156000000003</v>
      </c>
      <c r="R371" s="624">
        <v>90</v>
      </c>
      <c r="S371" s="289"/>
      <c r="T371" s="289">
        <v>1343</v>
      </c>
      <c r="U371" s="716">
        <v>9.2159368338484773E-3</v>
      </c>
      <c r="V371" s="289">
        <v>-4638.85924995</v>
      </c>
      <c r="W371" s="743">
        <v>0.59980933000000003</v>
      </c>
      <c r="X371" s="289">
        <v>650</v>
      </c>
      <c r="Y371" s="289">
        <v>414.28399999999999</v>
      </c>
      <c r="Z371" s="289">
        <v>515645</v>
      </c>
      <c r="AA371" s="289">
        <v>0</v>
      </c>
      <c r="AB371" s="290">
        <v>386</v>
      </c>
      <c r="AC371" s="289">
        <v>0</v>
      </c>
      <c r="AD371" s="289">
        <v>0</v>
      </c>
      <c r="AE371" s="289">
        <v>0</v>
      </c>
      <c r="AF371" s="289">
        <v>0</v>
      </c>
      <c r="AG371" s="289">
        <v>20164</v>
      </c>
      <c r="AH371" s="289">
        <v>3511.3558131</v>
      </c>
      <c r="AI371" s="289">
        <v>2700</v>
      </c>
      <c r="AJ371" s="289">
        <v>0</v>
      </c>
      <c r="AK371" s="289">
        <v>0</v>
      </c>
      <c r="AL371" s="289">
        <v>0</v>
      </c>
      <c r="AM371" s="836">
        <v>0.27783400000000003</v>
      </c>
      <c r="AN371" s="289">
        <v>0</v>
      </c>
      <c r="AO371" s="289">
        <v>788.75107846000003</v>
      </c>
      <c r="AP371" s="289">
        <v>0</v>
      </c>
      <c r="AQ371" s="289">
        <v>0</v>
      </c>
      <c r="AR371" s="289">
        <v>-1073.2833512300001</v>
      </c>
      <c r="AS371" s="289"/>
      <c r="AT371" s="289">
        <v>879</v>
      </c>
      <c r="AU371" s="289">
        <v>203</v>
      </c>
      <c r="AV371" s="625">
        <v>481031</v>
      </c>
      <c r="AW371" s="289"/>
      <c r="AX371" s="625">
        <v>185.9266667</v>
      </c>
      <c r="AY371" s="289">
        <v>5384</v>
      </c>
      <c r="AZ371" s="289">
        <v>630</v>
      </c>
      <c r="BA371" s="290">
        <v>481</v>
      </c>
      <c r="BB371" s="289">
        <v>0</v>
      </c>
      <c r="BC371" s="289">
        <v>3753.5773940200002</v>
      </c>
      <c r="BD371" s="289">
        <v>257.89779429672694</v>
      </c>
      <c r="BE371" s="289">
        <v>509273.39190260001</v>
      </c>
      <c r="BF371" s="289">
        <v>0</v>
      </c>
      <c r="BG371" s="289">
        <v>-785.48910000000001</v>
      </c>
      <c r="BH371" s="289">
        <v>-56.933599999999998</v>
      </c>
      <c r="BI371" s="289">
        <v>3925.6398131000001</v>
      </c>
      <c r="BJ371" s="289">
        <v>0</v>
      </c>
      <c r="BK371" s="289">
        <v>0</v>
      </c>
      <c r="BL371" s="289">
        <v>0</v>
      </c>
      <c r="BM371" s="289">
        <v>0</v>
      </c>
      <c r="BN371" s="289">
        <v>1359.5166849847792</v>
      </c>
      <c r="BO371" s="289">
        <v>776.67235027783966</v>
      </c>
      <c r="BP371" s="289">
        <v>1825.6695331094088</v>
      </c>
      <c r="BQ371" s="289">
        <v>1196.2286010335322</v>
      </c>
      <c r="BR371" s="289">
        <v>17.479739391222601</v>
      </c>
      <c r="BS371" s="289">
        <v>4.3429680542576303</v>
      </c>
      <c r="BT371" s="289">
        <v>0</v>
      </c>
      <c r="BU371" s="289">
        <v>0</v>
      </c>
      <c r="BV371" s="289">
        <v>83.865025188021121</v>
      </c>
      <c r="BW371" s="517"/>
      <c r="BX371" s="517"/>
      <c r="CA371" s="517"/>
      <c r="CB371" s="517"/>
    </row>
    <row r="372" spans="1:80" ht="13">
      <c r="A372" s="1">
        <v>5038</v>
      </c>
      <c r="B372" s="2" t="s">
        <v>151</v>
      </c>
      <c r="C372" s="289">
        <v>14933</v>
      </c>
      <c r="D372" s="289">
        <v>292</v>
      </c>
      <c r="E372" s="289">
        <v>638</v>
      </c>
      <c r="F372" s="289">
        <v>1879</v>
      </c>
      <c r="G372" s="289">
        <v>1422</v>
      </c>
      <c r="H372" s="289">
        <v>8208</v>
      </c>
      <c r="I372" s="289">
        <v>1922</v>
      </c>
      <c r="J372" s="289">
        <v>492</v>
      </c>
      <c r="K372" s="289">
        <v>130</v>
      </c>
      <c r="L372" s="289">
        <v>119</v>
      </c>
      <c r="M372" s="289">
        <v>1070</v>
      </c>
      <c r="N372" s="290">
        <v>192</v>
      </c>
      <c r="O372" s="290">
        <v>95</v>
      </c>
      <c r="P372" s="624">
        <v>62845.502999999997</v>
      </c>
      <c r="Q372" s="624">
        <v>32557.143333330001</v>
      </c>
      <c r="R372" s="624">
        <v>75</v>
      </c>
      <c r="S372" s="289"/>
      <c r="T372" s="289">
        <v>1095</v>
      </c>
      <c r="U372" s="716">
        <v>6.8740039187862555E-3</v>
      </c>
      <c r="V372" s="289">
        <v>4896.4834283399996</v>
      </c>
      <c r="W372" s="743">
        <v>0.58908906999999999</v>
      </c>
      <c r="X372" s="289">
        <v>500</v>
      </c>
      <c r="Y372" s="289">
        <v>414.28399999999999</v>
      </c>
      <c r="Z372" s="289">
        <v>344409</v>
      </c>
      <c r="AA372" s="289">
        <v>0</v>
      </c>
      <c r="AB372" s="290">
        <v>400</v>
      </c>
      <c r="AC372" s="289">
        <v>0</v>
      </c>
      <c r="AD372" s="289">
        <v>0</v>
      </c>
      <c r="AE372" s="289">
        <v>0</v>
      </c>
      <c r="AF372" s="289">
        <v>0</v>
      </c>
      <c r="AG372" s="289">
        <v>14983</v>
      </c>
      <c r="AH372" s="289">
        <v>2494.7639196300001</v>
      </c>
      <c r="AI372" s="289">
        <v>2050</v>
      </c>
      <c r="AJ372" s="289">
        <v>0</v>
      </c>
      <c r="AK372" s="289">
        <v>0</v>
      </c>
      <c r="AL372" s="289">
        <v>0</v>
      </c>
      <c r="AM372" s="836">
        <v>0.29695578</v>
      </c>
      <c r="AN372" s="289">
        <v>7173</v>
      </c>
      <c r="AO372" s="289">
        <v>585.73654078000004</v>
      </c>
      <c r="AP372" s="289">
        <v>0</v>
      </c>
      <c r="AQ372" s="289">
        <v>0</v>
      </c>
      <c r="AR372" s="289">
        <v>-797.51063537000005</v>
      </c>
      <c r="AS372" s="289"/>
      <c r="AT372" s="289">
        <v>671</v>
      </c>
      <c r="AU372" s="289">
        <v>180</v>
      </c>
      <c r="AV372" s="625">
        <v>373473</v>
      </c>
      <c r="AW372" s="289"/>
      <c r="AX372" s="625">
        <v>103.4266667</v>
      </c>
      <c r="AY372" s="289">
        <v>2643</v>
      </c>
      <c r="AZ372" s="289">
        <v>549</v>
      </c>
      <c r="BA372" s="290">
        <v>409</v>
      </c>
      <c r="BB372" s="289">
        <v>0</v>
      </c>
      <c r="BC372" s="289">
        <v>2875.7215859200001</v>
      </c>
      <c r="BD372" s="289">
        <v>212.50086420540697</v>
      </c>
      <c r="BE372" s="289">
        <v>393471.31044982001</v>
      </c>
      <c r="BF372" s="289">
        <v>0</v>
      </c>
      <c r="BG372" s="289">
        <v>-580.45209999999997</v>
      </c>
      <c r="BH372" s="289">
        <v>-42.304900000000004</v>
      </c>
      <c r="BI372" s="289">
        <v>2909.0479196299998</v>
      </c>
      <c r="BJ372" s="289">
        <v>0</v>
      </c>
      <c r="BK372" s="289">
        <v>0</v>
      </c>
      <c r="BL372" s="289">
        <v>0</v>
      </c>
      <c r="BM372" s="289">
        <v>0</v>
      </c>
      <c r="BN372" s="289">
        <v>1056.306167334496</v>
      </c>
      <c r="BO372" s="289">
        <v>589.70740624481164</v>
      </c>
      <c r="BP372" s="289">
        <v>1356.5764042143558</v>
      </c>
      <c r="BQ372" s="289">
        <v>892.24570865845578</v>
      </c>
      <c r="BR372" s="289">
        <v>14.402836351699804</v>
      </c>
      <c r="BS372" s="289">
        <v>3.2670879542274696</v>
      </c>
      <c r="BT372" s="289">
        <v>0</v>
      </c>
      <c r="BU372" s="289">
        <v>0</v>
      </c>
      <c r="BV372" s="289">
        <v>62.553435660954911</v>
      </c>
      <c r="BW372" s="517"/>
      <c r="BX372" s="517"/>
      <c r="CA372" s="517"/>
      <c r="CB372" s="517"/>
    </row>
    <row r="373" spans="1:80" ht="13">
      <c r="A373" s="1">
        <v>5039</v>
      </c>
      <c r="B373" s="2" t="s">
        <v>153</v>
      </c>
      <c r="C373" s="289">
        <v>2449</v>
      </c>
      <c r="D373" s="289">
        <v>40</v>
      </c>
      <c r="E373" s="289">
        <v>102</v>
      </c>
      <c r="F373" s="289">
        <v>265</v>
      </c>
      <c r="G373" s="289">
        <v>188</v>
      </c>
      <c r="H373" s="289">
        <v>1325</v>
      </c>
      <c r="I373" s="289">
        <v>329</v>
      </c>
      <c r="J373" s="289">
        <v>158</v>
      </c>
      <c r="K373" s="289">
        <v>44</v>
      </c>
      <c r="L373" s="289">
        <v>19</v>
      </c>
      <c r="M373" s="289">
        <v>244</v>
      </c>
      <c r="N373" s="290">
        <v>12</v>
      </c>
      <c r="O373" s="290">
        <v>33</v>
      </c>
      <c r="P373" s="624">
        <v>17503.366333329999</v>
      </c>
      <c r="Q373" s="624">
        <v>6383.00466667</v>
      </c>
      <c r="R373" s="624">
        <v>7</v>
      </c>
      <c r="S373" s="289"/>
      <c r="T373" s="289">
        <v>201</v>
      </c>
      <c r="U373" s="716">
        <v>1.3152678882160096E-3</v>
      </c>
      <c r="V373" s="289">
        <v>880.57705905</v>
      </c>
      <c r="W373" s="743">
        <v>0.83318417</v>
      </c>
      <c r="X373" s="289">
        <v>0</v>
      </c>
      <c r="Y373" s="289">
        <v>414.28399999999999</v>
      </c>
      <c r="Z373" s="289">
        <v>52911</v>
      </c>
      <c r="AA373" s="289">
        <v>0</v>
      </c>
      <c r="AB373" s="290">
        <v>70</v>
      </c>
      <c r="AC373" s="289">
        <v>0</v>
      </c>
      <c r="AD373" s="289">
        <v>706.06946400000004</v>
      </c>
      <c r="AE373" s="289">
        <v>0</v>
      </c>
      <c r="AF373" s="289">
        <v>0</v>
      </c>
      <c r="AG373" s="289">
        <v>2451</v>
      </c>
      <c r="AH373" s="289">
        <v>363.96499890000001</v>
      </c>
      <c r="AI373" s="289">
        <v>480</v>
      </c>
      <c r="AJ373" s="289">
        <v>0</v>
      </c>
      <c r="AK373" s="289">
        <v>92.489000000000004</v>
      </c>
      <c r="AL373" s="289">
        <v>0</v>
      </c>
      <c r="AM373" s="836">
        <v>9.1499150000000001E-2</v>
      </c>
      <c r="AN373" s="289">
        <v>0</v>
      </c>
      <c r="AO373" s="289">
        <v>111.37707003</v>
      </c>
      <c r="AP373" s="289">
        <v>0</v>
      </c>
      <c r="AQ373" s="289">
        <v>0</v>
      </c>
      <c r="AR373" s="289">
        <v>-130.46109372999999</v>
      </c>
      <c r="AS373" s="289"/>
      <c r="AT373" s="289">
        <v>116</v>
      </c>
      <c r="AU373" s="289">
        <v>36</v>
      </c>
      <c r="AV373" s="625">
        <v>87842</v>
      </c>
      <c r="AW373" s="289"/>
      <c r="AX373" s="625">
        <v>12.3666667</v>
      </c>
      <c r="AY373" s="289">
        <v>325</v>
      </c>
      <c r="AZ373" s="289">
        <v>134</v>
      </c>
      <c r="BA373" s="290">
        <v>51</v>
      </c>
      <c r="BB373" s="289">
        <v>5698</v>
      </c>
      <c r="BC373" s="289">
        <v>1450.0420606099999</v>
      </c>
      <c r="BD373" s="289">
        <v>37.962251922723766</v>
      </c>
      <c r="BE373" s="289">
        <v>91393.30736105</v>
      </c>
      <c r="BF373" s="289">
        <v>0</v>
      </c>
      <c r="BG373" s="289">
        <v>-93.302499999999995</v>
      </c>
      <c r="BH373" s="289">
        <v>-6.9204999999999997</v>
      </c>
      <c r="BI373" s="289">
        <v>1484.3184629</v>
      </c>
      <c r="BJ373" s="289">
        <v>0</v>
      </c>
      <c r="BK373" s="289">
        <v>0</v>
      </c>
      <c r="BL373" s="289">
        <v>0</v>
      </c>
      <c r="BM373" s="289">
        <v>480</v>
      </c>
      <c r="BN373" s="289">
        <v>230.10104820031532</v>
      </c>
      <c r="BO373" s="289">
        <v>129.37051406345952</v>
      </c>
      <c r="BP373" s="289">
        <v>221.91608934988898</v>
      </c>
      <c r="BQ373" s="289">
        <v>170.72177189043799</v>
      </c>
      <c r="BR373" s="289">
        <v>2.5729970747623887</v>
      </c>
      <c r="BS373" s="289">
        <v>0.78026473506616545</v>
      </c>
      <c r="BT373" s="289">
        <v>0</v>
      </c>
      <c r="BU373" s="289">
        <v>0</v>
      </c>
      <c r="BV373" s="289">
        <v>11.968937782765686</v>
      </c>
      <c r="BW373" s="517"/>
      <c r="BX373" s="517"/>
      <c r="CA373" s="517"/>
      <c r="CB373" s="517"/>
    </row>
    <row r="374" spans="1:80" ht="13">
      <c r="A374" s="1">
        <v>5040</v>
      </c>
      <c r="B374" s="2" t="s">
        <v>154</v>
      </c>
      <c r="C374" s="289">
        <v>1576</v>
      </c>
      <c r="D374" s="289">
        <v>24</v>
      </c>
      <c r="E374" s="289">
        <v>64</v>
      </c>
      <c r="F374" s="289">
        <v>181</v>
      </c>
      <c r="G374" s="289">
        <v>140</v>
      </c>
      <c r="H374" s="289">
        <v>825</v>
      </c>
      <c r="I374" s="289">
        <v>224</v>
      </c>
      <c r="J374" s="289">
        <v>101</v>
      </c>
      <c r="K374" s="289">
        <v>26</v>
      </c>
      <c r="L374" s="289">
        <v>13</v>
      </c>
      <c r="M374" s="289">
        <v>145</v>
      </c>
      <c r="N374" s="290">
        <v>1.5</v>
      </c>
      <c r="O374" s="290">
        <v>6</v>
      </c>
      <c r="P374" s="624">
        <v>17617.133999999998</v>
      </c>
      <c r="Q374" s="624">
        <v>7868.4356666699996</v>
      </c>
      <c r="R374" s="624">
        <v>17</v>
      </c>
      <c r="S374" s="289"/>
      <c r="T374" s="289">
        <v>134</v>
      </c>
      <c r="U374" s="716">
        <v>2.0001849820324249E-3</v>
      </c>
      <c r="V374" s="289">
        <v>495.51082534</v>
      </c>
      <c r="W374" s="743">
        <v>0.92499708000000003</v>
      </c>
      <c r="X374" s="289">
        <v>150</v>
      </c>
      <c r="Y374" s="289">
        <v>288.86799999999999</v>
      </c>
      <c r="Z374" s="289">
        <v>35949</v>
      </c>
      <c r="AA374" s="289">
        <v>0</v>
      </c>
      <c r="AB374" s="290">
        <v>45</v>
      </c>
      <c r="AC374" s="289">
        <v>0</v>
      </c>
      <c r="AD374" s="289">
        <v>0</v>
      </c>
      <c r="AE374" s="289">
        <v>0</v>
      </c>
      <c r="AF374" s="289">
        <v>0</v>
      </c>
      <c r="AG374" s="289">
        <v>1585</v>
      </c>
      <c r="AH374" s="289">
        <v>244.73508545999999</v>
      </c>
      <c r="AI374" s="289">
        <v>0</v>
      </c>
      <c r="AJ374" s="289">
        <v>478.06400000000002</v>
      </c>
      <c r="AK374" s="289">
        <v>0</v>
      </c>
      <c r="AL374" s="289">
        <v>2786</v>
      </c>
      <c r="AM374" s="836">
        <v>1.178238E-2</v>
      </c>
      <c r="AN374" s="289">
        <v>0</v>
      </c>
      <c r="AO374" s="289">
        <v>83.759685630000007</v>
      </c>
      <c r="AP374" s="289">
        <v>0</v>
      </c>
      <c r="AQ374" s="289">
        <v>0</v>
      </c>
      <c r="AR374" s="289">
        <v>-84.365905159999997</v>
      </c>
      <c r="AS374" s="289"/>
      <c r="AT374" s="289">
        <v>80</v>
      </c>
      <c r="AU374" s="289">
        <v>5</v>
      </c>
      <c r="AV374" s="625">
        <v>76778</v>
      </c>
      <c r="AW374" s="289"/>
      <c r="AX374" s="625">
        <v>7.3066667000000001</v>
      </c>
      <c r="AY374" s="289">
        <v>237</v>
      </c>
      <c r="AZ374" s="289">
        <v>74</v>
      </c>
      <c r="BA374" s="290">
        <v>32</v>
      </c>
      <c r="BB374" s="289">
        <v>5698</v>
      </c>
      <c r="BC374" s="289">
        <v>525.6669091</v>
      </c>
      <c r="BD374" s="289">
        <v>20.452158705514329</v>
      </c>
      <c r="BE374" s="289">
        <v>79523.224761949998</v>
      </c>
      <c r="BF374" s="289">
        <v>0</v>
      </c>
      <c r="BG374" s="289">
        <v>-67.708600000000004</v>
      </c>
      <c r="BH374" s="289">
        <v>-4.4752999999999998</v>
      </c>
      <c r="BI374" s="289">
        <v>533.60308545999999</v>
      </c>
      <c r="BJ374" s="289">
        <v>0</v>
      </c>
      <c r="BK374" s="289">
        <v>0</v>
      </c>
      <c r="BL374" s="289">
        <v>0</v>
      </c>
      <c r="BM374" s="289">
        <v>432</v>
      </c>
      <c r="BN374" s="289">
        <v>185.35656634447992</v>
      </c>
      <c r="BO374" s="289">
        <v>101.73101548216853</v>
      </c>
      <c r="BP374" s="289">
        <v>143.5075486003974</v>
      </c>
      <c r="BQ374" s="289">
        <v>259.6240106678087</v>
      </c>
      <c r="BR374" s="289">
        <v>1.3862018678181933</v>
      </c>
      <c r="BS374" s="289">
        <v>0.6335062449572062</v>
      </c>
      <c r="BT374" s="289">
        <v>0</v>
      </c>
      <c r="BU374" s="289">
        <v>0</v>
      </c>
      <c r="BV374" s="289">
        <v>18.201683336495062</v>
      </c>
      <c r="BW374" s="517"/>
      <c r="BX374" s="517"/>
      <c r="CA374" s="517"/>
      <c r="CB374" s="517"/>
    </row>
    <row r="375" spans="1:80" ht="13">
      <c r="A375" s="1">
        <v>5041</v>
      </c>
      <c r="B375" s="2" t="s">
        <v>156</v>
      </c>
      <c r="C375" s="289">
        <v>2100</v>
      </c>
      <c r="D375" s="289">
        <v>45</v>
      </c>
      <c r="E375" s="289">
        <v>76</v>
      </c>
      <c r="F375" s="289">
        <v>260</v>
      </c>
      <c r="G375" s="289">
        <v>193</v>
      </c>
      <c r="H375" s="289">
        <v>1080</v>
      </c>
      <c r="I375" s="289">
        <v>317</v>
      </c>
      <c r="J375" s="289">
        <v>112</v>
      </c>
      <c r="K375" s="289">
        <v>22</v>
      </c>
      <c r="L375" s="289">
        <v>18</v>
      </c>
      <c r="M375" s="289">
        <v>180</v>
      </c>
      <c r="N375" s="290">
        <v>1.5</v>
      </c>
      <c r="O375" s="290">
        <v>22</v>
      </c>
      <c r="P375" s="624">
        <v>12080.73733333</v>
      </c>
      <c r="Q375" s="624">
        <v>6752.5726666700002</v>
      </c>
      <c r="R375" s="624">
        <v>16</v>
      </c>
      <c r="S375" s="289"/>
      <c r="T375" s="289">
        <v>142</v>
      </c>
      <c r="U375" s="716">
        <v>2.9537629200978551E-3</v>
      </c>
      <c r="V375" s="289">
        <v>-5060.7323114399996</v>
      </c>
      <c r="W375" s="743">
        <v>0.99719833000000002</v>
      </c>
      <c r="X375" s="289">
        <v>100</v>
      </c>
      <c r="Y375" s="289">
        <v>414.28399999999999</v>
      </c>
      <c r="Z375" s="289">
        <v>45037</v>
      </c>
      <c r="AA375" s="289">
        <v>0</v>
      </c>
      <c r="AB375" s="290">
        <v>47</v>
      </c>
      <c r="AC375" s="289">
        <v>0</v>
      </c>
      <c r="AD375" s="289">
        <v>0</v>
      </c>
      <c r="AE375" s="289">
        <v>0</v>
      </c>
      <c r="AF375" s="289">
        <v>0</v>
      </c>
      <c r="AG375" s="289">
        <v>2105</v>
      </c>
      <c r="AH375" s="289">
        <v>346.533725</v>
      </c>
      <c r="AI375" s="289">
        <v>540</v>
      </c>
      <c r="AJ375" s="289">
        <v>0</v>
      </c>
      <c r="AK375" s="289">
        <v>0</v>
      </c>
      <c r="AL375" s="289">
        <v>3681</v>
      </c>
      <c r="AM375" s="836">
        <v>1.264357E-2</v>
      </c>
      <c r="AN375" s="289">
        <v>0</v>
      </c>
      <c r="AO375" s="289">
        <v>100.90992221</v>
      </c>
      <c r="AP375" s="289">
        <v>0</v>
      </c>
      <c r="AQ375" s="289">
        <v>0</v>
      </c>
      <c r="AR375" s="289">
        <v>-112.04430938</v>
      </c>
      <c r="AS375" s="289"/>
      <c r="AT375" s="289">
        <v>84</v>
      </c>
      <c r="AU375" s="289">
        <v>10</v>
      </c>
      <c r="AV375" s="625">
        <v>81016</v>
      </c>
      <c r="AW375" s="289"/>
      <c r="AX375" s="625">
        <v>20.655000000000001</v>
      </c>
      <c r="AY375" s="289">
        <v>443</v>
      </c>
      <c r="AZ375" s="289">
        <v>66</v>
      </c>
      <c r="BA375" s="290">
        <v>37</v>
      </c>
      <c r="BB375" s="289">
        <v>5698</v>
      </c>
      <c r="BC375" s="289">
        <v>741.68243434999999</v>
      </c>
      <c r="BD375" s="289">
        <v>23.139726373721949</v>
      </c>
      <c r="BE375" s="289">
        <v>83432.712432250002</v>
      </c>
      <c r="BF375" s="289">
        <v>0</v>
      </c>
      <c r="BG375" s="289">
        <v>-91.361099999999993</v>
      </c>
      <c r="BH375" s="289">
        <v>-5.9435000000000002</v>
      </c>
      <c r="BI375" s="289">
        <v>760.817725</v>
      </c>
      <c r="BJ375" s="289">
        <v>0</v>
      </c>
      <c r="BK375" s="289">
        <v>0</v>
      </c>
      <c r="BL375" s="289">
        <v>0</v>
      </c>
      <c r="BM375" s="289">
        <v>0</v>
      </c>
      <c r="BN375" s="289">
        <v>204.45788291276995</v>
      </c>
      <c r="BO375" s="289">
        <v>121.12643835504105</v>
      </c>
      <c r="BP375" s="289">
        <v>190.58888946614292</v>
      </c>
      <c r="BQ375" s="289">
        <v>383.39842702870146</v>
      </c>
      <c r="BR375" s="289">
        <v>1.5683592319967092</v>
      </c>
      <c r="BS375" s="289">
        <v>0.76362597782339192</v>
      </c>
      <c r="BT375" s="289">
        <v>0</v>
      </c>
      <c r="BU375" s="289">
        <v>0</v>
      </c>
      <c r="BV375" s="289">
        <v>26.879242572890472</v>
      </c>
      <c r="BW375" s="517"/>
      <c r="BX375" s="517"/>
      <c r="CA375" s="517"/>
      <c r="CB375" s="517"/>
    </row>
    <row r="376" spans="1:80" ht="13">
      <c r="A376" s="1">
        <v>5042</v>
      </c>
      <c r="B376" s="2" t="s">
        <v>157</v>
      </c>
      <c r="C376" s="289">
        <v>1386</v>
      </c>
      <c r="D376" s="289">
        <v>19</v>
      </c>
      <c r="E376" s="289">
        <v>52</v>
      </c>
      <c r="F376" s="289">
        <v>161</v>
      </c>
      <c r="G376" s="289">
        <v>137</v>
      </c>
      <c r="H376" s="289">
        <v>714</v>
      </c>
      <c r="I376" s="289">
        <v>219</v>
      </c>
      <c r="J376" s="289">
        <v>72</v>
      </c>
      <c r="K376" s="289">
        <v>15</v>
      </c>
      <c r="L376" s="289">
        <v>12</v>
      </c>
      <c r="M376" s="289">
        <v>166</v>
      </c>
      <c r="N376" s="290">
        <v>1.5</v>
      </c>
      <c r="O376" s="290">
        <v>14</v>
      </c>
      <c r="P376" s="624">
        <v>31114.54733333</v>
      </c>
      <c r="Q376" s="624">
        <v>12753.315000000001</v>
      </c>
      <c r="R376" s="624">
        <v>16</v>
      </c>
      <c r="S376" s="289"/>
      <c r="T376" s="289">
        <v>91</v>
      </c>
      <c r="U376" s="716">
        <v>1.8533199887809401E-3</v>
      </c>
      <c r="V376" s="289">
        <v>805.19815172000006</v>
      </c>
      <c r="W376" s="743">
        <v>1</v>
      </c>
      <c r="X376" s="289">
        <v>350</v>
      </c>
      <c r="Y376" s="289">
        <v>414.28399999999999</v>
      </c>
      <c r="Z376" s="289">
        <v>33722</v>
      </c>
      <c r="AA376" s="289">
        <v>0</v>
      </c>
      <c r="AB376" s="290">
        <v>16</v>
      </c>
      <c r="AC376" s="289">
        <v>0</v>
      </c>
      <c r="AD376" s="289">
        <v>0</v>
      </c>
      <c r="AE376" s="289">
        <v>0</v>
      </c>
      <c r="AF376" s="289">
        <v>0</v>
      </c>
      <c r="AG376" s="289">
        <v>1389</v>
      </c>
      <c r="AH376" s="289">
        <v>231.48731731000001</v>
      </c>
      <c r="AI376" s="289">
        <v>940</v>
      </c>
      <c r="AJ376" s="289">
        <v>0</v>
      </c>
      <c r="AK376" s="289">
        <v>0</v>
      </c>
      <c r="AL376" s="289">
        <v>2424</v>
      </c>
      <c r="AM376" s="836">
        <v>4.8358200000000002E-3</v>
      </c>
      <c r="AN376" s="289">
        <v>0</v>
      </c>
      <c r="AO376" s="289">
        <v>76.822317380000001</v>
      </c>
      <c r="AP376" s="289">
        <v>0</v>
      </c>
      <c r="AQ376" s="289">
        <v>0</v>
      </c>
      <c r="AR376" s="289">
        <v>737.26253860999998</v>
      </c>
      <c r="AS376" s="289"/>
      <c r="AT376" s="289">
        <v>38</v>
      </c>
      <c r="AU376" s="289">
        <v>11</v>
      </c>
      <c r="AV376" s="625">
        <v>75652</v>
      </c>
      <c r="AW376" s="289"/>
      <c r="AX376" s="625">
        <v>7.8</v>
      </c>
      <c r="AY376" s="289">
        <v>220</v>
      </c>
      <c r="AZ376" s="289">
        <v>22</v>
      </c>
      <c r="BA376" s="290">
        <v>17</v>
      </c>
      <c r="BB376" s="289">
        <v>5698</v>
      </c>
      <c r="BC376" s="289">
        <v>621.61441415000002</v>
      </c>
      <c r="BD376" s="289">
        <v>13.401766138615212</v>
      </c>
      <c r="BE376" s="289">
        <v>75385.574959000005</v>
      </c>
      <c r="BF376" s="289">
        <v>0</v>
      </c>
      <c r="BG376" s="289">
        <v>-67.955200000000005</v>
      </c>
      <c r="BH376" s="289">
        <v>-3.9218999999999999</v>
      </c>
      <c r="BI376" s="289">
        <v>645.77131730999997</v>
      </c>
      <c r="BJ376" s="289">
        <v>0</v>
      </c>
      <c r="BK376" s="289">
        <v>0</v>
      </c>
      <c r="BL376" s="289">
        <v>0</v>
      </c>
      <c r="BM376" s="289">
        <v>0</v>
      </c>
      <c r="BN376" s="289">
        <v>167.7681649130065</v>
      </c>
      <c r="BO376" s="289">
        <v>103.63817234628657</v>
      </c>
      <c r="BP376" s="289">
        <v>125.76150473561638</v>
      </c>
      <c r="BQ376" s="289">
        <v>240.560934543766</v>
      </c>
      <c r="BR376" s="289">
        <v>0.90834192717280871</v>
      </c>
      <c r="BS376" s="289">
        <v>0.61790812628111147</v>
      </c>
      <c r="BT376" s="289">
        <v>0</v>
      </c>
      <c r="BU376" s="289">
        <v>0</v>
      </c>
      <c r="BV376" s="289">
        <v>16.865211897906548</v>
      </c>
      <c r="BW376" s="517"/>
      <c r="BX376" s="517"/>
      <c r="CA376" s="517"/>
      <c r="CB376" s="517"/>
    </row>
    <row r="377" spans="1:80" ht="13">
      <c r="A377" s="1">
        <v>5043</v>
      </c>
      <c r="B377" s="2" t="s">
        <v>164</v>
      </c>
      <c r="C377" s="289">
        <v>482</v>
      </c>
      <c r="D377" s="289">
        <v>8</v>
      </c>
      <c r="E377" s="289">
        <v>21</v>
      </c>
      <c r="F377" s="289">
        <v>58</v>
      </c>
      <c r="G377" s="289">
        <v>26</v>
      </c>
      <c r="H377" s="289">
        <v>244</v>
      </c>
      <c r="I377" s="289">
        <v>85</v>
      </c>
      <c r="J377" s="289">
        <v>20</v>
      </c>
      <c r="K377" s="289">
        <v>13</v>
      </c>
      <c r="L377" s="289">
        <v>4</v>
      </c>
      <c r="M377" s="289">
        <v>57</v>
      </c>
      <c r="N377" s="290">
        <v>0</v>
      </c>
      <c r="O377" s="290">
        <v>9</v>
      </c>
      <c r="P377" s="624">
        <v>3491.04266667</v>
      </c>
      <c r="Q377" s="624">
        <v>4311.9423333300001</v>
      </c>
      <c r="R377" s="624">
        <v>0</v>
      </c>
      <c r="S377" s="289"/>
      <c r="T377" s="289">
        <v>21</v>
      </c>
      <c r="U377" s="716">
        <v>7.2292688984033633E-4</v>
      </c>
      <c r="V377" s="289">
        <v>342.60324515000002</v>
      </c>
      <c r="W377" s="743">
        <v>1</v>
      </c>
      <c r="X377" s="289">
        <v>150</v>
      </c>
      <c r="Y377" s="289">
        <v>0</v>
      </c>
      <c r="Z377" s="289">
        <v>11848</v>
      </c>
      <c r="AA377" s="289">
        <v>0</v>
      </c>
      <c r="AB377" s="290">
        <v>2</v>
      </c>
      <c r="AC377" s="289">
        <v>0</v>
      </c>
      <c r="AD377" s="289">
        <v>0</v>
      </c>
      <c r="AE377" s="289">
        <v>0</v>
      </c>
      <c r="AF377" s="289">
        <v>0</v>
      </c>
      <c r="AG377" s="289">
        <v>475</v>
      </c>
      <c r="AH377" s="289">
        <v>100</v>
      </c>
      <c r="AI377" s="289">
        <v>1170</v>
      </c>
      <c r="AJ377" s="289">
        <v>0</v>
      </c>
      <c r="AK377" s="289">
        <v>2.5329999999999999</v>
      </c>
      <c r="AL377" s="289">
        <v>833</v>
      </c>
      <c r="AM377" s="836">
        <v>2.0830000000000002E-3</v>
      </c>
      <c r="AN377" s="289">
        <v>0</v>
      </c>
      <c r="AO377" s="289">
        <v>32.687078550000003</v>
      </c>
      <c r="AP377" s="289">
        <v>0</v>
      </c>
      <c r="AQ377" s="289">
        <v>0</v>
      </c>
      <c r="AR377" s="289">
        <v>-25.2831577</v>
      </c>
      <c r="AS377" s="289"/>
      <c r="AT377" s="289">
        <v>12</v>
      </c>
      <c r="AU377" s="289">
        <v>3</v>
      </c>
      <c r="AV377" s="625">
        <v>35502</v>
      </c>
      <c r="AW377" s="289"/>
      <c r="AX377" s="625">
        <v>5.9733333000000002</v>
      </c>
      <c r="AY377" s="289">
        <v>78</v>
      </c>
      <c r="AZ377" s="289">
        <v>13</v>
      </c>
      <c r="BA377" s="290">
        <v>9</v>
      </c>
      <c r="BB377" s="289">
        <v>5698</v>
      </c>
      <c r="BC377" s="289">
        <v>113.27171717</v>
      </c>
      <c r="BD377" s="289">
        <v>3.4126154657372147</v>
      </c>
      <c r="BE377" s="289">
        <v>38176.292262169998</v>
      </c>
      <c r="BF377" s="289">
        <v>0</v>
      </c>
      <c r="BG377" s="289">
        <v>-29.363199999999999</v>
      </c>
      <c r="BH377" s="289">
        <v>-1.3411999999999999</v>
      </c>
      <c r="BI377" s="289">
        <v>100</v>
      </c>
      <c r="BJ377" s="289">
        <v>0</v>
      </c>
      <c r="BK377" s="289">
        <v>0</v>
      </c>
      <c r="BL377" s="289">
        <v>0</v>
      </c>
      <c r="BM377" s="289">
        <v>0</v>
      </c>
      <c r="BN377" s="289">
        <v>57.642513742553689</v>
      </c>
      <c r="BO377" s="289">
        <v>56.072091543504698</v>
      </c>
      <c r="BP377" s="289">
        <v>43.006994060056002</v>
      </c>
      <c r="BQ377" s="289">
        <v>93.835910301275661</v>
      </c>
      <c r="BR377" s="289">
        <v>0.23129949267774452</v>
      </c>
      <c r="BS377" s="289">
        <v>0.43097429487256189</v>
      </c>
      <c r="BT377" s="289">
        <v>0</v>
      </c>
      <c r="BU377" s="289">
        <v>0</v>
      </c>
      <c r="BV377" s="289">
        <v>6.5786346975470593</v>
      </c>
      <c r="BW377" s="517"/>
      <c r="BX377" s="517"/>
      <c r="CA377" s="517"/>
      <c r="CB377" s="517"/>
    </row>
    <row r="378" spans="1:80" ht="13">
      <c r="A378" s="1">
        <v>5044</v>
      </c>
      <c r="B378" s="2" t="s">
        <v>165</v>
      </c>
      <c r="C378" s="289">
        <v>871</v>
      </c>
      <c r="D378" s="289">
        <v>15</v>
      </c>
      <c r="E378" s="289">
        <v>25</v>
      </c>
      <c r="F378" s="289">
        <v>107</v>
      </c>
      <c r="G378" s="289">
        <v>86</v>
      </c>
      <c r="H378" s="289">
        <v>465</v>
      </c>
      <c r="I378" s="289">
        <v>136</v>
      </c>
      <c r="J378" s="289">
        <v>63</v>
      </c>
      <c r="K378" s="289">
        <v>11</v>
      </c>
      <c r="L378" s="289">
        <v>7</v>
      </c>
      <c r="M378" s="289">
        <v>90</v>
      </c>
      <c r="N378" s="290">
        <v>1.5</v>
      </c>
      <c r="O378" s="290">
        <v>22</v>
      </c>
      <c r="P378" s="624">
        <v>11952.41366667</v>
      </c>
      <c r="Q378" s="624">
        <v>9344.1689999999999</v>
      </c>
      <c r="R378" s="624">
        <v>8</v>
      </c>
      <c r="S378" s="289"/>
      <c r="T378" s="289">
        <v>74</v>
      </c>
      <c r="U378" s="716">
        <v>7.6567522531848094E-4</v>
      </c>
      <c r="V378" s="289">
        <v>554.44353775000002</v>
      </c>
      <c r="W378" s="743">
        <v>1</v>
      </c>
      <c r="X378" s="289">
        <v>150</v>
      </c>
      <c r="Y378" s="289">
        <v>606.52</v>
      </c>
      <c r="Z378" s="289">
        <v>29273</v>
      </c>
      <c r="AA378" s="289">
        <v>0</v>
      </c>
      <c r="AB378" s="290">
        <v>25</v>
      </c>
      <c r="AC378" s="289">
        <v>0</v>
      </c>
      <c r="AD378" s="289">
        <v>0</v>
      </c>
      <c r="AE378" s="289">
        <v>0</v>
      </c>
      <c r="AF378" s="289">
        <v>0</v>
      </c>
      <c r="AG378" s="289">
        <v>908</v>
      </c>
      <c r="AH378" s="289">
        <v>139.45019114999999</v>
      </c>
      <c r="AI378" s="289">
        <v>0</v>
      </c>
      <c r="AJ378" s="289">
        <v>0</v>
      </c>
      <c r="AK378" s="289">
        <v>19.937000000000001</v>
      </c>
      <c r="AL378" s="289">
        <v>1586</v>
      </c>
      <c r="AM378" s="836">
        <v>1.091809E-2</v>
      </c>
      <c r="AN378" s="289">
        <v>0</v>
      </c>
      <c r="AO378" s="289">
        <v>52.898329850000003</v>
      </c>
      <c r="AP378" s="289">
        <v>0</v>
      </c>
      <c r="AQ378" s="289">
        <v>0</v>
      </c>
      <c r="AR378" s="289">
        <v>-48.330751980000002</v>
      </c>
      <c r="AS378" s="289"/>
      <c r="AT378" s="289">
        <v>47</v>
      </c>
      <c r="AU378" s="289">
        <v>9</v>
      </c>
      <c r="AV378" s="625">
        <v>52236</v>
      </c>
      <c r="AW378" s="289"/>
      <c r="AX378" s="625">
        <v>4.6066666999999999</v>
      </c>
      <c r="AY378" s="289">
        <v>115</v>
      </c>
      <c r="AZ378" s="289">
        <v>21</v>
      </c>
      <c r="BA378" s="290">
        <v>13</v>
      </c>
      <c r="BB378" s="289">
        <v>5698</v>
      </c>
      <c r="BC378" s="289">
        <v>716.86432323999998</v>
      </c>
      <c r="BD378" s="289">
        <v>11.825797696345388</v>
      </c>
      <c r="BE378" s="289">
        <v>55146.437596639997</v>
      </c>
      <c r="BF378" s="289">
        <v>0</v>
      </c>
      <c r="BG378" s="289">
        <v>-48.416899999999998</v>
      </c>
      <c r="BH378" s="289">
        <v>-2.5638000000000001</v>
      </c>
      <c r="BI378" s="289">
        <v>745.97019115000001</v>
      </c>
      <c r="BJ378" s="289">
        <v>0</v>
      </c>
      <c r="BK378" s="289">
        <v>0</v>
      </c>
      <c r="BL378" s="289">
        <v>0</v>
      </c>
      <c r="BM378" s="289">
        <v>0</v>
      </c>
      <c r="BN378" s="289">
        <v>110.96550399876904</v>
      </c>
      <c r="BO378" s="289">
        <v>78.213504969534881</v>
      </c>
      <c r="BP378" s="289">
        <v>82.211264434801791</v>
      </c>
      <c r="BQ378" s="289">
        <v>99.384644246338794</v>
      </c>
      <c r="BR378" s="289">
        <v>0.801526288307854</v>
      </c>
      <c r="BS378" s="289">
        <v>0.51984021265522085</v>
      </c>
      <c r="BT378" s="289">
        <v>0</v>
      </c>
      <c r="BU378" s="289">
        <v>0</v>
      </c>
      <c r="BV378" s="289">
        <v>6.9676445503981741</v>
      </c>
      <c r="BW378" s="517"/>
      <c r="BX378" s="517"/>
      <c r="CA378" s="517"/>
      <c r="CB378" s="517"/>
    </row>
    <row r="379" spans="1:80" ht="13">
      <c r="A379" s="1">
        <v>5045</v>
      </c>
      <c r="B379" s="2" t="s">
        <v>166</v>
      </c>
      <c r="C379" s="289">
        <v>2374</v>
      </c>
      <c r="D379" s="289">
        <v>35</v>
      </c>
      <c r="E379" s="289">
        <v>111</v>
      </c>
      <c r="F379" s="289">
        <v>255</v>
      </c>
      <c r="G379" s="289">
        <v>217</v>
      </c>
      <c r="H379" s="289">
        <v>1264</v>
      </c>
      <c r="I379" s="289">
        <v>326</v>
      </c>
      <c r="J379" s="289">
        <v>146</v>
      </c>
      <c r="K379" s="289">
        <v>41</v>
      </c>
      <c r="L379" s="289">
        <v>14</v>
      </c>
      <c r="M379" s="289">
        <v>228</v>
      </c>
      <c r="N379" s="290">
        <v>58</v>
      </c>
      <c r="O379" s="290">
        <v>26</v>
      </c>
      <c r="P379" s="624">
        <v>15933.630999999999</v>
      </c>
      <c r="Q379" s="624">
        <v>6365.9116666700002</v>
      </c>
      <c r="R379" s="624">
        <v>10</v>
      </c>
      <c r="S379" s="289"/>
      <c r="T379" s="289">
        <v>199</v>
      </c>
      <c r="U379" s="716">
        <v>1.4649836568355293E-3</v>
      </c>
      <c r="V379" s="289">
        <v>864.62870083999996</v>
      </c>
      <c r="W379" s="743">
        <v>0.85483871</v>
      </c>
      <c r="X379" s="289">
        <v>1950</v>
      </c>
      <c r="Y379" s="289">
        <v>414.28399999999999</v>
      </c>
      <c r="Z379" s="289">
        <v>64293</v>
      </c>
      <c r="AA379" s="289">
        <v>0</v>
      </c>
      <c r="AB379" s="290">
        <v>50</v>
      </c>
      <c r="AC379" s="289">
        <v>73.5</v>
      </c>
      <c r="AD379" s="289">
        <v>0</v>
      </c>
      <c r="AE379" s="289">
        <v>0</v>
      </c>
      <c r="AF379" s="289">
        <v>0</v>
      </c>
      <c r="AG379" s="289">
        <v>2395</v>
      </c>
      <c r="AH379" s="289">
        <v>361.87324603000002</v>
      </c>
      <c r="AI379" s="289">
        <v>1030</v>
      </c>
      <c r="AJ379" s="289">
        <v>0</v>
      </c>
      <c r="AK379" s="289">
        <v>0</v>
      </c>
      <c r="AL379" s="289">
        <v>4219</v>
      </c>
      <c r="AM379" s="836">
        <v>4.1368059999999998E-2</v>
      </c>
      <c r="AN379" s="289">
        <v>0</v>
      </c>
      <c r="AO379" s="289">
        <v>109.85546963</v>
      </c>
      <c r="AP379" s="289">
        <v>0</v>
      </c>
      <c r="AQ379" s="289">
        <v>0</v>
      </c>
      <c r="AR379" s="289">
        <v>-127.48034250000001</v>
      </c>
      <c r="AS379" s="289"/>
      <c r="AT379" s="289">
        <v>115</v>
      </c>
      <c r="AU379" s="289">
        <v>14</v>
      </c>
      <c r="AV379" s="625">
        <v>93101</v>
      </c>
      <c r="AW379" s="289"/>
      <c r="AX379" s="625">
        <v>10.328333300000001</v>
      </c>
      <c r="AY379" s="289">
        <v>449</v>
      </c>
      <c r="AZ379" s="289">
        <v>148</v>
      </c>
      <c r="BA379" s="290">
        <v>56</v>
      </c>
      <c r="BB379" s="289">
        <v>5698</v>
      </c>
      <c r="BC379" s="289">
        <v>793.78742424999996</v>
      </c>
      <c r="BD379" s="289">
        <v>35.698952659338488</v>
      </c>
      <c r="BE379" s="289">
        <v>95847.217916950001</v>
      </c>
      <c r="BF379" s="289">
        <v>0</v>
      </c>
      <c r="BG379" s="289">
        <v>-89.578199999999995</v>
      </c>
      <c r="BH379" s="289">
        <v>-6.7622999999999998</v>
      </c>
      <c r="BI379" s="289">
        <v>776.15724603000001</v>
      </c>
      <c r="BJ379" s="289">
        <v>0</v>
      </c>
      <c r="BK379" s="289">
        <v>0</v>
      </c>
      <c r="BL379" s="289">
        <v>0</v>
      </c>
      <c r="BM379" s="289">
        <v>0</v>
      </c>
      <c r="BN379" s="289">
        <v>222.04241993940454</v>
      </c>
      <c r="BO379" s="289">
        <v>127.85622638655246</v>
      </c>
      <c r="BP379" s="289">
        <v>216.84579110280868</v>
      </c>
      <c r="BQ379" s="289">
        <v>190.15487865725169</v>
      </c>
      <c r="BR379" s="289">
        <v>2.4195956802440532</v>
      </c>
      <c r="BS379" s="289">
        <v>0.77623875682066323</v>
      </c>
      <c r="BT379" s="289">
        <v>0</v>
      </c>
      <c r="BU379" s="289">
        <v>0</v>
      </c>
      <c r="BV379" s="289">
        <v>13.331351277203314</v>
      </c>
      <c r="BW379" s="517"/>
      <c r="BX379" s="517"/>
      <c r="CA379" s="517"/>
      <c r="CB379" s="517"/>
    </row>
    <row r="380" spans="1:80" ht="13">
      <c r="A380" s="1">
        <v>5046</v>
      </c>
      <c r="B380" s="2" t="s">
        <v>167</v>
      </c>
      <c r="C380" s="289">
        <v>1254</v>
      </c>
      <c r="D380" s="289">
        <v>14</v>
      </c>
      <c r="E380" s="289">
        <v>56</v>
      </c>
      <c r="F380" s="289">
        <v>185</v>
      </c>
      <c r="G380" s="289">
        <v>119</v>
      </c>
      <c r="H380" s="289">
        <v>608</v>
      </c>
      <c r="I380" s="289">
        <v>198</v>
      </c>
      <c r="J380" s="289">
        <v>75</v>
      </c>
      <c r="K380" s="289">
        <v>15</v>
      </c>
      <c r="L380" s="289">
        <v>8</v>
      </c>
      <c r="M380" s="289">
        <v>104</v>
      </c>
      <c r="N380" s="290">
        <v>3</v>
      </c>
      <c r="O380" s="290">
        <v>4</v>
      </c>
      <c r="P380" s="624">
        <v>9043.1440000000002</v>
      </c>
      <c r="Q380" s="624">
        <v>6864.4170000000004</v>
      </c>
      <c r="R380" s="624">
        <v>18</v>
      </c>
      <c r="S380" s="289"/>
      <c r="T380" s="289">
        <v>70</v>
      </c>
      <c r="U380" s="716">
        <v>1.5643043795831478E-3</v>
      </c>
      <c r="V380" s="289">
        <v>760.03072019000001</v>
      </c>
      <c r="W380" s="743">
        <v>1</v>
      </c>
      <c r="X380" s="289">
        <v>150</v>
      </c>
      <c r="Y380" s="289">
        <v>414.28399999999999</v>
      </c>
      <c r="Z380" s="289">
        <v>27502</v>
      </c>
      <c r="AA380" s="289">
        <v>0</v>
      </c>
      <c r="AB380" s="290">
        <v>25</v>
      </c>
      <c r="AC380" s="289">
        <v>0</v>
      </c>
      <c r="AD380" s="289">
        <v>0</v>
      </c>
      <c r="AE380" s="289">
        <v>0</v>
      </c>
      <c r="AF380" s="289">
        <v>0</v>
      </c>
      <c r="AG380" s="289">
        <v>1270</v>
      </c>
      <c r="AH380" s="289">
        <v>231.48731731000001</v>
      </c>
      <c r="AI380" s="289">
        <v>1600</v>
      </c>
      <c r="AJ380" s="289">
        <v>0</v>
      </c>
      <c r="AK380" s="289">
        <v>0</v>
      </c>
      <c r="AL380" s="289">
        <v>2229</v>
      </c>
      <c r="AM380" s="836">
        <v>2.0897799999999998E-3</v>
      </c>
      <c r="AN380" s="289">
        <v>0</v>
      </c>
      <c r="AO380" s="289">
        <v>72.512984639999999</v>
      </c>
      <c r="AP380" s="289">
        <v>0</v>
      </c>
      <c r="AQ380" s="289">
        <v>0</v>
      </c>
      <c r="AR380" s="289">
        <v>-67.599179530000001</v>
      </c>
      <c r="AS380" s="289"/>
      <c r="AT380" s="289">
        <v>35</v>
      </c>
      <c r="AU380" s="289">
        <v>3</v>
      </c>
      <c r="AV380" s="625">
        <v>69737</v>
      </c>
      <c r="AW380" s="289"/>
      <c r="AX380" s="625">
        <v>2.7266667</v>
      </c>
      <c r="AY380" s="289">
        <v>256</v>
      </c>
      <c r="AZ380" s="289">
        <v>32</v>
      </c>
      <c r="BA380" s="290">
        <v>22</v>
      </c>
      <c r="BB380" s="289">
        <v>5130</v>
      </c>
      <c r="BC380" s="289">
        <v>629.54343434999998</v>
      </c>
      <c r="BD380" s="289">
        <v>12.075704499584353</v>
      </c>
      <c r="BE380" s="289">
        <v>71838.272480479995</v>
      </c>
      <c r="BF380" s="289">
        <v>0</v>
      </c>
      <c r="BG380" s="289">
        <v>-67.367900000000006</v>
      </c>
      <c r="BH380" s="289">
        <v>-3.5859000000000001</v>
      </c>
      <c r="BI380" s="289">
        <v>645.77131730999997</v>
      </c>
      <c r="BJ380" s="289">
        <v>0</v>
      </c>
      <c r="BK380" s="289">
        <v>0</v>
      </c>
      <c r="BL380" s="289">
        <v>0</v>
      </c>
      <c r="BM380" s="289">
        <v>0</v>
      </c>
      <c r="BN380" s="289">
        <v>152.19412056304773</v>
      </c>
      <c r="BO380" s="289">
        <v>90.253132899354199</v>
      </c>
      <c r="BP380" s="289">
        <v>114.98712096057078</v>
      </c>
      <c r="BQ380" s="289">
        <v>203.04670846989254</v>
      </c>
      <c r="BR380" s="289">
        <v>0.81846441608293952</v>
      </c>
      <c r="BS380" s="289">
        <v>0.59369610315307719</v>
      </c>
      <c r="BT380" s="289">
        <v>0</v>
      </c>
      <c r="BU380" s="289">
        <v>0</v>
      </c>
      <c r="BV380" s="289">
        <v>14.235169854206639</v>
      </c>
      <c r="BW380" s="517"/>
      <c r="BX380" s="517"/>
      <c r="CA380" s="517"/>
      <c r="CB380" s="517"/>
    </row>
    <row r="381" spans="1:80" ht="13">
      <c r="A381" s="1">
        <v>5047</v>
      </c>
      <c r="B381" s="2" t="s">
        <v>168</v>
      </c>
      <c r="C381" s="289">
        <v>3879</v>
      </c>
      <c r="D381" s="289">
        <v>88</v>
      </c>
      <c r="E381" s="289">
        <v>217</v>
      </c>
      <c r="F381" s="289">
        <v>519</v>
      </c>
      <c r="G381" s="289">
        <v>323</v>
      </c>
      <c r="H381" s="289">
        <v>2071</v>
      </c>
      <c r="I381" s="289">
        <v>433</v>
      </c>
      <c r="J381" s="289">
        <v>154</v>
      </c>
      <c r="K381" s="289">
        <v>41</v>
      </c>
      <c r="L381" s="289">
        <v>27</v>
      </c>
      <c r="M381" s="289">
        <v>253</v>
      </c>
      <c r="N381" s="290">
        <v>18</v>
      </c>
      <c r="O381" s="290">
        <v>40</v>
      </c>
      <c r="P381" s="624">
        <v>34878.369666669998</v>
      </c>
      <c r="Q381" s="624">
        <v>15189.087</v>
      </c>
      <c r="R381" s="624">
        <v>17</v>
      </c>
      <c r="S381" s="289"/>
      <c r="T381" s="289">
        <v>202</v>
      </c>
      <c r="U381" s="716">
        <v>2.7375966661863311E-3</v>
      </c>
      <c r="V381" s="289">
        <v>-1583.2341863500001</v>
      </c>
      <c r="W381" s="743">
        <v>0.72874430999999995</v>
      </c>
      <c r="X381" s="289">
        <v>200</v>
      </c>
      <c r="Y381" s="289">
        <v>828.56799999999998</v>
      </c>
      <c r="Z381" s="289">
        <v>93413</v>
      </c>
      <c r="AA381" s="289">
        <v>0</v>
      </c>
      <c r="AB381" s="290">
        <v>76</v>
      </c>
      <c r="AC381" s="289">
        <v>0</v>
      </c>
      <c r="AD381" s="289">
        <v>0</v>
      </c>
      <c r="AE381" s="289">
        <v>0</v>
      </c>
      <c r="AF381" s="289">
        <v>0</v>
      </c>
      <c r="AG381" s="289">
        <v>3846</v>
      </c>
      <c r="AH381" s="289">
        <v>707.01246911999999</v>
      </c>
      <c r="AI381" s="289">
        <v>2460</v>
      </c>
      <c r="AJ381" s="289">
        <v>0</v>
      </c>
      <c r="AK381" s="289">
        <v>0</v>
      </c>
      <c r="AL381" s="289">
        <v>6760</v>
      </c>
      <c r="AM381" s="836">
        <v>3.5575559999999999E-2</v>
      </c>
      <c r="AN381" s="289">
        <v>0</v>
      </c>
      <c r="AO381" s="289">
        <v>168.18189971999999</v>
      </c>
      <c r="AP381" s="289">
        <v>0</v>
      </c>
      <c r="AQ381" s="289">
        <v>0</v>
      </c>
      <c r="AR381" s="289">
        <v>2154.6284176700001</v>
      </c>
      <c r="AS381" s="289"/>
      <c r="AT381" s="289">
        <v>157</v>
      </c>
      <c r="AU381" s="289">
        <v>25</v>
      </c>
      <c r="AV381" s="625">
        <v>127628</v>
      </c>
      <c r="AW381" s="289"/>
      <c r="AX381" s="625">
        <v>26.731666650000001</v>
      </c>
      <c r="AY381" s="289">
        <v>757</v>
      </c>
      <c r="AZ381" s="289">
        <v>134</v>
      </c>
      <c r="BA381" s="290">
        <v>89</v>
      </c>
      <c r="BB381" s="289">
        <v>0</v>
      </c>
      <c r="BC381" s="289">
        <v>1502.62106062</v>
      </c>
      <c r="BD381" s="289">
        <v>40.166197197655798</v>
      </c>
      <c r="BE381" s="289">
        <v>128021.50708322</v>
      </c>
      <c r="BF381" s="289">
        <v>0</v>
      </c>
      <c r="BG381" s="289">
        <v>-172.80199999999999</v>
      </c>
      <c r="BH381" s="289">
        <v>-10.859299999999999</v>
      </c>
      <c r="BI381" s="289">
        <v>1535.5804691200001</v>
      </c>
      <c r="BJ381" s="289">
        <v>0</v>
      </c>
      <c r="BK381" s="289">
        <v>0</v>
      </c>
      <c r="BL381" s="289">
        <v>0</v>
      </c>
      <c r="BM381" s="289">
        <v>0</v>
      </c>
      <c r="BN381" s="289">
        <v>287.36236094356559</v>
      </c>
      <c r="BO381" s="289">
        <v>180.95032814854608</v>
      </c>
      <c r="BP381" s="289">
        <v>348.22084032626395</v>
      </c>
      <c r="BQ381" s="289">
        <v>355.34004727098568</v>
      </c>
      <c r="BR381" s="289">
        <v>2.7223755878411153</v>
      </c>
      <c r="BS381" s="289">
        <v>1.0339334227543602</v>
      </c>
      <c r="BT381" s="289">
        <v>0</v>
      </c>
      <c r="BU381" s="289">
        <v>0</v>
      </c>
      <c r="BV381" s="289">
        <v>24.912129662295605</v>
      </c>
      <c r="BW381" s="517"/>
      <c r="BX381" s="517"/>
      <c r="CA381" s="517"/>
      <c r="CB381" s="517"/>
    </row>
    <row r="382" spans="1:80" ht="13">
      <c r="A382" s="1">
        <v>5048</v>
      </c>
      <c r="B382" s="2" t="s">
        <v>169</v>
      </c>
      <c r="C382" s="289">
        <v>605</v>
      </c>
      <c r="D382" s="289">
        <v>8</v>
      </c>
      <c r="E382" s="289">
        <v>22</v>
      </c>
      <c r="F382" s="289">
        <v>51</v>
      </c>
      <c r="G382" s="289">
        <v>47</v>
      </c>
      <c r="H382" s="289">
        <v>322</v>
      </c>
      <c r="I382" s="289">
        <v>114</v>
      </c>
      <c r="J382" s="289">
        <v>40</v>
      </c>
      <c r="K382" s="289">
        <v>9</v>
      </c>
      <c r="L382" s="289">
        <v>3</v>
      </c>
      <c r="M382" s="289">
        <v>65</v>
      </c>
      <c r="N382" s="290">
        <v>1.5</v>
      </c>
      <c r="O382" s="290">
        <v>4</v>
      </c>
      <c r="P382" s="624">
        <v>4668.9403333299997</v>
      </c>
      <c r="Q382" s="624">
        <v>4778.6086666700003</v>
      </c>
      <c r="R382" s="624">
        <v>2</v>
      </c>
      <c r="S382" s="289"/>
      <c r="T382" s="289">
        <v>39</v>
      </c>
      <c r="U382" s="716">
        <v>6.9955586969532133E-4</v>
      </c>
      <c r="V382" s="289">
        <v>372.93684922</v>
      </c>
      <c r="W382" s="743">
        <v>1</v>
      </c>
      <c r="X382" s="289">
        <v>550</v>
      </c>
      <c r="Y382" s="289">
        <v>0</v>
      </c>
      <c r="Z382" s="289">
        <v>12311</v>
      </c>
      <c r="AA382" s="289">
        <v>0</v>
      </c>
      <c r="AB382" s="290">
        <v>9</v>
      </c>
      <c r="AC382" s="289">
        <v>0</v>
      </c>
      <c r="AD382" s="289">
        <v>0</v>
      </c>
      <c r="AE382" s="289">
        <v>0</v>
      </c>
      <c r="AF382" s="289">
        <v>0</v>
      </c>
      <c r="AG382" s="289">
        <v>613</v>
      </c>
      <c r="AH382" s="289">
        <v>100</v>
      </c>
      <c r="AI382" s="289">
        <v>0</v>
      </c>
      <c r="AJ382" s="289">
        <v>0</v>
      </c>
      <c r="AK382" s="289">
        <v>3.9020000000000001</v>
      </c>
      <c r="AL382" s="289">
        <v>1086</v>
      </c>
      <c r="AM382" s="836">
        <v>0</v>
      </c>
      <c r="AN382" s="289">
        <v>0</v>
      </c>
      <c r="AO382" s="289">
        <v>35.581145999999997</v>
      </c>
      <c r="AP382" s="289">
        <v>0</v>
      </c>
      <c r="AQ382" s="289">
        <v>0</v>
      </c>
      <c r="AR382" s="289">
        <v>93.118813959999997</v>
      </c>
      <c r="AS382" s="289"/>
      <c r="AT382" s="289">
        <v>40</v>
      </c>
      <c r="AU382" s="289">
        <v>0</v>
      </c>
      <c r="AV382" s="625">
        <v>39449</v>
      </c>
      <c r="AW382" s="289"/>
      <c r="AX382" s="625">
        <v>-3.3333300000000003E-2</v>
      </c>
      <c r="AY382" s="289">
        <v>99</v>
      </c>
      <c r="AZ382" s="289">
        <v>33</v>
      </c>
      <c r="BA382" s="290">
        <v>9</v>
      </c>
      <c r="BB382" s="289">
        <v>5698</v>
      </c>
      <c r="BC382" s="289">
        <v>113.27171717</v>
      </c>
      <c r="BD382" s="289">
        <v>5.8975043406103174</v>
      </c>
      <c r="BE382" s="289">
        <v>39131.146787539998</v>
      </c>
      <c r="BF382" s="289">
        <v>0</v>
      </c>
      <c r="BG382" s="289">
        <v>-27.212900000000001</v>
      </c>
      <c r="BH382" s="289">
        <v>-1.7307999999999999</v>
      </c>
      <c r="BI382" s="289">
        <v>100</v>
      </c>
      <c r="BJ382" s="289">
        <v>0</v>
      </c>
      <c r="BK382" s="289">
        <v>0</v>
      </c>
      <c r="BL382" s="289">
        <v>0</v>
      </c>
      <c r="BM382" s="289">
        <v>168</v>
      </c>
      <c r="BN382" s="289">
        <v>70.373757966341032</v>
      </c>
      <c r="BO382" s="289">
        <v>62.406040312824359</v>
      </c>
      <c r="BP382" s="289">
        <v>55.501657597503851</v>
      </c>
      <c r="BQ382" s="289">
        <v>90.802351886452698</v>
      </c>
      <c r="BR382" s="289">
        <v>0.39971973864136601</v>
      </c>
      <c r="BS382" s="289">
        <v>0.45900921987016319</v>
      </c>
      <c r="BT382" s="289">
        <v>0</v>
      </c>
      <c r="BU382" s="289">
        <v>0</v>
      </c>
      <c r="BV382" s="289">
        <v>6.365958414227423</v>
      </c>
      <c r="BW382" s="517"/>
      <c r="BX382" s="517"/>
      <c r="CA382" s="517"/>
      <c r="CB382" s="517"/>
    </row>
    <row r="383" spans="1:80" ht="13">
      <c r="A383" s="1">
        <v>5049</v>
      </c>
      <c r="B383" s="2" t="s">
        <v>170</v>
      </c>
      <c r="C383" s="289">
        <v>1103</v>
      </c>
      <c r="D383" s="289">
        <v>19</v>
      </c>
      <c r="E383" s="289">
        <v>35</v>
      </c>
      <c r="F383" s="289">
        <v>96</v>
      </c>
      <c r="G383" s="289">
        <v>108</v>
      </c>
      <c r="H383" s="289">
        <v>626</v>
      </c>
      <c r="I383" s="289">
        <v>172</v>
      </c>
      <c r="J383" s="289">
        <v>46</v>
      </c>
      <c r="K383" s="289">
        <v>14</v>
      </c>
      <c r="L383" s="289">
        <v>9</v>
      </c>
      <c r="M383" s="289">
        <v>90</v>
      </c>
      <c r="N383" s="290">
        <v>0</v>
      </c>
      <c r="O383" s="290">
        <v>6</v>
      </c>
      <c r="P383" s="624">
        <v>15064.939333329999</v>
      </c>
      <c r="Q383" s="624">
        <v>7119.5493333300001</v>
      </c>
      <c r="R383" s="624">
        <v>9</v>
      </c>
      <c r="S383" s="289"/>
      <c r="T383" s="289">
        <v>84</v>
      </c>
      <c r="U383" s="716">
        <v>1.0853791571498695E-3</v>
      </c>
      <c r="V383" s="289">
        <v>-1811.46831602</v>
      </c>
      <c r="W383" s="743">
        <v>1</v>
      </c>
      <c r="X383" s="289">
        <v>150</v>
      </c>
      <c r="Y383" s="289">
        <v>335.12799999999999</v>
      </c>
      <c r="Z383" s="289">
        <v>32722</v>
      </c>
      <c r="AA383" s="289">
        <v>0</v>
      </c>
      <c r="AB383" s="290">
        <v>18</v>
      </c>
      <c r="AC383" s="289">
        <v>0</v>
      </c>
      <c r="AD383" s="289">
        <v>0</v>
      </c>
      <c r="AE383" s="289">
        <v>0</v>
      </c>
      <c r="AF383" s="289">
        <v>0</v>
      </c>
      <c r="AG383" s="289">
        <v>1116</v>
      </c>
      <c r="AH383" s="289">
        <v>154.78971217</v>
      </c>
      <c r="AI383" s="289">
        <v>0</v>
      </c>
      <c r="AJ383" s="289">
        <v>0</v>
      </c>
      <c r="AK383" s="289">
        <v>9.0459999999999994</v>
      </c>
      <c r="AL383" s="289">
        <v>1943</v>
      </c>
      <c r="AM383" s="836">
        <v>7.2529200000000004E-3</v>
      </c>
      <c r="AN383" s="289">
        <v>0</v>
      </c>
      <c r="AO383" s="289">
        <v>55.196530879999997</v>
      </c>
      <c r="AP383" s="289">
        <v>0</v>
      </c>
      <c r="AQ383" s="289">
        <v>0</v>
      </c>
      <c r="AR383" s="289">
        <v>-59.402113669999999</v>
      </c>
      <c r="AS383" s="289"/>
      <c r="AT383" s="289">
        <v>41</v>
      </c>
      <c r="AU383" s="289">
        <v>6</v>
      </c>
      <c r="AV383" s="625">
        <v>48917</v>
      </c>
      <c r="AW383" s="289"/>
      <c r="AX383" s="625">
        <v>4.46</v>
      </c>
      <c r="AY383" s="289">
        <v>209</v>
      </c>
      <c r="AZ383" s="289">
        <v>36</v>
      </c>
      <c r="BA383" s="290">
        <v>17</v>
      </c>
      <c r="BB383" s="289">
        <v>5698</v>
      </c>
      <c r="BC383" s="289">
        <v>473.25323233</v>
      </c>
      <c r="BD383" s="289">
        <v>12.479545486307051</v>
      </c>
      <c r="BE383" s="289">
        <v>50249.75348431</v>
      </c>
      <c r="BF383" s="289">
        <v>0</v>
      </c>
      <c r="BG383" s="289">
        <v>-43.208799999999997</v>
      </c>
      <c r="BH383" s="289">
        <v>-3.1511</v>
      </c>
      <c r="BI383" s="289">
        <v>489.91771217000002</v>
      </c>
      <c r="BJ383" s="289">
        <v>0</v>
      </c>
      <c r="BK383" s="289">
        <v>0</v>
      </c>
      <c r="BL383" s="289">
        <v>0</v>
      </c>
      <c r="BM383" s="289">
        <v>0</v>
      </c>
      <c r="BN383" s="289">
        <v>115.61522930184643</v>
      </c>
      <c r="BO383" s="289">
        <v>83.519744326802595</v>
      </c>
      <c r="BP383" s="289">
        <v>101.0438007811</v>
      </c>
      <c r="BQ383" s="289">
        <v>140.88221459805303</v>
      </c>
      <c r="BR383" s="289">
        <v>0.8458358607385893</v>
      </c>
      <c r="BS383" s="289">
        <v>0.56219755424931217</v>
      </c>
      <c r="BT383" s="289">
        <v>0</v>
      </c>
      <c r="BU383" s="289">
        <v>0</v>
      </c>
      <c r="BV383" s="289">
        <v>9.87695033006381</v>
      </c>
      <c r="BW383" s="517"/>
      <c r="BX383" s="517"/>
      <c r="CA383" s="517"/>
      <c r="CB383" s="517"/>
    </row>
    <row r="384" spans="1:80" ht="13">
      <c r="A384" s="1">
        <v>5050</v>
      </c>
      <c r="B384" s="2" t="s">
        <v>171</v>
      </c>
      <c r="C384" s="289">
        <v>4578</v>
      </c>
      <c r="D384" s="289">
        <v>104</v>
      </c>
      <c r="E384" s="289">
        <v>223</v>
      </c>
      <c r="F384" s="289">
        <v>595</v>
      </c>
      <c r="G384" s="289">
        <v>445</v>
      </c>
      <c r="H384" s="289">
        <v>2468</v>
      </c>
      <c r="I384" s="289">
        <v>487</v>
      </c>
      <c r="J384" s="289">
        <v>179</v>
      </c>
      <c r="K384" s="289">
        <v>36</v>
      </c>
      <c r="L384" s="289">
        <v>36</v>
      </c>
      <c r="M384" s="289">
        <v>325</v>
      </c>
      <c r="N384" s="290">
        <v>45</v>
      </c>
      <c r="O384" s="290">
        <v>60</v>
      </c>
      <c r="P384" s="624">
        <v>24845.351666670002</v>
      </c>
      <c r="Q384" s="624">
        <v>11927.365333330001</v>
      </c>
      <c r="R384" s="624">
        <v>32</v>
      </c>
      <c r="S384" s="289"/>
      <c r="T384" s="289">
        <v>334</v>
      </c>
      <c r="U384" s="716">
        <v>1.3597220828333973E-3</v>
      </c>
      <c r="V384" s="289">
        <v>2049.0053936300001</v>
      </c>
      <c r="W384" s="743">
        <v>0.68185532999999998</v>
      </c>
      <c r="X384" s="289">
        <v>100</v>
      </c>
      <c r="Y384" s="289">
        <v>414.28399999999999</v>
      </c>
      <c r="Z384" s="289">
        <v>143383</v>
      </c>
      <c r="AA384" s="289">
        <v>0</v>
      </c>
      <c r="AB384" s="290">
        <v>88</v>
      </c>
      <c r="AC384" s="289">
        <v>0</v>
      </c>
      <c r="AD384" s="289">
        <v>2942.2089879999999</v>
      </c>
      <c r="AE384" s="289">
        <v>0</v>
      </c>
      <c r="AF384" s="289">
        <v>0</v>
      </c>
      <c r="AG384" s="289">
        <v>4537</v>
      </c>
      <c r="AH384" s="289">
        <v>818.57262204000006</v>
      </c>
      <c r="AI384" s="289">
        <v>3528</v>
      </c>
      <c r="AJ384" s="289">
        <v>0</v>
      </c>
      <c r="AK384" s="289">
        <v>0</v>
      </c>
      <c r="AL384" s="289">
        <v>7897</v>
      </c>
      <c r="AM384" s="836">
        <v>7.0095920000000006E-2</v>
      </c>
      <c r="AN384" s="289">
        <v>0</v>
      </c>
      <c r="AO384" s="289">
        <v>195.49143566000001</v>
      </c>
      <c r="AP384" s="289">
        <v>0</v>
      </c>
      <c r="AQ384" s="289">
        <v>0</v>
      </c>
      <c r="AR384" s="289">
        <v>-241.49407679999999</v>
      </c>
      <c r="AS384" s="289"/>
      <c r="AT384" s="289">
        <v>200</v>
      </c>
      <c r="AU384" s="289">
        <v>52</v>
      </c>
      <c r="AV384" s="625">
        <v>149287</v>
      </c>
      <c r="AW384" s="289"/>
      <c r="AX384" s="625">
        <v>47.695</v>
      </c>
      <c r="AY384" s="289">
        <v>644</v>
      </c>
      <c r="AZ384" s="289">
        <v>136</v>
      </c>
      <c r="BA384" s="290">
        <v>118</v>
      </c>
      <c r="BB384" s="289">
        <v>0</v>
      </c>
      <c r="BC384" s="289">
        <v>4045.5131313299999</v>
      </c>
      <c r="BD384" s="289">
        <v>58.425000320024836</v>
      </c>
      <c r="BE384" s="289">
        <v>154934.66210287999</v>
      </c>
      <c r="BF384" s="289">
        <v>0</v>
      </c>
      <c r="BG384" s="289">
        <v>-193.22839999999999</v>
      </c>
      <c r="BH384" s="289">
        <v>-12.8103</v>
      </c>
      <c r="BI384" s="289">
        <v>4175.0656100400001</v>
      </c>
      <c r="BJ384" s="289">
        <v>0</v>
      </c>
      <c r="BK384" s="289">
        <v>0</v>
      </c>
      <c r="BL384" s="289">
        <v>0</v>
      </c>
      <c r="BM384" s="289">
        <v>1772</v>
      </c>
      <c r="BN384" s="289">
        <v>355.76854985643394</v>
      </c>
      <c r="BO384" s="289">
        <v>197.04198421628089</v>
      </c>
      <c r="BP384" s="289">
        <v>410.78469905362965</v>
      </c>
      <c r="BQ384" s="289">
        <v>176.49192635177496</v>
      </c>
      <c r="BR384" s="289">
        <v>3.9599166883572403</v>
      </c>
      <c r="BS384" s="289">
        <v>1.160824567046286</v>
      </c>
      <c r="BT384" s="289">
        <v>0</v>
      </c>
      <c r="BU384" s="289">
        <v>0</v>
      </c>
      <c r="BV384" s="289">
        <v>12.373470953783915</v>
      </c>
      <c r="BW384" s="517"/>
      <c r="BX384" s="517"/>
      <c r="CA384" s="517"/>
      <c r="CB384" s="517"/>
    </row>
    <row r="385" spans="1:80" ht="13">
      <c r="A385" s="1">
        <v>5051</v>
      </c>
      <c r="B385" s="2" t="s">
        <v>172</v>
      </c>
      <c r="C385" s="289">
        <v>5072</v>
      </c>
      <c r="D385" s="289">
        <v>92</v>
      </c>
      <c r="E385" s="289">
        <v>252</v>
      </c>
      <c r="F385" s="289">
        <v>581</v>
      </c>
      <c r="G385" s="289">
        <v>499</v>
      </c>
      <c r="H385" s="289">
        <v>2780</v>
      </c>
      <c r="I385" s="289">
        <v>661</v>
      </c>
      <c r="J385" s="289">
        <v>212</v>
      </c>
      <c r="K385" s="289">
        <v>46</v>
      </c>
      <c r="L385" s="289">
        <v>48</v>
      </c>
      <c r="M385" s="289">
        <v>441</v>
      </c>
      <c r="N385" s="290">
        <v>40</v>
      </c>
      <c r="O385" s="290">
        <v>75</v>
      </c>
      <c r="P385" s="624">
        <v>73134.501000000004</v>
      </c>
      <c r="Q385" s="624">
        <v>25178.126333330001</v>
      </c>
      <c r="R385" s="624">
        <v>26</v>
      </c>
      <c r="S385" s="289"/>
      <c r="T385" s="289">
        <v>436</v>
      </c>
      <c r="U385" s="716">
        <v>3.3526629527280828E-3</v>
      </c>
      <c r="V385" s="289">
        <v>2335.2151249399999</v>
      </c>
      <c r="W385" s="743">
        <v>0.87135686000000001</v>
      </c>
      <c r="X385" s="289">
        <v>200</v>
      </c>
      <c r="Y385" s="289">
        <v>414.28399999999999</v>
      </c>
      <c r="Z385" s="289">
        <v>131937</v>
      </c>
      <c r="AA385" s="289">
        <v>0</v>
      </c>
      <c r="AB385" s="290">
        <v>140</v>
      </c>
      <c r="AC385" s="289">
        <v>0</v>
      </c>
      <c r="AD385" s="289">
        <v>163.74292399999999</v>
      </c>
      <c r="AE385" s="289">
        <v>0</v>
      </c>
      <c r="AF385" s="289">
        <v>0</v>
      </c>
      <c r="AG385" s="289">
        <v>5123</v>
      </c>
      <c r="AH385" s="289">
        <v>838.79289974999995</v>
      </c>
      <c r="AI385" s="289">
        <v>1740</v>
      </c>
      <c r="AJ385" s="289">
        <v>0</v>
      </c>
      <c r="AK385" s="289">
        <v>1.353</v>
      </c>
      <c r="AL385" s="289">
        <v>8996</v>
      </c>
      <c r="AM385" s="836">
        <v>6.6258230000000001E-2</v>
      </c>
      <c r="AN385" s="289">
        <v>0</v>
      </c>
      <c r="AO385" s="289">
        <v>222.79812379000001</v>
      </c>
      <c r="AP385" s="289">
        <v>0</v>
      </c>
      <c r="AQ385" s="289">
        <v>0</v>
      </c>
      <c r="AR385" s="289">
        <v>-272.68550923999999</v>
      </c>
      <c r="AS385" s="289"/>
      <c r="AT385" s="289">
        <v>213</v>
      </c>
      <c r="AU385" s="289">
        <v>45</v>
      </c>
      <c r="AV385" s="625">
        <v>168144</v>
      </c>
      <c r="AW385" s="289"/>
      <c r="AX385" s="625">
        <v>33.443333350000003</v>
      </c>
      <c r="AY385" s="289">
        <v>732</v>
      </c>
      <c r="AZ385" s="289">
        <v>181</v>
      </c>
      <c r="BA385" s="290">
        <v>99</v>
      </c>
      <c r="BB385" s="289">
        <v>0</v>
      </c>
      <c r="BC385" s="289">
        <v>1388.0338182</v>
      </c>
      <c r="BD385" s="289">
        <v>72.004922191036798</v>
      </c>
      <c r="BE385" s="289">
        <v>174631.78100250999</v>
      </c>
      <c r="BF385" s="289">
        <v>0</v>
      </c>
      <c r="BG385" s="289">
        <v>-206.75819999999999</v>
      </c>
      <c r="BH385" s="289">
        <v>-14.4649</v>
      </c>
      <c r="BI385" s="289">
        <v>1416.8198237500001</v>
      </c>
      <c r="BJ385" s="289">
        <v>0</v>
      </c>
      <c r="BK385" s="289">
        <v>0</v>
      </c>
      <c r="BL385" s="289">
        <v>0</v>
      </c>
      <c r="BM385" s="289">
        <v>2018</v>
      </c>
      <c r="BN385" s="289">
        <v>423.87808162378872</v>
      </c>
      <c r="BO385" s="289">
        <v>250.83094125457345</v>
      </c>
      <c r="BP385" s="289">
        <v>463.84174856771978</v>
      </c>
      <c r="BQ385" s="289">
        <v>435.17565126410511</v>
      </c>
      <c r="BR385" s="289">
        <v>4.8803336151702723</v>
      </c>
      <c r="BS385" s="289">
        <v>1.3416453028809785</v>
      </c>
      <c r="BT385" s="289">
        <v>0</v>
      </c>
      <c r="BU385" s="289">
        <v>0</v>
      </c>
      <c r="BV385" s="289">
        <v>30.509232869825546</v>
      </c>
      <c r="BW385" s="517"/>
      <c r="BX385" s="517"/>
      <c r="CA385" s="517"/>
      <c r="CB385" s="517"/>
    </row>
    <row r="386" spans="1:80" ht="13">
      <c r="A386" s="1">
        <v>5052</v>
      </c>
      <c r="B386" s="2" t="s">
        <v>173</v>
      </c>
      <c r="C386" s="289">
        <v>567</v>
      </c>
      <c r="D386" s="289">
        <v>7</v>
      </c>
      <c r="E386" s="289">
        <v>18</v>
      </c>
      <c r="F386" s="289">
        <v>54</v>
      </c>
      <c r="G386" s="289">
        <v>44</v>
      </c>
      <c r="H386" s="289">
        <v>301</v>
      </c>
      <c r="I386" s="289">
        <v>108</v>
      </c>
      <c r="J386" s="289">
        <v>32</v>
      </c>
      <c r="K386" s="289">
        <v>9</v>
      </c>
      <c r="L386" s="289">
        <v>5</v>
      </c>
      <c r="M386" s="289">
        <v>62</v>
      </c>
      <c r="N386" s="290">
        <v>0</v>
      </c>
      <c r="O386" s="290">
        <v>3</v>
      </c>
      <c r="P386" s="624">
        <v>2938.5753333299999</v>
      </c>
      <c r="Q386" s="624">
        <v>2796.5503333299998</v>
      </c>
      <c r="R386" s="624">
        <v>1</v>
      </c>
      <c r="S386" s="289"/>
      <c r="T386" s="289">
        <v>48</v>
      </c>
      <c r="U386" s="716">
        <v>8.7946604561580201E-4</v>
      </c>
      <c r="V386" s="289">
        <v>353.71507465000002</v>
      </c>
      <c r="W386" s="743">
        <v>1</v>
      </c>
      <c r="X386" s="289">
        <v>550</v>
      </c>
      <c r="Y386" s="289">
        <v>0</v>
      </c>
      <c r="Z386" s="289">
        <v>13553</v>
      </c>
      <c r="AA386" s="289">
        <v>0</v>
      </c>
      <c r="AB386" s="290">
        <v>7</v>
      </c>
      <c r="AC386" s="289">
        <v>0</v>
      </c>
      <c r="AD386" s="289">
        <v>0</v>
      </c>
      <c r="AE386" s="289">
        <v>0</v>
      </c>
      <c r="AF386" s="289">
        <v>0</v>
      </c>
      <c r="AG386" s="289">
        <v>573</v>
      </c>
      <c r="AH386" s="289">
        <v>100</v>
      </c>
      <c r="AI386" s="289">
        <v>0</v>
      </c>
      <c r="AJ386" s="289">
        <v>0</v>
      </c>
      <c r="AK386" s="289">
        <v>0</v>
      </c>
      <c r="AL386" s="289">
        <v>1023</v>
      </c>
      <c r="AM386" s="836">
        <v>1.1779500000000001E-3</v>
      </c>
      <c r="AN386" s="289">
        <v>0</v>
      </c>
      <c r="AO386" s="289">
        <v>33.747235600000003</v>
      </c>
      <c r="AP386" s="289">
        <v>0</v>
      </c>
      <c r="AQ386" s="289">
        <v>0</v>
      </c>
      <c r="AR386" s="289">
        <v>-30.499472340000001</v>
      </c>
      <c r="AS386" s="289"/>
      <c r="AT386" s="289">
        <v>19</v>
      </c>
      <c r="AU386" s="289">
        <v>3</v>
      </c>
      <c r="AV386" s="625">
        <v>37774</v>
      </c>
      <c r="AW386" s="289"/>
      <c r="AX386" s="625">
        <v>1.68</v>
      </c>
      <c r="AY386" s="289">
        <v>81</v>
      </c>
      <c r="AZ386" s="289">
        <v>7</v>
      </c>
      <c r="BA386" s="290">
        <v>14</v>
      </c>
      <c r="BB386" s="289">
        <v>5698</v>
      </c>
      <c r="BC386" s="289">
        <v>113.27171717</v>
      </c>
      <c r="BD386" s="289">
        <v>6.1084859418299118</v>
      </c>
      <c r="BE386" s="289">
        <v>37506.86603669</v>
      </c>
      <c r="BF386" s="289">
        <v>0</v>
      </c>
      <c r="BG386" s="289">
        <v>-26.8584</v>
      </c>
      <c r="BH386" s="289">
        <v>-1.6178999999999999</v>
      </c>
      <c r="BI386" s="289">
        <v>100</v>
      </c>
      <c r="BJ386" s="289">
        <v>0</v>
      </c>
      <c r="BK386" s="289">
        <v>0</v>
      </c>
      <c r="BL386" s="289">
        <v>0</v>
      </c>
      <c r="BM386" s="289">
        <v>0</v>
      </c>
      <c r="BN386" s="289">
        <v>64.798033118590496</v>
      </c>
      <c r="BO386" s="289">
        <v>58.901602634694797</v>
      </c>
      <c r="BP386" s="289">
        <v>51.880015992446502</v>
      </c>
      <c r="BQ386" s="289">
        <v>114.15469272093108</v>
      </c>
      <c r="BR386" s="289">
        <v>0.41401960272402721</v>
      </c>
      <c r="BS386" s="289">
        <v>0.45077054518930926</v>
      </c>
      <c r="BT386" s="289">
        <v>0</v>
      </c>
      <c r="BU386" s="289">
        <v>0</v>
      </c>
      <c r="BV386" s="289">
        <v>8.0031410151037967</v>
      </c>
      <c r="BW386" s="517"/>
      <c r="BX386" s="517"/>
      <c r="CA386" s="517"/>
      <c r="CB386" s="517"/>
    </row>
    <row r="387" spans="1:80" ht="13">
      <c r="A387" s="1">
        <v>5053</v>
      </c>
      <c r="B387" s="2" t="s">
        <v>155</v>
      </c>
      <c r="C387" s="289">
        <v>6804</v>
      </c>
      <c r="D387" s="289">
        <v>140</v>
      </c>
      <c r="E387" s="289">
        <v>312</v>
      </c>
      <c r="F387" s="289">
        <v>860</v>
      </c>
      <c r="G387" s="289">
        <v>659</v>
      </c>
      <c r="H387" s="289">
        <v>3594</v>
      </c>
      <c r="I387" s="289">
        <v>908</v>
      </c>
      <c r="J387" s="289">
        <v>261</v>
      </c>
      <c r="K387" s="289">
        <v>67</v>
      </c>
      <c r="L387" s="289">
        <v>51</v>
      </c>
      <c r="M387" s="289">
        <v>489</v>
      </c>
      <c r="N387" s="290">
        <v>36</v>
      </c>
      <c r="O387" s="290">
        <v>37</v>
      </c>
      <c r="P387" s="624">
        <v>56578.464</v>
      </c>
      <c r="Q387" s="624">
        <v>20179.21</v>
      </c>
      <c r="R387" s="624">
        <v>31</v>
      </c>
      <c r="S387" s="289"/>
      <c r="T387" s="289">
        <v>379</v>
      </c>
      <c r="U387" s="716">
        <v>4.7988917690264888E-3</v>
      </c>
      <c r="V387" s="289">
        <v>1733.2458426999999</v>
      </c>
      <c r="W387" s="743">
        <v>0.68356744999999997</v>
      </c>
      <c r="X387" s="289">
        <v>0</v>
      </c>
      <c r="Y387" s="289">
        <v>669.22799999999995</v>
      </c>
      <c r="Z387" s="289">
        <v>163239</v>
      </c>
      <c r="AA387" s="289">
        <v>-2005.19013971</v>
      </c>
      <c r="AB387" s="290">
        <v>129</v>
      </c>
      <c r="AC387" s="289">
        <v>0</v>
      </c>
      <c r="AD387" s="289">
        <v>0</v>
      </c>
      <c r="AE387" s="289">
        <v>0</v>
      </c>
      <c r="AF387" s="289">
        <v>19711.51251755</v>
      </c>
      <c r="AG387" s="289">
        <v>6801</v>
      </c>
      <c r="AH387" s="289">
        <v>1198.5743929099999</v>
      </c>
      <c r="AI387" s="289">
        <v>500</v>
      </c>
      <c r="AJ387" s="289">
        <v>0</v>
      </c>
      <c r="AK387" s="289">
        <v>0</v>
      </c>
      <c r="AL387" s="289">
        <v>0</v>
      </c>
      <c r="AM387" s="836">
        <v>7.098401E-2</v>
      </c>
      <c r="AN387" s="289">
        <v>7054</v>
      </c>
      <c r="AO387" s="289">
        <v>279.28257000999997</v>
      </c>
      <c r="AP387" s="289">
        <v>0</v>
      </c>
      <c r="AQ387" s="289">
        <v>0</v>
      </c>
      <c r="AR387" s="289">
        <v>-362.00159054</v>
      </c>
      <c r="AS387" s="289"/>
      <c r="AT387" s="289">
        <v>319</v>
      </c>
      <c r="AU387" s="289">
        <v>52</v>
      </c>
      <c r="AV387" s="625">
        <v>203952</v>
      </c>
      <c r="AW387" s="289"/>
      <c r="AX387" s="625">
        <v>63.126666700000001</v>
      </c>
      <c r="AY387" s="289">
        <v>1557</v>
      </c>
      <c r="AZ387" s="289">
        <v>197</v>
      </c>
      <c r="BA387" s="290">
        <v>156</v>
      </c>
      <c r="BB387" s="289">
        <v>0</v>
      </c>
      <c r="BC387" s="289">
        <v>17080.979172169998</v>
      </c>
      <c r="BD387" s="289">
        <v>73.065966723234254</v>
      </c>
      <c r="BE387" s="289">
        <v>218048.85723825</v>
      </c>
      <c r="BF387" s="289">
        <v>0</v>
      </c>
      <c r="BG387" s="289">
        <v>-276.05549999999999</v>
      </c>
      <c r="BH387" s="289">
        <v>-19.2028</v>
      </c>
      <c r="BI387" s="289">
        <v>19574.124770760001</v>
      </c>
      <c r="BJ387" s="289">
        <v>0</v>
      </c>
      <c r="BK387" s="289">
        <v>0</v>
      </c>
      <c r="BL387" s="289">
        <v>0</v>
      </c>
      <c r="BM387" s="289">
        <v>0</v>
      </c>
      <c r="BN387" s="289">
        <v>505.76065074669725</v>
      </c>
      <c r="BO387" s="289">
        <v>299.07135731181603</v>
      </c>
      <c r="BP387" s="289">
        <v>615.76961389987559</v>
      </c>
      <c r="BQ387" s="289">
        <v>622.89615161963809</v>
      </c>
      <c r="BR387" s="289">
        <v>4.9522488556858768</v>
      </c>
      <c r="BS387" s="289">
        <v>1.6219578894078455</v>
      </c>
      <c r="BT387" s="289">
        <v>0</v>
      </c>
      <c r="BU387" s="289">
        <v>0</v>
      </c>
      <c r="BV387" s="289">
        <v>43.66991509814104</v>
      </c>
      <c r="BW387" s="517"/>
      <c r="BX387" s="517"/>
      <c r="CA387" s="517"/>
      <c r="CB387" s="517"/>
    </row>
    <row r="388" spans="1:80" ht="13">
      <c r="A388" s="1">
        <v>5054</v>
      </c>
      <c r="B388" s="2" t="s">
        <v>1234</v>
      </c>
      <c r="C388" s="289">
        <v>9988</v>
      </c>
      <c r="D388" s="289">
        <v>176</v>
      </c>
      <c r="E388" s="289">
        <v>429</v>
      </c>
      <c r="F388" s="289">
        <v>1259</v>
      </c>
      <c r="G388" s="289">
        <v>897</v>
      </c>
      <c r="H388" s="289">
        <v>5336</v>
      </c>
      <c r="I388" s="289">
        <v>1415</v>
      </c>
      <c r="J388" s="289">
        <v>436</v>
      </c>
      <c r="K388" s="289">
        <v>114</v>
      </c>
      <c r="L388" s="289">
        <v>81</v>
      </c>
      <c r="M388" s="289">
        <v>877</v>
      </c>
      <c r="N388" s="290">
        <v>36</v>
      </c>
      <c r="O388" s="290">
        <v>78</v>
      </c>
      <c r="P388" s="624">
        <v>95431.062000000005</v>
      </c>
      <c r="Q388" s="624">
        <v>34770.208500000001</v>
      </c>
      <c r="R388" s="624">
        <v>52</v>
      </c>
      <c r="S388" s="289"/>
      <c r="T388" s="289">
        <v>693</v>
      </c>
      <c r="U388" s="716">
        <v>7.0340485949699017E-3</v>
      </c>
      <c r="V388" s="289">
        <v>1644.93758422</v>
      </c>
      <c r="W388" s="743">
        <v>0.80721039999999999</v>
      </c>
      <c r="X388" s="289">
        <v>1950</v>
      </c>
      <c r="Y388" s="289">
        <v>828.56799999999998</v>
      </c>
      <c r="Z388" s="289">
        <v>231891</v>
      </c>
      <c r="AA388" s="289">
        <v>0</v>
      </c>
      <c r="AB388" s="290">
        <v>217</v>
      </c>
      <c r="AC388" s="289">
        <v>0</v>
      </c>
      <c r="AD388" s="289">
        <v>0</v>
      </c>
      <c r="AE388" s="289">
        <v>0</v>
      </c>
      <c r="AF388" s="289">
        <v>15586.1639154</v>
      </c>
      <c r="AG388" s="289">
        <v>10062</v>
      </c>
      <c r="AH388" s="289">
        <v>1674.7967956800001</v>
      </c>
      <c r="AI388" s="289">
        <v>2900</v>
      </c>
      <c r="AJ388" s="289">
        <v>4000</v>
      </c>
      <c r="AK388" s="289">
        <v>0</v>
      </c>
      <c r="AL388" s="289">
        <v>0</v>
      </c>
      <c r="AM388" s="836">
        <v>0.18073972999999999</v>
      </c>
      <c r="AN388" s="289">
        <v>7501</v>
      </c>
      <c r="AO388" s="289">
        <v>421.4491913</v>
      </c>
      <c r="AP388" s="289">
        <v>0</v>
      </c>
      <c r="AQ388" s="289">
        <v>0</v>
      </c>
      <c r="AR388" s="289">
        <v>6664.5607516299997</v>
      </c>
      <c r="AS388" s="289"/>
      <c r="AT388" s="289">
        <v>433</v>
      </c>
      <c r="AU388" s="289">
        <v>128</v>
      </c>
      <c r="AV388" s="625">
        <v>326206</v>
      </c>
      <c r="AW388" s="289"/>
      <c r="AX388" s="625">
        <v>61.861666649999997</v>
      </c>
      <c r="AY388" s="289">
        <v>1642</v>
      </c>
      <c r="AZ388" s="289">
        <v>332</v>
      </c>
      <c r="BA388" s="290">
        <v>205</v>
      </c>
      <c r="BB388" s="289">
        <v>0</v>
      </c>
      <c r="BC388" s="289">
        <v>17640.661312669999</v>
      </c>
      <c r="BD388" s="289">
        <v>123.61783810794012</v>
      </c>
      <c r="BE388" s="289">
        <v>324795.73896038003</v>
      </c>
      <c r="BF388" s="289">
        <v>0</v>
      </c>
      <c r="BG388" s="289">
        <v>-409.3014</v>
      </c>
      <c r="BH388" s="289">
        <v>-28.410299999999999</v>
      </c>
      <c r="BI388" s="289">
        <v>18089.528711080002</v>
      </c>
      <c r="BJ388" s="289">
        <v>0</v>
      </c>
      <c r="BK388" s="289">
        <v>0</v>
      </c>
      <c r="BL388" s="289">
        <v>0</v>
      </c>
      <c r="BM388" s="289">
        <v>3821</v>
      </c>
      <c r="BN388" s="289">
        <v>825.73591628103986</v>
      </c>
      <c r="BO388" s="289">
        <v>446.72902131598266</v>
      </c>
      <c r="BP388" s="289">
        <v>911.02394575217579</v>
      </c>
      <c r="BQ388" s="289">
        <v>913.01950762709316</v>
      </c>
      <c r="BR388" s="289">
        <v>8.3785423606492753</v>
      </c>
      <c r="BS388" s="289">
        <v>2.32831824168567</v>
      </c>
      <c r="BT388" s="289">
        <v>0</v>
      </c>
      <c r="BU388" s="289">
        <v>0</v>
      </c>
      <c r="BV388" s="289">
        <v>64.009842214226097</v>
      </c>
      <c r="BW388" s="517"/>
      <c r="BX388" s="517"/>
      <c r="CA388" s="517"/>
      <c r="CB388" s="517"/>
    </row>
    <row r="389" spans="1:80" ht="13">
      <c r="A389" s="1">
        <v>5061</v>
      </c>
      <c r="B389" s="2" t="s">
        <v>114</v>
      </c>
      <c r="C389" s="289">
        <v>2028</v>
      </c>
      <c r="D389" s="289">
        <v>45</v>
      </c>
      <c r="E389" s="289">
        <v>86</v>
      </c>
      <c r="F389" s="289">
        <v>229</v>
      </c>
      <c r="G389" s="289">
        <v>197</v>
      </c>
      <c r="H389" s="289">
        <v>1050</v>
      </c>
      <c r="I389" s="289">
        <v>303</v>
      </c>
      <c r="J389" s="289">
        <v>115</v>
      </c>
      <c r="K389" s="289">
        <v>25</v>
      </c>
      <c r="L389" s="289">
        <v>14</v>
      </c>
      <c r="M389" s="289">
        <v>173</v>
      </c>
      <c r="N389" s="290">
        <v>0</v>
      </c>
      <c r="O389" s="290">
        <v>8</v>
      </c>
      <c r="P389" s="624">
        <v>10136.96166667</v>
      </c>
      <c r="Q389" s="624">
        <v>6890.3963333299998</v>
      </c>
      <c r="R389" s="624">
        <v>8</v>
      </c>
      <c r="S389" s="289"/>
      <c r="T389" s="289">
        <v>116</v>
      </c>
      <c r="U389" s="716">
        <v>2.0153252918536221E-3</v>
      </c>
      <c r="V389" s="289">
        <v>865.68115279999995</v>
      </c>
      <c r="W389" s="743">
        <v>0.88503443999999998</v>
      </c>
      <c r="X389" s="289">
        <v>0</v>
      </c>
      <c r="Y389" s="289">
        <v>288.86799999999999</v>
      </c>
      <c r="Z389" s="289">
        <v>50159</v>
      </c>
      <c r="AA389" s="289">
        <v>0</v>
      </c>
      <c r="AB389" s="290">
        <v>34</v>
      </c>
      <c r="AC389" s="289">
        <v>0</v>
      </c>
      <c r="AD389" s="289">
        <v>0</v>
      </c>
      <c r="AE389" s="289">
        <v>0</v>
      </c>
      <c r="AF389" s="289">
        <v>0</v>
      </c>
      <c r="AG389" s="289">
        <v>2050</v>
      </c>
      <c r="AH389" s="289">
        <v>330.49695301999998</v>
      </c>
      <c r="AI389" s="289">
        <v>250</v>
      </c>
      <c r="AJ389" s="289">
        <v>0</v>
      </c>
      <c r="AK389" s="289">
        <v>0</v>
      </c>
      <c r="AL389" s="289">
        <v>0</v>
      </c>
      <c r="AM389" s="836">
        <v>3.4597500000000002E-3</v>
      </c>
      <c r="AN389" s="289">
        <v>0</v>
      </c>
      <c r="AO389" s="289">
        <v>91.713878949999994</v>
      </c>
      <c r="AP389" s="289">
        <v>0</v>
      </c>
      <c r="AQ389" s="289">
        <v>0</v>
      </c>
      <c r="AR389" s="289">
        <v>826.57081934999997</v>
      </c>
      <c r="AS389" s="289"/>
      <c r="AT389" s="289">
        <v>58</v>
      </c>
      <c r="AU389" s="289">
        <v>8</v>
      </c>
      <c r="AV389" s="625">
        <v>73998</v>
      </c>
      <c r="AW389" s="289"/>
      <c r="AX389" s="625">
        <v>28.48</v>
      </c>
      <c r="AY389" s="289">
        <v>326</v>
      </c>
      <c r="AZ389" s="289">
        <v>31</v>
      </c>
      <c r="BA389" s="290">
        <v>29</v>
      </c>
      <c r="BB389" s="289">
        <v>5698</v>
      </c>
      <c r="BC389" s="289">
        <v>598.16080809000005</v>
      </c>
      <c r="BD389" s="289">
        <v>19.078348786241289</v>
      </c>
      <c r="BE389" s="289">
        <v>74531.949413309994</v>
      </c>
      <c r="BF389" s="289">
        <v>0</v>
      </c>
      <c r="BG389" s="289">
        <v>-79.584299999999999</v>
      </c>
      <c r="BH389" s="289">
        <v>-5.7881999999999998</v>
      </c>
      <c r="BI389" s="289">
        <v>619.36495302000003</v>
      </c>
      <c r="BJ389" s="289">
        <v>0</v>
      </c>
      <c r="BK389" s="289">
        <v>0</v>
      </c>
      <c r="BL389" s="289">
        <v>0</v>
      </c>
      <c r="BM389" s="289">
        <v>0</v>
      </c>
      <c r="BN389" s="289">
        <v>179.61486598900342</v>
      </c>
      <c r="BO389" s="289">
        <v>115.08445525343373</v>
      </c>
      <c r="BP389" s="289">
        <v>185.60913225918907</v>
      </c>
      <c r="BQ389" s="289">
        <v>261.5892228826001</v>
      </c>
      <c r="BR389" s="289">
        <v>1.2930880844007984</v>
      </c>
      <c r="BS389" s="289">
        <v>0.71530686392359388</v>
      </c>
      <c r="BT389" s="289">
        <v>0</v>
      </c>
      <c r="BU389" s="289">
        <v>0</v>
      </c>
      <c r="BV389" s="289">
        <v>18.339460155867954</v>
      </c>
      <c r="BW389" s="517"/>
      <c r="BX389" s="517"/>
      <c r="CA389" s="517"/>
      <c r="CB389" s="517"/>
    </row>
    <row r="390" spans="1:80" ht="13">
      <c r="A390" s="1">
        <v>5401</v>
      </c>
      <c r="B390" s="2" t="s">
        <v>217</v>
      </c>
      <c r="C390" s="289">
        <v>76649</v>
      </c>
      <c r="D390" s="289">
        <v>1721</v>
      </c>
      <c r="E390" s="289">
        <v>3499</v>
      </c>
      <c r="F390" s="289">
        <v>8879</v>
      </c>
      <c r="G390" s="289">
        <v>6900</v>
      </c>
      <c r="H390" s="289">
        <v>46313</v>
      </c>
      <c r="I390" s="289">
        <v>6676</v>
      </c>
      <c r="J390" s="289">
        <v>1705</v>
      </c>
      <c r="K390" s="289">
        <v>378</v>
      </c>
      <c r="L390" s="289">
        <v>571</v>
      </c>
      <c r="M390" s="289">
        <v>4024</v>
      </c>
      <c r="N390" s="290">
        <v>1172</v>
      </c>
      <c r="O390" s="290">
        <v>632</v>
      </c>
      <c r="P390" s="624">
        <v>328971.51066666999</v>
      </c>
      <c r="Q390" s="624">
        <v>127770.35466667</v>
      </c>
      <c r="R390" s="624">
        <v>178</v>
      </c>
      <c r="S390" s="289"/>
      <c r="T390" s="289">
        <v>6894</v>
      </c>
      <c r="U390" s="716">
        <v>3.4812622275280851E-3</v>
      </c>
      <c r="V390" s="289">
        <v>2714.8646042099999</v>
      </c>
      <c r="W390" s="743">
        <v>0.57578116000000001</v>
      </c>
      <c r="X390" s="289">
        <v>32207</v>
      </c>
      <c r="Y390" s="289">
        <v>828.56799999999998</v>
      </c>
      <c r="Z390" s="289">
        <v>2383917</v>
      </c>
      <c r="AA390" s="289">
        <v>0</v>
      </c>
      <c r="AB390" s="290">
        <v>987</v>
      </c>
      <c r="AC390" s="289">
        <v>0</v>
      </c>
      <c r="AD390" s="289">
        <v>0</v>
      </c>
      <c r="AE390" s="289">
        <v>0</v>
      </c>
      <c r="AF390" s="289">
        <v>0</v>
      </c>
      <c r="AG390" s="289">
        <v>76071</v>
      </c>
      <c r="AH390" s="289">
        <v>12291.837098710001</v>
      </c>
      <c r="AI390" s="289">
        <v>4380.1239999999998</v>
      </c>
      <c r="AJ390" s="289">
        <v>0</v>
      </c>
      <c r="AK390" s="289">
        <v>0</v>
      </c>
      <c r="AL390" s="289">
        <v>254976</v>
      </c>
      <c r="AM390" s="836">
        <v>1.1479930199999999</v>
      </c>
      <c r="AN390" s="289">
        <v>0</v>
      </c>
      <c r="AO390" s="289">
        <v>2639.60109711</v>
      </c>
      <c r="AP390" s="289">
        <v>0</v>
      </c>
      <c r="AQ390" s="289">
        <v>0</v>
      </c>
      <c r="AR390" s="289">
        <v>-4049.0843985199999</v>
      </c>
      <c r="AS390" s="289"/>
      <c r="AT390" s="289">
        <v>3588</v>
      </c>
      <c r="AU390" s="289">
        <v>671</v>
      </c>
      <c r="AV390" s="625">
        <v>1704838</v>
      </c>
      <c r="AW390" s="289"/>
      <c r="AX390" s="625">
        <v>670.22666664999997</v>
      </c>
      <c r="AY390" s="289">
        <v>23953</v>
      </c>
      <c r="AZ390" s="289">
        <v>2728</v>
      </c>
      <c r="BA390" s="290">
        <v>1815</v>
      </c>
      <c r="BB390" s="289">
        <v>0</v>
      </c>
      <c r="BC390" s="289">
        <v>12756.166161900001</v>
      </c>
      <c r="BD390" s="289">
        <v>1076.9469158824957</v>
      </c>
      <c r="BE390" s="289">
        <v>1770629.5903447</v>
      </c>
      <c r="BF390" s="289">
        <v>0</v>
      </c>
      <c r="BG390" s="289">
        <v>-2737.4827</v>
      </c>
      <c r="BH390" s="289">
        <v>-214.7884</v>
      </c>
      <c r="BI390" s="289">
        <v>13120.40509871</v>
      </c>
      <c r="BJ390" s="289">
        <v>0</v>
      </c>
      <c r="BK390" s="289">
        <v>0</v>
      </c>
      <c r="BL390" s="289">
        <v>0</v>
      </c>
      <c r="BM390" s="289">
        <v>0</v>
      </c>
      <c r="BN390" s="289">
        <v>3889.9880833756288</v>
      </c>
      <c r="BO390" s="289">
        <v>2653.9052772275727</v>
      </c>
      <c r="BP390" s="289">
        <v>6887.5474634579377</v>
      </c>
      <c r="BQ390" s="289">
        <v>451.86783713314526</v>
      </c>
      <c r="BR390" s="289">
        <v>72.993068743146921</v>
      </c>
      <c r="BS390" s="289">
        <v>15.856912175621382</v>
      </c>
      <c r="BT390" s="289">
        <v>0</v>
      </c>
      <c r="BU390" s="289">
        <v>0</v>
      </c>
      <c r="BV390" s="289">
        <v>31.679486270505549</v>
      </c>
      <c r="BW390" s="517"/>
      <c r="BX390" s="517"/>
      <c r="CA390" s="517"/>
      <c r="CB390" s="517"/>
    </row>
    <row r="391" spans="1:80" ht="13">
      <c r="A391" s="1">
        <v>5402</v>
      </c>
      <c r="B391" s="2" t="s">
        <v>216</v>
      </c>
      <c r="C391" s="289">
        <v>24827</v>
      </c>
      <c r="D391" s="289">
        <v>448</v>
      </c>
      <c r="E391" s="289">
        <v>1091</v>
      </c>
      <c r="F391" s="289">
        <v>2892</v>
      </c>
      <c r="G391" s="289">
        <v>2143</v>
      </c>
      <c r="H391" s="289">
        <v>14007</v>
      </c>
      <c r="I391" s="289">
        <v>3077</v>
      </c>
      <c r="J391" s="289">
        <v>957</v>
      </c>
      <c r="K391" s="289">
        <v>199</v>
      </c>
      <c r="L391" s="289">
        <v>175</v>
      </c>
      <c r="M391" s="289">
        <v>1852</v>
      </c>
      <c r="N391" s="290">
        <v>532</v>
      </c>
      <c r="O391" s="290">
        <v>219</v>
      </c>
      <c r="P391" s="624">
        <v>96744.309333330006</v>
      </c>
      <c r="Q391" s="624">
        <v>38830.65</v>
      </c>
      <c r="R391" s="624">
        <v>88</v>
      </c>
      <c r="S391" s="289"/>
      <c r="T391" s="289">
        <v>2051</v>
      </c>
      <c r="U391" s="716">
        <v>2.9096131949554464E-3</v>
      </c>
      <c r="V391" s="289">
        <v>6922.0314263500004</v>
      </c>
      <c r="W391" s="743">
        <v>0.57558659999999995</v>
      </c>
      <c r="X391" s="289">
        <v>1597</v>
      </c>
      <c r="Y391" s="289">
        <v>414.28399999999999</v>
      </c>
      <c r="Z391" s="289">
        <v>691142</v>
      </c>
      <c r="AA391" s="289">
        <v>0</v>
      </c>
      <c r="AB391" s="290">
        <v>524</v>
      </c>
      <c r="AC391" s="289">
        <v>0</v>
      </c>
      <c r="AD391" s="289">
        <v>0</v>
      </c>
      <c r="AE391" s="289">
        <v>0</v>
      </c>
      <c r="AF391" s="289">
        <v>20135.19058871</v>
      </c>
      <c r="AG391" s="289">
        <v>24814</v>
      </c>
      <c r="AH391" s="289">
        <v>3934.58714323</v>
      </c>
      <c r="AI391" s="289">
        <v>1379.8330000000001</v>
      </c>
      <c r="AJ391" s="289">
        <v>0</v>
      </c>
      <c r="AK391" s="289">
        <v>106.938</v>
      </c>
      <c r="AL391" s="289">
        <v>83668</v>
      </c>
      <c r="AM391" s="836">
        <v>0.41981676000000001</v>
      </c>
      <c r="AN391" s="289">
        <v>0</v>
      </c>
      <c r="AO391" s="289">
        <v>934.04697938000004</v>
      </c>
      <c r="AP391" s="289">
        <v>0</v>
      </c>
      <c r="AQ391" s="289">
        <v>0</v>
      </c>
      <c r="AR391" s="289">
        <v>-1320.7921581799999</v>
      </c>
      <c r="AS391" s="289"/>
      <c r="AT391" s="289">
        <v>1179</v>
      </c>
      <c r="AU391" s="289">
        <v>244</v>
      </c>
      <c r="AV391" s="625">
        <v>666277</v>
      </c>
      <c r="AW391" s="289"/>
      <c r="AX391" s="625">
        <v>139.58000000000001</v>
      </c>
      <c r="AY391" s="289">
        <v>6232</v>
      </c>
      <c r="AZ391" s="289">
        <v>899</v>
      </c>
      <c r="BA391" s="290">
        <v>616</v>
      </c>
      <c r="BB391" s="289">
        <v>0</v>
      </c>
      <c r="BC391" s="289">
        <v>23873.848454980001</v>
      </c>
      <c r="BD391" s="289">
        <v>367.92111370814479</v>
      </c>
      <c r="BE391" s="289">
        <v>694032.05800714996</v>
      </c>
      <c r="BF391" s="289">
        <v>0</v>
      </c>
      <c r="BG391" s="289">
        <v>-893.66129999999998</v>
      </c>
      <c r="BH391" s="289">
        <v>-70.063000000000002</v>
      </c>
      <c r="BI391" s="289">
        <v>24484.061731940001</v>
      </c>
      <c r="BJ391" s="289">
        <v>0</v>
      </c>
      <c r="BK391" s="289">
        <v>0</v>
      </c>
      <c r="BL391" s="289">
        <v>0</v>
      </c>
      <c r="BM391" s="289">
        <v>0</v>
      </c>
      <c r="BN391" s="289">
        <v>1667.1979625679755</v>
      </c>
      <c r="BO391" s="289">
        <v>945.66346951899311</v>
      </c>
      <c r="BP391" s="289">
        <v>2246.6853696973253</v>
      </c>
      <c r="BQ391" s="289">
        <v>377.66779270521693</v>
      </c>
      <c r="BR391" s="289">
        <v>24.936875484663148</v>
      </c>
      <c r="BS391" s="289">
        <v>5.2786263869378418</v>
      </c>
      <c r="BT391" s="289">
        <v>0</v>
      </c>
      <c r="BU391" s="289">
        <v>0</v>
      </c>
      <c r="BV391" s="289">
        <v>26.477480074094558</v>
      </c>
      <c r="BW391" s="517"/>
      <c r="BX391" s="517"/>
      <c r="CA391" s="517"/>
      <c r="CB391" s="517"/>
    </row>
    <row r="392" spans="1:80" ht="13">
      <c r="A392" s="1">
        <v>5403</v>
      </c>
      <c r="B392" s="2" t="s">
        <v>245</v>
      </c>
      <c r="C392" s="289">
        <v>20665</v>
      </c>
      <c r="D392" s="289">
        <v>491</v>
      </c>
      <c r="E392" s="289">
        <v>1065</v>
      </c>
      <c r="F392" s="289">
        <v>2727</v>
      </c>
      <c r="G392" s="289">
        <v>2241</v>
      </c>
      <c r="H392" s="289">
        <v>11617</v>
      </c>
      <c r="I392" s="289">
        <v>1857</v>
      </c>
      <c r="J392" s="289">
        <v>571</v>
      </c>
      <c r="K392" s="289">
        <v>77</v>
      </c>
      <c r="L392" s="289">
        <v>170</v>
      </c>
      <c r="M392" s="289">
        <v>1134</v>
      </c>
      <c r="N392" s="290">
        <v>250</v>
      </c>
      <c r="O392" s="290">
        <v>153</v>
      </c>
      <c r="P392" s="624">
        <v>116148.867</v>
      </c>
      <c r="Q392" s="624">
        <v>74251.16566667</v>
      </c>
      <c r="R392" s="624">
        <v>106</v>
      </c>
      <c r="S392" s="289"/>
      <c r="T392" s="289">
        <v>1541</v>
      </c>
      <c r="U392" s="716">
        <v>3.3942942518611573E-3</v>
      </c>
      <c r="V392" s="289">
        <v>-703.8987138</v>
      </c>
      <c r="W392" s="743">
        <v>0.60671620999999998</v>
      </c>
      <c r="X392" s="289">
        <v>440</v>
      </c>
      <c r="Y392" s="289">
        <v>414.28399999999999</v>
      </c>
      <c r="Z392" s="289">
        <v>568373</v>
      </c>
      <c r="AA392" s="289">
        <v>0</v>
      </c>
      <c r="AB392" s="290">
        <v>415</v>
      </c>
      <c r="AC392" s="289">
        <v>0</v>
      </c>
      <c r="AD392" s="289">
        <v>0</v>
      </c>
      <c r="AE392" s="289">
        <v>0</v>
      </c>
      <c r="AF392" s="289">
        <v>0</v>
      </c>
      <c r="AG392" s="289">
        <v>20646</v>
      </c>
      <c r="AH392" s="289">
        <v>3857.8895381000002</v>
      </c>
      <c r="AI392" s="289">
        <v>3300</v>
      </c>
      <c r="AJ392" s="289">
        <v>0</v>
      </c>
      <c r="AK392" s="289">
        <v>0</v>
      </c>
      <c r="AL392" s="289">
        <v>169867</v>
      </c>
      <c r="AM392" s="836">
        <v>0.37786392000000002</v>
      </c>
      <c r="AN392" s="289">
        <v>0</v>
      </c>
      <c r="AO392" s="289">
        <v>808.45859894</v>
      </c>
      <c r="AP392" s="289">
        <v>0</v>
      </c>
      <c r="AQ392" s="289">
        <v>0</v>
      </c>
      <c r="AR392" s="289">
        <v>-1098.9391028299999</v>
      </c>
      <c r="AS392" s="289"/>
      <c r="AT392" s="289">
        <v>1172</v>
      </c>
      <c r="AU392" s="289">
        <v>201</v>
      </c>
      <c r="AV392" s="625">
        <v>690909</v>
      </c>
      <c r="AW392" s="289"/>
      <c r="AX392" s="625">
        <v>165.76666664999999</v>
      </c>
      <c r="AY392" s="289">
        <v>4839</v>
      </c>
      <c r="AZ392" s="289">
        <v>683</v>
      </c>
      <c r="BA392" s="290">
        <v>669</v>
      </c>
      <c r="BB392" s="289">
        <v>0</v>
      </c>
      <c r="BC392" s="289">
        <v>29695.27859306</v>
      </c>
      <c r="BD392" s="289">
        <v>281.02467441256204</v>
      </c>
      <c r="BE392" s="289">
        <v>722739.51236401999</v>
      </c>
      <c r="BF392" s="289">
        <v>0</v>
      </c>
      <c r="BG392" s="289">
        <v>-857.08069999999998</v>
      </c>
      <c r="BH392" s="289">
        <v>-58.294499999999999</v>
      </c>
      <c r="BI392" s="289">
        <v>30472.14020319</v>
      </c>
      <c r="BJ392" s="289">
        <v>0</v>
      </c>
      <c r="BK392" s="289">
        <v>0</v>
      </c>
      <c r="BL392" s="289">
        <v>0</v>
      </c>
      <c r="BM392" s="289">
        <v>0</v>
      </c>
      <c r="BN392" s="289">
        <v>1271.1025660161242</v>
      </c>
      <c r="BO392" s="289">
        <v>792.00599662138279</v>
      </c>
      <c r="BP392" s="289">
        <v>1869.3103144503498</v>
      </c>
      <c r="BQ392" s="289">
        <v>440.57939389157809</v>
      </c>
      <c r="BR392" s="289">
        <v>19.047227932406983</v>
      </c>
      <c r="BS392" s="289">
        <v>4.4581559433780313</v>
      </c>
      <c r="BT392" s="289">
        <v>0</v>
      </c>
      <c r="BU392" s="289">
        <v>26199.96666509</v>
      </c>
      <c r="BV392" s="289">
        <v>30.88807769193652</v>
      </c>
      <c r="BW392" s="517"/>
      <c r="BX392" s="517"/>
      <c r="CA392" s="517"/>
      <c r="CB392" s="517"/>
    </row>
    <row r="393" spans="1:80" ht="13">
      <c r="A393" s="1">
        <v>5404</v>
      </c>
      <c r="B393" s="2" t="s">
        <v>241</v>
      </c>
      <c r="C393" s="289">
        <v>2081</v>
      </c>
      <c r="D393" s="289">
        <v>28</v>
      </c>
      <c r="E393" s="289">
        <v>64</v>
      </c>
      <c r="F393" s="289">
        <v>179</v>
      </c>
      <c r="G393" s="289">
        <v>157</v>
      </c>
      <c r="H393" s="289">
        <v>1264</v>
      </c>
      <c r="I393" s="289">
        <v>298</v>
      </c>
      <c r="J393" s="289">
        <v>95</v>
      </c>
      <c r="K393" s="289">
        <v>17</v>
      </c>
      <c r="L393" s="289">
        <v>28</v>
      </c>
      <c r="M393" s="289">
        <v>231</v>
      </c>
      <c r="N393" s="290">
        <v>10</v>
      </c>
      <c r="O393" s="290">
        <v>24</v>
      </c>
      <c r="P393" s="624">
        <v>5167.7650000000003</v>
      </c>
      <c r="Q393" s="624">
        <v>2366.9940000000001</v>
      </c>
      <c r="R393" s="624">
        <v>8</v>
      </c>
      <c r="S393" s="289"/>
      <c r="T393" s="289">
        <v>291</v>
      </c>
      <c r="U393" s="716">
        <v>1.8508131036265937E-4</v>
      </c>
      <c r="V393" s="289">
        <v>948.19440715999997</v>
      </c>
      <c r="W393" s="743">
        <v>1</v>
      </c>
      <c r="X393" s="289">
        <v>1580</v>
      </c>
      <c r="Y393" s="289">
        <v>414.28399999999999</v>
      </c>
      <c r="Z393" s="289">
        <v>47631</v>
      </c>
      <c r="AA393" s="289">
        <v>0</v>
      </c>
      <c r="AB393" s="290">
        <v>25</v>
      </c>
      <c r="AC393" s="289">
        <v>0</v>
      </c>
      <c r="AD393" s="289">
        <v>0</v>
      </c>
      <c r="AE393" s="289">
        <v>0</v>
      </c>
      <c r="AF393" s="289">
        <v>0</v>
      </c>
      <c r="AG393" s="289">
        <v>2102</v>
      </c>
      <c r="AH393" s="289">
        <v>251.70759502000001</v>
      </c>
      <c r="AI393" s="289">
        <v>350</v>
      </c>
      <c r="AJ393" s="289">
        <v>0</v>
      </c>
      <c r="AK393" s="289">
        <v>0</v>
      </c>
      <c r="AL393" s="289">
        <v>17370</v>
      </c>
      <c r="AM393" s="836">
        <v>0.16999618</v>
      </c>
      <c r="AN393" s="289">
        <v>0</v>
      </c>
      <c r="AO393" s="289">
        <v>90.465299169999994</v>
      </c>
      <c r="AP393" s="289">
        <v>0</v>
      </c>
      <c r="AQ393" s="289">
        <v>0</v>
      </c>
      <c r="AR393" s="289">
        <v>-111.88462628000001</v>
      </c>
      <c r="AS393" s="289"/>
      <c r="AT393" s="289">
        <v>105</v>
      </c>
      <c r="AU393" s="289">
        <v>53</v>
      </c>
      <c r="AV393" s="625">
        <v>93284</v>
      </c>
      <c r="AW393" s="289"/>
      <c r="AX393" s="625">
        <v>10.2333333</v>
      </c>
      <c r="AY393" s="289">
        <v>321</v>
      </c>
      <c r="AZ393" s="289">
        <v>136</v>
      </c>
      <c r="BA393" s="290">
        <v>64</v>
      </c>
      <c r="BB393" s="289">
        <v>12341</v>
      </c>
      <c r="BC393" s="289">
        <v>645.40147475000003</v>
      </c>
      <c r="BD393" s="289">
        <v>44.793939909387475</v>
      </c>
      <c r="BE393" s="289">
        <v>97133.587077089993</v>
      </c>
      <c r="BF393" s="289">
        <v>0</v>
      </c>
      <c r="BG393" s="289">
        <v>-65.299899999999994</v>
      </c>
      <c r="BH393" s="289">
        <v>-5.9349999999999996</v>
      </c>
      <c r="BI393" s="289">
        <v>665.99159501999998</v>
      </c>
      <c r="BJ393" s="289">
        <v>0</v>
      </c>
      <c r="BK393" s="289">
        <v>0</v>
      </c>
      <c r="BL393" s="289">
        <v>0</v>
      </c>
      <c r="BM393" s="289">
        <v>0</v>
      </c>
      <c r="BN393" s="289">
        <v>187.86095558574991</v>
      </c>
      <c r="BO393" s="289">
        <v>111.18096171201852</v>
      </c>
      <c r="BP393" s="289">
        <v>190.31726634576361</v>
      </c>
      <c r="BQ393" s="289">
        <v>24.023554085073179</v>
      </c>
      <c r="BR393" s="289">
        <v>3.0360337049695953</v>
      </c>
      <c r="BS393" s="289">
        <v>0.76366655806124517</v>
      </c>
      <c r="BT393" s="289">
        <v>0</v>
      </c>
      <c r="BU393" s="289">
        <v>0</v>
      </c>
      <c r="BV393" s="289">
        <v>1.6842399243001998</v>
      </c>
      <c r="BW393" s="517"/>
      <c r="BX393" s="517"/>
      <c r="CA393" s="517"/>
      <c r="CB393" s="517"/>
    </row>
    <row r="394" spans="1:80" ht="13">
      <c r="A394" s="1">
        <v>5405</v>
      </c>
      <c r="B394" s="2" t="s">
        <v>242</v>
      </c>
      <c r="C394" s="289">
        <v>5894</v>
      </c>
      <c r="D394" s="289">
        <v>112</v>
      </c>
      <c r="E394" s="289">
        <v>205</v>
      </c>
      <c r="F394" s="289">
        <v>714</v>
      </c>
      <c r="G394" s="289">
        <v>680</v>
      </c>
      <c r="H394" s="289">
        <v>3290</v>
      </c>
      <c r="I394" s="289">
        <v>733</v>
      </c>
      <c r="J394" s="289">
        <v>226</v>
      </c>
      <c r="K394" s="289">
        <v>21</v>
      </c>
      <c r="L394" s="289">
        <v>58</v>
      </c>
      <c r="M394" s="289">
        <v>431</v>
      </c>
      <c r="N394" s="290">
        <v>266</v>
      </c>
      <c r="O394" s="290">
        <v>134</v>
      </c>
      <c r="P394" s="624">
        <v>22010.19333333</v>
      </c>
      <c r="Q394" s="624">
        <v>6483.6146666699997</v>
      </c>
      <c r="R394" s="624">
        <v>18</v>
      </c>
      <c r="S394" s="289"/>
      <c r="T394" s="289">
        <v>597</v>
      </c>
      <c r="U394" s="716">
        <v>7.823055178848927E-4</v>
      </c>
      <c r="V394" s="289">
        <v>2437.99443552</v>
      </c>
      <c r="W394" s="743">
        <v>0.59305810000000003</v>
      </c>
      <c r="X394" s="289">
        <v>560</v>
      </c>
      <c r="Y394" s="289">
        <v>414.28399999999999</v>
      </c>
      <c r="Z394" s="289">
        <v>153202</v>
      </c>
      <c r="AA394" s="289">
        <v>0</v>
      </c>
      <c r="AB394" s="290">
        <v>81</v>
      </c>
      <c r="AC394" s="289">
        <v>0</v>
      </c>
      <c r="AD394" s="289">
        <v>0</v>
      </c>
      <c r="AE394" s="289">
        <v>0</v>
      </c>
      <c r="AF394" s="289">
        <v>0</v>
      </c>
      <c r="AG394" s="289">
        <v>5981</v>
      </c>
      <c r="AH394" s="289">
        <v>994.97711384000002</v>
      </c>
      <c r="AI394" s="289">
        <v>250</v>
      </c>
      <c r="AJ394" s="289">
        <v>0</v>
      </c>
      <c r="AK394" s="289">
        <v>0</v>
      </c>
      <c r="AL394" s="289">
        <v>49664</v>
      </c>
      <c r="AM394" s="836">
        <v>0.33565761</v>
      </c>
      <c r="AN394" s="289">
        <v>0</v>
      </c>
      <c r="AO394" s="289">
        <v>232.60408870000001</v>
      </c>
      <c r="AP394" s="289">
        <v>0</v>
      </c>
      <c r="AQ394" s="289">
        <v>0</v>
      </c>
      <c r="AR394" s="289">
        <v>-318.35487619999998</v>
      </c>
      <c r="AS394" s="289"/>
      <c r="AT394" s="289">
        <v>303</v>
      </c>
      <c r="AU394" s="289">
        <v>80</v>
      </c>
      <c r="AV394" s="625">
        <v>195251</v>
      </c>
      <c r="AW394" s="289"/>
      <c r="AX394" s="625">
        <v>49.408333300000002</v>
      </c>
      <c r="AY394" s="289">
        <v>1406</v>
      </c>
      <c r="AZ394" s="289">
        <v>504</v>
      </c>
      <c r="BA394" s="290">
        <v>165</v>
      </c>
      <c r="BB394" s="289">
        <v>0</v>
      </c>
      <c r="BC394" s="289">
        <v>1441.70164649</v>
      </c>
      <c r="BD394" s="289">
        <v>121.82787050508936</v>
      </c>
      <c r="BE394" s="289">
        <v>203321.34392474999</v>
      </c>
      <c r="BF394" s="289">
        <v>0</v>
      </c>
      <c r="BG394" s="289">
        <v>-231.91550000000001</v>
      </c>
      <c r="BH394" s="289">
        <v>-16.887499999999999</v>
      </c>
      <c r="BI394" s="289">
        <v>1409.26111384</v>
      </c>
      <c r="BJ394" s="289">
        <v>0</v>
      </c>
      <c r="BK394" s="289">
        <v>0</v>
      </c>
      <c r="BL394" s="289">
        <v>0</v>
      </c>
      <c r="BM394" s="289">
        <v>0</v>
      </c>
      <c r="BN394" s="289">
        <v>390.82928995703918</v>
      </c>
      <c r="BO394" s="289">
        <v>241.14113562288458</v>
      </c>
      <c r="BP394" s="289">
        <v>541.52596099619984</v>
      </c>
      <c r="BQ394" s="289">
        <v>101.54325622145907</v>
      </c>
      <c r="BR394" s="289">
        <v>8.257222334233834</v>
      </c>
      <c r="BS394" s="289">
        <v>1.4248805265615603</v>
      </c>
      <c r="BT394" s="289">
        <v>0</v>
      </c>
      <c r="BU394" s="289">
        <v>0</v>
      </c>
      <c r="BV394" s="289">
        <v>7.1189802127525228</v>
      </c>
      <c r="BW394" s="517"/>
      <c r="BX394" s="517"/>
      <c r="CA394" s="517"/>
      <c r="CB394" s="517"/>
    </row>
    <row r="395" spans="1:80" ht="13">
      <c r="A395" s="1">
        <v>5411</v>
      </c>
      <c r="B395" s="2" t="s">
        <v>218</v>
      </c>
      <c r="C395" s="289">
        <v>2858</v>
      </c>
      <c r="D395" s="289">
        <v>51</v>
      </c>
      <c r="E395" s="289">
        <v>99</v>
      </c>
      <c r="F395" s="289">
        <v>338</v>
      </c>
      <c r="G395" s="289">
        <v>262</v>
      </c>
      <c r="H395" s="289">
        <v>1567</v>
      </c>
      <c r="I395" s="289">
        <v>419</v>
      </c>
      <c r="J395" s="289">
        <v>129</v>
      </c>
      <c r="K395" s="289">
        <v>27</v>
      </c>
      <c r="L395" s="289">
        <v>27</v>
      </c>
      <c r="M395" s="289">
        <v>269</v>
      </c>
      <c r="N395" s="290">
        <v>97</v>
      </c>
      <c r="O395" s="290">
        <v>40</v>
      </c>
      <c r="P395" s="624">
        <v>25153.429</v>
      </c>
      <c r="Q395" s="624">
        <v>11703.761</v>
      </c>
      <c r="R395" s="624">
        <v>27</v>
      </c>
      <c r="S395" s="289"/>
      <c r="T395" s="289">
        <v>230</v>
      </c>
      <c r="U395" s="716">
        <v>1.5099802144726928E-3</v>
      </c>
      <c r="V395" s="289">
        <v>1314.3542113399999</v>
      </c>
      <c r="W395" s="743">
        <v>0.80061481000000001</v>
      </c>
      <c r="X395" s="289">
        <v>1637</v>
      </c>
      <c r="Y395" s="289">
        <v>414.28399999999999</v>
      </c>
      <c r="Z395" s="289">
        <v>63611</v>
      </c>
      <c r="AA395" s="289">
        <v>0</v>
      </c>
      <c r="AB395" s="290">
        <v>73</v>
      </c>
      <c r="AC395" s="289">
        <v>0</v>
      </c>
      <c r="AD395" s="289">
        <v>0</v>
      </c>
      <c r="AE395" s="289">
        <v>0</v>
      </c>
      <c r="AF395" s="289">
        <v>0</v>
      </c>
      <c r="AG395" s="289">
        <v>2892</v>
      </c>
      <c r="AH395" s="289">
        <v>446.24061167000002</v>
      </c>
      <c r="AI395" s="289">
        <v>142.5</v>
      </c>
      <c r="AJ395" s="289">
        <v>0</v>
      </c>
      <c r="AK395" s="289">
        <v>0</v>
      </c>
      <c r="AL395" s="289">
        <v>9870</v>
      </c>
      <c r="AM395" s="836">
        <v>7.9396410000000001E-2</v>
      </c>
      <c r="AN395" s="289">
        <v>0</v>
      </c>
      <c r="AO395" s="289">
        <v>134.52086258</v>
      </c>
      <c r="AP395" s="289">
        <v>0</v>
      </c>
      <c r="AQ395" s="289">
        <v>0</v>
      </c>
      <c r="AR395" s="289">
        <v>-153.93450960999999</v>
      </c>
      <c r="AS395" s="289"/>
      <c r="AT395" s="289">
        <v>154</v>
      </c>
      <c r="AU395" s="289">
        <v>26</v>
      </c>
      <c r="AV395" s="625">
        <v>118539</v>
      </c>
      <c r="AW395" s="289"/>
      <c r="AX395" s="625">
        <v>21.4733333</v>
      </c>
      <c r="AY395" s="289">
        <v>589</v>
      </c>
      <c r="AZ395" s="289">
        <v>170</v>
      </c>
      <c r="BA395" s="290">
        <v>87</v>
      </c>
      <c r="BB395" s="289">
        <v>5698</v>
      </c>
      <c r="BC395" s="289">
        <v>853.82143435</v>
      </c>
      <c r="BD395" s="289">
        <v>48.614513600437689</v>
      </c>
      <c r="BE395" s="289">
        <v>121330.1075073</v>
      </c>
      <c r="BF395" s="289">
        <v>0</v>
      </c>
      <c r="BG395" s="289">
        <v>-118.2675</v>
      </c>
      <c r="BH395" s="289">
        <v>-8.1655999999999995</v>
      </c>
      <c r="BI395" s="289">
        <v>860.52461167000001</v>
      </c>
      <c r="BJ395" s="289">
        <v>0</v>
      </c>
      <c r="BK395" s="289">
        <v>0</v>
      </c>
      <c r="BL395" s="289">
        <v>0</v>
      </c>
      <c r="BM395" s="289">
        <v>0</v>
      </c>
      <c r="BN395" s="289">
        <v>279.57237876810257</v>
      </c>
      <c r="BO395" s="289">
        <v>147.72254861197504</v>
      </c>
      <c r="BP395" s="289">
        <v>261.84468804564619</v>
      </c>
      <c r="BQ395" s="289">
        <v>195.99543183855548</v>
      </c>
      <c r="BR395" s="289">
        <v>3.2949836995852215</v>
      </c>
      <c r="BS395" s="289">
        <v>0.85876083583920726</v>
      </c>
      <c r="BT395" s="289">
        <v>0</v>
      </c>
      <c r="BU395" s="289">
        <v>0</v>
      </c>
      <c r="BV395" s="289">
        <v>13.740819951701503</v>
      </c>
      <c r="BW395" s="517"/>
      <c r="BX395" s="517"/>
      <c r="CA395" s="517"/>
      <c r="CB395" s="517"/>
    </row>
    <row r="396" spans="1:80" ht="13">
      <c r="A396" s="1">
        <v>5413</v>
      </c>
      <c r="B396" s="2" t="s">
        <v>221</v>
      </c>
      <c r="C396" s="289">
        <v>1375</v>
      </c>
      <c r="D396" s="289">
        <v>20</v>
      </c>
      <c r="E396" s="289">
        <v>37</v>
      </c>
      <c r="F396" s="289">
        <v>127</v>
      </c>
      <c r="G396" s="289">
        <v>126</v>
      </c>
      <c r="H396" s="289">
        <v>684</v>
      </c>
      <c r="I396" s="289">
        <v>264</v>
      </c>
      <c r="J396" s="289">
        <v>105</v>
      </c>
      <c r="K396" s="289">
        <v>23</v>
      </c>
      <c r="L396" s="289">
        <v>12</v>
      </c>
      <c r="M396" s="289">
        <v>190</v>
      </c>
      <c r="N396" s="290">
        <v>20</v>
      </c>
      <c r="O396" s="290">
        <v>16</v>
      </c>
      <c r="P396" s="624">
        <v>12070.928666670001</v>
      </c>
      <c r="Q396" s="624">
        <v>5115.4153333300001</v>
      </c>
      <c r="R396" s="624">
        <v>9</v>
      </c>
      <c r="S396" s="289"/>
      <c r="T396" s="289">
        <v>133</v>
      </c>
      <c r="U396" s="716">
        <v>1.0463732990573886E-3</v>
      </c>
      <c r="V396" s="289">
        <v>-1822.2140352900001</v>
      </c>
      <c r="W396" s="743">
        <v>1</v>
      </c>
      <c r="X396" s="289">
        <v>1467</v>
      </c>
      <c r="Y396" s="289">
        <v>414.28399999999999</v>
      </c>
      <c r="Z396" s="289">
        <v>36128</v>
      </c>
      <c r="AA396" s="289">
        <v>0</v>
      </c>
      <c r="AB396" s="290">
        <v>24</v>
      </c>
      <c r="AC396" s="289">
        <v>0</v>
      </c>
      <c r="AD396" s="289">
        <v>0</v>
      </c>
      <c r="AE396" s="289">
        <v>0</v>
      </c>
      <c r="AF396" s="289">
        <v>0</v>
      </c>
      <c r="AG396" s="289">
        <v>1386</v>
      </c>
      <c r="AH396" s="289">
        <v>182.67975039999999</v>
      </c>
      <c r="AI396" s="289">
        <v>0</v>
      </c>
      <c r="AJ396" s="289">
        <v>0</v>
      </c>
      <c r="AK396" s="289">
        <v>0</v>
      </c>
      <c r="AL396" s="289">
        <v>4652</v>
      </c>
      <c r="AM396" s="836">
        <v>2.36736E-2</v>
      </c>
      <c r="AN396" s="289">
        <v>0</v>
      </c>
      <c r="AO396" s="289">
        <v>72.413306640000002</v>
      </c>
      <c r="AP396" s="289">
        <v>0</v>
      </c>
      <c r="AQ396" s="289">
        <v>0</v>
      </c>
      <c r="AR396" s="289">
        <v>-73.773592780000001</v>
      </c>
      <c r="AS396" s="289"/>
      <c r="AT396" s="289">
        <v>68</v>
      </c>
      <c r="AU396" s="289">
        <v>17</v>
      </c>
      <c r="AV396" s="625">
        <v>67995</v>
      </c>
      <c r="AW396" s="289"/>
      <c r="AX396" s="625">
        <v>12.07333335</v>
      </c>
      <c r="AY396" s="289">
        <v>208</v>
      </c>
      <c r="AZ396" s="289">
        <v>39</v>
      </c>
      <c r="BA396" s="290">
        <v>41</v>
      </c>
      <c r="BB396" s="289">
        <v>5698</v>
      </c>
      <c r="BC396" s="289">
        <v>585.36746464999999</v>
      </c>
      <c r="BD396" s="289">
        <v>19.853771417619026</v>
      </c>
      <c r="BE396" s="289">
        <v>70181.664380129994</v>
      </c>
      <c r="BF396" s="289">
        <v>0</v>
      </c>
      <c r="BG396" s="289">
        <v>-51.851799999999997</v>
      </c>
      <c r="BH396" s="289">
        <v>-3.9134000000000002</v>
      </c>
      <c r="BI396" s="289">
        <v>596.96375039999998</v>
      </c>
      <c r="BJ396" s="289">
        <v>0</v>
      </c>
      <c r="BK396" s="289">
        <v>0</v>
      </c>
      <c r="BL396" s="289">
        <v>0</v>
      </c>
      <c r="BM396" s="289">
        <v>0</v>
      </c>
      <c r="BN396" s="289">
        <v>168.48612217162713</v>
      </c>
      <c r="BO396" s="289">
        <v>97.08474983760081</v>
      </c>
      <c r="BP396" s="289">
        <v>125.48988161523708</v>
      </c>
      <c r="BQ396" s="289">
        <v>135.81925421764905</v>
      </c>
      <c r="BR396" s="289">
        <v>1.3456445071941787</v>
      </c>
      <c r="BS396" s="289">
        <v>0.6160760410068854</v>
      </c>
      <c r="BT396" s="289">
        <v>0</v>
      </c>
      <c r="BU396" s="289">
        <v>0</v>
      </c>
      <c r="BV396" s="289">
        <v>9.5219970214222354</v>
      </c>
      <c r="BW396" s="517"/>
      <c r="BX396" s="517"/>
      <c r="CA396" s="517"/>
      <c r="CB396" s="517"/>
    </row>
    <row r="397" spans="1:80" ht="13">
      <c r="A397" s="1">
        <v>5414</v>
      </c>
      <c r="B397" s="2" t="s">
        <v>222</v>
      </c>
      <c r="C397" s="289">
        <v>1105</v>
      </c>
      <c r="D397" s="289">
        <v>11</v>
      </c>
      <c r="E397" s="289">
        <v>38</v>
      </c>
      <c r="F397" s="289">
        <v>110</v>
      </c>
      <c r="G397" s="289">
        <v>99</v>
      </c>
      <c r="H397" s="289">
        <v>585</v>
      </c>
      <c r="I397" s="289">
        <v>169</v>
      </c>
      <c r="J397" s="289">
        <v>67</v>
      </c>
      <c r="K397" s="289">
        <v>21</v>
      </c>
      <c r="L397" s="289">
        <v>8</v>
      </c>
      <c r="M397" s="289">
        <v>128</v>
      </c>
      <c r="N397" s="290">
        <v>10</v>
      </c>
      <c r="O397" s="290">
        <v>18</v>
      </c>
      <c r="P397" s="624">
        <v>9141.2843333300007</v>
      </c>
      <c r="Q397" s="624">
        <v>4947.6540000000005</v>
      </c>
      <c r="R397" s="624">
        <v>7</v>
      </c>
      <c r="S397" s="289"/>
      <c r="T397" s="289">
        <v>113</v>
      </c>
      <c r="U397" s="716">
        <v>6.8164366914642458E-4</v>
      </c>
      <c r="V397" s="289">
        <v>-3683.7564240800002</v>
      </c>
      <c r="W397" s="743">
        <v>1</v>
      </c>
      <c r="X397" s="289">
        <v>1946</v>
      </c>
      <c r="Y397" s="289">
        <v>414.28399999999999</v>
      </c>
      <c r="Z397" s="289">
        <v>28318</v>
      </c>
      <c r="AA397" s="289">
        <v>0</v>
      </c>
      <c r="AB397" s="290">
        <v>32</v>
      </c>
      <c r="AC397" s="289">
        <v>0</v>
      </c>
      <c r="AD397" s="289">
        <v>0</v>
      </c>
      <c r="AE397" s="289">
        <v>0</v>
      </c>
      <c r="AF397" s="289">
        <v>0</v>
      </c>
      <c r="AG397" s="289">
        <v>1100</v>
      </c>
      <c r="AH397" s="289">
        <v>157.57871599999999</v>
      </c>
      <c r="AI397" s="289">
        <v>0</v>
      </c>
      <c r="AJ397" s="289">
        <v>0</v>
      </c>
      <c r="AK397" s="289">
        <v>0</v>
      </c>
      <c r="AL397" s="289">
        <v>3765</v>
      </c>
      <c r="AM397" s="836">
        <v>2.865297E-2</v>
      </c>
      <c r="AN397" s="289">
        <v>0</v>
      </c>
      <c r="AO397" s="289">
        <v>58.985361689999998</v>
      </c>
      <c r="AP397" s="289">
        <v>0</v>
      </c>
      <c r="AQ397" s="289">
        <v>0</v>
      </c>
      <c r="AR397" s="289">
        <v>346.97830352</v>
      </c>
      <c r="AS397" s="289"/>
      <c r="AT397" s="289">
        <v>50</v>
      </c>
      <c r="AU397" s="289">
        <v>13</v>
      </c>
      <c r="AV397" s="625">
        <v>57643</v>
      </c>
      <c r="AW397" s="289"/>
      <c r="AX397" s="625">
        <v>2.0133333000000002</v>
      </c>
      <c r="AY397" s="289">
        <v>183</v>
      </c>
      <c r="AZ397" s="289">
        <v>55</v>
      </c>
      <c r="BA397" s="290">
        <v>23</v>
      </c>
      <c r="BB397" s="289">
        <v>5698</v>
      </c>
      <c r="BC397" s="289">
        <v>564.97855556000002</v>
      </c>
      <c r="BD397" s="289">
        <v>18.079141330638521</v>
      </c>
      <c r="BE397" s="289">
        <v>57636.360696490003</v>
      </c>
      <c r="BF397" s="289">
        <v>0</v>
      </c>
      <c r="BG397" s="289">
        <v>-46.576099999999997</v>
      </c>
      <c r="BH397" s="289">
        <v>-3.1059000000000001</v>
      </c>
      <c r="BI397" s="289">
        <v>571.86271599999998</v>
      </c>
      <c r="BJ397" s="289">
        <v>0</v>
      </c>
      <c r="BK397" s="289">
        <v>0</v>
      </c>
      <c r="BL397" s="289">
        <v>0</v>
      </c>
      <c r="BM397" s="289">
        <v>0</v>
      </c>
      <c r="BN397" s="289">
        <v>125.86575010727995</v>
      </c>
      <c r="BO397" s="289">
        <v>81.689921085083284</v>
      </c>
      <c r="BP397" s="289">
        <v>99.59514413907705</v>
      </c>
      <c r="BQ397" s="289">
        <v>88.477348255205897</v>
      </c>
      <c r="BR397" s="289">
        <v>1.2253640235210554</v>
      </c>
      <c r="BS397" s="289">
        <v>0.55886759971083644</v>
      </c>
      <c r="BT397" s="289">
        <v>0</v>
      </c>
      <c r="BU397" s="289">
        <v>0</v>
      </c>
      <c r="BV397" s="289">
        <v>6.2029573892324619</v>
      </c>
      <c r="BW397" s="517"/>
      <c r="BX397" s="517"/>
      <c r="CA397" s="517"/>
      <c r="CB397" s="517"/>
    </row>
    <row r="398" spans="1:80" ht="13">
      <c r="A398" s="1">
        <v>5415</v>
      </c>
      <c r="B398" s="2" t="s">
        <v>223</v>
      </c>
      <c r="C398" s="289">
        <v>1042</v>
      </c>
      <c r="D398" s="289">
        <v>18</v>
      </c>
      <c r="E398" s="289">
        <v>47</v>
      </c>
      <c r="F398" s="289">
        <v>139</v>
      </c>
      <c r="G398" s="289">
        <v>90</v>
      </c>
      <c r="H398" s="289">
        <v>521</v>
      </c>
      <c r="I398" s="289">
        <v>161</v>
      </c>
      <c r="J398" s="289">
        <v>60</v>
      </c>
      <c r="K398" s="289">
        <v>18</v>
      </c>
      <c r="L398" s="289">
        <v>8</v>
      </c>
      <c r="M398" s="289">
        <v>110</v>
      </c>
      <c r="N398" s="290">
        <v>0</v>
      </c>
      <c r="O398" s="290">
        <v>22</v>
      </c>
      <c r="P398" s="624">
        <v>3363.527</v>
      </c>
      <c r="Q398" s="624">
        <v>4178.6580000000004</v>
      </c>
      <c r="R398" s="624">
        <v>5</v>
      </c>
      <c r="S398" s="289"/>
      <c r="T398" s="289">
        <v>65</v>
      </c>
      <c r="U398" s="716">
        <v>6.9128265624445579E-4</v>
      </c>
      <c r="V398" s="289">
        <v>430.47046554999997</v>
      </c>
      <c r="W398" s="743">
        <v>0.97910425000000001</v>
      </c>
      <c r="X398" s="289">
        <v>1571</v>
      </c>
      <c r="Y398" s="289">
        <v>414.28399999999999</v>
      </c>
      <c r="Z398" s="289">
        <v>22320</v>
      </c>
      <c r="AA398" s="289">
        <v>0</v>
      </c>
      <c r="AB398" s="290">
        <v>30</v>
      </c>
      <c r="AC398" s="289">
        <v>0</v>
      </c>
      <c r="AD398" s="289">
        <v>0</v>
      </c>
      <c r="AE398" s="289">
        <v>201</v>
      </c>
      <c r="AF398" s="289">
        <v>0</v>
      </c>
      <c r="AG398" s="289">
        <v>1054</v>
      </c>
      <c r="AH398" s="289">
        <v>181.98249945000001</v>
      </c>
      <c r="AI398" s="289">
        <v>1000</v>
      </c>
      <c r="AJ398" s="289">
        <v>0</v>
      </c>
      <c r="AK398" s="289">
        <v>0</v>
      </c>
      <c r="AL398" s="289">
        <v>3577</v>
      </c>
      <c r="AM398" s="836">
        <v>4.417169E-2</v>
      </c>
      <c r="AN398" s="289">
        <v>0</v>
      </c>
      <c r="AO398" s="289">
        <v>59.31231425</v>
      </c>
      <c r="AP398" s="289">
        <v>0</v>
      </c>
      <c r="AQ398" s="289">
        <v>0</v>
      </c>
      <c r="AR398" s="289">
        <v>-56.101996239999998</v>
      </c>
      <c r="AS398" s="289"/>
      <c r="AT398" s="289">
        <v>45</v>
      </c>
      <c r="AU398" s="289">
        <v>13</v>
      </c>
      <c r="AV398" s="625">
        <v>61610</v>
      </c>
      <c r="AW398" s="289"/>
      <c r="AX398" s="625">
        <v>8.9933332999999998</v>
      </c>
      <c r="AY398" s="289">
        <v>169</v>
      </c>
      <c r="AZ398" s="289">
        <v>85</v>
      </c>
      <c r="BA398" s="290">
        <v>39</v>
      </c>
      <c r="BB398" s="289">
        <v>5698</v>
      </c>
      <c r="BC398" s="289">
        <v>584.23474748000001</v>
      </c>
      <c r="BD398" s="289">
        <v>14.574527135575606</v>
      </c>
      <c r="BE398" s="289">
        <v>63123.154848769998</v>
      </c>
      <c r="BF398" s="289">
        <v>0</v>
      </c>
      <c r="BG398" s="289">
        <v>-53.781100000000002</v>
      </c>
      <c r="BH398" s="289">
        <v>-2.976</v>
      </c>
      <c r="BI398" s="289">
        <v>596.26649944999997</v>
      </c>
      <c r="BJ398" s="289">
        <v>0</v>
      </c>
      <c r="BK398" s="289">
        <v>0</v>
      </c>
      <c r="BL398" s="289">
        <v>0</v>
      </c>
      <c r="BM398" s="289">
        <v>0</v>
      </c>
      <c r="BN398" s="289">
        <v>110.82453362114518</v>
      </c>
      <c r="BO398" s="289">
        <v>77.530838639170327</v>
      </c>
      <c r="BP398" s="289">
        <v>95.43025629326111</v>
      </c>
      <c r="BQ398" s="289">
        <v>89.728488780530341</v>
      </c>
      <c r="BR398" s="289">
        <v>0.9878290614112355</v>
      </c>
      <c r="BS398" s="289">
        <v>0.54272671255066651</v>
      </c>
      <c r="BT398" s="289">
        <v>0</v>
      </c>
      <c r="BU398" s="289">
        <v>0</v>
      </c>
      <c r="BV398" s="289">
        <v>6.2906721718245473</v>
      </c>
      <c r="BW398" s="517"/>
      <c r="BX398" s="517"/>
      <c r="CA398" s="517"/>
      <c r="CB398" s="517"/>
    </row>
    <row r="399" spans="1:80" ht="13">
      <c r="A399" s="1">
        <v>5416</v>
      </c>
      <c r="B399" s="2" t="s">
        <v>224</v>
      </c>
      <c r="C399" s="289">
        <v>4030</v>
      </c>
      <c r="D399" s="289">
        <v>75</v>
      </c>
      <c r="E399" s="289">
        <v>186</v>
      </c>
      <c r="F399" s="289">
        <v>482</v>
      </c>
      <c r="G399" s="289">
        <v>357</v>
      </c>
      <c r="H399" s="289">
        <v>2185</v>
      </c>
      <c r="I399" s="289">
        <v>523</v>
      </c>
      <c r="J399" s="289">
        <v>137</v>
      </c>
      <c r="K399" s="289">
        <v>38</v>
      </c>
      <c r="L399" s="289">
        <v>34</v>
      </c>
      <c r="M399" s="289">
        <v>297</v>
      </c>
      <c r="N399" s="290">
        <v>62</v>
      </c>
      <c r="O399" s="290">
        <v>41</v>
      </c>
      <c r="P399" s="624">
        <v>23454.382000000001</v>
      </c>
      <c r="Q399" s="624">
        <v>11588.624333330001</v>
      </c>
      <c r="R399" s="624">
        <v>17</v>
      </c>
      <c r="S399" s="289"/>
      <c r="T399" s="289">
        <v>264</v>
      </c>
      <c r="U399" s="716">
        <v>1.5935052930608929E-3</v>
      </c>
      <c r="V399" s="289">
        <v>1714.58406857</v>
      </c>
      <c r="W399" s="743">
        <v>0.79540060000000001</v>
      </c>
      <c r="X399" s="289">
        <v>1552</v>
      </c>
      <c r="Y399" s="289">
        <v>414.28399999999999</v>
      </c>
      <c r="Z399" s="289">
        <v>127207</v>
      </c>
      <c r="AA399" s="289">
        <v>0</v>
      </c>
      <c r="AB399" s="290">
        <v>67</v>
      </c>
      <c r="AC399" s="289">
        <v>0</v>
      </c>
      <c r="AD399" s="289">
        <v>0</v>
      </c>
      <c r="AE399" s="289">
        <v>0</v>
      </c>
      <c r="AF399" s="289">
        <v>0</v>
      </c>
      <c r="AG399" s="289">
        <v>3983</v>
      </c>
      <c r="AH399" s="289">
        <v>647.74613787999999</v>
      </c>
      <c r="AI399" s="289">
        <v>300</v>
      </c>
      <c r="AJ399" s="289">
        <v>0</v>
      </c>
      <c r="AK399" s="289">
        <v>0</v>
      </c>
      <c r="AL399" s="289">
        <v>13413</v>
      </c>
      <c r="AM399" s="836">
        <v>1.9262979999999999E-2</v>
      </c>
      <c r="AN399" s="289">
        <v>0</v>
      </c>
      <c r="AO399" s="289">
        <v>163.58497745</v>
      </c>
      <c r="AP399" s="289">
        <v>0</v>
      </c>
      <c r="AQ399" s="289">
        <v>0</v>
      </c>
      <c r="AR399" s="289">
        <v>-212.00593076999999</v>
      </c>
      <c r="AS399" s="289"/>
      <c r="AT399" s="289">
        <v>138</v>
      </c>
      <c r="AU399" s="289">
        <v>17</v>
      </c>
      <c r="AV399" s="625">
        <v>121099</v>
      </c>
      <c r="AW399" s="289"/>
      <c r="AX399" s="625">
        <v>30.14</v>
      </c>
      <c r="AY399" s="289">
        <v>865</v>
      </c>
      <c r="AZ399" s="289">
        <v>130</v>
      </c>
      <c r="BA399" s="290">
        <v>53</v>
      </c>
      <c r="BB399" s="289">
        <v>0</v>
      </c>
      <c r="BC399" s="289">
        <v>1013.53455557</v>
      </c>
      <c r="BD399" s="289">
        <v>46.855180330346357</v>
      </c>
      <c r="BE399" s="289">
        <v>128863.50308813</v>
      </c>
      <c r="BF399" s="289">
        <v>0</v>
      </c>
      <c r="BG399" s="289">
        <v>-159.36250000000001</v>
      </c>
      <c r="BH399" s="289">
        <v>-11.2461</v>
      </c>
      <c r="BI399" s="289">
        <v>1062.03013788</v>
      </c>
      <c r="BJ399" s="289">
        <v>0</v>
      </c>
      <c r="BK399" s="289">
        <v>0</v>
      </c>
      <c r="BL399" s="289">
        <v>0</v>
      </c>
      <c r="BM399" s="289">
        <v>0</v>
      </c>
      <c r="BN399" s="289">
        <v>295.86186569848144</v>
      </c>
      <c r="BO399" s="289">
        <v>182.97138417380145</v>
      </c>
      <c r="BP399" s="289">
        <v>360.62496282358535</v>
      </c>
      <c r="BQ399" s="289">
        <v>206.83698703930384</v>
      </c>
      <c r="BR399" s="289">
        <v>3.1757400001679201</v>
      </c>
      <c r="BS399" s="289">
        <v>1.0818761933826777</v>
      </c>
      <c r="BT399" s="289">
        <v>0</v>
      </c>
      <c r="BU399" s="289">
        <v>0</v>
      </c>
      <c r="BV399" s="289">
        <v>14.500898166854121</v>
      </c>
      <c r="BW399" s="517"/>
      <c r="BX399" s="517"/>
      <c r="CA399" s="517"/>
      <c r="CB399" s="517"/>
    </row>
    <row r="400" spans="1:80" ht="13">
      <c r="A400" s="1">
        <v>5417</v>
      </c>
      <c r="B400" s="2" t="s">
        <v>225</v>
      </c>
      <c r="C400" s="289">
        <v>2183</v>
      </c>
      <c r="D400" s="289">
        <v>28</v>
      </c>
      <c r="E400" s="289">
        <v>69</v>
      </c>
      <c r="F400" s="289">
        <v>234</v>
      </c>
      <c r="G400" s="289">
        <v>288</v>
      </c>
      <c r="H400" s="289">
        <v>1169</v>
      </c>
      <c r="I400" s="289">
        <v>336</v>
      </c>
      <c r="J400" s="289">
        <v>85</v>
      </c>
      <c r="K400" s="289">
        <v>15</v>
      </c>
      <c r="L400" s="289">
        <v>18</v>
      </c>
      <c r="M400" s="289">
        <v>220</v>
      </c>
      <c r="N400" s="290">
        <v>48</v>
      </c>
      <c r="O400" s="290">
        <v>26</v>
      </c>
      <c r="P400" s="624">
        <v>10745.742</v>
      </c>
      <c r="Q400" s="624">
        <v>6400.0410000000002</v>
      </c>
      <c r="R400" s="624">
        <v>12</v>
      </c>
      <c r="S400" s="289"/>
      <c r="T400" s="289">
        <v>204</v>
      </c>
      <c r="U400" s="716">
        <v>9.5059214414286149E-4</v>
      </c>
      <c r="V400" s="289">
        <v>992.34582347000003</v>
      </c>
      <c r="W400" s="743">
        <v>0.88519009000000004</v>
      </c>
      <c r="X400" s="289">
        <v>1755</v>
      </c>
      <c r="Y400" s="289">
        <v>414.28399999999999</v>
      </c>
      <c r="Z400" s="289">
        <v>56979</v>
      </c>
      <c r="AA400" s="289">
        <v>0</v>
      </c>
      <c r="AB400" s="290">
        <v>54</v>
      </c>
      <c r="AC400" s="289">
        <v>0</v>
      </c>
      <c r="AD400" s="289">
        <v>0</v>
      </c>
      <c r="AE400" s="289">
        <v>0</v>
      </c>
      <c r="AF400" s="289">
        <v>0</v>
      </c>
      <c r="AG400" s="289">
        <v>2224</v>
      </c>
      <c r="AH400" s="289">
        <v>356.29523838</v>
      </c>
      <c r="AI400" s="289">
        <v>0</v>
      </c>
      <c r="AJ400" s="289">
        <v>0</v>
      </c>
      <c r="AK400" s="289">
        <v>25.632000000000001</v>
      </c>
      <c r="AL400" s="289">
        <v>7504</v>
      </c>
      <c r="AM400" s="836">
        <v>5.6146059999999998E-2</v>
      </c>
      <c r="AN400" s="289">
        <v>0</v>
      </c>
      <c r="AO400" s="289">
        <v>94.677695970000002</v>
      </c>
      <c r="AP400" s="289">
        <v>0</v>
      </c>
      <c r="AQ400" s="289">
        <v>0</v>
      </c>
      <c r="AR400" s="289">
        <v>386.09026503000001</v>
      </c>
      <c r="AS400" s="289"/>
      <c r="AT400" s="289">
        <v>92</v>
      </c>
      <c r="AU400" s="289">
        <v>21</v>
      </c>
      <c r="AV400" s="625">
        <v>82251</v>
      </c>
      <c r="AW400" s="289"/>
      <c r="AX400" s="625">
        <v>10.4733333</v>
      </c>
      <c r="AY400" s="289">
        <v>445</v>
      </c>
      <c r="AZ400" s="289">
        <v>144</v>
      </c>
      <c r="BA400" s="290">
        <v>49</v>
      </c>
      <c r="BB400" s="289">
        <v>5698</v>
      </c>
      <c r="BC400" s="289">
        <v>763.20406061000006</v>
      </c>
      <c r="BD400" s="289">
        <v>36.591915453560226</v>
      </c>
      <c r="BE400" s="289">
        <v>83273.795443990006</v>
      </c>
      <c r="BF400" s="289">
        <v>0</v>
      </c>
      <c r="BG400" s="289">
        <v>-82.885999999999996</v>
      </c>
      <c r="BH400" s="289">
        <v>-6.2794999999999996</v>
      </c>
      <c r="BI400" s="289">
        <v>770.57923837999999</v>
      </c>
      <c r="BJ400" s="289">
        <v>0</v>
      </c>
      <c r="BK400" s="289">
        <v>0</v>
      </c>
      <c r="BL400" s="289">
        <v>0</v>
      </c>
      <c r="BM400" s="289">
        <v>0</v>
      </c>
      <c r="BN400" s="289">
        <v>184.12132951343335</v>
      </c>
      <c r="BO400" s="289">
        <v>118.91461648250457</v>
      </c>
      <c r="BP400" s="289">
        <v>201.36327324118852</v>
      </c>
      <c r="BQ400" s="289">
        <v>123.38686030974338</v>
      </c>
      <c r="BR400" s="289">
        <v>2.4801187140746381</v>
      </c>
      <c r="BS400" s="289">
        <v>0.75048282854812787</v>
      </c>
      <c r="BT400" s="289">
        <v>0</v>
      </c>
      <c r="BU400" s="289">
        <v>0</v>
      </c>
      <c r="BV400" s="289">
        <v>8.6503885117000348</v>
      </c>
      <c r="BW400" s="517"/>
      <c r="BX400" s="517"/>
      <c r="CA400" s="517"/>
      <c r="CB400" s="517"/>
    </row>
    <row r="401" spans="1:80" ht="13">
      <c r="A401" s="1">
        <v>5418</v>
      </c>
      <c r="B401" s="2" t="s">
        <v>226</v>
      </c>
      <c r="C401" s="289">
        <v>6805</v>
      </c>
      <c r="D401" s="289">
        <v>139</v>
      </c>
      <c r="E401" s="289">
        <v>297</v>
      </c>
      <c r="F401" s="289">
        <v>731</v>
      </c>
      <c r="G401" s="289">
        <v>657</v>
      </c>
      <c r="H401" s="289">
        <v>3798</v>
      </c>
      <c r="I401" s="289">
        <v>794</v>
      </c>
      <c r="J401" s="289">
        <v>296</v>
      </c>
      <c r="K401" s="289">
        <v>72</v>
      </c>
      <c r="L401" s="289">
        <v>52</v>
      </c>
      <c r="M401" s="289">
        <v>527</v>
      </c>
      <c r="N401" s="290">
        <v>42</v>
      </c>
      <c r="O401" s="290">
        <v>32</v>
      </c>
      <c r="P401" s="624">
        <v>82250.361999999994</v>
      </c>
      <c r="Q401" s="624">
        <v>32872.781000000003</v>
      </c>
      <c r="R401" s="624">
        <v>32</v>
      </c>
      <c r="S401" s="289"/>
      <c r="T401" s="289">
        <v>487</v>
      </c>
      <c r="U401" s="716">
        <v>2.8798866619414933E-3</v>
      </c>
      <c r="V401" s="289">
        <v>-358.56089745999998</v>
      </c>
      <c r="W401" s="743">
        <v>0.82518775</v>
      </c>
      <c r="X401" s="289">
        <v>1557</v>
      </c>
      <c r="Y401" s="289">
        <v>414.28399999999999</v>
      </c>
      <c r="Z401" s="289">
        <v>195569</v>
      </c>
      <c r="AA401" s="289">
        <v>0</v>
      </c>
      <c r="AB401" s="290">
        <v>156</v>
      </c>
      <c r="AC401" s="289">
        <v>0</v>
      </c>
      <c r="AD401" s="289">
        <v>0</v>
      </c>
      <c r="AE401" s="289">
        <v>0</v>
      </c>
      <c r="AF401" s="289">
        <v>0</v>
      </c>
      <c r="AG401" s="289">
        <v>6784</v>
      </c>
      <c r="AH401" s="289">
        <v>1052.8489431600001</v>
      </c>
      <c r="AI401" s="289">
        <v>1865</v>
      </c>
      <c r="AJ401" s="289">
        <v>0</v>
      </c>
      <c r="AK401" s="289">
        <v>0</v>
      </c>
      <c r="AL401" s="289">
        <v>22916</v>
      </c>
      <c r="AM401" s="836">
        <v>4.7902309999999997E-2</v>
      </c>
      <c r="AN401" s="289">
        <v>0</v>
      </c>
      <c r="AO401" s="289">
        <v>275.90448498000001</v>
      </c>
      <c r="AP401" s="289">
        <v>0</v>
      </c>
      <c r="AQ401" s="289">
        <v>0</v>
      </c>
      <c r="AR401" s="289">
        <v>-361.09671964</v>
      </c>
      <c r="AS401" s="289"/>
      <c r="AT401" s="289">
        <v>300</v>
      </c>
      <c r="AU401" s="289">
        <v>47</v>
      </c>
      <c r="AV401" s="625">
        <v>201721</v>
      </c>
      <c r="AW401" s="289"/>
      <c r="AX401" s="625">
        <v>48.621666650000002</v>
      </c>
      <c r="AY401" s="289">
        <v>1430</v>
      </c>
      <c r="AZ401" s="289">
        <v>157</v>
      </c>
      <c r="BA401" s="290">
        <v>131</v>
      </c>
      <c r="BB401" s="289">
        <v>0</v>
      </c>
      <c r="BC401" s="289">
        <v>1471.1522929499999</v>
      </c>
      <c r="BD401" s="289">
        <v>82.948829887070644</v>
      </c>
      <c r="BE401" s="289">
        <v>211174.95525599</v>
      </c>
      <c r="BF401" s="289">
        <v>0</v>
      </c>
      <c r="BG401" s="289">
        <v>-249.53890000000001</v>
      </c>
      <c r="BH401" s="289">
        <v>-19.154800000000002</v>
      </c>
      <c r="BI401" s="289">
        <v>1467.13294316</v>
      </c>
      <c r="BJ401" s="289">
        <v>0</v>
      </c>
      <c r="BK401" s="289">
        <v>0</v>
      </c>
      <c r="BL401" s="289">
        <v>0</v>
      </c>
      <c r="BM401" s="289">
        <v>0</v>
      </c>
      <c r="BN401" s="289">
        <v>537.35886105502016</v>
      </c>
      <c r="BO401" s="289">
        <v>312.70526461846129</v>
      </c>
      <c r="BP401" s="289">
        <v>614.23041621772609</v>
      </c>
      <c r="BQ401" s="289">
        <v>373.80928872000572</v>
      </c>
      <c r="BR401" s="289">
        <v>5.622087359012566</v>
      </c>
      <c r="BS401" s="289">
        <v>1.6684878656739655</v>
      </c>
      <c r="BT401" s="289">
        <v>0</v>
      </c>
      <c r="BU401" s="289">
        <v>0</v>
      </c>
      <c r="BV401" s="289">
        <v>26.206968623667585</v>
      </c>
      <c r="BW401" s="517"/>
      <c r="BX401" s="517"/>
      <c r="CA401" s="517"/>
      <c r="CB401" s="517"/>
    </row>
    <row r="402" spans="1:80" ht="13">
      <c r="A402" s="1">
        <v>5419</v>
      </c>
      <c r="B402" s="2" t="s">
        <v>227</v>
      </c>
      <c r="C402" s="289">
        <v>3489</v>
      </c>
      <c r="D402" s="289">
        <v>67</v>
      </c>
      <c r="E402" s="289">
        <v>153</v>
      </c>
      <c r="F402" s="289">
        <v>416</v>
      </c>
      <c r="G402" s="289">
        <v>346</v>
      </c>
      <c r="H402" s="289">
        <v>1923</v>
      </c>
      <c r="I402" s="289">
        <v>436</v>
      </c>
      <c r="J402" s="289">
        <v>131</v>
      </c>
      <c r="K402" s="289">
        <v>24</v>
      </c>
      <c r="L402" s="289">
        <v>31</v>
      </c>
      <c r="M402" s="289">
        <v>268</v>
      </c>
      <c r="N402" s="290">
        <v>18</v>
      </c>
      <c r="O402" s="290">
        <v>37</v>
      </c>
      <c r="P402" s="624">
        <v>14134.732666669999</v>
      </c>
      <c r="Q402" s="624">
        <v>10187.53133333</v>
      </c>
      <c r="R402" s="624">
        <v>9</v>
      </c>
      <c r="S402" s="289"/>
      <c r="T402" s="289">
        <v>279</v>
      </c>
      <c r="U402" s="716">
        <v>9.5207143133313509E-4</v>
      </c>
      <c r="V402" s="289">
        <v>1165.87055093</v>
      </c>
      <c r="W402" s="743">
        <v>0.71286819999999995</v>
      </c>
      <c r="X402" s="289">
        <v>1153</v>
      </c>
      <c r="Y402" s="289">
        <v>414.28399999999999</v>
      </c>
      <c r="Z402" s="289">
        <v>90759</v>
      </c>
      <c r="AA402" s="289">
        <v>0</v>
      </c>
      <c r="AB402" s="290">
        <v>70</v>
      </c>
      <c r="AC402" s="289">
        <v>0</v>
      </c>
      <c r="AD402" s="289">
        <v>0</v>
      </c>
      <c r="AE402" s="289">
        <v>0</v>
      </c>
      <c r="AF402" s="289">
        <v>0</v>
      </c>
      <c r="AG402" s="289">
        <v>3496</v>
      </c>
      <c r="AH402" s="289">
        <v>592.66331237999998</v>
      </c>
      <c r="AI402" s="289">
        <v>0</v>
      </c>
      <c r="AJ402" s="289">
        <v>0</v>
      </c>
      <c r="AK402" s="289">
        <v>0</v>
      </c>
      <c r="AL402" s="289">
        <v>11778</v>
      </c>
      <c r="AM402" s="836">
        <v>4.3658130000000003E-2</v>
      </c>
      <c r="AN402" s="289">
        <v>0</v>
      </c>
      <c r="AO402" s="289">
        <v>138.59634163000001</v>
      </c>
      <c r="AP402" s="289">
        <v>0</v>
      </c>
      <c r="AQ402" s="289">
        <v>0</v>
      </c>
      <c r="AR402" s="289">
        <v>4367.0107912200001</v>
      </c>
      <c r="AS402" s="289"/>
      <c r="AT402" s="289">
        <v>162</v>
      </c>
      <c r="AU402" s="289">
        <v>35</v>
      </c>
      <c r="AV402" s="625">
        <v>107954</v>
      </c>
      <c r="AW402" s="289"/>
      <c r="AX402" s="625">
        <v>23.42</v>
      </c>
      <c r="AY402" s="289">
        <v>643</v>
      </c>
      <c r="AZ402" s="289">
        <v>94</v>
      </c>
      <c r="BA402" s="290">
        <v>82</v>
      </c>
      <c r="BB402" s="289">
        <v>0</v>
      </c>
      <c r="BC402" s="289">
        <v>985.21662628000001</v>
      </c>
      <c r="BD402" s="289">
        <v>44.564298847279801</v>
      </c>
      <c r="BE402" s="289">
        <v>105902.52468622</v>
      </c>
      <c r="BF402" s="289">
        <v>0</v>
      </c>
      <c r="BG402" s="289">
        <v>-136.9143</v>
      </c>
      <c r="BH402" s="289">
        <v>-9.8710000000000004</v>
      </c>
      <c r="BI402" s="289">
        <v>1006.94731238</v>
      </c>
      <c r="BJ402" s="289">
        <v>0</v>
      </c>
      <c r="BK402" s="289">
        <v>0</v>
      </c>
      <c r="BL402" s="289">
        <v>0</v>
      </c>
      <c r="BM402" s="289">
        <v>0</v>
      </c>
      <c r="BN402" s="289">
        <v>241.55151353086583</v>
      </c>
      <c r="BO402" s="289">
        <v>158.46733554796876</v>
      </c>
      <c r="BP402" s="289">
        <v>316.53147628201219</v>
      </c>
      <c r="BQ402" s="289">
        <v>123.57887178704092</v>
      </c>
      <c r="BR402" s="289">
        <v>3.0204691440934091</v>
      </c>
      <c r="BS402" s="289">
        <v>0.95524139384174067</v>
      </c>
      <c r="BT402" s="289">
        <v>0</v>
      </c>
      <c r="BU402" s="289">
        <v>0</v>
      </c>
      <c r="BV402" s="289">
        <v>8.6638500251315289</v>
      </c>
      <c r="BW402" s="517"/>
      <c r="BX402" s="517"/>
      <c r="CA402" s="517"/>
      <c r="CB402" s="517"/>
    </row>
    <row r="403" spans="1:80" ht="13">
      <c r="A403" s="1">
        <v>5420</v>
      </c>
      <c r="B403" s="2" t="s">
        <v>228</v>
      </c>
      <c r="C403" s="289">
        <v>1129</v>
      </c>
      <c r="D403" s="289">
        <v>13</v>
      </c>
      <c r="E403" s="289">
        <v>39</v>
      </c>
      <c r="F403" s="289">
        <v>118</v>
      </c>
      <c r="G403" s="289">
        <v>97</v>
      </c>
      <c r="H403" s="289">
        <v>611</v>
      </c>
      <c r="I403" s="289">
        <v>199</v>
      </c>
      <c r="J403" s="289">
        <v>64</v>
      </c>
      <c r="K403" s="289">
        <v>13</v>
      </c>
      <c r="L403" s="289">
        <v>13</v>
      </c>
      <c r="M403" s="289">
        <v>153</v>
      </c>
      <c r="N403" s="290">
        <v>1.5</v>
      </c>
      <c r="O403" s="290">
        <v>11</v>
      </c>
      <c r="P403" s="624">
        <v>5912.0786666699996</v>
      </c>
      <c r="Q403" s="624">
        <v>6831.7780000000002</v>
      </c>
      <c r="R403" s="624">
        <v>11</v>
      </c>
      <c r="S403" s="289"/>
      <c r="T403" s="289">
        <v>127</v>
      </c>
      <c r="U403" s="716">
        <v>9.270804233744729E-4</v>
      </c>
      <c r="V403" s="289">
        <v>655.81612503999997</v>
      </c>
      <c r="W403" s="743">
        <v>0.98513561000000005</v>
      </c>
      <c r="X403" s="289">
        <v>1945</v>
      </c>
      <c r="Y403" s="289">
        <v>414.28399999999999</v>
      </c>
      <c r="Z403" s="289">
        <v>25128</v>
      </c>
      <c r="AA403" s="289">
        <v>0</v>
      </c>
      <c r="AB403" s="290">
        <v>41</v>
      </c>
      <c r="AC403" s="289">
        <v>0</v>
      </c>
      <c r="AD403" s="289">
        <v>0</v>
      </c>
      <c r="AE403" s="289">
        <v>0</v>
      </c>
      <c r="AF403" s="289">
        <v>0</v>
      </c>
      <c r="AG403" s="289">
        <v>1154</v>
      </c>
      <c r="AH403" s="289">
        <v>159.67046886</v>
      </c>
      <c r="AI403" s="289">
        <v>0</v>
      </c>
      <c r="AJ403" s="289">
        <v>0</v>
      </c>
      <c r="AK403" s="289">
        <v>0</v>
      </c>
      <c r="AL403" s="289">
        <v>3927</v>
      </c>
      <c r="AM403" s="836">
        <v>1.8390469999999999E-2</v>
      </c>
      <c r="AN403" s="289">
        <v>0</v>
      </c>
      <c r="AO403" s="289">
        <v>62.570082149999998</v>
      </c>
      <c r="AP403" s="289">
        <v>0</v>
      </c>
      <c r="AQ403" s="289">
        <v>0</v>
      </c>
      <c r="AR403" s="289">
        <v>-61.42476628</v>
      </c>
      <c r="AS403" s="289"/>
      <c r="AT403" s="289">
        <v>52</v>
      </c>
      <c r="AU403" s="289">
        <v>16</v>
      </c>
      <c r="AV403" s="625">
        <v>63750</v>
      </c>
      <c r="AW403" s="289"/>
      <c r="AX403" s="625">
        <v>5.2866666999999996</v>
      </c>
      <c r="AY403" s="289">
        <v>198</v>
      </c>
      <c r="AZ403" s="289">
        <v>30</v>
      </c>
      <c r="BA403" s="290">
        <v>20</v>
      </c>
      <c r="BB403" s="289">
        <v>5698</v>
      </c>
      <c r="BC403" s="289">
        <v>552.51866667000002</v>
      </c>
      <c r="BD403" s="289">
        <v>18.525356305794112</v>
      </c>
      <c r="BE403" s="289">
        <v>65491.894710640001</v>
      </c>
      <c r="BF403" s="289">
        <v>0</v>
      </c>
      <c r="BG403" s="289">
        <v>-48.137999999999998</v>
      </c>
      <c r="BH403" s="289">
        <v>-3.2583000000000002</v>
      </c>
      <c r="BI403" s="289">
        <v>573.95446886000002</v>
      </c>
      <c r="BJ403" s="289">
        <v>0</v>
      </c>
      <c r="BK403" s="289">
        <v>0</v>
      </c>
      <c r="BL403" s="289">
        <v>0</v>
      </c>
      <c r="BM403" s="289">
        <v>0</v>
      </c>
      <c r="BN403" s="289">
        <v>139.07707915253437</v>
      </c>
      <c r="BO403" s="289">
        <v>83.613767501815261</v>
      </c>
      <c r="BP403" s="289">
        <v>104.48436030590447</v>
      </c>
      <c r="BQ403" s="289">
        <v>120.33503895400655</v>
      </c>
      <c r="BR403" s="289">
        <v>1.2556074829482677</v>
      </c>
      <c r="BS403" s="289">
        <v>0.56435582801588502</v>
      </c>
      <c r="BT403" s="289">
        <v>0</v>
      </c>
      <c r="BU403" s="289">
        <v>0</v>
      </c>
      <c r="BV403" s="289">
        <v>8.4364318527077007</v>
      </c>
      <c r="BW403" s="517"/>
      <c r="BX403" s="517"/>
      <c r="CA403" s="517"/>
      <c r="CB403" s="517"/>
    </row>
    <row r="404" spans="1:80" ht="13">
      <c r="A404" s="1">
        <v>5422</v>
      </c>
      <c r="B404" s="2" t="s">
        <v>233</v>
      </c>
      <c r="C404" s="289">
        <v>5625</v>
      </c>
      <c r="D404" s="289">
        <v>86</v>
      </c>
      <c r="E404" s="289">
        <v>205</v>
      </c>
      <c r="F404" s="289">
        <v>609</v>
      </c>
      <c r="G404" s="289">
        <v>488</v>
      </c>
      <c r="H404" s="289">
        <v>3013</v>
      </c>
      <c r="I404" s="289">
        <v>851</v>
      </c>
      <c r="J404" s="289">
        <v>310</v>
      </c>
      <c r="K404" s="289">
        <v>59</v>
      </c>
      <c r="L404" s="289">
        <v>50</v>
      </c>
      <c r="M404" s="289">
        <v>609</v>
      </c>
      <c r="N404" s="290">
        <v>3</v>
      </c>
      <c r="O404" s="290">
        <v>35</v>
      </c>
      <c r="P404" s="624">
        <v>94296.723333329996</v>
      </c>
      <c r="Q404" s="624">
        <v>28725.54266667</v>
      </c>
      <c r="R404" s="624">
        <v>33</v>
      </c>
      <c r="S404" s="289"/>
      <c r="T404" s="289">
        <v>489</v>
      </c>
      <c r="U404" s="716">
        <v>4.3124811421465965E-3</v>
      </c>
      <c r="V404" s="289">
        <v>115.58154104</v>
      </c>
      <c r="W404" s="743">
        <v>0.93484182000000005</v>
      </c>
      <c r="X404" s="289">
        <v>1515</v>
      </c>
      <c r="Y404" s="289">
        <v>0</v>
      </c>
      <c r="Z404" s="289">
        <v>127282</v>
      </c>
      <c r="AA404" s="289">
        <v>0</v>
      </c>
      <c r="AB404" s="290">
        <v>136</v>
      </c>
      <c r="AC404" s="289">
        <v>0</v>
      </c>
      <c r="AD404" s="289">
        <v>0</v>
      </c>
      <c r="AE404" s="289">
        <v>0</v>
      </c>
      <c r="AF404" s="289">
        <v>0</v>
      </c>
      <c r="AG404" s="289">
        <v>5621</v>
      </c>
      <c r="AH404" s="289">
        <v>832.51764115000003</v>
      </c>
      <c r="AI404" s="289">
        <v>700</v>
      </c>
      <c r="AJ404" s="289">
        <v>0</v>
      </c>
      <c r="AK404" s="289">
        <v>98.915999999999997</v>
      </c>
      <c r="AL404" s="289">
        <v>19056</v>
      </c>
      <c r="AM404" s="836">
        <v>0.10627726999999999</v>
      </c>
      <c r="AN404" s="289">
        <v>0</v>
      </c>
      <c r="AO404" s="289">
        <v>248.17343840999999</v>
      </c>
      <c r="AP404" s="289">
        <v>0</v>
      </c>
      <c r="AQ404" s="289">
        <v>0</v>
      </c>
      <c r="AR404" s="289">
        <v>-299.19290404999998</v>
      </c>
      <c r="AS404" s="289"/>
      <c r="AT404" s="289">
        <v>267</v>
      </c>
      <c r="AU404" s="289">
        <v>60</v>
      </c>
      <c r="AV404" s="625">
        <v>193572</v>
      </c>
      <c r="AW404" s="289"/>
      <c r="AX404" s="625">
        <v>29.26</v>
      </c>
      <c r="AY404" s="289">
        <v>770</v>
      </c>
      <c r="AZ404" s="289">
        <v>212</v>
      </c>
      <c r="BA404" s="290">
        <v>123</v>
      </c>
      <c r="BB404" s="289">
        <v>0</v>
      </c>
      <c r="BC404" s="289">
        <v>845.00701012000002</v>
      </c>
      <c r="BD404" s="289">
        <v>76.379467443067625</v>
      </c>
      <c r="BE404" s="289">
        <v>201726.98374590999</v>
      </c>
      <c r="BF404" s="289">
        <v>0</v>
      </c>
      <c r="BG404" s="289">
        <v>-216.3784</v>
      </c>
      <c r="BH404" s="289">
        <v>-15.871</v>
      </c>
      <c r="BI404" s="289">
        <v>832.51764115000003</v>
      </c>
      <c r="BJ404" s="289">
        <v>0</v>
      </c>
      <c r="BK404" s="289">
        <v>0</v>
      </c>
      <c r="BL404" s="289">
        <v>0</v>
      </c>
      <c r="BM404" s="289">
        <v>0</v>
      </c>
      <c r="BN404" s="289">
        <v>535.5272888316133</v>
      </c>
      <c r="BO404" s="289">
        <v>287.76391688113233</v>
      </c>
      <c r="BP404" s="289">
        <v>508.93118655068378</v>
      </c>
      <c r="BQ404" s="289">
        <v>559.76005225062818</v>
      </c>
      <c r="BR404" s="289">
        <v>5.1768305711412497</v>
      </c>
      <c r="BS404" s="289">
        <v>1.4605689779768931</v>
      </c>
      <c r="BT404" s="289">
        <v>0</v>
      </c>
      <c r="BU404" s="289">
        <v>0</v>
      </c>
      <c r="BV404" s="289">
        <v>39.243578393534023</v>
      </c>
      <c r="BW404" s="517"/>
      <c r="BX404" s="517"/>
      <c r="CA404" s="517"/>
      <c r="CB404" s="517"/>
    </row>
    <row r="405" spans="1:80" ht="13">
      <c r="A405" s="1">
        <v>5423</v>
      </c>
      <c r="B405" s="2" t="s">
        <v>234</v>
      </c>
      <c r="C405" s="289">
        <v>2252</v>
      </c>
      <c r="D405" s="289">
        <v>34</v>
      </c>
      <c r="E405" s="289">
        <v>79</v>
      </c>
      <c r="F405" s="289">
        <v>176</v>
      </c>
      <c r="G405" s="289">
        <v>178</v>
      </c>
      <c r="H405" s="289">
        <v>1246</v>
      </c>
      <c r="I405" s="289">
        <v>385</v>
      </c>
      <c r="J405" s="289">
        <v>134</v>
      </c>
      <c r="K405" s="289">
        <v>22</v>
      </c>
      <c r="L405" s="289">
        <v>19</v>
      </c>
      <c r="M405" s="289">
        <v>277</v>
      </c>
      <c r="N405" s="290">
        <v>9</v>
      </c>
      <c r="O405" s="290">
        <v>24</v>
      </c>
      <c r="P405" s="624">
        <v>65382.894</v>
      </c>
      <c r="Q405" s="624">
        <v>15575.853999999999</v>
      </c>
      <c r="R405" s="624">
        <v>16</v>
      </c>
      <c r="S405" s="289"/>
      <c r="T405" s="289">
        <v>219</v>
      </c>
      <c r="U405" s="716">
        <v>1.0941075708245428E-3</v>
      </c>
      <c r="V405" s="289">
        <v>-1352.09735972</v>
      </c>
      <c r="W405" s="743">
        <v>1</v>
      </c>
      <c r="X405" s="289">
        <v>1414</v>
      </c>
      <c r="Y405" s="289">
        <v>414.28399999999999</v>
      </c>
      <c r="Z405" s="289">
        <v>59153</v>
      </c>
      <c r="AA405" s="289">
        <v>0</v>
      </c>
      <c r="AB405" s="290">
        <v>36</v>
      </c>
      <c r="AC405" s="289">
        <v>0</v>
      </c>
      <c r="AD405" s="289">
        <v>0</v>
      </c>
      <c r="AE405" s="289">
        <v>0</v>
      </c>
      <c r="AF405" s="289">
        <v>0</v>
      </c>
      <c r="AG405" s="289">
        <v>2254</v>
      </c>
      <c r="AH405" s="289">
        <v>271.23062177999998</v>
      </c>
      <c r="AI405" s="289">
        <v>100</v>
      </c>
      <c r="AJ405" s="289">
        <v>0</v>
      </c>
      <c r="AK405" s="289">
        <v>0</v>
      </c>
      <c r="AL405" s="289">
        <v>8989</v>
      </c>
      <c r="AM405" s="836">
        <v>3.788979E-2</v>
      </c>
      <c r="AN405" s="289">
        <v>0</v>
      </c>
      <c r="AO405" s="289">
        <v>108.14518065999999</v>
      </c>
      <c r="AP405" s="289">
        <v>0</v>
      </c>
      <c r="AQ405" s="289">
        <v>0</v>
      </c>
      <c r="AR405" s="289">
        <v>-119.97523674</v>
      </c>
      <c r="AS405" s="289"/>
      <c r="AT405" s="289">
        <v>98</v>
      </c>
      <c r="AU405" s="289">
        <v>22</v>
      </c>
      <c r="AV405" s="625">
        <v>102819</v>
      </c>
      <c r="AW405" s="289"/>
      <c r="AX405" s="625">
        <v>14.83666665</v>
      </c>
      <c r="AY405" s="289">
        <v>290</v>
      </c>
      <c r="AZ405" s="289">
        <v>90</v>
      </c>
      <c r="BA405" s="290">
        <v>44</v>
      </c>
      <c r="BB405" s="289">
        <v>12341</v>
      </c>
      <c r="BC405" s="289">
        <v>666.92310101999999</v>
      </c>
      <c r="BD405" s="289">
        <v>30.699738349113165</v>
      </c>
      <c r="BE405" s="289">
        <v>105995.0343274</v>
      </c>
      <c r="BF405" s="289">
        <v>0</v>
      </c>
      <c r="BG405" s="289">
        <v>-80.771000000000001</v>
      </c>
      <c r="BH405" s="289">
        <v>-6.3642000000000003</v>
      </c>
      <c r="BI405" s="289">
        <v>685.51462177999997</v>
      </c>
      <c r="BJ405" s="289">
        <v>0</v>
      </c>
      <c r="BK405" s="289">
        <v>0</v>
      </c>
      <c r="BL405" s="289">
        <v>0</v>
      </c>
      <c r="BM405" s="289">
        <v>0</v>
      </c>
      <c r="BN405" s="289">
        <v>245.76389234218135</v>
      </c>
      <c r="BO405" s="289">
        <v>148.20446325253499</v>
      </c>
      <c r="BP405" s="289">
        <v>204.07950444498152</v>
      </c>
      <c r="BQ405" s="289">
        <v>142.01516269302564</v>
      </c>
      <c r="BR405" s="289">
        <v>2.0807600436621145</v>
      </c>
      <c r="BS405" s="289">
        <v>0.79356506634328317</v>
      </c>
      <c r="BT405" s="289">
        <v>0</v>
      </c>
      <c r="BU405" s="289">
        <v>0</v>
      </c>
      <c r="BV405" s="289">
        <v>9.956378894503338</v>
      </c>
      <c r="BW405" s="517"/>
      <c r="BX405" s="517"/>
      <c r="CA405" s="517"/>
      <c r="CB405" s="517"/>
    </row>
    <row r="406" spans="1:80" ht="13">
      <c r="A406" s="1">
        <v>5424</v>
      </c>
      <c r="B406" s="2" t="s">
        <v>235</v>
      </c>
      <c r="C406" s="289">
        <v>2847</v>
      </c>
      <c r="D406" s="289">
        <v>49</v>
      </c>
      <c r="E406" s="289">
        <v>89</v>
      </c>
      <c r="F406" s="289">
        <v>295</v>
      </c>
      <c r="G406" s="289">
        <v>280</v>
      </c>
      <c r="H406" s="289">
        <v>1468</v>
      </c>
      <c r="I406" s="289">
        <v>501</v>
      </c>
      <c r="J406" s="289">
        <v>167</v>
      </c>
      <c r="K406" s="289">
        <v>34</v>
      </c>
      <c r="L406" s="289">
        <v>23</v>
      </c>
      <c r="M406" s="289">
        <v>315</v>
      </c>
      <c r="N406" s="290">
        <v>12</v>
      </c>
      <c r="O406" s="290">
        <v>10</v>
      </c>
      <c r="P406" s="624">
        <v>54142.243999999999</v>
      </c>
      <c r="Q406" s="624">
        <v>13776.566000000001</v>
      </c>
      <c r="R406" s="624">
        <v>35</v>
      </c>
      <c r="S406" s="289"/>
      <c r="T406" s="289">
        <v>247</v>
      </c>
      <c r="U406" s="716">
        <v>1.6265290280219993E-3</v>
      </c>
      <c r="V406" s="289">
        <v>1469.74808386</v>
      </c>
      <c r="W406" s="743">
        <v>1</v>
      </c>
      <c r="X406" s="289">
        <v>2855</v>
      </c>
      <c r="Y406" s="289">
        <v>414.28399999999999</v>
      </c>
      <c r="Z406" s="289">
        <v>65153</v>
      </c>
      <c r="AA406" s="289">
        <v>0</v>
      </c>
      <c r="AB406" s="290">
        <v>76</v>
      </c>
      <c r="AC406" s="289">
        <v>0</v>
      </c>
      <c r="AD406" s="289">
        <v>0</v>
      </c>
      <c r="AE406" s="289">
        <v>0</v>
      </c>
      <c r="AF406" s="289">
        <v>0</v>
      </c>
      <c r="AG406" s="289">
        <v>2883</v>
      </c>
      <c r="AH406" s="289">
        <v>420.44232631</v>
      </c>
      <c r="AI406" s="289">
        <v>0</v>
      </c>
      <c r="AJ406" s="289">
        <v>0</v>
      </c>
      <c r="AK406" s="289">
        <v>23.507000000000001</v>
      </c>
      <c r="AL406" s="289">
        <v>11427</v>
      </c>
      <c r="AM406" s="836">
        <v>3.3633879999999998E-2</v>
      </c>
      <c r="AN406" s="289">
        <v>0</v>
      </c>
      <c r="AO406" s="289">
        <v>140.22567430000001</v>
      </c>
      <c r="AP406" s="289">
        <v>0</v>
      </c>
      <c r="AQ406" s="289">
        <v>0</v>
      </c>
      <c r="AR406" s="289">
        <v>-133.57694178</v>
      </c>
      <c r="AS406" s="289"/>
      <c r="AT406" s="289">
        <v>136</v>
      </c>
      <c r="AU406" s="289">
        <v>23</v>
      </c>
      <c r="AV406" s="625">
        <v>137160</v>
      </c>
      <c r="AW406" s="289"/>
      <c r="AX406" s="625">
        <v>8.8333332999999996</v>
      </c>
      <c r="AY406" s="289">
        <v>450</v>
      </c>
      <c r="AZ406" s="289">
        <v>89</v>
      </c>
      <c r="BA406" s="290">
        <v>58</v>
      </c>
      <c r="BB406" s="289">
        <v>12341</v>
      </c>
      <c r="BC406" s="289">
        <v>814.17633334000004</v>
      </c>
      <c r="BD406" s="289">
        <v>38.55102118603557</v>
      </c>
      <c r="BE406" s="289">
        <v>138831.60488607999</v>
      </c>
      <c r="BF406" s="289">
        <v>0</v>
      </c>
      <c r="BG406" s="289">
        <v>-110.681</v>
      </c>
      <c r="BH406" s="289">
        <v>-8.1402000000000001</v>
      </c>
      <c r="BI406" s="289">
        <v>834.72632630999999</v>
      </c>
      <c r="BJ406" s="289">
        <v>0</v>
      </c>
      <c r="BK406" s="289">
        <v>0</v>
      </c>
      <c r="BL406" s="289">
        <v>0</v>
      </c>
      <c r="BM406" s="289">
        <v>0</v>
      </c>
      <c r="BN406" s="289">
        <v>334.77515999838295</v>
      </c>
      <c r="BO406" s="289">
        <v>170.44733853228777</v>
      </c>
      <c r="BP406" s="289">
        <v>261.02981868450831</v>
      </c>
      <c r="BQ406" s="289">
        <v>211.12346783725545</v>
      </c>
      <c r="BR406" s="289">
        <v>2.6129025470535225</v>
      </c>
      <c r="BS406" s="289">
        <v>0.92173083671755418</v>
      </c>
      <c r="BT406" s="289">
        <v>0</v>
      </c>
      <c r="BU406" s="289">
        <v>0</v>
      </c>
      <c r="BV406" s="289">
        <v>14.801414155000188</v>
      </c>
      <c r="BW406" s="517"/>
      <c r="BX406" s="517"/>
      <c r="CA406" s="517"/>
      <c r="CB406" s="517"/>
    </row>
    <row r="407" spans="1:80" ht="13">
      <c r="A407" s="1">
        <v>5425</v>
      </c>
      <c r="B407" s="2" t="s">
        <v>236</v>
      </c>
      <c r="C407" s="289">
        <v>1841</v>
      </c>
      <c r="D407" s="289">
        <v>26</v>
      </c>
      <c r="E407" s="289">
        <v>54</v>
      </c>
      <c r="F407" s="289">
        <v>212</v>
      </c>
      <c r="G407" s="289">
        <v>167</v>
      </c>
      <c r="H407" s="289">
        <v>1015</v>
      </c>
      <c r="I407" s="289">
        <v>303</v>
      </c>
      <c r="J407" s="289">
        <v>69</v>
      </c>
      <c r="K407" s="289">
        <v>12</v>
      </c>
      <c r="L407" s="289">
        <v>21</v>
      </c>
      <c r="M407" s="289">
        <v>186</v>
      </c>
      <c r="N407" s="290">
        <v>8</v>
      </c>
      <c r="O407" s="290">
        <v>9</v>
      </c>
      <c r="P407" s="624">
        <v>36036.523999999998</v>
      </c>
      <c r="Q407" s="624">
        <v>10775.107666669999</v>
      </c>
      <c r="R407" s="624">
        <v>15</v>
      </c>
      <c r="S407" s="289"/>
      <c r="T407" s="289">
        <v>174</v>
      </c>
      <c r="U407" s="716">
        <v>9.5474759299793823E-4</v>
      </c>
      <c r="V407" s="289">
        <v>943.64639256999999</v>
      </c>
      <c r="W407" s="743">
        <v>1</v>
      </c>
      <c r="X407" s="289">
        <v>1712</v>
      </c>
      <c r="Y407" s="289">
        <v>414.28399999999999</v>
      </c>
      <c r="Z407" s="289">
        <v>50896</v>
      </c>
      <c r="AA407" s="289">
        <v>0</v>
      </c>
      <c r="AB407" s="290">
        <v>30</v>
      </c>
      <c r="AC407" s="289">
        <v>0</v>
      </c>
      <c r="AD407" s="289">
        <v>0</v>
      </c>
      <c r="AE407" s="289">
        <v>0</v>
      </c>
      <c r="AF407" s="289">
        <v>0</v>
      </c>
      <c r="AG407" s="289">
        <v>1858</v>
      </c>
      <c r="AH407" s="289">
        <v>274.71687656</v>
      </c>
      <c r="AI407" s="289">
        <v>400</v>
      </c>
      <c r="AJ407" s="289">
        <v>0</v>
      </c>
      <c r="AK407" s="289">
        <v>71.06</v>
      </c>
      <c r="AL407" s="289">
        <v>7372</v>
      </c>
      <c r="AM407" s="836">
        <v>2.834238E-2</v>
      </c>
      <c r="AN407" s="289">
        <v>0</v>
      </c>
      <c r="AO407" s="289">
        <v>90.031382350000001</v>
      </c>
      <c r="AP407" s="289">
        <v>0</v>
      </c>
      <c r="AQ407" s="289">
        <v>0</v>
      </c>
      <c r="AR407" s="289">
        <v>-98.897067379999996</v>
      </c>
      <c r="AS407" s="289"/>
      <c r="AT407" s="289">
        <v>113</v>
      </c>
      <c r="AU407" s="289">
        <v>12</v>
      </c>
      <c r="AV407" s="625">
        <v>90855</v>
      </c>
      <c r="AW407" s="289"/>
      <c r="AX407" s="625">
        <v>9.7633332999999993</v>
      </c>
      <c r="AY407" s="289">
        <v>320</v>
      </c>
      <c r="AZ407" s="289">
        <v>72</v>
      </c>
      <c r="BA407" s="290">
        <v>67</v>
      </c>
      <c r="BB407" s="289">
        <v>12341</v>
      </c>
      <c r="BC407" s="289">
        <v>680.51570707999997</v>
      </c>
      <c r="BD407" s="289">
        <v>24.782833744835397</v>
      </c>
      <c r="BE407" s="289">
        <v>93428.696245379993</v>
      </c>
      <c r="BF407" s="289">
        <v>0</v>
      </c>
      <c r="BG407" s="289">
        <v>-82.189800000000005</v>
      </c>
      <c r="BH407" s="289">
        <v>-5.2461000000000002</v>
      </c>
      <c r="BI407" s="289">
        <v>689.00087656000005</v>
      </c>
      <c r="BJ407" s="289">
        <v>0</v>
      </c>
      <c r="BK407" s="289">
        <v>0</v>
      </c>
      <c r="BL407" s="289">
        <v>0</v>
      </c>
      <c r="BM407" s="289">
        <v>0</v>
      </c>
      <c r="BN407" s="289">
        <v>184.33024806525879</v>
      </c>
      <c r="BO407" s="289">
        <v>119.23090456928374</v>
      </c>
      <c r="BP407" s="289">
        <v>168.22525255491377</v>
      </c>
      <c r="BQ407" s="289">
        <v>123.92623757113238</v>
      </c>
      <c r="BR407" s="289">
        <v>1.679725398261066</v>
      </c>
      <c r="BS407" s="289">
        <v>0.71298893945873809</v>
      </c>
      <c r="BT407" s="289">
        <v>0</v>
      </c>
      <c r="BU407" s="289">
        <v>0</v>
      </c>
      <c r="BV407" s="289">
        <v>8.6882030962812369</v>
      </c>
      <c r="BW407" s="517"/>
      <c r="BX407" s="517"/>
      <c r="CA407" s="517"/>
      <c r="CB407" s="517"/>
    </row>
    <row r="408" spans="1:80" ht="13">
      <c r="A408" s="1">
        <v>5426</v>
      </c>
      <c r="B408" s="2" t="s">
        <v>237</v>
      </c>
      <c r="C408" s="289">
        <v>2097</v>
      </c>
      <c r="D408" s="289">
        <v>31</v>
      </c>
      <c r="E408" s="289">
        <v>82</v>
      </c>
      <c r="F408" s="289">
        <v>201</v>
      </c>
      <c r="G408" s="289">
        <v>153</v>
      </c>
      <c r="H408" s="289">
        <v>1142</v>
      </c>
      <c r="I408" s="289">
        <v>358</v>
      </c>
      <c r="J408" s="289">
        <v>122</v>
      </c>
      <c r="K408" s="289">
        <v>24</v>
      </c>
      <c r="L408" s="289">
        <v>20</v>
      </c>
      <c r="M408" s="289">
        <v>242</v>
      </c>
      <c r="N408" s="290">
        <v>0</v>
      </c>
      <c r="O408" s="290">
        <v>7</v>
      </c>
      <c r="P408" s="624">
        <v>41227.537666670003</v>
      </c>
      <c r="Q408" s="624">
        <v>6222.1913333299999</v>
      </c>
      <c r="R408" s="624">
        <v>13</v>
      </c>
      <c r="S408" s="289"/>
      <c r="T408" s="289">
        <v>188</v>
      </c>
      <c r="U408" s="716">
        <v>1.5571657536087747E-3</v>
      </c>
      <c r="V408" s="289">
        <v>-3436.2379077300002</v>
      </c>
      <c r="W408" s="743">
        <v>1</v>
      </c>
      <c r="X408" s="289">
        <v>1804</v>
      </c>
      <c r="Y408" s="289">
        <v>414.28399999999999</v>
      </c>
      <c r="Z408" s="289">
        <v>51415</v>
      </c>
      <c r="AA408" s="289">
        <v>0</v>
      </c>
      <c r="AB408" s="290">
        <v>44</v>
      </c>
      <c r="AC408" s="289">
        <v>0</v>
      </c>
      <c r="AD408" s="289">
        <v>0</v>
      </c>
      <c r="AE408" s="289">
        <v>0</v>
      </c>
      <c r="AF408" s="289">
        <v>0</v>
      </c>
      <c r="AG408" s="289">
        <v>2113</v>
      </c>
      <c r="AH408" s="289">
        <v>277.50588038000001</v>
      </c>
      <c r="AI408" s="289">
        <v>350</v>
      </c>
      <c r="AJ408" s="289">
        <v>0</v>
      </c>
      <c r="AK408" s="289">
        <v>0</v>
      </c>
      <c r="AL408" s="289">
        <v>8468</v>
      </c>
      <c r="AM408" s="836">
        <v>3.277472E-2</v>
      </c>
      <c r="AN408" s="289">
        <v>0</v>
      </c>
      <c r="AO408" s="289">
        <v>100.84260270999999</v>
      </c>
      <c r="AP408" s="289">
        <v>0</v>
      </c>
      <c r="AQ408" s="289">
        <v>0</v>
      </c>
      <c r="AR408" s="289">
        <v>-112.47013097999999</v>
      </c>
      <c r="AS408" s="289"/>
      <c r="AT408" s="289">
        <v>101</v>
      </c>
      <c r="AU408" s="289">
        <v>25</v>
      </c>
      <c r="AV408" s="625">
        <v>95927</v>
      </c>
      <c r="AW408" s="289"/>
      <c r="AX408" s="625">
        <v>12.986666700000001</v>
      </c>
      <c r="AY408" s="289">
        <v>342</v>
      </c>
      <c r="AZ408" s="289">
        <v>59</v>
      </c>
      <c r="BA408" s="290">
        <v>47</v>
      </c>
      <c r="BB408" s="289">
        <v>12341</v>
      </c>
      <c r="BC408" s="289">
        <v>678.25027273000001</v>
      </c>
      <c r="BD408" s="289">
        <v>27.470909289990328</v>
      </c>
      <c r="BE408" s="289">
        <v>97810.632972549996</v>
      </c>
      <c r="BF408" s="289">
        <v>0</v>
      </c>
      <c r="BG408" s="289">
        <v>-77.948899999999995</v>
      </c>
      <c r="BH408" s="289">
        <v>-5.9661</v>
      </c>
      <c r="BI408" s="289">
        <v>691.78988038</v>
      </c>
      <c r="BJ408" s="289">
        <v>0</v>
      </c>
      <c r="BK408" s="289">
        <v>0</v>
      </c>
      <c r="BL408" s="289">
        <v>0</v>
      </c>
      <c r="BM408" s="289">
        <v>0</v>
      </c>
      <c r="BN408" s="289">
        <v>220.53361599928374</v>
      </c>
      <c r="BO408" s="289">
        <v>130.34054426290263</v>
      </c>
      <c r="BP408" s="289">
        <v>191.31321778715437</v>
      </c>
      <c r="BQ408" s="289">
        <v>202.12011481841893</v>
      </c>
      <c r="BR408" s="289">
        <v>1.8619171852104559</v>
      </c>
      <c r="BS408" s="289">
        <v>0.76486380608839433</v>
      </c>
      <c r="BT408" s="289">
        <v>0</v>
      </c>
      <c r="BU408" s="289">
        <v>0</v>
      </c>
      <c r="BV408" s="289">
        <v>14.170208357839849</v>
      </c>
      <c r="BW408" s="517"/>
      <c r="BX408" s="517"/>
      <c r="CA408" s="517"/>
      <c r="CB408" s="517"/>
    </row>
    <row r="409" spans="1:80" ht="13">
      <c r="A409" s="1">
        <v>5427</v>
      </c>
      <c r="B409" s="2" t="s">
        <v>238</v>
      </c>
      <c r="C409" s="289">
        <v>2917</v>
      </c>
      <c r="D409" s="289">
        <v>50</v>
      </c>
      <c r="E409" s="289">
        <v>138</v>
      </c>
      <c r="F409" s="289">
        <v>310</v>
      </c>
      <c r="G409" s="289">
        <v>270</v>
      </c>
      <c r="H409" s="289">
        <v>1601</v>
      </c>
      <c r="I409" s="289">
        <v>416</v>
      </c>
      <c r="J409" s="289">
        <v>123</v>
      </c>
      <c r="K409" s="289">
        <v>25</v>
      </c>
      <c r="L409" s="289">
        <v>26</v>
      </c>
      <c r="M409" s="289">
        <v>251</v>
      </c>
      <c r="N409" s="290">
        <v>46</v>
      </c>
      <c r="O409" s="290">
        <v>41</v>
      </c>
      <c r="P409" s="624">
        <v>20329.892333330001</v>
      </c>
      <c r="Q409" s="624">
        <v>11896.284666670001</v>
      </c>
      <c r="R409" s="624">
        <v>18</v>
      </c>
      <c r="S409" s="289"/>
      <c r="T409" s="289">
        <v>190</v>
      </c>
      <c r="U409" s="716">
        <v>3.2857150561746868E-4</v>
      </c>
      <c r="V409" s="289">
        <v>-191.54246408</v>
      </c>
      <c r="W409" s="743">
        <v>1</v>
      </c>
      <c r="X409" s="289">
        <v>1370</v>
      </c>
      <c r="Y409" s="289">
        <v>414.28399999999999</v>
      </c>
      <c r="Z409" s="289">
        <v>71052</v>
      </c>
      <c r="AA409" s="289">
        <v>0</v>
      </c>
      <c r="AB409" s="290">
        <v>81</v>
      </c>
      <c r="AC409" s="289">
        <v>0</v>
      </c>
      <c r="AD409" s="289">
        <v>0</v>
      </c>
      <c r="AE409" s="289">
        <v>0</v>
      </c>
      <c r="AF409" s="289">
        <v>0</v>
      </c>
      <c r="AG409" s="289">
        <v>2933</v>
      </c>
      <c r="AH409" s="289">
        <v>450.42411741000001</v>
      </c>
      <c r="AI409" s="289">
        <v>300</v>
      </c>
      <c r="AJ409" s="289">
        <v>0</v>
      </c>
      <c r="AK409" s="289">
        <v>0</v>
      </c>
      <c r="AL409" s="289">
        <v>11618</v>
      </c>
      <c r="AM409" s="836">
        <v>4.0530530000000002E-2</v>
      </c>
      <c r="AN409" s="289">
        <v>0</v>
      </c>
      <c r="AO409" s="289">
        <v>127.66134706</v>
      </c>
      <c r="AP409" s="289">
        <v>0</v>
      </c>
      <c r="AQ409" s="289">
        <v>0</v>
      </c>
      <c r="AR409" s="289">
        <v>-156.11684532999999</v>
      </c>
      <c r="AS409" s="289"/>
      <c r="AT409" s="289">
        <v>148</v>
      </c>
      <c r="AU409" s="289">
        <v>33</v>
      </c>
      <c r="AV409" s="625">
        <v>111624</v>
      </c>
      <c r="AW409" s="289"/>
      <c r="AX409" s="625">
        <v>8.0666667000000007</v>
      </c>
      <c r="AY409" s="289">
        <v>394</v>
      </c>
      <c r="AZ409" s="289">
        <v>71</v>
      </c>
      <c r="BA409" s="290">
        <v>60</v>
      </c>
      <c r="BB409" s="289">
        <v>12341</v>
      </c>
      <c r="BC409" s="289">
        <v>850.42328283999996</v>
      </c>
      <c r="BD409" s="289">
        <v>39.51862227616904</v>
      </c>
      <c r="BE409" s="289">
        <v>117556.3296143</v>
      </c>
      <c r="BF409" s="289">
        <v>0</v>
      </c>
      <c r="BG409" s="289">
        <v>-111.3828</v>
      </c>
      <c r="BH409" s="289">
        <v>-8.2813999999999997</v>
      </c>
      <c r="BI409" s="289">
        <v>864.70811741</v>
      </c>
      <c r="BJ409" s="289">
        <v>0</v>
      </c>
      <c r="BK409" s="289">
        <v>0</v>
      </c>
      <c r="BL409" s="289">
        <v>0</v>
      </c>
      <c r="BM409" s="289">
        <v>0</v>
      </c>
      <c r="BN409" s="289">
        <v>252.55983926863408</v>
      </c>
      <c r="BO409" s="289">
        <v>153.82601025227831</v>
      </c>
      <c r="BP409" s="289">
        <v>265.55687069083001</v>
      </c>
      <c r="BQ409" s="289">
        <v>42.648581429147434</v>
      </c>
      <c r="BR409" s="289">
        <v>2.6784843987181244</v>
      </c>
      <c r="BS409" s="289">
        <v>0.93455384871428593</v>
      </c>
      <c r="BT409" s="289">
        <v>0</v>
      </c>
      <c r="BU409" s="289">
        <v>0</v>
      </c>
      <c r="BV409" s="289">
        <v>2.9900007011189649</v>
      </c>
      <c r="BW409" s="517"/>
      <c r="BX409" s="517"/>
      <c r="CA409" s="517"/>
      <c r="CB409" s="517"/>
    </row>
    <row r="410" spans="1:80" ht="13">
      <c r="A410" s="1">
        <v>5428</v>
      </c>
      <c r="B410" s="2" t="s">
        <v>239</v>
      </c>
      <c r="C410" s="289">
        <v>4909</v>
      </c>
      <c r="D410" s="289">
        <v>79</v>
      </c>
      <c r="E410" s="289">
        <v>203</v>
      </c>
      <c r="F410" s="289">
        <v>624</v>
      </c>
      <c r="G410" s="289">
        <v>434</v>
      </c>
      <c r="H410" s="289">
        <v>2681</v>
      </c>
      <c r="I410" s="289">
        <v>662</v>
      </c>
      <c r="J410" s="289">
        <v>191</v>
      </c>
      <c r="K410" s="289">
        <v>43</v>
      </c>
      <c r="L410" s="289">
        <v>46</v>
      </c>
      <c r="M410" s="289">
        <v>475</v>
      </c>
      <c r="N410" s="290">
        <v>56</v>
      </c>
      <c r="O410" s="290">
        <v>46</v>
      </c>
      <c r="P410" s="624">
        <v>42873.335666669998</v>
      </c>
      <c r="Q410" s="624">
        <v>19133.552</v>
      </c>
      <c r="R410" s="624">
        <v>31</v>
      </c>
      <c r="S410" s="289"/>
      <c r="T410" s="289">
        <v>421</v>
      </c>
      <c r="U410" s="716">
        <v>2.0722941943778603E-3</v>
      </c>
      <c r="V410" s="289">
        <v>-11317.089270840001</v>
      </c>
      <c r="W410" s="743">
        <v>0.85828241999999999</v>
      </c>
      <c r="X410" s="289">
        <v>1715</v>
      </c>
      <c r="Y410" s="289">
        <v>414.28399999999999</v>
      </c>
      <c r="Z410" s="289">
        <v>116546</v>
      </c>
      <c r="AA410" s="289">
        <v>0</v>
      </c>
      <c r="AB410" s="290">
        <v>106</v>
      </c>
      <c r="AC410" s="289">
        <v>0</v>
      </c>
      <c r="AD410" s="289">
        <v>0</v>
      </c>
      <c r="AE410" s="289">
        <v>0</v>
      </c>
      <c r="AF410" s="289">
        <v>0</v>
      </c>
      <c r="AG410" s="289">
        <v>4917</v>
      </c>
      <c r="AH410" s="289">
        <v>801.14134813999999</v>
      </c>
      <c r="AI410" s="289">
        <v>1442.5429999999999</v>
      </c>
      <c r="AJ410" s="289">
        <v>0</v>
      </c>
      <c r="AK410" s="289">
        <v>0</v>
      </c>
      <c r="AL410" s="289">
        <v>19638</v>
      </c>
      <c r="AM410" s="836">
        <v>0.11313176</v>
      </c>
      <c r="AN410" s="289">
        <v>0</v>
      </c>
      <c r="AO410" s="289">
        <v>215.44175027</v>
      </c>
      <c r="AP410" s="289">
        <v>0</v>
      </c>
      <c r="AQ410" s="289">
        <v>0</v>
      </c>
      <c r="AR410" s="289">
        <v>-261.72060296000001</v>
      </c>
      <c r="AS410" s="289"/>
      <c r="AT410" s="289">
        <v>261</v>
      </c>
      <c r="AU410" s="289">
        <v>65</v>
      </c>
      <c r="AV410" s="625">
        <v>161742</v>
      </c>
      <c r="AW410" s="289"/>
      <c r="AX410" s="625">
        <v>29.905000050000002</v>
      </c>
      <c r="AY410" s="289">
        <v>902</v>
      </c>
      <c r="AZ410" s="289">
        <v>163</v>
      </c>
      <c r="BA410" s="290">
        <v>146</v>
      </c>
      <c r="BB410" s="289">
        <v>0</v>
      </c>
      <c r="BC410" s="289">
        <v>1203.8310404199999</v>
      </c>
      <c r="BD410" s="289">
        <v>71.609487478373168</v>
      </c>
      <c r="BE410" s="289">
        <v>166661.37882298999</v>
      </c>
      <c r="BF410" s="289">
        <v>0</v>
      </c>
      <c r="BG410" s="289">
        <v>-207.88839999999999</v>
      </c>
      <c r="BH410" s="289">
        <v>-13.8833</v>
      </c>
      <c r="BI410" s="289">
        <v>1215.4253481400001</v>
      </c>
      <c r="BJ410" s="289">
        <v>0</v>
      </c>
      <c r="BK410" s="289">
        <v>0</v>
      </c>
      <c r="BL410" s="289">
        <v>0</v>
      </c>
      <c r="BM410" s="289">
        <v>0</v>
      </c>
      <c r="BN410" s="289">
        <v>417.2314705418267</v>
      </c>
      <c r="BO410" s="289">
        <v>230.30522474675564</v>
      </c>
      <c r="BP410" s="289">
        <v>445.19029430167438</v>
      </c>
      <c r="BQ410" s="289">
        <v>268.98378643024625</v>
      </c>
      <c r="BR410" s="289">
        <v>4.853531929089737</v>
      </c>
      <c r="BS410" s="289">
        <v>1.2932534785137999</v>
      </c>
      <c r="BT410" s="289">
        <v>0</v>
      </c>
      <c r="BU410" s="289">
        <v>0</v>
      </c>
      <c r="BV410" s="289">
        <v>18.857877168838527</v>
      </c>
      <c r="BW410" s="517"/>
      <c r="BX410" s="517"/>
      <c r="CA410" s="517"/>
      <c r="CB410" s="517"/>
    </row>
    <row r="411" spans="1:80" ht="13">
      <c r="A411" s="1">
        <v>5429</v>
      </c>
      <c r="B411" s="2" t="s">
        <v>240</v>
      </c>
      <c r="C411" s="289">
        <v>1202</v>
      </c>
      <c r="D411" s="289">
        <v>20</v>
      </c>
      <c r="E411" s="289">
        <v>47</v>
      </c>
      <c r="F411" s="289">
        <v>111</v>
      </c>
      <c r="G411" s="289">
        <v>112</v>
      </c>
      <c r="H411" s="289">
        <v>632</v>
      </c>
      <c r="I411" s="289">
        <v>206</v>
      </c>
      <c r="J411" s="289">
        <v>86</v>
      </c>
      <c r="K411" s="289">
        <v>7</v>
      </c>
      <c r="L411" s="289">
        <v>12</v>
      </c>
      <c r="M411" s="289">
        <v>134</v>
      </c>
      <c r="N411" s="290">
        <v>0</v>
      </c>
      <c r="O411" s="290">
        <v>7</v>
      </c>
      <c r="P411" s="624">
        <v>15136.071</v>
      </c>
      <c r="Q411" s="624">
        <v>9707.1816666699997</v>
      </c>
      <c r="R411" s="624">
        <v>17</v>
      </c>
      <c r="S411" s="289"/>
      <c r="T411" s="289">
        <v>118</v>
      </c>
      <c r="U411" s="716">
        <v>8.7406587581489786E-4</v>
      </c>
      <c r="V411" s="289">
        <v>713.08068965999996</v>
      </c>
      <c r="W411" s="743">
        <v>1</v>
      </c>
      <c r="X411" s="289">
        <v>2445</v>
      </c>
      <c r="Y411" s="289">
        <v>0</v>
      </c>
      <c r="Z411" s="289">
        <v>32765</v>
      </c>
      <c r="AA411" s="289">
        <v>0</v>
      </c>
      <c r="AB411" s="290">
        <v>39</v>
      </c>
      <c r="AC411" s="289">
        <v>0</v>
      </c>
      <c r="AD411" s="289">
        <v>0</v>
      </c>
      <c r="AE411" s="289">
        <v>0</v>
      </c>
      <c r="AF411" s="289">
        <v>0</v>
      </c>
      <c r="AG411" s="289">
        <v>1221</v>
      </c>
      <c r="AH411" s="289">
        <v>169.43198224</v>
      </c>
      <c r="AI411" s="289">
        <v>0</v>
      </c>
      <c r="AJ411" s="289">
        <v>0</v>
      </c>
      <c r="AK411" s="289">
        <v>21.882999999999999</v>
      </c>
      <c r="AL411" s="289">
        <v>4862</v>
      </c>
      <c r="AM411" s="836">
        <v>2.0392799999999999E-2</v>
      </c>
      <c r="AN411" s="289">
        <v>0</v>
      </c>
      <c r="AO411" s="289">
        <v>68.033577750000006</v>
      </c>
      <c r="AP411" s="289">
        <v>0</v>
      </c>
      <c r="AQ411" s="289">
        <v>0</v>
      </c>
      <c r="AR411" s="289">
        <v>-64.991022209999997</v>
      </c>
      <c r="AS411" s="289"/>
      <c r="AT411" s="289">
        <v>67</v>
      </c>
      <c r="AU411" s="289">
        <v>12</v>
      </c>
      <c r="AV411" s="625">
        <v>76690</v>
      </c>
      <c r="AW411" s="289"/>
      <c r="AX411" s="625">
        <v>3.36</v>
      </c>
      <c r="AY411" s="289">
        <v>189</v>
      </c>
      <c r="AZ411" s="289">
        <v>38</v>
      </c>
      <c r="BA411" s="290">
        <v>23</v>
      </c>
      <c r="BB411" s="289">
        <v>12341</v>
      </c>
      <c r="BC411" s="289">
        <v>171.04029292999999</v>
      </c>
      <c r="BD411" s="289">
        <v>17.97036417914558</v>
      </c>
      <c r="BE411" s="289">
        <v>78754.741480299999</v>
      </c>
      <c r="BF411" s="289">
        <v>0</v>
      </c>
      <c r="BG411" s="289">
        <v>-48.674199999999999</v>
      </c>
      <c r="BH411" s="289">
        <v>-3.4474999999999998</v>
      </c>
      <c r="BI411" s="289">
        <v>169.43198224</v>
      </c>
      <c r="BJ411" s="289">
        <v>0</v>
      </c>
      <c r="BK411" s="289">
        <v>0</v>
      </c>
      <c r="BL411" s="289">
        <v>0</v>
      </c>
      <c r="BM411" s="289">
        <v>0</v>
      </c>
      <c r="BN411" s="289">
        <v>158.00399089932088</v>
      </c>
      <c r="BO411" s="289">
        <v>91.863327083753603</v>
      </c>
      <c r="BP411" s="289">
        <v>110.55060999437552</v>
      </c>
      <c r="BQ411" s="289">
        <v>113.45375068077372</v>
      </c>
      <c r="BR411" s="289">
        <v>1.2179913499198671</v>
      </c>
      <c r="BS411" s="289">
        <v>0.58342822353589097</v>
      </c>
      <c r="BT411" s="289">
        <v>0</v>
      </c>
      <c r="BU411" s="289">
        <v>0</v>
      </c>
      <c r="BV411" s="289">
        <v>7.9539994699155692</v>
      </c>
      <c r="BW411" s="517"/>
      <c r="BX411" s="517"/>
      <c r="CA411" s="517"/>
      <c r="CB411" s="517"/>
    </row>
    <row r="412" spans="1:80" ht="13">
      <c r="A412" s="1">
        <v>5430</v>
      </c>
      <c r="B412" s="2" t="s">
        <v>244</v>
      </c>
      <c r="C412" s="289">
        <v>2924</v>
      </c>
      <c r="D412" s="289">
        <v>63</v>
      </c>
      <c r="E412" s="289">
        <v>156</v>
      </c>
      <c r="F412" s="289">
        <v>356</v>
      </c>
      <c r="G412" s="289">
        <v>234</v>
      </c>
      <c r="H412" s="289">
        <v>1682</v>
      </c>
      <c r="I412" s="289">
        <v>329</v>
      </c>
      <c r="J412" s="289">
        <v>96</v>
      </c>
      <c r="K412" s="289">
        <v>13</v>
      </c>
      <c r="L412" s="289">
        <v>31</v>
      </c>
      <c r="M412" s="289">
        <v>228</v>
      </c>
      <c r="N412" s="290">
        <v>0</v>
      </c>
      <c r="O412" s="290">
        <v>7</v>
      </c>
      <c r="P412" s="624">
        <v>31831.277999999998</v>
      </c>
      <c r="Q412" s="624">
        <v>22202.143666669999</v>
      </c>
      <c r="R412" s="624">
        <v>21</v>
      </c>
      <c r="S412" s="289"/>
      <c r="T412" s="289">
        <v>240</v>
      </c>
      <c r="U412" s="716">
        <v>1.6384056866399824E-3</v>
      </c>
      <c r="V412" s="289">
        <v>1439.12838609</v>
      </c>
      <c r="W412" s="743">
        <v>1</v>
      </c>
      <c r="X412" s="289">
        <v>2540</v>
      </c>
      <c r="Y412" s="289">
        <v>414.28399999999999</v>
      </c>
      <c r="Z412" s="289">
        <v>57512</v>
      </c>
      <c r="AA412" s="289">
        <v>0</v>
      </c>
      <c r="AB412" s="290">
        <v>55</v>
      </c>
      <c r="AC412" s="289">
        <v>0</v>
      </c>
      <c r="AD412" s="289">
        <v>0</v>
      </c>
      <c r="AE412" s="289">
        <v>0</v>
      </c>
      <c r="AF412" s="289">
        <v>0</v>
      </c>
      <c r="AG412" s="289">
        <v>2929</v>
      </c>
      <c r="AH412" s="289">
        <v>495.74542953000002</v>
      </c>
      <c r="AI412" s="289">
        <v>2500</v>
      </c>
      <c r="AJ412" s="289">
        <v>0</v>
      </c>
      <c r="AK412" s="289">
        <v>167.566</v>
      </c>
      <c r="AL412" s="289">
        <v>24251</v>
      </c>
      <c r="AM412" s="836">
        <v>0.15825017999999999</v>
      </c>
      <c r="AN412" s="289">
        <v>0</v>
      </c>
      <c r="AO412" s="289">
        <v>137.30431124</v>
      </c>
      <c r="AP412" s="289">
        <v>0</v>
      </c>
      <c r="AQ412" s="289">
        <v>0</v>
      </c>
      <c r="AR412" s="289">
        <v>-155.90393452000001</v>
      </c>
      <c r="AS412" s="289"/>
      <c r="AT412" s="289">
        <v>80</v>
      </c>
      <c r="AU412" s="289">
        <v>74</v>
      </c>
      <c r="AV412" s="625">
        <v>138395</v>
      </c>
      <c r="AW412" s="289"/>
      <c r="AX412" s="625">
        <v>13.0966667</v>
      </c>
      <c r="AY412" s="289">
        <v>663</v>
      </c>
      <c r="AZ412" s="289">
        <v>232</v>
      </c>
      <c r="BA412" s="290">
        <v>94</v>
      </c>
      <c r="BB412" s="289">
        <v>12341</v>
      </c>
      <c r="BC412" s="289">
        <v>886.67023232999998</v>
      </c>
      <c r="BD412" s="289">
        <v>45.677405810548748</v>
      </c>
      <c r="BE412" s="289">
        <v>146170.75414850001</v>
      </c>
      <c r="BF412" s="289">
        <v>0</v>
      </c>
      <c r="BG412" s="289">
        <v>-127.1534</v>
      </c>
      <c r="BH412" s="289">
        <v>-8.2700999999999993</v>
      </c>
      <c r="BI412" s="289">
        <v>910.02942953000002</v>
      </c>
      <c r="BJ412" s="289">
        <v>0</v>
      </c>
      <c r="BK412" s="289">
        <v>0</v>
      </c>
      <c r="BL412" s="289">
        <v>0</v>
      </c>
      <c r="BM412" s="289">
        <v>0</v>
      </c>
      <c r="BN412" s="289">
        <v>243.99117737380078</v>
      </c>
      <c r="BO412" s="289">
        <v>157.31332909759439</v>
      </c>
      <c r="BP412" s="289">
        <v>265.19470653032425</v>
      </c>
      <c r="BQ412" s="289">
        <v>212.66505812586968</v>
      </c>
      <c r="BR412" s="289">
        <v>3.0959130604927489</v>
      </c>
      <c r="BS412" s="289">
        <v>0.93591583067299433</v>
      </c>
      <c r="BT412" s="289">
        <v>0</v>
      </c>
      <c r="BU412" s="289">
        <v>0</v>
      </c>
      <c r="BV412" s="289">
        <v>14.909491748423836</v>
      </c>
      <c r="BW412" s="517"/>
      <c r="BX412" s="517"/>
      <c r="CA412" s="517"/>
      <c r="CB412" s="517"/>
    </row>
    <row r="413" spans="1:80" ht="13">
      <c r="A413" s="1">
        <v>5432</v>
      </c>
      <c r="B413" s="2" t="s">
        <v>246</v>
      </c>
      <c r="C413" s="289">
        <v>917</v>
      </c>
      <c r="D413" s="289">
        <v>15</v>
      </c>
      <c r="E413" s="289">
        <v>27</v>
      </c>
      <c r="F413" s="289">
        <v>67</v>
      </c>
      <c r="G413" s="289">
        <v>76</v>
      </c>
      <c r="H413" s="289">
        <v>488</v>
      </c>
      <c r="I413" s="289">
        <v>176</v>
      </c>
      <c r="J413" s="289">
        <v>55</v>
      </c>
      <c r="K413" s="289">
        <v>12</v>
      </c>
      <c r="L413" s="289">
        <v>9</v>
      </c>
      <c r="M413" s="289">
        <v>137</v>
      </c>
      <c r="N413" s="290">
        <v>1.5</v>
      </c>
      <c r="O413" s="290">
        <v>12</v>
      </c>
      <c r="P413" s="624">
        <v>26555.417000000001</v>
      </c>
      <c r="Q413" s="624">
        <v>9928.6496666700004</v>
      </c>
      <c r="R413" s="624">
        <v>4</v>
      </c>
      <c r="S413" s="289"/>
      <c r="T413" s="289">
        <v>113</v>
      </c>
      <c r="U413" s="716">
        <v>2.3232264034245918E-4</v>
      </c>
      <c r="V413" s="289">
        <v>536.65166447000001</v>
      </c>
      <c r="W413" s="743">
        <v>1</v>
      </c>
      <c r="X413" s="289">
        <v>2420</v>
      </c>
      <c r="Y413" s="289">
        <v>0</v>
      </c>
      <c r="Z413" s="289">
        <v>20523</v>
      </c>
      <c r="AA413" s="289">
        <v>0</v>
      </c>
      <c r="AB413" s="290">
        <v>15</v>
      </c>
      <c r="AC413" s="289">
        <v>0</v>
      </c>
      <c r="AD413" s="289">
        <v>0</v>
      </c>
      <c r="AE413" s="289">
        <v>0</v>
      </c>
      <c r="AF413" s="289">
        <v>0</v>
      </c>
      <c r="AG413" s="289">
        <v>916</v>
      </c>
      <c r="AH413" s="289">
        <v>100</v>
      </c>
      <c r="AI413" s="289">
        <v>131</v>
      </c>
      <c r="AJ413" s="289">
        <v>0</v>
      </c>
      <c r="AK413" s="289">
        <v>0</v>
      </c>
      <c r="AL413" s="289">
        <v>7746</v>
      </c>
      <c r="AM413" s="836">
        <v>1.1857960000000001E-2</v>
      </c>
      <c r="AN413" s="289">
        <v>0</v>
      </c>
      <c r="AO413" s="289">
        <v>51.200843419999998</v>
      </c>
      <c r="AP413" s="289">
        <v>0</v>
      </c>
      <c r="AQ413" s="289">
        <v>0</v>
      </c>
      <c r="AR413" s="289">
        <v>276.34556427000001</v>
      </c>
      <c r="AS413" s="289"/>
      <c r="AT413" s="289">
        <v>30</v>
      </c>
      <c r="AU413" s="289">
        <v>14</v>
      </c>
      <c r="AV413" s="625">
        <v>67024</v>
      </c>
      <c r="AW413" s="289"/>
      <c r="AX413" s="625">
        <v>2.58</v>
      </c>
      <c r="AY413" s="289">
        <v>134</v>
      </c>
      <c r="AZ413" s="289">
        <v>25</v>
      </c>
      <c r="BA413" s="290">
        <v>19</v>
      </c>
      <c r="BB413" s="289">
        <v>12341</v>
      </c>
      <c r="BC413" s="289">
        <v>113.27171717</v>
      </c>
      <c r="BD413" s="289">
        <v>13.558129082417986</v>
      </c>
      <c r="BE413" s="289">
        <v>67042.199963559993</v>
      </c>
      <c r="BF413" s="289">
        <v>0</v>
      </c>
      <c r="BG413" s="289">
        <v>-38.753399999999999</v>
      </c>
      <c r="BH413" s="289">
        <v>-2.5863</v>
      </c>
      <c r="BI413" s="289">
        <v>100</v>
      </c>
      <c r="BJ413" s="289">
        <v>0</v>
      </c>
      <c r="BK413" s="289">
        <v>0</v>
      </c>
      <c r="BL413" s="289">
        <v>0</v>
      </c>
      <c r="BM413" s="289">
        <v>0</v>
      </c>
      <c r="BN413" s="289">
        <v>112.58843137862866</v>
      </c>
      <c r="BO413" s="289">
        <v>83.731795495811951</v>
      </c>
      <c r="BP413" s="289">
        <v>82.935592755813246</v>
      </c>
      <c r="BQ413" s="289">
        <v>30.155478716451199</v>
      </c>
      <c r="BR413" s="289">
        <v>0.9189398600305525</v>
      </c>
      <c r="BS413" s="289">
        <v>0.52048533156632937</v>
      </c>
      <c r="BT413" s="289">
        <v>0</v>
      </c>
      <c r="BU413" s="289">
        <v>0</v>
      </c>
      <c r="BV413" s="289">
        <v>2.1141360271163783</v>
      </c>
      <c r="BW413" s="517"/>
      <c r="BX413" s="517"/>
      <c r="CA413" s="517"/>
      <c r="CB413" s="517"/>
    </row>
    <row r="414" spans="1:80" ht="13">
      <c r="A414" s="1">
        <v>5433</v>
      </c>
      <c r="B414" s="2" t="s">
        <v>247</v>
      </c>
      <c r="C414" s="289">
        <v>1045</v>
      </c>
      <c r="D414" s="289">
        <v>16</v>
      </c>
      <c r="E414" s="289">
        <v>45</v>
      </c>
      <c r="F414" s="289">
        <v>89</v>
      </c>
      <c r="G414" s="289">
        <v>76</v>
      </c>
      <c r="H414" s="289">
        <v>608</v>
      </c>
      <c r="I414" s="289">
        <v>128</v>
      </c>
      <c r="J414" s="289">
        <v>44</v>
      </c>
      <c r="K414" s="289">
        <v>10</v>
      </c>
      <c r="L414" s="289">
        <v>9</v>
      </c>
      <c r="M414" s="289">
        <v>108</v>
      </c>
      <c r="N414" s="290">
        <v>3</v>
      </c>
      <c r="O414" s="290">
        <v>15</v>
      </c>
      <c r="P414" s="624">
        <v>14382.430666669999</v>
      </c>
      <c r="Q414" s="624">
        <v>3386.0610000000001</v>
      </c>
      <c r="R414" s="624">
        <v>3</v>
      </c>
      <c r="S414" s="289"/>
      <c r="T414" s="289">
        <v>120</v>
      </c>
      <c r="U414" s="716">
        <v>1.4703596585746844E-4</v>
      </c>
      <c r="V414" s="289">
        <v>536.05597276000003</v>
      </c>
      <c r="W414" s="743">
        <v>1</v>
      </c>
      <c r="X414" s="289">
        <v>1640</v>
      </c>
      <c r="Y414" s="289">
        <v>0</v>
      </c>
      <c r="Z414" s="289">
        <v>23442</v>
      </c>
      <c r="AA414" s="289">
        <v>0</v>
      </c>
      <c r="AB414" s="290">
        <v>25</v>
      </c>
      <c r="AC414" s="289">
        <v>0</v>
      </c>
      <c r="AD414" s="289">
        <v>0</v>
      </c>
      <c r="AE414" s="289">
        <v>0</v>
      </c>
      <c r="AF414" s="289">
        <v>0</v>
      </c>
      <c r="AG414" s="289">
        <v>1016</v>
      </c>
      <c r="AH414" s="289">
        <v>134.56943446</v>
      </c>
      <c r="AI414" s="289">
        <v>700</v>
      </c>
      <c r="AJ414" s="289">
        <v>0</v>
      </c>
      <c r="AK414" s="289">
        <v>0</v>
      </c>
      <c r="AL414" s="289">
        <v>8413</v>
      </c>
      <c r="AM414" s="836">
        <v>7.6975810000000006E-2</v>
      </c>
      <c r="AN414" s="289">
        <v>0</v>
      </c>
      <c r="AO414" s="289">
        <v>51.144009689999997</v>
      </c>
      <c r="AP414" s="289">
        <v>0</v>
      </c>
      <c r="AQ414" s="289">
        <v>0</v>
      </c>
      <c r="AR414" s="289">
        <v>-54.079343620000003</v>
      </c>
      <c r="AS414" s="289"/>
      <c r="AT414" s="289">
        <v>50</v>
      </c>
      <c r="AU414" s="289">
        <v>24</v>
      </c>
      <c r="AV414" s="625">
        <v>62682</v>
      </c>
      <c r="AW414" s="289"/>
      <c r="AX414" s="625">
        <v>0.98</v>
      </c>
      <c r="AY414" s="289">
        <v>131</v>
      </c>
      <c r="AZ414" s="289">
        <v>67</v>
      </c>
      <c r="BA414" s="290">
        <v>25</v>
      </c>
      <c r="BB414" s="289">
        <v>12341</v>
      </c>
      <c r="BC414" s="289">
        <v>135.92606061000001</v>
      </c>
      <c r="BD414" s="289">
        <v>21.003729923618501</v>
      </c>
      <c r="BE414" s="289">
        <v>64128.719239220001</v>
      </c>
      <c r="BF414" s="289">
        <v>0</v>
      </c>
      <c r="BG414" s="289">
        <v>-40.555100000000003</v>
      </c>
      <c r="BH414" s="289">
        <v>-2.8687</v>
      </c>
      <c r="BI414" s="289">
        <v>134.56943446</v>
      </c>
      <c r="BJ414" s="289">
        <v>0</v>
      </c>
      <c r="BK414" s="289">
        <v>0</v>
      </c>
      <c r="BL414" s="289">
        <v>0</v>
      </c>
      <c r="BM414" s="289">
        <v>0</v>
      </c>
      <c r="BN414" s="289">
        <v>93.958385537599824</v>
      </c>
      <c r="BO414" s="289">
        <v>75.61667136636612</v>
      </c>
      <c r="BP414" s="289">
        <v>91.989696768456625</v>
      </c>
      <c r="BQ414" s="289">
        <v>19.085268368299403</v>
      </c>
      <c r="BR414" s="289">
        <v>1.423586139267476</v>
      </c>
      <c r="BS414" s="289">
        <v>0.5424819088832169</v>
      </c>
      <c r="BT414" s="289">
        <v>0</v>
      </c>
      <c r="BU414" s="289">
        <v>0</v>
      </c>
      <c r="BV414" s="289">
        <v>1.3380272893029628</v>
      </c>
      <c r="BW414" s="517"/>
      <c r="BX414" s="517"/>
      <c r="CA414" s="517"/>
      <c r="CB414" s="517"/>
    </row>
    <row r="415" spans="1:80" ht="13">
      <c r="A415" s="1">
        <v>5434</v>
      </c>
      <c r="B415" s="2" t="s">
        <v>249</v>
      </c>
      <c r="C415" s="289">
        <v>1235</v>
      </c>
      <c r="D415" s="289">
        <v>14</v>
      </c>
      <c r="E415" s="289">
        <v>38</v>
      </c>
      <c r="F415" s="289">
        <v>112</v>
      </c>
      <c r="G415" s="289">
        <v>97</v>
      </c>
      <c r="H415" s="289">
        <v>682</v>
      </c>
      <c r="I415" s="289">
        <v>212</v>
      </c>
      <c r="J415" s="289">
        <v>70</v>
      </c>
      <c r="K415" s="289">
        <v>11</v>
      </c>
      <c r="L415" s="289">
        <v>12</v>
      </c>
      <c r="M415" s="289">
        <v>174</v>
      </c>
      <c r="N415" s="290">
        <v>4</v>
      </c>
      <c r="O415" s="290">
        <v>12</v>
      </c>
      <c r="P415" s="624">
        <v>13793.48733333</v>
      </c>
      <c r="Q415" s="624">
        <v>5729.0646666700004</v>
      </c>
      <c r="R415" s="624">
        <v>4</v>
      </c>
      <c r="S415" s="289"/>
      <c r="T415" s="289">
        <v>123</v>
      </c>
      <c r="U415" s="716">
        <v>1.974369373778447E-4</v>
      </c>
      <c r="V415" s="289">
        <v>633.68398878000005</v>
      </c>
      <c r="W415" s="743">
        <v>1</v>
      </c>
      <c r="X415" s="289">
        <v>2080</v>
      </c>
      <c r="Y415" s="289">
        <v>414.28399999999999</v>
      </c>
      <c r="Z415" s="289">
        <v>33282</v>
      </c>
      <c r="AA415" s="289">
        <v>0</v>
      </c>
      <c r="AB415" s="290">
        <v>14</v>
      </c>
      <c r="AC415" s="289">
        <v>0</v>
      </c>
      <c r="AD415" s="289">
        <v>0</v>
      </c>
      <c r="AE415" s="289">
        <v>0</v>
      </c>
      <c r="AF415" s="289">
        <v>0</v>
      </c>
      <c r="AG415" s="289">
        <v>1236</v>
      </c>
      <c r="AH415" s="289">
        <v>152.00070835</v>
      </c>
      <c r="AI415" s="289">
        <v>0</v>
      </c>
      <c r="AJ415" s="289">
        <v>0</v>
      </c>
      <c r="AK415" s="289">
        <v>0</v>
      </c>
      <c r="AL415" s="289">
        <v>10134</v>
      </c>
      <c r="AM415" s="836">
        <v>5.1588370000000001E-2</v>
      </c>
      <c r="AN415" s="289">
        <v>0</v>
      </c>
      <c r="AO415" s="289">
        <v>60.458500059999999</v>
      </c>
      <c r="AP415" s="289">
        <v>0</v>
      </c>
      <c r="AQ415" s="289">
        <v>0</v>
      </c>
      <c r="AR415" s="289">
        <v>-65.789437719999995</v>
      </c>
      <c r="AS415" s="289"/>
      <c r="AT415" s="289">
        <v>53</v>
      </c>
      <c r="AU415" s="289">
        <v>25</v>
      </c>
      <c r="AV415" s="625">
        <v>69802</v>
      </c>
      <c r="AW415" s="289"/>
      <c r="AX415" s="625">
        <v>5.14</v>
      </c>
      <c r="AY415" s="289">
        <v>151</v>
      </c>
      <c r="AZ415" s="289">
        <v>59</v>
      </c>
      <c r="BA415" s="290">
        <v>27</v>
      </c>
      <c r="BB415" s="289">
        <v>12341</v>
      </c>
      <c r="BC415" s="289">
        <v>144.98779798000001</v>
      </c>
      <c r="BD415" s="289">
        <v>18.765743281068307</v>
      </c>
      <c r="BE415" s="289">
        <v>73333.593873260004</v>
      </c>
      <c r="BF415" s="289">
        <v>0</v>
      </c>
      <c r="BG415" s="289">
        <v>-47.668599999999998</v>
      </c>
      <c r="BH415" s="289">
        <v>-3.4899</v>
      </c>
      <c r="BI415" s="289">
        <v>566.28470834999996</v>
      </c>
      <c r="BJ415" s="289">
        <v>0</v>
      </c>
      <c r="BK415" s="289">
        <v>0</v>
      </c>
      <c r="BL415" s="289">
        <v>0</v>
      </c>
      <c r="BM415" s="289">
        <v>0</v>
      </c>
      <c r="BN415" s="289">
        <v>127.01672842970606</v>
      </c>
      <c r="BO415" s="289">
        <v>88.222892707120025</v>
      </c>
      <c r="BP415" s="289">
        <v>111.90872559627203</v>
      </c>
      <c r="BQ415" s="289">
        <v>25.627314471644233</v>
      </c>
      <c r="BR415" s="289">
        <v>1.2719003779390738</v>
      </c>
      <c r="BS415" s="289">
        <v>0.58596749666290604</v>
      </c>
      <c r="BT415" s="289">
        <v>0</v>
      </c>
      <c r="BU415" s="289">
        <v>0</v>
      </c>
      <c r="BV415" s="289">
        <v>1.7966761301383862</v>
      </c>
      <c r="BW415" s="517"/>
      <c r="BX415" s="517"/>
      <c r="CA415" s="517"/>
      <c r="CB415" s="517"/>
    </row>
    <row r="416" spans="1:80" ht="13">
      <c r="A416" s="1">
        <v>5435</v>
      </c>
      <c r="B416" s="2" t="s">
        <v>250</v>
      </c>
      <c r="C416" s="289">
        <v>3218</v>
      </c>
      <c r="D416" s="289">
        <v>37</v>
      </c>
      <c r="E416" s="289">
        <v>111</v>
      </c>
      <c r="F416" s="289">
        <v>323</v>
      </c>
      <c r="G416" s="289">
        <v>291</v>
      </c>
      <c r="H416" s="289">
        <v>1849</v>
      </c>
      <c r="I416" s="289">
        <v>439</v>
      </c>
      <c r="J416" s="289">
        <v>133</v>
      </c>
      <c r="K416" s="289">
        <v>24</v>
      </c>
      <c r="L416" s="289">
        <v>30</v>
      </c>
      <c r="M416" s="289">
        <v>325</v>
      </c>
      <c r="N416" s="290">
        <v>46</v>
      </c>
      <c r="O416" s="290">
        <v>47</v>
      </c>
      <c r="P416" s="624">
        <v>14765.076999999999</v>
      </c>
      <c r="Q416" s="624">
        <v>8457.6926666700001</v>
      </c>
      <c r="R416" s="624">
        <v>17</v>
      </c>
      <c r="S416" s="289"/>
      <c r="T416" s="289">
        <v>362</v>
      </c>
      <c r="U416" s="716">
        <v>1.4029344247262608E-4</v>
      </c>
      <c r="V416" s="289">
        <v>1409.87448122</v>
      </c>
      <c r="W416" s="743">
        <v>1</v>
      </c>
      <c r="X416" s="289">
        <v>1580</v>
      </c>
      <c r="Y416" s="289">
        <v>0</v>
      </c>
      <c r="Z416" s="289">
        <v>88642</v>
      </c>
      <c r="AA416" s="289">
        <v>0</v>
      </c>
      <c r="AB416" s="290">
        <v>59</v>
      </c>
      <c r="AC416" s="289">
        <v>0</v>
      </c>
      <c r="AD416" s="289">
        <v>0</v>
      </c>
      <c r="AE416" s="289">
        <v>0</v>
      </c>
      <c r="AF416" s="289">
        <v>0</v>
      </c>
      <c r="AG416" s="289">
        <v>3207</v>
      </c>
      <c r="AH416" s="289">
        <v>445.54336072000001</v>
      </c>
      <c r="AI416" s="289">
        <v>0</v>
      </c>
      <c r="AJ416" s="289">
        <v>0</v>
      </c>
      <c r="AK416" s="289">
        <v>0</v>
      </c>
      <c r="AL416" s="289">
        <v>26663</v>
      </c>
      <c r="AM416" s="836">
        <v>0.17822537999999999</v>
      </c>
      <c r="AN416" s="289">
        <v>0</v>
      </c>
      <c r="AO416" s="289">
        <v>134.51325568999999</v>
      </c>
      <c r="AP416" s="289">
        <v>0</v>
      </c>
      <c r="AQ416" s="289">
        <v>0</v>
      </c>
      <c r="AR416" s="289">
        <v>-77.797359610000001</v>
      </c>
      <c r="AS416" s="289"/>
      <c r="AT416" s="289">
        <v>173</v>
      </c>
      <c r="AU416" s="289">
        <v>56</v>
      </c>
      <c r="AV416" s="625">
        <v>121251</v>
      </c>
      <c r="AW416" s="289"/>
      <c r="AX416" s="625">
        <v>13.411666650000001</v>
      </c>
      <c r="AY416" s="289">
        <v>510</v>
      </c>
      <c r="AZ416" s="289">
        <v>193</v>
      </c>
      <c r="BA416" s="290">
        <v>70</v>
      </c>
      <c r="BB416" s="289">
        <v>0</v>
      </c>
      <c r="BC416" s="289">
        <v>461.01588889999999</v>
      </c>
      <c r="BD416" s="289">
        <v>61.169940883166831</v>
      </c>
      <c r="BE416" s="289">
        <v>123351.65773763999</v>
      </c>
      <c r="BF416" s="289">
        <v>0</v>
      </c>
      <c r="BG416" s="289">
        <v>-113.37439999999999</v>
      </c>
      <c r="BH416" s="289">
        <v>-9.0549999999999997</v>
      </c>
      <c r="BI416" s="289">
        <v>445.54336072000001</v>
      </c>
      <c r="BJ416" s="289">
        <v>0</v>
      </c>
      <c r="BK416" s="289">
        <v>0</v>
      </c>
      <c r="BL416" s="289">
        <v>0</v>
      </c>
      <c r="BM416" s="289">
        <v>0</v>
      </c>
      <c r="BN416" s="289">
        <v>268.97359884167025</v>
      </c>
      <c r="BO416" s="289">
        <v>157.27159689148141</v>
      </c>
      <c r="BP416" s="289">
        <v>290.36511568547286</v>
      </c>
      <c r="BQ416" s="289">
        <v>18.210088832946852</v>
      </c>
      <c r="BR416" s="289">
        <v>4.1459626598590846</v>
      </c>
      <c r="BS416" s="289">
        <v>0.99010557416109801</v>
      </c>
      <c r="BT416" s="289">
        <v>0</v>
      </c>
      <c r="BU416" s="289">
        <v>0</v>
      </c>
      <c r="BV416" s="289">
        <v>1.2766703265008967</v>
      </c>
      <c r="BW416" s="517"/>
      <c r="BX416" s="517"/>
      <c r="CA416" s="517"/>
      <c r="CB416" s="517"/>
    </row>
    <row r="417" spans="1:80" ht="13">
      <c r="A417" s="1">
        <v>5436</v>
      </c>
      <c r="B417" s="2" t="s">
        <v>251</v>
      </c>
      <c r="C417" s="289">
        <v>3944</v>
      </c>
      <c r="D417" s="289">
        <v>70</v>
      </c>
      <c r="E417" s="289">
        <v>137</v>
      </c>
      <c r="F417" s="289">
        <v>413</v>
      </c>
      <c r="G417" s="289">
        <v>346</v>
      </c>
      <c r="H417" s="289">
        <v>2276</v>
      </c>
      <c r="I417" s="289">
        <v>554</v>
      </c>
      <c r="J417" s="289">
        <v>152</v>
      </c>
      <c r="K417" s="289">
        <v>35</v>
      </c>
      <c r="L417" s="289">
        <v>37</v>
      </c>
      <c r="M417" s="289">
        <v>383</v>
      </c>
      <c r="N417" s="290">
        <v>44</v>
      </c>
      <c r="O417" s="290">
        <v>36</v>
      </c>
      <c r="P417" s="624">
        <v>43368.939333330003</v>
      </c>
      <c r="Q417" s="624">
        <v>16297.058999999999</v>
      </c>
      <c r="R417" s="624">
        <v>7</v>
      </c>
      <c r="S417" s="289"/>
      <c r="T417" s="289">
        <v>441</v>
      </c>
      <c r="U417" s="716">
        <v>1.8514466446578719E-3</v>
      </c>
      <c r="V417" s="289">
        <v>1697.07515481</v>
      </c>
      <c r="W417" s="743">
        <v>1</v>
      </c>
      <c r="X417" s="289">
        <v>2140</v>
      </c>
      <c r="Y417" s="289">
        <v>828.56799999999998</v>
      </c>
      <c r="Z417" s="289">
        <v>100811</v>
      </c>
      <c r="AA417" s="289">
        <v>0</v>
      </c>
      <c r="AB417" s="290">
        <v>69</v>
      </c>
      <c r="AC417" s="289">
        <v>0</v>
      </c>
      <c r="AD417" s="289">
        <v>0</v>
      </c>
      <c r="AE417" s="289">
        <v>0</v>
      </c>
      <c r="AF417" s="289">
        <v>0</v>
      </c>
      <c r="AG417" s="289">
        <v>3983</v>
      </c>
      <c r="AH417" s="289">
        <v>568.25952892999999</v>
      </c>
      <c r="AI417" s="289">
        <v>750</v>
      </c>
      <c r="AJ417" s="289">
        <v>0</v>
      </c>
      <c r="AK417" s="289">
        <v>0</v>
      </c>
      <c r="AL417" s="289">
        <v>32632</v>
      </c>
      <c r="AM417" s="836">
        <v>0.13041133999999999</v>
      </c>
      <c r="AN417" s="289">
        <v>0</v>
      </c>
      <c r="AO417" s="289">
        <v>161.91448761999999</v>
      </c>
      <c r="AP417" s="289">
        <v>0</v>
      </c>
      <c r="AQ417" s="289">
        <v>0</v>
      </c>
      <c r="AR417" s="289">
        <v>-212.00593076999999</v>
      </c>
      <c r="AS417" s="289"/>
      <c r="AT417" s="289">
        <v>216</v>
      </c>
      <c r="AU417" s="289">
        <v>53</v>
      </c>
      <c r="AV417" s="625">
        <v>138713</v>
      </c>
      <c r="AW417" s="289"/>
      <c r="AX417" s="625">
        <v>30.766666699999998</v>
      </c>
      <c r="AY417" s="289">
        <v>787</v>
      </c>
      <c r="AZ417" s="289">
        <v>179</v>
      </c>
      <c r="BA417" s="290">
        <v>113</v>
      </c>
      <c r="BB417" s="289">
        <v>0</v>
      </c>
      <c r="BC417" s="289">
        <v>958.03141415000005</v>
      </c>
      <c r="BD417" s="289">
        <v>66.47047277293079</v>
      </c>
      <c r="BE417" s="289">
        <v>146731.39629378999</v>
      </c>
      <c r="BF417" s="289">
        <v>0</v>
      </c>
      <c r="BG417" s="289">
        <v>-146.43889999999999</v>
      </c>
      <c r="BH417" s="289">
        <v>-11.2461</v>
      </c>
      <c r="BI417" s="289">
        <v>1396.82752893</v>
      </c>
      <c r="BJ417" s="289">
        <v>0</v>
      </c>
      <c r="BK417" s="289">
        <v>0</v>
      </c>
      <c r="BL417" s="289">
        <v>0</v>
      </c>
      <c r="BM417" s="289">
        <v>0</v>
      </c>
      <c r="BN417" s="289">
        <v>299.58076211292001</v>
      </c>
      <c r="BO417" s="289">
        <v>198.37771663444624</v>
      </c>
      <c r="BP417" s="289">
        <v>360.62496282358535</v>
      </c>
      <c r="BQ417" s="289">
        <v>240.31777447659175</v>
      </c>
      <c r="BR417" s="289">
        <v>4.5052209323875312</v>
      </c>
      <c r="BS417" s="289">
        <v>1.1487909915725421</v>
      </c>
      <c r="BT417" s="289">
        <v>0</v>
      </c>
      <c r="BU417" s="289">
        <v>0</v>
      </c>
      <c r="BV417" s="289">
        <v>16.848164466386635</v>
      </c>
      <c r="BW417" s="517"/>
      <c r="BX417" s="517"/>
      <c r="CA417" s="517"/>
      <c r="CB417" s="517"/>
    </row>
    <row r="418" spans="1:80" ht="13">
      <c r="A418" s="1">
        <v>5437</v>
      </c>
      <c r="B418" s="2" t="s">
        <v>252</v>
      </c>
      <c r="C418" s="289">
        <v>2673</v>
      </c>
      <c r="D418" s="289">
        <v>49</v>
      </c>
      <c r="E418" s="289">
        <v>89</v>
      </c>
      <c r="F418" s="289">
        <v>297</v>
      </c>
      <c r="G418" s="289">
        <v>281</v>
      </c>
      <c r="H418" s="289">
        <v>1559</v>
      </c>
      <c r="I418" s="289">
        <v>295</v>
      </c>
      <c r="J418" s="289">
        <v>103</v>
      </c>
      <c r="K418" s="289">
        <v>16</v>
      </c>
      <c r="L418" s="289">
        <v>21</v>
      </c>
      <c r="M418" s="289">
        <v>240</v>
      </c>
      <c r="N418" s="290">
        <v>1.5</v>
      </c>
      <c r="O418" s="290">
        <v>12</v>
      </c>
      <c r="P418" s="624">
        <v>10660.90733333</v>
      </c>
      <c r="Q418" s="624">
        <v>12377.352999999999</v>
      </c>
      <c r="R418" s="624">
        <v>19</v>
      </c>
      <c r="S418" s="289"/>
      <c r="T418" s="289">
        <v>218</v>
      </c>
      <c r="U418" s="716">
        <v>1.4657123114239969E-3</v>
      </c>
      <c r="V418" s="289">
        <v>1217.46515858</v>
      </c>
      <c r="W418" s="743">
        <v>1</v>
      </c>
      <c r="X418" s="289">
        <v>2080</v>
      </c>
      <c r="Y418" s="289">
        <v>414.28399999999999</v>
      </c>
      <c r="Z418" s="289">
        <v>59811</v>
      </c>
      <c r="AA418" s="289">
        <v>0</v>
      </c>
      <c r="AB418" s="290">
        <v>47</v>
      </c>
      <c r="AC418" s="289">
        <v>0</v>
      </c>
      <c r="AD418" s="289">
        <v>0</v>
      </c>
      <c r="AE418" s="289">
        <v>0</v>
      </c>
      <c r="AF418" s="289">
        <v>0</v>
      </c>
      <c r="AG418" s="289">
        <v>2689</v>
      </c>
      <c r="AH418" s="289">
        <v>414.86431865999998</v>
      </c>
      <c r="AI418" s="289">
        <v>580</v>
      </c>
      <c r="AJ418" s="289">
        <v>2500</v>
      </c>
      <c r="AK418" s="289">
        <v>0</v>
      </c>
      <c r="AL418" s="289">
        <v>22235</v>
      </c>
      <c r="AM418" s="836">
        <v>9.0442320000000007E-2</v>
      </c>
      <c r="AN418" s="289">
        <v>0</v>
      </c>
      <c r="AO418" s="289">
        <v>116.1558737</v>
      </c>
      <c r="AP418" s="289">
        <v>0</v>
      </c>
      <c r="AQ418" s="289">
        <v>0</v>
      </c>
      <c r="AR418" s="289">
        <v>-143.12928642</v>
      </c>
      <c r="AS418" s="289"/>
      <c r="AT418" s="289">
        <v>121</v>
      </c>
      <c r="AU418" s="289">
        <v>41</v>
      </c>
      <c r="AV418" s="625">
        <v>114549</v>
      </c>
      <c r="AW418" s="289"/>
      <c r="AX418" s="625">
        <v>24.07666665</v>
      </c>
      <c r="AY418" s="289">
        <v>669</v>
      </c>
      <c r="AZ418" s="289">
        <v>133</v>
      </c>
      <c r="BA418" s="290">
        <v>88</v>
      </c>
      <c r="BB418" s="289">
        <v>12341</v>
      </c>
      <c r="BC418" s="289">
        <v>805.11459596999998</v>
      </c>
      <c r="BD418" s="289">
        <v>37.764598439768292</v>
      </c>
      <c r="BE418" s="289">
        <v>121444.6454444</v>
      </c>
      <c r="BF418" s="289">
        <v>0</v>
      </c>
      <c r="BG418" s="289">
        <v>-102.9248</v>
      </c>
      <c r="BH418" s="289">
        <v>-7.5925000000000002</v>
      </c>
      <c r="BI418" s="289">
        <v>829.14831865999997</v>
      </c>
      <c r="BJ418" s="289">
        <v>0</v>
      </c>
      <c r="BK418" s="289">
        <v>0</v>
      </c>
      <c r="BL418" s="289">
        <v>0</v>
      </c>
      <c r="BM418" s="289">
        <v>0</v>
      </c>
      <c r="BN418" s="289">
        <v>221.94642295347319</v>
      </c>
      <c r="BO418" s="289">
        <v>137.04476786243805</v>
      </c>
      <c r="BP418" s="289">
        <v>243.46485689998019</v>
      </c>
      <c r="BQ418" s="289">
        <v>190.24945802283477</v>
      </c>
      <c r="BR418" s="289">
        <v>2.5596005609176293</v>
      </c>
      <c r="BS418" s="289">
        <v>0.88641030817523214</v>
      </c>
      <c r="BT418" s="289">
        <v>0</v>
      </c>
      <c r="BU418" s="289">
        <v>0</v>
      </c>
      <c r="BV418" s="289">
        <v>13.337982033958369</v>
      </c>
      <c r="BW418" s="517"/>
      <c r="BX418" s="517"/>
      <c r="CA418" s="517"/>
      <c r="CB418" s="517"/>
    </row>
    <row r="419" spans="1:80" ht="13">
      <c r="A419" s="1">
        <v>5438</v>
      </c>
      <c r="B419" s="2" t="s">
        <v>253</v>
      </c>
      <c r="C419" s="289">
        <v>1328</v>
      </c>
      <c r="D419" s="289">
        <v>16</v>
      </c>
      <c r="E419" s="289">
        <v>51</v>
      </c>
      <c r="F419" s="289">
        <v>141</v>
      </c>
      <c r="G419" s="289">
        <v>124</v>
      </c>
      <c r="H419" s="289">
        <v>774</v>
      </c>
      <c r="I419" s="289">
        <v>180</v>
      </c>
      <c r="J419" s="289">
        <v>62</v>
      </c>
      <c r="K419" s="289">
        <v>10</v>
      </c>
      <c r="L419" s="289">
        <v>12</v>
      </c>
      <c r="M419" s="289">
        <v>148</v>
      </c>
      <c r="N419" s="290">
        <v>4</v>
      </c>
      <c r="O419" s="290">
        <v>18</v>
      </c>
      <c r="P419" s="624">
        <v>37698.322999999997</v>
      </c>
      <c r="Q419" s="624">
        <v>11579.543666670001</v>
      </c>
      <c r="R419" s="624">
        <v>12</v>
      </c>
      <c r="S419" s="289"/>
      <c r="T419" s="289">
        <v>156</v>
      </c>
      <c r="U419" s="716">
        <v>7.1438707057252062E-4</v>
      </c>
      <c r="V419" s="289">
        <v>758.07861559000003</v>
      </c>
      <c r="W419" s="743">
        <v>1</v>
      </c>
      <c r="X419" s="289">
        <v>1470</v>
      </c>
      <c r="Y419" s="289">
        <v>0</v>
      </c>
      <c r="Z419" s="289">
        <v>35754</v>
      </c>
      <c r="AA419" s="289">
        <v>0</v>
      </c>
      <c r="AB419" s="290">
        <v>37</v>
      </c>
      <c r="AC419" s="289">
        <v>0</v>
      </c>
      <c r="AD419" s="289">
        <v>0</v>
      </c>
      <c r="AE419" s="289">
        <v>0</v>
      </c>
      <c r="AF419" s="289">
        <v>0</v>
      </c>
      <c r="AG419" s="289">
        <v>1358</v>
      </c>
      <c r="AH419" s="289">
        <v>196.62476952</v>
      </c>
      <c r="AI419" s="289">
        <v>495</v>
      </c>
      <c r="AJ419" s="289">
        <v>0</v>
      </c>
      <c r="AK419" s="289">
        <v>126.65</v>
      </c>
      <c r="AL419" s="289">
        <v>11105</v>
      </c>
      <c r="AM419" s="836">
        <v>7.6881480000000002E-2</v>
      </c>
      <c r="AN419" s="289">
        <v>0</v>
      </c>
      <c r="AO419" s="289">
        <v>72.326738309999996</v>
      </c>
      <c r="AP419" s="289">
        <v>0</v>
      </c>
      <c r="AQ419" s="289">
        <v>0</v>
      </c>
      <c r="AR419" s="289">
        <v>-72.28321717</v>
      </c>
      <c r="AS419" s="289"/>
      <c r="AT419" s="289">
        <v>77</v>
      </c>
      <c r="AU419" s="289">
        <v>23</v>
      </c>
      <c r="AV419" s="625">
        <v>83574</v>
      </c>
      <c r="AW419" s="289"/>
      <c r="AX419" s="625">
        <v>4.7733333</v>
      </c>
      <c r="AY419" s="289">
        <v>210</v>
      </c>
      <c r="AZ419" s="289">
        <v>79</v>
      </c>
      <c r="BA419" s="290">
        <v>23</v>
      </c>
      <c r="BB419" s="289">
        <v>12341</v>
      </c>
      <c r="BC419" s="289">
        <v>200.4909394</v>
      </c>
      <c r="BD419" s="289">
        <v>26.013050087490672</v>
      </c>
      <c r="BE419" s="289">
        <v>86115.839195990004</v>
      </c>
      <c r="BF419" s="289">
        <v>0</v>
      </c>
      <c r="BG419" s="289">
        <v>-63.380099999999999</v>
      </c>
      <c r="BH419" s="289">
        <v>-3.8342999999999998</v>
      </c>
      <c r="BI419" s="289">
        <v>196.62476952</v>
      </c>
      <c r="BJ419" s="289">
        <v>0</v>
      </c>
      <c r="BK419" s="289">
        <v>0</v>
      </c>
      <c r="BL419" s="289">
        <v>0</v>
      </c>
      <c r="BM419" s="289">
        <v>0</v>
      </c>
      <c r="BN419" s="289">
        <v>145.94324873738239</v>
      </c>
      <c r="BO419" s="289">
        <v>100.46063058007749</v>
      </c>
      <c r="BP419" s="289">
        <v>122.95473249169696</v>
      </c>
      <c r="BQ419" s="289">
        <v>92.727441760313155</v>
      </c>
      <c r="BR419" s="289">
        <v>1.7631067281521453</v>
      </c>
      <c r="BS419" s="289">
        <v>0.612266416272645</v>
      </c>
      <c r="BT419" s="289">
        <v>0</v>
      </c>
      <c r="BU419" s="289">
        <v>0</v>
      </c>
      <c r="BV419" s="289">
        <v>6.5009223422099369</v>
      </c>
      <c r="BW419" s="517"/>
      <c r="BX419" s="517"/>
      <c r="CA419" s="517"/>
      <c r="CB419" s="517"/>
    </row>
    <row r="420" spans="1:80" ht="13">
      <c r="A420" s="1">
        <v>5439</v>
      </c>
      <c r="B420" s="2" t="s">
        <v>254</v>
      </c>
      <c r="C420" s="289">
        <v>1169</v>
      </c>
      <c r="D420" s="289">
        <v>19</v>
      </c>
      <c r="E420" s="289">
        <v>35</v>
      </c>
      <c r="F420" s="289">
        <v>88</v>
      </c>
      <c r="G420" s="289">
        <v>88</v>
      </c>
      <c r="H420" s="289">
        <v>718</v>
      </c>
      <c r="I420" s="289">
        <v>161</v>
      </c>
      <c r="J420" s="289">
        <v>39</v>
      </c>
      <c r="K420" s="289">
        <v>7</v>
      </c>
      <c r="L420" s="289">
        <v>12</v>
      </c>
      <c r="M420" s="289">
        <v>110</v>
      </c>
      <c r="N420" s="290">
        <v>1.5</v>
      </c>
      <c r="O420" s="290">
        <v>16</v>
      </c>
      <c r="P420" s="624">
        <v>14603.543</v>
      </c>
      <c r="Q420" s="624">
        <v>9560.0913333299995</v>
      </c>
      <c r="R420" s="624">
        <v>3</v>
      </c>
      <c r="S420" s="289"/>
      <c r="T420" s="289">
        <v>160</v>
      </c>
      <c r="U420" s="716">
        <v>3.027115762808671E-4</v>
      </c>
      <c r="V420" s="289">
        <v>572.43827664000003</v>
      </c>
      <c r="W420" s="743">
        <v>1</v>
      </c>
      <c r="X420" s="289">
        <v>2480</v>
      </c>
      <c r="Y420" s="289">
        <v>414.28399999999999</v>
      </c>
      <c r="Z420" s="289">
        <v>28086</v>
      </c>
      <c r="AA420" s="289">
        <v>0</v>
      </c>
      <c r="AB420" s="290">
        <v>23</v>
      </c>
      <c r="AC420" s="289">
        <v>0</v>
      </c>
      <c r="AD420" s="289">
        <v>0</v>
      </c>
      <c r="AE420" s="289">
        <v>0</v>
      </c>
      <c r="AF420" s="289">
        <v>0</v>
      </c>
      <c r="AG420" s="289">
        <v>1155</v>
      </c>
      <c r="AH420" s="289">
        <v>126.89967394</v>
      </c>
      <c r="AI420" s="289">
        <v>200</v>
      </c>
      <c r="AJ420" s="289">
        <v>0</v>
      </c>
      <c r="AK420" s="289">
        <v>0</v>
      </c>
      <c r="AL420" s="289">
        <v>9491</v>
      </c>
      <c r="AM420" s="836">
        <v>0.16605273000000001</v>
      </c>
      <c r="AN420" s="289">
        <v>0</v>
      </c>
      <c r="AO420" s="289">
        <v>54.615171279999998</v>
      </c>
      <c r="AP420" s="289">
        <v>0</v>
      </c>
      <c r="AQ420" s="289">
        <v>0</v>
      </c>
      <c r="AR420" s="289">
        <v>-61.477993980000001</v>
      </c>
      <c r="AS420" s="289"/>
      <c r="AT420" s="289">
        <v>73</v>
      </c>
      <c r="AU420" s="289">
        <v>28</v>
      </c>
      <c r="AV420" s="625">
        <v>63602</v>
      </c>
      <c r="AW420" s="289"/>
      <c r="AX420" s="625">
        <v>6.7266667</v>
      </c>
      <c r="AY420" s="289">
        <v>141</v>
      </c>
      <c r="AZ420" s="289">
        <v>108</v>
      </c>
      <c r="BA420" s="290">
        <v>18</v>
      </c>
      <c r="BB420" s="289">
        <v>12341</v>
      </c>
      <c r="BC420" s="289">
        <v>530.99704040999995</v>
      </c>
      <c r="BD420" s="289">
        <v>31.057929429740582</v>
      </c>
      <c r="BE420" s="289">
        <v>67345.163224970005</v>
      </c>
      <c r="BF420" s="289">
        <v>0</v>
      </c>
      <c r="BG420" s="289">
        <v>-42.8795</v>
      </c>
      <c r="BH420" s="289">
        <v>-3.2612000000000001</v>
      </c>
      <c r="BI420" s="289">
        <v>541.18367393999995</v>
      </c>
      <c r="BJ420" s="289">
        <v>0</v>
      </c>
      <c r="BK420" s="289">
        <v>0</v>
      </c>
      <c r="BL420" s="289">
        <v>0</v>
      </c>
      <c r="BM420" s="289">
        <v>0</v>
      </c>
      <c r="BN420" s="289">
        <v>99.163471559102732</v>
      </c>
      <c r="BO420" s="289">
        <v>83.722023663120837</v>
      </c>
      <c r="BP420" s="289">
        <v>104.57490134603091</v>
      </c>
      <c r="BQ420" s="289">
        <v>39.291962601256543</v>
      </c>
      <c r="BR420" s="289">
        <v>2.1050374391268614</v>
      </c>
      <c r="BS420" s="289">
        <v>0.57035352395176209</v>
      </c>
      <c r="BT420" s="289">
        <v>0</v>
      </c>
      <c r="BU420" s="289">
        <v>0</v>
      </c>
      <c r="BV420" s="289">
        <v>2.7546753441558902</v>
      </c>
      <c r="BW420" s="517"/>
      <c r="BX420" s="517"/>
      <c r="CA420" s="517"/>
      <c r="CB420" s="517"/>
    </row>
    <row r="421" spans="1:80" ht="13">
      <c r="A421" s="1">
        <v>5440</v>
      </c>
      <c r="B421" s="2" t="s">
        <v>255</v>
      </c>
      <c r="C421" s="289">
        <v>981</v>
      </c>
      <c r="D421" s="289">
        <v>18</v>
      </c>
      <c r="E421" s="289">
        <v>21</v>
      </c>
      <c r="F421" s="289">
        <v>82</v>
      </c>
      <c r="G421" s="289">
        <v>73</v>
      </c>
      <c r="H421" s="289">
        <v>571</v>
      </c>
      <c r="I421" s="289">
        <v>155</v>
      </c>
      <c r="J421" s="289">
        <v>48</v>
      </c>
      <c r="K421" s="289">
        <v>13</v>
      </c>
      <c r="L421" s="289">
        <v>10</v>
      </c>
      <c r="M421" s="289">
        <v>128</v>
      </c>
      <c r="N421" s="290">
        <v>1.5</v>
      </c>
      <c r="O421" s="290">
        <v>9</v>
      </c>
      <c r="P421" s="624">
        <v>1687.53</v>
      </c>
      <c r="Q421" s="624">
        <v>1471.4223333299999</v>
      </c>
      <c r="R421" s="624">
        <v>2</v>
      </c>
      <c r="S421" s="289"/>
      <c r="T421" s="289">
        <v>117</v>
      </c>
      <c r="U421" s="716">
        <v>1.8578602521377046E-4</v>
      </c>
      <c r="V421" s="289">
        <v>496.32830373000002</v>
      </c>
      <c r="W421" s="743">
        <v>1</v>
      </c>
      <c r="X421" s="289">
        <v>1580</v>
      </c>
      <c r="Y421" s="289">
        <v>0</v>
      </c>
      <c r="Z421" s="289">
        <v>26727</v>
      </c>
      <c r="AA421" s="289">
        <v>0</v>
      </c>
      <c r="AB421" s="290">
        <v>17</v>
      </c>
      <c r="AC421" s="289">
        <v>0</v>
      </c>
      <c r="AD421" s="289">
        <v>0</v>
      </c>
      <c r="AE421" s="289">
        <v>0</v>
      </c>
      <c r="AF421" s="289">
        <v>0</v>
      </c>
      <c r="AG421" s="289">
        <v>981</v>
      </c>
      <c r="AH421" s="289">
        <v>110.86290196</v>
      </c>
      <c r="AI421" s="289">
        <v>1090</v>
      </c>
      <c r="AJ421" s="289">
        <v>0</v>
      </c>
      <c r="AK421" s="289">
        <v>54.109000000000002</v>
      </c>
      <c r="AL421" s="289">
        <v>8092</v>
      </c>
      <c r="AM421" s="836">
        <v>3.4306509999999998E-2</v>
      </c>
      <c r="AN421" s="289">
        <v>0</v>
      </c>
      <c r="AO421" s="289">
        <v>47.353673620000002</v>
      </c>
      <c r="AP421" s="289">
        <v>0</v>
      </c>
      <c r="AQ421" s="289">
        <v>0</v>
      </c>
      <c r="AR421" s="289">
        <v>961.48718342999996</v>
      </c>
      <c r="AS421" s="289"/>
      <c r="AT421" s="289">
        <v>50</v>
      </c>
      <c r="AU421" s="289">
        <v>13</v>
      </c>
      <c r="AV421" s="625">
        <v>60020</v>
      </c>
      <c r="AW421" s="289"/>
      <c r="AX421" s="625">
        <v>10.24</v>
      </c>
      <c r="AY421" s="289">
        <v>125</v>
      </c>
      <c r="AZ421" s="289">
        <v>51</v>
      </c>
      <c r="BA421" s="290">
        <v>25</v>
      </c>
      <c r="BB421" s="289">
        <v>12341</v>
      </c>
      <c r="BC421" s="289">
        <v>116.66986869</v>
      </c>
      <c r="BD421" s="289">
        <v>16.272565463514329</v>
      </c>
      <c r="BE421" s="289">
        <v>59529.721848729998</v>
      </c>
      <c r="BF421" s="289">
        <v>0</v>
      </c>
      <c r="BG421" s="289">
        <v>-34.797600000000003</v>
      </c>
      <c r="BH421" s="289">
        <v>-2.7698999999999998</v>
      </c>
      <c r="BI421" s="289">
        <v>110.86290196</v>
      </c>
      <c r="BJ421" s="289">
        <v>0</v>
      </c>
      <c r="BK421" s="289">
        <v>0</v>
      </c>
      <c r="BL421" s="289">
        <v>0</v>
      </c>
      <c r="BM421" s="289">
        <v>0</v>
      </c>
      <c r="BN421" s="289">
        <v>97.108854978740425</v>
      </c>
      <c r="BO421" s="289">
        <v>71.224665790994067</v>
      </c>
      <c r="BP421" s="289">
        <v>88.820760364031443</v>
      </c>
      <c r="BQ421" s="289">
        <v>24.115026072747401</v>
      </c>
      <c r="BR421" s="289">
        <v>1.1029183258604154</v>
      </c>
      <c r="BS421" s="289">
        <v>0.53430177002510082</v>
      </c>
      <c r="BT421" s="289">
        <v>0</v>
      </c>
      <c r="BU421" s="289">
        <v>0</v>
      </c>
      <c r="BV421" s="289">
        <v>1.6906528294453109</v>
      </c>
      <c r="BW421" s="517"/>
      <c r="BX421" s="517"/>
      <c r="CA421" s="517"/>
      <c r="CB421" s="517"/>
    </row>
    <row r="422" spans="1:80" ht="13">
      <c r="A422" s="1">
        <v>5441</v>
      </c>
      <c r="B422" s="2" t="s">
        <v>256</v>
      </c>
      <c r="C422" s="289">
        <v>2900</v>
      </c>
      <c r="D422" s="289">
        <v>44</v>
      </c>
      <c r="E422" s="289">
        <v>79</v>
      </c>
      <c r="F422" s="289">
        <v>300</v>
      </c>
      <c r="G422" s="289">
        <v>256</v>
      </c>
      <c r="H422" s="289">
        <v>1678</v>
      </c>
      <c r="I422" s="289">
        <v>423</v>
      </c>
      <c r="J422" s="289">
        <v>117</v>
      </c>
      <c r="K422" s="289">
        <v>16</v>
      </c>
      <c r="L422" s="289">
        <v>31</v>
      </c>
      <c r="M422" s="289">
        <v>309</v>
      </c>
      <c r="N422" s="290">
        <v>6</v>
      </c>
      <c r="O422" s="290">
        <v>30</v>
      </c>
      <c r="P422" s="624">
        <v>44502.724000000002</v>
      </c>
      <c r="Q422" s="624">
        <v>28341.092000000001</v>
      </c>
      <c r="R422" s="624">
        <v>24</v>
      </c>
      <c r="S422" s="289"/>
      <c r="T422" s="289">
        <v>288</v>
      </c>
      <c r="U422" s="716">
        <v>2.4566295166644305E-3</v>
      </c>
      <c r="V422" s="289">
        <v>-1671.4080202800001</v>
      </c>
      <c r="W422" s="743">
        <v>1</v>
      </c>
      <c r="X422" s="289">
        <v>1980</v>
      </c>
      <c r="Y422" s="289">
        <v>414.28399999999999</v>
      </c>
      <c r="Z422" s="289">
        <v>74703</v>
      </c>
      <c r="AA422" s="289">
        <v>0</v>
      </c>
      <c r="AB422" s="290">
        <v>53</v>
      </c>
      <c r="AC422" s="289">
        <v>0</v>
      </c>
      <c r="AD422" s="289">
        <v>0</v>
      </c>
      <c r="AE422" s="289">
        <v>0</v>
      </c>
      <c r="AF422" s="289">
        <v>0</v>
      </c>
      <c r="AG422" s="289">
        <v>2913</v>
      </c>
      <c r="AH422" s="289">
        <v>408.58906006000001</v>
      </c>
      <c r="AI422" s="289">
        <v>300</v>
      </c>
      <c r="AJ422" s="289">
        <v>0</v>
      </c>
      <c r="AK422" s="289">
        <v>3.4670000000000001</v>
      </c>
      <c r="AL422" s="289">
        <v>24054</v>
      </c>
      <c r="AM422" s="836">
        <v>5.0192059999999997E-2</v>
      </c>
      <c r="AN422" s="289">
        <v>0</v>
      </c>
      <c r="AO422" s="289">
        <v>132.40640915</v>
      </c>
      <c r="AP422" s="289">
        <v>0</v>
      </c>
      <c r="AQ422" s="289">
        <v>0</v>
      </c>
      <c r="AR422" s="289">
        <v>-155.05229131999999</v>
      </c>
      <c r="AS422" s="289"/>
      <c r="AT422" s="289">
        <v>144</v>
      </c>
      <c r="AU422" s="289">
        <v>31</v>
      </c>
      <c r="AV422" s="625">
        <v>130202</v>
      </c>
      <c r="AW422" s="289"/>
      <c r="AX422" s="625">
        <v>19.52</v>
      </c>
      <c r="AY422" s="289">
        <v>555</v>
      </c>
      <c r="AZ422" s="289">
        <v>96</v>
      </c>
      <c r="BA422" s="290">
        <v>60</v>
      </c>
      <c r="BB422" s="289">
        <v>12341</v>
      </c>
      <c r="BC422" s="289">
        <v>797.18557577000001</v>
      </c>
      <c r="BD422" s="289">
        <v>40.843587280093473</v>
      </c>
      <c r="BE422" s="289">
        <v>136041.50539228</v>
      </c>
      <c r="BF422" s="289">
        <v>0</v>
      </c>
      <c r="BG422" s="289">
        <v>-118.32080000000001</v>
      </c>
      <c r="BH422" s="289">
        <v>-8.2248999999999999</v>
      </c>
      <c r="BI422" s="289">
        <v>822.87306005999994</v>
      </c>
      <c r="BJ422" s="289">
        <v>0</v>
      </c>
      <c r="BK422" s="289">
        <v>0</v>
      </c>
      <c r="BL422" s="289">
        <v>0</v>
      </c>
      <c r="BM422" s="289">
        <v>0</v>
      </c>
      <c r="BN422" s="289">
        <v>282.29053457005671</v>
      </c>
      <c r="BO422" s="289">
        <v>168.32742688875368</v>
      </c>
      <c r="BP422" s="289">
        <v>263.74604988830134</v>
      </c>
      <c r="BQ422" s="289">
        <v>318.87051126304306</v>
      </c>
      <c r="BR422" s="289">
        <v>2.7682875823174466</v>
      </c>
      <c r="BS422" s="289">
        <v>0.92921355243412673</v>
      </c>
      <c r="BT422" s="289">
        <v>0</v>
      </c>
      <c r="BU422" s="289">
        <v>0</v>
      </c>
      <c r="BV422" s="289">
        <v>22.355328601646313</v>
      </c>
      <c r="BW422" s="517"/>
      <c r="BX422" s="517"/>
      <c r="CA422" s="517"/>
      <c r="CB422" s="517"/>
    </row>
    <row r="423" spans="1:80" ht="13">
      <c r="A423" s="1">
        <v>5442</v>
      </c>
      <c r="B423" s="2" t="s">
        <v>257</v>
      </c>
      <c r="C423" s="289">
        <v>941</v>
      </c>
      <c r="D423" s="289">
        <v>15</v>
      </c>
      <c r="E423" s="289">
        <v>37</v>
      </c>
      <c r="F423" s="289">
        <v>99</v>
      </c>
      <c r="G423" s="289">
        <v>60</v>
      </c>
      <c r="H423" s="289">
        <v>512</v>
      </c>
      <c r="I423" s="289">
        <v>168</v>
      </c>
      <c r="J423" s="289">
        <v>53</v>
      </c>
      <c r="K423" s="289">
        <v>9</v>
      </c>
      <c r="L423" s="289">
        <v>10</v>
      </c>
      <c r="M423" s="289">
        <v>133</v>
      </c>
      <c r="N423" s="290">
        <v>1.5</v>
      </c>
      <c r="O423" s="290">
        <v>18</v>
      </c>
      <c r="P423" s="624">
        <v>7112.2516666700003</v>
      </c>
      <c r="Q423" s="624">
        <v>4362.5913333300005</v>
      </c>
      <c r="R423" s="624">
        <v>5</v>
      </c>
      <c r="S423" s="289"/>
      <c r="T423" s="289">
        <v>103</v>
      </c>
      <c r="U423" s="716">
        <v>7.9641220488739885E-4</v>
      </c>
      <c r="V423" s="289">
        <v>556.75881269000001</v>
      </c>
      <c r="W423" s="743">
        <v>1</v>
      </c>
      <c r="X423" s="289">
        <v>1240</v>
      </c>
      <c r="Y423" s="289">
        <v>0</v>
      </c>
      <c r="Z423" s="289">
        <v>19666</v>
      </c>
      <c r="AA423" s="289">
        <v>0</v>
      </c>
      <c r="AB423" s="290">
        <v>12</v>
      </c>
      <c r="AC423" s="289">
        <v>0</v>
      </c>
      <c r="AD423" s="289">
        <v>0</v>
      </c>
      <c r="AE423" s="289">
        <v>0</v>
      </c>
      <c r="AF423" s="289">
        <v>0</v>
      </c>
      <c r="AG423" s="289">
        <v>953</v>
      </c>
      <c r="AH423" s="289">
        <v>126.20242299</v>
      </c>
      <c r="AI423" s="289">
        <v>850</v>
      </c>
      <c r="AJ423" s="289">
        <v>0</v>
      </c>
      <c r="AK423" s="289">
        <v>34.027999999999999</v>
      </c>
      <c r="AL423" s="289">
        <v>7771</v>
      </c>
      <c r="AM423" s="836">
        <v>3.590024E-2</v>
      </c>
      <c r="AN423" s="289">
        <v>0</v>
      </c>
      <c r="AO423" s="289">
        <v>53.119225520000001</v>
      </c>
      <c r="AP423" s="289">
        <v>0</v>
      </c>
      <c r="AQ423" s="289">
        <v>0</v>
      </c>
      <c r="AR423" s="289">
        <v>-50.725998500000003</v>
      </c>
      <c r="AS423" s="289"/>
      <c r="AT423" s="289">
        <v>43</v>
      </c>
      <c r="AU423" s="289">
        <v>12</v>
      </c>
      <c r="AV423" s="625">
        <v>64198</v>
      </c>
      <c r="AW423" s="289"/>
      <c r="AX423" s="625">
        <v>6.34</v>
      </c>
      <c r="AY423" s="289">
        <v>180</v>
      </c>
      <c r="AZ423" s="289">
        <v>62</v>
      </c>
      <c r="BA423" s="290">
        <v>24</v>
      </c>
      <c r="BB423" s="289">
        <v>12341</v>
      </c>
      <c r="BC423" s="289">
        <v>131.39519192</v>
      </c>
      <c r="BD423" s="289">
        <v>14.516022472757131</v>
      </c>
      <c r="BE423" s="289">
        <v>67504.39831104</v>
      </c>
      <c r="BF423" s="289">
        <v>0</v>
      </c>
      <c r="BG423" s="289">
        <v>-42.807899999999997</v>
      </c>
      <c r="BH423" s="289">
        <v>-2.6907999999999999</v>
      </c>
      <c r="BI423" s="289">
        <v>126.20242299</v>
      </c>
      <c r="BJ423" s="289">
        <v>0</v>
      </c>
      <c r="BK423" s="289">
        <v>0</v>
      </c>
      <c r="BL423" s="289">
        <v>0</v>
      </c>
      <c r="BM423" s="289">
        <v>0</v>
      </c>
      <c r="BN423" s="289">
        <v>106.41409569219553</v>
      </c>
      <c r="BO423" s="289">
        <v>75.120774410568131</v>
      </c>
      <c r="BP423" s="289">
        <v>86.285611240491306</v>
      </c>
      <c r="BQ423" s="289">
        <v>103.37430419438434</v>
      </c>
      <c r="BR423" s="289">
        <v>0.98386374537576105</v>
      </c>
      <c r="BS423" s="289">
        <v>0.52831491732742408</v>
      </c>
      <c r="BT423" s="289">
        <v>0</v>
      </c>
      <c r="BU423" s="289">
        <v>0</v>
      </c>
      <c r="BV423" s="289">
        <v>7.2473510644753274</v>
      </c>
      <c r="BW423" s="517"/>
      <c r="BX423" s="517"/>
      <c r="CA423" s="517"/>
      <c r="CB423" s="517"/>
    </row>
    <row r="424" spans="1:80" ht="13">
      <c r="A424" s="1">
        <v>5443</v>
      </c>
      <c r="B424" s="2" t="s">
        <v>258</v>
      </c>
      <c r="C424" s="289">
        <v>2270</v>
      </c>
      <c r="D424" s="289">
        <v>48</v>
      </c>
      <c r="E424" s="289">
        <v>92</v>
      </c>
      <c r="F424" s="289">
        <v>232</v>
      </c>
      <c r="G424" s="289">
        <v>194</v>
      </c>
      <c r="H424" s="289">
        <v>1384</v>
      </c>
      <c r="I424" s="289">
        <v>268</v>
      </c>
      <c r="J424" s="289">
        <v>61</v>
      </c>
      <c r="K424" s="289">
        <v>11</v>
      </c>
      <c r="L424" s="289">
        <v>23</v>
      </c>
      <c r="M424" s="289">
        <v>155</v>
      </c>
      <c r="N424" s="290">
        <v>29</v>
      </c>
      <c r="O424" s="290">
        <v>59</v>
      </c>
      <c r="P424" s="624">
        <v>2958.9026666700001</v>
      </c>
      <c r="Q424" s="624">
        <v>2723.9706666699999</v>
      </c>
      <c r="R424" s="624">
        <v>10</v>
      </c>
      <c r="S424" s="289"/>
      <c r="T424" s="289">
        <v>240</v>
      </c>
      <c r="U424" s="716">
        <v>2.089976895549777E-4</v>
      </c>
      <c r="V424" s="289">
        <v>985.48358213999995</v>
      </c>
      <c r="W424" s="743">
        <v>1</v>
      </c>
      <c r="X424" s="289">
        <v>1690</v>
      </c>
      <c r="Y424" s="289">
        <v>414.28399999999999</v>
      </c>
      <c r="Z424" s="289">
        <v>62027</v>
      </c>
      <c r="AA424" s="289">
        <v>0</v>
      </c>
      <c r="AB424" s="290">
        <v>48</v>
      </c>
      <c r="AC424" s="289">
        <v>0</v>
      </c>
      <c r="AD424" s="289">
        <v>0</v>
      </c>
      <c r="AE424" s="289">
        <v>0</v>
      </c>
      <c r="AF424" s="289">
        <v>0</v>
      </c>
      <c r="AG424" s="289">
        <v>2290</v>
      </c>
      <c r="AH424" s="289">
        <v>337.46946258000003</v>
      </c>
      <c r="AI424" s="289">
        <v>400</v>
      </c>
      <c r="AJ424" s="289">
        <v>0</v>
      </c>
      <c r="AK424" s="289">
        <v>0</v>
      </c>
      <c r="AL424" s="289">
        <v>18629</v>
      </c>
      <c r="AM424" s="836">
        <v>0.15287545</v>
      </c>
      <c r="AN424" s="289">
        <v>0</v>
      </c>
      <c r="AO424" s="289">
        <v>94.022983490000001</v>
      </c>
      <c r="AP424" s="289">
        <v>0</v>
      </c>
      <c r="AQ424" s="289">
        <v>0</v>
      </c>
      <c r="AR424" s="289">
        <v>-121.89143396</v>
      </c>
      <c r="AS424" s="289"/>
      <c r="AT424" s="289">
        <v>119</v>
      </c>
      <c r="AU424" s="289">
        <v>51</v>
      </c>
      <c r="AV424" s="625">
        <v>93073</v>
      </c>
      <c r="AW424" s="289"/>
      <c r="AX424" s="625">
        <v>21.6</v>
      </c>
      <c r="AY424" s="289">
        <v>246</v>
      </c>
      <c r="AZ424" s="289">
        <v>129</v>
      </c>
      <c r="BA424" s="290">
        <v>52</v>
      </c>
      <c r="BB424" s="289">
        <v>9874</v>
      </c>
      <c r="BC424" s="289">
        <v>728.08982829000001</v>
      </c>
      <c r="BD424" s="289">
        <v>45.015102251031131</v>
      </c>
      <c r="BE424" s="289">
        <v>95779.68855567</v>
      </c>
      <c r="BF424" s="289">
        <v>0</v>
      </c>
      <c r="BG424" s="289">
        <v>-84.056899999999999</v>
      </c>
      <c r="BH424" s="289">
        <v>-6.4659000000000004</v>
      </c>
      <c r="BI424" s="289">
        <v>751.75346258000002</v>
      </c>
      <c r="BJ424" s="289">
        <v>0</v>
      </c>
      <c r="BK424" s="289">
        <v>0</v>
      </c>
      <c r="BL424" s="289">
        <v>0</v>
      </c>
      <c r="BM424" s="289">
        <v>0</v>
      </c>
      <c r="BN424" s="289">
        <v>159.60728671463983</v>
      </c>
      <c r="BO424" s="289">
        <v>113.26227822685237</v>
      </c>
      <c r="BP424" s="289">
        <v>207.33898188953313</v>
      </c>
      <c r="BQ424" s="289">
        <v>27.127900104236094</v>
      </c>
      <c r="BR424" s="289">
        <v>3.0510235970143329</v>
      </c>
      <c r="BS424" s="289">
        <v>0.80402452296699356</v>
      </c>
      <c r="BT424" s="289">
        <v>0</v>
      </c>
      <c r="BU424" s="289">
        <v>0</v>
      </c>
      <c r="BV424" s="289">
        <v>1.9018789749502969</v>
      </c>
      <c r="BW424" s="517"/>
      <c r="BX424" s="517"/>
      <c r="CA424" s="517"/>
      <c r="CB424" s="517"/>
    </row>
    <row r="425" spans="1:80" ht="13">
      <c r="A425" s="1">
        <v>5444</v>
      </c>
      <c r="B425" s="4" t="s">
        <v>260</v>
      </c>
      <c r="C425" s="289">
        <v>10156</v>
      </c>
      <c r="D425" s="289">
        <v>178</v>
      </c>
      <c r="E425" s="289">
        <v>386</v>
      </c>
      <c r="F425" s="289">
        <v>1111</v>
      </c>
      <c r="G425" s="289">
        <v>964</v>
      </c>
      <c r="H425" s="289">
        <v>5916</v>
      </c>
      <c r="I425" s="289">
        <v>1126</v>
      </c>
      <c r="J425" s="289">
        <v>337</v>
      </c>
      <c r="K425" s="289">
        <v>74</v>
      </c>
      <c r="L425" s="289">
        <v>93</v>
      </c>
      <c r="M425" s="289">
        <v>763</v>
      </c>
      <c r="N425" s="290">
        <v>133</v>
      </c>
      <c r="O425" s="290">
        <v>125</v>
      </c>
      <c r="P425" s="624">
        <v>88167.567999999999</v>
      </c>
      <c r="Q425" s="624">
        <v>41795.521333329998</v>
      </c>
      <c r="R425" s="624">
        <v>30</v>
      </c>
      <c r="S425" s="289"/>
      <c r="T425" s="289">
        <v>927</v>
      </c>
      <c r="U425" s="716">
        <v>1.4415475124680455E-3</v>
      </c>
      <c r="V425" s="289">
        <v>3833.3155849599998</v>
      </c>
      <c r="W425" s="743">
        <v>0.67549320999999996</v>
      </c>
      <c r="X425" s="289">
        <v>670</v>
      </c>
      <c r="Y425" s="289">
        <v>414.28399999999999</v>
      </c>
      <c r="Z425" s="289">
        <v>271207</v>
      </c>
      <c r="AA425" s="289">
        <v>0</v>
      </c>
      <c r="AB425" s="290">
        <v>194</v>
      </c>
      <c r="AC425" s="289">
        <v>0</v>
      </c>
      <c r="AD425" s="289">
        <v>0</v>
      </c>
      <c r="AE425" s="289">
        <v>0</v>
      </c>
      <c r="AF425" s="289">
        <v>0</v>
      </c>
      <c r="AG425" s="289">
        <v>10092</v>
      </c>
      <c r="AH425" s="289">
        <v>1545.10811792</v>
      </c>
      <c r="AI425" s="289">
        <v>3600</v>
      </c>
      <c r="AJ425" s="289">
        <v>0</v>
      </c>
      <c r="AK425" s="289">
        <v>188.69300000000001</v>
      </c>
      <c r="AL425" s="289">
        <v>83728</v>
      </c>
      <c r="AM425" s="836">
        <v>0.38738296999999999</v>
      </c>
      <c r="AN425" s="289">
        <v>0</v>
      </c>
      <c r="AO425" s="289">
        <v>383.97084360000002</v>
      </c>
      <c r="AP425" s="289">
        <v>0</v>
      </c>
      <c r="AQ425" s="289">
        <v>0</v>
      </c>
      <c r="AR425" s="289">
        <v>-537.17395262000002</v>
      </c>
      <c r="AS425" s="289"/>
      <c r="AT425" s="289">
        <v>561</v>
      </c>
      <c r="AU425" s="289">
        <v>191</v>
      </c>
      <c r="AV425" s="625">
        <v>318762</v>
      </c>
      <c r="AW425" s="289"/>
      <c r="AX425" s="625">
        <v>73.013333299999999</v>
      </c>
      <c r="AY425" s="289">
        <v>2269</v>
      </c>
      <c r="AZ425" s="289">
        <v>374</v>
      </c>
      <c r="BA425" s="290">
        <v>257</v>
      </c>
      <c r="BB425" s="289">
        <v>0</v>
      </c>
      <c r="BC425" s="289">
        <v>1958.2206768000001</v>
      </c>
      <c r="BD425" s="289">
        <v>165.483410870688</v>
      </c>
      <c r="BE425" s="289">
        <v>330529.21962049999</v>
      </c>
      <c r="BF425" s="289">
        <v>0</v>
      </c>
      <c r="BG425" s="289">
        <v>-372.07690000000002</v>
      </c>
      <c r="BH425" s="289">
        <v>-28.495000000000001</v>
      </c>
      <c r="BI425" s="289">
        <v>1959.3921179199999</v>
      </c>
      <c r="BJ425" s="289">
        <v>0</v>
      </c>
      <c r="BK425" s="289">
        <v>0</v>
      </c>
      <c r="BL425" s="289">
        <v>0</v>
      </c>
      <c r="BM425" s="289">
        <v>0</v>
      </c>
      <c r="BN425" s="289">
        <v>683.60268356520157</v>
      </c>
      <c r="BO425" s="289">
        <v>418.98244420549281</v>
      </c>
      <c r="BP425" s="289">
        <v>913.74017695596876</v>
      </c>
      <c r="BQ425" s="289">
        <v>187.11286711835226</v>
      </c>
      <c r="BR425" s="289">
        <v>11.216097847902189</v>
      </c>
      <c r="BS425" s="289">
        <v>2.2970446498299011</v>
      </c>
      <c r="BT425" s="289">
        <v>0</v>
      </c>
      <c r="BU425" s="289">
        <v>0</v>
      </c>
      <c r="BV425" s="289">
        <v>13.118082363459212</v>
      </c>
      <c r="BW425" s="517"/>
      <c r="BX425" s="517"/>
      <c r="CA425" s="517"/>
      <c r="CB425" s="517"/>
    </row>
    <row r="426" spans="1:80"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c r="BX426" s="517"/>
    </row>
    <row r="427" spans="1:80" ht="13">
      <c r="A427" s="1"/>
      <c r="B427" s="2" t="s">
        <v>261</v>
      </c>
      <c r="C427" s="289">
        <f t="shared" ref="C427:AH427" si="0">SUM(C4:C425)</f>
        <v>5328212</v>
      </c>
      <c r="D427" s="289">
        <f t="shared" si="0"/>
        <v>114436</v>
      </c>
      <c r="E427" s="289">
        <f t="shared" si="0"/>
        <v>245126</v>
      </c>
      <c r="F427" s="289">
        <f t="shared" si="0"/>
        <v>639819</v>
      </c>
      <c r="G427" s="289">
        <f t="shared" si="0"/>
        <v>461318</v>
      </c>
      <c r="H427" s="289">
        <f t="shared" si="0"/>
        <v>3054570</v>
      </c>
      <c r="I427" s="289">
        <f t="shared" si="0"/>
        <v>572790</v>
      </c>
      <c r="J427" s="289">
        <f t="shared" si="0"/>
        <v>179646</v>
      </c>
      <c r="K427" s="289">
        <f t="shared" si="0"/>
        <v>44803</v>
      </c>
      <c r="L427" s="289">
        <f t="shared" si="0"/>
        <v>40765</v>
      </c>
      <c r="M427" s="289">
        <f t="shared" si="0"/>
        <v>350364</v>
      </c>
      <c r="N427" s="290">
        <f t="shared" si="0"/>
        <v>150287</v>
      </c>
      <c r="O427" s="289">
        <f t="shared" si="0"/>
        <v>51039</v>
      </c>
      <c r="P427" s="289">
        <f t="shared" si="0"/>
        <v>20463927.099499971</v>
      </c>
      <c r="Q427" s="289">
        <f t="shared" si="0"/>
        <v>9424649.3361667134</v>
      </c>
      <c r="R427" s="289">
        <f t="shared" si="0"/>
        <v>19858</v>
      </c>
      <c r="S427" s="289">
        <f t="shared" si="0"/>
        <v>0</v>
      </c>
      <c r="T427" s="289">
        <f t="shared" si="0"/>
        <v>455399</v>
      </c>
      <c r="U427" s="716">
        <f t="shared" si="0"/>
        <v>1.0000000000000002</v>
      </c>
      <c r="V427" s="178">
        <f t="shared" si="0"/>
        <v>1.0991334420396015E-7</v>
      </c>
      <c r="W427" s="801">
        <f t="shared" si="0"/>
        <v>324.93630098000017</v>
      </c>
      <c r="X427" s="289">
        <f t="shared" si="0"/>
        <v>688424</v>
      </c>
      <c r="Y427" s="289">
        <f t="shared" si="0"/>
        <v>187404.40000000093</v>
      </c>
      <c r="Z427" s="289">
        <f t="shared" si="0"/>
        <v>170121597</v>
      </c>
      <c r="AA427" s="289">
        <f t="shared" si="0"/>
        <v>-59081.860194220004</v>
      </c>
      <c r="AB427" s="289">
        <f t="shared" si="0"/>
        <v>99701</v>
      </c>
      <c r="AC427" s="289">
        <f t="shared" si="0"/>
        <v>20000</v>
      </c>
      <c r="AD427" s="289">
        <f t="shared" si="0"/>
        <v>302825.52916400012</v>
      </c>
      <c r="AE427" s="289">
        <f t="shared" si="0"/>
        <v>231934</v>
      </c>
      <c r="AF427" s="289">
        <f t="shared" si="0"/>
        <v>183979.29281477001</v>
      </c>
      <c r="AG427" s="289">
        <f t="shared" si="0"/>
        <v>5312508</v>
      </c>
      <c r="AH427" s="289">
        <f t="shared" si="0"/>
        <v>877379.49599999026</v>
      </c>
      <c r="AI427" s="289">
        <f t="shared" ref="AI427:BU427" si="1">SUM(AI4:AI425)</f>
        <v>311247.76800000004</v>
      </c>
      <c r="AJ427" s="289">
        <f t="shared" si="1"/>
        <v>60747.926000000007</v>
      </c>
      <c r="AK427" s="289">
        <f t="shared" si="1"/>
        <v>71000</v>
      </c>
      <c r="AL427" s="289">
        <f t="shared" si="1"/>
        <v>1695462</v>
      </c>
      <c r="AM427" s="617">
        <f t="shared" si="1"/>
        <v>190.44625632</v>
      </c>
      <c r="AN427" s="289">
        <f t="shared" si="1"/>
        <v>435300</v>
      </c>
      <c r="AO427" s="289">
        <f t="shared" si="1"/>
        <v>205645.0000000298</v>
      </c>
      <c r="AP427" s="289">
        <f t="shared" si="1"/>
        <v>508768</v>
      </c>
      <c r="AQ427" s="289">
        <f t="shared" si="1"/>
        <v>-1830.77758066</v>
      </c>
      <c r="AR427" s="289">
        <f t="shared" si="1"/>
        <v>-6.0004140323144384E-8</v>
      </c>
      <c r="AS427" s="176">
        <f t="shared" si="1"/>
        <v>0</v>
      </c>
      <c r="AT427" s="289">
        <f t="shared" si="1"/>
        <v>285695</v>
      </c>
      <c r="AU427" s="289">
        <f t="shared" si="1"/>
        <v>66786</v>
      </c>
      <c r="AV427" s="289">
        <f t="shared" si="1"/>
        <v>130378067</v>
      </c>
      <c r="AW427" s="289">
        <f t="shared" si="1"/>
        <v>0</v>
      </c>
      <c r="AX427" s="625">
        <f t="shared" si="1"/>
        <v>39069.171666949944</v>
      </c>
      <c r="AY427" s="289">
        <f t="shared" si="1"/>
        <v>1355932</v>
      </c>
      <c r="AZ427" s="289">
        <f t="shared" si="1"/>
        <v>263451</v>
      </c>
      <c r="BA427" s="289">
        <f t="shared" si="1"/>
        <v>119602</v>
      </c>
      <c r="BB427" s="289">
        <f t="shared" si="1"/>
        <v>929487</v>
      </c>
      <c r="BC427" s="289">
        <f t="shared" si="1"/>
        <v>391707.83852022036</v>
      </c>
      <c r="BD427" s="289">
        <f t="shared" si="1"/>
        <v>90000.000000000015</v>
      </c>
      <c r="BE427" s="289">
        <f t="shared" si="1"/>
        <v>136423674.00000051</v>
      </c>
      <c r="BF427" s="289">
        <f t="shared" si="1"/>
        <v>-28880.754161969999</v>
      </c>
      <c r="BG427" s="289">
        <f t="shared" si="1"/>
        <v>-200000.00009999995</v>
      </c>
      <c r="BH427" s="289">
        <f t="shared" si="1"/>
        <v>-14999.999899999997</v>
      </c>
      <c r="BI427" s="289">
        <f t="shared" si="1"/>
        <v>463978.45252522954</v>
      </c>
      <c r="BJ427" s="289">
        <f t="shared" si="1"/>
        <v>0</v>
      </c>
      <c r="BK427" s="289">
        <f t="shared" si="1"/>
        <v>142389.66540147335</v>
      </c>
      <c r="BL427" s="71">
        <f t="shared" si="1"/>
        <v>-1078606.6762572702</v>
      </c>
      <c r="BM427" s="71">
        <f t="shared" si="1"/>
        <v>200000</v>
      </c>
      <c r="BN427" s="853">
        <f t="shared" si="1"/>
        <v>347999.99999999988</v>
      </c>
      <c r="BO427" s="853">
        <f t="shared" si="1"/>
        <v>205000.00000000009</v>
      </c>
      <c r="BP427" s="853">
        <f t="shared" si="1"/>
        <v>480999.99999999971</v>
      </c>
      <c r="BQ427" s="853">
        <f t="shared" si="1"/>
        <v>129800.0000000001</v>
      </c>
      <c r="BR427" s="853">
        <f t="shared" si="1"/>
        <v>6100.0000000000091</v>
      </c>
      <c r="BS427" s="71">
        <f t="shared" si="1"/>
        <v>1200.0000000000002</v>
      </c>
      <c r="BT427" s="71">
        <f t="shared" si="1"/>
        <v>1600</v>
      </c>
      <c r="BU427" s="71">
        <f t="shared" si="1"/>
        <v>77359.025160000005</v>
      </c>
      <c r="BV427" s="71">
        <f t="shared" ref="BV427" si="2">SUM(BV4:BV425)</f>
        <v>9099.9999999999891</v>
      </c>
      <c r="BX427" s="517"/>
    </row>
    <row r="429" spans="1:80">
      <c r="N429" s="5"/>
      <c r="O429" s="5"/>
      <c r="AC429" s="5"/>
      <c r="AK429" s="5"/>
      <c r="BE429" s="5"/>
      <c r="BH429" s="5"/>
      <c r="BI429" s="5"/>
      <c r="BJ429" s="5"/>
      <c r="BL429" s="5"/>
      <c r="BM429" s="5"/>
      <c r="BP429">
        <f>+AD427-BQ427+BP427</f>
        <v>654025.52916399972</v>
      </c>
      <c r="BS429" s="5"/>
      <c r="BU429" s="5"/>
    </row>
    <row r="430" spans="1:80">
      <c r="C430" s="5"/>
      <c r="E430" s="5"/>
      <c r="X430" s="5"/>
      <c r="AF430" s="5">
        <f>+AF39+AF42</f>
        <v>0</v>
      </c>
      <c r="BI430" s="5"/>
      <c r="BL430" s="5">
        <f>SUMIF(BL4:BL425,"&lt;0")</f>
        <v>-1078606.6762572702</v>
      </c>
      <c r="BN430" s="5"/>
      <c r="BO430" s="5"/>
      <c r="BP430" s="5"/>
      <c r="BQ430" s="5"/>
      <c r="BU430" s="5"/>
    </row>
    <row r="431" spans="1:80">
      <c r="AF431" s="5">
        <f>+AF427-AF430</f>
        <v>183979.29281477001</v>
      </c>
      <c r="BE431" s="5"/>
      <c r="BL431" s="5"/>
      <c r="BU431" s="5"/>
    </row>
    <row r="432" spans="1:80">
      <c r="BJ432" s="5"/>
      <c r="BM432" s="5"/>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17.81640625" bestFit="1" customWidth="1"/>
    <col min="5" max="5" width="13.54296875" customWidth="1"/>
    <col min="6" max="6" width="12.26953125" bestFit="1" customWidth="1"/>
    <col min="10" max="10" width="11.7265625" bestFit="1" customWidth="1"/>
    <col min="13" max="13" width="22.81640625" customWidth="1"/>
  </cols>
  <sheetData>
    <row r="1" spans="1:13" s="85" customFormat="1">
      <c r="A1"/>
      <c r="B1" s="74" t="s">
        <v>719</v>
      </c>
      <c r="C1"/>
      <c r="D1" s="520"/>
      <c r="E1" s="520"/>
      <c r="F1" s="320"/>
      <c r="G1" s="320"/>
      <c r="H1" s="320"/>
      <c r="I1" s="320"/>
      <c r="J1" s="320"/>
    </row>
    <row r="2" spans="1:13" s="85" customFormat="1" ht="65.25" customHeight="1">
      <c r="A2" s="120" t="s">
        <v>775</v>
      </c>
      <c r="B2" s="120" t="s">
        <v>776</v>
      </c>
      <c r="C2" s="122" t="s">
        <v>1257</v>
      </c>
      <c r="D2" s="122" t="s">
        <v>1898</v>
      </c>
      <c r="E2" s="122" t="s">
        <v>1262</v>
      </c>
      <c r="F2" s="122" t="s">
        <v>1858</v>
      </c>
      <c r="G2" s="122" t="s">
        <v>917</v>
      </c>
      <c r="H2" s="122" t="s">
        <v>1944</v>
      </c>
      <c r="I2" s="122" t="s">
        <v>1943</v>
      </c>
      <c r="J2" s="122" t="s">
        <v>1901</v>
      </c>
    </row>
    <row r="3" spans="1:13" s="85" customFormat="1" ht="13">
      <c r="A3" s="121">
        <v>1</v>
      </c>
      <c r="B3" s="121">
        <v>2</v>
      </c>
      <c r="C3" s="552">
        <v>3</v>
      </c>
      <c r="D3" s="552">
        <v>4</v>
      </c>
      <c r="E3" s="552">
        <v>5</v>
      </c>
      <c r="F3" s="623">
        <v>6</v>
      </c>
      <c r="G3" s="623">
        <v>7</v>
      </c>
      <c r="H3" s="623">
        <v>8</v>
      </c>
      <c r="I3" s="623">
        <v>9</v>
      </c>
      <c r="J3" s="623">
        <v>10</v>
      </c>
    </row>
    <row r="4" spans="1:13" ht="13">
      <c r="A4" s="1">
        <v>301</v>
      </c>
      <c r="B4" s="2" t="s">
        <v>823</v>
      </c>
      <c r="C4" s="289">
        <f>VLOOKUP(A4,K0kommunestruktur2020!$A$4:$P$359,11,FALSE)</f>
        <v>673469</v>
      </c>
      <c r="D4" s="289">
        <f>VLOOKUP(A4,'K19'!$A$4:$BX$425,24,FALSE)</f>
        <v>0</v>
      </c>
      <c r="E4" s="289"/>
      <c r="F4" s="289">
        <f>VLOOKUP(A4,K0kommunestruktur2020!$A$4:$P$359,12,FALSE)</f>
        <v>28170461</v>
      </c>
      <c r="G4" s="289">
        <f>VLOOKUP(A4,'K19'!$A$4:$BX$425,31,FALSE)</f>
        <v>0</v>
      </c>
      <c r="H4" s="289">
        <f>VLOOKUP(A4,'K19'!$A$4:$BX$425,32,FALSE)</f>
        <v>0</v>
      </c>
      <c r="I4" s="289">
        <f>VLOOKUP(A4,'K19'!$A$4:$BX$425,65,FALSE)</f>
        <v>0</v>
      </c>
      <c r="J4" s="289">
        <f>VLOOKUP(A4,K0kommunestruktur2020!$A$4:$P$359,14,FALSE)</f>
        <v>29417306</v>
      </c>
      <c r="K4" s="517"/>
      <c r="L4">
        <v>0</v>
      </c>
      <c r="M4" s="5">
        <f>+H4-L4</f>
        <v>0</v>
      </c>
    </row>
    <row r="5" spans="1:13" ht="13">
      <c r="A5" s="1">
        <v>1101</v>
      </c>
      <c r="B5" s="2" t="s">
        <v>958</v>
      </c>
      <c r="C5" s="289">
        <f>VLOOKUP(A5,K0kommunestruktur2020!$A$4:$P$359,11,FALSE)</f>
        <v>14898</v>
      </c>
      <c r="D5" s="289">
        <f>VLOOKUP(A5,'K19'!$A$4:$BX$425,24,FALSE)</f>
        <v>2000</v>
      </c>
      <c r="E5" s="289"/>
      <c r="F5" s="289">
        <f>VLOOKUP(A5,K0kommunestruktur2020!$A$4:$P$359,12,FALSE)</f>
        <v>421333</v>
      </c>
      <c r="G5" s="289">
        <f>VLOOKUP(A5,'K19'!$A$4:$BX$425,31,FALSE)</f>
        <v>0</v>
      </c>
      <c r="H5" s="289">
        <f>VLOOKUP(A5,'K19'!$A$4:$BX$425,32,FALSE)</f>
        <v>0</v>
      </c>
      <c r="I5" s="289">
        <f>VLOOKUP(A5,'K19'!$A$4:$BX$425,65,FALSE)</f>
        <v>0</v>
      </c>
      <c r="J5" s="289">
        <f>VLOOKUP(A5,K0kommunestruktur2020!$A$4:$P$359,14,FALSE)</f>
        <v>455451</v>
      </c>
      <c r="K5" s="517"/>
      <c r="L5">
        <v>0</v>
      </c>
      <c r="M5" s="5">
        <f t="shared" ref="M5:M68" si="0">+H5-L5</f>
        <v>0</v>
      </c>
    </row>
    <row r="6" spans="1:13" ht="13">
      <c r="A6" s="878">
        <v>1103</v>
      </c>
      <c r="B6" s="883" t="s">
        <v>960</v>
      </c>
      <c r="C6" s="919">
        <f>VLOOKUP(A6,K0kommunestruktur2020!$A$4:$P$359,11,FALSE)</f>
        <v>141260.55221989</v>
      </c>
      <c r="D6" s="919">
        <f>+D367</f>
        <v>7300</v>
      </c>
      <c r="E6" s="919"/>
      <c r="F6" s="919">
        <f>VLOOKUP(A6,K0kommunestruktur2020!$A$4:$P$359,12,FALSE)</f>
        <v>5192171.2405409599</v>
      </c>
      <c r="G6" s="919">
        <f t="shared" ref="G6:I6" si="1">+G367</f>
        <v>0</v>
      </c>
      <c r="H6" s="919">
        <f t="shared" si="1"/>
        <v>0</v>
      </c>
      <c r="I6" s="919">
        <f t="shared" si="1"/>
        <v>0</v>
      </c>
      <c r="J6" s="919">
        <f>VLOOKUP(A6,K0kommunestruktur2020!$A$4:$P$359,14,FALSE)</f>
        <v>5569503.3828238305</v>
      </c>
      <c r="K6" s="517"/>
      <c r="L6">
        <v>0</v>
      </c>
      <c r="M6" s="5">
        <f t="shared" si="0"/>
        <v>0</v>
      </c>
    </row>
    <row r="7" spans="1:13" ht="13">
      <c r="A7" s="1">
        <v>1106</v>
      </c>
      <c r="B7" s="2" t="s">
        <v>961</v>
      </c>
      <c r="C7" s="289">
        <f>VLOOKUP(A7,K0kommunestruktur2020!$A$4:$P$359,11,FALSE)</f>
        <v>37167</v>
      </c>
      <c r="D7" s="289">
        <f>VLOOKUP(A7,'K19'!$A$4:$BX$425,24,FALSE)</f>
        <v>5500</v>
      </c>
      <c r="E7" s="289"/>
      <c r="F7" s="289">
        <f>VLOOKUP(A7,K0kommunestruktur2020!$A$4:$P$359,12,FALSE)</f>
        <v>1084225</v>
      </c>
      <c r="G7" s="289">
        <f>VLOOKUP(A7,'K19'!$A$4:$BX$425,31,FALSE)</f>
        <v>0</v>
      </c>
      <c r="H7" s="289">
        <f>VLOOKUP(A7,'K19'!$A$4:$BX$425,32,FALSE)</f>
        <v>0</v>
      </c>
      <c r="I7" s="289">
        <f>VLOOKUP(A7,'K19'!$A$4:$BX$425,65,FALSE)</f>
        <v>0</v>
      </c>
      <c r="J7" s="289">
        <f>VLOOKUP(A7,K0kommunestruktur2020!$A$4:$P$359,14,FALSE)</f>
        <v>1152023</v>
      </c>
      <c r="K7" s="517"/>
      <c r="L7">
        <v>0</v>
      </c>
      <c r="M7" s="5">
        <f t="shared" si="0"/>
        <v>0</v>
      </c>
    </row>
    <row r="8" spans="1:13" ht="13">
      <c r="A8" s="878">
        <v>1108</v>
      </c>
      <c r="B8" s="883" t="s">
        <v>1610</v>
      </c>
      <c r="C8" s="919">
        <f>VLOOKUP(A8,K0kommunestruktur2020!$A$4:$P$359,11,FALSE)</f>
        <v>77412.797511440003</v>
      </c>
      <c r="D8" s="919">
        <f>+D368</f>
        <v>0</v>
      </c>
      <c r="E8" s="919"/>
      <c r="F8" s="919">
        <f>VLOOKUP(A8,K0kommunestruktur2020!$A$4:$P$359,12,FALSE)</f>
        <v>2380215.4983107275</v>
      </c>
      <c r="G8" s="919">
        <f t="shared" ref="G8:I8" si="2">+G368</f>
        <v>0</v>
      </c>
      <c r="H8" s="919">
        <f t="shared" si="2"/>
        <v>0</v>
      </c>
      <c r="I8" s="919">
        <f t="shared" si="2"/>
        <v>8257</v>
      </c>
      <c r="J8" s="919">
        <f>VLOOKUP(A8,K0kommunestruktur2020!$A$4:$P$359,14,FALSE)</f>
        <v>2477705.4875763333</v>
      </c>
      <c r="K8" s="517"/>
      <c r="L8">
        <v>0</v>
      </c>
      <c r="M8" s="5">
        <f t="shared" si="0"/>
        <v>0</v>
      </c>
    </row>
    <row r="9" spans="1:13" ht="13">
      <c r="A9" s="1">
        <v>1111</v>
      </c>
      <c r="B9" s="2" t="s">
        <v>962</v>
      </c>
      <c r="C9" s="289">
        <f>VLOOKUP(A9,K0kommunestruktur2020!$A$4:$P$359,11,FALSE)</f>
        <v>3331</v>
      </c>
      <c r="D9" s="289">
        <f>VLOOKUP(A9,'K19'!$A$4:$BX$425,24,FALSE)</f>
        <v>1000</v>
      </c>
      <c r="E9" s="289"/>
      <c r="F9" s="289">
        <f>VLOOKUP(A9,K0kommunestruktur2020!$A$4:$P$359,12,FALSE)</f>
        <v>84326</v>
      </c>
      <c r="G9" s="289">
        <f>VLOOKUP(A9,'K19'!$A$4:$BX$425,31,FALSE)</f>
        <v>0</v>
      </c>
      <c r="H9" s="289">
        <f>VLOOKUP(A9,'K19'!$A$4:$BX$425,32,FALSE)</f>
        <v>0</v>
      </c>
      <c r="I9" s="289">
        <f>VLOOKUP(A9,'K19'!$A$4:$BX$425,65,FALSE)</f>
        <v>0</v>
      </c>
      <c r="J9" s="289">
        <f>VLOOKUP(A9,K0kommunestruktur2020!$A$4:$P$359,14,FALSE)</f>
        <v>85248</v>
      </c>
      <c r="K9" s="517"/>
      <c r="L9">
        <v>0</v>
      </c>
      <c r="M9" s="5">
        <f t="shared" si="0"/>
        <v>0</v>
      </c>
    </row>
    <row r="10" spans="1:13" ht="13">
      <c r="A10" s="1">
        <v>1112</v>
      </c>
      <c r="B10" s="2" t="s">
        <v>963</v>
      </c>
      <c r="C10" s="289">
        <f>VLOOKUP(A10,K0kommunestruktur2020!$A$4:$P$359,11,FALSE)</f>
        <v>3237</v>
      </c>
      <c r="D10" s="289">
        <f>VLOOKUP(A10,'K19'!$A$4:$BX$425,24,FALSE)</f>
        <v>1200</v>
      </c>
      <c r="E10" s="289"/>
      <c r="F10" s="289">
        <f>VLOOKUP(A10,K0kommunestruktur2020!$A$4:$P$359,12,FALSE)</f>
        <v>78836</v>
      </c>
      <c r="G10" s="289">
        <f>VLOOKUP(A10,'K19'!$A$4:$BX$425,31,FALSE)</f>
        <v>0</v>
      </c>
      <c r="H10" s="289">
        <f>VLOOKUP(A10,'K19'!$A$4:$BX$425,32,FALSE)</f>
        <v>0</v>
      </c>
      <c r="I10" s="289">
        <f>VLOOKUP(A10,'K19'!$A$4:$BX$425,65,FALSE)</f>
        <v>0</v>
      </c>
      <c r="J10" s="289">
        <f>VLOOKUP(A10,K0kommunestruktur2020!$A$4:$P$359,14,FALSE)</f>
        <v>82728</v>
      </c>
      <c r="K10" s="517"/>
      <c r="L10">
        <v>0</v>
      </c>
      <c r="M10" s="5">
        <f t="shared" si="0"/>
        <v>0</v>
      </c>
    </row>
    <row r="11" spans="1:13" ht="13">
      <c r="A11" s="1">
        <v>1114</v>
      </c>
      <c r="B11" s="2" t="s">
        <v>0</v>
      </c>
      <c r="C11" s="289">
        <f>VLOOKUP(A11,K0kommunestruktur2020!$A$4:$P$359,11,FALSE)</f>
        <v>2826</v>
      </c>
      <c r="D11" s="289">
        <f>VLOOKUP(A11,'K19'!$A$4:$BX$425,24,FALSE)</f>
        <v>600</v>
      </c>
      <c r="E11" s="289"/>
      <c r="F11" s="289">
        <f>VLOOKUP(A11,K0kommunestruktur2020!$A$4:$P$359,12,FALSE)</f>
        <v>71889</v>
      </c>
      <c r="G11" s="289">
        <f>VLOOKUP(A11,'K19'!$A$4:$BX$425,31,FALSE)</f>
        <v>0</v>
      </c>
      <c r="H11" s="289">
        <f>VLOOKUP(A11,'K19'!$A$4:$BX$425,32,FALSE)</f>
        <v>0</v>
      </c>
      <c r="I11" s="289">
        <f>VLOOKUP(A11,'K19'!$A$4:$BX$425,65,FALSE)</f>
        <v>0</v>
      </c>
      <c r="J11" s="289">
        <f>VLOOKUP(A11,K0kommunestruktur2020!$A$4:$P$359,14,FALSE)</f>
        <v>73711</v>
      </c>
      <c r="K11" s="517"/>
      <c r="L11">
        <v>0</v>
      </c>
      <c r="M11" s="5">
        <f t="shared" si="0"/>
        <v>0</v>
      </c>
    </row>
    <row r="12" spans="1:13" ht="13">
      <c r="A12" s="1">
        <v>1119</v>
      </c>
      <c r="B12" s="2" t="s">
        <v>1</v>
      </c>
      <c r="C12" s="289">
        <f>VLOOKUP(A12,K0kommunestruktur2020!$A$4:$P$359,11,FALSE)</f>
        <v>18762</v>
      </c>
      <c r="D12" s="289">
        <f>VLOOKUP(A12,'K19'!$A$4:$BX$425,24,FALSE)</f>
        <v>0</v>
      </c>
      <c r="E12" s="289"/>
      <c r="F12" s="289">
        <f>VLOOKUP(A12,K0kommunestruktur2020!$A$4:$P$359,12,FALSE)</f>
        <v>474998</v>
      </c>
      <c r="G12" s="289">
        <f>VLOOKUP(A12,'K19'!$A$4:$BX$425,31,FALSE)</f>
        <v>0</v>
      </c>
      <c r="H12" s="289">
        <f>VLOOKUP(A12,'K19'!$A$4:$BX$425,32,FALSE)</f>
        <v>0</v>
      </c>
      <c r="I12" s="289">
        <f>VLOOKUP(A12,'K19'!$A$4:$BX$425,65,FALSE)</f>
        <v>0</v>
      </c>
      <c r="J12" s="289">
        <f>VLOOKUP(A12,K0kommunestruktur2020!$A$4:$P$359,14,FALSE)</f>
        <v>500305</v>
      </c>
      <c r="K12" s="517"/>
      <c r="L12">
        <v>0</v>
      </c>
      <c r="M12" s="5">
        <f t="shared" si="0"/>
        <v>0</v>
      </c>
    </row>
    <row r="13" spans="1:13" ht="13">
      <c r="A13" s="1">
        <v>1120</v>
      </c>
      <c r="B13" s="2" t="s">
        <v>2</v>
      </c>
      <c r="C13" s="289">
        <f>VLOOKUP(A13,K0kommunestruktur2020!$A$4:$P$359,11,FALSE)</f>
        <v>19217</v>
      </c>
      <c r="D13" s="289">
        <f>VLOOKUP(A13,'K19'!$A$4:$BX$425,24,FALSE)</f>
        <v>1300</v>
      </c>
      <c r="E13" s="289"/>
      <c r="F13" s="289">
        <f>VLOOKUP(A13,K0kommunestruktur2020!$A$4:$P$359,12,FALSE)</f>
        <v>545564</v>
      </c>
      <c r="G13" s="289">
        <f>VLOOKUP(A13,'K19'!$A$4:$BX$425,31,FALSE)</f>
        <v>0</v>
      </c>
      <c r="H13" s="289">
        <f>VLOOKUP(A13,'K19'!$A$4:$BX$425,32,FALSE)</f>
        <v>0</v>
      </c>
      <c r="I13" s="289">
        <f>VLOOKUP(A13,'K19'!$A$4:$BX$425,65,FALSE)</f>
        <v>0</v>
      </c>
      <c r="J13" s="289">
        <f>VLOOKUP(A13,K0kommunestruktur2020!$A$4:$P$359,14,FALSE)</f>
        <v>568602</v>
      </c>
      <c r="K13" s="517"/>
      <c r="L13">
        <v>0</v>
      </c>
      <c r="M13" s="5">
        <f t="shared" si="0"/>
        <v>0</v>
      </c>
    </row>
    <row r="14" spans="1:13" ht="13">
      <c r="A14" s="1">
        <v>1121</v>
      </c>
      <c r="B14" s="2" t="s">
        <v>3</v>
      </c>
      <c r="C14" s="289">
        <f>VLOOKUP(A14,K0kommunestruktur2020!$A$4:$P$359,11,FALSE)</f>
        <v>18699</v>
      </c>
      <c r="D14" s="289">
        <f>VLOOKUP(A14,'K19'!$A$4:$BX$425,24,FALSE)</f>
        <v>0</v>
      </c>
      <c r="E14" s="289"/>
      <c r="F14" s="289">
        <f>VLOOKUP(A14,K0kommunestruktur2020!$A$4:$P$359,12,FALSE)</f>
        <v>540548</v>
      </c>
      <c r="G14" s="289">
        <f>VLOOKUP(A14,'K19'!$A$4:$BX$425,31,FALSE)</f>
        <v>0</v>
      </c>
      <c r="H14" s="289">
        <f>VLOOKUP(A14,'K19'!$A$4:$BX$425,32,FALSE)</f>
        <v>0</v>
      </c>
      <c r="I14" s="289">
        <f>VLOOKUP(A14,'K19'!$A$4:$BX$425,65,FALSE)</f>
        <v>0</v>
      </c>
      <c r="J14" s="289">
        <f>VLOOKUP(A14,K0kommunestruktur2020!$A$4:$P$359,14,FALSE)</f>
        <v>561432</v>
      </c>
      <c r="K14" s="517"/>
      <c r="L14">
        <v>0</v>
      </c>
      <c r="M14" s="5">
        <f t="shared" si="0"/>
        <v>0</v>
      </c>
    </row>
    <row r="15" spans="1:13" ht="13">
      <c r="A15" s="1">
        <v>1122</v>
      </c>
      <c r="B15" s="2" t="s">
        <v>4</v>
      </c>
      <c r="C15" s="289">
        <f>VLOOKUP(A15,K0kommunestruktur2020!$A$4:$P$359,11,FALSE)</f>
        <v>11866</v>
      </c>
      <c r="D15" s="289">
        <f>VLOOKUP(A15,'K19'!$A$4:$BX$425,24,FALSE)</f>
        <v>1400</v>
      </c>
      <c r="E15" s="289"/>
      <c r="F15" s="289">
        <f>VLOOKUP(A15,K0kommunestruktur2020!$A$4:$P$359,12,FALSE)</f>
        <v>315579</v>
      </c>
      <c r="G15" s="289">
        <f>VLOOKUP(A15,'K19'!$A$4:$BX$425,31,FALSE)</f>
        <v>0</v>
      </c>
      <c r="H15" s="289">
        <f>VLOOKUP(A15,'K19'!$A$4:$BX$425,32,FALSE)</f>
        <v>0</v>
      </c>
      <c r="I15" s="289">
        <f>VLOOKUP(A15,'K19'!$A$4:$BX$425,65,FALSE)</f>
        <v>0</v>
      </c>
      <c r="J15" s="289">
        <f>VLOOKUP(A15,K0kommunestruktur2020!$A$4:$P$359,14,FALSE)</f>
        <v>328082</v>
      </c>
      <c r="K15" s="517"/>
      <c r="L15">
        <v>0</v>
      </c>
      <c r="M15" s="5">
        <f t="shared" si="0"/>
        <v>0</v>
      </c>
    </row>
    <row r="16" spans="1:13" ht="13">
      <c r="A16" s="1">
        <v>1124</v>
      </c>
      <c r="B16" s="2" t="s">
        <v>5</v>
      </c>
      <c r="C16" s="289">
        <f>VLOOKUP(A16,K0kommunestruktur2020!$A$4:$P$359,11,FALSE)</f>
        <v>26265</v>
      </c>
      <c r="D16" s="289">
        <f>VLOOKUP(A16,'K19'!$A$4:$BX$425,24,FALSE)</f>
        <v>0</v>
      </c>
      <c r="E16" s="289"/>
      <c r="F16" s="289">
        <f>VLOOKUP(A16,K0kommunestruktur2020!$A$4:$P$359,12,FALSE)</f>
        <v>971476</v>
      </c>
      <c r="G16" s="289">
        <f>VLOOKUP(A16,'K19'!$A$4:$BX$425,31,FALSE)</f>
        <v>0</v>
      </c>
      <c r="H16" s="289">
        <f>VLOOKUP(A16,'K19'!$A$4:$BX$425,32,FALSE)</f>
        <v>0</v>
      </c>
      <c r="I16" s="289">
        <f>VLOOKUP(A16,'K19'!$A$4:$BX$425,65,FALSE)</f>
        <v>0</v>
      </c>
      <c r="J16" s="289">
        <f>VLOOKUP(A16,K0kommunestruktur2020!$A$4:$P$359,14,FALSE)</f>
        <v>1049894</v>
      </c>
      <c r="K16" s="517"/>
      <c r="L16">
        <v>0</v>
      </c>
      <c r="M16" s="5">
        <f t="shared" si="0"/>
        <v>0</v>
      </c>
    </row>
    <row r="17" spans="1:13" ht="13">
      <c r="A17" s="1">
        <v>1127</v>
      </c>
      <c r="B17" s="2" t="s">
        <v>6</v>
      </c>
      <c r="C17" s="289">
        <f>VLOOKUP(A17,K0kommunestruktur2020!$A$4:$P$359,11,FALSE)</f>
        <v>10972</v>
      </c>
      <c r="D17" s="289">
        <f>VLOOKUP(A17,'K19'!$A$4:$BX$425,24,FALSE)</f>
        <v>6600</v>
      </c>
      <c r="E17" s="289"/>
      <c r="F17" s="289">
        <f>VLOOKUP(A17,K0kommunestruktur2020!$A$4:$P$359,12,FALSE)</f>
        <v>354189</v>
      </c>
      <c r="G17" s="289">
        <f>VLOOKUP(A17,'K19'!$A$4:$BX$425,31,FALSE)</f>
        <v>0</v>
      </c>
      <c r="H17" s="289">
        <f>VLOOKUP(A17,'K19'!$A$4:$BX$425,32,FALSE)</f>
        <v>0</v>
      </c>
      <c r="I17" s="289">
        <f>VLOOKUP(A17,'K19'!$A$4:$BX$425,65,FALSE)</f>
        <v>0</v>
      </c>
      <c r="J17" s="289">
        <f>VLOOKUP(A17,K0kommunestruktur2020!$A$4:$P$359,14,FALSE)</f>
        <v>377149</v>
      </c>
      <c r="K17" s="517"/>
      <c r="L17">
        <v>0</v>
      </c>
      <c r="M17" s="5">
        <f t="shared" si="0"/>
        <v>0</v>
      </c>
    </row>
    <row r="18" spans="1:13" ht="13">
      <c r="A18" s="1">
        <v>1130</v>
      </c>
      <c r="B18" s="2" t="s">
        <v>12</v>
      </c>
      <c r="C18" s="289">
        <f>VLOOKUP(A18,K0kommunestruktur2020!$A$4:$P$359,11,FALSE)</f>
        <v>12799.94921384</v>
      </c>
      <c r="D18" s="289">
        <f>VLOOKUP(A18,'K19'!$A$4:$BX$425,24,FALSE)</f>
        <v>3100</v>
      </c>
      <c r="E18" s="289"/>
      <c r="F18" s="289">
        <f>VLOOKUP(A18,K0kommunestruktur2020!$A$4:$P$359,12,FALSE)</f>
        <v>346356.21399380598</v>
      </c>
      <c r="G18" s="289">
        <f>VLOOKUP(A18,'K19'!$A$4:$BX$425,31,FALSE)</f>
        <v>0</v>
      </c>
      <c r="H18" s="289">
        <f>VLOOKUP(A18,'K19'!$A$4:$BX$425,32,FALSE)</f>
        <v>0</v>
      </c>
      <c r="I18" s="289">
        <f>VLOOKUP(A18,'K19'!$A$4:$BX$425,65,FALSE)</f>
        <v>0</v>
      </c>
      <c r="J18" s="289">
        <f>VLOOKUP(A18,K0kommunestruktur2020!$A$4:$P$359,14,FALSE)</f>
        <v>363835.36603773583</v>
      </c>
      <c r="K18" s="517"/>
      <c r="L18">
        <v>0</v>
      </c>
      <c r="M18" s="5">
        <f t="shared" si="0"/>
        <v>0</v>
      </c>
    </row>
    <row r="19" spans="1:13" ht="13">
      <c r="A19" s="1">
        <v>1133</v>
      </c>
      <c r="B19" s="2" t="s">
        <v>13</v>
      </c>
      <c r="C19" s="289">
        <f>VLOOKUP(A19,K0kommunestruktur2020!$A$4:$P$359,11,FALSE)</f>
        <v>2646.9102086399998</v>
      </c>
      <c r="D19" s="289">
        <f>VLOOKUP(A19,'K19'!$A$4:$BX$425,24,FALSE)</f>
        <v>1000</v>
      </c>
      <c r="E19" s="289"/>
      <c r="F19" s="289">
        <f>VLOOKUP(A19,K0kommunestruktur2020!$A$4:$P$359,12,FALSE)</f>
        <v>92102.365871700327</v>
      </c>
      <c r="G19" s="289">
        <f>VLOOKUP(A19,'K19'!$A$4:$BX$425,31,FALSE)</f>
        <v>0</v>
      </c>
      <c r="H19" s="289">
        <f>VLOOKUP(A19,'K19'!$A$4:$BX$425,32,FALSE)</f>
        <v>0</v>
      </c>
      <c r="I19" s="289">
        <f>VLOOKUP(A19,'K19'!$A$4:$BX$425,65,FALSE)</f>
        <v>0</v>
      </c>
      <c r="J19" s="289">
        <f>VLOOKUP(A19,K0kommunestruktur2020!$A$4:$P$359,14,FALSE)</f>
        <v>93031.652011922502</v>
      </c>
      <c r="K19" s="517"/>
      <c r="L19">
        <v>0</v>
      </c>
      <c r="M19" s="5">
        <f t="shared" si="0"/>
        <v>0</v>
      </c>
    </row>
    <row r="20" spans="1:13" ht="13">
      <c r="A20" s="1">
        <v>1134</v>
      </c>
      <c r="B20" s="2" t="s">
        <v>14</v>
      </c>
      <c r="C20" s="289">
        <f>VLOOKUP(A20,K0kommunestruktur2020!$A$4:$P$359,11,FALSE)</f>
        <v>3849</v>
      </c>
      <c r="D20" s="289">
        <f>VLOOKUP(A20,'K19'!$A$4:$BX$425,24,FALSE)</f>
        <v>0</v>
      </c>
      <c r="E20" s="289"/>
      <c r="F20" s="289">
        <f>VLOOKUP(A20,K0kommunestruktur2020!$A$4:$P$359,12,FALSE)</f>
        <v>153606</v>
      </c>
      <c r="G20" s="289">
        <f>VLOOKUP(A20,'K19'!$A$4:$BX$425,31,FALSE)</f>
        <v>0</v>
      </c>
      <c r="H20" s="289">
        <f>VLOOKUP(A20,'K19'!$A$4:$BX$425,32,FALSE)</f>
        <v>0</v>
      </c>
      <c r="I20" s="289">
        <f>VLOOKUP(A20,'K19'!$A$4:$BX$425,65,FALSE)</f>
        <v>0</v>
      </c>
      <c r="J20" s="289">
        <f>VLOOKUP(A20,K0kommunestruktur2020!$A$4:$P$359,14,FALSE)</f>
        <v>156911</v>
      </c>
      <c r="K20" s="517"/>
      <c r="L20">
        <v>0</v>
      </c>
      <c r="M20" s="5">
        <f t="shared" si="0"/>
        <v>0</v>
      </c>
    </row>
    <row r="21" spans="1:13" ht="13">
      <c r="A21" s="1">
        <v>1135</v>
      </c>
      <c r="B21" s="2" t="s">
        <v>15</v>
      </c>
      <c r="C21" s="289">
        <f>VLOOKUP(A21,K0kommunestruktur2020!$A$4:$P$359,11,FALSE)</f>
        <v>4663</v>
      </c>
      <c r="D21" s="289">
        <f>VLOOKUP(A21,'K19'!$A$4:$BX$425,24,FALSE)</f>
        <v>5600</v>
      </c>
      <c r="E21" s="289"/>
      <c r="F21" s="289">
        <f>VLOOKUP(A21,K0kommunestruktur2020!$A$4:$P$359,12,FALSE)</f>
        <v>132320</v>
      </c>
      <c r="G21" s="289">
        <f>VLOOKUP(A21,'K19'!$A$4:$BX$425,31,FALSE)</f>
        <v>0</v>
      </c>
      <c r="H21" s="289">
        <f>VLOOKUP(A21,'K19'!$A$4:$BX$425,32,FALSE)</f>
        <v>0</v>
      </c>
      <c r="I21" s="289">
        <f>VLOOKUP(A21,'K19'!$A$4:$BX$425,65,FALSE)</f>
        <v>0</v>
      </c>
      <c r="J21" s="289">
        <f>VLOOKUP(A21,K0kommunestruktur2020!$A$4:$P$359,14,FALSE)</f>
        <v>152473</v>
      </c>
      <c r="K21" s="517"/>
      <c r="L21">
        <v>0</v>
      </c>
      <c r="M21" s="5">
        <f t="shared" si="0"/>
        <v>0</v>
      </c>
    </row>
    <row r="22" spans="1:13" ht="13">
      <c r="A22" s="1">
        <v>1144</v>
      </c>
      <c r="B22" s="2" t="s">
        <v>18</v>
      </c>
      <c r="C22" s="289">
        <f>VLOOKUP(A22,K0kommunestruktur2020!$A$4:$P$359,11,FALSE)</f>
        <v>542</v>
      </c>
      <c r="D22" s="289">
        <f>VLOOKUP(A22,'K19'!$A$4:$BX$425,24,FALSE)</f>
        <v>1700</v>
      </c>
      <c r="E22" s="289"/>
      <c r="F22" s="289">
        <f>VLOOKUP(A22,K0kommunestruktur2020!$A$4:$P$359,12,FALSE)</f>
        <v>14773</v>
      </c>
      <c r="G22" s="289">
        <f>VLOOKUP(A22,'K19'!$A$4:$BX$425,31,FALSE)</f>
        <v>0</v>
      </c>
      <c r="H22" s="289">
        <f>VLOOKUP(A22,'K19'!$A$4:$BX$425,32,FALSE)</f>
        <v>0</v>
      </c>
      <c r="I22" s="289">
        <f>VLOOKUP(A22,'K19'!$A$4:$BX$425,65,FALSE)</f>
        <v>0</v>
      </c>
      <c r="J22" s="289">
        <f>VLOOKUP(A22,K0kommunestruktur2020!$A$4:$P$359,14,FALSE)</f>
        <v>14046</v>
      </c>
      <c r="K22" s="517"/>
      <c r="L22">
        <v>0</v>
      </c>
      <c r="M22" s="5">
        <f t="shared" si="0"/>
        <v>0</v>
      </c>
    </row>
    <row r="23" spans="1:13" ht="13">
      <c r="A23" s="1">
        <v>1145</v>
      </c>
      <c r="B23" s="2" t="s">
        <v>19</v>
      </c>
      <c r="C23" s="289">
        <f>VLOOKUP(A23,K0kommunestruktur2020!$A$4:$P$359,11,FALSE)</f>
        <v>844</v>
      </c>
      <c r="D23" s="289">
        <f>VLOOKUP(A23,'K19'!$A$4:$BX$425,24,FALSE)</f>
        <v>1800</v>
      </c>
      <c r="E23" s="289"/>
      <c r="F23" s="289">
        <f>VLOOKUP(A23,K0kommunestruktur2020!$A$4:$P$359,12,FALSE)</f>
        <v>21260</v>
      </c>
      <c r="G23" s="289">
        <f>VLOOKUP(A23,'K19'!$A$4:$BX$425,31,FALSE)</f>
        <v>0</v>
      </c>
      <c r="H23" s="289">
        <f>VLOOKUP(A23,'K19'!$A$4:$BX$425,32,FALSE)</f>
        <v>0</v>
      </c>
      <c r="I23" s="289">
        <f>VLOOKUP(A23,'K19'!$A$4:$BX$425,65,FALSE)</f>
        <v>0</v>
      </c>
      <c r="J23" s="289">
        <f>VLOOKUP(A23,K0kommunestruktur2020!$A$4:$P$359,14,FALSE)</f>
        <v>23216</v>
      </c>
      <c r="K23" s="517"/>
      <c r="L23">
        <v>0</v>
      </c>
      <c r="M23" s="5">
        <f t="shared" si="0"/>
        <v>0</v>
      </c>
    </row>
    <row r="24" spans="1:13" ht="13">
      <c r="A24" s="1">
        <v>1146</v>
      </c>
      <c r="B24" s="2" t="s">
        <v>20</v>
      </c>
      <c r="C24" s="289">
        <f>VLOOKUP(A24,K0kommunestruktur2020!$A$4:$P$359,11,FALSE)</f>
        <v>11023</v>
      </c>
      <c r="D24" s="289">
        <f>VLOOKUP(A24,'K19'!$A$4:$BX$425,24,FALSE)</f>
        <v>900</v>
      </c>
      <c r="E24" s="289"/>
      <c r="F24" s="289">
        <f>VLOOKUP(A24,K0kommunestruktur2020!$A$4:$P$359,12,FALSE)</f>
        <v>296653</v>
      </c>
      <c r="G24" s="289">
        <f>VLOOKUP(A24,'K19'!$A$4:$BX$425,31,FALSE)</f>
        <v>0</v>
      </c>
      <c r="H24" s="289">
        <f>VLOOKUP(A24,'K19'!$A$4:$BX$425,32,FALSE)</f>
        <v>0</v>
      </c>
      <c r="I24" s="289">
        <f>VLOOKUP(A24,'K19'!$A$4:$BX$425,65,FALSE)</f>
        <v>0</v>
      </c>
      <c r="J24" s="289">
        <f>VLOOKUP(A24,K0kommunestruktur2020!$A$4:$P$359,14,FALSE)</f>
        <v>303352</v>
      </c>
      <c r="K24" s="517"/>
      <c r="L24">
        <v>0</v>
      </c>
      <c r="M24" s="5">
        <f t="shared" si="0"/>
        <v>0</v>
      </c>
    </row>
    <row r="25" spans="1:13" ht="13">
      <c r="A25" s="1">
        <v>1149</v>
      </c>
      <c r="B25" s="2" t="s">
        <v>21</v>
      </c>
      <c r="C25" s="289">
        <f>VLOOKUP(A25,K0kommunestruktur2020!$A$4:$P$359,11,FALSE)</f>
        <v>42243</v>
      </c>
      <c r="D25" s="289">
        <f>VLOOKUP(A25,'K19'!$A$4:$BX$425,24,FALSE)</f>
        <v>2500</v>
      </c>
      <c r="E25" s="289"/>
      <c r="F25" s="289">
        <f>VLOOKUP(A25,K0kommunestruktur2020!$A$4:$P$359,12,FALSE)</f>
        <v>1089363</v>
      </c>
      <c r="G25" s="289">
        <f>VLOOKUP(A25,'K19'!$A$4:$BX$425,31,FALSE)</f>
        <v>0</v>
      </c>
      <c r="H25" s="289">
        <f>VLOOKUP(A25,'K19'!$A$4:$BX$425,32,FALSE)</f>
        <v>0</v>
      </c>
      <c r="I25" s="289">
        <f>VLOOKUP(A25,'K19'!$A$4:$BX$425,65,FALSE)</f>
        <v>0</v>
      </c>
      <c r="J25" s="289">
        <f>VLOOKUP(A25,K0kommunestruktur2020!$A$4:$P$359,14,FALSE)</f>
        <v>1149890</v>
      </c>
      <c r="K25" s="517"/>
      <c r="L25">
        <v>0</v>
      </c>
      <c r="M25" s="5">
        <f t="shared" si="0"/>
        <v>0</v>
      </c>
    </row>
    <row r="26" spans="1:13" ht="13">
      <c r="A26" s="1">
        <v>1151</v>
      </c>
      <c r="B26" s="2" t="s">
        <v>22</v>
      </c>
      <c r="C26" s="289">
        <f>VLOOKUP(A26,K0kommunestruktur2020!$A$4:$P$359,11,FALSE)</f>
        <v>208</v>
      </c>
      <c r="D26" s="289">
        <f>VLOOKUP(A26,'K19'!$A$4:$BX$425,24,FALSE)</f>
        <v>200</v>
      </c>
      <c r="E26" s="289"/>
      <c r="F26" s="289">
        <f>VLOOKUP(A26,K0kommunestruktur2020!$A$4:$P$359,12,FALSE)</f>
        <v>5467</v>
      </c>
      <c r="G26" s="289">
        <f>VLOOKUP(A26,'K19'!$A$4:$BX$425,31,FALSE)</f>
        <v>0</v>
      </c>
      <c r="H26" s="289">
        <f>VLOOKUP(A26,'K19'!$A$4:$BX$425,32,FALSE)</f>
        <v>0</v>
      </c>
      <c r="I26" s="289">
        <f>VLOOKUP(A26,'K19'!$A$4:$BX$425,65,FALSE)</f>
        <v>0</v>
      </c>
      <c r="J26" s="289">
        <f>VLOOKUP(A26,K0kommunestruktur2020!$A$4:$P$359,14,FALSE)</f>
        <v>5709</v>
      </c>
      <c r="K26" s="517"/>
      <c r="L26">
        <v>0</v>
      </c>
      <c r="M26" s="5">
        <f t="shared" si="0"/>
        <v>0</v>
      </c>
    </row>
    <row r="27" spans="1:13" ht="13">
      <c r="A27" s="1">
        <v>1160</v>
      </c>
      <c r="B27" s="4" t="s">
        <v>711</v>
      </c>
      <c r="C27" s="289">
        <f>VLOOKUP(A27,K0kommunestruktur2020!$A$4:$P$359,11,FALSE)</f>
        <v>8793</v>
      </c>
      <c r="D27" s="289">
        <f>VLOOKUP(A27,'K19'!$A$4:$BX$425,24,FALSE)</f>
        <v>6700</v>
      </c>
      <c r="E27" s="289"/>
      <c r="F27" s="289">
        <f>VLOOKUP(A27,K0kommunestruktur2020!$A$4:$P$359,12,FALSE)</f>
        <v>278332</v>
      </c>
      <c r="G27" s="289">
        <f>VLOOKUP(A27,'K19'!$A$4:$BX$425,31,FALSE)</f>
        <v>0</v>
      </c>
      <c r="H27" s="289">
        <f>VLOOKUP(A27,'K19'!$A$4:$BX$425,32,FALSE)</f>
        <v>10402.57067752</v>
      </c>
      <c r="I27" s="289">
        <f>VLOOKUP(A27,'K19'!$A$4:$BX$425,65,FALSE)</f>
        <v>0</v>
      </c>
      <c r="J27" s="289">
        <f>VLOOKUP(A27,K0kommunestruktur2020!$A$4:$P$359,14,FALSE)</f>
        <v>307150</v>
      </c>
      <c r="K27" s="517"/>
      <c r="L27">
        <v>10402.5707</v>
      </c>
      <c r="M27" s="961">
        <f t="shared" si="0"/>
        <v>-2.2480000552604906E-5</v>
      </c>
    </row>
    <row r="28" spans="1:13" ht="13">
      <c r="A28" s="1">
        <v>1505</v>
      </c>
      <c r="B28" s="4" t="s">
        <v>680</v>
      </c>
      <c r="C28" s="289">
        <f>VLOOKUP(A28,K0kommunestruktur2020!$A$4:$P$359,11,FALSE)</f>
        <v>24300</v>
      </c>
      <c r="D28" s="289">
        <f>VLOOKUP(A28,'K19'!$A$4:$BX$425,24,FALSE)</f>
        <v>3000</v>
      </c>
      <c r="E28" s="289"/>
      <c r="F28" s="289">
        <f>VLOOKUP(A28,K0kommunestruktur2020!$A$4:$P$359,12,FALSE)</f>
        <v>637871</v>
      </c>
      <c r="G28" s="289">
        <f>VLOOKUP(A28,'K19'!$A$4:$BX$425,31,FALSE)</f>
        <v>0</v>
      </c>
      <c r="H28" s="289">
        <f>VLOOKUP(A28,'K19'!$A$4:$BX$425,32,FALSE)</f>
        <v>10353.18097385</v>
      </c>
      <c r="I28" s="289">
        <f>VLOOKUP(A28,'K19'!$A$4:$BX$425,65,FALSE)</f>
        <v>0</v>
      </c>
      <c r="J28" s="289">
        <f>VLOOKUP(A28,K0kommunestruktur2020!$A$4:$P$359,14,FALSE)</f>
        <v>663317</v>
      </c>
      <c r="K28" s="517"/>
      <c r="L28">
        <v>10353.181</v>
      </c>
      <c r="M28" s="961">
        <f t="shared" si="0"/>
        <v>-2.615000084915664E-5</v>
      </c>
    </row>
    <row r="29" spans="1:13" ht="13">
      <c r="A29" s="878">
        <v>1506</v>
      </c>
      <c r="B29" s="879" t="s">
        <v>1611</v>
      </c>
      <c r="C29" s="919">
        <f>VLOOKUP(A29,K0kommunestruktur2020!$A$4:$P$359,11,FALSE)</f>
        <v>31895</v>
      </c>
      <c r="D29" s="919">
        <f>+D369</f>
        <v>7080</v>
      </c>
      <c r="E29" s="919"/>
      <c r="F29" s="919">
        <f>VLOOKUP(A29,K0kommunestruktur2020!$A$4:$P$359,12,FALSE)</f>
        <v>913522</v>
      </c>
      <c r="G29" s="919">
        <f t="shared" ref="G29:H29" si="3">+G369</f>
        <v>0</v>
      </c>
      <c r="H29" s="919">
        <f t="shared" si="3"/>
        <v>0</v>
      </c>
      <c r="I29" s="919">
        <f t="shared" ref="I29" si="4">+I369</f>
        <v>5255</v>
      </c>
      <c r="J29" s="919">
        <f>VLOOKUP(A29,K0kommunestruktur2020!$A$4:$P$359,14,FALSE)</f>
        <v>946419</v>
      </c>
      <c r="K29" s="517"/>
      <c r="L29">
        <v>0</v>
      </c>
      <c r="M29" s="5">
        <f t="shared" si="0"/>
        <v>0</v>
      </c>
    </row>
    <row r="30" spans="1:13" ht="13">
      <c r="A30" s="878">
        <v>1507</v>
      </c>
      <c r="B30" s="879" t="s">
        <v>1612</v>
      </c>
      <c r="C30" s="919">
        <f>VLOOKUP(A30,K0kommunestruktur2020!$A$4:$P$359,11,FALSE)</f>
        <v>65053.103850200001</v>
      </c>
      <c r="D30" s="919">
        <f>+D370</f>
        <v>14050</v>
      </c>
      <c r="E30" s="919"/>
      <c r="F30" s="919">
        <f>VLOOKUP(A30,K0kommunestruktur2020!$A$4:$P$359,12,FALSE)</f>
        <v>1924606.0505843894</v>
      </c>
      <c r="G30" s="919">
        <f t="shared" ref="G30:H30" si="5">+G370</f>
        <v>495</v>
      </c>
      <c r="H30" s="919">
        <f t="shared" si="5"/>
        <v>0</v>
      </c>
      <c r="I30" s="919">
        <f t="shared" ref="I30" si="6">+I370</f>
        <v>7435</v>
      </c>
      <c r="J30" s="919">
        <f>VLOOKUP(A30,K0kommunestruktur2020!$A$4:$P$359,14,FALSE)</f>
        <v>2059966.2974875444</v>
      </c>
      <c r="K30" s="517"/>
      <c r="L30">
        <v>0</v>
      </c>
      <c r="M30" s="5">
        <f t="shared" si="0"/>
        <v>0</v>
      </c>
    </row>
    <row r="31" spans="1:13" ht="13">
      <c r="A31" s="1">
        <v>1511</v>
      </c>
      <c r="B31" s="2" t="s">
        <v>86</v>
      </c>
      <c r="C31" s="289">
        <f>VLOOKUP(A31,K0kommunestruktur2020!$A$4:$P$359,11,FALSE)</f>
        <v>3187</v>
      </c>
      <c r="D31" s="289">
        <f>VLOOKUP(A31,'K19'!$A$4:$BX$425,24,FALSE)</f>
        <v>2600</v>
      </c>
      <c r="E31" s="289"/>
      <c r="F31" s="289">
        <f>VLOOKUP(A31,K0kommunestruktur2020!$A$4:$P$359,12,FALSE)</f>
        <v>83683</v>
      </c>
      <c r="G31" s="289">
        <f>VLOOKUP(A31,'K19'!$A$4:$BX$425,31,FALSE)</f>
        <v>0</v>
      </c>
      <c r="H31" s="289">
        <f>VLOOKUP(A31,'K19'!$A$4:$BX$425,32,FALSE)</f>
        <v>0</v>
      </c>
      <c r="I31" s="289">
        <f>VLOOKUP(A31,'K19'!$A$4:$BX$425,65,FALSE)</f>
        <v>0</v>
      </c>
      <c r="J31" s="289">
        <f>VLOOKUP(A31,K0kommunestruktur2020!$A$4:$P$359,14,FALSE)</f>
        <v>88973</v>
      </c>
      <c r="K31" s="517"/>
      <c r="L31">
        <v>0</v>
      </c>
      <c r="M31" s="5">
        <f t="shared" si="0"/>
        <v>0</v>
      </c>
    </row>
    <row r="32" spans="1:13" ht="13">
      <c r="A32" s="1">
        <v>1514</v>
      </c>
      <c r="B32" s="2" t="s">
        <v>897</v>
      </c>
      <c r="C32" s="289">
        <f>VLOOKUP(A32,K0kommunestruktur2020!$A$4:$P$359,11,FALSE)</f>
        <v>2522</v>
      </c>
      <c r="D32" s="289">
        <f>VLOOKUP(A32,'K19'!$A$4:$BX$425,24,FALSE)</f>
        <v>3700</v>
      </c>
      <c r="E32" s="289"/>
      <c r="F32" s="289">
        <f>VLOOKUP(A32,K0kommunestruktur2020!$A$4:$P$359,12,FALSE)</f>
        <v>68936</v>
      </c>
      <c r="G32" s="289">
        <f>VLOOKUP(A32,'K19'!$A$4:$BX$425,31,FALSE)</f>
        <v>0</v>
      </c>
      <c r="H32" s="289">
        <f>VLOOKUP(A32,'K19'!$A$4:$BX$425,32,FALSE)</f>
        <v>0</v>
      </c>
      <c r="I32" s="289">
        <f>VLOOKUP(A32,'K19'!$A$4:$BX$425,65,FALSE)</f>
        <v>0</v>
      </c>
      <c r="J32" s="289">
        <f>VLOOKUP(A32,K0kommunestruktur2020!$A$4:$P$359,14,FALSE)</f>
        <v>75383</v>
      </c>
      <c r="K32" s="517"/>
      <c r="L32">
        <v>0</v>
      </c>
      <c r="M32" s="5">
        <f t="shared" si="0"/>
        <v>0</v>
      </c>
    </row>
    <row r="33" spans="1:13" ht="13">
      <c r="A33" s="1">
        <v>1515</v>
      </c>
      <c r="B33" s="2" t="s">
        <v>87</v>
      </c>
      <c r="C33" s="289">
        <f>VLOOKUP(A33,K0kommunestruktur2020!$A$4:$P$359,11,FALSE)</f>
        <v>8965</v>
      </c>
      <c r="D33" s="289">
        <f>VLOOKUP(A33,'K19'!$A$4:$BX$425,24,FALSE)</f>
        <v>1900</v>
      </c>
      <c r="E33" s="289"/>
      <c r="F33" s="289">
        <f>VLOOKUP(A33,K0kommunestruktur2020!$A$4:$P$359,12,FALSE)</f>
        <v>270116</v>
      </c>
      <c r="G33" s="289">
        <f>VLOOKUP(A33,'K19'!$A$4:$BX$425,31,FALSE)</f>
        <v>0</v>
      </c>
      <c r="H33" s="289">
        <f>VLOOKUP(A33,'K19'!$A$4:$BX$425,32,FALSE)</f>
        <v>0</v>
      </c>
      <c r="I33" s="289">
        <f>VLOOKUP(A33,'K19'!$A$4:$BX$425,65,FALSE)</f>
        <v>0</v>
      </c>
      <c r="J33" s="289">
        <f>VLOOKUP(A33,K0kommunestruktur2020!$A$4:$P$359,14,FALSE)</f>
        <v>303238</v>
      </c>
      <c r="K33" s="517"/>
      <c r="L33">
        <v>0</v>
      </c>
      <c r="M33" s="5">
        <f t="shared" si="0"/>
        <v>0</v>
      </c>
    </row>
    <row r="34" spans="1:13" ht="13">
      <c r="A34" s="1">
        <v>1516</v>
      </c>
      <c r="B34" s="2" t="s">
        <v>88</v>
      </c>
      <c r="C34" s="289">
        <f>VLOOKUP(A34,K0kommunestruktur2020!$A$4:$P$359,11,FALSE)</f>
        <v>8555</v>
      </c>
      <c r="D34" s="289">
        <f>VLOOKUP(A34,'K19'!$A$4:$BX$425,24,FALSE)</f>
        <v>3050</v>
      </c>
      <c r="E34" s="289"/>
      <c r="F34" s="289">
        <f>VLOOKUP(A34,K0kommunestruktur2020!$A$4:$P$359,12,FALSE)</f>
        <v>262420</v>
      </c>
      <c r="G34" s="289">
        <f>VLOOKUP(A34,'K19'!$A$4:$BX$425,31,FALSE)</f>
        <v>0</v>
      </c>
      <c r="H34" s="289">
        <f>VLOOKUP(A34,'K19'!$A$4:$BX$425,32,FALSE)</f>
        <v>0</v>
      </c>
      <c r="I34" s="289">
        <f>VLOOKUP(A34,'K19'!$A$4:$BX$425,65,FALSE)</f>
        <v>0</v>
      </c>
      <c r="J34" s="289">
        <f>VLOOKUP(A34,K0kommunestruktur2020!$A$4:$P$359,14,FALSE)</f>
        <v>275729</v>
      </c>
      <c r="K34" s="517"/>
      <c r="L34">
        <v>0</v>
      </c>
      <c r="M34" s="5">
        <f t="shared" si="0"/>
        <v>0</v>
      </c>
    </row>
    <row r="35" spans="1:13" ht="13">
      <c r="A35" s="1">
        <v>1517</v>
      </c>
      <c r="B35" s="2" t="s">
        <v>89</v>
      </c>
      <c r="C35" s="289">
        <f>VLOOKUP(A35,K0kommunestruktur2020!$A$4:$P$359,11,FALSE)</f>
        <v>5150</v>
      </c>
      <c r="D35" s="289">
        <f>VLOOKUP(A35,'K19'!$A$4:$BX$425,24,FALSE)</f>
        <v>1500</v>
      </c>
      <c r="E35" s="289"/>
      <c r="F35" s="289">
        <f>VLOOKUP(A35,K0kommunestruktur2020!$A$4:$P$359,12,FALSE)</f>
        <v>124236</v>
      </c>
      <c r="G35" s="289">
        <f>VLOOKUP(A35,'K19'!$A$4:$BX$425,31,FALSE)</f>
        <v>0</v>
      </c>
      <c r="H35" s="289">
        <f>VLOOKUP(A35,'K19'!$A$4:$BX$425,32,FALSE)</f>
        <v>0</v>
      </c>
      <c r="I35" s="289">
        <f>VLOOKUP(A35,'K19'!$A$4:$BX$425,65,FALSE)</f>
        <v>0</v>
      </c>
      <c r="J35" s="289">
        <f>VLOOKUP(A35,K0kommunestruktur2020!$A$4:$P$359,14,FALSE)</f>
        <v>130558</v>
      </c>
      <c r="K35" s="517"/>
      <c r="L35">
        <v>0</v>
      </c>
      <c r="M35" s="5">
        <f t="shared" si="0"/>
        <v>0</v>
      </c>
    </row>
    <row r="36" spans="1:13" ht="13">
      <c r="A36" s="1">
        <v>1520</v>
      </c>
      <c r="B36" s="2" t="s">
        <v>91</v>
      </c>
      <c r="C36" s="289">
        <f>VLOOKUP(A36,K0kommunestruktur2020!$A$4:$P$359,11,FALSE)</f>
        <v>10707.435203090001</v>
      </c>
      <c r="D36" s="289">
        <f>VLOOKUP(A36,'K19'!$A$4:$BX$425,24,FALSE)</f>
        <v>2700</v>
      </c>
      <c r="E36" s="289"/>
      <c r="F36" s="289">
        <f>VLOOKUP(A36,K0kommunestruktur2020!$A$4:$P$359,12,FALSE)</f>
        <v>274436.95164397813</v>
      </c>
      <c r="G36" s="289">
        <f>VLOOKUP(A36,'K19'!$A$4:$BX$425,31,FALSE)</f>
        <v>0</v>
      </c>
      <c r="H36" s="289">
        <f>VLOOKUP(A36,'K19'!$A$4:$BX$425,32,FALSE)</f>
        <v>0</v>
      </c>
      <c r="I36" s="289">
        <f>VLOOKUP(A36,'K19'!$A$4:$BX$425,65,FALSE)</f>
        <v>0</v>
      </c>
      <c r="J36" s="289">
        <f>VLOOKUP(A36,K0kommunestruktur2020!$A$4:$P$359,14,FALSE)</f>
        <v>283285.53965183755</v>
      </c>
      <c r="K36" s="517"/>
      <c r="L36">
        <v>0</v>
      </c>
      <c r="M36" s="5">
        <f t="shared" si="0"/>
        <v>0</v>
      </c>
    </row>
    <row r="37" spans="1:13" ht="13">
      <c r="A37" s="1">
        <v>1525</v>
      </c>
      <c r="B37" s="2" t="s">
        <v>94</v>
      </c>
      <c r="C37" s="289">
        <f>VLOOKUP(A37,K0kommunestruktur2020!$A$4:$P$359,11,FALSE)</f>
        <v>4587</v>
      </c>
      <c r="D37" s="289">
        <f>VLOOKUP(A37,'K19'!$A$4:$BX$425,24,FALSE)</f>
        <v>2350</v>
      </c>
      <c r="E37" s="289"/>
      <c r="F37" s="289">
        <f>VLOOKUP(A37,K0kommunestruktur2020!$A$4:$P$359,12,FALSE)</f>
        <v>127019</v>
      </c>
      <c r="G37" s="289">
        <f>VLOOKUP(A37,'K19'!$A$4:$BX$425,31,FALSE)</f>
        <v>0</v>
      </c>
      <c r="H37" s="289">
        <f>VLOOKUP(A37,'K19'!$A$4:$BX$425,32,FALSE)</f>
        <v>0</v>
      </c>
      <c r="I37" s="289">
        <f>VLOOKUP(A37,'K19'!$A$4:$BX$425,65,FALSE)</f>
        <v>0</v>
      </c>
      <c r="J37" s="289">
        <f>VLOOKUP(A37,K0kommunestruktur2020!$A$4:$P$359,14,FALSE)</f>
        <v>128492</v>
      </c>
      <c r="K37" s="517"/>
      <c r="L37">
        <v>0</v>
      </c>
      <c r="M37" s="5">
        <f t="shared" si="0"/>
        <v>0</v>
      </c>
    </row>
    <row r="38" spans="1:13" ht="13">
      <c r="A38" s="1">
        <v>1528</v>
      </c>
      <c r="B38" s="2" t="s">
        <v>96</v>
      </c>
      <c r="C38" s="289">
        <f>VLOOKUP(A38,K0kommunestruktur2020!$A$4:$P$359,11,FALSE)</f>
        <v>7695</v>
      </c>
      <c r="D38" s="289">
        <f>VLOOKUP(A38,'K19'!$A$4:$BX$425,24,FALSE)</f>
        <v>650</v>
      </c>
      <c r="E38" s="289"/>
      <c r="F38" s="289">
        <f>VLOOKUP(A38,K0kommunestruktur2020!$A$4:$P$359,12,FALSE)</f>
        <v>194273</v>
      </c>
      <c r="G38" s="289">
        <f>VLOOKUP(A38,'K19'!$A$4:$BX$425,31,FALSE)</f>
        <v>0</v>
      </c>
      <c r="H38" s="289">
        <f>VLOOKUP(A38,'K19'!$A$4:$BX$425,32,FALSE)</f>
        <v>0</v>
      </c>
      <c r="I38" s="289">
        <f>VLOOKUP(A38,'K19'!$A$4:$BX$425,65,FALSE)</f>
        <v>0</v>
      </c>
      <c r="J38" s="289">
        <f>VLOOKUP(A38,K0kommunestruktur2020!$A$4:$P$359,14,FALSE)</f>
        <v>203942</v>
      </c>
      <c r="K38" s="517"/>
      <c r="L38">
        <v>0</v>
      </c>
      <c r="M38" s="5">
        <f t="shared" si="0"/>
        <v>0</v>
      </c>
    </row>
    <row r="39" spans="1:13" ht="13">
      <c r="A39" s="1">
        <v>1531</v>
      </c>
      <c r="B39" s="2" t="s">
        <v>98</v>
      </c>
      <c r="C39" s="289">
        <f>VLOOKUP(A39,K0kommunestruktur2020!$A$4:$P$359,11,FALSE)</f>
        <v>9131</v>
      </c>
      <c r="D39" s="289">
        <f>VLOOKUP(A39,'K19'!$A$4:$BX$425,24,FALSE)</f>
        <v>400</v>
      </c>
      <c r="E39" s="289"/>
      <c r="F39" s="289">
        <f>VLOOKUP(A39,K0kommunestruktur2020!$A$4:$P$359,12,FALSE)</f>
        <v>225657</v>
      </c>
      <c r="G39" s="289">
        <f>VLOOKUP(A39,'K19'!$A$4:$BX$425,31,FALSE)</f>
        <v>0</v>
      </c>
      <c r="H39" s="289">
        <f>VLOOKUP(A39,'K19'!$A$4:$BX$425,32,FALSE)</f>
        <v>0</v>
      </c>
      <c r="I39" s="289">
        <f>VLOOKUP(A39,'K19'!$A$4:$BX$425,65,FALSE)</f>
        <v>0</v>
      </c>
      <c r="J39" s="289">
        <f>VLOOKUP(A39,K0kommunestruktur2020!$A$4:$P$359,14,FALSE)</f>
        <v>242024</v>
      </c>
      <c r="K39" s="517"/>
      <c r="L39">
        <v>0</v>
      </c>
      <c r="M39" s="5">
        <f t="shared" si="0"/>
        <v>0</v>
      </c>
    </row>
    <row r="40" spans="1:13" ht="13">
      <c r="A40" s="1">
        <v>1532</v>
      </c>
      <c r="B40" s="2" t="s">
        <v>99</v>
      </c>
      <c r="C40" s="289">
        <f>VLOOKUP(A40,K0kommunestruktur2020!$A$4:$P$359,11,FALSE)</f>
        <v>8292</v>
      </c>
      <c r="D40" s="289">
        <f>VLOOKUP(A40,'K19'!$A$4:$BX$425,24,FALSE)</f>
        <v>250</v>
      </c>
      <c r="E40" s="289"/>
      <c r="F40" s="289">
        <f>VLOOKUP(A40,K0kommunestruktur2020!$A$4:$P$359,12,FALSE)</f>
        <v>225895</v>
      </c>
      <c r="G40" s="289">
        <f>VLOOKUP(A40,'K19'!$A$4:$BX$425,31,FALSE)</f>
        <v>608</v>
      </c>
      <c r="H40" s="289">
        <f>VLOOKUP(A40,'K19'!$A$4:$BX$425,32,FALSE)</f>
        <v>0</v>
      </c>
      <c r="I40" s="289">
        <f>VLOOKUP(A40,'K19'!$A$4:$BX$425,65,FALSE)</f>
        <v>0</v>
      </c>
      <c r="J40" s="289">
        <f>VLOOKUP(A40,K0kommunestruktur2020!$A$4:$P$359,14,FALSE)</f>
        <v>241624</v>
      </c>
      <c r="K40" s="517"/>
      <c r="L40">
        <v>0</v>
      </c>
      <c r="M40" s="5">
        <f t="shared" si="0"/>
        <v>0</v>
      </c>
    </row>
    <row r="41" spans="1:13" ht="13">
      <c r="A41" s="1">
        <v>1535</v>
      </c>
      <c r="B41" s="2" t="s">
        <v>101</v>
      </c>
      <c r="C41" s="289">
        <f>VLOOKUP(A41,K0kommunestruktur2020!$A$4:$P$359,11,FALSE)</f>
        <v>6559</v>
      </c>
      <c r="D41" s="289">
        <f>VLOOKUP(A41,'K19'!$A$4:$BX$425,24,FALSE)</f>
        <v>3700</v>
      </c>
      <c r="E41" s="289"/>
      <c r="F41" s="289">
        <f>VLOOKUP(A41,K0kommunestruktur2020!$A$4:$P$359,12,FALSE)</f>
        <v>176646</v>
      </c>
      <c r="G41" s="289">
        <f>VLOOKUP(A41,'K19'!$A$4:$BX$425,31,FALSE)</f>
        <v>0</v>
      </c>
      <c r="H41" s="289">
        <f>VLOOKUP(A41,'K19'!$A$4:$BX$425,32,FALSE)</f>
        <v>0</v>
      </c>
      <c r="I41" s="289">
        <f>VLOOKUP(A41,'K19'!$A$4:$BX$425,65,FALSE)</f>
        <v>0</v>
      </c>
      <c r="J41" s="289">
        <f>VLOOKUP(A41,K0kommunestruktur2020!$A$4:$P$359,14,FALSE)</f>
        <v>194195</v>
      </c>
      <c r="K41" s="517"/>
      <c r="L41">
        <v>0</v>
      </c>
      <c r="M41" s="5">
        <f t="shared" si="0"/>
        <v>0</v>
      </c>
    </row>
    <row r="42" spans="1:13" ht="13">
      <c r="A42" s="1">
        <v>1539</v>
      </c>
      <c r="B42" s="2" t="s">
        <v>102</v>
      </c>
      <c r="C42" s="289">
        <f>VLOOKUP(A42,K0kommunestruktur2020!$A$4:$P$359,11,FALSE)</f>
        <v>7507</v>
      </c>
      <c r="D42" s="289">
        <f>VLOOKUP(A42,'K19'!$A$4:$BX$425,24,FALSE)</f>
        <v>130</v>
      </c>
      <c r="E42" s="289"/>
      <c r="F42" s="289">
        <f>VLOOKUP(A42,K0kommunestruktur2020!$A$4:$P$359,12,FALSE)</f>
        <v>207857</v>
      </c>
      <c r="G42" s="289">
        <f>VLOOKUP(A42,'K19'!$A$4:$BX$425,31,FALSE)</f>
        <v>0</v>
      </c>
      <c r="H42" s="289">
        <f>VLOOKUP(A42,'K19'!$A$4:$BX$425,32,FALSE)</f>
        <v>0</v>
      </c>
      <c r="I42" s="289">
        <f>VLOOKUP(A42,'K19'!$A$4:$BX$425,65,FALSE)</f>
        <v>0</v>
      </c>
      <c r="J42" s="289">
        <f>VLOOKUP(A42,K0kommunestruktur2020!$A$4:$P$359,14,FALSE)</f>
        <v>214556</v>
      </c>
      <c r="K42" s="517"/>
      <c r="L42">
        <v>0</v>
      </c>
      <c r="M42" s="5">
        <f t="shared" si="0"/>
        <v>0</v>
      </c>
    </row>
    <row r="43" spans="1:13" ht="13">
      <c r="A43" s="1">
        <v>1547</v>
      </c>
      <c r="B43" s="2" t="s">
        <v>106</v>
      </c>
      <c r="C43" s="289">
        <f>VLOOKUP(A43,K0kommunestruktur2020!$A$4:$P$359,11,FALSE)</f>
        <v>3569.0610341900001</v>
      </c>
      <c r="D43" s="289">
        <f>VLOOKUP(A43,'K19'!$A$4:$BX$425,24,FALSE)</f>
        <v>0</v>
      </c>
      <c r="E43" s="289"/>
      <c r="F43" s="289">
        <f>VLOOKUP(A43,K0kommunestruktur2020!$A$4:$P$359,12,FALSE)</f>
        <v>97395.130262773833</v>
      </c>
      <c r="G43" s="289">
        <f>VLOOKUP(A43,'K19'!$A$4:$BX$425,31,FALSE)</f>
        <v>0</v>
      </c>
      <c r="H43" s="289">
        <f>VLOOKUP(A43,'K19'!$A$4:$BX$425,32,FALSE)</f>
        <v>0</v>
      </c>
      <c r="I43" s="289">
        <f>VLOOKUP(A43,'K19'!$A$4:$BX$425,65,FALSE)</f>
        <v>0</v>
      </c>
      <c r="J43" s="289">
        <f>VLOOKUP(A43,K0kommunestruktur2020!$A$4:$P$359,14,FALSE)</f>
        <v>106749.74258265046</v>
      </c>
      <c r="K43" s="517"/>
      <c r="L43">
        <v>0</v>
      </c>
      <c r="M43" s="5">
        <f t="shared" si="0"/>
        <v>0</v>
      </c>
    </row>
    <row r="44" spans="1:13" ht="13">
      <c r="A44" s="1">
        <v>1554</v>
      </c>
      <c r="B44" s="2" t="s">
        <v>109</v>
      </c>
      <c r="C44" s="289">
        <f>VLOOKUP(A44,K0kommunestruktur2020!$A$4:$P$359,11,FALSE)</f>
        <v>5859</v>
      </c>
      <c r="D44" s="289">
        <f>VLOOKUP(A44,'K19'!$A$4:$BX$425,24,FALSE)</f>
        <v>700</v>
      </c>
      <c r="E44" s="289"/>
      <c r="F44" s="289">
        <f>VLOOKUP(A44,K0kommunestruktur2020!$A$4:$P$359,12,FALSE)</f>
        <v>153466</v>
      </c>
      <c r="G44" s="289">
        <f>VLOOKUP(A44,'K19'!$A$4:$BX$425,31,FALSE)</f>
        <v>0</v>
      </c>
      <c r="H44" s="289">
        <f>VLOOKUP(A44,'K19'!$A$4:$BX$425,32,FALSE)</f>
        <v>0</v>
      </c>
      <c r="I44" s="289">
        <f>VLOOKUP(A44,'K19'!$A$4:$BX$425,65,FALSE)</f>
        <v>0</v>
      </c>
      <c r="J44" s="289">
        <f>VLOOKUP(A44,K0kommunestruktur2020!$A$4:$P$359,14,FALSE)</f>
        <v>163113</v>
      </c>
      <c r="K44" s="517"/>
      <c r="L44">
        <v>0</v>
      </c>
      <c r="M44" s="5">
        <f t="shared" si="0"/>
        <v>0</v>
      </c>
    </row>
    <row r="45" spans="1:13" ht="13">
      <c r="A45" s="1">
        <v>1557</v>
      </c>
      <c r="B45" s="2" t="s">
        <v>110</v>
      </c>
      <c r="C45" s="289">
        <f>VLOOKUP(A45,K0kommunestruktur2020!$A$4:$P$359,11,FALSE)</f>
        <v>2623</v>
      </c>
      <c r="D45" s="289">
        <f>VLOOKUP(A45,'K19'!$A$4:$BX$425,24,FALSE)</f>
        <v>1100</v>
      </c>
      <c r="E45" s="289"/>
      <c r="F45" s="289">
        <f>VLOOKUP(A45,K0kommunestruktur2020!$A$4:$P$359,12,FALSE)</f>
        <v>63780</v>
      </c>
      <c r="G45" s="289">
        <f>VLOOKUP(A45,'K19'!$A$4:$BX$425,31,FALSE)</f>
        <v>0</v>
      </c>
      <c r="H45" s="289">
        <f>VLOOKUP(A45,'K19'!$A$4:$BX$425,32,FALSE)</f>
        <v>0</v>
      </c>
      <c r="I45" s="289">
        <f>VLOOKUP(A45,'K19'!$A$4:$BX$425,65,FALSE)</f>
        <v>0</v>
      </c>
      <c r="J45" s="289">
        <f>VLOOKUP(A45,K0kommunestruktur2020!$A$4:$P$359,14,FALSE)</f>
        <v>65161</v>
      </c>
      <c r="K45" s="517"/>
      <c r="L45">
        <v>0</v>
      </c>
      <c r="M45" s="5">
        <f t="shared" si="0"/>
        <v>0</v>
      </c>
    </row>
    <row r="46" spans="1:13" ht="13">
      <c r="A46" s="1">
        <v>1560</v>
      </c>
      <c r="B46" s="2" t="s">
        <v>111</v>
      </c>
      <c r="C46" s="289">
        <f>VLOOKUP(A46,K0kommunestruktur2020!$A$4:$P$359,11,FALSE)</f>
        <v>3078</v>
      </c>
      <c r="D46" s="289">
        <f>VLOOKUP(A46,'K19'!$A$4:$BX$425,24,FALSE)</f>
        <v>100</v>
      </c>
      <c r="E46" s="289"/>
      <c r="F46" s="289">
        <f>VLOOKUP(A46,K0kommunestruktur2020!$A$4:$P$359,12,FALSE)</f>
        <v>70887</v>
      </c>
      <c r="G46" s="289">
        <f>VLOOKUP(A46,'K19'!$A$4:$BX$425,31,FALSE)</f>
        <v>0</v>
      </c>
      <c r="H46" s="289">
        <f>VLOOKUP(A46,'K19'!$A$4:$BX$425,32,FALSE)</f>
        <v>0</v>
      </c>
      <c r="I46" s="289">
        <f>VLOOKUP(A46,'K19'!$A$4:$BX$425,65,FALSE)</f>
        <v>0</v>
      </c>
      <c r="J46" s="289">
        <f>VLOOKUP(A46,K0kommunestruktur2020!$A$4:$P$359,14,FALSE)</f>
        <v>75985</v>
      </c>
      <c r="K46" s="517"/>
      <c r="L46">
        <v>0</v>
      </c>
      <c r="M46" s="5">
        <f t="shared" si="0"/>
        <v>0</v>
      </c>
    </row>
    <row r="47" spans="1:13" ht="13">
      <c r="A47" s="1">
        <v>1563</v>
      </c>
      <c r="B47" s="2" t="s">
        <v>112</v>
      </c>
      <c r="C47" s="289">
        <f>VLOOKUP(A47,K0kommunestruktur2020!$A$4:$P$359,11,FALSE)</f>
        <v>7119</v>
      </c>
      <c r="D47" s="289">
        <f>VLOOKUP(A47,'K19'!$A$4:$BX$425,24,FALSE)</f>
        <v>1830</v>
      </c>
      <c r="E47" s="289"/>
      <c r="F47" s="289">
        <f>VLOOKUP(A47,K0kommunestruktur2020!$A$4:$P$359,12,FALSE)</f>
        <v>203672</v>
      </c>
      <c r="G47" s="289">
        <f>VLOOKUP(A47,'K19'!$A$4:$BX$425,31,FALSE)</f>
        <v>0</v>
      </c>
      <c r="H47" s="289">
        <f>VLOOKUP(A47,'K19'!$A$4:$BX$425,32,FALSE)</f>
        <v>0</v>
      </c>
      <c r="I47" s="289">
        <f>VLOOKUP(A47,'K19'!$A$4:$BX$425,65,FALSE)</f>
        <v>0</v>
      </c>
      <c r="J47" s="289">
        <f>VLOOKUP(A47,K0kommunestruktur2020!$A$4:$P$359,14,FALSE)</f>
        <v>207823</v>
      </c>
      <c r="K47" s="517"/>
      <c r="L47">
        <v>0</v>
      </c>
      <c r="M47" s="5">
        <f t="shared" si="0"/>
        <v>0</v>
      </c>
    </row>
    <row r="48" spans="1:13" ht="13">
      <c r="A48" s="1">
        <v>1566</v>
      </c>
      <c r="B48" s="2" t="s">
        <v>113</v>
      </c>
      <c r="C48" s="289">
        <f>VLOOKUP(A48,K0kommunestruktur2020!$A$4:$P$359,11,FALSE)</f>
        <v>5978</v>
      </c>
      <c r="D48" s="289">
        <f>VLOOKUP(A48,'K19'!$A$4:$BX$425,24,FALSE)</f>
        <v>2080</v>
      </c>
      <c r="E48" s="289"/>
      <c r="F48" s="289">
        <f>VLOOKUP(A48,K0kommunestruktur2020!$A$4:$P$359,12,FALSE)</f>
        <v>157123</v>
      </c>
      <c r="G48" s="289">
        <f>VLOOKUP(A48,'K19'!$A$4:$BX$425,31,FALSE)</f>
        <v>0</v>
      </c>
      <c r="H48" s="289">
        <f>VLOOKUP(A48,'K19'!$A$4:$BX$425,32,FALSE)</f>
        <v>0</v>
      </c>
      <c r="I48" s="289">
        <f>VLOOKUP(A48,'K19'!$A$4:$BX$425,65,FALSE)</f>
        <v>0</v>
      </c>
      <c r="J48" s="289">
        <f>VLOOKUP(A48,K0kommunestruktur2020!$A$4:$P$359,14,FALSE)</f>
        <v>151417</v>
      </c>
      <c r="K48" s="517"/>
      <c r="L48">
        <v>0</v>
      </c>
      <c r="M48" s="5">
        <f t="shared" si="0"/>
        <v>0</v>
      </c>
    </row>
    <row r="49" spans="1:13" ht="13">
      <c r="A49" s="1">
        <v>1573</v>
      </c>
      <c r="B49" s="2" t="s">
        <v>116</v>
      </c>
      <c r="C49" s="289">
        <f>VLOOKUP(A49,K0kommunestruktur2020!$A$4:$P$359,11,FALSE)</f>
        <v>2172</v>
      </c>
      <c r="D49" s="289">
        <f>VLOOKUP(A49,'K19'!$A$4:$BX$425,24,FALSE)</f>
        <v>100</v>
      </c>
      <c r="E49" s="289"/>
      <c r="F49" s="289">
        <f>VLOOKUP(A49,K0kommunestruktur2020!$A$4:$P$359,12,FALSE)</f>
        <v>54874</v>
      </c>
      <c r="G49" s="289">
        <f>VLOOKUP(A49,'K19'!$A$4:$BX$425,31,FALSE)</f>
        <v>0</v>
      </c>
      <c r="H49" s="289">
        <f>VLOOKUP(A49,'K19'!$A$4:$BX$425,32,FALSE)</f>
        <v>0</v>
      </c>
      <c r="I49" s="289">
        <f>VLOOKUP(A49,'K19'!$A$4:$BX$425,65,FALSE)</f>
        <v>0</v>
      </c>
      <c r="J49" s="289">
        <f>VLOOKUP(A49,K0kommunestruktur2020!$A$4:$P$359,14,FALSE)</f>
        <v>56072</v>
      </c>
      <c r="K49" s="517"/>
      <c r="L49">
        <v>0</v>
      </c>
      <c r="M49" s="5">
        <f t="shared" si="0"/>
        <v>0</v>
      </c>
    </row>
    <row r="50" spans="1:13" ht="13">
      <c r="A50" s="1">
        <v>1576</v>
      </c>
      <c r="B50" s="4" t="s">
        <v>710</v>
      </c>
      <c r="C50" s="289">
        <f>VLOOKUP(A50,K0kommunestruktur2020!$A$4:$P$359,11,FALSE)</f>
        <v>3593</v>
      </c>
      <c r="D50" s="289">
        <f>VLOOKUP(A50,'K19'!$A$4:$BX$425,24,FALSE)</f>
        <v>100</v>
      </c>
      <c r="E50" s="289"/>
      <c r="F50" s="289">
        <f>VLOOKUP(A50,K0kommunestruktur2020!$A$4:$P$359,12,FALSE)</f>
        <v>90980</v>
      </c>
      <c r="G50" s="289">
        <f>VLOOKUP(A50,'K19'!$A$4:$BX$425,31,FALSE)</f>
        <v>0</v>
      </c>
      <c r="H50" s="289">
        <f>VLOOKUP(A50,'K19'!$A$4:$BX$425,32,FALSE)</f>
        <v>25141.8308392</v>
      </c>
      <c r="I50" s="289">
        <f>VLOOKUP(A50,'K19'!$A$4:$BX$425,65,FALSE)</f>
        <v>0</v>
      </c>
      <c r="J50" s="289">
        <f>VLOOKUP(A50,K0kommunestruktur2020!$A$4:$P$359,14,FALSE)</f>
        <v>94244</v>
      </c>
      <c r="K50" s="517"/>
      <c r="L50">
        <v>25141.8308</v>
      </c>
      <c r="M50" s="961">
        <f t="shared" si="0"/>
        <v>3.9200000173877925E-5</v>
      </c>
    </row>
    <row r="51" spans="1:13" ht="13">
      <c r="A51" s="878">
        <v>1577</v>
      </c>
      <c r="B51" s="883" t="s">
        <v>1613</v>
      </c>
      <c r="C51" s="919">
        <f>VLOOKUP(A51,K0kommunestruktur2020!$A$4:$P$359,11,FALSE)</f>
        <v>10468.14204271</v>
      </c>
      <c r="D51" s="919">
        <f>+D371</f>
        <v>2050</v>
      </c>
      <c r="E51" s="919"/>
      <c r="F51" s="919">
        <f>VLOOKUP(A51,K0kommunestruktur2020!$A$4:$P$359,12,FALSE)</f>
        <v>251795.02985797075</v>
      </c>
      <c r="G51" s="919">
        <f t="shared" ref="G51:H51" si="7">+G371</f>
        <v>0</v>
      </c>
      <c r="H51" s="919">
        <f t="shared" si="7"/>
        <v>0</v>
      </c>
      <c r="I51" s="919">
        <f t="shared" ref="I51" si="8">+I371</f>
        <v>3839</v>
      </c>
      <c r="J51" s="919">
        <f>VLOOKUP(A51,K0kommunestruktur2020!$A$4:$P$359,14,FALSE)</f>
        <v>258006.41704512513</v>
      </c>
      <c r="K51" s="517"/>
      <c r="L51">
        <v>0</v>
      </c>
      <c r="M51" s="5">
        <f t="shared" si="0"/>
        <v>0</v>
      </c>
    </row>
    <row r="52" spans="1:13" ht="13">
      <c r="A52" s="878">
        <v>1578</v>
      </c>
      <c r="B52" s="883" t="s">
        <v>1614</v>
      </c>
      <c r="C52" s="919">
        <f>VLOOKUP(A52,K0kommunestruktur2020!$A$4:$P$359,11,FALSE)</f>
        <v>2642</v>
      </c>
      <c r="D52" s="919">
        <f>+D372</f>
        <v>2530</v>
      </c>
      <c r="E52" s="919"/>
      <c r="F52" s="919">
        <f>VLOOKUP(A52,K0kommunestruktur2020!$A$4:$P$359,12,FALSE)</f>
        <v>70869</v>
      </c>
      <c r="G52" s="919">
        <f t="shared" ref="G52:H52" si="9">+G372</f>
        <v>0</v>
      </c>
      <c r="H52" s="919">
        <f t="shared" si="9"/>
        <v>0</v>
      </c>
      <c r="I52" s="919">
        <f t="shared" ref="I52" si="10">+I372</f>
        <v>0</v>
      </c>
      <c r="J52" s="919">
        <f>VLOOKUP(A52,K0kommunestruktur2020!$A$4:$P$359,14,FALSE)</f>
        <v>68700</v>
      </c>
      <c r="K52" s="517"/>
      <c r="L52">
        <v>0</v>
      </c>
      <c r="M52" s="5">
        <f t="shared" si="0"/>
        <v>0</v>
      </c>
    </row>
    <row r="53" spans="1:13" ht="13">
      <c r="A53" s="878">
        <v>1579</v>
      </c>
      <c r="B53" s="883" t="s">
        <v>1615</v>
      </c>
      <c r="C53" s="919">
        <f>VLOOKUP(A53,K0kommunestruktur2020!$A$4:$P$359,11,FALSE)</f>
        <v>13215</v>
      </c>
      <c r="D53" s="919">
        <f>+D373</f>
        <v>3850</v>
      </c>
      <c r="E53" s="919"/>
      <c r="F53" s="919">
        <f>VLOOKUP(A53,K0kommunestruktur2020!$A$4:$P$359,12,FALSE)</f>
        <v>339908</v>
      </c>
      <c r="G53" s="919">
        <f t="shared" ref="G53:H53" si="11">+G373</f>
        <v>0</v>
      </c>
      <c r="H53" s="919">
        <f t="shared" si="11"/>
        <v>0</v>
      </c>
      <c r="I53" s="919">
        <f t="shared" ref="I53" si="12">+I373</f>
        <v>4026</v>
      </c>
      <c r="J53" s="919">
        <f>VLOOKUP(A53,K0kommunestruktur2020!$A$4:$P$359,14,FALSE)</f>
        <v>346385</v>
      </c>
      <c r="K53" s="517"/>
      <c r="L53">
        <v>0</v>
      </c>
      <c r="M53" s="5">
        <f t="shared" si="0"/>
        <v>0</v>
      </c>
    </row>
    <row r="54" spans="1:13" ht="13">
      <c r="A54" s="1">
        <v>1804</v>
      </c>
      <c r="B54" s="2" t="s">
        <v>174</v>
      </c>
      <c r="C54" s="289">
        <f>VLOOKUP(A54,K0kommunestruktur2020!$A$4:$P$359,11,FALSE)</f>
        <v>51558</v>
      </c>
      <c r="D54" s="289">
        <f>VLOOKUP(A54,'K19'!$A$4:$BX$425,24,FALSE)</f>
        <v>0</v>
      </c>
      <c r="E54" s="289"/>
      <c r="F54" s="289">
        <f>VLOOKUP(A54,K0kommunestruktur2020!$A$4:$P$359,12,FALSE)</f>
        <v>1519251</v>
      </c>
      <c r="G54" s="289">
        <f>VLOOKUP(A54,'K19'!$A$4:$BX$425,31,FALSE)</f>
        <v>0</v>
      </c>
      <c r="H54" s="289">
        <f>VLOOKUP(A54,'K19'!$A$4:$BX$425,32,FALSE)</f>
        <v>15088.7105827</v>
      </c>
      <c r="I54" s="289">
        <f>VLOOKUP(A54,'K19'!$A$4:$BX$425,65,FALSE)</f>
        <v>0</v>
      </c>
      <c r="J54" s="289">
        <f>VLOOKUP(A54,K0kommunestruktur2020!$A$4:$P$359,14,FALSE)</f>
        <v>1602846</v>
      </c>
      <c r="K54" s="517"/>
      <c r="L54">
        <v>15088.7106</v>
      </c>
      <c r="M54" s="961">
        <f t="shared" si="0"/>
        <v>-1.7300000763498247E-5</v>
      </c>
    </row>
    <row r="55" spans="1:13" ht="13">
      <c r="A55" s="878">
        <v>1806</v>
      </c>
      <c r="B55" s="883" t="s">
        <v>1616</v>
      </c>
      <c r="C55" s="919">
        <f>VLOOKUP(A55,K0kommunestruktur2020!$A$4:$P$359,11,FALSE)</f>
        <v>22062.945454550001</v>
      </c>
      <c r="D55" s="919">
        <f>+D374</f>
        <v>2960.4935064935062</v>
      </c>
      <c r="E55" s="919"/>
      <c r="F55" s="919">
        <f>VLOOKUP(A55,K0kommunestruktur2020!$A$4:$P$359,12,FALSE)</f>
        <v>598271.44415584416</v>
      </c>
      <c r="G55" s="919">
        <f>+G374</f>
        <v>0</v>
      </c>
      <c r="H55" s="919">
        <f>+H374</f>
        <v>0</v>
      </c>
      <c r="I55" s="919">
        <f>+I374</f>
        <v>4610</v>
      </c>
      <c r="J55" s="919">
        <f>VLOOKUP(A55,K0kommunestruktur2020!$A$4:$P$359,14,FALSE)</f>
        <v>597858.44018008653</v>
      </c>
      <c r="K55" s="517"/>
      <c r="L55">
        <v>0</v>
      </c>
      <c r="M55" s="5">
        <f t="shared" si="0"/>
        <v>0</v>
      </c>
    </row>
    <row r="56" spans="1:13" ht="13">
      <c r="A56" s="1">
        <v>1811</v>
      </c>
      <c r="B56" s="2" t="s">
        <v>176</v>
      </c>
      <c r="C56" s="289">
        <f>VLOOKUP(A56,K0kommunestruktur2020!$A$4:$P$359,11,FALSE)</f>
        <v>1486</v>
      </c>
      <c r="D56" s="289">
        <f>VLOOKUP(A56,'K19'!$A$4:$BX$425,24,FALSE)</f>
        <v>0</v>
      </c>
      <c r="E56" s="289"/>
      <c r="F56" s="289">
        <f>VLOOKUP(A56,K0kommunestruktur2020!$A$4:$P$359,12,FALSE)</f>
        <v>40198</v>
      </c>
      <c r="G56" s="289">
        <f>VLOOKUP(A56,'K19'!$A$4:$BX$425,31,FALSE)</f>
        <v>0</v>
      </c>
      <c r="H56" s="289">
        <f>VLOOKUP(A56,'K19'!$A$4:$BX$425,32,FALSE)</f>
        <v>0</v>
      </c>
      <c r="I56" s="289">
        <f>VLOOKUP(A56,'K19'!$A$4:$BX$425,65,FALSE)</f>
        <v>0</v>
      </c>
      <c r="J56" s="289">
        <f>VLOOKUP(A56,K0kommunestruktur2020!$A$4:$P$359,14,FALSE)</f>
        <v>38970</v>
      </c>
      <c r="K56" s="517"/>
      <c r="L56">
        <v>0</v>
      </c>
      <c r="M56" s="5">
        <f t="shared" si="0"/>
        <v>0</v>
      </c>
    </row>
    <row r="57" spans="1:13" ht="13">
      <c r="A57" s="1">
        <v>1812</v>
      </c>
      <c r="B57" s="2" t="s">
        <v>177</v>
      </c>
      <c r="C57" s="289">
        <f>VLOOKUP(A57,K0kommunestruktur2020!$A$4:$P$359,11,FALSE)</f>
        <v>2020</v>
      </c>
      <c r="D57" s="289">
        <f>VLOOKUP(A57,'K19'!$A$4:$BX$425,24,FALSE)</f>
        <v>0</v>
      </c>
      <c r="E57" s="289"/>
      <c r="F57" s="289">
        <f>VLOOKUP(A57,K0kommunestruktur2020!$A$4:$P$359,12,FALSE)</f>
        <v>44273</v>
      </c>
      <c r="G57" s="289">
        <f>VLOOKUP(A57,'K19'!$A$4:$BX$425,31,FALSE)</f>
        <v>0</v>
      </c>
      <c r="H57" s="289">
        <f>VLOOKUP(A57,'K19'!$A$4:$BX$425,32,FALSE)</f>
        <v>0</v>
      </c>
      <c r="I57" s="289">
        <f>VLOOKUP(A57,'K19'!$A$4:$BX$425,65,FALSE)</f>
        <v>0</v>
      </c>
      <c r="J57" s="289">
        <f>VLOOKUP(A57,K0kommunestruktur2020!$A$4:$P$359,14,FALSE)</f>
        <v>46881</v>
      </c>
      <c r="K57" s="517"/>
      <c r="L57">
        <v>0</v>
      </c>
      <c r="M57" s="5">
        <f t="shared" si="0"/>
        <v>0</v>
      </c>
    </row>
    <row r="58" spans="1:13" ht="13">
      <c r="A58" s="1">
        <v>1813</v>
      </c>
      <c r="B58" s="2" t="s">
        <v>178</v>
      </c>
      <c r="C58" s="289">
        <f>VLOOKUP(A58,K0kommunestruktur2020!$A$4:$P$359,11,FALSE)</f>
        <v>7948</v>
      </c>
      <c r="D58" s="289">
        <f>VLOOKUP(A58,'K19'!$A$4:$BX$425,24,FALSE)</f>
        <v>0</v>
      </c>
      <c r="E58" s="289"/>
      <c r="F58" s="289">
        <f>VLOOKUP(A58,K0kommunestruktur2020!$A$4:$P$359,12,FALSE)</f>
        <v>197077</v>
      </c>
      <c r="G58" s="289">
        <f>VLOOKUP(A58,'K19'!$A$4:$BX$425,31,FALSE)</f>
        <v>0</v>
      </c>
      <c r="H58" s="289">
        <f>VLOOKUP(A58,'K19'!$A$4:$BX$425,32,FALSE)</f>
        <v>0</v>
      </c>
      <c r="I58" s="289">
        <f>VLOOKUP(A58,'K19'!$A$4:$BX$425,65,FALSE)</f>
        <v>0</v>
      </c>
      <c r="J58" s="289">
        <f>VLOOKUP(A58,K0kommunestruktur2020!$A$4:$P$359,14,FALSE)</f>
        <v>198525</v>
      </c>
      <c r="K58" s="517"/>
      <c r="L58">
        <v>0</v>
      </c>
      <c r="M58" s="5">
        <f t="shared" si="0"/>
        <v>0</v>
      </c>
    </row>
    <row r="59" spans="1:13" ht="13">
      <c r="A59" s="1">
        <v>1815</v>
      </c>
      <c r="B59" s="2" t="s">
        <v>179</v>
      </c>
      <c r="C59" s="289">
        <f>VLOOKUP(A59,K0kommunestruktur2020!$A$4:$P$359,11,FALSE)</f>
        <v>1221</v>
      </c>
      <c r="D59" s="289">
        <f>VLOOKUP(A59,'K19'!$A$4:$BX$425,24,FALSE)</f>
        <v>809</v>
      </c>
      <c r="E59" s="289"/>
      <c r="F59" s="289">
        <f>VLOOKUP(A59,K0kommunestruktur2020!$A$4:$P$359,12,FALSE)</f>
        <v>26288</v>
      </c>
      <c r="G59" s="289">
        <f>VLOOKUP(A59,'K19'!$A$4:$BX$425,31,FALSE)</f>
        <v>0</v>
      </c>
      <c r="H59" s="289">
        <f>VLOOKUP(A59,'K19'!$A$4:$BX$425,32,FALSE)</f>
        <v>0</v>
      </c>
      <c r="I59" s="289">
        <f>VLOOKUP(A59,'K19'!$A$4:$BX$425,65,FALSE)</f>
        <v>0</v>
      </c>
      <c r="J59" s="289">
        <f>VLOOKUP(A59,K0kommunestruktur2020!$A$4:$P$359,14,FALSE)</f>
        <v>27921</v>
      </c>
      <c r="K59" s="517"/>
      <c r="L59">
        <v>0</v>
      </c>
      <c r="M59" s="5">
        <f t="shared" si="0"/>
        <v>0</v>
      </c>
    </row>
    <row r="60" spans="1:13" ht="13">
      <c r="A60" s="1">
        <v>1816</v>
      </c>
      <c r="B60" s="2" t="s">
        <v>180</v>
      </c>
      <c r="C60" s="289">
        <f>VLOOKUP(A60,K0kommunestruktur2020!$A$4:$P$359,11,FALSE)</f>
        <v>506</v>
      </c>
      <c r="D60" s="289">
        <f>VLOOKUP(A60,'K19'!$A$4:$BX$425,24,FALSE)</f>
        <v>0</v>
      </c>
      <c r="E60" s="289"/>
      <c r="F60" s="289">
        <f>VLOOKUP(A60,K0kommunestruktur2020!$A$4:$P$359,12,FALSE)</f>
        <v>10264</v>
      </c>
      <c r="G60" s="289">
        <f>VLOOKUP(A60,'K19'!$A$4:$BX$425,31,FALSE)</f>
        <v>0</v>
      </c>
      <c r="H60" s="289">
        <f>VLOOKUP(A60,'K19'!$A$4:$BX$425,32,FALSE)</f>
        <v>0</v>
      </c>
      <c r="I60" s="289">
        <f>VLOOKUP(A60,'K19'!$A$4:$BX$425,65,FALSE)</f>
        <v>0</v>
      </c>
      <c r="J60" s="289">
        <f>VLOOKUP(A60,K0kommunestruktur2020!$A$4:$P$359,14,FALSE)</f>
        <v>13562</v>
      </c>
      <c r="K60" s="517"/>
      <c r="L60">
        <v>0</v>
      </c>
      <c r="M60" s="5">
        <f t="shared" si="0"/>
        <v>0</v>
      </c>
    </row>
    <row r="61" spans="1:13" ht="13">
      <c r="A61" s="1">
        <v>1818</v>
      </c>
      <c r="B61" s="2" t="s">
        <v>87</v>
      </c>
      <c r="C61" s="289">
        <f>VLOOKUP(A61,K0kommunestruktur2020!$A$4:$P$359,11,FALSE)</f>
        <v>1790</v>
      </c>
      <c r="D61" s="289">
        <f>VLOOKUP(A61,'K19'!$A$4:$BX$425,24,FALSE)</f>
        <v>0</v>
      </c>
      <c r="E61" s="289"/>
      <c r="F61" s="289">
        <f>VLOOKUP(A61,K0kommunestruktur2020!$A$4:$P$359,12,FALSE)</f>
        <v>51964</v>
      </c>
      <c r="G61" s="289">
        <f>VLOOKUP(A61,'K19'!$A$4:$BX$425,31,FALSE)</f>
        <v>0</v>
      </c>
      <c r="H61" s="289">
        <f>VLOOKUP(A61,'K19'!$A$4:$BX$425,32,FALSE)</f>
        <v>0</v>
      </c>
      <c r="I61" s="289">
        <f>VLOOKUP(A61,'K19'!$A$4:$BX$425,65,FALSE)</f>
        <v>0</v>
      </c>
      <c r="J61" s="289">
        <f>VLOOKUP(A61,K0kommunestruktur2020!$A$4:$P$359,14,FALSE)</f>
        <v>51439</v>
      </c>
      <c r="K61" s="517"/>
      <c r="L61">
        <v>0</v>
      </c>
      <c r="M61" s="5">
        <f t="shared" si="0"/>
        <v>0</v>
      </c>
    </row>
    <row r="62" spans="1:13" ht="13">
      <c r="A62" s="1">
        <v>1820</v>
      </c>
      <c r="B62" s="2" t="s">
        <v>181</v>
      </c>
      <c r="C62" s="289">
        <f>VLOOKUP(A62,K0kommunestruktur2020!$A$4:$P$359,11,FALSE)</f>
        <v>7450</v>
      </c>
      <c r="D62" s="289">
        <f>VLOOKUP(A62,'K19'!$A$4:$BX$425,24,FALSE)</f>
        <v>3476</v>
      </c>
      <c r="E62" s="289"/>
      <c r="F62" s="289">
        <f>VLOOKUP(A62,K0kommunestruktur2020!$A$4:$P$359,12,FALSE)</f>
        <v>184472</v>
      </c>
      <c r="G62" s="289">
        <f>VLOOKUP(A62,'K19'!$A$4:$BX$425,31,FALSE)</f>
        <v>0</v>
      </c>
      <c r="H62" s="289">
        <f>VLOOKUP(A62,'K19'!$A$4:$BX$425,32,FALSE)</f>
        <v>0</v>
      </c>
      <c r="I62" s="289">
        <f>VLOOKUP(A62,'K19'!$A$4:$BX$425,65,FALSE)</f>
        <v>0</v>
      </c>
      <c r="J62" s="289">
        <f>VLOOKUP(A62,K0kommunestruktur2020!$A$4:$P$359,14,FALSE)</f>
        <v>193762</v>
      </c>
      <c r="K62" s="517"/>
      <c r="L62">
        <v>0</v>
      </c>
      <c r="M62" s="5">
        <f t="shared" si="0"/>
        <v>0</v>
      </c>
    </row>
    <row r="63" spans="1:13" ht="13">
      <c r="A63" s="1">
        <v>1822</v>
      </c>
      <c r="B63" s="2" t="s">
        <v>182</v>
      </c>
      <c r="C63" s="289">
        <f>VLOOKUP(A63,K0kommunestruktur2020!$A$4:$P$359,11,FALSE)</f>
        <v>2307</v>
      </c>
      <c r="D63" s="289">
        <f>VLOOKUP(A63,'K19'!$A$4:$BX$425,24,FALSE)</f>
        <v>1808</v>
      </c>
      <c r="E63" s="289"/>
      <c r="F63" s="289">
        <f>VLOOKUP(A63,K0kommunestruktur2020!$A$4:$P$359,12,FALSE)</f>
        <v>47531</v>
      </c>
      <c r="G63" s="289">
        <f>VLOOKUP(A63,'K19'!$A$4:$BX$425,31,FALSE)</f>
        <v>517</v>
      </c>
      <c r="H63" s="289">
        <f>VLOOKUP(A63,'K19'!$A$4:$BX$425,32,FALSE)</f>
        <v>0</v>
      </c>
      <c r="I63" s="289">
        <f>VLOOKUP(A63,'K19'!$A$4:$BX$425,65,FALSE)</f>
        <v>0</v>
      </c>
      <c r="J63" s="289">
        <f>VLOOKUP(A63,K0kommunestruktur2020!$A$4:$P$359,14,FALSE)</f>
        <v>50052</v>
      </c>
      <c r="K63" s="517"/>
      <c r="L63">
        <v>0</v>
      </c>
      <c r="M63" s="5">
        <f t="shared" si="0"/>
        <v>0</v>
      </c>
    </row>
    <row r="64" spans="1:13" ht="13">
      <c r="A64" s="1">
        <v>1824</v>
      </c>
      <c r="B64" s="2" t="s">
        <v>183</v>
      </c>
      <c r="C64" s="289">
        <f>VLOOKUP(A64,K0kommunestruktur2020!$A$4:$P$359,11,FALSE)</f>
        <v>13448</v>
      </c>
      <c r="D64" s="289">
        <f>VLOOKUP(A64,'K19'!$A$4:$BX$425,24,FALSE)</f>
        <v>0</v>
      </c>
      <c r="E64" s="289"/>
      <c r="F64" s="289">
        <f>VLOOKUP(A64,K0kommunestruktur2020!$A$4:$P$359,12,FALSE)</f>
        <v>338074</v>
      </c>
      <c r="G64" s="289">
        <f>VLOOKUP(A64,'K19'!$A$4:$BX$425,31,FALSE)</f>
        <v>0</v>
      </c>
      <c r="H64" s="289">
        <f>VLOOKUP(A64,'K19'!$A$4:$BX$425,32,FALSE)</f>
        <v>0</v>
      </c>
      <c r="I64" s="289">
        <f>VLOOKUP(A64,'K19'!$A$4:$BX$425,65,FALSE)</f>
        <v>0</v>
      </c>
      <c r="J64" s="289">
        <f>VLOOKUP(A64,K0kommunestruktur2020!$A$4:$P$359,14,FALSE)</f>
        <v>353905</v>
      </c>
      <c r="K64" s="517"/>
      <c r="L64">
        <v>0</v>
      </c>
      <c r="M64" s="5">
        <f t="shared" si="0"/>
        <v>0</v>
      </c>
    </row>
    <row r="65" spans="1:13" ht="13">
      <c r="A65" s="1">
        <v>1825</v>
      </c>
      <c r="B65" s="2" t="s">
        <v>184</v>
      </c>
      <c r="C65" s="289">
        <f>VLOOKUP(A65,K0kommunestruktur2020!$A$4:$P$359,11,FALSE)</f>
        <v>1463</v>
      </c>
      <c r="D65" s="289">
        <f>VLOOKUP(A65,'K19'!$A$4:$BX$425,24,FALSE)</f>
        <v>0</v>
      </c>
      <c r="E65" s="289"/>
      <c r="F65" s="289">
        <f>VLOOKUP(A65,K0kommunestruktur2020!$A$4:$P$359,12,FALSE)</f>
        <v>35736</v>
      </c>
      <c r="G65" s="289">
        <f>VLOOKUP(A65,'K19'!$A$4:$BX$425,31,FALSE)</f>
        <v>0</v>
      </c>
      <c r="H65" s="289">
        <f>VLOOKUP(A65,'K19'!$A$4:$BX$425,32,FALSE)</f>
        <v>0</v>
      </c>
      <c r="I65" s="289">
        <f>VLOOKUP(A65,'K19'!$A$4:$BX$425,65,FALSE)</f>
        <v>0</v>
      </c>
      <c r="J65" s="289">
        <f>VLOOKUP(A65,K0kommunestruktur2020!$A$4:$P$359,14,FALSE)</f>
        <v>35715</v>
      </c>
      <c r="K65" s="517"/>
      <c r="L65">
        <v>0</v>
      </c>
      <c r="M65" s="5">
        <f t="shared" si="0"/>
        <v>0</v>
      </c>
    </row>
    <row r="66" spans="1:13" ht="13">
      <c r="A66" s="1">
        <v>1826</v>
      </c>
      <c r="B66" s="2" t="s">
        <v>185</v>
      </c>
      <c r="C66" s="289">
        <f>VLOOKUP(A66,K0kommunestruktur2020!$A$4:$P$359,11,FALSE)</f>
        <v>1411</v>
      </c>
      <c r="D66" s="289">
        <f>VLOOKUP(A66,'K19'!$A$4:$BX$425,24,FALSE)</f>
        <v>0</v>
      </c>
      <c r="E66" s="289"/>
      <c r="F66" s="289">
        <f>VLOOKUP(A66,K0kommunestruktur2020!$A$4:$P$359,12,FALSE)</f>
        <v>28471</v>
      </c>
      <c r="G66" s="289">
        <f>VLOOKUP(A66,'K19'!$A$4:$BX$425,31,FALSE)</f>
        <v>0</v>
      </c>
      <c r="H66" s="289">
        <f>VLOOKUP(A66,'K19'!$A$4:$BX$425,32,FALSE)</f>
        <v>0</v>
      </c>
      <c r="I66" s="289">
        <f>VLOOKUP(A66,'K19'!$A$4:$BX$425,65,FALSE)</f>
        <v>0</v>
      </c>
      <c r="J66" s="289">
        <f>VLOOKUP(A66,K0kommunestruktur2020!$A$4:$P$359,14,FALSE)</f>
        <v>29557</v>
      </c>
      <c r="K66" s="517"/>
      <c r="L66">
        <v>0</v>
      </c>
      <c r="M66" s="5">
        <f t="shared" si="0"/>
        <v>0</v>
      </c>
    </row>
    <row r="67" spans="1:13" ht="13">
      <c r="A67" s="1">
        <v>1827</v>
      </c>
      <c r="B67" s="2" t="s">
        <v>186</v>
      </c>
      <c r="C67" s="289">
        <f>VLOOKUP(A67,K0kommunestruktur2020!$A$4:$P$359,11,FALSE)</f>
        <v>1403</v>
      </c>
      <c r="D67" s="289">
        <f>VLOOKUP(A67,'K19'!$A$4:$BX$425,24,FALSE)</f>
        <v>1019</v>
      </c>
      <c r="E67" s="289"/>
      <c r="F67" s="289">
        <f>VLOOKUP(A67,K0kommunestruktur2020!$A$4:$P$359,12,FALSE)</f>
        <v>34700</v>
      </c>
      <c r="G67" s="289">
        <f>VLOOKUP(A67,'K19'!$A$4:$BX$425,31,FALSE)</f>
        <v>0</v>
      </c>
      <c r="H67" s="289">
        <f>VLOOKUP(A67,'K19'!$A$4:$BX$425,32,FALSE)</f>
        <v>0</v>
      </c>
      <c r="I67" s="289">
        <f>VLOOKUP(A67,'K19'!$A$4:$BX$425,65,FALSE)</f>
        <v>0</v>
      </c>
      <c r="J67" s="289">
        <f>VLOOKUP(A67,K0kommunestruktur2020!$A$4:$P$359,14,FALSE)</f>
        <v>43441</v>
      </c>
      <c r="K67" s="517"/>
      <c r="L67">
        <v>0</v>
      </c>
      <c r="M67" s="5">
        <f t="shared" si="0"/>
        <v>0</v>
      </c>
    </row>
    <row r="68" spans="1:13" ht="13">
      <c r="A68" s="1">
        <v>1828</v>
      </c>
      <c r="B68" s="2" t="s">
        <v>187</v>
      </c>
      <c r="C68" s="289">
        <f>VLOOKUP(A68,K0kommunestruktur2020!$A$4:$P$359,11,FALSE)</f>
        <v>1805</v>
      </c>
      <c r="D68" s="289">
        <f>VLOOKUP(A68,'K19'!$A$4:$BX$425,24,FALSE)</f>
        <v>1114</v>
      </c>
      <c r="E68" s="289"/>
      <c r="F68" s="289">
        <f>VLOOKUP(A68,K0kommunestruktur2020!$A$4:$P$359,12,FALSE)</f>
        <v>44961</v>
      </c>
      <c r="G68" s="289">
        <f>VLOOKUP(A68,'K19'!$A$4:$BX$425,31,FALSE)</f>
        <v>0</v>
      </c>
      <c r="H68" s="289">
        <f>VLOOKUP(A68,'K19'!$A$4:$BX$425,32,FALSE)</f>
        <v>0</v>
      </c>
      <c r="I68" s="289">
        <f>VLOOKUP(A68,'K19'!$A$4:$BX$425,65,FALSE)</f>
        <v>0</v>
      </c>
      <c r="J68" s="289">
        <f>VLOOKUP(A68,K0kommunestruktur2020!$A$4:$P$359,14,FALSE)</f>
        <v>43755</v>
      </c>
      <c r="K68" s="517"/>
      <c r="L68">
        <v>0</v>
      </c>
      <c r="M68" s="5">
        <f t="shared" si="0"/>
        <v>0</v>
      </c>
    </row>
    <row r="69" spans="1:13" ht="13">
      <c r="A69" s="1">
        <v>1832</v>
      </c>
      <c r="B69" s="2" t="s">
        <v>188</v>
      </c>
      <c r="C69" s="289">
        <f>VLOOKUP(A69,K0kommunestruktur2020!$A$4:$P$359,11,FALSE)</f>
        <v>4503</v>
      </c>
      <c r="D69" s="289">
        <f>VLOOKUP(A69,'K19'!$A$4:$BX$425,24,FALSE)</f>
        <v>4043</v>
      </c>
      <c r="E69" s="289"/>
      <c r="F69" s="289">
        <f>VLOOKUP(A69,K0kommunestruktur2020!$A$4:$P$359,12,FALSE)</f>
        <v>131134</v>
      </c>
      <c r="G69" s="289">
        <f>VLOOKUP(A69,'K19'!$A$4:$BX$425,31,FALSE)</f>
        <v>0</v>
      </c>
      <c r="H69" s="289">
        <f>VLOOKUP(A69,'K19'!$A$4:$BX$425,32,FALSE)</f>
        <v>0</v>
      </c>
      <c r="I69" s="289">
        <f>VLOOKUP(A69,'K19'!$A$4:$BX$425,65,FALSE)</f>
        <v>0</v>
      </c>
      <c r="J69" s="289">
        <f>VLOOKUP(A69,K0kommunestruktur2020!$A$4:$P$359,14,FALSE)</f>
        <v>131414</v>
      </c>
      <c r="K69" s="517"/>
      <c r="L69">
        <v>0</v>
      </c>
      <c r="M69" s="5">
        <f t="shared" ref="M69:M132" si="13">+H69-L69</f>
        <v>0</v>
      </c>
    </row>
    <row r="70" spans="1:13" ht="13">
      <c r="A70" s="1">
        <v>1833</v>
      </c>
      <c r="B70" s="2" t="s">
        <v>189</v>
      </c>
      <c r="C70" s="289">
        <f>VLOOKUP(A70,K0kommunestruktur2020!$A$4:$P$359,11,FALSE)</f>
        <v>26230</v>
      </c>
      <c r="D70" s="289">
        <f>VLOOKUP(A70,'K19'!$A$4:$BX$425,24,FALSE)</f>
        <v>0</v>
      </c>
      <c r="E70" s="289"/>
      <c r="F70" s="289">
        <f>VLOOKUP(A70,K0kommunestruktur2020!$A$4:$P$359,12,FALSE)</f>
        <v>691020</v>
      </c>
      <c r="G70" s="289">
        <f>VLOOKUP(A70,'K19'!$A$4:$BX$425,31,FALSE)</f>
        <v>0</v>
      </c>
      <c r="H70" s="289">
        <f>VLOOKUP(A70,'K19'!$A$4:$BX$425,32,FALSE)</f>
        <v>0</v>
      </c>
      <c r="I70" s="289">
        <f>VLOOKUP(A70,'K19'!$A$4:$BX$425,65,FALSE)</f>
        <v>0</v>
      </c>
      <c r="J70" s="289">
        <f>VLOOKUP(A70,K0kommunestruktur2020!$A$4:$P$359,14,FALSE)</f>
        <v>712344</v>
      </c>
      <c r="K70" s="517"/>
      <c r="L70">
        <v>0</v>
      </c>
      <c r="M70" s="5">
        <f t="shared" si="13"/>
        <v>0</v>
      </c>
    </row>
    <row r="71" spans="1:13" ht="13">
      <c r="A71" s="1">
        <v>1834</v>
      </c>
      <c r="B71" s="2" t="s">
        <v>190</v>
      </c>
      <c r="C71" s="289">
        <f>VLOOKUP(A71,K0kommunestruktur2020!$A$4:$P$359,11,FALSE)</f>
        <v>1920</v>
      </c>
      <c r="D71" s="289">
        <f>VLOOKUP(A71,'K19'!$A$4:$BX$425,24,FALSE)</f>
        <v>45</v>
      </c>
      <c r="E71" s="289"/>
      <c r="F71" s="289">
        <f>VLOOKUP(A71,K0kommunestruktur2020!$A$4:$P$359,12,FALSE)</f>
        <v>71323</v>
      </c>
      <c r="G71" s="289">
        <f>VLOOKUP(A71,'K19'!$A$4:$BX$425,31,FALSE)</f>
        <v>0</v>
      </c>
      <c r="H71" s="289">
        <f>VLOOKUP(A71,'K19'!$A$4:$BX$425,32,FALSE)</f>
        <v>0</v>
      </c>
      <c r="I71" s="289">
        <f>VLOOKUP(A71,'K19'!$A$4:$BX$425,65,FALSE)</f>
        <v>0</v>
      </c>
      <c r="J71" s="289">
        <f>VLOOKUP(A71,K0kommunestruktur2020!$A$4:$P$359,14,FALSE)</f>
        <v>78651</v>
      </c>
      <c r="K71" s="517"/>
      <c r="L71">
        <v>0</v>
      </c>
      <c r="M71" s="5">
        <f t="shared" si="13"/>
        <v>0</v>
      </c>
    </row>
    <row r="72" spans="1:13" ht="13">
      <c r="A72" s="1">
        <v>1835</v>
      </c>
      <c r="B72" s="2" t="s">
        <v>191</v>
      </c>
      <c r="C72" s="289">
        <f>VLOOKUP(A72,K0kommunestruktur2020!$A$4:$P$359,11,FALSE)</f>
        <v>454</v>
      </c>
      <c r="D72" s="289">
        <f>VLOOKUP(A72,'K19'!$A$4:$BX$425,24,FALSE)</f>
        <v>0</v>
      </c>
      <c r="E72" s="289"/>
      <c r="F72" s="289">
        <f>VLOOKUP(A72,K0kommunestruktur2020!$A$4:$P$359,12,FALSE)</f>
        <v>12509</v>
      </c>
      <c r="G72" s="289">
        <f>VLOOKUP(A72,'K19'!$A$4:$BX$425,31,FALSE)</f>
        <v>0</v>
      </c>
      <c r="H72" s="289">
        <f>VLOOKUP(A72,'K19'!$A$4:$BX$425,32,FALSE)</f>
        <v>0</v>
      </c>
      <c r="I72" s="289">
        <f>VLOOKUP(A72,'K19'!$A$4:$BX$425,65,FALSE)</f>
        <v>0</v>
      </c>
      <c r="J72" s="289">
        <f>VLOOKUP(A72,K0kommunestruktur2020!$A$4:$P$359,14,FALSE)</f>
        <v>12554</v>
      </c>
      <c r="K72" s="517"/>
      <c r="L72">
        <v>0</v>
      </c>
      <c r="M72" s="5">
        <f t="shared" si="13"/>
        <v>0</v>
      </c>
    </row>
    <row r="73" spans="1:13" ht="13">
      <c r="A73" s="1">
        <v>1836</v>
      </c>
      <c r="B73" s="2" t="s">
        <v>192</v>
      </c>
      <c r="C73" s="289">
        <f>VLOOKUP(A73,K0kommunestruktur2020!$A$4:$P$359,11,FALSE)</f>
        <v>1249</v>
      </c>
      <c r="D73" s="289">
        <f>VLOOKUP(A73,'K19'!$A$4:$BX$425,24,FALSE)</f>
        <v>400</v>
      </c>
      <c r="E73" s="289"/>
      <c r="F73" s="289">
        <f>VLOOKUP(A73,K0kommunestruktur2020!$A$4:$P$359,12,FALSE)</f>
        <v>28017</v>
      </c>
      <c r="G73" s="289">
        <f>VLOOKUP(A73,'K19'!$A$4:$BX$425,31,FALSE)</f>
        <v>0</v>
      </c>
      <c r="H73" s="289">
        <f>VLOOKUP(A73,'K19'!$A$4:$BX$425,32,FALSE)</f>
        <v>0</v>
      </c>
      <c r="I73" s="289">
        <f>VLOOKUP(A73,'K19'!$A$4:$BX$425,65,FALSE)</f>
        <v>0</v>
      </c>
      <c r="J73" s="289">
        <f>VLOOKUP(A73,K0kommunestruktur2020!$A$4:$P$359,14,FALSE)</f>
        <v>30314</v>
      </c>
      <c r="K73" s="517"/>
      <c r="L73">
        <v>0</v>
      </c>
      <c r="M73" s="5">
        <f t="shared" si="13"/>
        <v>0</v>
      </c>
    </row>
    <row r="74" spans="1:13" ht="13">
      <c r="A74" s="1">
        <v>1837</v>
      </c>
      <c r="B74" s="2" t="s">
        <v>193</v>
      </c>
      <c r="C74" s="289">
        <f>VLOOKUP(A74,K0kommunestruktur2020!$A$4:$P$359,11,FALSE)</f>
        <v>6346</v>
      </c>
      <c r="D74" s="289">
        <f>VLOOKUP(A74,'K19'!$A$4:$BX$425,24,FALSE)</f>
        <v>2003</v>
      </c>
      <c r="E74" s="289"/>
      <c r="F74" s="289">
        <f>VLOOKUP(A74,K0kommunestruktur2020!$A$4:$P$359,12,FALSE)</f>
        <v>179660</v>
      </c>
      <c r="G74" s="289">
        <f>VLOOKUP(A74,'K19'!$A$4:$BX$425,31,FALSE)</f>
        <v>0</v>
      </c>
      <c r="H74" s="289">
        <f>VLOOKUP(A74,'K19'!$A$4:$BX$425,32,FALSE)</f>
        <v>0</v>
      </c>
      <c r="I74" s="289">
        <f>VLOOKUP(A74,'K19'!$A$4:$BX$425,65,FALSE)</f>
        <v>0</v>
      </c>
      <c r="J74" s="289">
        <f>VLOOKUP(A74,K0kommunestruktur2020!$A$4:$P$359,14,FALSE)</f>
        <v>186474</v>
      </c>
      <c r="K74" s="517"/>
      <c r="L74">
        <v>0</v>
      </c>
      <c r="M74" s="5">
        <f t="shared" si="13"/>
        <v>0</v>
      </c>
    </row>
    <row r="75" spans="1:13" ht="13">
      <c r="A75" s="1">
        <v>1838</v>
      </c>
      <c r="B75" s="2" t="s">
        <v>194</v>
      </c>
      <c r="C75" s="289">
        <f>VLOOKUP(A75,K0kommunestruktur2020!$A$4:$P$359,11,FALSE)</f>
        <v>1998</v>
      </c>
      <c r="D75" s="289">
        <f>VLOOKUP(A75,'K19'!$A$4:$BX$425,24,FALSE)</f>
        <v>0</v>
      </c>
      <c r="E75" s="289"/>
      <c r="F75" s="289">
        <f>VLOOKUP(A75,K0kommunestruktur2020!$A$4:$P$359,12,FALSE)</f>
        <v>50262</v>
      </c>
      <c r="G75" s="289">
        <f>VLOOKUP(A75,'K19'!$A$4:$BX$425,31,FALSE)</f>
        <v>0</v>
      </c>
      <c r="H75" s="289">
        <f>VLOOKUP(A75,'K19'!$A$4:$BX$425,32,FALSE)</f>
        <v>0</v>
      </c>
      <c r="I75" s="289">
        <f>VLOOKUP(A75,'K19'!$A$4:$BX$425,65,FALSE)</f>
        <v>0</v>
      </c>
      <c r="J75" s="289">
        <f>VLOOKUP(A75,K0kommunestruktur2020!$A$4:$P$359,14,FALSE)</f>
        <v>52828</v>
      </c>
      <c r="K75" s="517"/>
      <c r="L75">
        <v>0</v>
      </c>
      <c r="M75" s="5">
        <f t="shared" si="13"/>
        <v>0</v>
      </c>
    </row>
    <row r="76" spans="1:13" ht="13">
      <c r="A76" s="1">
        <v>1839</v>
      </c>
      <c r="B76" s="2" t="s">
        <v>195</v>
      </c>
      <c r="C76" s="289">
        <f>VLOOKUP(A76,K0kommunestruktur2020!$A$4:$P$359,11,FALSE)</f>
        <v>1029</v>
      </c>
      <c r="D76" s="289">
        <f>VLOOKUP(A76,'K19'!$A$4:$BX$425,24,FALSE)</f>
        <v>380</v>
      </c>
      <c r="E76" s="289"/>
      <c r="F76" s="289">
        <f>VLOOKUP(A76,K0kommunestruktur2020!$A$4:$P$359,12,FALSE)</f>
        <v>26982</v>
      </c>
      <c r="G76" s="289">
        <f>VLOOKUP(A76,'K19'!$A$4:$BX$425,31,FALSE)</f>
        <v>0</v>
      </c>
      <c r="H76" s="289">
        <f>VLOOKUP(A76,'K19'!$A$4:$BX$425,32,FALSE)</f>
        <v>0</v>
      </c>
      <c r="I76" s="289">
        <f>VLOOKUP(A76,'K19'!$A$4:$BX$425,65,FALSE)</f>
        <v>0</v>
      </c>
      <c r="J76" s="289">
        <f>VLOOKUP(A76,K0kommunestruktur2020!$A$4:$P$359,14,FALSE)</f>
        <v>27743</v>
      </c>
      <c r="K76" s="517"/>
      <c r="L76">
        <v>0</v>
      </c>
      <c r="M76" s="5">
        <f t="shared" si="13"/>
        <v>0</v>
      </c>
    </row>
    <row r="77" spans="1:13" ht="13">
      <c r="A77" s="1">
        <v>1840</v>
      </c>
      <c r="B77" s="2" t="s">
        <v>196</v>
      </c>
      <c r="C77" s="289">
        <f>VLOOKUP(A77,K0kommunestruktur2020!$A$4:$P$359,11,FALSE)</f>
        <v>4691</v>
      </c>
      <c r="D77" s="289">
        <f>VLOOKUP(A77,'K19'!$A$4:$BX$425,24,FALSE)</f>
        <v>945</v>
      </c>
      <c r="E77" s="289"/>
      <c r="F77" s="289">
        <f>VLOOKUP(A77,K0kommunestruktur2020!$A$4:$P$359,12,FALSE)</f>
        <v>110720</v>
      </c>
      <c r="G77" s="289">
        <f>VLOOKUP(A77,'K19'!$A$4:$BX$425,31,FALSE)</f>
        <v>0</v>
      </c>
      <c r="H77" s="289">
        <f>VLOOKUP(A77,'K19'!$A$4:$BX$425,32,FALSE)</f>
        <v>0</v>
      </c>
      <c r="I77" s="289">
        <f>VLOOKUP(A77,'K19'!$A$4:$BX$425,65,FALSE)</f>
        <v>0</v>
      </c>
      <c r="J77" s="289">
        <f>VLOOKUP(A77,K0kommunestruktur2020!$A$4:$P$359,14,FALSE)</f>
        <v>111043</v>
      </c>
      <c r="K77" s="517"/>
      <c r="L77">
        <v>0</v>
      </c>
      <c r="M77" s="5">
        <f t="shared" si="13"/>
        <v>0</v>
      </c>
    </row>
    <row r="78" spans="1:13" ht="13">
      <c r="A78" s="1">
        <v>1841</v>
      </c>
      <c r="B78" s="2" t="s">
        <v>197</v>
      </c>
      <c r="C78" s="289">
        <f>VLOOKUP(A78,K0kommunestruktur2020!$A$4:$P$359,11,FALSE)</f>
        <v>9775</v>
      </c>
      <c r="D78" s="289">
        <f>VLOOKUP(A78,'K19'!$A$4:$BX$425,24,FALSE)</f>
        <v>512</v>
      </c>
      <c r="E78" s="289"/>
      <c r="F78" s="289">
        <f>VLOOKUP(A78,K0kommunestruktur2020!$A$4:$P$359,12,FALSE)</f>
        <v>257308</v>
      </c>
      <c r="G78" s="289">
        <f>VLOOKUP(A78,'K19'!$A$4:$BX$425,31,FALSE)</f>
        <v>0</v>
      </c>
      <c r="H78" s="289">
        <f>VLOOKUP(A78,'K19'!$A$4:$BX$425,32,FALSE)</f>
        <v>0</v>
      </c>
      <c r="I78" s="289">
        <f>VLOOKUP(A78,'K19'!$A$4:$BX$425,65,FALSE)</f>
        <v>0</v>
      </c>
      <c r="J78" s="289">
        <f>VLOOKUP(A78,K0kommunestruktur2020!$A$4:$P$359,14,FALSE)</f>
        <v>266024</v>
      </c>
      <c r="K78" s="517"/>
      <c r="L78">
        <v>0</v>
      </c>
      <c r="M78" s="5">
        <f t="shared" si="13"/>
        <v>0</v>
      </c>
    </row>
    <row r="79" spans="1:13" ht="13">
      <c r="A79" s="1">
        <v>1845</v>
      </c>
      <c r="B79" s="2" t="s">
        <v>198</v>
      </c>
      <c r="C79" s="289">
        <f>VLOOKUP(A79,K0kommunestruktur2020!$A$4:$P$359,11,FALSE)</f>
        <v>1979</v>
      </c>
      <c r="D79" s="289">
        <f>VLOOKUP(A79,'K19'!$A$4:$BX$425,24,FALSE)</f>
        <v>0</v>
      </c>
      <c r="E79" s="289"/>
      <c r="F79" s="289">
        <f>VLOOKUP(A79,K0kommunestruktur2020!$A$4:$P$359,12,FALSE)</f>
        <v>58654</v>
      </c>
      <c r="G79" s="289">
        <f>VLOOKUP(A79,'K19'!$A$4:$BX$425,31,FALSE)</f>
        <v>0</v>
      </c>
      <c r="H79" s="289">
        <f>VLOOKUP(A79,'K19'!$A$4:$BX$425,32,FALSE)</f>
        <v>0</v>
      </c>
      <c r="I79" s="289">
        <f>VLOOKUP(A79,'K19'!$A$4:$BX$425,65,FALSE)</f>
        <v>0</v>
      </c>
      <c r="J79" s="289">
        <f>VLOOKUP(A79,K0kommunestruktur2020!$A$4:$P$359,14,FALSE)</f>
        <v>60172</v>
      </c>
      <c r="K79" s="517"/>
      <c r="L79">
        <v>0</v>
      </c>
      <c r="M79" s="5">
        <f t="shared" si="13"/>
        <v>0</v>
      </c>
    </row>
    <row r="80" spans="1:13" ht="13">
      <c r="A80" s="1">
        <v>1848</v>
      </c>
      <c r="B80" s="2" t="s">
        <v>199</v>
      </c>
      <c r="C80" s="289">
        <f>VLOOKUP(A80,K0kommunestruktur2020!$A$4:$P$359,11,FALSE)</f>
        <v>2534</v>
      </c>
      <c r="D80" s="289">
        <f>VLOOKUP(A80,'K19'!$A$4:$BX$425,24,FALSE)</f>
        <v>6068</v>
      </c>
      <c r="E80" s="289"/>
      <c r="F80" s="289">
        <f>VLOOKUP(A80,K0kommunestruktur2020!$A$4:$P$359,12,FALSE)</f>
        <v>63418</v>
      </c>
      <c r="G80" s="289">
        <f>VLOOKUP(A80,'K19'!$A$4:$BX$425,31,FALSE)</f>
        <v>0</v>
      </c>
      <c r="H80" s="289">
        <f>VLOOKUP(A80,'K19'!$A$4:$BX$425,32,FALSE)</f>
        <v>0</v>
      </c>
      <c r="I80" s="289">
        <f>VLOOKUP(A80,'K19'!$A$4:$BX$425,65,FALSE)</f>
        <v>0</v>
      </c>
      <c r="J80" s="289">
        <f>VLOOKUP(A80,K0kommunestruktur2020!$A$4:$P$359,14,FALSE)</f>
        <v>66236</v>
      </c>
      <c r="K80" s="517"/>
      <c r="L80">
        <v>0</v>
      </c>
      <c r="M80" s="5">
        <f t="shared" si="13"/>
        <v>0</v>
      </c>
    </row>
    <row r="81" spans="1:13" ht="13">
      <c r="A81" s="1">
        <v>1851</v>
      </c>
      <c r="B81" s="2" t="s">
        <v>202</v>
      </c>
      <c r="C81" s="289">
        <f>VLOOKUP(A81,K0kommunestruktur2020!$A$4:$P$359,11,FALSE)</f>
        <v>2102</v>
      </c>
      <c r="D81" s="289">
        <f>VLOOKUP(A81,'K19'!$A$4:$BX$425,24,FALSE)</f>
        <v>587</v>
      </c>
      <c r="E81" s="289"/>
      <c r="F81" s="289">
        <f>VLOOKUP(A81,K0kommunestruktur2020!$A$4:$P$359,12,FALSE)</f>
        <v>52437</v>
      </c>
      <c r="G81" s="289">
        <f>VLOOKUP(A81,'K19'!$A$4:$BX$425,31,FALSE)</f>
        <v>0</v>
      </c>
      <c r="H81" s="289">
        <f>VLOOKUP(A81,'K19'!$A$4:$BX$425,32,FALSE)</f>
        <v>0</v>
      </c>
      <c r="I81" s="289">
        <f>VLOOKUP(A81,'K19'!$A$4:$BX$425,65,FALSE)</f>
        <v>0</v>
      </c>
      <c r="J81" s="289">
        <f>VLOOKUP(A81,K0kommunestruktur2020!$A$4:$P$359,14,FALSE)</f>
        <v>52472</v>
      </c>
      <c r="K81" s="517"/>
      <c r="L81">
        <v>0</v>
      </c>
      <c r="M81" s="5">
        <f t="shared" si="13"/>
        <v>0</v>
      </c>
    </row>
    <row r="82" spans="1:13" ht="13">
      <c r="A82" s="1">
        <v>1853</v>
      </c>
      <c r="B82" s="2" t="s">
        <v>204</v>
      </c>
      <c r="C82" s="289">
        <f>VLOOKUP(A82,K0kommunestruktur2020!$A$4:$P$359,11,FALSE)</f>
        <v>1387</v>
      </c>
      <c r="D82" s="289">
        <f>VLOOKUP(A82,'K19'!$A$4:$BX$425,24,FALSE)</f>
        <v>4421</v>
      </c>
      <c r="E82" s="289"/>
      <c r="F82" s="289">
        <f>VLOOKUP(A82,K0kommunestruktur2020!$A$4:$P$359,12,FALSE)</f>
        <v>29781</v>
      </c>
      <c r="G82" s="289">
        <f>VLOOKUP(A82,'K19'!$A$4:$BX$425,31,FALSE)</f>
        <v>0</v>
      </c>
      <c r="H82" s="289">
        <f>VLOOKUP(A82,'K19'!$A$4:$BX$425,32,FALSE)</f>
        <v>0</v>
      </c>
      <c r="I82" s="289">
        <f>VLOOKUP(A82,'K19'!$A$4:$BX$425,65,FALSE)</f>
        <v>0</v>
      </c>
      <c r="J82" s="289">
        <f>VLOOKUP(A82,K0kommunestruktur2020!$A$4:$P$359,14,FALSE)</f>
        <v>30761</v>
      </c>
      <c r="K82" s="517"/>
      <c r="L82">
        <v>0</v>
      </c>
      <c r="M82" s="5">
        <f t="shared" si="13"/>
        <v>0</v>
      </c>
    </row>
    <row r="83" spans="1:13" ht="13">
      <c r="A83" s="1">
        <v>1856</v>
      </c>
      <c r="B83" s="2" t="s">
        <v>206</v>
      </c>
      <c r="C83" s="289">
        <f>VLOOKUP(A83,K0kommunestruktur2020!$A$4:$P$359,11,FALSE)</f>
        <v>517</v>
      </c>
      <c r="D83" s="289">
        <f>VLOOKUP(A83,'K19'!$A$4:$BX$425,24,FALSE)</f>
        <v>400</v>
      </c>
      <c r="E83" s="289"/>
      <c r="F83" s="289">
        <f>VLOOKUP(A83,K0kommunestruktur2020!$A$4:$P$359,12,FALSE)</f>
        <v>16310</v>
      </c>
      <c r="G83" s="289">
        <f>VLOOKUP(A83,'K19'!$A$4:$BX$425,31,FALSE)</f>
        <v>0</v>
      </c>
      <c r="H83" s="289">
        <f>VLOOKUP(A83,'K19'!$A$4:$BX$425,32,FALSE)</f>
        <v>0</v>
      </c>
      <c r="I83" s="289">
        <f>VLOOKUP(A83,'K19'!$A$4:$BX$425,65,FALSE)</f>
        <v>0</v>
      </c>
      <c r="J83" s="289">
        <f>VLOOKUP(A83,K0kommunestruktur2020!$A$4:$P$359,14,FALSE)</f>
        <v>18474</v>
      </c>
      <c r="K83" s="517"/>
      <c r="L83">
        <v>0</v>
      </c>
      <c r="M83" s="5">
        <f t="shared" si="13"/>
        <v>0</v>
      </c>
    </row>
    <row r="84" spans="1:13" ht="13">
      <c r="A84" s="1">
        <v>1857</v>
      </c>
      <c r="B84" s="2" t="s">
        <v>207</v>
      </c>
      <c r="C84" s="289">
        <f>VLOOKUP(A84,K0kommunestruktur2020!$A$4:$P$359,11,FALSE)</f>
        <v>746</v>
      </c>
      <c r="D84" s="289">
        <f>VLOOKUP(A84,'K19'!$A$4:$BX$425,24,FALSE)</f>
        <v>400</v>
      </c>
      <c r="E84" s="289"/>
      <c r="F84" s="289">
        <f>VLOOKUP(A84,K0kommunestruktur2020!$A$4:$P$359,12,FALSE)</f>
        <v>21713</v>
      </c>
      <c r="G84" s="289">
        <f>VLOOKUP(A84,'K19'!$A$4:$BX$425,31,FALSE)</f>
        <v>0</v>
      </c>
      <c r="H84" s="289">
        <f>VLOOKUP(A84,'K19'!$A$4:$BX$425,32,FALSE)</f>
        <v>0</v>
      </c>
      <c r="I84" s="289">
        <f>VLOOKUP(A84,'K19'!$A$4:$BX$425,65,FALSE)</f>
        <v>0</v>
      </c>
      <c r="J84" s="289">
        <f>VLOOKUP(A84,K0kommunestruktur2020!$A$4:$P$359,14,FALSE)</f>
        <v>22943</v>
      </c>
      <c r="K84" s="517"/>
      <c r="L84">
        <v>0</v>
      </c>
      <c r="M84" s="5">
        <f t="shared" si="13"/>
        <v>0</v>
      </c>
    </row>
    <row r="85" spans="1:13" ht="13">
      <c r="A85" s="1">
        <v>1859</v>
      </c>
      <c r="B85" s="2" t="s">
        <v>208</v>
      </c>
      <c r="C85" s="289">
        <f>VLOOKUP(A85,K0kommunestruktur2020!$A$4:$P$359,11,FALSE)</f>
        <v>1301</v>
      </c>
      <c r="D85" s="289">
        <f>VLOOKUP(A85,'K19'!$A$4:$BX$425,24,FALSE)</f>
        <v>2363</v>
      </c>
      <c r="E85" s="289"/>
      <c r="F85" s="289">
        <f>VLOOKUP(A85,K0kommunestruktur2020!$A$4:$P$359,12,FALSE)</f>
        <v>37505</v>
      </c>
      <c r="G85" s="289">
        <f>VLOOKUP(A85,'K19'!$A$4:$BX$425,31,FALSE)</f>
        <v>0</v>
      </c>
      <c r="H85" s="289">
        <f>VLOOKUP(A85,'K19'!$A$4:$BX$425,32,FALSE)</f>
        <v>0</v>
      </c>
      <c r="I85" s="289">
        <f>VLOOKUP(A85,'K19'!$A$4:$BX$425,65,FALSE)</f>
        <v>0</v>
      </c>
      <c r="J85" s="289">
        <f>VLOOKUP(A85,K0kommunestruktur2020!$A$4:$P$359,14,FALSE)</f>
        <v>40548</v>
      </c>
      <c r="K85" s="517"/>
      <c r="L85">
        <v>0</v>
      </c>
      <c r="M85" s="5">
        <f t="shared" si="13"/>
        <v>0</v>
      </c>
    </row>
    <row r="86" spans="1:13" ht="13">
      <c r="A86" s="1">
        <v>1860</v>
      </c>
      <c r="B86" s="2" t="s">
        <v>209</v>
      </c>
      <c r="C86" s="289">
        <f>VLOOKUP(A86,K0kommunestruktur2020!$A$4:$P$359,11,FALSE)</f>
        <v>11397</v>
      </c>
      <c r="D86" s="289">
        <f>VLOOKUP(A86,'K19'!$A$4:$BX$425,24,FALSE)</f>
        <v>5334</v>
      </c>
      <c r="E86" s="289"/>
      <c r="F86" s="289">
        <f>VLOOKUP(A86,K0kommunestruktur2020!$A$4:$P$359,12,FALSE)</f>
        <v>282252</v>
      </c>
      <c r="G86" s="289">
        <f>VLOOKUP(A86,'K19'!$A$4:$BX$425,31,FALSE)</f>
        <v>0</v>
      </c>
      <c r="H86" s="289">
        <f>VLOOKUP(A86,'K19'!$A$4:$BX$425,32,FALSE)</f>
        <v>0</v>
      </c>
      <c r="I86" s="289">
        <f>VLOOKUP(A86,'K19'!$A$4:$BX$425,65,FALSE)</f>
        <v>0</v>
      </c>
      <c r="J86" s="289">
        <f>VLOOKUP(A86,K0kommunestruktur2020!$A$4:$P$359,14,FALSE)</f>
        <v>290256</v>
      </c>
      <c r="K86" s="517"/>
      <c r="L86">
        <v>0</v>
      </c>
      <c r="M86" s="5">
        <f t="shared" si="13"/>
        <v>0</v>
      </c>
    </row>
    <row r="87" spans="1:13" ht="13">
      <c r="A87" s="1">
        <v>1865</v>
      </c>
      <c r="B87" s="2" t="s">
        <v>210</v>
      </c>
      <c r="C87" s="289">
        <f>VLOOKUP(A87,K0kommunestruktur2020!$A$4:$P$359,11,FALSE)</f>
        <v>9611</v>
      </c>
      <c r="D87" s="289">
        <f>VLOOKUP(A87,'K19'!$A$4:$BX$425,24,FALSE)</f>
        <v>0</v>
      </c>
      <c r="E87" s="289"/>
      <c r="F87" s="289">
        <f>VLOOKUP(A87,K0kommunestruktur2020!$A$4:$P$359,12,FALSE)</f>
        <v>268281</v>
      </c>
      <c r="G87" s="289">
        <f>VLOOKUP(A87,'K19'!$A$4:$BX$425,31,FALSE)</f>
        <v>0</v>
      </c>
      <c r="H87" s="289">
        <f>VLOOKUP(A87,'K19'!$A$4:$BX$425,32,FALSE)</f>
        <v>0</v>
      </c>
      <c r="I87" s="289">
        <f>VLOOKUP(A87,'K19'!$A$4:$BX$425,65,FALSE)</f>
        <v>0</v>
      </c>
      <c r="J87" s="289">
        <f>VLOOKUP(A87,K0kommunestruktur2020!$A$4:$P$359,14,FALSE)</f>
        <v>278063</v>
      </c>
      <c r="K87" s="517"/>
      <c r="L87">
        <v>0</v>
      </c>
      <c r="M87" s="5">
        <f t="shared" si="13"/>
        <v>0</v>
      </c>
    </row>
    <row r="88" spans="1:13" ht="13">
      <c r="A88" s="1">
        <v>1866</v>
      </c>
      <c r="B88" s="2" t="s">
        <v>211</v>
      </c>
      <c r="C88" s="289">
        <f>VLOOKUP(A88,K0kommunestruktur2020!$A$4:$P$359,11,FALSE)</f>
        <v>8042</v>
      </c>
      <c r="D88" s="289">
        <f>VLOOKUP(A88,'K19'!$A$4:$BX$425,24,FALSE)</f>
        <v>0</v>
      </c>
      <c r="E88" s="289"/>
      <c r="F88" s="289">
        <f>VLOOKUP(A88,K0kommunestruktur2020!$A$4:$P$359,12,FALSE)</f>
        <v>188411</v>
      </c>
      <c r="G88" s="289">
        <f>VLOOKUP(A88,'K19'!$A$4:$BX$425,31,FALSE)</f>
        <v>0</v>
      </c>
      <c r="H88" s="289">
        <f>VLOOKUP(A88,'K19'!$A$4:$BX$425,32,FALSE)</f>
        <v>0</v>
      </c>
      <c r="I88" s="289">
        <f>VLOOKUP(A88,'K19'!$A$4:$BX$425,65,FALSE)</f>
        <v>0</v>
      </c>
      <c r="J88" s="289">
        <f>VLOOKUP(A88,K0kommunestruktur2020!$A$4:$P$359,14,FALSE)</f>
        <v>199930</v>
      </c>
      <c r="K88" s="517"/>
      <c r="L88">
        <v>0</v>
      </c>
      <c r="M88" s="5">
        <f t="shared" si="13"/>
        <v>0</v>
      </c>
    </row>
    <row r="89" spans="1:13" ht="13">
      <c r="A89" s="1">
        <v>1867</v>
      </c>
      <c r="B89" s="2" t="s">
        <v>913</v>
      </c>
      <c r="C89" s="289">
        <f>VLOOKUP(A89,K0kommunestruktur2020!$A$4:$P$359,11,FALSE)</f>
        <v>2623</v>
      </c>
      <c r="D89" s="289">
        <f>VLOOKUP(A89,'K19'!$A$4:$BX$425,24,FALSE)</f>
        <v>396</v>
      </c>
      <c r="E89" s="289"/>
      <c r="F89" s="289">
        <f>VLOOKUP(A89,K0kommunestruktur2020!$A$4:$P$359,12,FALSE)</f>
        <v>61567</v>
      </c>
      <c r="G89" s="289">
        <f>VLOOKUP(A89,'K19'!$A$4:$BX$425,31,FALSE)</f>
        <v>0</v>
      </c>
      <c r="H89" s="289">
        <f>VLOOKUP(A89,'K19'!$A$4:$BX$425,32,FALSE)</f>
        <v>0</v>
      </c>
      <c r="I89" s="289">
        <f>VLOOKUP(A89,'K19'!$A$4:$BX$425,65,FALSE)</f>
        <v>0</v>
      </c>
      <c r="J89" s="289">
        <f>VLOOKUP(A89,K0kommunestruktur2020!$A$4:$P$359,14,FALSE)</f>
        <v>64569</v>
      </c>
      <c r="K89" s="517"/>
      <c r="L89">
        <v>0</v>
      </c>
      <c r="M89" s="5">
        <f t="shared" si="13"/>
        <v>0</v>
      </c>
    </row>
    <row r="90" spans="1:13" ht="13">
      <c r="A90" s="1">
        <v>1868</v>
      </c>
      <c r="B90" s="2" t="s">
        <v>212</v>
      </c>
      <c r="C90" s="289">
        <f>VLOOKUP(A90,K0kommunestruktur2020!$A$4:$P$359,11,FALSE)</f>
        <v>4541</v>
      </c>
      <c r="D90" s="289">
        <f>VLOOKUP(A90,'K19'!$A$4:$BX$425,24,FALSE)</f>
        <v>0</v>
      </c>
      <c r="E90" s="289"/>
      <c r="F90" s="289">
        <f>VLOOKUP(A90,K0kommunestruktur2020!$A$4:$P$359,12,FALSE)</f>
        <v>122118</v>
      </c>
      <c r="G90" s="289">
        <f>VLOOKUP(A90,'K19'!$A$4:$BX$425,31,FALSE)</f>
        <v>0</v>
      </c>
      <c r="H90" s="289">
        <f>VLOOKUP(A90,'K19'!$A$4:$BX$425,32,FALSE)</f>
        <v>0</v>
      </c>
      <c r="I90" s="289">
        <f>VLOOKUP(A90,'K19'!$A$4:$BX$425,65,FALSE)</f>
        <v>0</v>
      </c>
      <c r="J90" s="289">
        <f>VLOOKUP(A90,K0kommunestruktur2020!$A$4:$P$359,14,FALSE)</f>
        <v>126035</v>
      </c>
      <c r="K90" s="517"/>
      <c r="L90">
        <v>0</v>
      </c>
      <c r="M90" s="5">
        <f t="shared" si="13"/>
        <v>0</v>
      </c>
    </row>
    <row r="91" spans="1:13" ht="13">
      <c r="A91" s="1">
        <v>1870</v>
      </c>
      <c r="B91" s="2" t="s">
        <v>213</v>
      </c>
      <c r="C91" s="289">
        <f>VLOOKUP(A91,K0kommunestruktur2020!$A$4:$P$359,11,FALSE)</f>
        <v>10401</v>
      </c>
      <c r="D91" s="289">
        <f>VLOOKUP(A91,'K19'!$A$4:$BX$425,24,FALSE)</f>
        <v>0</v>
      </c>
      <c r="E91" s="289"/>
      <c r="F91" s="289">
        <f>VLOOKUP(A91,K0kommunestruktur2020!$A$4:$P$359,12,FALSE)</f>
        <v>270129</v>
      </c>
      <c r="G91" s="289">
        <f>VLOOKUP(A91,'K19'!$A$4:$BX$425,31,FALSE)</f>
        <v>0</v>
      </c>
      <c r="H91" s="289">
        <f>VLOOKUP(A91,'K19'!$A$4:$BX$425,32,FALSE)</f>
        <v>0</v>
      </c>
      <c r="I91" s="289">
        <f>VLOOKUP(A91,'K19'!$A$4:$BX$425,65,FALSE)</f>
        <v>0</v>
      </c>
      <c r="J91" s="289">
        <f>VLOOKUP(A91,K0kommunestruktur2020!$A$4:$P$359,14,FALSE)</f>
        <v>279319</v>
      </c>
      <c r="K91" s="517"/>
      <c r="L91">
        <v>0</v>
      </c>
      <c r="M91" s="5">
        <f t="shared" si="13"/>
        <v>0</v>
      </c>
    </row>
    <row r="92" spans="1:13" ht="13">
      <c r="A92" s="1">
        <v>1871</v>
      </c>
      <c r="B92" s="2" t="s">
        <v>214</v>
      </c>
      <c r="C92" s="289">
        <f>VLOOKUP(A92,K0kommunestruktur2020!$A$4:$P$359,11,FALSE)</f>
        <v>4902</v>
      </c>
      <c r="D92" s="289">
        <f>VLOOKUP(A92,'K19'!$A$4:$BX$425,24,FALSE)</f>
        <v>500</v>
      </c>
      <c r="E92" s="289"/>
      <c r="F92" s="289">
        <f>VLOOKUP(A92,K0kommunestruktur2020!$A$4:$P$359,12,FALSE)</f>
        <v>134742</v>
      </c>
      <c r="G92" s="289">
        <f>VLOOKUP(A92,'K19'!$A$4:$BX$425,31,FALSE)</f>
        <v>0</v>
      </c>
      <c r="H92" s="289">
        <f>VLOOKUP(A92,'K19'!$A$4:$BX$425,32,FALSE)</f>
        <v>0</v>
      </c>
      <c r="I92" s="289">
        <f>VLOOKUP(A92,'K19'!$A$4:$BX$425,65,FALSE)</f>
        <v>0</v>
      </c>
      <c r="J92" s="289">
        <f>VLOOKUP(A92,K0kommunestruktur2020!$A$4:$P$359,14,FALSE)</f>
        <v>127446</v>
      </c>
      <c r="K92" s="517"/>
      <c r="L92">
        <v>0</v>
      </c>
      <c r="M92" s="5">
        <f t="shared" si="13"/>
        <v>0</v>
      </c>
    </row>
    <row r="93" spans="1:13" ht="13">
      <c r="A93" s="1">
        <v>1874</v>
      </c>
      <c r="B93" s="2" t="s">
        <v>215</v>
      </c>
      <c r="C93" s="289">
        <f>VLOOKUP(A93,K0kommunestruktur2020!$A$4:$P$359,11,FALSE)</f>
        <v>1068</v>
      </c>
      <c r="D93" s="289">
        <f>VLOOKUP(A93,'K19'!$A$4:$BX$425,24,FALSE)</f>
        <v>0</v>
      </c>
      <c r="E93" s="289"/>
      <c r="F93" s="289">
        <f>VLOOKUP(A93,K0kommunestruktur2020!$A$4:$P$359,12,FALSE)</f>
        <v>30852</v>
      </c>
      <c r="G93" s="289">
        <f>VLOOKUP(A93,'K19'!$A$4:$BX$425,31,FALSE)</f>
        <v>0</v>
      </c>
      <c r="H93" s="289">
        <f>VLOOKUP(A93,'K19'!$A$4:$BX$425,32,FALSE)</f>
        <v>0</v>
      </c>
      <c r="I93" s="289">
        <f>VLOOKUP(A93,'K19'!$A$4:$BX$425,65,FALSE)</f>
        <v>0</v>
      </c>
      <c r="J93" s="289">
        <f>VLOOKUP(A93,K0kommunestruktur2020!$A$4:$P$359,14,FALSE)</f>
        <v>34001</v>
      </c>
      <c r="K93" s="517"/>
      <c r="L93">
        <v>0</v>
      </c>
      <c r="M93" s="5">
        <f t="shared" si="13"/>
        <v>0</v>
      </c>
    </row>
    <row r="94" spans="1:13" ht="13">
      <c r="A94" s="878">
        <v>1875</v>
      </c>
      <c r="B94" s="883" t="s">
        <v>1617</v>
      </c>
      <c r="C94" s="919">
        <f>VLOOKUP(A94,K0kommunestruktur2020!$A$4:$P$359,11,FALSE)</f>
        <v>2851.0545454499998</v>
      </c>
      <c r="D94" s="919">
        <f>+D375</f>
        <v>7259.5064935064929</v>
      </c>
      <c r="E94" s="919"/>
      <c r="F94" s="919">
        <f>VLOOKUP(A94,K0kommunestruktur2020!$A$4:$P$359,12,FALSE)</f>
        <v>76201.555844155839</v>
      </c>
      <c r="G94" s="919">
        <f t="shared" ref="G94:I94" si="14">+G375</f>
        <v>0</v>
      </c>
      <c r="H94" s="919">
        <f t="shared" si="14"/>
        <v>0</v>
      </c>
      <c r="I94" s="919">
        <f t="shared" si="14"/>
        <v>0</v>
      </c>
      <c r="J94" s="919">
        <f>VLOOKUP(A94,K0kommunestruktur2020!$A$4:$P$359,14,FALSE)</f>
        <v>78142.559819913411</v>
      </c>
      <c r="K94" s="517"/>
      <c r="L94">
        <v>0</v>
      </c>
      <c r="M94" s="5">
        <f t="shared" si="13"/>
        <v>0</v>
      </c>
    </row>
    <row r="95" spans="1:13" ht="13">
      <c r="A95" s="1">
        <v>3001</v>
      </c>
      <c r="B95" s="2" t="s">
        <v>783</v>
      </c>
      <c r="C95" s="289">
        <f>VLOOKUP(A95,K0kommunestruktur2020!$A$4:$P$359,11,FALSE)</f>
        <v>31037</v>
      </c>
      <c r="D95" s="289">
        <f>VLOOKUP(A95,'K19'!$A$4:$BX$425,24,FALSE)</f>
        <v>3300</v>
      </c>
      <c r="E95" s="289"/>
      <c r="F95" s="289">
        <f>VLOOKUP(A95,K0kommunestruktur2020!$A$4:$P$359,12,FALSE)</f>
        <v>758714</v>
      </c>
      <c r="G95" s="289">
        <f>VLOOKUP(A95,'K19'!$A$4:$BX$425,31,FALSE)</f>
        <v>0</v>
      </c>
      <c r="H95" s="289">
        <f>VLOOKUP(A95,'K19'!$A$4:$BX$425,32,FALSE)</f>
        <v>0</v>
      </c>
      <c r="I95" s="289">
        <f>VLOOKUP(A95,'K19'!$A$4:$BX$425,65,FALSE)</f>
        <v>0</v>
      </c>
      <c r="J95" s="289">
        <f>VLOOKUP(A95,K0kommunestruktur2020!$A$4:$P$359,14,FALSE)</f>
        <v>767877</v>
      </c>
      <c r="K95" s="517"/>
      <c r="L95">
        <v>0</v>
      </c>
      <c r="M95" s="5">
        <f t="shared" si="13"/>
        <v>0</v>
      </c>
    </row>
    <row r="96" spans="1:13" ht="13">
      <c r="A96" s="878">
        <v>3002</v>
      </c>
      <c r="B96" s="883" t="s">
        <v>1618</v>
      </c>
      <c r="C96" s="919">
        <f>VLOOKUP(A96,K0kommunestruktur2020!$A$4:$P$359,11,FALSE)</f>
        <v>48671</v>
      </c>
      <c r="D96" s="919">
        <f>+D376</f>
        <v>5600</v>
      </c>
      <c r="E96" s="919"/>
      <c r="F96" s="919">
        <f>VLOOKUP(A96,K0kommunestruktur2020!$A$4:$P$359,12,FALSE)</f>
        <v>1317884</v>
      </c>
      <c r="G96" s="919">
        <f t="shared" ref="G96:I96" si="15">+G376</f>
        <v>3843</v>
      </c>
      <c r="H96" s="919">
        <f t="shared" si="15"/>
        <v>0</v>
      </c>
      <c r="I96" s="919">
        <f t="shared" si="15"/>
        <v>6358</v>
      </c>
      <c r="J96" s="919">
        <f>VLOOKUP(A96,K0kommunestruktur2020!$A$4:$P$359,14,FALSE)</f>
        <v>1377561</v>
      </c>
      <c r="K96" s="517"/>
      <c r="L96">
        <v>0</v>
      </c>
      <c r="M96" s="5">
        <f t="shared" si="13"/>
        <v>0</v>
      </c>
    </row>
    <row r="97" spans="1:13" ht="13">
      <c r="A97" s="1">
        <v>3003</v>
      </c>
      <c r="B97" s="2" t="s">
        <v>785</v>
      </c>
      <c r="C97" s="289">
        <f>VLOOKUP(A97,K0kommunestruktur2020!$A$4:$P$359,11,FALSE)</f>
        <v>55543</v>
      </c>
      <c r="D97" s="289">
        <f>VLOOKUP(A97,'K19'!$A$4:$BX$425,24,FALSE)</f>
        <v>4600</v>
      </c>
      <c r="E97" s="289"/>
      <c r="F97" s="289">
        <f>VLOOKUP(A97,K0kommunestruktur2020!$A$4:$P$359,12,FALSE)</f>
        <v>1352585</v>
      </c>
      <c r="G97" s="289">
        <f>VLOOKUP(A97,'K19'!$A$4:$BX$425,31,FALSE)</f>
        <v>0</v>
      </c>
      <c r="H97" s="289">
        <f>VLOOKUP(A97,'K19'!$A$4:$BX$425,32,FALSE)</f>
        <v>0</v>
      </c>
      <c r="I97" s="289">
        <f>VLOOKUP(A97,'K19'!$A$4:$BX$425,65,FALSE)</f>
        <v>0</v>
      </c>
      <c r="J97" s="289">
        <f>VLOOKUP(A97,K0kommunestruktur2020!$A$4:$P$359,14,FALSE)</f>
        <v>1416352</v>
      </c>
      <c r="K97" s="517"/>
      <c r="L97">
        <v>0</v>
      </c>
      <c r="M97" s="5">
        <f t="shared" si="13"/>
        <v>0</v>
      </c>
    </row>
    <row r="98" spans="1:13" ht="13">
      <c r="A98" s="1">
        <v>3004</v>
      </c>
      <c r="B98" s="2" t="s">
        <v>786</v>
      </c>
      <c r="C98" s="289">
        <f>VLOOKUP(A98,K0kommunestruktur2020!$A$4:$P$359,11,FALSE)</f>
        <v>80977</v>
      </c>
      <c r="D98" s="289">
        <f>VLOOKUP(A98,'K19'!$A$4:$BX$425,24,FALSE)</f>
        <v>8300</v>
      </c>
      <c r="E98" s="289"/>
      <c r="F98" s="289">
        <f>VLOOKUP(A98,K0kommunestruktur2020!$A$4:$P$359,12,FALSE)</f>
        <v>2095333</v>
      </c>
      <c r="G98" s="289">
        <f>VLOOKUP(A98,'K19'!$A$4:$BX$425,31,FALSE)</f>
        <v>0</v>
      </c>
      <c r="H98" s="289">
        <f>VLOOKUP(A98,'K19'!$A$4:$BX$425,32,FALSE)</f>
        <v>0</v>
      </c>
      <c r="I98" s="289">
        <f>VLOOKUP(A98,'K19'!$A$4:$BX$425,65,FALSE)</f>
        <v>0</v>
      </c>
      <c r="J98" s="289">
        <f>VLOOKUP(A98,K0kommunestruktur2020!$A$4:$P$359,14,FALSE)</f>
        <v>2241352</v>
      </c>
      <c r="K98" s="517"/>
      <c r="L98">
        <v>0</v>
      </c>
      <c r="M98" s="5">
        <f t="shared" si="13"/>
        <v>0</v>
      </c>
    </row>
    <row r="99" spans="1:13" ht="13">
      <c r="A99" s="878">
        <v>3005</v>
      </c>
      <c r="B99" s="883" t="s">
        <v>1619</v>
      </c>
      <c r="C99" s="919">
        <f>VLOOKUP(A99,K0kommunestruktur2020!$A$4:$P$359,11,FALSE)</f>
        <v>100302</v>
      </c>
      <c r="D99" s="919">
        <f>+D377</f>
        <v>7750</v>
      </c>
      <c r="E99" s="919"/>
      <c r="F99" s="919">
        <f>VLOOKUP(A99,K0kommunestruktur2020!$A$4:$P$359,12,FALSE)</f>
        <v>2847014</v>
      </c>
      <c r="G99" s="919">
        <f t="shared" ref="G99:I99" si="16">+G377</f>
        <v>0</v>
      </c>
      <c r="H99" s="919">
        <f t="shared" si="16"/>
        <v>0</v>
      </c>
      <c r="I99" s="919">
        <f t="shared" si="16"/>
        <v>9751</v>
      </c>
      <c r="J99" s="919">
        <f>VLOOKUP(A99,K0kommunestruktur2020!$A$4:$P$359,14,FALSE)</f>
        <v>2968925</v>
      </c>
      <c r="K99" s="517"/>
      <c r="L99">
        <v>0</v>
      </c>
      <c r="M99" s="5">
        <f t="shared" si="13"/>
        <v>0</v>
      </c>
    </row>
    <row r="100" spans="1:13" ht="13">
      <c r="A100" s="1">
        <v>3006</v>
      </c>
      <c r="B100" s="2" t="s">
        <v>872</v>
      </c>
      <c r="C100" s="289">
        <f>VLOOKUP(A100,K0kommunestruktur2020!$A$4:$P$359,11,FALSE)</f>
        <v>27410</v>
      </c>
      <c r="D100" s="289">
        <f>VLOOKUP(A100,'K19'!$A$4:$BX$425,24,FALSE)</f>
        <v>1500</v>
      </c>
      <c r="E100" s="289"/>
      <c r="F100" s="289">
        <f>VLOOKUP(A100,K0kommunestruktur2020!$A$4:$P$359,12,FALSE)</f>
        <v>875371</v>
      </c>
      <c r="G100" s="289">
        <f>VLOOKUP(A100,'K19'!$A$4:$BX$425,31,FALSE)</f>
        <v>0</v>
      </c>
      <c r="H100" s="289">
        <f>VLOOKUP(A100,'K19'!$A$4:$BX$425,32,FALSE)</f>
        <v>0</v>
      </c>
      <c r="I100" s="289">
        <f>VLOOKUP(A100,'K19'!$A$4:$BX$425,65,FALSE)</f>
        <v>0</v>
      </c>
      <c r="J100" s="289">
        <f>VLOOKUP(A100,K0kommunestruktur2020!$A$4:$P$359,14,FALSE)</f>
        <v>895667</v>
      </c>
      <c r="K100" s="517"/>
      <c r="L100">
        <v>0</v>
      </c>
      <c r="M100" s="5">
        <f t="shared" si="13"/>
        <v>0</v>
      </c>
    </row>
    <row r="101" spans="1:13" ht="13">
      <c r="A101" s="1">
        <v>3007</v>
      </c>
      <c r="B101" s="2" t="s">
        <v>873</v>
      </c>
      <c r="C101" s="289">
        <f>VLOOKUP(A101,K0kommunestruktur2020!$A$4:$P$359,11,FALSE)</f>
        <v>30283</v>
      </c>
      <c r="D101" s="289">
        <f>VLOOKUP(A101,'K19'!$A$4:$BX$425,24,FALSE)</f>
        <v>4500</v>
      </c>
      <c r="E101" s="289"/>
      <c r="F101" s="289">
        <f>VLOOKUP(A101,K0kommunestruktur2020!$A$4:$P$359,12,FALSE)</f>
        <v>803489</v>
      </c>
      <c r="G101" s="289">
        <f>VLOOKUP(A101,'K19'!$A$4:$BX$425,31,FALSE)</f>
        <v>0</v>
      </c>
      <c r="H101" s="289">
        <f>VLOOKUP(A101,'K19'!$A$4:$BX$425,32,FALSE)</f>
        <v>0</v>
      </c>
      <c r="I101" s="289">
        <f>VLOOKUP(A101,'K19'!$A$4:$BX$425,65,FALSE)</f>
        <v>0</v>
      </c>
      <c r="J101" s="289">
        <f>VLOOKUP(A101,K0kommunestruktur2020!$A$4:$P$359,14,FALSE)</f>
        <v>840146</v>
      </c>
      <c r="K101" s="517"/>
      <c r="L101">
        <v>0</v>
      </c>
      <c r="M101" s="5">
        <f t="shared" si="13"/>
        <v>0</v>
      </c>
    </row>
    <row r="102" spans="1:13" ht="13">
      <c r="A102" s="1">
        <v>3011</v>
      </c>
      <c r="B102" s="2" t="s">
        <v>787</v>
      </c>
      <c r="C102" s="289">
        <f>VLOOKUP(A102,K0kommunestruktur2020!$A$4:$P$359,11,FALSE)</f>
        <v>4540</v>
      </c>
      <c r="D102" s="289">
        <f>VLOOKUP(A102,'K19'!$A$4:$BX$425,24,FALSE)</f>
        <v>200</v>
      </c>
      <c r="E102" s="289"/>
      <c r="F102" s="289">
        <f>VLOOKUP(A102,K0kommunestruktur2020!$A$4:$P$359,12,FALSE)</f>
        <v>152833</v>
      </c>
      <c r="G102" s="289">
        <f>VLOOKUP(A102,'K19'!$A$4:$BX$425,31,FALSE)</f>
        <v>0</v>
      </c>
      <c r="H102" s="289">
        <f>VLOOKUP(A102,'K19'!$A$4:$BX$425,32,FALSE)</f>
        <v>0</v>
      </c>
      <c r="I102" s="289">
        <f>VLOOKUP(A102,'K19'!$A$4:$BX$425,65,FALSE)</f>
        <v>0</v>
      </c>
      <c r="J102" s="289">
        <f>VLOOKUP(A102,K0kommunestruktur2020!$A$4:$P$359,14,FALSE)</f>
        <v>157813</v>
      </c>
      <c r="K102" s="517"/>
      <c r="L102">
        <v>0</v>
      </c>
      <c r="M102" s="5">
        <f t="shared" si="13"/>
        <v>0</v>
      </c>
    </row>
    <row r="103" spans="1:13" ht="13">
      <c r="A103" s="1">
        <v>3012</v>
      </c>
      <c r="B103" s="2" t="s">
        <v>788</v>
      </c>
      <c r="C103" s="289">
        <f>VLOOKUP(A103,K0kommunestruktur2020!$A$4:$P$359,11,FALSE)</f>
        <v>1399</v>
      </c>
      <c r="D103" s="289">
        <f>VLOOKUP(A103,'K19'!$A$4:$BX$425,24,FALSE)</f>
        <v>600</v>
      </c>
      <c r="E103" s="289"/>
      <c r="F103" s="289">
        <f>VLOOKUP(A103,K0kommunestruktur2020!$A$4:$P$359,12,FALSE)</f>
        <v>33281</v>
      </c>
      <c r="G103" s="289">
        <f>VLOOKUP(A103,'K19'!$A$4:$BX$425,31,FALSE)</f>
        <v>0</v>
      </c>
      <c r="H103" s="289">
        <f>VLOOKUP(A103,'K19'!$A$4:$BX$425,32,FALSE)</f>
        <v>0</v>
      </c>
      <c r="I103" s="289">
        <f>VLOOKUP(A103,'K19'!$A$4:$BX$425,65,FALSE)</f>
        <v>0</v>
      </c>
      <c r="J103" s="289">
        <f>VLOOKUP(A103,K0kommunestruktur2020!$A$4:$P$359,14,FALSE)</f>
        <v>36601</v>
      </c>
      <c r="K103" s="517"/>
      <c r="L103">
        <v>0</v>
      </c>
      <c r="M103" s="5">
        <f t="shared" si="13"/>
        <v>0</v>
      </c>
    </row>
    <row r="104" spans="1:13" ht="13">
      <c r="A104" s="1">
        <v>3013</v>
      </c>
      <c r="B104" s="2" t="s">
        <v>789</v>
      </c>
      <c r="C104" s="289">
        <f>VLOOKUP(A104,K0kommunestruktur2020!$A$4:$P$359,11,FALSE)</f>
        <v>3567</v>
      </c>
      <c r="D104" s="289">
        <f>VLOOKUP(A104,'K19'!$A$4:$BX$425,24,FALSE)</f>
        <v>300</v>
      </c>
      <c r="E104" s="289"/>
      <c r="F104" s="289">
        <f>VLOOKUP(A104,K0kommunestruktur2020!$A$4:$P$359,12,FALSE)</f>
        <v>87199</v>
      </c>
      <c r="G104" s="289">
        <f>VLOOKUP(A104,'K19'!$A$4:$BX$425,31,FALSE)</f>
        <v>0</v>
      </c>
      <c r="H104" s="289">
        <f>VLOOKUP(A104,'K19'!$A$4:$BX$425,32,FALSE)</f>
        <v>0</v>
      </c>
      <c r="I104" s="289">
        <f>VLOOKUP(A104,'K19'!$A$4:$BX$425,65,FALSE)</f>
        <v>0</v>
      </c>
      <c r="J104" s="289">
        <f>VLOOKUP(A104,K0kommunestruktur2020!$A$4:$P$359,14,FALSE)</f>
        <v>92254</v>
      </c>
      <c r="K104" s="517"/>
      <c r="L104">
        <v>0</v>
      </c>
      <c r="M104" s="5">
        <f t="shared" si="13"/>
        <v>0</v>
      </c>
    </row>
    <row r="105" spans="1:13" ht="13">
      <c r="A105" s="878">
        <v>3014</v>
      </c>
      <c r="B105" s="883" t="s">
        <v>1620</v>
      </c>
      <c r="C105" s="919">
        <f>VLOOKUP(A105,K0kommunestruktur2020!$A$4:$P$359,11,FALSE)</f>
        <v>44035</v>
      </c>
      <c r="D105" s="919">
        <f>+D378</f>
        <v>5000</v>
      </c>
      <c r="E105" s="919"/>
      <c r="F105" s="919">
        <f>VLOOKUP(A105,K0kommunestruktur2020!$A$4:$P$359,12,FALSE)</f>
        <v>1156004</v>
      </c>
      <c r="G105" s="919">
        <f t="shared" ref="G105:I105" si="17">+G378</f>
        <v>1008</v>
      </c>
      <c r="H105" s="919">
        <f t="shared" si="17"/>
        <v>0</v>
      </c>
      <c r="I105" s="919">
        <f t="shared" si="17"/>
        <v>6053</v>
      </c>
      <c r="J105" s="919">
        <f>VLOOKUP(A105,K0kommunestruktur2020!$A$4:$P$359,14,FALSE)</f>
        <v>1204362</v>
      </c>
      <c r="K105" s="517"/>
      <c r="L105">
        <v>0</v>
      </c>
      <c r="M105" s="5">
        <f t="shared" si="13"/>
        <v>0</v>
      </c>
    </row>
    <row r="106" spans="1:13" ht="13">
      <c r="A106" s="1">
        <v>3015</v>
      </c>
      <c r="B106" s="2" t="s">
        <v>2369</v>
      </c>
      <c r="C106" s="289">
        <f>VLOOKUP(A106,K0kommunestruktur2020!$A$4:$P$359,11,FALSE)</f>
        <v>3831</v>
      </c>
      <c r="D106" s="289">
        <f>VLOOKUP(A106,'K19'!$A$4:$BX$425,24,FALSE)</f>
        <v>600</v>
      </c>
      <c r="E106" s="289"/>
      <c r="F106" s="289">
        <f>VLOOKUP(A106,K0kommunestruktur2020!$A$4:$P$359,12,FALSE)</f>
        <v>93552</v>
      </c>
      <c r="G106" s="289">
        <f>VLOOKUP(A106,'K19'!$A$4:$BX$425,31,FALSE)</f>
        <v>0</v>
      </c>
      <c r="H106" s="289">
        <f>VLOOKUP(A106,'K19'!$A$4:$BX$425,32,FALSE)</f>
        <v>0</v>
      </c>
      <c r="I106" s="289">
        <f>VLOOKUP(A106,'K19'!$A$4:$BX$425,65,FALSE)</f>
        <v>0</v>
      </c>
      <c r="J106" s="289">
        <f>VLOOKUP(A106,K0kommunestruktur2020!$A$4:$P$359,14,FALSE)</f>
        <v>97504</v>
      </c>
      <c r="K106" s="517"/>
      <c r="L106">
        <v>0</v>
      </c>
      <c r="M106" s="5">
        <f t="shared" si="13"/>
        <v>0</v>
      </c>
    </row>
    <row r="107" spans="1:13" ht="13">
      <c r="A107" s="1">
        <v>3016</v>
      </c>
      <c r="B107" s="2" t="s">
        <v>796</v>
      </c>
      <c r="C107" s="289">
        <f>VLOOKUP(A107,K0kommunestruktur2020!$A$4:$P$359,11,FALSE)</f>
        <v>8202</v>
      </c>
      <c r="D107" s="289">
        <f>VLOOKUP(A107,'K19'!$A$4:$BX$425,24,FALSE)</f>
        <v>1000</v>
      </c>
      <c r="E107" s="289"/>
      <c r="F107" s="289">
        <f>VLOOKUP(A107,K0kommunestruktur2020!$A$4:$P$359,12,FALSE)</f>
        <v>210300</v>
      </c>
      <c r="G107" s="289">
        <f>VLOOKUP(A107,'K19'!$A$4:$BX$425,31,FALSE)</f>
        <v>0</v>
      </c>
      <c r="H107" s="289">
        <f>VLOOKUP(A107,'K19'!$A$4:$BX$425,32,FALSE)</f>
        <v>0</v>
      </c>
      <c r="I107" s="289">
        <f>VLOOKUP(A107,'K19'!$A$4:$BX$425,65,FALSE)</f>
        <v>0</v>
      </c>
      <c r="J107" s="289">
        <f>VLOOKUP(A107,K0kommunestruktur2020!$A$4:$P$359,14,FALSE)</f>
        <v>215542</v>
      </c>
      <c r="K107" s="517"/>
      <c r="L107">
        <v>0</v>
      </c>
      <c r="M107" s="5">
        <f t="shared" si="13"/>
        <v>0</v>
      </c>
    </row>
    <row r="108" spans="1:13" ht="13">
      <c r="A108" s="1">
        <v>3017</v>
      </c>
      <c r="B108" s="2" t="s">
        <v>797</v>
      </c>
      <c r="C108" s="289">
        <f>VLOOKUP(A108,K0kommunestruktur2020!$A$4:$P$359,11,FALSE)</f>
        <v>7465</v>
      </c>
      <c r="D108" s="289">
        <f>VLOOKUP(A108,'K19'!$A$4:$BX$425,24,FALSE)</f>
        <v>1700</v>
      </c>
      <c r="E108" s="289"/>
      <c r="F108" s="289">
        <f>VLOOKUP(A108,K0kommunestruktur2020!$A$4:$P$359,12,FALSE)</f>
        <v>198782</v>
      </c>
      <c r="G108" s="289">
        <f>VLOOKUP(A108,'K19'!$A$4:$BX$425,31,FALSE)</f>
        <v>0</v>
      </c>
      <c r="H108" s="289">
        <f>VLOOKUP(A108,'K19'!$A$4:$BX$425,32,FALSE)</f>
        <v>0</v>
      </c>
      <c r="I108" s="289">
        <f>VLOOKUP(A108,'K19'!$A$4:$BX$425,65,FALSE)</f>
        <v>0</v>
      </c>
      <c r="J108" s="289">
        <f>VLOOKUP(A108,K0kommunestruktur2020!$A$4:$P$359,14,FALSE)</f>
        <v>209112</v>
      </c>
      <c r="K108" s="517"/>
      <c r="L108">
        <v>0</v>
      </c>
      <c r="M108" s="5">
        <f t="shared" si="13"/>
        <v>0</v>
      </c>
    </row>
    <row r="109" spans="1:13" ht="13">
      <c r="A109" s="1">
        <v>3018</v>
      </c>
      <c r="B109" s="2" t="s">
        <v>799</v>
      </c>
      <c r="C109" s="289">
        <f>VLOOKUP(A109,K0kommunestruktur2020!$A$4:$P$359,11,FALSE)</f>
        <v>5471</v>
      </c>
      <c r="D109" s="289">
        <f>VLOOKUP(A109,'K19'!$A$4:$BX$425,24,FALSE)</f>
        <v>300</v>
      </c>
      <c r="E109" s="289"/>
      <c r="F109" s="289">
        <f>VLOOKUP(A109,K0kommunestruktur2020!$A$4:$P$359,12,FALSE)</f>
        <v>144788</v>
      </c>
      <c r="G109" s="289">
        <f>VLOOKUP(A109,'K19'!$A$4:$BX$425,31,FALSE)</f>
        <v>3115</v>
      </c>
      <c r="H109" s="289">
        <f>VLOOKUP(A109,'K19'!$A$4:$BX$425,32,FALSE)</f>
        <v>0</v>
      </c>
      <c r="I109" s="289">
        <f>VLOOKUP(A109,'K19'!$A$4:$BX$425,65,FALSE)</f>
        <v>0</v>
      </c>
      <c r="J109" s="289">
        <f>VLOOKUP(A109,K0kommunestruktur2020!$A$4:$P$359,14,FALSE)</f>
        <v>145443</v>
      </c>
      <c r="K109" s="517"/>
      <c r="L109">
        <v>0</v>
      </c>
      <c r="M109" s="5">
        <f t="shared" si="13"/>
        <v>0</v>
      </c>
    </row>
    <row r="110" spans="1:13" ht="13">
      <c r="A110" s="1">
        <v>3019</v>
      </c>
      <c r="B110" s="2" t="s">
        <v>801</v>
      </c>
      <c r="C110" s="289">
        <f>VLOOKUP(A110,K0kommunestruktur2020!$A$4:$P$359,11,FALSE)</f>
        <v>17486</v>
      </c>
      <c r="D110" s="289">
        <f>VLOOKUP(A110,'K19'!$A$4:$BX$425,24,FALSE)</f>
        <v>2600</v>
      </c>
      <c r="E110" s="289"/>
      <c r="F110" s="289">
        <f>VLOOKUP(A110,K0kommunestruktur2020!$A$4:$P$359,12,FALSE)</f>
        <v>544775</v>
      </c>
      <c r="G110" s="289">
        <f>VLOOKUP(A110,'K19'!$A$4:$BX$425,31,FALSE)</f>
        <v>9745</v>
      </c>
      <c r="H110" s="289">
        <f>VLOOKUP(A110,'K19'!$A$4:$BX$425,32,FALSE)</f>
        <v>0</v>
      </c>
      <c r="I110" s="289">
        <f>VLOOKUP(A110,'K19'!$A$4:$BX$425,65,FALSE)</f>
        <v>0</v>
      </c>
      <c r="J110" s="289">
        <f>VLOOKUP(A110,K0kommunestruktur2020!$A$4:$P$359,14,FALSE)</f>
        <v>560651</v>
      </c>
      <c r="K110" s="517"/>
      <c r="L110">
        <v>0</v>
      </c>
      <c r="M110" s="5">
        <f t="shared" si="13"/>
        <v>0</v>
      </c>
    </row>
    <row r="111" spans="1:13" ht="13">
      <c r="A111" s="878">
        <v>3020</v>
      </c>
      <c r="B111" s="883" t="s">
        <v>1621</v>
      </c>
      <c r="C111" s="919">
        <f>VLOOKUP(A111,K0kommunestruktur2020!$A$4:$P$359,11,FALSE)</f>
        <v>58254.394491469997</v>
      </c>
      <c r="D111" s="919">
        <f>+D379</f>
        <v>0</v>
      </c>
      <c r="E111" s="919"/>
      <c r="F111" s="919">
        <f>VLOOKUP(A111,K0kommunestruktur2020!$A$4:$P$359,12,FALSE)</f>
        <v>2027218.4119372717</v>
      </c>
      <c r="G111" s="919">
        <f t="shared" ref="G111:I111" si="18">+G379</f>
        <v>0</v>
      </c>
      <c r="H111" s="919">
        <f t="shared" si="18"/>
        <v>0</v>
      </c>
      <c r="I111" s="919">
        <f t="shared" si="18"/>
        <v>6975</v>
      </c>
      <c r="J111" s="919">
        <f>VLOOKUP(A111,K0kommunestruktur2020!$A$4:$P$359,14,FALSE)</f>
        <v>2105528.4204200078</v>
      </c>
      <c r="K111" s="517"/>
      <c r="L111">
        <v>0</v>
      </c>
      <c r="M111" s="5">
        <f t="shared" si="13"/>
        <v>0</v>
      </c>
    </row>
    <row r="112" spans="1:13" ht="13">
      <c r="A112" s="1">
        <v>3021</v>
      </c>
      <c r="B112" s="2" t="s">
        <v>803</v>
      </c>
      <c r="C112" s="289">
        <f>VLOOKUP(A112,K0kommunestruktur2020!$A$4:$P$359,11,FALSE)</f>
        <v>19889.431620359999</v>
      </c>
      <c r="D112" s="289">
        <f>VLOOKUP(A112,'K19'!$A$4:$BX$425,24,FALSE)</f>
        <v>3500</v>
      </c>
      <c r="E112" s="289"/>
      <c r="F112" s="289">
        <f>VLOOKUP(A112,K0kommunestruktur2020!$A$4:$P$359,12,FALSE)</f>
        <v>605016.42635852599</v>
      </c>
      <c r="G112" s="289">
        <f>VLOOKUP(A112,'K19'!$A$4:$BX$425,31,FALSE)</f>
        <v>16185</v>
      </c>
      <c r="H112" s="289">
        <f>VLOOKUP(A112,'K19'!$A$4:$BX$425,32,FALSE)</f>
        <v>0</v>
      </c>
      <c r="I112" s="289">
        <f>VLOOKUP(A112,'K19'!$A$4:$BX$425,65,FALSE)</f>
        <v>0</v>
      </c>
      <c r="J112" s="289">
        <f>VLOOKUP(A112,K0kommunestruktur2020!$A$4:$P$359,14,FALSE)</f>
        <v>605798.77305138926</v>
      </c>
      <c r="K112" s="517"/>
      <c r="L112">
        <v>0</v>
      </c>
      <c r="M112" s="5">
        <f t="shared" si="13"/>
        <v>0</v>
      </c>
    </row>
    <row r="113" spans="1:13" ht="13">
      <c r="A113" s="1">
        <v>3022</v>
      </c>
      <c r="B113" s="2" t="s">
        <v>804</v>
      </c>
      <c r="C113" s="289">
        <f>VLOOKUP(A113,K0kommunestruktur2020!$A$4:$P$359,11,FALSE)</f>
        <v>15735</v>
      </c>
      <c r="D113" s="289">
        <f>VLOOKUP(A113,'K19'!$A$4:$BX$425,24,FALSE)</f>
        <v>2000</v>
      </c>
      <c r="E113" s="289"/>
      <c r="F113" s="289">
        <f>VLOOKUP(A113,K0kommunestruktur2020!$A$4:$P$359,12,FALSE)</f>
        <v>586294</v>
      </c>
      <c r="G113" s="289">
        <f>VLOOKUP(A113,'K19'!$A$4:$BX$425,31,FALSE)</f>
        <v>0</v>
      </c>
      <c r="H113" s="289">
        <f>VLOOKUP(A113,'K19'!$A$4:$BX$425,32,FALSE)</f>
        <v>0</v>
      </c>
      <c r="I113" s="289">
        <f>VLOOKUP(A113,'K19'!$A$4:$BX$425,65,FALSE)</f>
        <v>0</v>
      </c>
      <c r="J113" s="289">
        <f>VLOOKUP(A113,K0kommunestruktur2020!$A$4:$P$359,14,FALSE)</f>
        <v>611625</v>
      </c>
      <c r="K113" s="517"/>
      <c r="L113">
        <v>0</v>
      </c>
      <c r="M113" s="5">
        <f t="shared" si="13"/>
        <v>0</v>
      </c>
    </row>
    <row r="114" spans="1:13" ht="13">
      <c r="A114" s="1">
        <v>3023</v>
      </c>
      <c r="B114" s="2" t="s">
        <v>805</v>
      </c>
      <c r="C114" s="289">
        <f>VLOOKUP(A114,K0kommunestruktur2020!$A$4:$P$359,11,FALSE)</f>
        <v>19287</v>
      </c>
      <c r="D114" s="289">
        <f>VLOOKUP(A114,'K19'!$A$4:$BX$425,24,FALSE)</f>
        <v>2900</v>
      </c>
      <c r="E114" s="289"/>
      <c r="F114" s="289">
        <f>VLOOKUP(A114,K0kommunestruktur2020!$A$4:$P$359,12,FALSE)</f>
        <v>619346</v>
      </c>
      <c r="G114" s="289">
        <f>VLOOKUP(A114,'K19'!$A$4:$BX$425,31,FALSE)</f>
        <v>2646</v>
      </c>
      <c r="H114" s="289">
        <f>VLOOKUP(A114,'K19'!$A$4:$BX$425,32,FALSE)</f>
        <v>0</v>
      </c>
      <c r="I114" s="289">
        <f>VLOOKUP(A114,'K19'!$A$4:$BX$425,65,FALSE)</f>
        <v>0</v>
      </c>
      <c r="J114" s="289">
        <f>VLOOKUP(A114,K0kommunestruktur2020!$A$4:$P$359,14,FALSE)</f>
        <v>642751</v>
      </c>
      <c r="K114" s="517"/>
      <c r="L114">
        <v>0</v>
      </c>
      <c r="M114" s="5">
        <f t="shared" si="13"/>
        <v>0</v>
      </c>
    </row>
    <row r="115" spans="1:13" ht="13">
      <c r="A115" s="1">
        <v>3024</v>
      </c>
      <c r="B115" s="2" t="s">
        <v>807</v>
      </c>
      <c r="C115" s="289">
        <f>VLOOKUP(A115,K0kommunestruktur2020!$A$4:$P$359,11,FALSE)</f>
        <v>125454</v>
      </c>
      <c r="D115" s="289">
        <f>VLOOKUP(A115,'K19'!$A$4:$BX$425,24,FALSE)</f>
        <v>0</v>
      </c>
      <c r="E115" s="289"/>
      <c r="F115" s="289">
        <f>VLOOKUP(A115,K0kommunestruktur2020!$A$4:$P$359,12,FALSE)</f>
        <v>6345361</v>
      </c>
      <c r="G115" s="289">
        <f>VLOOKUP(A115,'K19'!$A$4:$BX$425,31,FALSE)</f>
        <v>0</v>
      </c>
      <c r="H115" s="289">
        <f>VLOOKUP(A115,'K19'!$A$4:$BX$425,32,FALSE)</f>
        <v>0</v>
      </c>
      <c r="I115" s="289">
        <f>VLOOKUP(A115,'K19'!$A$4:$BX$425,65,FALSE)</f>
        <v>0</v>
      </c>
      <c r="J115" s="289">
        <f>VLOOKUP(A115,K0kommunestruktur2020!$A$4:$P$359,14,FALSE)</f>
        <v>6827068</v>
      </c>
      <c r="K115" s="517"/>
      <c r="L115">
        <v>0</v>
      </c>
      <c r="M115" s="5">
        <f t="shared" si="13"/>
        <v>0</v>
      </c>
    </row>
    <row r="116" spans="1:13" ht="13">
      <c r="A116" s="878">
        <v>3025</v>
      </c>
      <c r="B116" s="883" t="s">
        <v>1622</v>
      </c>
      <c r="C116" s="919">
        <f>VLOOKUP(A116,K0kommunestruktur2020!$A$4:$P$359,11,FALSE)</f>
        <v>92828</v>
      </c>
      <c r="D116" s="919">
        <f>+D380</f>
        <v>1500</v>
      </c>
      <c r="E116" s="919"/>
      <c r="F116" s="919">
        <f>VLOOKUP(A116,K0kommunestruktur2020!$A$4:$P$359,12,FALSE)</f>
        <v>3849981</v>
      </c>
      <c r="G116" s="919">
        <f t="shared" ref="G116:H116" si="19">+G380</f>
        <v>10454</v>
      </c>
      <c r="H116" s="919">
        <f t="shared" si="19"/>
        <v>0</v>
      </c>
      <c r="I116" s="919">
        <f t="shared" ref="I116" si="20">+I380</f>
        <v>9261</v>
      </c>
      <c r="J116" s="919">
        <f>VLOOKUP(A116,K0kommunestruktur2020!$A$4:$P$359,14,FALSE)</f>
        <v>4094169</v>
      </c>
      <c r="K116" s="517"/>
      <c r="L116">
        <v>0</v>
      </c>
      <c r="M116" s="5">
        <f t="shared" si="13"/>
        <v>0</v>
      </c>
    </row>
    <row r="117" spans="1:13" ht="13">
      <c r="A117" s="878">
        <v>3026</v>
      </c>
      <c r="B117" s="883" t="s">
        <v>1623</v>
      </c>
      <c r="C117" s="919">
        <f>VLOOKUP(A117,K0kommunestruktur2020!$A$4:$P$359,11,FALSE)</f>
        <v>17072</v>
      </c>
      <c r="D117" s="919">
        <f>+D381</f>
        <v>3200</v>
      </c>
      <c r="E117" s="919"/>
      <c r="F117" s="919">
        <f>VLOOKUP(A117,K0kommunestruktur2020!$A$4:$P$359,12,FALSE)</f>
        <v>417440</v>
      </c>
      <c r="G117" s="919">
        <f t="shared" ref="G117:H117" si="21">+G381</f>
        <v>0</v>
      </c>
      <c r="H117" s="919">
        <f t="shared" si="21"/>
        <v>0</v>
      </c>
      <c r="I117" s="919">
        <f t="shared" ref="I117" si="22">+I381</f>
        <v>4280</v>
      </c>
      <c r="J117" s="919">
        <f>VLOOKUP(A117,K0kommunestruktur2020!$A$4:$P$359,14,FALSE)</f>
        <v>430456</v>
      </c>
      <c r="K117" s="517"/>
      <c r="L117">
        <v>0</v>
      </c>
      <c r="M117" s="5">
        <f t="shared" si="13"/>
        <v>0</v>
      </c>
    </row>
    <row r="118" spans="1:13" ht="13">
      <c r="A118" s="1">
        <v>3027</v>
      </c>
      <c r="B118" s="2" t="s">
        <v>812</v>
      </c>
      <c r="C118" s="289">
        <f>VLOOKUP(A118,K0kommunestruktur2020!$A$4:$P$359,11,FALSE)</f>
        <v>17874</v>
      </c>
      <c r="D118" s="289">
        <f>VLOOKUP(A118,'K19'!$A$4:$BX$425,24,FALSE)</f>
        <v>3400</v>
      </c>
      <c r="E118" s="289"/>
      <c r="F118" s="289">
        <f>VLOOKUP(A118,K0kommunestruktur2020!$A$4:$P$359,12,FALSE)</f>
        <v>553595</v>
      </c>
      <c r="G118" s="289">
        <f>VLOOKUP(A118,'K19'!$A$4:$BX$425,31,FALSE)</f>
        <v>0</v>
      </c>
      <c r="H118" s="289">
        <f>VLOOKUP(A118,'K19'!$A$4:$BX$425,32,FALSE)</f>
        <v>0</v>
      </c>
      <c r="I118" s="289">
        <f>VLOOKUP(A118,'K19'!$A$4:$BX$425,65,FALSE)</f>
        <v>0</v>
      </c>
      <c r="J118" s="289">
        <f>VLOOKUP(A118,K0kommunestruktur2020!$A$4:$P$359,14,FALSE)</f>
        <v>579991</v>
      </c>
      <c r="K118" s="517"/>
      <c r="L118">
        <v>0</v>
      </c>
      <c r="M118" s="5">
        <f t="shared" si="13"/>
        <v>0</v>
      </c>
    </row>
    <row r="119" spans="1:13" ht="13">
      <c r="A119" s="1">
        <v>3028</v>
      </c>
      <c r="B119" s="2" t="s">
        <v>813</v>
      </c>
      <c r="C119" s="289">
        <f>VLOOKUP(A119,K0kommunestruktur2020!$A$4:$P$359,11,FALSE)</f>
        <v>10945</v>
      </c>
      <c r="D119" s="289">
        <f>VLOOKUP(A119,'K19'!$A$4:$BX$425,24,FALSE)</f>
        <v>2800</v>
      </c>
      <c r="E119" s="289"/>
      <c r="F119" s="289">
        <f>VLOOKUP(A119,K0kommunestruktur2020!$A$4:$P$359,12,FALSE)</f>
        <v>292839</v>
      </c>
      <c r="G119" s="289">
        <f>VLOOKUP(A119,'K19'!$A$4:$BX$425,31,FALSE)</f>
        <v>0</v>
      </c>
      <c r="H119" s="289">
        <f>VLOOKUP(A119,'K19'!$A$4:$BX$425,32,FALSE)</f>
        <v>0</v>
      </c>
      <c r="I119" s="289">
        <f>VLOOKUP(A119,'K19'!$A$4:$BX$425,65,FALSE)</f>
        <v>0</v>
      </c>
      <c r="J119" s="289">
        <f>VLOOKUP(A119,K0kommunestruktur2020!$A$4:$P$359,14,FALSE)</f>
        <v>299078</v>
      </c>
      <c r="K119" s="517"/>
      <c r="L119">
        <v>0</v>
      </c>
      <c r="M119" s="5">
        <f t="shared" si="13"/>
        <v>0</v>
      </c>
    </row>
    <row r="120" spans="1:13" ht="13">
      <c r="A120" s="1">
        <v>3029</v>
      </c>
      <c r="B120" s="2" t="s">
        <v>814</v>
      </c>
      <c r="C120" s="289">
        <f>VLOOKUP(A120,K0kommunestruktur2020!$A$4:$P$359,11,FALSE)</f>
        <v>38670</v>
      </c>
      <c r="D120" s="289">
        <f>VLOOKUP(A120,'K19'!$A$4:$BX$425,24,FALSE)</f>
        <v>0</v>
      </c>
      <c r="E120" s="289"/>
      <c r="F120" s="289">
        <f>VLOOKUP(A120,K0kommunestruktur2020!$A$4:$P$359,12,FALSE)</f>
        <v>1265826</v>
      </c>
      <c r="G120" s="289">
        <f>VLOOKUP(A120,'K19'!$A$4:$BX$425,31,FALSE)</f>
        <v>41906</v>
      </c>
      <c r="H120" s="289">
        <f>VLOOKUP(A120,'K19'!$A$4:$BX$425,32,FALSE)</f>
        <v>0</v>
      </c>
      <c r="I120" s="289">
        <f>VLOOKUP(A120,'K19'!$A$4:$BX$425,65,FALSE)</f>
        <v>0</v>
      </c>
      <c r="J120" s="289">
        <f>VLOOKUP(A120,K0kommunestruktur2020!$A$4:$P$359,14,FALSE)</f>
        <v>1334160</v>
      </c>
      <c r="K120" s="517"/>
      <c r="L120">
        <v>0</v>
      </c>
      <c r="M120" s="5">
        <f t="shared" si="13"/>
        <v>0</v>
      </c>
    </row>
    <row r="121" spans="1:13" ht="13">
      <c r="A121" s="878">
        <v>3030</v>
      </c>
      <c r="B121" s="883" t="s">
        <v>1624</v>
      </c>
      <c r="C121" s="919">
        <f>VLOOKUP(A121,K0kommunestruktur2020!$A$4:$P$359,11,FALSE)</f>
        <v>83165.148104530002</v>
      </c>
      <c r="D121" s="919">
        <f>+D382</f>
        <v>5500</v>
      </c>
      <c r="E121" s="919"/>
      <c r="F121" s="919">
        <f>VLOOKUP(A121,K0kommunestruktur2020!$A$4:$P$359,12,FALSE)</f>
        <v>2580671.4667957784</v>
      </c>
      <c r="G121" s="919">
        <f t="shared" ref="G121:I121" si="23">+G382</f>
        <v>8245</v>
      </c>
      <c r="H121" s="919">
        <f t="shared" si="23"/>
        <v>0</v>
      </c>
      <c r="I121" s="919">
        <f t="shared" si="23"/>
        <v>8668</v>
      </c>
      <c r="J121" s="919">
        <f>VLOOKUP(A121,K0kommunestruktur2020!$A$4:$P$359,14,FALSE)</f>
        <v>2728516.5400375482</v>
      </c>
      <c r="K121" s="517"/>
      <c r="L121">
        <v>0</v>
      </c>
      <c r="M121" s="5">
        <f t="shared" si="13"/>
        <v>0</v>
      </c>
    </row>
    <row r="122" spans="1:13" ht="13">
      <c r="A122" s="1">
        <v>3031</v>
      </c>
      <c r="B122" s="2" t="s">
        <v>816</v>
      </c>
      <c r="C122" s="289">
        <f>VLOOKUP(A122,K0kommunestruktur2020!$A$4:$P$359,11,FALSE)</f>
        <v>23545</v>
      </c>
      <c r="D122" s="289">
        <f>VLOOKUP(A122,'K19'!$A$4:$BX$425,24,FALSE)</f>
        <v>3100</v>
      </c>
      <c r="E122" s="289"/>
      <c r="F122" s="289">
        <f>VLOOKUP(A122,K0kommunestruktur2020!$A$4:$P$359,12,FALSE)</f>
        <v>775033</v>
      </c>
      <c r="G122" s="289">
        <f>VLOOKUP(A122,'K19'!$A$4:$BX$425,31,FALSE)</f>
        <v>0</v>
      </c>
      <c r="H122" s="289">
        <f>VLOOKUP(A122,'K19'!$A$4:$BX$425,32,FALSE)</f>
        <v>0</v>
      </c>
      <c r="I122" s="289">
        <f>VLOOKUP(A122,'K19'!$A$4:$BX$425,65,FALSE)</f>
        <v>0</v>
      </c>
      <c r="J122" s="289">
        <f>VLOOKUP(A122,K0kommunestruktur2020!$A$4:$P$359,14,FALSE)</f>
        <v>808965</v>
      </c>
      <c r="K122" s="517"/>
      <c r="L122">
        <v>0</v>
      </c>
      <c r="M122" s="5">
        <f t="shared" si="13"/>
        <v>0</v>
      </c>
    </row>
    <row r="123" spans="1:13" ht="13">
      <c r="A123" s="1">
        <v>3032</v>
      </c>
      <c r="B123" s="2" t="s">
        <v>817</v>
      </c>
      <c r="C123" s="289">
        <f>VLOOKUP(A123,K0kommunestruktur2020!$A$4:$P$359,11,FALSE)</f>
        <v>6704</v>
      </c>
      <c r="D123" s="289">
        <f>VLOOKUP(A123,'K19'!$A$4:$BX$425,24,FALSE)</f>
        <v>1200</v>
      </c>
      <c r="E123" s="289"/>
      <c r="F123" s="289">
        <f>VLOOKUP(A123,K0kommunestruktur2020!$A$4:$P$359,12,FALSE)</f>
        <v>242251</v>
      </c>
      <c r="G123" s="289">
        <f>VLOOKUP(A123,'K19'!$A$4:$BX$425,31,FALSE)</f>
        <v>2181</v>
      </c>
      <c r="H123" s="289">
        <f>VLOOKUP(A123,'K19'!$A$4:$BX$425,32,FALSE)</f>
        <v>0</v>
      </c>
      <c r="I123" s="289">
        <f>VLOOKUP(A123,'K19'!$A$4:$BX$425,65,FALSE)</f>
        <v>0</v>
      </c>
      <c r="J123" s="289">
        <f>VLOOKUP(A123,K0kommunestruktur2020!$A$4:$P$359,14,FALSE)</f>
        <v>249562</v>
      </c>
      <c r="K123" s="517"/>
      <c r="L123">
        <v>0</v>
      </c>
      <c r="M123" s="5">
        <f t="shared" si="13"/>
        <v>0</v>
      </c>
    </row>
    <row r="124" spans="1:13" ht="13">
      <c r="A124" s="1">
        <v>3033</v>
      </c>
      <c r="B124" s="2" t="s">
        <v>818</v>
      </c>
      <c r="C124" s="289">
        <f>VLOOKUP(A124,K0kommunestruktur2020!$A$4:$P$359,11,FALSE)</f>
        <v>36576</v>
      </c>
      <c r="D124" s="289">
        <f>VLOOKUP(A124,'K19'!$A$4:$BX$425,24,FALSE)</f>
        <v>5600</v>
      </c>
      <c r="E124" s="289"/>
      <c r="F124" s="289">
        <f>VLOOKUP(A124,K0kommunestruktur2020!$A$4:$P$359,12,FALSE)</f>
        <v>1072566</v>
      </c>
      <c r="G124" s="289">
        <f>VLOOKUP(A124,'K19'!$A$4:$BX$425,31,FALSE)</f>
        <v>37996</v>
      </c>
      <c r="H124" s="289">
        <f>VLOOKUP(A124,'K19'!$A$4:$BX$425,32,FALSE)</f>
        <v>-11920</v>
      </c>
      <c r="I124" s="289">
        <f>VLOOKUP(A124,'K19'!$A$4:$BX$425,65,FALSE)</f>
        <v>0</v>
      </c>
      <c r="J124" s="289">
        <f>VLOOKUP(A124,K0kommunestruktur2020!$A$4:$P$359,14,FALSE)</f>
        <v>1141275</v>
      </c>
      <c r="K124" s="517"/>
      <c r="L124">
        <v>0</v>
      </c>
      <c r="M124" s="5">
        <f t="shared" si="13"/>
        <v>-11920</v>
      </c>
    </row>
    <row r="125" spans="1:13" ht="13">
      <c r="A125" s="1">
        <v>3034</v>
      </c>
      <c r="B125" s="2" t="s">
        <v>819</v>
      </c>
      <c r="C125" s="289">
        <f>VLOOKUP(A125,K0kommunestruktur2020!$A$4:$P$359,11,FALSE)</f>
        <v>22345.745305</v>
      </c>
      <c r="D125" s="289">
        <f>VLOOKUP(A125,'K19'!$A$4:$BX$425,24,FALSE)</f>
        <v>3900</v>
      </c>
      <c r="E125" s="289"/>
      <c r="F125" s="289">
        <f>VLOOKUP(A125,K0kommunestruktur2020!$A$4:$P$359,12,FALSE)</f>
        <v>581288.26940818131</v>
      </c>
      <c r="G125" s="289">
        <f>VLOOKUP(A125,'K19'!$A$4:$BX$425,31,FALSE)</f>
        <v>8083</v>
      </c>
      <c r="H125" s="289">
        <f>VLOOKUP(A125,'K19'!$A$4:$BX$425,32,FALSE)</f>
        <v>0</v>
      </c>
      <c r="I125" s="289">
        <f>VLOOKUP(A125,'K19'!$A$4:$BX$425,65,FALSE)</f>
        <v>0</v>
      </c>
      <c r="J125" s="289">
        <f>VLOOKUP(A125,K0kommunestruktur2020!$A$4:$P$359,14,FALSE)</f>
        <v>607824.67936943111</v>
      </c>
      <c r="K125" s="517"/>
      <c r="L125">
        <v>0</v>
      </c>
      <c r="M125" s="5">
        <f t="shared" si="13"/>
        <v>0</v>
      </c>
    </row>
    <row r="126" spans="1:13" ht="13">
      <c r="A126" s="1">
        <v>3035</v>
      </c>
      <c r="B126" s="2" t="s">
        <v>820</v>
      </c>
      <c r="C126" s="289">
        <f>VLOOKUP(A126,K0kommunestruktur2020!$A$4:$P$359,11,FALSE)</f>
        <v>24647</v>
      </c>
      <c r="D126" s="289">
        <f>VLOOKUP(A126,'K19'!$A$4:$BX$425,24,FALSE)</f>
        <v>4000</v>
      </c>
      <c r="E126" s="289"/>
      <c r="F126" s="289">
        <f>VLOOKUP(A126,K0kommunestruktur2020!$A$4:$P$359,12,FALSE)</f>
        <v>626457</v>
      </c>
      <c r="G126" s="289">
        <f>VLOOKUP(A126,'K19'!$A$4:$BX$425,31,FALSE)</f>
        <v>8427</v>
      </c>
      <c r="H126" s="289">
        <f>VLOOKUP(A126,'K19'!$A$4:$BX$425,32,FALSE)</f>
        <v>0</v>
      </c>
      <c r="I126" s="289">
        <f>VLOOKUP(A126,'K19'!$A$4:$BX$425,65,FALSE)</f>
        <v>0</v>
      </c>
      <c r="J126" s="289">
        <f>VLOOKUP(A126,K0kommunestruktur2020!$A$4:$P$359,14,FALSE)</f>
        <v>645346</v>
      </c>
      <c r="K126" s="517"/>
      <c r="L126">
        <v>0</v>
      </c>
      <c r="M126" s="5">
        <f t="shared" si="13"/>
        <v>0</v>
      </c>
    </row>
    <row r="127" spans="1:13" ht="13">
      <c r="A127" s="1">
        <v>3036</v>
      </c>
      <c r="B127" s="2" t="s">
        <v>821</v>
      </c>
      <c r="C127" s="289">
        <f>VLOOKUP(A127,K0kommunestruktur2020!$A$4:$P$359,11,FALSE)</f>
        <v>13240</v>
      </c>
      <c r="D127" s="289">
        <f>VLOOKUP(A127,'K19'!$A$4:$BX$425,24,FALSE)</f>
        <v>4700</v>
      </c>
      <c r="E127" s="289"/>
      <c r="F127" s="289">
        <f>VLOOKUP(A127,K0kommunestruktur2020!$A$4:$P$359,12,FALSE)</f>
        <v>355948</v>
      </c>
      <c r="G127" s="289">
        <f>VLOOKUP(A127,'K19'!$A$4:$BX$425,31,FALSE)</f>
        <v>17694</v>
      </c>
      <c r="H127" s="289">
        <f>VLOOKUP(A127,'K19'!$A$4:$BX$425,32,FALSE)</f>
        <v>-7430</v>
      </c>
      <c r="I127" s="289">
        <f>VLOOKUP(A127,'K19'!$A$4:$BX$425,65,FALSE)</f>
        <v>0</v>
      </c>
      <c r="J127" s="289">
        <f>VLOOKUP(A127,K0kommunestruktur2020!$A$4:$P$359,14,FALSE)</f>
        <v>376725</v>
      </c>
      <c r="K127" s="517"/>
      <c r="L127">
        <v>0</v>
      </c>
      <c r="M127" s="5">
        <f t="shared" si="13"/>
        <v>-7430</v>
      </c>
    </row>
    <row r="128" spans="1:13" ht="13">
      <c r="A128" s="1">
        <v>3037</v>
      </c>
      <c r="B128" s="2" t="s">
        <v>822</v>
      </c>
      <c r="C128" s="289">
        <f>VLOOKUP(A128,K0kommunestruktur2020!$A$4:$P$359,11,FALSE)</f>
        <v>2903</v>
      </c>
      <c r="D128" s="289">
        <f>VLOOKUP(A128,'K19'!$A$4:$BX$425,24,FALSE)</f>
        <v>1400</v>
      </c>
      <c r="E128" s="289"/>
      <c r="F128" s="289">
        <f>VLOOKUP(A128,K0kommunestruktur2020!$A$4:$P$359,12,FALSE)</f>
        <v>65315</v>
      </c>
      <c r="G128" s="289">
        <f>VLOOKUP(A128,'K19'!$A$4:$BX$425,31,FALSE)</f>
        <v>677</v>
      </c>
      <c r="H128" s="289">
        <f>VLOOKUP(A128,'K19'!$A$4:$BX$425,32,FALSE)</f>
        <v>0</v>
      </c>
      <c r="I128" s="289">
        <f>VLOOKUP(A128,'K19'!$A$4:$BX$425,65,FALSE)</f>
        <v>0</v>
      </c>
      <c r="J128" s="289">
        <f>VLOOKUP(A128,K0kommunestruktur2020!$A$4:$P$359,14,FALSE)</f>
        <v>69523</v>
      </c>
      <c r="K128" s="517"/>
      <c r="L128">
        <v>0</v>
      </c>
      <c r="M128" s="5">
        <f t="shared" si="13"/>
        <v>0</v>
      </c>
    </row>
    <row r="129" spans="1:13" ht="13">
      <c r="A129" s="1">
        <v>3038</v>
      </c>
      <c r="B129" s="2" t="s">
        <v>874</v>
      </c>
      <c r="C129" s="289">
        <f>VLOOKUP(A129,K0kommunestruktur2020!$A$4:$P$359,11,FALSE)</f>
        <v>6833</v>
      </c>
      <c r="D129" s="289">
        <f>VLOOKUP(A129,'K19'!$A$4:$BX$425,24,FALSE)</f>
        <v>750</v>
      </c>
      <c r="E129" s="289"/>
      <c r="F129" s="289">
        <f>VLOOKUP(A129,K0kommunestruktur2020!$A$4:$P$359,12,FALSE)</f>
        <v>231734</v>
      </c>
      <c r="G129" s="289">
        <f>VLOOKUP(A129,'K19'!$A$4:$BX$425,31,FALSE)</f>
        <v>0</v>
      </c>
      <c r="H129" s="289">
        <f>VLOOKUP(A129,'K19'!$A$4:$BX$425,32,FALSE)</f>
        <v>0</v>
      </c>
      <c r="I129" s="289">
        <f>VLOOKUP(A129,'K19'!$A$4:$BX$425,65,FALSE)</f>
        <v>0</v>
      </c>
      <c r="J129" s="289">
        <f>VLOOKUP(A129,K0kommunestruktur2020!$A$4:$P$359,14,FALSE)</f>
        <v>257243</v>
      </c>
      <c r="K129" s="517"/>
      <c r="L129">
        <v>0</v>
      </c>
      <c r="M129" s="5">
        <f t="shared" si="13"/>
        <v>0</v>
      </c>
    </row>
    <row r="130" spans="1:13" ht="13">
      <c r="A130" s="1">
        <v>3039</v>
      </c>
      <c r="B130" s="2" t="s">
        <v>875</v>
      </c>
      <c r="C130" s="289">
        <f>VLOOKUP(A130,K0kommunestruktur2020!$A$4:$P$359,11,FALSE)</f>
        <v>1069</v>
      </c>
      <c r="D130" s="289">
        <f>VLOOKUP(A130,'K19'!$A$4:$BX$425,24,FALSE)</f>
        <v>0</v>
      </c>
      <c r="E130" s="289"/>
      <c r="F130" s="289">
        <f>VLOOKUP(A130,K0kommunestruktur2020!$A$4:$P$359,12,FALSE)</f>
        <v>31909</v>
      </c>
      <c r="G130" s="289">
        <f>VLOOKUP(A130,'K19'!$A$4:$BX$425,31,FALSE)</f>
        <v>0</v>
      </c>
      <c r="H130" s="289">
        <f>VLOOKUP(A130,'K19'!$A$4:$BX$425,32,FALSE)</f>
        <v>0</v>
      </c>
      <c r="I130" s="289">
        <f>VLOOKUP(A130,'K19'!$A$4:$BX$425,65,FALSE)</f>
        <v>0</v>
      </c>
      <c r="J130" s="289">
        <f>VLOOKUP(A130,K0kommunestruktur2020!$A$4:$P$359,14,FALSE)</f>
        <v>33020</v>
      </c>
      <c r="K130" s="517"/>
      <c r="L130">
        <v>0</v>
      </c>
      <c r="M130" s="5">
        <f t="shared" si="13"/>
        <v>0</v>
      </c>
    </row>
    <row r="131" spans="1:13" ht="13">
      <c r="A131" s="1">
        <v>3040</v>
      </c>
      <c r="B131" s="2" t="s">
        <v>1966</v>
      </c>
      <c r="C131" s="289">
        <f>VLOOKUP(A131,K0kommunestruktur2020!$A$4:$P$359,11,FALSE)</f>
        <v>3341</v>
      </c>
      <c r="D131" s="289">
        <f>VLOOKUP(A131,'K19'!$A$4:$BX$425,24,FALSE)</f>
        <v>1000</v>
      </c>
      <c r="E131" s="289"/>
      <c r="F131" s="289">
        <f>VLOOKUP(A131,K0kommunestruktur2020!$A$4:$P$359,12,FALSE)</f>
        <v>98315</v>
      </c>
      <c r="G131" s="289">
        <f>VLOOKUP(A131,'K19'!$A$4:$BX$425,31,FALSE)</f>
        <v>0</v>
      </c>
      <c r="H131" s="289">
        <f>VLOOKUP(A131,'K19'!$A$4:$BX$425,32,FALSE)</f>
        <v>0</v>
      </c>
      <c r="I131" s="289">
        <f>VLOOKUP(A131,'K19'!$A$4:$BX$425,65,FALSE)</f>
        <v>0</v>
      </c>
      <c r="J131" s="289">
        <f>VLOOKUP(A131,K0kommunestruktur2020!$A$4:$P$359,14,FALSE)</f>
        <v>101815</v>
      </c>
      <c r="K131" s="517"/>
      <c r="L131">
        <v>0</v>
      </c>
      <c r="M131" s="5">
        <f t="shared" si="13"/>
        <v>0</v>
      </c>
    </row>
    <row r="132" spans="1:13" ht="13">
      <c r="A132" s="1">
        <v>3041</v>
      </c>
      <c r="B132" s="2" t="s">
        <v>876</v>
      </c>
      <c r="C132" s="289">
        <f>VLOOKUP(A132,K0kommunestruktur2020!$A$4:$P$359,11,FALSE)</f>
        <v>4566</v>
      </c>
      <c r="D132" s="289">
        <f>VLOOKUP(A132,'K19'!$A$4:$BX$425,24,FALSE)</f>
        <v>1500</v>
      </c>
      <c r="E132" s="289"/>
      <c r="F132" s="289">
        <f>VLOOKUP(A132,K0kommunestruktur2020!$A$4:$P$359,12,FALSE)</f>
        <v>141637</v>
      </c>
      <c r="G132" s="289">
        <f>VLOOKUP(A132,'K19'!$A$4:$BX$425,31,FALSE)</f>
        <v>0</v>
      </c>
      <c r="H132" s="289">
        <f>VLOOKUP(A132,'K19'!$A$4:$BX$425,32,FALSE)</f>
        <v>0</v>
      </c>
      <c r="I132" s="289">
        <f>VLOOKUP(A132,'K19'!$A$4:$BX$425,65,FALSE)</f>
        <v>0</v>
      </c>
      <c r="J132" s="289">
        <f>VLOOKUP(A132,K0kommunestruktur2020!$A$4:$P$359,14,FALSE)</f>
        <v>143094</v>
      </c>
      <c r="K132" s="517"/>
      <c r="L132">
        <v>0</v>
      </c>
      <c r="M132" s="5">
        <f t="shared" si="13"/>
        <v>0</v>
      </c>
    </row>
    <row r="133" spans="1:13" ht="13">
      <c r="A133" s="1">
        <v>3042</v>
      </c>
      <c r="B133" s="2" t="s">
        <v>877</v>
      </c>
      <c r="C133" s="289">
        <f>VLOOKUP(A133,K0kommunestruktur2020!$A$4:$P$359,11,FALSE)</f>
        <v>2457</v>
      </c>
      <c r="D133" s="289">
        <f>VLOOKUP(A133,'K19'!$A$4:$BX$425,24,FALSE)</f>
        <v>0</v>
      </c>
      <c r="E133" s="289"/>
      <c r="F133" s="289">
        <f>VLOOKUP(A133,K0kommunestruktur2020!$A$4:$P$359,12,FALSE)</f>
        <v>84916</v>
      </c>
      <c r="G133" s="289">
        <f>VLOOKUP(A133,'K19'!$A$4:$BX$425,31,FALSE)</f>
        <v>263</v>
      </c>
      <c r="H133" s="289">
        <f>VLOOKUP(A133,'K19'!$A$4:$BX$425,32,FALSE)</f>
        <v>0</v>
      </c>
      <c r="I133" s="289">
        <f>VLOOKUP(A133,'K19'!$A$4:$BX$425,65,FALSE)</f>
        <v>0</v>
      </c>
      <c r="J133" s="289">
        <f>VLOOKUP(A133,K0kommunestruktur2020!$A$4:$P$359,14,FALSE)</f>
        <v>89794</v>
      </c>
      <c r="K133" s="517"/>
      <c r="L133">
        <v>0</v>
      </c>
      <c r="M133" s="5">
        <f t="shared" ref="M133:M196" si="24">+H133-L133</f>
        <v>0</v>
      </c>
    </row>
    <row r="134" spans="1:13" ht="13">
      <c r="A134" s="1">
        <v>3043</v>
      </c>
      <c r="B134" s="2" t="s">
        <v>878</v>
      </c>
      <c r="C134" s="289">
        <f>VLOOKUP(A134,K0kommunestruktur2020!$A$4:$P$359,11,FALSE)</f>
        <v>4626</v>
      </c>
      <c r="D134" s="289">
        <f>VLOOKUP(A134,'K19'!$A$4:$BX$425,24,FALSE)</f>
        <v>1350</v>
      </c>
      <c r="E134" s="289"/>
      <c r="F134" s="289">
        <f>VLOOKUP(A134,K0kommunestruktur2020!$A$4:$P$359,12,FALSE)</f>
        <v>141581</v>
      </c>
      <c r="G134" s="289">
        <f>VLOOKUP(A134,'K19'!$A$4:$BX$425,31,FALSE)</f>
        <v>0</v>
      </c>
      <c r="H134" s="289">
        <f>VLOOKUP(A134,'K19'!$A$4:$BX$425,32,FALSE)</f>
        <v>0</v>
      </c>
      <c r="I134" s="289">
        <f>VLOOKUP(A134,'K19'!$A$4:$BX$425,65,FALSE)</f>
        <v>0</v>
      </c>
      <c r="J134" s="289">
        <f>VLOOKUP(A134,K0kommunestruktur2020!$A$4:$P$359,14,FALSE)</f>
        <v>146024</v>
      </c>
      <c r="K134" s="517"/>
      <c r="L134">
        <v>0</v>
      </c>
      <c r="M134" s="5">
        <f t="shared" si="24"/>
        <v>0</v>
      </c>
    </row>
    <row r="135" spans="1:13" ht="13">
      <c r="A135" s="1">
        <v>3044</v>
      </c>
      <c r="B135" s="2" t="s">
        <v>880</v>
      </c>
      <c r="C135" s="289">
        <f>VLOOKUP(A135,K0kommunestruktur2020!$A$4:$P$359,11,FALSE)</f>
        <v>4520</v>
      </c>
      <c r="D135" s="289">
        <f>VLOOKUP(A135,'K19'!$A$4:$BX$425,24,FALSE)</f>
        <v>0</v>
      </c>
      <c r="E135" s="289"/>
      <c r="F135" s="289">
        <f>VLOOKUP(A135,K0kommunestruktur2020!$A$4:$P$359,12,FALSE)</f>
        <v>178343</v>
      </c>
      <c r="G135" s="289">
        <f>VLOOKUP(A135,'K19'!$A$4:$BX$425,31,FALSE)</f>
        <v>0</v>
      </c>
      <c r="H135" s="289">
        <f>VLOOKUP(A135,'K19'!$A$4:$BX$425,32,FALSE)</f>
        <v>0</v>
      </c>
      <c r="I135" s="289">
        <f>VLOOKUP(A135,'K19'!$A$4:$BX$425,65,FALSE)</f>
        <v>0</v>
      </c>
      <c r="J135" s="289">
        <f>VLOOKUP(A135,K0kommunestruktur2020!$A$4:$P$359,14,FALSE)</f>
        <v>199023</v>
      </c>
      <c r="K135" s="517"/>
      <c r="L135">
        <v>0</v>
      </c>
      <c r="M135" s="5">
        <f t="shared" si="24"/>
        <v>0</v>
      </c>
    </row>
    <row r="136" spans="1:13" ht="13">
      <c r="A136" s="1">
        <v>3045</v>
      </c>
      <c r="B136" s="2" t="s">
        <v>881</v>
      </c>
      <c r="C136" s="289">
        <f>VLOOKUP(A136,K0kommunestruktur2020!$A$4:$P$359,11,FALSE)</f>
        <v>3488</v>
      </c>
      <c r="D136" s="289">
        <f>VLOOKUP(A136,'K19'!$A$4:$BX$425,24,FALSE)</f>
        <v>1250</v>
      </c>
      <c r="E136" s="289"/>
      <c r="F136" s="289">
        <f>VLOOKUP(A136,K0kommunestruktur2020!$A$4:$P$359,12,FALSE)</f>
        <v>98498</v>
      </c>
      <c r="G136" s="289">
        <f>VLOOKUP(A136,'K19'!$A$4:$BX$425,31,FALSE)</f>
        <v>0</v>
      </c>
      <c r="H136" s="289">
        <f>VLOOKUP(A136,'K19'!$A$4:$BX$425,32,FALSE)</f>
        <v>0</v>
      </c>
      <c r="I136" s="289">
        <f>VLOOKUP(A136,'K19'!$A$4:$BX$425,65,FALSE)</f>
        <v>0</v>
      </c>
      <c r="J136" s="289">
        <f>VLOOKUP(A136,K0kommunestruktur2020!$A$4:$P$359,14,FALSE)</f>
        <v>106548</v>
      </c>
      <c r="K136" s="517"/>
      <c r="L136">
        <v>0</v>
      </c>
      <c r="M136" s="5">
        <f t="shared" si="24"/>
        <v>0</v>
      </c>
    </row>
    <row r="137" spans="1:13" ht="13">
      <c r="A137" s="1">
        <v>3046</v>
      </c>
      <c r="B137" s="2" t="s">
        <v>882</v>
      </c>
      <c r="C137" s="289">
        <f>VLOOKUP(A137,K0kommunestruktur2020!$A$4:$P$359,11,FALSE)</f>
        <v>2277</v>
      </c>
      <c r="D137" s="289">
        <f>VLOOKUP(A137,'K19'!$A$4:$BX$425,24,FALSE)</f>
        <v>1000</v>
      </c>
      <c r="E137" s="289"/>
      <c r="F137" s="289">
        <f>VLOOKUP(A137,K0kommunestruktur2020!$A$4:$P$359,12,FALSE)</f>
        <v>72970</v>
      </c>
      <c r="G137" s="289">
        <f>VLOOKUP(A137,'K19'!$A$4:$BX$425,31,FALSE)</f>
        <v>0</v>
      </c>
      <c r="H137" s="289">
        <f>VLOOKUP(A137,'K19'!$A$4:$BX$425,32,FALSE)</f>
        <v>0</v>
      </c>
      <c r="I137" s="289">
        <f>VLOOKUP(A137,'K19'!$A$4:$BX$425,65,FALSE)</f>
        <v>0</v>
      </c>
      <c r="J137" s="289">
        <f>VLOOKUP(A137,K0kommunestruktur2020!$A$4:$P$359,14,FALSE)</f>
        <v>75843</v>
      </c>
      <c r="K137" s="517"/>
      <c r="L137">
        <v>0</v>
      </c>
      <c r="M137" s="5">
        <f t="shared" si="24"/>
        <v>0</v>
      </c>
    </row>
    <row r="138" spans="1:13" ht="13">
      <c r="A138" s="1">
        <v>3047</v>
      </c>
      <c r="B138" s="2" t="s">
        <v>883</v>
      </c>
      <c r="C138" s="289">
        <f>VLOOKUP(A138,K0kommunestruktur2020!$A$4:$P$359,11,FALSE)</f>
        <v>13880</v>
      </c>
      <c r="D138" s="289">
        <f>VLOOKUP(A138,'K19'!$A$4:$BX$425,24,FALSE)</f>
        <v>2250</v>
      </c>
      <c r="E138" s="289"/>
      <c r="F138" s="289">
        <f>VLOOKUP(A138,K0kommunestruktur2020!$A$4:$P$359,12,FALSE)</f>
        <v>373875</v>
      </c>
      <c r="G138" s="289">
        <f>VLOOKUP(A138,'K19'!$A$4:$BX$425,31,FALSE)</f>
        <v>0</v>
      </c>
      <c r="H138" s="289">
        <f>VLOOKUP(A138,'K19'!$A$4:$BX$425,32,FALSE)</f>
        <v>0</v>
      </c>
      <c r="I138" s="289">
        <f>VLOOKUP(A138,'K19'!$A$4:$BX$425,65,FALSE)</f>
        <v>0</v>
      </c>
      <c r="J138" s="289">
        <f>VLOOKUP(A138,K0kommunestruktur2020!$A$4:$P$359,14,FALSE)</f>
        <v>389481</v>
      </c>
      <c r="K138" s="517"/>
      <c r="L138">
        <v>0</v>
      </c>
      <c r="M138" s="5">
        <f t="shared" si="24"/>
        <v>0</v>
      </c>
    </row>
    <row r="139" spans="1:13" ht="13">
      <c r="A139" s="1">
        <v>3048</v>
      </c>
      <c r="B139" s="2" t="s">
        <v>884</v>
      </c>
      <c r="C139" s="289">
        <f>VLOOKUP(A139,K0kommunestruktur2020!$A$4:$P$359,11,FALSE)</f>
        <v>18926</v>
      </c>
      <c r="D139" s="289">
        <f>VLOOKUP(A139,'K19'!$A$4:$BX$425,24,FALSE)</f>
        <v>3000</v>
      </c>
      <c r="E139" s="289"/>
      <c r="F139" s="289">
        <f>VLOOKUP(A139,K0kommunestruktur2020!$A$4:$P$359,12,FALSE)</f>
        <v>525047</v>
      </c>
      <c r="G139" s="289">
        <f>VLOOKUP(A139,'K19'!$A$4:$BX$425,31,FALSE)</f>
        <v>2369</v>
      </c>
      <c r="H139" s="289">
        <f>VLOOKUP(A139,'K19'!$A$4:$BX$425,32,FALSE)</f>
        <v>0</v>
      </c>
      <c r="I139" s="289">
        <f>VLOOKUP(A139,'K19'!$A$4:$BX$425,65,FALSE)</f>
        <v>0</v>
      </c>
      <c r="J139" s="289">
        <f>VLOOKUP(A139,K0kommunestruktur2020!$A$4:$P$359,14,FALSE)</f>
        <v>555986</v>
      </c>
      <c r="K139" s="517"/>
      <c r="L139">
        <v>0</v>
      </c>
      <c r="M139" s="5">
        <f t="shared" si="24"/>
        <v>0</v>
      </c>
    </row>
    <row r="140" spans="1:13" ht="13">
      <c r="A140" s="1">
        <v>3049</v>
      </c>
      <c r="B140" s="2" t="s">
        <v>886</v>
      </c>
      <c r="C140" s="289">
        <f>VLOOKUP(A140,K0kommunestruktur2020!$A$4:$P$359,11,FALSE)</f>
        <v>25980</v>
      </c>
      <c r="D140" s="289">
        <f>VLOOKUP(A140,'K19'!$A$4:$BX$425,24,FALSE)</f>
        <v>2750</v>
      </c>
      <c r="E140" s="289"/>
      <c r="F140" s="289">
        <f>VLOOKUP(A140,K0kommunestruktur2020!$A$4:$P$359,12,FALSE)</f>
        <v>880691</v>
      </c>
      <c r="G140" s="289">
        <f>VLOOKUP(A140,'K19'!$A$4:$BX$425,31,FALSE)</f>
        <v>0</v>
      </c>
      <c r="H140" s="289">
        <f>VLOOKUP(A140,'K19'!$A$4:$BX$425,32,FALSE)</f>
        <v>0</v>
      </c>
      <c r="I140" s="289">
        <f>VLOOKUP(A140,'K19'!$A$4:$BX$425,65,FALSE)</f>
        <v>0</v>
      </c>
      <c r="J140" s="289">
        <f>VLOOKUP(A140,K0kommunestruktur2020!$A$4:$P$359,14,FALSE)</f>
        <v>925263</v>
      </c>
      <c r="K140" s="517"/>
      <c r="L140">
        <v>0</v>
      </c>
      <c r="M140" s="5">
        <f t="shared" si="24"/>
        <v>0</v>
      </c>
    </row>
    <row r="141" spans="1:13" ht="13">
      <c r="A141" s="1">
        <v>3050</v>
      </c>
      <c r="B141" s="2" t="s">
        <v>889</v>
      </c>
      <c r="C141" s="289">
        <f>VLOOKUP(A141,K0kommunestruktur2020!$A$4:$P$359,11,FALSE)</f>
        <v>2688</v>
      </c>
      <c r="D141" s="289">
        <f>VLOOKUP(A141,'K19'!$A$4:$BX$425,24,FALSE)</f>
        <v>1250</v>
      </c>
      <c r="E141" s="289"/>
      <c r="F141" s="289">
        <f>VLOOKUP(A141,K0kommunestruktur2020!$A$4:$P$359,12,FALSE)</f>
        <v>75809</v>
      </c>
      <c r="G141" s="289">
        <f>VLOOKUP(A141,'K19'!$A$4:$BX$425,31,FALSE)</f>
        <v>0</v>
      </c>
      <c r="H141" s="289">
        <f>VLOOKUP(A141,'K19'!$A$4:$BX$425,32,FALSE)</f>
        <v>0</v>
      </c>
      <c r="I141" s="289">
        <f>VLOOKUP(A141,'K19'!$A$4:$BX$425,65,FALSE)</f>
        <v>0</v>
      </c>
      <c r="J141" s="289">
        <f>VLOOKUP(A141,K0kommunestruktur2020!$A$4:$P$359,14,FALSE)</f>
        <v>84542</v>
      </c>
      <c r="K141" s="517"/>
      <c r="L141">
        <v>0</v>
      </c>
      <c r="M141" s="5">
        <f t="shared" si="24"/>
        <v>0</v>
      </c>
    </row>
    <row r="142" spans="1:13" ht="13">
      <c r="A142" s="1">
        <v>3051</v>
      </c>
      <c r="B142" s="2" t="s">
        <v>890</v>
      </c>
      <c r="C142" s="289">
        <f>VLOOKUP(A142,K0kommunestruktur2020!$A$4:$P$359,11,FALSE)</f>
        <v>1411</v>
      </c>
      <c r="D142" s="289">
        <f>VLOOKUP(A142,'K19'!$A$4:$BX$425,24,FALSE)</f>
        <v>1250</v>
      </c>
      <c r="E142" s="289"/>
      <c r="F142" s="289">
        <f>VLOOKUP(A142,K0kommunestruktur2020!$A$4:$P$359,12,FALSE)</f>
        <v>41136</v>
      </c>
      <c r="G142" s="289">
        <f>VLOOKUP(A142,'K19'!$A$4:$BX$425,31,FALSE)</f>
        <v>0</v>
      </c>
      <c r="H142" s="289">
        <f>VLOOKUP(A142,'K19'!$A$4:$BX$425,32,FALSE)</f>
        <v>0</v>
      </c>
      <c r="I142" s="289">
        <f>VLOOKUP(A142,'K19'!$A$4:$BX$425,65,FALSE)</f>
        <v>0</v>
      </c>
      <c r="J142" s="289">
        <f>VLOOKUP(A142,K0kommunestruktur2020!$A$4:$P$359,14,FALSE)</f>
        <v>41486</v>
      </c>
      <c r="K142" s="517"/>
      <c r="L142">
        <v>0</v>
      </c>
      <c r="M142" s="5">
        <f t="shared" si="24"/>
        <v>0</v>
      </c>
    </row>
    <row r="143" spans="1:13" ht="13">
      <c r="A143" s="1">
        <v>3052</v>
      </c>
      <c r="B143" s="2" t="s">
        <v>891</v>
      </c>
      <c r="C143" s="289">
        <f>VLOOKUP(A143,K0kommunestruktur2020!$A$4:$P$359,11,FALSE)</f>
        <v>2482</v>
      </c>
      <c r="D143" s="289">
        <f>VLOOKUP(A143,'K19'!$A$4:$BX$425,24,FALSE)</f>
        <v>0</v>
      </c>
      <c r="E143" s="289"/>
      <c r="F143" s="289">
        <f>VLOOKUP(A143,K0kommunestruktur2020!$A$4:$P$359,12,FALSE)</f>
        <v>90032</v>
      </c>
      <c r="G143" s="289">
        <f>VLOOKUP(A143,'K19'!$A$4:$BX$425,31,FALSE)</f>
        <v>0</v>
      </c>
      <c r="H143" s="289">
        <f>VLOOKUP(A143,'K19'!$A$4:$BX$425,32,FALSE)</f>
        <v>0</v>
      </c>
      <c r="I143" s="289">
        <f>VLOOKUP(A143,'K19'!$A$4:$BX$425,65,FALSE)</f>
        <v>0</v>
      </c>
      <c r="J143" s="289">
        <f>VLOOKUP(A143,K0kommunestruktur2020!$A$4:$P$359,14,FALSE)</f>
        <v>93992</v>
      </c>
      <c r="K143" s="517"/>
      <c r="L143">
        <v>0</v>
      </c>
      <c r="M143" s="5">
        <f t="shared" si="24"/>
        <v>0</v>
      </c>
    </row>
    <row r="144" spans="1:13" ht="13">
      <c r="A144" s="1">
        <v>3053</v>
      </c>
      <c r="B144" s="2" t="s">
        <v>860</v>
      </c>
      <c r="C144" s="289">
        <f>VLOOKUP(A144,K0kommunestruktur2020!$A$4:$P$359,11,FALSE)</f>
        <v>6777</v>
      </c>
      <c r="D144" s="289">
        <f>VLOOKUP(A144,'K19'!$A$4:$BX$425,24,FALSE)</f>
        <v>1400</v>
      </c>
      <c r="E144" s="289"/>
      <c r="F144" s="289">
        <f>VLOOKUP(A144,K0kommunestruktur2020!$A$4:$P$359,12,FALSE)</f>
        <v>167525</v>
      </c>
      <c r="G144" s="289">
        <f>VLOOKUP(A144,'K19'!$A$4:$BX$425,31,FALSE)</f>
        <v>0</v>
      </c>
      <c r="H144" s="289">
        <f>VLOOKUP(A144,'K19'!$A$4:$BX$425,32,FALSE)</f>
        <v>0</v>
      </c>
      <c r="I144" s="289">
        <f>VLOOKUP(A144,'K19'!$A$4:$BX$425,65,FALSE)</f>
        <v>0</v>
      </c>
      <c r="J144" s="289">
        <f>VLOOKUP(A144,K0kommunestruktur2020!$A$4:$P$359,14,FALSE)</f>
        <v>172526</v>
      </c>
      <c r="K144" s="517"/>
      <c r="L144">
        <v>0</v>
      </c>
      <c r="M144" s="5">
        <f t="shared" si="24"/>
        <v>0</v>
      </c>
    </row>
    <row r="145" spans="1:13" ht="13">
      <c r="A145" s="1">
        <v>3054</v>
      </c>
      <c r="B145" s="2" t="s">
        <v>861</v>
      </c>
      <c r="C145" s="289">
        <f>VLOOKUP(A145,K0kommunestruktur2020!$A$4:$P$359,11,FALSE)</f>
        <v>9065</v>
      </c>
      <c r="D145" s="289">
        <f>VLOOKUP(A145,'K19'!$A$4:$BX$425,24,FALSE)</f>
        <v>300</v>
      </c>
      <c r="E145" s="289"/>
      <c r="F145" s="289">
        <f>VLOOKUP(A145,K0kommunestruktur2020!$A$4:$P$359,12,FALSE)</f>
        <v>250417</v>
      </c>
      <c r="G145" s="289">
        <f>VLOOKUP(A145,'K19'!$A$4:$BX$425,31,FALSE)</f>
        <v>0</v>
      </c>
      <c r="H145" s="289">
        <f>VLOOKUP(A145,'K19'!$A$4:$BX$425,32,FALSE)</f>
        <v>0</v>
      </c>
      <c r="I145" s="289">
        <f>VLOOKUP(A145,'K19'!$A$4:$BX$425,65,FALSE)</f>
        <v>0</v>
      </c>
      <c r="J145" s="289">
        <f>VLOOKUP(A145,K0kommunestruktur2020!$A$4:$P$359,14,FALSE)</f>
        <v>253205</v>
      </c>
      <c r="K145" s="517"/>
      <c r="L145">
        <v>0</v>
      </c>
      <c r="M145" s="5">
        <f t="shared" si="24"/>
        <v>0</v>
      </c>
    </row>
    <row r="146" spans="1:13" ht="13">
      <c r="A146" s="1">
        <v>3401</v>
      </c>
      <c r="B146" s="2" t="s">
        <v>824</v>
      </c>
      <c r="C146" s="289">
        <f>VLOOKUP(A146,K0kommunestruktur2020!$A$4:$P$359,11,FALSE)</f>
        <v>17934</v>
      </c>
      <c r="D146" s="289">
        <f>VLOOKUP(A146,'K19'!$A$4:$BX$425,24,FALSE)</f>
        <v>1800</v>
      </c>
      <c r="E146" s="289"/>
      <c r="F146" s="289">
        <f>VLOOKUP(A146,K0kommunestruktur2020!$A$4:$P$359,12,FALSE)</f>
        <v>464345</v>
      </c>
      <c r="G146" s="289">
        <f>VLOOKUP(A146,'K19'!$A$4:$BX$425,31,FALSE)</f>
        <v>0</v>
      </c>
      <c r="H146" s="289">
        <f>VLOOKUP(A146,'K19'!$A$4:$BX$425,32,FALSE)</f>
        <v>0</v>
      </c>
      <c r="I146" s="289">
        <f>VLOOKUP(A146,'K19'!$A$4:$BX$425,65,FALSE)</f>
        <v>0</v>
      </c>
      <c r="J146" s="289">
        <f>VLOOKUP(A146,K0kommunestruktur2020!$A$4:$P$359,14,FALSE)</f>
        <v>472995</v>
      </c>
      <c r="K146" s="517"/>
      <c r="L146">
        <v>0</v>
      </c>
      <c r="M146" s="5">
        <f t="shared" si="24"/>
        <v>0</v>
      </c>
    </row>
    <row r="147" spans="1:13" ht="13">
      <c r="A147" s="1">
        <v>3403</v>
      </c>
      <c r="B147" s="2" t="s">
        <v>825</v>
      </c>
      <c r="C147" s="289">
        <f>VLOOKUP(A147,K0kommunestruktur2020!$A$4:$P$359,11,FALSE)</f>
        <v>30930</v>
      </c>
      <c r="D147" s="289">
        <f>VLOOKUP(A147,'K19'!$A$4:$BX$425,24,FALSE)</f>
        <v>425</v>
      </c>
      <c r="E147" s="289"/>
      <c r="F147" s="289">
        <f>VLOOKUP(A147,K0kommunestruktur2020!$A$4:$P$359,12,FALSE)</f>
        <v>879991</v>
      </c>
      <c r="G147" s="289">
        <f>VLOOKUP(A147,'K19'!$A$4:$BX$425,31,FALSE)</f>
        <v>0</v>
      </c>
      <c r="H147" s="289">
        <f>VLOOKUP(A147,'K19'!$A$4:$BX$425,32,FALSE)</f>
        <v>0</v>
      </c>
      <c r="I147" s="289">
        <f>VLOOKUP(A147,'K19'!$A$4:$BX$425,65,FALSE)</f>
        <v>0</v>
      </c>
      <c r="J147" s="289">
        <f>VLOOKUP(A147,K0kommunestruktur2020!$A$4:$P$359,14,FALSE)</f>
        <v>907828</v>
      </c>
      <c r="K147" s="517"/>
      <c r="L147">
        <v>0</v>
      </c>
      <c r="M147" s="5">
        <f t="shared" si="24"/>
        <v>0</v>
      </c>
    </row>
    <row r="148" spans="1:13" ht="13">
      <c r="A148" s="1">
        <v>3405</v>
      </c>
      <c r="B148" s="2" t="s">
        <v>845</v>
      </c>
      <c r="C148" s="289">
        <f>VLOOKUP(A148,K0kommunestruktur2020!$A$4:$P$359,11,FALSE)</f>
        <v>27938</v>
      </c>
      <c r="D148" s="289">
        <f>VLOOKUP(A148,'K19'!$A$4:$BX$425,24,FALSE)</f>
        <v>1800</v>
      </c>
      <c r="E148" s="289"/>
      <c r="F148" s="289">
        <f>VLOOKUP(A148,K0kommunestruktur2020!$A$4:$P$359,12,FALSE)</f>
        <v>805350</v>
      </c>
      <c r="G148" s="289">
        <f>VLOOKUP(A148,'K19'!$A$4:$BX$425,31,FALSE)</f>
        <v>0</v>
      </c>
      <c r="H148" s="289">
        <f>VLOOKUP(A148,'K19'!$A$4:$BX$425,32,FALSE)</f>
        <v>0</v>
      </c>
      <c r="I148" s="289">
        <f>VLOOKUP(A148,'K19'!$A$4:$BX$425,65,FALSE)</f>
        <v>0</v>
      </c>
      <c r="J148" s="289">
        <f>VLOOKUP(A148,K0kommunestruktur2020!$A$4:$P$359,14,FALSE)</f>
        <v>836532</v>
      </c>
      <c r="K148" s="517"/>
      <c r="L148">
        <v>0</v>
      </c>
      <c r="M148" s="5">
        <f t="shared" si="24"/>
        <v>0</v>
      </c>
    </row>
    <row r="149" spans="1:13" ht="13">
      <c r="A149" s="1">
        <v>3407</v>
      </c>
      <c r="B149" s="2" t="s">
        <v>846</v>
      </c>
      <c r="C149" s="289">
        <f>VLOOKUP(A149,K0kommunestruktur2020!$A$4:$P$359,11,FALSE)</f>
        <v>30642</v>
      </c>
      <c r="D149" s="289">
        <f>VLOOKUP(A149,'K19'!$A$4:$BX$425,24,FALSE)</f>
        <v>4350</v>
      </c>
      <c r="E149" s="289"/>
      <c r="F149" s="289">
        <f>VLOOKUP(A149,K0kommunestruktur2020!$A$4:$P$359,12,FALSE)</f>
        <v>797745</v>
      </c>
      <c r="G149" s="289">
        <f>VLOOKUP(A149,'K19'!$A$4:$BX$425,31,FALSE)</f>
        <v>0</v>
      </c>
      <c r="H149" s="289">
        <f>VLOOKUP(A149,'K19'!$A$4:$BX$425,32,FALSE)</f>
        <v>0</v>
      </c>
      <c r="I149" s="289">
        <f>VLOOKUP(A149,'K19'!$A$4:$BX$425,65,FALSE)</f>
        <v>0</v>
      </c>
      <c r="J149" s="289">
        <f>VLOOKUP(A149,K0kommunestruktur2020!$A$4:$P$359,14,FALSE)</f>
        <v>835680</v>
      </c>
      <c r="K149" s="517"/>
      <c r="L149">
        <v>0</v>
      </c>
      <c r="M149" s="5">
        <f t="shared" si="24"/>
        <v>0</v>
      </c>
    </row>
    <row r="150" spans="1:13" ht="13">
      <c r="A150" s="1">
        <v>3411</v>
      </c>
      <c r="B150" s="2" t="s">
        <v>826</v>
      </c>
      <c r="C150" s="289">
        <f>VLOOKUP(A150,K0kommunestruktur2020!$A$4:$P$359,11,FALSE)</f>
        <v>34151</v>
      </c>
      <c r="D150" s="289">
        <f>VLOOKUP(A150,'K19'!$A$4:$BX$425,24,FALSE)</f>
        <v>2500</v>
      </c>
      <c r="E150" s="289"/>
      <c r="F150" s="289">
        <f>VLOOKUP(A150,K0kommunestruktur2020!$A$4:$P$359,12,FALSE)</f>
        <v>837000</v>
      </c>
      <c r="G150" s="289">
        <f>VLOOKUP(A150,'K19'!$A$4:$BX$425,31,FALSE)</f>
        <v>0</v>
      </c>
      <c r="H150" s="289">
        <f>VLOOKUP(A150,'K19'!$A$4:$BX$425,32,FALSE)</f>
        <v>0</v>
      </c>
      <c r="I150" s="289">
        <f>VLOOKUP(A150,'K19'!$A$4:$BX$425,65,FALSE)</f>
        <v>0</v>
      </c>
      <c r="J150" s="289">
        <f>VLOOKUP(A150,K0kommunestruktur2020!$A$4:$P$359,14,FALSE)</f>
        <v>888971</v>
      </c>
      <c r="K150" s="517"/>
      <c r="L150">
        <v>0</v>
      </c>
      <c r="M150" s="5">
        <f t="shared" si="24"/>
        <v>0</v>
      </c>
    </row>
    <row r="151" spans="1:13" ht="13">
      <c r="A151" s="1">
        <v>3412</v>
      </c>
      <c r="B151" s="2" t="s">
        <v>827</v>
      </c>
      <c r="C151" s="289">
        <f>VLOOKUP(A151,K0kommunestruktur2020!$A$4:$P$359,11,FALSE)</f>
        <v>7615</v>
      </c>
      <c r="D151" s="289">
        <f>VLOOKUP(A151,'K19'!$A$4:$BX$425,24,FALSE)</f>
        <v>1700</v>
      </c>
      <c r="E151" s="289"/>
      <c r="F151" s="289">
        <f>VLOOKUP(A151,K0kommunestruktur2020!$A$4:$P$359,12,FALSE)</f>
        <v>169501</v>
      </c>
      <c r="G151" s="289">
        <f>VLOOKUP(A151,'K19'!$A$4:$BX$425,31,FALSE)</f>
        <v>0</v>
      </c>
      <c r="H151" s="289">
        <f>VLOOKUP(A151,'K19'!$A$4:$BX$425,32,FALSE)</f>
        <v>0</v>
      </c>
      <c r="I151" s="289">
        <f>VLOOKUP(A151,'K19'!$A$4:$BX$425,65,FALSE)</f>
        <v>0</v>
      </c>
      <c r="J151" s="289">
        <f>VLOOKUP(A151,K0kommunestruktur2020!$A$4:$P$359,14,FALSE)</f>
        <v>172571</v>
      </c>
      <c r="K151" s="517"/>
      <c r="L151">
        <v>0</v>
      </c>
      <c r="M151" s="5">
        <f t="shared" si="24"/>
        <v>0</v>
      </c>
    </row>
    <row r="152" spans="1:13" ht="13">
      <c r="A152" s="1">
        <v>3413</v>
      </c>
      <c r="B152" s="2" t="s">
        <v>828</v>
      </c>
      <c r="C152" s="289">
        <f>VLOOKUP(A152,K0kommunestruktur2020!$A$4:$P$359,11,FALSE)</f>
        <v>20646</v>
      </c>
      <c r="D152" s="289">
        <f>VLOOKUP(A152,'K19'!$A$4:$BX$425,24,FALSE)</f>
        <v>2300</v>
      </c>
      <c r="E152" s="289"/>
      <c r="F152" s="289">
        <f>VLOOKUP(A152,K0kommunestruktur2020!$A$4:$P$359,12,FALSE)</f>
        <v>497212</v>
      </c>
      <c r="G152" s="289">
        <f>VLOOKUP(A152,'K19'!$A$4:$BX$425,31,FALSE)</f>
        <v>0</v>
      </c>
      <c r="H152" s="289">
        <f>VLOOKUP(A152,'K19'!$A$4:$BX$425,32,FALSE)</f>
        <v>0</v>
      </c>
      <c r="I152" s="289">
        <f>VLOOKUP(A152,'K19'!$A$4:$BX$425,65,FALSE)</f>
        <v>0</v>
      </c>
      <c r="J152" s="289">
        <f>VLOOKUP(A152,K0kommunestruktur2020!$A$4:$P$359,14,FALSE)</f>
        <v>519985</v>
      </c>
      <c r="K152" s="517"/>
      <c r="L152">
        <v>0</v>
      </c>
      <c r="M152" s="5">
        <f t="shared" si="24"/>
        <v>0</v>
      </c>
    </row>
    <row r="153" spans="1:13" ht="13">
      <c r="A153" s="1">
        <v>3414</v>
      </c>
      <c r="B153" s="2" t="s">
        <v>829</v>
      </c>
      <c r="C153" s="289">
        <f>VLOOKUP(A153,K0kommunestruktur2020!$A$4:$P$359,11,FALSE)</f>
        <v>5097</v>
      </c>
      <c r="D153" s="289">
        <f>VLOOKUP(A153,'K19'!$A$4:$BX$425,24,FALSE)</f>
        <v>2300</v>
      </c>
      <c r="E153" s="289"/>
      <c r="F153" s="289">
        <f>VLOOKUP(A153,K0kommunestruktur2020!$A$4:$P$359,12,FALSE)</f>
        <v>109633</v>
      </c>
      <c r="G153" s="289">
        <f>VLOOKUP(A153,'K19'!$A$4:$BX$425,31,FALSE)</f>
        <v>0</v>
      </c>
      <c r="H153" s="289">
        <f>VLOOKUP(A153,'K19'!$A$4:$BX$425,32,FALSE)</f>
        <v>0</v>
      </c>
      <c r="I153" s="289">
        <f>VLOOKUP(A153,'K19'!$A$4:$BX$425,65,FALSE)</f>
        <v>0</v>
      </c>
      <c r="J153" s="289">
        <f>VLOOKUP(A153,K0kommunestruktur2020!$A$4:$P$359,14,FALSE)</f>
        <v>112330</v>
      </c>
      <c r="K153" s="517"/>
      <c r="L153">
        <v>0</v>
      </c>
      <c r="M153" s="5">
        <f t="shared" si="24"/>
        <v>0</v>
      </c>
    </row>
    <row r="154" spans="1:13" ht="13">
      <c r="A154" s="1">
        <v>3415</v>
      </c>
      <c r="B154" s="2" t="s">
        <v>830</v>
      </c>
      <c r="C154" s="289">
        <f>VLOOKUP(A154,K0kommunestruktur2020!$A$4:$P$359,11,FALSE)</f>
        <v>7884</v>
      </c>
      <c r="D154" s="289">
        <f>VLOOKUP(A154,'K19'!$A$4:$BX$425,24,FALSE)</f>
        <v>1400</v>
      </c>
      <c r="E154" s="289"/>
      <c r="F154" s="289">
        <f>VLOOKUP(A154,K0kommunestruktur2020!$A$4:$P$359,12,FALSE)</f>
        <v>192327</v>
      </c>
      <c r="G154" s="289">
        <f>VLOOKUP(A154,'K19'!$A$4:$BX$425,31,FALSE)</f>
        <v>0</v>
      </c>
      <c r="H154" s="289">
        <f>VLOOKUP(A154,'K19'!$A$4:$BX$425,32,FALSE)</f>
        <v>0</v>
      </c>
      <c r="I154" s="289">
        <f>VLOOKUP(A154,'K19'!$A$4:$BX$425,65,FALSE)</f>
        <v>0</v>
      </c>
      <c r="J154" s="289">
        <f>VLOOKUP(A154,K0kommunestruktur2020!$A$4:$P$359,14,FALSE)</f>
        <v>200711</v>
      </c>
      <c r="K154" s="517"/>
      <c r="L154">
        <v>0</v>
      </c>
      <c r="M154" s="5">
        <f t="shared" si="24"/>
        <v>0</v>
      </c>
    </row>
    <row r="155" spans="1:13" ht="13">
      <c r="A155" s="1">
        <v>3416</v>
      </c>
      <c r="B155" s="2" t="s">
        <v>831</v>
      </c>
      <c r="C155" s="289">
        <f>VLOOKUP(A155,K0kommunestruktur2020!$A$4:$P$359,11,FALSE)</f>
        <v>6142</v>
      </c>
      <c r="D155" s="289">
        <f>VLOOKUP(A155,'K19'!$A$4:$BX$425,24,FALSE)</f>
        <v>2700</v>
      </c>
      <c r="E155" s="289"/>
      <c r="F155" s="289">
        <f>VLOOKUP(A155,K0kommunestruktur2020!$A$4:$P$359,12,FALSE)</f>
        <v>129210</v>
      </c>
      <c r="G155" s="289">
        <f>VLOOKUP(A155,'K19'!$A$4:$BX$425,31,FALSE)</f>
        <v>0</v>
      </c>
      <c r="H155" s="289">
        <f>VLOOKUP(A155,'K19'!$A$4:$BX$425,32,FALSE)</f>
        <v>0</v>
      </c>
      <c r="I155" s="289">
        <f>VLOOKUP(A155,'K19'!$A$4:$BX$425,65,FALSE)</f>
        <v>0</v>
      </c>
      <c r="J155" s="289">
        <f>VLOOKUP(A155,K0kommunestruktur2020!$A$4:$P$359,14,FALSE)</f>
        <v>133453</v>
      </c>
      <c r="K155" s="517"/>
      <c r="L155">
        <v>0</v>
      </c>
      <c r="M155" s="5">
        <f t="shared" si="24"/>
        <v>0</v>
      </c>
    </row>
    <row r="156" spans="1:13" ht="13">
      <c r="A156" s="1">
        <v>3417</v>
      </c>
      <c r="B156" s="2" t="s">
        <v>832</v>
      </c>
      <c r="C156" s="289">
        <f>VLOOKUP(A156,K0kommunestruktur2020!$A$4:$P$359,11,FALSE)</f>
        <v>4740</v>
      </c>
      <c r="D156" s="289">
        <f>VLOOKUP(A156,'K19'!$A$4:$BX$425,24,FALSE)</f>
        <v>3400</v>
      </c>
      <c r="E156" s="289"/>
      <c r="F156" s="289">
        <f>VLOOKUP(A156,K0kommunestruktur2020!$A$4:$P$359,12,FALSE)</f>
        <v>105990</v>
      </c>
      <c r="G156" s="289">
        <f>VLOOKUP(A156,'K19'!$A$4:$BX$425,31,FALSE)</f>
        <v>0</v>
      </c>
      <c r="H156" s="289">
        <f>VLOOKUP(A156,'K19'!$A$4:$BX$425,32,FALSE)</f>
        <v>0</v>
      </c>
      <c r="I156" s="289">
        <f>VLOOKUP(A156,'K19'!$A$4:$BX$425,65,FALSE)</f>
        <v>0</v>
      </c>
      <c r="J156" s="289">
        <f>VLOOKUP(A156,K0kommunestruktur2020!$A$4:$P$359,14,FALSE)</f>
        <v>108099</v>
      </c>
      <c r="K156" s="517"/>
      <c r="L156">
        <v>0</v>
      </c>
      <c r="M156" s="5">
        <f t="shared" si="24"/>
        <v>0</v>
      </c>
    </row>
    <row r="157" spans="1:13" ht="13">
      <c r="A157" s="1">
        <v>3418</v>
      </c>
      <c r="B157" s="2" t="s">
        <v>833</v>
      </c>
      <c r="C157" s="289">
        <f>VLOOKUP(A157,K0kommunestruktur2020!$A$4:$P$359,11,FALSE)</f>
        <v>7279</v>
      </c>
      <c r="D157" s="289">
        <f>VLOOKUP(A157,'K19'!$A$4:$BX$425,24,FALSE)</f>
        <v>3300</v>
      </c>
      <c r="E157" s="289"/>
      <c r="F157" s="289">
        <f>VLOOKUP(A157,K0kommunestruktur2020!$A$4:$P$359,12,FALSE)</f>
        <v>162251</v>
      </c>
      <c r="G157" s="289">
        <f>VLOOKUP(A157,'K19'!$A$4:$BX$425,31,FALSE)</f>
        <v>0</v>
      </c>
      <c r="H157" s="289">
        <f>VLOOKUP(A157,'K19'!$A$4:$BX$425,32,FALSE)</f>
        <v>0</v>
      </c>
      <c r="I157" s="289">
        <f>VLOOKUP(A157,'K19'!$A$4:$BX$425,65,FALSE)</f>
        <v>0</v>
      </c>
      <c r="J157" s="289">
        <f>VLOOKUP(A157,K0kommunestruktur2020!$A$4:$P$359,14,FALSE)</f>
        <v>163873</v>
      </c>
      <c r="K157" s="517"/>
      <c r="L157">
        <v>0</v>
      </c>
      <c r="M157" s="5">
        <f t="shared" si="24"/>
        <v>0</v>
      </c>
    </row>
    <row r="158" spans="1:13" ht="13">
      <c r="A158" s="1">
        <v>3419</v>
      </c>
      <c r="B158" s="2" t="s">
        <v>799</v>
      </c>
      <c r="C158" s="289">
        <f>VLOOKUP(A158,K0kommunestruktur2020!$A$4:$P$359,11,FALSE)</f>
        <v>3680</v>
      </c>
      <c r="D158" s="289">
        <f>VLOOKUP(A158,'K19'!$A$4:$BX$425,24,FALSE)</f>
        <v>1900</v>
      </c>
      <c r="E158" s="289"/>
      <c r="F158" s="289">
        <f>VLOOKUP(A158,K0kommunestruktur2020!$A$4:$P$359,12,FALSE)</f>
        <v>81489</v>
      </c>
      <c r="G158" s="289">
        <f>VLOOKUP(A158,'K19'!$A$4:$BX$425,31,FALSE)</f>
        <v>0</v>
      </c>
      <c r="H158" s="289">
        <f>VLOOKUP(A158,'K19'!$A$4:$BX$425,32,FALSE)</f>
        <v>0</v>
      </c>
      <c r="I158" s="289">
        <f>VLOOKUP(A158,'K19'!$A$4:$BX$425,65,FALSE)</f>
        <v>0</v>
      </c>
      <c r="J158" s="289">
        <f>VLOOKUP(A158,K0kommunestruktur2020!$A$4:$P$359,14,FALSE)</f>
        <v>84330</v>
      </c>
      <c r="K158" s="517"/>
      <c r="L158">
        <v>0</v>
      </c>
      <c r="M158" s="5">
        <f t="shared" si="24"/>
        <v>0</v>
      </c>
    </row>
    <row r="159" spans="1:13" ht="13">
      <c r="A159" s="1">
        <v>3420</v>
      </c>
      <c r="B159" s="2" t="s">
        <v>834</v>
      </c>
      <c r="C159" s="289">
        <f>VLOOKUP(A159,K0kommunestruktur2020!$A$4:$P$359,11,FALSE)</f>
        <v>21123</v>
      </c>
      <c r="D159" s="289">
        <f>VLOOKUP(A159,'K19'!$A$4:$BX$425,24,FALSE)</f>
        <v>2200</v>
      </c>
      <c r="E159" s="289"/>
      <c r="F159" s="289">
        <f>VLOOKUP(A159,K0kommunestruktur2020!$A$4:$P$359,12,FALSE)</f>
        <v>510655</v>
      </c>
      <c r="G159" s="289">
        <f>VLOOKUP(A159,'K19'!$A$4:$BX$425,31,FALSE)</f>
        <v>0</v>
      </c>
      <c r="H159" s="289">
        <f>VLOOKUP(A159,'K19'!$A$4:$BX$425,32,FALSE)</f>
        <v>0</v>
      </c>
      <c r="I159" s="289">
        <f>VLOOKUP(A159,'K19'!$A$4:$BX$425,65,FALSE)</f>
        <v>0</v>
      </c>
      <c r="J159" s="289">
        <f>VLOOKUP(A159,K0kommunestruktur2020!$A$4:$P$359,14,FALSE)</f>
        <v>535565</v>
      </c>
      <c r="K159" s="517"/>
      <c r="L159">
        <v>0</v>
      </c>
      <c r="M159" s="5">
        <f t="shared" si="24"/>
        <v>0</v>
      </c>
    </row>
    <row r="160" spans="1:13" ht="13">
      <c r="A160" s="1">
        <v>3421</v>
      </c>
      <c r="B160" s="2" t="s">
        <v>835</v>
      </c>
      <c r="C160" s="289">
        <f>VLOOKUP(A160,K0kommunestruktur2020!$A$4:$P$359,11,FALSE)</f>
        <v>6567</v>
      </c>
      <c r="D160" s="289">
        <f>VLOOKUP(A160,'K19'!$A$4:$BX$425,24,FALSE)</f>
        <v>1200</v>
      </c>
      <c r="E160" s="289"/>
      <c r="F160" s="289">
        <f>VLOOKUP(A160,K0kommunestruktur2020!$A$4:$P$359,12,FALSE)</f>
        <v>169452</v>
      </c>
      <c r="G160" s="289">
        <f>VLOOKUP(A160,'K19'!$A$4:$BX$425,31,FALSE)</f>
        <v>0</v>
      </c>
      <c r="H160" s="289">
        <f>VLOOKUP(A160,'K19'!$A$4:$BX$425,32,FALSE)</f>
        <v>0</v>
      </c>
      <c r="I160" s="289">
        <f>VLOOKUP(A160,'K19'!$A$4:$BX$425,65,FALSE)</f>
        <v>0</v>
      </c>
      <c r="J160" s="289">
        <f>VLOOKUP(A160,K0kommunestruktur2020!$A$4:$P$359,14,FALSE)</f>
        <v>174031</v>
      </c>
      <c r="K160" s="517"/>
      <c r="L160">
        <v>0</v>
      </c>
      <c r="M160" s="5">
        <f t="shared" si="24"/>
        <v>0</v>
      </c>
    </row>
    <row r="161" spans="1:13" ht="13">
      <c r="A161" s="1">
        <v>3422</v>
      </c>
      <c r="B161" s="2" t="s">
        <v>836</v>
      </c>
      <c r="C161" s="289">
        <f>VLOOKUP(A161,K0kommunestruktur2020!$A$4:$P$359,11,FALSE)</f>
        <v>4480</v>
      </c>
      <c r="D161" s="289">
        <f>VLOOKUP(A161,'K19'!$A$4:$BX$425,24,FALSE)</f>
        <v>2000</v>
      </c>
      <c r="E161" s="289"/>
      <c r="F161" s="289">
        <f>VLOOKUP(A161,K0kommunestruktur2020!$A$4:$P$359,12,FALSE)</f>
        <v>103252</v>
      </c>
      <c r="G161" s="289">
        <f>VLOOKUP(A161,'K19'!$A$4:$BX$425,31,FALSE)</f>
        <v>0</v>
      </c>
      <c r="H161" s="289">
        <f>VLOOKUP(A161,'K19'!$A$4:$BX$425,32,FALSE)</f>
        <v>0</v>
      </c>
      <c r="I161" s="289">
        <f>VLOOKUP(A161,'K19'!$A$4:$BX$425,65,FALSE)</f>
        <v>0</v>
      </c>
      <c r="J161" s="289">
        <f>VLOOKUP(A161,K0kommunestruktur2020!$A$4:$P$359,14,FALSE)</f>
        <v>107897</v>
      </c>
      <c r="K161" s="517"/>
      <c r="L161">
        <v>0</v>
      </c>
      <c r="M161" s="5">
        <f t="shared" si="24"/>
        <v>0</v>
      </c>
    </row>
    <row r="162" spans="1:13" ht="13">
      <c r="A162" s="1">
        <v>3423</v>
      </c>
      <c r="B162" s="2" t="s">
        <v>837</v>
      </c>
      <c r="C162" s="289">
        <f>VLOOKUP(A162,K0kommunestruktur2020!$A$4:$P$359,11,FALSE)</f>
        <v>2490</v>
      </c>
      <c r="D162" s="289">
        <f>VLOOKUP(A162,'K19'!$A$4:$BX$425,24,FALSE)</f>
        <v>1450</v>
      </c>
      <c r="E162" s="289"/>
      <c r="F162" s="289">
        <f>VLOOKUP(A162,K0kommunestruktur2020!$A$4:$P$359,12,FALSE)</f>
        <v>52624</v>
      </c>
      <c r="G162" s="289">
        <f>VLOOKUP(A162,'K19'!$A$4:$BX$425,31,FALSE)</f>
        <v>0</v>
      </c>
      <c r="H162" s="289">
        <f>VLOOKUP(A162,'K19'!$A$4:$BX$425,32,FALSE)</f>
        <v>0</v>
      </c>
      <c r="I162" s="289">
        <f>VLOOKUP(A162,'K19'!$A$4:$BX$425,65,FALSE)</f>
        <v>0</v>
      </c>
      <c r="J162" s="289">
        <f>VLOOKUP(A162,K0kommunestruktur2020!$A$4:$P$359,14,FALSE)</f>
        <v>53442</v>
      </c>
      <c r="K162" s="517"/>
      <c r="L162">
        <v>0</v>
      </c>
      <c r="M162" s="5">
        <f t="shared" si="24"/>
        <v>0</v>
      </c>
    </row>
    <row r="163" spans="1:13" ht="13">
      <c r="A163" s="1">
        <v>3424</v>
      </c>
      <c r="B163" s="2" t="s">
        <v>838</v>
      </c>
      <c r="C163" s="289">
        <f>VLOOKUP(A163,K0kommunestruktur2020!$A$4:$P$359,11,FALSE)</f>
        <v>1827</v>
      </c>
      <c r="D163" s="289">
        <f>VLOOKUP(A163,'K19'!$A$4:$BX$425,24,FALSE)</f>
        <v>850</v>
      </c>
      <c r="E163" s="289"/>
      <c r="F163" s="289">
        <f>VLOOKUP(A163,K0kommunestruktur2020!$A$4:$P$359,12,FALSE)</f>
        <v>42432</v>
      </c>
      <c r="G163" s="289">
        <f>VLOOKUP(A163,'K19'!$A$4:$BX$425,31,FALSE)</f>
        <v>0</v>
      </c>
      <c r="H163" s="289">
        <f>VLOOKUP(A163,'K19'!$A$4:$BX$425,32,FALSE)</f>
        <v>0</v>
      </c>
      <c r="I163" s="289">
        <f>VLOOKUP(A163,'K19'!$A$4:$BX$425,65,FALSE)</f>
        <v>0</v>
      </c>
      <c r="J163" s="289">
        <f>VLOOKUP(A163,K0kommunestruktur2020!$A$4:$P$359,14,FALSE)</f>
        <v>42521</v>
      </c>
      <c r="K163" s="517"/>
      <c r="L163">
        <v>0</v>
      </c>
      <c r="M163" s="5">
        <f t="shared" si="24"/>
        <v>0</v>
      </c>
    </row>
    <row r="164" spans="1:13" ht="13">
      <c r="A164" s="1">
        <v>3425</v>
      </c>
      <c r="B164" s="2" t="s">
        <v>839</v>
      </c>
      <c r="C164" s="289">
        <f>VLOOKUP(A164,K0kommunestruktur2020!$A$4:$P$359,11,FALSE)</f>
        <v>1294</v>
      </c>
      <c r="D164" s="289">
        <f>VLOOKUP(A164,'K19'!$A$4:$BX$425,24,FALSE)</f>
        <v>950</v>
      </c>
      <c r="E164" s="289"/>
      <c r="F164" s="289">
        <f>VLOOKUP(A164,K0kommunestruktur2020!$A$4:$P$359,12,FALSE)</f>
        <v>27184</v>
      </c>
      <c r="G164" s="289">
        <f>VLOOKUP(A164,'K19'!$A$4:$BX$425,31,FALSE)</f>
        <v>0</v>
      </c>
      <c r="H164" s="289">
        <f>VLOOKUP(A164,'K19'!$A$4:$BX$425,32,FALSE)</f>
        <v>0</v>
      </c>
      <c r="I164" s="289">
        <f>VLOOKUP(A164,'K19'!$A$4:$BX$425,65,FALSE)</f>
        <v>0</v>
      </c>
      <c r="J164" s="289">
        <f>VLOOKUP(A164,K0kommunestruktur2020!$A$4:$P$359,14,FALSE)</f>
        <v>29586</v>
      </c>
      <c r="K164" s="517"/>
      <c r="L164">
        <v>0</v>
      </c>
      <c r="M164" s="5">
        <f t="shared" si="24"/>
        <v>0</v>
      </c>
    </row>
    <row r="165" spans="1:13" ht="13">
      <c r="A165" s="1">
        <v>3426</v>
      </c>
      <c r="B165" s="2" t="s">
        <v>840</v>
      </c>
      <c r="C165" s="289">
        <f>VLOOKUP(A165,K0kommunestruktur2020!$A$4:$P$359,11,FALSE)</f>
        <v>1553</v>
      </c>
      <c r="D165" s="289">
        <f>VLOOKUP(A165,'K19'!$A$4:$BX$425,24,FALSE)</f>
        <v>850</v>
      </c>
      <c r="E165" s="289"/>
      <c r="F165" s="289">
        <f>VLOOKUP(A165,K0kommunestruktur2020!$A$4:$P$359,12,FALSE)</f>
        <v>29834</v>
      </c>
      <c r="G165" s="289">
        <f>VLOOKUP(A165,'K19'!$A$4:$BX$425,31,FALSE)</f>
        <v>0</v>
      </c>
      <c r="H165" s="289">
        <f>VLOOKUP(A165,'K19'!$A$4:$BX$425,32,FALSE)</f>
        <v>0</v>
      </c>
      <c r="I165" s="289">
        <f>VLOOKUP(A165,'K19'!$A$4:$BX$425,65,FALSE)</f>
        <v>0</v>
      </c>
      <c r="J165" s="289">
        <f>VLOOKUP(A165,K0kommunestruktur2020!$A$4:$P$359,14,FALSE)</f>
        <v>31981</v>
      </c>
      <c r="K165" s="517"/>
      <c r="L165">
        <v>0</v>
      </c>
      <c r="M165" s="5">
        <f t="shared" si="24"/>
        <v>0</v>
      </c>
    </row>
    <row r="166" spans="1:13" ht="13">
      <c r="A166" s="1">
        <v>3427</v>
      </c>
      <c r="B166" s="2" t="s">
        <v>841</v>
      </c>
      <c r="C166" s="289">
        <f>VLOOKUP(A166,K0kommunestruktur2020!$A$4:$P$359,11,FALSE)</f>
        <v>5605</v>
      </c>
      <c r="D166" s="289">
        <f>VLOOKUP(A166,'K19'!$A$4:$BX$425,24,FALSE)</f>
        <v>1300</v>
      </c>
      <c r="E166" s="289"/>
      <c r="F166" s="289">
        <f>VLOOKUP(A166,K0kommunestruktur2020!$A$4:$P$359,12,FALSE)</f>
        <v>136219</v>
      </c>
      <c r="G166" s="289">
        <f>VLOOKUP(A166,'K19'!$A$4:$BX$425,31,FALSE)</f>
        <v>0</v>
      </c>
      <c r="H166" s="289">
        <f>VLOOKUP(A166,'K19'!$A$4:$BX$425,32,FALSE)</f>
        <v>0</v>
      </c>
      <c r="I166" s="289">
        <f>VLOOKUP(A166,'K19'!$A$4:$BX$425,65,FALSE)</f>
        <v>0</v>
      </c>
      <c r="J166" s="289">
        <f>VLOOKUP(A166,K0kommunestruktur2020!$A$4:$P$359,14,FALSE)</f>
        <v>138237</v>
      </c>
      <c r="K166" s="517"/>
      <c r="L166">
        <v>0</v>
      </c>
      <c r="M166" s="5">
        <f t="shared" si="24"/>
        <v>0</v>
      </c>
    </row>
    <row r="167" spans="1:13" ht="13">
      <c r="A167" s="1">
        <v>3428</v>
      </c>
      <c r="B167" s="2" t="s">
        <v>842</v>
      </c>
      <c r="C167" s="289">
        <f>VLOOKUP(A167,K0kommunestruktur2020!$A$4:$P$359,11,FALSE)</f>
        <v>2424</v>
      </c>
      <c r="D167" s="289">
        <f>VLOOKUP(A167,'K19'!$A$4:$BX$425,24,FALSE)</f>
        <v>850</v>
      </c>
      <c r="E167" s="289"/>
      <c r="F167" s="289">
        <f>VLOOKUP(A167,K0kommunestruktur2020!$A$4:$P$359,12,FALSE)</f>
        <v>59910</v>
      </c>
      <c r="G167" s="289">
        <f>VLOOKUP(A167,'K19'!$A$4:$BX$425,31,FALSE)</f>
        <v>0</v>
      </c>
      <c r="H167" s="289">
        <f>VLOOKUP(A167,'K19'!$A$4:$BX$425,32,FALSE)</f>
        <v>0</v>
      </c>
      <c r="I167" s="289">
        <f>VLOOKUP(A167,'K19'!$A$4:$BX$425,65,FALSE)</f>
        <v>0</v>
      </c>
      <c r="J167" s="289">
        <f>VLOOKUP(A167,K0kommunestruktur2020!$A$4:$P$359,14,FALSE)</f>
        <v>59219</v>
      </c>
      <c r="K167" s="517"/>
      <c r="L167">
        <v>0</v>
      </c>
      <c r="M167" s="5">
        <f t="shared" si="24"/>
        <v>0</v>
      </c>
    </row>
    <row r="168" spans="1:13" ht="13">
      <c r="A168" s="1">
        <v>3429</v>
      </c>
      <c r="B168" s="2" t="s">
        <v>843</v>
      </c>
      <c r="C168" s="289">
        <f>VLOOKUP(A168,K0kommunestruktur2020!$A$4:$P$359,11,FALSE)</f>
        <v>1569</v>
      </c>
      <c r="D168" s="289">
        <f>VLOOKUP(A168,'K19'!$A$4:$BX$425,24,FALSE)</f>
        <v>1000</v>
      </c>
      <c r="E168" s="289"/>
      <c r="F168" s="289">
        <f>VLOOKUP(A168,K0kommunestruktur2020!$A$4:$P$359,12,FALSE)</f>
        <v>32557</v>
      </c>
      <c r="G168" s="289">
        <f>VLOOKUP(A168,'K19'!$A$4:$BX$425,31,FALSE)</f>
        <v>0</v>
      </c>
      <c r="H168" s="289">
        <f>VLOOKUP(A168,'K19'!$A$4:$BX$425,32,FALSE)</f>
        <v>0</v>
      </c>
      <c r="I168" s="289">
        <f>VLOOKUP(A168,'K19'!$A$4:$BX$425,65,FALSE)</f>
        <v>0</v>
      </c>
      <c r="J168" s="289">
        <f>VLOOKUP(A168,K0kommunestruktur2020!$A$4:$P$359,14,FALSE)</f>
        <v>35614</v>
      </c>
      <c r="K168" s="517"/>
      <c r="L168">
        <v>0</v>
      </c>
      <c r="M168" s="5">
        <f t="shared" si="24"/>
        <v>0</v>
      </c>
    </row>
    <row r="169" spans="1:13" ht="13">
      <c r="A169" s="1">
        <v>3430</v>
      </c>
      <c r="B169" s="2" t="s">
        <v>844</v>
      </c>
      <c r="C169" s="289">
        <f>VLOOKUP(A169,K0kommunestruktur2020!$A$4:$P$359,11,FALSE)</f>
        <v>1936</v>
      </c>
      <c r="D169" s="289">
        <f>VLOOKUP(A169,'K19'!$A$4:$BX$425,24,FALSE)</f>
        <v>1200</v>
      </c>
      <c r="E169" s="289"/>
      <c r="F169" s="289">
        <f>VLOOKUP(A169,K0kommunestruktur2020!$A$4:$P$359,12,FALSE)</f>
        <v>42580</v>
      </c>
      <c r="G169" s="289">
        <f>VLOOKUP(A169,'K19'!$A$4:$BX$425,31,FALSE)</f>
        <v>0</v>
      </c>
      <c r="H169" s="289">
        <f>VLOOKUP(A169,'K19'!$A$4:$BX$425,32,FALSE)</f>
        <v>0</v>
      </c>
      <c r="I169" s="289">
        <f>VLOOKUP(A169,'K19'!$A$4:$BX$425,65,FALSE)</f>
        <v>0</v>
      </c>
      <c r="J169" s="289">
        <f>VLOOKUP(A169,K0kommunestruktur2020!$A$4:$P$359,14,FALSE)</f>
        <v>46734</v>
      </c>
      <c r="K169" s="517"/>
      <c r="L169">
        <v>0</v>
      </c>
      <c r="M169" s="5">
        <f t="shared" si="24"/>
        <v>0</v>
      </c>
    </row>
    <row r="170" spans="1:13" ht="13">
      <c r="A170" s="1">
        <v>3431</v>
      </c>
      <c r="B170" s="2" t="s">
        <v>847</v>
      </c>
      <c r="C170" s="289">
        <f>VLOOKUP(A170,K0kommunestruktur2020!$A$4:$P$359,11,FALSE)</f>
        <v>2642</v>
      </c>
      <c r="D170" s="289">
        <f>VLOOKUP(A170,'K19'!$A$4:$BX$425,24,FALSE)</f>
        <v>1200</v>
      </c>
      <c r="E170" s="289"/>
      <c r="F170" s="289">
        <f>VLOOKUP(A170,K0kommunestruktur2020!$A$4:$P$359,12,FALSE)</f>
        <v>61104</v>
      </c>
      <c r="G170" s="289">
        <f>VLOOKUP(A170,'K19'!$A$4:$BX$425,31,FALSE)</f>
        <v>0</v>
      </c>
      <c r="H170" s="289">
        <f>VLOOKUP(A170,'K19'!$A$4:$BX$425,32,FALSE)</f>
        <v>0</v>
      </c>
      <c r="I170" s="289">
        <f>VLOOKUP(A170,'K19'!$A$4:$BX$425,65,FALSE)</f>
        <v>0</v>
      </c>
      <c r="J170" s="289">
        <f>VLOOKUP(A170,K0kommunestruktur2020!$A$4:$P$359,14,FALSE)</f>
        <v>62336</v>
      </c>
      <c r="K170" s="517"/>
      <c r="L170">
        <v>0</v>
      </c>
      <c r="M170" s="5">
        <f t="shared" si="24"/>
        <v>0</v>
      </c>
    </row>
    <row r="171" spans="1:13" ht="13">
      <c r="A171" s="1">
        <v>3432</v>
      </c>
      <c r="B171" s="2" t="s">
        <v>848</v>
      </c>
      <c r="C171" s="289">
        <f>VLOOKUP(A171,K0kommunestruktur2020!$A$4:$P$359,11,FALSE)</f>
        <v>2038</v>
      </c>
      <c r="D171" s="289">
        <f>VLOOKUP(A171,'K19'!$A$4:$BX$425,24,FALSE)</f>
        <v>1000</v>
      </c>
      <c r="E171" s="289"/>
      <c r="F171" s="289">
        <f>VLOOKUP(A171,K0kommunestruktur2020!$A$4:$P$359,12,FALSE)</f>
        <v>49147</v>
      </c>
      <c r="G171" s="289">
        <f>VLOOKUP(A171,'K19'!$A$4:$BX$425,31,FALSE)</f>
        <v>0</v>
      </c>
      <c r="H171" s="289">
        <f>VLOOKUP(A171,'K19'!$A$4:$BX$425,32,FALSE)</f>
        <v>0</v>
      </c>
      <c r="I171" s="289">
        <f>VLOOKUP(A171,'K19'!$A$4:$BX$425,65,FALSE)</f>
        <v>0</v>
      </c>
      <c r="J171" s="289">
        <f>VLOOKUP(A171,K0kommunestruktur2020!$A$4:$P$359,14,FALSE)</f>
        <v>49891</v>
      </c>
      <c r="K171" s="517"/>
      <c r="L171">
        <v>0</v>
      </c>
      <c r="M171" s="5">
        <f t="shared" si="24"/>
        <v>0</v>
      </c>
    </row>
    <row r="172" spans="1:13" ht="13">
      <c r="A172" s="1">
        <v>3433</v>
      </c>
      <c r="B172" s="2" t="s">
        <v>849</v>
      </c>
      <c r="C172" s="289">
        <f>VLOOKUP(A172,K0kommunestruktur2020!$A$4:$P$359,11,FALSE)</f>
        <v>2179</v>
      </c>
      <c r="D172" s="289">
        <f>VLOOKUP(A172,'K19'!$A$4:$BX$425,24,FALSE)</f>
        <v>700</v>
      </c>
      <c r="E172" s="289"/>
      <c r="F172" s="289">
        <f>VLOOKUP(A172,K0kommunestruktur2020!$A$4:$P$359,12,FALSE)</f>
        <v>59712</v>
      </c>
      <c r="G172" s="289">
        <f>VLOOKUP(A172,'K19'!$A$4:$BX$425,31,FALSE)</f>
        <v>0</v>
      </c>
      <c r="H172" s="289">
        <f>VLOOKUP(A172,'K19'!$A$4:$BX$425,32,FALSE)</f>
        <v>0</v>
      </c>
      <c r="I172" s="289">
        <f>VLOOKUP(A172,'K19'!$A$4:$BX$425,65,FALSE)</f>
        <v>0</v>
      </c>
      <c r="J172" s="289">
        <f>VLOOKUP(A172,K0kommunestruktur2020!$A$4:$P$359,14,FALSE)</f>
        <v>61022</v>
      </c>
      <c r="K172" s="517"/>
      <c r="L172">
        <v>0</v>
      </c>
      <c r="M172" s="5">
        <f t="shared" si="24"/>
        <v>0</v>
      </c>
    </row>
    <row r="173" spans="1:13" ht="13">
      <c r="A173" s="1">
        <v>3434</v>
      </c>
      <c r="B173" s="2" t="s">
        <v>850</v>
      </c>
      <c r="C173" s="289">
        <f>VLOOKUP(A173,K0kommunestruktur2020!$A$4:$P$359,11,FALSE)</f>
        <v>2331</v>
      </c>
      <c r="D173" s="289">
        <f>VLOOKUP(A173,'K19'!$A$4:$BX$425,24,FALSE)</f>
        <v>900</v>
      </c>
      <c r="E173" s="289"/>
      <c r="F173" s="289">
        <f>VLOOKUP(A173,K0kommunestruktur2020!$A$4:$P$359,12,FALSE)</f>
        <v>53712</v>
      </c>
      <c r="G173" s="289">
        <f>VLOOKUP(A173,'K19'!$A$4:$BX$425,31,FALSE)</f>
        <v>0</v>
      </c>
      <c r="H173" s="289">
        <f>VLOOKUP(A173,'K19'!$A$4:$BX$425,32,FALSE)</f>
        <v>0</v>
      </c>
      <c r="I173" s="289">
        <f>VLOOKUP(A173,'K19'!$A$4:$BX$425,65,FALSE)</f>
        <v>0</v>
      </c>
      <c r="J173" s="289">
        <f>VLOOKUP(A173,K0kommunestruktur2020!$A$4:$P$359,14,FALSE)</f>
        <v>55282</v>
      </c>
      <c r="K173" s="517"/>
      <c r="L173">
        <v>0</v>
      </c>
      <c r="M173" s="5">
        <f t="shared" si="24"/>
        <v>0</v>
      </c>
    </row>
    <row r="174" spans="1:13" ht="13">
      <c r="A174" s="1">
        <v>3435</v>
      </c>
      <c r="B174" s="2" t="s">
        <v>851</v>
      </c>
      <c r="C174" s="289">
        <f>VLOOKUP(A174,K0kommunestruktur2020!$A$4:$P$359,11,FALSE)</f>
        <v>3638</v>
      </c>
      <c r="D174" s="289">
        <f>VLOOKUP(A174,'K19'!$A$4:$BX$425,24,FALSE)</f>
        <v>1600</v>
      </c>
      <c r="E174" s="289"/>
      <c r="F174" s="289">
        <f>VLOOKUP(A174,K0kommunestruktur2020!$A$4:$P$359,12,FALSE)</f>
        <v>88200</v>
      </c>
      <c r="G174" s="289">
        <f>VLOOKUP(A174,'K19'!$A$4:$BX$425,31,FALSE)</f>
        <v>0</v>
      </c>
      <c r="H174" s="289">
        <f>VLOOKUP(A174,'K19'!$A$4:$BX$425,32,FALSE)</f>
        <v>0</v>
      </c>
      <c r="I174" s="289">
        <f>VLOOKUP(A174,'K19'!$A$4:$BX$425,65,FALSE)</f>
        <v>0</v>
      </c>
      <c r="J174" s="289">
        <f>VLOOKUP(A174,K0kommunestruktur2020!$A$4:$P$359,14,FALSE)</f>
        <v>89927</v>
      </c>
      <c r="K174" s="517"/>
      <c r="L174">
        <v>0</v>
      </c>
      <c r="M174" s="5">
        <f t="shared" si="24"/>
        <v>0</v>
      </c>
    </row>
    <row r="175" spans="1:13" ht="13">
      <c r="A175" s="1">
        <v>3436</v>
      </c>
      <c r="B175" s="2" t="s">
        <v>852</v>
      </c>
      <c r="C175" s="289">
        <f>VLOOKUP(A175,K0kommunestruktur2020!$A$4:$P$359,11,FALSE)</f>
        <v>5728</v>
      </c>
      <c r="D175" s="289">
        <f>VLOOKUP(A175,'K19'!$A$4:$BX$425,24,FALSE)</f>
        <v>900</v>
      </c>
      <c r="E175" s="289"/>
      <c r="F175" s="289">
        <f>VLOOKUP(A175,K0kommunestruktur2020!$A$4:$P$359,12,FALSE)</f>
        <v>163384</v>
      </c>
      <c r="G175" s="289">
        <f>VLOOKUP(A175,'K19'!$A$4:$BX$425,31,FALSE)</f>
        <v>0</v>
      </c>
      <c r="H175" s="289">
        <f>VLOOKUP(A175,'K19'!$A$4:$BX$425,32,FALSE)</f>
        <v>0</v>
      </c>
      <c r="I175" s="289">
        <f>VLOOKUP(A175,'K19'!$A$4:$BX$425,65,FALSE)</f>
        <v>0</v>
      </c>
      <c r="J175" s="289">
        <f>VLOOKUP(A175,K0kommunestruktur2020!$A$4:$P$359,14,FALSE)</f>
        <v>163393</v>
      </c>
      <c r="K175" s="517"/>
      <c r="L175">
        <v>0</v>
      </c>
      <c r="M175" s="5">
        <f t="shared" si="24"/>
        <v>0</v>
      </c>
    </row>
    <row r="176" spans="1:13" ht="13">
      <c r="A176" s="1">
        <v>3437</v>
      </c>
      <c r="B176" s="2" t="s">
        <v>853</v>
      </c>
      <c r="C176" s="289">
        <f>VLOOKUP(A176,K0kommunestruktur2020!$A$4:$P$359,11,FALSE)</f>
        <v>5872</v>
      </c>
      <c r="D176" s="289">
        <f>VLOOKUP(A176,'K19'!$A$4:$BX$425,24,FALSE)</f>
        <v>1900</v>
      </c>
      <c r="E176" s="289"/>
      <c r="F176" s="289">
        <f>VLOOKUP(A176,K0kommunestruktur2020!$A$4:$P$359,12,FALSE)</f>
        <v>120218</v>
      </c>
      <c r="G176" s="289">
        <f>VLOOKUP(A176,'K19'!$A$4:$BX$425,31,FALSE)</f>
        <v>0</v>
      </c>
      <c r="H176" s="289">
        <f>VLOOKUP(A176,'K19'!$A$4:$BX$425,32,FALSE)</f>
        <v>0</v>
      </c>
      <c r="I176" s="289">
        <f>VLOOKUP(A176,'K19'!$A$4:$BX$425,65,FALSE)</f>
        <v>0</v>
      </c>
      <c r="J176" s="289">
        <f>VLOOKUP(A176,K0kommunestruktur2020!$A$4:$P$359,14,FALSE)</f>
        <v>121998</v>
      </c>
      <c r="K176" s="517"/>
      <c r="L176">
        <v>0</v>
      </c>
      <c r="M176" s="5">
        <f t="shared" si="24"/>
        <v>0</v>
      </c>
    </row>
    <row r="177" spans="1:13" ht="13">
      <c r="A177" s="1">
        <v>3438</v>
      </c>
      <c r="B177" s="2" t="s">
        <v>854</v>
      </c>
      <c r="C177" s="289">
        <f>VLOOKUP(A177,K0kommunestruktur2020!$A$4:$P$359,11,FALSE)</f>
        <v>3146</v>
      </c>
      <c r="D177" s="289">
        <f>VLOOKUP(A177,'K19'!$A$4:$BX$425,24,FALSE)</f>
        <v>500</v>
      </c>
      <c r="E177" s="289"/>
      <c r="F177" s="289">
        <f>VLOOKUP(A177,K0kommunestruktur2020!$A$4:$P$359,12,FALSE)</f>
        <v>85416</v>
      </c>
      <c r="G177" s="289">
        <f>VLOOKUP(A177,'K19'!$A$4:$BX$425,31,FALSE)</f>
        <v>0</v>
      </c>
      <c r="H177" s="289">
        <f>VLOOKUP(A177,'K19'!$A$4:$BX$425,32,FALSE)</f>
        <v>0</v>
      </c>
      <c r="I177" s="289">
        <f>VLOOKUP(A177,'K19'!$A$4:$BX$425,65,FALSE)</f>
        <v>0</v>
      </c>
      <c r="J177" s="289">
        <f>VLOOKUP(A177,K0kommunestruktur2020!$A$4:$P$359,14,FALSE)</f>
        <v>86652</v>
      </c>
      <c r="K177" s="517"/>
      <c r="L177">
        <v>0</v>
      </c>
      <c r="M177" s="5">
        <f t="shared" si="24"/>
        <v>0</v>
      </c>
    </row>
    <row r="178" spans="1:13" ht="13">
      <c r="A178" s="1">
        <v>3439</v>
      </c>
      <c r="B178" s="2" t="s">
        <v>855</v>
      </c>
      <c r="C178" s="289">
        <f>VLOOKUP(A178,K0kommunestruktur2020!$A$4:$P$359,11,FALSE)</f>
        <v>4454</v>
      </c>
      <c r="D178" s="289">
        <f>VLOOKUP(A178,'K19'!$A$4:$BX$425,24,FALSE)</f>
        <v>500</v>
      </c>
      <c r="E178" s="289"/>
      <c r="F178" s="289">
        <f>VLOOKUP(A178,K0kommunestruktur2020!$A$4:$P$359,12,FALSE)</f>
        <v>110978</v>
      </c>
      <c r="G178" s="289">
        <f>VLOOKUP(A178,'K19'!$A$4:$BX$425,31,FALSE)</f>
        <v>0</v>
      </c>
      <c r="H178" s="289">
        <f>VLOOKUP(A178,'K19'!$A$4:$BX$425,32,FALSE)</f>
        <v>0</v>
      </c>
      <c r="I178" s="289">
        <f>VLOOKUP(A178,'K19'!$A$4:$BX$425,65,FALSE)</f>
        <v>0</v>
      </c>
      <c r="J178" s="289">
        <f>VLOOKUP(A178,K0kommunestruktur2020!$A$4:$P$359,14,FALSE)</f>
        <v>118676</v>
      </c>
      <c r="K178" s="517"/>
      <c r="L178">
        <v>0</v>
      </c>
      <c r="M178" s="5">
        <f t="shared" si="24"/>
        <v>0</v>
      </c>
    </row>
    <row r="179" spans="1:13" ht="13">
      <c r="A179" s="1">
        <v>3440</v>
      </c>
      <c r="B179" s="2" t="s">
        <v>856</v>
      </c>
      <c r="C179" s="289">
        <f>VLOOKUP(A179,K0kommunestruktur2020!$A$4:$P$359,11,FALSE)</f>
        <v>5130</v>
      </c>
      <c r="D179" s="289">
        <f>VLOOKUP(A179,'K19'!$A$4:$BX$425,24,FALSE)</f>
        <v>2300</v>
      </c>
      <c r="E179" s="289"/>
      <c r="F179" s="289">
        <f>VLOOKUP(A179,K0kommunestruktur2020!$A$4:$P$359,12,FALSE)</f>
        <v>149306</v>
      </c>
      <c r="G179" s="289">
        <f>VLOOKUP(A179,'K19'!$A$4:$BX$425,31,FALSE)</f>
        <v>0</v>
      </c>
      <c r="H179" s="289">
        <f>VLOOKUP(A179,'K19'!$A$4:$BX$425,32,FALSE)</f>
        <v>0</v>
      </c>
      <c r="I179" s="289">
        <f>VLOOKUP(A179,'K19'!$A$4:$BX$425,65,FALSE)</f>
        <v>0</v>
      </c>
      <c r="J179" s="289">
        <f>VLOOKUP(A179,K0kommunestruktur2020!$A$4:$P$359,14,FALSE)</f>
        <v>155837</v>
      </c>
      <c r="K179" s="517"/>
      <c r="L179">
        <v>0</v>
      </c>
      <c r="M179" s="5">
        <f t="shared" si="24"/>
        <v>0</v>
      </c>
    </row>
    <row r="180" spans="1:13" ht="13">
      <c r="A180" s="1">
        <v>3441</v>
      </c>
      <c r="B180" s="2" t="s">
        <v>857</v>
      </c>
      <c r="C180" s="289">
        <f>VLOOKUP(A180,K0kommunestruktur2020!$A$4:$P$359,11,FALSE)</f>
        <v>6148</v>
      </c>
      <c r="D180" s="289">
        <f>VLOOKUP(A180,'K19'!$A$4:$BX$425,24,FALSE)</f>
        <v>2400</v>
      </c>
      <c r="E180" s="289"/>
      <c r="F180" s="289">
        <f>VLOOKUP(A180,K0kommunestruktur2020!$A$4:$P$359,12,FALSE)</f>
        <v>156210</v>
      </c>
      <c r="G180" s="289">
        <f>VLOOKUP(A180,'K19'!$A$4:$BX$425,31,FALSE)</f>
        <v>0</v>
      </c>
      <c r="H180" s="289">
        <f>VLOOKUP(A180,'K19'!$A$4:$BX$425,32,FALSE)</f>
        <v>0</v>
      </c>
      <c r="I180" s="289">
        <f>VLOOKUP(A180,'K19'!$A$4:$BX$425,65,FALSE)</f>
        <v>0</v>
      </c>
      <c r="J180" s="289">
        <f>VLOOKUP(A180,K0kommunestruktur2020!$A$4:$P$359,14,FALSE)</f>
        <v>158541</v>
      </c>
      <c r="K180" s="517"/>
      <c r="L180">
        <v>0</v>
      </c>
      <c r="M180" s="5">
        <f t="shared" si="24"/>
        <v>0</v>
      </c>
    </row>
    <row r="181" spans="1:13" ht="13">
      <c r="A181" s="1">
        <v>3442</v>
      </c>
      <c r="B181" s="2" t="s">
        <v>858</v>
      </c>
      <c r="C181" s="289">
        <f>VLOOKUP(A181,K0kommunestruktur2020!$A$4:$P$359,11,FALSE)</f>
        <v>14888</v>
      </c>
      <c r="D181" s="289">
        <f>VLOOKUP(A181,'K19'!$A$4:$BX$425,24,FALSE)</f>
        <v>1700</v>
      </c>
      <c r="E181" s="289"/>
      <c r="F181" s="289">
        <f>VLOOKUP(A181,K0kommunestruktur2020!$A$4:$P$359,12,FALSE)</f>
        <v>375056</v>
      </c>
      <c r="G181" s="289">
        <f>VLOOKUP(A181,'K19'!$A$4:$BX$425,31,FALSE)</f>
        <v>0</v>
      </c>
      <c r="H181" s="289">
        <f>VLOOKUP(A181,'K19'!$A$4:$BX$425,32,FALSE)</f>
        <v>0</v>
      </c>
      <c r="I181" s="289">
        <f>VLOOKUP(A181,'K19'!$A$4:$BX$425,65,FALSE)</f>
        <v>0</v>
      </c>
      <c r="J181" s="289">
        <f>VLOOKUP(A181,K0kommunestruktur2020!$A$4:$P$359,14,FALSE)</f>
        <v>387332</v>
      </c>
      <c r="K181" s="517"/>
      <c r="L181">
        <v>0</v>
      </c>
      <c r="M181" s="5">
        <f t="shared" si="24"/>
        <v>0</v>
      </c>
    </row>
    <row r="182" spans="1:13" ht="13">
      <c r="A182" s="1">
        <v>3443</v>
      </c>
      <c r="B182" s="2" t="s">
        <v>859</v>
      </c>
      <c r="C182" s="289">
        <f>VLOOKUP(A182,K0kommunestruktur2020!$A$4:$P$359,11,FALSE)</f>
        <v>13314</v>
      </c>
      <c r="D182" s="289">
        <f>VLOOKUP(A182,'K19'!$A$4:$BX$425,24,FALSE)</f>
        <v>1500</v>
      </c>
      <c r="E182" s="289"/>
      <c r="F182" s="289">
        <f>VLOOKUP(A182,K0kommunestruktur2020!$A$4:$P$359,12,FALSE)</f>
        <v>319630</v>
      </c>
      <c r="G182" s="289">
        <f>VLOOKUP(A182,'K19'!$A$4:$BX$425,31,FALSE)</f>
        <v>0</v>
      </c>
      <c r="H182" s="289">
        <f>VLOOKUP(A182,'K19'!$A$4:$BX$425,32,FALSE)</f>
        <v>0</v>
      </c>
      <c r="I182" s="289">
        <f>VLOOKUP(A182,'K19'!$A$4:$BX$425,65,FALSE)</f>
        <v>0</v>
      </c>
      <c r="J182" s="289">
        <f>VLOOKUP(A182,K0kommunestruktur2020!$A$4:$P$359,14,FALSE)</f>
        <v>330293</v>
      </c>
      <c r="K182" s="517"/>
      <c r="L182">
        <v>0</v>
      </c>
      <c r="M182" s="5">
        <f t="shared" si="24"/>
        <v>0</v>
      </c>
    </row>
    <row r="183" spans="1:13" ht="13">
      <c r="A183" s="1">
        <v>3446</v>
      </c>
      <c r="B183" s="2" t="s">
        <v>862</v>
      </c>
      <c r="C183" s="289">
        <f>VLOOKUP(A183,K0kommunestruktur2020!$A$4:$P$359,11,FALSE)</f>
        <v>13770</v>
      </c>
      <c r="D183" s="289">
        <f>VLOOKUP(A183,'K19'!$A$4:$BX$425,24,FALSE)</f>
        <v>500</v>
      </c>
      <c r="E183" s="289"/>
      <c r="F183" s="289">
        <f>VLOOKUP(A183,K0kommunestruktur2020!$A$4:$P$359,12,FALSE)</f>
        <v>356430</v>
      </c>
      <c r="G183" s="289">
        <f>VLOOKUP(A183,'K19'!$A$4:$BX$425,31,FALSE)</f>
        <v>0</v>
      </c>
      <c r="H183" s="289">
        <f>VLOOKUP(A183,'K19'!$A$4:$BX$425,32,FALSE)</f>
        <v>0</v>
      </c>
      <c r="I183" s="289">
        <f>VLOOKUP(A183,'K19'!$A$4:$BX$425,65,FALSE)</f>
        <v>0</v>
      </c>
      <c r="J183" s="289">
        <f>VLOOKUP(A183,K0kommunestruktur2020!$A$4:$P$359,14,FALSE)</f>
        <v>362027</v>
      </c>
      <c r="K183" s="517"/>
      <c r="L183">
        <v>0</v>
      </c>
      <c r="M183" s="5">
        <f t="shared" si="24"/>
        <v>0</v>
      </c>
    </row>
    <row r="184" spans="1:13" ht="13">
      <c r="A184" s="1">
        <v>3447</v>
      </c>
      <c r="B184" s="2" t="s">
        <v>863</v>
      </c>
      <c r="C184" s="289">
        <f>VLOOKUP(A184,K0kommunestruktur2020!$A$4:$P$359,11,FALSE)</f>
        <v>5650</v>
      </c>
      <c r="D184" s="289">
        <f>VLOOKUP(A184,'K19'!$A$4:$BX$425,24,FALSE)</f>
        <v>2000</v>
      </c>
      <c r="E184" s="289"/>
      <c r="F184" s="289">
        <f>VLOOKUP(A184,K0kommunestruktur2020!$A$4:$P$359,12,FALSE)</f>
        <v>118346</v>
      </c>
      <c r="G184" s="289">
        <f>VLOOKUP(A184,'K19'!$A$4:$BX$425,31,FALSE)</f>
        <v>0</v>
      </c>
      <c r="H184" s="289">
        <f>VLOOKUP(A184,'K19'!$A$4:$BX$425,32,FALSE)</f>
        <v>0</v>
      </c>
      <c r="I184" s="289">
        <f>VLOOKUP(A184,'K19'!$A$4:$BX$425,65,FALSE)</f>
        <v>0</v>
      </c>
      <c r="J184" s="289">
        <f>VLOOKUP(A184,K0kommunestruktur2020!$A$4:$P$359,14,FALSE)</f>
        <v>123933</v>
      </c>
      <c r="K184" s="517"/>
      <c r="L184">
        <v>0</v>
      </c>
      <c r="M184" s="5">
        <f t="shared" si="24"/>
        <v>0</v>
      </c>
    </row>
    <row r="185" spans="1:13" ht="13">
      <c r="A185" s="1">
        <v>3448</v>
      </c>
      <c r="B185" s="2" t="s">
        <v>864</v>
      </c>
      <c r="C185" s="289">
        <f>VLOOKUP(A185,K0kommunestruktur2020!$A$4:$P$359,11,FALSE)</f>
        <v>6750</v>
      </c>
      <c r="D185" s="289">
        <f>VLOOKUP(A185,'K19'!$A$4:$BX$425,24,FALSE)</f>
        <v>1600</v>
      </c>
      <c r="E185" s="289"/>
      <c r="F185" s="289">
        <f>VLOOKUP(A185,K0kommunestruktur2020!$A$4:$P$359,12,FALSE)</f>
        <v>148417</v>
      </c>
      <c r="G185" s="289">
        <f>VLOOKUP(A185,'K19'!$A$4:$BX$425,31,FALSE)</f>
        <v>0</v>
      </c>
      <c r="H185" s="289">
        <f>VLOOKUP(A185,'K19'!$A$4:$BX$425,32,FALSE)</f>
        <v>0</v>
      </c>
      <c r="I185" s="289">
        <f>VLOOKUP(A185,'K19'!$A$4:$BX$425,65,FALSE)</f>
        <v>0</v>
      </c>
      <c r="J185" s="289">
        <f>VLOOKUP(A185,K0kommunestruktur2020!$A$4:$P$359,14,FALSE)</f>
        <v>155140</v>
      </c>
      <c r="K185" s="517"/>
      <c r="L185">
        <v>0</v>
      </c>
      <c r="M185" s="5">
        <f t="shared" si="24"/>
        <v>0</v>
      </c>
    </row>
    <row r="186" spans="1:13" ht="13">
      <c r="A186" s="1">
        <v>3449</v>
      </c>
      <c r="B186" s="2" t="s">
        <v>865</v>
      </c>
      <c r="C186" s="289">
        <f>VLOOKUP(A186,K0kommunestruktur2020!$A$4:$P$359,11,FALSE)</f>
        <v>3014</v>
      </c>
      <c r="D186" s="289">
        <f>VLOOKUP(A186,'K19'!$A$4:$BX$425,24,FALSE)</f>
        <v>1750</v>
      </c>
      <c r="E186" s="289"/>
      <c r="F186" s="289">
        <f>VLOOKUP(A186,K0kommunestruktur2020!$A$4:$P$359,12,FALSE)</f>
        <v>73595</v>
      </c>
      <c r="G186" s="289">
        <f>VLOOKUP(A186,'K19'!$A$4:$BX$425,31,FALSE)</f>
        <v>0</v>
      </c>
      <c r="H186" s="289">
        <f>VLOOKUP(A186,'K19'!$A$4:$BX$425,32,FALSE)</f>
        <v>0</v>
      </c>
      <c r="I186" s="289">
        <f>VLOOKUP(A186,'K19'!$A$4:$BX$425,65,FALSE)</f>
        <v>0</v>
      </c>
      <c r="J186" s="289">
        <f>VLOOKUP(A186,K0kommunestruktur2020!$A$4:$P$359,14,FALSE)</f>
        <v>74443</v>
      </c>
      <c r="K186" s="517"/>
      <c r="L186">
        <v>0</v>
      </c>
      <c r="M186" s="5">
        <f t="shared" si="24"/>
        <v>0</v>
      </c>
    </row>
    <row r="187" spans="1:13" ht="13">
      <c r="A187" s="1">
        <v>3450</v>
      </c>
      <c r="B187" s="2" t="s">
        <v>866</v>
      </c>
      <c r="C187" s="289">
        <f>VLOOKUP(A187,K0kommunestruktur2020!$A$4:$P$359,11,FALSE)</f>
        <v>1352</v>
      </c>
      <c r="D187" s="289">
        <f>VLOOKUP(A187,'K19'!$A$4:$BX$425,24,FALSE)</f>
        <v>700</v>
      </c>
      <c r="E187" s="289"/>
      <c r="F187" s="289">
        <f>VLOOKUP(A187,K0kommunestruktur2020!$A$4:$P$359,12,FALSE)</f>
        <v>32388</v>
      </c>
      <c r="G187" s="289">
        <f>VLOOKUP(A187,'K19'!$A$4:$BX$425,31,FALSE)</f>
        <v>0</v>
      </c>
      <c r="H187" s="289">
        <f>VLOOKUP(A187,'K19'!$A$4:$BX$425,32,FALSE)</f>
        <v>0</v>
      </c>
      <c r="I187" s="289">
        <f>VLOOKUP(A187,'K19'!$A$4:$BX$425,65,FALSE)</f>
        <v>0</v>
      </c>
      <c r="J187" s="289">
        <f>VLOOKUP(A187,K0kommunestruktur2020!$A$4:$P$359,14,FALSE)</f>
        <v>30753</v>
      </c>
      <c r="K187" s="517"/>
      <c r="L187">
        <v>0</v>
      </c>
      <c r="M187" s="5">
        <f t="shared" si="24"/>
        <v>0</v>
      </c>
    </row>
    <row r="188" spans="1:13" ht="13">
      <c r="A188" s="1">
        <v>3451</v>
      </c>
      <c r="B188" s="2" t="s">
        <v>867</v>
      </c>
      <c r="C188" s="289">
        <f>VLOOKUP(A188,K0kommunestruktur2020!$A$4:$P$359,11,FALSE)</f>
        <v>6443</v>
      </c>
      <c r="D188" s="289">
        <f>VLOOKUP(A188,'K19'!$A$4:$BX$425,24,FALSE)</f>
        <v>600</v>
      </c>
      <c r="E188" s="289"/>
      <c r="F188" s="289">
        <f>VLOOKUP(A188,K0kommunestruktur2020!$A$4:$P$359,12,FALSE)</f>
        <v>174124</v>
      </c>
      <c r="G188" s="289">
        <f>VLOOKUP(A188,'K19'!$A$4:$BX$425,31,FALSE)</f>
        <v>0</v>
      </c>
      <c r="H188" s="289">
        <f>VLOOKUP(A188,'K19'!$A$4:$BX$425,32,FALSE)</f>
        <v>0</v>
      </c>
      <c r="I188" s="289">
        <f>VLOOKUP(A188,'K19'!$A$4:$BX$425,65,FALSE)</f>
        <v>0</v>
      </c>
      <c r="J188" s="289">
        <f>VLOOKUP(A188,K0kommunestruktur2020!$A$4:$P$359,14,FALSE)</f>
        <v>177318</v>
      </c>
      <c r="K188" s="517"/>
      <c r="L188">
        <v>0</v>
      </c>
      <c r="M188" s="5">
        <f t="shared" si="24"/>
        <v>0</v>
      </c>
    </row>
    <row r="189" spans="1:13" ht="13">
      <c r="A189" s="1">
        <v>3452</v>
      </c>
      <c r="B189" s="2" t="s">
        <v>868</v>
      </c>
      <c r="C189" s="289">
        <f>VLOOKUP(A189,K0kommunestruktur2020!$A$4:$P$359,11,FALSE)</f>
        <v>2139</v>
      </c>
      <c r="D189" s="289">
        <f>VLOOKUP(A189,'K19'!$A$4:$BX$425,24,FALSE)</f>
        <v>500</v>
      </c>
      <c r="E189" s="289"/>
      <c r="F189" s="289">
        <f>VLOOKUP(A189,K0kommunestruktur2020!$A$4:$P$359,12,FALSE)</f>
        <v>61276</v>
      </c>
      <c r="G189" s="289">
        <f>VLOOKUP(A189,'K19'!$A$4:$BX$425,31,FALSE)</f>
        <v>0</v>
      </c>
      <c r="H189" s="289">
        <f>VLOOKUP(A189,'K19'!$A$4:$BX$425,32,FALSE)</f>
        <v>0</v>
      </c>
      <c r="I189" s="289">
        <f>VLOOKUP(A189,'K19'!$A$4:$BX$425,65,FALSE)</f>
        <v>0</v>
      </c>
      <c r="J189" s="289">
        <f>VLOOKUP(A189,K0kommunestruktur2020!$A$4:$P$359,14,FALSE)</f>
        <v>67700</v>
      </c>
      <c r="K189" s="517"/>
      <c r="L189">
        <v>0</v>
      </c>
      <c r="M189" s="5">
        <f t="shared" si="24"/>
        <v>0</v>
      </c>
    </row>
    <row r="190" spans="1:13" ht="13">
      <c r="A190" s="1">
        <v>3453</v>
      </c>
      <c r="B190" s="2" t="s">
        <v>869</v>
      </c>
      <c r="C190" s="289">
        <f>VLOOKUP(A190,K0kommunestruktur2020!$A$4:$P$359,11,FALSE)</f>
        <v>3221</v>
      </c>
      <c r="D190" s="289">
        <f>VLOOKUP(A190,'K19'!$A$4:$BX$425,24,FALSE)</f>
        <v>400</v>
      </c>
      <c r="E190" s="289"/>
      <c r="F190" s="289">
        <f>VLOOKUP(A190,K0kommunestruktur2020!$A$4:$P$359,12,FALSE)</f>
        <v>96866</v>
      </c>
      <c r="G190" s="289">
        <f>VLOOKUP(A190,'K19'!$A$4:$BX$425,31,FALSE)</f>
        <v>0</v>
      </c>
      <c r="H190" s="289">
        <f>VLOOKUP(A190,'K19'!$A$4:$BX$425,32,FALSE)</f>
        <v>0</v>
      </c>
      <c r="I190" s="289">
        <f>VLOOKUP(A190,'K19'!$A$4:$BX$425,65,FALSE)</f>
        <v>0</v>
      </c>
      <c r="J190" s="289">
        <f>VLOOKUP(A190,K0kommunestruktur2020!$A$4:$P$359,14,FALSE)</f>
        <v>101589</v>
      </c>
      <c r="K190" s="517"/>
      <c r="L190">
        <v>0</v>
      </c>
      <c r="M190" s="5">
        <f t="shared" si="24"/>
        <v>0</v>
      </c>
    </row>
    <row r="191" spans="1:13" ht="13">
      <c r="A191" s="1">
        <v>3454</v>
      </c>
      <c r="B191" s="2" t="s">
        <v>870</v>
      </c>
      <c r="C191" s="289">
        <f>VLOOKUP(A191,K0kommunestruktur2020!$A$4:$P$359,11,FALSE)</f>
        <v>1601</v>
      </c>
      <c r="D191" s="289">
        <f>VLOOKUP(A191,'K19'!$A$4:$BX$425,24,FALSE)</f>
        <v>0</v>
      </c>
      <c r="E191" s="289"/>
      <c r="F191" s="289">
        <f>VLOOKUP(A191,K0kommunestruktur2020!$A$4:$P$359,12,FALSE)</f>
        <v>47228</v>
      </c>
      <c r="G191" s="289">
        <f>VLOOKUP(A191,'K19'!$A$4:$BX$425,31,FALSE)</f>
        <v>0</v>
      </c>
      <c r="H191" s="289">
        <f>VLOOKUP(A191,'K19'!$A$4:$BX$425,32,FALSE)</f>
        <v>0</v>
      </c>
      <c r="I191" s="289">
        <f>VLOOKUP(A191,'K19'!$A$4:$BX$425,65,FALSE)</f>
        <v>0</v>
      </c>
      <c r="J191" s="289">
        <f>VLOOKUP(A191,K0kommunestruktur2020!$A$4:$P$359,14,FALSE)</f>
        <v>49799</v>
      </c>
      <c r="K191" s="517"/>
      <c r="L191">
        <v>0</v>
      </c>
      <c r="M191" s="5">
        <f t="shared" si="24"/>
        <v>0</v>
      </c>
    </row>
    <row r="192" spans="1:13" ht="13">
      <c r="A192" s="1">
        <v>3801</v>
      </c>
      <c r="B192" s="4" t="s">
        <v>346</v>
      </c>
      <c r="C192" s="289">
        <f>VLOOKUP(A192,K0kommunestruktur2020!$A$4:$P$359,11,FALSE)</f>
        <v>27329.99191483</v>
      </c>
      <c r="D192" s="289">
        <f>VLOOKUP(A192,'K19'!$A$4:$BX$425,24,FALSE)</f>
        <v>2400</v>
      </c>
      <c r="E192" s="289"/>
      <c r="F192" s="289">
        <f>VLOOKUP(A192,K0kommunestruktur2020!$A$4:$P$359,12,FALSE)</f>
        <v>672710.78791977372</v>
      </c>
      <c r="G192" s="289">
        <f>VLOOKUP(A192,'K19'!$A$4:$BX$425,31,FALSE)</f>
        <v>0</v>
      </c>
      <c r="H192" s="289">
        <f>VLOOKUP(A192,'K19'!$A$4:$BX$425,32,FALSE)</f>
        <v>0</v>
      </c>
      <c r="I192" s="289">
        <f>VLOOKUP(A192,'K19'!$A$4:$BX$425,65,FALSE)</f>
        <v>0</v>
      </c>
      <c r="J192" s="289">
        <f>VLOOKUP(A192,K0kommunestruktur2020!$A$4:$P$359,14,FALSE)</f>
        <v>692604.24471354357</v>
      </c>
      <c r="K192" s="517"/>
      <c r="L192">
        <v>0</v>
      </c>
      <c r="M192" s="5">
        <f t="shared" si="24"/>
        <v>0</v>
      </c>
    </row>
    <row r="193" spans="1:13" ht="13">
      <c r="A193" s="878">
        <v>3802</v>
      </c>
      <c r="B193" s="879" t="s">
        <v>1625</v>
      </c>
      <c r="C193" s="919">
        <f>VLOOKUP(A193,K0kommunestruktur2020!$A$4:$P$359,11,FALSE)</f>
        <v>24060.278558189999</v>
      </c>
      <c r="D193" s="919">
        <f>+D383</f>
        <v>3200</v>
      </c>
      <c r="E193" s="919"/>
      <c r="F193" s="919">
        <f>VLOOKUP(A193,K0kommunestruktur2020!$A$4:$P$359,12,FALSE)</f>
        <v>652653.90166845266</v>
      </c>
      <c r="G193" s="919">
        <f t="shared" ref="G193:H193" si="25">+G383</f>
        <v>3771</v>
      </c>
      <c r="H193" s="919">
        <f t="shared" si="25"/>
        <v>20189.471535000001</v>
      </c>
      <c r="I193" s="919">
        <f t="shared" ref="I193" si="26">+I383</f>
        <v>4731</v>
      </c>
      <c r="J193" s="919">
        <f>VLOOKUP(A193,K0kommunestruktur2020!$A$4:$P$359,14,FALSE)</f>
        <v>675516.09132852731</v>
      </c>
      <c r="K193" s="517"/>
      <c r="L193">
        <v>20189.4715</v>
      </c>
      <c r="M193" s="960">
        <f t="shared" si="24"/>
        <v>3.5000000934815034E-5</v>
      </c>
    </row>
    <row r="194" spans="1:13" ht="13">
      <c r="A194" s="878">
        <v>3803</v>
      </c>
      <c r="B194" s="879" t="s">
        <v>1626</v>
      </c>
      <c r="C194" s="919">
        <f>VLOOKUP(A194,K0kommunestruktur2020!$A$4:$P$359,11,FALSE)</f>
        <v>54845.783021579999</v>
      </c>
      <c r="D194" s="919">
        <f>+D384</f>
        <v>5000</v>
      </c>
      <c r="E194" s="919"/>
      <c r="F194" s="919">
        <f>VLOOKUP(A194,K0kommunestruktur2020!$A$4:$P$359,12,FALSE)</f>
        <v>1605669.3773023367</v>
      </c>
      <c r="G194" s="919">
        <f t="shared" ref="G194:H194" si="27">+G384</f>
        <v>0</v>
      </c>
      <c r="H194" s="919">
        <f t="shared" si="27"/>
        <v>3764.0787058400001</v>
      </c>
      <c r="I194" s="919">
        <f t="shared" ref="I194" si="28">+I384</f>
        <v>6772</v>
      </c>
      <c r="J194" s="919">
        <f>VLOOKUP(A194,K0kommunestruktur2020!$A$4:$P$359,14,FALSE)</f>
        <v>1680635.555433885</v>
      </c>
      <c r="K194" s="517"/>
      <c r="L194">
        <v>3764.0787099999998</v>
      </c>
      <c r="M194" s="960">
        <f t="shared" si="24"/>
        <v>-4.159999662078917E-6</v>
      </c>
    </row>
    <row r="195" spans="1:13" ht="13">
      <c r="A195" s="755">
        <v>3804</v>
      </c>
      <c r="B195" s="756" t="s">
        <v>1153</v>
      </c>
      <c r="C195" s="289">
        <f>VLOOKUP(A195,K0kommunestruktur2020!$A$4:$P$359,11,FALSE)</f>
        <v>62615</v>
      </c>
      <c r="D195" s="290">
        <f>VLOOKUP(A195,'K19'!$A$4:$BX$425,24,FALSE)</f>
        <v>5000</v>
      </c>
      <c r="E195" s="290"/>
      <c r="F195" s="289">
        <f>VLOOKUP(A195,K0kommunestruktur2020!$A$4:$P$359,12,FALSE)</f>
        <v>1650021</v>
      </c>
      <c r="G195" s="290">
        <f>VLOOKUP(A195,'K19'!$A$4:$BX$425,31,FALSE)</f>
        <v>0</v>
      </c>
      <c r="H195" s="290">
        <f>VLOOKUP(A195,'K19'!$A$4:$BX$425,32,FALSE)</f>
        <v>28496.641103999998</v>
      </c>
      <c r="I195" s="290">
        <f>VLOOKUP(A195,'K19'!$A$4:$BX$425,65,FALSE)</f>
        <v>7274</v>
      </c>
      <c r="J195" s="290">
        <f>VLOOKUP(A195,K0kommunestruktur2020!$A$4:$P$359,14,FALSE)</f>
        <v>1778055</v>
      </c>
      <c r="K195" s="517"/>
      <c r="L195">
        <v>28496.641100000001</v>
      </c>
      <c r="M195" s="960">
        <f t="shared" si="24"/>
        <v>3.9999977161642164E-6</v>
      </c>
    </row>
    <row r="196" spans="1:13" ht="13">
      <c r="A196" s="1">
        <v>3805</v>
      </c>
      <c r="B196" s="2" t="s">
        <v>1235</v>
      </c>
      <c r="C196" s="289">
        <f>VLOOKUP(A196,K0kommunestruktur2020!$A$4:$P$359,11,FALSE)</f>
        <v>46801</v>
      </c>
      <c r="D196" s="289">
        <f>VLOOKUP(A196,'K19'!$A$4:$BX$425,24,FALSE)</f>
        <v>4000</v>
      </c>
      <c r="E196" s="289"/>
      <c r="F196" s="289">
        <f>VLOOKUP(A196,K0kommunestruktur2020!$A$4:$P$359,12,FALSE)</f>
        <v>1250980</v>
      </c>
      <c r="G196" s="289">
        <f>VLOOKUP(A196,'K19'!$A$4:$BX$425,31,FALSE)</f>
        <v>0</v>
      </c>
      <c r="H196" s="289">
        <f>VLOOKUP(A196,'K19'!$A$4:$BX$425,32,FALSE)</f>
        <v>20189.471535000001</v>
      </c>
      <c r="I196" s="289">
        <f>VLOOKUP(A196,'K19'!$A$4:$BX$425,65,FALSE)</f>
        <v>6234</v>
      </c>
      <c r="J196" s="289">
        <f>VLOOKUP(A196,K0kommunestruktur2020!$A$4:$P$359,14,FALSE)</f>
        <v>1285032</v>
      </c>
      <c r="K196" s="517"/>
      <c r="L196">
        <v>20189.4715</v>
      </c>
      <c r="M196" s="960">
        <f t="shared" si="24"/>
        <v>3.5000000934815034E-5</v>
      </c>
    </row>
    <row r="197" spans="1:13" ht="13">
      <c r="A197" s="1">
        <v>3806</v>
      </c>
      <c r="B197" s="2" t="s">
        <v>904</v>
      </c>
      <c r="C197" s="289">
        <f>VLOOKUP(A197,K0kommunestruktur2020!$A$4:$P$359,11,FALSE)</f>
        <v>36091</v>
      </c>
      <c r="D197" s="289">
        <f>VLOOKUP(A197,'K19'!$A$4:$BX$425,24,FALSE)</f>
        <v>0</v>
      </c>
      <c r="E197" s="289"/>
      <c r="F197" s="289">
        <f>VLOOKUP(A197,K0kommunestruktur2020!$A$4:$P$359,12,FALSE)</f>
        <v>994677</v>
      </c>
      <c r="G197" s="289">
        <f>VLOOKUP(A197,'K19'!$A$4:$BX$425,31,FALSE)</f>
        <v>0</v>
      </c>
      <c r="H197" s="289">
        <f>VLOOKUP(A197,'K19'!$A$4:$BX$425,32,FALSE)</f>
        <v>0</v>
      </c>
      <c r="I197" s="289">
        <f>VLOOKUP(A197,'K19'!$A$4:$BX$425,65,FALSE)</f>
        <v>0</v>
      </c>
      <c r="J197" s="289">
        <f>VLOOKUP(A197,K0kommunestruktur2020!$A$4:$P$359,14,FALSE)</f>
        <v>1030160</v>
      </c>
      <c r="K197" s="517"/>
      <c r="L197">
        <v>0</v>
      </c>
      <c r="M197" s="5">
        <f t="shared" ref="M197:M260" si="29">+H197-L197</f>
        <v>0</v>
      </c>
    </row>
    <row r="198" spans="1:13" ht="13">
      <c r="A198" s="1">
        <v>3807</v>
      </c>
      <c r="B198" s="2" t="s">
        <v>905</v>
      </c>
      <c r="C198" s="289">
        <f>VLOOKUP(A198,K0kommunestruktur2020!$A$4:$P$359,11,FALSE)</f>
        <v>54510</v>
      </c>
      <c r="D198" s="289">
        <f>VLOOKUP(A198,'K19'!$A$4:$BX$425,24,FALSE)</f>
        <v>0</v>
      </c>
      <c r="E198" s="289"/>
      <c r="F198" s="289">
        <f>VLOOKUP(A198,K0kommunestruktur2020!$A$4:$P$359,12,FALSE)</f>
        <v>1395616</v>
      </c>
      <c r="G198" s="289">
        <f>VLOOKUP(A198,'K19'!$A$4:$BX$425,31,FALSE)</f>
        <v>0</v>
      </c>
      <c r="H198" s="289">
        <f>VLOOKUP(A198,'K19'!$A$4:$BX$425,32,FALSE)</f>
        <v>0</v>
      </c>
      <c r="I198" s="289">
        <f>VLOOKUP(A198,'K19'!$A$4:$BX$425,65,FALSE)</f>
        <v>0</v>
      </c>
      <c r="J198" s="289">
        <f>VLOOKUP(A198,K0kommunestruktur2020!$A$4:$P$359,14,FALSE)</f>
        <v>1431339</v>
      </c>
      <c r="K198" s="517"/>
      <c r="L198">
        <v>0</v>
      </c>
      <c r="M198" s="5">
        <f t="shared" si="29"/>
        <v>0</v>
      </c>
    </row>
    <row r="199" spans="1:13" ht="13">
      <c r="A199" s="1">
        <v>3808</v>
      </c>
      <c r="B199" s="2" t="s">
        <v>906</v>
      </c>
      <c r="C199" s="289">
        <f>VLOOKUP(A199,K0kommunestruktur2020!$A$4:$P$359,11,FALSE)</f>
        <v>13111.36413815</v>
      </c>
      <c r="D199" s="289">
        <f>VLOOKUP(A199,'K19'!$A$4:$BX$425,24,FALSE)</f>
        <v>3000</v>
      </c>
      <c r="E199" s="289"/>
      <c r="F199" s="289">
        <f>VLOOKUP(A199,K0kommunestruktur2020!$A$4:$P$359,12,FALSE)</f>
        <v>322108.4481943266</v>
      </c>
      <c r="G199" s="289">
        <f>VLOOKUP(A199,'K19'!$A$4:$BX$425,31,FALSE)</f>
        <v>0</v>
      </c>
      <c r="H199" s="289">
        <f>VLOOKUP(A199,'K19'!$A$4:$BX$425,32,FALSE)</f>
        <v>0</v>
      </c>
      <c r="I199" s="289">
        <f>VLOOKUP(A199,'K19'!$A$4:$BX$425,65,FALSE)</f>
        <v>0</v>
      </c>
      <c r="J199" s="289">
        <f>VLOOKUP(A199,K0kommunestruktur2020!$A$4:$P$359,14,FALSE)</f>
        <v>342153.3882668349</v>
      </c>
      <c r="K199" s="517"/>
      <c r="L199">
        <v>0</v>
      </c>
      <c r="M199" s="5">
        <f t="shared" si="29"/>
        <v>0</v>
      </c>
    </row>
    <row r="200" spans="1:13" ht="13">
      <c r="A200" s="1">
        <v>3811</v>
      </c>
      <c r="B200" s="2" t="s">
        <v>1241</v>
      </c>
      <c r="C200" s="289">
        <f>VLOOKUP(A200,K0kommunestruktur2020!$A$4:$P$359,11,FALSE)</f>
        <v>26734</v>
      </c>
      <c r="D200" s="289">
        <f>VLOOKUP(A200,'K19'!$A$4:$BX$425,24,FALSE)</f>
        <v>1600</v>
      </c>
      <c r="E200" s="289"/>
      <c r="F200" s="289">
        <f>VLOOKUP(A200,K0kommunestruktur2020!$A$4:$P$359,12,FALSE)</f>
        <v>826128</v>
      </c>
      <c r="G200" s="289">
        <f>VLOOKUP(A200,'K19'!$A$4:$BX$425,31,FALSE)</f>
        <v>0</v>
      </c>
      <c r="H200" s="289">
        <f>VLOOKUP(A200,'K19'!$A$4:$BX$425,32,FALSE)</f>
        <v>14270.46984</v>
      </c>
      <c r="I200" s="289">
        <f>VLOOKUP(A200,'K19'!$A$4:$BX$425,65,FALSE)</f>
        <v>4915</v>
      </c>
      <c r="J200" s="289">
        <f>VLOOKUP(A200,K0kommunestruktur2020!$A$4:$P$359,14,FALSE)</f>
        <v>861791</v>
      </c>
      <c r="K200" s="517"/>
      <c r="L200">
        <v>14270.469800000001</v>
      </c>
      <c r="M200" s="960">
        <f t="shared" si="29"/>
        <v>3.9999998989515007E-5</v>
      </c>
    </row>
    <row r="201" spans="1:13" ht="13">
      <c r="A201" s="1">
        <v>3812</v>
      </c>
      <c r="B201" s="2" t="s">
        <v>907</v>
      </c>
      <c r="C201" s="289">
        <f>VLOOKUP(A201,K0kommunestruktur2020!$A$4:$P$359,11,FALSE)</f>
        <v>2351</v>
      </c>
      <c r="D201" s="289">
        <f>VLOOKUP(A201,'K19'!$A$4:$BX$425,24,FALSE)</f>
        <v>500</v>
      </c>
      <c r="E201" s="289"/>
      <c r="F201" s="289">
        <f>VLOOKUP(A201,K0kommunestruktur2020!$A$4:$P$359,12,FALSE)</f>
        <v>59881</v>
      </c>
      <c r="G201" s="289">
        <f>VLOOKUP(A201,'K19'!$A$4:$BX$425,31,FALSE)</f>
        <v>0</v>
      </c>
      <c r="H201" s="289">
        <f>VLOOKUP(A201,'K19'!$A$4:$BX$425,32,FALSE)</f>
        <v>0</v>
      </c>
      <c r="I201" s="289">
        <f>VLOOKUP(A201,'K19'!$A$4:$BX$425,65,FALSE)</f>
        <v>0</v>
      </c>
      <c r="J201" s="289">
        <f>VLOOKUP(A201,K0kommunestruktur2020!$A$4:$P$359,14,FALSE)</f>
        <v>61369</v>
      </c>
      <c r="K201" s="517"/>
      <c r="L201">
        <v>0</v>
      </c>
      <c r="M201" s="5">
        <f t="shared" si="29"/>
        <v>0</v>
      </c>
    </row>
    <row r="202" spans="1:13" ht="13">
      <c r="A202" s="1">
        <v>3813</v>
      </c>
      <c r="B202" s="2" t="s">
        <v>908</v>
      </c>
      <c r="C202" s="289">
        <f>VLOOKUP(A202,K0kommunestruktur2020!$A$4:$P$359,11,FALSE)</f>
        <v>14183</v>
      </c>
      <c r="D202" s="289">
        <f>VLOOKUP(A202,'K19'!$A$4:$BX$425,24,FALSE)</f>
        <v>1500</v>
      </c>
      <c r="E202" s="289"/>
      <c r="F202" s="289">
        <f>VLOOKUP(A202,K0kommunestruktur2020!$A$4:$P$359,12,FALSE)</f>
        <v>382036</v>
      </c>
      <c r="G202" s="289">
        <f>VLOOKUP(A202,'K19'!$A$4:$BX$425,31,FALSE)</f>
        <v>0</v>
      </c>
      <c r="H202" s="289">
        <f>VLOOKUP(A202,'K19'!$A$4:$BX$425,32,FALSE)</f>
        <v>0</v>
      </c>
      <c r="I202" s="289">
        <f>VLOOKUP(A202,'K19'!$A$4:$BX$425,65,FALSE)</f>
        <v>0</v>
      </c>
      <c r="J202" s="289">
        <f>VLOOKUP(A202,K0kommunestruktur2020!$A$4:$P$359,14,FALSE)</f>
        <v>395478</v>
      </c>
      <c r="K202" s="517"/>
      <c r="L202">
        <v>0</v>
      </c>
      <c r="M202" s="5">
        <f t="shared" si="29"/>
        <v>0</v>
      </c>
    </row>
    <row r="203" spans="1:13" ht="13">
      <c r="A203" s="1">
        <v>3814</v>
      </c>
      <c r="B203" s="2" t="s">
        <v>910</v>
      </c>
      <c r="C203" s="289">
        <f>VLOOKUP(A203,K0kommunestruktur2020!$A$4:$P$359,11,FALSE)</f>
        <v>10506</v>
      </c>
      <c r="D203" s="289">
        <f>VLOOKUP(A203,'K19'!$A$4:$BX$425,24,FALSE)</f>
        <v>2000</v>
      </c>
      <c r="E203" s="289"/>
      <c r="F203" s="289">
        <f>VLOOKUP(A203,K0kommunestruktur2020!$A$4:$P$359,12,FALSE)</f>
        <v>262062</v>
      </c>
      <c r="G203" s="289">
        <f>VLOOKUP(A203,'K19'!$A$4:$BX$425,31,FALSE)</f>
        <v>0</v>
      </c>
      <c r="H203" s="289">
        <f>VLOOKUP(A203,'K19'!$A$4:$BX$425,32,FALSE)</f>
        <v>0</v>
      </c>
      <c r="I203" s="289">
        <f>VLOOKUP(A203,'K19'!$A$4:$BX$425,65,FALSE)</f>
        <v>0</v>
      </c>
      <c r="J203" s="289">
        <f>VLOOKUP(A203,K0kommunestruktur2020!$A$4:$P$359,14,FALSE)</f>
        <v>268676</v>
      </c>
      <c r="K203" s="517"/>
      <c r="L203">
        <v>0</v>
      </c>
      <c r="M203" s="5">
        <f t="shared" si="29"/>
        <v>0</v>
      </c>
    </row>
    <row r="204" spans="1:13" ht="13">
      <c r="A204" s="1">
        <v>3815</v>
      </c>
      <c r="B204" s="2" t="s">
        <v>911</v>
      </c>
      <c r="C204" s="289">
        <f>VLOOKUP(A204,K0kommunestruktur2020!$A$4:$P$359,11,FALSE)</f>
        <v>4105</v>
      </c>
      <c r="D204" s="289">
        <f>VLOOKUP(A204,'K19'!$A$4:$BX$425,24,FALSE)</f>
        <v>2000</v>
      </c>
      <c r="E204" s="289"/>
      <c r="F204" s="289">
        <f>VLOOKUP(A204,K0kommunestruktur2020!$A$4:$P$359,12,FALSE)</f>
        <v>89506</v>
      </c>
      <c r="G204" s="289">
        <f>VLOOKUP(A204,'K19'!$A$4:$BX$425,31,FALSE)</f>
        <v>0</v>
      </c>
      <c r="H204" s="289">
        <f>VLOOKUP(A204,'K19'!$A$4:$BX$425,32,FALSE)</f>
        <v>0</v>
      </c>
      <c r="I204" s="289">
        <f>VLOOKUP(A204,'K19'!$A$4:$BX$425,65,FALSE)</f>
        <v>0</v>
      </c>
      <c r="J204" s="289">
        <f>VLOOKUP(A204,K0kommunestruktur2020!$A$4:$P$359,14,FALSE)</f>
        <v>91475</v>
      </c>
      <c r="K204" s="517"/>
      <c r="L204">
        <v>0</v>
      </c>
      <c r="M204" s="5">
        <f t="shared" si="29"/>
        <v>0</v>
      </c>
    </row>
    <row r="205" spans="1:13" ht="13">
      <c r="A205" s="1">
        <v>3816</v>
      </c>
      <c r="B205" s="2" t="s">
        <v>912</v>
      </c>
      <c r="C205" s="289">
        <f>VLOOKUP(A205,K0kommunestruktur2020!$A$4:$P$359,11,FALSE)</f>
        <v>6609</v>
      </c>
      <c r="D205" s="289">
        <f>VLOOKUP(A205,'K19'!$A$4:$BX$425,24,FALSE)</f>
        <v>5000</v>
      </c>
      <c r="E205" s="289"/>
      <c r="F205" s="289">
        <f>VLOOKUP(A205,K0kommunestruktur2020!$A$4:$P$359,12,FALSE)</f>
        <v>155467</v>
      </c>
      <c r="G205" s="289">
        <f>VLOOKUP(A205,'K19'!$A$4:$BX$425,31,FALSE)</f>
        <v>0</v>
      </c>
      <c r="H205" s="289">
        <f>VLOOKUP(A205,'K19'!$A$4:$BX$425,32,FALSE)</f>
        <v>0</v>
      </c>
      <c r="I205" s="289">
        <f>VLOOKUP(A205,'K19'!$A$4:$BX$425,65,FALSE)</f>
        <v>0</v>
      </c>
      <c r="J205" s="289">
        <f>VLOOKUP(A205,K0kommunestruktur2020!$A$4:$P$359,14,FALSE)</f>
        <v>161297</v>
      </c>
      <c r="K205" s="517"/>
      <c r="L205">
        <v>0</v>
      </c>
      <c r="M205" s="5">
        <f t="shared" si="29"/>
        <v>0</v>
      </c>
    </row>
    <row r="206" spans="1:13" ht="13">
      <c r="A206" s="878">
        <v>3817</v>
      </c>
      <c r="B206" s="883" t="s">
        <v>1627</v>
      </c>
      <c r="C206" s="919">
        <f>VLOOKUP(A206,K0kommunestruktur2020!$A$4:$P$359,11,FALSE)</f>
        <v>10375.265494830001</v>
      </c>
      <c r="D206" s="919">
        <f>+D385</f>
        <v>6000</v>
      </c>
      <c r="E206" s="919"/>
      <c r="F206" s="919">
        <f>VLOOKUP(A206,K0kommunestruktur2020!$A$4:$P$359,12,FALSE)</f>
        <v>247525.6980683576</v>
      </c>
      <c r="G206" s="919">
        <f t="shared" ref="G206:I206" si="30">+G385</f>
        <v>4649</v>
      </c>
      <c r="H206" s="919">
        <f t="shared" si="30"/>
        <v>0</v>
      </c>
      <c r="I206" s="919">
        <f t="shared" si="30"/>
        <v>3869</v>
      </c>
      <c r="J206" s="919">
        <f>VLOOKUP(A206,K0kommunestruktur2020!$A$4:$P$359,14,FALSE)</f>
        <v>254771.79346333424</v>
      </c>
      <c r="K206" s="517"/>
      <c r="L206">
        <v>0</v>
      </c>
      <c r="M206" s="5">
        <f t="shared" si="29"/>
        <v>0</v>
      </c>
    </row>
    <row r="207" spans="1:13" ht="13">
      <c r="A207" s="1">
        <v>3818</v>
      </c>
      <c r="B207" s="2" t="s">
        <v>920</v>
      </c>
      <c r="C207" s="289">
        <f>VLOOKUP(A207,K0kommunestruktur2020!$A$4:$P$359,11,FALSE)</f>
        <v>5856</v>
      </c>
      <c r="D207" s="289">
        <f>VLOOKUP(A207,'K19'!$A$4:$BX$425,24,FALSE)</f>
        <v>0</v>
      </c>
      <c r="E207" s="289"/>
      <c r="F207" s="289">
        <f>VLOOKUP(A207,K0kommunestruktur2020!$A$4:$P$359,12,FALSE)</f>
        <v>199842</v>
      </c>
      <c r="G207" s="289">
        <f>VLOOKUP(A207,'K19'!$A$4:$BX$425,31,FALSE)</f>
        <v>0</v>
      </c>
      <c r="H207" s="289">
        <f>VLOOKUP(A207,'K19'!$A$4:$BX$425,32,FALSE)</f>
        <v>0</v>
      </c>
      <c r="I207" s="289">
        <f>VLOOKUP(A207,'K19'!$A$4:$BX$425,65,FALSE)</f>
        <v>0</v>
      </c>
      <c r="J207" s="289">
        <f>VLOOKUP(A207,K0kommunestruktur2020!$A$4:$P$359,14,FALSE)</f>
        <v>205109</v>
      </c>
      <c r="K207" s="517"/>
      <c r="L207">
        <v>0</v>
      </c>
      <c r="M207" s="5">
        <f t="shared" si="29"/>
        <v>0</v>
      </c>
    </row>
    <row r="208" spans="1:13" ht="13">
      <c r="A208" s="1">
        <v>3819</v>
      </c>
      <c r="B208" s="2" t="s">
        <v>921</v>
      </c>
      <c r="C208" s="289">
        <f>VLOOKUP(A208,K0kommunestruktur2020!$A$4:$P$359,11,FALSE)</f>
        <v>1587</v>
      </c>
      <c r="D208" s="289">
        <f>VLOOKUP(A208,'K19'!$A$4:$BX$425,24,FALSE)</f>
        <v>1000</v>
      </c>
      <c r="E208" s="289"/>
      <c r="F208" s="289">
        <f>VLOOKUP(A208,K0kommunestruktur2020!$A$4:$P$359,12,FALSE)</f>
        <v>47373</v>
      </c>
      <c r="G208" s="289">
        <f>VLOOKUP(A208,'K19'!$A$4:$BX$425,31,FALSE)</f>
        <v>0</v>
      </c>
      <c r="H208" s="289">
        <f>VLOOKUP(A208,'K19'!$A$4:$BX$425,32,FALSE)</f>
        <v>0</v>
      </c>
      <c r="I208" s="289">
        <f>VLOOKUP(A208,'K19'!$A$4:$BX$425,65,FALSE)</f>
        <v>0</v>
      </c>
      <c r="J208" s="289">
        <f>VLOOKUP(A208,K0kommunestruktur2020!$A$4:$P$359,14,FALSE)</f>
        <v>48046</v>
      </c>
      <c r="K208" s="517"/>
      <c r="L208">
        <v>0</v>
      </c>
      <c r="M208" s="5">
        <f t="shared" si="29"/>
        <v>0</v>
      </c>
    </row>
    <row r="209" spans="1:13" ht="13">
      <c r="A209" s="1">
        <v>3820</v>
      </c>
      <c r="B209" s="2" t="s">
        <v>922</v>
      </c>
      <c r="C209" s="289">
        <f>VLOOKUP(A209,K0kommunestruktur2020!$A$4:$P$359,11,FALSE)</f>
        <v>2959</v>
      </c>
      <c r="D209" s="289">
        <f>VLOOKUP(A209,'K19'!$A$4:$BX$425,24,FALSE)</f>
        <v>2000</v>
      </c>
      <c r="E209" s="289"/>
      <c r="F209" s="289">
        <f>VLOOKUP(A209,K0kommunestruktur2020!$A$4:$P$359,12,FALSE)</f>
        <v>79022</v>
      </c>
      <c r="G209" s="289">
        <f>VLOOKUP(A209,'K19'!$A$4:$BX$425,31,FALSE)</f>
        <v>0</v>
      </c>
      <c r="H209" s="289">
        <f>VLOOKUP(A209,'K19'!$A$4:$BX$425,32,FALSE)</f>
        <v>0</v>
      </c>
      <c r="I209" s="289">
        <f>VLOOKUP(A209,'K19'!$A$4:$BX$425,65,FALSE)</f>
        <v>0</v>
      </c>
      <c r="J209" s="289">
        <f>VLOOKUP(A209,K0kommunestruktur2020!$A$4:$P$359,14,FALSE)</f>
        <v>79899</v>
      </c>
      <c r="K209" s="517"/>
      <c r="L209">
        <v>0</v>
      </c>
      <c r="M209" s="5">
        <f t="shared" si="29"/>
        <v>0</v>
      </c>
    </row>
    <row r="210" spans="1:13" ht="13">
      <c r="A210" s="1">
        <v>3821</v>
      </c>
      <c r="B210" s="2" t="s">
        <v>923</v>
      </c>
      <c r="C210" s="289">
        <f>VLOOKUP(A210,K0kommunestruktur2020!$A$4:$P$359,11,FALSE)</f>
        <v>2397</v>
      </c>
      <c r="D210" s="289">
        <f>VLOOKUP(A210,'K19'!$A$4:$BX$425,24,FALSE)</f>
        <v>1500</v>
      </c>
      <c r="E210" s="289"/>
      <c r="F210" s="289">
        <f>VLOOKUP(A210,K0kommunestruktur2020!$A$4:$P$359,12,FALSE)</f>
        <v>63971</v>
      </c>
      <c r="G210" s="289">
        <f>VLOOKUP(A210,'K19'!$A$4:$BX$425,31,FALSE)</f>
        <v>0</v>
      </c>
      <c r="H210" s="289">
        <f>VLOOKUP(A210,'K19'!$A$4:$BX$425,32,FALSE)</f>
        <v>0</v>
      </c>
      <c r="I210" s="289">
        <f>VLOOKUP(A210,'K19'!$A$4:$BX$425,65,FALSE)</f>
        <v>0</v>
      </c>
      <c r="J210" s="289">
        <f>VLOOKUP(A210,K0kommunestruktur2020!$A$4:$P$359,14,FALSE)</f>
        <v>65310</v>
      </c>
      <c r="K210" s="517"/>
      <c r="L210">
        <v>0</v>
      </c>
      <c r="M210" s="5">
        <f t="shared" si="29"/>
        <v>0</v>
      </c>
    </row>
    <row r="211" spans="1:13" ht="13">
      <c r="A211" s="1">
        <v>3822</v>
      </c>
      <c r="B211" s="2" t="s">
        <v>924</v>
      </c>
      <c r="C211" s="289">
        <f>VLOOKUP(A211,K0kommunestruktur2020!$A$4:$P$359,11,FALSE)</f>
        <v>1489</v>
      </c>
      <c r="D211" s="289">
        <f>VLOOKUP(A211,'K19'!$A$4:$BX$425,24,FALSE)</f>
        <v>0</v>
      </c>
      <c r="E211" s="289"/>
      <c r="F211" s="289">
        <f>VLOOKUP(A211,K0kommunestruktur2020!$A$4:$P$359,12,FALSE)</f>
        <v>43371</v>
      </c>
      <c r="G211" s="289">
        <f>VLOOKUP(A211,'K19'!$A$4:$BX$425,31,FALSE)</f>
        <v>0</v>
      </c>
      <c r="H211" s="289">
        <f>VLOOKUP(A211,'K19'!$A$4:$BX$425,32,FALSE)</f>
        <v>0</v>
      </c>
      <c r="I211" s="289">
        <f>VLOOKUP(A211,'K19'!$A$4:$BX$425,65,FALSE)</f>
        <v>0</v>
      </c>
      <c r="J211" s="289">
        <f>VLOOKUP(A211,K0kommunestruktur2020!$A$4:$P$359,14,FALSE)</f>
        <v>43819</v>
      </c>
      <c r="K211" s="517"/>
      <c r="L211">
        <v>0</v>
      </c>
      <c r="M211" s="5">
        <f t="shared" si="29"/>
        <v>0</v>
      </c>
    </row>
    <row r="212" spans="1:13" ht="13">
      <c r="A212" s="1">
        <v>3823</v>
      </c>
      <c r="B212" s="2" t="s">
        <v>925</v>
      </c>
      <c r="C212" s="289">
        <f>VLOOKUP(A212,K0kommunestruktur2020!$A$4:$P$359,11,FALSE)</f>
        <v>1320</v>
      </c>
      <c r="D212" s="289">
        <f>VLOOKUP(A212,'K19'!$A$4:$BX$425,24,FALSE)</f>
        <v>0</v>
      </c>
      <c r="E212" s="289"/>
      <c r="F212" s="289">
        <f>VLOOKUP(A212,K0kommunestruktur2020!$A$4:$P$359,12,FALSE)</f>
        <v>35116</v>
      </c>
      <c r="G212" s="289">
        <f>VLOOKUP(A212,'K19'!$A$4:$BX$425,31,FALSE)</f>
        <v>0</v>
      </c>
      <c r="H212" s="289">
        <f>VLOOKUP(A212,'K19'!$A$4:$BX$425,32,FALSE)</f>
        <v>0</v>
      </c>
      <c r="I212" s="289">
        <f>VLOOKUP(A212,'K19'!$A$4:$BX$425,65,FALSE)</f>
        <v>0</v>
      </c>
      <c r="J212" s="289">
        <f>VLOOKUP(A212,K0kommunestruktur2020!$A$4:$P$359,14,FALSE)</f>
        <v>35476</v>
      </c>
      <c r="K212" s="517"/>
      <c r="L212">
        <v>0</v>
      </c>
      <c r="M212" s="5">
        <f t="shared" si="29"/>
        <v>0</v>
      </c>
    </row>
    <row r="213" spans="1:13" ht="13">
      <c r="A213" s="1">
        <v>3824</v>
      </c>
      <c r="B213" s="2" t="s">
        <v>926</v>
      </c>
      <c r="C213" s="289">
        <f>VLOOKUP(A213,K0kommunestruktur2020!$A$4:$P$359,11,FALSE)</f>
        <v>2236</v>
      </c>
      <c r="D213" s="289">
        <f>VLOOKUP(A213,'K19'!$A$4:$BX$425,24,FALSE)</f>
        <v>0</v>
      </c>
      <c r="E213" s="289"/>
      <c r="F213" s="289">
        <f>VLOOKUP(A213,K0kommunestruktur2020!$A$4:$P$359,12,FALSE)</f>
        <v>78415</v>
      </c>
      <c r="G213" s="289">
        <f>VLOOKUP(A213,'K19'!$A$4:$BX$425,31,FALSE)</f>
        <v>0</v>
      </c>
      <c r="H213" s="289">
        <f>VLOOKUP(A213,'K19'!$A$4:$BX$425,32,FALSE)</f>
        <v>0</v>
      </c>
      <c r="I213" s="289">
        <f>VLOOKUP(A213,'K19'!$A$4:$BX$425,65,FALSE)</f>
        <v>0</v>
      </c>
      <c r="J213" s="289">
        <f>VLOOKUP(A213,K0kommunestruktur2020!$A$4:$P$359,14,FALSE)</f>
        <v>83047</v>
      </c>
      <c r="K213" s="517"/>
      <c r="L213">
        <v>0</v>
      </c>
      <c r="M213" s="5">
        <f t="shared" si="29"/>
        <v>0</v>
      </c>
    </row>
    <row r="214" spans="1:13" ht="13">
      <c r="A214" s="1">
        <v>3825</v>
      </c>
      <c r="B214" s="2" t="s">
        <v>927</v>
      </c>
      <c r="C214" s="289">
        <f>VLOOKUP(A214,K0kommunestruktur2020!$A$4:$P$359,11,FALSE)</f>
        <v>3709</v>
      </c>
      <c r="D214" s="289">
        <f>VLOOKUP(A214,'K19'!$A$4:$BX$425,24,FALSE)</f>
        <v>0</v>
      </c>
      <c r="E214" s="289"/>
      <c r="F214" s="289">
        <f>VLOOKUP(A214,K0kommunestruktur2020!$A$4:$P$359,12,FALSE)</f>
        <v>151716</v>
      </c>
      <c r="G214" s="289">
        <f>VLOOKUP(A214,'K19'!$A$4:$BX$425,31,FALSE)</f>
        <v>0</v>
      </c>
      <c r="H214" s="289">
        <f>VLOOKUP(A214,'K19'!$A$4:$BX$425,32,FALSE)</f>
        <v>0</v>
      </c>
      <c r="I214" s="289">
        <f>VLOOKUP(A214,'K19'!$A$4:$BX$425,65,FALSE)</f>
        <v>0</v>
      </c>
      <c r="J214" s="289">
        <f>VLOOKUP(A214,K0kommunestruktur2020!$A$4:$P$359,14,FALSE)</f>
        <v>154659</v>
      </c>
      <c r="K214" s="517"/>
      <c r="L214">
        <v>0</v>
      </c>
      <c r="M214" s="5">
        <f t="shared" si="29"/>
        <v>0</v>
      </c>
    </row>
    <row r="215" spans="1:13" ht="13">
      <c r="A215" s="1">
        <v>4201</v>
      </c>
      <c r="B215" s="2" t="s">
        <v>928</v>
      </c>
      <c r="C215" s="289">
        <f>VLOOKUP(A215,K0kommunestruktur2020!$A$4:$P$359,11,FALSE)</f>
        <v>6882</v>
      </c>
      <c r="D215" s="289">
        <f>VLOOKUP(A215,'K19'!$A$4:$BX$425,24,FALSE)</f>
        <v>1260</v>
      </c>
      <c r="E215" s="289"/>
      <c r="F215" s="289">
        <f>VLOOKUP(A215,K0kommunestruktur2020!$A$4:$P$359,12,FALSE)</f>
        <v>167642</v>
      </c>
      <c r="G215" s="289">
        <f>VLOOKUP(A215,'K19'!$A$4:$BX$425,31,FALSE)</f>
        <v>0</v>
      </c>
      <c r="H215" s="289">
        <f>VLOOKUP(A215,'K19'!$A$4:$BX$425,32,FALSE)</f>
        <v>0</v>
      </c>
      <c r="I215" s="289">
        <f>VLOOKUP(A215,'K19'!$A$4:$BX$425,65,FALSE)</f>
        <v>0</v>
      </c>
      <c r="J215" s="289">
        <f>VLOOKUP(A215,K0kommunestruktur2020!$A$4:$P$359,14,FALSE)</f>
        <v>177519</v>
      </c>
      <c r="K215" s="517"/>
      <c r="L215">
        <v>0</v>
      </c>
      <c r="M215" s="5">
        <f t="shared" si="29"/>
        <v>0</v>
      </c>
    </row>
    <row r="216" spans="1:13" ht="13">
      <c r="A216" s="1">
        <v>4202</v>
      </c>
      <c r="B216" s="2" t="s">
        <v>929</v>
      </c>
      <c r="C216" s="289">
        <f>VLOOKUP(A216,K0kommunestruktur2020!$A$4:$P$359,11,FALSE)</f>
        <v>23017</v>
      </c>
      <c r="D216" s="289">
        <f>VLOOKUP(A216,'K19'!$A$4:$BX$425,24,FALSE)</f>
        <v>2070</v>
      </c>
      <c r="E216" s="289"/>
      <c r="F216" s="289">
        <f>VLOOKUP(A216,K0kommunestruktur2020!$A$4:$P$359,12,FALSE)</f>
        <v>637254</v>
      </c>
      <c r="G216" s="289">
        <f>VLOOKUP(A216,'K19'!$A$4:$BX$425,31,FALSE)</f>
        <v>0</v>
      </c>
      <c r="H216" s="289">
        <f>VLOOKUP(A216,'K19'!$A$4:$BX$425,32,FALSE)</f>
        <v>0</v>
      </c>
      <c r="I216" s="289">
        <f>VLOOKUP(A216,'K19'!$A$4:$BX$425,65,FALSE)</f>
        <v>0</v>
      </c>
      <c r="J216" s="289">
        <f>VLOOKUP(A216,K0kommunestruktur2020!$A$4:$P$359,14,FALSE)</f>
        <v>551458</v>
      </c>
      <c r="K216" s="517"/>
      <c r="L216">
        <v>0</v>
      </c>
      <c r="M216" s="5">
        <f t="shared" si="29"/>
        <v>0</v>
      </c>
    </row>
    <row r="217" spans="1:13" ht="13">
      <c r="A217" s="1">
        <v>4203</v>
      </c>
      <c r="B217" s="2" t="s">
        <v>930</v>
      </c>
      <c r="C217" s="289">
        <f>VLOOKUP(A217,K0kommunestruktur2020!$A$4:$P$359,11,FALSE)</f>
        <v>44645</v>
      </c>
      <c r="D217" s="289">
        <f>VLOOKUP(A217,'K19'!$A$4:$BX$425,24,FALSE)</f>
        <v>5610</v>
      </c>
      <c r="E217" s="289"/>
      <c r="F217" s="289">
        <f>VLOOKUP(A217,K0kommunestruktur2020!$A$4:$P$359,12,FALSE)</f>
        <v>1138206</v>
      </c>
      <c r="G217" s="289">
        <f>VLOOKUP(A217,'K19'!$A$4:$BX$425,31,FALSE)</f>
        <v>0</v>
      </c>
      <c r="H217" s="289">
        <f>VLOOKUP(A217,'K19'!$A$4:$BX$425,32,FALSE)</f>
        <v>0</v>
      </c>
      <c r="I217" s="289">
        <f>VLOOKUP(A217,'K19'!$A$4:$BX$425,65,FALSE)</f>
        <v>0</v>
      </c>
      <c r="J217" s="289">
        <f>VLOOKUP(A217,K0kommunestruktur2020!$A$4:$P$359,14,FALSE)</f>
        <v>1184748</v>
      </c>
      <c r="K217" s="517"/>
      <c r="L217">
        <v>0</v>
      </c>
      <c r="M217" s="5">
        <f t="shared" si="29"/>
        <v>0</v>
      </c>
    </row>
    <row r="218" spans="1:13" ht="13">
      <c r="A218" s="878">
        <v>4204</v>
      </c>
      <c r="B218" s="883" t="s">
        <v>1628</v>
      </c>
      <c r="C218" s="919">
        <f>VLOOKUP(A218,K0kommunestruktur2020!$A$4:$P$359,11,FALSE)</f>
        <v>109438</v>
      </c>
      <c r="D218" s="919">
        <f>+D386</f>
        <v>12490</v>
      </c>
      <c r="E218" s="919"/>
      <c r="F218" s="919">
        <f>VLOOKUP(A218,K0kommunestruktur2020!$A$4:$P$359,12,FALSE)</f>
        <v>2968176</v>
      </c>
      <c r="G218" s="919">
        <f t="shared" ref="G218:H218" si="31">+G386</f>
        <v>5994</v>
      </c>
      <c r="H218" s="919">
        <f t="shared" si="31"/>
        <v>0</v>
      </c>
      <c r="I218" s="919">
        <f t="shared" ref="I218" si="32">+I386</f>
        <v>0</v>
      </c>
      <c r="J218" s="919">
        <f>VLOOKUP(A218,K0kommunestruktur2020!$A$4:$P$359,14,FALSE)</f>
        <v>3051787</v>
      </c>
      <c r="K218" s="517"/>
      <c r="L218">
        <v>0</v>
      </c>
      <c r="M218" s="5">
        <f t="shared" si="29"/>
        <v>0</v>
      </c>
    </row>
    <row r="219" spans="1:13" ht="13">
      <c r="A219" s="878">
        <v>4205</v>
      </c>
      <c r="B219" s="883" t="s">
        <v>1629</v>
      </c>
      <c r="C219" s="919">
        <f>VLOOKUP(A219,K0kommunestruktur2020!$A$4:$P$359,11,FALSE)</f>
        <v>22905</v>
      </c>
      <c r="D219" s="919">
        <f>+D387</f>
        <v>3600</v>
      </c>
      <c r="E219" s="919"/>
      <c r="F219" s="919">
        <f>VLOOKUP(A219,K0kommunestruktur2020!$A$4:$P$359,12,FALSE)</f>
        <v>566314</v>
      </c>
      <c r="G219" s="919">
        <f t="shared" ref="G219:H219" si="33">+G387</f>
        <v>0</v>
      </c>
      <c r="H219" s="919">
        <f t="shared" si="33"/>
        <v>0</v>
      </c>
      <c r="I219" s="919">
        <f t="shared" ref="I219" si="34">+I387</f>
        <v>4663</v>
      </c>
      <c r="J219" s="919">
        <f>VLOOKUP(A219,K0kommunestruktur2020!$A$4:$P$359,14,FALSE)</f>
        <v>595597</v>
      </c>
      <c r="K219" s="517"/>
      <c r="L219">
        <v>0</v>
      </c>
      <c r="M219" s="5">
        <f t="shared" si="29"/>
        <v>0</v>
      </c>
    </row>
    <row r="220" spans="1:13" ht="13">
      <c r="A220" s="1">
        <v>4206</v>
      </c>
      <c r="B220" s="2" t="s">
        <v>944</v>
      </c>
      <c r="C220" s="289">
        <f>VLOOKUP(A220,K0kommunestruktur2020!$A$4:$P$359,11,FALSE)</f>
        <v>9726</v>
      </c>
      <c r="D220" s="289">
        <f>VLOOKUP(A220,'K19'!$A$4:$BX$425,24,FALSE)</f>
        <v>1310</v>
      </c>
      <c r="E220" s="289"/>
      <c r="F220" s="289">
        <f>VLOOKUP(A220,K0kommunestruktur2020!$A$4:$P$359,12,FALSE)</f>
        <v>246461</v>
      </c>
      <c r="G220" s="289">
        <f>VLOOKUP(A220,'K19'!$A$4:$BX$425,31,FALSE)</f>
        <v>0</v>
      </c>
      <c r="H220" s="289">
        <f>VLOOKUP(A220,'K19'!$A$4:$BX$425,32,FALSE)</f>
        <v>0</v>
      </c>
      <c r="I220" s="289">
        <f>VLOOKUP(A220,'K19'!$A$4:$BX$425,65,FALSE)</f>
        <v>0</v>
      </c>
      <c r="J220" s="289">
        <f>VLOOKUP(A220,K0kommunestruktur2020!$A$4:$P$359,14,FALSE)</f>
        <v>255900</v>
      </c>
      <c r="K220" s="517"/>
      <c r="L220">
        <v>0</v>
      </c>
      <c r="M220" s="5">
        <f t="shared" si="29"/>
        <v>0</v>
      </c>
    </row>
    <row r="221" spans="1:13" ht="13">
      <c r="A221" s="1">
        <v>4207</v>
      </c>
      <c r="B221" s="2" t="s">
        <v>946</v>
      </c>
      <c r="C221" s="289">
        <f>VLOOKUP(A221,K0kommunestruktur2020!$A$4:$P$359,11,FALSE)</f>
        <v>9066</v>
      </c>
      <c r="D221" s="289">
        <f>VLOOKUP(A221,'K19'!$A$4:$BX$425,24,FALSE)</f>
        <v>1060</v>
      </c>
      <c r="E221" s="289"/>
      <c r="F221" s="289">
        <f>VLOOKUP(A221,K0kommunestruktur2020!$A$4:$P$359,12,FALSE)</f>
        <v>241314</v>
      </c>
      <c r="G221" s="289">
        <f>VLOOKUP(A221,'K19'!$A$4:$BX$425,31,FALSE)</f>
        <v>0</v>
      </c>
      <c r="H221" s="289">
        <f>VLOOKUP(A221,'K19'!$A$4:$BX$425,32,FALSE)</f>
        <v>0</v>
      </c>
      <c r="I221" s="289">
        <f>VLOOKUP(A221,'K19'!$A$4:$BX$425,65,FALSE)</f>
        <v>0</v>
      </c>
      <c r="J221" s="289">
        <f>VLOOKUP(A221,K0kommunestruktur2020!$A$4:$P$359,14,FALSE)</f>
        <v>248272</v>
      </c>
      <c r="K221" s="517"/>
      <c r="L221">
        <v>0</v>
      </c>
      <c r="M221" s="5">
        <f t="shared" si="29"/>
        <v>0</v>
      </c>
    </row>
    <row r="222" spans="1:13" ht="13">
      <c r="A222" s="1">
        <v>4211</v>
      </c>
      <c r="B222" s="2" t="s">
        <v>931</v>
      </c>
      <c r="C222" s="289">
        <f>VLOOKUP(A222,K0kommunestruktur2020!$A$4:$P$359,11,FALSE)</f>
        <v>2467</v>
      </c>
      <c r="D222" s="289">
        <f>VLOOKUP(A222,'K19'!$A$4:$BX$425,24,FALSE)</f>
        <v>1860</v>
      </c>
      <c r="E222" s="289"/>
      <c r="F222" s="289">
        <f>VLOOKUP(A222,K0kommunestruktur2020!$A$4:$P$359,12,FALSE)</f>
        <v>49187</v>
      </c>
      <c r="G222" s="289">
        <f>VLOOKUP(A222,'K19'!$A$4:$BX$425,31,FALSE)</f>
        <v>0</v>
      </c>
      <c r="H222" s="289">
        <f>VLOOKUP(A222,'K19'!$A$4:$BX$425,32,FALSE)</f>
        <v>0</v>
      </c>
      <c r="I222" s="289">
        <f>VLOOKUP(A222,'K19'!$A$4:$BX$425,65,FALSE)</f>
        <v>0</v>
      </c>
      <c r="J222" s="289">
        <f>VLOOKUP(A222,K0kommunestruktur2020!$A$4:$P$359,14,FALSE)</f>
        <v>53222</v>
      </c>
      <c r="K222" s="517"/>
      <c r="L222">
        <v>0</v>
      </c>
      <c r="M222" s="5">
        <f t="shared" si="29"/>
        <v>0</v>
      </c>
    </row>
    <row r="223" spans="1:13" ht="13">
      <c r="A223" s="1">
        <v>4212</v>
      </c>
      <c r="B223" s="4" t="s">
        <v>706</v>
      </c>
      <c r="C223" s="289">
        <f>VLOOKUP(A223,K0kommunestruktur2020!$A$4:$P$359,11,FALSE)</f>
        <v>2087</v>
      </c>
      <c r="D223" s="289">
        <f>VLOOKUP(A223,'K19'!$A$4:$BX$425,24,FALSE)</f>
        <v>1630</v>
      </c>
      <c r="E223" s="289"/>
      <c r="F223" s="289">
        <f>VLOOKUP(A223,K0kommunestruktur2020!$A$4:$P$359,12,FALSE)</f>
        <v>44994</v>
      </c>
      <c r="G223" s="289">
        <f>VLOOKUP(A223,'K19'!$A$4:$BX$425,31,FALSE)</f>
        <v>0</v>
      </c>
      <c r="H223" s="289">
        <f>VLOOKUP(A223,'K19'!$A$4:$BX$425,32,FALSE)</f>
        <v>0</v>
      </c>
      <c r="I223" s="289">
        <f>VLOOKUP(A223,'K19'!$A$4:$BX$425,65,FALSE)</f>
        <v>0</v>
      </c>
      <c r="J223" s="289">
        <f>VLOOKUP(A223,K0kommunestruktur2020!$A$4:$P$359,14,FALSE)</f>
        <v>46962</v>
      </c>
      <c r="K223" s="517"/>
      <c r="L223">
        <v>0</v>
      </c>
      <c r="M223" s="5">
        <f t="shared" si="29"/>
        <v>0</v>
      </c>
    </row>
    <row r="224" spans="1:13" ht="13">
      <c r="A224" s="1">
        <v>4213</v>
      </c>
      <c r="B224" s="2" t="s">
        <v>932</v>
      </c>
      <c r="C224" s="289">
        <f>VLOOKUP(A224,K0kommunestruktur2020!$A$4:$P$359,11,FALSE)</f>
        <v>6086</v>
      </c>
      <c r="D224" s="289">
        <f>VLOOKUP(A224,'K19'!$A$4:$BX$425,24,FALSE)</f>
        <v>970</v>
      </c>
      <c r="E224" s="289"/>
      <c r="F224" s="289">
        <f>VLOOKUP(A224,K0kommunestruktur2020!$A$4:$P$359,12,FALSE)</f>
        <v>145870</v>
      </c>
      <c r="G224" s="289">
        <f>VLOOKUP(A224,'K19'!$A$4:$BX$425,31,FALSE)</f>
        <v>0</v>
      </c>
      <c r="H224" s="289">
        <f>VLOOKUP(A224,'K19'!$A$4:$BX$425,32,FALSE)</f>
        <v>0</v>
      </c>
      <c r="I224" s="289">
        <f>VLOOKUP(A224,'K19'!$A$4:$BX$425,65,FALSE)</f>
        <v>0</v>
      </c>
      <c r="J224" s="289">
        <f>VLOOKUP(A224,K0kommunestruktur2020!$A$4:$P$359,14,FALSE)</f>
        <v>160923</v>
      </c>
      <c r="K224" s="517"/>
      <c r="L224">
        <v>0</v>
      </c>
      <c r="M224" s="5">
        <f t="shared" si="29"/>
        <v>0</v>
      </c>
    </row>
    <row r="225" spans="1:13" ht="13">
      <c r="A225" s="1">
        <v>4214</v>
      </c>
      <c r="B225" s="2" t="s">
        <v>933</v>
      </c>
      <c r="C225" s="289">
        <f>VLOOKUP(A225,K0kommunestruktur2020!$A$4:$P$359,11,FALSE)</f>
        <v>5790</v>
      </c>
      <c r="D225" s="289">
        <f>VLOOKUP(A225,'K19'!$A$4:$BX$425,24,FALSE)</f>
        <v>500</v>
      </c>
      <c r="E225" s="289"/>
      <c r="F225" s="289">
        <f>VLOOKUP(A225,K0kommunestruktur2020!$A$4:$P$359,12,FALSE)</f>
        <v>133413</v>
      </c>
      <c r="G225" s="289">
        <f>VLOOKUP(A225,'K19'!$A$4:$BX$425,31,FALSE)</f>
        <v>446</v>
      </c>
      <c r="H225" s="289">
        <f>VLOOKUP(A225,'K19'!$A$4:$BX$425,32,FALSE)</f>
        <v>0</v>
      </c>
      <c r="I225" s="289">
        <f>VLOOKUP(A225,'K19'!$A$4:$BX$425,65,FALSE)</f>
        <v>0</v>
      </c>
      <c r="J225" s="289">
        <f>VLOOKUP(A225,K0kommunestruktur2020!$A$4:$P$359,14,FALSE)</f>
        <v>137039</v>
      </c>
      <c r="K225" s="517"/>
      <c r="L225">
        <v>0</v>
      </c>
      <c r="M225" s="5">
        <f t="shared" si="29"/>
        <v>0</v>
      </c>
    </row>
    <row r="226" spans="1:13" ht="13">
      <c r="A226" s="1">
        <v>4215</v>
      </c>
      <c r="B226" s="2" t="s">
        <v>934</v>
      </c>
      <c r="C226" s="289">
        <f>VLOOKUP(A226,K0kommunestruktur2020!$A$4:$P$359,11,FALSE)</f>
        <v>10871</v>
      </c>
      <c r="D226" s="289">
        <f>VLOOKUP(A226,'K19'!$A$4:$BX$425,24,FALSE)</f>
        <v>1410</v>
      </c>
      <c r="E226" s="289"/>
      <c r="F226" s="289">
        <f>VLOOKUP(A226,K0kommunestruktur2020!$A$4:$P$359,12,FALSE)</f>
        <v>300378</v>
      </c>
      <c r="G226" s="289">
        <f>VLOOKUP(A226,'K19'!$A$4:$BX$425,31,FALSE)</f>
        <v>1811</v>
      </c>
      <c r="H226" s="289">
        <f>VLOOKUP(A226,'K19'!$A$4:$BX$425,32,FALSE)</f>
        <v>0</v>
      </c>
      <c r="I226" s="289">
        <f>VLOOKUP(A226,'K19'!$A$4:$BX$425,65,FALSE)</f>
        <v>0</v>
      </c>
      <c r="J226" s="289">
        <f>VLOOKUP(A226,K0kommunestruktur2020!$A$4:$P$359,14,FALSE)</f>
        <v>311373</v>
      </c>
      <c r="K226" s="517"/>
      <c r="L226">
        <v>0</v>
      </c>
      <c r="M226" s="5">
        <f t="shared" si="29"/>
        <v>0</v>
      </c>
    </row>
    <row r="227" spans="1:13" ht="13">
      <c r="A227" s="1">
        <v>4216</v>
      </c>
      <c r="B227" s="2" t="s">
        <v>935</v>
      </c>
      <c r="C227" s="289">
        <f>VLOOKUP(A227,K0kommunestruktur2020!$A$4:$P$359,11,FALSE)</f>
        <v>5187</v>
      </c>
      <c r="D227" s="289">
        <f>VLOOKUP(A227,'K19'!$A$4:$BX$425,24,FALSE)</f>
        <v>1020</v>
      </c>
      <c r="E227" s="289"/>
      <c r="F227" s="289">
        <f>VLOOKUP(A227,K0kommunestruktur2020!$A$4:$P$359,12,FALSE)</f>
        <v>116344</v>
      </c>
      <c r="G227" s="289">
        <f>VLOOKUP(A227,'K19'!$A$4:$BX$425,31,FALSE)</f>
        <v>0</v>
      </c>
      <c r="H227" s="289">
        <f>VLOOKUP(A227,'K19'!$A$4:$BX$425,32,FALSE)</f>
        <v>0</v>
      </c>
      <c r="I227" s="289">
        <f>VLOOKUP(A227,'K19'!$A$4:$BX$425,65,FALSE)</f>
        <v>0</v>
      </c>
      <c r="J227" s="289">
        <f>VLOOKUP(A227,K0kommunestruktur2020!$A$4:$P$359,14,FALSE)</f>
        <v>121884</v>
      </c>
      <c r="K227" s="517"/>
      <c r="L227">
        <v>0</v>
      </c>
      <c r="M227" s="5">
        <f t="shared" si="29"/>
        <v>0</v>
      </c>
    </row>
    <row r="228" spans="1:13" ht="13">
      <c r="A228" s="1">
        <v>4217</v>
      </c>
      <c r="B228" s="2" t="s">
        <v>936</v>
      </c>
      <c r="C228" s="289">
        <f>VLOOKUP(A228,K0kommunestruktur2020!$A$4:$P$359,11,FALSE)</f>
        <v>1845</v>
      </c>
      <c r="D228" s="289">
        <f>VLOOKUP(A228,'K19'!$A$4:$BX$425,24,FALSE)</f>
        <v>1630</v>
      </c>
      <c r="E228" s="289"/>
      <c r="F228" s="289">
        <f>VLOOKUP(A228,K0kommunestruktur2020!$A$4:$P$359,12,FALSE)</f>
        <v>42219</v>
      </c>
      <c r="G228" s="289">
        <f>VLOOKUP(A228,'K19'!$A$4:$BX$425,31,FALSE)</f>
        <v>0</v>
      </c>
      <c r="H228" s="289">
        <f>VLOOKUP(A228,'K19'!$A$4:$BX$425,32,FALSE)</f>
        <v>0</v>
      </c>
      <c r="I228" s="289">
        <f>VLOOKUP(A228,'K19'!$A$4:$BX$425,65,FALSE)</f>
        <v>0</v>
      </c>
      <c r="J228" s="289">
        <f>VLOOKUP(A228,K0kommunestruktur2020!$A$4:$P$359,14,FALSE)</f>
        <v>44108</v>
      </c>
      <c r="K228" s="517"/>
      <c r="L228">
        <v>0</v>
      </c>
      <c r="M228" s="5">
        <f t="shared" si="29"/>
        <v>0</v>
      </c>
    </row>
    <row r="229" spans="1:13" ht="13">
      <c r="A229" s="1">
        <v>4218</v>
      </c>
      <c r="B229" s="2" t="s">
        <v>937</v>
      </c>
      <c r="C229" s="289">
        <f>VLOOKUP(A229,K0kommunestruktur2020!$A$4:$P$359,11,FALSE)</f>
        <v>1330</v>
      </c>
      <c r="D229" s="289">
        <f>VLOOKUP(A229,'K19'!$A$4:$BX$425,24,FALSE)</f>
        <v>640</v>
      </c>
      <c r="E229" s="289"/>
      <c r="F229" s="289">
        <f>VLOOKUP(A229,K0kommunestruktur2020!$A$4:$P$359,12,FALSE)</f>
        <v>31104</v>
      </c>
      <c r="G229" s="289">
        <f>VLOOKUP(A229,'K19'!$A$4:$BX$425,31,FALSE)</f>
        <v>0</v>
      </c>
      <c r="H229" s="289">
        <f>VLOOKUP(A229,'K19'!$A$4:$BX$425,32,FALSE)</f>
        <v>0</v>
      </c>
      <c r="I229" s="289">
        <f>VLOOKUP(A229,'K19'!$A$4:$BX$425,65,FALSE)</f>
        <v>0</v>
      </c>
      <c r="J229" s="289">
        <f>VLOOKUP(A229,K0kommunestruktur2020!$A$4:$P$359,14,FALSE)</f>
        <v>32415</v>
      </c>
      <c r="K229" s="517"/>
      <c r="L229">
        <v>0</v>
      </c>
      <c r="M229" s="5">
        <f t="shared" si="29"/>
        <v>0</v>
      </c>
    </row>
    <row r="230" spans="1:13" ht="13">
      <c r="A230" s="1">
        <v>4219</v>
      </c>
      <c r="B230" s="4" t="s">
        <v>938</v>
      </c>
      <c r="C230" s="289">
        <f>VLOOKUP(A230,K0kommunestruktur2020!$A$4:$P$359,11,FALSE)</f>
        <v>3625</v>
      </c>
      <c r="D230" s="289">
        <f>VLOOKUP(A230,'K19'!$A$4:$BX$425,24,FALSE)</f>
        <v>320</v>
      </c>
      <c r="E230" s="289"/>
      <c r="F230" s="289">
        <f>VLOOKUP(A230,K0kommunestruktur2020!$A$4:$P$359,12,FALSE)</f>
        <v>81464</v>
      </c>
      <c r="G230" s="289">
        <f>VLOOKUP(A230,'K19'!$A$4:$BX$425,31,FALSE)</f>
        <v>0</v>
      </c>
      <c r="H230" s="289">
        <f>VLOOKUP(A230,'K19'!$A$4:$BX$425,32,FALSE)</f>
        <v>0</v>
      </c>
      <c r="I230" s="289">
        <f>VLOOKUP(A230,'K19'!$A$4:$BX$425,65,FALSE)</f>
        <v>0</v>
      </c>
      <c r="J230" s="289">
        <f>VLOOKUP(A230,K0kommunestruktur2020!$A$4:$P$359,14,FALSE)</f>
        <v>83690</v>
      </c>
      <c r="K230" s="517"/>
      <c r="L230">
        <v>0</v>
      </c>
      <c r="M230" s="5">
        <f t="shared" si="29"/>
        <v>0</v>
      </c>
    </row>
    <row r="231" spans="1:13" ht="13">
      <c r="A231" s="1">
        <v>4220</v>
      </c>
      <c r="B231" s="2" t="s">
        <v>939</v>
      </c>
      <c r="C231" s="289">
        <f>VLOOKUP(A231,K0kommunestruktur2020!$A$4:$P$359,11,FALSE)</f>
        <v>1207</v>
      </c>
      <c r="D231" s="289">
        <f>VLOOKUP(A231,'K19'!$A$4:$BX$425,24,FALSE)</f>
        <v>470</v>
      </c>
      <c r="E231" s="289"/>
      <c r="F231" s="289">
        <f>VLOOKUP(A231,K0kommunestruktur2020!$A$4:$P$359,12,FALSE)</f>
        <v>30970</v>
      </c>
      <c r="G231" s="289">
        <f>VLOOKUP(A231,'K19'!$A$4:$BX$425,31,FALSE)</f>
        <v>0</v>
      </c>
      <c r="H231" s="289">
        <f>VLOOKUP(A231,'K19'!$A$4:$BX$425,32,FALSE)</f>
        <v>0</v>
      </c>
      <c r="I231" s="289">
        <f>VLOOKUP(A231,'K19'!$A$4:$BX$425,65,FALSE)</f>
        <v>0</v>
      </c>
      <c r="J231" s="289">
        <f>VLOOKUP(A231,K0kommunestruktur2020!$A$4:$P$359,14,FALSE)</f>
        <v>31274</v>
      </c>
      <c r="K231" s="517"/>
      <c r="L231">
        <v>0</v>
      </c>
      <c r="M231" s="5">
        <f t="shared" si="29"/>
        <v>0</v>
      </c>
    </row>
    <row r="232" spans="1:13" ht="13">
      <c r="A232" s="1">
        <v>4221</v>
      </c>
      <c r="B232" s="2" t="s">
        <v>940</v>
      </c>
      <c r="C232" s="289">
        <f>VLOOKUP(A232,K0kommunestruktur2020!$A$4:$P$359,11,FALSE)</f>
        <v>1225</v>
      </c>
      <c r="D232" s="289">
        <f>VLOOKUP(A232,'K19'!$A$4:$BX$425,24,FALSE)</f>
        <v>0</v>
      </c>
      <c r="E232" s="289"/>
      <c r="F232" s="289">
        <f>VLOOKUP(A232,K0kommunestruktur2020!$A$4:$P$359,12,FALSE)</f>
        <v>45304</v>
      </c>
      <c r="G232" s="289">
        <f>VLOOKUP(A232,'K19'!$A$4:$BX$425,31,FALSE)</f>
        <v>0</v>
      </c>
      <c r="H232" s="289">
        <f>VLOOKUP(A232,'K19'!$A$4:$BX$425,32,FALSE)</f>
        <v>0</v>
      </c>
      <c r="I232" s="289">
        <f>VLOOKUP(A232,'K19'!$A$4:$BX$425,65,FALSE)</f>
        <v>0</v>
      </c>
      <c r="J232" s="289">
        <f>VLOOKUP(A232,K0kommunestruktur2020!$A$4:$P$359,14,FALSE)</f>
        <v>47669</v>
      </c>
      <c r="K232" s="517"/>
      <c r="L232">
        <v>0</v>
      </c>
      <c r="M232" s="5">
        <f t="shared" si="29"/>
        <v>0</v>
      </c>
    </row>
    <row r="233" spans="1:13" ht="13">
      <c r="A233" s="1">
        <v>4222</v>
      </c>
      <c r="B233" s="2" t="s">
        <v>941</v>
      </c>
      <c r="C233" s="289">
        <f>VLOOKUP(A233,K0kommunestruktur2020!$A$4:$P$359,11,FALSE)</f>
        <v>958</v>
      </c>
      <c r="D233" s="289">
        <f>VLOOKUP(A233,'K19'!$A$4:$BX$425,24,FALSE)</f>
        <v>0</v>
      </c>
      <c r="E233" s="289"/>
      <c r="F233" s="289">
        <f>VLOOKUP(A233,K0kommunestruktur2020!$A$4:$P$359,12,FALSE)</f>
        <v>79195</v>
      </c>
      <c r="G233" s="289">
        <f>VLOOKUP(A233,'K19'!$A$4:$BX$425,31,FALSE)</f>
        <v>0</v>
      </c>
      <c r="H233" s="289">
        <f>VLOOKUP(A233,'K19'!$A$4:$BX$425,32,FALSE)</f>
        <v>0</v>
      </c>
      <c r="I233" s="289">
        <f>VLOOKUP(A233,'K19'!$A$4:$BX$425,65,FALSE)</f>
        <v>0</v>
      </c>
      <c r="J233" s="289">
        <f>VLOOKUP(A233,K0kommunestruktur2020!$A$4:$P$359,14,FALSE)</f>
        <v>84301</v>
      </c>
      <c r="K233" s="517"/>
      <c r="L233">
        <v>0</v>
      </c>
      <c r="M233" s="5">
        <f t="shared" si="29"/>
        <v>0</v>
      </c>
    </row>
    <row r="234" spans="1:13" ht="13">
      <c r="A234" s="1">
        <v>4223</v>
      </c>
      <c r="B234" s="2" t="s">
        <v>947</v>
      </c>
      <c r="C234" s="289">
        <f>VLOOKUP(A234,K0kommunestruktur2020!$A$4:$P$359,11,FALSE)</f>
        <v>14532</v>
      </c>
      <c r="D234" s="289">
        <f>VLOOKUP(A234,'K19'!$A$4:$BX$425,24,FALSE)</f>
        <v>2180</v>
      </c>
      <c r="E234" s="289"/>
      <c r="F234" s="289">
        <f>VLOOKUP(A234,K0kommunestruktur2020!$A$4:$P$359,12,FALSE)</f>
        <v>327486</v>
      </c>
      <c r="G234" s="289">
        <f>VLOOKUP(A234,'K19'!$A$4:$BX$425,31,FALSE)</f>
        <v>0</v>
      </c>
      <c r="H234" s="289">
        <f>VLOOKUP(A234,'K19'!$A$4:$BX$425,32,FALSE)</f>
        <v>0</v>
      </c>
      <c r="I234" s="289">
        <f>VLOOKUP(A234,'K19'!$A$4:$BX$425,65,FALSE)</f>
        <v>0</v>
      </c>
      <c r="J234" s="289">
        <f>VLOOKUP(A234,K0kommunestruktur2020!$A$4:$P$359,14,FALSE)</f>
        <v>335821</v>
      </c>
      <c r="K234" s="517"/>
      <c r="L234">
        <v>0</v>
      </c>
      <c r="M234" s="5">
        <f t="shared" si="29"/>
        <v>0</v>
      </c>
    </row>
    <row r="235" spans="1:13" ht="13">
      <c r="A235" s="1">
        <v>4224</v>
      </c>
      <c r="B235" s="2" t="s">
        <v>951</v>
      </c>
      <c r="C235" s="289">
        <f>VLOOKUP(A235,K0kommunestruktur2020!$A$4:$P$359,11,FALSE)</f>
        <v>943</v>
      </c>
      <c r="D235" s="289">
        <f>VLOOKUP(A235,'K19'!$A$4:$BX$425,24,FALSE)</f>
        <v>0</v>
      </c>
      <c r="E235" s="289"/>
      <c r="F235" s="289">
        <f>VLOOKUP(A235,K0kommunestruktur2020!$A$4:$P$359,12,FALSE)</f>
        <v>39045</v>
      </c>
      <c r="G235" s="289">
        <f>VLOOKUP(A235,'K19'!$A$4:$BX$425,31,FALSE)</f>
        <v>0</v>
      </c>
      <c r="H235" s="289">
        <f>VLOOKUP(A235,'K19'!$A$4:$BX$425,32,FALSE)</f>
        <v>0</v>
      </c>
      <c r="I235" s="289">
        <f>VLOOKUP(A235,'K19'!$A$4:$BX$425,65,FALSE)</f>
        <v>0</v>
      </c>
      <c r="J235" s="289">
        <f>VLOOKUP(A235,K0kommunestruktur2020!$A$4:$P$359,14,FALSE)</f>
        <v>41061</v>
      </c>
      <c r="K235" s="517"/>
      <c r="L235">
        <v>0</v>
      </c>
      <c r="M235" s="5">
        <f t="shared" si="29"/>
        <v>0</v>
      </c>
    </row>
    <row r="236" spans="1:13" ht="13">
      <c r="A236" s="878">
        <v>4225</v>
      </c>
      <c r="B236" s="883" t="s">
        <v>1630</v>
      </c>
      <c r="C236" s="919">
        <f>VLOOKUP(A236,K0kommunestruktur2020!$A$4:$P$359,11,FALSE)</f>
        <v>10357</v>
      </c>
      <c r="D236" s="919">
        <f>+D388</f>
        <v>2920</v>
      </c>
      <c r="E236" s="919"/>
      <c r="F236" s="919">
        <f>VLOOKUP(A236,K0kommunestruktur2020!$A$4:$P$359,12,FALSE)</f>
        <v>236168</v>
      </c>
      <c r="G236" s="919">
        <f t="shared" ref="G236:I236" si="35">+G388</f>
        <v>0</v>
      </c>
      <c r="H236" s="919">
        <f t="shared" si="35"/>
        <v>0</v>
      </c>
      <c r="I236" s="919">
        <f t="shared" si="35"/>
        <v>3839</v>
      </c>
      <c r="J236" s="919">
        <f>VLOOKUP(A236,K0kommunestruktur2020!$A$4:$P$359,14,FALSE)</f>
        <v>242283</v>
      </c>
      <c r="K236" s="517"/>
      <c r="L236">
        <v>0</v>
      </c>
      <c r="M236" s="5">
        <f t="shared" si="29"/>
        <v>0</v>
      </c>
    </row>
    <row r="237" spans="1:13" ht="13">
      <c r="A237" s="1">
        <v>4226</v>
      </c>
      <c r="B237" s="2" t="s">
        <v>955</v>
      </c>
      <c r="C237" s="289">
        <f>VLOOKUP(A237,K0kommunestruktur2020!$A$4:$P$359,11,FALSE)</f>
        <v>1699</v>
      </c>
      <c r="D237" s="289">
        <f>VLOOKUP(A237,'K19'!$A$4:$BX$425,24,FALSE)</f>
        <v>1450</v>
      </c>
      <c r="E237" s="289"/>
      <c r="F237" s="289">
        <f>VLOOKUP(A237,K0kommunestruktur2020!$A$4:$P$359,12,FALSE)</f>
        <v>40812</v>
      </c>
      <c r="G237" s="289">
        <f>VLOOKUP(A237,'K19'!$A$4:$BX$425,31,FALSE)</f>
        <v>0</v>
      </c>
      <c r="H237" s="289">
        <f>VLOOKUP(A237,'K19'!$A$4:$BX$425,32,FALSE)</f>
        <v>0</v>
      </c>
      <c r="I237" s="289">
        <f>VLOOKUP(A237,'K19'!$A$4:$BX$425,65,FALSE)</f>
        <v>0</v>
      </c>
      <c r="J237" s="289">
        <f>VLOOKUP(A237,K0kommunestruktur2020!$A$4:$P$359,14,FALSE)</f>
        <v>42575</v>
      </c>
      <c r="K237" s="517"/>
      <c r="L237">
        <v>0</v>
      </c>
      <c r="M237" s="5">
        <f t="shared" si="29"/>
        <v>0</v>
      </c>
    </row>
    <row r="238" spans="1:13" ht="13">
      <c r="A238" s="1">
        <v>4227</v>
      </c>
      <c r="B238" s="2" t="s">
        <v>956</v>
      </c>
      <c r="C238" s="289">
        <f>VLOOKUP(A238,K0kommunestruktur2020!$A$4:$P$359,11,FALSE)</f>
        <v>6024</v>
      </c>
      <c r="D238" s="289">
        <f>VLOOKUP(A238,'K19'!$A$4:$BX$425,24,FALSE)</f>
        <v>0</v>
      </c>
      <c r="E238" s="289"/>
      <c r="F238" s="289">
        <f>VLOOKUP(A238,K0kommunestruktur2020!$A$4:$P$359,12,FALSE)</f>
        <v>166149</v>
      </c>
      <c r="G238" s="289">
        <f>VLOOKUP(A238,'K19'!$A$4:$BX$425,31,FALSE)</f>
        <v>0</v>
      </c>
      <c r="H238" s="289">
        <f>VLOOKUP(A238,'K19'!$A$4:$BX$425,32,FALSE)</f>
        <v>0</v>
      </c>
      <c r="I238" s="289">
        <f>VLOOKUP(A238,'K19'!$A$4:$BX$425,65,FALSE)</f>
        <v>0</v>
      </c>
      <c r="J238" s="289">
        <f>VLOOKUP(A238,K0kommunestruktur2020!$A$4:$P$359,14,FALSE)</f>
        <v>177102</v>
      </c>
      <c r="K238" s="517"/>
      <c r="L238">
        <v>0</v>
      </c>
      <c r="M238" s="5">
        <f t="shared" si="29"/>
        <v>0</v>
      </c>
    </row>
    <row r="239" spans="1:13" ht="13">
      <c r="A239" s="1">
        <v>4228</v>
      </c>
      <c r="B239" s="2" t="s">
        <v>957</v>
      </c>
      <c r="C239" s="289">
        <f>VLOOKUP(A239,K0kommunestruktur2020!$A$4:$P$359,11,FALSE)</f>
        <v>1842</v>
      </c>
      <c r="D239" s="289">
        <f>VLOOKUP(A239,'K19'!$A$4:$BX$425,24,FALSE)</f>
        <v>0</v>
      </c>
      <c r="E239" s="289"/>
      <c r="F239" s="289">
        <f>VLOOKUP(A239,K0kommunestruktur2020!$A$4:$P$359,12,FALSE)</f>
        <v>105701</v>
      </c>
      <c r="G239" s="289">
        <f>VLOOKUP(A239,'K19'!$A$4:$BX$425,31,FALSE)</f>
        <v>0</v>
      </c>
      <c r="H239" s="289">
        <f>VLOOKUP(A239,'K19'!$A$4:$BX$425,32,FALSE)</f>
        <v>0</v>
      </c>
      <c r="I239" s="289">
        <f>VLOOKUP(A239,'K19'!$A$4:$BX$425,65,FALSE)</f>
        <v>0</v>
      </c>
      <c r="J239" s="289">
        <f>VLOOKUP(A239,K0kommunestruktur2020!$A$4:$P$359,14,FALSE)</f>
        <v>112920</v>
      </c>
      <c r="K239" s="517"/>
      <c r="L239">
        <v>0</v>
      </c>
      <c r="M239" s="5">
        <f t="shared" si="29"/>
        <v>0</v>
      </c>
    </row>
    <row r="240" spans="1:13" ht="13">
      <c r="A240" s="1">
        <v>4601</v>
      </c>
      <c r="B240" s="2" t="s">
        <v>23</v>
      </c>
      <c r="C240" s="289">
        <f>VLOOKUP(A240,K0kommunestruktur2020!$A$4:$P$359,11,FALSE)</f>
        <v>279792</v>
      </c>
      <c r="D240" s="289">
        <f>VLOOKUP(A240,'K19'!$A$4:$BX$425,24,FALSE)</f>
        <v>16500</v>
      </c>
      <c r="E240" s="289"/>
      <c r="F240" s="289">
        <f>VLOOKUP(A240,K0kommunestruktur2020!$A$4:$P$359,12,FALSE)</f>
        <v>9126725</v>
      </c>
      <c r="G240" s="289">
        <f>VLOOKUP(A240,'K19'!$A$4:$BX$425,31,FALSE)</f>
        <v>0</v>
      </c>
      <c r="H240" s="289">
        <f>VLOOKUP(A240,'K19'!$A$4:$BX$425,32,FALSE)</f>
        <v>0</v>
      </c>
      <c r="I240" s="289">
        <f>VLOOKUP(A240,'K19'!$A$4:$BX$425,65,FALSE)</f>
        <v>0</v>
      </c>
      <c r="J240" s="289">
        <f>VLOOKUP(A240,K0kommunestruktur2020!$A$4:$P$359,14,FALSE)</f>
        <v>9648534</v>
      </c>
      <c r="K240" s="517"/>
      <c r="L240">
        <v>0</v>
      </c>
      <c r="M240" s="5">
        <f t="shared" si="29"/>
        <v>0</v>
      </c>
    </row>
    <row r="241" spans="1:13" ht="13">
      <c r="A241" s="878">
        <v>4602</v>
      </c>
      <c r="B241" s="883" t="s">
        <v>1631</v>
      </c>
      <c r="C241" s="919">
        <f>VLOOKUP(A241,K0kommunestruktur2020!$A$4:$P$359,11,FALSE)</f>
        <v>17469.174222869999</v>
      </c>
      <c r="D241" s="919">
        <f>+D389</f>
        <v>12900</v>
      </c>
      <c r="E241" s="919"/>
      <c r="F241" s="919">
        <f>VLOOKUP(A241,K0kommunestruktur2020!$A$4:$P$359,12,FALSE)</f>
        <v>488200.73482211295</v>
      </c>
      <c r="G241" s="919">
        <f t="shared" ref="G241:I241" si="36">+G389</f>
        <v>0</v>
      </c>
      <c r="H241" s="919">
        <f t="shared" si="36"/>
        <v>0</v>
      </c>
      <c r="I241" s="919">
        <f t="shared" si="36"/>
        <v>4340</v>
      </c>
      <c r="J241" s="919">
        <f>VLOOKUP(A241,K0kommunestruktur2020!$A$4:$P$359,14,FALSE)</f>
        <v>531457.55268768943</v>
      </c>
      <c r="K241" s="517"/>
      <c r="L241">
        <v>0</v>
      </c>
      <c r="M241" s="5">
        <f t="shared" si="29"/>
        <v>0</v>
      </c>
    </row>
    <row r="242" spans="1:13" ht="13">
      <c r="A242" s="1">
        <v>4611</v>
      </c>
      <c r="B242" s="2" t="s">
        <v>24</v>
      </c>
      <c r="C242" s="289">
        <f>VLOOKUP(A242,K0kommunestruktur2020!$A$4:$P$359,11,FALSE)</f>
        <v>4083</v>
      </c>
      <c r="D242" s="289">
        <f>VLOOKUP(A242,'K19'!$A$4:$BX$425,24,FALSE)</f>
        <v>3500</v>
      </c>
      <c r="E242" s="289"/>
      <c r="F242" s="289">
        <f>VLOOKUP(A242,K0kommunestruktur2020!$A$4:$P$359,12,FALSE)</f>
        <v>106064</v>
      </c>
      <c r="G242" s="289">
        <f>VLOOKUP(A242,'K19'!$A$4:$BX$425,31,FALSE)</f>
        <v>0</v>
      </c>
      <c r="H242" s="289">
        <f>VLOOKUP(A242,'K19'!$A$4:$BX$425,32,FALSE)</f>
        <v>0</v>
      </c>
      <c r="I242" s="289">
        <f>VLOOKUP(A242,'K19'!$A$4:$BX$425,65,FALSE)</f>
        <v>0</v>
      </c>
      <c r="J242" s="289">
        <f>VLOOKUP(A242,K0kommunestruktur2020!$A$4:$P$359,14,FALSE)</f>
        <v>114533</v>
      </c>
      <c r="K242" s="517"/>
      <c r="L242">
        <v>0</v>
      </c>
      <c r="M242" s="5">
        <f t="shared" si="29"/>
        <v>0</v>
      </c>
    </row>
    <row r="243" spans="1:13" ht="13">
      <c r="A243" s="1">
        <v>4612</v>
      </c>
      <c r="B243" s="2" t="s">
        <v>25</v>
      </c>
      <c r="C243" s="289">
        <f>VLOOKUP(A243,K0kommunestruktur2020!$A$4:$P$359,11,FALSE)</f>
        <v>5721</v>
      </c>
      <c r="D243" s="289">
        <f>VLOOKUP(A243,'K19'!$A$4:$BX$425,24,FALSE)</f>
        <v>3600</v>
      </c>
      <c r="E243" s="289"/>
      <c r="F243" s="289">
        <f>VLOOKUP(A243,K0kommunestruktur2020!$A$4:$P$359,12,FALSE)</f>
        <v>140486</v>
      </c>
      <c r="G243" s="289">
        <f>VLOOKUP(A243,'K19'!$A$4:$BX$425,31,FALSE)</f>
        <v>0</v>
      </c>
      <c r="H243" s="289">
        <f>VLOOKUP(A243,'K19'!$A$4:$BX$425,32,FALSE)</f>
        <v>0</v>
      </c>
      <c r="I243" s="289">
        <f>VLOOKUP(A243,'K19'!$A$4:$BX$425,65,FALSE)</f>
        <v>0</v>
      </c>
      <c r="J243" s="289">
        <f>VLOOKUP(A243,K0kommunestruktur2020!$A$4:$P$359,14,FALSE)</f>
        <v>141649</v>
      </c>
      <c r="K243" s="517"/>
      <c r="L243">
        <v>0</v>
      </c>
      <c r="M243" s="5">
        <f t="shared" si="29"/>
        <v>0</v>
      </c>
    </row>
    <row r="244" spans="1:13" ht="13">
      <c r="A244" s="1">
        <v>4613</v>
      </c>
      <c r="B244" s="2" t="s">
        <v>26</v>
      </c>
      <c r="C244" s="289">
        <f>VLOOKUP(A244,K0kommunestruktur2020!$A$4:$P$359,11,FALSE)</f>
        <v>11902</v>
      </c>
      <c r="D244" s="289">
        <f>VLOOKUP(A244,'K19'!$A$4:$BX$425,24,FALSE)</f>
        <v>7900</v>
      </c>
      <c r="E244" s="289"/>
      <c r="F244" s="289">
        <f>VLOOKUP(A244,K0kommunestruktur2020!$A$4:$P$359,12,FALSE)</f>
        <v>295857</v>
      </c>
      <c r="G244" s="289">
        <f>VLOOKUP(A244,'K19'!$A$4:$BX$425,31,FALSE)</f>
        <v>0</v>
      </c>
      <c r="H244" s="289">
        <f>VLOOKUP(A244,'K19'!$A$4:$BX$425,32,FALSE)</f>
        <v>0</v>
      </c>
      <c r="I244" s="289">
        <f>VLOOKUP(A244,'K19'!$A$4:$BX$425,65,FALSE)</f>
        <v>0</v>
      </c>
      <c r="J244" s="289">
        <f>VLOOKUP(A244,K0kommunestruktur2020!$A$4:$P$359,14,FALSE)</f>
        <v>332334</v>
      </c>
      <c r="K244" s="517"/>
      <c r="L244">
        <v>0</v>
      </c>
      <c r="M244" s="5">
        <f t="shared" si="29"/>
        <v>0</v>
      </c>
    </row>
    <row r="245" spans="1:13" ht="13">
      <c r="A245" s="1">
        <v>4614</v>
      </c>
      <c r="B245" s="2" t="s">
        <v>27</v>
      </c>
      <c r="C245" s="289">
        <f>VLOOKUP(A245,K0kommunestruktur2020!$A$4:$P$359,11,FALSE)</f>
        <v>18780</v>
      </c>
      <c r="D245" s="289">
        <f>VLOOKUP(A245,'K19'!$A$4:$BX$425,24,FALSE)</f>
        <v>2300</v>
      </c>
      <c r="E245" s="289"/>
      <c r="F245" s="289">
        <f>VLOOKUP(A245,K0kommunestruktur2020!$A$4:$P$359,12,FALSE)</f>
        <v>517096</v>
      </c>
      <c r="G245" s="289">
        <f>VLOOKUP(A245,'K19'!$A$4:$BX$425,31,FALSE)</f>
        <v>0</v>
      </c>
      <c r="H245" s="289">
        <f>VLOOKUP(A245,'K19'!$A$4:$BX$425,32,FALSE)</f>
        <v>0</v>
      </c>
      <c r="I245" s="289">
        <f>VLOOKUP(A245,'K19'!$A$4:$BX$425,65,FALSE)</f>
        <v>0</v>
      </c>
      <c r="J245" s="289">
        <f>VLOOKUP(A245,K0kommunestruktur2020!$A$4:$P$359,14,FALSE)</f>
        <v>540530</v>
      </c>
      <c r="K245" s="517"/>
      <c r="L245">
        <v>0</v>
      </c>
      <c r="M245" s="5">
        <f t="shared" si="29"/>
        <v>0</v>
      </c>
    </row>
    <row r="246" spans="1:13" ht="13">
      <c r="A246" s="1">
        <v>4615</v>
      </c>
      <c r="B246" s="2" t="s">
        <v>28</v>
      </c>
      <c r="C246" s="289">
        <f>VLOOKUP(A246,K0kommunestruktur2020!$A$4:$P$359,11,FALSE)</f>
        <v>3194</v>
      </c>
      <c r="D246" s="289">
        <f>VLOOKUP(A246,'K19'!$A$4:$BX$425,24,FALSE)</f>
        <v>3100</v>
      </c>
      <c r="E246" s="289"/>
      <c r="F246" s="289">
        <f>VLOOKUP(A246,K0kommunestruktur2020!$A$4:$P$359,12,FALSE)</f>
        <v>81638</v>
      </c>
      <c r="G246" s="289">
        <f>VLOOKUP(A246,'K19'!$A$4:$BX$425,31,FALSE)</f>
        <v>0</v>
      </c>
      <c r="H246" s="289">
        <f>VLOOKUP(A246,'K19'!$A$4:$BX$425,32,FALSE)</f>
        <v>0</v>
      </c>
      <c r="I246" s="289">
        <f>VLOOKUP(A246,'K19'!$A$4:$BX$425,65,FALSE)</f>
        <v>0</v>
      </c>
      <c r="J246" s="289">
        <f>VLOOKUP(A246,K0kommunestruktur2020!$A$4:$P$359,14,FALSE)</f>
        <v>90564</v>
      </c>
      <c r="K246" s="517"/>
      <c r="L246">
        <v>0</v>
      </c>
      <c r="M246" s="5">
        <f t="shared" si="29"/>
        <v>0</v>
      </c>
    </row>
    <row r="247" spans="1:13" ht="13">
      <c r="A247" s="1">
        <v>4616</v>
      </c>
      <c r="B247" s="2" t="s">
        <v>29</v>
      </c>
      <c r="C247" s="289">
        <f>VLOOKUP(A247,K0kommunestruktur2020!$A$4:$P$359,11,FALSE)</f>
        <v>2857</v>
      </c>
      <c r="D247" s="289">
        <f>VLOOKUP(A247,'K19'!$A$4:$BX$425,24,FALSE)</f>
        <v>3300</v>
      </c>
      <c r="E247" s="289"/>
      <c r="F247" s="289">
        <f>VLOOKUP(A247,K0kommunestruktur2020!$A$4:$P$359,12,FALSE)</f>
        <v>90837</v>
      </c>
      <c r="G247" s="289">
        <f>VLOOKUP(A247,'K19'!$A$4:$BX$425,31,FALSE)</f>
        <v>0</v>
      </c>
      <c r="H247" s="289">
        <f>VLOOKUP(A247,'K19'!$A$4:$BX$425,32,FALSE)</f>
        <v>0</v>
      </c>
      <c r="I247" s="289">
        <f>VLOOKUP(A247,'K19'!$A$4:$BX$425,65,FALSE)</f>
        <v>0</v>
      </c>
      <c r="J247" s="289">
        <f>VLOOKUP(A247,K0kommunestruktur2020!$A$4:$P$359,14,FALSE)</f>
        <v>105762</v>
      </c>
      <c r="K247" s="517"/>
      <c r="L247">
        <v>0</v>
      </c>
      <c r="M247" s="5">
        <f t="shared" si="29"/>
        <v>0</v>
      </c>
    </row>
    <row r="248" spans="1:13" ht="13">
      <c r="A248" s="1">
        <v>4617</v>
      </c>
      <c r="B248" s="2" t="s">
        <v>30</v>
      </c>
      <c r="C248" s="289">
        <f>VLOOKUP(A248,K0kommunestruktur2020!$A$4:$P$359,11,FALSE)</f>
        <v>13180</v>
      </c>
      <c r="D248" s="289">
        <f>VLOOKUP(A248,'K19'!$A$4:$BX$425,24,FALSE)</f>
        <v>0</v>
      </c>
      <c r="E248" s="289"/>
      <c r="F248" s="289">
        <f>VLOOKUP(A248,K0kommunestruktur2020!$A$4:$P$359,12,FALSE)</f>
        <v>358088</v>
      </c>
      <c r="G248" s="289">
        <f>VLOOKUP(A248,'K19'!$A$4:$BX$425,31,FALSE)</f>
        <v>0</v>
      </c>
      <c r="H248" s="289">
        <f>VLOOKUP(A248,'K19'!$A$4:$BX$425,32,FALSE)</f>
        <v>0</v>
      </c>
      <c r="I248" s="289">
        <f>VLOOKUP(A248,'K19'!$A$4:$BX$425,65,FALSE)</f>
        <v>0</v>
      </c>
      <c r="J248" s="289">
        <f>VLOOKUP(A248,K0kommunestruktur2020!$A$4:$P$359,14,FALSE)</f>
        <v>374901</v>
      </c>
      <c r="K248" s="517"/>
      <c r="L248">
        <v>0</v>
      </c>
      <c r="M248" s="5">
        <f t="shared" si="29"/>
        <v>0</v>
      </c>
    </row>
    <row r="249" spans="1:13" ht="13">
      <c r="A249" s="878">
        <v>4618</v>
      </c>
      <c r="B249" s="883" t="s">
        <v>1632</v>
      </c>
      <c r="C249" s="919">
        <f>VLOOKUP(A249,K0kommunestruktur2020!$A$4:$P$359,11,FALSE)</f>
        <v>11225.13414634</v>
      </c>
      <c r="D249" s="919">
        <f>+D390</f>
        <v>4100</v>
      </c>
      <c r="E249" s="919"/>
      <c r="F249" s="919">
        <f>VLOOKUP(A249,K0kommunestruktur2020!$A$4:$P$359,12,FALSE)</f>
        <v>333806.10975605407</v>
      </c>
      <c r="G249" s="919">
        <f t="shared" ref="G249:I249" si="37">+G390</f>
        <v>0</v>
      </c>
      <c r="H249" s="919">
        <f t="shared" si="37"/>
        <v>0</v>
      </c>
      <c r="I249" s="919">
        <f t="shared" si="37"/>
        <v>3899</v>
      </c>
      <c r="J249" s="919">
        <f>VLOOKUP(A249,K0kommunestruktur2020!$A$4:$P$359,14,FALSE)</f>
        <v>346985.25609756098</v>
      </c>
      <c r="K249" s="517"/>
      <c r="L249">
        <v>0</v>
      </c>
      <c r="M249" s="5">
        <f t="shared" si="29"/>
        <v>0</v>
      </c>
    </row>
    <row r="250" spans="1:13" ht="13">
      <c r="A250" s="1">
        <v>4619</v>
      </c>
      <c r="B250" s="2" t="s">
        <v>34</v>
      </c>
      <c r="C250" s="289">
        <f>VLOOKUP(A250,K0kommunestruktur2020!$A$4:$P$359,11,FALSE)</f>
        <v>931</v>
      </c>
      <c r="D250" s="289">
        <f>VLOOKUP(A250,'K19'!$A$4:$BX$425,24,FALSE)</f>
        <v>0</v>
      </c>
      <c r="E250" s="289"/>
      <c r="F250" s="289">
        <f>VLOOKUP(A250,K0kommunestruktur2020!$A$4:$P$359,12,FALSE)</f>
        <v>56711</v>
      </c>
      <c r="G250" s="289">
        <f>VLOOKUP(A250,'K19'!$A$4:$BX$425,31,FALSE)</f>
        <v>0</v>
      </c>
      <c r="H250" s="289">
        <f>VLOOKUP(A250,'K19'!$A$4:$BX$425,32,FALSE)</f>
        <v>0</v>
      </c>
      <c r="I250" s="289">
        <f>VLOOKUP(A250,'K19'!$A$4:$BX$425,65,FALSE)</f>
        <v>0</v>
      </c>
      <c r="J250" s="289">
        <f>VLOOKUP(A250,K0kommunestruktur2020!$A$4:$P$359,14,FALSE)</f>
        <v>56140</v>
      </c>
      <c r="K250" s="517"/>
      <c r="L250">
        <v>0</v>
      </c>
      <c r="M250" s="5">
        <f t="shared" si="29"/>
        <v>0</v>
      </c>
    </row>
    <row r="251" spans="1:13" ht="13">
      <c r="A251" s="1">
        <v>4620</v>
      </c>
      <c r="B251" s="2" t="s">
        <v>35</v>
      </c>
      <c r="C251" s="289">
        <f>VLOOKUP(A251,K0kommunestruktur2020!$A$4:$P$359,11,FALSE)</f>
        <v>1117</v>
      </c>
      <c r="D251" s="289">
        <f>VLOOKUP(A251,'K19'!$A$4:$BX$425,24,FALSE)</f>
        <v>0</v>
      </c>
      <c r="E251" s="289"/>
      <c r="F251" s="289">
        <f>VLOOKUP(A251,K0kommunestruktur2020!$A$4:$P$359,12,FALSE)</f>
        <v>35225</v>
      </c>
      <c r="G251" s="289">
        <f>VLOOKUP(A251,'K19'!$A$4:$BX$425,31,FALSE)</f>
        <v>0</v>
      </c>
      <c r="H251" s="289">
        <f>VLOOKUP(A251,'K19'!$A$4:$BX$425,32,FALSE)</f>
        <v>0</v>
      </c>
      <c r="I251" s="289">
        <f>VLOOKUP(A251,'K19'!$A$4:$BX$425,65,FALSE)</f>
        <v>0</v>
      </c>
      <c r="J251" s="289">
        <f>VLOOKUP(A251,K0kommunestruktur2020!$A$4:$P$359,14,FALSE)</f>
        <v>35916</v>
      </c>
      <c r="K251" s="517"/>
      <c r="L251">
        <v>0</v>
      </c>
      <c r="M251" s="5">
        <f t="shared" si="29"/>
        <v>0</v>
      </c>
    </row>
    <row r="252" spans="1:13" ht="13">
      <c r="A252" s="878">
        <v>4621</v>
      </c>
      <c r="B252" s="883" t="s">
        <v>1633</v>
      </c>
      <c r="C252" s="919">
        <f>VLOOKUP(A252,K0kommunestruktur2020!$A$4:$P$359,11,FALSE)</f>
        <v>15575.84687641</v>
      </c>
      <c r="D252" s="919">
        <f>+D391</f>
        <v>6800</v>
      </c>
      <c r="E252" s="919"/>
      <c r="F252" s="919">
        <f>VLOOKUP(A252,K0kommunestruktur2020!$A$4:$P$359,12,FALSE)</f>
        <v>428051.55098765466</v>
      </c>
      <c r="G252" s="919">
        <f t="shared" ref="G252:I252" si="38">+G391</f>
        <v>0</v>
      </c>
      <c r="H252" s="919">
        <f t="shared" si="38"/>
        <v>0</v>
      </c>
      <c r="I252" s="919">
        <f t="shared" si="38"/>
        <v>4178</v>
      </c>
      <c r="J252" s="919">
        <f>VLOOKUP(A252,K0kommunestruktur2020!$A$4:$P$359,14,FALSE)</f>
        <v>453051.44811169017</v>
      </c>
      <c r="K252" s="517"/>
      <c r="L252">
        <v>0</v>
      </c>
      <c r="M252" s="5">
        <f t="shared" si="29"/>
        <v>0</v>
      </c>
    </row>
    <row r="253" spans="1:13" ht="13">
      <c r="A253" s="1">
        <v>4622</v>
      </c>
      <c r="B253" s="2" t="s">
        <v>38</v>
      </c>
      <c r="C253" s="289">
        <f>VLOOKUP(A253,K0kommunestruktur2020!$A$4:$P$359,11,FALSE)</f>
        <v>8455</v>
      </c>
      <c r="D253" s="289">
        <f>VLOOKUP(A253,'K19'!$A$4:$BX$425,24,FALSE)</f>
        <v>7000</v>
      </c>
      <c r="E253" s="289"/>
      <c r="F253" s="289">
        <f>VLOOKUP(A253,K0kommunestruktur2020!$A$4:$P$359,12,FALSE)</f>
        <v>232403</v>
      </c>
      <c r="G253" s="289">
        <f>VLOOKUP(A253,'K19'!$A$4:$BX$425,31,FALSE)</f>
        <v>0</v>
      </c>
      <c r="H253" s="289">
        <f>VLOOKUP(A253,'K19'!$A$4:$BX$425,32,FALSE)</f>
        <v>0</v>
      </c>
      <c r="I253" s="289">
        <f>VLOOKUP(A253,'K19'!$A$4:$BX$425,65,FALSE)</f>
        <v>0</v>
      </c>
      <c r="J253" s="289">
        <f>VLOOKUP(A253,K0kommunestruktur2020!$A$4:$P$359,14,FALSE)</f>
        <v>234746</v>
      </c>
      <c r="K253" s="517"/>
      <c r="L253">
        <v>0</v>
      </c>
      <c r="M253" s="5">
        <f t="shared" si="29"/>
        <v>0</v>
      </c>
    </row>
    <row r="254" spans="1:13" ht="13">
      <c r="A254" s="1">
        <v>4623</v>
      </c>
      <c r="B254" s="2" t="s">
        <v>40</v>
      </c>
      <c r="C254" s="289">
        <f>VLOOKUP(A254,K0kommunestruktur2020!$A$4:$P$359,11,FALSE)</f>
        <v>2463</v>
      </c>
      <c r="D254" s="289">
        <f>VLOOKUP(A254,'K19'!$A$4:$BX$425,24,FALSE)</f>
        <v>2300</v>
      </c>
      <c r="E254" s="289"/>
      <c r="F254" s="289">
        <f>VLOOKUP(A254,K0kommunestruktur2020!$A$4:$P$359,12,FALSE)</f>
        <v>65455</v>
      </c>
      <c r="G254" s="289">
        <f>VLOOKUP(A254,'K19'!$A$4:$BX$425,31,FALSE)</f>
        <v>0</v>
      </c>
      <c r="H254" s="289">
        <f>VLOOKUP(A254,'K19'!$A$4:$BX$425,32,FALSE)</f>
        <v>0</v>
      </c>
      <c r="I254" s="289">
        <f>VLOOKUP(A254,'K19'!$A$4:$BX$425,65,FALSE)</f>
        <v>0</v>
      </c>
      <c r="J254" s="289">
        <f>VLOOKUP(A254,K0kommunestruktur2020!$A$4:$P$359,14,FALSE)</f>
        <v>67380</v>
      </c>
      <c r="K254" s="517"/>
      <c r="L254">
        <v>0</v>
      </c>
      <c r="M254" s="5">
        <f t="shared" si="29"/>
        <v>0</v>
      </c>
    </row>
    <row r="255" spans="1:13" ht="13">
      <c r="A255" s="878">
        <v>4624</v>
      </c>
      <c r="B255" s="883" t="s">
        <v>1634</v>
      </c>
      <c r="C255" s="919">
        <f>VLOOKUP(A255,K0kommunestruktur2020!$A$4:$P$359,11,FALSE)</f>
        <v>24493</v>
      </c>
      <c r="D255" s="919">
        <f>+D392</f>
        <v>5900</v>
      </c>
      <c r="E255" s="919"/>
      <c r="F255" s="919">
        <f>VLOOKUP(A255,K0kommunestruktur2020!$A$4:$P$359,12,FALSE)</f>
        <v>677975</v>
      </c>
      <c r="G255" s="919">
        <f t="shared" ref="G255:I255" si="39">+G392</f>
        <v>13458</v>
      </c>
      <c r="H255" s="919">
        <f t="shared" si="39"/>
        <v>0</v>
      </c>
      <c r="I255" s="919">
        <f t="shared" si="39"/>
        <v>4768</v>
      </c>
      <c r="J255" s="919">
        <f>VLOOKUP(A255,K0kommunestruktur2020!$A$4:$P$359,14,FALSE)</f>
        <v>706159</v>
      </c>
      <c r="K255" s="517"/>
      <c r="L255">
        <v>0</v>
      </c>
      <c r="M255" s="5">
        <f t="shared" si="29"/>
        <v>0</v>
      </c>
    </row>
    <row r="256" spans="1:13" ht="13">
      <c r="A256" s="1">
        <v>4625</v>
      </c>
      <c r="B256" s="2" t="s">
        <v>41</v>
      </c>
      <c r="C256" s="289">
        <f>VLOOKUP(A256,K0kommunestruktur2020!$A$4:$P$359,11,FALSE)</f>
        <v>5189</v>
      </c>
      <c r="D256" s="289">
        <f>VLOOKUP(A256,'K19'!$A$4:$BX$425,24,FALSE)</f>
        <v>1400</v>
      </c>
      <c r="E256" s="289"/>
      <c r="F256" s="289">
        <f>VLOOKUP(A256,K0kommunestruktur2020!$A$4:$P$359,12,FALSE)</f>
        <v>202389</v>
      </c>
      <c r="G256" s="289">
        <f>VLOOKUP(A256,'K19'!$A$4:$BX$425,31,FALSE)</f>
        <v>0</v>
      </c>
      <c r="H256" s="289">
        <f>VLOOKUP(A256,'K19'!$A$4:$BX$425,32,FALSE)</f>
        <v>0</v>
      </c>
      <c r="I256" s="289">
        <f>VLOOKUP(A256,'K19'!$A$4:$BX$425,65,FALSE)</f>
        <v>0</v>
      </c>
      <c r="J256" s="289">
        <f>VLOOKUP(A256,K0kommunestruktur2020!$A$4:$P$359,14,FALSE)</f>
        <v>259138</v>
      </c>
      <c r="K256" s="517"/>
      <c r="L256">
        <v>0</v>
      </c>
      <c r="M256" s="5">
        <f t="shared" si="29"/>
        <v>0</v>
      </c>
    </row>
    <row r="257" spans="1:13" ht="13">
      <c r="A257" s="878">
        <v>4626</v>
      </c>
      <c r="B257" s="883" t="s">
        <v>1635</v>
      </c>
      <c r="C257" s="919">
        <f>VLOOKUP(A257,K0kommunestruktur2020!$A$4:$P$359,11,FALSE)</f>
        <v>37687</v>
      </c>
      <c r="D257" s="919">
        <f>+D393</f>
        <v>3100</v>
      </c>
      <c r="E257" s="919"/>
      <c r="F257" s="919">
        <f>VLOOKUP(A257,K0kommunestruktur2020!$A$4:$P$359,12,FALSE)</f>
        <v>1041433</v>
      </c>
      <c r="G257" s="919">
        <f t="shared" ref="G257:I257" si="40">+G393</f>
        <v>6061</v>
      </c>
      <c r="H257" s="919">
        <f t="shared" si="40"/>
        <v>0</v>
      </c>
      <c r="I257" s="919">
        <f t="shared" si="40"/>
        <v>5635</v>
      </c>
      <c r="J257" s="919">
        <f>VLOOKUP(A257,K0kommunestruktur2020!$A$4:$P$359,14,FALSE)</f>
        <v>1088369</v>
      </c>
      <c r="K257" s="517"/>
      <c r="L257">
        <v>0</v>
      </c>
      <c r="M257" s="5">
        <f t="shared" si="29"/>
        <v>0</v>
      </c>
    </row>
    <row r="258" spans="1:13" ht="13">
      <c r="A258" s="1">
        <v>4627</v>
      </c>
      <c r="B258" s="2" t="s">
        <v>44</v>
      </c>
      <c r="C258" s="289">
        <f>VLOOKUP(A258,K0kommunestruktur2020!$A$4:$P$359,11,FALSE)</f>
        <v>29071</v>
      </c>
      <c r="D258" s="289">
        <f>VLOOKUP(A258,'K19'!$A$4:$BX$425,24,FALSE)</f>
        <v>1800</v>
      </c>
      <c r="E258" s="289"/>
      <c r="F258" s="289">
        <f>VLOOKUP(A258,K0kommunestruktur2020!$A$4:$P$359,12,FALSE)</f>
        <v>745203</v>
      </c>
      <c r="G258" s="289">
        <f>VLOOKUP(A258,'K19'!$A$4:$BX$425,31,FALSE)</f>
        <v>527</v>
      </c>
      <c r="H258" s="289">
        <f>VLOOKUP(A258,'K19'!$A$4:$BX$425,32,FALSE)</f>
        <v>0</v>
      </c>
      <c r="I258" s="289">
        <f>VLOOKUP(A258,'K19'!$A$4:$BX$425,65,FALSE)</f>
        <v>0</v>
      </c>
      <c r="J258" s="289">
        <f>VLOOKUP(A258,K0kommunestruktur2020!$A$4:$P$359,14,FALSE)</f>
        <v>770143</v>
      </c>
      <c r="K258" s="517"/>
      <c r="L258">
        <v>0</v>
      </c>
      <c r="M258" s="5">
        <f t="shared" si="29"/>
        <v>0</v>
      </c>
    </row>
    <row r="259" spans="1:13" ht="13">
      <c r="A259" s="1">
        <v>4628</v>
      </c>
      <c r="B259" s="2" t="s">
        <v>45</v>
      </c>
      <c r="C259" s="289">
        <f>VLOOKUP(A259,K0kommunestruktur2020!$A$4:$P$359,11,FALSE)</f>
        <v>4127</v>
      </c>
      <c r="D259" s="289">
        <f>VLOOKUP(A259,'K19'!$A$4:$BX$425,24,FALSE)</f>
        <v>900</v>
      </c>
      <c r="E259" s="289"/>
      <c r="F259" s="289">
        <f>VLOOKUP(A259,K0kommunestruktur2020!$A$4:$P$359,12,FALSE)</f>
        <v>107402</v>
      </c>
      <c r="G259" s="289">
        <f>VLOOKUP(A259,'K19'!$A$4:$BX$425,31,FALSE)</f>
        <v>0</v>
      </c>
      <c r="H259" s="289">
        <f>VLOOKUP(A259,'K19'!$A$4:$BX$425,32,FALSE)</f>
        <v>0</v>
      </c>
      <c r="I259" s="289">
        <f>VLOOKUP(A259,'K19'!$A$4:$BX$425,65,FALSE)</f>
        <v>0</v>
      </c>
      <c r="J259" s="289">
        <f>VLOOKUP(A259,K0kommunestruktur2020!$A$4:$P$359,14,FALSE)</f>
        <v>109454</v>
      </c>
      <c r="K259" s="517"/>
      <c r="L259">
        <v>0</v>
      </c>
      <c r="M259" s="5">
        <f t="shared" si="29"/>
        <v>0</v>
      </c>
    </row>
    <row r="260" spans="1:13" ht="13">
      <c r="A260" s="1">
        <v>4629</v>
      </c>
      <c r="B260" s="2" t="s">
        <v>46</v>
      </c>
      <c r="C260" s="289">
        <f>VLOOKUP(A260,K0kommunestruktur2020!$A$4:$P$359,11,FALSE)</f>
        <v>380</v>
      </c>
      <c r="D260" s="289">
        <f>VLOOKUP(A260,'K19'!$A$4:$BX$425,24,FALSE)</f>
        <v>0</v>
      </c>
      <c r="E260" s="289"/>
      <c r="F260" s="289">
        <f>VLOOKUP(A260,K0kommunestruktur2020!$A$4:$P$359,12,FALSE)</f>
        <v>24427</v>
      </c>
      <c r="G260" s="289">
        <f>VLOOKUP(A260,'K19'!$A$4:$BX$425,31,FALSE)</f>
        <v>0</v>
      </c>
      <c r="H260" s="289">
        <f>VLOOKUP(A260,'K19'!$A$4:$BX$425,32,FALSE)</f>
        <v>0</v>
      </c>
      <c r="I260" s="289">
        <f>VLOOKUP(A260,'K19'!$A$4:$BX$425,65,FALSE)</f>
        <v>0</v>
      </c>
      <c r="J260" s="289">
        <f>VLOOKUP(A260,K0kommunestruktur2020!$A$4:$P$359,14,FALSE)</f>
        <v>27481</v>
      </c>
      <c r="K260" s="517"/>
      <c r="L260">
        <v>0</v>
      </c>
      <c r="M260" s="5">
        <f t="shared" si="29"/>
        <v>0</v>
      </c>
    </row>
    <row r="261" spans="1:13" ht="13">
      <c r="A261" s="1">
        <v>4630</v>
      </c>
      <c r="B261" s="2" t="s">
        <v>47</v>
      </c>
      <c r="C261" s="289">
        <f>VLOOKUP(A261,K0kommunestruktur2020!$A$4:$P$359,11,FALSE)</f>
        <v>8125</v>
      </c>
      <c r="D261" s="289">
        <f>VLOOKUP(A261,'K19'!$A$4:$BX$425,24,FALSE)</f>
        <v>4000</v>
      </c>
      <c r="E261" s="289"/>
      <c r="F261" s="289">
        <f>VLOOKUP(A261,K0kommunestruktur2020!$A$4:$P$359,12,FALSE)</f>
        <v>194818</v>
      </c>
      <c r="G261" s="289">
        <f>VLOOKUP(A261,'K19'!$A$4:$BX$425,31,FALSE)</f>
        <v>0</v>
      </c>
      <c r="H261" s="289">
        <f>VLOOKUP(A261,'K19'!$A$4:$BX$425,32,FALSE)</f>
        <v>0</v>
      </c>
      <c r="I261" s="289">
        <f>VLOOKUP(A261,'K19'!$A$4:$BX$425,65,FALSE)</f>
        <v>0</v>
      </c>
      <c r="J261" s="289">
        <f>VLOOKUP(A261,K0kommunestruktur2020!$A$4:$P$359,14,FALSE)</f>
        <v>204329</v>
      </c>
      <c r="K261" s="517"/>
      <c r="L261">
        <v>0</v>
      </c>
      <c r="M261" s="5">
        <f t="shared" ref="M261:M324" si="41">+H261-L261</f>
        <v>0</v>
      </c>
    </row>
    <row r="262" spans="1:13" ht="13">
      <c r="A262" s="878">
        <v>4631</v>
      </c>
      <c r="B262" s="883" t="s">
        <v>1636</v>
      </c>
      <c r="C262" s="919">
        <f>VLOOKUP(A262,K0kommunestruktur2020!$A$4:$P$359,11,FALSE)</f>
        <v>28997</v>
      </c>
      <c r="D262" s="919">
        <f>+D394</f>
        <v>7300</v>
      </c>
      <c r="E262" s="919"/>
      <c r="F262" s="919">
        <f>VLOOKUP(A262,K0kommunestruktur2020!$A$4:$P$359,12,FALSE)</f>
        <v>743913</v>
      </c>
      <c r="G262" s="919">
        <f t="shared" ref="G262:I262" si="42">+G394</f>
        <v>269</v>
      </c>
      <c r="H262" s="919">
        <f t="shared" si="42"/>
        <v>0</v>
      </c>
      <c r="I262" s="919">
        <f t="shared" si="42"/>
        <v>5064</v>
      </c>
      <c r="J262" s="919">
        <f>VLOOKUP(A262,K0kommunestruktur2020!$A$4:$P$359,14,FALSE)</f>
        <v>793379</v>
      </c>
      <c r="K262" s="517"/>
      <c r="L262">
        <v>0</v>
      </c>
      <c r="M262" s="5">
        <f t="shared" si="41"/>
        <v>0</v>
      </c>
    </row>
    <row r="263" spans="1:13" ht="13">
      <c r="A263" s="1">
        <v>4632</v>
      </c>
      <c r="B263" s="2" t="s">
        <v>55</v>
      </c>
      <c r="C263" s="289">
        <f>VLOOKUP(A263,K0kommunestruktur2020!$A$4:$P$359,11,FALSE)</f>
        <v>2902</v>
      </c>
      <c r="D263" s="289">
        <f>VLOOKUP(A263,'K19'!$A$4:$BX$425,24,FALSE)</f>
        <v>2000</v>
      </c>
      <c r="E263" s="289"/>
      <c r="F263" s="289">
        <f>VLOOKUP(A263,K0kommunestruktur2020!$A$4:$P$359,12,FALSE)</f>
        <v>87553</v>
      </c>
      <c r="G263" s="289">
        <f>VLOOKUP(A263,'K19'!$A$4:$BX$425,31,FALSE)</f>
        <v>0</v>
      </c>
      <c r="H263" s="289">
        <f>VLOOKUP(A263,'K19'!$A$4:$BX$425,32,FALSE)</f>
        <v>0</v>
      </c>
      <c r="I263" s="289">
        <f>VLOOKUP(A263,'K19'!$A$4:$BX$425,65,FALSE)</f>
        <v>0</v>
      </c>
      <c r="J263" s="289">
        <f>VLOOKUP(A263,K0kommunestruktur2020!$A$4:$P$359,14,FALSE)</f>
        <v>95029</v>
      </c>
      <c r="K263" s="517"/>
      <c r="L263">
        <v>0</v>
      </c>
      <c r="M263" s="5">
        <f t="shared" si="41"/>
        <v>0</v>
      </c>
    </row>
    <row r="264" spans="1:13" ht="13">
      <c r="A264" s="1">
        <v>4633</v>
      </c>
      <c r="B264" s="2" t="s">
        <v>56</v>
      </c>
      <c r="C264" s="289">
        <f>VLOOKUP(A264,K0kommunestruktur2020!$A$4:$P$359,11,FALSE)</f>
        <v>561</v>
      </c>
      <c r="D264" s="289">
        <f>VLOOKUP(A264,'K19'!$A$4:$BX$425,24,FALSE)</f>
        <v>1200</v>
      </c>
      <c r="E264" s="289"/>
      <c r="F264" s="289">
        <f>VLOOKUP(A264,K0kommunestruktur2020!$A$4:$P$359,12,FALSE)</f>
        <v>14691</v>
      </c>
      <c r="G264" s="289">
        <f>VLOOKUP(A264,'K19'!$A$4:$BX$425,31,FALSE)</f>
        <v>0</v>
      </c>
      <c r="H264" s="289">
        <f>VLOOKUP(A264,'K19'!$A$4:$BX$425,32,FALSE)</f>
        <v>0</v>
      </c>
      <c r="I264" s="289">
        <f>VLOOKUP(A264,'K19'!$A$4:$BX$425,65,FALSE)</f>
        <v>0</v>
      </c>
      <c r="J264" s="289">
        <f>VLOOKUP(A264,K0kommunestruktur2020!$A$4:$P$359,14,FALSE)</f>
        <v>14851</v>
      </c>
      <c r="K264" s="517"/>
      <c r="L264">
        <v>0</v>
      </c>
      <c r="M264" s="5">
        <f t="shared" si="41"/>
        <v>0</v>
      </c>
    </row>
    <row r="265" spans="1:13" ht="13">
      <c r="A265" s="1">
        <v>4634</v>
      </c>
      <c r="B265" s="2" t="s">
        <v>57</v>
      </c>
      <c r="C265" s="289">
        <f>VLOOKUP(A265,K0kommunestruktur2020!$A$4:$P$359,11,FALSE)</f>
        <v>1730</v>
      </c>
      <c r="D265" s="289">
        <f>VLOOKUP(A265,'K19'!$A$4:$BX$425,24,FALSE)</f>
        <v>0</v>
      </c>
      <c r="E265" s="289"/>
      <c r="F265" s="289">
        <f>VLOOKUP(A265,K0kommunestruktur2020!$A$4:$P$359,12,FALSE)</f>
        <v>55228</v>
      </c>
      <c r="G265" s="289">
        <f>VLOOKUP(A265,'K19'!$A$4:$BX$425,31,FALSE)</f>
        <v>0</v>
      </c>
      <c r="H265" s="289">
        <f>VLOOKUP(A265,'K19'!$A$4:$BX$425,32,FALSE)</f>
        <v>0</v>
      </c>
      <c r="I265" s="289">
        <f>VLOOKUP(A265,'K19'!$A$4:$BX$425,65,FALSE)</f>
        <v>0</v>
      </c>
      <c r="J265" s="289">
        <f>VLOOKUP(A265,K0kommunestruktur2020!$A$4:$P$359,14,FALSE)</f>
        <v>58980</v>
      </c>
      <c r="K265" s="517"/>
      <c r="L265">
        <v>0</v>
      </c>
      <c r="M265" s="5">
        <f t="shared" si="41"/>
        <v>0</v>
      </c>
    </row>
    <row r="266" spans="1:13" ht="13">
      <c r="A266" s="1">
        <v>4635</v>
      </c>
      <c r="B266" s="2" t="s">
        <v>59</v>
      </c>
      <c r="C266" s="289">
        <f>VLOOKUP(A266,K0kommunestruktur2020!$A$4:$P$359,11,FALSE)</f>
        <v>2345</v>
      </c>
      <c r="D266" s="289">
        <f>VLOOKUP(A266,'K19'!$A$4:$BX$425,24,FALSE)</f>
        <v>0</v>
      </c>
      <c r="E266" s="289"/>
      <c r="F266" s="289">
        <f>VLOOKUP(A266,K0kommunestruktur2020!$A$4:$P$359,12,FALSE)</f>
        <v>66356</v>
      </c>
      <c r="G266" s="289">
        <f>VLOOKUP(A266,'K19'!$A$4:$BX$425,31,FALSE)</f>
        <v>0</v>
      </c>
      <c r="H266" s="289">
        <f>VLOOKUP(A266,'K19'!$A$4:$BX$425,32,FALSE)</f>
        <v>0</v>
      </c>
      <c r="I266" s="289">
        <f>VLOOKUP(A266,'K19'!$A$4:$BX$425,65,FALSE)</f>
        <v>0</v>
      </c>
      <c r="J266" s="289">
        <f>VLOOKUP(A266,K0kommunestruktur2020!$A$4:$P$359,14,FALSE)</f>
        <v>75568</v>
      </c>
      <c r="K266" s="517"/>
      <c r="L266">
        <v>0</v>
      </c>
      <c r="M266" s="5">
        <f t="shared" si="41"/>
        <v>0</v>
      </c>
    </row>
    <row r="267" spans="1:13" ht="13">
      <c r="A267" s="1">
        <v>4636</v>
      </c>
      <c r="B267" s="2" t="s">
        <v>60</v>
      </c>
      <c r="C267" s="289">
        <f>VLOOKUP(A267,K0kommunestruktur2020!$A$4:$P$359,11,FALSE)</f>
        <v>807</v>
      </c>
      <c r="D267" s="289">
        <f>VLOOKUP(A267,'K19'!$A$4:$BX$425,24,FALSE)</f>
        <v>1500</v>
      </c>
      <c r="E267" s="289"/>
      <c r="F267" s="289">
        <f>VLOOKUP(A267,K0kommunestruktur2020!$A$4:$P$359,12,FALSE)</f>
        <v>22900</v>
      </c>
      <c r="G267" s="289">
        <f>VLOOKUP(A267,'K19'!$A$4:$BX$425,31,FALSE)</f>
        <v>0</v>
      </c>
      <c r="H267" s="289">
        <f>VLOOKUP(A267,'K19'!$A$4:$BX$425,32,FALSE)</f>
        <v>0</v>
      </c>
      <c r="I267" s="289">
        <f>VLOOKUP(A267,'K19'!$A$4:$BX$425,65,FALSE)</f>
        <v>0</v>
      </c>
      <c r="J267" s="289">
        <f>VLOOKUP(A267,K0kommunestruktur2020!$A$4:$P$359,14,FALSE)</f>
        <v>24412</v>
      </c>
      <c r="K267" s="517"/>
      <c r="L267">
        <v>0</v>
      </c>
      <c r="M267" s="5">
        <f t="shared" si="41"/>
        <v>0</v>
      </c>
    </row>
    <row r="268" spans="1:13" ht="13">
      <c r="A268" s="1">
        <v>4637</v>
      </c>
      <c r="B268" s="2" t="s">
        <v>61</v>
      </c>
      <c r="C268" s="289">
        <f>VLOOKUP(A268,K0kommunestruktur2020!$A$4:$P$359,11,FALSE)</f>
        <v>1378</v>
      </c>
      <c r="D268" s="289">
        <f>VLOOKUP(A268,'K19'!$A$4:$BX$425,24,FALSE)</f>
        <v>1300</v>
      </c>
      <c r="E268" s="289"/>
      <c r="F268" s="289">
        <f>VLOOKUP(A268,K0kommunestruktur2020!$A$4:$P$359,12,FALSE)</f>
        <v>35150</v>
      </c>
      <c r="G268" s="289">
        <f>VLOOKUP(A268,'K19'!$A$4:$BX$425,31,FALSE)</f>
        <v>0</v>
      </c>
      <c r="H268" s="289">
        <f>VLOOKUP(A268,'K19'!$A$4:$BX$425,32,FALSE)</f>
        <v>0</v>
      </c>
      <c r="I268" s="289">
        <f>VLOOKUP(A268,'K19'!$A$4:$BX$425,65,FALSE)</f>
        <v>0</v>
      </c>
      <c r="J268" s="289">
        <f>VLOOKUP(A268,K0kommunestruktur2020!$A$4:$P$359,14,FALSE)</f>
        <v>38793</v>
      </c>
      <c r="K268" s="517"/>
      <c r="L268">
        <v>0</v>
      </c>
      <c r="M268" s="5">
        <f t="shared" si="41"/>
        <v>0</v>
      </c>
    </row>
    <row r="269" spans="1:13" ht="13">
      <c r="A269" s="1">
        <v>4638</v>
      </c>
      <c r="B269" s="2" t="s">
        <v>62</v>
      </c>
      <c r="C269" s="289">
        <f>VLOOKUP(A269,K0kommunestruktur2020!$A$4:$P$359,11,FALSE)</f>
        <v>4251.4783671499999</v>
      </c>
      <c r="D269" s="289">
        <f>VLOOKUP(A269,'K19'!$A$4:$BX$425,24,FALSE)</f>
        <v>0</v>
      </c>
      <c r="E269" s="289"/>
      <c r="F269" s="289">
        <f>VLOOKUP(A269,K0kommunestruktur2020!$A$4:$P$359,12,FALSE)</f>
        <v>126025.52725502706</v>
      </c>
      <c r="G269" s="289">
        <f>VLOOKUP(A269,'K19'!$A$4:$BX$425,31,FALSE)</f>
        <v>0</v>
      </c>
      <c r="H269" s="289">
        <f>VLOOKUP(A269,'K19'!$A$4:$BX$425,32,FALSE)</f>
        <v>0</v>
      </c>
      <c r="I269" s="289">
        <f>VLOOKUP(A269,'K19'!$A$4:$BX$425,65,FALSE)</f>
        <v>0</v>
      </c>
      <c r="J269" s="289">
        <f>VLOOKUP(A269,K0kommunestruktur2020!$A$4:$P$359,14,FALSE)</f>
        <v>130919.74236128086</v>
      </c>
      <c r="K269" s="517"/>
      <c r="L269">
        <v>0</v>
      </c>
      <c r="M269" s="5">
        <f t="shared" si="41"/>
        <v>0</v>
      </c>
    </row>
    <row r="270" spans="1:13" ht="13">
      <c r="A270" s="1">
        <v>4639</v>
      </c>
      <c r="B270" s="2" t="s">
        <v>63</v>
      </c>
      <c r="C270" s="289">
        <f>VLOOKUP(A270,K0kommunestruktur2020!$A$4:$P$359,11,FALSE)</f>
        <v>2674</v>
      </c>
      <c r="D270" s="289">
        <f>VLOOKUP(A270,'K19'!$A$4:$BX$425,24,FALSE)</f>
        <v>0</v>
      </c>
      <c r="E270" s="289"/>
      <c r="F270" s="289">
        <f>VLOOKUP(A270,K0kommunestruktur2020!$A$4:$P$359,12,FALSE)</f>
        <v>82426</v>
      </c>
      <c r="G270" s="289">
        <f>VLOOKUP(A270,'K19'!$A$4:$BX$425,31,FALSE)</f>
        <v>0</v>
      </c>
      <c r="H270" s="289">
        <f>VLOOKUP(A270,'K19'!$A$4:$BX$425,32,FALSE)</f>
        <v>0</v>
      </c>
      <c r="I270" s="289">
        <f>VLOOKUP(A270,'K19'!$A$4:$BX$425,65,FALSE)</f>
        <v>0</v>
      </c>
      <c r="J270" s="289">
        <f>VLOOKUP(A270,K0kommunestruktur2020!$A$4:$P$359,14,FALSE)</f>
        <v>83347</v>
      </c>
      <c r="K270" s="517"/>
      <c r="L270">
        <v>0</v>
      </c>
      <c r="M270" s="5">
        <f t="shared" si="41"/>
        <v>0</v>
      </c>
    </row>
    <row r="271" spans="1:13" ht="13">
      <c r="A271" s="878">
        <v>4640</v>
      </c>
      <c r="B271" s="883" t="s">
        <v>1637</v>
      </c>
      <c r="C271" s="919">
        <f>VLOOKUP(A271,K0kommunestruktur2020!$A$4:$P$359,11,FALSE)</f>
        <v>11571.098212020001</v>
      </c>
      <c r="D271" s="919">
        <f>+D395</f>
        <v>6500</v>
      </c>
      <c r="E271" s="919"/>
      <c r="F271" s="919">
        <f>VLOOKUP(A271,K0kommunestruktur2020!$A$4:$P$359,12,FALSE)</f>
        <v>322024.87331593392</v>
      </c>
      <c r="G271" s="919">
        <f t="shared" ref="G271:I271" si="43">+G395</f>
        <v>1099</v>
      </c>
      <c r="H271" s="919">
        <f t="shared" si="43"/>
        <v>0</v>
      </c>
      <c r="I271" s="919">
        <f t="shared" si="43"/>
        <v>3925</v>
      </c>
      <c r="J271" s="919">
        <f>VLOOKUP(A271,K0kommunestruktur2020!$A$4:$P$359,14,FALSE)</f>
        <v>322538.65943564102</v>
      </c>
      <c r="K271" s="517"/>
      <c r="L271">
        <v>0</v>
      </c>
      <c r="M271" s="5">
        <f t="shared" si="41"/>
        <v>0</v>
      </c>
    </row>
    <row r="272" spans="1:13" ht="13">
      <c r="A272" s="1">
        <v>4641</v>
      </c>
      <c r="B272" s="2" t="s">
        <v>67</v>
      </c>
      <c r="C272" s="289">
        <f>VLOOKUP(A272,K0kommunestruktur2020!$A$4:$P$359,11,FALSE)</f>
        <v>1778</v>
      </c>
      <c r="D272" s="289">
        <f>VLOOKUP(A272,'K19'!$A$4:$BX$425,24,FALSE)</f>
        <v>0</v>
      </c>
      <c r="E272" s="289"/>
      <c r="F272" s="289">
        <f>VLOOKUP(A272,K0kommunestruktur2020!$A$4:$P$359,12,FALSE)</f>
        <v>85477</v>
      </c>
      <c r="G272" s="289">
        <f>VLOOKUP(A272,'K19'!$A$4:$BX$425,31,FALSE)</f>
        <v>0</v>
      </c>
      <c r="H272" s="289">
        <f>VLOOKUP(A272,'K19'!$A$4:$BX$425,32,FALSE)</f>
        <v>0</v>
      </c>
      <c r="I272" s="289">
        <f>VLOOKUP(A272,'K19'!$A$4:$BX$425,65,FALSE)</f>
        <v>0</v>
      </c>
      <c r="J272" s="289">
        <f>VLOOKUP(A272,K0kommunestruktur2020!$A$4:$P$359,14,FALSE)</f>
        <v>85938</v>
      </c>
      <c r="K272" s="517"/>
      <c r="L272">
        <v>0</v>
      </c>
      <c r="M272" s="5">
        <f t="shared" si="41"/>
        <v>0</v>
      </c>
    </row>
    <row r="273" spans="1:13" ht="13">
      <c r="A273" s="1">
        <v>4642</v>
      </c>
      <c r="B273" s="2" t="s">
        <v>68</v>
      </c>
      <c r="C273" s="289">
        <f>VLOOKUP(A273,K0kommunestruktur2020!$A$4:$P$359,11,FALSE)</f>
        <v>2153</v>
      </c>
      <c r="D273" s="289">
        <f>VLOOKUP(A273,'K19'!$A$4:$BX$425,24,FALSE)</f>
        <v>0</v>
      </c>
      <c r="E273" s="289"/>
      <c r="F273" s="289">
        <f>VLOOKUP(A273,K0kommunestruktur2020!$A$4:$P$359,12,FALSE)</f>
        <v>75278</v>
      </c>
      <c r="G273" s="289">
        <f>VLOOKUP(A273,'K19'!$A$4:$BX$425,31,FALSE)</f>
        <v>0</v>
      </c>
      <c r="H273" s="289">
        <f>VLOOKUP(A273,'K19'!$A$4:$BX$425,32,FALSE)</f>
        <v>0</v>
      </c>
      <c r="I273" s="289">
        <f>VLOOKUP(A273,'K19'!$A$4:$BX$425,65,FALSE)</f>
        <v>0</v>
      </c>
      <c r="J273" s="289">
        <f>VLOOKUP(A273,K0kommunestruktur2020!$A$4:$P$359,14,FALSE)</f>
        <v>75203</v>
      </c>
      <c r="K273" s="517"/>
      <c r="L273">
        <v>0</v>
      </c>
      <c r="M273" s="5">
        <f t="shared" si="41"/>
        <v>0</v>
      </c>
    </row>
    <row r="274" spans="1:13" ht="13">
      <c r="A274" s="1">
        <v>4643</v>
      </c>
      <c r="B274" s="2" t="s">
        <v>69</v>
      </c>
      <c r="C274" s="289">
        <f>VLOOKUP(A274,K0kommunestruktur2020!$A$4:$P$359,11,FALSE)</f>
        <v>5277</v>
      </c>
      <c r="D274" s="289">
        <f>VLOOKUP(A274,'K19'!$A$4:$BX$425,24,FALSE)</f>
        <v>0</v>
      </c>
      <c r="E274" s="289"/>
      <c r="F274" s="289">
        <f>VLOOKUP(A274,K0kommunestruktur2020!$A$4:$P$359,12,FALSE)</f>
        <v>176906</v>
      </c>
      <c r="G274" s="289">
        <f>VLOOKUP(A274,'K19'!$A$4:$BX$425,31,FALSE)</f>
        <v>0</v>
      </c>
      <c r="H274" s="289">
        <f>VLOOKUP(A274,'K19'!$A$4:$BX$425,32,FALSE)</f>
        <v>0</v>
      </c>
      <c r="I274" s="289">
        <f>VLOOKUP(A274,'K19'!$A$4:$BX$425,65,FALSE)</f>
        <v>0</v>
      </c>
      <c r="J274" s="289">
        <f>VLOOKUP(A274,K0kommunestruktur2020!$A$4:$P$359,14,FALSE)</f>
        <v>182474</v>
      </c>
      <c r="K274" s="517"/>
      <c r="L274">
        <v>0</v>
      </c>
      <c r="M274" s="5">
        <f t="shared" si="41"/>
        <v>0</v>
      </c>
    </row>
    <row r="275" spans="1:13" ht="13">
      <c r="A275" s="1">
        <v>4644</v>
      </c>
      <c r="B275" s="2" t="s">
        <v>70</v>
      </c>
      <c r="C275" s="289">
        <f>VLOOKUP(A275,K0kommunestruktur2020!$A$4:$P$359,11,FALSE)</f>
        <v>5223</v>
      </c>
      <c r="D275" s="289">
        <f>VLOOKUP(A275,'K19'!$A$4:$BX$425,24,FALSE)</f>
        <v>0</v>
      </c>
      <c r="E275" s="289"/>
      <c r="F275" s="289">
        <f>VLOOKUP(A275,K0kommunestruktur2020!$A$4:$P$359,12,FALSE)</f>
        <v>159408</v>
      </c>
      <c r="G275" s="289">
        <f>VLOOKUP(A275,'K19'!$A$4:$BX$425,31,FALSE)</f>
        <v>0</v>
      </c>
      <c r="H275" s="289">
        <f>VLOOKUP(A275,'K19'!$A$4:$BX$425,32,FALSE)</f>
        <v>0</v>
      </c>
      <c r="I275" s="289">
        <f>VLOOKUP(A275,'K19'!$A$4:$BX$425,65,FALSE)</f>
        <v>0</v>
      </c>
      <c r="J275" s="289">
        <f>VLOOKUP(A275,K0kommunestruktur2020!$A$4:$P$359,14,FALSE)</f>
        <v>160085</v>
      </c>
      <c r="K275" s="517"/>
      <c r="L275">
        <v>0</v>
      </c>
      <c r="M275" s="5">
        <f t="shared" si="41"/>
        <v>0</v>
      </c>
    </row>
    <row r="276" spans="1:13" ht="13">
      <c r="A276" s="1">
        <v>4645</v>
      </c>
      <c r="B276" s="2" t="s">
        <v>71</v>
      </c>
      <c r="C276" s="289">
        <f>VLOOKUP(A276,K0kommunestruktur2020!$A$4:$P$359,11,FALSE)</f>
        <v>3052</v>
      </c>
      <c r="D276" s="289">
        <f>VLOOKUP(A276,'K19'!$A$4:$BX$425,24,FALSE)</f>
        <v>1600</v>
      </c>
      <c r="E276" s="289"/>
      <c r="F276" s="289">
        <f>VLOOKUP(A276,K0kommunestruktur2020!$A$4:$P$359,12,FALSE)</f>
        <v>73539</v>
      </c>
      <c r="G276" s="289">
        <f>VLOOKUP(A276,'K19'!$A$4:$BX$425,31,FALSE)</f>
        <v>0</v>
      </c>
      <c r="H276" s="289">
        <f>VLOOKUP(A276,'K19'!$A$4:$BX$425,32,FALSE)</f>
        <v>0</v>
      </c>
      <c r="I276" s="289">
        <f>VLOOKUP(A276,'K19'!$A$4:$BX$425,65,FALSE)</f>
        <v>0</v>
      </c>
      <c r="J276" s="289">
        <f>VLOOKUP(A276,K0kommunestruktur2020!$A$4:$P$359,14,FALSE)</f>
        <v>79054</v>
      </c>
      <c r="K276" s="517"/>
      <c r="L276">
        <v>0</v>
      </c>
      <c r="M276" s="5">
        <f t="shared" si="41"/>
        <v>0</v>
      </c>
    </row>
    <row r="277" spans="1:13" ht="13">
      <c r="A277" s="1">
        <v>4646</v>
      </c>
      <c r="B277" s="2" t="s">
        <v>72</v>
      </c>
      <c r="C277" s="289">
        <f>VLOOKUP(A277,K0kommunestruktur2020!$A$4:$P$359,11,FALSE)</f>
        <v>2846</v>
      </c>
      <c r="D277" s="289">
        <f>VLOOKUP(A277,'K19'!$A$4:$BX$425,24,FALSE)</f>
        <v>1700</v>
      </c>
      <c r="E277" s="289"/>
      <c r="F277" s="289">
        <f>VLOOKUP(A277,K0kommunestruktur2020!$A$4:$P$359,12,FALSE)</f>
        <v>63972</v>
      </c>
      <c r="G277" s="289">
        <f>VLOOKUP(A277,'K19'!$A$4:$BX$425,31,FALSE)</f>
        <v>0</v>
      </c>
      <c r="H277" s="289">
        <f>VLOOKUP(A277,'K19'!$A$4:$BX$425,32,FALSE)</f>
        <v>0</v>
      </c>
      <c r="I277" s="289">
        <f>VLOOKUP(A277,'K19'!$A$4:$BX$425,65,FALSE)</f>
        <v>0</v>
      </c>
      <c r="J277" s="289">
        <f>VLOOKUP(A277,K0kommunestruktur2020!$A$4:$P$359,14,FALSE)</f>
        <v>67254</v>
      </c>
      <c r="K277" s="517"/>
      <c r="L277">
        <v>0</v>
      </c>
      <c r="M277" s="5">
        <f t="shared" si="41"/>
        <v>0</v>
      </c>
    </row>
    <row r="278" spans="1:13" ht="13">
      <c r="A278" s="878">
        <v>4647</v>
      </c>
      <c r="B278" s="883" t="s">
        <v>1638</v>
      </c>
      <c r="C278" s="919">
        <f>VLOOKUP(A278,K0kommunestruktur2020!$A$4:$P$359,11,FALSE)</f>
        <v>21963</v>
      </c>
      <c r="D278" s="919">
        <f>+D396</f>
        <v>13000</v>
      </c>
      <c r="E278" s="919"/>
      <c r="F278" s="919">
        <f>VLOOKUP(A278,K0kommunestruktur2020!$A$4:$P$359,12,FALSE)</f>
        <v>609420</v>
      </c>
      <c r="G278" s="919">
        <f t="shared" ref="G278:I278" si="44">+G396</f>
        <v>0</v>
      </c>
      <c r="H278" s="919">
        <f t="shared" si="44"/>
        <v>0</v>
      </c>
      <c r="I278" s="919">
        <f t="shared" si="44"/>
        <v>4602</v>
      </c>
      <c r="J278" s="919">
        <f>VLOOKUP(A278,K0kommunestruktur2020!$A$4:$P$359,14,FALSE)</f>
        <v>641641</v>
      </c>
      <c r="K278" s="517"/>
      <c r="L278">
        <v>0</v>
      </c>
      <c r="M278" s="5">
        <f t="shared" si="41"/>
        <v>0</v>
      </c>
    </row>
    <row r="279" spans="1:13" ht="13">
      <c r="A279" s="1">
        <v>4648</v>
      </c>
      <c r="B279" s="2" t="s">
        <v>77</v>
      </c>
      <c r="C279" s="289">
        <f>VLOOKUP(A279,K0kommunestruktur2020!$A$4:$P$359,11,FALSE)</f>
        <v>3767</v>
      </c>
      <c r="D279" s="289">
        <f>VLOOKUP(A279,'K19'!$A$4:$BX$425,24,FALSE)</f>
        <v>0</v>
      </c>
      <c r="E279" s="289"/>
      <c r="F279" s="289">
        <f>VLOOKUP(A279,K0kommunestruktur2020!$A$4:$P$359,12,FALSE)</f>
        <v>105303</v>
      </c>
      <c r="G279" s="289">
        <f>VLOOKUP(A279,'K19'!$A$4:$BX$425,31,FALSE)</f>
        <v>0</v>
      </c>
      <c r="H279" s="289">
        <f>VLOOKUP(A279,'K19'!$A$4:$BX$425,32,FALSE)</f>
        <v>0</v>
      </c>
      <c r="I279" s="289">
        <f>VLOOKUP(A279,'K19'!$A$4:$BX$425,65,FALSE)</f>
        <v>0</v>
      </c>
      <c r="J279" s="289">
        <f>VLOOKUP(A279,K0kommunestruktur2020!$A$4:$P$359,14,FALSE)</f>
        <v>108267</v>
      </c>
      <c r="K279" s="517"/>
      <c r="L279">
        <v>0</v>
      </c>
      <c r="M279" s="5">
        <f t="shared" si="41"/>
        <v>0</v>
      </c>
    </row>
    <row r="280" spans="1:13" ht="13">
      <c r="A280" s="878">
        <v>4649</v>
      </c>
      <c r="B280" s="883" t="s">
        <v>1639</v>
      </c>
      <c r="C280" s="919">
        <f>VLOOKUP(A280,K0kommunestruktur2020!$A$4:$P$359,11,FALSE)</f>
        <v>9429.9260508000007</v>
      </c>
      <c r="D280" s="919">
        <f>+D397</f>
        <v>2500</v>
      </c>
      <c r="E280" s="919"/>
      <c r="F280" s="919">
        <f>VLOOKUP(A280,K0kommunestruktur2020!$A$4:$P$359,12,FALSE)</f>
        <v>236944.61148577908</v>
      </c>
      <c r="G280" s="919">
        <f t="shared" ref="G280:I280" si="45">+G397</f>
        <v>0</v>
      </c>
      <c r="H280" s="919">
        <f t="shared" si="45"/>
        <v>0</v>
      </c>
      <c r="I280" s="919">
        <f t="shared" si="45"/>
        <v>3744</v>
      </c>
      <c r="J280" s="919">
        <f>VLOOKUP(A280,K0kommunestruktur2020!$A$4:$P$359,14,FALSE)</f>
        <v>249113.38413126545</v>
      </c>
      <c r="K280" s="517"/>
      <c r="L280">
        <v>0</v>
      </c>
      <c r="M280" s="5">
        <f t="shared" si="41"/>
        <v>0</v>
      </c>
    </row>
    <row r="281" spans="1:13" ht="13">
      <c r="A281" s="1">
        <v>4650</v>
      </c>
      <c r="B281" s="2" t="s">
        <v>82</v>
      </c>
      <c r="C281" s="289">
        <f>VLOOKUP(A281,K0kommunestruktur2020!$A$4:$P$359,11,FALSE)</f>
        <v>5874</v>
      </c>
      <c r="D281" s="289">
        <f>VLOOKUP(A281,'K19'!$A$4:$BX$425,24,FALSE)</f>
        <v>600</v>
      </c>
      <c r="E281" s="289"/>
      <c r="F281" s="289">
        <f>VLOOKUP(A281,K0kommunestruktur2020!$A$4:$P$359,12,FALSE)</f>
        <v>169864</v>
      </c>
      <c r="G281" s="289">
        <f>VLOOKUP(A281,'K19'!$A$4:$BX$425,31,FALSE)</f>
        <v>0</v>
      </c>
      <c r="H281" s="289">
        <f>VLOOKUP(A281,'K19'!$A$4:$BX$425,32,FALSE)</f>
        <v>0</v>
      </c>
      <c r="I281" s="289">
        <f>VLOOKUP(A281,'K19'!$A$4:$BX$425,65,FALSE)</f>
        <v>0</v>
      </c>
      <c r="J281" s="289">
        <f>VLOOKUP(A281,K0kommunestruktur2020!$A$4:$P$359,14,FALSE)</f>
        <v>156649</v>
      </c>
      <c r="K281" s="517"/>
      <c r="L281">
        <v>0</v>
      </c>
      <c r="M281" s="5">
        <f t="shared" si="41"/>
        <v>0</v>
      </c>
    </row>
    <row r="282" spans="1:13" ht="13">
      <c r="A282" s="1">
        <v>4651</v>
      </c>
      <c r="B282" s="2" t="s">
        <v>83</v>
      </c>
      <c r="C282" s="289">
        <f>VLOOKUP(A282,K0kommunestruktur2020!$A$4:$P$359,11,FALSE)</f>
        <v>7195</v>
      </c>
      <c r="D282" s="289">
        <f>VLOOKUP(A282,'K19'!$A$4:$BX$425,24,FALSE)</f>
        <v>400</v>
      </c>
      <c r="E282" s="289"/>
      <c r="F282" s="289">
        <f>VLOOKUP(A282,K0kommunestruktur2020!$A$4:$P$359,12,FALSE)</f>
        <v>181528</v>
      </c>
      <c r="G282" s="289">
        <f>VLOOKUP(A282,'K19'!$A$4:$BX$425,31,FALSE)</f>
        <v>0</v>
      </c>
      <c r="H282" s="289">
        <f>VLOOKUP(A282,'K19'!$A$4:$BX$425,32,FALSE)</f>
        <v>0</v>
      </c>
      <c r="I282" s="289">
        <f>VLOOKUP(A282,'K19'!$A$4:$BX$425,65,FALSE)</f>
        <v>0</v>
      </c>
      <c r="J282" s="289">
        <f>VLOOKUP(A282,K0kommunestruktur2020!$A$4:$P$359,14,FALSE)</f>
        <v>190496</v>
      </c>
      <c r="K282" s="517"/>
      <c r="L282">
        <v>0</v>
      </c>
      <c r="M282" s="5">
        <f t="shared" si="41"/>
        <v>0</v>
      </c>
    </row>
    <row r="283" spans="1:13" ht="13">
      <c r="A283" s="878">
        <v>5001</v>
      </c>
      <c r="B283" s="883" t="s">
        <v>118</v>
      </c>
      <c r="C283" s="919">
        <f>VLOOKUP(A283,K0kommunestruktur2020!$A$4:$P$359,11,FALSE)</f>
        <v>199595</v>
      </c>
      <c r="D283" s="919">
        <f>+D398</f>
        <v>3900</v>
      </c>
      <c r="E283" s="919"/>
      <c r="F283" s="919">
        <f>VLOOKUP(A283,K0kommunestruktur2020!$A$4:$P$359,12,FALSE)</f>
        <v>6181799</v>
      </c>
      <c r="G283" s="919">
        <f t="shared" ref="G283:I285" si="46">+G398</f>
        <v>13213</v>
      </c>
      <c r="H283" s="919">
        <f t="shared" si="46"/>
        <v>0</v>
      </c>
      <c r="I283" s="919">
        <f t="shared" si="46"/>
        <v>0</v>
      </c>
      <c r="J283" s="919">
        <f>VLOOKUP(A283,K0kommunestruktur2020!$A$4:$P$359,14,FALSE)</f>
        <v>6465972</v>
      </c>
      <c r="K283" s="517"/>
      <c r="L283">
        <v>0</v>
      </c>
      <c r="M283" s="5">
        <f t="shared" si="41"/>
        <v>0</v>
      </c>
    </row>
    <row r="284" spans="1:13" ht="13">
      <c r="A284" s="878">
        <v>5006</v>
      </c>
      <c r="B284" s="883" t="s">
        <v>1640</v>
      </c>
      <c r="C284" s="919">
        <f>VLOOKUP(A284,K0kommunestruktur2020!$A$4:$P$359,11,FALSE)</f>
        <v>24501.918089570001</v>
      </c>
      <c r="D284" s="919">
        <f>+D399</f>
        <v>700</v>
      </c>
      <c r="E284" s="919"/>
      <c r="F284" s="919">
        <f>VLOOKUP(A284,K0kommunestruktur2020!$A$4:$P$359,12,FALSE)</f>
        <v>556543.28310033213</v>
      </c>
      <c r="G284" s="919">
        <f t="shared" si="46"/>
        <v>0</v>
      </c>
      <c r="H284" s="919">
        <f t="shared" si="46"/>
        <v>0</v>
      </c>
      <c r="I284" s="919">
        <f t="shared" si="46"/>
        <v>4773</v>
      </c>
      <c r="J284" s="919">
        <f>VLOOKUP(A284,K0kommunestruktur2020!$A$4:$P$359,14,FALSE)</f>
        <v>573022.16683646443</v>
      </c>
      <c r="K284" s="517"/>
      <c r="L284">
        <v>0</v>
      </c>
      <c r="M284" s="5">
        <f t="shared" si="41"/>
        <v>0</v>
      </c>
    </row>
    <row r="285" spans="1:13" ht="13">
      <c r="A285" s="878">
        <v>5007</v>
      </c>
      <c r="B285" s="883" t="s">
        <v>1641</v>
      </c>
      <c r="C285" s="919">
        <f>VLOOKUP(A285,K0kommunestruktur2020!$A$4:$P$359,11,FALSE)</f>
        <v>15331.956649670001</v>
      </c>
      <c r="D285" s="919">
        <f>+D400</f>
        <v>1050</v>
      </c>
      <c r="E285" s="919"/>
      <c r="F285" s="919">
        <f>VLOOKUP(A285,K0kommunestruktur2020!$A$4:$P$359,12,FALSE)</f>
        <v>364395.08826999209</v>
      </c>
      <c r="G285" s="919">
        <f t="shared" si="46"/>
        <v>0</v>
      </c>
      <c r="H285" s="919">
        <f t="shared" si="46"/>
        <v>0</v>
      </c>
      <c r="I285" s="919">
        <f t="shared" si="46"/>
        <v>4162</v>
      </c>
      <c r="J285" s="919">
        <f>VLOOKUP(A285,K0kommunestruktur2020!$A$4:$P$359,14,FALSE)</f>
        <v>387783.82208709297</v>
      </c>
      <c r="K285" s="517"/>
      <c r="L285">
        <v>0</v>
      </c>
      <c r="M285" s="5">
        <f t="shared" si="41"/>
        <v>0</v>
      </c>
    </row>
    <row r="286" spans="1:13" ht="13">
      <c r="A286" s="1">
        <v>5014</v>
      </c>
      <c r="B286" s="2" t="s">
        <v>122</v>
      </c>
      <c r="C286" s="289">
        <f>VLOOKUP(A286,K0kommunestruktur2020!$A$4:$P$359,11,FALSE)</f>
        <v>4962</v>
      </c>
      <c r="D286" s="289">
        <f>VLOOKUP(A286,'K19'!$A$4:$BX$425,24,FALSE)</f>
        <v>200</v>
      </c>
      <c r="E286" s="289"/>
      <c r="F286" s="289">
        <f>VLOOKUP(A286,K0kommunestruktur2020!$A$4:$P$359,12,FALSE)</f>
        <v>199096</v>
      </c>
      <c r="G286" s="289">
        <f>VLOOKUP(A286,'K19'!$A$4:$BX$425,31,FALSE)</f>
        <v>0</v>
      </c>
      <c r="H286" s="289">
        <f>VLOOKUP(A286,'K19'!$A$4:$BX$425,32,FALSE)</f>
        <v>0</v>
      </c>
      <c r="I286" s="289">
        <f>VLOOKUP(A286,'K19'!$A$4:$BX$425,65,FALSE)</f>
        <v>0</v>
      </c>
      <c r="J286" s="289">
        <f>VLOOKUP(A286,K0kommunestruktur2020!$A$4:$P$359,14,FALSE)</f>
        <v>198503</v>
      </c>
      <c r="K286" s="517"/>
      <c r="L286">
        <v>0</v>
      </c>
      <c r="M286" s="5">
        <f t="shared" si="41"/>
        <v>0</v>
      </c>
    </row>
    <row r="287" spans="1:13" ht="13">
      <c r="A287" s="1">
        <v>5020</v>
      </c>
      <c r="B287" s="2" t="s">
        <v>129</v>
      </c>
      <c r="C287" s="289">
        <f>VLOOKUP(A287,K0kommunestruktur2020!$A$4:$P$359,11,FALSE)</f>
        <v>967</v>
      </c>
      <c r="D287" s="289">
        <f>VLOOKUP(A287,'K19'!$A$4:$BX$425,24,FALSE)</f>
        <v>0</v>
      </c>
      <c r="E287" s="289"/>
      <c r="F287" s="289">
        <f>VLOOKUP(A287,K0kommunestruktur2020!$A$4:$P$359,12,FALSE)</f>
        <v>20690</v>
      </c>
      <c r="G287" s="289">
        <f>VLOOKUP(A287,'K19'!$A$4:$BX$425,31,FALSE)</f>
        <v>0</v>
      </c>
      <c r="H287" s="289">
        <f>VLOOKUP(A287,'K19'!$A$4:$BX$425,32,FALSE)</f>
        <v>0</v>
      </c>
      <c r="I287" s="289">
        <f>VLOOKUP(A287,'K19'!$A$4:$BX$425,65,FALSE)</f>
        <v>0</v>
      </c>
      <c r="J287" s="289">
        <f>VLOOKUP(A287,K0kommunestruktur2020!$A$4:$P$359,14,FALSE)</f>
        <v>22381</v>
      </c>
      <c r="K287" s="517"/>
      <c r="L287">
        <v>0</v>
      </c>
      <c r="M287" s="5">
        <f t="shared" si="41"/>
        <v>0</v>
      </c>
    </row>
    <row r="288" spans="1:13" ht="13">
      <c r="A288" s="1">
        <v>5021</v>
      </c>
      <c r="B288" s="2" t="s">
        <v>130</v>
      </c>
      <c r="C288" s="289">
        <f>VLOOKUP(A288,K0kommunestruktur2020!$A$4:$P$359,11,FALSE)</f>
        <v>6970</v>
      </c>
      <c r="D288" s="289">
        <f>VLOOKUP(A288,'K19'!$A$4:$BX$425,24,FALSE)</f>
        <v>300</v>
      </c>
      <c r="E288" s="289"/>
      <c r="F288" s="289">
        <f>VLOOKUP(A288,K0kommunestruktur2020!$A$4:$P$359,12,FALSE)</f>
        <v>174333</v>
      </c>
      <c r="G288" s="289">
        <f>VLOOKUP(A288,'K19'!$A$4:$BX$425,31,FALSE)</f>
        <v>0</v>
      </c>
      <c r="H288" s="289">
        <f>VLOOKUP(A288,'K19'!$A$4:$BX$425,32,FALSE)</f>
        <v>0</v>
      </c>
      <c r="I288" s="289">
        <f>VLOOKUP(A288,'K19'!$A$4:$BX$425,65,FALSE)</f>
        <v>0</v>
      </c>
      <c r="J288" s="289">
        <f>VLOOKUP(A288,K0kommunestruktur2020!$A$4:$P$359,14,FALSE)</f>
        <v>183551</v>
      </c>
      <c r="K288" s="517"/>
      <c r="L288">
        <v>0</v>
      </c>
      <c r="M288" s="5">
        <f t="shared" si="41"/>
        <v>0</v>
      </c>
    </row>
    <row r="289" spans="1:13" ht="13">
      <c r="A289" s="1">
        <v>5022</v>
      </c>
      <c r="B289" s="2" t="s">
        <v>131</v>
      </c>
      <c r="C289" s="289">
        <f>VLOOKUP(A289,K0kommunestruktur2020!$A$4:$P$359,11,FALSE)</f>
        <v>2541</v>
      </c>
      <c r="D289" s="289">
        <f>VLOOKUP(A289,'K19'!$A$4:$BX$425,24,FALSE)</f>
        <v>100</v>
      </c>
      <c r="E289" s="289"/>
      <c r="F289" s="289">
        <f>VLOOKUP(A289,K0kommunestruktur2020!$A$4:$P$359,12,FALSE)</f>
        <v>60864</v>
      </c>
      <c r="G289" s="289">
        <f>VLOOKUP(A289,'K19'!$A$4:$BX$425,31,FALSE)</f>
        <v>0</v>
      </c>
      <c r="H289" s="289">
        <f>VLOOKUP(A289,'K19'!$A$4:$BX$425,32,FALSE)</f>
        <v>0</v>
      </c>
      <c r="I289" s="289">
        <f>VLOOKUP(A289,'K19'!$A$4:$BX$425,65,FALSE)</f>
        <v>0</v>
      </c>
      <c r="J289" s="289">
        <f>VLOOKUP(A289,K0kommunestruktur2020!$A$4:$P$359,14,FALSE)</f>
        <v>60102</v>
      </c>
      <c r="K289" s="517"/>
      <c r="L289">
        <v>0</v>
      </c>
      <c r="M289" s="5">
        <f t="shared" si="41"/>
        <v>0</v>
      </c>
    </row>
    <row r="290" spans="1:13" ht="13">
      <c r="A290" s="1">
        <v>5025</v>
      </c>
      <c r="B290" s="2" t="s">
        <v>134</v>
      </c>
      <c r="C290" s="289">
        <f>VLOOKUP(A290,K0kommunestruktur2020!$A$4:$P$359,11,FALSE)</f>
        <v>5663</v>
      </c>
      <c r="D290" s="289">
        <f>VLOOKUP(A290,'K19'!$A$4:$BX$425,24,FALSE)</f>
        <v>300</v>
      </c>
      <c r="E290" s="289"/>
      <c r="F290" s="289">
        <f>VLOOKUP(A290,K0kommunestruktur2020!$A$4:$P$359,12,FALSE)</f>
        <v>150634</v>
      </c>
      <c r="G290" s="289">
        <f>VLOOKUP(A290,'K19'!$A$4:$BX$425,31,FALSE)</f>
        <v>0</v>
      </c>
      <c r="H290" s="289">
        <f>VLOOKUP(A290,'K19'!$A$4:$BX$425,32,FALSE)</f>
        <v>0</v>
      </c>
      <c r="I290" s="289">
        <f>VLOOKUP(A290,'K19'!$A$4:$BX$425,65,FALSE)</f>
        <v>0</v>
      </c>
      <c r="J290" s="289">
        <f>VLOOKUP(A290,K0kommunestruktur2020!$A$4:$P$359,14,FALSE)</f>
        <v>152303</v>
      </c>
      <c r="K290" s="517"/>
      <c r="L290">
        <v>0</v>
      </c>
      <c r="M290" s="5">
        <f t="shared" si="41"/>
        <v>0</v>
      </c>
    </row>
    <row r="291" spans="1:13" ht="13">
      <c r="A291" s="1">
        <v>5026</v>
      </c>
      <c r="B291" s="2" t="s">
        <v>135</v>
      </c>
      <c r="C291" s="289">
        <f>VLOOKUP(A291,K0kommunestruktur2020!$A$4:$P$359,11,FALSE)</f>
        <v>2028</v>
      </c>
      <c r="D291" s="289">
        <f>VLOOKUP(A291,'K19'!$A$4:$BX$425,24,FALSE)</f>
        <v>100</v>
      </c>
      <c r="E291" s="289"/>
      <c r="F291" s="289">
        <f>VLOOKUP(A291,K0kommunestruktur2020!$A$4:$P$359,12,FALSE)</f>
        <v>42917</v>
      </c>
      <c r="G291" s="289">
        <f>VLOOKUP(A291,'K19'!$A$4:$BX$425,31,FALSE)</f>
        <v>0</v>
      </c>
      <c r="H291" s="289">
        <f>VLOOKUP(A291,'K19'!$A$4:$BX$425,32,FALSE)</f>
        <v>0</v>
      </c>
      <c r="I291" s="289">
        <f>VLOOKUP(A291,'K19'!$A$4:$BX$425,65,FALSE)</f>
        <v>0</v>
      </c>
      <c r="J291" s="289">
        <f>VLOOKUP(A291,K0kommunestruktur2020!$A$4:$P$359,14,FALSE)</f>
        <v>44918</v>
      </c>
      <c r="K291" s="517"/>
      <c r="L291">
        <v>0</v>
      </c>
      <c r="M291" s="5">
        <f t="shared" si="41"/>
        <v>0</v>
      </c>
    </row>
    <row r="292" spans="1:13" ht="13">
      <c r="A292" s="1">
        <v>5027</v>
      </c>
      <c r="B292" s="2" t="s">
        <v>136</v>
      </c>
      <c r="C292" s="289">
        <f>VLOOKUP(A292,K0kommunestruktur2020!$A$4:$P$359,11,FALSE)</f>
        <v>6225</v>
      </c>
      <c r="D292" s="289">
        <f>VLOOKUP(A292,'K19'!$A$4:$BX$425,24,FALSE)</f>
        <v>1700</v>
      </c>
      <c r="E292" s="289"/>
      <c r="F292" s="289">
        <f>VLOOKUP(A292,K0kommunestruktur2020!$A$4:$P$359,12,FALSE)</f>
        <v>138350</v>
      </c>
      <c r="G292" s="289">
        <f>VLOOKUP(A292,'K19'!$A$4:$BX$425,31,FALSE)</f>
        <v>0</v>
      </c>
      <c r="H292" s="289">
        <f>VLOOKUP(A292,'K19'!$A$4:$BX$425,32,FALSE)</f>
        <v>0</v>
      </c>
      <c r="I292" s="289">
        <f>VLOOKUP(A292,'K19'!$A$4:$BX$425,65,FALSE)</f>
        <v>0</v>
      </c>
      <c r="J292" s="289">
        <f>VLOOKUP(A292,K0kommunestruktur2020!$A$4:$P$359,14,FALSE)</f>
        <v>142650</v>
      </c>
      <c r="K292" s="517"/>
      <c r="L292">
        <v>0</v>
      </c>
      <c r="M292" s="5">
        <f t="shared" si="41"/>
        <v>0</v>
      </c>
    </row>
    <row r="293" spans="1:13" ht="13">
      <c r="A293" s="1">
        <v>5028</v>
      </c>
      <c r="B293" s="2" t="s">
        <v>137</v>
      </c>
      <c r="C293" s="289">
        <f>VLOOKUP(A293,K0kommunestruktur2020!$A$4:$P$359,11,FALSE)</f>
        <v>16424</v>
      </c>
      <c r="D293" s="289">
        <f>VLOOKUP(A293,'K19'!$A$4:$BX$425,24,FALSE)</f>
        <v>450</v>
      </c>
      <c r="E293" s="289"/>
      <c r="F293" s="289">
        <f>VLOOKUP(A293,K0kommunestruktur2020!$A$4:$P$359,12,FALSE)</f>
        <v>405508</v>
      </c>
      <c r="G293" s="289">
        <f>VLOOKUP(A293,'K19'!$A$4:$BX$425,31,FALSE)</f>
        <v>0</v>
      </c>
      <c r="H293" s="289">
        <f>VLOOKUP(A293,'K19'!$A$4:$BX$425,32,FALSE)</f>
        <v>0</v>
      </c>
      <c r="I293" s="289">
        <f>VLOOKUP(A293,'K19'!$A$4:$BX$425,65,FALSE)</f>
        <v>0</v>
      </c>
      <c r="J293" s="289">
        <f>VLOOKUP(A293,K0kommunestruktur2020!$A$4:$P$359,14,FALSE)</f>
        <v>424578</v>
      </c>
      <c r="K293" s="517"/>
      <c r="L293">
        <v>0</v>
      </c>
      <c r="M293" s="5">
        <f t="shared" si="41"/>
        <v>0</v>
      </c>
    </row>
    <row r="294" spans="1:13" ht="13">
      <c r="A294" s="1">
        <v>5029</v>
      </c>
      <c r="B294" s="2" t="s">
        <v>138</v>
      </c>
      <c r="C294" s="289">
        <f>VLOOKUP(A294,K0kommunestruktur2020!$A$4:$P$359,11,FALSE)</f>
        <v>8142</v>
      </c>
      <c r="D294" s="289">
        <f>VLOOKUP(A294,'K19'!$A$4:$BX$425,24,FALSE)</f>
        <v>200</v>
      </c>
      <c r="E294" s="289"/>
      <c r="F294" s="289">
        <f>VLOOKUP(A294,K0kommunestruktur2020!$A$4:$P$359,12,FALSE)</f>
        <v>194457</v>
      </c>
      <c r="G294" s="289">
        <f>VLOOKUP(A294,'K19'!$A$4:$BX$425,31,FALSE)</f>
        <v>2965</v>
      </c>
      <c r="H294" s="289">
        <f>VLOOKUP(A294,'K19'!$A$4:$BX$425,32,FALSE)</f>
        <v>0</v>
      </c>
      <c r="I294" s="289">
        <f>VLOOKUP(A294,'K19'!$A$4:$BX$425,65,FALSE)</f>
        <v>0</v>
      </c>
      <c r="J294" s="289">
        <f>VLOOKUP(A294,K0kommunestruktur2020!$A$4:$P$359,14,FALSE)</f>
        <v>202229</v>
      </c>
      <c r="K294" s="517"/>
      <c r="L294">
        <v>0</v>
      </c>
      <c r="M294" s="5">
        <f t="shared" si="41"/>
        <v>0</v>
      </c>
    </row>
    <row r="295" spans="1:13" ht="13">
      <c r="A295" s="1">
        <v>5031</v>
      </c>
      <c r="B295" s="2" t="s">
        <v>141</v>
      </c>
      <c r="C295" s="289">
        <f>VLOOKUP(A295,K0kommunestruktur2020!$A$4:$P$359,11,FALSE)</f>
        <v>13958</v>
      </c>
      <c r="D295" s="289">
        <f>VLOOKUP(A295,'K19'!$A$4:$BX$425,24,FALSE)</f>
        <v>300</v>
      </c>
      <c r="E295" s="289"/>
      <c r="F295" s="289">
        <f>VLOOKUP(A295,K0kommunestruktur2020!$A$4:$P$359,12,FALSE)</f>
        <v>397644</v>
      </c>
      <c r="G295" s="289">
        <f>VLOOKUP(A295,'K19'!$A$4:$BX$425,31,FALSE)</f>
        <v>0</v>
      </c>
      <c r="H295" s="289">
        <f>VLOOKUP(A295,'K19'!$A$4:$BX$425,32,FALSE)</f>
        <v>0</v>
      </c>
      <c r="I295" s="289">
        <f>VLOOKUP(A295,'K19'!$A$4:$BX$425,65,FALSE)</f>
        <v>0</v>
      </c>
      <c r="J295" s="289">
        <f>VLOOKUP(A295,K0kommunestruktur2020!$A$4:$P$359,14,FALSE)</f>
        <v>412157</v>
      </c>
      <c r="K295" s="517"/>
      <c r="L295">
        <v>0</v>
      </c>
      <c r="M295" s="5">
        <f t="shared" si="41"/>
        <v>0</v>
      </c>
    </row>
    <row r="296" spans="1:13" ht="13">
      <c r="A296" s="1">
        <v>5032</v>
      </c>
      <c r="B296" s="2" t="s">
        <v>142</v>
      </c>
      <c r="C296" s="289">
        <f>VLOOKUP(A296,K0kommunestruktur2020!$A$4:$P$359,11,FALSE)</f>
        <v>4093</v>
      </c>
      <c r="D296" s="289">
        <f>VLOOKUP(A296,'K19'!$A$4:$BX$425,24,FALSE)</f>
        <v>1250</v>
      </c>
      <c r="E296" s="289"/>
      <c r="F296" s="289">
        <f>VLOOKUP(A296,K0kommunestruktur2020!$A$4:$P$359,12,FALSE)</f>
        <v>97338</v>
      </c>
      <c r="G296" s="289">
        <f>VLOOKUP(A296,'K19'!$A$4:$BX$425,31,FALSE)</f>
        <v>0</v>
      </c>
      <c r="H296" s="289">
        <f>VLOOKUP(A296,'K19'!$A$4:$BX$425,32,FALSE)</f>
        <v>0</v>
      </c>
      <c r="I296" s="289">
        <f>VLOOKUP(A296,'K19'!$A$4:$BX$425,65,FALSE)</f>
        <v>0</v>
      </c>
      <c r="J296" s="289">
        <f>VLOOKUP(A296,K0kommunestruktur2020!$A$4:$P$359,14,FALSE)</f>
        <v>100209</v>
      </c>
      <c r="K296" s="517"/>
      <c r="L296">
        <v>0</v>
      </c>
      <c r="M296" s="5">
        <f t="shared" si="41"/>
        <v>0</v>
      </c>
    </row>
    <row r="297" spans="1:13" ht="13">
      <c r="A297" s="1">
        <v>5033</v>
      </c>
      <c r="B297" s="2" t="s">
        <v>143</v>
      </c>
      <c r="C297" s="289">
        <f>VLOOKUP(A297,K0kommunestruktur2020!$A$4:$P$359,11,FALSE)</f>
        <v>834</v>
      </c>
      <c r="D297" s="289">
        <f>VLOOKUP(A297,'K19'!$A$4:$BX$425,24,FALSE)</f>
        <v>0</v>
      </c>
      <c r="E297" s="289"/>
      <c r="F297" s="289">
        <f>VLOOKUP(A297,K0kommunestruktur2020!$A$4:$P$359,12,FALSE)</f>
        <v>34850</v>
      </c>
      <c r="G297" s="289">
        <f>VLOOKUP(A297,'K19'!$A$4:$BX$425,31,FALSE)</f>
        <v>0</v>
      </c>
      <c r="H297" s="289">
        <f>VLOOKUP(A297,'K19'!$A$4:$BX$425,32,FALSE)</f>
        <v>0</v>
      </c>
      <c r="I297" s="289">
        <f>VLOOKUP(A297,'K19'!$A$4:$BX$425,65,FALSE)</f>
        <v>0</v>
      </c>
      <c r="J297" s="289">
        <f>VLOOKUP(A297,K0kommunestruktur2020!$A$4:$P$359,14,FALSE)</f>
        <v>35054</v>
      </c>
      <c r="K297" s="517"/>
      <c r="L297">
        <v>0</v>
      </c>
      <c r="M297" s="5">
        <f t="shared" si="41"/>
        <v>0</v>
      </c>
    </row>
    <row r="298" spans="1:13" ht="13">
      <c r="A298" s="1">
        <v>5034</v>
      </c>
      <c r="B298" s="2" t="s">
        <v>146</v>
      </c>
      <c r="C298" s="289">
        <f>VLOOKUP(A298,K0kommunestruktur2020!$A$4:$P$359,11,FALSE)</f>
        <v>2469</v>
      </c>
      <c r="D298" s="289">
        <f>VLOOKUP(A298,'K19'!$A$4:$BX$425,24,FALSE)</f>
        <v>450</v>
      </c>
      <c r="E298" s="289"/>
      <c r="F298" s="289">
        <f>VLOOKUP(A298,K0kommunestruktur2020!$A$4:$P$359,12,FALSE)</f>
        <v>57823</v>
      </c>
      <c r="G298" s="289">
        <f>VLOOKUP(A298,'K19'!$A$4:$BX$425,31,FALSE)</f>
        <v>0</v>
      </c>
      <c r="H298" s="289">
        <f>VLOOKUP(A298,'K19'!$A$4:$BX$425,32,FALSE)</f>
        <v>0</v>
      </c>
      <c r="I298" s="289">
        <f>VLOOKUP(A298,'K19'!$A$4:$BX$425,65,FALSE)</f>
        <v>0</v>
      </c>
      <c r="J298" s="289">
        <f>VLOOKUP(A298,K0kommunestruktur2020!$A$4:$P$359,14,FALSE)</f>
        <v>57334</v>
      </c>
      <c r="K298" s="517"/>
      <c r="L298">
        <v>0</v>
      </c>
      <c r="M298" s="5">
        <f t="shared" si="41"/>
        <v>0</v>
      </c>
    </row>
    <row r="299" spans="1:13" ht="13">
      <c r="A299" s="1">
        <v>5035</v>
      </c>
      <c r="B299" s="2" t="s">
        <v>147</v>
      </c>
      <c r="C299" s="289">
        <f>VLOOKUP(A299,K0kommunestruktur2020!$A$4:$P$359,11,FALSE)</f>
        <v>23964</v>
      </c>
      <c r="D299" s="289">
        <f>VLOOKUP(A299,'K19'!$A$4:$BX$425,24,FALSE)</f>
        <v>500</v>
      </c>
      <c r="E299" s="289"/>
      <c r="F299" s="289">
        <f>VLOOKUP(A299,K0kommunestruktur2020!$A$4:$P$359,12,FALSE)</f>
        <v>597732</v>
      </c>
      <c r="G299" s="289">
        <f>VLOOKUP(A299,'K19'!$A$4:$BX$425,31,FALSE)</f>
        <v>582</v>
      </c>
      <c r="H299" s="289">
        <f>VLOOKUP(A299,'K19'!$A$4:$BX$425,32,FALSE)</f>
        <v>0</v>
      </c>
      <c r="I299" s="289">
        <f>VLOOKUP(A299,'K19'!$A$4:$BX$425,65,FALSE)</f>
        <v>0</v>
      </c>
      <c r="J299" s="289">
        <f>VLOOKUP(A299,K0kommunestruktur2020!$A$4:$P$359,14,FALSE)</f>
        <v>615174</v>
      </c>
      <c r="K299" s="517"/>
      <c r="L299">
        <v>0</v>
      </c>
      <c r="M299" s="5">
        <f t="shared" si="41"/>
        <v>0</v>
      </c>
    </row>
    <row r="300" spans="1:13" ht="13">
      <c r="A300" s="1">
        <v>5036</v>
      </c>
      <c r="B300" s="2" t="s">
        <v>148</v>
      </c>
      <c r="C300" s="289">
        <f>VLOOKUP(A300,K0kommunestruktur2020!$A$4:$P$359,11,FALSE)</f>
        <v>2616</v>
      </c>
      <c r="D300" s="289">
        <f>VLOOKUP(A300,'K19'!$A$4:$BX$425,24,FALSE)</f>
        <v>550</v>
      </c>
      <c r="E300" s="289"/>
      <c r="F300" s="289">
        <f>VLOOKUP(A300,K0kommunestruktur2020!$A$4:$P$359,12,FALSE)</f>
        <v>57821</v>
      </c>
      <c r="G300" s="289">
        <f>VLOOKUP(A300,'K19'!$A$4:$BX$425,31,FALSE)</f>
        <v>0</v>
      </c>
      <c r="H300" s="289">
        <f>VLOOKUP(A300,'K19'!$A$4:$BX$425,32,FALSE)</f>
        <v>0</v>
      </c>
      <c r="I300" s="289">
        <f>VLOOKUP(A300,'K19'!$A$4:$BX$425,65,FALSE)</f>
        <v>0</v>
      </c>
      <c r="J300" s="289">
        <f>VLOOKUP(A300,K0kommunestruktur2020!$A$4:$P$359,14,FALSE)</f>
        <v>57477</v>
      </c>
      <c r="K300" s="517"/>
      <c r="L300">
        <v>0</v>
      </c>
      <c r="M300" s="5">
        <f t="shared" si="41"/>
        <v>0</v>
      </c>
    </row>
    <row r="301" spans="1:13" ht="13">
      <c r="A301" s="1">
        <v>5037</v>
      </c>
      <c r="B301" s="2" t="s">
        <v>150</v>
      </c>
      <c r="C301" s="289">
        <f>VLOOKUP(A301,K0kommunestruktur2020!$A$4:$P$359,11,FALSE)</f>
        <v>20115</v>
      </c>
      <c r="D301" s="289">
        <f>VLOOKUP(A301,'K19'!$A$4:$BX$425,24,FALSE)</f>
        <v>650</v>
      </c>
      <c r="E301" s="289"/>
      <c r="F301" s="289">
        <f>VLOOKUP(A301,K0kommunestruktur2020!$A$4:$P$359,12,FALSE)</f>
        <v>490350</v>
      </c>
      <c r="G301" s="289">
        <f>VLOOKUP(A301,'K19'!$A$4:$BX$425,31,FALSE)</f>
        <v>0</v>
      </c>
      <c r="H301" s="289">
        <f>VLOOKUP(A301,'K19'!$A$4:$BX$425,32,FALSE)</f>
        <v>0</v>
      </c>
      <c r="I301" s="289">
        <f>VLOOKUP(A301,'K19'!$A$4:$BX$425,65,FALSE)</f>
        <v>0</v>
      </c>
      <c r="J301" s="289">
        <f>VLOOKUP(A301,K0kommunestruktur2020!$A$4:$P$359,14,FALSE)</f>
        <v>515645</v>
      </c>
      <c r="K301" s="517"/>
      <c r="L301">
        <v>0</v>
      </c>
      <c r="M301" s="5">
        <f t="shared" si="41"/>
        <v>0</v>
      </c>
    </row>
    <row r="302" spans="1:13" ht="13">
      <c r="A302" s="1">
        <v>5038</v>
      </c>
      <c r="B302" s="2" t="s">
        <v>151</v>
      </c>
      <c r="C302" s="289">
        <f>VLOOKUP(A302,K0kommunestruktur2020!$A$4:$P$359,11,FALSE)</f>
        <v>14943</v>
      </c>
      <c r="D302" s="289">
        <f>VLOOKUP(A302,'K19'!$A$4:$BX$425,24,FALSE)</f>
        <v>500</v>
      </c>
      <c r="E302" s="289"/>
      <c r="F302" s="289">
        <f>VLOOKUP(A302,K0kommunestruktur2020!$A$4:$P$359,12,FALSE)</f>
        <v>334369</v>
      </c>
      <c r="G302" s="289">
        <f>VLOOKUP(A302,'K19'!$A$4:$BX$425,31,FALSE)</f>
        <v>0</v>
      </c>
      <c r="H302" s="289">
        <f>VLOOKUP(A302,'K19'!$A$4:$BX$425,32,FALSE)</f>
        <v>0</v>
      </c>
      <c r="I302" s="289">
        <f>VLOOKUP(A302,'K19'!$A$4:$BX$425,65,FALSE)</f>
        <v>0</v>
      </c>
      <c r="J302" s="289">
        <f>VLOOKUP(A302,K0kommunestruktur2020!$A$4:$P$359,14,FALSE)</f>
        <v>344409</v>
      </c>
      <c r="K302" s="517"/>
      <c r="L302">
        <v>0</v>
      </c>
      <c r="M302" s="5">
        <f t="shared" si="41"/>
        <v>0</v>
      </c>
    </row>
    <row r="303" spans="1:13" ht="13">
      <c r="A303" s="1">
        <v>5041</v>
      </c>
      <c r="B303" s="2" t="s">
        <v>156</v>
      </c>
      <c r="C303" s="289">
        <f>VLOOKUP(A303,K0kommunestruktur2020!$A$4:$P$359,11,FALSE)</f>
        <v>2094</v>
      </c>
      <c r="D303" s="289">
        <f>VLOOKUP(A303,'K19'!$A$4:$BX$425,24,FALSE)</f>
        <v>100</v>
      </c>
      <c r="E303" s="289"/>
      <c r="F303" s="289">
        <f>VLOOKUP(A303,K0kommunestruktur2020!$A$4:$P$359,12,FALSE)</f>
        <v>43014</v>
      </c>
      <c r="G303" s="289">
        <f>VLOOKUP(A303,'K19'!$A$4:$BX$425,31,FALSE)</f>
        <v>0</v>
      </c>
      <c r="H303" s="289">
        <f>VLOOKUP(A303,'K19'!$A$4:$BX$425,32,FALSE)</f>
        <v>0</v>
      </c>
      <c r="I303" s="289">
        <f>VLOOKUP(A303,'K19'!$A$4:$BX$425,65,FALSE)</f>
        <v>0</v>
      </c>
      <c r="J303" s="289">
        <f>VLOOKUP(A303,K0kommunestruktur2020!$A$4:$P$359,14,FALSE)</f>
        <v>45037</v>
      </c>
      <c r="K303" s="517"/>
      <c r="L303">
        <v>0</v>
      </c>
      <c r="M303" s="5">
        <f t="shared" si="41"/>
        <v>0</v>
      </c>
    </row>
    <row r="304" spans="1:13" ht="13">
      <c r="A304" s="1">
        <v>5042</v>
      </c>
      <c r="B304" s="2" t="s">
        <v>157</v>
      </c>
      <c r="C304" s="289">
        <f>VLOOKUP(A304,K0kommunestruktur2020!$A$4:$P$359,11,FALSE)</f>
        <v>1379</v>
      </c>
      <c r="D304" s="289">
        <f>VLOOKUP(A304,'K19'!$A$4:$BX$425,24,FALSE)</f>
        <v>350</v>
      </c>
      <c r="E304" s="289"/>
      <c r="F304" s="289">
        <f>VLOOKUP(A304,K0kommunestruktur2020!$A$4:$P$359,12,FALSE)</f>
        <v>31031</v>
      </c>
      <c r="G304" s="289">
        <f>VLOOKUP(A304,'K19'!$A$4:$BX$425,31,FALSE)</f>
        <v>0</v>
      </c>
      <c r="H304" s="289">
        <f>VLOOKUP(A304,'K19'!$A$4:$BX$425,32,FALSE)</f>
        <v>0</v>
      </c>
      <c r="I304" s="289">
        <f>VLOOKUP(A304,'K19'!$A$4:$BX$425,65,FALSE)</f>
        <v>0</v>
      </c>
      <c r="J304" s="289">
        <f>VLOOKUP(A304,K0kommunestruktur2020!$A$4:$P$359,14,FALSE)</f>
        <v>33722</v>
      </c>
      <c r="K304" s="517"/>
      <c r="L304">
        <v>0</v>
      </c>
      <c r="M304" s="5">
        <f t="shared" si="41"/>
        <v>0</v>
      </c>
    </row>
    <row r="305" spans="1:13" ht="13">
      <c r="A305" s="1">
        <v>5043</v>
      </c>
      <c r="B305" s="2" t="s">
        <v>164</v>
      </c>
      <c r="C305" s="289">
        <f>VLOOKUP(A305,K0kommunestruktur2020!$A$4:$P$359,11,FALSE)</f>
        <v>474</v>
      </c>
      <c r="D305" s="289">
        <f>VLOOKUP(A305,'K19'!$A$4:$BX$425,24,FALSE)</f>
        <v>150</v>
      </c>
      <c r="E305" s="289"/>
      <c r="F305" s="289">
        <f>VLOOKUP(A305,K0kommunestruktur2020!$A$4:$P$359,12,FALSE)</f>
        <v>13341</v>
      </c>
      <c r="G305" s="289">
        <f>VLOOKUP(A305,'K19'!$A$4:$BX$425,31,FALSE)</f>
        <v>0</v>
      </c>
      <c r="H305" s="289">
        <f>VLOOKUP(A305,'K19'!$A$4:$BX$425,32,FALSE)</f>
        <v>0</v>
      </c>
      <c r="I305" s="289">
        <f>VLOOKUP(A305,'K19'!$A$4:$BX$425,65,FALSE)</f>
        <v>0</v>
      </c>
      <c r="J305" s="289">
        <f>VLOOKUP(A305,K0kommunestruktur2020!$A$4:$P$359,14,FALSE)</f>
        <v>11848</v>
      </c>
      <c r="K305" s="517"/>
      <c r="L305">
        <v>0</v>
      </c>
      <c r="M305" s="5">
        <f t="shared" si="41"/>
        <v>0</v>
      </c>
    </row>
    <row r="306" spans="1:13" ht="13">
      <c r="A306" s="1">
        <v>5044</v>
      </c>
      <c r="B306" s="2" t="s">
        <v>165</v>
      </c>
      <c r="C306" s="289">
        <f>VLOOKUP(A306,K0kommunestruktur2020!$A$4:$P$359,11,FALSE)</f>
        <v>902</v>
      </c>
      <c r="D306" s="289">
        <f>VLOOKUP(A306,'K19'!$A$4:$BX$425,24,FALSE)</f>
        <v>150</v>
      </c>
      <c r="E306" s="289"/>
      <c r="F306" s="289">
        <f>VLOOKUP(A306,K0kommunestruktur2020!$A$4:$P$359,12,FALSE)</f>
        <v>29002</v>
      </c>
      <c r="G306" s="289">
        <f>VLOOKUP(A306,'K19'!$A$4:$BX$425,31,FALSE)</f>
        <v>0</v>
      </c>
      <c r="H306" s="289">
        <f>VLOOKUP(A306,'K19'!$A$4:$BX$425,32,FALSE)</f>
        <v>0</v>
      </c>
      <c r="I306" s="289">
        <f>VLOOKUP(A306,'K19'!$A$4:$BX$425,65,FALSE)</f>
        <v>0</v>
      </c>
      <c r="J306" s="289">
        <f>VLOOKUP(A306,K0kommunestruktur2020!$A$4:$P$359,14,FALSE)</f>
        <v>29273</v>
      </c>
      <c r="K306" s="517"/>
      <c r="L306">
        <v>0</v>
      </c>
      <c r="M306" s="5">
        <f t="shared" si="41"/>
        <v>0</v>
      </c>
    </row>
    <row r="307" spans="1:13" ht="13">
      <c r="A307" s="1">
        <v>5045</v>
      </c>
      <c r="B307" s="2" t="s">
        <v>166</v>
      </c>
      <c r="C307" s="289">
        <f>VLOOKUP(A307,K0kommunestruktur2020!$A$4:$P$359,11,FALSE)</f>
        <v>2400</v>
      </c>
      <c r="D307" s="289">
        <f>VLOOKUP(A307,'K19'!$A$4:$BX$425,24,FALSE)</f>
        <v>1950</v>
      </c>
      <c r="E307" s="289"/>
      <c r="F307" s="289">
        <f>VLOOKUP(A307,K0kommunestruktur2020!$A$4:$P$359,12,FALSE)</f>
        <v>62432</v>
      </c>
      <c r="G307" s="289">
        <f>VLOOKUP(A307,'K19'!$A$4:$BX$425,31,FALSE)</f>
        <v>0</v>
      </c>
      <c r="H307" s="289">
        <f>VLOOKUP(A307,'K19'!$A$4:$BX$425,32,FALSE)</f>
        <v>0</v>
      </c>
      <c r="I307" s="289">
        <f>VLOOKUP(A307,'K19'!$A$4:$BX$425,65,FALSE)</f>
        <v>0</v>
      </c>
      <c r="J307" s="289">
        <f>VLOOKUP(A307,K0kommunestruktur2020!$A$4:$P$359,14,FALSE)</f>
        <v>64293</v>
      </c>
      <c r="K307" s="517"/>
      <c r="L307">
        <v>0</v>
      </c>
      <c r="M307" s="5">
        <f t="shared" si="41"/>
        <v>0</v>
      </c>
    </row>
    <row r="308" spans="1:13" ht="13">
      <c r="A308" s="1">
        <v>5046</v>
      </c>
      <c r="B308" s="2" t="s">
        <v>167</v>
      </c>
      <c r="C308" s="289">
        <f>VLOOKUP(A308,K0kommunestruktur2020!$A$4:$P$359,11,FALSE)</f>
        <v>1268</v>
      </c>
      <c r="D308" s="289">
        <f>VLOOKUP(A308,'K19'!$A$4:$BX$425,24,FALSE)</f>
        <v>150</v>
      </c>
      <c r="E308" s="289"/>
      <c r="F308" s="289">
        <f>VLOOKUP(A308,K0kommunestruktur2020!$A$4:$P$359,12,FALSE)</f>
        <v>26225</v>
      </c>
      <c r="G308" s="289">
        <f>VLOOKUP(A308,'K19'!$A$4:$BX$425,31,FALSE)</f>
        <v>0</v>
      </c>
      <c r="H308" s="289">
        <f>VLOOKUP(A308,'K19'!$A$4:$BX$425,32,FALSE)</f>
        <v>0</v>
      </c>
      <c r="I308" s="289">
        <f>VLOOKUP(A308,'K19'!$A$4:$BX$425,65,FALSE)</f>
        <v>0</v>
      </c>
      <c r="J308" s="289">
        <f>VLOOKUP(A308,K0kommunestruktur2020!$A$4:$P$359,14,FALSE)</f>
        <v>27502</v>
      </c>
      <c r="K308" s="517"/>
      <c r="L308">
        <v>0</v>
      </c>
      <c r="M308" s="5">
        <f t="shared" si="41"/>
        <v>0</v>
      </c>
    </row>
    <row r="309" spans="1:13" ht="13">
      <c r="A309" s="1">
        <v>5047</v>
      </c>
      <c r="B309" s="2" t="s">
        <v>168</v>
      </c>
      <c r="C309" s="289">
        <f>VLOOKUP(A309,K0kommunestruktur2020!$A$4:$P$359,11,FALSE)</f>
        <v>3845</v>
      </c>
      <c r="D309" s="289">
        <f>VLOOKUP(A309,'K19'!$A$4:$BX$425,24,FALSE)</f>
        <v>200</v>
      </c>
      <c r="E309" s="289"/>
      <c r="F309" s="289">
        <f>VLOOKUP(A309,K0kommunestruktur2020!$A$4:$P$359,12,FALSE)</f>
        <v>93345</v>
      </c>
      <c r="G309" s="289">
        <f>VLOOKUP(A309,'K19'!$A$4:$BX$425,31,FALSE)</f>
        <v>0</v>
      </c>
      <c r="H309" s="289">
        <f>VLOOKUP(A309,'K19'!$A$4:$BX$425,32,FALSE)</f>
        <v>0</v>
      </c>
      <c r="I309" s="289">
        <f>VLOOKUP(A309,'K19'!$A$4:$BX$425,65,FALSE)</f>
        <v>0</v>
      </c>
      <c r="J309" s="289">
        <f>VLOOKUP(A309,K0kommunestruktur2020!$A$4:$P$359,14,FALSE)</f>
        <v>93413</v>
      </c>
      <c r="K309" s="517"/>
      <c r="L309">
        <v>0</v>
      </c>
      <c r="M309" s="5">
        <f t="shared" si="41"/>
        <v>0</v>
      </c>
    </row>
    <row r="310" spans="1:13" ht="13">
      <c r="A310" s="1">
        <v>5049</v>
      </c>
      <c r="B310" s="2" t="s">
        <v>170</v>
      </c>
      <c r="C310" s="289">
        <f>VLOOKUP(A310,K0kommunestruktur2020!$A$4:$P$359,11,FALSE)</f>
        <v>1105</v>
      </c>
      <c r="D310" s="289">
        <f>VLOOKUP(A310,'K19'!$A$4:$BX$425,24,FALSE)</f>
        <v>150</v>
      </c>
      <c r="E310" s="289"/>
      <c r="F310" s="289">
        <f>VLOOKUP(A310,K0kommunestruktur2020!$A$4:$P$359,12,FALSE)</f>
        <v>29062</v>
      </c>
      <c r="G310" s="289">
        <f>VLOOKUP(A310,'K19'!$A$4:$BX$425,31,FALSE)</f>
        <v>0</v>
      </c>
      <c r="H310" s="289">
        <f>VLOOKUP(A310,'K19'!$A$4:$BX$425,32,FALSE)</f>
        <v>0</v>
      </c>
      <c r="I310" s="289">
        <f>VLOOKUP(A310,'K19'!$A$4:$BX$425,65,FALSE)</f>
        <v>0</v>
      </c>
      <c r="J310" s="289">
        <f>VLOOKUP(A310,K0kommunestruktur2020!$A$4:$P$359,14,FALSE)</f>
        <v>32722</v>
      </c>
      <c r="K310" s="517"/>
      <c r="L310">
        <v>0</v>
      </c>
      <c r="M310" s="5">
        <f t="shared" si="41"/>
        <v>0</v>
      </c>
    </row>
    <row r="311" spans="1:13" ht="13">
      <c r="A311" s="1">
        <v>5052</v>
      </c>
      <c r="B311" s="2" t="s">
        <v>173</v>
      </c>
      <c r="C311" s="289">
        <f>VLOOKUP(A311,K0kommunestruktur2020!$A$4:$P$359,11,FALSE)</f>
        <v>582</v>
      </c>
      <c r="D311" s="289">
        <f>VLOOKUP(A311,'K19'!$A$4:$BX$425,24,FALSE)</f>
        <v>550</v>
      </c>
      <c r="E311" s="289"/>
      <c r="F311" s="289">
        <f>VLOOKUP(A311,K0kommunestruktur2020!$A$4:$P$359,12,FALSE)</f>
        <v>13678</v>
      </c>
      <c r="G311" s="289">
        <f>VLOOKUP(A311,'K19'!$A$4:$BX$425,31,FALSE)</f>
        <v>0</v>
      </c>
      <c r="H311" s="289">
        <f>VLOOKUP(A311,'K19'!$A$4:$BX$425,32,FALSE)</f>
        <v>0</v>
      </c>
      <c r="I311" s="289">
        <f>VLOOKUP(A311,'K19'!$A$4:$BX$425,65,FALSE)</f>
        <v>0</v>
      </c>
      <c r="J311" s="289">
        <f>VLOOKUP(A311,K0kommunestruktur2020!$A$4:$P$359,14,FALSE)</f>
        <v>13553</v>
      </c>
      <c r="K311" s="517"/>
      <c r="L311">
        <v>0</v>
      </c>
      <c r="M311" s="5">
        <f t="shared" si="41"/>
        <v>0</v>
      </c>
    </row>
    <row r="312" spans="1:13" ht="13">
      <c r="A312" s="1">
        <v>5053</v>
      </c>
      <c r="B312" s="2" t="s">
        <v>155</v>
      </c>
      <c r="C312" s="289">
        <f>VLOOKUP(A312,K0kommunestruktur2020!$A$4:$P$359,11,FALSE)</f>
        <v>6785</v>
      </c>
      <c r="D312" s="289">
        <f>VLOOKUP(A312,'K19'!$A$4:$BX$425,24,FALSE)</f>
        <v>0</v>
      </c>
      <c r="E312" s="289"/>
      <c r="F312" s="289">
        <f>VLOOKUP(A312,K0kommunestruktur2020!$A$4:$P$359,12,FALSE)</f>
        <v>157899</v>
      </c>
      <c r="G312" s="289">
        <f>VLOOKUP(A312,'K19'!$A$4:$BX$425,31,FALSE)</f>
        <v>0</v>
      </c>
      <c r="H312" s="289">
        <f>VLOOKUP(A312,'K19'!$A$4:$BX$425,32,FALSE)</f>
        <v>19711.51251755</v>
      </c>
      <c r="I312" s="289">
        <f>VLOOKUP(A312,'K19'!$A$4:$BX$425,65,FALSE)</f>
        <v>0</v>
      </c>
      <c r="J312" s="289">
        <f>VLOOKUP(A312,K0kommunestruktur2020!$A$4:$P$359,14,FALSE)</f>
        <v>163239</v>
      </c>
      <c r="K312" s="517"/>
      <c r="L312">
        <v>19711.512500000001</v>
      </c>
      <c r="M312" s="959">
        <f t="shared" si="41"/>
        <v>1.7549999029142782E-5</v>
      </c>
    </row>
    <row r="313" spans="1:13" ht="13">
      <c r="A313" s="1">
        <v>5054</v>
      </c>
      <c r="B313" s="2" t="s">
        <v>1245</v>
      </c>
      <c r="C313" s="289">
        <f>VLOOKUP(A313,K0kommunestruktur2020!$A$4:$P$359,11,FALSE)</f>
        <v>10157.68422107</v>
      </c>
      <c r="D313" s="289">
        <f>VLOOKUP(A313,'K19'!$A$4:$BX$425,24,FALSE)</f>
        <v>1950</v>
      </c>
      <c r="E313" s="289"/>
      <c r="F313" s="289">
        <f>VLOOKUP(A313,K0kommunestruktur2020!$A$4:$P$359,12,FALSE)</f>
        <v>229522.38836614593</v>
      </c>
      <c r="G313" s="289">
        <f>VLOOKUP(A313,'K19'!$A$4:$BX$425,31,FALSE)</f>
        <v>0</v>
      </c>
      <c r="H313" s="289">
        <f>VLOOKUP(A313,'K19'!$A$4:$BX$425,32,FALSE)</f>
        <v>15586.1639154</v>
      </c>
      <c r="I313" s="289">
        <f>VLOOKUP(A313,'K19'!$A$4:$BX$425,65,FALSE)</f>
        <v>3821</v>
      </c>
      <c r="J313" s="289">
        <f>VLOOKUP(A313,K0kommunestruktur2020!$A$4:$P$359,14,FALSE)</f>
        <v>233446.53634361233</v>
      </c>
      <c r="K313" s="517"/>
      <c r="L313">
        <v>15586.1639</v>
      </c>
      <c r="M313" s="959">
        <f t="shared" si="41"/>
        <v>1.5400000847876072E-5</v>
      </c>
    </row>
    <row r="314" spans="1:13" ht="13">
      <c r="A314" s="878">
        <v>5055</v>
      </c>
      <c r="B314" s="883" t="s">
        <v>1642</v>
      </c>
      <c r="C314" s="919">
        <f>VLOOKUP(A314,K0kommunestruktur2020!$A$4:$P$359,11,FALSE)</f>
        <v>6001.5015015015015</v>
      </c>
      <c r="D314" s="919">
        <f>+D401</f>
        <v>280</v>
      </c>
      <c r="E314" s="919"/>
      <c r="F314" s="919">
        <f>VLOOKUP(A314,K0kommunestruktur2020!$A$4:$P$359,12,FALSE)</f>
        <v>153172.37637637637</v>
      </c>
      <c r="G314" s="919">
        <f t="shared" ref="G314:H319" si="47">+G401</f>
        <v>0</v>
      </c>
      <c r="H314" s="919">
        <f t="shared" si="47"/>
        <v>0</v>
      </c>
      <c r="I314" s="919">
        <f t="shared" ref="I314" si="48">+I401</f>
        <v>0</v>
      </c>
      <c r="J314" s="919">
        <f>VLOOKUP(A314,K0kommunestruktur2020!$A$4:$P$359,14,FALSE)</f>
        <v>163996.97697697696</v>
      </c>
      <c r="K314" s="517"/>
      <c r="L314">
        <v>0</v>
      </c>
      <c r="M314" s="5">
        <f t="shared" si="41"/>
        <v>0</v>
      </c>
    </row>
    <row r="315" spans="1:13" ht="13">
      <c r="A315" s="878">
        <v>5056</v>
      </c>
      <c r="B315" s="883" t="s">
        <v>1643</v>
      </c>
      <c r="C315" s="919">
        <f>VLOOKUP(A315,K0kommunestruktur2020!$A$4:$P$359,11,FALSE)</f>
        <v>4968.1081081081084</v>
      </c>
      <c r="D315" s="919">
        <f t="shared" ref="D315" si="49">+D402</f>
        <v>200</v>
      </c>
      <c r="E315" s="919"/>
      <c r="F315" s="919">
        <f>VLOOKUP(A315,K0kommunestruktur2020!$A$4:$P$359,12,FALSE)</f>
        <v>123056.43243243243</v>
      </c>
      <c r="G315" s="919">
        <f t="shared" si="47"/>
        <v>0</v>
      </c>
      <c r="H315" s="919">
        <f t="shared" si="47"/>
        <v>0</v>
      </c>
      <c r="I315" s="919">
        <f t="shared" ref="I315" si="50">+I402</f>
        <v>0</v>
      </c>
      <c r="J315" s="919">
        <f>VLOOKUP(A315,K0kommunestruktur2020!$A$4:$P$359,14,FALSE)</f>
        <v>131903.67567567568</v>
      </c>
      <c r="K315" s="517"/>
      <c r="L315">
        <v>0</v>
      </c>
      <c r="M315" s="5">
        <f t="shared" si="41"/>
        <v>0</v>
      </c>
    </row>
    <row r="316" spans="1:13" ht="13">
      <c r="A316" s="878">
        <v>5057</v>
      </c>
      <c r="B316" s="883" t="s">
        <v>1644</v>
      </c>
      <c r="C316" s="919">
        <f>VLOOKUP(A316,K0kommunestruktur2020!$A$4:$P$359,11,FALSE)</f>
        <v>10215</v>
      </c>
      <c r="D316" s="919">
        <f t="shared" ref="D316" si="51">+D403</f>
        <v>2500</v>
      </c>
      <c r="E316" s="919"/>
      <c r="F316" s="919">
        <f>VLOOKUP(A316,K0kommunestruktur2020!$A$4:$P$359,12,FALSE)</f>
        <v>252402</v>
      </c>
      <c r="G316" s="919">
        <f t="shared" si="47"/>
        <v>0</v>
      </c>
      <c r="H316" s="919">
        <f t="shared" si="47"/>
        <v>0</v>
      </c>
      <c r="I316" s="919">
        <f t="shared" ref="I316" si="52">+I403</f>
        <v>3829</v>
      </c>
      <c r="J316" s="919">
        <f>VLOOKUP(A316,K0kommunestruktur2020!$A$4:$P$359,14,FALSE)</f>
        <v>261440</v>
      </c>
      <c r="K316" s="517"/>
      <c r="L316">
        <v>0</v>
      </c>
      <c r="M316" s="5">
        <f t="shared" si="41"/>
        <v>0</v>
      </c>
    </row>
    <row r="317" spans="1:13" ht="13">
      <c r="A317" s="878">
        <v>5058</v>
      </c>
      <c r="B317" s="883" t="s">
        <v>1645</v>
      </c>
      <c r="C317" s="919">
        <f>VLOOKUP(A317,K0kommunestruktur2020!$A$4:$P$359,11,FALSE)</f>
        <v>4230</v>
      </c>
      <c r="D317" s="919">
        <f t="shared" ref="D317" si="53">+D404</f>
        <v>150</v>
      </c>
      <c r="E317" s="919"/>
      <c r="F317" s="919">
        <f>VLOOKUP(A317,K0kommunestruktur2020!$A$4:$P$359,12,FALSE)</f>
        <v>105726</v>
      </c>
      <c r="G317" s="919">
        <f t="shared" si="47"/>
        <v>0</v>
      </c>
      <c r="H317" s="919">
        <f t="shared" si="47"/>
        <v>0</v>
      </c>
      <c r="I317" s="919">
        <f t="shared" ref="I317" si="54">+I404</f>
        <v>0</v>
      </c>
      <c r="J317" s="919">
        <f>VLOOKUP(A317,K0kommunestruktur2020!$A$4:$P$359,14,FALSE)</f>
        <v>112012</v>
      </c>
      <c r="K317" s="517"/>
      <c r="L317">
        <v>0</v>
      </c>
      <c r="M317" s="5">
        <f t="shared" si="41"/>
        <v>0</v>
      </c>
    </row>
    <row r="318" spans="1:13" ht="13">
      <c r="A318" s="878">
        <v>5059</v>
      </c>
      <c r="B318" s="883" t="s">
        <v>1646</v>
      </c>
      <c r="C318" s="919">
        <f>VLOOKUP(A318,K0kommunestruktur2020!$A$4:$P$359,11,FALSE)</f>
        <v>18008.390390390392</v>
      </c>
      <c r="D318" s="919">
        <f t="shared" ref="D318" si="55">+D405</f>
        <v>2050</v>
      </c>
      <c r="E318" s="919"/>
      <c r="F318" s="919">
        <f>VLOOKUP(A318,K0kommunestruktur2020!$A$4:$P$359,12,FALSE)</f>
        <v>426122.1911911912</v>
      </c>
      <c r="G318" s="919">
        <f t="shared" si="47"/>
        <v>0</v>
      </c>
      <c r="H318" s="919">
        <f t="shared" si="47"/>
        <v>0</v>
      </c>
      <c r="I318" s="919">
        <f t="shared" ref="I318" si="56">+I405</f>
        <v>4341</v>
      </c>
      <c r="J318" s="919">
        <f>VLOOKUP(A318,K0kommunestruktur2020!$A$4:$P$359,14,FALSE)</f>
        <v>456741.34734734736</v>
      </c>
      <c r="K318" s="517"/>
      <c r="L318">
        <v>0</v>
      </c>
      <c r="M318" s="5">
        <f t="shared" si="41"/>
        <v>0</v>
      </c>
    </row>
    <row r="319" spans="1:13" ht="13">
      <c r="A319" s="878">
        <v>5060</v>
      </c>
      <c r="B319" s="883" t="s">
        <v>1647</v>
      </c>
      <c r="C319" s="919">
        <f>VLOOKUP(A319,K0kommunestruktur2020!$A$4:$P$359,11,FALSE)</f>
        <v>9558.2166839399997</v>
      </c>
      <c r="D319" s="919">
        <f t="shared" ref="D319" si="57">+D406</f>
        <v>300</v>
      </c>
      <c r="E319" s="919"/>
      <c r="F319" s="919">
        <f>VLOOKUP(A319,K0kommunestruktur2020!$A$4:$P$359,12,FALSE)</f>
        <v>251414.22279798469</v>
      </c>
      <c r="G319" s="919">
        <f t="shared" si="47"/>
        <v>0</v>
      </c>
      <c r="H319" s="919">
        <f t="shared" si="47"/>
        <v>0</v>
      </c>
      <c r="I319" s="919">
        <f t="shared" ref="I319" si="58">+I406</f>
        <v>3790</v>
      </c>
      <c r="J319" s="919">
        <f>VLOOKUP(A319,K0kommunestruktur2020!$A$4:$P$359,14,FALSE)</f>
        <v>273864.94093264249</v>
      </c>
      <c r="K319" s="517"/>
      <c r="L319">
        <v>0</v>
      </c>
      <c r="M319" s="5">
        <f t="shared" si="41"/>
        <v>0</v>
      </c>
    </row>
    <row r="320" spans="1:13" ht="13">
      <c r="A320" s="1">
        <v>5061</v>
      </c>
      <c r="B320" s="2" t="s">
        <v>114</v>
      </c>
      <c r="C320" s="289">
        <f>VLOOKUP(A320,K0kommunestruktur2020!$A$4:$P$359,11,FALSE)</f>
        <v>2039</v>
      </c>
      <c r="D320" s="289">
        <f>VLOOKUP(A320,'K19'!$A$4:$BX$425,24,FALSE)</f>
        <v>0</v>
      </c>
      <c r="E320" s="289"/>
      <c r="F320" s="289">
        <f>VLOOKUP(A320,K0kommunestruktur2020!$A$4:$P$359,12,FALSE)</f>
        <v>50708</v>
      </c>
      <c r="G320" s="289">
        <f>VLOOKUP(A320,'K19'!$A$4:$BX$425,31,FALSE)</f>
        <v>0</v>
      </c>
      <c r="H320" s="289">
        <f>VLOOKUP(A320,'K19'!$A$4:$BX$425,32,FALSE)</f>
        <v>0</v>
      </c>
      <c r="I320" s="289">
        <f>VLOOKUP(A320,'K19'!$A$4:$BX$425,65,FALSE)</f>
        <v>0</v>
      </c>
      <c r="J320" s="289">
        <f>VLOOKUP(A320,K0kommunestruktur2020!$A$4:$P$359,14,FALSE)</f>
        <v>50159</v>
      </c>
      <c r="K320" s="517"/>
      <c r="L320">
        <v>0</v>
      </c>
      <c r="M320" s="5">
        <f t="shared" si="41"/>
        <v>0</v>
      </c>
    </row>
    <row r="321" spans="1:13" ht="13">
      <c r="A321" s="1">
        <v>5401</v>
      </c>
      <c r="B321" s="2" t="s">
        <v>217</v>
      </c>
      <c r="C321" s="289">
        <f>VLOOKUP(A321,K0kommunestruktur2020!$A$4:$P$359,11,FALSE)</f>
        <v>75638</v>
      </c>
      <c r="D321" s="289">
        <f>VLOOKUP(A321,'K19'!$A$4:$BX$425,24,FALSE)</f>
        <v>32207</v>
      </c>
      <c r="E321" s="289"/>
      <c r="F321" s="289">
        <f>VLOOKUP(A321,K0kommunestruktur2020!$A$4:$P$359,12,FALSE)</f>
        <v>2296830</v>
      </c>
      <c r="G321" s="289">
        <f>VLOOKUP(A321,'K19'!$A$4:$BX$425,31,FALSE)</f>
        <v>0</v>
      </c>
      <c r="H321" s="289">
        <f>VLOOKUP(A321,'K19'!$A$4:$BX$425,32,FALSE)</f>
        <v>0</v>
      </c>
      <c r="I321" s="289">
        <f>VLOOKUP(A321,'K19'!$A$4:$BX$425,65,FALSE)</f>
        <v>0</v>
      </c>
      <c r="J321" s="289">
        <f>VLOOKUP(A321,K0kommunestruktur2020!$A$4:$P$359,14,FALSE)</f>
        <v>2383917</v>
      </c>
      <c r="K321" s="517"/>
      <c r="L321">
        <v>0</v>
      </c>
      <c r="M321" s="5">
        <f t="shared" si="41"/>
        <v>0</v>
      </c>
    </row>
    <row r="322" spans="1:13" ht="13">
      <c r="A322" s="1">
        <v>5402</v>
      </c>
      <c r="B322" s="2" t="s">
        <v>216</v>
      </c>
      <c r="C322" s="289">
        <f>VLOOKUP(A322,K0kommunestruktur2020!$A$4:$P$359,11,FALSE)</f>
        <v>24820</v>
      </c>
      <c r="D322" s="289">
        <f>VLOOKUP(A322,'K19'!$A$4:$BX$425,24,FALSE)</f>
        <v>1597</v>
      </c>
      <c r="E322" s="289"/>
      <c r="F322" s="289">
        <f>VLOOKUP(A322,K0kommunestruktur2020!$A$4:$P$359,12,FALSE)</f>
        <v>674405</v>
      </c>
      <c r="G322" s="289">
        <f>VLOOKUP(A322,'K19'!$A$4:$BX$425,31,FALSE)</f>
        <v>0</v>
      </c>
      <c r="H322" s="289">
        <f>VLOOKUP(A322,'K19'!$A$4:$BX$425,32,FALSE)</f>
        <v>20135.19058871</v>
      </c>
      <c r="I322" s="289">
        <f>VLOOKUP(A322,'K19'!$A$4:$BX$425,65,FALSE)</f>
        <v>0</v>
      </c>
      <c r="J322" s="289">
        <f>VLOOKUP(A322,K0kommunestruktur2020!$A$4:$P$359,14,FALSE)</f>
        <v>691142</v>
      </c>
      <c r="K322" s="517"/>
      <c r="L322">
        <v>20135.190600000002</v>
      </c>
      <c r="M322" s="959">
        <f t="shared" si="41"/>
        <v>-1.1290001566521823E-5</v>
      </c>
    </row>
    <row r="323" spans="1:13" ht="13">
      <c r="A323" s="1">
        <v>5403</v>
      </c>
      <c r="B323" s="2" t="s">
        <v>245</v>
      </c>
      <c r="C323" s="289">
        <f>VLOOKUP(A323,K0kommunestruktur2020!$A$4:$P$359,11,FALSE)</f>
        <v>20635</v>
      </c>
      <c r="D323" s="289">
        <f>VLOOKUP(A323,'K19'!$A$4:$BX$425,24,FALSE)</f>
        <v>440</v>
      </c>
      <c r="E323" s="289"/>
      <c r="F323" s="289">
        <f>VLOOKUP(A323,K0kommunestruktur2020!$A$4:$P$359,12,FALSE)</f>
        <v>542406</v>
      </c>
      <c r="G323" s="289">
        <f>VLOOKUP(A323,'K19'!$A$4:$BX$425,31,FALSE)</f>
        <v>0</v>
      </c>
      <c r="H323" s="289">
        <f>VLOOKUP(A323,'K19'!$A$4:$BX$425,32,FALSE)</f>
        <v>0</v>
      </c>
      <c r="I323" s="289">
        <f>VLOOKUP(A323,'K19'!$A$4:$BX$425,65,FALSE)</f>
        <v>0</v>
      </c>
      <c r="J323" s="289">
        <f>VLOOKUP(A323,K0kommunestruktur2020!$A$4:$P$359,14,FALSE)</f>
        <v>568373</v>
      </c>
      <c r="K323" s="517"/>
      <c r="L323">
        <v>0</v>
      </c>
      <c r="M323" s="5">
        <f t="shared" si="41"/>
        <v>0</v>
      </c>
    </row>
    <row r="324" spans="1:13" ht="13">
      <c r="A324" s="1">
        <v>5404</v>
      </c>
      <c r="B324" s="2" t="s">
        <v>241</v>
      </c>
      <c r="C324" s="289">
        <f>VLOOKUP(A324,K0kommunestruktur2020!$A$4:$P$359,11,FALSE)</f>
        <v>2110</v>
      </c>
      <c r="D324" s="289">
        <f>VLOOKUP(A324,'K19'!$A$4:$BX$425,24,FALSE)</f>
        <v>1580</v>
      </c>
      <c r="E324" s="289"/>
      <c r="F324" s="289">
        <f>VLOOKUP(A324,K0kommunestruktur2020!$A$4:$P$359,12,FALSE)</f>
        <v>46676</v>
      </c>
      <c r="G324" s="289">
        <f>VLOOKUP(A324,'K19'!$A$4:$BX$425,31,FALSE)</f>
        <v>0</v>
      </c>
      <c r="H324" s="289">
        <f>VLOOKUP(A324,'K19'!$A$4:$BX$425,32,FALSE)</f>
        <v>0</v>
      </c>
      <c r="I324" s="289">
        <f>VLOOKUP(A324,'K19'!$A$4:$BX$425,65,FALSE)</f>
        <v>0</v>
      </c>
      <c r="J324" s="289">
        <f>VLOOKUP(A324,K0kommunestruktur2020!$A$4:$P$359,14,FALSE)</f>
        <v>47631</v>
      </c>
      <c r="K324" s="517"/>
      <c r="L324">
        <v>0</v>
      </c>
      <c r="M324" s="5">
        <f t="shared" si="41"/>
        <v>0</v>
      </c>
    </row>
    <row r="325" spans="1:13" ht="13">
      <c r="A325" s="1">
        <v>5405</v>
      </c>
      <c r="B325" s="2" t="s">
        <v>242</v>
      </c>
      <c r="C325" s="289">
        <f>VLOOKUP(A325,K0kommunestruktur2020!$A$4:$P$359,11,FALSE)</f>
        <v>6033</v>
      </c>
      <c r="D325" s="289">
        <f>VLOOKUP(A325,'K19'!$A$4:$BX$425,24,FALSE)</f>
        <v>560</v>
      </c>
      <c r="E325" s="289"/>
      <c r="F325" s="289">
        <f>VLOOKUP(A325,K0kommunestruktur2020!$A$4:$P$359,12,FALSE)</f>
        <v>152909</v>
      </c>
      <c r="G325" s="289">
        <f>VLOOKUP(A325,'K19'!$A$4:$BX$425,31,FALSE)</f>
        <v>0</v>
      </c>
      <c r="H325" s="289">
        <f>VLOOKUP(A325,'K19'!$A$4:$BX$425,32,FALSE)</f>
        <v>0</v>
      </c>
      <c r="I325" s="289">
        <f>VLOOKUP(A325,'K19'!$A$4:$BX$425,65,FALSE)</f>
        <v>0</v>
      </c>
      <c r="J325" s="289">
        <f>VLOOKUP(A325,K0kommunestruktur2020!$A$4:$P$359,14,FALSE)</f>
        <v>153202</v>
      </c>
      <c r="K325" s="517"/>
      <c r="L325">
        <v>0</v>
      </c>
      <c r="M325" s="5">
        <f t="shared" ref="M325:M359" si="59">+H325-L325</f>
        <v>0</v>
      </c>
    </row>
    <row r="326" spans="1:13" ht="13">
      <c r="A326" s="878">
        <v>5406</v>
      </c>
      <c r="B326" s="883" t="s">
        <v>1648</v>
      </c>
      <c r="C326" s="919">
        <f>VLOOKUP(A326,K0kommunestruktur2020!$A$4:$P$359,11,FALSE)</f>
        <v>11560</v>
      </c>
      <c r="D326" s="919">
        <f>+D407</f>
        <v>1510</v>
      </c>
      <c r="E326" s="919"/>
      <c r="F326" s="919">
        <f>VLOOKUP(A326,K0kommunestruktur2020!$A$4:$P$359,12,FALSE)</f>
        <v>327526</v>
      </c>
      <c r="G326" s="919">
        <f t="shared" ref="G326:I326" si="60">+G407</f>
        <v>0</v>
      </c>
      <c r="H326" s="919">
        <f t="shared" si="60"/>
        <v>0</v>
      </c>
      <c r="I326" s="919">
        <f t="shared" si="60"/>
        <v>3918</v>
      </c>
      <c r="J326" s="919">
        <f>VLOOKUP(A326,K0kommunestruktur2020!$A$4:$P$359,14,FALSE)</f>
        <v>340580</v>
      </c>
      <c r="K326" s="517"/>
      <c r="L326">
        <v>0</v>
      </c>
      <c r="M326" s="5">
        <f t="shared" si="59"/>
        <v>0</v>
      </c>
    </row>
    <row r="327" spans="1:13" ht="13">
      <c r="A327" s="1">
        <v>5411</v>
      </c>
      <c r="B327" s="2" t="s">
        <v>218</v>
      </c>
      <c r="C327" s="289">
        <f>VLOOKUP(A327,K0kommunestruktur2020!$A$4:$P$359,11,FALSE)</f>
        <v>2928</v>
      </c>
      <c r="D327" s="289">
        <f>VLOOKUP(A327,'K19'!$A$4:$BX$425,24,FALSE)</f>
        <v>1637</v>
      </c>
      <c r="E327" s="289"/>
      <c r="F327" s="289">
        <f>VLOOKUP(A327,K0kommunestruktur2020!$A$4:$P$359,12,FALSE)</f>
        <v>68090</v>
      </c>
      <c r="G327" s="289">
        <f>VLOOKUP(A327,'K19'!$A$4:$BX$425,31,FALSE)</f>
        <v>0</v>
      </c>
      <c r="H327" s="289">
        <f>VLOOKUP(A327,'K19'!$A$4:$BX$425,32,FALSE)</f>
        <v>0</v>
      </c>
      <c r="I327" s="289">
        <f>VLOOKUP(A327,'K19'!$A$4:$BX$425,65,FALSE)</f>
        <v>0</v>
      </c>
      <c r="J327" s="289">
        <f>VLOOKUP(A327,K0kommunestruktur2020!$A$4:$P$359,14,FALSE)</f>
        <v>63611</v>
      </c>
      <c r="K327" s="517"/>
      <c r="L327">
        <v>0</v>
      </c>
      <c r="M327" s="5">
        <f t="shared" si="59"/>
        <v>0</v>
      </c>
    </row>
    <row r="328" spans="1:13" ht="13">
      <c r="A328" s="878">
        <v>5412</v>
      </c>
      <c r="B328" s="883" t="s">
        <v>1649</v>
      </c>
      <c r="C328" s="919">
        <f>VLOOKUP(A328,K0kommunestruktur2020!$A$4:$P$359,11,FALSE)</f>
        <v>4253</v>
      </c>
      <c r="D328" s="919">
        <f>+D408</f>
        <v>1600</v>
      </c>
      <c r="E328" s="919"/>
      <c r="F328" s="919">
        <f>VLOOKUP(A328,K0kommunestruktur2020!$A$4:$P$359,12,FALSE)</f>
        <v>96820</v>
      </c>
      <c r="G328" s="919">
        <f t="shared" ref="G328:I328" si="61">+G408</f>
        <v>0</v>
      </c>
      <c r="H328" s="919">
        <f t="shared" si="61"/>
        <v>0</v>
      </c>
      <c r="I328" s="919">
        <f t="shared" si="61"/>
        <v>0</v>
      </c>
      <c r="J328" s="919">
        <f>VLOOKUP(A328,K0kommunestruktur2020!$A$4:$P$359,14,FALSE)</f>
        <v>100932</v>
      </c>
      <c r="K328" s="517"/>
      <c r="L328">
        <v>0</v>
      </c>
      <c r="M328" s="5">
        <f t="shared" si="59"/>
        <v>0</v>
      </c>
    </row>
    <row r="329" spans="1:13" ht="13">
      <c r="A329" s="1">
        <v>5413</v>
      </c>
      <c r="B329" s="2" t="s">
        <v>221</v>
      </c>
      <c r="C329" s="289">
        <f>VLOOKUP(A329,K0kommunestruktur2020!$A$4:$P$359,11,FALSE)</f>
        <v>1380</v>
      </c>
      <c r="D329" s="289">
        <f>VLOOKUP(A329,'K19'!$A$4:$BX$425,24,FALSE)</f>
        <v>1467</v>
      </c>
      <c r="E329" s="289"/>
      <c r="F329" s="289">
        <f>VLOOKUP(A329,K0kommunestruktur2020!$A$4:$P$359,12,FALSE)</f>
        <v>38050</v>
      </c>
      <c r="G329" s="289">
        <f>VLOOKUP(A329,'K19'!$A$4:$BX$425,31,FALSE)</f>
        <v>0</v>
      </c>
      <c r="H329" s="289">
        <f>VLOOKUP(A329,'K19'!$A$4:$BX$425,32,FALSE)</f>
        <v>0</v>
      </c>
      <c r="I329" s="289">
        <f>VLOOKUP(A329,'K19'!$A$4:$BX$425,65,FALSE)</f>
        <v>0</v>
      </c>
      <c r="J329" s="289">
        <f>VLOOKUP(A329,K0kommunestruktur2020!$A$4:$P$359,14,FALSE)</f>
        <v>36128</v>
      </c>
      <c r="K329" s="517"/>
      <c r="L329">
        <v>0</v>
      </c>
      <c r="M329" s="5">
        <f t="shared" si="59"/>
        <v>0</v>
      </c>
    </row>
    <row r="330" spans="1:13" ht="13">
      <c r="A330" s="1">
        <v>5414</v>
      </c>
      <c r="B330" s="2" t="s">
        <v>222</v>
      </c>
      <c r="C330" s="289">
        <f>VLOOKUP(A330,K0kommunestruktur2020!$A$4:$P$359,11,FALSE)</f>
        <v>1117</v>
      </c>
      <c r="D330" s="289">
        <f>VLOOKUP(A330,'K19'!$A$4:$BX$425,24,FALSE)</f>
        <v>1946</v>
      </c>
      <c r="E330" s="289"/>
      <c r="F330" s="289">
        <f>VLOOKUP(A330,K0kommunestruktur2020!$A$4:$P$359,12,FALSE)</f>
        <v>26493</v>
      </c>
      <c r="G330" s="289">
        <f>VLOOKUP(A330,'K19'!$A$4:$BX$425,31,FALSE)</f>
        <v>0</v>
      </c>
      <c r="H330" s="289">
        <f>VLOOKUP(A330,'K19'!$A$4:$BX$425,32,FALSE)</f>
        <v>0</v>
      </c>
      <c r="I330" s="289">
        <f>VLOOKUP(A330,'K19'!$A$4:$BX$425,65,FALSE)</f>
        <v>0</v>
      </c>
      <c r="J330" s="289">
        <f>VLOOKUP(A330,K0kommunestruktur2020!$A$4:$P$359,14,FALSE)</f>
        <v>28318</v>
      </c>
      <c r="K330" s="517"/>
      <c r="L330">
        <v>0</v>
      </c>
      <c r="M330" s="5">
        <f t="shared" si="59"/>
        <v>0</v>
      </c>
    </row>
    <row r="331" spans="1:13" ht="13">
      <c r="A331" s="1">
        <v>5415</v>
      </c>
      <c r="B331" s="2" t="s">
        <v>223</v>
      </c>
      <c r="C331" s="289">
        <f>VLOOKUP(A331,K0kommunestruktur2020!$A$4:$P$359,11,FALSE)</f>
        <v>1061</v>
      </c>
      <c r="D331" s="289">
        <f>VLOOKUP(A331,'K19'!$A$4:$BX$425,24,FALSE)</f>
        <v>1571</v>
      </c>
      <c r="E331" s="289"/>
      <c r="F331" s="289">
        <f>VLOOKUP(A331,K0kommunestruktur2020!$A$4:$P$359,12,FALSE)</f>
        <v>21842</v>
      </c>
      <c r="G331" s="289">
        <f>VLOOKUP(A331,'K19'!$A$4:$BX$425,31,FALSE)</f>
        <v>201</v>
      </c>
      <c r="H331" s="289">
        <f>VLOOKUP(A331,'K19'!$A$4:$BX$425,32,FALSE)</f>
        <v>0</v>
      </c>
      <c r="I331" s="289">
        <f>VLOOKUP(A331,'K19'!$A$4:$BX$425,65,FALSE)</f>
        <v>0</v>
      </c>
      <c r="J331" s="289">
        <f>VLOOKUP(A331,K0kommunestruktur2020!$A$4:$P$359,14,FALSE)</f>
        <v>22320</v>
      </c>
      <c r="K331" s="517"/>
      <c r="L331">
        <v>0</v>
      </c>
      <c r="M331" s="5">
        <f t="shared" si="59"/>
        <v>0</v>
      </c>
    </row>
    <row r="332" spans="1:13" ht="13">
      <c r="A332" s="1">
        <v>5416</v>
      </c>
      <c r="B332" s="2" t="s">
        <v>224</v>
      </c>
      <c r="C332" s="289">
        <f>VLOOKUP(A332,K0kommunestruktur2020!$A$4:$P$359,11,FALSE)</f>
        <v>3979</v>
      </c>
      <c r="D332" s="289">
        <f>VLOOKUP(A332,'K19'!$A$4:$BX$425,24,FALSE)</f>
        <v>1552</v>
      </c>
      <c r="E332" s="289"/>
      <c r="F332" s="289">
        <f>VLOOKUP(A332,K0kommunestruktur2020!$A$4:$P$359,12,FALSE)</f>
        <v>120113</v>
      </c>
      <c r="G332" s="289">
        <f>VLOOKUP(A332,'K19'!$A$4:$BX$425,31,FALSE)</f>
        <v>0</v>
      </c>
      <c r="H332" s="289">
        <f>VLOOKUP(A332,'K19'!$A$4:$BX$425,32,FALSE)</f>
        <v>0</v>
      </c>
      <c r="I332" s="289">
        <f>VLOOKUP(A332,'K19'!$A$4:$BX$425,65,FALSE)</f>
        <v>0</v>
      </c>
      <c r="J332" s="289">
        <f>VLOOKUP(A332,K0kommunestruktur2020!$A$4:$P$359,14,FALSE)</f>
        <v>127207</v>
      </c>
      <c r="K332" s="517"/>
      <c r="L332">
        <v>0</v>
      </c>
      <c r="M332" s="5">
        <f t="shared" si="59"/>
        <v>0</v>
      </c>
    </row>
    <row r="333" spans="1:13" ht="13">
      <c r="A333" s="1">
        <v>5417</v>
      </c>
      <c r="B333" s="2" t="s">
        <v>225</v>
      </c>
      <c r="C333" s="289">
        <f>VLOOKUP(A333,K0kommunestruktur2020!$A$4:$P$359,11,FALSE)</f>
        <v>2226</v>
      </c>
      <c r="D333" s="289">
        <f>VLOOKUP(A333,'K19'!$A$4:$BX$425,24,FALSE)</f>
        <v>1755</v>
      </c>
      <c r="E333" s="289"/>
      <c r="F333" s="289">
        <f>VLOOKUP(A333,K0kommunestruktur2020!$A$4:$P$359,12,FALSE)</f>
        <v>52604</v>
      </c>
      <c r="G333" s="289">
        <f>VLOOKUP(A333,'K19'!$A$4:$BX$425,31,FALSE)</f>
        <v>0</v>
      </c>
      <c r="H333" s="289">
        <f>VLOOKUP(A333,'K19'!$A$4:$BX$425,32,FALSE)</f>
        <v>0</v>
      </c>
      <c r="I333" s="289">
        <f>VLOOKUP(A333,'K19'!$A$4:$BX$425,65,FALSE)</f>
        <v>0</v>
      </c>
      <c r="J333" s="289">
        <f>VLOOKUP(A333,K0kommunestruktur2020!$A$4:$P$359,14,FALSE)</f>
        <v>56979</v>
      </c>
      <c r="K333" s="517"/>
      <c r="L333">
        <v>0</v>
      </c>
      <c r="M333" s="5">
        <f t="shared" si="59"/>
        <v>0</v>
      </c>
    </row>
    <row r="334" spans="1:13" ht="13">
      <c r="A334" s="1">
        <v>5418</v>
      </c>
      <c r="B334" s="2" t="s">
        <v>226</v>
      </c>
      <c r="C334" s="289">
        <f>VLOOKUP(A334,K0kommunestruktur2020!$A$4:$P$359,11,FALSE)</f>
        <v>6798</v>
      </c>
      <c r="D334" s="289">
        <f>VLOOKUP(A334,'K19'!$A$4:$BX$425,24,FALSE)</f>
        <v>1557</v>
      </c>
      <c r="E334" s="289"/>
      <c r="F334" s="289">
        <f>VLOOKUP(A334,K0kommunestruktur2020!$A$4:$P$359,12,FALSE)</f>
        <v>184693</v>
      </c>
      <c r="G334" s="289">
        <f>VLOOKUP(A334,'K19'!$A$4:$BX$425,31,FALSE)</f>
        <v>0</v>
      </c>
      <c r="H334" s="289">
        <f>VLOOKUP(A334,'K19'!$A$4:$BX$425,32,FALSE)</f>
        <v>0</v>
      </c>
      <c r="I334" s="289">
        <f>VLOOKUP(A334,'K19'!$A$4:$BX$425,65,FALSE)</f>
        <v>0</v>
      </c>
      <c r="J334" s="289">
        <f>VLOOKUP(A334,K0kommunestruktur2020!$A$4:$P$359,14,FALSE)</f>
        <v>195569</v>
      </c>
      <c r="K334" s="517"/>
      <c r="L334">
        <v>0</v>
      </c>
      <c r="M334" s="5">
        <f t="shared" si="59"/>
        <v>0</v>
      </c>
    </row>
    <row r="335" spans="1:13" ht="13">
      <c r="A335" s="1">
        <v>5419</v>
      </c>
      <c r="B335" s="2" t="s">
        <v>227</v>
      </c>
      <c r="C335" s="289">
        <f>VLOOKUP(A335,K0kommunestruktur2020!$A$4:$P$359,11,FALSE)</f>
        <v>3494</v>
      </c>
      <c r="D335" s="289">
        <f>VLOOKUP(A335,'K19'!$A$4:$BX$425,24,FALSE)</f>
        <v>1153</v>
      </c>
      <c r="E335" s="289"/>
      <c r="F335" s="289">
        <f>VLOOKUP(A335,K0kommunestruktur2020!$A$4:$P$359,12,FALSE)</f>
        <v>86393</v>
      </c>
      <c r="G335" s="289">
        <f>VLOOKUP(A335,'K19'!$A$4:$BX$425,31,FALSE)</f>
        <v>0</v>
      </c>
      <c r="H335" s="289">
        <f>VLOOKUP(A335,'K19'!$A$4:$BX$425,32,FALSE)</f>
        <v>0</v>
      </c>
      <c r="I335" s="289">
        <f>VLOOKUP(A335,'K19'!$A$4:$BX$425,65,FALSE)</f>
        <v>0</v>
      </c>
      <c r="J335" s="289">
        <f>VLOOKUP(A335,K0kommunestruktur2020!$A$4:$P$359,14,FALSE)</f>
        <v>90759</v>
      </c>
      <c r="K335" s="517"/>
      <c r="L335">
        <v>0</v>
      </c>
      <c r="M335" s="5">
        <f t="shared" si="59"/>
        <v>0</v>
      </c>
    </row>
    <row r="336" spans="1:13" ht="13">
      <c r="A336" s="1">
        <v>5420</v>
      </c>
      <c r="B336" s="2" t="s">
        <v>228</v>
      </c>
      <c r="C336" s="289">
        <f>VLOOKUP(A336,K0kommunestruktur2020!$A$4:$P$359,11,FALSE)</f>
        <v>1165</v>
      </c>
      <c r="D336" s="289">
        <f>VLOOKUP(A336,'K19'!$A$4:$BX$425,24,FALSE)</f>
        <v>1945</v>
      </c>
      <c r="E336" s="289"/>
      <c r="F336" s="289">
        <f>VLOOKUP(A336,K0kommunestruktur2020!$A$4:$P$359,12,FALSE)</f>
        <v>25457</v>
      </c>
      <c r="G336" s="289">
        <f>VLOOKUP(A336,'K19'!$A$4:$BX$425,31,FALSE)</f>
        <v>0</v>
      </c>
      <c r="H336" s="289">
        <f>VLOOKUP(A336,'K19'!$A$4:$BX$425,32,FALSE)</f>
        <v>0</v>
      </c>
      <c r="I336" s="289">
        <f>VLOOKUP(A336,'K19'!$A$4:$BX$425,65,FALSE)</f>
        <v>0</v>
      </c>
      <c r="J336" s="289">
        <f>VLOOKUP(A336,K0kommunestruktur2020!$A$4:$P$359,14,FALSE)</f>
        <v>25128</v>
      </c>
      <c r="K336" s="517"/>
      <c r="L336">
        <v>0</v>
      </c>
      <c r="M336" s="5">
        <f t="shared" si="59"/>
        <v>0</v>
      </c>
    </row>
    <row r="337" spans="1:13" ht="13">
      <c r="A337" s="878">
        <v>5421</v>
      </c>
      <c r="B337" s="883" t="s">
        <v>1650</v>
      </c>
      <c r="C337" s="919">
        <f>VLOOKUP(A337,K0kommunestruktur2020!$A$4:$P$359,11,FALSE)</f>
        <v>15025</v>
      </c>
      <c r="D337" s="919">
        <f>+D409</f>
        <v>5829</v>
      </c>
      <c r="E337" s="919"/>
      <c r="F337" s="919">
        <f>VLOOKUP(A337,K0kommunestruktur2020!$A$4:$P$359,12,FALSE)</f>
        <v>372209</v>
      </c>
      <c r="G337" s="919">
        <f t="shared" ref="G337:I337" si="62">+G409</f>
        <v>431</v>
      </c>
      <c r="H337" s="919">
        <f t="shared" si="62"/>
        <v>0</v>
      </c>
      <c r="I337" s="919">
        <f t="shared" si="62"/>
        <v>4146</v>
      </c>
      <c r="J337" s="919">
        <f>VLOOKUP(A337,K0kommunestruktur2020!$A$4:$P$359,14,FALSE)</f>
        <v>392512</v>
      </c>
      <c r="K337" s="517"/>
      <c r="L337">
        <v>0</v>
      </c>
      <c r="M337" s="5">
        <f t="shared" si="59"/>
        <v>0</v>
      </c>
    </row>
    <row r="338" spans="1:13" ht="13">
      <c r="A338" s="1">
        <v>5422</v>
      </c>
      <c r="B338" s="2" t="s">
        <v>233</v>
      </c>
      <c r="C338" s="289">
        <f>VLOOKUP(A338,K0kommunestruktur2020!$A$4:$P$359,11,FALSE)</f>
        <v>5653</v>
      </c>
      <c r="D338" s="289">
        <f>VLOOKUP(A338,'K19'!$A$4:$BX$425,24,FALSE)</f>
        <v>1515</v>
      </c>
      <c r="E338" s="289"/>
      <c r="F338" s="289">
        <f>VLOOKUP(A338,K0kommunestruktur2020!$A$4:$P$359,12,FALSE)</f>
        <v>123856</v>
      </c>
      <c r="G338" s="289">
        <f>VLOOKUP(A338,'K19'!$A$4:$BX$425,31,FALSE)</f>
        <v>0</v>
      </c>
      <c r="H338" s="289">
        <f>VLOOKUP(A338,'K19'!$A$4:$BX$425,32,FALSE)</f>
        <v>0</v>
      </c>
      <c r="I338" s="289">
        <f>VLOOKUP(A338,'K19'!$A$4:$BX$425,65,FALSE)</f>
        <v>0</v>
      </c>
      <c r="J338" s="289">
        <f>VLOOKUP(A338,K0kommunestruktur2020!$A$4:$P$359,14,FALSE)</f>
        <v>127282</v>
      </c>
      <c r="K338" s="517"/>
      <c r="L338">
        <v>0</v>
      </c>
      <c r="M338" s="5">
        <f t="shared" si="59"/>
        <v>0</v>
      </c>
    </row>
    <row r="339" spans="1:13" ht="13">
      <c r="A339" s="1">
        <v>5423</v>
      </c>
      <c r="B339" s="2" t="s">
        <v>234</v>
      </c>
      <c r="C339" s="289">
        <f>VLOOKUP(A339,K0kommunestruktur2020!$A$4:$P$359,11,FALSE)</f>
        <v>2263</v>
      </c>
      <c r="D339" s="289">
        <f>VLOOKUP(A339,'K19'!$A$4:$BX$425,24,FALSE)</f>
        <v>1414</v>
      </c>
      <c r="E339" s="289"/>
      <c r="F339" s="289">
        <f>VLOOKUP(A339,K0kommunestruktur2020!$A$4:$P$359,12,FALSE)</f>
        <v>57505</v>
      </c>
      <c r="G339" s="289">
        <f>VLOOKUP(A339,'K19'!$A$4:$BX$425,31,FALSE)</f>
        <v>0</v>
      </c>
      <c r="H339" s="289">
        <f>VLOOKUP(A339,'K19'!$A$4:$BX$425,32,FALSE)</f>
        <v>0</v>
      </c>
      <c r="I339" s="289">
        <f>VLOOKUP(A339,'K19'!$A$4:$BX$425,65,FALSE)</f>
        <v>0</v>
      </c>
      <c r="J339" s="289">
        <f>VLOOKUP(A339,K0kommunestruktur2020!$A$4:$P$359,14,FALSE)</f>
        <v>59153</v>
      </c>
      <c r="K339" s="517"/>
      <c r="L339">
        <v>0</v>
      </c>
      <c r="M339" s="5">
        <f t="shared" si="59"/>
        <v>0</v>
      </c>
    </row>
    <row r="340" spans="1:13" ht="13">
      <c r="A340" s="1">
        <v>5424</v>
      </c>
      <c r="B340" s="2" t="s">
        <v>235</v>
      </c>
      <c r="C340" s="289">
        <f>VLOOKUP(A340,K0kommunestruktur2020!$A$4:$P$359,11,FALSE)</f>
        <v>2877</v>
      </c>
      <c r="D340" s="289">
        <f>VLOOKUP(A340,'K19'!$A$4:$BX$425,24,FALSE)</f>
        <v>2855</v>
      </c>
      <c r="E340" s="289"/>
      <c r="F340" s="289">
        <f>VLOOKUP(A340,K0kommunestruktur2020!$A$4:$P$359,12,FALSE)</f>
        <v>64289</v>
      </c>
      <c r="G340" s="289">
        <f>VLOOKUP(A340,'K19'!$A$4:$BX$425,31,FALSE)</f>
        <v>0</v>
      </c>
      <c r="H340" s="289">
        <f>VLOOKUP(A340,'K19'!$A$4:$BX$425,32,FALSE)</f>
        <v>0</v>
      </c>
      <c r="I340" s="289">
        <f>VLOOKUP(A340,'K19'!$A$4:$BX$425,65,FALSE)</f>
        <v>0</v>
      </c>
      <c r="J340" s="289">
        <f>VLOOKUP(A340,K0kommunestruktur2020!$A$4:$P$359,14,FALSE)</f>
        <v>65153</v>
      </c>
      <c r="K340" s="517"/>
      <c r="L340">
        <v>0</v>
      </c>
      <c r="M340" s="5">
        <f t="shared" si="59"/>
        <v>0</v>
      </c>
    </row>
    <row r="341" spans="1:13" ht="13">
      <c r="A341" s="1">
        <v>5425</v>
      </c>
      <c r="B341" s="2" t="s">
        <v>236</v>
      </c>
      <c r="C341" s="289">
        <f>VLOOKUP(A341,K0kommunestruktur2020!$A$4:$P$359,11,FALSE)</f>
        <v>1856</v>
      </c>
      <c r="D341" s="289">
        <f>VLOOKUP(A341,'K19'!$A$4:$BX$425,24,FALSE)</f>
        <v>1712</v>
      </c>
      <c r="E341" s="289"/>
      <c r="F341" s="289">
        <f>VLOOKUP(A341,K0kommunestruktur2020!$A$4:$P$359,12,FALSE)</f>
        <v>51883</v>
      </c>
      <c r="G341" s="289">
        <f>VLOOKUP(A341,'K19'!$A$4:$BX$425,31,FALSE)</f>
        <v>0</v>
      </c>
      <c r="H341" s="289">
        <f>VLOOKUP(A341,'K19'!$A$4:$BX$425,32,FALSE)</f>
        <v>0</v>
      </c>
      <c r="I341" s="289">
        <f>VLOOKUP(A341,'K19'!$A$4:$BX$425,65,FALSE)</f>
        <v>0</v>
      </c>
      <c r="J341" s="289">
        <f>VLOOKUP(A341,K0kommunestruktur2020!$A$4:$P$359,14,FALSE)</f>
        <v>50896</v>
      </c>
      <c r="K341" s="517"/>
      <c r="L341">
        <v>0</v>
      </c>
      <c r="M341" s="5">
        <f t="shared" si="59"/>
        <v>0</v>
      </c>
    </row>
    <row r="342" spans="1:13" ht="13">
      <c r="A342" s="1">
        <v>5426</v>
      </c>
      <c r="B342" s="2" t="s">
        <v>237</v>
      </c>
      <c r="C342" s="289">
        <f>VLOOKUP(A342,K0kommunestruktur2020!$A$4:$P$359,11,FALSE)</f>
        <v>2132</v>
      </c>
      <c r="D342" s="289">
        <f>VLOOKUP(A342,'K19'!$A$4:$BX$425,24,FALSE)</f>
        <v>1804</v>
      </c>
      <c r="E342" s="289"/>
      <c r="F342" s="289">
        <f>VLOOKUP(A342,K0kommunestruktur2020!$A$4:$P$359,12,FALSE)</f>
        <v>51110</v>
      </c>
      <c r="G342" s="289">
        <f>VLOOKUP(A342,'K19'!$A$4:$BX$425,31,FALSE)</f>
        <v>0</v>
      </c>
      <c r="H342" s="289">
        <f>VLOOKUP(A342,'K19'!$A$4:$BX$425,32,FALSE)</f>
        <v>0</v>
      </c>
      <c r="I342" s="289">
        <f>VLOOKUP(A342,'K19'!$A$4:$BX$425,65,FALSE)</f>
        <v>0</v>
      </c>
      <c r="J342" s="289">
        <f>VLOOKUP(A342,K0kommunestruktur2020!$A$4:$P$359,14,FALSE)</f>
        <v>51415</v>
      </c>
      <c r="K342" s="517"/>
      <c r="L342">
        <v>0</v>
      </c>
      <c r="M342" s="5">
        <f t="shared" si="59"/>
        <v>0</v>
      </c>
    </row>
    <row r="343" spans="1:13" ht="13">
      <c r="A343" s="1">
        <v>5427</v>
      </c>
      <c r="B343" s="2" t="s">
        <v>238</v>
      </c>
      <c r="C343" s="289">
        <f>VLOOKUP(A343,K0kommunestruktur2020!$A$4:$P$359,11,FALSE)</f>
        <v>2925</v>
      </c>
      <c r="D343" s="289">
        <f>VLOOKUP(A343,'K19'!$A$4:$BX$425,24,FALSE)</f>
        <v>1370</v>
      </c>
      <c r="E343" s="289"/>
      <c r="F343" s="289">
        <f>VLOOKUP(A343,K0kommunestruktur2020!$A$4:$P$359,12,FALSE)</f>
        <v>69371</v>
      </c>
      <c r="G343" s="289">
        <f>VLOOKUP(A343,'K19'!$A$4:$BX$425,31,FALSE)</f>
        <v>0</v>
      </c>
      <c r="H343" s="289">
        <f>VLOOKUP(A343,'K19'!$A$4:$BX$425,32,FALSE)</f>
        <v>0</v>
      </c>
      <c r="I343" s="289">
        <f>VLOOKUP(A343,'K19'!$A$4:$BX$425,65,FALSE)</f>
        <v>0</v>
      </c>
      <c r="J343" s="289">
        <f>VLOOKUP(A343,K0kommunestruktur2020!$A$4:$P$359,14,FALSE)</f>
        <v>71052</v>
      </c>
      <c r="K343" s="517"/>
      <c r="L343">
        <v>0</v>
      </c>
      <c r="M343" s="5">
        <f t="shared" si="59"/>
        <v>0</v>
      </c>
    </row>
    <row r="344" spans="1:13" ht="13">
      <c r="A344" s="1">
        <v>5428</v>
      </c>
      <c r="B344" s="2" t="s">
        <v>239</v>
      </c>
      <c r="C344" s="289">
        <f>VLOOKUP(A344,K0kommunestruktur2020!$A$4:$P$359,11,FALSE)</f>
        <v>4944</v>
      </c>
      <c r="D344" s="289">
        <f>VLOOKUP(A344,'K19'!$A$4:$BX$425,24,FALSE)</f>
        <v>1715</v>
      </c>
      <c r="E344" s="289"/>
      <c r="F344" s="289">
        <f>VLOOKUP(A344,K0kommunestruktur2020!$A$4:$P$359,12,FALSE)</f>
        <v>111919</v>
      </c>
      <c r="G344" s="289">
        <f>VLOOKUP(A344,'K19'!$A$4:$BX$425,31,FALSE)</f>
        <v>0</v>
      </c>
      <c r="H344" s="289">
        <f>VLOOKUP(A344,'K19'!$A$4:$BX$425,32,FALSE)</f>
        <v>0</v>
      </c>
      <c r="I344" s="289">
        <f>VLOOKUP(A344,'K19'!$A$4:$BX$425,65,FALSE)</f>
        <v>0</v>
      </c>
      <c r="J344" s="289">
        <f>VLOOKUP(A344,K0kommunestruktur2020!$A$4:$P$359,14,FALSE)</f>
        <v>116546</v>
      </c>
      <c r="K344" s="517"/>
      <c r="L344">
        <v>0</v>
      </c>
      <c r="M344" s="5">
        <f t="shared" si="59"/>
        <v>0</v>
      </c>
    </row>
    <row r="345" spans="1:13" ht="13">
      <c r="A345" s="1">
        <v>5429</v>
      </c>
      <c r="B345" s="2" t="s">
        <v>240</v>
      </c>
      <c r="C345" s="289">
        <f>VLOOKUP(A345,K0kommunestruktur2020!$A$4:$P$359,11,FALSE)</f>
        <v>1224</v>
      </c>
      <c r="D345" s="289">
        <f>VLOOKUP(A345,'K19'!$A$4:$BX$425,24,FALSE)</f>
        <v>2445</v>
      </c>
      <c r="E345" s="289"/>
      <c r="F345" s="289">
        <f>VLOOKUP(A345,K0kommunestruktur2020!$A$4:$P$359,12,FALSE)</f>
        <v>32637</v>
      </c>
      <c r="G345" s="289">
        <f>VLOOKUP(A345,'K19'!$A$4:$BX$425,31,FALSE)</f>
        <v>0</v>
      </c>
      <c r="H345" s="289">
        <f>VLOOKUP(A345,'K19'!$A$4:$BX$425,32,FALSE)</f>
        <v>0</v>
      </c>
      <c r="I345" s="289">
        <f>VLOOKUP(A345,'K19'!$A$4:$BX$425,65,FALSE)</f>
        <v>0</v>
      </c>
      <c r="J345" s="289">
        <f>VLOOKUP(A345,K0kommunestruktur2020!$A$4:$P$359,14,FALSE)</f>
        <v>32765</v>
      </c>
      <c r="K345" s="517"/>
      <c r="L345">
        <v>0</v>
      </c>
      <c r="M345" s="5">
        <f t="shared" si="59"/>
        <v>0</v>
      </c>
    </row>
    <row r="346" spans="1:13" ht="13">
      <c r="A346" s="1">
        <v>5430</v>
      </c>
      <c r="B346" s="2" t="s">
        <v>244</v>
      </c>
      <c r="C346" s="289">
        <f>VLOOKUP(A346,K0kommunestruktur2020!$A$4:$P$359,11,FALSE)</f>
        <v>2946</v>
      </c>
      <c r="D346" s="289">
        <f>VLOOKUP(A346,'K19'!$A$4:$BX$425,24,FALSE)</f>
        <v>2540</v>
      </c>
      <c r="E346" s="289"/>
      <c r="F346" s="289">
        <f>VLOOKUP(A346,K0kommunestruktur2020!$A$4:$P$359,12,FALSE)</f>
        <v>56500</v>
      </c>
      <c r="G346" s="289">
        <f>VLOOKUP(A346,'K19'!$A$4:$BX$425,31,FALSE)</f>
        <v>0</v>
      </c>
      <c r="H346" s="289">
        <f>VLOOKUP(A346,'K19'!$A$4:$BX$425,32,FALSE)</f>
        <v>0</v>
      </c>
      <c r="I346" s="289">
        <f>VLOOKUP(A346,'K19'!$A$4:$BX$425,65,FALSE)</f>
        <v>0</v>
      </c>
      <c r="J346" s="289">
        <f>VLOOKUP(A346,K0kommunestruktur2020!$A$4:$P$359,14,FALSE)</f>
        <v>57512</v>
      </c>
      <c r="K346" s="517"/>
      <c r="L346">
        <v>0</v>
      </c>
      <c r="M346" s="5">
        <f t="shared" si="59"/>
        <v>0</v>
      </c>
    </row>
    <row r="347" spans="1:13" ht="13">
      <c r="A347" s="1">
        <v>5432</v>
      </c>
      <c r="B347" s="2" t="s">
        <v>246</v>
      </c>
      <c r="C347" s="289">
        <f>VLOOKUP(A347,K0kommunestruktur2020!$A$4:$P$359,11,FALSE)</f>
        <v>941</v>
      </c>
      <c r="D347" s="289">
        <f>VLOOKUP(A347,'K19'!$A$4:$BX$425,24,FALSE)</f>
        <v>2420</v>
      </c>
      <c r="E347" s="289"/>
      <c r="F347" s="289">
        <f>VLOOKUP(A347,K0kommunestruktur2020!$A$4:$P$359,12,FALSE)</f>
        <v>21026</v>
      </c>
      <c r="G347" s="289">
        <f>VLOOKUP(A347,'K19'!$A$4:$BX$425,31,FALSE)</f>
        <v>0</v>
      </c>
      <c r="H347" s="289">
        <f>VLOOKUP(A347,'K19'!$A$4:$BX$425,32,FALSE)</f>
        <v>0</v>
      </c>
      <c r="I347" s="289">
        <f>VLOOKUP(A347,'K19'!$A$4:$BX$425,65,FALSE)</f>
        <v>0</v>
      </c>
      <c r="J347" s="289">
        <f>VLOOKUP(A347,K0kommunestruktur2020!$A$4:$P$359,14,FALSE)</f>
        <v>20523</v>
      </c>
      <c r="K347" s="517"/>
      <c r="L347">
        <v>0</v>
      </c>
      <c r="M347" s="5">
        <f t="shared" si="59"/>
        <v>0</v>
      </c>
    </row>
    <row r="348" spans="1:13" ht="13">
      <c r="A348" s="1">
        <v>5433</v>
      </c>
      <c r="B348" s="2" t="s">
        <v>247</v>
      </c>
      <c r="C348" s="289">
        <f>VLOOKUP(A348,K0kommunestruktur2020!$A$4:$P$359,11,FALSE)</f>
        <v>1022</v>
      </c>
      <c r="D348" s="289">
        <f>VLOOKUP(A348,'K19'!$A$4:$BX$425,24,FALSE)</f>
        <v>1640</v>
      </c>
      <c r="E348" s="289"/>
      <c r="F348" s="289">
        <f>VLOOKUP(A348,K0kommunestruktur2020!$A$4:$P$359,12,FALSE)</f>
        <v>22383</v>
      </c>
      <c r="G348" s="289">
        <f>VLOOKUP(A348,'K19'!$A$4:$BX$425,31,FALSE)</f>
        <v>0</v>
      </c>
      <c r="H348" s="289">
        <f>VLOOKUP(A348,'K19'!$A$4:$BX$425,32,FALSE)</f>
        <v>0</v>
      </c>
      <c r="I348" s="289">
        <f>VLOOKUP(A348,'K19'!$A$4:$BX$425,65,FALSE)</f>
        <v>0</v>
      </c>
      <c r="J348" s="289">
        <f>VLOOKUP(A348,K0kommunestruktur2020!$A$4:$P$359,14,FALSE)</f>
        <v>23442</v>
      </c>
      <c r="K348" s="517"/>
      <c r="L348">
        <v>0</v>
      </c>
      <c r="M348" s="5">
        <f t="shared" si="59"/>
        <v>0</v>
      </c>
    </row>
    <row r="349" spans="1:13" ht="13">
      <c r="A349" s="1">
        <v>5434</v>
      </c>
      <c r="B349" s="2" t="s">
        <v>249</v>
      </c>
      <c r="C349" s="289">
        <f>VLOOKUP(A349,K0kommunestruktur2020!$A$4:$P$359,11,FALSE)</f>
        <v>1231</v>
      </c>
      <c r="D349" s="289">
        <f>VLOOKUP(A349,'K19'!$A$4:$BX$425,24,FALSE)</f>
        <v>2080</v>
      </c>
      <c r="E349" s="289"/>
      <c r="F349" s="289">
        <f>VLOOKUP(A349,K0kommunestruktur2020!$A$4:$P$359,12,FALSE)</f>
        <v>34428</v>
      </c>
      <c r="G349" s="289">
        <f>VLOOKUP(A349,'K19'!$A$4:$BX$425,31,FALSE)</f>
        <v>0</v>
      </c>
      <c r="H349" s="289">
        <f>VLOOKUP(A349,'K19'!$A$4:$BX$425,32,FALSE)</f>
        <v>0</v>
      </c>
      <c r="I349" s="289">
        <f>VLOOKUP(A349,'K19'!$A$4:$BX$425,65,FALSE)</f>
        <v>0</v>
      </c>
      <c r="J349" s="289">
        <f>VLOOKUP(A349,K0kommunestruktur2020!$A$4:$P$359,14,FALSE)</f>
        <v>33282</v>
      </c>
      <c r="K349" s="517"/>
      <c r="L349">
        <v>0</v>
      </c>
      <c r="M349" s="5">
        <f t="shared" si="59"/>
        <v>0</v>
      </c>
    </row>
    <row r="350" spans="1:13" ht="13">
      <c r="A350" s="1">
        <v>5435</v>
      </c>
      <c r="B350" s="2" t="s">
        <v>250</v>
      </c>
      <c r="C350" s="289">
        <f>VLOOKUP(A350,K0kommunestruktur2020!$A$4:$P$359,11,FALSE)</f>
        <v>3239</v>
      </c>
      <c r="D350" s="289">
        <f>VLOOKUP(A350,'K19'!$A$4:$BX$425,24,FALSE)</f>
        <v>1580</v>
      </c>
      <c r="E350" s="289"/>
      <c r="F350" s="289">
        <f>VLOOKUP(A350,K0kommunestruktur2020!$A$4:$P$359,12,FALSE)</f>
        <v>87685</v>
      </c>
      <c r="G350" s="289">
        <f>VLOOKUP(A350,'K19'!$A$4:$BX$425,31,FALSE)</f>
        <v>0</v>
      </c>
      <c r="H350" s="289">
        <f>VLOOKUP(A350,'K19'!$A$4:$BX$425,32,FALSE)</f>
        <v>0</v>
      </c>
      <c r="I350" s="289">
        <f>VLOOKUP(A350,'K19'!$A$4:$BX$425,65,FALSE)</f>
        <v>0</v>
      </c>
      <c r="J350" s="289">
        <f>VLOOKUP(A350,K0kommunestruktur2020!$A$4:$P$359,14,FALSE)</f>
        <v>88642</v>
      </c>
      <c r="K350" s="517"/>
      <c r="L350">
        <v>0</v>
      </c>
      <c r="M350" s="5">
        <f t="shared" si="59"/>
        <v>0</v>
      </c>
    </row>
    <row r="351" spans="1:13" ht="13">
      <c r="A351" s="1">
        <v>5436</v>
      </c>
      <c r="B351" s="2" t="s">
        <v>251</v>
      </c>
      <c r="C351" s="289">
        <f>VLOOKUP(A351,K0kommunestruktur2020!$A$4:$P$359,11,FALSE)</f>
        <v>3964</v>
      </c>
      <c r="D351" s="289">
        <f>VLOOKUP(A351,'K19'!$A$4:$BX$425,24,FALSE)</f>
        <v>2140</v>
      </c>
      <c r="E351" s="289"/>
      <c r="F351" s="289">
        <f>VLOOKUP(A351,K0kommunestruktur2020!$A$4:$P$359,12,FALSE)</f>
        <v>95910</v>
      </c>
      <c r="G351" s="289">
        <f>VLOOKUP(A351,'K19'!$A$4:$BX$425,31,FALSE)</f>
        <v>0</v>
      </c>
      <c r="H351" s="289">
        <f>VLOOKUP(A351,'K19'!$A$4:$BX$425,32,FALSE)</f>
        <v>0</v>
      </c>
      <c r="I351" s="289">
        <f>VLOOKUP(A351,'K19'!$A$4:$BX$425,65,FALSE)</f>
        <v>0</v>
      </c>
      <c r="J351" s="289">
        <f>VLOOKUP(A351,K0kommunestruktur2020!$A$4:$P$359,14,FALSE)</f>
        <v>100811</v>
      </c>
      <c r="K351" s="517"/>
      <c r="L351">
        <v>0</v>
      </c>
      <c r="M351" s="5">
        <f t="shared" si="59"/>
        <v>0</v>
      </c>
    </row>
    <row r="352" spans="1:13" ht="13">
      <c r="A352" s="1">
        <v>5437</v>
      </c>
      <c r="B352" s="2" t="s">
        <v>252</v>
      </c>
      <c r="C352" s="289">
        <f>VLOOKUP(A352,K0kommunestruktur2020!$A$4:$P$359,11,FALSE)</f>
        <v>2701</v>
      </c>
      <c r="D352" s="289">
        <f>VLOOKUP(A352,'K19'!$A$4:$BX$425,24,FALSE)</f>
        <v>2080</v>
      </c>
      <c r="E352" s="289"/>
      <c r="F352" s="289">
        <f>VLOOKUP(A352,K0kommunestruktur2020!$A$4:$P$359,12,FALSE)</f>
        <v>56961</v>
      </c>
      <c r="G352" s="289">
        <f>VLOOKUP(A352,'K19'!$A$4:$BX$425,31,FALSE)</f>
        <v>0</v>
      </c>
      <c r="H352" s="289">
        <f>VLOOKUP(A352,'K19'!$A$4:$BX$425,32,FALSE)</f>
        <v>0</v>
      </c>
      <c r="I352" s="289">
        <f>VLOOKUP(A352,'K19'!$A$4:$BX$425,65,FALSE)</f>
        <v>0</v>
      </c>
      <c r="J352" s="289">
        <f>VLOOKUP(A352,K0kommunestruktur2020!$A$4:$P$359,14,FALSE)</f>
        <v>59811</v>
      </c>
      <c r="K352" s="517"/>
      <c r="L352">
        <v>0</v>
      </c>
      <c r="M352" s="5">
        <f t="shared" si="59"/>
        <v>0</v>
      </c>
    </row>
    <row r="353" spans="1:13" ht="13">
      <c r="A353" s="1">
        <v>5438</v>
      </c>
      <c r="B353" s="2" t="s">
        <v>253</v>
      </c>
      <c r="C353" s="289">
        <f>VLOOKUP(A353,K0kommunestruktur2020!$A$4:$P$359,11,FALSE)</f>
        <v>1349</v>
      </c>
      <c r="D353" s="289">
        <f>VLOOKUP(A353,'K19'!$A$4:$BX$425,24,FALSE)</f>
        <v>1470</v>
      </c>
      <c r="E353" s="289"/>
      <c r="F353" s="289">
        <f>VLOOKUP(A353,K0kommunestruktur2020!$A$4:$P$359,12,FALSE)</f>
        <v>33468</v>
      </c>
      <c r="G353" s="289">
        <f>VLOOKUP(A353,'K19'!$A$4:$BX$425,31,FALSE)</f>
        <v>0</v>
      </c>
      <c r="H353" s="289">
        <f>VLOOKUP(A353,'K19'!$A$4:$BX$425,32,FALSE)</f>
        <v>0</v>
      </c>
      <c r="I353" s="289">
        <f>VLOOKUP(A353,'K19'!$A$4:$BX$425,65,FALSE)</f>
        <v>0</v>
      </c>
      <c r="J353" s="289">
        <f>VLOOKUP(A353,K0kommunestruktur2020!$A$4:$P$359,14,FALSE)</f>
        <v>35754</v>
      </c>
      <c r="K353" s="517"/>
      <c r="L353">
        <v>0</v>
      </c>
      <c r="M353" s="5">
        <f t="shared" si="59"/>
        <v>0</v>
      </c>
    </row>
    <row r="354" spans="1:13" ht="13">
      <c r="A354" s="1">
        <v>5439</v>
      </c>
      <c r="B354" s="2" t="s">
        <v>254</v>
      </c>
      <c r="C354" s="289">
        <f>VLOOKUP(A354,K0kommunestruktur2020!$A$4:$P$359,11,FALSE)</f>
        <v>1153</v>
      </c>
      <c r="D354" s="289">
        <f>VLOOKUP(A354,'K19'!$A$4:$BX$425,24,FALSE)</f>
        <v>2480</v>
      </c>
      <c r="E354" s="289"/>
      <c r="F354" s="289">
        <f>VLOOKUP(A354,K0kommunestruktur2020!$A$4:$P$359,12,FALSE)</f>
        <v>26285</v>
      </c>
      <c r="G354" s="289">
        <f>VLOOKUP(A354,'K19'!$A$4:$BX$425,31,FALSE)</f>
        <v>0</v>
      </c>
      <c r="H354" s="289">
        <f>VLOOKUP(A354,'K19'!$A$4:$BX$425,32,FALSE)</f>
        <v>0</v>
      </c>
      <c r="I354" s="289">
        <f>VLOOKUP(A354,'K19'!$A$4:$BX$425,65,FALSE)</f>
        <v>0</v>
      </c>
      <c r="J354" s="289">
        <f>VLOOKUP(A354,K0kommunestruktur2020!$A$4:$P$359,14,FALSE)</f>
        <v>28086</v>
      </c>
      <c r="K354" s="517"/>
      <c r="L354">
        <v>0</v>
      </c>
      <c r="M354" s="5">
        <f t="shared" si="59"/>
        <v>0</v>
      </c>
    </row>
    <row r="355" spans="1:13" ht="13">
      <c r="A355" s="1">
        <v>5440</v>
      </c>
      <c r="B355" s="2" t="s">
        <v>255</v>
      </c>
      <c r="C355" s="289">
        <f>VLOOKUP(A355,K0kommunestruktur2020!$A$4:$P$359,11,FALSE)</f>
        <v>983</v>
      </c>
      <c r="D355" s="289">
        <f>VLOOKUP(A355,'K19'!$A$4:$BX$425,24,FALSE)</f>
        <v>1580</v>
      </c>
      <c r="E355" s="289"/>
      <c r="F355" s="289">
        <f>VLOOKUP(A355,K0kommunestruktur2020!$A$4:$P$359,12,FALSE)</f>
        <v>26464</v>
      </c>
      <c r="G355" s="289">
        <f>VLOOKUP(A355,'K19'!$A$4:$BX$425,31,FALSE)</f>
        <v>0</v>
      </c>
      <c r="H355" s="289">
        <f>VLOOKUP(A355,'K19'!$A$4:$BX$425,32,FALSE)</f>
        <v>0</v>
      </c>
      <c r="I355" s="289">
        <f>VLOOKUP(A355,'K19'!$A$4:$BX$425,65,FALSE)</f>
        <v>0</v>
      </c>
      <c r="J355" s="289">
        <f>VLOOKUP(A355,K0kommunestruktur2020!$A$4:$P$359,14,FALSE)</f>
        <v>26727</v>
      </c>
      <c r="K355" s="517"/>
      <c r="L355">
        <v>0</v>
      </c>
      <c r="M355" s="5">
        <f t="shared" si="59"/>
        <v>0</v>
      </c>
    </row>
    <row r="356" spans="1:13" ht="13">
      <c r="A356" s="1">
        <v>5441</v>
      </c>
      <c r="B356" s="2" t="s">
        <v>256</v>
      </c>
      <c r="C356" s="289">
        <f>VLOOKUP(A356,K0kommunestruktur2020!$A$4:$P$359,11,FALSE)</f>
        <v>2922</v>
      </c>
      <c r="D356" s="289">
        <f>VLOOKUP(A356,'K19'!$A$4:$BX$425,24,FALSE)</f>
        <v>1980</v>
      </c>
      <c r="E356" s="289"/>
      <c r="F356" s="289">
        <f>VLOOKUP(A356,K0kommunestruktur2020!$A$4:$P$359,12,FALSE)</f>
        <v>70134</v>
      </c>
      <c r="G356" s="289">
        <f>VLOOKUP(A356,'K19'!$A$4:$BX$425,31,FALSE)</f>
        <v>0</v>
      </c>
      <c r="H356" s="289">
        <f>VLOOKUP(A356,'K19'!$A$4:$BX$425,32,FALSE)</f>
        <v>0</v>
      </c>
      <c r="I356" s="289">
        <f>VLOOKUP(A356,'K19'!$A$4:$BX$425,65,FALSE)</f>
        <v>0</v>
      </c>
      <c r="J356" s="289">
        <f>VLOOKUP(A356,K0kommunestruktur2020!$A$4:$P$359,14,FALSE)</f>
        <v>74703</v>
      </c>
      <c r="K356" s="517"/>
      <c r="L356">
        <v>0</v>
      </c>
      <c r="M356" s="5">
        <f t="shared" si="59"/>
        <v>0</v>
      </c>
    </row>
    <row r="357" spans="1:13" ht="13">
      <c r="A357" s="1">
        <v>5442</v>
      </c>
      <c r="B357" s="2" t="s">
        <v>257</v>
      </c>
      <c r="C357" s="289">
        <f>VLOOKUP(A357,K0kommunestruktur2020!$A$4:$P$359,11,FALSE)</f>
        <v>944</v>
      </c>
      <c r="D357" s="289">
        <f>VLOOKUP(A357,'K19'!$A$4:$BX$425,24,FALSE)</f>
        <v>1240</v>
      </c>
      <c r="E357" s="289"/>
      <c r="F357" s="289">
        <f>VLOOKUP(A357,K0kommunestruktur2020!$A$4:$P$359,12,FALSE)</f>
        <v>20492</v>
      </c>
      <c r="G357" s="289">
        <f>VLOOKUP(A357,'K19'!$A$4:$BX$425,31,FALSE)</f>
        <v>0</v>
      </c>
      <c r="H357" s="289">
        <f>VLOOKUP(A357,'K19'!$A$4:$BX$425,32,FALSE)</f>
        <v>0</v>
      </c>
      <c r="I357" s="289">
        <f>VLOOKUP(A357,'K19'!$A$4:$BX$425,65,FALSE)</f>
        <v>0</v>
      </c>
      <c r="J357" s="289">
        <f>VLOOKUP(A357,K0kommunestruktur2020!$A$4:$P$359,14,FALSE)</f>
        <v>19666</v>
      </c>
      <c r="K357" s="517"/>
      <c r="L357">
        <v>0</v>
      </c>
      <c r="M357" s="5">
        <f t="shared" si="59"/>
        <v>0</v>
      </c>
    </row>
    <row r="358" spans="1:13" ht="13">
      <c r="A358" s="1">
        <v>5443</v>
      </c>
      <c r="B358" s="2" t="s">
        <v>258</v>
      </c>
      <c r="C358" s="289">
        <f>VLOOKUP(A358,K0kommunestruktur2020!$A$4:$P$359,11,FALSE)</f>
        <v>2263</v>
      </c>
      <c r="D358" s="289">
        <f>VLOOKUP(A358,'K19'!$A$4:$BX$425,24,FALSE)</f>
        <v>1690</v>
      </c>
      <c r="E358" s="289"/>
      <c r="F358" s="289">
        <f>VLOOKUP(A358,K0kommunestruktur2020!$A$4:$P$359,12,FALSE)</f>
        <v>61493</v>
      </c>
      <c r="G358" s="289">
        <f>VLOOKUP(A358,'K19'!$A$4:$BX$425,31,FALSE)</f>
        <v>0</v>
      </c>
      <c r="H358" s="289">
        <f>VLOOKUP(A358,'K19'!$A$4:$BX$425,32,FALSE)</f>
        <v>0</v>
      </c>
      <c r="I358" s="289">
        <f>VLOOKUP(A358,'K19'!$A$4:$BX$425,65,FALSE)</f>
        <v>0</v>
      </c>
      <c r="J358" s="289">
        <f>VLOOKUP(A358,K0kommunestruktur2020!$A$4:$P$359,14,FALSE)</f>
        <v>62027</v>
      </c>
      <c r="K358" s="517"/>
      <c r="L358">
        <v>0</v>
      </c>
      <c r="M358" s="5">
        <f t="shared" si="59"/>
        <v>0</v>
      </c>
    </row>
    <row r="359" spans="1:13" ht="13">
      <c r="A359" s="1">
        <v>5444</v>
      </c>
      <c r="B359" s="4" t="s">
        <v>260</v>
      </c>
      <c r="C359" s="289">
        <f>VLOOKUP(A359,K0kommunestruktur2020!$A$4:$P$359,11,FALSE)</f>
        <v>10171</v>
      </c>
      <c r="D359" s="289">
        <f>VLOOKUP(A359,'K19'!$A$4:$BX$425,24,FALSE)</f>
        <v>670</v>
      </c>
      <c r="E359" s="289"/>
      <c r="F359" s="289">
        <f>VLOOKUP(A359,K0kommunestruktur2020!$A$4:$P$359,12,FALSE)</f>
        <v>262229</v>
      </c>
      <c r="G359" s="289">
        <f>VLOOKUP(A359,'K19'!$A$4:$BX$425,31,FALSE)</f>
        <v>0</v>
      </c>
      <c r="H359" s="289">
        <f>VLOOKUP(A359,'K19'!$A$4:$BX$425,32,FALSE)</f>
        <v>0</v>
      </c>
      <c r="I359" s="289">
        <f>VLOOKUP(A359,'K19'!$A$4:$BX$425,65,FALSE)</f>
        <v>0</v>
      </c>
      <c r="J359" s="289">
        <f>VLOOKUP(A359,K0kommunestruktur2020!$A$4:$P$359,14,FALSE)</f>
        <v>271207</v>
      </c>
      <c r="K359" s="517"/>
      <c r="L359">
        <v>0</v>
      </c>
      <c r="M359" s="5">
        <f t="shared" si="59"/>
        <v>0</v>
      </c>
    </row>
    <row r="360" spans="1:13" ht="13">
      <c r="A360" s="1"/>
      <c r="B360" s="2"/>
      <c r="C360" s="179"/>
      <c r="D360" s="289"/>
      <c r="E360" s="289"/>
      <c r="F360" s="289"/>
      <c r="G360" s="289"/>
      <c r="H360" s="289"/>
      <c r="I360" s="289"/>
    </row>
    <row r="361" spans="1:13" ht="13">
      <c r="A361" s="1"/>
      <c r="B361" s="2" t="s">
        <v>261</v>
      </c>
      <c r="C361" s="289">
        <f t="shared" ref="C361:J361" si="63">SUM(C4:C359)</f>
        <v>5295631.7874527788</v>
      </c>
      <c r="D361" s="289">
        <f t="shared" si="63"/>
        <v>688424</v>
      </c>
      <c r="E361" s="289">
        <f t="shared" si="63"/>
        <v>0</v>
      </c>
      <c r="F361" s="289">
        <f t="shared" si="63"/>
        <v>162532521.65887633</v>
      </c>
      <c r="G361" s="289">
        <f t="shared" si="63"/>
        <v>231934</v>
      </c>
      <c r="H361" s="289">
        <f t="shared" si="63"/>
        <v>183979.29281477001</v>
      </c>
      <c r="I361" s="289">
        <f t="shared" si="63"/>
        <v>200000</v>
      </c>
      <c r="J361" s="289">
        <f t="shared" si="63"/>
        <v>170117084.88032636</v>
      </c>
    </row>
    <row r="362" spans="1:13">
      <c r="D362" s="5"/>
    </row>
    <row r="363" spans="1:13" ht="13">
      <c r="B363" s="756" t="s">
        <v>1900</v>
      </c>
      <c r="C363" s="289">
        <f>+'K18'!C427</f>
        <v>5295619</v>
      </c>
      <c r="D363" s="289">
        <f>+'K19'!X427</f>
        <v>688424</v>
      </c>
      <c r="E363" s="289"/>
      <c r="F363" s="289">
        <f>+'K18'!Z427</f>
        <v>162536856</v>
      </c>
      <c r="G363" s="289">
        <f>+'K19'!AE427</f>
        <v>231934</v>
      </c>
      <c r="H363" s="289">
        <f>+'K19'!AF427</f>
        <v>183979.29281477001</v>
      </c>
      <c r="I363" s="289">
        <f>+'K19'!BM427</f>
        <v>200000</v>
      </c>
      <c r="J363" s="289">
        <f>+'K19'!Z427</f>
        <v>170121597</v>
      </c>
    </row>
    <row r="364" spans="1:13">
      <c r="C364" s="5"/>
      <c r="D364" s="5"/>
      <c r="E364" s="5"/>
      <c r="F364" s="5"/>
      <c r="G364" s="5"/>
      <c r="H364" s="5"/>
      <c r="I364" s="5"/>
      <c r="J364" s="5"/>
    </row>
    <row r="365" spans="1:13">
      <c r="C365" s="5"/>
      <c r="D365" s="5"/>
      <c r="E365" s="5"/>
      <c r="F365" s="5"/>
      <c r="G365" s="5"/>
      <c r="H365" s="5"/>
      <c r="I365" s="5"/>
      <c r="J365" s="5"/>
    </row>
    <row r="366" spans="1:13" ht="13">
      <c r="A366" s="915" t="s">
        <v>1857</v>
      </c>
    </row>
    <row r="367" spans="1:13" ht="13">
      <c r="A367" s="1">
        <v>1103</v>
      </c>
      <c r="B367" s="2" t="s">
        <v>1899</v>
      </c>
      <c r="C367" s="289">
        <f>+K0kommunestruktur2020!K6</f>
        <v>141260.55221989</v>
      </c>
      <c r="D367" s="289">
        <f>+'K19'!X41+'K19'!X57+'K19'!X58</f>
        <v>7300</v>
      </c>
      <c r="E367" s="289"/>
      <c r="F367" s="289">
        <f>+K0kommunestruktur2020!L6</f>
        <v>5192171.2405409599</v>
      </c>
      <c r="G367" s="289">
        <f>+'K19'!AE41+'K19'!AE57+'K19'!AE58</f>
        <v>0</v>
      </c>
      <c r="H367" s="289">
        <f>+'K19'!AF41+'K19'!AF57+'K19'!AF58</f>
        <v>0</v>
      </c>
      <c r="I367" s="289">
        <f>+'K19'!BM41+'K19'!BM57+'K19'!BM58</f>
        <v>0</v>
      </c>
      <c r="J367" s="289">
        <f>+K0kommunestruktur2020!N6</f>
        <v>5569503.3828238305</v>
      </c>
      <c r="K367" s="517"/>
    </row>
    <row r="368" spans="1:13" ht="13">
      <c r="A368" s="1">
        <v>1108</v>
      </c>
      <c r="B368" s="2" t="s">
        <v>1610</v>
      </c>
      <c r="C368" s="289">
        <f>+K0kommunestruktur2020!K8</f>
        <v>77412.797511440003</v>
      </c>
      <c r="D368" s="289">
        <f>+'K19'!X40+'K19'!X52</f>
        <v>0</v>
      </c>
      <c r="E368" s="289"/>
      <c r="F368" s="289">
        <f>+K0kommunestruktur2020!L8</f>
        <v>2380215.4983107275</v>
      </c>
      <c r="G368" s="289">
        <f>+'K19'!AE40+'K19'!AE52</f>
        <v>0</v>
      </c>
      <c r="H368" s="289">
        <f>+'K19'!AF40+'K19'!AF52</f>
        <v>0</v>
      </c>
      <c r="I368" s="289">
        <f>+'K19'!BM40+'K19'!BM52</f>
        <v>8257</v>
      </c>
      <c r="J368" s="289">
        <f>+K0kommunestruktur2020!N8</f>
        <v>2477705.4875763333</v>
      </c>
      <c r="K368" s="517"/>
    </row>
    <row r="369" spans="1:11" ht="13">
      <c r="A369" s="1">
        <v>1506</v>
      </c>
      <c r="B369" s="4" t="s">
        <v>1611</v>
      </c>
      <c r="C369" s="289">
        <f>+K0kommunestruktur2020!K29</f>
        <v>31895</v>
      </c>
      <c r="D369" s="289">
        <f>+'K19'!X90+'K19'!X111+'K19'!X112</f>
        <v>7080</v>
      </c>
      <c r="E369" s="289"/>
      <c r="F369" s="289">
        <f>+K0kommunestruktur2020!L29</f>
        <v>913522</v>
      </c>
      <c r="G369" s="289">
        <f>+'K19'!AE90+'K19'!AE111+'K19'!AE112</f>
        <v>0</v>
      </c>
      <c r="H369" s="289">
        <f>+'K19'!AF90+'K19'!AF111+'K19'!AF112</f>
        <v>0</v>
      </c>
      <c r="I369" s="289">
        <f>+'K19'!BM90+'K19'!BM111+'K19'!BM112</f>
        <v>5255</v>
      </c>
      <c r="J369" s="289">
        <f>+K0kommunestruktur2020!N29</f>
        <v>946419</v>
      </c>
      <c r="K369" s="517"/>
    </row>
    <row r="370" spans="1:11" ht="13">
      <c r="A370" s="1">
        <v>1507</v>
      </c>
      <c r="B370" s="4" t="s">
        <v>1612</v>
      </c>
      <c r="C370" s="289">
        <f>+K0kommunestruktur2020!K30</f>
        <v>65053.103850200001</v>
      </c>
      <c r="D370" s="289">
        <f>+'K19'!X91+'K19'!X100+'K19'!X105+'K19'!X108+'K19'!X113</f>
        <v>14050</v>
      </c>
      <c r="E370" s="289"/>
      <c r="F370" s="289">
        <f>+K0kommunestruktur2020!L30</f>
        <v>1924606.0505843894</v>
      </c>
      <c r="G370" s="289">
        <f>+'K19'!AE91+'K19'!AE100+'K19'!AE105+'K19'!AE108+'K19'!AE113</f>
        <v>495</v>
      </c>
      <c r="H370" s="289">
        <f>+'K19'!AF91+'K19'!AF100+'K19'!AF105+'K19'!AF108+'K19'!AF113</f>
        <v>0</v>
      </c>
      <c r="I370" s="289">
        <f>+'K19'!BM91+'K19'!BM100+'K19'!BM105+'K19'!BM108+'K19'!BM113</f>
        <v>7435</v>
      </c>
      <c r="J370" s="289">
        <f>+K0kommunestruktur2020!N30</f>
        <v>2059966.2974875444</v>
      </c>
      <c r="K370" s="517"/>
    </row>
    <row r="371" spans="1:11" ht="13">
      <c r="A371" s="1">
        <v>1577</v>
      </c>
      <c r="B371" s="2" t="s">
        <v>1613</v>
      </c>
      <c r="C371" s="289">
        <f>+K0kommunestruktur2020!K51</f>
        <v>10468.14204271</v>
      </c>
      <c r="D371" s="289">
        <f>+'K19'!X89+'K19'!X98</f>
        <v>2050</v>
      </c>
      <c r="E371" s="289"/>
      <c r="F371" s="289">
        <f>+K0kommunestruktur2020!L51</f>
        <v>251795.02985797075</v>
      </c>
      <c r="G371" s="289">
        <f>+'K19'!AE89+'K19'!AE98</f>
        <v>0</v>
      </c>
      <c r="H371" s="289">
        <f>+'K19'!AF89+'K19'!AF98</f>
        <v>0</v>
      </c>
      <c r="I371" s="289">
        <f>+'K19'!BM89+'K19'!BM98</f>
        <v>3839</v>
      </c>
      <c r="J371" s="289">
        <f>+K0kommunestruktur2020!N51</f>
        <v>258006.41704512513</v>
      </c>
      <c r="K371" s="517"/>
    </row>
    <row r="372" spans="1:11" ht="13">
      <c r="A372" s="1">
        <v>1578</v>
      </c>
      <c r="B372" s="2" t="s">
        <v>1614</v>
      </c>
      <c r="C372" s="289">
        <f>+K0kommunestruktur2020!K52</f>
        <v>2642</v>
      </c>
      <c r="D372" s="289">
        <f>+'K19'!X101+'K19'!X103</f>
        <v>2530</v>
      </c>
      <c r="E372" s="289"/>
      <c r="F372" s="289">
        <f>+K0kommunestruktur2020!L52</f>
        <v>70869</v>
      </c>
      <c r="G372" s="289">
        <f>+'K19'!AE101+'K19'!AE103</f>
        <v>0</v>
      </c>
      <c r="H372" s="289">
        <f>+'K19'!AF101+'K19'!AF103</f>
        <v>0</v>
      </c>
      <c r="I372" s="289">
        <f>+'K19'!BM101+'K19'!BM103</f>
        <v>0</v>
      </c>
      <c r="J372" s="289">
        <f>+K0kommunestruktur2020!N52</f>
        <v>68700</v>
      </c>
      <c r="K372" s="517"/>
    </row>
    <row r="373" spans="1:11" ht="13">
      <c r="A373" s="1">
        <v>1579</v>
      </c>
      <c r="B373" s="2" t="s">
        <v>1615</v>
      </c>
      <c r="C373" s="289">
        <f>+K0kommunestruktur2020!K53</f>
        <v>13215</v>
      </c>
      <c r="D373" s="289">
        <f>+'K19'!X115+'K19'!X116</f>
        <v>3850</v>
      </c>
      <c r="E373" s="289"/>
      <c r="F373" s="289">
        <f>+K0kommunestruktur2020!L53</f>
        <v>339908</v>
      </c>
      <c r="G373" s="289">
        <f>+'K19'!AE115+'K19'!AE116</f>
        <v>0</v>
      </c>
      <c r="H373" s="289">
        <f>+'K19'!AF115+'K19'!AF116</f>
        <v>0</v>
      </c>
      <c r="I373" s="289">
        <f>+'K19'!BM115+'K19'!BM116</f>
        <v>4026</v>
      </c>
      <c r="J373" s="289">
        <f>+K0kommunestruktur2020!N53</f>
        <v>346385</v>
      </c>
      <c r="K373" s="517"/>
    </row>
    <row r="374" spans="1:11" ht="13">
      <c r="A374" s="1">
        <v>1806</v>
      </c>
      <c r="B374" s="2" t="s">
        <v>1616</v>
      </c>
      <c r="C374" s="289">
        <f>+K0kommunestruktur2020!K55</f>
        <v>22062.945454550001</v>
      </c>
      <c r="D374" s="289">
        <f>'K19'!X126+'K19'!X157+'K19'!X153*890/(890+1035)</f>
        <v>2960.4935064935062</v>
      </c>
      <c r="E374" s="289"/>
      <c r="F374" s="289">
        <f>+K0kommunestruktur2020!L55</f>
        <v>598271.44415584416</v>
      </c>
      <c r="G374" s="289">
        <f>'K19'!AE126+'K19'!AE157+'K19'!AE153*890/(890+1035)</f>
        <v>0</v>
      </c>
      <c r="H374" s="289">
        <f>'K19'!AF126+'K19'!AF157+'K19'!AF153*890/(890+1035)</f>
        <v>0</v>
      </c>
      <c r="I374" s="289">
        <f>'K19'!BM126+'K19'!BM157+'K19'!BM153</f>
        <v>4610</v>
      </c>
      <c r="J374" s="289">
        <f>+K0kommunestruktur2020!N55</f>
        <v>597858.44018008653</v>
      </c>
      <c r="K374" s="517"/>
    </row>
    <row r="375" spans="1:11" ht="13">
      <c r="A375" s="1">
        <v>1875</v>
      </c>
      <c r="B375" s="2" t="s">
        <v>1617</v>
      </c>
      <c r="C375" s="289">
        <f>+K0kommunestruktur2020!K94</f>
        <v>2851.0545454499998</v>
      </c>
      <c r="D375" s="289">
        <f>'K19'!X152+'K19'!X153*1035/(890+1035)</f>
        <v>7259.5064935064929</v>
      </c>
      <c r="E375" s="289"/>
      <c r="F375" s="289">
        <f>+K0kommunestruktur2020!N94</f>
        <v>78142.559819913411</v>
      </c>
      <c r="G375" s="289">
        <f>'K19'!AE152+'K19'!AE153*1035/(890+1035)</f>
        <v>0</v>
      </c>
      <c r="H375" s="289">
        <f>'K19'!AF152+'K19'!AF153*1035/(890+1035)</f>
        <v>0</v>
      </c>
      <c r="I375" s="289">
        <f>'K19'!BM152</f>
        <v>0</v>
      </c>
      <c r="J375" s="289">
        <f>+K0kommunestruktur2020!N94</f>
        <v>78142.559819913411</v>
      </c>
      <c r="K375" s="517"/>
    </row>
    <row r="376" spans="1:11" ht="13">
      <c r="A376" s="1">
        <v>3002</v>
      </c>
      <c r="B376" s="2" t="s">
        <v>1618</v>
      </c>
      <c r="C376" s="289">
        <f>+K0kommunestruktur2020!K96</f>
        <v>48671</v>
      </c>
      <c r="D376" s="289">
        <f>+'K19'!X4+'K19'!X10</f>
        <v>5600</v>
      </c>
      <c r="E376" s="289"/>
      <c r="F376" s="289">
        <f>+K0kommunestruktur2020!L96</f>
        <v>1317884</v>
      </c>
      <c r="G376" s="289">
        <f>+'K19'!AE4+'K19'!AE10</f>
        <v>3843</v>
      </c>
      <c r="H376" s="289">
        <f>+'K19'!AF4+'K19'!AF10</f>
        <v>0</v>
      </c>
      <c r="I376" s="289">
        <f>+'K19'!BM4+'K19'!BM10</f>
        <v>6358</v>
      </c>
      <c r="J376" s="289">
        <f>+K0kommunestruktur2020!N96</f>
        <v>1377561</v>
      </c>
      <c r="K376" s="517"/>
    </row>
    <row r="377" spans="1:11" ht="13">
      <c r="A377" s="1">
        <v>3005</v>
      </c>
      <c r="B377" s="2" t="s">
        <v>1619</v>
      </c>
      <c r="C377" s="289">
        <f>+K0kommunestruktur2020!K99</f>
        <v>100302</v>
      </c>
      <c r="D377" s="289">
        <f>+'K19'!X20+'K19'!X21+'K19'!X25</f>
        <v>7750</v>
      </c>
      <c r="E377" s="289"/>
      <c r="F377" s="289">
        <f>+K0kommunestruktur2020!L99</f>
        <v>2847014</v>
      </c>
      <c r="G377" s="289">
        <f>+'K19'!AE20+'K19'!AE21+'K19'!AE25</f>
        <v>0</v>
      </c>
      <c r="H377" s="289">
        <f>+'K19'!AF20+'K19'!AF21+'K19'!AF25</f>
        <v>0</v>
      </c>
      <c r="I377" s="289">
        <f>+'K19'!BM20+'K19'!BM21+'K19'!BM25</f>
        <v>9751</v>
      </c>
      <c r="J377" s="289">
        <f>+K0kommunestruktur2020!N99</f>
        <v>2968925</v>
      </c>
      <c r="K377" s="517"/>
    </row>
    <row r="378" spans="1:11" ht="13">
      <c r="A378" s="1">
        <v>3014</v>
      </c>
      <c r="B378" s="2" t="s">
        <v>1620</v>
      </c>
      <c r="C378" s="289">
        <f>+K0kommunestruktur2020!K105</f>
        <v>44035</v>
      </c>
      <c r="D378" s="289">
        <f>+'K19'!X6+'K19'!X7+'K19'!X8+'K19'!X9+'K19'!X11</f>
        <v>5000</v>
      </c>
      <c r="E378" s="289"/>
      <c r="F378" s="289">
        <f>+K0kommunestruktur2020!L105</f>
        <v>1156004</v>
      </c>
      <c r="G378" s="289">
        <f>+'K19'!AE6+'K19'!AE7+'K19'!AE8+'K19'!AE9+'K19'!AE11</f>
        <v>1008</v>
      </c>
      <c r="H378" s="289">
        <f>+'K19'!AF6+'K19'!AF7+'K19'!AF8+'K19'!AF9+'K19'!AF11</f>
        <v>0</v>
      </c>
      <c r="I378" s="289">
        <f>+'K19'!BM6+'K19'!BM7+'K19'!BM8+'K19'!BM9+'K19'!BM11</f>
        <v>6053</v>
      </c>
      <c r="J378" s="289">
        <f>+K0kommunestruktur2020!N105</f>
        <v>1204362</v>
      </c>
      <c r="K378" s="517"/>
    </row>
    <row r="379" spans="1:11" ht="13">
      <c r="A379" s="1">
        <v>3020</v>
      </c>
      <c r="B379" s="2" t="s">
        <v>1621</v>
      </c>
      <c r="C379" s="289">
        <f>+K0kommunestruktur2020!K111</f>
        <v>58254.394491469997</v>
      </c>
      <c r="D379" s="289">
        <f>+'K19'!X12+'K19'!X13</f>
        <v>0</v>
      </c>
      <c r="E379" s="289"/>
      <c r="F379" s="289">
        <f>+K0kommunestruktur2020!L111</f>
        <v>2027218.4119372717</v>
      </c>
      <c r="G379" s="289">
        <f>+'K19'!AE12+'K19'!AE13</f>
        <v>0</v>
      </c>
      <c r="H379" s="289">
        <f>+'K19'!AF12+'K19'!AF13</f>
        <v>0</v>
      </c>
      <c r="I379" s="289">
        <f>+'K19'!BM12+'K19'!BM13</f>
        <v>6975</v>
      </c>
      <c r="J379" s="289">
        <f>+K0kommunestruktur2020!N111</f>
        <v>2105528.4204200078</v>
      </c>
      <c r="K379" s="517"/>
    </row>
    <row r="380" spans="1:11" ht="13">
      <c r="A380" s="1">
        <v>3025</v>
      </c>
      <c r="B380" s="2" t="s">
        <v>1622</v>
      </c>
      <c r="C380" s="289">
        <f>+K0kommunestruktur2020!K116</f>
        <v>92828</v>
      </c>
      <c r="D380" s="289">
        <f>+'K19'!X14+'K19'!X22+'K19'!X23</f>
        <v>1500</v>
      </c>
      <c r="E380" s="289"/>
      <c r="F380" s="289">
        <f>+K0kommunestruktur2020!L116</f>
        <v>3849981</v>
      </c>
      <c r="G380" s="289">
        <f>+'K19'!AE14+'K19'!AE22+'K19'!AE23</f>
        <v>10454</v>
      </c>
      <c r="H380" s="289">
        <f>+'K19'!AF14+'K19'!AF22+'K19'!AF23</f>
        <v>0</v>
      </c>
      <c r="I380" s="289">
        <f>+'K19'!BM14+'K19'!BM22+'K19'!BM23</f>
        <v>9261</v>
      </c>
      <c r="J380" s="289">
        <f>+K0kommunestruktur2020!N116</f>
        <v>4094169</v>
      </c>
      <c r="K380" s="517"/>
    </row>
    <row r="381" spans="1:11" ht="13">
      <c r="A381" s="1">
        <v>3026</v>
      </c>
      <c r="B381" s="2" t="s">
        <v>1623</v>
      </c>
      <c r="C381" s="289">
        <f>+K0kommunestruktur2020!K117</f>
        <v>17072</v>
      </c>
      <c r="D381" s="289">
        <f>+'K19'!X5+'K19'!X15</f>
        <v>3200</v>
      </c>
      <c r="E381" s="289"/>
      <c r="F381" s="289">
        <f>+K0kommunestruktur2020!L117</f>
        <v>417440</v>
      </c>
      <c r="G381" s="289">
        <f>+'K19'!AE5+'K19'!AE15</f>
        <v>0</v>
      </c>
      <c r="H381" s="289">
        <f>+'K19'!AF5+'K19'!AF15</f>
        <v>0</v>
      </c>
      <c r="I381" s="289">
        <f>+'K19'!BM5+'K19'!BM15</f>
        <v>4280</v>
      </c>
      <c r="J381" s="289">
        <f>+K0kommunestruktur2020!N117</f>
        <v>430456</v>
      </c>
      <c r="K381" s="517"/>
    </row>
    <row r="382" spans="1:11" ht="13">
      <c r="A382" s="1">
        <v>3030</v>
      </c>
      <c r="B382" s="2" t="s">
        <v>1624</v>
      </c>
      <c r="C382" s="289">
        <f>+K0kommunestruktur2020!K121</f>
        <v>83165.148104530002</v>
      </c>
      <c r="D382" s="289">
        <f>+'K19'!X16+'K19'!X17+'K19'!X18</f>
        <v>5500</v>
      </c>
      <c r="E382" s="289"/>
      <c r="F382" s="289">
        <f>+K0kommunestruktur2020!L121</f>
        <v>2580671.4667957784</v>
      </c>
      <c r="G382" s="289">
        <f>+'K19'!AE16+'K19'!AE17+'K19'!AE18</f>
        <v>8245</v>
      </c>
      <c r="H382" s="289">
        <f>+'K19'!AF16+'K19'!AF17+'K19'!AF18</f>
        <v>0</v>
      </c>
      <c r="I382" s="289">
        <f>+'K19'!BM16+'K19'!BM17+'K19'!BM18</f>
        <v>8668</v>
      </c>
      <c r="J382" s="289">
        <f>+K0kommunestruktur2020!N121</f>
        <v>2728516.5400375482</v>
      </c>
      <c r="K382" s="517"/>
    </row>
    <row r="383" spans="1:11" ht="13">
      <c r="A383" s="1">
        <v>3802</v>
      </c>
      <c r="B383" s="2" t="s">
        <v>1625</v>
      </c>
      <c r="C383" s="289">
        <f>+K0kommunestruktur2020!K193</f>
        <v>24060.278558189999</v>
      </c>
      <c r="D383" s="289">
        <f>+'K19'!X26+'K19'!X27</f>
        <v>3200</v>
      </c>
      <c r="E383" s="289"/>
      <c r="F383" s="289">
        <f>+K0kommunestruktur2020!L193</f>
        <v>652653.90166845266</v>
      </c>
      <c r="G383" s="289">
        <f>+'K19'!AE26+'K19'!AE27</f>
        <v>3771</v>
      </c>
      <c r="H383" s="289">
        <f>+'K19'!AF26+'K19'!AF27</f>
        <v>20189.471535000001</v>
      </c>
      <c r="I383" s="289">
        <f>+'K19'!BM26+'K19'!BM27</f>
        <v>4731</v>
      </c>
      <c r="J383" s="289">
        <f>+K0kommunestruktur2020!N193</f>
        <v>675516.09132852731</v>
      </c>
      <c r="K383" s="517"/>
    </row>
    <row r="384" spans="1:11" ht="13">
      <c r="A384" s="1">
        <v>3803</v>
      </c>
      <c r="B384" s="2" t="s">
        <v>1626</v>
      </c>
      <c r="C384" s="289">
        <f>+K0kommunestruktur2020!K194</f>
        <v>54845.783021579999</v>
      </c>
      <c r="D384" s="289">
        <f>+'K19'!X24+'K19'!X28</f>
        <v>5000</v>
      </c>
      <c r="E384" s="289"/>
      <c r="F384" s="289">
        <f>+K0kommunestruktur2020!L194</f>
        <v>1605669.3773023367</v>
      </c>
      <c r="G384" s="289">
        <f>+'K19'!AE24+'K19'!AE28</f>
        <v>0</v>
      </c>
      <c r="H384" s="289">
        <f>+'K19'!AF24+'K19'!AF28</f>
        <v>3764.0787058400001</v>
      </c>
      <c r="I384" s="289">
        <f>+'K19'!BM24+'K19'!BM28</f>
        <v>6772</v>
      </c>
      <c r="J384" s="289">
        <f>+K0kommunestruktur2020!N194</f>
        <v>1680635.555433885</v>
      </c>
      <c r="K384" s="517"/>
    </row>
    <row r="385" spans="1:11" ht="13">
      <c r="A385" s="1">
        <v>3817</v>
      </c>
      <c r="B385" s="2" t="s">
        <v>1627</v>
      </c>
      <c r="C385" s="289">
        <f>+K0kommunestruktur2020!K206</f>
        <v>10375.265494830001</v>
      </c>
      <c r="D385" s="289">
        <f>+'K19'!X29+'K19'!X30</f>
        <v>6000</v>
      </c>
      <c r="E385" s="289"/>
      <c r="F385" s="289">
        <f>+K0kommunestruktur2020!L206</f>
        <v>247525.6980683576</v>
      </c>
      <c r="G385" s="289">
        <f>+'K19'!AE29+'K19'!AE30</f>
        <v>4649</v>
      </c>
      <c r="H385" s="289">
        <f>+'K19'!AF29+'K19'!AF30</f>
        <v>0</v>
      </c>
      <c r="I385" s="289">
        <f>+'K19'!BM29+'K19'!BM30</f>
        <v>3869</v>
      </c>
      <c r="J385" s="289">
        <f>+K0kommunestruktur2020!N206</f>
        <v>254771.79346333424</v>
      </c>
      <c r="K385" s="517"/>
    </row>
    <row r="386" spans="1:11" ht="13">
      <c r="A386" s="1">
        <v>4204</v>
      </c>
      <c r="B386" s="2" t="s">
        <v>1628</v>
      </c>
      <c r="C386" s="289">
        <f>+K0kommunestruktur2020!K218</f>
        <v>109438</v>
      </c>
      <c r="D386" s="289">
        <f>+'K19'!X31+'K19'!X33+'K19'!X34</f>
        <v>12490</v>
      </c>
      <c r="E386" s="289"/>
      <c r="F386" s="289">
        <f>+K0kommunestruktur2020!L218</f>
        <v>2968176</v>
      </c>
      <c r="G386" s="289">
        <f>+'K19'!AE31+'K19'!AE33+'K19'!AE34</f>
        <v>5994</v>
      </c>
      <c r="H386" s="289">
        <f>+'K19'!AF31+'K19'!AF33+'K19'!AF34</f>
        <v>0</v>
      </c>
      <c r="I386" s="289">
        <f>+'K19'!BM31+'K19'!BM33+'K19'!BM34</f>
        <v>0</v>
      </c>
      <c r="J386" s="289">
        <f>+K0kommunestruktur2020!N218</f>
        <v>3051787</v>
      </c>
      <c r="K386" s="517"/>
    </row>
    <row r="387" spans="1:11" ht="13">
      <c r="A387" s="1">
        <v>4205</v>
      </c>
      <c r="B387" s="2" t="s">
        <v>1629</v>
      </c>
      <c r="C387" s="289">
        <f>+K0kommunestruktur2020!K219</f>
        <v>22905</v>
      </c>
      <c r="D387" s="289">
        <f>+'K19'!X32+'K19'!X35+'K19'!X37</f>
        <v>3600</v>
      </c>
      <c r="E387" s="289"/>
      <c r="F387" s="289">
        <f>+K0kommunestruktur2020!L219</f>
        <v>566314</v>
      </c>
      <c r="G387" s="289">
        <f>+'K19'!AE32+'K19'!AE35+'K19'!AE37</f>
        <v>0</v>
      </c>
      <c r="H387" s="289">
        <f>+'K19'!AF32+'K19'!AF35+'K19'!AF37</f>
        <v>0</v>
      </c>
      <c r="I387" s="289">
        <f>+'K19'!BM32+'K19'!BM35+'K19'!BM37</f>
        <v>4663</v>
      </c>
      <c r="J387" s="289">
        <f>+K0kommunestruktur2020!N219</f>
        <v>595597</v>
      </c>
      <c r="K387" s="517"/>
    </row>
    <row r="388" spans="1:11" ht="13">
      <c r="A388" s="1">
        <v>4225</v>
      </c>
      <c r="B388" s="2" t="s">
        <v>1630</v>
      </c>
      <c r="C388" s="289">
        <f>+K0kommunestruktur2020!K236</f>
        <v>10357</v>
      </c>
      <c r="D388" s="289">
        <f>+'K19'!X36+'K19'!X38</f>
        <v>2920</v>
      </c>
      <c r="E388" s="289"/>
      <c r="F388" s="289">
        <f>+K0kommunestruktur2020!L236</f>
        <v>236168</v>
      </c>
      <c r="G388" s="289">
        <f>+'K19'!AE36+'K19'!AE38</f>
        <v>0</v>
      </c>
      <c r="H388" s="289">
        <f>+'K19'!AF36+'K19'!AF38</f>
        <v>0</v>
      </c>
      <c r="I388" s="289">
        <f>+'K19'!BM36+'K19'!BM38</f>
        <v>3839</v>
      </c>
      <c r="J388" s="289">
        <f>+K0kommunestruktur2020!N236</f>
        <v>242283</v>
      </c>
      <c r="K388" s="517"/>
    </row>
    <row r="389" spans="1:11" ht="13">
      <c r="A389" s="1">
        <v>4602</v>
      </c>
      <c r="B389" s="2" t="s">
        <v>1631</v>
      </c>
      <c r="C389" s="289">
        <f>+K0kommunestruktur2020!K241</f>
        <v>17469.174222869999</v>
      </c>
      <c r="D389" s="289">
        <f>+'K19'!X78+'K19'!X86</f>
        <v>12900</v>
      </c>
      <c r="E389" s="289"/>
      <c r="F389" s="289">
        <f>+K0kommunestruktur2020!L241</f>
        <v>488200.73482211295</v>
      </c>
      <c r="G389" s="289">
        <f>+'K19'!AE78+'K19'!AE86</f>
        <v>0</v>
      </c>
      <c r="H389" s="289">
        <f>+'K19'!AF78+'K19'!AF86</f>
        <v>0</v>
      </c>
      <c r="I389" s="289">
        <f>+'K19'!BM78+'K19'!BM86</f>
        <v>4340</v>
      </c>
      <c r="J389" s="289">
        <f>+K0kommunestruktur2020!N241</f>
        <v>531457.55268768943</v>
      </c>
      <c r="K389" s="517"/>
    </row>
    <row r="390" spans="1:11" ht="13">
      <c r="A390" s="1">
        <v>4618</v>
      </c>
      <c r="B390" s="2" t="s">
        <v>1632</v>
      </c>
      <c r="C390" s="289">
        <f>+K0kommunestruktur2020!K249</f>
        <v>11225.13414634</v>
      </c>
      <c r="D390" s="289">
        <f>+'K19'!X65+'K19'!X66+'K19'!X67</f>
        <v>4100</v>
      </c>
      <c r="E390" s="289"/>
      <c r="F390" s="289">
        <f>+K0kommunestruktur2020!L249</f>
        <v>333806.10975605407</v>
      </c>
      <c r="G390" s="289">
        <f>+'K19'!AE65+'K19'!AE66+'K19'!AE67</f>
        <v>0</v>
      </c>
      <c r="H390" s="289">
        <f>+'K19'!AF65+'K19'!AF66+'K19'!AF67</f>
        <v>0</v>
      </c>
      <c r="I390" s="289">
        <f>+'K19'!BM65+'K19'!BM66+'K19'!BM67</f>
        <v>3899</v>
      </c>
      <c r="J390" s="289">
        <f>+K0kommunestruktur2020!N249</f>
        <v>346985.25609756098</v>
      </c>
      <c r="K390" s="517"/>
    </row>
    <row r="391" spans="1:11" ht="13">
      <c r="A391" s="1">
        <v>4621</v>
      </c>
      <c r="B391" s="2" t="s">
        <v>1633</v>
      </c>
      <c r="C391" s="289">
        <f>+K0kommunestruktur2020!K252</f>
        <v>15575.84687641</v>
      </c>
      <c r="D391" s="289">
        <f>+'K19'!X68+'K19'!X69</f>
        <v>6800</v>
      </c>
      <c r="E391" s="289"/>
      <c r="F391" s="289">
        <f>+K0kommunestruktur2020!L252</f>
        <v>428051.55098765466</v>
      </c>
      <c r="G391" s="289">
        <f>+'K19'!AE68+'K19'!AE69</f>
        <v>0</v>
      </c>
      <c r="H391" s="289">
        <f>+'K19'!AF68+'K19'!AF69</f>
        <v>0</v>
      </c>
      <c r="I391" s="289">
        <f>+'K19'!BM68+'K19'!BM69</f>
        <v>4178</v>
      </c>
      <c r="J391" s="289">
        <f>+K0kommunestruktur2020!N252</f>
        <v>453051.44811169017</v>
      </c>
      <c r="K391" s="517"/>
    </row>
    <row r="392" spans="1:11" ht="13">
      <c r="A392" s="1">
        <v>4624</v>
      </c>
      <c r="B392" s="2" t="s">
        <v>1634</v>
      </c>
      <c r="C392" s="289">
        <f>+K0kommunestruktur2020!K255</f>
        <v>24493</v>
      </c>
      <c r="D392" s="289">
        <f>+'K19'!X70+'K19'!X71</f>
        <v>5900</v>
      </c>
      <c r="E392" s="289"/>
      <c r="F392" s="289">
        <f>+K0kommunestruktur2020!L255</f>
        <v>677975</v>
      </c>
      <c r="G392" s="289">
        <f>+'K19'!AE70+'K19'!AE71</f>
        <v>13458</v>
      </c>
      <c r="H392" s="289">
        <f>+'K19'!AF70+'K19'!AF71</f>
        <v>0</v>
      </c>
      <c r="I392" s="289">
        <f>+'K19'!BM70+'K19'!BM71</f>
        <v>4768</v>
      </c>
      <c r="J392" s="289">
        <f>+K0kommunestruktur2020!N255</f>
        <v>706159</v>
      </c>
      <c r="K392" s="517"/>
    </row>
    <row r="393" spans="1:11" ht="13">
      <c r="A393" s="1">
        <v>4626</v>
      </c>
      <c r="B393" s="2" t="s">
        <v>1635</v>
      </c>
      <c r="C393" s="289">
        <f>+K0kommunestruktur2020!K257</f>
        <v>37687</v>
      </c>
      <c r="D393" s="289">
        <f>+'K19'!X72+'K19'!X73+'K19'!X75</f>
        <v>3100</v>
      </c>
      <c r="E393" s="289"/>
      <c r="F393" s="289">
        <f>+K0kommunestruktur2020!L257</f>
        <v>1041433</v>
      </c>
      <c r="G393" s="289">
        <f>+'K19'!AE72+'K19'!AE73+'K19'!AE75</f>
        <v>6061</v>
      </c>
      <c r="H393" s="289">
        <f>+'K19'!AF72+'K19'!AF73+'K19'!AF75</f>
        <v>0</v>
      </c>
      <c r="I393" s="289">
        <f>+'K19'!BM72+'K19'!BM73+'K19'!BM75</f>
        <v>5635</v>
      </c>
      <c r="J393" s="289">
        <f>+K0kommunestruktur2020!N257</f>
        <v>1088369</v>
      </c>
      <c r="K393" s="517"/>
    </row>
    <row r="394" spans="1:11" ht="13">
      <c r="A394" s="1">
        <v>4631</v>
      </c>
      <c r="B394" s="2" t="s">
        <v>1636</v>
      </c>
      <c r="C394" s="289">
        <f>+K0kommunestruktur2020!K262</f>
        <v>28997</v>
      </c>
      <c r="D394" s="289">
        <f>+'K19'!X74+'K19'!X76+'K19'!X77</f>
        <v>7300</v>
      </c>
      <c r="E394" s="289"/>
      <c r="F394" s="289">
        <f>+K0kommunestruktur2020!L262</f>
        <v>743913</v>
      </c>
      <c r="G394" s="289">
        <f>+'K19'!AE74+'K19'!AE76+'K19'!AE77</f>
        <v>269</v>
      </c>
      <c r="H394" s="289">
        <f>+'K19'!AF74+'K19'!AF76+'K19'!AF77</f>
        <v>0</v>
      </c>
      <c r="I394" s="289">
        <f>+'K19'!BM74+'K19'!BM76+'K19'!BM77</f>
        <v>5064</v>
      </c>
      <c r="J394" s="289">
        <f>+K0kommunestruktur2020!N262</f>
        <v>793379</v>
      </c>
      <c r="K394" s="517"/>
    </row>
    <row r="395" spans="1:11" ht="13">
      <c r="A395" s="1">
        <v>4640</v>
      </c>
      <c r="B395" s="2" t="s">
        <v>1637</v>
      </c>
      <c r="C395" s="289">
        <f>+K0kommunestruktur2020!K271</f>
        <v>11571.098212020001</v>
      </c>
      <c r="D395" s="289">
        <f>+'K19'!X79+'K19'!X80+'K19'!X81</f>
        <v>6500</v>
      </c>
      <c r="E395" s="289"/>
      <c r="F395" s="289">
        <f>+K0kommunestruktur2020!L271</f>
        <v>322024.87331593392</v>
      </c>
      <c r="G395" s="289">
        <f>+'K19'!AE79+'K19'!AE80+'K19'!AE81</f>
        <v>1099</v>
      </c>
      <c r="H395" s="289">
        <f>+'K19'!AF79+'K19'!AF80+'K19'!AF81</f>
        <v>0</v>
      </c>
      <c r="I395" s="289">
        <f>+'K19'!BM79+'K19'!BM80+'K19'!BM81</f>
        <v>3925</v>
      </c>
      <c r="J395" s="289">
        <f>+K0kommunestruktur2020!N271</f>
        <v>322538.65943564102</v>
      </c>
      <c r="K395" s="517"/>
    </row>
    <row r="396" spans="1:11" ht="13">
      <c r="A396" s="1">
        <v>4647</v>
      </c>
      <c r="B396" s="2" t="s">
        <v>1638</v>
      </c>
      <c r="C396" s="289">
        <f>+K0kommunestruktur2020!K278</f>
        <v>21963</v>
      </c>
      <c r="D396" s="289">
        <f>+'K19'!X82+'K19'!X83+'K19'!X84+'K19'!X85</f>
        <v>13000</v>
      </c>
      <c r="E396" s="289"/>
      <c r="F396" s="289">
        <f>+K0kommunestruktur2020!L278</f>
        <v>609420</v>
      </c>
      <c r="G396" s="289">
        <f>+'K19'!AE82+'K19'!AE83+'K19'!AE84+'K19'!AE85</f>
        <v>0</v>
      </c>
      <c r="H396" s="289">
        <f>+'K19'!AF82+'K19'!AF83+'K19'!AF84+'K19'!AF85</f>
        <v>0</v>
      </c>
      <c r="I396" s="289">
        <f>+'K19'!BM82+'K19'!BM83+'K19'!BM84+'K19'!BM85</f>
        <v>4602</v>
      </c>
      <c r="J396" s="289">
        <f>+K0kommunestruktur2020!N278</f>
        <v>641641</v>
      </c>
      <c r="K396" s="517"/>
    </row>
    <row r="397" spans="1:11" ht="13">
      <c r="A397" s="1">
        <v>4649</v>
      </c>
      <c r="B397" s="2" t="s">
        <v>1639</v>
      </c>
      <c r="C397" s="289">
        <f>+K0kommunestruktur2020!K280</f>
        <v>9429.9260508000007</v>
      </c>
      <c r="D397" s="289">
        <f>+'K19'!X87+'K19'!X88</f>
        <v>2500</v>
      </c>
      <c r="E397" s="289"/>
      <c r="F397" s="289">
        <f>+K0kommunestruktur2020!L280</f>
        <v>236944.61148577908</v>
      </c>
      <c r="G397" s="289">
        <f>+'K19'!AE87+'K19'!AE88</f>
        <v>0</v>
      </c>
      <c r="H397" s="289">
        <f>+'K19'!AF87+'K19'!AF88</f>
        <v>0</v>
      </c>
      <c r="I397" s="289">
        <f>+'K19'!BM87+'K19'!BM88</f>
        <v>3744</v>
      </c>
      <c r="J397" s="289">
        <f>+K0kommunestruktur2020!N280</f>
        <v>249113.38413126545</v>
      </c>
      <c r="K397" s="517"/>
    </row>
    <row r="398" spans="1:11" ht="13">
      <c r="A398" s="1">
        <v>5001</v>
      </c>
      <c r="B398" s="2" t="s">
        <v>118</v>
      </c>
      <c r="C398" s="289">
        <f>+K0kommunestruktur2020!K283</f>
        <v>199595</v>
      </c>
      <c r="D398" s="289">
        <f>+'K19'!X342+'K19'!X364</f>
        <v>3900</v>
      </c>
      <c r="E398" s="289"/>
      <c r="F398" s="289">
        <f>+K0kommunestruktur2020!L283</f>
        <v>6181799</v>
      </c>
      <c r="G398" s="289">
        <f>+'K19'!AE342+'K19'!AE364</f>
        <v>13213</v>
      </c>
      <c r="H398" s="289">
        <f>+'K19'!AF342+'K19'!AF364</f>
        <v>0</v>
      </c>
      <c r="I398" s="289">
        <f>+'K19'!BM342+'K19'!BM364</f>
        <v>0</v>
      </c>
      <c r="J398" s="289">
        <f>+K0kommunestruktur2020!N283</f>
        <v>6465972</v>
      </c>
      <c r="K398" s="517"/>
    </row>
    <row r="399" spans="1:11" ht="13">
      <c r="A399" s="1">
        <v>5006</v>
      </c>
      <c r="B399" s="2" t="s">
        <v>1640</v>
      </c>
      <c r="C399" s="289">
        <f>+K0kommunestruktur2020!K284</f>
        <v>24501.918089570001</v>
      </c>
      <c r="D399" s="289">
        <f>+'K19'!X343+'K19'!X373</f>
        <v>700</v>
      </c>
      <c r="E399" s="289"/>
      <c r="F399" s="289">
        <f>+K0kommunestruktur2020!L284</f>
        <v>556543.28310033213</v>
      </c>
      <c r="G399" s="289">
        <f>+'K19'!AE343+'K19'!AE373</f>
        <v>0</v>
      </c>
      <c r="H399" s="289">
        <f>+'K19'!AF343+'K19'!AF373</f>
        <v>0</v>
      </c>
      <c r="I399" s="289">
        <f>+'K19'!BM343+'K19'!BM373</f>
        <v>4773</v>
      </c>
      <c r="J399" s="289">
        <f>+K0kommunestruktur2020!N284</f>
        <v>573022.16683646443</v>
      </c>
      <c r="K399" s="517"/>
    </row>
    <row r="400" spans="1:11" ht="13">
      <c r="A400" s="1">
        <v>5007</v>
      </c>
      <c r="B400" s="2" t="s">
        <v>1641</v>
      </c>
      <c r="C400" s="289">
        <f>+K0kommunestruktur2020!K285</f>
        <v>15331.956649670001</v>
      </c>
      <c r="D400" s="289">
        <f>+'K19'!X344+'K19'!X374+'K19'!X382</f>
        <v>1050</v>
      </c>
      <c r="E400" s="289"/>
      <c r="F400" s="289">
        <f>+K0kommunestruktur2020!L285</f>
        <v>364395.08826999209</v>
      </c>
      <c r="G400" s="289">
        <f>+'K19'!AE344+'K19'!AE374+'K19'!AE382</f>
        <v>0</v>
      </c>
      <c r="H400" s="289">
        <f>+'K19'!AF344+'K19'!AF374+'K19'!AF382</f>
        <v>0</v>
      </c>
      <c r="I400" s="289">
        <f>+'K19'!BM344+'K19'!BM374+'K19'!BM382</f>
        <v>4162</v>
      </c>
      <c r="J400" s="289">
        <f>+K0kommunestruktur2020!N285</f>
        <v>387783.82208709297</v>
      </c>
      <c r="K400" s="517"/>
    </row>
    <row r="401" spans="1:11" ht="13">
      <c r="A401" s="1">
        <v>5055</v>
      </c>
      <c r="B401" s="2" t="s">
        <v>1642</v>
      </c>
      <c r="C401" s="289">
        <f>+K0kommunestruktur2020!K314</f>
        <v>6001.5015015015015</v>
      </c>
      <c r="D401" s="289">
        <f>+'K19'!X122+'K19'!X345+'K19'!X346*208/(208+324+467)</f>
        <v>280</v>
      </c>
      <c r="E401" s="289"/>
      <c r="F401" s="289">
        <f>+K0kommunestruktur2020!L314</f>
        <v>153172.37637637637</v>
      </c>
      <c r="G401" s="289">
        <f>+'K19'!AE122+'K19'!AE345+'K19'!AE346*208/(208+324+467)</f>
        <v>0</v>
      </c>
      <c r="H401" s="289">
        <f>+'K19'!AF122+'K19'!AF345+'K19'!AF346*208/(208+324+467)</f>
        <v>0</v>
      </c>
      <c r="I401" s="289">
        <f>+'K19'!BM122+'K19'!BM345</f>
        <v>0</v>
      </c>
      <c r="J401" s="289">
        <f>+K0kommunestruktur2020!N314</f>
        <v>163996.97697697696</v>
      </c>
      <c r="K401" s="517"/>
    </row>
    <row r="402" spans="1:11" ht="13">
      <c r="A402" s="1">
        <v>5056</v>
      </c>
      <c r="B402" s="2" t="s">
        <v>1643</v>
      </c>
      <c r="C402" s="289">
        <f>+K0kommunestruktur2020!K315</f>
        <v>4968.1081081081084</v>
      </c>
      <c r="D402" s="289">
        <f>+'K19'!X347+'K19'!X346*324/(208+324+467)</f>
        <v>200</v>
      </c>
      <c r="E402" s="289"/>
      <c r="F402" s="289">
        <f>+K0kommunestruktur2020!L315</f>
        <v>123056.43243243243</v>
      </c>
      <c r="G402" s="289">
        <f>+'K19'!AE347+'K19'!AE346*324/(208+324+467)</f>
        <v>0</v>
      </c>
      <c r="H402" s="289">
        <f>+'K19'!AF347+'K19'!AF346*324/(208+324+467)</f>
        <v>0</v>
      </c>
      <c r="I402" s="289">
        <f>+'K19'!BM347</f>
        <v>0</v>
      </c>
      <c r="J402" s="289">
        <f>+K0kommunestruktur2020!N315</f>
        <v>131903.67567567568</v>
      </c>
      <c r="K402" s="517"/>
    </row>
    <row r="403" spans="1:11" ht="13">
      <c r="A403" s="1">
        <v>5057</v>
      </c>
      <c r="B403" s="2" t="s">
        <v>1644</v>
      </c>
      <c r="C403" s="289">
        <f>+K0kommunestruktur2020!K316</f>
        <v>10215</v>
      </c>
      <c r="D403" s="289">
        <f>+'K19'!X349+'K19'!X351</f>
        <v>2500</v>
      </c>
      <c r="E403" s="289"/>
      <c r="F403" s="289">
        <f>+K0kommunestruktur2020!L316</f>
        <v>252402</v>
      </c>
      <c r="G403" s="289">
        <f>+'K19'!AE349+'K19'!AE351</f>
        <v>0</v>
      </c>
      <c r="H403" s="289">
        <f>+'K19'!AF349+'K19'!AF351</f>
        <v>0</v>
      </c>
      <c r="I403" s="289">
        <f>+'K19'!BM349+'K19'!BM351</f>
        <v>3829</v>
      </c>
      <c r="J403" s="289">
        <f>+K0kommunestruktur2020!N316</f>
        <v>261440</v>
      </c>
      <c r="K403" s="517"/>
    </row>
    <row r="404" spans="1:11" ht="13">
      <c r="A404" s="1">
        <v>5058</v>
      </c>
      <c r="B404" s="2" t="s">
        <v>1645</v>
      </c>
      <c r="C404" s="289">
        <f>+K0kommunestruktur2020!K317</f>
        <v>4230</v>
      </c>
      <c r="D404" s="289">
        <f>+'K19'!X352+'K19'!X353</f>
        <v>150</v>
      </c>
      <c r="E404" s="289"/>
      <c r="F404" s="289">
        <f>+K0kommunestruktur2020!L317</f>
        <v>105726</v>
      </c>
      <c r="G404" s="289">
        <f>+'K19'!AE352+'K19'!AE353</f>
        <v>0</v>
      </c>
      <c r="H404" s="289">
        <f>+'K19'!AF352+'K19'!AF353</f>
        <v>0</v>
      </c>
      <c r="I404" s="289">
        <f>+'K19'!BM352+'K19'!BM353</f>
        <v>0</v>
      </c>
      <c r="J404" s="289">
        <f>+K0kommunestruktur2020!N317</f>
        <v>112012</v>
      </c>
      <c r="K404" s="517"/>
    </row>
    <row r="405" spans="1:11" ht="13">
      <c r="A405" s="1">
        <v>5059</v>
      </c>
      <c r="B405" s="2" t="s">
        <v>1646</v>
      </c>
      <c r="C405" s="289">
        <f>+K0kommunestruktur2020!K318</f>
        <v>18008.390390390392</v>
      </c>
      <c r="D405" s="289">
        <f>+'K19'!X350+'K19'!X357+'K19'!X358+'K19'!X346*467/(208+324+467)</f>
        <v>2050</v>
      </c>
      <c r="E405" s="289"/>
      <c r="F405" s="289">
        <f>+K0kommunestruktur2020!L318</f>
        <v>426122.1911911912</v>
      </c>
      <c r="G405" s="289">
        <f>+'K19'!AE350+'K19'!AE357+'K19'!AE358+'K19'!AE346*467/(208+324+467)</f>
        <v>0</v>
      </c>
      <c r="H405" s="289">
        <f>+'K19'!AF350+'K19'!AF357+'K19'!AF358+'K19'!AF346*467/(208+324+467)</f>
        <v>0</v>
      </c>
      <c r="I405" s="289">
        <f>+'K19'!BM350+'K19'!BM357+'K19'!BM358+'K19'!BM346</f>
        <v>4341</v>
      </c>
      <c r="J405" s="289">
        <f>+K0kommunestruktur2020!N318</f>
        <v>456741.34734734736</v>
      </c>
      <c r="K405" s="517"/>
    </row>
    <row r="406" spans="1:11" ht="13">
      <c r="A406" s="1">
        <v>5060</v>
      </c>
      <c r="B406" s="2" t="s">
        <v>1647</v>
      </c>
      <c r="C406" s="289">
        <f>+K0kommunestruktur2020!K319</f>
        <v>9558.2166839399997</v>
      </c>
      <c r="D406" s="289">
        <f>+'K19'!X384+'K19'!X385</f>
        <v>300</v>
      </c>
      <c r="E406" s="289"/>
      <c r="F406" s="289">
        <f>+K0kommunestruktur2020!L319</f>
        <v>251414.22279798469</v>
      </c>
      <c r="G406" s="289">
        <f>+'K19'!AE384+'K19'!AE385</f>
        <v>0</v>
      </c>
      <c r="H406" s="289">
        <f>+'K19'!AF384+'K19'!AF385</f>
        <v>0</v>
      </c>
      <c r="I406" s="289">
        <f>+'K19'!BM384+'K19'!BM385</f>
        <v>3790</v>
      </c>
      <c r="J406" s="289">
        <f>+K0kommunestruktur2020!N319</f>
        <v>273864.94093264249</v>
      </c>
      <c r="K406" s="517"/>
    </row>
    <row r="407" spans="1:11" ht="13">
      <c r="A407" s="1">
        <v>5406</v>
      </c>
      <c r="B407" s="2" t="s">
        <v>1648</v>
      </c>
      <c r="C407" s="289">
        <f>+K0kommunestruktur2020!K326</f>
        <v>11560</v>
      </c>
      <c r="D407" s="289">
        <f>+'K19'!X174+'K19'!X175</f>
        <v>1510</v>
      </c>
      <c r="E407" s="289"/>
      <c r="F407" s="289">
        <f>+K0kommunestruktur2020!L326</f>
        <v>327526</v>
      </c>
      <c r="G407" s="289">
        <f>+'K19'!AE174+'K19'!AE175</f>
        <v>0</v>
      </c>
      <c r="H407" s="289">
        <f>+'K19'!AF174+'K19'!AF175</f>
        <v>0</v>
      </c>
      <c r="I407" s="289">
        <f>+'K19'!BM174+'K19'!BM175</f>
        <v>3918</v>
      </c>
      <c r="J407" s="289">
        <f>+K0kommunestruktur2020!N326</f>
        <v>340580</v>
      </c>
      <c r="K407" s="517"/>
    </row>
    <row r="408" spans="1:11" ht="13">
      <c r="A408" s="1">
        <v>5412</v>
      </c>
      <c r="B408" s="2" t="s">
        <v>1649</v>
      </c>
      <c r="C408" s="289">
        <f>+K0kommunestruktur2020!K328</f>
        <v>4253</v>
      </c>
      <c r="D408" s="289">
        <f>+'K19'!X155+'K19'!X169</f>
        <v>1600</v>
      </c>
      <c r="E408" s="289"/>
      <c r="F408" s="289">
        <f>+K0kommunestruktur2020!L328</f>
        <v>96820</v>
      </c>
      <c r="G408" s="289">
        <f>+'K19'!AE155+'K19'!AE169</f>
        <v>0</v>
      </c>
      <c r="H408" s="289">
        <f>+'K19'!AF155+'K19'!AF169</f>
        <v>0</v>
      </c>
      <c r="I408" s="289">
        <f>+'K19'!BM155+'K19'!BM169</f>
        <v>0</v>
      </c>
      <c r="J408" s="289">
        <f>+K0kommunestruktur2020!N328</f>
        <v>100932</v>
      </c>
      <c r="K408" s="517"/>
    </row>
    <row r="409" spans="1:11" ht="13">
      <c r="A409" s="1">
        <v>5421</v>
      </c>
      <c r="B409" s="2" t="s">
        <v>1650</v>
      </c>
      <c r="C409" s="289">
        <f>+K0kommunestruktur2020!K337</f>
        <v>15025</v>
      </c>
      <c r="D409" s="289">
        <f>+'K19'!X170+'K19'!X171+'K19'!X172+'K19'!X173</f>
        <v>5829</v>
      </c>
      <c r="E409" s="289"/>
      <c r="F409" s="289">
        <f>+K0kommunestruktur2020!L337</f>
        <v>372209</v>
      </c>
      <c r="G409" s="289">
        <f>+'K19'!AE170+'K19'!AE171+'K19'!AE172+'K19'!AE173</f>
        <v>431</v>
      </c>
      <c r="H409" s="289">
        <f>+'K19'!AF170+'K19'!AF171+'K19'!AF172+'K19'!AF173</f>
        <v>0</v>
      </c>
      <c r="I409" s="289">
        <f>+'K19'!BM170+'K19'!BM171+'K19'!BM172+'K19'!BM173</f>
        <v>4146</v>
      </c>
      <c r="J409" s="289">
        <f>+K0kommunestruktur2020!N337</f>
        <v>392512</v>
      </c>
      <c r="K409" s="517"/>
    </row>
    <row r="410" spans="1:11" ht="13">
      <c r="A410" s="916"/>
      <c r="B410" s="917"/>
      <c r="C410" s="918"/>
      <c r="D410" s="918"/>
      <c r="E410" s="918"/>
      <c r="F410" s="918"/>
      <c r="G410" s="918"/>
      <c r="H410" s="918"/>
      <c r="I410" s="918"/>
      <c r="J410" s="918"/>
      <c r="K410" s="517"/>
    </row>
    <row r="411" spans="1:11" ht="13">
      <c r="A411" s="1"/>
      <c r="B411" s="2" t="s">
        <v>974</v>
      </c>
      <c r="C411" s="289">
        <f>SUM(C367:C409)</f>
        <v>1544828.7362264597</v>
      </c>
      <c r="D411" s="289">
        <f t="shared" ref="D411:J411" si="64">SUM(D367:D409)</f>
        <v>191009</v>
      </c>
      <c r="E411" s="289"/>
      <c r="F411" s="289">
        <f t="shared" si="64"/>
        <v>46315175.153577834</v>
      </c>
      <c r="G411" s="289"/>
      <c r="H411" s="289"/>
      <c r="I411" s="289"/>
      <c r="J411" s="289">
        <f t="shared" si="64"/>
        <v>48606250.215936184</v>
      </c>
      <c r="K411" s="517"/>
    </row>
    <row r="412" spans="1:11" ht="13">
      <c r="A412" s="1"/>
      <c r="B412" s="2"/>
      <c r="C412" s="289"/>
      <c r="D412" s="289"/>
      <c r="E412" s="289"/>
      <c r="F412" s="289"/>
      <c r="G412" s="289"/>
      <c r="H412" s="289"/>
      <c r="I412" s="289"/>
      <c r="J412" s="289"/>
      <c r="K412" s="517"/>
    </row>
    <row r="413" spans="1:11" ht="13">
      <c r="A413" s="1"/>
      <c r="B413" s="2"/>
      <c r="C413" s="289"/>
      <c r="D413" s="289"/>
      <c r="E413" s="289"/>
      <c r="F413" s="289"/>
      <c r="G413" s="289"/>
      <c r="H413" s="289"/>
      <c r="I413" s="289"/>
      <c r="J413" s="289"/>
      <c r="K413" s="517"/>
    </row>
    <row r="414" spans="1:11" ht="13">
      <c r="A414" s="1"/>
      <c r="B414" s="2"/>
      <c r="C414" s="289"/>
      <c r="D414" s="289"/>
      <c r="E414" s="289"/>
      <c r="F414" s="289"/>
      <c r="G414" s="289"/>
      <c r="H414" s="289"/>
      <c r="I414" s="289"/>
      <c r="J414" s="289"/>
      <c r="K414" s="517"/>
    </row>
    <row r="415" spans="1:11" ht="13">
      <c r="A415" s="1"/>
      <c r="B415" s="2"/>
      <c r="C415" s="289"/>
      <c r="D415" s="289"/>
      <c r="E415" s="289"/>
      <c r="F415" s="289"/>
      <c r="G415" s="289"/>
      <c r="H415" s="289"/>
      <c r="I415" s="289"/>
      <c r="J415" s="289"/>
      <c r="K415" s="517"/>
    </row>
    <row r="416" spans="1:11" ht="13">
      <c r="A416" s="1"/>
      <c r="B416" s="2"/>
      <c r="C416" s="289"/>
      <c r="D416" s="289"/>
      <c r="E416" s="289"/>
      <c r="F416" s="289"/>
      <c r="G416" s="289"/>
      <c r="H416" s="289"/>
      <c r="I416" s="289"/>
      <c r="J416" s="289"/>
      <c r="K416" s="517"/>
    </row>
    <row r="417" spans="1:11" ht="13">
      <c r="A417" s="1"/>
      <c r="B417" s="2"/>
      <c r="C417" s="289"/>
      <c r="D417" s="289"/>
      <c r="E417" s="289"/>
      <c r="F417" s="289"/>
      <c r="G417" s="289"/>
      <c r="H417" s="289"/>
      <c r="I417" s="289"/>
      <c r="J417" s="289"/>
      <c r="K417" s="517"/>
    </row>
    <row r="418" spans="1:11" ht="13">
      <c r="A418" s="1"/>
      <c r="B418" s="2"/>
      <c r="C418" s="289"/>
      <c r="D418" s="289"/>
      <c r="E418" s="289"/>
      <c r="F418" s="289"/>
      <c r="G418" s="289"/>
      <c r="H418" s="289"/>
      <c r="I418" s="289"/>
      <c r="J418" s="289"/>
      <c r="K418" s="517"/>
    </row>
    <row r="419" spans="1:11" ht="13">
      <c r="A419" s="1"/>
      <c r="B419" s="2"/>
      <c r="C419" s="289"/>
      <c r="D419" s="289"/>
      <c r="E419" s="289"/>
      <c r="F419" s="289"/>
      <c r="G419" s="289"/>
      <c r="H419" s="289"/>
      <c r="I419" s="289"/>
      <c r="J419" s="289"/>
      <c r="K419" s="517"/>
    </row>
    <row r="420" spans="1:11" ht="13">
      <c r="A420" s="1"/>
      <c r="B420" s="2"/>
      <c r="C420" s="289"/>
      <c r="D420" s="289"/>
      <c r="E420" s="289"/>
      <c r="F420" s="289"/>
      <c r="G420" s="289"/>
      <c r="H420" s="289"/>
      <c r="I420" s="289"/>
      <c r="J420" s="289"/>
      <c r="K420" s="517"/>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2.5"/>
  <cols>
    <col min="1" max="1" width="5" bestFit="1" customWidth="1"/>
    <col min="2" max="2" width="17.81640625" bestFit="1" customWidth="1"/>
    <col min="4" max="4" width="12.26953125" bestFit="1" customWidth="1"/>
    <col min="5" max="5" width="11.7265625" bestFit="1" customWidth="1"/>
  </cols>
  <sheetData>
    <row r="1" spans="1:6" s="85" customFormat="1">
      <c r="A1"/>
      <c r="B1" s="74" t="s">
        <v>719</v>
      </c>
      <c r="C1"/>
      <c r="D1" s="320"/>
      <c r="E1" s="320"/>
    </row>
    <row r="2" spans="1:6" s="85" customFormat="1" ht="65.25" customHeight="1">
      <c r="A2" s="120" t="s">
        <v>775</v>
      </c>
      <c r="B2" s="120" t="s">
        <v>776</v>
      </c>
      <c r="C2" s="122" t="s">
        <v>1257</v>
      </c>
      <c r="D2" s="122" t="s">
        <v>1858</v>
      </c>
      <c r="E2" s="122" t="s">
        <v>1859</v>
      </c>
    </row>
    <row r="3" spans="1:6" s="85" customFormat="1" ht="13">
      <c r="A3" s="121">
        <v>1</v>
      </c>
      <c r="B3" s="121">
        <v>2</v>
      </c>
      <c r="C3" s="552">
        <v>3</v>
      </c>
      <c r="D3" s="623">
        <v>4</v>
      </c>
      <c r="E3" s="623">
        <v>5</v>
      </c>
    </row>
    <row r="4" spans="1:6" s="85" customFormat="1" ht="13">
      <c r="A4" s="1">
        <v>104</v>
      </c>
      <c r="B4" s="2" t="s">
        <v>784</v>
      </c>
      <c r="C4" s="289">
        <f>VLOOKUP(A4,'K18'!$A$4:$BX$425,3,FALSE)</f>
        <v>32588</v>
      </c>
      <c r="D4" s="289">
        <f>VLOOKUP(A4,'K18'!$A$4:$BX$425,26,FALSE)</f>
        <v>850407</v>
      </c>
      <c r="E4" s="289">
        <f>VLOOKUP(A4,'K19'!$A$4:$BX$425,26,FALSE)</f>
        <v>900954</v>
      </c>
      <c r="F4" s="517"/>
    </row>
    <row r="5" spans="1:6" s="85" customFormat="1" ht="13">
      <c r="A5" s="1">
        <v>121</v>
      </c>
      <c r="B5" s="2" t="s">
        <v>790</v>
      </c>
      <c r="C5" s="289">
        <f>VLOOKUP(A5,'K18'!$A$4:$BX$425,3,FALSE)</f>
        <v>682</v>
      </c>
      <c r="D5" s="289">
        <f>VLOOKUP(A5,'K18'!$A$4:$BX$425,26,FALSE)</f>
        <v>17031</v>
      </c>
      <c r="E5" s="289">
        <f>VLOOKUP(A5,'K19'!$A$4:$BX$425,26,FALSE)</f>
        <v>20151</v>
      </c>
      <c r="F5" s="517"/>
    </row>
    <row r="6" spans="1:6" s="85" customFormat="1" ht="13">
      <c r="A6" s="1">
        <v>122</v>
      </c>
      <c r="B6" s="2" t="s">
        <v>791</v>
      </c>
      <c r="C6" s="289">
        <f>VLOOKUP(A6,'K18'!$A$4:$BX$425,3,FALSE)</f>
        <v>5337</v>
      </c>
      <c r="D6" s="289">
        <f>VLOOKUP(A6,'K18'!$A$4:$BX$425,26,FALSE)</f>
        <v>136209</v>
      </c>
      <c r="E6" s="289">
        <f>VLOOKUP(A6,'K19'!$A$4:$BX$425,26,FALSE)</f>
        <v>136422</v>
      </c>
      <c r="F6" s="517"/>
    </row>
    <row r="7" spans="1:6" s="85" customFormat="1" ht="13">
      <c r="A7" s="1">
        <v>123</v>
      </c>
      <c r="B7" s="2" t="s">
        <v>792</v>
      </c>
      <c r="C7" s="289">
        <f>VLOOKUP(A7,'K18'!$A$4:$BX$425,3,FALSE)</f>
        <v>5853</v>
      </c>
      <c r="D7" s="289">
        <f>VLOOKUP(A7,'K18'!$A$4:$BX$425,26,FALSE)</f>
        <v>162032</v>
      </c>
      <c r="E7" s="289">
        <f>VLOOKUP(A7,'K19'!$A$4:$BX$425,26,FALSE)</f>
        <v>175085</v>
      </c>
      <c r="F7" s="517"/>
    </row>
    <row r="8" spans="1:6" s="85" customFormat="1" ht="13">
      <c r="A8" s="1">
        <v>124</v>
      </c>
      <c r="B8" s="2" t="s">
        <v>793</v>
      </c>
      <c r="C8" s="289">
        <f>VLOOKUP(A8,'K18'!$A$4:$BX$425,3,FALSE)</f>
        <v>15810</v>
      </c>
      <c r="D8" s="289">
        <f>VLOOKUP(A8,'K18'!$A$4:$BX$425,26,FALSE)</f>
        <v>423469</v>
      </c>
      <c r="E8" s="289">
        <f>VLOOKUP(A8,'K19'!$A$4:$BX$425,26,FALSE)</f>
        <v>439426</v>
      </c>
      <c r="F8" s="517"/>
    </row>
    <row r="9" spans="1:6" s="85" customFormat="1" ht="13">
      <c r="A9" s="1">
        <v>125</v>
      </c>
      <c r="B9" s="2" t="s">
        <v>794</v>
      </c>
      <c r="C9" s="289">
        <f>VLOOKUP(A9,'K18'!$A$4:$BX$425,3,FALSE)</f>
        <v>11414</v>
      </c>
      <c r="D9" s="289">
        <f>VLOOKUP(A9,'K18'!$A$4:$BX$425,26,FALSE)</f>
        <v>287718</v>
      </c>
      <c r="E9" s="289">
        <f>VLOOKUP(A9,'K19'!$A$4:$BX$425,26,FALSE)</f>
        <v>296904</v>
      </c>
      <c r="F9" s="517"/>
    </row>
    <row r="10" spans="1:6" s="85" customFormat="1" ht="13">
      <c r="A10" s="1">
        <v>136</v>
      </c>
      <c r="B10" s="2" t="s">
        <v>798</v>
      </c>
      <c r="C10" s="289">
        <f>VLOOKUP(A10,'K18'!$A$4:$BX$425,3,FALSE)</f>
        <v>16083</v>
      </c>
      <c r="D10" s="289">
        <f>VLOOKUP(A10,'K18'!$A$4:$BX$425,26,FALSE)</f>
        <v>467477</v>
      </c>
      <c r="E10" s="289">
        <f>VLOOKUP(A10,'K19'!$A$4:$BX$425,26,FALSE)</f>
        <v>476607</v>
      </c>
      <c r="F10" s="517"/>
    </row>
    <row r="11" spans="1:6" ht="13">
      <c r="A11" s="1">
        <v>138</v>
      </c>
      <c r="B11" s="2" t="s">
        <v>800</v>
      </c>
      <c r="C11" s="289">
        <f>VLOOKUP(A11,'K18'!$A$4:$BX$425,3,FALSE)</f>
        <v>5621</v>
      </c>
      <c r="D11" s="289">
        <f>VLOOKUP(A11,'K18'!$A$4:$BX$425,26,FALSE)</f>
        <v>146576</v>
      </c>
      <c r="E11" s="289">
        <f>VLOOKUP(A11,'K19'!$A$4:$BX$425,26,FALSE)</f>
        <v>156525</v>
      </c>
      <c r="F11" s="517"/>
    </row>
    <row r="12" spans="1:6" ht="13">
      <c r="A12" s="1">
        <v>213</v>
      </c>
      <c r="B12" s="2" t="s">
        <v>802</v>
      </c>
      <c r="C12" s="289">
        <f>VLOOKUP(A12,'K18'!$A$4:$BX$425,3,FALSE)</f>
        <v>30880</v>
      </c>
      <c r="D12" s="289">
        <f>VLOOKUP(A12,'K18'!$A$4:$BX$425,26,FALSE)</f>
        <v>999458</v>
      </c>
      <c r="E12" s="289">
        <f>VLOOKUP(A12,'K19'!$A$4:$BX$425,26,FALSE)</f>
        <v>1039585</v>
      </c>
      <c r="F12" s="517"/>
    </row>
    <row r="13" spans="1:6" ht="13">
      <c r="A13" s="1">
        <v>217</v>
      </c>
      <c r="B13" s="2" t="s">
        <v>806</v>
      </c>
      <c r="C13" s="289">
        <f>VLOOKUP(A13,'K18'!$A$4:$BX$425,3,FALSE)</f>
        <v>27178</v>
      </c>
      <c r="D13" s="289">
        <f>VLOOKUP(A13,'K18'!$A$4:$BX$425,26,FALSE)</f>
        <v>1020926</v>
      </c>
      <c r="E13" s="289">
        <f>VLOOKUP(A13,'K19'!$A$4:$BX$425,26,FALSE)</f>
        <v>1058845</v>
      </c>
      <c r="F13" s="517"/>
    </row>
    <row r="14" spans="1:6" ht="13">
      <c r="A14" s="1">
        <v>220</v>
      </c>
      <c r="B14" s="2" t="s">
        <v>808</v>
      </c>
      <c r="C14" s="289">
        <f>VLOOKUP(A14,'K18'!$A$4:$BX$425,3,FALSE)</f>
        <v>60926</v>
      </c>
      <c r="D14" s="289">
        <f>VLOOKUP(A14,'K18'!$A$4:$BX$425,26,FALSE)</f>
        <v>2889909</v>
      </c>
      <c r="E14" s="289">
        <f>VLOOKUP(A14,'K19'!$A$4:$BX$425,26,FALSE)</f>
        <v>3113350</v>
      </c>
      <c r="F14" s="517"/>
    </row>
    <row r="15" spans="1:6" ht="13">
      <c r="A15" s="1">
        <v>221</v>
      </c>
      <c r="B15" s="2" t="s">
        <v>809</v>
      </c>
      <c r="C15" s="289">
        <f>VLOOKUP(A15,'K18'!$A$4:$BX$425,3,FALSE)</f>
        <v>16390</v>
      </c>
      <c r="D15" s="289">
        <f>VLOOKUP(A15,'K18'!$A$4:$BX$425,26,FALSE)</f>
        <v>400409</v>
      </c>
      <c r="E15" s="289">
        <f>VLOOKUP(A15,'K19'!$A$4:$BX$425,26,FALSE)</f>
        <v>410305</v>
      </c>
      <c r="F15" s="517"/>
    </row>
    <row r="16" spans="1:6" ht="13">
      <c r="A16" s="1">
        <v>226</v>
      </c>
      <c r="B16" s="2" t="s">
        <v>810</v>
      </c>
      <c r="C16" s="289">
        <f>VLOOKUP(A16,'K18'!$A$4:$BX$425,3,FALSE)</f>
        <v>17980</v>
      </c>
      <c r="D16" s="289">
        <f>VLOOKUP(A16,'K18'!$A$4:$BX$425,26,FALSE)</f>
        <v>535693</v>
      </c>
      <c r="E16" s="289">
        <f>VLOOKUP(A16,'K19'!$A$4:$BX$425,26,FALSE)</f>
        <v>561660</v>
      </c>
      <c r="F16" s="517"/>
    </row>
    <row r="17" spans="1:6" ht="13">
      <c r="A17" s="1">
        <v>227</v>
      </c>
      <c r="B17" s="2" t="s">
        <v>811</v>
      </c>
      <c r="C17" s="289">
        <f>VLOOKUP(A17,'K18'!$A$4:$BX$425,3,FALSE)</f>
        <v>11663</v>
      </c>
      <c r="D17" s="289">
        <f>VLOOKUP(A17,'K18'!$A$4:$BX$425,26,FALSE)</f>
        <v>358041</v>
      </c>
      <c r="E17" s="289">
        <f>VLOOKUP(A17,'K19'!$A$4:$BX$425,26,FALSE)</f>
        <v>388463</v>
      </c>
      <c r="F17" s="517"/>
    </row>
    <row r="18" spans="1:6" ht="13">
      <c r="A18" s="1">
        <v>231</v>
      </c>
      <c r="B18" s="2" t="s">
        <v>815</v>
      </c>
      <c r="C18" s="289">
        <f>VLOOKUP(A18,'K18'!$A$4:$BX$425,3,FALSE)</f>
        <v>54178</v>
      </c>
      <c r="D18" s="289">
        <f>VLOOKUP(A18,'K18'!$A$4:$BX$425,26,FALSE)</f>
        <v>1707289</v>
      </c>
      <c r="E18" s="289">
        <f>VLOOKUP(A18,'K19'!$A$4:$BX$425,26,FALSE)</f>
        <v>1799911</v>
      </c>
      <c r="F18" s="517"/>
    </row>
    <row r="19" spans="1:6" ht="13">
      <c r="A19" s="1">
        <v>301</v>
      </c>
      <c r="B19" s="3" t="s">
        <v>823</v>
      </c>
      <c r="C19" s="289">
        <f>VLOOKUP(A19,'K18'!$A$4:$BX$425,3,FALSE)</f>
        <v>673469</v>
      </c>
      <c r="D19" s="289">
        <f>VLOOKUP(A19,'K18'!$A$4:$BX$425,26,FALSE)</f>
        <v>28170461</v>
      </c>
      <c r="E19" s="289">
        <f>VLOOKUP(A19,'K19'!$A$4:$BX$425,26,FALSE)</f>
        <v>29417306</v>
      </c>
      <c r="F19" s="517"/>
    </row>
    <row r="20" spans="1:6" ht="13">
      <c r="A20" s="1">
        <v>602</v>
      </c>
      <c r="B20" s="2" t="s">
        <v>871</v>
      </c>
      <c r="C20" s="289">
        <f>VLOOKUP(A20,'K18'!$A$4:$BX$425,3,FALSE)</f>
        <v>68713</v>
      </c>
      <c r="D20" s="289">
        <f>VLOOKUP(A20,'K18'!$A$4:$BX$425,26,FALSE)</f>
        <v>2041109</v>
      </c>
      <c r="E20" s="289">
        <f>VLOOKUP(A20,'K19'!$A$4:$BX$425,26,FALSE)</f>
        <v>2125721</v>
      </c>
      <c r="F20" s="517"/>
    </row>
    <row r="21" spans="1:6" ht="13">
      <c r="A21" s="1">
        <v>625</v>
      </c>
      <c r="B21" s="2" t="s">
        <v>885</v>
      </c>
      <c r="C21" s="289">
        <f>VLOOKUP(A21,'K18'!$A$4:$BX$425,3,FALSE)</f>
        <v>24917</v>
      </c>
      <c r="D21" s="289">
        <f>VLOOKUP(A21,'K18'!$A$4:$BX$425,26,FALSE)</f>
        <v>633764</v>
      </c>
      <c r="E21" s="289">
        <f>VLOOKUP(A21,'K19'!$A$4:$BX$425,26,FALSE)</f>
        <v>664991</v>
      </c>
      <c r="F21" s="517"/>
    </row>
    <row r="22" spans="1:6" ht="13">
      <c r="A22" s="1">
        <v>627</v>
      </c>
      <c r="B22" s="2" t="s">
        <v>887</v>
      </c>
      <c r="C22" s="289">
        <f>VLOOKUP(A22,'K18'!$A$4:$BX$425,3,FALSE)</f>
        <v>22452</v>
      </c>
      <c r="D22" s="289">
        <f>VLOOKUP(A22,'K18'!$A$4:$BX$425,26,FALSE)</f>
        <v>699523</v>
      </c>
      <c r="E22" s="289">
        <f>VLOOKUP(A22,'K19'!$A$4:$BX$425,26,FALSE)</f>
        <v>711117</v>
      </c>
      <c r="F22" s="517"/>
    </row>
    <row r="23" spans="1:6" ht="13">
      <c r="A23" s="1">
        <v>628</v>
      </c>
      <c r="B23" s="2" t="s">
        <v>888</v>
      </c>
      <c r="C23" s="289">
        <f>VLOOKUP(A23,'K18'!$A$4:$BX$425,3,FALSE)</f>
        <v>9450</v>
      </c>
      <c r="D23" s="289">
        <f>VLOOKUP(A23,'K18'!$A$4:$BX$425,26,FALSE)</f>
        <v>260549</v>
      </c>
      <c r="E23" s="289">
        <f>VLOOKUP(A23,'K19'!$A$4:$BX$425,26,FALSE)</f>
        <v>269702</v>
      </c>
      <c r="F23" s="517"/>
    </row>
    <row r="24" spans="1:6" ht="13">
      <c r="A24" s="1">
        <v>704</v>
      </c>
      <c r="B24" s="2" t="s">
        <v>893</v>
      </c>
      <c r="C24" s="289">
        <f>VLOOKUP(A24,'K18'!$A$4:$BX$425,3,FALSE)</f>
        <v>45360</v>
      </c>
      <c r="D24" s="289">
        <f>VLOOKUP(A24,'K18'!$A$4:$BX$425,26,FALSE)</f>
        <v>1359854</v>
      </c>
      <c r="E24" s="289">
        <f>VLOOKUP(A24,'K19'!$A$4:$BX$425,26,FALSE)</f>
        <v>1430688</v>
      </c>
      <c r="F24" s="517"/>
    </row>
    <row r="25" spans="1:6" ht="13">
      <c r="A25" s="1">
        <v>711</v>
      </c>
      <c r="B25" s="2" t="s">
        <v>896</v>
      </c>
      <c r="C25" s="289">
        <f>VLOOKUP(A25,'K18'!$A$4:$BX$425,3,FALSE)</f>
        <v>6672</v>
      </c>
      <c r="D25" s="289">
        <f>VLOOKUP(A25,'K18'!$A$4:$BX$425,26,FALSE)</f>
        <v>172141</v>
      </c>
      <c r="E25" s="289">
        <f>VLOOKUP(A25,'K19'!$A$4:$BX$425,26,FALSE)</f>
        <v>178213</v>
      </c>
      <c r="F25" s="517"/>
    </row>
    <row r="26" spans="1:6" ht="13">
      <c r="A26" s="1">
        <v>713</v>
      </c>
      <c r="B26" s="2" t="s">
        <v>897</v>
      </c>
      <c r="C26" s="289">
        <f>VLOOKUP(A26,'K18'!$A$4:$BX$425,3,FALSE)</f>
        <v>9726</v>
      </c>
      <c r="D26" s="289">
        <f>VLOOKUP(A26,'K18'!$A$4:$BX$425,26,FALSE)</f>
        <v>270984</v>
      </c>
      <c r="E26" s="289">
        <f>VLOOKUP(A26,'K19'!$A$4:$BX$425,26,FALSE)</f>
        <v>287853</v>
      </c>
      <c r="F26" s="517"/>
    </row>
    <row r="27" spans="1:6" ht="13">
      <c r="A27" s="1">
        <v>715</v>
      </c>
      <c r="B27" s="2" t="s">
        <v>1238</v>
      </c>
      <c r="C27" s="289">
        <f>VLOOKUP(A27,'K18'!$A$4:$BX$425,3,FALSE)</f>
        <v>14212</v>
      </c>
      <c r="D27" s="289">
        <f>VLOOKUP(A27,'K18'!$A$4:$BX$425,26,FALSE)</f>
        <v>378353</v>
      </c>
      <c r="E27" s="289">
        <f>VLOOKUP(A27,'K19'!$A$4:$BX$425,26,FALSE)</f>
        <v>384230</v>
      </c>
      <c r="F27" s="517"/>
    </row>
    <row r="28" spans="1:6" ht="13">
      <c r="A28" s="1">
        <v>716</v>
      </c>
      <c r="B28" s="4" t="s">
        <v>350</v>
      </c>
      <c r="C28" s="289">
        <f>VLOOKUP(A28,'K18'!$A$4:$BX$425,3,FALSE)</f>
        <v>9621</v>
      </c>
      <c r="D28" s="289">
        <f>VLOOKUP(A28,'K18'!$A$4:$BX$425,26,FALSE)</f>
        <v>249774</v>
      </c>
      <c r="E28" s="289">
        <f>VLOOKUP(A28,'K19'!$A$4:$BX$425,26,FALSE)</f>
        <v>254091</v>
      </c>
      <c r="F28" s="517"/>
    </row>
    <row r="29" spans="1:6" ht="13">
      <c r="A29" s="1">
        <v>821</v>
      </c>
      <c r="B29" s="2" t="s">
        <v>913</v>
      </c>
      <c r="C29" s="289">
        <f>VLOOKUP(A29,'K18'!$A$4:$BX$425,3,FALSE)</f>
        <v>6460</v>
      </c>
      <c r="D29" s="289">
        <f>VLOOKUP(A29,'K18'!$A$4:$BX$425,26,FALSE)</f>
        <v>151699</v>
      </c>
      <c r="E29" s="289">
        <f>VLOOKUP(A29,'K19'!$A$4:$BX$425,26,FALSE)</f>
        <v>157438</v>
      </c>
      <c r="F29" s="517"/>
    </row>
    <row r="30" spans="1:6" ht="13">
      <c r="A30" s="1">
        <v>822</v>
      </c>
      <c r="B30" s="2" t="s">
        <v>914</v>
      </c>
      <c r="C30" s="289">
        <f>VLOOKUP(A30,'K18'!$A$4:$BX$425,3,FALSE)</f>
        <v>4359</v>
      </c>
      <c r="D30" s="289">
        <f>VLOOKUP(A30,'K18'!$A$4:$BX$425,26,FALSE)</f>
        <v>106413</v>
      </c>
      <c r="E30" s="289">
        <f>VLOOKUP(A30,'K19'!$A$4:$BX$425,26,FALSE)</f>
        <v>108230</v>
      </c>
      <c r="F30" s="517"/>
    </row>
    <row r="31" spans="1:6" ht="13">
      <c r="A31" s="1">
        <v>1001</v>
      </c>
      <c r="B31" s="2" t="s">
        <v>942</v>
      </c>
      <c r="C31" s="289">
        <f>VLOOKUP(A31,'K18'!$A$4:$BX$425,3,FALSE)</f>
        <v>91440</v>
      </c>
      <c r="D31" s="289">
        <f>VLOOKUP(A31,'K18'!$A$4:$BX$425,26,FALSE)</f>
        <v>2526244</v>
      </c>
      <c r="E31" s="289">
        <f>VLOOKUP(A31,'K19'!$A$4:$BX$425,26,FALSE)</f>
        <v>2593992</v>
      </c>
      <c r="F31" s="517"/>
    </row>
    <row r="32" spans="1:6" ht="13">
      <c r="A32" s="1">
        <v>1002</v>
      </c>
      <c r="B32" s="2" t="s">
        <v>943</v>
      </c>
      <c r="C32" s="289">
        <f>VLOOKUP(A32,'K18'!$A$4:$BX$425,3,FALSE)</f>
        <v>15659</v>
      </c>
      <c r="D32" s="289">
        <f>VLOOKUP(A32,'K18'!$A$4:$BX$425,26,FALSE)</f>
        <v>398288</v>
      </c>
      <c r="E32" s="289">
        <f>VLOOKUP(A32,'K19'!$A$4:$BX$425,26,FALSE)</f>
        <v>413427</v>
      </c>
      <c r="F32" s="517"/>
    </row>
    <row r="33" spans="1:6" ht="13">
      <c r="A33" s="1">
        <v>1017</v>
      </c>
      <c r="B33" s="2" t="s">
        <v>948</v>
      </c>
      <c r="C33" s="289">
        <f>VLOOKUP(A33,'K18'!$A$4:$BX$425,3,FALSE)</f>
        <v>6656</v>
      </c>
      <c r="D33" s="289">
        <f>VLOOKUP(A33,'K18'!$A$4:$BX$425,26,FALSE)</f>
        <v>137623</v>
      </c>
      <c r="E33" s="289">
        <f>VLOOKUP(A33,'K19'!$A$4:$BX$425,26,FALSE)</f>
        <v>146015</v>
      </c>
      <c r="F33" s="517"/>
    </row>
    <row r="34" spans="1:6" ht="13">
      <c r="A34" s="1">
        <v>1018</v>
      </c>
      <c r="B34" s="2" t="s">
        <v>949</v>
      </c>
      <c r="C34" s="289">
        <f>VLOOKUP(A34,'K18'!$A$4:$BX$425,3,FALSE)</f>
        <v>11342</v>
      </c>
      <c r="D34" s="289">
        <f>VLOOKUP(A34,'K18'!$A$4:$BX$425,26,FALSE)</f>
        <v>304309</v>
      </c>
      <c r="E34" s="289">
        <f>VLOOKUP(A34,'K19'!$A$4:$BX$425,26,FALSE)</f>
        <v>311780</v>
      </c>
      <c r="F34" s="517"/>
    </row>
    <row r="35" spans="1:6" ht="13">
      <c r="A35" s="1">
        <v>1021</v>
      </c>
      <c r="B35" s="2" t="s">
        <v>950</v>
      </c>
      <c r="C35" s="289">
        <f>VLOOKUP(A35,'K18'!$A$4:$BX$425,3,FALSE)</f>
        <v>2308</v>
      </c>
      <c r="D35" s="289">
        <f>VLOOKUP(A35,'K18'!$A$4:$BX$425,26,FALSE)</f>
        <v>54166</v>
      </c>
      <c r="E35" s="289">
        <f>VLOOKUP(A35,'K19'!$A$4:$BX$425,26,FALSE)</f>
        <v>60047</v>
      </c>
      <c r="F35" s="517"/>
    </row>
    <row r="36" spans="1:6" ht="13">
      <c r="A36" s="1">
        <v>1027</v>
      </c>
      <c r="B36" s="2" t="s">
        <v>952</v>
      </c>
      <c r="C36" s="289">
        <f>VLOOKUP(A36,'K18'!$A$4:$BX$425,3,FALSE)</f>
        <v>1786</v>
      </c>
      <c r="D36" s="289">
        <f>VLOOKUP(A36,'K18'!$A$4:$BX$425,26,FALSE)</f>
        <v>40485</v>
      </c>
      <c r="E36" s="289">
        <f>VLOOKUP(A36,'K19'!$A$4:$BX$425,26,FALSE)</f>
        <v>42130</v>
      </c>
      <c r="F36" s="517"/>
    </row>
    <row r="37" spans="1:6" ht="13">
      <c r="A37" s="1">
        <v>1029</v>
      </c>
      <c r="B37" s="2" t="s">
        <v>953</v>
      </c>
      <c r="C37" s="289">
        <f>VLOOKUP(A37,'K18'!$A$4:$BX$425,3,FALSE)</f>
        <v>4938</v>
      </c>
      <c r="D37" s="289">
        <f>VLOOKUP(A37,'K18'!$A$4:$BX$425,26,FALSE)</f>
        <v>113860</v>
      </c>
      <c r="E37" s="289">
        <f>VLOOKUP(A37,'K19'!$A$4:$BX$425,26,FALSE)</f>
        <v>122123</v>
      </c>
      <c r="F37" s="517"/>
    </row>
    <row r="38" spans="1:6" ht="13">
      <c r="A38" s="1">
        <v>1032</v>
      </c>
      <c r="B38" s="2" t="s">
        <v>954</v>
      </c>
      <c r="C38" s="289">
        <f>VLOOKUP(A38,'K18'!$A$4:$BX$425,3,FALSE)</f>
        <v>8571</v>
      </c>
      <c r="D38" s="289">
        <f>VLOOKUP(A38,'K18'!$A$4:$BX$425,26,FALSE)</f>
        <v>195683</v>
      </c>
      <c r="E38" s="289">
        <f>VLOOKUP(A38,'K19'!$A$4:$BX$425,26,FALSE)</f>
        <v>200153</v>
      </c>
      <c r="F38" s="517"/>
    </row>
    <row r="39" spans="1:6" ht="13">
      <c r="A39" s="1">
        <v>1101</v>
      </c>
      <c r="B39" s="2" t="s">
        <v>958</v>
      </c>
      <c r="C39" s="289">
        <f>VLOOKUP(A39,'K18'!$A$4:$BX$425,3,FALSE)</f>
        <v>14898</v>
      </c>
      <c r="D39" s="289">
        <f>VLOOKUP(A39,'K18'!$A$4:$BX$425,26,FALSE)</f>
        <v>421333</v>
      </c>
      <c r="E39" s="289">
        <f>VLOOKUP(A39,'K19'!$A$4:$BX$425,26,FALSE)</f>
        <v>455451</v>
      </c>
      <c r="F39" s="517"/>
    </row>
    <row r="40" spans="1:6" ht="13">
      <c r="A40" s="1">
        <v>1102</v>
      </c>
      <c r="B40" s="2" t="s">
        <v>959</v>
      </c>
      <c r="C40" s="289">
        <f>VLOOKUP(A40,'K18'!$A$4:$BX$425,3,FALSE)</f>
        <v>76328</v>
      </c>
      <c r="D40" s="289">
        <f>VLOOKUP(A40,'K18'!$A$4:$BX$425,26,FALSE)</f>
        <v>2335661</v>
      </c>
      <c r="E40" s="289">
        <f>VLOOKUP(A40,'K19'!$A$4:$BX$425,26,FALSE)</f>
        <v>2431286</v>
      </c>
      <c r="F40" s="517"/>
    </row>
    <row r="41" spans="1:6" ht="13">
      <c r="A41" s="1">
        <v>1103</v>
      </c>
      <c r="B41" s="2" t="s">
        <v>960</v>
      </c>
      <c r="C41" s="289">
        <f>VLOOKUP(A41,'K18'!$A$4:$BX$425,3,FALSE)</f>
        <v>133140</v>
      </c>
      <c r="D41" s="289">
        <f>VLOOKUP(A41,'K18'!$A$4:$BX$425,26,FALSE)</f>
        <v>4944822</v>
      </c>
      <c r="E41" s="289">
        <f>VLOOKUP(A41,'K19'!$A$4:$BX$425,26,FALSE)</f>
        <v>5317364</v>
      </c>
      <c r="F41" s="517"/>
    </row>
    <row r="42" spans="1:6" ht="13">
      <c r="A42" s="1">
        <v>1106</v>
      </c>
      <c r="B42" s="2" t="s">
        <v>961</v>
      </c>
      <c r="C42" s="289">
        <f>VLOOKUP(A42,'K18'!$A$4:$BX$425,3,FALSE)</f>
        <v>37167</v>
      </c>
      <c r="D42" s="289">
        <f>VLOOKUP(A42,'K18'!$A$4:$BX$425,26,FALSE)</f>
        <v>1084225</v>
      </c>
      <c r="E42" s="289">
        <f>VLOOKUP(A42,'K19'!$A$4:$BX$425,26,FALSE)</f>
        <v>1152023</v>
      </c>
      <c r="F42" s="517"/>
    </row>
    <row r="43" spans="1:6" ht="13">
      <c r="A43" s="878">
        <v>1108</v>
      </c>
      <c r="B43" s="883" t="s">
        <v>1610</v>
      </c>
      <c r="C43" s="919">
        <f>+C472</f>
        <v>77412.797511440003</v>
      </c>
      <c r="D43" s="919">
        <f>+D472</f>
        <v>2380215.4983107275</v>
      </c>
      <c r="E43" s="919">
        <f>+E472</f>
        <v>2477705.4875763333</v>
      </c>
      <c r="F43" s="517"/>
    </row>
    <row r="44" spans="1:6" ht="13">
      <c r="A44" s="1">
        <v>1111</v>
      </c>
      <c r="B44" s="2" t="s">
        <v>962</v>
      </c>
      <c r="C44" s="289">
        <f>VLOOKUP(A44,'K18'!$A$4:$BX$425,3,FALSE)</f>
        <v>3331</v>
      </c>
      <c r="D44" s="289">
        <f>VLOOKUP(A44,'K18'!$A$4:$BX$425,26,FALSE)</f>
        <v>84326</v>
      </c>
      <c r="E44" s="289">
        <f>VLOOKUP(A44,'K19'!$A$4:$BX$425,26,FALSE)</f>
        <v>85248</v>
      </c>
      <c r="F44" s="517"/>
    </row>
    <row r="45" spans="1:6" ht="13">
      <c r="A45" s="1">
        <v>1112</v>
      </c>
      <c r="B45" s="2" t="s">
        <v>963</v>
      </c>
      <c r="C45" s="289">
        <f>VLOOKUP(A45,'K18'!$A$4:$BX$425,3,FALSE)</f>
        <v>3237</v>
      </c>
      <c r="D45" s="289">
        <f>VLOOKUP(A45,'K18'!$A$4:$BX$425,26,FALSE)</f>
        <v>78836</v>
      </c>
      <c r="E45" s="289">
        <f>VLOOKUP(A45,'K19'!$A$4:$BX$425,26,FALSE)</f>
        <v>82728</v>
      </c>
      <c r="F45" s="517"/>
    </row>
    <row r="46" spans="1:6" ht="13">
      <c r="A46" s="1">
        <v>1114</v>
      </c>
      <c r="B46" s="2" t="s">
        <v>0</v>
      </c>
      <c r="C46" s="289">
        <f>VLOOKUP(A46,'K18'!$A$4:$BX$425,3,FALSE)</f>
        <v>2826</v>
      </c>
      <c r="D46" s="289">
        <f>VLOOKUP(A46,'K18'!$A$4:$BX$425,26,FALSE)</f>
        <v>71889</v>
      </c>
      <c r="E46" s="289">
        <f>VLOOKUP(A46,'K19'!$A$4:$BX$425,26,FALSE)</f>
        <v>73711</v>
      </c>
      <c r="F46" s="517"/>
    </row>
    <row r="47" spans="1:6" ht="13">
      <c r="A47" s="1">
        <v>1119</v>
      </c>
      <c r="B47" s="2" t="s">
        <v>1</v>
      </c>
      <c r="C47" s="289">
        <f>VLOOKUP(A47,'K18'!$A$4:$BX$425,3,FALSE)</f>
        <v>18762</v>
      </c>
      <c r="D47" s="289">
        <f>VLOOKUP(A47,'K18'!$A$4:$BX$425,26,FALSE)</f>
        <v>474998</v>
      </c>
      <c r="E47" s="289">
        <f>VLOOKUP(A47,'K19'!$A$4:$BX$425,26,FALSE)</f>
        <v>500305</v>
      </c>
      <c r="F47" s="517"/>
    </row>
    <row r="48" spans="1:6" ht="13">
      <c r="A48" s="1">
        <v>1120</v>
      </c>
      <c r="B48" s="2" t="s">
        <v>2</v>
      </c>
      <c r="C48" s="289">
        <f>VLOOKUP(A48,'K18'!$A$4:$BX$425,3,FALSE)</f>
        <v>19217</v>
      </c>
      <c r="D48" s="289">
        <f>VLOOKUP(A48,'K18'!$A$4:$BX$425,26,FALSE)</f>
        <v>545564</v>
      </c>
      <c r="E48" s="289">
        <f>VLOOKUP(A48,'K19'!$A$4:$BX$425,26,FALSE)</f>
        <v>568602</v>
      </c>
      <c r="F48" s="517"/>
    </row>
    <row r="49" spans="1:6" ht="13">
      <c r="A49" s="1">
        <v>1121</v>
      </c>
      <c r="B49" s="2" t="s">
        <v>3</v>
      </c>
      <c r="C49" s="289">
        <f>VLOOKUP(A49,'K18'!$A$4:$BX$425,3,FALSE)</f>
        <v>18699</v>
      </c>
      <c r="D49" s="289">
        <f>VLOOKUP(A49,'K18'!$A$4:$BX$425,26,FALSE)</f>
        <v>540548</v>
      </c>
      <c r="E49" s="289">
        <f>VLOOKUP(A49,'K19'!$A$4:$BX$425,26,FALSE)</f>
        <v>561432</v>
      </c>
      <c r="F49" s="517"/>
    </row>
    <row r="50" spans="1:6" ht="13">
      <c r="A50" s="1">
        <v>1122</v>
      </c>
      <c r="B50" s="2" t="s">
        <v>4</v>
      </c>
      <c r="C50" s="289">
        <f>VLOOKUP(A50,'K18'!$A$4:$BX$425,3,FALSE)</f>
        <v>11866</v>
      </c>
      <c r="D50" s="289">
        <f>VLOOKUP(A50,'K18'!$A$4:$BX$425,26,FALSE)</f>
        <v>315579</v>
      </c>
      <c r="E50" s="289">
        <f>VLOOKUP(A50,'K19'!$A$4:$BX$425,26,FALSE)</f>
        <v>328082</v>
      </c>
      <c r="F50" s="517"/>
    </row>
    <row r="51" spans="1:6" ht="13">
      <c r="A51" s="1">
        <v>1124</v>
      </c>
      <c r="B51" s="2" t="s">
        <v>5</v>
      </c>
      <c r="C51" s="289">
        <f>VLOOKUP(A51,'K18'!$A$4:$BX$425,3,FALSE)</f>
        <v>26265</v>
      </c>
      <c r="D51" s="289">
        <f>VLOOKUP(A51,'K18'!$A$4:$BX$425,26,FALSE)</f>
        <v>971476</v>
      </c>
      <c r="E51" s="289">
        <f>VLOOKUP(A51,'K19'!$A$4:$BX$425,26,FALSE)</f>
        <v>1049894</v>
      </c>
      <c r="F51" s="517"/>
    </row>
    <row r="52" spans="1:6" ht="13">
      <c r="A52" s="1">
        <v>1127</v>
      </c>
      <c r="B52" s="2" t="s">
        <v>6</v>
      </c>
      <c r="C52" s="289">
        <f>VLOOKUP(A52,'K18'!$A$4:$BX$425,3,FALSE)</f>
        <v>10972</v>
      </c>
      <c r="D52" s="289">
        <f>VLOOKUP(A52,'K18'!$A$4:$BX$425,26,FALSE)</f>
        <v>354189</v>
      </c>
      <c r="E52" s="289">
        <f>VLOOKUP(A52,'K19'!$A$4:$BX$425,26,FALSE)</f>
        <v>377149</v>
      </c>
      <c r="F52" s="517"/>
    </row>
    <row r="53" spans="1:6" ht="13">
      <c r="A53" s="1">
        <v>1129</v>
      </c>
      <c r="B53" s="2" t="s">
        <v>7</v>
      </c>
      <c r="C53" s="289">
        <f>VLOOKUP(A53,'K18'!$A$4:$BX$425,3,FALSE)</f>
        <v>1246</v>
      </c>
      <c r="D53" s="289">
        <f>VLOOKUP(A53,'K18'!$A$4:$BX$425,26,FALSE)</f>
        <v>49511</v>
      </c>
      <c r="E53" s="289">
        <f>VLOOKUP(A53,'K19'!$A$4:$BX$425,26,FALSE)</f>
        <v>51579</v>
      </c>
      <c r="F53" s="517"/>
    </row>
    <row r="54" spans="1:6" ht="13">
      <c r="A54" s="1">
        <v>1130</v>
      </c>
      <c r="B54" s="2" t="s">
        <v>12</v>
      </c>
      <c r="C54" s="289">
        <f>VLOOKUP(A54,'K18'!$A$4:$BX$425,3,FALSE)</f>
        <v>12638</v>
      </c>
      <c r="D54" s="289">
        <f>VLOOKUP(A54,'K18'!$A$4:$BX$425,26,FALSE)</f>
        <v>341974</v>
      </c>
      <c r="E54" s="289">
        <f>VLOOKUP(A54,'K19'!$A$4:$BX$425,26,FALSE)</f>
        <v>359232</v>
      </c>
      <c r="F54" s="517"/>
    </row>
    <row r="55" spans="1:6" ht="13">
      <c r="A55" s="1">
        <v>1133</v>
      </c>
      <c r="B55" s="2" t="s">
        <v>13</v>
      </c>
      <c r="C55" s="289">
        <f>VLOOKUP(A55,'K18'!$A$4:$BX$425,3,FALSE)</f>
        <v>2723</v>
      </c>
      <c r="D55" s="289">
        <f>VLOOKUP(A55,'K18'!$A$4:$BX$425,26,FALSE)</f>
        <v>94750</v>
      </c>
      <c r="E55" s="289">
        <f>VLOOKUP(A55,'K19'!$A$4:$BX$425,26,FALSE)</f>
        <v>95706</v>
      </c>
      <c r="F55" s="517"/>
    </row>
    <row r="56" spans="1:6" ht="13">
      <c r="A56" s="1">
        <v>1134</v>
      </c>
      <c r="B56" s="2" t="s">
        <v>14</v>
      </c>
      <c r="C56" s="289">
        <f>VLOOKUP(A56,'K18'!$A$4:$BX$425,3,FALSE)</f>
        <v>3849</v>
      </c>
      <c r="D56" s="289">
        <f>VLOOKUP(A56,'K18'!$A$4:$BX$425,26,FALSE)</f>
        <v>153606</v>
      </c>
      <c r="E56" s="289">
        <f>VLOOKUP(A56,'K19'!$A$4:$BX$425,26,FALSE)</f>
        <v>156911</v>
      </c>
      <c r="F56" s="517"/>
    </row>
    <row r="57" spans="1:6" ht="13">
      <c r="A57" s="1">
        <v>1135</v>
      </c>
      <c r="B57" s="2" t="s">
        <v>15</v>
      </c>
      <c r="C57" s="289">
        <f>VLOOKUP(A57,'K18'!$A$4:$BX$425,3,FALSE)</f>
        <v>4663</v>
      </c>
      <c r="D57" s="289">
        <f>VLOOKUP(A57,'K18'!$A$4:$BX$425,26,FALSE)</f>
        <v>132320</v>
      </c>
      <c r="E57" s="289">
        <f>VLOOKUP(A57,'K19'!$A$4:$BX$425,26,FALSE)</f>
        <v>152473</v>
      </c>
      <c r="F57" s="517"/>
    </row>
    <row r="58" spans="1:6" ht="13">
      <c r="A58" s="1">
        <v>1141</v>
      </c>
      <c r="B58" s="2" t="s">
        <v>16</v>
      </c>
      <c r="C58" s="289">
        <f>VLOOKUP(A58,'K18'!$A$4:$BX$425,3,FALSE)</f>
        <v>3197</v>
      </c>
      <c r="D58" s="289">
        <f>VLOOKUP(A58,'K18'!$A$4:$BX$425,26,FALSE)</f>
        <v>90278</v>
      </c>
      <c r="E58" s="289">
        <f>VLOOKUP(A58,'K19'!$A$4:$BX$425,26,FALSE)</f>
        <v>90709</v>
      </c>
      <c r="F58" s="517"/>
    </row>
    <row r="59" spans="1:6" ht="13">
      <c r="A59" s="1">
        <v>1142</v>
      </c>
      <c r="B59" s="2" t="s">
        <v>17</v>
      </c>
      <c r="C59" s="289">
        <f>VLOOKUP(A59,'K18'!$A$4:$BX$425,3,FALSE)</f>
        <v>4849</v>
      </c>
      <c r="D59" s="289">
        <f>VLOOKUP(A59,'K18'!$A$4:$BX$425,26,FALSE)</f>
        <v>154331</v>
      </c>
      <c r="E59" s="289">
        <f>VLOOKUP(A59,'K19'!$A$4:$BX$425,26,FALSE)</f>
        <v>158491</v>
      </c>
      <c r="F59" s="517"/>
    </row>
    <row r="60" spans="1:6" ht="13">
      <c r="A60" s="1">
        <v>1144</v>
      </c>
      <c r="B60" s="2" t="s">
        <v>18</v>
      </c>
      <c r="C60" s="289">
        <f>VLOOKUP(A60,'K18'!$A$4:$BX$425,3,FALSE)</f>
        <v>542</v>
      </c>
      <c r="D60" s="289">
        <f>VLOOKUP(A60,'K18'!$A$4:$BX$425,26,FALSE)</f>
        <v>14773</v>
      </c>
      <c r="E60" s="289">
        <f>VLOOKUP(A60,'K19'!$A$4:$BX$425,26,FALSE)</f>
        <v>14046</v>
      </c>
      <c r="F60" s="517"/>
    </row>
    <row r="61" spans="1:6" ht="13">
      <c r="A61" s="1">
        <v>1145</v>
      </c>
      <c r="B61" s="2" t="s">
        <v>19</v>
      </c>
      <c r="C61" s="289">
        <f>VLOOKUP(A61,'K18'!$A$4:$BX$425,3,FALSE)</f>
        <v>844</v>
      </c>
      <c r="D61" s="289">
        <f>VLOOKUP(A61,'K18'!$A$4:$BX$425,26,FALSE)</f>
        <v>21260</v>
      </c>
      <c r="E61" s="289">
        <f>VLOOKUP(A61,'K19'!$A$4:$BX$425,26,FALSE)</f>
        <v>23216</v>
      </c>
      <c r="F61" s="517"/>
    </row>
    <row r="62" spans="1:6" ht="13">
      <c r="A62" s="1">
        <v>1146</v>
      </c>
      <c r="B62" s="2" t="s">
        <v>20</v>
      </c>
      <c r="C62" s="289">
        <f>VLOOKUP(A62,'K18'!$A$4:$BX$425,3,FALSE)</f>
        <v>11023</v>
      </c>
      <c r="D62" s="289">
        <f>VLOOKUP(A62,'K18'!$A$4:$BX$425,26,FALSE)</f>
        <v>296653</v>
      </c>
      <c r="E62" s="289">
        <f>VLOOKUP(A62,'K19'!$A$4:$BX$425,26,FALSE)</f>
        <v>303352</v>
      </c>
      <c r="F62" s="517"/>
    </row>
    <row r="63" spans="1:6" ht="13">
      <c r="A63" s="1">
        <v>1149</v>
      </c>
      <c r="B63" s="2" t="s">
        <v>21</v>
      </c>
      <c r="C63" s="289">
        <f>VLOOKUP(A63,'K18'!$A$4:$BX$425,3,FALSE)</f>
        <v>42243</v>
      </c>
      <c r="D63" s="289">
        <f>VLOOKUP(A63,'K18'!$A$4:$BX$425,26,FALSE)</f>
        <v>1089363</v>
      </c>
      <c r="E63" s="289">
        <f>VLOOKUP(A63,'K19'!$A$4:$BX$425,26,FALSE)</f>
        <v>1149890</v>
      </c>
      <c r="F63" s="517"/>
    </row>
    <row r="64" spans="1:6" ht="13">
      <c r="A64" s="1">
        <v>1151</v>
      </c>
      <c r="B64" s="2" t="s">
        <v>22</v>
      </c>
      <c r="C64" s="289">
        <f>VLOOKUP(A64,'K18'!$A$4:$BX$425,3,FALSE)</f>
        <v>208</v>
      </c>
      <c r="D64" s="289">
        <f>VLOOKUP(A64,'K18'!$A$4:$BX$425,26,FALSE)</f>
        <v>5467</v>
      </c>
      <c r="E64" s="289">
        <f>VLOOKUP(A64,'K19'!$A$4:$BX$425,26,FALSE)</f>
        <v>5709</v>
      </c>
      <c r="F64" s="517"/>
    </row>
    <row r="65" spans="1:6" ht="13">
      <c r="A65" s="1">
        <v>1160</v>
      </c>
      <c r="B65" s="4" t="s">
        <v>711</v>
      </c>
      <c r="C65" s="289">
        <f>VLOOKUP(A65,'K18'!$A$4:$BX$425,3,FALSE)</f>
        <v>8793</v>
      </c>
      <c r="D65" s="289">
        <f>VLOOKUP(A65,'K18'!$A$4:$BX$425,26,FALSE)</f>
        <v>278332</v>
      </c>
      <c r="E65" s="289">
        <f>VLOOKUP(A65,'K19'!$A$4:$BX$425,26,FALSE)</f>
        <v>307150</v>
      </c>
      <c r="F65" s="517"/>
    </row>
    <row r="66" spans="1:6" ht="13">
      <c r="A66" s="1">
        <v>1227</v>
      </c>
      <c r="B66" s="2" t="s">
        <v>31</v>
      </c>
      <c r="C66" s="289">
        <f>VLOOKUP(A66,'K18'!$A$4:$BX$425,3,FALSE)</f>
        <v>1096</v>
      </c>
      <c r="D66" s="289">
        <f>VLOOKUP(A66,'K18'!$A$4:$BX$425,26,FALSE)</f>
        <v>29975</v>
      </c>
      <c r="E66" s="289">
        <f>VLOOKUP(A66,'K19'!$A$4:$BX$425,26,FALSE)</f>
        <v>30456</v>
      </c>
      <c r="F66" s="517"/>
    </row>
    <row r="67" spans="1:6" ht="13">
      <c r="A67" s="1">
        <v>1228</v>
      </c>
      <c r="B67" s="2" t="s">
        <v>32</v>
      </c>
      <c r="C67" s="289">
        <f>VLOOKUP(A67,'K18'!$A$4:$BX$425,3,FALSE)</f>
        <v>6835</v>
      </c>
      <c r="D67" s="289">
        <f>VLOOKUP(A67,'K18'!$A$4:$BX$425,26,FALSE)</f>
        <v>218966</v>
      </c>
      <c r="E67" s="289">
        <f>VLOOKUP(A67,'K19'!$A$4:$BX$425,26,FALSE)</f>
        <v>227221</v>
      </c>
      <c r="F67" s="517"/>
    </row>
    <row r="68" spans="1:6" ht="13">
      <c r="A68" s="1">
        <v>1231</v>
      </c>
      <c r="B68" s="2" t="s">
        <v>33</v>
      </c>
      <c r="C68" s="289">
        <f>VLOOKUP(A68,'K18'!$A$4:$BX$425,3,FALSE)</f>
        <v>3363</v>
      </c>
      <c r="D68" s="289">
        <f>VLOOKUP(A68,'K18'!$A$4:$BX$425,26,FALSE)</f>
        <v>86913</v>
      </c>
      <c r="E68" s="289">
        <f>VLOOKUP(A68,'K19'!$A$4:$BX$425,26,FALSE)</f>
        <v>91437</v>
      </c>
      <c r="F68" s="517"/>
    </row>
    <row r="69" spans="1:6" ht="13">
      <c r="A69" s="1">
        <v>1234</v>
      </c>
      <c r="B69" s="2" t="s">
        <v>36</v>
      </c>
      <c r="C69" s="289">
        <f>VLOOKUP(A69,'K18'!$A$4:$BX$425,3,FALSE)</f>
        <v>931</v>
      </c>
      <c r="D69" s="289">
        <f>VLOOKUP(A69,'K18'!$A$4:$BX$425,26,FALSE)</f>
        <v>22248</v>
      </c>
      <c r="E69" s="289">
        <f>VLOOKUP(A69,'K19'!$A$4:$BX$425,26,FALSE)</f>
        <v>23115</v>
      </c>
      <c r="F69" s="517"/>
    </row>
    <row r="70" spans="1:6" ht="13">
      <c r="A70" s="1">
        <v>1235</v>
      </c>
      <c r="B70" s="2" t="s">
        <v>37</v>
      </c>
      <c r="C70" s="289">
        <f>VLOOKUP(A70,'K18'!$A$4:$BX$425,3,FALSE)</f>
        <v>14577</v>
      </c>
      <c r="D70" s="289">
        <f>VLOOKUP(A70,'K18'!$A$4:$BX$425,26,FALSE)</f>
        <v>403939</v>
      </c>
      <c r="E70" s="289">
        <f>VLOOKUP(A70,'K19'!$A$4:$BX$425,26,FALSE)</f>
        <v>427963</v>
      </c>
      <c r="F70" s="517"/>
    </row>
    <row r="71" spans="1:6" ht="13">
      <c r="A71" s="1">
        <v>1241</v>
      </c>
      <c r="B71" s="2" t="s">
        <v>39</v>
      </c>
      <c r="C71" s="289">
        <f>VLOOKUP(A71,'K18'!$A$4:$BX$425,3,FALSE)</f>
        <v>3920</v>
      </c>
      <c r="D71" s="289">
        <f>VLOOKUP(A71,'K18'!$A$4:$BX$425,26,FALSE)</f>
        <v>112231</v>
      </c>
      <c r="E71" s="289">
        <f>VLOOKUP(A71,'K19'!$A$4:$BX$425,26,FALSE)</f>
        <v>114901</v>
      </c>
      <c r="F71" s="517"/>
    </row>
    <row r="72" spans="1:6" ht="13">
      <c r="A72" s="1">
        <v>1243</v>
      </c>
      <c r="B72" s="2" t="s">
        <v>844</v>
      </c>
      <c r="C72" s="289">
        <f>VLOOKUP(A72,'K18'!$A$4:$BX$425,3,FALSE)</f>
        <v>20573</v>
      </c>
      <c r="D72" s="289">
        <f>VLOOKUP(A72,'K18'!$A$4:$BX$425,26,FALSE)</f>
        <v>565744</v>
      </c>
      <c r="E72" s="289">
        <f>VLOOKUP(A72,'K19'!$A$4:$BX$425,26,FALSE)</f>
        <v>591258</v>
      </c>
      <c r="F72" s="517"/>
    </row>
    <row r="73" spans="1:6" ht="13">
      <c r="A73" s="1">
        <v>1245</v>
      </c>
      <c r="B73" s="2" t="s">
        <v>42</v>
      </c>
      <c r="C73" s="289">
        <f>VLOOKUP(A73,'K18'!$A$4:$BX$425,3,FALSE)</f>
        <v>7085</v>
      </c>
      <c r="D73" s="289">
        <f>VLOOKUP(A73,'K18'!$A$4:$BX$425,26,FALSE)</f>
        <v>181153</v>
      </c>
      <c r="E73" s="289">
        <f>VLOOKUP(A73,'K19'!$A$4:$BX$425,26,FALSE)</f>
        <v>186915</v>
      </c>
      <c r="F73" s="517"/>
    </row>
    <row r="74" spans="1:6" ht="13">
      <c r="A74" s="1">
        <v>1246</v>
      </c>
      <c r="B74" s="2" t="s">
        <v>43</v>
      </c>
      <c r="C74" s="289">
        <f>VLOOKUP(A74,'K18'!$A$4:$BX$425,3,FALSE)</f>
        <v>25725</v>
      </c>
      <c r="D74" s="289">
        <f>VLOOKUP(A74,'K18'!$A$4:$BX$425,26,FALSE)</f>
        <v>743530</v>
      </c>
      <c r="E74" s="289">
        <f>VLOOKUP(A74,'K19'!$A$4:$BX$425,26,FALSE)</f>
        <v>777937</v>
      </c>
      <c r="F74" s="517"/>
    </row>
    <row r="75" spans="1:6" ht="13">
      <c r="A75" s="1">
        <v>1256</v>
      </c>
      <c r="B75" s="2" t="s">
        <v>48</v>
      </c>
      <c r="C75" s="289">
        <f>VLOOKUP(A75,'K18'!$A$4:$BX$425,3,FALSE)</f>
        <v>8079</v>
      </c>
      <c r="D75" s="289">
        <f>VLOOKUP(A75,'K18'!$A$4:$BX$425,26,FALSE)</f>
        <v>207938</v>
      </c>
      <c r="E75" s="289">
        <f>VLOOKUP(A75,'K19'!$A$4:$BX$425,26,FALSE)</f>
        <v>213576</v>
      </c>
      <c r="F75" s="517"/>
    </row>
    <row r="76" spans="1:6" ht="13">
      <c r="A76" s="1">
        <v>1259</v>
      </c>
      <c r="B76" s="2" t="s">
        <v>49</v>
      </c>
      <c r="C76" s="289">
        <f>VLOOKUP(A76,'K18'!$A$4:$BX$425,3,FALSE)</f>
        <v>4877</v>
      </c>
      <c r="D76" s="289">
        <f>VLOOKUP(A76,'K18'!$A$4:$BX$425,26,FALSE)</f>
        <v>116750</v>
      </c>
      <c r="E76" s="289">
        <f>VLOOKUP(A76,'K19'!$A$4:$BX$425,26,FALSE)</f>
        <v>123517</v>
      </c>
      <c r="F76" s="517"/>
    </row>
    <row r="77" spans="1:6" ht="13">
      <c r="A77" s="1">
        <v>1260</v>
      </c>
      <c r="B77" s="2" t="s">
        <v>53</v>
      </c>
      <c r="C77" s="289">
        <f>VLOOKUP(A77,'K18'!$A$4:$BX$425,3,FALSE)</f>
        <v>5129</v>
      </c>
      <c r="D77" s="289">
        <f>VLOOKUP(A77,'K18'!$A$4:$BX$425,26,FALSE)</f>
        <v>116817</v>
      </c>
      <c r="E77" s="289">
        <f>VLOOKUP(A77,'K19'!$A$4:$BX$425,26,FALSE)</f>
        <v>124781</v>
      </c>
      <c r="F77" s="517"/>
    </row>
    <row r="78" spans="1:6" ht="13">
      <c r="A78" s="1">
        <v>1263</v>
      </c>
      <c r="B78" s="2" t="s">
        <v>54</v>
      </c>
      <c r="C78" s="289">
        <f>VLOOKUP(A78,'K18'!$A$4:$BX$425,3,FALSE)</f>
        <v>15789</v>
      </c>
      <c r="D78" s="289">
        <f>VLOOKUP(A78,'K18'!$A$4:$BX$425,26,FALSE)</f>
        <v>419158</v>
      </c>
      <c r="E78" s="289">
        <f>VLOOKUP(A78,'K19'!$A$4:$BX$425,26,FALSE)</f>
        <v>455022</v>
      </c>
      <c r="F78" s="517"/>
    </row>
    <row r="79" spans="1:6" ht="13">
      <c r="A79" s="1">
        <v>1401</v>
      </c>
      <c r="B79" s="2" t="s">
        <v>58</v>
      </c>
      <c r="C79" s="289">
        <f>VLOOKUP(A79,'K18'!$A$4:$BX$425,3,FALSE)</f>
        <v>11988</v>
      </c>
      <c r="D79" s="289">
        <f>VLOOKUP(A79,'K18'!$A$4:$BX$425,26,FALSE)</f>
        <v>333690</v>
      </c>
      <c r="E79" s="289">
        <f>VLOOKUP(A79,'K19'!$A$4:$BX$425,26,FALSE)</f>
        <v>364786</v>
      </c>
      <c r="F79" s="517"/>
    </row>
    <row r="80" spans="1:6" ht="13">
      <c r="A80" s="1">
        <v>1418</v>
      </c>
      <c r="B80" s="2" t="s">
        <v>64</v>
      </c>
      <c r="C80" s="289">
        <f>VLOOKUP(A80,'K18'!$A$4:$BX$425,3,FALSE)</f>
        <v>1262</v>
      </c>
      <c r="D80" s="289">
        <f>VLOOKUP(A80,'K18'!$A$4:$BX$425,26,FALSE)</f>
        <v>33797</v>
      </c>
      <c r="E80" s="289">
        <f>VLOOKUP(A80,'K19'!$A$4:$BX$425,26,FALSE)</f>
        <v>34068</v>
      </c>
      <c r="F80" s="517"/>
    </row>
    <row r="81" spans="1:6" ht="13">
      <c r="A81" s="1">
        <v>1419</v>
      </c>
      <c r="B81" s="2" t="s">
        <v>65</v>
      </c>
      <c r="C81" s="289">
        <f>VLOOKUP(A81,'K18'!$A$4:$BX$425,3,FALSE)</f>
        <v>2345</v>
      </c>
      <c r="D81" s="289">
        <f>VLOOKUP(A81,'K18'!$A$4:$BX$425,26,FALSE)</f>
        <v>72179</v>
      </c>
      <c r="E81" s="289">
        <f>VLOOKUP(A81,'K19'!$A$4:$BX$425,26,FALSE)</f>
        <v>66133</v>
      </c>
      <c r="F81" s="517"/>
    </row>
    <row r="82" spans="1:6" ht="13">
      <c r="A82" s="1">
        <v>1420</v>
      </c>
      <c r="B82" s="2" t="s">
        <v>66</v>
      </c>
      <c r="C82" s="289">
        <f>VLOOKUP(A82,'K18'!$A$4:$BX$425,3,FALSE)</f>
        <v>8059</v>
      </c>
      <c r="D82" s="289">
        <f>VLOOKUP(A82,'K18'!$A$4:$BX$425,26,FALSE)</f>
        <v>218690</v>
      </c>
      <c r="E82" s="289">
        <f>VLOOKUP(A82,'K19'!$A$4:$BX$425,26,FALSE)</f>
        <v>224983</v>
      </c>
      <c r="F82" s="517"/>
    </row>
    <row r="83" spans="1:6" ht="13">
      <c r="A83" s="1">
        <v>1430</v>
      </c>
      <c r="B83" s="2" t="s">
        <v>73</v>
      </c>
      <c r="C83" s="289">
        <f>VLOOKUP(A83,'K18'!$A$4:$BX$425,3,FALSE)</f>
        <v>3006</v>
      </c>
      <c r="D83" s="289">
        <f>VLOOKUP(A83,'K18'!$A$4:$BX$425,26,FALSE)</f>
        <v>74545</v>
      </c>
      <c r="E83" s="289">
        <f>VLOOKUP(A83,'K19'!$A$4:$BX$425,26,FALSE)</f>
        <v>76689</v>
      </c>
      <c r="F83" s="517"/>
    </row>
    <row r="84" spans="1:6" ht="13">
      <c r="A84" s="1">
        <v>1431</v>
      </c>
      <c r="B84" s="2" t="s">
        <v>74</v>
      </c>
      <c r="C84" s="289">
        <f>VLOOKUP(A84,'K18'!$A$4:$BX$425,3,FALSE)</f>
        <v>3043</v>
      </c>
      <c r="D84" s="289">
        <f>VLOOKUP(A84,'K18'!$A$4:$BX$425,26,FALSE)</f>
        <v>80458</v>
      </c>
      <c r="E84" s="289">
        <f>VLOOKUP(A84,'K19'!$A$4:$BX$425,26,FALSE)</f>
        <v>84585</v>
      </c>
      <c r="F84" s="517"/>
    </row>
    <row r="85" spans="1:6" ht="13">
      <c r="A85" s="1">
        <v>1432</v>
      </c>
      <c r="B85" s="2" t="s">
        <v>75</v>
      </c>
      <c r="C85" s="289">
        <f>VLOOKUP(A85,'K18'!$A$4:$BX$425,3,FALSE)</f>
        <v>13089</v>
      </c>
      <c r="D85" s="289">
        <f>VLOOKUP(A85,'K18'!$A$4:$BX$425,26,FALSE)</f>
        <v>388465</v>
      </c>
      <c r="E85" s="289">
        <f>VLOOKUP(A85,'K19'!$A$4:$BX$425,26,FALSE)</f>
        <v>408872</v>
      </c>
      <c r="F85" s="517"/>
    </row>
    <row r="86" spans="1:6" ht="13">
      <c r="A86" s="1">
        <v>1433</v>
      </c>
      <c r="B86" s="2" t="s">
        <v>76</v>
      </c>
      <c r="C86" s="289">
        <f>VLOOKUP(A86,'K18'!$A$4:$BX$425,3,FALSE)</f>
        <v>2825</v>
      </c>
      <c r="D86" s="289">
        <f>VLOOKUP(A86,'K18'!$A$4:$BX$425,26,FALSE)</f>
        <v>65952</v>
      </c>
      <c r="E86" s="289">
        <f>VLOOKUP(A86,'K19'!$A$4:$BX$425,26,FALSE)</f>
        <v>71495</v>
      </c>
      <c r="F86" s="517"/>
    </row>
    <row r="87" spans="1:6" ht="13">
      <c r="A87" s="1">
        <v>1439</v>
      </c>
      <c r="B87" s="2" t="s">
        <v>78</v>
      </c>
      <c r="C87" s="289">
        <f>VLOOKUP(A87,'K18'!$A$4:$BX$425,3,FALSE)</f>
        <v>6001</v>
      </c>
      <c r="D87" s="289">
        <f>VLOOKUP(A87,'K18'!$A$4:$BX$425,26,FALSE)</f>
        <v>169038</v>
      </c>
      <c r="E87" s="289">
        <f>VLOOKUP(A87,'K19'!$A$4:$BX$425,26,FALSE)</f>
        <v>182486</v>
      </c>
      <c r="F87" s="517"/>
    </row>
    <row r="88" spans="1:6" ht="13">
      <c r="A88" s="1">
        <v>1441</v>
      </c>
      <c r="B88" s="2" t="s">
        <v>79</v>
      </c>
      <c r="C88" s="289">
        <f>VLOOKUP(A88,'K18'!$A$4:$BX$425,3,FALSE)</f>
        <v>2757</v>
      </c>
      <c r="D88" s="289">
        <f>VLOOKUP(A88,'K18'!$A$4:$BX$425,26,FALSE)</f>
        <v>69577</v>
      </c>
      <c r="E88" s="289">
        <f>VLOOKUP(A88,'K19'!$A$4:$BX$425,26,FALSE)</f>
        <v>77604</v>
      </c>
      <c r="F88" s="517"/>
    </row>
    <row r="89" spans="1:6" ht="13">
      <c r="A89" s="1">
        <v>1443</v>
      </c>
      <c r="B89" s="2" t="s">
        <v>80</v>
      </c>
      <c r="C89" s="289">
        <f>VLOOKUP(A89,'K18'!$A$4:$BX$425,3,FALSE)</f>
        <v>6157</v>
      </c>
      <c r="D89" s="289">
        <f>VLOOKUP(A89,'K18'!$A$4:$BX$425,26,FALSE)</f>
        <v>154404</v>
      </c>
      <c r="E89" s="289">
        <f>VLOOKUP(A89,'K19'!$A$4:$BX$425,26,FALSE)</f>
        <v>157880</v>
      </c>
      <c r="F89" s="517"/>
    </row>
    <row r="90" spans="1:6" ht="13">
      <c r="A90" s="1">
        <v>1444</v>
      </c>
      <c r="B90" s="2" t="s">
        <v>81</v>
      </c>
      <c r="C90" s="289">
        <f>VLOOKUP(A90,'K18'!$A$4:$BX$425,3,FALSE)</f>
        <v>1175</v>
      </c>
      <c r="D90" s="289">
        <f>VLOOKUP(A90,'K18'!$A$4:$BX$425,26,FALSE)</f>
        <v>26735</v>
      </c>
      <c r="E90" s="289">
        <f>VLOOKUP(A90,'K19'!$A$4:$BX$425,26,FALSE)</f>
        <v>28142</v>
      </c>
      <c r="F90" s="517"/>
    </row>
    <row r="91" spans="1:6" ht="13">
      <c r="A91" s="755">
        <v>1502</v>
      </c>
      <c r="B91" s="756" t="s">
        <v>84</v>
      </c>
      <c r="C91" s="290">
        <f>VLOOKUP(A91,'K18'!$A$4:$BX$425,3,FALSE)</f>
        <v>26900</v>
      </c>
      <c r="D91" s="290">
        <f>VLOOKUP(A91,'K18'!$A$4:$BX$425,26,FALSE)</f>
        <v>776989</v>
      </c>
      <c r="E91" s="290">
        <f>VLOOKUP(A91,'K19'!$A$4:$BX$425,26,FALSE)</f>
        <v>799325</v>
      </c>
      <c r="F91" s="517"/>
    </row>
    <row r="92" spans="1:6" ht="13">
      <c r="A92" s="755">
        <v>1504</v>
      </c>
      <c r="B92" s="756" t="s">
        <v>85</v>
      </c>
      <c r="C92" s="290">
        <f>VLOOKUP(A92,'K18'!$A$4:$BX$425,3,FALSE)</f>
        <v>47510</v>
      </c>
      <c r="D92" s="290">
        <f>VLOOKUP(A92,'K18'!$A$4:$BX$425,26,FALSE)</f>
        <v>1459532</v>
      </c>
      <c r="E92" s="290">
        <f>VLOOKUP(A92,'K19'!$A$4:$BX$425,26,FALSE)</f>
        <v>1559319</v>
      </c>
      <c r="F92" s="517"/>
    </row>
    <row r="93" spans="1:6" ht="13">
      <c r="A93" s="1">
        <v>1505</v>
      </c>
      <c r="B93" s="4" t="s">
        <v>680</v>
      </c>
      <c r="C93" s="289">
        <f>VLOOKUP(A93,'K18'!$A$4:$BX$425,3,FALSE)</f>
        <v>24300</v>
      </c>
      <c r="D93" s="289">
        <f>VLOOKUP(A93,'K18'!$A$4:$BX$425,26,FALSE)</f>
        <v>637871</v>
      </c>
      <c r="E93" s="289">
        <f>VLOOKUP(A93,'K19'!$A$4:$BX$425,26,FALSE)</f>
        <v>663317</v>
      </c>
      <c r="F93" s="517"/>
    </row>
    <row r="94" spans="1:6" ht="13">
      <c r="A94" s="878">
        <v>1506</v>
      </c>
      <c r="B94" s="879" t="s">
        <v>1611</v>
      </c>
      <c r="C94" s="919">
        <f t="shared" ref="C94:E95" si="0">+C473</f>
        <v>31895</v>
      </c>
      <c r="D94" s="919">
        <f t="shared" si="0"/>
        <v>913522</v>
      </c>
      <c r="E94" s="919">
        <f t="shared" si="0"/>
        <v>946419</v>
      </c>
      <c r="F94" s="517"/>
    </row>
    <row r="95" spans="1:6" ht="13">
      <c r="A95" s="878">
        <v>1507</v>
      </c>
      <c r="B95" s="879" t="s">
        <v>1612</v>
      </c>
      <c r="C95" s="919">
        <f t="shared" si="0"/>
        <v>65053.103850200001</v>
      </c>
      <c r="D95" s="919">
        <f t="shared" si="0"/>
        <v>1924606.0505843894</v>
      </c>
      <c r="E95" s="919">
        <f t="shared" si="0"/>
        <v>2059966.2974875444</v>
      </c>
      <c r="F95" s="517"/>
    </row>
    <row r="96" spans="1:6" ht="13">
      <c r="A96" s="1">
        <v>1511</v>
      </c>
      <c r="B96" s="2" t="s">
        <v>86</v>
      </c>
      <c r="C96" s="289">
        <f>VLOOKUP(A96,'K18'!$A$4:$BX$425,3,FALSE)</f>
        <v>3187</v>
      </c>
      <c r="D96" s="289">
        <f>VLOOKUP(A96,'K18'!$A$4:$BX$425,26,FALSE)</f>
        <v>83683</v>
      </c>
      <c r="E96" s="289">
        <f>VLOOKUP(A96,'K19'!$A$4:$BX$425,26,FALSE)</f>
        <v>88973</v>
      </c>
      <c r="F96" s="517"/>
    </row>
    <row r="97" spans="1:6" ht="13">
      <c r="A97" s="1">
        <v>1514</v>
      </c>
      <c r="B97" s="2" t="s">
        <v>897</v>
      </c>
      <c r="C97" s="289">
        <f>VLOOKUP(A97,'K18'!$A$4:$BX$425,3,FALSE)</f>
        <v>2522</v>
      </c>
      <c r="D97" s="289">
        <f>VLOOKUP(A97,'K18'!$A$4:$BX$425,26,FALSE)</f>
        <v>68936</v>
      </c>
      <c r="E97" s="289">
        <f>VLOOKUP(A97,'K19'!$A$4:$BX$425,26,FALSE)</f>
        <v>75383</v>
      </c>
      <c r="F97" s="517"/>
    </row>
    <row r="98" spans="1:6" ht="13">
      <c r="A98" s="1">
        <v>1515</v>
      </c>
      <c r="B98" s="2" t="s">
        <v>87</v>
      </c>
      <c r="C98" s="289">
        <f>VLOOKUP(A98,'K18'!$A$4:$BX$425,3,FALSE)</f>
        <v>8965</v>
      </c>
      <c r="D98" s="289">
        <f>VLOOKUP(A98,'K18'!$A$4:$BX$425,26,FALSE)</f>
        <v>270116</v>
      </c>
      <c r="E98" s="289">
        <f>VLOOKUP(A98,'K19'!$A$4:$BX$425,26,FALSE)</f>
        <v>303238</v>
      </c>
      <c r="F98" s="517"/>
    </row>
    <row r="99" spans="1:6" ht="13">
      <c r="A99" s="1">
        <v>1516</v>
      </c>
      <c r="B99" s="2" t="s">
        <v>88</v>
      </c>
      <c r="C99" s="289">
        <f>VLOOKUP(A99,'K18'!$A$4:$BX$425,3,FALSE)</f>
        <v>8555</v>
      </c>
      <c r="D99" s="289">
        <f>VLOOKUP(A99,'K18'!$A$4:$BX$425,26,FALSE)</f>
        <v>262420</v>
      </c>
      <c r="E99" s="289">
        <f>VLOOKUP(A99,'K19'!$A$4:$BX$425,26,FALSE)</f>
        <v>275729</v>
      </c>
      <c r="F99" s="517"/>
    </row>
    <row r="100" spans="1:6" ht="13">
      <c r="A100" s="1">
        <v>1517</v>
      </c>
      <c r="B100" s="2" t="s">
        <v>89</v>
      </c>
      <c r="C100" s="289">
        <f>VLOOKUP(A100,'K18'!$A$4:$BX$425,3,FALSE)</f>
        <v>5150</v>
      </c>
      <c r="D100" s="289">
        <f>VLOOKUP(A100,'K18'!$A$4:$BX$425,26,FALSE)</f>
        <v>124236</v>
      </c>
      <c r="E100" s="289">
        <f>VLOOKUP(A100,'K19'!$A$4:$BX$425,26,FALSE)</f>
        <v>130558</v>
      </c>
      <c r="F100" s="517"/>
    </row>
    <row r="101" spans="1:6" ht="13">
      <c r="A101" s="1">
        <v>1519</v>
      </c>
      <c r="B101" s="2" t="s">
        <v>90</v>
      </c>
      <c r="C101" s="289">
        <f>VLOOKUP(A101,'K18'!$A$4:$BX$425,3,FALSE)</f>
        <v>9188</v>
      </c>
      <c r="D101" s="289">
        <f>VLOOKUP(A101,'K18'!$A$4:$BX$425,26,FALSE)</f>
        <v>222531</v>
      </c>
      <c r="E101" s="289">
        <f>VLOOKUP(A101,'K19'!$A$4:$BX$425,26,FALSE)</f>
        <v>227273</v>
      </c>
      <c r="F101" s="517"/>
    </row>
    <row r="102" spans="1:6" ht="13">
      <c r="A102" s="1">
        <v>1520</v>
      </c>
      <c r="B102" s="2" t="s">
        <v>91</v>
      </c>
      <c r="C102" s="289">
        <f>VLOOKUP(A102,'K18'!$A$4:$BX$425,3,FALSE)</f>
        <v>10812</v>
      </c>
      <c r="D102" s="289">
        <f>VLOOKUP(A102,'K18'!$A$4:$BX$425,26,FALSE)</f>
        <v>277117</v>
      </c>
      <c r="E102" s="289">
        <f>VLOOKUP(A102,'K19'!$A$4:$BX$425,26,FALSE)</f>
        <v>286052</v>
      </c>
      <c r="F102" s="517"/>
    </row>
    <row r="103" spans="1:6" ht="13">
      <c r="A103" s="1">
        <v>1523</v>
      </c>
      <c r="B103" s="2" t="s">
        <v>92</v>
      </c>
      <c r="C103" s="289">
        <f>VLOOKUP(A103,'K18'!$A$4:$BX$425,3,FALSE)</f>
        <v>2267</v>
      </c>
      <c r="D103" s="289">
        <f>VLOOKUP(A103,'K18'!$A$4:$BX$425,26,FALSE)</f>
        <v>60208</v>
      </c>
      <c r="E103" s="289">
        <f>VLOOKUP(A103,'K19'!$A$4:$BX$425,26,FALSE)</f>
        <v>62662</v>
      </c>
      <c r="F103" s="517"/>
    </row>
    <row r="104" spans="1:6" ht="13">
      <c r="A104" s="1">
        <v>1524</v>
      </c>
      <c r="B104" s="2" t="s">
        <v>93</v>
      </c>
      <c r="C104" s="289">
        <f>VLOOKUP(A104,'K18'!$A$4:$BX$425,3,FALSE)</f>
        <v>1670</v>
      </c>
      <c r="D104" s="289">
        <f>VLOOKUP(A104,'K18'!$A$4:$BX$425,26,FALSE)</f>
        <v>48307</v>
      </c>
      <c r="E104" s="289">
        <f>VLOOKUP(A104,'K19'!$A$4:$BX$425,26,FALSE)</f>
        <v>46265</v>
      </c>
      <c r="F104" s="517"/>
    </row>
    <row r="105" spans="1:6" ht="13">
      <c r="A105" s="1">
        <v>1525</v>
      </c>
      <c r="B105" s="2" t="s">
        <v>94</v>
      </c>
      <c r="C105" s="289">
        <f>VLOOKUP(A105,'K18'!$A$4:$BX$425,3,FALSE)</f>
        <v>4587</v>
      </c>
      <c r="D105" s="289">
        <f>VLOOKUP(A105,'K18'!$A$4:$BX$425,26,FALSE)</f>
        <v>127019</v>
      </c>
      <c r="E105" s="289">
        <f>VLOOKUP(A105,'K19'!$A$4:$BX$425,26,FALSE)</f>
        <v>128492</v>
      </c>
      <c r="F105" s="517"/>
    </row>
    <row r="106" spans="1:6" ht="13">
      <c r="A106" s="1">
        <v>1526</v>
      </c>
      <c r="B106" s="2" t="s">
        <v>95</v>
      </c>
      <c r="C106" s="289">
        <f>VLOOKUP(A106,'K18'!$A$4:$BX$425,3,FALSE)</f>
        <v>972</v>
      </c>
      <c r="D106" s="289">
        <f>VLOOKUP(A106,'K18'!$A$4:$BX$425,26,FALSE)</f>
        <v>22562</v>
      </c>
      <c r="E106" s="289">
        <f>VLOOKUP(A106,'K19'!$A$4:$BX$425,26,FALSE)</f>
        <v>22435</v>
      </c>
      <c r="F106" s="517"/>
    </row>
    <row r="107" spans="1:6" ht="13">
      <c r="A107" s="1">
        <v>1528</v>
      </c>
      <c r="B107" s="2" t="s">
        <v>96</v>
      </c>
      <c r="C107" s="289">
        <f>VLOOKUP(A107,'K18'!$A$4:$BX$425,3,FALSE)</f>
        <v>7695</v>
      </c>
      <c r="D107" s="289">
        <f>VLOOKUP(A107,'K18'!$A$4:$BX$425,26,FALSE)</f>
        <v>194273</v>
      </c>
      <c r="E107" s="289">
        <f>VLOOKUP(A107,'K19'!$A$4:$BX$425,26,FALSE)</f>
        <v>203942</v>
      </c>
      <c r="F107" s="517"/>
    </row>
    <row r="108" spans="1:6" ht="13">
      <c r="A108" s="1">
        <v>1529</v>
      </c>
      <c r="B108" s="2" t="s">
        <v>97</v>
      </c>
      <c r="C108" s="289">
        <f>VLOOKUP(A108,'K18'!$A$4:$BX$425,3,FALSE)</f>
        <v>4680</v>
      </c>
      <c r="D108" s="289">
        <f>VLOOKUP(A108,'K18'!$A$4:$BX$425,26,FALSE)</f>
        <v>116891</v>
      </c>
      <c r="E108" s="289">
        <f>VLOOKUP(A108,'K19'!$A$4:$BX$425,26,FALSE)</f>
        <v>129233</v>
      </c>
      <c r="F108" s="517"/>
    </row>
    <row r="109" spans="1:6" ht="13">
      <c r="A109" s="1">
        <v>1531</v>
      </c>
      <c r="B109" s="2" t="s">
        <v>98</v>
      </c>
      <c r="C109" s="289">
        <f>VLOOKUP(A109,'K18'!$A$4:$BX$425,3,FALSE)</f>
        <v>9131</v>
      </c>
      <c r="D109" s="289">
        <f>VLOOKUP(A109,'K18'!$A$4:$BX$425,26,FALSE)</f>
        <v>225657</v>
      </c>
      <c r="E109" s="289">
        <f>VLOOKUP(A109,'K19'!$A$4:$BX$425,26,FALSE)</f>
        <v>242024</v>
      </c>
      <c r="F109" s="517"/>
    </row>
    <row r="110" spans="1:6" ht="13">
      <c r="A110" s="1">
        <v>1532</v>
      </c>
      <c r="B110" s="2" t="s">
        <v>99</v>
      </c>
      <c r="C110" s="289">
        <f>VLOOKUP(A110,'K18'!$A$4:$BX$425,3,FALSE)</f>
        <v>8292</v>
      </c>
      <c r="D110" s="289">
        <f>VLOOKUP(A110,'K18'!$A$4:$BX$425,26,FALSE)</f>
        <v>225895</v>
      </c>
      <c r="E110" s="289">
        <f>VLOOKUP(A110,'K19'!$A$4:$BX$425,26,FALSE)</f>
        <v>241624</v>
      </c>
      <c r="F110" s="517"/>
    </row>
    <row r="111" spans="1:6" ht="13">
      <c r="A111" s="1">
        <v>1534</v>
      </c>
      <c r="B111" s="2" t="s">
        <v>100</v>
      </c>
      <c r="C111" s="289">
        <f>VLOOKUP(A111,'K18'!$A$4:$BX$425,3,FALSE)</f>
        <v>9345</v>
      </c>
      <c r="D111" s="289">
        <f>VLOOKUP(A111,'K18'!$A$4:$BX$425,26,FALSE)</f>
        <v>248949</v>
      </c>
      <c r="E111" s="289">
        <f>VLOOKUP(A111,'K19'!$A$4:$BX$425,26,FALSE)</f>
        <v>265960</v>
      </c>
      <c r="F111" s="517"/>
    </row>
    <row r="112" spans="1:6" ht="13">
      <c r="A112" s="1">
        <v>1535</v>
      </c>
      <c r="B112" s="2" t="s">
        <v>101</v>
      </c>
      <c r="C112" s="289">
        <f>VLOOKUP(A112,'K18'!$A$4:$BX$425,3,FALSE)</f>
        <v>6559</v>
      </c>
      <c r="D112" s="289">
        <f>VLOOKUP(A112,'K18'!$A$4:$BX$425,26,FALSE)</f>
        <v>176646</v>
      </c>
      <c r="E112" s="289">
        <f>VLOOKUP(A112,'K19'!$A$4:$BX$425,26,FALSE)</f>
        <v>194195</v>
      </c>
      <c r="F112" s="517"/>
    </row>
    <row r="113" spans="1:6" ht="13">
      <c r="A113" s="1">
        <v>1539</v>
      </c>
      <c r="B113" s="2" t="s">
        <v>102</v>
      </c>
      <c r="C113" s="289">
        <f>VLOOKUP(A113,'K18'!$A$4:$BX$425,3,FALSE)</f>
        <v>7507</v>
      </c>
      <c r="D113" s="289">
        <f>VLOOKUP(A113,'K18'!$A$4:$BX$425,26,FALSE)</f>
        <v>207857</v>
      </c>
      <c r="E113" s="289">
        <f>VLOOKUP(A113,'K19'!$A$4:$BX$425,26,FALSE)</f>
        <v>214556</v>
      </c>
      <c r="F113" s="517"/>
    </row>
    <row r="114" spans="1:6" ht="13">
      <c r="A114" s="1">
        <v>1543</v>
      </c>
      <c r="B114" s="2" t="s">
        <v>103</v>
      </c>
      <c r="C114" s="289">
        <f>VLOOKUP(A114,'K18'!$A$4:$BX$425,3,FALSE)</f>
        <v>2946</v>
      </c>
      <c r="D114" s="289">
        <f>VLOOKUP(A114,'K18'!$A$4:$BX$425,26,FALSE)</f>
        <v>81794</v>
      </c>
      <c r="E114" s="289">
        <f>VLOOKUP(A114,'K19'!$A$4:$BX$425,26,FALSE)</f>
        <v>85030</v>
      </c>
      <c r="F114" s="517"/>
    </row>
    <row r="115" spans="1:6" ht="13">
      <c r="A115" s="1">
        <v>1545</v>
      </c>
      <c r="B115" s="2" t="s">
        <v>104</v>
      </c>
      <c r="C115" s="289">
        <f>VLOOKUP(A115,'K18'!$A$4:$BX$425,3,FALSE)</f>
        <v>2049</v>
      </c>
      <c r="D115" s="289">
        <f>VLOOKUP(A115,'K18'!$A$4:$BX$425,26,FALSE)</f>
        <v>54739</v>
      </c>
      <c r="E115" s="289">
        <f>VLOOKUP(A115,'K19'!$A$4:$BX$425,26,FALSE)</f>
        <v>62064</v>
      </c>
      <c r="F115" s="517"/>
    </row>
    <row r="116" spans="1:6" ht="13">
      <c r="A116" s="1">
        <v>1546</v>
      </c>
      <c r="B116" s="2" t="s">
        <v>105</v>
      </c>
      <c r="C116" s="289">
        <f>VLOOKUP(A116,'K18'!$A$4:$BX$425,3,FALSE)</f>
        <v>1263</v>
      </c>
      <c r="D116" s="289">
        <f>VLOOKUP(A116,'K18'!$A$4:$BX$425,26,FALSE)</f>
        <v>39378</v>
      </c>
      <c r="E116" s="289">
        <f>VLOOKUP(A116,'K19'!$A$4:$BX$425,26,FALSE)</f>
        <v>43169</v>
      </c>
      <c r="F116" s="517"/>
    </row>
    <row r="117" spans="1:6" ht="13">
      <c r="A117" s="1">
        <v>1547</v>
      </c>
      <c r="B117" s="2" t="s">
        <v>106</v>
      </c>
      <c r="C117" s="289">
        <f>VLOOKUP(A117,'K18'!$A$4:$BX$425,3,FALSE)</f>
        <v>3557</v>
      </c>
      <c r="D117" s="289">
        <f>VLOOKUP(A117,'K18'!$A$4:$BX$425,26,FALSE)</f>
        <v>97066</v>
      </c>
      <c r="E117" s="289">
        <f>VLOOKUP(A117,'K19'!$A$4:$BX$425,26,FALSE)</f>
        <v>106389</v>
      </c>
      <c r="F117" s="517"/>
    </row>
    <row r="118" spans="1:6" ht="13">
      <c r="A118" s="1">
        <v>1548</v>
      </c>
      <c r="B118" s="2" t="s">
        <v>107</v>
      </c>
      <c r="C118" s="289">
        <f>VLOOKUP(A118,'K18'!$A$4:$BX$425,3,FALSE)</f>
        <v>9775</v>
      </c>
      <c r="D118" s="289">
        <f>VLOOKUP(A118,'K18'!$A$4:$BX$425,26,FALSE)</f>
        <v>253366</v>
      </c>
      <c r="E118" s="289">
        <f>VLOOKUP(A118,'K19'!$A$4:$BX$425,26,FALSE)</f>
        <v>257648</v>
      </c>
      <c r="F118" s="517"/>
    </row>
    <row r="119" spans="1:6" s="657" customFormat="1" ht="13">
      <c r="A119" s="1">
        <v>1551</v>
      </c>
      <c r="B119" s="2" t="s">
        <v>108</v>
      </c>
      <c r="C119" s="289">
        <f>VLOOKUP(A119,'K18'!$A$4:$BX$425,3,FALSE)</f>
        <v>3440</v>
      </c>
      <c r="D119" s="289">
        <f>VLOOKUP(A119,'K18'!$A$4:$BX$425,26,FALSE)</f>
        <v>86542</v>
      </c>
      <c r="E119" s="289">
        <f>VLOOKUP(A119,'K19'!$A$4:$BX$425,26,FALSE)</f>
        <v>88737</v>
      </c>
      <c r="F119" s="800"/>
    </row>
    <row r="120" spans="1:6" ht="13">
      <c r="A120" s="1">
        <v>1554</v>
      </c>
      <c r="B120" s="2" t="s">
        <v>109</v>
      </c>
      <c r="C120" s="289">
        <f>VLOOKUP(A120,'K18'!$A$4:$BX$425,3,FALSE)</f>
        <v>5859</v>
      </c>
      <c r="D120" s="289">
        <f>VLOOKUP(A120,'K18'!$A$4:$BX$425,26,FALSE)</f>
        <v>153466</v>
      </c>
      <c r="E120" s="289">
        <f>VLOOKUP(A120,'K19'!$A$4:$BX$425,26,FALSE)</f>
        <v>163113</v>
      </c>
      <c r="F120" s="517"/>
    </row>
    <row r="121" spans="1:6" ht="13">
      <c r="A121" s="1">
        <v>1557</v>
      </c>
      <c r="B121" s="2" t="s">
        <v>110</v>
      </c>
      <c r="C121" s="289">
        <f>VLOOKUP(A121,'K18'!$A$4:$BX$425,3,FALSE)</f>
        <v>2623</v>
      </c>
      <c r="D121" s="289">
        <f>VLOOKUP(A121,'K18'!$A$4:$BX$425,26,FALSE)</f>
        <v>63780</v>
      </c>
      <c r="E121" s="289">
        <f>VLOOKUP(A121,'K19'!$A$4:$BX$425,26,FALSE)</f>
        <v>65161</v>
      </c>
      <c r="F121" s="517"/>
    </row>
    <row r="122" spans="1:6" ht="13">
      <c r="A122" s="1">
        <v>1560</v>
      </c>
      <c r="B122" s="2" t="s">
        <v>111</v>
      </c>
      <c r="C122" s="289">
        <f>VLOOKUP(A122,'K18'!$A$4:$BX$425,3,FALSE)</f>
        <v>3078</v>
      </c>
      <c r="D122" s="289">
        <f>VLOOKUP(A122,'K18'!$A$4:$BX$425,26,FALSE)</f>
        <v>70887</v>
      </c>
      <c r="E122" s="289">
        <f>VLOOKUP(A122,'K19'!$A$4:$BX$425,26,FALSE)</f>
        <v>75985</v>
      </c>
      <c r="F122" s="517"/>
    </row>
    <row r="123" spans="1:6" ht="13">
      <c r="A123" s="1">
        <v>1563</v>
      </c>
      <c r="B123" s="2" t="s">
        <v>112</v>
      </c>
      <c r="C123" s="289">
        <f>VLOOKUP(A123,'K18'!$A$4:$BX$425,3,FALSE)</f>
        <v>7119</v>
      </c>
      <c r="D123" s="289">
        <f>VLOOKUP(A123,'K18'!$A$4:$BX$425,26,FALSE)</f>
        <v>203672</v>
      </c>
      <c r="E123" s="289">
        <f>VLOOKUP(A123,'K19'!$A$4:$BX$425,26,FALSE)</f>
        <v>207823</v>
      </c>
      <c r="F123" s="517"/>
    </row>
    <row r="124" spans="1:6" ht="13">
      <c r="A124" s="1">
        <v>1566</v>
      </c>
      <c r="B124" s="2" t="s">
        <v>113</v>
      </c>
      <c r="C124" s="289">
        <f>VLOOKUP(A124,'K18'!$A$4:$BX$425,3,FALSE)</f>
        <v>5978</v>
      </c>
      <c r="D124" s="289">
        <f>VLOOKUP(A124,'K18'!$A$4:$BX$425,26,FALSE)</f>
        <v>157123</v>
      </c>
      <c r="E124" s="289">
        <f>VLOOKUP(A124,'K19'!$A$4:$BX$425,26,FALSE)</f>
        <v>151417</v>
      </c>
      <c r="F124" s="517"/>
    </row>
    <row r="125" spans="1:6" ht="13">
      <c r="A125" s="1">
        <v>1571</v>
      </c>
      <c r="B125" s="2" t="s">
        <v>115</v>
      </c>
      <c r="C125" s="289">
        <f>VLOOKUP(A125,'K18'!$A$4:$BX$425,3,FALSE)</f>
        <v>1571</v>
      </c>
      <c r="D125" s="289">
        <f>VLOOKUP(A125,'K18'!$A$4:$BX$425,26,FALSE)</f>
        <v>36197</v>
      </c>
      <c r="E125" s="289">
        <f>VLOOKUP(A125,'K19'!$A$4:$BX$425,26,FALSE)</f>
        <v>39984</v>
      </c>
      <c r="F125" s="517"/>
    </row>
    <row r="126" spans="1:6" ht="13">
      <c r="A126" s="1">
        <v>1573</v>
      </c>
      <c r="B126" s="2" t="s">
        <v>116</v>
      </c>
      <c r="C126" s="289">
        <f>VLOOKUP(A126,'K18'!$A$4:$BX$425,3,FALSE)</f>
        <v>2172</v>
      </c>
      <c r="D126" s="289">
        <f>VLOOKUP(A126,'K18'!$A$4:$BX$425,26,FALSE)</f>
        <v>54874</v>
      </c>
      <c r="E126" s="289">
        <f>VLOOKUP(A126,'K19'!$A$4:$BX$425,26,FALSE)</f>
        <v>56072</v>
      </c>
      <c r="F126" s="517"/>
    </row>
    <row r="127" spans="1:6" ht="13">
      <c r="A127" s="1">
        <v>1576</v>
      </c>
      <c r="B127" s="4" t="s">
        <v>710</v>
      </c>
      <c r="C127" s="289">
        <f>VLOOKUP(A127,'K18'!$A$4:$BX$425,3,FALSE)</f>
        <v>3593</v>
      </c>
      <c r="D127" s="289">
        <f>VLOOKUP(A127,'K18'!$A$4:$BX$425,26,FALSE)</f>
        <v>90980</v>
      </c>
      <c r="E127" s="289">
        <f>VLOOKUP(A127,'K19'!$A$4:$BX$425,26,FALSE)</f>
        <v>94244</v>
      </c>
      <c r="F127" s="517"/>
    </row>
    <row r="128" spans="1:6" ht="13">
      <c r="A128" s="878">
        <v>1577</v>
      </c>
      <c r="B128" s="883" t="s">
        <v>1613</v>
      </c>
      <c r="C128" s="919">
        <f t="shared" ref="C128:C130" si="1">+C475</f>
        <v>10468.14204271</v>
      </c>
      <c r="D128" s="919">
        <f>+D475</f>
        <v>251795.02985797075</v>
      </c>
      <c r="E128" s="919">
        <f>+E475</f>
        <v>258006.41704512513</v>
      </c>
      <c r="F128" s="517"/>
    </row>
    <row r="129" spans="1:6" ht="13">
      <c r="A129" s="878">
        <v>1578</v>
      </c>
      <c r="B129" s="883" t="s">
        <v>1614</v>
      </c>
      <c r="C129" s="919">
        <f t="shared" si="1"/>
        <v>2642</v>
      </c>
      <c r="D129" s="919">
        <f t="shared" ref="D129:D130" si="2">+D476</f>
        <v>70869</v>
      </c>
      <c r="E129" s="919">
        <f t="shared" ref="E129:E130" si="3">+E476</f>
        <v>68700</v>
      </c>
      <c r="F129" s="517"/>
    </row>
    <row r="130" spans="1:6" ht="13">
      <c r="A130" s="878">
        <v>1579</v>
      </c>
      <c r="B130" s="883" t="s">
        <v>1615</v>
      </c>
      <c r="C130" s="919">
        <f t="shared" si="1"/>
        <v>13215</v>
      </c>
      <c r="D130" s="919">
        <f t="shared" si="2"/>
        <v>339908</v>
      </c>
      <c r="E130" s="919">
        <f t="shared" si="3"/>
        <v>346385</v>
      </c>
      <c r="F130" s="517"/>
    </row>
    <row r="131" spans="1:6" ht="13">
      <c r="A131" s="1">
        <v>1804</v>
      </c>
      <c r="B131" s="2" t="s">
        <v>174</v>
      </c>
      <c r="C131" s="289">
        <f>VLOOKUP(A131,'K18'!$A$4:$BX$425,3,FALSE)</f>
        <v>51558</v>
      </c>
      <c r="D131" s="289">
        <f>VLOOKUP(A131,'K18'!$A$4:$BX$425,26,FALSE)</f>
        <v>1519251</v>
      </c>
      <c r="E131" s="289">
        <f>VLOOKUP(A131,'K19'!$A$4:$BX$425,26,FALSE)</f>
        <v>1602846</v>
      </c>
      <c r="F131" s="517"/>
    </row>
    <row r="132" spans="1:6" ht="13">
      <c r="A132" s="1">
        <v>1805</v>
      </c>
      <c r="B132" s="2" t="s">
        <v>175</v>
      </c>
      <c r="C132" s="289">
        <f>VLOOKUP(A132,'K18'!$A$4:$BX$425,3,FALSE)</f>
        <v>18638</v>
      </c>
      <c r="D132" s="289">
        <f>VLOOKUP(A132,'K18'!$A$4:$BX$425,26,FALSE)</f>
        <v>525327</v>
      </c>
      <c r="E132" s="289">
        <f>VLOOKUP(A132,'K19'!$A$4:$BX$425,26,FALSE)</f>
        <v>524405</v>
      </c>
      <c r="F132" s="517"/>
    </row>
    <row r="133" spans="1:6" ht="13">
      <c r="A133" s="878">
        <v>1806</v>
      </c>
      <c r="B133" s="883" t="s">
        <v>1616</v>
      </c>
      <c r="C133" s="919">
        <f>+C478</f>
        <v>22062.945454550001</v>
      </c>
      <c r="D133" s="919">
        <f>+D478</f>
        <v>598271.44415584416</v>
      </c>
      <c r="E133" s="919">
        <f>+E478</f>
        <v>597858.44018008653</v>
      </c>
      <c r="F133" s="517"/>
    </row>
    <row r="134" spans="1:6" ht="13">
      <c r="A134" s="1">
        <v>1811</v>
      </c>
      <c r="B134" s="2" t="s">
        <v>176</v>
      </c>
      <c r="C134" s="289">
        <f>VLOOKUP(A134,'K18'!$A$4:$BX$425,3,FALSE)</f>
        <v>1486</v>
      </c>
      <c r="D134" s="289">
        <f>VLOOKUP(A134,'K18'!$A$4:$BX$425,26,FALSE)</f>
        <v>40198</v>
      </c>
      <c r="E134" s="289">
        <f>VLOOKUP(A134,'K19'!$A$4:$BX$425,26,FALSE)</f>
        <v>38970</v>
      </c>
      <c r="F134" s="517"/>
    </row>
    <row r="135" spans="1:6" ht="13">
      <c r="A135" s="1">
        <v>1812</v>
      </c>
      <c r="B135" s="2" t="s">
        <v>177</v>
      </c>
      <c r="C135" s="289">
        <f>VLOOKUP(A135,'K18'!$A$4:$BX$425,3,FALSE)</f>
        <v>2020</v>
      </c>
      <c r="D135" s="289">
        <f>VLOOKUP(A135,'K18'!$A$4:$BX$425,26,FALSE)</f>
        <v>44273</v>
      </c>
      <c r="E135" s="289">
        <f>VLOOKUP(A135,'K19'!$A$4:$BX$425,26,FALSE)</f>
        <v>46881</v>
      </c>
      <c r="F135" s="517"/>
    </row>
    <row r="136" spans="1:6" ht="13">
      <c r="A136" s="1">
        <v>1813</v>
      </c>
      <c r="B136" s="2" t="s">
        <v>178</v>
      </c>
      <c r="C136" s="289">
        <f>VLOOKUP(A136,'K18'!$A$4:$BX$425,3,FALSE)</f>
        <v>7948</v>
      </c>
      <c r="D136" s="289">
        <f>VLOOKUP(A136,'K18'!$A$4:$BX$425,26,FALSE)</f>
        <v>197077</v>
      </c>
      <c r="E136" s="289">
        <f>VLOOKUP(A136,'K19'!$A$4:$BX$425,26,FALSE)</f>
        <v>198525</v>
      </c>
      <c r="F136" s="517"/>
    </row>
    <row r="137" spans="1:6" ht="13">
      <c r="A137" s="1">
        <v>1815</v>
      </c>
      <c r="B137" s="2" t="s">
        <v>179</v>
      </c>
      <c r="C137" s="289">
        <f>VLOOKUP(A137,'K18'!$A$4:$BX$425,3,FALSE)</f>
        <v>1221</v>
      </c>
      <c r="D137" s="289">
        <f>VLOOKUP(A137,'K18'!$A$4:$BX$425,26,FALSE)</f>
        <v>26288</v>
      </c>
      <c r="E137" s="289">
        <f>VLOOKUP(A137,'K19'!$A$4:$BX$425,26,FALSE)</f>
        <v>27921</v>
      </c>
      <c r="F137" s="517"/>
    </row>
    <row r="138" spans="1:6" ht="13">
      <c r="A138" s="1">
        <v>1816</v>
      </c>
      <c r="B138" s="2" t="s">
        <v>180</v>
      </c>
      <c r="C138" s="289">
        <f>VLOOKUP(A138,'K18'!$A$4:$BX$425,3,FALSE)</f>
        <v>506</v>
      </c>
      <c r="D138" s="289">
        <f>VLOOKUP(A138,'K18'!$A$4:$BX$425,26,FALSE)</f>
        <v>10264</v>
      </c>
      <c r="E138" s="289">
        <f>VLOOKUP(A138,'K19'!$A$4:$BX$425,26,FALSE)</f>
        <v>13562</v>
      </c>
      <c r="F138" s="517"/>
    </row>
    <row r="139" spans="1:6" ht="13">
      <c r="A139" s="1">
        <v>1818</v>
      </c>
      <c r="B139" s="2" t="s">
        <v>87</v>
      </c>
      <c r="C139" s="289">
        <f>VLOOKUP(A139,'K18'!$A$4:$BX$425,3,FALSE)</f>
        <v>1790</v>
      </c>
      <c r="D139" s="289">
        <f>VLOOKUP(A139,'K18'!$A$4:$BX$425,26,FALSE)</f>
        <v>51964</v>
      </c>
      <c r="E139" s="289">
        <f>VLOOKUP(A139,'K19'!$A$4:$BX$425,26,FALSE)</f>
        <v>51439</v>
      </c>
      <c r="F139" s="517"/>
    </row>
    <row r="140" spans="1:6" ht="13">
      <c r="A140" s="1">
        <v>1820</v>
      </c>
      <c r="B140" s="2" t="s">
        <v>181</v>
      </c>
      <c r="C140" s="289">
        <f>VLOOKUP(A140,'K18'!$A$4:$BX$425,3,FALSE)</f>
        <v>7450</v>
      </c>
      <c r="D140" s="289">
        <f>VLOOKUP(A140,'K18'!$A$4:$BX$425,26,FALSE)</f>
        <v>184472</v>
      </c>
      <c r="E140" s="289">
        <f>VLOOKUP(A140,'K19'!$A$4:$BX$425,26,FALSE)</f>
        <v>193762</v>
      </c>
      <c r="F140" s="517"/>
    </row>
    <row r="141" spans="1:6" ht="13">
      <c r="A141" s="1">
        <v>1822</v>
      </c>
      <c r="B141" s="2" t="s">
        <v>182</v>
      </c>
      <c r="C141" s="289">
        <f>VLOOKUP(A141,'K18'!$A$4:$BX$425,3,FALSE)</f>
        <v>2307</v>
      </c>
      <c r="D141" s="289">
        <f>VLOOKUP(A141,'K18'!$A$4:$BX$425,26,FALSE)</f>
        <v>47531</v>
      </c>
      <c r="E141" s="289">
        <f>VLOOKUP(A141,'K19'!$A$4:$BX$425,26,FALSE)</f>
        <v>50052</v>
      </c>
      <c r="F141" s="517"/>
    </row>
    <row r="142" spans="1:6" ht="13">
      <c r="A142" s="1">
        <v>1824</v>
      </c>
      <c r="B142" s="2" t="s">
        <v>183</v>
      </c>
      <c r="C142" s="289">
        <f>VLOOKUP(A142,'K18'!$A$4:$BX$425,3,FALSE)</f>
        <v>13448</v>
      </c>
      <c r="D142" s="289">
        <f>VLOOKUP(A142,'K18'!$A$4:$BX$425,26,FALSE)</f>
        <v>338074</v>
      </c>
      <c r="E142" s="289">
        <f>VLOOKUP(A142,'K19'!$A$4:$BX$425,26,FALSE)</f>
        <v>353905</v>
      </c>
      <c r="F142" s="517"/>
    </row>
    <row r="143" spans="1:6" ht="13">
      <c r="A143" s="1">
        <v>1825</v>
      </c>
      <c r="B143" s="2" t="s">
        <v>184</v>
      </c>
      <c r="C143" s="289">
        <f>VLOOKUP(A143,'K18'!$A$4:$BX$425,3,FALSE)</f>
        <v>1463</v>
      </c>
      <c r="D143" s="289">
        <f>VLOOKUP(A143,'K18'!$A$4:$BX$425,26,FALSE)</f>
        <v>35736</v>
      </c>
      <c r="E143" s="289">
        <f>VLOOKUP(A143,'K19'!$A$4:$BX$425,26,FALSE)</f>
        <v>35715</v>
      </c>
      <c r="F143" s="517"/>
    </row>
    <row r="144" spans="1:6" ht="13">
      <c r="A144" s="1">
        <v>1826</v>
      </c>
      <c r="B144" s="2" t="s">
        <v>185</v>
      </c>
      <c r="C144" s="289">
        <f>VLOOKUP(A144,'K18'!$A$4:$BX$425,3,FALSE)</f>
        <v>1411</v>
      </c>
      <c r="D144" s="289">
        <f>VLOOKUP(A144,'K18'!$A$4:$BX$425,26,FALSE)</f>
        <v>28471</v>
      </c>
      <c r="E144" s="289">
        <f>VLOOKUP(A144,'K19'!$A$4:$BX$425,26,FALSE)</f>
        <v>29557</v>
      </c>
      <c r="F144" s="517"/>
    </row>
    <row r="145" spans="1:6" ht="13">
      <c r="A145" s="1">
        <v>1827</v>
      </c>
      <c r="B145" s="2" t="s">
        <v>186</v>
      </c>
      <c r="C145" s="289">
        <f>VLOOKUP(A145,'K18'!$A$4:$BX$425,3,FALSE)</f>
        <v>1403</v>
      </c>
      <c r="D145" s="289">
        <f>VLOOKUP(A145,'K18'!$A$4:$BX$425,26,FALSE)</f>
        <v>34700</v>
      </c>
      <c r="E145" s="289">
        <f>VLOOKUP(A145,'K19'!$A$4:$BX$425,26,FALSE)</f>
        <v>43441</v>
      </c>
      <c r="F145" s="517"/>
    </row>
    <row r="146" spans="1:6" ht="13">
      <c r="A146" s="1">
        <v>1828</v>
      </c>
      <c r="B146" s="2" t="s">
        <v>187</v>
      </c>
      <c r="C146" s="289">
        <f>VLOOKUP(A146,'K18'!$A$4:$BX$425,3,FALSE)</f>
        <v>1805</v>
      </c>
      <c r="D146" s="289">
        <f>VLOOKUP(A146,'K18'!$A$4:$BX$425,26,FALSE)</f>
        <v>44961</v>
      </c>
      <c r="E146" s="289">
        <f>VLOOKUP(A146,'K19'!$A$4:$BX$425,26,FALSE)</f>
        <v>43755</v>
      </c>
      <c r="F146" s="517"/>
    </row>
    <row r="147" spans="1:6" ht="13">
      <c r="A147" s="1">
        <v>1832</v>
      </c>
      <c r="B147" s="2" t="s">
        <v>188</v>
      </c>
      <c r="C147" s="289">
        <f>VLOOKUP(A147,'K18'!$A$4:$BX$425,3,FALSE)</f>
        <v>4503</v>
      </c>
      <c r="D147" s="289">
        <f>VLOOKUP(A147,'K18'!$A$4:$BX$425,26,FALSE)</f>
        <v>131134</v>
      </c>
      <c r="E147" s="289">
        <f>VLOOKUP(A147,'K19'!$A$4:$BX$425,26,FALSE)</f>
        <v>131414</v>
      </c>
      <c r="F147" s="517"/>
    </row>
    <row r="148" spans="1:6" ht="13">
      <c r="A148" s="1">
        <v>1833</v>
      </c>
      <c r="B148" s="2" t="s">
        <v>189</v>
      </c>
      <c r="C148" s="289">
        <f>VLOOKUP(A148,'K18'!$A$4:$BX$425,3,FALSE)</f>
        <v>26230</v>
      </c>
      <c r="D148" s="289">
        <f>VLOOKUP(A148,'K18'!$A$4:$BX$425,26,FALSE)</f>
        <v>691020</v>
      </c>
      <c r="E148" s="289">
        <f>VLOOKUP(A148,'K19'!$A$4:$BX$425,26,FALSE)</f>
        <v>712344</v>
      </c>
      <c r="F148" s="517"/>
    </row>
    <row r="149" spans="1:6" ht="13">
      <c r="A149" s="1">
        <v>1834</v>
      </c>
      <c r="B149" s="2" t="s">
        <v>190</v>
      </c>
      <c r="C149" s="289">
        <f>VLOOKUP(A149,'K18'!$A$4:$BX$425,3,FALSE)</f>
        <v>1920</v>
      </c>
      <c r="D149" s="289">
        <f>VLOOKUP(A149,'K18'!$A$4:$BX$425,26,FALSE)</f>
        <v>71323</v>
      </c>
      <c r="E149" s="289">
        <f>VLOOKUP(A149,'K19'!$A$4:$BX$425,26,FALSE)</f>
        <v>78651</v>
      </c>
      <c r="F149" s="517"/>
    </row>
    <row r="150" spans="1:6" ht="13">
      <c r="A150" s="1">
        <v>1835</v>
      </c>
      <c r="B150" s="2" t="s">
        <v>191</v>
      </c>
      <c r="C150" s="289">
        <f>VLOOKUP(A150,'K18'!$A$4:$BX$425,3,FALSE)</f>
        <v>454</v>
      </c>
      <c r="D150" s="289">
        <f>VLOOKUP(A150,'K18'!$A$4:$BX$425,26,FALSE)</f>
        <v>12509</v>
      </c>
      <c r="E150" s="289">
        <f>VLOOKUP(A150,'K19'!$A$4:$BX$425,26,FALSE)</f>
        <v>12554</v>
      </c>
      <c r="F150" s="517"/>
    </row>
    <row r="151" spans="1:6" ht="13">
      <c r="A151" s="1">
        <v>1836</v>
      </c>
      <c r="B151" s="2" t="s">
        <v>192</v>
      </c>
      <c r="C151" s="289">
        <f>VLOOKUP(A151,'K18'!$A$4:$BX$425,3,FALSE)</f>
        <v>1249</v>
      </c>
      <c r="D151" s="289">
        <f>VLOOKUP(A151,'K18'!$A$4:$BX$425,26,FALSE)</f>
        <v>28017</v>
      </c>
      <c r="E151" s="289">
        <f>VLOOKUP(A151,'K19'!$A$4:$BX$425,26,FALSE)</f>
        <v>30314</v>
      </c>
      <c r="F151" s="517"/>
    </row>
    <row r="152" spans="1:6" ht="13">
      <c r="A152" s="1">
        <v>1837</v>
      </c>
      <c r="B152" s="2" t="s">
        <v>193</v>
      </c>
      <c r="C152" s="289">
        <f>VLOOKUP(A152,'K18'!$A$4:$BX$425,3,FALSE)</f>
        <v>6346</v>
      </c>
      <c r="D152" s="289">
        <f>VLOOKUP(A152,'K18'!$A$4:$BX$425,26,FALSE)</f>
        <v>179660</v>
      </c>
      <c r="E152" s="289">
        <f>VLOOKUP(A152,'K19'!$A$4:$BX$425,26,FALSE)</f>
        <v>186474</v>
      </c>
      <c r="F152" s="517"/>
    </row>
    <row r="153" spans="1:6" ht="13">
      <c r="A153" s="1">
        <v>1838</v>
      </c>
      <c r="B153" s="2" t="s">
        <v>194</v>
      </c>
      <c r="C153" s="289">
        <f>VLOOKUP(A153,'K18'!$A$4:$BX$425,3,FALSE)</f>
        <v>1998</v>
      </c>
      <c r="D153" s="289">
        <f>VLOOKUP(A153,'K18'!$A$4:$BX$425,26,FALSE)</f>
        <v>50262</v>
      </c>
      <c r="E153" s="289">
        <f>VLOOKUP(A153,'K19'!$A$4:$BX$425,26,FALSE)</f>
        <v>52828</v>
      </c>
      <c r="F153" s="517"/>
    </row>
    <row r="154" spans="1:6" ht="13">
      <c r="A154" s="1">
        <v>1839</v>
      </c>
      <c r="B154" s="2" t="s">
        <v>195</v>
      </c>
      <c r="C154" s="289">
        <f>VLOOKUP(A154,'K18'!$A$4:$BX$425,3,FALSE)</f>
        <v>1029</v>
      </c>
      <c r="D154" s="289">
        <f>VLOOKUP(A154,'K18'!$A$4:$BX$425,26,FALSE)</f>
        <v>26982</v>
      </c>
      <c r="E154" s="289">
        <f>VLOOKUP(A154,'K19'!$A$4:$BX$425,26,FALSE)</f>
        <v>27743</v>
      </c>
      <c r="F154" s="517"/>
    </row>
    <row r="155" spans="1:6" ht="13">
      <c r="A155" s="1">
        <v>1840</v>
      </c>
      <c r="B155" s="2" t="s">
        <v>196</v>
      </c>
      <c r="C155" s="289">
        <f>VLOOKUP(A155,'K18'!$A$4:$BX$425,3,FALSE)</f>
        <v>4691</v>
      </c>
      <c r="D155" s="289">
        <f>VLOOKUP(A155,'K18'!$A$4:$BX$425,26,FALSE)</f>
        <v>110720</v>
      </c>
      <c r="E155" s="289">
        <f>VLOOKUP(A155,'K19'!$A$4:$BX$425,26,FALSE)</f>
        <v>111043</v>
      </c>
      <c r="F155" s="517"/>
    </row>
    <row r="156" spans="1:6" ht="13">
      <c r="A156" s="1">
        <v>1841</v>
      </c>
      <c r="B156" s="2" t="s">
        <v>197</v>
      </c>
      <c r="C156" s="289">
        <f>VLOOKUP(A156,'K18'!$A$4:$BX$425,3,FALSE)</f>
        <v>9775</v>
      </c>
      <c r="D156" s="289">
        <f>VLOOKUP(A156,'K18'!$A$4:$BX$425,26,FALSE)</f>
        <v>257308</v>
      </c>
      <c r="E156" s="289">
        <f>VLOOKUP(A156,'K19'!$A$4:$BX$425,26,FALSE)</f>
        <v>266024</v>
      </c>
      <c r="F156" s="517"/>
    </row>
    <row r="157" spans="1:6" ht="13">
      <c r="A157" s="1">
        <v>1845</v>
      </c>
      <c r="B157" s="2" t="s">
        <v>198</v>
      </c>
      <c r="C157" s="289">
        <f>VLOOKUP(A157,'K18'!$A$4:$BX$425,3,FALSE)</f>
        <v>1979</v>
      </c>
      <c r="D157" s="289">
        <f>VLOOKUP(A157,'K18'!$A$4:$BX$425,26,FALSE)</f>
        <v>58654</v>
      </c>
      <c r="E157" s="289">
        <f>VLOOKUP(A157,'K19'!$A$4:$BX$425,26,FALSE)</f>
        <v>60172</v>
      </c>
      <c r="F157" s="517"/>
    </row>
    <row r="158" spans="1:6" ht="13">
      <c r="A158" s="1">
        <v>1848</v>
      </c>
      <c r="B158" s="2" t="s">
        <v>199</v>
      </c>
      <c r="C158" s="289">
        <f>VLOOKUP(A158,'K18'!$A$4:$BX$425,3,FALSE)</f>
        <v>2534</v>
      </c>
      <c r="D158" s="289">
        <f>VLOOKUP(A158,'K18'!$A$4:$BX$425,26,FALSE)</f>
        <v>63418</v>
      </c>
      <c r="E158" s="289">
        <f>VLOOKUP(A158,'K19'!$A$4:$BX$425,26,FALSE)</f>
        <v>66236</v>
      </c>
      <c r="F158" s="517"/>
    </row>
    <row r="159" spans="1:6" ht="13">
      <c r="A159" s="1">
        <v>1849</v>
      </c>
      <c r="B159" s="2" t="s">
        <v>200</v>
      </c>
      <c r="C159" s="289">
        <f>VLOOKUP(A159,'K18'!$A$4:$BX$425,3,FALSE)</f>
        <v>1801</v>
      </c>
      <c r="D159" s="289">
        <f>VLOOKUP(A159,'K18'!$A$4:$BX$425,26,FALSE)</f>
        <v>49651</v>
      </c>
      <c r="E159" s="289">
        <f>VLOOKUP(A159,'K19'!$A$4:$BX$425,26,FALSE)</f>
        <v>50853</v>
      </c>
      <c r="F159" s="517"/>
    </row>
    <row r="160" spans="1:6" ht="13">
      <c r="A160" s="1">
        <v>1850</v>
      </c>
      <c r="B160" s="2" t="s">
        <v>201</v>
      </c>
      <c r="C160" s="289">
        <f>VLOOKUP(A160,'K18'!$A$4:$BX$425,3,FALSE)</f>
        <v>1953</v>
      </c>
      <c r="D160" s="289">
        <f>VLOOKUP(A160,'K18'!$A$4:$BX$425,26,FALSE)</f>
        <v>46432</v>
      </c>
      <c r="E160" s="289">
        <f>VLOOKUP(A160,'K19'!$A$4:$BX$425,26,FALSE)</f>
        <v>47833</v>
      </c>
      <c r="F160" s="517"/>
    </row>
    <row r="161" spans="1:6" ht="13">
      <c r="A161" s="1">
        <v>1851</v>
      </c>
      <c r="B161" s="2" t="s">
        <v>202</v>
      </c>
      <c r="C161" s="289">
        <f>VLOOKUP(A161,'K18'!$A$4:$BX$425,3,FALSE)</f>
        <v>2102</v>
      </c>
      <c r="D161" s="289">
        <f>VLOOKUP(A161,'K18'!$A$4:$BX$425,26,FALSE)</f>
        <v>52437</v>
      </c>
      <c r="E161" s="289">
        <f>VLOOKUP(A161,'K19'!$A$4:$BX$425,26,FALSE)</f>
        <v>52472</v>
      </c>
      <c r="F161" s="517"/>
    </row>
    <row r="162" spans="1:6" ht="13">
      <c r="A162" s="1">
        <v>1852</v>
      </c>
      <c r="B162" s="2" t="s">
        <v>203</v>
      </c>
      <c r="C162" s="289">
        <f>VLOOKUP(A162,'K18'!$A$4:$BX$425,3,FALSE)</f>
        <v>1259</v>
      </c>
      <c r="D162" s="289">
        <f>VLOOKUP(A162,'K18'!$A$4:$BX$425,26,FALSE)</f>
        <v>26955</v>
      </c>
      <c r="E162" s="289">
        <f>VLOOKUP(A162,'K19'!$A$4:$BX$425,26,FALSE)</f>
        <v>27623</v>
      </c>
      <c r="F162" s="517"/>
    </row>
    <row r="163" spans="1:6" ht="13">
      <c r="A163" s="1">
        <v>1853</v>
      </c>
      <c r="B163" s="2" t="s">
        <v>204</v>
      </c>
      <c r="C163" s="289">
        <f>VLOOKUP(A163,'K18'!$A$4:$BX$425,3,FALSE)</f>
        <v>1387</v>
      </c>
      <c r="D163" s="289">
        <f>VLOOKUP(A163,'K18'!$A$4:$BX$425,26,FALSE)</f>
        <v>29781</v>
      </c>
      <c r="E163" s="289">
        <f>VLOOKUP(A163,'K19'!$A$4:$BX$425,26,FALSE)</f>
        <v>30761</v>
      </c>
      <c r="F163" s="517"/>
    </row>
    <row r="164" spans="1:6" ht="13">
      <c r="A164" s="1">
        <v>1854</v>
      </c>
      <c r="B164" s="2" t="s">
        <v>205</v>
      </c>
      <c r="C164" s="289">
        <f>VLOOKUP(A164,'K18'!$A$4:$BX$425,3,FALSE)</f>
        <v>2522</v>
      </c>
      <c r="D164" s="289">
        <f>VLOOKUP(A164,'K18'!$A$4:$BX$425,26,FALSE)</f>
        <v>53063</v>
      </c>
      <c r="E164" s="289">
        <f>VLOOKUP(A164,'K19'!$A$4:$BX$425,26,FALSE)</f>
        <v>52910</v>
      </c>
      <c r="F164" s="517"/>
    </row>
    <row r="165" spans="1:6" ht="13">
      <c r="A165" s="1">
        <v>1856</v>
      </c>
      <c r="B165" s="2" t="s">
        <v>206</v>
      </c>
      <c r="C165" s="289">
        <f>VLOOKUP(A165,'K18'!$A$4:$BX$425,3,FALSE)</f>
        <v>517</v>
      </c>
      <c r="D165" s="289">
        <f>VLOOKUP(A165,'K18'!$A$4:$BX$425,26,FALSE)</f>
        <v>16310</v>
      </c>
      <c r="E165" s="289">
        <f>VLOOKUP(A165,'K19'!$A$4:$BX$425,26,FALSE)</f>
        <v>18474</v>
      </c>
      <c r="F165" s="517"/>
    </row>
    <row r="166" spans="1:6" ht="13">
      <c r="A166" s="1">
        <v>1857</v>
      </c>
      <c r="B166" s="2" t="s">
        <v>207</v>
      </c>
      <c r="C166" s="289">
        <f>VLOOKUP(A166,'K18'!$A$4:$BX$425,3,FALSE)</f>
        <v>746</v>
      </c>
      <c r="D166" s="289">
        <f>VLOOKUP(A166,'K18'!$A$4:$BX$425,26,FALSE)</f>
        <v>21713</v>
      </c>
      <c r="E166" s="289">
        <f>VLOOKUP(A166,'K19'!$A$4:$BX$425,26,FALSE)</f>
        <v>22943</v>
      </c>
      <c r="F166" s="517"/>
    </row>
    <row r="167" spans="1:6" ht="13">
      <c r="A167" s="1">
        <v>1859</v>
      </c>
      <c r="B167" s="2" t="s">
        <v>208</v>
      </c>
      <c r="C167" s="289">
        <f>VLOOKUP(A167,'K18'!$A$4:$BX$425,3,FALSE)</f>
        <v>1301</v>
      </c>
      <c r="D167" s="289">
        <f>VLOOKUP(A167,'K18'!$A$4:$BX$425,26,FALSE)</f>
        <v>37505</v>
      </c>
      <c r="E167" s="289">
        <f>VLOOKUP(A167,'K19'!$A$4:$BX$425,26,FALSE)</f>
        <v>40548</v>
      </c>
      <c r="F167" s="517"/>
    </row>
    <row r="168" spans="1:6" ht="13">
      <c r="A168" s="1">
        <v>1860</v>
      </c>
      <c r="B168" s="2" t="s">
        <v>209</v>
      </c>
      <c r="C168" s="289">
        <f>VLOOKUP(A168,'K18'!$A$4:$BX$425,3,FALSE)</f>
        <v>11397</v>
      </c>
      <c r="D168" s="289">
        <f>VLOOKUP(A168,'K18'!$A$4:$BX$425,26,FALSE)</f>
        <v>282252</v>
      </c>
      <c r="E168" s="289">
        <f>VLOOKUP(A168,'K19'!$A$4:$BX$425,26,FALSE)</f>
        <v>290256</v>
      </c>
      <c r="F168" s="517"/>
    </row>
    <row r="169" spans="1:6" ht="13">
      <c r="A169" s="1">
        <v>1865</v>
      </c>
      <c r="B169" s="2" t="s">
        <v>210</v>
      </c>
      <c r="C169" s="289">
        <f>VLOOKUP(A169,'K18'!$A$4:$BX$425,3,FALSE)</f>
        <v>9611</v>
      </c>
      <c r="D169" s="289">
        <f>VLOOKUP(A169,'K18'!$A$4:$BX$425,26,FALSE)</f>
        <v>268281</v>
      </c>
      <c r="E169" s="289">
        <f>VLOOKUP(A169,'K19'!$A$4:$BX$425,26,FALSE)</f>
        <v>278063</v>
      </c>
      <c r="F169" s="517"/>
    </row>
    <row r="170" spans="1:6" ht="13">
      <c r="A170" s="1">
        <v>1866</v>
      </c>
      <c r="B170" s="2" t="s">
        <v>211</v>
      </c>
      <c r="C170" s="289">
        <f>VLOOKUP(A170,'K18'!$A$4:$BX$425,3,FALSE)</f>
        <v>8042</v>
      </c>
      <c r="D170" s="289">
        <f>VLOOKUP(A170,'K18'!$A$4:$BX$425,26,FALSE)</f>
        <v>188411</v>
      </c>
      <c r="E170" s="289">
        <f>VLOOKUP(A170,'K19'!$A$4:$BX$425,26,FALSE)</f>
        <v>199930</v>
      </c>
      <c r="F170" s="517"/>
    </row>
    <row r="171" spans="1:6" ht="13">
      <c r="A171" s="1">
        <v>1867</v>
      </c>
      <c r="B171" s="2" t="s">
        <v>913</v>
      </c>
      <c r="C171" s="289">
        <f>VLOOKUP(A171,'K18'!$A$4:$BX$425,3,FALSE)</f>
        <v>2623</v>
      </c>
      <c r="D171" s="289">
        <f>VLOOKUP(A171,'K18'!$A$4:$BX$425,26,FALSE)</f>
        <v>61567</v>
      </c>
      <c r="E171" s="289">
        <f>VLOOKUP(A171,'K19'!$A$4:$BX$425,26,FALSE)</f>
        <v>64569</v>
      </c>
      <c r="F171" s="517"/>
    </row>
    <row r="172" spans="1:6" ht="13">
      <c r="A172" s="1">
        <v>1868</v>
      </c>
      <c r="B172" s="2" t="s">
        <v>212</v>
      </c>
      <c r="C172" s="289">
        <f>VLOOKUP(A172,'K18'!$A$4:$BX$425,3,FALSE)</f>
        <v>4541</v>
      </c>
      <c r="D172" s="289">
        <f>VLOOKUP(A172,'K18'!$A$4:$BX$425,26,FALSE)</f>
        <v>122118</v>
      </c>
      <c r="E172" s="289">
        <f>VLOOKUP(A172,'K19'!$A$4:$BX$425,26,FALSE)</f>
        <v>126035</v>
      </c>
      <c r="F172" s="517"/>
    </row>
    <row r="173" spans="1:6" ht="13">
      <c r="A173" s="1">
        <v>1870</v>
      </c>
      <c r="B173" s="2" t="s">
        <v>213</v>
      </c>
      <c r="C173" s="289">
        <f>VLOOKUP(A173,'K18'!$A$4:$BX$425,3,FALSE)</f>
        <v>10401</v>
      </c>
      <c r="D173" s="289">
        <f>VLOOKUP(A173,'K18'!$A$4:$BX$425,26,FALSE)</f>
        <v>270129</v>
      </c>
      <c r="E173" s="289">
        <f>VLOOKUP(A173,'K19'!$A$4:$BX$425,26,FALSE)</f>
        <v>279319</v>
      </c>
      <c r="F173" s="517"/>
    </row>
    <row r="174" spans="1:6" ht="13">
      <c r="A174" s="1">
        <v>1871</v>
      </c>
      <c r="B174" s="2" t="s">
        <v>214</v>
      </c>
      <c r="C174" s="289">
        <f>VLOOKUP(A174,'K18'!$A$4:$BX$425,3,FALSE)</f>
        <v>4902</v>
      </c>
      <c r="D174" s="289">
        <f>VLOOKUP(A174,'K18'!$A$4:$BX$425,26,FALSE)</f>
        <v>134742</v>
      </c>
      <c r="E174" s="289">
        <f>VLOOKUP(A174,'K19'!$A$4:$BX$425,26,FALSE)</f>
        <v>127446</v>
      </c>
      <c r="F174" s="517"/>
    </row>
    <row r="175" spans="1:6" ht="13">
      <c r="A175" s="1">
        <v>1874</v>
      </c>
      <c r="B175" s="2" t="s">
        <v>215</v>
      </c>
      <c r="C175" s="289">
        <f>VLOOKUP(A175,'K18'!$A$4:$BX$425,3,FALSE)</f>
        <v>1068</v>
      </c>
      <c r="D175" s="289">
        <f>VLOOKUP(A175,'K18'!$A$4:$BX$425,26,FALSE)</f>
        <v>30852</v>
      </c>
      <c r="E175" s="289">
        <f>VLOOKUP(A175,'K19'!$A$4:$BX$425,26,FALSE)</f>
        <v>34001</v>
      </c>
      <c r="F175" s="517"/>
    </row>
    <row r="176" spans="1:6" ht="13">
      <c r="A176" s="878">
        <v>1875</v>
      </c>
      <c r="B176" s="883" t="s">
        <v>1617</v>
      </c>
      <c r="C176" s="919">
        <f>+C479</f>
        <v>2851.0545454499998</v>
      </c>
      <c r="D176" s="919">
        <f>+D479</f>
        <v>78142.559819913411</v>
      </c>
      <c r="E176" s="919">
        <f>+E479</f>
        <v>78142.559819913411</v>
      </c>
      <c r="F176" s="517"/>
    </row>
    <row r="177" spans="1:6" ht="13">
      <c r="A177" s="1">
        <v>1913</v>
      </c>
      <c r="B177" s="2" t="s">
        <v>219</v>
      </c>
      <c r="C177" s="289">
        <f>VLOOKUP(A177,'K18'!$A$4:$BX$425,3,FALSE)</f>
        <v>2994</v>
      </c>
      <c r="D177" s="289">
        <f>VLOOKUP(A177,'K18'!$A$4:$BX$425,26,FALSE)</f>
        <v>69865</v>
      </c>
      <c r="E177" s="289">
        <f>VLOOKUP(A177,'K19'!$A$4:$BX$425,26,FALSE)</f>
        <v>73309</v>
      </c>
      <c r="F177" s="517"/>
    </row>
    <row r="178" spans="1:6" ht="13">
      <c r="A178" s="1">
        <v>1927</v>
      </c>
      <c r="B178" s="2" t="s">
        <v>229</v>
      </c>
      <c r="C178" s="289">
        <f>VLOOKUP(A178,'K18'!$A$4:$BX$425,3,FALSE)</f>
        <v>1536</v>
      </c>
      <c r="D178" s="289">
        <f>VLOOKUP(A178,'K18'!$A$4:$BX$425,26,FALSE)</f>
        <v>32458</v>
      </c>
      <c r="E178" s="289">
        <f>VLOOKUP(A178,'K19'!$A$4:$BX$425,26,FALSE)</f>
        <v>34453</v>
      </c>
      <c r="F178" s="517"/>
    </row>
    <row r="179" spans="1:6" ht="13">
      <c r="A179" s="1">
        <v>1928</v>
      </c>
      <c r="B179" s="2" t="s">
        <v>230</v>
      </c>
      <c r="C179" s="289">
        <f>VLOOKUP(A179,'K18'!$A$4:$BX$425,3,FALSE)</f>
        <v>943</v>
      </c>
      <c r="D179" s="289">
        <f>VLOOKUP(A179,'K18'!$A$4:$BX$425,26,FALSE)</f>
        <v>21406</v>
      </c>
      <c r="E179" s="289">
        <f>VLOOKUP(A179,'K19'!$A$4:$BX$425,26,FALSE)</f>
        <v>21142</v>
      </c>
      <c r="F179" s="517"/>
    </row>
    <row r="180" spans="1:6" ht="13">
      <c r="A180" s="1">
        <v>1929</v>
      </c>
      <c r="B180" s="2" t="s">
        <v>231</v>
      </c>
      <c r="C180" s="289">
        <f>VLOOKUP(A180,'K18'!$A$4:$BX$425,3,FALSE)</f>
        <v>902</v>
      </c>
      <c r="D180" s="289">
        <f>VLOOKUP(A180,'K18'!$A$4:$BX$425,26,FALSE)</f>
        <v>23708</v>
      </c>
      <c r="E180" s="289">
        <f>VLOOKUP(A180,'K19'!$A$4:$BX$425,26,FALSE)</f>
        <v>25764</v>
      </c>
      <c r="F180" s="517"/>
    </row>
    <row r="181" spans="1:6" ht="13">
      <c r="A181" s="1">
        <v>1931</v>
      </c>
      <c r="B181" s="2" t="s">
        <v>232</v>
      </c>
      <c r="C181" s="289">
        <f>VLOOKUP(A181,'K18'!$A$4:$BX$425,3,FALSE)</f>
        <v>11644</v>
      </c>
      <c r="D181" s="289">
        <f>VLOOKUP(A181,'K18'!$A$4:$BX$425,26,FALSE)</f>
        <v>294637</v>
      </c>
      <c r="E181" s="289">
        <f>VLOOKUP(A181,'K19'!$A$4:$BX$425,26,FALSE)</f>
        <v>311153</v>
      </c>
      <c r="F181" s="517"/>
    </row>
    <row r="182" spans="1:6" ht="13">
      <c r="A182" s="1">
        <v>2004</v>
      </c>
      <c r="B182" s="2" t="s">
        <v>243</v>
      </c>
      <c r="C182" s="289">
        <f>VLOOKUP(A182,'K18'!$A$4:$BX$425,3,FALSE)</f>
        <v>10533</v>
      </c>
      <c r="D182" s="289">
        <f>VLOOKUP(A182,'K18'!$A$4:$BX$425,26,FALSE)</f>
        <v>303061</v>
      </c>
      <c r="E182" s="289">
        <f>VLOOKUP(A182,'K19'!$A$4:$BX$425,26,FALSE)</f>
        <v>316078</v>
      </c>
      <c r="F182" s="517"/>
    </row>
    <row r="183" spans="1:6" ht="13">
      <c r="A183" s="1">
        <v>2017</v>
      </c>
      <c r="B183" s="2" t="s">
        <v>248</v>
      </c>
      <c r="C183" s="289">
        <f>VLOOKUP(A183,'K18'!$A$4:$BX$425,3,FALSE)</f>
        <v>1027</v>
      </c>
      <c r="D183" s="289">
        <f>VLOOKUP(A183,'K18'!$A$4:$BX$425,26,FALSE)</f>
        <v>24465</v>
      </c>
      <c r="E183" s="289">
        <f>VLOOKUP(A183,'K19'!$A$4:$BX$425,26,FALSE)</f>
        <v>24502</v>
      </c>
      <c r="F183" s="517"/>
    </row>
    <row r="184" spans="1:6" ht="13">
      <c r="A184" s="1">
        <v>3001</v>
      </c>
      <c r="B184" s="2" t="s">
        <v>783</v>
      </c>
      <c r="C184" s="289">
        <f>VLOOKUP(A184,'K18'!$A$4:$BX$425,3,FALSE)</f>
        <v>31037</v>
      </c>
      <c r="D184" s="289">
        <f>VLOOKUP(A184,'K18'!$A$4:$BX$425,26,FALSE)</f>
        <v>758714</v>
      </c>
      <c r="E184" s="289">
        <f>VLOOKUP(A184,'K19'!$A$4:$BX$425,26,FALSE)</f>
        <v>767877</v>
      </c>
      <c r="F184" s="517"/>
    </row>
    <row r="185" spans="1:6" ht="13">
      <c r="A185" s="878">
        <v>3002</v>
      </c>
      <c r="B185" s="883" t="s">
        <v>1618</v>
      </c>
      <c r="C185" s="919">
        <f>+C480</f>
        <v>48671</v>
      </c>
      <c r="D185" s="919">
        <f>+D480</f>
        <v>1317884</v>
      </c>
      <c r="E185" s="919">
        <f>+E480</f>
        <v>1377561</v>
      </c>
      <c r="F185" s="517"/>
    </row>
    <row r="186" spans="1:6" ht="13">
      <c r="A186" s="1">
        <v>3003</v>
      </c>
      <c r="B186" s="2" t="s">
        <v>785</v>
      </c>
      <c r="C186" s="289">
        <f>VLOOKUP(A186,'K18'!$A$4:$BX$425,3,FALSE)</f>
        <v>55543</v>
      </c>
      <c r="D186" s="289">
        <f>VLOOKUP(A186,'K18'!$A$4:$BX$425,26,FALSE)</f>
        <v>1352585</v>
      </c>
      <c r="E186" s="289">
        <f>VLOOKUP(A186,'K19'!$A$4:$BX$425,26,FALSE)</f>
        <v>1416352</v>
      </c>
      <c r="F186" s="517"/>
    </row>
    <row r="187" spans="1:6" ht="13">
      <c r="A187" s="1">
        <v>3004</v>
      </c>
      <c r="B187" s="2" t="s">
        <v>786</v>
      </c>
      <c r="C187" s="289">
        <f>VLOOKUP(A187,'K18'!$A$4:$BX$425,3,FALSE)</f>
        <v>80977</v>
      </c>
      <c r="D187" s="289">
        <f>VLOOKUP(A187,'K18'!$A$4:$BX$425,26,FALSE)</f>
        <v>2095333</v>
      </c>
      <c r="E187" s="289">
        <f>VLOOKUP(A187,'K19'!$A$4:$BX$425,26,FALSE)</f>
        <v>2241352</v>
      </c>
      <c r="F187" s="517"/>
    </row>
    <row r="188" spans="1:6" ht="13">
      <c r="A188" s="878">
        <v>3005</v>
      </c>
      <c r="B188" s="883" t="s">
        <v>1619</v>
      </c>
      <c r="C188" s="919">
        <f>+C481</f>
        <v>100302</v>
      </c>
      <c r="D188" s="919">
        <f>+D481</f>
        <v>2847014</v>
      </c>
      <c r="E188" s="919">
        <f>+E481</f>
        <v>2968925</v>
      </c>
      <c r="F188" s="517"/>
    </row>
    <row r="189" spans="1:6" ht="13">
      <c r="A189" s="1">
        <v>3006</v>
      </c>
      <c r="B189" s="2" t="s">
        <v>872</v>
      </c>
      <c r="C189" s="289">
        <f>VLOOKUP(A189,'K18'!$A$4:$BX$425,3,FALSE)</f>
        <v>27410</v>
      </c>
      <c r="D189" s="289">
        <f>VLOOKUP(A189,'K18'!$A$4:$BX$425,26,FALSE)</f>
        <v>875371</v>
      </c>
      <c r="E189" s="289">
        <f>VLOOKUP(A189,'K19'!$A$4:$BX$425,26,FALSE)</f>
        <v>895667</v>
      </c>
      <c r="F189" s="517"/>
    </row>
    <row r="190" spans="1:6" ht="13">
      <c r="A190" s="1">
        <v>3007</v>
      </c>
      <c r="B190" s="2" t="s">
        <v>873</v>
      </c>
      <c r="C190" s="289">
        <f>VLOOKUP(A190,'K18'!$A$4:$BX$425,3,FALSE)</f>
        <v>30283</v>
      </c>
      <c r="D190" s="289">
        <f>VLOOKUP(A190,'K18'!$A$4:$BX$425,26,FALSE)</f>
        <v>803489</v>
      </c>
      <c r="E190" s="289">
        <f>VLOOKUP(A190,'K19'!$A$4:$BX$425,26,FALSE)</f>
        <v>840146</v>
      </c>
      <c r="F190" s="517"/>
    </row>
    <row r="191" spans="1:6" ht="13">
      <c r="A191" s="1">
        <v>3011</v>
      </c>
      <c r="B191" s="2" t="s">
        <v>787</v>
      </c>
      <c r="C191" s="289">
        <f>VLOOKUP(A191,'K18'!$A$4:$BX$425,3,FALSE)</f>
        <v>4540</v>
      </c>
      <c r="D191" s="289">
        <f>VLOOKUP(A191,'K18'!$A$4:$BX$425,26,FALSE)</f>
        <v>152833</v>
      </c>
      <c r="E191" s="289">
        <f>VLOOKUP(A191,'K19'!$A$4:$BX$425,26,FALSE)</f>
        <v>157813</v>
      </c>
      <c r="F191" s="517"/>
    </row>
    <row r="192" spans="1:6" ht="13">
      <c r="A192" s="1">
        <v>3012</v>
      </c>
      <c r="B192" s="2" t="s">
        <v>788</v>
      </c>
      <c r="C192" s="289">
        <f>VLOOKUP(A192,'K18'!$A$4:$BX$425,3,FALSE)</f>
        <v>1399</v>
      </c>
      <c r="D192" s="289">
        <f>VLOOKUP(A192,'K18'!$A$4:$BX$425,26,FALSE)</f>
        <v>33281</v>
      </c>
      <c r="E192" s="289">
        <f>VLOOKUP(A192,'K19'!$A$4:$BX$425,26,FALSE)</f>
        <v>36601</v>
      </c>
      <c r="F192" s="517"/>
    </row>
    <row r="193" spans="1:6" ht="13">
      <c r="A193" s="1">
        <v>3013</v>
      </c>
      <c r="B193" s="2" t="s">
        <v>789</v>
      </c>
      <c r="C193" s="289">
        <f>VLOOKUP(A193,'K18'!$A$4:$BX$425,3,FALSE)</f>
        <v>3567</v>
      </c>
      <c r="D193" s="289">
        <f>VLOOKUP(A193,'K18'!$A$4:$BX$425,26,FALSE)</f>
        <v>87199</v>
      </c>
      <c r="E193" s="289">
        <f>VLOOKUP(A193,'K19'!$A$4:$BX$425,26,FALSE)</f>
        <v>92254</v>
      </c>
      <c r="F193" s="517"/>
    </row>
    <row r="194" spans="1:6" ht="13">
      <c r="A194" s="878">
        <v>3014</v>
      </c>
      <c r="B194" s="883" t="s">
        <v>1620</v>
      </c>
      <c r="C194" s="919">
        <f>+C482</f>
        <v>44035</v>
      </c>
      <c r="D194" s="919">
        <f>+D482</f>
        <v>1156004</v>
      </c>
      <c r="E194" s="919">
        <f>+E482</f>
        <v>1204362</v>
      </c>
      <c r="F194" s="517"/>
    </row>
    <row r="195" spans="1:6" ht="13">
      <c r="A195" s="1">
        <v>3015</v>
      </c>
      <c r="B195" s="2" t="s">
        <v>2369</v>
      </c>
      <c r="C195" s="289">
        <f>VLOOKUP(A195,'K18'!$A$4:$BX$425,3,FALSE)</f>
        <v>3831</v>
      </c>
      <c r="D195" s="289">
        <f>VLOOKUP(A195,'K18'!$A$4:$BX$425,26,FALSE)</f>
        <v>93552</v>
      </c>
      <c r="E195" s="289">
        <f>VLOOKUP(A195,'K19'!$A$4:$BX$425,26,FALSE)</f>
        <v>97504</v>
      </c>
      <c r="F195" s="517"/>
    </row>
    <row r="196" spans="1:6" ht="13">
      <c r="A196" s="1">
        <v>3016</v>
      </c>
      <c r="B196" s="2" t="s">
        <v>796</v>
      </c>
      <c r="C196" s="289">
        <f>VLOOKUP(A196,'K18'!$A$4:$BX$425,3,FALSE)</f>
        <v>8202</v>
      </c>
      <c r="D196" s="289">
        <f>VLOOKUP(A196,'K18'!$A$4:$BX$425,26,FALSE)</f>
        <v>210300</v>
      </c>
      <c r="E196" s="289">
        <f>VLOOKUP(A196,'K19'!$A$4:$BX$425,26,FALSE)</f>
        <v>215542</v>
      </c>
      <c r="F196" s="517"/>
    </row>
    <row r="197" spans="1:6" ht="13">
      <c r="A197" s="1">
        <v>3017</v>
      </c>
      <c r="B197" s="2" t="s">
        <v>797</v>
      </c>
      <c r="C197" s="289">
        <f>VLOOKUP(A197,'K18'!$A$4:$BX$425,3,FALSE)</f>
        <v>7465</v>
      </c>
      <c r="D197" s="289">
        <f>VLOOKUP(A197,'K18'!$A$4:$BX$425,26,FALSE)</f>
        <v>198782</v>
      </c>
      <c r="E197" s="289">
        <f>VLOOKUP(A197,'K19'!$A$4:$BX$425,26,FALSE)</f>
        <v>209112</v>
      </c>
      <c r="F197" s="517"/>
    </row>
    <row r="198" spans="1:6" ht="13">
      <c r="A198" s="1">
        <v>3018</v>
      </c>
      <c r="B198" s="2" t="s">
        <v>799</v>
      </c>
      <c r="C198" s="289">
        <f>VLOOKUP(A198,'K18'!$A$4:$BX$425,3,FALSE)</f>
        <v>5471</v>
      </c>
      <c r="D198" s="289">
        <f>VLOOKUP(A198,'K18'!$A$4:$BX$425,26,FALSE)</f>
        <v>144788</v>
      </c>
      <c r="E198" s="289">
        <f>VLOOKUP(A198,'K19'!$A$4:$BX$425,26,FALSE)</f>
        <v>145443</v>
      </c>
      <c r="F198" s="517"/>
    </row>
    <row r="199" spans="1:6" ht="13">
      <c r="A199" s="1">
        <v>3019</v>
      </c>
      <c r="B199" s="2" t="s">
        <v>801</v>
      </c>
      <c r="C199" s="289">
        <f>VLOOKUP(A199,'K18'!$A$4:$BX$425,3,FALSE)</f>
        <v>17486</v>
      </c>
      <c r="D199" s="289">
        <f>VLOOKUP(A199,'K18'!$A$4:$BX$425,26,FALSE)</f>
        <v>544775</v>
      </c>
      <c r="E199" s="289">
        <f>VLOOKUP(A199,'K19'!$A$4:$BX$425,26,FALSE)</f>
        <v>560651</v>
      </c>
      <c r="F199" s="517"/>
    </row>
    <row r="200" spans="1:6" ht="13">
      <c r="A200" s="878">
        <v>3020</v>
      </c>
      <c r="B200" s="883" t="s">
        <v>1621</v>
      </c>
      <c r="C200" s="919">
        <f>+C483</f>
        <v>58254.394491469997</v>
      </c>
      <c r="D200" s="919">
        <f>+D483</f>
        <v>2027218.4119372717</v>
      </c>
      <c r="E200" s="919">
        <f>+E483</f>
        <v>2105528.4204200078</v>
      </c>
      <c r="F200" s="517"/>
    </row>
    <row r="201" spans="1:6" ht="13">
      <c r="A201" s="1">
        <v>3021</v>
      </c>
      <c r="B201" s="2" t="s">
        <v>803</v>
      </c>
      <c r="C201" s="289">
        <f>VLOOKUP(A201,'K18'!$A$4:$BX$425,3,FALSE)</f>
        <v>20084</v>
      </c>
      <c r="D201" s="289">
        <f>VLOOKUP(A201,'K18'!$A$4:$BX$425,26,FALSE)</f>
        <v>610935</v>
      </c>
      <c r="E201" s="289">
        <f>VLOOKUP(A201,'K19'!$A$4:$BX$425,26,FALSE)</f>
        <v>611725</v>
      </c>
      <c r="F201" s="517"/>
    </row>
    <row r="202" spans="1:6" ht="13">
      <c r="A202" s="1">
        <v>3022</v>
      </c>
      <c r="B202" s="2" t="s">
        <v>804</v>
      </c>
      <c r="C202" s="289">
        <f>VLOOKUP(A202,'K18'!$A$4:$BX$425,3,FALSE)</f>
        <v>15735</v>
      </c>
      <c r="D202" s="289">
        <f>VLOOKUP(A202,'K18'!$A$4:$BX$425,26,FALSE)</f>
        <v>586294</v>
      </c>
      <c r="E202" s="289">
        <f>VLOOKUP(A202,'K19'!$A$4:$BX$425,26,FALSE)</f>
        <v>611625</v>
      </c>
      <c r="F202" s="517"/>
    </row>
    <row r="203" spans="1:6" ht="13">
      <c r="A203" s="1">
        <v>3023</v>
      </c>
      <c r="B203" s="2" t="s">
        <v>805</v>
      </c>
      <c r="C203" s="289">
        <f>VLOOKUP(A203,'K18'!$A$4:$BX$425,3,FALSE)</f>
        <v>19287</v>
      </c>
      <c r="D203" s="289">
        <f>VLOOKUP(A203,'K18'!$A$4:$BX$425,26,FALSE)</f>
        <v>619346</v>
      </c>
      <c r="E203" s="289">
        <f>VLOOKUP(A203,'K19'!$A$4:$BX$425,26,FALSE)</f>
        <v>642751</v>
      </c>
      <c r="F203" s="517"/>
    </row>
    <row r="204" spans="1:6" ht="13">
      <c r="A204" s="1">
        <v>3024</v>
      </c>
      <c r="B204" s="2" t="s">
        <v>807</v>
      </c>
      <c r="C204" s="289">
        <f>VLOOKUP(A204,'K18'!$A$4:$BX$425,3,FALSE)</f>
        <v>125454</v>
      </c>
      <c r="D204" s="289">
        <f>VLOOKUP(A204,'K18'!$A$4:$BX$425,26,FALSE)</f>
        <v>6345361</v>
      </c>
      <c r="E204" s="289">
        <f>VLOOKUP(A204,'K19'!$A$4:$BX$425,26,FALSE)</f>
        <v>6827068</v>
      </c>
      <c r="F204" s="517"/>
    </row>
    <row r="205" spans="1:6" ht="13">
      <c r="A205" s="878">
        <v>3025</v>
      </c>
      <c r="B205" s="883" t="s">
        <v>1622</v>
      </c>
      <c r="C205" s="919">
        <f t="shared" ref="C205:E206" si="4">+C484</f>
        <v>92828</v>
      </c>
      <c r="D205" s="919">
        <f t="shared" si="4"/>
        <v>3849981</v>
      </c>
      <c r="E205" s="919">
        <f t="shared" si="4"/>
        <v>4094169</v>
      </c>
      <c r="F205" s="517"/>
    </row>
    <row r="206" spans="1:6" ht="13">
      <c r="A206" s="878">
        <v>3026</v>
      </c>
      <c r="B206" s="883" t="s">
        <v>1623</v>
      </c>
      <c r="C206" s="919">
        <f t="shared" si="4"/>
        <v>17072</v>
      </c>
      <c r="D206" s="919">
        <f t="shared" si="4"/>
        <v>417440</v>
      </c>
      <c r="E206" s="919">
        <f t="shared" si="4"/>
        <v>430456</v>
      </c>
      <c r="F206" s="517"/>
    </row>
    <row r="207" spans="1:6" ht="13">
      <c r="A207" s="1">
        <v>3027</v>
      </c>
      <c r="B207" s="2" t="s">
        <v>812</v>
      </c>
      <c r="C207" s="289">
        <f>VLOOKUP(A207,'K18'!$A$4:$BX$425,3,FALSE)</f>
        <v>17874</v>
      </c>
      <c r="D207" s="289">
        <f>VLOOKUP(A207,'K18'!$A$4:$BX$425,26,FALSE)</f>
        <v>553595</v>
      </c>
      <c r="E207" s="289">
        <f>VLOOKUP(A207,'K19'!$A$4:$BX$425,26,FALSE)</f>
        <v>579991</v>
      </c>
      <c r="F207" s="517"/>
    </row>
    <row r="208" spans="1:6" ht="13">
      <c r="A208" s="1">
        <v>3028</v>
      </c>
      <c r="B208" s="2" t="s">
        <v>813</v>
      </c>
      <c r="C208" s="289">
        <f>VLOOKUP(A208,'K18'!$A$4:$BX$425,3,FALSE)</f>
        <v>10945</v>
      </c>
      <c r="D208" s="289">
        <f>VLOOKUP(A208,'K18'!$A$4:$BX$425,26,FALSE)</f>
        <v>292839</v>
      </c>
      <c r="E208" s="289">
        <f>VLOOKUP(A208,'K19'!$A$4:$BX$425,26,FALSE)</f>
        <v>299078</v>
      </c>
      <c r="F208" s="517"/>
    </row>
    <row r="209" spans="1:6" ht="13">
      <c r="A209" s="1">
        <v>3029</v>
      </c>
      <c r="B209" s="2" t="s">
        <v>814</v>
      </c>
      <c r="C209" s="289">
        <f>VLOOKUP(A209,'K18'!$A$4:$BX$425,3,FALSE)</f>
        <v>38670</v>
      </c>
      <c r="D209" s="289">
        <f>VLOOKUP(A209,'K18'!$A$4:$BX$425,26,FALSE)</f>
        <v>1265826</v>
      </c>
      <c r="E209" s="289">
        <f>VLOOKUP(A209,'K19'!$A$4:$BX$425,26,FALSE)</f>
        <v>1334160</v>
      </c>
      <c r="F209" s="517"/>
    </row>
    <row r="210" spans="1:6" ht="13">
      <c r="A210" s="878">
        <v>3030</v>
      </c>
      <c r="B210" s="883" t="s">
        <v>1624</v>
      </c>
      <c r="C210" s="919">
        <f>+C486</f>
        <v>83165.148104530002</v>
      </c>
      <c r="D210" s="919">
        <f>+D486</f>
        <v>2580671.4667957784</v>
      </c>
      <c r="E210" s="919">
        <f>+E486</f>
        <v>2728516.5400375482</v>
      </c>
      <c r="F210" s="517"/>
    </row>
    <row r="211" spans="1:6" ht="13">
      <c r="A211" s="1">
        <v>3031</v>
      </c>
      <c r="B211" s="2" t="s">
        <v>816</v>
      </c>
      <c r="C211" s="289">
        <f>VLOOKUP(A211,'K18'!$A$4:$BX$425,3,FALSE)</f>
        <v>23545</v>
      </c>
      <c r="D211" s="289">
        <f>VLOOKUP(A211,'K18'!$A$4:$BX$425,26,FALSE)</f>
        <v>775033</v>
      </c>
      <c r="E211" s="289">
        <f>VLOOKUP(A211,'K19'!$A$4:$BX$425,26,FALSE)</f>
        <v>808965</v>
      </c>
      <c r="F211" s="517"/>
    </row>
    <row r="212" spans="1:6" ht="13">
      <c r="A212" s="1">
        <v>3032</v>
      </c>
      <c r="B212" s="2" t="s">
        <v>817</v>
      </c>
      <c r="C212" s="289">
        <f>VLOOKUP(A212,'K18'!$A$4:$BX$425,3,FALSE)</f>
        <v>6704</v>
      </c>
      <c r="D212" s="289">
        <f>VLOOKUP(A212,'K18'!$A$4:$BX$425,26,FALSE)</f>
        <v>242251</v>
      </c>
      <c r="E212" s="289">
        <f>VLOOKUP(A212,'K19'!$A$4:$BX$425,26,FALSE)</f>
        <v>249562</v>
      </c>
      <c r="F212" s="517"/>
    </row>
    <row r="213" spans="1:6" ht="13">
      <c r="A213" s="1">
        <v>3033</v>
      </c>
      <c r="B213" s="2" t="s">
        <v>818</v>
      </c>
      <c r="C213" s="289">
        <f>VLOOKUP(A213,'K18'!$A$4:$BX$425,3,FALSE)</f>
        <v>36576</v>
      </c>
      <c r="D213" s="289">
        <f>VLOOKUP(A213,'K18'!$A$4:$BX$425,26,FALSE)</f>
        <v>1072566</v>
      </c>
      <c r="E213" s="289">
        <f>VLOOKUP(A213,'K19'!$A$4:$BX$425,26,FALSE)</f>
        <v>1141275</v>
      </c>
      <c r="F213" s="517"/>
    </row>
    <row r="214" spans="1:6" ht="13">
      <c r="A214" s="1">
        <v>3034</v>
      </c>
      <c r="B214" s="2" t="s">
        <v>819</v>
      </c>
      <c r="C214" s="289">
        <f>VLOOKUP(A214,'K18'!$A$4:$BX$425,3,FALSE)</f>
        <v>21681</v>
      </c>
      <c r="D214" s="289">
        <f>VLOOKUP(A214,'K18'!$A$4:$BX$425,26,FALSE)</f>
        <v>563996</v>
      </c>
      <c r="E214" s="289">
        <f>VLOOKUP(A214,'K19'!$A$4:$BX$425,26,FALSE)</f>
        <v>589743</v>
      </c>
      <c r="F214" s="517"/>
    </row>
    <row r="215" spans="1:6" ht="13">
      <c r="A215" s="1">
        <v>3035</v>
      </c>
      <c r="B215" s="2" t="s">
        <v>820</v>
      </c>
      <c r="C215" s="289">
        <f>VLOOKUP(A215,'K18'!$A$4:$BX$425,3,FALSE)</f>
        <v>24647</v>
      </c>
      <c r="D215" s="289">
        <f>VLOOKUP(A215,'K18'!$A$4:$BX$425,26,FALSE)</f>
        <v>626457</v>
      </c>
      <c r="E215" s="289">
        <f>VLOOKUP(A215,'K19'!$A$4:$BX$425,26,FALSE)</f>
        <v>645346</v>
      </c>
      <c r="F215" s="517"/>
    </row>
    <row r="216" spans="1:6" ht="13">
      <c r="A216" s="1">
        <v>3036</v>
      </c>
      <c r="B216" s="2" t="s">
        <v>821</v>
      </c>
      <c r="C216" s="289">
        <f>VLOOKUP(A216,'K18'!$A$4:$BX$425,3,FALSE)</f>
        <v>13240</v>
      </c>
      <c r="D216" s="289">
        <f>VLOOKUP(A216,'K18'!$A$4:$BX$425,26,FALSE)</f>
        <v>355948</v>
      </c>
      <c r="E216" s="289">
        <f>VLOOKUP(A216,'K19'!$A$4:$BX$425,26,FALSE)</f>
        <v>376725</v>
      </c>
      <c r="F216" s="517"/>
    </row>
    <row r="217" spans="1:6" ht="13">
      <c r="A217" s="1">
        <v>3037</v>
      </c>
      <c r="B217" s="2" t="s">
        <v>822</v>
      </c>
      <c r="C217" s="289">
        <f>VLOOKUP(A217,'K18'!$A$4:$BX$425,3,FALSE)</f>
        <v>2903</v>
      </c>
      <c r="D217" s="289">
        <f>VLOOKUP(A217,'K18'!$A$4:$BX$425,26,FALSE)</f>
        <v>65315</v>
      </c>
      <c r="E217" s="289">
        <f>VLOOKUP(A217,'K19'!$A$4:$BX$425,26,FALSE)</f>
        <v>69523</v>
      </c>
      <c r="F217" s="517"/>
    </row>
    <row r="218" spans="1:6" ht="13">
      <c r="A218" s="1">
        <v>3038</v>
      </c>
      <c r="B218" s="2" t="s">
        <v>874</v>
      </c>
      <c r="C218" s="289">
        <f>VLOOKUP(A218,'K18'!$A$4:$BX$425,3,FALSE)</f>
        <v>6833</v>
      </c>
      <c r="D218" s="289">
        <f>VLOOKUP(A218,'K18'!$A$4:$BX$425,26,FALSE)</f>
        <v>231734</v>
      </c>
      <c r="E218" s="289">
        <f>VLOOKUP(A218,'K19'!$A$4:$BX$425,26,FALSE)</f>
        <v>257243</v>
      </c>
      <c r="F218" s="517"/>
    </row>
    <row r="219" spans="1:6" ht="13">
      <c r="A219" s="1">
        <v>3039</v>
      </c>
      <c r="B219" s="2" t="s">
        <v>875</v>
      </c>
      <c r="C219" s="289">
        <f>VLOOKUP(A219,'K18'!$A$4:$BX$425,3,FALSE)</f>
        <v>1069</v>
      </c>
      <c r="D219" s="289">
        <f>VLOOKUP(A219,'K18'!$A$4:$BX$425,26,FALSE)</f>
        <v>31909</v>
      </c>
      <c r="E219" s="289">
        <f>VLOOKUP(A219,'K19'!$A$4:$BX$425,26,FALSE)</f>
        <v>33020</v>
      </c>
      <c r="F219" s="517"/>
    </row>
    <row r="220" spans="1:6" ht="13">
      <c r="A220" s="1">
        <v>3040</v>
      </c>
      <c r="B220" s="2" t="s">
        <v>1966</v>
      </c>
      <c r="C220" s="289">
        <f>VLOOKUP(A220,'K18'!$A$4:$BX$425,3,FALSE)</f>
        <v>3341</v>
      </c>
      <c r="D220" s="289">
        <f>VLOOKUP(A220,'K18'!$A$4:$BX$425,26,FALSE)</f>
        <v>98315</v>
      </c>
      <c r="E220" s="289">
        <f>VLOOKUP(A220,'K19'!$A$4:$BX$425,26,FALSE)</f>
        <v>101815</v>
      </c>
      <c r="F220" s="517"/>
    </row>
    <row r="221" spans="1:6" ht="13">
      <c r="A221" s="1">
        <v>3041</v>
      </c>
      <c r="B221" s="2" t="s">
        <v>876</v>
      </c>
      <c r="C221" s="289">
        <f>VLOOKUP(A221,'K18'!$A$4:$BX$425,3,FALSE)</f>
        <v>4566</v>
      </c>
      <c r="D221" s="289">
        <f>VLOOKUP(A221,'K18'!$A$4:$BX$425,26,FALSE)</f>
        <v>141637</v>
      </c>
      <c r="E221" s="289">
        <f>VLOOKUP(A221,'K19'!$A$4:$BX$425,26,FALSE)</f>
        <v>143094</v>
      </c>
      <c r="F221" s="517"/>
    </row>
    <row r="222" spans="1:6" ht="13">
      <c r="A222" s="1">
        <v>3042</v>
      </c>
      <c r="B222" s="2" t="s">
        <v>877</v>
      </c>
      <c r="C222" s="289">
        <f>VLOOKUP(A222,'K18'!$A$4:$BX$425,3,FALSE)</f>
        <v>2457</v>
      </c>
      <c r="D222" s="289">
        <f>VLOOKUP(A222,'K18'!$A$4:$BX$425,26,FALSE)</f>
        <v>84916</v>
      </c>
      <c r="E222" s="289">
        <f>VLOOKUP(A222,'K19'!$A$4:$BX$425,26,FALSE)</f>
        <v>89794</v>
      </c>
      <c r="F222" s="517"/>
    </row>
    <row r="223" spans="1:6" ht="13">
      <c r="A223" s="1">
        <v>3043</v>
      </c>
      <c r="B223" s="2" t="s">
        <v>878</v>
      </c>
      <c r="C223" s="289">
        <f>VLOOKUP(A223,'K18'!$A$4:$BX$425,3,FALSE)</f>
        <v>4626</v>
      </c>
      <c r="D223" s="289">
        <f>VLOOKUP(A223,'K18'!$A$4:$BX$425,26,FALSE)</f>
        <v>141581</v>
      </c>
      <c r="E223" s="289">
        <f>VLOOKUP(A223,'K19'!$A$4:$BX$425,26,FALSE)</f>
        <v>146024</v>
      </c>
      <c r="F223" s="517"/>
    </row>
    <row r="224" spans="1:6" ht="13">
      <c r="A224" s="1">
        <v>3044</v>
      </c>
      <c r="B224" s="2" t="s">
        <v>880</v>
      </c>
      <c r="C224" s="289">
        <f>VLOOKUP(A224,'K18'!$A$4:$BX$425,3,FALSE)</f>
        <v>4520</v>
      </c>
      <c r="D224" s="289">
        <f>VLOOKUP(A224,'K18'!$A$4:$BX$425,26,FALSE)</f>
        <v>178343</v>
      </c>
      <c r="E224" s="289">
        <f>VLOOKUP(A224,'K19'!$A$4:$BX$425,26,FALSE)</f>
        <v>199023</v>
      </c>
      <c r="F224" s="517"/>
    </row>
    <row r="225" spans="1:6" ht="13">
      <c r="A225" s="1">
        <v>3045</v>
      </c>
      <c r="B225" s="2" t="s">
        <v>881</v>
      </c>
      <c r="C225" s="289">
        <f>VLOOKUP(A225,'K18'!$A$4:$BX$425,3,FALSE)</f>
        <v>3488</v>
      </c>
      <c r="D225" s="289">
        <f>VLOOKUP(A225,'K18'!$A$4:$BX$425,26,FALSE)</f>
        <v>98498</v>
      </c>
      <c r="E225" s="289">
        <f>VLOOKUP(A225,'K19'!$A$4:$BX$425,26,FALSE)</f>
        <v>106548</v>
      </c>
      <c r="F225" s="517"/>
    </row>
    <row r="226" spans="1:6" ht="13">
      <c r="A226" s="1">
        <v>3046</v>
      </c>
      <c r="B226" s="2" t="s">
        <v>882</v>
      </c>
      <c r="C226" s="289">
        <f>VLOOKUP(A226,'K18'!$A$4:$BX$425,3,FALSE)</f>
        <v>2277</v>
      </c>
      <c r="D226" s="289">
        <f>VLOOKUP(A226,'K18'!$A$4:$BX$425,26,FALSE)</f>
        <v>72970</v>
      </c>
      <c r="E226" s="289">
        <f>VLOOKUP(A226,'K19'!$A$4:$BX$425,26,FALSE)</f>
        <v>75843</v>
      </c>
      <c r="F226" s="517"/>
    </row>
    <row r="227" spans="1:6" ht="13">
      <c r="A227" s="1">
        <v>3047</v>
      </c>
      <c r="B227" s="2" t="s">
        <v>883</v>
      </c>
      <c r="C227" s="289">
        <f>VLOOKUP(A227,'K18'!$A$4:$BX$425,3,FALSE)</f>
        <v>13880</v>
      </c>
      <c r="D227" s="289">
        <f>VLOOKUP(A227,'K18'!$A$4:$BX$425,26,FALSE)</f>
        <v>373875</v>
      </c>
      <c r="E227" s="289">
        <f>VLOOKUP(A227,'K19'!$A$4:$BX$425,26,FALSE)</f>
        <v>389481</v>
      </c>
      <c r="F227" s="517"/>
    </row>
    <row r="228" spans="1:6" ht="13">
      <c r="A228" s="1">
        <v>3048</v>
      </c>
      <c r="B228" s="2" t="s">
        <v>884</v>
      </c>
      <c r="C228" s="289">
        <f>VLOOKUP(A228,'K18'!$A$4:$BX$425,3,FALSE)</f>
        <v>18926</v>
      </c>
      <c r="D228" s="289">
        <f>VLOOKUP(A228,'K18'!$A$4:$BX$425,26,FALSE)</f>
        <v>525047</v>
      </c>
      <c r="E228" s="289">
        <f>VLOOKUP(A228,'K19'!$A$4:$BX$425,26,FALSE)</f>
        <v>555986</v>
      </c>
      <c r="F228" s="517"/>
    </row>
    <row r="229" spans="1:6" ht="13">
      <c r="A229" s="1">
        <v>3049</v>
      </c>
      <c r="B229" s="2" t="s">
        <v>886</v>
      </c>
      <c r="C229" s="289">
        <f>VLOOKUP(A229,'K18'!$A$4:$BX$425,3,FALSE)</f>
        <v>25980</v>
      </c>
      <c r="D229" s="289">
        <f>VLOOKUP(A229,'K18'!$A$4:$BX$425,26,FALSE)</f>
        <v>880691</v>
      </c>
      <c r="E229" s="289">
        <f>VLOOKUP(A229,'K19'!$A$4:$BX$425,26,FALSE)</f>
        <v>925263</v>
      </c>
      <c r="F229" s="517"/>
    </row>
    <row r="230" spans="1:6" ht="13">
      <c r="A230" s="1">
        <v>3050</v>
      </c>
      <c r="B230" s="2" t="s">
        <v>889</v>
      </c>
      <c r="C230" s="289">
        <f>VLOOKUP(A230,'K18'!$A$4:$BX$425,3,FALSE)</f>
        <v>2688</v>
      </c>
      <c r="D230" s="289">
        <f>VLOOKUP(A230,'K18'!$A$4:$BX$425,26,FALSE)</f>
        <v>75809</v>
      </c>
      <c r="E230" s="289">
        <f>VLOOKUP(A230,'K19'!$A$4:$BX$425,26,FALSE)</f>
        <v>84542</v>
      </c>
      <c r="F230" s="517"/>
    </row>
    <row r="231" spans="1:6" ht="13">
      <c r="A231" s="1">
        <v>3051</v>
      </c>
      <c r="B231" s="2" t="s">
        <v>890</v>
      </c>
      <c r="C231" s="289">
        <f>VLOOKUP(A231,'K18'!$A$4:$BX$425,3,FALSE)</f>
        <v>1411</v>
      </c>
      <c r="D231" s="289">
        <f>VLOOKUP(A231,'K18'!$A$4:$BX$425,26,FALSE)</f>
        <v>41136</v>
      </c>
      <c r="E231" s="289">
        <f>VLOOKUP(A231,'K19'!$A$4:$BX$425,26,FALSE)</f>
        <v>41486</v>
      </c>
      <c r="F231" s="517"/>
    </row>
    <row r="232" spans="1:6" ht="13">
      <c r="A232" s="1">
        <v>3052</v>
      </c>
      <c r="B232" s="2" t="s">
        <v>891</v>
      </c>
      <c r="C232" s="289">
        <f>VLOOKUP(A232,'K18'!$A$4:$BX$425,3,FALSE)</f>
        <v>2482</v>
      </c>
      <c r="D232" s="289">
        <f>VLOOKUP(A232,'K18'!$A$4:$BX$425,26,FALSE)</f>
        <v>90032</v>
      </c>
      <c r="E232" s="289">
        <f>VLOOKUP(A232,'K19'!$A$4:$BX$425,26,FALSE)</f>
        <v>93992</v>
      </c>
      <c r="F232" s="517"/>
    </row>
    <row r="233" spans="1:6" ht="13">
      <c r="A233" s="1">
        <v>3053</v>
      </c>
      <c r="B233" s="2" t="s">
        <v>860</v>
      </c>
      <c r="C233" s="289">
        <f>VLOOKUP(A233,'K18'!$A$4:$BX$425,3,FALSE)</f>
        <v>6777</v>
      </c>
      <c r="D233" s="289">
        <f>VLOOKUP(A233,'K18'!$A$4:$BX$425,26,FALSE)</f>
        <v>167525</v>
      </c>
      <c r="E233" s="289">
        <f>VLOOKUP(A233,'K19'!$A$4:$BX$425,26,FALSE)</f>
        <v>172526</v>
      </c>
      <c r="F233" s="517"/>
    </row>
    <row r="234" spans="1:6" ht="13">
      <c r="A234" s="1">
        <v>3054</v>
      </c>
      <c r="B234" s="2" t="s">
        <v>861</v>
      </c>
      <c r="C234" s="289">
        <f>VLOOKUP(A234,'K18'!$A$4:$BX$425,3,FALSE)</f>
        <v>9065</v>
      </c>
      <c r="D234" s="289">
        <f>VLOOKUP(A234,'K18'!$A$4:$BX$425,26,FALSE)</f>
        <v>250417</v>
      </c>
      <c r="E234" s="289">
        <f>VLOOKUP(A234,'K19'!$A$4:$BX$425,26,FALSE)</f>
        <v>253205</v>
      </c>
      <c r="F234" s="517"/>
    </row>
    <row r="235" spans="1:6" ht="13">
      <c r="A235" s="1">
        <v>3401</v>
      </c>
      <c r="B235" s="2" t="s">
        <v>824</v>
      </c>
      <c r="C235" s="289">
        <f>VLOOKUP(A235,'K18'!$A$4:$BX$425,3,FALSE)</f>
        <v>17934</v>
      </c>
      <c r="D235" s="289">
        <f>VLOOKUP(A235,'K18'!$A$4:$BX$425,26,FALSE)</f>
        <v>464345</v>
      </c>
      <c r="E235" s="289">
        <f>VLOOKUP(A235,'K19'!$A$4:$BX$425,26,FALSE)</f>
        <v>472995</v>
      </c>
      <c r="F235" s="517"/>
    </row>
    <row r="236" spans="1:6" ht="13">
      <c r="A236" s="1">
        <v>3403</v>
      </c>
      <c r="B236" s="2" t="s">
        <v>825</v>
      </c>
      <c r="C236" s="289">
        <f>VLOOKUP(A236,'K18'!$A$4:$BX$425,3,FALSE)</f>
        <v>30930</v>
      </c>
      <c r="D236" s="289">
        <f>VLOOKUP(A236,'K18'!$A$4:$BX$425,26,FALSE)</f>
        <v>879991</v>
      </c>
      <c r="E236" s="289">
        <f>VLOOKUP(A236,'K19'!$A$4:$BX$425,26,FALSE)</f>
        <v>907828</v>
      </c>
      <c r="F236" s="517"/>
    </row>
    <row r="237" spans="1:6" ht="13">
      <c r="A237" s="1">
        <v>3405</v>
      </c>
      <c r="B237" s="2" t="s">
        <v>845</v>
      </c>
      <c r="C237" s="289">
        <f>VLOOKUP(A237,'K18'!$A$4:$BX$425,3,FALSE)</f>
        <v>27938</v>
      </c>
      <c r="D237" s="289">
        <f>VLOOKUP(A237,'K18'!$A$4:$BX$425,26,FALSE)</f>
        <v>805350</v>
      </c>
      <c r="E237" s="289">
        <f>VLOOKUP(A237,'K19'!$A$4:$BX$425,26,FALSE)</f>
        <v>836532</v>
      </c>
      <c r="F237" s="517"/>
    </row>
    <row r="238" spans="1:6" ht="13">
      <c r="A238" s="1">
        <v>3407</v>
      </c>
      <c r="B238" s="2" t="s">
        <v>846</v>
      </c>
      <c r="C238" s="289">
        <f>VLOOKUP(A238,'K18'!$A$4:$BX$425,3,FALSE)</f>
        <v>30642</v>
      </c>
      <c r="D238" s="289">
        <f>VLOOKUP(A238,'K18'!$A$4:$BX$425,26,FALSE)</f>
        <v>797745</v>
      </c>
      <c r="E238" s="289">
        <f>VLOOKUP(A238,'K19'!$A$4:$BX$425,26,FALSE)</f>
        <v>835680</v>
      </c>
      <c r="F238" s="517"/>
    </row>
    <row r="239" spans="1:6" ht="13">
      <c r="A239" s="1">
        <v>3411</v>
      </c>
      <c r="B239" s="2" t="s">
        <v>826</v>
      </c>
      <c r="C239" s="289">
        <f>VLOOKUP(A239,'K18'!$A$4:$BX$425,3,FALSE)</f>
        <v>34151</v>
      </c>
      <c r="D239" s="289">
        <f>VLOOKUP(A239,'K18'!$A$4:$BX$425,26,FALSE)</f>
        <v>837000</v>
      </c>
      <c r="E239" s="289">
        <f>VLOOKUP(A239,'K19'!$A$4:$BX$425,26,FALSE)</f>
        <v>888971</v>
      </c>
      <c r="F239" s="517"/>
    </row>
    <row r="240" spans="1:6" ht="13">
      <c r="A240" s="1">
        <v>3412</v>
      </c>
      <c r="B240" s="2" t="s">
        <v>827</v>
      </c>
      <c r="C240" s="289">
        <f>VLOOKUP(A240,'K18'!$A$4:$BX$425,3,FALSE)</f>
        <v>7615</v>
      </c>
      <c r="D240" s="289">
        <f>VLOOKUP(A240,'K18'!$A$4:$BX$425,26,FALSE)</f>
        <v>169501</v>
      </c>
      <c r="E240" s="289">
        <f>VLOOKUP(A240,'K19'!$A$4:$BX$425,26,FALSE)</f>
        <v>172571</v>
      </c>
      <c r="F240" s="517"/>
    </row>
    <row r="241" spans="1:6" ht="13">
      <c r="A241" s="1">
        <v>3413</v>
      </c>
      <c r="B241" s="2" t="s">
        <v>828</v>
      </c>
      <c r="C241" s="289">
        <f>VLOOKUP(A241,'K18'!$A$4:$BX$425,3,FALSE)</f>
        <v>20646</v>
      </c>
      <c r="D241" s="289">
        <f>VLOOKUP(A241,'K18'!$A$4:$BX$425,26,FALSE)</f>
        <v>497212</v>
      </c>
      <c r="E241" s="289">
        <f>VLOOKUP(A241,'K19'!$A$4:$BX$425,26,FALSE)</f>
        <v>519985</v>
      </c>
      <c r="F241" s="517"/>
    </row>
    <row r="242" spans="1:6" ht="13">
      <c r="A242" s="1">
        <v>3414</v>
      </c>
      <c r="B242" s="2" t="s">
        <v>829</v>
      </c>
      <c r="C242" s="289">
        <f>VLOOKUP(A242,'K18'!$A$4:$BX$425,3,FALSE)</f>
        <v>5097</v>
      </c>
      <c r="D242" s="289">
        <f>VLOOKUP(A242,'K18'!$A$4:$BX$425,26,FALSE)</f>
        <v>109633</v>
      </c>
      <c r="E242" s="289">
        <f>VLOOKUP(A242,'K19'!$A$4:$BX$425,26,FALSE)</f>
        <v>112330</v>
      </c>
      <c r="F242" s="517"/>
    </row>
    <row r="243" spans="1:6" ht="13">
      <c r="A243" s="1">
        <v>3415</v>
      </c>
      <c r="B243" s="2" t="s">
        <v>830</v>
      </c>
      <c r="C243" s="289">
        <f>VLOOKUP(A243,'K18'!$A$4:$BX$425,3,FALSE)</f>
        <v>7884</v>
      </c>
      <c r="D243" s="289">
        <f>VLOOKUP(A243,'K18'!$A$4:$BX$425,26,FALSE)</f>
        <v>192327</v>
      </c>
      <c r="E243" s="289">
        <f>VLOOKUP(A243,'K19'!$A$4:$BX$425,26,FALSE)</f>
        <v>200711</v>
      </c>
      <c r="F243" s="517"/>
    </row>
    <row r="244" spans="1:6" ht="13">
      <c r="A244" s="1">
        <v>3416</v>
      </c>
      <c r="B244" s="2" t="s">
        <v>831</v>
      </c>
      <c r="C244" s="289">
        <f>VLOOKUP(A244,'K18'!$A$4:$BX$425,3,FALSE)</f>
        <v>6142</v>
      </c>
      <c r="D244" s="289">
        <f>VLOOKUP(A244,'K18'!$A$4:$BX$425,26,FALSE)</f>
        <v>129210</v>
      </c>
      <c r="E244" s="289">
        <f>VLOOKUP(A244,'K19'!$A$4:$BX$425,26,FALSE)</f>
        <v>133453</v>
      </c>
      <c r="F244" s="517"/>
    </row>
    <row r="245" spans="1:6" ht="13">
      <c r="A245" s="1">
        <v>3417</v>
      </c>
      <c r="B245" s="2" t="s">
        <v>832</v>
      </c>
      <c r="C245" s="289">
        <f>VLOOKUP(A245,'K18'!$A$4:$BX$425,3,FALSE)</f>
        <v>4740</v>
      </c>
      <c r="D245" s="289">
        <f>VLOOKUP(A245,'K18'!$A$4:$BX$425,26,FALSE)</f>
        <v>105990</v>
      </c>
      <c r="E245" s="289">
        <f>VLOOKUP(A245,'K19'!$A$4:$BX$425,26,FALSE)</f>
        <v>108099</v>
      </c>
      <c r="F245" s="517"/>
    </row>
    <row r="246" spans="1:6" ht="13">
      <c r="A246" s="1">
        <v>3418</v>
      </c>
      <c r="B246" s="2" t="s">
        <v>833</v>
      </c>
      <c r="C246" s="289">
        <f>VLOOKUP(A246,'K18'!$A$4:$BX$425,3,FALSE)</f>
        <v>7279</v>
      </c>
      <c r="D246" s="289">
        <f>VLOOKUP(A246,'K18'!$A$4:$BX$425,26,FALSE)</f>
        <v>162251</v>
      </c>
      <c r="E246" s="289">
        <f>VLOOKUP(A246,'K19'!$A$4:$BX$425,26,FALSE)</f>
        <v>163873</v>
      </c>
      <c r="F246" s="517"/>
    </row>
    <row r="247" spans="1:6" ht="13">
      <c r="A247" s="1">
        <v>3419</v>
      </c>
      <c r="B247" s="2" t="s">
        <v>799</v>
      </c>
      <c r="C247" s="289">
        <f>VLOOKUP(A247,'K18'!$A$4:$BX$425,3,FALSE)</f>
        <v>3680</v>
      </c>
      <c r="D247" s="289">
        <f>VLOOKUP(A247,'K18'!$A$4:$BX$425,26,FALSE)</f>
        <v>81489</v>
      </c>
      <c r="E247" s="289">
        <f>VLOOKUP(A247,'K19'!$A$4:$BX$425,26,FALSE)</f>
        <v>84330</v>
      </c>
      <c r="F247" s="517"/>
    </row>
    <row r="248" spans="1:6" ht="13">
      <c r="A248" s="1">
        <v>3420</v>
      </c>
      <c r="B248" s="2" t="s">
        <v>834</v>
      </c>
      <c r="C248" s="289">
        <f>VLOOKUP(A248,'K18'!$A$4:$BX$425,3,FALSE)</f>
        <v>21123</v>
      </c>
      <c r="D248" s="289">
        <f>VLOOKUP(A248,'K18'!$A$4:$BX$425,26,FALSE)</f>
        <v>510655</v>
      </c>
      <c r="E248" s="289">
        <f>VLOOKUP(A248,'K19'!$A$4:$BX$425,26,FALSE)</f>
        <v>535565</v>
      </c>
      <c r="F248" s="517"/>
    </row>
    <row r="249" spans="1:6" ht="13">
      <c r="A249" s="1">
        <v>3421</v>
      </c>
      <c r="B249" s="2" t="s">
        <v>835</v>
      </c>
      <c r="C249" s="289">
        <f>VLOOKUP(A249,'K18'!$A$4:$BX$425,3,FALSE)</f>
        <v>6567</v>
      </c>
      <c r="D249" s="289">
        <f>VLOOKUP(A249,'K18'!$A$4:$BX$425,26,FALSE)</f>
        <v>169452</v>
      </c>
      <c r="E249" s="289">
        <f>VLOOKUP(A249,'K19'!$A$4:$BX$425,26,FALSE)</f>
        <v>174031</v>
      </c>
      <c r="F249" s="517"/>
    </row>
    <row r="250" spans="1:6" ht="13">
      <c r="A250" s="1">
        <v>3422</v>
      </c>
      <c r="B250" s="2" t="s">
        <v>836</v>
      </c>
      <c r="C250" s="289">
        <f>VLOOKUP(A250,'K18'!$A$4:$BX$425,3,FALSE)</f>
        <v>4480</v>
      </c>
      <c r="D250" s="289">
        <f>VLOOKUP(A250,'K18'!$A$4:$BX$425,26,FALSE)</f>
        <v>103252</v>
      </c>
      <c r="E250" s="289">
        <f>VLOOKUP(A250,'K19'!$A$4:$BX$425,26,FALSE)</f>
        <v>107897</v>
      </c>
      <c r="F250" s="517"/>
    </row>
    <row r="251" spans="1:6" ht="13">
      <c r="A251" s="1">
        <v>3423</v>
      </c>
      <c r="B251" s="2" t="s">
        <v>837</v>
      </c>
      <c r="C251" s="289">
        <f>VLOOKUP(A251,'K18'!$A$4:$BX$425,3,FALSE)</f>
        <v>2490</v>
      </c>
      <c r="D251" s="289">
        <f>VLOOKUP(A251,'K18'!$A$4:$BX$425,26,FALSE)</f>
        <v>52624</v>
      </c>
      <c r="E251" s="289">
        <f>VLOOKUP(A251,'K19'!$A$4:$BX$425,26,FALSE)</f>
        <v>53442</v>
      </c>
      <c r="F251" s="517"/>
    </row>
    <row r="252" spans="1:6" ht="13">
      <c r="A252" s="1">
        <v>3424</v>
      </c>
      <c r="B252" s="2" t="s">
        <v>838</v>
      </c>
      <c r="C252" s="289">
        <f>VLOOKUP(A252,'K18'!$A$4:$BX$425,3,FALSE)</f>
        <v>1827</v>
      </c>
      <c r="D252" s="289">
        <f>VLOOKUP(A252,'K18'!$A$4:$BX$425,26,FALSE)</f>
        <v>42432</v>
      </c>
      <c r="E252" s="289">
        <f>VLOOKUP(A252,'K19'!$A$4:$BX$425,26,FALSE)</f>
        <v>42521</v>
      </c>
      <c r="F252" s="517"/>
    </row>
    <row r="253" spans="1:6" ht="13">
      <c r="A253" s="1">
        <v>3425</v>
      </c>
      <c r="B253" s="2" t="s">
        <v>839</v>
      </c>
      <c r="C253" s="289">
        <f>VLOOKUP(A253,'K18'!$A$4:$BX$425,3,FALSE)</f>
        <v>1294</v>
      </c>
      <c r="D253" s="289">
        <f>VLOOKUP(A253,'K18'!$A$4:$BX$425,26,FALSE)</f>
        <v>27184</v>
      </c>
      <c r="E253" s="289">
        <f>VLOOKUP(A253,'K19'!$A$4:$BX$425,26,FALSE)</f>
        <v>29586</v>
      </c>
      <c r="F253" s="517"/>
    </row>
    <row r="254" spans="1:6" ht="13">
      <c r="A254" s="1">
        <v>3426</v>
      </c>
      <c r="B254" s="2" t="s">
        <v>840</v>
      </c>
      <c r="C254" s="289">
        <f>VLOOKUP(A254,'K18'!$A$4:$BX$425,3,FALSE)</f>
        <v>1553</v>
      </c>
      <c r="D254" s="289">
        <f>VLOOKUP(A254,'K18'!$A$4:$BX$425,26,FALSE)</f>
        <v>29834</v>
      </c>
      <c r="E254" s="289">
        <f>VLOOKUP(A254,'K19'!$A$4:$BX$425,26,FALSE)</f>
        <v>31981</v>
      </c>
      <c r="F254" s="517"/>
    </row>
    <row r="255" spans="1:6" ht="13">
      <c r="A255" s="1">
        <v>3427</v>
      </c>
      <c r="B255" s="2" t="s">
        <v>841</v>
      </c>
      <c r="C255" s="289">
        <f>VLOOKUP(A255,'K18'!$A$4:$BX$425,3,FALSE)</f>
        <v>5605</v>
      </c>
      <c r="D255" s="289">
        <f>VLOOKUP(A255,'K18'!$A$4:$BX$425,26,FALSE)</f>
        <v>136219</v>
      </c>
      <c r="E255" s="289">
        <f>VLOOKUP(A255,'K19'!$A$4:$BX$425,26,FALSE)</f>
        <v>138237</v>
      </c>
      <c r="F255" s="517"/>
    </row>
    <row r="256" spans="1:6" ht="13">
      <c r="A256" s="1">
        <v>3428</v>
      </c>
      <c r="B256" s="2" t="s">
        <v>842</v>
      </c>
      <c r="C256" s="289">
        <f>VLOOKUP(A256,'K18'!$A$4:$BX$425,3,FALSE)</f>
        <v>2424</v>
      </c>
      <c r="D256" s="289">
        <f>VLOOKUP(A256,'K18'!$A$4:$BX$425,26,FALSE)</f>
        <v>59910</v>
      </c>
      <c r="E256" s="289">
        <f>VLOOKUP(A256,'K19'!$A$4:$BX$425,26,FALSE)</f>
        <v>59219</v>
      </c>
      <c r="F256" s="517"/>
    </row>
    <row r="257" spans="1:6" ht="13">
      <c r="A257" s="1">
        <v>3429</v>
      </c>
      <c r="B257" s="2" t="s">
        <v>843</v>
      </c>
      <c r="C257" s="289">
        <f>VLOOKUP(A257,'K18'!$A$4:$BX$425,3,FALSE)</f>
        <v>1569</v>
      </c>
      <c r="D257" s="289">
        <f>VLOOKUP(A257,'K18'!$A$4:$BX$425,26,FALSE)</f>
        <v>32557</v>
      </c>
      <c r="E257" s="289">
        <f>VLOOKUP(A257,'K19'!$A$4:$BX$425,26,FALSE)</f>
        <v>35614</v>
      </c>
      <c r="F257" s="517"/>
    </row>
    <row r="258" spans="1:6" ht="13">
      <c r="A258" s="1">
        <v>3430</v>
      </c>
      <c r="B258" s="2" t="s">
        <v>844</v>
      </c>
      <c r="C258" s="289">
        <f>VLOOKUP(A258,'K18'!$A$4:$BX$425,3,FALSE)</f>
        <v>1936</v>
      </c>
      <c r="D258" s="289">
        <f>VLOOKUP(A258,'K18'!$A$4:$BX$425,26,FALSE)</f>
        <v>42580</v>
      </c>
      <c r="E258" s="289">
        <f>VLOOKUP(A258,'K19'!$A$4:$BX$425,26,FALSE)</f>
        <v>46734</v>
      </c>
      <c r="F258" s="517"/>
    </row>
    <row r="259" spans="1:6" ht="13">
      <c r="A259" s="1">
        <v>3431</v>
      </c>
      <c r="B259" s="2" t="s">
        <v>847</v>
      </c>
      <c r="C259" s="289">
        <f>VLOOKUP(A259,'K18'!$A$4:$BX$425,3,FALSE)</f>
        <v>2642</v>
      </c>
      <c r="D259" s="289">
        <f>VLOOKUP(A259,'K18'!$A$4:$BX$425,26,FALSE)</f>
        <v>61104</v>
      </c>
      <c r="E259" s="289">
        <f>VLOOKUP(A259,'K19'!$A$4:$BX$425,26,FALSE)</f>
        <v>62336</v>
      </c>
      <c r="F259" s="517"/>
    </row>
    <row r="260" spans="1:6" ht="13">
      <c r="A260" s="1">
        <v>3432</v>
      </c>
      <c r="B260" s="2" t="s">
        <v>848</v>
      </c>
      <c r="C260" s="289">
        <f>VLOOKUP(A260,'K18'!$A$4:$BX$425,3,FALSE)</f>
        <v>2038</v>
      </c>
      <c r="D260" s="289">
        <f>VLOOKUP(A260,'K18'!$A$4:$BX$425,26,FALSE)</f>
        <v>49147</v>
      </c>
      <c r="E260" s="289">
        <f>VLOOKUP(A260,'K19'!$A$4:$BX$425,26,FALSE)</f>
        <v>49891</v>
      </c>
      <c r="F260" s="517"/>
    </row>
    <row r="261" spans="1:6" ht="13">
      <c r="A261" s="1">
        <v>3433</v>
      </c>
      <c r="B261" s="2" t="s">
        <v>849</v>
      </c>
      <c r="C261" s="289">
        <f>VLOOKUP(A261,'K18'!$A$4:$BX$425,3,FALSE)</f>
        <v>2179</v>
      </c>
      <c r="D261" s="289">
        <f>VLOOKUP(A261,'K18'!$A$4:$BX$425,26,FALSE)</f>
        <v>59712</v>
      </c>
      <c r="E261" s="289">
        <f>VLOOKUP(A261,'K19'!$A$4:$BX$425,26,FALSE)</f>
        <v>61022</v>
      </c>
      <c r="F261" s="517"/>
    </row>
    <row r="262" spans="1:6" ht="13">
      <c r="A262" s="1">
        <v>3434</v>
      </c>
      <c r="B262" s="2" t="s">
        <v>850</v>
      </c>
      <c r="C262" s="289">
        <f>VLOOKUP(A262,'K18'!$A$4:$BX$425,3,FALSE)</f>
        <v>2331</v>
      </c>
      <c r="D262" s="289">
        <f>VLOOKUP(A262,'K18'!$A$4:$BX$425,26,FALSE)</f>
        <v>53712</v>
      </c>
      <c r="E262" s="289">
        <f>VLOOKUP(A262,'K19'!$A$4:$BX$425,26,FALSE)</f>
        <v>55282</v>
      </c>
      <c r="F262" s="517"/>
    </row>
    <row r="263" spans="1:6" ht="13">
      <c r="A263" s="1">
        <v>3435</v>
      </c>
      <c r="B263" s="2" t="s">
        <v>851</v>
      </c>
      <c r="C263" s="289">
        <f>VLOOKUP(A263,'K18'!$A$4:$BX$425,3,FALSE)</f>
        <v>3638</v>
      </c>
      <c r="D263" s="289">
        <f>VLOOKUP(A263,'K18'!$A$4:$BX$425,26,FALSE)</f>
        <v>88200</v>
      </c>
      <c r="E263" s="289">
        <f>VLOOKUP(A263,'K19'!$A$4:$BX$425,26,FALSE)</f>
        <v>89927</v>
      </c>
      <c r="F263" s="517"/>
    </row>
    <row r="264" spans="1:6" ht="13">
      <c r="A264" s="1">
        <v>3436</v>
      </c>
      <c r="B264" s="2" t="s">
        <v>852</v>
      </c>
      <c r="C264" s="289">
        <f>VLOOKUP(A264,'K18'!$A$4:$BX$425,3,FALSE)</f>
        <v>5728</v>
      </c>
      <c r="D264" s="289">
        <f>VLOOKUP(A264,'K18'!$A$4:$BX$425,26,FALSE)</f>
        <v>163384</v>
      </c>
      <c r="E264" s="289">
        <f>VLOOKUP(A264,'K19'!$A$4:$BX$425,26,FALSE)</f>
        <v>163393</v>
      </c>
      <c r="F264" s="517"/>
    </row>
    <row r="265" spans="1:6" ht="13">
      <c r="A265" s="1">
        <v>3437</v>
      </c>
      <c r="B265" s="2" t="s">
        <v>853</v>
      </c>
      <c r="C265" s="289">
        <f>VLOOKUP(A265,'K18'!$A$4:$BX$425,3,FALSE)</f>
        <v>5872</v>
      </c>
      <c r="D265" s="289">
        <f>VLOOKUP(A265,'K18'!$A$4:$BX$425,26,FALSE)</f>
        <v>120218</v>
      </c>
      <c r="E265" s="289">
        <f>VLOOKUP(A265,'K19'!$A$4:$BX$425,26,FALSE)</f>
        <v>121998</v>
      </c>
      <c r="F265" s="517"/>
    </row>
    <row r="266" spans="1:6" ht="13">
      <c r="A266" s="1">
        <v>3438</v>
      </c>
      <c r="B266" s="2" t="s">
        <v>854</v>
      </c>
      <c r="C266" s="289">
        <f>VLOOKUP(A266,'K18'!$A$4:$BX$425,3,FALSE)</f>
        <v>3146</v>
      </c>
      <c r="D266" s="289">
        <f>VLOOKUP(A266,'K18'!$A$4:$BX$425,26,FALSE)</f>
        <v>85416</v>
      </c>
      <c r="E266" s="289">
        <f>VLOOKUP(A266,'K19'!$A$4:$BX$425,26,FALSE)</f>
        <v>86652</v>
      </c>
      <c r="F266" s="517"/>
    </row>
    <row r="267" spans="1:6" ht="13">
      <c r="A267" s="1">
        <v>3439</v>
      </c>
      <c r="B267" s="2" t="s">
        <v>855</v>
      </c>
      <c r="C267" s="289">
        <f>VLOOKUP(A267,'K18'!$A$4:$BX$425,3,FALSE)</f>
        <v>4454</v>
      </c>
      <c r="D267" s="289">
        <f>VLOOKUP(A267,'K18'!$A$4:$BX$425,26,FALSE)</f>
        <v>110978</v>
      </c>
      <c r="E267" s="289">
        <f>VLOOKUP(A267,'K19'!$A$4:$BX$425,26,FALSE)</f>
        <v>118676</v>
      </c>
      <c r="F267" s="517"/>
    </row>
    <row r="268" spans="1:6" ht="13">
      <c r="A268" s="1">
        <v>3440</v>
      </c>
      <c r="B268" s="2" t="s">
        <v>856</v>
      </c>
      <c r="C268" s="289">
        <f>VLOOKUP(A268,'K18'!$A$4:$BX$425,3,FALSE)</f>
        <v>5130</v>
      </c>
      <c r="D268" s="289">
        <f>VLOOKUP(A268,'K18'!$A$4:$BX$425,26,FALSE)</f>
        <v>149306</v>
      </c>
      <c r="E268" s="289">
        <f>VLOOKUP(A268,'K19'!$A$4:$BX$425,26,FALSE)</f>
        <v>155837</v>
      </c>
      <c r="F268" s="517"/>
    </row>
    <row r="269" spans="1:6" ht="13">
      <c r="A269" s="1">
        <v>3441</v>
      </c>
      <c r="B269" s="2" t="s">
        <v>857</v>
      </c>
      <c r="C269" s="289">
        <f>VLOOKUP(A269,'K18'!$A$4:$BX$425,3,FALSE)</f>
        <v>6148</v>
      </c>
      <c r="D269" s="289">
        <f>VLOOKUP(A269,'K18'!$A$4:$BX$425,26,FALSE)</f>
        <v>156210</v>
      </c>
      <c r="E269" s="289">
        <f>VLOOKUP(A269,'K19'!$A$4:$BX$425,26,FALSE)</f>
        <v>158541</v>
      </c>
      <c r="F269" s="517"/>
    </row>
    <row r="270" spans="1:6" ht="13">
      <c r="A270" s="1">
        <v>3442</v>
      </c>
      <c r="B270" s="2" t="s">
        <v>858</v>
      </c>
      <c r="C270" s="289">
        <f>VLOOKUP(A270,'K18'!$A$4:$BX$425,3,FALSE)</f>
        <v>14888</v>
      </c>
      <c r="D270" s="289">
        <f>VLOOKUP(A270,'K18'!$A$4:$BX$425,26,FALSE)</f>
        <v>375056</v>
      </c>
      <c r="E270" s="289">
        <f>VLOOKUP(A270,'K19'!$A$4:$BX$425,26,FALSE)</f>
        <v>387332</v>
      </c>
      <c r="F270" s="517"/>
    </row>
    <row r="271" spans="1:6" ht="13">
      <c r="A271" s="1">
        <v>3443</v>
      </c>
      <c r="B271" s="2" t="s">
        <v>859</v>
      </c>
      <c r="C271" s="289">
        <f>VLOOKUP(A271,'K18'!$A$4:$BX$425,3,FALSE)</f>
        <v>13314</v>
      </c>
      <c r="D271" s="289">
        <f>VLOOKUP(A271,'K18'!$A$4:$BX$425,26,FALSE)</f>
        <v>319630</v>
      </c>
      <c r="E271" s="289">
        <f>VLOOKUP(A271,'K19'!$A$4:$BX$425,26,FALSE)</f>
        <v>330293</v>
      </c>
      <c r="F271" s="517"/>
    </row>
    <row r="272" spans="1:6" ht="13">
      <c r="A272" s="1">
        <v>3446</v>
      </c>
      <c r="B272" s="2" t="s">
        <v>862</v>
      </c>
      <c r="C272" s="289">
        <f>VLOOKUP(A272,'K18'!$A$4:$BX$425,3,FALSE)</f>
        <v>13770</v>
      </c>
      <c r="D272" s="289">
        <f>VLOOKUP(A272,'K18'!$A$4:$BX$425,26,FALSE)</f>
        <v>356430</v>
      </c>
      <c r="E272" s="289">
        <f>VLOOKUP(A272,'K19'!$A$4:$BX$425,26,FALSE)</f>
        <v>362027</v>
      </c>
      <c r="F272" s="517"/>
    </row>
    <row r="273" spans="1:6" ht="13">
      <c r="A273" s="1">
        <v>3447</v>
      </c>
      <c r="B273" s="2" t="s">
        <v>863</v>
      </c>
      <c r="C273" s="289">
        <f>VLOOKUP(A273,'K18'!$A$4:$BX$425,3,FALSE)</f>
        <v>5650</v>
      </c>
      <c r="D273" s="289">
        <f>VLOOKUP(A273,'K18'!$A$4:$BX$425,26,FALSE)</f>
        <v>118346</v>
      </c>
      <c r="E273" s="289">
        <f>VLOOKUP(A273,'K19'!$A$4:$BX$425,26,FALSE)</f>
        <v>123933</v>
      </c>
      <c r="F273" s="517"/>
    </row>
    <row r="274" spans="1:6" ht="13">
      <c r="A274" s="1">
        <v>3448</v>
      </c>
      <c r="B274" s="2" t="s">
        <v>864</v>
      </c>
      <c r="C274" s="289">
        <f>VLOOKUP(A274,'K18'!$A$4:$BX$425,3,FALSE)</f>
        <v>6750</v>
      </c>
      <c r="D274" s="289">
        <f>VLOOKUP(A274,'K18'!$A$4:$BX$425,26,FALSE)</f>
        <v>148417</v>
      </c>
      <c r="E274" s="289">
        <f>VLOOKUP(A274,'K19'!$A$4:$BX$425,26,FALSE)</f>
        <v>155140</v>
      </c>
      <c r="F274" s="517"/>
    </row>
    <row r="275" spans="1:6" ht="13">
      <c r="A275" s="1">
        <v>3449</v>
      </c>
      <c r="B275" s="2" t="s">
        <v>865</v>
      </c>
      <c r="C275" s="289">
        <f>VLOOKUP(A275,'K18'!$A$4:$BX$425,3,FALSE)</f>
        <v>3014</v>
      </c>
      <c r="D275" s="289">
        <f>VLOOKUP(A275,'K18'!$A$4:$BX$425,26,FALSE)</f>
        <v>73595</v>
      </c>
      <c r="E275" s="289">
        <f>VLOOKUP(A275,'K19'!$A$4:$BX$425,26,FALSE)</f>
        <v>74443</v>
      </c>
      <c r="F275" s="517"/>
    </row>
    <row r="276" spans="1:6" ht="13">
      <c r="A276" s="1">
        <v>3450</v>
      </c>
      <c r="B276" s="2" t="s">
        <v>866</v>
      </c>
      <c r="C276" s="289">
        <f>VLOOKUP(A276,'K18'!$A$4:$BX$425,3,FALSE)</f>
        <v>1352</v>
      </c>
      <c r="D276" s="289">
        <f>VLOOKUP(A276,'K18'!$A$4:$BX$425,26,FALSE)</f>
        <v>32388</v>
      </c>
      <c r="E276" s="289">
        <f>VLOOKUP(A276,'K19'!$A$4:$BX$425,26,FALSE)</f>
        <v>30753</v>
      </c>
      <c r="F276" s="517"/>
    </row>
    <row r="277" spans="1:6" ht="13">
      <c r="A277" s="1">
        <v>3451</v>
      </c>
      <c r="B277" s="2" t="s">
        <v>867</v>
      </c>
      <c r="C277" s="289">
        <f>VLOOKUP(A277,'K18'!$A$4:$BX$425,3,FALSE)</f>
        <v>6443</v>
      </c>
      <c r="D277" s="289">
        <f>VLOOKUP(A277,'K18'!$A$4:$BX$425,26,FALSE)</f>
        <v>174124</v>
      </c>
      <c r="E277" s="289">
        <f>VLOOKUP(A277,'K19'!$A$4:$BX$425,26,FALSE)</f>
        <v>177318</v>
      </c>
      <c r="F277" s="517"/>
    </row>
    <row r="278" spans="1:6" ht="13">
      <c r="A278" s="1">
        <v>3452</v>
      </c>
      <c r="B278" s="2" t="s">
        <v>868</v>
      </c>
      <c r="C278" s="289">
        <f>VLOOKUP(A278,'K18'!$A$4:$BX$425,3,FALSE)</f>
        <v>2139</v>
      </c>
      <c r="D278" s="289">
        <f>VLOOKUP(A278,'K18'!$A$4:$BX$425,26,FALSE)</f>
        <v>61276</v>
      </c>
      <c r="E278" s="289">
        <f>VLOOKUP(A278,'K19'!$A$4:$BX$425,26,FALSE)</f>
        <v>67700</v>
      </c>
      <c r="F278" s="517"/>
    </row>
    <row r="279" spans="1:6" ht="13">
      <c r="A279" s="1">
        <v>3453</v>
      </c>
      <c r="B279" s="2" t="s">
        <v>869</v>
      </c>
      <c r="C279" s="289">
        <f>VLOOKUP(A279,'K18'!$A$4:$BX$425,3,FALSE)</f>
        <v>3221</v>
      </c>
      <c r="D279" s="289">
        <f>VLOOKUP(A279,'K18'!$A$4:$BX$425,26,FALSE)</f>
        <v>96866</v>
      </c>
      <c r="E279" s="289">
        <f>VLOOKUP(A279,'K19'!$A$4:$BX$425,26,FALSE)</f>
        <v>101589</v>
      </c>
      <c r="F279" s="517"/>
    </row>
    <row r="280" spans="1:6" ht="13">
      <c r="A280" s="1">
        <v>3454</v>
      </c>
      <c r="B280" s="2" t="s">
        <v>870</v>
      </c>
      <c r="C280" s="289">
        <f>VLOOKUP(A280,'K18'!$A$4:$BX$425,3,FALSE)</f>
        <v>1601</v>
      </c>
      <c r="D280" s="289">
        <f>VLOOKUP(A280,'K18'!$A$4:$BX$425,26,FALSE)</f>
        <v>47228</v>
      </c>
      <c r="E280" s="289">
        <f>VLOOKUP(A280,'K19'!$A$4:$BX$425,26,FALSE)</f>
        <v>49799</v>
      </c>
      <c r="F280" s="517"/>
    </row>
    <row r="281" spans="1:6" ht="13">
      <c r="A281" s="1">
        <v>3801</v>
      </c>
      <c r="B281" s="4" t="s">
        <v>346</v>
      </c>
      <c r="C281" s="289">
        <f>VLOOKUP(A281,'K18'!$A$4:$BX$425,3,FALSE)</f>
        <v>27317</v>
      </c>
      <c r="D281" s="289">
        <f>VLOOKUP(A281,'K18'!$A$4:$BX$425,26,FALSE)</f>
        <v>672391</v>
      </c>
      <c r="E281" s="289">
        <f>VLOOKUP(A281,'K19'!$A$4:$BX$425,26,FALSE)</f>
        <v>692275</v>
      </c>
      <c r="F281" s="517"/>
    </row>
    <row r="282" spans="1:6" ht="13">
      <c r="A282" s="878">
        <v>3802</v>
      </c>
      <c r="B282" s="879" t="s">
        <v>1625</v>
      </c>
      <c r="C282" s="919">
        <f t="shared" ref="C282:E283" si="5">+C487</f>
        <v>24060.278558189999</v>
      </c>
      <c r="D282" s="919">
        <f t="shared" si="5"/>
        <v>652653.90166845266</v>
      </c>
      <c r="E282" s="919">
        <f t="shared" si="5"/>
        <v>675516.09132852731</v>
      </c>
      <c r="F282" s="517"/>
    </row>
    <row r="283" spans="1:6" ht="13">
      <c r="A283" s="878">
        <v>3803</v>
      </c>
      <c r="B283" s="879" t="s">
        <v>1626</v>
      </c>
      <c r="C283" s="919">
        <f t="shared" si="5"/>
        <v>54845.783021579999</v>
      </c>
      <c r="D283" s="919">
        <f t="shared" si="5"/>
        <v>1605669.3773023367</v>
      </c>
      <c r="E283" s="919">
        <f t="shared" si="5"/>
        <v>1680635.555433885</v>
      </c>
      <c r="F283" s="517"/>
    </row>
    <row r="284" spans="1:6" ht="13">
      <c r="A284" s="755">
        <v>3804</v>
      </c>
      <c r="B284" s="756" t="s">
        <v>1153</v>
      </c>
      <c r="C284" s="289">
        <f>VLOOKUP(A284,'K18'!$A$4:$BX$425,3,FALSE)</f>
        <v>62615</v>
      </c>
      <c r="D284" s="289">
        <f>VLOOKUP(A284,'K18'!$A$4:$BX$425,26,FALSE)</f>
        <v>1650021</v>
      </c>
      <c r="E284" s="290">
        <f>VLOOKUP(A284,'K19'!$A$4:$BX$425,26,FALSE)</f>
        <v>1778055</v>
      </c>
      <c r="F284" s="517"/>
    </row>
    <row r="285" spans="1:6" ht="13">
      <c r="A285" s="1">
        <v>3805</v>
      </c>
      <c r="B285" s="2" t="s">
        <v>1235</v>
      </c>
      <c r="C285" s="289">
        <f>VLOOKUP(A285,'K18'!$A$4:$BX$425,3,FALSE)</f>
        <v>46801</v>
      </c>
      <c r="D285" s="289">
        <f>VLOOKUP(A285,'K18'!$A$4:$BX$425,26,FALSE)</f>
        <v>1250980</v>
      </c>
      <c r="E285" s="289">
        <f>VLOOKUP(A285,'K19'!$A$4:$BX$425,26,FALSE)</f>
        <v>1285032</v>
      </c>
      <c r="F285" s="517"/>
    </row>
    <row r="286" spans="1:6" ht="13">
      <c r="A286" s="1">
        <v>3806</v>
      </c>
      <c r="B286" s="2" t="s">
        <v>904</v>
      </c>
      <c r="C286" s="289">
        <f>VLOOKUP(A286,'K18'!$A$4:$BX$425,3,FALSE)</f>
        <v>36091</v>
      </c>
      <c r="D286" s="289">
        <f>VLOOKUP(A286,'K18'!$A$4:$BX$425,26,FALSE)</f>
        <v>994677</v>
      </c>
      <c r="E286" s="289">
        <f>VLOOKUP(A286,'K19'!$A$4:$BX$425,26,FALSE)</f>
        <v>1030160</v>
      </c>
      <c r="F286" s="517"/>
    </row>
    <row r="287" spans="1:6" ht="13">
      <c r="A287" s="1">
        <v>3807</v>
      </c>
      <c r="B287" s="2" t="s">
        <v>905</v>
      </c>
      <c r="C287" s="289">
        <f>VLOOKUP(A287,'K18'!$A$4:$BX$425,3,FALSE)</f>
        <v>54510</v>
      </c>
      <c r="D287" s="289">
        <f>VLOOKUP(A287,'K18'!$A$4:$BX$425,26,FALSE)</f>
        <v>1395616</v>
      </c>
      <c r="E287" s="289">
        <f>VLOOKUP(A287,'K19'!$A$4:$BX$425,26,FALSE)</f>
        <v>1431339</v>
      </c>
      <c r="F287" s="517"/>
    </row>
    <row r="288" spans="1:6" ht="13">
      <c r="A288" s="1">
        <v>3808</v>
      </c>
      <c r="B288" s="2" t="s">
        <v>906</v>
      </c>
      <c r="C288" s="289">
        <f>VLOOKUP(A288,'K18'!$A$4:$BX$425,3,FALSE)</f>
        <v>12664</v>
      </c>
      <c r="D288" s="289">
        <f>VLOOKUP(A288,'K18'!$A$4:$BX$425,26,FALSE)</f>
        <v>311118</v>
      </c>
      <c r="E288" s="289">
        <f>VLOOKUP(A288,'K19'!$A$4:$BX$425,26,FALSE)</f>
        <v>330479</v>
      </c>
      <c r="F288" s="517"/>
    </row>
    <row r="289" spans="1:6" ht="13">
      <c r="A289" s="1">
        <v>3811</v>
      </c>
      <c r="B289" s="2" t="s">
        <v>1241</v>
      </c>
      <c r="C289" s="289">
        <f>VLOOKUP(A289,'K18'!$A$4:$BX$425,3,FALSE)</f>
        <v>26734</v>
      </c>
      <c r="D289" s="289">
        <f>VLOOKUP(A289,'K18'!$A$4:$BX$425,26,FALSE)</f>
        <v>826128</v>
      </c>
      <c r="E289" s="289">
        <f>VLOOKUP(A289,'K19'!$A$4:$BX$425,26,FALSE)</f>
        <v>861791</v>
      </c>
      <c r="F289" s="517"/>
    </row>
    <row r="290" spans="1:6" ht="13">
      <c r="A290" s="1">
        <v>3812</v>
      </c>
      <c r="B290" s="2" t="s">
        <v>907</v>
      </c>
      <c r="C290" s="289">
        <f>VLOOKUP(A290,'K18'!$A$4:$BX$425,3,FALSE)</f>
        <v>2351</v>
      </c>
      <c r="D290" s="289">
        <f>VLOOKUP(A290,'K18'!$A$4:$BX$425,26,FALSE)</f>
        <v>59881</v>
      </c>
      <c r="E290" s="289">
        <f>VLOOKUP(A290,'K19'!$A$4:$BX$425,26,FALSE)</f>
        <v>61369</v>
      </c>
      <c r="F290" s="517"/>
    </row>
    <row r="291" spans="1:6" ht="13">
      <c r="A291" s="1">
        <v>3813</v>
      </c>
      <c r="B291" s="2" t="s">
        <v>908</v>
      </c>
      <c r="C291" s="289">
        <f>VLOOKUP(A291,'K18'!$A$4:$BX$425,3,FALSE)</f>
        <v>14183</v>
      </c>
      <c r="D291" s="289">
        <f>VLOOKUP(A291,'K18'!$A$4:$BX$425,26,FALSE)</f>
        <v>382036</v>
      </c>
      <c r="E291" s="289">
        <f>VLOOKUP(A291,'K19'!$A$4:$BX$425,26,FALSE)</f>
        <v>395478</v>
      </c>
      <c r="F291" s="517"/>
    </row>
    <row r="292" spans="1:6" ht="13">
      <c r="A292" s="1">
        <v>3814</v>
      </c>
      <c r="B292" s="2" t="s">
        <v>910</v>
      </c>
      <c r="C292" s="289">
        <f>VLOOKUP(A292,'K18'!$A$4:$BX$425,3,FALSE)</f>
        <v>10506</v>
      </c>
      <c r="D292" s="289">
        <f>VLOOKUP(A292,'K18'!$A$4:$BX$425,26,FALSE)</f>
        <v>262062</v>
      </c>
      <c r="E292" s="289">
        <f>VLOOKUP(A292,'K19'!$A$4:$BX$425,26,FALSE)</f>
        <v>268676</v>
      </c>
      <c r="F292" s="517"/>
    </row>
    <row r="293" spans="1:6" ht="13">
      <c r="A293" s="1">
        <v>3815</v>
      </c>
      <c r="B293" s="2" t="s">
        <v>911</v>
      </c>
      <c r="C293" s="289">
        <f>VLOOKUP(A293,'K18'!$A$4:$BX$425,3,FALSE)</f>
        <v>4105</v>
      </c>
      <c r="D293" s="289">
        <f>VLOOKUP(A293,'K18'!$A$4:$BX$425,26,FALSE)</f>
        <v>89506</v>
      </c>
      <c r="E293" s="289">
        <f>VLOOKUP(A293,'K19'!$A$4:$BX$425,26,FALSE)</f>
        <v>91475</v>
      </c>
      <c r="F293" s="517"/>
    </row>
    <row r="294" spans="1:6" ht="13">
      <c r="A294" s="1">
        <v>3816</v>
      </c>
      <c r="B294" s="2" t="s">
        <v>912</v>
      </c>
      <c r="C294" s="289">
        <f>VLOOKUP(A294,'K18'!$A$4:$BX$425,3,FALSE)</f>
        <v>6609</v>
      </c>
      <c r="D294" s="289">
        <f>VLOOKUP(A294,'K18'!$A$4:$BX$425,26,FALSE)</f>
        <v>155467</v>
      </c>
      <c r="E294" s="289">
        <f>VLOOKUP(A294,'K19'!$A$4:$BX$425,26,FALSE)</f>
        <v>161297</v>
      </c>
      <c r="F294" s="517"/>
    </row>
    <row r="295" spans="1:6" ht="13">
      <c r="A295" s="878">
        <v>3817</v>
      </c>
      <c r="B295" s="883" t="s">
        <v>1627</v>
      </c>
      <c r="C295" s="919">
        <f>+C489</f>
        <v>10375.265494830001</v>
      </c>
      <c r="D295" s="919">
        <f>+D489</f>
        <v>247525.6980683576</v>
      </c>
      <c r="E295" s="919">
        <f>+E489</f>
        <v>254771.79346333424</v>
      </c>
      <c r="F295" s="517"/>
    </row>
    <row r="296" spans="1:6" ht="13">
      <c r="A296" s="1">
        <v>3818</v>
      </c>
      <c r="B296" s="2" t="s">
        <v>920</v>
      </c>
      <c r="C296" s="289">
        <f>VLOOKUP(A296,'K18'!$A$4:$BX$425,3,FALSE)</f>
        <v>5856</v>
      </c>
      <c r="D296" s="289">
        <f>VLOOKUP(A296,'K18'!$A$4:$BX$425,26,FALSE)</f>
        <v>199842</v>
      </c>
      <c r="E296" s="289">
        <f>VLOOKUP(A296,'K19'!$A$4:$BX$425,26,FALSE)</f>
        <v>205109</v>
      </c>
      <c r="F296" s="517"/>
    </row>
    <row r="297" spans="1:6" ht="13">
      <c r="A297" s="1">
        <v>3819</v>
      </c>
      <c r="B297" s="2" t="s">
        <v>921</v>
      </c>
      <c r="C297" s="289">
        <f>VLOOKUP(A297,'K18'!$A$4:$BX$425,3,FALSE)</f>
        <v>1587</v>
      </c>
      <c r="D297" s="289">
        <f>VLOOKUP(A297,'K18'!$A$4:$BX$425,26,FALSE)</f>
        <v>47373</v>
      </c>
      <c r="E297" s="289">
        <f>VLOOKUP(A297,'K19'!$A$4:$BX$425,26,FALSE)</f>
        <v>48046</v>
      </c>
      <c r="F297" s="517"/>
    </row>
    <row r="298" spans="1:6" ht="13">
      <c r="A298" s="1">
        <v>3820</v>
      </c>
      <c r="B298" s="2" t="s">
        <v>922</v>
      </c>
      <c r="C298" s="289">
        <f>VLOOKUP(A298,'K18'!$A$4:$BX$425,3,FALSE)</f>
        <v>2959</v>
      </c>
      <c r="D298" s="289">
        <f>VLOOKUP(A298,'K18'!$A$4:$BX$425,26,FALSE)</f>
        <v>79022</v>
      </c>
      <c r="E298" s="289">
        <f>VLOOKUP(A298,'K19'!$A$4:$BX$425,26,FALSE)</f>
        <v>79899</v>
      </c>
      <c r="F298" s="517"/>
    </row>
    <row r="299" spans="1:6" ht="13">
      <c r="A299" s="1">
        <v>3821</v>
      </c>
      <c r="B299" s="2" t="s">
        <v>923</v>
      </c>
      <c r="C299" s="289">
        <f>VLOOKUP(A299,'K18'!$A$4:$BX$425,3,FALSE)</f>
        <v>2397</v>
      </c>
      <c r="D299" s="289">
        <f>VLOOKUP(A299,'K18'!$A$4:$BX$425,26,FALSE)</f>
        <v>63971</v>
      </c>
      <c r="E299" s="289">
        <f>VLOOKUP(A299,'K19'!$A$4:$BX$425,26,FALSE)</f>
        <v>65310</v>
      </c>
      <c r="F299" s="517"/>
    </row>
    <row r="300" spans="1:6" ht="13">
      <c r="A300" s="1">
        <v>3822</v>
      </c>
      <c r="B300" s="2" t="s">
        <v>924</v>
      </c>
      <c r="C300" s="289">
        <f>VLOOKUP(A300,'K18'!$A$4:$BX$425,3,FALSE)</f>
        <v>1489</v>
      </c>
      <c r="D300" s="289">
        <f>VLOOKUP(A300,'K18'!$A$4:$BX$425,26,FALSE)</f>
        <v>43371</v>
      </c>
      <c r="E300" s="289">
        <f>VLOOKUP(A300,'K19'!$A$4:$BX$425,26,FALSE)</f>
        <v>43819</v>
      </c>
      <c r="F300" s="517"/>
    </row>
    <row r="301" spans="1:6" ht="13">
      <c r="A301" s="1">
        <v>3823</v>
      </c>
      <c r="B301" s="2" t="s">
        <v>925</v>
      </c>
      <c r="C301" s="289">
        <f>VLOOKUP(A301,'K18'!$A$4:$BX$425,3,FALSE)</f>
        <v>1320</v>
      </c>
      <c r="D301" s="289">
        <f>VLOOKUP(A301,'K18'!$A$4:$BX$425,26,FALSE)</f>
        <v>35116</v>
      </c>
      <c r="E301" s="289">
        <f>VLOOKUP(A301,'K19'!$A$4:$BX$425,26,FALSE)</f>
        <v>35476</v>
      </c>
      <c r="F301" s="517"/>
    </row>
    <row r="302" spans="1:6" ht="13">
      <c r="A302" s="1">
        <v>3824</v>
      </c>
      <c r="B302" s="2" t="s">
        <v>926</v>
      </c>
      <c r="C302" s="289">
        <f>VLOOKUP(A302,'K18'!$A$4:$BX$425,3,FALSE)</f>
        <v>2236</v>
      </c>
      <c r="D302" s="289">
        <f>VLOOKUP(A302,'K18'!$A$4:$BX$425,26,FALSE)</f>
        <v>78415</v>
      </c>
      <c r="E302" s="289">
        <f>VLOOKUP(A302,'K19'!$A$4:$BX$425,26,FALSE)</f>
        <v>83047</v>
      </c>
      <c r="F302" s="517"/>
    </row>
    <row r="303" spans="1:6" ht="13">
      <c r="A303" s="1">
        <v>3825</v>
      </c>
      <c r="B303" s="2" t="s">
        <v>927</v>
      </c>
      <c r="C303" s="289">
        <f>VLOOKUP(A303,'K18'!$A$4:$BX$425,3,FALSE)</f>
        <v>3709</v>
      </c>
      <c r="D303" s="289">
        <f>VLOOKUP(A303,'K18'!$A$4:$BX$425,26,FALSE)</f>
        <v>151716</v>
      </c>
      <c r="E303" s="289">
        <f>VLOOKUP(A303,'K19'!$A$4:$BX$425,26,FALSE)</f>
        <v>154659</v>
      </c>
      <c r="F303" s="517"/>
    </row>
    <row r="304" spans="1:6" ht="13">
      <c r="A304" s="1">
        <v>4201</v>
      </c>
      <c r="B304" s="2" t="s">
        <v>928</v>
      </c>
      <c r="C304" s="289">
        <f>VLOOKUP(A304,'K18'!$A$4:$BX$425,3,FALSE)</f>
        <v>6882</v>
      </c>
      <c r="D304" s="289">
        <f>VLOOKUP(A304,'K18'!$A$4:$BX$425,26,FALSE)</f>
        <v>167642</v>
      </c>
      <c r="E304" s="289">
        <f>VLOOKUP(A304,'K19'!$A$4:$BX$425,26,FALSE)</f>
        <v>177519</v>
      </c>
      <c r="F304" s="517"/>
    </row>
    <row r="305" spans="1:6" ht="13">
      <c r="A305" s="1">
        <v>4202</v>
      </c>
      <c r="B305" s="2" t="s">
        <v>929</v>
      </c>
      <c r="C305" s="289">
        <f>VLOOKUP(A305,'K18'!$A$4:$BX$425,3,FALSE)</f>
        <v>23017</v>
      </c>
      <c r="D305" s="289">
        <f>VLOOKUP(A305,'K18'!$A$4:$BX$425,26,FALSE)</f>
        <v>637254</v>
      </c>
      <c r="E305" s="289">
        <f>VLOOKUP(A305,'K19'!$A$4:$BX$425,26,FALSE)</f>
        <v>551458</v>
      </c>
      <c r="F305" s="517"/>
    </row>
    <row r="306" spans="1:6" ht="13">
      <c r="A306" s="1">
        <v>4203</v>
      </c>
      <c r="B306" s="2" t="s">
        <v>930</v>
      </c>
      <c r="C306" s="289">
        <f>VLOOKUP(A306,'K18'!$A$4:$BX$425,3,FALSE)</f>
        <v>44645</v>
      </c>
      <c r="D306" s="289">
        <f>VLOOKUP(A306,'K18'!$A$4:$BX$425,26,FALSE)</f>
        <v>1138206</v>
      </c>
      <c r="E306" s="289">
        <f>VLOOKUP(A306,'K19'!$A$4:$BX$425,26,FALSE)</f>
        <v>1184748</v>
      </c>
      <c r="F306" s="517"/>
    </row>
    <row r="307" spans="1:6" ht="13">
      <c r="A307" s="878">
        <v>4204</v>
      </c>
      <c r="B307" s="883" t="s">
        <v>1628</v>
      </c>
      <c r="C307" s="919">
        <f t="shared" ref="C307:E308" si="6">+C490</f>
        <v>109438</v>
      </c>
      <c r="D307" s="919">
        <f t="shared" si="6"/>
        <v>2968176</v>
      </c>
      <c r="E307" s="919">
        <f t="shared" si="6"/>
        <v>3051787</v>
      </c>
      <c r="F307" s="517"/>
    </row>
    <row r="308" spans="1:6" ht="13">
      <c r="A308" s="878">
        <v>4205</v>
      </c>
      <c r="B308" s="883" t="s">
        <v>1629</v>
      </c>
      <c r="C308" s="919">
        <f t="shared" si="6"/>
        <v>22905</v>
      </c>
      <c r="D308" s="919">
        <f t="shared" si="6"/>
        <v>566314</v>
      </c>
      <c r="E308" s="919">
        <f t="shared" si="6"/>
        <v>595597</v>
      </c>
      <c r="F308" s="517"/>
    </row>
    <row r="309" spans="1:6" ht="13">
      <c r="A309" s="1">
        <v>4206</v>
      </c>
      <c r="B309" s="2" t="s">
        <v>944</v>
      </c>
      <c r="C309" s="289">
        <f>VLOOKUP(A309,'K18'!$A$4:$BX$425,3,FALSE)</f>
        <v>9726</v>
      </c>
      <c r="D309" s="289">
        <f>VLOOKUP(A309,'K18'!$A$4:$BX$425,26,FALSE)</f>
        <v>246461</v>
      </c>
      <c r="E309" s="289">
        <f>VLOOKUP(A309,'K19'!$A$4:$BX$425,26,FALSE)</f>
        <v>255900</v>
      </c>
      <c r="F309" s="517"/>
    </row>
    <row r="310" spans="1:6" ht="13">
      <c r="A310" s="1">
        <v>4207</v>
      </c>
      <c r="B310" s="2" t="s">
        <v>946</v>
      </c>
      <c r="C310" s="289">
        <f>VLOOKUP(A310,'K18'!$A$4:$BX$425,3,FALSE)</f>
        <v>9066</v>
      </c>
      <c r="D310" s="289">
        <f>VLOOKUP(A310,'K18'!$A$4:$BX$425,26,FALSE)</f>
        <v>241314</v>
      </c>
      <c r="E310" s="289">
        <f>VLOOKUP(A310,'K19'!$A$4:$BX$425,26,FALSE)</f>
        <v>248272</v>
      </c>
      <c r="F310" s="517"/>
    </row>
    <row r="311" spans="1:6" ht="13">
      <c r="A311" s="1">
        <v>4211</v>
      </c>
      <c r="B311" s="2" t="s">
        <v>931</v>
      </c>
      <c r="C311" s="289">
        <f>VLOOKUP(A311,'K18'!$A$4:$BX$425,3,FALSE)</f>
        <v>2467</v>
      </c>
      <c r="D311" s="289">
        <f>VLOOKUP(A311,'K18'!$A$4:$BX$425,26,FALSE)</f>
        <v>49187</v>
      </c>
      <c r="E311" s="289">
        <f>VLOOKUP(A311,'K19'!$A$4:$BX$425,26,FALSE)</f>
        <v>53222</v>
      </c>
      <c r="F311" s="517"/>
    </row>
    <row r="312" spans="1:6" ht="13">
      <c r="A312" s="1">
        <v>4212</v>
      </c>
      <c r="B312" s="4" t="s">
        <v>706</v>
      </c>
      <c r="C312" s="289">
        <f>VLOOKUP(A312,'K18'!$A$4:$BX$425,3,FALSE)</f>
        <v>2087</v>
      </c>
      <c r="D312" s="289">
        <f>VLOOKUP(A312,'K18'!$A$4:$BX$425,26,FALSE)</f>
        <v>44994</v>
      </c>
      <c r="E312" s="289">
        <f>VLOOKUP(A312,'K19'!$A$4:$BX$425,26,FALSE)</f>
        <v>46962</v>
      </c>
      <c r="F312" s="517"/>
    </row>
    <row r="313" spans="1:6" ht="13">
      <c r="A313" s="1">
        <v>4213</v>
      </c>
      <c r="B313" s="2" t="s">
        <v>932</v>
      </c>
      <c r="C313" s="289">
        <f>VLOOKUP(A313,'K18'!$A$4:$BX$425,3,FALSE)</f>
        <v>6086</v>
      </c>
      <c r="D313" s="289">
        <f>VLOOKUP(A313,'K18'!$A$4:$BX$425,26,FALSE)</f>
        <v>145870</v>
      </c>
      <c r="E313" s="289">
        <f>VLOOKUP(A313,'K19'!$A$4:$BX$425,26,FALSE)</f>
        <v>160923</v>
      </c>
      <c r="F313" s="517"/>
    </row>
    <row r="314" spans="1:6" ht="13">
      <c r="A314" s="1">
        <v>4214</v>
      </c>
      <c r="B314" s="2" t="s">
        <v>933</v>
      </c>
      <c r="C314" s="289">
        <f>VLOOKUP(A314,'K18'!$A$4:$BX$425,3,FALSE)</f>
        <v>5790</v>
      </c>
      <c r="D314" s="289">
        <f>VLOOKUP(A314,'K18'!$A$4:$BX$425,26,FALSE)</f>
        <v>133413</v>
      </c>
      <c r="E314" s="289">
        <f>VLOOKUP(A314,'K19'!$A$4:$BX$425,26,FALSE)</f>
        <v>137039</v>
      </c>
      <c r="F314" s="517"/>
    </row>
    <row r="315" spans="1:6" ht="13">
      <c r="A315" s="1">
        <v>4215</v>
      </c>
      <c r="B315" s="2" t="s">
        <v>934</v>
      </c>
      <c r="C315" s="289">
        <f>VLOOKUP(A315,'K18'!$A$4:$BX$425,3,FALSE)</f>
        <v>10871</v>
      </c>
      <c r="D315" s="289">
        <f>VLOOKUP(A315,'K18'!$A$4:$BX$425,26,FALSE)</f>
        <v>300378</v>
      </c>
      <c r="E315" s="289">
        <f>VLOOKUP(A315,'K19'!$A$4:$BX$425,26,FALSE)</f>
        <v>311373</v>
      </c>
      <c r="F315" s="517"/>
    </row>
    <row r="316" spans="1:6" ht="13">
      <c r="A316" s="1">
        <v>4216</v>
      </c>
      <c r="B316" s="2" t="s">
        <v>935</v>
      </c>
      <c r="C316" s="289">
        <f>VLOOKUP(A316,'K18'!$A$4:$BX$425,3,FALSE)</f>
        <v>5187</v>
      </c>
      <c r="D316" s="289">
        <f>VLOOKUP(A316,'K18'!$A$4:$BX$425,26,FALSE)</f>
        <v>116344</v>
      </c>
      <c r="E316" s="289">
        <f>VLOOKUP(A316,'K19'!$A$4:$BX$425,26,FALSE)</f>
        <v>121884</v>
      </c>
      <c r="F316" s="517"/>
    </row>
    <row r="317" spans="1:6" ht="13">
      <c r="A317" s="1">
        <v>4217</v>
      </c>
      <c r="B317" s="2" t="s">
        <v>936</v>
      </c>
      <c r="C317" s="289">
        <f>VLOOKUP(A317,'K18'!$A$4:$BX$425,3,FALSE)</f>
        <v>1845</v>
      </c>
      <c r="D317" s="289">
        <f>VLOOKUP(A317,'K18'!$A$4:$BX$425,26,FALSE)</f>
        <v>42219</v>
      </c>
      <c r="E317" s="289">
        <f>VLOOKUP(A317,'K19'!$A$4:$BX$425,26,FALSE)</f>
        <v>44108</v>
      </c>
      <c r="F317" s="517"/>
    </row>
    <row r="318" spans="1:6" ht="13">
      <c r="A318" s="1">
        <v>4218</v>
      </c>
      <c r="B318" s="2" t="s">
        <v>937</v>
      </c>
      <c r="C318" s="289">
        <f>VLOOKUP(A318,'K18'!$A$4:$BX$425,3,FALSE)</f>
        <v>1330</v>
      </c>
      <c r="D318" s="289">
        <f>VLOOKUP(A318,'K18'!$A$4:$BX$425,26,FALSE)</f>
        <v>31104</v>
      </c>
      <c r="E318" s="289">
        <f>VLOOKUP(A318,'K19'!$A$4:$BX$425,26,FALSE)</f>
        <v>32415</v>
      </c>
      <c r="F318" s="517"/>
    </row>
    <row r="319" spans="1:6" ht="13">
      <c r="A319" s="1">
        <v>4219</v>
      </c>
      <c r="B319" s="4" t="s">
        <v>938</v>
      </c>
      <c r="C319" s="289">
        <f>VLOOKUP(A319,'K18'!$A$4:$BX$425,3,FALSE)</f>
        <v>3625</v>
      </c>
      <c r="D319" s="289">
        <f>VLOOKUP(A319,'K18'!$A$4:$BX$425,26,FALSE)</f>
        <v>81464</v>
      </c>
      <c r="E319" s="289">
        <f>VLOOKUP(A319,'K19'!$A$4:$BX$425,26,FALSE)</f>
        <v>83690</v>
      </c>
      <c r="F319" s="517"/>
    </row>
    <row r="320" spans="1:6" ht="13">
      <c r="A320" s="1">
        <v>4220</v>
      </c>
      <c r="B320" s="2" t="s">
        <v>939</v>
      </c>
      <c r="C320" s="289">
        <f>VLOOKUP(A320,'K18'!$A$4:$BX$425,3,FALSE)</f>
        <v>1207</v>
      </c>
      <c r="D320" s="289">
        <f>VLOOKUP(A320,'K18'!$A$4:$BX$425,26,FALSE)</f>
        <v>30970</v>
      </c>
      <c r="E320" s="289">
        <f>VLOOKUP(A320,'K19'!$A$4:$BX$425,26,FALSE)</f>
        <v>31274</v>
      </c>
      <c r="F320" s="517"/>
    </row>
    <row r="321" spans="1:6" ht="13">
      <c r="A321" s="1">
        <v>4221</v>
      </c>
      <c r="B321" s="2" t="s">
        <v>940</v>
      </c>
      <c r="C321" s="289">
        <f>VLOOKUP(A321,'K18'!$A$4:$BX$425,3,FALSE)</f>
        <v>1225</v>
      </c>
      <c r="D321" s="289">
        <f>VLOOKUP(A321,'K18'!$A$4:$BX$425,26,FALSE)</f>
        <v>45304</v>
      </c>
      <c r="E321" s="289">
        <f>VLOOKUP(A321,'K19'!$A$4:$BX$425,26,FALSE)</f>
        <v>47669</v>
      </c>
      <c r="F321" s="517"/>
    </row>
    <row r="322" spans="1:6" ht="13">
      <c r="A322" s="1">
        <v>4222</v>
      </c>
      <c r="B322" s="2" t="s">
        <v>941</v>
      </c>
      <c r="C322" s="289">
        <f>VLOOKUP(A322,'K18'!$A$4:$BX$425,3,FALSE)</f>
        <v>958</v>
      </c>
      <c r="D322" s="289">
        <f>VLOOKUP(A322,'K18'!$A$4:$BX$425,26,FALSE)</f>
        <v>79195</v>
      </c>
      <c r="E322" s="289">
        <f>VLOOKUP(A322,'K19'!$A$4:$BX$425,26,FALSE)</f>
        <v>84301</v>
      </c>
      <c r="F322" s="517"/>
    </row>
    <row r="323" spans="1:6" ht="13">
      <c r="A323" s="1">
        <v>4223</v>
      </c>
      <c r="B323" s="2" t="s">
        <v>947</v>
      </c>
      <c r="C323" s="289">
        <f>VLOOKUP(A323,'K18'!$A$4:$BX$425,3,FALSE)</f>
        <v>14532</v>
      </c>
      <c r="D323" s="289">
        <f>VLOOKUP(A323,'K18'!$A$4:$BX$425,26,FALSE)</f>
        <v>327486</v>
      </c>
      <c r="E323" s="289">
        <f>VLOOKUP(A323,'K19'!$A$4:$BX$425,26,FALSE)</f>
        <v>335821</v>
      </c>
      <c r="F323" s="517"/>
    </row>
    <row r="324" spans="1:6" ht="13">
      <c r="A324" s="1">
        <v>4224</v>
      </c>
      <c r="B324" s="2" t="s">
        <v>951</v>
      </c>
      <c r="C324" s="289">
        <f>VLOOKUP(A324,'K18'!$A$4:$BX$425,3,FALSE)</f>
        <v>943</v>
      </c>
      <c r="D324" s="289">
        <f>VLOOKUP(A324,'K18'!$A$4:$BX$425,26,FALSE)</f>
        <v>39045</v>
      </c>
      <c r="E324" s="289">
        <f>VLOOKUP(A324,'K19'!$A$4:$BX$425,26,FALSE)</f>
        <v>41061</v>
      </c>
      <c r="F324" s="517"/>
    </row>
    <row r="325" spans="1:6" ht="13">
      <c r="A325" s="878">
        <v>4225</v>
      </c>
      <c r="B325" s="883" t="s">
        <v>1630</v>
      </c>
      <c r="C325" s="919">
        <f>+C492</f>
        <v>10357</v>
      </c>
      <c r="D325" s="919">
        <f>+D492</f>
        <v>236168</v>
      </c>
      <c r="E325" s="919">
        <f>+E492</f>
        <v>242283</v>
      </c>
      <c r="F325" s="517"/>
    </row>
    <row r="326" spans="1:6" ht="13">
      <c r="A326" s="1">
        <v>4226</v>
      </c>
      <c r="B326" s="2" t="s">
        <v>955</v>
      </c>
      <c r="C326" s="289">
        <f>VLOOKUP(A326,'K18'!$A$4:$BX$425,3,FALSE)</f>
        <v>1699</v>
      </c>
      <c r="D326" s="289">
        <f>VLOOKUP(A326,'K18'!$A$4:$BX$425,26,FALSE)</f>
        <v>40812</v>
      </c>
      <c r="E326" s="289">
        <f>VLOOKUP(A326,'K19'!$A$4:$BX$425,26,FALSE)</f>
        <v>42575</v>
      </c>
      <c r="F326" s="517"/>
    </row>
    <row r="327" spans="1:6" ht="13">
      <c r="A327" s="1">
        <v>4227</v>
      </c>
      <c r="B327" s="2" t="s">
        <v>956</v>
      </c>
      <c r="C327" s="289">
        <f>VLOOKUP(A327,'K18'!$A$4:$BX$425,3,FALSE)</f>
        <v>6024</v>
      </c>
      <c r="D327" s="289">
        <f>VLOOKUP(A327,'K18'!$A$4:$BX$425,26,FALSE)</f>
        <v>166149</v>
      </c>
      <c r="E327" s="289">
        <f>VLOOKUP(A327,'K19'!$A$4:$BX$425,26,FALSE)</f>
        <v>177102</v>
      </c>
      <c r="F327" s="517"/>
    </row>
    <row r="328" spans="1:6" ht="13">
      <c r="A328" s="1">
        <v>4228</v>
      </c>
      <c r="B328" s="2" t="s">
        <v>957</v>
      </c>
      <c r="C328" s="289">
        <f>VLOOKUP(A328,'K18'!$A$4:$BX$425,3,FALSE)</f>
        <v>1842</v>
      </c>
      <c r="D328" s="289">
        <f>VLOOKUP(A328,'K18'!$A$4:$BX$425,26,FALSE)</f>
        <v>105701</v>
      </c>
      <c r="E328" s="289">
        <f>VLOOKUP(A328,'K19'!$A$4:$BX$425,26,FALSE)</f>
        <v>112920</v>
      </c>
      <c r="F328" s="517"/>
    </row>
    <row r="329" spans="1:6" ht="13">
      <c r="A329" s="1">
        <v>4601</v>
      </c>
      <c r="B329" s="2" t="s">
        <v>23</v>
      </c>
      <c r="C329" s="289">
        <f>VLOOKUP(A329,'K18'!$A$4:$BX$425,3,FALSE)</f>
        <v>279792</v>
      </c>
      <c r="D329" s="289">
        <f>VLOOKUP(A329,'K18'!$A$4:$BX$425,26,FALSE)</f>
        <v>9126725</v>
      </c>
      <c r="E329" s="289">
        <f>VLOOKUP(A329,'K19'!$A$4:$BX$425,26,FALSE)</f>
        <v>9648534</v>
      </c>
      <c r="F329" s="517"/>
    </row>
    <row r="330" spans="1:6" ht="13">
      <c r="A330" s="878">
        <v>4602</v>
      </c>
      <c r="B330" s="883" t="s">
        <v>1631</v>
      </c>
      <c r="C330" s="919">
        <f>+C493</f>
        <v>17469.174222869999</v>
      </c>
      <c r="D330" s="919">
        <f>+D493</f>
        <v>488200.73482211295</v>
      </c>
      <c r="E330" s="919">
        <f>+E493</f>
        <v>531457.55268768943</v>
      </c>
      <c r="F330" s="517"/>
    </row>
    <row r="331" spans="1:6" ht="13">
      <c r="A331" s="1">
        <v>4611</v>
      </c>
      <c r="B331" s="2" t="s">
        <v>24</v>
      </c>
      <c r="C331" s="289">
        <f>VLOOKUP(A331,'K18'!$A$4:$BX$425,3,FALSE)</f>
        <v>4083</v>
      </c>
      <c r="D331" s="289">
        <f>VLOOKUP(A331,'K18'!$A$4:$BX$425,26,FALSE)</f>
        <v>106064</v>
      </c>
      <c r="E331" s="289">
        <f>VLOOKUP(A331,'K19'!$A$4:$BX$425,26,FALSE)</f>
        <v>114533</v>
      </c>
      <c r="F331" s="517"/>
    </row>
    <row r="332" spans="1:6" ht="13">
      <c r="A332" s="1">
        <v>4612</v>
      </c>
      <c r="B332" s="2" t="s">
        <v>25</v>
      </c>
      <c r="C332" s="289">
        <f>VLOOKUP(A332,'K18'!$A$4:$BX$425,3,FALSE)</f>
        <v>5721</v>
      </c>
      <c r="D332" s="289">
        <f>VLOOKUP(A332,'K18'!$A$4:$BX$425,26,FALSE)</f>
        <v>140486</v>
      </c>
      <c r="E332" s="289">
        <f>VLOOKUP(A332,'K19'!$A$4:$BX$425,26,FALSE)</f>
        <v>141649</v>
      </c>
      <c r="F332" s="517"/>
    </row>
    <row r="333" spans="1:6" ht="13">
      <c r="A333" s="1">
        <v>4613</v>
      </c>
      <c r="B333" s="2" t="s">
        <v>26</v>
      </c>
      <c r="C333" s="289">
        <f>VLOOKUP(A333,'K18'!$A$4:$BX$425,3,FALSE)</f>
        <v>11902</v>
      </c>
      <c r="D333" s="289">
        <f>VLOOKUP(A333,'K18'!$A$4:$BX$425,26,FALSE)</f>
        <v>295857</v>
      </c>
      <c r="E333" s="289">
        <f>VLOOKUP(A333,'K19'!$A$4:$BX$425,26,FALSE)</f>
        <v>332334</v>
      </c>
      <c r="F333" s="517"/>
    </row>
    <row r="334" spans="1:6" ht="13">
      <c r="A334" s="1">
        <v>4614</v>
      </c>
      <c r="B334" s="2" t="s">
        <v>27</v>
      </c>
      <c r="C334" s="289">
        <f>VLOOKUP(A334,'K18'!$A$4:$BX$425,3,FALSE)</f>
        <v>18780</v>
      </c>
      <c r="D334" s="289">
        <f>VLOOKUP(A334,'K18'!$A$4:$BX$425,26,FALSE)</f>
        <v>517096</v>
      </c>
      <c r="E334" s="289">
        <f>VLOOKUP(A334,'K19'!$A$4:$BX$425,26,FALSE)</f>
        <v>540530</v>
      </c>
      <c r="F334" s="517"/>
    </row>
    <row r="335" spans="1:6" ht="13">
      <c r="A335" s="1">
        <v>4615</v>
      </c>
      <c r="B335" s="2" t="s">
        <v>28</v>
      </c>
      <c r="C335" s="289">
        <f>VLOOKUP(A335,'K18'!$A$4:$BX$425,3,FALSE)</f>
        <v>3194</v>
      </c>
      <c r="D335" s="289">
        <f>VLOOKUP(A335,'K18'!$A$4:$BX$425,26,FALSE)</f>
        <v>81638</v>
      </c>
      <c r="E335" s="289">
        <f>VLOOKUP(A335,'K19'!$A$4:$BX$425,26,FALSE)</f>
        <v>90564</v>
      </c>
      <c r="F335" s="517"/>
    </row>
    <row r="336" spans="1:6" ht="13">
      <c r="A336" s="1">
        <v>4616</v>
      </c>
      <c r="B336" s="2" t="s">
        <v>29</v>
      </c>
      <c r="C336" s="289">
        <f>VLOOKUP(A336,'K18'!$A$4:$BX$425,3,FALSE)</f>
        <v>2857</v>
      </c>
      <c r="D336" s="289">
        <f>VLOOKUP(A336,'K18'!$A$4:$BX$425,26,FALSE)</f>
        <v>90837</v>
      </c>
      <c r="E336" s="289">
        <f>VLOOKUP(A336,'K19'!$A$4:$BX$425,26,FALSE)</f>
        <v>105762</v>
      </c>
      <c r="F336" s="517"/>
    </row>
    <row r="337" spans="1:6" ht="13">
      <c r="A337" s="1">
        <v>4617</v>
      </c>
      <c r="B337" s="2" t="s">
        <v>30</v>
      </c>
      <c r="C337" s="289">
        <f>VLOOKUP(A337,'K18'!$A$4:$BX$425,3,FALSE)</f>
        <v>13180</v>
      </c>
      <c r="D337" s="289">
        <f>VLOOKUP(A337,'K18'!$A$4:$BX$425,26,FALSE)</f>
        <v>358088</v>
      </c>
      <c r="E337" s="289">
        <f>VLOOKUP(A337,'K19'!$A$4:$BX$425,26,FALSE)</f>
        <v>374901</v>
      </c>
      <c r="F337" s="517"/>
    </row>
    <row r="338" spans="1:6" ht="13">
      <c r="A338" s="878">
        <v>4618</v>
      </c>
      <c r="B338" s="883" t="s">
        <v>1632</v>
      </c>
      <c r="C338" s="919">
        <f>+C494</f>
        <v>11225.13414634</v>
      </c>
      <c r="D338" s="919">
        <f>+D494</f>
        <v>333806.10975605407</v>
      </c>
      <c r="E338" s="919">
        <f>+E494</f>
        <v>346985.25609756098</v>
      </c>
      <c r="F338" s="517"/>
    </row>
    <row r="339" spans="1:6" ht="13">
      <c r="A339" s="1">
        <v>4619</v>
      </c>
      <c r="B339" s="2" t="s">
        <v>34</v>
      </c>
      <c r="C339" s="289">
        <f>VLOOKUP(A339,'K18'!$A$4:$BX$425,3,FALSE)</f>
        <v>931</v>
      </c>
      <c r="D339" s="289">
        <f>VLOOKUP(A339,'K18'!$A$4:$BX$425,26,FALSE)</f>
        <v>56711</v>
      </c>
      <c r="E339" s="289">
        <f>VLOOKUP(A339,'K19'!$A$4:$BX$425,26,FALSE)</f>
        <v>56140</v>
      </c>
      <c r="F339" s="517"/>
    </row>
    <row r="340" spans="1:6" ht="13">
      <c r="A340" s="1">
        <v>4620</v>
      </c>
      <c r="B340" s="2" t="s">
        <v>35</v>
      </c>
      <c r="C340" s="289">
        <f>VLOOKUP(A340,'K18'!$A$4:$BX$425,3,FALSE)</f>
        <v>1117</v>
      </c>
      <c r="D340" s="289">
        <f>VLOOKUP(A340,'K18'!$A$4:$BX$425,26,FALSE)</f>
        <v>35225</v>
      </c>
      <c r="E340" s="289">
        <f>VLOOKUP(A340,'K19'!$A$4:$BX$425,26,FALSE)</f>
        <v>35916</v>
      </c>
      <c r="F340" s="517"/>
    </row>
    <row r="341" spans="1:6" ht="13">
      <c r="A341" s="878">
        <v>4621</v>
      </c>
      <c r="B341" s="883" t="s">
        <v>1633</v>
      </c>
      <c r="C341" s="919">
        <f>+C495</f>
        <v>15575.84687641</v>
      </c>
      <c r="D341" s="919">
        <f>+D495</f>
        <v>428051.55098765466</v>
      </c>
      <c r="E341" s="919">
        <f>+E495</f>
        <v>453051.44811169017</v>
      </c>
      <c r="F341" s="517"/>
    </row>
    <row r="342" spans="1:6" ht="13">
      <c r="A342" s="1">
        <v>4622</v>
      </c>
      <c r="B342" s="2" t="s">
        <v>38</v>
      </c>
      <c r="C342" s="289">
        <f>VLOOKUP(A342,'K18'!$A$4:$BX$425,3,FALSE)</f>
        <v>8455</v>
      </c>
      <c r="D342" s="289">
        <f>VLOOKUP(A342,'K18'!$A$4:$BX$425,26,FALSE)</f>
        <v>232403</v>
      </c>
      <c r="E342" s="289">
        <f>VLOOKUP(A342,'K19'!$A$4:$BX$425,26,FALSE)</f>
        <v>234746</v>
      </c>
      <c r="F342" s="517"/>
    </row>
    <row r="343" spans="1:6" ht="13">
      <c r="A343" s="1">
        <v>4623</v>
      </c>
      <c r="B343" s="2" t="s">
        <v>40</v>
      </c>
      <c r="C343" s="289">
        <f>VLOOKUP(A343,'K18'!$A$4:$BX$425,3,FALSE)</f>
        <v>2463</v>
      </c>
      <c r="D343" s="289">
        <f>VLOOKUP(A343,'K18'!$A$4:$BX$425,26,FALSE)</f>
        <v>65455</v>
      </c>
      <c r="E343" s="289">
        <f>VLOOKUP(A343,'K19'!$A$4:$BX$425,26,FALSE)</f>
        <v>67380</v>
      </c>
      <c r="F343" s="517"/>
    </row>
    <row r="344" spans="1:6" ht="13">
      <c r="A344" s="878">
        <v>4624</v>
      </c>
      <c r="B344" s="883" t="s">
        <v>1634</v>
      </c>
      <c r="C344" s="919">
        <f>+C496</f>
        <v>24493</v>
      </c>
      <c r="D344" s="919">
        <f>+D496</f>
        <v>677975</v>
      </c>
      <c r="E344" s="919">
        <f>+E496</f>
        <v>706159</v>
      </c>
      <c r="F344" s="517"/>
    </row>
    <row r="345" spans="1:6" ht="13">
      <c r="A345" s="1">
        <v>4625</v>
      </c>
      <c r="B345" s="2" t="s">
        <v>41</v>
      </c>
      <c r="C345" s="289">
        <f>VLOOKUP(A345,'K18'!$A$4:$BX$425,3,FALSE)</f>
        <v>5189</v>
      </c>
      <c r="D345" s="289">
        <f>VLOOKUP(A345,'K18'!$A$4:$BX$425,26,FALSE)</f>
        <v>202389</v>
      </c>
      <c r="E345" s="289">
        <f>VLOOKUP(A345,'K19'!$A$4:$BX$425,26,FALSE)</f>
        <v>259138</v>
      </c>
      <c r="F345" s="517"/>
    </row>
    <row r="346" spans="1:6" ht="13">
      <c r="A346" s="878">
        <v>4626</v>
      </c>
      <c r="B346" s="883" t="s">
        <v>1635</v>
      </c>
      <c r="C346" s="919">
        <f>+C497</f>
        <v>37687</v>
      </c>
      <c r="D346" s="919">
        <f>+D497</f>
        <v>1041433</v>
      </c>
      <c r="E346" s="919">
        <f>+E497</f>
        <v>1088369</v>
      </c>
      <c r="F346" s="517"/>
    </row>
    <row r="347" spans="1:6" ht="13">
      <c r="A347" s="1">
        <v>4627</v>
      </c>
      <c r="B347" s="2" t="s">
        <v>44</v>
      </c>
      <c r="C347" s="289">
        <f>VLOOKUP(A347,'K18'!$A$4:$BX$425,3,FALSE)</f>
        <v>29071</v>
      </c>
      <c r="D347" s="289">
        <f>VLOOKUP(A347,'K18'!$A$4:$BX$425,26,FALSE)</f>
        <v>745203</v>
      </c>
      <c r="E347" s="289">
        <f>VLOOKUP(A347,'K19'!$A$4:$BX$425,26,FALSE)</f>
        <v>770143</v>
      </c>
      <c r="F347" s="517"/>
    </row>
    <row r="348" spans="1:6" ht="13">
      <c r="A348" s="1">
        <v>4628</v>
      </c>
      <c r="B348" s="2" t="s">
        <v>45</v>
      </c>
      <c r="C348" s="289">
        <f>VLOOKUP(A348,'K18'!$A$4:$BX$425,3,FALSE)</f>
        <v>4127</v>
      </c>
      <c r="D348" s="289">
        <f>VLOOKUP(A348,'K18'!$A$4:$BX$425,26,FALSE)</f>
        <v>107402</v>
      </c>
      <c r="E348" s="289">
        <f>VLOOKUP(A348,'K19'!$A$4:$BX$425,26,FALSE)</f>
        <v>109454</v>
      </c>
      <c r="F348" s="517"/>
    </row>
    <row r="349" spans="1:6" ht="13">
      <c r="A349" s="1">
        <v>4629</v>
      </c>
      <c r="B349" s="2" t="s">
        <v>46</v>
      </c>
      <c r="C349" s="289">
        <f>VLOOKUP(A349,'K18'!$A$4:$BX$425,3,FALSE)</f>
        <v>380</v>
      </c>
      <c r="D349" s="289">
        <f>VLOOKUP(A349,'K18'!$A$4:$BX$425,26,FALSE)</f>
        <v>24427</v>
      </c>
      <c r="E349" s="289">
        <f>VLOOKUP(A349,'K19'!$A$4:$BX$425,26,FALSE)</f>
        <v>27481</v>
      </c>
      <c r="F349" s="517"/>
    </row>
    <row r="350" spans="1:6" ht="13">
      <c r="A350" s="1">
        <v>4630</v>
      </c>
      <c r="B350" s="2" t="s">
        <v>47</v>
      </c>
      <c r="C350" s="289">
        <f>VLOOKUP(A350,'K18'!$A$4:$BX$425,3,FALSE)</f>
        <v>8125</v>
      </c>
      <c r="D350" s="289">
        <f>VLOOKUP(A350,'K18'!$A$4:$BX$425,26,FALSE)</f>
        <v>194818</v>
      </c>
      <c r="E350" s="289">
        <f>VLOOKUP(A350,'K19'!$A$4:$BX$425,26,FALSE)</f>
        <v>204329</v>
      </c>
      <c r="F350" s="517"/>
    </row>
    <row r="351" spans="1:6" ht="13">
      <c r="A351" s="878">
        <v>4631</v>
      </c>
      <c r="B351" s="883" t="s">
        <v>1636</v>
      </c>
      <c r="C351" s="919">
        <f>+C498</f>
        <v>28997</v>
      </c>
      <c r="D351" s="919">
        <f>+D498</f>
        <v>743913</v>
      </c>
      <c r="E351" s="919">
        <f>+E498</f>
        <v>793379</v>
      </c>
      <c r="F351" s="517"/>
    </row>
    <row r="352" spans="1:6" ht="13">
      <c r="A352" s="1">
        <v>4632</v>
      </c>
      <c r="B352" s="2" t="s">
        <v>55</v>
      </c>
      <c r="C352" s="289">
        <f>VLOOKUP(A352,'K18'!$A$4:$BX$425,3,FALSE)</f>
        <v>2902</v>
      </c>
      <c r="D352" s="289">
        <f>VLOOKUP(A352,'K18'!$A$4:$BX$425,26,FALSE)</f>
        <v>87553</v>
      </c>
      <c r="E352" s="289">
        <f>VLOOKUP(A352,'K19'!$A$4:$BX$425,26,FALSE)</f>
        <v>95029</v>
      </c>
      <c r="F352" s="517"/>
    </row>
    <row r="353" spans="1:6" ht="13">
      <c r="A353" s="1">
        <v>4633</v>
      </c>
      <c r="B353" s="2" t="s">
        <v>56</v>
      </c>
      <c r="C353" s="289">
        <f>VLOOKUP(A353,'K18'!$A$4:$BX$425,3,FALSE)</f>
        <v>561</v>
      </c>
      <c r="D353" s="289">
        <f>VLOOKUP(A353,'K18'!$A$4:$BX$425,26,FALSE)</f>
        <v>14691</v>
      </c>
      <c r="E353" s="289">
        <f>VLOOKUP(A353,'K19'!$A$4:$BX$425,26,FALSE)</f>
        <v>14851</v>
      </c>
      <c r="F353" s="517"/>
    </row>
    <row r="354" spans="1:6" ht="13">
      <c r="A354" s="1">
        <v>4634</v>
      </c>
      <c r="B354" s="2" t="s">
        <v>57</v>
      </c>
      <c r="C354" s="289">
        <f>VLOOKUP(A354,'K18'!$A$4:$BX$425,3,FALSE)</f>
        <v>1730</v>
      </c>
      <c r="D354" s="289">
        <f>VLOOKUP(A354,'K18'!$A$4:$BX$425,26,FALSE)</f>
        <v>55228</v>
      </c>
      <c r="E354" s="289">
        <f>VLOOKUP(A354,'K19'!$A$4:$BX$425,26,FALSE)</f>
        <v>58980</v>
      </c>
      <c r="F354" s="517"/>
    </row>
    <row r="355" spans="1:6" ht="13">
      <c r="A355" s="1">
        <v>4635</v>
      </c>
      <c r="B355" s="2" t="s">
        <v>59</v>
      </c>
      <c r="C355" s="289">
        <f>VLOOKUP(A355,'K18'!$A$4:$BX$425,3,FALSE)</f>
        <v>2345</v>
      </c>
      <c r="D355" s="289">
        <f>VLOOKUP(A355,'K18'!$A$4:$BX$425,26,FALSE)</f>
        <v>66356</v>
      </c>
      <c r="E355" s="289">
        <f>VLOOKUP(A355,'K19'!$A$4:$BX$425,26,FALSE)</f>
        <v>75568</v>
      </c>
      <c r="F355" s="517"/>
    </row>
    <row r="356" spans="1:6" ht="13">
      <c r="A356" s="1">
        <v>4636</v>
      </c>
      <c r="B356" s="2" t="s">
        <v>60</v>
      </c>
      <c r="C356" s="289">
        <f>VLOOKUP(A356,'K18'!$A$4:$BX$425,3,FALSE)</f>
        <v>807</v>
      </c>
      <c r="D356" s="289">
        <f>VLOOKUP(A356,'K18'!$A$4:$BX$425,26,FALSE)</f>
        <v>22900</v>
      </c>
      <c r="E356" s="289">
        <f>VLOOKUP(A356,'K19'!$A$4:$BX$425,26,FALSE)</f>
        <v>24412</v>
      </c>
      <c r="F356" s="517"/>
    </row>
    <row r="357" spans="1:6" ht="13">
      <c r="A357" s="1">
        <v>4637</v>
      </c>
      <c r="B357" s="2" t="s">
        <v>61</v>
      </c>
      <c r="C357" s="289">
        <f>VLOOKUP(A357,'K18'!$A$4:$BX$425,3,FALSE)</f>
        <v>1378</v>
      </c>
      <c r="D357" s="289">
        <f>VLOOKUP(A357,'K18'!$A$4:$BX$425,26,FALSE)</f>
        <v>35150</v>
      </c>
      <c r="E357" s="289">
        <f>VLOOKUP(A357,'K19'!$A$4:$BX$425,26,FALSE)</f>
        <v>38793</v>
      </c>
      <c r="F357" s="517"/>
    </row>
    <row r="358" spans="1:6" ht="13">
      <c r="A358" s="1">
        <v>4638</v>
      </c>
      <c r="B358" s="2" t="s">
        <v>62</v>
      </c>
      <c r="C358" s="289">
        <f>VLOOKUP(A358,'K18'!$A$4:$BX$425,3,FALSE)</f>
        <v>4154</v>
      </c>
      <c r="D358" s="289">
        <f>VLOOKUP(A358,'K18'!$A$4:$BX$425,26,FALSE)</f>
        <v>123136</v>
      </c>
      <c r="E358" s="289">
        <f>VLOOKUP(A358,'K19'!$A$4:$BX$425,26,FALSE)</f>
        <v>127918</v>
      </c>
      <c r="F358" s="517"/>
    </row>
    <row r="359" spans="1:6" ht="13">
      <c r="A359" s="1">
        <v>4639</v>
      </c>
      <c r="B359" s="2" t="s">
        <v>63</v>
      </c>
      <c r="C359" s="289">
        <f>VLOOKUP(A359,'K18'!$A$4:$BX$425,3,FALSE)</f>
        <v>2674</v>
      </c>
      <c r="D359" s="289">
        <f>VLOOKUP(A359,'K18'!$A$4:$BX$425,26,FALSE)</f>
        <v>82426</v>
      </c>
      <c r="E359" s="289">
        <f>VLOOKUP(A359,'K19'!$A$4:$BX$425,26,FALSE)</f>
        <v>83347</v>
      </c>
      <c r="F359" s="517"/>
    </row>
    <row r="360" spans="1:6" ht="13">
      <c r="A360" s="878">
        <v>4640</v>
      </c>
      <c r="B360" s="883" t="s">
        <v>1637</v>
      </c>
      <c r="C360" s="919">
        <f>+C499</f>
        <v>11571.098212020001</v>
      </c>
      <c r="D360" s="919">
        <f>+D499</f>
        <v>322024.87331593392</v>
      </c>
      <c r="E360" s="919">
        <f>+E499</f>
        <v>322538.65943564102</v>
      </c>
      <c r="F360" s="517"/>
    </row>
    <row r="361" spans="1:6" ht="13">
      <c r="A361" s="1">
        <v>4641</v>
      </c>
      <c r="B361" s="2" t="s">
        <v>67</v>
      </c>
      <c r="C361" s="289">
        <f>VLOOKUP(A361,'K18'!$A$4:$BX$425,3,FALSE)</f>
        <v>1778</v>
      </c>
      <c r="D361" s="289">
        <f>VLOOKUP(A361,'K18'!$A$4:$BX$425,26,FALSE)</f>
        <v>85477</v>
      </c>
      <c r="E361" s="289">
        <f>VLOOKUP(A361,'K19'!$A$4:$BX$425,26,FALSE)</f>
        <v>85938</v>
      </c>
      <c r="F361" s="517"/>
    </row>
    <row r="362" spans="1:6" ht="13">
      <c r="A362" s="1">
        <v>4642</v>
      </c>
      <c r="B362" s="2" t="s">
        <v>68</v>
      </c>
      <c r="C362" s="289">
        <f>VLOOKUP(A362,'K18'!$A$4:$BX$425,3,FALSE)</f>
        <v>2153</v>
      </c>
      <c r="D362" s="289">
        <f>VLOOKUP(A362,'K18'!$A$4:$BX$425,26,FALSE)</f>
        <v>75278</v>
      </c>
      <c r="E362" s="289">
        <f>VLOOKUP(A362,'K19'!$A$4:$BX$425,26,FALSE)</f>
        <v>75203</v>
      </c>
      <c r="F362" s="517"/>
    </row>
    <row r="363" spans="1:6" ht="13">
      <c r="A363" s="1">
        <v>4643</v>
      </c>
      <c r="B363" s="2" t="s">
        <v>69</v>
      </c>
      <c r="C363" s="289">
        <f>VLOOKUP(A363,'K18'!$A$4:$BX$425,3,FALSE)</f>
        <v>5277</v>
      </c>
      <c r="D363" s="289">
        <f>VLOOKUP(A363,'K18'!$A$4:$BX$425,26,FALSE)</f>
        <v>176906</v>
      </c>
      <c r="E363" s="289">
        <f>VLOOKUP(A363,'K19'!$A$4:$BX$425,26,FALSE)</f>
        <v>182474</v>
      </c>
      <c r="F363" s="517"/>
    </row>
    <row r="364" spans="1:6" ht="13">
      <c r="A364" s="1">
        <v>4644</v>
      </c>
      <c r="B364" s="2" t="s">
        <v>70</v>
      </c>
      <c r="C364" s="289">
        <f>VLOOKUP(A364,'K18'!$A$4:$BX$425,3,FALSE)</f>
        <v>5223</v>
      </c>
      <c r="D364" s="289">
        <f>VLOOKUP(A364,'K18'!$A$4:$BX$425,26,FALSE)</f>
        <v>159408</v>
      </c>
      <c r="E364" s="289">
        <f>VLOOKUP(A364,'K19'!$A$4:$BX$425,26,FALSE)</f>
        <v>160085</v>
      </c>
      <c r="F364" s="517"/>
    </row>
    <row r="365" spans="1:6" ht="13">
      <c r="A365" s="1">
        <v>4645</v>
      </c>
      <c r="B365" s="2" t="s">
        <v>71</v>
      </c>
      <c r="C365" s="289">
        <f>VLOOKUP(A365,'K18'!$A$4:$BX$425,3,FALSE)</f>
        <v>3052</v>
      </c>
      <c r="D365" s="289">
        <f>VLOOKUP(A365,'K18'!$A$4:$BX$425,26,FALSE)</f>
        <v>73539</v>
      </c>
      <c r="E365" s="289">
        <f>VLOOKUP(A365,'K19'!$A$4:$BX$425,26,FALSE)</f>
        <v>79054</v>
      </c>
      <c r="F365" s="517"/>
    </row>
    <row r="366" spans="1:6" ht="13">
      <c r="A366" s="1">
        <v>4646</v>
      </c>
      <c r="B366" s="2" t="s">
        <v>72</v>
      </c>
      <c r="C366" s="289">
        <f>VLOOKUP(A366,'K18'!$A$4:$BX$425,3,FALSE)</f>
        <v>2846</v>
      </c>
      <c r="D366" s="289">
        <f>VLOOKUP(A366,'K18'!$A$4:$BX$425,26,FALSE)</f>
        <v>63972</v>
      </c>
      <c r="E366" s="289">
        <f>VLOOKUP(A366,'K19'!$A$4:$BX$425,26,FALSE)</f>
        <v>67254</v>
      </c>
      <c r="F366" s="517"/>
    </row>
    <row r="367" spans="1:6" ht="13">
      <c r="A367" s="878">
        <v>4647</v>
      </c>
      <c r="B367" s="883" t="s">
        <v>1638</v>
      </c>
      <c r="C367" s="919">
        <f>+C500</f>
        <v>21963</v>
      </c>
      <c r="D367" s="919">
        <f>+D500</f>
        <v>609420</v>
      </c>
      <c r="E367" s="919">
        <f>+E500</f>
        <v>641641</v>
      </c>
      <c r="F367" s="517"/>
    </row>
    <row r="368" spans="1:6" ht="13">
      <c r="A368" s="1">
        <v>4648</v>
      </c>
      <c r="B368" s="2" t="s">
        <v>77</v>
      </c>
      <c r="C368" s="289">
        <f>VLOOKUP(A368,'K18'!$A$4:$BX$425,3,FALSE)</f>
        <v>3767</v>
      </c>
      <c r="D368" s="289">
        <f>VLOOKUP(A368,'K18'!$A$4:$BX$425,26,FALSE)</f>
        <v>105303</v>
      </c>
      <c r="E368" s="289">
        <f>VLOOKUP(A368,'K19'!$A$4:$BX$425,26,FALSE)</f>
        <v>108267</v>
      </c>
      <c r="F368" s="517"/>
    </row>
    <row r="369" spans="1:6" ht="13">
      <c r="A369" s="878">
        <v>4649</v>
      </c>
      <c r="B369" s="883" t="s">
        <v>1639</v>
      </c>
      <c r="C369" s="919">
        <f>+C501</f>
        <v>9429.9260508000007</v>
      </c>
      <c r="D369" s="919">
        <f>+D501</f>
        <v>236944.61148577908</v>
      </c>
      <c r="E369" s="919">
        <f>+E501</f>
        <v>249113.38413126545</v>
      </c>
      <c r="F369" s="517"/>
    </row>
    <row r="370" spans="1:6" ht="13">
      <c r="A370" s="1">
        <v>4650</v>
      </c>
      <c r="B370" s="2" t="s">
        <v>82</v>
      </c>
      <c r="C370" s="289">
        <f>VLOOKUP(A370,'K18'!$A$4:$BX$425,3,FALSE)</f>
        <v>5874</v>
      </c>
      <c r="D370" s="289">
        <f>VLOOKUP(A370,'K18'!$A$4:$BX$425,26,FALSE)</f>
        <v>169864</v>
      </c>
      <c r="E370" s="289">
        <f>VLOOKUP(A370,'K19'!$A$4:$BX$425,26,FALSE)</f>
        <v>156649</v>
      </c>
      <c r="F370" s="517"/>
    </row>
    <row r="371" spans="1:6" ht="13">
      <c r="A371" s="1">
        <v>4651</v>
      </c>
      <c r="B371" s="2" t="s">
        <v>83</v>
      </c>
      <c r="C371" s="289">
        <f>VLOOKUP(A371,'K18'!$A$4:$BX$425,3,FALSE)</f>
        <v>7195</v>
      </c>
      <c r="D371" s="289">
        <f>VLOOKUP(A371,'K18'!$A$4:$BX$425,26,FALSE)</f>
        <v>181528</v>
      </c>
      <c r="E371" s="289">
        <f>VLOOKUP(A371,'K19'!$A$4:$BX$425,26,FALSE)</f>
        <v>190496</v>
      </c>
      <c r="F371" s="517"/>
    </row>
    <row r="372" spans="1:6" ht="13">
      <c r="A372" s="1">
        <v>5001</v>
      </c>
      <c r="B372" s="2" t="s">
        <v>118</v>
      </c>
      <c r="C372" s="289">
        <f>VLOOKUP(A372,'K18'!$A$4:$BX$425,3,FALSE)</f>
        <v>193501</v>
      </c>
      <c r="D372" s="289">
        <f>VLOOKUP(A372,'K18'!$A$4:$BX$425,26,FALSE)</f>
        <v>6030359</v>
      </c>
      <c r="E372" s="289">
        <f>VLOOKUP(A372,'K19'!$A$4:$BX$425,26,FALSE)</f>
        <v>6305500</v>
      </c>
      <c r="F372" s="517"/>
    </row>
    <row r="373" spans="1:6" ht="13">
      <c r="A373" s="1">
        <v>5004</v>
      </c>
      <c r="B373" s="2" t="s">
        <v>144</v>
      </c>
      <c r="C373" s="289">
        <f>VLOOKUP(A373,'K18'!$A$4:$BX$425,3,FALSE)</f>
        <v>22096</v>
      </c>
      <c r="D373" s="289">
        <f>VLOOKUP(A373,'K18'!$A$4:$BX$425,26,FALSE)</f>
        <v>507896</v>
      </c>
      <c r="E373" s="289">
        <f>VLOOKUP(A373,'K19'!$A$4:$BX$425,26,FALSE)</f>
        <v>521680</v>
      </c>
      <c r="F373" s="517"/>
    </row>
    <row r="374" spans="1:6" ht="13">
      <c r="A374" s="1">
        <v>5005</v>
      </c>
      <c r="B374" s="2" t="s">
        <v>145</v>
      </c>
      <c r="C374" s="289">
        <f>VLOOKUP(A374,'K18'!$A$4:$BX$425,3,FALSE)</f>
        <v>13078</v>
      </c>
      <c r="D374" s="289">
        <f>VLOOKUP(A374,'K18'!$A$4:$BX$425,26,FALSE)</f>
        <v>318589</v>
      </c>
      <c r="E374" s="289">
        <f>VLOOKUP(A374,'K19'!$A$4:$BX$425,26,FALSE)</f>
        <v>338235</v>
      </c>
      <c r="F374" s="517"/>
    </row>
    <row r="375" spans="1:6" ht="13">
      <c r="A375" s="878">
        <v>5006</v>
      </c>
      <c r="B375" s="883" t="s">
        <v>1640</v>
      </c>
      <c r="C375" s="919">
        <f t="shared" ref="C375:E376" si="7">+C502</f>
        <v>24501.918089570001</v>
      </c>
      <c r="D375" s="919">
        <f t="shared" si="7"/>
        <v>556543.28310033213</v>
      </c>
      <c r="E375" s="919">
        <f t="shared" si="7"/>
        <v>573022.16683646443</v>
      </c>
      <c r="F375" s="517"/>
    </row>
    <row r="376" spans="1:6" ht="13">
      <c r="A376" s="878">
        <v>5007</v>
      </c>
      <c r="B376" s="883" t="s">
        <v>1641</v>
      </c>
      <c r="C376" s="919">
        <f t="shared" si="7"/>
        <v>15331.956649670001</v>
      </c>
      <c r="D376" s="919">
        <f t="shared" si="7"/>
        <v>364395.08826999209</v>
      </c>
      <c r="E376" s="919">
        <f t="shared" si="7"/>
        <v>387783.82208709297</v>
      </c>
      <c r="F376" s="517"/>
    </row>
    <row r="377" spans="1:6" ht="13">
      <c r="A377" s="1">
        <v>5011</v>
      </c>
      <c r="B377" s="2" t="s">
        <v>119</v>
      </c>
      <c r="C377" s="289">
        <f>VLOOKUP(A377,'K18'!$A$4:$BX$425,3,FALSE)</f>
        <v>4225</v>
      </c>
      <c r="D377" s="289">
        <f>VLOOKUP(A377,'K18'!$A$4:$BX$425,26,FALSE)</f>
        <v>111639</v>
      </c>
      <c r="E377" s="289">
        <f>VLOOKUP(A377,'K19'!$A$4:$BX$425,26,FALSE)</f>
        <v>118012</v>
      </c>
      <c r="F377" s="517"/>
    </row>
    <row r="378" spans="1:6" ht="13">
      <c r="A378" s="1">
        <v>5012</v>
      </c>
      <c r="B378" s="2" t="s">
        <v>120</v>
      </c>
      <c r="C378" s="289">
        <f>VLOOKUP(A378,'K18'!$A$4:$BX$425,3,FALSE)</f>
        <v>987</v>
      </c>
      <c r="D378" s="289">
        <f>VLOOKUP(A378,'K18'!$A$4:$BX$425,26,FALSE)</f>
        <v>25630</v>
      </c>
      <c r="E378" s="289">
        <f>VLOOKUP(A378,'K19'!$A$4:$BX$425,26,FALSE)</f>
        <v>28822</v>
      </c>
      <c r="F378" s="517"/>
    </row>
    <row r="379" spans="1:6" ht="13">
      <c r="A379" s="1">
        <v>5013</v>
      </c>
      <c r="B379" s="2" t="s">
        <v>121</v>
      </c>
      <c r="C379" s="289">
        <f>VLOOKUP(A379,'K18'!$A$4:$BX$425,3,FALSE)</f>
        <v>4648</v>
      </c>
      <c r="D379" s="289">
        <f>VLOOKUP(A379,'K18'!$A$4:$BX$425,26,FALSE)</f>
        <v>114744</v>
      </c>
      <c r="E379" s="289">
        <f>VLOOKUP(A379,'K19'!$A$4:$BX$425,26,FALSE)</f>
        <v>122556</v>
      </c>
      <c r="F379" s="517"/>
    </row>
    <row r="380" spans="1:6" ht="13">
      <c r="A380" s="1">
        <v>5014</v>
      </c>
      <c r="B380" s="2" t="s">
        <v>122</v>
      </c>
      <c r="C380" s="289">
        <f>VLOOKUP(A380,'K18'!$A$4:$BX$425,3,FALSE)</f>
        <v>4962</v>
      </c>
      <c r="D380" s="289">
        <f>VLOOKUP(A380,'K18'!$A$4:$BX$425,26,FALSE)</f>
        <v>199096</v>
      </c>
      <c r="E380" s="289">
        <f>VLOOKUP(A380,'K19'!$A$4:$BX$425,26,FALSE)</f>
        <v>198503</v>
      </c>
      <c r="F380" s="517"/>
    </row>
    <row r="381" spans="1:6" ht="13">
      <c r="A381" s="1">
        <v>5015</v>
      </c>
      <c r="B381" s="2" t="s">
        <v>123</v>
      </c>
      <c r="C381" s="289">
        <f>VLOOKUP(A381,'K18'!$A$4:$BX$425,3,FALSE)</f>
        <v>5351</v>
      </c>
      <c r="D381" s="289">
        <f>VLOOKUP(A381,'K18'!$A$4:$BX$425,26,FALSE)</f>
        <v>140446</v>
      </c>
      <c r="E381" s="289">
        <f>VLOOKUP(A381,'K19'!$A$4:$BX$425,26,FALSE)</f>
        <v>144343</v>
      </c>
      <c r="F381" s="517"/>
    </row>
    <row r="382" spans="1:6" ht="13">
      <c r="A382" s="1">
        <v>5016</v>
      </c>
      <c r="B382" s="2" t="s">
        <v>124</v>
      </c>
      <c r="C382" s="289">
        <f>VLOOKUP(A382,'K18'!$A$4:$BX$425,3,FALSE)</f>
        <v>1684</v>
      </c>
      <c r="D382" s="289">
        <f>VLOOKUP(A382,'K18'!$A$4:$BX$425,26,FALSE)</f>
        <v>36630</v>
      </c>
      <c r="E382" s="289">
        <f>VLOOKUP(A382,'K19'!$A$4:$BX$425,26,FALSE)</f>
        <v>39471</v>
      </c>
      <c r="F382" s="517"/>
    </row>
    <row r="383" spans="1:6" ht="13">
      <c r="A383" s="1">
        <v>5017</v>
      </c>
      <c r="B383" s="2" t="s">
        <v>126</v>
      </c>
      <c r="C383" s="289">
        <f>VLOOKUP(A383,'K18'!$A$4:$BX$425,3,FALSE)</f>
        <v>4864</v>
      </c>
      <c r="D383" s="289">
        <f>VLOOKUP(A383,'K18'!$A$4:$BX$425,26,FALSE)</f>
        <v>111956</v>
      </c>
      <c r="E383" s="289">
        <f>VLOOKUP(A383,'K19'!$A$4:$BX$425,26,FALSE)</f>
        <v>117097</v>
      </c>
      <c r="F383" s="517"/>
    </row>
    <row r="384" spans="1:6" ht="13">
      <c r="A384" s="1">
        <v>5018</v>
      </c>
      <c r="B384" s="2" t="s">
        <v>127</v>
      </c>
      <c r="C384" s="289">
        <f>VLOOKUP(A384,'K18'!$A$4:$BX$425,3,FALSE)</f>
        <v>3277</v>
      </c>
      <c r="D384" s="289">
        <f>VLOOKUP(A384,'K18'!$A$4:$BX$425,26,FALSE)</f>
        <v>84883</v>
      </c>
      <c r="E384" s="289">
        <f>VLOOKUP(A384,'K19'!$A$4:$BX$425,26,FALSE)</f>
        <v>88086</v>
      </c>
      <c r="F384" s="517"/>
    </row>
    <row r="385" spans="1:6" ht="13">
      <c r="A385" s="1">
        <v>5019</v>
      </c>
      <c r="B385" s="2" t="s">
        <v>128</v>
      </c>
      <c r="C385" s="289">
        <f>VLOOKUP(A385,'K18'!$A$4:$BX$425,3,FALSE)</f>
        <v>953</v>
      </c>
      <c r="D385" s="289">
        <f>VLOOKUP(A385,'K18'!$A$4:$BX$425,26,FALSE)</f>
        <v>20843</v>
      </c>
      <c r="E385" s="289">
        <f>VLOOKUP(A385,'K19'!$A$4:$BX$425,26,FALSE)</f>
        <v>23926</v>
      </c>
      <c r="F385" s="517"/>
    </row>
    <row r="386" spans="1:6" ht="13">
      <c r="A386" s="1">
        <v>5020</v>
      </c>
      <c r="B386" s="2" t="s">
        <v>129</v>
      </c>
      <c r="C386" s="289">
        <f>VLOOKUP(A386,'K18'!$A$4:$BX$425,3,FALSE)</f>
        <v>967</v>
      </c>
      <c r="D386" s="289">
        <f>VLOOKUP(A386,'K18'!$A$4:$BX$425,26,FALSE)</f>
        <v>20690</v>
      </c>
      <c r="E386" s="289">
        <f>VLOOKUP(A386,'K19'!$A$4:$BX$425,26,FALSE)</f>
        <v>22381</v>
      </c>
      <c r="F386" s="517"/>
    </row>
    <row r="387" spans="1:6" ht="13">
      <c r="A387" s="1">
        <v>5021</v>
      </c>
      <c r="B387" s="2" t="s">
        <v>130</v>
      </c>
      <c r="C387" s="289">
        <f>VLOOKUP(A387,'K18'!$A$4:$BX$425,3,FALSE)</f>
        <v>6970</v>
      </c>
      <c r="D387" s="289">
        <f>VLOOKUP(A387,'K18'!$A$4:$BX$425,26,FALSE)</f>
        <v>174333</v>
      </c>
      <c r="E387" s="289">
        <f>VLOOKUP(A387,'K19'!$A$4:$BX$425,26,FALSE)</f>
        <v>183551</v>
      </c>
      <c r="F387" s="517"/>
    </row>
    <row r="388" spans="1:6" ht="13">
      <c r="A388" s="1">
        <v>5022</v>
      </c>
      <c r="B388" s="2" t="s">
        <v>131</v>
      </c>
      <c r="C388" s="289">
        <f>VLOOKUP(A388,'K18'!$A$4:$BX$425,3,FALSE)</f>
        <v>2541</v>
      </c>
      <c r="D388" s="289">
        <f>VLOOKUP(A388,'K18'!$A$4:$BX$425,26,FALSE)</f>
        <v>60864</v>
      </c>
      <c r="E388" s="289">
        <f>VLOOKUP(A388,'K19'!$A$4:$BX$425,26,FALSE)</f>
        <v>60102</v>
      </c>
      <c r="F388" s="517"/>
    </row>
    <row r="389" spans="1:6" ht="13">
      <c r="A389" s="1">
        <v>5023</v>
      </c>
      <c r="B389" s="2" t="s">
        <v>132</v>
      </c>
      <c r="C389" s="289">
        <f>VLOOKUP(A389,'K18'!$A$4:$BX$425,3,FALSE)</f>
        <v>3930</v>
      </c>
      <c r="D389" s="289">
        <f>VLOOKUP(A389,'K18'!$A$4:$BX$425,26,FALSE)</f>
        <v>88373</v>
      </c>
      <c r="E389" s="289">
        <f>VLOOKUP(A389,'K19'!$A$4:$BX$425,26,FALSE)</f>
        <v>94349</v>
      </c>
      <c r="F389" s="517"/>
    </row>
    <row r="390" spans="1:6" ht="13">
      <c r="A390" s="1">
        <v>5024</v>
      </c>
      <c r="B390" s="2" t="s">
        <v>133</v>
      </c>
      <c r="C390" s="289">
        <f>VLOOKUP(A390,'K18'!$A$4:$BX$425,3,FALSE)</f>
        <v>11933</v>
      </c>
      <c r="D390" s="289">
        <f>VLOOKUP(A390,'K18'!$A$4:$BX$425,26,FALSE)</f>
        <v>289138</v>
      </c>
      <c r="E390" s="289">
        <f>VLOOKUP(A390,'K19'!$A$4:$BX$425,26,FALSE)</f>
        <v>309448</v>
      </c>
      <c r="F390" s="517"/>
    </row>
    <row r="391" spans="1:6" ht="13">
      <c r="A391" s="1">
        <v>5025</v>
      </c>
      <c r="B391" s="2" t="s">
        <v>134</v>
      </c>
      <c r="C391" s="289">
        <f>VLOOKUP(A391,'K18'!$A$4:$BX$425,3,FALSE)</f>
        <v>5663</v>
      </c>
      <c r="D391" s="289">
        <f>VLOOKUP(A391,'K18'!$A$4:$BX$425,26,FALSE)</f>
        <v>150634</v>
      </c>
      <c r="E391" s="289">
        <f>VLOOKUP(A391,'K19'!$A$4:$BX$425,26,FALSE)</f>
        <v>152303</v>
      </c>
      <c r="F391" s="517"/>
    </row>
    <row r="392" spans="1:6" ht="13">
      <c r="A392" s="1">
        <v>5026</v>
      </c>
      <c r="B392" s="2" t="s">
        <v>135</v>
      </c>
      <c r="C392" s="289">
        <f>VLOOKUP(A392,'K18'!$A$4:$BX$425,3,FALSE)</f>
        <v>2028</v>
      </c>
      <c r="D392" s="289">
        <f>VLOOKUP(A392,'K18'!$A$4:$BX$425,26,FALSE)</f>
        <v>42917</v>
      </c>
      <c r="E392" s="289">
        <f>VLOOKUP(A392,'K19'!$A$4:$BX$425,26,FALSE)</f>
        <v>44918</v>
      </c>
      <c r="F392" s="517"/>
    </row>
    <row r="393" spans="1:6" ht="13">
      <c r="A393" s="1">
        <v>5027</v>
      </c>
      <c r="B393" s="2" t="s">
        <v>136</v>
      </c>
      <c r="C393" s="289">
        <f>VLOOKUP(A393,'K18'!$A$4:$BX$425,3,FALSE)</f>
        <v>6225</v>
      </c>
      <c r="D393" s="289">
        <f>VLOOKUP(A393,'K18'!$A$4:$BX$425,26,FALSE)</f>
        <v>138350</v>
      </c>
      <c r="E393" s="289">
        <f>VLOOKUP(A393,'K19'!$A$4:$BX$425,26,FALSE)</f>
        <v>142650</v>
      </c>
      <c r="F393" s="517"/>
    </row>
    <row r="394" spans="1:6" ht="13">
      <c r="A394" s="1">
        <v>5028</v>
      </c>
      <c r="B394" s="2" t="s">
        <v>137</v>
      </c>
      <c r="C394" s="289">
        <f>VLOOKUP(A394,'K18'!$A$4:$BX$425,3,FALSE)</f>
        <v>16424</v>
      </c>
      <c r="D394" s="289">
        <f>VLOOKUP(A394,'K18'!$A$4:$BX$425,26,FALSE)</f>
        <v>405508</v>
      </c>
      <c r="E394" s="289">
        <f>VLOOKUP(A394,'K19'!$A$4:$BX$425,26,FALSE)</f>
        <v>424578</v>
      </c>
      <c r="F394" s="517"/>
    </row>
    <row r="395" spans="1:6" ht="13">
      <c r="A395" s="1">
        <v>5029</v>
      </c>
      <c r="B395" s="2" t="s">
        <v>138</v>
      </c>
      <c r="C395" s="289">
        <f>VLOOKUP(A395,'K18'!$A$4:$BX$425,3,FALSE)</f>
        <v>8142</v>
      </c>
      <c r="D395" s="289">
        <f>VLOOKUP(A395,'K18'!$A$4:$BX$425,26,FALSE)</f>
        <v>194457</v>
      </c>
      <c r="E395" s="289">
        <f>VLOOKUP(A395,'K19'!$A$4:$BX$425,26,FALSE)</f>
        <v>202229</v>
      </c>
      <c r="F395" s="517"/>
    </row>
    <row r="396" spans="1:6" ht="13">
      <c r="A396" s="1">
        <v>5030</v>
      </c>
      <c r="B396" s="2" t="s">
        <v>139</v>
      </c>
      <c r="C396" s="289">
        <f>VLOOKUP(A396,'K18'!$A$4:$BX$425,3,FALSE)</f>
        <v>6094</v>
      </c>
      <c r="D396" s="289">
        <f>VLOOKUP(A396,'K18'!$A$4:$BX$425,26,FALSE)</f>
        <v>151440</v>
      </c>
      <c r="E396" s="289">
        <f>VLOOKUP(A396,'K19'!$A$4:$BX$425,26,FALSE)</f>
        <v>160472</v>
      </c>
      <c r="F396" s="517"/>
    </row>
    <row r="397" spans="1:6" ht="13">
      <c r="A397" s="1">
        <v>5031</v>
      </c>
      <c r="B397" s="2" t="s">
        <v>141</v>
      </c>
      <c r="C397" s="289">
        <f>VLOOKUP(A397,'K18'!$A$4:$BX$425,3,FALSE)</f>
        <v>13958</v>
      </c>
      <c r="D397" s="289">
        <f>VLOOKUP(A397,'K18'!$A$4:$BX$425,26,FALSE)</f>
        <v>397644</v>
      </c>
      <c r="E397" s="289">
        <f>VLOOKUP(A397,'K19'!$A$4:$BX$425,26,FALSE)</f>
        <v>412157</v>
      </c>
      <c r="F397" s="517"/>
    </row>
    <row r="398" spans="1:6" ht="13">
      <c r="A398" s="1">
        <v>5032</v>
      </c>
      <c r="B398" s="2" t="s">
        <v>142</v>
      </c>
      <c r="C398" s="289">
        <f>VLOOKUP(A398,'K18'!$A$4:$BX$425,3,FALSE)</f>
        <v>4093</v>
      </c>
      <c r="D398" s="289">
        <f>VLOOKUP(A398,'K18'!$A$4:$BX$425,26,FALSE)</f>
        <v>97338</v>
      </c>
      <c r="E398" s="289">
        <f>VLOOKUP(A398,'K19'!$A$4:$BX$425,26,FALSE)</f>
        <v>100209</v>
      </c>
      <c r="F398" s="517"/>
    </row>
    <row r="399" spans="1:6" ht="13">
      <c r="A399" s="1">
        <v>5033</v>
      </c>
      <c r="B399" s="2" t="s">
        <v>143</v>
      </c>
      <c r="C399" s="289">
        <f>VLOOKUP(A399,'K18'!$A$4:$BX$425,3,FALSE)</f>
        <v>834</v>
      </c>
      <c r="D399" s="289">
        <f>VLOOKUP(A399,'K18'!$A$4:$BX$425,26,FALSE)</f>
        <v>34850</v>
      </c>
      <c r="E399" s="289">
        <f>VLOOKUP(A399,'K19'!$A$4:$BX$425,26,FALSE)</f>
        <v>35054</v>
      </c>
      <c r="F399" s="517"/>
    </row>
    <row r="400" spans="1:6" ht="13">
      <c r="A400" s="1">
        <v>5034</v>
      </c>
      <c r="B400" s="2" t="s">
        <v>146</v>
      </c>
      <c r="C400" s="289">
        <f>VLOOKUP(A400,'K18'!$A$4:$BX$425,3,FALSE)</f>
        <v>2469</v>
      </c>
      <c r="D400" s="289">
        <f>VLOOKUP(A400,'K18'!$A$4:$BX$425,26,FALSE)</f>
        <v>57823</v>
      </c>
      <c r="E400" s="289">
        <f>VLOOKUP(A400,'K19'!$A$4:$BX$425,26,FALSE)</f>
        <v>57334</v>
      </c>
      <c r="F400" s="517"/>
    </row>
    <row r="401" spans="1:6" ht="13">
      <c r="A401" s="1">
        <v>5035</v>
      </c>
      <c r="B401" s="2" t="s">
        <v>147</v>
      </c>
      <c r="C401" s="289">
        <f>VLOOKUP(A401,'K18'!$A$4:$BX$425,3,FALSE)</f>
        <v>23964</v>
      </c>
      <c r="D401" s="289">
        <f>VLOOKUP(A401,'K18'!$A$4:$BX$425,26,FALSE)</f>
        <v>597732</v>
      </c>
      <c r="E401" s="289">
        <f>VLOOKUP(A401,'K19'!$A$4:$BX$425,26,FALSE)</f>
        <v>615174</v>
      </c>
      <c r="F401" s="517"/>
    </row>
    <row r="402" spans="1:6" ht="13">
      <c r="A402" s="1">
        <v>5036</v>
      </c>
      <c r="B402" s="2" t="s">
        <v>148</v>
      </c>
      <c r="C402" s="289">
        <f>VLOOKUP(A402,'K18'!$A$4:$BX$425,3,FALSE)</f>
        <v>2616</v>
      </c>
      <c r="D402" s="289">
        <f>VLOOKUP(A402,'K18'!$A$4:$BX$425,26,FALSE)</f>
        <v>57821</v>
      </c>
      <c r="E402" s="289">
        <f>VLOOKUP(A402,'K19'!$A$4:$BX$425,26,FALSE)</f>
        <v>57477</v>
      </c>
      <c r="F402" s="517"/>
    </row>
    <row r="403" spans="1:6" ht="13">
      <c r="A403" s="1">
        <v>5037</v>
      </c>
      <c r="B403" s="2" t="s">
        <v>150</v>
      </c>
      <c r="C403" s="289">
        <f>VLOOKUP(A403,'K18'!$A$4:$BX$425,3,FALSE)</f>
        <v>20115</v>
      </c>
      <c r="D403" s="289">
        <f>VLOOKUP(A403,'K18'!$A$4:$BX$425,26,FALSE)</f>
        <v>490350</v>
      </c>
      <c r="E403" s="289">
        <f>VLOOKUP(A403,'K19'!$A$4:$BX$425,26,FALSE)</f>
        <v>515645</v>
      </c>
      <c r="F403" s="517"/>
    </row>
    <row r="404" spans="1:6" ht="13">
      <c r="A404" s="1">
        <v>5038</v>
      </c>
      <c r="B404" s="2" t="s">
        <v>151</v>
      </c>
      <c r="C404" s="289">
        <f>VLOOKUP(A404,'K18'!$A$4:$BX$425,3,FALSE)</f>
        <v>14943</v>
      </c>
      <c r="D404" s="289">
        <f>VLOOKUP(A404,'K18'!$A$4:$BX$425,26,FALSE)</f>
        <v>334369</v>
      </c>
      <c r="E404" s="289">
        <f>VLOOKUP(A404,'K19'!$A$4:$BX$425,26,FALSE)</f>
        <v>344409</v>
      </c>
      <c r="F404" s="517"/>
    </row>
    <row r="405" spans="1:6" ht="13">
      <c r="A405" s="1">
        <v>5039</v>
      </c>
      <c r="B405" s="2" t="s">
        <v>153</v>
      </c>
      <c r="C405" s="289">
        <f>VLOOKUP(A405,'K18'!$A$4:$BX$425,3,FALSE)</f>
        <v>2473</v>
      </c>
      <c r="D405" s="289">
        <f>VLOOKUP(A405,'K18'!$A$4:$BX$425,26,FALSE)</f>
        <v>50171</v>
      </c>
      <c r="E405" s="289">
        <f>VLOOKUP(A405,'K19'!$A$4:$BX$425,26,FALSE)</f>
        <v>52911</v>
      </c>
      <c r="F405" s="517"/>
    </row>
    <row r="406" spans="1:6" ht="13">
      <c r="A406" s="1">
        <v>5040</v>
      </c>
      <c r="B406" s="2" t="s">
        <v>154</v>
      </c>
      <c r="C406" s="289">
        <f>VLOOKUP(A406,'K18'!$A$4:$BX$425,3,FALSE)</f>
        <v>1585</v>
      </c>
      <c r="D406" s="289">
        <f>VLOOKUP(A406,'K18'!$A$4:$BX$425,26,FALSE)</f>
        <v>32121</v>
      </c>
      <c r="E406" s="289">
        <f>VLOOKUP(A406,'K19'!$A$4:$BX$425,26,FALSE)</f>
        <v>35949</v>
      </c>
      <c r="F406" s="517"/>
    </row>
    <row r="407" spans="1:6" ht="13">
      <c r="A407" s="1">
        <v>5041</v>
      </c>
      <c r="B407" s="2" t="s">
        <v>156</v>
      </c>
      <c r="C407" s="289">
        <f>VLOOKUP(A407,'K18'!$A$4:$BX$425,3,FALSE)</f>
        <v>2094</v>
      </c>
      <c r="D407" s="289">
        <f>VLOOKUP(A407,'K18'!$A$4:$BX$425,26,FALSE)</f>
        <v>43014</v>
      </c>
      <c r="E407" s="289">
        <f>VLOOKUP(A407,'K19'!$A$4:$BX$425,26,FALSE)</f>
        <v>45037</v>
      </c>
      <c r="F407" s="517"/>
    </row>
    <row r="408" spans="1:6" ht="13">
      <c r="A408" s="1">
        <v>5042</v>
      </c>
      <c r="B408" s="2" t="s">
        <v>157</v>
      </c>
      <c r="C408" s="289">
        <f>VLOOKUP(A408,'K18'!$A$4:$BX$425,3,FALSE)</f>
        <v>1379</v>
      </c>
      <c r="D408" s="289">
        <f>VLOOKUP(A408,'K18'!$A$4:$BX$425,26,FALSE)</f>
        <v>31031</v>
      </c>
      <c r="E408" s="289">
        <f>VLOOKUP(A408,'K19'!$A$4:$BX$425,26,FALSE)</f>
        <v>33722</v>
      </c>
      <c r="F408" s="517"/>
    </row>
    <row r="409" spans="1:6" ht="13">
      <c r="A409" s="1">
        <v>5043</v>
      </c>
      <c r="B409" s="2" t="s">
        <v>164</v>
      </c>
      <c r="C409" s="289">
        <f>VLOOKUP(A409,'K18'!$A$4:$BX$425,3,FALSE)</f>
        <v>474</v>
      </c>
      <c r="D409" s="289">
        <f>VLOOKUP(A409,'K18'!$A$4:$BX$425,26,FALSE)</f>
        <v>13341</v>
      </c>
      <c r="E409" s="289">
        <f>VLOOKUP(A409,'K19'!$A$4:$BX$425,26,FALSE)</f>
        <v>11848</v>
      </c>
      <c r="F409" s="517"/>
    </row>
    <row r="410" spans="1:6" ht="13">
      <c r="A410" s="1">
        <v>5044</v>
      </c>
      <c r="B410" s="2" t="s">
        <v>165</v>
      </c>
      <c r="C410" s="289">
        <f>VLOOKUP(A410,'K18'!$A$4:$BX$425,3,FALSE)</f>
        <v>902</v>
      </c>
      <c r="D410" s="289">
        <f>VLOOKUP(A410,'K18'!$A$4:$BX$425,26,FALSE)</f>
        <v>29002</v>
      </c>
      <c r="E410" s="289">
        <f>VLOOKUP(A410,'K19'!$A$4:$BX$425,26,FALSE)</f>
        <v>29273</v>
      </c>
      <c r="F410" s="517"/>
    </row>
    <row r="411" spans="1:6" ht="13">
      <c r="A411" s="1">
        <v>5045</v>
      </c>
      <c r="B411" s="2" t="s">
        <v>166</v>
      </c>
      <c r="C411" s="289">
        <f>VLOOKUP(A411,'K18'!$A$4:$BX$425,3,FALSE)</f>
        <v>2400</v>
      </c>
      <c r="D411" s="289">
        <f>VLOOKUP(A411,'K18'!$A$4:$BX$425,26,FALSE)</f>
        <v>62432</v>
      </c>
      <c r="E411" s="289">
        <f>VLOOKUP(A411,'K19'!$A$4:$BX$425,26,FALSE)</f>
        <v>64293</v>
      </c>
      <c r="F411" s="517"/>
    </row>
    <row r="412" spans="1:6" ht="13">
      <c r="A412" s="1">
        <v>5046</v>
      </c>
      <c r="B412" s="2" t="s">
        <v>167</v>
      </c>
      <c r="C412" s="289">
        <f>VLOOKUP(A412,'K18'!$A$4:$BX$425,3,FALSE)</f>
        <v>1268</v>
      </c>
      <c r="D412" s="289">
        <f>VLOOKUP(A412,'K18'!$A$4:$BX$425,26,FALSE)</f>
        <v>26225</v>
      </c>
      <c r="E412" s="289">
        <f>VLOOKUP(A412,'K19'!$A$4:$BX$425,26,FALSE)</f>
        <v>27502</v>
      </c>
      <c r="F412" s="517"/>
    </row>
    <row r="413" spans="1:6" ht="13">
      <c r="A413" s="1">
        <v>5047</v>
      </c>
      <c r="B413" s="2" t="s">
        <v>168</v>
      </c>
      <c r="C413" s="289">
        <f>VLOOKUP(A413,'K18'!$A$4:$BX$425,3,FALSE)</f>
        <v>3845</v>
      </c>
      <c r="D413" s="289">
        <f>VLOOKUP(A413,'K18'!$A$4:$BX$425,26,FALSE)</f>
        <v>93345</v>
      </c>
      <c r="E413" s="289">
        <f>VLOOKUP(A413,'K19'!$A$4:$BX$425,26,FALSE)</f>
        <v>93413</v>
      </c>
      <c r="F413" s="517"/>
    </row>
    <row r="414" spans="1:6" ht="13">
      <c r="A414" s="1">
        <v>5048</v>
      </c>
      <c r="B414" s="2" t="s">
        <v>169</v>
      </c>
      <c r="C414" s="289">
        <f>VLOOKUP(A414,'K18'!$A$4:$BX$425,3,FALSE)</f>
        <v>618</v>
      </c>
      <c r="D414" s="289">
        <f>VLOOKUP(A414,'K18'!$A$4:$BX$425,26,FALSE)</f>
        <v>12474</v>
      </c>
      <c r="E414" s="289">
        <f>VLOOKUP(A414,'K19'!$A$4:$BX$425,26,FALSE)</f>
        <v>12311</v>
      </c>
      <c r="F414" s="517"/>
    </row>
    <row r="415" spans="1:6" ht="13">
      <c r="A415" s="1">
        <v>5049</v>
      </c>
      <c r="B415" s="2" t="s">
        <v>170</v>
      </c>
      <c r="C415" s="289">
        <f>VLOOKUP(A415,'K18'!$A$4:$BX$425,3,FALSE)</f>
        <v>1105</v>
      </c>
      <c r="D415" s="289">
        <f>VLOOKUP(A415,'K18'!$A$4:$BX$425,26,FALSE)</f>
        <v>29062</v>
      </c>
      <c r="E415" s="289">
        <f>VLOOKUP(A415,'K19'!$A$4:$BX$425,26,FALSE)</f>
        <v>32722</v>
      </c>
      <c r="F415" s="517"/>
    </row>
    <row r="416" spans="1:6" ht="13">
      <c r="A416" s="1">
        <v>5050</v>
      </c>
      <c r="B416" s="2" t="s">
        <v>171</v>
      </c>
      <c r="C416" s="289">
        <f>VLOOKUP(A416,'K18'!$A$4:$BX$425,3,FALSE)</f>
        <v>4492</v>
      </c>
      <c r="D416" s="289">
        <f>VLOOKUP(A416,'K18'!$A$4:$BX$425,26,FALSE)</f>
        <v>127124</v>
      </c>
      <c r="E416" s="289">
        <f>VLOOKUP(A416,'K19'!$A$4:$BX$425,26,FALSE)</f>
        <v>143383</v>
      </c>
      <c r="F416" s="517"/>
    </row>
    <row r="417" spans="1:6" ht="13">
      <c r="A417" s="1">
        <v>5051</v>
      </c>
      <c r="B417" s="2" t="s">
        <v>172</v>
      </c>
      <c r="C417" s="289">
        <f>VLOOKUP(A417,'K18'!$A$4:$BX$425,3,FALSE)</f>
        <v>5117</v>
      </c>
      <c r="D417" s="289">
        <f>VLOOKUP(A417,'K18'!$A$4:$BX$425,26,FALSE)</f>
        <v>125626</v>
      </c>
      <c r="E417" s="289">
        <f>VLOOKUP(A417,'K19'!$A$4:$BX$425,26,FALSE)</f>
        <v>131937</v>
      </c>
      <c r="F417" s="517"/>
    </row>
    <row r="418" spans="1:6" ht="13">
      <c r="A418" s="1">
        <v>5052</v>
      </c>
      <c r="B418" s="2" t="s">
        <v>173</v>
      </c>
      <c r="C418" s="289">
        <f>VLOOKUP(A418,'K18'!$A$4:$BX$425,3,FALSE)</f>
        <v>582</v>
      </c>
      <c r="D418" s="289">
        <f>VLOOKUP(A418,'K18'!$A$4:$BX$425,26,FALSE)</f>
        <v>13678</v>
      </c>
      <c r="E418" s="289">
        <f>VLOOKUP(A418,'K19'!$A$4:$BX$425,26,FALSE)</f>
        <v>13553</v>
      </c>
      <c r="F418" s="517"/>
    </row>
    <row r="419" spans="1:6" ht="13">
      <c r="A419" s="1">
        <v>5053</v>
      </c>
      <c r="B419" s="2" t="s">
        <v>155</v>
      </c>
      <c r="C419" s="289">
        <f>VLOOKUP(A419,'K18'!$A$4:$BX$425,3,FALSE)</f>
        <v>6785</v>
      </c>
      <c r="D419" s="289">
        <f>VLOOKUP(A419,'K18'!$A$4:$BX$425,26,FALSE)</f>
        <v>157899</v>
      </c>
      <c r="E419" s="289">
        <f>VLOOKUP(A419,'K19'!$A$4:$BX$425,26,FALSE)</f>
        <v>163239</v>
      </c>
      <c r="F419" s="517"/>
    </row>
    <row r="420" spans="1:6" ht="13">
      <c r="A420" s="1">
        <v>5054</v>
      </c>
      <c r="B420" s="2" t="s">
        <v>1245</v>
      </c>
      <c r="C420" s="289">
        <f>VLOOKUP(A420,'K18'!$A$4:$BX$425,3,FALSE)</f>
        <v>10090</v>
      </c>
      <c r="D420" s="289">
        <f>VLOOKUP(A420,'K18'!$A$4:$BX$425,26,FALSE)</f>
        <v>227993</v>
      </c>
      <c r="E420" s="289">
        <f>VLOOKUP(A420,'K19'!$A$4:$BX$425,26,FALSE)</f>
        <v>231891</v>
      </c>
      <c r="F420" s="517"/>
    </row>
    <row r="421" spans="1:6" ht="13">
      <c r="A421" s="878">
        <v>5055</v>
      </c>
      <c r="B421" s="883" t="s">
        <v>1642</v>
      </c>
      <c r="C421" s="919">
        <f>+C504</f>
        <v>6001.5015015015015</v>
      </c>
      <c r="D421" s="919">
        <f>+D504</f>
        <v>153172.37637637637</v>
      </c>
      <c r="E421" s="919">
        <f>+E504</f>
        <v>163996.97697697696</v>
      </c>
      <c r="F421" s="517"/>
    </row>
    <row r="422" spans="1:6" ht="13">
      <c r="A422" s="878">
        <v>5056</v>
      </c>
      <c r="B422" s="883" t="s">
        <v>1643</v>
      </c>
      <c r="C422" s="919">
        <f t="shared" ref="C422:C426" si="8">+C505</f>
        <v>4968.1081081081084</v>
      </c>
      <c r="D422" s="919">
        <f t="shared" ref="D422:D426" si="9">+D505</f>
        <v>123056.43243243243</v>
      </c>
      <c r="E422" s="919">
        <f t="shared" ref="E422:E426" si="10">+E505</f>
        <v>131903.67567567568</v>
      </c>
      <c r="F422" s="517"/>
    </row>
    <row r="423" spans="1:6" ht="13">
      <c r="A423" s="878">
        <v>5057</v>
      </c>
      <c r="B423" s="883" t="s">
        <v>1644</v>
      </c>
      <c r="C423" s="919">
        <f t="shared" si="8"/>
        <v>10215</v>
      </c>
      <c r="D423" s="919">
        <f t="shared" si="9"/>
        <v>252402</v>
      </c>
      <c r="E423" s="919">
        <f t="shared" si="10"/>
        <v>261440</v>
      </c>
      <c r="F423" s="517"/>
    </row>
    <row r="424" spans="1:6" ht="13">
      <c r="A424" s="878">
        <v>5058</v>
      </c>
      <c r="B424" s="883" t="s">
        <v>1645</v>
      </c>
      <c r="C424" s="919">
        <f t="shared" si="8"/>
        <v>4230</v>
      </c>
      <c r="D424" s="919">
        <f t="shared" si="9"/>
        <v>105726</v>
      </c>
      <c r="E424" s="919">
        <f t="shared" si="10"/>
        <v>112012</v>
      </c>
      <c r="F424" s="517"/>
    </row>
    <row r="425" spans="1:6" ht="13">
      <c r="A425" s="878">
        <v>5059</v>
      </c>
      <c r="B425" s="883" t="s">
        <v>1646</v>
      </c>
      <c r="C425" s="919">
        <f t="shared" si="8"/>
        <v>18008.390390390392</v>
      </c>
      <c r="D425" s="919">
        <f t="shared" si="9"/>
        <v>426122.1911911912</v>
      </c>
      <c r="E425" s="919">
        <f t="shared" si="10"/>
        <v>456741.34734734736</v>
      </c>
      <c r="F425" s="517"/>
    </row>
    <row r="426" spans="1:6" ht="13">
      <c r="A426" s="878">
        <v>5060</v>
      </c>
      <c r="B426" s="883" t="s">
        <v>1647</v>
      </c>
      <c r="C426" s="919">
        <f t="shared" si="8"/>
        <v>9558.2166839399997</v>
      </c>
      <c r="D426" s="919">
        <f t="shared" si="9"/>
        <v>251414.22279798469</v>
      </c>
      <c r="E426" s="919">
        <f t="shared" si="10"/>
        <v>273864.94093264249</v>
      </c>
      <c r="F426" s="517"/>
    </row>
    <row r="427" spans="1:6" ht="13">
      <c r="A427" s="1">
        <v>5061</v>
      </c>
      <c r="B427" s="2" t="s">
        <v>114</v>
      </c>
      <c r="C427" s="289">
        <f>VLOOKUP(A427,'K18'!$A$4:$BX$425,3,FALSE)</f>
        <v>2039</v>
      </c>
      <c r="D427" s="289">
        <f>VLOOKUP(A427,'K18'!$A$4:$BX$425,26,FALSE)</f>
        <v>50708</v>
      </c>
      <c r="E427" s="289">
        <f>VLOOKUP(A427,'K19'!$A$4:$BX$425,26,FALSE)</f>
        <v>50159</v>
      </c>
      <c r="F427" s="517"/>
    </row>
    <row r="428" spans="1:6" ht="13">
      <c r="A428" s="1">
        <v>5401</v>
      </c>
      <c r="B428" s="2" t="s">
        <v>217</v>
      </c>
      <c r="C428" s="289">
        <f>VLOOKUP(A428,'K18'!$A$4:$BX$425,3,FALSE)</f>
        <v>75638</v>
      </c>
      <c r="D428" s="289">
        <f>VLOOKUP(A428,'K18'!$A$4:$BX$425,26,FALSE)</f>
        <v>2296830</v>
      </c>
      <c r="E428" s="289">
        <f>VLOOKUP(A428,'K19'!$A$4:$BX$425,26,FALSE)</f>
        <v>2383917</v>
      </c>
      <c r="F428" s="517"/>
    </row>
    <row r="429" spans="1:6" ht="13">
      <c r="A429" s="1">
        <v>5402</v>
      </c>
      <c r="B429" s="2" t="s">
        <v>216</v>
      </c>
      <c r="C429" s="289">
        <f>VLOOKUP(A429,'K18'!$A$4:$BX$425,3,FALSE)</f>
        <v>24820</v>
      </c>
      <c r="D429" s="289">
        <f>VLOOKUP(A429,'K18'!$A$4:$BX$425,26,FALSE)</f>
        <v>674405</v>
      </c>
      <c r="E429" s="289">
        <f>VLOOKUP(A429,'K19'!$A$4:$BX$425,26,FALSE)</f>
        <v>691142</v>
      </c>
      <c r="F429" s="517"/>
    </row>
    <row r="430" spans="1:6" ht="13">
      <c r="A430" s="1">
        <v>5403</v>
      </c>
      <c r="B430" s="2" t="s">
        <v>245</v>
      </c>
      <c r="C430" s="289">
        <f>VLOOKUP(A430,'K18'!$A$4:$BX$425,3,FALSE)</f>
        <v>20635</v>
      </c>
      <c r="D430" s="289">
        <f>VLOOKUP(A430,'K18'!$A$4:$BX$425,26,FALSE)</f>
        <v>542406</v>
      </c>
      <c r="E430" s="289">
        <f>VLOOKUP(A430,'K19'!$A$4:$BX$425,26,FALSE)</f>
        <v>568373</v>
      </c>
      <c r="F430" s="517"/>
    </row>
    <row r="431" spans="1:6" ht="13">
      <c r="A431" s="1">
        <v>5404</v>
      </c>
      <c r="B431" s="2" t="s">
        <v>241</v>
      </c>
      <c r="C431" s="289">
        <f>VLOOKUP(A431,'K18'!$A$4:$BX$425,3,FALSE)</f>
        <v>2110</v>
      </c>
      <c r="D431" s="289">
        <f>VLOOKUP(A431,'K18'!$A$4:$BX$425,26,FALSE)</f>
        <v>46676</v>
      </c>
      <c r="E431" s="289">
        <f>VLOOKUP(A431,'K19'!$A$4:$BX$425,26,FALSE)</f>
        <v>47631</v>
      </c>
      <c r="F431" s="517"/>
    </row>
    <row r="432" spans="1:6" ht="13">
      <c r="A432" s="1">
        <v>5405</v>
      </c>
      <c r="B432" s="2" t="s">
        <v>242</v>
      </c>
      <c r="C432" s="289">
        <f>VLOOKUP(A432,'K18'!$A$4:$BX$425,3,FALSE)</f>
        <v>6033</v>
      </c>
      <c r="D432" s="289">
        <f>VLOOKUP(A432,'K18'!$A$4:$BX$425,26,FALSE)</f>
        <v>152909</v>
      </c>
      <c r="E432" s="289">
        <f>VLOOKUP(A432,'K19'!$A$4:$BX$425,26,FALSE)</f>
        <v>153202</v>
      </c>
      <c r="F432" s="517"/>
    </row>
    <row r="433" spans="1:6" ht="13">
      <c r="A433" s="878">
        <v>5406</v>
      </c>
      <c r="B433" s="883" t="s">
        <v>1648</v>
      </c>
      <c r="C433" s="919">
        <f>+C510</f>
        <v>11560</v>
      </c>
      <c r="D433" s="919">
        <f>+D510</f>
        <v>327526</v>
      </c>
      <c r="E433" s="919">
        <f>+E510</f>
        <v>340580</v>
      </c>
      <c r="F433" s="517"/>
    </row>
    <row r="434" spans="1:6" ht="13">
      <c r="A434" s="1">
        <v>5411</v>
      </c>
      <c r="B434" s="2" t="s">
        <v>218</v>
      </c>
      <c r="C434" s="289">
        <f>VLOOKUP(A434,'K18'!$A$4:$BX$425,3,FALSE)</f>
        <v>2928</v>
      </c>
      <c r="D434" s="289">
        <f>VLOOKUP(A434,'K18'!$A$4:$BX$425,26,FALSE)</f>
        <v>68090</v>
      </c>
      <c r="E434" s="289">
        <f>VLOOKUP(A434,'K19'!$A$4:$BX$425,26,FALSE)</f>
        <v>63611</v>
      </c>
      <c r="F434" s="517"/>
    </row>
    <row r="435" spans="1:6" ht="13">
      <c r="A435" s="878">
        <v>5412</v>
      </c>
      <c r="B435" s="883" t="s">
        <v>1649</v>
      </c>
      <c r="C435" s="919">
        <f>+C511</f>
        <v>4253</v>
      </c>
      <c r="D435" s="919">
        <f>+D511</f>
        <v>96820</v>
      </c>
      <c r="E435" s="919">
        <f>+E511</f>
        <v>100932</v>
      </c>
      <c r="F435" s="517"/>
    </row>
    <row r="436" spans="1:6" ht="13">
      <c r="A436" s="1">
        <v>5413</v>
      </c>
      <c r="B436" s="2" t="s">
        <v>221</v>
      </c>
      <c r="C436" s="289">
        <f>VLOOKUP(A436,'K18'!$A$4:$BX$425,3,FALSE)</f>
        <v>1380</v>
      </c>
      <c r="D436" s="289">
        <f>VLOOKUP(A436,'K18'!$A$4:$BX$425,26,FALSE)</f>
        <v>38050</v>
      </c>
      <c r="E436" s="289">
        <f>VLOOKUP(A436,'K19'!$A$4:$BX$425,26,FALSE)</f>
        <v>36128</v>
      </c>
      <c r="F436" s="517"/>
    </row>
    <row r="437" spans="1:6" ht="13">
      <c r="A437" s="1">
        <v>5414</v>
      </c>
      <c r="B437" s="2" t="s">
        <v>222</v>
      </c>
      <c r="C437" s="289">
        <f>VLOOKUP(A437,'K18'!$A$4:$BX$425,3,FALSE)</f>
        <v>1117</v>
      </c>
      <c r="D437" s="289">
        <f>VLOOKUP(A437,'K18'!$A$4:$BX$425,26,FALSE)</f>
        <v>26493</v>
      </c>
      <c r="E437" s="289">
        <f>VLOOKUP(A437,'K19'!$A$4:$BX$425,26,FALSE)</f>
        <v>28318</v>
      </c>
      <c r="F437" s="517"/>
    </row>
    <row r="438" spans="1:6" ht="13">
      <c r="A438" s="1">
        <v>5415</v>
      </c>
      <c r="B438" s="2" t="s">
        <v>223</v>
      </c>
      <c r="C438" s="289">
        <f>VLOOKUP(A438,'K18'!$A$4:$BX$425,3,FALSE)</f>
        <v>1061</v>
      </c>
      <c r="D438" s="289">
        <f>VLOOKUP(A438,'K18'!$A$4:$BX$425,26,FALSE)</f>
        <v>21842</v>
      </c>
      <c r="E438" s="289">
        <f>VLOOKUP(A438,'K19'!$A$4:$BX$425,26,FALSE)</f>
        <v>22320</v>
      </c>
      <c r="F438" s="517"/>
    </row>
    <row r="439" spans="1:6" ht="13">
      <c r="A439" s="1">
        <v>5416</v>
      </c>
      <c r="B439" s="2" t="s">
        <v>224</v>
      </c>
      <c r="C439" s="289">
        <f>VLOOKUP(A439,'K18'!$A$4:$BX$425,3,FALSE)</f>
        <v>3979</v>
      </c>
      <c r="D439" s="289">
        <f>VLOOKUP(A439,'K18'!$A$4:$BX$425,26,FALSE)</f>
        <v>120113</v>
      </c>
      <c r="E439" s="289">
        <f>VLOOKUP(A439,'K19'!$A$4:$BX$425,26,FALSE)</f>
        <v>127207</v>
      </c>
      <c r="F439" s="517"/>
    </row>
    <row r="440" spans="1:6" ht="13">
      <c r="A440" s="1">
        <v>5417</v>
      </c>
      <c r="B440" s="2" t="s">
        <v>225</v>
      </c>
      <c r="C440" s="289">
        <f>VLOOKUP(A440,'K18'!$A$4:$BX$425,3,FALSE)</f>
        <v>2226</v>
      </c>
      <c r="D440" s="289">
        <f>VLOOKUP(A440,'K18'!$A$4:$BX$425,26,FALSE)</f>
        <v>52604</v>
      </c>
      <c r="E440" s="289">
        <f>VLOOKUP(A440,'K19'!$A$4:$BX$425,26,FALSE)</f>
        <v>56979</v>
      </c>
      <c r="F440" s="517"/>
    </row>
    <row r="441" spans="1:6" ht="13">
      <c r="A441" s="1">
        <v>5418</v>
      </c>
      <c r="B441" s="2" t="s">
        <v>226</v>
      </c>
      <c r="C441" s="289">
        <f>VLOOKUP(A441,'K18'!$A$4:$BX$425,3,FALSE)</f>
        <v>6798</v>
      </c>
      <c r="D441" s="289">
        <f>VLOOKUP(A441,'K18'!$A$4:$BX$425,26,FALSE)</f>
        <v>184693</v>
      </c>
      <c r="E441" s="289">
        <f>VLOOKUP(A441,'K19'!$A$4:$BX$425,26,FALSE)</f>
        <v>195569</v>
      </c>
      <c r="F441" s="517"/>
    </row>
    <row r="442" spans="1:6" ht="13">
      <c r="A442" s="1">
        <v>5419</v>
      </c>
      <c r="B442" s="2" t="s">
        <v>227</v>
      </c>
      <c r="C442" s="289">
        <f>VLOOKUP(A442,'K18'!$A$4:$BX$425,3,FALSE)</f>
        <v>3494</v>
      </c>
      <c r="D442" s="289">
        <f>VLOOKUP(A442,'K18'!$A$4:$BX$425,26,FALSE)</f>
        <v>86393</v>
      </c>
      <c r="E442" s="289">
        <f>VLOOKUP(A442,'K19'!$A$4:$BX$425,26,FALSE)</f>
        <v>90759</v>
      </c>
      <c r="F442" s="517"/>
    </row>
    <row r="443" spans="1:6" ht="13">
      <c r="A443" s="1">
        <v>5420</v>
      </c>
      <c r="B443" s="2" t="s">
        <v>228</v>
      </c>
      <c r="C443" s="289">
        <f>VLOOKUP(A443,'K18'!$A$4:$BX$425,3,FALSE)</f>
        <v>1165</v>
      </c>
      <c r="D443" s="289">
        <f>VLOOKUP(A443,'K18'!$A$4:$BX$425,26,FALSE)</f>
        <v>25457</v>
      </c>
      <c r="E443" s="289">
        <f>VLOOKUP(A443,'K19'!$A$4:$BX$425,26,FALSE)</f>
        <v>25128</v>
      </c>
      <c r="F443" s="517"/>
    </row>
    <row r="444" spans="1:6" ht="13">
      <c r="A444" s="878">
        <v>5421</v>
      </c>
      <c r="B444" s="883" t="s">
        <v>1650</v>
      </c>
      <c r="C444" s="919">
        <f>+C512</f>
        <v>15025</v>
      </c>
      <c r="D444" s="919">
        <f>+D512</f>
        <v>372209</v>
      </c>
      <c r="E444" s="919">
        <f>+E512</f>
        <v>392512</v>
      </c>
      <c r="F444" s="517"/>
    </row>
    <row r="445" spans="1:6" ht="13">
      <c r="A445" s="1">
        <v>5422</v>
      </c>
      <c r="B445" s="2" t="s">
        <v>233</v>
      </c>
      <c r="C445" s="289">
        <f>VLOOKUP(A445,'K18'!$A$4:$BX$425,3,FALSE)</f>
        <v>5653</v>
      </c>
      <c r="D445" s="289">
        <f>VLOOKUP(A445,'K18'!$A$4:$BX$425,26,FALSE)</f>
        <v>123856</v>
      </c>
      <c r="E445" s="289">
        <f>VLOOKUP(A445,'K19'!$A$4:$BX$425,26,FALSE)</f>
        <v>127282</v>
      </c>
      <c r="F445" s="517"/>
    </row>
    <row r="446" spans="1:6" ht="13">
      <c r="A446" s="1">
        <v>5423</v>
      </c>
      <c r="B446" s="2" t="s">
        <v>234</v>
      </c>
      <c r="C446" s="289">
        <f>VLOOKUP(A446,'K18'!$A$4:$BX$425,3,FALSE)</f>
        <v>2263</v>
      </c>
      <c r="D446" s="289">
        <f>VLOOKUP(A446,'K18'!$A$4:$BX$425,26,FALSE)</f>
        <v>57505</v>
      </c>
      <c r="E446" s="289">
        <f>VLOOKUP(A446,'K19'!$A$4:$BX$425,26,FALSE)</f>
        <v>59153</v>
      </c>
      <c r="F446" s="517"/>
    </row>
    <row r="447" spans="1:6" ht="13">
      <c r="A447" s="1">
        <v>5424</v>
      </c>
      <c r="B447" s="2" t="s">
        <v>235</v>
      </c>
      <c r="C447" s="289">
        <f>VLOOKUP(A447,'K18'!$A$4:$BX$425,3,FALSE)</f>
        <v>2877</v>
      </c>
      <c r="D447" s="289">
        <f>VLOOKUP(A447,'K18'!$A$4:$BX$425,26,FALSE)</f>
        <v>64289</v>
      </c>
      <c r="E447" s="289">
        <f>VLOOKUP(A447,'K19'!$A$4:$BX$425,26,FALSE)</f>
        <v>65153</v>
      </c>
      <c r="F447" s="517"/>
    </row>
    <row r="448" spans="1:6" ht="13">
      <c r="A448" s="1">
        <v>5425</v>
      </c>
      <c r="B448" s="2" t="s">
        <v>236</v>
      </c>
      <c r="C448" s="289">
        <f>VLOOKUP(A448,'K18'!$A$4:$BX$425,3,FALSE)</f>
        <v>1856</v>
      </c>
      <c r="D448" s="289">
        <f>VLOOKUP(A448,'K18'!$A$4:$BX$425,26,FALSE)</f>
        <v>51883</v>
      </c>
      <c r="E448" s="289">
        <f>VLOOKUP(A448,'K19'!$A$4:$BX$425,26,FALSE)</f>
        <v>50896</v>
      </c>
      <c r="F448" s="517"/>
    </row>
    <row r="449" spans="1:6" ht="13">
      <c r="A449" s="1">
        <v>5426</v>
      </c>
      <c r="B449" s="2" t="s">
        <v>237</v>
      </c>
      <c r="C449" s="289">
        <f>VLOOKUP(A449,'K18'!$A$4:$BX$425,3,FALSE)</f>
        <v>2132</v>
      </c>
      <c r="D449" s="289">
        <f>VLOOKUP(A449,'K18'!$A$4:$BX$425,26,FALSE)</f>
        <v>51110</v>
      </c>
      <c r="E449" s="289">
        <f>VLOOKUP(A449,'K19'!$A$4:$BX$425,26,FALSE)</f>
        <v>51415</v>
      </c>
      <c r="F449" s="517"/>
    </row>
    <row r="450" spans="1:6" ht="13">
      <c r="A450" s="1">
        <v>5427</v>
      </c>
      <c r="B450" s="2" t="s">
        <v>238</v>
      </c>
      <c r="C450" s="289">
        <f>VLOOKUP(A450,'K18'!$A$4:$BX$425,3,FALSE)</f>
        <v>2925</v>
      </c>
      <c r="D450" s="289">
        <f>VLOOKUP(A450,'K18'!$A$4:$BX$425,26,FALSE)</f>
        <v>69371</v>
      </c>
      <c r="E450" s="289">
        <f>VLOOKUP(A450,'K19'!$A$4:$BX$425,26,FALSE)</f>
        <v>71052</v>
      </c>
      <c r="F450" s="517"/>
    </row>
    <row r="451" spans="1:6" ht="13">
      <c r="A451" s="1">
        <v>5428</v>
      </c>
      <c r="B451" s="2" t="s">
        <v>239</v>
      </c>
      <c r="C451" s="289">
        <f>VLOOKUP(A451,'K18'!$A$4:$BX$425,3,FALSE)</f>
        <v>4944</v>
      </c>
      <c r="D451" s="289">
        <f>VLOOKUP(A451,'K18'!$A$4:$BX$425,26,FALSE)</f>
        <v>111919</v>
      </c>
      <c r="E451" s="289">
        <f>VLOOKUP(A451,'K19'!$A$4:$BX$425,26,FALSE)</f>
        <v>116546</v>
      </c>
      <c r="F451" s="517"/>
    </row>
    <row r="452" spans="1:6" ht="13">
      <c r="A452" s="1">
        <v>5429</v>
      </c>
      <c r="B452" s="2" t="s">
        <v>240</v>
      </c>
      <c r="C452" s="289">
        <f>VLOOKUP(A452,'K18'!$A$4:$BX$425,3,FALSE)</f>
        <v>1224</v>
      </c>
      <c r="D452" s="289">
        <f>VLOOKUP(A452,'K18'!$A$4:$BX$425,26,FALSE)</f>
        <v>32637</v>
      </c>
      <c r="E452" s="289">
        <f>VLOOKUP(A452,'K19'!$A$4:$BX$425,26,FALSE)</f>
        <v>32765</v>
      </c>
      <c r="F452" s="517"/>
    </row>
    <row r="453" spans="1:6" ht="13">
      <c r="A453" s="1">
        <v>5430</v>
      </c>
      <c r="B453" s="2" t="s">
        <v>244</v>
      </c>
      <c r="C453" s="289">
        <f>VLOOKUP(A453,'K18'!$A$4:$BX$425,3,FALSE)</f>
        <v>2946</v>
      </c>
      <c r="D453" s="289">
        <f>VLOOKUP(A453,'K18'!$A$4:$BX$425,26,FALSE)</f>
        <v>56500</v>
      </c>
      <c r="E453" s="289">
        <f>VLOOKUP(A453,'K19'!$A$4:$BX$425,26,FALSE)</f>
        <v>57512</v>
      </c>
      <c r="F453" s="517"/>
    </row>
    <row r="454" spans="1:6" ht="13">
      <c r="A454" s="1">
        <v>5432</v>
      </c>
      <c r="B454" s="2" t="s">
        <v>246</v>
      </c>
      <c r="C454" s="289">
        <f>VLOOKUP(A454,'K18'!$A$4:$BX$425,3,FALSE)</f>
        <v>941</v>
      </c>
      <c r="D454" s="289">
        <f>VLOOKUP(A454,'K18'!$A$4:$BX$425,26,FALSE)</f>
        <v>21026</v>
      </c>
      <c r="E454" s="289">
        <f>VLOOKUP(A454,'K19'!$A$4:$BX$425,26,FALSE)</f>
        <v>20523</v>
      </c>
      <c r="F454" s="517"/>
    </row>
    <row r="455" spans="1:6" ht="13">
      <c r="A455" s="1">
        <v>5433</v>
      </c>
      <c r="B455" s="2" t="s">
        <v>247</v>
      </c>
      <c r="C455" s="289">
        <f>VLOOKUP(A455,'K18'!$A$4:$BX$425,3,FALSE)</f>
        <v>1022</v>
      </c>
      <c r="D455" s="289">
        <f>VLOOKUP(A455,'K18'!$A$4:$BX$425,26,FALSE)</f>
        <v>22383</v>
      </c>
      <c r="E455" s="289">
        <f>VLOOKUP(A455,'K19'!$A$4:$BX$425,26,FALSE)</f>
        <v>23442</v>
      </c>
      <c r="F455" s="517"/>
    </row>
    <row r="456" spans="1:6" ht="13">
      <c r="A456" s="1">
        <v>5434</v>
      </c>
      <c r="B456" s="2" t="s">
        <v>249</v>
      </c>
      <c r="C456" s="289">
        <f>VLOOKUP(A456,'K18'!$A$4:$BX$425,3,FALSE)</f>
        <v>1231</v>
      </c>
      <c r="D456" s="289">
        <f>VLOOKUP(A456,'K18'!$A$4:$BX$425,26,FALSE)</f>
        <v>34428</v>
      </c>
      <c r="E456" s="289">
        <f>VLOOKUP(A456,'K19'!$A$4:$BX$425,26,FALSE)</f>
        <v>33282</v>
      </c>
      <c r="F456" s="517"/>
    </row>
    <row r="457" spans="1:6" ht="13">
      <c r="A457" s="1">
        <v>5435</v>
      </c>
      <c r="B457" s="2" t="s">
        <v>250</v>
      </c>
      <c r="C457" s="289">
        <f>VLOOKUP(A457,'K18'!$A$4:$BX$425,3,FALSE)</f>
        <v>3239</v>
      </c>
      <c r="D457" s="289">
        <f>VLOOKUP(A457,'K18'!$A$4:$BX$425,26,FALSE)</f>
        <v>87685</v>
      </c>
      <c r="E457" s="289">
        <f>VLOOKUP(A457,'K19'!$A$4:$BX$425,26,FALSE)</f>
        <v>88642</v>
      </c>
      <c r="F457" s="517"/>
    </row>
    <row r="458" spans="1:6" ht="13">
      <c r="A458" s="1">
        <v>5436</v>
      </c>
      <c r="B458" s="2" t="s">
        <v>251</v>
      </c>
      <c r="C458" s="289">
        <f>VLOOKUP(A458,'K18'!$A$4:$BX$425,3,FALSE)</f>
        <v>3964</v>
      </c>
      <c r="D458" s="289">
        <f>VLOOKUP(A458,'K18'!$A$4:$BX$425,26,FALSE)</f>
        <v>95910</v>
      </c>
      <c r="E458" s="289">
        <f>VLOOKUP(A458,'K19'!$A$4:$BX$425,26,FALSE)</f>
        <v>100811</v>
      </c>
      <c r="F458" s="517"/>
    </row>
    <row r="459" spans="1:6" ht="13">
      <c r="A459" s="1">
        <v>5437</v>
      </c>
      <c r="B459" s="2" t="s">
        <v>252</v>
      </c>
      <c r="C459" s="289">
        <f>VLOOKUP(A459,'K18'!$A$4:$BX$425,3,FALSE)</f>
        <v>2701</v>
      </c>
      <c r="D459" s="289">
        <f>VLOOKUP(A459,'K18'!$A$4:$BX$425,26,FALSE)</f>
        <v>56961</v>
      </c>
      <c r="E459" s="289">
        <f>VLOOKUP(A459,'K19'!$A$4:$BX$425,26,FALSE)</f>
        <v>59811</v>
      </c>
      <c r="F459" s="517"/>
    </row>
    <row r="460" spans="1:6" ht="13">
      <c r="A460" s="1">
        <v>5438</v>
      </c>
      <c r="B460" s="2" t="s">
        <v>253</v>
      </c>
      <c r="C460" s="289">
        <f>VLOOKUP(A460,'K18'!$A$4:$BX$425,3,FALSE)</f>
        <v>1349</v>
      </c>
      <c r="D460" s="289">
        <f>VLOOKUP(A460,'K18'!$A$4:$BX$425,26,FALSE)</f>
        <v>33468</v>
      </c>
      <c r="E460" s="289">
        <f>VLOOKUP(A460,'K19'!$A$4:$BX$425,26,FALSE)</f>
        <v>35754</v>
      </c>
      <c r="F460" s="517"/>
    </row>
    <row r="461" spans="1:6" ht="13">
      <c r="A461" s="1">
        <v>5439</v>
      </c>
      <c r="B461" s="2" t="s">
        <v>254</v>
      </c>
      <c r="C461" s="289">
        <f>VLOOKUP(A461,'K18'!$A$4:$BX$425,3,FALSE)</f>
        <v>1153</v>
      </c>
      <c r="D461" s="289">
        <f>VLOOKUP(A461,'K18'!$A$4:$BX$425,26,FALSE)</f>
        <v>26285</v>
      </c>
      <c r="E461" s="289">
        <f>VLOOKUP(A461,'K19'!$A$4:$BX$425,26,FALSE)</f>
        <v>28086</v>
      </c>
      <c r="F461" s="517"/>
    </row>
    <row r="462" spans="1:6" ht="13">
      <c r="A462" s="1">
        <v>5440</v>
      </c>
      <c r="B462" s="2" t="s">
        <v>255</v>
      </c>
      <c r="C462" s="289">
        <f>VLOOKUP(A462,'K18'!$A$4:$BX$425,3,FALSE)</f>
        <v>983</v>
      </c>
      <c r="D462" s="289">
        <f>VLOOKUP(A462,'K18'!$A$4:$BX$425,26,FALSE)</f>
        <v>26464</v>
      </c>
      <c r="E462" s="289">
        <f>VLOOKUP(A462,'K19'!$A$4:$BX$425,26,FALSE)</f>
        <v>26727</v>
      </c>
      <c r="F462" s="517"/>
    </row>
    <row r="463" spans="1:6" ht="13">
      <c r="A463" s="1">
        <v>5441</v>
      </c>
      <c r="B463" s="2" t="s">
        <v>256</v>
      </c>
      <c r="C463" s="289">
        <f>VLOOKUP(A463,'K18'!$A$4:$BX$425,3,FALSE)</f>
        <v>2922</v>
      </c>
      <c r="D463" s="289">
        <f>VLOOKUP(A463,'K18'!$A$4:$BX$425,26,FALSE)</f>
        <v>70134</v>
      </c>
      <c r="E463" s="289">
        <f>VLOOKUP(A463,'K19'!$A$4:$BX$425,26,FALSE)</f>
        <v>74703</v>
      </c>
      <c r="F463" s="517"/>
    </row>
    <row r="464" spans="1:6" ht="13">
      <c r="A464" s="1">
        <v>5442</v>
      </c>
      <c r="B464" s="2" t="s">
        <v>257</v>
      </c>
      <c r="C464" s="289">
        <f>VLOOKUP(A464,'K18'!$A$4:$BX$425,3,FALSE)</f>
        <v>944</v>
      </c>
      <c r="D464" s="289">
        <f>VLOOKUP(A464,'K18'!$A$4:$BX$425,26,FALSE)</f>
        <v>20492</v>
      </c>
      <c r="E464" s="289">
        <f>VLOOKUP(A464,'K19'!$A$4:$BX$425,26,FALSE)</f>
        <v>19666</v>
      </c>
      <c r="F464" s="517"/>
    </row>
    <row r="465" spans="1:6" ht="13">
      <c r="A465" s="1">
        <v>5443</v>
      </c>
      <c r="B465" s="2" t="s">
        <v>258</v>
      </c>
      <c r="C465" s="289">
        <f>VLOOKUP(A465,'K18'!$A$4:$BX$425,3,FALSE)</f>
        <v>2263</v>
      </c>
      <c r="D465" s="289">
        <f>VLOOKUP(A465,'K18'!$A$4:$BX$425,26,FALSE)</f>
        <v>61493</v>
      </c>
      <c r="E465" s="289">
        <f>VLOOKUP(A465,'K19'!$A$4:$BX$425,26,FALSE)</f>
        <v>62027</v>
      </c>
      <c r="F465" s="517"/>
    </row>
    <row r="466" spans="1:6" ht="13">
      <c r="A466" s="1">
        <v>5444</v>
      </c>
      <c r="B466" s="4" t="s">
        <v>260</v>
      </c>
      <c r="C466" s="289">
        <f>VLOOKUP(A466,'K18'!$A$4:$BX$425,3,FALSE)</f>
        <v>10171</v>
      </c>
      <c r="D466" s="289">
        <f>VLOOKUP(A466,'K18'!$A$4:$BX$425,26,FALSE)</f>
        <v>262229</v>
      </c>
      <c r="E466" s="289">
        <f>VLOOKUP(A466,'K19'!$A$4:$BX$425,26,FALSE)</f>
        <v>271207</v>
      </c>
      <c r="F466" s="517"/>
    </row>
    <row r="467" spans="1:6" ht="13">
      <c r="A467" s="1"/>
      <c r="B467" s="2"/>
      <c r="C467" s="179"/>
      <c r="D467" s="289"/>
    </row>
    <row r="468" spans="1:6" ht="13">
      <c r="A468" s="1"/>
      <c r="B468" s="2" t="s">
        <v>261</v>
      </c>
      <c r="C468" s="289">
        <f>SUM(C4:C466)</f>
        <v>6499592.184006569</v>
      </c>
      <c r="D468" s="289">
        <f>SUM(D4:D466)</f>
        <v>197478060.91303691</v>
      </c>
      <c r="E468" s="289">
        <f>SUM(E4:E466)</f>
        <v>206692371.8331123</v>
      </c>
    </row>
    <row r="471" spans="1:6" ht="13">
      <c r="A471" s="915" t="s">
        <v>1857</v>
      </c>
    </row>
    <row r="472" spans="1:6" ht="13">
      <c r="A472" s="1">
        <v>1108</v>
      </c>
      <c r="B472" s="2" t="s">
        <v>1610</v>
      </c>
      <c r="C472" s="289">
        <f>+K0kommunestruktur2020!K8</f>
        <v>77412.797511440003</v>
      </c>
      <c r="D472" s="289">
        <f>+K0kommunestruktur2020!L8</f>
        <v>2380215.4983107275</v>
      </c>
      <c r="E472" s="289">
        <f>+K0kommunestruktur2020!N8</f>
        <v>2477705.4875763333</v>
      </c>
      <c r="F472" s="517"/>
    </row>
    <row r="473" spans="1:6" ht="13">
      <c r="A473" s="1">
        <v>1506</v>
      </c>
      <c r="B473" s="4" t="s">
        <v>1611</v>
      </c>
      <c r="C473" s="289">
        <f>+K0kommunestruktur2020!K29</f>
        <v>31895</v>
      </c>
      <c r="D473" s="289">
        <f>+K0kommunestruktur2020!L29</f>
        <v>913522</v>
      </c>
      <c r="E473" s="289">
        <f>+K0kommunestruktur2020!N29</f>
        <v>946419</v>
      </c>
      <c r="F473" s="517"/>
    </row>
    <row r="474" spans="1:6" ht="13">
      <c r="A474" s="1">
        <v>1507</v>
      </c>
      <c r="B474" s="4" t="s">
        <v>1612</v>
      </c>
      <c r="C474" s="289">
        <f>+K0kommunestruktur2020!K30</f>
        <v>65053.103850200001</v>
      </c>
      <c r="D474" s="289">
        <f>+K0kommunestruktur2020!L30</f>
        <v>1924606.0505843894</v>
      </c>
      <c r="E474" s="289">
        <f>+K0kommunestruktur2020!N30</f>
        <v>2059966.2974875444</v>
      </c>
      <c r="F474" s="517"/>
    </row>
    <row r="475" spans="1:6" ht="13">
      <c r="A475" s="1">
        <v>1577</v>
      </c>
      <c r="B475" s="2" t="s">
        <v>1613</v>
      </c>
      <c r="C475" s="289">
        <f>+K0kommunestruktur2020!K51</f>
        <v>10468.14204271</v>
      </c>
      <c r="D475" s="289">
        <f>+K0kommunestruktur2020!L51</f>
        <v>251795.02985797075</v>
      </c>
      <c r="E475" s="289">
        <f>+K0kommunestruktur2020!N51</f>
        <v>258006.41704512513</v>
      </c>
      <c r="F475" s="517"/>
    </row>
    <row r="476" spans="1:6" ht="13">
      <c r="A476" s="1">
        <v>1578</v>
      </c>
      <c r="B476" s="2" t="s">
        <v>1614</v>
      </c>
      <c r="C476" s="289">
        <f>+K0kommunestruktur2020!K52</f>
        <v>2642</v>
      </c>
      <c r="D476" s="289">
        <f>+K0kommunestruktur2020!L52</f>
        <v>70869</v>
      </c>
      <c r="E476" s="289">
        <f>+K0kommunestruktur2020!N52</f>
        <v>68700</v>
      </c>
      <c r="F476" s="517"/>
    </row>
    <row r="477" spans="1:6" ht="13">
      <c r="A477" s="1">
        <v>1579</v>
      </c>
      <c r="B477" s="2" t="s">
        <v>1615</v>
      </c>
      <c r="C477" s="289">
        <f>+K0kommunestruktur2020!K53</f>
        <v>13215</v>
      </c>
      <c r="D477" s="289">
        <f>+K0kommunestruktur2020!L53</f>
        <v>339908</v>
      </c>
      <c r="E477" s="289">
        <f>+K0kommunestruktur2020!N53</f>
        <v>346385</v>
      </c>
      <c r="F477" s="517"/>
    </row>
    <row r="478" spans="1:6" ht="13">
      <c r="A478" s="1">
        <v>1806</v>
      </c>
      <c r="B478" s="2" t="s">
        <v>1616</v>
      </c>
      <c r="C478" s="289">
        <f>+K0kommunestruktur2020!K55</f>
        <v>22062.945454550001</v>
      </c>
      <c r="D478" s="289">
        <f>+K0kommunestruktur2020!L55</f>
        <v>598271.44415584416</v>
      </c>
      <c r="E478" s="289">
        <f>+K0kommunestruktur2020!N55</f>
        <v>597858.44018008653</v>
      </c>
      <c r="F478" s="517"/>
    </row>
    <row r="479" spans="1:6" ht="13">
      <c r="A479" s="1">
        <v>1875</v>
      </c>
      <c r="B479" s="2" t="s">
        <v>1617</v>
      </c>
      <c r="C479" s="289">
        <f>+K0kommunestruktur2020!K94</f>
        <v>2851.0545454499998</v>
      </c>
      <c r="D479" s="289">
        <f>+K0kommunestruktur2020!N94</f>
        <v>78142.559819913411</v>
      </c>
      <c r="E479" s="289">
        <f>+K0kommunestruktur2020!N94</f>
        <v>78142.559819913411</v>
      </c>
      <c r="F479" s="517"/>
    </row>
    <row r="480" spans="1:6" ht="13">
      <c r="A480" s="1">
        <v>3002</v>
      </c>
      <c r="B480" s="2" t="s">
        <v>1618</v>
      </c>
      <c r="C480" s="289">
        <f>+K0kommunestruktur2020!K96</f>
        <v>48671</v>
      </c>
      <c r="D480" s="289">
        <f>+K0kommunestruktur2020!L96</f>
        <v>1317884</v>
      </c>
      <c r="E480" s="289">
        <f>+K0kommunestruktur2020!N96</f>
        <v>1377561</v>
      </c>
      <c r="F480" s="517"/>
    </row>
    <row r="481" spans="1:6" ht="13">
      <c r="A481" s="1">
        <v>3005</v>
      </c>
      <c r="B481" s="2" t="s">
        <v>1619</v>
      </c>
      <c r="C481" s="289">
        <f>+K0kommunestruktur2020!K99</f>
        <v>100302</v>
      </c>
      <c r="D481" s="289">
        <f>+K0kommunestruktur2020!L99</f>
        <v>2847014</v>
      </c>
      <c r="E481" s="289">
        <f>+K0kommunestruktur2020!N99</f>
        <v>2968925</v>
      </c>
      <c r="F481" s="517"/>
    </row>
    <row r="482" spans="1:6" ht="13">
      <c r="A482" s="1">
        <v>3014</v>
      </c>
      <c r="B482" s="2" t="s">
        <v>1620</v>
      </c>
      <c r="C482" s="289">
        <f>+K0kommunestruktur2020!K105</f>
        <v>44035</v>
      </c>
      <c r="D482" s="289">
        <f>+K0kommunestruktur2020!L105</f>
        <v>1156004</v>
      </c>
      <c r="E482" s="289">
        <f>+K0kommunestruktur2020!N105</f>
        <v>1204362</v>
      </c>
      <c r="F482" s="517"/>
    </row>
    <row r="483" spans="1:6" ht="13">
      <c r="A483" s="1">
        <v>3020</v>
      </c>
      <c r="B483" s="2" t="s">
        <v>1621</v>
      </c>
      <c r="C483" s="289">
        <f>+K0kommunestruktur2020!K111</f>
        <v>58254.394491469997</v>
      </c>
      <c r="D483" s="289">
        <f>+K0kommunestruktur2020!L111</f>
        <v>2027218.4119372717</v>
      </c>
      <c r="E483" s="289">
        <f>+K0kommunestruktur2020!N111</f>
        <v>2105528.4204200078</v>
      </c>
      <c r="F483" s="517"/>
    </row>
    <row r="484" spans="1:6" ht="13">
      <c r="A484" s="1">
        <v>3025</v>
      </c>
      <c r="B484" s="2" t="s">
        <v>1622</v>
      </c>
      <c r="C484" s="289">
        <f>+K0kommunestruktur2020!K116</f>
        <v>92828</v>
      </c>
      <c r="D484" s="289">
        <f>+K0kommunestruktur2020!L116</f>
        <v>3849981</v>
      </c>
      <c r="E484" s="289">
        <f>+K0kommunestruktur2020!N116</f>
        <v>4094169</v>
      </c>
      <c r="F484" s="517"/>
    </row>
    <row r="485" spans="1:6" ht="13">
      <c r="A485" s="1">
        <v>3026</v>
      </c>
      <c r="B485" s="2" t="s">
        <v>1623</v>
      </c>
      <c r="C485" s="289">
        <f>+K0kommunestruktur2020!K117</f>
        <v>17072</v>
      </c>
      <c r="D485" s="289">
        <f>+K0kommunestruktur2020!L117</f>
        <v>417440</v>
      </c>
      <c r="E485" s="289">
        <f>+K0kommunestruktur2020!N117</f>
        <v>430456</v>
      </c>
      <c r="F485" s="517"/>
    </row>
    <row r="486" spans="1:6" ht="13">
      <c r="A486" s="1">
        <v>3030</v>
      </c>
      <c r="B486" s="2" t="s">
        <v>1624</v>
      </c>
      <c r="C486" s="289">
        <f>+K0kommunestruktur2020!K121</f>
        <v>83165.148104530002</v>
      </c>
      <c r="D486" s="289">
        <f>+K0kommunestruktur2020!L121</f>
        <v>2580671.4667957784</v>
      </c>
      <c r="E486" s="289">
        <f>+K0kommunestruktur2020!N121</f>
        <v>2728516.5400375482</v>
      </c>
      <c r="F486" s="517"/>
    </row>
    <row r="487" spans="1:6" ht="13">
      <c r="A487" s="1">
        <v>3802</v>
      </c>
      <c r="B487" s="2" t="s">
        <v>1625</v>
      </c>
      <c r="C487" s="289">
        <f>+K0kommunestruktur2020!K193</f>
        <v>24060.278558189999</v>
      </c>
      <c r="D487" s="289">
        <f>+K0kommunestruktur2020!L193</f>
        <v>652653.90166845266</v>
      </c>
      <c r="E487" s="289">
        <f>+K0kommunestruktur2020!N193</f>
        <v>675516.09132852731</v>
      </c>
      <c r="F487" s="517"/>
    </row>
    <row r="488" spans="1:6" ht="13">
      <c r="A488" s="1">
        <v>3803</v>
      </c>
      <c r="B488" s="2" t="s">
        <v>1626</v>
      </c>
      <c r="C488" s="289">
        <f>+K0kommunestruktur2020!K194</f>
        <v>54845.783021579999</v>
      </c>
      <c r="D488" s="289">
        <f>+K0kommunestruktur2020!L194</f>
        <v>1605669.3773023367</v>
      </c>
      <c r="E488" s="289">
        <f>+K0kommunestruktur2020!N194</f>
        <v>1680635.555433885</v>
      </c>
      <c r="F488" s="517"/>
    </row>
    <row r="489" spans="1:6" ht="13">
      <c r="A489" s="1">
        <v>3817</v>
      </c>
      <c r="B489" s="2" t="s">
        <v>1627</v>
      </c>
      <c r="C489" s="289">
        <f>+K0kommunestruktur2020!K206</f>
        <v>10375.265494830001</v>
      </c>
      <c r="D489" s="289">
        <f>+K0kommunestruktur2020!L206</f>
        <v>247525.6980683576</v>
      </c>
      <c r="E489" s="289">
        <f>+K0kommunestruktur2020!N206</f>
        <v>254771.79346333424</v>
      </c>
      <c r="F489" s="517"/>
    </row>
    <row r="490" spans="1:6" ht="13">
      <c r="A490" s="1">
        <v>4204</v>
      </c>
      <c r="B490" s="2" t="s">
        <v>1628</v>
      </c>
      <c r="C490" s="289">
        <f>+K0kommunestruktur2020!K218</f>
        <v>109438</v>
      </c>
      <c r="D490" s="289">
        <f>+K0kommunestruktur2020!L218</f>
        <v>2968176</v>
      </c>
      <c r="E490" s="289">
        <f>+K0kommunestruktur2020!N218</f>
        <v>3051787</v>
      </c>
      <c r="F490" s="517"/>
    </row>
    <row r="491" spans="1:6" ht="13">
      <c r="A491" s="1">
        <v>4205</v>
      </c>
      <c r="B491" s="2" t="s">
        <v>1629</v>
      </c>
      <c r="C491" s="289">
        <f>+K0kommunestruktur2020!K219</f>
        <v>22905</v>
      </c>
      <c r="D491" s="289">
        <f>+K0kommunestruktur2020!L219</f>
        <v>566314</v>
      </c>
      <c r="E491" s="289">
        <f>+K0kommunestruktur2020!N219</f>
        <v>595597</v>
      </c>
      <c r="F491" s="517"/>
    </row>
    <row r="492" spans="1:6" ht="13">
      <c r="A492" s="1">
        <v>4225</v>
      </c>
      <c r="B492" s="2" t="s">
        <v>1630</v>
      </c>
      <c r="C492" s="289">
        <f>+K0kommunestruktur2020!K236</f>
        <v>10357</v>
      </c>
      <c r="D492" s="289">
        <f>+K0kommunestruktur2020!L236</f>
        <v>236168</v>
      </c>
      <c r="E492" s="289">
        <f>+K0kommunestruktur2020!N236</f>
        <v>242283</v>
      </c>
      <c r="F492" s="517"/>
    </row>
    <row r="493" spans="1:6" ht="13">
      <c r="A493" s="1">
        <v>4602</v>
      </c>
      <c r="B493" s="2" t="s">
        <v>1631</v>
      </c>
      <c r="C493" s="289">
        <f>+K0kommunestruktur2020!K241</f>
        <v>17469.174222869999</v>
      </c>
      <c r="D493" s="289">
        <f>+K0kommunestruktur2020!L241</f>
        <v>488200.73482211295</v>
      </c>
      <c r="E493" s="289">
        <f>+K0kommunestruktur2020!N241</f>
        <v>531457.55268768943</v>
      </c>
      <c r="F493" s="517"/>
    </row>
    <row r="494" spans="1:6" ht="13">
      <c r="A494" s="1">
        <v>4618</v>
      </c>
      <c r="B494" s="2" t="s">
        <v>1632</v>
      </c>
      <c r="C494" s="289">
        <f>+K0kommunestruktur2020!K249</f>
        <v>11225.13414634</v>
      </c>
      <c r="D494" s="289">
        <f>+K0kommunestruktur2020!L249</f>
        <v>333806.10975605407</v>
      </c>
      <c r="E494" s="289">
        <f>+K0kommunestruktur2020!N249</f>
        <v>346985.25609756098</v>
      </c>
      <c r="F494" s="517"/>
    </row>
    <row r="495" spans="1:6" ht="13">
      <c r="A495" s="1">
        <v>4621</v>
      </c>
      <c r="B495" s="2" t="s">
        <v>1633</v>
      </c>
      <c r="C495" s="289">
        <f>+K0kommunestruktur2020!K252</f>
        <v>15575.84687641</v>
      </c>
      <c r="D495" s="289">
        <f>+K0kommunestruktur2020!L252</f>
        <v>428051.55098765466</v>
      </c>
      <c r="E495" s="289">
        <f>+K0kommunestruktur2020!N252</f>
        <v>453051.44811169017</v>
      </c>
      <c r="F495" s="517"/>
    </row>
    <row r="496" spans="1:6" ht="13">
      <c r="A496" s="1">
        <v>4624</v>
      </c>
      <c r="B496" s="2" t="s">
        <v>1634</v>
      </c>
      <c r="C496" s="289">
        <f>+K0kommunestruktur2020!K255</f>
        <v>24493</v>
      </c>
      <c r="D496" s="289">
        <f>+K0kommunestruktur2020!L255</f>
        <v>677975</v>
      </c>
      <c r="E496" s="289">
        <f>+K0kommunestruktur2020!N255</f>
        <v>706159</v>
      </c>
      <c r="F496" s="517"/>
    </row>
    <row r="497" spans="1:6" ht="13">
      <c r="A497" s="1">
        <v>4626</v>
      </c>
      <c r="B497" s="2" t="s">
        <v>1635</v>
      </c>
      <c r="C497" s="289">
        <f>+K0kommunestruktur2020!K257</f>
        <v>37687</v>
      </c>
      <c r="D497" s="289">
        <f>+K0kommunestruktur2020!L257</f>
        <v>1041433</v>
      </c>
      <c r="E497" s="289">
        <f>+K0kommunestruktur2020!N257</f>
        <v>1088369</v>
      </c>
      <c r="F497" s="517"/>
    </row>
    <row r="498" spans="1:6" ht="13">
      <c r="A498" s="1">
        <v>4631</v>
      </c>
      <c r="B498" s="2" t="s">
        <v>1636</v>
      </c>
      <c r="C498" s="289">
        <f>+K0kommunestruktur2020!K262</f>
        <v>28997</v>
      </c>
      <c r="D498" s="289">
        <f>+K0kommunestruktur2020!L262</f>
        <v>743913</v>
      </c>
      <c r="E498" s="289">
        <f>+K0kommunestruktur2020!N262</f>
        <v>793379</v>
      </c>
      <c r="F498" s="517"/>
    </row>
    <row r="499" spans="1:6" ht="13">
      <c r="A499" s="1">
        <v>4640</v>
      </c>
      <c r="B499" s="2" t="s">
        <v>1637</v>
      </c>
      <c r="C499" s="289">
        <f>+K0kommunestruktur2020!K271</f>
        <v>11571.098212020001</v>
      </c>
      <c r="D499" s="289">
        <f>+K0kommunestruktur2020!L271</f>
        <v>322024.87331593392</v>
      </c>
      <c r="E499" s="289">
        <f>+K0kommunestruktur2020!N271</f>
        <v>322538.65943564102</v>
      </c>
      <c r="F499" s="517"/>
    </row>
    <row r="500" spans="1:6" ht="13">
      <c r="A500" s="1">
        <v>4647</v>
      </c>
      <c r="B500" s="2" t="s">
        <v>1638</v>
      </c>
      <c r="C500" s="289">
        <f>+K0kommunestruktur2020!K278</f>
        <v>21963</v>
      </c>
      <c r="D500" s="289">
        <f>+K0kommunestruktur2020!L278</f>
        <v>609420</v>
      </c>
      <c r="E500" s="289">
        <f>+K0kommunestruktur2020!N278</f>
        <v>641641</v>
      </c>
      <c r="F500" s="517"/>
    </row>
    <row r="501" spans="1:6" ht="13">
      <c r="A501" s="1">
        <v>4649</v>
      </c>
      <c r="B501" s="2" t="s">
        <v>1639</v>
      </c>
      <c r="C501" s="289">
        <f>+K0kommunestruktur2020!K280</f>
        <v>9429.9260508000007</v>
      </c>
      <c r="D501" s="289">
        <f>+K0kommunestruktur2020!L280</f>
        <v>236944.61148577908</v>
      </c>
      <c r="E501" s="289">
        <f>+K0kommunestruktur2020!N280</f>
        <v>249113.38413126545</v>
      </c>
      <c r="F501" s="517"/>
    </row>
    <row r="502" spans="1:6" ht="13">
      <c r="A502" s="1">
        <v>5006</v>
      </c>
      <c r="B502" s="2" t="s">
        <v>1640</v>
      </c>
      <c r="C502" s="289">
        <f>+K0kommunestruktur2020!K284</f>
        <v>24501.918089570001</v>
      </c>
      <c r="D502" s="289">
        <f>+K0kommunestruktur2020!L284</f>
        <v>556543.28310033213</v>
      </c>
      <c r="E502" s="289">
        <f>+K0kommunestruktur2020!N284</f>
        <v>573022.16683646443</v>
      </c>
      <c r="F502" s="517"/>
    </row>
    <row r="503" spans="1:6" ht="13">
      <c r="A503" s="1">
        <v>5007</v>
      </c>
      <c r="B503" s="2" t="s">
        <v>1641</v>
      </c>
      <c r="C503" s="289">
        <f>+K0kommunestruktur2020!K285</f>
        <v>15331.956649670001</v>
      </c>
      <c r="D503" s="289">
        <f>+K0kommunestruktur2020!L285</f>
        <v>364395.08826999209</v>
      </c>
      <c r="E503" s="289">
        <f>+K0kommunestruktur2020!N285</f>
        <v>387783.82208709297</v>
      </c>
      <c r="F503" s="517"/>
    </row>
    <row r="504" spans="1:6" ht="13">
      <c r="A504" s="1">
        <v>5055</v>
      </c>
      <c r="B504" s="2" t="s">
        <v>1642</v>
      </c>
      <c r="C504" s="289">
        <f>+K0kommunestruktur2020!K314</f>
        <v>6001.5015015015015</v>
      </c>
      <c r="D504" s="289">
        <f>+K0kommunestruktur2020!L314</f>
        <v>153172.37637637637</v>
      </c>
      <c r="E504" s="289">
        <f>+K0kommunestruktur2020!N314</f>
        <v>163996.97697697696</v>
      </c>
      <c r="F504" s="517"/>
    </row>
    <row r="505" spans="1:6" ht="13">
      <c r="A505" s="1">
        <v>5056</v>
      </c>
      <c r="B505" s="2" t="s">
        <v>1643</v>
      </c>
      <c r="C505" s="289">
        <f>+K0kommunestruktur2020!K315</f>
        <v>4968.1081081081084</v>
      </c>
      <c r="D505" s="289">
        <f>+K0kommunestruktur2020!L315</f>
        <v>123056.43243243243</v>
      </c>
      <c r="E505" s="289">
        <f>+K0kommunestruktur2020!N315</f>
        <v>131903.67567567568</v>
      </c>
      <c r="F505" s="517"/>
    </row>
    <row r="506" spans="1:6" ht="13">
      <c r="A506" s="1">
        <v>5057</v>
      </c>
      <c r="B506" s="2" t="s">
        <v>1644</v>
      </c>
      <c r="C506" s="289">
        <f>+K0kommunestruktur2020!K316</f>
        <v>10215</v>
      </c>
      <c r="D506" s="289">
        <f>+K0kommunestruktur2020!L316</f>
        <v>252402</v>
      </c>
      <c r="E506" s="289">
        <f>+K0kommunestruktur2020!N316</f>
        <v>261440</v>
      </c>
      <c r="F506" s="517"/>
    </row>
    <row r="507" spans="1:6" ht="13">
      <c r="A507" s="1">
        <v>5058</v>
      </c>
      <c r="B507" s="2" t="s">
        <v>1645</v>
      </c>
      <c r="C507" s="289">
        <f>+K0kommunestruktur2020!K317</f>
        <v>4230</v>
      </c>
      <c r="D507" s="289">
        <f>+K0kommunestruktur2020!L317</f>
        <v>105726</v>
      </c>
      <c r="E507" s="289">
        <f>+K0kommunestruktur2020!N317</f>
        <v>112012</v>
      </c>
      <c r="F507" s="517"/>
    </row>
    <row r="508" spans="1:6" ht="13">
      <c r="A508" s="1">
        <v>5059</v>
      </c>
      <c r="B508" s="2" t="s">
        <v>1646</v>
      </c>
      <c r="C508" s="289">
        <f>+K0kommunestruktur2020!K318</f>
        <v>18008.390390390392</v>
      </c>
      <c r="D508" s="289">
        <f>+K0kommunestruktur2020!L318</f>
        <v>426122.1911911912</v>
      </c>
      <c r="E508" s="289">
        <f>+K0kommunestruktur2020!N318</f>
        <v>456741.34734734736</v>
      </c>
      <c r="F508" s="517"/>
    </row>
    <row r="509" spans="1:6" ht="13">
      <c r="A509" s="1">
        <v>5060</v>
      </c>
      <c r="B509" s="2" t="s">
        <v>1647</v>
      </c>
      <c r="C509" s="289">
        <f>+K0kommunestruktur2020!K319</f>
        <v>9558.2166839399997</v>
      </c>
      <c r="D509" s="289">
        <f>+K0kommunestruktur2020!L319</f>
        <v>251414.22279798469</v>
      </c>
      <c r="E509" s="289">
        <f>+K0kommunestruktur2020!N319</f>
        <v>273864.94093264249</v>
      </c>
      <c r="F509" s="517"/>
    </row>
    <row r="510" spans="1:6" ht="13">
      <c r="A510" s="1">
        <v>5406</v>
      </c>
      <c r="B510" s="2" t="s">
        <v>1648</v>
      </c>
      <c r="C510" s="289">
        <f>+K0kommunestruktur2020!K326</f>
        <v>11560</v>
      </c>
      <c r="D510" s="289">
        <f>+K0kommunestruktur2020!L326</f>
        <v>327526</v>
      </c>
      <c r="E510" s="289">
        <f>+K0kommunestruktur2020!N326</f>
        <v>340580</v>
      </c>
      <c r="F510" s="517"/>
    </row>
    <row r="511" spans="1:6" ht="13">
      <c r="A511" s="1">
        <v>5412</v>
      </c>
      <c r="B511" s="2" t="s">
        <v>1649</v>
      </c>
      <c r="C511" s="289">
        <f>+K0kommunestruktur2020!K328</f>
        <v>4253</v>
      </c>
      <c r="D511" s="289">
        <f>+K0kommunestruktur2020!L328</f>
        <v>96820</v>
      </c>
      <c r="E511" s="289">
        <f>+K0kommunestruktur2020!N328</f>
        <v>100932</v>
      </c>
      <c r="F511" s="517"/>
    </row>
    <row r="512" spans="1:6" ht="13">
      <c r="A512" s="1">
        <v>5421</v>
      </c>
      <c r="B512" s="2" t="s">
        <v>1650</v>
      </c>
      <c r="C512" s="289">
        <f>+K0kommunestruktur2020!K337</f>
        <v>15025</v>
      </c>
      <c r="D512" s="289">
        <f>+K0kommunestruktur2020!L337</f>
        <v>372209</v>
      </c>
      <c r="E512" s="289">
        <f>+K0kommunestruktur2020!N337</f>
        <v>392512</v>
      </c>
      <c r="F512" s="517"/>
    </row>
    <row r="513" spans="1:6" ht="13">
      <c r="A513" s="916"/>
      <c r="B513" s="917"/>
      <c r="C513" s="918"/>
      <c r="D513" s="918"/>
      <c r="E513" s="918"/>
      <c r="F513" s="517"/>
    </row>
    <row r="514" spans="1:6" ht="13">
      <c r="A514" s="1"/>
      <c r="B514" s="2" t="s">
        <v>974</v>
      </c>
      <c r="C514" s="289">
        <f>C468-SUM(C472:C512)</f>
        <v>5295618.9999999991</v>
      </c>
      <c r="D514" s="289">
        <f>D468-SUM(D472:D512)</f>
        <v>162536856.00000003</v>
      </c>
      <c r="E514" s="289">
        <f>E468-SUM(E472:E512)</f>
        <v>170121596.99999994</v>
      </c>
      <c r="F514" s="517"/>
    </row>
    <row r="515" spans="1:6" ht="13">
      <c r="A515" s="1"/>
      <c r="B515" s="2"/>
      <c r="C515" s="289"/>
      <c r="D515" s="289"/>
      <c r="E515" s="289"/>
      <c r="F515" s="517"/>
    </row>
    <row r="516" spans="1:6" ht="13">
      <c r="A516" s="1"/>
      <c r="B516" s="2" t="s">
        <v>995</v>
      </c>
      <c r="C516" s="289">
        <f>+K0kommunestruktur2020!K361</f>
        <v>5295631.7874527788</v>
      </c>
      <c r="D516" s="289">
        <f>+K0kommunestruktur2020!L361</f>
        <v>162532521.65887633</v>
      </c>
      <c r="E516" s="289">
        <f>+K0kommunestruktur2020!N361</f>
        <v>170117084.88032636</v>
      </c>
      <c r="F516" s="517"/>
    </row>
    <row r="517" spans="1:6" ht="13">
      <c r="A517" s="1"/>
      <c r="B517" s="2"/>
      <c r="C517" s="289"/>
      <c r="D517" s="289"/>
      <c r="E517" s="289"/>
      <c r="F517" s="517"/>
    </row>
    <row r="518" spans="1:6" ht="13">
      <c r="A518" s="1"/>
      <c r="B518" s="2"/>
      <c r="C518" s="289"/>
      <c r="D518" s="289"/>
      <c r="E518" s="289"/>
      <c r="F518" s="517"/>
    </row>
    <row r="519" spans="1:6" ht="13">
      <c r="A519" s="1"/>
      <c r="B519" s="2"/>
      <c r="C519" s="289"/>
      <c r="D519" s="289"/>
      <c r="E519" s="289"/>
      <c r="F519" s="517"/>
    </row>
    <row r="520" spans="1:6" ht="13">
      <c r="A520" s="1"/>
      <c r="B520" s="2"/>
      <c r="C520" s="289"/>
      <c r="D520" s="289"/>
      <c r="E520" s="289"/>
      <c r="F520" s="517"/>
    </row>
    <row r="521" spans="1:6" ht="13">
      <c r="A521" s="1"/>
      <c r="B521" s="2"/>
      <c r="C521" s="289"/>
      <c r="D521" s="289"/>
      <c r="E521" s="289"/>
      <c r="F521" s="517"/>
    </row>
    <row r="522" spans="1:6" ht="13">
      <c r="A522" s="1"/>
      <c r="B522" s="2"/>
      <c r="C522" s="289"/>
      <c r="D522" s="289"/>
      <c r="E522" s="289"/>
      <c r="F522" s="517"/>
    </row>
    <row r="523" spans="1:6" ht="13">
      <c r="A523" s="1"/>
      <c r="B523" s="2"/>
      <c r="C523" s="289"/>
      <c r="D523" s="289"/>
      <c r="E523" s="289"/>
      <c r="F523" s="517"/>
    </row>
    <row r="524" spans="1:6" ht="13">
      <c r="A524" s="1"/>
      <c r="B524" s="2"/>
      <c r="C524" s="289"/>
      <c r="D524" s="289"/>
      <c r="E524" s="289"/>
      <c r="F524" s="517"/>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BP330" activePane="bottomRight" state="frozen"/>
      <selection activeCell="B206" sqref="B206"/>
      <selection pane="topRight" activeCell="B206" sqref="B206"/>
      <selection pane="bottomLeft" activeCell="B206" sqref="B206"/>
      <selection pane="bottomRight" activeCell="BW2" sqref="BW2:BY359"/>
    </sheetView>
  </sheetViews>
  <sheetFormatPr baseColWidth="10" defaultRowHeight="12.5"/>
  <cols>
    <col min="1" max="1" width="6.26953125" customWidth="1"/>
    <col min="2" max="2" width="23.81640625" customWidth="1"/>
    <col min="14" max="16" width="14.81640625" bestFit="1" customWidth="1"/>
    <col min="17" max="17" width="13.81640625" bestFit="1" customWidth="1"/>
    <col min="23" max="23" width="12.81640625" bestFit="1" customWidth="1"/>
    <col min="27" max="27" width="12.453125" customWidth="1"/>
    <col min="29" max="30" width="15.26953125" customWidth="1"/>
    <col min="36" max="36" width="11.54296875" customWidth="1"/>
    <col min="37" max="37" width="11.81640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 min="75" max="77" width="17" customWidth="1"/>
  </cols>
  <sheetData>
    <row r="1" spans="1:77"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77" s="85" customFormat="1" ht="80.25" customHeight="1">
      <c r="A2" s="120" t="s">
        <v>775</v>
      </c>
      <c r="B2" s="120" t="s">
        <v>776</v>
      </c>
      <c r="C2" s="122" t="s">
        <v>1811</v>
      </c>
      <c r="D2" s="120" t="s">
        <v>1004</v>
      </c>
      <c r="E2" s="120" t="s">
        <v>1005</v>
      </c>
      <c r="F2" s="120" t="s">
        <v>777</v>
      </c>
      <c r="G2" s="120" t="s">
        <v>163</v>
      </c>
      <c r="H2" s="120" t="s">
        <v>158</v>
      </c>
      <c r="I2" s="120" t="s">
        <v>723</v>
      </c>
      <c r="J2" s="120" t="s">
        <v>724</v>
      </c>
      <c r="K2" s="120" t="s">
        <v>265</v>
      </c>
      <c r="L2" s="120" t="s">
        <v>726</v>
      </c>
      <c r="M2" s="120" t="s">
        <v>263</v>
      </c>
      <c r="N2" s="122" t="s">
        <v>757</v>
      </c>
      <c r="O2" s="122" t="s">
        <v>1258</v>
      </c>
      <c r="P2" s="120" t="s">
        <v>348</v>
      </c>
      <c r="Q2" s="120" t="s">
        <v>347</v>
      </c>
      <c r="R2" s="120" t="s">
        <v>264</v>
      </c>
      <c r="S2" s="122" t="s">
        <v>1884</v>
      </c>
      <c r="T2" s="122" t="s">
        <v>1120</v>
      </c>
      <c r="U2" s="122" t="s">
        <v>747</v>
      </c>
      <c r="V2" s="122" t="s">
        <v>768</v>
      </c>
      <c r="W2" s="122" t="s">
        <v>1938</v>
      </c>
      <c r="X2" s="122" t="s">
        <v>269</v>
      </c>
      <c r="Y2" s="122" t="s">
        <v>1182</v>
      </c>
      <c r="Z2" s="122" t="s">
        <v>2140</v>
      </c>
      <c r="AA2" s="122" t="s">
        <v>2054</v>
      </c>
      <c r="AB2" s="122" t="s">
        <v>759</v>
      </c>
      <c r="AC2" s="120" t="s">
        <v>1941</v>
      </c>
      <c r="AD2" s="120" t="s">
        <v>2128</v>
      </c>
      <c r="AE2" s="122" t="s">
        <v>917</v>
      </c>
      <c r="AF2" s="122" t="s">
        <v>1064</v>
      </c>
      <c r="AG2" s="122" t="s">
        <v>1812</v>
      </c>
      <c r="AH2" s="122" t="s">
        <v>1024</v>
      </c>
      <c r="AI2" s="122" t="s">
        <v>259</v>
      </c>
      <c r="AJ2" s="122" t="s">
        <v>1313</v>
      </c>
      <c r="AK2" s="122" t="s">
        <v>1940</v>
      </c>
      <c r="AL2" s="122" t="s">
        <v>1168</v>
      </c>
      <c r="AM2" s="120" t="s">
        <v>758</v>
      </c>
      <c r="AN2" s="122" t="s">
        <v>1395</v>
      </c>
      <c r="AO2" s="122" t="s">
        <v>1945</v>
      </c>
      <c r="AP2" s="122" t="s">
        <v>11</v>
      </c>
      <c r="AQ2" s="122" t="s">
        <v>1179</v>
      </c>
      <c r="AR2" s="122" t="s">
        <v>1947</v>
      </c>
      <c r="AS2" s="122" t="s">
        <v>1946</v>
      </c>
      <c r="AT2" s="122" t="s">
        <v>977</v>
      </c>
      <c r="AU2" s="122" t="s">
        <v>978</v>
      </c>
      <c r="AV2" s="122" t="s">
        <v>1948</v>
      </c>
      <c r="AW2" s="122" t="s">
        <v>2021</v>
      </c>
      <c r="AX2" s="120" t="s">
        <v>1002</v>
      </c>
      <c r="AY2" s="122" t="s">
        <v>161</v>
      </c>
      <c r="AZ2" s="122" t="s">
        <v>975</v>
      </c>
      <c r="BA2" s="122" t="s">
        <v>159</v>
      </c>
      <c r="BB2" s="122" t="s">
        <v>1428</v>
      </c>
      <c r="BC2" s="122" t="s">
        <v>1942</v>
      </c>
      <c r="BD2" s="122" t="s">
        <v>2032</v>
      </c>
      <c r="BE2" s="122" t="s">
        <v>1949</v>
      </c>
      <c r="BF2" s="122" t="s">
        <v>1169</v>
      </c>
      <c r="BG2" s="122" t="s">
        <v>2033</v>
      </c>
      <c r="BH2" s="122" t="s">
        <v>2034</v>
      </c>
      <c r="BI2" s="122" t="s">
        <v>1950</v>
      </c>
      <c r="BJ2" s="122" t="s">
        <v>2127</v>
      </c>
      <c r="BK2" s="122" t="s">
        <v>2035</v>
      </c>
      <c r="BL2" s="122" t="s">
        <v>2076</v>
      </c>
      <c r="BM2" s="122" t="s">
        <v>2077</v>
      </c>
      <c r="BN2" s="122" t="s">
        <v>2017</v>
      </c>
      <c r="BO2" s="122" t="s">
        <v>2018</v>
      </c>
      <c r="BP2" s="122" t="s">
        <v>2036</v>
      </c>
      <c r="BQ2" s="122" t="s">
        <v>2044</v>
      </c>
      <c r="BR2" s="122" t="s">
        <v>2049</v>
      </c>
      <c r="BS2" s="122" t="s">
        <v>2125</v>
      </c>
      <c r="BT2" s="122" t="s">
        <v>1429</v>
      </c>
      <c r="BU2" s="122" t="s">
        <v>1376</v>
      </c>
      <c r="BV2" s="122" t="s">
        <v>2126</v>
      </c>
      <c r="BW2" s="122"/>
      <c r="BX2" s="122"/>
      <c r="BY2" s="122"/>
    </row>
    <row r="3" spans="1:77"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86">
        <v>30</v>
      </c>
      <c r="AE3" s="956">
        <v>31</v>
      </c>
      <c r="AF3" s="956">
        <v>32</v>
      </c>
      <c r="AG3" s="956">
        <v>33</v>
      </c>
      <c r="AH3" s="956">
        <v>34</v>
      </c>
      <c r="AI3" s="956">
        <v>35</v>
      </c>
      <c r="AJ3" s="956">
        <v>36</v>
      </c>
      <c r="AK3" s="956">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851">
        <v>59</v>
      </c>
      <c r="BH3" s="851">
        <v>60</v>
      </c>
      <c r="BI3" s="803">
        <v>61</v>
      </c>
      <c r="BJ3" s="986">
        <v>62</v>
      </c>
      <c r="BK3" s="851">
        <v>63</v>
      </c>
      <c r="BL3" s="803">
        <v>64</v>
      </c>
      <c r="BM3" s="803">
        <v>65</v>
      </c>
      <c r="BN3" s="986">
        <v>66</v>
      </c>
      <c r="BO3" s="986">
        <v>67</v>
      </c>
      <c r="BP3" s="851">
        <v>68</v>
      </c>
      <c r="BQ3" s="851">
        <v>69</v>
      </c>
      <c r="BR3" s="851">
        <v>70</v>
      </c>
      <c r="BS3" s="851">
        <v>71</v>
      </c>
      <c r="BT3" s="803">
        <v>72</v>
      </c>
      <c r="BU3" s="803">
        <v>73</v>
      </c>
      <c r="BV3" s="851">
        <v>74</v>
      </c>
      <c r="BW3" s="803"/>
      <c r="BX3" s="803"/>
      <c r="BY3" s="803"/>
    </row>
    <row r="4" spans="1:77" s="85" customFormat="1" ht="13">
      <c r="A4" s="1">
        <v>301</v>
      </c>
      <c r="B4" s="2" t="s">
        <v>823</v>
      </c>
      <c r="C4" s="289">
        <v>693494</v>
      </c>
      <c r="D4" s="290">
        <v>17684</v>
      </c>
      <c r="E4" s="290">
        <v>32387</v>
      </c>
      <c r="F4" s="290">
        <v>70658</v>
      </c>
      <c r="G4" s="290">
        <v>49023</v>
      </c>
      <c r="H4" s="290">
        <v>440494</v>
      </c>
      <c r="I4" s="290">
        <v>54403</v>
      </c>
      <c r="J4" s="290">
        <v>16331</v>
      </c>
      <c r="K4" s="290">
        <v>4823</v>
      </c>
      <c r="L4" s="290">
        <v>5077</v>
      </c>
      <c r="M4" s="290">
        <v>39174</v>
      </c>
      <c r="N4" s="290">
        <v>37649</v>
      </c>
      <c r="O4" s="290">
        <v>6508</v>
      </c>
      <c r="P4" s="624">
        <v>1230936.713</v>
      </c>
      <c r="Q4" s="624">
        <v>521005.87099999998</v>
      </c>
      <c r="R4" s="624">
        <v>1549</v>
      </c>
      <c r="S4" s="290">
        <v>0</v>
      </c>
      <c r="T4" s="290">
        <v>88162</v>
      </c>
      <c r="U4" s="958">
        <v>7.8376378358587526E-4</v>
      </c>
      <c r="V4" s="290">
        <v>-69665.456316430005</v>
      </c>
      <c r="W4" s="765">
        <v>0.52068174</v>
      </c>
      <c r="X4" s="290">
        <v>0</v>
      </c>
      <c r="Y4" s="290">
        <v>13668.057728</v>
      </c>
      <c r="Z4" s="290">
        <v>29485704</v>
      </c>
      <c r="AA4" s="290">
        <v>0</v>
      </c>
      <c r="AB4" s="290">
        <v>7963</v>
      </c>
      <c r="AC4" s="290">
        <v>295606.77100000001</v>
      </c>
      <c r="AD4" s="290">
        <v>2520</v>
      </c>
      <c r="AE4" s="290">
        <v>0</v>
      </c>
      <c r="AF4" s="290">
        <v>0</v>
      </c>
      <c r="AG4" s="290">
        <v>685803</v>
      </c>
      <c r="AH4" s="290">
        <v>105156.45834204</v>
      </c>
      <c r="AI4" s="290">
        <v>4500</v>
      </c>
      <c r="AJ4" s="290">
        <v>0</v>
      </c>
      <c r="AK4" s="290">
        <v>0</v>
      </c>
      <c r="AL4" s="290">
        <v>0</v>
      </c>
      <c r="AM4" s="957">
        <v>45.183527320000003</v>
      </c>
      <c r="AN4" s="290">
        <v>0</v>
      </c>
      <c r="AO4" s="290">
        <v>-86663.312099999996</v>
      </c>
      <c r="AP4" s="290">
        <v>260850</v>
      </c>
      <c r="AQ4" s="290">
        <v>0</v>
      </c>
      <c r="AR4" s="290">
        <v>33300.790500000003</v>
      </c>
      <c r="AS4" s="290">
        <v>165933</v>
      </c>
      <c r="AT4" s="290">
        <v>36651</v>
      </c>
      <c r="AU4" s="290">
        <v>9151</v>
      </c>
      <c r="AV4" s="766">
        <v>14341122</v>
      </c>
      <c r="AW4" s="290">
        <v>412200</v>
      </c>
      <c r="AX4" s="766">
        <v>6289.8333499999999</v>
      </c>
      <c r="AY4" s="290">
        <v>267593</v>
      </c>
      <c r="AZ4" s="290">
        <v>62490</v>
      </c>
      <c r="BA4" s="290">
        <v>14321</v>
      </c>
      <c r="BB4" s="290">
        <v>0</v>
      </c>
      <c r="BC4" s="290">
        <v>85636.695600000006</v>
      </c>
      <c r="BD4" s="290">
        <v>54824</v>
      </c>
      <c r="BE4" s="290">
        <v>14833523.800000001</v>
      </c>
      <c r="BF4" s="290">
        <v>-29776.057540990001</v>
      </c>
      <c r="BG4" s="290">
        <v>25483</v>
      </c>
      <c r="BH4" s="290">
        <v>3630</v>
      </c>
      <c r="BI4" s="290">
        <v>384655.23</v>
      </c>
      <c r="BJ4" s="290">
        <v>78520</v>
      </c>
      <c r="BK4" s="290">
        <f>ROUND(-4300*BL4/BL$361,4)</f>
        <v>0</v>
      </c>
      <c r="BL4" s="290">
        <v>0</v>
      </c>
      <c r="BM4" s="290">
        <v>0</v>
      </c>
      <c r="BN4" s="290">
        <v>443419</v>
      </c>
      <c r="BO4" s="290">
        <v>132416</v>
      </c>
      <c r="BP4" s="290">
        <v>719</v>
      </c>
      <c r="BQ4" s="290">
        <v>79348</v>
      </c>
      <c r="BR4" s="290">
        <v>-323</v>
      </c>
      <c r="BS4" s="290">
        <v>11289</v>
      </c>
      <c r="BT4" s="290">
        <v>0</v>
      </c>
      <c r="BU4" s="290">
        <v>0</v>
      </c>
      <c r="BV4" s="290">
        <v>8187</v>
      </c>
      <c r="BW4" s="290"/>
      <c r="BX4" s="290"/>
      <c r="BY4" s="290"/>
    </row>
    <row r="5" spans="1:77" s="85" customFormat="1" ht="13">
      <c r="A5" s="1">
        <v>1101</v>
      </c>
      <c r="B5" s="2" t="s">
        <v>958</v>
      </c>
      <c r="C5" s="289">
        <v>14811</v>
      </c>
      <c r="D5" s="290">
        <v>335</v>
      </c>
      <c r="E5" s="290">
        <v>675</v>
      </c>
      <c r="F5" s="290">
        <v>1925</v>
      </c>
      <c r="G5" s="290">
        <v>1355</v>
      </c>
      <c r="H5" s="290">
        <v>8232</v>
      </c>
      <c r="I5" s="290">
        <v>1711</v>
      </c>
      <c r="J5" s="290">
        <v>516</v>
      </c>
      <c r="K5" s="290">
        <v>117</v>
      </c>
      <c r="L5" s="290">
        <v>113</v>
      </c>
      <c r="M5" s="290">
        <v>986</v>
      </c>
      <c r="N5" s="290">
        <v>294</v>
      </c>
      <c r="O5" s="290">
        <v>143</v>
      </c>
      <c r="P5" s="624">
        <v>57911.697999999997</v>
      </c>
      <c r="Q5" s="624">
        <v>26749.642</v>
      </c>
      <c r="R5" s="624">
        <v>72</v>
      </c>
      <c r="S5" s="290">
        <v>0</v>
      </c>
      <c r="T5" s="290">
        <v>1105</v>
      </c>
      <c r="U5" s="958">
        <v>3.7767790224870605E-3</v>
      </c>
      <c r="V5" s="290">
        <v>-4221.1650728200002</v>
      </c>
      <c r="W5" s="765">
        <v>0.57632592999999999</v>
      </c>
      <c r="X5" s="290">
        <v>3000</v>
      </c>
      <c r="Y5" s="290">
        <v>427.12680399999999</v>
      </c>
      <c r="Z5" s="290">
        <v>500874</v>
      </c>
      <c r="AA5" s="290">
        <v>306.5</v>
      </c>
      <c r="AB5" s="290">
        <v>416</v>
      </c>
      <c r="AC5" s="290">
        <v>3101.701</v>
      </c>
      <c r="AD5" s="290">
        <v>333</v>
      </c>
      <c r="AE5" s="290">
        <v>0</v>
      </c>
      <c r="AF5" s="290">
        <v>0</v>
      </c>
      <c r="AG5" s="290">
        <v>14866</v>
      </c>
      <c r="AH5" s="290">
        <v>2706.7187792300001</v>
      </c>
      <c r="AI5" s="290">
        <v>163.57499999999999</v>
      </c>
      <c r="AJ5" s="290">
        <v>0</v>
      </c>
      <c r="AK5" s="290">
        <v>0</v>
      </c>
      <c r="AL5" s="290">
        <v>0</v>
      </c>
      <c r="AM5" s="957">
        <v>0.31254683999999999</v>
      </c>
      <c r="AN5" s="290">
        <v>0</v>
      </c>
      <c r="AO5" s="290">
        <v>-2062.6671299999998</v>
      </c>
      <c r="AP5" s="290">
        <v>0</v>
      </c>
      <c r="AQ5" s="290">
        <v>0</v>
      </c>
      <c r="AR5" s="290">
        <v>-800.76398500000005</v>
      </c>
      <c r="AS5" s="290">
        <v>3616</v>
      </c>
      <c r="AT5" s="290">
        <v>777</v>
      </c>
      <c r="AU5" s="290">
        <v>178</v>
      </c>
      <c r="AV5" s="766">
        <v>373688</v>
      </c>
      <c r="AW5" s="290">
        <v>6630.7340000000004</v>
      </c>
      <c r="AX5" s="766">
        <v>102.625</v>
      </c>
      <c r="AY5" s="290">
        <v>2640</v>
      </c>
      <c r="AZ5" s="290">
        <v>497</v>
      </c>
      <c r="BA5" s="290">
        <v>259</v>
      </c>
      <c r="BB5" s="290">
        <v>0</v>
      </c>
      <c r="BC5" s="290">
        <v>3072.2046399999999</v>
      </c>
      <c r="BD5" s="290">
        <v>1256</v>
      </c>
      <c r="BE5" s="290">
        <v>387706.26500000001</v>
      </c>
      <c r="BF5" s="290">
        <v>0</v>
      </c>
      <c r="BG5" s="290">
        <v>652</v>
      </c>
      <c r="BH5" s="290">
        <v>93</v>
      </c>
      <c r="BI5" s="290">
        <v>6235.5465800000002</v>
      </c>
      <c r="BJ5" s="290">
        <v>0</v>
      </c>
      <c r="BK5" s="290">
        <f t="shared" ref="BK5:BK68" si="0">ROUND(-4300*BL5/BL$361,4)</f>
        <v>0</v>
      </c>
      <c r="BL5" s="290">
        <v>0</v>
      </c>
      <c r="BM5" s="290">
        <v>0</v>
      </c>
      <c r="BN5" s="290">
        <v>10554</v>
      </c>
      <c r="BO5" s="290">
        <v>2761</v>
      </c>
      <c r="BP5" s="290">
        <v>13</v>
      </c>
      <c r="BQ5" s="290">
        <v>1489</v>
      </c>
      <c r="BR5" s="290">
        <v>-7</v>
      </c>
      <c r="BS5" s="290">
        <v>172</v>
      </c>
      <c r="BT5" s="290">
        <v>0</v>
      </c>
      <c r="BU5" s="290">
        <v>0</v>
      </c>
      <c r="BV5" s="290">
        <v>210</v>
      </c>
      <c r="BW5" s="290"/>
      <c r="BX5" s="290"/>
      <c r="BY5" s="290"/>
    </row>
    <row r="6" spans="1:77" s="85" customFormat="1" ht="13">
      <c r="A6" s="1">
        <v>1103</v>
      </c>
      <c r="B6" s="2" t="s">
        <v>960</v>
      </c>
      <c r="C6" s="289">
        <v>143574</v>
      </c>
      <c r="D6" s="290">
        <v>3276</v>
      </c>
      <c r="E6" s="290">
        <v>6976</v>
      </c>
      <c r="F6" s="290">
        <v>17742</v>
      </c>
      <c r="G6" s="290">
        <v>12556</v>
      </c>
      <c r="H6" s="290">
        <v>84238</v>
      </c>
      <c r="I6" s="290">
        <v>12734</v>
      </c>
      <c r="J6" s="290">
        <v>3849</v>
      </c>
      <c r="K6" s="290">
        <v>1053</v>
      </c>
      <c r="L6" s="290">
        <v>1067</v>
      </c>
      <c r="M6" s="290">
        <v>7298</v>
      </c>
      <c r="N6" s="290">
        <v>4448</v>
      </c>
      <c r="O6" s="290">
        <v>1678</v>
      </c>
      <c r="P6" s="624">
        <v>266082.30300000001</v>
      </c>
      <c r="Q6" s="624">
        <v>189921.39766667</v>
      </c>
      <c r="R6" s="624">
        <v>368</v>
      </c>
      <c r="S6" s="290">
        <v>0</v>
      </c>
      <c r="T6" s="290">
        <v>13475</v>
      </c>
      <c r="U6" s="958">
        <v>8.0977648427999326E-3</v>
      </c>
      <c r="V6" s="290">
        <v>10547.51857346</v>
      </c>
      <c r="W6" s="765">
        <v>0.53945679000000002</v>
      </c>
      <c r="X6" s="290">
        <v>2800</v>
      </c>
      <c r="Y6" s="290">
        <v>3417.0144319999999</v>
      </c>
      <c r="Z6" s="290">
        <v>5548455</v>
      </c>
      <c r="AA6" s="290">
        <v>1000</v>
      </c>
      <c r="AB6" s="290">
        <v>2512</v>
      </c>
      <c r="AC6" s="290">
        <v>43474.972999999998</v>
      </c>
      <c r="AD6" s="290">
        <v>667</v>
      </c>
      <c r="AE6" s="290">
        <v>0</v>
      </c>
      <c r="AF6" s="290">
        <v>35528.1996</v>
      </c>
      <c r="AG6" s="290">
        <v>142424</v>
      </c>
      <c r="AH6" s="290">
        <v>25105.828805090001</v>
      </c>
      <c r="AI6" s="290">
        <v>4335.652</v>
      </c>
      <c r="AJ6" s="290">
        <v>0</v>
      </c>
      <c r="AK6" s="290">
        <v>114.691</v>
      </c>
      <c r="AL6" s="290">
        <v>0</v>
      </c>
      <c r="AM6" s="957">
        <v>6.0393947099999998</v>
      </c>
      <c r="AN6" s="290">
        <v>0</v>
      </c>
      <c r="AO6" s="290">
        <v>-18657.664700000001</v>
      </c>
      <c r="AP6" s="290">
        <v>54428</v>
      </c>
      <c r="AQ6" s="290">
        <v>1853.25</v>
      </c>
      <c r="AR6" s="290">
        <v>-7671.7348099999999</v>
      </c>
      <c r="AS6" s="290">
        <v>19744</v>
      </c>
      <c r="AT6" s="290">
        <v>7445</v>
      </c>
      <c r="AU6" s="290">
        <v>2001</v>
      </c>
      <c r="AV6" s="766">
        <v>3283518</v>
      </c>
      <c r="AW6" s="290">
        <v>45222.296000000002</v>
      </c>
      <c r="AX6" s="766">
        <v>1166.6438499999999</v>
      </c>
      <c r="AY6" s="290">
        <v>45037</v>
      </c>
      <c r="AZ6" s="290">
        <v>8187</v>
      </c>
      <c r="BA6" s="290">
        <v>2872</v>
      </c>
      <c r="BB6" s="290">
        <v>0</v>
      </c>
      <c r="BC6" s="290">
        <v>36712.468500000003</v>
      </c>
      <c r="BD6" s="290">
        <v>11434</v>
      </c>
      <c r="BE6" s="290">
        <v>3400318.48</v>
      </c>
      <c r="BF6" s="290">
        <v>0</v>
      </c>
      <c r="BG6" s="290">
        <v>5605</v>
      </c>
      <c r="BH6" s="290">
        <v>800</v>
      </c>
      <c r="BI6" s="290">
        <v>107640.70699999999</v>
      </c>
      <c r="BJ6" s="290">
        <v>16250</v>
      </c>
      <c r="BK6" s="290">
        <f t="shared" si="0"/>
        <v>0</v>
      </c>
      <c r="BL6" s="290">
        <v>0</v>
      </c>
      <c r="BM6" s="290">
        <v>0</v>
      </c>
      <c r="BN6" s="290">
        <v>95463</v>
      </c>
      <c r="BO6" s="290">
        <v>28636</v>
      </c>
      <c r="BP6" s="290">
        <v>147</v>
      </c>
      <c r="BQ6" s="290">
        <v>15816</v>
      </c>
      <c r="BR6" s="290">
        <v>-67</v>
      </c>
      <c r="BS6" s="290">
        <v>1700</v>
      </c>
      <c r="BT6" s="290">
        <v>0</v>
      </c>
      <c r="BU6" s="290">
        <v>0</v>
      </c>
      <c r="BV6" s="290">
        <v>1802</v>
      </c>
      <c r="BW6" s="290"/>
      <c r="BX6" s="290"/>
      <c r="BY6" s="290"/>
    </row>
    <row r="7" spans="1:77" s="85" customFormat="1" ht="13">
      <c r="A7" s="1">
        <v>1106</v>
      </c>
      <c r="B7" s="2" t="s">
        <v>961</v>
      </c>
      <c r="C7" s="289">
        <v>37357</v>
      </c>
      <c r="D7" s="290">
        <v>703</v>
      </c>
      <c r="E7" s="290">
        <v>1648</v>
      </c>
      <c r="F7" s="290">
        <v>4484</v>
      </c>
      <c r="G7" s="290">
        <v>3345</v>
      </c>
      <c r="H7" s="290">
        <v>21767</v>
      </c>
      <c r="I7" s="290">
        <v>3932</v>
      </c>
      <c r="J7" s="290">
        <v>1194</v>
      </c>
      <c r="K7" s="290">
        <v>324</v>
      </c>
      <c r="L7" s="290">
        <v>309</v>
      </c>
      <c r="M7" s="290">
        <v>2472</v>
      </c>
      <c r="N7" s="290">
        <v>1144</v>
      </c>
      <c r="O7" s="290">
        <v>401</v>
      </c>
      <c r="P7" s="624">
        <v>65195.767</v>
      </c>
      <c r="Q7" s="624">
        <v>34581.555</v>
      </c>
      <c r="R7" s="624">
        <v>152</v>
      </c>
      <c r="S7" s="290">
        <v>0</v>
      </c>
      <c r="T7" s="290">
        <v>3974</v>
      </c>
      <c r="U7" s="958">
        <v>6.8587713108215749E-4</v>
      </c>
      <c r="V7" s="290">
        <v>-1085.00781846</v>
      </c>
      <c r="W7" s="765">
        <v>0.53299739000000002</v>
      </c>
      <c r="X7" s="290">
        <v>5000</v>
      </c>
      <c r="Y7" s="290">
        <v>427.12680399999999</v>
      </c>
      <c r="Z7" s="290">
        <v>1111347</v>
      </c>
      <c r="AA7" s="290">
        <v>0</v>
      </c>
      <c r="AB7" s="290">
        <v>935</v>
      </c>
      <c r="AC7" s="290">
        <v>12839.057000000001</v>
      </c>
      <c r="AD7" s="290">
        <v>500</v>
      </c>
      <c r="AE7" s="290">
        <v>0</v>
      </c>
      <c r="AF7" s="290">
        <v>0</v>
      </c>
      <c r="AG7" s="290">
        <v>37397</v>
      </c>
      <c r="AH7" s="290">
        <v>6311.3394611800004</v>
      </c>
      <c r="AI7" s="290">
        <v>412.57600000000002</v>
      </c>
      <c r="AJ7" s="290">
        <v>0</v>
      </c>
      <c r="AK7" s="290">
        <v>0</v>
      </c>
      <c r="AL7" s="290">
        <v>0</v>
      </c>
      <c r="AM7" s="957">
        <v>1.65649494</v>
      </c>
      <c r="AN7" s="290">
        <v>0</v>
      </c>
      <c r="AO7" s="290">
        <v>-5055.3869199999999</v>
      </c>
      <c r="AP7" s="290">
        <v>0</v>
      </c>
      <c r="AQ7" s="290">
        <v>0</v>
      </c>
      <c r="AR7" s="290">
        <v>-2014.4067500000001</v>
      </c>
      <c r="AS7" s="290">
        <v>9317</v>
      </c>
      <c r="AT7" s="290">
        <v>2333</v>
      </c>
      <c r="AU7" s="290">
        <v>482</v>
      </c>
      <c r="AV7" s="766">
        <v>903857</v>
      </c>
      <c r="AW7" s="290">
        <v>13547.541999999999</v>
      </c>
      <c r="AX7" s="766">
        <v>218.95830000000001</v>
      </c>
      <c r="AY7" s="290">
        <v>9416</v>
      </c>
      <c r="AZ7" s="290">
        <v>2044</v>
      </c>
      <c r="BA7" s="290">
        <v>942</v>
      </c>
      <c r="BB7" s="290">
        <v>0</v>
      </c>
      <c r="BC7" s="290">
        <v>6541.7254000000003</v>
      </c>
      <c r="BD7" s="290">
        <v>3044</v>
      </c>
      <c r="BE7" s="290">
        <v>932808.33100000001</v>
      </c>
      <c r="BF7" s="290">
        <v>0</v>
      </c>
      <c r="BG7" s="290">
        <v>1513</v>
      </c>
      <c r="BH7" s="290">
        <v>216</v>
      </c>
      <c r="BI7" s="290">
        <v>19577.523300000001</v>
      </c>
      <c r="BJ7" s="290">
        <v>0</v>
      </c>
      <c r="BK7" s="290">
        <f t="shared" si="0"/>
        <v>0</v>
      </c>
      <c r="BL7" s="290">
        <v>0</v>
      </c>
      <c r="BM7" s="290">
        <v>0</v>
      </c>
      <c r="BN7" s="290">
        <v>25866</v>
      </c>
      <c r="BO7" s="290">
        <v>6717</v>
      </c>
      <c r="BP7" s="290">
        <v>33</v>
      </c>
      <c r="BQ7" s="290">
        <v>3750</v>
      </c>
      <c r="BR7" s="290">
        <v>-17</v>
      </c>
      <c r="BS7" s="290">
        <v>521</v>
      </c>
      <c r="BT7" s="290">
        <v>0</v>
      </c>
      <c r="BU7" s="290">
        <v>0</v>
      </c>
      <c r="BV7" s="290">
        <v>487</v>
      </c>
      <c r="BW7" s="290"/>
      <c r="BX7" s="290"/>
      <c r="BY7" s="290"/>
    </row>
    <row r="8" spans="1:77" s="85" customFormat="1" ht="13">
      <c r="A8" s="1">
        <v>1108</v>
      </c>
      <c r="B8" s="2" t="s">
        <v>1610</v>
      </c>
      <c r="C8" s="289">
        <v>79537</v>
      </c>
      <c r="D8" s="290">
        <v>2096</v>
      </c>
      <c r="E8" s="290">
        <v>4416</v>
      </c>
      <c r="F8" s="290">
        <v>10957</v>
      </c>
      <c r="G8" s="290">
        <v>6964</v>
      </c>
      <c r="H8" s="290">
        <v>45857</v>
      </c>
      <c r="I8" s="290">
        <v>6395</v>
      </c>
      <c r="J8" s="290">
        <v>1865</v>
      </c>
      <c r="K8" s="290">
        <v>421</v>
      </c>
      <c r="L8" s="290">
        <v>573</v>
      </c>
      <c r="M8" s="290">
        <v>3377</v>
      </c>
      <c r="N8" s="290">
        <v>2616</v>
      </c>
      <c r="O8" s="290">
        <v>1010</v>
      </c>
      <c r="P8" s="624">
        <v>164641.43400000001</v>
      </c>
      <c r="Q8" s="624">
        <v>106129.18266667001</v>
      </c>
      <c r="R8" s="624">
        <v>231</v>
      </c>
      <c r="S8" s="290">
        <v>0</v>
      </c>
      <c r="T8" s="290">
        <v>5908</v>
      </c>
      <c r="U8" s="958">
        <v>7.2781580008743916E-3</v>
      </c>
      <c r="V8" s="290">
        <v>-3756.4746359999999</v>
      </c>
      <c r="W8" s="765">
        <v>0.54023502999999995</v>
      </c>
      <c r="X8" s="290">
        <v>0</v>
      </c>
      <c r="Y8" s="290">
        <v>427.12680399999999</v>
      </c>
      <c r="Z8" s="290">
        <v>2454234</v>
      </c>
      <c r="AA8" s="290">
        <v>700</v>
      </c>
      <c r="AB8" s="290">
        <v>1411</v>
      </c>
      <c r="AC8" s="290">
        <v>13434.14</v>
      </c>
      <c r="AD8" s="290">
        <v>500</v>
      </c>
      <c r="AE8" s="290">
        <v>0</v>
      </c>
      <c r="AF8" s="290">
        <v>14712.8544</v>
      </c>
      <c r="AG8" s="290">
        <v>78971</v>
      </c>
      <c r="AH8" s="290">
        <v>15545.559270760001</v>
      </c>
      <c r="AI8" s="290">
        <v>1478.4179999999999</v>
      </c>
      <c r="AJ8" s="290">
        <v>0</v>
      </c>
      <c r="AK8" s="290">
        <v>41.865000000000002</v>
      </c>
      <c r="AL8" s="290">
        <v>0</v>
      </c>
      <c r="AM8" s="957">
        <v>3.5438882700000001</v>
      </c>
      <c r="AN8" s="290">
        <v>0</v>
      </c>
      <c r="AO8" s="290">
        <v>-10573.432500000001</v>
      </c>
      <c r="AP8" s="290">
        <v>0</v>
      </c>
      <c r="AQ8" s="290">
        <v>-4027.73</v>
      </c>
      <c r="AR8" s="290">
        <v>-4253.8095400000002</v>
      </c>
      <c r="AS8" s="290">
        <v>13757</v>
      </c>
      <c r="AT8" s="290">
        <v>4330</v>
      </c>
      <c r="AU8" s="290">
        <v>1211</v>
      </c>
      <c r="AV8" s="766">
        <v>1875448</v>
      </c>
      <c r="AW8" s="290">
        <v>27203.455999999998</v>
      </c>
      <c r="AX8" s="766">
        <v>645.58335</v>
      </c>
      <c r="AY8" s="290">
        <v>19074</v>
      </c>
      <c r="AZ8" s="290">
        <v>4141</v>
      </c>
      <c r="BA8" s="290">
        <v>1679</v>
      </c>
      <c r="BB8" s="290">
        <v>0</v>
      </c>
      <c r="BC8" s="290">
        <v>21564.374199999998</v>
      </c>
      <c r="BD8" s="290">
        <v>6385</v>
      </c>
      <c r="BE8" s="290">
        <v>1928384.02</v>
      </c>
      <c r="BF8" s="290">
        <v>0</v>
      </c>
      <c r="BG8" s="290">
        <v>3099</v>
      </c>
      <c r="BH8" s="290">
        <v>442</v>
      </c>
      <c r="BI8" s="290">
        <v>44161.5455</v>
      </c>
      <c r="BJ8" s="290">
        <v>9000</v>
      </c>
      <c r="BK8" s="290">
        <f t="shared" si="0"/>
        <v>0</v>
      </c>
      <c r="BL8" s="290">
        <v>0</v>
      </c>
      <c r="BM8" s="290">
        <v>8579</v>
      </c>
      <c r="BN8" s="290">
        <v>54100</v>
      </c>
      <c r="BO8" s="290">
        <v>17281</v>
      </c>
      <c r="BP8" s="290">
        <v>88</v>
      </c>
      <c r="BQ8" s="290">
        <v>7970</v>
      </c>
      <c r="BR8" s="290">
        <v>-37</v>
      </c>
      <c r="BS8" s="290">
        <v>1037</v>
      </c>
      <c r="BT8" s="290">
        <v>0</v>
      </c>
      <c r="BU8" s="290">
        <v>0</v>
      </c>
      <c r="BV8" s="290">
        <v>996</v>
      </c>
      <c r="BW8" s="290"/>
      <c r="BX8" s="290"/>
      <c r="BY8" s="290"/>
    </row>
    <row r="9" spans="1:77" s="85" customFormat="1" ht="13">
      <c r="A9" s="1">
        <v>1111</v>
      </c>
      <c r="B9" s="2" t="s">
        <v>962</v>
      </c>
      <c r="C9" s="289">
        <v>3280</v>
      </c>
      <c r="D9" s="290">
        <v>69</v>
      </c>
      <c r="E9" s="290">
        <v>148</v>
      </c>
      <c r="F9" s="290">
        <v>480</v>
      </c>
      <c r="G9" s="290">
        <v>261</v>
      </c>
      <c r="H9" s="290">
        <v>1778</v>
      </c>
      <c r="I9" s="290">
        <v>385</v>
      </c>
      <c r="J9" s="290">
        <v>146</v>
      </c>
      <c r="K9" s="290">
        <v>39</v>
      </c>
      <c r="L9" s="290">
        <v>27</v>
      </c>
      <c r="M9" s="290">
        <v>253</v>
      </c>
      <c r="N9" s="290">
        <v>8</v>
      </c>
      <c r="O9" s="290">
        <v>29</v>
      </c>
      <c r="P9" s="624">
        <v>10348.058999999999</v>
      </c>
      <c r="Q9" s="624">
        <v>7039.8666666700001</v>
      </c>
      <c r="R9" s="624">
        <v>21</v>
      </c>
      <c r="S9" s="290">
        <v>0</v>
      </c>
      <c r="T9" s="290">
        <v>250</v>
      </c>
      <c r="U9" s="958">
        <v>1.8871327247598395E-3</v>
      </c>
      <c r="V9" s="290">
        <v>1762.91781545</v>
      </c>
      <c r="W9" s="765">
        <v>0.76448499999999997</v>
      </c>
      <c r="X9" s="290">
        <v>2200</v>
      </c>
      <c r="Y9" s="290">
        <v>427.12680399999999</v>
      </c>
      <c r="Z9" s="290">
        <v>84973</v>
      </c>
      <c r="AA9" s="290">
        <v>0</v>
      </c>
      <c r="AB9" s="290">
        <v>93</v>
      </c>
      <c r="AC9" s="290">
        <v>615.06700000000001</v>
      </c>
      <c r="AD9" s="290">
        <v>333</v>
      </c>
      <c r="AE9" s="290">
        <v>0</v>
      </c>
      <c r="AF9" s="290">
        <v>0</v>
      </c>
      <c r="AG9" s="290">
        <v>3306</v>
      </c>
      <c r="AH9" s="290">
        <v>610.89139115</v>
      </c>
      <c r="AI9" s="290">
        <v>36.225000000000001</v>
      </c>
      <c r="AJ9" s="290">
        <v>0</v>
      </c>
      <c r="AK9" s="290">
        <v>184.68600000000001</v>
      </c>
      <c r="AL9" s="290">
        <v>0</v>
      </c>
      <c r="AM9" s="957">
        <v>3.3486050000000003E-2</v>
      </c>
      <c r="AN9" s="290">
        <v>2032</v>
      </c>
      <c r="AO9" s="290">
        <v>-527.01443900000004</v>
      </c>
      <c r="AP9" s="290">
        <v>0</v>
      </c>
      <c r="AQ9" s="290">
        <v>0</v>
      </c>
      <c r="AR9" s="290">
        <v>827.02895000000001</v>
      </c>
      <c r="AS9" s="290">
        <v>1480</v>
      </c>
      <c r="AT9" s="290">
        <v>171</v>
      </c>
      <c r="AU9" s="290">
        <v>23</v>
      </c>
      <c r="AV9" s="766">
        <v>117400</v>
      </c>
      <c r="AW9" s="290">
        <v>806.11699999999996</v>
      </c>
      <c r="AX9" s="766">
        <v>19.124949999999998</v>
      </c>
      <c r="AY9" s="290">
        <v>441</v>
      </c>
      <c r="AZ9" s="290">
        <v>93</v>
      </c>
      <c r="BA9" s="290">
        <v>82</v>
      </c>
      <c r="BB9" s="290">
        <v>0</v>
      </c>
      <c r="BC9" s="290">
        <v>1015.31432</v>
      </c>
      <c r="BD9" s="290">
        <v>361</v>
      </c>
      <c r="BE9" s="290">
        <v>120259.04300000001</v>
      </c>
      <c r="BF9" s="290">
        <v>0</v>
      </c>
      <c r="BG9" s="290">
        <v>173</v>
      </c>
      <c r="BH9" s="290">
        <v>25</v>
      </c>
      <c r="BI9" s="290">
        <v>1837.7711999999999</v>
      </c>
      <c r="BJ9" s="290">
        <v>0</v>
      </c>
      <c r="BK9" s="290">
        <f t="shared" si="0"/>
        <v>0</v>
      </c>
      <c r="BL9" s="290">
        <v>0</v>
      </c>
      <c r="BM9" s="290">
        <v>0</v>
      </c>
      <c r="BN9" s="290">
        <v>2697</v>
      </c>
      <c r="BO9" s="290">
        <v>625</v>
      </c>
      <c r="BP9" s="290">
        <v>3</v>
      </c>
      <c r="BQ9" s="290">
        <v>322</v>
      </c>
      <c r="BR9" s="290">
        <v>-2</v>
      </c>
      <c r="BS9" s="290">
        <v>50</v>
      </c>
      <c r="BT9" s="290">
        <v>0</v>
      </c>
      <c r="BU9" s="290">
        <v>0</v>
      </c>
      <c r="BV9" s="290">
        <v>56</v>
      </c>
      <c r="BW9" s="290"/>
      <c r="BX9" s="290"/>
      <c r="BY9" s="290"/>
    </row>
    <row r="10" spans="1:77" s="85" customFormat="1" ht="13">
      <c r="A10" s="1">
        <v>1112</v>
      </c>
      <c r="B10" s="2" t="s">
        <v>963</v>
      </c>
      <c r="C10" s="289">
        <v>3202</v>
      </c>
      <c r="D10" s="290">
        <v>74</v>
      </c>
      <c r="E10" s="290">
        <v>168</v>
      </c>
      <c r="F10" s="290">
        <v>443</v>
      </c>
      <c r="G10" s="290">
        <v>295</v>
      </c>
      <c r="H10" s="290">
        <v>1716</v>
      </c>
      <c r="I10" s="290">
        <v>350</v>
      </c>
      <c r="J10" s="290">
        <v>134</v>
      </c>
      <c r="K10" s="290">
        <v>34</v>
      </c>
      <c r="L10" s="290">
        <v>25</v>
      </c>
      <c r="M10" s="290">
        <v>185</v>
      </c>
      <c r="N10" s="290">
        <v>86</v>
      </c>
      <c r="O10" s="290">
        <v>34</v>
      </c>
      <c r="P10" s="624">
        <v>18205.740000000002</v>
      </c>
      <c r="Q10" s="624">
        <v>8168.6946666699996</v>
      </c>
      <c r="R10" s="624">
        <v>10</v>
      </c>
      <c r="S10" s="290">
        <v>0</v>
      </c>
      <c r="T10" s="290">
        <v>222</v>
      </c>
      <c r="U10" s="958">
        <v>2.2370194757579285E-3</v>
      </c>
      <c r="V10" s="290">
        <v>1647.5743974300001</v>
      </c>
      <c r="W10" s="765">
        <v>0.79166504999999998</v>
      </c>
      <c r="X10" s="290">
        <v>1300</v>
      </c>
      <c r="Y10" s="290">
        <v>273.445944</v>
      </c>
      <c r="Z10" s="290">
        <v>80162</v>
      </c>
      <c r="AA10" s="290">
        <v>1540</v>
      </c>
      <c r="AB10" s="290">
        <v>84</v>
      </c>
      <c r="AC10" s="290">
        <v>587.64300000000003</v>
      </c>
      <c r="AD10" s="290">
        <v>333</v>
      </c>
      <c r="AE10" s="290">
        <v>0</v>
      </c>
      <c r="AF10" s="290">
        <v>0</v>
      </c>
      <c r="AG10" s="290">
        <v>3214</v>
      </c>
      <c r="AH10" s="290">
        <v>616.67497828</v>
      </c>
      <c r="AI10" s="290">
        <v>35.363</v>
      </c>
      <c r="AJ10" s="290">
        <v>0</v>
      </c>
      <c r="AK10" s="290">
        <v>0</v>
      </c>
      <c r="AL10" s="290">
        <v>0</v>
      </c>
      <c r="AM10" s="957">
        <v>4.8741939999999997E-2</v>
      </c>
      <c r="AN10" s="290">
        <v>2984</v>
      </c>
      <c r="AO10" s="290">
        <v>-492.53316799999999</v>
      </c>
      <c r="AP10" s="290">
        <v>0</v>
      </c>
      <c r="AQ10" s="290">
        <v>0</v>
      </c>
      <c r="AR10" s="290">
        <v>-173.12360100000001</v>
      </c>
      <c r="AS10" s="290">
        <v>723</v>
      </c>
      <c r="AT10" s="290">
        <v>163</v>
      </c>
      <c r="AU10" s="290">
        <v>21</v>
      </c>
      <c r="AV10" s="766">
        <v>103812</v>
      </c>
      <c r="AW10" s="290">
        <v>401.21600000000001</v>
      </c>
      <c r="AX10" s="766">
        <v>16.458349999999999</v>
      </c>
      <c r="AY10" s="290">
        <v>469</v>
      </c>
      <c r="AZ10" s="290">
        <v>147</v>
      </c>
      <c r="BA10" s="290">
        <v>51</v>
      </c>
      <c r="BB10" s="290">
        <v>0</v>
      </c>
      <c r="BC10" s="290">
        <v>866.254324</v>
      </c>
      <c r="BD10" s="290">
        <v>357</v>
      </c>
      <c r="BE10" s="290">
        <v>108781.234</v>
      </c>
      <c r="BF10" s="290">
        <v>0</v>
      </c>
      <c r="BG10" s="290">
        <v>172</v>
      </c>
      <c r="BH10" s="290">
        <v>25</v>
      </c>
      <c r="BI10" s="290">
        <v>1477.7639200000001</v>
      </c>
      <c r="BJ10" s="290">
        <v>0</v>
      </c>
      <c r="BK10" s="290">
        <f t="shared" si="0"/>
        <v>0</v>
      </c>
      <c r="BL10" s="290">
        <v>0</v>
      </c>
      <c r="BM10" s="290">
        <v>0</v>
      </c>
      <c r="BN10" s="290">
        <v>2520</v>
      </c>
      <c r="BO10" s="290">
        <v>655</v>
      </c>
      <c r="BP10" s="290">
        <v>3</v>
      </c>
      <c r="BQ10" s="290">
        <v>313</v>
      </c>
      <c r="BR10" s="290">
        <v>-2</v>
      </c>
      <c r="BS10" s="290">
        <v>50</v>
      </c>
      <c r="BT10" s="290">
        <v>0</v>
      </c>
      <c r="BU10" s="290">
        <v>0</v>
      </c>
      <c r="BV10" s="290">
        <v>55</v>
      </c>
      <c r="BW10" s="290"/>
      <c r="BX10" s="290"/>
      <c r="BY10" s="290"/>
    </row>
    <row r="11" spans="1:77" ht="13">
      <c r="A11" s="1">
        <v>1114</v>
      </c>
      <c r="B11" s="2" t="s">
        <v>0</v>
      </c>
      <c r="C11" s="289">
        <v>2787</v>
      </c>
      <c r="D11" s="290">
        <v>59</v>
      </c>
      <c r="E11" s="290">
        <v>158</v>
      </c>
      <c r="F11" s="290">
        <v>437</v>
      </c>
      <c r="G11" s="290">
        <v>264</v>
      </c>
      <c r="H11" s="290">
        <v>1515</v>
      </c>
      <c r="I11" s="290">
        <v>273</v>
      </c>
      <c r="J11" s="290">
        <v>69</v>
      </c>
      <c r="K11" s="290">
        <v>16</v>
      </c>
      <c r="L11" s="290">
        <v>25</v>
      </c>
      <c r="M11" s="290">
        <v>116</v>
      </c>
      <c r="N11" s="290">
        <v>13</v>
      </c>
      <c r="O11" s="290">
        <v>26</v>
      </c>
      <c r="P11" s="624">
        <v>18483.394</v>
      </c>
      <c r="Q11" s="624">
        <v>11727.255999999999</v>
      </c>
      <c r="R11" s="624">
        <v>7</v>
      </c>
      <c r="S11" s="290">
        <v>0</v>
      </c>
      <c r="T11" s="290">
        <v>133</v>
      </c>
      <c r="U11" s="958">
        <v>3.6314942772227581E-3</v>
      </c>
      <c r="V11" s="290">
        <v>1224.48301986</v>
      </c>
      <c r="W11" s="765">
        <v>0.80353321</v>
      </c>
      <c r="X11" s="290">
        <v>0</v>
      </c>
      <c r="Y11" s="290">
        <v>0</v>
      </c>
      <c r="Z11" s="290">
        <v>72723</v>
      </c>
      <c r="AA11" s="290">
        <v>347</v>
      </c>
      <c r="AB11" s="290">
        <v>59</v>
      </c>
      <c r="AC11" s="290">
        <v>602.60199999999998</v>
      </c>
      <c r="AD11" s="290">
        <v>167</v>
      </c>
      <c r="AE11" s="290">
        <v>0</v>
      </c>
      <c r="AF11" s="290">
        <v>0</v>
      </c>
      <c r="AG11" s="290">
        <v>2791</v>
      </c>
      <c r="AH11" s="290">
        <v>588.47999100000004</v>
      </c>
      <c r="AI11" s="290">
        <v>30.78</v>
      </c>
      <c r="AJ11" s="290">
        <v>0</v>
      </c>
      <c r="AK11" s="290">
        <v>99.085999999999999</v>
      </c>
      <c r="AL11" s="290">
        <v>0</v>
      </c>
      <c r="AM11" s="957">
        <v>2.5428180000000002E-2</v>
      </c>
      <c r="AN11" s="290">
        <v>0</v>
      </c>
      <c r="AO11" s="290">
        <v>-426.49892399999999</v>
      </c>
      <c r="AP11" s="290">
        <v>0</v>
      </c>
      <c r="AQ11" s="290">
        <v>0</v>
      </c>
      <c r="AR11" s="290">
        <v>567.30446199999994</v>
      </c>
      <c r="AS11" s="290">
        <v>380</v>
      </c>
      <c r="AT11" s="290">
        <v>111</v>
      </c>
      <c r="AU11" s="290">
        <v>19</v>
      </c>
      <c r="AV11" s="766">
        <v>92905</v>
      </c>
      <c r="AW11" s="290">
        <v>375.137</v>
      </c>
      <c r="AX11" s="766">
        <v>15.458349999999999</v>
      </c>
      <c r="AY11" s="290">
        <v>425</v>
      </c>
      <c r="AZ11" s="290">
        <v>95</v>
      </c>
      <c r="BA11" s="290">
        <v>57</v>
      </c>
      <c r="BB11" s="290">
        <v>2938</v>
      </c>
      <c r="BC11" s="290">
        <v>582.90179899999998</v>
      </c>
      <c r="BD11" s="290">
        <v>326</v>
      </c>
      <c r="BE11" s="290">
        <v>92998.392300000007</v>
      </c>
      <c r="BF11" s="290">
        <v>0</v>
      </c>
      <c r="BG11" s="290">
        <v>154</v>
      </c>
      <c r="BH11" s="290">
        <v>22</v>
      </c>
      <c r="BI11" s="290">
        <v>1290.1679899999999</v>
      </c>
      <c r="BJ11" s="290">
        <v>0</v>
      </c>
      <c r="BK11" s="290">
        <f t="shared" si="0"/>
        <v>0</v>
      </c>
      <c r="BL11" s="290">
        <v>0</v>
      </c>
      <c r="BM11" s="290">
        <v>0</v>
      </c>
      <c r="BN11" s="290">
        <v>2182</v>
      </c>
      <c r="BO11" s="290">
        <v>626</v>
      </c>
      <c r="BP11" s="290">
        <v>3</v>
      </c>
      <c r="BQ11" s="290">
        <v>273</v>
      </c>
      <c r="BR11" s="290">
        <v>-1</v>
      </c>
      <c r="BS11" s="290">
        <v>50</v>
      </c>
      <c r="BT11" s="290">
        <v>0</v>
      </c>
      <c r="BU11" s="290">
        <v>0</v>
      </c>
      <c r="BV11" s="290">
        <v>49</v>
      </c>
      <c r="BW11" s="290"/>
      <c r="BX11" s="290"/>
      <c r="BY11" s="290"/>
    </row>
    <row r="12" spans="1:77" ht="13">
      <c r="A12" s="1">
        <v>1119</v>
      </c>
      <c r="B12" s="2" t="s">
        <v>1</v>
      </c>
      <c r="C12" s="289">
        <v>18991</v>
      </c>
      <c r="D12" s="290">
        <v>497</v>
      </c>
      <c r="E12" s="290">
        <v>1130</v>
      </c>
      <c r="F12" s="290">
        <v>2850</v>
      </c>
      <c r="G12" s="290">
        <v>1782</v>
      </c>
      <c r="H12" s="290">
        <v>10330</v>
      </c>
      <c r="I12" s="290">
        <v>1694</v>
      </c>
      <c r="J12" s="290">
        <v>522</v>
      </c>
      <c r="K12" s="290">
        <v>115</v>
      </c>
      <c r="L12" s="290">
        <v>132</v>
      </c>
      <c r="M12" s="290">
        <v>805</v>
      </c>
      <c r="N12" s="290">
        <v>265</v>
      </c>
      <c r="O12" s="290">
        <v>210</v>
      </c>
      <c r="P12" s="624">
        <v>44511.991666670001</v>
      </c>
      <c r="Q12" s="624">
        <v>33084.683666669996</v>
      </c>
      <c r="R12" s="624">
        <v>62</v>
      </c>
      <c r="S12" s="290">
        <v>0</v>
      </c>
      <c r="T12" s="290">
        <v>1281</v>
      </c>
      <c r="U12" s="958">
        <v>8.4192979787854581E-3</v>
      </c>
      <c r="V12" s="290">
        <v>-14869.450004599999</v>
      </c>
      <c r="W12" s="765">
        <v>0.56887427999999995</v>
      </c>
      <c r="X12" s="290">
        <v>0</v>
      </c>
      <c r="Y12" s="290">
        <v>427.12680399999999</v>
      </c>
      <c r="Z12" s="290">
        <v>495345</v>
      </c>
      <c r="AA12" s="290">
        <v>0</v>
      </c>
      <c r="AB12" s="290">
        <v>423</v>
      </c>
      <c r="AC12" s="290">
        <v>3509.681</v>
      </c>
      <c r="AD12" s="290">
        <v>333</v>
      </c>
      <c r="AE12" s="290">
        <v>0</v>
      </c>
      <c r="AF12" s="290">
        <v>0</v>
      </c>
      <c r="AG12" s="290">
        <v>18920</v>
      </c>
      <c r="AH12" s="290">
        <v>3961.0342391499998</v>
      </c>
      <c r="AI12" s="290">
        <v>209.739</v>
      </c>
      <c r="AJ12" s="290">
        <v>0</v>
      </c>
      <c r="AK12" s="290">
        <v>0</v>
      </c>
      <c r="AL12" s="290">
        <v>0</v>
      </c>
      <c r="AM12" s="957">
        <v>0.43453333</v>
      </c>
      <c r="AN12" s="290">
        <v>0</v>
      </c>
      <c r="AO12" s="290">
        <v>-2627.1085899999998</v>
      </c>
      <c r="AP12" s="290">
        <v>0</v>
      </c>
      <c r="AQ12" s="290">
        <v>0</v>
      </c>
      <c r="AR12" s="290">
        <v>-1019.1345700000001</v>
      </c>
      <c r="AS12" s="290">
        <v>1530</v>
      </c>
      <c r="AT12" s="290">
        <v>971</v>
      </c>
      <c r="AU12" s="290">
        <v>199</v>
      </c>
      <c r="AV12" s="766">
        <v>462683</v>
      </c>
      <c r="AW12" s="290">
        <v>1393.4090000000001</v>
      </c>
      <c r="AX12" s="766">
        <v>82.291650000000004</v>
      </c>
      <c r="AY12" s="290">
        <v>2849</v>
      </c>
      <c r="AZ12" s="290">
        <v>796</v>
      </c>
      <c r="BA12" s="290">
        <v>411</v>
      </c>
      <c r="BB12" s="290">
        <v>0</v>
      </c>
      <c r="BC12" s="290">
        <v>4265.2010300000002</v>
      </c>
      <c r="BD12" s="290">
        <v>1585</v>
      </c>
      <c r="BE12" s="290">
        <v>480859.929</v>
      </c>
      <c r="BF12" s="290">
        <v>0</v>
      </c>
      <c r="BG12" s="290">
        <v>791</v>
      </c>
      <c r="BH12" s="290">
        <v>113</v>
      </c>
      <c r="BI12" s="290">
        <v>7897.8420400000005</v>
      </c>
      <c r="BJ12" s="290">
        <v>0</v>
      </c>
      <c r="BK12" s="290">
        <f t="shared" si="0"/>
        <v>0</v>
      </c>
      <c r="BL12" s="290">
        <v>0</v>
      </c>
      <c r="BM12" s="290">
        <v>0</v>
      </c>
      <c r="BN12" s="290">
        <v>13442</v>
      </c>
      <c r="BO12" s="290">
        <v>4175</v>
      </c>
      <c r="BP12" s="290">
        <v>21</v>
      </c>
      <c r="BQ12" s="290">
        <v>1834</v>
      </c>
      <c r="BR12" s="290">
        <v>-9</v>
      </c>
      <c r="BS12" s="290">
        <v>210</v>
      </c>
      <c r="BT12" s="290">
        <v>0</v>
      </c>
      <c r="BU12" s="290">
        <v>0</v>
      </c>
      <c r="BV12" s="290">
        <v>254</v>
      </c>
      <c r="BW12" s="290"/>
      <c r="BX12" s="290"/>
      <c r="BY12" s="290"/>
    </row>
    <row r="13" spans="1:77" ht="13">
      <c r="A13" s="1">
        <v>1120</v>
      </c>
      <c r="B13" s="2" t="s">
        <v>2</v>
      </c>
      <c r="C13" s="289">
        <v>19588</v>
      </c>
      <c r="D13" s="290">
        <v>469</v>
      </c>
      <c r="E13" s="290">
        <v>1068</v>
      </c>
      <c r="F13" s="290">
        <v>2840</v>
      </c>
      <c r="G13" s="290">
        <v>1875</v>
      </c>
      <c r="H13" s="290">
        <v>10922</v>
      </c>
      <c r="I13" s="290">
        <v>1737</v>
      </c>
      <c r="J13" s="290">
        <v>479</v>
      </c>
      <c r="K13" s="290">
        <v>91</v>
      </c>
      <c r="L13" s="290">
        <v>138</v>
      </c>
      <c r="M13" s="290">
        <v>799</v>
      </c>
      <c r="N13" s="290">
        <v>378</v>
      </c>
      <c r="O13" s="290">
        <v>193</v>
      </c>
      <c r="P13" s="624">
        <v>35751.654666670001</v>
      </c>
      <c r="Q13" s="624">
        <v>25022.563666670001</v>
      </c>
      <c r="R13" s="624">
        <v>72</v>
      </c>
      <c r="S13" s="290">
        <v>0</v>
      </c>
      <c r="T13" s="290">
        <v>1183</v>
      </c>
      <c r="U13" s="958">
        <v>5.7750357915839646E-3</v>
      </c>
      <c r="V13" s="290">
        <v>1813.5391606200001</v>
      </c>
      <c r="W13" s="765">
        <v>0.54852329</v>
      </c>
      <c r="X13" s="290">
        <v>4700</v>
      </c>
      <c r="Y13" s="290">
        <v>427.12680399999999</v>
      </c>
      <c r="Z13" s="290">
        <v>571777</v>
      </c>
      <c r="AA13" s="290">
        <v>0</v>
      </c>
      <c r="AB13" s="290">
        <v>458</v>
      </c>
      <c r="AC13" s="290">
        <v>3522.9119999999998</v>
      </c>
      <c r="AD13" s="290">
        <v>333</v>
      </c>
      <c r="AE13" s="290">
        <v>0</v>
      </c>
      <c r="AF13" s="290">
        <v>0</v>
      </c>
      <c r="AG13" s="290">
        <v>19481</v>
      </c>
      <c r="AH13" s="290">
        <v>3938.6228390000001</v>
      </c>
      <c r="AI13" s="290">
        <v>2716.3330000000001</v>
      </c>
      <c r="AJ13" s="290">
        <v>0</v>
      </c>
      <c r="AK13" s="290">
        <v>0</v>
      </c>
      <c r="AL13" s="290">
        <v>0</v>
      </c>
      <c r="AM13" s="957">
        <v>0.46536485999999999</v>
      </c>
      <c r="AN13" s="290">
        <v>0</v>
      </c>
      <c r="AO13" s="290">
        <v>-2627.55377</v>
      </c>
      <c r="AP13" s="290">
        <v>0</v>
      </c>
      <c r="AQ13" s="290">
        <v>0</v>
      </c>
      <c r="AR13" s="290">
        <v>-1049.3531</v>
      </c>
      <c r="AS13" s="290">
        <v>2921</v>
      </c>
      <c r="AT13" s="290">
        <v>1016</v>
      </c>
      <c r="AU13" s="290">
        <v>215</v>
      </c>
      <c r="AV13" s="766">
        <v>462417</v>
      </c>
      <c r="AW13" s="290">
        <v>1430.925</v>
      </c>
      <c r="AX13" s="766">
        <v>142.83330000000001</v>
      </c>
      <c r="AY13" s="290">
        <v>3309</v>
      </c>
      <c r="AZ13" s="290">
        <v>798</v>
      </c>
      <c r="BA13" s="290">
        <v>436</v>
      </c>
      <c r="BB13" s="290">
        <v>0</v>
      </c>
      <c r="BC13" s="290">
        <v>4233.1274800000001</v>
      </c>
      <c r="BD13" s="290">
        <v>1627</v>
      </c>
      <c r="BE13" s="290">
        <v>485719.13500000001</v>
      </c>
      <c r="BF13" s="290">
        <v>0</v>
      </c>
      <c r="BG13" s="290">
        <v>792</v>
      </c>
      <c r="BH13" s="290">
        <v>113</v>
      </c>
      <c r="BI13" s="290">
        <v>7888.6616400000003</v>
      </c>
      <c r="BJ13" s="290">
        <v>0</v>
      </c>
      <c r="BK13" s="290">
        <f t="shared" si="0"/>
        <v>0</v>
      </c>
      <c r="BL13" s="290">
        <v>0</v>
      </c>
      <c r="BM13" s="290">
        <v>0</v>
      </c>
      <c r="BN13" s="290">
        <v>13444</v>
      </c>
      <c r="BO13" s="290">
        <v>4158</v>
      </c>
      <c r="BP13" s="290">
        <v>21</v>
      </c>
      <c r="BQ13" s="290">
        <v>1909</v>
      </c>
      <c r="BR13" s="290">
        <v>-9</v>
      </c>
      <c r="BS13" s="290">
        <v>218</v>
      </c>
      <c r="BT13" s="290">
        <v>0</v>
      </c>
      <c r="BU13" s="290">
        <v>0</v>
      </c>
      <c r="BV13" s="290">
        <v>255</v>
      </c>
      <c r="BW13" s="290"/>
      <c r="BX13" s="290"/>
      <c r="BY13" s="290"/>
    </row>
    <row r="14" spans="1:77" ht="13">
      <c r="A14" s="1">
        <v>1121</v>
      </c>
      <c r="B14" s="2" t="s">
        <v>3</v>
      </c>
      <c r="C14" s="289">
        <v>18916</v>
      </c>
      <c r="D14" s="290">
        <v>464</v>
      </c>
      <c r="E14" s="290">
        <v>1044</v>
      </c>
      <c r="F14" s="290">
        <v>2718</v>
      </c>
      <c r="G14" s="290">
        <v>1694</v>
      </c>
      <c r="H14" s="290">
        <v>10671</v>
      </c>
      <c r="I14" s="290">
        <v>1640</v>
      </c>
      <c r="J14" s="290">
        <v>554</v>
      </c>
      <c r="K14" s="290">
        <v>102</v>
      </c>
      <c r="L14" s="290">
        <v>126</v>
      </c>
      <c r="M14" s="290">
        <v>804</v>
      </c>
      <c r="N14" s="290">
        <v>444</v>
      </c>
      <c r="O14" s="290">
        <v>166</v>
      </c>
      <c r="P14" s="624">
        <v>37320.061000000002</v>
      </c>
      <c r="Q14" s="624">
        <v>22846.294000000002</v>
      </c>
      <c r="R14" s="624">
        <v>56</v>
      </c>
      <c r="S14" s="290">
        <v>0</v>
      </c>
      <c r="T14" s="290">
        <v>1413</v>
      </c>
      <c r="U14" s="958">
        <v>4.9547114575992637E-3</v>
      </c>
      <c r="V14" s="290">
        <v>361.31524443000001</v>
      </c>
      <c r="W14" s="765">
        <v>0.54961283000000005</v>
      </c>
      <c r="X14" s="290">
        <v>0</v>
      </c>
      <c r="Y14" s="290">
        <v>427.12680399999999</v>
      </c>
      <c r="Z14" s="290">
        <v>563308</v>
      </c>
      <c r="AA14" s="290">
        <v>0</v>
      </c>
      <c r="AB14" s="290">
        <v>405</v>
      </c>
      <c r="AC14" s="290">
        <v>3322.3029999999999</v>
      </c>
      <c r="AD14" s="290">
        <v>333</v>
      </c>
      <c r="AE14" s="290">
        <v>0</v>
      </c>
      <c r="AF14" s="290">
        <v>0</v>
      </c>
      <c r="AG14" s="290">
        <v>18887</v>
      </c>
      <c r="AH14" s="290">
        <v>3774.51355405</v>
      </c>
      <c r="AI14" s="290">
        <v>1308.9110000000001</v>
      </c>
      <c r="AJ14" s="290">
        <v>0</v>
      </c>
      <c r="AK14" s="290">
        <v>0</v>
      </c>
      <c r="AL14" s="290">
        <v>0</v>
      </c>
      <c r="AM14" s="957">
        <v>0.43375570000000002</v>
      </c>
      <c r="AN14" s="290">
        <v>0</v>
      </c>
      <c r="AO14" s="290">
        <v>-2556.0989</v>
      </c>
      <c r="AP14" s="290">
        <v>0</v>
      </c>
      <c r="AQ14" s="290">
        <v>0</v>
      </c>
      <c r="AR14" s="290">
        <v>-1017.3570099999999</v>
      </c>
      <c r="AS14" s="290">
        <v>3305</v>
      </c>
      <c r="AT14" s="290">
        <v>970</v>
      </c>
      <c r="AU14" s="290">
        <v>202</v>
      </c>
      <c r="AV14" s="766">
        <v>455920</v>
      </c>
      <c r="AW14" s="290">
        <v>5388.6959999999999</v>
      </c>
      <c r="AX14" s="766">
        <v>141.91665</v>
      </c>
      <c r="AY14" s="290">
        <v>4185</v>
      </c>
      <c r="AZ14" s="290">
        <v>782</v>
      </c>
      <c r="BA14" s="290">
        <v>396</v>
      </c>
      <c r="BB14" s="290">
        <v>0</v>
      </c>
      <c r="BC14" s="290">
        <v>4092.2827900000002</v>
      </c>
      <c r="BD14" s="290">
        <v>1579</v>
      </c>
      <c r="BE14" s="290">
        <v>468296.01899999997</v>
      </c>
      <c r="BF14" s="290">
        <v>0</v>
      </c>
      <c r="BG14" s="290">
        <v>770</v>
      </c>
      <c r="BH14" s="290">
        <v>110</v>
      </c>
      <c r="BI14" s="290">
        <v>7523.9433600000002</v>
      </c>
      <c r="BJ14" s="290">
        <v>0</v>
      </c>
      <c r="BK14" s="290">
        <f t="shared" si="0"/>
        <v>0</v>
      </c>
      <c r="BL14" s="290">
        <v>0</v>
      </c>
      <c r="BM14" s="290">
        <v>0</v>
      </c>
      <c r="BN14" s="290">
        <v>13078</v>
      </c>
      <c r="BO14" s="290">
        <v>4094</v>
      </c>
      <c r="BP14" s="290">
        <v>20</v>
      </c>
      <c r="BQ14" s="290">
        <v>1866</v>
      </c>
      <c r="BR14" s="290">
        <v>-9</v>
      </c>
      <c r="BS14" s="290">
        <v>219</v>
      </c>
      <c r="BT14" s="290">
        <v>0</v>
      </c>
      <c r="BU14" s="290">
        <v>0</v>
      </c>
      <c r="BV14" s="290">
        <v>248</v>
      </c>
      <c r="BW14" s="290"/>
      <c r="BX14" s="290"/>
      <c r="BY14" s="290"/>
    </row>
    <row r="15" spans="1:77" ht="13">
      <c r="A15" s="1">
        <v>1122</v>
      </c>
      <c r="B15" s="2" t="s">
        <v>4</v>
      </c>
      <c r="C15" s="289">
        <v>12002</v>
      </c>
      <c r="D15" s="290">
        <v>324</v>
      </c>
      <c r="E15" s="290">
        <v>758</v>
      </c>
      <c r="F15" s="290">
        <v>1787</v>
      </c>
      <c r="G15" s="290">
        <v>1106</v>
      </c>
      <c r="H15" s="290">
        <v>6816</v>
      </c>
      <c r="I15" s="290">
        <v>894</v>
      </c>
      <c r="J15" s="290">
        <v>236</v>
      </c>
      <c r="K15" s="290">
        <v>39</v>
      </c>
      <c r="L15" s="290">
        <v>88</v>
      </c>
      <c r="M15" s="290">
        <v>420</v>
      </c>
      <c r="N15" s="290">
        <v>210</v>
      </c>
      <c r="O15" s="290">
        <v>134</v>
      </c>
      <c r="P15" s="624">
        <v>67852.019</v>
      </c>
      <c r="Q15" s="624">
        <v>23528.25</v>
      </c>
      <c r="R15" s="624">
        <v>38</v>
      </c>
      <c r="S15" s="290">
        <v>0</v>
      </c>
      <c r="T15" s="290">
        <v>728</v>
      </c>
      <c r="U15" s="958">
        <v>2.9788583162389469E-3</v>
      </c>
      <c r="V15" s="290">
        <v>3398.60122856</v>
      </c>
      <c r="W15" s="765">
        <v>0.59652126999999999</v>
      </c>
      <c r="X15" s="290">
        <v>2000</v>
      </c>
      <c r="Y15" s="290">
        <v>427.12680399999999</v>
      </c>
      <c r="Z15" s="290">
        <v>324379</v>
      </c>
      <c r="AA15" s="290">
        <v>552.5</v>
      </c>
      <c r="AB15" s="290">
        <v>216</v>
      </c>
      <c r="AC15" s="290">
        <v>2224.665</v>
      </c>
      <c r="AD15" s="290">
        <v>333</v>
      </c>
      <c r="AE15" s="290">
        <v>0</v>
      </c>
      <c r="AF15" s="290">
        <v>0</v>
      </c>
      <c r="AG15" s="290">
        <v>11960</v>
      </c>
      <c r="AH15" s="290">
        <v>2546.9471846199999</v>
      </c>
      <c r="AI15" s="290">
        <v>1482.5519999999999</v>
      </c>
      <c r="AJ15" s="290">
        <v>0</v>
      </c>
      <c r="AK15" s="290">
        <v>0</v>
      </c>
      <c r="AL15" s="290">
        <v>0</v>
      </c>
      <c r="AM15" s="957">
        <v>0.37707898000000001</v>
      </c>
      <c r="AN15" s="290">
        <v>0</v>
      </c>
      <c r="AO15" s="290">
        <v>-1650.6817599999999</v>
      </c>
      <c r="AP15" s="290">
        <v>0</v>
      </c>
      <c r="AQ15" s="290">
        <v>0</v>
      </c>
      <c r="AR15" s="290">
        <v>-644.23094700000001</v>
      </c>
      <c r="AS15" s="290">
        <v>2599</v>
      </c>
      <c r="AT15" s="290">
        <v>611</v>
      </c>
      <c r="AU15" s="290">
        <v>170</v>
      </c>
      <c r="AV15" s="766">
        <v>300166</v>
      </c>
      <c r="AW15" s="290">
        <v>4954.2139999999999</v>
      </c>
      <c r="AX15" s="766">
        <v>86.625</v>
      </c>
      <c r="AY15" s="290">
        <v>2099</v>
      </c>
      <c r="AZ15" s="290">
        <v>514</v>
      </c>
      <c r="BA15" s="290">
        <v>264</v>
      </c>
      <c r="BB15" s="290">
        <v>0</v>
      </c>
      <c r="BC15" s="290">
        <v>2865.8183600000002</v>
      </c>
      <c r="BD15" s="290">
        <v>1035</v>
      </c>
      <c r="BE15" s="290">
        <v>314970.50900000002</v>
      </c>
      <c r="BF15" s="290">
        <v>0</v>
      </c>
      <c r="BG15" s="290">
        <v>506</v>
      </c>
      <c r="BH15" s="290">
        <v>72</v>
      </c>
      <c r="BI15" s="290">
        <v>5198.7389899999998</v>
      </c>
      <c r="BJ15" s="290">
        <v>0</v>
      </c>
      <c r="BK15" s="290">
        <f t="shared" si="0"/>
        <v>0</v>
      </c>
      <c r="BL15" s="290">
        <v>0</v>
      </c>
      <c r="BM15" s="290">
        <v>0</v>
      </c>
      <c r="BN15" s="290">
        <v>8446</v>
      </c>
      <c r="BO15" s="290">
        <v>2829</v>
      </c>
      <c r="BP15" s="290">
        <v>14</v>
      </c>
      <c r="BQ15" s="290">
        <v>1162</v>
      </c>
      <c r="BR15" s="290">
        <v>-6</v>
      </c>
      <c r="BS15" s="290">
        <v>109</v>
      </c>
      <c r="BT15" s="290">
        <v>0</v>
      </c>
      <c r="BU15" s="290">
        <v>0</v>
      </c>
      <c r="BV15" s="290">
        <v>163</v>
      </c>
      <c r="BW15" s="290"/>
      <c r="BX15" s="290"/>
      <c r="BY15" s="290"/>
    </row>
    <row r="16" spans="1:77" ht="13">
      <c r="A16" s="1">
        <v>1124</v>
      </c>
      <c r="B16" s="2" t="s">
        <v>5</v>
      </c>
      <c r="C16" s="289">
        <v>27153</v>
      </c>
      <c r="D16" s="290">
        <v>706</v>
      </c>
      <c r="E16" s="290">
        <v>1529</v>
      </c>
      <c r="F16" s="290">
        <v>3748</v>
      </c>
      <c r="G16" s="290">
        <v>2249</v>
      </c>
      <c r="H16" s="290">
        <v>15647</v>
      </c>
      <c r="I16" s="290">
        <v>2174</v>
      </c>
      <c r="J16" s="290">
        <v>698</v>
      </c>
      <c r="K16" s="290">
        <v>159</v>
      </c>
      <c r="L16" s="290">
        <v>179</v>
      </c>
      <c r="M16" s="290">
        <v>1071</v>
      </c>
      <c r="N16" s="290">
        <v>452</v>
      </c>
      <c r="O16" s="290">
        <v>337</v>
      </c>
      <c r="P16" s="624">
        <v>38042.192999999999</v>
      </c>
      <c r="Q16" s="624">
        <v>46513.563333329999</v>
      </c>
      <c r="R16" s="624">
        <v>82</v>
      </c>
      <c r="S16" s="290">
        <v>0</v>
      </c>
      <c r="T16" s="290">
        <v>1859</v>
      </c>
      <c r="U16" s="958">
        <v>3.1751024650407893E-3</v>
      </c>
      <c r="V16" s="290">
        <v>7243.6103614800004</v>
      </c>
      <c r="W16" s="765">
        <v>0.55615004000000001</v>
      </c>
      <c r="X16" s="290">
        <v>0</v>
      </c>
      <c r="Y16" s="290">
        <v>427.12680399999999</v>
      </c>
      <c r="Z16" s="290">
        <v>1057879</v>
      </c>
      <c r="AA16" s="290">
        <v>0</v>
      </c>
      <c r="AB16" s="290">
        <v>385</v>
      </c>
      <c r="AC16" s="290">
        <v>4629.674</v>
      </c>
      <c r="AD16" s="290">
        <v>333</v>
      </c>
      <c r="AE16" s="290">
        <v>0</v>
      </c>
      <c r="AF16" s="290">
        <v>0</v>
      </c>
      <c r="AG16" s="290">
        <v>26910</v>
      </c>
      <c r="AH16" s="290">
        <v>5226.19392496</v>
      </c>
      <c r="AI16" s="290">
        <v>349.88200000000001</v>
      </c>
      <c r="AJ16" s="290">
        <v>0</v>
      </c>
      <c r="AK16" s="290">
        <v>0</v>
      </c>
      <c r="AL16" s="290">
        <v>0</v>
      </c>
      <c r="AM16" s="957">
        <v>0.98845669000000003</v>
      </c>
      <c r="AN16" s="290">
        <v>0</v>
      </c>
      <c r="AO16" s="290">
        <v>-3616.1543499999998</v>
      </c>
      <c r="AP16" s="290">
        <v>0</v>
      </c>
      <c r="AQ16" s="290">
        <v>0</v>
      </c>
      <c r="AR16" s="290">
        <v>-1449.51963</v>
      </c>
      <c r="AS16" s="290">
        <v>6207</v>
      </c>
      <c r="AT16" s="290">
        <v>1306</v>
      </c>
      <c r="AU16" s="290">
        <v>407</v>
      </c>
      <c r="AV16" s="766">
        <v>619938</v>
      </c>
      <c r="AW16" s="290">
        <v>7506.3149999999996</v>
      </c>
      <c r="AX16" s="766">
        <v>249.875</v>
      </c>
      <c r="AY16" s="290">
        <v>7006</v>
      </c>
      <c r="AZ16" s="290">
        <v>1314</v>
      </c>
      <c r="BA16" s="290">
        <v>533</v>
      </c>
      <c r="BB16" s="290">
        <v>0</v>
      </c>
      <c r="BC16" s="290">
        <v>5422.6376200000004</v>
      </c>
      <c r="BD16" s="290">
        <v>2223</v>
      </c>
      <c r="BE16" s="290">
        <v>663216.01500000001</v>
      </c>
      <c r="BF16" s="290">
        <v>0</v>
      </c>
      <c r="BG16" s="290">
        <v>1075</v>
      </c>
      <c r="BH16" s="290">
        <v>153</v>
      </c>
      <c r="BI16" s="290">
        <v>10282.994699999999</v>
      </c>
      <c r="BJ16" s="290">
        <v>3070</v>
      </c>
      <c r="BK16" s="290">
        <f t="shared" si="0"/>
        <v>0</v>
      </c>
      <c r="BL16" s="290">
        <v>0</v>
      </c>
      <c r="BM16" s="290">
        <v>0</v>
      </c>
      <c r="BN16" s="290">
        <v>18502</v>
      </c>
      <c r="BO16" s="290">
        <v>6039</v>
      </c>
      <c r="BP16" s="290">
        <v>31</v>
      </c>
      <c r="BQ16" s="290">
        <v>2970</v>
      </c>
      <c r="BR16" s="290">
        <v>-13</v>
      </c>
      <c r="BS16" s="290">
        <v>277</v>
      </c>
      <c r="BT16" s="290">
        <v>0</v>
      </c>
      <c r="BU16" s="290">
        <v>0</v>
      </c>
      <c r="BV16" s="290">
        <v>345</v>
      </c>
      <c r="BW16" s="290"/>
      <c r="BX16" s="290"/>
      <c r="BY16" s="290"/>
    </row>
    <row r="17" spans="1:77" ht="13">
      <c r="A17" s="1">
        <v>1127</v>
      </c>
      <c r="B17" s="2" t="s">
        <v>6</v>
      </c>
      <c r="C17" s="289">
        <v>11221</v>
      </c>
      <c r="D17" s="290">
        <v>252</v>
      </c>
      <c r="E17" s="290">
        <v>607</v>
      </c>
      <c r="F17" s="290">
        <v>1579</v>
      </c>
      <c r="G17" s="290">
        <v>1094</v>
      </c>
      <c r="H17" s="290">
        <v>6201</v>
      </c>
      <c r="I17" s="290">
        <v>1022</v>
      </c>
      <c r="J17" s="290">
        <v>353</v>
      </c>
      <c r="K17" s="290">
        <v>61</v>
      </c>
      <c r="L17" s="290">
        <v>69</v>
      </c>
      <c r="M17" s="290">
        <v>446</v>
      </c>
      <c r="N17" s="290">
        <v>190</v>
      </c>
      <c r="O17" s="290">
        <v>113</v>
      </c>
      <c r="P17" s="624">
        <v>6534.3366666700003</v>
      </c>
      <c r="Q17" s="624">
        <v>15322.25633333</v>
      </c>
      <c r="R17" s="624">
        <v>36</v>
      </c>
      <c r="S17" s="290">
        <v>0</v>
      </c>
      <c r="T17" s="290">
        <v>679</v>
      </c>
      <c r="U17" s="958">
        <v>1.4214416367039125E-3</v>
      </c>
      <c r="V17" s="290">
        <v>-822.58613815000001</v>
      </c>
      <c r="W17" s="765">
        <v>0.54469045000000005</v>
      </c>
      <c r="X17" s="290">
        <v>3000</v>
      </c>
      <c r="Y17" s="290">
        <v>427.12680399999999</v>
      </c>
      <c r="Z17" s="290">
        <v>389630</v>
      </c>
      <c r="AA17" s="290">
        <v>0</v>
      </c>
      <c r="AB17" s="290">
        <v>183</v>
      </c>
      <c r="AC17" s="290">
        <v>1927.6969999999999</v>
      </c>
      <c r="AD17" s="290">
        <v>333</v>
      </c>
      <c r="AE17" s="290">
        <v>0</v>
      </c>
      <c r="AF17" s="290">
        <v>0</v>
      </c>
      <c r="AG17" s="290">
        <v>11169</v>
      </c>
      <c r="AH17" s="290">
        <v>2218.0056663099999</v>
      </c>
      <c r="AI17" s="290">
        <v>1123.9259999999999</v>
      </c>
      <c r="AJ17" s="290">
        <v>0</v>
      </c>
      <c r="AK17" s="290">
        <v>0</v>
      </c>
      <c r="AL17" s="290">
        <v>0</v>
      </c>
      <c r="AM17" s="957">
        <v>0.23235940999999999</v>
      </c>
      <c r="AN17" s="290">
        <v>0</v>
      </c>
      <c r="AO17" s="290">
        <v>-1507.0427400000001</v>
      </c>
      <c r="AP17" s="290">
        <v>0</v>
      </c>
      <c r="AQ17" s="290">
        <v>0</v>
      </c>
      <c r="AR17" s="290">
        <v>-601.62336500000004</v>
      </c>
      <c r="AS17" s="290">
        <v>2412</v>
      </c>
      <c r="AT17" s="290">
        <v>511</v>
      </c>
      <c r="AU17" s="290">
        <v>124</v>
      </c>
      <c r="AV17" s="766">
        <v>269492</v>
      </c>
      <c r="AW17" s="290">
        <v>2505.1039999999998</v>
      </c>
      <c r="AX17" s="766">
        <v>98.166700000000006</v>
      </c>
      <c r="AY17" s="290">
        <v>2517</v>
      </c>
      <c r="AZ17" s="290">
        <v>448</v>
      </c>
      <c r="BA17" s="290">
        <v>241</v>
      </c>
      <c r="BB17" s="290">
        <v>0</v>
      </c>
      <c r="BC17" s="290">
        <v>2565.3031999999998</v>
      </c>
      <c r="BD17" s="290">
        <v>962</v>
      </c>
      <c r="BE17" s="290">
        <v>277206.54800000001</v>
      </c>
      <c r="BF17" s="290">
        <v>0</v>
      </c>
      <c r="BG17" s="290">
        <v>466</v>
      </c>
      <c r="BH17" s="290">
        <v>66</v>
      </c>
      <c r="BI17" s="290">
        <v>4572.8294699999997</v>
      </c>
      <c r="BJ17" s="290">
        <v>0</v>
      </c>
      <c r="BK17" s="290">
        <f t="shared" si="0"/>
        <v>0</v>
      </c>
      <c r="BL17" s="290">
        <v>0</v>
      </c>
      <c r="BM17" s="290">
        <v>0</v>
      </c>
      <c r="BN17" s="290">
        <v>7711</v>
      </c>
      <c r="BO17" s="290">
        <v>2417</v>
      </c>
      <c r="BP17" s="290">
        <v>12</v>
      </c>
      <c r="BQ17" s="290">
        <v>1158</v>
      </c>
      <c r="BR17" s="290">
        <v>-5</v>
      </c>
      <c r="BS17" s="290">
        <v>149</v>
      </c>
      <c r="BT17" s="290">
        <v>0</v>
      </c>
      <c r="BU17" s="290">
        <v>0</v>
      </c>
      <c r="BV17" s="290">
        <v>150</v>
      </c>
      <c r="BW17" s="290"/>
      <c r="BX17" s="290"/>
      <c r="BY17" s="290"/>
    </row>
    <row r="18" spans="1:77" ht="13">
      <c r="A18" s="1">
        <v>1130</v>
      </c>
      <c r="B18" s="2" t="s">
        <v>12</v>
      </c>
      <c r="C18" s="289">
        <v>12968</v>
      </c>
      <c r="D18" s="290">
        <v>306</v>
      </c>
      <c r="E18" s="290">
        <v>695</v>
      </c>
      <c r="F18" s="290">
        <v>1889</v>
      </c>
      <c r="G18" s="290">
        <v>1220</v>
      </c>
      <c r="H18" s="290">
        <v>7024</v>
      </c>
      <c r="I18" s="290">
        <v>1290</v>
      </c>
      <c r="J18" s="290">
        <v>441</v>
      </c>
      <c r="K18" s="290">
        <v>92</v>
      </c>
      <c r="L18" s="290">
        <v>86</v>
      </c>
      <c r="M18" s="290">
        <v>641</v>
      </c>
      <c r="N18" s="290">
        <v>171</v>
      </c>
      <c r="O18" s="290">
        <v>120</v>
      </c>
      <c r="P18" s="624">
        <v>28473.566999999999</v>
      </c>
      <c r="Q18" s="624">
        <v>21096.67</v>
      </c>
      <c r="R18" s="624">
        <v>57</v>
      </c>
      <c r="S18" s="290">
        <v>0</v>
      </c>
      <c r="T18" s="290">
        <v>871</v>
      </c>
      <c r="U18" s="958">
        <v>3.2717334101678439E-3</v>
      </c>
      <c r="V18" s="290">
        <v>-11604.22401374</v>
      </c>
      <c r="W18" s="765">
        <v>0.57926378000000001</v>
      </c>
      <c r="X18" s="290">
        <v>3500</v>
      </c>
      <c r="Y18" s="290">
        <v>427.12680399999999</v>
      </c>
      <c r="Z18" s="290">
        <v>352943</v>
      </c>
      <c r="AA18" s="290">
        <v>204</v>
      </c>
      <c r="AB18" s="290">
        <v>286</v>
      </c>
      <c r="AC18" s="290">
        <v>2448.8690000000001</v>
      </c>
      <c r="AD18" s="290">
        <v>333</v>
      </c>
      <c r="AE18" s="290">
        <v>0</v>
      </c>
      <c r="AF18" s="290">
        <v>0</v>
      </c>
      <c r="AG18" s="290">
        <v>12957</v>
      </c>
      <c r="AH18" s="290">
        <v>2614.9043334600001</v>
      </c>
      <c r="AI18" s="290">
        <v>1043.221</v>
      </c>
      <c r="AJ18" s="290">
        <v>0</v>
      </c>
      <c r="AK18" s="290">
        <v>0</v>
      </c>
      <c r="AL18" s="290">
        <v>0</v>
      </c>
      <c r="AM18" s="957">
        <v>0.39643808000000003</v>
      </c>
      <c r="AN18" s="290">
        <v>0</v>
      </c>
      <c r="AO18" s="290">
        <v>-1850.2793999999999</v>
      </c>
      <c r="AP18" s="290">
        <v>0</v>
      </c>
      <c r="AQ18" s="290">
        <v>4027.73</v>
      </c>
      <c r="AR18" s="290">
        <v>-697.93481399999996</v>
      </c>
      <c r="AS18" s="290">
        <v>1878</v>
      </c>
      <c r="AT18" s="290">
        <v>617</v>
      </c>
      <c r="AU18" s="290">
        <v>153</v>
      </c>
      <c r="AV18" s="766">
        <v>338995</v>
      </c>
      <c r="AW18" s="290">
        <v>5514.92</v>
      </c>
      <c r="AX18" s="766">
        <v>95.583299999999994</v>
      </c>
      <c r="AY18" s="290">
        <v>2283</v>
      </c>
      <c r="AZ18" s="290">
        <v>697</v>
      </c>
      <c r="BA18" s="290">
        <v>347</v>
      </c>
      <c r="BB18" s="290">
        <v>0</v>
      </c>
      <c r="BC18" s="290">
        <v>2930.6626999999999</v>
      </c>
      <c r="BD18" s="290">
        <v>1108</v>
      </c>
      <c r="BE18" s="290">
        <v>351929.66</v>
      </c>
      <c r="BF18" s="290">
        <v>0</v>
      </c>
      <c r="BG18" s="290">
        <v>558</v>
      </c>
      <c r="BH18" s="290">
        <v>80</v>
      </c>
      <c r="BI18" s="290">
        <v>5490.9001399999997</v>
      </c>
      <c r="BJ18" s="290">
        <v>0</v>
      </c>
      <c r="BK18" s="290">
        <f t="shared" si="0"/>
        <v>0</v>
      </c>
      <c r="BL18" s="290">
        <v>0</v>
      </c>
      <c r="BM18" s="290">
        <v>0</v>
      </c>
      <c r="BN18" s="290">
        <v>9467</v>
      </c>
      <c r="BO18" s="290">
        <v>2742</v>
      </c>
      <c r="BP18" s="290">
        <v>13</v>
      </c>
      <c r="BQ18" s="290">
        <v>1243</v>
      </c>
      <c r="BR18" s="290">
        <v>-6</v>
      </c>
      <c r="BS18" s="290">
        <v>196</v>
      </c>
      <c r="BT18" s="290">
        <v>0</v>
      </c>
      <c r="BU18" s="290">
        <v>0</v>
      </c>
      <c r="BV18" s="290">
        <v>179</v>
      </c>
      <c r="BW18" s="290"/>
      <c r="BX18" s="290"/>
      <c r="BY18" s="290"/>
    </row>
    <row r="19" spans="1:77" ht="13">
      <c r="A19" s="1">
        <v>1133</v>
      </c>
      <c r="B19" s="2" t="s">
        <v>13</v>
      </c>
      <c r="C19" s="289">
        <v>2574</v>
      </c>
      <c r="D19" s="290">
        <v>47</v>
      </c>
      <c r="E19" s="290">
        <v>143</v>
      </c>
      <c r="F19" s="290">
        <v>362</v>
      </c>
      <c r="G19" s="290">
        <v>231</v>
      </c>
      <c r="H19" s="290">
        <v>1328</v>
      </c>
      <c r="I19" s="290">
        <v>350</v>
      </c>
      <c r="J19" s="290">
        <v>103</v>
      </c>
      <c r="K19" s="290">
        <v>33</v>
      </c>
      <c r="L19" s="290">
        <v>17</v>
      </c>
      <c r="M19" s="290">
        <v>193</v>
      </c>
      <c r="N19" s="290">
        <v>48</v>
      </c>
      <c r="O19" s="290">
        <v>48</v>
      </c>
      <c r="P19" s="624">
        <v>29140.787</v>
      </c>
      <c r="Q19" s="624">
        <v>14161.84333333</v>
      </c>
      <c r="R19" s="624">
        <v>6</v>
      </c>
      <c r="S19" s="290">
        <v>0</v>
      </c>
      <c r="T19" s="290">
        <v>168</v>
      </c>
      <c r="U19" s="958">
        <v>3.9574715762956438E-3</v>
      </c>
      <c r="V19" s="290">
        <v>1157.7369616399999</v>
      </c>
      <c r="W19" s="765">
        <v>1</v>
      </c>
      <c r="X19" s="290">
        <v>1000</v>
      </c>
      <c r="Y19" s="290">
        <v>427.12680399999999</v>
      </c>
      <c r="Z19" s="290">
        <v>94093</v>
      </c>
      <c r="AA19" s="290">
        <v>250</v>
      </c>
      <c r="AB19" s="290">
        <v>45</v>
      </c>
      <c r="AC19" s="290">
        <v>568.15899999999999</v>
      </c>
      <c r="AD19" s="290">
        <v>167</v>
      </c>
      <c r="AE19" s="290">
        <v>0</v>
      </c>
      <c r="AF19" s="290">
        <v>0</v>
      </c>
      <c r="AG19" s="290">
        <v>2597</v>
      </c>
      <c r="AH19" s="290">
        <v>507.50977110999997</v>
      </c>
      <c r="AI19" s="290">
        <v>278.428</v>
      </c>
      <c r="AJ19" s="290">
        <v>0</v>
      </c>
      <c r="AK19" s="290">
        <v>257.53899999999999</v>
      </c>
      <c r="AL19" s="290">
        <v>0</v>
      </c>
      <c r="AM19" s="957">
        <v>6.380015E-2</v>
      </c>
      <c r="AN19" s="290">
        <v>0</v>
      </c>
      <c r="AO19" s="290">
        <v>-436.768843</v>
      </c>
      <c r="AP19" s="290">
        <v>0</v>
      </c>
      <c r="AQ19" s="290">
        <v>-1853.25</v>
      </c>
      <c r="AR19" s="290">
        <v>-139.888609</v>
      </c>
      <c r="AS19" s="290">
        <v>1551</v>
      </c>
      <c r="AT19" s="290">
        <v>94</v>
      </c>
      <c r="AU19" s="290">
        <v>35</v>
      </c>
      <c r="AV19" s="766">
        <v>101129</v>
      </c>
      <c r="AW19" s="290">
        <v>1061.72</v>
      </c>
      <c r="AX19" s="766">
        <v>14.814450000000001</v>
      </c>
      <c r="AY19" s="290">
        <v>502</v>
      </c>
      <c r="AZ19" s="290">
        <v>132</v>
      </c>
      <c r="BA19" s="290">
        <v>39</v>
      </c>
      <c r="BB19" s="290">
        <v>5875</v>
      </c>
      <c r="BC19" s="290">
        <v>923.97444900000005</v>
      </c>
      <c r="BD19" s="290">
        <v>334</v>
      </c>
      <c r="BE19" s="290">
        <v>107219.11900000001</v>
      </c>
      <c r="BF19" s="290">
        <v>0</v>
      </c>
      <c r="BG19" s="290">
        <v>167</v>
      </c>
      <c r="BH19" s="290">
        <v>24</v>
      </c>
      <c r="BI19" s="290">
        <v>1760.33458</v>
      </c>
      <c r="BJ19" s="290">
        <v>0</v>
      </c>
      <c r="BK19" s="290">
        <f t="shared" si="0"/>
        <v>0</v>
      </c>
      <c r="BL19" s="290">
        <v>0</v>
      </c>
      <c r="BM19" s="290">
        <v>0</v>
      </c>
      <c r="BN19" s="290">
        <v>2235</v>
      </c>
      <c r="BO19" s="290">
        <v>574</v>
      </c>
      <c r="BP19" s="290">
        <v>3</v>
      </c>
      <c r="BQ19" s="290">
        <v>287</v>
      </c>
      <c r="BR19" s="290">
        <v>-1</v>
      </c>
      <c r="BS19" s="290">
        <v>50</v>
      </c>
      <c r="BT19" s="290">
        <v>0</v>
      </c>
      <c r="BU19" s="290">
        <v>0</v>
      </c>
      <c r="BV19" s="290">
        <v>54</v>
      </c>
      <c r="BW19" s="290"/>
      <c r="BX19" s="290"/>
      <c r="BY19" s="290"/>
    </row>
    <row r="20" spans="1:77" ht="13">
      <c r="A20" s="1">
        <v>1134</v>
      </c>
      <c r="B20" s="2" t="s">
        <v>14</v>
      </c>
      <c r="C20" s="289">
        <v>3804</v>
      </c>
      <c r="D20" s="290">
        <v>86</v>
      </c>
      <c r="E20" s="290">
        <v>191</v>
      </c>
      <c r="F20" s="290">
        <v>498</v>
      </c>
      <c r="G20" s="290">
        <v>337</v>
      </c>
      <c r="H20" s="290">
        <v>1991</v>
      </c>
      <c r="I20" s="290">
        <v>499</v>
      </c>
      <c r="J20" s="290">
        <v>170</v>
      </c>
      <c r="K20" s="290">
        <v>34</v>
      </c>
      <c r="L20" s="290">
        <v>32</v>
      </c>
      <c r="M20" s="290">
        <v>258</v>
      </c>
      <c r="N20" s="290">
        <v>47</v>
      </c>
      <c r="O20" s="290">
        <v>35</v>
      </c>
      <c r="P20" s="624">
        <v>70942.794999999998</v>
      </c>
      <c r="Q20" s="624">
        <v>22758.34</v>
      </c>
      <c r="R20" s="624">
        <v>15</v>
      </c>
      <c r="S20" s="290">
        <v>0</v>
      </c>
      <c r="T20" s="290">
        <v>263</v>
      </c>
      <c r="U20" s="958">
        <v>4.543680941904096E-3</v>
      </c>
      <c r="V20" s="290">
        <v>1966.51305254</v>
      </c>
      <c r="W20" s="765">
        <v>1</v>
      </c>
      <c r="X20" s="290">
        <v>0</v>
      </c>
      <c r="Y20" s="290">
        <v>0</v>
      </c>
      <c r="Z20" s="290">
        <v>148300</v>
      </c>
      <c r="AA20" s="290">
        <v>300</v>
      </c>
      <c r="AB20" s="290">
        <v>57</v>
      </c>
      <c r="AC20" s="290">
        <v>766.82600000000002</v>
      </c>
      <c r="AD20" s="290">
        <v>333</v>
      </c>
      <c r="AE20" s="290">
        <v>0</v>
      </c>
      <c r="AF20" s="290">
        <v>0</v>
      </c>
      <c r="AG20" s="290">
        <v>3806</v>
      </c>
      <c r="AH20" s="290">
        <v>707.76647565999997</v>
      </c>
      <c r="AI20" s="290">
        <v>42.012</v>
      </c>
      <c r="AJ20" s="290">
        <v>0</v>
      </c>
      <c r="AK20" s="290">
        <v>769.005</v>
      </c>
      <c r="AL20" s="290">
        <v>0</v>
      </c>
      <c r="AM20" s="957">
        <v>1.6187920000000001E-2</v>
      </c>
      <c r="AN20" s="290">
        <v>0</v>
      </c>
      <c r="AO20" s="290">
        <v>-618.10137899999995</v>
      </c>
      <c r="AP20" s="290">
        <v>0</v>
      </c>
      <c r="AQ20" s="290">
        <v>0</v>
      </c>
      <c r="AR20" s="290">
        <v>-13.3223416</v>
      </c>
      <c r="AS20" s="290">
        <v>640</v>
      </c>
      <c r="AT20" s="290">
        <v>146</v>
      </c>
      <c r="AU20" s="290">
        <v>12</v>
      </c>
      <c r="AV20" s="766">
        <v>135782</v>
      </c>
      <c r="AW20" s="290">
        <v>439.04599999999999</v>
      </c>
      <c r="AX20" s="766">
        <v>34.458300000000001</v>
      </c>
      <c r="AY20" s="290">
        <v>719</v>
      </c>
      <c r="AZ20" s="290">
        <v>133</v>
      </c>
      <c r="BA20" s="290">
        <v>43</v>
      </c>
      <c r="BB20" s="290">
        <v>0</v>
      </c>
      <c r="BC20" s="290">
        <v>686.792191</v>
      </c>
      <c r="BD20" s="290">
        <v>430</v>
      </c>
      <c r="BE20" s="290">
        <v>138192.13200000001</v>
      </c>
      <c r="BF20" s="290">
        <v>0</v>
      </c>
      <c r="BG20" s="290">
        <v>236</v>
      </c>
      <c r="BH20" s="290">
        <v>34</v>
      </c>
      <c r="BI20" s="290">
        <v>2243.5974799999999</v>
      </c>
      <c r="BJ20" s="290">
        <v>0</v>
      </c>
      <c r="BK20" s="290">
        <f t="shared" si="0"/>
        <v>0</v>
      </c>
      <c r="BL20" s="290">
        <v>0</v>
      </c>
      <c r="BM20" s="290">
        <v>0</v>
      </c>
      <c r="BN20" s="290">
        <v>3163</v>
      </c>
      <c r="BO20" s="290">
        <v>804</v>
      </c>
      <c r="BP20" s="290">
        <v>4</v>
      </c>
      <c r="BQ20" s="290">
        <v>433</v>
      </c>
      <c r="BR20" s="290">
        <v>-2</v>
      </c>
      <c r="BS20" s="290">
        <v>50</v>
      </c>
      <c r="BT20" s="290">
        <v>0</v>
      </c>
      <c r="BU20" s="290">
        <v>0</v>
      </c>
      <c r="BV20" s="290">
        <v>76</v>
      </c>
      <c r="BW20" s="290"/>
      <c r="BX20" s="290"/>
      <c r="BY20" s="290"/>
    </row>
    <row r="21" spans="1:77" ht="13">
      <c r="A21" s="1">
        <v>1135</v>
      </c>
      <c r="B21" s="2" t="s">
        <v>15</v>
      </c>
      <c r="C21" s="289">
        <v>4595</v>
      </c>
      <c r="D21" s="290">
        <v>80</v>
      </c>
      <c r="E21" s="290">
        <v>199</v>
      </c>
      <c r="F21" s="290">
        <v>582</v>
      </c>
      <c r="G21" s="290">
        <v>350</v>
      </c>
      <c r="H21" s="290">
        <v>2504</v>
      </c>
      <c r="I21" s="290">
        <v>547</v>
      </c>
      <c r="J21" s="290">
        <v>276</v>
      </c>
      <c r="K21" s="290">
        <v>57</v>
      </c>
      <c r="L21" s="290">
        <v>39</v>
      </c>
      <c r="M21" s="290">
        <v>398</v>
      </c>
      <c r="N21" s="290">
        <v>36</v>
      </c>
      <c r="O21" s="290">
        <v>69</v>
      </c>
      <c r="P21" s="624">
        <v>10761.11133333</v>
      </c>
      <c r="Q21" s="624">
        <v>7053.5573333299999</v>
      </c>
      <c r="R21" s="624">
        <v>23</v>
      </c>
      <c r="S21" s="290">
        <v>0</v>
      </c>
      <c r="T21" s="290">
        <v>376</v>
      </c>
      <c r="U21" s="958">
        <v>1.4024657786013838E-3</v>
      </c>
      <c r="V21" s="290">
        <v>2373.4618855600002</v>
      </c>
      <c r="W21" s="765">
        <v>0.68485154999999998</v>
      </c>
      <c r="X21" s="290">
        <v>5000</v>
      </c>
      <c r="Y21" s="290">
        <v>427.12680399999999</v>
      </c>
      <c r="Z21" s="290">
        <v>146125</v>
      </c>
      <c r="AA21" s="290">
        <v>4800</v>
      </c>
      <c r="AB21" s="290">
        <v>94</v>
      </c>
      <c r="AC21" s="290">
        <v>762.04600000000005</v>
      </c>
      <c r="AD21" s="290">
        <v>333</v>
      </c>
      <c r="AE21" s="290">
        <v>0</v>
      </c>
      <c r="AF21" s="290">
        <v>0</v>
      </c>
      <c r="AG21" s="290">
        <v>4595</v>
      </c>
      <c r="AH21" s="290">
        <v>762.71055344000001</v>
      </c>
      <c r="AI21" s="290">
        <v>250.74799999999999</v>
      </c>
      <c r="AJ21" s="290">
        <v>0</v>
      </c>
      <c r="AK21" s="290">
        <v>506.30500000000001</v>
      </c>
      <c r="AL21" s="290">
        <v>0</v>
      </c>
      <c r="AM21" s="957">
        <v>5.7008929999999999E-2</v>
      </c>
      <c r="AN21" s="290">
        <v>6569</v>
      </c>
      <c r="AO21" s="290">
        <v>-709.53318100000001</v>
      </c>
      <c r="AP21" s="290">
        <v>0</v>
      </c>
      <c r="AQ21" s="290">
        <v>0</v>
      </c>
      <c r="AR21" s="290">
        <v>-247.51180600000001</v>
      </c>
      <c r="AS21" s="290">
        <v>1448</v>
      </c>
      <c r="AT21" s="290">
        <v>181</v>
      </c>
      <c r="AU21" s="290">
        <v>32</v>
      </c>
      <c r="AV21" s="766">
        <v>153906</v>
      </c>
      <c r="AW21" s="290">
        <v>3988.7530000000002</v>
      </c>
      <c r="AX21" s="766">
        <v>28.166699999999999</v>
      </c>
      <c r="AY21" s="290">
        <v>808</v>
      </c>
      <c r="AZ21" s="290">
        <v>208</v>
      </c>
      <c r="BA21" s="290">
        <v>110</v>
      </c>
      <c r="BB21" s="290">
        <v>0</v>
      </c>
      <c r="BC21" s="290">
        <v>-860.23738200000003</v>
      </c>
      <c r="BD21" s="290">
        <v>452</v>
      </c>
      <c r="BE21" s="290">
        <v>163477.02499999999</v>
      </c>
      <c r="BF21" s="290">
        <v>0</v>
      </c>
      <c r="BG21" s="290">
        <v>226</v>
      </c>
      <c r="BH21" s="290">
        <v>32</v>
      </c>
      <c r="BI21" s="290">
        <v>2458.1883600000001</v>
      </c>
      <c r="BJ21" s="290">
        <v>0</v>
      </c>
      <c r="BK21" s="290">
        <f t="shared" si="0"/>
        <v>0</v>
      </c>
      <c r="BL21" s="290">
        <v>0</v>
      </c>
      <c r="BM21" s="290">
        <v>0</v>
      </c>
      <c r="BN21" s="290">
        <v>3630</v>
      </c>
      <c r="BO21" s="290">
        <v>827</v>
      </c>
      <c r="BP21" s="290">
        <v>4</v>
      </c>
      <c r="BQ21" s="290">
        <v>476</v>
      </c>
      <c r="BR21" s="290">
        <v>-2</v>
      </c>
      <c r="BS21" s="290">
        <v>50</v>
      </c>
      <c r="BT21" s="290">
        <v>0</v>
      </c>
      <c r="BU21" s="290">
        <v>0</v>
      </c>
      <c r="BV21" s="290">
        <v>73</v>
      </c>
      <c r="BW21" s="290"/>
      <c r="BX21" s="290"/>
      <c r="BY21" s="290"/>
    </row>
    <row r="22" spans="1:77" ht="13">
      <c r="A22" s="1">
        <v>1144</v>
      </c>
      <c r="B22" s="2" t="s">
        <v>18</v>
      </c>
      <c r="C22" s="289">
        <v>517</v>
      </c>
      <c r="D22" s="290">
        <v>6</v>
      </c>
      <c r="E22" s="290">
        <v>21</v>
      </c>
      <c r="F22" s="290">
        <v>62</v>
      </c>
      <c r="G22" s="290">
        <v>50</v>
      </c>
      <c r="H22" s="290">
        <v>276</v>
      </c>
      <c r="I22" s="290">
        <v>64</v>
      </c>
      <c r="J22" s="290">
        <v>32</v>
      </c>
      <c r="K22" s="290">
        <v>8</v>
      </c>
      <c r="L22" s="290">
        <v>3</v>
      </c>
      <c r="M22" s="290">
        <v>36</v>
      </c>
      <c r="N22" s="290">
        <v>0</v>
      </c>
      <c r="O22" s="290">
        <v>5</v>
      </c>
      <c r="P22" s="624">
        <v>365.90733332999997</v>
      </c>
      <c r="Q22" s="624">
        <v>442.11433333000002</v>
      </c>
      <c r="R22" s="624">
        <v>0</v>
      </c>
      <c r="S22" s="290">
        <v>0</v>
      </c>
      <c r="T22" s="290">
        <v>35</v>
      </c>
      <c r="U22" s="958">
        <v>2.3688935377805194E-4</v>
      </c>
      <c r="V22" s="290">
        <v>265.26935653999999</v>
      </c>
      <c r="W22" s="765">
        <v>1</v>
      </c>
      <c r="X22" s="290">
        <v>1400</v>
      </c>
      <c r="Y22" s="290">
        <v>0</v>
      </c>
      <c r="Z22" s="290">
        <v>13557</v>
      </c>
      <c r="AA22" s="290">
        <v>0</v>
      </c>
      <c r="AB22" s="290">
        <v>5</v>
      </c>
      <c r="AC22" s="290">
        <v>133.74</v>
      </c>
      <c r="AD22" s="290">
        <v>167</v>
      </c>
      <c r="AE22" s="290">
        <v>0</v>
      </c>
      <c r="AF22" s="290">
        <v>0</v>
      </c>
      <c r="AG22" s="290">
        <v>519</v>
      </c>
      <c r="AH22" s="290">
        <v>100</v>
      </c>
      <c r="AI22" s="290">
        <v>5.71</v>
      </c>
      <c r="AJ22" s="290">
        <v>0</v>
      </c>
      <c r="AK22" s="290">
        <v>0</v>
      </c>
      <c r="AL22" s="290">
        <v>0</v>
      </c>
      <c r="AM22" s="957">
        <v>3.3802099999999998E-3</v>
      </c>
      <c r="AN22" s="290">
        <v>0</v>
      </c>
      <c r="AO22" s="290">
        <v>-109.524074</v>
      </c>
      <c r="AP22" s="290">
        <v>0</v>
      </c>
      <c r="AQ22" s="290">
        <v>0</v>
      </c>
      <c r="AR22" s="290">
        <v>-13.0996737</v>
      </c>
      <c r="AS22" s="290">
        <v>179</v>
      </c>
      <c r="AT22" s="290">
        <v>20</v>
      </c>
      <c r="AU22" s="290">
        <v>3</v>
      </c>
      <c r="AV22" s="766">
        <v>33174</v>
      </c>
      <c r="AW22" s="290">
        <v>432.48899999999998</v>
      </c>
      <c r="AX22" s="766">
        <v>1.3332999999999999</v>
      </c>
      <c r="AY22" s="290">
        <v>85</v>
      </c>
      <c r="AZ22" s="290">
        <v>15</v>
      </c>
      <c r="BA22" s="290">
        <v>5</v>
      </c>
      <c r="BB22" s="290">
        <v>2938</v>
      </c>
      <c r="BC22" s="290">
        <v>100</v>
      </c>
      <c r="BD22" s="290">
        <v>169</v>
      </c>
      <c r="BE22" s="290">
        <v>33201.875399999997</v>
      </c>
      <c r="BF22" s="290">
        <v>0</v>
      </c>
      <c r="BG22" s="290">
        <v>61</v>
      </c>
      <c r="BH22" s="290">
        <v>9</v>
      </c>
      <c r="BI22" s="290">
        <v>233.74</v>
      </c>
      <c r="BJ22" s="290">
        <v>0</v>
      </c>
      <c r="BK22" s="290">
        <f t="shared" si="0"/>
        <v>0</v>
      </c>
      <c r="BL22" s="290">
        <v>0</v>
      </c>
      <c r="BM22" s="290">
        <v>0</v>
      </c>
      <c r="BN22" s="290">
        <v>560</v>
      </c>
      <c r="BO22" s="290">
        <v>97</v>
      </c>
      <c r="BP22" s="290">
        <v>0</v>
      </c>
      <c r="BQ22" s="290">
        <v>50</v>
      </c>
      <c r="BR22" s="290">
        <v>0</v>
      </c>
      <c r="BS22" s="290">
        <v>50</v>
      </c>
      <c r="BT22" s="290">
        <v>0</v>
      </c>
      <c r="BU22" s="290">
        <v>0</v>
      </c>
      <c r="BV22" s="290">
        <v>20</v>
      </c>
      <c r="BW22" s="290"/>
      <c r="BX22" s="290"/>
      <c r="BY22" s="290"/>
    </row>
    <row r="23" spans="1:77" ht="13">
      <c r="A23" s="1">
        <v>1145</v>
      </c>
      <c r="B23" s="2" t="s">
        <v>19</v>
      </c>
      <c r="C23" s="289">
        <v>852</v>
      </c>
      <c r="D23" s="290">
        <v>11</v>
      </c>
      <c r="E23" s="290">
        <v>37</v>
      </c>
      <c r="F23" s="290">
        <v>98</v>
      </c>
      <c r="G23" s="290">
        <v>86</v>
      </c>
      <c r="H23" s="290">
        <v>448</v>
      </c>
      <c r="I23" s="290">
        <v>107</v>
      </c>
      <c r="J23" s="290">
        <v>47</v>
      </c>
      <c r="K23" s="290">
        <v>13</v>
      </c>
      <c r="L23" s="290">
        <v>4</v>
      </c>
      <c r="M23" s="290">
        <v>67</v>
      </c>
      <c r="N23" s="290">
        <v>0</v>
      </c>
      <c r="O23" s="290">
        <v>6</v>
      </c>
      <c r="P23" s="624">
        <v>2261.9723333299999</v>
      </c>
      <c r="Q23" s="624">
        <v>2296.1253333300001</v>
      </c>
      <c r="R23" s="624">
        <v>3</v>
      </c>
      <c r="S23" s="290">
        <v>0</v>
      </c>
      <c r="T23" s="290">
        <v>44</v>
      </c>
      <c r="U23" s="958">
        <v>8.1928614845823997E-4</v>
      </c>
      <c r="V23" s="290">
        <v>413.09436801999999</v>
      </c>
      <c r="W23" s="765">
        <v>0.90571617999999998</v>
      </c>
      <c r="X23" s="290">
        <v>2000</v>
      </c>
      <c r="Y23" s="290">
        <v>0</v>
      </c>
      <c r="Z23" s="290">
        <v>23677</v>
      </c>
      <c r="AA23" s="290">
        <v>0</v>
      </c>
      <c r="AB23" s="290">
        <v>16</v>
      </c>
      <c r="AC23" s="290">
        <v>190.51400000000001</v>
      </c>
      <c r="AD23" s="290">
        <v>167</v>
      </c>
      <c r="AE23" s="290">
        <v>0</v>
      </c>
      <c r="AF23" s="290">
        <v>0</v>
      </c>
      <c r="AG23" s="290">
        <v>847</v>
      </c>
      <c r="AH23" s="290">
        <v>143.86672999000001</v>
      </c>
      <c r="AI23" s="290">
        <v>209.41</v>
      </c>
      <c r="AJ23" s="290">
        <v>0</v>
      </c>
      <c r="AK23" s="290">
        <v>113.467</v>
      </c>
      <c r="AL23" s="290">
        <v>0</v>
      </c>
      <c r="AM23" s="957">
        <v>2.3129299999999999E-3</v>
      </c>
      <c r="AN23" s="290">
        <v>0</v>
      </c>
      <c r="AO23" s="290">
        <v>-153.71553599999999</v>
      </c>
      <c r="AP23" s="290">
        <v>0</v>
      </c>
      <c r="AQ23" s="290">
        <v>0</v>
      </c>
      <c r="AR23" s="290">
        <v>2647.30429</v>
      </c>
      <c r="AS23" s="290">
        <v>327</v>
      </c>
      <c r="AT23" s="290">
        <v>34</v>
      </c>
      <c r="AU23" s="290">
        <v>6</v>
      </c>
      <c r="AV23" s="766">
        <v>43867</v>
      </c>
      <c r="AW23" s="290">
        <v>253.541</v>
      </c>
      <c r="AX23" s="766">
        <v>1.91665</v>
      </c>
      <c r="AY23" s="290">
        <v>113</v>
      </c>
      <c r="AZ23" s="290">
        <v>8</v>
      </c>
      <c r="BA23" s="290">
        <v>12</v>
      </c>
      <c r="BB23" s="290">
        <v>2938</v>
      </c>
      <c r="BC23" s="290">
        <v>142.93644599999999</v>
      </c>
      <c r="BD23" s="290">
        <v>183</v>
      </c>
      <c r="BE23" s="290">
        <v>42079.955300000001</v>
      </c>
      <c r="BF23" s="290">
        <v>0</v>
      </c>
      <c r="BG23" s="290">
        <v>73</v>
      </c>
      <c r="BH23" s="290">
        <v>10</v>
      </c>
      <c r="BI23" s="290">
        <v>447.84773000000001</v>
      </c>
      <c r="BJ23" s="290">
        <v>0</v>
      </c>
      <c r="BK23" s="290">
        <f t="shared" si="0"/>
        <v>0</v>
      </c>
      <c r="BL23" s="290">
        <v>0</v>
      </c>
      <c r="BM23" s="290">
        <v>0</v>
      </c>
      <c r="BN23" s="290">
        <v>786</v>
      </c>
      <c r="BO23" s="290">
        <v>152</v>
      </c>
      <c r="BP23" s="290">
        <v>1</v>
      </c>
      <c r="BQ23" s="290">
        <v>82</v>
      </c>
      <c r="BR23" s="290">
        <v>0</v>
      </c>
      <c r="BS23" s="290">
        <v>50</v>
      </c>
      <c r="BT23" s="290">
        <v>0</v>
      </c>
      <c r="BU23" s="290">
        <v>0</v>
      </c>
      <c r="BV23" s="290">
        <v>23</v>
      </c>
      <c r="BW23" s="290"/>
      <c r="BX23" s="290"/>
      <c r="BY23" s="290"/>
    </row>
    <row r="24" spans="1:77" ht="13">
      <c r="A24" s="1">
        <v>1146</v>
      </c>
      <c r="B24" s="2" t="s">
        <v>20</v>
      </c>
      <c r="C24" s="289">
        <v>11065</v>
      </c>
      <c r="D24" s="290">
        <v>254</v>
      </c>
      <c r="E24" s="290">
        <v>604</v>
      </c>
      <c r="F24" s="290">
        <v>1689</v>
      </c>
      <c r="G24" s="290">
        <v>1047</v>
      </c>
      <c r="H24" s="290">
        <v>5884</v>
      </c>
      <c r="I24" s="290">
        <v>1193</v>
      </c>
      <c r="J24" s="290">
        <v>321</v>
      </c>
      <c r="K24" s="290">
        <v>71</v>
      </c>
      <c r="L24" s="290">
        <v>78</v>
      </c>
      <c r="M24" s="290">
        <v>522</v>
      </c>
      <c r="N24" s="290">
        <v>142</v>
      </c>
      <c r="O24" s="290">
        <v>95</v>
      </c>
      <c r="P24" s="624">
        <v>100687.715</v>
      </c>
      <c r="Q24" s="624">
        <v>29739.55133333</v>
      </c>
      <c r="R24" s="624">
        <v>33</v>
      </c>
      <c r="S24" s="290">
        <v>0</v>
      </c>
      <c r="T24" s="290">
        <v>637</v>
      </c>
      <c r="U24" s="958">
        <v>5.4893438658949138E-3</v>
      </c>
      <c r="V24" s="290">
        <v>2269.26596776</v>
      </c>
      <c r="W24" s="765">
        <v>0.66317756000000005</v>
      </c>
      <c r="X24" s="290">
        <v>0</v>
      </c>
      <c r="Y24" s="290">
        <v>427.12680399999999</v>
      </c>
      <c r="Z24" s="290">
        <v>296200</v>
      </c>
      <c r="AA24" s="290">
        <v>0</v>
      </c>
      <c r="AB24" s="290">
        <v>233</v>
      </c>
      <c r="AC24" s="290">
        <v>2233.116</v>
      </c>
      <c r="AD24" s="290">
        <v>333</v>
      </c>
      <c r="AE24" s="290">
        <v>0</v>
      </c>
      <c r="AF24" s="290">
        <v>0</v>
      </c>
      <c r="AG24" s="290">
        <v>11063</v>
      </c>
      <c r="AH24" s="290">
        <v>2299.6988345999998</v>
      </c>
      <c r="AI24" s="290">
        <v>2722.2040000000002</v>
      </c>
      <c r="AJ24" s="290">
        <v>0</v>
      </c>
      <c r="AK24" s="290">
        <v>15534.267</v>
      </c>
      <c r="AL24" s="290">
        <v>0</v>
      </c>
      <c r="AM24" s="957">
        <v>0.12393039</v>
      </c>
      <c r="AN24" s="290">
        <v>0</v>
      </c>
      <c r="AO24" s="290">
        <v>-1585.0828100000001</v>
      </c>
      <c r="AP24" s="290">
        <v>0</v>
      </c>
      <c r="AQ24" s="290">
        <v>0</v>
      </c>
      <c r="AR24" s="290">
        <v>-595.91362600000002</v>
      </c>
      <c r="AS24" s="290">
        <v>2195</v>
      </c>
      <c r="AT24" s="290">
        <v>483</v>
      </c>
      <c r="AU24" s="290">
        <v>79</v>
      </c>
      <c r="AV24" s="766">
        <v>303087</v>
      </c>
      <c r="AW24" s="290">
        <v>5395.3329999999996</v>
      </c>
      <c r="AX24" s="766">
        <v>90.875050000000002</v>
      </c>
      <c r="AY24" s="290">
        <v>2042</v>
      </c>
      <c r="AZ24" s="290">
        <v>395</v>
      </c>
      <c r="BA24" s="290">
        <v>216</v>
      </c>
      <c r="BB24" s="290">
        <v>0</v>
      </c>
      <c r="BC24" s="290">
        <v>2669.1935899999999</v>
      </c>
      <c r="BD24" s="290">
        <v>966</v>
      </c>
      <c r="BE24" s="290">
        <v>327588.565</v>
      </c>
      <c r="BF24" s="290">
        <v>0</v>
      </c>
      <c r="BG24" s="290">
        <v>519</v>
      </c>
      <c r="BH24" s="290">
        <v>74</v>
      </c>
      <c r="BI24" s="290">
        <v>20494.208600000002</v>
      </c>
      <c r="BJ24" s="290">
        <v>0</v>
      </c>
      <c r="BK24" s="290">
        <f t="shared" si="0"/>
        <v>0</v>
      </c>
      <c r="BL24" s="290">
        <v>0</v>
      </c>
      <c r="BM24" s="290">
        <v>0</v>
      </c>
      <c r="BN24" s="290">
        <v>8110</v>
      </c>
      <c r="BO24" s="290">
        <v>2450</v>
      </c>
      <c r="BP24" s="290">
        <v>12</v>
      </c>
      <c r="BQ24" s="290">
        <v>1077</v>
      </c>
      <c r="BR24" s="290">
        <v>-5</v>
      </c>
      <c r="BS24" s="290">
        <v>125</v>
      </c>
      <c r="BT24" s="290">
        <v>0</v>
      </c>
      <c r="BU24" s="290">
        <v>0</v>
      </c>
      <c r="BV24" s="290">
        <v>167</v>
      </c>
      <c r="BW24" s="290"/>
      <c r="BX24" s="290"/>
      <c r="BY24" s="290"/>
    </row>
    <row r="25" spans="1:77" ht="13">
      <c r="A25" s="1">
        <v>1149</v>
      </c>
      <c r="B25" s="2" t="s">
        <v>21</v>
      </c>
      <c r="C25" s="289">
        <v>42186</v>
      </c>
      <c r="D25" s="290">
        <v>912</v>
      </c>
      <c r="E25" s="290">
        <v>2061</v>
      </c>
      <c r="F25" s="290">
        <v>5774</v>
      </c>
      <c r="G25" s="290">
        <v>3846</v>
      </c>
      <c r="H25" s="290">
        <v>23333</v>
      </c>
      <c r="I25" s="290">
        <v>4589</v>
      </c>
      <c r="J25" s="290">
        <v>1440</v>
      </c>
      <c r="K25" s="290">
        <v>315</v>
      </c>
      <c r="L25" s="290">
        <v>313</v>
      </c>
      <c r="M25" s="290">
        <v>2305</v>
      </c>
      <c r="N25" s="290">
        <v>502</v>
      </c>
      <c r="O25" s="290">
        <v>339</v>
      </c>
      <c r="P25" s="624">
        <v>109106.89866666999</v>
      </c>
      <c r="Q25" s="624">
        <v>58506.947333329997</v>
      </c>
      <c r="R25" s="624">
        <v>180</v>
      </c>
      <c r="S25" s="290">
        <v>0</v>
      </c>
      <c r="T25" s="290">
        <v>2862</v>
      </c>
      <c r="U25" s="958">
        <v>5.5620842416365755E-3</v>
      </c>
      <c r="V25" s="290">
        <v>-17946.246324569998</v>
      </c>
      <c r="W25" s="765">
        <v>0.56060547000000005</v>
      </c>
      <c r="X25" s="290">
        <v>1500</v>
      </c>
      <c r="Y25" s="290">
        <v>854.25360799999999</v>
      </c>
      <c r="Z25" s="290">
        <v>1125826</v>
      </c>
      <c r="AA25" s="290">
        <v>0</v>
      </c>
      <c r="AB25" s="290">
        <v>1091</v>
      </c>
      <c r="AC25" s="290">
        <v>7147.7370000000001</v>
      </c>
      <c r="AD25" s="290">
        <v>500</v>
      </c>
      <c r="AE25" s="290">
        <v>0</v>
      </c>
      <c r="AF25" s="290">
        <v>0</v>
      </c>
      <c r="AG25" s="290">
        <v>42270</v>
      </c>
      <c r="AH25" s="290">
        <v>7939.4192397099996</v>
      </c>
      <c r="AI25" s="290">
        <v>465.90899999999999</v>
      </c>
      <c r="AJ25" s="290">
        <v>0</v>
      </c>
      <c r="AK25" s="290">
        <v>8241.0830000000005</v>
      </c>
      <c r="AL25" s="290">
        <v>0</v>
      </c>
      <c r="AM25" s="957">
        <v>0.89901410999999998</v>
      </c>
      <c r="AN25" s="290">
        <v>0</v>
      </c>
      <c r="AO25" s="290">
        <v>-5787.4603900000002</v>
      </c>
      <c r="AP25" s="290">
        <v>0</v>
      </c>
      <c r="AQ25" s="290">
        <v>0</v>
      </c>
      <c r="AR25" s="290">
        <v>-2276.8931499999999</v>
      </c>
      <c r="AS25" s="290">
        <v>15906</v>
      </c>
      <c r="AT25" s="290">
        <v>2180</v>
      </c>
      <c r="AU25" s="290">
        <v>469</v>
      </c>
      <c r="AV25" s="766">
        <v>1021618</v>
      </c>
      <c r="AW25" s="290">
        <v>6251</v>
      </c>
      <c r="AX25" s="766">
        <v>306.95835</v>
      </c>
      <c r="AY25" s="290">
        <v>7428</v>
      </c>
      <c r="AZ25" s="290">
        <v>1563</v>
      </c>
      <c r="BA25" s="290">
        <v>988</v>
      </c>
      <c r="BB25" s="290">
        <v>0</v>
      </c>
      <c r="BC25" s="290">
        <v>8178.1733899999999</v>
      </c>
      <c r="BD25" s="290">
        <v>3436</v>
      </c>
      <c r="BE25" s="290">
        <v>1064872.23</v>
      </c>
      <c r="BF25" s="290">
        <v>0</v>
      </c>
      <c r="BG25" s="290">
        <v>1771</v>
      </c>
      <c r="BH25" s="290">
        <v>253</v>
      </c>
      <c r="BI25" s="290">
        <v>24182.4928</v>
      </c>
      <c r="BJ25" s="290">
        <v>0</v>
      </c>
      <c r="BK25" s="290">
        <f t="shared" si="0"/>
        <v>0</v>
      </c>
      <c r="BL25" s="290">
        <v>0</v>
      </c>
      <c r="BM25" s="290">
        <v>0</v>
      </c>
      <c r="BN25" s="290">
        <v>29612</v>
      </c>
      <c r="BO25" s="290">
        <v>8273</v>
      </c>
      <c r="BP25" s="290">
        <v>40</v>
      </c>
      <c r="BQ25" s="290">
        <v>4115</v>
      </c>
      <c r="BR25" s="290">
        <v>-20</v>
      </c>
      <c r="BS25" s="290">
        <v>539</v>
      </c>
      <c r="BT25" s="290">
        <v>0</v>
      </c>
      <c r="BU25" s="290">
        <v>0</v>
      </c>
      <c r="BV25" s="290">
        <v>569</v>
      </c>
      <c r="BW25" s="290"/>
      <c r="BX25" s="290"/>
      <c r="BY25" s="290"/>
    </row>
    <row r="26" spans="1:77" ht="13">
      <c r="A26" s="1">
        <v>1151</v>
      </c>
      <c r="B26" s="2" t="s">
        <v>22</v>
      </c>
      <c r="C26" s="289">
        <v>198</v>
      </c>
      <c r="D26" s="290">
        <v>4</v>
      </c>
      <c r="E26" s="290">
        <v>9</v>
      </c>
      <c r="F26" s="290">
        <v>21</v>
      </c>
      <c r="G26" s="290">
        <v>23</v>
      </c>
      <c r="H26" s="290">
        <v>104</v>
      </c>
      <c r="I26" s="290">
        <v>25</v>
      </c>
      <c r="J26" s="290">
        <v>8</v>
      </c>
      <c r="K26" s="290">
        <v>2</v>
      </c>
      <c r="L26" s="290">
        <v>2</v>
      </c>
      <c r="M26" s="290">
        <v>12</v>
      </c>
      <c r="N26" s="290">
        <v>1.5</v>
      </c>
      <c r="O26" s="290">
        <v>3</v>
      </c>
      <c r="P26" s="624">
        <v>0</v>
      </c>
      <c r="Q26" s="624">
        <v>0</v>
      </c>
      <c r="R26" s="624">
        <v>0</v>
      </c>
      <c r="S26" s="290">
        <v>0</v>
      </c>
      <c r="T26" s="290">
        <v>14</v>
      </c>
      <c r="U26" s="958">
        <v>1.9323557728795113E-4</v>
      </c>
      <c r="V26" s="290">
        <v>227.89677161</v>
      </c>
      <c r="W26" s="765">
        <v>1</v>
      </c>
      <c r="X26" s="290">
        <v>200</v>
      </c>
      <c r="Y26" s="290">
        <v>0</v>
      </c>
      <c r="Z26" s="290">
        <v>6085</v>
      </c>
      <c r="AA26" s="290">
        <v>0</v>
      </c>
      <c r="AB26" s="290">
        <v>2</v>
      </c>
      <c r="AC26" s="290">
        <v>67.265000000000001</v>
      </c>
      <c r="AD26" s="290">
        <v>167</v>
      </c>
      <c r="AE26" s="290">
        <v>0</v>
      </c>
      <c r="AF26" s="290">
        <v>0</v>
      </c>
      <c r="AG26" s="290">
        <v>196</v>
      </c>
      <c r="AH26" s="290">
        <v>100</v>
      </c>
      <c r="AI26" s="290">
        <v>402.18700000000001</v>
      </c>
      <c r="AJ26" s="290">
        <v>0</v>
      </c>
      <c r="AK26" s="290">
        <v>0</v>
      </c>
      <c r="AL26" s="290">
        <v>0</v>
      </c>
      <c r="AM26" s="957">
        <v>6.8721399999999997E-3</v>
      </c>
      <c r="AN26" s="290">
        <v>0</v>
      </c>
      <c r="AO26" s="290">
        <v>-68.128467599999993</v>
      </c>
      <c r="AP26" s="290">
        <v>0</v>
      </c>
      <c r="AQ26" s="290">
        <v>0</v>
      </c>
      <c r="AR26" s="290">
        <v>-10.557630899999999</v>
      </c>
      <c r="AS26" s="290">
        <v>0</v>
      </c>
      <c r="AT26" s="290">
        <v>8</v>
      </c>
      <c r="AU26" s="290">
        <v>3</v>
      </c>
      <c r="AV26" s="766">
        <v>27226</v>
      </c>
      <c r="AW26" s="290">
        <v>212.44300000000001</v>
      </c>
      <c r="AX26" s="766">
        <v>1.6667000000000001</v>
      </c>
      <c r="AY26" s="290">
        <v>41</v>
      </c>
      <c r="AZ26" s="290">
        <v>11</v>
      </c>
      <c r="BA26" s="290">
        <v>5</v>
      </c>
      <c r="BB26" s="290">
        <v>5875</v>
      </c>
      <c r="BC26" s="290">
        <v>100</v>
      </c>
      <c r="BD26" s="290">
        <v>144</v>
      </c>
      <c r="BE26" s="290">
        <v>27888.400600000001</v>
      </c>
      <c r="BF26" s="290">
        <v>0</v>
      </c>
      <c r="BG26" s="290">
        <v>47</v>
      </c>
      <c r="BH26" s="290">
        <v>7</v>
      </c>
      <c r="BI26" s="290">
        <v>167.26499999999999</v>
      </c>
      <c r="BJ26" s="290">
        <v>0</v>
      </c>
      <c r="BK26" s="290">
        <f t="shared" si="0"/>
        <v>0</v>
      </c>
      <c r="BL26" s="290">
        <v>0</v>
      </c>
      <c r="BM26" s="290">
        <v>0</v>
      </c>
      <c r="BN26" s="290">
        <v>349</v>
      </c>
      <c r="BO26" s="290">
        <v>49</v>
      </c>
      <c r="BP26" s="290">
        <v>0</v>
      </c>
      <c r="BQ26" s="290">
        <v>19</v>
      </c>
      <c r="BR26" s="290">
        <v>0</v>
      </c>
      <c r="BS26" s="290">
        <v>50</v>
      </c>
      <c r="BT26" s="290">
        <v>0</v>
      </c>
      <c r="BU26" s="290">
        <v>0</v>
      </c>
      <c r="BV26" s="290">
        <v>15</v>
      </c>
      <c r="BW26" s="290"/>
      <c r="BX26" s="290"/>
      <c r="BY26" s="290"/>
    </row>
    <row r="27" spans="1:77" ht="13">
      <c r="A27" s="1">
        <v>1160</v>
      </c>
      <c r="B27" s="2" t="s">
        <v>1543</v>
      </c>
      <c r="C27" s="289">
        <v>8714</v>
      </c>
      <c r="D27" s="290">
        <v>202</v>
      </c>
      <c r="E27" s="290">
        <v>435</v>
      </c>
      <c r="F27" s="290">
        <v>1095</v>
      </c>
      <c r="G27" s="290">
        <v>840</v>
      </c>
      <c r="H27" s="290">
        <v>4795</v>
      </c>
      <c r="I27" s="290">
        <v>931</v>
      </c>
      <c r="J27" s="290">
        <v>340</v>
      </c>
      <c r="K27" s="290">
        <v>109</v>
      </c>
      <c r="L27" s="290">
        <v>66</v>
      </c>
      <c r="M27" s="290">
        <v>566</v>
      </c>
      <c r="N27" s="290">
        <v>82</v>
      </c>
      <c r="O27" s="290">
        <v>95</v>
      </c>
      <c r="P27" s="624">
        <v>62761.866333329999</v>
      </c>
      <c r="Q27" s="624">
        <v>25155.368999999999</v>
      </c>
      <c r="R27" s="624">
        <v>27</v>
      </c>
      <c r="S27" s="290">
        <v>0</v>
      </c>
      <c r="T27" s="290">
        <v>592</v>
      </c>
      <c r="U27" s="958">
        <v>8.0890749524240389E-3</v>
      </c>
      <c r="V27" s="290">
        <v>3663.8765928600001</v>
      </c>
      <c r="W27" s="765">
        <v>0.74335576999999997</v>
      </c>
      <c r="X27" s="290">
        <v>5000</v>
      </c>
      <c r="Y27" s="290">
        <v>427.12680399999999</v>
      </c>
      <c r="Z27" s="290">
        <v>308048</v>
      </c>
      <c r="AA27" s="290">
        <v>0</v>
      </c>
      <c r="AB27" s="290">
        <v>129</v>
      </c>
      <c r="AC27" s="290">
        <v>1524.4780000000001</v>
      </c>
      <c r="AD27" s="290">
        <v>333</v>
      </c>
      <c r="AE27" s="290">
        <v>0</v>
      </c>
      <c r="AF27" s="290">
        <v>10725.050368529999</v>
      </c>
      <c r="AG27" s="290">
        <v>8747</v>
      </c>
      <c r="AH27" s="290">
        <v>1620.85029461</v>
      </c>
      <c r="AI27" s="290">
        <v>296.23899999999998</v>
      </c>
      <c r="AJ27" s="290">
        <v>0</v>
      </c>
      <c r="AK27" s="290">
        <v>0</v>
      </c>
      <c r="AL27" s="290">
        <v>0</v>
      </c>
      <c r="AM27" s="957">
        <v>0.13866043</v>
      </c>
      <c r="AN27" s="290">
        <v>0</v>
      </c>
      <c r="AO27" s="290">
        <v>-1246.4118599999999</v>
      </c>
      <c r="AP27" s="290">
        <v>0</v>
      </c>
      <c r="AQ27" s="290">
        <v>0</v>
      </c>
      <c r="AR27" s="290">
        <v>-471.16121199999998</v>
      </c>
      <c r="AS27" s="290">
        <v>1336</v>
      </c>
      <c r="AT27" s="290">
        <v>310</v>
      </c>
      <c r="AU27" s="290">
        <v>87</v>
      </c>
      <c r="AV27" s="766">
        <v>256581</v>
      </c>
      <c r="AW27" s="290">
        <v>4147.5940000000001</v>
      </c>
      <c r="AX27" s="766">
        <v>37.125</v>
      </c>
      <c r="AY27" s="290">
        <v>1495</v>
      </c>
      <c r="AZ27" s="290">
        <v>393</v>
      </c>
      <c r="BA27" s="290">
        <v>139</v>
      </c>
      <c r="BB27" s="290">
        <v>0</v>
      </c>
      <c r="BC27" s="290">
        <v>12397.5226</v>
      </c>
      <c r="BD27" s="290">
        <v>792</v>
      </c>
      <c r="BE27" s="290">
        <v>261236.74400000001</v>
      </c>
      <c r="BF27" s="290">
        <v>0</v>
      </c>
      <c r="BG27" s="290">
        <v>418</v>
      </c>
      <c r="BH27" s="290">
        <v>60</v>
      </c>
      <c r="BI27" s="290">
        <v>14297.505499999999</v>
      </c>
      <c r="BJ27" s="290">
        <v>0</v>
      </c>
      <c r="BK27" s="290">
        <f t="shared" si="0"/>
        <v>0</v>
      </c>
      <c r="BL27" s="290">
        <v>0</v>
      </c>
      <c r="BM27" s="290">
        <v>0</v>
      </c>
      <c r="BN27" s="290">
        <v>6377</v>
      </c>
      <c r="BO27" s="290">
        <v>1669</v>
      </c>
      <c r="BP27" s="290">
        <v>8</v>
      </c>
      <c r="BQ27" s="290">
        <v>928</v>
      </c>
      <c r="BR27" s="290">
        <v>-4</v>
      </c>
      <c r="BS27" s="290">
        <v>94</v>
      </c>
      <c r="BT27" s="290">
        <v>0</v>
      </c>
      <c r="BU27" s="290">
        <v>0</v>
      </c>
      <c r="BV27" s="290">
        <v>134</v>
      </c>
      <c r="BW27" s="290"/>
      <c r="BX27" s="290"/>
      <c r="BY27" s="290"/>
    </row>
    <row r="28" spans="1:77" ht="13">
      <c r="A28" s="1">
        <v>1505</v>
      </c>
      <c r="B28" s="2" t="s">
        <v>1654</v>
      </c>
      <c r="C28" s="289">
        <v>24179</v>
      </c>
      <c r="D28" s="290">
        <v>429</v>
      </c>
      <c r="E28" s="290">
        <v>893</v>
      </c>
      <c r="F28" s="290">
        <v>2831</v>
      </c>
      <c r="G28" s="290">
        <v>2110</v>
      </c>
      <c r="H28" s="290">
        <v>13789</v>
      </c>
      <c r="I28" s="290">
        <v>3188</v>
      </c>
      <c r="J28" s="290">
        <v>861</v>
      </c>
      <c r="K28" s="290">
        <v>195</v>
      </c>
      <c r="L28" s="290">
        <v>200</v>
      </c>
      <c r="M28" s="290">
        <v>1852</v>
      </c>
      <c r="N28" s="290">
        <v>465</v>
      </c>
      <c r="O28" s="290">
        <v>285</v>
      </c>
      <c r="P28" s="624">
        <v>35946.249666670003</v>
      </c>
      <c r="Q28" s="624">
        <v>25762.305333330001</v>
      </c>
      <c r="R28" s="624">
        <v>107</v>
      </c>
      <c r="S28" s="290">
        <v>0</v>
      </c>
      <c r="T28" s="290">
        <v>2428</v>
      </c>
      <c r="U28" s="958">
        <v>5.1619715883834008E-4</v>
      </c>
      <c r="V28" s="290">
        <v>10902.56341418</v>
      </c>
      <c r="W28" s="765">
        <v>0.55169462000000002</v>
      </c>
      <c r="X28" s="290">
        <v>4000</v>
      </c>
      <c r="Y28" s="290">
        <v>427.12680399999999</v>
      </c>
      <c r="Z28" s="290">
        <v>646563</v>
      </c>
      <c r="AA28" s="290">
        <v>0</v>
      </c>
      <c r="AB28" s="290">
        <v>682</v>
      </c>
      <c r="AC28" s="290">
        <v>3646.9180000000001</v>
      </c>
      <c r="AD28" s="290">
        <v>333</v>
      </c>
      <c r="AE28" s="290">
        <v>0</v>
      </c>
      <c r="AF28" s="290">
        <v>10674.12958404</v>
      </c>
      <c r="AG28" s="290">
        <v>24296</v>
      </c>
      <c r="AH28" s="290">
        <v>3893.07709032</v>
      </c>
      <c r="AI28" s="290">
        <v>1550</v>
      </c>
      <c r="AJ28" s="290">
        <v>0</v>
      </c>
      <c r="AK28" s="290">
        <v>0</v>
      </c>
      <c r="AL28" s="290">
        <v>0</v>
      </c>
      <c r="AM28" s="957">
        <v>0.85189568000000004</v>
      </c>
      <c r="AN28" s="290">
        <v>0</v>
      </c>
      <c r="AO28" s="290">
        <v>-3259.2604700000002</v>
      </c>
      <c r="AP28" s="290">
        <v>0</v>
      </c>
      <c r="AQ28" s="290">
        <v>0</v>
      </c>
      <c r="AR28" s="290">
        <v>5895.1596099999997</v>
      </c>
      <c r="AS28" s="290">
        <v>8489</v>
      </c>
      <c r="AT28" s="290">
        <v>1250</v>
      </c>
      <c r="AU28" s="290">
        <v>356</v>
      </c>
      <c r="AV28" s="766">
        <v>604956</v>
      </c>
      <c r="AW28" s="290">
        <v>8701.8610000000008</v>
      </c>
      <c r="AX28" s="766">
        <v>168</v>
      </c>
      <c r="AY28" s="290">
        <v>5140</v>
      </c>
      <c r="AZ28" s="290">
        <v>1128</v>
      </c>
      <c r="BA28" s="290">
        <v>650</v>
      </c>
      <c r="BB28" s="290">
        <v>0</v>
      </c>
      <c r="BC28" s="290">
        <v>14571.6662</v>
      </c>
      <c r="BD28" s="290">
        <v>1995</v>
      </c>
      <c r="BE28" s="290">
        <v>614261.67700000003</v>
      </c>
      <c r="BF28" s="290">
        <v>0</v>
      </c>
      <c r="BG28" s="290">
        <v>1025</v>
      </c>
      <c r="BH28" s="290">
        <v>146</v>
      </c>
      <c r="BI28" s="290">
        <v>18641.251499999998</v>
      </c>
      <c r="BJ28" s="290">
        <v>0</v>
      </c>
      <c r="BK28" s="290">
        <f t="shared" si="0"/>
        <v>0</v>
      </c>
      <c r="BL28" s="290">
        <v>0</v>
      </c>
      <c r="BM28" s="290">
        <v>0</v>
      </c>
      <c r="BN28" s="290">
        <v>16676</v>
      </c>
      <c r="BO28" s="290">
        <v>3925</v>
      </c>
      <c r="BP28" s="290">
        <v>19</v>
      </c>
      <c r="BQ28" s="290">
        <v>2369</v>
      </c>
      <c r="BR28" s="290">
        <v>-11</v>
      </c>
      <c r="BS28" s="290">
        <v>337</v>
      </c>
      <c r="BT28" s="290">
        <v>0</v>
      </c>
      <c r="BU28" s="290">
        <v>0</v>
      </c>
      <c r="BV28" s="290">
        <v>329</v>
      </c>
      <c r="BW28" s="290"/>
      <c r="BX28" s="290"/>
      <c r="BY28" s="290"/>
    </row>
    <row r="29" spans="1:77" ht="13">
      <c r="A29" s="1">
        <v>1506</v>
      </c>
      <c r="B29" s="2" t="s">
        <v>1611</v>
      </c>
      <c r="C29" s="289">
        <v>31967</v>
      </c>
      <c r="D29" s="290">
        <v>652</v>
      </c>
      <c r="E29" s="290">
        <v>1376</v>
      </c>
      <c r="F29" s="290">
        <v>3797</v>
      </c>
      <c r="G29" s="290">
        <v>2783</v>
      </c>
      <c r="H29" s="290">
        <v>17723</v>
      </c>
      <c r="I29" s="290">
        <v>4010</v>
      </c>
      <c r="J29" s="290">
        <v>1298</v>
      </c>
      <c r="K29" s="290">
        <v>355</v>
      </c>
      <c r="L29" s="290">
        <v>224</v>
      </c>
      <c r="M29" s="290">
        <v>2308</v>
      </c>
      <c r="N29" s="290">
        <v>583</v>
      </c>
      <c r="O29" s="290">
        <v>365</v>
      </c>
      <c r="P29" s="624">
        <v>121315.78366667</v>
      </c>
      <c r="Q29" s="624">
        <v>74465.192999999999</v>
      </c>
      <c r="R29" s="624">
        <v>127</v>
      </c>
      <c r="S29" s="290">
        <v>0</v>
      </c>
      <c r="T29" s="290">
        <v>2844</v>
      </c>
      <c r="U29" s="958">
        <v>5.0220395902874828E-3</v>
      </c>
      <c r="V29" s="290">
        <v>7015.9472902099997</v>
      </c>
      <c r="W29" s="765">
        <v>0.63453831000000005</v>
      </c>
      <c r="X29" s="290">
        <v>6880</v>
      </c>
      <c r="Y29" s="290">
        <v>1281.380412</v>
      </c>
      <c r="Z29" s="290">
        <v>940943</v>
      </c>
      <c r="AA29" s="290">
        <v>980</v>
      </c>
      <c r="AB29" s="290">
        <v>537</v>
      </c>
      <c r="AC29" s="290">
        <v>4903.7690000000002</v>
      </c>
      <c r="AD29" s="290">
        <v>500</v>
      </c>
      <c r="AE29" s="290">
        <v>0</v>
      </c>
      <c r="AF29" s="290">
        <v>41630.690300000002</v>
      </c>
      <c r="AG29" s="290">
        <v>31994</v>
      </c>
      <c r="AH29" s="290">
        <v>5337.5279773100001</v>
      </c>
      <c r="AI29" s="290">
        <v>2500</v>
      </c>
      <c r="AJ29" s="290">
        <v>0</v>
      </c>
      <c r="AK29" s="290">
        <v>0</v>
      </c>
      <c r="AL29" s="290">
        <v>0</v>
      </c>
      <c r="AM29" s="957">
        <v>0.56992980999999998</v>
      </c>
      <c r="AN29" s="290">
        <v>0</v>
      </c>
      <c r="AO29" s="290">
        <v>-4424.5708800000002</v>
      </c>
      <c r="AP29" s="290">
        <v>0</v>
      </c>
      <c r="AQ29" s="290">
        <v>0</v>
      </c>
      <c r="AR29" s="290">
        <v>-1723.37165</v>
      </c>
      <c r="AS29" s="290">
        <v>12071</v>
      </c>
      <c r="AT29" s="290">
        <v>1577</v>
      </c>
      <c r="AU29" s="290">
        <v>310</v>
      </c>
      <c r="AV29" s="766">
        <v>848705</v>
      </c>
      <c r="AW29" s="290">
        <v>9982.2369999999992</v>
      </c>
      <c r="AX29" s="766">
        <v>236.54169999999999</v>
      </c>
      <c r="AY29" s="290">
        <v>8711</v>
      </c>
      <c r="AZ29" s="290">
        <v>1192</v>
      </c>
      <c r="BA29" s="290">
        <v>697</v>
      </c>
      <c r="BB29" s="290">
        <v>0</v>
      </c>
      <c r="BC29" s="290">
        <v>10960.733899999999</v>
      </c>
      <c r="BD29" s="290">
        <v>2620</v>
      </c>
      <c r="BE29" s="290">
        <v>890246.50899999996</v>
      </c>
      <c r="BF29" s="290">
        <v>0</v>
      </c>
      <c r="BG29" s="290">
        <v>1416</v>
      </c>
      <c r="BH29" s="290">
        <v>202</v>
      </c>
      <c r="BI29" s="290">
        <v>53153.367700000003</v>
      </c>
      <c r="BJ29" s="290">
        <v>0</v>
      </c>
      <c r="BK29" s="290">
        <f t="shared" si="0"/>
        <v>0</v>
      </c>
      <c r="BL29" s="290">
        <v>0</v>
      </c>
      <c r="BM29" s="290">
        <v>5430</v>
      </c>
      <c r="BN29" s="290">
        <v>22639</v>
      </c>
      <c r="BO29" s="290">
        <v>5832</v>
      </c>
      <c r="BP29" s="290">
        <v>29</v>
      </c>
      <c r="BQ29" s="290">
        <v>3164</v>
      </c>
      <c r="BR29" s="290">
        <v>-15</v>
      </c>
      <c r="BS29" s="290">
        <v>406</v>
      </c>
      <c r="BT29" s="290">
        <v>0</v>
      </c>
      <c r="BU29" s="290">
        <v>0</v>
      </c>
      <c r="BV29" s="290">
        <v>455</v>
      </c>
      <c r="BW29" s="290"/>
      <c r="BX29" s="290"/>
      <c r="BY29" s="290"/>
    </row>
    <row r="30" spans="1:77" ht="13">
      <c r="A30" s="1">
        <v>1507</v>
      </c>
      <c r="B30" s="2" t="s">
        <v>1612</v>
      </c>
      <c r="C30" s="289">
        <v>66258</v>
      </c>
      <c r="D30" s="290">
        <v>1400</v>
      </c>
      <c r="E30" s="290">
        <v>3020</v>
      </c>
      <c r="F30" s="290">
        <v>8106</v>
      </c>
      <c r="G30" s="290">
        <v>5721</v>
      </c>
      <c r="H30" s="290">
        <v>37522</v>
      </c>
      <c r="I30" s="290">
        <v>7069</v>
      </c>
      <c r="J30" s="290">
        <v>2298</v>
      </c>
      <c r="K30" s="290">
        <v>640</v>
      </c>
      <c r="L30" s="290">
        <v>463</v>
      </c>
      <c r="M30" s="290">
        <v>4121</v>
      </c>
      <c r="N30" s="290">
        <v>1055</v>
      </c>
      <c r="O30" s="290">
        <v>728</v>
      </c>
      <c r="P30" s="624">
        <v>214715.20800000001</v>
      </c>
      <c r="Q30" s="624">
        <v>122085.41966667</v>
      </c>
      <c r="R30" s="624">
        <v>207</v>
      </c>
      <c r="S30" s="290">
        <v>0</v>
      </c>
      <c r="T30" s="290">
        <v>5552</v>
      </c>
      <c r="U30" s="958">
        <v>4.650606393028979E-3</v>
      </c>
      <c r="V30" s="290">
        <v>-19984.863527900001</v>
      </c>
      <c r="W30" s="765">
        <v>0.59996497999999998</v>
      </c>
      <c r="X30" s="290">
        <v>11900</v>
      </c>
      <c r="Y30" s="290">
        <v>1708.507216</v>
      </c>
      <c r="Z30" s="290">
        <v>2040372</v>
      </c>
      <c r="AA30" s="290">
        <v>0</v>
      </c>
      <c r="AB30" s="290">
        <v>1033</v>
      </c>
      <c r="AC30" s="290">
        <v>22587.298999999999</v>
      </c>
      <c r="AD30" s="290">
        <v>500</v>
      </c>
      <c r="AE30" s="290">
        <v>0</v>
      </c>
      <c r="AF30" s="290">
        <v>71056.399099999995</v>
      </c>
      <c r="AG30" s="290">
        <v>65776</v>
      </c>
      <c r="AH30" s="290">
        <v>11394.38960454</v>
      </c>
      <c r="AI30" s="290">
        <v>400</v>
      </c>
      <c r="AJ30" s="290">
        <v>0</v>
      </c>
      <c r="AK30" s="290">
        <v>0</v>
      </c>
      <c r="AL30" s="290">
        <v>0</v>
      </c>
      <c r="AM30" s="957">
        <v>1.1998928099999999</v>
      </c>
      <c r="AN30" s="290">
        <v>0</v>
      </c>
      <c r="AO30" s="290">
        <v>-8774.5975500000004</v>
      </c>
      <c r="AP30" s="290">
        <v>0</v>
      </c>
      <c r="AQ30" s="290">
        <v>-296.52</v>
      </c>
      <c r="AR30" s="290">
        <v>-3543.0547499999998</v>
      </c>
      <c r="AS30" s="290">
        <v>19054</v>
      </c>
      <c r="AT30" s="290">
        <v>2874</v>
      </c>
      <c r="AU30" s="290">
        <v>712</v>
      </c>
      <c r="AV30" s="766">
        <v>1581386</v>
      </c>
      <c r="AW30" s="290">
        <v>14437.662</v>
      </c>
      <c r="AX30" s="766">
        <v>518.08335</v>
      </c>
      <c r="AY30" s="290">
        <v>16316</v>
      </c>
      <c r="AZ30" s="290">
        <v>2525</v>
      </c>
      <c r="BA30" s="290">
        <v>1326</v>
      </c>
      <c r="BB30" s="290">
        <v>0</v>
      </c>
      <c r="BC30" s="290">
        <v>23179.312699999999</v>
      </c>
      <c r="BD30" s="290">
        <v>5310</v>
      </c>
      <c r="BE30" s="290">
        <v>1658895.38</v>
      </c>
      <c r="BF30" s="290">
        <v>0</v>
      </c>
      <c r="BG30" s="290">
        <v>2762</v>
      </c>
      <c r="BH30" s="290">
        <v>394</v>
      </c>
      <c r="BI30" s="290">
        <v>106746.595</v>
      </c>
      <c r="BJ30" s="290">
        <v>0</v>
      </c>
      <c r="BK30" s="290">
        <f t="shared" si="0"/>
        <v>0</v>
      </c>
      <c r="BL30" s="290">
        <v>0</v>
      </c>
      <c r="BM30" s="290">
        <v>7718</v>
      </c>
      <c r="BN30" s="290">
        <v>44896</v>
      </c>
      <c r="BO30" s="290">
        <v>12478</v>
      </c>
      <c r="BP30" s="290">
        <v>62</v>
      </c>
      <c r="BQ30" s="290">
        <v>6661</v>
      </c>
      <c r="BR30" s="290">
        <v>-31</v>
      </c>
      <c r="BS30" s="290">
        <v>658</v>
      </c>
      <c r="BT30" s="290">
        <v>0</v>
      </c>
      <c r="BU30" s="290">
        <v>0</v>
      </c>
      <c r="BV30" s="290">
        <v>888</v>
      </c>
      <c r="BW30" s="290"/>
      <c r="BX30" s="290"/>
      <c r="BY30" s="290"/>
    </row>
    <row r="31" spans="1:77" ht="13">
      <c r="A31" s="1">
        <v>1511</v>
      </c>
      <c r="B31" s="2" t="s">
        <v>86</v>
      </c>
      <c r="C31" s="289">
        <v>3117</v>
      </c>
      <c r="D31" s="290">
        <v>51</v>
      </c>
      <c r="E31" s="290">
        <v>89</v>
      </c>
      <c r="F31" s="290">
        <v>303</v>
      </c>
      <c r="G31" s="290">
        <v>310</v>
      </c>
      <c r="H31" s="290">
        <v>1618</v>
      </c>
      <c r="I31" s="290">
        <v>550</v>
      </c>
      <c r="J31" s="290">
        <v>176</v>
      </c>
      <c r="K31" s="290">
        <v>60</v>
      </c>
      <c r="L31" s="290">
        <v>22</v>
      </c>
      <c r="M31" s="290">
        <v>343</v>
      </c>
      <c r="N31" s="290">
        <v>1.5</v>
      </c>
      <c r="O31" s="290">
        <v>21</v>
      </c>
      <c r="P31" s="624">
        <v>38010.154000000002</v>
      </c>
      <c r="Q31" s="624">
        <v>11280.260666669999</v>
      </c>
      <c r="R31" s="624">
        <v>25</v>
      </c>
      <c r="S31" s="290">
        <v>0</v>
      </c>
      <c r="T31" s="290">
        <v>193</v>
      </c>
      <c r="U31" s="958">
        <v>2.6986439961038475E-3</v>
      </c>
      <c r="V31" s="290">
        <v>1586.91672073</v>
      </c>
      <c r="W31" s="765">
        <v>0.92260399000000004</v>
      </c>
      <c r="X31" s="290">
        <v>3700</v>
      </c>
      <c r="Y31" s="290">
        <v>0</v>
      </c>
      <c r="Z31" s="290">
        <v>83290</v>
      </c>
      <c r="AA31" s="290">
        <v>220</v>
      </c>
      <c r="AB31" s="290">
        <v>67</v>
      </c>
      <c r="AC31" s="290">
        <v>467.01100000000002</v>
      </c>
      <c r="AD31" s="290">
        <v>333</v>
      </c>
      <c r="AE31" s="290">
        <v>0</v>
      </c>
      <c r="AF31" s="290">
        <v>0</v>
      </c>
      <c r="AG31" s="290">
        <v>3157</v>
      </c>
      <c r="AH31" s="290">
        <v>443.16736422999998</v>
      </c>
      <c r="AI31" s="290">
        <v>0</v>
      </c>
      <c r="AJ31" s="290">
        <v>0</v>
      </c>
      <c r="AK31" s="290">
        <v>0</v>
      </c>
      <c r="AL31" s="290">
        <v>0</v>
      </c>
      <c r="AM31" s="957">
        <v>1.7293699999999999E-2</v>
      </c>
      <c r="AN31" s="290">
        <v>0</v>
      </c>
      <c r="AO31" s="290">
        <v>-504.623175</v>
      </c>
      <c r="AP31" s="290">
        <v>0</v>
      </c>
      <c r="AQ31" s="290">
        <v>0</v>
      </c>
      <c r="AR31" s="290">
        <v>1900.29916</v>
      </c>
      <c r="AS31" s="290">
        <v>952</v>
      </c>
      <c r="AT31" s="290">
        <v>108</v>
      </c>
      <c r="AU31" s="290">
        <v>18</v>
      </c>
      <c r="AV31" s="766">
        <v>116354</v>
      </c>
      <c r="AW31" s="290">
        <v>652.28399999999999</v>
      </c>
      <c r="AX31" s="766">
        <v>14.583299999999999</v>
      </c>
      <c r="AY31" s="290">
        <v>498</v>
      </c>
      <c r="AZ31" s="290">
        <v>89</v>
      </c>
      <c r="BA31" s="290">
        <v>48</v>
      </c>
      <c r="BB31" s="290">
        <v>5875</v>
      </c>
      <c r="BC31" s="290">
        <v>-2385.98137</v>
      </c>
      <c r="BD31" s="290">
        <v>367</v>
      </c>
      <c r="BE31" s="290">
        <v>119975.83900000001</v>
      </c>
      <c r="BF31" s="290">
        <v>0</v>
      </c>
      <c r="BG31" s="290">
        <v>196</v>
      </c>
      <c r="BH31" s="290">
        <v>28</v>
      </c>
      <c r="BI31" s="290">
        <v>910.17836399999999</v>
      </c>
      <c r="BJ31" s="290">
        <v>0</v>
      </c>
      <c r="BK31" s="290">
        <f t="shared" si="0"/>
        <v>0</v>
      </c>
      <c r="BL31" s="290">
        <v>0</v>
      </c>
      <c r="BM31" s="290">
        <v>0</v>
      </c>
      <c r="BN31" s="290">
        <v>2582</v>
      </c>
      <c r="BO31" s="290">
        <v>421</v>
      </c>
      <c r="BP31" s="290">
        <v>2</v>
      </c>
      <c r="BQ31" s="290">
        <v>309</v>
      </c>
      <c r="BR31" s="290">
        <v>-1</v>
      </c>
      <c r="BS31" s="290">
        <v>50</v>
      </c>
      <c r="BT31" s="290">
        <v>0</v>
      </c>
      <c r="BU31" s="290">
        <v>0</v>
      </c>
      <c r="BV31" s="290">
        <v>63</v>
      </c>
      <c r="BW31" s="290"/>
      <c r="BX31" s="290"/>
      <c r="BY31" s="290"/>
    </row>
    <row r="32" spans="1:77" ht="13">
      <c r="A32" s="1">
        <v>1514</v>
      </c>
      <c r="B32" s="2" t="s">
        <v>897</v>
      </c>
      <c r="C32" s="289">
        <v>2461</v>
      </c>
      <c r="D32" s="290">
        <v>40</v>
      </c>
      <c r="E32" s="290">
        <v>84</v>
      </c>
      <c r="F32" s="290">
        <v>266</v>
      </c>
      <c r="G32" s="290">
        <v>219</v>
      </c>
      <c r="H32" s="290">
        <v>1372</v>
      </c>
      <c r="I32" s="290">
        <v>330</v>
      </c>
      <c r="J32" s="290">
        <v>134</v>
      </c>
      <c r="K32" s="290">
        <v>39</v>
      </c>
      <c r="L32" s="290">
        <v>16</v>
      </c>
      <c r="M32" s="290">
        <v>228</v>
      </c>
      <c r="N32" s="290">
        <v>1.5</v>
      </c>
      <c r="O32" s="290">
        <v>41</v>
      </c>
      <c r="P32" s="624">
        <v>29033.815999999999</v>
      </c>
      <c r="Q32" s="624">
        <v>13966.314666669999</v>
      </c>
      <c r="R32" s="624">
        <v>14</v>
      </c>
      <c r="S32" s="290">
        <v>0</v>
      </c>
      <c r="T32" s="290">
        <v>180</v>
      </c>
      <c r="U32" s="958">
        <v>9.97998576942724E-4</v>
      </c>
      <c r="V32" s="290">
        <v>-176.30142412999999</v>
      </c>
      <c r="W32" s="765">
        <v>0.88439239000000003</v>
      </c>
      <c r="X32" s="290">
        <v>3100</v>
      </c>
      <c r="Y32" s="290">
        <v>0</v>
      </c>
      <c r="Z32" s="290">
        <v>73238</v>
      </c>
      <c r="AA32" s="290">
        <v>220</v>
      </c>
      <c r="AB32" s="290">
        <v>42</v>
      </c>
      <c r="AC32" s="290">
        <v>439.767</v>
      </c>
      <c r="AD32" s="290">
        <v>167</v>
      </c>
      <c r="AE32" s="290">
        <v>0</v>
      </c>
      <c r="AF32" s="290">
        <v>0</v>
      </c>
      <c r="AG32" s="290">
        <v>2484</v>
      </c>
      <c r="AH32" s="290">
        <v>379.54790573999998</v>
      </c>
      <c r="AI32" s="290">
        <v>0</v>
      </c>
      <c r="AJ32" s="290">
        <v>0</v>
      </c>
      <c r="AK32" s="290">
        <v>0</v>
      </c>
      <c r="AL32" s="290">
        <v>0</v>
      </c>
      <c r="AM32" s="957">
        <v>6.0116339999999997E-2</v>
      </c>
      <c r="AN32" s="290">
        <v>0</v>
      </c>
      <c r="AO32" s="290">
        <v>-400.644882</v>
      </c>
      <c r="AP32" s="290">
        <v>0</v>
      </c>
      <c r="AQ32" s="290">
        <v>0</v>
      </c>
      <c r="AR32" s="290">
        <v>600.30954899999995</v>
      </c>
      <c r="AS32" s="290">
        <v>1035</v>
      </c>
      <c r="AT32" s="290">
        <v>102</v>
      </c>
      <c r="AU32" s="290">
        <v>37</v>
      </c>
      <c r="AV32" s="766">
        <v>93442</v>
      </c>
      <c r="AW32" s="290">
        <v>1683.3979999999999</v>
      </c>
      <c r="AX32" s="766">
        <v>13.083349999999999</v>
      </c>
      <c r="AY32" s="290">
        <v>390</v>
      </c>
      <c r="AZ32" s="290">
        <v>99</v>
      </c>
      <c r="BA32" s="290">
        <v>60</v>
      </c>
      <c r="BB32" s="290">
        <v>4700</v>
      </c>
      <c r="BC32" s="290">
        <v>-553.11263899999994</v>
      </c>
      <c r="BD32" s="290">
        <v>310</v>
      </c>
      <c r="BE32" s="290">
        <v>94782.412500000006</v>
      </c>
      <c r="BF32" s="290">
        <v>0</v>
      </c>
      <c r="BG32" s="290">
        <v>157</v>
      </c>
      <c r="BH32" s="290">
        <v>22</v>
      </c>
      <c r="BI32" s="290">
        <v>819.31490599999995</v>
      </c>
      <c r="BJ32" s="290">
        <v>280</v>
      </c>
      <c r="BK32" s="290">
        <f t="shared" si="0"/>
        <v>0</v>
      </c>
      <c r="BL32" s="290">
        <v>0</v>
      </c>
      <c r="BM32" s="290">
        <v>0</v>
      </c>
      <c r="BN32" s="290">
        <v>2050</v>
      </c>
      <c r="BO32" s="290">
        <v>387</v>
      </c>
      <c r="BP32" s="290">
        <v>2</v>
      </c>
      <c r="BQ32" s="290">
        <v>249</v>
      </c>
      <c r="BR32" s="290">
        <v>-1</v>
      </c>
      <c r="BS32" s="290">
        <v>50</v>
      </c>
      <c r="BT32" s="290">
        <v>0</v>
      </c>
      <c r="BU32" s="290">
        <v>0</v>
      </c>
      <c r="BV32" s="290">
        <v>51</v>
      </c>
      <c r="BW32" s="290"/>
      <c r="BX32" s="290"/>
      <c r="BY32" s="290"/>
    </row>
    <row r="33" spans="1:77" ht="13">
      <c r="A33" s="1">
        <v>1515</v>
      </c>
      <c r="B33" s="2" t="s">
        <v>87</v>
      </c>
      <c r="C33" s="289">
        <v>8900</v>
      </c>
      <c r="D33" s="290">
        <v>174</v>
      </c>
      <c r="E33" s="290">
        <v>379</v>
      </c>
      <c r="F33" s="290">
        <v>1131</v>
      </c>
      <c r="G33" s="290">
        <v>776</v>
      </c>
      <c r="H33" s="290">
        <v>4914</v>
      </c>
      <c r="I33" s="290">
        <v>1103</v>
      </c>
      <c r="J33" s="290">
        <v>380</v>
      </c>
      <c r="K33" s="290">
        <v>98</v>
      </c>
      <c r="L33" s="290">
        <v>60</v>
      </c>
      <c r="M33" s="290">
        <v>622</v>
      </c>
      <c r="N33" s="290">
        <v>81</v>
      </c>
      <c r="O33" s="290">
        <v>98</v>
      </c>
      <c r="P33" s="624">
        <v>39200.320333329997</v>
      </c>
      <c r="Q33" s="624">
        <v>16991.321666669999</v>
      </c>
      <c r="R33" s="624">
        <v>29</v>
      </c>
      <c r="S33" s="290">
        <v>0</v>
      </c>
      <c r="T33" s="290">
        <v>632</v>
      </c>
      <c r="U33" s="958">
        <v>1.7735576249054124E-3</v>
      </c>
      <c r="V33" s="290">
        <v>-6075.7043225199996</v>
      </c>
      <c r="W33" s="765">
        <v>0.61757267000000005</v>
      </c>
      <c r="X33" s="290">
        <v>1200</v>
      </c>
      <c r="Y33" s="290">
        <v>427.12680399999999</v>
      </c>
      <c r="Z33" s="290">
        <v>308399</v>
      </c>
      <c r="AA33" s="290">
        <v>430</v>
      </c>
      <c r="AB33" s="290">
        <v>166</v>
      </c>
      <c r="AC33" s="290">
        <v>1493.7139999999999</v>
      </c>
      <c r="AD33" s="290">
        <v>333</v>
      </c>
      <c r="AE33" s="290">
        <v>0</v>
      </c>
      <c r="AF33" s="290">
        <v>0</v>
      </c>
      <c r="AG33" s="290">
        <v>8955</v>
      </c>
      <c r="AH33" s="290">
        <v>1544.9407134600001</v>
      </c>
      <c r="AI33" s="290">
        <v>500</v>
      </c>
      <c r="AJ33" s="290">
        <v>0</v>
      </c>
      <c r="AK33" s="290">
        <v>0</v>
      </c>
      <c r="AL33" s="290">
        <v>0</v>
      </c>
      <c r="AM33" s="957">
        <v>0.23469818000000001</v>
      </c>
      <c r="AN33" s="290">
        <v>0</v>
      </c>
      <c r="AO33" s="290">
        <v>-1236.2534499999999</v>
      </c>
      <c r="AP33" s="290">
        <v>0</v>
      </c>
      <c r="AQ33" s="290">
        <v>0</v>
      </c>
      <c r="AR33" s="290">
        <v>-358.55074200000001</v>
      </c>
      <c r="AS33" s="290">
        <v>2109</v>
      </c>
      <c r="AT33" s="290">
        <v>361</v>
      </c>
      <c r="AU33" s="290">
        <v>165</v>
      </c>
      <c r="AV33" s="766">
        <v>222622</v>
      </c>
      <c r="AW33" s="290">
        <v>1813.2439999999999</v>
      </c>
      <c r="AX33" s="766">
        <v>55.083350000000003</v>
      </c>
      <c r="AY33" s="290">
        <v>1458</v>
      </c>
      <c r="AZ33" s="290">
        <v>314</v>
      </c>
      <c r="BA33" s="290">
        <v>154</v>
      </c>
      <c r="BB33" s="290">
        <v>0</v>
      </c>
      <c r="BC33" s="290">
        <v>1930.80483</v>
      </c>
      <c r="BD33" s="290">
        <v>790</v>
      </c>
      <c r="BE33" s="290">
        <v>226613.16399999999</v>
      </c>
      <c r="BF33" s="290">
        <v>0</v>
      </c>
      <c r="BG33" s="290">
        <v>413</v>
      </c>
      <c r="BH33" s="290">
        <v>59</v>
      </c>
      <c r="BI33" s="290">
        <v>3465.78152</v>
      </c>
      <c r="BJ33" s="290">
        <v>1010</v>
      </c>
      <c r="BK33" s="290">
        <f t="shared" si="0"/>
        <v>0</v>
      </c>
      <c r="BL33" s="290">
        <v>0</v>
      </c>
      <c r="BM33" s="290">
        <v>0</v>
      </c>
      <c r="BN33" s="290">
        <v>6325</v>
      </c>
      <c r="BO33" s="290">
        <v>1576</v>
      </c>
      <c r="BP33" s="290">
        <v>7</v>
      </c>
      <c r="BQ33" s="290">
        <v>934</v>
      </c>
      <c r="BR33" s="290">
        <v>-4</v>
      </c>
      <c r="BS33" s="290">
        <v>50</v>
      </c>
      <c r="BT33" s="290">
        <v>0</v>
      </c>
      <c r="BU33" s="290">
        <v>0</v>
      </c>
      <c r="BV33" s="290">
        <v>133</v>
      </c>
      <c r="BW33" s="290"/>
      <c r="BX33" s="290"/>
      <c r="BY33" s="290"/>
    </row>
    <row r="34" spans="1:77" ht="13">
      <c r="A34" s="1">
        <v>1516</v>
      </c>
      <c r="B34" s="2" t="s">
        <v>88</v>
      </c>
      <c r="C34" s="289">
        <v>8571</v>
      </c>
      <c r="D34" s="290">
        <v>200</v>
      </c>
      <c r="E34" s="290">
        <v>392</v>
      </c>
      <c r="F34" s="290">
        <v>1145</v>
      </c>
      <c r="G34" s="290">
        <v>828</v>
      </c>
      <c r="H34" s="290">
        <v>4838</v>
      </c>
      <c r="I34" s="290">
        <v>871</v>
      </c>
      <c r="J34" s="290">
        <v>270</v>
      </c>
      <c r="K34" s="290">
        <v>66</v>
      </c>
      <c r="L34" s="290">
        <v>54</v>
      </c>
      <c r="M34" s="290">
        <v>454</v>
      </c>
      <c r="N34" s="290">
        <v>171</v>
      </c>
      <c r="O34" s="290">
        <v>103</v>
      </c>
      <c r="P34" s="624">
        <v>23491.268333330001</v>
      </c>
      <c r="Q34" s="624">
        <v>14617.546</v>
      </c>
      <c r="R34" s="624">
        <v>39</v>
      </c>
      <c r="S34" s="290">
        <v>0</v>
      </c>
      <c r="T34" s="290">
        <v>635</v>
      </c>
      <c r="U34" s="958">
        <v>9.4761035592558901E-4</v>
      </c>
      <c r="V34" s="290">
        <v>1312.88779703</v>
      </c>
      <c r="W34" s="765">
        <v>0.56889372999999999</v>
      </c>
      <c r="X34" s="290">
        <v>2200</v>
      </c>
      <c r="Y34" s="290">
        <v>427.12680399999999</v>
      </c>
      <c r="Z34" s="290">
        <v>276618</v>
      </c>
      <c r="AA34" s="290">
        <v>430</v>
      </c>
      <c r="AB34" s="290">
        <v>117</v>
      </c>
      <c r="AC34" s="290">
        <v>1531.768</v>
      </c>
      <c r="AD34" s="290">
        <v>333</v>
      </c>
      <c r="AE34" s="290">
        <v>0</v>
      </c>
      <c r="AF34" s="290">
        <v>0</v>
      </c>
      <c r="AG34" s="290">
        <v>8610</v>
      </c>
      <c r="AH34" s="290">
        <v>1612.8978623</v>
      </c>
      <c r="AI34" s="290">
        <v>0</v>
      </c>
      <c r="AJ34" s="290">
        <v>0</v>
      </c>
      <c r="AK34" s="290">
        <v>0</v>
      </c>
      <c r="AL34" s="290">
        <v>0</v>
      </c>
      <c r="AM34" s="957">
        <v>0.27463796000000001</v>
      </c>
      <c r="AN34" s="290">
        <v>0</v>
      </c>
      <c r="AO34" s="290">
        <v>-1178.28577</v>
      </c>
      <c r="AP34" s="290">
        <v>0</v>
      </c>
      <c r="AQ34" s="290">
        <v>0</v>
      </c>
      <c r="AR34" s="290">
        <v>-463.78164299999997</v>
      </c>
      <c r="AS34" s="290">
        <v>5816</v>
      </c>
      <c r="AT34" s="290">
        <v>401</v>
      </c>
      <c r="AU34" s="290">
        <v>135</v>
      </c>
      <c r="AV34" s="766">
        <v>213452</v>
      </c>
      <c r="AW34" s="290">
        <v>2358.7260000000001</v>
      </c>
      <c r="AX34" s="766">
        <v>66.458349999999996</v>
      </c>
      <c r="AY34" s="290">
        <v>2087</v>
      </c>
      <c r="AZ34" s="290">
        <v>376</v>
      </c>
      <c r="BA34" s="290">
        <v>153</v>
      </c>
      <c r="BB34" s="290">
        <v>0</v>
      </c>
      <c r="BC34" s="290">
        <v>1985.1904</v>
      </c>
      <c r="BD34" s="290">
        <v>759</v>
      </c>
      <c r="BE34" s="290">
        <v>222187.201</v>
      </c>
      <c r="BF34" s="290">
        <v>0</v>
      </c>
      <c r="BG34" s="290">
        <v>375</v>
      </c>
      <c r="BH34" s="290">
        <v>54</v>
      </c>
      <c r="BI34" s="290">
        <v>3571.7926699999998</v>
      </c>
      <c r="BJ34" s="290">
        <v>970</v>
      </c>
      <c r="BK34" s="290">
        <f t="shared" si="0"/>
        <v>0</v>
      </c>
      <c r="BL34" s="290">
        <v>0</v>
      </c>
      <c r="BM34" s="290">
        <v>0</v>
      </c>
      <c r="BN34" s="290">
        <v>6029</v>
      </c>
      <c r="BO34" s="290">
        <v>1663</v>
      </c>
      <c r="BP34" s="290">
        <v>8</v>
      </c>
      <c r="BQ34" s="290">
        <v>879</v>
      </c>
      <c r="BR34" s="290">
        <v>-4</v>
      </c>
      <c r="BS34" s="290">
        <v>103</v>
      </c>
      <c r="BT34" s="290">
        <v>0</v>
      </c>
      <c r="BU34" s="290">
        <v>0</v>
      </c>
      <c r="BV34" s="290">
        <v>121</v>
      </c>
      <c r="BW34" s="290"/>
      <c r="BX34" s="290"/>
      <c r="BY34" s="290"/>
    </row>
    <row r="35" spans="1:77" ht="13">
      <c r="A35" s="1">
        <v>1517</v>
      </c>
      <c r="B35" s="2" t="s">
        <v>89</v>
      </c>
      <c r="C35" s="289">
        <v>5175</v>
      </c>
      <c r="D35" s="290">
        <v>122</v>
      </c>
      <c r="E35" s="290">
        <v>267</v>
      </c>
      <c r="F35" s="290">
        <v>671</v>
      </c>
      <c r="G35" s="290">
        <v>438</v>
      </c>
      <c r="H35" s="290">
        <v>2836</v>
      </c>
      <c r="I35" s="290">
        <v>571</v>
      </c>
      <c r="J35" s="290">
        <v>193</v>
      </c>
      <c r="K35" s="290">
        <v>60</v>
      </c>
      <c r="L35" s="290">
        <v>37</v>
      </c>
      <c r="M35" s="290">
        <v>384</v>
      </c>
      <c r="N35" s="290">
        <v>105</v>
      </c>
      <c r="O35" s="290">
        <v>84</v>
      </c>
      <c r="P35" s="624">
        <v>13010.420666669999</v>
      </c>
      <c r="Q35" s="624">
        <v>5760.12033333</v>
      </c>
      <c r="R35" s="624">
        <v>18</v>
      </c>
      <c r="S35" s="290">
        <v>0</v>
      </c>
      <c r="T35" s="290">
        <v>379</v>
      </c>
      <c r="U35" s="958">
        <v>6.6126624650798068E-4</v>
      </c>
      <c r="V35" s="290">
        <v>-902.79131396000002</v>
      </c>
      <c r="W35" s="765">
        <v>0.58887504999999996</v>
      </c>
      <c r="X35" s="290">
        <v>1550</v>
      </c>
      <c r="Y35" s="290">
        <v>427.12680399999999</v>
      </c>
      <c r="Z35" s="290">
        <v>129502</v>
      </c>
      <c r="AA35" s="290">
        <v>0</v>
      </c>
      <c r="AB35" s="290">
        <v>102</v>
      </c>
      <c r="AC35" s="290">
        <v>849.23099999999999</v>
      </c>
      <c r="AD35" s="290">
        <v>333</v>
      </c>
      <c r="AE35" s="290">
        <v>0</v>
      </c>
      <c r="AF35" s="290">
        <v>0</v>
      </c>
      <c r="AG35" s="290">
        <v>5158</v>
      </c>
      <c r="AH35" s="290">
        <v>945.61649659</v>
      </c>
      <c r="AI35" s="290">
        <v>300</v>
      </c>
      <c r="AJ35" s="290">
        <v>0</v>
      </c>
      <c r="AK35" s="290">
        <v>0</v>
      </c>
      <c r="AL35" s="290">
        <v>0</v>
      </c>
      <c r="AM35" s="957">
        <v>0.19157836</v>
      </c>
      <c r="AN35" s="290">
        <v>0</v>
      </c>
      <c r="AO35" s="290">
        <v>-757.70711700000004</v>
      </c>
      <c r="AP35" s="290">
        <v>0</v>
      </c>
      <c r="AQ35" s="290">
        <v>0</v>
      </c>
      <c r="AR35" s="290">
        <v>-277.83806199999998</v>
      </c>
      <c r="AS35" s="290">
        <v>274</v>
      </c>
      <c r="AT35" s="290">
        <v>211</v>
      </c>
      <c r="AU35" s="290">
        <v>104</v>
      </c>
      <c r="AV35" s="766">
        <v>146996</v>
      </c>
      <c r="AW35" s="290">
        <v>1525.65</v>
      </c>
      <c r="AX35" s="766">
        <v>46.625050000000002</v>
      </c>
      <c r="AY35" s="290">
        <v>906</v>
      </c>
      <c r="AZ35" s="290">
        <v>232</v>
      </c>
      <c r="BA35" s="290">
        <v>130</v>
      </c>
      <c r="BB35" s="290">
        <v>0</v>
      </c>
      <c r="BC35" s="290">
        <v>1323.4992500000001</v>
      </c>
      <c r="BD35" s="290">
        <v>486</v>
      </c>
      <c r="BE35" s="290">
        <v>152462.15700000001</v>
      </c>
      <c r="BF35" s="290">
        <v>0</v>
      </c>
      <c r="BG35" s="290">
        <v>238</v>
      </c>
      <c r="BH35" s="290">
        <v>34</v>
      </c>
      <c r="BI35" s="290">
        <v>2221.9742999999999</v>
      </c>
      <c r="BJ35" s="290">
        <v>590</v>
      </c>
      <c r="BK35" s="290">
        <f t="shared" si="0"/>
        <v>0</v>
      </c>
      <c r="BL35" s="290">
        <v>0</v>
      </c>
      <c r="BM35" s="290">
        <v>0</v>
      </c>
      <c r="BN35" s="290">
        <v>3877</v>
      </c>
      <c r="BO35" s="290">
        <v>1060</v>
      </c>
      <c r="BP35" s="290">
        <v>5</v>
      </c>
      <c r="BQ35" s="290">
        <v>501</v>
      </c>
      <c r="BR35" s="290">
        <v>-2</v>
      </c>
      <c r="BS35" s="290">
        <v>83</v>
      </c>
      <c r="BT35" s="290">
        <v>0</v>
      </c>
      <c r="BU35" s="290">
        <v>0</v>
      </c>
      <c r="BV35" s="290">
        <v>76</v>
      </c>
      <c r="BW35" s="290"/>
      <c r="BX35" s="290"/>
      <c r="BY35" s="290"/>
    </row>
    <row r="36" spans="1:77" ht="13">
      <c r="A36" s="1">
        <v>1520</v>
      </c>
      <c r="B36" s="2" t="s">
        <v>91</v>
      </c>
      <c r="C36" s="289">
        <v>10825</v>
      </c>
      <c r="D36" s="290">
        <v>251</v>
      </c>
      <c r="E36" s="290">
        <v>483</v>
      </c>
      <c r="F36" s="290">
        <v>1366</v>
      </c>
      <c r="G36" s="290">
        <v>983</v>
      </c>
      <c r="H36" s="290">
        <v>5847</v>
      </c>
      <c r="I36" s="290">
        <v>1308</v>
      </c>
      <c r="J36" s="290">
        <v>451</v>
      </c>
      <c r="K36" s="290">
        <v>134</v>
      </c>
      <c r="L36" s="290">
        <v>76</v>
      </c>
      <c r="M36" s="290">
        <v>767</v>
      </c>
      <c r="N36" s="290">
        <v>153</v>
      </c>
      <c r="O36" s="290">
        <v>92</v>
      </c>
      <c r="P36" s="624">
        <v>86806.846000000005</v>
      </c>
      <c r="Q36" s="624">
        <v>20689.31533333</v>
      </c>
      <c r="R36" s="624">
        <v>36</v>
      </c>
      <c r="S36" s="290">
        <v>0</v>
      </c>
      <c r="T36" s="290">
        <v>789</v>
      </c>
      <c r="U36" s="958">
        <v>3.9733489453451943E-3</v>
      </c>
      <c r="V36" s="290">
        <v>1088.2071844500001</v>
      </c>
      <c r="W36" s="765">
        <v>0.61671659999999995</v>
      </c>
      <c r="X36" s="290">
        <v>400</v>
      </c>
      <c r="Y36" s="290">
        <v>427.12680399999999</v>
      </c>
      <c r="Z36" s="290">
        <v>277419</v>
      </c>
      <c r="AA36" s="290">
        <v>1800</v>
      </c>
      <c r="AB36" s="290">
        <v>202</v>
      </c>
      <c r="AC36" s="290">
        <v>1824.3520000000001</v>
      </c>
      <c r="AD36" s="290">
        <v>333</v>
      </c>
      <c r="AE36" s="290">
        <v>0</v>
      </c>
      <c r="AF36" s="290">
        <v>0</v>
      </c>
      <c r="AG36" s="290">
        <v>10823</v>
      </c>
      <c r="AH36" s="290">
        <v>1936.0557934799999</v>
      </c>
      <c r="AI36" s="290">
        <v>250</v>
      </c>
      <c r="AJ36" s="290">
        <v>0</v>
      </c>
      <c r="AK36" s="290">
        <v>0</v>
      </c>
      <c r="AL36" s="290">
        <v>0</v>
      </c>
      <c r="AM36" s="957">
        <v>0.13615121999999999</v>
      </c>
      <c r="AN36" s="290">
        <v>0</v>
      </c>
      <c r="AO36" s="290">
        <v>-1534.24469</v>
      </c>
      <c r="AP36" s="290">
        <v>0</v>
      </c>
      <c r="AQ36" s="290">
        <v>-2594.5500000000002</v>
      </c>
      <c r="AR36" s="290">
        <v>-582.98591499999998</v>
      </c>
      <c r="AS36" s="290">
        <v>2189</v>
      </c>
      <c r="AT36" s="290">
        <v>423</v>
      </c>
      <c r="AU36" s="290">
        <v>122</v>
      </c>
      <c r="AV36" s="766">
        <v>293845</v>
      </c>
      <c r="AW36" s="290">
        <v>3086.6979999999999</v>
      </c>
      <c r="AX36" s="766">
        <v>81.772300000000001</v>
      </c>
      <c r="AY36" s="290">
        <v>2244</v>
      </c>
      <c r="AZ36" s="290">
        <v>305</v>
      </c>
      <c r="BA36" s="290">
        <v>224</v>
      </c>
      <c r="BB36" s="290">
        <v>0</v>
      </c>
      <c r="BC36" s="290">
        <v>2280.8248100000001</v>
      </c>
      <c r="BD36" s="290">
        <v>939</v>
      </c>
      <c r="BE36" s="290">
        <v>297307.67300000001</v>
      </c>
      <c r="BF36" s="290">
        <v>0</v>
      </c>
      <c r="BG36" s="290">
        <v>509</v>
      </c>
      <c r="BH36" s="290">
        <v>73</v>
      </c>
      <c r="BI36" s="290">
        <v>4187.5346</v>
      </c>
      <c r="BJ36" s="290">
        <v>0</v>
      </c>
      <c r="BK36" s="290">
        <f t="shared" si="0"/>
        <v>0</v>
      </c>
      <c r="BL36" s="290">
        <v>0</v>
      </c>
      <c r="BM36" s="290">
        <v>0</v>
      </c>
      <c r="BN36" s="290">
        <v>7850</v>
      </c>
      <c r="BO36" s="290">
        <v>2021</v>
      </c>
      <c r="BP36" s="290">
        <v>10</v>
      </c>
      <c r="BQ36" s="290">
        <v>1058</v>
      </c>
      <c r="BR36" s="290">
        <v>-5</v>
      </c>
      <c r="BS36" s="290">
        <v>102</v>
      </c>
      <c r="BT36" s="290">
        <v>0</v>
      </c>
      <c r="BU36" s="290">
        <v>0</v>
      </c>
      <c r="BV36" s="290">
        <v>164</v>
      </c>
      <c r="BW36" s="290"/>
      <c r="BX36" s="290"/>
      <c r="BY36" s="290"/>
    </row>
    <row r="37" spans="1:77" ht="13">
      <c r="A37" s="1">
        <v>1525</v>
      </c>
      <c r="B37" s="2" t="s">
        <v>94</v>
      </c>
      <c r="C37" s="289">
        <v>4523</v>
      </c>
      <c r="D37" s="290">
        <v>83</v>
      </c>
      <c r="E37" s="290">
        <v>160</v>
      </c>
      <c r="F37" s="290">
        <v>488</v>
      </c>
      <c r="G37" s="290">
        <v>396</v>
      </c>
      <c r="H37" s="290">
        <v>2489</v>
      </c>
      <c r="I37" s="290">
        <v>597</v>
      </c>
      <c r="J37" s="290">
        <v>266</v>
      </c>
      <c r="K37" s="290">
        <v>69</v>
      </c>
      <c r="L37" s="290">
        <v>29</v>
      </c>
      <c r="M37" s="290">
        <v>371</v>
      </c>
      <c r="N37" s="290">
        <v>52</v>
      </c>
      <c r="O37" s="290">
        <v>58</v>
      </c>
      <c r="P37" s="624">
        <v>44832.260333329999</v>
      </c>
      <c r="Q37" s="624">
        <v>27499.8</v>
      </c>
      <c r="R37" s="624">
        <v>8</v>
      </c>
      <c r="S37" s="290">
        <v>0</v>
      </c>
      <c r="T37" s="290">
        <v>337</v>
      </c>
      <c r="U37" s="958">
        <v>2.2166557405962472E-3</v>
      </c>
      <c r="V37" s="290">
        <v>2100.0808733200001</v>
      </c>
      <c r="W37" s="765">
        <v>0.80617923000000002</v>
      </c>
      <c r="X37" s="290">
        <v>1400</v>
      </c>
      <c r="Y37" s="290">
        <v>427.12680399999999</v>
      </c>
      <c r="Z37" s="290">
        <v>129631</v>
      </c>
      <c r="AA37" s="290">
        <v>1280</v>
      </c>
      <c r="AB37" s="290">
        <v>51</v>
      </c>
      <c r="AC37" s="290">
        <v>746.03399999999999</v>
      </c>
      <c r="AD37" s="290">
        <v>333</v>
      </c>
      <c r="AE37" s="290">
        <v>0</v>
      </c>
      <c r="AF37" s="290">
        <v>0</v>
      </c>
      <c r="AG37" s="290">
        <v>4548</v>
      </c>
      <c r="AH37" s="290">
        <v>698.36814656000001</v>
      </c>
      <c r="AI37" s="290">
        <v>0</v>
      </c>
      <c r="AJ37" s="290">
        <v>0</v>
      </c>
      <c r="AK37" s="290">
        <v>0</v>
      </c>
      <c r="AL37" s="290">
        <v>0</v>
      </c>
      <c r="AM37" s="957">
        <v>2.713633E-2</v>
      </c>
      <c r="AN37" s="290">
        <v>2612</v>
      </c>
      <c r="AO37" s="290">
        <v>-658.03073400000005</v>
      </c>
      <c r="AP37" s="290">
        <v>0</v>
      </c>
      <c r="AQ37" s="290">
        <v>0</v>
      </c>
      <c r="AR37" s="290">
        <v>7161.3006599999999</v>
      </c>
      <c r="AS37" s="290">
        <v>1217</v>
      </c>
      <c r="AT37" s="290">
        <v>150</v>
      </c>
      <c r="AU37" s="290">
        <v>29</v>
      </c>
      <c r="AV37" s="766">
        <v>141671</v>
      </c>
      <c r="AW37" s="290">
        <v>957.06200000000001</v>
      </c>
      <c r="AX37" s="766">
        <v>29.500050000000002</v>
      </c>
      <c r="AY37" s="290">
        <v>781</v>
      </c>
      <c r="AZ37" s="290">
        <v>130</v>
      </c>
      <c r="BA37" s="290">
        <v>55</v>
      </c>
      <c r="BB37" s="290">
        <v>0</v>
      </c>
      <c r="BC37" s="290">
        <v>1109.4431999999999</v>
      </c>
      <c r="BD37" s="290">
        <v>464</v>
      </c>
      <c r="BE37" s="290">
        <v>135858.35399999999</v>
      </c>
      <c r="BF37" s="290">
        <v>0</v>
      </c>
      <c r="BG37" s="290">
        <v>257</v>
      </c>
      <c r="BH37" s="290">
        <v>37</v>
      </c>
      <c r="BI37" s="290">
        <v>1871.5289499999999</v>
      </c>
      <c r="BJ37" s="290">
        <v>0</v>
      </c>
      <c r="BK37" s="290">
        <f t="shared" si="0"/>
        <v>0</v>
      </c>
      <c r="BL37" s="290">
        <v>0</v>
      </c>
      <c r="BM37" s="290">
        <v>0</v>
      </c>
      <c r="BN37" s="290">
        <v>3367</v>
      </c>
      <c r="BO37" s="290">
        <v>721</v>
      </c>
      <c r="BP37" s="290">
        <v>3</v>
      </c>
      <c r="BQ37" s="290">
        <v>446</v>
      </c>
      <c r="BR37" s="290">
        <v>-2</v>
      </c>
      <c r="BS37" s="290">
        <v>50</v>
      </c>
      <c r="BT37" s="290">
        <v>0</v>
      </c>
      <c r="BU37" s="290">
        <v>0</v>
      </c>
      <c r="BV37" s="290">
        <v>82</v>
      </c>
      <c r="BW37" s="290"/>
      <c r="BX37" s="290"/>
      <c r="BY37" s="290"/>
    </row>
    <row r="38" spans="1:77" ht="13">
      <c r="A38" s="1">
        <v>1528</v>
      </c>
      <c r="B38" s="2" t="s">
        <v>96</v>
      </c>
      <c r="C38" s="289">
        <v>7625</v>
      </c>
      <c r="D38" s="290">
        <v>126</v>
      </c>
      <c r="E38" s="290">
        <v>328</v>
      </c>
      <c r="F38" s="290">
        <v>981</v>
      </c>
      <c r="G38" s="290">
        <v>728</v>
      </c>
      <c r="H38" s="290">
        <v>4168</v>
      </c>
      <c r="I38" s="290">
        <v>958</v>
      </c>
      <c r="J38" s="290">
        <v>277</v>
      </c>
      <c r="K38" s="290">
        <v>89</v>
      </c>
      <c r="L38" s="290">
        <v>53</v>
      </c>
      <c r="M38" s="290">
        <v>498</v>
      </c>
      <c r="N38" s="290">
        <v>123</v>
      </c>
      <c r="O38" s="290">
        <v>68</v>
      </c>
      <c r="P38" s="624">
        <v>32005.655666670002</v>
      </c>
      <c r="Q38" s="624">
        <v>19101.409</v>
      </c>
      <c r="R38" s="624">
        <v>35</v>
      </c>
      <c r="S38" s="290">
        <v>0</v>
      </c>
      <c r="T38" s="290">
        <v>564</v>
      </c>
      <c r="U38" s="958">
        <v>1.9505990766251952E-3</v>
      </c>
      <c r="V38" s="290">
        <v>-8633.0375334</v>
      </c>
      <c r="W38" s="765">
        <v>0.59735786999999996</v>
      </c>
      <c r="X38" s="290">
        <v>750</v>
      </c>
      <c r="Y38" s="290">
        <v>427.12680399999999</v>
      </c>
      <c r="Z38" s="290">
        <v>197295</v>
      </c>
      <c r="AA38" s="290">
        <v>90</v>
      </c>
      <c r="AB38" s="290">
        <v>133</v>
      </c>
      <c r="AC38" s="290">
        <v>1295.9590000000001</v>
      </c>
      <c r="AD38" s="290">
        <v>333</v>
      </c>
      <c r="AE38" s="290">
        <v>0</v>
      </c>
      <c r="AF38" s="290">
        <v>0</v>
      </c>
      <c r="AG38" s="290">
        <v>7655</v>
      </c>
      <c r="AH38" s="290">
        <v>1356.9741315700001</v>
      </c>
      <c r="AI38" s="290">
        <v>0</v>
      </c>
      <c r="AJ38" s="290">
        <v>0</v>
      </c>
      <c r="AK38" s="290">
        <v>0</v>
      </c>
      <c r="AL38" s="290">
        <v>0</v>
      </c>
      <c r="AM38" s="957">
        <v>8.4898260000000003E-2</v>
      </c>
      <c r="AN38" s="290">
        <v>2024</v>
      </c>
      <c r="AO38" s="290">
        <v>-1076.21858</v>
      </c>
      <c r="AP38" s="290">
        <v>0</v>
      </c>
      <c r="AQ38" s="290">
        <v>0</v>
      </c>
      <c r="AR38" s="290">
        <v>5176.23254</v>
      </c>
      <c r="AS38" s="290">
        <v>2207</v>
      </c>
      <c r="AT38" s="290">
        <v>311</v>
      </c>
      <c r="AU38" s="290">
        <v>55</v>
      </c>
      <c r="AV38" s="766">
        <v>200891</v>
      </c>
      <c r="AW38" s="290">
        <v>1618.2280000000001</v>
      </c>
      <c r="AX38" s="766">
        <v>42.083300000000001</v>
      </c>
      <c r="AY38" s="290">
        <v>1450</v>
      </c>
      <c r="AZ38" s="290">
        <v>291</v>
      </c>
      <c r="BA38" s="290">
        <v>149</v>
      </c>
      <c r="BB38" s="290">
        <v>0</v>
      </c>
      <c r="BC38" s="290">
        <v>1756.49209</v>
      </c>
      <c r="BD38" s="290">
        <v>684</v>
      </c>
      <c r="BE38" s="290">
        <v>199914.57</v>
      </c>
      <c r="BF38" s="290">
        <v>0</v>
      </c>
      <c r="BG38" s="290">
        <v>358</v>
      </c>
      <c r="BH38" s="290">
        <v>51</v>
      </c>
      <c r="BI38" s="290">
        <v>3080.0599400000001</v>
      </c>
      <c r="BJ38" s="290">
        <v>0</v>
      </c>
      <c r="BK38" s="290">
        <f t="shared" si="0"/>
        <v>0</v>
      </c>
      <c r="BL38" s="290">
        <v>0</v>
      </c>
      <c r="BM38" s="290">
        <v>0</v>
      </c>
      <c r="BN38" s="290">
        <v>5507</v>
      </c>
      <c r="BO38" s="290">
        <v>1365</v>
      </c>
      <c r="BP38" s="290">
        <v>6</v>
      </c>
      <c r="BQ38" s="290">
        <v>746</v>
      </c>
      <c r="BR38" s="290">
        <v>-4</v>
      </c>
      <c r="BS38" s="290">
        <v>97</v>
      </c>
      <c r="BT38" s="290">
        <v>0</v>
      </c>
      <c r="BU38" s="290">
        <v>0</v>
      </c>
      <c r="BV38" s="290">
        <v>115</v>
      </c>
      <c r="BW38" s="290"/>
      <c r="BX38" s="290"/>
      <c r="BY38" s="290"/>
    </row>
    <row r="39" spans="1:77" ht="13">
      <c r="A39" s="1">
        <v>1531</v>
      </c>
      <c r="B39" s="2" t="s">
        <v>98</v>
      </c>
      <c r="C39" s="289">
        <v>9310</v>
      </c>
      <c r="D39" s="290">
        <v>224</v>
      </c>
      <c r="E39" s="290">
        <v>524</v>
      </c>
      <c r="F39" s="290">
        <v>1345</v>
      </c>
      <c r="G39" s="290">
        <v>784</v>
      </c>
      <c r="H39" s="290">
        <v>5095</v>
      </c>
      <c r="I39" s="290">
        <v>891</v>
      </c>
      <c r="J39" s="290">
        <v>318</v>
      </c>
      <c r="K39" s="290">
        <v>100</v>
      </c>
      <c r="L39" s="290">
        <v>65</v>
      </c>
      <c r="M39" s="290">
        <v>478</v>
      </c>
      <c r="N39" s="290">
        <v>74</v>
      </c>
      <c r="O39" s="290">
        <v>96</v>
      </c>
      <c r="P39" s="624">
        <v>22227.001333330001</v>
      </c>
      <c r="Q39" s="624">
        <v>14895.13666667</v>
      </c>
      <c r="R39" s="624">
        <v>51</v>
      </c>
      <c r="S39" s="290">
        <v>0</v>
      </c>
      <c r="T39" s="290">
        <v>573</v>
      </c>
      <c r="U39" s="958">
        <v>3.5631040115000236E-4</v>
      </c>
      <c r="V39" s="290">
        <v>2437.8921037999999</v>
      </c>
      <c r="W39" s="765">
        <v>0.56340714000000003</v>
      </c>
      <c r="X39" s="290">
        <v>500</v>
      </c>
      <c r="Y39" s="290">
        <v>427.12680399999999</v>
      </c>
      <c r="Z39" s="290">
        <v>236662</v>
      </c>
      <c r="AA39" s="290">
        <v>0</v>
      </c>
      <c r="AB39" s="290">
        <v>134</v>
      </c>
      <c r="AC39" s="290">
        <v>1601.329</v>
      </c>
      <c r="AD39" s="290">
        <v>333</v>
      </c>
      <c r="AE39" s="290">
        <v>0</v>
      </c>
      <c r="AF39" s="290">
        <v>0</v>
      </c>
      <c r="AG39" s="290">
        <v>9281</v>
      </c>
      <c r="AH39" s="290">
        <v>1848.5790380599999</v>
      </c>
      <c r="AI39" s="290">
        <v>50</v>
      </c>
      <c r="AJ39" s="290">
        <v>0</v>
      </c>
      <c r="AK39" s="290">
        <v>0</v>
      </c>
      <c r="AL39" s="290">
        <v>0</v>
      </c>
      <c r="AM39" s="957">
        <v>8.9500769999999993E-2</v>
      </c>
      <c r="AN39" s="290">
        <v>0</v>
      </c>
      <c r="AO39" s="290">
        <v>-1363.4831300000001</v>
      </c>
      <c r="AP39" s="290">
        <v>0</v>
      </c>
      <c r="AQ39" s="290">
        <v>0</v>
      </c>
      <c r="AR39" s="290">
        <v>-499.92536899999999</v>
      </c>
      <c r="AS39" s="290">
        <v>1555</v>
      </c>
      <c r="AT39" s="290">
        <v>380</v>
      </c>
      <c r="AU39" s="290">
        <v>84</v>
      </c>
      <c r="AV39" s="766">
        <v>264917</v>
      </c>
      <c r="AW39" s="290">
        <v>2803.797</v>
      </c>
      <c r="AX39" s="766">
        <v>95.041700000000006</v>
      </c>
      <c r="AY39" s="290">
        <v>1877</v>
      </c>
      <c r="AZ39" s="290">
        <v>241</v>
      </c>
      <c r="BA39" s="290">
        <v>200</v>
      </c>
      <c r="BB39" s="290">
        <v>0</v>
      </c>
      <c r="BC39" s="290">
        <v>2212.4942099999998</v>
      </c>
      <c r="BD39" s="290">
        <v>813</v>
      </c>
      <c r="BE39" s="290">
        <v>276027.58100000001</v>
      </c>
      <c r="BF39" s="290">
        <v>0</v>
      </c>
      <c r="BG39" s="290">
        <v>405</v>
      </c>
      <c r="BH39" s="290">
        <v>58</v>
      </c>
      <c r="BI39" s="290">
        <v>3877.0348399999998</v>
      </c>
      <c r="BJ39" s="290">
        <v>0</v>
      </c>
      <c r="BK39" s="290">
        <f t="shared" si="0"/>
        <v>0</v>
      </c>
      <c r="BL39" s="290">
        <v>0</v>
      </c>
      <c r="BM39" s="290">
        <v>0</v>
      </c>
      <c r="BN39" s="290">
        <v>6976</v>
      </c>
      <c r="BO39" s="290">
        <v>2087</v>
      </c>
      <c r="BP39" s="290">
        <v>10</v>
      </c>
      <c r="BQ39" s="290">
        <v>903</v>
      </c>
      <c r="BR39" s="290">
        <v>-4</v>
      </c>
      <c r="BS39" s="290">
        <v>84</v>
      </c>
      <c r="BT39" s="290">
        <v>0</v>
      </c>
      <c r="BU39" s="290">
        <v>0</v>
      </c>
      <c r="BV39" s="290">
        <v>130</v>
      </c>
      <c r="BW39" s="290"/>
      <c r="BX39" s="290"/>
      <c r="BY39" s="290"/>
    </row>
    <row r="40" spans="1:77" ht="13">
      <c r="A40" s="1">
        <v>1532</v>
      </c>
      <c r="B40" s="2" t="s">
        <v>99</v>
      </c>
      <c r="C40" s="289">
        <v>8462</v>
      </c>
      <c r="D40" s="290">
        <v>220</v>
      </c>
      <c r="E40" s="290">
        <v>512</v>
      </c>
      <c r="F40" s="290">
        <v>1190</v>
      </c>
      <c r="G40" s="290">
        <v>763</v>
      </c>
      <c r="H40" s="290">
        <v>4585</v>
      </c>
      <c r="I40" s="290">
        <v>814</v>
      </c>
      <c r="J40" s="290">
        <v>278</v>
      </c>
      <c r="K40" s="290">
        <v>71</v>
      </c>
      <c r="L40" s="290">
        <v>52</v>
      </c>
      <c r="M40" s="290">
        <v>425</v>
      </c>
      <c r="N40" s="290">
        <v>59</v>
      </c>
      <c r="O40" s="290">
        <v>87</v>
      </c>
      <c r="P40" s="624">
        <v>33273.671333329999</v>
      </c>
      <c r="Q40" s="624">
        <v>11950.87133333</v>
      </c>
      <c r="R40" s="624">
        <v>21</v>
      </c>
      <c r="S40" s="290">
        <v>0</v>
      </c>
      <c r="T40" s="290">
        <v>508</v>
      </c>
      <c r="U40" s="958">
        <v>9.5751322589498729E-4</v>
      </c>
      <c r="V40" s="290">
        <v>2436.9280838</v>
      </c>
      <c r="W40" s="765">
        <v>0.61745592999999999</v>
      </c>
      <c r="X40" s="290">
        <v>400</v>
      </c>
      <c r="Y40" s="290">
        <v>427.12680399999999</v>
      </c>
      <c r="Z40" s="290">
        <v>242967</v>
      </c>
      <c r="AA40" s="290">
        <v>260</v>
      </c>
      <c r="AB40" s="290">
        <v>104</v>
      </c>
      <c r="AC40" s="290">
        <v>1529.3</v>
      </c>
      <c r="AD40" s="290">
        <v>333</v>
      </c>
      <c r="AE40" s="290">
        <v>0</v>
      </c>
      <c r="AF40" s="290">
        <v>0</v>
      </c>
      <c r="AG40" s="290">
        <v>8433</v>
      </c>
      <c r="AH40" s="290">
        <v>1719.1712759100001</v>
      </c>
      <c r="AI40" s="290">
        <v>0</v>
      </c>
      <c r="AJ40" s="290">
        <v>0</v>
      </c>
      <c r="AK40" s="290">
        <v>0</v>
      </c>
      <c r="AL40" s="290">
        <v>0</v>
      </c>
      <c r="AM40" s="957">
        <v>9.1114810000000004E-2</v>
      </c>
      <c r="AN40" s="290">
        <v>0</v>
      </c>
      <c r="AO40" s="290">
        <v>-1181.85526</v>
      </c>
      <c r="AP40" s="290">
        <v>0</v>
      </c>
      <c r="AQ40" s="290">
        <v>0</v>
      </c>
      <c r="AR40" s="290">
        <v>-454.247456</v>
      </c>
      <c r="AS40" s="290">
        <v>2503</v>
      </c>
      <c r="AT40" s="290">
        <v>360</v>
      </c>
      <c r="AU40" s="290">
        <v>70</v>
      </c>
      <c r="AV40" s="766">
        <v>220979</v>
      </c>
      <c r="AW40" s="290">
        <v>3020.6030000000001</v>
      </c>
      <c r="AX40" s="766">
        <v>73.125</v>
      </c>
      <c r="AY40" s="290">
        <v>1715</v>
      </c>
      <c r="AZ40" s="290">
        <v>255</v>
      </c>
      <c r="BA40" s="290">
        <v>187</v>
      </c>
      <c r="BB40" s="290">
        <v>0</v>
      </c>
      <c r="BC40" s="290">
        <v>2077.2275300000001</v>
      </c>
      <c r="BD40" s="290">
        <v>753</v>
      </c>
      <c r="BE40" s="290">
        <v>228309.45</v>
      </c>
      <c r="BF40" s="290">
        <v>0</v>
      </c>
      <c r="BG40" s="290">
        <v>375</v>
      </c>
      <c r="BH40" s="290">
        <v>54</v>
      </c>
      <c r="BI40" s="290">
        <v>3675.5980800000002</v>
      </c>
      <c r="BJ40" s="290">
        <v>0</v>
      </c>
      <c r="BK40" s="290">
        <f t="shared" si="0"/>
        <v>0</v>
      </c>
      <c r="BL40" s="290">
        <v>0</v>
      </c>
      <c r="BM40" s="290">
        <v>0</v>
      </c>
      <c r="BN40" s="290">
        <v>6047</v>
      </c>
      <c r="BO40" s="290">
        <v>1944</v>
      </c>
      <c r="BP40" s="290">
        <v>10</v>
      </c>
      <c r="BQ40" s="290">
        <v>822</v>
      </c>
      <c r="BR40" s="290">
        <v>-4</v>
      </c>
      <c r="BS40" s="290">
        <v>86</v>
      </c>
      <c r="BT40" s="290">
        <v>0</v>
      </c>
      <c r="BU40" s="290">
        <v>0</v>
      </c>
      <c r="BV40" s="290">
        <v>121</v>
      </c>
      <c r="BW40" s="290"/>
      <c r="BX40" s="290"/>
      <c r="BY40" s="290"/>
    </row>
    <row r="41" spans="1:77" ht="13">
      <c r="A41" s="1">
        <v>1535</v>
      </c>
      <c r="B41" s="2" t="s">
        <v>101</v>
      </c>
      <c r="C41" s="289">
        <v>6532</v>
      </c>
      <c r="D41" s="290">
        <v>115</v>
      </c>
      <c r="E41" s="290">
        <v>253</v>
      </c>
      <c r="F41" s="290">
        <v>769</v>
      </c>
      <c r="G41" s="290">
        <v>571</v>
      </c>
      <c r="H41" s="290">
        <v>3641</v>
      </c>
      <c r="I41" s="290">
        <v>863</v>
      </c>
      <c r="J41" s="290">
        <v>271</v>
      </c>
      <c r="K41" s="290">
        <v>64</v>
      </c>
      <c r="L41" s="290">
        <v>52</v>
      </c>
      <c r="M41" s="290">
        <v>525</v>
      </c>
      <c r="N41" s="290">
        <v>25</v>
      </c>
      <c r="O41" s="290">
        <v>70</v>
      </c>
      <c r="P41" s="624">
        <v>43733.264999999999</v>
      </c>
      <c r="Q41" s="624">
        <v>16923.722000000002</v>
      </c>
      <c r="R41" s="624">
        <v>32</v>
      </c>
      <c r="S41" s="290">
        <v>0</v>
      </c>
      <c r="T41" s="290">
        <v>551</v>
      </c>
      <c r="U41" s="958">
        <v>2.4000857813483989E-3</v>
      </c>
      <c r="V41" s="290">
        <v>-3366.7675797900001</v>
      </c>
      <c r="W41" s="765">
        <v>0.68027939000000004</v>
      </c>
      <c r="X41" s="290">
        <v>4600</v>
      </c>
      <c r="Y41" s="290">
        <v>427.12680399999999</v>
      </c>
      <c r="Z41" s="290">
        <v>188024</v>
      </c>
      <c r="AA41" s="290">
        <v>260</v>
      </c>
      <c r="AB41" s="290">
        <v>135</v>
      </c>
      <c r="AC41" s="290">
        <v>1038.905</v>
      </c>
      <c r="AD41" s="290">
        <v>333</v>
      </c>
      <c r="AE41" s="290">
        <v>0</v>
      </c>
      <c r="AF41" s="290">
        <v>0</v>
      </c>
      <c r="AG41" s="290">
        <v>6547</v>
      </c>
      <c r="AH41" s="290">
        <v>1056.9505489400001</v>
      </c>
      <c r="AI41" s="290">
        <v>0</v>
      </c>
      <c r="AJ41" s="290">
        <v>0</v>
      </c>
      <c r="AK41" s="290">
        <v>106.096</v>
      </c>
      <c r="AL41" s="290">
        <v>0</v>
      </c>
      <c r="AM41" s="957">
        <v>0.12908639999999999</v>
      </c>
      <c r="AN41" s="290">
        <v>5280</v>
      </c>
      <c r="AO41" s="290">
        <v>-927.81358599999999</v>
      </c>
      <c r="AP41" s="290">
        <v>0</v>
      </c>
      <c r="AQ41" s="290">
        <v>0</v>
      </c>
      <c r="AR41" s="290">
        <v>859.77187700000002</v>
      </c>
      <c r="AS41" s="290">
        <v>1055</v>
      </c>
      <c r="AT41" s="290">
        <v>276</v>
      </c>
      <c r="AU41" s="290">
        <v>74</v>
      </c>
      <c r="AV41" s="766">
        <v>179725</v>
      </c>
      <c r="AW41" s="290">
        <v>1676.7760000000001</v>
      </c>
      <c r="AX41" s="766">
        <v>22.916650000000001</v>
      </c>
      <c r="AY41" s="290">
        <v>1057</v>
      </c>
      <c r="AZ41" s="290">
        <v>270</v>
      </c>
      <c r="BA41" s="290">
        <v>146</v>
      </c>
      <c r="BB41" s="290">
        <v>0</v>
      </c>
      <c r="BC41" s="290">
        <v>-1516.30177</v>
      </c>
      <c r="BD41" s="290">
        <v>606</v>
      </c>
      <c r="BE41" s="290">
        <v>185445.08199999999</v>
      </c>
      <c r="BF41" s="290">
        <v>0</v>
      </c>
      <c r="BG41" s="290">
        <v>319</v>
      </c>
      <c r="BH41" s="290">
        <v>46</v>
      </c>
      <c r="BI41" s="290">
        <v>2629.0783499999998</v>
      </c>
      <c r="BJ41" s="290">
        <v>0</v>
      </c>
      <c r="BK41" s="290">
        <f t="shared" si="0"/>
        <v>0</v>
      </c>
      <c r="BL41" s="290">
        <v>0</v>
      </c>
      <c r="BM41" s="290">
        <v>0</v>
      </c>
      <c r="BN41" s="290">
        <v>4747</v>
      </c>
      <c r="BO41" s="290">
        <v>1050</v>
      </c>
      <c r="BP41" s="290">
        <v>5</v>
      </c>
      <c r="BQ41" s="290">
        <v>648</v>
      </c>
      <c r="BR41" s="290">
        <v>-3</v>
      </c>
      <c r="BS41" s="290">
        <v>69</v>
      </c>
      <c r="BT41" s="290">
        <v>0</v>
      </c>
      <c r="BU41" s="290">
        <v>0</v>
      </c>
      <c r="BV41" s="290">
        <v>103</v>
      </c>
      <c r="BW41" s="290"/>
      <c r="BX41" s="290"/>
      <c r="BY41" s="290"/>
    </row>
    <row r="42" spans="1:77" ht="13">
      <c r="A42" s="1">
        <v>1539</v>
      </c>
      <c r="B42" s="2" t="s">
        <v>102</v>
      </c>
      <c r="C42" s="289">
        <v>7468</v>
      </c>
      <c r="D42" s="290">
        <v>139</v>
      </c>
      <c r="E42" s="290">
        <v>317</v>
      </c>
      <c r="F42" s="290">
        <v>923</v>
      </c>
      <c r="G42" s="290">
        <v>585</v>
      </c>
      <c r="H42" s="290">
        <v>4010</v>
      </c>
      <c r="I42" s="290">
        <v>1065</v>
      </c>
      <c r="J42" s="290">
        <v>342</v>
      </c>
      <c r="K42" s="290">
        <v>105</v>
      </c>
      <c r="L42" s="290">
        <v>54</v>
      </c>
      <c r="M42" s="290">
        <v>667</v>
      </c>
      <c r="N42" s="290">
        <v>13</v>
      </c>
      <c r="O42" s="290">
        <v>60</v>
      </c>
      <c r="P42" s="624">
        <v>71671.665999999997</v>
      </c>
      <c r="Q42" s="624">
        <v>20237.617999999999</v>
      </c>
      <c r="R42" s="624">
        <v>37</v>
      </c>
      <c r="S42" s="290">
        <v>0</v>
      </c>
      <c r="T42" s="290">
        <v>629</v>
      </c>
      <c r="U42" s="958">
        <v>3.9823296147561285E-3</v>
      </c>
      <c r="V42" s="290">
        <v>-184.37707470999999</v>
      </c>
      <c r="W42" s="765">
        <v>0.73063153999999997</v>
      </c>
      <c r="X42" s="290">
        <v>330</v>
      </c>
      <c r="Y42" s="290">
        <v>427.12680399999999</v>
      </c>
      <c r="Z42" s="290">
        <v>205259</v>
      </c>
      <c r="AA42" s="290">
        <v>500</v>
      </c>
      <c r="AB42" s="290">
        <v>130</v>
      </c>
      <c r="AC42" s="290">
        <v>1223.28</v>
      </c>
      <c r="AD42" s="290">
        <v>333</v>
      </c>
      <c r="AE42" s="290">
        <v>0</v>
      </c>
      <c r="AF42" s="290">
        <v>0</v>
      </c>
      <c r="AG42" s="290">
        <v>7486</v>
      </c>
      <c r="AH42" s="290">
        <v>1237.68764691</v>
      </c>
      <c r="AI42" s="290">
        <v>0</v>
      </c>
      <c r="AJ42" s="290">
        <v>0</v>
      </c>
      <c r="AK42" s="290">
        <v>0</v>
      </c>
      <c r="AL42" s="290">
        <v>0</v>
      </c>
      <c r="AM42" s="957">
        <v>6.9788390000000006E-2</v>
      </c>
      <c r="AN42" s="290">
        <v>5938</v>
      </c>
      <c r="AO42" s="290">
        <v>-1123.5894499999999</v>
      </c>
      <c r="AP42" s="290">
        <v>0</v>
      </c>
      <c r="AQ42" s="290">
        <v>0</v>
      </c>
      <c r="AR42" s="290">
        <v>-403.23686199999997</v>
      </c>
      <c r="AS42" s="290">
        <v>2715</v>
      </c>
      <c r="AT42" s="290">
        <v>326</v>
      </c>
      <c r="AU42" s="290">
        <v>60</v>
      </c>
      <c r="AV42" s="766">
        <v>224720</v>
      </c>
      <c r="AW42" s="290">
        <v>2606.5279999999998</v>
      </c>
      <c r="AX42" s="766">
        <v>57.749949999999998</v>
      </c>
      <c r="AY42" s="290">
        <v>1333</v>
      </c>
      <c r="AZ42" s="290">
        <v>200</v>
      </c>
      <c r="BA42" s="290">
        <v>139</v>
      </c>
      <c r="BB42" s="290">
        <v>0</v>
      </c>
      <c r="BC42" s="290">
        <v>1619.13365</v>
      </c>
      <c r="BD42" s="290">
        <v>686</v>
      </c>
      <c r="BE42" s="290">
        <v>235641.45600000001</v>
      </c>
      <c r="BF42" s="290">
        <v>0</v>
      </c>
      <c r="BG42" s="290">
        <v>380</v>
      </c>
      <c r="BH42" s="290">
        <v>54</v>
      </c>
      <c r="BI42" s="290">
        <v>2888.0944500000001</v>
      </c>
      <c r="BJ42" s="290">
        <v>0</v>
      </c>
      <c r="BK42" s="290">
        <f t="shared" si="0"/>
        <v>0</v>
      </c>
      <c r="BL42" s="290">
        <v>0</v>
      </c>
      <c r="BM42" s="290">
        <v>0</v>
      </c>
      <c r="BN42" s="290">
        <v>5749</v>
      </c>
      <c r="BO42" s="290">
        <v>1350</v>
      </c>
      <c r="BP42" s="290">
        <v>6</v>
      </c>
      <c r="BQ42" s="290">
        <v>732</v>
      </c>
      <c r="BR42" s="290">
        <v>-4</v>
      </c>
      <c r="BS42" s="290">
        <v>68</v>
      </c>
      <c r="BT42" s="290">
        <v>0</v>
      </c>
      <c r="BU42" s="290">
        <v>0</v>
      </c>
      <c r="BV42" s="290">
        <v>122</v>
      </c>
      <c r="BW42" s="290"/>
      <c r="BX42" s="290"/>
      <c r="BY42" s="290"/>
    </row>
    <row r="43" spans="1:77" ht="13">
      <c r="A43" s="1">
        <v>1547</v>
      </c>
      <c r="B43" s="2" t="s">
        <v>106</v>
      </c>
      <c r="C43" s="289">
        <v>3509</v>
      </c>
      <c r="D43" s="290">
        <v>70</v>
      </c>
      <c r="E43" s="290">
        <v>150</v>
      </c>
      <c r="F43" s="290">
        <v>511</v>
      </c>
      <c r="G43" s="290">
        <v>326</v>
      </c>
      <c r="H43" s="290">
        <v>1864</v>
      </c>
      <c r="I43" s="290">
        <v>455</v>
      </c>
      <c r="J43" s="290">
        <v>157</v>
      </c>
      <c r="K43" s="290">
        <v>33</v>
      </c>
      <c r="L43" s="290">
        <v>24</v>
      </c>
      <c r="M43" s="290">
        <v>229</v>
      </c>
      <c r="N43" s="290">
        <v>32</v>
      </c>
      <c r="O43" s="290">
        <v>58</v>
      </c>
      <c r="P43" s="624">
        <v>47284.087</v>
      </c>
      <c r="Q43" s="624">
        <v>8491.7516666699994</v>
      </c>
      <c r="R43" s="624">
        <v>8</v>
      </c>
      <c r="S43" s="290">
        <v>0</v>
      </c>
      <c r="T43" s="290">
        <v>224</v>
      </c>
      <c r="U43" s="958">
        <v>7.5064400028104176E-4</v>
      </c>
      <c r="V43" s="290">
        <v>1299.28773445</v>
      </c>
      <c r="W43" s="765">
        <v>0.75602164000000005</v>
      </c>
      <c r="X43" s="290">
        <v>0</v>
      </c>
      <c r="Y43" s="290">
        <v>427.12680399999999</v>
      </c>
      <c r="Z43" s="290">
        <v>99585</v>
      </c>
      <c r="AA43" s="290">
        <v>0</v>
      </c>
      <c r="AB43" s="290">
        <v>51</v>
      </c>
      <c r="AC43" s="290">
        <v>705.08299999999997</v>
      </c>
      <c r="AD43" s="290">
        <v>333</v>
      </c>
      <c r="AE43" s="290">
        <v>0</v>
      </c>
      <c r="AF43" s="290">
        <v>0</v>
      </c>
      <c r="AG43" s="290">
        <v>3566</v>
      </c>
      <c r="AH43" s="290">
        <v>666.55841731999999</v>
      </c>
      <c r="AI43" s="290">
        <v>100</v>
      </c>
      <c r="AJ43" s="290">
        <v>0</v>
      </c>
      <c r="AK43" s="290">
        <v>1925.971</v>
      </c>
      <c r="AL43" s="290">
        <v>0</v>
      </c>
      <c r="AM43" s="957">
        <v>0.10791333</v>
      </c>
      <c r="AN43" s="290">
        <v>0</v>
      </c>
      <c r="AO43" s="290">
        <v>-539.53121799999997</v>
      </c>
      <c r="AP43" s="290">
        <v>0</v>
      </c>
      <c r="AQ43" s="290">
        <v>296.52</v>
      </c>
      <c r="AR43" s="290">
        <v>-192.08424400000001</v>
      </c>
      <c r="AS43" s="290">
        <v>479</v>
      </c>
      <c r="AT43" s="290">
        <v>188</v>
      </c>
      <c r="AU43" s="290">
        <v>47</v>
      </c>
      <c r="AV43" s="766">
        <v>110818</v>
      </c>
      <c r="AW43" s="290">
        <v>461.49700000000001</v>
      </c>
      <c r="AX43" s="766">
        <v>18.833349999999999</v>
      </c>
      <c r="AY43" s="290">
        <v>687</v>
      </c>
      <c r="AZ43" s="290">
        <v>154</v>
      </c>
      <c r="BA43" s="290">
        <v>94</v>
      </c>
      <c r="BB43" s="290">
        <v>0</v>
      </c>
      <c r="BC43" s="290">
        <v>1062.72739</v>
      </c>
      <c r="BD43" s="290">
        <v>380</v>
      </c>
      <c r="BE43" s="290">
        <v>114720.533</v>
      </c>
      <c r="BF43" s="290">
        <v>0</v>
      </c>
      <c r="BG43" s="290">
        <v>198</v>
      </c>
      <c r="BH43" s="290">
        <v>28</v>
      </c>
      <c r="BI43" s="290">
        <v>3724.7392199999999</v>
      </c>
      <c r="BJ43" s="290">
        <v>0</v>
      </c>
      <c r="BK43" s="290">
        <f t="shared" si="0"/>
        <v>0</v>
      </c>
      <c r="BL43" s="290">
        <v>0</v>
      </c>
      <c r="BM43" s="290">
        <v>0</v>
      </c>
      <c r="BN43" s="290">
        <v>2761</v>
      </c>
      <c r="BO43" s="290">
        <v>672</v>
      </c>
      <c r="BP43" s="290">
        <v>3</v>
      </c>
      <c r="BQ43" s="290">
        <v>352</v>
      </c>
      <c r="BR43" s="290">
        <v>-2</v>
      </c>
      <c r="BS43" s="290">
        <v>54</v>
      </c>
      <c r="BT43" s="290">
        <v>0</v>
      </c>
      <c r="BU43" s="290">
        <v>0</v>
      </c>
      <c r="BV43" s="290">
        <v>64</v>
      </c>
      <c r="BW43" s="290"/>
      <c r="BX43" s="290"/>
      <c r="BY43" s="290"/>
    </row>
    <row r="44" spans="1:77" ht="13">
      <c r="A44" s="1">
        <v>1554</v>
      </c>
      <c r="B44" s="3" t="s">
        <v>109</v>
      </c>
      <c r="C44" s="289">
        <v>5788</v>
      </c>
      <c r="D44" s="290">
        <v>93</v>
      </c>
      <c r="E44" s="290">
        <v>223</v>
      </c>
      <c r="F44" s="290">
        <v>745</v>
      </c>
      <c r="G44" s="290">
        <v>490</v>
      </c>
      <c r="H44" s="290">
        <v>3179</v>
      </c>
      <c r="I44" s="290">
        <v>807</v>
      </c>
      <c r="J44" s="290">
        <v>199</v>
      </c>
      <c r="K44" s="290">
        <v>58</v>
      </c>
      <c r="L44" s="290">
        <v>43</v>
      </c>
      <c r="M44" s="290">
        <v>440</v>
      </c>
      <c r="N44" s="290">
        <v>29</v>
      </c>
      <c r="O44" s="290">
        <v>57</v>
      </c>
      <c r="P44" s="624">
        <v>41341.700333330002</v>
      </c>
      <c r="Q44" s="624">
        <v>18215.326000000001</v>
      </c>
      <c r="R44" s="624">
        <v>22</v>
      </c>
      <c r="S44" s="290">
        <v>0</v>
      </c>
      <c r="T44" s="290">
        <v>447</v>
      </c>
      <c r="U44" s="958">
        <v>2.2629988254783203E-3</v>
      </c>
      <c r="V44" s="290">
        <v>-2907.7830302100001</v>
      </c>
      <c r="W44" s="765">
        <v>0.72539788000000005</v>
      </c>
      <c r="X44" s="290">
        <v>800</v>
      </c>
      <c r="Y44" s="290">
        <v>0</v>
      </c>
      <c r="Z44" s="290">
        <v>163759</v>
      </c>
      <c r="AA44" s="290">
        <v>430</v>
      </c>
      <c r="AB44" s="290">
        <v>115</v>
      </c>
      <c r="AC44" s="290">
        <v>1000.653</v>
      </c>
      <c r="AD44" s="290">
        <v>333</v>
      </c>
      <c r="AE44" s="290">
        <v>0</v>
      </c>
      <c r="AF44" s="290">
        <v>0</v>
      </c>
      <c r="AG44" s="290">
        <v>5794</v>
      </c>
      <c r="AH44" s="290">
        <v>975.98032905000002</v>
      </c>
      <c r="AI44" s="290">
        <v>0</v>
      </c>
      <c r="AJ44" s="290">
        <v>0</v>
      </c>
      <c r="AK44" s="290">
        <v>58.186</v>
      </c>
      <c r="AL44" s="290">
        <v>0</v>
      </c>
      <c r="AM44" s="957">
        <v>7.7160660000000006E-2</v>
      </c>
      <c r="AN44" s="290">
        <v>0</v>
      </c>
      <c r="AO44" s="290">
        <v>-823.23820999999998</v>
      </c>
      <c r="AP44" s="290">
        <v>0</v>
      </c>
      <c r="AQ44" s="290">
        <v>0</v>
      </c>
      <c r="AR44" s="290">
        <v>1263.26251</v>
      </c>
      <c r="AS44" s="290">
        <v>767</v>
      </c>
      <c r="AT44" s="290">
        <v>259</v>
      </c>
      <c r="AU44" s="290">
        <v>56</v>
      </c>
      <c r="AV44" s="766">
        <v>155712</v>
      </c>
      <c r="AW44" s="290">
        <v>1031.3320000000001</v>
      </c>
      <c r="AX44" s="766">
        <v>34.041649999999997</v>
      </c>
      <c r="AY44" s="290">
        <v>1025</v>
      </c>
      <c r="AZ44" s="290">
        <v>182</v>
      </c>
      <c r="BA44" s="290">
        <v>139</v>
      </c>
      <c r="BB44" s="290">
        <v>0</v>
      </c>
      <c r="BC44" s="290">
        <v>965.69257400000004</v>
      </c>
      <c r="BD44" s="290">
        <v>551</v>
      </c>
      <c r="BE44" s="290">
        <v>156807.05499999999</v>
      </c>
      <c r="BF44" s="290">
        <v>0</v>
      </c>
      <c r="BG44" s="290">
        <v>291</v>
      </c>
      <c r="BH44" s="290">
        <v>42</v>
      </c>
      <c r="BI44" s="290">
        <v>2034.81933</v>
      </c>
      <c r="BJ44" s="290">
        <v>0</v>
      </c>
      <c r="BK44" s="290">
        <f t="shared" si="0"/>
        <v>0</v>
      </c>
      <c r="BL44" s="290">
        <v>0</v>
      </c>
      <c r="BM44" s="290">
        <v>0</v>
      </c>
      <c r="BN44" s="290">
        <v>4212</v>
      </c>
      <c r="BO44" s="290">
        <v>989</v>
      </c>
      <c r="BP44" s="290">
        <v>4</v>
      </c>
      <c r="BQ44" s="290">
        <v>571</v>
      </c>
      <c r="BR44" s="290">
        <v>-3</v>
      </c>
      <c r="BS44" s="290">
        <v>59</v>
      </c>
      <c r="BT44" s="290">
        <v>0</v>
      </c>
      <c r="BU44" s="290">
        <v>0</v>
      </c>
      <c r="BV44" s="290">
        <v>94</v>
      </c>
      <c r="BW44" s="290"/>
      <c r="BX44" s="290"/>
      <c r="BY44" s="290"/>
    </row>
    <row r="45" spans="1:77" ht="13">
      <c r="A45" s="1">
        <v>1557</v>
      </c>
      <c r="B45" s="2" t="s">
        <v>110</v>
      </c>
      <c r="C45" s="289">
        <v>2629</v>
      </c>
      <c r="D45" s="290">
        <v>48</v>
      </c>
      <c r="E45" s="290">
        <v>115</v>
      </c>
      <c r="F45" s="290">
        <v>335</v>
      </c>
      <c r="G45" s="290">
        <v>225</v>
      </c>
      <c r="H45" s="290">
        <v>1369</v>
      </c>
      <c r="I45" s="290">
        <v>399</v>
      </c>
      <c r="J45" s="290">
        <v>100</v>
      </c>
      <c r="K45" s="290">
        <v>30</v>
      </c>
      <c r="L45" s="290">
        <v>20</v>
      </c>
      <c r="M45" s="290">
        <v>214</v>
      </c>
      <c r="N45" s="290">
        <v>9</v>
      </c>
      <c r="O45" s="290">
        <v>15</v>
      </c>
      <c r="P45" s="624">
        <v>31829.18166667</v>
      </c>
      <c r="Q45" s="624">
        <v>14594.834999999999</v>
      </c>
      <c r="R45" s="624">
        <v>14</v>
      </c>
      <c r="S45" s="290">
        <v>0</v>
      </c>
      <c r="T45" s="290">
        <v>173</v>
      </c>
      <c r="U45" s="958">
        <v>2.7248801522470768E-3</v>
      </c>
      <c r="V45" s="290">
        <v>-1718.0168665199999</v>
      </c>
      <c r="W45" s="765">
        <v>0.84851551000000003</v>
      </c>
      <c r="X45" s="290">
        <v>400</v>
      </c>
      <c r="Y45" s="290">
        <v>0</v>
      </c>
      <c r="Z45" s="290">
        <v>63050</v>
      </c>
      <c r="AA45" s="290">
        <v>200</v>
      </c>
      <c r="AB45" s="290">
        <v>40</v>
      </c>
      <c r="AC45" s="290">
        <v>481.81299999999999</v>
      </c>
      <c r="AD45" s="290">
        <v>167</v>
      </c>
      <c r="AE45" s="290">
        <v>0</v>
      </c>
      <c r="AF45" s="290">
        <v>0</v>
      </c>
      <c r="AG45" s="290">
        <v>2621</v>
      </c>
      <c r="AH45" s="290">
        <v>460.51812562999999</v>
      </c>
      <c r="AI45" s="290">
        <v>0</v>
      </c>
      <c r="AJ45" s="290">
        <v>0</v>
      </c>
      <c r="AK45" s="290">
        <v>160.297</v>
      </c>
      <c r="AL45" s="290">
        <v>0</v>
      </c>
      <c r="AM45" s="957">
        <v>2.4568159999999999E-2</v>
      </c>
      <c r="AN45" s="290">
        <v>0</v>
      </c>
      <c r="AO45" s="290">
        <v>-423.33014700000001</v>
      </c>
      <c r="AP45" s="290">
        <v>0</v>
      </c>
      <c r="AQ45" s="290">
        <v>0</v>
      </c>
      <c r="AR45" s="290">
        <v>-141.18138099999999</v>
      </c>
      <c r="AS45" s="290">
        <v>212</v>
      </c>
      <c r="AT45" s="290">
        <v>102</v>
      </c>
      <c r="AU45" s="290">
        <v>20</v>
      </c>
      <c r="AV45" s="766">
        <v>90126</v>
      </c>
      <c r="AW45" s="290">
        <v>995.91800000000001</v>
      </c>
      <c r="AX45" s="766">
        <v>14.50005</v>
      </c>
      <c r="AY45" s="290">
        <v>478</v>
      </c>
      <c r="AZ45" s="290">
        <v>84</v>
      </c>
      <c r="BA45" s="290">
        <v>47</v>
      </c>
      <c r="BB45" s="290">
        <v>4114</v>
      </c>
      <c r="BC45" s="290">
        <v>452.51587000000001</v>
      </c>
      <c r="BD45" s="290">
        <v>316</v>
      </c>
      <c r="BE45" s="290">
        <v>95235.278000000006</v>
      </c>
      <c r="BF45" s="290">
        <v>0</v>
      </c>
      <c r="BG45" s="290">
        <v>164</v>
      </c>
      <c r="BH45" s="290">
        <v>23</v>
      </c>
      <c r="BI45" s="290">
        <v>1102.6281300000001</v>
      </c>
      <c r="BJ45" s="290">
        <v>0</v>
      </c>
      <c r="BK45" s="290">
        <f t="shared" si="0"/>
        <v>0</v>
      </c>
      <c r="BL45" s="290">
        <v>0</v>
      </c>
      <c r="BM45" s="290">
        <v>0</v>
      </c>
      <c r="BN45" s="290">
        <v>2166</v>
      </c>
      <c r="BO45" s="290">
        <v>491</v>
      </c>
      <c r="BP45" s="290">
        <v>2</v>
      </c>
      <c r="BQ45" s="290">
        <v>257</v>
      </c>
      <c r="BR45" s="290">
        <v>-1</v>
      </c>
      <c r="BS45" s="290">
        <v>50</v>
      </c>
      <c r="BT45" s="290">
        <v>0</v>
      </c>
      <c r="BU45" s="290">
        <v>0</v>
      </c>
      <c r="BV45" s="290">
        <v>53</v>
      </c>
      <c r="BW45" s="290"/>
      <c r="BX45" s="290"/>
      <c r="BY45" s="290"/>
    </row>
    <row r="46" spans="1:77" ht="13">
      <c r="A46" s="1">
        <v>1560</v>
      </c>
      <c r="B46" s="2" t="s">
        <v>111</v>
      </c>
      <c r="C46" s="289">
        <v>3025</v>
      </c>
      <c r="D46" s="290">
        <v>48</v>
      </c>
      <c r="E46" s="290">
        <v>110</v>
      </c>
      <c r="F46" s="290">
        <v>347</v>
      </c>
      <c r="G46" s="290">
        <v>257</v>
      </c>
      <c r="H46" s="290">
        <v>1613</v>
      </c>
      <c r="I46" s="290">
        <v>483</v>
      </c>
      <c r="J46" s="290">
        <v>146</v>
      </c>
      <c r="K46" s="290">
        <v>41</v>
      </c>
      <c r="L46" s="290">
        <v>23</v>
      </c>
      <c r="M46" s="290">
        <v>299</v>
      </c>
      <c r="N46" s="290">
        <v>29</v>
      </c>
      <c r="O46" s="290">
        <v>25</v>
      </c>
      <c r="P46" s="624">
        <v>37203.680666669999</v>
      </c>
      <c r="Q46" s="624">
        <v>11557.286666669999</v>
      </c>
      <c r="R46" s="624">
        <v>20</v>
      </c>
      <c r="S46" s="290">
        <v>0</v>
      </c>
      <c r="T46" s="290">
        <v>238</v>
      </c>
      <c r="U46" s="958">
        <v>1.9924400125071783E-3</v>
      </c>
      <c r="V46" s="290">
        <v>1662.02118292</v>
      </c>
      <c r="W46" s="765">
        <v>0.97046577999999994</v>
      </c>
      <c r="X46" s="290">
        <v>300</v>
      </c>
      <c r="Y46" s="290">
        <v>427.12680399999999</v>
      </c>
      <c r="Z46" s="290">
        <v>75472</v>
      </c>
      <c r="AA46" s="290">
        <v>170</v>
      </c>
      <c r="AB46" s="290">
        <v>67</v>
      </c>
      <c r="AC46" s="290">
        <v>523.20000000000005</v>
      </c>
      <c r="AD46" s="290">
        <v>333</v>
      </c>
      <c r="AE46" s="290">
        <v>0</v>
      </c>
      <c r="AF46" s="290">
        <v>0</v>
      </c>
      <c r="AG46" s="290">
        <v>3045</v>
      </c>
      <c r="AH46" s="290">
        <v>472.0852999</v>
      </c>
      <c r="AI46" s="290">
        <v>0</v>
      </c>
      <c r="AJ46" s="290">
        <v>0</v>
      </c>
      <c r="AK46" s="290">
        <v>0</v>
      </c>
      <c r="AL46" s="290">
        <v>0</v>
      </c>
      <c r="AM46" s="957">
        <v>3.7747959999999997E-2</v>
      </c>
      <c r="AN46" s="290">
        <v>0</v>
      </c>
      <c r="AO46" s="290">
        <v>-496.85195399999998</v>
      </c>
      <c r="AP46" s="290">
        <v>0</v>
      </c>
      <c r="AQ46" s="290">
        <v>0</v>
      </c>
      <c r="AR46" s="290">
        <v>-164.02033700000001</v>
      </c>
      <c r="AS46" s="290">
        <v>213</v>
      </c>
      <c r="AT46" s="290">
        <v>125</v>
      </c>
      <c r="AU46" s="290">
        <v>20</v>
      </c>
      <c r="AV46" s="766">
        <v>116064</v>
      </c>
      <c r="AW46" s="290">
        <v>725.428</v>
      </c>
      <c r="AX46" s="766">
        <v>21.125</v>
      </c>
      <c r="AY46" s="290">
        <v>606</v>
      </c>
      <c r="AZ46" s="290">
        <v>140</v>
      </c>
      <c r="BA46" s="290">
        <v>65</v>
      </c>
      <c r="BB46" s="290">
        <v>5875</v>
      </c>
      <c r="BC46" s="290">
        <v>884.23114399999997</v>
      </c>
      <c r="BD46" s="290">
        <v>365</v>
      </c>
      <c r="BE46" s="290">
        <v>117387.4</v>
      </c>
      <c r="BF46" s="290">
        <v>0</v>
      </c>
      <c r="BG46" s="290">
        <v>188</v>
      </c>
      <c r="BH46" s="290">
        <v>27</v>
      </c>
      <c r="BI46" s="290">
        <v>1422.4121</v>
      </c>
      <c r="BJ46" s="290">
        <v>0</v>
      </c>
      <c r="BK46" s="290">
        <f t="shared" si="0"/>
        <v>0</v>
      </c>
      <c r="BL46" s="290">
        <v>0</v>
      </c>
      <c r="BM46" s="290">
        <v>0</v>
      </c>
      <c r="BN46" s="290">
        <v>2542</v>
      </c>
      <c r="BO46" s="290">
        <v>507</v>
      </c>
      <c r="BP46" s="290">
        <v>2</v>
      </c>
      <c r="BQ46" s="290">
        <v>296</v>
      </c>
      <c r="BR46" s="290">
        <v>-1</v>
      </c>
      <c r="BS46" s="290">
        <v>50</v>
      </c>
      <c r="BT46" s="290">
        <v>0</v>
      </c>
      <c r="BU46" s="290">
        <v>0</v>
      </c>
      <c r="BV46" s="290">
        <v>60</v>
      </c>
      <c r="BW46" s="290"/>
      <c r="BX46" s="290"/>
      <c r="BY46" s="290"/>
    </row>
    <row r="47" spans="1:77" ht="13">
      <c r="A47" s="1">
        <v>1563</v>
      </c>
      <c r="B47" s="2" t="s">
        <v>112</v>
      </c>
      <c r="C47" s="289">
        <v>7036</v>
      </c>
      <c r="D47" s="290">
        <v>135</v>
      </c>
      <c r="E47" s="290">
        <v>306</v>
      </c>
      <c r="F47" s="290">
        <v>743</v>
      </c>
      <c r="G47" s="290">
        <v>671</v>
      </c>
      <c r="H47" s="290">
        <v>3932</v>
      </c>
      <c r="I47" s="290">
        <v>897</v>
      </c>
      <c r="J47" s="290">
        <v>323</v>
      </c>
      <c r="K47" s="290">
        <v>100</v>
      </c>
      <c r="L47" s="290">
        <v>57</v>
      </c>
      <c r="M47" s="290">
        <v>604</v>
      </c>
      <c r="N47" s="290">
        <v>171</v>
      </c>
      <c r="O47" s="290">
        <v>88</v>
      </c>
      <c r="P47" s="624">
        <v>62015.553999999996</v>
      </c>
      <c r="Q47" s="624">
        <v>17857.065999999999</v>
      </c>
      <c r="R47" s="624">
        <v>34</v>
      </c>
      <c r="S47" s="290">
        <v>0</v>
      </c>
      <c r="T47" s="290">
        <v>689</v>
      </c>
      <c r="U47" s="958">
        <v>2.272044651319739E-3</v>
      </c>
      <c r="V47" s="290">
        <v>3483.6218093900002</v>
      </c>
      <c r="W47" s="765">
        <v>0.64444142000000004</v>
      </c>
      <c r="X47" s="290">
        <v>430</v>
      </c>
      <c r="Y47" s="290">
        <v>427.12680399999999</v>
      </c>
      <c r="Z47" s="290">
        <v>204475</v>
      </c>
      <c r="AA47" s="290">
        <v>430</v>
      </c>
      <c r="AB47" s="290">
        <v>118</v>
      </c>
      <c r="AC47" s="290">
        <v>1103.364</v>
      </c>
      <c r="AD47" s="290">
        <v>333</v>
      </c>
      <c r="AE47" s="290">
        <v>0</v>
      </c>
      <c r="AF47" s="290">
        <v>0</v>
      </c>
      <c r="AG47" s="290">
        <v>7107</v>
      </c>
      <c r="AH47" s="290">
        <v>1121.2929558200001</v>
      </c>
      <c r="AI47" s="290">
        <v>0</v>
      </c>
      <c r="AJ47" s="290">
        <v>0</v>
      </c>
      <c r="AK47" s="290">
        <v>3216.951</v>
      </c>
      <c r="AL47" s="290">
        <v>0</v>
      </c>
      <c r="AM47" s="957">
        <v>0.11644663</v>
      </c>
      <c r="AN47" s="290">
        <v>9459</v>
      </c>
      <c r="AO47" s="290">
        <v>-1041.4092900000001</v>
      </c>
      <c r="AP47" s="290">
        <v>0</v>
      </c>
      <c r="AQ47" s="290">
        <v>0</v>
      </c>
      <c r="AR47" s="290">
        <v>-382.82185099999998</v>
      </c>
      <c r="AS47" s="290">
        <v>986</v>
      </c>
      <c r="AT47" s="290">
        <v>336</v>
      </c>
      <c r="AU47" s="290">
        <v>50</v>
      </c>
      <c r="AV47" s="766">
        <v>217524</v>
      </c>
      <c r="AW47" s="290">
        <v>1654.335</v>
      </c>
      <c r="AX47" s="766">
        <v>47.249949999999998</v>
      </c>
      <c r="AY47" s="290">
        <v>1373</v>
      </c>
      <c r="AZ47" s="290">
        <v>350</v>
      </c>
      <c r="BA47" s="290">
        <v>163</v>
      </c>
      <c r="BB47" s="290">
        <v>0</v>
      </c>
      <c r="BC47" s="290">
        <v>1509.66525</v>
      </c>
      <c r="BD47" s="290">
        <v>647</v>
      </c>
      <c r="BE47" s="290">
        <v>224317.61600000001</v>
      </c>
      <c r="BF47" s="290">
        <v>0</v>
      </c>
      <c r="BG47" s="290">
        <v>350</v>
      </c>
      <c r="BH47" s="290">
        <v>50</v>
      </c>
      <c r="BI47" s="290">
        <v>5868.7347600000003</v>
      </c>
      <c r="BJ47" s="290">
        <v>0</v>
      </c>
      <c r="BK47" s="290">
        <f t="shared" si="0"/>
        <v>0</v>
      </c>
      <c r="BL47" s="290">
        <v>0</v>
      </c>
      <c r="BM47" s="290">
        <v>0</v>
      </c>
      <c r="BN47" s="290">
        <v>5328</v>
      </c>
      <c r="BO47" s="290">
        <v>1230</v>
      </c>
      <c r="BP47" s="290">
        <v>6</v>
      </c>
      <c r="BQ47" s="290">
        <v>700</v>
      </c>
      <c r="BR47" s="290">
        <v>-3</v>
      </c>
      <c r="BS47" s="290">
        <v>99</v>
      </c>
      <c r="BT47" s="290">
        <v>0</v>
      </c>
      <c r="BU47" s="290">
        <v>0</v>
      </c>
      <c r="BV47" s="290">
        <v>112</v>
      </c>
      <c r="BW47" s="290"/>
      <c r="BX47" s="290"/>
      <c r="BY47" s="290"/>
    </row>
    <row r="48" spans="1:77" ht="13">
      <c r="A48" s="1">
        <v>1566</v>
      </c>
      <c r="B48" s="2" t="s">
        <v>113</v>
      </c>
      <c r="C48" s="289">
        <v>5920</v>
      </c>
      <c r="D48" s="290">
        <v>94</v>
      </c>
      <c r="E48" s="290">
        <v>257</v>
      </c>
      <c r="F48" s="290">
        <v>628</v>
      </c>
      <c r="G48" s="290">
        <v>551</v>
      </c>
      <c r="H48" s="290">
        <v>3188</v>
      </c>
      <c r="I48" s="290">
        <v>885</v>
      </c>
      <c r="J48" s="290">
        <v>262</v>
      </c>
      <c r="K48" s="290">
        <v>60</v>
      </c>
      <c r="L48" s="290">
        <v>49</v>
      </c>
      <c r="M48" s="290">
        <v>493</v>
      </c>
      <c r="N48" s="290">
        <v>23</v>
      </c>
      <c r="O48" s="290">
        <v>38</v>
      </c>
      <c r="P48" s="624">
        <v>46608.651333330003</v>
      </c>
      <c r="Q48" s="624">
        <v>16075.09266667</v>
      </c>
      <c r="R48" s="624">
        <v>32</v>
      </c>
      <c r="S48" s="290">
        <v>0</v>
      </c>
      <c r="T48" s="290">
        <v>447</v>
      </c>
      <c r="U48" s="958">
        <v>3.6771358112846222E-3</v>
      </c>
      <c r="V48" s="290">
        <v>2853.08512354</v>
      </c>
      <c r="W48" s="765">
        <v>0.73487294999999997</v>
      </c>
      <c r="X48" s="290">
        <v>1980</v>
      </c>
      <c r="Y48" s="290">
        <v>427.12680399999999</v>
      </c>
      <c r="Z48" s="290">
        <v>139829</v>
      </c>
      <c r="AA48" s="290">
        <v>430</v>
      </c>
      <c r="AB48" s="290">
        <v>126</v>
      </c>
      <c r="AC48" s="290">
        <v>884.66899999999998</v>
      </c>
      <c r="AD48" s="290">
        <v>333</v>
      </c>
      <c r="AE48" s="290">
        <v>0</v>
      </c>
      <c r="AF48" s="290">
        <v>0</v>
      </c>
      <c r="AG48" s="290">
        <v>5925</v>
      </c>
      <c r="AH48" s="290">
        <v>944.17059981</v>
      </c>
      <c r="AI48" s="290">
        <v>850</v>
      </c>
      <c r="AJ48" s="290">
        <v>0</v>
      </c>
      <c r="AK48" s="290">
        <v>149.13399999999999</v>
      </c>
      <c r="AL48" s="290">
        <v>0</v>
      </c>
      <c r="AM48" s="957">
        <v>3.2300700000000002E-2</v>
      </c>
      <c r="AN48" s="290">
        <v>8102</v>
      </c>
      <c r="AO48" s="290">
        <v>-852.91386999999997</v>
      </c>
      <c r="AP48" s="290">
        <v>0</v>
      </c>
      <c r="AQ48" s="290">
        <v>0</v>
      </c>
      <c r="AR48" s="290">
        <v>-319.152873</v>
      </c>
      <c r="AS48" s="290">
        <v>1100</v>
      </c>
      <c r="AT48" s="290">
        <v>245</v>
      </c>
      <c r="AU48" s="290">
        <v>41</v>
      </c>
      <c r="AV48" s="766">
        <v>176160</v>
      </c>
      <c r="AW48" s="290">
        <v>1711.1690000000001</v>
      </c>
      <c r="AX48" s="766">
        <v>29.416650000000001</v>
      </c>
      <c r="AY48" s="290">
        <v>1030</v>
      </c>
      <c r="AZ48" s="290">
        <v>113</v>
      </c>
      <c r="BA48" s="290">
        <v>115</v>
      </c>
      <c r="BB48" s="290">
        <v>0</v>
      </c>
      <c r="BC48" s="290">
        <v>938.49978599999997</v>
      </c>
      <c r="BD48" s="290">
        <v>563</v>
      </c>
      <c r="BE48" s="290">
        <v>180192.04500000001</v>
      </c>
      <c r="BF48" s="290">
        <v>0</v>
      </c>
      <c r="BG48" s="290">
        <v>304</v>
      </c>
      <c r="BH48" s="290">
        <v>43</v>
      </c>
      <c r="BI48" s="290">
        <v>2405.1003999999998</v>
      </c>
      <c r="BJ48" s="290">
        <v>0</v>
      </c>
      <c r="BK48" s="290">
        <f t="shared" si="0"/>
        <v>0</v>
      </c>
      <c r="BL48" s="290">
        <v>0</v>
      </c>
      <c r="BM48" s="290">
        <v>0</v>
      </c>
      <c r="BN48" s="290">
        <v>4364</v>
      </c>
      <c r="BO48" s="290">
        <v>1004</v>
      </c>
      <c r="BP48" s="290">
        <v>5</v>
      </c>
      <c r="BQ48" s="290">
        <v>577</v>
      </c>
      <c r="BR48" s="290">
        <v>-3</v>
      </c>
      <c r="BS48" s="290">
        <v>57</v>
      </c>
      <c r="BT48" s="290">
        <v>0</v>
      </c>
      <c r="BU48" s="290">
        <v>0</v>
      </c>
      <c r="BV48" s="290">
        <v>98</v>
      </c>
      <c r="BW48" s="290"/>
      <c r="BX48" s="290"/>
      <c r="BY48" s="290"/>
    </row>
    <row r="49" spans="1:77" ht="13">
      <c r="A49" s="1">
        <v>1573</v>
      </c>
      <c r="B49" s="2" t="s">
        <v>116</v>
      </c>
      <c r="C49" s="289">
        <v>2150</v>
      </c>
      <c r="D49" s="290">
        <v>40</v>
      </c>
      <c r="E49" s="290">
        <v>64</v>
      </c>
      <c r="F49" s="290">
        <v>233</v>
      </c>
      <c r="G49" s="290">
        <v>171</v>
      </c>
      <c r="H49" s="290">
        <v>1177</v>
      </c>
      <c r="I49" s="290">
        <v>320</v>
      </c>
      <c r="J49" s="290">
        <v>105</v>
      </c>
      <c r="K49" s="290">
        <v>33</v>
      </c>
      <c r="L49" s="290">
        <v>19</v>
      </c>
      <c r="M49" s="290">
        <v>195</v>
      </c>
      <c r="N49" s="290">
        <v>1.5</v>
      </c>
      <c r="O49" s="290">
        <v>27</v>
      </c>
      <c r="P49" s="624">
        <v>36174.349000000002</v>
      </c>
      <c r="Q49" s="624">
        <v>9410.2496666700008</v>
      </c>
      <c r="R49" s="624">
        <v>12</v>
      </c>
      <c r="S49" s="290">
        <v>0</v>
      </c>
      <c r="T49" s="290">
        <v>207</v>
      </c>
      <c r="U49" s="958">
        <v>1.612454971258101E-3</v>
      </c>
      <c r="V49" s="290">
        <v>1189.6992097699999</v>
      </c>
      <c r="W49" s="765">
        <v>1</v>
      </c>
      <c r="X49" s="290">
        <v>700</v>
      </c>
      <c r="Y49" s="290">
        <v>0</v>
      </c>
      <c r="Z49" s="290">
        <v>57258</v>
      </c>
      <c r="AA49" s="290">
        <v>0</v>
      </c>
      <c r="AB49" s="290">
        <v>46</v>
      </c>
      <c r="AC49" s="290">
        <v>374.50200000000001</v>
      </c>
      <c r="AD49" s="290">
        <v>167</v>
      </c>
      <c r="AE49" s="290">
        <v>0</v>
      </c>
      <c r="AF49" s="290">
        <v>0</v>
      </c>
      <c r="AG49" s="290">
        <v>2143</v>
      </c>
      <c r="AH49" s="290">
        <v>310.86780850999997</v>
      </c>
      <c r="AI49" s="290">
        <v>0</v>
      </c>
      <c r="AJ49" s="290">
        <v>0</v>
      </c>
      <c r="AK49" s="290">
        <v>4.2640000000000002</v>
      </c>
      <c r="AL49" s="290">
        <v>0</v>
      </c>
      <c r="AM49" s="957">
        <v>1.530098E-2</v>
      </c>
      <c r="AN49" s="290">
        <v>0</v>
      </c>
      <c r="AO49" s="290">
        <v>-355.65393699999998</v>
      </c>
      <c r="AP49" s="290">
        <v>0</v>
      </c>
      <c r="AQ49" s="290">
        <v>0</v>
      </c>
      <c r="AR49" s="290">
        <v>-115.433689</v>
      </c>
      <c r="AS49" s="290">
        <v>168</v>
      </c>
      <c r="AT49" s="290">
        <v>80</v>
      </c>
      <c r="AU49" s="290">
        <v>13</v>
      </c>
      <c r="AV49" s="766">
        <v>83949</v>
      </c>
      <c r="AW49" s="290">
        <v>400.22199999999998</v>
      </c>
      <c r="AX49" s="766">
        <v>11.791700000000001</v>
      </c>
      <c r="AY49" s="290">
        <v>314</v>
      </c>
      <c r="AZ49" s="290">
        <v>67</v>
      </c>
      <c r="BA49" s="290">
        <v>33</v>
      </c>
      <c r="BB49" s="290">
        <v>5875</v>
      </c>
      <c r="BC49" s="290">
        <v>304.698668</v>
      </c>
      <c r="BD49" s="290">
        <v>297</v>
      </c>
      <c r="BE49" s="290">
        <v>86944.622399999993</v>
      </c>
      <c r="BF49" s="290">
        <v>0</v>
      </c>
      <c r="BG49" s="290">
        <v>147</v>
      </c>
      <c r="BH49" s="290">
        <v>21</v>
      </c>
      <c r="BI49" s="290">
        <v>689.63380900000004</v>
      </c>
      <c r="BJ49" s="290">
        <v>0</v>
      </c>
      <c r="BK49" s="290">
        <f t="shared" si="0"/>
        <v>0</v>
      </c>
      <c r="BL49" s="290">
        <v>0</v>
      </c>
      <c r="BM49" s="290">
        <v>0</v>
      </c>
      <c r="BN49" s="290">
        <v>1820</v>
      </c>
      <c r="BO49" s="290">
        <v>319</v>
      </c>
      <c r="BP49" s="290">
        <v>1</v>
      </c>
      <c r="BQ49" s="290">
        <v>208</v>
      </c>
      <c r="BR49" s="290">
        <v>-1</v>
      </c>
      <c r="BS49" s="290">
        <v>50</v>
      </c>
      <c r="BT49" s="290">
        <v>0</v>
      </c>
      <c r="BU49" s="290">
        <v>0</v>
      </c>
      <c r="BV49" s="290">
        <v>47</v>
      </c>
      <c r="BW49" s="290"/>
      <c r="BX49" s="290"/>
      <c r="BY49" s="290"/>
    </row>
    <row r="50" spans="1:77" ht="13">
      <c r="A50" s="1">
        <v>1576</v>
      </c>
      <c r="B50" s="2" t="s">
        <v>1498</v>
      </c>
      <c r="C50" s="289">
        <v>3507</v>
      </c>
      <c r="D50" s="290">
        <v>60</v>
      </c>
      <c r="E50" s="290">
        <v>129</v>
      </c>
      <c r="F50" s="290">
        <v>393</v>
      </c>
      <c r="G50" s="290">
        <v>301</v>
      </c>
      <c r="H50" s="290">
        <v>1895</v>
      </c>
      <c r="I50" s="290">
        <v>542</v>
      </c>
      <c r="J50" s="290">
        <v>173</v>
      </c>
      <c r="K50" s="290">
        <v>50</v>
      </c>
      <c r="L50" s="290">
        <v>25</v>
      </c>
      <c r="M50" s="290">
        <v>345</v>
      </c>
      <c r="N50" s="290">
        <v>44</v>
      </c>
      <c r="O50" s="290">
        <v>47</v>
      </c>
      <c r="P50" s="624">
        <v>68534.318666670006</v>
      </c>
      <c r="Q50" s="624">
        <v>26409.489666670001</v>
      </c>
      <c r="R50" s="624">
        <v>15</v>
      </c>
      <c r="S50" s="290">
        <v>0</v>
      </c>
      <c r="T50" s="290">
        <v>302</v>
      </c>
      <c r="U50" s="958">
        <v>2.626705177686504E-3</v>
      </c>
      <c r="V50" s="290">
        <v>1926.6617100200001</v>
      </c>
      <c r="W50" s="765">
        <v>1</v>
      </c>
      <c r="X50" s="290">
        <v>100</v>
      </c>
      <c r="Y50" s="290">
        <v>427.12680399999999</v>
      </c>
      <c r="Z50" s="290">
        <v>95166</v>
      </c>
      <c r="AA50" s="290">
        <v>0</v>
      </c>
      <c r="AB50" s="290">
        <v>64</v>
      </c>
      <c r="AC50" s="290">
        <v>638.58299999999997</v>
      </c>
      <c r="AD50" s="290">
        <v>333</v>
      </c>
      <c r="AE50" s="290">
        <v>0</v>
      </c>
      <c r="AF50" s="290">
        <v>25921.227595209999</v>
      </c>
      <c r="AG50" s="290">
        <v>3543</v>
      </c>
      <c r="AH50" s="290">
        <v>539.31950035</v>
      </c>
      <c r="AI50" s="290">
        <v>0</v>
      </c>
      <c r="AJ50" s="290">
        <v>0</v>
      </c>
      <c r="AK50" s="290">
        <v>5741.3649999999998</v>
      </c>
      <c r="AL50" s="290">
        <v>0</v>
      </c>
      <c r="AM50" s="957">
        <v>5.3767450000000001E-2</v>
      </c>
      <c r="AN50" s="290">
        <v>5366</v>
      </c>
      <c r="AO50" s="290">
        <v>-575.96476199999995</v>
      </c>
      <c r="AP50" s="290">
        <v>0</v>
      </c>
      <c r="AQ50" s="290">
        <v>0</v>
      </c>
      <c r="AR50" s="290">
        <v>-190.845338</v>
      </c>
      <c r="AS50" s="290">
        <v>3622</v>
      </c>
      <c r="AT50" s="290">
        <v>150</v>
      </c>
      <c r="AU50" s="290">
        <v>25</v>
      </c>
      <c r="AV50" s="766">
        <v>151662</v>
      </c>
      <c r="AW50" s="290">
        <v>681.34799999999996</v>
      </c>
      <c r="AX50" s="766">
        <v>25.916699999999999</v>
      </c>
      <c r="AY50" s="290">
        <v>598</v>
      </c>
      <c r="AZ50" s="290">
        <v>181</v>
      </c>
      <c r="BA50" s="290">
        <v>67</v>
      </c>
      <c r="BB50" s="290">
        <v>0</v>
      </c>
      <c r="BC50" s="290">
        <v>26101.365099999999</v>
      </c>
      <c r="BD50" s="290">
        <v>408</v>
      </c>
      <c r="BE50" s="290">
        <v>165613.973</v>
      </c>
      <c r="BF50" s="290">
        <v>0</v>
      </c>
      <c r="BG50" s="290">
        <v>231</v>
      </c>
      <c r="BH50" s="290">
        <v>33</v>
      </c>
      <c r="BI50" s="290">
        <v>33267.621899999998</v>
      </c>
      <c r="BJ50" s="290">
        <v>0</v>
      </c>
      <c r="BK50" s="290">
        <f t="shared" si="0"/>
        <v>0</v>
      </c>
      <c r="BL50" s="290">
        <v>0</v>
      </c>
      <c r="BM50" s="290">
        <v>0</v>
      </c>
      <c r="BN50" s="290">
        <v>2947</v>
      </c>
      <c r="BO50" s="290">
        <v>600</v>
      </c>
      <c r="BP50" s="290">
        <v>3</v>
      </c>
      <c r="BQ50" s="290">
        <v>346</v>
      </c>
      <c r="BR50" s="290">
        <v>-2</v>
      </c>
      <c r="BS50" s="290">
        <v>50</v>
      </c>
      <c r="BT50" s="290">
        <v>0</v>
      </c>
      <c r="BU50" s="290">
        <v>0</v>
      </c>
      <c r="BV50" s="290">
        <v>74</v>
      </c>
      <c r="BW50" s="290"/>
      <c r="BX50" s="290"/>
      <c r="BY50" s="290"/>
    </row>
    <row r="51" spans="1:77" ht="13">
      <c r="A51" s="1">
        <v>1577</v>
      </c>
      <c r="B51" s="2" t="s">
        <v>1613</v>
      </c>
      <c r="C51" s="289">
        <v>10473</v>
      </c>
      <c r="D51" s="290">
        <v>234</v>
      </c>
      <c r="E51" s="290">
        <v>414</v>
      </c>
      <c r="F51" s="290">
        <v>1291</v>
      </c>
      <c r="G51" s="290">
        <v>1051</v>
      </c>
      <c r="H51" s="290">
        <v>5634</v>
      </c>
      <c r="I51" s="290">
        <v>1229</v>
      </c>
      <c r="J51" s="290">
        <v>454</v>
      </c>
      <c r="K51" s="290">
        <v>123</v>
      </c>
      <c r="L51" s="290">
        <v>67</v>
      </c>
      <c r="M51" s="290">
        <v>698</v>
      </c>
      <c r="N51" s="290">
        <v>178</v>
      </c>
      <c r="O51" s="290">
        <v>81</v>
      </c>
      <c r="P51" s="624">
        <v>75140.143666670003</v>
      </c>
      <c r="Q51" s="624">
        <v>26744.917333329999</v>
      </c>
      <c r="R51" s="624">
        <v>38</v>
      </c>
      <c r="S51" s="290">
        <v>0</v>
      </c>
      <c r="T51" s="290">
        <v>710</v>
      </c>
      <c r="U51" s="958">
        <v>4.3705101469126949E-3</v>
      </c>
      <c r="V51" s="290">
        <v>2881.6832581799999</v>
      </c>
      <c r="W51" s="765">
        <v>0.64971400000000001</v>
      </c>
      <c r="X51" s="290">
        <v>400</v>
      </c>
      <c r="Y51" s="290">
        <v>854.25360799999999</v>
      </c>
      <c r="Z51" s="290">
        <v>252064</v>
      </c>
      <c r="AA51" s="290">
        <v>1800</v>
      </c>
      <c r="AB51" s="290">
        <v>153</v>
      </c>
      <c r="AC51" s="290">
        <v>1742.021</v>
      </c>
      <c r="AD51" s="290">
        <v>333</v>
      </c>
      <c r="AE51" s="290">
        <v>0</v>
      </c>
      <c r="AF51" s="290">
        <v>20815.3452</v>
      </c>
      <c r="AG51" s="290">
        <v>10430</v>
      </c>
      <c r="AH51" s="290">
        <v>1803.0332893699999</v>
      </c>
      <c r="AI51" s="290">
        <v>1250</v>
      </c>
      <c r="AJ51" s="290">
        <v>0</v>
      </c>
      <c r="AK51" s="290">
        <v>0</v>
      </c>
      <c r="AL51" s="290">
        <v>0</v>
      </c>
      <c r="AM51" s="957">
        <v>0.12467794</v>
      </c>
      <c r="AN51" s="290">
        <v>0</v>
      </c>
      <c r="AO51" s="290">
        <v>-1465.9287300000001</v>
      </c>
      <c r="AP51" s="290">
        <v>0</v>
      </c>
      <c r="AQ51" s="290">
        <v>2594.5500000000002</v>
      </c>
      <c r="AR51" s="290">
        <v>-561.81678699999998</v>
      </c>
      <c r="AS51" s="290">
        <v>1814</v>
      </c>
      <c r="AT51" s="290">
        <v>391</v>
      </c>
      <c r="AU51" s="290">
        <v>88</v>
      </c>
      <c r="AV51" s="766">
        <v>303415</v>
      </c>
      <c r="AW51" s="290">
        <v>3180.4659999999999</v>
      </c>
      <c r="AX51" s="766">
        <v>97.019300000000001</v>
      </c>
      <c r="AY51" s="290">
        <v>3101</v>
      </c>
      <c r="AZ51" s="290">
        <v>396</v>
      </c>
      <c r="BA51" s="290">
        <v>178</v>
      </c>
      <c r="BB51" s="290">
        <v>0</v>
      </c>
      <c r="BC51" s="290">
        <v>6746.8274499999998</v>
      </c>
      <c r="BD51" s="290">
        <v>912</v>
      </c>
      <c r="BE51" s="290">
        <v>308463.81199999998</v>
      </c>
      <c r="BF51" s="290">
        <v>0</v>
      </c>
      <c r="BG51" s="290">
        <v>495</v>
      </c>
      <c r="BH51" s="290">
        <v>71</v>
      </c>
      <c r="BI51" s="290">
        <v>25214.6531</v>
      </c>
      <c r="BJ51" s="290">
        <v>0</v>
      </c>
      <c r="BK51" s="290">
        <f t="shared" si="0"/>
        <v>0</v>
      </c>
      <c r="BL51" s="290">
        <v>0</v>
      </c>
      <c r="BM51" s="290">
        <v>3967</v>
      </c>
      <c r="BN51" s="290">
        <v>7501</v>
      </c>
      <c r="BO51" s="290">
        <v>1909</v>
      </c>
      <c r="BP51" s="290">
        <v>9</v>
      </c>
      <c r="BQ51" s="290">
        <v>1006</v>
      </c>
      <c r="BR51" s="290">
        <v>-5</v>
      </c>
      <c r="BS51" s="290">
        <v>92</v>
      </c>
      <c r="BT51" s="290">
        <v>0</v>
      </c>
      <c r="BU51" s="290">
        <v>0</v>
      </c>
      <c r="BV51" s="290">
        <v>159</v>
      </c>
      <c r="BW51" s="290"/>
      <c r="BX51" s="290"/>
      <c r="BY51" s="290"/>
    </row>
    <row r="52" spans="1:77" ht="13">
      <c r="A52" s="1">
        <v>1578</v>
      </c>
      <c r="B52" s="2" t="s">
        <v>1614</v>
      </c>
      <c r="C52" s="289">
        <v>2549</v>
      </c>
      <c r="D52" s="290">
        <v>33</v>
      </c>
      <c r="E52" s="290">
        <v>72</v>
      </c>
      <c r="F52" s="290">
        <v>332</v>
      </c>
      <c r="G52" s="290">
        <v>256</v>
      </c>
      <c r="H52" s="290">
        <v>1319</v>
      </c>
      <c r="I52" s="290">
        <v>369</v>
      </c>
      <c r="J52" s="290">
        <v>146</v>
      </c>
      <c r="K52" s="290">
        <v>47</v>
      </c>
      <c r="L52" s="290">
        <v>17</v>
      </c>
      <c r="M52" s="290">
        <v>234</v>
      </c>
      <c r="N52" s="290">
        <v>14</v>
      </c>
      <c r="O52" s="290">
        <v>24</v>
      </c>
      <c r="P52" s="624">
        <v>30921.467333330002</v>
      </c>
      <c r="Q52" s="624">
        <v>10414.266</v>
      </c>
      <c r="R52" s="624">
        <v>14</v>
      </c>
      <c r="S52" s="290">
        <v>0</v>
      </c>
      <c r="T52" s="290">
        <v>206</v>
      </c>
      <c r="U52" s="958">
        <v>2.5972785674944028E-3</v>
      </c>
      <c r="V52" s="290">
        <v>1441.6966425200001</v>
      </c>
      <c r="W52" s="765">
        <v>0.98497995999999999</v>
      </c>
      <c r="X52" s="290">
        <v>430</v>
      </c>
      <c r="Y52" s="290">
        <v>700.57274800000005</v>
      </c>
      <c r="Z52" s="290">
        <v>68641</v>
      </c>
      <c r="AA52" s="290">
        <v>70</v>
      </c>
      <c r="AB52" s="290">
        <v>41</v>
      </c>
      <c r="AC52" s="290">
        <v>534.69500000000005</v>
      </c>
      <c r="AD52" s="290">
        <v>167</v>
      </c>
      <c r="AE52" s="290">
        <v>0</v>
      </c>
      <c r="AF52" s="290">
        <v>20815.3452</v>
      </c>
      <c r="AG52" s="290">
        <v>2574</v>
      </c>
      <c r="AH52" s="290">
        <v>433.04608674000002</v>
      </c>
      <c r="AI52" s="290">
        <v>1000</v>
      </c>
      <c r="AJ52" s="290">
        <v>0</v>
      </c>
      <c r="AK52" s="290">
        <v>0</v>
      </c>
      <c r="AL52" s="290">
        <v>0</v>
      </c>
      <c r="AM52" s="957">
        <v>2.7489619999999999E-2</v>
      </c>
      <c r="AN52" s="290">
        <v>0</v>
      </c>
      <c r="AO52" s="290">
        <v>-430.98716300000001</v>
      </c>
      <c r="AP52" s="290">
        <v>0</v>
      </c>
      <c r="AQ52" s="290">
        <v>0</v>
      </c>
      <c r="AR52" s="290">
        <v>-138.64970400000001</v>
      </c>
      <c r="AS52" s="290">
        <v>908</v>
      </c>
      <c r="AT52" s="290">
        <v>97</v>
      </c>
      <c r="AU52" s="290">
        <v>17</v>
      </c>
      <c r="AV52" s="766">
        <v>125616</v>
      </c>
      <c r="AW52" s="290">
        <v>789.95600000000002</v>
      </c>
      <c r="AX52" s="766">
        <v>16.6251</v>
      </c>
      <c r="AY52" s="290">
        <v>462</v>
      </c>
      <c r="AZ52" s="290">
        <v>112</v>
      </c>
      <c r="BA52" s="290">
        <v>41</v>
      </c>
      <c r="BB52" s="290">
        <v>5875</v>
      </c>
      <c r="BC52" s="290">
        <v>595.41338499999995</v>
      </c>
      <c r="BD52" s="290">
        <v>330</v>
      </c>
      <c r="BE52" s="290">
        <v>126028.196</v>
      </c>
      <c r="BF52" s="290">
        <v>0</v>
      </c>
      <c r="BG52" s="290">
        <v>167</v>
      </c>
      <c r="BH52" s="290">
        <v>24</v>
      </c>
      <c r="BI52" s="290">
        <v>22483.659</v>
      </c>
      <c r="BJ52" s="290">
        <v>0</v>
      </c>
      <c r="BK52" s="290">
        <f t="shared" si="0"/>
        <v>0</v>
      </c>
      <c r="BL52" s="290">
        <v>0</v>
      </c>
      <c r="BM52" s="290">
        <v>0</v>
      </c>
      <c r="BN52" s="290">
        <v>2205</v>
      </c>
      <c r="BO52" s="290">
        <v>396</v>
      </c>
      <c r="BP52" s="290">
        <v>2</v>
      </c>
      <c r="BQ52" s="290">
        <v>253</v>
      </c>
      <c r="BR52" s="290">
        <v>-1</v>
      </c>
      <c r="BS52" s="290">
        <v>50</v>
      </c>
      <c r="BT52" s="290">
        <v>0</v>
      </c>
      <c r="BU52" s="290">
        <v>0</v>
      </c>
      <c r="BV52" s="290">
        <v>54</v>
      </c>
      <c r="BW52" s="290"/>
      <c r="BX52" s="290"/>
      <c r="BY52" s="290"/>
    </row>
    <row r="53" spans="1:77" ht="13">
      <c r="A53" s="1">
        <v>1579</v>
      </c>
      <c r="B53" s="2" t="s">
        <v>1615</v>
      </c>
      <c r="C53" s="289">
        <v>13279</v>
      </c>
      <c r="D53" s="290">
        <v>281</v>
      </c>
      <c r="E53" s="290">
        <v>657</v>
      </c>
      <c r="F53" s="290">
        <v>1717</v>
      </c>
      <c r="G53" s="290">
        <v>1125</v>
      </c>
      <c r="H53" s="290">
        <v>7268</v>
      </c>
      <c r="I53" s="290">
        <v>1644</v>
      </c>
      <c r="J53" s="290">
        <v>444</v>
      </c>
      <c r="K53" s="290">
        <v>122</v>
      </c>
      <c r="L53" s="290">
        <v>106</v>
      </c>
      <c r="M53" s="290">
        <v>902</v>
      </c>
      <c r="N53" s="290">
        <v>58</v>
      </c>
      <c r="O53" s="290">
        <v>116</v>
      </c>
      <c r="P53" s="624">
        <v>88371.424666670006</v>
      </c>
      <c r="Q53" s="624">
        <v>39498.742666669998</v>
      </c>
      <c r="R53" s="624">
        <v>60</v>
      </c>
      <c r="S53" s="290">
        <v>0</v>
      </c>
      <c r="T53" s="290">
        <v>945</v>
      </c>
      <c r="U53" s="958">
        <v>5.9694949019091243E-3</v>
      </c>
      <c r="V53" s="290">
        <v>6062.8638280499999</v>
      </c>
      <c r="W53" s="765">
        <v>0.69170007</v>
      </c>
      <c r="X53" s="290">
        <v>2800</v>
      </c>
      <c r="Y53" s="290">
        <v>427.12680399999999</v>
      </c>
      <c r="Z53" s="290">
        <v>340418</v>
      </c>
      <c r="AA53" s="290">
        <v>0</v>
      </c>
      <c r="AB53" s="290">
        <v>237</v>
      </c>
      <c r="AC53" s="290">
        <v>2333.3339999999998</v>
      </c>
      <c r="AD53" s="290">
        <v>333</v>
      </c>
      <c r="AE53" s="290">
        <v>0</v>
      </c>
      <c r="AF53" s="290">
        <v>14712.8544</v>
      </c>
      <c r="AG53" s="290">
        <v>13258</v>
      </c>
      <c r="AH53" s="290">
        <v>2422.60006122</v>
      </c>
      <c r="AI53" s="290">
        <v>1000</v>
      </c>
      <c r="AJ53" s="290">
        <v>0</v>
      </c>
      <c r="AK53" s="290">
        <v>3551.759</v>
      </c>
      <c r="AL53" s="290">
        <v>0</v>
      </c>
      <c r="AM53" s="957">
        <v>0.33075425000000003</v>
      </c>
      <c r="AN53" s="290">
        <v>0</v>
      </c>
      <c r="AO53" s="290">
        <v>-1903.12914</v>
      </c>
      <c r="AP53" s="290">
        <v>0</v>
      </c>
      <c r="AQ53" s="290">
        <v>0</v>
      </c>
      <c r="AR53" s="290">
        <v>-714.14831900000001</v>
      </c>
      <c r="AS53" s="290">
        <v>1511</v>
      </c>
      <c r="AT53" s="290">
        <v>658</v>
      </c>
      <c r="AU53" s="290">
        <v>183</v>
      </c>
      <c r="AV53" s="766">
        <v>391645</v>
      </c>
      <c r="AW53" s="290">
        <v>2209.5749999999998</v>
      </c>
      <c r="AX53" s="766">
        <v>81.458349999999996</v>
      </c>
      <c r="AY53" s="290">
        <v>2061</v>
      </c>
      <c r="AZ53" s="290">
        <v>481</v>
      </c>
      <c r="BA53" s="290">
        <v>366</v>
      </c>
      <c r="BB53" s="290">
        <v>0</v>
      </c>
      <c r="BC53" s="290">
        <v>7433.7545799999998</v>
      </c>
      <c r="BD53" s="290">
        <v>1141</v>
      </c>
      <c r="BE53" s="290">
        <v>403192.22600000002</v>
      </c>
      <c r="BF53" s="290">
        <v>0</v>
      </c>
      <c r="BG53" s="290">
        <v>617</v>
      </c>
      <c r="BH53" s="290">
        <v>88</v>
      </c>
      <c r="BI53" s="290">
        <v>23447.674299999999</v>
      </c>
      <c r="BJ53" s="290">
        <v>0</v>
      </c>
      <c r="BK53" s="290">
        <f t="shared" si="0"/>
        <v>0</v>
      </c>
      <c r="BL53" s="290">
        <v>0</v>
      </c>
      <c r="BM53" s="290">
        <v>4156</v>
      </c>
      <c r="BN53" s="290">
        <v>9737</v>
      </c>
      <c r="BO53" s="290">
        <v>2572</v>
      </c>
      <c r="BP53" s="290">
        <v>13</v>
      </c>
      <c r="BQ53" s="290">
        <v>1289</v>
      </c>
      <c r="BR53" s="290">
        <v>-6</v>
      </c>
      <c r="BS53" s="290">
        <v>173</v>
      </c>
      <c r="BT53" s="290">
        <v>0</v>
      </c>
      <c r="BU53" s="290">
        <v>0</v>
      </c>
      <c r="BV53" s="290">
        <v>198</v>
      </c>
      <c r="BW53" s="290"/>
      <c r="BX53" s="290"/>
      <c r="BY53" s="290"/>
    </row>
    <row r="54" spans="1:77" ht="13">
      <c r="A54" s="1">
        <v>1804</v>
      </c>
      <c r="B54" s="2" t="s">
        <v>174</v>
      </c>
      <c r="C54" s="289">
        <v>52357</v>
      </c>
      <c r="D54" s="290">
        <v>1033</v>
      </c>
      <c r="E54" s="290">
        <v>2383</v>
      </c>
      <c r="F54" s="290">
        <v>6224</v>
      </c>
      <c r="G54" s="290">
        <v>4611</v>
      </c>
      <c r="H54" s="290">
        <v>30578</v>
      </c>
      <c r="I54" s="290">
        <v>5319</v>
      </c>
      <c r="J54" s="290">
        <v>1650</v>
      </c>
      <c r="K54" s="290">
        <v>319</v>
      </c>
      <c r="L54" s="290">
        <v>389</v>
      </c>
      <c r="M54" s="290">
        <v>3051</v>
      </c>
      <c r="N54" s="290">
        <v>888</v>
      </c>
      <c r="O54" s="290">
        <v>343</v>
      </c>
      <c r="P54" s="624">
        <v>210919.98733333001</v>
      </c>
      <c r="Q54" s="624">
        <v>60395.51233333</v>
      </c>
      <c r="R54" s="624">
        <v>190</v>
      </c>
      <c r="S54" s="290">
        <v>0</v>
      </c>
      <c r="T54" s="290">
        <v>4698</v>
      </c>
      <c r="U54" s="958">
        <v>3.3820142730889824E-3</v>
      </c>
      <c r="V54" s="290">
        <v>11641.518592480001</v>
      </c>
      <c r="W54" s="765">
        <v>0.56157827000000005</v>
      </c>
      <c r="X54" s="290">
        <v>0</v>
      </c>
      <c r="Y54" s="290">
        <v>427.12680399999999</v>
      </c>
      <c r="Z54" s="290">
        <v>1589017</v>
      </c>
      <c r="AA54" s="290">
        <v>0</v>
      </c>
      <c r="AB54" s="290">
        <v>1092</v>
      </c>
      <c r="AC54" s="290">
        <v>7782.5680000000002</v>
      </c>
      <c r="AD54" s="290">
        <v>500</v>
      </c>
      <c r="AE54" s="290">
        <v>0</v>
      </c>
      <c r="AF54" s="290">
        <v>12445.168488609999</v>
      </c>
      <c r="AG54" s="290">
        <v>52117</v>
      </c>
      <c r="AH54" s="290">
        <v>8775.1475807299994</v>
      </c>
      <c r="AI54" s="290">
        <v>7190</v>
      </c>
      <c r="AJ54" s="290">
        <v>0</v>
      </c>
      <c r="AK54" s="290">
        <v>0</v>
      </c>
      <c r="AL54" s="290">
        <v>94267</v>
      </c>
      <c r="AM54" s="957">
        <v>0.69215260999999995</v>
      </c>
      <c r="AN54" s="290">
        <v>0</v>
      </c>
      <c r="AO54" s="290">
        <v>-6774.5045799999998</v>
      </c>
      <c r="AP54" s="290">
        <v>0</v>
      </c>
      <c r="AQ54" s="290">
        <v>-3017.7421199999999</v>
      </c>
      <c r="AR54" s="290">
        <v>-2807.30638</v>
      </c>
      <c r="AS54" s="290">
        <v>8632</v>
      </c>
      <c r="AT54" s="290">
        <v>2492</v>
      </c>
      <c r="AU54" s="290">
        <v>407</v>
      </c>
      <c r="AV54" s="766">
        <v>1254797</v>
      </c>
      <c r="AW54" s="290">
        <v>17352.444</v>
      </c>
      <c r="AX54" s="766">
        <v>418.16665</v>
      </c>
      <c r="AY54" s="290">
        <v>14997</v>
      </c>
      <c r="AZ54" s="290">
        <v>1847</v>
      </c>
      <c r="BA54" s="290">
        <v>1160</v>
      </c>
      <c r="BB54" s="290">
        <v>0</v>
      </c>
      <c r="BC54" s="290">
        <v>24067.328099999999</v>
      </c>
      <c r="BD54" s="290">
        <v>4221</v>
      </c>
      <c r="BE54" s="290">
        <v>1294276.3899999999</v>
      </c>
      <c r="BF54" s="290">
        <v>0</v>
      </c>
      <c r="BG54" s="290">
        <v>2133</v>
      </c>
      <c r="BH54" s="290">
        <v>304</v>
      </c>
      <c r="BI54" s="290">
        <v>29430.010900000001</v>
      </c>
      <c r="BJ54" s="290">
        <v>0</v>
      </c>
      <c r="BK54" s="290">
        <f t="shared" si="0"/>
        <v>0</v>
      </c>
      <c r="BL54" s="290">
        <v>0</v>
      </c>
      <c r="BM54" s="290">
        <v>0</v>
      </c>
      <c r="BN54" s="290">
        <v>34662</v>
      </c>
      <c r="BO54" s="290">
        <v>9865</v>
      </c>
      <c r="BP54" s="290">
        <v>50</v>
      </c>
      <c r="BQ54" s="290">
        <v>5229</v>
      </c>
      <c r="BR54" s="290">
        <v>-24</v>
      </c>
      <c r="BS54" s="290">
        <v>462</v>
      </c>
      <c r="BT54" s="290">
        <v>0</v>
      </c>
      <c r="BU54" s="290">
        <v>0</v>
      </c>
      <c r="BV54" s="290">
        <v>686</v>
      </c>
      <c r="BW54" s="290"/>
      <c r="BX54" s="290"/>
      <c r="BY54" s="290"/>
    </row>
    <row r="55" spans="1:77" ht="13">
      <c r="A55" s="1">
        <v>1806</v>
      </c>
      <c r="B55" s="2" t="s">
        <v>1616</v>
      </c>
      <c r="C55" s="289">
        <v>21845</v>
      </c>
      <c r="D55" s="290">
        <v>427</v>
      </c>
      <c r="E55" s="290">
        <v>862</v>
      </c>
      <c r="F55" s="290">
        <v>2434</v>
      </c>
      <c r="G55" s="290">
        <v>1786</v>
      </c>
      <c r="H55" s="290">
        <v>12363</v>
      </c>
      <c r="I55" s="290">
        <v>2815</v>
      </c>
      <c r="J55" s="290">
        <v>985</v>
      </c>
      <c r="K55" s="290">
        <v>245</v>
      </c>
      <c r="L55" s="290">
        <v>179</v>
      </c>
      <c r="M55" s="290">
        <v>1890</v>
      </c>
      <c r="N55" s="290">
        <v>303</v>
      </c>
      <c r="O55" s="290">
        <v>182</v>
      </c>
      <c r="P55" s="624">
        <v>153087.61116345</v>
      </c>
      <c r="Q55" s="624">
        <v>30751.595281319998</v>
      </c>
      <c r="R55" s="624">
        <v>92</v>
      </c>
      <c r="S55" s="290">
        <v>0</v>
      </c>
      <c r="T55" s="290">
        <v>2015</v>
      </c>
      <c r="U55" s="958">
        <v>2.7469278510845142E-3</v>
      </c>
      <c r="V55" s="290">
        <v>-1722.72016244</v>
      </c>
      <c r="W55" s="765">
        <v>0.67765282999999998</v>
      </c>
      <c r="X55" s="290">
        <v>0</v>
      </c>
      <c r="Y55" s="290">
        <v>700.57274800000005</v>
      </c>
      <c r="Z55" s="290">
        <v>595353</v>
      </c>
      <c r="AA55" s="290">
        <v>0</v>
      </c>
      <c r="AB55" s="290">
        <v>487</v>
      </c>
      <c r="AC55" s="290">
        <v>3222.7738881999999</v>
      </c>
      <c r="AD55" s="290">
        <v>333</v>
      </c>
      <c r="AE55" s="290">
        <v>0</v>
      </c>
      <c r="AF55" s="290">
        <v>30672.1744</v>
      </c>
      <c r="AG55" s="290">
        <v>21917</v>
      </c>
      <c r="AH55" s="290">
        <v>3394.9656483099998</v>
      </c>
      <c r="AI55" s="290">
        <v>8030</v>
      </c>
      <c r="AJ55" s="290">
        <v>0</v>
      </c>
      <c r="AK55" s="290">
        <v>8137.9690000000001</v>
      </c>
      <c r="AL55" s="290">
        <v>39846</v>
      </c>
      <c r="AM55" s="957">
        <v>0.36850944000000002</v>
      </c>
      <c r="AN55" s="290">
        <v>0</v>
      </c>
      <c r="AO55" s="290">
        <v>-3051.3495400000002</v>
      </c>
      <c r="AP55" s="290">
        <v>0</v>
      </c>
      <c r="AQ55" s="290">
        <v>0</v>
      </c>
      <c r="AR55" s="290">
        <v>-1180.5693699999999</v>
      </c>
      <c r="AS55" s="290">
        <v>6504</v>
      </c>
      <c r="AT55" s="290">
        <v>1009</v>
      </c>
      <c r="AU55" s="290">
        <v>211</v>
      </c>
      <c r="AV55" s="766">
        <v>636296.82900000003</v>
      </c>
      <c r="AW55" s="290">
        <v>5506.0820000000003</v>
      </c>
      <c r="AX55" s="766">
        <v>174.38894999999999</v>
      </c>
      <c r="AY55" s="290">
        <v>4954</v>
      </c>
      <c r="AZ55" s="290">
        <v>837</v>
      </c>
      <c r="BA55" s="290">
        <v>472</v>
      </c>
      <c r="BB55" s="290">
        <v>0</v>
      </c>
      <c r="BC55" s="290">
        <v>8579.3649800000003</v>
      </c>
      <c r="BD55" s="290">
        <v>1824</v>
      </c>
      <c r="BE55" s="290">
        <v>657347.28799999994</v>
      </c>
      <c r="BF55" s="290">
        <v>0</v>
      </c>
      <c r="BG55" s="290">
        <v>990</v>
      </c>
      <c r="BH55" s="290">
        <v>141</v>
      </c>
      <c r="BI55" s="290">
        <v>46128.455699999999</v>
      </c>
      <c r="BJ55" s="290">
        <v>0</v>
      </c>
      <c r="BK55" s="290">
        <f t="shared" si="0"/>
        <v>0</v>
      </c>
      <c r="BL55" s="290">
        <v>0</v>
      </c>
      <c r="BM55" s="290">
        <v>4751</v>
      </c>
      <c r="BN55" s="290">
        <v>15612</v>
      </c>
      <c r="BO55" s="290">
        <v>3705</v>
      </c>
      <c r="BP55" s="290">
        <v>18</v>
      </c>
      <c r="BQ55" s="290">
        <v>2146</v>
      </c>
      <c r="BR55" s="290">
        <v>-10</v>
      </c>
      <c r="BS55" s="290">
        <v>237</v>
      </c>
      <c r="BT55" s="290">
        <v>0</v>
      </c>
      <c r="BU55" s="290">
        <v>0</v>
      </c>
      <c r="BV55" s="290">
        <v>318</v>
      </c>
      <c r="BW55" s="290"/>
      <c r="BX55" s="290"/>
      <c r="BY55" s="290"/>
    </row>
    <row r="56" spans="1:77" ht="13">
      <c r="A56" s="1">
        <v>1811</v>
      </c>
      <c r="B56" s="2" t="s">
        <v>176</v>
      </c>
      <c r="C56" s="289">
        <v>1426</v>
      </c>
      <c r="D56" s="290">
        <v>29</v>
      </c>
      <c r="E56" s="290">
        <v>51</v>
      </c>
      <c r="F56" s="290">
        <v>167</v>
      </c>
      <c r="G56" s="290">
        <v>117</v>
      </c>
      <c r="H56" s="290">
        <v>720</v>
      </c>
      <c r="I56" s="290">
        <v>261</v>
      </c>
      <c r="J56" s="290">
        <v>79</v>
      </c>
      <c r="K56" s="290">
        <v>21</v>
      </c>
      <c r="L56" s="290">
        <v>13</v>
      </c>
      <c r="M56" s="290">
        <v>184</v>
      </c>
      <c r="N56" s="290">
        <v>1.5</v>
      </c>
      <c r="O56" s="290">
        <v>12</v>
      </c>
      <c r="P56" s="624">
        <v>29802.205333329999</v>
      </c>
      <c r="Q56" s="624">
        <v>13297.17466667</v>
      </c>
      <c r="R56" s="624">
        <v>10</v>
      </c>
      <c r="S56" s="290">
        <v>0</v>
      </c>
      <c r="T56" s="290">
        <v>91</v>
      </c>
      <c r="U56" s="958">
        <v>1.2579722610650784E-3</v>
      </c>
      <c r="V56" s="290">
        <v>-5738.3114410500002</v>
      </c>
      <c r="W56" s="765">
        <v>1</v>
      </c>
      <c r="X56" s="290">
        <v>0</v>
      </c>
      <c r="Y56" s="290">
        <v>427.12680399999999</v>
      </c>
      <c r="Z56" s="290">
        <v>38311</v>
      </c>
      <c r="AA56" s="290">
        <v>0</v>
      </c>
      <c r="AB56" s="290">
        <v>35</v>
      </c>
      <c r="AC56" s="290">
        <v>275.279</v>
      </c>
      <c r="AD56" s="290">
        <v>167</v>
      </c>
      <c r="AE56" s="290">
        <v>0</v>
      </c>
      <c r="AF56" s="290">
        <v>0</v>
      </c>
      <c r="AG56" s="290">
        <v>1445</v>
      </c>
      <c r="AH56" s="290">
        <v>223.39105309000001</v>
      </c>
      <c r="AI56" s="290">
        <v>400</v>
      </c>
      <c r="AJ56" s="290">
        <v>0</v>
      </c>
      <c r="AK56" s="290">
        <v>82.457999999999998</v>
      </c>
      <c r="AL56" s="290">
        <v>2627</v>
      </c>
      <c r="AM56" s="957">
        <v>5.5933399999999996E-3</v>
      </c>
      <c r="AN56" s="290">
        <v>0</v>
      </c>
      <c r="AO56" s="290">
        <v>-279.30034899999998</v>
      </c>
      <c r="AP56" s="290">
        <v>0</v>
      </c>
      <c r="AQ56" s="290">
        <v>0</v>
      </c>
      <c r="AR56" s="290">
        <v>-77.8355952</v>
      </c>
      <c r="AS56" s="290">
        <v>781</v>
      </c>
      <c r="AT56" s="290">
        <v>42</v>
      </c>
      <c r="AU56" s="290">
        <v>8</v>
      </c>
      <c r="AV56" s="766">
        <v>68969</v>
      </c>
      <c r="AW56" s="290">
        <v>316.91800000000001</v>
      </c>
      <c r="AX56" s="766">
        <v>14.75</v>
      </c>
      <c r="AY56" s="290">
        <v>236</v>
      </c>
      <c r="AZ56" s="290">
        <v>35</v>
      </c>
      <c r="BA56" s="290">
        <v>20</v>
      </c>
      <c r="BB56" s="290">
        <v>5875</v>
      </c>
      <c r="BC56" s="290">
        <v>631.12904700000001</v>
      </c>
      <c r="BD56" s="290">
        <v>242</v>
      </c>
      <c r="BE56" s="290">
        <v>72491.191500000001</v>
      </c>
      <c r="BF56" s="290">
        <v>0</v>
      </c>
      <c r="BG56" s="290">
        <v>122</v>
      </c>
      <c r="BH56" s="290">
        <v>17</v>
      </c>
      <c r="BI56" s="290">
        <v>1008.25486</v>
      </c>
      <c r="BJ56" s="290">
        <v>0</v>
      </c>
      <c r="BK56" s="290">
        <f t="shared" si="0"/>
        <v>0</v>
      </c>
      <c r="BL56" s="290">
        <v>0</v>
      </c>
      <c r="BM56" s="290">
        <v>0</v>
      </c>
      <c r="BN56" s="290">
        <v>1429</v>
      </c>
      <c r="BO56" s="290">
        <v>260</v>
      </c>
      <c r="BP56" s="290">
        <v>1</v>
      </c>
      <c r="BQ56" s="290">
        <v>141</v>
      </c>
      <c r="BR56" s="290">
        <v>-1</v>
      </c>
      <c r="BS56" s="290">
        <v>50</v>
      </c>
      <c r="BT56" s="290">
        <v>0</v>
      </c>
      <c r="BU56" s="290">
        <v>0</v>
      </c>
      <c r="BV56" s="290">
        <v>39</v>
      </c>
      <c r="BW56" s="290"/>
      <c r="BX56" s="290"/>
      <c r="BY56" s="290"/>
    </row>
    <row r="57" spans="1:77" ht="13">
      <c r="A57" s="1">
        <v>1812</v>
      </c>
      <c r="B57" s="2" t="s">
        <v>177</v>
      </c>
      <c r="C57" s="289">
        <v>1975</v>
      </c>
      <c r="D57" s="290">
        <v>29</v>
      </c>
      <c r="E57" s="290">
        <v>64</v>
      </c>
      <c r="F57" s="290">
        <v>260</v>
      </c>
      <c r="G57" s="290">
        <v>174</v>
      </c>
      <c r="H57" s="290">
        <v>1082</v>
      </c>
      <c r="I57" s="290">
        <v>284</v>
      </c>
      <c r="J57" s="290">
        <v>96</v>
      </c>
      <c r="K57" s="290">
        <v>19</v>
      </c>
      <c r="L57" s="290">
        <v>18</v>
      </c>
      <c r="M57" s="290">
        <v>216</v>
      </c>
      <c r="N57" s="290">
        <v>27</v>
      </c>
      <c r="O57" s="290">
        <v>23</v>
      </c>
      <c r="P57" s="624">
        <v>14641.330666669999</v>
      </c>
      <c r="Q57" s="624">
        <v>5516.6106666699998</v>
      </c>
      <c r="R57" s="624">
        <v>13</v>
      </c>
      <c r="S57" s="290">
        <v>0</v>
      </c>
      <c r="T57" s="290">
        <v>179</v>
      </c>
      <c r="U57" s="958">
        <v>1.879540632918472E-3</v>
      </c>
      <c r="V57" s="290">
        <v>1131.93986571</v>
      </c>
      <c r="W57" s="765">
        <v>0.92984162999999997</v>
      </c>
      <c r="X57" s="290">
        <v>0</v>
      </c>
      <c r="Y57" s="290">
        <v>427.12680399999999</v>
      </c>
      <c r="Z57" s="290">
        <v>45952</v>
      </c>
      <c r="AA57" s="290">
        <v>0</v>
      </c>
      <c r="AB57" s="290">
        <v>61</v>
      </c>
      <c r="AC57" s="290">
        <v>371.45800000000003</v>
      </c>
      <c r="AD57" s="290">
        <v>167</v>
      </c>
      <c r="AE57" s="290">
        <v>0</v>
      </c>
      <c r="AF57" s="290">
        <v>0</v>
      </c>
      <c r="AG57" s="290">
        <v>2008</v>
      </c>
      <c r="AH57" s="290">
        <v>326.04972473999999</v>
      </c>
      <c r="AI57" s="290">
        <v>0</v>
      </c>
      <c r="AJ57" s="290">
        <v>0</v>
      </c>
      <c r="AK57" s="290">
        <v>0</v>
      </c>
      <c r="AL57" s="290">
        <v>3649</v>
      </c>
      <c r="AM57" s="957">
        <v>2.432575E-2</v>
      </c>
      <c r="AN57" s="290">
        <v>0</v>
      </c>
      <c r="AO57" s="290">
        <v>-338.38710400000002</v>
      </c>
      <c r="AP57" s="290">
        <v>0</v>
      </c>
      <c r="AQ57" s="290">
        <v>0</v>
      </c>
      <c r="AR57" s="290">
        <v>-108.161851</v>
      </c>
      <c r="AS57" s="290">
        <v>1257</v>
      </c>
      <c r="AT57" s="290">
        <v>110</v>
      </c>
      <c r="AU57" s="290">
        <v>13</v>
      </c>
      <c r="AV57" s="766">
        <v>85345</v>
      </c>
      <c r="AW57" s="290">
        <v>380.83600000000001</v>
      </c>
      <c r="AX57" s="766">
        <v>11.708299999999999</v>
      </c>
      <c r="AY57" s="290">
        <v>341</v>
      </c>
      <c r="AZ57" s="290">
        <v>69</v>
      </c>
      <c r="BA57" s="290">
        <v>41</v>
      </c>
      <c r="BB57" s="290">
        <v>5875</v>
      </c>
      <c r="BC57" s="290">
        <v>739.202945</v>
      </c>
      <c r="BD57" s="290">
        <v>278</v>
      </c>
      <c r="BE57" s="290">
        <v>87381.368300000002</v>
      </c>
      <c r="BF57" s="290">
        <v>0</v>
      </c>
      <c r="BG57" s="290">
        <v>128</v>
      </c>
      <c r="BH57" s="290">
        <v>18</v>
      </c>
      <c r="BI57" s="290">
        <v>1124.63453</v>
      </c>
      <c r="BJ57" s="290">
        <v>0</v>
      </c>
      <c r="BK57" s="290">
        <f t="shared" si="0"/>
        <v>0</v>
      </c>
      <c r="BL57" s="290">
        <v>0</v>
      </c>
      <c r="BM57" s="290">
        <v>0</v>
      </c>
      <c r="BN57" s="290">
        <v>1731</v>
      </c>
      <c r="BO57" s="290">
        <v>322</v>
      </c>
      <c r="BP57" s="290">
        <v>1</v>
      </c>
      <c r="BQ57" s="290">
        <v>195</v>
      </c>
      <c r="BR57" s="290">
        <v>-1</v>
      </c>
      <c r="BS57" s="290">
        <v>50</v>
      </c>
      <c r="BT57" s="290">
        <v>0</v>
      </c>
      <c r="BU57" s="290">
        <v>0</v>
      </c>
      <c r="BV57" s="290">
        <v>41</v>
      </c>
      <c r="BW57" s="290"/>
      <c r="BX57" s="290"/>
      <c r="BY57" s="290"/>
    </row>
    <row r="58" spans="1:77" ht="13">
      <c r="A58" s="1">
        <v>1813</v>
      </c>
      <c r="B58" s="2" t="s">
        <v>178</v>
      </c>
      <c r="C58" s="289">
        <v>7917</v>
      </c>
      <c r="D58" s="290">
        <v>108</v>
      </c>
      <c r="E58" s="290">
        <v>359</v>
      </c>
      <c r="F58" s="290">
        <v>1022</v>
      </c>
      <c r="G58" s="290">
        <v>713</v>
      </c>
      <c r="H58" s="290">
        <v>4415</v>
      </c>
      <c r="I58" s="290">
        <v>931</v>
      </c>
      <c r="J58" s="290">
        <v>315</v>
      </c>
      <c r="K58" s="290">
        <v>62</v>
      </c>
      <c r="L58" s="290">
        <v>65</v>
      </c>
      <c r="M58" s="290">
        <v>609</v>
      </c>
      <c r="N58" s="290">
        <v>100</v>
      </c>
      <c r="O58" s="290">
        <v>85</v>
      </c>
      <c r="P58" s="624">
        <v>84271.042666669993</v>
      </c>
      <c r="Q58" s="624">
        <v>17639.151333329999</v>
      </c>
      <c r="R58" s="624">
        <v>48</v>
      </c>
      <c r="S58" s="290">
        <v>0</v>
      </c>
      <c r="T58" s="290">
        <v>683</v>
      </c>
      <c r="U58" s="958">
        <v>3.0446726996559786E-3</v>
      </c>
      <c r="V58" s="290">
        <v>3964.4991137299999</v>
      </c>
      <c r="W58" s="765">
        <v>0.64307950000000003</v>
      </c>
      <c r="X58" s="290">
        <v>0</v>
      </c>
      <c r="Y58" s="290">
        <v>427.12680399999999</v>
      </c>
      <c r="Z58" s="290">
        <v>197511</v>
      </c>
      <c r="AA58" s="290">
        <v>0</v>
      </c>
      <c r="AB58" s="290">
        <v>211</v>
      </c>
      <c r="AC58" s="290">
        <v>1377.162</v>
      </c>
      <c r="AD58" s="290">
        <v>333</v>
      </c>
      <c r="AE58" s="290">
        <v>0</v>
      </c>
      <c r="AF58" s="290">
        <v>0</v>
      </c>
      <c r="AG58" s="290">
        <v>7925</v>
      </c>
      <c r="AH58" s="290">
        <v>1364.2036154899999</v>
      </c>
      <c r="AI58" s="290">
        <v>3930</v>
      </c>
      <c r="AJ58" s="290">
        <v>0</v>
      </c>
      <c r="AK58" s="290">
        <v>0</v>
      </c>
      <c r="AL58" s="290">
        <v>14344</v>
      </c>
      <c r="AM58" s="957">
        <v>0.15402951000000001</v>
      </c>
      <c r="AN58" s="290">
        <v>0</v>
      </c>
      <c r="AO58" s="290">
        <v>-1185.16488</v>
      </c>
      <c r="AP58" s="290">
        <v>0</v>
      </c>
      <c r="AQ58" s="290">
        <v>0</v>
      </c>
      <c r="AR58" s="290">
        <v>-426.88380000000001</v>
      </c>
      <c r="AS58" s="290">
        <v>1521</v>
      </c>
      <c r="AT58" s="290">
        <v>405</v>
      </c>
      <c r="AU58" s="290">
        <v>72</v>
      </c>
      <c r="AV58" s="766">
        <v>253137</v>
      </c>
      <c r="AW58" s="290">
        <v>1076.1780000000001</v>
      </c>
      <c r="AX58" s="766">
        <v>39.083300000000001</v>
      </c>
      <c r="AY58" s="290">
        <v>1511</v>
      </c>
      <c r="AZ58" s="290">
        <v>331</v>
      </c>
      <c r="BA58" s="290">
        <v>227</v>
      </c>
      <c r="BB58" s="290">
        <v>0</v>
      </c>
      <c r="BC58" s="290">
        <v>1757.8865900000001</v>
      </c>
      <c r="BD58" s="290">
        <v>712</v>
      </c>
      <c r="BE58" s="290">
        <v>259713.35</v>
      </c>
      <c r="BF58" s="290">
        <v>0</v>
      </c>
      <c r="BG58" s="290">
        <v>382</v>
      </c>
      <c r="BH58" s="290">
        <v>55</v>
      </c>
      <c r="BI58" s="290">
        <v>3168.49242</v>
      </c>
      <c r="BJ58" s="290">
        <v>0</v>
      </c>
      <c r="BK58" s="290">
        <f t="shared" si="0"/>
        <v>0</v>
      </c>
      <c r="BL58" s="290">
        <v>0</v>
      </c>
      <c r="BM58" s="290">
        <v>0</v>
      </c>
      <c r="BN58" s="290">
        <v>6064</v>
      </c>
      <c r="BO58" s="290">
        <v>1468</v>
      </c>
      <c r="BP58" s="290">
        <v>7</v>
      </c>
      <c r="BQ58" s="290">
        <v>770</v>
      </c>
      <c r="BR58" s="290">
        <v>-4</v>
      </c>
      <c r="BS58" s="290">
        <v>142</v>
      </c>
      <c r="BT58" s="290">
        <v>0</v>
      </c>
      <c r="BU58" s="290">
        <v>0</v>
      </c>
      <c r="BV58" s="290">
        <v>123</v>
      </c>
      <c r="BW58" s="290"/>
      <c r="BX58" s="290"/>
      <c r="BY58" s="290"/>
    </row>
    <row r="59" spans="1:77" ht="13">
      <c r="A59" s="1">
        <v>1815</v>
      </c>
      <c r="B59" s="2" t="s">
        <v>179</v>
      </c>
      <c r="C59" s="289">
        <v>1200</v>
      </c>
      <c r="D59" s="290">
        <v>23</v>
      </c>
      <c r="E59" s="290">
        <v>39</v>
      </c>
      <c r="F59" s="290">
        <v>129</v>
      </c>
      <c r="G59" s="290">
        <v>105</v>
      </c>
      <c r="H59" s="290">
        <v>640</v>
      </c>
      <c r="I59" s="290">
        <v>203</v>
      </c>
      <c r="J59" s="290">
        <v>61</v>
      </c>
      <c r="K59" s="290">
        <v>19</v>
      </c>
      <c r="L59" s="290">
        <v>8</v>
      </c>
      <c r="M59" s="290">
        <v>163</v>
      </c>
      <c r="N59" s="290">
        <v>0</v>
      </c>
      <c r="O59" s="290">
        <v>14</v>
      </c>
      <c r="P59" s="624">
        <v>5736.6856666699996</v>
      </c>
      <c r="Q59" s="624">
        <v>5910.7250000000004</v>
      </c>
      <c r="R59" s="624">
        <v>3</v>
      </c>
      <c r="S59" s="290">
        <v>0</v>
      </c>
      <c r="T59" s="290">
        <v>90</v>
      </c>
      <c r="U59" s="958">
        <v>1.3288743243013432E-3</v>
      </c>
      <c r="V59" s="290">
        <v>719.13707456999998</v>
      </c>
      <c r="W59" s="765">
        <v>1</v>
      </c>
      <c r="X59" s="290">
        <v>0</v>
      </c>
      <c r="Y59" s="290">
        <v>427.12680399999999</v>
      </c>
      <c r="Z59" s="290">
        <v>27180</v>
      </c>
      <c r="AA59" s="290">
        <v>0</v>
      </c>
      <c r="AB59" s="290">
        <v>25</v>
      </c>
      <c r="AC59" s="290">
        <v>221.80500000000001</v>
      </c>
      <c r="AD59" s="290">
        <v>167</v>
      </c>
      <c r="AE59" s="290">
        <v>0</v>
      </c>
      <c r="AF59" s="290">
        <v>0</v>
      </c>
      <c r="AG59" s="290">
        <v>1219</v>
      </c>
      <c r="AH59" s="290">
        <v>180.01414958000001</v>
      </c>
      <c r="AI59" s="290">
        <v>400</v>
      </c>
      <c r="AJ59" s="290">
        <v>0</v>
      </c>
      <c r="AK59" s="290">
        <v>0</v>
      </c>
      <c r="AL59" s="290">
        <v>2232</v>
      </c>
      <c r="AM59" s="957">
        <v>1.0113820000000001E-2</v>
      </c>
      <c r="AN59" s="290">
        <v>0</v>
      </c>
      <c r="AO59" s="290">
        <v>-214.98201399999999</v>
      </c>
      <c r="AP59" s="290">
        <v>0</v>
      </c>
      <c r="AQ59" s="290">
        <v>0</v>
      </c>
      <c r="AR59" s="290">
        <v>-65.662000399999997</v>
      </c>
      <c r="AS59" s="290">
        <v>97</v>
      </c>
      <c r="AT59" s="290">
        <v>51</v>
      </c>
      <c r="AU59" s="290">
        <v>7</v>
      </c>
      <c r="AV59" s="766">
        <v>55482</v>
      </c>
      <c r="AW59" s="290">
        <v>290.83699999999999</v>
      </c>
      <c r="AX59" s="766">
        <v>10.583349999999999</v>
      </c>
      <c r="AY59" s="290">
        <v>205</v>
      </c>
      <c r="AZ59" s="290">
        <v>43</v>
      </c>
      <c r="BA59" s="290">
        <v>26</v>
      </c>
      <c r="BB59" s="290">
        <v>5875</v>
      </c>
      <c r="BC59" s="290">
        <v>587.89948800000002</v>
      </c>
      <c r="BD59" s="290">
        <v>224</v>
      </c>
      <c r="BE59" s="290">
        <v>59372.738100000002</v>
      </c>
      <c r="BF59" s="290">
        <v>0</v>
      </c>
      <c r="BG59" s="290">
        <v>97</v>
      </c>
      <c r="BH59" s="290">
        <v>14</v>
      </c>
      <c r="BI59" s="290">
        <v>828.94595400000003</v>
      </c>
      <c r="BJ59" s="290">
        <v>0</v>
      </c>
      <c r="BK59" s="290">
        <f t="shared" si="0"/>
        <v>0</v>
      </c>
      <c r="BL59" s="290">
        <v>0</v>
      </c>
      <c r="BM59" s="290">
        <v>0</v>
      </c>
      <c r="BN59" s="290">
        <v>1100</v>
      </c>
      <c r="BO59" s="290">
        <v>196</v>
      </c>
      <c r="BP59" s="290">
        <v>1</v>
      </c>
      <c r="BQ59" s="290">
        <v>119</v>
      </c>
      <c r="BR59" s="290">
        <v>-1</v>
      </c>
      <c r="BS59" s="290">
        <v>50</v>
      </c>
      <c r="BT59" s="290">
        <v>0</v>
      </c>
      <c r="BU59" s="290">
        <v>0</v>
      </c>
      <c r="BV59" s="290">
        <v>31</v>
      </c>
      <c r="BW59" s="290"/>
      <c r="BX59" s="290"/>
      <c r="BY59" s="290"/>
    </row>
    <row r="60" spans="1:77" ht="13">
      <c r="A60" s="1">
        <v>1816</v>
      </c>
      <c r="B60" s="2" t="s">
        <v>180</v>
      </c>
      <c r="C60" s="289">
        <v>462</v>
      </c>
      <c r="D60" s="290">
        <v>9</v>
      </c>
      <c r="E60" s="290">
        <v>21</v>
      </c>
      <c r="F60" s="290">
        <v>49</v>
      </c>
      <c r="G60" s="290">
        <v>47</v>
      </c>
      <c r="H60" s="290">
        <v>251</v>
      </c>
      <c r="I60" s="290">
        <v>91</v>
      </c>
      <c r="J60" s="290">
        <v>24</v>
      </c>
      <c r="K60" s="290">
        <v>4</v>
      </c>
      <c r="L60" s="290">
        <v>5</v>
      </c>
      <c r="M60" s="290">
        <v>53</v>
      </c>
      <c r="N60" s="290">
        <v>0</v>
      </c>
      <c r="O60" s="290">
        <v>12</v>
      </c>
      <c r="P60" s="624">
        <v>3388.7956666700002</v>
      </c>
      <c r="Q60" s="624">
        <v>5416.8710000000001</v>
      </c>
      <c r="R60" s="624">
        <v>1</v>
      </c>
      <c r="S60" s="290">
        <v>0</v>
      </c>
      <c r="T60" s="290">
        <v>45</v>
      </c>
      <c r="U60" s="958">
        <v>8.2332564300413179E-4</v>
      </c>
      <c r="V60" s="290">
        <v>389.82763433000002</v>
      </c>
      <c r="W60" s="765">
        <v>1</v>
      </c>
      <c r="X60" s="290">
        <v>0</v>
      </c>
      <c r="Y60" s="290">
        <v>427.12680399999999</v>
      </c>
      <c r="Z60" s="290">
        <v>12272</v>
      </c>
      <c r="AA60" s="290">
        <v>0</v>
      </c>
      <c r="AB60" s="290">
        <v>11</v>
      </c>
      <c r="AC60" s="290">
        <v>120.616</v>
      </c>
      <c r="AD60" s="290">
        <v>167</v>
      </c>
      <c r="AE60" s="290">
        <v>0</v>
      </c>
      <c r="AF60" s="290">
        <v>0</v>
      </c>
      <c r="AG60" s="290">
        <v>496</v>
      </c>
      <c r="AH60" s="290">
        <v>100</v>
      </c>
      <c r="AI60" s="290">
        <v>0</v>
      </c>
      <c r="AJ60" s="290">
        <v>0</v>
      </c>
      <c r="AK60" s="290">
        <v>0</v>
      </c>
      <c r="AL60" s="290">
        <v>901</v>
      </c>
      <c r="AM60" s="957">
        <v>0</v>
      </c>
      <c r="AN60" s="290">
        <v>0</v>
      </c>
      <c r="AO60" s="290">
        <v>-116.536795</v>
      </c>
      <c r="AP60" s="290">
        <v>0</v>
      </c>
      <c r="AQ60" s="290">
        <v>0</v>
      </c>
      <c r="AR60" s="290">
        <v>-26.717269999999999</v>
      </c>
      <c r="AS60" s="290">
        <v>103</v>
      </c>
      <c r="AT60" s="290">
        <v>18</v>
      </c>
      <c r="AU60" s="290">
        <v>0</v>
      </c>
      <c r="AV60" s="766">
        <v>37544</v>
      </c>
      <c r="AW60" s="290">
        <v>203.65199999999999</v>
      </c>
      <c r="AX60" s="766">
        <v>4.8749500000000001</v>
      </c>
      <c r="AY60" s="290">
        <v>70</v>
      </c>
      <c r="AZ60" s="290">
        <v>39</v>
      </c>
      <c r="BA60" s="290">
        <v>12</v>
      </c>
      <c r="BB60" s="290">
        <v>5875</v>
      </c>
      <c r="BC60" s="290">
        <v>514.28399999999999</v>
      </c>
      <c r="BD60" s="290">
        <v>167</v>
      </c>
      <c r="BE60" s="290">
        <v>39667.778299999998</v>
      </c>
      <c r="BF60" s="290">
        <v>0</v>
      </c>
      <c r="BG60" s="290">
        <v>65</v>
      </c>
      <c r="BH60" s="290">
        <v>9</v>
      </c>
      <c r="BI60" s="290">
        <v>647.74280399999998</v>
      </c>
      <c r="BJ60" s="290">
        <v>0</v>
      </c>
      <c r="BK60" s="290">
        <f t="shared" si="0"/>
        <v>0</v>
      </c>
      <c r="BL60" s="290">
        <v>0</v>
      </c>
      <c r="BM60" s="290">
        <v>0</v>
      </c>
      <c r="BN60" s="290">
        <v>596</v>
      </c>
      <c r="BO60" s="290">
        <v>102</v>
      </c>
      <c r="BP60" s="290">
        <v>0</v>
      </c>
      <c r="BQ60" s="290">
        <v>49</v>
      </c>
      <c r="BR60" s="290">
        <v>0</v>
      </c>
      <c r="BS60" s="290">
        <v>50</v>
      </c>
      <c r="BT60" s="290">
        <v>0</v>
      </c>
      <c r="BU60" s="290">
        <v>0</v>
      </c>
      <c r="BV60" s="290">
        <v>21</v>
      </c>
      <c r="BW60" s="290"/>
      <c r="BX60" s="290"/>
      <c r="BY60" s="290"/>
    </row>
    <row r="61" spans="1:77" ht="13">
      <c r="A61" s="1">
        <v>1818</v>
      </c>
      <c r="B61" s="2" t="s">
        <v>87</v>
      </c>
      <c r="C61" s="289">
        <v>1777</v>
      </c>
      <c r="D61" s="290">
        <v>46</v>
      </c>
      <c r="E61" s="290">
        <v>79</v>
      </c>
      <c r="F61" s="290">
        <v>201</v>
      </c>
      <c r="G61" s="290">
        <v>109</v>
      </c>
      <c r="H61" s="290">
        <v>996</v>
      </c>
      <c r="I61" s="290">
        <v>264</v>
      </c>
      <c r="J61" s="290">
        <v>63</v>
      </c>
      <c r="K61" s="290">
        <v>19</v>
      </c>
      <c r="L61" s="290">
        <v>16</v>
      </c>
      <c r="M61" s="290">
        <v>183</v>
      </c>
      <c r="N61" s="290">
        <v>18</v>
      </c>
      <c r="O61" s="290">
        <v>44</v>
      </c>
      <c r="P61" s="624">
        <v>8946.5246666700004</v>
      </c>
      <c r="Q61" s="624">
        <v>4436.2443333299998</v>
      </c>
      <c r="R61" s="624">
        <v>8</v>
      </c>
      <c r="S61" s="290">
        <v>0</v>
      </c>
      <c r="T61" s="290">
        <v>159</v>
      </c>
      <c r="U61" s="958">
        <v>6.6139692874582641E-4</v>
      </c>
      <c r="V61" s="290">
        <v>997.52893949999998</v>
      </c>
      <c r="W61" s="765">
        <v>1</v>
      </c>
      <c r="X61" s="290">
        <v>0</v>
      </c>
      <c r="Y61" s="290">
        <v>427.12680399999999</v>
      </c>
      <c r="Z61" s="290">
        <v>50022</v>
      </c>
      <c r="AA61" s="290">
        <v>0</v>
      </c>
      <c r="AB61" s="290">
        <v>57</v>
      </c>
      <c r="AC61" s="290">
        <v>311.22000000000003</v>
      </c>
      <c r="AD61" s="290">
        <v>167</v>
      </c>
      <c r="AE61" s="290">
        <v>0</v>
      </c>
      <c r="AF61" s="290">
        <v>0</v>
      </c>
      <c r="AG61" s="290">
        <v>1777</v>
      </c>
      <c r="AH61" s="290">
        <v>281.94987284000001</v>
      </c>
      <c r="AI61" s="290">
        <v>0</v>
      </c>
      <c r="AJ61" s="290">
        <v>0</v>
      </c>
      <c r="AK61" s="290">
        <v>0</v>
      </c>
      <c r="AL61" s="290">
        <v>3225</v>
      </c>
      <c r="AM61" s="957">
        <v>5.3225599999999998E-2</v>
      </c>
      <c r="AN61" s="290">
        <v>0</v>
      </c>
      <c r="AO61" s="290">
        <v>-298.20570800000002</v>
      </c>
      <c r="AP61" s="290">
        <v>0</v>
      </c>
      <c r="AQ61" s="290">
        <v>0</v>
      </c>
      <c r="AR61" s="290">
        <v>-95.718929099999997</v>
      </c>
      <c r="AS61" s="290">
        <v>429</v>
      </c>
      <c r="AT61" s="290">
        <v>64</v>
      </c>
      <c r="AU61" s="290">
        <v>31</v>
      </c>
      <c r="AV61" s="766">
        <v>74031</v>
      </c>
      <c r="AW61" s="290">
        <v>358.12799999999999</v>
      </c>
      <c r="AX61" s="766">
        <v>17.041650000000001</v>
      </c>
      <c r="AY61" s="290">
        <v>219</v>
      </c>
      <c r="AZ61" s="290">
        <v>85</v>
      </c>
      <c r="BA61" s="290">
        <v>36</v>
      </c>
      <c r="BB61" s="290">
        <v>5875</v>
      </c>
      <c r="BC61" s="290">
        <v>679.23936300000003</v>
      </c>
      <c r="BD61" s="290">
        <v>269</v>
      </c>
      <c r="BE61" s="290">
        <v>77520.178</v>
      </c>
      <c r="BF61" s="290">
        <v>0</v>
      </c>
      <c r="BG61" s="290">
        <v>117</v>
      </c>
      <c r="BH61" s="290">
        <v>17</v>
      </c>
      <c r="BI61" s="290">
        <v>1020.29668</v>
      </c>
      <c r="BJ61" s="290">
        <v>0</v>
      </c>
      <c r="BK61" s="290">
        <f t="shared" si="0"/>
        <v>0</v>
      </c>
      <c r="BL61" s="290">
        <v>0</v>
      </c>
      <c r="BM61" s="290">
        <v>0</v>
      </c>
      <c r="BN61" s="290">
        <v>1526</v>
      </c>
      <c r="BO61" s="290">
        <v>336</v>
      </c>
      <c r="BP61" s="290">
        <v>2</v>
      </c>
      <c r="BQ61" s="290">
        <v>175</v>
      </c>
      <c r="BR61" s="290">
        <v>-1</v>
      </c>
      <c r="BS61" s="290">
        <v>92</v>
      </c>
      <c r="BT61" s="290">
        <v>0</v>
      </c>
      <c r="BU61" s="290">
        <v>0</v>
      </c>
      <c r="BV61" s="290">
        <v>38</v>
      </c>
      <c r="BW61" s="290"/>
      <c r="BX61" s="290"/>
      <c r="BY61" s="290"/>
    </row>
    <row r="62" spans="1:77" ht="13">
      <c r="A62" s="1">
        <v>1820</v>
      </c>
      <c r="B62" s="2" t="s">
        <v>181</v>
      </c>
      <c r="C62" s="289">
        <v>7447</v>
      </c>
      <c r="D62" s="290">
        <v>136</v>
      </c>
      <c r="E62" s="290">
        <v>311</v>
      </c>
      <c r="F62" s="290">
        <v>835</v>
      </c>
      <c r="G62" s="290">
        <v>686</v>
      </c>
      <c r="H62" s="290">
        <v>4151</v>
      </c>
      <c r="I62" s="290">
        <v>1015</v>
      </c>
      <c r="J62" s="290">
        <v>276</v>
      </c>
      <c r="K62" s="290">
        <v>57</v>
      </c>
      <c r="L62" s="290">
        <v>62</v>
      </c>
      <c r="M62" s="290">
        <v>586</v>
      </c>
      <c r="N62" s="290">
        <v>157</v>
      </c>
      <c r="O62" s="290">
        <v>91</v>
      </c>
      <c r="P62" s="624">
        <v>43917.349333329999</v>
      </c>
      <c r="Q62" s="624">
        <v>13427.271000000001</v>
      </c>
      <c r="R62" s="624">
        <v>41</v>
      </c>
      <c r="S62" s="290">
        <v>0</v>
      </c>
      <c r="T62" s="290">
        <v>614</v>
      </c>
      <c r="U62" s="958">
        <v>1.7751935320330658E-3</v>
      </c>
      <c r="V62" s="290">
        <v>3516.0161732000001</v>
      </c>
      <c r="W62" s="765">
        <v>0.60523755999999995</v>
      </c>
      <c r="X62" s="290">
        <v>0</v>
      </c>
      <c r="Y62" s="290">
        <v>427.12680399999999</v>
      </c>
      <c r="Z62" s="290">
        <v>192056</v>
      </c>
      <c r="AA62" s="290">
        <v>0</v>
      </c>
      <c r="AB62" s="290">
        <v>196</v>
      </c>
      <c r="AC62" s="290">
        <v>1136.3589999999999</v>
      </c>
      <c r="AD62" s="290">
        <v>333</v>
      </c>
      <c r="AE62" s="290">
        <v>0</v>
      </c>
      <c r="AF62" s="290">
        <v>0</v>
      </c>
      <c r="AG62" s="290">
        <v>7467</v>
      </c>
      <c r="AH62" s="290">
        <v>1212.3844532000001</v>
      </c>
      <c r="AI62" s="290">
        <v>4235</v>
      </c>
      <c r="AJ62" s="290">
        <v>0</v>
      </c>
      <c r="AK62" s="290">
        <v>0</v>
      </c>
      <c r="AL62" s="290">
        <v>13436</v>
      </c>
      <c r="AM62" s="957">
        <v>9.2538999999999996E-2</v>
      </c>
      <c r="AN62" s="290">
        <v>0</v>
      </c>
      <c r="AO62" s="290">
        <v>-1051.0934099999999</v>
      </c>
      <c r="AP62" s="290">
        <v>0</v>
      </c>
      <c r="AQ62" s="290">
        <v>0</v>
      </c>
      <c r="AR62" s="290">
        <v>-402.21341799999999</v>
      </c>
      <c r="AS62" s="290">
        <v>634</v>
      </c>
      <c r="AT62" s="290">
        <v>300</v>
      </c>
      <c r="AU62" s="290">
        <v>64</v>
      </c>
      <c r="AV62" s="766">
        <v>215509</v>
      </c>
      <c r="AW62" s="290">
        <v>1021.134</v>
      </c>
      <c r="AX62" s="766">
        <v>52.5</v>
      </c>
      <c r="AY62" s="290">
        <v>1649</v>
      </c>
      <c r="AZ62" s="290">
        <v>265</v>
      </c>
      <c r="BA62" s="290">
        <v>187</v>
      </c>
      <c r="BB62" s="290">
        <v>0</v>
      </c>
      <c r="BC62" s="290">
        <v>1619.13365</v>
      </c>
      <c r="BD62" s="290">
        <v>669</v>
      </c>
      <c r="BE62" s="290">
        <v>217965.76</v>
      </c>
      <c r="BF62" s="290">
        <v>0</v>
      </c>
      <c r="BG62" s="290">
        <v>350</v>
      </c>
      <c r="BH62" s="290">
        <v>50</v>
      </c>
      <c r="BI62" s="290">
        <v>2775.8702600000001</v>
      </c>
      <c r="BJ62" s="290">
        <v>0</v>
      </c>
      <c r="BK62" s="290">
        <f t="shared" si="0"/>
        <v>0</v>
      </c>
      <c r="BL62" s="290">
        <v>0</v>
      </c>
      <c r="BM62" s="290">
        <v>0</v>
      </c>
      <c r="BN62" s="290">
        <v>5378</v>
      </c>
      <c r="BO62" s="290">
        <v>1298</v>
      </c>
      <c r="BP62" s="290">
        <v>6</v>
      </c>
      <c r="BQ62" s="290">
        <v>722</v>
      </c>
      <c r="BR62" s="290">
        <v>-3</v>
      </c>
      <c r="BS62" s="290">
        <v>105</v>
      </c>
      <c r="BT62" s="290">
        <v>0</v>
      </c>
      <c r="BU62" s="290">
        <v>0</v>
      </c>
      <c r="BV62" s="290">
        <v>113</v>
      </c>
      <c r="BW62" s="290"/>
      <c r="BX62" s="290"/>
      <c r="BY62" s="290"/>
    </row>
    <row r="63" spans="1:77" ht="13">
      <c r="A63" s="1">
        <v>1822</v>
      </c>
      <c r="B63" s="2" t="s">
        <v>182</v>
      </c>
      <c r="C63" s="289">
        <v>2294</v>
      </c>
      <c r="D63" s="290">
        <v>60</v>
      </c>
      <c r="E63" s="290">
        <v>142</v>
      </c>
      <c r="F63" s="290">
        <v>267</v>
      </c>
      <c r="G63" s="290">
        <v>169</v>
      </c>
      <c r="H63" s="290">
        <v>1283</v>
      </c>
      <c r="I63" s="290">
        <v>272</v>
      </c>
      <c r="J63" s="290">
        <v>87</v>
      </c>
      <c r="K63" s="290">
        <v>33</v>
      </c>
      <c r="L63" s="290">
        <v>18</v>
      </c>
      <c r="M63" s="290">
        <v>202</v>
      </c>
      <c r="N63" s="290">
        <v>45</v>
      </c>
      <c r="O63" s="290">
        <v>58</v>
      </c>
      <c r="P63" s="624">
        <v>17895.933000000001</v>
      </c>
      <c r="Q63" s="624">
        <v>9318.2076666699995</v>
      </c>
      <c r="R63" s="624">
        <v>9</v>
      </c>
      <c r="S63" s="290">
        <v>0</v>
      </c>
      <c r="T63" s="290">
        <v>180</v>
      </c>
      <c r="U63" s="958">
        <v>1.8662907205691365E-3</v>
      </c>
      <c r="V63" s="290">
        <v>1303.18459005</v>
      </c>
      <c r="W63" s="765">
        <v>0.84209502000000003</v>
      </c>
      <c r="X63" s="290">
        <v>0</v>
      </c>
      <c r="Y63" s="290">
        <v>427.12680399999999</v>
      </c>
      <c r="Z63" s="290">
        <v>50227</v>
      </c>
      <c r="AA63" s="290">
        <v>0</v>
      </c>
      <c r="AB63" s="290">
        <v>56</v>
      </c>
      <c r="AC63" s="290">
        <v>375.25900000000001</v>
      </c>
      <c r="AD63" s="290">
        <v>167</v>
      </c>
      <c r="AE63" s="290">
        <v>198</v>
      </c>
      <c r="AF63" s="290">
        <v>0</v>
      </c>
      <c r="AG63" s="290">
        <v>2313</v>
      </c>
      <c r="AH63" s="290">
        <v>415.69532534000001</v>
      </c>
      <c r="AI63" s="290">
        <v>1500</v>
      </c>
      <c r="AJ63" s="290">
        <v>0</v>
      </c>
      <c r="AK63" s="290">
        <v>0</v>
      </c>
      <c r="AL63" s="290">
        <v>4204</v>
      </c>
      <c r="AM63" s="957">
        <v>4.3489890000000003E-2</v>
      </c>
      <c r="AN63" s="290">
        <v>0</v>
      </c>
      <c r="AO63" s="290">
        <v>-389.57975800000003</v>
      </c>
      <c r="AP63" s="290">
        <v>0</v>
      </c>
      <c r="AQ63" s="290">
        <v>0</v>
      </c>
      <c r="AR63" s="290">
        <v>-124.590818</v>
      </c>
      <c r="AS63" s="290">
        <v>635</v>
      </c>
      <c r="AT63" s="290">
        <v>88</v>
      </c>
      <c r="AU63" s="290">
        <v>19</v>
      </c>
      <c r="AV63" s="766">
        <v>96559</v>
      </c>
      <c r="AW63" s="290">
        <v>418.47699999999998</v>
      </c>
      <c r="AX63" s="766">
        <v>25.666650000000001</v>
      </c>
      <c r="AY63" s="290">
        <v>413</v>
      </c>
      <c r="AZ63" s="290">
        <v>140</v>
      </c>
      <c r="BA63" s="290">
        <v>57</v>
      </c>
      <c r="BB63" s="290">
        <v>5875</v>
      </c>
      <c r="BC63" s="290">
        <v>802.652782</v>
      </c>
      <c r="BD63" s="290">
        <v>292</v>
      </c>
      <c r="BE63" s="290">
        <v>99799.937300000005</v>
      </c>
      <c r="BF63" s="290">
        <v>0</v>
      </c>
      <c r="BG63" s="290">
        <v>138</v>
      </c>
      <c r="BH63" s="290">
        <v>20</v>
      </c>
      <c r="BI63" s="290">
        <v>1218.08113</v>
      </c>
      <c r="BJ63" s="290">
        <v>0</v>
      </c>
      <c r="BK63" s="290">
        <f t="shared" si="0"/>
        <v>0</v>
      </c>
      <c r="BL63" s="290">
        <v>0</v>
      </c>
      <c r="BM63" s="290">
        <v>0</v>
      </c>
      <c r="BN63" s="290">
        <v>1993</v>
      </c>
      <c r="BO63" s="290">
        <v>539</v>
      </c>
      <c r="BP63" s="290">
        <v>3</v>
      </c>
      <c r="BQ63" s="290">
        <v>224</v>
      </c>
      <c r="BR63" s="290">
        <v>-1</v>
      </c>
      <c r="BS63" s="290">
        <v>50</v>
      </c>
      <c r="BT63" s="290">
        <v>0</v>
      </c>
      <c r="BU63" s="290">
        <v>0</v>
      </c>
      <c r="BV63" s="290">
        <v>44</v>
      </c>
      <c r="BW63" s="290"/>
      <c r="BX63" s="290"/>
      <c r="BY63" s="290"/>
    </row>
    <row r="64" spans="1:77" ht="13">
      <c r="A64" s="1">
        <v>1824</v>
      </c>
      <c r="B64" s="2" t="s">
        <v>183</v>
      </c>
      <c r="C64" s="289">
        <v>13278</v>
      </c>
      <c r="D64" s="290">
        <v>238</v>
      </c>
      <c r="E64" s="290">
        <v>550</v>
      </c>
      <c r="F64" s="290">
        <v>1456</v>
      </c>
      <c r="G64" s="290">
        <v>1157</v>
      </c>
      <c r="H64" s="290">
        <v>7374</v>
      </c>
      <c r="I64" s="290">
        <v>1790</v>
      </c>
      <c r="J64" s="290">
        <v>627</v>
      </c>
      <c r="K64" s="290">
        <v>153</v>
      </c>
      <c r="L64" s="290">
        <v>100</v>
      </c>
      <c r="M64" s="290">
        <v>1156</v>
      </c>
      <c r="N64" s="290">
        <v>161</v>
      </c>
      <c r="O64" s="290">
        <v>75</v>
      </c>
      <c r="P64" s="624">
        <v>52558.589</v>
      </c>
      <c r="Q64" s="624">
        <v>27184.063333329999</v>
      </c>
      <c r="R64" s="624">
        <v>80</v>
      </c>
      <c r="S64" s="290">
        <v>0</v>
      </c>
      <c r="T64" s="290">
        <v>1177</v>
      </c>
      <c r="U64" s="958">
        <v>2.7532188251146519E-3</v>
      </c>
      <c r="V64" s="290">
        <v>6335.0233773600003</v>
      </c>
      <c r="W64" s="765">
        <v>0.59502314999999995</v>
      </c>
      <c r="X64" s="290">
        <v>0</v>
      </c>
      <c r="Y64" s="290">
        <v>427.12680399999999</v>
      </c>
      <c r="Z64" s="290">
        <v>347307</v>
      </c>
      <c r="AA64" s="290">
        <v>3160</v>
      </c>
      <c r="AB64" s="290">
        <v>389</v>
      </c>
      <c r="AC64" s="290">
        <v>1894.1089999999999</v>
      </c>
      <c r="AD64" s="290">
        <v>333</v>
      </c>
      <c r="AE64" s="290">
        <v>0</v>
      </c>
      <c r="AF64" s="290">
        <v>0</v>
      </c>
      <c r="AG64" s="290">
        <v>13345</v>
      </c>
      <c r="AH64" s="290">
        <v>2111.7322527000001</v>
      </c>
      <c r="AI64" s="290">
        <v>1160</v>
      </c>
      <c r="AJ64" s="290">
        <v>0</v>
      </c>
      <c r="AK64" s="290">
        <v>5317.2209999999995</v>
      </c>
      <c r="AL64" s="290">
        <v>24286</v>
      </c>
      <c r="AM64" s="957">
        <v>0.10798965000000001</v>
      </c>
      <c r="AN64" s="290">
        <v>0</v>
      </c>
      <c r="AO64" s="290">
        <v>-1893.81987</v>
      </c>
      <c r="AP64" s="290">
        <v>0</v>
      </c>
      <c r="AQ64" s="290">
        <v>0</v>
      </c>
      <c r="AR64" s="290">
        <v>-705.32898999999998</v>
      </c>
      <c r="AS64" s="290">
        <v>6062</v>
      </c>
      <c r="AT64" s="290">
        <v>713</v>
      </c>
      <c r="AU64" s="290">
        <v>76</v>
      </c>
      <c r="AV64" s="766">
        <v>385788</v>
      </c>
      <c r="AW64" s="290">
        <v>1704.0340000000001</v>
      </c>
      <c r="AX64" s="766">
        <v>90.208349999999996</v>
      </c>
      <c r="AY64" s="290">
        <v>2588</v>
      </c>
      <c r="AZ64" s="290">
        <v>358</v>
      </c>
      <c r="BA64" s="290">
        <v>292</v>
      </c>
      <c r="BB64" s="290">
        <v>0</v>
      </c>
      <c r="BC64" s="290">
        <v>2495.5781000000002</v>
      </c>
      <c r="BD64" s="290">
        <v>1133</v>
      </c>
      <c r="BE64" s="290">
        <v>400784.647</v>
      </c>
      <c r="BF64" s="290">
        <v>0</v>
      </c>
      <c r="BG64" s="290">
        <v>610</v>
      </c>
      <c r="BH64" s="290">
        <v>87</v>
      </c>
      <c r="BI64" s="290">
        <v>9750.1890600000006</v>
      </c>
      <c r="BJ64" s="290">
        <v>0</v>
      </c>
      <c r="BK64" s="290">
        <f t="shared" si="0"/>
        <v>0</v>
      </c>
      <c r="BL64" s="290">
        <v>0</v>
      </c>
      <c r="BM64" s="290">
        <v>0</v>
      </c>
      <c r="BN64" s="290">
        <v>9690</v>
      </c>
      <c r="BO64" s="290">
        <v>2238</v>
      </c>
      <c r="BP64" s="290">
        <v>11</v>
      </c>
      <c r="BQ64" s="290">
        <v>1306</v>
      </c>
      <c r="BR64" s="290">
        <v>-6</v>
      </c>
      <c r="BS64" s="290">
        <v>114</v>
      </c>
      <c r="BT64" s="290">
        <v>0</v>
      </c>
      <c r="BU64" s="290">
        <v>0</v>
      </c>
      <c r="BV64" s="290">
        <v>196</v>
      </c>
      <c r="BW64" s="290"/>
      <c r="BX64" s="290"/>
      <c r="BY64" s="290"/>
    </row>
    <row r="65" spans="1:77" ht="13">
      <c r="A65" s="1">
        <v>1825</v>
      </c>
      <c r="B65" s="2" t="s">
        <v>184</v>
      </c>
      <c r="C65" s="289">
        <v>1482</v>
      </c>
      <c r="D65" s="290">
        <v>29</v>
      </c>
      <c r="E65" s="290">
        <v>46</v>
      </c>
      <c r="F65" s="290">
        <v>172</v>
      </c>
      <c r="G65" s="290">
        <v>145</v>
      </c>
      <c r="H65" s="290">
        <v>779</v>
      </c>
      <c r="I65" s="290">
        <v>225</v>
      </c>
      <c r="J65" s="290">
        <v>85</v>
      </c>
      <c r="K65" s="290">
        <v>23</v>
      </c>
      <c r="L65" s="290">
        <v>9</v>
      </c>
      <c r="M65" s="290">
        <v>156</v>
      </c>
      <c r="N65" s="290">
        <v>0</v>
      </c>
      <c r="O65" s="290">
        <v>17</v>
      </c>
      <c r="P65" s="624">
        <v>10960.75566667</v>
      </c>
      <c r="Q65" s="624">
        <v>7951.1446666700003</v>
      </c>
      <c r="R65" s="624">
        <v>9</v>
      </c>
      <c r="S65" s="290">
        <v>0</v>
      </c>
      <c r="T65" s="290">
        <v>121</v>
      </c>
      <c r="U65" s="958">
        <v>1.2216350391732363E-3</v>
      </c>
      <c r="V65" s="290">
        <v>883.66851827999994</v>
      </c>
      <c r="W65" s="765">
        <v>1</v>
      </c>
      <c r="X65" s="290">
        <v>0</v>
      </c>
      <c r="Y65" s="290">
        <v>427.12680399999999</v>
      </c>
      <c r="Z65" s="290">
        <v>34842</v>
      </c>
      <c r="AA65" s="290">
        <v>85</v>
      </c>
      <c r="AB65" s="290">
        <v>43</v>
      </c>
      <c r="AC65" s="290">
        <v>263.52100000000002</v>
      </c>
      <c r="AD65" s="290">
        <v>167</v>
      </c>
      <c r="AE65" s="290">
        <v>0</v>
      </c>
      <c r="AF65" s="290">
        <v>0</v>
      </c>
      <c r="AG65" s="290">
        <v>1504</v>
      </c>
      <c r="AH65" s="290">
        <v>238.57296932</v>
      </c>
      <c r="AI65" s="290">
        <v>1620</v>
      </c>
      <c r="AJ65" s="290">
        <v>0</v>
      </c>
      <c r="AK65" s="290">
        <v>0</v>
      </c>
      <c r="AL65" s="290">
        <v>2705</v>
      </c>
      <c r="AM65" s="957">
        <v>7.9827800000000001E-3</v>
      </c>
      <c r="AN65" s="290">
        <v>0</v>
      </c>
      <c r="AO65" s="290">
        <v>-264.16777000000002</v>
      </c>
      <c r="AP65" s="290">
        <v>0</v>
      </c>
      <c r="AQ65" s="290">
        <v>0</v>
      </c>
      <c r="AR65" s="290">
        <v>-81.013657499999994</v>
      </c>
      <c r="AS65" s="290">
        <v>142</v>
      </c>
      <c r="AT65" s="290">
        <v>62</v>
      </c>
      <c r="AU65" s="290">
        <v>7</v>
      </c>
      <c r="AV65" s="766">
        <v>68827</v>
      </c>
      <c r="AW65" s="290">
        <v>323.66399999999999</v>
      </c>
      <c r="AX65" s="766">
        <v>9.5832999999999995</v>
      </c>
      <c r="AY65" s="290">
        <v>194</v>
      </c>
      <c r="AZ65" s="290">
        <v>41</v>
      </c>
      <c r="BA65" s="290">
        <v>32</v>
      </c>
      <c r="BB65" s="290">
        <v>5875</v>
      </c>
      <c r="BC65" s="290">
        <v>648.56032100000004</v>
      </c>
      <c r="BD65" s="290">
        <v>247</v>
      </c>
      <c r="BE65" s="290">
        <v>71303.800199999998</v>
      </c>
      <c r="BF65" s="290">
        <v>0</v>
      </c>
      <c r="BG65" s="290">
        <v>113</v>
      </c>
      <c r="BH65" s="290">
        <v>16</v>
      </c>
      <c r="BI65" s="290">
        <v>929.22077300000001</v>
      </c>
      <c r="BJ65" s="290">
        <v>0</v>
      </c>
      <c r="BK65" s="290">
        <f t="shared" si="0"/>
        <v>0</v>
      </c>
      <c r="BL65" s="290">
        <v>0</v>
      </c>
      <c r="BM65" s="290">
        <v>0</v>
      </c>
      <c r="BN65" s="290">
        <v>1352</v>
      </c>
      <c r="BO65" s="290">
        <v>232</v>
      </c>
      <c r="BP65" s="290">
        <v>1</v>
      </c>
      <c r="BQ65" s="290">
        <v>145</v>
      </c>
      <c r="BR65" s="290">
        <v>-1</v>
      </c>
      <c r="BS65" s="290">
        <v>50</v>
      </c>
      <c r="BT65" s="290">
        <v>0</v>
      </c>
      <c r="BU65" s="290">
        <v>0</v>
      </c>
      <c r="BV65" s="290">
        <v>36</v>
      </c>
      <c r="BW65" s="290"/>
      <c r="BX65" s="290"/>
      <c r="BY65" s="290"/>
    </row>
    <row r="66" spans="1:77" ht="13">
      <c r="A66" s="1">
        <v>1826</v>
      </c>
      <c r="B66" s="2" t="s">
        <v>185</v>
      </c>
      <c r="C66" s="289">
        <v>1297</v>
      </c>
      <c r="D66" s="290">
        <v>13</v>
      </c>
      <c r="E66" s="290">
        <v>44</v>
      </c>
      <c r="F66" s="290">
        <v>149</v>
      </c>
      <c r="G66" s="290">
        <v>124</v>
      </c>
      <c r="H66" s="290">
        <v>673</v>
      </c>
      <c r="I66" s="290">
        <v>229</v>
      </c>
      <c r="J66" s="290">
        <v>83</v>
      </c>
      <c r="K66" s="290">
        <v>18</v>
      </c>
      <c r="L66" s="290">
        <v>9</v>
      </c>
      <c r="M66" s="290">
        <v>132</v>
      </c>
      <c r="N66" s="290">
        <v>17</v>
      </c>
      <c r="O66" s="290">
        <v>21</v>
      </c>
      <c r="P66" s="624">
        <v>14326.671666669999</v>
      </c>
      <c r="Q66" s="624">
        <v>10224.259</v>
      </c>
      <c r="R66" s="624">
        <v>8</v>
      </c>
      <c r="S66" s="290">
        <v>0</v>
      </c>
      <c r="T66" s="290">
        <v>96</v>
      </c>
      <c r="U66" s="958">
        <v>2.1856584409746986E-3</v>
      </c>
      <c r="V66" s="290">
        <v>825.20454928000004</v>
      </c>
      <c r="W66" s="765">
        <v>1</v>
      </c>
      <c r="X66" s="290">
        <v>0</v>
      </c>
      <c r="Y66" s="290">
        <v>427.12680399999999</v>
      </c>
      <c r="Z66" s="290">
        <v>29543</v>
      </c>
      <c r="AA66" s="290">
        <v>340</v>
      </c>
      <c r="AB66" s="290">
        <v>24</v>
      </c>
      <c r="AC66" s="290">
        <v>266.79599999999999</v>
      </c>
      <c r="AD66" s="290">
        <v>167</v>
      </c>
      <c r="AE66" s="290">
        <v>0</v>
      </c>
      <c r="AF66" s="290">
        <v>0</v>
      </c>
      <c r="AG66" s="290">
        <v>1333</v>
      </c>
      <c r="AH66" s="290">
        <v>201.70260134</v>
      </c>
      <c r="AI66" s="290">
        <v>0</v>
      </c>
      <c r="AJ66" s="290">
        <v>0</v>
      </c>
      <c r="AK66" s="290">
        <v>0</v>
      </c>
      <c r="AL66" s="290">
        <v>2463</v>
      </c>
      <c r="AM66" s="957">
        <v>1.2507570000000001E-2</v>
      </c>
      <c r="AN66" s="290">
        <v>0</v>
      </c>
      <c r="AO66" s="290">
        <v>-246.690293</v>
      </c>
      <c r="AP66" s="290">
        <v>0</v>
      </c>
      <c r="AQ66" s="290">
        <v>0</v>
      </c>
      <c r="AR66" s="290">
        <v>2094.7357900000002</v>
      </c>
      <c r="AS66" s="290">
        <v>570</v>
      </c>
      <c r="AT66" s="290">
        <v>50</v>
      </c>
      <c r="AU66" s="290">
        <v>6</v>
      </c>
      <c r="AV66" s="766">
        <v>70282</v>
      </c>
      <c r="AW66" s="290">
        <v>301.59300000000002</v>
      </c>
      <c r="AX66" s="766">
        <v>1</v>
      </c>
      <c r="AY66" s="290">
        <v>200</v>
      </c>
      <c r="AZ66" s="290">
        <v>77</v>
      </c>
      <c r="BA66" s="290">
        <v>25</v>
      </c>
      <c r="BB66" s="290">
        <v>5875</v>
      </c>
      <c r="BC66" s="290">
        <v>625.55103999999994</v>
      </c>
      <c r="BD66" s="290">
        <v>233</v>
      </c>
      <c r="BE66" s="290">
        <v>69067.178599999999</v>
      </c>
      <c r="BF66" s="290">
        <v>0</v>
      </c>
      <c r="BG66" s="290">
        <v>110</v>
      </c>
      <c r="BH66" s="290">
        <v>16</v>
      </c>
      <c r="BI66" s="290">
        <v>895.625405</v>
      </c>
      <c r="BJ66" s="290">
        <v>0</v>
      </c>
      <c r="BK66" s="290">
        <f t="shared" si="0"/>
        <v>0</v>
      </c>
      <c r="BL66" s="290">
        <v>0</v>
      </c>
      <c r="BM66" s="290">
        <v>0</v>
      </c>
      <c r="BN66" s="290">
        <v>1262</v>
      </c>
      <c r="BO66" s="290">
        <v>205</v>
      </c>
      <c r="BP66" s="290">
        <v>1</v>
      </c>
      <c r="BQ66" s="290">
        <v>131</v>
      </c>
      <c r="BR66" s="290">
        <v>-1</v>
      </c>
      <c r="BS66" s="290">
        <v>50</v>
      </c>
      <c r="BT66" s="290">
        <v>0</v>
      </c>
      <c r="BU66" s="290">
        <v>0</v>
      </c>
      <c r="BV66" s="290">
        <v>35</v>
      </c>
      <c r="BW66" s="290"/>
      <c r="BX66" s="290"/>
      <c r="BY66" s="290"/>
    </row>
    <row r="67" spans="1:77" ht="13">
      <c r="A67" s="1">
        <v>1827</v>
      </c>
      <c r="B67" s="2" t="s">
        <v>186</v>
      </c>
      <c r="C67" s="289">
        <v>1371</v>
      </c>
      <c r="D67" s="290">
        <v>18</v>
      </c>
      <c r="E67" s="290">
        <v>35</v>
      </c>
      <c r="F67" s="290">
        <v>166</v>
      </c>
      <c r="G67" s="290">
        <v>134</v>
      </c>
      <c r="H67" s="290">
        <v>724</v>
      </c>
      <c r="I67" s="290">
        <v>232</v>
      </c>
      <c r="J67" s="290">
        <v>61</v>
      </c>
      <c r="K67" s="290">
        <v>17</v>
      </c>
      <c r="L67" s="290">
        <v>12</v>
      </c>
      <c r="M67" s="290">
        <v>141</v>
      </c>
      <c r="N67" s="290">
        <v>6</v>
      </c>
      <c r="O67" s="290">
        <v>12</v>
      </c>
      <c r="P67" s="624">
        <v>17667.559000000001</v>
      </c>
      <c r="Q67" s="624">
        <v>14352.901666670001</v>
      </c>
      <c r="R67" s="624">
        <v>14</v>
      </c>
      <c r="S67" s="290">
        <v>0</v>
      </c>
      <c r="T67" s="290">
        <v>122</v>
      </c>
      <c r="U67" s="958">
        <v>1.6127449653252075E-3</v>
      </c>
      <c r="V67" s="290">
        <v>-1949.1554236500001</v>
      </c>
      <c r="W67" s="765">
        <v>1</v>
      </c>
      <c r="X67" s="290">
        <v>0</v>
      </c>
      <c r="Y67" s="290">
        <v>427.12680399999999</v>
      </c>
      <c r="Z67" s="290">
        <v>41165</v>
      </c>
      <c r="AA67" s="290">
        <v>0</v>
      </c>
      <c r="AB67" s="290">
        <v>32</v>
      </c>
      <c r="AC67" s="290">
        <v>287.24299999999999</v>
      </c>
      <c r="AD67" s="290">
        <v>167</v>
      </c>
      <c r="AE67" s="290">
        <v>0</v>
      </c>
      <c r="AF67" s="290">
        <v>0</v>
      </c>
      <c r="AG67" s="290">
        <v>1387</v>
      </c>
      <c r="AH67" s="290">
        <v>211.82387882</v>
      </c>
      <c r="AI67" s="290">
        <v>0</v>
      </c>
      <c r="AJ67" s="290">
        <v>0</v>
      </c>
      <c r="AK67" s="290">
        <v>0</v>
      </c>
      <c r="AL67" s="290">
        <v>2520</v>
      </c>
      <c r="AM67" s="957">
        <v>1.405203E-2</v>
      </c>
      <c r="AN67" s="290">
        <v>0</v>
      </c>
      <c r="AO67" s="290">
        <v>-263.562724</v>
      </c>
      <c r="AP67" s="290">
        <v>0</v>
      </c>
      <c r="AQ67" s="290">
        <v>0</v>
      </c>
      <c r="AR67" s="290">
        <v>-74.711398299999999</v>
      </c>
      <c r="AS67" s="290">
        <v>330</v>
      </c>
      <c r="AT67" s="290">
        <v>57</v>
      </c>
      <c r="AU67" s="290">
        <v>9</v>
      </c>
      <c r="AV67" s="766">
        <v>68976</v>
      </c>
      <c r="AW67" s="290">
        <v>310.22199999999998</v>
      </c>
      <c r="AX67" s="766">
        <v>5.25</v>
      </c>
      <c r="AY67" s="290">
        <v>251</v>
      </c>
      <c r="AZ67" s="290">
        <v>53</v>
      </c>
      <c r="BA67" s="290">
        <v>42</v>
      </c>
      <c r="BB67" s="290">
        <v>5875</v>
      </c>
      <c r="BC67" s="290">
        <v>627.64279199999999</v>
      </c>
      <c r="BD67" s="290">
        <v>237</v>
      </c>
      <c r="BE67" s="290">
        <v>71522.298899999994</v>
      </c>
      <c r="BF67" s="290">
        <v>0</v>
      </c>
      <c r="BG67" s="290">
        <v>114</v>
      </c>
      <c r="BH67" s="290">
        <v>16</v>
      </c>
      <c r="BI67" s="290">
        <v>926.19368299999996</v>
      </c>
      <c r="BJ67" s="290">
        <v>0</v>
      </c>
      <c r="BK67" s="290">
        <f t="shared" si="0"/>
        <v>0</v>
      </c>
      <c r="BL67" s="290">
        <v>0</v>
      </c>
      <c r="BM67" s="290">
        <v>0</v>
      </c>
      <c r="BN67" s="290">
        <v>1349</v>
      </c>
      <c r="BO67" s="290">
        <v>204</v>
      </c>
      <c r="BP67" s="290">
        <v>1</v>
      </c>
      <c r="BQ67" s="290">
        <v>141</v>
      </c>
      <c r="BR67" s="290">
        <v>-1</v>
      </c>
      <c r="BS67" s="290">
        <v>50</v>
      </c>
      <c r="BT67" s="290">
        <v>0</v>
      </c>
      <c r="BU67" s="290">
        <v>0</v>
      </c>
      <c r="BV67" s="290">
        <v>37</v>
      </c>
      <c r="BW67" s="290"/>
      <c r="BX67" s="290"/>
      <c r="BY67" s="290"/>
    </row>
    <row r="68" spans="1:77" ht="13">
      <c r="A68" s="1">
        <v>1828</v>
      </c>
      <c r="B68" s="2" t="s">
        <v>187</v>
      </c>
      <c r="C68" s="289">
        <v>1761</v>
      </c>
      <c r="D68" s="290">
        <v>25</v>
      </c>
      <c r="E68" s="290">
        <v>68</v>
      </c>
      <c r="F68" s="290">
        <v>215</v>
      </c>
      <c r="G68" s="290">
        <v>177</v>
      </c>
      <c r="H68" s="290">
        <v>969</v>
      </c>
      <c r="I68" s="290">
        <v>215</v>
      </c>
      <c r="J68" s="290">
        <v>76</v>
      </c>
      <c r="K68" s="290">
        <v>18</v>
      </c>
      <c r="L68" s="290">
        <v>15</v>
      </c>
      <c r="M68" s="290">
        <v>150</v>
      </c>
      <c r="N68" s="290">
        <v>39</v>
      </c>
      <c r="O68" s="290">
        <v>41</v>
      </c>
      <c r="P68" s="624">
        <v>7939.37966667</v>
      </c>
      <c r="Q68" s="624">
        <v>4663.9719999999998</v>
      </c>
      <c r="R68" s="624">
        <v>6</v>
      </c>
      <c r="S68" s="290">
        <v>0</v>
      </c>
      <c r="T68" s="290">
        <v>175</v>
      </c>
      <c r="U68" s="958">
        <v>1.1591439011334782E-3</v>
      </c>
      <c r="V68" s="290">
        <v>975.70317941999997</v>
      </c>
      <c r="W68" s="765">
        <v>1</v>
      </c>
      <c r="X68" s="290">
        <v>0</v>
      </c>
      <c r="Y68" s="290">
        <v>345.51696800000002</v>
      </c>
      <c r="Z68" s="290">
        <v>39477</v>
      </c>
      <c r="AA68" s="290">
        <v>0</v>
      </c>
      <c r="AB68" s="290">
        <v>40</v>
      </c>
      <c r="AC68" s="290">
        <v>324.31900000000002</v>
      </c>
      <c r="AD68" s="290">
        <v>167</v>
      </c>
      <c r="AE68" s="290">
        <v>0</v>
      </c>
      <c r="AF68" s="290">
        <v>0</v>
      </c>
      <c r="AG68" s="290">
        <v>1763</v>
      </c>
      <c r="AH68" s="290">
        <v>297.85473746000002</v>
      </c>
      <c r="AI68" s="290">
        <v>3500</v>
      </c>
      <c r="AJ68" s="290">
        <v>0</v>
      </c>
      <c r="AK68" s="290">
        <v>0</v>
      </c>
      <c r="AL68" s="290">
        <v>3247</v>
      </c>
      <c r="AM68" s="957">
        <v>5.698317E-2</v>
      </c>
      <c r="AN68" s="290">
        <v>0</v>
      </c>
      <c r="AO68" s="290">
        <v>-291.68101899999999</v>
      </c>
      <c r="AP68" s="290">
        <v>0</v>
      </c>
      <c r="AQ68" s="290">
        <v>0</v>
      </c>
      <c r="AR68" s="290">
        <v>1029.37986</v>
      </c>
      <c r="AS68" s="290">
        <v>620</v>
      </c>
      <c r="AT68" s="290">
        <v>78</v>
      </c>
      <c r="AU68" s="290">
        <v>17</v>
      </c>
      <c r="AV68" s="766">
        <v>76380</v>
      </c>
      <c r="AW68" s="290">
        <v>356.34399999999999</v>
      </c>
      <c r="AX68" s="766">
        <v>7.4166499999999997</v>
      </c>
      <c r="AY68" s="290">
        <v>417</v>
      </c>
      <c r="AZ68" s="290">
        <v>138</v>
      </c>
      <c r="BA68" s="290">
        <v>27</v>
      </c>
      <c r="BB68" s="290">
        <v>5875</v>
      </c>
      <c r="BC68" s="290">
        <v>637.03766399999995</v>
      </c>
      <c r="BD68" s="290">
        <v>268</v>
      </c>
      <c r="BE68" s="290">
        <v>75274.551600000006</v>
      </c>
      <c r="BF68" s="290">
        <v>0</v>
      </c>
      <c r="BG68" s="290">
        <v>116</v>
      </c>
      <c r="BH68" s="290">
        <v>17</v>
      </c>
      <c r="BI68" s="290">
        <v>967.69070499999998</v>
      </c>
      <c r="BJ68" s="290">
        <v>0</v>
      </c>
      <c r="BK68" s="290">
        <f t="shared" si="0"/>
        <v>0</v>
      </c>
      <c r="BL68" s="290">
        <v>0</v>
      </c>
      <c r="BM68" s="290">
        <v>0</v>
      </c>
      <c r="BN68" s="290">
        <v>1492</v>
      </c>
      <c r="BO68" s="290">
        <v>310</v>
      </c>
      <c r="BP68" s="290">
        <v>1</v>
      </c>
      <c r="BQ68" s="290">
        <v>174</v>
      </c>
      <c r="BR68" s="290">
        <v>-1</v>
      </c>
      <c r="BS68" s="290">
        <v>50</v>
      </c>
      <c r="BT68" s="290">
        <v>0</v>
      </c>
      <c r="BU68" s="290">
        <v>0</v>
      </c>
      <c r="BV68" s="290">
        <v>37</v>
      </c>
      <c r="BW68" s="290"/>
      <c r="BX68" s="290"/>
      <c r="BY68" s="290"/>
    </row>
    <row r="69" spans="1:77" ht="13">
      <c r="A69" s="1">
        <v>1832</v>
      </c>
      <c r="B69" s="2" t="s">
        <v>188</v>
      </c>
      <c r="C69" s="289">
        <v>4454</v>
      </c>
      <c r="D69" s="290">
        <v>80</v>
      </c>
      <c r="E69" s="290">
        <v>196</v>
      </c>
      <c r="F69" s="290">
        <v>492</v>
      </c>
      <c r="G69" s="290">
        <v>372</v>
      </c>
      <c r="H69" s="290">
        <v>2380</v>
      </c>
      <c r="I69" s="290">
        <v>660</v>
      </c>
      <c r="J69" s="290">
        <v>239</v>
      </c>
      <c r="K69" s="290">
        <v>59</v>
      </c>
      <c r="L69" s="290">
        <v>33</v>
      </c>
      <c r="M69" s="290">
        <v>464</v>
      </c>
      <c r="N69" s="290">
        <v>38</v>
      </c>
      <c r="O69" s="290">
        <v>18</v>
      </c>
      <c r="P69" s="624">
        <v>69988.150999999998</v>
      </c>
      <c r="Q69" s="624">
        <v>18237.696</v>
      </c>
      <c r="R69" s="624">
        <v>24</v>
      </c>
      <c r="S69" s="290">
        <v>0</v>
      </c>
      <c r="T69" s="290">
        <v>381</v>
      </c>
      <c r="U69" s="958">
        <v>2.0429342263849873E-3</v>
      </c>
      <c r="V69" s="290">
        <v>2291.2444294299999</v>
      </c>
      <c r="W69" s="765">
        <v>0.90931554000000003</v>
      </c>
      <c r="X69" s="290">
        <v>0</v>
      </c>
      <c r="Y69" s="290">
        <v>427.12680399999999</v>
      </c>
      <c r="Z69" s="290">
        <v>130776</v>
      </c>
      <c r="AA69" s="290">
        <v>0</v>
      </c>
      <c r="AB69" s="290">
        <v>109</v>
      </c>
      <c r="AC69" s="290">
        <v>747.98400000000004</v>
      </c>
      <c r="AD69" s="290">
        <v>333</v>
      </c>
      <c r="AE69" s="290">
        <v>0</v>
      </c>
      <c r="AF69" s="290">
        <v>0</v>
      </c>
      <c r="AG69" s="290">
        <v>4478</v>
      </c>
      <c r="AH69" s="290">
        <v>709.93532083000002</v>
      </c>
      <c r="AI69" s="290">
        <v>0</v>
      </c>
      <c r="AJ69" s="290">
        <v>0</v>
      </c>
      <c r="AK69" s="290">
        <v>0</v>
      </c>
      <c r="AL69" s="290">
        <v>8156</v>
      </c>
      <c r="AM69" s="957">
        <v>5.4620460000000003E-2</v>
      </c>
      <c r="AN69" s="290">
        <v>0</v>
      </c>
      <c r="AO69" s="290">
        <v>-715.17801199999997</v>
      </c>
      <c r="AP69" s="290">
        <v>0</v>
      </c>
      <c r="AQ69" s="290">
        <v>0</v>
      </c>
      <c r="AR69" s="290">
        <v>-241.20954699999999</v>
      </c>
      <c r="AS69" s="290">
        <v>555</v>
      </c>
      <c r="AT69" s="290">
        <v>202</v>
      </c>
      <c r="AU69" s="290">
        <v>33</v>
      </c>
      <c r="AV69" s="766">
        <v>160538</v>
      </c>
      <c r="AW69" s="290">
        <v>671.38400000000001</v>
      </c>
      <c r="AX69" s="766">
        <v>25.124949999999998</v>
      </c>
      <c r="AY69" s="290">
        <v>721</v>
      </c>
      <c r="AZ69" s="290">
        <v>166</v>
      </c>
      <c r="BA69" s="290">
        <v>124</v>
      </c>
      <c r="BB69" s="290">
        <v>0</v>
      </c>
      <c r="BC69" s="290">
        <v>1112.2322099999999</v>
      </c>
      <c r="BD69" s="290">
        <v>471</v>
      </c>
      <c r="BE69" s="290">
        <v>165147.86199999999</v>
      </c>
      <c r="BF69" s="290">
        <v>0</v>
      </c>
      <c r="BG69" s="290">
        <v>262</v>
      </c>
      <c r="BH69" s="290">
        <v>37</v>
      </c>
      <c r="BI69" s="290">
        <v>1885.04612</v>
      </c>
      <c r="BJ69" s="290">
        <v>0</v>
      </c>
      <c r="BK69" s="290">
        <f t="shared" ref="BK69:BK132" si="1">ROUND(-4300*BL69/BL$361,4)</f>
        <v>0</v>
      </c>
      <c r="BL69" s="290">
        <v>0</v>
      </c>
      <c r="BM69" s="290">
        <v>0</v>
      </c>
      <c r="BN69" s="290">
        <v>3659</v>
      </c>
      <c r="BO69" s="290">
        <v>789</v>
      </c>
      <c r="BP69" s="290">
        <v>4</v>
      </c>
      <c r="BQ69" s="290">
        <v>443</v>
      </c>
      <c r="BR69" s="290">
        <v>-2</v>
      </c>
      <c r="BS69" s="290">
        <v>50</v>
      </c>
      <c r="BT69" s="290">
        <v>0</v>
      </c>
      <c r="BU69" s="290">
        <v>0</v>
      </c>
      <c r="BV69" s="290">
        <v>84</v>
      </c>
      <c r="BW69" s="290"/>
      <c r="BX69" s="290"/>
      <c r="BY69" s="290"/>
    </row>
    <row r="70" spans="1:77" ht="13">
      <c r="A70" s="1">
        <v>1833</v>
      </c>
      <c r="B70" s="2" t="s">
        <v>189</v>
      </c>
      <c r="C70" s="289">
        <v>26184</v>
      </c>
      <c r="D70" s="290">
        <v>486</v>
      </c>
      <c r="E70" s="290">
        <v>1056</v>
      </c>
      <c r="F70" s="290">
        <v>3077</v>
      </c>
      <c r="G70" s="290">
        <v>2306</v>
      </c>
      <c r="H70" s="290">
        <v>14792</v>
      </c>
      <c r="I70" s="290">
        <v>3218</v>
      </c>
      <c r="J70" s="290">
        <v>1071</v>
      </c>
      <c r="K70" s="290">
        <v>278</v>
      </c>
      <c r="L70" s="290">
        <v>199</v>
      </c>
      <c r="M70" s="290">
        <v>2032</v>
      </c>
      <c r="N70" s="290">
        <v>352</v>
      </c>
      <c r="O70" s="290">
        <v>200</v>
      </c>
      <c r="P70" s="624">
        <v>119869.35866667</v>
      </c>
      <c r="Q70" s="624">
        <v>45264.337</v>
      </c>
      <c r="R70" s="624">
        <v>115</v>
      </c>
      <c r="S70" s="290">
        <v>0</v>
      </c>
      <c r="T70" s="290">
        <v>2186</v>
      </c>
      <c r="U70" s="958">
        <v>3.6375797894430449E-3</v>
      </c>
      <c r="V70" s="290">
        <v>5498.9483405199999</v>
      </c>
      <c r="W70" s="765">
        <v>0.59194910000000001</v>
      </c>
      <c r="X70" s="290">
        <v>0</v>
      </c>
      <c r="Y70" s="290">
        <v>427.12680399999999</v>
      </c>
      <c r="Z70" s="290">
        <v>715838</v>
      </c>
      <c r="AA70" s="290">
        <v>850</v>
      </c>
      <c r="AB70" s="290">
        <v>573</v>
      </c>
      <c r="AC70" s="290">
        <v>3937.4929999999999</v>
      </c>
      <c r="AD70" s="290">
        <v>333</v>
      </c>
      <c r="AE70" s="290">
        <v>0</v>
      </c>
      <c r="AF70" s="290">
        <v>0</v>
      </c>
      <c r="AG70" s="290">
        <v>26284</v>
      </c>
      <c r="AH70" s="290">
        <v>4247.3218023400004</v>
      </c>
      <c r="AI70" s="290">
        <v>14600</v>
      </c>
      <c r="AJ70" s="290">
        <v>0</v>
      </c>
      <c r="AK70" s="290">
        <v>569.11</v>
      </c>
      <c r="AL70" s="290">
        <v>47683</v>
      </c>
      <c r="AM70" s="957">
        <v>0.26566146000000002</v>
      </c>
      <c r="AN70" s="290">
        <v>0</v>
      </c>
      <c r="AO70" s="290">
        <v>-3578.1698700000002</v>
      </c>
      <c r="AP70" s="290">
        <v>0</v>
      </c>
      <c r="AQ70" s="290">
        <v>0</v>
      </c>
      <c r="AR70" s="290">
        <v>-1415.7998500000001</v>
      </c>
      <c r="AS70" s="290">
        <v>5326</v>
      </c>
      <c r="AT70" s="290">
        <v>1288</v>
      </c>
      <c r="AU70" s="290">
        <v>207</v>
      </c>
      <c r="AV70" s="766">
        <v>683199</v>
      </c>
      <c r="AW70" s="290">
        <v>7213.8280000000004</v>
      </c>
      <c r="AX70" s="766">
        <v>188.49995000000001</v>
      </c>
      <c r="AY70" s="290">
        <v>5408</v>
      </c>
      <c r="AZ70" s="290">
        <v>690</v>
      </c>
      <c r="BA70" s="290">
        <v>590</v>
      </c>
      <c r="BB70" s="290">
        <v>0</v>
      </c>
      <c r="BC70" s="290">
        <v>4588.0282200000001</v>
      </c>
      <c r="BD70" s="290">
        <v>2161</v>
      </c>
      <c r="BE70" s="290">
        <v>711486.00100000005</v>
      </c>
      <c r="BF70" s="290">
        <v>0</v>
      </c>
      <c r="BG70" s="290">
        <v>1153</v>
      </c>
      <c r="BH70" s="290">
        <v>165</v>
      </c>
      <c r="BI70" s="290">
        <v>9181.0516100000004</v>
      </c>
      <c r="BJ70" s="290">
        <v>0</v>
      </c>
      <c r="BK70" s="290">
        <f t="shared" si="1"/>
        <v>0</v>
      </c>
      <c r="BL70" s="290">
        <v>0</v>
      </c>
      <c r="BM70" s="290">
        <v>0</v>
      </c>
      <c r="BN70" s="290">
        <v>18308</v>
      </c>
      <c r="BO70" s="290">
        <v>4474</v>
      </c>
      <c r="BP70" s="290">
        <v>22</v>
      </c>
      <c r="BQ70" s="290">
        <v>2567</v>
      </c>
      <c r="BR70" s="290">
        <v>-12</v>
      </c>
      <c r="BS70" s="290">
        <v>246</v>
      </c>
      <c r="BT70" s="290">
        <v>0</v>
      </c>
      <c r="BU70" s="290">
        <v>0</v>
      </c>
      <c r="BV70" s="290">
        <v>371</v>
      </c>
      <c r="BW70" s="290"/>
      <c r="BX70" s="290"/>
      <c r="BY70" s="290"/>
    </row>
    <row r="71" spans="1:77" ht="13">
      <c r="A71" s="1">
        <v>1834</v>
      </c>
      <c r="B71" s="2" t="s">
        <v>190</v>
      </c>
      <c r="C71" s="289">
        <v>1890</v>
      </c>
      <c r="D71" s="290">
        <v>44</v>
      </c>
      <c r="E71" s="290">
        <v>81</v>
      </c>
      <c r="F71" s="290">
        <v>204</v>
      </c>
      <c r="G71" s="290">
        <v>149</v>
      </c>
      <c r="H71" s="290">
        <v>1024</v>
      </c>
      <c r="I71" s="290">
        <v>279</v>
      </c>
      <c r="J71" s="290">
        <v>108</v>
      </c>
      <c r="K71" s="290">
        <v>19</v>
      </c>
      <c r="L71" s="290">
        <v>15</v>
      </c>
      <c r="M71" s="290">
        <v>191</v>
      </c>
      <c r="N71" s="290">
        <v>1.5</v>
      </c>
      <c r="O71" s="290">
        <v>9</v>
      </c>
      <c r="P71" s="624">
        <v>174096.72366667</v>
      </c>
      <c r="Q71" s="624">
        <v>66282.304999999993</v>
      </c>
      <c r="R71" s="624">
        <v>14</v>
      </c>
      <c r="S71" s="290">
        <v>0</v>
      </c>
      <c r="T71" s="290">
        <v>175</v>
      </c>
      <c r="U71" s="958">
        <v>1.1100764862022432E-3</v>
      </c>
      <c r="V71" s="290">
        <v>1450.2683418500001</v>
      </c>
      <c r="W71" s="765">
        <v>1</v>
      </c>
      <c r="X71" s="290">
        <v>0</v>
      </c>
      <c r="Y71" s="290">
        <v>0</v>
      </c>
      <c r="Z71" s="290">
        <v>82254</v>
      </c>
      <c r="AA71" s="290">
        <v>0</v>
      </c>
      <c r="AB71" s="290">
        <v>49</v>
      </c>
      <c r="AC71" s="290">
        <v>523.37300000000005</v>
      </c>
      <c r="AD71" s="290">
        <v>167</v>
      </c>
      <c r="AE71" s="290">
        <v>0</v>
      </c>
      <c r="AF71" s="290">
        <v>0</v>
      </c>
      <c r="AG71" s="290">
        <v>1908</v>
      </c>
      <c r="AH71" s="290">
        <v>299.30063424000002</v>
      </c>
      <c r="AI71" s="290">
        <v>0</v>
      </c>
      <c r="AJ71" s="290">
        <v>0</v>
      </c>
      <c r="AK71" s="290">
        <v>71.671999999999997</v>
      </c>
      <c r="AL71" s="290">
        <v>3450</v>
      </c>
      <c r="AM71" s="957">
        <v>6.1524600000000002E-3</v>
      </c>
      <c r="AN71" s="290">
        <v>0</v>
      </c>
      <c r="AO71" s="290">
        <v>-433.54962499999999</v>
      </c>
      <c r="AP71" s="290">
        <v>0</v>
      </c>
      <c r="AQ71" s="290">
        <v>0</v>
      </c>
      <c r="AR71" s="290">
        <v>-102.775305</v>
      </c>
      <c r="AS71" s="290">
        <v>1293</v>
      </c>
      <c r="AT71" s="290">
        <v>68</v>
      </c>
      <c r="AU71" s="290">
        <v>8</v>
      </c>
      <c r="AV71" s="766">
        <v>125652</v>
      </c>
      <c r="AW71" s="290">
        <v>370.66899999999998</v>
      </c>
      <c r="AX71" s="766">
        <v>24.583300000000001</v>
      </c>
      <c r="AY71" s="290">
        <v>304</v>
      </c>
      <c r="AZ71" s="290">
        <v>41</v>
      </c>
      <c r="BA71" s="290">
        <v>37</v>
      </c>
      <c r="BB71" s="290">
        <v>5875</v>
      </c>
      <c r="BC71" s="290">
        <v>285.17564099999998</v>
      </c>
      <c r="BD71" s="290">
        <v>279</v>
      </c>
      <c r="BE71" s="290">
        <v>128309.35799999999</v>
      </c>
      <c r="BF71" s="290">
        <v>0</v>
      </c>
      <c r="BG71" s="290">
        <v>224</v>
      </c>
      <c r="BH71" s="290">
        <v>32</v>
      </c>
      <c r="BI71" s="290">
        <v>894.34563400000002</v>
      </c>
      <c r="BJ71" s="290">
        <v>0</v>
      </c>
      <c r="BK71" s="290">
        <f t="shared" si="1"/>
        <v>0</v>
      </c>
      <c r="BL71" s="290">
        <v>0</v>
      </c>
      <c r="BM71" s="290">
        <v>0</v>
      </c>
      <c r="BN71" s="290">
        <v>2218</v>
      </c>
      <c r="BO71" s="290">
        <v>437</v>
      </c>
      <c r="BP71" s="290">
        <v>2</v>
      </c>
      <c r="BQ71" s="290">
        <v>217</v>
      </c>
      <c r="BR71" s="290">
        <v>-1</v>
      </c>
      <c r="BS71" s="290">
        <v>50</v>
      </c>
      <c r="BT71" s="290">
        <v>0</v>
      </c>
      <c r="BU71" s="290">
        <v>0</v>
      </c>
      <c r="BV71" s="290">
        <v>72</v>
      </c>
      <c r="BW71" s="290"/>
      <c r="BX71" s="290"/>
      <c r="BY71" s="290"/>
    </row>
    <row r="72" spans="1:77" ht="13">
      <c r="A72" s="1">
        <v>1835</v>
      </c>
      <c r="B72" s="2" t="s">
        <v>191</v>
      </c>
      <c r="C72" s="289">
        <v>435</v>
      </c>
      <c r="D72" s="290">
        <v>8</v>
      </c>
      <c r="E72" s="290">
        <v>12</v>
      </c>
      <c r="F72" s="290">
        <v>53</v>
      </c>
      <c r="G72" s="290">
        <v>40</v>
      </c>
      <c r="H72" s="290">
        <v>260</v>
      </c>
      <c r="I72" s="290">
        <v>56</v>
      </c>
      <c r="J72" s="290">
        <v>17</v>
      </c>
      <c r="K72" s="290">
        <v>2</v>
      </c>
      <c r="L72" s="290">
        <v>4</v>
      </c>
      <c r="M72" s="290">
        <v>35</v>
      </c>
      <c r="N72" s="290">
        <v>0</v>
      </c>
      <c r="O72" s="290">
        <v>4</v>
      </c>
      <c r="P72" s="624">
        <v>2146.2386666699999</v>
      </c>
      <c r="Q72" s="624">
        <v>6928.3689999999997</v>
      </c>
      <c r="R72" s="624">
        <v>2</v>
      </c>
      <c r="S72" s="290">
        <v>0</v>
      </c>
      <c r="T72" s="290">
        <v>36</v>
      </c>
      <c r="U72" s="958">
        <v>4.1447664597005411E-5</v>
      </c>
      <c r="V72" s="290">
        <v>351.73958965000003</v>
      </c>
      <c r="W72" s="765">
        <v>1</v>
      </c>
      <c r="X72" s="290">
        <v>0</v>
      </c>
      <c r="Y72" s="290">
        <v>0</v>
      </c>
      <c r="Z72" s="290">
        <v>15251</v>
      </c>
      <c r="AA72" s="290">
        <v>0</v>
      </c>
      <c r="AB72" s="290">
        <v>10</v>
      </c>
      <c r="AC72" s="290">
        <v>119.595</v>
      </c>
      <c r="AD72" s="290">
        <v>167</v>
      </c>
      <c r="AE72" s="290">
        <v>0</v>
      </c>
      <c r="AF72" s="290">
        <v>0</v>
      </c>
      <c r="AG72" s="290">
        <v>448</v>
      </c>
      <c r="AH72" s="290">
        <v>100</v>
      </c>
      <c r="AI72" s="290">
        <v>1000</v>
      </c>
      <c r="AJ72" s="290">
        <v>0</v>
      </c>
      <c r="AK72" s="290">
        <v>0</v>
      </c>
      <c r="AL72" s="290">
        <v>826</v>
      </c>
      <c r="AM72" s="957">
        <v>8.3102499999999999E-3</v>
      </c>
      <c r="AN72" s="290">
        <v>0</v>
      </c>
      <c r="AO72" s="290">
        <v>-105.150587</v>
      </c>
      <c r="AP72" s="290">
        <v>0</v>
      </c>
      <c r="AQ72" s="290">
        <v>0</v>
      </c>
      <c r="AR72" s="290">
        <v>-24.1317278</v>
      </c>
      <c r="AS72" s="290">
        <v>278</v>
      </c>
      <c r="AT72" s="290">
        <v>18</v>
      </c>
      <c r="AU72" s="290">
        <v>4</v>
      </c>
      <c r="AV72" s="766">
        <v>34688</v>
      </c>
      <c r="AW72" s="290">
        <v>201.328</v>
      </c>
      <c r="AX72" s="766">
        <v>2.5832999999999999</v>
      </c>
      <c r="AY72" s="290">
        <v>66</v>
      </c>
      <c r="AZ72" s="290">
        <v>24</v>
      </c>
      <c r="BA72" s="290">
        <v>14</v>
      </c>
      <c r="BB72" s="290">
        <v>5875</v>
      </c>
      <c r="BC72" s="290">
        <v>100</v>
      </c>
      <c r="BD72" s="290">
        <v>164</v>
      </c>
      <c r="BE72" s="290">
        <v>36000.4974</v>
      </c>
      <c r="BF72" s="290">
        <v>0</v>
      </c>
      <c r="BG72" s="290">
        <v>62</v>
      </c>
      <c r="BH72" s="290">
        <v>9</v>
      </c>
      <c r="BI72" s="290">
        <v>219.595</v>
      </c>
      <c r="BJ72" s="290">
        <v>0</v>
      </c>
      <c r="BK72" s="290">
        <f t="shared" si="1"/>
        <v>0</v>
      </c>
      <c r="BL72" s="290">
        <v>0</v>
      </c>
      <c r="BM72" s="290">
        <v>0</v>
      </c>
      <c r="BN72" s="290">
        <v>538</v>
      </c>
      <c r="BO72" s="290">
        <v>78</v>
      </c>
      <c r="BP72" s="290">
        <v>0</v>
      </c>
      <c r="BQ72" s="290">
        <v>45</v>
      </c>
      <c r="BR72" s="290">
        <v>0</v>
      </c>
      <c r="BS72" s="290">
        <v>50</v>
      </c>
      <c r="BT72" s="290">
        <v>0</v>
      </c>
      <c r="BU72" s="290">
        <v>0</v>
      </c>
      <c r="BV72" s="290">
        <v>20</v>
      </c>
      <c r="BW72" s="290"/>
      <c r="BX72" s="290"/>
      <c r="BY72" s="290"/>
    </row>
    <row r="73" spans="1:77" ht="13">
      <c r="A73" s="1">
        <v>1836</v>
      </c>
      <c r="B73" s="2" t="s">
        <v>192</v>
      </c>
      <c r="C73" s="289">
        <v>1213</v>
      </c>
      <c r="D73" s="290">
        <v>21</v>
      </c>
      <c r="E73" s="290">
        <v>52</v>
      </c>
      <c r="F73" s="290">
        <v>153</v>
      </c>
      <c r="G73" s="290">
        <v>132</v>
      </c>
      <c r="H73" s="290">
        <v>621</v>
      </c>
      <c r="I73" s="290">
        <v>175</v>
      </c>
      <c r="J73" s="290">
        <v>64</v>
      </c>
      <c r="K73" s="290">
        <v>9</v>
      </c>
      <c r="L73" s="290">
        <v>11</v>
      </c>
      <c r="M73" s="290">
        <v>121</v>
      </c>
      <c r="N73" s="290">
        <v>0</v>
      </c>
      <c r="O73" s="290">
        <v>5</v>
      </c>
      <c r="P73" s="624">
        <v>58101.817666670002</v>
      </c>
      <c r="Q73" s="624">
        <v>20898.651999999998</v>
      </c>
      <c r="R73" s="624">
        <v>6</v>
      </c>
      <c r="S73" s="290">
        <v>0</v>
      </c>
      <c r="T73" s="290">
        <v>100</v>
      </c>
      <c r="U73" s="958">
        <v>1.4035194367446068E-3</v>
      </c>
      <c r="V73" s="290">
        <v>846.97774024</v>
      </c>
      <c r="W73" s="765">
        <v>1</v>
      </c>
      <c r="X73" s="290">
        <v>0</v>
      </c>
      <c r="Y73" s="290">
        <v>0</v>
      </c>
      <c r="Z73" s="290">
        <v>31493</v>
      </c>
      <c r="AA73" s="290">
        <v>0</v>
      </c>
      <c r="AB73" s="290">
        <v>27</v>
      </c>
      <c r="AC73" s="290">
        <v>298.68799999999999</v>
      </c>
      <c r="AD73" s="290">
        <v>167</v>
      </c>
      <c r="AE73" s="290">
        <v>0</v>
      </c>
      <c r="AF73" s="290">
        <v>0</v>
      </c>
      <c r="AG73" s="290">
        <v>1227</v>
      </c>
      <c r="AH73" s="290">
        <v>223.39105309000001</v>
      </c>
      <c r="AI73" s="290">
        <v>0</v>
      </c>
      <c r="AJ73" s="290">
        <v>0</v>
      </c>
      <c r="AK73" s="290">
        <v>298.48399999999998</v>
      </c>
      <c r="AL73" s="290">
        <v>2243</v>
      </c>
      <c r="AM73" s="957">
        <v>1.026853E-2</v>
      </c>
      <c r="AN73" s="290">
        <v>0</v>
      </c>
      <c r="AO73" s="290">
        <v>-253.19926699999999</v>
      </c>
      <c r="AP73" s="290">
        <v>0</v>
      </c>
      <c r="AQ73" s="290">
        <v>0</v>
      </c>
      <c r="AR73" s="290">
        <v>1048.7778499999999</v>
      </c>
      <c r="AS73" s="290">
        <v>20</v>
      </c>
      <c r="AT73" s="290">
        <v>43</v>
      </c>
      <c r="AU73" s="290">
        <v>6</v>
      </c>
      <c r="AV73" s="766">
        <v>75375</v>
      </c>
      <c r="AW73" s="290">
        <v>291.47500000000002</v>
      </c>
      <c r="AX73" s="766">
        <v>4.1666499999999997</v>
      </c>
      <c r="AY73" s="290">
        <v>168</v>
      </c>
      <c r="AZ73" s="290">
        <v>61</v>
      </c>
      <c r="BA73" s="290">
        <v>24</v>
      </c>
      <c r="BB73" s="290">
        <v>5875</v>
      </c>
      <c r="BC73" s="290">
        <v>225.90931</v>
      </c>
      <c r="BD73" s="290">
        <v>225</v>
      </c>
      <c r="BE73" s="290">
        <v>74551.422099999996</v>
      </c>
      <c r="BF73" s="290">
        <v>0</v>
      </c>
      <c r="BG73" s="290">
        <v>125</v>
      </c>
      <c r="BH73" s="290">
        <v>18</v>
      </c>
      <c r="BI73" s="290">
        <v>820.56305299999997</v>
      </c>
      <c r="BJ73" s="290">
        <v>0</v>
      </c>
      <c r="BK73" s="290">
        <f t="shared" si="1"/>
        <v>0</v>
      </c>
      <c r="BL73" s="290">
        <v>0</v>
      </c>
      <c r="BM73" s="290">
        <v>0</v>
      </c>
      <c r="BN73" s="290">
        <v>1296</v>
      </c>
      <c r="BO73" s="290">
        <v>244</v>
      </c>
      <c r="BP73" s="290">
        <v>1</v>
      </c>
      <c r="BQ73" s="290">
        <v>120</v>
      </c>
      <c r="BR73" s="290">
        <v>-1</v>
      </c>
      <c r="BS73" s="290">
        <v>50</v>
      </c>
      <c r="BT73" s="290">
        <v>0</v>
      </c>
      <c r="BU73" s="290">
        <v>0</v>
      </c>
      <c r="BV73" s="290">
        <v>40</v>
      </c>
      <c r="BW73" s="290"/>
      <c r="BX73" s="290"/>
      <c r="BY73" s="290"/>
    </row>
    <row r="74" spans="1:77" ht="13">
      <c r="A74" s="1">
        <v>1837</v>
      </c>
      <c r="B74" s="2" t="s">
        <v>193</v>
      </c>
      <c r="C74" s="289">
        <v>6288</v>
      </c>
      <c r="D74" s="290">
        <v>112</v>
      </c>
      <c r="E74" s="290">
        <v>274</v>
      </c>
      <c r="F74" s="290">
        <v>768</v>
      </c>
      <c r="G74" s="290">
        <v>578</v>
      </c>
      <c r="H74" s="290">
        <v>3374</v>
      </c>
      <c r="I74" s="290">
        <v>840</v>
      </c>
      <c r="J74" s="290">
        <v>296</v>
      </c>
      <c r="K74" s="290">
        <v>91</v>
      </c>
      <c r="L74" s="290">
        <v>46</v>
      </c>
      <c r="M74" s="290">
        <v>553</v>
      </c>
      <c r="N74" s="290">
        <v>37</v>
      </c>
      <c r="O74" s="290">
        <v>68</v>
      </c>
      <c r="P74" s="624">
        <v>96981.938666670001</v>
      </c>
      <c r="Q74" s="624">
        <v>33590.616000000002</v>
      </c>
      <c r="R74" s="624">
        <v>31</v>
      </c>
      <c r="S74" s="290">
        <v>0</v>
      </c>
      <c r="T74" s="290">
        <v>499</v>
      </c>
      <c r="U74" s="958">
        <v>1.9755354288921011E-3</v>
      </c>
      <c r="V74" s="290">
        <v>-2030.4386860899999</v>
      </c>
      <c r="W74" s="765">
        <v>0.95163235999999995</v>
      </c>
      <c r="X74" s="290">
        <v>0</v>
      </c>
      <c r="Y74" s="290">
        <v>427.12680399999999</v>
      </c>
      <c r="Z74" s="290">
        <v>182883</v>
      </c>
      <c r="AA74" s="290">
        <v>0</v>
      </c>
      <c r="AB74" s="290">
        <v>162</v>
      </c>
      <c r="AC74" s="290">
        <v>1088.4459999999999</v>
      </c>
      <c r="AD74" s="290">
        <v>333</v>
      </c>
      <c r="AE74" s="290">
        <v>0</v>
      </c>
      <c r="AF74" s="290">
        <v>0</v>
      </c>
      <c r="AG74" s="290">
        <v>6333</v>
      </c>
      <c r="AH74" s="290">
        <v>1069.2406716</v>
      </c>
      <c r="AI74" s="290">
        <v>0</v>
      </c>
      <c r="AJ74" s="290">
        <v>0</v>
      </c>
      <c r="AK74" s="290">
        <v>1939.538</v>
      </c>
      <c r="AL74" s="290">
        <v>11472</v>
      </c>
      <c r="AM74" s="957">
        <v>0.13316068</v>
      </c>
      <c r="AN74" s="290">
        <v>0</v>
      </c>
      <c r="AO74" s="290">
        <v>-994.84556199999997</v>
      </c>
      <c r="AP74" s="290">
        <v>0</v>
      </c>
      <c r="AQ74" s="290">
        <v>0</v>
      </c>
      <c r="AR74" s="290">
        <v>9539.05213</v>
      </c>
      <c r="AS74" s="290">
        <v>2196</v>
      </c>
      <c r="AT74" s="290">
        <v>293</v>
      </c>
      <c r="AU74" s="290">
        <v>72</v>
      </c>
      <c r="AV74" s="766">
        <v>229362</v>
      </c>
      <c r="AW74" s="290">
        <v>885.30700000000002</v>
      </c>
      <c r="AX74" s="766">
        <v>38.541699999999999</v>
      </c>
      <c r="AY74" s="290">
        <v>949</v>
      </c>
      <c r="AZ74" s="290">
        <v>253</v>
      </c>
      <c r="BA74" s="290">
        <v>140</v>
      </c>
      <c r="BB74" s="290">
        <v>0</v>
      </c>
      <c r="BC74" s="290">
        <v>1458.76593</v>
      </c>
      <c r="BD74" s="290">
        <v>624</v>
      </c>
      <c r="BE74" s="290">
        <v>223447.97500000001</v>
      </c>
      <c r="BF74" s="290">
        <v>0</v>
      </c>
      <c r="BG74" s="290">
        <v>357</v>
      </c>
      <c r="BH74" s="290">
        <v>51</v>
      </c>
      <c r="BI74" s="290">
        <v>4524.3514800000003</v>
      </c>
      <c r="BJ74" s="290">
        <v>0</v>
      </c>
      <c r="BK74" s="290">
        <f t="shared" si="1"/>
        <v>0</v>
      </c>
      <c r="BL74" s="290">
        <v>0</v>
      </c>
      <c r="BM74" s="290">
        <v>0</v>
      </c>
      <c r="BN74" s="290">
        <v>5090</v>
      </c>
      <c r="BO74" s="290">
        <v>1148</v>
      </c>
      <c r="BP74" s="290">
        <v>5</v>
      </c>
      <c r="BQ74" s="290">
        <v>625</v>
      </c>
      <c r="BR74" s="290">
        <v>-3</v>
      </c>
      <c r="BS74" s="290">
        <v>85</v>
      </c>
      <c r="BT74" s="290">
        <v>0</v>
      </c>
      <c r="BU74" s="290">
        <v>0</v>
      </c>
      <c r="BV74" s="290">
        <v>115</v>
      </c>
      <c r="BW74" s="290"/>
      <c r="BX74" s="290"/>
      <c r="BY74" s="290"/>
    </row>
    <row r="75" spans="1:77" ht="13">
      <c r="A75" s="1">
        <v>1838</v>
      </c>
      <c r="B75" s="2" t="s">
        <v>194</v>
      </c>
      <c r="C75" s="289">
        <v>1950</v>
      </c>
      <c r="D75" s="290">
        <v>28</v>
      </c>
      <c r="E75" s="290">
        <v>74</v>
      </c>
      <c r="F75" s="290">
        <v>207</v>
      </c>
      <c r="G75" s="290">
        <v>142</v>
      </c>
      <c r="H75" s="290">
        <v>1064</v>
      </c>
      <c r="I75" s="290">
        <v>310</v>
      </c>
      <c r="J75" s="290">
        <v>109</v>
      </c>
      <c r="K75" s="290">
        <v>29</v>
      </c>
      <c r="L75" s="290">
        <v>17</v>
      </c>
      <c r="M75" s="290">
        <v>222</v>
      </c>
      <c r="N75" s="290">
        <v>49</v>
      </c>
      <c r="O75" s="290">
        <v>33</v>
      </c>
      <c r="P75" s="624">
        <v>36539.720333329999</v>
      </c>
      <c r="Q75" s="624">
        <v>6559.4690000000001</v>
      </c>
      <c r="R75" s="624">
        <v>14</v>
      </c>
      <c r="S75" s="290">
        <v>0</v>
      </c>
      <c r="T75" s="290">
        <v>183</v>
      </c>
      <c r="U75" s="958">
        <v>1.294036684245461E-3</v>
      </c>
      <c r="V75" s="290">
        <v>1176.5330283400001</v>
      </c>
      <c r="W75" s="765">
        <v>1</v>
      </c>
      <c r="X75" s="290">
        <v>0</v>
      </c>
      <c r="Y75" s="290">
        <v>0</v>
      </c>
      <c r="Z75" s="290">
        <v>52335</v>
      </c>
      <c r="AA75" s="290">
        <v>0</v>
      </c>
      <c r="AB75" s="290">
        <v>58</v>
      </c>
      <c r="AC75" s="290">
        <v>354.25299999999999</v>
      </c>
      <c r="AD75" s="290">
        <v>167</v>
      </c>
      <c r="AE75" s="290">
        <v>0</v>
      </c>
      <c r="AF75" s="290">
        <v>0</v>
      </c>
      <c r="AG75" s="290">
        <v>1963</v>
      </c>
      <c r="AH75" s="290">
        <v>284.84166640000001</v>
      </c>
      <c r="AI75" s="290">
        <v>1000</v>
      </c>
      <c r="AJ75" s="290">
        <v>0</v>
      </c>
      <c r="AK75" s="290">
        <v>395.29300000000001</v>
      </c>
      <c r="AL75" s="290">
        <v>3584</v>
      </c>
      <c r="AM75" s="957">
        <v>3.6805259999999999E-2</v>
      </c>
      <c r="AN75" s="290">
        <v>0</v>
      </c>
      <c r="AO75" s="290">
        <v>-351.71798100000001</v>
      </c>
      <c r="AP75" s="290">
        <v>0</v>
      </c>
      <c r="AQ75" s="290">
        <v>0</v>
      </c>
      <c r="AR75" s="290">
        <v>-105.737905</v>
      </c>
      <c r="AS75" s="290">
        <v>648</v>
      </c>
      <c r="AT75" s="290">
        <v>100</v>
      </c>
      <c r="AU75" s="290">
        <v>15</v>
      </c>
      <c r="AV75" s="766">
        <v>91503</v>
      </c>
      <c r="AW75" s="290">
        <v>378.61</v>
      </c>
      <c r="AX75" s="766">
        <v>6.7916499999999997</v>
      </c>
      <c r="AY75" s="290">
        <v>361</v>
      </c>
      <c r="AZ75" s="290">
        <v>96</v>
      </c>
      <c r="BA75" s="290">
        <v>43</v>
      </c>
      <c r="BB75" s="290">
        <v>5875</v>
      </c>
      <c r="BC75" s="290">
        <v>284.47838999999999</v>
      </c>
      <c r="BD75" s="290">
        <v>283</v>
      </c>
      <c r="BE75" s="290">
        <v>93941.828399999999</v>
      </c>
      <c r="BF75" s="290">
        <v>0</v>
      </c>
      <c r="BG75" s="290">
        <v>139</v>
      </c>
      <c r="BH75" s="290">
        <v>20</v>
      </c>
      <c r="BI75" s="290">
        <v>1034.3876700000001</v>
      </c>
      <c r="BJ75" s="290">
        <v>0</v>
      </c>
      <c r="BK75" s="290">
        <f t="shared" si="1"/>
        <v>0</v>
      </c>
      <c r="BL75" s="290">
        <v>0</v>
      </c>
      <c r="BM75" s="290">
        <v>0</v>
      </c>
      <c r="BN75" s="290">
        <v>1800</v>
      </c>
      <c r="BO75" s="290">
        <v>323</v>
      </c>
      <c r="BP75" s="290">
        <v>1</v>
      </c>
      <c r="BQ75" s="290">
        <v>193</v>
      </c>
      <c r="BR75" s="290">
        <v>-1</v>
      </c>
      <c r="BS75" s="290">
        <v>50</v>
      </c>
      <c r="BT75" s="290">
        <v>0</v>
      </c>
      <c r="BU75" s="290">
        <v>0</v>
      </c>
      <c r="BV75" s="290">
        <v>45</v>
      </c>
      <c r="BW75" s="290"/>
      <c r="BX75" s="290"/>
      <c r="BY75" s="290"/>
    </row>
    <row r="76" spans="1:77" ht="13">
      <c r="A76" s="1">
        <v>1839</v>
      </c>
      <c r="B76" s="2" t="s">
        <v>195</v>
      </c>
      <c r="C76" s="289">
        <v>1017</v>
      </c>
      <c r="D76" s="290">
        <v>22</v>
      </c>
      <c r="E76" s="290">
        <v>29</v>
      </c>
      <c r="F76" s="290">
        <v>89</v>
      </c>
      <c r="G76" s="290">
        <v>77</v>
      </c>
      <c r="H76" s="290">
        <v>541</v>
      </c>
      <c r="I76" s="290">
        <v>190</v>
      </c>
      <c r="J76" s="290">
        <v>73</v>
      </c>
      <c r="K76" s="290">
        <v>15</v>
      </c>
      <c r="L76" s="290">
        <v>10</v>
      </c>
      <c r="M76" s="290">
        <v>114</v>
      </c>
      <c r="N76" s="290">
        <v>6</v>
      </c>
      <c r="O76" s="290">
        <v>13</v>
      </c>
      <c r="P76" s="624">
        <v>10761.571666669999</v>
      </c>
      <c r="Q76" s="624">
        <v>5419.6949999999997</v>
      </c>
      <c r="R76" s="624">
        <v>7</v>
      </c>
      <c r="S76" s="290">
        <v>0</v>
      </c>
      <c r="T76" s="290">
        <v>75</v>
      </c>
      <c r="U76" s="958">
        <v>1.2913497597808893E-3</v>
      </c>
      <c r="V76" s="290">
        <v>663.44901614000003</v>
      </c>
      <c r="W76" s="765">
        <v>1</v>
      </c>
      <c r="X76" s="290">
        <v>0</v>
      </c>
      <c r="Y76" s="290">
        <v>427.12680399999999</v>
      </c>
      <c r="Z76" s="290">
        <v>28080</v>
      </c>
      <c r="AA76" s="290">
        <v>290</v>
      </c>
      <c r="AB76" s="290">
        <v>34</v>
      </c>
      <c r="AC76" s="290">
        <v>167.59800000000001</v>
      </c>
      <c r="AD76" s="290">
        <v>167</v>
      </c>
      <c r="AE76" s="290">
        <v>0</v>
      </c>
      <c r="AF76" s="290">
        <v>0</v>
      </c>
      <c r="AG76" s="290">
        <v>1036</v>
      </c>
      <c r="AH76" s="290">
        <v>134.46840089</v>
      </c>
      <c r="AI76" s="290">
        <v>0</v>
      </c>
      <c r="AJ76" s="290">
        <v>0</v>
      </c>
      <c r="AK76" s="290">
        <v>0</v>
      </c>
      <c r="AL76" s="290">
        <v>1852</v>
      </c>
      <c r="AM76" s="957">
        <v>1.4079680000000001E-2</v>
      </c>
      <c r="AN76" s="290">
        <v>0</v>
      </c>
      <c r="AO76" s="290">
        <v>-198.33438000000001</v>
      </c>
      <c r="AP76" s="290">
        <v>0</v>
      </c>
      <c r="AQ76" s="290">
        <v>0</v>
      </c>
      <c r="AR76" s="290">
        <v>-55.804620499999999</v>
      </c>
      <c r="AS76" s="290">
        <v>353</v>
      </c>
      <c r="AT76" s="290">
        <v>43</v>
      </c>
      <c r="AU76" s="290">
        <v>6</v>
      </c>
      <c r="AV76" s="766">
        <v>55244</v>
      </c>
      <c r="AW76" s="290">
        <v>268.86500000000001</v>
      </c>
      <c r="AX76" s="766">
        <v>3.6667000000000001</v>
      </c>
      <c r="AY76" s="290">
        <v>120</v>
      </c>
      <c r="AZ76" s="290">
        <v>57</v>
      </c>
      <c r="BA76" s="290">
        <v>19</v>
      </c>
      <c r="BB76" s="290">
        <v>5875</v>
      </c>
      <c r="BC76" s="290">
        <v>537.00016800000003</v>
      </c>
      <c r="BD76" s="290">
        <v>210</v>
      </c>
      <c r="BE76" s="290">
        <v>57623.7209</v>
      </c>
      <c r="BF76" s="290">
        <v>0</v>
      </c>
      <c r="BG76" s="290">
        <v>93</v>
      </c>
      <c r="BH76" s="290">
        <v>13</v>
      </c>
      <c r="BI76" s="290">
        <v>729.19320500000003</v>
      </c>
      <c r="BJ76" s="290">
        <v>0</v>
      </c>
      <c r="BK76" s="290">
        <f t="shared" si="1"/>
        <v>0</v>
      </c>
      <c r="BL76" s="290">
        <v>0</v>
      </c>
      <c r="BM76" s="290">
        <v>0</v>
      </c>
      <c r="BN76" s="290">
        <v>1015</v>
      </c>
      <c r="BO76" s="290">
        <v>140</v>
      </c>
      <c r="BP76" s="290">
        <v>1</v>
      </c>
      <c r="BQ76" s="290">
        <v>100</v>
      </c>
      <c r="BR76" s="290">
        <v>0</v>
      </c>
      <c r="BS76" s="290">
        <v>50</v>
      </c>
      <c r="BT76" s="290">
        <v>0</v>
      </c>
      <c r="BU76" s="290">
        <v>0</v>
      </c>
      <c r="BV76" s="290">
        <v>30</v>
      </c>
      <c r="BW76" s="290"/>
      <c r="BX76" s="290"/>
      <c r="BY76" s="290"/>
    </row>
    <row r="77" spans="1:77" ht="13">
      <c r="A77" s="1">
        <v>1840</v>
      </c>
      <c r="B77" s="2" t="s">
        <v>196</v>
      </c>
      <c r="C77" s="289">
        <v>4671</v>
      </c>
      <c r="D77" s="290">
        <v>81</v>
      </c>
      <c r="E77" s="290">
        <v>190</v>
      </c>
      <c r="F77" s="290">
        <v>534</v>
      </c>
      <c r="G77" s="290">
        <v>350</v>
      </c>
      <c r="H77" s="290">
        <v>2499</v>
      </c>
      <c r="I77" s="290">
        <v>734</v>
      </c>
      <c r="J77" s="290">
        <v>206</v>
      </c>
      <c r="K77" s="290">
        <v>48</v>
      </c>
      <c r="L77" s="290">
        <v>37</v>
      </c>
      <c r="M77" s="290">
        <v>399</v>
      </c>
      <c r="N77" s="290">
        <v>76</v>
      </c>
      <c r="O77" s="290">
        <v>50</v>
      </c>
      <c r="P77" s="624">
        <v>32292.129000000001</v>
      </c>
      <c r="Q77" s="624">
        <v>11314.519333329999</v>
      </c>
      <c r="R77" s="624">
        <v>40</v>
      </c>
      <c r="S77" s="290">
        <v>0</v>
      </c>
      <c r="T77" s="290">
        <v>419</v>
      </c>
      <c r="U77" s="958">
        <v>1.8427707873251331E-3</v>
      </c>
      <c r="V77" s="290">
        <v>2422.2689064900001</v>
      </c>
      <c r="W77" s="765">
        <v>0.76125529999999997</v>
      </c>
      <c r="X77" s="290">
        <v>0</v>
      </c>
      <c r="Y77" s="290">
        <v>427.12680399999999</v>
      </c>
      <c r="Z77" s="290">
        <v>111066</v>
      </c>
      <c r="AA77" s="290">
        <v>4775</v>
      </c>
      <c r="AB77" s="290">
        <v>139</v>
      </c>
      <c r="AC77" s="290">
        <v>721.92600000000004</v>
      </c>
      <c r="AD77" s="290">
        <v>333</v>
      </c>
      <c r="AE77" s="290">
        <v>0</v>
      </c>
      <c r="AF77" s="290">
        <v>0</v>
      </c>
      <c r="AG77" s="290">
        <v>4642</v>
      </c>
      <c r="AH77" s="290">
        <v>733.06966937000004</v>
      </c>
      <c r="AI77" s="290">
        <v>1500</v>
      </c>
      <c r="AJ77" s="290">
        <v>0</v>
      </c>
      <c r="AK77" s="290">
        <v>0</v>
      </c>
      <c r="AL77" s="290">
        <v>8438</v>
      </c>
      <c r="AM77" s="957">
        <v>9.1703989999999999E-2</v>
      </c>
      <c r="AN77" s="290">
        <v>0</v>
      </c>
      <c r="AO77" s="290">
        <v>-724.12376700000004</v>
      </c>
      <c r="AP77" s="290">
        <v>0</v>
      </c>
      <c r="AQ77" s="290">
        <v>0</v>
      </c>
      <c r="AR77" s="290">
        <v>-250.04348300000001</v>
      </c>
      <c r="AS77" s="290">
        <v>1440</v>
      </c>
      <c r="AT77" s="290">
        <v>209</v>
      </c>
      <c r="AU77" s="290">
        <v>39</v>
      </c>
      <c r="AV77" s="766">
        <v>158385</v>
      </c>
      <c r="AW77" s="290">
        <v>697.024</v>
      </c>
      <c r="AX77" s="766">
        <v>24.083300000000001</v>
      </c>
      <c r="AY77" s="290">
        <v>859</v>
      </c>
      <c r="AZ77" s="290">
        <v>244</v>
      </c>
      <c r="BA77" s="290">
        <v>84</v>
      </c>
      <c r="BB77" s="290">
        <v>0</v>
      </c>
      <c r="BC77" s="290">
        <v>1132.4524799999999</v>
      </c>
      <c r="BD77" s="290">
        <v>464</v>
      </c>
      <c r="BE77" s="290">
        <v>164256.264</v>
      </c>
      <c r="BF77" s="290">
        <v>0</v>
      </c>
      <c r="BG77" s="290">
        <v>244</v>
      </c>
      <c r="BH77" s="290">
        <v>35</v>
      </c>
      <c r="BI77" s="290">
        <v>1882.12247</v>
      </c>
      <c r="BJ77" s="290">
        <v>0</v>
      </c>
      <c r="BK77" s="290">
        <f t="shared" si="1"/>
        <v>0</v>
      </c>
      <c r="BL77" s="290">
        <v>0</v>
      </c>
      <c r="BM77" s="290">
        <v>0</v>
      </c>
      <c r="BN77" s="290">
        <v>3705</v>
      </c>
      <c r="BO77" s="290">
        <v>788</v>
      </c>
      <c r="BP77" s="290">
        <v>4</v>
      </c>
      <c r="BQ77" s="290">
        <v>452</v>
      </c>
      <c r="BR77" s="290">
        <v>-2</v>
      </c>
      <c r="BS77" s="290">
        <v>63</v>
      </c>
      <c r="BT77" s="290">
        <v>0</v>
      </c>
      <c r="BU77" s="290">
        <v>0</v>
      </c>
      <c r="BV77" s="290">
        <v>78</v>
      </c>
      <c r="BW77" s="290"/>
      <c r="BX77" s="290"/>
      <c r="BY77" s="290"/>
    </row>
    <row r="78" spans="1:77" ht="13">
      <c r="A78" s="1">
        <v>1841</v>
      </c>
      <c r="B78" s="2" t="s">
        <v>197</v>
      </c>
      <c r="C78" s="289">
        <v>9739</v>
      </c>
      <c r="D78" s="290">
        <v>169</v>
      </c>
      <c r="E78" s="290">
        <v>354</v>
      </c>
      <c r="F78" s="290">
        <v>1063</v>
      </c>
      <c r="G78" s="290">
        <v>872</v>
      </c>
      <c r="H78" s="290">
        <v>5397</v>
      </c>
      <c r="I78" s="290">
        <v>1377</v>
      </c>
      <c r="J78" s="290">
        <v>391</v>
      </c>
      <c r="K78" s="290">
        <v>98</v>
      </c>
      <c r="L78" s="290">
        <v>78</v>
      </c>
      <c r="M78" s="290">
        <v>840</v>
      </c>
      <c r="N78" s="290">
        <v>151</v>
      </c>
      <c r="O78" s="290">
        <v>76</v>
      </c>
      <c r="P78" s="624">
        <v>70187.685666670004</v>
      </c>
      <c r="Q78" s="624">
        <v>16461.490333329999</v>
      </c>
      <c r="R78" s="624">
        <v>32</v>
      </c>
      <c r="S78" s="290">
        <v>0</v>
      </c>
      <c r="T78" s="290">
        <v>852</v>
      </c>
      <c r="U78" s="958">
        <v>1.8722166409565421E-3</v>
      </c>
      <c r="V78" s="290">
        <v>4429.5429897000004</v>
      </c>
      <c r="W78" s="765">
        <v>0.62086072999999997</v>
      </c>
      <c r="X78" s="290">
        <v>0</v>
      </c>
      <c r="Y78" s="290">
        <v>427.12680399999999</v>
      </c>
      <c r="Z78" s="290">
        <v>262631</v>
      </c>
      <c r="AA78" s="290">
        <v>0</v>
      </c>
      <c r="AB78" s="290">
        <v>248</v>
      </c>
      <c r="AC78" s="290">
        <v>1409.77</v>
      </c>
      <c r="AD78" s="290">
        <v>333</v>
      </c>
      <c r="AE78" s="290">
        <v>0</v>
      </c>
      <c r="AF78" s="290">
        <v>0</v>
      </c>
      <c r="AG78" s="290">
        <v>9721</v>
      </c>
      <c r="AH78" s="290">
        <v>1501.5638099499999</v>
      </c>
      <c r="AI78" s="290">
        <v>2750</v>
      </c>
      <c r="AJ78" s="290">
        <v>0</v>
      </c>
      <c r="AK78" s="290">
        <v>0</v>
      </c>
      <c r="AL78" s="290">
        <v>17685</v>
      </c>
      <c r="AM78" s="957">
        <v>0.17266455999999999</v>
      </c>
      <c r="AN78" s="290">
        <v>0</v>
      </c>
      <c r="AO78" s="290">
        <v>-1324.18715</v>
      </c>
      <c r="AP78" s="290">
        <v>0</v>
      </c>
      <c r="AQ78" s="290">
        <v>0</v>
      </c>
      <c r="AR78" s="290">
        <v>3490.5746100000001</v>
      </c>
      <c r="AS78" s="290">
        <v>2592</v>
      </c>
      <c r="AT78" s="290">
        <v>463</v>
      </c>
      <c r="AU78" s="290">
        <v>83</v>
      </c>
      <c r="AV78" s="766">
        <v>265066</v>
      </c>
      <c r="AW78" s="290">
        <v>6553.3090000000002</v>
      </c>
      <c r="AX78" s="766">
        <v>73.166650000000004</v>
      </c>
      <c r="AY78" s="290">
        <v>1871</v>
      </c>
      <c r="AZ78" s="290">
        <v>428</v>
      </c>
      <c r="BA78" s="290">
        <v>217</v>
      </c>
      <c r="BB78" s="290">
        <v>0</v>
      </c>
      <c r="BC78" s="290">
        <v>1903.61204</v>
      </c>
      <c r="BD78" s="290">
        <v>849</v>
      </c>
      <c r="BE78" s="290">
        <v>265855.63</v>
      </c>
      <c r="BF78" s="290">
        <v>0</v>
      </c>
      <c r="BG78" s="290">
        <v>458</v>
      </c>
      <c r="BH78" s="290">
        <v>65</v>
      </c>
      <c r="BI78" s="290">
        <v>3338.4606100000001</v>
      </c>
      <c r="BJ78" s="290">
        <v>0</v>
      </c>
      <c r="BK78" s="290">
        <f t="shared" si="1"/>
        <v>0</v>
      </c>
      <c r="BL78" s="290">
        <v>0</v>
      </c>
      <c r="BM78" s="290">
        <v>0</v>
      </c>
      <c r="BN78" s="290">
        <v>6775</v>
      </c>
      <c r="BO78" s="290">
        <v>1552</v>
      </c>
      <c r="BP78" s="290">
        <v>7</v>
      </c>
      <c r="BQ78" s="290">
        <v>952</v>
      </c>
      <c r="BR78" s="290">
        <v>-5</v>
      </c>
      <c r="BS78" s="290">
        <v>105</v>
      </c>
      <c r="BT78" s="290">
        <v>0</v>
      </c>
      <c r="BU78" s="290">
        <v>0</v>
      </c>
      <c r="BV78" s="290">
        <v>147</v>
      </c>
      <c r="BW78" s="290"/>
      <c r="BX78" s="290"/>
      <c r="BY78" s="290"/>
    </row>
    <row r="79" spans="1:77" ht="13">
      <c r="A79" s="1">
        <v>1845</v>
      </c>
      <c r="B79" s="2" t="s">
        <v>198</v>
      </c>
      <c r="C79" s="289">
        <v>1926</v>
      </c>
      <c r="D79" s="290">
        <v>34</v>
      </c>
      <c r="E79" s="290">
        <v>81</v>
      </c>
      <c r="F79" s="290">
        <v>201</v>
      </c>
      <c r="G79" s="290">
        <v>157</v>
      </c>
      <c r="H79" s="290">
        <v>993</v>
      </c>
      <c r="I79" s="290">
        <v>345</v>
      </c>
      <c r="J79" s="290">
        <v>93</v>
      </c>
      <c r="K79" s="290">
        <v>30</v>
      </c>
      <c r="L79" s="290">
        <v>16</v>
      </c>
      <c r="M79" s="290">
        <v>212</v>
      </c>
      <c r="N79" s="290">
        <v>1.5</v>
      </c>
      <c r="O79" s="290">
        <v>20</v>
      </c>
      <c r="P79" s="624">
        <v>28688.432000000001</v>
      </c>
      <c r="Q79" s="624">
        <v>15825.623666670001</v>
      </c>
      <c r="R79" s="624">
        <v>3</v>
      </c>
      <c r="S79" s="290">
        <v>0</v>
      </c>
      <c r="T79" s="290">
        <v>155</v>
      </c>
      <c r="U79" s="958">
        <v>1.1970048766283001E-3</v>
      </c>
      <c r="V79" s="290">
        <v>1088.9473075999999</v>
      </c>
      <c r="W79" s="765">
        <v>0.97527140999999995</v>
      </c>
      <c r="X79" s="290">
        <v>0</v>
      </c>
      <c r="Y79" s="290">
        <v>0</v>
      </c>
      <c r="Z79" s="290">
        <v>59582</v>
      </c>
      <c r="AA79" s="290">
        <v>0</v>
      </c>
      <c r="AB79" s="290">
        <v>40</v>
      </c>
      <c r="AC79" s="290">
        <v>375.72800000000001</v>
      </c>
      <c r="AD79" s="290">
        <v>167</v>
      </c>
      <c r="AE79" s="290">
        <v>0</v>
      </c>
      <c r="AF79" s="290">
        <v>0</v>
      </c>
      <c r="AG79" s="290">
        <v>1934</v>
      </c>
      <c r="AH79" s="290">
        <v>300.74653103000003</v>
      </c>
      <c r="AI79" s="290">
        <v>0</v>
      </c>
      <c r="AJ79" s="290">
        <v>0</v>
      </c>
      <c r="AK79" s="290">
        <v>1744.2860000000001</v>
      </c>
      <c r="AL79" s="290">
        <v>3579</v>
      </c>
      <c r="AM79" s="957">
        <v>2.2642530000000001E-2</v>
      </c>
      <c r="AN79" s="290">
        <v>0</v>
      </c>
      <c r="AO79" s="290">
        <v>-325.534718</v>
      </c>
      <c r="AP79" s="290">
        <v>0</v>
      </c>
      <c r="AQ79" s="290">
        <v>0</v>
      </c>
      <c r="AR79" s="290">
        <v>1200.1758600000001</v>
      </c>
      <c r="AS79" s="290">
        <v>285</v>
      </c>
      <c r="AT79" s="290">
        <v>92</v>
      </c>
      <c r="AU79" s="290">
        <v>16</v>
      </c>
      <c r="AV79" s="766">
        <v>84329</v>
      </c>
      <c r="AW79" s="290">
        <v>375.43400000000003</v>
      </c>
      <c r="AX79" s="766">
        <v>12.666650000000001</v>
      </c>
      <c r="AY79" s="290">
        <v>276</v>
      </c>
      <c r="AZ79" s="290">
        <v>60</v>
      </c>
      <c r="BA79" s="290">
        <v>42</v>
      </c>
      <c r="BB79" s="290">
        <v>5875</v>
      </c>
      <c r="BC79" s="290">
        <v>299.12065999999999</v>
      </c>
      <c r="BD79" s="290">
        <v>277</v>
      </c>
      <c r="BE79" s="290">
        <v>85625.645399999994</v>
      </c>
      <c r="BF79" s="290">
        <v>0</v>
      </c>
      <c r="BG79" s="290">
        <v>143</v>
      </c>
      <c r="BH79" s="290">
        <v>20</v>
      </c>
      <c r="BI79" s="290">
        <v>2420.76053</v>
      </c>
      <c r="BJ79" s="290">
        <v>0</v>
      </c>
      <c r="BK79" s="290">
        <f t="shared" si="1"/>
        <v>0</v>
      </c>
      <c r="BL79" s="290">
        <v>0</v>
      </c>
      <c r="BM79" s="290">
        <v>0</v>
      </c>
      <c r="BN79" s="290">
        <v>1666</v>
      </c>
      <c r="BO79" s="290">
        <v>343</v>
      </c>
      <c r="BP79" s="290">
        <v>2</v>
      </c>
      <c r="BQ79" s="290">
        <v>198</v>
      </c>
      <c r="BR79" s="290">
        <v>-1</v>
      </c>
      <c r="BS79" s="290">
        <v>50</v>
      </c>
      <c r="BT79" s="290">
        <v>0</v>
      </c>
      <c r="BU79" s="290">
        <v>0</v>
      </c>
      <c r="BV79" s="290">
        <v>46</v>
      </c>
      <c r="BW79" s="290"/>
      <c r="BX79" s="290"/>
      <c r="BY79" s="290"/>
    </row>
    <row r="80" spans="1:77" ht="13">
      <c r="A80" s="1">
        <v>1848</v>
      </c>
      <c r="B80" s="2" t="s">
        <v>199</v>
      </c>
      <c r="C80" s="289">
        <v>2608</v>
      </c>
      <c r="D80" s="290">
        <v>35</v>
      </c>
      <c r="E80" s="290">
        <v>100</v>
      </c>
      <c r="F80" s="290">
        <v>265</v>
      </c>
      <c r="G80" s="290">
        <v>189</v>
      </c>
      <c r="H80" s="290">
        <v>1385</v>
      </c>
      <c r="I80" s="290">
        <v>445</v>
      </c>
      <c r="J80" s="290">
        <v>128</v>
      </c>
      <c r="K80" s="290">
        <v>37</v>
      </c>
      <c r="L80" s="290">
        <v>20</v>
      </c>
      <c r="M80" s="290">
        <v>296</v>
      </c>
      <c r="N80" s="290">
        <v>22</v>
      </c>
      <c r="O80" s="290">
        <v>28</v>
      </c>
      <c r="P80" s="624">
        <v>45443.308333330002</v>
      </c>
      <c r="Q80" s="624">
        <v>15271.23766667</v>
      </c>
      <c r="R80" s="624">
        <v>9</v>
      </c>
      <c r="S80" s="290">
        <v>0</v>
      </c>
      <c r="T80" s="290">
        <v>221</v>
      </c>
      <c r="U80" s="958">
        <v>2.4312420619416629E-3</v>
      </c>
      <c r="V80" s="290">
        <v>1423.41813258</v>
      </c>
      <c r="W80" s="765">
        <v>1</v>
      </c>
      <c r="X80" s="290">
        <v>0</v>
      </c>
      <c r="Y80" s="290">
        <v>427.12680399999999</v>
      </c>
      <c r="Z80" s="290">
        <v>68850</v>
      </c>
      <c r="AA80" s="290">
        <v>0</v>
      </c>
      <c r="AB80" s="290">
        <v>74</v>
      </c>
      <c r="AC80" s="290">
        <v>430.29700000000003</v>
      </c>
      <c r="AD80" s="290">
        <v>167</v>
      </c>
      <c r="AE80" s="290">
        <v>0</v>
      </c>
      <c r="AF80" s="290">
        <v>0</v>
      </c>
      <c r="AG80" s="290">
        <v>2584</v>
      </c>
      <c r="AH80" s="290">
        <v>358.58240238000002</v>
      </c>
      <c r="AI80" s="290">
        <v>4500</v>
      </c>
      <c r="AJ80" s="290">
        <v>0</v>
      </c>
      <c r="AK80" s="290">
        <v>12.75</v>
      </c>
      <c r="AL80" s="290">
        <v>4668</v>
      </c>
      <c r="AM80" s="957">
        <v>2.729929E-2</v>
      </c>
      <c r="AN80" s="290">
        <v>0</v>
      </c>
      <c r="AO80" s="290">
        <v>-425.52290399999998</v>
      </c>
      <c r="AP80" s="290">
        <v>0</v>
      </c>
      <c r="AQ80" s="290">
        <v>0</v>
      </c>
      <c r="AR80" s="290">
        <v>-139.18835799999999</v>
      </c>
      <c r="AS80" s="290">
        <v>701</v>
      </c>
      <c r="AT80" s="290">
        <v>96</v>
      </c>
      <c r="AU80" s="290">
        <v>17</v>
      </c>
      <c r="AV80" s="766">
        <v>110934</v>
      </c>
      <c r="AW80" s="290">
        <v>454.87299999999999</v>
      </c>
      <c r="AX80" s="766">
        <v>11.50005</v>
      </c>
      <c r="AY80" s="290">
        <v>456</v>
      </c>
      <c r="AZ80" s="290">
        <v>111</v>
      </c>
      <c r="BA80" s="290">
        <v>47</v>
      </c>
      <c r="BB80" s="290">
        <v>5875</v>
      </c>
      <c r="BC80" s="290">
        <v>763.60672899999997</v>
      </c>
      <c r="BD80" s="290">
        <v>332</v>
      </c>
      <c r="BE80" s="290">
        <v>106509.85</v>
      </c>
      <c r="BF80" s="290">
        <v>0</v>
      </c>
      <c r="BG80" s="290">
        <v>176</v>
      </c>
      <c r="BH80" s="290">
        <v>25</v>
      </c>
      <c r="BI80" s="290">
        <v>1228.75621</v>
      </c>
      <c r="BJ80" s="290">
        <v>0</v>
      </c>
      <c r="BK80" s="290">
        <f t="shared" si="1"/>
        <v>0</v>
      </c>
      <c r="BL80" s="290">
        <v>0</v>
      </c>
      <c r="BM80" s="290">
        <v>0</v>
      </c>
      <c r="BN80" s="290">
        <v>2177</v>
      </c>
      <c r="BO80" s="290">
        <v>428</v>
      </c>
      <c r="BP80" s="290">
        <v>2</v>
      </c>
      <c r="BQ80" s="290">
        <v>251</v>
      </c>
      <c r="BR80" s="290">
        <v>-1</v>
      </c>
      <c r="BS80" s="290">
        <v>50</v>
      </c>
      <c r="BT80" s="290">
        <v>0</v>
      </c>
      <c r="BU80" s="290">
        <v>0</v>
      </c>
      <c r="BV80" s="290">
        <v>57</v>
      </c>
      <c r="BW80" s="290"/>
      <c r="BX80" s="290"/>
      <c r="BY80" s="290"/>
    </row>
    <row r="81" spans="1:77" ht="13">
      <c r="A81" s="1">
        <v>1851</v>
      </c>
      <c r="B81" s="2" t="s">
        <v>202</v>
      </c>
      <c r="C81" s="289">
        <v>2034</v>
      </c>
      <c r="D81" s="290">
        <v>22</v>
      </c>
      <c r="E81" s="290">
        <v>53</v>
      </c>
      <c r="F81" s="290">
        <v>216</v>
      </c>
      <c r="G81" s="290">
        <v>166</v>
      </c>
      <c r="H81" s="290">
        <v>1103</v>
      </c>
      <c r="I81" s="290">
        <v>361</v>
      </c>
      <c r="J81" s="290">
        <v>122</v>
      </c>
      <c r="K81" s="290">
        <v>33</v>
      </c>
      <c r="L81" s="290">
        <v>15</v>
      </c>
      <c r="M81" s="290">
        <v>237</v>
      </c>
      <c r="N81" s="290">
        <v>53</v>
      </c>
      <c r="O81" s="290">
        <v>33</v>
      </c>
      <c r="P81" s="624">
        <v>15195.597333330001</v>
      </c>
      <c r="Q81" s="624">
        <v>6436.4783333300002</v>
      </c>
      <c r="R81" s="624">
        <v>18</v>
      </c>
      <c r="S81" s="290">
        <v>0</v>
      </c>
      <c r="T81" s="290">
        <v>188</v>
      </c>
      <c r="U81" s="958">
        <v>6.6681960791443117E-4</v>
      </c>
      <c r="V81" s="290">
        <v>1208.8593921199999</v>
      </c>
      <c r="W81" s="765">
        <v>1</v>
      </c>
      <c r="X81" s="290">
        <v>0</v>
      </c>
      <c r="Y81" s="290">
        <v>427.12680399999999</v>
      </c>
      <c r="Z81" s="290">
        <v>53127</v>
      </c>
      <c r="AA81" s="290">
        <v>0</v>
      </c>
      <c r="AB81" s="290">
        <v>60</v>
      </c>
      <c r="AC81" s="290">
        <v>340.21600000000001</v>
      </c>
      <c r="AD81" s="290">
        <v>167</v>
      </c>
      <c r="AE81" s="290">
        <v>0</v>
      </c>
      <c r="AF81" s="290">
        <v>0</v>
      </c>
      <c r="AG81" s="290">
        <v>2076</v>
      </c>
      <c r="AH81" s="290">
        <v>281.22692444</v>
      </c>
      <c r="AI81" s="290">
        <v>2000</v>
      </c>
      <c r="AJ81" s="290">
        <v>0</v>
      </c>
      <c r="AK81" s="290">
        <v>0</v>
      </c>
      <c r="AL81" s="290">
        <v>3764</v>
      </c>
      <c r="AM81" s="957">
        <v>9.1592839999999995E-2</v>
      </c>
      <c r="AN81" s="290">
        <v>0</v>
      </c>
      <c r="AO81" s="290">
        <v>-361.38176700000002</v>
      </c>
      <c r="AP81" s="290">
        <v>0</v>
      </c>
      <c r="AQ81" s="290">
        <v>0</v>
      </c>
      <c r="AR81" s="290">
        <v>-111.824703</v>
      </c>
      <c r="AS81" s="290">
        <v>179</v>
      </c>
      <c r="AT81" s="290">
        <v>109</v>
      </c>
      <c r="AU81" s="290">
        <v>25</v>
      </c>
      <c r="AV81" s="766">
        <v>89922</v>
      </c>
      <c r="AW81" s="290">
        <v>387.72899999999998</v>
      </c>
      <c r="AX81" s="766">
        <v>9.3333499999999994</v>
      </c>
      <c r="AY81" s="290">
        <v>371</v>
      </c>
      <c r="AZ81" s="290">
        <v>145</v>
      </c>
      <c r="BA81" s="290">
        <v>49</v>
      </c>
      <c r="BB81" s="290">
        <v>5875</v>
      </c>
      <c r="BC81" s="290">
        <v>691.78988000000004</v>
      </c>
      <c r="BD81" s="290">
        <v>291</v>
      </c>
      <c r="BE81" s="290">
        <v>94671.353600000002</v>
      </c>
      <c r="BF81" s="290">
        <v>0</v>
      </c>
      <c r="BG81" s="290">
        <v>139</v>
      </c>
      <c r="BH81" s="290">
        <v>20</v>
      </c>
      <c r="BI81" s="290">
        <v>1048.5697299999999</v>
      </c>
      <c r="BJ81" s="290">
        <v>0</v>
      </c>
      <c r="BK81" s="290">
        <f t="shared" si="1"/>
        <v>0</v>
      </c>
      <c r="BL81" s="290">
        <v>0</v>
      </c>
      <c r="BM81" s="290">
        <v>0</v>
      </c>
      <c r="BN81" s="290">
        <v>1849</v>
      </c>
      <c r="BO81" s="290">
        <v>279</v>
      </c>
      <c r="BP81" s="290">
        <v>1</v>
      </c>
      <c r="BQ81" s="290">
        <v>202</v>
      </c>
      <c r="BR81" s="290">
        <v>-1</v>
      </c>
      <c r="BS81" s="290">
        <v>50</v>
      </c>
      <c r="BT81" s="290">
        <v>0</v>
      </c>
      <c r="BU81" s="290">
        <v>0</v>
      </c>
      <c r="BV81" s="290">
        <v>45</v>
      </c>
      <c r="BW81" s="290"/>
      <c r="BX81" s="290"/>
      <c r="BY81" s="290"/>
    </row>
    <row r="82" spans="1:77" ht="13">
      <c r="A82" s="1">
        <v>1853</v>
      </c>
      <c r="B82" s="2" t="s">
        <v>204</v>
      </c>
      <c r="C82" s="289">
        <v>1348</v>
      </c>
      <c r="D82" s="290">
        <v>14</v>
      </c>
      <c r="E82" s="290">
        <v>40</v>
      </c>
      <c r="F82" s="290">
        <v>147</v>
      </c>
      <c r="G82" s="290">
        <v>124</v>
      </c>
      <c r="H82" s="290">
        <v>696</v>
      </c>
      <c r="I82" s="290">
        <v>263</v>
      </c>
      <c r="J82" s="290">
        <v>69</v>
      </c>
      <c r="K82" s="290">
        <v>23</v>
      </c>
      <c r="L82" s="290">
        <v>10</v>
      </c>
      <c r="M82" s="290">
        <v>170</v>
      </c>
      <c r="N82" s="290">
        <v>21</v>
      </c>
      <c r="O82" s="290">
        <v>23</v>
      </c>
      <c r="P82" s="624">
        <v>11238.998666670001</v>
      </c>
      <c r="Q82" s="624">
        <v>6139.80333333</v>
      </c>
      <c r="R82" s="624">
        <v>8</v>
      </c>
      <c r="S82" s="290">
        <v>0</v>
      </c>
      <c r="T82" s="290">
        <v>114</v>
      </c>
      <c r="U82" s="958">
        <v>8.2025024517142441E-4</v>
      </c>
      <c r="V82" s="290">
        <v>816.27501752000001</v>
      </c>
      <c r="W82" s="765">
        <v>0.92910230000000005</v>
      </c>
      <c r="X82" s="290">
        <v>0</v>
      </c>
      <c r="Y82" s="290">
        <v>0</v>
      </c>
      <c r="Z82" s="290">
        <v>31152</v>
      </c>
      <c r="AA82" s="290">
        <v>0</v>
      </c>
      <c r="AB82" s="290">
        <v>40</v>
      </c>
      <c r="AC82" s="290">
        <v>238.82900000000001</v>
      </c>
      <c r="AD82" s="290">
        <v>167</v>
      </c>
      <c r="AE82" s="290">
        <v>0</v>
      </c>
      <c r="AF82" s="290">
        <v>0</v>
      </c>
      <c r="AG82" s="290">
        <v>1376</v>
      </c>
      <c r="AH82" s="290">
        <v>194.47311741999999</v>
      </c>
      <c r="AI82" s="290">
        <v>3000</v>
      </c>
      <c r="AJ82" s="290">
        <v>3000</v>
      </c>
      <c r="AK82" s="290">
        <v>0</v>
      </c>
      <c r="AL82" s="290">
        <v>2513</v>
      </c>
      <c r="AM82" s="957">
        <v>2.1314409999999999E-2</v>
      </c>
      <c r="AN82" s="290">
        <v>0</v>
      </c>
      <c r="AO82" s="290">
        <v>-244.02086</v>
      </c>
      <c r="AP82" s="290">
        <v>0</v>
      </c>
      <c r="AQ82" s="290">
        <v>0</v>
      </c>
      <c r="AR82" s="290">
        <v>1055.03691</v>
      </c>
      <c r="AS82" s="290">
        <v>306</v>
      </c>
      <c r="AT82" s="290">
        <v>68</v>
      </c>
      <c r="AU82" s="290">
        <v>9</v>
      </c>
      <c r="AV82" s="766">
        <v>71188</v>
      </c>
      <c r="AW82" s="290">
        <v>308.09399999999999</v>
      </c>
      <c r="AX82" s="766">
        <v>2.0833499999999998</v>
      </c>
      <c r="AY82" s="290">
        <v>229</v>
      </c>
      <c r="AZ82" s="290">
        <v>67</v>
      </c>
      <c r="BA82" s="290">
        <v>30</v>
      </c>
      <c r="BB82" s="290">
        <v>5875</v>
      </c>
      <c r="BC82" s="290">
        <v>204.29453000000001</v>
      </c>
      <c r="BD82" s="290">
        <v>227</v>
      </c>
      <c r="BE82" s="290">
        <v>66298.722999999998</v>
      </c>
      <c r="BF82" s="290">
        <v>0</v>
      </c>
      <c r="BG82" s="290">
        <v>105</v>
      </c>
      <c r="BH82" s="290">
        <v>15</v>
      </c>
      <c r="BI82" s="290">
        <v>433.30211700000001</v>
      </c>
      <c r="BJ82" s="290">
        <v>0</v>
      </c>
      <c r="BK82" s="290">
        <f t="shared" si="1"/>
        <v>0</v>
      </c>
      <c r="BL82" s="290">
        <v>0</v>
      </c>
      <c r="BM82" s="290">
        <v>0</v>
      </c>
      <c r="BN82" s="290">
        <v>1249</v>
      </c>
      <c r="BO82" s="290">
        <v>194</v>
      </c>
      <c r="BP82" s="290">
        <v>1</v>
      </c>
      <c r="BQ82" s="290">
        <v>134</v>
      </c>
      <c r="BR82" s="290">
        <v>-1</v>
      </c>
      <c r="BS82" s="290">
        <v>50</v>
      </c>
      <c r="BT82" s="290">
        <v>0</v>
      </c>
      <c r="BU82" s="290">
        <v>0</v>
      </c>
      <c r="BV82" s="290">
        <v>34</v>
      </c>
      <c r="BW82" s="290"/>
      <c r="BX82" s="290"/>
      <c r="BY82" s="290"/>
    </row>
    <row r="83" spans="1:77" ht="13">
      <c r="A83" s="1">
        <v>1856</v>
      </c>
      <c r="B83" s="2" t="s">
        <v>206</v>
      </c>
      <c r="C83" s="289">
        <v>498</v>
      </c>
      <c r="D83" s="290">
        <v>6</v>
      </c>
      <c r="E83" s="290">
        <v>15</v>
      </c>
      <c r="F83" s="290">
        <v>50</v>
      </c>
      <c r="G83" s="290">
        <v>40</v>
      </c>
      <c r="H83" s="290">
        <v>296</v>
      </c>
      <c r="I83" s="290">
        <v>63</v>
      </c>
      <c r="J83" s="290">
        <v>35</v>
      </c>
      <c r="K83" s="290">
        <v>6</v>
      </c>
      <c r="L83" s="290">
        <v>5</v>
      </c>
      <c r="M83" s="290">
        <v>57</v>
      </c>
      <c r="N83" s="290">
        <v>0</v>
      </c>
      <c r="O83" s="290">
        <v>5</v>
      </c>
      <c r="P83" s="624">
        <v>316.72300000000001</v>
      </c>
      <c r="Q83" s="624">
        <v>698.81066667000005</v>
      </c>
      <c r="R83" s="624">
        <v>0</v>
      </c>
      <c r="S83" s="290">
        <v>0</v>
      </c>
      <c r="T83" s="290">
        <v>69</v>
      </c>
      <c r="U83" s="958">
        <v>1.2350120211934506E-4</v>
      </c>
      <c r="V83" s="290">
        <v>364.63859236000002</v>
      </c>
      <c r="W83" s="765">
        <v>1</v>
      </c>
      <c r="X83" s="290">
        <v>0</v>
      </c>
      <c r="Y83" s="290">
        <v>0</v>
      </c>
      <c r="Z83" s="290">
        <v>18270</v>
      </c>
      <c r="AA83" s="290">
        <v>0</v>
      </c>
      <c r="AB83" s="290">
        <v>9</v>
      </c>
      <c r="AC83" s="290">
        <v>102.539</v>
      </c>
      <c r="AD83" s="290">
        <v>167</v>
      </c>
      <c r="AE83" s="290">
        <v>0</v>
      </c>
      <c r="AF83" s="290">
        <v>0</v>
      </c>
      <c r="AG83" s="290">
        <v>511</v>
      </c>
      <c r="AH83" s="290">
        <v>100</v>
      </c>
      <c r="AI83" s="290">
        <v>400</v>
      </c>
      <c r="AJ83" s="290">
        <v>0</v>
      </c>
      <c r="AK83" s="290">
        <v>39.234999999999999</v>
      </c>
      <c r="AL83" s="290">
        <v>920</v>
      </c>
      <c r="AM83" s="957">
        <v>6.2930099999999999E-3</v>
      </c>
      <c r="AN83" s="290">
        <v>0</v>
      </c>
      <c r="AO83" s="290">
        <v>-109.00667199999999</v>
      </c>
      <c r="AP83" s="290">
        <v>0</v>
      </c>
      <c r="AQ83" s="290">
        <v>0</v>
      </c>
      <c r="AR83" s="290">
        <v>-27.525251999999998</v>
      </c>
      <c r="AS83" s="290">
        <v>81</v>
      </c>
      <c r="AT83" s="290">
        <v>29</v>
      </c>
      <c r="AU83" s="290">
        <v>4</v>
      </c>
      <c r="AV83" s="766">
        <v>34670</v>
      </c>
      <c r="AW83" s="290">
        <v>208.417</v>
      </c>
      <c r="AX83" s="766">
        <v>1.5</v>
      </c>
      <c r="AY83" s="290">
        <v>59</v>
      </c>
      <c r="AZ83" s="290">
        <v>14</v>
      </c>
      <c r="BA83" s="290">
        <v>15</v>
      </c>
      <c r="BB83" s="290">
        <v>5875</v>
      </c>
      <c r="BC83" s="290">
        <v>100</v>
      </c>
      <c r="BD83" s="290">
        <v>169</v>
      </c>
      <c r="BE83" s="290">
        <v>35797.367899999997</v>
      </c>
      <c r="BF83" s="290">
        <v>0</v>
      </c>
      <c r="BG83" s="290">
        <v>60</v>
      </c>
      <c r="BH83" s="290">
        <v>9</v>
      </c>
      <c r="BI83" s="290">
        <v>241.774</v>
      </c>
      <c r="BJ83" s="290">
        <v>60</v>
      </c>
      <c r="BK83" s="290">
        <f t="shared" si="1"/>
        <v>0</v>
      </c>
      <c r="BL83" s="290">
        <v>0</v>
      </c>
      <c r="BM83" s="290">
        <v>0</v>
      </c>
      <c r="BN83" s="290">
        <v>558</v>
      </c>
      <c r="BO83" s="290">
        <v>77</v>
      </c>
      <c r="BP83" s="290">
        <v>0</v>
      </c>
      <c r="BQ83" s="290">
        <v>55</v>
      </c>
      <c r="BR83" s="290">
        <v>0</v>
      </c>
      <c r="BS83" s="290">
        <v>50</v>
      </c>
      <c r="BT83" s="290">
        <v>0</v>
      </c>
      <c r="BU83" s="290">
        <v>0</v>
      </c>
      <c r="BV83" s="290">
        <v>19</v>
      </c>
      <c r="BW83" s="290"/>
      <c r="BX83" s="290"/>
      <c r="BY83" s="290"/>
    </row>
    <row r="84" spans="1:77" ht="13">
      <c r="A84" s="1">
        <v>1857</v>
      </c>
      <c r="B84" s="2" t="s">
        <v>207</v>
      </c>
      <c r="C84" s="289">
        <v>728</v>
      </c>
      <c r="D84" s="290">
        <v>12</v>
      </c>
      <c r="E84" s="290">
        <v>27</v>
      </c>
      <c r="F84" s="290">
        <v>77</v>
      </c>
      <c r="G84" s="290">
        <v>55</v>
      </c>
      <c r="H84" s="290">
        <v>407</v>
      </c>
      <c r="I84" s="290">
        <v>105</v>
      </c>
      <c r="J84" s="290">
        <v>37</v>
      </c>
      <c r="K84" s="290">
        <v>8</v>
      </c>
      <c r="L84" s="290">
        <v>6</v>
      </c>
      <c r="M84" s="290">
        <v>67</v>
      </c>
      <c r="N84" s="290">
        <v>0</v>
      </c>
      <c r="O84" s="290">
        <v>7</v>
      </c>
      <c r="P84" s="624">
        <v>201.73933332999999</v>
      </c>
      <c r="Q84" s="624">
        <v>4046.596</v>
      </c>
      <c r="R84" s="624">
        <v>7</v>
      </c>
      <c r="S84" s="290">
        <v>0</v>
      </c>
      <c r="T84" s="290">
        <v>76</v>
      </c>
      <c r="U84" s="958">
        <v>6.5417549571399132E-5</v>
      </c>
      <c r="V84" s="290">
        <v>504.81701471000002</v>
      </c>
      <c r="W84" s="765">
        <v>1</v>
      </c>
      <c r="X84" s="290">
        <v>0</v>
      </c>
      <c r="Y84" s="290">
        <v>0</v>
      </c>
      <c r="Z84" s="290">
        <v>24227</v>
      </c>
      <c r="AA84" s="290">
        <v>0</v>
      </c>
      <c r="AB84" s="290">
        <v>13</v>
      </c>
      <c r="AC84" s="290">
        <v>152.245</v>
      </c>
      <c r="AD84" s="290">
        <v>167</v>
      </c>
      <c r="AE84" s="290">
        <v>0</v>
      </c>
      <c r="AF84" s="290">
        <v>0</v>
      </c>
      <c r="AG84" s="290">
        <v>728</v>
      </c>
      <c r="AH84" s="290">
        <v>105.55046522000001</v>
      </c>
      <c r="AI84" s="290">
        <v>1500</v>
      </c>
      <c r="AJ84" s="290">
        <v>0</v>
      </c>
      <c r="AK84" s="290">
        <v>8.2309999999999999</v>
      </c>
      <c r="AL84" s="290">
        <v>1326</v>
      </c>
      <c r="AM84" s="957">
        <v>2.8934870000000001E-2</v>
      </c>
      <c r="AN84" s="290">
        <v>0</v>
      </c>
      <c r="AO84" s="290">
        <v>-150.912228</v>
      </c>
      <c r="AP84" s="290">
        <v>0</v>
      </c>
      <c r="AQ84" s="290">
        <v>0</v>
      </c>
      <c r="AR84" s="290">
        <v>-39.214057599999997</v>
      </c>
      <c r="AS84" s="290">
        <v>104</v>
      </c>
      <c r="AT84" s="290">
        <v>24</v>
      </c>
      <c r="AU84" s="290">
        <v>17</v>
      </c>
      <c r="AV84" s="766">
        <v>45551</v>
      </c>
      <c r="AW84" s="290">
        <v>235.69499999999999</v>
      </c>
      <c r="AX84" s="766">
        <v>5.4583000000000004</v>
      </c>
      <c r="AY84" s="290">
        <v>68</v>
      </c>
      <c r="AZ84" s="290">
        <v>38</v>
      </c>
      <c r="BA84" s="290">
        <v>12</v>
      </c>
      <c r="BB84" s="290">
        <v>5875</v>
      </c>
      <c r="BC84" s="290">
        <v>109.4684</v>
      </c>
      <c r="BD84" s="290">
        <v>186</v>
      </c>
      <c r="BE84" s="290">
        <v>46672.448799999998</v>
      </c>
      <c r="BF84" s="290">
        <v>0</v>
      </c>
      <c r="BG84" s="290">
        <v>72</v>
      </c>
      <c r="BH84" s="290">
        <v>10</v>
      </c>
      <c r="BI84" s="290">
        <v>266.02646499999997</v>
      </c>
      <c r="BJ84" s="290">
        <v>80</v>
      </c>
      <c r="BK84" s="290">
        <f t="shared" si="1"/>
        <v>0</v>
      </c>
      <c r="BL84" s="290">
        <v>0</v>
      </c>
      <c r="BM84" s="290">
        <v>0</v>
      </c>
      <c r="BN84" s="290">
        <v>772</v>
      </c>
      <c r="BO84" s="290">
        <v>126</v>
      </c>
      <c r="BP84" s="290">
        <v>1</v>
      </c>
      <c r="BQ84" s="290">
        <v>74</v>
      </c>
      <c r="BR84" s="290">
        <v>0</v>
      </c>
      <c r="BS84" s="290">
        <v>50</v>
      </c>
      <c r="BT84" s="290">
        <v>0</v>
      </c>
      <c r="BU84" s="290">
        <v>0</v>
      </c>
      <c r="BV84" s="290">
        <v>23</v>
      </c>
      <c r="BW84" s="290"/>
      <c r="BX84" s="290"/>
      <c r="BY84" s="290"/>
    </row>
    <row r="85" spans="1:77" ht="13">
      <c r="A85" s="1">
        <v>1859</v>
      </c>
      <c r="B85" s="2" t="s">
        <v>208</v>
      </c>
      <c r="C85" s="289">
        <v>1272</v>
      </c>
      <c r="D85" s="290">
        <v>17</v>
      </c>
      <c r="E85" s="290">
        <v>41</v>
      </c>
      <c r="F85" s="290">
        <v>123</v>
      </c>
      <c r="G85" s="290">
        <v>123</v>
      </c>
      <c r="H85" s="290">
        <v>688</v>
      </c>
      <c r="I85" s="290">
        <v>189</v>
      </c>
      <c r="J85" s="290">
        <v>95</v>
      </c>
      <c r="K85" s="290">
        <v>17</v>
      </c>
      <c r="L85" s="290">
        <v>10</v>
      </c>
      <c r="M85" s="290">
        <v>141</v>
      </c>
      <c r="N85" s="290">
        <v>1.5</v>
      </c>
      <c r="O85" s="290">
        <v>13</v>
      </c>
      <c r="P85" s="624">
        <v>13021.98533333</v>
      </c>
      <c r="Q85" s="624">
        <v>5573.0283333300004</v>
      </c>
      <c r="R85" s="624">
        <v>9</v>
      </c>
      <c r="S85" s="290">
        <v>0</v>
      </c>
      <c r="T85" s="290">
        <v>96</v>
      </c>
      <c r="U85" s="958">
        <v>5.8991511365273847E-4</v>
      </c>
      <c r="V85" s="290">
        <v>-2055.6735618799999</v>
      </c>
      <c r="W85" s="765">
        <v>0.93365500999999995</v>
      </c>
      <c r="X85" s="290">
        <v>0</v>
      </c>
      <c r="Y85" s="290">
        <v>427.12680399999999</v>
      </c>
      <c r="Z85" s="290">
        <v>40310</v>
      </c>
      <c r="AA85" s="290">
        <v>0</v>
      </c>
      <c r="AB85" s="290">
        <v>27</v>
      </c>
      <c r="AC85" s="290">
        <v>229.21899999999999</v>
      </c>
      <c r="AD85" s="290">
        <v>167</v>
      </c>
      <c r="AE85" s="290">
        <v>0</v>
      </c>
      <c r="AF85" s="290">
        <v>0</v>
      </c>
      <c r="AG85" s="290">
        <v>1293</v>
      </c>
      <c r="AH85" s="290">
        <v>178.56825280000001</v>
      </c>
      <c r="AI85" s="290">
        <v>0</v>
      </c>
      <c r="AJ85" s="290">
        <v>0</v>
      </c>
      <c r="AK85" s="290">
        <v>17.748999999999999</v>
      </c>
      <c r="AL85" s="290">
        <v>2341</v>
      </c>
      <c r="AM85" s="957">
        <v>2.6478740000000001E-2</v>
      </c>
      <c r="AN85" s="290">
        <v>0</v>
      </c>
      <c r="AO85" s="290">
        <v>-231.71972099999999</v>
      </c>
      <c r="AP85" s="290">
        <v>0</v>
      </c>
      <c r="AQ85" s="290">
        <v>0</v>
      </c>
      <c r="AR85" s="290">
        <v>-69.6480447</v>
      </c>
      <c r="AS85" s="290">
        <v>97</v>
      </c>
      <c r="AT85" s="290">
        <v>52</v>
      </c>
      <c r="AU85" s="290">
        <v>17</v>
      </c>
      <c r="AV85" s="766">
        <v>62207</v>
      </c>
      <c r="AW85" s="290">
        <v>299.36700000000002</v>
      </c>
      <c r="AX85" s="766">
        <v>3.9167000000000001</v>
      </c>
      <c r="AY85" s="290">
        <v>195</v>
      </c>
      <c r="AZ85" s="290">
        <v>50</v>
      </c>
      <c r="BA85" s="290">
        <v>24</v>
      </c>
      <c r="BB85" s="290">
        <v>5875</v>
      </c>
      <c r="BC85" s="290">
        <v>185.46875399999999</v>
      </c>
      <c r="BD85" s="290">
        <v>222</v>
      </c>
      <c r="BE85" s="290">
        <v>61223.565499999997</v>
      </c>
      <c r="BF85" s="290">
        <v>0</v>
      </c>
      <c r="BG85" s="290">
        <v>100</v>
      </c>
      <c r="BH85" s="290">
        <v>14</v>
      </c>
      <c r="BI85" s="290">
        <v>852.66305699999998</v>
      </c>
      <c r="BJ85" s="290">
        <v>140</v>
      </c>
      <c r="BK85" s="290">
        <f t="shared" si="1"/>
        <v>0</v>
      </c>
      <c r="BL85" s="290">
        <v>0</v>
      </c>
      <c r="BM85" s="290">
        <v>0</v>
      </c>
      <c r="BN85" s="290">
        <v>1186</v>
      </c>
      <c r="BO85" s="290">
        <v>186</v>
      </c>
      <c r="BP85" s="290">
        <v>1</v>
      </c>
      <c r="BQ85" s="290">
        <v>131</v>
      </c>
      <c r="BR85" s="290">
        <v>-1</v>
      </c>
      <c r="BS85" s="290">
        <v>50</v>
      </c>
      <c r="BT85" s="290">
        <v>0</v>
      </c>
      <c r="BU85" s="290">
        <v>0</v>
      </c>
      <c r="BV85" s="290">
        <v>32</v>
      </c>
      <c r="BW85" s="290"/>
      <c r="BX85" s="290"/>
      <c r="BY85" s="290"/>
    </row>
    <row r="86" spans="1:77" ht="13">
      <c r="A86" s="1">
        <v>1860</v>
      </c>
      <c r="B86" s="2" t="s">
        <v>209</v>
      </c>
      <c r="C86" s="289">
        <v>11433</v>
      </c>
      <c r="D86" s="290">
        <v>241</v>
      </c>
      <c r="E86" s="290">
        <v>531</v>
      </c>
      <c r="F86" s="290">
        <v>1411</v>
      </c>
      <c r="G86" s="290">
        <v>1077</v>
      </c>
      <c r="H86" s="290">
        <v>6224</v>
      </c>
      <c r="I86" s="290">
        <v>1391</v>
      </c>
      <c r="J86" s="290">
        <v>470</v>
      </c>
      <c r="K86" s="290">
        <v>108</v>
      </c>
      <c r="L86" s="290">
        <v>94</v>
      </c>
      <c r="M86" s="290">
        <v>959</v>
      </c>
      <c r="N86" s="290">
        <v>207</v>
      </c>
      <c r="O86" s="290">
        <v>130</v>
      </c>
      <c r="P86" s="624">
        <v>56954.766333330001</v>
      </c>
      <c r="Q86" s="624">
        <v>24740.768333330001</v>
      </c>
      <c r="R86" s="624">
        <v>57</v>
      </c>
      <c r="S86" s="290">
        <v>0</v>
      </c>
      <c r="T86" s="290">
        <v>1000</v>
      </c>
      <c r="U86" s="958">
        <v>3.6750431716014312E-3</v>
      </c>
      <c r="V86" s="290">
        <v>-9348.2797619600005</v>
      </c>
      <c r="W86" s="765">
        <v>0.63619207</v>
      </c>
      <c r="X86" s="290">
        <v>0</v>
      </c>
      <c r="Y86" s="290">
        <v>427.12680399999999</v>
      </c>
      <c r="Z86" s="290">
        <v>297869</v>
      </c>
      <c r="AA86" s="290">
        <v>0</v>
      </c>
      <c r="AB86" s="290">
        <v>238</v>
      </c>
      <c r="AC86" s="290">
        <v>1878.509</v>
      </c>
      <c r="AD86" s="290">
        <v>333</v>
      </c>
      <c r="AE86" s="290">
        <v>0</v>
      </c>
      <c r="AF86" s="290">
        <v>0</v>
      </c>
      <c r="AG86" s="290">
        <v>11453</v>
      </c>
      <c r="AH86" s="290">
        <v>2017.7489617599999</v>
      </c>
      <c r="AI86" s="290">
        <v>2505</v>
      </c>
      <c r="AJ86" s="290">
        <v>0</v>
      </c>
      <c r="AK86" s="290">
        <v>0</v>
      </c>
      <c r="AL86" s="290">
        <v>20802</v>
      </c>
      <c r="AM86" s="957">
        <v>0.34874577000000001</v>
      </c>
      <c r="AN86" s="290">
        <v>0</v>
      </c>
      <c r="AO86" s="290">
        <v>-1678.42948</v>
      </c>
      <c r="AP86" s="290">
        <v>0</v>
      </c>
      <c r="AQ86" s="290">
        <v>0</v>
      </c>
      <c r="AR86" s="290">
        <v>-616.92115699999999</v>
      </c>
      <c r="AS86" s="290">
        <v>4398</v>
      </c>
      <c r="AT86" s="290">
        <v>558</v>
      </c>
      <c r="AU86" s="290">
        <v>176</v>
      </c>
      <c r="AV86" s="766">
        <v>334019</v>
      </c>
      <c r="AW86" s="290">
        <v>2847.4520000000002</v>
      </c>
      <c r="AX86" s="766">
        <v>92.75</v>
      </c>
      <c r="AY86" s="290">
        <v>2156</v>
      </c>
      <c r="AZ86" s="290">
        <v>468</v>
      </c>
      <c r="BA86" s="290">
        <v>299</v>
      </c>
      <c r="BB86" s="290">
        <v>0</v>
      </c>
      <c r="BC86" s="290">
        <v>2374.2564400000001</v>
      </c>
      <c r="BD86" s="290">
        <v>991</v>
      </c>
      <c r="BE86" s="290">
        <v>346334.78899999999</v>
      </c>
      <c r="BF86" s="290">
        <v>0</v>
      </c>
      <c r="BG86" s="290">
        <v>526</v>
      </c>
      <c r="BH86" s="290">
        <v>75</v>
      </c>
      <c r="BI86" s="290">
        <v>4323.3847699999997</v>
      </c>
      <c r="BJ86" s="290">
        <v>1290</v>
      </c>
      <c r="BK86" s="290">
        <f t="shared" si="1"/>
        <v>0</v>
      </c>
      <c r="BL86" s="290">
        <v>0</v>
      </c>
      <c r="BM86" s="290">
        <v>0</v>
      </c>
      <c r="BN86" s="290">
        <v>8588</v>
      </c>
      <c r="BO86" s="290">
        <v>2165</v>
      </c>
      <c r="BP86" s="290">
        <v>11</v>
      </c>
      <c r="BQ86" s="290">
        <v>1117</v>
      </c>
      <c r="BR86" s="290">
        <v>-5</v>
      </c>
      <c r="BS86" s="290">
        <v>188</v>
      </c>
      <c r="BT86" s="290">
        <v>0</v>
      </c>
      <c r="BU86" s="290">
        <v>0</v>
      </c>
      <c r="BV86" s="290">
        <v>169</v>
      </c>
      <c r="BW86" s="290"/>
      <c r="BX86" s="290"/>
      <c r="BY86" s="290"/>
    </row>
    <row r="87" spans="1:77" ht="13">
      <c r="A87" s="1">
        <v>1865</v>
      </c>
      <c r="B87" s="2" t="s">
        <v>210</v>
      </c>
      <c r="C87" s="289">
        <v>9608</v>
      </c>
      <c r="D87" s="290">
        <v>190</v>
      </c>
      <c r="E87" s="290">
        <v>421</v>
      </c>
      <c r="F87" s="290">
        <v>1103</v>
      </c>
      <c r="G87" s="290">
        <v>843</v>
      </c>
      <c r="H87" s="290">
        <v>5386</v>
      </c>
      <c r="I87" s="290">
        <v>1232</v>
      </c>
      <c r="J87" s="290">
        <v>330</v>
      </c>
      <c r="K87" s="290">
        <v>92</v>
      </c>
      <c r="L87" s="290">
        <v>82</v>
      </c>
      <c r="M87" s="290">
        <v>742</v>
      </c>
      <c r="N87" s="290">
        <v>205</v>
      </c>
      <c r="O87" s="290">
        <v>136</v>
      </c>
      <c r="P87" s="624">
        <v>79272.631999999998</v>
      </c>
      <c r="Q87" s="624">
        <v>32991.86266667</v>
      </c>
      <c r="R87" s="624">
        <v>45</v>
      </c>
      <c r="S87" s="290">
        <v>0</v>
      </c>
      <c r="T87" s="290">
        <v>920</v>
      </c>
      <c r="U87" s="958">
        <v>1.2390391760217848E-3</v>
      </c>
      <c r="V87" s="290">
        <v>-669.52056153000001</v>
      </c>
      <c r="W87" s="765">
        <v>0.67584341999999997</v>
      </c>
      <c r="X87" s="290">
        <v>0</v>
      </c>
      <c r="Y87" s="290">
        <v>427.12680399999999</v>
      </c>
      <c r="Z87" s="290">
        <v>274393</v>
      </c>
      <c r="AA87" s="290">
        <v>0</v>
      </c>
      <c r="AB87" s="290">
        <v>169</v>
      </c>
      <c r="AC87" s="290">
        <v>1530.5340000000001</v>
      </c>
      <c r="AD87" s="290">
        <v>333</v>
      </c>
      <c r="AE87" s="290">
        <v>0</v>
      </c>
      <c r="AF87" s="290">
        <v>0</v>
      </c>
      <c r="AG87" s="290">
        <v>9597</v>
      </c>
      <c r="AH87" s="290">
        <v>1583.25697823</v>
      </c>
      <c r="AI87" s="290">
        <v>4800</v>
      </c>
      <c r="AJ87" s="290">
        <v>0</v>
      </c>
      <c r="AK87" s="290">
        <v>0</v>
      </c>
      <c r="AL87" s="290">
        <v>17386</v>
      </c>
      <c r="AM87" s="957">
        <v>0.19413498000000001</v>
      </c>
      <c r="AN87" s="290">
        <v>0</v>
      </c>
      <c r="AO87" s="290">
        <v>-1371.4611600000001</v>
      </c>
      <c r="AP87" s="290">
        <v>0</v>
      </c>
      <c r="AQ87" s="290">
        <v>0</v>
      </c>
      <c r="AR87" s="290">
        <v>-516.94685600000003</v>
      </c>
      <c r="AS87" s="290">
        <v>2657</v>
      </c>
      <c r="AT87" s="290">
        <v>447</v>
      </c>
      <c r="AU87" s="290">
        <v>102</v>
      </c>
      <c r="AV87" s="766">
        <v>274810</v>
      </c>
      <c r="AW87" s="290">
        <v>1274.0899999999999</v>
      </c>
      <c r="AX87" s="766">
        <v>64.666650000000004</v>
      </c>
      <c r="AY87" s="290">
        <v>1921</v>
      </c>
      <c r="AZ87" s="290">
        <v>392</v>
      </c>
      <c r="BA87" s="290">
        <v>221</v>
      </c>
      <c r="BB87" s="290">
        <v>0</v>
      </c>
      <c r="BC87" s="290">
        <v>1962.18112</v>
      </c>
      <c r="BD87" s="290">
        <v>848</v>
      </c>
      <c r="BE87" s="290">
        <v>283258.48800000001</v>
      </c>
      <c r="BF87" s="290">
        <v>0</v>
      </c>
      <c r="BG87" s="290">
        <v>461</v>
      </c>
      <c r="BH87" s="290">
        <v>66</v>
      </c>
      <c r="BI87" s="290">
        <v>3540.9177800000002</v>
      </c>
      <c r="BJ87" s="290">
        <v>0</v>
      </c>
      <c r="BK87" s="290">
        <f t="shared" si="1"/>
        <v>0</v>
      </c>
      <c r="BL87" s="290">
        <v>0</v>
      </c>
      <c r="BM87" s="290">
        <v>0</v>
      </c>
      <c r="BN87" s="290">
        <v>7017</v>
      </c>
      <c r="BO87" s="290">
        <v>1731</v>
      </c>
      <c r="BP87" s="290">
        <v>8</v>
      </c>
      <c r="BQ87" s="290">
        <v>942</v>
      </c>
      <c r="BR87" s="290">
        <v>-4</v>
      </c>
      <c r="BS87" s="290">
        <v>139</v>
      </c>
      <c r="BT87" s="290">
        <v>0</v>
      </c>
      <c r="BU87" s="290">
        <v>0</v>
      </c>
      <c r="BV87" s="290">
        <v>148</v>
      </c>
      <c r="BW87" s="290"/>
      <c r="BX87" s="290"/>
      <c r="BY87" s="290"/>
    </row>
    <row r="88" spans="1:77" ht="13">
      <c r="A88" s="1">
        <v>1866</v>
      </c>
      <c r="B88" s="2" t="s">
        <v>211</v>
      </c>
      <c r="C88" s="289">
        <v>8061</v>
      </c>
      <c r="D88" s="290">
        <v>141</v>
      </c>
      <c r="E88" s="290">
        <v>345</v>
      </c>
      <c r="F88" s="290">
        <v>886</v>
      </c>
      <c r="G88" s="290">
        <v>713</v>
      </c>
      <c r="H88" s="290">
        <v>4437</v>
      </c>
      <c r="I88" s="290">
        <v>1167</v>
      </c>
      <c r="J88" s="290">
        <v>352</v>
      </c>
      <c r="K88" s="290">
        <v>83</v>
      </c>
      <c r="L88" s="290">
        <v>68</v>
      </c>
      <c r="M88" s="290">
        <v>718</v>
      </c>
      <c r="N88" s="290">
        <v>240</v>
      </c>
      <c r="O88" s="290">
        <v>88</v>
      </c>
      <c r="P88" s="624">
        <v>68689.277666669994</v>
      </c>
      <c r="Q88" s="624">
        <v>16669.57766667</v>
      </c>
      <c r="R88" s="624">
        <v>38</v>
      </c>
      <c r="S88" s="290">
        <v>0</v>
      </c>
      <c r="T88" s="290">
        <v>727</v>
      </c>
      <c r="U88" s="958">
        <v>2.5951309000336771E-3</v>
      </c>
      <c r="V88" s="290">
        <v>3961.7122089300001</v>
      </c>
      <c r="W88" s="765">
        <v>0.71469707000000005</v>
      </c>
      <c r="X88" s="290">
        <v>0</v>
      </c>
      <c r="Y88" s="290">
        <v>427.12680399999999</v>
      </c>
      <c r="Z88" s="290">
        <v>229795</v>
      </c>
      <c r="AA88" s="290">
        <v>0</v>
      </c>
      <c r="AB88" s="290">
        <v>177</v>
      </c>
      <c r="AC88" s="290">
        <v>1208.4290000000001</v>
      </c>
      <c r="AD88" s="290">
        <v>333</v>
      </c>
      <c r="AE88" s="290">
        <v>0</v>
      </c>
      <c r="AF88" s="290">
        <v>0</v>
      </c>
      <c r="AG88" s="290">
        <v>8124</v>
      </c>
      <c r="AH88" s="290">
        <v>1282.5104472099999</v>
      </c>
      <c r="AI88" s="290">
        <v>2800</v>
      </c>
      <c r="AJ88" s="290">
        <v>0</v>
      </c>
      <c r="AK88" s="290">
        <v>0</v>
      </c>
      <c r="AL88" s="290">
        <v>14661</v>
      </c>
      <c r="AM88" s="957">
        <v>0.16330786999999999</v>
      </c>
      <c r="AN88" s="290">
        <v>0</v>
      </c>
      <c r="AO88" s="290">
        <v>-1184.3317500000001</v>
      </c>
      <c r="AP88" s="290">
        <v>0</v>
      </c>
      <c r="AQ88" s="290">
        <v>0</v>
      </c>
      <c r="AR88" s="290">
        <v>-437.60302799999999</v>
      </c>
      <c r="AS88" s="290">
        <v>1442</v>
      </c>
      <c r="AT88" s="290">
        <v>379</v>
      </c>
      <c r="AU88" s="290">
        <v>82</v>
      </c>
      <c r="AV88" s="766">
        <v>245881</v>
      </c>
      <c r="AW88" s="290">
        <v>1093.239</v>
      </c>
      <c r="AX88" s="766">
        <v>56.916649999999997</v>
      </c>
      <c r="AY88" s="290">
        <v>1672</v>
      </c>
      <c r="AZ88" s="290">
        <v>344</v>
      </c>
      <c r="BA88" s="290">
        <v>216</v>
      </c>
      <c r="BB88" s="290">
        <v>0</v>
      </c>
      <c r="BC88" s="290">
        <v>1681.88624</v>
      </c>
      <c r="BD88" s="290">
        <v>734</v>
      </c>
      <c r="BE88" s="290">
        <v>253522.61499999999</v>
      </c>
      <c r="BF88" s="290">
        <v>0</v>
      </c>
      <c r="BG88" s="290">
        <v>399</v>
      </c>
      <c r="BH88" s="290">
        <v>57</v>
      </c>
      <c r="BI88" s="290">
        <v>2918.0662499999999</v>
      </c>
      <c r="BJ88" s="290">
        <v>0</v>
      </c>
      <c r="BK88" s="290">
        <f t="shared" si="1"/>
        <v>0</v>
      </c>
      <c r="BL88" s="290">
        <v>0</v>
      </c>
      <c r="BM88" s="290">
        <v>0</v>
      </c>
      <c r="BN88" s="290">
        <v>6060</v>
      </c>
      <c r="BO88" s="290">
        <v>1417</v>
      </c>
      <c r="BP88" s="290">
        <v>7</v>
      </c>
      <c r="BQ88" s="290">
        <v>786</v>
      </c>
      <c r="BR88" s="290">
        <v>-4</v>
      </c>
      <c r="BS88" s="290">
        <v>133</v>
      </c>
      <c r="BT88" s="290">
        <v>0</v>
      </c>
      <c r="BU88" s="290">
        <v>0</v>
      </c>
      <c r="BV88" s="290">
        <v>128</v>
      </c>
      <c r="BW88" s="290"/>
      <c r="BX88" s="290"/>
      <c r="BY88" s="290"/>
    </row>
    <row r="89" spans="1:77" ht="13">
      <c r="A89" s="1">
        <v>1867</v>
      </c>
      <c r="B89" s="2" t="s">
        <v>913</v>
      </c>
      <c r="C89" s="289">
        <v>2569</v>
      </c>
      <c r="D89" s="290">
        <v>43</v>
      </c>
      <c r="E89" s="290">
        <v>84</v>
      </c>
      <c r="F89" s="290">
        <v>232</v>
      </c>
      <c r="G89" s="290">
        <v>207</v>
      </c>
      <c r="H89" s="290">
        <v>1363</v>
      </c>
      <c r="I89" s="290">
        <v>439</v>
      </c>
      <c r="J89" s="290">
        <v>189</v>
      </c>
      <c r="K89" s="290">
        <v>47</v>
      </c>
      <c r="L89" s="290">
        <v>22</v>
      </c>
      <c r="M89" s="290">
        <v>368</v>
      </c>
      <c r="N89" s="290">
        <v>35</v>
      </c>
      <c r="O89" s="290">
        <v>41</v>
      </c>
      <c r="P89" s="624">
        <v>19550.553</v>
      </c>
      <c r="Q89" s="624">
        <v>6105.8050000000003</v>
      </c>
      <c r="R89" s="624">
        <v>13</v>
      </c>
      <c r="S89" s="290">
        <v>0</v>
      </c>
      <c r="T89" s="290">
        <v>246</v>
      </c>
      <c r="U89" s="958">
        <v>1.4135356905587571E-3</v>
      </c>
      <c r="V89" s="290">
        <v>1365.07145922</v>
      </c>
      <c r="W89" s="765">
        <v>1</v>
      </c>
      <c r="X89" s="290">
        <v>0</v>
      </c>
      <c r="Y89" s="290">
        <v>427.12680399999999</v>
      </c>
      <c r="Z89" s="290">
        <v>63494</v>
      </c>
      <c r="AA89" s="290">
        <v>0</v>
      </c>
      <c r="AB89" s="290">
        <v>67</v>
      </c>
      <c r="AC89" s="290">
        <v>368.64400000000001</v>
      </c>
      <c r="AD89" s="290">
        <v>167</v>
      </c>
      <c r="AE89" s="290">
        <v>0</v>
      </c>
      <c r="AF89" s="290">
        <v>0</v>
      </c>
      <c r="AG89" s="290">
        <v>2604</v>
      </c>
      <c r="AH89" s="290">
        <v>345.56933132</v>
      </c>
      <c r="AI89" s="290">
        <v>150</v>
      </c>
      <c r="AJ89" s="290">
        <v>0</v>
      </c>
      <c r="AK89" s="290">
        <v>0</v>
      </c>
      <c r="AL89" s="290">
        <v>4740</v>
      </c>
      <c r="AM89" s="957">
        <v>5.4093719999999998E-2</v>
      </c>
      <c r="AN89" s="290">
        <v>0</v>
      </c>
      <c r="AO89" s="290">
        <v>-438.30377299999998</v>
      </c>
      <c r="AP89" s="290">
        <v>0</v>
      </c>
      <c r="AQ89" s="290">
        <v>0</v>
      </c>
      <c r="AR89" s="290">
        <v>-140.26566800000001</v>
      </c>
      <c r="AS89" s="290">
        <v>271</v>
      </c>
      <c r="AT89" s="290">
        <v>126</v>
      </c>
      <c r="AU89" s="290">
        <v>26</v>
      </c>
      <c r="AV89" s="766">
        <v>109541</v>
      </c>
      <c r="AW89" s="290">
        <v>450.96100000000001</v>
      </c>
      <c r="AX89" s="766">
        <v>20.041650000000001</v>
      </c>
      <c r="AY89" s="290">
        <v>360</v>
      </c>
      <c r="AZ89" s="290">
        <v>113</v>
      </c>
      <c r="BA89" s="290">
        <v>60</v>
      </c>
      <c r="BB89" s="290">
        <v>5875</v>
      </c>
      <c r="BC89" s="290">
        <v>757.33146999999997</v>
      </c>
      <c r="BD89" s="290">
        <v>333</v>
      </c>
      <c r="BE89" s="290">
        <v>110953.11900000001</v>
      </c>
      <c r="BF89" s="290">
        <v>0</v>
      </c>
      <c r="BG89" s="290">
        <v>166</v>
      </c>
      <c r="BH89" s="290">
        <v>24</v>
      </c>
      <c r="BI89" s="290">
        <v>1141.34014</v>
      </c>
      <c r="BJ89" s="290">
        <v>290</v>
      </c>
      <c r="BK89" s="290">
        <f t="shared" si="1"/>
        <v>0</v>
      </c>
      <c r="BL89" s="290">
        <v>0</v>
      </c>
      <c r="BM89" s="290">
        <v>0</v>
      </c>
      <c r="BN89" s="290">
        <v>2243</v>
      </c>
      <c r="BO89" s="290">
        <v>377</v>
      </c>
      <c r="BP89" s="290">
        <v>2</v>
      </c>
      <c r="BQ89" s="290">
        <v>254</v>
      </c>
      <c r="BR89" s="290">
        <v>-1</v>
      </c>
      <c r="BS89" s="290">
        <v>55</v>
      </c>
      <c r="BT89" s="290">
        <v>0</v>
      </c>
      <c r="BU89" s="290">
        <v>0</v>
      </c>
      <c r="BV89" s="290">
        <v>53</v>
      </c>
      <c r="BW89" s="290"/>
      <c r="BX89" s="290"/>
      <c r="BY89" s="290"/>
    </row>
    <row r="90" spans="1:77" ht="13">
      <c r="A90" s="1">
        <v>1868</v>
      </c>
      <c r="B90" s="2" t="s">
        <v>212</v>
      </c>
      <c r="C90" s="289">
        <v>4410</v>
      </c>
      <c r="D90" s="290">
        <v>62</v>
      </c>
      <c r="E90" s="290">
        <v>178</v>
      </c>
      <c r="F90" s="290">
        <v>472</v>
      </c>
      <c r="G90" s="290">
        <v>386</v>
      </c>
      <c r="H90" s="290">
        <v>2510</v>
      </c>
      <c r="I90" s="290">
        <v>574</v>
      </c>
      <c r="J90" s="290">
        <v>208</v>
      </c>
      <c r="K90" s="290">
        <v>42</v>
      </c>
      <c r="L90" s="290">
        <v>37</v>
      </c>
      <c r="M90" s="290">
        <v>412</v>
      </c>
      <c r="N90" s="290">
        <v>11</v>
      </c>
      <c r="O90" s="290">
        <v>31</v>
      </c>
      <c r="P90" s="624">
        <v>24924.232333330001</v>
      </c>
      <c r="Q90" s="624">
        <v>15541.537333329999</v>
      </c>
      <c r="R90" s="624">
        <v>32</v>
      </c>
      <c r="S90" s="290">
        <v>0</v>
      </c>
      <c r="T90" s="290">
        <v>428</v>
      </c>
      <c r="U90" s="958">
        <v>1.0253005399454194E-3</v>
      </c>
      <c r="V90" s="290">
        <v>2143.4300867500001</v>
      </c>
      <c r="W90" s="765">
        <v>0.80470056999999995</v>
      </c>
      <c r="X90" s="290">
        <v>0</v>
      </c>
      <c r="Y90" s="290">
        <v>427.12680399999999</v>
      </c>
      <c r="Z90" s="290">
        <v>120986</v>
      </c>
      <c r="AA90" s="290">
        <v>0</v>
      </c>
      <c r="AB90" s="290">
        <v>161</v>
      </c>
      <c r="AC90" s="290">
        <v>685.5</v>
      </c>
      <c r="AD90" s="290">
        <v>333</v>
      </c>
      <c r="AE90" s="290">
        <v>0</v>
      </c>
      <c r="AF90" s="290">
        <v>0</v>
      </c>
      <c r="AG90" s="290">
        <v>4432</v>
      </c>
      <c r="AH90" s="290">
        <v>671.61905606000005</v>
      </c>
      <c r="AI90" s="290">
        <v>2000</v>
      </c>
      <c r="AJ90" s="290">
        <v>0</v>
      </c>
      <c r="AK90" s="290">
        <v>68.863</v>
      </c>
      <c r="AL90" s="290">
        <v>8062</v>
      </c>
      <c r="AM90" s="957">
        <v>0.13148108</v>
      </c>
      <c r="AN90" s="290">
        <v>0</v>
      </c>
      <c r="AO90" s="290">
        <v>-670.98973899999999</v>
      </c>
      <c r="AP90" s="290">
        <v>0</v>
      </c>
      <c r="AQ90" s="290">
        <v>0</v>
      </c>
      <c r="AR90" s="290">
        <v>-238.73173499999999</v>
      </c>
      <c r="AS90" s="290">
        <v>1002</v>
      </c>
      <c r="AT90" s="290">
        <v>218</v>
      </c>
      <c r="AU90" s="290">
        <v>47</v>
      </c>
      <c r="AV90" s="766">
        <v>142340</v>
      </c>
      <c r="AW90" s="290">
        <v>666.22699999999998</v>
      </c>
      <c r="AX90" s="766">
        <v>18.999949999999998</v>
      </c>
      <c r="AY90" s="290">
        <v>611</v>
      </c>
      <c r="AZ90" s="290">
        <v>254</v>
      </c>
      <c r="BA90" s="290">
        <v>98</v>
      </c>
      <c r="BB90" s="290">
        <v>0</v>
      </c>
      <c r="BC90" s="290">
        <v>1096.19543</v>
      </c>
      <c r="BD90" s="290">
        <v>454</v>
      </c>
      <c r="BE90" s="290">
        <v>148568.27299999999</v>
      </c>
      <c r="BF90" s="290">
        <v>0</v>
      </c>
      <c r="BG90" s="290">
        <v>231</v>
      </c>
      <c r="BH90" s="290">
        <v>33</v>
      </c>
      <c r="BI90" s="290">
        <v>1853.10886</v>
      </c>
      <c r="BJ90" s="290">
        <v>500</v>
      </c>
      <c r="BK90" s="290">
        <f t="shared" si="1"/>
        <v>0</v>
      </c>
      <c r="BL90" s="290">
        <v>0</v>
      </c>
      <c r="BM90" s="290">
        <v>0</v>
      </c>
      <c r="BN90" s="290">
        <v>3433</v>
      </c>
      <c r="BO90" s="290">
        <v>709</v>
      </c>
      <c r="BP90" s="290">
        <v>3</v>
      </c>
      <c r="BQ90" s="290">
        <v>435</v>
      </c>
      <c r="BR90" s="290">
        <v>-2</v>
      </c>
      <c r="BS90" s="290">
        <v>69</v>
      </c>
      <c r="BT90" s="290">
        <v>0</v>
      </c>
      <c r="BU90" s="290">
        <v>0</v>
      </c>
      <c r="BV90" s="290">
        <v>74</v>
      </c>
      <c r="BW90" s="290"/>
      <c r="BX90" s="290"/>
      <c r="BY90" s="290"/>
    </row>
    <row r="91" spans="1:77" ht="13">
      <c r="A91" s="1">
        <v>1870</v>
      </c>
      <c r="B91" s="2" t="s">
        <v>213</v>
      </c>
      <c r="C91" s="289">
        <v>10566</v>
      </c>
      <c r="D91" s="290">
        <v>215</v>
      </c>
      <c r="E91" s="290">
        <v>480</v>
      </c>
      <c r="F91" s="290">
        <v>1271</v>
      </c>
      <c r="G91" s="290">
        <v>1047</v>
      </c>
      <c r="H91" s="290">
        <v>5898</v>
      </c>
      <c r="I91" s="290">
        <v>1236</v>
      </c>
      <c r="J91" s="290">
        <v>340</v>
      </c>
      <c r="K91" s="290">
        <v>103</v>
      </c>
      <c r="L91" s="290">
        <v>80</v>
      </c>
      <c r="M91" s="290">
        <v>801</v>
      </c>
      <c r="N91" s="290">
        <v>156</v>
      </c>
      <c r="O91" s="290">
        <v>89</v>
      </c>
      <c r="P91" s="624">
        <v>50871.953000000001</v>
      </c>
      <c r="Q91" s="624">
        <v>26258.341333330001</v>
      </c>
      <c r="R91" s="624">
        <v>44</v>
      </c>
      <c r="S91" s="290">
        <v>0</v>
      </c>
      <c r="T91" s="290">
        <v>896</v>
      </c>
      <c r="U91" s="958">
        <v>2.2995481571518412E-3</v>
      </c>
      <c r="V91" s="290">
        <v>1311.61736249</v>
      </c>
      <c r="W91" s="765">
        <v>0.61060742000000001</v>
      </c>
      <c r="X91" s="290">
        <v>0</v>
      </c>
      <c r="Y91" s="290">
        <v>427.12680399999999</v>
      </c>
      <c r="Z91" s="290">
        <v>286545</v>
      </c>
      <c r="AA91" s="290">
        <v>0</v>
      </c>
      <c r="AB91" s="290">
        <v>228</v>
      </c>
      <c r="AC91" s="290">
        <v>1623.8820000000001</v>
      </c>
      <c r="AD91" s="290">
        <v>333</v>
      </c>
      <c r="AE91" s="290">
        <v>0</v>
      </c>
      <c r="AF91" s="290">
        <v>0</v>
      </c>
      <c r="AG91" s="290">
        <v>10590</v>
      </c>
      <c r="AH91" s="290">
        <v>1857.2544187599999</v>
      </c>
      <c r="AI91" s="290">
        <v>2380</v>
      </c>
      <c r="AJ91" s="290">
        <v>0</v>
      </c>
      <c r="AK91" s="290">
        <v>0</v>
      </c>
      <c r="AL91" s="290">
        <v>19059</v>
      </c>
      <c r="AM91" s="957">
        <v>0.17579786999999999</v>
      </c>
      <c r="AN91" s="290">
        <v>0</v>
      </c>
      <c r="AO91" s="290">
        <v>-1480.13879</v>
      </c>
      <c r="AP91" s="290">
        <v>0</v>
      </c>
      <c r="AQ91" s="290">
        <v>0</v>
      </c>
      <c r="AR91" s="290">
        <v>-570.43526099999997</v>
      </c>
      <c r="AS91" s="290">
        <v>3485</v>
      </c>
      <c r="AT91" s="290">
        <v>536</v>
      </c>
      <c r="AU91" s="290">
        <v>94</v>
      </c>
      <c r="AV91" s="766">
        <v>291706</v>
      </c>
      <c r="AW91" s="290">
        <v>2886.0619999999999</v>
      </c>
      <c r="AX91" s="766">
        <v>92.583299999999994</v>
      </c>
      <c r="AY91" s="290">
        <v>2074</v>
      </c>
      <c r="AZ91" s="290">
        <v>386</v>
      </c>
      <c r="BA91" s="290">
        <v>334</v>
      </c>
      <c r="BB91" s="290">
        <v>0</v>
      </c>
      <c r="BC91" s="290">
        <v>2211.7969600000001</v>
      </c>
      <c r="BD91" s="290">
        <v>920</v>
      </c>
      <c r="BE91" s="290">
        <v>301202.31099999999</v>
      </c>
      <c r="BF91" s="290">
        <v>0</v>
      </c>
      <c r="BG91" s="290">
        <v>480</v>
      </c>
      <c r="BH91" s="290">
        <v>69</v>
      </c>
      <c r="BI91" s="290">
        <v>3908.2632199999998</v>
      </c>
      <c r="BJ91" s="290">
        <v>0</v>
      </c>
      <c r="BK91" s="290">
        <f t="shared" si="1"/>
        <v>0</v>
      </c>
      <c r="BL91" s="290">
        <v>0</v>
      </c>
      <c r="BM91" s="290">
        <v>0</v>
      </c>
      <c r="BN91" s="290">
        <v>7573</v>
      </c>
      <c r="BO91" s="290">
        <v>1976</v>
      </c>
      <c r="BP91" s="290">
        <v>10</v>
      </c>
      <c r="BQ91" s="290">
        <v>1025</v>
      </c>
      <c r="BR91" s="290">
        <v>-5</v>
      </c>
      <c r="BS91" s="290">
        <v>158</v>
      </c>
      <c r="BT91" s="290">
        <v>0</v>
      </c>
      <c r="BU91" s="290">
        <v>0</v>
      </c>
      <c r="BV91" s="290">
        <v>154</v>
      </c>
      <c r="BW91" s="290"/>
      <c r="BX91" s="290"/>
      <c r="BY91" s="290"/>
    </row>
    <row r="92" spans="1:77" ht="13">
      <c r="A92" s="1">
        <v>1871</v>
      </c>
      <c r="B92" s="2" t="s">
        <v>214</v>
      </c>
      <c r="C92" s="289">
        <v>4663</v>
      </c>
      <c r="D92" s="290">
        <v>79</v>
      </c>
      <c r="E92" s="290">
        <v>166</v>
      </c>
      <c r="F92" s="290">
        <v>483</v>
      </c>
      <c r="G92" s="290">
        <v>402</v>
      </c>
      <c r="H92" s="290">
        <v>2511</v>
      </c>
      <c r="I92" s="290">
        <v>764</v>
      </c>
      <c r="J92" s="290">
        <v>258</v>
      </c>
      <c r="K92" s="290">
        <v>69</v>
      </c>
      <c r="L92" s="290">
        <v>39</v>
      </c>
      <c r="M92" s="290">
        <v>493</v>
      </c>
      <c r="N92" s="290">
        <v>60</v>
      </c>
      <c r="O92" s="290">
        <v>56</v>
      </c>
      <c r="P92" s="624">
        <v>88470.346000000005</v>
      </c>
      <c r="Q92" s="624">
        <v>16466.370666670002</v>
      </c>
      <c r="R92" s="624">
        <v>31</v>
      </c>
      <c r="S92" s="290">
        <v>0</v>
      </c>
      <c r="T92" s="290">
        <v>423</v>
      </c>
      <c r="U92" s="958">
        <v>1.7307709044495608E-3</v>
      </c>
      <c r="V92" s="290">
        <v>-8468.1460964899998</v>
      </c>
      <c r="W92" s="765">
        <v>1</v>
      </c>
      <c r="X92" s="290">
        <v>0</v>
      </c>
      <c r="Y92" s="290">
        <v>427.12680399999999</v>
      </c>
      <c r="Z92" s="290">
        <v>118622</v>
      </c>
      <c r="AA92" s="290">
        <v>0</v>
      </c>
      <c r="AB92" s="290">
        <v>98</v>
      </c>
      <c r="AC92" s="290">
        <v>786.78800000000001</v>
      </c>
      <c r="AD92" s="290">
        <v>333</v>
      </c>
      <c r="AE92" s="290">
        <v>0</v>
      </c>
      <c r="AF92" s="290">
        <v>0</v>
      </c>
      <c r="AG92" s="290">
        <v>4732</v>
      </c>
      <c r="AH92" s="290">
        <v>688.24686908000001</v>
      </c>
      <c r="AI92" s="290">
        <v>900</v>
      </c>
      <c r="AJ92" s="290">
        <v>0</v>
      </c>
      <c r="AK92" s="290">
        <v>0</v>
      </c>
      <c r="AL92" s="290">
        <v>8645</v>
      </c>
      <c r="AM92" s="957">
        <v>0.11666148</v>
      </c>
      <c r="AN92" s="290">
        <v>0</v>
      </c>
      <c r="AO92" s="290">
        <v>-762.832584</v>
      </c>
      <c r="AP92" s="290">
        <v>0</v>
      </c>
      <c r="AQ92" s="290">
        <v>0</v>
      </c>
      <c r="AR92" s="290">
        <v>-254.89137500000001</v>
      </c>
      <c r="AS92" s="290">
        <v>881</v>
      </c>
      <c r="AT92" s="290">
        <v>235</v>
      </c>
      <c r="AU92" s="290">
        <v>50</v>
      </c>
      <c r="AV92" s="766">
        <v>160831</v>
      </c>
      <c r="AW92" s="290">
        <v>695.63199999999995</v>
      </c>
      <c r="AX92" s="766">
        <v>33.166699999999999</v>
      </c>
      <c r="AY92" s="290">
        <v>790</v>
      </c>
      <c r="AZ92" s="290">
        <v>226</v>
      </c>
      <c r="BA92" s="290">
        <v>94</v>
      </c>
      <c r="BB92" s="290">
        <v>0</v>
      </c>
      <c r="BC92" s="290">
        <v>1108.0487000000001</v>
      </c>
      <c r="BD92" s="290">
        <v>501</v>
      </c>
      <c r="BE92" s="290">
        <v>166397.80600000001</v>
      </c>
      <c r="BF92" s="290">
        <v>0</v>
      </c>
      <c r="BG92" s="290">
        <v>284</v>
      </c>
      <c r="BH92" s="290">
        <v>41</v>
      </c>
      <c r="BI92" s="290">
        <v>1902.16167</v>
      </c>
      <c r="BJ92" s="290">
        <v>0</v>
      </c>
      <c r="BK92" s="290">
        <f t="shared" si="1"/>
        <v>0</v>
      </c>
      <c r="BL92" s="290">
        <v>0</v>
      </c>
      <c r="BM92" s="290">
        <v>0</v>
      </c>
      <c r="BN92" s="290">
        <v>3903</v>
      </c>
      <c r="BO92" s="290">
        <v>747</v>
      </c>
      <c r="BP92" s="290">
        <v>3</v>
      </c>
      <c r="BQ92" s="290">
        <v>465</v>
      </c>
      <c r="BR92" s="290">
        <v>-2</v>
      </c>
      <c r="BS92" s="290">
        <v>65</v>
      </c>
      <c r="BT92" s="290">
        <v>0</v>
      </c>
      <c r="BU92" s="290">
        <v>0</v>
      </c>
      <c r="BV92" s="290">
        <v>91</v>
      </c>
      <c r="BW92" s="290"/>
      <c r="BX92" s="290"/>
      <c r="BY92" s="290"/>
    </row>
    <row r="93" spans="1:77" ht="13">
      <c r="A93" s="1">
        <v>1874</v>
      </c>
      <c r="B93" s="2" t="s">
        <v>215</v>
      </c>
      <c r="C93" s="289">
        <v>1015</v>
      </c>
      <c r="D93" s="290">
        <v>14</v>
      </c>
      <c r="E93" s="290">
        <v>20</v>
      </c>
      <c r="F93" s="290">
        <v>88</v>
      </c>
      <c r="G93" s="290">
        <v>81</v>
      </c>
      <c r="H93" s="290">
        <v>576</v>
      </c>
      <c r="I93" s="290">
        <v>153</v>
      </c>
      <c r="J93" s="290">
        <v>77</v>
      </c>
      <c r="K93" s="290">
        <v>14</v>
      </c>
      <c r="L93" s="290">
        <v>9</v>
      </c>
      <c r="M93" s="290">
        <v>115</v>
      </c>
      <c r="N93" s="290">
        <v>1.5</v>
      </c>
      <c r="O93" s="290">
        <v>14</v>
      </c>
      <c r="P93" s="624">
        <v>3615.6666666699998</v>
      </c>
      <c r="Q93" s="624">
        <v>4495.8103333299996</v>
      </c>
      <c r="R93" s="624">
        <v>4</v>
      </c>
      <c r="S93" s="290">
        <v>0</v>
      </c>
      <c r="T93" s="290">
        <v>91</v>
      </c>
      <c r="U93" s="958">
        <v>4.939177359535275E-5</v>
      </c>
      <c r="V93" s="290">
        <v>504.08974295000002</v>
      </c>
      <c r="W93" s="765">
        <v>1</v>
      </c>
      <c r="X93" s="290">
        <v>0</v>
      </c>
      <c r="Y93" s="290">
        <v>0</v>
      </c>
      <c r="Z93" s="290">
        <v>31448</v>
      </c>
      <c r="AA93" s="290">
        <v>0</v>
      </c>
      <c r="AB93" s="290">
        <v>21</v>
      </c>
      <c r="AC93" s="290">
        <v>182.03899999999999</v>
      </c>
      <c r="AD93" s="290">
        <v>167</v>
      </c>
      <c r="AE93" s="290">
        <v>0</v>
      </c>
      <c r="AF93" s="290">
        <v>0</v>
      </c>
      <c r="AG93" s="290">
        <v>1023</v>
      </c>
      <c r="AH93" s="290">
        <v>118.56353627</v>
      </c>
      <c r="AI93" s="290">
        <v>1500</v>
      </c>
      <c r="AJ93" s="290">
        <v>0</v>
      </c>
      <c r="AK93" s="290">
        <v>0</v>
      </c>
      <c r="AL93" s="290">
        <v>1883</v>
      </c>
      <c r="AM93" s="957">
        <v>3.0046659999999999E-2</v>
      </c>
      <c r="AN93" s="290">
        <v>0</v>
      </c>
      <c r="AO93" s="290">
        <v>-180.91809499999999</v>
      </c>
      <c r="AP93" s="290">
        <v>0</v>
      </c>
      <c r="AQ93" s="290">
        <v>0</v>
      </c>
      <c r="AR93" s="290">
        <v>-55.104369499999997</v>
      </c>
      <c r="AS93" s="290">
        <v>54</v>
      </c>
      <c r="AT93" s="290">
        <v>53</v>
      </c>
      <c r="AU93" s="290">
        <v>12</v>
      </c>
      <c r="AV93" s="766">
        <v>49937</v>
      </c>
      <c r="AW93" s="290">
        <v>268.76600000000002</v>
      </c>
      <c r="AX93" s="766">
        <v>3.2083499999999998</v>
      </c>
      <c r="AY93" s="290">
        <v>126</v>
      </c>
      <c r="AZ93" s="290">
        <v>51</v>
      </c>
      <c r="BA93" s="290">
        <v>12</v>
      </c>
      <c r="BB93" s="290">
        <v>5875</v>
      </c>
      <c r="BC93" s="290">
        <v>127.596925</v>
      </c>
      <c r="BD93" s="290">
        <v>209</v>
      </c>
      <c r="BE93" s="290">
        <v>50487.363400000002</v>
      </c>
      <c r="BF93" s="290">
        <v>0</v>
      </c>
      <c r="BG93" s="290">
        <v>87</v>
      </c>
      <c r="BH93" s="290">
        <v>12</v>
      </c>
      <c r="BI93" s="290">
        <v>300.60253599999999</v>
      </c>
      <c r="BJ93" s="290">
        <v>110</v>
      </c>
      <c r="BK93" s="290">
        <f t="shared" si="1"/>
        <v>0</v>
      </c>
      <c r="BL93" s="290">
        <v>0</v>
      </c>
      <c r="BM93" s="290">
        <v>0</v>
      </c>
      <c r="BN93" s="290">
        <v>926</v>
      </c>
      <c r="BO93" s="290">
        <v>116</v>
      </c>
      <c r="BP93" s="290">
        <v>0</v>
      </c>
      <c r="BQ93" s="290">
        <v>107</v>
      </c>
      <c r="BR93" s="290">
        <v>0</v>
      </c>
      <c r="BS93" s="290">
        <v>50</v>
      </c>
      <c r="BT93" s="290">
        <v>0</v>
      </c>
      <c r="BU93" s="290">
        <v>0</v>
      </c>
      <c r="BV93" s="290">
        <v>28</v>
      </c>
      <c r="BW93" s="290"/>
      <c r="BX93" s="290"/>
      <c r="BY93" s="290"/>
    </row>
    <row r="94" spans="1:77" ht="13">
      <c r="A94" s="1">
        <v>1875</v>
      </c>
      <c r="B94" s="2" t="s">
        <v>1617</v>
      </c>
      <c r="C94" s="289">
        <v>2766</v>
      </c>
      <c r="D94" s="290">
        <v>45</v>
      </c>
      <c r="E94" s="290">
        <v>75</v>
      </c>
      <c r="F94" s="290">
        <v>311</v>
      </c>
      <c r="G94" s="290">
        <v>219</v>
      </c>
      <c r="H94" s="290">
        <v>1479</v>
      </c>
      <c r="I94" s="290">
        <v>490</v>
      </c>
      <c r="J94" s="290">
        <v>122</v>
      </c>
      <c r="K94" s="290">
        <v>42</v>
      </c>
      <c r="L94" s="290">
        <v>23</v>
      </c>
      <c r="M94" s="290">
        <v>342</v>
      </c>
      <c r="N94" s="290">
        <v>29</v>
      </c>
      <c r="O94" s="290">
        <v>26</v>
      </c>
      <c r="P94" s="624">
        <v>61891.539169880001</v>
      </c>
      <c r="Q94" s="624">
        <v>15937.42938535</v>
      </c>
      <c r="R94" s="624">
        <v>31</v>
      </c>
      <c r="S94" s="290">
        <v>0</v>
      </c>
      <c r="T94" s="290">
        <v>274</v>
      </c>
      <c r="U94" s="958">
        <v>1.554592260661332E-3</v>
      </c>
      <c r="V94" s="290">
        <v>-2388.4428579</v>
      </c>
      <c r="W94" s="765">
        <v>1</v>
      </c>
      <c r="X94" s="290">
        <v>0</v>
      </c>
      <c r="Y94" s="290">
        <v>427.12680399999999</v>
      </c>
      <c r="Z94" s="290">
        <v>78376</v>
      </c>
      <c r="AA94" s="290">
        <v>0</v>
      </c>
      <c r="AB94" s="290">
        <v>64</v>
      </c>
      <c r="AC94" s="290">
        <v>485.0801118</v>
      </c>
      <c r="AD94" s="290">
        <v>167</v>
      </c>
      <c r="AE94" s="290">
        <v>0</v>
      </c>
      <c r="AF94" s="290">
        <v>10958.5159</v>
      </c>
      <c r="AG94" s="290">
        <v>2783</v>
      </c>
      <c r="AH94" s="290">
        <v>404.12815107</v>
      </c>
      <c r="AI94" s="290">
        <v>1350</v>
      </c>
      <c r="AJ94" s="290">
        <v>3400</v>
      </c>
      <c r="AK94" s="290">
        <v>628.21699999999998</v>
      </c>
      <c r="AL94" s="290">
        <v>5041</v>
      </c>
      <c r="AM94" s="957">
        <v>4.550357E-2</v>
      </c>
      <c r="AN94" s="290">
        <v>0</v>
      </c>
      <c r="AO94" s="290">
        <v>-494.91956499999998</v>
      </c>
      <c r="AP94" s="290">
        <v>0</v>
      </c>
      <c r="AQ94" s="290">
        <v>0</v>
      </c>
      <c r="AR94" s="290">
        <v>-149.90758600000001</v>
      </c>
      <c r="AS94" s="290">
        <v>935</v>
      </c>
      <c r="AT94" s="290">
        <v>116</v>
      </c>
      <c r="AU94" s="290">
        <v>22</v>
      </c>
      <c r="AV94" s="766">
        <v>138165.171</v>
      </c>
      <c r="AW94" s="290">
        <v>473.62</v>
      </c>
      <c r="AX94" s="766">
        <v>16.236149999999999</v>
      </c>
      <c r="AY94" s="290">
        <v>540</v>
      </c>
      <c r="AZ94" s="290">
        <v>138</v>
      </c>
      <c r="BA94" s="290">
        <v>47</v>
      </c>
      <c r="BB94" s="290">
        <v>5875</v>
      </c>
      <c r="BC94" s="290">
        <v>794.12820999999997</v>
      </c>
      <c r="BD94" s="290">
        <v>347</v>
      </c>
      <c r="BE94" s="290">
        <v>136581.53</v>
      </c>
      <c r="BF94" s="290">
        <v>0</v>
      </c>
      <c r="BG94" s="290">
        <v>191</v>
      </c>
      <c r="BH94" s="290">
        <v>27</v>
      </c>
      <c r="BI94" s="290">
        <v>12903.067999999999</v>
      </c>
      <c r="BJ94" s="290">
        <v>0</v>
      </c>
      <c r="BK94" s="290">
        <f t="shared" si="1"/>
        <v>0</v>
      </c>
      <c r="BL94" s="290">
        <v>0</v>
      </c>
      <c r="BM94" s="290">
        <v>0</v>
      </c>
      <c r="BN94" s="290">
        <v>2532</v>
      </c>
      <c r="BO94" s="290">
        <v>409</v>
      </c>
      <c r="BP94" s="290">
        <v>2</v>
      </c>
      <c r="BQ94" s="290">
        <v>272</v>
      </c>
      <c r="BR94" s="290">
        <v>-1</v>
      </c>
      <c r="BS94" s="290">
        <v>50</v>
      </c>
      <c r="BT94" s="290">
        <v>0</v>
      </c>
      <c r="BU94" s="290">
        <v>0</v>
      </c>
      <c r="BV94" s="290">
        <v>61</v>
      </c>
      <c r="BW94" s="290"/>
      <c r="BX94" s="290"/>
      <c r="BY94" s="290"/>
    </row>
    <row r="95" spans="1:77" ht="13">
      <c r="A95" s="1">
        <v>3001</v>
      </c>
      <c r="B95" s="2" t="s">
        <v>783</v>
      </c>
      <c r="C95" s="289">
        <v>31373</v>
      </c>
      <c r="D95" s="290">
        <v>522</v>
      </c>
      <c r="E95" s="290">
        <v>1264</v>
      </c>
      <c r="F95" s="290">
        <v>3649</v>
      </c>
      <c r="G95" s="290">
        <v>2622</v>
      </c>
      <c r="H95" s="290">
        <v>17609</v>
      </c>
      <c r="I95" s="290">
        <v>4009</v>
      </c>
      <c r="J95" s="290">
        <v>1212</v>
      </c>
      <c r="K95" s="290">
        <v>292</v>
      </c>
      <c r="L95" s="290">
        <v>255</v>
      </c>
      <c r="M95" s="290">
        <v>2460</v>
      </c>
      <c r="N95" s="290">
        <v>1061</v>
      </c>
      <c r="O95" s="290">
        <v>228</v>
      </c>
      <c r="P95" s="624">
        <v>86910.910666669995</v>
      </c>
      <c r="Q95" s="624">
        <v>61248.45</v>
      </c>
      <c r="R95" s="624">
        <v>126</v>
      </c>
      <c r="S95" s="290">
        <v>0</v>
      </c>
      <c r="T95" s="290">
        <v>2897</v>
      </c>
      <c r="U95" s="958">
        <v>4.2875457113526038E-3</v>
      </c>
      <c r="V95" s="290">
        <v>9188.8788612200005</v>
      </c>
      <c r="W95" s="765">
        <v>0.55755087999999997</v>
      </c>
      <c r="X95" s="290">
        <v>3300</v>
      </c>
      <c r="Y95" s="290">
        <v>427.12680399999999</v>
      </c>
      <c r="Z95" s="290">
        <v>771295</v>
      </c>
      <c r="AA95" s="290">
        <v>500</v>
      </c>
      <c r="AB95" s="290">
        <v>1038</v>
      </c>
      <c r="AC95" s="290">
        <v>12755.276</v>
      </c>
      <c r="AD95" s="290">
        <v>500</v>
      </c>
      <c r="AE95" s="290">
        <v>0</v>
      </c>
      <c r="AF95" s="290">
        <v>0</v>
      </c>
      <c r="AG95" s="290">
        <v>31179</v>
      </c>
      <c r="AH95" s="290">
        <v>5003.5258202599998</v>
      </c>
      <c r="AI95" s="290">
        <v>0</v>
      </c>
      <c r="AJ95" s="290">
        <v>0</v>
      </c>
      <c r="AK95" s="290">
        <v>2826.84</v>
      </c>
      <c r="AL95" s="290">
        <v>0</v>
      </c>
      <c r="AM95" s="957">
        <v>1.36349627</v>
      </c>
      <c r="AN95" s="290">
        <v>0</v>
      </c>
      <c r="AO95" s="290">
        <v>-4318.5746300000001</v>
      </c>
      <c r="AP95" s="290">
        <v>0</v>
      </c>
      <c r="AQ95" s="290">
        <v>0</v>
      </c>
      <c r="AR95" s="290">
        <v>-1679.4712999999999</v>
      </c>
      <c r="AS95" s="290">
        <v>8301</v>
      </c>
      <c r="AT95" s="290">
        <v>2045</v>
      </c>
      <c r="AU95" s="290">
        <v>381</v>
      </c>
      <c r="AV95" s="766">
        <v>784896</v>
      </c>
      <c r="AW95" s="290">
        <v>12300</v>
      </c>
      <c r="AX95" s="766">
        <v>175.62504999999999</v>
      </c>
      <c r="AY95" s="290">
        <v>6791</v>
      </c>
      <c r="AZ95" s="290">
        <v>1701</v>
      </c>
      <c r="BA95" s="290">
        <v>832</v>
      </c>
      <c r="BB95" s="290">
        <v>0</v>
      </c>
      <c r="BC95" s="290">
        <v>5281.0956699999997</v>
      </c>
      <c r="BD95" s="290">
        <v>2542</v>
      </c>
      <c r="BE95" s="290">
        <v>833122.58400000003</v>
      </c>
      <c r="BF95" s="290">
        <v>0</v>
      </c>
      <c r="BG95" s="290">
        <v>1349</v>
      </c>
      <c r="BH95" s="290">
        <v>193</v>
      </c>
      <c r="BI95" s="290">
        <v>21012.768599999999</v>
      </c>
      <c r="BJ95" s="290">
        <v>3550</v>
      </c>
      <c r="BK95" s="290">
        <f t="shared" si="1"/>
        <v>0</v>
      </c>
      <c r="BL95" s="290">
        <v>0</v>
      </c>
      <c r="BM95" s="290">
        <v>0</v>
      </c>
      <c r="BN95" s="290">
        <v>22096</v>
      </c>
      <c r="BO95" s="290">
        <v>5252</v>
      </c>
      <c r="BP95" s="290">
        <v>26</v>
      </c>
      <c r="BQ95" s="290">
        <v>3029</v>
      </c>
      <c r="BR95" s="290">
        <v>-15</v>
      </c>
      <c r="BS95" s="290">
        <v>585</v>
      </c>
      <c r="BT95" s="290">
        <v>0</v>
      </c>
      <c r="BU95" s="290">
        <v>0</v>
      </c>
      <c r="BV95" s="290">
        <v>434</v>
      </c>
      <c r="BW95" s="290"/>
      <c r="BX95" s="290"/>
      <c r="BY95" s="290"/>
    </row>
    <row r="96" spans="1:77" ht="13">
      <c r="A96" s="1">
        <v>3002</v>
      </c>
      <c r="B96" s="2" t="s">
        <v>1618</v>
      </c>
      <c r="C96" s="289">
        <v>49273</v>
      </c>
      <c r="D96" s="290">
        <v>882</v>
      </c>
      <c r="E96" s="290">
        <v>1984</v>
      </c>
      <c r="F96" s="290">
        <v>5749</v>
      </c>
      <c r="G96" s="290">
        <v>4049</v>
      </c>
      <c r="H96" s="290">
        <v>27811</v>
      </c>
      <c r="I96" s="290">
        <v>6307</v>
      </c>
      <c r="J96" s="290">
        <v>1946</v>
      </c>
      <c r="K96" s="290">
        <v>404</v>
      </c>
      <c r="L96" s="290">
        <v>388</v>
      </c>
      <c r="M96" s="290">
        <v>3875</v>
      </c>
      <c r="N96" s="290">
        <v>1632</v>
      </c>
      <c r="O96" s="290">
        <v>481</v>
      </c>
      <c r="P96" s="624">
        <v>83722.319666669995</v>
      </c>
      <c r="Q96" s="624">
        <v>38384.623</v>
      </c>
      <c r="R96" s="624">
        <v>179</v>
      </c>
      <c r="S96" s="290">
        <v>470</v>
      </c>
      <c r="T96" s="290">
        <v>4563</v>
      </c>
      <c r="U96" s="958">
        <v>1.8997751323599158E-3</v>
      </c>
      <c r="V96" s="290">
        <v>-20475.400894260001</v>
      </c>
      <c r="W96" s="765">
        <v>0.53599361999999995</v>
      </c>
      <c r="X96" s="290">
        <v>5100</v>
      </c>
      <c r="Y96" s="290">
        <v>854.25360799999999</v>
      </c>
      <c r="Z96" s="290">
        <v>1373136</v>
      </c>
      <c r="AA96" s="290">
        <v>0</v>
      </c>
      <c r="AB96" s="290">
        <v>1495</v>
      </c>
      <c r="AC96" s="290">
        <v>9251.7639999999992</v>
      </c>
      <c r="AD96" s="290">
        <v>500</v>
      </c>
      <c r="AE96" s="290">
        <v>0</v>
      </c>
      <c r="AF96" s="290">
        <v>14712.8544</v>
      </c>
      <c r="AG96" s="290">
        <v>49132</v>
      </c>
      <c r="AH96" s="290">
        <v>7971.2289689600002</v>
      </c>
      <c r="AI96" s="290">
        <v>0</v>
      </c>
      <c r="AJ96" s="290">
        <v>0</v>
      </c>
      <c r="AK96" s="290">
        <v>0</v>
      </c>
      <c r="AL96" s="290">
        <v>0</v>
      </c>
      <c r="AM96" s="957">
        <v>2.4016440399999999</v>
      </c>
      <c r="AN96" s="290">
        <v>0</v>
      </c>
      <c r="AO96" s="290">
        <v>-6669.06106</v>
      </c>
      <c r="AP96" s="290">
        <v>0</v>
      </c>
      <c r="AQ96" s="290">
        <v>0</v>
      </c>
      <c r="AR96" s="290">
        <v>-2646.5179699999999</v>
      </c>
      <c r="AS96" s="290">
        <v>12681</v>
      </c>
      <c r="AT96" s="290">
        <v>3369</v>
      </c>
      <c r="AU96" s="290">
        <v>618</v>
      </c>
      <c r="AV96" s="766">
        <v>1191914</v>
      </c>
      <c r="AW96" s="290">
        <v>26800</v>
      </c>
      <c r="AX96" s="766">
        <v>312.41669999999999</v>
      </c>
      <c r="AY96" s="290">
        <v>11389</v>
      </c>
      <c r="AZ96" s="290">
        <v>2755</v>
      </c>
      <c r="BA96" s="290">
        <v>1245</v>
      </c>
      <c r="BB96" s="290">
        <v>0</v>
      </c>
      <c r="BC96" s="290">
        <v>19509.9244</v>
      </c>
      <c r="BD96" s="290">
        <v>3962</v>
      </c>
      <c r="BE96" s="290">
        <v>1229575.17</v>
      </c>
      <c r="BF96" s="290">
        <v>0</v>
      </c>
      <c r="BG96" s="290">
        <v>2051</v>
      </c>
      <c r="BH96" s="290">
        <v>293</v>
      </c>
      <c r="BI96" s="290">
        <v>32790.101000000002</v>
      </c>
      <c r="BJ96" s="290">
        <v>5580</v>
      </c>
      <c r="BK96" s="290">
        <f t="shared" si="1"/>
        <v>0</v>
      </c>
      <c r="BL96" s="290">
        <v>0</v>
      </c>
      <c r="BM96" s="290">
        <v>6579</v>
      </c>
      <c r="BN96" s="290">
        <v>34123</v>
      </c>
      <c r="BO96" s="290">
        <v>8329</v>
      </c>
      <c r="BP96" s="290">
        <v>41</v>
      </c>
      <c r="BQ96" s="290">
        <v>4791</v>
      </c>
      <c r="BR96" s="290">
        <v>-23</v>
      </c>
      <c r="BS96" s="290">
        <v>812</v>
      </c>
      <c r="BT96" s="290">
        <v>0</v>
      </c>
      <c r="BU96" s="290">
        <v>0</v>
      </c>
      <c r="BV96" s="290">
        <v>659</v>
      </c>
      <c r="BW96" s="290"/>
      <c r="BX96" s="290"/>
      <c r="BY96" s="290"/>
    </row>
    <row r="97" spans="1:77" ht="13">
      <c r="A97" s="1">
        <v>3003</v>
      </c>
      <c r="B97" s="2" t="s">
        <v>785</v>
      </c>
      <c r="C97" s="289">
        <v>56732</v>
      </c>
      <c r="D97" s="290">
        <v>1071</v>
      </c>
      <c r="E97" s="290">
        <v>2455</v>
      </c>
      <c r="F97" s="290">
        <v>6828</v>
      </c>
      <c r="G97" s="290">
        <v>4841</v>
      </c>
      <c r="H97" s="290">
        <v>31755</v>
      </c>
      <c r="I97" s="290">
        <v>6802</v>
      </c>
      <c r="J97" s="290">
        <v>2133</v>
      </c>
      <c r="K97" s="290">
        <v>479</v>
      </c>
      <c r="L97" s="290">
        <v>466</v>
      </c>
      <c r="M97" s="290">
        <v>4220</v>
      </c>
      <c r="N97" s="290">
        <v>3250</v>
      </c>
      <c r="O97" s="290">
        <v>534</v>
      </c>
      <c r="P97" s="624">
        <v>131208.535</v>
      </c>
      <c r="Q97" s="624">
        <v>73630.173333330007</v>
      </c>
      <c r="R97" s="624">
        <v>247</v>
      </c>
      <c r="S97" s="290">
        <v>0</v>
      </c>
      <c r="T97" s="290">
        <v>4724</v>
      </c>
      <c r="U97" s="958">
        <v>5.5675230842359607E-3</v>
      </c>
      <c r="V97" s="290">
        <v>13517.49912233</v>
      </c>
      <c r="W97" s="765">
        <v>0.54634422000000005</v>
      </c>
      <c r="X97" s="290">
        <v>4500</v>
      </c>
      <c r="Y97" s="290">
        <v>854.25360799999999</v>
      </c>
      <c r="Z97" s="290">
        <v>1427126</v>
      </c>
      <c r="AA97" s="290">
        <v>450</v>
      </c>
      <c r="AB97" s="290">
        <v>1800</v>
      </c>
      <c r="AC97" s="290">
        <v>8720.8140000000003</v>
      </c>
      <c r="AD97" s="290">
        <v>500</v>
      </c>
      <c r="AE97" s="290">
        <v>0</v>
      </c>
      <c r="AF97" s="290">
        <v>0</v>
      </c>
      <c r="AG97" s="290">
        <v>56364</v>
      </c>
      <c r="AH97" s="290">
        <v>9559.5465859300002</v>
      </c>
      <c r="AI97" s="290">
        <v>0</v>
      </c>
      <c r="AJ97" s="290">
        <v>0</v>
      </c>
      <c r="AK97" s="290">
        <v>526.05600000000004</v>
      </c>
      <c r="AL97" s="290">
        <v>0</v>
      </c>
      <c r="AM97" s="957">
        <v>2.7993871700000001</v>
      </c>
      <c r="AN97" s="290">
        <v>0</v>
      </c>
      <c r="AO97" s="290">
        <v>-7879.3375400000004</v>
      </c>
      <c r="AP97" s="290">
        <v>0</v>
      </c>
      <c r="AQ97" s="290">
        <v>0</v>
      </c>
      <c r="AR97" s="290">
        <v>-3036.0729999999999</v>
      </c>
      <c r="AS97" s="290">
        <v>11483</v>
      </c>
      <c r="AT97" s="290">
        <v>3798</v>
      </c>
      <c r="AU97" s="290">
        <v>720</v>
      </c>
      <c r="AV97" s="766">
        <v>1445918</v>
      </c>
      <c r="AW97" s="290">
        <v>31700</v>
      </c>
      <c r="AX97" s="766">
        <v>306.45835</v>
      </c>
      <c r="AY97" s="290">
        <v>10631</v>
      </c>
      <c r="AZ97" s="290">
        <v>3210</v>
      </c>
      <c r="BA97" s="290">
        <v>1541</v>
      </c>
      <c r="BB97" s="290">
        <v>0</v>
      </c>
      <c r="BC97" s="290">
        <v>10035.069600000001</v>
      </c>
      <c r="BD97" s="290">
        <v>4544</v>
      </c>
      <c r="BE97" s="290">
        <v>1512160.57</v>
      </c>
      <c r="BF97" s="290">
        <v>0</v>
      </c>
      <c r="BG97" s="290">
        <v>2368</v>
      </c>
      <c r="BH97" s="290">
        <v>338</v>
      </c>
      <c r="BI97" s="290">
        <v>19660.6702</v>
      </c>
      <c r="BJ97" s="290">
        <v>6420</v>
      </c>
      <c r="BK97" s="290">
        <f t="shared" si="1"/>
        <v>0</v>
      </c>
      <c r="BL97" s="290">
        <v>0</v>
      </c>
      <c r="BM97" s="290">
        <v>0</v>
      </c>
      <c r="BN97" s="290">
        <v>40315</v>
      </c>
      <c r="BO97" s="290">
        <v>9848</v>
      </c>
      <c r="BP97" s="290">
        <v>48</v>
      </c>
      <c r="BQ97" s="290">
        <v>5447</v>
      </c>
      <c r="BR97" s="290">
        <v>-26</v>
      </c>
      <c r="BS97" s="290">
        <v>1221</v>
      </c>
      <c r="BT97" s="290">
        <v>0</v>
      </c>
      <c r="BU97" s="290">
        <v>0</v>
      </c>
      <c r="BV97" s="290">
        <v>761</v>
      </c>
      <c r="BW97" s="290"/>
      <c r="BX97" s="290"/>
      <c r="BY97" s="290"/>
    </row>
    <row r="98" spans="1:77" ht="13">
      <c r="A98" s="1">
        <v>3004</v>
      </c>
      <c r="B98" s="2" t="s">
        <v>786</v>
      </c>
      <c r="C98" s="289">
        <v>82385</v>
      </c>
      <c r="D98" s="290">
        <v>1531</v>
      </c>
      <c r="E98" s="290">
        <v>3385</v>
      </c>
      <c r="F98" s="290">
        <v>9666</v>
      </c>
      <c r="G98" s="290">
        <v>7233</v>
      </c>
      <c r="H98" s="290">
        <v>46846</v>
      </c>
      <c r="I98" s="290">
        <v>9781</v>
      </c>
      <c r="J98" s="290">
        <v>3128</v>
      </c>
      <c r="K98" s="290">
        <v>641</v>
      </c>
      <c r="L98" s="290">
        <v>671</v>
      </c>
      <c r="M98" s="290">
        <v>5824</v>
      </c>
      <c r="N98" s="290">
        <v>4676</v>
      </c>
      <c r="O98" s="290">
        <v>714</v>
      </c>
      <c r="P98" s="624">
        <v>156731.69633333001</v>
      </c>
      <c r="Q98" s="624">
        <v>101113.53833333</v>
      </c>
      <c r="R98" s="624">
        <v>274</v>
      </c>
      <c r="S98" s="290">
        <v>0</v>
      </c>
      <c r="T98" s="290">
        <v>6914</v>
      </c>
      <c r="U98" s="958">
        <v>4.88087545199597E-3</v>
      </c>
      <c r="V98" s="290">
        <v>1010.20409559</v>
      </c>
      <c r="W98" s="765">
        <v>0.54301723999999996</v>
      </c>
      <c r="X98" s="290">
        <v>7800</v>
      </c>
      <c r="Y98" s="290">
        <v>1708.507216</v>
      </c>
      <c r="Z98" s="290">
        <v>2171553</v>
      </c>
      <c r="AA98" s="290">
        <v>500</v>
      </c>
      <c r="AB98" s="290">
        <v>2451</v>
      </c>
      <c r="AC98" s="290">
        <v>12083.653</v>
      </c>
      <c r="AD98" s="290">
        <v>500</v>
      </c>
      <c r="AE98" s="290">
        <v>0</v>
      </c>
      <c r="AF98" s="290">
        <v>0</v>
      </c>
      <c r="AG98" s="290">
        <v>82211</v>
      </c>
      <c r="AH98" s="290">
        <v>13505.398908859999</v>
      </c>
      <c r="AI98" s="290">
        <v>0</v>
      </c>
      <c r="AJ98" s="290">
        <v>0</v>
      </c>
      <c r="AK98" s="290">
        <v>1194.3789999999999</v>
      </c>
      <c r="AL98" s="290">
        <v>0</v>
      </c>
      <c r="AM98" s="957">
        <v>4.3344469999999999</v>
      </c>
      <c r="AN98" s="290">
        <v>0</v>
      </c>
      <c r="AO98" s="290">
        <v>-11091.706</v>
      </c>
      <c r="AP98" s="290">
        <v>0</v>
      </c>
      <c r="AQ98" s="290">
        <v>0</v>
      </c>
      <c r="AR98" s="290">
        <v>-4428.3336399999998</v>
      </c>
      <c r="AS98" s="290">
        <v>8306</v>
      </c>
      <c r="AT98" s="290">
        <v>5472</v>
      </c>
      <c r="AU98" s="290">
        <v>1142</v>
      </c>
      <c r="AV98" s="766">
        <v>1944997</v>
      </c>
      <c r="AW98" s="290">
        <v>39150</v>
      </c>
      <c r="AX98" s="766">
        <v>485.66665</v>
      </c>
      <c r="AY98" s="290">
        <v>18841</v>
      </c>
      <c r="AZ98" s="290">
        <v>4638</v>
      </c>
      <c r="BA98" s="290">
        <v>2113</v>
      </c>
      <c r="BB98" s="290">
        <v>0</v>
      </c>
      <c r="BC98" s="290">
        <v>14673.416800000001</v>
      </c>
      <c r="BD98" s="290">
        <v>6596</v>
      </c>
      <c r="BE98" s="290">
        <v>2027596.09</v>
      </c>
      <c r="BF98" s="290">
        <v>0</v>
      </c>
      <c r="BG98" s="290">
        <v>3409</v>
      </c>
      <c r="BH98" s="290">
        <v>487</v>
      </c>
      <c r="BI98" s="290">
        <v>28491.938099999999</v>
      </c>
      <c r="BJ98" s="290">
        <v>9330</v>
      </c>
      <c r="BK98" s="290">
        <f t="shared" si="1"/>
        <v>0</v>
      </c>
      <c r="BL98" s="290">
        <v>0</v>
      </c>
      <c r="BM98" s="290">
        <v>0</v>
      </c>
      <c r="BN98" s="290">
        <v>56751</v>
      </c>
      <c r="BO98" s="290">
        <v>14030</v>
      </c>
      <c r="BP98" s="290">
        <v>69</v>
      </c>
      <c r="BQ98" s="290">
        <v>7982</v>
      </c>
      <c r="BR98" s="290">
        <v>-38</v>
      </c>
      <c r="BS98" s="290">
        <v>1712</v>
      </c>
      <c r="BT98" s="290">
        <v>0</v>
      </c>
      <c r="BU98" s="290">
        <v>0</v>
      </c>
      <c r="BV98" s="290">
        <v>1096</v>
      </c>
      <c r="BW98" s="290"/>
      <c r="BX98" s="290"/>
      <c r="BY98" s="290"/>
    </row>
    <row r="99" spans="1:77" ht="13">
      <c r="A99" s="1">
        <v>3005</v>
      </c>
      <c r="B99" s="2" t="s">
        <v>1619</v>
      </c>
      <c r="C99" s="289">
        <v>101386</v>
      </c>
      <c r="D99" s="290">
        <v>2093</v>
      </c>
      <c r="E99" s="290">
        <v>4471</v>
      </c>
      <c r="F99" s="290">
        <v>12194</v>
      </c>
      <c r="G99" s="290">
        <v>8329</v>
      </c>
      <c r="H99" s="290">
        <v>58374</v>
      </c>
      <c r="I99" s="290">
        <v>11311</v>
      </c>
      <c r="J99" s="290">
        <v>3464</v>
      </c>
      <c r="K99" s="290">
        <v>807</v>
      </c>
      <c r="L99" s="290">
        <v>792</v>
      </c>
      <c r="M99" s="290">
        <v>7060</v>
      </c>
      <c r="N99" s="290">
        <v>5619</v>
      </c>
      <c r="O99" s="290">
        <v>1300</v>
      </c>
      <c r="P99" s="624">
        <v>204894.36</v>
      </c>
      <c r="Q99" s="624">
        <v>80238.722666670001</v>
      </c>
      <c r="R99" s="624">
        <v>349</v>
      </c>
      <c r="S99" s="290">
        <v>0</v>
      </c>
      <c r="T99" s="290">
        <v>9120</v>
      </c>
      <c r="U99" s="958">
        <v>2.4040420008891307E-3</v>
      </c>
      <c r="V99" s="290">
        <v>18349.956977739999</v>
      </c>
      <c r="W99" s="765">
        <v>0.53367834999999997</v>
      </c>
      <c r="X99" s="290">
        <v>7750</v>
      </c>
      <c r="Y99" s="290">
        <v>2135.63402</v>
      </c>
      <c r="Z99" s="290">
        <v>2988879</v>
      </c>
      <c r="AA99" s="290">
        <v>1000</v>
      </c>
      <c r="AB99" s="290">
        <v>2160</v>
      </c>
      <c r="AC99" s="290">
        <v>38194.519999999997</v>
      </c>
      <c r="AD99" s="290">
        <v>667</v>
      </c>
      <c r="AE99" s="290">
        <v>0</v>
      </c>
      <c r="AF99" s="290">
        <v>29425.7088</v>
      </c>
      <c r="AG99" s="290">
        <v>101043</v>
      </c>
      <c r="AH99" s="290">
        <v>17078.932809959999</v>
      </c>
      <c r="AI99" s="290">
        <v>800</v>
      </c>
      <c r="AJ99" s="290">
        <v>0</v>
      </c>
      <c r="AK99" s="290">
        <v>0</v>
      </c>
      <c r="AL99" s="290">
        <v>0</v>
      </c>
      <c r="AM99" s="957">
        <v>6.1085600299999996</v>
      </c>
      <c r="AN99" s="290">
        <v>0</v>
      </c>
      <c r="AO99" s="290">
        <v>-13769.6062</v>
      </c>
      <c r="AP99" s="290">
        <v>38523</v>
      </c>
      <c r="AQ99" s="290">
        <v>0</v>
      </c>
      <c r="AR99" s="290">
        <v>-5442.7280600000004</v>
      </c>
      <c r="AS99" s="290">
        <v>18422</v>
      </c>
      <c r="AT99" s="290">
        <v>6478</v>
      </c>
      <c r="AU99" s="290">
        <v>1416</v>
      </c>
      <c r="AV99" s="766">
        <v>2488380</v>
      </c>
      <c r="AW99" s="290">
        <v>75700</v>
      </c>
      <c r="AX99" s="766">
        <v>742.58335</v>
      </c>
      <c r="AY99" s="290">
        <v>23656</v>
      </c>
      <c r="AZ99" s="290">
        <v>6737</v>
      </c>
      <c r="BA99" s="290">
        <v>2484</v>
      </c>
      <c r="BB99" s="290">
        <v>0</v>
      </c>
      <c r="BC99" s="290">
        <v>32887.061900000001</v>
      </c>
      <c r="BD99" s="290">
        <v>8099</v>
      </c>
      <c r="BE99" s="290">
        <v>2652517.46</v>
      </c>
      <c r="BF99" s="290">
        <v>0</v>
      </c>
      <c r="BG99" s="290">
        <v>4097</v>
      </c>
      <c r="BH99" s="290">
        <v>585</v>
      </c>
      <c r="BI99" s="290">
        <v>86834.795599999998</v>
      </c>
      <c r="BJ99" s="290">
        <v>11480</v>
      </c>
      <c r="BK99" s="290">
        <f t="shared" si="1"/>
        <v>0</v>
      </c>
      <c r="BL99" s="290">
        <v>0</v>
      </c>
      <c r="BM99" s="290">
        <v>0</v>
      </c>
      <c r="BN99" s="290">
        <v>70453</v>
      </c>
      <c r="BO99" s="290">
        <v>18423</v>
      </c>
      <c r="BP99" s="290">
        <v>92</v>
      </c>
      <c r="BQ99" s="290">
        <v>10016</v>
      </c>
      <c r="BR99" s="290">
        <v>-47</v>
      </c>
      <c r="BS99" s="290">
        <v>1818</v>
      </c>
      <c r="BT99" s="290">
        <v>0</v>
      </c>
      <c r="BU99" s="290">
        <v>0</v>
      </c>
      <c r="BV99" s="290">
        <v>1317</v>
      </c>
      <c r="BW99" s="290"/>
      <c r="BX99" s="290"/>
      <c r="BY99" s="290"/>
    </row>
    <row r="100" spans="1:77" ht="13">
      <c r="A100" s="1">
        <v>3006</v>
      </c>
      <c r="B100" s="2" t="s">
        <v>872</v>
      </c>
      <c r="C100" s="289">
        <v>27723</v>
      </c>
      <c r="D100" s="290">
        <v>479</v>
      </c>
      <c r="E100" s="290">
        <v>1128</v>
      </c>
      <c r="F100" s="290">
        <v>3403</v>
      </c>
      <c r="G100" s="290">
        <v>2264</v>
      </c>
      <c r="H100" s="290">
        <v>15668</v>
      </c>
      <c r="I100" s="290">
        <v>3345</v>
      </c>
      <c r="J100" s="290">
        <v>1035</v>
      </c>
      <c r="K100" s="290">
        <v>242</v>
      </c>
      <c r="L100" s="290">
        <v>189</v>
      </c>
      <c r="M100" s="290">
        <v>1867</v>
      </c>
      <c r="N100" s="290">
        <v>787</v>
      </c>
      <c r="O100" s="290">
        <v>309</v>
      </c>
      <c r="P100" s="624">
        <v>78231.75666667</v>
      </c>
      <c r="Q100" s="624">
        <v>37763.910000000003</v>
      </c>
      <c r="R100" s="624">
        <v>97</v>
      </c>
      <c r="S100" s="290">
        <v>0</v>
      </c>
      <c r="T100" s="290">
        <v>2643</v>
      </c>
      <c r="U100" s="958">
        <v>3.7197891585896768E-3</v>
      </c>
      <c r="V100" s="290">
        <v>-3927.7786182099999</v>
      </c>
      <c r="W100" s="765">
        <v>0.56406864000000001</v>
      </c>
      <c r="X100" s="290">
        <v>1900</v>
      </c>
      <c r="Y100" s="290">
        <v>427.12680399999999</v>
      </c>
      <c r="Z100" s="290">
        <v>897703</v>
      </c>
      <c r="AA100" s="290">
        <v>1500</v>
      </c>
      <c r="AB100" s="290">
        <v>574</v>
      </c>
      <c r="AC100" s="290">
        <v>4274.5659999999998</v>
      </c>
      <c r="AD100" s="290">
        <v>333</v>
      </c>
      <c r="AE100" s="290">
        <v>0</v>
      </c>
      <c r="AF100" s="290">
        <v>0</v>
      </c>
      <c r="AG100" s="290">
        <v>27564</v>
      </c>
      <c r="AH100" s="290">
        <v>4548.0683333699999</v>
      </c>
      <c r="AI100" s="290">
        <v>900</v>
      </c>
      <c r="AJ100" s="290">
        <v>0</v>
      </c>
      <c r="AK100" s="290">
        <v>0</v>
      </c>
      <c r="AL100" s="290">
        <v>0</v>
      </c>
      <c r="AM100" s="957">
        <v>0.63080601000000003</v>
      </c>
      <c r="AN100" s="290">
        <v>0</v>
      </c>
      <c r="AO100" s="290">
        <v>-3721.9839700000002</v>
      </c>
      <c r="AP100" s="290">
        <v>0</v>
      </c>
      <c r="AQ100" s="290">
        <v>0</v>
      </c>
      <c r="AR100" s="290">
        <v>-1484.74764</v>
      </c>
      <c r="AS100" s="290">
        <v>5111</v>
      </c>
      <c r="AT100" s="290">
        <v>1511</v>
      </c>
      <c r="AU100" s="290">
        <v>280</v>
      </c>
      <c r="AV100" s="766">
        <v>644354</v>
      </c>
      <c r="AW100" s="290">
        <v>10700</v>
      </c>
      <c r="AX100" s="766">
        <v>197.79165</v>
      </c>
      <c r="AY100" s="290">
        <v>8067</v>
      </c>
      <c r="AZ100" s="290">
        <v>1126</v>
      </c>
      <c r="BA100" s="290">
        <v>608</v>
      </c>
      <c r="BB100" s="290">
        <v>0</v>
      </c>
      <c r="BC100" s="290">
        <v>4842.5248199999996</v>
      </c>
      <c r="BD100" s="290">
        <v>2259</v>
      </c>
      <c r="BE100" s="290">
        <v>675781.58600000001</v>
      </c>
      <c r="BF100" s="290">
        <v>0</v>
      </c>
      <c r="BG100" s="290">
        <v>1172</v>
      </c>
      <c r="BH100" s="290">
        <v>167</v>
      </c>
      <c r="BI100" s="290">
        <v>9249.7611400000005</v>
      </c>
      <c r="BJ100" s="290">
        <v>0</v>
      </c>
      <c r="BK100" s="290">
        <f t="shared" si="1"/>
        <v>0</v>
      </c>
      <c r="BL100" s="290">
        <v>0</v>
      </c>
      <c r="BM100" s="290">
        <v>0</v>
      </c>
      <c r="BN100" s="290">
        <v>19044</v>
      </c>
      <c r="BO100" s="290">
        <v>4949</v>
      </c>
      <c r="BP100" s="290">
        <v>24</v>
      </c>
      <c r="BQ100" s="290">
        <v>2826</v>
      </c>
      <c r="BR100" s="290">
        <v>-13</v>
      </c>
      <c r="BS100" s="290">
        <v>307</v>
      </c>
      <c r="BT100" s="290">
        <v>0</v>
      </c>
      <c r="BU100" s="290">
        <v>0</v>
      </c>
      <c r="BV100" s="290">
        <v>377</v>
      </c>
      <c r="BW100" s="290"/>
      <c r="BX100" s="290"/>
      <c r="BY100" s="290"/>
    </row>
    <row r="101" spans="1:77" ht="13">
      <c r="A101" s="1">
        <v>3007</v>
      </c>
      <c r="B101" s="2" t="s">
        <v>873</v>
      </c>
      <c r="C101" s="289">
        <v>30641</v>
      </c>
      <c r="D101" s="290">
        <v>525</v>
      </c>
      <c r="E101" s="290">
        <v>1179</v>
      </c>
      <c r="F101" s="290">
        <v>3423</v>
      </c>
      <c r="G101" s="290">
        <v>2391</v>
      </c>
      <c r="H101" s="290">
        <v>17493</v>
      </c>
      <c r="I101" s="290">
        <v>3978</v>
      </c>
      <c r="J101" s="290">
        <v>1257</v>
      </c>
      <c r="K101" s="290">
        <v>300</v>
      </c>
      <c r="L101" s="290">
        <v>246</v>
      </c>
      <c r="M101" s="290">
        <v>2592</v>
      </c>
      <c r="N101" s="290">
        <v>813</v>
      </c>
      <c r="O101" s="290">
        <v>301</v>
      </c>
      <c r="P101" s="624">
        <v>135402.905</v>
      </c>
      <c r="Q101" s="624">
        <v>81352.442333329993</v>
      </c>
      <c r="R101" s="624">
        <v>89</v>
      </c>
      <c r="S101" s="290">
        <v>0</v>
      </c>
      <c r="T101" s="290">
        <v>2960</v>
      </c>
      <c r="U101" s="958">
        <v>6.3982884248388076E-3</v>
      </c>
      <c r="V101" s="290">
        <v>1444.3982799600001</v>
      </c>
      <c r="W101" s="765">
        <v>0.60973189999999999</v>
      </c>
      <c r="X101" s="290">
        <v>4100</v>
      </c>
      <c r="Y101" s="290">
        <v>427.12680399999999</v>
      </c>
      <c r="Z101" s="290">
        <v>853860</v>
      </c>
      <c r="AA101" s="290">
        <v>0</v>
      </c>
      <c r="AB101" s="290">
        <v>708</v>
      </c>
      <c r="AC101" s="290">
        <v>4372.143</v>
      </c>
      <c r="AD101" s="290">
        <v>500</v>
      </c>
      <c r="AE101" s="290">
        <v>0</v>
      </c>
      <c r="AF101" s="290">
        <v>0</v>
      </c>
      <c r="AG101" s="290">
        <v>30546</v>
      </c>
      <c r="AH101" s="290">
        <v>4684.7055794300004</v>
      </c>
      <c r="AI101" s="290">
        <v>0</v>
      </c>
      <c r="AJ101" s="290">
        <v>0</v>
      </c>
      <c r="AK101" s="290">
        <v>0</v>
      </c>
      <c r="AL101" s="290">
        <v>0</v>
      </c>
      <c r="AM101" s="957">
        <v>1.0952949400000001</v>
      </c>
      <c r="AN101" s="290">
        <v>0</v>
      </c>
      <c r="AO101" s="290">
        <v>-4149.2583199999999</v>
      </c>
      <c r="AP101" s="290">
        <v>0</v>
      </c>
      <c r="AQ101" s="290">
        <v>0</v>
      </c>
      <c r="AR101" s="290">
        <v>-1645.37446</v>
      </c>
      <c r="AS101" s="290">
        <v>10527</v>
      </c>
      <c r="AT101" s="290">
        <v>1870</v>
      </c>
      <c r="AU101" s="290">
        <v>355</v>
      </c>
      <c r="AV101" s="766">
        <v>734392</v>
      </c>
      <c r="AW101" s="290">
        <v>17550</v>
      </c>
      <c r="AX101" s="766">
        <v>190.79169999999999</v>
      </c>
      <c r="AY101" s="290">
        <v>6474</v>
      </c>
      <c r="AZ101" s="290">
        <v>1529</v>
      </c>
      <c r="BA101" s="290">
        <v>676</v>
      </c>
      <c r="BB101" s="290">
        <v>0</v>
      </c>
      <c r="BC101" s="290">
        <v>4896.91039</v>
      </c>
      <c r="BD101" s="290">
        <v>2497</v>
      </c>
      <c r="BE101" s="290">
        <v>765760.63300000003</v>
      </c>
      <c r="BF101" s="290">
        <v>0</v>
      </c>
      <c r="BG101" s="290">
        <v>1357</v>
      </c>
      <c r="BH101" s="290">
        <v>194</v>
      </c>
      <c r="BI101" s="290">
        <v>9483.9753799999999</v>
      </c>
      <c r="BJ101" s="290">
        <v>0</v>
      </c>
      <c r="BK101" s="290">
        <f t="shared" si="1"/>
        <v>0</v>
      </c>
      <c r="BL101" s="290">
        <v>0</v>
      </c>
      <c r="BM101" s="290">
        <v>0</v>
      </c>
      <c r="BN101" s="290">
        <v>21230</v>
      </c>
      <c r="BO101" s="290">
        <v>5010</v>
      </c>
      <c r="BP101" s="290">
        <v>24</v>
      </c>
      <c r="BQ101" s="290">
        <v>2973</v>
      </c>
      <c r="BR101" s="290">
        <v>-14</v>
      </c>
      <c r="BS101" s="290">
        <v>416</v>
      </c>
      <c r="BT101" s="290">
        <v>0</v>
      </c>
      <c r="BU101" s="290">
        <v>0</v>
      </c>
      <c r="BV101" s="290">
        <v>436</v>
      </c>
      <c r="BW101" s="290"/>
      <c r="BX101" s="290"/>
      <c r="BY101" s="290"/>
    </row>
    <row r="102" spans="1:77" ht="13">
      <c r="A102" s="1">
        <v>3011</v>
      </c>
      <c r="B102" s="2" t="s">
        <v>787</v>
      </c>
      <c r="C102" s="289">
        <v>4668</v>
      </c>
      <c r="D102" s="290">
        <v>47</v>
      </c>
      <c r="E102" s="290">
        <v>143</v>
      </c>
      <c r="F102" s="290">
        <v>475</v>
      </c>
      <c r="G102" s="290">
        <v>332</v>
      </c>
      <c r="H102" s="290">
        <v>2566</v>
      </c>
      <c r="I102" s="290">
        <v>873</v>
      </c>
      <c r="J102" s="290">
        <v>173</v>
      </c>
      <c r="K102" s="290">
        <v>40</v>
      </c>
      <c r="L102" s="290">
        <v>33</v>
      </c>
      <c r="M102" s="290">
        <v>380</v>
      </c>
      <c r="N102" s="290">
        <v>21</v>
      </c>
      <c r="O102" s="290">
        <v>22</v>
      </c>
      <c r="P102" s="624">
        <v>32446.60433333</v>
      </c>
      <c r="Q102" s="624">
        <v>14910.411</v>
      </c>
      <c r="R102" s="624">
        <v>21</v>
      </c>
      <c r="S102" s="290">
        <v>0</v>
      </c>
      <c r="T102" s="290">
        <v>375</v>
      </c>
      <c r="U102" s="958">
        <v>6.6392101649712435E-4</v>
      </c>
      <c r="V102" s="290">
        <v>1296.77455113</v>
      </c>
      <c r="W102" s="765">
        <v>0.71411338999999996</v>
      </c>
      <c r="X102" s="290">
        <v>200</v>
      </c>
      <c r="Y102" s="290">
        <v>0</v>
      </c>
      <c r="Z102" s="290">
        <v>156132</v>
      </c>
      <c r="AA102" s="290">
        <v>0</v>
      </c>
      <c r="AB102" s="290">
        <v>133</v>
      </c>
      <c r="AC102" s="290">
        <v>642.524</v>
      </c>
      <c r="AD102" s="290">
        <v>333</v>
      </c>
      <c r="AE102" s="290">
        <v>0</v>
      </c>
      <c r="AF102" s="290">
        <v>0</v>
      </c>
      <c r="AG102" s="290">
        <v>4649</v>
      </c>
      <c r="AH102" s="290">
        <v>620.28972023999995</v>
      </c>
      <c r="AI102" s="290">
        <v>0</v>
      </c>
      <c r="AJ102" s="290">
        <v>0</v>
      </c>
      <c r="AK102" s="290">
        <v>0</v>
      </c>
      <c r="AL102" s="290">
        <v>0</v>
      </c>
      <c r="AM102" s="957">
        <v>4.28032E-2</v>
      </c>
      <c r="AN102" s="290">
        <v>0</v>
      </c>
      <c r="AO102" s="290">
        <v>-629.44975699999998</v>
      </c>
      <c r="AP102" s="290">
        <v>0</v>
      </c>
      <c r="AQ102" s="290">
        <v>0</v>
      </c>
      <c r="AR102" s="290">
        <v>-250.42054099999999</v>
      </c>
      <c r="AS102" s="290">
        <v>1425</v>
      </c>
      <c r="AT102" s="290">
        <v>258</v>
      </c>
      <c r="AU102" s="290">
        <v>29</v>
      </c>
      <c r="AV102" s="766">
        <v>109202</v>
      </c>
      <c r="AW102" s="290">
        <v>1150</v>
      </c>
      <c r="AX102" s="766">
        <v>19.166699999999999</v>
      </c>
      <c r="AY102" s="290">
        <v>1153</v>
      </c>
      <c r="AZ102" s="290">
        <v>121</v>
      </c>
      <c r="BA102" s="290">
        <v>87</v>
      </c>
      <c r="BB102" s="290">
        <v>0</v>
      </c>
      <c r="BC102" s="290">
        <v>601.727575</v>
      </c>
      <c r="BD102" s="290">
        <v>456</v>
      </c>
      <c r="BE102" s="290">
        <v>116197.14</v>
      </c>
      <c r="BF102" s="290">
        <v>0</v>
      </c>
      <c r="BG102" s="290">
        <v>246</v>
      </c>
      <c r="BH102" s="290">
        <v>35</v>
      </c>
      <c r="BI102" s="290">
        <v>1262.8137200000001</v>
      </c>
      <c r="BJ102" s="290">
        <v>0</v>
      </c>
      <c r="BK102" s="290">
        <f t="shared" si="1"/>
        <v>0</v>
      </c>
      <c r="BL102" s="290">
        <v>0</v>
      </c>
      <c r="BM102" s="290">
        <v>0</v>
      </c>
      <c r="BN102" s="290">
        <v>3221</v>
      </c>
      <c r="BO102" s="290">
        <v>661</v>
      </c>
      <c r="BP102" s="290">
        <v>3</v>
      </c>
      <c r="BQ102" s="290">
        <v>483</v>
      </c>
      <c r="BR102" s="290">
        <v>-2</v>
      </c>
      <c r="BS102" s="290">
        <v>50</v>
      </c>
      <c r="BT102" s="290">
        <v>0</v>
      </c>
      <c r="BU102" s="290">
        <v>0</v>
      </c>
      <c r="BV102" s="290">
        <v>79</v>
      </c>
      <c r="BW102" s="290"/>
      <c r="BX102" s="290"/>
      <c r="BY102" s="290"/>
    </row>
    <row r="103" spans="1:77" ht="13">
      <c r="A103" s="1">
        <v>3012</v>
      </c>
      <c r="B103" s="2" t="s">
        <v>788</v>
      </c>
      <c r="C103" s="289">
        <v>1325</v>
      </c>
      <c r="D103" s="290">
        <v>18</v>
      </c>
      <c r="E103" s="290">
        <v>48</v>
      </c>
      <c r="F103" s="290">
        <v>149</v>
      </c>
      <c r="G103" s="290">
        <v>115</v>
      </c>
      <c r="H103" s="290">
        <v>746</v>
      </c>
      <c r="I103" s="290">
        <v>191</v>
      </c>
      <c r="J103" s="290">
        <v>64</v>
      </c>
      <c r="K103" s="290">
        <v>19</v>
      </c>
      <c r="L103" s="290">
        <v>12</v>
      </c>
      <c r="M103" s="290">
        <v>125</v>
      </c>
      <c r="N103" s="290">
        <v>1.5</v>
      </c>
      <c r="O103" s="290">
        <v>9</v>
      </c>
      <c r="P103" s="624">
        <v>7648.9023333300001</v>
      </c>
      <c r="Q103" s="624">
        <v>8635.6890000000003</v>
      </c>
      <c r="R103" s="624">
        <v>3</v>
      </c>
      <c r="S103" s="290">
        <v>0</v>
      </c>
      <c r="T103" s="290">
        <v>106</v>
      </c>
      <c r="U103" s="958">
        <v>1.3415700016461735E-3</v>
      </c>
      <c r="V103" s="290">
        <v>759.25138160999995</v>
      </c>
      <c r="W103" s="765">
        <v>0.8922137</v>
      </c>
      <c r="X103" s="290">
        <v>600</v>
      </c>
      <c r="Y103" s="290">
        <v>273.445944</v>
      </c>
      <c r="Z103" s="290">
        <v>34854</v>
      </c>
      <c r="AA103" s="290">
        <v>0</v>
      </c>
      <c r="AB103" s="290">
        <v>35</v>
      </c>
      <c r="AC103" s="290">
        <v>261.53899999999999</v>
      </c>
      <c r="AD103" s="290">
        <v>167</v>
      </c>
      <c r="AE103" s="290">
        <v>0</v>
      </c>
      <c r="AF103" s="290">
        <v>0</v>
      </c>
      <c r="AG103" s="290">
        <v>1350</v>
      </c>
      <c r="AH103" s="290">
        <v>212.54682722000001</v>
      </c>
      <c r="AI103" s="290">
        <v>0</v>
      </c>
      <c r="AJ103" s="290">
        <v>0</v>
      </c>
      <c r="AK103" s="290">
        <v>0</v>
      </c>
      <c r="AL103" s="290">
        <v>0</v>
      </c>
      <c r="AM103" s="957">
        <v>3.4212190000000003E-2</v>
      </c>
      <c r="AN103" s="290">
        <v>0</v>
      </c>
      <c r="AO103" s="290">
        <v>-226.973962</v>
      </c>
      <c r="AP103" s="290">
        <v>0</v>
      </c>
      <c r="AQ103" s="290">
        <v>0</v>
      </c>
      <c r="AR103" s="290">
        <v>-72.7183761</v>
      </c>
      <c r="AS103" s="290">
        <v>243</v>
      </c>
      <c r="AT103" s="290">
        <v>90</v>
      </c>
      <c r="AU103" s="290">
        <v>10</v>
      </c>
      <c r="AV103" s="766">
        <v>56703</v>
      </c>
      <c r="AW103" s="290">
        <v>1300</v>
      </c>
      <c r="AX103" s="766">
        <v>5.0833000000000004</v>
      </c>
      <c r="AY103" s="290">
        <v>206</v>
      </c>
      <c r="AZ103" s="290">
        <v>70</v>
      </c>
      <c r="BA103" s="290">
        <v>33</v>
      </c>
      <c r="BB103" s="290">
        <v>5875</v>
      </c>
      <c r="BC103" s="290">
        <v>479.97729399999997</v>
      </c>
      <c r="BD103" s="290">
        <v>221</v>
      </c>
      <c r="BE103" s="290">
        <v>58598.087699999996</v>
      </c>
      <c r="BF103" s="290">
        <v>0</v>
      </c>
      <c r="BG103" s="290">
        <v>99</v>
      </c>
      <c r="BH103" s="290">
        <v>14</v>
      </c>
      <c r="BI103" s="290">
        <v>747.53177100000005</v>
      </c>
      <c r="BJ103" s="290">
        <v>0</v>
      </c>
      <c r="BK103" s="290">
        <f t="shared" si="1"/>
        <v>0</v>
      </c>
      <c r="BL103" s="290">
        <v>0</v>
      </c>
      <c r="BM103" s="290">
        <v>0</v>
      </c>
      <c r="BN103" s="290">
        <v>1161</v>
      </c>
      <c r="BO103" s="290">
        <v>215</v>
      </c>
      <c r="BP103" s="290">
        <v>1</v>
      </c>
      <c r="BQ103" s="290">
        <v>132</v>
      </c>
      <c r="BR103" s="290">
        <v>-1</v>
      </c>
      <c r="BS103" s="290">
        <v>50</v>
      </c>
      <c r="BT103" s="290">
        <v>0</v>
      </c>
      <c r="BU103" s="290">
        <v>0</v>
      </c>
      <c r="BV103" s="290">
        <v>32</v>
      </c>
      <c r="BW103" s="290"/>
      <c r="BX103" s="290"/>
      <c r="BY103" s="290"/>
    </row>
    <row r="104" spans="1:77" ht="13">
      <c r="A104" s="1">
        <v>3013</v>
      </c>
      <c r="B104" s="2" t="s">
        <v>789</v>
      </c>
      <c r="C104" s="289">
        <v>3595</v>
      </c>
      <c r="D104" s="290">
        <v>50</v>
      </c>
      <c r="E104" s="290">
        <v>133</v>
      </c>
      <c r="F104" s="290">
        <v>370</v>
      </c>
      <c r="G104" s="290">
        <v>286</v>
      </c>
      <c r="H104" s="290">
        <v>1931</v>
      </c>
      <c r="I104" s="290">
        <v>595</v>
      </c>
      <c r="J104" s="290">
        <v>197</v>
      </c>
      <c r="K104" s="290">
        <v>39</v>
      </c>
      <c r="L104" s="290">
        <v>25</v>
      </c>
      <c r="M104" s="290">
        <v>339</v>
      </c>
      <c r="N104" s="290">
        <v>66</v>
      </c>
      <c r="O104" s="290">
        <v>19</v>
      </c>
      <c r="P104" s="624">
        <v>19865.61833333</v>
      </c>
      <c r="Q104" s="624">
        <v>13402.57466667</v>
      </c>
      <c r="R104" s="624">
        <v>12</v>
      </c>
      <c r="S104" s="290">
        <v>0</v>
      </c>
      <c r="T104" s="290">
        <v>320</v>
      </c>
      <c r="U104" s="958">
        <v>2.8615246779622938E-3</v>
      </c>
      <c r="V104" s="290">
        <v>1647.29234451</v>
      </c>
      <c r="W104" s="765">
        <v>0.74714968999999998</v>
      </c>
      <c r="X104" s="290">
        <v>300</v>
      </c>
      <c r="Y104" s="290">
        <v>289.34396400000003</v>
      </c>
      <c r="Z104" s="290">
        <v>91448</v>
      </c>
      <c r="AA104" s="290">
        <v>0</v>
      </c>
      <c r="AB104" s="290">
        <v>129</v>
      </c>
      <c r="AC104" s="290">
        <v>524.15499999999997</v>
      </c>
      <c r="AD104" s="290">
        <v>333</v>
      </c>
      <c r="AE104" s="290">
        <v>0</v>
      </c>
      <c r="AF104" s="290">
        <v>0</v>
      </c>
      <c r="AG104" s="290">
        <v>3601</v>
      </c>
      <c r="AH104" s="290">
        <v>525.58348090000004</v>
      </c>
      <c r="AI104" s="290">
        <v>0</v>
      </c>
      <c r="AJ104" s="290">
        <v>0</v>
      </c>
      <c r="AK104" s="290">
        <v>248.333</v>
      </c>
      <c r="AL104" s="290">
        <v>0</v>
      </c>
      <c r="AM104" s="957">
        <v>4.0286259999999997E-2</v>
      </c>
      <c r="AN104" s="290">
        <v>5411</v>
      </c>
      <c r="AO104" s="290">
        <v>-522.67213100000004</v>
      </c>
      <c r="AP104" s="290">
        <v>0</v>
      </c>
      <c r="AQ104" s="290">
        <v>0</v>
      </c>
      <c r="AR104" s="290">
        <v>-193.96953500000001</v>
      </c>
      <c r="AS104" s="290">
        <v>1473</v>
      </c>
      <c r="AT104" s="290">
        <v>208</v>
      </c>
      <c r="AU104" s="290">
        <v>21</v>
      </c>
      <c r="AV104" s="766">
        <v>106944</v>
      </c>
      <c r="AW104" s="290">
        <v>2500</v>
      </c>
      <c r="AX104" s="766">
        <v>7.2083500000000003</v>
      </c>
      <c r="AY104" s="290">
        <v>553</v>
      </c>
      <c r="AZ104" s="290">
        <v>119</v>
      </c>
      <c r="BA104" s="290">
        <v>62</v>
      </c>
      <c r="BB104" s="290">
        <v>0</v>
      </c>
      <c r="BC104" s="290">
        <v>799.39871100000005</v>
      </c>
      <c r="BD104" s="290">
        <v>380</v>
      </c>
      <c r="BE104" s="290">
        <v>110857.427</v>
      </c>
      <c r="BF104" s="290">
        <v>0</v>
      </c>
      <c r="BG104" s="290">
        <v>200</v>
      </c>
      <c r="BH104" s="290">
        <v>29</v>
      </c>
      <c r="BI104" s="290">
        <v>1587.41544</v>
      </c>
      <c r="BJ104" s="290">
        <v>0</v>
      </c>
      <c r="BK104" s="290">
        <f t="shared" si="1"/>
        <v>0</v>
      </c>
      <c r="BL104" s="290">
        <v>0</v>
      </c>
      <c r="BM104" s="290">
        <v>0</v>
      </c>
      <c r="BN104" s="290">
        <v>2674</v>
      </c>
      <c r="BO104" s="290">
        <v>532</v>
      </c>
      <c r="BP104" s="290">
        <v>2</v>
      </c>
      <c r="BQ104" s="290">
        <v>350</v>
      </c>
      <c r="BR104" s="290">
        <v>-2</v>
      </c>
      <c r="BS104" s="290">
        <v>50</v>
      </c>
      <c r="BT104" s="290">
        <v>0</v>
      </c>
      <c r="BU104" s="290">
        <v>0</v>
      </c>
      <c r="BV104" s="290">
        <v>64</v>
      </c>
      <c r="BW104" s="290"/>
      <c r="BX104" s="290"/>
      <c r="BY104" s="290"/>
    </row>
    <row r="105" spans="1:77" ht="13">
      <c r="A105" s="1">
        <v>3014</v>
      </c>
      <c r="B105" s="2" t="s">
        <v>1620</v>
      </c>
      <c r="C105" s="289">
        <v>44792</v>
      </c>
      <c r="D105" s="290">
        <v>882</v>
      </c>
      <c r="E105" s="290">
        <v>1906</v>
      </c>
      <c r="F105" s="290">
        <v>5377</v>
      </c>
      <c r="G105" s="290">
        <v>3661</v>
      </c>
      <c r="H105" s="290">
        <v>25335</v>
      </c>
      <c r="I105" s="290">
        <v>5559</v>
      </c>
      <c r="J105" s="290">
        <v>1505</v>
      </c>
      <c r="K105" s="290">
        <v>390</v>
      </c>
      <c r="L105" s="290">
        <v>355</v>
      </c>
      <c r="M105" s="290">
        <v>3241</v>
      </c>
      <c r="N105" s="290">
        <v>1568</v>
      </c>
      <c r="O105" s="290">
        <v>444</v>
      </c>
      <c r="P105" s="624">
        <v>129551.2</v>
      </c>
      <c r="Q105" s="624">
        <v>80333.793000000005</v>
      </c>
      <c r="R105" s="624">
        <v>187</v>
      </c>
      <c r="S105" s="290">
        <v>1525</v>
      </c>
      <c r="T105" s="290">
        <v>3901</v>
      </c>
      <c r="U105" s="958">
        <v>1.3110992314292221E-2</v>
      </c>
      <c r="V105" s="290">
        <v>8737.0593563000002</v>
      </c>
      <c r="W105" s="765">
        <v>0.57222070999999997</v>
      </c>
      <c r="X105" s="290">
        <v>4750</v>
      </c>
      <c r="Y105" s="290">
        <v>2135.63402</v>
      </c>
      <c r="Z105" s="290">
        <v>1185800</v>
      </c>
      <c r="AA105" s="290">
        <v>0</v>
      </c>
      <c r="AB105" s="290">
        <v>1301</v>
      </c>
      <c r="AC105" s="290">
        <v>7426.6009999999997</v>
      </c>
      <c r="AD105" s="290">
        <v>500</v>
      </c>
      <c r="AE105" s="290">
        <v>0</v>
      </c>
      <c r="AF105" s="290">
        <v>58851.417600000001</v>
      </c>
      <c r="AG105" s="290">
        <v>44615</v>
      </c>
      <c r="AH105" s="290">
        <v>7454.3208687599999</v>
      </c>
      <c r="AI105" s="290">
        <v>300</v>
      </c>
      <c r="AJ105" s="290">
        <v>0</v>
      </c>
      <c r="AK105" s="290">
        <v>0</v>
      </c>
      <c r="AL105" s="290">
        <v>0</v>
      </c>
      <c r="AM105" s="957">
        <v>1.69780514</v>
      </c>
      <c r="AN105" s="290">
        <v>0</v>
      </c>
      <c r="AO105" s="290">
        <v>-6120.6057499999997</v>
      </c>
      <c r="AP105" s="290">
        <v>0</v>
      </c>
      <c r="AQ105" s="290">
        <v>0</v>
      </c>
      <c r="AR105" s="290">
        <v>-2403.2076699999998</v>
      </c>
      <c r="AS105" s="290">
        <v>8486</v>
      </c>
      <c r="AT105" s="290">
        <v>2966</v>
      </c>
      <c r="AU105" s="290">
        <v>522</v>
      </c>
      <c r="AV105" s="766">
        <v>1031331</v>
      </c>
      <c r="AW105" s="290">
        <v>20700</v>
      </c>
      <c r="AX105" s="766">
        <v>302</v>
      </c>
      <c r="AY105" s="290">
        <v>7580</v>
      </c>
      <c r="AZ105" s="290">
        <v>2154</v>
      </c>
      <c r="BA105" s="290">
        <v>1188</v>
      </c>
      <c r="BB105" s="290">
        <v>0</v>
      </c>
      <c r="BC105" s="290">
        <v>-101894.023</v>
      </c>
      <c r="BD105" s="290">
        <v>3612</v>
      </c>
      <c r="BE105" s="290">
        <v>1216237.7</v>
      </c>
      <c r="BF105" s="290">
        <v>0</v>
      </c>
      <c r="BG105" s="290">
        <v>1897</v>
      </c>
      <c r="BH105" s="290">
        <v>271</v>
      </c>
      <c r="BI105" s="290">
        <v>75867.973499999993</v>
      </c>
      <c r="BJ105" s="290">
        <v>0</v>
      </c>
      <c r="BK105" s="290">
        <f t="shared" si="1"/>
        <v>0</v>
      </c>
      <c r="BL105" s="290">
        <v>0</v>
      </c>
      <c r="BM105" s="290">
        <v>6270</v>
      </c>
      <c r="BN105" s="290">
        <v>31317</v>
      </c>
      <c r="BO105" s="290">
        <v>7786</v>
      </c>
      <c r="BP105" s="290">
        <v>38</v>
      </c>
      <c r="BQ105" s="290">
        <v>4326</v>
      </c>
      <c r="BR105" s="290">
        <v>-21</v>
      </c>
      <c r="BS105" s="290">
        <v>682</v>
      </c>
      <c r="BT105" s="290">
        <v>0</v>
      </c>
      <c r="BU105" s="290">
        <v>0</v>
      </c>
      <c r="BV105" s="290">
        <v>610</v>
      </c>
      <c r="BW105" s="290"/>
      <c r="BX105" s="290"/>
      <c r="BY105" s="290"/>
    </row>
    <row r="106" spans="1:77" ht="13">
      <c r="A106" s="1">
        <v>3015</v>
      </c>
      <c r="B106" s="2" t="s">
        <v>2369</v>
      </c>
      <c r="C106" s="289">
        <v>3805</v>
      </c>
      <c r="D106" s="290">
        <v>78</v>
      </c>
      <c r="E106" s="290">
        <v>179</v>
      </c>
      <c r="F106" s="290">
        <v>489</v>
      </c>
      <c r="G106" s="290">
        <v>367</v>
      </c>
      <c r="H106" s="290">
        <v>2128</v>
      </c>
      <c r="I106" s="290">
        <v>449</v>
      </c>
      <c r="J106" s="290">
        <v>104</v>
      </c>
      <c r="K106" s="290">
        <v>40</v>
      </c>
      <c r="L106" s="290">
        <v>34</v>
      </c>
      <c r="M106" s="290">
        <v>266</v>
      </c>
      <c r="N106" s="290">
        <v>45</v>
      </c>
      <c r="O106" s="290">
        <v>50</v>
      </c>
      <c r="P106" s="624">
        <v>11514.858666669999</v>
      </c>
      <c r="Q106" s="624">
        <v>9689.9016666700008</v>
      </c>
      <c r="R106" s="624">
        <v>16</v>
      </c>
      <c r="S106" s="290">
        <v>0</v>
      </c>
      <c r="T106" s="290">
        <v>247</v>
      </c>
      <c r="U106" s="958">
        <v>2.2336669392997751E-3</v>
      </c>
      <c r="V106" s="290">
        <v>1346.1630406700001</v>
      </c>
      <c r="W106" s="765">
        <v>0.64802132000000001</v>
      </c>
      <c r="X106" s="290">
        <v>700</v>
      </c>
      <c r="Y106" s="290">
        <v>427.12680399999999</v>
      </c>
      <c r="Z106" s="290">
        <v>96557</v>
      </c>
      <c r="AA106" s="290">
        <v>50</v>
      </c>
      <c r="AB106" s="290">
        <v>96</v>
      </c>
      <c r="AC106" s="290">
        <v>744.71799999999996</v>
      </c>
      <c r="AD106" s="290">
        <v>333</v>
      </c>
      <c r="AE106" s="290">
        <v>0</v>
      </c>
      <c r="AF106" s="290">
        <v>0</v>
      </c>
      <c r="AG106" s="290">
        <v>3834</v>
      </c>
      <c r="AH106" s="290">
        <v>698.36814656000001</v>
      </c>
      <c r="AI106" s="290">
        <v>0</v>
      </c>
      <c r="AJ106" s="290">
        <v>0</v>
      </c>
      <c r="AK106" s="290">
        <v>0</v>
      </c>
      <c r="AL106" s="290">
        <v>0</v>
      </c>
      <c r="AM106" s="957">
        <v>7.0619349999999997E-2</v>
      </c>
      <c r="AN106" s="290">
        <v>0</v>
      </c>
      <c r="AO106" s="290">
        <v>-553.54432899999995</v>
      </c>
      <c r="AP106" s="290">
        <v>0</v>
      </c>
      <c r="AQ106" s="290">
        <v>0</v>
      </c>
      <c r="AR106" s="290">
        <v>-206.52018799999999</v>
      </c>
      <c r="AS106" s="290">
        <v>1200</v>
      </c>
      <c r="AT106" s="290">
        <v>229</v>
      </c>
      <c r="AU106" s="290">
        <v>26</v>
      </c>
      <c r="AV106" s="766">
        <v>107748</v>
      </c>
      <c r="AW106" s="290">
        <v>1400</v>
      </c>
      <c r="AX106" s="766">
        <v>24</v>
      </c>
      <c r="AY106" s="290">
        <v>530</v>
      </c>
      <c r="AZ106" s="290">
        <v>171</v>
      </c>
      <c r="BA106" s="290">
        <v>82</v>
      </c>
      <c r="BB106" s="290">
        <v>0</v>
      </c>
      <c r="BC106" s="290">
        <v>1094.8009300000001</v>
      </c>
      <c r="BD106" s="290">
        <v>388</v>
      </c>
      <c r="BE106" s="290">
        <v>111243.501</v>
      </c>
      <c r="BF106" s="290">
        <v>0</v>
      </c>
      <c r="BG106" s="290">
        <v>187</v>
      </c>
      <c r="BH106" s="290">
        <v>27</v>
      </c>
      <c r="BI106" s="290">
        <v>1870.2129500000001</v>
      </c>
      <c r="BJ106" s="290">
        <v>0</v>
      </c>
      <c r="BK106" s="290">
        <f t="shared" si="1"/>
        <v>0</v>
      </c>
      <c r="BL106" s="290">
        <v>0</v>
      </c>
      <c r="BM106" s="290">
        <v>0</v>
      </c>
      <c r="BN106" s="290">
        <v>2832</v>
      </c>
      <c r="BO106" s="290">
        <v>717</v>
      </c>
      <c r="BP106" s="290">
        <v>3</v>
      </c>
      <c r="BQ106" s="290">
        <v>370</v>
      </c>
      <c r="BR106" s="290">
        <v>-2</v>
      </c>
      <c r="BS106" s="290">
        <v>56</v>
      </c>
      <c r="BT106" s="290">
        <v>0</v>
      </c>
      <c r="BU106" s="290">
        <v>0</v>
      </c>
      <c r="BV106" s="290">
        <v>60</v>
      </c>
      <c r="BW106" s="290"/>
      <c r="BX106" s="290"/>
      <c r="BY106" s="290"/>
    </row>
    <row r="107" spans="1:77" ht="13">
      <c r="A107" s="1">
        <v>3016</v>
      </c>
      <c r="B107" s="2" t="s">
        <v>796</v>
      </c>
      <c r="C107" s="289">
        <v>8255</v>
      </c>
      <c r="D107" s="290">
        <v>145</v>
      </c>
      <c r="E107" s="290">
        <v>363</v>
      </c>
      <c r="F107" s="290">
        <v>973</v>
      </c>
      <c r="G107" s="290">
        <v>691</v>
      </c>
      <c r="H107" s="290">
        <v>4605</v>
      </c>
      <c r="I107" s="290">
        <v>1054</v>
      </c>
      <c r="J107" s="290">
        <v>321</v>
      </c>
      <c r="K107" s="290">
        <v>84</v>
      </c>
      <c r="L107" s="290">
        <v>68</v>
      </c>
      <c r="M107" s="290">
        <v>639</v>
      </c>
      <c r="N107" s="290">
        <v>294</v>
      </c>
      <c r="O107" s="290">
        <v>71</v>
      </c>
      <c r="P107" s="624">
        <v>31035.63633333</v>
      </c>
      <c r="Q107" s="624">
        <v>17766.91766667</v>
      </c>
      <c r="R107" s="624">
        <v>67</v>
      </c>
      <c r="S107" s="290">
        <v>0</v>
      </c>
      <c r="T107" s="290">
        <v>705</v>
      </c>
      <c r="U107" s="958">
        <v>5.7242938519947995E-3</v>
      </c>
      <c r="V107" s="290">
        <v>3495.2175970600001</v>
      </c>
      <c r="W107" s="765">
        <v>0.59961476999999996</v>
      </c>
      <c r="X107" s="290">
        <v>800</v>
      </c>
      <c r="Y107" s="290">
        <v>427.12680399999999</v>
      </c>
      <c r="Z107" s="290">
        <v>218725</v>
      </c>
      <c r="AA107" s="290">
        <v>0</v>
      </c>
      <c r="AB107" s="290">
        <v>279</v>
      </c>
      <c r="AC107" s="290">
        <v>1308.787</v>
      </c>
      <c r="AD107" s="290">
        <v>333</v>
      </c>
      <c r="AE107" s="290">
        <v>0</v>
      </c>
      <c r="AF107" s="290">
        <v>0</v>
      </c>
      <c r="AG107" s="290">
        <v>8236</v>
      </c>
      <c r="AH107" s="290">
        <v>1380.1084801100001</v>
      </c>
      <c r="AI107" s="290">
        <v>0</v>
      </c>
      <c r="AJ107" s="290">
        <v>0</v>
      </c>
      <c r="AK107" s="290">
        <v>0</v>
      </c>
      <c r="AL107" s="290">
        <v>0</v>
      </c>
      <c r="AM107" s="957">
        <v>0.18733917</v>
      </c>
      <c r="AN107" s="290">
        <v>0</v>
      </c>
      <c r="AO107" s="290">
        <v>-1226.2154700000001</v>
      </c>
      <c r="AP107" s="290">
        <v>0</v>
      </c>
      <c r="AQ107" s="290">
        <v>0</v>
      </c>
      <c r="AR107" s="290">
        <v>-443.63596000000001</v>
      </c>
      <c r="AS107" s="290">
        <v>2162</v>
      </c>
      <c r="AT107" s="290">
        <v>461</v>
      </c>
      <c r="AU107" s="290">
        <v>75</v>
      </c>
      <c r="AV107" s="766">
        <v>244401</v>
      </c>
      <c r="AW107" s="290">
        <v>5400</v>
      </c>
      <c r="AX107" s="766">
        <v>38.916649999999997</v>
      </c>
      <c r="AY107" s="290">
        <v>1167</v>
      </c>
      <c r="AZ107" s="290">
        <v>367</v>
      </c>
      <c r="BA107" s="290">
        <v>152</v>
      </c>
      <c r="BB107" s="290">
        <v>0</v>
      </c>
      <c r="BC107" s="290">
        <v>1755.79484</v>
      </c>
      <c r="BD107" s="290">
        <v>730</v>
      </c>
      <c r="BE107" s="290">
        <v>252813.28899999999</v>
      </c>
      <c r="BF107" s="290">
        <v>0</v>
      </c>
      <c r="BG107" s="290">
        <v>379</v>
      </c>
      <c r="BH107" s="290">
        <v>54</v>
      </c>
      <c r="BI107" s="290">
        <v>3116.0222800000001</v>
      </c>
      <c r="BJ107" s="290">
        <v>930</v>
      </c>
      <c r="BK107" s="290">
        <f t="shared" si="1"/>
        <v>0</v>
      </c>
      <c r="BL107" s="290">
        <v>0</v>
      </c>
      <c r="BM107" s="290">
        <v>0</v>
      </c>
      <c r="BN107" s="290">
        <v>6274</v>
      </c>
      <c r="BO107" s="290">
        <v>1419</v>
      </c>
      <c r="BP107" s="290">
        <v>7</v>
      </c>
      <c r="BQ107" s="290">
        <v>802</v>
      </c>
      <c r="BR107" s="290">
        <v>-4</v>
      </c>
      <c r="BS107" s="290">
        <v>114</v>
      </c>
      <c r="BT107" s="290">
        <v>0</v>
      </c>
      <c r="BU107" s="290">
        <v>0</v>
      </c>
      <c r="BV107" s="290">
        <v>122</v>
      </c>
      <c r="BW107" s="290"/>
      <c r="BX107" s="290"/>
      <c r="BY107" s="290"/>
    </row>
    <row r="108" spans="1:77" ht="13">
      <c r="A108" s="1">
        <v>3017</v>
      </c>
      <c r="B108" s="2" t="s">
        <v>797</v>
      </c>
      <c r="C108" s="289">
        <v>7508</v>
      </c>
      <c r="D108" s="290">
        <v>143</v>
      </c>
      <c r="E108" s="290">
        <v>311</v>
      </c>
      <c r="F108" s="290">
        <v>897</v>
      </c>
      <c r="G108" s="290">
        <v>582</v>
      </c>
      <c r="H108" s="290">
        <v>4187</v>
      </c>
      <c r="I108" s="290">
        <v>977</v>
      </c>
      <c r="J108" s="290">
        <v>335</v>
      </c>
      <c r="K108" s="290">
        <v>83</v>
      </c>
      <c r="L108" s="290">
        <v>52</v>
      </c>
      <c r="M108" s="290">
        <v>536</v>
      </c>
      <c r="N108" s="290">
        <v>112</v>
      </c>
      <c r="O108" s="290">
        <v>88</v>
      </c>
      <c r="P108" s="624">
        <v>24321.23466667</v>
      </c>
      <c r="Q108" s="624">
        <v>10844.495000000001</v>
      </c>
      <c r="R108" s="624">
        <v>29</v>
      </c>
      <c r="S108" s="290">
        <v>0</v>
      </c>
      <c r="T108" s="290">
        <v>482</v>
      </c>
      <c r="U108" s="958">
        <v>2.2749264087825144E-3</v>
      </c>
      <c r="V108" s="290">
        <v>1057.4919081999999</v>
      </c>
      <c r="W108" s="765">
        <v>0.58118992999999997</v>
      </c>
      <c r="X108" s="290">
        <v>700</v>
      </c>
      <c r="Y108" s="290">
        <v>273.445944</v>
      </c>
      <c r="Z108" s="290">
        <v>208011</v>
      </c>
      <c r="AA108" s="290">
        <v>0</v>
      </c>
      <c r="AB108" s="290">
        <v>188</v>
      </c>
      <c r="AC108" s="290">
        <v>1130.607</v>
      </c>
      <c r="AD108" s="290">
        <v>333</v>
      </c>
      <c r="AE108" s="290">
        <v>0</v>
      </c>
      <c r="AF108" s="290">
        <v>0</v>
      </c>
      <c r="AG108" s="290">
        <v>7515</v>
      </c>
      <c r="AH108" s="290">
        <v>1242.02533726</v>
      </c>
      <c r="AI108" s="290">
        <v>1000</v>
      </c>
      <c r="AJ108" s="290">
        <v>0</v>
      </c>
      <c r="AK108" s="290">
        <v>0</v>
      </c>
      <c r="AL108" s="290">
        <v>0</v>
      </c>
      <c r="AM108" s="957">
        <v>0.14672963</v>
      </c>
      <c r="AN108" s="290">
        <v>0</v>
      </c>
      <c r="AO108" s="290">
        <v>-1041.4900399999999</v>
      </c>
      <c r="AP108" s="290">
        <v>0</v>
      </c>
      <c r="AQ108" s="290">
        <v>0</v>
      </c>
      <c r="AR108" s="290">
        <v>-404.79896000000002</v>
      </c>
      <c r="AS108" s="290">
        <v>1017</v>
      </c>
      <c r="AT108" s="290">
        <v>414</v>
      </c>
      <c r="AU108" s="290">
        <v>70</v>
      </c>
      <c r="AV108" s="766">
        <v>188857</v>
      </c>
      <c r="AW108" s="290">
        <v>3250</v>
      </c>
      <c r="AX108" s="766">
        <v>38.541649999999997</v>
      </c>
      <c r="AY108" s="290">
        <v>1506</v>
      </c>
      <c r="AZ108" s="290">
        <v>288</v>
      </c>
      <c r="BA108" s="290">
        <v>157</v>
      </c>
      <c r="BB108" s="290">
        <v>0</v>
      </c>
      <c r="BC108" s="290">
        <v>1485.41317</v>
      </c>
      <c r="BD108" s="290">
        <v>670</v>
      </c>
      <c r="BE108" s="290">
        <v>197372.005</v>
      </c>
      <c r="BF108" s="290">
        <v>0</v>
      </c>
      <c r="BG108" s="290">
        <v>345</v>
      </c>
      <c r="BH108" s="290">
        <v>49</v>
      </c>
      <c r="BI108" s="290">
        <v>2646.0782800000002</v>
      </c>
      <c r="BJ108" s="290">
        <v>0</v>
      </c>
      <c r="BK108" s="290">
        <f t="shared" si="1"/>
        <v>0</v>
      </c>
      <c r="BL108" s="290">
        <v>0</v>
      </c>
      <c r="BM108" s="290">
        <v>0</v>
      </c>
      <c r="BN108" s="290">
        <v>5329</v>
      </c>
      <c r="BO108" s="290">
        <v>1283</v>
      </c>
      <c r="BP108" s="290">
        <v>6</v>
      </c>
      <c r="BQ108" s="290">
        <v>737</v>
      </c>
      <c r="BR108" s="290">
        <v>-4</v>
      </c>
      <c r="BS108" s="290">
        <v>96</v>
      </c>
      <c r="BT108" s="290">
        <v>0</v>
      </c>
      <c r="BU108" s="290">
        <v>0</v>
      </c>
      <c r="BV108" s="290">
        <v>111</v>
      </c>
      <c r="BW108" s="290"/>
      <c r="BX108" s="290"/>
      <c r="BY108" s="290"/>
    </row>
    <row r="109" spans="1:77" ht="13">
      <c r="A109" s="1">
        <v>3018</v>
      </c>
      <c r="B109" s="2" t="s">
        <v>799</v>
      </c>
      <c r="C109" s="289">
        <v>5736</v>
      </c>
      <c r="D109" s="290">
        <v>157</v>
      </c>
      <c r="E109" s="290">
        <v>323</v>
      </c>
      <c r="F109" s="290">
        <v>764</v>
      </c>
      <c r="G109" s="290">
        <v>399</v>
      </c>
      <c r="H109" s="290">
        <v>3325</v>
      </c>
      <c r="I109" s="290">
        <v>574</v>
      </c>
      <c r="J109" s="290">
        <v>133</v>
      </c>
      <c r="K109" s="290">
        <v>21</v>
      </c>
      <c r="L109" s="290">
        <v>46</v>
      </c>
      <c r="M109" s="290">
        <v>265</v>
      </c>
      <c r="N109" s="290">
        <v>64</v>
      </c>
      <c r="O109" s="290">
        <v>52</v>
      </c>
      <c r="P109" s="624">
        <v>37432.242666669998</v>
      </c>
      <c r="Q109" s="624">
        <v>16118.472</v>
      </c>
      <c r="R109" s="624">
        <v>12</v>
      </c>
      <c r="S109" s="290">
        <v>0</v>
      </c>
      <c r="T109" s="290">
        <v>384</v>
      </c>
      <c r="U109" s="958">
        <v>2.0882753607680306E-3</v>
      </c>
      <c r="V109" s="290">
        <v>-1235.01657787</v>
      </c>
      <c r="W109" s="765">
        <v>0.64992801</v>
      </c>
      <c r="X109" s="290">
        <v>200</v>
      </c>
      <c r="Y109" s="290">
        <v>854.25360799999999</v>
      </c>
      <c r="Z109" s="290">
        <v>153904</v>
      </c>
      <c r="AA109" s="290">
        <v>0</v>
      </c>
      <c r="AB109" s="290">
        <v>152</v>
      </c>
      <c r="AC109" s="290">
        <v>938.90899999999999</v>
      </c>
      <c r="AD109" s="290">
        <v>333</v>
      </c>
      <c r="AE109" s="290">
        <v>3900</v>
      </c>
      <c r="AF109" s="290">
        <v>0</v>
      </c>
      <c r="AG109" s="290">
        <v>5696</v>
      </c>
      <c r="AH109" s="290">
        <v>1080.8078458699999</v>
      </c>
      <c r="AI109" s="290">
        <v>0</v>
      </c>
      <c r="AJ109" s="290">
        <v>0</v>
      </c>
      <c r="AK109" s="290">
        <v>0</v>
      </c>
      <c r="AL109" s="290">
        <v>0</v>
      </c>
      <c r="AM109" s="957">
        <v>0.14720655999999999</v>
      </c>
      <c r="AN109" s="290">
        <v>0</v>
      </c>
      <c r="AO109" s="290">
        <v>-782.09342900000001</v>
      </c>
      <c r="AP109" s="290">
        <v>0</v>
      </c>
      <c r="AQ109" s="290">
        <v>0</v>
      </c>
      <c r="AR109" s="290">
        <v>-306.81768199999999</v>
      </c>
      <c r="AS109" s="290">
        <v>1100</v>
      </c>
      <c r="AT109" s="290">
        <v>341</v>
      </c>
      <c r="AU109" s="290">
        <v>64</v>
      </c>
      <c r="AV109" s="766">
        <v>134021</v>
      </c>
      <c r="AW109" s="290">
        <v>2100</v>
      </c>
      <c r="AX109" s="766">
        <v>60.583350000000003</v>
      </c>
      <c r="AY109" s="290">
        <v>1007</v>
      </c>
      <c r="AZ109" s="290">
        <v>211</v>
      </c>
      <c r="BA109" s="290">
        <v>99</v>
      </c>
      <c r="BB109" s="290">
        <v>0</v>
      </c>
      <c r="BC109" s="290">
        <v>1437.8484000000001</v>
      </c>
      <c r="BD109" s="290">
        <v>537</v>
      </c>
      <c r="BE109" s="290">
        <v>149077.75200000001</v>
      </c>
      <c r="BF109" s="290">
        <v>0</v>
      </c>
      <c r="BG109" s="290">
        <v>265</v>
      </c>
      <c r="BH109" s="290">
        <v>38</v>
      </c>
      <c r="BI109" s="290">
        <v>2873.9704499999998</v>
      </c>
      <c r="BJ109" s="290">
        <v>0</v>
      </c>
      <c r="BK109" s="290">
        <f t="shared" si="1"/>
        <v>0</v>
      </c>
      <c r="BL109" s="290">
        <v>0</v>
      </c>
      <c r="BM109" s="290">
        <v>0</v>
      </c>
      <c r="BN109" s="290">
        <v>4002</v>
      </c>
      <c r="BO109" s="290">
        <v>1267</v>
      </c>
      <c r="BP109" s="290">
        <v>6</v>
      </c>
      <c r="BQ109" s="290">
        <v>545</v>
      </c>
      <c r="BR109" s="290">
        <v>-3</v>
      </c>
      <c r="BS109" s="290">
        <v>59</v>
      </c>
      <c r="BT109" s="290">
        <v>0</v>
      </c>
      <c r="BU109" s="290">
        <v>0</v>
      </c>
      <c r="BV109" s="290">
        <v>85</v>
      </c>
      <c r="BW109" s="290"/>
      <c r="BX109" s="290"/>
      <c r="BY109" s="290"/>
    </row>
    <row r="110" spans="1:77" ht="13">
      <c r="A110" s="1">
        <v>3019</v>
      </c>
      <c r="B110" s="2" t="s">
        <v>801</v>
      </c>
      <c r="C110" s="289">
        <v>18042</v>
      </c>
      <c r="D110" s="290">
        <v>409</v>
      </c>
      <c r="E110" s="290">
        <v>957</v>
      </c>
      <c r="F110" s="290">
        <v>2486</v>
      </c>
      <c r="G110" s="290">
        <v>1471</v>
      </c>
      <c r="H110" s="290">
        <v>9983</v>
      </c>
      <c r="I110" s="290">
        <v>2163</v>
      </c>
      <c r="J110" s="290">
        <v>418</v>
      </c>
      <c r="K110" s="290">
        <v>84</v>
      </c>
      <c r="L110" s="290">
        <v>132</v>
      </c>
      <c r="M110" s="290">
        <v>933</v>
      </c>
      <c r="N110" s="290">
        <v>516</v>
      </c>
      <c r="O110" s="290">
        <v>130</v>
      </c>
      <c r="P110" s="624">
        <v>51956.801666669999</v>
      </c>
      <c r="Q110" s="624">
        <v>20143.360333330002</v>
      </c>
      <c r="R110" s="624">
        <v>48</v>
      </c>
      <c r="S110" s="290">
        <v>0</v>
      </c>
      <c r="T110" s="290">
        <v>1250</v>
      </c>
      <c r="U110" s="958">
        <v>1.7682712823300329E-3</v>
      </c>
      <c r="V110" s="290">
        <v>2291.1181691900001</v>
      </c>
      <c r="W110" s="765">
        <v>0.55743414000000002</v>
      </c>
      <c r="X110" s="290">
        <v>2000</v>
      </c>
      <c r="Y110" s="290">
        <v>427.12680399999999</v>
      </c>
      <c r="Z110" s="290">
        <v>542945</v>
      </c>
      <c r="AA110" s="290">
        <v>0</v>
      </c>
      <c r="AB110" s="290">
        <v>333</v>
      </c>
      <c r="AC110" s="290">
        <v>3017.855</v>
      </c>
      <c r="AD110" s="290">
        <v>333</v>
      </c>
      <c r="AE110" s="290">
        <v>7885</v>
      </c>
      <c r="AF110" s="290">
        <v>0</v>
      </c>
      <c r="AG110" s="290">
        <v>17971</v>
      </c>
      <c r="AH110" s="290">
        <v>3449.1867777000002</v>
      </c>
      <c r="AI110" s="290">
        <v>0</v>
      </c>
      <c r="AJ110" s="290">
        <v>0</v>
      </c>
      <c r="AK110" s="290">
        <v>0</v>
      </c>
      <c r="AL110" s="290">
        <v>0</v>
      </c>
      <c r="AM110" s="957">
        <v>0.43607035</v>
      </c>
      <c r="AN110" s="290">
        <v>0</v>
      </c>
      <c r="AO110" s="290">
        <v>-2407.6439799999998</v>
      </c>
      <c r="AP110" s="290">
        <v>0</v>
      </c>
      <c r="AQ110" s="290">
        <v>0</v>
      </c>
      <c r="AR110" s="290">
        <v>-968.01625000000001</v>
      </c>
      <c r="AS110" s="290">
        <v>1815</v>
      </c>
      <c r="AT110" s="290">
        <v>1083</v>
      </c>
      <c r="AU110" s="290">
        <v>156</v>
      </c>
      <c r="AV110" s="766">
        <v>432227</v>
      </c>
      <c r="AW110" s="290">
        <v>5450</v>
      </c>
      <c r="AX110" s="766">
        <v>157.95835</v>
      </c>
      <c r="AY110" s="290">
        <v>4520</v>
      </c>
      <c r="AZ110" s="290">
        <v>820</v>
      </c>
      <c r="BA110" s="290">
        <v>392</v>
      </c>
      <c r="BB110" s="290">
        <v>0</v>
      </c>
      <c r="BC110" s="290">
        <v>3717.1617799999999</v>
      </c>
      <c r="BD110" s="290">
        <v>1500</v>
      </c>
      <c r="BE110" s="290">
        <v>447357.3</v>
      </c>
      <c r="BF110" s="290">
        <v>0</v>
      </c>
      <c r="BG110" s="290">
        <v>758</v>
      </c>
      <c r="BH110" s="290">
        <v>108</v>
      </c>
      <c r="BI110" s="290">
        <v>6894.1685799999996</v>
      </c>
      <c r="BJ110" s="290">
        <v>0</v>
      </c>
      <c r="BK110" s="290">
        <f t="shared" si="1"/>
        <v>0</v>
      </c>
      <c r="BL110" s="290">
        <v>0</v>
      </c>
      <c r="BM110" s="290">
        <v>0</v>
      </c>
      <c r="BN110" s="290">
        <v>12319</v>
      </c>
      <c r="BO110" s="290">
        <v>3843</v>
      </c>
      <c r="BP110" s="290">
        <v>19</v>
      </c>
      <c r="BQ110" s="290">
        <v>1806</v>
      </c>
      <c r="BR110" s="290">
        <v>-8</v>
      </c>
      <c r="BS110" s="290">
        <v>181</v>
      </c>
      <c r="BT110" s="290">
        <v>0</v>
      </c>
      <c r="BU110" s="290">
        <v>0</v>
      </c>
      <c r="BV110" s="290">
        <v>244</v>
      </c>
      <c r="BW110" s="290"/>
      <c r="BX110" s="290"/>
      <c r="BY110" s="290"/>
    </row>
    <row r="111" spans="1:77" ht="13">
      <c r="A111" s="1">
        <v>3020</v>
      </c>
      <c r="B111" s="2" t="s">
        <v>1621</v>
      </c>
      <c r="C111" s="289">
        <v>59288</v>
      </c>
      <c r="D111" s="290">
        <v>1156</v>
      </c>
      <c r="E111" s="290">
        <v>2839</v>
      </c>
      <c r="F111" s="290">
        <v>8324</v>
      </c>
      <c r="G111" s="290">
        <v>5256</v>
      </c>
      <c r="H111" s="290">
        <v>32465</v>
      </c>
      <c r="I111" s="290">
        <v>6362</v>
      </c>
      <c r="J111" s="290">
        <v>2022</v>
      </c>
      <c r="K111" s="290">
        <v>411</v>
      </c>
      <c r="L111" s="290">
        <v>407</v>
      </c>
      <c r="M111" s="290">
        <v>3419</v>
      </c>
      <c r="N111" s="290">
        <v>1892</v>
      </c>
      <c r="O111" s="290">
        <v>474</v>
      </c>
      <c r="P111" s="624">
        <v>101561.87300000001</v>
      </c>
      <c r="Q111" s="624">
        <v>64738.214666669999</v>
      </c>
      <c r="R111" s="624">
        <v>161</v>
      </c>
      <c r="S111" s="290">
        <v>0</v>
      </c>
      <c r="T111" s="290">
        <v>3845</v>
      </c>
      <c r="U111" s="958">
        <v>2.0060752991546637E-3</v>
      </c>
      <c r="V111" s="290">
        <v>15978.22684546</v>
      </c>
      <c r="W111" s="765">
        <v>0.54021556999999998</v>
      </c>
      <c r="X111" s="290">
        <v>0</v>
      </c>
      <c r="Y111" s="290">
        <v>755.68588399999999</v>
      </c>
      <c r="Z111" s="290">
        <v>2090579</v>
      </c>
      <c r="AA111" s="290">
        <v>0</v>
      </c>
      <c r="AB111" s="290">
        <v>808</v>
      </c>
      <c r="AC111" s="290">
        <v>28884.814999999999</v>
      </c>
      <c r="AD111" s="290">
        <v>500</v>
      </c>
      <c r="AE111" s="290">
        <v>0</v>
      </c>
      <c r="AF111" s="290">
        <v>14712.8544</v>
      </c>
      <c r="AG111" s="290">
        <v>58835</v>
      </c>
      <c r="AH111" s="290">
        <v>11244.01633903</v>
      </c>
      <c r="AI111" s="290">
        <v>0</v>
      </c>
      <c r="AJ111" s="290">
        <v>0</v>
      </c>
      <c r="AK111" s="290">
        <v>0</v>
      </c>
      <c r="AL111" s="290">
        <v>0</v>
      </c>
      <c r="AM111" s="957">
        <v>1.1924256099999999</v>
      </c>
      <c r="AN111" s="290">
        <v>0</v>
      </c>
      <c r="AO111" s="290">
        <v>-7955.66633</v>
      </c>
      <c r="AP111" s="290">
        <v>0</v>
      </c>
      <c r="AQ111" s="290">
        <v>4867.87</v>
      </c>
      <c r="AR111" s="290">
        <v>-3169.1745599999999</v>
      </c>
      <c r="AS111" s="290">
        <v>17577</v>
      </c>
      <c r="AT111" s="290">
        <v>3086</v>
      </c>
      <c r="AU111" s="290">
        <v>510</v>
      </c>
      <c r="AV111" s="766">
        <v>1428252</v>
      </c>
      <c r="AW111" s="290">
        <v>20350</v>
      </c>
      <c r="AX111" s="766">
        <v>433.47084999999998</v>
      </c>
      <c r="AY111" s="290">
        <v>17824</v>
      </c>
      <c r="AZ111" s="290">
        <v>2587</v>
      </c>
      <c r="BA111" s="290">
        <v>1125</v>
      </c>
      <c r="BB111" s="290">
        <v>0</v>
      </c>
      <c r="BC111" s="290">
        <v>22524.491000000002</v>
      </c>
      <c r="BD111" s="290">
        <v>4751</v>
      </c>
      <c r="BE111" s="290">
        <v>1510293.16</v>
      </c>
      <c r="BF111" s="290">
        <v>0</v>
      </c>
      <c r="BG111" s="290">
        <v>2424</v>
      </c>
      <c r="BH111" s="290">
        <v>346</v>
      </c>
      <c r="BI111" s="290">
        <v>55597.371599999999</v>
      </c>
      <c r="BJ111" s="290">
        <v>0</v>
      </c>
      <c r="BK111" s="290">
        <f t="shared" si="1"/>
        <v>0</v>
      </c>
      <c r="BL111" s="290">
        <v>0</v>
      </c>
      <c r="BM111" s="290">
        <v>7230</v>
      </c>
      <c r="BN111" s="290">
        <v>40706</v>
      </c>
      <c r="BO111" s="290">
        <v>11986</v>
      </c>
      <c r="BP111" s="290">
        <v>59</v>
      </c>
      <c r="BQ111" s="290">
        <v>6247</v>
      </c>
      <c r="BR111" s="290">
        <v>-28</v>
      </c>
      <c r="BS111" s="290">
        <v>542</v>
      </c>
      <c r="BT111" s="290">
        <v>0</v>
      </c>
      <c r="BU111" s="290">
        <v>0</v>
      </c>
      <c r="BV111" s="290">
        <v>779</v>
      </c>
      <c r="BW111" s="290"/>
      <c r="BX111" s="290"/>
      <c r="BY111" s="290"/>
    </row>
    <row r="112" spans="1:77" ht="13">
      <c r="A112" s="1">
        <v>3021</v>
      </c>
      <c r="B112" s="2" t="s">
        <v>803</v>
      </c>
      <c r="C112" s="289">
        <v>20439</v>
      </c>
      <c r="D112" s="290">
        <v>406</v>
      </c>
      <c r="E112" s="290">
        <v>921</v>
      </c>
      <c r="F112" s="290">
        <v>2546</v>
      </c>
      <c r="G112" s="290">
        <v>1934</v>
      </c>
      <c r="H112" s="290">
        <v>11732</v>
      </c>
      <c r="I112" s="290">
        <v>1793</v>
      </c>
      <c r="J112" s="290">
        <v>627</v>
      </c>
      <c r="K112" s="290">
        <v>134</v>
      </c>
      <c r="L112" s="290">
        <v>117</v>
      </c>
      <c r="M112" s="290">
        <v>989</v>
      </c>
      <c r="N112" s="290">
        <v>554</v>
      </c>
      <c r="O112" s="290">
        <v>163</v>
      </c>
      <c r="P112" s="624">
        <v>58306.563666670001</v>
      </c>
      <c r="Q112" s="624">
        <v>25553.900333329999</v>
      </c>
      <c r="R112" s="624">
        <v>49</v>
      </c>
      <c r="S112" s="290">
        <v>0</v>
      </c>
      <c r="T112" s="290">
        <v>1423</v>
      </c>
      <c r="U112" s="958">
        <v>1.7726043672976494E-3</v>
      </c>
      <c r="V112" s="290">
        <v>2763.9743316499998</v>
      </c>
      <c r="W112" s="765">
        <v>0.55044943000000002</v>
      </c>
      <c r="X112" s="290">
        <v>3000</v>
      </c>
      <c r="Y112" s="290">
        <v>427.12680399999999</v>
      </c>
      <c r="Z112" s="290">
        <v>595384</v>
      </c>
      <c r="AA112" s="290">
        <v>0</v>
      </c>
      <c r="AB112" s="290">
        <v>255</v>
      </c>
      <c r="AC112" s="290">
        <v>3145.6210000000001</v>
      </c>
      <c r="AD112" s="290">
        <v>333</v>
      </c>
      <c r="AE112" s="290">
        <v>11031</v>
      </c>
      <c r="AF112" s="290">
        <v>0</v>
      </c>
      <c r="AG112" s="290">
        <v>20093</v>
      </c>
      <c r="AH112" s="290">
        <v>3457.1392100100002</v>
      </c>
      <c r="AI112" s="290">
        <v>0</v>
      </c>
      <c r="AJ112" s="290">
        <v>0</v>
      </c>
      <c r="AK112" s="290">
        <v>0</v>
      </c>
      <c r="AL112" s="290">
        <v>0</v>
      </c>
      <c r="AM112" s="957">
        <v>0.60130156999999995</v>
      </c>
      <c r="AN112" s="290">
        <v>0</v>
      </c>
      <c r="AO112" s="290">
        <v>-2584.8451300000002</v>
      </c>
      <c r="AP112" s="290">
        <v>0</v>
      </c>
      <c r="AQ112" s="290">
        <v>-4867.87</v>
      </c>
      <c r="AR112" s="290">
        <v>-1082.3187600000001</v>
      </c>
      <c r="AS112" s="290">
        <v>4921</v>
      </c>
      <c r="AT112" s="290">
        <v>1024</v>
      </c>
      <c r="AU112" s="290">
        <v>206</v>
      </c>
      <c r="AV112" s="766">
        <v>446831</v>
      </c>
      <c r="AW112" s="290">
        <v>8750</v>
      </c>
      <c r="AX112" s="766">
        <v>161.7792</v>
      </c>
      <c r="AY112" s="290">
        <v>6811</v>
      </c>
      <c r="AZ112" s="290">
        <v>1156</v>
      </c>
      <c r="BA112" s="290">
        <v>355</v>
      </c>
      <c r="BB112" s="290">
        <v>0</v>
      </c>
      <c r="BC112" s="290">
        <v>3778.5198599999999</v>
      </c>
      <c r="BD112" s="290">
        <v>1674</v>
      </c>
      <c r="BE112" s="290">
        <v>459848.86499999999</v>
      </c>
      <c r="BF112" s="290">
        <v>0</v>
      </c>
      <c r="BG112" s="290">
        <v>821</v>
      </c>
      <c r="BH112" s="290">
        <v>117</v>
      </c>
      <c r="BI112" s="290">
        <v>7029.8870100000004</v>
      </c>
      <c r="BJ112" s="290">
        <v>0</v>
      </c>
      <c r="BK112" s="290">
        <f t="shared" si="1"/>
        <v>0</v>
      </c>
      <c r="BL112" s="290">
        <v>0</v>
      </c>
      <c r="BM112" s="290">
        <v>0</v>
      </c>
      <c r="BN112" s="290">
        <v>13226</v>
      </c>
      <c r="BO112" s="290">
        <v>3936</v>
      </c>
      <c r="BP112" s="290">
        <v>20</v>
      </c>
      <c r="BQ112" s="290">
        <v>2025</v>
      </c>
      <c r="BR112" s="290">
        <v>-9</v>
      </c>
      <c r="BS112" s="290">
        <v>144</v>
      </c>
      <c r="BT112" s="290">
        <v>0</v>
      </c>
      <c r="BU112" s="290">
        <v>0</v>
      </c>
      <c r="BV112" s="290">
        <v>264</v>
      </c>
      <c r="BW112" s="290"/>
      <c r="BX112" s="290"/>
      <c r="BY112" s="290"/>
    </row>
    <row r="113" spans="1:77" ht="13">
      <c r="A113" s="1">
        <v>3022</v>
      </c>
      <c r="B113" s="2" t="s">
        <v>804</v>
      </c>
      <c r="C113" s="289">
        <v>15877</v>
      </c>
      <c r="D113" s="290">
        <v>220</v>
      </c>
      <c r="E113" s="290">
        <v>579</v>
      </c>
      <c r="F113" s="290">
        <v>1995</v>
      </c>
      <c r="G113" s="290">
        <v>1347</v>
      </c>
      <c r="H113" s="290">
        <v>8877</v>
      </c>
      <c r="I113" s="290">
        <v>2144</v>
      </c>
      <c r="J113" s="290">
        <v>589</v>
      </c>
      <c r="K113" s="290">
        <v>89</v>
      </c>
      <c r="L113" s="290">
        <v>118</v>
      </c>
      <c r="M113" s="290">
        <v>1160</v>
      </c>
      <c r="N113" s="290">
        <v>212</v>
      </c>
      <c r="O113" s="290">
        <v>110</v>
      </c>
      <c r="P113" s="624">
        <v>32457.756000000001</v>
      </c>
      <c r="Q113" s="624">
        <v>21223.077333329999</v>
      </c>
      <c r="R113" s="624">
        <v>44</v>
      </c>
      <c r="S113" s="290">
        <v>0</v>
      </c>
      <c r="T113" s="290">
        <v>1287</v>
      </c>
      <c r="U113" s="958">
        <v>8.6892788279696413E-4</v>
      </c>
      <c r="V113" s="290">
        <v>-8374.6542077800004</v>
      </c>
      <c r="W113" s="765">
        <v>0.54712245999999998</v>
      </c>
      <c r="X113" s="290">
        <v>2000</v>
      </c>
      <c r="Y113" s="290">
        <v>427.12680399999999</v>
      </c>
      <c r="Z113" s="290">
        <v>595648</v>
      </c>
      <c r="AA113" s="290">
        <v>300</v>
      </c>
      <c r="AB113" s="290">
        <v>210</v>
      </c>
      <c r="AC113" s="290">
        <v>2526.8510000000001</v>
      </c>
      <c r="AD113" s="290">
        <v>333</v>
      </c>
      <c r="AE113" s="290">
        <v>0</v>
      </c>
      <c r="AF113" s="290">
        <v>0</v>
      </c>
      <c r="AG113" s="290">
        <v>15840</v>
      </c>
      <c r="AH113" s="290">
        <v>2601.1683140099999</v>
      </c>
      <c r="AI113" s="290">
        <v>0</v>
      </c>
      <c r="AJ113" s="290">
        <v>0</v>
      </c>
      <c r="AK113" s="290">
        <v>0</v>
      </c>
      <c r="AL113" s="290">
        <v>0</v>
      </c>
      <c r="AM113" s="957">
        <v>0.38724513999999999</v>
      </c>
      <c r="AN113" s="290">
        <v>0</v>
      </c>
      <c r="AO113" s="290">
        <v>-2062.9693200000002</v>
      </c>
      <c r="AP113" s="290">
        <v>0</v>
      </c>
      <c r="AQ113" s="290">
        <v>0</v>
      </c>
      <c r="AR113" s="290">
        <v>-853.22894599999995</v>
      </c>
      <c r="AS113" s="290">
        <v>2015</v>
      </c>
      <c r="AT113" s="290">
        <v>1025</v>
      </c>
      <c r="AU113" s="290">
        <v>123</v>
      </c>
      <c r="AV113" s="766">
        <v>343538</v>
      </c>
      <c r="AW113" s="290">
        <v>4900</v>
      </c>
      <c r="AX113" s="766">
        <v>80.583299999999994</v>
      </c>
      <c r="AY113" s="290">
        <v>4668</v>
      </c>
      <c r="AZ113" s="290">
        <v>763</v>
      </c>
      <c r="BA113" s="290">
        <v>347</v>
      </c>
      <c r="BB113" s="290">
        <v>0</v>
      </c>
      <c r="BC113" s="290">
        <v>2949.48848</v>
      </c>
      <c r="BD113" s="290">
        <v>1323</v>
      </c>
      <c r="BE113" s="290">
        <v>353011.68400000001</v>
      </c>
      <c r="BF113" s="290">
        <v>0</v>
      </c>
      <c r="BG113" s="290">
        <v>685</v>
      </c>
      <c r="BH113" s="290">
        <v>98</v>
      </c>
      <c r="BI113" s="290">
        <v>5555.1461200000003</v>
      </c>
      <c r="BJ113" s="290">
        <v>0</v>
      </c>
      <c r="BK113" s="290">
        <f t="shared" si="1"/>
        <v>0</v>
      </c>
      <c r="BL113" s="290">
        <v>0</v>
      </c>
      <c r="BM113" s="290">
        <v>0</v>
      </c>
      <c r="BN113" s="290">
        <v>10555</v>
      </c>
      <c r="BO113" s="290">
        <v>2634</v>
      </c>
      <c r="BP113" s="290">
        <v>12</v>
      </c>
      <c r="BQ113" s="290">
        <v>1747</v>
      </c>
      <c r="BR113" s="290">
        <v>-7</v>
      </c>
      <c r="BS113" s="290">
        <v>121</v>
      </c>
      <c r="BT113" s="290">
        <v>0</v>
      </c>
      <c r="BU113" s="290">
        <v>0</v>
      </c>
      <c r="BV113" s="290">
        <v>220</v>
      </c>
      <c r="BW113" s="290"/>
      <c r="BX113" s="290"/>
      <c r="BY113" s="290"/>
    </row>
    <row r="114" spans="1:77" ht="13">
      <c r="A114" s="1">
        <v>3023</v>
      </c>
      <c r="B114" s="4" t="s">
        <v>805</v>
      </c>
      <c r="C114" s="289">
        <v>19616</v>
      </c>
      <c r="D114" s="290">
        <v>393</v>
      </c>
      <c r="E114" s="290">
        <v>996</v>
      </c>
      <c r="F114" s="290">
        <v>2726</v>
      </c>
      <c r="G114" s="290">
        <v>1619</v>
      </c>
      <c r="H114" s="290">
        <v>11099</v>
      </c>
      <c r="I114" s="290">
        <v>2057</v>
      </c>
      <c r="J114" s="290">
        <v>563</v>
      </c>
      <c r="K114" s="290">
        <v>114</v>
      </c>
      <c r="L114" s="290">
        <v>136</v>
      </c>
      <c r="M114" s="290">
        <v>1132</v>
      </c>
      <c r="N114" s="290">
        <v>298</v>
      </c>
      <c r="O114" s="290">
        <v>151</v>
      </c>
      <c r="P114" s="624">
        <v>28982.228999999999</v>
      </c>
      <c r="Q114" s="624">
        <v>21186.337</v>
      </c>
      <c r="R114" s="624">
        <v>48</v>
      </c>
      <c r="S114" s="290">
        <v>0</v>
      </c>
      <c r="T114" s="290">
        <v>1508</v>
      </c>
      <c r="U114" s="958">
        <v>4.8590462753418022E-4</v>
      </c>
      <c r="V114" s="290">
        <v>-17988.67161193</v>
      </c>
      <c r="W114" s="765">
        <v>0.55570255999999996</v>
      </c>
      <c r="X114" s="290">
        <v>2400</v>
      </c>
      <c r="Y114" s="290">
        <v>427.12680399999999</v>
      </c>
      <c r="Z114" s="290">
        <v>634158</v>
      </c>
      <c r="AA114" s="290">
        <v>0</v>
      </c>
      <c r="AB114" s="290">
        <v>305</v>
      </c>
      <c r="AC114" s="290">
        <v>9083.3739999999998</v>
      </c>
      <c r="AD114" s="290">
        <v>333</v>
      </c>
      <c r="AE114" s="290">
        <v>1475</v>
      </c>
      <c r="AF114" s="290">
        <v>0</v>
      </c>
      <c r="AG114" s="290">
        <v>19567</v>
      </c>
      <c r="AH114" s="290">
        <v>3702.2187148600001</v>
      </c>
      <c r="AI114" s="290">
        <v>0</v>
      </c>
      <c r="AJ114" s="290">
        <v>0</v>
      </c>
      <c r="AK114" s="290">
        <v>0</v>
      </c>
      <c r="AL114" s="290">
        <v>0</v>
      </c>
      <c r="AM114" s="957">
        <v>0.50121320000000003</v>
      </c>
      <c r="AN114" s="290">
        <v>0</v>
      </c>
      <c r="AO114" s="290">
        <v>-2631.5563999999999</v>
      </c>
      <c r="AP114" s="290">
        <v>0</v>
      </c>
      <c r="AQ114" s="290">
        <v>0</v>
      </c>
      <c r="AR114" s="290">
        <v>-1053.9855299999999</v>
      </c>
      <c r="AS114" s="290">
        <v>4551</v>
      </c>
      <c r="AT114" s="290">
        <v>1131</v>
      </c>
      <c r="AU114" s="290">
        <v>157</v>
      </c>
      <c r="AV114" s="766">
        <v>439295</v>
      </c>
      <c r="AW114" s="290">
        <v>9600</v>
      </c>
      <c r="AX114" s="766">
        <v>142.70835</v>
      </c>
      <c r="AY114" s="290">
        <v>6854</v>
      </c>
      <c r="AZ114" s="290">
        <v>1072</v>
      </c>
      <c r="BA114" s="290">
        <v>453</v>
      </c>
      <c r="BB114" s="290">
        <v>0</v>
      </c>
      <c r="BC114" s="290">
        <v>3950.0436</v>
      </c>
      <c r="BD114" s="290">
        <v>1629</v>
      </c>
      <c r="BE114" s="290">
        <v>469458.02299999999</v>
      </c>
      <c r="BF114" s="290">
        <v>0</v>
      </c>
      <c r="BG114" s="290">
        <v>804</v>
      </c>
      <c r="BH114" s="290">
        <v>115</v>
      </c>
      <c r="BI114" s="290">
        <v>13212.719499999999</v>
      </c>
      <c r="BJ114" s="290">
        <v>0</v>
      </c>
      <c r="BK114" s="290">
        <f t="shared" si="1"/>
        <v>0</v>
      </c>
      <c r="BL114" s="290">
        <v>0</v>
      </c>
      <c r="BM114" s="290">
        <v>0</v>
      </c>
      <c r="BN114" s="290">
        <v>13465</v>
      </c>
      <c r="BO114" s="290">
        <v>4138</v>
      </c>
      <c r="BP114" s="290">
        <v>21</v>
      </c>
      <c r="BQ114" s="290">
        <v>2014</v>
      </c>
      <c r="BR114" s="290">
        <v>-9</v>
      </c>
      <c r="BS114" s="290">
        <v>169</v>
      </c>
      <c r="BT114" s="290">
        <v>0</v>
      </c>
      <c r="BU114" s="290">
        <v>0</v>
      </c>
      <c r="BV114" s="290">
        <v>258</v>
      </c>
      <c r="BW114" s="290"/>
      <c r="BX114" s="290"/>
      <c r="BY114" s="290"/>
    </row>
    <row r="115" spans="1:77" ht="13">
      <c r="A115" s="1">
        <v>3024</v>
      </c>
      <c r="B115" s="2" t="s">
        <v>807</v>
      </c>
      <c r="C115" s="289">
        <v>127731</v>
      </c>
      <c r="D115" s="290">
        <v>2800</v>
      </c>
      <c r="E115" s="290">
        <v>6507</v>
      </c>
      <c r="F115" s="290">
        <v>17182</v>
      </c>
      <c r="G115" s="290">
        <v>10672</v>
      </c>
      <c r="H115" s="290">
        <v>71682</v>
      </c>
      <c r="I115" s="290">
        <v>12463</v>
      </c>
      <c r="J115" s="290">
        <v>4639</v>
      </c>
      <c r="K115" s="290">
        <v>1392</v>
      </c>
      <c r="L115" s="290">
        <v>785</v>
      </c>
      <c r="M115" s="290">
        <v>7997</v>
      </c>
      <c r="N115" s="290">
        <v>3946</v>
      </c>
      <c r="O115" s="290">
        <v>1240</v>
      </c>
      <c r="P115" s="624">
        <v>231105.736</v>
      </c>
      <c r="Q115" s="624">
        <v>86242.77166667</v>
      </c>
      <c r="R115" s="624">
        <v>344</v>
      </c>
      <c r="S115" s="290">
        <v>0</v>
      </c>
      <c r="T115" s="290">
        <v>9443</v>
      </c>
      <c r="U115" s="958">
        <v>1.019886361090454E-3</v>
      </c>
      <c r="V115" s="290">
        <v>-7375.4994293199998</v>
      </c>
      <c r="W115" s="765">
        <v>0.52780263999999999</v>
      </c>
      <c r="X115" s="290">
        <v>0</v>
      </c>
      <c r="Y115" s="290">
        <v>1281.380412</v>
      </c>
      <c r="Z115" s="290">
        <v>6525517</v>
      </c>
      <c r="AA115" s="290">
        <v>0</v>
      </c>
      <c r="AB115" s="290">
        <v>1295</v>
      </c>
      <c r="AC115" s="290">
        <v>61671.896000000001</v>
      </c>
      <c r="AD115" s="290">
        <v>667</v>
      </c>
      <c r="AE115" s="290">
        <v>0</v>
      </c>
      <c r="AF115" s="290">
        <v>0</v>
      </c>
      <c r="AG115" s="290">
        <v>127337</v>
      </c>
      <c r="AH115" s="290">
        <v>23831.270790189999</v>
      </c>
      <c r="AI115" s="290">
        <v>4000</v>
      </c>
      <c r="AJ115" s="290">
        <v>0</v>
      </c>
      <c r="AK115" s="290">
        <v>0</v>
      </c>
      <c r="AL115" s="290">
        <v>0</v>
      </c>
      <c r="AM115" s="957">
        <v>3.0304560299999999</v>
      </c>
      <c r="AN115" s="290">
        <v>0</v>
      </c>
      <c r="AO115" s="290">
        <v>-17591.384399999999</v>
      </c>
      <c r="AP115" s="290">
        <v>0</v>
      </c>
      <c r="AQ115" s="290">
        <v>0</v>
      </c>
      <c r="AR115" s="290">
        <v>-6859.0665600000002</v>
      </c>
      <c r="AS115" s="290">
        <v>19182</v>
      </c>
      <c r="AT115" s="290">
        <v>6016</v>
      </c>
      <c r="AU115" s="290">
        <v>1026</v>
      </c>
      <c r="AV115" s="766">
        <v>3160609</v>
      </c>
      <c r="AW115" s="290">
        <v>69900</v>
      </c>
      <c r="AX115" s="766">
        <v>1099.9583500000001</v>
      </c>
      <c r="AY115" s="290">
        <v>50624</v>
      </c>
      <c r="AZ115" s="290">
        <v>7899</v>
      </c>
      <c r="BA115" s="290">
        <v>2127</v>
      </c>
      <c r="BB115" s="290">
        <v>0</v>
      </c>
      <c r="BC115" s="290">
        <v>24257.711500000001</v>
      </c>
      <c r="BD115" s="290">
        <v>10216</v>
      </c>
      <c r="BE115" s="290">
        <v>3326733.52</v>
      </c>
      <c r="BF115" s="290">
        <v>0</v>
      </c>
      <c r="BG115" s="290">
        <v>5148</v>
      </c>
      <c r="BH115" s="290">
        <v>735</v>
      </c>
      <c r="BI115" s="290">
        <v>86784.547200000001</v>
      </c>
      <c r="BJ115" s="290">
        <v>0</v>
      </c>
      <c r="BK115" s="290">
        <f t="shared" si="1"/>
        <v>0</v>
      </c>
      <c r="BL115" s="290">
        <v>0</v>
      </c>
      <c r="BM115" s="290">
        <v>0</v>
      </c>
      <c r="BN115" s="290">
        <v>90008</v>
      </c>
      <c r="BO115" s="290">
        <v>27389</v>
      </c>
      <c r="BP115" s="290">
        <v>140</v>
      </c>
      <c r="BQ115" s="290">
        <v>16524</v>
      </c>
      <c r="BR115" s="290">
        <v>-60</v>
      </c>
      <c r="BS115" s="290">
        <v>1088</v>
      </c>
      <c r="BT115" s="290">
        <v>0</v>
      </c>
      <c r="BU115" s="290">
        <v>0</v>
      </c>
      <c r="BV115" s="290">
        <v>1655</v>
      </c>
      <c r="BW115" s="290"/>
      <c r="BX115" s="290"/>
      <c r="BY115" s="290"/>
    </row>
    <row r="116" spans="1:77" s="657" customFormat="1" ht="13">
      <c r="A116" s="755">
        <v>3025</v>
      </c>
      <c r="B116" s="756" t="s">
        <v>1622</v>
      </c>
      <c r="C116" s="290">
        <v>94441</v>
      </c>
      <c r="D116" s="290">
        <v>1908</v>
      </c>
      <c r="E116" s="290">
        <v>4541</v>
      </c>
      <c r="F116" s="290">
        <v>12937</v>
      </c>
      <c r="G116" s="290">
        <v>8296</v>
      </c>
      <c r="H116" s="290">
        <v>52747</v>
      </c>
      <c r="I116" s="290">
        <v>9954</v>
      </c>
      <c r="J116" s="290">
        <v>3147</v>
      </c>
      <c r="K116" s="290">
        <v>659</v>
      </c>
      <c r="L116" s="290">
        <v>641</v>
      </c>
      <c r="M116" s="290">
        <v>5305</v>
      </c>
      <c r="N116" s="290">
        <v>2345</v>
      </c>
      <c r="O116" s="290">
        <v>1084</v>
      </c>
      <c r="P116" s="624">
        <v>168221.764</v>
      </c>
      <c r="Q116" s="624">
        <v>140433.86033333</v>
      </c>
      <c r="R116" s="624">
        <v>302</v>
      </c>
      <c r="S116" s="290">
        <v>3756</v>
      </c>
      <c r="T116" s="290">
        <v>6463</v>
      </c>
      <c r="U116" s="958">
        <v>3.4367195662237215E-3</v>
      </c>
      <c r="V116" s="290">
        <v>-23708.41857514</v>
      </c>
      <c r="W116" s="765">
        <v>0.55375695999999996</v>
      </c>
      <c r="X116" s="290">
        <v>0</v>
      </c>
      <c r="Y116" s="290">
        <v>3417.0144319999999</v>
      </c>
      <c r="Z116" s="290">
        <v>3964821</v>
      </c>
      <c r="AA116" s="290">
        <v>0</v>
      </c>
      <c r="AB116" s="290">
        <v>1295</v>
      </c>
      <c r="AC116" s="290">
        <v>17717.276999999998</v>
      </c>
      <c r="AD116" s="290">
        <v>500</v>
      </c>
      <c r="AE116" s="290">
        <v>0</v>
      </c>
      <c r="AF116" s="290">
        <v>29425.7088</v>
      </c>
      <c r="AG116" s="290">
        <v>94189</v>
      </c>
      <c r="AH116" s="290">
        <v>17580.658993929999</v>
      </c>
      <c r="AI116" s="290">
        <v>2100</v>
      </c>
      <c r="AJ116" s="290">
        <v>0</v>
      </c>
      <c r="AK116" s="290">
        <v>0</v>
      </c>
      <c r="AL116" s="290">
        <v>0</v>
      </c>
      <c r="AM116" s="957">
        <v>2.4044676100000002</v>
      </c>
      <c r="AN116" s="290">
        <v>0</v>
      </c>
      <c r="AO116" s="290">
        <v>-12802.229300000001</v>
      </c>
      <c r="AP116" s="290">
        <v>0</v>
      </c>
      <c r="AQ116" s="290">
        <v>0</v>
      </c>
      <c r="AR116" s="290">
        <v>-5073.5341699999999</v>
      </c>
      <c r="AS116" s="290">
        <v>14485</v>
      </c>
      <c r="AT116" s="290">
        <v>5133</v>
      </c>
      <c r="AU116" s="290">
        <v>799</v>
      </c>
      <c r="AV116" s="766">
        <v>2315646</v>
      </c>
      <c r="AW116" s="290">
        <v>48700</v>
      </c>
      <c r="AX116" s="766">
        <v>790.37504999999999</v>
      </c>
      <c r="AY116" s="290">
        <v>31100</v>
      </c>
      <c r="AZ116" s="290">
        <v>5145</v>
      </c>
      <c r="BA116" s="290">
        <v>1944</v>
      </c>
      <c r="BB116" s="290">
        <v>0</v>
      </c>
      <c r="BC116" s="290">
        <v>56769.472300000001</v>
      </c>
      <c r="BD116" s="290">
        <v>7568</v>
      </c>
      <c r="BE116" s="290">
        <v>2372125.39</v>
      </c>
      <c r="BF116" s="290">
        <v>0</v>
      </c>
      <c r="BG116" s="290">
        <v>3868</v>
      </c>
      <c r="BH116" s="290">
        <v>552</v>
      </c>
      <c r="BI116" s="290">
        <v>68140.659199999995</v>
      </c>
      <c r="BJ116" s="290">
        <v>0</v>
      </c>
      <c r="BK116" s="290">
        <f t="shared" si="1"/>
        <v>0</v>
      </c>
      <c r="BL116" s="290">
        <v>0</v>
      </c>
      <c r="BM116" s="290">
        <v>9626</v>
      </c>
      <c r="BN116" s="290">
        <v>65503</v>
      </c>
      <c r="BO116" s="290">
        <v>19408</v>
      </c>
      <c r="BP116" s="290">
        <v>97</v>
      </c>
      <c r="BQ116" s="290">
        <v>10982</v>
      </c>
      <c r="BR116" s="290">
        <v>-44</v>
      </c>
      <c r="BS116" s="290">
        <v>895</v>
      </c>
      <c r="BT116" s="290">
        <v>0</v>
      </c>
      <c r="BU116" s="290">
        <v>0</v>
      </c>
      <c r="BV116" s="290">
        <v>1244</v>
      </c>
      <c r="BW116" s="290"/>
      <c r="BX116" s="290"/>
      <c r="BY116" s="290"/>
    </row>
    <row r="117" spans="1:77" ht="13">
      <c r="A117" s="1">
        <v>3026</v>
      </c>
      <c r="B117" s="2" t="s">
        <v>1623</v>
      </c>
      <c r="C117" s="289">
        <v>17390</v>
      </c>
      <c r="D117" s="290">
        <v>335</v>
      </c>
      <c r="E117" s="290">
        <v>756</v>
      </c>
      <c r="F117" s="290">
        <v>2070</v>
      </c>
      <c r="G117" s="290">
        <v>1382</v>
      </c>
      <c r="H117" s="290">
        <v>9793</v>
      </c>
      <c r="I117" s="290">
        <v>2154</v>
      </c>
      <c r="J117" s="290">
        <v>652</v>
      </c>
      <c r="K117" s="290">
        <v>155</v>
      </c>
      <c r="L117" s="290">
        <v>135</v>
      </c>
      <c r="M117" s="290">
        <v>1294</v>
      </c>
      <c r="N117" s="290">
        <v>223</v>
      </c>
      <c r="O117" s="290">
        <v>198</v>
      </c>
      <c r="P117" s="624">
        <v>63874.270333330001</v>
      </c>
      <c r="Q117" s="624">
        <v>45750.027999999998</v>
      </c>
      <c r="R117" s="624">
        <v>46</v>
      </c>
      <c r="S117" s="290">
        <v>0</v>
      </c>
      <c r="T117" s="290">
        <v>1346</v>
      </c>
      <c r="U117" s="958">
        <v>6.2313373776361593E-3</v>
      </c>
      <c r="V117" s="290">
        <v>7754.4386610499996</v>
      </c>
      <c r="W117" s="765">
        <v>0.64543366999999996</v>
      </c>
      <c r="X117" s="290">
        <v>2800</v>
      </c>
      <c r="Y117" s="290">
        <v>700.57274800000005</v>
      </c>
      <c r="Z117" s="290">
        <v>432758</v>
      </c>
      <c r="AA117" s="290">
        <v>0</v>
      </c>
      <c r="AB117" s="290">
        <v>352</v>
      </c>
      <c r="AC117" s="290">
        <v>2670.11</v>
      </c>
      <c r="AD117" s="290">
        <v>333</v>
      </c>
      <c r="AE117" s="290">
        <v>0</v>
      </c>
      <c r="AF117" s="290">
        <v>20815.3452</v>
      </c>
      <c r="AG117" s="290">
        <v>17297</v>
      </c>
      <c r="AH117" s="290">
        <v>2889.6247223800001</v>
      </c>
      <c r="AI117" s="290">
        <v>0</v>
      </c>
      <c r="AJ117" s="290">
        <v>0</v>
      </c>
      <c r="AK117" s="290">
        <v>0</v>
      </c>
      <c r="AL117" s="290">
        <v>0</v>
      </c>
      <c r="AM117" s="957">
        <v>0.64842321000000003</v>
      </c>
      <c r="AN117" s="290">
        <v>0</v>
      </c>
      <c r="AO117" s="290">
        <v>-2348.3694300000002</v>
      </c>
      <c r="AP117" s="290">
        <v>0</v>
      </c>
      <c r="AQ117" s="290">
        <v>0</v>
      </c>
      <c r="AR117" s="290">
        <v>-931.71092699999997</v>
      </c>
      <c r="AS117" s="290">
        <v>2930</v>
      </c>
      <c r="AT117" s="290">
        <v>1133</v>
      </c>
      <c r="AU117" s="290">
        <v>194</v>
      </c>
      <c r="AV117" s="766">
        <v>445425</v>
      </c>
      <c r="AW117" s="290">
        <v>5300</v>
      </c>
      <c r="AX117" s="766">
        <v>115.66670000000001</v>
      </c>
      <c r="AY117" s="290">
        <v>2569</v>
      </c>
      <c r="AZ117" s="290">
        <v>870</v>
      </c>
      <c r="BA117" s="290">
        <v>380</v>
      </c>
      <c r="BB117" s="290">
        <v>0</v>
      </c>
      <c r="BC117" s="290">
        <v>7579.08284</v>
      </c>
      <c r="BD117" s="290">
        <v>1455</v>
      </c>
      <c r="BE117" s="290">
        <v>466687.27</v>
      </c>
      <c r="BF117" s="290">
        <v>0</v>
      </c>
      <c r="BG117" s="290">
        <v>771</v>
      </c>
      <c r="BH117" s="290">
        <v>110</v>
      </c>
      <c r="BI117" s="290">
        <v>27075.652699999999</v>
      </c>
      <c r="BJ117" s="290">
        <v>0</v>
      </c>
      <c r="BK117" s="290">
        <f t="shared" si="1"/>
        <v>0</v>
      </c>
      <c r="BL117" s="290">
        <v>0</v>
      </c>
      <c r="BM117" s="290">
        <v>4424</v>
      </c>
      <c r="BN117" s="290">
        <v>12016</v>
      </c>
      <c r="BO117" s="290">
        <v>3050</v>
      </c>
      <c r="BP117" s="290">
        <v>15</v>
      </c>
      <c r="BQ117" s="290">
        <v>1671</v>
      </c>
      <c r="BR117" s="290">
        <v>-8</v>
      </c>
      <c r="BS117" s="290">
        <v>246</v>
      </c>
      <c r="BT117" s="290">
        <v>0</v>
      </c>
      <c r="BU117" s="290">
        <v>0</v>
      </c>
      <c r="BV117" s="290">
        <v>248</v>
      </c>
      <c r="BW117" s="290"/>
      <c r="BX117" s="290"/>
      <c r="BY117" s="290"/>
    </row>
    <row r="118" spans="1:77" ht="13">
      <c r="A118" s="1">
        <v>3027</v>
      </c>
      <c r="B118" s="2" t="s">
        <v>812</v>
      </c>
      <c r="C118" s="289">
        <v>18530</v>
      </c>
      <c r="D118" s="290">
        <v>439</v>
      </c>
      <c r="E118" s="290">
        <v>989</v>
      </c>
      <c r="F118" s="290">
        <v>2434</v>
      </c>
      <c r="G118" s="290">
        <v>1492</v>
      </c>
      <c r="H118" s="290">
        <v>10732</v>
      </c>
      <c r="I118" s="290">
        <v>1665</v>
      </c>
      <c r="J118" s="290">
        <v>445</v>
      </c>
      <c r="K118" s="290">
        <v>74</v>
      </c>
      <c r="L118" s="290">
        <v>131</v>
      </c>
      <c r="M118" s="290">
        <v>944</v>
      </c>
      <c r="N118" s="290">
        <v>841</v>
      </c>
      <c r="O118" s="290">
        <v>168</v>
      </c>
      <c r="P118" s="624">
        <v>20963.62866667</v>
      </c>
      <c r="Q118" s="624">
        <v>19455.186000000002</v>
      </c>
      <c r="R118" s="624">
        <v>49</v>
      </c>
      <c r="S118" s="290">
        <v>0</v>
      </c>
      <c r="T118" s="290">
        <v>1453</v>
      </c>
      <c r="U118" s="958">
        <v>4.1493245983618531E-4</v>
      </c>
      <c r="V118" s="290">
        <v>3483.5395114200001</v>
      </c>
      <c r="W118" s="765">
        <v>0.54214172000000005</v>
      </c>
      <c r="X118" s="290">
        <v>2900</v>
      </c>
      <c r="Y118" s="290">
        <v>427.12680399999999</v>
      </c>
      <c r="Z118" s="290">
        <v>586828</v>
      </c>
      <c r="AA118" s="290">
        <v>0</v>
      </c>
      <c r="AB118" s="290">
        <v>247</v>
      </c>
      <c r="AC118" s="290">
        <v>4757.6210000000001</v>
      </c>
      <c r="AD118" s="290">
        <v>333</v>
      </c>
      <c r="AE118" s="290">
        <v>0</v>
      </c>
      <c r="AF118" s="290">
        <v>0</v>
      </c>
      <c r="AG118" s="290">
        <v>18270</v>
      </c>
      <c r="AH118" s="290">
        <v>3426.77537755</v>
      </c>
      <c r="AI118" s="290">
        <v>0</v>
      </c>
      <c r="AJ118" s="290">
        <v>0</v>
      </c>
      <c r="AK118" s="290">
        <v>0</v>
      </c>
      <c r="AL118" s="290">
        <v>0</v>
      </c>
      <c r="AM118" s="957">
        <v>0.43694179999999999</v>
      </c>
      <c r="AN118" s="290">
        <v>0</v>
      </c>
      <c r="AO118" s="290">
        <v>-2404.2423899999999</v>
      </c>
      <c r="AP118" s="290">
        <v>0</v>
      </c>
      <c r="AQ118" s="290">
        <v>0</v>
      </c>
      <c r="AR118" s="290">
        <v>-984.12202300000001</v>
      </c>
      <c r="AS118" s="290">
        <v>4470</v>
      </c>
      <c r="AT118" s="290">
        <v>1076</v>
      </c>
      <c r="AU118" s="290">
        <v>167</v>
      </c>
      <c r="AV118" s="766">
        <v>418838</v>
      </c>
      <c r="AW118" s="290">
        <v>5750</v>
      </c>
      <c r="AX118" s="766">
        <v>169.25004999999999</v>
      </c>
      <c r="AY118" s="290">
        <v>4309</v>
      </c>
      <c r="AZ118" s="290">
        <v>802</v>
      </c>
      <c r="BA118" s="290">
        <v>423</v>
      </c>
      <c r="BB118" s="290">
        <v>0</v>
      </c>
      <c r="BC118" s="290">
        <v>3723.4370399999998</v>
      </c>
      <c r="BD118" s="290">
        <v>1528</v>
      </c>
      <c r="BE118" s="290">
        <v>433024.69400000002</v>
      </c>
      <c r="BF118" s="290">
        <v>0</v>
      </c>
      <c r="BG118" s="290">
        <v>727</v>
      </c>
      <c r="BH118" s="290">
        <v>104</v>
      </c>
      <c r="BI118" s="290">
        <v>8611.5231800000001</v>
      </c>
      <c r="BJ118" s="290">
        <v>2100</v>
      </c>
      <c r="BK118" s="290">
        <f t="shared" si="1"/>
        <v>0</v>
      </c>
      <c r="BL118" s="290">
        <v>0</v>
      </c>
      <c r="BM118" s="290">
        <v>0</v>
      </c>
      <c r="BN118" s="290">
        <v>12301</v>
      </c>
      <c r="BO118" s="290">
        <v>3899</v>
      </c>
      <c r="BP118" s="290">
        <v>20</v>
      </c>
      <c r="BQ118" s="290">
        <v>1852</v>
      </c>
      <c r="BR118" s="290">
        <v>-9</v>
      </c>
      <c r="BS118" s="290">
        <v>202</v>
      </c>
      <c r="BT118" s="290">
        <v>0</v>
      </c>
      <c r="BU118" s="290">
        <v>0</v>
      </c>
      <c r="BV118" s="290">
        <v>234</v>
      </c>
      <c r="BW118" s="290"/>
      <c r="BX118" s="290"/>
      <c r="BY118" s="290"/>
    </row>
    <row r="119" spans="1:77" ht="13">
      <c r="A119" s="1">
        <v>3028</v>
      </c>
      <c r="B119" s="2" t="s">
        <v>813</v>
      </c>
      <c r="C119" s="289">
        <v>11110</v>
      </c>
      <c r="D119" s="290">
        <v>227</v>
      </c>
      <c r="E119" s="290">
        <v>524</v>
      </c>
      <c r="F119" s="290">
        <v>1582</v>
      </c>
      <c r="G119" s="290">
        <v>914</v>
      </c>
      <c r="H119" s="290">
        <v>6327</v>
      </c>
      <c r="I119" s="290">
        <v>1194</v>
      </c>
      <c r="J119" s="290">
        <v>243</v>
      </c>
      <c r="K119" s="290">
        <v>44</v>
      </c>
      <c r="L119" s="290">
        <v>85</v>
      </c>
      <c r="M119" s="290">
        <v>565</v>
      </c>
      <c r="N119" s="290">
        <v>247</v>
      </c>
      <c r="O119" s="290">
        <v>112</v>
      </c>
      <c r="P119" s="624">
        <v>35108.272333330002</v>
      </c>
      <c r="Q119" s="624">
        <v>14746.49533333</v>
      </c>
      <c r="R119" s="624">
        <v>37</v>
      </c>
      <c r="S119" s="290">
        <v>0</v>
      </c>
      <c r="T119" s="290">
        <v>770</v>
      </c>
      <c r="U119" s="958">
        <v>1.7564144806926866E-3</v>
      </c>
      <c r="V119" s="290">
        <v>2817.77578619</v>
      </c>
      <c r="W119" s="765">
        <v>0.58613176</v>
      </c>
      <c r="X119" s="290">
        <v>2400</v>
      </c>
      <c r="Y119" s="290">
        <v>427.12680399999999</v>
      </c>
      <c r="Z119" s="290">
        <v>291255</v>
      </c>
      <c r="AA119" s="290">
        <v>800</v>
      </c>
      <c r="AB119" s="290">
        <v>207</v>
      </c>
      <c r="AC119" s="290">
        <v>3835.808</v>
      </c>
      <c r="AD119" s="290">
        <v>333</v>
      </c>
      <c r="AE119" s="290">
        <v>0</v>
      </c>
      <c r="AF119" s="290">
        <v>0</v>
      </c>
      <c r="AG119" s="290">
        <v>11055</v>
      </c>
      <c r="AH119" s="290">
        <v>2078.4766266800002</v>
      </c>
      <c r="AI119" s="290">
        <v>0</v>
      </c>
      <c r="AJ119" s="290">
        <v>0</v>
      </c>
      <c r="AK119" s="290">
        <v>0</v>
      </c>
      <c r="AL119" s="290">
        <v>0</v>
      </c>
      <c r="AM119" s="957">
        <v>0.32686868000000002</v>
      </c>
      <c r="AN119" s="290">
        <v>0</v>
      </c>
      <c r="AO119" s="290">
        <v>-1477.0472299999999</v>
      </c>
      <c r="AP119" s="290">
        <v>0</v>
      </c>
      <c r="AQ119" s="290">
        <v>0</v>
      </c>
      <c r="AR119" s="290">
        <v>-595.48270200000002</v>
      </c>
      <c r="AS119" s="290">
        <v>3238</v>
      </c>
      <c r="AT119" s="290">
        <v>635</v>
      </c>
      <c r="AU119" s="290">
        <v>140</v>
      </c>
      <c r="AV119" s="766">
        <v>263320</v>
      </c>
      <c r="AW119" s="290">
        <v>7650</v>
      </c>
      <c r="AX119" s="766">
        <v>87.583299999999994</v>
      </c>
      <c r="AY119" s="290">
        <v>1916</v>
      </c>
      <c r="AZ119" s="290">
        <v>447</v>
      </c>
      <c r="BA119" s="290">
        <v>254</v>
      </c>
      <c r="BB119" s="290">
        <v>0</v>
      </c>
      <c r="BC119" s="290">
        <v>2429.3392600000002</v>
      </c>
      <c r="BD119" s="290">
        <v>955</v>
      </c>
      <c r="BE119" s="290">
        <v>273409.87900000002</v>
      </c>
      <c r="BF119" s="290">
        <v>0</v>
      </c>
      <c r="BG119" s="290">
        <v>468</v>
      </c>
      <c r="BH119" s="290">
        <v>67</v>
      </c>
      <c r="BI119" s="290">
        <v>6341.4114300000001</v>
      </c>
      <c r="BJ119" s="290">
        <v>1260</v>
      </c>
      <c r="BK119" s="290">
        <f t="shared" si="1"/>
        <v>0</v>
      </c>
      <c r="BL119" s="290">
        <v>0</v>
      </c>
      <c r="BM119" s="290">
        <v>0</v>
      </c>
      <c r="BN119" s="290">
        <v>7557</v>
      </c>
      <c r="BO119" s="290">
        <v>2184</v>
      </c>
      <c r="BP119" s="290">
        <v>10</v>
      </c>
      <c r="BQ119" s="290">
        <v>1076</v>
      </c>
      <c r="BR119" s="290">
        <v>-5</v>
      </c>
      <c r="BS119" s="290">
        <v>140</v>
      </c>
      <c r="BT119" s="290">
        <v>0</v>
      </c>
      <c r="BU119" s="290">
        <v>0</v>
      </c>
      <c r="BV119" s="290">
        <v>150</v>
      </c>
      <c r="BW119" s="290"/>
      <c r="BX119" s="290"/>
      <c r="BY119" s="290"/>
    </row>
    <row r="120" spans="1:77" ht="13">
      <c r="A120" s="1">
        <v>3029</v>
      </c>
      <c r="B120" s="2" t="s">
        <v>814</v>
      </c>
      <c r="C120" s="289">
        <v>41460</v>
      </c>
      <c r="D120" s="290">
        <v>927</v>
      </c>
      <c r="E120" s="290">
        <v>1963</v>
      </c>
      <c r="F120" s="290">
        <v>5088</v>
      </c>
      <c r="G120" s="290">
        <v>3486</v>
      </c>
      <c r="H120" s="290">
        <v>23894</v>
      </c>
      <c r="I120" s="290">
        <v>4180</v>
      </c>
      <c r="J120" s="290">
        <v>1152</v>
      </c>
      <c r="K120" s="290">
        <v>200</v>
      </c>
      <c r="L120" s="290">
        <v>279</v>
      </c>
      <c r="M120" s="290">
        <v>2229</v>
      </c>
      <c r="N120" s="290">
        <v>2187</v>
      </c>
      <c r="O120" s="290">
        <v>357</v>
      </c>
      <c r="P120" s="624">
        <v>58083.651333330003</v>
      </c>
      <c r="Q120" s="624">
        <v>32963.887666670002</v>
      </c>
      <c r="R120" s="624">
        <v>91</v>
      </c>
      <c r="S120" s="290">
        <v>0</v>
      </c>
      <c r="T120" s="290">
        <v>3246</v>
      </c>
      <c r="U120" s="958">
        <v>4.9760291185097134E-4</v>
      </c>
      <c r="V120" s="290">
        <v>3546.9467617099999</v>
      </c>
      <c r="W120" s="765">
        <v>0.52552628999999995</v>
      </c>
      <c r="X120" s="290">
        <v>0</v>
      </c>
      <c r="Y120" s="290">
        <v>427.12680399999999</v>
      </c>
      <c r="Z120" s="290">
        <v>1334722</v>
      </c>
      <c r="AA120" s="290">
        <v>0</v>
      </c>
      <c r="AB120" s="290">
        <v>519</v>
      </c>
      <c r="AC120" s="290">
        <v>17543.579000000002</v>
      </c>
      <c r="AD120" s="290">
        <v>500</v>
      </c>
      <c r="AE120" s="290">
        <v>46554</v>
      </c>
      <c r="AF120" s="290">
        <v>0</v>
      </c>
      <c r="AG120" s="290">
        <v>40890</v>
      </c>
      <c r="AH120" s="290">
        <v>7223.7003317400004</v>
      </c>
      <c r="AI120" s="290">
        <v>0</v>
      </c>
      <c r="AJ120" s="290">
        <v>0</v>
      </c>
      <c r="AK120" s="290">
        <v>1900.6320000000001</v>
      </c>
      <c r="AL120" s="290">
        <v>0</v>
      </c>
      <c r="AM120" s="957">
        <v>1.2107562000000001</v>
      </c>
      <c r="AN120" s="290">
        <v>0</v>
      </c>
      <c r="AO120" s="290">
        <v>-5200.9293799999996</v>
      </c>
      <c r="AP120" s="290">
        <v>0</v>
      </c>
      <c r="AQ120" s="290">
        <v>0</v>
      </c>
      <c r="AR120" s="290">
        <v>-2202.55881</v>
      </c>
      <c r="AS120" s="290">
        <v>8302</v>
      </c>
      <c r="AT120" s="290">
        <v>2340</v>
      </c>
      <c r="AU120" s="290">
        <v>431</v>
      </c>
      <c r="AV120" s="766">
        <v>868244</v>
      </c>
      <c r="AW120" s="290">
        <v>15100</v>
      </c>
      <c r="AX120" s="766">
        <v>322.95835</v>
      </c>
      <c r="AY120" s="290">
        <v>10452</v>
      </c>
      <c r="AZ120" s="290">
        <v>1931</v>
      </c>
      <c r="BA120" s="290">
        <v>831</v>
      </c>
      <c r="BB120" s="290">
        <v>0</v>
      </c>
      <c r="BC120" s="290">
        <v>7169.9485100000002</v>
      </c>
      <c r="BD120" s="290">
        <v>3324</v>
      </c>
      <c r="BE120" s="290">
        <v>940791.46400000004</v>
      </c>
      <c r="BF120" s="290">
        <v>0</v>
      </c>
      <c r="BG120" s="290">
        <v>1624</v>
      </c>
      <c r="BH120" s="290">
        <v>232</v>
      </c>
      <c r="BI120" s="290">
        <v>27095.038100000002</v>
      </c>
      <c r="BJ120" s="290">
        <v>4690</v>
      </c>
      <c r="BK120" s="290">
        <f t="shared" si="1"/>
        <v>0</v>
      </c>
      <c r="BL120" s="290">
        <v>0</v>
      </c>
      <c r="BM120" s="290">
        <v>0</v>
      </c>
      <c r="BN120" s="290">
        <v>26611</v>
      </c>
      <c r="BO120" s="290">
        <v>7932</v>
      </c>
      <c r="BP120" s="290">
        <v>40</v>
      </c>
      <c r="BQ120" s="290">
        <v>4159</v>
      </c>
      <c r="BR120" s="290">
        <v>-19</v>
      </c>
      <c r="BS120" s="290">
        <v>441</v>
      </c>
      <c r="BT120" s="290">
        <v>0</v>
      </c>
      <c r="BU120" s="290">
        <v>0</v>
      </c>
      <c r="BV120" s="290">
        <v>522</v>
      </c>
      <c r="BW120" s="290"/>
      <c r="BX120" s="290"/>
      <c r="BY120" s="290"/>
    </row>
    <row r="121" spans="1:77" ht="13">
      <c r="A121" s="1">
        <v>3030</v>
      </c>
      <c r="B121" s="4" t="s">
        <v>1624</v>
      </c>
      <c r="C121" s="289">
        <v>85983</v>
      </c>
      <c r="D121" s="290">
        <v>1893</v>
      </c>
      <c r="E121" s="290">
        <v>4106</v>
      </c>
      <c r="F121" s="290">
        <v>11096</v>
      </c>
      <c r="G121" s="290">
        <v>7348</v>
      </c>
      <c r="H121" s="290">
        <v>49805</v>
      </c>
      <c r="I121" s="290">
        <v>8271</v>
      </c>
      <c r="J121" s="290">
        <v>2658</v>
      </c>
      <c r="K121" s="290">
        <v>505</v>
      </c>
      <c r="L121" s="290">
        <v>622</v>
      </c>
      <c r="M121" s="290">
        <v>4827</v>
      </c>
      <c r="N121" s="290">
        <v>3932</v>
      </c>
      <c r="O121" s="290">
        <v>828</v>
      </c>
      <c r="P121" s="624">
        <v>175225.40066667</v>
      </c>
      <c r="Q121" s="624">
        <v>99755.293333330002</v>
      </c>
      <c r="R121" s="624">
        <v>227</v>
      </c>
      <c r="S121" s="290">
        <v>391</v>
      </c>
      <c r="T121" s="290">
        <v>6440</v>
      </c>
      <c r="U121" s="958">
        <v>6.5242456355829913E-3</v>
      </c>
      <c r="V121" s="290">
        <v>17537.977799640001</v>
      </c>
      <c r="W121" s="765">
        <v>0.54447643999999995</v>
      </c>
      <c r="X121" s="290">
        <v>4750</v>
      </c>
      <c r="Y121" s="290">
        <v>1708.507216</v>
      </c>
      <c r="Z121" s="290">
        <v>2710030</v>
      </c>
      <c r="AA121" s="290">
        <v>400</v>
      </c>
      <c r="AB121" s="290">
        <v>1286</v>
      </c>
      <c r="AC121" s="290">
        <v>23293.428</v>
      </c>
      <c r="AD121" s="290">
        <v>500</v>
      </c>
      <c r="AE121" s="290">
        <v>19532</v>
      </c>
      <c r="AF121" s="290">
        <v>29425.7088</v>
      </c>
      <c r="AG121" s="290">
        <v>85682</v>
      </c>
      <c r="AH121" s="290">
        <v>15477.60212193</v>
      </c>
      <c r="AI121" s="290">
        <v>0</v>
      </c>
      <c r="AJ121" s="290">
        <v>0</v>
      </c>
      <c r="AK121" s="290">
        <v>0</v>
      </c>
      <c r="AL121" s="290">
        <v>0</v>
      </c>
      <c r="AM121" s="957">
        <v>2.78147009</v>
      </c>
      <c r="AN121" s="290">
        <v>0</v>
      </c>
      <c r="AO121" s="290">
        <v>-11257.313399999999</v>
      </c>
      <c r="AP121" s="290">
        <v>0</v>
      </c>
      <c r="AQ121" s="290">
        <v>-16580.41</v>
      </c>
      <c r="AR121" s="290">
        <v>-4615.3006699999996</v>
      </c>
      <c r="AS121" s="290">
        <v>16141</v>
      </c>
      <c r="AT121" s="290">
        <v>5195</v>
      </c>
      <c r="AU121" s="290">
        <v>887</v>
      </c>
      <c r="AV121" s="766">
        <v>1973299</v>
      </c>
      <c r="AW121" s="290">
        <v>34500</v>
      </c>
      <c r="AX121" s="766">
        <v>701.45759999999996</v>
      </c>
      <c r="AY121" s="290">
        <v>20213</v>
      </c>
      <c r="AZ121" s="290">
        <v>4370</v>
      </c>
      <c r="BA121" s="290">
        <v>1854</v>
      </c>
      <c r="BB121" s="290">
        <v>0</v>
      </c>
      <c r="BC121" s="290">
        <v>32024.691800000001</v>
      </c>
      <c r="BD121" s="290">
        <v>6899</v>
      </c>
      <c r="BE121" s="290">
        <v>2074021.08</v>
      </c>
      <c r="BF121" s="290">
        <v>0</v>
      </c>
      <c r="BG121" s="290">
        <v>3425</v>
      </c>
      <c r="BH121" s="290">
        <v>489</v>
      </c>
      <c r="BI121" s="290">
        <v>69905.246100000004</v>
      </c>
      <c r="BJ121" s="290">
        <v>9730</v>
      </c>
      <c r="BK121" s="290">
        <f t="shared" si="1"/>
        <v>0</v>
      </c>
      <c r="BL121" s="290">
        <v>0</v>
      </c>
      <c r="BM121" s="290">
        <v>9042</v>
      </c>
      <c r="BN121" s="290">
        <v>57599</v>
      </c>
      <c r="BO121" s="290">
        <v>16778</v>
      </c>
      <c r="BP121" s="290">
        <v>84</v>
      </c>
      <c r="BQ121" s="290">
        <v>8759</v>
      </c>
      <c r="BR121" s="290">
        <v>-40</v>
      </c>
      <c r="BS121" s="290">
        <v>1010</v>
      </c>
      <c r="BT121" s="290">
        <v>0</v>
      </c>
      <c r="BU121" s="290">
        <v>0</v>
      </c>
      <c r="BV121" s="290">
        <v>1101</v>
      </c>
      <c r="BW121" s="290"/>
      <c r="BX121" s="290"/>
      <c r="BY121" s="290"/>
    </row>
    <row r="122" spans="1:77" ht="13">
      <c r="A122" s="1">
        <v>3031</v>
      </c>
      <c r="B122" s="2" t="s">
        <v>816</v>
      </c>
      <c r="C122" s="289">
        <v>24249</v>
      </c>
      <c r="D122" s="290">
        <v>503</v>
      </c>
      <c r="E122" s="290">
        <v>1224</v>
      </c>
      <c r="F122" s="290">
        <v>3516</v>
      </c>
      <c r="G122" s="290">
        <v>2167</v>
      </c>
      <c r="H122" s="290">
        <v>13744</v>
      </c>
      <c r="I122" s="290">
        <v>2334</v>
      </c>
      <c r="J122" s="290">
        <v>661</v>
      </c>
      <c r="K122" s="290">
        <v>97</v>
      </c>
      <c r="L122" s="290">
        <v>169</v>
      </c>
      <c r="M122" s="290">
        <v>1270</v>
      </c>
      <c r="N122" s="290">
        <v>526</v>
      </c>
      <c r="O122" s="290">
        <v>184</v>
      </c>
      <c r="P122" s="624">
        <v>57240.209000000003</v>
      </c>
      <c r="Q122" s="624">
        <v>23965.90733333</v>
      </c>
      <c r="R122" s="624">
        <v>77</v>
      </c>
      <c r="S122" s="290">
        <v>0</v>
      </c>
      <c r="T122" s="290">
        <v>1591</v>
      </c>
      <c r="U122" s="958">
        <v>1.1596755288943935E-3</v>
      </c>
      <c r="V122" s="290">
        <v>7514.5002083899999</v>
      </c>
      <c r="W122" s="765">
        <v>0.54700572000000003</v>
      </c>
      <c r="X122" s="290">
        <v>2500</v>
      </c>
      <c r="Y122" s="290">
        <v>427.12680399999999</v>
      </c>
      <c r="Z122" s="290">
        <v>791727</v>
      </c>
      <c r="AA122" s="290">
        <v>0</v>
      </c>
      <c r="AB122" s="290">
        <v>354</v>
      </c>
      <c r="AC122" s="290">
        <v>5023.46</v>
      </c>
      <c r="AD122" s="290">
        <v>333</v>
      </c>
      <c r="AE122" s="290">
        <v>5334</v>
      </c>
      <c r="AF122" s="290">
        <v>0</v>
      </c>
      <c r="AG122" s="290">
        <v>24246</v>
      </c>
      <c r="AH122" s="290">
        <v>4733.8660700800001</v>
      </c>
      <c r="AI122" s="290">
        <v>0</v>
      </c>
      <c r="AJ122" s="290">
        <v>18427.862000000001</v>
      </c>
      <c r="AK122" s="290">
        <v>706.83</v>
      </c>
      <c r="AL122" s="290">
        <v>0</v>
      </c>
      <c r="AM122" s="957">
        <v>0.38098525</v>
      </c>
      <c r="AN122" s="290">
        <v>0</v>
      </c>
      <c r="AO122" s="290">
        <v>-3213.5628700000002</v>
      </c>
      <c r="AP122" s="290">
        <v>0</v>
      </c>
      <c r="AQ122" s="290">
        <v>0</v>
      </c>
      <c r="AR122" s="290">
        <v>1657.6023</v>
      </c>
      <c r="AS122" s="290">
        <v>5431</v>
      </c>
      <c r="AT122" s="290">
        <v>1387</v>
      </c>
      <c r="AU122" s="290">
        <v>183</v>
      </c>
      <c r="AV122" s="766">
        <v>573693</v>
      </c>
      <c r="AW122" s="290">
        <v>9600</v>
      </c>
      <c r="AX122" s="766">
        <v>159.41669999999999</v>
      </c>
      <c r="AY122" s="290">
        <v>6513</v>
      </c>
      <c r="AZ122" s="290">
        <v>871</v>
      </c>
      <c r="BA122" s="290">
        <v>505</v>
      </c>
      <c r="BB122" s="290">
        <v>0</v>
      </c>
      <c r="BC122" s="290">
        <v>4922.7086799999997</v>
      </c>
      <c r="BD122" s="290">
        <v>2003</v>
      </c>
      <c r="BE122" s="290">
        <v>590167.12199999997</v>
      </c>
      <c r="BF122" s="290">
        <v>0</v>
      </c>
      <c r="BG122" s="290">
        <v>985</v>
      </c>
      <c r="BH122" s="290">
        <v>141</v>
      </c>
      <c r="BI122" s="290">
        <v>10891.2829</v>
      </c>
      <c r="BJ122" s="290">
        <v>0</v>
      </c>
      <c r="BK122" s="290">
        <f t="shared" si="1"/>
        <v>0</v>
      </c>
      <c r="BL122" s="290">
        <v>0</v>
      </c>
      <c r="BM122" s="290">
        <v>0</v>
      </c>
      <c r="BN122" s="290">
        <v>16442</v>
      </c>
      <c r="BO122" s="290">
        <v>5021</v>
      </c>
      <c r="BP122" s="290">
        <v>25</v>
      </c>
      <c r="BQ122" s="290">
        <v>2508</v>
      </c>
      <c r="BR122" s="290">
        <v>-11</v>
      </c>
      <c r="BS122" s="290">
        <v>185</v>
      </c>
      <c r="BT122" s="290">
        <v>0</v>
      </c>
      <c r="BU122" s="290">
        <v>0</v>
      </c>
      <c r="BV122" s="290">
        <v>317</v>
      </c>
      <c r="BW122" s="290"/>
      <c r="BX122" s="290"/>
      <c r="BY122" s="290"/>
    </row>
    <row r="123" spans="1:77" ht="13">
      <c r="A123" s="1">
        <v>3032</v>
      </c>
      <c r="B123" s="2" t="s">
        <v>817</v>
      </c>
      <c r="C123" s="289">
        <v>6890</v>
      </c>
      <c r="D123" s="290">
        <v>141</v>
      </c>
      <c r="E123" s="290">
        <v>321</v>
      </c>
      <c r="F123" s="290">
        <v>931</v>
      </c>
      <c r="G123" s="290">
        <v>629</v>
      </c>
      <c r="H123" s="290">
        <v>3886</v>
      </c>
      <c r="I123" s="290">
        <v>686</v>
      </c>
      <c r="J123" s="290">
        <v>207</v>
      </c>
      <c r="K123" s="290">
        <v>22</v>
      </c>
      <c r="L123" s="290">
        <v>54</v>
      </c>
      <c r="M123" s="290">
        <v>341</v>
      </c>
      <c r="N123" s="290">
        <v>105</v>
      </c>
      <c r="O123" s="290">
        <v>63</v>
      </c>
      <c r="P123" s="624">
        <v>21522.23766667</v>
      </c>
      <c r="Q123" s="624">
        <v>10384.74633333</v>
      </c>
      <c r="R123" s="624">
        <v>20</v>
      </c>
      <c r="S123" s="290">
        <v>0</v>
      </c>
      <c r="T123" s="290">
        <v>428</v>
      </c>
      <c r="U123" s="958">
        <v>1.4667774564227399E-3</v>
      </c>
      <c r="V123" s="290">
        <v>1616.34528206</v>
      </c>
      <c r="W123" s="765">
        <v>0.56305693000000001</v>
      </c>
      <c r="X123" s="290">
        <v>1000</v>
      </c>
      <c r="Y123" s="290">
        <v>361.41498799999999</v>
      </c>
      <c r="Z123" s="290">
        <v>233230</v>
      </c>
      <c r="AA123" s="290">
        <v>0</v>
      </c>
      <c r="AB123" s="290">
        <v>106</v>
      </c>
      <c r="AC123" s="290">
        <v>1955.4559999999999</v>
      </c>
      <c r="AD123" s="290">
        <v>333</v>
      </c>
      <c r="AE123" s="290">
        <v>4836</v>
      </c>
      <c r="AF123" s="290">
        <v>0</v>
      </c>
      <c r="AG123" s="290">
        <v>6823</v>
      </c>
      <c r="AH123" s="290">
        <v>1289.7399311300001</v>
      </c>
      <c r="AI123" s="290">
        <v>0</v>
      </c>
      <c r="AJ123" s="290">
        <v>0</v>
      </c>
      <c r="AK123" s="290">
        <v>0</v>
      </c>
      <c r="AL123" s="290">
        <v>0</v>
      </c>
      <c r="AM123" s="957">
        <v>9.7312910000000002E-2</v>
      </c>
      <c r="AN123" s="290">
        <v>0</v>
      </c>
      <c r="AO123" s="290">
        <v>-909.13340500000004</v>
      </c>
      <c r="AP123" s="290">
        <v>0</v>
      </c>
      <c r="AQ123" s="290">
        <v>0</v>
      </c>
      <c r="AR123" s="290">
        <v>-367.52405900000002</v>
      </c>
      <c r="AS123" s="290">
        <v>1547</v>
      </c>
      <c r="AT123" s="290">
        <v>396</v>
      </c>
      <c r="AU123" s="290">
        <v>44</v>
      </c>
      <c r="AV123" s="766">
        <v>161190</v>
      </c>
      <c r="AW123" s="290">
        <v>2000</v>
      </c>
      <c r="AX123" s="766">
        <v>62.083300000000001</v>
      </c>
      <c r="AY123" s="290">
        <v>1600</v>
      </c>
      <c r="AZ123" s="290">
        <v>260</v>
      </c>
      <c r="BA123" s="290">
        <v>129</v>
      </c>
      <c r="BB123" s="290">
        <v>0</v>
      </c>
      <c r="BC123" s="290">
        <v>1595.8382099999999</v>
      </c>
      <c r="BD123" s="290">
        <v>616</v>
      </c>
      <c r="BE123" s="290">
        <v>171677.53</v>
      </c>
      <c r="BF123" s="290">
        <v>0</v>
      </c>
      <c r="BG123" s="290">
        <v>299</v>
      </c>
      <c r="BH123" s="290">
        <v>43</v>
      </c>
      <c r="BI123" s="290">
        <v>3606.6109200000001</v>
      </c>
      <c r="BJ123" s="290">
        <v>0</v>
      </c>
      <c r="BK123" s="290">
        <f t="shared" si="1"/>
        <v>0</v>
      </c>
      <c r="BL123" s="290">
        <v>0</v>
      </c>
      <c r="BM123" s="290">
        <v>0</v>
      </c>
      <c r="BN123" s="290">
        <v>4652</v>
      </c>
      <c r="BO123" s="290">
        <v>1364</v>
      </c>
      <c r="BP123" s="290">
        <v>7</v>
      </c>
      <c r="BQ123" s="290">
        <v>737</v>
      </c>
      <c r="BR123" s="290">
        <v>-3</v>
      </c>
      <c r="BS123" s="290">
        <v>52</v>
      </c>
      <c r="BT123" s="290">
        <v>0</v>
      </c>
      <c r="BU123" s="290">
        <v>0</v>
      </c>
      <c r="BV123" s="290">
        <v>96</v>
      </c>
      <c r="BW123" s="290"/>
      <c r="BX123" s="290"/>
      <c r="BY123" s="290"/>
    </row>
    <row r="124" spans="1:77" ht="13">
      <c r="A124" s="1">
        <v>3033</v>
      </c>
      <c r="B124" s="2" t="s">
        <v>818</v>
      </c>
      <c r="C124" s="289">
        <v>39625</v>
      </c>
      <c r="D124" s="290">
        <v>914</v>
      </c>
      <c r="E124" s="290">
        <v>1918</v>
      </c>
      <c r="F124" s="290">
        <v>5322</v>
      </c>
      <c r="G124" s="290">
        <v>3401</v>
      </c>
      <c r="H124" s="290">
        <v>22864</v>
      </c>
      <c r="I124" s="290">
        <v>3381</v>
      </c>
      <c r="J124" s="290">
        <v>981</v>
      </c>
      <c r="K124" s="290">
        <v>176</v>
      </c>
      <c r="L124" s="290">
        <v>256</v>
      </c>
      <c r="M124" s="290">
        <v>2016</v>
      </c>
      <c r="N124" s="290">
        <v>1810</v>
      </c>
      <c r="O124" s="290">
        <v>419</v>
      </c>
      <c r="P124" s="624">
        <v>85411.475000000006</v>
      </c>
      <c r="Q124" s="624">
        <v>57981.872666670002</v>
      </c>
      <c r="R124" s="624">
        <v>82</v>
      </c>
      <c r="S124" s="290">
        <v>0</v>
      </c>
      <c r="T124" s="290">
        <v>3191</v>
      </c>
      <c r="U124" s="958">
        <v>4.0958012615652821E-3</v>
      </c>
      <c r="V124" s="290">
        <v>2833.6971624900002</v>
      </c>
      <c r="W124" s="765">
        <v>0.54498230000000003</v>
      </c>
      <c r="X124" s="290">
        <v>4800</v>
      </c>
      <c r="Y124" s="290">
        <v>427.12680399999999</v>
      </c>
      <c r="Z124" s="290">
        <v>1137725</v>
      </c>
      <c r="AA124" s="290">
        <v>0</v>
      </c>
      <c r="AB124" s="290">
        <v>604</v>
      </c>
      <c r="AC124" s="290">
        <v>15697.304</v>
      </c>
      <c r="AD124" s="290">
        <v>500</v>
      </c>
      <c r="AE124" s="290">
        <v>55568</v>
      </c>
      <c r="AF124" s="290">
        <v>-11920</v>
      </c>
      <c r="AG124" s="290">
        <v>38957</v>
      </c>
      <c r="AH124" s="290">
        <v>7329.9737453500002</v>
      </c>
      <c r="AI124" s="290">
        <v>0</v>
      </c>
      <c r="AJ124" s="290">
        <v>0</v>
      </c>
      <c r="AK124" s="290">
        <v>0</v>
      </c>
      <c r="AL124" s="290">
        <v>0</v>
      </c>
      <c r="AM124" s="957">
        <v>1.5712970500000001</v>
      </c>
      <c r="AN124" s="290">
        <v>0</v>
      </c>
      <c r="AO124" s="290">
        <v>-5078.3772300000001</v>
      </c>
      <c r="AP124" s="290">
        <v>0</v>
      </c>
      <c r="AQ124" s="290">
        <v>0</v>
      </c>
      <c r="AR124" s="290">
        <v>-2098.43687</v>
      </c>
      <c r="AS124" s="290">
        <v>4993</v>
      </c>
      <c r="AT124" s="290">
        <v>2549</v>
      </c>
      <c r="AU124" s="290">
        <v>517</v>
      </c>
      <c r="AV124" s="766">
        <v>861793</v>
      </c>
      <c r="AW124" s="290">
        <v>21950</v>
      </c>
      <c r="AX124" s="766">
        <v>325.66665</v>
      </c>
      <c r="AY124" s="290">
        <v>7521</v>
      </c>
      <c r="AZ124" s="290">
        <v>1743</v>
      </c>
      <c r="BA124" s="290">
        <v>1056</v>
      </c>
      <c r="BB124" s="290">
        <v>0</v>
      </c>
      <c r="BC124" s="290">
        <v>-4637.0968400000002</v>
      </c>
      <c r="BD124" s="290">
        <v>3180</v>
      </c>
      <c r="BE124" s="290">
        <v>946829.55299999996</v>
      </c>
      <c r="BF124" s="290">
        <v>0</v>
      </c>
      <c r="BG124" s="290">
        <v>1548</v>
      </c>
      <c r="BH124" s="290">
        <v>221</v>
      </c>
      <c r="BI124" s="290">
        <v>11534.404500000001</v>
      </c>
      <c r="BJ124" s="290">
        <v>4490</v>
      </c>
      <c r="BK124" s="290">
        <f t="shared" si="1"/>
        <v>0</v>
      </c>
      <c r="BL124" s="290">
        <v>0</v>
      </c>
      <c r="BM124" s="290">
        <v>0</v>
      </c>
      <c r="BN124" s="290">
        <v>25984</v>
      </c>
      <c r="BO124" s="290">
        <v>7800</v>
      </c>
      <c r="BP124" s="290">
        <v>38</v>
      </c>
      <c r="BQ124" s="290">
        <v>3795</v>
      </c>
      <c r="BR124" s="290">
        <v>-18</v>
      </c>
      <c r="BS124" s="290">
        <v>567</v>
      </c>
      <c r="BT124" s="290">
        <v>0</v>
      </c>
      <c r="BU124" s="290">
        <v>0</v>
      </c>
      <c r="BV124" s="290">
        <v>498</v>
      </c>
      <c r="BW124" s="290"/>
      <c r="BX124" s="290"/>
      <c r="BY124" s="290"/>
    </row>
    <row r="125" spans="1:77" ht="13">
      <c r="A125" s="1">
        <v>3034</v>
      </c>
      <c r="B125" s="2" t="s">
        <v>819</v>
      </c>
      <c r="C125" s="289">
        <v>23092</v>
      </c>
      <c r="D125" s="290">
        <v>516</v>
      </c>
      <c r="E125" s="290">
        <v>1143</v>
      </c>
      <c r="F125" s="290">
        <v>2733</v>
      </c>
      <c r="G125" s="290">
        <v>1877</v>
      </c>
      <c r="H125" s="290">
        <v>13293</v>
      </c>
      <c r="I125" s="290">
        <v>2472</v>
      </c>
      <c r="J125" s="290">
        <v>679</v>
      </c>
      <c r="K125" s="290">
        <v>133</v>
      </c>
      <c r="L125" s="290">
        <v>189</v>
      </c>
      <c r="M125" s="290">
        <v>1366</v>
      </c>
      <c r="N125" s="290">
        <v>422</v>
      </c>
      <c r="O125" s="290">
        <v>180</v>
      </c>
      <c r="P125" s="624">
        <v>97738.645000000004</v>
      </c>
      <c r="Q125" s="624">
        <v>49278.692666670002</v>
      </c>
      <c r="R125" s="624">
        <v>80</v>
      </c>
      <c r="S125" s="290">
        <v>0</v>
      </c>
      <c r="T125" s="290">
        <v>1721</v>
      </c>
      <c r="U125" s="958">
        <v>7.2274163811774442E-3</v>
      </c>
      <c r="V125" s="290">
        <v>5193.9265289599998</v>
      </c>
      <c r="W125" s="765">
        <v>0.60539321000000001</v>
      </c>
      <c r="X125" s="290">
        <v>3350</v>
      </c>
      <c r="Y125" s="290">
        <v>427.12680399999999</v>
      </c>
      <c r="Z125" s="290">
        <v>600621</v>
      </c>
      <c r="AA125" s="290">
        <v>700</v>
      </c>
      <c r="AB125" s="290">
        <v>496</v>
      </c>
      <c r="AC125" s="290">
        <v>3305.6239999999998</v>
      </c>
      <c r="AD125" s="290">
        <v>333</v>
      </c>
      <c r="AE125" s="290">
        <v>4609</v>
      </c>
      <c r="AF125" s="290">
        <v>0</v>
      </c>
      <c r="AG125" s="290">
        <v>22846</v>
      </c>
      <c r="AH125" s="290">
        <v>3954.5277036299999</v>
      </c>
      <c r="AI125" s="290">
        <v>0</v>
      </c>
      <c r="AJ125" s="290">
        <v>0</v>
      </c>
      <c r="AK125" s="290">
        <v>0</v>
      </c>
      <c r="AL125" s="290">
        <v>0</v>
      </c>
      <c r="AM125" s="957">
        <v>0.44488688999999998</v>
      </c>
      <c r="AN125" s="290">
        <v>0</v>
      </c>
      <c r="AO125" s="290">
        <v>-3033.63609</v>
      </c>
      <c r="AP125" s="290">
        <v>0</v>
      </c>
      <c r="AQ125" s="290">
        <v>16580.41</v>
      </c>
      <c r="AR125" s="290">
        <v>-1230.6103900000001</v>
      </c>
      <c r="AS125" s="290">
        <v>5224</v>
      </c>
      <c r="AT125" s="290">
        <v>1376</v>
      </c>
      <c r="AU125" s="290">
        <v>184</v>
      </c>
      <c r="AV125" s="766">
        <v>512129</v>
      </c>
      <c r="AW125" s="290">
        <v>8300</v>
      </c>
      <c r="AX125" s="766">
        <v>207.37569999999999</v>
      </c>
      <c r="AY125" s="290">
        <v>3821</v>
      </c>
      <c r="AZ125" s="290">
        <v>894</v>
      </c>
      <c r="BA125" s="290">
        <v>467</v>
      </c>
      <c r="BB125" s="290">
        <v>0</v>
      </c>
      <c r="BC125" s="290">
        <v>4077.6405199999999</v>
      </c>
      <c r="BD125" s="290">
        <v>1896</v>
      </c>
      <c r="BE125" s="290">
        <v>554457.09400000004</v>
      </c>
      <c r="BF125" s="290">
        <v>0</v>
      </c>
      <c r="BG125" s="290">
        <v>972</v>
      </c>
      <c r="BH125" s="290">
        <v>139</v>
      </c>
      <c r="BI125" s="290">
        <v>7687.2785100000001</v>
      </c>
      <c r="BJ125" s="290">
        <v>2610</v>
      </c>
      <c r="BK125" s="290">
        <f t="shared" si="1"/>
        <v>0</v>
      </c>
      <c r="BL125" s="290">
        <v>0</v>
      </c>
      <c r="BM125" s="290">
        <v>0</v>
      </c>
      <c r="BN125" s="290">
        <v>15522</v>
      </c>
      <c r="BO125" s="290">
        <v>4460</v>
      </c>
      <c r="BP125" s="290">
        <v>23</v>
      </c>
      <c r="BQ125" s="290">
        <v>2135</v>
      </c>
      <c r="BR125" s="290">
        <v>-11</v>
      </c>
      <c r="BS125" s="290">
        <v>233</v>
      </c>
      <c r="BT125" s="290">
        <v>0</v>
      </c>
      <c r="BU125" s="290">
        <v>0</v>
      </c>
      <c r="BV125" s="290">
        <v>313</v>
      </c>
      <c r="BW125" s="290"/>
      <c r="BX125" s="290"/>
      <c r="BY125" s="290"/>
    </row>
    <row r="126" spans="1:77" ht="13">
      <c r="A126" s="1">
        <v>3035</v>
      </c>
      <c r="B126" s="2" t="s">
        <v>820</v>
      </c>
      <c r="C126" s="289">
        <v>25436</v>
      </c>
      <c r="D126" s="290">
        <v>522</v>
      </c>
      <c r="E126" s="290">
        <v>1213</v>
      </c>
      <c r="F126" s="290">
        <v>3229</v>
      </c>
      <c r="G126" s="290">
        <v>1990</v>
      </c>
      <c r="H126" s="290">
        <v>14566</v>
      </c>
      <c r="I126" s="290">
        <v>2741</v>
      </c>
      <c r="J126" s="290">
        <v>670</v>
      </c>
      <c r="K126" s="290">
        <v>142</v>
      </c>
      <c r="L126" s="290">
        <v>199</v>
      </c>
      <c r="M126" s="290">
        <v>1563</v>
      </c>
      <c r="N126" s="290">
        <v>607</v>
      </c>
      <c r="O126" s="290">
        <v>277</v>
      </c>
      <c r="P126" s="624">
        <v>64482.15833333</v>
      </c>
      <c r="Q126" s="624">
        <v>36885.781666670002</v>
      </c>
      <c r="R126" s="624">
        <v>102</v>
      </c>
      <c r="S126" s="290">
        <v>0</v>
      </c>
      <c r="T126" s="290">
        <v>2109</v>
      </c>
      <c r="U126" s="958">
        <v>4.1280827808263636E-3</v>
      </c>
      <c r="V126" s="290">
        <v>4755.6792099800005</v>
      </c>
      <c r="W126" s="765">
        <v>0.57025565</v>
      </c>
      <c r="X126" s="290">
        <v>3400</v>
      </c>
      <c r="Y126" s="290">
        <v>427.12680399999999</v>
      </c>
      <c r="Z126" s="290">
        <v>638025</v>
      </c>
      <c r="AA126" s="290">
        <v>600</v>
      </c>
      <c r="AB126" s="290">
        <v>523</v>
      </c>
      <c r="AC126" s="290">
        <v>6414.98</v>
      </c>
      <c r="AD126" s="290">
        <v>333</v>
      </c>
      <c r="AE126" s="290">
        <v>1928</v>
      </c>
      <c r="AF126" s="290">
        <v>0</v>
      </c>
      <c r="AG126" s="290">
        <v>25073</v>
      </c>
      <c r="AH126" s="290">
        <v>4469.9899070399997</v>
      </c>
      <c r="AI126" s="290">
        <v>0</v>
      </c>
      <c r="AJ126" s="290">
        <v>0</v>
      </c>
      <c r="AK126" s="290">
        <v>0</v>
      </c>
      <c r="AL126" s="290">
        <v>0</v>
      </c>
      <c r="AM126" s="957">
        <v>0.83826500999999998</v>
      </c>
      <c r="AN126" s="290">
        <v>0</v>
      </c>
      <c r="AO126" s="290">
        <v>-3386.1969899999999</v>
      </c>
      <c r="AP126" s="290">
        <v>0</v>
      </c>
      <c r="AQ126" s="290">
        <v>0</v>
      </c>
      <c r="AR126" s="290">
        <v>-1350.5687700000001</v>
      </c>
      <c r="AS126" s="290">
        <v>3589</v>
      </c>
      <c r="AT126" s="290">
        <v>1603</v>
      </c>
      <c r="AU126" s="290">
        <v>264</v>
      </c>
      <c r="AV126" s="766">
        <v>602627</v>
      </c>
      <c r="AW126" s="290">
        <v>8550</v>
      </c>
      <c r="AX126" s="766">
        <v>173.125</v>
      </c>
      <c r="AY126" s="290">
        <v>4724</v>
      </c>
      <c r="AZ126" s="290">
        <v>1230</v>
      </c>
      <c r="BA126" s="290">
        <v>681</v>
      </c>
      <c r="BB126" s="290">
        <v>0</v>
      </c>
      <c r="BC126" s="290">
        <v>4691.2213599999995</v>
      </c>
      <c r="BD126" s="290">
        <v>2067</v>
      </c>
      <c r="BE126" s="290">
        <v>629766.35400000005</v>
      </c>
      <c r="BF126" s="290">
        <v>0</v>
      </c>
      <c r="BG126" s="290">
        <v>1034</v>
      </c>
      <c r="BH126" s="290">
        <v>148</v>
      </c>
      <c r="BI126" s="290">
        <v>11312.0967</v>
      </c>
      <c r="BJ126" s="290">
        <v>2880</v>
      </c>
      <c r="BK126" s="290">
        <f t="shared" si="1"/>
        <v>0</v>
      </c>
      <c r="BL126" s="290">
        <v>0</v>
      </c>
      <c r="BM126" s="290">
        <v>0</v>
      </c>
      <c r="BN126" s="290">
        <v>17326</v>
      </c>
      <c r="BO126" s="290">
        <v>4820</v>
      </c>
      <c r="BP126" s="290">
        <v>24</v>
      </c>
      <c r="BQ126" s="290">
        <v>2426</v>
      </c>
      <c r="BR126" s="290">
        <v>-12</v>
      </c>
      <c r="BS126" s="290">
        <v>352</v>
      </c>
      <c r="BT126" s="290">
        <v>0</v>
      </c>
      <c r="BU126" s="290">
        <v>0</v>
      </c>
      <c r="BV126" s="290">
        <v>332</v>
      </c>
      <c r="BW126" s="290"/>
      <c r="BX126" s="290"/>
      <c r="BY126" s="290"/>
    </row>
    <row r="127" spans="1:77" ht="13">
      <c r="A127" s="1">
        <v>3036</v>
      </c>
      <c r="B127" s="2" t="s">
        <v>821</v>
      </c>
      <c r="C127" s="289">
        <v>14139</v>
      </c>
      <c r="D127" s="290">
        <v>348</v>
      </c>
      <c r="E127" s="290">
        <v>690</v>
      </c>
      <c r="F127" s="290">
        <v>1837</v>
      </c>
      <c r="G127" s="290">
        <v>1183</v>
      </c>
      <c r="H127" s="290">
        <v>8268</v>
      </c>
      <c r="I127" s="290">
        <v>1241</v>
      </c>
      <c r="J127" s="290">
        <v>318</v>
      </c>
      <c r="K127" s="290">
        <v>53</v>
      </c>
      <c r="L127" s="290">
        <v>105</v>
      </c>
      <c r="M127" s="290">
        <v>680</v>
      </c>
      <c r="N127" s="290">
        <v>359</v>
      </c>
      <c r="O127" s="290">
        <v>172</v>
      </c>
      <c r="P127" s="624">
        <v>31688.751</v>
      </c>
      <c r="Q127" s="624">
        <v>25190.683000000001</v>
      </c>
      <c r="R127" s="624">
        <v>49</v>
      </c>
      <c r="S127" s="290">
        <v>0</v>
      </c>
      <c r="T127" s="290">
        <v>1024</v>
      </c>
      <c r="U127" s="958">
        <v>3.0405961466756378E-3</v>
      </c>
      <c r="V127" s="290">
        <v>4253.15226291</v>
      </c>
      <c r="W127" s="765">
        <v>0.58101482999999998</v>
      </c>
      <c r="X127" s="290">
        <v>4100</v>
      </c>
      <c r="Y127" s="290">
        <v>427.12680399999999</v>
      </c>
      <c r="Z127" s="290">
        <v>367069</v>
      </c>
      <c r="AA127" s="290">
        <v>0</v>
      </c>
      <c r="AB127" s="290">
        <v>214</v>
      </c>
      <c r="AC127" s="290">
        <v>2268.9</v>
      </c>
      <c r="AD127" s="290">
        <v>333</v>
      </c>
      <c r="AE127" s="290">
        <v>19124</v>
      </c>
      <c r="AF127" s="290">
        <v>-7430</v>
      </c>
      <c r="AG127" s="290">
        <v>13938</v>
      </c>
      <c r="AH127" s="290">
        <v>2603.33715919</v>
      </c>
      <c r="AI127" s="290">
        <v>0</v>
      </c>
      <c r="AJ127" s="290">
        <v>0</v>
      </c>
      <c r="AK127" s="290">
        <v>0</v>
      </c>
      <c r="AL127" s="290">
        <v>0</v>
      </c>
      <c r="AM127" s="957">
        <v>0.32949304000000001</v>
      </c>
      <c r="AN127" s="290">
        <v>0</v>
      </c>
      <c r="AO127" s="290">
        <v>-1815.4751799999999</v>
      </c>
      <c r="AP127" s="290">
        <v>0</v>
      </c>
      <c r="AQ127" s="290">
        <v>0</v>
      </c>
      <c r="AR127" s="290">
        <v>-750.77683400000001</v>
      </c>
      <c r="AS127" s="290">
        <v>2250</v>
      </c>
      <c r="AT127" s="290">
        <v>854</v>
      </c>
      <c r="AU127" s="290">
        <v>135</v>
      </c>
      <c r="AV127" s="766">
        <v>322862</v>
      </c>
      <c r="AW127" s="290">
        <v>4800</v>
      </c>
      <c r="AX127" s="766">
        <v>109.74995</v>
      </c>
      <c r="AY127" s="290">
        <v>2296</v>
      </c>
      <c r="AZ127" s="290">
        <v>535</v>
      </c>
      <c r="BA127" s="290">
        <v>323</v>
      </c>
      <c r="BB127" s="290">
        <v>0</v>
      </c>
      <c r="BC127" s="290">
        <v>-4589.9799199999998</v>
      </c>
      <c r="BD127" s="290">
        <v>1187</v>
      </c>
      <c r="BE127" s="290">
        <v>336778.53899999999</v>
      </c>
      <c r="BF127" s="290">
        <v>0</v>
      </c>
      <c r="BG127" s="290">
        <v>569</v>
      </c>
      <c r="BH127" s="290">
        <v>81</v>
      </c>
      <c r="BI127" s="290">
        <v>-2130.6360399999999</v>
      </c>
      <c r="BJ127" s="290">
        <v>1600</v>
      </c>
      <c r="BK127" s="290">
        <f t="shared" si="1"/>
        <v>0</v>
      </c>
      <c r="BL127" s="290">
        <v>0</v>
      </c>
      <c r="BM127" s="290">
        <v>0</v>
      </c>
      <c r="BN127" s="290">
        <v>9289</v>
      </c>
      <c r="BO127" s="290">
        <v>2747</v>
      </c>
      <c r="BP127" s="290">
        <v>14</v>
      </c>
      <c r="BQ127" s="290">
        <v>1336</v>
      </c>
      <c r="BR127" s="290">
        <v>-7</v>
      </c>
      <c r="BS127" s="290">
        <v>174</v>
      </c>
      <c r="BT127" s="290">
        <v>0</v>
      </c>
      <c r="BU127" s="290">
        <v>0</v>
      </c>
      <c r="BV127" s="290">
        <v>183</v>
      </c>
      <c r="BW127" s="290"/>
      <c r="BX127" s="290"/>
      <c r="BY127" s="290"/>
    </row>
    <row r="128" spans="1:77" ht="13">
      <c r="A128" s="1">
        <v>3037</v>
      </c>
      <c r="B128" s="2" t="s">
        <v>822</v>
      </c>
      <c r="C128" s="289">
        <v>2854</v>
      </c>
      <c r="D128" s="290">
        <v>50</v>
      </c>
      <c r="E128" s="290">
        <v>114</v>
      </c>
      <c r="F128" s="290">
        <v>346</v>
      </c>
      <c r="G128" s="290">
        <v>221</v>
      </c>
      <c r="H128" s="290">
        <v>1566</v>
      </c>
      <c r="I128" s="290">
        <v>378</v>
      </c>
      <c r="J128" s="290">
        <v>138</v>
      </c>
      <c r="K128" s="290">
        <v>36</v>
      </c>
      <c r="L128" s="290">
        <v>22</v>
      </c>
      <c r="M128" s="290">
        <v>265</v>
      </c>
      <c r="N128" s="290">
        <v>8</v>
      </c>
      <c r="O128" s="290">
        <v>12</v>
      </c>
      <c r="P128" s="624">
        <v>16349.286666669999</v>
      </c>
      <c r="Q128" s="624">
        <v>10520.68166667</v>
      </c>
      <c r="R128" s="624">
        <v>7</v>
      </c>
      <c r="S128" s="290">
        <v>0</v>
      </c>
      <c r="T128" s="290">
        <v>264</v>
      </c>
      <c r="U128" s="958">
        <v>1.3389563123403707E-3</v>
      </c>
      <c r="V128" s="290">
        <v>149.33214393</v>
      </c>
      <c r="W128" s="765">
        <v>0.75771431</v>
      </c>
      <c r="X128" s="290">
        <v>1250</v>
      </c>
      <c r="Y128" s="290">
        <v>427.12680399999999</v>
      </c>
      <c r="Z128" s="290">
        <v>67644</v>
      </c>
      <c r="AA128" s="290">
        <v>0</v>
      </c>
      <c r="AB128" s="290">
        <v>64</v>
      </c>
      <c r="AC128" s="290">
        <v>431.88499999999999</v>
      </c>
      <c r="AD128" s="290">
        <v>167</v>
      </c>
      <c r="AE128" s="290">
        <v>0</v>
      </c>
      <c r="AF128" s="290">
        <v>0</v>
      </c>
      <c r="AG128" s="290">
        <v>2849</v>
      </c>
      <c r="AH128" s="290">
        <v>456.90338366999998</v>
      </c>
      <c r="AI128" s="290">
        <v>0</v>
      </c>
      <c r="AJ128" s="290">
        <v>0</v>
      </c>
      <c r="AK128" s="290">
        <v>0</v>
      </c>
      <c r="AL128" s="290">
        <v>0</v>
      </c>
      <c r="AM128" s="957">
        <v>8.6918659999999995E-2</v>
      </c>
      <c r="AN128" s="290">
        <v>0</v>
      </c>
      <c r="AO128" s="290">
        <v>-437.54465900000002</v>
      </c>
      <c r="AP128" s="290">
        <v>0</v>
      </c>
      <c r="AQ128" s="290">
        <v>0</v>
      </c>
      <c r="AR128" s="290">
        <v>-153.462706</v>
      </c>
      <c r="AS128" s="290">
        <v>938</v>
      </c>
      <c r="AT128" s="290">
        <v>175</v>
      </c>
      <c r="AU128" s="290">
        <v>21</v>
      </c>
      <c r="AV128" s="766">
        <v>90598</v>
      </c>
      <c r="AW128" s="290">
        <v>1050</v>
      </c>
      <c r="AX128" s="766">
        <v>15.833349999999999</v>
      </c>
      <c r="AY128" s="290">
        <v>489</v>
      </c>
      <c r="AZ128" s="290">
        <v>194</v>
      </c>
      <c r="BA128" s="290">
        <v>84</v>
      </c>
      <c r="BB128" s="290">
        <v>2938</v>
      </c>
      <c r="BC128" s="290">
        <v>451.12136800000002</v>
      </c>
      <c r="BD128" s="290">
        <v>323</v>
      </c>
      <c r="BE128" s="290">
        <v>95891.2978</v>
      </c>
      <c r="BF128" s="290">
        <v>0</v>
      </c>
      <c r="BG128" s="290">
        <v>160</v>
      </c>
      <c r="BH128" s="290">
        <v>23</v>
      </c>
      <c r="BI128" s="290">
        <v>1315.9151899999999</v>
      </c>
      <c r="BJ128" s="290">
        <v>320</v>
      </c>
      <c r="BK128" s="290">
        <f t="shared" si="1"/>
        <v>0</v>
      </c>
      <c r="BL128" s="290">
        <v>0</v>
      </c>
      <c r="BM128" s="290">
        <v>0</v>
      </c>
      <c r="BN128" s="290">
        <v>2239</v>
      </c>
      <c r="BO128" s="290">
        <v>488</v>
      </c>
      <c r="BP128" s="290">
        <v>2</v>
      </c>
      <c r="BQ128" s="290">
        <v>278</v>
      </c>
      <c r="BR128" s="290">
        <v>-1</v>
      </c>
      <c r="BS128" s="290">
        <v>50</v>
      </c>
      <c r="BT128" s="290">
        <v>0</v>
      </c>
      <c r="BU128" s="290">
        <v>0</v>
      </c>
      <c r="BV128" s="290">
        <v>51</v>
      </c>
      <c r="BW128" s="290"/>
      <c r="BX128" s="290"/>
      <c r="BY128" s="290"/>
    </row>
    <row r="129" spans="1:77" ht="13">
      <c r="A129" s="1">
        <v>3038</v>
      </c>
      <c r="B129" s="2" t="s">
        <v>874</v>
      </c>
      <c r="C129" s="289">
        <v>6799</v>
      </c>
      <c r="D129" s="290">
        <v>125</v>
      </c>
      <c r="E129" s="290">
        <v>340</v>
      </c>
      <c r="F129" s="290">
        <v>915</v>
      </c>
      <c r="G129" s="290">
        <v>507</v>
      </c>
      <c r="H129" s="290">
        <v>3867</v>
      </c>
      <c r="I129" s="290">
        <v>785</v>
      </c>
      <c r="J129" s="290">
        <v>231</v>
      </c>
      <c r="K129" s="290">
        <v>61</v>
      </c>
      <c r="L129" s="290">
        <v>50</v>
      </c>
      <c r="M129" s="290">
        <v>459</v>
      </c>
      <c r="N129" s="290">
        <v>102</v>
      </c>
      <c r="O129" s="290">
        <v>38</v>
      </c>
      <c r="P129" s="624">
        <v>31849.933333329998</v>
      </c>
      <c r="Q129" s="624">
        <v>20934.200333330002</v>
      </c>
      <c r="R129" s="624">
        <v>18</v>
      </c>
      <c r="S129" s="290">
        <v>0</v>
      </c>
      <c r="T129" s="290">
        <v>515</v>
      </c>
      <c r="U129" s="958">
        <v>1.655953479491667E-3</v>
      </c>
      <c r="V129" s="290">
        <v>-418.46407244</v>
      </c>
      <c r="W129" s="765">
        <v>0.61613291999999997</v>
      </c>
      <c r="X129" s="290">
        <v>1000</v>
      </c>
      <c r="Y129" s="290">
        <v>689.97406799999999</v>
      </c>
      <c r="Z129" s="290">
        <v>245135</v>
      </c>
      <c r="AA129" s="290">
        <v>0</v>
      </c>
      <c r="AB129" s="290">
        <v>101</v>
      </c>
      <c r="AC129" s="290">
        <v>1131.085</v>
      </c>
      <c r="AD129" s="290">
        <v>333</v>
      </c>
      <c r="AE129" s="290">
        <v>0</v>
      </c>
      <c r="AF129" s="290">
        <v>0</v>
      </c>
      <c r="AG129" s="290">
        <v>6831</v>
      </c>
      <c r="AH129" s="290">
        <v>1218.1680403299999</v>
      </c>
      <c r="AI129" s="290">
        <v>0</v>
      </c>
      <c r="AJ129" s="290">
        <v>0</v>
      </c>
      <c r="AK129" s="290">
        <v>0</v>
      </c>
      <c r="AL129" s="290">
        <v>0</v>
      </c>
      <c r="AM129" s="957">
        <v>0.15333645000000001</v>
      </c>
      <c r="AN129" s="290">
        <v>0</v>
      </c>
      <c r="AO129" s="290">
        <v>-962.94060300000001</v>
      </c>
      <c r="AP129" s="290">
        <v>0</v>
      </c>
      <c r="AQ129" s="290">
        <v>0</v>
      </c>
      <c r="AR129" s="290">
        <v>-367.95498300000003</v>
      </c>
      <c r="AS129" s="290">
        <v>1940</v>
      </c>
      <c r="AT129" s="290">
        <v>369</v>
      </c>
      <c r="AU129" s="290">
        <v>66</v>
      </c>
      <c r="AV129" s="766">
        <v>174820</v>
      </c>
      <c r="AW129" s="290">
        <v>5300</v>
      </c>
      <c r="AX129" s="766">
        <v>43.5</v>
      </c>
      <c r="AY129" s="290">
        <v>1981</v>
      </c>
      <c r="AZ129" s="290">
        <v>295</v>
      </c>
      <c r="BA129" s="290">
        <v>108</v>
      </c>
      <c r="BB129" s="290">
        <v>0</v>
      </c>
      <c r="BC129" s="290">
        <v>1840.60961</v>
      </c>
      <c r="BD129" s="290">
        <v>622</v>
      </c>
      <c r="BE129" s="290">
        <v>185523.283</v>
      </c>
      <c r="BF129" s="290">
        <v>0</v>
      </c>
      <c r="BG129" s="290">
        <v>319</v>
      </c>
      <c r="BH129" s="290">
        <v>46</v>
      </c>
      <c r="BI129" s="290">
        <v>3039.2271099999998</v>
      </c>
      <c r="BJ129" s="290">
        <v>0</v>
      </c>
      <c r="BK129" s="290">
        <f t="shared" si="1"/>
        <v>0</v>
      </c>
      <c r="BL129" s="290">
        <v>0</v>
      </c>
      <c r="BM129" s="290">
        <v>0</v>
      </c>
      <c r="BN129" s="290">
        <v>4927</v>
      </c>
      <c r="BO129" s="290">
        <v>1394</v>
      </c>
      <c r="BP129" s="290">
        <v>7</v>
      </c>
      <c r="BQ129" s="290">
        <v>748</v>
      </c>
      <c r="BR129" s="290">
        <v>-3</v>
      </c>
      <c r="BS129" s="290">
        <v>50</v>
      </c>
      <c r="BT129" s="290">
        <v>0</v>
      </c>
      <c r="BU129" s="290">
        <v>0</v>
      </c>
      <c r="BV129" s="290">
        <v>103</v>
      </c>
      <c r="BW129" s="290"/>
      <c r="BX129" s="290"/>
      <c r="BY129" s="290"/>
    </row>
    <row r="130" spans="1:77" ht="13">
      <c r="A130" s="1">
        <v>3039</v>
      </c>
      <c r="B130" s="2" t="s">
        <v>875</v>
      </c>
      <c r="C130" s="289">
        <v>1050</v>
      </c>
      <c r="D130" s="290">
        <v>15</v>
      </c>
      <c r="E130" s="290">
        <v>35</v>
      </c>
      <c r="F130" s="290">
        <v>112</v>
      </c>
      <c r="G130" s="290">
        <v>86</v>
      </c>
      <c r="H130" s="290">
        <v>574</v>
      </c>
      <c r="I130" s="290">
        <v>156</v>
      </c>
      <c r="J130" s="290">
        <v>59</v>
      </c>
      <c r="K130" s="290">
        <v>20</v>
      </c>
      <c r="L130" s="290">
        <v>10</v>
      </c>
      <c r="M130" s="290">
        <v>121</v>
      </c>
      <c r="N130" s="290">
        <v>5</v>
      </c>
      <c r="O130" s="290">
        <v>29</v>
      </c>
      <c r="P130" s="624">
        <v>5759.0176666699999</v>
      </c>
      <c r="Q130" s="624">
        <v>4229.6716666700004</v>
      </c>
      <c r="R130" s="624">
        <v>2</v>
      </c>
      <c r="S130" s="290">
        <v>0</v>
      </c>
      <c r="T130" s="290">
        <v>113</v>
      </c>
      <c r="U130" s="958">
        <v>8.5624310205809962E-4</v>
      </c>
      <c r="V130" s="290">
        <v>665.00070063999999</v>
      </c>
      <c r="W130" s="765">
        <v>1</v>
      </c>
      <c r="X130" s="290">
        <v>0</v>
      </c>
      <c r="Y130" s="290">
        <v>854.25360799999999</v>
      </c>
      <c r="Z130" s="290">
        <v>33281</v>
      </c>
      <c r="AA130" s="290">
        <v>250</v>
      </c>
      <c r="AB130" s="290">
        <v>23</v>
      </c>
      <c r="AC130" s="290">
        <v>211.125</v>
      </c>
      <c r="AD130" s="290">
        <v>167</v>
      </c>
      <c r="AE130" s="290">
        <v>0</v>
      </c>
      <c r="AF130" s="290">
        <v>0</v>
      </c>
      <c r="AG130" s="290">
        <v>1057</v>
      </c>
      <c r="AH130" s="290">
        <v>152.54211068999999</v>
      </c>
      <c r="AI130" s="290">
        <v>0</v>
      </c>
      <c r="AJ130" s="290">
        <v>0</v>
      </c>
      <c r="AK130" s="290">
        <v>0</v>
      </c>
      <c r="AL130" s="290">
        <v>0</v>
      </c>
      <c r="AM130" s="957">
        <v>1.120444E-2</v>
      </c>
      <c r="AN130" s="290">
        <v>0</v>
      </c>
      <c r="AO130" s="290">
        <v>-198.798247</v>
      </c>
      <c r="AP130" s="290">
        <v>0</v>
      </c>
      <c r="AQ130" s="290">
        <v>0</v>
      </c>
      <c r="AR130" s="290">
        <v>-56.935795200000001</v>
      </c>
      <c r="AS130" s="290">
        <v>252</v>
      </c>
      <c r="AT130" s="290">
        <v>50</v>
      </c>
      <c r="AU130" s="290">
        <v>4</v>
      </c>
      <c r="AV130" s="766">
        <v>49692</v>
      </c>
      <c r="AW130" s="290">
        <v>950</v>
      </c>
      <c r="AX130" s="766">
        <v>7.1666499999999997</v>
      </c>
      <c r="AY130" s="290">
        <v>165</v>
      </c>
      <c r="AZ130" s="290">
        <v>62</v>
      </c>
      <c r="BA130" s="290">
        <v>37</v>
      </c>
      <c r="BB130" s="290">
        <v>2938</v>
      </c>
      <c r="BC130" s="290">
        <v>568.37646099999995</v>
      </c>
      <c r="BD130" s="290">
        <v>212</v>
      </c>
      <c r="BE130" s="290">
        <v>52885.680200000003</v>
      </c>
      <c r="BF130" s="290">
        <v>0</v>
      </c>
      <c r="BG130" s="290">
        <v>89</v>
      </c>
      <c r="BH130" s="290">
        <v>13</v>
      </c>
      <c r="BI130" s="290">
        <v>1217.9207200000001</v>
      </c>
      <c r="BJ130" s="290">
        <v>0</v>
      </c>
      <c r="BK130" s="290">
        <f t="shared" si="1"/>
        <v>0</v>
      </c>
      <c r="BL130" s="290">
        <v>0</v>
      </c>
      <c r="BM130" s="290">
        <v>0</v>
      </c>
      <c r="BN130" s="290">
        <v>1017</v>
      </c>
      <c r="BO130" s="290">
        <v>173</v>
      </c>
      <c r="BP130" s="290">
        <v>1</v>
      </c>
      <c r="BQ130" s="290">
        <v>107</v>
      </c>
      <c r="BR130" s="290">
        <v>0</v>
      </c>
      <c r="BS130" s="290">
        <v>50</v>
      </c>
      <c r="BT130" s="290">
        <v>0</v>
      </c>
      <c r="BU130" s="290">
        <v>0</v>
      </c>
      <c r="BV130" s="290">
        <v>28</v>
      </c>
      <c r="BW130" s="290"/>
      <c r="BX130" s="290"/>
      <c r="BY130" s="290"/>
    </row>
    <row r="131" spans="1:77" ht="13">
      <c r="A131" s="1">
        <v>3040</v>
      </c>
      <c r="B131" s="2" t="s">
        <v>1966</v>
      </c>
      <c r="C131" s="289">
        <v>3273</v>
      </c>
      <c r="D131" s="290">
        <v>45</v>
      </c>
      <c r="E131" s="290">
        <v>109</v>
      </c>
      <c r="F131" s="290">
        <v>328</v>
      </c>
      <c r="G131" s="290">
        <v>269</v>
      </c>
      <c r="H131" s="290">
        <v>1827</v>
      </c>
      <c r="I131" s="290">
        <v>512</v>
      </c>
      <c r="J131" s="290">
        <v>169</v>
      </c>
      <c r="K131" s="290">
        <v>54</v>
      </c>
      <c r="L131" s="290">
        <v>23</v>
      </c>
      <c r="M131" s="290">
        <v>303</v>
      </c>
      <c r="N131" s="290">
        <v>40</v>
      </c>
      <c r="O131" s="290">
        <v>37</v>
      </c>
      <c r="P131" s="624">
        <v>13315.87833333</v>
      </c>
      <c r="Q131" s="624">
        <v>10216.742666669999</v>
      </c>
      <c r="R131" s="624">
        <v>23</v>
      </c>
      <c r="S131" s="290">
        <v>0</v>
      </c>
      <c r="T131" s="290">
        <v>327</v>
      </c>
      <c r="U131" s="958">
        <v>2.3080944801874728E-3</v>
      </c>
      <c r="V131" s="290">
        <v>1675.78277011</v>
      </c>
      <c r="W131" s="765">
        <v>0.74681894000000004</v>
      </c>
      <c r="X131" s="290">
        <v>1250</v>
      </c>
      <c r="Y131" s="290">
        <v>427.12680399999999</v>
      </c>
      <c r="Z131" s="290">
        <v>98036</v>
      </c>
      <c r="AA131" s="290">
        <v>800</v>
      </c>
      <c r="AB131" s="290">
        <v>88</v>
      </c>
      <c r="AC131" s="290">
        <v>499.791</v>
      </c>
      <c r="AD131" s="290">
        <v>333</v>
      </c>
      <c r="AE131" s="290">
        <v>0</v>
      </c>
      <c r="AF131" s="290">
        <v>0</v>
      </c>
      <c r="AG131" s="290">
        <v>3313</v>
      </c>
      <c r="AH131" s="290">
        <v>454.73453849999999</v>
      </c>
      <c r="AI131" s="290">
        <v>0</v>
      </c>
      <c r="AJ131" s="290">
        <v>0</v>
      </c>
      <c r="AK131" s="290">
        <v>0</v>
      </c>
      <c r="AL131" s="290">
        <v>0</v>
      </c>
      <c r="AM131" s="957">
        <v>3.6304469999999998E-2</v>
      </c>
      <c r="AN131" s="290">
        <v>5092</v>
      </c>
      <c r="AO131" s="290">
        <v>-500.96590400000002</v>
      </c>
      <c r="AP131" s="290">
        <v>0</v>
      </c>
      <c r="AQ131" s="290">
        <v>0</v>
      </c>
      <c r="AR131" s="290">
        <v>705.19760399999996</v>
      </c>
      <c r="AS131" s="290">
        <v>1808</v>
      </c>
      <c r="AT131" s="290">
        <v>147</v>
      </c>
      <c r="AU131" s="290">
        <v>23</v>
      </c>
      <c r="AV131" s="766">
        <v>109119</v>
      </c>
      <c r="AW131" s="290">
        <v>1800</v>
      </c>
      <c r="AX131" s="766">
        <v>10.333349999999999</v>
      </c>
      <c r="AY131" s="290">
        <v>620</v>
      </c>
      <c r="AZ131" s="290">
        <v>118</v>
      </c>
      <c r="BA131" s="290">
        <v>54</v>
      </c>
      <c r="BB131" s="290">
        <v>0</v>
      </c>
      <c r="BC131" s="290">
        <v>866.102619</v>
      </c>
      <c r="BD131" s="290">
        <v>357</v>
      </c>
      <c r="BE131" s="290">
        <v>111198.52</v>
      </c>
      <c r="BF131" s="290">
        <v>0</v>
      </c>
      <c r="BG131" s="290">
        <v>181</v>
      </c>
      <c r="BH131" s="290">
        <v>26</v>
      </c>
      <c r="BI131" s="290">
        <v>1381.6523400000001</v>
      </c>
      <c r="BJ131" s="290">
        <v>0</v>
      </c>
      <c r="BK131" s="290">
        <f t="shared" si="1"/>
        <v>0</v>
      </c>
      <c r="BL131" s="290">
        <v>0</v>
      </c>
      <c r="BM131" s="290">
        <v>0</v>
      </c>
      <c r="BN131" s="290">
        <v>2563</v>
      </c>
      <c r="BO131" s="290">
        <v>469</v>
      </c>
      <c r="BP131" s="290">
        <v>2</v>
      </c>
      <c r="BQ131" s="290">
        <v>333</v>
      </c>
      <c r="BR131" s="290">
        <v>-2</v>
      </c>
      <c r="BS131" s="290">
        <v>50</v>
      </c>
      <c r="BT131" s="290">
        <v>0</v>
      </c>
      <c r="BU131" s="290">
        <v>0</v>
      </c>
      <c r="BV131" s="290">
        <v>58</v>
      </c>
      <c r="BW131" s="290"/>
      <c r="BX131" s="290"/>
      <c r="BY131" s="290"/>
    </row>
    <row r="132" spans="1:77" ht="13">
      <c r="A132" s="1">
        <v>3041</v>
      </c>
      <c r="B132" s="2" t="s">
        <v>876</v>
      </c>
      <c r="C132" s="289">
        <v>4608</v>
      </c>
      <c r="D132" s="290">
        <v>74</v>
      </c>
      <c r="E132" s="290">
        <v>166</v>
      </c>
      <c r="F132" s="290">
        <v>519</v>
      </c>
      <c r="G132" s="290">
        <v>387</v>
      </c>
      <c r="H132" s="290">
        <v>2520</v>
      </c>
      <c r="I132" s="290">
        <v>624</v>
      </c>
      <c r="J132" s="290">
        <v>222</v>
      </c>
      <c r="K132" s="290">
        <v>65</v>
      </c>
      <c r="L132" s="290">
        <v>34</v>
      </c>
      <c r="M132" s="290">
        <v>416</v>
      </c>
      <c r="N132" s="290">
        <v>119</v>
      </c>
      <c r="O132" s="290">
        <v>63</v>
      </c>
      <c r="P132" s="624">
        <v>12515.69133333</v>
      </c>
      <c r="Q132" s="624">
        <v>13453.582</v>
      </c>
      <c r="R132" s="624">
        <v>32</v>
      </c>
      <c r="S132" s="290">
        <v>0</v>
      </c>
      <c r="T132" s="290">
        <v>495</v>
      </c>
      <c r="U132" s="958">
        <v>2.4524397548817464E-3</v>
      </c>
      <c r="V132" s="290">
        <v>2333.8034555499999</v>
      </c>
      <c r="W132" s="765">
        <v>0.66239932000000001</v>
      </c>
      <c r="X132" s="290">
        <v>1750</v>
      </c>
      <c r="Y132" s="290">
        <v>427.12680399999999</v>
      </c>
      <c r="Z132" s="290">
        <v>143937</v>
      </c>
      <c r="AA132" s="290">
        <v>250</v>
      </c>
      <c r="AB132" s="290">
        <v>94</v>
      </c>
      <c r="AC132" s="290">
        <v>735.95500000000004</v>
      </c>
      <c r="AD132" s="290">
        <v>333</v>
      </c>
      <c r="AE132" s="290">
        <v>0</v>
      </c>
      <c r="AF132" s="290">
        <v>0</v>
      </c>
      <c r="AG132" s="290">
        <v>4577</v>
      </c>
      <c r="AH132" s="290">
        <v>709.93532083000002</v>
      </c>
      <c r="AI132" s="290">
        <v>0</v>
      </c>
      <c r="AJ132" s="290">
        <v>0</v>
      </c>
      <c r="AK132" s="290">
        <v>0</v>
      </c>
      <c r="AL132" s="290">
        <v>0</v>
      </c>
      <c r="AM132" s="957">
        <v>6.1040770000000001E-2</v>
      </c>
      <c r="AN132" s="290">
        <v>2618</v>
      </c>
      <c r="AO132" s="290">
        <v>-697.67751399999997</v>
      </c>
      <c r="AP132" s="290">
        <v>0</v>
      </c>
      <c r="AQ132" s="290">
        <v>0</v>
      </c>
      <c r="AR132" s="290">
        <v>-246.54222799999999</v>
      </c>
      <c r="AS132" s="290">
        <v>1317</v>
      </c>
      <c r="AT132" s="290">
        <v>243</v>
      </c>
      <c r="AU132" s="290">
        <v>20</v>
      </c>
      <c r="AV132" s="766">
        <v>144570</v>
      </c>
      <c r="AW132" s="290">
        <v>3700</v>
      </c>
      <c r="AX132" s="766">
        <v>23.374949999999998</v>
      </c>
      <c r="AY132" s="290">
        <v>802</v>
      </c>
      <c r="AZ132" s="290">
        <v>263</v>
      </c>
      <c r="BA132" s="290">
        <v>94</v>
      </c>
      <c r="BB132" s="290">
        <v>0</v>
      </c>
      <c r="BC132" s="290">
        <v>1118.50747</v>
      </c>
      <c r="BD132" s="290">
        <v>447</v>
      </c>
      <c r="BE132" s="290">
        <v>151444.71900000001</v>
      </c>
      <c r="BF132" s="290">
        <v>0</v>
      </c>
      <c r="BG132" s="290">
        <v>229</v>
      </c>
      <c r="BH132" s="290">
        <v>33</v>
      </c>
      <c r="BI132" s="290">
        <v>1873.01712</v>
      </c>
      <c r="BJ132" s="290">
        <v>0</v>
      </c>
      <c r="BK132" s="290">
        <f t="shared" si="1"/>
        <v>0</v>
      </c>
      <c r="BL132" s="290">
        <v>0</v>
      </c>
      <c r="BM132" s="290">
        <v>0</v>
      </c>
      <c r="BN132" s="290">
        <v>3570</v>
      </c>
      <c r="BO132" s="290">
        <v>719</v>
      </c>
      <c r="BP132" s="290">
        <v>3</v>
      </c>
      <c r="BQ132" s="290">
        <v>463</v>
      </c>
      <c r="BR132" s="290">
        <v>-2</v>
      </c>
      <c r="BS132" s="290">
        <v>65</v>
      </c>
      <c r="BT132" s="290">
        <v>0</v>
      </c>
      <c r="BU132" s="290">
        <v>0</v>
      </c>
      <c r="BV132" s="290">
        <v>74</v>
      </c>
      <c r="BW132" s="290"/>
      <c r="BX132" s="290"/>
      <c r="BY132" s="290"/>
    </row>
    <row r="133" spans="1:77" ht="13">
      <c r="A133" s="1">
        <v>3042</v>
      </c>
      <c r="B133" s="2" t="s">
        <v>877</v>
      </c>
      <c r="C133" s="289">
        <v>2486</v>
      </c>
      <c r="D133" s="290">
        <v>54</v>
      </c>
      <c r="E133" s="290">
        <v>114</v>
      </c>
      <c r="F133" s="290">
        <v>312</v>
      </c>
      <c r="G133" s="290">
        <v>205</v>
      </c>
      <c r="H133" s="290">
        <v>1454</v>
      </c>
      <c r="I133" s="290">
        <v>237</v>
      </c>
      <c r="J133" s="290">
        <v>96</v>
      </c>
      <c r="K133" s="290">
        <v>24</v>
      </c>
      <c r="L133" s="290">
        <v>13</v>
      </c>
      <c r="M133" s="290">
        <v>146</v>
      </c>
      <c r="N133" s="290">
        <v>21</v>
      </c>
      <c r="O133" s="290">
        <v>39</v>
      </c>
      <c r="P133" s="624">
        <v>9781.8683333299996</v>
      </c>
      <c r="Q133" s="624">
        <v>11659.70233333</v>
      </c>
      <c r="R133" s="624">
        <v>9</v>
      </c>
      <c r="S133" s="290">
        <v>0</v>
      </c>
      <c r="T133" s="290">
        <v>266</v>
      </c>
      <c r="U133" s="958">
        <v>1.6532472104163027E-3</v>
      </c>
      <c r="V133" s="290">
        <v>1274.3362278699999</v>
      </c>
      <c r="W133" s="765">
        <v>0.91659208999999997</v>
      </c>
      <c r="X133" s="290">
        <v>0</v>
      </c>
      <c r="Y133" s="290">
        <v>427.12680399999999</v>
      </c>
      <c r="Z133" s="290">
        <v>97800</v>
      </c>
      <c r="AA133" s="290">
        <v>100</v>
      </c>
      <c r="AB133" s="290">
        <v>29</v>
      </c>
      <c r="AC133" s="290">
        <v>451.71499999999997</v>
      </c>
      <c r="AD133" s="290">
        <v>167</v>
      </c>
      <c r="AE133" s="290">
        <v>0</v>
      </c>
      <c r="AF133" s="290">
        <v>0</v>
      </c>
      <c r="AG133" s="290">
        <v>2496</v>
      </c>
      <c r="AH133" s="290">
        <v>426.53955121000001</v>
      </c>
      <c r="AI133" s="290">
        <v>0</v>
      </c>
      <c r="AJ133" s="290">
        <v>0</v>
      </c>
      <c r="AK133" s="290">
        <v>0</v>
      </c>
      <c r="AL133" s="290">
        <v>0</v>
      </c>
      <c r="AM133" s="957">
        <v>6.2878519999999993E-2</v>
      </c>
      <c r="AN133" s="290">
        <v>0</v>
      </c>
      <c r="AO133" s="290">
        <v>-380.95570099999998</v>
      </c>
      <c r="AP133" s="290">
        <v>0</v>
      </c>
      <c r="AQ133" s="290">
        <v>0</v>
      </c>
      <c r="AR133" s="290">
        <v>-134.44819799999999</v>
      </c>
      <c r="AS133" s="290">
        <v>1280</v>
      </c>
      <c r="AT133" s="290">
        <v>118</v>
      </c>
      <c r="AU133" s="290">
        <v>20</v>
      </c>
      <c r="AV133" s="766">
        <v>77774</v>
      </c>
      <c r="AW133" s="290">
        <v>1200</v>
      </c>
      <c r="AX133" s="766">
        <v>14.50005</v>
      </c>
      <c r="AY133" s="290">
        <v>516</v>
      </c>
      <c r="AZ133" s="290">
        <v>164</v>
      </c>
      <c r="BA133" s="290">
        <v>54</v>
      </c>
      <c r="BB133" s="290">
        <v>2938</v>
      </c>
      <c r="BC133" s="290">
        <v>816.597801</v>
      </c>
      <c r="BD133" s="290">
        <v>316</v>
      </c>
      <c r="BE133" s="290">
        <v>83624.708199999994</v>
      </c>
      <c r="BF133" s="290">
        <v>0</v>
      </c>
      <c r="BG133" s="290">
        <v>143</v>
      </c>
      <c r="BH133" s="290">
        <v>20</v>
      </c>
      <c r="BI133" s="290">
        <v>1305.3813600000001</v>
      </c>
      <c r="BJ133" s="290">
        <v>280</v>
      </c>
      <c r="BK133" s="290">
        <f t="shared" ref="BK133:BK196" si="2">ROUND(-4300*BL133/BL$361,4)</f>
        <v>0</v>
      </c>
      <c r="BL133" s="290">
        <v>0</v>
      </c>
      <c r="BM133" s="290">
        <v>0</v>
      </c>
      <c r="BN133" s="290">
        <v>1949</v>
      </c>
      <c r="BO133" s="290">
        <v>478</v>
      </c>
      <c r="BP133" s="290">
        <v>2</v>
      </c>
      <c r="BQ133" s="290">
        <v>267</v>
      </c>
      <c r="BR133" s="290">
        <v>-1</v>
      </c>
      <c r="BS133" s="290">
        <v>50</v>
      </c>
      <c r="BT133" s="290">
        <v>0</v>
      </c>
      <c r="BU133" s="290">
        <v>0</v>
      </c>
      <c r="BV133" s="290">
        <v>46</v>
      </c>
      <c r="BW133" s="290"/>
      <c r="BX133" s="290"/>
      <c r="BY133" s="290"/>
    </row>
    <row r="134" spans="1:77" ht="13">
      <c r="A134" s="1">
        <v>3043</v>
      </c>
      <c r="B134" s="2" t="s">
        <v>878</v>
      </c>
      <c r="C134" s="289">
        <v>4674</v>
      </c>
      <c r="D134" s="290">
        <v>59</v>
      </c>
      <c r="E134" s="290">
        <v>162</v>
      </c>
      <c r="F134" s="290">
        <v>565</v>
      </c>
      <c r="G134" s="290">
        <v>440</v>
      </c>
      <c r="H134" s="290">
        <v>2496</v>
      </c>
      <c r="I134" s="290">
        <v>615</v>
      </c>
      <c r="J134" s="290">
        <v>239</v>
      </c>
      <c r="K134" s="290">
        <v>73</v>
      </c>
      <c r="L134" s="290">
        <v>31</v>
      </c>
      <c r="M134" s="290">
        <v>426</v>
      </c>
      <c r="N134" s="290">
        <v>48</v>
      </c>
      <c r="O134" s="290">
        <v>43</v>
      </c>
      <c r="P134" s="624">
        <v>33166.586000000003</v>
      </c>
      <c r="Q134" s="624">
        <v>18490.92333333</v>
      </c>
      <c r="R134" s="624">
        <v>16</v>
      </c>
      <c r="S134" s="290">
        <v>0</v>
      </c>
      <c r="T134" s="290">
        <v>432</v>
      </c>
      <c r="U134" s="958">
        <v>3.6442523797399515E-3</v>
      </c>
      <c r="V134" s="290">
        <v>2303.66065974</v>
      </c>
      <c r="W134" s="765">
        <v>0.71891901999999996</v>
      </c>
      <c r="X134" s="290">
        <v>1600</v>
      </c>
      <c r="Y134" s="290">
        <v>854.25360799999999</v>
      </c>
      <c r="Z134" s="290">
        <v>145042</v>
      </c>
      <c r="AA134" s="290">
        <v>600</v>
      </c>
      <c r="AB134" s="290">
        <v>66</v>
      </c>
      <c r="AC134" s="290">
        <v>824.04499999999996</v>
      </c>
      <c r="AD134" s="290">
        <v>333</v>
      </c>
      <c r="AE134" s="290">
        <v>0</v>
      </c>
      <c r="AF134" s="290">
        <v>0</v>
      </c>
      <c r="AG134" s="290">
        <v>4649</v>
      </c>
      <c r="AH134" s="290">
        <v>749.69748239</v>
      </c>
      <c r="AI134" s="290">
        <v>0</v>
      </c>
      <c r="AJ134" s="290">
        <v>0</v>
      </c>
      <c r="AK134" s="290">
        <v>0</v>
      </c>
      <c r="AL134" s="290">
        <v>0</v>
      </c>
      <c r="AM134" s="957">
        <v>3.8625109999999997E-2</v>
      </c>
      <c r="AN134" s="290">
        <v>3992</v>
      </c>
      <c r="AO134" s="290">
        <v>-688.66649399999994</v>
      </c>
      <c r="AP134" s="290">
        <v>0</v>
      </c>
      <c r="AQ134" s="290">
        <v>0</v>
      </c>
      <c r="AR134" s="290">
        <v>8798.7237399999995</v>
      </c>
      <c r="AS134" s="290">
        <v>3895</v>
      </c>
      <c r="AT134" s="290">
        <v>214</v>
      </c>
      <c r="AU134" s="290">
        <v>22</v>
      </c>
      <c r="AV134" s="766">
        <v>150945</v>
      </c>
      <c r="AW134" s="290">
        <v>4100</v>
      </c>
      <c r="AX134" s="766">
        <v>11.125</v>
      </c>
      <c r="AY134" s="290">
        <v>983</v>
      </c>
      <c r="AZ134" s="290">
        <v>179</v>
      </c>
      <c r="BA134" s="290">
        <v>70</v>
      </c>
      <c r="BB134" s="290">
        <v>0</v>
      </c>
      <c r="BC134" s="290">
        <v>1582.99353</v>
      </c>
      <c r="BD134" s="290">
        <v>460</v>
      </c>
      <c r="BE134" s="290">
        <v>147446.92199999999</v>
      </c>
      <c r="BF134" s="290">
        <v>0</v>
      </c>
      <c r="BG134" s="290">
        <v>247</v>
      </c>
      <c r="BH134" s="290">
        <v>35</v>
      </c>
      <c r="BI134" s="290">
        <v>2427.9960900000001</v>
      </c>
      <c r="BJ134" s="290">
        <v>0</v>
      </c>
      <c r="BK134" s="290">
        <f t="shared" si="2"/>
        <v>0</v>
      </c>
      <c r="BL134" s="290">
        <v>0</v>
      </c>
      <c r="BM134" s="290">
        <v>0</v>
      </c>
      <c r="BN134" s="290">
        <v>3524</v>
      </c>
      <c r="BO134" s="290">
        <v>724</v>
      </c>
      <c r="BP134" s="290">
        <v>3</v>
      </c>
      <c r="BQ134" s="290">
        <v>472</v>
      </c>
      <c r="BR134" s="290">
        <v>-2</v>
      </c>
      <c r="BS134" s="290">
        <v>50</v>
      </c>
      <c r="BT134" s="290">
        <v>0</v>
      </c>
      <c r="BU134" s="290">
        <v>0</v>
      </c>
      <c r="BV134" s="290">
        <v>79</v>
      </c>
      <c r="BW134" s="290"/>
      <c r="BX134" s="290"/>
      <c r="BY134" s="290"/>
    </row>
    <row r="135" spans="1:77" ht="13">
      <c r="A135" s="1">
        <v>3044</v>
      </c>
      <c r="B135" s="2" t="s">
        <v>880</v>
      </c>
      <c r="C135" s="289">
        <v>4441</v>
      </c>
      <c r="D135" s="290">
        <v>79</v>
      </c>
      <c r="E135" s="290">
        <v>158</v>
      </c>
      <c r="F135" s="290">
        <v>431</v>
      </c>
      <c r="G135" s="290">
        <v>342</v>
      </c>
      <c r="H135" s="290">
        <v>2562</v>
      </c>
      <c r="I135" s="290">
        <v>641</v>
      </c>
      <c r="J135" s="290">
        <v>181</v>
      </c>
      <c r="K135" s="290">
        <v>68</v>
      </c>
      <c r="L135" s="290">
        <v>34</v>
      </c>
      <c r="M135" s="290">
        <v>408</v>
      </c>
      <c r="N135" s="290">
        <v>52</v>
      </c>
      <c r="O135" s="290">
        <v>55</v>
      </c>
      <c r="P135" s="624">
        <v>32259.185666670001</v>
      </c>
      <c r="Q135" s="624">
        <v>12866.013999999999</v>
      </c>
      <c r="R135" s="624">
        <v>13</v>
      </c>
      <c r="S135" s="290">
        <v>0</v>
      </c>
      <c r="T135" s="290">
        <v>449</v>
      </c>
      <c r="U135" s="958">
        <v>2.1501098750924081E-3</v>
      </c>
      <c r="V135" s="290">
        <v>2090.03689055</v>
      </c>
      <c r="W135" s="765">
        <v>0.77431028000000002</v>
      </c>
      <c r="X135" s="290">
        <v>0</v>
      </c>
      <c r="Y135" s="290">
        <v>427.12680399999999</v>
      </c>
      <c r="Z135" s="290">
        <v>194493</v>
      </c>
      <c r="AA135" s="290">
        <v>0</v>
      </c>
      <c r="AB135" s="290">
        <v>67</v>
      </c>
      <c r="AC135" s="290">
        <v>659.42499999999995</v>
      </c>
      <c r="AD135" s="290">
        <v>333</v>
      </c>
      <c r="AE135" s="290">
        <v>0</v>
      </c>
      <c r="AF135" s="290">
        <v>0</v>
      </c>
      <c r="AG135" s="290">
        <v>4462</v>
      </c>
      <c r="AH135" s="290">
        <v>636.91753325000002</v>
      </c>
      <c r="AI135" s="290">
        <v>0</v>
      </c>
      <c r="AJ135" s="290">
        <v>0</v>
      </c>
      <c r="AK135" s="290">
        <v>0</v>
      </c>
      <c r="AL135" s="290">
        <v>0</v>
      </c>
      <c r="AM135" s="957">
        <v>3.2145979999999998E-2</v>
      </c>
      <c r="AN135" s="290">
        <v>0</v>
      </c>
      <c r="AO135" s="290">
        <v>-624.80486099999996</v>
      </c>
      <c r="AP135" s="290">
        <v>0</v>
      </c>
      <c r="AQ135" s="290">
        <v>0</v>
      </c>
      <c r="AR135" s="290">
        <v>-240.34769900000001</v>
      </c>
      <c r="AS135" s="290">
        <v>885</v>
      </c>
      <c r="AT135" s="290">
        <v>199</v>
      </c>
      <c r="AU135" s="290">
        <v>16</v>
      </c>
      <c r="AV135" s="766">
        <v>116576</v>
      </c>
      <c r="AW135" s="290">
        <v>5952</v>
      </c>
      <c r="AX135" s="766">
        <v>29.916650000000001</v>
      </c>
      <c r="AY135" s="290">
        <v>877</v>
      </c>
      <c r="AZ135" s="290">
        <v>202</v>
      </c>
      <c r="BA135" s="290">
        <v>75</v>
      </c>
      <c r="BB135" s="290">
        <v>0</v>
      </c>
      <c r="BC135" s="290">
        <v>1040.41536</v>
      </c>
      <c r="BD135" s="290">
        <v>452</v>
      </c>
      <c r="BE135" s="290">
        <v>120957.399</v>
      </c>
      <c r="BF135" s="290">
        <v>0</v>
      </c>
      <c r="BG135" s="290">
        <v>232</v>
      </c>
      <c r="BH135" s="290">
        <v>33</v>
      </c>
      <c r="BI135" s="290">
        <v>1723.4693400000001</v>
      </c>
      <c r="BJ135" s="290">
        <v>500</v>
      </c>
      <c r="BK135" s="290">
        <f t="shared" si="2"/>
        <v>0</v>
      </c>
      <c r="BL135" s="290">
        <v>0</v>
      </c>
      <c r="BM135" s="290">
        <v>0</v>
      </c>
      <c r="BN135" s="290">
        <v>3197</v>
      </c>
      <c r="BO135" s="290">
        <v>685</v>
      </c>
      <c r="BP135" s="290">
        <v>3</v>
      </c>
      <c r="BQ135" s="290">
        <v>529</v>
      </c>
      <c r="BR135" s="290">
        <v>-2</v>
      </c>
      <c r="BS135" s="290">
        <v>50</v>
      </c>
      <c r="BT135" s="290">
        <v>0</v>
      </c>
      <c r="BU135" s="290">
        <v>0</v>
      </c>
      <c r="BV135" s="290">
        <v>75</v>
      </c>
      <c r="BW135" s="290"/>
      <c r="BX135" s="290"/>
      <c r="BY135" s="290"/>
    </row>
    <row r="136" spans="1:77" ht="13">
      <c r="A136" s="1">
        <v>3045</v>
      </c>
      <c r="B136" s="2" t="s">
        <v>881</v>
      </c>
      <c r="C136" s="289">
        <v>3467</v>
      </c>
      <c r="D136" s="290">
        <v>61</v>
      </c>
      <c r="E136" s="290">
        <v>110</v>
      </c>
      <c r="F136" s="290">
        <v>404</v>
      </c>
      <c r="G136" s="290">
        <v>285</v>
      </c>
      <c r="H136" s="290">
        <v>1872</v>
      </c>
      <c r="I136" s="290">
        <v>519</v>
      </c>
      <c r="J136" s="290">
        <v>155</v>
      </c>
      <c r="K136" s="290">
        <v>50</v>
      </c>
      <c r="L136" s="290">
        <v>31</v>
      </c>
      <c r="M136" s="290">
        <v>379</v>
      </c>
      <c r="N136" s="290">
        <v>11</v>
      </c>
      <c r="O136" s="290">
        <v>47</v>
      </c>
      <c r="P136" s="624">
        <v>49545.322999999997</v>
      </c>
      <c r="Q136" s="624">
        <v>12938.276666670001</v>
      </c>
      <c r="R136" s="624">
        <v>16</v>
      </c>
      <c r="S136" s="290">
        <v>0</v>
      </c>
      <c r="T136" s="290">
        <v>314</v>
      </c>
      <c r="U136" s="958">
        <v>3.7153932436986784E-3</v>
      </c>
      <c r="V136" s="290">
        <v>1827.94210168</v>
      </c>
      <c r="W136" s="765">
        <v>0.86550059999999995</v>
      </c>
      <c r="X136" s="290">
        <v>850</v>
      </c>
      <c r="Y136" s="290">
        <v>0</v>
      </c>
      <c r="Z136" s="290">
        <v>105568</v>
      </c>
      <c r="AA136" s="290">
        <v>0</v>
      </c>
      <c r="AB136" s="290">
        <v>54</v>
      </c>
      <c r="AC136" s="290">
        <v>625.57500000000005</v>
      </c>
      <c r="AD136" s="290">
        <v>333</v>
      </c>
      <c r="AE136" s="290">
        <v>0</v>
      </c>
      <c r="AF136" s="290">
        <v>0</v>
      </c>
      <c r="AG136" s="290">
        <v>3456</v>
      </c>
      <c r="AH136" s="290">
        <v>543.6571907</v>
      </c>
      <c r="AI136" s="290">
        <v>0</v>
      </c>
      <c r="AJ136" s="290">
        <v>0</v>
      </c>
      <c r="AK136" s="290">
        <v>0</v>
      </c>
      <c r="AL136" s="290">
        <v>0</v>
      </c>
      <c r="AM136" s="957">
        <v>3.5861770000000001E-2</v>
      </c>
      <c r="AN136" s="290">
        <v>0</v>
      </c>
      <c r="AO136" s="290">
        <v>-546.45308699999998</v>
      </c>
      <c r="AP136" s="290">
        <v>0</v>
      </c>
      <c r="AQ136" s="290">
        <v>0</v>
      </c>
      <c r="AR136" s="290">
        <v>-186.159043</v>
      </c>
      <c r="AS136" s="290">
        <v>671</v>
      </c>
      <c r="AT136" s="290">
        <v>208</v>
      </c>
      <c r="AU136" s="290">
        <v>14</v>
      </c>
      <c r="AV136" s="766">
        <v>113706</v>
      </c>
      <c r="AW136" s="290">
        <v>1400</v>
      </c>
      <c r="AX136" s="766">
        <v>28.041650000000001</v>
      </c>
      <c r="AY136" s="290">
        <v>468</v>
      </c>
      <c r="AZ136" s="290">
        <v>150</v>
      </c>
      <c r="BA136" s="290">
        <v>55</v>
      </c>
      <c r="BB136" s="290">
        <v>0</v>
      </c>
      <c r="BC136" s="290">
        <v>546.64474900000005</v>
      </c>
      <c r="BD136" s="290">
        <v>384</v>
      </c>
      <c r="BE136" s="290">
        <v>119585.38499999999</v>
      </c>
      <c r="BF136" s="290">
        <v>0</v>
      </c>
      <c r="BG136" s="290">
        <v>204</v>
      </c>
      <c r="BH136" s="290">
        <v>29</v>
      </c>
      <c r="BI136" s="290">
        <v>1169.2321899999999</v>
      </c>
      <c r="BJ136" s="290">
        <v>0</v>
      </c>
      <c r="BK136" s="290">
        <f t="shared" si="2"/>
        <v>0</v>
      </c>
      <c r="BL136" s="290">
        <v>0</v>
      </c>
      <c r="BM136" s="290">
        <v>0</v>
      </c>
      <c r="BN136" s="290">
        <v>2796</v>
      </c>
      <c r="BO136" s="290">
        <v>543</v>
      </c>
      <c r="BP136" s="290">
        <v>2</v>
      </c>
      <c r="BQ136" s="290">
        <v>350</v>
      </c>
      <c r="BR136" s="290">
        <v>-2</v>
      </c>
      <c r="BS136" s="290">
        <v>50</v>
      </c>
      <c r="BT136" s="290">
        <v>0</v>
      </c>
      <c r="BU136" s="290">
        <v>0</v>
      </c>
      <c r="BV136" s="290">
        <v>66</v>
      </c>
      <c r="BW136" s="290"/>
      <c r="BX136" s="290"/>
      <c r="BY136" s="290"/>
    </row>
    <row r="137" spans="1:77" ht="13">
      <c r="A137" s="1">
        <v>3046</v>
      </c>
      <c r="B137" s="2" t="s">
        <v>882</v>
      </c>
      <c r="C137" s="289">
        <v>2212</v>
      </c>
      <c r="D137" s="290">
        <v>44</v>
      </c>
      <c r="E137" s="290">
        <v>98</v>
      </c>
      <c r="F137" s="290">
        <v>259</v>
      </c>
      <c r="G137" s="290">
        <v>140</v>
      </c>
      <c r="H137" s="290">
        <v>1251</v>
      </c>
      <c r="I137" s="290">
        <v>309</v>
      </c>
      <c r="J137" s="290">
        <v>88</v>
      </c>
      <c r="K137" s="290">
        <v>23</v>
      </c>
      <c r="L137" s="290">
        <v>17</v>
      </c>
      <c r="M137" s="290">
        <v>204</v>
      </c>
      <c r="N137" s="290">
        <v>15</v>
      </c>
      <c r="O137" s="290">
        <v>27</v>
      </c>
      <c r="P137" s="624">
        <v>25691.129000000001</v>
      </c>
      <c r="Q137" s="624">
        <v>9620.0853333300001</v>
      </c>
      <c r="R137" s="624">
        <v>13</v>
      </c>
      <c r="S137" s="290">
        <v>0</v>
      </c>
      <c r="T137" s="290">
        <v>230</v>
      </c>
      <c r="U137" s="958">
        <v>1.2420014384313519E-3</v>
      </c>
      <c r="V137" s="290">
        <v>1216.2156649900001</v>
      </c>
      <c r="W137" s="765">
        <v>0.86353555000000004</v>
      </c>
      <c r="X137" s="290">
        <v>1250</v>
      </c>
      <c r="Y137" s="290">
        <v>427.12680399999999</v>
      </c>
      <c r="Z137" s="290">
        <v>74912</v>
      </c>
      <c r="AA137" s="290">
        <v>700</v>
      </c>
      <c r="AB137" s="290">
        <v>40</v>
      </c>
      <c r="AC137" s="290">
        <v>376.20499999999998</v>
      </c>
      <c r="AD137" s="290">
        <v>167</v>
      </c>
      <c r="AE137" s="290">
        <v>0</v>
      </c>
      <c r="AF137" s="290">
        <v>0</v>
      </c>
      <c r="AG137" s="290">
        <v>2212</v>
      </c>
      <c r="AH137" s="290">
        <v>347.73817650000001</v>
      </c>
      <c r="AI137" s="290">
        <v>0</v>
      </c>
      <c r="AJ137" s="290">
        <v>0</v>
      </c>
      <c r="AK137" s="290">
        <v>0</v>
      </c>
      <c r="AL137" s="290">
        <v>0</v>
      </c>
      <c r="AM137" s="957">
        <v>4.6533890000000001E-2</v>
      </c>
      <c r="AN137" s="290">
        <v>0</v>
      </c>
      <c r="AO137" s="290">
        <v>-363.58088299999997</v>
      </c>
      <c r="AP137" s="290">
        <v>0</v>
      </c>
      <c r="AQ137" s="290">
        <v>0</v>
      </c>
      <c r="AR137" s="290">
        <v>-119.150406</v>
      </c>
      <c r="AS137" s="290">
        <v>891</v>
      </c>
      <c r="AT137" s="290">
        <v>120</v>
      </c>
      <c r="AU137" s="290">
        <v>18</v>
      </c>
      <c r="AV137" s="766">
        <v>81954</v>
      </c>
      <c r="AW137" s="290">
        <v>1350</v>
      </c>
      <c r="AX137" s="766">
        <v>17</v>
      </c>
      <c r="AY137" s="290">
        <v>373</v>
      </c>
      <c r="AZ137" s="290">
        <v>108</v>
      </c>
      <c r="BA137" s="290">
        <v>41</v>
      </c>
      <c r="BB137" s="290">
        <v>2938</v>
      </c>
      <c r="BC137" s="290">
        <v>343.74472100000003</v>
      </c>
      <c r="BD137" s="290">
        <v>286</v>
      </c>
      <c r="BE137" s="290">
        <v>86163.113400000002</v>
      </c>
      <c r="BF137" s="290">
        <v>0</v>
      </c>
      <c r="BG137" s="290">
        <v>139</v>
      </c>
      <c r="BH137" s="290">
        <v>20</v>
      </c>
      <c r="BI137" s="290">
        <v>1151.06998</v>
      </c>
      <c r="BJ137" s="290">
        <v>250</v>
      </c>
      <c r="BK137" s="290">
        <f t="shared" si="2"/>
        <v>0</v>
      </c>
      <c r="BL137" s="290">
        <v>0</v>
      </c>
      <c r="BM137" s="290">
        <v>0</v>
      </c>
      <c r="BN137" s="290">
        <v>1860</v>
      </c>
      <c r="BO137" s="290">
        <v>415</v>
      </c>
      <c r="BP137" s="290">
        <v>2</v>
      </c>
      <c r="BQ137" s="290">
        <v>234</v>
      </c>
      <c r="BR137" s="290">
        <v>-1</v>
      </c>
      <c r="BS137" s="290">
        <v>50</v>
      </c>
      <c r="BT137" s="290">
        <v>0</v>
      </c>
      <c r="BU137" s="290">
        <v>0</v>
      </c>
      <c r="BV137" s="290">
        <v>45</v>
      </c>
      <c r="BW137" s="290"/>
      <c r="BX137" s="290"/>
      <c r="BY137" s="290"/>
    </row>
    <row r="138" spans="1:77" ht="13">
      <c r="A138" s="1">
        <v>3047</v>
      </c>
      <c r="B138" s="2" t="s">
        <v>883</v>
      </c>
      <c r="C138" s="289">
        <v>14115</v>
      </c>
      <c r="D138" s="290">
        <v>257</v>
      </c>
      <c r="E138" s="290">
        <v>591</v>
      </c>
      <c r="F138" s="290">
        <v>1614</v>
      </c>
      <c r="G138" s="290">
        <v>1093</v>
      </c>
      <c r="H138" s="290">
        <v>7959</v>
      </c>
      <c r="I138" s="290">
        <v>1842</v>
      </c>
      <c r="J138" s="290">
        <v>559</v>
      </c>
      <c r="K138" s="290">
        <v>139</v>
      </c>
      <c r="L138" s="290">
        <v>108</v>
      </c>
      <c r="M138" s="290">
        <v>1141</v>
      </c>
      <c r="N138" s="290">
        <v>279</v>
      </c>
      <c r="O138" s="290">
        <v>121</v>
      </c>
      <c r="P138" s="624">
        <v>47540.637000000002</v>
      </c>
      <c r="Q138" s="624">
        <v>27338.871666669998</v>
      </c>
      <c r="R138" s="624">
        <v>56</v>
      </c>
      <c r="S138" s="290">
        <v>0</v>
      </c>
      <c r="T138" s="290">
        <v>1296</v>
      </c>
      <c r="U138" s="958">
        <v>5.0050294156382636E-3</v>
      </c>
      <c r="V138" s="290">
        <v>5686.6308004499997</v>
      </c>
      <c r="W138" s="765">
        <v>0.58533405999999999</v>
      </c>
      <c r="X138" s="290">
        <v>2250</v>
      </c>
      <c r="Y138" s="290">
        <v>427.12680399999999</v>
      </c>
      <c r="Z138" s="290">
        <v>366401</v>
      </c>
      <c r="AA138" s="290">
        <v>0</v>
      </c>
      <c r="AB138" s="290">
        <v>383</v>
      </c>
      <c r="AC138" s="290">
        <v>2014.5609999999999</v>
      </c>
      <c r="AD138" s="290">
        <v>333</v>
      </c>
      <c r="AE138" s="290">
        <v>0</v>
      </c>
      <c r="AF138" s="290">
        <v>0</v>
      </c>
      <c r="AG138" s="290">
        <v>14054</v>
      </c>
      <c r="AH138" s="290">
        <v>2236.0793761099999</v>
      </c>
      <c r="AI138" s="290">
        <v>0</v>
      </c>
      <c r="AJ138" s="290">
        <v>0</v>
      </c>
      <c r="AK138" s="290">
        <v>0</v>
      </c>
      <c r="AL138" s="290">
        <v>0</v>
      </c>
      <c r="AM138" s="957">
        <v>0.50399481999999995</v>
      </c>
      <c r="AN138" s="290">
        <v>0</v>
      </c>
      <c r="AO138" s="290">
        <v>-1941.77278</v>
      </c>
      <c r="AP138" s="290">
        <v>0</v>
      </c>
      <c r="AQ138" s="290">
        <v>0</v>
      </c>
      <c r="AR138" s="290">
        <v>-757.02522799999997</v>
      </c>
      <c r="AS138" s="290">
        <v>3864</v>
      </c>
      <c r="AT138" s="290">
        <v>921</v>
      </c>
      <c r="AU138" s="290">
        <v>150</v>
      </c>
      <c r="AV138" s="766">
        <v>361886</v>
      </c>
      <c r="AW138" s="290">
        <v>5250</v>
      </c>
      <c r="AX138" s="766">
        <v>68.708299999999994</v>
      </c>
      <c r="AY138" s="290">
        <v>2437</v>
      </c>
      <c r="AZ138" s="290">
        <v>713</v>
      </c>
      <c r="BA138" s="290">
        <v>325</v>
      </c>
      <c r="BB138" s="290">
        <v>0</v>
      </c>
      <c r="BC138" s="290">
        <v>2584.8262300000001</v>
      </c>
      <c r="BD138" s="290">
        <v>1188</v>
      </c>
      <c r="BE138" s="290">
        <v>371111.76400000002</v>
      </c>
      <c r="BF138" s="290">
        <v>0</v>
      </c>
      <c r="BG138" s="290">
        <v>626</v>
      </c>
      <c r="BH138" s="290">
        <v>89</v>
      </c>
      <c r="BI138" s="290">
        <v>4677.7671799999998</v>
      </c>
      <c r="BJ138" s="290">
        <v>0</v>
      </c>
      <c r="BK138" s="290">
        <f t="shared" si="2"/>
        <v>0</v>
      </c>
      <c r="BL138" s="290">
        <v>0</v>
      </c>
      <c r="BM138" s="290">
        <v>0</v>
      </c>
      <c r="BN138" s="290">
        <v>9935</v>
      </c>
      <c r="BO138" s="290">
        <v>2357</v>
      </c>
      <c r="BP138" s="290">
        <v>11</v>
      </c>
      <c r="BQ138" s="290">
        <v>1366</v>
      </c>
      <c r="BR138" s="290">
        <v>-7</v>
      </c>
      <c r="BS138" s="290">
        <v>218</v>
      </c>
      <c r="BT138" s="290">
        <v>0</v>
      </c>
      <c r="BU138" s="290">
        <v>0</v>
      </c>
      <c r="BV138" s="290">
        <v>201</v>
      </c>
      <c r="BW138" s="290"/>
      <c r="BX138" s="290"/>
      <c r="BY138" s="290"/>
    </row>
    <row r="139" spans="1:77" ht="13">
      <c r="A139" s="1">
        <v>3048</v>
      </c>
      <c r="B139" s="2" t="s">
        <v>884</v>
      </c>
      <c r="C139" s="289">
        <v>19423</v>
      </c>
      <c r="D139" s="290">
        <v>397</v>
      </c>
      <c r="E139" s="290">
        <v>893</v>
      </c>
      <c r="F139" s="290">
        <v>2342</v>
      </c>
      <c r="G139" s="290">
        <v>1572</v>
      </c>
      <c r="H139" s="290">
        <v>11110</v>
      </c>
      <c r="I139" s="290">
        <v>2169</v>
      </c>
      <c r="J139" s="290">
        <v>691</v>
      </c>
      <c r="K139" s="290">
        <v>169</v>
      </c>
      <c r="L139" s="290">
        <v>147</v>
      </c>
      <c r="M139" s="290">
        <v>1303</v>
      </c>
      <c r="N139" s="290">
        <v>427</v>
      </c>
      <c r="O139" s="290">
        <v>181</v>
      </c>
      <c r="P139" s="624">
        <v>53422.71666667</v>
      </c>
      <c r="Q139" s="624">
        <v>35046.543666669997</v>
      </c>
      <c r="R139" s="624">
        <v>70</v>
      </c>
      <c r="S139" s="290">
        <v>0</v>
      </c>
      <c r="T139" s="290">
        <v>1499</v>
      </c>
      <c r="U139" s="958">
        <v>4.5678469724120012E-3</v>
      </c>
      <c r="V139" s="290">
        <v>4205.6404827899996</v>
      </c>
      <c r="W139" s="765">
        <v>0.57188996000000003</v>
      </c>
      <c r="X139" s="290">
        <v>3100</v>
      </c>
      <c r="Y139" s="290">
        <v>427.12680399999999</v>
      </c>
      <c r="Z139" s="290">
        <v>573811</v>
      </c>
      <c r="AA139" s="290">
        <v>0</v>
      </c>
      <c r="AB139" s="290">
        <v>442</v>
      </c>
      <c r="AC139" s="290">
        <v>3488.66</v>
      </c>
      <c r="AD139" s="290">
        <v>333</v>
      </c>
      <c r="AE139" s="290">
        <v>2813</v>
      </c>
      <c r="AF139" s="290">
        <v>0</v>
      </c>
      <c r="AG139" s="290">
        <v>19343</v>
      </c>
      <c r="AH139" s="290">
        <v>3295.9217186199999</v>
      </c>
      <c r="AI139" s="290">
        <v>120</v>
      </c>
      <c r="AJ139" s="290">
        <v>0</v>
      </c>
      <c r="AK139" s="290">
        <v>0</v>
      </c>
      <c r="AL139" s="290">
        <v>0</v>
      </c>
      <c r="AM139" s="957">
        <v>0.46212909000000002</v>
      </c>
      <c r="AN139" s="290">
        <v>0</v>
      </c>
      <c r="AO139" s="290">
        <v>-2617.3003699999999</v>
      </c>
      <c r="AP139" s="290">
        <v>0</v>
      </c>
      <c r="AQ139" s="290">
        <v>0</v>
      </c>
      <c r="AR139" s="290">
        <v>-1041.91967</v>
      </c>
      <c r="AS139" s="290">
        <v>3576</v>
      </c>
      <c r="AT139" s="290">
        <v>1118</v>
      </c>
      <c r="AU139" s="290">
        <v>184</v>
      </c>
      <c r="AV139" s="766">
        <v>464884</v>
      </c>
      <c r="AW139" s="290">
        <v>7800</v>
      </c>
      <c r="AX139" s="766">
        <v>130.37504999999999</v>
      </c>
      <c r="AY139" s="290">
        <v>3735</v>
      </c>
      <c r="AZ139" s="290">
        <v>821</v>
      </c>
      <c r="BA139" s="290">
        <v>443</v>
      </c>
      <c r="BB139" s="290">
        <v>0</v>
      </c>
      <c r="BC139" s="290">
        <v>3564.4638199999999</v>
      </c>
      <c r="BD139" s="290">
        <v>1611</v>
      </c>
      <c r="BE139" s="290">
        <v>488652.31099999999</v>
      </c>
      <c r="BF139" s="290">
        <v>0</v>
      </c>
      <c r="BG139" s="290">
        <v>825</v>
      </c>
      <c r="BH139" s="290">
        <v>118</v>
      </c>
      <c r="BI139" s="290">
        <v>7211.7085200000001</v>
      </c>
      <c r="BJ139" s="290">
        <v>0</v>
      </c>
      <c r="BK139" s="290">
        <f t="shared" si="2"/>
        <v>0</v>
      </c>
      <c r="BL139" s="290">
        <v>0</v>
      </c>
      <c r="BM139" s="290">
        <v>0</v>
      </c>
      <c r="BN139" s="290">
        <v>13392</v>
      </c>
      <c r="BO139" s="290">
        <v>3558</v>
      </c>
      <c r="BP139" s="290">
        <v>18</v>
      </c>
      <c r="BQ139" s="290">
        <v>1879</v>
      </c>
      <c r="BR139" s="290">
        <v>-9</v>
      </c>
      <c r="BS139" s="290">
        <v>236</v>
      </c>
      <c r="BT139" s="290">
        <v>0</v>
      </c>
      <c r="BU139" s="290">
        <v>0</v>
      </c>
      <c r="BV139" s="290">
        <v>265</v>
      </c>
      <c r="BW139" s="290"/>
      <c r="BX139" s="290"/>
      <c r="BY139" s="290"/>
    </row>
    <row r="140" spans="1:77" ht="13">
      <c r="A140" s="1">
        <v>3049</v>
      </c>
      <c r="B140" s="2" t="s">
        <v>886</v>
      </c>
      <c r="C140" s="289">
        <v>26811</v>
      </c>
      <c r="D140" s="290">
        <v>568</v>
      </c>
      <c r="E140" s="290">
        <v>1226</v>
      </c>
      <c r="F140" s="290">
        <v>3515</v>
      </c>
      <c r="G140" s="290">
        <v>2235</v>
      </c>
      <c r="H140" s="290">
        <v>15157</v>
      </c>
      <c r="I140" s="290">
        <v>2911</v>
      </c>
      <c r="J140" s="290">
        <v>791</v>
      </c>
      <c r="K140" s="290">
        <v>174</v>
      </c>
      <c r="L140" s="290">
        <v>196</v>
      </c>
      <c r="M140" s="290">
        <v>1574</v>
      </c>
      <c r="N140" s="290">
        <v>881</v>
      </c>
      <c r="O140" s="290">
        <v>248</v>
      </c>
      <c r="P140" s="624">
        <v>58235.99333333</v>
      </c>
      <c r="Q140" s="624">
        <v>35537.095999999998</v>
      </c>
      <c r="R140" s="624">
        <v>112</v>
      </c>
      <c r="S140" s="290">
        <v>0</v>
      </c>
      <c r="T140" s="290">
        <v>1952</v>
      </c>
      <c r="U140" s="958">
        <v>3.7846317147988613E-3</v>
      </c>
      <c r="V140" s="290">
        <v>9295.6522030199994</v>
      </c>
      <c r="W140" s="765">
        <v>0.56509980999999998</v>
      </c>
      <c r="X140" s="290">
        <v>2250</v>
      </c>
      <c r="Y140" s="290">
        <v>689.97406799999999</v>
      </c>
      <c r="Z140" s="290">
        <v>941550</v>
      </c>
      <c r="AA140" s="290">
        <v>0</v>
      </c>
      <c r="AB140" s="290">
        <v>435</v>
      </c>
      <c r="AC140" s="290">
        <v>5239.2650000000003</v>
      </c>
      <c r="AD140" s="290">
        <v>333</v>
      </c>
      <c r="AE140" s="290">
        <v>0</v>
      </c>
      <c r="AF140" s="290">
        <v>0</v>
      </c>
      <c r="AG140" s="290">
        <v>26577</v>
      </c>
      <c r="AH140" s="290">
        <v>4792.4248898200003</v>
      </c>
      <c r="AI140" s="290">
        <v>0</v>
      </c>
      <c r="AJ140" s="290">
        <v>0</v>
      </c>
      <c r="AK140" s="290">
        <v>0</v>
      </c>
      <c r="AL140" s="290">
        <v>0</v>
      </c>
      <c r="AM140" s="957">
        <v>0.64218167999999998</v>
      </c>
      <c r="AN140" s="290">
        <v>0</v>
      </c>
      <c r="AO140" s="290">
        <v>-3594.9119099999998</v>
      </c>
      <c r="AP140" s="290">
        <v>0</v>
      </c>
      <c r="AQ140" s="290">
        <v>0</v>
      </c>
      <c r="AR140" s="290">
        <v>-1431.5824299999999</v>
      </c>
      <c r="AS140" s="290">
        <v>6857</v>
      </c>
      <c r="AT140" s="290">
        <v>1548</v>
      </c>
      <c r="AU140" s="290">
        <v>252</v>
      </c>
      <c r="AV140" s="766">
        <v>635035</v>
      </c>
      <c r="AW140" s="290">
        <v>12600</v>
      </c>
      <c r="AX140" s="766">
        <v>223.04165</v>
      </c>
      <c r="AY140" s="290">
        <v>7074</v>
      </c>
      <c r="AZ140" s="290">
        <v>1145</v>
      </c>
      <c r="BA140" s="290">
        <v>523</v>
      </c>
      <c r="BB140" s="290">
        <v>0</v>
      </c>
      <c r="BC140" s="290">
        <v>5264.1117999999997</v>
      </c>
      <c r="BD140" s="290">
        <v>2186</v>
      </c>
      <c r="BE140" s="290">
        <v>669368.58299999998</v>
      </c>
      <c r="BF140" s="290">
        <v>0</v>
      </c>
      <c r="BG140" s="290">
        <v>1100</v>
      </c>
      <c r="BH140" s="290">
        <v>157</v>
      </c>
      <c r="BI140" s="290">
        <v>10721.664000000001</v>
      </c>
      <c r="BJ140" s="290">
        <v>0</v>
      </c>
      <c r="BK140" s="290">
        <f t="shared" si="2"/>
        <v>0</v>
      </c>
      <c r="BL140" s="290">
        <v>0</v>
      </c>
      <c r="BM140" s="290">
        <v>0</v>
      </c>
      <c r="BN140" s="290">
        <v>18394</v>
      </c>
      <c r="BO140" s="290">
        <v>5192</v>
      </c>
      <c r="BP140" s="290">
        <v>26</v>
      </c>
      <c r="BQ140" s="290">
        <v>2797</v>
      </c>
      <c r="BR140" s="290">
        <v>-12</v>
      </c>
      <c r="BS140" s="290">
        <v>316</v>
      </c>
      <c r="BT140" s="290">
        <v>0</v>
      </c>
      <c r="BU140" s="290">
        <v>0</v>
      </c>
      <c r="BV140" s="290">
        <v>354</v>
      </c>
      <c r="BW140" s="290"/>
      <c r="BX140" s="290"/>
      <c r="BY140" s="290"/>
    </row>
    <row r="141" spans="1:77" ht="13">
      <c r="A141" s="1">
        <v>3050</v>
      </c>
      <c r="B141" s="2" t="s">
        <v>889</v>
      </c>
      <c r="C141" s="289">
        <v>2688</v>
      </c>
      <c r="D141" s="290">
        <v>58</v>
      </c>
      <c r="E141" s="290">
        <v>109</v>
      </c>
      <c r="F141" s="290">
        <v>310</v>
      </c>
      <c r="G141" s="290">
        <v>224</v>
      </c>
      <c r="H141" s="290">
        <v>1471</v>
      </c>
      <c r="I141" s="290">
        <v>368</v>
      </c>
      <c r="J141" s="290">
        <v>110</v>
      </c>
      <c r="K141" s="290">
        <v>30</v>
      </c>
      <c r="L141" s="290">
        <v>19</v>
      </c>
      <c r="M141" s="290">
        <v>210</v>
      </c>
      <c r="N141" s="290">
        <v>19</v>
      </c>
      <c r="O141" s="290">
        <v>35</v>
      </c>
      <c r="P141" s="624">
        <v>21661.760999999999</v>
      </c>
      <c r="Q141" s="624">
        <v>15804.678333330001</v>
      </c>
      <c r="R141" s="624">
        <v>10</v>
      </c>
      <c r="S141" s="290">
        <v>0</v>
      </c>
      <c r="T141" s="290">
        <v>202</v>
      </c>
      <c r="U141" s="958">
        <v>1.6550560734697405E-3</v>
      </c>
      <c r="V141" s="290">
        <v>1181.2696009900001</v>
      </c>
      <c r="W141" s="765">
        <v>0.80734658999999998</v>
      </c>
      <c r="X141" s="290">
        <v>1450</v>
      </c>
      <c r="Y141" s="290">
        <v>427.12680399999999</v>
      </c>
      <c r="Z141" s="290">
        <v>83208</v>
      </c>
      <c r="AA141" s="290">
        <v>0</v>
      </c>
      <c r="AB141" s="290">
        <v>53</v>
      </c>
      <c r="AC141" s="290">
        <v>472.68799999999999</v>
      </c>
      <c r="AD141" s="290">
        <v>167</v>
      </c>
      <c r="AE141" s="290">
        <v>0</v>
      </c>
      <c r="AF141" s="290">
        <v>0</v>
      </c>
      <c r="AG141" s="290">
        <v>2680</v>
      </c>
      <c r="AH141" s="290">
        <v>450.39684814999998</v>
      </c>
      <c r="AI141" s="290">
        <v>0</v>
      </c>
      <c r="AJ141" s="290">
        <v>0</v>
      </c>
      <c r="AK141" s="290">
        <v>0</v>
      </c>
      <c r="AL141" s="290">
        <v>0</v>
      </c>
      <c r="AM141" s="957">
        <v>6.138362E-2</v>
      </c>
      <c r="AN141" s="290">
        <v>0</v>
      </c>
      <c r="AO141" s="290">
        <v>-413.58051399999999</v>
      </c>
      <c r="AP141" s="290">
        <v>0</v>
      </c>
      <c r="AQ141" s="290">
        <v>0</v>
      </c>
      <c r="AR141" s="290">
        <v>1491.48784</v>
      </c>
      <c r="AS141" s="290">
        <v>67</v>
      </c>
      <c r="AT141" s="290">
        <v>135</v>
      </c>
      <c r="AU141" s="290">
        <v>20</v>
      </c>
      <c r="AV141" s="766">
        <v>93176</v>
      </c>
      <c r="AW141" s="290">
        <v>1500</v>
      </c>
      <c r="AX141" s="766">
        <v>23.000050000000002</v>
      </c>
      <c r="AY141" s="290">
        <v>437</v>
      </c>
      <c r="AZ141" s="290">
        <v>165</v>
      </c>
      <c r="BA141" s="290">
        <v>58</v>
      </c>
      <c r="BB141" s="290">
        <v>2938</v>
      </c>
      <c r="BC141" s="290">
        <v>863.31361600000002</v>
      </c>
      <c r="BD141" s="290">
        <v>316</v>
      </c>
      <c r="BE141" s="290">
        <v>92600.899600000004</v>
      </c>
      <c r="BF141" s="290">
        <v>0</v>
      </c>
      <c r="BG141" s="290">
        <v>160</v>
      </c>
      <c r="BH141" s="290">
        <v>23</v>
      </c>
      <c r="BI141" s="290">
        <v>1350.21165</v>
      </c>
      <c r="BJ141" s="290">
        <v>0</v>
      </c>
      <c r="BK141" s="290">
        <f t="shared" si="2"/>
        <v>0</v>
      </c>
      <c r="BL141" s="290">
        <v>0</v>
      </c>
      <c r="BM141" s="290">
        <v>0</v>
      </c>
      <c r="BN141" s="290">
        <v>2116</v>
      </c>
      <c r="BO141" s="290">
        <v>480</v>
      </c>
      <c r="BP141" s="290">
        <v>2</v>
      </c>
      <c r="BQ141" s="290">
        <v>273</v>
      </c>
      <c r="BR141" s="290">
        <v>-1</v>
      </c>
      <c r="BS141" s="290">
        <v>58</v>
      </c>
      <c r="BT141" s="290">
        <v>0</v>
      </c>
      <c r="BU141" s="290">
        <v>0</v>
      </c>
      <c r="BV141" s="290">
        <v>51</v>
      </c>
      <c r="BW141" s="290"/>
      <c r="BX141" s="290"/>
      <c r="BY141" s="290"/>
    </row>
    <row r="142" spans="1:77" ht="13">
      <c r="A142" s="1">
        <v>3051</v>
      </c>
      <c r="B142" s="2" t="s">
        <v>890</v>
      </c>
      <c r="C142" s="289">
        <v>1390</v>
      </c>
      <c r="D142" s="290">
        <v>28</v>
      </c>
      <c r="E142" s="290">
        <v>68</v>
      </c>
      <c r="F142" s="290">
        <v>120</v>
      </c>
      <c r="G142" s="290">
        <v>141</v>
      </c>
      <c r="H142" s="290">
        <v>748</v>
      </c>
      <c r="I142" s="290">
        <v>205</v>
      </c>
      <c r="J142" s="290">
        <v>85</v>
      </c>
      <c r="K142" s="290">
        <v>27</v>
      </c>
      <c r="L142" s="290">
        <v>8</v>
      </c>
      <c r="M142" s="290">
        <v>145</v>
      </c>
      <c r="N142" s="290">
        <v>16</v>
      </c>
      <c r="O142" s="290">
        <v>11</v>
      </c>
      <c r="P142" s="624">
        <v>11213.74666667</v>
      </c>
      <c r="Q142" s="624">
        <v>4692.1139999999996</v>
      </c>
      <c r="R142" s="624">
        <v>15</v>
      </c>
      <c r="S142" s="290">
        <v>0</v>
      </c>
      <c r="T142" s="290">
        <v>114</v>
      </c>
      <c r="U142" s="958">
        <v>1.1993532888231297E-3</v>
      </c>
      <c r="V142" s="290">
        <v>784.18859382999995</v>
      </c>
      <c r="W142" s="765">
        <v>0.99758745000000004</v>
      </c>
      <c r="X142" s="290">
        <v>1200</v>
      </c>
      <c r="Y142" s="290">
        <v>427.12680399999999</v>
      </c>
      <c r="Z142" s="290">
        <v>39387</v>
      </c>
      <c r="AA142" s="290">
        <v>500</v>
      </c>
      <c r="AB142" s="290">
        <v>39</v>
      </c>
      <c r="AC142" s="290">
        <v>211.38800000000001</v>
      </c>
      <c r="AD142" s="290">
        <v>167</v>
      </c>
      <c r="AE142" s="290">
        <v>0</v>
      </c>
      <c r="AF142" s="290">
        <v>0</v>
      </c>
      <c r="AG142" s="290">
        <v>1422</v>
      </c>
      <c r="AH142" s="290">
        <v>204.5943949</v>
      </c>
      <c r="AI142" s="290">
        <v>0</v>
      </c>
      <c r="AJ142" s="290">
        <v>0</v>
      </c>
      <c r="AK142" s="290">
        <v>20.364000000000001</v>
      </c>
      <c r="AL142" s="290">
        <v>0</v>
      </c>
      <c r="AM142" s="957">
        <v>2.0515889999999998E-2</v>
      </c>
      <c r="AN142" s="290">
        <v>0</v>
      </c>
      <c r="AO142" s="290">
        <v>-264.652083</v>
      </c>
      <c r="AP142" s="290">
        <v>0</v>
      </c>
      <c r="AQ142" s="290">
        <v>0</v>
      </c>
      <c r="AR142" s="290">
        <v>-76.596689499999997</v>
      </c>
      <c r="AS142" s="290">
        <v>396</v>
      </c>
      <c r="AT142" s="290">
        <v>54</v>
      </c>
      <c r="AU142" s="290">
        <v>15</v>
      </c>
      <c r="AV142" s="766">
        <v>64450</v>
      </c>
      <c r="AW142" s="290">
        <v>950</v>
      </c>
      <c r="AX142" s="766">
        <v>11.833349999999999</v>
      </c>
      <c r="AY142" s="290">
        <v>264</v>
      </c>
      <c r="AZ142" s="290">
        <v>51</v>
      </c>
      <c r="BA142" s="290">
        <v>16</v>
      </c>
      <c r="BB142" s="290">
        <v>3525</v>
      </c>
      <c r="BC142" s="290">
        <v>78.155681099999995</v>
      </c>
      <c r="BD142" s="290">
        <v>241</v>
      </c>
      <c r="BE142" s="290">
        <v>69917.215899999996</v>
      </c>
      <c r="BF142" s="290">
        <v>0</v>
      </c>
      <c r="BG142" s="290">
        <v>107</v>
      </c>
      <c r="BH142" s="290">
        <v>15</v>
      </c>
      <c r="BI142" s="290">
        <v>863.47319900000002</v>
      </c>
      <c r="BJ142" s="290">
        <v>0</v>
      </c>
      <c r="BK142" s="290">
        <f t="shared" si="2"/>
        <v>0</v>
      </c>
      <c r="BL142" s="290">
        <v>0</v>
      </c>
      <c r="BM142" s="290">
        <v>0</v>
      </c>
      <c r="BN142" s="290">
        <v>1354</v>
      </c>
      <c r="BO142" s="290">
        <v>264</v>
      </c>
      <c r="BP142" s="290">
        <v>1</v>
      </c>
      <c r="BQ142" s="290">
        <v>140</v>
      </c>
      <c r="BR142" s="290">
        <v>-1</v>
      </c>
      <c r="BS142" s="290">
        <v>50</v>
      </c>
      <c r="BT142" s="290">
        <v>0</v>
      </c>
      <c r="BU142" s="290">
        <v>0</v>
      </c>
      <c r="BV142" s="290">
        <v>34</v>
      </c>
      <c r="BW142" s="290"/>
      <c r="BX142" s="290"/>
      <c r="BY142" s="290"/>
    </row>
    <row r="143" spans="1:77" ht="13">
      <c r="A143" s="1">
        <v>3052</v>
      </c>
      <c r="B143" s="2" t="s">
        <v>891</v>
      </c>
      <c r="C143" s="289">
        <v>2439</v>
      </c>
      <c r="D143" s="290">
        <v>35</v>
      </c>
      <c r="E143" s="290">
        <v>80</v>
      </c>
      <c r="F143" s="290">
        <v>250</v>
      </c>
      <c r="G143" s="290">
        <v>230</v>
      </c>
      <c r="H143" s="290">
        <v>1322</v>
      </c>
      <c r="I143" s="290">
        <v>365</v>
      </c>
      <c r="J143" s="290">
        <v>146</v>
      </c>
      <c r="K143" s="290">
        <v>31</v>
      </c>
      <c r="L143" s="290">
        <v>20</v>
      </c>
      <c r="M143" s="290">
        <v>252</v>
      </c>
      <c r="N143" s="290">
        <v>22</v>
      </c>
      <c r="O143" s="290">
        <v>23</v>
      </c>
      <c r="P143" s="624">
        <v>28331.789333330002</v>
      </c>
      <c r="Q143" s="624">
        <v>15211.802</v>
      </c>
      <c r="R143" s="624">
        <v>12</v>
      </c>
      <c r="S143" s="290">
        <v>0</v>
      </c>
      <c r="T143" s="290">
        <v>178</v>
      </c>
      <c r="U143" s="958">
        <v>3.2810027664178089E-3</v>
      </c>
      <c r="V143" s="290">
        <v>1337.19892751</v>
      </c>
      <c r="W143" s="765">
        <v>1</v>
      </c>
      <c r="X143" s="290">
        <v>0</v>
      </c>
      <c r="Y143" s="290">
        <v>427.12680399999999</v>
      </c>
      <c r="Z143" s="290">
        <v>89296</v>
      </c>
      <c r="AA143" s="290">
        <v>0</v>
      </c>
      <c r="AB143" s="290">
        <v>32</v>
      </c>
      <c r="AC143" s="290">
        <v>425.68099999999998</v>
      </c>
      <c r="AD143" s="290">
        <v>167</v>
      </c>
      <c r="AE143" s="290">
        <v>0</v>
      </c>
      <c r="AF143" s="290">
        <v>0</v>
      </c>
      <c r="AG143" s="290">
        <v>2459</v>
      </c>
      <c r="AH143" s="290">
        <v>359.30535077000002</v>
      </c>
      <c r="AI143" s="290">
        <v>0</v>
      </c>
      <c r="AJ143" s="290">
        <v>0</v>
      </c>
      <c r="AK143" s="290">
        <v>0</v>
      </c>
      <c r="AL143" s="290">
        <v>0</v>
      </c>
      <c r="AM143" s="957">
        <v>2.2754170000000001E-2</v>
      </c>
      <c r="AN143" s="290">
        <v>0</v>
      </c>
      <c r="AO143" s="290">
        <v>-399.748154</v>
      </c>
      <c r="AP143" s="290">
        <v>0</v>
      </c>
      <c r="AQ143" s="290">
        <v>0</v>
      </c>
      <c r="AR143" s="290">
        <v>1116.2531899999999</v>
      </c>
      <c r="AS143" s="290">
        <v>488</v>
      </c>
      <c r="AT143" s="290">
        <v>109</v>
      </c>
      <c r="AU143" s="290">
        <v>9</v>
      </c>
      <c r="AV143" s="766">
        <v>95211</v>
      </c>
      <c r="AW143" s="290">
        <v>1100</v>
      </c>
      <c r="AX143" s="766">
        <v>10.375</v>
      </c>
      <c r="AY143" s="290">
        <v>381</v>
      </c>
      <c r="AZ143" s="290">
        <v>139</v>
      </c>
      <c r="BA143" s="290">
        <v>34</v>
      </c>
      <c r="BB143" s="290">
        <v>5875</v>
      </c>
      <c r="BC143" s="290">
        <v>774.762744</v>
      </c>
      <c r="BD143" s="290">
        <v>322</v>
      </c>
      <c r="BE143" s="290">
        <v>95148.914699999994</v>
      </c>
      <c r="BF143" s="290">
        <v>0</v>
      </c>
      <c r="BG143" s="290">
        <v>164</v>
      </c>
      <c r="BH143" s="290">
        <v>23</v>
      </c>
      <c r="BI143" s="290">
        <v>1212.1131499999999</v>
      </c>
      <c r="BJ143" s="290">
        <v>0</v>
      </c>
      <c r="BK143" s="290">
        <f t="shared" si="2"/>
        <v>0</v>
      </c>
      <c r="BL143" s="290">
        <v>0</v>
      </c>
      <c r="BM143" s="290">
        <v>0</v>
      </c>
      <c r="BN143" s="290">
        <v>2045</v>
      </c>
      <c r="BO143" s="290">
        <v>364</v>
      </c>
      <c r="BP143" s="290">
        <v>2</v>
      </c>
      <c r="BQ143" s="290">
        <v>270</v>
      </c>
      <c r="BR143" s="290">
        <v>-1</v>
      </c>
      <c r="BS143" s="290">
        <v>50</v>
      </c>
      <c r="BT143" s="290">
        <v>0</v>
      </c>
      <c r="BU143" s="290">
        <v>0</v>
      </c>
      <c r="BV143" s="290">
        <v>53</v>
      </c>
      <c r="BW143" s="290"/>
      <c r="BX143" s="290"/>
      <c r="BY143" s="290"/>
    </row>
    <row r="144" spans="1:77" ht="13">
      <c r="A144" s="1">
        <v>3053</v>
      </c>
      <c r="B144" s="2" t="s">
        <v>860</v>
      </c>
      <c r="C144" s="289">
        <v>6852</v>
      </c>
      <c r="D144" s="290">
        <v>139</v>
      </c>
      <c r="E144" s="290">
        <v>274</v>
      </c>
      <c r="F144" s="290">
        <v>804</v>
      </c>
      <c r="G144" s="290">
        <v>548</v>
      </c>
      <c r="H144" s="290">
        <v>3899</v>
      </c>
      <c r="I144" s="290">
        <v>877</v>
      </c>
      <c r="J144" s="290">
        <v>262</v>
      </c>
      <c r="K144" s="290">
        <v>54</v>
      </c>
      <c r="L144" s="290">
        <v>63</v>
      </c>
      <c r="M144" s="290">
        <v>536</v>
      </c>
      <c r="N144" s="290">
        <v>108</v>
      </c>
      <c r="O144" s="290">
        <v>73</v>
      </c>
      <c r="P144" s="624">
        <v>17726.13733333</v>
      </c>
      <c r="Q144" s="624">
        <v>10196.40866667</v>
      </c>
      <c r="R144" s="624">
        <v>23</v>
      </c>
      <c r="S144" s="290">
        <v>0</v>
      </c>
      <c r="T144" s="290">
        <v>516</v>
      </c>
      <c r="U144" s="958">
        <v>1.3524422383388839E-3</v>
      </c>
      <c r="V144" s="290">
        <v>907.29717514000004</v>
      </c>
      <c r="W144" s="765">
        <v>0.58375812000000005</v>
      </c>
      <c r="X144" s="290">
        <v>1300</v>
      </c>
      <c r="Y144" s="290">
        <v>854.25360799999999</v>
      </c>
      <c r="Z144" s="290">
        <v>178269</v>
      </c>
      <c r="AA144" s="290">
        <v>0</v>
      </c>
      <c r="AB144" s="290">
        <v>165</v>
      </c>
      <c r="AC144" s="290">
        <v>1072.0640000000001</v>
      </c>
      <c r="AD144" s="290">
        <v>333</v>
      </c>
      <c r="AE144" s="290">
        <v>0</v>
      </c>
      <c r="AF144" s="290">
        <v>0</v>
      </c>
      <c r="AG144" s="290">
        <v>6857</v>
      </c>
      <c r="AH144" s="290">
        <v>1114.78642029</v>
      </c>
      <c r="AI144" s="290">
        <v>1200</v>
      </c>
      <c r="AJ144" s="290">
        <v>0</v>
      </c>
      <c r="AK144" s="290">
        <v>0</v>
      </c>
      <c r="AL144" s="290">
        <v>0</v>
      </c>
      <c r="AM144" s="957">
        <v>0.19358631000000001</v>
      </c>
      <c r="AN144" s="290">
        <v>0</v>
      </c>
      <c r="AO144" s="290">
        <v>-936.14359899999999</v>
      </c>
      <c r="AP144" s="290">
        <v>0</v>
      </c>
      <c r="AQ144" s="290">
        <v>0</v>
      </c>
      <c r="AR144" s="290">
        <v>-369.35548499999999</v>
      </c>
      <c r="AS144" s="290">
        <v>1528</v>
      </c>
      <c r="AT144" s="290">
        <v>463</v>
      </c>
      <c r="AU144" s="290">
        <v>69</v>
      </c>
      <c r="AV144" s="766">
        <v>170359</v>
      </c>
      <c r="AW144" s="290">
        <v>5300</v>
      </c>
      <c r="AX144" s="766">
        <v>52.249949999999998</v>
      </c>
      <c r="AY144" s="290">
        <v>1271</v>
      </c>
      <c r="AZ144" s="290">
        <v>284</v>
      </c>
      <c r="BA144" s="290">
        <v>142</v>
      </c>
      <c r="BB144" s="290">
        <v>0</v>
      </c>
      <c r="BC144" s="290">
        <v>1928.13276</v>
      </c>
      <c r="BD144" s="290">
        <v>618</v>
      </c>
      <c r="BE144" s="290">
        <v>175658.92800000001</v>
      </c>
      <c r="BF144" s="290">
        <v>0</v>
      </c>
      <c r="BG144" s="290">
        <v>310</v>
      </c>
      <c r="BH144" s="290">
        <v>44</v>
      </c>
      <c r="BI144" s="290">
        <v>3041.10403</v>
      </c>
      <c r="BJ144" s="290">
        <v>0</v>
      </c>
      <c r="BK144" s="290">
        <f t="shared" si="2"/>
        <v>0</v>
      </c>
      <c r="BL144" s="290">
        <v>0</v>
      </c>
      <c r="BM144" s="290">
        <v>0</v>
      </c>
      <c r="BN144" s="290">
        <v>4790</v>
      </c>
      <c r="BO144" s="290">
        <v>1167</v>
      </c>
      <c r="BP144" s="290">
        <v>6</v>
      </c>
      <c r="BQ144" s="290">
        <v>666</v>
      </c>
      <c r="BR144" s="290">
        <v>-3</v>
      </c>
      <c r="BS144" s="290">
        <v>102</v>
      </c>
      <c r="BT144" s="290">
        <v>0</v>
      </c>
      <c r="BU144" s="290">
        <v>0</v>
      </c>
      <c r="BV144" s="290">
        <v>100</v>
      </c>
      <c r="BW144" s="290"/>
      <c r="BX144" s="290"/>
      <c r="BY144" s="290"/>
    </row>
    <row r="145" spans="1:77" ht="13">
      <c r="A145" s="1">
        <v>3054</v>
      </c>
      <c r="B145" s="4" t="s">
        <v>861</v>
      </c>
      <c r="C145" s="289">
        <v>9048</v>
      </c>
      <c r="D145" s="290">
        <v>165</v>
      </c>
      <c r="E145" s="290">
        <v>398</v>
      </c>
      <c r="F145" s="290">
        <v>1112</v>
      </c>
      <c r="G145" s="290">
        <v>729</v>
      </c>
      <c r="H145" s="290">
        <v>5212</v>
      </c>
      <c r="I145" s="290">
        <v>1107</v>
      </c>
      <c r="J145" s="290">
        <v>263</v>
      </c>
      <c r="K145" s="290">
        <v>71</v>
      </c>
      <c r="L145" s="290">
        <v>70</v>
      </c>
      <c r="M145" s="290">
        <v>622</v>
      </c>
      <c r="N145" s="290">
        <v>172</v>
      </c>
      <c r="O145" s="290">
        <v>83</v>
      </c>
      <c r="P145" s="624">
        <v>27204.146333330002</v>
      </c>
      <c r="Q145" s="624">
        <v>21491.828666670001</v>
      </c>
      <c r="R145" s="624">
        <v>42</v>
      </c>
      <c r="S145" s="290">
        <v>0</v>
      </c>
      <c r="T145" s="290">
        <v>727</v>
      </c>
      <c r="U145" s="958">
        <v>2.5876823421046393E-3</v>
      </c>
      <c r="V145" s="290">
        <v>3454.9426680900001</v>
      </c>
      <c r="W145" s="765">
        <v>0.63002451000000004</v>
      </c>
      <c r="X145" s="290">
        <v>400</v>
      </c>
      <c r="Y145" s="290">
        <v>854.25360799999999</v>
      </c>
      <c r="Z145" s="290">
        <v>244716</v>
      </c>
      <c r="AA145" s="290">
        <v>0</v>
      </c>
      <c r="AB145" s="290">
        <v>197</v>
      </c>
      <c r="AC145" s="290">
        <v>1492.43</v>
      </c>
      <c r="AD145" s="290">
        <v>333</v>
      </c>
      <c r="AE145" s="290">
        <v>0</v>
      </c>
      <c r="AF145" s="290">
        <v>0</v>
      </c>
      <c r="AG145" s="290">
        <v>9057</v>
      </c>
      <c r="AH145" s="290">
        <v>1547.1095586399999</v>
      </c>
      <c r="AI145" s="290">
        <v>100</v>
      </c>
      <c r="AJ145" s="290">
        <v>0</v>
      </c>
      <c r="AK145" s="290">
        <v>0</v>
      </c>
      <c r="AL145" s="290">
        <v>0</v>
      </c>
      <c r="AM145" s="957">
        <v>0.17919751</v>
      </c>
      <c r="AN145" s="290">
        <v>0</v>
      </c>
      <c r="AO145" s="290">
        <v>-1244.39879</v>
      </c>
      <c r="AP145" s="290">
        <v>0</v>
      </c>
      <c r="AQ145" s="290">
        <v>0</v>
      </c>
      <c r="AR145" s="290">
        <v>-487.85950500000001</v>
      </c>
      <c r="AS145" s="290">
        <v>1421</v>
      </c>
      <c r="AT145" s="290">
        <v>536</v>
      </c>
      <c r="AU145" s="290">
        <v>82</v>
      </c>
      <c r="AV145" s="766">
        <v>230747</v>
      </c>
      <c r="AW145" s="290">
        <v>4700</v>
      </c>
      <c r="AX145" s="766">
        <v>72.416650000000004</v>
      </c>
      <c r="AY145" s="290">
        <v>1790</v>
      </c>
      <c r="AZ145" s="290">
        <v>334</v>
      </c>
      <c r="BA145" s="290">
        <v>213</v>
      </c>
      <c r="BB145" s="290">
        <v>0</v>
      </c>
      <c r="BC145" s="290">
        <v>1916.8598099999999</v>
      </c>
      <c r="BD145" s="290">
        <v>799</v>
      </c>
      <c r="BE145" s="290">
        <v>235994.79199999999</v>
      </c>
      <c r="BF145" s="290">
        <v>0</v>
      </c>
      <c r="BG145" s="290">
        <v>404</v>
      </c>
      <c r="BH145" s="290">
        <v>58</v>
      </c>
      <c r="BI145" s="290">
        <v>3893.7931699999999</v>
      </c>
      <c r="BJ145" s="290">
        <v>0</v>
      </c>
      <c r="BK145" s="290">
        <f t="shared" si="2"/>
        <v>0</v>
      </c>
      <c r="BL145" s="290">
        <v>0</v>
      </c>
      <c r="BM145" s="290">
        <v>0</v>
      </c>
      <c r="BN145" s="290">
        <v>6367</v>
      </c>
      <c r="BO145" s="290">
        <v>1659</v>
      </c>
      <c r="BP145" s="290">
        <v>8</v>
      </c>
      <c r="BQ145" s="290">
        <v>884</v>
      </c>
      <c r="BR145" s="290">
        <v>-4</v>
      </c>
      <c r="BS145" s="290">
        <v>108</v>
      </c>
      <c r="BT145" s="290">
        <v>0</v>
      </c>
      <c r="BU145" s="290">
        <v>0</v>
      </c>
      <c r="BV145" s="290">
        <v>130</v>
      </c>
      <c r="BW145" s="290"/>
      <c r="BX145" s="290"/>
      <c r="BY145" s="290"/>
    </row>
    <row r="146" spans="1:77" ht="13">
      <c r="A146" s="1">
        <v>3401</v>
      </c>
      <c r="B146" s="2" t="s">
        <v>824</v>
      </c>
      <c r="C146" s="289">
        <v>17829</v>
      </c>
      <c r="D146" s="290">
        <v>256</v>
      </c>
      <c r="E146" s="290">
        <v>640</v>
      </c>
      <c r="F146" s="290">
        <v>1926</v>
      </c>
      <c r="G146" s="290">
        <v>1480</v>
      </c>
      <c r="H146" s="290">
        <v>9817</v>
      </c>
      <c r="I146" s="290">
        <v>2767</v>
      </c>
      <c r="J146" s="290">
        <v>788</v>
      </c>
      <c r="K146" s="290">
        <v>168</v>
      </c>
      <c r="L146" s="290">
        <v>155</v>
      </c>
      <c r="M146" s="290">
        <v>1849</v>
      </c>
      <c r="N146" s="290">
        <v>553</v>
      </c>
      <c r="O146" s="290">
        <v>143</v>
      </c>
      <c r="P146" s="624">
        <v>98443.333666670005</v>
      </c>
      <c r="Q146" s="624">
        <v>32273.50566667</v>
      </c>
      <c r="R146" s="624">
        <v>92</v>
      </c>
      <c r="S146" s="290">
        <v>0</v>
      </c>
      <c r="T146" s="290">
        <v>1753</v>
      </c>
      <c r="U146" s="958">
        <v>4.1440144218847777E-3</v>
      </c>
      <c r="V146" s="290">
        <v>-4978.2953005600002</v>
      </c>
      <c r="W146" s="765">
        <v>0.60012063000000004</v>
      </c>
      <c r="X146" s="290">
        <v>1000</v>
      </c>
      <c r="Y146" s="290">
        <v>854.25360799999999</v>
      </c>
      <c r="Z146" s="290">
        <v>488404</v>
      </c>
      <c r="AA146" s="290">
        <v>325</v>
      </c>
      <c r="AB146" s="290">
        <v>570</v>
      </c>
      <c r="AC146" s="290">
        <v>2536.346</v>
      </c>
      <c r="AD146" s="290">
        <v>333</v>
      </c>
      <c r="AE146" s="290">
        <v>0</v>
      </c>
      <c r="AF146" s="290">
        <v>0</v>
      </c>
      <c r="AG146" s="290">
        <v>17842</v>
      </c>
      <c r="AH146" s="290">
        <v>2662.6189273199998</v>
      </c>
      <c r="AI146" s="290">
        <v>1200</v>
      </c>
      <c r="AJ146" s="290">
        <v>0</v>
      </c>
      <c r="AK146" s="290">
        <v>0</v>
      </c>
      <c r="AL146" s="290">
        <v>0</v>
      </c>
      <c r="AM146" s="957">
        <v>0.60451648000000002</v>
      </c>
      <c r="AN146" s="290">
        <v>17452</v>
      </c>
      <c r="AO146" s="290">
        <v>-2531.4627300000002</v>
      </c>
      <c r="AP146" s="290">
        <v>0</v>
      </c>
      <c r="AQ146" s="290">
        <v>0</v>
      </c>
      <c r="AR146" s="290">
        <v>-118.386163</v>
      </c>
      <c r="AS146" s="290">
        <v>8308</v>
      </c>
      <c r="AT146" s="290">
        <v>1141</v>
      </c>
      <c r="AU146" s="290">
        <v>187</v>
      </c>
      <c r="AV146" s="766">
        <v>484942</v>
      </c>
      <c r="AW146" s="290">
        <v>5029</v>
      </c>
      <c r="AX146" s="766">
        <v>78.291650000000004</v>
      </c>
      <c r="AY146" s="290">
        <v>3353</v>
      </c>
      <c r="AZ146" s="290">
        <v>900</v>
      </c>
      <c r="BA146" s="290">
        <v>420</v>
      </c>
      <c r="BB146" s="290">
        <v>0</v>
      </c>
      <c r="BC146" s="290">
        <v>-1252.499</v>
      </c>
      <c r="BD146" s="290">
        <v>1485</v>
      </c>
      <c r="BE146" s="290">
        <v>501177.80499999999</v>
      </c>
      <c r="BF146" s="290">
        <v>0</v>
      </c>
      <c r="BG146" s="290">
        <v>824</v>
      </c>
      <c r="BH146" s="290">
        <v>118</v>
      </c>
      <c r="BI146" s="290">
        <v>6053.2185399999998</v>
      </c>
      <c r="BJ146" s="290">
        <v>0</v>
      </c>
      <c r="BK146" s="290">
        <f t="shared" si="2"/>
        <v>0</v>
      </c>
      <c r="BL146" s="290">
        <v>0</v>
      </c>
      <c r="BM146" s="290">
        <v>0</v>
      </c>
      <c r="BN146" s="290">
        <v>12952</v>
      </c>
      <c r="BO146" s="290">
        <v>2693</v>
      </c>
      <c r="BP146" s="290">
        <v>13</v>
      </c>
      <c r="BQ146" s="290">
        <v>1737</v>
      </c>
      <c r="BR146" s="290">
        <v>-8</v>
      </c>
      <c r="BS146" s="290">
        <v>322</v>
      </c>
      <c r="BT146" s="290">
        <v>0</v>
      </c>
      <c r="BU146" s="290">
        <v>0</v>
      </c>
      <c r="BV146" s="290">
        <v>265</v>
      </c>
      <c r="BW146" s="290"/>
      <c r="BX146" s="290"/>
      <c r="BY146" s="290"/>
    </row>
    <row r="147" spans="1:77" ht="13">
      <c r="A147" s="1">
        <v>3403</v>
      </c>
      <c r="B147" s="2" t="s">
        <v>825</v>
      </c>
      <c r="C147" s="289">
        <v>31369</v>
      </c>
      <c r="D147" s="290">
        <v>527</v>
      </c>
      <c r="E147" s="290">
        <v>1178</v>
      </c>
      <c r="F147" s="290">
        <v>3447</v>
      </c>
      <c r="G147" s="290">
        <v>2653</v>
      </c>
      <c r="H147" s="290">
        <v>17308</v>
      </c>
      <c r="I147" s="290">
        <v>4272</v>
      </c>
      <c r="J147" s="290">
        <v>1398</v>
      </c>
      <c r="K147" s="290">
        <v>374</v>
      </c>
      <c r="L147" s="290">
        <v>232</v>
      </c>
      <c r="M147" s="290">
        <v>2771</v>
      </c>
      <c r="N147" s="290">
        <v>1158</v>
      </c>
      <c r="O147" s="290">
        <v>292</v>
      </c>
      <c r="P147" s="624">
        <v>43719.794333329999</v>
      </c>
      <c r="Q147" s="624">
        <v>25385.44233333</v>
      </c>
      <c r="R147" s="624">
        <v>117</v>
      </c>
      <c r="S147" s="290">
        <v>0</v>
      </c>
      <c r="T147" s="290">
        <v>3060</v>
      </c>
      <c r="U147" s="958">
        <v>2.6126793290262179E-3</v>
      </c>
      <c r="V147" s="290">
        <v>-2613.40160062</v>
      </c>
      <c r="W147" s="765">
        <v>0.53507919000000004</v>
      </c>
      <c r="X147" s="290">
        <v>1700</v>
      </c>
      <c r="Y147" s="290">
        <v>427.12680399999999</v>
      </c>
      <c r="Z147" s="290">
        <v>922933</v>
      </c>
      <c r="AA147" s="290">
        <v>2360</v>
      </c>
      <c r="AB147" s="290">
        <v>644</v>
      </c>
      <c r="AC147" s="290">
        <v>4215.973</v>
      </c>
      <c r="AD147" s="290">
        <v>500</v>
      </c>
      <c r="AE147" s="290">
        <v>0</v>
      </c>
      <c r="AF147" s="290">
        <v>0</v>
      </c>
      <c r="AG147" s="290">
        <v>31157</v>
      </c>
      <c r="AH147" s="290">
        <v>4762.0610573699996</v>
      </c>
      <c r="AI147" s="290">
        <v>1600</v>
      </c>
      <c r="AJ147" s="290">
        <v>0</v>
      </c>
      <c r="AK147" s="290">
        <v>583.33500000000004</v>
      </c>
      <c r="AL147" s="290">
        <v>0</v>
      </c>
      <c r="AM147" s="957">
        <v>0.67902308</v>
      </c>
      <c r="AN147" s="290">
        <v>0</v>
      </c>
      <c r="AO147" s="290">
        <v>-4271.6462000000001</v>
      </c>
      <c r="AP147" s="290">
        <v>0</v>
      </c>
      <c r="AQ147" s="290">
        <v>0</v>
      </c>
      <c r="AR147" s="290">
        <v>-1678.2862600000001</v>
      </c>
      <c r="AS147" s="290">
        <v>6851</v>
      </c>
      <c r="AT147" s="290">
        <v>1697</v>
      </c>
      <c r="AU147" s="290">
        <v>261</v>
      </c>
      <c r="AV147" s="766">
        <v>758091</v>
      </c>
      <c r="AW147" s="290">
        <v>19706</v>
      </c>
      <c r="AX147" s="766">
        <v>215.24995000000001</v>
      </c>
      <c r="AY147" s="290">
        <v>9631</v>
      </c>
      <c r="AZ147" s="290">
        <v>1487</v>
      </c>
      <c r="BA147" s="290">
        <v>639</v>
      </c>
      <c r="BB147" s="290">
        <v>0</v>
      </c>
      <c r="BC147" s="290">
        <v>5019.6265599999997</v>
      </c>
      <c r="BD147" s="290">
        <v>2534</v>
      </c>
      <c r="BE147" s="290">
        <v>790580.05</v>
      </c>
      <c r="BF147" s="290">
        <v>0</v>
      </c>
      <c r="BG147" s="290">
        <v>1337</v>
      </c>
      <c r="BH147" s="290">
        <v>191</v>
      </c>
      <c r="BI147" s="290">
        <v>9988.4958600000009</v>
      </c>
      <c r="BJ147" s="290">
        <v>0</v>
      </c>
      <c r="BK147" s="290">
        <f t="shared" si="2"/>
        <v>0</v>
      </c>
      <c r="BL147" s="290">
        <v>0</v>
      </c>
      <c r="BM147" s="290">
        <v>0</v>
      </c>
      <c r="BN147" s="290">
        <v>21856</v>
      </c>
      <c r="BO147" s="290">
        <v>5183</v>
      </c>
      <c r="BP147" s="290">
        <v>26</v>
      </c>
      <c r="BQ147" s="290">
        <v>3063</v>
      </c>
      <c r="BR147" s="290">
        <v>-15</v>
      </c>
      <c r="BS147" s="290">
        <v>434</v>
      </c>
      <c r="BT147" s="290">
        <v>0</v>
      </c>
      <c r="BU147" s="290">
        <v>0</v>
      </c>
      <c r="BV147" s="290">
        <v>430</v>
      </c>
      <c r="BW147" s="290"/>
      <c r="BX147" s="290"/>
      <c r="BY147" s="290"/>
    </row>
    <row r="148" spans="1:77" ht="13">
      <c r="A148" s="1">
        <v>3405</v>
      </c>
      <c r="B148" s="2" t="s">
        <v>845</v>
      </c>
      <c r="C148" s="289">
        <v>28345</v>
      </c>
      <c r="D148" s="290">
        <v>516</v>
      </c>
      <c r="E148" s="290">
        <v>1097</v>
      </c>
      <c r="F148" s="290">
        <v>3098</v>
      </c>
      <c r="G148" s="290">
        <v>2600</v>
      </c>
      <c r="H148" s="290">
        <v>15653</v>
      </c>
      <c r="I148" s="290">
        <v>3549</v>
      </c>
      <c r="J148" s="290">
        <v>1220</v>
      </c>
      <c r="K148" s="290">
        <v>281</v>
      </c>
      <c r="L148" s="290">
        <v>209</v>
      </c>
      <c r="M148" s="290">
        <v>2284</v>
      </c>
      <c r="N148" s="290">
        <v>892</v>
      </c>
      <c r="O148" s="290">
        <v>225</v>
      </c>
      <c r="P148" s="624">
        <v>74815.418999999994</v>
      </c>
      <c r="Q148" s="624">
        <v>44275.184333329998</v>
      </c>
      <c r="R148" s="624">
        <v>118</v>
      </c>
      <c r="S148" s="290">
        <v>0</v>
      </c>
      <c r="T148" s="290">
        <v>2424</v>
      </c>
      <c r="U148" s="958">
        <v>3.4873388794144783E-3</v>
      </c>
      <c r="V148" s="290">
        <v>-6409.0985753699997</v>
      </c>
      <c r="W148" s="765">
        <v>0.55332892</v>
      </c>
      <c r="X148" s="290">
        <v>1300</v>
      </c>
      <c r="Y148" s="290">
        <v>427.12680399999999</v>
      </c>
      <c r="Z148" s="290">
        <v>825131</v>
      </c>
      <c r="AA148" s="290">
        <v>60</v>
      </c>
      <c r="AB148" s="290">
        <v>493</v>
      </c>
      <c r="AC148" s="290">
        <v>4111.2730000000001</v>
      </c>
      <c r="AD148" s="290">
        <v>333</v>
      </c>
      <c r="AE148" s="290">
        <v>0</v>
      </c>
      <c r="AF148" s="290">
        <v>0</v>
      </c>
      <c r="AG148" s="290">
        <v>28014</v>
      </c>
      <c r="AH148" s="290">
        <v>4409.2622421200003</v>
      </c>
      <c r="AI148" s="290">
        <v>0</v>
      </c>
      <c r="AJ148" s="290">
        <v>0</v>
      </c>
      <c r="AK148" s="290">
        <v>0</v>
      </c>
      <c r="AL148" s="290">
        <v>0</v>
      </c>
      <c r="AM148" s="957">
        <v>0.32155421000000001</v>
      </c>
      <c r="AN148" s="290">
        <v>0</v>
      </c>
      <c r="AO148" s="290">
        <v>-3796.2357900000002</v>
      </c>
      <c r="AP148" s="290">
        <v>0</v>
      </c>
      <c r="AQ148" s="290">
        <v>0</v>
      </c>
      <c r="AR148" s="290">
        <v>604.10103400000003</v>
      </c>
      <c r="AS148" s="290">
        <v>13480</v>
      </c>
      <c r="AT148" s="290">
        <v>1326</v>
      </c>
      <c r="AU148" s="290">
        <v>176</v>
      </c>
      <c r="AV148" s="766">
        <v>669818</v>
      </c>
      <c r="AW148" s="290">
        <v>12562</v>
      </c>
      <c r="AX148" s="766">
        <v>194</v>
      </c>
      <c r="AY148" s="290">
        <v>9210</v>
      </c>
      <c r="AZ148" s="290">
        <v>1082</v>
      </c>
      <c r="BA148" s="290">
        <v>511</v>
      </c>
      <c r="BB148" s="290">
        <v>0</v>
      </c>
      <c r="BC148" s="290">
        <v>4659.1478200000001</v>
      </c>
      <c r="BD148" s="290">
        <v>2293</v>
      </c>
      <c r="BE148" s="290">
        <v>688707.82799999998</v>
      </c>
      <c r="BF148" s="290">
        <v>0</v>
      </c>
      <c r="BG148" s="290">
        <v>1215</v>
      </c>
      <c r="BH148" s="290">
        <v>173</v>
      </c>
      <c r="BI148" s="290">
        <v>8947.6620500000008</v>
      </c>
      <c r="BJ148" s="290">
        <v>0</v>
      </c>
      <c r="BK148" s="290">
        <f t="shared" si="2"/>
        <v>0</v>
      </c>
      <c r="BL148" s="290">
        <v>0</v>
      </c>
      <c r="BM148" s="290">
        <v>0</v>
      </c>
      <c r="BN148" s="290">
        <v>19424</v>
      </c>
      <c r="BO148" s="290">
        <v>4795</v>
      </c>
      <c r="BP148" s="290">
        <v>24</v>
      </c>
      <c r="BQ148" s="290">
        <v>2782</v>
      </c>
      <c r="BR148" s="290">
        <v>-13</v>
      </c>
      <c r="BS148" s="290">
        <v>271</v>
      </c>
      <c r="BT148" s="290">
        <v>0</v>
      </c>
      <c r="BU148" s="290">
        <v>0</v>
      </c>
      <c r="BV148" s="290">
        <v>391</v>
      </c>
      <c r="BW148" s="290"/>
      <c r="BX148" s="290"/>
      <c r="BY148" s="290"/>
    </row>
    <row r="149" spans="1:77" ht="13">
      <c r="A149" s="1">
        <v>3407</v>
      </c>
      <c r="B149" s="2" t="s">
        <v>846</v>
      </c>
      <c r="C149" s="289">
        <v>30560</v>
      </c>
      <c r="D149" s="290">
        <v>485</v>
      </c>
      <c r="E149" s="290">
        <v>1191</v>
      </c>
      <c r="F149" s="290">
        <v>3396</v>
      </c>
      <c r="G149" s="290">
        <v>2928</v>
      </c>
      <c r="H149" s="290">
        <v>17112</v>
      </c>
      <c r="I149" s="290">
        <v>3887</v>
      </c>
      <c r="J149" s="290">
        <v>1169</v>
      </c>
      <c r="K149" s="290">
        <v>288</v>
      </c>
      <c r="L149" s="290">
        <v>251</v>
      </c>
      <c r="M149" s="290">
        <v>2390</v>
      </c>
      <c r="N149" s="290">
        <v>1218</v>
      </c>
      <c r="O149" s="290">
        <v>281</v>
      </c>
      <c r="P149" s="624">
        <v>97246.548666670002</v>
      </c>
      <c r="Q149" s="624">
        <v>51089.986333330002</v>
      </c>
      <c r="R149" s="624">
        <v>119</v>
      </c>
      <c r="S149" s="290">
        <v>0</v>
      </c>
      <c r="T149" s="290">
        <v>2652</v>
      </c>
      <c r="U149" s="958">
        <v>6.2948699091837411E-3</v>
      </c>
      <c r="V149" s="290">
        <v>-4053.9862094099999</v>
      </c>
      <c r="W149" s="765">
        <v>0.57305731999999998</v>
      </c>
      <c r="X149" s="290">
        <v>2000</v>
      </c>
      <c r="Y149" s="290">
        <v>2135.63402</v>
      </c>
      <c r="Z149" s="290">
        <v>811206</v>
      </c>
      <c r="AA149" s="290">
        <v>65</v>
      </c>
      <c r="AB149" s="290">
        <v>746</v>
      </c>
      <c r="AC149" s="290">
        <v>4401.6080000000002</v>
      </c>
      <c r="AD149" s="290">
        <v>500</v>
      </c>
      <c r="AE149" s="290">
        <v>0</v>
      </c>
      <c r="AF149" s="290">
        <v>0</v>
      </c>
      <c r="AG149" s="290">
        <v>30456</v>
      </c>
      <c r="AH149" s="290">
        <v>4754.8315734500002</v>
      </c>
      <c r="AI149" s="290">
        <v>2250</v>
      </c>
      <c r="AJ149" s="290">
        <v>0</v>
      </c>
      <c r="AK149" s="290">
        <v>0</v>
      </c>
      <c r="AL149" s="290">
        <v>0</v>
      </c>
      <c r="AM149" s="957">
        <v>0.66070324999999996</v>
      </c>
      <c r="AN149" s="290">
        <v>0</v>
      </c>
      <c r="AO149" s="290">
        <v>-4107.3808399999998</v>
      </c>
      <c r="AP149" s="290">
        <v>0</v>
      </c>
      <c r="AQ149" s="290">
        <v>0</v>
      </c>
      <c r="AR149" s="290">
        <v>-879.49916199999996</v>
      </c>
      <c r="AS149" s="290">
        <v>17518</v>
      </c>
      <c r="AT149" s="290">
        <v>1653</v>
      </c>
      <c r="AU149" s="290">
        <v>266</v>
      </c>
      <c r="AV149" s="766">
        <v>722879</v>
      </c>
      <c r="AW149" s="290">
        <v>1532</v>
      </c>
      <c r="AX149" s="766">
        <v>194.33335</v>
      </c>
      <c r="AY149" s="290">
        <v>7453</v>
      </c>
      <c r="AZ149" s="290">
        <v>1414</v>
      </c>
      <c r="BA149" s="290">
        <v>636</v>
      </c>
      <c r="BB149" s="290">
        <v>0</v>
      </c>
      <c r="BC149" s="290">
        <v>6759.7354299999997</v>
      </c>
      <c r="BD149" s="290">
        <v>2488</v>
      </c>
      <c r="BE149" s="290">
        <v>745898.01800000004</v>
      </c>
      <c r="BF149" s="290">
        <v>0</v>
      </c>
      <c r="BG149" s="290">
        <v>1318</v>
      </c>
      <c r="BH149" s="290">
        <v>188</v>
      </c>
      <c r="BI149" s="290">
        <v>11292.0736</v>
      </c>
      <c r="BJ149" s="290">
        <v>0</v>
      </c>
      <c r="BK149" s="290">
        <f t="shared" si="2"/>
        <v>0</v>
      </c>
      <c r="BL149" s="290">
        <v>0</v>
      </c>
      <c r="BM149" s="290">
        <v>0</v>
      </c>
      <c r="BN149" s="290">
        <v>21016</v>
      </c>
      <c r="BO149" s="290">
        <v>5056</v>
      </c>
      <c r="BP149" s="290">
        <v>25</v>
      </c>
      <c r="BQ149" s="290">
        <v>2994</v>
      </c>
      <c r="BR149" s="290">
        <v>-14</v>
      </c>
      <c r="BS149" s="290">
        <v>442</v>
      </c>
      <c r="BT149" s="290">
        <v>0</v>
      </c>
      <c r="BU149" s="290">
        <v>0</v>
      </c>
      <c r="BV149" s="290">
        <v>424</v>
      </c>
      <c r="BW149" s="290"/>
      <c r="BX149" s="290"/>
      <c r="BY149" s="290"/>
    </row>
    <row r="150" spans="1:77" ht="13">
      <c r="A150" s="1">
        <v>3411</v>
      </c>
      <c r="B150" s="2" t="s">
        <v>826</v>
      </c>
      <c r="C150" s="289">
        <v>34768</v>
      </c>
      <c r="D150" s="290">
        <v>680</v>
      </c>
      <c r="E150" s="290">
        <v>1393</v>
      </c>
      <c r="F150" s="290">
        <v>4083</v>
      </c>
      <c r="G150" s="290">
        <v>2930</v>
      </c>
      <c r="H150" s="290">
        <v>19580</v>
      </c>
      <c r="I150" s="290">
        <v>4413</v>
      </c>
      <c r="J150" s="290">
        <v>1366</v>
      </c>
      <c r="K150" s="290">
        <v>301</v>
      </c>
      <c r="L150" s="290">
        <v>275</v>
      </c>
      <c r="M150" s="290">
        <v>2606</v>
      </c>
      <c r="N150" s="290">
        <v>502</v>
      </c>
      <c r="O150" s="290">
        <v>256</v>
      </c>
      <c r="P150" s="624">
        <v>158599.27333333</v>
      </c>
      <c r="Q150" s="624">
        <v>60039.06</v>
      </c>
      <c r="R150" s="624">
        <v>145</v>
      </c>
      <c r="S150" s="290">
        <v>0</v>
      </c>
      <c r="T150" s="290">
        <v>2799</v>
      </c>
      <c r="U150" s="958">
        <v>1.1800891643453496E-2</v>
      </c>
      <c r="V150" s="290">
        <v>8664.0298010700008</v>
      </c>
      <c r="W150" s="765">
        <v>0.59019805999999997</v>
      </c>
      <c r="X150" s="290">
        <v>1000</v>
      </c>
      <c r="Y150" s="290">
        <v>854.25360799999999</v>
      </c>
      <c r="Z150" s="290">
        <v>885530</v>
      </c>
      <c r="AA150" s="290">
        <v>255</v>
      </c>
      <c r="AB150" s="290">
        <v>880</v>
      </c>
      <c r="AC150" s="290">
        <v>5117.4440000000004</v>
      </c>
      <c r="AD150" s="290">
        <v>500</v>
      </c>
      <c r="AE150" s="290">
        <v>0</v>
      </c>
      <c r="AF150" s="290">
        <v>0</v>
      </c>
      <c r="AG150" s="290">
        <v>34746</v>
      </c>
      <c r="AH150" s="290">
        <v>5665.7465472200001</v>
      </c>
      <c r="AI150" s="290">
        <v>2850</v>
      </c>
      <c r="AJ150" s="290">
        <v>0</v>
      </c>
      <c r="AK150" s="290">
        <v>0</v>
      </c>
      <c r="AL150" s="290">
        <v>0</v>
      </c>
      <c r="AM150" s="957">
        <v>0.59023671</v>
      </c>
      <c r="AN150" s="290">
        <v>0</v>
      </c>
      <c r="AO150" s="290">
        <v>-4683.8999400000002</v>
      </c>
      <c r="AP150" s="290">
        <v>0</v>
      </c>
      <c r="AQ150" s="290">
        <v>0</v>
      </c>
      <c r="AR150" s="290">
        <v>-1871.6094000000001</v>
      </c>
      <c r="AS150" s="290">
        <v>6339</v>
      </c>
      <c r="AT150" s="290">
        <v>1944</v>
      </c>
      <c r="AU150" s="290">
        <v>274</v>
      </c>
      <c r="AV150" s="766">
        <v>826341</v>
      </c>
      <c r="AW150" s="290">
        <v>12765</v>
      </c>
      <c r="AX150" s="766">
        <v>225.20830000000001</v>
      </c>
      <c r="AY150" s="290">
        <v>6549</v>
      </c>
      <c r="AZ150" s="290">
        <v>1318</v>
      </c>
      <c r="BA150" s="290">
        <v>736</v>
      </c>
      <c r="BB150" s="290">
        <v>0</v>
      </c>
      <c r="BC150" s="290">
        <v>6284.5567300000002</v>
      </c>
      <c r="BD150" s="290">
        <v>2831</v>
      </c>
      <c r="BE150" s="290">
        <v>860909.68500000006</v>
      </c>
      <c r="BF150" s="290">
        <v>0</v>
      </c>
      <c r="BG150" s="290">
        <v>1516</v>
      </c>
      <c r="BH150" s="290">
        <v>216</v>
      </c>
      <c r="BI150" s="290">
        <v>11637.4442</v>
      </c>
      <c r="BJ150" s="290">
        <v>0</v>
      </c>
      <c r="BK150" s="290">
        <f t="shared" si="2"/>
        <v>0</v>
      </c>
      <c r="BL150" s="290">
        <v>0</v>
      </c>
      <c r="BM150" s="290">
        <v>0</v>
      </c>
      <c r="BN150" s="290">
        <v>23965</v>
      </c>
      <c r="BO150" s="290">
        <v>5832</v>
      </c>
      <c r="BP150" s="290">
        <v>28</v>
      </c>
      <c r="BQ150" s="290">
        <v>3357</v>
      </c>
      <c r="BR150" s="290">
        <v>-16</v>
      </c>
      <c r="BS150" s="290">
        <v>462</v>
      </c>
      <c r="BT150" s="290">
        <v>0</v>
      </c>
      <c r="BU150" s="290">
        <v>0</v>
      </c>
      <c r="BV150" s="290">
        <v>487</v>
      </c>
      <c r="BW150" s="290"/>
      <c r="BX150" s="290"/>
      <c r="BY150" s="290"/>
    </row>
    <row r="151" spans="1:77" ht="13">
      <c r="A151" s="1">
        <v>3412</v>
      </c>
      <c r="B151" s="2" t="s">
        <v>827</v>
      </c>
      <c r="C151" s="289">
        <v>7674</v>
      </c>
      <c r="D151" s="290">
        <v>141</v>
      </c>
      <c r="E151" s="290">
        <v>307</v>
      </c>
      <c r="F151" s="290">
        <v>884</v>
      </c>
      <c r="G151" s="290">
        <v>593</v>
      </c>
      <c r="H151" s="290">
        <v>4330</v>
      </c>
      <c r="I151" s="290">
        <v>1043</v>
      </c>
      <c r="J151" s="290">
        <v>285</v>
      </c>
      <c r="K151" s="290">
        <v>66</v>
      </c>
      <c r="L151" s="290">
        <v>65</v>
      </c>
      <c r="M151" s="290">
        <v>641</v>
      </c>
      <c r="N151" s="290">
        <v>121</v>
      </c>
      <c r="O151" s="290">
        <v>79</v>
      </c>
      <c r="P151" s="624">
        <v>29022.883999999998</v>
      </c>
      <c r="Q151" s="624">
        <v>13279.69333333</v>
      </c>
      <c r="R151" s="624">
        <v>33</v>
      </c>
      <c r="S151" s="290">
        <v>0</v>
      </c>
      <c r="T151" s="290">
        <v>623</v>
      </c>
      <c r="U151" s="958">
        <v>3.0401204866653746E-3</v>
      </c>
      <c r="V151" s="290">
        <v>-4028.51271847</v>
      </c>
      <c r="W151" s="765">
        <v>0.58525623999999998</v>
      </c>
      <c r="X151" s="290">
        <v>1000</v>
      </c>
      <c r="Y151" s="290">
        <v>427.12680399999999</v>
      </c>
      <c r="Z151" s="290">
        <v>173016</v>
      </c>
      <c r="AA151" s="290">
        <v>0</v>
      </c>
      <c r="AB151" s="290">
        <v>230</v>
      </c>
      <c r="AC151" s="290">
        <v>1110.4480000000001</v>
      </c>
      <c r="AD151" s="290">
        <v>333</v>
      </c>
      <c r="AE151" s="290">
        <v>0</v>
      </c>
      <c r="AF151" s="290">
        <v>0</v>
      </c>
      <c r="AG151" s="290">
        <v>7649</v>
      </c>
      <c r="AH151" s="290">
        <v>1212.3844532000001</v>
      </c>
      <c r="AI151" s="290">
        <v>1200</v>
      </c>
      <c r="AJ151" s="290">
        <v>0</v>
      </c>
      <c r="AK151" s="290">
        <v>0</v>
      </c>
      <c r="AL151" s="290">
        <v>0</v>
      </c>
      <c r="AM151" s="957">
        <v>0.14625221999999999</v>
      </c>
      <c r="AN151" s="290">
        <v>0</v>
      </c>
      <c r="AO151" s="290">
        <v>-1062.4446600000001</v>
      </c>
      <c r="AP151" s="290">
        <v>0</v>
      </c>
      <c r="AQ151" s="290">
        <v>0</v>
      </c>
      <c r="AR151" s="290">
        <v>-412.016932</v>
      </c>
      <c r="AS151" s="290">
        <v>1253</v>
      </c>
      <c r="AT151" s="290">
        <v>426</v>
      </c>
      <c r="AU151" s="290">
        <v>64</v>
      </c>
      <c r="AV151" s="766">
        <v>193757</v>
      </c>
      <c r="AW151" s="290">
        <v>1241</v>
      </c>
      <c r="AX151" s="766">
        <v>50.375050000000002</v>
      </c>
      <c r="AY151" s="290">
        <v>1354</v>
      </c>
      <c r="AZ151" s="290">
        <v>315</v>
      </c>
      <c r="BA151" s="290">
        <v>179</v>
      </c>
      <c r="BB151" s="290">
        <v>0</v>
      </c>
      <c r="BC151" s="290">
        <v>1572.4178400000001</v>
      </c>
      <c r="BD151" s="290">
        <v>680</v>
      </c>
      <c r="BE151" s="290">
        <v>197084.18599999999</v>
      </c>
      <c r="BF151" s="290">
        <v>0</v>
      </c>
      <c r="BG151" s="290">
        <v>351</v>
      </c>
      <c r="BH151" s="290">
        <v>50</v>
      </c>
      <c r="BI151" s="290">
        <v>2749.9592600000001</v>
      </c>
      <c r="BJ151" s="290">
        <v>0</v>
      </c>
      <c r="BK151" s="290">
        <f t="shared" si="2"/>
        <v>0</v>
      </c>
      <c r="BL151" s="290">
        <v>0</v>
      </c>
      <c r="BM151" s="290">
        <v>0</v>
      </c>
      <c r="BN151" s="290">
        <v>5436</v>
      </c>
      <c r="BO151" s="290">
        <v>1283</v>
      </c>
      <c r="BP151" s="290">
        <v>6</v>
      </c>
      <c r="BQ151" s="290">
        <v>742</v>
      </c>
      <c r="BR151" s="290">
        <v>-4</v>
      </c>
      <c r="BS151" s="290">
        <v>114</v>
      </c>
      <c r="BT151" s="290">
        <v>0</v>
      </c>
      <c r="BU151" s="290">
        <v>0</v>
      </c>
      <c r="BV151" s="290">
        <v>113</v>
      </c>
      <c r="BW151" s="290"/>
      <c r="BX151" s="290"/>
      <c r="BY151" s="290"/>
    </row>
    <row r="152" spans="1:77" ht="13">
      <c r="A152" s="1">
        <v>3413</v>
      </c>
      <c r="B152" s="4" t="s">
        <v>828</v>
      </c>
      <c r="C152" s="289">
        <v>21064</v>
      </c>
      <c r="D152" s="290">
        <v>418</v>
      </c>
      <c r="E152" s="290">
        <v>982</v>
      </c>
      <c r="F152" s="290">
        <v>2375</v>
      </c>
      <c r="G152" s="290">
        <v>1759</v>
      </c>
      <c r="H152" s="290">
        <v>11801</v>
      </c>
      <c r="I152" s="290">
        <v>2652</v>
      </c>
      <c r="J152" s="290">
        <v>801</v>
      </c>
      <c r="K152" s="290">
        <v>185</v>
      </c>
      <c r="L152" s="290">
        <v>166</v>
      </c>
      <c r="M152" s="290">
        <v>1530</v>
      </c>
      <c r="N152" s="290">
        <v>515</v>
      </c>
      <c r="O152" s="290">
        <v>172</v>
      </c>
      <c r="P152" s="624">
        <v>81361.444666669995</v>
      </c>
      <c r="Q152" s="624">
        <v>34374.908000000003</v>
      </c>
      <c r="R152" s="624">
        <v>100</v>
      </c>
      <c r="S152" s="290">
        <v>0</v>
      </c>
      <c r="T152" s="290">
        <v>1781</v>
      </c>
      <c r="U152" s="958">
        <v>5.9877834283384541E-3</v>
      </c>
      <c r="V152" s="290">
        <v>-18903.369875150001</v>
      </c>
      <c r="W152" s="765">
        <v>0.58473092000000004</v>
      </c>
      <c r="X152" s="290">
        <v>1000</v>
      </c>
      <c r="Y152" s="290">
        <v>427.12680399999999</v>
      </c>
      <c r="Z152" s="290">
        <v>521960</v>
      </c>
      <c r="AA152" s="290">
        <v>0</v>
      </c>
      <c r="AB152" s="290">
        <v>528</v>
      </c>
      <c r="AC152" s="290">
        <v>2931.3519999999999</v>
      </c>
      <c r="AD152" s="290">
        <v>333</v>
      </c>
      <c r="AE152" s="290">
        <v>0</v>
      </c>
      <c r="AF152" s="290">
        <v>0</v>
      </c>
      <c r="AG152" s="290">
        <v>20973</v>
      </c>
      <c r="AH152" s="290">
        <v>3441.2343453899998</v>
      </c>
      <c r="AI152" s="290">
        <v>1000</v>
      </c>
      <c r="AJ152" s="290">
        <v>0</v>
      </c>
      <c r="AK152" s="290">
        <v>0</v>
      </c>
      <c r="AL152" s="290">
        <v>0</v>
      </c>
      <c r="AM152" s="957">
        <v>0.46176012</v>
      </c>
      <c r="AN152" s="290">
        <v>0</v>
      </c>
      <c r="AO152" s="290">
        <v>-2902.81909</v>
      </c>
      <c r="AP152" s="290">
        <v>0</v>
      </c>
      <c r="AQ152" s="290">
        <v>0</v>
      </c>
      <c r="AR152" s="290">
        <v>-1129.72037</v>
      </c>
      <c r="AS152" s="290">
        <v>6258</v>
      </c>
      <c r="AT152" s="290">
        <v>1094</v>
      </c>
      <c r="AU152" s="290">
        <v>189</v>
      </c>
      <c r="AV152" s="766">
        <v>500597</v>
      </c>
      <c r="AW152" s="290">
        <v>2374</v>
      </c>
      <c r="AX152" s="766">
        <v>145.16665</v>
      </c>
      <c r="AY152" s="290">
        <v>4727</v>
      </c>
      <c r="AZ152" s="290">
        <v>977</v>
      </c>
      <c r="BA152" s="290">
        <v>414</v>
      </c>
      <c r="BB152" s="290">
        <v>0</v>
      </c>
      <c r="BC152" s="290">
        <v>3724.13429</v>
      </c>
      <c r="BD152" s="290">
        <v>1739</v>
      </c>
      <c r="BE152" s="290">
        <v>525920.08600000001</v>
      </c>
      <c r="BF152" s="290">
        <v>0</v>
      </c>
      <c r="BG152" s="290">
        <v>917</v>
      </c>
      <c r="BH152" s="290">
        <v>131</v>
      </c>
      <c r="BI152" s="290">
        <v>6799.7131499999996</v>
      </c>
      <c r="BJ152" s="290">
        <v>0</v>
      </c>
      <c r="BK152" s="290">
        <f t="shared" si="2"/>
        <v>0</v>
      </c>
      <c r="BL152" s="290">
        <v>0</v>
      </c>
      <c r="BM152" s="290">
        <v>0</v>
      </c>
      <c r="BN152" s="290">
        <v>14852</v>
      </c>
      <c r="BO152" s="290">
        <v>3864</v>
      </c>
      <c r="BP152" s="290">
        <v>20</v>
      </c>
      <c r="BQ152" s="290">
        <v>2033</v>
      </c>
      <c r="BR152" s="290">
        <v>-10</v>
      </c>
      <c r="BS152" s="290">
        <v>331</v>
      </c>
      <c r="BT152" s="290">
        <v>0</v>
      </c>
      <c r="BU152" s="290">
        <v>0</v>
      </c>
      <c r="BV152" s="290">
        <v>295</v>
      </c>
      <c r="BW152" s="290"/>
      <c r="BX152" s="290"/>
      <c r="BY152" s="290"/>
    </row>
    <row r="153" spans="1:77" ht="13">
      <c r="A153" s="1">
        <v>3414</v>
      </c>
      <c r="B153" s="2" t="s">
        <v>829</v>
      </c>
      <c r="C153" s="289">
        <v>5016</v>
      </c>
      <c r="D153" s="290">
        <v>54</v>
      </c>
      <c r="E153" s="290">
        <v>154</v>
      </c>
      <c r="F153" s="290">
        <v>529</v>
      </c>
      <c r="G153" s="290">
        <v>410</v>
      </c>
      <c r="H153" s="290">
        <v>2761</v>
      </c>
      <c r="I153" s="290">
        <v>813</v>
      </c>
      <c r="J153" s="290">
        <v>269</v>
      </c>
      <c r="K153" s="290">
        <v>47</v>
      </c>
      <c r="L153" s="290">
        <v>48</v>
      </c>
      <c r="M153" s="290">
        <v>516</v>
      </c>
      <c r="N153" s="290">
        <v>14</v>
      </c>
      <c r="O153" s="290">
        <v>20</v>
      </c>
      <c r="P153" s="624">
        <v>22066.688333329999</v>
      </c>
      <c r="Q153" s="624">
        <v>13949.989333330001</v>
      </c>
      <c r="R153" s="624">
        <v>38</v>
      </c>
      <c r="S153" s="290">
        <v>0</v>
      </c>
      <c r="T153" s="290">
        <v>458</v>
      </c>
      <c r="U153" s="958">
        <v>2.6870885778544603E-3</v>
      </c>
      <c r="V153" s="290">
        <v>1895.51400633</v>
      </c>
      <c r="W153" s="765">
        <v>0.70076656999999998</v>
      </c>
      <c r="X153" s="290">
        <v>2000</v>
      </c>
      <c r="Y153" s="290">
        <v>427.12680399999999</v>
      </c>
      <c r="Z153" s="290">
        <v>111733</v>
      </c>
      <c r="AA153" s="290">
        <v>0</v>
      </c>
      <c r="AB153" s="290">
        <v>168</v>
      </c>
      <c r="AC153" s="290">
        <v>726.08100000000002</v>
      </c>
      <c r="AD153" s="290">
        <v>333</v>
      </c>
      <c r="AE153" s="290">
        <v>0</v>
      </c>
      <c r="AF153" s="290">
        <v>0</v>
      </c>
      <c r="AG153" s="290">
        <v>5037</v>
      </c>
      <c r="AH153" s="290">
        <v>706.32057886999996</v>
      </c>
      <c r="AI153" s="290">
        <v>500</v>
      </c>
      <c r="AJ153" s="290">
        <v>0</v>
      </c>
      <c r="AK153" s="290">
        <v>0</v>
      </c>
      <c r="AL153" s="290">
        <v>0</v>
      </c>
      <c r="AM153" s="957">
        <v>8.7636749999999999E-2</v>
      </c>
      <c r="AN153" s="290">
        <v>5651</v>
      </c>
      <c r="AO153" s="290">
        <v>-747.99301400000002</v>
      </c>
      <c r="AP153" s="290">
        <v>0</v>
      </c>
      <c r="AQ153" s="290">
        <v>0</v>
      </c>
      <c r="AR153" s="290">
        <v>2182.7873300000001</v>
      </c>
      <c r="AS153" s="290">
        <v>556</v>
      </c>
      <c r="AT153" s="290">
        <v>274</v>
      </c>
      <c r="AU153" s="290">
        <v>39</v>
      </c>
      <c r="AV153" s="766">
        <v>159964</v>
      </c>
      <c r="AW153" s="290">
        <v>1746</v>
      </c>
      <c r="AX153" s="766">
        <v>18.500050000000002</v>
      </c>
      <c r="AY153" s="290">
        <v>716</v>
      </c>
      <c r="AZ153" s="290">
        <v>207</v>
      </c>
      <c r="BA153" s="290">
        <v>103</v>
      </c>
      <c r="BB153" s="290">
        <v>0</v>
      </c>
      <c r="BC153" s="290">
        <v>-482.456414</v>
      </c>
      <c r="BD153" s="290">
        <v>487</v>
      </c>
      <c r="BE153" s="290">
        <v>160713.91500000001</v>
      </c>
      <c r="BF153" s="290">
        <v>0</v>
      </c>
      <c r="BG153" s="290">
        <v>258</v>
      </c>
      <c r="BH153" s="290">
        <v>37</v>
      </c>
      <c r="BI153" s="290">
        <v>1859.52838</v>
      </c>
      <c r="BJ153" s="290">
        <v>0</v>
      </c>
      <c r="BK153" s="290">
        <f t="shared" si="2"/>
        <v>0</v>
      </c>
      <c r="BL153" s="290">
        <v>0</v>
      </c>
      <c r="BM153" s="290">
        <v>0</v>
      </c>
      <c r="BN153" s="290">
        <v>3827</v>
      </c>
      <c r="BO153" s="290">
        <v>679</v>
      </c>
      <c r="BP153" s="290">
        <v>3</v>
      </c>
      <c r="BQ153" s="290">
        <v>486</v>
      </c>
      <c r="BR153" s="290">
        <v>-2</v>
      </c>
      <c r="BS153" s="290">
        <v>50</v>
      </c>
      <c r="BT153" s="290">
        <v>0</v>
      </c>
      <c r="BU153" s="290">
        <v>0</v>
      </c>
      <c r="BV153" s="290">
        <v>83</v>
      </c>
      <c r="BW153" s="290"/>
      <c r="BX153" s="290"/>
      <c r="BY153" s="290"/>
    </row>
    <row r="154" spans="1:77" ht="13">
      <c r="A154" s="1">
        <v>3415</v>
      </c>
      <c r="B154" s="2" t="s">
        <v>830</v>
      </c>
      <c r="C154" s="289">
        <v>7905</v>
      </c>
      <c r="D154" s="290">
        <v>138</v>
      </c>
      <c r="E154" s="290">
        <v>268</v>
      </c>
      <c r="F154" s="290">
        <v>823</v>
      </c>
      <c r="G154" s="290">
        <v>650</v>
      </c>
      <c r="H154" s="290">
        <v>4572</v>
      </c>
      <c r="I154" s="290">
        <v>1061</v>
      </c>
      <c r="J154" s="290">
        <v>318</v>
      </c>
      <c r="K154" s="290">
        <v>71</v>
      </c>
      <c r="L154" s="290">
        <v>77</v>
      </c>
      <c r="M154" s="290">
        <v>666</v>
      </c>
      <c r="N154" s="290">
        <v>53</v>
      </c>
      <c r="O154" s="290">
        <v>61</v>
      </c>
      <c r="P154" s="624">
        <v>48028.930999999997</v>
      </c>
      <c r="Q154" s="624">
        <v>26910.16466667</v>
      </c>
      <c r="R154" s="624">
        <v>27</v>
      </c>
      <c r="S154" s="290">
        <v>0</v>
      </c>
      <c r="T154" s="290">
        <v>677</v>
      </c>
      <c r="U154" s="958">
        <v>3.7837622684015054E-3</v>
      </c>
      <c r="V154" s="290">
        <v>2853.4420359699998</v>
      </c>
      <c r="W154" s="765">
        <v>0.64339078999999999</v>
      </c>
      <c r="X154" s="290">
        <v>1000</v>
      </c>
      <c r="Y154" s="290">
        <v>427.12680399999999</v>
      </c>
      <c r="Z154" s="290">
        <v>194910</v>
      </c>
      <c r="AA154" s="290">
        <v>200</v>
      </c>
      <c r="AB154" s="290">
        <v>218</v>
      </c>
      <c r="AC154" s="290">
        <v>1101.2</v>
      </c>
      <c r="AD154" s="290">
        <v>333</v>
      </c>
      <c r="AE154" s="290">
        <v>0</v>
      </c>
      <c r="AF154" s="290">
        <v>0</v>
      </c>
      <c r="AG154" s="290">
        <v>7901</v>
      </c>
      <c r="AH154" s="290">
        <v>1156.7174270200001</v>
      </c>
      <c r="AI154" s="290">
        <v>400</v>
      </c>
      <c r="AJ154" s="290">
        <v>0</v>
      </c>
      <c r="AK154" s="290">
        <v>0</v>
      </c>
      <c r="AL154" s="290">
        <v>0</v>
      </c>
      <c r="AM154" s="957">
        <v>0.13919744000000001</v>
      </c>
      <c r="AN154" s="290">
        <v>4140</v>
      </c>
      <c r="AO154" s="290">
        <v>-1064.5835300000001</v>
      </c>
      <c r="AP154" s="290">
        <v>0</v>
      </c>
      <c r="AQ154" s="290">
        <v>0</v>
      </c>
      <c r="AR154" s="290">
        <v>2302.80132</v>
      </c>
      <c r="AS154" s="290">
        <v>2805</v>
      </c>
      <c r="AT154" s="290">
        <v>522</v>
      </c>
      <c r="AU154" s="290">
        <v>62</v>
      </c>
      <c r="AV154" s="766">
        <v>197437</v>
      </c>
      <c r="AW154" s="290">
        <v>9023</v>
      </c>
      <c r="AX154" s="766">
        <v>53.874949999999998</v>
      </c>
      <c r="AY154" s="290">
        <v>1260</v>
      </c>
      <c r="AZ154" s="290">
        <v>267</v>
      </c>
      <c r="BA154" s="290">
        <v>146</v>
      </c>
      <c r="BB154" s="290">
        <v>0</v>
      </c>
      <c r="BC154" s="290">
        <v>-540.43911600000001</v>
      </c>
      <c r="BD154" s="290">
        <v>708</v>
      </c>
      <c r="BE154" s="290">
        <v>201398.43</v>
      </c>
      <c r="BF154" s="290">
        <v>0</v>
      </c>
      <c r="BG154" s="290">
        <v>378</v>
      </c>
      <c r="BH154" s="290">
        <v>54</v>
      </c>
      <c r="BI154" s="290">
        <v>2685.04423</v>
      </c>
      <c r="BJ154" s="290">
        <v>0</v>
      </c>
      <c r="BK154" s="290">
        <f t="shared" si="2"/>
        <v>0</v>
      </c>
      <c r="BL154" s="290">
        <v>0</v>
      </c>
      <c r="BM154" s="290">
        <v>0</v>
      </c>
      <c r="BN154" s="290">
        <v>5447</v>
      </c>
      <c r="BO154" s="290">
        <v>1181</v>
      </c>
      <c r="BP154" s="290">
        <v>6</v>
      </c>
      <c r="BQ154" s="290">
        <v>767</v>
      </c>
      <c r="BR154" s="290">
        <v>-4</v>
      </c>
      <c r="BS154" s="290">
        <v>94</v>
      </c>
      <c r="BT154" s="290">
        <v>0</v>
      </c>
      <c r="BU154" s="290">
        <v>0</v>
      </c>
      <c r="BV154" s="290">
        <v>121</v>
      </c>
      <c r="BW154" s="290"/>
      <c r="BX154" s="290"/>
      <c r="BY154" s="290"/>
    </row>
    <row r="155" spans="1:77" ht="13">
      <c r="A155" s="1">
        <v>3416</v>
      </c>
      <c r="B155" s="2" t="s">
        <v>831</v>
      </c>
      <c r="C155" s="289">
        <v>6106</v>
      </c>
      <c r="D155" s="290">
        <v>82</v>
      </c>
      <c r="E155" s="290">
        <v>185</v>
      </c>
      <c r="F155" s="290">
        <v>556</v>
      </c>
      <c r="G155" s="290">
        <v>502</v>
      </c>
      <c r="H155" s="290">
        <v>3435</v>
      </c>
      <c r="I155" s="290">
        <v>965</v>
      </c>
      <c r="J155" s="290">
        <v>294</v>
      </c>
      <c r="K155" s="290">
        <v>94</v>
      </c>
      <c r="L155" s="290">
        <v>57</v>
      </c>
      <c r="M155" s="290">
        <v>692</v>
      </c>
      <c r="N155" s="290">
        <v>54</v>
      </c>
      <c r="O155" s="290">
        <v>21</v>
      </c>
      <c r="P155" s="624">
        <v>35025.297666669998</v>
      </c>
      <c r="Q155" s="624">
        <v>12172.962666670001</v>
      </c>
      <c r="R155" s="624">
        <v>62</v>
      </c>
      <c r="S155" s="290">
        <v>0</v>
      </c>
      <c r="T155" s="290">
        <v>640</v>
      </c>
      <c r="U155" s="958">
        <v>3.4654760714444076E-3</v>
      </c>
      <c r="V155" s="290">
        <v>-2231.69141519</v>
      </c>
      <c r="W155" s="765">
        <v>0.65331335999999995</v>
      </c>
      <c r="X155" s="290">
        <v>2000</v>
      </c>
      <c r="Y155" s="290">
        <v>427.12680399999999</v>
      </c>
      <c r="Z155" s="290">
        <v>135252</v>
      </c>
      <c r="AA155" s="290">
        <v>0</v>
      </c>
      <c r="AB155" s="290">
        <v>238</v>
      </c>
      <c r="AC155" s="290">
        <v>801.03099999999995</v>
      </c>
      <c r="AD155" s="290">
        <v>333</v>
      </c>
      <c r="AE155" s="290">
        <v>0</v>
      </c>
      <c r="AF155" s="290">
        <v>0</v>
      </c>
      <c r="AG155" s="290">
        <v>6113</v>
      </c>
      <c r="AH155" s="290">
        <v>806.81040535</v>
      </c>
      <c r="AI155" s="290">
        <v>0</v>
      </c>
      <c r="AJ155" s="290">
        <v>372</v>
      </c>
      <c r="AK155" s="290">
        <v>0</v>
      </c>
      <c r="AL155" s="290">
        <v>0</v>
      </c>
      <c r="AM155" s="957">
        <v>0.20630119</v>
      </c>
      <c r="AN155" s="290">
        <v>8316</v>
      </c>
      <c r="AO155" s="290">
        <v>-934.68218200000001</v>
      </c>
      <c r="AP155" s="290">
        <v>0</v>
      </c>
      <c r="AQ155" s="290">
        <v>0</v>
      </c>
      <c r="AR155" s="290">
        <v>-329.27958000000001</v>
      </c>
      <c r="AS155" s="290">
        <v>2852</v>
      </c>
      <c r="AT155" s="290">
        <v>443</v>
      </c>
      <c r="AU155" s="290">
        <v>64</v>
      </c>
      <c r="AV155" s="766">
        <v>195888</v>
      </c>
      <c r="AW155" s="290">
        <v>525</v>
      </c>
      <c r="AX155" s="766">
        <v>23.624949999999998</v>
      </c>
      <c r="AY155" s="290">
        <v>841</v>
      </c>
      <c r="AZ155" s="290">
        <v>272</v>
      </c>
      <c r="BA155" s="290">
        <v>153</v>
      </c>
      <c r="BB155" s="290">
        <v>0</v>
      </c>
      <c r="BC155" s="290">
        <v>-737.24876900000004</v>
      </c>
      <c r="BD155" s="290">
        <v>566</v>
      </c>
      <c r="BE155" s="290">
        <v>202083.128</v>
      </c>
      <c r="BF155" s="290">
        <v>0</v>
      </c>
      <c r="BG155" s="290">
        <v>303</v>
      </c>
      <c r="BH155" s="290">
        <v>43</v>
      </c>
      <c r="BI155" s="290">
        <v>2034.96821</v>
      </c>
      <c r="BJ155" s="290">
        <v>0</v>
      </c>
      <c r="BK155" s="290">
        <f t="shared" si="2"/>
        <v>0</v>
      </c>
      <c r="BL155" s="290">
        <v>0</v>
      </c>
      <c r="BM155" s="290">
        <v>0</v>
      </c>
      <c r="BN155" s="290">
        <v>4782</v>
      </c>
      <c r="BO155" s="290">
        <v>780</v>
      </c>
      <c r="BP155" s="290">
        <v>4</v>
      </c>
      <c r="BQ155" s="290">
        <v>591</v>
      </c>
      <c r="BR155" s="290">
        <v>-3</v>
      </c>
      <c r="BS155" s="290">
        <v>87</v>
      </c>
      <c r="BT155" s="290">
        <v>0</v>
      </c>
      <c r="BU155" s="290">
        <v>0</v>
      </c>
      <c r="BV155" s="290">
        <v>97</v>
      </c>
      <c r="BW155" s="290"/>
      <c r="BX155" s="290"/>
      <c r="BY155" s="290"/>
    </row>
    <row r="156" spans="1:77" ht="13">
      <c r="A156" s="1">
        <v>3417</v>
      </c>
      <c r="B156" s="2" t="s">
        <v>832</v>
      </c>
      <c r="C156" s="289">
        <v>4612</v>
      </c>
      <c r="D156" s="290">
        <v>39</v>
      </c>
      <c r="E156" s="290">
        <v>113</v>
      </c>
      <c r="F156" s="290">
        <v>410</v>
      </c>
      <c r="G156" s="290">
        <v>339</v>
      </c>
      <c r="H156" s="290">
        <v>2525</v>
      </c>
      <c r="I156" s="290">
        <v>858</v>
      </c>
      <c r="J156" s="290">
        <v>257</v>
      </c>
      <c r="K156" s="290">
        <v>85</v>
      </c>
      <c r="L156" s="290">
        <v>41</v>
      </c>
      <c r="M156" s="290">
        <v>591</v>
      </c>
      <c r="N156" s="290">
        <v>68</v>
      </c>
      <c r="O156" s="290">
        <v>31</v>
      </c>
      <c r="P156" s="624">
        <v>34328.024333330002</v>
      </c>
      <c r="Q156" s="624">
        <v>15050.508</v>
      </c>
      <c r="R156" s="624">
        <v>29</v>
      </c>
      <c r="S156" s="290">
        <v>0</v>
      </c>
      <c r="T156" s="290">
        <v>481</v>
      </c>
      <c r="U156" s="958">
        <v>3.8093641935206726E-3</v>
      </c>
      <c r="V156" s="290">
        <v>1353.8656663100001</v>
      </c>
      <c r="W156" s="765">
        <v>0.70411299999999999</v>
      </c>
      <c r="X156" s="290">
        <v>2500</v>
      </c>
      <c r="Y156" s="290">
        <v>427.12680399999999</v>
      </c>
      <c r="Z156" s="290">
        <v>113051</v>
      </c>
      <c r="AA156" s="290">
        <v>1025</v>
      </c>
      <c r="AB156" s="290">
        <v>135</v>
      </c>
      <c r="AC156" s="290">
        <v>627.66399999999999</v>
      </c>
      <c r="AD156" s="290">
        <v>333</v>
      </c>
      <c r="AE156" s="290">
        <v>0</v>
      </c>
      <c r="AF156" s="290">
        <v>0</v>
      </c>
      <c r="AG156" s="290">
        <v>4626</v>
      </c>
      <c r="AH156" s="290">
        <v>547.99488105</v>
      </c>
      <c r="AI156" s="290">
        <v>0</v>
      </c>
      <c r="AJ156" s="290">
        <v>0</v>
      </c>
      <c r="AK156" s="290">
        <v>9.4139999999999997</v>
      </c>
      <c r="AL156" s="290">
        <v>0</v>
      </c>
      <c r="AM156" s="957">
        <v>0.21058648999999999</v>
      </c>
      <c r="AN156" s="290">
        <v>6625</v>
      </c>
      <c r="AO156" s="290">
        <v>-706.96338900000001</v>
      </c>
      <c r="AP156" s="290">
        <v>0</v>
      </c>
      <c r="AQ156" s="290">
        <v>0</v>
      </c>
      <c r="AR156" s="290">
        <v>2166.6389899999999</v>
      </c>
      <c r="AS156" s="290">
        <v>902</v>
      </c>
      <c r="AT156" s="290">
        <v>311</v>
      </c>
      <c r="AU156" s="290">
        <v>58</v>
      </c>
      <c r="AV156" s="766">
        <v>156762</v>
      </c>
      <c r="AW156" s="290">
        <v>235</v>
      </c>
      <c r="AX156" s="766">
        <v>14.00005</v>
      </c>
      <c r="AY156" s="290">
        <v>717</v>
      </c>
      <c r="AZ156" s="290">
        <v>252</v>
      </c>
      <c r="BA156" s="290">
        <v>86</v>
      </c>
      <c r="BB156" s="290">
        <v>0</v>
      </c>
      <c r="BC156" s="290">
        <v>-720.19175199999995</v>
      </c>
      <c r="BD156" s="290">
        <v>453</v>
      </c>
      <c r="BE156" s="290">
        <v>157217.155</v>
      </c>
      <c r="BF156" s="290">
        <v>0</v>
      </c>
      <c r="BG156" s="290">
        <v>252</v>
      </c>
      <c r="BH156" s="290">
        <v>36</v>
      </c>
      <c r="BI156" s="290">
        <v>1612.1996899999999</v>
      </c>
      <c r="BJ156" s="290">
        <v>0</v>
      </c>
      <c r="BK156" s="290">
        <f t="shared" si="2"/>
        <v>0</v>
      </c>
      <c r="BL156" s="290">
        <v>0</v>
      </c>
      <c r="BM156" s="290">
        <v>0</v>
      </c>
      <c r="BN156" s="290">
        <v>3617</v>
      </c>
      <c r="BO156" s="290">
        <v>533</v>
      </c>
      <c r="BP156" s="290">
        <v>2</v>
      </c>
      <c r="BQ156" s="290">
        <v>450</v>
      </c>
      <c r="BR156" s="290">
        <v>-2</v>
      </c>
      <c r="BS156" s="290">
        <v>68</v>
      </c>
      <c r="BT156" s="290">
        <v>0</v>
      </c>
      <c r="BU156" s="290">
        <v>0</v>
      </c>
      <c r="BV156" s="290">
        <v>81</v>
      </c>
      <c r="BW156" s="290"/>
      <c r="BX156" s="290"/>
      <c r="BY156" s="290"/>
    </row>
    <row r="157" spans="1:77" ht="13">
      <c r="A157" s="1">
        <v>3418</v>
      </c>
      <c r="B157" s="2" t="s">
        <v>833</v>
      </c>
      <c r="C157" s="289">
        <v>7203</v>
      </c>
      <c r="D157" s="290">
        <v>110</v>
      </c>
      <c r="E157" s="290">
        <v>237</v>
      </c>
      <c r="F157" s="290">
        <v>674</v>
      </c>
      <c r="G157" s="290">
        <v>548</v>
      </c>
      <c r="H157" s="290">
        <v>3916</v>
      </c>
      <c r="I157" s="290">
        <v>1248</v>
      </c>
      <c r="J157" s="290">
        <v>401</v>
      </c>
      <c r="K157" s="290">
        <v>87</v>
      </c>
      <c r="L157" s="290">
        <v>74</v>
      </c>
      <c r="M157" s="290">
        <v>840</v>
      </c>
      <c r="N157" s="290">
        <v>74</v>
      </c>
      <c r="O157" s="290">
        <v>43</v>
      </c>
      <c r="P157" s="624">
        <v>35186.686999999998</v>
      </c>
      <c r="Q157" s="624">
        <v>25855.101999999999</v>
      </c>
      <c r="R157" s="624">
        <v>48</v>
      </c>
      <c r="S157" s="290">
        <v>0</v>
      </c>
      <c r="T157" s="290">
        <v>753</v>
      </c>
      <c r="U157" s="958">
        <v>6.423832038765548E-3</v>
      </c>
      <c r="V157" s="290">
        <v>2322.1091581000001</v>
      </c>
      <c r="W157" s="765">
        <v>0.66066773000000001</v>
      </c>
      <c r="X157" s="290">
        <v>2000</v>
      </c>
      <c r="Y157" s="290">
        <v>427.12680399999999</v>
      </c>
      <c r="Z157" s="290">
        <v>162820</v>
      </c>
      <c r="AA157" s="290">
        <v>595</v>
      </c>
      <c r="AB157" s="290">
        <v>266</v>
      </c>
      <c r="AC157" s="290">
        <v>1840.4860000000001</v>
      </c>
      <c r="AD157" s="290">
        <v>333</v>
      </c>
      <c r="AE157" s="290">
        <v>0</v>
      </c>
      <c r="AF157" s="290">
        <v>0</v>
      </c>
      <c r="AG157" s="290">
        <v>7221</v>
      </c>
      <c r="AH157" s="290">
        <v>977.42622583000002</v>
      </c>
      <c r="AI157" s="290">
        <v>0</v>
      </c>
      <c r="AJ157" s="290">
        <v>0</v>
      </c>
      <c r="AK157" s="290">
        <v>0</v>
      </c>
      <c r="AL157" s="290">
        <v>0</v>
      </c>
      <c r="AM157" s="957">
        <v>0.18411109000000001</v>
      </c>
      <c r="AN157" s="290">
        <v>9584</v>
      </c>
      <c r="AO157" s="290">
        <v>-1087.08422</v>
      </c>
      <c r="AP157" s="290">
        <v>0</v>
      </c>
      <c r="AQ157" s="290">
        <v>0</v>
      </c>
      <c r="AR157" s="290">
        <v>5788.3395099999998</v>
      </c>
      <c r="AS157" s="290">
        <v>4225</v>
      </c>
      <c r="AT157" s="290">
        <v>456</v>
      </c>
      <c r="AU157" s="290">
        <v>68</v>
      </c>
      <c r="AV157" s="766">
        <v>234773</v>
      </c>
      <c r="AW157" s="290">
        <v>1704</v>
      </c>
      <c r="AX157" s="766">
        <v>37.708300000000001</v>
      </c>
      <c r="AY157" s="290">
        <v>1134</v>
      </c>
      <c r="AZ157" s="290">
        <v>309</v>
      </c>
      <c r="BA157" s="290">
        <v>147</v>
      </c>
      <c r="BB157" s="290">
        <v>0</v>
      </c>
      <c r="BC157" s="290">
        <v>-1484.74821</v>
      </c>
      <c r="BD157" s="290">
        <v>653</v>
      </c>
      <c r="BE157" s="290">
        <v>237104.52799999999</v>
      </c>
      <c r="BF157" s="290">
        <v>0</v>
      </c>
      <c r="BG157" s="290">
        <v>368</v>
      </c>
      <c r="BH157" s="290">
        <v>53</v>
      </c>
      <c r="BI157" s="290">
        <v>3245.0390299999999</v>
      </c>
      <c r="BJ157" s="290">
        <v>0</v>
      </c>
      <c r="BK157" s="290">
        <f t="shared" si="2"/>
        <v>0</v>
      </c>
      <c r="BL157" s="290">
        <v>0</v>
      </c>
      <c r="BM157" s="290">
        <v>0</v>
      </c>
      <c r="BN157" s="290">
        <v>5562</v>
      </c>
      <c r="BO157" s="290">
        <v>1003</v>
      </c>
      <c r="BP157" s="290">
        <v>5</v>
      </c>
      <c r="BQ157" s="290">
        <v>699</v>
      </c>
      <c r="BR157" s="290">
        <v>-3</v>
      </c>
      <c r="BS157" s="290">
        <v>107</v>
      </c>
      <c r="BT157" s="290">
        <v>0</v>
      </c>
      <c r="BU157" s="290">
        <v>0</v>
      </c>
      <c r="BV157" s="290">
        <v>118</v>
      </c>
      <c r="BW157" s="290"/>
      <c r="BX157" s="290"/>
      <c r="BY157" s="290"/>
    </row>
    <row r="158" spans="1:77" ht="13">
      <c r="A158" s="1">
        <v>3419</v>
      </c>
      <c r="B158" s="2" t="s">
        <v>799</v>
      </c>
      <c r="C158" s="289">
        <v>3662</v>
      </c>
      <c r="D158" s="290">
        <v>54</v>
      </c>
      <c r="E158" s="290">
        <v>115</v>
      </c>
      <c r="F158" s="290">
        <v>344</v>
      </c>
      <c r="G158" s="290">
        <v>263</v>
      </c>
      <c r="H158" s="290">
        <v>2025</v>
      </c>
      <c r="I158" s="290">
        <v>630</v>
      </c>
      <c r="J158" s="290">
        <v>198</v>
      </c>
      <c r="K158" s="290">
        <v>52</v>
      </c>
      <c r="L158" s="290">
        <v>36</v>
      </c>
      <c r="M158" s="290">
        <v>392</v>
      </c>
      <c r="N158" s="290">
        <v>11</v>
      </c>
      <c r="O158" s="290">
        <v>26</v>
      </c>
      <c r="P158" s="624">
        <v>21355.879000000001</v>
      </c>
      <c r="Q158" s="624">
        <v>17641.07</v>
      </c>
      <c r="R158" s="624">
        <v>20</v>
      </c>
      <c r="S158" s="290">
        <v>0</v>
      </c>
      <c r="T158" s="290">
        <v>392</v>
      </c>
      <c r="U158" s="958">
        <v>3.0712117132436134E-3</v>
      </c>
      <c r="V158" s="290">
        <v>1776.37232384</v>
      </c>
      <c r="W158" s="765">
        <v>0.70998872000000002</v>
      </c>
      <c r="X158" s="290">
        <v>1500</v>
      </c>
      <c r="Y158" s="290">
        <v>0</v>
      </c>
      <c r="Z158" s="290">
        <v>83140</v>
      </c>
      <c r="AA158" s="290">
        <v>0</v>
      </c>
      <c r="AB158" s="290">
        <v>151</v>
      </c>
      <c r="AC158" s="290">
        <v>512.44600000000003</v>
      </c>
      <c r="AD158" s="290">
        <v>333</v>
      </c>
      <c r="AE158" s="290">
        <v>0</v>
      </c>
      <c r="AF158" s="290">
        <v>0</v>
      </c>
      <c r="AG158" s="290">
        <v>3681</v>
      </c>
      <c r="AH158" s="290">
        <v>480.76068061000001</v>
      </c>
      <c r="AI158" s="290">
        <v>1100</v>
      </c>
      <c r="AJ158" s="290">
        <v>427</v>
      </c>
      <c r="AK158" s="290">
        <v>21.099</v>
      </c>
      <c r="AL158" s="290">
        <v>0</v>
      </c>
      <c r="AM158" s="957">
        <v>9.3016660000000001E-2</v>
      </c>
      <c r="AN158" s="290">
        <v>5541</v>
      </c>
      <c r="AO158" s="290">
        <v>-561.25986999999998</v>
      </c>
      <c r="AP158" s="290">
        <v>0</v>
      </c>
      <c r="AQ158" s="290">
        <v>0</v>
      </c>
      <c r="AR158" s="290">
        <v>-198.278772</v>
      </c>
      <c r="AS158" s="290">
        <v>1847</v>
      </c>
      <c r="AT158" s="290">
        <v>202</v>
      </c>
      <c r="AU158" s="290">
        <v>43</v>
      </c>
      <c r="AV158" s="766">
        <v>119272</v>
      </c>
      <c r="AW158" s="290">
        <v>3584</v>
      </c>
      <c r="AX158" s="766">
        <v>17.625</v>
      </c>
      <c r="AY158" s="290">
        <v>570</v>
      </c>
      <c r="AZ158" s="290">
        <v>147</v>
      </c>
      <c r="BA158" s="290">
        <v>77</v>
      </c>
      <c r="BB158" s="290">
        <v>0</v>
      </c>
      <c r="BC158" s="290">
        <v>-322.59777000000003</v>
      </c>
      <c r="BD158" s="290">
        <v>381</v>
      </c>
      <c r="BE158" s="290">
        <v>124797.43700000001</v>
      </c>
      <c r="BF158" s="290">
        <v>0</v>
      </c>
      <c r="BG158" s="290">
        <v>206</v>
      </c>
      <c r="BH158" s="290">
        <v>29</v>
      </c>
      <c r="BI158" s="290">
        <v>1014.3056800000001</v>
      </c>
      <c r="BJ158" s="290">
        <v>0</v>
      </c>
      <c r="BK158" s="290">
        <f t="shared" si="2"/>
        <v>0</v>
      </c>
      <c r="BL158" s="290">
        <v>0</v>
      </c>
      <c r="BM158" s="290">
        <v>0</v>
      </c>
      <c r="BN158" s="290">
        <v>2872</v>
      </c>
      <c r="BO158" s="290">
        <v>504</v>
      </c>
      <c r="BP158" s="290">
        <v>2</v>
      </c>
      <c r="BQ158" s="290">
        <v>359</v>
      </c>
      <c r="BR158" s="290">
        <v>-2</v>
      </c>
      <c r="BS158" s="290">
        <v>62</v>
      </c>
      <c r="BT158" s="290">
        <v>0</v>
      </c>
      <c r="BU158" s="290">
        <v>0</v>
      </c>
      <c r="BV158" s="290">
        <v>66</v>
      </c>
      <c r="BW158" s="290"/>
      <c r="BX158" s="290"/>
      <c r="BY158" s="290"/>
    </row>
    <row r="159" spans="1:77" ht="13">
      <c r="A159" s="1">
        <v>3420</v>
      </c>
      <c r="B159" s="2" t="s">
        <v>834</v>
      </c>
      <c r="C159" s="289">
        <v>21254</v>
      </c>
      <c r="D159" s="290">
        <v>397</v>
      </c>
      <c r="E159" s="290">
        <v>872</v>
      </c>
      <c r="F159" s="290">
        <v>2513</v>
      </c>
      <c r="G159" s="290">
        <v>1771</v>
      </c>
      <c r="H159" s="290">
        <v>11865</v>
      </c>
      <c r="I159" s="290">
        <v>2719</v>
      </c>
      <c r="J159" s="290">
        <v>826</v>
      </c>
      <c r="K159" s="290">
        <v>195</v>
      </c>
      <c r="L159" s="290">
        <v>179</v>
      </c>
      <c r="M159" s="290">
        <v>1776</v>
      </c>
      <c r="N159" s="290">
        <v>583</v>
      </c>
      <c r="O159" s="290">
        <v>235</v>
      </c>
      <c r="P159" s="624">
        <v>61448.221333330002</v>
      </c>
      <c r="Q159" s="624">
        <v>43398.283000000003</v>
      </c>
      <c r="R159" s="624">
        <v>66</v>
      </c>
      <c r="S159" s="290">
        <v>0</v>
      </c>
      <c r="T159" s="290">
        <v>1855</v>
      </c>
      <c r="U159" s="958">
        <v>4.1612948704233882E-3</v>
      </c>
      <c r="V159" s="290">
        <v>9679.7972816700003</v>
      </c>
      <c r="W159" s="765">
        <v>0.57535312999999999</v>
      </c>
      <c r="X159" s="290">
        <v>2000</v>
      </c>
      <c r="Y159" s="290">
        <v>427.12680399999999</v>
      </c>
      <c r="Z159" s="290">
        <v>533065</v>
      </c>
      <c r="AA159" s="290">
        <v>2000</v>
      </c>
      <c r="AB159" s="290">
        <v>541</v>
      </c>
      <c r="AC159" s="290">
        <v>6782.9549999999999</v>
      </c>
      <c r="AD159" s="290">
        <v>333</v>
      </c>
      <c r="AE159" s="290">
        <v>0</v>
      </c>
      <c r="AF159" s="290">
        <v>0</v>
      </c>
      <c r="AG159" s="290">
        <v>21158</v>
      </c>
      <c r="AH159" s="290">
        <v>3443.40319056</v>
      </c>
      <c r="AI159" s="290">
        <v>0</v>
      </c>
      <c r="AJ159" s="290">
        <v>0</v>
      </c>
      <c r="AK159" s="290">
        <v>0</v>
      </c>
      <c r="AL159" s="290">
        <v>0</v>
      </c>
      <c r="AM159" s="957">
        <v>0.41891975999999997</v>
      </c>
      <c r="AN159" s="290">
        <v>0</v>
      </c>
      <c r="AO159" s="290">
        <v>-2923.9446400000002</v>
      </c>
      <c r="AP159" s="290">
        <v>0</v>
      </c>
      <c r="AQ159" s="290">
        <v>0</v>
      </c>
      <c r="AR159" s="290">
        <v>-1139.6854800000001</v>
      </c>
      <c r="AS159" s="290">
        <v>6598</v>
      </c>
      <c r="AT159" s="290">
        <v>1147</v>
      </c>
      <c r="AU159" s="290">
        <v>165</v>
      </c>
      <c r="AV159" s="766">
        <v>543034</v>
      </c>
      <c r="AW159" s="290">
        <v>7462</v>
      </c>
      <c r="AX159" s="766">
        <v>179.20830000000001</v>
      </c>
      <c r="AY159" s="290">
        <v>5156</v>
      </c>
      <c r="AZ159" s="290">
        <v>994</v>
      </c>
      <c r="BA159" s="290">
        <v>529</v>
      </c>
      <c r="BB159" s="290">
        <v>0</v>
      </c>
      <c r="BC159" s="290">
        <v>3795.9511400000001</v>
      </c>
      <c r="BD159" s="290">
        <v>1751</v>
      </c>
      <c r="BE159" s="290">
        <v>562302.18400000001</v>
      </c>
      <c r="BF159" s="290">
        <v>0</v>
      </c>
      <c r="BG159" s="290">
        <v>927</v>
      </c>
      <c r="BH159" s="290">
        <v>132</v>
      </c>
      <c r="BI159" s="290">
        <v>10653.485000000001</v>
      </c>
      <c r="BJ159" s="290">
        <v>0</v>
      </c>
      <c r="BK159" s="290">
        <f t="shared" si="2"/>
        <v>0</v>
      </c>
      <c r="BL159" s="290">
        <v>0</v>
      </c>
      <c r="BM159" s="290">
        <v>0</v>
      </c>
      <c r="BN159" s="290">
        <v>14961</v>
      </c>
      <c r="BO159" s="290">
        <v>3772</v>
      </c>
      <c r="BP159" s="290">
        <v>19</v>
      </c>
      <c r="BQ159" s="290">
        <v>2061</v>
      </c>
      <c r="BR159" s="290">
        <v>-10</v>
      </c>
      <c r="BS159" s="290">
        <v>340</v>
      </c>
      <c r="BT159" s="290">
        <v>0</v>
      </c>
      <c r="BU159" s="290">
        <v>0</v>
      </c>
      <c r="BV159" s="290">
        <v>298</v>
      </c>
      <c r="BW159" s="290"/>
      <c r="BX159" s="290"/>
      <c r="BY159" s="290"/>
    </row>
    <row r="160" spans="1:77" ht="13">
      <c r="A160" s="1">
        <v>3421</v>
      </c>
      <c r="B160" s="2" t="s">
        <v>835</v>
      </c>
      <c r="C160" s="289">
        <v>6627</v>
      </c>
      <c r="D160" s="290">
        <v>117</v>
      </c>
      <c r="E160" s="290">
        <v>223</v>
      </c>
      <c r="F160" s="290">
        <v>665</v>
      </c>
      <c r="G160" s="290">
        <v>482</v>
      </c>
      <c r="H160" s="290">
        <v>3614</v>
      </c>
      <c r="I160" s="290">
        <v>1074</v>
      </c>
      <c r="J160" s="290">
        <v>346</v>
      </c>
      <c r="K160" s="290">
        <v>87</v>
      </c>
      <c r="L160" s="290">
        <v>55</v>
      </c>
      <c r="M160" s="290">
        <v>724</v>
      </c>
      <c r="N160" s="290">
        <v>77</v>
      </c>
      <c r="O160" s="290">
        <v>44</v>
      </c>
      <c r="P160" s="624">
        <v>88070.703333330006</v>
      </c>
      <c r="Q160" s="624">
        <v>31087.70266667</v>
      </c>
      <c r="R160" s="624">
        <v>36</v>
      </c>
      <c r="S160" s="290">
        <v>0</v>
      </c>
      <c r="T160" s="290">
        <v>625</v>
      </c>
      <c r="U160" s="958">
        <v>3.1829421328304804E-3</v>
      </c>
      <c r="V160" s="290">
        <v>-1293.93313478</v>
      </c>
      <c r="W160" s="765">
        <v>0.83217246</v>
      </c>
      <c r="X160" s="290">
        <v>1000</v>
      </c>
      <c r="Y160" s="290">
        <v>427.12680399999999</v>
      </c>
      <c r="Z160" s="290">
        <v>172622</v>
      </c>
      <c r="AA160" s="290">
        <v>0</v>
      </c>
      <c r="AB160" s="290">
        <v>127</v>
      </c>
      <c r="AC160" s="290">
        <v>978.15700000000004</v>
      </c>
      <c r="AD160" s="290">
        <v>333</v>
      </c>
      <c r="AE160" s="290">
        <v>0</v>
      </c>
      <c r="AF160" s="290">
        <v>0</v>
      </c>
      <c r="AG160" s="290">
        <v>6608</v>
      </c>
      <c r="AH160" s="290">
        <v>935.49521909999999</v>
      </c>
      <c r="AI160" s="290">
        <v>0</v>
      </c>
      <c r="AJ160" s="290">
        <v>0</v>
      </c>
      <c r="AK160" s="290">
        <v>387.73599999999999</v>
      </c>
      <c r="AL160" s="290">
        <v>0</v>
      </c>
      <c r="AM160" s="957">
        <v>0.16407224000000001</v>
      </c>
      <c r="AN160" s="290">
        <v>8884</v>
      </c>
      <c r="AO160" s="290">
        <v>-1003.45682</v>
      </c>
      <c r="AP160" s="290">
        <v>0</v>
      </c>
      <c r="AQ160" s="290">
        <v>0</v>
      </c>
      <c r="AR160" s="290">
        <v>2.3021587800000001</v>
      </c>
      <c r="AS160" s="290">
        <v>2012</v>
      </c>
      <c r="AT160" s="290">
        <v>351</v>
      </c>
      <c r="AU160" s="290">
        <v>77</v>
      </c>
      <c r="AV160" s="766">
        <v>212423</v>
      </c>
      <c r="AW160" s="290">
        <v>1889</v>
      </c>
      <c r="AX160" s="766">
        <v>46.875</v>
      </c>
      <c r="AY160" s="290">
        <v>1066</v>
      </c>
      <c r="AZ160" s="290">
        <v>265</v>
      </c>
      <c r="BA160" s="290">
        <v>118</v>
      </c>
      <c r="BB160" s="290">
        <v>0</v>
      </c>
      <c r="BC160" s="290">
        <v>1315.8294900000001</v>
      </c>
      <c r="BD160" s="290">
        <v>627</v>
      </c>
      <c r="BE160" s="290">
        <v>216062.326</v>
      </c>
      <c r="BF160" s="290">
        <v>0</v>
      </c>
      <c r="BG160" s="290">
        <v>366</v>
      </c>
      <c r="BH160" s="290">
        <v>52</v>
      </c>
      <c r="BI160" s="290">
        <v>2728.5150199999998</v>
      </c>
      <c r="BJ160" s="290">
        <v>750</v>
      </c>
      <c r="BK160" s="290">
        <f t="shared" si="2"/>
        <v>0</v>
      </c>
      <c r="BL160" s="290">
        <v>0</v>
      </c>
      <c r="BM160" s="290">
        <v>0</v>
      </c>
      <c r="BN160" s="290">
        <v>5134</v>
      </c>
      <c r="BO160" s="290">
        <v>1000</v>
      </c>
      <c r="BP160" s="290">
        <v>5</v>
      </c>
      <c r="BQ160" s="290">
        <v>644</v>
      </c>
      <c r="BR160" s="290">
        <v>-3</v>
      </c>
      <c r="BS160" s="290">
        <v>101</v>
      </c>
      <c r="BT160" s="290">
        <v>0</v>
      </c>
      <c r="BU160" s="290">
        <v>0</v>
      </c>
      <c r="BV160" s="290">
        <v>118</v>
      </c>
      <c r="BW160" s="290"/>
      <c r="BX160" s="290"/>
      <c r="BY160" s="290"/>
    </row>
    <row r="161" spans="1:77" ht="13">
      <c r="A161" s="1">
        <v>3422</v>
      </c>
      <c r="B161" s="2" t="s">
        <v>836</v>
      </c>
      <c r="C161" s="289">
        <v>4356</v>
      </c>
      <c r="D161" s="290">
        <v>64</v>
      </c>
      <c r="E161" s="290">
        <v>150</v>
      </c>
      <c r="F161" s="290">
        <v>460</v>
      </c>
      <c r="G161" s="290">
        <v>420</v>
      </c>
      <c r="H161" s="290">
        <v>2357</v>
      </c>
      <c r="I161" s="290">
        <v>598</v>
      </c>
      <c r="J161" s="290">
        <v>199</v>
      </c>
      <c r="K161" s="290">
        <v>53</v>
      </c>
      <c r="L161" s="290">
        <v>39</v>
      </c>
      <c r="M161" s="290">
        <v>426</v>
      </c>
      <c r="N161" s="290">
        <v>55</v>
      </c>
      <c r="O161" s="290">
        <v>19</v>
      </c>
      <c r="P161" s="624">
        <v>35568.521999999997</v>
      </c>
      <c r="Q161" s="624">
        <v>12456.681</v>
      </c>
      <c r="R161" s="624">
        <v>23</v>
      </c>
      <c r="S161" s="290">
        <v>0</v>
      </c>
      <c r="T161" s="290">
        <v>399</v>
      </c>
      <c r="U161" s="958">
        <v>1.842582393635075E-3</v>
      </c>
      <c r="V161" s="290">
        <v>-786.79200916000002</v>
      </c>
      <c r="W161" s="765">
        <v>0.77191719999999997</v>
      </c>
      <c r="X161" s="290">
        <v>2000</v>
      </c>
      <c r="Y161" s="290">
        <v>427.12680399999999</v>
      </c>
      <c r="Z161" s="290">
        <v>106391</v>
      </c>
      <c r="AA161" s="290">
        <v>130</v>
      </c>
      <c r="AB161" s="290">
        <v>85</v>
      </c>
      <c r="AC161" s="290">
        <v>1716.8810000000001</v>
      </c>
      <c r="AD161" s="290">
        <v>333</v>
      </c>
      <c r="AE161" s="290">
        <v>0</v>
      </c>
      <c r="AF161" s="290">
        <v>0</v>
      </c>
      <c r="AG161" s="290">
        <v>4301</v>
      </c>
      <c r="AH161" s="290">
        <v>628.96510093999996</v>
      </c>
      <c r="AI161" s="290">
        <v>0</v>
      </c>
      <c r="AJ161" s="290">
        <v>0</v>
      </c>
      <c r="AK161" s="290">
        <v>0</v>
      </c>
      <c r="AL161" s="290">
        <v>0</v>
      </c>
      <c r="AM161" s="957">
        <v>6.9941020000000007E-2</v>
      </c>
      <c r="AN161" s="290">
        <v>2540</v>
      </c>
      <c r="AO161" s="290">
        <v>-641.26805899999999</v>
      </c>
      <c r="AP161" s="290">
        <v>0</v>
      </c>
      <c r="AQ161" s="290">
        <v>0</v>
      </c>
      <c r="AR161" s="290">
        <v>11162.7117</v>
      </c>
      <c r="AS161" s="290">
        <v>1739</v>
      </c>
      <c r="AT161" s="290">
        <v>215</v>
      </c>
      <c r="AU161" s="290">
        <v>27</v>
      </c>
      <c r="AV161" s="766">
        <v>140840</v>
      </c>
      <c r="AW161" s="290">
        <v>2427</v>
      </c>
      <c r="AX161" s="766">
        <v>19.875</v>
      </c>
      <c r="AY161" s="290">
        <v>821</v>
      </c>
      <c r="AZ161" s="290">
        <v>234</v>
      </c>
      <c r="BA161" s="290">
        <v>89</v>
      </c>
      <c r="BB161" s="290">
        <v>0</v>
      </c>
      <c r="BC161" s="290">
        <v>-573.16708200000005</v>
      </c>
      <c r="BD161" s="290">
        <v>439</v>
      </c>
      <c r="BE161" s="290">
        <v>135045.666</v>
      </c>
      <c r="BF161" s="290">
        <v>0</v>
      </c>
      <c r="BG161" s="290">
        <v>229</v>
      </c>
      <c r="BH161" s="290">
        <v>33</v>
      </c>
      <c r="BI161" s="290">
        <v>2772.9729000000002</v>
      </c>
      <c r="BJ161" s="290">
        <v>0</v>
      </c>
      <c r="BK161" s="290">
        <f t="shared" si="2"/>
        <v>0</v>
      </c>
      <c r="BL161" s="290">
        <v>0</v>
      </c>
      <c r="BM161" s="290">
        <v>0</v>
      </c>
      <c r="BN161" s="290">
        <v>3281</v>
      </c>
      <c r="BO161" s="290">
        <v>653</v>
      </c>
      <c r="BP161" s="290">
        <v>3</v>
      </c>
      <c r="BQ161" s="290">
        <v>428</v>
      </c>
      <c r="BR161" s="290">
        <v>-2</v>
      </c>
      <c r="BS161" s="290">
        <v>60</v>
      </c>
      <c r="BT161" s="290">
        <v>0</v>
      </c>
      <c r="BU161" s="290">
        <v>0</v>
      </c>
      <c r="BV161" s="290">
        <v>74</v>
      </c>
      <c r="BW161" s="290"/>
      <c r="BX161" s="290"/>
      <c r="BY161" s="290"/>
    </row>
    <row r="162" spans="1:77" ht="13">
      <c r="A162" s="1">
        <v>3423</v>
      </c>
      <c r="B162" s="2" t="s">
        <v>837</v>
      </c>
      <c r="C162" s="289">
        <v>2419</v>
      </c>
      <c r="D162" s="290">
        <v>32</v>
      </c>
      <c r="E162" s="290">
        <v>70</v>
      </c>
      <c r="F162" s="290">
        <v>227</v>
      </c>
      <c r="G162" s="290">
        <v>159</v>
      </c>
      <c r="H162" s="290">
        <v>1329</v>
      </c>
      <c r="I162" s="290">
        <v>415</v>
      </c>
      <c r="J162" s="290">
        <v>165</v>
      </c>
      <c r="K162" s="290">
        <v>29</v>
      </c>
      <c r="L162" s="290">
        <v>23</v>
      </c>
      <c r="M162" s="290">
        <v>289</v>
      </c>
      <c r="N162" s="290">
        <v>29</v>
      </c>
      <c r="O162" s="290">
        <v>35</v>
      </c>
      <c r="P162" s="624">
        <v>32970.506333329999</v>
      </c>
      <c r="Q162" s="624">
        <v>9505.8289999999997</v>
      </c>
      <c r="R162" s="624">
        <v>12</v>
      </c>
      <c r="S162" s="290">
        <v>0</v>
      </c>
      <c r="T162" s="290">
        <v>279</v>
      </c>
      <c r="U162" s="958">
        <v>1.9733182813393771E-3</v>
      </c>
      <c r="V162" s="290">
        <v>1362.26669191</v>
      </c>
      <c r="W162" s="765">
        <v>1</v>
      </c>
      <c r="X162" s="290">
        <v>1000</v>
      </c>
      <c r="Y162" s="290">
        <v>427.12680399999999</v>
      </c>
      <c r="Z162" s="290">
        <v>53832</v>
      </c>
      <c r="AA162" s="290">
        <v>85</v>
      </c>
      <c r="AB162" s="290">
        <v>62</v>
      </c>
      <c r="AC162" s="290">
        <v>375.399</v>
      </c>
      <c r="AD162" s="290">
        <v>167</v>
      </c>
      <c r="AE162" s="290">
        <v>0</v>
      </c>
      <c r="AF162" s="290">
        <v>0</v>
      </c>
      <c r="AG162" s="290">
        <v>2426</v>
      </c>
      <c r="AH162" s="290">
        <v>300.74653103000003</v>
      </c>
      <c r="AI162" s="290">
        <v>0</v>
      </c>
      <c r="AJ162" s="290">
        <v>0</v>
      </c>
      <c r="AK162" s="290">
        <v>21.439</v>
      </c>
      <c r="AL162" s="290">
        <v>0</v>
      </c>
      <c r="AM162" s="957">
        <v>6.9431809999999997E-2</v>
      </c>
      <c r="AN162" s="290">
        <v>0</v>
      </c>
      <c r="AO162" s="290">
        <v>-407.24202300000002</v>
      </c>
      <c r="AP162" s="290">
        <v>0</v>
      </c>
      <c r="AQ162" s="290">
        <v>0</v>
      </c>
      <c r="AR162" s="290">
        <v>-130.677615</v>
      </c>
      <c r="AS162" s="290">
        <v>595</v>
      </c>
      <c r="AT162" s="290">
        <v>147</v>
      </c>
      <c r="AU162" s="290">
        <v>17</v>
      </c>
      <c r="AV162" s="766">
        <v>97609</v>
      </c>
      <c r="AW162" s="290">
        <v>1125</v>
      </c>
      <c r="AX162" s="766">
        <v>15.083349999999999</v>
      </c>
      <c r="AY162" s="290">
        <v>443</v>
      </c>
      <c r="AZ162" s="290">
        <v>168</v>
      </c>
      <c r="BA162" s="290">
        <v>45</v>
      </c>
      <c r="BB162" s="290">
        <v>5875</v>
      </c>
      <c r="BC162" s="290">
        <v>722.46892200000002</v>
      </c>
      <c r="BD162" s="290">
        <v>319</v>
      </c>
      <c r="BE162" s="290">
        <v>100065.925</v>
      </c>
      <c r="BF162" s="290">
        <v>0</v>
      </c>
      <c r="BG162" s="290">
        <v>162</v>
      </c>
      <c r="BH162" s="290">
        <v>23</v>
      </c>
      <c r="BI162" s="290">
        <v>1124.7113400000001</v>
      </c>
      <c r="BJ162" s="290">
        <v>0</v>
      </c>
      <c r="BK162" s="290">
        <f t="shared" si="2"/>
        <v>0</v>
      </c>
      <c r="BL162" s="290">
        <v>0</v>
      </c>
      <c r="BM162" s="290">
        <v>0</v>
      </c>
      <c r="BN162" s="290">
        <v>2084</v>
      </c>
      <c r="BO162" s="290">
        <v>344</v>
      </c>
      <c r="BP162" s="290">
        <v>2</v>
      </c>
      <c r="BQ162" s="290">
        <v>238</v>
      </c>
      <c r="BR162" s="290">
        <v>-1</v>
      </c>
      <c r="BS162" s="290">
        <v>50</v>
      </c>
      <c r="BT162" s="290">
        <v>0</v>
      </c>
      <c r="BU162" s="290">
        <v>0</v>
      </c>
      <c r="BV162" s="290">
        <v>52</v>
      </c>
      <c r="BW162" s="290"/>
      <c r="BX162" s="290"/>
      <c r="BY162" s="290"/>
    </row>
    <row r="163" spans="1:77" ht="13">
      <c r="A163" s="1">
        <v>3424</v>
      </c>
      <c r="B163" s="2" t="s">
        <v>838</v>
      </c>
      <c r="C163" s="289">
        <v>1780</v>
      </c>
      <c r="D163" s="290">
        <v>24</v>
      </c>
      <c r="E163" s="290">
        <v>41</v>
      </c>
      <c r="F163" s="290">
        <v>181</v>
      </c>
      <c r="G163" s="290">
        <v>134</v>
      </c>
      <c r="H163" s="290">
        <v>917</v>
      </c>
      <c r="I163" s="290">
        <v>355</v>
      </c>
      <c r="J163" s="290">
        <v>101</v>
      </c>
      <c r="K163" s="290">
        <v>30</v>
      </c>
      <c r="L163" s="290">
        <v>16</v>
      </c>
      <c r="M163" s="290">
        <v>227</v>
      </c>
      <c r="N163" s="290">
        <v>14</v>
      </c>
      <c r="O163" s="290">
        <v>21</v>
      </c>
      <c r="P163" s="624">
        <v>23790.727666670002</v>
      </c>
      <c r="Q163" s="624">
        <v>11149.83533333</v>
      </c>
      <c r="R163" s="624">
        <v>9</v>
      </c>
      <c r="S163" s="290">
        <v>0</v>
      </c>
      <c r="T163" s="290">
        <v>213</v>
      </c>
      <c r="U163" s="958">
        <v>2.5630634777465407E-3</v>
      </c>
      <c r="V163" s="290">
        <v>1059.21220743</v>
      </c>
      <c r="W163" s="765">
        <v>1</v>
      </c>
      <c r="X163" s="290">
        <v>1000</v>
      </c>
      <c r="Y163" s="290">
        <v>361.41498799999999</v>
      </c>
      <c r="Z163" s="290">
        <v>41561</v>
      </c>
      <c r="AA163" s="290">
        <v>115</v>
      </c>
      <c r="AB163" s="290">
        <v>34</v>
      </c>
      <c r="AC163" s="290">
        <v>318.90499999999997</v>
      </c>
      <c r="AD163" s="290">
        <v>167</v>
      </c>
      <c r="AE163" s="290">
        <v>0</v>
      </c>
      <c r="AF163" s="290">
        <v>0</v>
      </c>
      <c r="AG163" s="290">
        <v>1783</v>
      </c>
      <c r="AH163" s="290">
        <v>232.78938219</v>
      </c>
      <c r="AI163" s="290">
        <v>0</v>
      </c>
      <c r="AJ163" s="290">
        <v>0</v>
      </c>
      <c r="AK163" s="290">
        <v>0</v>
      </c>
      <c r="AL163" s="290">
        <v>0</v>
      </c>
      <c r="AM163" s="957">
        <v>2.5720449999999999E-2</v>
      </c>
      <c r="AN163" s="290">
        <v>0</v>
      </c>
      <c r="AO163" s="290">
        <v>-316.64557600000001</v>
      </c>
      <c r="AP163" s="290">
        <v>0</v>
      </c>
      <c r="AQ163" s="290">
        <v>0</v>
      </c>
      <c r="AR163" s="290">
        <v>-96.042121899999998</v>
      </c>
      <c r="AS163" s="290">
        <v>298</v>
      </c>
      <c r="AT163" s="290">
        <v>89</v>
      </c>
      <c r="AU163" s="290">
        <v>9</v>
      </c>
      <c r="AV163" s="766">
        <v>78934</v>
      </c>
      <c r="AW163" s="290">
        <v>758</v>
      </c>
      <c r="AX163" s="766">
        <v>14.333299999999999</v>
      </c>
      <c r="AY163" s="290">
        <v>306</v>
      </c>
      <c r="AZ163" s="290">
        <v>103</v>
      </c>
      <c r="BA163" s="290">
        <v>35</v>
      </c>
      <c r="BB163" s="290">
        <v>5875</v>
      </c>
      <c r="BC163" s="290">
        <v>582.73256800000001</v>
      </c>
      <c r="BD163" s="290">
        <v>268</v>
      </c>
      <c r="BE163" s="290">
        <v>82446.784599999999</v>
      </c>
      <c r="BF163" s="290">
        <v>0</v>
      </c>
      <c r="BG163" s="290">
        <v>135</v>
      </c>
      <c r="BH163" s="290">
        <v>19</v>
      </c>
      <c r="BI163" s="290">
        <v>913.10937000000001</v>
      </c>
      <c r="BJ163" s="290">
        <v>0</v>
      </c>
      <c r="BK163" s="290">
        <f t="shared" si="2"/>
        <v>0</v>
      </c>
      <c r="BL163" s="290">
        <v>0</v>
      </c>
      <c r="BM163" s="290">
        <v>0</v>
      </c>
      <c r="BN163" s="290">
        <v>1620</v>
      </c>
      <c r="BO163" s="290">
        <v>245</v>
      </c>
      <c r="BP163" s="290">
        <v>1</v>
      </c>
      <c r="BQ163" s="290">
        <v>174</v>
      </c>
      <c r="BR163" s="290">
        <v>-1</v>
      </c>
      <c r="BS163" s="290">
        <v>50</v>
      </c>
      <c r="BT163" s="290">
        <v>0</v>
      </c>
      <c r="BU163" s="290">
        <v>0</v>
      </c>
      <c r="BV163" s="290">
        <v>43</v>
      </c>
      <c r="BW163" s="290"/>
      <c r="BX163" s="290"/>
      <c r="BY163" s="290"/>
    </row>
    <row r="164" spans="1:77" ht="13">
      <c r="A164" s="1">
        <v>3425</v>
      </c>
      <c r="B164" s="2" t="s">
        <v>839</v>
      </c>
      <c r="C164" s="289">
        <v>1268</v>
      </c>
      <c r="D164" s="290">
        <v>24</v>
      </c>
      <c r="E164" s="290">
        <v>32</v>
      </c>
      <c r="F164" s="290">
        <v>122</v>
      </c>
      <c r="G164" s="290">
        <v>120</v>
      </c>
      <c r="H164" s="290">
        <v>653</v>
      </c>
      <c r="I164" s="290">
        <v>239</v>
      </c>
      <c r="J164" s="290">
        <v>77</v>
      </c>
      <c r="K164" s="290">
        <v>15</v>
      </c>
      <c r="L164" s="290">
        <v>11</v>
      </c>
      <c r="M164" s="290">
        <v>157</v>
      </c>
      <c r="N164" s="290">
        <v>11</v>
      </c>
      <c r="O164" s="290">
        <v>19</v>
      </c>
      <c r="P164" s="624">
        <v>39238.142333329997</v>
      </c>
      <c r="Q164" s="624">
        <v>16709.989333329999</v>
      </c>
      <c r="R164" s="624">
        <v>6</v>
      </c>
      <c r="S164" s="290">
        <v>0</v>
      </c>
      <c r="T164" s="290">
        <v>108</v>
      </c>
      <c r="U164" s="958">
        <v>1.3283202741232729E-3</v>
      </c>
      <c r="V164" s="290">
        <v>820.97630770000001</v>
      </c>
      <c r="W164" s="765">
        <v>1</v>
      </c>
      <c r="X164" s="290">
        <v>2000</v>
      </c>
      <c r="Y164" s="290">
        <v>427.12680399999999</v>
      </c>
      <c r="Z164" s="290">
        <v>28030</v>
      </c>
      <c r="AA164" s="290">
        <v>0</v>
      </c>
      <c r="AB164" s="290">
        <v>22</v>
      </c>
      <c r="AC164" s="290">
        <v>287.98399999999998</v>
      </c>
      <c r="AD164" s="290">
        <v>167</v>
      </c>
      <c r="AE164" s="290">
        <v>0</v>
      </c>
      <c r="AF164" s="290">
        <v>0</v>
      </c>
      <c r="AG164" s="290">
        <v>1282</v>
      </c>
      <c r="AH164" s="290">
        <v>183.62889154000001</v>
      </c>
      <c r="AI164" s="290">
        <v>0</v>
      </c>
      <c r="AJ164" s="290">
        <v>0</v>
      </c>
      <c r="AK164" s="290">
        <v>0</v>
      </c>
      <c r="AL164" s="290">
        <v>0</v>
      </c>
      <c r="AM164" s="957">
        <v>2.0065349999999999E-2</v>
      </c>
      <c r="AN164" s="290">
        <v>0</v>
      </c>
      <c r="AO164" s="290">
        <v>-245.42628400000001</v>
      </c>
      <c r="AP164" s="290">
        <v>0</v>
      </c>
      <c r="AQ164" s="290">
        <v>0</v>
      </c>
      <c r="AR164" s="290">
        <v>-69.055524599999998</v>
      </c>
      <c r="AS164" s="290">
        <v>450</v>
      </c>
      <c r="AT164" s="290">
        <v>61</v>
      </c>
      <c r="AU164" s="290">
        <v>8</v>
      </c>
      <c r="AV164" s="766">
        <v>66048</v>
      </c>
      <c r="AW164" s="290">
        <v>495</v>
      </c>
      <c r="AX164" s="766">
        <v>11</v>
      </c>
      <c r="AY164" s="290">
        <v>217</v>
      </c>
      <c r="AZ164" s="290">
        <v>68</v>
      </c>
      <c r="BA164" s="290">
        <v>14</v>
      </c>
      <c r="BB164" s="290">
        <v>5875</v>
      </c>
      <c r="BC164" s="290">
        <v>596.96375</v>
      </c>
      <c r="BD164" s="290">
        <v>229</v>
      </c>
      <c r="BE164" s="290">
        <v>69614.997000000003</v>
      </c>
      <c r="BF164" s="290">
        <v>0</v>
      </c>
      <c r="BG164" s="290">
        <v>121</v>
      </c>
      <c r="BH164" s="290">
        <v>17</v>
      </c>
      <c r="BI164" s="290">
        <v>898.73969599999998</v>
      </c>
      <c r="BJ164" s="290">
        <v>0</v>
      </c>
      <c r="BK164" s="290">
        <f t="shared" si="2"/>
        <v>0</v>
      </c>
      <c r="BL164" s="290">
        <v>0</v>
      </c>
      <c r="BM164" s="290">
        <v>0</v>
      </c>
      <c r="BN164" s="290">
        <v>1256</v>
      </c>
      <c r="BO164" s="290">
        <v>196</v>
      </c>
      <c r="BP164" s="290">
        <v>1</v>
      </c>
      <c r="BQ164" s="290">
        <v>125</v>
      </c>
      <c r="BR164" s="290">
        <v>-1</v>
      </c>
      <c r="BS164" s="290">
        <v>50</v>
      </c>
      <c r="BT164" s="290">
        <v>0</v>
      </c>
      <c r="BU164" s="290">
        <v>0</v>
      </c>
      <c r="BV164" s="290">
        <v>39</v>
      </c>
      <c r="BW164" s="290"/>
      <c r="BX164" s="290"/>
      <c r="BY164" s="290"/>
    </row>
    <row r="165" spans="1:77" ht="13">
      <c r="A165" s="1">
        <v>3426</v>
      </c>
      <c r="B165" s="2" t="s">
        <v>840</v>
      </c>
      <c r="C165" s="289">
        <v>1562</v>
      </c>
      <c r="D165" s="290">
        <v>32</v>
      </c>
      <c r="E165" s="290">
        <v>64</v>
      </c>
      <c r="F165" s="290">
        <v>197</v>
      </c>
      <c r="G165" s="290">
        <v>145</v>
      </c>
      <c r="H165" s="290">
        <v>829</v>
      </c>
      <c r="I165" s="290">
        <v>203</v>
      </c>
      <c r="J165" s="290">
        <v>70</v>
      </c>
      <c r="K165" s="290">
        <v>20</v>
      </c>
      <c r="L165" s="290">
        <v>14</v>
      </c>
      <c r="M165" s="290">
        <v>130</v>
      </c>
      <c r="N165" s="290">
        <v>50</v>
      </c>
      <c r="O165" s="290">
        <v>34</v>
      </c>
      <c r="P165" s="624">
        <v>10622.430333329999</v>
      </c>
      <c r="Q165" s="624">
        <v>4731.0559999999996</v>
      </c>
      <c r="R165" s="624">
        <v>5</v>
      </c>
      <c r="S165" s="290">
        <v>0</v>
      </c>
      <c r="T165" s="290">
        <v>128</v>
      </c>
      <c r="U165" s="958">
        <v>2.5435699996479814E-3</v>
      </c>
      <c r="V165" s="290">
        <v>897.21996276000004</v>
      </c>
      <c r="W165" s="765">
        <v>0.87293279999999995</v>
      </c>
      <c r="X165" s="290">
        <v>1000</v>
      </c>
      <c r="Y165" s="290">
        <v>427.12680399999999</v>
      </c>
      <c r="Z165" s="290">
        <v>32457</v>
      </c>
      <c r="AA165" s="290">
        <v>0</v>
      </c>
      <c r="AB165" s="290">
        <v>17</v>
      </c>
      <c r="AC165" s="290">
        <v>291.97399999999999</v>
      </c>
      <c r="AD165" s="290">
        <v>167</v>
      </c>
      <c r="AE165" s="290">
        <v>0</v>
      </c>
      <c r="AF165" s="290">
        <v>0</v>
      </c>
      <c r="AG165" s="290">
        <v>1560</v>
      </c>
      <c r="AH165" s="290">
        <v>265.32205981999999</v>
      </c>
      <c r="AI165" s="290">
        <v>0</v>
      </c>
      <c r="AJ165" s="290">
        <v>0</v>
      </c>
      <c r="AK165" s="290">
        <v>0</v>
      </c>
      <c r="AL165" s="290">
        <v>0</v>
      </c>
      <c r="AM165" s="957">
        <v>2.1491509999999998E-2</v>
      </c>
      <c r="AN165" s="290">
        <v>0</v>
      </c>
      <c r="AO165" s="290">
        <v>-268.21889900000002</v>
      </c>
      <c r="AP165" s="290">
        <v>0</v>
      </c>
      <c r="AQ165" s="290">
        <v>0</v>
      </c>
      <c r="AR165" s="290">
        <v>-84.030123500000002</v>
      </c>
      <c r="AS165" s="290">
        <v>85</v>
      </c>
      <c r="AT165" s="290">
        <v>55</v>
      </c>
      <c r="AU165" s="290">
        <v>10</v>
      </c>
      <c r="AV165" s="766">
        <v>68833</v>
      </c>
      <c r="AW165" s="290">
        <v>153</v>
      </c>
      <c r="AX165" s="766">
        <v>14.416700000000001</v>
      </c>
      <c r="AY165" s="290">
        <v>383</v>
      </c>
      <c r="AZ165" s="290">
        <v>94</v>
      </c>
      <c r="BA165" s="290">
        <v>26</v>
      </c>
      <c r="BB165" s="290">
        <v>5875</v>
      </c>
      <c r="BC165" s="290">
        <v>672.26685399999997</v>
      </c>
      <c r="BD165" s="290">
        <v>236</v>
      </c>
      <c r="BE165" s="290">
        <v>69621.646900000007</v>
      </c>
      <c r="BF165" s="290">
        <v>0</v>
      </c>
      <c r="BG165" s="290">
        <v>105</v>
      </c>
      <c r="BH165" s="290">
        <v>15</v>
      </c>
      <c r="BI165" s="290">
        <v>984.422864</v>
      </c>
      <c r="BJ165" s="290">
        <v>0</v>
      </c>
      <c r="BK165" s="290">
        <f t="shared" si="2"/>
        <v>0</v>
      </c>
      <c r="BL165" s="290">
        <v>0</v>
      </c>
      <c r="BM165" s="290">
        <v>0</v>
      </c>
      <c r="BN165" s="290">
        <v>1372</v>
      </c>
      <c r="BO165" s="290">
        <v>302</v>
      </c>
      <c r="BP165" s="290">
        <v>1</v>
      </c>
      <c r="BQ165" s="290">
        <v>150</v>
      </c>
      <c r="BR165" s="290">
        <v>-1</v>
      </c>
      <c r="BS165" s="290">
        <v>50</v>
      </c>
      <c r="BT165" s="290">
        <v>0</v>
      </c>
      <c r="BU165" s="290">
        <v>0</v>
      </c>
      <c r="BV165" s="290">
        <v>34</v>
      </c>
      <c r="BW165" s="290"/>
      <c r="BX165" s="290"/>
      <c r="BY165" s="290"/>
    </row>
    <row r="166" spans="1:77" ht="13">
      <c r="A166" s="1">
        <v>3427</v>
      </c>
      <c r="B166" s="2" t="s">
        <v>841</v>
      </c>
      <c r="C166" s="289">
        <v>5578</v>
      </c>
      <c r="D166" s="290">
        <v>77</v>
      </c>
      <c r="E166" s="290">
        <v>197</v>
      </c>
      <c r="F166" s="290">
        <v>707</v>
      </c>
      <c r="G166" s="290">
        <v>568</v>
      </c>
      <c r="H166" s="290">
        <v>3025</v>
      </c>
      <c r="I166" s="290">
        <v>714</v>
      </c>
      <c r="J166" s="290">
        <v>242</v>
      </c>
      <c r="K166" s="290">
        <v>60</v>
      </c>
      <c r="L166" s="290">
        <v>45</v>
      </c>
      <c r="M166" s="290">
        <v>471</v>
      </c>
      <c r="N166" s="290">
        <v>88</v>
      </c>
      <c r="O166" s="290">
        <v>63</v>
      </c>
      <c r="P166" s="624">
        <v>50164.894666669999</v>
      </c>
      <c r="Q166" s="624">
        <v>15886.566999999999</v>
      </c>
      <c r="R166" s="624">
        <v>43</v>
      </c>
      <c r="S166" s="290">
        <v>0</v>
      </c>
      <c r="T166" s="290">
        <v>448</v>
      </c>
      <c r="U166" s="958">
        <v>4.8438598373649264E-3</v>
      </c>
      <c r="V166" s="290">
        <v>2851.5901500700002</v>
      </c>
      <c r="W166" s="765">
        <v>0.71730417999999996</v>
      </c>
      <c r="X166" s="290">
        <v>1000</v>
      </c>
      <c r="Y166" s="290">
        <v>427.12680399999999</v>
      </c>
      <c r="Z166" s="290">
        <v>140883</v>
      </c>
      <c r="AA166" s="290">
        <v>0</v>
      </c>
      <c r="AB166" s="290">
        <v>103</v>
      </c>
      <c r="AC166" s="290">
        <v>980.89700000000005</v>
      </c>
      <c r="AD166" s="290">
        <v>333</v>
      </c>
      <c r="AE166" s="290">
        <v>0</v>
      </c>
      <c r="AF166" s="290">
        <v>0</v>
      </c>
      <c r="AG166" s="290">
        <v>5590</v>
      </c>
      <c r="AH166" s="290">
        <v>949.23123854999994</v>
      </c>
      <c r="AI166" s="290">
        <v>0</v>
      </c>
      <c r="AJ166" s="290">
        <v>0</v>
      </c>
      <c r="AK166" s="290">
        <v>0</v>
      </c>
      <c r="AL166" s="290">
        <v>0</v>
      </c>
      <c r="AM166" s="957">
        <v>2.5112289999999999E-2</v>
      </c>
      <c r="AN166" s="290">
        <v>6174</v>
      </c>
      <c r="AO166" s="290">
        <v>-852.46695599999998</v>
      </c>
      <c r="AP166" s="290">
        <v>0</v>
      </c>
      <c r="AQ166" s="290">
        <v>0</v>
      </c>
      <c r="AR166" s="290">
        <v>111.250328</v>
      </c>
      <c r="AS166" s="290">
        <v>2588</v>
      </c>
      <c r="AT166" s="290">
        <v>222</v>
      </c>
      <c r="AU166" s="290">
        <v>16</v>
      </c>
      <c r="AV166" s="766">
        <v>183495</v>
      </c>
      <c r="AW166" s="290">
        <v>5461</v>
      </c>
      <c r="AX166" s="766">
        <v>24.958349999999999</v>
      </c>
      <c r="AY166" s="290">
        <v>1272</v>
      </c>
      <c r="AZ166" s="290">
        <v>221</v>
      </c>
      <c r="BA166" s="290">
        <v>98</v>
      </c>
      <c r="BB166" s="290">
        <v>0</v>
      </c>
      <c r="BC166" s="290">
        <v>1354.1782900000001</v>
      </c>
      <c r="BD166" s="290">
        <v>535</v>
      </c>
      <c r="BE166" s="290">
        <v>187023.93799999999</v>
      </c>
      <c r="BF166" s="290">
        <v>0</v>
      </c>
      <c r="BG166" s="290">
        <v>285</v>
      </c>
      <c r="BH166" s="290">
        <v>41</v>
      </c>
      <c r="BI166" s="290">
        <v>2357.25504</v>
      </c>
      <c r="BJ166" s="290">
        <v>0</v>
      </c>
      <c r="BK166" s="290">
        <f t="shared" si="2"/>
        <v>0</v>
      </c>
      <c r="BL166" s="290">
        <v>0</v>
      </c>
      <c r="BM166" s="290">
        <v>0</v>
      </c>
      <c r="BN166" s="290">
        <v>4362</v>
      </c>
      <c r="BO166" s="290">
        <v>913</v>
      </c>
      <c r="BP166" s="290">
        <v>4</v>
      </c>
      <c r="BQ166" s="290">
        <v>543</v>
      </c>
      <c r="BR166" s="290">
        <v>-3</v>
      </c>
      <c r="BS166" s="290">
        <v>57</v>
      </c>
      <c r="BT166" s="290">
        <v>0</v>
      </c>
      <c r="BU166" s="290">
        <v>0</v>
      </c>
      <c r="BV166" s="290">
        <v>92</v>
      </c>
      <c r="BW166" s="290"/>
      <c r="BX166" s="290"/>
      <c r="BY166" s="290"/>
    </row>
    <row r="167" spans="1:77" ht="13">
      <c r="A167" s="1">
        <v>3428</v>
      </c>
      <c r="B167" s="2" t="s">
        <v>842</v>
      </c>
      <c r="C167" s="289">
        <v>2432</v>
      </c>
      <c r="D167" s="290">
        <v>53</v>
      </c>
      <c r="E167" s="290">
        <v>126</v>
      </c>
      <c r="F167" s="290">
        <v>308</v>
      </c>
      <c r="G167" s="290">
        <v>229</v>
      </c>
      <c r="H167" s="290">
        <v>1296</v>
      </c>
      <c r="I167" s="290">
        <v>284</v>
      </c>
      <c r="J167" s="290">
        <v>102</v>
      </c>
      <c r="K167" s="290">
        <v>40</v>
      </c>
      <c r="L167" s="290">
        <v>21</v>
      </c>
      <c r="M167" s="290">
        <v>195</v>
      </c>
      <c r="N167" s="290">
        <v>24</v>
      </c>
      <c r="O167" s="290">
        <v>23</v>
      </c>
      <c r="P167" s="624">
        <v>11157.29966667</v>
      </c>
      <c r="Q167" s="624">
        <v>6755.7190000000001</v>
      </c>
      <c r="R167" s="624">
        <v>14</v>
      </c>
      <c r="S167" s="290">
        <v>0</v>
      </c>
      <c r="T167" s="290">
        <v>196</v>
      </c>
      <c r="U167" s="958">
        <v>3.0138273685232672E-3</v>
      </c>
      <c r="V167" s="290">
        <v>1344.2608631400001</v>
      </c>
      <c r="W167" s="765">
        <v>0.81051792</v>
      </c>
      <c r="X167" s="290">
        <v>800</v>
      </c>
      <c r="Y167" s="290">
        <v>427.12680399999999</v>
      </c>
      <c r="Z167" s="290">
        <v>59798</v>
      </c>
      <c r="AA167" s="290">
        <v>0</v>
      </c>
      <c r="AB167" s="290">
        <v>43</v>
      </c>
      <c r="AC167" s="290">
        <v>420.91699999999997</v>
      </c>
      <c r="AD167" s="290">
        <v>167</v>
      </c>
      <c r="AE167" s="290">
        <v>0</v>
      </c>
      <c r="AF167" s="290">
        <v>0</v>
      </c>
      <c r="AG167" s="290">
        <v>2438</v>
      </c>
      <c r="AH167" s="290">
        <v>448.95095135999998</v>
      </c>
      <c r="AI167" s="290">
        <v>0</v>
      </c>
      <c r="AJ167" s="290">
        <v>0</v>
      </c>
      <c r="AK167" s="290">
        <v>0</v>
      </c>
      <c r="AL167" s="290">
        <v>0</v>
      </c>
      <c r="AM167" s="957">
        <v>1.0750640000000001E-2</v>
      </c>
      <c r="AN167" s="290">
        <v>0</v>
      </c>
      <c r="AO167" s="290">
        <v>-401.85928100000001</v>
      </c>
      <c r="AP167" s="290">
        <v>0</v>
      </c>
      <c r="AQ167" s="290">
        <v>0</v>
      </c>
      <c r="AR167" s="290">
        <v>-131.32400100000001</v>
      </c>
      <c r="AS167" s="290">
        <v>394</v>
      </c>
      <c r="AT167" s="290">
        <v>97</v>
      </c>
      <c r="AU167" s="290">
        <v>8</v>
      </c>
      <c r="AV167" s="766">
        <v>91165</v>
      </c>
      <c r="AW167" s="290">
        <v>175</v>
      </c>
      <c r="AX167" s="766">
        <v>14.541650000000001</v>
      </c>
      <c r="AY167" s="290">
        <v>434</v>
      </c>
      <c r="AZ167" s="290">
        <v>81</v>
      </c>
      <c r="BA167" s="290">
        <v>41</v>
      </c>
      <c r="BB167" s="290">
        <v>4700</v>
      </c>
      <c r="BC167" s="290">
        <v>850.76309800000001</v>
      </c>
      <c r="BD167" s="290">
        <v>298</v>
      </c>
      <c r="BE167" s="290">
        <v>96335.132899999997</v>
      </c>
      <c r="BF167" s="290">
        <v>0</v>
      </c>
      <c r="BG167" s="290">
        <v>140</v>
      </c>
      <c r="BH167" s="290">
        <v>20</v>
      </c>
      <c r="BI167" s="290">
        <v>1296.99476</v>
      </c>
      <c r="BJ167" s="290">
        <v>0</v>
      </c>
      <c r="BK167" s="290">
        <f t="shared" si="2"/>
        <v>0</v>
      </c>
      <c r="BL167" s="290">
        <v>0</v>
      </c>
      <c r="BM167" s="290">
        <v>0</v>
      </c>
      <c r="BN167" s="290">
        <v>2056</v>
      </c>
      <c r="BO167" s="290">
        <v>492</v>
      </c>
      <c r="BP167" s="290">
        <v>2</v>
      </c>
      <c r="BQ167" s="290">
        <v>235</v>
      </c>
      <c r="BR167" s="290">
        <v>-1</v>
      </c>
      <c r="BS167" s="290">
        <v>50</v>
      </c>
      <c r="BT167" s="290">
        <v>0</v>
      </c>
      <c r="BU167" s="290">
        <v>0</v>
      </c>
      <c r="BV167" s="290">
        <v>45</v>
      </c>
      <c r="BW167" s="290"/>
      <c r="BX167" s="290"/>
      <c r="BY167" s="290"/>
    </row>
    <row r="168" spans="1:77" ht="13">
      <c r="A168" s="1">
        <v>3429</v>
      </c>
      <c r="B168" s="2" t="s">
        <v>843</v>
      </c>
      <c r="C168" s="289">
        <v>1545</v>
      </c>
      <c r="D168" s="290">
        <v>24</v>
      </c>
      <c r="E168" s="290">
        <v>49</v>
      </c>
      <c r="F168" s="290">
        <v>171</v>
      </c>
      <c r="G168" s="290">
        <v>129</v>
      </c>
      <c r="H168" s="290">
        <v>805</v>
      </c>
      <c r="I168" s="290">
        <v>280</v>
      </c>
      <c r="J168" s="290">
        <v>89</v>
      </c>
      <c r="K168" s="290">
        <v>24</v>
      </c>
      <c r="L168" s="290">
        <v>12</v>
      </c>
      <c r="M168" s="290">
        <v>189</v>
      </c>
      <c r="N168" s="290">
        <v>8</v>
      </c>
      <c r="O168" s="290">
        <v>11</v>
      </c>
      <c r="P168" s="624">
        <v>9925.2250000000004</v>
      </c>
      <c r="Q168" s="624">
        <v>5931.5086666699999</v>
      </c>
      <c r="R168" s="624">
        <v>7</v>
      </c>
      <c r="S168" s="290">
        <v>0</v>
      </c>
      <c r="T168" s="290">
        <v>137</v>
      </c>
      <c r="U168" s="958">
        <v>2.531874431957141E-3</v>
      </c>
      <c r="V168" s="290">
        <v>911.42849622000006</v>
      </c>
      <c r="W168" s="765">
        <v>1</v>
      </c>
      <c r="X168" s="290">
        <v>1000</v>
      </c>
      <c r="Y168" s="290">
        <v>427.12680399999999</v>
      </c>
      <c r="Z168" s="290">
        <v>35491</v>
      </c>
      <c r="AA168" s="290">
        <v>0</v>
      </c>
      <c r="AB168" s="290">
        <v>30</v>
      </c>
      <c r="AC168" s="290">
        <v>244.934</v>
      </c>
      <c r="AD168" s="290">
        <v>167</v>
      </c>
      <c r="AE168" s="290">
        <v>0</v>
      </c>
      <c r="AF168" s="290">
        <v>0</v>
      </c>
      <c r="AG168" s="290">
        <v>1571</v>
      </c>
      <c r="AH168" s="290">
        <v>224.83694987999999</v>
      </c>
      <c r="AI168" s="290">
        <v>2000</v>
      </c>
      <c r="AJ168" s="290">
        <v>0</v>
      </c>
      <c r="AK168" s="290">
        <v>0</v>
      </c>
      <c r="AL168" s="290">
        <v>0</v>
      </c>
      <c r="AM168" s="957">
        <v>7.0930899999999998E-3</v>
      </c>
      <c r="AN168" s="290">
        <v>0</v>
      </c>
      <c r="AO168" s="290">
        <v>-272.46646099999998</v>
      </c>
      <c r="AP168" s="290">
        <v>0</v>
      </c>
      <c r="AQ168" s="290">
        <v>0</v>
      </c>
      <c r="AR168" s="290">
        <v>-84.622643600000004</v>
      </c>
      <c r="AS168" s="290">
        <v>419</v>
      </c>
      <c r="AT168" s="290">
        <v>63</v>
      </c>
      <c r="AU168" s="290">
        <v>8</v>
      </c>
      <c r="AV168" s="766">
        <v>69332</v>
      </c>
      <c r="AW168" s="290">
        <v>903</v>
      </c>
      <c r="AX168" s="766">
        <v>9.8332999999999995</v>
      </c>
      <c r="AY168" s="290">
        <v>318</v>
      </c>
      <c r="AZ168" s="290">
        <v>35</v>
      </c>
      <c r="BA168" s="290">
        <v>24</v>
      </c>
      <c r="BB168" s="290">
        <v>5875</v>
      </c>
      <c r="BC168" s="290">
        <v>631.82629799999995</v>
      </c>
      <c r="BD168" s="290">
        <v>252</v>
      </c>
      <c r="BE168" s="290">
        <v>70919.977400000003</v>
      </c>
      <c r="BF168" s="290">
        <v>0</v>
      </c>
      <c r="BG168" s="290">
        <v>116</v>
      </c>
      <c r="BH168" s="290">
        <v>17</v>
      </c>
      <c r="BI168" s="290">
        <v>896.89775399999996</v>
      </c>
      <c r="BJ168" s="290">
        <v>0</v>
      </c>
      <c r="BK168" s="290">
        <f t="shared" si="2"/>
        <v>0</v>
      </c>
      <c r="BL168" s="290">
        <v>0</v>
      </c>
      <c r="BM168" s="290">
        <v>0</v>
      </c>
      <c r="BN168" s="290">
        <v>1394</v>
      </c>
      <c r="BO168" s="290">
        <v>243</v>
      </c>
      <c r="BP168" s="290">
        <v>1</v>
      </c>
      <c r="BQ168" s="290">
        <v>153</v>
      </c>
      <c r="BR168" s="290">
        <v>-1</v>
      </c>
      <c r="BS168" s="290">
        <v>50</v>
      </c>
      <c r="BT168" s="290">
        <v>0</v>
      </c>
      <c r="BU168" s="290">
        <v>0</v>
      </c>
      <c r="BV168" s="290">
        <v>37</v>
      </c>
      <c r="BW168" s="290"/>
      <c r="BX168" s="290"/>
      <c r="BY168" s="290"/>
    </row>
    <row r="169" spans="1:77" ht="13">
      <c r="A169" s="1">
        <v>3430</v>
      </c>
      <c r="B169" s="2" t="s">
        <v>844</v>
      </c>
      <c r="C169" s="289">
        <v>1891</v>
      </c>
      <c r="D169" s="290">
        <v>25</v>
      </c>
      <c r="E169" s="290">
        <v>58</v>
      </c>
      <c r="F169" s="290">
        <v>179</v>
      </c>
      <c r="G169" s="290">
        <v>173</v>
      </c>
      <c r="H169" s="290">
        <v>1054</v>
      </c>
      <c r="I169" s="290">
        <v>290</v>
      </c>
      <c r="J169" s="290">
        <v>99</v>
      </c>
      <c r="K169" s="290">
        <v>24</v>
      </c>
      <c r="L169" s="290">
        <v>15</v>
      </c>
      <c r="M169" s="290">
        <v>164</v>
      </c>
      <c r="N169" s="290">
        <v>26</v>
      </c>
      <c r="O169" s="290">
        <v>25</v>
      </c>
      <c r="P169" s="624">
        <v>15191.294333330001</v>
      </c>
      <c r="Q169" s="624">
        <v>7979.6833333300001</v>
      </c>
      <c r="R169" s="624">
        <v>17</v>
      </c>
      <c r="S169" s="290">
        <v>0</v>
      </c>
      <c r="T169" s="290">
        <v>167</v>
      </c>
      <c r="U169" s="958">
        <v>2.729411046060374E-3</v>
      </c>
      <c r="V169" s="290">
        <v>1035.9900645600001</v>
      </c>
      <c r="W169" s="765">
        <v>0.82341724999999999</v>
      </c>
      <c r="X169" s="290">
        <v>1500</v>
      </c>
      <c r="Y169" s="290">
        <v>427.12680399999999</v>
      </c>
      <c r="Z169" s="290">
        <v>68420</v>
      </c>
      <c r="AA169" s="290">
        <v>0</v>
      </c>
      <c r="AB169" s="290">
        <v>36</v>
      </c>
      <c r="AC169" s="290">
        <v>307.18</v>
      </c>
      <c r="AD169" s="290">
        <v>167</v>
      </c>
      <c r="AE169" s="290">
        <v>0</v>
      </c>
      <c r="AF169" s="290">
        <v>0</v>
      </c>
      <c r="AG169" s="290">
        <v>1902</v>
      </c>
      <c r="AH169" s="290">
        <v>259.53847268999999</v>
      </c>
      <c r="AI169" s="290">
        <v>0</v>
      </c>
      <c r="AJ169" s="290">
        <v>0</v>
      </c>
      <c r="AK169" s="290">
        <v>0</v>
      </c>
      <c r="AL169" s="290">
        <v>0</v>
      </c>
      <c r="AM169" s="957">
        <v>1.53758E-2</v>
      </c>
      <c r="AN169" s="290">
        <v>0</v>
      </c>
      <c r="AO169" s="290">
        <v>-309.70344599999999</v>
      </c>
      <c r="AP169" s="290">
        <v>0</v>
      </c>
      <c r="AQ169" s="290">
        <v>0</v>
      </c>
      <c r="AR169" s="290">
        <v>928.01981599999999</v>
      </c>
      <c r="AS169" s="290">
        <v>866</v>
      </c>
      <c r="AT169" s="290">
        <v>73</v>
      </c>
      <c r="AU169" s="290">
        <v>10</v>
      </c>
      <c r="AV169" s="766">
        <v>76028</v>
      </c>
      <c r="AW169" s="290">
        <v>861</v>
      </c>
      <c r="AX169" s="766">
        <v>6.9583000000000004</v>
      </c>
      <c r="AY169" s="290">
        <v>415</v>
      </c>
      <c r="AZ169" s="290">
        <v>77</v>
      </c>
      <c r="BA169" s="290">
        <v>20</v>
      </c>
      <c r="BB169" s="290">
        <v>5875</v>
      </c>
      <c r="BC169" s="290">
        <v>672.26685399999997</v>
      </c>
      <c r="BD169" s="290">
        <v>256</v>
      </c>
      <c r="BE169" s="290">
        <v>76686.692800000004</v>
      </c>
      <c r="BF169" s="290">
        <v>0</v>
      </c>
      <c r="BG169" s="290">
        <v>123</v>
      </c>
      <c r="BH169" s="290">
        <v>17</v>
      </c>
      <c r="BI169" s="290">
        <v>993.84527700000001</v>
      </c>
      <c r="BJ169" s="290">
        <v>0</v>
      </c>
      <c r="BK169" s="290">
        <f t="shared" si="2"/>
        <v>0</v>
      </c>
      <c r="BL169" s="290">
        <v>0</v>
      </c>
      <c r="BM169" s="290">
        <v>0</v>
      </c>
      <c r="BN169" s="290">
        <v>1585</v>
      </c>
      <c r="BO169" s="290">
        <v>270</v>
      </c>
      <c r="BP169" s="290">
        <v>1</v>
      </c>
      <c r="BQ169" s="290">
        <v>186</v>
      </c>
      <c r="BR169" s="290">
        <v>-1</v>
      </c>
      <c r="BS169" s="290">
        <v>50</v>
      </c>
      <c r="BT169" s="290">
        <v>0</v>
      </c>
      <c r="BU169" s="290">
        <v>0</v>
      </c>
      <c r="BV169" s="290">
        <v>39</v>
      </c>
      <c r="BW169" s="290"/>
      <c r="BX169" s="290"/>
      <c r="BY169" s="290"/>
    </row>
    <row r="170" spans="1:77" ht="13">
      <c r="A170" s="1">
        <v>3431</v>
      </c>
      <c r="B170" s="2" t="s">
        <v>847</v>
      </c>
      <c r="C170" s="289">
        <v>2553</v>
      </c>
      <c r="D170" s="290">
        <v>36</v>
      </c>
      <c r="E170" s="290">
        <v>95</v>
      </c>
      <c r="F170" s="290">
        <v>251</v>
      </c>
      <c r="G170" s="290">
        <v>227</v>
      </c>
      <c r="H170" s="290">
        <v>1379</v>
      </c>
      <c r="I170" s="290">
        <v>434</v>
      </c>
      <c r="J170" s="290">
        <v>147</v>
      </c>
      <c r="K170" s="290">
        <v>35</v>
      </c>
      <c r="L170" s="290">
        <v>22</v>
      </c>
      <c r="M170" s="290">
        <v>289</v>
      </c>
      <c r="N170" s="290">
        <v>21</v>
      </c>
      <c r="O170" s="290">
        <v>29</v>
      </c>
      <c r="P170" s="624">
        <v>20984.46966667</v>
      </c>
      <c r="Q170" s="624">
        <v>5965.1570000000002</v>
      </c>
      <c r="R170" s="624">
        <v>14</v>
      </c>
      <c r="S170" s="290">
        <v>0</v>
      </c>
      <c r="T170" s="290">
        <v>236</v>
      </c>
      <c r="U170" s="958">
        <v>2.612532085303106E-3</v>
      </c>
      <c r="V170" s="290">
        <v>1283.7082723200001</v>
      </c>
      <c r="W170" s="765">
        <v>0.86015019999999998</v>
      </c>
      <c r="X170" s="290">
        <v>2000</v>
      </c>
      <c r="Y170" s="290">
        <v>427.12680399999999</v>
      </c>
      <c r="Z170" s="290">
        <v>58865</v>
      </c>
      <c r="AA170" s="290">
        <v>0</v>
      </c>
      <c r="AB170" s="290">
        <v>54</v>
      </c>
      <c r="AC170" s="290">
        <v>378.81400000000002</v>
      </c>
      <c r="AD170" s="290">
        <v>167</v>
      </c>
      <c r="AE170" s="290">
        <v>0</v>
      </c>
      <c r="AF170" s="290">
        <v>0</v>
      </c>
      <c r="AG170" s="290">
        <v>2604</v>
      </c>
      <c r="AH170" s="290">
        <v>367.98073147000002</v>
      </c>
      <c r="AI170" s="290">
        <v>0</v>
      </c>
      <c r="AJ170" s="290">
        <v>0</v>
      </c>
      <c r="AK170" s="290">
        <v>0</v>
      </c>
      <c r="AL170" s="290">
        <v>0</v>
      </c>
      <c r="AM170" s="957">
        <v>6.0749980000000002E-2</v>
      </c>
      <c r="AN170" s="290">
        <v>0</v>
      </c>
      <c r="AO170" s="290">
        <v>-413.98070200000001</v>
      </c>
      <c r="AP170" s="290">
        <v>0</v>
      </c>
      <c r="AQ170" s="290">
        <v>0</v>
      </c>
      <c r="AR170" s="290">
        <v>-140.26566800000001</v>
      </c>
      <c r="AS170" s="290">
        <v>831</v>
      </c>
      <c r="AT170" s="290">
        <v>157</v>
      </c>
      <c r="AU170" s="290">
        <v>21</v>
      </c>
      <c r="AV170" s="766">
        <v>92983</v>
      </c>
      <c r="AW170" s="290">
        <v>180</v>
      </c>
      <c r="AX170" s="766">
        <v>8.0417000000000005</v>
      </c>
      <c r="AY170" s="290">
        <v>415</v>
      </c>
      <c r="AZ170" s="290">
        <v>126</v>
      </c>
      <c r="BA170" s="290">
        <v>59</v>
      </c>
      <c r="BB170" s="290">
        <v>5875</v>
      </c>
      <c r="BC170" s="290">
        <v>788.01051199999995</v>
      </c>
      <c r="BD170" s="290">
        <v>315</v>
      </c>
      <c r="BE170" s="290">
        <v>98435.511899999998</v>
      </c>
      <c r="BF170" s="290">
        <v>0</v>
      </c>
      <c r="BG170" s="290">
        <v>158</v>
      </c>
      <c r="BH170" s="290">
        <v>22</v>
      </c>
      <c r="BI170" s="290">
        <v>1173.92154</v>
      </c>
      <c r="BJ170" s="290">
        <v>0</v>
      </c>
      <c r="BK170" s="290">
        <f t="shared" si="2"/>
        <v>0</v>
      </c>
      <c r="BL170" s="290">
        <v>0</v>
      </c>
      <c r="BM170" s="290">
        <v>0</v>
      </c>
      <c r="BN170" s="290">
        <v>2118</v>
      </c>
      <c r="BO170" s="290">
        <v>388</v>
      </c>
      <c r="BP170" s="290">
        <v>2</v>
      </c>
      <c r="BQ170" s="290">
        <v>254</v>
      </c>
      <c r="BR170" s="290">
        <v>-1</v>
      </c>
      <c r="BS170" s="290">
        <v>50</v>
      </c>
      <c r="BT170" s="290">
        <v>0</v>
      </c>
      <c r="BU170" s="290">
        <v>0</v>
      </c>
      <c r="BV170" s="290">
        <v>51</v>
      </c>
      <c r="BW170" s="290"/>
      <c r="BX170" s="290"/>
      <c r="BY170" s="290"/>
    </row>
    <row r="171" spans="1:77" ht="13">
      <c r="A171" s="1">
        <v>3432</v>
      </c>
      <c r="B171" s="2" t="s">
        <v>848</v>
      </c>
      <c r="C171" s="289">
        <v>1975</v>
      </c>
      <c r="D171" s="290">
        <v>33</v>
      </c>
      <c r="E171" s="290">
        <v>79</v>
      </c>
      <c r="F171" s="290">
        <v>239</v>
      </c>
      <c r="G171" s="290">
        <v>178</v>
      </c>
      <c r="H171" s="290">
        <v>1042</v>
      </c>
      <c r="I171" s="290">
        <v>285</v>
      </c>
      <c r="J171" s="290">
        <v>101</v>
      </c>
      <c r="K171" s="290">
        <v>29</v>
      </c>
      <c r="L171" s="290">
        <v>17</v>
      </c>
      <c r="M171" s="290">
        <v>209</v>
      </c>
      <c r="N171" s="290">
        <v>10</v>
      </c>
      <c r="O171" s="290">
        <v>24</v>
      </c>
      <c r="P171" s="624">
        <v>26581.124</v>
      </c>
      <c r="Q171" s="624">
        <v>9934.9459999999999</v>
      </c>
      <c r="R171" s="624">
        <v>9</v>
      </c>
      <c r="S171" s="290">
        <v>0</v>
      </c>
      <c r="T171" s="290">
        <v>147</v>
      </c>
      <c r="U171" s="958">
        <v>3.9108267603337301E-3</v>
      </c>
      <c r="V171" s="290">
        <v>1159.0570500399999</v>
      </c>
      <c r="W171" s="765">
        <v>1</v>
      </c>
      <c r="X171" s="290">
        <v>1000</v>
      </c>
      <c r="Y171" s="290">
        <v>0</v>
      </c>
      <c r="Z171" s="290">
        <v>48613</v>
      </c>
      <c r="AA171" s="290">
        <v>0</v>
      </c>
      <c r="AB171" s="290">
        <v>13</v>
      </c>
      <c r="AC171" s="290">
        <v>401.88499999999999</v>
      </c>
      <c r="AD171" s="290">
        <v>167</v>
      </c>
      <c r="AE171" s="290">
        <v>0</v>
      </c>
      <c r="AF171" s="290">
        <v>0</v>
      </c>
      <c r="AG171" s="290">
        <v>1986</v>
      </c>
      <c r="AH171" s="290">
        <v>334.00215704999999</v>
      </c>
      <c r="AI171" s="290">
        <v>0</v>
      </c>
      <c r="AJ171" s="290">
        <v>0</v>
      </c>
      <c r="AK171" s="290">
        <v>0</v>
      </c>
      <c r="AL171" s="290">
        <v>0</v>
      </c>
      <c r="AM171" s="957">
        <v>1.0361540000000001E-2</v>
      </c>
      <c r="AN171" s="290">
        <v>0</v>
      </c>
      <c r="AO171" s="290">
        <v>-346.49363499999998</v>
      </c>
      <c r="AP171" s="290">
        <v>0</v>
      </c>
      <c r="AQ171" s="290">
        <v>0</v>
      </c>
      <c r="AR171" s="290">
        <v>-106.976811</v>
      </c>
      <c r="AS171" s="290">
        <v>320</v>
      </c>
      <c r="AT171" s="290">
        <v>82</v>
      </c>
      <c r="AU171" s="290">
        <v>6</v>
      </c>
      <c r="AV171" s="766">
        <v>84091</v>
      </c>
      <c r="AW171" s="290">
        <v>413</v>
      </c>
      <c r="AX171" s="766">
        <v>14.166700000000001</v>
      </c>
      <c r="AY171" s="290">
        <v>359</v>
      </c>
      <c r="AZ171" s="290">
        <v>85</v>
      </c>
      <c r="BA171" s="290">
        <v>29</v>
      </c>
      <c r="BB171" s="290">
        <v>5875</v>
      </c>
      <c r="BC171" s="290">
        <v>337.46946300000002</v>
      </c>
      <c r="BD171" s="290">
        <v>285</v>
      </c>
      <c r="BE171" s="290">
        <v>88267.830499999996</v>
      </c>
      <c r="BF171" s="290">
        <v>0</v>
      </c>
      <c r="BG171" s="290">
        <v>139</v>
      </c>
      <c r="BH171" s="290">
        <v>20</v>
      </c>
      <c r="BI171" s="290">
        <v>735.887157</v>
      </c>
      <c r="BJ171" s="290">
        <v>0</v>
      </c>
      <c r="BK171" s="290">
        <f t="shared" si="2"/>
        <v>0</v>
      </c>
      <c r="BL171" s="290">
        <v>0</v>
      </c>
      <c r="BM171" s="290">
        <v>0</v>
      </c>
      <c r="BN171" s="290">
        <v>1773</v>
      </c>
      <c r="BO171" s="290">
        <v>360</v>
      </c>
      <c r="BP171" s="290">
        <v>2</v>
      </c>
      <c r="BQ171" s="290">
        <v>195</v>
      </c>
      <c r="BR171" s="290">
        <v>-1</v>
      </c>
      <c r="BS171" s="290">
        <v>50</v>
      </c>
      <c r="BT171" s="290">
        <v>0</v>
      </c>
      <c r="BU171" s="290">
        <v>0</v>
      </c>
      <c r="BV171" s="290">
        <v>45</v>
      </c>
      <c r="BW171" s="290"/>
      <c r="BX171" s="290"/>
      <c r="BY171" s="290"/>
    </row>
    <row r="172" spans="1:77" ht="13">
      <c r="A172" s="1">
        <v>3433</v>
      </c>
      <c r="B172" s="2" t="s">
        <v>849</v>
      </c>
      <c r="C172" s="289">
        <v>2197</v>
      </c>
      <c r="D172" s="290">
        <v>33</v>
      </c>
      <c r="E172" s="290">
        <v>85</v>
      </c>
      <c r="F172" s="290">
        <v>209</v>
      </c>
      <c r="G172" s="290">
        <v>184</v>
      </c>
      <c r="H172" s="290">
        <v>1186</v>
      </c>
      <c r="I172" s="290">
        <v>376</v>
      </c>
      <c r="J172" s="290">
        <v>121</v>
      </c>
      <c r="K172" s="290">
        <v>23</v>
      </c>
      <c r="L172" s="290">
        <v>16</v>
      </c>
      <c r="M172" s="290">
        <v>234</v>
      </c>
      <c r="N172" s="290">
        <v>26</v>
      </c>
      <c r="O172" s="290">
        <v>11</v>
      </c>
      <c r="P172" s="624">
        <v>12318.172</v>
      </c>
      <c r="Q172" s="624">
        <v>6793.4366666699998</v>
      </c>
      <c r="R172" s="624">
        <v>6</v>
      </c>
      <c r="S172" s="290">
        <v>0</v>
      </c>
      <c r="T172" s="290">
        <v>191</v>
      </c>
      <c r="U172" s="958">
        <v>3.2357181536525263E-3</v>
      </c>
      <c r="V172" s="290">
        <v>1037.01514653</v>
      </c>
      <c r="W172" s="765">
        <v>0.93386902000000005</v>
      </c>
      <c r="X172" s="290">
        <v>800</v>
      </c>
      <c r="Y172" s="290">
        <v>427.12680399999999</v>
      </c>
      <c r="Z172" s="290">
        <v>62348</v>
      </c>
      <c r="AA172" s="290">
        <v>605</v>
      </c>
      <c r="AB172" s="290">
        <v>43</v>
      </c>
      <c r="AC172" s="290">
        <v>337.50900000000001</v>
      </c>
      <c r="AD172" s="290">
        <v>167</v>
      </c>
      <c r="AE172" s="290">
        <v>0</v>
      </c>
      <c r="AF172" s="290">
        <v>0</v>
      </c>
      <c r="AG172" s="290">
        <v>2217</v>
      </c>
      <c r="AH172" s="290">
        <v>325.32677634999999</v>
      </c>
      <c r="AI172" s="290">
        <v>0</v>
      </c>
      <c r="AJ172" s="290">
        <v>0</v>
      </c>
      <c r="AK172" s="290">
        <v>57.045000000000002</v>
      </c>
      <c r="AL172" s="290">
        <v>0</v>
      </c>
      <c r="AM172" s="957">
        <v>1.8730589999999998E-2</v>
      </c>
      <c r="AN172" s="290">
        <v>0</v>
      </c>
      <c r="AO172" s="290">
        <v>-340.23316899999998</v>
      </c>
      <c r="AP172" s="290">
        <v>0</v>
      </c>
      <c r="AQ172" s="290">
        <v>0</v>
      </c>
      <c r="AR172" s="290">
        <v>-119.41973299999999</v>
      </c>
      <c r="AS172" s="290">
        <v>1593</v>
      </c>
      <c r="AT172" s="290">
        <v>97</v>
      </c>
      <c r="AU172" s="290">
        <v>14</v>
      </c>
      <c r="AV172" s="766">
        <v>75717</v>
      </c>
      <c r="AW172" s="290">
        <v>170</v>
      </c>
      <c r="AX172" s="766">
        <v>14.25</v>
      </c>
      <c r="AY172" s="290">
        <v>371</v>
      </c>
      <c r="AZ172" s="290">
        <v>67</v>
      </c>
      <c r="BA172" s="290">
        <v>40</v>
      </c>
      <c r="BB172" s="290">
        <v>5875</v>
      </c>
      <c r="BC172" s="290">
        <v>720.37716999999998</v>
      </c>
      <c r="BD172" s="290">
        <v>294</v>
      </c>
      <c r="BE172" s="290">
        <v>78979.376000000004</v>
      </c>
      <c r="BF172" s="290">
        <v>0</v>
      </c>
      <c r="BG172" s="290">
        <v>141</v>
      </c>
      <c r="BH172" s="290">
        <v>20</v>
      </c>
      <c r="BI172" s="290">
        <v>1147.00758</v>
      </c>
      <c r="BJ172" s="290">
        <v>0</v>
      </c>
      <c r="BK172" s="290">
        <f t="shared" si="2"/>
        <v>0</v>
      </c>
      <c r="BL172" s="290">
        <v>0</v>
      </c>
      <c r="BM172" s="290">
        <v>0</v>
      </c>
      <c r="BN172" s="290">
        <v>1741</v>
      </c>
      <c r="BO172" s="290">
        <v>352</v>
      </c>
      <c r="BP172" s="290">
        <v>2</v>
      </c>
      <c r="BQ172" s="290">
        <v>215</v>
      </c>
      <c r="BR172" s="290">
        <v>-1</v>
      </c>
      <c r="BS172" s="290">
        <v>50</v>
      </c>
      <c r="BT172" s="290">
        <v>0</v>
      </c>
      <c r="BU172" s="290">
        <v>0</v>
      </c>
      <c r="BV172" s="290">
        <v>45</v>
      </c>
      <c r="BW172" s="290"/>
      <c r="BX172" s="290"/>
      <c r="BY172" s="290"/>
    </row>
    <row r="173" spans="1:77" ht="13">
      <c r="A173" s="1">
        <v>3434</v>
      </c>
      <c r="B173" s="2" t="s">
        <v>850</v>
      </c>
      <c r="C173" s="289">
        <v>2228</v>
      </c>
      <c r="D173" s="290">
        <v>29</v>
      </c>
      <c r="E173" s="290">
        <v>98</v>
      </c>
      <c r="F173" s="290">
        <v>237</v>
      </c>
      <c r="G173" s="290">
        <v>187</v>
      </c>
      <c r="H173" s="290">
        <v>1249</v>
      </c>
      <c r="I173" s="290">
        <v>327</v>
      </c>
      <c r="J173" s="290">
        <v>119</v>
      </c>
      <c r="K173" s="290">
        <v>24</v>
      </c>
      <c r="L173" s="290">
        <v>19</v>
      </c>
      <c r="M173" s="290">
        <v>211</v>
      </c>
      <c r="N173" s="290">
        <v>16</v>
      </c>
      <c r="O173" s="290">
        <v>17</v>
      </c>
      <c r="P173" s="624">
        <v>17220.564333329999</v>
      </c>
      <c r="Q173" s="624">
        <v>8273.6673333300005</v>
      </c>
      <c r="R173" s="624">
        <v>10</v>
      </c>
      <c r="S173" s="290">
        <v>0</v>
      </c>
      <c r="T173" s="290">
        <v>189</v>
      </c>
      <c r="U173" s="958">
        <v>3.264942440255872E-3</v>
      </c>
      <c r="V173" s="290">
        <v>1196.6771828599999</v>
      </c>
      <c r="W173" s="765">
        <v>0.86324371</v>
      </c>
      <c r="X173" s="290">
        <v>800</v>
      </c>
      <c r="Y173" s="290">
        <v>427.12680399999999</v>
      </c>
      <c r="Z173" s="290">
        <v>53756</v>
      </c>
      <c r="AA173" s="290">
        <v>145</v>
      </c>
      <c r="AB173" s="290">
        <v>27</v>
      </c>
      <c r="AC173" s="290">
        <v>359.66699999999997</v>
      </c>
      <c r="AD173" s="290">
        <v>167</v>
      </c>
      <c r="AE173" s="290">
        <v>0</v>
      </c>
      <c r="AF173" s="290">
        <v>0</v>
      </c>
      <c r="AG173" s="290">
        <v>2270</v>
      </c>
      <c r="AH173" s="290">
        <v>346.29227971</v>
      </c>
      <c r="AI173" s="290">
        <v>0</v>
      </c>
      <c r="AJ173" s="290">
        <v>0</v>
      </c>
      <c r="AK173" s="290">
        <v>0</v>
      </c>
      <c r="AL173" s="290">
        <v>0</v>
      </c>
      <c r="AM173" s="957">
        <v>1.8986469999999998E-2</v>
      </c>
      <c r="AN173" s="290">
        <v>0</v>
      </c>
      <c r="AO173" s="290">
        <v>-357.73996299999999</v>
      </c>
      <c r="AP173" s="290">
        <v>0</v>
      </c>
      <c r="AQ173" s="290">
        <v>0</v>
      </c>
      <c r="AR173" s="290">
        <v>-122.274603</v>
      </c>
      <c r="AS173" s="290">
        <v>869</v>
      </c>
      <c r="AT173" s="290">
        <v>94</v>
      </c>
      <c r="AU173" s="290">
        <v>18</v>
      </c>
      <c r="AV173" s="766">
        <v>81248</v>
      </c>
      <c r="AW173" s="290">
        <v>4370</v>
      </c>
      <c r="AX173" s="766">
        <v>7.6666499999999997</v>
      </c>
      <c r="AY173" s="290">
        <v>414</v>
      </c>
      <c r="AZ173" s="290">
        <v>59</v>
      </c>
      <c r="BA173" s="290">
        <v>43</v>
      </c>
      <c r="BB173" s="290">
        <v>5875</v>
      </c>
      <c r="BC173" s="290">
        <v>767.79023500000005</v>
      </c>
      <c r="BD173" s="290">
        <v>290</v>
      </c>
      <c r="BE173" s="290">
        <v>84550.518299999996</v>
      </c>
      <c r="BF173" s="290">
        <v>0</v>
      </c>
      <c r="BG173" s="290">
        <v>140</v>
      </c>
      <c r="BH173" s="290">
        <v>20</v>
      </c>
      <c r="BI173" s="290">
        <v>1133.08608</v>
      </c>
      <c r="BJ173" s="290">
        <v>0</v>
      </c>
      <c r="BK173" s="290">
        <f t="shared" si="2"/>
        <v>0</v>
      </c>
      <c r="BL173" s="290">
        <v>0</v>
      </c>
      <c r="BM173" s="290">
        <v>0</v>
      </c>
      <c r="BN173" s="290">
        <v>1830</v>
      </c>
      <c r="BO173" s="290">
        <v>386</v>
      </c>
      <c r="BP173" s="290">
        <v>2</v>
      </c>
      <c r="BQ173" s="290">
        <v>223</v>
      </c>
      <c r="BR173" s="290">
        <v>-1</v>
      </c>
      <c r="BS173" s="290">
        <v>50</v>
      </c>
      <c r="BT173" s="290">
        <v>0</v>
      </c>
      <c r="BU173" s="290">
        <v>0</v>
      </c>
      <c r="BV173" s="290">
        <v>45</v>
      </c>
      <c r="BW173" s="290"/>
      <c r="BX173" s="290"/>
      <c r="BY173" s="290"/>
    </row>
    <row r="174" spans="1:77" ht="13">
      <c r="A174" s="1">
        <v>3435</v>
      </c>
      <c r="B174" s="2" t="s">
        <v>851</v>
      </c>
      <c r="C174" s="289">
        <v>3570</v>
      </c>
      <c r="D174" s="290">
        <v>65</v>
      </c>
      <c r="E174" s="290">
        <v>112</v>
      </c>
      <c r="F174" s="290">
        <v>425</v>
      </c>
      <c r="G174" s="290">
        <v>315</v>
      </c>
      <c r="H174" s="290">
        <v>1904</v>
      </c>
      <c r="I174" s="290">
        <v>547</v>
      </c>
      <c r="J174" s="290">
        <v>174</v>
      </c>
      <c r="K174" s="290">
        <v>43</v>
      </c>
      <c r="L174" s="290">
        <v>35</v>
      </c>
      <c r="M174" s="290">
        <v>349</v>
      </c>
      <c r="N174" s="290">
        <v>32</v>
      </c>
      <c r="O174" s="290">
        <v>32</v>
      </c>
      <c r="P174" s="624">
        <v>21850.359333330001</v>
      </c>
      <c r="Q174" s="624">
        <v>12078.785</v>
      </c>
      <c r="R174" s="624">
        <v>23</v>
      </c>
      <c r="S174" s="290">
        <v>0</v>
      </c>
      <c r="T174" s="290">
        <v>266</v>
      </c>
      <c r="U174" s="958">
        <v>3.8909195991960145E-3</v>
      </c>
      <c r="V174" s="290">
        <v>1854.6589168600001</v>
      </c>
      <c r="W174" s="765">
        <v>0.76275340999999997</v>
      </c>
      <c r="X174" s="290">
        <v>1000</v>
      </c>
      <c r="Y174" s="290">
        <v>427.12680399999999</v>
      </c>
      <c r="Z174" s="290">
        <v>85608</v>
      </c>
      <c r="AA174" s="290">
        <v>0</v>
      </c>
      <c r="AB174" s="290">
        <v>66</v>
      </c>
      <c r="AC174" s="290">
        <v>576.26300000000003</v>
      </c>
      <c r="AD174" s="290">
        <v>333</v>
      </c>
      <c r="AE174" s="290">
        <v>0</v>
      </c>
      <c r="AF174" s="290">
        <v>0</v>
      </c>
      <c r="AG174" s="290">
        <v>3585</v>
      </c>
      <c r="AH174" s="290">
        <v>566.79153924000002</v>
      </c>
      <c r="AI174" s="290">
        <v>1800</v>
      </c>
      <c r="AJ174" s="290">
        <v>0</v>
      </c>
      <c r="AK174" s="290">
        <v>0</v>
      </c>
      <c r="AL174" s="290">
        <v>0</v>
      </c>
      <c r="AM174" s="957">
        <v>3.3388920000000002E-2</v>
      </c>
      <c r="AN174" s="290">
        <v>5408</v>
      </c>
      <c r="AO174" s="290">
        <v>-554.43992900000001</v>
      </c>
      <c r="AP174" s="290">
        <v>0</v>
      </c>
      <c r="AQ174" s="290">
        <v>0</v>
      </c>
      <c r="AR174" s="290">
        <v>-193.107688</v>
      </c>
      <c r="AS174" s="290">
        <v>524</v>
      </c>
      <c r="AT174" s="290">
        <v>160</v>
      </c>
      <c r="AU174" s="290">
        <v>28</v>
      </c>
      <c r="AV174" s="766">
        <v>122080</v>
      </c>
      <c r="AW174" s="290">
        <v>207</v>
      </c>
      <c r="AX174" s="766">
        <v>21.208349999999999</v>
      </c>
      <c r="AY174" s="290">
        <v>612</v>
      </c>
      <c r="AZ174" s="290">
        <v>96</v>
      </c>
      <c r="BA174" s="290">
        <v>62</v>
      </c>
      <c r="BB174" s="290">
        <v>0</v>
      </c>
      <c r="BC174" s="290">
        <v>963.02050199999996</v>
      </c>
      <c r="BD174" s="290">
        <v>381</v>
      </c>
      <c r="BE174" s="290">
        <v>124927.235</v>
      </c>
      <c r="BF174" s="290">
        <v>0</v>
      </c>
      <c r="BG174" s="290">
        <v>197</v>
      </c>
      <c r="BH174" s="290">
        <v>28</v>
      </c>
      <c r="BI174" s="290">
        <v>1570.1813400000001</v>
      </c>
      <c r="BJ174" s="290">
        <v>0</v>
      </c>
      <c r="BK174" s="290">
        <f t="shared" si="2"/>
        <v>0</v>
      </c>
      <c r="BL174" s="290">
        <v>0</v>
      </c>
      <c r="BM174" s="290">
        <v>0</v>
      </c>
      <c r="BN174" s="290">
        <v>2837</v>
      </c>
      <c r="BO174" s="290">
        <v>540</v>
      </c>
      <c r="BP174" s="290">
        <v>2</v>
      </c>
      <c r="BQ174" s="290">
        <v>349</v>
      </c>
      <c r="BR174" s="290">
        <v>-2</v>
      </c>
      <c r="BS174" s="290">
        <v>50</v>
      </c>
      <c r="BT174" s="290">
        <v>0</v>
      </c>
      <c r="BU174" s="290">
        <v>0</v>
      </c>
      <c r="BV174" s="290">
        <v>63</v>
      </c>
      <c r="BW174" s="290"/>
      <c r="BX174" s="290"/>
      <c r="BY174" s="290"/>
    </row>
    <row r="175" spans="1:77" ht="13">
      <c r="A175" s="1">
        <v>3436</v>
      </c>
      <c r="B175" s="2" t="s">
        <v>852</v>
      </c>
      <c r="C175" s="289">
        <v>5723</v>
      </c>
      <c r="D175" s="290">
        <v>92</v>
      </c>
      <c r="E175" s="290">
        <v>219</v>
      </c>
      <c r="F175" s="290">
        <v>606</v>
      </c>
      <c r="G175" s="290">
        <v>517</v>
      </c>
      <c r="H175" s="290">
        <v>3054</v>
      </c>
      <c r="I175" s="290">
        <v>917</v>
      </c>
      <c r="J175" s="290">
        <v>284</v>
      </c>
      <c r="K175" s="290">
        <v>53</v>
      </c>
      <c r="L175" s="290">
        <v>47</v>
      </c>
      <c r="M175" s="290">
        <v>594</v>
      </c>
      <c r="N175" s="290">
        <v>66</v>
      </c>
      <c r="O175" s="290">
        <v>57</v>
      </c>
      <c r="P175" s="624">
        <v>46846.271999999997</v>
      </c>
      <c r="Q175" s="624">
        <v>14387.46666667</v>
      </c>
      <c r="R175" s="624">
        <v>42</v>
      </c>
      <c r="S175" s="290">
        <v>0</v>
      </c>
      <c r="T175" s="290">
        <v>525</v>
      </c>
      <c r="U175" s="958">
        <v>4.4036772657990294E-3</v>
      </c>
      <c r="V175" s="290">
        <v>2678.9640169700001</v>
      </c>
      <c r="W175" s="765">
        <v>0.66467567000000005</v>
      </c>
      <c r="X175" s="290">
        <v>1400</v>
      </c>
      <c r="Y175" s="290">
        <v>427.12680399999999</v>
      </c>
      <c r="Z175" s="290">
        <v>161716</v>
      </c>
      <c r="AA175" s="290">
        <v>0</v>
      </c>
      <c r="AB175" s="290">
        <v>131</v>
      </c>
      <c r="AC175" s="290">
        <v>846.29300000000001</v>
      </c>
      <c r="AD175" s="290">
        <v>333</v>
      </c>
      <c r="AE175" s="290">
        <v>0</v>
      </c>
      <c r="AF175" s="290">
        <v>0</v>
      </c>
      <c r="AG175" s="290">
        <v>5742</v>
      </c>
      <c r="AH175" s="290">
        <v>876.93639936</v>
      </c>
      <c r="AI175" s="290">
        <v>0</v>
      </c>
      <c r="AJ175" s="290">
        <v>0</v>
      </c>
      <c r="AK175" s="290">
        <v>0</v>
      </c>
      <c r="AL175" s="290">
        <v>0</v>
      </c>
      <c r="AM175" s="957">
        <v>9.0407920000000003E-2</v>
      </c>
      <c r="AN175" s="290">
        <v>7888</v>
      </c>
      <c r="AO175" s="290">
        <v>-861.30789800000002</v>
      </c>
      <c r="AP175" s="290">
        <v>0</v>
      </c>
      <c r="AQ175" s="290">
        <v>0</v>
      </c>
      <c r="AR175" s="290">
        <v>-309.29549300000002</v>
      </c>
      <c r="AS175" s="290">
        <v>876</v>
      </c>
      <c r="AT175" s="290">
        <v>276</v>
      </c>
      <c r="AU175" s="290">
        <v>54</v>
      </c>
      <c r="AV175" s="766">
        <v>178723</v>
      </c>
      <c r="AW175" s="290">
        <v>1964</v>
      </c>
      <c r="AX175" s="766">
        <v>21.374949999999998</v>
      </c>
      <c r="AY175" s="290">
        <v>950</v>
      </c>
      <c r="AZ175" s="290">
        <v>200</v>
      </c>
      <c r="BA175" s="290">
        <v>114</v>
      </c>
      <c r="BB175" s="290">
        <v>0</v>
      </c>
      <c r="BC175" s="290">
        <v>1269.11367</v>
      </c>
      <c r="BD175" s="290">
        <v>538</v>
      </c>
      <c r="BE175" s="290">
        <v>187771.853</v>
      </c>
      <c r="BF175" s="290">
        <v>0</v>
      </c>
      <c r="BG175" s="290">
        <v>296</v>
      </c>
      <c r="BH175" s="290">
        <v>42</v>
      </c>
      <c r="BI175" s="290">
        <v>2150.3562000000002</v>
      </c>
      <c r="BJ175" s="290">
        <v>0</v>
      </c>
      <c r="BK175" s="290">
        <f t="shared" si="2"/>
        <v>0</v>
      </c>
      <c r="BL175" s="290">
        <v>0</v>
      </c>
      <c r="BM175" s="290">
        <v>0</v>
      </c>
      <c r="BN175" s="290">
        <v>4407</v>
      </c>
      <c r="BO175" s="290">
        <v>891</v>
      </c>
      <c r="BP175" s="290">
        <v>4</v>
      </c>
      <c r="BQ175" s="290">
        <v>561</v>
      </c>
      <c r="BR175" s="290">
        <v>-3</v>
      </c>
      <c r="BS175" s="290">
        <v>85</v>
      </c>
      <c r="BT175" s="290">
        <v>0</v>
      </c>
      <c r="BU175" s="290">
        <v>0</v>
      </c>
      <c r="BV175" s="290">
        <v>95</v>
      </c>
      <c r="BW175" s="290"/>
      <c r="BX175" s="290"/>
      <c r="BY175" s="290"/>
    </row>
    <row r="176" spans="1:77" ht="13">
      <c r="A176" s="1">
        <v>3437</v>
      </c>
      <c r="B176" s="2" t="s">
        <v>853</v>
      </c>
      <c r="C176" s="289">
        <v>5739</v>
      </c>
      <c r="D176" s="290">
        <v>92</v>
      </c>
      <c r="E176" s="290">
        <v>209</v>
      </c>
      <c r="F176" s="290">
        <v>615</v>
      </c>
      <c r="G176" s="290">
        <v>499</v>
      </c>
      <c r="H176" s="290">
        <v>3124</v>
      </c>
      <c r="I176" s="290">
        <v>874</v>
      </c>
      <c r="J176" s="290">
        <v>307</v>
      </c>
      <c r="K176" s="290">
        <v>69</v>
      </c>
      <c r="L176" s="290">
        <v>43</v>
      </c>
      <c r="M176" s="290">
        <v>562</v>
      </c>
      <c r="N176" s="290">
        <v>61</v>
      </c>
      <c r="O176" s="290">
        <v>48</v>
      </c>
      <c r="P176" s="624">
        <v>67783.290999999997</v>
      </c>
      <c r="Q176" s="624">
        <v>14569.093000000001</v>
      </c>
      <c r="R176" s="624">
        <v>44</v>
      </c>
      <c r="S176" s="290">
        <v>0</v>
      </c>
      <c r="T176" s="290">
        <v>491</v>
      </c>
      <c r="U176" s="958">
        <v>3.5383031781327104E-3</v>
      </c>
      <c r="V176" s="290">
        <v>2957.6334609800001</v>
      </c>
      <c r="W176" s="765">
        <v>0.73016460000000005</v>
      </c>
      <c r="X176" s="290">
        <v>1500</v>
      </c>
      <c r="Y176" s="290">
        <v>427.12680399999999</v>
      </c>
      <c r="Z176" s="290">
        <v>121296</v>
      </c>
      <c r="AA176" s="290">
        <v>280</v>
      </c>
      <c r="AB176" s="290">
        <v>126</v>
      </c>
      <c r="AC176" s="290">
        <v>895.69500000000005</v>
      </c>
      <c r="AD176" s="290">
        <v>333</v>
      </c>
      <c r="AE176" s="290">
        <v>0</v>
      </c>
      <c r="AF176" s="290">
        <v>0</v>
      </c>
      <c r="AG176" s="290">
        <v>5789</v>
      </c>
      <c r="AH176" s="290">
        <v>868.98396705000005</v>
      </c>
      <c r="AI176" s="290">
        <v>2500</v>
      </c>
      <c r="AJ176" s="290">
        <v>0</v>
      </c>
      <c r="AK176" s="290">
        <v>0</v>
      </c>
      <c r="AL176" s="290">
        <v>0</v>
      </c>
      <c r="AM176" s="957">
        <v>0.11632960000000001</v>
      </c>
      <c r="AN176" s="290">
        <v>7942</v>
      </c>
      <c r="AO176" s="290">
        <v>-884.16801199999998</v>
      </c>
      <c r="AP176" s="290">
        <v>0</v>
      </c>
      <c r="AQ176" s="290">
        <v>0</v>
      </c>
      <c r="AR176" s="290">
        <v>-311.82717000000002</v>
      </c>
      <c r="AS176" s="290">
        <v>1362</v>
      </c>
      <c r="AT176" s="290">
        <v>277</v>
      </c>
      <c r="AU176" s="290">
        <v>62</v>
      </c>
      <c r="AV176" s="766">
        <v>188603</v>
      </c>
      <c r="AW176" s="290">
        <v>6475</v>
      </c>
      <c r="AX176" s="766">
        <v>29.333349999999999</v>
      </c>
      <c r="AY176" s="290">
        <v>935</v>
      </c>
      <c r="AZ176" s="290">
        <v>227</v>
      </c>
      <c r="BA176" s="290">
        <v>120</v>
      </c>
      <c r="BB176" s="290">
        <v>0</v>
      </c>
      <c r="BC176" s="290">
        <v>1267.7191700000001</v>
      </c>
      <c r="BD176" s="290">
        <v>551</v>
      </c>
      <c r="BE176" s="290">
        <v>195991.14499999999</v>
      </c>
      <c r="BF176" s="290">
        <v>0</v>
      </c>
      <c r="BG176" s="290">
        <v>307</v>
      </c>
      <c r="BH176" s="290">
        <v>44</v>
      </c>
      <c r="BI176" s="290">
        <v>2191.8057699999999</v>
      </c>
      <c r="BJ176" s="290">
        <v>0</v>
      </c>
      <c r="BK176" s="290">
        <f t="shared" si="2"/>
        <v>0</v>
      </c>
      <c r="BL176" s="290">
        <v>0</v>
      </c>
      <c r="BM176" s="290">
        <v>0</v>
      </c>
      <c r="BN176" s="290">
        <v>4524</v>
      </c>
      <c r="BO176" s="290">
        <v>891</v>
      </c>
      <c r="BP176" s="290">
        <v>4</v>
      </c>
      <c r="BQ176" s="290">
        <v>559</v>
      </c>
      <c r="BR176" s="290">
        <v>-3</v>
      </c>
      <c r="BS176" s="290">
        <v>85</v>
      </c>
      <c r="BT176" s="290">
        <v>0</v>
      </c>
      <c r="BU176" s="290">
        <v>0</v>
      </c>
      <c r="BV176" s="290">
        <v>99</v>
      </c>
      <c r="BW176" s="290"/>
      <c r="BX176" s="290"/>
      <c r="BY176" s="290"/>
    </row>
    <row r="177" spans="1:77" ht="13">
      <c r="A177" s="1">
        <v>3438</v>
      </c>
      <c r="B177" s="2" t="s">
        <v>854</v>
      </c>
      <c r="C177" s="289">
        <v>3119</v>
      </c>
      <c r="D177" s="290">
        <v>51</v>
      </c>
      <c r="E177" s="290">
        <v>112</v>
      </c>
      <c r="F177" s="290">
        <v>362</v>
      </c>
      <c r="G177" s="290">
        <v>288</v>
      </c>
      <c r="H177" s="290">
        <v>1687</v>
      </c>
      <c r="I177" s="290">
        <v>435</v>
      </c>
      <c r="J177" s="290">
        <v>148</v>
      </c>
      <c r="K177" s="290">
        <v>41</v>
      </c>
      <c r="L177" s="290">
        <v>27</v>
      </c>
      <c r="M177" s="290">
        <v>262</v>
      </c>
      <c r="N177" s="290">
        <v>26</v>
      </c>
      <c r="O177" s="290">
        <v>22</v>
      </c>
      <c r="P177" s="624">
        <v>15965.71866667</v>
      </c>
      <c r="Q177" s="624">
        <v>9965.2703333299996</v>
      </c>
      <c r="R177" s="624">
        <v>8</v>
      </c>
      <c r="S177" s="290">
        <v>0</v>
      </c>
      <c r="T177" s="290">
        <v>265</v>
      </c>
      <c r="U177" s="958">
        <v>3.4975462853143631E-3</v>
      </c>
      <c r="V177" s="290">
        <v>1230.9644180600001</v>
      </c>
      <c r="W177" s="765">
        <v>0.67216622999999998</v>
      </c>
      <c r="X177" s="290">
        <v>1000</v>
      </c>
      <c r="Y177" s="290">
        <v>427.12680399999999</v>
      </c>
      <c r="Z177" s="290">
        <v>83331</v>
      </c>
      <c r="AA177" s="290">
        <v>25</v>
      </c>
      <c r="AB177" s="290">
        <v>71</v>
      </c>
      <c r="AC177" s="290">
        <v>513.03</v>
      </c>
      <c r="AD177" s="290">
        <v>333</v>
      </c>
      <c r="AE177" s="290">
        <v>0</v>
      </c>
      <c r="AF177" s="290">
        <v>0</v>
      </c>
      <c r="AG177" s="290">
        <v>3124</v>
      </c>
      <c r="AH177" s="290">
        <v>506.78682271000002</v>
      </c>
      <c r="AI177" s="290">
        <v>0</v>
      </c>
      <c r="AJ177" s="290">
        <v>0</v>
      </c>
      <c r="AK177" s="290">
        <v>0</v>
      </c>
      <c r="AL177" s="290">
        <v>0</v>
      </c>
      <c r="AM177" s="957">
        <v>3.5925890000000002E-2</v>
      </c>
      <c r="AN177" s="290">
        <v>0</v>
      </c>
      <c r="AO177" s="290">
        <v>-458.659783</v>
      </c>
      <c r="AP177" s="290">
        <v>0</v>
      </c>
      <c r="AQ177" s="290">
        <v>0</v>
      </c>
      <c r="AR177" s="290">
        <v>2065.3896800000002</v>
      </c>
      <c r="AS177" s="290">
        <v>256</v>
      </c>
      <c r="AT177" s="290">
        <v>136</v>
      </c>
      <c r="AU177" s="290">
        <v>21</v>
      </c>
      <c r="AV177" s="766">
        <v>100029</v>
      </c>
      <c r="AW177" s="290">
        <v>195</v>
      </c>
      <c r="AX177" s="766">
        <v>21.166699999999999</v>
      </c>
      <c r="AY177" s="290">
        <v>486</v>
      </c>
      <c r="AZ177" s="290">
        <v>123</v>
      </c>
      <c r="BA177" s="290">
        <v>57</v>
      </c>
      <c r="BB177" s="290">
        <v>5289</v>
      </c>
      <c r="BC177" s="290">
        <v>911.42393100000004</v>
      </c>
      <c r="BD177" s="290">
        <v>333</v>
      </c>
      <c r="BE177" s="290">
        <v>99467.978600000002</v>
      </c>
      <c r="BF177" s="290">
        <v>0</v>
      </c>
      <c r="BG177" s="290">
        <v>169</v>
      </c>
      <c r="BH177" s="290">
        <v>24</v>
      </c>
      <c r="BI177" s="290">
        <v>1446.94363</v>
      </c>
      <c r="BJ177" s="290">
        <v>0</v>
      </c>
      <c r="BK177" s="290">
        <f t="shared" si="2"/>
        <v>0</v>
      </c>
      <c r="BL177" s="290">
        <v>0</v>
      </c>
      <c r="BM177" s="290">
        <v>0</v>
      </c>
      <c r="BN177" s="290">
        <v>2347</v>
      </c>
      <c r="BO177" s="290">
        <v>500</v>
      </c>
      <c r="BP177" s="290">
        <v>2</v>
      </c>
      <c r="BQ177" s="290">
        <v>305</v>
      </c>
      <c r="BR177" s="290">
        <v>-1</v>
      </c>
      <c r="BS177" s="290">
        <v>52</v>
      </c>
      <c r="BT177" s="290">
        <v>0</v>
      </c>
      <c r="BU177" s="290">
        <v>0</v>
      </c>
      <c r="BV177" s="290">
        <v>54</v>
      </c>
      <c r="BW177" s="290"/>
      <c r="BX177" s="290"/>
      <c r="BY177" s="290"/>
    </row>
    <row r="178" spans="1:77" ht="13">
      <c r="A178" s="1">
        <v>3439</v>
      </c>
      <c r="B178" s="2" t="s">
        <v>855</v>
      </c>
      <c r="C178" s="289">
        <v>4392</v>
      </c>
      <c r="D178" s="290">
        <v>64</v>
      </c>
      <c r="E178" s="290">
        <v>136</v>
      </c>
      <c r="F178" s="290">
        <v>455</v>
      </c>
      <c r="G178" s="290">
        <v>371</v>
      </c>
      <c r="H178" s="290">
        <v>2387</v>
      </c>
      <c r="I178" s="290">
        <v>687</v>
      </c>
      <c r="J178" s="290">
        <v>219</v>
      </c>
      <c r="K178" s="290">
        <v>61</v>
      </c>
      <c r="L178" s="290">
        <v>33</v>
      </c>
      <c r="M178" s="290">
        <v>445</v>
      </c>
      <c r="N178" s="290">
        <v>40</v>
      </c>
      <c r="O178" s="290">
        <v>34</v>
      </c>
      <c r="P178" s="624">
        <v>19780.066999999999</v>
      </c>
      <c r="Q178" s="624">
        <v>12174.36866667</v>
      </c>
      <c r="R178" s="624">
        <v>27</v>
      </c>
      <c r="S178" s="290">
        <v>0</v>
      </c>
      <c r="T178" s="290">
        <v>377</v>
      </c>
      <c r="U178" s="958">
        <v>4.7376559886122974E-3</v>
      </c>
      <c r="V178" s="290">
        <v>-2178.9915423299999</v>
      </c>
      <c r="W178" s="765">
        <v>0.70243977999999996</v>
      </c>
      <c r="X178" s="290">
        <v>1000</v>
      </c>
      <c r="Y178" s="290">
        <v>427.12680399999999</v>
      </c>
      <c r="Z178" s="290">
        <v>121117</v>
      </c>
      <c r="AA178" s="290">
        <v>2550</v>
      </c>
      <c r="AB178" s="290">
        <v>91</v>
      </c>
      <c r="AC178" s="290">
        <v>652.37300000000005</v>
      </c>
      <c r="AD178" s="290">
        <v>333</v>
      </c>
      <c r="AE178" s="290">
        <v>0</v>
      </c>
      <c r="AF178" s="290">
        <v>0</v>
      </c>
      <c r="AG178" s="290">
        <v>4380</v>
      </c>
      <c r="AH178" s="290">
        <v>626.07330736999995</v>
      </c>
      <c r="AI178" s="290">
        <v>0</v>
      </c>
      <c r="AJ178" s="290">
        <v>0</v>
      </c>
      <c r="AK178" s="290">
        <v>0</v>
      </c>
      <c r="AL178" s="290">
        <v>0</v>
      </c>
      <c r="AM178" s="957">
        <v>6.5266459999999998E-2</v>
      </c>
      <c r="AN178" s="290">
        <v>6371</v>
      </c>
      <c r="AO178" s="290">
        <v>-648.203709</v>
      </c>
      <c r="AP178" s="290">
        <v>0</v>
      </c>
      <c r="AQ178" s="290">
        <v>0</v>
      </c>
      <c r="AR178" s="290">
        <v>6973.7339499999998</v>
      </c>
      <c r="AS178" s="290">
        <v>1014</v>
      </c>
      <c r="AT178" s="290">
        <v>187</v>
      </c>
      <c r="AU178" s="290">
        <v>34</v>
      </c>
      <c r="AV178" s="766">
        <v>140353</v>
      </c>
      <c r="AW178" s="290">
        <v>478</v>
      </c>
      <c r="AX178" s="766">
        <v>24.958300000000001</v>
      </c>
      <c r="AY178" s="290">
        <v>721</v>
      </c>
      <c r="AZ178" s="290">
        <v>201</v>
      </c>
      <c r="BA178" s="290">
        <v>73</v>
      </c>
      <c r="BB178" s="290">
        <v>0</v>
      </c>
      <c r="BC178" s="290">
        <v>1051.5713699999999</v>
      </c>
      <c r="BD178" s="290">
        <v>435</v>
      </c>
      <c r="BE178" s="290">
        <v>135840.55100000001</v>
      </c>
      <c r="BF178" s="290">
        <v>0</v>
      </c>
      <c r="BG178" s="290">
        <v>228</v>
      </c>
      <c r="BH178" s="290">
        <v>33</v>
      </c>
      <c r="BI178" s="290">
        <v>1705.57311</v>
      </c>
      <c r="BJ178" s="290">
        <v>0</v>
      </c>
      <c r="BK178" s="290">
        <f t="shared" si="2"/>
        <v>0</v>
      </c>
      <c r="BL178" s="290">
        <v>0</v>
      </c>
      <c r="BM178" s="290">
        <v>0</v>
      </c>
      <c r="BN178" s="290">
        <v>3317</v>
      </c>
      <c r="BO178" s="290">
        <v>619</v>
      </c>
      <c r="BP178" s="290">
        <v>3</v>
      </c>
      <c r="BQ178" s="290">
        <v>432</v>
      </c>
      <c r="BR178" s="290">
        <v>-2</v>
      </c>
      <c r="BS178" s="290">
        <v>50</v>
      </c>
      <c r="BT178" s="290">
        <v>0</v>
      </c>
      <c r="BU178" s="290">
        <v>0</v>
      </c>
      <c r="BV178" s="290">
        <v>73</v>
      </c>
      <c r="BW178" s="290"/>
      <c r="BX178" s="290"/>
      <c r="BY178" s="290"/>
    </row>
    <row r="179" spans="1:77" ht="13">
      <c r="A179" s="1">
        <v>3440</v>
      </c>
      <c r="B179" s="2" t="s">
        <v>856</v>
      </c>
      <c r="C179" s="289">
        <v>5100</v>
      </c>
      <c r="D179" s="290">
        <v>101</v>
      </c>
      <c r="E179" s="290">
        <v>212</v>
      </c>
      <c r="F179" s="290">
        <v>529</v>
      </c>
      <c r="G179" s="290">
        <v>428</v>
      </c>
      <c r="H179" s="290">
        <v>2896</v>
      </c>
      <c r="I179" s="290">
        <v>659</v>
      </c>
      <c r="J179" s="290">
        <v>225</v>
      </c>
      <c r="K179" s="290">
        <v>59</v>
      </c>
      <c r="L179" s="290">
        <v>37</v>
      </c>
      <c r="M179" s="290">
        <v>414</v>
      </c>
      <c r="N179" s="290">
        <v>157</v>
      </c>
      <c r="O179" s="290">
        <v>50</v>
      </c>
      <c r="P179" s="624">
        <v>37053.385000000002</v>
      </c>
      <c r="Q179" s="624">
        <v>12005.853999999999</v>
      </c>
      <c r="R179" s="624">
        <v>28</v>
      </c>
      <c r="S179" s="290">
        <v>0</v>
      </c>
      <c r="T179" s="290">
        <v>416</v>
      </c>
      <c r="U179" s="958">
        <v>3.1566105622506642E-3</v>
      </c>
      <c r="V179" s="290">
        <v>1871.4161729</v>
      </c>
      <c r="W179" s="765">
        <v>0.65743803000000001</v>
      </c>
      <c r="X179" s="290">
        <v>1500</v>
      </c>
      <c r="Y179" s="290">
        <v>345.51696800000002</v>
      </c>
      <c r="Z179" s="290">
        <v>154086</v>
      </c>
      <c r="AA179" s="290">
        <v>385</v>
      </c>
      <c r="AB179" s="290">
        <v>106</v>
      </c>
      <c r="AC179" s="290">
        <v>751.827</v>
      </c>
      <c r="AD179" s="290">
        <v>333</v>
      </c>
      <c r="AE179" s="290">
        <v>0</v>
      </c>
      <c r="AF179" s="290">
        <v>0</v>
      </c>
      <c r="AG179" s="290">
        <v>5109</v>
      </c>
      <c r="AH179" s="290">
        <v>780.78426323999997</v>
      </c>
      <c r="AI179" s="290">
        <v>1750</v>
      </c>
      <c r="AJ179" s="290">
        <v>0</v>
      </c>
      <c r="AK179" s="290">
        <v>0</v>
      </c>
      <c r="AL179" s="290">
        <v>0</v>
      </c>
      <c r="AM179" s="957">
        <v>0.10714367</v>
      </c>
      <c r="AN179" s="290">
        <v>1437</v>
      </c>
      <c r="AO179" s="290">
        <v>-740.78910099999996</v>
      </c>
      <c r="AP179" s="290">
        <v>0</v>
      </c>
      <c r="AQ179" s="290">
        <v>0</v>
      </c>
      <c r="AR179" s="290">
        <v>-275.19865399999998</v>
      </c>
      <c r="AS179" s="290">
        <v>2970</v>
      </c>
      <c r="AT179" s="290">
        <v>230</v>
      </c>
      <c r="AU179" s="290">
        <v>39</v>
      </c>
      <c r="AV179" s="766">
        <v>146384</v>
      </c>
      <c r="AW179" s="290">
        <v>4648</v>
      </c>
      <c r="AX179" s="766">
        <v>29.166650000000001</v>
      </c>
      <c r="AY179" s="290">
        <v>1019</v>
      </c>
      <c r="AZ179" s="290">
        <v>313</v>
      </c>
      <c r="BA179" s="290">
        <v>96</v>
      </c>
      <c r="BB179" s="290">
        <v>0</v>
      </c>
      <c r="BC179" s="290">
        <v>1098.6178</v>
      </c>
      <c r="BD179" s="290">
        <v>489</v>
      </c>
      <c r="BE179" s="290">
        <v>150970.59700000001</v>
      </c>
      <c r="BF179" s="290">
        <v>0</v>
      </c>
      <c r="BG179" s="290">
        <v>254</v>
      </c>
      <c r="BH179" s="290">
        <v>36</v>
      </c>
      <c r="BI179" s="290">
        <v>1878.12823</v>
      </c>
      <c r="BJ179" s="290">
        <v>0</v>
      </c>
      <c r="BK179" s="290">
        <f t="shared" si="2"/>
        <v>0</v>
      </c>
      <c r="BL179" s="290">
        <v>0</v>
      </c>
      <c r="BM179" s="290">
        <v>0</v>
      </c>
      <c r="BN179" s="290">
        <v>3790</v>
      </c>
      <c r="BO179" s="290">
        <v>855</v>
      </c>
      <c r="BP179" s="290">
        <v>4</v>
      </c>
      <c r="BQ179" s="290">
        <v>512</v>
      </c>
      <c r="BR179" s="290">
        <v>-2</v>
      </c>
      <c r="BS179" s="290">
        <v>81</v>
      </c>
      <c r="BT179" s="290">
        <v>0</v>
      </c>
      <c r="BU179" s="290">
        <v>0</v>
      </c>
      <c r="BV179" s="290">
        <v>82</v>
      </c>
      <c r="BW179" s="290"/>
      <c r="BX179" s="290"/>
      <c r="BY179" s="290"/>
    </row>
    <row r="180" spans="1:77" ht="13">
      <c r="A180" s="1">
        <v>3441</v>
      </c>
      <c r="B180" s="2" t="s">
        <v>857</v>
      </c>
      <c r="C180" s="289">
        <v>6106</v>
      </c>
      <c r="D180" s="290">
        <v>91</v>
      </c>
      <c r="E180" s="290">
        <v>231</v>
      </c>
      <c r="F180" s="290">
        <v>658</v>
      </c>
      <c r="G180" s="290">
        <v>519</v>
      </c>
      <c r="H180" s="290">
        <v>3409</v>
      </c>
      <c r="I180" s="290">
        <v>866</v>
      </c>
      <c r="J180" s="290">
        <v>309</v>
      </c>
      <c r="K180" s="290">
        <v>70</v>
      </c>
      <c r="L180" s="290">
        <v>51</v>
      </c>
      <c r="M180" s="290">
        <v>537</v>
      </c>
      <c r="N180" s="290">
        <v>56</v>
      </c>
      <c r="O180" s="290">
        <v>20</v>
      </c>
      <c r="P180" s="624">
        <v>55234.603666670002</v>
      </c>
      <c r="Q180" s="624">
        <v>16204.22966667</v>
      </c>
      <c r="R180" s="624">
        <v>19</v>
      </c>
      <c r="S180" s="290">
        <v>0</v>
      </c>
      <c r="T180" s="290">
        <v>482</v>
      </c>
      <c r="U180" s="958">
        <v>5.9939278631437757E-3</v>
      </c>
      <c r="V180" s="290">
        <v>1992.2963191900001</v>
      </c>
      <c r="W180" s="765">
        <v>0.66889761999999997</v>
      </c>
      <c r="X180" s="290">
        <v>2000</v>
      </c>
      <c r="Y180" s="290">
        <v>427.12680399999999</v>
      </c>
      <c r="Z180" s="290">
        <v>158330</v>
      </c>
      <c r="AA180" s="290">
        <v>2975</v>
      </c>
      <c r="AB180" s="290">
        <v>134</v>
      </c>
      <c r="AC180" s="290">
        <v>926.27099999999996</v>
      </c>
      <c r="AD180" s="290">
        <v>333</v>
      </c>
      <c r="AE180" s="290">
        <v>0</v>
      </c>
      <c r="AF180" s="290">
        <v>0</v>
      </c>
      <c r="AG180" s="290">
        <v>6153</v>
      </c>
      <c r="AH180" s="290">
        <v>915.25266412999997</v>
      </c>
      <c r="AI180" s="290">
        <v>0</v>
      </c>
      <c r="AJ180" s="290">
        <v>0</v>
      </c>
      <c r="AK180" s="290">
        <v>0</v>
      </c>
      <c r="AL180" s="290">
        <v>0</v>
      </c>
      <c r="AM180" s="957">
        <v>4.2891329999999998E-2</v>
      </c>
      <c r="AN180" s="290">
        <v>3326</v>
      </c>
      <c r="AO180" s="290">
        <v>-867.59538799999996</v>
      </c>
      <c r="AP180" s="290">
        <v>0</v>
      </c>
      <c r="AQ180" s="290">
        <v>0</v>
      </c>
      <c r="AR180" s="290">
        <v>18.745094699999999</v>
      </c>
      <c r="AS180" s="290">
        <v>1424</v>
      </c>
      <c r="AT180" s="290">
        <v>311</v>
      </c>
      <c r="AU180" s="290">
        <v>28</v>
      </c>
      <c r="AV180" s="766">
        <v>171116</v>
      </c>
      <c r="AW180" s="290">
        <v>275</v>
      </c>
      <c r="AX180" s="766">
        <v>32.833350000000003</v>
      </c>
      <c r="AY180" s="290">
        <v>1064</v>
      </c>
      <c r="AZ180" s="290">
        <v>184</v>
      </c>
      <c r="BA180" s="290">
        <v>136</v>
      </c>
      <c r="BB180" s="290">
        <v>0</v>
      </c>
      <c r="BC180" s="290">
        <v>1317.9212399999999</v>
      </c>
      <c r="BD180" s="290">
        <v>572</v>
      </c>
      <c r="BE180" s="290">
        <v>173526.98499999999</v>
      </c>
      <c r="BF180" s="290">
        <v>0</v>
      </c>
      <c r="BG180" s="290">
        <v>311</v>
      </c>
      <c r="BH180" s="290">
        <v>44</v>
      </c>
      <c r="BI180" s="290">
        <v>2268.65047</v>
      </c>
      <c r="BJ180" s="290">
        <v>0</v>
      </c>
      <c r="BK180" s="290">
        <f t="shared" si="2"/>
        <v>0</v>
      </c>
      <c r="BL180" s="290">
        <v>0</v>
      </c>
      <c r="BM180" s="290">
        <v>0</v>
      </c>
      <c r="BN180" s="290">
        <v>4439</v>
      </c>
      <c r="BO180" s="290">
        <v>965</v>
      </c>
      <c r="BP180" s="290">
        <v>5</v>
      </c>
      <c r="BQ180" s="290">
        <v>595</v>
      </c>
      <c r="BR180" s="290">
        <v>-3</v>
      </c>
      <c r="BS180" s="290">
        <v>67</v>
      </c>
      <c r="BT180" s="290">
        <v>0</v>
      </c>
      <c r="BU180" s="290">
        <v>0</v>
      </c>
      <c r="BV180" s="290">
        <v>100</v>
      </c>
      <c r="BW180" s="290"/>
      <c r="BX180" s="290"/>
      <c r="BY180" s="290"/>
    </row>
    <row r="181" spans="1:77" ht="13">
      <c r="A181" s="1">
        <v>3442</v>
      </c>
      <c r="B181" s="2" t="s">
        <v>858</v>
      </c>
      <c r="C181" s="289">
        <v>14973</v>
      </c>
      <c r="D181" s="290">
        <v>271</v>
      </c>
      <c r="E181" s="290">
        <v>623</v>
      </c>
      <c r="F181" s="290">
        <v>1624</v>
      </c>
      <c r="G181" s="290">
        <v>1177</v>
      </c>
      <c r="H181" s="290">
        <v>8393</v>
      </c>
      <c r="I181" s="290">
        <v>2096</v>
      </c>
      <c r="J181" s="290">
        <v>673</v>
      </c>
      <c r="K181" s="290">
        <v>147</v>
      </c>
      <c r="L181" s="290">
        <v>126</v>
      </c>
      <c r="M181" s="290">
        <v>1275</v>
      </c>
      <c r="N181" s="290">
        <v>211</v>
      </c>
      <c r="O181" s="290">
        <v>122</v>
      </c>
      <c r="P181" s="624">
        <v>55607.669333329999</v>
      </c>
      <c r="Q181" s="624">
        <v>32252.663333330001</v>
      </c>
      <c r="R181" s="624">
        <v>58</v>
      </c>
      <c r="S181" s="290">
        <v>0</v>
      </c>
      <c r="T181" s="290">
        <v>1249</v>
      </c>
      <c r="U181" s="958">
        <v>7.3991139283219294E-3</v>
      </c>
      <c r="V181" s="290">
        <v>1401.5158717100001</v>
      </c>
      <c r="W181" s="765">
        <v>0.6008405</v>
      </c>
      <c r="X181" s="290">
        <v>1000</v>
      </c>
      <c r="Y181" s="290">
        <v>854.25360799999999</v>
      </c>
      <c r="Z181" s="290">
        <v>373661</v>
      </c>
      <c r="AA181" s="290">
        <v>215</v>
      </c>
      <c r="AB181" s="290">
        <v>403</v>
      </c>
      <c r="AC181" s="290">
        <v>2056.1869999999999</v>
      </c>
      <c r="AD181" s="290">
        <v>333</v>
      </c>
      <c r="AE181" s="290">
        <v>0</v>
      </c>
      <c r="AF181" s="290">
        <v>0</v>
      </c>
      <c r="AG181" s="290">
        <v>15004</v>
      </c>
      <c r="AH181" s="290">
        <v>2319.2184411799999</v>
      </c>
      <c r="AI181" s="290">
        <v>0</v>
      </c>
      <c r="AJ181" s="290">
        <v>0</v>
      </c>
      <c r="AK181" s="290">
        <v>0</v>
      </c>
      <c r="AL181" s="290">
        <v>0</v>
      </c>
      <c r="AM181" s="957">
        <v>0.18272246</v>
      </c>
      <c r="AN181" s="290">
        <v>0</v>
      </c>
      <c r="AO181" s="290">
        <v>-2051.0324999999998</v>
      </c>
      <c r="AP181" s="290">
        <v>0</v>
      </c>
      <c r="AQ181" s="290">
        <v>0</v>
      </c>
      <c r="AR181" s="290">
        <v>12577.026900000001</v>
      </c>
      <c r="AS181" s="290">
        <v>7029</v>
      </c>
      <c r="AT181" s="290">
        <v>865</v>
      </c>
      <c r="AU181" s="290">
        <v>100</v>
      </c>
      <c r="AV181" s="766">
        <v>384062</v>
      </c>
      <c r="AW181" s="290">
        <v>6882</v>
      </c>
      <c r="AX181" s="766">
        <v>73.083349999999996</v>
      </c>
      <c r="AY181" s="290">
        <v>2823</v>
      </c>
      <c r="AZ181" s="290">
        <v>472</v>
      </c>
      <c r="BA181" s="290">
        <v>290</v>
      </c>
      <c r="BB181" s="290">
        <v>0</v>
      </c>
      <c r="BC181" s="290">
        <v>2654.55132</v>
      </c>
      <c r="BD181" s="290">
        <v>1264</v>
      </c>
      <c r="BE181" s="290">
        <v>381563.18</v>
      </c>
      <c r="BF181" s="290">
        <v>0</v>
      </c>
      <c r="BG181" s="290">
        <v>681</v>
      </c>
      <c r="BH181" s="290">
        <v>97</v>
      </c>
      <c r="BI181" s="290">
        <v>5229.6590500000002</v>
      </c>
      <c r="BJ181" s="290">
        <v>0</v>
      </c>
      <c r="BK181" s="290">
        <f t="shared" si="2"/>
        <v>0</v>
      </c>
      <c r="BL181" s="290">
        <v>0</v>
      </c>
      <c r="BM181" s="290">
        <v>0</v>
      </c>
      <c r="BN181" s="290">
        <v>10494</v>
      </c>
      <c r="BO181" s="290">
        <v>2469</v>
      </c>
      <c r="BP181" s="290">
        <v>12</v>
      </c>
      <c r="BQ181" s="290">
        <v>1456</v>
      </c>
      <c r="BR181" s="290">
        <v>-7</v>
      </c>
      <c r="BS181" s="290">
        <v>175</v>
      </c>
      <c r="BT181" s="290">
        <v>0</v>
      </c>
      <c r="BU181" s="290">
        <v>0</v>
      </c>
      <c r="BV181" s="290">
        <v>219</v>
      </c>
      <c r="BW181" s="290"/>
      <c r="BX181" s="290"/>
      <c r="BY181" s="290"/>
    </row>
    <row r="182" spans="1:77" ht="13">
      <c r="A182" s="1">
        <v>3443</v>
      </c>
      <c r="B182" s="2" t="s">
        <v>859</v>
      </c>
      <c r="C182" s="289">
        <v>13427</v>
      </c>
      <c r="D182" s="290">
        <v>232</v>
      </c>
      <c r="E182" s="290">
        <v>499</v>
      </c>
      <c r="F182" s="290">
        <v>1451</v>
      </c>
      <c r="G182" s="290">
        <v>1171</v>
      </c>
      <c r="H182" s="290">
        <v>7574</v>
      </c>
      <c r="I182" s="290">
        <v>1799</v>
      </c>
      <c r="J182" s="290">
        <v>587</v>
      </c>
      <c r="K182" s="290">
        <v>114</v>
      </c>
      <c r="L182" s="290">
        <v>110</v>
      </c>
      <c r="M182" s="290">
        <v>1061</v>
      </c>
      <c r="N182" s="290">
        <v>245</v>
      </c>
      <c r="O182" s="290">
        <v>126</v>
      </c>
      <c r="P182" s="624">
        <v>44196.955333329999</v>
      </c>
      <c r="Q182" s="624">
        <v>17974.125</v>
      </c>
      <c r="R182" s="624">
        <v>59</v>
      </c>
      <c r="S182" s="290">
        <v>0</v>
      </c>
      <c r="T182" s="290">
        <v>1231</v>
      </c>
      <c r="U182" s="958">
        <v>4.4706936238990422E-3</v>
      </c>
      <c r="V182" s="290">
        <v>3750.4469211400001</v>
      </c>
      <c r="W182" s="765">
        <v>0.57430250000000005</v>
      </c>
      <c r="X182" s="290">
        <v>1500</v>
      </c>
      <c r="Y182" s="290">
        <v>427.12680399999999</v>
      </c>
      <c r="Z182" s="290">
        <v>322511</v>
      </c>
      <c r="AA182" s="290">
        <v>0</v>
      </c>
      <c r="AB182" s="290">
        <v>420</v>
      </c>
      <c r="AC182" s="290">
        <v>1907.8340000000001</v>
      </c>
      <c r="AD182" s="290">
        <v>333</v>
      </c>
      <c r="AE182" s="290">
        <v>0</v>
      </c>
      <c r="AF182" s="290">
        <v>0</v>
      </c>
      <c r="AG182" s="290">
        <v>13427</v>
      </c>
      <c r="AH182" s="290">
        <v>2083.53726542</v>
      </c>
      <c r="AI182" s="290">
        <v>800</v>
      </c>
      <c r="AJ182" s="290">
        <v>0</v>
      </c>
      <c r="AK182" s="290">
        <v>917.08199999999999</v>
      </c>
      <c r="AL182" s="290">
        <v>0</v>
      </c>
      <c r="AM182" s="957">
        <v>0.20635431000000001</v>
      </c>
      <c r="AN182" s="290">
        <v>0</v>
      </c>
      <c r="AO182" s="290">
        <v>-1816.31062</v>
      </c>
      <c r="AP182" s="290">
        <v>0</v>
      </c>
      <c r="AQ182" s="290">
        <v>0</v>
      </c>
      <c r="AR182" s="290">
        <v>-723.25158199999998</v>
      </c>
      <c r="AS182" s="290">
        <v>5560</v>
      </c>
      <c r="AT182" s="290">
        <v>834</v>
      </c>
      <c r="AU182" s="290">
        <v>89</v>
      </c>
      <c r="AV182" s="766">
        <v>323016</v>
      </c>
      <c r="AW182" s="290">
        <v>471</v>
      </c>
      <c r="AX182" s="766">
        <v>90.541650000000004</v>
      </c>
      <c r="AY182" s="290">
        <v>2357</v>
      </c>
      <c r="AZ182" s="290">
        <v>498</v>
      </c>
      <c r="BA182" s="290">
        <v>353</v>
      </c>
      <c r="BB182" s="290">
        <v>0</v>
      </c>
      <c r="BC182" s="290">
        <v>2457.2293</v>
      </c>
      <c r="BD182" s="290">
        <v>1137</v>
      </c>
      <c r="BE182" s="290">
        <v>337557.12099999998</v>
      </c>
      <c r="BF182" s="290">
        <v>0</v>
      </c>
      <c r="BG182" s="290">
        <v>596</v>
      </c>
      <c r="BH182" s="290">
        <v>85</v>
      </c>
      <c r="BI182" s="290">
        <v>5335.58007</v>
      </c>
      <c r="BJ182" s="290">
        <v>0</v>
      </c>
      <c r="BK182" s="290">
        <f t="shared" si="2"/>
        <v>0</v>
      </c>
      <c r="BL182" s="290">
        <v>0</v>
      </c>
      <c r="BM182" s="290">
        <v>0</v>
      </c>
      <c r="BN182" s="290">
        <v>9293</v>
      </c>
      <c r="BO182" s="290">
        <v>2108</v>
      </c>
      <c r="BP182" s="290">
        <v>10</v>
      </c>
      <c r="BQ182" s="290">
        <v>1301</v>
      </c>
      <c r="BR182" s="290">
        <v>-6</v>
      </c>
      <c r="BS182" s="290">
        <v>170</v>
      </c>
      <c r="BT182" s="290">
        <v>0</v>
      </c>
      <c r="BU182" s="290">
        <v>0</v>
      </c>
      <c r="BV182" s="290">
        <v>192</v>
      </c>
      <c r="BW182" s="290"/>
      <c r="BX182" s="290"/>
      <c r="BY182" s="290"/>
    </row>
    <row r="183" spans="1:77" ht="13">
      <c r="A183" s="1">
        <v>3446</v>
      </c>
      <c r="B183" s="2" t="s">
        <v>862</v>
      </c>
      <c r="C183" s="289">
        <v>13630</v>
      </c>
      <c r="D183" s="290">
        <v>186</v>
      </c>
      <c r="E183" s="290">
        <v>533</v>
      </c>
      <c r="F183" s="290">
        <v>1591</v>
      </c>
      <c r="G183" s="290">
        <v>1166</v>
      </c>
      <c r="H183" s="290">
        <v>7604</v>
      </c>
      <c r="I183" s="290">
        <v>1847</v>
      </c>
      <c r="J183" s="290">
        <v>596</v>
      </c>
      <c r="K183" s="290">
        <v>133</v>
      </c>
      <c r="L183" s="290">
        <v>114</v>
      </c>
      <c r="M183" s="290">
        <v>1233</v>
      </c>
      <c r="N183" s="290">
        <v>325</v>
      </c>
      <c r="O183" s="290">
        <v>100</v>
      </c>
      <c r="P183" s="624">
        <v>58824.924333329996</v>
      </c>
      <c r="Q183" s="624">
        <v>29038.558333329998</v>
      </c>
      <c r="R183" s="624">
        <v>71</v>
      </c>
      <c r="S183" s="290">
        <v>0</v>
      </c>
      <c r="T183" s="290">
        <v>1190</v>
      </c>
      <c r="U183" s="958">
        <v>6.4620608104627554E-3</v>
      </c>
      <c r="V183" s="290">
        <v>6384.0026286000002</v>
      </c>
      <c r="W183" s="765">
        <v>0.60239697999999997</v>
      </c>
      <c r="X183" s="290">
        <v>1000</v>
      </c>
      <c r="Y183" s="290">
        <v>1281.380412</v>
      </c>
      <c r="Z183" s="290">
        <v>358274</v>
      </c>
      <c r="AA183" s="290">
        <v>0</v>
      </c>
      <c r="AB183" s="290">
        <v>369</v>
      </c>
      <c r="AC183" s="290">
        <v>2109.348</v>
      </c>
      <c r="AD183" s="290">
        <v>333</v>
      </c>
      <c r="AE183" s="290">
        <v>0</v>
      </c>
      <c r="AF183" s="290">
        <v>0</v>
      </c>
      <c r="AG183" s="290">
        <v>13656</v>
      </c>
      <c r="AH183" s="290">
        <v>2169.5681240600002</v>
      </c>
      <c r="AI183" s="290">
        <v>0</v>
      </c>
      <c r="AJ183" s="290">
        <v>0</v>
      </c>
      <c r="AK183" s="290">
        <v>0</v>
      </c>
      <c r="AL183" s="290">
        <v>0</v>
      </c>
      <c r="AM183" s="957">
        <v>0.37304285999999998</v>
      </c>
      <c r="AN183" s="290">
        <v>0</v>
      </c>
      <c r="AO183" s="290">
        <v>-1938.68523</v>
      </c>
      <c r="AP183" s="290">
        <v>0</v>
      </c>
      <c r="AQ183" s="290">
        <v>0</v>
      </c>
      <c r="AR183" s="290">
        <v>-735.58677299999999</v>
      </c>
      <c r="AS183" s="290">
        <v>2434</v>
      </c>
      <c r="AT183" s="290">
        <v>778</v>
      </c>
      <c r="AU183" s="290">
        <v>135</v>
      </c>
      <c r="AV183" s="766">
        <v>372928</v>
      </c>
      <c r="AW183" s="290">
        <v>1377</v>
      </c>
      <c r="AX183" s="766">
        <v>48.250050000000002</v>
      </c>
      <c r="AY183" s="290">
        <v>2400</v>
      </c>
      <c r="AZ183" s="290">
        <v>661</v>
      </c>
      <c r="BA183" s="290">
        <v>294</v>
      </c>
      <c r="BB183" s="290">
        <v>0</v>
      </c>
      <c r="BC183" s="290">
        <v>3413.3942299999999</v>
      </c>
      <c r="BD183" s="290">
        <v>1158</v>
      </c>
      <c r="BE183" s="290">
        <v>382049.26500000001</v>
      </c>
      <c r="BF183" s="290">
        <v>0</v>
      </c>
      <c r="BG183" s="290">
        <v>622</v>
      </c>
      <c r="BH183" s="290">
        <v>89</v>
      </c>
      <c r="BI183" s="290">
        <v>5560.2965400000003</v>
      </c>
      <c r="BJ183" s="290">
        <v>0</v>
      </c>
      <c r="BK183" s="290">
        <f t="shared" si="2"/>
        <v>0</v>
      </c>
      <c r="BL183" s="290">
        <v>0</v>
      </c>
      <c r="BM183" s="290">
        <v>0</v>
      </c>
      <c r="BN183" s="290">
        <v>9919</v>
      </c>
      <c r="BO183" s="290">
        <v>2177</v>
      </c>
      <c r="BP183" s="290">
        <v>10</v>
      </c>
      <c r="BQ183" s="290">
        <v>1330</v>
      </c>
      <c r="BR183" s="290">
        <v>-6</v>
      </c>
      <c r="BS183" s="290">
        <v>199</v>
      </c>
      <c r="BT183" s="290">
        <v>0</v>
      </c>
      <c r="BU183" s="290">
        <v>0</v>
      </c>
      <c r="BV183" s="290">
        <v>200</v>
      </c>
      <c r="BW183" s="290"/>
      <c r="BX183" s="290"/>
      <c r="BY183" s="290"/>
    </row>
    <row r="184" spans="1:77" ht="13">
      <c r="A184" s="1">
        <v>3447</v>
      </c>
      <c r="B184" s="2" t="s">
        <v>863</v>
      </c>
      <c r="C184" s="289">
        <v>5617</v>
      </c>
      <c r="D184" s="290">
        <v>101</v>
      </c>
      <c r="E184" s="290">
        <v>220</v>
      </c>
      <c r="F184" s="290">
        <v>567</v>
      </c>
      <c r="G184" s="290">
        <v>438</v>
      </c>
      <c r="H184" s="290">
        <v>3184</v>
      </c>
      <c r="I184" s="290">
        <v>804</v>
      </c>
      <c r="J184" s="290">
        <v>251</v>
      </c>
      <c r="K184" s="290">
        <v>48</v>
      </c>
      <c r="L184" s="290">
        <v>55</v>
      </c>
      <c r="M184" s="290">
        <v>573</v>
      </c>
      <c r="N184" s="290">
        <v>85</v>
      </c>
      <c r="O184" s="290">
        <v>55</v>
      </c>
      <c r="P184" s="624">
        <v>34511.548666670002</v>
      </c>
      <c r="Q184" s="624">
        <v>24667.248333330001</v>
      </c>
      <c r="R184" s="624">
        <v>31</v>
      </c>
      <c r="S184" s="290">
        <v>0</v>
      </c>
      <c r="T184" s="290">
        <v>531</v>
      </c>
      <c r="U184" s="958">
        <v>2.897525985196419E-3</v>
      </c>
      <c r="V184" s="290">
        <v>852.01740531999997</v>
      </c>
      <c r="W184" s="765">
        <v>0.75051557999999996</v>
      </c>
      <c r="X184" s="290">
        <v>1000</v>
      </c>
      <c r="Y184" s="290">
        <v>427.12680399999999</v>
      </c>
      <c r="Z184" s="290">
        <v>121468</v>
      </c>
      <c r="AA184" s="290">
        <v>0</v>
      </c>
      <c r="AB184" s="290">
        <v>195</v>
      </c>
      <c r="AC184" s="290">
        <v>840.97799999999995</v>
      </c>
      <c r="AD184" s="290">
        <v>333</v>
      </c>
      <c r="AE184" s="290">
        <v>0</v>
      </c>
      <c r="AF184" s="290">
        <v>0</v>
      </c>
      <c r="AG184" s="290">
        <v>5613</v>
      </c>
      <c r="AH184" s="290">
        <v>824.88411513999995</v>
      </c>
      <c r="AI184" s="290">
        <v>500</v>
      </c>
      <c r="AJ184" s="290">
        <v>0</v>
      </c>
      <c r="AK184" s="290">
        <v>0</v>
      </c>
      <c r="AL184" s="290">
        <v>0</v>
      </c>
      <c r="AM184" s="957">
        <v>0.13494233</v>
      </c>
      <c r="AN184" s="290">
        <v>7751</v>
      </c>
      <c r="AO184" s="290">
        <v>-828.94817799999998</v>
      </c>
      <c r="AP184" s="290">
        <v>0</v>
      </c>
      <c r="AQ184" s="290">
        <v>0</v>
      </c>
      <c r="AR184" s="290">
        <v>-302.34684800000002</v>
      </c>
      <c r="AS184" s="290">
        <v>1347</v>
      </c>
      <c r="AT184" s="290">
        <v>328</v>
      </c>
      <c r="AU184" s="290">
        <v>48</v>
      </c>
      <c r="AV184" s="766">
        <v>166136</v>
      </c>
      <c r="AW184" s="290">
        <v>2162</v>
      </c>
      <c r="AX184" s="766">
        <v>30.499949999999998</v>
      </c>
      <c r="AY184" s="290">
        <v>945</v>
      </c>
      <c r="AZ184" s="290">
        <v>271</v>
      </c>
      <c r="BA184" s="290">
        <v>113</v>
      </c>
      <c r="BB184" s="290">
        <v>0</v>
      </c>
      <c r="BC184" s="290">
        <v>-1163.92975</v>
      </c>
      <c r="BD184" s="290">
        <v>540</v>
      </c>
      <c r="BE184" s="290">
        <v>176245.60800000001</v>
      </c>
      <c r="BF184" s="290">
        <v>0</v>
      </c>
      <c r="BG184" s="290">
        <v>288</v>
      </c>
      <c r="BH184" s="290">
        <v>41</v>
      </c>
      <c r="BI184" s="290">
        <v>2092.9889199999998</v>
      </c>
      <c r="BJ184" s="290">
        <v>0</v>
      </c>
      <c r="BK184" s="290">
        <f t="shared" si="2"/>
        <v>0</v>
      </c>
      <c r="BL184" s="290">
        <v>0</v>
      </c>
      <c r="BM184" s="290">
        <v>0</v>
      </c>
      <c r="BN184" s="290">
        <v>4241</v>
      </c>
      <c r="BO184" s="290">
        <v>896</v>
      </c>
      <c r="BP184" s="290">
        <v>4</v>
      </c>
      <c r="BQ184" s="290">
        <v>544</v>
      </c>
      <c r="BR184" s="290">
        <v>-3</v>
      </c>
      <c r="BS184" s="290">
        <v>94</v>
      </c>
      <c r="BT184" s="290">
        <v>0</v>
      </c>
      <c r="BU184" s="290">
        <v>0</v>
      </c>
      <c r="BV184" s="290">
        <v>93</v>
      </c>
      <c r="BW184" s="290"/>
      <c r="BX184" s="290"/>
      <c r="BY184" s="290"/>
    </row>
    <row r="185" spans="1:77" ht="13">
      <c r="A185" s="1">
        <v>3448</v>
      </c>
      <c r="B185" s="2" t="s">
        <v>864</v>
      </c>
      <c r="C185" s="289">
        <v>6633</v>
      </c>
      <c r="D185" s="290">
        <v>106</v>
      </c>
      <c r="E185" s="290">
        <v>255</v>
      </c>
      <c r="F185" s="290">
        <v>711</v>
      </c>
      <c r="G185" s="290">
        <v>571</v>
      </c>
      <c r="H185" s="290">
        <v>3666</v>
      </c>
      <c r="I185" s="290">
        <v>987</v>
      </c>
      <c r="J185" s="290">
        <v>324</v>
      </c>
      <c r="K185" s="290">
        <v>52</v>
      </c>
      <c r="L185" s="290">
        <v>69</v>
      </c>
      <c r="M185" s="290">
        <v>672</v>
      </c>
      <c r="N185" s="290">
        <v>79</v>
      </c>
      <c r="O185" s="290">
        <v>64</v>
      </c>
      <c r="P185" s="624">
        <v>52726.744666669998</v>
      </c>
      <c r="Q185" s="624">
        <v>25637.193666669998</v>
      </c>
      <c r="R185" s="624">
        <v>34</v>
      </c>
      <c r="S185" s="290">
        <v>0</v>
      </c>
      <c r="T185" s="290">
        <v>573</v>
      </c>
      <c r="U185" s="958">
        <v>5.1661661674629097E-3</v>
      </c>
      <c r="V185" s="290">
        <v>2474.2983824100002</v>
      </c>
      <c r="W185" s="765">
        <v>0.68699171000000003</v>
      </c>
      <c r="X185" s="290">
        <v>1000</v>
      </c>
      <c r="Y185" s="290">
        <v>427.12680399999999</v>
      </c>
      <c r="Z185" s="290">
        <v>152361</v>
      </c>
      <c r="AA185" s="290">
        <v>0</v>
      </c>
      <c r="AB185" s="290">
        <v>220</v>
      </c>
      <c r="AC185" s="290">
        <v>999.69</v>
      </c>
      <c r="AD185" s="290">
        <v>333</v>
      </c>
      <c r="AE185" s="290">
        <v>0</v>
      </c>
      <c r="AF185" s="290">
        <v>0</v>
      </c>
      <c r="AG185" s="290">
        <v>6672</v>
      </c>
      <c r="AH185" s="290">
        <v>1000.56057437</v>
      </c>
      <c r="AI185" s="290">
        <v>800</v>
      </c>
      <c r="AJ185" s="290">
        <v>0</v>
      </c>
      <c r="AK185" s="290">
        <v>0</v>
      </c>
      <c r="AL185" s="290">
        <v>0</v>
      </c>
      <c r="AM185" s="957">
        <v>0.12251035</v>
      </c>
      <c r="AN185" s="290">
        <v>5374</v>
      </c>
      <c r="AO185" s="290">
        <v>-981.463933</v>
      </c>
      <c r="AP185" s="290">
        <v>0</v>
      </c>
      <c r="AQ185" s="290">
        <v>0</v>
      </c>
      <c r="AR185" s="290">
        <v>-359.39037400000001</v>
      </c>
      <c r="AS185" s="290">
        <v>1338</v>
      </c>
      <c r="AT185" s="290">
        <v>343</v>
      </c>
      <c r="AU185" s="290">
        <v>55</v>
      </c>
      <c r="AV185" s="766">
        <v>195589</v>
      </c>
      <c r="AW185" s="290">
        <v>289</v>
      </c>
      <c r="AX185" s="766">
        <v>31.916650000000001</v>
      </c>
      <c r="AY185" s="290">
        <v>1002</v>
      </c>
      <c r="AZ185" s="290">
        <v>289</v>
      </c>
      <c r="BA185" s="290">
        <v>123</v>
      </c>
      <c r="BB185" s="290">
        <v>0</v>
      </c>
      <c r="BC185" s="290">
        <v>-1047.93264</v>
      </c>
      <c r="BD185" s="290">
        <v>615</v>
      </c>
      <c r="BE185" s="290">
        <v>205318.29699999999</v>
      </c>
      <c r="BF185" s="290">
        <v>0</v>
      </c>
      <c r="BG185" s="290">
        <v>340</v>
      </c>
      <c r="BH185" s="290">
        <v>49</v>
      </c>
      <c r="BI185" s="290">
        <v>2427.3773799999999</v>
      </c>
      <c r="BJ185" s="290">
        <v>0</v>
      </c>
      <c r="BK185" s="290">
        <f t="shared" si="2"/>
        <v>0</v>
      </c>
      <c r="BL185" s="290">
        <v>0</v>
      </c>
      <c r="BM185" s="290">
        <v>0</v>
      </c>
      <c r="BN185" s="290">
        <v>5022</v>
      </c>
      <c r="BO185" s="290">
        <v>1050</v>
      </c>
      <c r="BP185" s="290">
        <v>5</v>
      </c>
      <c r="BQ185" s="290">
        <v>647</v>
      </c>
      <c r="BR185" s="290">
        <v>-3</v>
      </c>
      <c r="BS185" s="290">
        <v>96</v>
      </c>
      <c r="BT185" s="290">
        <v>0</v>
      </c>
      <c r="BU185" s="290">
        <v>0</v>
      </c>
      <c r="BV185" s="290">
        <v>109</v>
      </c>
      <c r="BW185" s="290"/>
      <c r="BX185" s="290"/>
      <c r="BY185" s="290"/>
    </row>
    <row r="186" spans="1:77" ht="13">
      <c r="A186" s="1">
        <v>3449</v>
      </c>
      <c r="B186" s="2" t="s">
        <v>865</v>
      </c>
      <c r="C186" s="289">
        <v>2954</v>
      </c>
      <c r="D186" s="290">
        <v>40</v>
      </c>
      <c r="E186" s="290">
        <v>106</v>
      </c>
      <c r="F186" s="290">
        <v>335</v>
      </c>
      <c r="G186" s="290">
        <v>232</v>
      </c>
      <c r="H186" s="290">
        <v>1569</v>
      </c>
      <c r="I186" s="290">
        <v>486</v>
      </c>
      <c r="J186" s="290">
        <v>163</v>
      </c>
      <c r="K186" s="290">
        <v>47</v>
      </c>
      <c r="L186" s="290">
        <v>24</v>
      </c>
      <c r="M186" s="290">
        <v>330</v>
      </c>
      <c r="N186" s="290">
        <v>44</v>
      </c>
      <c r="O186" s="290">
        <v>37</v>
      </c>
      <c r="P186" s="624">
        <v>47793.254999999997</v>
      </c>
      <c r="Q186" s="624">
        <v>10540.61833333</v>
      </c>
      <c r="R186" s="624">
        <v>30</v>
      </c>
      <c r="S186" s="290">
        <v>0</v>
      </c>
      <c r="T186" s="290">
        <v>277</v>
      </c>
      <c r="U186" s="958">
        <v>3.0044917014730513E-3</v>
      </c>
      <c r="V186" s="290">
        <v>1735.58587485</v>
      </c>
      <c r="W186" s="765">
        <v>0.93248765</v>
      </c>
      <c r="X186" s="290">
        <v>1500</v>
      </c>
      <c r="Y186" s="290">
        <v>854.25360799999999</v>
      </c>
      <c r="Z186" s="290">
        <v>72905</v>
      </c>
      <c r="AA186" s="290">
        <v>45</v>
      </c>
      <c r="AB186" s="290">
        <v>77</v>
      </c>
      <c r="AC186" s="290">
        <v>509.48399999999998</v>
      </c>
      <c r="AD186" s="290">
        <v>167</v>
      </c>
      <c r="AE186" s="290">
        <v>0</v>
      </c>
      <c r="AF186" s="290">
        <v>0</v>
      </c>
      <c r="AG186" s="290">
        <v>2978</v>
      </c>
      <c r="AH186" s="290">
        <v>448.22800296999998</v>
      </c>
      <c r="AI186" s="290">
        <v>0</v>
      </c>
      <c r="AJ186" s="290">
        <v>0</v>
      </c>
      <c r="AK186" s="290">
        <v>0</v>
      </c>
      <c r="AL186" s="290">
        <v>0</v>
      </c>
      <c r="AM186" s="957">
        <v>3.8232750000000003E-2</v>
      </c>
      <c r="AN186" s="290">
        <v>0</v>
      </c>
      <c r="AO186" s="290">
        <v>-518.84370799999999</v>
      </c>
      <c r="AP186" s="290">
        <v>0</v>
      </c>
      <c r="AQ186" s="290">
        <v>0</v>
      </c>
      <c r="AR186" s="290">
        <v>-160.411351</v>
      </c>
      <c r="AS186" s="290">
        <v>644</v>
      </c>
      <c r="AT186" s="290">
        <v>151</v>
      </c>
      <c r="AU186" s="290">
        <v>15</v>
      </c>
      <c r="AV186" s="766">
        <v>124520</v>
      </c>
      <c r="AW186" s="290">
        <v>1039</v>
      </c>
      <c r="AX186" s="766">
        <v>6.2500499999999999</v>
      </c>
      <c r="AY186" s="290">
        <v>470</v>
      </c>
      <c r="AZ186" s="290">
        <v>150</v>
      </c>
      <c r="BA186" s="290">
        <v>41</v>
      </c>
      <c r="BB186" s="290">
        <v>5875</v>
      </c>
      <c r="BC186" s="290">
        <v>1278.2948699999999</v>
      </c>
      <c r="BD186" s="290">
        <v>354</v>
      </c>
      <c r="BE186" s="290">
        <v>129840.45299999999</v>
      </c>
      <c r="BF186" s="290">
        <v>0</v>
      </c>
      <c r="BG186" s="290">
        <v>188</v>
      </c>
      <c r="BH186" s="290">
        <v>27</v>
      </c>
      <c r="BI186" s="290">
        <v>1811.96561</v>
      </c>
      <c r="BJ186" s="290">
        <v>0</v>
      </c>
      <c r="BK186" s="290">
        <f t="shared" si="2"/>
        <v>0</v>
      </c>
      <c r="BL186" s="290">
        <v>0</v>
      </c>
      <c r="BM186" s="290">
        <v>0</v>
      </c>
      <c r="BN186" s="290">
        <v>2655</v>
      </c>
      <c r="BO186" s="290">
        <v>461</v>
      </c>
      <c r="BP186" s="290">
        <v>2</v>
      </c>
      <c r="BQ186" s="290">
        <v>290</v>
      </c>
      <c r="BR186" s="290">
        <v>-1</v>
      </c>
      <c r="BS186" s="290">
        <v>50</v>
      </c>
      <c r="BT186" s="290">
        <v>0</v>
      </c>
      <c r="BU186" s="290">
        <v>0</v>
      </c>
      <c r="BV186" s="290">
        <v>61</v>
      </c>
      <c r="BW186" s="290"/>
      <c r="BX186" s="290"/>
      <c r="BY186" s="290"/>
    </row>
    <row r="187" spans="1:77" ht="13">
      <c r="A187" s="1">
        <v>3450</v>
      </c>
      <c r="B187" s="2" t="s">
        <v>866</v>
      </c>
      <c r="C187" s="289">
        <v>1279</v>
      </c>
      <c r="D187" s="290">
        <v>17</v>
      </c>
      <c r="E187" s="290">
        <v>39</v>
      </c>
      <c r="F187" s="290">
        <v>154</v>
      </c>
      <c r="G187" s="290">
        <v>113</v>
      </c>
      <c r="H187" s="290">
        <v>669</v>
      </c>
      <c r="I187" s="290">
        <v>198</v>
      </c>
      <c r="J187" s="290">
        <v>87</v>
      </c>
      <c r="K187" s="290">
        <v>16</v>
      </c>
      <c r="L187" s="290">
        <v>11</v>
      </c>
      <c r="M187" s="290">
        <v>165</v>
      </c>
      <c r="N187" s="290">
        <v>13</v>
      </c>
      <c r="O187" s="290">
        <v>24</v>
      </c>
      <c r="P187" s="624">
        <v>11810.321666669999</v>
      </c>
      <c r="Q187" s="624">
        <v>8191.1066666699999</v>
      </c>
      <c r="R187" s="624">
        <v>6</v>
      </c>
      <c r="S187" s="290">
        <v>0</v>
      </c>
      <c r="T187" s="290">
        <v>137</v>
      </c>
      <c r="U187" s="958">
        <v>1.6905916521953153E-3</v>
      </c>
      <c r="V187" s="290">
        <v>806.05890834000002</v>
      </c>
      <c r="W187" s="765">
        <v>0.89956807999999999</v>
      </c>
      <c r="X187" s="290">
        <v>2000</v>
      </c>
      <c r="Y187" s="290">
        <v>273.445944</v>
      </c>
      <c r="Z187" s="290">
        <v>30806</v>
      </c>
      <c r="AA187" s="290">
        <v>0</v>
      </c>
      <c r="AB187" s="290">
        <v>28</v>
      </c>
      <c r="AC187" s="290">
        <v>255.32599999999999</v>
      </c>
      <c r="AD187" s="290">
        <v>167</v>
      </c>
      <c r="AE187" s="290">
        <v>0</v>
      </c>
      <c r="AF187" s="290">
        <v>0</v>
      </c>
      <c r="AG187" s="290">
        <v>1293</v>
      </c>
      <c r="AH187" s="290">
        <v>199.53375616</v>
      </c>
      <c r="AI187" s="290">
        <v>0</v>
      </c>
      <c r="AJ187" s="290">
        <v>0</v>
      </c>
      <c r="AK187" s="290">
        <v>0</v>
      </c>
      <c r="AL187" s="290">
        <v>0</v>
      </c>
      <c r="AM187" s="957">
        <v>2.442712E-2</v>
      </c>
      <c r="AN187" s="290">
        <v>0</v>
      </c>
      <c r="AO187" s="290">
        <v>-240.96681100000001</v>
      </c>
      <c r="AP187" s="290">
        <v>0</v>
      </c>
      <c r="AQ187" s="290">
        <v>0</v>
      </c>
      <c r="AR187" s="290">
        <v>-23.475948899999999</v>
      </c>
      <c r="AS187" s="290">
        <v>487</v>
      </c>
      <c r="AT187" s="290">
        <v>65</v>
      </c>
      <c r="AU187" s="290">
        <v>8</v>
      </c>
      <c r="AV187" s="766">
        <v>65211</v>
      </c>
      <c r="AW187" s="290">
        <v>345</v>
      </c>
      <c r="AX187" s="766">
        <v>7.3333500000000003</v>
      </c>
      <c r="AY187" s="290">
        <v>212</v>
      </c>
      <c r="AZ187" s="290">
        <v>80</v>
      </c>
      <c r="BA187" s="290">
        <v>23</v>
      </c>
      <c r="BB187" s="290">
        <v>5875</v>
      </c>
      <c r="BC187" s="290">
        <v>468.12402800000001</v>
      </c>
      <c r="BD187" s="290">
        <v>217</v>
      </c>
      <c r="BE187" s="290">
        <v>67318.623000000007</v>
      </c>
      <c r="BF187" s="290">
        <v>0</v>
      </c>
      <c r="BG187" s="290">
        <v>101</v>
      </c>
      <c r="BH187" s="290">
        <v>14</v>
      </c>
      <c r="BI187" s="290">
        <v>728.3057</v>
      </c>
      <c r="BJ187" s="290">
        <v>0</v>
      </c>
      <c r="BK187" s="290">
        <f t="shared" si="2"/>
        <v>0</v>
      </c>
      <c r="BL187" s="290">
        <v>0</v>
      </c>
      <c r="BM187" s="290">
        <v>0</v>
      </c>
      <c r="BN187" s="290">
        <v>1233</v>
      </c>
      <c r="BO187" s="290">
        <v>205</v>
      </c>
      <c r="BP187" s="290">
        <v>1</v>
      </c>
      <c r="BQ187" s="290">
        <v>127</v>
      </c>
      <c r="BR187" s="290">
        <v>-1</v>
      </c>
      <c r="BS187" s="290">
        <v>50</v>
      </c>
      <c r="BT187" s="290">
        <v>0</v>
      </c>
      <c r="BU187" s="290">
        <v>0</v>
      </c>
      <c r="BV187" s="290">
        <v>32</v>
      </c>
      <c r="BW187" s="290"/>
      <c r="BX187" s="290"/>
      <c r="BY187" s="290"/>
    </row>
    <row r="188" spans="1:77" ht="13">
      <c r="A188" s="1">
        <v>3451</v>
      </c>
      <c r="B188" s="2" t="s">
        <v>867</v>
      </c>
      <c r="C188" s="289">
        <v>6413</v>
      </c>
      <c r="D188" s="290">
        <v>107</v>
      </c>
      <c r="E188" s="290">
        <v>238</v>
      </c>
      <c r="F188" s="290">
        <v>682</v>
      </c>
      <c r="G188" s="290">
        <v>523</v>
      </c>
      <c r="H188" s="290">
        <v>3569</v>
      </c>
      <c r="I188" s="290">
        <v>965</v>
      </c>
      <c r="J188" s="290">
        <v>299</v>
      </c>
      <c r="K188" s="290">
        <v>61</v>
      </c>
      <c r="L188" s="290">
        <v>54</v>
      </c>
      <c r="M188" s="290">
        <v>630</v>
      </c>
      <c r="N188" s="290">
        <v>80</v>
      </c>
      <c r="O188" s="290">
        <v>61</v>
      </c>
      <c r="P188" s="624">
        <v>46605.230333330001</v>
      </c>
      <c r="Q188" s="624">
        <v>15609.578666670001</v>
      </c>
      <c r="R188" s="624">
        <v>29</v>
      </c>
      <c r="S188" s="290">
        <v>0</v>
      </c>
      <c r="T188" s="290">
        <v>628</v>
      </c>
      <c r="U188" s="958">
        <v>4.5312662697261849E-3</v>
      </c>
      <c r="V188" s="290">
        <v>-572.84750505</v>
      </c>
      <c r="W188" s="765">
        <v>0.66002567999999995</v>
      </c>
      <c r="X188" s="290">
        <v>1000</v>
      </c>
      <c r="Y188" s="290">
        <v>427.12680399999999</v>
      </c>
      <c r="Z188" s="290">
        <v>172307</v>
      </c>
      <c r="AA188" s="290">
        <v>430</v>
      </c>
      <c r="AB188" s="290">
        <v>135</v>
      </c>
      <c r="AC188" s="290">
        <v>934.01300000000003</v>
      </c>
      <c r="AD188" s="290">
        <v>333</v>
      </c>
      <c r="AE188" s="290">
        <v>0</v>
      </c>
      <c r="AF188" s="290">
        <v>0</v>
      </c>
      <c r="AG188" s="290">
        <v>6444</v>
      </c>
      <c r="AH188" s="290">
        <v>957.18367086000001</v>
      </c>
      <c r="AI188" s="290">
        <v>0</v>
      </c>
      <c r="AJ188" s="290">
        <v>0</v>
      </c>
      <c r="AK188" s="290">
        <v>0</v>
      </c>
      <c r="AL188" s="290">
        <v>0</v>
      </c>
      <c r="AM188" s="957">
        <v>0.11534320000000001</v>
      </c>
      <c r="AN188" s="290">
        <v>8667</v>
      </c>
      <c r="AO188" s="290">
        <v>-916.78853800000002</v>
      </c>
      <c r="AP188" s="290">
        <v>0</v>
      </c>
      <c r="AQ188" s="290">
        <v>0</v>
      </c>
      <c r="AR188" s="290">
        <v>1037.54621</v>
      </c>
      <c r="AS188" s="290">
        <v>1249</v>
      </c>
      <c r="AT188" s="290">
        <v>381</v>
      </c>
      <c r="AU188" s="290">
        <v>43</v>
      </c>
      <c r="AV188" s="766">
        <v>184336</v>
      </c>
      <c r="AW188" s="290">
        <v>8883</v>
      </c>
      <c r="AX188" s="766">
        <v>27.791650000000001</v>
      </c>
      <c r="AY188" s="290">
        <v>1249</v>
      </c>
      <c r="AZ188" s="290">
        <v>290</v>
      </c>
      <c r="BA188" s="290">
        <v>108</v>
      </c>
      <c r="BB188" s="290">
        <v>0</v>
      </c>
      <c r="BC188" s="290">
        <v>1363.9398000000001</v>
      </c>
      <c r="BD188" s="290">
        <v>594</v>
      </c>
      <c r="BE188" s="290">
        <v>186370.196</v>
      </c>
      <c r="BF188" s="290">
        <v>0</v>
      </c>
      <c r="BG188" s="290">
        <v>320</v>
      </c>
      <c r="BH188" s="290">
        <v>46</v>
      </c>
      <c r="BI188" s="290">
        <v>2318.3234699999998</v>
      </c>
      <c r="BJ188" s="290">
        <v>0</v>
      </c>
      <c r="BK188" s="290">
        <f t="shared" si="2"/>
        <v>0</v>
      </c>
      <c r="BL188" s="290">
        <v>0</v>
      </c>
      <c r="BM188" s="290">
        <v>0</v>
      </c>
      <c r="BN188" s="290">
        <v>4691</v>
      </c>
      <c r="BO188" s="290">
        <v>997</v>
      </c>
      <c r="BP188" s="290">
        <v>5</v>
      </c>
      <c r="BQ188" s="290">
        <v>627</v>
      </c>
      <c r="BR188" s="290">
        <v>-3</v>
      </c>
      <c r="BS188" s="290">
        <v>76</v>
      </c>
      <c r="BT188" s="290">
        <v>0</v>
      </c>
      <c r="BU188" s="290">
        <v>0</v>
      </c>
      <c r="BV188" s="290">
        <v>103</v>
      </c>
      <c r="BW188" s="290"/>
      <c r="BX188" s="290"/>
      <c r="BY188" s="290"/>
    </row>
    <row r="189" spans="1:77" ht="13">
      <c r="A189" s="1">
        <v>3452</v>
      </c>
      <c r="B189" s="2" t="s">
        <v>868</v>
      </c>
      <c r="C189" s="289">
        <v>2125</v>
      </c>
      <c r="D189" s="290">
        <v>39</v>
      </c>
      <c r="E189" s="290">
        <v>69</v>
      </c>
      <c r="F189" s="290">
        <v>253</v>
      </c>
      <c r="G189" s="290">
        <v>166</v>
      </c>
      <c r="H189" s="290">
        <v>1172</v>
      </c>
      <c r="I189" s="290">
        <v>304</v>
      </c>
      <c r="J189" s="290">
        <v>98</v>
      </c>
      <c r="K189" s="290">
        <v>22</v>
      </c>
      <c r="L189" s="290">
        <v>17</v>
      </c>
      <c r="M189" s="290">
        <v>206</v>
      </c>
      <c r="N189" s="290">
        <v>23</v>
      </c>
      <c r="O189" s="290">
        <v>25</v>
      </c>
      <c r="P189" s="624">
        <v>14646.537333329999</v>
      </c>
      <c r="Q189" s="624">
        <v>7192.473</v>
      </c>
      <c r="R189" s="624">
        <v>5</v>
      </c>
      <c r="S189" s="290">
        <v>0</v>
      </c>
      <c r="T189" s="290">
        <v>199</v>
      </c>
      <c r="U189" s="958">
        <v>3.2855354565874714E-3</v>
      </c>
      <c r="V189" s="290">
        <v>785.28995955000005</v>
      </c>
      <c r="W189" s="765">
        <v>0.76213081999999999</v>
      </c>
      <c r="X189" s="290">
        <v>800</v>
      </c>
      <c r="Y189" s="290">
        <v>427.12680399999999</v>
      </c>
      <c r="Z189" s="290">
        <v>64621</v>
      </c>
      <c r="AA189" s="290">
        <v>0</v>
      </c>
      <c r="AB189" s="290">
        <v>38</v>
      </c>
      <c r="AC189" s="290">
        <v>387.66699999999997</v>
      </c>
      <c r="AD189" s="290">
        <v>167</v>
      </c>
      <c r="AE189" s="290">
        <v>0</v>
      </c>
      <c r="AF189" s="290">
        <v>0</v>
      </c>
      <c r="AG189" s="290">
        <v>2123</v>
      </c>
      <c r="AH189" s="290">
        <v>332.55626027</v>
      </c>
      <c r="AI189" s="290">
        <v>0</v>
      </c>
      <c r="AJ189" s="290">
        <v>0</v>
      </c>
      <c r="AK189" s="290">
        <v>0</v>
      </c>
      <c r="AL189" s="290">
        <v>0</v>
      </c>
      <c r="AM189" s="957">
        <v>2.8761200000000001E-2</v>
      </c>
      <c r="AN189" s="290">
        <v>0</v>
      </c>
      <c r="AO189" s="290">
        <v>-325.42789099999999</v>
      </c>
      <c r="AP189" s="290">
        <v>0</v>
      </c>
      <c r="AQ189" s="290">
        <v>0</v>
      </c>
      <c r="AR189" s="290">
        <v>-114.35638</v>
      </c>
      <c r="AS189" s="290">
        <v>628</v>
      </c>
      <c r="AT189" s="290">
        <v>115</v>
      </c>
      <c r="AU189" s="290">
        <v>10</v>
      </c>
      <c r="AV189" s="766">
        <v>73956</v>
      </c>
      <c r="AW189" s="290">
        <v>168</v>
      </c>
      <c r="AX189" s="766">
        <v>11.416650000000001</v>
      </c>
      <c r="AY189" s="290">
        <v>383</v>
      </c>
      <c r="AZ189" s="290">
        <v>114</v>
      </c>
      <c r="BA189" s="290">
        <v>38</v>
      </c>
      <c r="BB189" s="290">
        <v>5875</v>
      </c>
      <c r="BC189" s="290">
        <v>728.74418100000003</v>
      </c>
      <c r="BD189" s="290">
        <v>265</v>
      </c>
      <c r="BE189" s="290">
        <v>75603.115999999995</v>
      </c>
      <c r="BF189" s="290">
        <v>0</v>
      </c>
      <c r="BG189" s="290">
        <v>127</v>
      </c>
      <c r="BH189" s="290">
        <v>18</v>
      </c>
      <c r="BI189" s="290">
        <v>1147.35006</v>
      </c>
      <c r="BJ189" s="290">
        <v>0</v>
      </c>
      <c r="BK189" s="290">
        <f t="shared" si="2"/>
        <v>0</v>
      </c>
      <c r="BL189" s="290">
        <v>0</v>
      </c>
      <c r="BM189" s="290">
        <v>0</v>
      </c>
      <c r="BN189" s="290">
        <v>1665</v>
      </c>
      <c r="BO189" s="290">
        <v>331</v>
      </c>
      <c r="BP189" s="290">
        <v>1</v>
      </c>
      <c r="BQ189" s="290">
        <v>217</v>
      </c>
      <c r="BR189" s="290">
        <v>-1</v>
      </c>
      <c r="BS189" s="290">
        <v>50</v>
      </c>
      <c r="BT189" s="290">
        <v>0</v>
      </c>
      <c r="BU189" s="290">
        <v>0</v>
      </c>
      <c r="BV189" s="290">
        <v>41</v>
      </c>
      <c r="BW189" s="290"/>
      <c r="BX189" s="290"/>
      <c r="BY189" s="290"/>
    </row>
    <row r="190" spans="1:77" ht="13">
      <c r="A190" s="1">
        <v>3453</v>
      </c>
      <c r="B190" s="2" t="s">
        <v>869</v>
      </c>
      <c r="C190" s="289">
        <v>3229</v>
      </c>
      <c r="D190" s="290">
        <v>53</v>
      </c>
      <c r="E190" s="290">
        <v>128</v>
      </c>
      <c r="F190" s="290">
        <v>354</v>
      </c>
      <c r="G190" s="290">
        <v>256</v>
      </c>
      <c r="H190" s="290">
        <v>1791</v>
      </c>
      <c r="I190" s="290">
        <v>482</v>
      </c>
      <c r="J190" s="290">
        <v>117</v>
      </c>
      <c r="K190" s="290">
        <v>32</v>
      </c>
      <c r="L190" s="290">
        <v>27</v>
      </c>
      <c r="M190" s="290">
        <v>277</v>
      </c>
      <c r="N190" s="290">
        <v>16</v>
      </c>
      <c r="O190" s="290">
        <v>26</v>
      </c>
      <c r="P190" s="624">
        <v>46645.55966667</v>
      </c>
      <c r="Q190" s="624">
        <v>14236.159333330001</v>
      </c>
      <c r="R190" s="624">
        <v>14</v>
      </c>
      <c r="S190" s="290">
        <v>0</v>
      </c>
      <c r="T190" s="290">
        <v>287</v>
      </c>
      <c r="U190" s="958">
        <v>3.3702432931091864E-3</v>
      </c>
      <c r="V190" s="290">
        <v>1599.02401448</v>
      </c>
      <c r="W190" s="765">
        <v>0.78732636</v>
      </c>
      <c r="X190" s="290">
        <v>800</v>
      </c>
      <c r="Y190" s="290">
        <v>427.12680399999999</v>
      </c>
      <c r="Z190" s="290">
        <v>101483</v>
      </c>
      <c r="AA190" s="290">
        <v>130</v>
      </c>
      <c r="AB190" s="290">
        <v>47</v>
      </c>
      <c r="AC190" s="290">
        <v>533.14800000000002</v>
      </c>
      <c r="AD190" s="290">
        <v>333</v>
      </c>
      <c r="AE190" s="290">
        <v>0</v>
      </c>
      <c r="AF190" s="290">
        <v>0</v>
      </c>
      <c r="AG190" s="290">
        <v>3213</v>
      </c>
      <c r="AH190" s="290">
        <v>486.54426774000001</v>
      </c>
      <c r="AI190" s="290">
        <v>500</v>
      </c>
      <c r="AJ190" s="290">
        <v>0</v>
      </c>
      <c r="AK190" s="290">
        <v>0</v>
      </c>
      <c r="AL190" s="290">
        <v>0</v>
      </c>
      <c r="AM190" s="957">
        <v>3.3392980000000003E-2</v>
      </c>
      <c r="AN190" s="290">
        <v>3977</v>
      </c>
      <c r="AO190" s="290">
        <v>-478.01930199999998</v>
      </c>
      <c r="AP190" s="290">
        <v>0</v>
      </c>
      <c r="AQ190" s="290">
        <v>0</v>
      </c>
      <c r="AR190" s="290">
        <v>-173.06973500000001</v>
      </c>
      <c r="AS190" s="290">
        <v>690</v>
      </c>
      <c r="AT190" s="290">
        <v>148</v>
      </c>
      <c r="AU190" s="290">
        <v>18</v>
      </c>
      <c r="AV190" s="766">
        <v>101219</v>
      </c>
      <c r="AW190" s="290">
        <v>547</v>
      </c>
      <c r="AX190" s="766">
        <v>3.1667000000000001</v>
      </c>
      <c r="AY190" s="290">
        <v>613</v>
      </c>
      <c r="AZ190" s="290">
        <v>129</v>
      </c>
      <c r="BA190" s="290">
        <v>43</v>
      </c>
      <c r="BB190" s="290">
        <v>0</v>
      </c>
      <c r="BC190" s="290">
        <v>879.35038699999996</v>
      </c>
      <c r="BD190" s="290">
        <v>355</v>
      </c>
      <c r="BE190" s="290">
        <v>103419.18799999999</v>
      </c>
      <c r="BF190" s="290">
        <v>0</v>
      </c>
      <c r="BG190" s="290">
        <v>188</v>
      </c>
      <c r="BH190" s="290">
        <v>27</v>
      </c>
      <c r="BI190" s="290">
        <v>1446.81907</v>
      </c>
      <c r="BJ190" s="290">
        <v>0</v>
      </c>
      <c r="BK190" s="290">
        <f t="shared" si="2"/>
        <v>0</v>
      </c>
      <c r="BL190" s="290">
        <v>0</v>
      </c>
      <c r="BM190" s="290">
        <v>0</v>
      </c>
      <c r="BN190" s="290">
        <v>2446</v>
      </c>
      <c r="BO190" s="290">
        <v>520</v>
      </c>
      <c r="BP190" s="290">
        <v>2</v>
      </c>
      <c r="BQ190" s="290">
        <v>326</v>
      </c>
      <c r="BR190" s="290">
        <v>-2</v>
      </c>
      <c r="BS190" s="290">
        <v>50</v>
      </c>
      <c r="BT190" s="290">
        <v>0</v>
      </c>
      <c r="BU190" s="290">
        <v>0</v>
      </c>
      <c r="BV190" s="290">
        <v>60</v>
      </c>
      <c r="BW190" s="290"/>
      <c r="BX190" s="290"/>
      <c r="BY190" s="290"/>
    </row>
    <row r="191" spans="1:77" ht="13">
      <c r="A191" s="1">
        <v>3454</v>
      </c>
      <c r="B191" s="2" t="s">
        <v>870</v>
      </c>
      <c r="C191" s="289">
        <v>1578</v>
      </c>
      <c r="D191" s="290">
        <v>25</v>
      </c>
      <c r="E191" s="290">
        <v>57</v>
      </c>
      <c r="F191" s="290">
        <v>187</v>
      </c>
      <c r="G191" s="290">
        <v>128</v>
      </c>
      <c r="H191" s="290">
        <v>856</v>
      </c>
      <c r="I191" s="290">
        <v>236</v>
      </c>
      <c r="J191" s="290">
        <v>65</v>
      </c>
      <c r="K191" s="290">
        <v>26</v>
      </c>
      <c r="L191" s="290">
        <v>14</v>
      </c>
      <c r="M191" s="290">
        <v>148</v>
      </c>
      <c r="N191" s="290">
        <v>19</v>
      </c>
      <c r="O191" s="290">
        <v>28</v>
      </c>
      <c r="P191" s="624">
        <v>17878.422999999999</v>
      </c>
      <c r="Q191" s="624">
        <v>7181.3226666700002</v>
      </c>
      <c r="R191" s="624">
        <v>9</v>
      </c>
      <c r="S191" s="290">
        <v>0</v>
      </c>
      <c r="T191" s="290">
        <v>136</v>
      </c>
      <c r="U191" s="958">
        <v>2.405521044969243E-3</v>
      </c>
      <c r="V191" s="290">
        <v>942.49676810999995</v>
      </c>
      <c r="W191" s="765">
        <v>0.98793726999999998</v>
      </c>
      <c r="X191" s="290">
        <v>800</v>
      </c>
      <c r="Y191" s="290">
        <v>427.12680399999999</v>
      </c>
      <c r="Z191" s="290">
        <v>45794</v>
      </c>
      <c r="AA191" s="290">
        <v>0</v>
      </c>
      <c r="AB191" s="290">
        <v>31</v>
      </c>
      <c r="AC191" s="290">
        <v>301.51900000000001</v>
      </c>
      <c r="AD191" s="290">
        <v>167</v>
      </c>
      <c r="AE191" s="290">
        <v>0</v>
      </c>
      <c r="AF191" s="290">
        <v>0</v>
      </c>
      <c r="AG191" s="290">
        <v>1580</v>
      </c>
      <c r="AH191" s="290">
        <v>248.69424681000001</v>
      </c>
      <c r="AI191" s="290">
        <v>0</v>
      </c>
      <c r="AJ191" s="290">
        <v>0</v>
      </c>
      <c r="AK191" s="290">
        <v>1.151</v>
      </c>
      <c r="AL191" s="290">
        <v>0</v>
      </c>
      <c r="AM191" s="957">
        <v>2.4915710000000001E-2</v>
      </c>
      <c r="AN191" s="290">
        <v>0</v>
      </c>
      <c r="AO191" s="290">
        <v>-281.75414699999999</v>
      </c>
      <c r="AP191" s="290">
        <v>0</v>
      </c>
      <c r="AQ191" s="290">
        <v>0</v>
      </c>
      <c r="AR191" s="290">
        <v>-85.107432799999998</v>
      </c>
      <c r="AS191" s="290">
        <v>552</v>
      </c>
      <c r="AT191" s="290">
        <v>69</v>
      </c>
      <c r="AU191" s="290">
        <v>8</v>
      </c>
      <c r="AV191" s="766">
        <v>68518</v>
      </c>
      <c r="AW191" s="290">
        <v>2953</v>
      </c>
      <c r="AX191" s="766">
        <v>8.0000499999999999</v>
      </c>
      <c r="AY191" s="290">
        <v>323</v>
      </c>
      <c r="AZ191" s="290">
        <v>117</v>
      </c>
      <c r="BA191" s="290">
        <v>21</v>
      </c>
      <c r="BB191" s="290">
        <v>5875</v>
      </c>
      <c r="BC191" s="290">
        <v>650.65207399999997</v>
      </c>
      <c r="BD191" s="290">
        <v>251</v>
      </c>
      <c r="BE191" s="290">
        <v>74279.762799999997</v>
      </c>
      <c r="BF191" s="290">
        <v>0</v>
      </c>
      <c r="BG191" s="290">
        <v>115</v>
      </c>
      <c r="BH191" s="290">
        <v>16</v>
      </c>
      <c r="BI191" s="290">
        <v>978.49105099999997</v>
      </c>
      <c r="BJ191" s="290">
        <v>0</v>
      </c>
      <c r="BK191" s="290">
        <f t="shared" si="2"/>
        <v>0</v>
      </c>
      <c r="BL191" s="290">
        <v>0</v>
      </c>
      <c r="BM191" s="290">
        <v>0</v>
      </c>
      <c r="BN191" s="290">
        <v>1442</v>
      </c>
      <c r="BO191" s="290">
        <v>270</v>
      </c>
      <c r="BP191" s="290">
        <v>1</v>
      </c>
      <c r="BQ191" s="290">
        <v>162</v>
      </c>
      <c r="BR191" s="290">
        <v>-1</v>
      </c>
      <c r="BS191" s="290">
        <v>50</v>
      </c>
      <c r="BT191" s="290">
        <v>0</v>
      </c>
      <c r="BU191" s="290">
        <v>0</v>
      </c>
      <c r="BV191" s="290">
        <v>37</v>
      </c>
      <c r="BW191" s="290"/>
      <c r="BX191" s="290"/>
      <c r="BY191" s="290"/>
    </row>
    <row r="192" spans="1:77" ht="13">
      <c r="A192" s="1">
        <v>3801</v>
      </c>
      <c r="B192" s="2" t="s">
        <v>346</v>
      </c>
      <c r="C192" s="289">
        <v>27351</v>
      </c>
      <c r="D192" s="290">
        <v>426</v>
      </c>
      <c r="E192" s="290">
        <v>1140</v>
      </c>
      <c r="F192" s="290">
        <v>3199</v>
      </c>
      <c r="G192" s="290">
        <v>2358</v>
      </c>
      <c r="H192" s="290">
        <v>15367</v>
      </c>
      <c r="I192" s="290">
        <v>3504</v>
      </c>
      <c r="J192" s="290">
        <v>1120</v>
      </c>
      <c r="K192" s="290">
        <v>234</v>
      </c>
      <c r="L192" s="290">
        <v>220</v>
      </c>
      <c r="M192" s="290">
        <v>2090</v>
      </c>
      <c r="N192" s="290">
        <v>857</v>
      </c>
      <c r="O192" s="290">
        <v>264</v>
      </c>
      <c r="P192" s="624">
        <v>34200.527000000002</v>
      </c>
      <c r="Q192" s="624">
        <v>26627.07566667</v>
      </c>
      <c r="R192" s="624">
        <v>101</v>
      </c>
      <c r="S192" s="290">
        <v>0</v>
      </c>
      <c r="T192" s="290">
        <v>2413</v>
      </c>
      <c r="U192" s="958">
        <v>1.0933768867660053E-3</v>
      </c>
      <c r="V192" s="290">
        <v>1727.66604992</v>
      </c>
      <c r="W192" s="765">
        <v>0.53675240000000002</v>
      </c>
      <c r="X192" s="290">
        <v>2400</v>
      </c>
      <c r="Y192" s="290">
        <v>427.12680399999999</v>
      </c>
      <c r="Z192" s="290">
        <v>688211</v>
      </c>
      <c r="AA192" s="290">
        <v>0</v>
      </c>
      <c r="AB192" s="290">
        <v>717</v>
      </c>
      <c r="AC192" s="290">
        <v>4077.799</v>
      </c>
      <c r="AD192" s="290">
        <v>333</v>
      </c>
      <c r="AE192" s="290">
        <v>0</v>
      </c>
      <c r="AF192" s="290">
        <v>0</v>
      </c>
      <c r="AG192" s="290">
        <v>27348</v>
      </c>
      <c r="AH192" s="290">
        <v>4416.4917260399998</v>
      </c>
      <c r="AI192" s="290">
        <v>1050</v>
      </c>
      <c r="AJ192" s="290">
        <v>0</v>
      </c>
      <c r="AK192" s="290">
        <v>0</v>
      </c>
      <c r="AL192" s="290">
        <v>0</v>
      </c>
      <c r="AM192" s="957">
        <v>1.80459243</v>
      </c>
      <c r="AN192" s="290">
        <v>0</v>
      </c>
      <c r="AO192" s="290">
        <v>-3750.3671399999998</v>
      </c>
      <c r="AP192" s="290">
        <v>0</v>
      </c>
      <c r="AQ192" s="290">
        <v>321.23</v>
      </c>
      <c r="AR192" s="290">
        <v>-1473.1126999999999</v>
      </c>
      <c r="AS192" s="290">
        <v>8514</v>
      </c>
      <c r="AT192" s="290">
        <v>1867</v>
      </c>
      <c r="AU192" s="290">
        <v>470</v>
      </c>
      <c r="AV192" s="766">
        <v>681244</v>
      </c>
      <c r="AW192" s="290">
        <v>6307.183</v>
      </c>
      <c r="AX192" s="766">
        <v>143.70835</v>
      </c>
      <c r="AY192" s="290">
        <v>6900</v>
      </c>
      <c r="AZ192" s="290">
        <v>1538</v>
      </c>
      <c r="BA192" s="290">
        <v>648</v>
      </c>
      <c r="BB192" s="290">
        <v>0</v>
      </c>
      <c r="BC192" s="290">
        <v>4765.8272100000004</v>
      </c>
      <c r="BD192" s="290">
        <v>2236</v>
      </c>
      <c r="BE192" s="290">
        <v>699388.61100000003</v>
      </c>
      <c r="BF192" s="290">
        <v>0</v>
      </c>
      <c r="BG192" s="290">
        <v>1155</v>
      </c>
      <c r="BH192" s="290">
        <v>165</v>
      </c>
      <c r="BI192" s="290">
        <v>8921.4175300000006</v>
      </c>
      <c r="BJ192" s="290">
        <v>3100</v>
      </c>
      <c r="BK192" s="290">
        <f t="shared" si="2"/>
        <v>0</v>
      </c>
      <c r="BL192" s="290">
        <v>0</v>
      </c>
      <c r="BM192" s="290">
        <v>0</v>
      </c>
      <c r="BN192" s="290">
        <v>19189</v>
      </c>
      <c r="BO192" s="290">
        <v>4695</v>
      </c>
      <c r="BP192" s="290">
        <v>23</v>
      </c>
      <c r="BQ192" s="290">
        <v>2659</v>
      </c>
      <c r="BR192" s="290">
        <v>-13</v>
      </c>
      <c r="BS192" s="290">
        <v>423</v>
      </c>
      <c r="BT192" s="290">
        <v>0</v>
      </c>
      <c r="BU192" s="290">
        <v>0</v>
      </c>
      <c r="BV192" s="290">
        <v>371</v>
      </c>
      <c r="BW192" s="290"/>
      <c r="BX192" s="290"/>
      <c r="BY192" s="290"/>
    </row>
    <row r="193" spans="1:77" ht="13">
      <c r="A193" s="1">
        <v>3802</v>
      </c>
      <c r="B193" s="2" t="s">
        <v>1625</v>
      </c>
      <c r="C193" s="289">
        <v>24699</v>
      </c>
      <c r="D193" s="290">
        <v>471</v>
      </c>
      <c r="E193" s="290">
        <v>1106</v>
      </c>
      <c r="F193" s="290">
        <v>2929</v>
      </c>
      <c r="G193" s="290">
        <v>1936</v>
      </c>
      <c r="H193" s="290">
        <v>13932</v>
      </c>
      <c r="I193" s="290">
        <v>3106</v>
      </c>
      <c r="J193" s="290">
        <v>835</v>
      </c>
      <c r="K193" s="290">
        <v>206</v>
      </c>
      <c r="L193" s="290">
        <v>195</v>
      </c>
      <c r="M193" s="290">
        <v>1741</v>
      </c>
      <c r="N193" s="290">
        <v>349</v>
      </c>
      <c r="O193" s="290">
        <v>198</v>
      </c>
      <c r="P193" s="624">
        <v>61243.628333330002</v>
      </c>
      <c r="Q193" s="624">
        <v>49410.725666669998</v>
      </c>
      <c r="R193" s="624">
        <v>80</v>
      </c>
      <c r="S193" s="290">
        <v>2091</v>
      </c>
      <c r="T193" s="290">
        <v>1963</v>
      </c>
      <c r="U193" s="958">
        <v>4.8201736227172802E-3</v>
      </c>
      <c r="V193" s="290">
        <v>1779.0914329300001</v>
      </c>
      <c r="W193" s="765">
        <v>0.57786294999999999</v>
      </c>
      <c r="X193" s="290">
        <v>3200</v>
      </c>
      <c r="Y193" s="290">
        <v>1281.380412</v>
      </c>
      <c r="Z193" s="290">
        <v>685619</v>
      </c>
      <c r="AA193" s="290">
        <v>625</v>
      </c>
      <c r="AB193" s="290">
        <v>641</v>
      </c>
      <c r="AC193" s="290">
        <v>9087.9449999999997</v>
      </c>
      <c r="AD193" s="290">
        <v>333</v>
      </c>
      <c r="AE193" s="290">
        <v>1772</v>
      </c>
      <c r="AF193" s="290">
        <v>35528.199552589998</v>
      </c>
      <c r="AG193" s="290">
        <v>24521</v>
      </c>
      <c r="AH193" s="290">
        <v>4081.7666205999999</v>
      </c>
      <c r="AI193" s="290">
        <v>400</v>
      </c>
      <c r="AJ193" s="290">
        <v>0</v>
      </c>
      <c r="AK193" s="290">
        <v>0</v>
      </c>
      <c r="AL193" s="290">
        <v>0</v>
      </c>
      <c r="AM193" s="957">
        <v>0.64332372999999998</v>
      </c>
      <c r="AN193" s="290">
        <v>0</v>
      </c>
      <c r="AO193" s="290">
        <v>-3282.1679899999999</v>
      </c>
      <c r="AP193" s="290">
        <v>0</v>
      </c>
      <c r="AQ193" s="290">
        <v>3064.04</v>
      </c>
      <c r="AR193" s="290">
        <v>-1320.8350399999999</v>
      </c>
      <c r="AS193" s="290">
        <v>5484</v>
      </c>
      <c r="AT193" s="290">
        <v>1455</v>
      </c>
      <c r="AU193" s="290">
        <v>305</v>
      </c>
      <c r="AV193" s="766">
        <v>613549</v>
      </c>
      <c r="AW193" s="290">
        <v>6754.3590000000004</v>
      </c>
      <c r="AX193" s="766">
        <v>156.66665</v>
      </c>
      <c r="AY193" s="290">
        <v>5141</v>
      </c>
      <c r="AZ193" s="290">
        <v>863</v>
      </c>
      <c r="BA193" s="290">
        <v>569</v>
      </c>
      <c r="BB193" s="290">
        <v>0</v>
      </c>
      <c r="BC193" s="290">
        <v>30028.1888</v>
      </c>
      <c r="BD193" s="290">
        <v>2019</v>
      </c>
      <c r="BE193" s="290">
        <v>644830.95299999998</v>
      </c>
      <c r="BF193" s="290">
        <v>0</v>
      </c>
      <c r="BG193" s="290">
        <v>1055</v>
      </c>
      <c r="BH193" s="290">
        <v>151</v>
      </c>
      <c r="BI193" s="290">
        <v>49979.291599999997</v>
      </c>
      <c r="BJ193" s="290">
        <v>0</v>
      </c>
      <c r="BK193" s="290">
        <f t="shared" si="2"/>
        <v>0</v>
      </c>
      <c r="BL193" s="290">
        <v>0</v>
      </c>
      <c r="BM193" s="290">
        <v>4915</v>
      </c>
      <c r="BN193" s="290">
        <v>16793</v>
      </c>
      <c r="BO193" s="290">
        <v>4436</v>
      </c>
      <c r="BP193" s="290">
        <v>22</v>
      </c>
      <c r="BQ193" s="290">
        <v>2374</v>
      </c>
      <c r="BR193" s="290">
        <v>-11</v>
      </c>
      <c r="BS193" s="290">
        <v>268</v>
      </c>
      <c r="BT193" s="290">
        <v>0</v>
      </c>
      <c r="BU193" s="290">
        <v>0</v>
      </c>
      <c r="BV193" s="290">
        <v>339</v>
      </c>
      <c r="BW193" s="290"/>
      <c r="BX193" s="290"/>
      <c r="BY193" s="290"/>
    </row>
    <row r="194" spans="1:77" ht="13">
      <c r="A194" s="1">
        <v>3803</v>
      </c>
      <c r="B194" s="2" t="s">
        <v>1626</v>
      </c>
      <c r="C194" s="289">
        <v>56293</v>
      </c>
      <c r="D194" s="290">
        <v>1072</v>
      </c>
      <c r="E194" s="290">
        <v>2414</v>
      </c>
      <c r="F194" s="290">
        <v>6672</v>
      </c>
      <c r="G194" s="290">
        <v>4642</v>
      </c>
      <c r="H194" s="290">
        <v>32307</v>
      </c>
      <c r="I194" s="290">
        <v>6208</v>
      </c>
      <c r="J194" s="290">
        <v>2100</v>
      </c>
      <c r="K194" s="290">
        <v>499</v>
      </c>
      <c r="L194" s="290">
        <v>418</v>
      </c>
      <c r="M194" s="290">
        <v>3905</v>
      </c>
      <c r="N194" s="290">
        <v>1342</v>
      </c>
      <c r="O194" s="290">
        <v>410</v>
      </c>
      <c r="P194" s="624">
        <v>125666.22900000001</v>
      </c>
      <c r="Q194" s="624">
        <v>87936.530333329996</v>
      </c>
      <c r="R194" s="624">
        <v>218</v>
      </c>
      <c r="S194" s="290">
        <v>0</v>
      </c>
      <c r="T194" s="290">
        <v>5230</v>
      </c>
      <c r="U194" s="958">
        <v>7.1371787486847549E-3</v>
      </c>
      <c r="V194" s="290">
        <v>-24430.206052689999</v>
      </c>
      <c r="W194" s="765">
        <v>0.55196699999999999</v>
      </c>
      <c r="X194" s="290">
        <v>5000</v>
      </c>
      <c r="Y194" s="290">
        <v>427.12680399999999</v>
      </c>
      <c r="Z194" s="290">
        <v>1690855</v>
      </c>
      <c r="AA194" s="290">
        <v>1750</v>
      </c>
      <c r="AB194" s="290">
        <v>1220</v>
      </c>
      <c r="AC194" s="290">
        <v>9614.3790000000008</v>
      </c>
      <c r="AD194" s="290">
        <v>500</v>
      </c>
      <c r="AE194" s="290">
        <v>0</v>
      </c>
      <c r="AF194" s="290">
        <v>16653.236972859999</v>
      </c>
      <c r="AG194" s="290">
        <v>55914</v>
      </c>
      <c r="AH194" s="290">
        <v>9240.7263451100007</v>
      </c>
      <c r="AI194" s="290">
        <v>1400</v>
      </c>
      <c r="AJ194" s="290">
        <v>0</v>
      </c>
      <c r="AK194" s="290">
        <v>0</v>
      </c>
      <c r="AL194" s="290">
        <v>0</v>
      </c>
      <c r="AM194" s="957">
        <v>2.3439961299999998</v>
      </c>
      <c r="AN194" s="290">
        <v>0</v>
      </c>
      <c r="AO194" s="290">
        <v>-7577.8206499999997</v>
      </c>
      <c r="AP194" s="290">
        <v>0</v>
      </c>
      <c r="AQ194" s="290">
        <v>-5267.3093499999995</v>
      </c>
      <c r="AR194" s="290">
        <v>-3011.8335400000001</v>
      </c>
      <c r="AS194" s="290">
        <v>16370</v>
      </c>
      <c r="AT194" s="290">
        <v>3619</v>
      </c>
      <c r="AU194" s="290">
        <v>817</v>
      </c>
      <c r="AV194" s="766">
        <v>1353820</v>
      </c>
      <c r="AW194" s="290">
        <v>11692.26</v>
      </c>
      <c r="AX194" s="766">
        <v>374.66674999999998</v>
      </c>
      <c r="AY194" s="290">
        <v>15327</v>
      </c>
      <c r="AZ194" s="290">
        <v>2448</v>
      </c>
      <c r="BA194" s="290">
        <v>1364</v>
      </c>
      <c r="BB194" s="290">
        <v>0</v>
      </c>
      <c r="BC194" s="290">
        <v>22880.927199999998</v>
      </c>
      <c r="BD194" s="290">
        <v>4514</v>
      </c>
      <c r="BE194" s="290">
        <v>1390810.75</v>
      </c>
      <c r="BF194" s="290">
        <v>0</v>
      </c>
      <c r="BG194" s="290">
        <v>2322</v>
      </c>
      <c r="BH194" s="290">
        <v>331</v>
      </c>
      <c r="BI194" s="290">
        <v>35935.469100000002</v>
      </c>
      <c r="BJ194" s="290">
        <v>6370</v>
      </c>
      <c r="BK194" s="290">
        <f t="shared" si="2"/>
        <v>0</v>
      </c>
      <c r="BL194" s="290">
        <v>0</v>
      </c>
      <c r="BM194" s="290">
        <v>7035</v>
      </c>
      <c r="BN194" s="290">
        <v>38772</v>
      </c>
      <c r="BO194" s="290">
        <v>10070</v>
      </c>
      <c r="BP194" s="290">
        <v>50</v>
      </c>
      <c r="BQ194" s="290">
        <v>5587</v>
      </c>
      <c r="BR194" s="290">
        <v>-26</v>
      </c>
      <c r="BS194" s="290">
        <v>682</v>
      </c>
      <c r="BT194" s="290">
        <v>0</v>
      </c>
      <c r="BU194" s="290">
        <v>0</v>
      </c>
      <c r="BV194" s="290">
        <v>746</v>
      </c>
      <c r="BW194" s="290"/>
      <c r="BX194" s="290"/>
      <c r="BY194" s="290"/>
    </row>
    <row r="195" spans="1:77" ht="13">
      <c r="A195" s="1">
        <v>3804</v>
      </c>
      <c r="B195" s="2" t="s">
        <v>1153</v>
      </c>
      <c r="C195" s="289">
        <v>63764</v>
      </c>
      <c r="D195" s="290">
        <v>1257</v>
      </c>
      <c r="E195" s="290">
        <v>2715</v>
      </c>
      <c r="F195" s="290">
        <v>7619</v>
      </c>
      <c r="G195" s="290">
        <v>5651</v>
      </c>
      <c r="H195" s="290">
        <v>35707</v>
      </c>
      <c r="I195" s="290">
        <v>7582</v>
      </c>
      <c r="J195" s="290">
        <v>2455</v>
      </c>
      <c r="K195" s="290">
        <v>543</v>
      </c>
      <c r="L195" s="290">
        <v>492</v>
      </c>
      <c r="M195" s="290">
        <v>4593</v>
      </c>
      <c r="N195" s="290">
        <v>1931</v>
      </c>
      <c r="O195" s="290">
        <v>656</v>
      </c>
      <c r="P195" s="624">
        <v>161581.079</v>
      </c>
      <c r="Q195" s="624">
        <v>82410.152000000002</v>
      </c>
      <c r="R195" s="624">
        <v>229</v>
      </c>
      <c r="S195" s="290">
        <v>0</v>
      </c>
      <c r="T195" s="290">
        <v>5618</v>
      </c>
      <c r="U195" s="958">
        <v>7.6263211615002664E-3</v>
      </c>
      <c r="V195" s="290">
        <v>-13245.74687193</v>
      </c>
      <c r="W195" s="765">
        <v>0.55128604000000003</v>
      </c>
      <c r="X195" s="290">
        <v>5100</v>
      </c>
      <c r="Y195" s="290">
        <v>1281.380412</v>
      </c>
      <c r="Z195" s="290">
        <v>1781351</v>
      </c>
      <c r="AA195" s="290">
        <v>0</v>
      </c>
      <c r="AB195" s="290">
        <v>1697</v>
      </c>
      <c r="AC195" s="290">
        <v>9551.3559999999998</v>
      </c>
      <c r="AD195" s="290">
        <v>500</v>
      </c>
      <c r="AE195" s="290">
        <v>0</v>
      </c>
      <c r="AF195" s="290">
        <v>29380.03697822</v>
      </c>
      <c r="AG195" s="290">
        <v>63529</v>
      </c>
      <c r="AH195" s="290">
        <v>10701.08209672</v>
      </c>
      <c r="AI195" s="290">
        <v>600</v>
      </c>
      <c r="AJ195" s="290">
        <v>0</v>
      </c>
      <c r="AK195" s="290">
        <v>0</v>
      </c>
      <c r="AL195" s="290">
        <v>0</v>
      </c>
      <c r="AM195" s="957">
        <v>2.90957541</v>
      </c>
      <c r="AN195" s="290">
        <v>0</v>
      </c>
      <c r="AO195" s="290">
        <v>-8651.7961599999999</v>
      </c>
      <c r="AP195" s="290">
        <v>0</v>
      </c>
      <c r="AQ195" s="290">
        <v>0</v>
      </c>
      <c r="AR195" s="290">
        <v>-3422.0190499999999</v>
      </c>
      <c r="AS195" s="290">
        <v>12456</v>
      </c>
      <c r="AT195" s="290">
        <v>4308</v>
      </c>
      <c r="AU195" s="290">
        <v>835</v>
      </c>
      <c r="AV195" s="766">
        <v>1554840</v>
      </c>
      <c r="AW195" s="290">
        <v>15130.963</v>
      </c>
      <c r="AX195" s="766">
        <v>425.20835</v>
      </c>
      <c r="AY195" s="290">
        <v>13669</v>
      </c>
      <c r="AZ195" s="290">
        <v>3238</v>
      </c>
      <c r="BA195" s="290">
        <v>1538</v>
      </c>
      <c r="BB195" s="290">
        <v>0</v>
      </c>
      <c r="BC195" s="290">
        <v>39638.945200000002</v>
      </c>
      <c r="BD195" s="290">
        <v>5115</v>
      </c>
      <c r="BE195" s="290">
        <v>1620583.16</v>
      </c>
      <c r="BF195" s="290">
        <v>0</v>
      </c>
      <c r="BG195" s="290">
        <v>2672</v>
      </c>
      <c r="BH195" s="290">
        <v>381</v>
      </c>
      <c r="BI195" s="290">
        <v>50913.855499999998</v>
      </c>
      <c r="BJ195" s="290">
        <v>7220</v>
      </c>
      <c r="BK195" s="290">
        <f t="shared" si="2"/>
        <v>0</v>
      </c>
      <c r="BL195" s="290">
        <v>0</v>
      </c>
      <c r="BM195" s="290">
        <v>7558</v>
      </c>
      <c r="BN195" s="290">
        <v>44268</v>
      </c>
      <c r="BO195" s="290">
        <v>11204</v>
      </c>
      <c r="BP195" s="290">
        <v>55</v>
      </c>
      <c r="BQ195" s="290">
        <v>6183</v>
      </c>
      <c r="BR195" s="290">
        <v>-30</v>
      </c>
      <c r="BS195" s="290">
        <v>974</v>
      </c>
      <c r="BT195" s="290">
        <v>0</v>
      </c>
      <c r="BU195" s="290">
        <v>0</v>
      </c>
      <c r="BV195" s="290">
        <v>859</v>
      </c>
      <c r="BW195" s="290"/>
      <c r="BX195" s="290"/>
      <c r="BY195" s="290"/>
    </row>
    <row r="196" spans="1:77" ht="13">
      <c r="A196" s="1">
        <v>3805</v>
      </c>
      <c r="B196" s="4" t="s">
        <v>1235</v>
      </c>
      <c r="C196" s="289">
        <v>47204</v>
      </c>
      <c r="D196" s="290">
        <v>873</v>
      </c>
      <c r="E196" s="290">
        <v>1906</v>
      </c>
      <c r="F196" s="290">
        <v>5451</v>
      </c>
      <c r="G196" s="290">
        <v>3856</v>
      </c>
      <c r="H196" s="290">
        <v>26368</v>
      </c>
      <c r="I196" s="290">
        <v>6189</v>
      </c>
      <c r="J196" s="290">
        <v>2009</v>
      </c>
      <c r="K196" s="290">
        <v>524</v>
      </c>
      <c r="L196" s="290">
        <v>362</v>
      </c>
      <c r="M196" s="290">
        <v>3692</v>
      </c>
      <c r="N196" s="290">
        <v>1244</v>
      </c>
      <c r="O196" s="290">
        <v>396</v>
      </c>
      <c r="P196" s="624">
        <v>112125.82</v>
      </c>
      <c r="Q196" s="624">
        <v>76463.616333330006</v>
      </c>
      <c r="R196" s="624">
        <v>221</v>
      </c>
      <c r="S196" s="290">
        <v>0</v>
      </c>
      <c r="T196" s="290">
        <v>4229</v>
      </c>
      <c r="U196" s="958">
        <v>7.8003138833991556E-3</v>
      </c>
      <c r="V196" s="290">
        <v>11605.77588689</v>
      </c>
      <c r="W196" s="765">
        <v>0.57097551999999996</v>
      </c>
      <c r="X196" s="290">
        <v>4000</v>
      </c>
      <c r="Y196" s="290">
        <v>854.25360799999999</v>
      </c>
      <c r="Z196" s="290">
        <v>1280124</v>
      </c>
      <c r="AA196" s="290">
        <v>125</v>
      </c>
      <c r="AB196" s="290">
        <v>1449</v>
      </c>
      <c r="AC196" s="290">
        <v>6878.6040000000003</v>
      </c>
      <c r="AD196" s="290">
        <v>500</v>
      </c>
      <c r="AE196" s="290">
        <v>0</v>
      </c>
      <c r="AF196" s="290">
        <v>20815.345152590002</v>
      </c>
      <c r="AG196" s="290">
        <v>47176</v>
      </c>
      <c r="AH196" s="290">
        <v>7580.1138889399999</v>
      </c>
      <c r="AI196" s="290">
        <v>800</v>
      </c>
      <c r="AJ196" s="290">
        <v>0</v>
      </c>
      <c r="AK196" s="290">
        <v>0</v>
      </c>
      <c r="AL196" s="290">
        <v>0</v>
      </c>
      <c r="AM196" s="957">
        <v>1.33044918</v>
      </c>
      <c r="AN196" s="290">
        <v>0</v>
      </c>
      <c r="AO196" s="290">
        <v>-6552.2565299999997</v>
      </c>
      <c r="AP196" s="290">
        <v>0</v>
      </c>
      <c r="AQ196" s="290">
        <v>0</v>
      </c>
      <c r="AR196" s="290">
        <v>-2541.1571199999998</v>
      </c>
      <c r="AS196" s="290">
        <v>10041</v>
      </c>
      <c r="AT196" s="290">
        <v>2988</v>
      </c>
      <c r="AU196" s="290">
        <v>452</v>
      </c>
      <c r="AV196" s="766">
        <v>1210574</v>
      </c>
      <c r="AW196" s="290">
        <v>15027.377</v>
      </c>
      <c r="AX196" s="766">
        <v>285.95830000000001</v>
      </c>
      <c r="AY196" s="290">
        <v>10085</v>
      </c>
      <c r="AZ196" s="290">
        <v>2186</v>
      </c>
      <c r="BA196" s="290">
        <v>1145</v>
      </c>
      <c r="BB196" s="290">
        <v>0</v>
      </c>
      <c r="BC196" s="290">
        <v>28224.9771</v>
      </c>
      <c r="BD196" s="290">
        <v>3810</v>
      </c>
      <c r="BE196" s="290">
        <v>1275255.8600000001</v>
      </c>
      <c r="BF196" s="290">
        <v>0</v>
      </c>
      <c r="BG196" s="290">
        <v>2037</v>
      </c>
      <c r="BH196" s="290">
        <v>291</v>
      </c>
      <c r="BI196" s="290">
        <v>36128.316599999998</v>
      </c>
      <c r="BJ196" s="290">
        <v>0</v>
      </c>
      <c r="BK196" s="290">
        <f t="shared" si="2"/>
        <v>0</v>
      </c>
      <c r="BL196" s="290">
        <v>0</v>
      </c>
      <c r="BM196" s="290">
        <v>6459</v>
      </c>
      <c r="BN196" s="290">
        <v>33525</v>
      </c>
      <c r="BO196" s="290">
        <v>7917</v>
      </c>
      <c r="BP196" s="290">
        <v>39</v>
      </c>
      <c r="BQ196" s="290">
        <v>4597</v>
      </c>
      <c r="BR196" s="290">
        <v>-22</v>
      </c>
      <c r="BS196" s="290">
        <v>730</v>
      </c>
      <c r="BT196" s="290">
        <v>0</v>
      </c>
      <c r="BU196" s="290">
        <v>0</v>
      </c>
      <c r="BV196" s="290">
        <v>655</v>
      </c>
      <c r="BW196" s="290"/>
      <c r="BX196" s="290"/>
      <c r="BY196" s="290"/>
    </row>
    <row r="197" spans="1:77" ht="13">
      <c r="A197" s="1">
        <v>3806</v>
      </c>
      <c r="B197" s="2" t="s">
        <v>904</v>
      </c>
      <c r="C197" s="289">
        <v>36397</v>
      </c>
      <c r="D197" s="290">
        <v>625</v>
      </c>
      <c r="E197" s="290">
        <v>1458</v>
      </c>
      <c r="F197" s="290">
        <v>4137</v>
      </c>
      <c r="G197" s="290">
        <v>3153</v>
      </c>
      <c r="H197" s="290">
        <v>20589</v>
      </c>
      <c r="I197" s="290">
        <v>4516</v>
      </c>
      <c r="J197" s="290">
        <v>1369</v>
      </c>
      <c r="K197" s="290">
        <v>374</v>
      </c>
      <c r="L197" s="290">
        <v>309</v>
      </c>
      <c r="M197" s="290">
        <v>2766</v>
      </c>
      <c r="N197" s="290">
        <v>1137</v>
      </c>
      <c r="O197" s="290">
        <v>291</v>
      </c>
      <c r="P197" s="624">
        <v>84640.601999999999</v>
      </c>
      <c r="Q197" s="624">
        <v>37416.97</v>
      </c>
      <c r="R197" s="624">
        <v>145</v>
      </c>
      <c r="S197" s="290">
        <v>0</v>
      </c>
      <c r="T197" s="290">
        <v>3426</v>
      </c>
      <c r="U197" s="958">
        <v>9.6957340792113323E-4</v>
      </c>
      <c r="V197" s="290">
        <v>-9879.2403737500008</v>
      </c>
      <c r="W197" s="765">
        <v>0.53990428000000001</v>
      </c>
      <c r="X197" s="290">
        <v>1900</v>
      </c>
      <c r="Y197" s="290">
        <v>854.25360799999999</v>
      </c>
      <c r="Z197" s="290">
        <v>997575</v>
      </c>
      <c r="AA197" s="290">
        <v>0</v>
      </c>
      <c r="AB197" s="290">
        <v>1019</v>
      </c>
      <c r="AC197" s="290">
        <v>14871.328</v>
      </c>
      <c r="AD197" s="290">
        <v>500</v>
      </c>
      <c r="AE197" s="290">
        <v>0</v>
      </c>
      <c r="AF197" s="290">
        <v>0</v>
      </c>
      <c r="AG197" s="290">
        <v>36221</v>
      </c>
      <c r="AH197" s="290">
        <v>5784.3100834899997</v>
      </c>
      <c r="AI197" s="290">
        <v>0</v>
      </c>
      <c r="AJ197" s="290">
        <v>0</v>
      </c>
      <c r="AK197" s="290">
        <v>6000.0219999999999</v>
      </c>
      <c r="AL197" s="290">
        <v>0</v>
      </c>
      <c r="AM197" s="957">
        <v>1.36673512</v>
      </c>
      <c r="AN197" s="290">
        <v>0</v>
      </c>
      <c r="AO197" s="290">
        <v>-4934.9324800000004</v>
      </c>
      <c r="AP197" s="290">
        <v>0</v>
      </c>
      <c r="AQ197" s="290">
        <v>0</v>
      </c>
      <c r="AR197" s="290">
        <v>-1951.06096</v>
      </c>
      <c r="AS197" s="290">
        <v>6073</v>
      </c>
      <c r="AT197" s="290">
        <v>2400</v>
      </c>
      <c r="AU197" s="290">
        <v>427</v>
      </c>
      <c r="AV197" s="766">
        <v>863475</v>
      </c>
      <c r="AW197" s="290">
        <v>7953.1369999999997</v>
      </c>
      <c r="AX197" s="766">
        <v>227.54169999999999</v>
      </c>
      <c r="AY197" s="290">
        <v>8315</v>
      </c>
      <c r="AZ197" s="290">
        <v>1750</v>
      </c>
      <c r="BA197" s="290">
        <v>970</v>
      </c>
      <c r="BB197" s="290">
        <v>0</v>
      </c>
      <c r="BC197" s="290">
        <v>6444.9244500000004</v>
      </c>
      <c r="BD197" s="290">
        <v>2941</v>
      </c>
      <c r="BE197" s="290">
        <v>915658.82299999997</v>
      </c>
      <c r="BF197" s="290">
        <v>0</v>
      </c>
      <c r="BG197" s="290">
        <v>1526</v>
      </c>
      <c r="BH197" s="290">
        <v>218</v>
      </c>
      <c r="BI197" s="290">
        <v>27509.913700000001</v>
      </c>
      <c r="BJ197" s="290">
        <v>4120</v>
      </c>
      <c r="BK197" s="290">
        <f t="shared" ref="BK197:BK260" si="3">ROUND(-4300*BL197/BL$361,4)</f>
        <v>0</v>
      </c>
      <c r="BL197" s="290">
        <v>0</v>
      </c>
      <c r="BM197" s="290">
        <v>0</v>
      </c>
      <c r="BN197" s="290">
        <v>25250</v>
      </c>
      <c r="BO197" s="290">
        <v>6080</v>
      </c>
      <c r="BP197" s="290">
        <v>30</v>
      </c>
      <c r="BQ197" s="290">
        <v>3542</v>
      </c>
      <c r="BR197" s="290">
        <v>-17</v>
      </c>
      <c r="BS197" s="290">
        <v>532</v>
      </c>
      <c r="BT197" s="290">
        <v>0</v>
      </c>
      <c r="BU197" s="290">
        <v>0</v>
      </c>
      <c r="BV197" s="290">
        <v>491</v>
      </c>
      <c r="BW197" s="290"/>
      <c r="BX197" s="290"/>
      <c r="BY197" s="290"/>
    </row>
    <row r="198" spans="1:77" ht="13">
      <c r="A198" s="1">
        <v>3807</v>
      </c>
      <c r="B198" s="2" t="s">
        <v>905</v>
      </c>
      <c r="C198" s="289">
        <v>54942</v>
      </c>
      <c r="D198" s="290">
        <v>1073</v>
      </c>
      <c r="E198" s="290">
        <v>2315</v>
      </c>
      <c r="F198" s="290">
        <v>6460</v>
      </c>
      <c r="G198" s="290">
        <v>4630</v>
      </c>
      <c r="H198" s="290">
        <v>30967</v>
      </c>
      <c r="I198" s="290">
        <v>6870</v>
      </c>
      <c r="J198" s="290">
        <v>2069</v>
      </c>
      <c r="K198" s="290">
        <v>514</v>
      </c>
      <c r="L198" s="290">
        <v>433</v>
      </c>
      <c r="M198" s="290">
        <v>4087</v>
      </c>
      <c r="N198" s="290">
        <v>2644</v>
      </c>
      <c r="O198" s="290">
        <v>534</v>
      </c>
      <c r="P198" s="624">
        <v>142789.98366667001</v>
      </c>
      <c r="Q198" s="624">
        <v>59641.906000000003</v>
      </c>
      <c r="R198" s="624">
        <v>194</v>
      </c>
      <c r="S198" s="290">
        <v>0</v>
      </c>
      <c r="T198" s="290">
        <v>5144</v>
      </c>
      <c r="U198" s="958">
        <v>4.8011224645781074E-3</v>
      </c>
      <c r="V198" s="290">
        <v>-15728.824300570001</v>
      </c>
      <c r="W198" s="765">
        <v>0.54173313999999995</v>
      </c>
      <c r="X198" s="290">
        <v>1900</v>
      </c>
      <c r="Y198" s="290">
        <v>1708.507216</v>
      </c>
      <c r="Z198" s="290">
        <v>1416501</v>
      </c>
      <c r="AA198" s="290">
        <v>0</v>
      </c>
      <c r="AB198" s="290">
        <v>1439</v>
      </c>
      <c r="AC198" s="290">
        <v>8023.3890000000001</v>
      </c>
      <c r="AD198" s="290">
        <v>500</v>
      </c>
      <c r="AE198" s="290">
        <v>0</v>
      </c>
      <c r="AF198" s="290">
        <v>0</v>
      </c>
      <c r="AG198" s="290">
        <v>54898</v>
      </c>
      <c r="AH198" s="290">
        <v>9014.4434984500003</v>
      </c>
      <c r="AI198" s="290">
        <v>2400</v>
      </c>
      <c r="AJ198" s="290">
        <v>0</v>
      </c>
      <c r="AK198" s="290">
        <v>0</v>
      </c>
      <c r="AL198" s="290">
        <v>0</v>
      </c>
      <c r="AM198" s="957">
        <v>2.94581129</v>
      </c>
      <c r="AN198" s="290">
        <v>0</v>
      </c>
      <c r="AO198" s="290">
        <v>-7568.6077100000002</v>
      </c>
      <c r="AP198" s="290">
        <v>0</v>
      </c>
      <c r="AQ198" s="290">
        <v>0</v>
      </c>
      <c r="AR198" s="290">
        <v>-2957.1062299999999</v>
      </c>
      <c r="AS198" s="290">
        <v>7555</v>
      </c>
      <c r="AT198" s="290">
        <v>3635</v>
      </c>
      <c r="AU198" s="290">
        <v>713</v>
      </c>
      <c r="AV198" s="766">
        <v>1340006</v>
      </c>
      <c r="AW198" s="290">
        <v>10941.93</v>
      </c>
      <c r="AX198" s="766">
        <v>402.08335</v>
      </c>
      <c r="AY198" s="290">
        <v>12356</v>
      </c>
      <c r="AZ198" s="290">
        <v>3394</v>
      </c>
      <c r="BA198" s="290">
        <v>1489</v>
      </c>
      <c r="BB198" s="290">
        <v>0</v>
      </c>
      <c r="BC198" s="290">
        <v>10410.424499999999</v>
      </c>
      <c r="BD198" s="290">
        <v>4424</v>
      </c>
      <c r="BE198" s="290">
        <v>1398734.26</v>
      </c>
      <c r="BF198" s="290">
        <v>0</v>
      </c>
      <c r="BG198" s="290">
        <v>2313</v>
      </c>
      <c r="BH198" s="290">
        <v>330</v>
      </c>
      <c r="BI198" s="290">
        <v>18746.3397</v>
      </c>
      <c r="BJ198" s="290">
        <v>6220</v>
      </c>
      <c r="BK198" s="290">
        <f t="shared" si="3"/>
        <v>0</v>
      </c>
      <c r="BL198" s="290">
        <v>0</v>
      </c>
      <c r="BM198" s="290">
        <v>0</v>
      </c>
      <c r="BN198" s="290">
        <v>38725</v>
      </c>
      <c r="BO198" s="290">
        <v>9643</v>
      </c>
      <c r="BP198" s="290">
        <v>48</v>
      </c>
      <c r="BQ198" s="290">
        <v>5323</v>
      </c>
      <c r="BR198" s="290">
        <v>-26</v>
      </c>
      <c r="BS198" s="290">
        <v>1151</v>
      </c>
      <c r="BT198" s="290">
        <v>0</v>
      </c>
      <c r="BU198" s="290">
        <v>0</v>
      </c>
      <c r="BV198" s="290">
        <v>744</v>
      </c>
      <c r="BW198" s="290"/>
      <c r="BX198" s="290"/>
      <c r="BY198" s="290"/>
    </row>
    <row r="199" spans="1:77" ht="13">
      <c r="A199" s="1">
        <v>3808</v>
      </c>
      <c r="B199" s="2" t="s">
        <v>906</v>
      </c>
      <c r="C199" s="289">
        <v>13049</v>
      </c>
      <c r="D199" s="290">
        <v>247</v>
      </c>
      <c r="E199" s="290">
        <v>541</v>
      </c>
      <c r="F199" s="290">
        <v>1436</v>
      </c>
      <c r="G199" s="290">
        <v>1088</v>
      </c>
      <c r="H199" s="290">
        <v>7329</v>
      </c>
      <c r="I199" s="290">
        <v>1712</v>
      </c>
      <c r="J199" s="290">
        <v>586</v>
      </c>
      <c r="K199" s="290">
        <v>169</v>
      </c>
      <c r="L199" s="290">
        <v>114</v>
      </c>
      <c r="M199" s="290">
        <v>1138</v>
      </c>
      <c r="N199" s="290">
        <v>290</v>
      </c>
      <c r="O199" s="290">
        <v>139</v>
      </c>
      <c r="P199" s="624">
        <v>54393.503333330002</v>
      </c>
      <c r="Q199" s="624">
        <v>18483.03233333</v>
      </c>
      <c r="R199" s="624">
        <v>69</v>
      </c>
      <c r="S199" s="290">
        <v>0</v>
      </c>
      <c r="T199" s="290">
        <v>1228</v>
      </c>
      <c r="U199" s="958">
        <v>3.2326844543818945E-3</v>
      </c>
      <c r="V199" s="290">
        <v>-4539.9722216700002</v>
      </c>
      <c r="W199" s="765">
        <v>0.58640413999999996</v>
      </c>
      <c r="X199" s="290">
        <v>2600</v>
      </c>
      <c r="Y199" s="290">
        <v>427.12680399999999</v>
      </c>
      <c r="Z199" s="290">
        <v>340724</v>
      </c>
      <c r="AA199" s="290">
        <v>125</v>
      </c>
      <c r="AB199" s="290">
        <v>417</v>
      </c>
      <c r="AC199" s="290">
        <v>1907.48</v>
      </c>
      <c r="AD199" s="290">
        <v>333</v>
      </c>
      <c r="AE199" s="290">
        <v>0</v>
      </c>
      <c r="AF199" s="290">
        <v>0</v>
      </c>
      <c r="AG199" s="290">
        <v>13108</v>
      </c>
      <c r="AH199" s="290">
        <v>2063.2947104499999</v>
      </c>
      <c r="AI199" s="290">
        <v>1090</v>
      </c>
      <c r="AJ199" s="290">
        <v>0</v>
      </c>
      <c r="AK199" s="290">
        <v>0</v>
      </c>
      <c r="AL199" s="290">
        <v>0</v>
      </c>
      <c r="AM199" s="957">
        <v>0.59577367999999997</v>
      </c>
      <c r="AN199" s="290">
        <v>6561</v>
      </c>
      <c r="AO199" s="290">
        <v>-1906.9149500000001</v>
      </c>
      <c r="AP199" s="290">
        <v>0</v>
      </c>
      <c r="AQ199" s="290">
        <v>11070.08</v>
      </c>
      <c r="AR199" s="290">
        <v>-706.06849899999997</v>
      </c>
      <c r="AS199" s="290">
        <v>1515</v>
      </c>
      <c r="AT199" s="290">
        <v>736</v>
      </c>
      <c r="AU199" s="290">
        <v>181</v>
      </c>
      <c r="AV199" s="766">
        <v>364897</v>
      </c>
      <c r="AW199" s="290">
        <v>1770.337</v>
      </c>
      <c r="AX199" s="766">
        <v>92.203599999999994</v>
      </c>
      <c r="AY199" s="290">
        <v>2733</v>
      </c>
      <c r="AZ199" s="290">
        <v>771</v>
      </c>
      <c r="BA199" s="290">
        <v>311</v>
      </c>
      <c r="BB199" s="290">
        <v>0</v>
      </c>
      <c r="BC199" s="290">
        <v>2383.3207000000002</v>
      </c>
      <c r="BD199" s="290">
        <v>1114</v>
      </c>
      <c r="BE199" s="290">
        <v>381722.16100000002</v>
      </c>
      <c r="BF199" s="290">
        <v>0</v>
      </c>
      <c r="BG199" s="290">
        <v>590</v>
      </c>
      <c r="BH199" s="290">
        <v>84</v>
      </c>
      <c r="BI199" s="290">
        <v>4397.9015099999997</v>
      </c>
      <c r="BJ199" s="290">
        <v>0</v>
      </c>
      <c r="BK199" s="290">
        <f t="shared" si="3"/>
        <v>0</v>
      </c>
      <c r="BL199" s="290">
        <v>0</v>
      </c>
      <c r="BM199" s="290">
        <v>0</v>
      </c>
      <c r="BN199" s="290">
        <v>9757</v>
      </c>
      <c r="BO199" s="290">
        <v>2227</v>
      </c>
      <c r="BP199" s="290">
        <v>11</v>
      </c>
      <c r="BQ199" s="290">
        <v>1235</v>
      </c>
      <c r="BR199" s="290">
        <v>-6</v>
      </c>
      <c r="BS199" s="290">
        <v>265</v>
      </c>
      <c r="BT199" s="290">
        <v>0</v>
      </c>
      <c r="BU199" s="290">
        <v>0</v>
      </c>
      <c r="BV199" s="290">
        <v>190</v>
      </c>
      <c r="BW199" s="290"/>
      <c r="BX199" s="290"/>
      <c r="BY199" s="290"/>
    </row>
    <row r="200" spans="1:77" ht="13">
      <c r="A200" s="1">
        <v>3811</v>
      </c>
      <c r="B200" s="2" t="s">
        <v>1241</v>
      </c>
      <c r="C200" s="289">
        <v>26730</v>
      </c>
      <c r="D200" s="290">
        <v>481</v>
      </c>
      <c r="E200" s="290">
        <v>1056</v>
      </c>
      <c r="F200" s="290">
        <v>3256</v>
      </c>
      <c r="G200" s="290">
        <v>2303</v>
      </c>
      <c r="H200" s="290">
        <v>14641</v>
      </c>
      <c r="I200" s="290">
        <v>3563</v>
      </c>
      <c r="J200" s="290">
        <v>1116</v>
      </c>
      <c r="K200" s="290">
        <v>302</v>
      </c>
      <c r="L200" s="290">
        <v>191</v>
      </c>
      <c r="M200" s="290">
        <v>2085</v>
      </c>
      <c r="N200" s="290">
        <v>604</v>
      </c>
      <c r="O200" s="290">
        <v>232</v>
      </c>
      <c r="P200" s="624">
        <v>62280.870666670002</v>
      </c>
      <c r="Q200" s="624">
        <v>45558.875666669999</v>
      </c>
      <c r="R200" s="624">
        <v>85</v>
      </c>
      <c r="S200" s="290">
        <v>0</v>
      </c>
      <c r="T200" s="290">
        <v>2101</v>
      </c>
      <c r="U200" s="958">
        <v>1.2659312679154852E-3</v>
      </c>
      <c r="V200" s="290">
        <v>-13374.567700580001</v>
      </c>
      <c r="W200" s="765">
        <v>0.55803727999999997</v>
      </c>
      <c r="X200" s="290">
        <v>1800</v>
      </c>
      <c r="Y200" s="290">
        <v>854.25360799999999</v>
      </c>
      <c r="Z200" s="290">
        <v>859253</v>
      </c>
      <c r="AA200" s="290">
        <v>0</v>
      </c>
      <c r="AB200" s="290">
        <v>556</v>
      </c>
      <c r="AC200" s="290">
        <v>4121.7039999999997</v>
      </c>
      <c r="AD200" s="290">
        <v>333</v>
      </c>
      <c r="AE200" s="290">
        <v>0</v>
      </c>
      <c r="AF200" s="290">
        <v>14712.85440504</v>
      </c>
      <c r="AG200" s="290">
        <v>26718</v>
      </c>
      <c r="AH200" s="290">
        <v>4444.6867133300002</v>
      </c>
      <c r="AI200" s="290">
        <v>1750</v>
      </c>
      <c r="AJ200" s="290">
        <v>0</v>
      </c>
      <c r="AK200" s="290">
        <v>0</v>
      </c>
      <c r="AL200" s="290">
        <v>0</v>
      </c>
      <c r="AM200" s="957">
        <v>0.93412220999999995</v>
      </c>
      <c r="AN200" s="290">
        <v>0</v>
      </c>
      <c r="AO200" s="290">
        <v>-3684.0810799999999</v>
      </c>
      <c r="AP200" s="290">
        <v>0</v>
      </c>
      <c r="AQ200" s="290">
        <v>0</v>
      </c>
      <c r="AR200" s="290">
        <v>-1439.1774600000001</v>
      </c>
      <c r="AS200" s="290">
        <v>6950</v>
      </c>
      <c r="AT200" s="290">
        <v>1687</v>
      </c>
      <c r="AU200" s="290">
        <v>306</v>
      </c>
      <c r="AV200" s="766">
        <v>689277</v>
      </c>
      <c r="AW200" s="290">
        <v>6084.116</v>
      </c>
      <c r="AX200" s="766">
        <v>184.83330000000001</v>
      </c>
      <c r="AY200" s="290">
        <v>7780</v>
      </c>
      <c r="AZ200" s="290">
        <v>1290</v>
      </c>
      <c r="BA200" s="290">
        <v>677</v>
      </c>
      <c r="BB200" s="290">
        <v>0</v>
      </c>
      <c r="BC200" s="290">
        <v>48918.489200000004</v>
      </c>
      <c r="BD200" s="290">
        <v>2188</v>
      </c>
      <c r="BE200" s="290">
        <v>726617.38600000006</v>
      </c>
      <c r="BF200" s="290">
        <v>0</v>
      </c>
      <c r="BG200" s="290">
        <v>1171</v>
      </c>
      <c r="BH200" s="290">
        <v>167</v>
      </c>
      <c r="BI200" s="290">
        <v>54547.979899999998</v>
      </c>
      <c r="BJ200" s="290">
        <v>0</v>
      </c>
      <c r="BK200" s="290">
        <f t="shared" si="3"/>
        <v>0</v>
      </c>
      <c r="BL200" s="290">
        <v>0</v>
      </c>
      <c r="BM200" s="290">
        <v>5072</v>
      </c>
      <c r="BN200" s="290">
        <v>18850</v>
      </c>
      <c r="BO200" s="290">
        <v>4670</v>
      </c>
      <c r="BP200" s="290">
        <v>23</v>
      </c>
      <c r="BQ200" s="290">
        <v>2734</v>
      </c>
      <c r="BR200" s="290">
        <v>-12</v>
      </c>
      <c r="BS200" s="290">
        <v>347</v>
      </c>
      <c r="BT200" s="290">
        <v>0</v>
      </c>
      <c r="BU200" s="290">
        <v>30414.48113385</v>
      </c>
      <c r="BV200" s="290">
        <v>377</v>
      </c>
      <c r="BW200" s="290"/>
      <c r="BX200" s="290"/>
      <c r="BY200" s="290"/>
    </row>
    <row r="201" spans="1:77" ht="13">
      <c r="A201" s="1">
        <v>3812</v>
      </c>
      <c r="B201" s="2" t="s">
        <v>907</v>
      </c>
      <c r="C201" s="289">
        <v>2340</v>
      </c>
      <c r="D201" s="290">
        <v>43</v>
      </c>
      <c r="E201" s="290">
        <v>87</v>
      </c>
      <c r="F201" s="290">
        <v>297</v>
      </c>
      <c r="G201" s="290">
        <v>177</v>
      </c>
      <c r="H201" s="290">
        <v>1344</v>
      </c>
      <c r="I201" s="290">
        <v>278</v>
      </c>
      <c r="J201" s="290">
        <v>112</v>
      </c>
      <c r="K201" s="290">
        <v>26</v>
      </c>
      <c r="L201" s="290">
        <v>15</v>
      </c>
      <c r="M201" s="290">
        <v>145</v>
      </c>
      <c r="N201" s="290">
        <v>37</v>
      </c>
      <c r="O201" s="290">
        <v>30</v>
      </c>
      <c r="P201" s="624">
        <v>8029.59</v>
      </c>
      <c r="Q201" s="624">
        <v>6298.8270000000002</v>
      </c>
      <c r="R201" s="624">
        <v>3</v>
      </c>
      <c r="S201" s="290">
        <v>0</v>
      </c>
      <c r="T201" s="290">
        <v>138</v>
      </c>
      <c r="U201" s="958">
        <v>7.4892897273416269E-4</v>
      </c>
      <c r="V201" s="290">
        <v>1030.6279867600001</v>
      </c>
      <c r="W201" s="765">
        <v>0.68588271999999995</v>
      </c>
      <c r="X201" s="290">
        <v>200</v>
      </c>
      <c r="Y201" s="290">
        <v>427.12680399999999</v>
      </c>
      <c r="Z201" s="290">
        <v>60081</v>
      </c>
      <c r="AA201" s="290">
        <v>0</v>
      </c>
      <c r="AB201" s="290">
        <v>64</v>
      </c>
      <c r="AC201" s="290">
        <v>413.35500000000002</v>
      </c>
      <c r="AD201" s="290">
        <v>167</v>
      </c>
      <c r="AE201" s="290">
        <v>0</v>
      </c>
      <c r="AF201" s="290">
        <v>0</v>
      </c>
      <c r="AG201" s="290">
        <v>2364</v>
      </c>
      <c r="AH201" s="290">
        <v>396.17571874999999</v>
      </c>
      <c r="AI201" s="290">
        <v>400</v>
      </c>
      <c r="AJ201" s="290">
        <v>0</v>
      </c>
      <c r="AK201" s="290">
        <v>0</v>
      </c>
      <c r="AL201" s="290">
        <v>0</v>
      </c>
      <c r="AM201" s="957">
        <v>4.0918540000000003E-2</v>
      </c>
      <c r="AN201" s="290">
        <v>0</v>
      </c>
      <c r="AO201" s="290">
        <v>-338.32376399999998</v>
      </c>
      <c r="AP201" s="290">
        <v>0</v>
      </c>
      <c r="AQ201" s="290">
        <v>0</v>
      </c>
      <c r="AR201" s="290">
        <v>2463.7487599999999</v>
      </c>
      <c r="AS201" s="290">
        <v>574</v>
      </c>
      <c r="AT201" s="290">
        <v>136</v>
      </c>
      <c r="AU201" s="290">
        <v>17</v>
      </c>
      <c r="AV201" s="766">
        <v>71978</v>
      </c>
      <c r="AW201" s="290">
        <v>377.38299999999998</v>
      </c>
      <c r="AX201" s="766">
        <v>17.624949999999998</v>
      </c>
      <c r="AY201" s="290">
        <v>444</v>
      </c>
      <c r="AZ201" s="290">
        <v>96</v>
      </c>
      <c r="BA201" s="290">
        <v>46</v>
      </c>
      <c r="BB201" s="290">
        <v>2938</v>
      </c>
      <c r="BC201" s="290">
        <v>806.83628799999997</v>
      </c>
      <c r="BD201" s="290">
        <v>275</v>
      </c>
      <c r="BE201" s="290">
        <v>70387.894</v>
      </c>
      <c r="BF201" s="290">
        <v>0</v>
      </c>
      <c r="BG201" s="290">
        <v>129</v>
      </c>
      <c r="BH201" s="290">
        <v>18</v>
      </c>
      <c r="BI201" s="290">
        <v>1236.65752</v>
      </c>
      <c r="BJ201" s="290">
        <v>0</v>
      </c>
      <c r="BK201" s="290">
        <f t="shared" si="3"/>
        <v>0</v>
      </c>
      <c r="BL201" s="290">
        <v>0</v>
      </c>
      <c r="BM201" s="290">
        <v>0</v>
      </c>
      <c r="BN201" s="290">
        <v>1731</v>
      </c>
      <c r="BO201" s="290">
        <v>403</v>
      </c>
      <c r="BP201" s="290">
        <v>2</v>
      </c>
      <c r="BQ201" s="290">
        <v>227</v>
      </c>
      <c r="BR201" s="290">
        <v>-1</v>
      </c>
      <c r="BS201" s="290">
        <v>50</v>
      </c>
      <c r="BT201" s="290">
        <v>0</v>
      </c>
      <c r="BU201" s="290">
        <v>0</v>
      </c>
      <c r="BV201" s="290">
        <v>41</v>
      </c>
      <c r="BW201" s="290"/>
      <c r="BX201" s="290"/>
      <c r="BY201" s="290"/>
    </row>
    <row r="202" spans="1:77" ht="13">
      <c r="A202" s="1">
        <v>3813</v>
      </c>
      <c r="B202" s="2" t="s">
        <v>908</v>
      </c>
      <c r="C202" s="289">
        <v>14061</v>
      </c>
      <c r="D202" s="290">
        <v>242</v>
      </c>
      <c r="E202" s="290">
        <v>543</v>
      </c>
      <c r="F202" s="290">
        <v>1638</v>
      </c>
      <c r="G202" s="290">
        <v>1275</v>
      </c>
      <c r="H202" s="290">
        <v>7777</v>
      </c>
      <c r="I202" s="290">
        <v>2031</v>
      </c>
      <c r="J202" s="290">
        <v>491</v>
      </c>
      <c r="K202" s="290">
        <v>96</v>
      </c>
      <c r="L202" s="290">
        <v>114</v>
      </c>
      <c r="M202" s="290">
        <v>968</v>
      </c>
      <c r="N202" s="290">
        <v>343</v>
      </c>
      <c r="O202" s="290">
        <v>136</v>
      </c>
      <c r="P202" s="624">
        <v>84098.711666670002</v>
      </c>
      <c r="Q202" s="624">
        <v>36861.023000000001</v>
      </c>
      <c r="R202" s="624">
        <v>52</v>
      </c>
      <c r="S202" s="290">
        <v>0</v>
      </c>
      <c r="T202" s="290">
        <v>1055</v>
      </c>
      <c r="U202" s="958">
        <v>1.32535025063535E-3</v>
      </c>
      <c r="V202" s="290">
        <v>2551.0487971799998</v>
      </c>
      <c r="W202" s="765">
        <v>0.59122923000000005</v>
      </c>
      <c r="X202" s="290">
        <v>1500</v>
      </c>
      <c r="Y202" s="290">
        <v>427.12680399999999</v>
      </c>
      <c r="Z202" s="290">
        <v>392430</v>
      </c>
      <c r="AA202" s="290">
        <v>2790</v>
      </c>
      <c r="AB202" s="290">
        <v>372</v>
      </c>
      <c r="AC202" s="290">
        <v>2218.9299999999998</v>
      </c>
      <c r="AD202" s="290">
        <v>333</v>
      </c>
      <c r="AE202" s="290">
        <v>0</v>
      </c>
      <c r="AF202" s="290">
        <v>0</v>
      </c>
      <c r="AG202" s="290">
        <v>14093</v>
      </c>
      <c r="AH202" s="290">
        <v>2317.0495959999998</v>
      </c>
      <c r="AI202" s="290">
        <v>0</v>
      </c>
      <c r="AJ202" s="290">
        <v>0</v>
      </c>
      <c r="AK202" s="290">
        <v>8476.23</v>
      </c>
      <c r="AL202" s="290">
        <v>0</v>
      </c>
      <c r="AM202" s="957">
        <v>0.35582160000000002</v>
      </c>
      <c r="AN202" s="290">
        <v>7003</v>
      </c>
      <c r="AO202" s="290">
        <v>-1880.88318</v>
      </c>
      <c r="AP202" s="290">
        <v>0</v>
      </c>
      <c r="AQ202" s="290">
        <v>0</v>
      </c>
      <c r="AR202" s="290">
        <v>2832.02835</v>
      </c>
      <c r="AS202" s="290">
        <v>3638</v>
      </c>
      <c r="AT202" s="290">
        <v>784</v>
      </c>
      <c r="AU202" s="290">
        <v>143</v>
      </c>
      <c r="AV202" s="766">
        <v>344783</v>
      </c>
      <c r="AW202" s="290">
        <v>2488.13</v>
      </c>
      <c r="AX202" s="766">
        <v>65.708299999999994</v>
      </c>
      <c r="AY202" s="290">
        <v>2641</v>
      </c>
      <c r="AZ202" s="290">
        <v>630</v>
      </c>
      <c r="BA202" s="290">
        <v>319</v>
      </c>
      <c r="BB202" s="290">
        <v>0</v>
      </c>
      <c r="BC202" s="290">
        <v>2701.2671300000002</v>
      </c>
      <c r="BD202" s="290">
        <v>1190</v>
      </c>
      <c r="BE202" s="290">
        <v>357475.46899999998</v>
      </c>
      <c r="BF202" s="290">
        <v>0</v>
      </c>
      <c r="BG202" s="290">
        <v>652</v>
      </c>
      <c r="BH202" s="290">
        <v>93</v>
      </c>
      <c r="BI202" s="290">
        <v>13439.3364</v>
      </c>
      <c r="BJ202" s="290">
        <v>0</v>
      </c>
      <c r="BK202" s="290">
        <f t="shared" si="3"/>
        <v>0</v>
      </c>
      <c r="BL202" s="290">
        <v>0</v>
      </c>
      <c r="BM202" s="290">
        <v>0</v>
      </c>
      <c r="BN202" s="290">
        <v>9624</v>
      </c>
      <c r="BO202" s="290">
        <v>2283</v>
      </c>
      <c r="BP202" s="290">
        <v>11</v>
      </c>
      <c r="BQ202" s="290">
        <v>1377</v>
      </c>
      <c r="BR202" s="290">
        <v>-7</v>
      </c>
      <c r="BS202" s="290">
        <v>210</v>
      </c>
      <c r="BT202" s="290">
        <v>0</v>
      </c>
      <c r="BU202" s="290">
        <v>0</v>
      </c>
      <c r="BV202" s="290">
        <v>210</v>
      </c>
      <c r="BW202" s="290"/>
      <c r="BX202" s="290"/>
      <c r="BY202" s="290"/>
    </row>
    <row r="203" spans="1:77" ht="13">
      <c r="A203" s="1">
        <v>3814</v>
      </c>
      <c r="B203" s="2" t="s">
        <v>910</v>
      </c>
      <c r="C203" s="289">
        <v>10380</v>
      </c>
      <c r="D203" s="290">
        <v>143</v>
      </c>
      <c r="E203" s="290">
        <v>369</v>
      </c>
      <c r="F203" s="290">
        <v>1117</v>
      </c>
      <c r="G203" s="290">
        <v>816</v>
      </c>
      <c r="H203" s="290">
        <v>5705</v>
      </c>
      <c r="I203" s="290">
        <v>1687</v>
      </c>
      <c r="J203" s="290">
        <v>486</v>
      </c>
      <c r="K203" s="290">
        <v>109</v>
      </c>
      <c r="L203" s="290">
        <v>88</v>
      </c>
      <c r="M203" s="290">
        <v>1006</v>
      </c>
      <c r="N203" s="290">
        <v>242</v>
      </c>
      <c r="O203" s="290">
        <v>130</v>
      </c>
      <c r="P203" s="624">
        <v>46045.05033333</v>
      </c>
      <c r="Q203" s="624">
        <v>30044.524333329999</v>
      </c>
      <c r="R203" s="624">
        <v>40</v>
      </c>
      <c r="S203" s="290">
        <v>0</v>
      </c>
      <c r="T203" s="290">
        <v>1007</v>
      </c>
      <c r="U203" s="958">
        <v>9.4626604965981475E-4</v>
      </c>
      <c r="V203" s="290">
        <v>-1144.3459521299999</v>
      </c>
      <c r="W203" s="765">
        <v>0.60792248999999998</v>
      </c>
      <c r="X203" s="290">
        <v>1800</v>
      </c>
      <c r="Y203" s="290">
        <v>427.12680399999999</v>
      </c>
      <c r="Z203" s="290">
        <v>269045</v>
      </c>
      <c r="AA203" s="290">
        <v>0</v>
      </c>
      <c r="AB203" s="290">
        <v>292</v>
      </c>
      <c r="AC203" s="290">
        <v>1519.319</v>
      </c>
      <c r="AD203" s="290">
        <v>333</v>
      </c>
      <c r="AE203" s="290">
        <v>0</v>
      </c>
      <c r="AF203" s="290">
        <v>0</v>
      </c>
      <c r="AG203" s="290">
        <v>10432</v>
      </c>
      <c r="AH203" s="290">
        <v>1534.81943598</v>
      </c>
      <c r="AI203" s="290">
        <v>0</v>
      </c>
      <c r="AJ203" s="290">
        <v>0</v>
      </c>
      <c r="AK203" s="290">
        <v>15.714</v>
      </c>
      <c r="AL203" s="290">
        <v>0</v>
      </c>
      <c r="AM203" s="957">
        <v>0.3704847</v>
      </c>
      <c r="AN203" s="290">
        <v>13261</v>
      </c>
      <c r="AO203" s="290">
        <v>-1471.3009999999999</v>
      </c>
      <c r="AP203" s="290">
        <v>0</v>
      </c>
      <c r="AQ203" s="290">
        <v>0</v>
      </c>
      <c r="AR203" s="290">
        <v>2945.7481699999998</v>
      </c>
      <c r="AS203" s="290">
        <v>3933</v>
      </c>
      <c r="AT203" s="290">
        <v>609</v>
      </c>
      <c r="AU203" s="290">
        <v>125</v>
      </c>
      <c r="AV203" s="766">
        <v>292358</v>
      </c>
      <c r="AW203" s="290">
        <v>1392.442</v>
      </c>
      <c r="AX203" s="766">
        <v>46</v>
      </c>
      <c r="AY203" s="290">
        <v>2122</v>
      </c>
      <c r="AZ203" s="290">
        <v>527</v>
      </c>
      <c r="BA203" s="290">
        <v>242</v>
      </c>
      <c r="BB203" s="290">
        <v>0</v>
      </c>
      <c r="BC203" s="290">
        <v>1909.8873000000001</v>
      </c>
      <c r="BD203" s="290">
        <v>900</v>
      </c>
      <c r="BE203" s="290">
        <v>295503.41600000003</v>
      </c>
      <c r="BF203" s="290">
        <v>0</v>
      </c>
      <c r="BG203" s="290">
        <v>501</v>
      </c>
      <c r="BH203" s="290">
        <v>72</v>
      </c>
      <c r="BI203" s="290">
        <v>3496.9792400000001</v>
      </c>
      <c r="BJ203" s="290">
        <v>0</v>
      </c>
      <c r="BK203" s="290">
        <f t="shared" si="3"/>
        <v>0</v>
      </c>
      <c r="BL203" s="290">
        <v>0</v>
      </c>
      <c r="BM203" s="290">
        <v>0</v>
      </c>
      <c r="BN203" s="290">
        <v>7528</v>
      </c>
      <c r="BO203" s="290">
        <v>1583</v>
      </c>
      <c r="BP203" s="290">
        <v>7</v>
      </c>
      <c r="BQ203" s="290">
        <v>1013</v>
      </c>
      <c r="BR203" s="290">
        <v>-5</v>
      </c>
      <c r="BS203" s="290">
        <v>174</v>
      </c>
      <c r="BT203" s="290">
        <v>0</v>
      </c>
      <c r="BU203" s="290">
        <v>0</v>
      </c>
      <c r="BV203" s="290">
        <v>161</v>
      </c>
      <c r="BW203" s="290"/>
      <c r="BX203" s="290"/>
      <c r="BY203" s="290"/>
    </row>
    <row r="204" spans="1:77" ht="13">
      <c r="A204" s="1">
        <v>3815</v>
      </c>
      <c r="B204" s="2" t="s">
        <v>911</v>
      </c>
      <c r="C204" s="289">
        <v>4060</v>
      </c>
      <c r="D204" s="290">
        <v>73</v>
      </c>
      <c r="E204" s="290">
        <v>136</v>
      </c>
      <c r="F204" s="290">
        <v>479</v>
      </c>
      <c r="G204" s="290">
        <v>363</v>
      </c>
      <c r="H204" s="290">
        <v>2226</v>
      </c>
      <c r="I204" s="290">
        <v>577</v>
      </c>
      <c r="J204" s="290">
        <v>160</v>
      </c>
      <c r="K204" s="290">
        <v>59</v>
      </c>
      <c r="L204" s="290">
        <v>37</v>
      </c>
      <c r="M204" s="290">
        <v>370</v>
      </c>
      <c r="N204" s="290">
        <v>41</v>
      </c>
      <c r="O204" s="290">
        <v>71</v>
      </c>
      <c r="P204" s="624">
        <v>51641.957666670001</v>
      </c>
      <c r="Q204" s="624">
        <v>19121.845333329999</v>
      </c>
      <c r="R204" s="624">
        <v>16</v>
      </c>
      <c r="S204" s="290">
        <v>0</v>
      </c>
      <c r="T204" s="290">
        <v>349</v>
      </c>
      <c r="U204" s="958">
        <v>2.1475112023668069E-3</v>
      </c>
      <c r="V204" s="290">
        <v>2112.0470558299999</v>
      </c>
      <c r="W204" s="765">
        <v>0.92777929000000003</v>
      </c>
      <c r="X204" s="290">
        <v>1000</v>
      </c>
      <c r="Y204" s="290">
        <v>427.12680399999999</v>
      </c>
      <c r="Z204" s="290">
        <v>94071</v>
      </c>
      <c r="AA204" s="290">
        <v>0</v>
      </c>
      <c r="AB204" s="290">
        <v>102</v>
      </c>
      <c r="AC204" s="290">
        <v>1863.8109999999999</v>
      </c>
      <c r="AD204" s="290">
        <v>333</v>
      </c>
      <c r="AE204" s="290">
        <v>0</v>
      </c>
      <c r="AF204" s="290">
        <v>0</v>
      </c>
      <c r="AG204" s="290">
        <v>4073</v>
      </c>
      <c r="AH204" s="290">
        <v>654.99124304999998</v>
      </c>
      <c r="AI204" s="290">
        <v>300</v>
      </c>
      <c r="AJ204" s="290">
        <v>0</v>
      </c>
      <c r="AK204" s="290">
        <v>0</v>
      </c>
      <c r="AL204" s="290">
        <v>0</v>
      </c>
      <c r="AM204" s="957">
        <v>0.11277273</v>
      </c>
      <c r="AN204" s="290">
        <v>4781</v>
      </c>
      <c r="AO204" s="290">
        <v>-631.38467700000001</v>
      </c>
      <c r="AP204" s="290">
        <v>0</v>
      </c>
      <c r="AQ204" s="290">
        <v>0</v>
      </c>
      <c r="AR204" s="290">
        <v>4548.3964800000003</v>
      </c>
      <c r="AS204" s="290">
        <v>1683</v>
      </c>
      <c r="AT204" s="290">
        <v>212</v>
      </c>
      <c r="AU204" s="290">
        <v>35</v>
      </c>
      <c r="AV204" s="766">
        <v>142984</v>
      </c>
      <c r="AW204" s="290">
        <v>598.91200000000003</v>
      </c>
      <c r="AX204" s="766">
        <v>34.875050000000002</v>
      </c>
      <c r="AY204" s="290">
        <v>564</v>
      </c>
      <c r="AZ204" s="290">
        <v>253</v>
      </c>
      <c r="BA204" s="290">
        <v>74</v>
      </c>
      <c r="BB204" s="290">
        <v>0</v>
      </c>
      <c r="BC204" s="290">
        <v>119.18733</v>
      </c>
      <c r="BD204" s="290">
        <v>441</v>
      </c>
      <c r="BE204" s="290">
        <v>142189.45800000001</v>
      </c>
      <c r="BF204" s="290">
        <v>0</v>
      </c>
      <c r="BG204" s="290">
        <v>235</v>
      </c>
      <c r="BH204" s="290">
        <v>34</v>
      </c>
      <c r="BI204" s="290">
        <v>2945.9290500000002</v>
      </c>
      <c r="BJ204" s="290">
        <v>0</v>
      </c>
      <c r="BK204" s="290">
        <f t="shared" si="3"/>
        <v>0</v>
      </c>
      <c r="BL204" s="290">
        <v>0</v>
      </c>
      <c r="BM204" s="290">
        <v>0</v>
      </c>
      <c r="BN204" s="290">
        <v>3231</v>
      </c>
      <c r="BO204" s="290">
        <v>661</v>
      </c>
      <c r="BP204" s="290">
        <v>3</v>
      </c>
      <c r="BQ204" s="290">
        <v>395</v>
      </c>
      <c r="BR204" s="290">
        <v>-2</v>
      </c>
      <c r="BS204" s="290">
        <v>79</v>
      </c>
      <c r="BT204" s="290">
        <v>0</v>
      </c>
      <c r="BU204" s="290">
        <v>0</v>
      </c>
      <c r="BV204" s="290">
        <v>76</v>
      </c>
      <c r="BW204" s="290"/>
      <c r="BX204" s="290"/>
      <c r="BY204" s="290"/>
    </row>
    <row r="205" spans="1:77" ht="13">
      <c r="A205" s="1">
        <v>3816</v>
      </c>
      <c r="B205" s="2" t="s">
        <v>912</v>
      </c>
      <c r="C205" s="289">
        <v>6515</v>
      </c>
      <c r="D205" s="290">
        <v>93</v>
      </c>
      <c r="E205" s="290">
        <v>262</v>
      </c>
      <c r="F205" s="290">
        <v>727</v>
      </c>
      <c r="G205" s="290">
        <v>574</v>
      </c>
      <c r="H205" s="290">
        <v>3612</v>
      </c>
      <c r="I205" s="290">
        <v>929</v>
      </c>
      <c r="J205" s="290">
        <v>271</v>
      </c>
      <c r="K205" s="290">
        <v>90</v>
      </c>
      <c r="L205" s="290">
        <v>56</v>
      </c>
      <c r="M205" s="290">
        <v>582</v>
      </c>
      <c r="N205" s="290">
        <v>170</v>
      </c>
      <c r="O205" s="290">
        <v>94</v>
      </c>
      <c r="P205" s="624">
        <v>18046.34566667</v>
      </c>
      <c r="Q205" s="624">
        <v>16703.325000000001</v>
      </c>
      <c r="R205" s="624">
        <v>34</v>
      </c>
      <c r="S205" s="290">
        <v>0</v>
      </c>
      <c r="T205" s="290">
        <v>590</v>
      </c>
      <c r="U205" s="958">
        <v>3.0357569120593873E-3</v>
      </c>
      <c r="V205" s="290">
        <v>80.057477480000003</v>
      </c>
      <c r="W205" s="765">
        <v>0.66506478999999996</v>
      </c>
      <c r="X205" s="290">
        <v>2900</v>
      </c>
      <c r="Y205" s="290">
        <v>427.12680399999999</v>
      </c>
      <c r="Z205" s="290">
        <v>158065</v>
      </c>
      <c r="AA205" s="290">
        <v>0</v>
      </c>
      <c r="AB205" s="290">
        <v>194</v>
      </c>
      <c r="AC205" s="290">
        <v>998.69399999999996</v>
      </c>
      <c r="AD205" s="290">
        <v>333</v>
      </c>
      <c r="AE205" s="290">
        <v>0</v>
      </c>
      <c r="AF205" s="290">
        <v>0</v>
      </c>
      <c r="AG205" s="290">
        <v>6558</v>
      </c>
      <c r="AH205" s="290">
        <v>1017.9113357799999</v>
      </c>
      <c r="AI205" s="290">
        <v>1200</v>
      </c>
      <c r="AJ205" s="290">
        <v>0</v>
      </c>
      <c r="AK205" s="290">
        <v>0</v>
      </c>
      <c r="AL205" s="290">
        <v>0</v>
      </c>
      <c r="AM205" s="957">
        <v>0.20970021999999999</v>
      </c>
      <c r="AN205" s="290">
        <v>7047</v>
      </c>
      <c r="AO205" s="290">
        <v>-960.85443499999997</v>
      </c>
      <c r="AP205" s="290">
        <v>0</v>
      </c>
      <c r="AQ205" s="290">
        <v>0</v>
      </c>
      <c r="AR205" s="290">
        <v>-353.24971199999999</v>
      </c>
      <c r="AS205" s="290">
        <v>1506</v>
      </c>
      <c r="AT205" s="290">
        <v>379</v>
      </c>
      <c r="AU205" s="290">
        <v>67</v>
      </c>
      <c r="AV205" s="766">
        <v>194216</v>
      </c>
      <c r="AW205" s="290">
        <v>1513.502</v>
      </c>
      <c r="AX205" s="766">
        <v>23.333349999999999</v>
      </c>
      <c r="AY205" s="290">
        <v>1196</v>
      </c>
      <c r="AZ205" s="290">
        <v>353</v>
      </c>
      <c r="BA205" s="290">
        <v>144</v>
      </c>
      <c r="BB205" s="290">
        <v>0</v>
      </c>
      <c r="BC205" s="290">
        <v>-1574.11709</v>
      </c>
      <c r="BD205" s="290">
        <v>604</v>
      </c>
      <c r="BE205" s="290">
        <v>201662.04500000001</v>
      </c>
      <c r="BF205" s="290">
        <v>0</v>
      </c>
      <c r="BG205" s="290">
        <v>315</v>
      </c>
      <c r="BH205" s="290">
        <v>45</v>
      </c>
      <c r="BI205" s="290">
        <v>2443.7321400000001</v>
      </c>
      <c r="BJ205" s="290">
        <v>0</v>
      </c>
      <c r="BK205" s="290">
        <f t="shared" si="3"/>
        <v>0</v>
      </c>
      <c r="BL205" s="290">
        <v>0</v>
      </c>
      <c r="BM205" s="290">
        <v>0</v>
      </c>
      <c r="BN205" s="290">
        <v>4916</v>
      </c>
      <c r="BO205" s="290">
        <v>1057</v>
      </c>
      <c r="BP205" s="290">
        <v>5</v>
      </c>
      <c r="BQ205" s="290">
        <v>635</v>
      </c>
      <c r="BR205" s="290">
        <v>-3</v>
      </c>
      <c r="BS205" s="290">
        <v>109</v>
      </c>
      <c r="BT205" s="290">
        <v>0</v>
      </c>
      <c r="BU205" s="290">
        <v>0</v>
      </c>
      <c r="BV205" s="290">
        <v>101</v>
      </c>
      <c r="BW205" s="290"/>
      <c r="BX205" s="290"/>
      <c r="BY205" s="290"/>
    </row>
    <row r="206" spans="1:77" ht="13">
      <c r="A206" s="1">
        <v>3817</v>
      </c>
      <c r="B206" s="2" t="s">
        <v>1627</v>
      </c>
      <c r="C206" s="289">
        <v>10444</v>
      </c>
      <c r="D206" s="290">
        <v>192</v>
      </c>
      <c r="E206" s="290">
        <v>453</v>
      </c>
      <c r="F206" s="290">
        <v>1220</v>
      </c>
      <c r="G206" s="290">
        <v>972</v>
      </c>
      <c r="H206" s="290">
        <v>5754</v>
      </c>
      <c r="I206" s="290">
        <v>1268</v>
      </c>
      <c r="J206" s="290">
        <v>398</v>
      </c>
      <c r="K206" s="290">
        <v>92</v>
      </c>
      <c r="L206" s="290">
        <v>81</v>
      </c>
      <c r="M206" s="290">
        <v>772</v>
      </c>
      <c r="N206" s="290">
        <v>309</v>
      </c>
      <c r="O206" s="290">
        <v>124</v>
      </c>
      <c r="P206" s="624">
        <v>39641.749333330001</v>
      </c>
      <c r="Q206" s="624">
        <v>23959.640666669999</v>
      </c>
      <c r="R206" s="624">
        <v>37</v>
      </c>
      <c r="S206" s="290">
        <v>3914</v>
      </c>
      <c r="T206" s="290">
        <v>836</v>
      </c>
      <c r="U206" s="958">
        <v>5.8806024531837557E-3</v>
      </c>
      <c r="V206" s="290">
        <v>-2035.74514776</v>
      </c>
      <c r="W206" s="765">
        <v>0.60885637999999997</v>
      </c>
      <c r="X206" s="290">
        <v>6000</v>
      </c>
      <c r="Y206" s="290">
        <v>854.25360799999999</v>
      </c>
      <c r="Z206" s="290">
        <v>250588</v>
      </c>
      <c r="AA206" s="290">
        <v>0</v>
      </c>
      <c r="AB206" s="290">
        <v>276</v>
      </c>
      <c r="AC206" s="290">
        <v>3642.1460000000002</v>
      </c>
      <c r="AD206" s="290">
        <v>333</v>
      </c>
      <c r="AE206" s="290">
        <v>776</v>
      </c>
      <c r="AF206" s="290">
        <v>18708.731899999999</v>
      </c>
      <c r="AG206" s="290">
        <v>10349</v>
      </c>
      <c r="AH206" s="290">
        <v>1711.94179199</v>
      </c>
      <c r="AI206" s="290">
        <v>7700</v>
      </c>
      <c r="AJ206" s="290">
        <v>0</v>
      </c>
      <c r="AK206" s="290">
        <v>0</v>
      </c>
      <c r="AL206" s="290">
        <v>0</v>
      </c>
      <c r="AM206" s="957">
        <v>0.28592131999999998</v>
      </c>
      <c r="AN206" s="290">
        <v>0</v>
      </c>
      <c r="AO206" s="290">
        <v>-1446.60843</v>
      </c>
      <c r="AP206" s="290">
        <v>0</v>
      </c>
      <c r="AQ206" s="290">
        <v>-11070.08</v>
      </c>
      <c r="AR206" s="290">
        <v>-557.45368499999995</v>
      </c>
      <c r="AS206" s="290">
        <v>2932</v>
      </c>
      <c r="AT206" s="290">
        <v>472</v>
      </c>
      <c r="AU206" s="290">
        <v>116</v>
      </c>
      <c r="AV206" s="766">
        <v>302110</v>
      </c>
      <c r="AW206" s="290">
        <v>1806.8430000000001</v>
      </c>
      <c r="AX206" s="766">
        <v>54.296300000000002</v>
      </c>
      <c r="AY206" s="290">
        <v>2611</v>
      </c>
      <c r="AZ206" s="290">
        <v>573</v>
      </c>
      <c r="BA206" s="290">
        <v>236</v>
      </c>
      <c r="BB206" s="290">
        <v>0</v>
      </c>
      <c r="BC206" s="290">
        <v>9272.5382300000001</v>
      </c>
      <c r="BD206" s="290">
        <v>900</v>
      </c>
      <c r="BE206" s="290">
        <v>304308.17499999999</v>
      </c>
      <c r="BF206" s="290">
        <v>0</v>
      </c>
      <c r="BG206" s="290">
        <v>470</v>
      </c>
      <c r="BH206" s="290">
        <v>67</v>
      </c>
      <c r="BI206" s="290">
        <v>24917.0733</v>
      </c>
      <c r="BJ206" s="290">
        <v>0</v>
      </c>
      <c r="BK206" s="290">
        <f t="shared" si="3"/>
        <v>0</v>
      </c>
      <c r="BL206" s="290">
        <v>0</v>
      </c>
      <c r="BM206" s="290">
        <v>3968</v>
      </c>
      <c r="BN206" s="290">
        <v>7402</v>
      </c>
      <c r="BO206" s="290">
        <v>1855</v>
      </c>
      <c r="BP206" s="290">
        <v>9</v>
      </c>
      <c r="BQ206" s="290">
        <v>1061</v>
      </c>
      <c r="BR206" s="290">
        <v>-5</v>
      </c>
      <c r="BS206" s="290">
        <v>209</v>
      </c>
      <c r="BT206" s="290">
        <v>0</v>
      </c>
      <c r="BU206" s="290">
        <v>0</v>
      </c>
      <c r="BV206" s="290">
        <v>151</v>
      </c>
      <c r="BW206" s="290"/>
      <c r="BX206" s="290"/>
      <c r="BY206" s="290"/>
    </row>
    <row r="207" spans="1:77" ht="13">
      <c r="A207" s="1">
        <v>3818</v>
      </c>
      <c r="B207" s="2" t="s">
        <v>920</v>
      </c>
      <c r="C207" s="289">
        <v>5691</v>
      </c>
      <c r="D207" s="290">
        <v>68</v>
      </c>
      <c r="E207" s="290">
        <v>171</v>
      </c>
      <c r="F207" s="290">
        <v>625</v>
      </c>
      <c r="G207" s="290">
        <v>542</v>
      </c>
      <c r="H207" s="290">
        <v>3115</v>
      </c>
      <c r="I207" s="290">
        <v>891</v>
      </c>
      <c r="J207" s="290">
        <v>247</v>
      </c>
      <c r="K207" s="290">
        <v>81</v>
      </c>
      <c r="L207" s="290">
        <v>50</v>
      </c>
      <c r="M207" s="290">
        <v>599</v>
      </c>
      <c r="N207" s="290">
        <v>106</v>
      </c>
      <c r="O207" s="290">
        <v>76</v>
      </c>
      <c r="P207" s="624">
        <v>35353.942000000003</v>
      </c>
      <c r="Q207" s="624">
        <v>15274.50233333</v>
      </c>
      <c r="R207" s="624">
        <v>23</v>
      </c>
      <c r="S207" s="290">
        <v>0</v>
      </c>
      <c r="T207" s="290">
        <v>594</v>
      </c>
      <c r="U207" s="958">
        <v>2.372587542456612E-3</v>
      </c>
      <c r="V207" s="290">
        <v>-2564.48356117</v>
      </c>
      <c r="W207" s="765">
        <v>0.80211292000000001</v>
      </c>
      <c r="X207" s="290">
        <v>0</v>
      </c>
      <c r="Y207" s="290">
        <v>427.12680399999999</v>
      </c>
      <c r="Z207" s="290">
        <v>204259</v>
      </c>
      <c r="AA207" s="290">
        <v>400</v>
      </c>
      <c r="AB207" s="290">
        <v>168</v>
      </c>
      <c r="AC207" s="290">
        <v>907.32100000000003</v>
      </c>
      <c r="AD207" s="290">
        <v>333</v>
      </c>
      <c r="AE207" s="290">
        <v>0</v>
      </c>
      <c r="AF207" s="290">
        <v>0</v>
      </c>
      <c r="AG207" s="290">
        <v>5740</v>
      </c>
      <c r="AH207" s="290">
        <v>849.46436046999997</v>
      </c>
      <c r="AI207" s="290">
        <v>0</v>
      </c>
      <c r="AJ207" s="290">
        <v>0</v>
      </c>
      <c r="AK207" s="290">
        <v>167.173</v>
      </c>
      <c r="AL207" s="290">
        <v>0</v>
      </c>
      <c r="AM207" s="957">
        <v>0.12706834</v>
      </c>
      <c r="AN207" s="290">
        <v>7932</v>
      </c>
      <c r="AO207" s="290">
        <v>-835.19582800000001</v>
      </c>
      <c r="AP207" s="290">
        <v>0</v>
      </c>
      <c r="AQ207" s="290">
        <v>0</v>
      </c>
      <c r="AR207" s="290">
        <v>16245.65</v>
      </c>
      <c r="AS207" s="290">
        <v>540</v>
      </c>
      <c r="AT207" s="290">
        <v>273</v>
      </c>
      <c r="AU207" s="290">
        <v>50</v>
      </c>
      <c r="AV207" s="766">
        <v>185214</v>
      </c>
      <c r="AW207" s="290">
        <v>1253.146</v>
      </c>
      <c r="AX207" s="766">
        <v>22.874949999999998</v>
      </c>
      <c r="AY207" s="290">
        <v>983</v>
      </c>
      <c r="AZ207" s="290">
        <v>311</v>
      </c>
      <c r="BA207" s="290">
        <v>135</v>
      </c>
      <c r="BB207" s="290">
        <v>0</v>
      </c>
      <c r="BC207" s="290">
        <v>1269.8109199999999</v>
      </c>
      <c r="BD207" s="290">
        <v>556</v>
      </c>
      <c r="BE207" s="290">
        <v>170988.25</v>
      </c>
      <c r="BF207" s="290">
        <v>0</v>
      </c>
      <c r="BG207" s="290">
        <v>295</v>
      </c>
      <c r="BH207" s="290">
        <v>42</v>
      </c>
      <c r="BI207" s="290">
        <v>2351.0851600000001</v>
      </c>
      <c r="BJ207" s="290">
        <v>0</v>
      </c>
      <c r="BK207" s="290">
        <f t="shared" si="3"/>
        <v>0</v>
      </c>
      <c r="BL207" s="290">
        <v>0</v>
      </c>
      <c r="BM207" s="290">
        <v>0</v>
      </c>
      <c r="BN207" s="290">
        <v>4273</v>
      </c>
      <c r="BO207" s="290">
        <v>797</v>
      </c>
      <c r="BP207" s="290">
        <v>3</v>
      </c>
      <c r="BQ207" s="290">
        <v>616</v>
      </c>
      <c r="BR207" s="290">
        <v>-3</v>
      </c>
      <c r="BS207" s="290">
        <v>100</v>
      </c>
      <c r="BT207" s="290">
        <v>0</v>
      </c>
      <c r="BU207" s="290">
        <v>0</v>
      </c>
      <c r="BV207" s="290">
        <v>95</v>
      </c>
      <c r="BW207" s="290"/>
      <c r="BX207" s="290"/>
      <c r="BY207" s="290"/>
    </row>
    <row r="208" spans="1:77" ht="13">
      <c r="A208" s="1">
        <v>3819</v>
      </c>
      <c r="B208" s="2" t="s">
        <v>921</v>
      </c>
      <c r="C208" s="289">
        <v>1573</v>
      </c>
      <c r="D208" s="290">
        <v>30</v>
      </c>
      <c r="E208" s="290">
        <v>61</v>
      </c>
      <c r="F208" s="290">
        <v>186</v>
      </c>
      <c r="G208" s="290">
        <v>141</v>
      </c>
      <c r="H208" s="290">
        <v>809</v>
      </c>
      <c r="I208" s="290">
        <v>235</v>
      </c>
      <c r="J208" s="290">
        <v>87</v>
      </c>
      <c r="K208" s="290">
        <v>27</v>
      </c>
      <c r="L208" s="290">
        <v>12</v>
      </c>
      <c r="M208" s="290">
        <v>169</v>
      </c>
      <c r="N208" s="290">
        <v>7</v>
      </c>
      <c r="O208" s="290">
        <v>29</v>
      </c>
      <c r="P208" s="624">
        <v>16095.98433333</v>
      </c>
      <c r="Q208" s="624">
        <v>6697.473</v>
      </c>
      <c r="R208" s="624">
        <v>8</v>
      </c>
      <c r="S208" s="290">
        <v>0</v>
      </c>
      <c r="T208" s="290">
        <v>117</v>
      </c>
      <c r="U208" s="958">
        <v>2.0550035129946083E-3</v>
      </c>
      <c r="V208" s="290">
        <v>937.99073478000003</v>
      </c>
      <c r="W208" s="765">
        <v>0.88429511000000005</v>
      </c>
      <c r="X208" s="290">
        <v>200</v>
      </c>
      <c r="Y208" s="290">
        <v>328.55907999999999</v>
      </c>
      <c r="Z208" s="290">
        <v>47993</v>
      </c>
      <c r="AA208" s="290">
        <v>300</v>
      </c>
      <c r="AB208" s="290">
        <v>40</v>
      </c>
      <c r="AC208" s="290">
        <v>292.29500000000002</v>
      </c>
      <c r="AD208" s="290">
        <v>167</v>
      </c>
      <c r="AE208" s="290">
        <v>0</v>
      </c>
      <c r="AF208" s="290">
        <v>0</v>
      </c>
      <c r="AG208" s="290">
        <v>1576</v>
      </c>
      <c r="AH208" s="290">
        <v>258.09257589999999</v>
      </c>
      <c r="AI208" s="290">
        <v>0</v>
      </c>
      <c r="AJ208" s="290">
        <v>0</v>
      </c>
      <c r="AK208" s="290">
        <v>0</v>
      </c>
      <c r="AL208" s="290">
        <v>0</v>
      </c>
      <c r="AM208" s="957">
        <v>1.8472929999999999E-2</v>
      </c>
      <c r="AN208" s="290">
        <v>0</v>
      </c>
      <c r="AO208" s="290">
        <v>-280.40709399999997</v>
      </c>
      <c r="AP208" s="290">
        <v>0</v>
      </c>
      <c r="AQ208" s="290">
        <v>0</v>
      </c>
      <c r="AR208" s="290">
        <v>-84.891970900000004</v>
      </c>
      <c r="AS208" s="290">
        <v>297</v>
      </c>
      <c r="AT208" s="290">
        <v>50</v>
      </c>
      <c r="AU208" s="290">
        <v>11</v>
      </c>
      <c r="AV208" s="766">
        <v>67219</v>
      </c>
      <c r="AW208" s="290">
        <v>328.79700000000003</v>
      </c>
      <c r="AX208" s="766">
        <v>9.7916500000000006</v>
      </c>
      <c r="AY208" s="290">
        <v>250</v>
      </c>
      <c r="AZ208" s="290">
        <v>83</v>
      </c>
      <c r="BA208" s="290">
        <v>21</v>
      </c>
      <c r="BB208" s="290">
        <v>3525</v>
      </c>
      <c r="BC208" s="290">
        <v>-70.768495299999998</v>
      </c>
      <c r="BD208" s="290">
        <v>238</v>
      </c>
      <c r="BE208" s="290">
        <v>70805.934099999999</v>
      </c>
      <c r="BF208" s="290">
        <v>0</v>
      </c>
      <c r="BG208" s="290">
        <v>112</v>
      </c>
      <c r="BH208" s="290">
        <v>16</v>
      </c>
      <c r="BI208" s="290">
        <v>878.94665599999996</v>
      </c>
      <c r="BJ208" s="290">
        <v>0</v>
      </c>
      <c r="BK208" s="290">
        <f t="shared" si="3"/>
        <v>0</v>
      </c>
      <c r="BL208" s="290">
        <v>0</v>
      </c>
      <c r="BM208" s="290">
        <v>0</v>
      </c>
      <c r="BN208" s="290">
        <v>1435</v>
      </c>
      <c r="BO208" s="290">
        <v>276</v>
      </c>
      <c r="BP208" s="290">
        <v>1</v>
      </c>
      <c r="BQ208" s="290">
        <v>158</v>
      </c>
      <c r="BR208" s="290">
        <v>-1</v>
      </c>
      <c r="BS208" s="290">
        <v>50</v>
      </c>
      <c r="BT208" s="290">
        <v>0</v>
      </c>
      <c r="BU208" s="290">
        <v>0</v>
      </c>
      <c r="BV208" s="290">
        <v>36</v>
      </c>
      <c r="BW208" s="290"/>
      <c r="BX208" s="290"/>
      <c r="BY208" s="290"/>
    </row>
    <row r="209" spans="1:77" ht="13">
      <c r="A209" s="1">
        <v>3820</v>
      </c>
      <c r="B209" s="2" t="s">
        <v>922</v>
      </c>
      <c r="C209" s="289">
        <v>2888</v>
      </c>
      <c r="D209" s="290">
        <v>41</v>
      </c>
      <c r="E209" s="290">
        <v>102</v>
      </c>
      <c r="F209" s="290">
        <v>371</v>
      </c>
      <c r="G209" s="290">
        <v>228</v>
      </c>
      <c r="H209" s="290">
        <v>1561</v>
      </c>
      <c r="I209" s="290">
        <v>453</v>
      </c>
      <c r="J209" s="290">
        <v>135</v>
      </c>
      <c r="K209" s="290">
        <v>29</v>
      </c>
      <c r="L209" s="290">
        <v>29</v>
      </c>
      <c r="M209" s="290">
        <v>272</v>
      </c>
      <c r="N209" s="290">
        <v>32</v>
      </c>
      <c r="O209" s="290">
        <v>47</v>
      </c>
      <c r="P209" s="624">
        <v>23868.00566667</v>
      </c>
      <c r="Q209" s="624">
        <v>13402.341</v>
      </c>
      <c r="R209" s="624">
        <v>13</v>
      </c>
      <c r="S209" s="290">
        <v>0</v>
      </c>
      <c r="T209" s="290">
        <v>260</v>
      </c>
      <c r="U209" s="958">
        <v>1.862830818004187E-3</v>
      </c>
      <c r="V209" s="290">
        <v>1542.2293977500001</v>
      </c>
      <c r="W209" s="765">
        <v>0.82666640999999996</v>
      </c>
      <c r="X209" s="290">
        <v>1500</v>
      </c>
      <c r="Y209" s="290">
        <v>427.12680399999999</v>
      </c>
      <c r="Z209" s="290">
        <v>81485</v>
      </c>
      <c r="AA209" s="290">
        <v>825</v>
      </c>
      <c r="AB209" s="290">
        <v>57</v>
      </c>
      <c r="AC209" s="290">
        <v>524.06399999999996</v>
      </c>
      <c r="AD209" s="290">
        <v>167</v>
      </c>
      <c r="AE209" s="290">
        <v>0</v>
      </c>
      <c r="AF209" s="290">
        <v>0</v>
      </c>
      <c r="AG209" s="290">
        <v>2920</v>
      </c>
      <c r="AH209" s="290">
        <v>474.25414508</v>
      </c>
      <c r="AI209" s="290">
        <v>0</v>
      </c>
      <c r="AJ209" s="290">
        <v>0</v>
      </c>
      <c r="AK209" s="290">
        <v>0</v>
      </c>
      <c r="AL209" s="290">
        <v>0</v>
      </c>
      <c r="AM209" s="957">
        <v>3.2497730000000002E-2</v>
      </c>
      <c r="AN209" s="290">
        <v>0</v>
      </c>
      <c r="AO209" s="290">
        <v>-461.04086899999999</v>
      </c>
      <c r="AP209" s="290">
        <v>0</v>
      </c>
      <c r="AQ209" s="290">
        <v>0</v>
      </c>
      <c r="AR209" s="290">
        <v>-157.28715399999999</v>
      </c>
      <c r="AS209" s="290">
        <v>1000</v>
      </c>
      <c r="AT209" s="290">
        <v>136</v>
      </c>
      <c r="AU209" s="290">
        <v>17</v>
      </c>
      <c r="AV209" s="766">
        <v>103989</v>
      </c>
      <c r="AW209" s="290">
        <v>669.12800000000004</v>
      </c>
      <c r="AX209" s="766">
        <v>10.37505</v>
      </c>
      <c r="AY209" s="290">
        <v>597</v>
      </c>
      <c r="AZ209" s="290">
        <v>121</v>
      </c>
      <c r="BA209" s="290">
        <v>47</v>
      </c>
      <c r="BB209" s="290">
        <v>5875</v>
      </c>
      <c r="BC209" s="290">
        <v>870.98337600000002</v>
      </c>
      <c r="BD209" s="290">
        <v>336</v>
      </c>
      <c r="BE209" s="290">
        <v>107866.2</v>
      </c>
      <c r="BF209" s="290">
        <v>0</v>
      </c>
      <c r="BG209" s="290">
        <v>173</v>
      </c>
      <c r="BH209" s="290">
        <v>25</v>
      </c>
      <c r="BI209" s="290">
        <v>1425.4449500000001</v>
      </c>
      <c r="BJ209" s="290">
        <v>0</v>
      </c>
      <c r="BK209" s="290">
        <f t="shared" si="3"/>
        <v>0</v>
      </c>
      <c r="BL209" s="290">
        <v>0</v>
      </c>
      <c r="BM209" s="290">
        <v>0</v>
      </c>
      <c r="BN209" s="290">
        <v>2359</v>
      </c>
      <c r="BO209" s="290">
        <v>478</v>
      </c>
      <c r="BP209" s="290">
        <v>2</v>
      </c>
      <c r="BQ209" s="290">
        <v>286</v>
      </c>
      <c r="BR209" s="290">
        <v>-1</v>
      </c>
      <c r="BS209" s="290">
        <v>50</v>
      </c>
      <c r="BT209" s="290">
        <v>0</v>
      </c>
      <c r="BU209" s="290">
        <v>0</v>
      </c>
      <c r="BV209" s="290">
        <v>55</v>
      </c>
      <c r="BW209" s="290"/>
      <c r="BX209" s="290"/>
      <c r="BY209" s="290"/>
    </row>
    <row r="210" spans="1:77" ht="13">
      <c r="A210" s="1">
        <v>3821</v>
      </c>
      <c r="B210" s="2" t="s">
        <v>923</v>
      </c>
      <c r="C210" s="289">
        <v>2403</v>
      </c>
      <c r="D210" s="290">
        <v>37</v>
      </c>
      <c r="E210" s="290">
        <v>81</v>
      </c>
      <c r="F210" s="290">
        <v>217</v>
      </c>
      <c r="G210" s="290">
        <v>205</v>
      </c>
      <c r="H210" s="290">
        <v>1361</v>
      </c>
      <c r="I210" s="290">
        <v>340</v>
      </c>
      <c r="J210" s="290">
        <v>125</v>
      </c>
      <c r="K210" s="290">
        <v>25</v>
      </c>
      <c r="L210" s="290">
        <v>22</v>
      </c>
      <c r="M210" s="290">
        <v>210</v>
      </c>
      <c r="N210" s="290">
        <v>13</v>
      </c>
      <c r="O210" s="290">
        <v>10</v>
      </c>
      <c r="P210" s="624">
        <v>18863.762666670002</v>
      </c>
      <c r="Q210" s="624">
        <v>10401.64533333</v>
      </c>
      <c r="R210" s="624">
        <v>20</v>
      </c>
      <c r="S210" s="290">
        <v>0</v>
      </c>
      <c r="T210" s="290">
        <v>247</v>
      </c>
      <c r="U210" s="958">
        <v>1.8383503139141606E-3</v>
      </c>
      <c r="V210" s="290">
        <v>1251.3376272</v>
      </c>
      <c r="W210" s="765">
        <v>0.86752403</v>
      </c>
      <c r="X210" s="290">
        <v>1000</v>
      </c>
      <c r="Y210" s="290">
        <v>427.12680399999999</v>
      </c>
      <c r="Z210" s="290">
        <v>67377</v>
      </c>
      <c r="AA210" s="290">
        <v>200</v>
      </c>
      <c r="AB210" s="290">
        <v>58</v>
      </c>
      <c r="AC210" s="290">
        <v>351.08499999999998</v>
      </c>
      <c r="AD210" s="290">
        <v>167</v>
      </c>
      <c r="AE210" s="290">
        <v>0</v>
      </c>
      <c r="AF210" s="290">
        <v>0</v>
      </c>
      <c r="AG210" s="290">
        <v>2391</v>
      </c>
      <c r="AH210" s="290">
        <v>329.66446669999999</v>
      </c>
      <c r="AI210" s="290">
        <v>1910</v>
      </c>
      <c r="AJ210" s="290">
        <v>0</v>
      </c>
      <c r="AK210" s="290">
        <v>0</v>
      </c>
      <c r="AL210" s="290">
        <v>0</v>
      </c>
      <c r="AM210" s="957">
        <v>1.7965470000000001E-2</v>
      </c>
      <c r="AN210" s="290">
        <v>0</v>
      </c>
      <c r="AO210" s="290">
        <v>-374.080398</v>
      </c>
      <c r="AP210" s="290">
        <v>0</v>
      </c>
      <c r="AQ210" s="290">
        <v>0</v>
      </c>
      <c r="AR210" s="290">
        <v>3310.6544199999998</v>
      </c>
      <c r="AS210" s="290">
        <v>2573</v>
      </c>
      <c r="AT210" s="290">
        <v>114</v>
      </c>
      <c r="AU210" s="290">
        <v>14</v>
      </c>
      <c r="AV210" s="766">
        <v>88446</v>
      </c>
      <c r="AW210" s="290">
        <v>530.53700000000003</v>
      </c>
      <c r="AX210" s="766">
        <v>8.1666500000000006</v>
      </c>
      <c r="AY210" s="290">
        <v>529</v>
      </c>
      <c r="AZ210" s="290">
        <v>65</v>
      </c>
      <c r="BA210" s="290">
        <v>19</v>
      </c>
      <c r="BB210" s="290">
        <v>5875</v>
      </c>
      <c r="BC210" s="290">
        <v>740.59744699999999</v>
      </c>
      <c r="BD210" s="290">
        <v>300</v>
      </c>
      <c r="BE210" s="290">
        <v>87715.492899999997</v>
      </c>
      <c r="BF210" s="290">
        <v>0</v>
      </c>
      <c r="BG210" s="290">
        <v>146</v>
      </c>
      <c r="BH210" s="290">
        <v>21</v>
      </c>
      <c r="BI210" s="290">
        <v>1107.87627</v>
      </c>
      <c r="BJ210" s="290">
        <v>0</v>
      </c>
      <c r="BK210" s="290">
        <f t="shared" si="3"/>
        <v>0</v>
      </c>
      <c r="BL210" s="290">
        <v>0</v>
      </c>
      <c r="BM210" s="290">
        <v>0</v>
      </c>
      <c r="BN210" s="290">
        <v>1914</v>
      </c>
      <c r="BO210" s="290">
        <v>347</v>
      </c>
      <c r="BP210" s="290">
        <v>2</v>
      </c>
      <c r="BQ210" s="290">
        <v>234</v>
      </c>
      <c r="BR210" s="290">
        <v>-1</v>
      </c>
      <c r="BS210" s="290">
        <v>50</v>
      </c>
      <c r="BT210" s="290">
        <v>0</v>
      </c>
      <c r="BU210" s="290">
        <v>0</v>
      </c>
      <c r="BV210" s="290">
        <v>47</v>
      </c>
      <c r="BW210" s="290"/>
      <c r="BX210" s="290"/>
      <c r="BY210" s="290"/>
    </row>
    <row r="211" spans="1:77" ht="13">
      <c r="A211" s="1">
        <v>3822</v>
      </c>
      <c r="B211" s="2" t="s">
        <v>924</v>
      </c>
      <c r="C211" s="289">
        <v>1448</v>
      </c>
      <c r="D211" s="290">
        <v>23</v>
      </c>
      <c r="E211" s="290">
        <v>71</v>
      </c>
      <c r="F211" s="290">
        <v>187</v>
      </c>
      <c r="G211" s="290">
        <v>99</v>
      </c>
      <c r="H211" s="290">
        <v>797</v>
      </c>
      <c r="I211" s="290">
        <v>213</v>
      </c>
      <c r="J211" s="290">
        <v>61</v>
      </c>
      <c r="K211" s="290">
        <v>17</v>
      </c>
      <c r="L211" s="290">
        <v>10</v>
      </c>
      <c r="M211" s="290">
        <v>124</v>
      </c>
      <c r="N211" s="290">
        <v>1.5</v>
      </c>
      <c r="O211" s="290">
        <v>23</v>
      </c>
      <c r="P211" s="624">
        <v>15110.132333330001</v>
      </c>
      <c r="Q211" s="624">
        <v>10429.718999999999</v>
      </c>
      <c r="R211" s="624">
        <v>9</v>
      </c>
      <c r="S211" s="290">
        <v>0</v>
      </c>
      <c r="T211" s="290">
        <v>121</v>
      </c>
      <c r="U211" s="958">
        <v>9.3310394549818464E-4</v>
      </c>
      <c r="V211" s="290">
        <v>896.29914143999997</v>
      </c>
      <c r="W211" s="765">
        <v>1</v>
      </c>
      <c r="X211" s="290">
        <v>0</v>
      </c>
      <c r="Y211" s="290">
        <v>427.12680399999999</v>
      </c>
      <c r="Z211" s="290">
        <v>42926</v>
      </c>
      <c r="AA211" s="290">
        <v>0</v>
      </c>
      <c r="AB211" s="290">
        <v>33</v>
      </c>
      <c r="AC211" s="290">
        <v>279.73099999999999</v>
      </c>
      <c r="AD211" s="290">
        <v>167</v>
      </c>
      <c r="AE211" s="290">
        <v>0</v>
      </c>
      <c r="AF211" s="290">
        <v>0</v>
      </c>
      <c r="AG211" s="290">
        <v>1468</v>
      </c>
      <c r="AH211" s="290">
        <v>240.7418145</v>
      </c>
      <c r="AI211" s="290">
        <v>0</v>
      </c>
      <c r="AJ211" s="290">
        <v>0</v>
      </c>
      <c r="AK211" s="290">
        <v>0</v>
      </c>
      <c r="AL211" s="290">
        <v>0</v>
      </c>
      <c r="AM211" s="957">
        <v>3.9695649999999999E-2</v>
      </c>
      <c r="AN211" s="290">
        <v>0</v>
      </c>
      <c r="AO211" s="290">
        <v>-267.943625</v>
      </c>
      <c r="AP211" s="290">
        <v>0</v>
      </c>
      <c r="AQ211" s="290">
        <v>0</v>
      </c>
      <c r="AR211" s="290">
        <v>-79.074500799999996</v>
      </c>
      <c r="AS211" s="290">
        <v>471</v>
      </c>
      <c r="AT211" s="290">
        <v>92</v>
      </c>
      <c r="AU211" s="290">
        <v>10</v>
      </c>
      <c r="AV211" s="766">
        <v>65579</v>
      </c>
      <c r="AW211" s="290">
        <v>312.88799999999998</v>
      </c>
      <c r="AX211" s="766">
        <v>4.7500499999999999</v>
      </c>
      <c r="AY211" s="290">
        <v>284</v>
      </c>
      <c r="AZ211" s="290">
        <v>94</v>
      </c>
      <c r="BA211" s="290">
        <v>24</v>
      </c>
      <c r="BB211" s="290">
        <v>5289</v>
      </c>
      <c r="BC211" s="290">
        <v>646.468568</v>
      </c>
      <c r="BD211" s="290">
        <v>244</v>
      </c>
      <c r="BE211" s="290">
        <v>70625.275899999993</v>
      </c>
      <c r="BF211" s="290">
        <v>0</v>
      </c>
      <c r="BG211" s="290">
        <v>112</v>
      </c>
      <c r="BH211" s="290">
        <v>16</v>
      </c>
      <c r="BI211" s="290">
        <v>947.59961899999996</v>
      </c>
      <c r="BJ211" s="290">
        <v>0</v>
      </c>
      <c r="BK211" s="290">
        <f t="shared" si="3"/>
        <v>0</v>
      </c>
      <c r="BL211" s="290">
        <v>0</v>
      </c>
      <c r="BM211" s="290">
        <v>0</v>
      </c>
      <c r="BN211" s="290">
        <v>1371</v>
      </c>
      <c r="BO211" s="290">
        <v>294</v>
      </c>
      <c r="BP211" s="290">
        <v>1</v>
      </c>
      <c r="BQ211" s="290">
        <v>146</v>
      </c>
      <c r="BR211" s="290">
        <v>-1</v>
      </c>
      <c r="BS211" s="290">
        <v>50</v>
      </c>
      <c r="BT211" s="290">
        <v>0</v>
      </c>
      <c r="BU211" s="290">
        <v>0</v>
      </c>
      <c r="BV211" s="290">
        <v>36</v>
      </c>
      <c r="BW211" s="290"/>
      <c r="BX211" s="290"/>
      <c r="BY211" s="290"/>
    </row>
    <row r="212" spans="1:77" ht="13">
      <c r="A212" s="1">
        <v>3823</v>
      </c>
      <c r="B212" s="2" t="s">
        <v>925</v>
      </c>
      <c r="C212" s="289">
        <v>1287</v>
      </c>
      <c r="D212" s="290">
        <v>18</v>
      </c>
      <c r="E212" s="290">
        <v>38</v>
      </c>
      <c r="F212" s="290">
        <v>166</v>
      </c>
      <c r="G212" s="290">
        <v>104</v>
      </c>
      <c r="H212" s="290">
        <v>705</v>
      </c>
      <c r="I212" s="290">
        <v>181</v>
      </c>
      <c r="J212" s="290">
        <v>59</v>
      </c>
      <c r="K212" s="290">
        <v>12</v>
      </c>
      <c r="L212" s="290">
        <v>11</v>
      </c>
      <c r="M212" s="290">
        <v>125</v>
      </c>
      <c r="N212" s="290">
        <v>5</v>
      </c>
      <c r="O212" s="290">
        <v>26</v>
      </c>
      <c r="P212" s="624">
        <v>9004.7236666699991</v>
      </c>
      <c r="Q212" s="624">
        <v>6782.0856666700001</v>
      </c>
      <c r="R212" s="624">
        <v>6</v>
      </c>
      <c r="S212" s="290">
        <v>0</v>
      </c>
      <c r="T212" s="290">
        <v>124</v>
      </c>
      <c r="U212" s="958">
        <v>1.4583682639071752E-3</v>
      </c>
      <c r="V212" s="290">
        <v>776.58788628000002</v>
      </c>
      <c r="W212" s="765">
        <v>1</v>
      </c>
      <c r="X212" s="290">
        <v>0</v>
      </c>
      <c r="Y212" s="290">
        <v>273.445944</v>
      </c>
      <c r="Z212" s="290">
        <v>35369</v>
      </c>
      <c r="AA212" s="290">
        <v>0</v>
      </c>
      <c r="AB212" s="290">
        <v>25</v>
      </c>
      <c r="AC212" s="290">
        <v>280.20800000000003</v>
      </c>
      <c r="AD212" s="290">
        <v>167</v>
      </c>
      <c r="AE212" s="290">
        <v>0</v>
      </c>
      <c r="AF212" s="290">
        <v>0</v>
      </c>
      <c r="AG212" s="290">
        <v>1283</v>
      </c>
      <c r="AH212" s="290">
        <v>208.93208526000001</v>
      </c>
      <c r="AI212" s="290">
        <v>0</v>
      </c>
      <c r="AJ212" s="290">
        <v>0</v>
      </c>
      <c r="AK212" s="290">
        <v>6.3490000000000002</v>
      </c>
      <c r="AL212" s="290">
        <v>0</v>
      </c>
      <c r="AM212" s="957">
        <v>3.1926549999999998E-2</v>
      </c>
      <c r="AN212" s="290">
        <v>0</v>
      </c>
      <c r="AO212" s="290">
        <v>-232.15661299999999</v>
      </c>
      <c r="AP212" s="290">
        <v>0</v>
      </c>
      <c r="AQ212" s="290">
        <v>0</v>
      </c>
      <c r="AR212" s="290">
        <v>-63.816535799999997</v>
      </c>
      <c r="AS212" s="290">
        <v>291</v>
      </c>
      <c r="AT212" s="290">
        <v>55</v>
      </c>
      <c r="AU212" s="290">
        <v>10</v>
      </c>
      <c r="AV212" s="766">
        <v>61416</v>
      </c>
      <c r="AW212" s="290">
        <v>328.20299999999997</v>
      </c>
      <c r="AX212" s="766">
        <v>4.5</v>
      </c>
      <c r="AY212" s="290">
        <v>269</v>
      </c>
      <c r="AZ212" s="290">
        <v>96</v>
      </c>
      <c r="BA212" s="290">
        <v>40</v>
      </c>
      <c r="BB212" s="290">
        <v>5875</v>
      </c>
      <c r="BC212" s="290">
        <v>479.97729399999997</v>
      </c>
      <c r="BD212" s="290">
        <v>230</v>
      </c>
      <c r="BE212" s="290">
        <v>62103.400399999999</v>
      </c>
      <c r="BF212" s="290">
        <v>0</v>
      </c>
      <c r="BG212" s="290">
        <v>99</v>
      </c>
      <c r="BH212" s="290">
        <v>14</v>
      </c>
      <c r="BI212" s="290">
        <v>768.93502899999999</v>
      </c>
      <c r="BJ212" s="290">
        <v>0</v>
      </c>
      <c r="BK212" s="290">
        <f t="shared" si="3"/>
        <v>0</v>
      </c>
      <c r="BL212" s="290">
        <v>0</v>
      </c>
      <c r="BM212" s="290">
        <v>0</v>
      </c>
      <c r="BN212" s="290">
        <v>1188</v>
      </c>
      <c r="BO212" s="290">
        <v>206</v>
      </c>
      <c r="BP212" s="290">
        <v>1</v>
      </c>
      <c r="BQ212" s="290">
        <v>126</v>
      </c>
      <c r="BR212" s="290">
        <v>-1</v>
      </c>
      <c r="BS212" s="290">
        <v>50</v>
      </c>
      <c r="BT212" s="290">
        <v>0</v>
      </c>
      <c r="BU212" s="290">
        <v>0</v>
      </c>
      <c r="BV212" s="290">
        <v>32</v>
      </c>
      <c r="BW212" s="290"/>
      <c r="BX212" s="290"/>
      <c r="BY212" s="290"/>
    </row>
    <row r="213" spans="1:77" ht="13">
      <c r="A213" s="1">
        <v>3824</v>
      </c>
      <c r="B213" s="2" t="s">
        <v>926</v>
      </c>
      <c r="C213" s="289">
        <v>2201</v>
      </c>
      <c r="D213" s="290">
        <v>27</v>
      </c>
      <c r="E213" s="290">
        <v>71</v>
      </c>
      <c r="F213" s="290">
        <v>261</v>
      </c>
      <c r="G213" s="290">
        <v>195</v>
      </c>
      <c r="H213" s="290">
        <v>1213</v>
      </c>
      <c r="I213" s="290">
        <v>296</v>
      </c>
      <c r="J213" s="290">
        <v>115</v>
      </c>
      <c r="K213" s="290">
        <v>34</v>
      </c>
      <c r="L213" s="290">
        <v>19</v>
      </c>
      <c r="M213" s="290">
        <v>220</v>
      </c>
      <c r="N213" s="290">
        <v>13</v>
      </c>
      <c r="O213" s="290">
        <v>30</v>
      </c>
      <c r="P213" s="624">
        <v>21228.815999999999</v>
      </c>
      <c r="Q213" s="624">
        <v>8756.3733333300006</v>
      </c>
      <c r="R213" s="624">
        <v>8</v>
      </c>
      <c r="S213" s="290">
        <v>0</v>
      </c>
      <c r="T213" s="290">
        <v>223</v>
      </c>
      <c r="U213" s="958">
        <v>1.947949290623303E-3</v>
      </c>
      <c r="V213" s="290">
        <v>1205.5617741000001</v>
      </c>
      <c r="W213" s="765">
        <v>0.98377369000000003</v>
      </c>
      <c r="X213" s="290">
        <v>0</v>
      </c>
      <c r="Y213" s="290">
        <v>0</v>
      </c>
      <c r="Z213" s="290">
        <v>84882</v>
      </c>
      <c r="AA213" s="290">
        <v>0</v>
      </c>
      <c r="AB213" s="290">
        <v>43</v>
      </c>
      <c r="AC213" s="290">
        <v>386.72899999999998</v>
      </c>
      <c r="AD213" s="290">
        <v>167</v>
      </c>
      <c r="AE213" s="290">
        <v>0</v>
      </c>
      <c r="AF213" s="290">
        <v>0</v>
      </c>
      <c r="AG213" s="290">
        <v>2212</v>
      </c>
      <c r="AH213" s="290">
        <v>335.44805384</v>
      </c>
      <c r="AI213" s="290">
        <v>0</v>
      </c>
      <c r="AJ213" s="290">
        <v>427</v>
      </c>
      <c r="AK213" s="290">
        <v>0</v>
      </c>
      <c r="AL213" s="290">
        <v>0</v>
      </c>
      <c r="AM213" s="957">
        <v>2.0324399999999999E-2</v>
      </c>
      <c r="AN213" s="290">
        <v>0</v>
      </c>
      <c r="AO213" s="290">
        <v>-360.395962</v>
      </c>
      <c r="AP213" s="290">
        <v>0</v>
      </c>
      <c r="AQ213" s="290">
        <v>0</v>
      </c>
      <c r="AR213" s="290">
        <v>-119.150406</v>
      </c>
      <c r="AS213" s="290">
        <v>1216</v>
      </c>
      <c r="AT213" s="290">
        <v>118</v>
      </c>
      <c r="AU213" s="290">
        <v>15</v>
      </c>
      <c r="AV213" s="766">
        <v>82534</v>
      </c>
      <c r="AW213" s="290">
        <v>477.012</v>
      </c>
      <c r="AX213" s="766">
        <v>11.12495</v>
      </c>
      <c r="AY213" s="290">
        <v>434</v>
      </c>
      <c r="AZ213" s="290">
        <v>57</v>
      </c>
      <c r="BA213" s="290">
        <v>27</v>
      </c>
      <c r="BB213" s="290">
        <v>5875</v>
      </c>
      <c r="BC213" s="290">
        <v>347.230976</v>
      </c>
      <c r="BD213" s="290">
        <v>301</v>
      </c>
      <c r="BE213" s="290">
        <v>86136.650899999993</v>
      </c>
      <c r="BF213" s="290">
        <v>0</v>
      </c>
      <c r="BG213" s="290">
        <v>143</v>
      </c>
      <c r="BH213" s="290">
        <v>20</v>
      </c>
      <c r="BI213" s="290">
        <v>722.177054</v>
      </c>
      <c r="BJ213" s="290">
        <v>0</v>
      </c>
      <c r="BK213" s="290">
        <f t="shared" si="3"/>
        <v>0</v>
      </c>
      <c r="BL213" s="290">
        <v>0</v>
      </c>
      <c r="BM213" s="290">
        <v>0</v>
      </c>
      <c r="BN213" s="290">
        <v>1844</v>
      </c>
      <c r="BO213" s="290">
        <v>348</v>
      </c>
      <c r="BP213" s="290">
        <v>1</v>
      </c>
      <c r="BQ213" s="290">
        <v>243</v>
      </c>
      <c r="BR213" s="290">
        <v>-1</v>
      </c>
      <c r="BS213" s="290">
        <v>50</v>
      </c>
      <c r="BT213" s="290">
        <v>0</v>
      </c>
      <c r="BU213" s="290">
        <v>0</v>
      </c>
      <c r="BV213" s="290">
        <v>46</v>
      </c>
      <c r="BW213" s="290"/>
      <c r="BX213" s="290"/>
      <c r="BY213" s="290"/>
    </row>
    <row r="214" spans="1:77" ht="13">
      <c r="A214" s="1">
        <v>3825</v>
      </c>
      <c r="B214" s="2" t="s">
        <v>927</v>
      </c>
      <c r="C214" s="289">
        <v>3676</v>
      </c>
      <c r="D214" s="290">
        <v>60</v>
      </c>
      <c r="E214" s="290">
        <v>165</v>
      </c>
      <c r="F214" s="290">
        <v>404</v>
      </c>
      <c r="G214" s="290">
        <v>314</v>
      </c>
      <c r="H214" s="290">
        <v>2058</v>
      </c>
      <c r="I214" s="290">
        <v>496</v>
      </c>
      <c r="J214" s="290">
        <v>159</v>
      </c>
      <c r="K214" s="290">
        <v>38</v>
      </c>
      <c r="L214" s="290">
        <v>30</v>
      </c>
      <c r="M214" s="290">
        <v>317</v>
      </c>
      <c r="N214" s="290">
        <v>59</v>
      </c>
      <c r="O214" s="290">
        <v>29</v>
      </c>
      <c r="P214" s="624">
        <v>74380.987333330006</v>
      </c>
      <c r="Q214" s="624">
        <v>21735.543333329999</v>
      </c>
      <c r="R214" s="624">
        <v>14</v>
      </c>
      <c r="S214" s="290">
        <v>0</v>
      </c>
      <c r="T214" s="290">
        <v>356</v>
      </c>
      <c r="U214" s="958">
        <v>2.7836484117010965E-3</v>
      </c>
      <c r="V214" s="290">
        <v>1940.6489074799999</v>
      </c>
      <c r="W214" s="765">
        <v>1</v>
      </c>
      <c r="X214" s="290">
        <v>0</v>
      </c>
      <c r="Y214" s="290">
        <v>427.12680399999999</v>
      </c>
      <c r="Z214" s="290">
        <v>150015</v>
      </c>
      <c r="AA214" s="290">
        <v>860</v>
      </c>
      <c r="AB214" s="290">
        <v>49</v>
      </c>
      <c r="AC214" s="290">
        <v>633.47299999999996</v>
      </c>
      <c r="AD214" s="290">
        <v>333</v>
      </c>
      <c r="AE214" s="290">
        <v>0</v>
      </c>
      <c r="AF214" s="290">
        <v>0</v>
      </c>
      <c r="AG214" s="290">
        <v>3694</v>
      </c>
      <c r="AH214" s="290">
        <v>581.97345546999998</v>
      </c>
      <c r="AI214" s="290">
        <v>0</v>
      </c>
      <c r="AJ214" s="290">
        <v>0</v>
      </c>
      <c r="AK214" s="290">
        <v>0</v>
      </c>
      <c r="AL214" s="290">
        <v>0</v>
      </c>
      <c r="AM214" s="957">
        <v>1.6103050000000001E-2</v>
      </c>
      <c r="AN214" s="290">
        <v>0</v>
      </c>
      <c r="AO214" s="290">
        <v>-580.14615700000002</v>
      </c>
      <c r="AP214" s="290">
        <v>0</v>
      </c>
      <c r="AQ214" s="290">
        <v>0</v>
      </c>
      <c r="AR214" s="290">
        <v>-198.97902300000001</v>
      </c>
      <c r="AS214" s="290">
        <v>2384</v>
      </c>
      <c r="AT214" s="290">
        <v>124</v>
      </c>
      <c r="AU214" s="290">
        <v>15</v>
      </c>
      <c r="AV214" s="766">
        <v>119950</v>
      </c>
      <c r="AW214" s="290">
        <v>615.41499999999996</v>
      </c>
      <c r="AX214" s="766">
        <v>23.541699999999999</v>
      </c>
      <c r="AY214" s="290">
        <v>820</v>
      </c>
      <c r="AZ214" s="290">
        <v>120</v>
      </c>
      <c r="BA214" s="290">
        <v>69</v>
      </c>
      <c r="BB214" s="290">
        <v>0</v>
      </c>
      <c r="BC214" s="290">
        <v>981.14902700000005</v>
      </c>
      <c r="BD214" s="290">
        <v>421</v>
      </c>
      <c r="BE214" s="290">
        <v>125716.36599999999</v>
      </c>
      <c r="BF214" s="290">
        <v>0</v>
      </c>
      <c r="BG214" s="290">
        <v>230</v>
      </c>
      <c r="BH214" s="290">
        <v>33</v>
      </c>
      <c r="BI214" s="290">
        <v>1642.5732599999999</v>
      </c>
      <c r="BJ214" s="290">
        <v>0</v>
      </c>
      <c r="BK214" s="290">
        <f t="shared" si="3"/>
        <v>0</v>
      </c>
      <c r="BL214" s="290">
        <v>0</v>
      </c>
      <c r="BM214" s="290">
        <v>0</v>
      </c>
      <c r="BN214" s="290">
        <v>2968</v>
      </c>
      <c r="BO214" s="290">
        <v>690</v>
      </c>
      <c r="BP214" s="290">
        <v>3</v>
      </c>
      <c r="BQ214" s="290">
        <v>426</v>
      </c>
      <c r="BR214" s="290">
        <v>-2</v>
      </c>
      <c r="BS214" s="290">
        <v>50</v>
      </c>
      <c r="BT214" s="290">
        <v>0</v>
      </c>
      <c r="BU214" s="290">
        <v>0</v>
      </c>
      <c r="BV214" s="290">
        <v>74</v>
      </c>
      <c r="BW214" s="290"/>
      <c r="BX214" s="290"/>
      <c r="BY214" s="290"/>
    </row>
    <row r="215" spans="1:77" ht="13">
      <c r="A215" s="1">
        <v>4201</v>
      </c>
      <c r="B215" s="2" t="s">
        <v>928</v>
      </c>
      <c r="C215" s="289">
        <v>6809</v>
      </c>
      <c r="D215" s="290">
        <v>99</v>
      </c>
      <c r="E215" s="290">
        <v>233</v>
      </c>
      <c r="F215" s="290">
        <v>748</v>
      </c>
      <c r="G215" s="290">
        <v>592</v>
      </c>
      <c r="H215" s="290">
        <v>3684</v>
      </c>
      <c r="I215" s="290">
        <v>1121</v>
      </c>
      <c r="J215" s="290">
        <v>293</v>
      </c>
      <c r="K215" s="290">
        <v>74</v>
      </c>
      <c r="L215" s="290">
        <v>59</v>
      </c>
      <c r="M215" s="290">
        <v>654</v>
      </c>
      <c r="N215" s="290">
        <v>151</v>
      </c>
      <c r="O215" s="290">
        <v>88</v>
      </c>
      <c r="P215" s="624">
        <v>43408.930666669999</v>
      </c>
      <c r="Q215" s="624">
        <v>11162.955</v>
      </c>
      <c r="R215" s="624">
        <v>39</v>
      </c>
      <c r="S215" s="290">
        <v>0</v>
      </c>
      <c r="T215" s="290">
        <v>642</v>
      </c>
      <c r="U215" s="958">
        <v>8.043621068016761E-4</v>
      </c>
      <c r="V215" s="290">
        <v>3329.3574292899998</v>
      </c>
      <c r="W215" s="765">
        <v>0.61877894</v>
      </c>
      <c r="X215" s="290">
        <v>1130</v>
      </c>
      <c r="Y215" s="290">
        <v>427.12680399999999</v>
      </c>
      <c r="Z215" s="290">
        <v>180186</v>
      </c>
      <c r="AA215" s="290">
        <v>263</v>
      </c>
      <c r="AB215" s="290">
        <v>211</v>
      </c>
      <c r="AC215" s="290">
        <v>1039.9829999999999</v>
      </c>
      <c r="AD215" s="290">
        <v>333</v>
      </c>
      <c r="AE215" s="290">
        <v>0</v>
      </c>
      <c r="AF215" s="290">
        <v>0</v>
      </c>
      <c r="AG215" s="290">
        <v>6844</v>
      </c>
      <c r="AH215" s="290">
        <v>1022.97197452</v>
      </c>
      <c r="AI215" s="290">
        <v>330</v>
      </c>
      <c r="AJ215" s="290">
        <v>0</v>
      </c>
      <c r="AK215" s="290">
        <v>15.86</v>
      </c>
      <c r="AL215" s="290">
        <v>0</v>
      </c>
      <c r="AM215" s="957">
        <v>0.19226842999999999</v>
      </c>
      <c r="AN215" s="290">
        <v>9162</v>
      </c>
      <c r="AO215" s="290">
        <v>-995.29281700000001</v>
      </c>
      <c r="AP215" s="290">
        <v>0</v>
      </c>
      <c r="AQ215" s="290">
        <v>0</v>
      </c>
      <c r="AR215" s="290">
        <v>-368.65523400000001</v>
      </c>
      <c r="AS215" s="290">
        <v>1506</v>
      </c>
      <c r="AT215" s="290">
        <v>406</v>
      </c>
      <c r="AU215" s="290">
        <v>64</v>
      </c>
      <c r="AV215" s="766">
        <v>201587</v>
      </c>
      <c r="AW215" s="290">
        <v>490</v>
      </c>
      <c r="AX215" s="766">
        <v>44.583300000000001</v>
      </c>
      <c r="AY215" s="290">
        <v>1459</v>
      </c>
      <c r="AZ215" s="290">
        <v>347</v>
      </c>
      <c r="BA215" s="290">
        <v>146</v>
      </c>
      <c r="BB215" s="290">
        <v>0</v>
      </c>
      <c r="BC215" s="290">
        <v>-607.72435099999996</v>
      </c>
      <c r="BD215" s="290">
        <v>619</v>
      </c>
      <c r="BE215" s="290">
        <v>210583.35</v>
      </c>
      <c r="BF215" s="290">
        <v>0</v>
      </c>
      <c r="BG215" s="290">
        <v>336</v>
      </c>
      <c r="BH215" s="290">
        <v>48</v>
      </c>
      <c r="BI215" s="290">
        <v>2505.9417800000001</v>
      </c>
      <c r="BJ215" s="290">
        <v>0</v>
      </c>
      <c r="BK215" s="290">
        <f t="shared" si="3"/>
        <v>0</v>
      </c>
      <c r="BL215" s="290">
        <v>0</v>
      </c>
      <c r="BM215" s="290">
        <v>0</v>
      </c>
      <c r="BN215" s="290">
        <v>5092</v>
      </c>
      <c r="BO215" s="290">
        <v>1057</v>
      </c>
      <c r="BP215" s="290">
        <v>5</v>
      </c>
      <c r="BQ215" s="290">
        <v>667</v>
      </c>
      <c r="BR215" s="290">
        <v>-3</v>
      </c>
      <c r="BS215" s="290">
        <v>130</v>
      </c>
      <c r="BT215" s="290">
        <v>0</v>
      </c>
      <c r="BU215" s="290">
        <v>0</v>
      </c>
      <c r="BV215" s="290">
        <v>108</v>
      </c>
      <c r="BW215" s="290"/>
      <c r="BX215" s="290"/>
      <c r="BY215" s="290"/>
    </row>
    <row r="216" spans="1:77" ht="13">
      <c r="A216" s="1">
        <v>4202</v>
      </c>
      <c r="B216" s="2" t="s">
        <v>929</v>
      </c>
      <c r="C216" s="289">
        <v>23544</v>
      </c>
      <c r="D216" s="290">
        <v>481</v>
      </c>
      <c r="E216" s="290">
        <v>1090</v>
      </c>
      <c r="F216" s="290">
        <v>3102</v>
      </c>
      <c r="G216" s="290">
        <v>2246</v>
      </c>
      <c r="H216" s="290">
        <v>13011</v>
      </c>
      <c r="I216" s="290">
        <v>2485</v>
      </c>
      <c r="J216" s="290">
        <v>730</v>
      </c>
      <c r="K216" s="290">
        <v>161</v>
      </c>
      <c r="L216" s="290">
        <v>179</v>
      </c>
      <c r="M216" s="290">
        <v>1307</v>
      </c>
      <c r="N216" s="290">
        <v>627</v>
      </c>
      <c r="O216" s="290">
        <v>257</v>
      </c>
      <c r="P216" s="624">
        <v>67970.841333329998</v>
      </c>
      <c r="Q216" s="624">
        <v>37305.934000000001</v>
      </c>
      <c r="R216" s="624">
        <v>87</v>
      </c>
      <c r="S216" s="290">
        <v>0</v>
      </c>
      <c r="T216" s="290">
        <v>1683</v>
      </c>
      <c r="U216" s="958">
        <v>2.9002706806201652E-3</v>
      </c>
      <c r="V216" s="290">
        <v>-10086.900055550001</v>
      </c>
      <c r="W216" s="765">
        <v>0.55725904000000004</v>
      </c>
      <c r="X216" s="290">
        <v>2010</v>
      </c>
      <c r="Y216" s="290">
        <v>427.12680399999999</v>
      </c>
      <c r="Z216" s="290">
        <v>635058</v>
      </c>
      <c r="AA216" s="290">
        <v>263</v>
      </c>
      <c r="AB216" s="290">
        <v>607</v>
      </c>
      <c r="AC216" s="290">
        <v>5186.6729999999998</v>
      </c>
      <c r="AD216" s="290">
        <v>333</v>
      </c>
      <c r="AE216" s="290">
        <v>0</v>
      </c>
      <c r="AF216" s="290">
        <v>0</v>
      </c>
      <c r="AG216" s="290">
        <v>23306</v>
      </c>
      <c r="AH216" s="290">
        <v>4253.1053894799998</v>
      </c>
      <c r="AI216" s="290">
        <v>1510</v>
      </c>
      <c r="AJ216" s="290">
        <v>0</v>
      </c>
      <c r="AK216" s="290">
        <v>0</v>
      </c>
      <c r="AL216" s="290">
        <v>0</v>
      </c>
      <c r="AM216" s="957">
        <v>0.67303546999999997</v>
      </c>
      <c r="AN216" s="290">
        <v>0</v>
      </c>
      <c r="AO216" s="290">
        <v>-3180.3500600000002</v>
      </c>
      <c r="AP216" s="290">
        <v>0</v>
      </c>
      <c r="AQ216" s="290">
        <v>0</v>
      </c>
      <c r="AR216" s="290">
        <v>-1255.3885</v>
      </c>
      <c r="AS216" s="290">
        <v>11315</v>
      </c>
      <c r="AT216" s="290">
        <v>1309</v>
      </c>
      <c r="AU216" s="290">
        <v>302</v>
      </c>
      <c r="AV216" s="766">
        <v>556399</v>
      </c>
      <c r="AW216" s="290">
        <v>1330</v>
      </c>
      <c r="AX216" s="766">
        <v>175.74995000000001</v>
      </c>
      <c r="AY216" s="290">
        <v>6095</v>
      </c>
      <c r="AZ216" s="290">
        <v>920</v>
      </c>
      <c r="BA216" s="290">
        <v>529</v>
      </c>
      <c r="BB216" s="290">
        <v>0</v>
      </c>
      <c r="BC216" s="290">
        <v>4544.1014100000002</v>
      </c>
      <c r="BD216" s="290">
        <v>1927</v>
      </c>
      <c r="BE216" s="290">
        <v>580402.66</v>
      </c>
      <c r="BF216" s="290">
        <v>0</v>
      </c>
      <c r="BG216" s="290">
        <v>983</v>
      </c>
      <c r="BH216" s="290">
        <v>140</v>
      </c>
      <c r="BI216" s="290">
        <v>9866.9051899999995</v>
      </c>
      <c r="BJ216" s="290">
        <v>0</v>
      </c>
      <c r="BK216" s="290">
        <f t="shared" si="3"/>
        <v>0</v>
      </c>
      <c r="BL216" s="290">
        <v>0</v>
      </c>
      <c r="BM216" s="290">
        <v>0</v>
      </c>
      <c r="BN216" s="290">
        <v>16272</v>
      </c>
      <c r="BO216" s="290">
        <v>4568</v>
      </c>
      <c r="BP216" s="290">
        <v>22</v>
      </c>
      <c r="BQ216" s="290">
        <v>2255</v>
      </c>
      <c r="BR216" s="290">
        <v>-11</v>
      </c>
      <c r="BS216" s="290">
        <v>333</v>
      </c>
      <c r="BT216" s="290">
        <v>0</v>
      </c>
      <c r="BU216" s="290">
        <v>0</v>
      </c>
      <c r="BV216" s="290">
        <v>316</v>
      </c>
      <c r="BW216" s="290"/>
      <c r="BX216" s="290"/>
      <c r="BY216" s="290"/>
    </row>
    <row r="217" spans="1:77" ht="13">
      <c r="A217" s="1">
        <v>4203</v>
      </c>
      <c r="B217" s="2" t="s">
        <v>930</v>
      </c>
      <c r="C217" s="289">
        <v>44999</v>
      </c>
      <c r="D217" s="290">
        <v>841</v>
      </c>
      <c r="E217" s="290">
        <v>1908</v>
      </c>
      <c r="F217" s="290">
        <v>5567</v>
      </c>
      <c r="G217" s="290">
        <v>3790</v>
      </c>
      <c r="H217" s="290">
        <v>25371</v>
      </c>
      <c r="I217" s="290">
        <v>5488</v>
      </c>
      <c r="J217" s="290">
        <v>1596</v>
      </c>
      <c r="K217" s="290">
        <v>366</v>
      </c>
      <c r="L217" s="290">
        <v>358</v>
      </c>
      <c r="M217" s="290">
        <v>3171</v>
      </c>
      <c r="N217" s="290">
        <v>1315</v>
      </c>
      <c r="O217" s="290">
        <v>462</v>
      </c>
      <c r="P217" s="624">
        <v>105542.81166666999</v>
      </c>
      <c r="Q217" s="624">
        <v>81724.861666669996</v>
      </c>
      <c r="R217" s="624">
        <v>181</v>
      </c>
      <c r="S217" s="290">
        <v>0</v>
      </c>
      <c r="T217" s="290">
        <v>4253</v>
      </c>
      <c r="U217" s="958">
        <v>3.0525524646904884E-3</v>
      </c>
      <c r="V217" s="290">
        <v>-31251.936735740001</v>
      </c>
      <c r="W217" s="765">
        <v>0.56136425999999995</v>
      </c>
      <c r="X217" s="290">
        <v>5750</v>
      </c>
      <c r="Y217" s="290">
        <v>1708.507216</v>
      </c>
      <c r="Z217" s="290">
        <v>1167063</v>
      </c>
      <c r="AA217" s="290">
        <v>263</v>
      </c>
      <c r="AB217" s="290">
        <v>1454</v>
      </c>
      <c r="AC217" s="290">
        <v>6950.625</v>
      </c>
      <c r="AD217" s="290">
        <v>500</v>
      </c>
      <c r="AE217" s="290">
        <v>0</v>
      </c>
      <c r="AF217" s="290">
        <v>0</v>
      </c>
      <c r="AG217" s="290">
        <v>44927</v>
      </c>
      <c r="AH217" s="290">
        <v>7601.8023407000001</v>
      </c>
      <c r="AI217" s="290">
        <v>300</v>
      </c>
      <c r="AJ217" s="290">
        <v>0</v>
      </c>
      <c r="AK217" s="290">
        <v>0</v>
      </c>
      <c r="AL217" s="290">
        <v>0</v>
      </c>
      <c r="AM217" s="957">
        <v>1.7059226199999999</v>
      </c>
      <c r="AN217" s="290">
        <v>0</v>
      </c>
      <c r="AO217" s="290">
        <v>-6192.1742100000001</v>
      </c>
      <c r="AP217" s="290">
        <v>0</v>
      </c>
      <c r="AQ217" s="290">
        <v>0</v>
      </c>
      <c r="AR217" s="290">
        <v>-2420.0136900000002</v>
      </c>
      <c r="AS217" s="290">
        <v>12051</v>
      </c>
      <c r="AT217" s="290">
        <v>2965</v>
      </c>
      <c r="AU217" s="290">
        <v>584</v>
      </c>
      <c r="AV217" s="766">
        <v>1087790</v>
      </c>
      <c r="AW217" s="290">
        <v>37310</v>
      </c>
      <c r="AX217" s="766">
        <v>313.50004999999999</v>
      </c>
      <c r="AY217" s="290">
        <v>10786</v>
      </c>
      <c r="AZ217" s="290">
        <v>1976</v>
      </c>
      <c r="BA217" s="290">
        <v>1206</v>
      </c>
      <c r="BB217" s="290">
        <v>0</v>
      </c>
      <c r="BC217" s="290">
        <v>9064.0329000000002</v>
      </c>
      <c r="BD217" s="290">
        <v>3637</v>
      </c>
      <c r="BE217" s="290">
        <v>1130714.24</v>
      </c>
      <c r="BF217" s="290">
        <v>0</v>
      </c>
      <c r="BG217" s="290">
        <v>1904</v>
      </c>
      <c r="BH217" s="290">
        <v>272</v>
      </c>
      <c r="BI217" s="290">
        <v>16260.934600000001</v>
      </c>
      <c r="BJ217" s="290">
        <v>0</v>
      </c>
      <c r="BK217" s="290">
        <f t="shared" si="3"/>
        <v>0</v>
      </c>
      <c r="BL217" s="290">
        <v>0</v>
      </c>
      <c r="BM217" s="290">
        <v>0</v>
      </c>
      <c r="BN217" s="290">
        <v>31683</v>
      </c>
      <c r="BO217" s="290">
        <v>8075</v>
      </c>
      <c r="BP217" s="290">
        <v>39</v>
      </c>
      <c r="BQ217" s="290">
        <v>4365</v>
      </c>
      <c r="BR217" s="290">
        <v>-21</v>
      </c>
      <c r="BS217" s="290">
        <v>817</v>
      </c>
      <c r="BT217" s="290">
        <v>0</v>
      </c>
      <c r="BU217" s="290">
        <v>0</v>
      </c>
      <c r="BV217" s="290">
        <v>612</v>
      </c>
      <c r="BW217" s="290"/>
      <c r="BX217" s="290"/>
      <c r="BY217" s="290"/>
    </row>
    <row r="218" spans="1:77" ht="13">
      <c r="A218" s="1">
        <v>4204</v>
      </c>
      <c r="B218" s="2" t="s">
        <v>1628</v>
      </c>
      <c r="C218" s="289">
        <v>111633</v>
      </c>
      <c r="D218" s="290">
        <v>2376</v>
      </c>
      <c r="E218" s="290">
        <v>5291</v>
      </c>
      <c r="F218" s="290">
        <v>14056</v>
      </c>
      <c r="G218" s="290">
        <v>10822</v>
      </c>
      <c r="H218" s="290">
        <v>62888</v>
      </c>
      <c r="I218" s="290">
        <v>10815</v>
      </c>
      <c r="J218" s="290">
        <v>3522</v>
      </c>
      <c r="K218" s="290">
        <v>805</v>
      </c>
      <c r="L218" s="290">
        <v>817</v>
      </c>
      <c r="M218" s="290">
        <v>6266</v>
      </c>
      <c r="N218" s="290">
        <v>4997</v>
      </c>
      <c r="O218" s="290">
        <v>1113</v>
      </c>
      <c r="P218" s="624">
        <v>231318.46866667</v>
      </c>
      <c r="Q218" s="624">
        <v>147095.571</v>
      </c>
      <c r="R218" s="624">
        <v>425</v>
      </c>
      <c r="S218" s="290">
        <v>1338</v>
      </c>
      <c r="T218" s="290">
        <v>9338</v>
      </c>
      <c r="U218" s="958">
        <v>4.0426165110322605E-3</v>
      </c>
      <c r="V218" s="290">
        <v>-14961.46582639</v>
      </c>
      <c r="W218" s="765">
        <v>0.54774504999999996</v>
      </c>
      <c r="X218" s="290">
        <v>12340</v>
      </c>
      <c r="Y218" s="290">
        <v>2464.1931</v>
      </c>
      <c r="Z218" s="290">
        <v>3039670</v>
      </c>
      <c r="AA218" s="290">
        <v>263</v>
      </c>
      <c r="AB218" s="290">
        <v>2877</v>
      </c>
      <c r="AC218" s="290">
        <v>36388.330999999998</v>
      </c>
      <c r="AD218" s="290">
        <v>667</v>
      </c>
      <c r="AE218" s="290">
        <v>0</v>
      </c>
      <c r="AF218" s="290">
        <v>29425.7088</v>
      </c>
      <c r="AG218" s="290">
        <v>110575</v>
      </c>
      <c r="AH218" s="290">
        <v>19706.127266079999</v>
      </c>
      <c r="AI218" s="290">
        <v>2540</v>
      </c>
      <c r="AJ218" s="290">
        <v>0</v>
      </c>
      <c r="AK218" s="290">
        <v>0</v>
      </c>
      <c r="AL218" s="290">
        <v>0</v>
      </c>
      <c r="AM218" s="957">
        <v>4.1477077400000004</v>
      </c>
      <c r="AN218" s="290">
        <v>0</v>
      </c>
      <c r="AO218" s="290">
        <v>-14993.956099999999</v>
      </c>
      <c r="AP218" s="290">
        <v>42280</v>
      </c>
      <c r="AQ218" s="290">
        <v>0</v>
      </c>
      <c r="AR218" s="290">
        <v>-5956.1736600000004</v>
      </c>
      <c r="AS218" s="290">
        <v>22336</v>
      </c>
      <c r="AT218" s="290">
        <v>6483</v>
      </c>
      <c r="AU218" s="290">
        <v>1416</v>
      </c>
      <c r="AV218" s="766">
        <v>2699221</v>
      </c>
      <c r="AW218" s="290">
        <v>19344</v>
      </c>
      <c r="AX218" s="766">
        <v>743.33335</v>
      </c>
      <c r="AY218" s="290">
        <v>29907</v>
      </c>
      <c r="AZ218" s="290">
        <v>5506</v>
      </c>
      <c r="BA218" s="290">
        <v>2808</v>
      </c>
      <c r="BB218" s="290">
        <v>0</v>
      </c>
      <c r="BC218" s="290">
        <v>36149.1469</v>
      </c>
      <c r="BD218" s="290">
        <v>8886</v>
      </c>
      <c r="BE218" s="290">
        <v>2834795.74</v>
      </c>
      <c r="BF218" s="290">
        <v>0</v>
      </c>
      <c r="BG218" s="290">
        <v>4479</v>
      </c>
      <c r="BH218" s="290">
        <v>639</v>
      </c>
      <c r="BI218" s="290">
        <v>87984.360199999996</v>
      </c>
      <c r="BJ218" s="290">
        <v>0</v>
      </c>
      <c r="BK218" s="290">
        <f t="shared" si="3"/>
        <v>0</v>
      </c>
      <c r="BL218" s="290">
        <v>0</v>
      </c>
      <c r="BM218" s="290">
        <v>0</v>
      </c>
      <c r="BN218" s="290">
        <v>76718</v>
      </c>
      <c r="BO218" s="290">
        <v>21459</v>
      </c>
      <c r="BP218" s="290">
        <v>108</v>
      </c>
      <c r="BQ218" s="290">
        <v>10780</v>
      </c>
      <c r="BR218" s="290">
        <v>-52</v>
      </c>
      <c r="BS218" s="290">
        <v>1791</v>
      </c>
      <c r="BT218" s="290">
        <v>0</v>
      </c>
      <c r="BU218" s="290">
        <v>0</v>
      </c>
      <c r="BV218" s="290">
        <v>1440</v>
      </c>
      <c r="BW218" s="290"/>
      <c r="BX218" s="290"/>
      <c r="BY218" s="290"/>
    </row>
    <row r="219" spans="1:77" ht="13">
      <c r="A219" s="1">
        <v>4205</v>
      </c>
      <c r="B219" s="2" t="s">
        <v>1629</v>
      </c>
      <c r="C219" s="289">
        <v>23046</v>
      </c>
      <c r="D219" s="290">
        <v>437</v>
      </c>
      <c r="E219" s="290">
        <v>1079</v>
      </c>
      <c r="F219" s="290">
        <v>3045</v>
      </c>
      <c r="G219" s="290">
        <v>2089</v>
      </c>
      <c r="H219" s="290">
        <v>12491</v>
      </c>
      <c r="I219" s="290">
        <v>2785</v>
      </c>
      <c r="J219" s="290">
        <v>813</v>
      </c>
      <c r="K219" s="290">
        <v>223</v>
      </c>
      <c r="L219" s="290">
        <v>184</v>
      </c>
      <c r="M219" s="290">
        <v>1548</v>
      </c>
      <c r="N219" s="290">
        <v>483</v>
      </c>
      <c r="O219" s="290">
        <v>240</v>
      </c>
      <c r="P219" s="624">
        <v>114245.73733333001</v>
      </c>
      <c r="Q219" s="624">
        <v>54040.019333329998</v>
      </c>
      <c r="R219" s="624">
        <v>111</v>
      </c>
      <c r="S219" s="290">
        <v>0</v>
      </c>
      <c r="T219" s="290">
        <v>1889</v>
      </c>
      <c r="U219" s="958">
        <v>6.7932168680058134E-3</v>
      </c>
      <c r="V219" s="290">
        <v>-1204.32051131</v>
      </c>
      <c r="W219" s="765">
        <v>0.61730028000000003</v>
      </c>
      <c r="X219" s="290">
        <v>3650</v>
      </c>
      <c r="Y219" s="290">
        <v>1199.7705759999999</v>
      </c>
      <c r="Z219" s="290">
        <v>591163</v>
      </c>
      <c r="AA219" s="290">
        <v>562</v>
      </c>
      <c r="AB219" s="290">
        <v>841</v>
      </c>
      <c r="AC219" s="290">
        <v>4172.6809999999996</v>
      </c>
      <c r="AD219" s="290">
        <v>333</v>
      </c>
      <c r="AE219" s="290">
        <v>0</v>
      </c>
      <c r="AF219" s="290">
        <v>36950.442199999998</v>
      </c>
      <c r="AG219" s="290">
        <v>22962</v>
      </c>
      <c r="AH219" s="290">
        <v>4182.2564470699999</v>
      </c>
      <c r="AI219" s="290">
        <v>250</v>
      </c>
      <c r="AJ219" s="290">
        <v>0</v>
      </c>
      <c r="AK219" s="290">
        <v>1146.251</v>
      </c>
      <c r="AL219" s="290">
        <v>0</v>
      </c>
      <c r="AM219" s="957">
        <v>0.44354576000000001</v>
      </c>
      <c r="AN219" s="290">
        <v>0</v>
      </c>
      <c r="AO219" s="290">
        <v>-3296.99206</v>
      </c>
      <c r="AP219" s="290">
        <v>0</v>
      </c>
      <c r="AQ219" s="290">
        <v>0</v>
      </c>
      <c r="AR219" s="290">
        <v>-1236.85878</v>
      </c>
      <c r="AS219" s="290">
        <v>8173</v>
      </c>
      <c r="AT219" s="290">
        <v>1382</v>
      </c>
      <c r="AU219" s="290">
        <v>179</v>
      </c>
      <c r="AV219" s="766">
        <v>674884</v>
      </c>
      <c r="AW219" s="290">
        <v>4770</v>
      </c>
      <c r="AX219" s="766">
        <v>100.79174999999999</v>
      </c>
      <c r="AY219" s="290">
        <v>4714</v>
      </c>
      <c r="AZ219" s="290">
        <v>941</v>
      </c>
      <c r="BA219" s="290">
        <v>525</v>
      </c>
      <c r="BB219" s="290">
        <v>0</v>
      </c>
      <c r="BC219" s="290">
        <v>12939.4637</v>
      </c>
      <c r="BD219" s="290">
        <v>1903</v>
      </c>
      <c r="BE219" s="290">
        <v>690414.38800000004</v>
      </c>
      <c r="BF219" s="290">
        <v>0</v>
      </c>
      <c r="BG219" s="290">
        <v>1026</v>
      </c>
      <c r="BH219" s="290">
        <v>146</v>
      </c>
      <c r="BI219" s="290">
        <v>47651.4012</v>
      </c>
      <c r="BJ219" s="290">
        <v>0</v>
      </c>
      <c r="BK219" s="290">
        <f t="shared" si="3"/>
        <v>0</v>
      </c>
      <c r="BL219" s="290">
        <v>0</v>
      </c>
      <c r="BM219" s="290">
        <v>4814</v>
      </c>
      <c r="BN219" s="290">
        <v>16869</v>
      </c>
      <c r="BO219" s="290">
        <v>4322</v>
      </c>
      <c r="BP219" s="290">
        <v>21</v>
      </c>
      <c r="BQ219" s="290">
        <v>2231</v>
      </c>
      <c r="BR219" s="290">
        <v>-11</v>
      </c>
      <c r="BS219" s="290">
        <v>360</v>
      </c>
      <c r="BT219" s="290">
        <v>0</v>
      </c>
      <c r="BU219" s="290">
        <v>0</v>
      </c>
      <c r="BV219" s="290">
        <v>330</v>
      </c>
      <c r="BW219" s="290"/>
      <c r="BX219" s="290"/>
      <c r="BY219" s="290"/>
    </row>
    <row r="220" spans="1:77" ht="13">
      <c r="A220" s="1">
        <v>4206</v>
      </c>
      <c r="B220" s="2" t="s">
        <v>944</v>
      </c>
      <c r="C220" s="289">
        <v>9691</v>
      </c>
      <c r="D220" s="290">
        <v>207</v>
      </c>
      <c r="E220" s="290">
        <v>439</v>
      </c>
      <c r="F220" s="290">
        <v>1205</v>
      </c>
      <c r="G220" s="290">
        <v>952</v>
      </c>
      <c r="H220" s="290">
        <v>5161</v>
      </c>
      <c r="I220" s="290">
        <v>1302</v>
      </c>
      <c r="J220" s="290">
        <v>387</v>
      </c>
      <c r="K220" s="290">
        <v>91</v>
      </c>
      <c r="L220" s="290">
        <v>80</v>
      </c>
      <c r="M220" s="290">
        <v>717</v>
      </c>
      <c r="N220" s="290">
        <v>155</v>
      </c>
      <c r="O220" s="290">
        <v>120</v>
      </c>
      <c r="P220" s="624">
        <v>28334.70933333</v>
      </c>
      <c r="Q220" s="624">
        <v>16547.152333329999</v>
      </c>
      <c r="R220" s="624">
        <v>39</v>
      </c>
      <c r="S220" s="290">
        <v>0</v>
      </c>
      <c r="T220" s="290">
        <v>749</v>
      </c>
      <c r="U220" s="958">
        <v>3.6939074795711772E-3</v>
      </c>
      <c r="V220" s="290">
        <v>4183.1403872199999</v>
      </c>
      <c r="W220" s="765">
        <v>0.60144363999999995</v>
      </c>
      <c r="X220" s="290">
        <v>1160</v>
      </c>
      <c r="Y220" s="290">
        <v>427.12680399999999</v>
      </c>
      <c r="Z220" s="290">
        <v>247224</v>
      </c>
      <c r="AA220" s="290">
        <v>810</v>
      </c>
      <c r="AB220" s="290">
        <v>250</v>
      </c>
      <c r="AC220" s="290">
        <v>3064.5140000000001</v>
      </c>
      <c r="AD220" s="290">
        <v>333</v>
      </c>
      <c r="AE220" s="290">
        <v>0</v>
      </c>
      <c r="AF220" s="290">
        <v>0</v>
      </c>
      <c r="AG220" s="290">
        <v>9744</v>
      </c>
      <c r="AH220" s="290">
        <v>1740.85972767</v>
      </c>
      <c r="AI220" s="290">
        <v>0</v>
      </c>
      <c r="AJ220" s="290">
        <v>0</v>
      </c>
      <c r="AK220" s="290">
        <v>1567.3989999999999</v>
      </c>
      <c r="AL220" s="290">
        <v>0</v>
      </c>
      <c r="AM220" s="957">
        <v>0.23470716</v>
      </c>
      <c r="AN220" s="290">
        <v>2495</v>
      </c>
      <c r="AO220" s="290">
        <v>-1371.41959</v>
      </c>
      <c r="AP220" s="290">
        <v>0</v>
      </c>
      <c r="AQ220" s="290">
        <v>0</v>
      </c>
      <c r="AR220" s="290">
        <v>697.75421100000005</v>
      </c>
      <c r="AS220" s="290">
        <v>8316</v>
      </c>
      <c r="AT220" s="290">
        <v>497</v>
      </c>
      <c r="AU220" s="290">
        <v>108</v>
      </c>
      <c r="AV220" s="766">
        <v>260361</v>
      </c>
      <c r="AW220" s="290">
        <v>4370</v>
      </c>
      <c r="AX220" s="766">
        <v>53.583300000000001</v>
      </c>
      <c r="AY220" s="290">
        <v>1679</v>
      </c>
      <c r="AZ220" s="290">
        <v>411</v>
      </c>
      <c r="BA220" s="290">
        <v>184</v>
      </c>
      <c r="BB220" s="290">
        <v>0</v>
      </c>
      <c r="BC220" s="290">
        <v>2103.72307</v>
      </c>
      <c r="BD220" s="290">
        <v>850</v>
      </c>
      <c r="BE220" s="290">
        <v>273248.49</v>
      </c>
      <c r="BF220" s="290">
        <v>0</v>
      </c>
      <c r="BG220" s="290">
        <v>447</v>
      </c>
      <c r="BH220" s="290">
        <v>64</v>
      </c>
      <c r="BI220" s="290">
        <v>6799.8995299999997</v>
      </c>
      <c r="BJ220" s="290">
        <v>0</v>
      </c>
      <c r="BK220" s="290">
        <f t="shared" si="3"/>
        <v>0</v>
      </c>
      <c r="BL220" s="290">
        <v>0</v>
      </c>
      <c r="BM220" s="290">
        <v>0</v>
      </c>
      <c r="BN220" s="290">
        <v>7017</v>
      </c>
      <c r="BO220" s="290">
        <v>1753</v>
      </c>
      <c r="BP220" s="290">
        <v>8</v>
      </c>
      <c r="BQ220" s="290">
        <v>945</v>
      </c>
      <c r="BR220" s="290">
        <v>-5</v>
      </c>
      <c r="BS220" s="290">
        <v>126</v>
      </c>
      <c r="BT220" s="290">
        <v>0</v>
      </c>
      <c r="BU220" s="290">
        <v>0</v>
      </c>
      <c r="BV220" s="290">
        <v>144</v>
      </c>
      <c r="BW220" s="290"/>
      <c r="BX220" s="290"/>
      <c r="BY220" s="290"/>
    </row>
    <row r="221" spans="1:77" ht="13">
      <c r="A221" s="1">
        <v>4207</v>
      </c>
      <c r="B221" s="2" t="s">
        <v>946</v>
      </c>
      <c r="C221" s="289">
        <v>9028</v>
      </c>
      <c r="D221" s="290">
        <v>158</v>
      </c>
      <c r="E221" s="290">
        <v>375</v>
      </c>
      <c r="F221" s="290">
        <v>1167</v>
      </c>
      <c r="G221" s="290">
        <v>788</v>
      </c>
      <c r="H221" s="290">
        <v>4901</v>
      </c>
      <c r="I221" s="290">
        <v>1151</v>
      </c>
      <c r="J221" s="290">
        <v>401</v>
      </c>
      <c r="K221" s="290">
        <v>112</v>
      </c>
      <c r="L221" s="290">
        <v>69</v>
      </c>
      <c r="M221" s="290">
        <v>687</v>
      </c>
      <c r="N221" s="290">
        <v>186</v>
      </c>
      <c r="O221" s="290">
        <v>121</v>
      </c>
      <c r="P221" s="624">
        <v>58695.696666670003</v>
      </c>
      <c r="Q221" s="624">
        <v>18262.09566667</v>
      </c>
      <c r="R221" s="624">
        <v>56</v>
      </c>
      <c r="S221" s="290">
        <v>0</v>
      </c>
      <c r="T221" s="290">
        <v>701</v>
      </c>
      <c r="U221" s="958">
        <v>2.4912769568898635E-3</v>
      </c>
      <c r="V221" s="290">
        <v>4521.1351342199996</v>
      </c>
      <c r="W221" s="765">
        <v>0.61782559999999997</v>
      </c>
      <c r="X221" s="290">
        <v>980</v>
      </c>
      <c r="Y221" s="290">
        <v>427.12680399999999</v>
      </c>
      <c r="Z221" s="290">
        <v>244980</v>
      </c>
      <c r="AA221" s="290">
        <v>263</v>
      </c>
      <c r="AB221" s="290">
        <v>265</v>
      </c>
      <c r="AC221" s="290">
        <v>1543.7819999999999</v>
      </c>
      <c r="AD221" s="290">
        <v>333</v>
      </c>
      <c r="AE221" s="290">
        <v>0</v>
      </c>
      <c r="AF221" s="290">
        <v>0</v>
      </c>
      <c r="AG221" s="290">
        <v>9053</v>
      </c>
      <c r="AH221" s="290">
        <v>1561.5685264799999</v>
      </c>
      <c r="AI221" s="290">
        <v>562</v>
      </c>
      <c r="AJ221" s="290">
        <v>0</v>
      </c>
      <c r="AK221" s="290">
        <v>0</v>
      </c>
      <c r="AL221" s="290">
        <v>0</v>
      </c>
      <c r="AM221" s="957">
        <v>0.17930470000000001</v>
      </c>
      <c r="AN221" s="290">
        <v>7029</v>
      </c>
      <c r="AO221" s="290">
        <v>-1351.5681099999999</v>
      </c>
      <c r="AP221" s="290">
        <v>0</v>
      </c>
      <c r="AQ221" s="290">
        <v>0</v>
      </c>
      <c r="AR221" s="290">
        <v>-487.64404400000001</v>
      </c>
      <c r="AS221" s="290">
        <v>2502</v>
      </c>
      <c r="AT221" s="290">
        <v>507</v>
      </c>
      <c r="AU221" s="290">
        <v>86</v>
      </c>
      <c r="AV221" s="766">
        <v>278524</v>
      </c>
      <c r="AW221" s="290">
        <v>1900</v>
      </c>
      <c r="AX221" s="766">
        <v>49.5</v>
      </c>
      <c r="AY221" s="290">
        <v>1798</v>
      </c>
      <c r="AZ221" s="290">
        <v>338</v>
      </c>
      <c r="BA221" s="290">
        <v>174</v>
      </c>
      <c r="BB221" s="290">
        <v>0</v>
      </c>
      <c r="BC221" s="290">
        <v>1952.4196099999999</v>
      </c>
      <c r="BD221" s="290">
        <v>797</v>
      </c>
      <c r="BE221" s="290">
        <v>287293.641</v>
      </c>
      <c r="BF221" s="290">
        <v>0</v>
      </c>
      <c r="BG221" s="290">
        <v>429</v>
      </c>
      <c r="BH221" s="290">
        <v>61</v>
      </c>
      <c r="BI221" s="290">
        <v>3532.4773300000002</v>
      </c>
      <c r="BJ221" s="290">
        <v>0</v>
      </c>
      <c r="BK221" s="290">
        <f t="shared" si="3"/>
        <v>0</v>
      </c>
      <c r="BL221" s="290">
        <v>0</v>
      </c>
      <c r="BM221" s="290">
        <v>0</v>
      </c>
      <c r="BN221" s="290">
        <v>6915</v>
      </c>
      <c r="BO221" s="290">
        <v>1601</v>
      </c>
      <c r="BP221" s="290">
        <v>7</v>
      </c>
      <c r="BQ221" s="290">
        <v>885</v>
      </c>
      <c r="BR221" s="290">
        <v>-4</v>
      </c>
      <c r="BS221" s="290">
        <v>140</v>
      </c>
      <c r="BT221" s="290">
        <v>0</v>
      </c>
      <c r="BU221" s="290">
        <v>0</v>
      </c>
      <c r="BV221" s="290">
        <v>138</v>
      </c>
      <c r="BW221" s="290"/>
      <c r="BX221" s="290"/>
      <c r="BY221" s="290"/>
    </row>
    <row r="222" spans="1:77" ht="13">
      <c r="A222" s="1">
        <v>4211</v>
      </c>
      <c r="B222" s="2" t="s">
        <v>931</v>
      </c>
      <c r="C222" s="289">
        <v>2428</v>
      </c>
      <c r="D222" s="290">
        <v>28</v>
      </c>
      <c r="E222" s="290">
        <v>90</v>
      </c>
      <c r="F222" s="290">
        <v>280</v>
      </c>
      <c r="G222" s="290">
        <v>204</v>
      </c>
      <c r="H222" s="290">
        <v>1361</v>
      </c>
      <c r="I222" s="290">
        <v>347</v>
      </c>
      <c r="J222" s="290">
        <v>102</v>
      </c>
      <c r="K222" s="290">
        <v>27</v>
      </c>
      <c r="L222" s="290">
        <v>19</v>
      </c>
      <c r="M222" s="290">
        <v>235</v>
      </c>
      <c r="N222" s="290">
        <v>51</v>
      </c>
      <c r="O222" s="290">
        <v>26</v>
      </c>
      <c r="P222" s="624">
        <v>19381.950333330002</v>
      </c>
      <c r="Q222" s="624">
        <v>4909.33933333</v>
      </c>
      <c r="R222" s="624">
        <v>20</v>
      </c>
      <c r="S222" s="290">
        <v>0</v>
      </c>
      <c r="T222" s="290">
        <v>210</v>
      </c>
      <c r="U222" s="958">
        <v>1.0046848608761042E-3</v>
      </c>
      <c r="V222" s="290">
        <v>1201.56735549</v>
      </c>
      <c r="W222" s="765">
        <v>0.76030196000000005</v>
      </c>
      <c r="X222" s="290">
        <v>1970</v>
      </c>
      <c r="Y222" s="290">
        <v>297.82290799999998</v>
      </c>
      <c r="Z222" s="290">
        <v>52631</v>
      </c>
      <c r="AA222" s="290">
        <v>263</v>
      </c>
      <c r="AB222" s="290">
        <v>102</v>
      </c>
      <c r="AC222" s="290">
        <v>375.96699999999998</v>
      </c>
      <c r="AD222" s="290">
        <v>167</v>
      </c>
      <c r="AE222" s="290">
        <v>0</v>
      </c>
      <c r="AF222" s="290">
        <v>0</v>
      </c>
      <c r="AG222" s="290">
        <v>2439</v>
      </c>
      <c r="AH222" s="290">
        <v>378.82495734999998</v>
      </c>
      <c r="AI222" s="290">
        <v>510</v>
      </c>
      <c r="AJ222" s="290">
        <v>0</v>
      </c>
      <c r="AK222" s="290">
        <v>10.938000000000001</v>
      </c>
      <c r="AL222" s="290">
        <v>0</v>
      </c>
      <c r="AM222" s="957">
        <v>5.6222759999999997E-2</v>
      </c>
      <c r="AN222" s="290">
        <v>0</v>
      </c>
      <c r="AO222" s="290">
        <v>-389.42513400000001</v>
      </c>
      <c r="AP222" s="290">
        <v>0</v>
      </c>
      <c r="AQ222" s="290">
        <v>0</v>
      </c>
      <c r="AR222" s="290">
        <v>-131.37786600000001</v>
      </c>
      <c r="AS222" s="290">
        <v>1290</v>
      </c>
      <c r="AT222" s="290">
        <v>162</v>
      </c>
      <c r="AU222" s="290">
        <v>22</v>
      </c>
      <c r="AV222" s="766">
        <v>88300</v>
      </c>
      <c r="AW222" s="290">
        <v>30</v>
      </c>
      <c r="AX222" s="766">
        <v>8.3333499999999994</v>
      </c>
      <c r="AY222" s="290">
        <v>324</v>
      </c>
      <c r="AZ222" s="290">
        <v>95</v>
      </c>
      <c r="BA222" s="290">
        <v>57</v>
      </c>
      <c r="BB222" s="290">
        <v>5875</v>
      </c>
      <c r="BC222" s="290">
        <v>-169.562242</v>
      </c>
      <c r="BD222" s="290">
        <v>290</v>
      </c>
      <c r="BE222" s="290">
        <v>93300.789699999994</v>
      </c>
      <c r="BF222" s="290">
        <v>0</v>
      </c>
      <c r="BG222" s="290">
        <v>139</v>
      </c>
      <c r="BH222" s="290">
        <v>20</v>
      </c>
      <c r="BI222" s="290">
        <v>1063.55287</v>
      </c>
      <c r="BJ222" s="290">
        <v>0</v>
      </c>
      <c r="BK222" s="290">
        <f t="shared" si="3"/>
        <v>0</v>
      </c>
      <c r="BL222" s="290">
        <v>0</v>
      </c>
      <c r="BM222" s="290">
        <v>0</v>
      </c>
      <c r="BN222" s="290">
        <v>1993</v>
      </c>
      <c r="BO222" s="290">
        <v>381</v>
      </c>
      <c r="BP222" s="290">
        <v>2</v>
      </c>
      <c r="BQ222" s="290">
        <v>237</v>
      </c>
      <c r="BR222" s="290">
        <v>-1</v>
      </c>
      <c r="BS222" s="290">
        <v>50</v>
      </c>
      <c r="BT222" s="290">
        <v>0</v>
      </c>
      <c r="BU222" s="290">
        <v>0</v>
      </c>
      <c r="BV222" s="290">
        <v>45</v>
      </c>
      <c r="BW222" s="290"/>
      <c r="BX222" s="290"/>
      <c r="BY222" s="290"/>
    </row>
    <row r="223" spans="1:77" ht="13">
      <c r="A223" s="1">
        <v>4212</v>
      </c>
      <c r="B223" s="2" t="s">
        <v>706</v>
      </c>
      <c r="C223" s="289">
        <v>2097</v>
      </c>
      <c r="D223" s="290">
        <v>34</v>
      </c>
      <c r="E223" s="290">
        <v>85</v>
      </c>
      <c r="F223" s="290">
        <v>301</v>
      </c>
      <c r="G223" s="290">
        <v>185</v>
      </c>
      <c r="H223" s="290">
        <v>1160</v>
      </c>
      <c r="I223" s="290">
        <v>211</v>
      </c>
      <c r="J223" s="290">
        <v>86</v>
      </c>
      <c r="K223" s="290">
        <v>19</v>
      </c>
      <c r="L223" s="290">
        <v>19</v>
      </c>
      <c r="M223" s="290">
        <v>147</v>
      </c>
      <c r="N223" s="290">
        <v>47</v>
      </c>
      <c r="O223" s="290">
        <v>30</v>
      </c>
      <c r="P223" s="624">
        <v>10992.36033333</v>
      </c>
      <c r="Q223" s="624">
        <v>8540.8870000000006</v>
      </c>
      <c r="R223" s="624">
        <v>7</v>
      </c>
      <c r="S223" s="290">
        <v>0</v>
      </c>
      <c r="T223" s="290">
        <v>194</v>
      </c>
      <c r="U223" s="958">
        <v>7.6162844456799654E-4</v>
      </c>
      <c r="V223" s="290">
        <v>1116.83432174</v>
      </c>
      <c r="W223" s="765">
        <v>0.81158799999999998</v>
      </c>
      <c r="X223" s="290">
        <v>1300</v>
      </c>
      <c r="Y223" s="290">
        <v>273.445944</v>
      </c>
      <c r="Z223" s="290">
        <v>47456</v>
      </c>
      <c r="AA223" s="290">
        <v>263</v>
      </c>
      <c r="AB223" s="290">
        <v>60</v>
      </c>
      <c r="AC223" s="290">
        <v>427.137</v>
      </c>
      <c r="AD223" s="290">
        <v>167</v>
      </c>
      <c r="AE223" s="290">
        <v>0</v>
      </c>
      <c r="AF223" s="290">
        <v>0</v>
      </c>
      <c r="AG223" s="290">
        <v>2081</v>
      </c>
      <c r="AH223" s="290">
        <v>373.76431860999998</v>
      </c>
      <c r="AI223" s="290">
        <v>385</v>
      </c>
      <c r="AJ223" s="290">
        <v>0</v>
      </c>
      <c r="AK223" s="290">
        <v>0</v>
      </c>
      <c r="AL223" s="290">
        <v>0</v>
      </c>
      <c r="AM223" s="957">
        <v>2.3912900000000001E-2</v>
      </c>
      <c r="AN223" s="290">
        <v>0</v>
      </c>
      <c r="AO223" s="290">
        <v>-333.87138599999997</v>
      </c>
      <c r="AP223" s="290">
        <v>0</v>
      </c>
      <c r="AQ223" s="290">
        <v>0</v>
      </c>
      <c r="AR223" s="290">
        <v>2276.7193900000002</v>
      </c>
      <c r="AS223" s="290">
        <v>864</v>
      </c>
      <c r="AT223" s="290">
        <v>102</v>
      </c>
      <c r="AU223" s="290">
        <v>13</v>
      </c>
      <c r="AV223" s="766">
        <v>80425</v>
      </c>
      <c r="AW223" s="290">
        <v>460</v>
      </c>
      <c r="AX223" s="766">
        <v>11.541700000000001</v>
      </c>
      <c r="AY223" s="290">
        <v>393</v>
      </c>
      <c r="AZ223" s="290">
        <v>79</v>
      </c>
      <c r="BA223" s="290">
        <v>41</v>
      </c>
      <c r="BB223" s="290">
        <v>4114</v>
      </c>
      <c r="BC223" s="290">
        <v>642.43676700000003</v>
      </c>
      <c r="BD223" s="290">
        <v>270</v>
      </c>
      <c r="BE223" s="290">
        <v>79227.633700000006</v>
      </c>
      <c r="BF223" s="290">
        <v>0</v>
      </c>
      <c r="BG223" s="290">
        <v>123</v>
      </c>
      <c r="BH223" s="290">
        <v>18</v>
      </c>
      <c r="BI223" s="290">
        <v>1074.34726</v>
      </c>
      <c r="BJ223" s="290">
        <v>0</v>
      </c>
      <c r="BK223" s="290">
        <f t="shared" si="3"/>
        <v>0</v>
      </c>
      <c r="BL223" s="290">
        <v>0</v>
      </c>
      <c r="BM223" s="290">
        <v>0</v>
      </c>
      <c r="BN223" s="290">
        <v>1708</v>
      </c>
      <c r="BO223" s="290">
        <v>390</v>
      </c>
      <c r="BP223" s="290">
        <v>2</v>
      </c>
      <c r="BQ223" s="290">
        <v>203</v>
      </c>
      <c r="BR223" s="290">
        <v>-1</v>
      </c>
      <c r="BS223" s="290">
        <v>50</v>
      </c>
      <c r="BT223" s="290">
        <v>0</v>
      </c>
      <c r="BU223" s="290">
        <v>0</v>
      </c>
      <c r="BV223" s="290">
        <v>40</v>
      </c>
      <c r="BW223" s="290"/>
      <c r="BX223" s="290"/>
      <c r="BY223" s="290"/>
    </row>
    <row r="224" spans="1:77" ht="13">
      <c r="A224" s="1">
        <v>4213</v>
      </c>
      <c r="B224" s="2" t="s">
        <v>932</v>
      </c>
      <c r="C224" s="289">
        <v>6053</v>
      </c>
      <c r="D224" s="290">
        <v>86</v>
      </c>
      <c r="E224" s="290">
        <v>229</v>
      </c>
      <c r="F224" s="290">
        <v>701</v>
      </c>
      <c r="G224" s="290">
        <v>509</v>
      </c>
      <c r="H224" s="290">
        <v>3368</v>
      </c>
      <c r="I224" s="290">
        <v>873</v>
      </c>
      <c r="J224" s="290">
        <v>246</v>
      </c>
      <c r="K224" s="290">
        <v>58</v>
      </c>
      <c r="L224" s="290">
        <v>54</v>
      </c>
      <c r="M224" s="290">
        <v>522</v>
      </c>
      <c r="N224" s="290">
        <v>126</v>
      </c>
      <c r="O224" s="290">
        <v>69</v>
      </c>
      <c r="P224" s="624">
        <v>46496.315666670002</v>
      </c>
      <c r="Q224" s="624">
        <v>21271.326000000001</v>
      </c>
      <c r="R224" s="624">
        <v>30</v>
      </c>
      <c r="S224" s="290">
        <v>0</v>
      </c>
      <c r="T224" s="290">
        <v>552</v>
      </c>
      <c r="U224" s="958">
        <v>1.1917991303544309E-3</v>
      </c>
      <c r="V224" s="290">
        <v>2883.4338824299998</v>
      </c>
      <c r="W224" s="765">
        <v>0.67452040999999996</v>
      </c>
      <c r="X224" s="290">
        <v>1040</v>
      </c>
      <c r="Y224" s="290">
        <v>427.12680399999999</v>
      </c>
      <c r="Z224" s="290">
        <v>157539</v>
      </c>
      <c r="AA224" s="290">
        <v>263</v>
      </c>
      <c r="AB224" s="290">
        <v>184</v>
      </c>
      <c r="AC224" s="290">
        <v>987.37199999999996</v>
      </c>
      <c r="AD224" s="290">
        <v>333</v>
      </c>
      <c r="AE224" s="290">
        <v>0</v>
      </c>
      <c r="AF224" s="290">
        <v>0</v>
      </c>
      <c r="AG224" s="290">
        <v>6070</v>
      </c>
      <c r="AH224" s="290">
        <v>953.56892889999995</v>
      </c>
      <c r="AI224" s="290">
        <v>600</v>
      </c>
      <c r="AJ224" s="290">
        <v>0</v>
      </c>
      <c r="AK224" s="290">
        <v>0</v>
      </c>
      <c r="AL224" s="290">
        <v>0</v>
      </c>
      <c r="AM224" s="957">
        <v>0.22722265999999999</v>
      </c>
      <c r="AN224" s="290">
        <v>4958</v>
      </c>
      <c r="AO224" s="290">
        <v>-892.209743</v>
      </c>
      <c r="AP224" s="290">
        <v>0</v>
      </c>
      <c r="AQ224" s="290">
        <v>0</v>
      </c>
      <c r="AR224" s="290">
        <v>-326.96336500000001</v>
      </c>
      <c r="AS224" s="290">
        <v>1734</v>
      </c>
      <c r="AT224" s="290">
        <v>382</v>
      </c>
      <c r="AU224" s="290">
        <v>67</v>
      </c>
      <c r="AV224" s="766">
        <v>183133</v>
      </c>
      <c r="AW224" s="290">
        <v>130</v>
      </c>
      <c r="AX224" s="766">
        <v>32.083300000000001</v>
      </c>
      <c r="AY224" s="290">
        <v>1254</v>
      </c>
      <c r="AZ224" s="290">
        <v>327</v>
      </c>
      <c r="BA224" s="290">
        <v>138</v>
      </c>
      <c r="BB224" s="290">
        <v>0</v>
      </c>
      <c r="BC224" s="290">
        <v>1357.66454</v>
      </c>
      <c r="BD224" s="290">
        <v>566</v>
      </c>
      <c r="BE224" s="290">
        <v>187504.55499999999</v>
      </c>
      <c r="BF224" s="290">
        <v>0</v>
      </c>
      <c r="BG224" s="290">
        <v>306</v>
      </c>
      <c r="BH224" s="290">
        <v>44</v>
      </c>
      <c r="BI224" s="290">
        <v>2368.0677300000002</v>
      </c>
      <c r="BJ224" s="290">
        <v>0</v>
      </c>
      <c r="BK224" s="290">
        <f t="shared" si="3"/>
        <v>0</v>
      </c>
      <c r="BL224" s="290">
        <v>0</v>
      </c>
      <c r="BM224" s="290">
        <v>0</v>
      </c>
      <c r="BN224" s="290">
        <v>4565</v>
      </c>
      <c r="BO224" s="290">
        <v>998</v>
      </c>
      <c r="BP224" s="290">
        <v>5</v>
      </c>
      <c r="BQ224" s="290">
        <v>592</v>
      </c>
      <c r="BR224" s="290">
        <v>-3</v>
      </c>
      <c r="BS224" s="290">
        <v>89</v>
      </c>
      <c r="BT224" s="290">
        <v>0</v>
      </c>
      <c r="BU224" s="290">
        <v>0</v>
      </c>
      <c r="BV224" s="290">
        <v>98</v>
      </c>
      <c r="BW224" s="290"/>
      <c r="BX224" s="290"/>
      <c r="BY224" s="290"/>
    </row>
    <row r="225" spans="1:77" ht="13">
      <c r="A225" s="1">
        <v>4214</v>
      </c>
      <c r="B225" s="2" t="s">
        <v>933</v>
      </c>
      <c r="C225" s="289">
        <v>5951</v>
      </c>
      <c r="D225" s="290">
        <v>137</v>
      </c>
      <c r="E225" s="290">
        <v>274</v>
      </c>
      <c r="F225" s="290">
        <v>830</v>
      </c>
      <c r="G225" s="290">
        <v>511</v>
      </c>
      <c r="H225" s="290">
        <v>3346</v>
      </c>
      <c r="I225" s="290">
        <v>618</v>
      </c>
      <c r="J225" s="290">
        <v>152</v>
      </c>
      <c r="K225" s="290">
        <v>33</v>
      </c>
      <c r="L225" s="290">
        <v>48</v>
      </c>
      <c r="M225" s="290">
        <v>318</v>
      </c>
      <c r="N225" s="290">
        <v>111</v>
      </c>
      <c r="O225" s="290">
        <v>46</v>
      </c>
      <c r="P225" s="624">
        <v>32049.139666669998</v>
      </c>
      <c r="Q225" s="624">
        <v>20071.061333329999</v>
      </c>
      <c r="R225" s="624">
        <v>21</v>
      </c>
      <c r="S225" s="290">
        <v>0</v>
      </c>
      <c r="T225" s="290">
        <v>418</v>
      </c>
      <c r="U225" s="958">
        <v>1.4838581017653761E-3</v>
      </c>
      <c r="V225" s="290">
        <v>543.06265928000005</v>
      </c>
      <c r="W225" s="765">
        <v>0.6484299</v>
      </c>
      <c r="X225" s="290">
        <v>430</v>
      </c>
      <c r="Y225" s="290">
        <v>427.12680399999999</v>
      </c>
      <c r="Z225" s="290">
        <v>137823</v>
      </c>
      <c r="AA225" s="290">
        <v>263</v>
      </c>
      <c r="AB225" s="290">
        <v>221</v>
      </c>
      <c r="AC225" s="290">
        <v>1039.5219999999999</v>
      </c>
      <c r="AD225" s="290">
        <v>333</v>
      </c>
      <c r="AE225" s="290">
        <v>0</v>
      </c>
      <c r="AF225" s="290">
        <v>0</v>
      </c>
      <c r="AG225" s="290">
        <v>5901</v>
      </c>
      <c r="AH225" s="290">
        <v>1121.2929558200001</v>
      </c>
      <c r="AI225" s="290">
        <v>1164</v>
      </c>
      <c r="AJ225" s="290">
        <v>0</v>
      </c>
      <c r="AK225" s="290">
        <v>0</v>
      </c>
      <c r="AL225" s="290">
        <v>0</v>
      </c>
      <c r="AM225" s="957">
        <v>0.16271448999999999</v>
      </c>
      <c r="AN225" s="290">
        <v>0</v>
      </c>
      <c r="AO225" s="290">
        <v>-827.25772300000006</v>
      </c>
      <c r="AP225" s="290">
        <v>0</v>
      </c>
      <c r="AQ225" s="290">
        <v>0</v>
      </c>
      <c r="AR225" s="290">
        <v>299.65703999999999</v>
      </c>
      <c r="AS225" s="290">
        <v>2420</v>
      </c>
      <c r="AT225" s="290">
        <v>341</v>
      </c>
      <c r="AU225" s="290">
        <v>78</v>
      </c>
      <c r="AV225" s="766">
        <v>155707</v>
      </c>
      <c r="AW225" s="290">
        <v>140</v>
      </c>
      <c r="AX225" s="766">
        <v>34.458300000000001</v>
      </c>
      <c r="AY225" s="290">
        <v>913</v>
      </c>
      <c r="AZ225" s="290">
        <v>209</v>
      </c>
      <c r="BA225" s="290">
        <v>144</v>
      </c>
      <c r="BB225" s="290">
        <v>0</v>
      </c>
      <c r="BC225" s="290">
        <v>1475.4999499999999</v>
      </c>
      <c r="BD225" s="290">
        <v>553</v>
      </c>
      <c r="BE225" s="290">
        <v>158864.95600000001</v>
      </c>
      <c r="BF225" s="290">
        <v>0</v>
      </c>
      <c r="BG225" s="290">
        <v>277</v>
      </c>
      <c r="BH225" s="290">
        <v>40</v>
      </c>
      <c r="BI225" s="290">
        <v>2587.9417600000002</v>
      </c>
      <c r="BJ225" s="290">
        <v>0</v>
      </c>
      <c r="BK225" s="290">
        <f t="shared" si="3"/>
        <v>0</v>
      </c>
      <c r="BL225" s="290">
        <v>0</v>
      </c>
      <c r="BM225" s="290">
        <v>0</v>
      </c>
      <c r="BN225" s="290">
        <v>4233</v>
      </c>
      <c r="BO225" s="290">
        <v>1131</v>
      </c>
      <c r="BP225" s="290">
        <v>5</v>
      </c>
      <c r="BQ225" s="290">
        <v>567</v>
      </c>
      <c r="BR225" s="290">
        <v>-3</v>
      </c>
      <c r="BS225" s="290">
        <v>96</v>
      </c>
      <c r="BT225" s="290">
        <v>0</v>
      </c>
      <c r="BU225" s="290">
        <v>0</v>
      </c>
      <c r="BV225" s="290">
        <v>89</v>
      </c>
      <c r="BW225" s="290"/>
      <c r="BX225" s="290"/>
      <c r="BY225" s="290"/>
    </row>
    <row r="226" spans="1:77" ht="13">
      <c r="A226" s="1">
        <v>4215</v>
      </c>
      <c r="B226" s="2" t="s">
        <v>934</v>
      </c>
      <c r="C226" s="289">
        <v>11074</v>
      </c>
      <c r="D226" s="290">
        <v>212</v>
      </c>
      <c r="E226" s="290">
        <v>541</v>
      </c>
      <c r="F226" s="290">
        <v>1526</v>
      </c>
      <c r="G226" s="290">
        <v>942</v>
      </c>
      <c r="H226" s="290">
        <v>6091</v>
      </c>
      <c r="I226" s="290">
        <v>1317</v>
      </c>
      <c r="J226" s="290">
        <v>358</v>
      </c>
      <c r="K226" s="290">
        <v>78</v>
      </c>
      <c r="L226" s="290">
        <v>81</v>
      </c>
      <c r="M226" s="290">
        <v>663</v>
      </c>
      <c r="N226" s="290">
        <v>226</v>
      </c>
      <c r="O226" s="290">
        <v>85</v>
      </c>
      <c r="P226" s="624">
        <v>87070.367666670005</v>
      </c>
      <c r="Q226" s="624">
        <v>15268.534666670001</v>
      </c>
      <c r="R226" s="624">
        <v>39</v>
      </c>
      <c r="S226" s="290">
        <v>0</v>
      </c>
      <c r="T226" s="290">
        <v>787</v>
      </c>
      <c r="U226" s="958">
        <v>1.1362248293673184E-3</v>
      </c>
      <c r="V226" s="290">
        <v>716.03034804000004</v>
      </c>
      <c r="W226" s="765">
        <v>0.57694851999999996</v>
      </c>
      <c r="X226" s="290">
        <v>1230</v>
      </c>
      <c r="Y226" s="290">
        <v>427.12680399999999</v>
      </c>
      <c r="Z226" s="290">
        <v>306882</v>
      </c>
      <c r="AA226" s="290">
        <v>690</v>
      </c>
      <c r="AB226" s="290">
        <v>272</v>
      </c>
      <c r="AC226" s="290">
        <v>1875.0609999999999</v>
      </c>
      <c r="AD226" s="290">
        <v>333</v>
      </c>
      <c r="AE226" s="290">
        <v>0</v>
      </c>
      <c r="AF226" s="290">
        <v>0</v>
      </c>
      <c r="AG226" s="290">
        <v>11065</v>
      </c>
      <c r="AH226" s="290">
        <v>2061.1258652699998</v>
      </c>
      <c r="AI226" s="290">
        <v>150</v>
      </c>
      <c r="AJ226" s="290">
        <v>0</v>
      </c>
      <c r="AK226" s="290">
        <v>0</v>
      </c>
      <c r="AL226" s="290">
        <v>0</v>
      </c>
      <c r="AM226" s="957">
        <v>0.20100781000000001</v>
      </c>
      <c r="AN226" s="290">
        <v>0</v>
      </c>
      <c r="AO226" s="290">
        <v>-1543.87762</v>
      </c>
      <c r="AP226" s="290">
        <v>0</v>
      </c>
      <c r="AQ226" s="290">
        <v>0</v>
      </c>
      <c r="AR226" s="290">
        <v>-596.02135699999997</v>
      </c>
      <c r="AS226" s="290">
        <v>2081</v>
      </c>
      <c r="AT226" s="290">
        <v>651</v>
      </c>
      <c r="AU226" s="290">
        <v>93</v>
      </c>
      <c r="AV226" s="766">
        <v>99972</v>
      </c>
      <c r="AW226" s="290">
        <v>730</v>
      </c>
      <c r="AX226" s="766">
        <v>57.375</v>
      </c>
      <c r="AY226" s="290">
        <v>2766</v>
      </c>
      <c r="AZ226" s="290">
        <v>401</v>
      </c>
      <c r="BA226" s="290">
        <v>224</v>
      </c>
      <c r="BB226" s="290">
        <v>0</v>
      </c>
      <c r="BC226" s="290">
        <v>-181857.459</v>
      </c>
      <c r="BD226" s="290">
        <v>953</v>
      </c>
      <c r="BE226" s="290">
        <v>103654.726</v>
      </c>
      <c r="BF226" s="290">
        <v>0</v>
      </c>
      <c r="BG226" s="290">
        <v>502</v>
      </c>
      <c r="BH226" s="290">
        <v>72</v>
      </c>
      <c r="BI226" s="290">
        <v>-186575.492</v>
      </c>
      <c r="BJ226" s="290">
        <v>0</v>
      </c>
      <c r="BK226" s="290">
        <v>-738</v>
      </c>
      <c r="BL226" s="290">
        <v>-190938.80540000001</v>
      </c>
      <c r="BM226" s="290">
        <v>0</v>
      </c>
      <c r="BN226" s="290">
        <v>7899</v>
      </c>
      <c r="BO226" s="290">
        <v>2201</v>
      </c>
      <c r="BP226" s="290">
        <v>11</v>
      </c>
      <c r="BQ226" s="290">
        <v>1074</v>
      </c>
      <c r="BR226" s="290">
        <v>-5</v>
      </c>
      <c r="BS226" s="290">
        <v>137</v>
      </c>
      <c r="BT226" s="290">
        <v>0</v>
      </c>
      <c r="BU226" s="290">
        <v>0</v>
      </c>
      <c r="BV226" s="290">
        <v>162</v>
      </c>
      <c r="BW226" s="290"/>
      <c r="BX226" s="290"/>
      <c r="BY226" s="290"/>
    </row>
    <row r="227" spans="1:77" ht="13">
      <c r="A227" s="1">
        <v>4216</v>
      </c>
      <c r="B227" s="2" t="s">
        <v>935</v>
      </c>
      <c r="C227" s="289">
        <v>5226</v>
      </c>
      <c r="D227" s="290">
        <v>122</v>
      </c>
      <c r="E227" s="290">
        <v>285</v>
      </c>
      <c r="F227" s="290">
        <v>779</v>
      </c>
      <c r="G227" s="290">
        <v>464</v>
      </c>
      <c r="H227" s="290">
        <v>2769</v>
      </c>
      <c r="I227" s="290">
        <v>590</v>
      </c>
      <c r="J227" s="290">
        <v>134</v>
      </c>
      <c r="K227" s="290">
        <v>33</v>
      </c>
      <c r="L227" s="290">
        <v>39</v>
      </c>
      <c r="M227" s="290">
        <v>281</v>
      </c>
      <c r="N227" s="290">
        <v>114</v>
      </c>
      <c r="O227" s="290">
        <v>45</v>
      </c>
      <c r="P227" s="624">
        <v>37009.339</v>
      </c>
      <c r="Q227" s="624">
        <v>18426.63833333</v>
      </c>
      <c r="R227" s="624">
        <v>24</v>
      </c>
      <c r="S227" s="290">
        <v>0</v>
      </c>
      <c r="T227" s="290">
        <v>353</v>
      </c>
      <c r="U227" s="958">
        <v>1.8954280422156975E-3</v>
      </c>
      <c r="V227" s="290">
        <v>2182.9344815499999</v>
      </c>
      <c r="W227" s="765">
        <v>0.67601851999999996</v>
      </c>
      <c r="X227" s="290">
        <v>1050</v>
      </c>
      <c r="Y227" s="290">
        <v>427.12680399999999</v>
      </c>
      <c r="Z227" s="290">
        <v>118038</v>
      </c>
      <c r="AA227" s="290">
        <v>263</v>
      </c>
      <c r="AB227" s="290">
        <v>174</v>
      </c>
      <c r="AC227" s="290">
        <v>2461.8629999999998</v>
      </c>
      <c r="AD227" s="290">
        <v>333</v>
      </c>
      <c r="AE227" s="290">
        <v>0</v>
      </c>
      <c r="AF227" s="290">
        <v>0</v>
      </c>
      <c r="AG227" s="290">
        <v>5176</v>
      </c>
      <c r="AH227" s="290">
        <v>1036.70799397</v>
      </c>
      <c r="AI227" s="290">
        <v>0</v>
      </c>
      <c r="AJ227" s="290">
        <v>0</v>
      </c>
      <c r="AK227" s="290">
        <v>0</v>
      </c>
      <c r="AL227" s="290">
        <v>0</v>
      </c>
      <c r="AM227" s="957">
        <v>7.1182480000000006E-2</v>
      </c>
      <c r="AN227" s="290">
        <v>0</v>
      </c>
      <c r="AO227" s="290">
        <v>-773.469199</v>
      </c>
      <c r="AP227" s="290">
        <v>0</v>
      </c>
      <c r="AQ227" s="290">
        <v>0</v>
      </c>
      <c r="AR227" s="290">
        <v>-278.80764099999999</v>
      </c>
      <c r="AS227" s="290">
        <v>1244</v>
      </c>
      <c r="AT227" s="290">
        <v>257</v>
      </c>
      <c r="AU227" s="290">
        <v>38</v>
      </c>
      <c r="AV227" s="766">
        <v>152624</v>
      </c>
      <c r="AW227" s="290">
        <v>220</v>
      </c>
      <c r="AX227" s="766">
        <v>25.333349999999999</v>
      </c>
      <c r="AY227" s="290">
        <v>916</v>
      </c>
      <c r="AZ227" s="290">
        <v>198</v>
      </c>
      <c r="BA227" s="290">
        <v>100</v>
      </c>
      <c r="BB227" s="290">
        <v>0</v>
      </c>
      <c r="BC227" s="290">
        <v>1016.59189</v>
      </c>
      <c r="BD227" s="290">
        <v>499</v>
      </c>
      <c r="BE227" s="290">
        <v>162520.584</v>
      </c>
      <c r="BF227" s="290">
        <v>0</v>
      </c>
      <c r="BG227" s="290">
        <v>257</v>
      </c>
      <c r="BH227" s="290">
        <v>37</v>
      </c>
      <c r="BI227" s="290">
        <v>3925.6977999999999</v>
      </c>
      <c r="BJ227" s="290">
        <v>0</v>
      </c>
      <c r="BK227" s="290">
        <f t="shared" si="3"/>
        <v>0</v>
      </c>
      <c r="BL227" s="290">
        <v>0</v>
      </c>
      <c r="BM227" s="290">
        <v>0</v>
      </c>
      <c r="BN227" s="290">
        <v>3958</v>
      </c>
      <c r="BO227" s="290">
        <v>1118</v>
      </c>
      <c r="BP227" s="290">
        <v>5</v>
      </c>
      <c r="BQ227" s="290">
        <v>505</v>
      </c>
      <c r="BR227" s="290">
        <v>-2</v>
      </c>
      <c r="BS227" s="290">
        <v>68</v>
      </c>
      <c r="BT227" s="290">
        <v>0</v>
      </c>
      <c r="BU227" s="290">
        <v>0</v>
      </c>
      <c r="BV227" s="290">
        <v>83</v>
      </c>
      <c r="BW227" s="290"/>
      <c r="BX227" s="290"/>
      <c r="BY227" s="290"/>
    </row>
    <row r="228" spans="1:77" ht="13">
      <c r="A228" s="1">
        <v>4217</v>
      </c>
      <c r="B228" s="2" t="s">
        <v>936</v>
      </c>
      <c r="C228" s="289">
        <v>1836</v>
      </c>
      <c r="D228" s="290">
        <v>43</v>
      </c>
      <c r="E228" s="290">
        <v>92</v>
      </c>
      <c r="F228" s="290">
        <v>215</v>
      </c>
      <c r="G228" s="290">
        <v>169</v>
      </c>
      <c r="H228" s="290">
        <v>989</v>
      </c>
      <c r="I228" s="290">
        <v>245</v>
      </c>
      <c r="J228" s="290">
        <v>88</v>
      </c>
      <c r="K228" s="290">
        <v>11</v>
      </c>
      <c r="L228" s="290">
        <v>17</v>
      </c>
      <c r="M228" s="290">
        <v>171</v>
      </c>
      <c r="N228" s="290">
        <v>63</v>
      </c>
      <c r="O228" s="290">
        <v>31</v>
      </c>
      <c r="P228" s="624">
        <v>18079.787666669999</v>
      </c>
      <c r="Q228" s="624">
        <v>10759.39</v>
      </c>
      <c r="R228" s="624">
        <v>25</v>
      </c>
      <c r="S228" s="290">
        <v>0</v>
      </c>
      <c r="T228" s="290">
        <v>162</v>
      </c>
      <c r="U228" s="958">
        <v>1.4158426913932819E-3</v>
      </c>
      <c r="V228" s="290">
        <v>775.88338006000004</v>
      </c>
      <c r="W228" s="765">
        <v>1</v>
      </c>
      <c r="X228" s="290">
        <v>1240</v>
      </c>
      <c r="Y228" s="290">
        <v>328.55907999999999</v>
      </c>
      <c r="Z228" s="290">
        <v>44751</v>
      </c>
      <c r="AA228" s="290">
        <v>263</v>
      </c>
      <c r="AB228" s="290">
        <v>76</v>
      </c>
      <c r="AC228" s="290">
        <v>326.62299999999999</v>
      </c>
      <c r="AD228" s="290">
        <v>167</v>
      </c>
      <c r="AE228" s="290">
        <v>0</v>
      </c>
      <c r="AF228" s="290">
        <v>0</v>
      </c>
      <c r="AG228" s="290">
        <v>1852</v>
      </c>
      <c r="AH228" s="290">
        <v>316.65139564999998</v>
      </c>
      <c r="AI228" s="290">
        <v>0</v>
      </c>
      <c r="AJ228" s="290">
        <v>0</v>
      </c>
      <c r="AK228" s="290">
        <v>15.579000000000001</v>
      </c>
      <c r="AL228" s="290">
        <v>0</v>
      </c>
      <c r="AM228" s="957">
        <v>6.3736860000000006E-2</v>
      </c>
      <c r="AN228" s="290">
        <v>0</v>
      </c>
      <c r="AO228" s="290">
        <v>-352.83912700000002</v>
      </c>
      <c r="AP228" s="290">
        <v>0</v>
      </c>
      <c r="AQ228" s="290">
        <v>0</v>
      </c>
      <c r="AR228" s="290">
        <v>-99.758838900000001</v>
      </c>
      <c r="AS228" s="290">
        <v>1444</v>
      </c>
      <c r="AT228" s="290">
        <v>102</v>
      </c>
      <c r="AU228" s="290">
        <v>22</v>
      </c>
      <c r="AV228" s="766">
        <v>87701</v>
      </c>
      <c r="AW228" s="290">
        <v>20</v>
      </c>
      <c r="AX228" s="766">
        <v>11.458349999999999</v>
      </c>
      <c r="AY228" s="290">
        <v>305</v>
      </c>
      <c r="AZ228" s="290">
        <v>97</v>
      </c>
      <c r="BA228" s="290">
        <v>34</v>
      </c>
      <c r="BB228" s="290">
        <v>4700</v>
      </c>
      <c r="BC228" s="290">
        <v>-40.152858500000001</v>
      </c>
      <c r="BD228" s="290">
        <v>275</v>
      </c>
      <c r="BE228" s="290">
        <v>93726.470600000001</v>
      </c>
      <c r="BF228" s="290">
        <v>0</v>
      </c>
      <c r="BG228" s="290">
        <v>129</v>
      </c>
      <c r="BH228" s="290">
        <v>18</v>
      </c>
      <c r="BI228" s="290">
        <v>987.41247599999997</v>
      </c>
      <c r="BJ228" s="290">
        <v>0</v>
      </c>
      <c r="BK228" s="290">
        <f t="shared" si="3"/>
        <v>0</v>
      </c>
      <c r="BL228" s="290">
        <v>0</v>
      </c>
      <c r="BM228" s="290">
        <v>0</v>
      </c>
      <c r="BN228" s="290">
        <v>1805</v>
      </c>
      <c r="BO228" s="290">
        <v>370</v>
      </c>
      <c r="BP228" s="290">
        <v>2</v>
      </c>
      <c r="BQ228" s="290">
        <v>179</v>
      </c>
      <c r="BR228" s="290">
        <v>-1</v>
      </c>
      <c r="BS228" s="290">
        <v>50</v>
      </c>
      <c r="BT228" s="290">
        <v>0</v>
      </c>
      <c r="BU228" s="290">
        <v>0</v>
      </c>
      <c r="BV228" s="290">
        <v>41</v>
      </c>
      <c r="BW228" s="290"/>
      <c r="BX228" s="290"/>
      <c r="BY228" s="290"/>
    </row>
    <row r="229" spans="1:77" ht="13">
      <c r="A229" s="1">
        <v>4218</v>
      </c>
      <c r="B229" s="2" t="s">
        <v>937</v>
      </c>
      <c r="C229" s="289">
        <v>1331</v>
      </c>
      <c r="D229" s="290">
        <v>35</v>
      </c>
      <c r="E229" s="290">
        <v>82</v>
      </c>
      <c r="F229" s="290">
        <v>188</v>
      </c>
      <c r="G229" s="290">
        <v>100</v>
      </c>
      <c r="H229" s="290">
        <v>750</v>
      </c>
      <c r="I229" s="290">
        <v>128</v>
      </c>
      <c r="J229" s="290">
        <v>30</v>
      </c>
      <c r="K229" s="290">
        <v>14</v>
      </c>
      <c r="L229" s="290">
        <v>11</v>
      </c>
      <c r="M229" s="290">
        <v>63</v>
      </c>
      <c r="N229" s="290">
        <v>22</v>
      </c>
      <c r="O229" s="290">
        <v>31</v>
      </c>
      <c r="P229" s="624">
        <v>10110.786666669999</v>
      </c>
      <c r="Q229" s="624">
        <v>7802.6616666700002</v>
      </c>
      <c r="R229" s="624">
        <v>6</v>
      </c>
      <c r="S229" s="290">
        <v>0</v>
      </c>
      <c r="T229" s="290">
        <v>108</v>
      </c>
      <c r="U229" s="958">
        <v>6.3743236542826215E-4</v>
      </c>
      <c r="V229" s="290">
        <v>784.44459075999998</v>
      </c>
      <c r="W229" s="765">
        <v>0.82808669999999995</v>
      </c>
      <c r="X229" s="290">
        <v>460</v>
      </c>
      <c r="Y229" s="290">
        <v>345.51696800000002</v>
      </c>
      <c r="Z229" s="290">
        <v>31898</v>
      </c>
      <c r="AA229" s="290">
        <v>263</v>
      </c>
      <c r="AB229" s="290">
        <v>57</v>
      </c>
      <c r="AC229" s="290">
        <v>261.43200000000002</v>
      </c>
      <c r="AD229" s="290">
        <v>167</v>
      </c>
      <c r="AE229" s="290">
        <v>0</v>
      </c>
      <c r="AF229" s="290">
        <v>0</v>
      </c>
      <c r="AG229" s="290">
        <v>1327</v>
      </c>
      <c r="AH229" s="290">
        <v>263.15321465</v>
      </c>
      <c r="AI229" s="290">
        <v>200</v>
      </c>
      <c r="AJ229" s="290">
        <v>0</v>
      </c>
      <c r="AK229" s="290">
        <v>264.976</v>
      </c>
      <c r="AL229" s="290">
        <v>0</v>
      </c>
      <c r="AM229" s="957">
        <v>3.4521320000000001E-2</v>
      </c>
      <c r="AN229" s="290">
        <v>0</v>
      </c>
      <c r="AO229" s="290">
        <v>-234.50533100000001</v>
      </c>
      <c r="AP229" s="290">
        <v>0</v>
      </c>
      <c r="AQ229" s="290">
        <v>0</v>
      </c>
      <c r="AR229" s="290">
        <v>-71.479470399999997</v>
      </c>
      <c r="AS229" s="290">
        <v>548</v>
      </c>
      <c r="AT229" s="290">
        <v>89</v>
      </c>
      <c r="AU229" s="290">
        <v>11</v>
      </c>
      <c r="AV229" s="766">
        <v>55215</v>
      </c>
      <c r="AW229" s="290">
        <v>0</v>
      </c>
      <c r="AX229" s="766">
        <v>9.0416500000000006</v>
      </c>
      <c r="AY229" s="290">
        <v>163</v>
      </c>
      <c r="AZ229" s="290">
        <v>62</v>
      </c>
      <c r="BA229" s="290">
        <v>30</v>
      </c>
      <c r="BB229" s="290">
        <v>2938</v>
      </c>
      <c r="BC229" s="290">
        <v>591.01910099999998</v>
      </c>
      <c r="BD229" s="290">
        <v>212</v>
      </c>
      <c r="BE229" s="290">
        <v>59630.6198</v>
      </c>
      <c r="BF229" s="290">
        <v>0</v>
      </c>
      <c r="BG229" s="290">
        <v>92</v>
      </c>
      <c r="BH229" s="290">
        <v>13</v>
      </c>
      <c r="BI229" s="290">
        <v>1135.07818</v>
      </c>
      <c r="BJ229" s="290">
        <v>0</v>
      </c>
      <c r="BK229" s="290">
        <f t="shared" si="3"/>
        <v>0</v>
      </c>
      <c r="BL229" s="290">
        <v>0</v>
      </c>
      <c r="BM229" s="290">
        <v>0</v>
      </c>
      <c r="BN229" s="290">
        <v>1200</v>
      </c>
      <c r="BO229" s="290">
        <v>317</v>
      </c>
      <c r="BP229" s="290">
        <v>2</v>
      </c>
      <c r="BQ229" s="290">
        <v>129</v>
      </c>
      <c r="BR229" s="290">
        <v>-1</v>
      </c>
      <c r="BS229" s="290">
        <v>50</v>
      </c>
      <c r="BT229" s="290">
        <v>0</v>
      </c>
      <c r="BU229" s="290">
        <v>0</v>
      </c>
      <c r="BV229" s="290">
        <v>30</v>
      </c>
      <c r="BW229" s="290"/>
      <c r="BX229" s="290"/>
      <c r="BY229" s="290"/>
    </row>
    <row r="230" spans="1:77" ht="13">
      <c r="A230" s="1">
        <v>4219</v>
      </c>
      <c r="B230" s="2" t="s">
        <v>938</v>
      </c>
      <c r="C230" s="289">
        <v>3634</v>
      </c>
      <c r="D230" s="290">
        <v>66</v>
      </c>
      <c r="E230" s="290">
        <v>170</v>
      </c>
      <c r="F230" s="290">
        <v>506</v>
      </c>
      <c r="G230" s="290">
        <v>320</v>
      </c>
      <c r="H230" s="290">
        <v>1940</v>
      </c>
      <c r="I230" s="290">
        <v>467</v>
      </c>
      <c r="J230" s="290">
        <v>129</v>
      </c>
      <c r="K230" s="290">
        <v>42</v>
      </c>
      <c r="L230" s="290">
        <v>34</v>
      </c>
      <c r="M230" s="290">
        <v>296</v>
      </c>
      <c r="N230" s="290">
        <v>128</v>
      </c>
      <c r="O230" s="290">
        <v>43</v>
      </c>
      <c r="P230" s="624">
        <v>12644.662333329999</v>
      </c>
      <c r="Q230" s="624">
        <v>8081.8743333299999</v>
      </c>
      <c r="R230" s="624">
        <v>12</v>
      </c>
      <c r="S230" s="290">
        <v>0</v>
      </c>
      <c r="T230" s="290">
        <v>294</v>
      </c>
      <c r="U230" s="958">
        <v>1.6409139634396004E-3</v>
      </c>
      <c r="V230" s="290">
        <v>1884.0570011</v>
      </c>
      <c r="W230" s="765">
        <v>0.74504844999999997</v>
      </c>
      <c r="X230" s="290">
        <v>270</v>
      </c>
      <c r="Y230" s="290">
        <v>427.12680399999999</v>
      </c>
      <c r="Z230" s="290">
        <v>87736</v>
      </c>
      <c r="AA230" s="290">
        <v>263</v>
      </c>
      <c r="AB230" s="290">
        <v>108</v>
      </c>
      <c r="AC230" s="290">
        <v>669.21600000000001</v>
      </c>
      <c r="AD230" s="290">
        <v>333</v>
      </c>
      <c r="AE230" s="290">
        <v>0</v>
      </c>
      <c r="AF230" s="290">
        <v>0</v>
      </c>
      <c r="AG230" s="290">
        <v>3640</v>
      </c>
      <c r="AH230" s="290">
        <v>660.05188179000004</v>
      </c>
      <c r="AI230" s="290">
        <v>100</v>
      </c>
      <c r="AJ230" s="290">
        <v>0</v>
      </c>
      <c r="AK230" s="290">
        <v>0</v>
      </c>
      <c r="AL230" s="290">
        <v>0</v>
      </c>
      <c r="AM230" s="957">
        <v>0.11847297</v>
      </c>
      <c r="AN230" s="290">
        <v>0</v>
      </c>
      <c r="AO230" s="290">
        <v>-563.22832300000005</v>
      </c>
      <c r="AP230" s="290">
        <v>0</v>
      </c>
      <c r="AQ230" s="290">
        <v>0</v>
      </c>
      <c r="AR230" s="290">
        <v>-196.07028800000001</v>
      </c>
      <c r="AS230" s="290">
        <v>1171</v>
      </c>
      <c r="AT230" s="290">
        <v>215</v>
      </c>
      <c r="AU230" s="290">
        <v>33</v>
      </c>
      <c r="AV230" s="766">
        <v>117439</v>
      </c>
      <c r="AW230" s="290">
        <v>1550</v>
      </c>
      <c r="AX230" s="766">
        <v>6.4583000000000004</v>
      </c>
      <c r="AY230" s="290">
        <v>648</v>
      </c>
      <c r="AZ230" s="290">
        <v>221</v>
      </c>
      <c r="BA230" s="290">
        <v>114</v>
      </c>
      <c r="BB230" s="290">
        <v>0</v>
      </c>
      <c r="BC230" s="290">
        <v>1063.42464</v>
      </c>
      <c r="BD230" s="290">
        <v>384</v>
      </c>
      <c r="BE230" s="290">
        <v>120883.522</v>
      </c>
      <c r="BF230" s="290">
        <v>0</v>
      </c>
      <c r="BG230" s="290">
        <v>188</v>
      </c>
      <c r="BH230" s="290">
        <v>27</v>
      </c>
      <c r="BI230" s="290">
        <v>1756.3946900000001</v>
      </c>
      <c r="BJ230" s="290">
        <v>0</v>
      </c>
      <c r="BK230" s="290">
        <f t="shared" si="3"/>
        <v>0</v>
      </c>
      <c r="BL230" s="290">
        <v>0</v>
      </c>
      <c r="BM230" s="290">
        <v>0</v>
      </c>
      <c r="BN230" s="290">
        <v>2882</v>
      </c>
      <c r="BO230" s="290">
        <v>678</v>
      </c>
      <c r="BP230" s="290">
        <v>3</v>
      </c>
      <c r="BQ230" s="290">
        <v>353</v>
      </c>
      <c r="BR230" s="290">
        <v>-2</v>
      </c>
      <c r="BS230" s="290">
        <v>80</v>
      </c>
      <c r="BT230" s="290">
        <v>0</v>
      </c>
      <c r="BU230" s="290">
        <v>0</v>
      </c>
      <c r="BV230" s="290">
        <v>60</v>
      </c>
      <c r="BW230" s="290"/>
      <c r="BX230" s="290"/>
      <c r="BY230" s="290"/>
    </row>
    <row r="231" spans="1:77" ht="13">
      <c r="A231" s="1">
        <v>4220</v>
      </c>
      <c r="B231" s="2" t="s">
        <v>939</v>
      </c>
      <c r="C231" s="289">
        <v>1162</v>
      </c>
      <c r="D231" s="290">
        <v>17</v>
      </c>
      <c r="E231" s="290">
        <v>48</v>
      </c>
      <c r="F231" s="290">
        <v>125</v>
      </c>
      <c r="G231" s="290">
        <v>98</v>
      </c>
      <c r="H231" s="290">
        <v>652</v>
      </c>
      <c r="I231" s="290">
        <v>188</v>
      </c>
      <c r="J231" s="290">
        <v>50</v>
      </c>
      <c r="K231" s="290">
        <v>12</v>
      </c>
      <c r="L231" s="290">
        <v>12</v>
      </c>
      <c r="M231" s="290">
        <v>93</v>
      </c>
      <c r="N231" s="290">
        <v>5</v>
      </c>
      <c r="O231" s="290">
        <v>15</v>
      </c>
      <c r="P231" s="624">
        <v>20403.927</v>
      </c>
      <c r="Q231" s="624">
        <v>6513.7089999999998</v>
      </c>
      <c r="R231" s="624">
        <v>7</v>
      </c>
      <c r="S231" s="290">
        <v>0</v>
      </c>
      <c r="T231" s="290">
        <v>118</v>
      </c>
      <c r="U231" s="958">
        <v>1.2171749882543856E-3</v>
      </c>
      <c r="V231" s="290">
        <v>731.69831980000004</v>
      </c>
      <c r="W231" s="765">
        <v>1</v>
      </c>
      <c r="X231" s="290">
        <v>260</v>
      </c>
      <c r="Y231" s="290">
        <v>361.41498799999999</v>
      </c>
      <c r="Z231" s="290">
        <v>31184</v>
      </c>
      <c r="AA231" s="290">
        <v>263</v>
      </c>
      <c r="AB231" s="290">
        <v>35</v>
      </c>
      <c r="AC231" s="290">
        <v>215.95500000000001</v>
      </c>
      <c r="AD231" s="290">
        <v>167</v>
      </c>
      <c r="AE231" s="290">
        <v>0</v>
      </c>
      <c r="AF231" s="290">
        <v>0</v>
      </c>
      <c r="AG231" s="290">
        <v>1190</v>
      </c>
      <c r="AH231" s="290">
        <v>179.29120119000001</v>
      </c>
      <c r="AI231" s="290">
        <v>0</v>
      </c>
      <c r="AJ231" s="290">
        <v>0</v>
      </c>
      <c r="AK231" s="290">
        <v>55.133000000000003</v>
      </c>
      <c r="AL231" s="290">
        <v>0</v>
      </c>
      <c r="AM231" s="957">
        <v>1.7457690000000001E-2</v>
      </c>
      <c r="AN231" s="290">
        <v>0</v>
      </c>
      <c r="AO231" s="290">
        <v>-218.73712800000001</v>
      </c>
      <c r="AP231" s="290">
        <v>0</v>
      </c>
      <c r="AQ231" s="290">
        <v>0</v>
      </c>
      <c r="AR231" s="290">
        <v>-64.099901900000006</v>
      </c>
      <c r="AS231" s="290">
        <v>100</v>
      </c>
      <c r="AT231" s="290">
        <v>55</v>
      </c>
      <c r="AU231" s="290">
        <v>11</v>
      </c>
      <c r="AV231" s="766">
        <v>58367</v>
      </c>
      <c r="AW231" s="290">
        <v>210</v>
      </c>
      <c r="AX231" s="766">
        <v>3.2917000000000001</v>
      </c>
      <c r="AY231" s="290">
        <v>261</v>
      </c>
      <c r="AZ231" s="290">
        <v>41</v>
      </c>
      <c r="BA231" s="290">
        <v>29</v>
      </c>
      <c r="BB231" s="290">
        <v>5875</v>
      </c>
      <c r="BC231" s="290">
        <v>530.43874700000003</v>
      </c>
      <c r="BD231" s="290">
        <v>222</v>
      </c>
      <c r="BE231" s="290">
        <v>59761.0317</v>
      </c>
      <c r="BF231" s="290">
        <v>0</v>
      </c>
      <c r="BG231" s="290">
        <v>100</v>
      </c>
      <c r="BH231" s="290">
        <v>14</v>
      </c>
      <c r="BI231" s="290">
        <v>811.79418899999996</v>
      </c>
      <c r="BJ231" s="290">
        <v>0</v>
      </c>
      <c r="BK231" s="290">
        <f t="shared" si="3"/>
        <v>0</v>
      </c>
      <c r="BL231" s="290">
        <v>0</v>
      </c>
      <c r="BM231" s="290">
        <v>0</v>
      </c>
      <c r="BN231" s="290">
        <v>1119</v>
      </c>
      <c r="BO231" s="290">
        <v>209</v>
      </c>
      <c r="BP231" s="290">
        <v>1</v>
      </c>
      <c r="BQ231" s="290">
        <v>116</v>
      </c>
      <c r="BR231" s="290">
        <v>-1</v>
      </c>
      <c r="BS231" s="290">
        <v>50</v>
      </c>
      <c r="BT231" s="290">
        <v>0</v>
      </c>
      <c r="BU231" s="290">
        <v>0</v>
      </c>
      <c r="BV231" s="290">
        <v>32</v>
      </c>
      <c r="BW231" s="290"/>
      <c r="BX231" s="290"/>
      <c r="BY231" s="290"/>
    </row>
    <row r="232" spans="1:77" ht="13">
      <c r="A232" s="1">
        <v>4221</v>
      </c>
      <c r="B232" s="2" t="s">
        <v>940</v>
      </c>
      <c r="C232" s="289">
        <v>1164</v>
      </c>
      <c r="D232" s="290">
        <v>19</v>
      </c>
      <c r="E232" s="290">
        <v>36</v>
      </c>
      <c r="F232" s="290">
        <v>129</v>
      </c>
      <c r="G232" s="290">
        <v>99</v>
      </c>
      <c r="H232" s="290">
        <v>639</v>
      </c>
      <c r="I232" s="290">
        <v>168</v>
      </c>
      <c r="J232" s="290">
        <v>48</v>
      </c>
      <c r="K232" s="290">
        <v>15</v>
      </c>
      <c r="L232" s="290">
        <v>12</v>
      </c>
      <c r="M232" s="290">
        <v>98</v>
      </c>
      <c r="N232" s="290">
        <v>29</v>
      </c>
      <c r="O232" s="290">
        <v>22</v>
      </c>
      <c r="P232" s="624">
        <v>9657.5456666699993</v>
      </c>
      <c r="Q232" s="624">
        <v>3509.0610000000001</v>
      </c>
      <c r="R232" s="624">
        <v>5</v>
      </c>
      <c r="S232" s="290">
        <v>0</v>
      </c>
      <c r="T232" s="290">
        <v>131</v>
      </c>
      <c r="U232" s="958">
        <v>1.5356679830978086E-3</v>
      </c>
      <c r="V232" s="290">
        <v>692.17286103000004</v>
      </c>
      <c r="W232" s="765">
        <v>1</v>
      </c>
      <c r="X232" s="290">
        <v>0</v>
      </c>
      <c r="Y232" s="290">
        <v>361.41498799999999</v>
      </c>
      <c r="Z232" s="290">
        <v>48861</v>
      </c>
      <c r="AA232" s="290">
        <v>263</v>
      </c>
      <c r="AB232" s="290">
        <v>23</v>
      </c>
      <c r="AC232" s="290">
        <v>245.07400000000001</v>
      </c>
      <c r="AD232" s="290">
        <v>167</v>
      </c>
      <c r="AE232" s="290">
        <v>0</v>
      </c>
      <c r="AF232" s="290">
        <v>0</v>
      </c>
      <c r="AG232" s="290">
        <v>1153</v>
      </c>
      <c r="AH232" s="290">
        <v>172.06171727</v>
      </c>
      <c r="AI232" s="290">
        <v>0</v>
      </c>
      <c r="AJ232" s="290">
        <v>0</v>
      </c>
      <c r="AK232" s="290">
        <v>11.452999999999999</v>
      </c>
      <c r="AL232" s="290">
        <v>0</v>
      </c>
      <c r="AM232" s="957">
        <v>1.2805159999999999E-2</v>
      </c>
      <c r="AN232" s="290">
        <v>0</v>
      </c>
      <c r="AO232" s="290">
        <v>-206.92121299999999</v>
      </c>
      <c r="AP232" s="290">
        <v>0</v>
      </c>
      <c r="AQ232" s="290">
        <v>0</v>
      </c>
      <c r="AR232" s="290">
        <v>-62.1068797</v>
      </c>
      <c r="AS232" s="290">
        <v>328</v>
      </c>
      <c r="AT232" s="290">
        <v>62</v>
      </c>
      <c r="AU232" s="290">
        <v>3</v>
      </c>
      <c r="AV232" s="766">
        <v>48329</v>
      </c>
      <c r="AW232" s="290">
        <v>70</v>
      </c>
      <c r="AX232" s="766">
        <v>4.75</v>
      </c>
      <c r="AY232" s="290">
        <v>233</v>
      </c>
      <c r="AZ232" s="290">
        <v>92</v>
      </c>
      <c r="BA232" s="290">
        <v>14</v>
      </c>
      <c r="BB232" s="290">
        <v>0</v>
      </c>
      <c r="BC232" s="290">
        <v>533.22775000000001</v>
      </c>
      <c r="BD232" s="290">
        <v>219</v>
      </c>
      <c r="BE232" s="290">
        <v>49939.4879</v>
      </c>
      <c r="BF232" s="290">
        <v>0</v>
      </c>
      <c r="BG232" s="290">
        <v>92</v>
      </c>
      <c r="BH232" s="290">
        <v>13</v>
      </c>
      <c r="BI232" s="290">
        <v>790.00370499999997</v>
      </c>
      <c r="BJ232" s="290">
        <v>0</v>
      </c>
      <c r="BK232" s="290">
        <f t="shared" si="3"/>
        <v>0</v>
      </c>
      <c r="BL232" s="290">
        <v>0</v>
      </c>
      <c r="BM232" s="290">
        <v>0</v>
      </c>
      <c r="BN232" s="290">
        <v>1059</v>
      </c>
      <c r="BO232" s="290">
        <v>181</v>
      </c>
      <c r="BP232" s="290">
        <v>1</v>
      </c>
      <c r="BQ232" s="290">
        <v>132</v>
      </c>
      <c r="BR232" s="290">
        <v>-1</v>
      </c>
      <c r="BS232" s="290">
        <v>50</v>
      </c>
      <c r="BT232" s="290">
        <v>0</v>
      </c>
      <c r="BU232" s="290">
        <v>0</v>
      </c>
      <c r="BV232" s="290">
        <v>30</v>
      </c>
      <c r="BW232" s="290"/>
      <c r="BX232" s="290"/>
      <c r="BY232" s="290"/>
    </row>
    <row r="233" spans="1:77" ht="13">
      <c r="A233" s="1">
        <v>4222</v>
      </c>
      <c r="B233" s="2" t="s">
        <v>941</v>
      </c>
      <c r="C233" s="289">
        <v>965</v>
      </c>
      <c r="D233" s="290">
        <v>18</v>
      </c>
      <c r="E233" s="290">
        <v>40</v>
      </c>
      <c r="F233" s="290">
        <v>115</v>
      </c>
      <c r="G233" s="290">
        <v>85</v>
      </c>
      <c r="H233" s="290">
        <v>585</v>
      </c>
      <c r="I233" s="290">
        <v>92</v>
      </c>
      <c r="J233" s="290">
        <v>21</v>
      </c>
      <c r="K233" s="290">
        <v>4</v>
      </c>
      <c r="L233" s="290">
        <v>8</v>
      </c>
      <c r="M233" s="290">
        <v>45</v>
      </c>
      <c r="N233" s="290">
        <v>20</v>
      </c>
      <c r="O233" s="290">
        <v>22</v>
      </c>
      <c r="P233" s="624">
        <v>11254.665999999999</v>
      </c>
      <c r="Q233" s="624">
        <v>11949.603999999999</v>
      </c>
      <c r="R233" s="624">
        <v>1</v>
      </c>
      <c r="S233" s="290">
        <v>0</v>
      </c>
      <c r="T233" s="290">
        <v>103</v>
      </c>
      <c r="U233" s="958">
        <v>5.7019105034149752E-4</v>
      </c>
      <c r="V233" s="290">
        <v>560.05571069999996</v>
      </c>
      <c r="W233" s="765">
        <v>1</v>
      </c>
      <c r="X233" s="290">
        <v>0</v>
      </c>
      <c r="Y233" s="290">
        <v>427.12680399999999</v>
      </c>
      <c r="Z233" s="290">
        <v>76582</v>
      </c>
      <c r="AA233" s="290">
        <v>263</v>
      </c>
      <c r="AB233" s="290">
        <v>8</v>
      </c>
      <c r="AC233" s="290">
        <v>196.62700000000001</v>
      </c>
      <c r="AD233" s="290">
        <v>167</v>
      </c>
      <c r="AE233" s="290">
        <v>0</v>
      </c>
      <c r="AF233" s="290">
        <v>0</v>
      </c>
      <c r="AG233" s="290">
        <v>960</v>
      </c>
      <c r="AH233" s="290">
        <v>153.26505907999999</v>
      </c>
      <c r="AI233" s="290">
        <v>0</v>
      </c>
      <c r="AJ233" s="290">
        <v>0</v>
      </c>
      <c r="AK233" s="290">
        <v>53.204999999999998</v>
      </c>
      <c r="AL233" s="290">
        <v>0</v>
      </c>
      <c r="AM233" s="957">
        <v>1.300141E-2</v>
      </c>
      <c r="AN233" s="290">
        <v>0</v>
      </c>
      <c r="AO233" s="290">
        <v>-167.42552800000001</v>
      </c>
      <c r="AP233" s="290">
        <v>0</v>
      </c>
      <c r="AQ233" s="290">
        <v>0</v>
      </c>
      <c r="AR233" s="290">
        <v>-51.710845200000001</v>
      </c>
      <c r="AS233" s="290">
        <v>231</v>
      </c>
      <c r="AT233" s="290">
        <v>48</v>
      </c>
      <c r="AU233" s="290">
        <v>6</v>
      </c>
      <c r="AV233" s="766">
        <v>37017</v>
      </c>
      <c r="AW233" s="290">
        <v>380</v>
      </c>
      <c r="AX233" s="766">
        <v>1.8332999999999999</v>
      </c>
      <c r="AY233" s="290">
        <v>231</v>
      </c>
      <c r="AZ233" s="290">
        <v>41</v>
      </c>
      <c r="BA233" s="290">
        <v>12</v>
      </c>
      <c r="BB233" s="290">
        <v>0</v>
      </c>
      <c r="BC233" s="290">
        <v>561.403952</v>
      </c>
      <c r="BD233" s="290">
        <v>205</v>
      </c>
      <c r="BE233" s="290">
        <v>39792.725100000003</v>
      </c>
      <c r="BF233" s="290">
        <v>0</v>
      </c>
      <c r="BG233" s="290">
        <v>86</v>
      </c>
      <c r="BH233" s="290">
        <v>12</v>
      </c>
      <c r="BI233" s="290">
        <v>830.22386300000005</v>
      </c>
      <c r="BJ233" s="290">
        <v>0</v>
      </c>
      <c r="BK233" s="290">
        <f t="shared" si="3"/>
        <v>0</v>
      </c>
      <c r="BL233" s="290">
        <v>0</v>
      </c>
      <c r="BM233" s="290">
        <v>0</v>
      </c>
      <c r="BN233" s="290">
        <v>857</v>
      </c>
      <c r="BO233" s="290">
        <v>184</v>
      </c>
      <c r="BP233" s="290">
        <v>1</v>
      </c>
      <c r="BQ233" s="290">
        <v>167</v>
      </c>
      <c r="BR233" s="290">
        <v>0</v>
      </c>
      <c r="BS233" s="290">
        <v>50</v>
      </c>
      <c r="BT233" s="290">
        <v>0</v>
      </c>
      <c r="BU233" s="290">
        <v>0</v>
      </c>
      <c r="BV233" s="290">
        <v>28</v>
      </c>
      <c r="BW233" s="290"/>
      <c r="BX233" s="290"/>
      <c r="BY233" s="290"/>
    </row>
    <row r="234" spans="1:77" ht="13">
      <c r="A234" s="1">
        <v>4223</v>
      </c>
      <c r="B234" s="2" t="s">
        <v>947</v>
      </c>
      <c r="C234" s="289">
        <v>14774</v>
      </c>
      <c r="D234" s="290">
        <v>355</v>
      </c>
      <c r="E234" s="290">
        <v>736</v>
      </c>
      <c r="F234" s="290">
        <v>1955</v>
      </c>
      <c r="G234" s="290">
        <v>1348</v>
      </c>
      <c r="H234" s="290">
        <v>8376</v>
      </c>
      <c r="I234" s="290">
        <v>1426</v>
      </c>
      <c r="J234" s="290">
        <v>444</v>
      </c>
      <c r="K234" s="290">
        <v>92</v>
      </c>
      <c r="L234" s="290">
        <v>120</v>
      </c>
      <c r="M234" s="290">
        <v>779</v>
      </c>
      <c r="N234" s="290">
        <v>249</v>
      </c>
      <c r="O234" s="290">
        <v>145</v>
      </c>
      <c r="P234" s="624">
        <v>37204.944666670002</v>
      </c>
      <c r="Q234" s="624">
        <v>52459.416666669997</v>
      </c>
      <c r="R234" s="624">
        <v>69</v>
      </c>
      <c r="S234" s="290">
        <v>0</v>
      </c>
      <c r="T234" s="290">
        <v>1104</v>
      </c>
      <c r="U234" s="958">
        <v>1.8490788680849393E-3</v>
      </c>
      <c r="V234" s="290">
        <v>6800.6058242099998</v>
      </c>
      <c r="W234" s="765">
        <v>0.59296082000000006</v>
      </c>
      <c r="X234" s="290">
        <v>2300</v>
      </c>
      <c r="Y234" s="290">
        <v>854.25360799999999</v>
      </c>
      <c r="Z234" s="290">
        <v>335283</v>
      </c>
      <c r="AA234" s="290">
        <v>263</v>
      </c>
      <c r="AB234" s="290">
        <v>571</v>
      </c>
      <c r="AC234" s="290">
        <v>2420.799</v>
      </c>
      <c r="AD234" s="290">
        <v>333</v>
      </c>
      <c r="AE234" s="290">
        <v>0</v>
      </c>
      <c r="AF234" s="290">
        <v>0</v>
      </c>
      <c r="AG234" s="290">
        <v>14732</v>
      </c>
      <c r="AH234" s="290">
        <v>2739.97440525</v>
      </c>
      <c r="AI234" s="290">
        <v>0</v>
      </c>
      <c r="AJ234" s="290">
        <v>0</v>
      </c>
      <c r="AK234" s="290">
        <v>0</v>
      </c>
      <c r="AL234" s="290">
        <v>0</v>
      </c>
      <c r="AM234" s="957">
        <v>0.40702365000000001</v>
      </c>
      <c r="AN234" s="290">
        <v>0</v>
      </c>
      <c r="AO234" s="290">
        <v>-2063.2264300000002</v>
      </c>
      <c r="AP234" s="290">
        <v>0</v>
      </c>
      <c r="AQ234" s="290">
        <v>0</v>
      </c>
      <c r="AR234" s="290">
        <v>-793.54601200000002</v>
      </c>
      <c r="AS234" s="290">
        <v>3032</v>
      </c>
      <c r="AT234" s="290">
        <v>926</v>
      </c>
      <c r="AU234" s="290">
        <v>160</v>
      </c>
      <c r="AV234" s="766">
        <v>389460</v>
      </c>
      <c r="AW234" s="290">
        <v>1530</v>
      </c>
      <c r="AX234" s="766">
        <v>103.79165</v>
      </c>
      <c r="AY234" s="290">
        <v>2197</v>
      </c>
      <c r="AZ234" s="290">
        <v>588</v>
      </c>
      <c r="BA234" s="290">
        <v>447</v>
      </c>
      <c r="BB234" s="290">
        <v>0</v>
      </c>
      <c r="BC234" s="290">
        <v>3476.02988</v>
      </c>
      <c r="BD234" s="290">
        <v>1251</v>
      </c>
      <c r="BE234" s="290">
        <v>402018.42099999997</v>
      </c>
      <c r="BF234" s="290">
        <v>0</v>
      </c>
      <c r="BG234" s="290">
        <v>640</v>
      </c>
      <c r="BH234" s="290">
        <v>91</v>
      </c>
      <c r="BI234" s="290">
        <v>6015.0270099999998</v>
      </c>
      <c r="BJ234" s="290">
        <v>0</v>
      </c>
      <c r="BK234" s="290">
        <f t="shared" si="3"/>
        <v>0</v>
      </c>
      <c r="BL234" s="290">
        <v>0</v>
      </c>
      <c r="BM234" s="290">
        <v>0</v>
      </c>
      <c r="BN234" s="290">
        <v>10557</v>
      </c>
      <c r="BO234" s="290">
        <v>2899</v>
      </c>
      <c r="BP234" s="290">
        <v>14</v>
      </c>
      <c r="BQ234" s="290">
        <v>1418</v>
      </c>
      <c r="BR234" s="290">
        <v>-7</v>
      </c>
      <c r="BS234" s="290">
        <v>266</v>
      </c>
      <c r="BT234" s="290">
        <v>0</v>
      </c>
      <c r="BU234" s="290">
        <v>0</v>
      </c>
      <c r="BV234" s="290">
        <v>206</v>
      </c>
      <c r="BW234" s="290"/>
      <c r="BX234" s="290"/>
      <c r="BY234" s="290"/>
    </row>
    <row r="235" spans="1:77" ht="13">
      <c r="A235" s="1">
        <v>4224</v>
      </c>
      <c r="B235" s="2" t="s">
        <v>951</v>
      </c>
      <c r="C235" s="289">
        <v>932</v>
      </c>
      <c r="D235" s="290">
        <v>15</v>
      </c>
      <c r="E235" s="290">
        <v>44</v>
      </c>
      <c r="F235" s="290">
        <v>120</v>
      </c>
      <c r="G235" s="290">
        <v>112</v>
      </c>
      <c r="H235" s="290">
        <v>509</v>
      </c>
      <c r="I235" s="290">
        <v>83</v>
      </c>
      <c r="J235" s="290">
        <v>43</v>
      </c>
      <c r="K235" s="290">
        <v>12</v>
      </c>
      <c r="L235" s="290">
        <v>7</v>
      </c>
      <c r="M235" s="290">
        <v>75</v>
      </c>
      <c r="N235" s="290">
        <v>24</v>
      </c>
      <c r="O235" s="290">
        <v>10</v>
      </c>
      <c r="P235" s="624">
        <v>7519.8436666699999</v>
      </c>
      <c r="Q235" s="624">
        <v>5251.6756666700003</v>
      </c>
      <c r="R235" s="624">
        <v>3</v>
      </c>
      <c r="S235" s="290">
        <v>0</v>
      </c>
      <c r="T235" s="290">
        <v>74</v>
      </c>
      <c r="U235" s="958">
        <v>1.2516618532813855E-3</v>
      </c>
      <c r="V235" s="290">
        <v>599.17442911000001</v>
      </c>
      <c r="W235" s="765">
        <v>1</v>
      </c>
      <c r="X235" s="290">
        <v>0</v>
      </c>
      <c r="Y235" s="290">
        <v>297.82290799999998</v>
      </c>
      <c r="Z235" s="290">
        <v>40365</v>
      </c>
      <c r="AA235" s="290">
        <v>2415</v>
      </c>
      <c r="AB235" s="290">
        <v>18</v>
      </c>
      <c r="AC235" s="290">
        <v>205.291</v>
      </c>
      <c r="AD235" s="290">
        <v>167</v>
      </c>
      <c r="AE235" s="290">
        <v>0</v>
      </c>
      <c r="AF235" s="290">
        <v>0</v>
      </c>
      <c r="AG235" s="290">
        <v>938</v>
      </c>
      <c r="AH235" s="290">
        <v>173.50761405</v>
      </c>
      <c r="AI235" s="290">
        <v>0</v>
      </c>
      <c r="AJ235" s="290">
        <v>0</v>
      </c>
      <c r="AK235" s="290">
        <v>0</v>
      </c>
      <c r="AL235" s="290">
        <v>0</v>
      </c>
      <c r="AM235" s="957">
        <v>1.3813890000000001E-2</v>
      </c>
      <c r="AN235" s="290">
        <v>0</v>
      </c>
      <c r="AO235" s="290">
        <v>-179.11985100000001</v>
      </c>
      <c r="AP235" s="290">
        <v>0</v>
      </c>
      <c r="AQ235" s="290">
        <v>0</v>
      </c>
      <c r="AR235" s="290">
        <v>-35.867552400000001</v>
      </c>
      <c r="AS235" s="290">
        <v>593</v>
      </c>
      <c r="AT235" s="290">
        <v>35</v>
      </c>
      <c r="AU235" s="290">
        <v>6</v>
      </c>
      <c r="AV235" s="766">
        <v>44140</v>
      </c>
      <c r="AW235" s="290">
        <v>0</v>
      </c>
      <c r="AX235" s="766">
        <v>1.91665</v>
      </c>
      <c r="AY235" s="290">
        <v>134</v>
      </c>
      <c r="AZ235" s="290">
        <v>58</v>
      </c>
      <c r="BA235" s="290">
        <v>13</v>
      </c>
      <c r="BB235" s="290">
        <v>0</v>
      </c>
      <c r="BC235" s="290">
        <v>457.60273100000001</v>
      </c>
      <c r="BD235" s="290">
        <v>203</v>
      </c>
      <c r="BE235" s="290">
        <v>45010.391000000003</v>
      </c>
      <c r="BF235" s="290">
        <v>0</v>
      </c>
      <c r="BG235" s="290">
        <v>82</v>
      </c>
      <c r="BH235" s="290">
        <v>12</v>
      </c>
      <c r="BI235" s="290">
        <v>676.62152200000003</v>
      </c>
      <c r="BJ235" s="290">
        <v>0</v>
      </c>
      <c r="BK235" s="290">
        <f t="shared" si="3"/>
        <v>0</v>
      </c>
      <c r="BL235" s="290">
        <v>0</v>
      </c>
      <c r="BM235" s="290">
        <v>0</v>
      </c>
      <c r="BN235" s="290">
        <v>916</v>
      </c>
      <c r="BO235" s="290">
        <v>183</v>
      </c>
      <c r="BP235" s="290">
        <v>1</v>
      </c>
      <c r="BQ235" s="290">
        <v>110</v>
      </c>
      <c r="BR235" s="290">
        <v>0</v>
      </c>
      <c r="BS235" s="290">
        <v>50</v>
      </c>
      <c r="BT235" s="290">
        <v>0</v>
      </c>
      <c r="BU235" s="290">
        <v>0</v>
      </c>
      <c r="BV235" s="290">
        <v>26</v>
      </c>
      <c r="BW235" s="290"/>
      <c r="BX235" s="290"/>
      <c r="BY235" s="290"/>
    </row>
    <row r="236" spans="1:77" ht="13">
      <c r="A236" s="1">
        <v>4225</v>
      </c>
      <c r="B236" s="2" t="s">
        <v>1630</v>
      </c>
      <c r="C236" s="289">
        <v>10365</v>
      </c>
      <c r="D236" s="290">
        <v>265</v>
      </c>
      <c r="E236" s="290">
        <v>579</v>
      </c>
      <c r="F236" s="290">
        <v>1507</v>
      </c>
      <c r="G236" s="290">
        <v>1060</v>
      </c>
      <c r="H236" s="290">
        <v>5492</v>
      </c>
      <c r="I236" s="290">
        <v>1114</v>
      </c>
      <c r="J236" s="290">
        <v>330</v>
      </c>
      <c r="K236" s="290">
        <v>78</v>
      </c>
      <c r="L236" s="290">
        <v>79</v>
      </c>
      <c r="M236" s="290">
        <v>586</v>
      </c>
      <c r="N236" s="290">
        <v>269</v>
      </c>
      <c r="O236" s="290">
        <v>139</v>
      </c>
      <c r="P236" s="624">
        <v>57921.039666670003</v>
      </c>
      <c r="Q236" s="624">
        <v>49515.847000000002</v>
      </c>
      <c r="R236" s="624">
        <v>42</v>
      </c>
      <c r="S236" s="290">
        <v>0</v>
      </c>
      <c r="T236" s="290">
        <v>697</v>
      </c>
      <c r="U236" s="958">
        <v>3.8156145849297116E-3</v>
      </c>
      <c r="V236" s="290">
        <v>-12913.237903310001</v>
      </c>
      <c r="W236" s="765">
        <v>0.66243823000000002</v>
      </c>
      <c r="X236" s="290">
        <v>2650</v>
      </c>
      <c r="Y236" s="290">
        <v>821.39769999999999</v>
      </c>
      <c r="Z236" s="290">
        <v>243390</v>
      </c>
      <c r="AA236" s="290">
        <v>263</v>
      </c>
      <c r="AB236" s="290">
        <v>313</v>
      </c>
      <c r="AC236" s="290">
        <v>9798.9619999999995</v>
      </c>
      <c r="AD236" s="290">
        <v>333</v>
      </c>
      <c r="AE236" s="290">
        <v>0</v>
      </c>
      <c r="AF236" s="290">
        <v>20815.3452</v>
      </c>
      <c r="AG236" s="290">
        <v>10425</v>
      </c>
      <c r="AH236" s="290">
        <v>2172.4599176199999</v>
      </c>
      <c r="AI236" s="290">
        <v>1200</v>
      </c>
      <c r="AJ236" s="290">
        <v>0</v>
      </c>
      <c r="AK236" s="290">
        <v>36.908999999999999</v>
      </c>
      <c r="AL236" s="290">
        <v>0</v>
      </c>
      <c r="AM236" s="957">
        <v>0.19997128</v>
      </c>
      <c r="AN236" s="290">
        <v>0</v>
      </c>
      <c r="AO236" s="290">
        <v>-1549.6268500000001</v>
      </c>
      <c r="AP236" s="290">
        <v>0</v>
      </c>
      <c r="AQ236" s="290">
        <v>0</v>
      </c>
      <c r="AR236" s="290">
        <v>1004.2341300000001</v>
      </c>
      <c r="AS236" s="290">
        <v>9141</v>
      </c>
      <c r="AT236" s="290">
        <v>543</v>
      </c>
      <c r="AU236" s="290">
        <v>76</v>
      </c>
      <c r="AV236" s="766">
        <v>323217</v>
      </c>
      <c r="AW236" s="290">
        <v>3250</v>
      </c>
      <c r="AX236" s="766">
        <v>67.749949999999998</v>
      </c>
      <c r="AY236" s="290">
        <v>1778</v>
      </c>
      <c r="AZ236" s="290">
        <v>523</v>
      </c>
      <c r="BA236" s="290">
        <v>249</v>
      </c>
      <c r="BB236" s="290">
        <v>0</v>
      </c>
      <c r="BC236" s="290">
        <v>7756.7922600000002</v>
      </c>
      <c r="BD236" s="290">
        <v>916</v>
      </c>
      <c r="BE236" s="290">
        <v>336970.94400000002</v>
      </c>
      <c r="BF236" s="290">
        <v>0</v>
      </c>
      <c r="BG236" s="290">
        <v>497</v>
      </c>
      <c r="BH236" s="290">
        <v>71</v>
      </c>
      <c r="BI236" s="290">
        <v>33645.073799999998</v>
      </c>
      <c r="BJ236" s="290">
        <v>0</v>
      </c>
      <c r="BK236" s="290">
        <f t="shared" si="3"/>
        <v>0</v>
      </c>
      <c r="BL236" s="290">
        <v>0</v>
      </c>
      <c r="BM236" s="290">
        <v>3962</v>
      </c>
      <c r="BN236" s="290">
        <v>7929</v>
      </c>
      <c r="BO236" s="290">
        <v>2264</v>
      </c>
      <c r="BP236" s="290">
        <v>11</v>
      </c>
      <c r="BQ236" s="290">
        <v>1007</v>
      </c>
      <c r="BR236" s="290">
        <v>-5</v>
      </c>
      <c r="BS236" s="290">
        <v>177</v>
      </c>
      <c r="BT236" s="290">
        <v>0</v>
      </c>
      <c r="BU236" s="290">
        <v>0</v>
      </c>
      <c r="BV236" s="290">
        <v>160</v>
      </c>
      <c r="BW236" s="290"/>
      <c r="BX236" s="290"/>
      <c r="BY236" s="290"/>
    </row>
    <row r="237" spans="1:77" ht="13">
      <c r="A237" s="1">
        <v>4226</v>
      </c>
      <c r="B237" s="2" t="s">
        <v>955</v>
      </c>
      <c r="C237" s="289">
        <v>1680</v>
      </c>
      <c r="D237" s="290">
        <v>31</v>
      </c>
      <c r="E237" s="290">
        <v>98</v>
      </c>
      <c r="F237" s="290">
        <v>223</v>
      </c>
      <c r="G237" s="290">
        <v>153</v>
      </c>
      <c r="H237" s="290">
        <v>907</v>
      </c>
      <c r="I237" s="290">
        <v>182</v>
      </c>
      <c r="J237" s="290">
        <v>65</v>
      </c>
      <c r="K237" s="290">
        <v>18</v>
      </c>
      <c r="L237" s="290">
        <v>14</v>
      </c>
      <c r="M237" s="290">
        <v>112</v>
      </c>
      <c r="N237" s="290">
        <v>6</v>
      </c>
      <c r="O237" s="290">
        <v>24</v>
      </c>
      <c r="P237" s="624">
        <v>13268.437</v>
      </c>
      <c r="Q237" s="624">
        <v>6456.7259999999997</v>
      </c>
      <c r="R237" s="624">
        <v>15</v>
      </c>
      <c r="S237" s="290">
        <v>0</v>
      </c>
      <c r="T237" s="290">
        <v>112</v>
      </c>
      <c r="U237" s="958">
        <v>1.6389340163907298E-3</v>
      </c>
      <c r="V237" s="290">
        <v>999.54911132999996</v>
      </c>
      <c r="W237" s="765">
        <v>0.88600723999999997</v>
      </c>
      <c r="X237" s="290">
        <v>1280</v>
      </c>
      <c r="Y237" s="290">
        <v>273.445944</v>
      </c>
      <c r="Z237" s="290">
        <v>40509</v>
      </c>
      <c r="AA237" s="290">
        <v>263</v>
      </c>
      <c r="AB237" s="290">
        <v>51</v>
      </c>
      <c r="AC237" s="290">
        <v>316.20600000000002</v>
      </c>
      <c r="AD237" s="290">
        <v>167</v>
      </c>
      <c r="AE237" s="290">
        <v>0</v>
      </c>
      <c r="AF237" s="290">
        <v>0</v>
      </c>
      <c r="AG237" s="290">
        <v>1677</v>
      </c>
      <c r="AH237" s="290">
        <v>318.82024081999998</v>
      </c>
      <c r="AI237" s="290">
        <v>251</v>
      </c>
      <c r="AJ237" s="290">
        <v>0</v>
      </c>
      <c r="AK237" s="290">
        <v>0</v>
      </c>
      <c r="AL237" s="290">
        <v>0</v>
      </c>
      <c r="AM237" s="957">
        <v>1.3126260000000001E-2</v>
      </c>
      <c r="AN237" s="290">
        <v>0</v>
      </c>
      <c r="AO237" s="290">
        <v>-298.80962699999998</v>
      </c>
      <c r="AP237" s="290">
        <v>0</v>
      </c>
      <c r="AQ237" s="290">
        <v>0</v>
      </c>
      <c r="AR237" s="290">
        <v>-90.332382800000005</v>
      </c>
      <c r="AS237" s="290">
        <v>875</v>
      </c>
      <c r="AT237" s="290">
        <v>65</v>
      </c>
      <c r="AU237" s="290">
        <v>11</v>
      </c>
      <c r="AV237" s="766">
        <v>70835</v>
      </c>
      <c r="AW237" s="290">
        <v>1560</v>
      </c>
      <c r="AX237" s="766">
        <v>3.75</v>
      </c>
      <c r="AY237" s="290">
        <v>273</v>
      </c>
      <c r="AZ237" s="290">
        <v>52</v>
      </c>
      <c r="BA237" s="290">
        <v>27</v>
      </c>
      <c r="BB237" s="290">
        <v>2938</v>
      </c>
      <c r="BC237" s="290">
        <v>580.38143200000002</v>
      </c>
      <c r="BD237" s="290">
        <v>247</v>
      </c>
      <c r="BE237" s="290">
        <v>75745.451199999996</v>
      </c>
      <c r="BF237" s="290">
        <v>0</v>
      </c>
      <c r="BG237" s="290">
        <v>110</v>
      </c>
      <c r="BH237" s="290">
        <v>16</v>
      </c>
      <c r="BI237" s="290">
        <v>908.47218499999997</v>
      </c>
      <c r="BJ237" s="290">
        <v>0</v>
      </c>
      <c r="BK237" s="290">
        <f t="shared" si="3"/>
        <v>0</v>
      </c>
      <c r="BL237" s="290">
        <v>0</v>
      </c>
      <c r="BM237" s="290">
        <v>0</v>
      </c>
      <c r="BN237" s="290">
        <v>1529</v>
      </c>
      <c r="BO237" s="290">
        <v>364</v>
      </c>
      <c r="BP237" s="290">
        <v>2</v>
      </c>
      <c r="BQ237" s="290">
        <v>164</v>
      </c>
      <c r="BR237" s="290">
        <v>-1</v>
      </c>
      <c r="BS237" s="290">
        <v>50</v>
      </c>
      <c r="BT237" s="290">
        <v>0</v>
      </c>
      <c r="BU237" s="290">
        <v>0</v>
      </c>
      <c r="BV237" s="290">
        <v>36</v>
      </c>
      <c r="BW237" s="290"/>
      <c r="BX237" s="290"/>
      <c r="BY237" s="290"/>
    </row>
    <row r="238" spans="1:77" ht="13">
      <c r="A238" s="1">
        <v>4227</v>
      </c>
      <c r="B238" s="2" t="s">
        <v>956</v>
      </c>
      <c r="C238" s="289">
        <v>5987</v>
      </c>
      <c r="D238" s="290">
        <v>123</v>
      </c>
      <c r="E238" s="290">
        <v>286</v>
      </c>
      <c r="F238" s="290">
        <v>772</v>
      </c>
      <c r="G238" s="290">
        <v>530</v>
      </c>
      <c r="H238" s="290">
        <v>3352</v>
      </c>
      <c r="I238" s="290">
        <v>665</v>
      </c>
      <c r="J238" s="290">
        <v>239</v>
      </c>
      <c r="K238" s="290">
        <v>64</v>
      </c>
      <c r="L238" s="290">
        <v>51</v>
      </c>
      <c r="M238" s="290">
        <v>430</v>
      </c>
      <c r="N238" s="290">
        <v>126</v>
      </c>
      <c r="O238" s="290">
        <v>71</v>
      </c>
      <c r="P238" s="624">
        <v>61985.596333330002</v>
      </c>
      <c r="Q238" s="624">
        <v>16167.319666670001</v>
      </c>
      <c r="R238" s="624">
        <v>34</v>
      </c>
      <c r="S238" s="290">
        <v>0</v>
      </c>
      <c r="T238" s="290">
        <v>508</v>
      </c>
      <c r="U238" s="958">
        <v>3.2350744283876371E-3</v>
      </c>
      <c r="V238" s="290">
        <v>3077.5779753299998</v>
      </c>
      <c r="W238" s="765">
        <v>0.70514416999999996</v>
      </c>
      <c r="X238" s="290">
        <v>0</v>
      </c>
      <c r="Y238" s="290">
        <v>297.82290799999998</v>
      </c>
      <c r="Z238" s="290">
        <v>170527</v>
      </c>
      <c r="AA238" s="290">
        <v>263</v>
      </c>
      <c r="AB238" s="290">
        <v>210</v>
      </c>
      <c r="AC238" s="290">
        <v>1041.5050000000001</v>
      </c>
      <c r="AD238" s="290">
        <v>333</v>
      </c>
      <c r="AE238" s="290">
        <v>0</v>
      </c>
      <c r="AF238" s="290">
        <v>0</v>
      </c>
      <c r="AG238" s="290">
        <v>6031</v>
      </c>
      <c r="AH238" s="290">
        <v>1093.8209169300001</v>
      </c>
      <c r="AI238" s="290">
        <v>150</v>
      </c>
      <c r="AJ238" s="290">
        <v>0</v>
      </c>
      <c r="AK238" s="290">
        <v>1075.501</v>
      </c>
      <c r="AL238" s="290">
        <v>0</v>
      </c>
      <c r="AM238" s="957">
        <v>0.10868607</v>
      </c>
      <c r="AN238" s="290">
        <v>6595</v>
      </c>
      <c r="AO238" s="290">
        <v>-920.02475500000003</v>
      </c>
      <c r="AP238" s="290">
        <v>0</v>
      </c>
      <c r="AQ238" s="290">
        <v>0</v>
      </c>
      <c r="AR238" s="290">
        <v>-324.86261200000001</v>
      </c>
      <c r="AS238" s="290">
        <v>3049</v>
      </c>
      <c r="AT238" s="290">
        <v>357</v>
      </c>
      <c r="AU238" s="290">
        <v>48</v>
      </c>
      <c r="AV238" s="766">
        <v>193787</v>
      </c>
      <c r="AW238" s="290">
        <v>600</v>
      </c>
      <c r="AX238" s="766">
        <v>30.75</v>
      </c>
      <c r="AY238" s="290">
        <v>899</v>
      </c>
      <c r="AZ238" s="290">
        <v>232</v>
      </c>
      <c r="BA238" s="290">
        <v>167</v>
      </c>
      <c r="BB238" s="290">
        <v>0</v>
      </c>
      <c r="BC238" s="290">
        <v>1357.7537199999999</v>
      </c>
      <c r="BD238" s="290">
        <v>570</v>
      </c>
      <c r="BE238" s="290">
        <v>201722.27799999999</v>
      </c>
      <c r="BF238" s="290">
        <v>0</v>
      </c>
      <c r="BG238" s="290">
        <v>300</v>
      </c>
      <c r="BH238" s="290">
        <v>43</v>
      </c>
      <c r="BI238" s="290">
        <v>3508.6498200000001</v>
      </c>
      <c r="BJ238" s="290">
        <v>0</v>
      </c>
      <c r="BK238" s="290">
        <f t="shared" si="3"/>
        <v>0</v>
      </c>
      <c r="BL238" s="290">
        <v>0</v>
      </c>
      <c r="BM238" s="290">
        <v>0</v>
      </c>
      <c r="BN238" s="290">
        <v>4707</v>
      </c>
      <c r="BO238" s="290">
        <v>1136</v>
      </c>
      <c r="BP238" s="290">
        <v>5</v>
      </c>
      <c r="BQ238" s="290">
        <v>596</v>
      </c>
      <c r="BR238" s="290">
        <v>-3</v>
      </c>
      <c r="BS238" s="290">
        <v>106</v>
      </c>
      <c r="BT238" s="290">
        <v>0</v>
      </c>
      <c r="BU238" s="290">
        <v>0</v>
      </c>
      <c r="BV238" s="290">
        <v>96</v>
      </c>
      <c r="BW238" s="290"/>
      <c r="BX238" s="290"/>
      <c r="BY238" s="290"/>
    </row>
    <row r="239" spans="1:77" ht="13">
      <c r="A239" s="1">
        <v>4228</v>
      </c>
      <c r="B239" s="2" t="s">
        <v>957</v>
      </c>
      <c r="C239" s="289">
        <v>1822</v>
      </c>
      <c r="D239" s="290">
        <v>41</v>
      </c>
      <c r="E239" s="290">
        <v>83</v>
      </c>
      <c r="F239" s="290">
        <v>251</v>
      </c>
      <c r="G239" s="290">
        <v>154</v>
      </c>
      <c r="H239" s="290">
        <v>992</v>
      </c>
      <c r="I239" s="290">
        <v>218</v>
      </c>
      <c r="J239" s="290">
        <v>74</v>
      </c>
      <c r="K239" s="290">
        <v>25</v>
      </c>
      <c r="L239" s="290">
        <v>12</v>
      </c>
      <c r="M239" s="290">
        <v>136</v>
      </c>
      <c r="N239" s="290">
        <v>14</v>
      </c>
      <c r="O239" s="290">
        <v>14</v>
      </c>
      <c r="P239" s="624">
        <v>19555.401666670001</v>
      </c>
      <c r="Q239" s="624">
        <v>7605.2960000000003</v>
      </c>
      <c r="R239" s="624">
        <v>8</v>
      </c>
      <c r="S239" s="290">
        <v>0</v>
      </c>
      <c r="T239" s="290">
        <v>156</v>
      </c>
      <c r="U239" s="958">
        <v>1.8458210894093481E-3</v>
      </c>
      <c r="V239" s="290">
        <v>1040.72714576</v>
      </c>
      <c r="W239" s="765">
        <v>1</v>
      </c>
      <c r="X239" s="290">
        <v>0</v>
      </c>
      <c r="Y239" s="290">
        <v>0</v>
      </c>
      <c r="Z239" s="290">
        <v>106256</v>
      </c>
      <c r="AA239" s="290">
        <v>263</v>
      </c>
      <c r="AB239" s="290">
        <v>35</v>
      </c>
      <c r="AC239" s="290">
        <v>348.46</v>
      </c>
      <c r="AD239" s="290">
        <v>167</v>
      </c>
      <c r="AE239" s="290">
        <v>0</v>
      </c>
      <c r="AF239" s="290">
        <v>0</v>
      </c>
      <c r="AG239" s="290">
        <v>1838</v>
      </c>
      <c r="AH239" s="290">
        <v>341.23164097</v>
      </c>
      <c r="AI239" s="290">
        <v>0</v>
      </c>
      <c r="AJ239" s="290">
        <v>0</v>
      </c>
      <c r="AK239" s="290">
        <v>28.213000000000001</v>
      </c>
      <c r="AL239" s="290">
        <v>0</v>
      </c>
      <c r="AM239" s="957">
        <v>1.001324E-2</v>
      </c>
      <c r="AN239" s="290">
        <v>0</v>
      </c>
      <c r="AO239" s="290">
        <v>-311.11957000000001</v>
      </c>
      <c r="AP239" s="290">
        <v>0</v>
      </c>
      <c r="AQ239" s="290">
        <v>0</v>
      </c>
      <c r="AR239" s="290">
        <v>-99.004722400000006</v>
      </c>
      <c r="AS239" s="290">
        <v>464</v>
      </c>
      <c r="AT239" s="290">
        <v>83</v>
      </c>
      <c r="AU239" s="290">
        <v>8</v>
      </c>
      <c r="AV239" s="766">
        <v>69127</v>
      </c>
      <c r="AW239" s="290">
        <v>100</v>
      </c>
      <c r="AX239" s="766">
        <v>12.458349999999999</v>
      </c>
      <c r="AY239" s="290">
        <v>351</v>
      </c>
      <c r="AZ239" s="290">
        <v>51</v>
      </c>
      <c r="BA239" s="290">
        <v>15</v>
      </c>
      <c r="BB239" s="290">
        <v>0</v>
      </c>
      <c r="BC239" s="290">
        <v>329.79970200000002</v>
      </c>
      <c r="BD239" s="290">
        <v>274</v>
      </c>
      <c r="BE239" s="290">
        <v>71511.248099999997</v>
      </c>
      <c r="BF239" s="290">
        <v>0</v>
      </c>
      <c r="BG239" s="290">
        <v>125</v>
      </c>
      <c r="BH239" s="290">
        <v>18</v>
      </c>
      <c r="BI239" s="290">
        <v>717.90464099999997</v>
      </c>
      <c r="BJ239" s="290">
        <v>0</v>
      </c>
      <c r="BK239" s="290">
        <f t="shared" si="3"/>
        <v>0</v>
      </c>
      <c r="BL239" s="290">
        <v>0</v>
      </c>
      <c r="BM239" s="290">
        <v>0</v>
      </c>
      <c r="BN239" s="290">
        <v>1592</v>
      </c>
      <c r="BO239" s="290">
        <v>365</v>
      </c>
      <c r="BP239" s="290">
        <v>2</v>
      </c>
      <c r="BQ239" s="290">
        <v>258</v>
      </c>
      <c r="BR239" s="290">
        <v>-1</v>
      </c>
      <c r="BS239" s="290">
        <v>50</v>
      </c>
      <c r="BT239" s="290">
        <v>0</v>
      </c>
      <c r="BU239" s="290">
        <v>0</v>
      </c>
      <c r="BV239" s="290">
        <v>40</v>
      </c>
      <c r="BW239" s="290"/>
      <c r="BX239" s="290"/>
      <c r="BY239" s="290"/>
    </row>
    <row r="240" spans="1:77" ht="13">
      <c r="A240" s="1">
        <v>4601</v>
      </c>
      <c r="B240" s="2" t="s">
        <v>23</v>
      </c>
      <c r="C240" s="289">
        <v>283929</v>
      </c>
      <c r="D240" s="290">
        <v>6293</v>
      </c>
      <c r="E240" s="290">
        <v>12689</v>
      </c>
      <c r="F240" s="290">
        <v>31243</v>
      </c>
      <c r="G240" s="290">
        <v>24432</v>
      </c>
      <c r="H240" s="290">
        <v>168413</v>
      </c>
      <c r="I240" s="290">
        <v>26884</v>
      </c>
      <c r="J240" s="290">
        <v>9559</v>
      </c>
      <c r="K240" s="290">
        <v>2463</v>
      </c>
      <c r="L240" s="290">
        <v>2042</v>
      </c>
      <c r="M240" s="290">
        <v>17708</v>
      </c>
      <c r="N240" s="290">
        <v>7833</v>
      </c>
      <c r="O240" s="290">
        <v>2323</v>
      </c>
      <c r="P240" s="624">
        <v>1013095.9803333</v>
      </c>
      <c r="Q240" s="624">
        <v>347267.22399999999</v>
      </c>
      <c r="R240" s="624">
        <v>1041</v>
      </c>
      <c r="S240" s="290">
        <v>0</v>
      </c>
      <c r="T240" s="290">
        <v>27602</v>
      </c>
      <c r="U240" s="958">
        <v>3.2001594048020549E-3</v>
      </c>
      <c r="V240" s="290">
        <v>-42477.869133580003</v>
      </c>
      <c r="W240" s="765">
        <v>0.53721934999999998</v>
      </c>
      <c r="X240" s="290">
        <v>16000</v>
      </c>
      <c r="Y240" s="290">
        <v>4698.3948440000004</v>
      </c>
      <c r="Z240" s="290">
        <v>9404048</v>
      </c>
      <c r="AA240" s="290">
        <v>0</v>
      </c>
      <c r="AB240" s="290">
        <v>4908</v>
      </c>
      <c r="AC240" s="290">
        <v>39352.266000000003</v>
      </c>
      <c r="AD240" s="290">
        <v>1167</v>
      </c>
      <c r="AE240" s="290">
        <v>0</v>
      </c>
      <c r="AF240" s="290">
        <v>0</v>
      </c>
      <c r="AG240" s="290">
        <v>281976</v>
      </c>
      <c r="AH240" s="290">
        <v>45213.915377060002</v>
      </c>
      <c r="AI240" s="290">
        <v>11950</v>
      </c>
      <c r="AJ240" s="290">
        <v>0</v>
      </c>
      <c r="AK240" s="290">
        <v>0</v>
      </c>
      <c r="AL240" s="290">
        <v>0</v>
      </c>
      <c r="AM240" s="957">
        <v>9.8367219200000005</v>
      </c>
      <c r="AN240" s="290">
        <v>0</v>
      </c>
      <c r="AO240" s="290">
        <v>-36995.546799999996</v>
      </c>
      <c r="AP240" s="290">
        <v>107696</v>
      </c>
      <c r="AQ240" s="290">
        <v>0</v>
      </c>
      <c r="AR240" s="290">
        <v>-15188.768</v>
      </c>
      <c r="AS240" s="290">
        <v>29006</v>
      </c>
      <c r="AT240" s="290">
        <v>13450</v>
      </c>
      <c r="AU240" s="290">
        <v>3993</v>
      </c>
      <c r="AV240" s="766">
        <v>6325989</v>
      </c>
      <c r="AW240" s="290">
        <v>149526.55100000001</v>
      </c>
      <c r="AX240" s="766">
        <v>2329.375</v>
      </c>
      <c r="AY240" s="290">
        <v>91936</v>
      </c>
      <c r="AZ240" s="290">
        <v>14482</v>
      </c>
      <c r="BA240" s="290">
        <v>5625</v>
      </c>
      <c r="BB240" s="290">
        <v>0</v>
      </c>
      <c r="BC240" s="290">
        <v>48391.897100000002</v>
      </c>
      <c r="BD240" s="290">
        <v>22540</v>
      </c>
      <c r="BE240" s="290">
        <v>6577836.3600000003</v>
      </c>
      <c r="BF240" s="290">
        <v>0</v>
      </c>
      <c r="BG240" s="290">
        <v>11352</v>
      </c>
      <c r="BH240" s="290">
        <v>1620</v>
      </c>
      <c r="BI240" s="290">
        <v>89264.576199999996</v>
      </c>
      <c r="BJ240" s="290">
        <v>32140</v>
      </c>
      <c r="BK240" s="290">
        <f t="shared" si="3"/>
        <v>0</v>
      </c>
      <c r="BL240" s="290">
        <v>0</v>
      </c>
      <c r="BM240" s="290">
        <v>0</v>
      </c>
      <c r="BN240" s="290">
        <v>189290</v>
      </c>
      <c r="BO240" s="290">
        <v>52624</v>
      </c>
      <c r="BP240" s="290">
        <v>274</v>
      </c>
      <c r="BQ240" s="290">
        <v>29537</v>
      </c>
      <c r="BR240" s="290">
        <v>-132</v>
      </c>
      <c r="BS240" s="290">
        <v>3229</v>
      </c>
      <c r="BT240" s="290">
        <v>0</v>
      </c>
      <c r="BU240" s="290">
        <v>0</v>
      </c>
      <c r="BV240" s="290">
        <v>3649</v>
      </c>
      <c r="BW240" s="290"/>
      <c r="BX240" s="290"/>
      <c r="BY240" s="290"/>
    </row>
    <row r="241" spans="1:77" ht="13">
      <c r="A241" s="1">
        <v>4602</v>
      </c>
      <c r="B241" s="2" t="s">
        <v>1631</v>
      </c>
      <c r="C241" s="289">
        <v>17207</v>
      </c>
      <c r="D241" s="290">
        <v>296</v>
      </c>
      <c r="E241" s="290">
        <v>726</v>
      </c>
      <c r="F241" s="290">
        <v>2323</v>
      </c>
      <c r="G241" s="290">
        <v>1652</v>
      </c>
      <c r="H241" s="290">
        <v>9537</v>
      </c>
      <c r="I241" s="290">
        <v>1917</v>
      </c>
      <c r="J241" s="290">
        <v>653</v>
      </c>
      <c r="K241" s="290">
        <v>168</v>
      </c>
      <c r="L241" s="290">
        <v>131</v>
      </c>
      <c r="M241" s="290">
        <v>1184</v>
      </c>
      <c r="N241" s="290">
        <v>334</v>
      </c>
      <c r="O241" s="290">
        <v>224</v>
      </c>
      <c r="P241" s="624">
        <v>126570.83133333</v>
      </c>
      <c r="Q241" s="624">
        <v>46669.875666669999</v>
      </c>
      <c r="R241" s="624">
        <v>80</v>
      </c>
      <c r="S241" s="290">
        <v>0</v>
      </c>
      <c r="T241" s="290">
        <v>1323</v>
      </c>
      <c r="U241" s="958">
        <v>3.8318684969907268E-3</v>
      </c>
      <c r="V241" s="290">
        <v>8229.7919345699993</v>
      </c>
      <c r="W241" s="765">
        <v>0.63179501000000005</v>
      </c>
      <c r="X241" s="290">
        <v>12900</v>
      </c>
      <c r="Y241" s="290">
        <v>724.94971199999998</v>
      </c>
      <c r="Z241" s="290">
        <v>549252</v>
      </c>
      <c r="AA241" s="290">
        <v>0</v>
      </c>
      <c r="AB241" s="290">
        <v>323</v>
      </c>
      <c r="AC241" s="290">
        <v>3214.58</v>
      </c>
      <c r="AD241" s="290">
        <v>333</v>
      </c>
      <c r="AE241" s="290">
        <v>0</v>
      </c>
      <c r="AF241" s="290">
        <v>16397.0304</v>
      </c>
      <c r="AG241" s="290">
        <v>17272</v>
      </c>
      <c r="AH241" s="290">
        <v>3096.3879624599999</v>
      </c>
      <c r="AI241" s="290">
        <v>4200</v>
      </c>
      <c r="AJ241" s="290">
        <v>0</v>
      </c>
      <c r="AK241" s="290">
        <v>46.222999999999999</v>
      </c>
      <c r="AL241" s="290">
        <v>0</v>
      </c>
      <c r="AM241" s="957">
        <v>0.31302493999999997</v>
      </c>
      <c r="AN241" s="290">
        <v>0</v>
      </c>
      <c r="AO241" s="290">
        <v>-2460.25036</v>
      </c>
      <c r="AP241" s="290">
        <v>0</v>
      </c>
      <c r="AQ241" s="290">
        <v>-12725.65</v>
      </c>
      <c r="AR241" s="290">
        <v>7049.5831399999997</v>
      </c>
      <c r="AS241" s="290">
        <v>9404</v>
      </c>
      <c r="AT241" s="290">
        <v>699</v>
      </c>
      <c r="AU241" s="290">
        <v>184</v>
      </c>
      <c r="AV241" s="766">
        <v>532911</v>
      </c>
      <c r="AW241" s="290">
        <v>6249.3239999999996</v>
      </c>
      <c r="AX241" s="766">
        <v>92.766850000000005</v>
      </c>
      <c r="AY241" s="290">
        <v>3340</v>
      </c>
      <c r="AZ241" s="290">
        <v>729</v>
      </c>
      <c r="BA241" s="290">
        <v>367</v>
      </c>
      <c r="BB241" s="290">
        <v>0</v>
      </c>
      <c r="BC241" s="290">
        <v>11797.7611</v>
      </c>
      <c r="BD241" s="290">
        <v>1454</v>
      </c>
      <c r="BE241" s="290">
        <v>519169.538</v>
      </c>
      <c r="BF241" s="290">
        <v>0</v>
      </c>
      <c r="BG241" s="290">
        <v>788</v>
      </c>
      <c r="BH241" s="290">
        <v>113</v>
      </c>
      <c r="BI241" s="290">
        <v>23479.1711</v>
      </c>
      <c r="BJ241" s="290">
        <v>0</v>
      </c>
      <c r="BK241" s="290">
        <f t="shared" si="3"/>
        <v>0</v>
      </c>
      <c r="BL241" s="290">
        <v>0</v>
      </c>
      <c r="BM241" s="290">
        <v>4433</v>
      </c>
      <c r="BN241" s="290">
        <v>12588</v>
      </c>
      <c r="BO241" s="290">
        <v>3114</v>
      </c>
      <c r="BP241" s="290">
        <v>14</v>
      </c>
      <c r="BQ241" s="290">
        <v>1789</v>
      </c>
      <c r="BR241" s="290">
        <v>-8</v>
      </c>
      <c r="BS241" s="290">
        <v>253</v>
      </c>
      <c r="BT241" s="290">
        <v>0</v>
      </c>
      <c r="BU241" s="290">
        <v>0</v>
      </c>
      <c r="BV241" s="290">
        <v>253</v>
      </c>
      <c r="BW241" s="290"/>
      <c r="BX241" s="290"/>
      <c r="BY241" s="290"/>
    </row>
    <row r="242" spans="1:77" ht="13">
      <c r="A242" s="1">
        <v>4611</v>
      </c>
      <c r="B242" s="2" t="s">
        <v>24</v>
      </c>
      <c r="C242" s="289">
        <v>4062</v>
      </c>
      <c r="D242" s="290">
        <v>109</v>
      </c>
      <c r="E242" s="290">
        <v>192</v>
      </c>
      <c r="F242" s="290">
        <v>521</v>
      </c>
      <c r="G242" s="290">
        <v>358</v>
      </c>
      <c r="H242" s="290">
        <v>2172</v>
      </c>
      <c r="I242" s="290">
        <v>499</v>
      </c>
      <c r="J242" s="290">
        <v>176</v>
      </c>
      <c r="K242" s="290">
        <v>63</v>
      </c>
      <c r="L242" s="290">
        <v>29</v>
      </c>
      <c r="M242" s="290">
        <v>304</v>
      </c>
      <c r="N242" s="290">
        <v>25</v>
      </c>
      <c r="O242" s="290">
        <v>38</v>
      </c>
      <c r="P242" s="624">
        <v>42139.314666669998</v>
      </c>
      <c r="Q242" s="624">
        <v>11713.31666667</v>
      </c>
      <c r="R242" s="624">
        <v>17</v>
      </c>
      <c r="S242" s="290">
        <v>0</v>
      </c>
      <c r="T242" s="290">
        <v>275</v>
      </c>
      <c r="U242" s="958">
        <v>3.4124132489261687E-3</v>
      </c>
      <c r="V242" s="290">
        <v>2098.1882584700002</v>
      </c>
      <c r="W242" s="765">
        <v>0.76993268000000004</v>
      </c>
      <c r="X242" s="290">
        <v>3300</v>
      </c>
      <c r="Y242" s="290">
        <v>427.12680399999999</v>
      </c>
      <c r="Z242" s="290">
        <v>110596</v>
      </c>
      <c r="AA242" s="290">
        <v>0</v>
      </c>
      <c r="AB242" s="290">
        <v>84</v>
      </c>
      <c r="AC242" s="290">
        <v>739.79700000000003</v>
      </c>
      <c r="AD242" s="290">
        <v>333</v>
      </c>
      <c r="AE242" s="290">
        <v>0</v>
      </c>
      <c r="AF242" s="290">
        <v>0</v>
      </c>
      <c r="AG242" s="290">
        <v>4090</v>
      </c>
      <c r="AH242" s="290">
        <v>751.14337917</v>
      </c>
      <c r="AI242" s="290">
        <v>100</v>
      </c>
      <c r="AJ242" s="290">
        <v>0</v>
      </c>
      <c r="AK242" s="290">
        <v>136.554</v>
      </c>
      <c r="AL242" s="290">
        <v>0</v>
      </c>
      <c r="AM242" s="957">
        <v>3.2851060000000001E-2</v>
      </c>
      <c r="AN242" s="290">
        <v>1197</v>
      </c>
      <c r="AO242" s="290">
        <v>-627.24166700000001</v>
      </c>
      <c r="AP242" s="290">
        <v>0</v>
      </c>
      <c r="AQ242" s="290">
        <v>0</v>
      </c>
      <c r="AR242" s="290">
        <v>793.11876099999995</v>
      </c>
      <c r="AS242" s="290">
        <v>1329</v>
      </c>
      <c r="AT242" s="290">
        <v>128</v>
      </c>
      <c r="AU242" s="290">
        <v>27</v>
      </c>
      <c r="AV242" s="766">
        <v>136342</v>
      </c>
      <c r="AW242" s="290">
        <v>3460</v>
      </c>
      <c r="AX242" s="766">
        <v>23.750050000000002</v>
      </c>
      <c r="AY242" s="290">
        <v>697</v>
      </c>
      <c r="AZ242" s="290">
        <v>158</v>
      </c>
      <c r="BA242" s="290">
        <v>61</v>
      </c>
      <c r="BB242" s="290">
        <v>0</v>
      </c>
      <c r="BC242" s="290">
        <v>1147.09475</v>
      </c>
      <c r="BD242" s="290">
        <v>424</v>
      </c>
      <c r="BE242" s="290">
        <v>137837.31700000001</v>
      </c>
      <c r="BF242" s="290">
        <v>0</v>
      </c>
      <c r="BG242" s="290">
        <v>221</v>
      </c>
      <c r="BH242" s="290">
        <v>32</v>
      </c>
      <c r="BI242" s="290">
        <v>2054.6211800000001</v>
      </c>
      <c r="BJ242" s="290">
        <v>0</v>
      </c>
      <c r="BK242" s="290">
        <f t="shared" si="3"/>
        <v>0</v>
      </c>
      <c r="BL242" s="290">
        <v>0</v>
      </c>
      <c r="BM242" s="290">
        <v>0</v>
      </c>
      <c r="BN242" s="290">
        <v>3209</v>
      </c>
      <c r="BO242" s="290">
        <v>778</v>
      </c>
      <c r="BP242" s="290">
        <v>4</v>
      </c>
      <c r="BQ242" s="290">
        <v>398</v>
      </c>
      <c r="BR242" s="290">
        <v>-2</v>
      </c>
      <c r="BS242" s="290">
        <v>50</v>
      </c>
      <c r="BT242" s="290">
        <v>0</v>
      </c>
      <c r="BU242" s="290">
        <v>0</v>
      </c>
      <c r="BV242" s="290">
        <v>71</v>
      </c>
      <c r="BW242" s="290"/>
      <c r="BX242" s="290"/>
      <c r="BY242" s="290"/>
    </row>
    <row r="243" spans="1:77" ht="13">
      <c r="A243" s="1">
        <v>4612</v>
      </c>
      <c r="B243" s="2" t="s">
        <v>25</v>
      </c>
      <c r="C243" s="289">
        <v>5766</v>
      </c>
      <c r="D243" s="290">
        <v>141</v>
      </c>
      <c r="E243" s="290">
        <v>294</v>
      </c>
      <c r="F243" s="290">
        <v>837</v>
      </c>
      <c r="G243" s="290">
        <v>513</v>
      </c>
      <c r="H243" s="290">
        <v>3123</v>
      </c>
      <c r="I243" s="290">
        <v>639</v>
      </c>
      <c r="J243" s="290">
        <v>172</v>
      </c>
      <c r="K243" s="290">
        <v>38</v>
      </c>
      <c r="L243" s="290">
        <v>42</v>
      </c>
      <c r="M243" s="290">
        <v>282</v>
      </c>
      <c r="N243" s="290">
        <v>52</v>
      </c>
      <c r="O243" s="290">
        <v>63</v>
      </c>
      <c r="P243" s="624">
        <v>44267.512666670002</v>
      </c>
      <c r="Q243" s="624">
        <v>18497.511999999999</v>
      </c>
      <c r="R243" s="624">
        <v>25</v>
      </c>
      <c r="S243" s="290">
        <v>0</v>
      </c>
      <c r="T243" s="290">
        <v>369</v>
      </c>
      <c r="U243" s="958">
        <v>3.3190680592947728E-3</v>
      </c>
      <c r="V243" s="290">
        <v>1612.93707769</v>
      </c>
      <c r="W243" s="765">
        <v>0.71386046000000003</v>
      </c>
      <c r="X243" s="290">
        <v>3400</v>
      </c>
      <c r="Y243" s="290">
        <v>427.12680399999999</v>
      </c>
      <c r="Z243" s="290">
        <v>146291</v>
      </c>
      <c r="AA243" s="290">
        <v>0</v>
      </c>
      <c r="AB243" s="290">
        <v>112</v>
      </c>
      <c r="AC243" s="290">
        <v>1110.1189999999999</v>
      </c>
      <c r="AD243" s="290">
        <v>333</v>
      </c>
      <c r="AE243" s="290">
        <v>0</v>
      </c>
      <c r="AF243" s="290">
        <v>0</v>
      </c>
      <c r="AG243" s="290">
        <v>5757</v>
      </c>
      <c r="AH243" s="290">
        <v>1151.65678828</v>
      </c>
      <c r="AI243" s="290">
        <v>0</v>
      </c>
      <c r="AJ243" s="290">
        <v>0</v>
      </c>
      <c r="AK243" s="290">
        <v>0</v>
      </c>
      <c r="AL243" s="290">
        <v>0</v>
      </c>
      <c r="AM243" s="957">
        <v>0.11190857999999999</v>
      </c>
      <c r="AN243" s="290">
        <v>0</v>
      </c>
      <c r="AO243" s="290">
        <v>-844.85790199999997</v>
      </c>
      <c r="AP243" s="290">
        <v>0</v>
      </c>
      <c r="AQ243" s="290">
        <v>0</v>
      </c>
      <c r="AR243" s="290">
        <v>-211.748649</v>
      </c>
      <c r="AS243" s="290">
        <v>595</v>
      </c>
      <c r="AT243" s="290">
        <v>245</v>
      </c>
      <c r="AU243" s="290">
        <v>65</v>
      </c>
      <c r="AV243" s="766">
        <v>172181</v>
      </c>
      <c r="AW243" s="290">
        <v>3040</v>
      </c>
      <c r="AX243" s="766">
        <v>48.291649999999997</v>
      </c>
      <c r="AY243" s="290">
        <v>1040</v>
      </c>
      <c r="AZ243" s="290">
        <v>230</v>
      </c>
      <c r="BA243" s="290">
        <v>115</v>
      </c>
      <c r="BB243" s="290">
        <v>0</v>
      </c>
      <c r="BC243" s="290">
        <v>1538.9497899999999</v>
      </c>
      <c r="BD243" s="290">
        <v>550</v>
      </c>
      <c r="BE243" s="290">
        <v>174330.31899999999</v>
      </c>
      <c r="BF243" s="290">
        <v>0</v>
      </c>
      <c r="BG243" s="290">
        <v>283</v>
      </c>
      <c r="BH243" s="290">
        <v>40</v>
      </c>
      <c r="BI243" s="290">
        <v>2688.9025900000001</v>
      </c>
      <c r="BJ243" s="290">
        <v>0</v>
      </c>
      <c r="BK243" s="290">
        <f t="shared" si="3"/>
        <v>0</v>
      </c>
      <c r="BL243" s="290">
        <v>0</v>
      </c>
      <c r="BM243" s="290">
        <v>0</v>
      </c>
      <c r="BN243" s="290">
        <v>4323</v>
      </c>
      <c r="BO243" s="290">
        <v>1218</v>
      </c>
      <c r="BP243" s="290">
        <v>6</v>
      </c>
      <c r="BQ243" s="290">
        <v>556</v>
      </c>
      <c r="BR243" s="290">
        <v>-3</v>
      </c>
      <c r="BS243" s="290">
        <v>91</v>
      </c>
      <c r="BT243" s="290">
        <v>0</v>
      </c>
      <c r="BU243" s="290">
        <v>0</v>
      </c>
      <c r="BV243" s="290">
        <v>91</v>
      </c>
      <c r="BW243" s="290"/>
      <c r="BX243" s="290"/>
      <c r="BY243" s="290"/>
    </row>
    <row r="244" spans="1:77" ht="13">
      <c r="A244" s="1">
        <v>4613</v>
      </c>
      <c r="B244" s="2" t="s">
        <v>26</v>
      </c>
      <c r="C244" s="289">
        <v>11957</v>
      </c>
      <c r="D244" s="290">
        <v>238</v>
      </c>
      <c r="E244" s="290">
        <v>594</v>
      </c>
      <c r="F244" s="290">
        <v>1741</v>
      </c>
      <c r="G244" s="290">
        <v>1184</v>
      </c>
      <c r="H244" s="290">
        <v>6373</v>
      </c>
      <c r="I244" s="290">
        <v>1340</v>
      </c>
      <c r="J244" s="290">
        <v>366</v>
      </c>
      <c r="K244" s="290">
        <v>147</v>
      </c>
      <c r="L244" s="290">
        <v>88</v>
      </c>
      <c r="M244" s="290">
        <v>689</v>
      </c>
      <c r="N244" s="290">
        <v>164</v>
      </c>
      <c r="O244" s="290">
        <v>136</v>
      </c>
      <c r="P244" s="624">
        <v>51325.28333333</v>
      </c>
      <c r="Q244" s="624">
        <v>29011.567666669998</v>
      </c>
      <c r="R244" s="624">
        <v>58</v>
      </c>
      <c r="S244" s="290">
        <v>0</v>
      </c>
      <c r="T244" s="290">
        <v>734</v>
      </c>
      <c r="U244" s="958">
        <v>2.6277679057412932E-3</v>
      </c>
      <c r="V244" s="290">
        <v>5818.6936486300001</v>
      </c>
      <c r="W244" s="765">
        <v>0.67142690000000005</v>
      </c>
      <c r="X244" s="290">
        <v>7100</v>
      </c>
      <c r="Y244" s="290">
        <v>427.12680399999999</v>
      </c>
      <c r="Z244" s="290">
        <v>334069</v>
      </c>
      <c r="AA244" s="290">
        <v>0</v>
      </c>
      <c r="AB244" s="290">
        <v>226</v>
      </c>
      <c r="AC244" s="290">
        <v>2214.0839999999998</v>
      </c>
      <c r="AD244" s="290">
        <v>333</v>
      </c>
      <c r="AE244" s="290">
        <v>0</v>
      </c>
      <c r="AF244" s="290">
        <v>0</v>
      </c>
      <c r="AG244" s="290">
        <v>11983</v>
      </c>
      <c r="AH244" s="290">
        <v>2371.9936737799999</v>
      </c>
      <c r="AI244" s="290">
        <v>0</v>
      </c>
      <c r="AJ244" s="290">
        <v>0</v>
      </c>
      <c r="AK244" s="290">
        <v>0</v>
      </c>
      <c r="AL244" s="290">
        <v>0</v>
      </c>
      <c r="AM244" s="957">
        <v>0.16455388000000001</v>
      </c>
      <c r="AN244" s="290">
        <v>0</v>
      </c>
      <c r="AO244" s="290">
        <v>-1739.4659799999999</v>
      </c>
      <c r="AP244" s="290">
        <v>0</v>
      </c>
      <c r="AQ244" s="290">
        <v>0</v>
      </c>
      <c r="AR244" s="290">
        <v>-645.46985299999994</v>
      </c>
      <c r="AS244" s="290">
        <v>4033</v>
      </c>
      <c r="AT244" s="290">
        <v>505</v>
      </c>
      <c r="AU244" s="290">
        <v>118</v>
      </c>
      <c r="AV244" s="766">
        <v>345526</v>
      </c>
      <c r="AW244" s="290">
        <v>3045.2049999999999</v>
      </c>
      <c r="AX244" s="766">
        <v>89.625050000000002</v>
      </c>
      <c r="AY244" s="290">
        <v>2089</v>
      </c>
      <c r="AZ244" s="290">
        <v>395</v>
      </c>
      <c r="BA244" s="290">
        <v>189</v>
      </c>
      <c r="BB244" s="290">
        <v>0</v>
      </c>
      <c r="BC244" s="290">
        <v>2710.3314</v>
      </c>
      <c r="BD244" s="290">
        <v>1040</v>
      </c>
      <c r="BE244" s="290">
        <v>357132.91600000003</v>
      </c>
      <c r="BF244" s="290">
        <v>0</v>
      </c>
      <c r="BG244" s="290">
        <v>545</v>
      </c>
      <c r="BH244" s="290">
        <v>78</v>
      </c>
      <c r="BI244" s="290">
        <v>5013.2044800000003</v>
      </c>
      <c r="BJ244" s="290">
        <v>0</v>
      </c>
      <c r="BK244" s="290">
        <f t="shared" si="3"/>
        <v>0</v>
      </c>
      <c r="BL244" s="290">
        <v>0</v>
      </c>
      <c r="BM244" s="290">
        <v>0</v>
      </c>
      <c r="BN244" s="290">
        <v>8900</v>
      </c>
      <c r="BO244" s="290">
        <v>2443</v>
      </c>
      <c r="BP244" s="290">
        <v>12</v>
      </c>
      <c r="BQ244" s="290">
        <v>1168</v>
      </c>
      <c r="BR244" s="290">
        <v>-6</v>
      </c>
      <c r="BS244" s="290">
        <v>153</v>
      </c>
      <c r="BT244" s="290">
        <v>0</v>
      </c>
      <c r="BU244" s="290">
        <v>0</v>
      </c>
      <c r="BV244" s="290">
        <v>175</v>
      </c>
      <c r="BW244" s="290"/>
      <c r="BX244" s="290"/>
      <c r="BY244" s="290"/>
    </row>
    <row r="245" spans="1:77" ht="13">
      <c r="A245" s="1">
        <v>4614</v>
      </c>
      <c r="B245" s="2" t="s">
        <v>27</v>
      </c>
      <c r="C245" s="289">
        <v>18759</v>
      </c>
      <c r="D245" s="290">
        <v>425</v>
      </c>
      <c r="E245" s="290">
        <v>949</v>
      </c>
      <c r="F245" s="290">
        <v>2485</v>
      </c>
      <c r="G245" s="290">
        <v>1783</v>
      </c>
      <c r="H245" s="290">
        <v>10374</v>
      </c>
      <c r="I245" s="290">
        <v>2012</v>
      </c>
      <c r="J245" s="290">
        <v>621</v>
      </c>
      <c r="K245" s="290">
        <v>135</v>
      </c>
      <c r="L245" s="290">
        <v>124</v>
      </c>
      <c r="M245" s="290">
        <v>968</v>
      </c>
      <c r="N245" s="290">
        <v>308</v>
      </c>
      <c r="O245" s="290">
        <v>165</v>
      </c>
      <c r="P245" s="624">
        <v>39818.434333329998</v>
      </c>
      <c r="Q245" s="624">
        <v>22806.321666669999</v>
      </c>
      <c r="R245" s="624">
        <v>74</v>
      </c>
      <c r="S245" s="290">
        <v>0</v>
      </c>
      <c r="T245" s="290">
        <v>1364</v>
      </c>
      <c r="U245" s="958">
        <v>1.542471283768429E-3</v>
      </c>
      <c r="V245" s="290">
        <v>8487.2128040099997</v>
      </c>
      <c r="W245" s="765">
        <v>0.55011867999999997</v>
      </c>
      <c r="X245" s="290">
        <v>2200</v>
      </c>
      <c r="Y245" s="290">
        <v>427.12680399999999</v>
      </c>
      <c r="Z245" s="290">
        <v>543385</v>
      </c>
      <c r="AA245" s="290">
        <v>0</v>
      </c>
      <c r="AB245" s="290">
        <v>417</v>
      </c>
      <c r="AC245" s="290">
        <v>6913.1319999999996</v>
      </c>
      <c r="AD245" s="290">
        <v>333</v>
      </c>
      <c r="AE245" s="290">
        <v>0</v>
      </c>
      <c r="AF245" s="290">
        <v>0</v>
      </c>
      <c r="AG245" s="290">
        <v>18784</v>
      </c>
      <c r="AH245" s="290">
        <v>3533.0487911599998</v>
      </c>
      <c r="AI245" s="290">
        <v>1250</v>
      </c>
      <c r="AJ245" s="290">
        <v>0</v>
      </c>
      <c r="AK245" s="290">
        <v>0</v>
      </c>
      <c r="AL245" s="290">
        <v>0</v>
      </c>
      <c r="AM245" s="957">
        <v>0.36070139000000001</v>
      </c>
      <c r="AN245" s="290">
        <v>0</v>
      </c>
      <c r="AO245" s="290">
        <v>-2537.20489</v>
      </c>
      <c r="AP245" s="290">
        <v>0</v>
      </c>
      <c r="AQ245" s="290">
        <v>0</v>
      </c>
      <c r="AR245" s="290">
        <v>574.85271399999999</v>
      </c>
      <c r="AS245" s="290">
        <v>5687</v>
      </c>
      <c r="AT245" s="290">
        <v>901</v>
      </c>
      <c r="AU245" s="290">
        <v>179</v>
      </c>
      <c r="AV245" s="766">
        <v>463946</v>
      </c>
      <c r="AW245" s="290">
        <v>11870.027</v>
      </c>
      <c r="AX245" s="766">
        <v>114.58335</v>
      </c>
      <c r="AY245" s="290">
        <v>4395</v>
      </c>
      <c r="AZ245" s="290">
        <v>782</v>
      </c>
      <c r="BA245" s="290">
        <v>409</v>
      </c>
      <c r="BB245" s="290">
        <v>0</v>
      </c>
      <c r="BC245" s="290">
        <v>3853.1257099999998</v>
      </c>
      <c r="BD245" s="290">
        <v>1567</v>
      </c>
      <c r="BE245" s="290">
        <v>477478.77299999999</v>
      </c>
      <c r="BF245" s="290">
        <v>0</v>
      </c>
      <c r="BG245" s="290">
        <v>791</v>
      </c>
      <c r="BH245" s="290">
        <v>113</v>
      </c>
      <c r="BI245" s="290">
        <v>10873.3076</v>
      </c>
      <c r="BJ245" s="290">
        <v>0</v>
      </c>
      <c r="BK245" s="290">
        <f t="shared" si="3"/>
        <v>0</v>
      </c>
      <c r="BL245" s="290">
        <v>0</v>
      </c>
      <c r="BM245" s="290">
        <v>0</v>
      </c>
      <c r="BN245" s="290">
        <v>12982</v>
      </c>
      <c r="BO245" s="290">
        <v>3741</v>
      </c>
      <c r="BP245" s="290">
        <v>19</v>
      </c>
      <c r="BQ245" s="290">
        <v>1833</v>
      </c>
      <c r="BR245" s="290">
        <v>-9</v>
      </c>
      <c r="BS245" s="290">
        <v>218</v>
      </c>
      <c r="BT245" s="290">
        <v>0</v>
      </c>
      <c r="BU245" s="290">
        <v>0</v>
      </c>
      <c r="BV245" s="290">
        <v>254</v>
      </c>
      <c r="BW245" s="290"/>
      <c r="BX245" s="290"/>
      <c r="BY245" s="290"/>
    </row>
    <row r="246" spans="1:77" ht="13">
      <c r="A246" s="1">
        <v>4615</v>
      </c>
      <c r="B246" s="2" t="s">
        <v>28</v>
      </c>
      <c r="C246" s="289">
        <v>3189</v>
      </c>
      <c r="D246" s="290">
        <v>61</v>
      </c>
      <c r="E246" s="290">
        <v>162</v>
      </c>
      <c r="F246" s="290">
        <v>453</v>
      </c>
      <c r="G246" s="290">
        <v>300</v>
      </c>
      <c r="H246" s="290">
        <v>1732</v>
      </c>
      <c r="I246" s="290">
        <v>354</v>
      </c>
      <c r="J246" s="290">
        <v>104</v>
      </c>
      <c r="K246" s="290">
        <v>31</v>
      </c>
      <c r="L246" s="290">
        <v>21</v>
      </c>
      <c r="M246" s="290">
        <v>171</v>
      </c>
      <c r="N246" s="290">
        <v>5</v>
      </c>
      <c r="O246" s="290">
        <v>35</v>
      </c>
      <c r="P246" s="624">
        <v>14930.200999999999</v>
      </c>
      <c r="Q246" s="624">
        <v>9594.9503333299999</v>
      </c>
      <c r="R246" s="624">
        <v>15</v>
      </c>
      <c r="S246" s="290">
        <v>0</v>
      </c>
      <c r="T246" s="290">
        <v>198</v>
      </c>
      <c r="U246" s="958">
        <v>1.6109824253862763E-3</v>
      </c>
      <c r="V246" s="290">
        <v>1600.3563921499999</v>
      </c>
      <c r="W246" s="765">
        <v>0.73284952999999997</v>
      </c>
      <c r="X246" s="290">
        <v>3300</v>
      </c>
      <c r="Y246" s="290">
        <v>427.12680399999999</v>
      </c>
      <c r="Z246" s="290">
        <v>87982</v>
      </c>
      <c r="AA246" s="290">
        <v>0</v>
      </c>
      <c r="AB246" s="290">
        <v>73</v>
      </c>
      <c r="AC246" s="290">
        <v>616.92700000000002</v>
      </c>
      <c r="AD246" s="290">
        <v>333</v>
      </c>
      <c r="AE246" s="290">
        <v>0</v>
      </c>
      <c r="AF246" s="290">
        <v>0</v>
      </c>
      <c r="AG246" s="290">
        <v>3197</v>
      </c>
      <c r="AH246" s="290">
        <v>618.84382345999995</v>
      </c>
      <c r="AI246" s="290">
        <v>500</v>
      </c>
      <c r="AJ246" s="290">
        <v>0</v>
      </c>
      <c r="AK246" s="290">
        <v>85.984999999999999</v>
      </c>
      <c r="AL246" s="290">
        <v>0</v>
      </c>
      <c r="AM246" s="957">
        <v>4.9094310000000002E-2</v>
      </c>
      <c r="AN246" s="290">
        <v>0</v>
      </c>
      <c r="AO246" s="290">
        <v>-478.41760900000003</v>
      </c>
      <c r="AP246" s="290">
        <v>0</v>
      </c>
      <c r="AQ246" s="290">
        <v>0</v>
      </c>
      <c r="AR246" s="290">
        <v>1602.5139999999999</v>
      </c>
      <c r="AS246" s="290">
        <v>907</v>
      </c>
      <c r="AT246" s="290">
        <v>128</v>
      </c>
      <c r="AU246" s="290">
        <v>30</v>
      </c>
      <c r="AV246" s="766">
        <v>102446</v>
      </c>
      <c r="AW246" s="290">
        <v>1850</v>
      </c>
      <c r="AX246" s="766">
        <v>13.083299999999999</v>
      </c>
      <c r="AY246" s="290">
        <v>546</v>
      </c>
      <c r="AZ246" s="290">
        <v>131</v>
      </c>
      <c r="BA246" s="290">
        <v>53</v>
      </c>
      <c r="BB246" s="290">
        <v>0</v>
      </c>
      <c r="BC246" s="290">
        <v>1027.16759</v>
      </c>
      <c r="BD246" s="290">
        <v>348</v>
      </c>
      <c r="BE246" s="290">
        <v>102880.98299999999</v>
      </c>
      <c r="BF246" s="290">
        <v>0</v>
      </c>
      <c r="BG246" s="290">
        <v>167</v>
      </c>
      <c r="BH246" s="290">
        <v>24</v>
      </c>
      <c r="BI246" s="290">
        <v>1748.8826300000001</v>
      </c>
      <c r="BJ246" s="290">
        <v>0</v>
      </c>
      <c r="BK246" s="290">
        <f t="shared" si="3"/>
        <v>0</v>
      </c>
      <c r="BL246" s="290">
        <v>0</v>
      </c>
      <c r="BM246" s="290">
        <v>0</v>
      </c>
      <c r="BN246" s="290">
        <v>2448</v>
      </c>
      <c r="BO246" s="290">
        <v>643</v>
      </c>
      <c r="BP246" s="290">
        <v>3</v>
      </c>
      <c r="BQ246" s="290">
        <v>313</v>
      </c>
      <c r="BR246" s="290">
        <v>-1</v>
      </c>
      <c r="BS246" s="290">
        <v>50</v>
      </c>
      <c r="BT246" s="290">
        <v>0</v>
      </c>
      <c r="BU246" s="290">
        <v>0</v>
      </c>
      <c r="BV246" s="290">
        <v>54</v>
      </c>
      <c r="BW246" s="290"/>
      <c r="BX246" s="290"/>
      <c r="BY246" s="290"/>
    </row>
    <row r="247" spans="1:77" ht="13">
      <c r="A247" s="1">
        <v>4616</v>
      </c>
      <c r="B247" s="2" t="s">
        <v>29</v>
      </c>
      <c r="C247" s="289">
        <v>2869</v>
      </c>
      <c r="D247" s="290">
        <v>63</v>
      </c>
      <c r="E247" s="290">
        <v>138</v>
      </c>
      <c r="F247" s="290">
        <v>300</v>
      </c>
      <c r="G247" s="290">
        <v>219</v>
      </c>
      <c r="H247" s="290">
        <v>1464</v>
      </c>
      <c r="I247" s="290">
        <v>472</v>
      </c>
      <c r="J247" s="290">
        <v>158</v>
      </c>
      <c r="K247" s="290">
        <v>35</v>
      </c>
      <c r="L247" s="290">
        <v>23</v>
      </c>
      <c r="M247" s="290">
        <v>266</v>
      </c>
      <c r="N247" s="290">
        <v>4</v>
      </c>
      <c r="O247" s="290">
        <v>29</v>
      </c>
      <c r="P247" s="624">
        <v>24975.73</v>
      </c>
      <c r="Q247" s="624">
        <v>10563.96866667</v>
      </c>
      <c r="R247" s="624">
        <v>19</v>
      </c>
      <c r="S247" s="290">
        <v>0</v>
      </c>
      <c r="T247" s="290">
        <v>210</v>
      </c>
      <c r="U247" s="958">
        <v>2.4836077638899961E-3</v>
      </c>
      <c r="V247" s="290">
        <v>1371.4955700400001</v>
      </c>
      <c r="W247" s="765">
        <v>0.95624343000000001</v>
      </c>
      <c r="X247" s="290">
        <v>3000</v>
      </c>
      <c r="Y247" s="290">
        <v>273.445944</v>
      </c>
      <c r="Z247" s="290">
        <v>94659</v>
      </c>
      <c r="AA247" s="290">
        <v>0</v>
      </c>
      <c r="AB247" s="290">
        <v>52</v>
      </c>
      <c r="AC247" s="290">
        <v>491.44499999999999</v>
      </c>
      <c r="AD247" s="290">
        <v>167</v>
      </c>
      <c r="AE247" s="290">
        <v>0</v>
      </c>
      <c r="AF247" s="290">
        <v>0</v>
      </c>
      <c r="AG247" s="290">
        <v>2849</v>
      </c>
      <c r="AH247" s="290">
        <v>454.73453849999999</v>
      </c>
      <c r="AI247" s="290">
        <v>0</v>
      </c>
      <c r="AJ247" s="290">
        <v>0</v>
      </c>
      <c r="AK247" s="290">
        <v>0</v>
      </c>
      <c r="AL247" s="290">
        <v>0</v>
      </c>
      <c r="AM247" s="957">
        <v>2.6376230000000001E-2</v>
      </c>
      <c r="AN247" s="290">
        <v>0</v>
      </c>
      <c r="AO247" s="290">
        <v>-470.44750499999998</v>
      </c>
      <c r="AP247" s="290">
        <v>0</v>
      </c>
      <c r="AQ247" s="290">
        <v>0</v>
      </c>
      <c r="AR247" s="290">
        <v>-153.462706</v>
      </c>
      <c r="AS247" s="290">
        <v>663</v>
      </c>
      <c r="AT247" s="290">
        <v>109</v>
      </c>
      <c r="AU247" s="290">
        <v>28</v>
      </c>
      <c r="AV247" s="766">
        <v>107655</v>
      </c>
      <c r="AW247" s="290">
        <v>560</v>
      </c>
      <c r="AX247" s="766">
        <v>17.499949999999998</v>
      </c>
      <c r="AY247" s="290">
        <v>514</v>
      </c>
      <c r="AZ247" s="290">
        <v>70</v>
      </c>
      <c r="BA247" s="290">
        <v>48</v>
      </c>
      <c r="BB247" s="290">
        <v>2938</v>
      </c>
      <c r="BC247" s="290">
        <v>-291.45568600000001</v>
      </c>
      <c r="BD247" s="290">
        <v>348</v>
      </c>
      <c r="BE247" s="290">
        <v>111927.765</v>
      </c>
      <c r="BF247" s="290">
        <v>0</v>
      </c>
      <c r="BG247" s="290">
        <v>177</v>
      </c>
      <c r="BH247" s="290">
        <v>25</v>
      </c>
      <c r="BI247" s="290">
        <v>1219.6254799999999</v>
      </c>
      <c r="BJ247" s="290">
        <v>0</v>
      </c>
      <c r="BK247" s="290">
        <f t="shared" si="3"/>
        <v>0</v>
      </c>
      <c r="BL247" s="290">
        <v>0</v>
      </c>
      <c r="BM247" s="290">
        <v>0</v>
      </c>
      <c r="BN247" s="290">
        <v>2407</v>
      </c>
      <c r="BO247" s="290">
        <v>535</v>
      </c>
      <c r="BP247" s="290">
        <v>3</v>
      </c>
      <c r="BQ247" s="290">
        <v>309</v>
      </c>
      <c r="BR247" s="290">
        <v>-1</v>
      </c>
      <c r="BS247" s="290">
        <v>50</v>
      </c>
      <c r="BT247" s="290">
        <v>0</v>
      </c>
      <c r="BU247" s="290">
        <v>0</v>
      </c>
      <c r="BV247" s="290">
        <v>57</v>
      </c>
      <c r="BW247" s="290"/>
      <c r="BX247" s="290"/>
      <c r="BY247" s="290"/>
    </row>
    <row r="248" spans="1:77" ht="13">
      <c r="A248" s="1">
        <v>4617</v>
      </c>
      <c r="B248" s="2" t="s">
        <v>30</v>
      </c>
      <c r="C248" s="289">
        <v>13071</v>
      </c>
      <c r="D248" s="290">
        <v>225</v>
      </c>
      <c r="E248" s="290">
        <v>528</v>
      </c>
      <c r="F248" s="290">
        <v>1687</v>
      </c>
      <c r="G248" s="290">
        <v>1243</v>
      </c>
      <c r="H248" s="290">
        <v>6850</v>
      </c>
      <c r="I248" s="290">
        <v>1764</v>
      </c>
      <c r="J248" s="290">
        <v>641</v>
      </c>
      <c r="K248" s="290">
        <v>167</v>
      </c>
      <c r="L248" s="290">
        <v>89</v>
      </c>
      <c r="M248" s="290">
        <v>1065</v>
      </c>
      <c r="N248" s="290">
        <v>124</v>
      </c>
      <c r="O248" s="290">
        <v>98</v>
      </c>
      <c r="P248" s="624">
        <v>112572.35866667</v>
      </c>
      <c r="Q248" s="624">
        <v>28096.71133333</v>
      </c>
      <c r="R248" s="624">
        <v>56</v>
      </c>
      <c r="S248" s="290">
        <v>0</v>
      </c>
      <c r="T248" s="290">
        <v>991</v>
      </c>
      <c r="U248" s="958">
        <v>5.6552221222674103E-3</v>
      </c>
      <c r="V248" s="290">
        <v>4471.8044203899999</v>
      </c>
      <c r="W248" s="765">
        <v>0.70242033000000004</v>
      </c>
      <c r="X248" s="290">
        <v>0</v>
      </c>
      <c r="Y248" s="290">
        <v>427.12680399999999</v>
      </c>
      <c r="Z248" s="290">
        <v>371702</v>
      </c>
      <c r="AA248" s="290">
        <v>130</v>
      </c>
      <c r="AB248" s="290">
        <v>284</v>
      </c>
      <c r="AC248" s="290">
        <v>2257.7750000000001</v>
      </c>
      <c r="AD248" s="290">
        <v>333</v>
      </c>
      <c r="AE248" s="290">
        <v>0</v>
      </c>
      <c r="AF248" s="290">
        <v>0</v>
      </c>
      <c r="AG248" s="290">
        <v>13105</v>
      </c>
      <c r="AH248" s="290">
        <v>2293.19229907</v>
      </c>
      <c r="AI248" s="290">
        <v>0</v>
      </c>
      <c r="AJ248" s="290">
        <v>0</v>
      </c>
      <c r="AK248" s="290">
        <v>318.81599999999997</v>
      </c>
      <c r="AL248" s="290">
        <v>0</v>
      </c>
      <c r="AM248" s="957">
        <v>0.20812551000000001</v>
      </c>
      <c r="AN248" s="290">
        <v>16407</v>
      </c>
      <c r="AO248" s="290">
        <v>-1911.0633</v>
      </c>
      <c r="AP248" s="290">
        <v>0</v>
      </c>
      <c r="AQ248" s="290">
        <v>0</v>
      </c>
      <c r="AR248" s="290">
        <v>1861.79331</v>
      </c>
      <c r="AS248" s="290">
        <v>4097</v>
      </c>
      <c r="AT248" s="290">
        <v>615</v>
      </c>
      <c r="AU248" s="290">
        <v>124</v>
      </c>
      <c r="AV248" s="766">
        <v>389921</v>
      </c>
      <c r="AW248" s="290">
        <v>3342.0259999999998</v>
      </c>
      <c r="AX248" s="766">
        <v>71.499949999999998</v>
      </c>
      <c r="AY248" s="290">
        <v>2424</v>
      </c>
      <c r="AZ248" s="290">
        <v>471</v>
      </c>
      <c r="BA248" s="290">
        <v>261</v>
      </c>
      <c r="BB248" s="290">
        <v>0</v>
      </c>
      <c r="BC248" s="290">
        <v>-2268.4890300000002</v>
      </c>
      <c r="BD248" s="290">
        <v>1128</v>
      </c>
      <c r="BE248" s="290">
        <v>400627.48100000003</v>
      </c>
      <c r="BF248" s="290">
        <v>0</v>
      </c>
      <c r="BG248" s="290">
        <v>636</v>
      </c>
      <c r="BH248" s="290">
        <v>91</v>
      </c>
      <c r="BI248" s="290">
        <v>5296.9101000000001</v>
      </c>
      <c r="BJ248" s="290">
        <v>0</v>
      </c>
      <c r="BK248" s="290">
        <f t="shared" si="3"/>
        <v>0</v>
      </c>
      <c r="BL248" s="290">
        <v>0</v>
      </c>
      <c r="BM248" s="290">
        <v>0</v>
      </c>
      <c r="BN248" s="290">
        <v>9778</v>
      </c>
      <c r="BO248" s="290">
        <v>2266</v>
      </c>
      <c r="BP248" s="290">
        <v>10</v>
      </c>
      <c r="BQ248" s="290">
        <v>1285</v>
      </c>
      <c r="BR248" s="290">
        <v>-6</v>
      </c>
      <c r="BS248" s="290">
        <v>131</v>
      </c>
      <c r="BT248" s="290">
        <v>0</v>
      </c>
      <c r="BU248" s="290">
        <v>0</v>
      </c>
      <c r="BV248" s="290">
        <v>204</v>
      </c>
      <c r="BW248" s="290"/>
      <c r="BX248" s="290"/>
      <c r="BY248" s="290"/>
    </row>
    <row r="249" spans="1:77" ht="13">
      <c r="A249" s="1">
        <v>4618</v>
      </c>
      <c r="B249" s="2" t="s">
        <v>1632</v>
      </c>
      <c r="C249" s="289">
        <v>11048</v>
      </c>
      <c r="D249" s="290">
        <v>160</v>
      </c>
      <c r="E249" s="290">
        <v>413</v>
      </c>
      <c r="F249" s="290">
        <v>1251</v>
      </c>
      <c r="G249" s="290">
        <v>946</v>
      </c>
      <c r="H249" s="290">
        <v>5938</v>
      </c>
      <c r="I249" s="290">
        <v>1569</v>
      </c>
      <c r="J249" s="290">
        <v>616</v>
      </c>
      <c r="K249" s="290">
        <v>191</v>
      </c>
      <c r="L249" s="290">
        <v>87</v>
      </c>
      <c r="M249" s="290">
        <v>1065</v>
      </c>
      <c r="N249" s="290">
        <v>101</v>
      </c>
      <c r="O249" s="290">
        <v>148</v>
      </c>
      <c r="P249" s="624">
        <v>133027.05433332999</v>
      </c>
      <c r="Q249" s="624">
        <v>30551.469000000001</v>
      </c>
      <c r="R249" s="624">
        <v>48</v>
      </c>
      <c r="S249" s="290">
        <v>0</v>
      </c>
      <c r="T249" s="290">
        <v>999</v>
      </c>
      <c r="U249" s="958">
        <v>7.6615779832985538E-3</v>
      </c>
      <c r="V249" s="290">
        <v>5599.3475601199998</v>
      </c>
      <c r="W249" s="765">
        <v>0.77812365999999999</v>
      </c>
      <c r="X249" s="290">
        <v>4100</v>
      </c>
      <c r="Y249" s="290">
        <v>974.01869199999999</v>
      </c>
      <c r="Z249" s="290">
        <v>348649</v>
      </c>
      <c r="AA249" s="290">
        <v>1100</v>
      </c>
      <c r="AB249" s="290">
        <v>196</v>
      </c>
      <c r="AC249" s="290">
        <v>1810.125</v>
      </c>
      <c r="AD249" s="290">
        <v>333</v>
      </c>
      <c r="AE249" s="290">
        <v>0</v>
      </c>
      <c r="AF249" s="290">
        <v>38565.512300000002</v>
      </c>
      <c r="AG249" s="290">
        <v>11084</v>
      </c>
      <c r="AH249" s="290">
        <v>1707.60410164</v>
      </c>
      <c r="AI249" s="290">
        <v>0</v>
      </c>
      <c r="AJ249" s="290">
        <v>0</v>
      </c>
      <c r="AK249" s="290">
        <v>291.53199999999998</v>
      </c>
      <c r="AL249" s="290">
        <v>0</v>
      </c>
      <c r="AM249" s="957">
        <v>0.13568843</v>
      </c>
      <c r="AN249" s="290">
        <v>14042</v>
      </c>
      <c r="AO249" s="290">
        <v>-1673.8936900000001</v>
      </c>
      <c r="AP249" s="290">
        <v>0</v>
      </c>
      <c r="AQ249" s="290">
        <v>-1680.28</v>
      </c>
      <c r="AR249" s="290">
        <v>-597.04480100000001</v>
      </c>
      <c r="AS249" s="290">
        <v>5231</v>
      </c>
      <c r="AT249" s="290">
        <v>489</v>
      </c>
      <c r="AU249" s="290">
        <v>70</v>
      </c>
      <c r="AV249" s="766">
        <v>399279</v>
      </c>
      <c r="AW249" s="290">
        <v>3215.1280000000002</v>
      </c>
      <c r="AX249" s="766">
        <v>51.374949999999998</v>
      </c>
      <c r="AY249" s="290">
        <v>2147</v>
      </c>
      <c r="AZ249" s="290">
        <v>487</v>
      </c>
      <c r="BA249" s="290">
        <v>219</v>
      </c>
      <c r="BB249" s="290">
        <v>0</v>
      </c>
      <c r="BC249" s="290">
        <v>5483.5590300000003</v>
      </c>
      <c r="BD249" s="290">
        <v>976</v>
      </c>
      <c r="BE249" s="290">
        <v>410823.25199999998</v>
      </c>
      <c r="BF249" s="290">
        <v>0</v>
      </c>
      <c r="BG249" s="290">
        <v>567</v>
      </c>
      <c r="BH249" s="290">
        <v>81</v>
      </c>
      <c r="BI249" s="290">
        <v>43348.792099999999</v>
      </c>
      <c r="BJ249" s="290">
        <v>0</v>
      </c>
      <c r="BK249" s="290">
        <f t="shared" si="3"/>
        <v>0</v>
      </c>
      <c r="BL249" s="290">
        <v>0</v>
      </c>
      <c r="BM249" s="290">
        <v>4010</v>
      </c>
      <c r="BN249" s="290">
        <v>8565</v>
      </c>
      <c r="BO249" s="290">
        <v>1781</v>
      </c>
      <c r="BP249" s="290">
        <v>8</v>
      </c>
      <c r="BQ249" s="290">
        <v>1133</v>
      </c>
      <c r="BR249" s="290">
        <v>-5</v>
      </c>
      <c r="BS249" s="290">
        <v>145</v>
      </c>
      <c r="BT249" s="290">
        <v>0</v>
      </c>
      <c r="BU249" s="290">
        <v>0</v>
      </c>
      <c r="BV249" s="290">
        <v>182</v>
      </c>
      <c r="BW249" s="290"/>
      <c r="BX249" s="290"/>
      <c r="BY249" s="290"/>
    </row>
    <row r="250" spans="1:77" ht="13">
      <c r="A250" s="1">
        <v>4619</v>
      </c>
      <c r="B250" s="2" t="s">
        <v>34</v>
      </c>
      <c r="C250" s="289">
        <v>906</v>
      </c>
      <c r="D250" s="290">
        <v>21</v>
      </c>
      <c r="E250" s="290">
        <v>41</v>
      </c>
      <c r="F250" s="290">
        <v>96</v>
      </c>
      <c r="G250" s="290">
        <v>60</v>
      </c>
      <c r="H250" s="290">
        <v>511</v>
      </c>
      <c r="I250" s="290">
        <v>121</v>
      </c>
      <c r="J250" s="290">
        <v>45</v>
      </c>
      <c r="K250" s="290">
        <v>12</v>
      </c>
      <c r="L250" s="290">
        <v>8</v>
      </c>
      <c r="M250" s="290">
        <v>102</v>
      </c>
      <c r="N250" s="290">
        <v>9</v>
      </c>
      <c r="O250" s="290">
        <v>11</v>
      </c>
      <c r="P250" s="624">
        <v>3357.1660000000002</v>
      </c>
      <c r="Q250" s="624">
        <v>2335.2223333299999</v>
      </c>
      <c r="R250" s="624">
        <v>1</v>
      </c>
      <c r="S250" s="290">
        <v>0</v>
      </c>
      <c r="T250" s="290">
        <v>62</v>
      </c>
      <c r="U250" s="958">
        <v>6.6749140732344904E-4</v>
      </c>
      <c r="V250" s="290">
        <v>559.98988712000005</v>
      </c>
      <c r="W250" s="765">
        <v>1</v>
      </c>
      <c r="X250" s="290">
        <v>0</v>
      </c>
      <c r="Y250" s="290">
        <v>0</v>
      </c>
      <c r="Z250" s="290">
        <v>53139</v>
      </c>
      <c r="AA250" s="290">
        <v>0</v>
      </c>
      <c r="AB250" s="290">
        <v>6</v>
      </c>
      <c r="AC250" s="290">
        <v>167.44200000000001</v>
      </c>
      <c r="AD250" s="290">
        <v>167</v>
      </c>
      <c r="AE250" s="290">
        <v>0</v>
      </c>
      <c r="AF250" s="290">
        <v>0</v>
      </c>
      <c r="AG250" s="290">
        <v>907</v>
      </c>
      <c r="AH250" s="290">
        <v>139.52903963</v>
      </c>
      <c r="AI250" s="290">
        <v>0</v>
      </c>
      <c r="AJ250" s="290">
        <v>0</v>
      </c>
      <c r="AK250" s="290">
        <v>0</v>
      </c>
      <c r="AL250" s="290">
        <v>0</v>
      </c>
      <c r="AM250" s="957">
        <v>4.5075999999999996E-3</v>
      </c>
      <c r="AN250" s="290">
        <v>0</v>
      </c>
      <c r="AO250" s="290">
        <v>-167.40585100000001</v>
      </c>
      <c r="AP250" s="290">
        <v>0</v>
      </c>
      <c r="AQ250" s="290">
        <v>0</v>
      </c>
      <c r="AR250" s="290">
        <v>-48.855975700000002</v>
      </c>
      <c r="AS250" s="290">
        <v>123</v>
      </c>
      <c r="AT250" s="290">
        <v>37</v>
      </c>
      <c r="AU250" s="290">
        <v>4</v>
      </c>
      <c r="AV250" s="766">
        <v>38825</v>
      </c>
      <c r="AW250" s="290">
        <v>980</v>
      </c>
      <c r="AX250" s="766">
        <v>8.0832999999999995</v>
      </c>
      <c r="AY250" s="290">
        <v>176</v>
      </c>
      <c r="AZ250" s="290">
        <v>25</v>
      </c>
      <c r="BA250" s="290">
        <v>18</v>
      </c>
      <c r="BB250" s="290">
        <v>0</v>
      </c>
      <c r="BC250" s="290">
        <v>135.266685</v>
      </c>
      <c r="BD250" s="290">
        <v>200</v>
      </c>
      <c r="BE250" s="290">
        <v>40838.561199999996</v>
      </c>
      <c r="BF250" s="290">
        <v>0</v>
      </c>
      <c r="BG250" s="290">
        <v>79</v>
      </c>
      <c r="BH250" s="290">
        <v>11</v>
      </c>
      <c r="BI250" s="290">
        <v>306.97104000000002</v>
      </c>
      <c r="BJ250" s="290">
        <v>100</v>
      </c>
      <c r="BK250" s="290">
        <f t="shared" si="3"/>
        <v>0</v>
      </c>
      <c r="BL250" s="290">
        <v>0</v>
      </c>
      <c r="BM250" s="290">
        <v>0</v>
      </c>
      <c r="BN250" s="290">
        <v>857</v>
      </c>
      <c r="BO250" s="290">
        <v>177</v>
      </c>
      <c r="BP250" s="290">
        <v>1</v>
      </c>
      <c r="BQ250" s="290">
        <v>128</v>
      </c>
      <c r="BR250" s="290">
        <v>0</v>
      </c>
      <c r="BS250" s="290">
        <v>50</v>
      </c>
      <c r="BT250" s="290">
        <v>0</v>
      </c>
      <c r="BU250" s="290">
        <v>0</v>
      </c>
      <c r="BV250" s="290">
        <v>25</v>
      </c>
      <c r="BW250" s="290"/>
      <c r="BX250" s="290"/>
      <c r="BY250" s="290"/>
    </row>
    <row r="251" spans="1:77" ht="13">
      <c r="A251" s="1">
        <v>4620</v>
      </c>
      <c r="B251" s="2" t="s">
        <v>35</v>
      </c>
      <c r="C251" s="289">
        <v>1080</v>
      </c>
      <c r="D251" s="290">
        <v>20</v>
      </c>
      <c r="E251" s="290">
        <v>53</v>
      </c>
      <c r="F251" s="290">
        <v>126</v>
      </c>
      <c r="G251" s="290">
        <v>70</v>
      </c>
      <c r="H251" s="290">
        <v>570</v>
      </c>
      <c r="I251" s="290">
        <v>174</v>
      </c>
      <c r="J251" s="290">
        <v>47</v>
      </c>
      <c r="K251" s="290">
        <v>21</v>
      </c>
      <c r="L251" s="290">
        <v>10</v>
      </c>
      <c r="M251" s="290">
        <v>100</v>
      </c>
      <c r="N251" s="290">
        <v>6</v>
      </c>
      <c r="O251" s="290">
        <v>24</v>
      </c>
      <c r="P251" s="624">
        <v>3295.3513333300002</v>
      </c>
      <c r="Q251" s="624">
        <v>4115.4933333299996</v>
      </c>
      <c r="R251" s="624">
        <v>5</v>
      </c>
      <c r="S251" s="290">
        <v>0</v>
      </c>
      <c r="T251" s="290">
        <v>73</v>
      </c>
      <c r="U251" s="958">
        <v>1.2999790219378178E-3</v>
      </c>
      <c r="V251" s="290">
        <v>699.70426680000003</v>
      </c>
      <c r="W251" s="765">
        <v>1</v>
      </c>
      <c r="X251" s="290">
        <v>0</v>
      </c>
      <c r="Y251" s="290">
        <v>0</v>
      </c>
      <c r="Z251" s="290">
        <v>34950</v>
      </c>
      <c r="AA251" s="290">
        <v>0</v>
      </c>
      <c r="AB251" s="290">
        <v>15</v>
      </c>
      <c r="AC251" s="290">
        <v>205.357</v>
      </c>
      <c r="AD251" s="290">
        <v>167</v>
      </c>
      <c r="AE251" s="290">
        <v>0</v>
      </c>
      <c r="AF251" s="290">
        <v>0</v>
      </c>
      <c r="AG251" s="290">
        <v>1081</v>
      </c>
      <c r="AH251" s="290">
        <v>180.73709797000001</v>
      </c>
      <c r="AI251" s="290">
        <v>0</v>
      </c>
      <c r="AJ251" s="290">
        <v>0</v>
      </c>
      <c r="AK251" s="290">
        <v>7.2409999999999997</v>
      </c>
      <c r="AL251" s="290">
        <v>0</v>
      </c>
      <c r="AM251" s="957">
        <v>2.6551729999999999E-2</v>
      </c>
      <c r="AN251" s="290">
        <v>0</v>
      </c>
      <c r="AO251" s="290">
        <v>-209.172684</v>
      </c>
      <c r="AP251" s="290">
        <v>0</v>
      </c>
      <c r="AQ251" s="290">
        <v>0</v>
      </c>
      <c r="AR251" s="290">
        <v>-58.228566399999998</v>
      </c>
      <c r="AS251" s="290">
        <v>770</v>
      </c>
      <c r="AT251" s="290">
        <v>40</v>
      </c>
      <c r="AU251" s="290">
        <v>13</v>
      </c>
      <c r="AV251" s="766">
        <v>55073</v>
      </c>
      <c r="AW251" s="290">
        <v>1670</v>
      </c>
      <c r="AX251" s="766">
        <v>8.4167000000000005</v>
      </c>
      <c r="AY251" s="290">
        <v>243</v>
      </c>
      <c r="AZ251" s="290">
        <v>61</v>
      </c>
      <c r="BA251" s="290">
        <v>19</v>
      </c>
      <c r="BB251" s="290">
        <v>5875</v>
      </c>
      <c r="BC251" s="290">
        <v>179.890747</v>
      </c>
      <c r="BD251" s="290">
        <v>214</v>
      </c>
      <c r="BE251" s="290">
        <v>58468.276299999998</v>
      </c>
      <c r="BF251" s="290">
        <v>0</v>
      </c>
      <c r="BG251" s="290">
        <v>89</v>
      </c>
      <c r="BH251" s="290">
        <v>13</v>
      </c>
      <c r="BI251" s="290">
        <v>393.33509800000002</v>
      </c>
      <c r="BJ251" s="290">
        <v>120</v>
      </c>
      <c r="BK251" s="290">
        <f t="shared" si="3"/>
        <v>0</v>
      </c>
      <c r="BL251" s="290">
        <v>0</v>
      </c>
      <c r="BM251" s="290">
        <v>0</v>
      </c>
      <c r="BN251" s="290">
        <v>1070</v>
      </c>
      <c r="BO251" s="290">
        <v>225</v>
      </c>
      <c r="BP251" s="290">
        <v>1</v>
      </c>
      <c r="BQ251" s="290">
        <v>113</v>
      </c>
      <c r="BR251" s="290">
        <v>-1</v>
      </c>
      <c r="BS251" s="290">
        <v>50</v>
      </c>
      <c r="BT251" s="290">
        <v>0</v>
      </c>
      <c r="BU251" s="290">
        <v>0</v>
      </c>
      <c r="BV251" s="290">
        <v>29</v>
      </c>
      <c r="BW251" s="290"/>
      <c r="BX251" s="290"/>
      <c r="BY251" s="290"/>
    </row>
    <row r="252" spans="1:77" ht="13">
      <c r="A252" s="1">
        <v>4621</v>
      </c>
      <c r="B252" s="2" t="s">
        <v>1633</v>
      </c>
      <c r="C252" s="289">
        <v>15740</v>
      </c>
      <c r="D252" s="290">
        <v>337</v>
      </c>
      <c r="E252" s="290">
        <v>704</v>
      </c>
      <c r="F252" s="290">
        <v>1864</v>
      </c>
      <c r="G252" s="290">
        <v>1397</v>
      </c>
      <c r="H252" s="290">
        <v>8379</v>
      </c>
      <c r="I252" s="290">
        <v>1953</v>
      </c>
      <c r="J252" s="290">
        <v>815</v>
      </c>
      <c r="K252" s="290">
        <v>228</v>
      </c>
      <c r="L252" s="290">
        <v>109</v>
      </c>
      <c r="M252" s="290">
        <v>1303</v>
      </c>
      <c r="N252" s="290">
        <v>215</v>
      </c>
      <c r="O252" s="290">
        <v>132</v>
      </c>
      <c r="P252" s="624">
        <v>92723.239333329999</v>
      </c>
      <c r="Q252" s="624">
        <v>39113.911666669999</v>
      </c>
      <c r="R252" s="624">
        <v>72</v>
      </c>
      <c r="S252" s="290">
        <v>0</v>
      </c>
      <c r="T252" s="290">
        <v>1191</v>
      </c>
      <c r="U252" s="958">
        <v>8.7904137868338571E-3</v>
      </c>
      <c r="V252" s="290">
        <v>7718.9016256699997</v>
      </c>
      <c r="W252" s="765">
        <v>0.63224250000000004</v>
      </c>
      <c r="X252" s="290">
        <v>6800</v>
      </c>
      <c r="Y252" s="290">
        <v>427.12680399999999</v>
      </c>
      <c r="Z252" s="290">
        <v>443958</v>
      </c>
      <c r="AA252" s="290">
        <v>850</v>
      </c>
      <c r="AB252" s="290">
        <v>258</v>
      </c>
      <c r="AC252" s="290">
        <v>2484.04</v>
      </c>
      <c r="AD252" s="290">
        <v>333</v>
      </c>
      <c r="AE252" s="290">
        <v>0</v>
      </c>
      <c r="AF252" s="290">
        <v>17646.508399999999</v>
      </c>
      <c r="AG252" s="290">
        <v>15677</v>
      </c>
      <c r="AH252" s="290">
        <v>2705.9958308400001</v>
      </c>
      <c r="AI252" s="290">
        <v>0</v>
      </c>
      <c r="AJ252" s="290">
        <v>0</v>
      </c>
      <c r="AK252" s="290">
        <v>16.706</v>
      </c>
      <c r="AL252" s="290">
        <v>0</v>
      </c>
      <c r="AM252" s="957">
        <v>0.14869112000000001</v>
      </c>
      <c r="AN252" s="290">
        <v>0</v>
      </c>
      <c r="AO252" s="290">
        <v>-2307.5225500000001</v>
      </c>
      <c r="AP252" s="290">
        <v>0</v>
      </c>
      <c r="AQ252" s="290">
        <v>1680.28</v>
      </c>
      <c r="AR252" s="290">
        <v>-844.44887600000004</v>
      </c>
      <c r="AS252" s="290">
        <v>10394</v>
      </c>
      <c r="AT252" s="290">
        <v>573</v>
      </c>
      <c r="AU252" s="290">
        <v>102</v>
      </c>
      <c r="AV252" s="766">
        <v>474627</v>
      </c>
      <c r="AW252" s="290">
        <v>6690.3410000000003</v>
      </c>
      <c r="AX252" s="766">
        <v>123.6666</v>
      </c>
      <c r="AY252" s="290">
        <v>3528</v>
      </c>
      <c r="AZ252" s="290">
        <v>620</v>
      </c>
      <c r="BA252" s="290">
        <v>296</v>
      </c>
      <c r="BB252" s="290">
        <v>0</v>
      </c>
      <c r="BC252" s="290">
        <v>7357.1436999999996</v>
      </c>
      <c r="BD252" s="290">
        <v>1326</v>
      </c>
      <c r="BE252" s="290">
        <v>498615.804</v>
      </c>
      <c r="BF252" s="290">
        <v>0</v>
      </c>
      <c r="BG252" s="290">
        <v>737</v>
      </c>
      <c r="BH252" s="290">
        <v>105</v>
      </c>
      <c r="BI252" s="290">
        <v>23280.377</v>
      </c>
      <c r="BJ252" s="290">
        <v>0</v>
      </c>
      <c r="BK252" s="290">
        <f t="shared" si="3"/>
        <v>0</v>
      </c>
      <c r="BL252" s="290">
        <v>0</v>
      </c>
      <c r="BM252" s="290">
        <v>4318</v>
      </c>
      <c r="BN252" s="290">
        <v>11807</v>
      </c>
      <c r="BO252" s="290">
        <v>2906</v>
      </c>
      <c r="BP252" s="290">
        <v>14</v>
      </c>
      <c r="BQ252" s="290">
        <v>1531</v>
      </c>
      <c r="BR252" s="290">
        <v>-7</v>
      </c>
      <c r="BS252" s="290">
        <v>201</v>
      </c>
      <c r="BT252" s="290">
        <v>0</v>
      </c>
      <c r="BU252" s="290">
        <v>0</v>
      </c>
      <c r="BV252" s="290">
        <v>237</v>
      </c>
      <c r="BW252" s="290"/>
      <c r="BX252" s="290"/>
      <c r="BY252" s="290"/>
    </row>
    <row r="253" spans="1:77" ht="13">
      <c r="A253" s="1">
        <v>4622</v>
      </c>
      <c r="B253" s="2" t="s">
        <v>38</v>
      </c>
      <c r="C253" s="289">
        <v>8457</v>
      </c>
      <c r="D253" s="290">
        <v>165</v>
      </c>
      <c r="E253" s="290">
        <v>391</v>
      </c>
      <c r="F253" s="290">
        <v>1057</v>
      </c>
      <c r="G253" s="290">
        <v>723</v>
      </c>
      <c r="H253" s="290">
        <v>4420</v>
      </c>
      <c r="I253" s="290">
        <v>1114</v>
      </c>
      <c r="J253" s="290">
        <v>423</v>
      </c>
      <c r="K253" s="290">
        <v>132</v>
      </c>
      <c r="L253" s="290">
        <v>60</v>
      </c>
      <c r="M253" s="290">
        <v>700</v>
      </c>
      <c r="N253" s="290">
        <v>134</v>
      </c>
      <c r="O253" s="290">
        <v>112</v>
      </c>
      <c r="P253" s="624">
        <v>70611.044333330006</v>
      </c>
      <c r="Q253" s="624">
        <v>17672.623666669999</v>
      </c>
      <c r="R253" s="624">
        <v>51</v>
      </c>
      <c r="S253" s="290">
        <v>0</v>
      </c>
      <c r="T253" s="290">
        <v>588</v>
      </c>
      <c r="U253" s="958">
        <v>4.30030613675018E-3</v>
      </c>
      <c r="V253" s="290">
        <v>1511.3020960599999</v>
      </c>
      <c r="W253" s="765">
        <v>0.67763337000000001</v>
      </c>
      <c r="X253" s="290">
        <v>6300</v>
      </c>
      <c r="Y253" s="290">
        <v>427.12680399999999</v>
      </c>
      <c r="Z253" s="290">
        <v>233626</v>
      </c>
      <c r="AA253" s="290">
        <v>425</v>
      </c>
      <c r="AB253" s="290">
        <v>173</v>
      </c>
      <c r="AC253" s="290">
        <v>1451.7670000000001</v>
      </c>
      <c r="AD253" s="290">
        <v>333</v>
      </c>
      <c r="AE253" s="290">
        <v>0</v>
      </c>
      <c r="AF253" s="290">
        <v>0</v>
      </c>
      <c r="AG253" s="290">
        <v>8425</v>
      </c>
      <c r="AH253" s="290">
        <v>1480.59830659</v>
      </c>
      <c r="AI253" s="290">
        <v>0</v>
      </c>
      <c r="AJ253" s="290">
        <v>0</v>
      </c>
      <c r="AK253" s="290">
        <v>16.716999999999999</v>
      </c>
      <c r="AL253" s="290">
        <v>0</v>
      </c>
      <c r="AM253" s="957">
        <v>8.3839860000000002E-2</v>
      </c>
      <c r="AN253" s="290">
        <v>6597</v>
      </c>
      <c r="AO253" s="290">
        <v>-1298.04718</v>
      </c>
      <c r="AP253" s="290">
        <v>0</v>
      </c>
      <c r="AQ253" s="290">
        <v>0</v>
      </c>
      <c r="AR253" s="290">
        <v>-453.816532</v>
      </c>
      <c r="AS253" s="290">
        <v>4666</v>
      </c>
      <c r="AT253" s="290">
        <v>289</v>
      </c>
      <c r="AU253" s="290">
        <v>65</v>
      </c>
      <c r="AV253" s="766">
        <v>277763</v>
      </c>
      <c r="AW253" s="290">
        <v>3089.5230000000001</v>
      </c>
      <c r="AX253" s="766">
        <v>39.125050000000002</v>
      </c>
      <c r="AY253" s="290">
        <v>1720</v>
      </c>
      <c r="AZ253" s="290">
        <v>318</v>
      </c>
      <c r="BA253" s="290">
        <v>132</v>
      </c>
      <c r="BB253" s="290">
        <v>0</v>
      </c>
      <c r="BC253" s="290">
        <v>1870.144</v>
      </c>
      <c r="BD253" s="290">
        <v>755</v>
      </c>
      <c r="BE253" s="290">
        <v>286294.321</v>
      </c>
      <c r="BF253" s="290">
        <v>0</v>
      </c>
      <c r="BG253" s="290">
        <v>417</v>
      </c>
      <c r="BH253" s="290">
        <v>60</v>
      </c>
      <c r="BI253" s="290">
        <v>3376.2091099999998</v>
      </c>
      <c r="BJ253" s="290">
        <v>0</v>
      </c>
      <c r="BK253" s="290">
        <f t="shared" si="3"/>
        <v>0</v>
      </c>
      <c r="BL253" s="290">
        <v>0</v>
      </c>
      <c r="BM253" s="290">
        <v>0</v>
      </c>
      <c r="BN253" s="290">
        <v>6642</v>
      </c>
      <c r="BO253" s="290">
        <v>1569</v>
      </c>
      <c r="BP253" s="290">
        <v>8</v>
      </c>
      <c r="BQ253" s="290">
        <v>825</v>
      </c>
      <c r="BR253" s="290">
        <v>-4</v>
      </c>
      <c r="BS253" s="290">
        <v>102</v>
      </c>
      <c r="BT253" s="290">
        <v>0</v>
      </c>
      <c r="BU253" s="290">
        <v>0</v>
      </c>
      <c r="BV253" s="290">
        <v>134</v>
      </c>
      <c r="BW253" s="290"/>
      <c r="BX253" s="290"/>
      <c r="BY253" s="290"/>
    </row>
    <row r="254" spans="1:77" ht="13">
      <c r="A254" s="1">
        <v>4623</v>
      </c>
      <c r="B254" s="2" t="s">
        <v>40</v>
      </c>
      <c r="C254" s="289">
        <v>2485</v>
      </c>
      <c r="D254" s="290">
        <v>52</v>
      </c>
      <c r="E254" s="290">
        <v>124</v>
      </c>
      <c r="F254" s="290">
        <v>280</v>
      </c>
      <c r="G254" s="290">
        <v>193</v>
      </c>
      <c r="H254" s="290">
        <v>1350</v>
      </c>
      <c r="I254" s="290">
        <v>365</v>
      </c>
      <c r="J254" s="290">
        <v>92</v>
      </c>
      <c r="K254" s="290">
        <v>33</v>
      </c>
      <c r="L254" s="290">
        <v>18</v>
      </c>
      <c r="M254" s="290">
        <v>178</v>
      </c>
      <c r="N254" s="290">
        <v>20</v>
      </c>
      <c r="O254" s="290">
        <v>10</v>
      </c>
      <c r="P254" s="624">
        <v>9843.5169999999998</v>
      </c>
      <c r="Q254" s="624">
        <v>7265.4826666700001</v>
      </c>
      <c r="R254" s="624">
        <v>13</v>
      </c>
      <c r="S254" s="290">
        <v>0</v>
      </c>
      <c r="T254" s="290">
        <v>178</v>
      </c>
      <c r="U254" s="958">
        <v>9.8547491581138708E-4</v>
      </c>
      <c r="V254" s="290">
        <v>1272.59207797</v>
      </c>
      <c r="W254" s="765">
        <v>0.78215106000000001</v>
      </c>
      <c r="X254" s="290">
        <v>2200</v>
      </c>
      <c r="Y254" s="290">
        <v>427.12680399999999</v>
      </c>
      <c r="Z254" s="290">
        <v>67747</v>
      </c>
      <c r="AA254" s="290">
        <v>0</v>
      </c>
      <c r="AB254" s="290">
        <v>53</v>
      </c>
      <c r="AC254" s="290">
        <v>396.79199999999997</v>
      </c>
      <c r="AD254" s="290">
        <v>167</v>
      </c>
      <c r="AE254" s="290">
        <v>0</v>
      </c>
      <c r="AF254" s="290">
        <v>0</v>
      </c>
      <c r="AG254" s="290">
        <v>2489</v>
      </c>
      <c r="AH254" s="290">
        <v>404.85109946</v>
      </c>
      <c r="AI254" s="290">
        <v>0</v>
      </c>
      <c r="AJ254" s="290">
        <v>0</v>
      </c>
      <c r="AK254" s="290">
        <v>0</v>
      </c>
      <c r="AL254" s="290">
        <v>0</v>
      </c>
      <c r="AM254" s="957">
        <v>3.3067899999999997E-2</v>
      </c>
      <c r="AN254" s="290">
        <v>0</v>
      </c>
      <c r="AO254" s="290">
        <v>-380.43429700000002</v>
      </c>
      <c r="AP254" s="290">
        <v>0</v>
      </c>
      <c r="AQ254" s="290">
        <v>0</v>
      </c>
      <c r="AR254" s="290">
        <v>-134.07113899999999</v>
      </c>
      <c r="AS254" s="290">
        <v>730</v>
      </c>
      <c r="AT254" s="290">
        <v>92</v>
      </c>
      <c r="AU254" s="290">
        <v>24</v>
      </c>
      <c r="AV254" s="766">
        <v>83060</v>
      </c>
      <c r="AW254" s="290">
        <v>1100</v>
      </c>
      <c r="AX254" s="766">
        <v>20.000050000000002</v>
      </c>
      <c r="AY254" s="290">
        <v>452</v>
      </c>
      <c r="AZ254" s="290">
        <v>91</v>
      </c>
      <c r="BA254" s="290">
        <v>27</v>
      </c>
      <c r="BB254" s="290">
        <v>2938</v>
      </c>
      <c r="BC254" s="290">
        <v>812.41429600000004</v>
      </c>
      <c r="BD254" s="290">
        <v>297</v>
      </c>
      <c r="BE254" s="290">
        <v>85746.085999999996</v>
      </c>
      <c r="BF254" s="290">
        <v>0</v>
      </c>
      <c r="BG254" s="290">
        <v>142</v>
      </c>
      <c r="BH254" s="290">
        <v>20</v>
      </c>
      <c r="BI254" s="290">
        <v>1228.7699</v>
      </c>
      <c r="BJ254" s="290">
        <v>0</v>
      </c>
      <c r="BK254" s="290">
        <f t="shared" si="3"/>
        <v>0</v>
      </c>
      <c r="BL254" s="290">
        <v>0</v>
      </c>
      <c r="BM254" s="290">
        <v>0</v>
      </c>
      <c r="BN254" s="290">
        <v>1947</v>
      </c>
      <c r="BO254" s="290">
        <v>484</v>
      </c>
      <c r="BP254" s="290">
        <v>2</v>
      </c>
      <c r="BQ254" s="290">
        <v>241</v>
      </c>
      <c r="BR254" s="290">
        <v>-1</v>
      </c>
      <c r="BS254" s="290">
        <v>50</v>
      </c>
      <c r="BT254" s="290">
        <v>0</v>
      </c>
      <c r="BU254" s="290">
        <v>0</v>
      </c>
      <c r="BV254" s="290">
        <v>46</v>
      </c>
      <c r="BW254" s="290"/>
      <c r="BX254" s="290"/>
      <c r="BY254" s="290"/>
    </row>
    <row r="255" spans="1:77" ht="13">
      <c r="A255" s="1">
        <v>4624</v>
      </c>
      <c r="B255" s="2" t="s">
        <v>1634</v>
      </c>
      <c r="C255" s="289">
        <v>24908</v>
      </c>
      <c r="D255" s="290">
        <v>566</v>
      </c>
      <c r="E255" s="290">
        <v>1330</v>
      </c>
      <c r="F255" s="290">
        <v>3548</v>
      </c>
      <c r="G255" s="290">
        <v>2150</v>
      </c>
      <c r="H255" s="290">
        <v>13572</v>
      </c>
      <c r="I255" s="290">
        <v>2677</v>
      </c>
      <c r="J255" s="290">
        <v>758</v>
      </c>
      <c r="K255" s="290">
        <v>177</v>
      </c>
      <c r="L255" s="290">
        <v>162</v>
      </c>
      <c r="M255" s="290">
        <v>1302</v>
      </c>
      <c r="N255" s="290">
        <v>221</v>
      </c>
      <c r="O255" s="290">
        <v>232</v>
      </c>
      <c r="P255" s="624">
        <v>120511.63066667</v>
      </c>
      <c r="Q255" s="624">
        <v>55451.824999999997</v>
      </c>
      <c r="R255" s="624">
        <v>91</v>
      </c>
      <c r="S255" s="290">
        <v>2977</v>
      </c>
      <c r="T255" s="290">
        <v>1644</v>
      </c>
      <c r="U255" s="958">
        <v>3.9968863651344963E-3</v>
      </c>
      <c r="V255" s="290">
        <v>-4458.2953623499998</v>
      </c>
      <c r="W255" s="765">
        <v>0.62325381999999996</v>
      </c>
      <c r="X255" s="290">
        <v>5900</v>
      </c>
      <c r="Y255" s="290">
        <v>854.25360799999999</v>
      </c>
      <c r="Z255" s="290">
        <v>702109</v>
      </c>
      <c r="AA255" s="290">
        <v>1500</v>
      </c>
      <c r="AB255" s="290">
        <v>422</v>
      </c>
      <c r="AC255" s="290">
        <v>15001.692999999999</v>
      </c>
      <c r="AD255" s="290">
        <v>333</v>
      </c>
      <c r="AE255" s="290">
        <v>843</v>
      </c>
      <c r="AF255" s="290">
        <v>14712.8544</v>
      </c>
      <c r="AG255" s="290">
        <v>24778</v>
      </c>
      <c r="AH255" s="290">
        <v>4865.4426774100002</v>
      </c>
      <c r="AI255" s="290">
        <v>2000</v>
      </c>
      <c r="AJ255" s="290">
        <v>0</v>
      </c>
      <c r="AK255" s="290">
        <v>62.406999999999996</v>
      </c>
      <c r="AL255" s="290">
        <v>0</v>
      </c>
      <c r="AM255" s="957">
        <v>0.63503063000000004</v>
      </c>
      <c r="AN255" s="290">
        <v>0</v>
      </c>
      <c r="AO255" s="290">
        <v>-3472.71911</v>
      </c>
      <c r="AP255" s="290">
        <v>0</v>
      </c>
      <c r="AQ255" s="290">
        <v>0</v>
      </c>
      <c r="AR255" s="290">
        <v>-1334.6784600000001</v>
      </c>
      <c r="AS255" s="290">
        <v>4901</v>
      </c>
      <c r="AT255" s="290">
        <v>1198</v>
      </c>
      <c r="AU255" s="290">
        <v>314</v>
      </c>
      <c r="AV255" s="766">
        <v>418738</v>
      </c>
      <c r="AW255" s="290">
        <v>10643.264999999999</v>
      </c>
      <c r="AX255" s="766">
        <v>216.58335</v>
      </c>
      <c r="AY255" s="290">
        <v>5354</v>
      </c>
      <c r="AZ255" s="290">
        <v>1027</v>
      </c>
      <c r="BA255" s="290">
        <v>563</v>
      </c>
      <c r="BB255" s="290">
        <v>0</v>
      </c>
      <c r="BC255" s="290">
        <v>-250865.06899999999</v>
      </c>
      <c r="BD255" s="290">
        <v>2053</v>
      </c>
      <c r="BE255" s="290">
        <v>321799.66899999999</v>
      </c>
      <c r="BF255" s="290">
        <v>0</v>
      </c>
      <c r="BG255" s="290">
        <v>1081</v>
      </c>
      <c r="BH255" s="290">
        <v>154</v>
      </c>
      <c r="BI255" s="290">
        <v>-337173.80900000001</v>
      </c>
      <c r="BJ255" s="290">
        <v>0</v>
      </c>
      <c r="BK255" s="290">
        <v>-1568</v>
      </c>
      <c r="BL255" s="290">
        <v>-372670.45939999999</v>
      </c>
      <c r="BM255" s="290">
        <v>4933</v>
      </c>
      <c r="BN255" s="290">
        <v>17768</v>
      </c>
      <c r="BO255" s="290">
        <v>5358</v>
      </c>
      <c r="BP255" s="290">
        <v>27</v>
      </c>
      <c r="BQ255" s="290">
        <v>2417</v>
      </c>
      <c r="BR255" s="290">
        <v>-12</v>
      </c>
      <c r="BS255" s="290">
        <v>325</v>
      </c>
      <c r="BT255" s="290">
        <v>0</v>
      </c>
      <c r="BU255" s="290">
        <v>0</v>
      </c>
      <c r="BV255" s="290">
        <v>347</v>
      </c>
      <c r="BW255" s="290"/>
      <c r="BX255" s="290"/>
      <c r="BY255" s="290"/>
    </row>
    <row r="256" spans="1:77" ht="13">
      <c r="A256" s="1">
        <v>4625</v>
      </c>
      <c r="B256" s="2" t="s">
        <v>41</v>
      </c>
      <c r="C256" s="289">
        <v>5236</v>
      </c>
      <c r="D256" s="290">
        <v>125</v>
      </c>
      <c r="E256" s="290">
        <v>326</v>
      </c>
      <c r="F256" s="290">
        <v>743</v>
      </c>
      <c r="G256" s="290">
        <v>461</v>
      </c>
      <c r="H256" s="290">
        <v>2779</v>
      </c>
      <c r="I256" s="290">
        <v>558</v>
      </c>
      <c r="J256" s="290">
        <v>174</v>
      </c>
      <c r="K256" s="290">
        <v>55</v>
      </c>
      <c r="L256" s="290">
        <v>38</v>
      </c>
      <c r="M256" s="290">
        <v>318</v>
      </c>
      <c r="N256" s="290">
        <v>14</v>
      </c>
      <c r="O256" s="290">
        <v>43</v>
      </c>
      <c r="P256" s="624">
        <v>42917.708666669998</v>
      </c>
      <c r="Q256" s="624">
        <v>28314.925666669998</v>
      </c>
      <c r="R256" s="624">
        <v>26</v>
      </c>
      <c r="S256" s="290">
        <v>0</v>
      </c>
      <c r="T256" s="290">
        <v>313</v>
      </c>
      <c r="U256" s="958">
        <v>1.4483238466206838E-3</v>
      </c>
      <c r="V256" s="290">
        <v>-1593.6822147600001</v>
      </c>
      <c r="W256" s="765">
        <v>0.84812639000000001</v>
      </c>
      <c r="X256" s="290">
        <v>1300</v>
      </c>
      <c r="Y256" s="290">
        <v>427.12680399999999</v>
      </c>
      <c r="Z256" s="290">
        <v>264097</v>
      </c>
      <c r="AA256" s="290">
        <v>0</v>
      </c>
      <c r="AB256" s="290">
        <v>75</v>
      </c>
      <c r="AC256" s="290">
        <v>994.399</v>
      </c>
      <c r="AD256" s="290">
        <v>333</v>
      </c>
      <c r="AE256" s="290">
        <v>0</v>
      </c>
      <c r="AF256" s="290">
        <v>0</v>
      </c>
      <c r="AG256" s="290">
        <v>5221</v>
      </c>
      <c r="AH256" s="290">
        <v>1062.7341360800001</v>
      </c>
      <c r="AI256" s="290">
        <v>100</v>
      </c>
      <c r="AJ256" s="290">
        <v>0</v>
      </c>
      <c r="AK256" s="290">
        <v>54.012999999999998</v>
      </c>
      <c r="AL256" s="290">
        <v>0</v>
      </c>
      <c r="AM256" s="957">
        <v>4.4746050000000002E-2</v>
      </c>
      <c r="AN256" s="290">
        <v>0</v>
      </c>
      <c r="AO256" s="290">
        <v>-823.17866500000002</v>
      </c>
      <c r="AP256" s="290">
        <v>0</v>
      </c>
      <c r="AQ256" s="290">
        <v>0</v>
      </c>
      <c r="AR256" s="290">
        <v>-281.23158599999999</v>
      </c>
      <c r="AS256" s="290">
        <v>1803</v>
      </c>
      <c r="AT256" s="290">
        <v>191</v>
      </c>
      <c r="AU256" s="290">
        <v>37</v>
      </c>
      <c r="AV256" s="766">
        <v>169747</v>
      </c>
      <c r="AW256" s="290">
        <v>3170</v>
      </c>
      <c r="AX256" s="766">
        <v>55.083300000000001</v>
      </c>
      <c r="AY256" s="290">
        <v>881</v>
      </c>
      <c r="AZ256" s="290">
        <v>172</v>
      </c>
      <c r="BA256" s="290">
        <v>90</v>
      </c>
      <c r="BB256" s="290">
        <v>0</v>
      </c>
      <c r="BC256" s="290">
        <v>1028.44516</v>
      </c>
      <c r="BD256" s="290">
        <v>525</v>
      </c>
      <c r="BE256" s="290">
        <v>176150.52100000001</v>
      </c>
      <c r="BF256" s="290">
        <v>0</v>
      </c>
      <c r="BG256" s="290">
        <v>276</v>
      </c>
      <c r="BH256" s="290">
        <v>39</v>
      </c>
      <c r="BI256" s="290">
        <v>2538.2729399999998</v>
      </c>
      <c r="BJ256" s="290">
        <v>0</v>
      </c>
      <c r="BK256" s="290">
        <f t="shared" si="3"/>
        <v>0</v>
      </c>
      <c r="BL256" s="290">
        <v>0</v>
      </c>
      <c r="BM256" s="290">
        <v>0</v>
      </c>
      <c r="BN256" s="290">
        <v>4212</v>
      </c>
      <c r="BO256" s="290">
        <v>1258</v>
      </c>
      <c r="BP256" s="290">
        <v>6</v>
      </c>
      <c r="BQ256" s="290">
        <v>651</v>
      </c>
      <c r="BR256" s="290">
        <v>-2</v>
      </c>
      <c r="BS256" s="290">
        <v>50</v>
      </c>
      <c r="BT256" s="290">
        <v>0</v>
      </c>
      <c r="BU256" s="290">
        <v>0</v>
      </c>
      <c r="BV256" s="290">
        <v>89</v>
      </c>
      <c r="BW256" s="290"/>
      <c r="BX256" s="290"/>
      <c r="BY256" s="290"/>
    </row>
    <row r="257" spans="1:77" ht="13">
      <c r="A257" s="1">
        <v>4626</v>
      </c>
      <c r="B257" s="2" t="s">
        <v>1635</v>
      </c>
      <c r="C257" s="289">
        <v>38316</v>
      </c>
      <c r="D257" s="290">
        <v>935</v>
      </c>
      <c r="E257" s="290">
        <v>2044</v>
      </c>
      <c r="F257" s="290">
        <v>5355</v>
      </c>
      <c r="G257" s="290">
        <v>3576</v>
      </c>
      <c r="H257" s="290">
        <v>21411</v>
      </c>
      <c r="I257" s="290">
        <v>3744</v>
      </c>
      <c r="J257" s="290">
        <v>892</v>
      </c>
      <c r="K257" s="290">
        <v>239</v>
      </c>
      <c r="L257" s="290">
        <v>266</v>
      </c>
      <c r="M257" s="290">
        <v>1755</v>
      </c>
      <c r="N257" s="290">
        <v>534</v>
      </c>
      <c r="O257" s="290">
        <v>333</v>
      </c>
      <c r="P257" s="624">
        <v>165171.821</v>
      </c>
      <c r="Q257" s="624">
        <v>107607.44</v>
      </c>
      <c r="R257" s="624">
        <v>131</v>
      </c>
      <c r="S257" s="290">
        <v>3904</v>
      </c>
      <c r="T257" s="290">
        <v>2362</v>
      </c>
      <c r="U257" s="958">
        <v>2.8316096586413625E-3</v>
      </c>
      <c r="V257" s="290">
        <v>-19383.514430340001</v>
      </c>
      <c r="W257" s="765">
        <v>0.60702750999999999</v>
      </c>
      <c r="X257" s="290">
        <v>3100</v>
      </c>
      <c r="Y257" s="290">
        <v>1281.380412</v>
      </c>
      <c r="Z257" s="290">
        <v>1073322</v>
      </c>
      <c r="AA257" s="290">
        <v>0</v>
      </c>
      <c r="AB257" s="290">
        <v>848</v>
      </c>
      <c r="AC257" s="290">
        <v>6880.7439999999997</v>
      </c>
      <c r="AD257" s="290">
        <v>500</v>
      </c>
      <c r="AE257" s="290">
        <v>0</v>
      </c>
      <c r="AF257" s="290">
        <v>29425.7088</v>
      </c>
      <c r="AG257" s="290">
        <v>38196</v>
      </c>
      <c r="AH257" s="290">
        <v>7562.0401791499999</v>
      </c>
      <c r="AI257" s="290">
        <v>3150</v>
      </c>
      <c r="AJ257" s="290">
        <v>0</v>
      </c>
      <c r="AK257" s="290">
        <v>3014.05</v>
      </c>
      <c r="AL257" s="290">
        <v>0</v>
      </c>
      <c r="AM257" s="957">
        <v>1.28645947</v>
      </c>
      <c r="AN257" s="290">
        <v>0</v>
      </c>
      <c r="AO257" s="290">
        <v>-5179.2675099999997</v>
      </c>
      <c r="AP257" s="290">
        <v>0</v>
      </c>
      <c r="AQ257" s="290">
        <v>0</v>
      </c>
      <c r="AR257" s="290">
        <v>-2057.4452500000002</v>
      </c>
      <c r="AS257" s="290">
        <v>15668</v>
      </c>
      <c r="AT257" s="290">
        <v>1937</v>
      </c>
      <c r="AU257" s="290">
        <v>634</v>
      </c>
      <c r="AV257" s="766">
        <v>941190</v>
      </c>
      <c r="AW257" s="290">
        <v>18266.429</v>
      </c>
      <c r="AX257" s="766">
        <v>337.66669999999999</v>
      </c>
      <c r="AY257" s="290">
        <v>6984</v>
      </c>
      <c r="AZ257" s="290">
        <v>1522</v>
      </c>
      <c r="BA257" s="290">
        <v>876</v>
      </c>
      <c r="BB257" s="290">
        <v>0</v>
      </c>
      <c r="BC257" s="290">
        <v>20242.903200000001</v>
      </c>
      <c r="BD257" s="290">
        <v>3125</v>
      </c>
      <c r="BE257" s="290">
        <v>972820.00300000003</v>
      </c>
      <c r="BF257" s="290">
        <v>0</v>
      </c>
      <c r="BG257" s="290">
        <v>1622</v>
      </c>
      <c r="BH257" s="290">
        <v>232</v>
      </c>
      <c r="BI257" s="290">
        <v>48163.9234</v>
      </c>
      <c r="BJ257" s="290">
        <v>4340</v>
      </c>
      <c r="BK257" s="290">
        <f t="shared" si="3"/>
        <v>0</v>
      </c>
      <c r="BL257" s="290">
        <v>0</v>
      </c>
      <c r="BM257" s="290">
        <v>5848</v>
      </c>
      <c r="BN257" s="290">
        <v>26500</v>
      </c>
      <c r="BO257" s="290">
        <v>8129</v>
      </c>
      <c r="BP257" s="290">
        <v>40</v>
      </c>
      <c r="BQ257" s="290">
        <v>3757</v>
      </c>
      <c r="BR257" s="290">
        <v>-18</v>
      </c>
      <c r="BS257" s="290">
        <v>500</v>
      </c>
      <c r="BT257" s="290">
        <v>0</v>
      </c>
      <c r="BU257" s="290">
        <v>0</v>
      </c>
      <c r="BV257" s="290">
        <v>521</v>
      </c>
      <c r="BW257" s="290"/>
      <c r="BX257" s="290"/>
      <c r="BY257" s="290"/>
    </row>
    <row r="258" spans="1:77" ht="13">
      <c r="A258" s="1">
        <v>4627</v>
      </c>
      <c r="B258" s="4" t="s">
        <v>44</v>
      </c>
      <c r="C258" s="289">
        <v>29553</v>
      </c>
      <c r="D258" s="290">
        <v>719</v>
      </c>
      <c r="E258" s="290">
        <v>1728</v>
      </c>
      <c r="F258" s="290">
        <v>4479</v>
      </c>
      <c r="G258" s="290">
        <v>2658</v>
      </c>
      <c r="H258" s="290">
        <v>16267</v>
      </c>
      <c r="I258" s="290">
        <v>2799</v>
      </c>
      <c r="J258" s="290">
        <v>733</v>
      </c>
      <c r="K258" s="290">
        <v>152</v>
      </c>
      <c r="L258" s="290">
        <v>217</v>
      </c>
      <c r="M258" s="290">
        <v>1336</v>
      </c>
      <c r="N258" s="290">
        <v>318</v>
      </c>
      <c r="O258" s="290">
        <v>217</v>
      </c>
      <c r="P258" s="624">
        <v>66911.703666670001</v>
      </c>
      <c r="Q258" s="624">
        <v>57591.817666670002</v>
      </c>
      <c r="R258" s="624">
        <v>111</v>
      </c>
      <c r="S258" s="290">
        <v>0</v>
      </c>
      <c r="T258" s="290">
        <v>1650</v>
      </c>
      <c r="U258" s="958">
        <v>1.0160423405462177E-3</v>
      </c>
      <c r="V258" s="290">
        <v>7261.68671928</v>
      </c>
      <c r="W258" s="765">
        <v>0.57537258000000002</v>
      </c>
      <c r="X258" s="290">
        <v>1800</v>
      </c>
      <c r="Y258" s="290">
        <v>427.12680399999999</v>
      </c>
      <c r="Z258" s="290">
        <v>758102</v>
      </c>
      <c r="AA258" s="290">
        <v>0</v>
      </c>
      <c r="AB258" s="290">
        <v>583</v>
      </c>
      <c r="AC258" s="290">
        <v>10638.886</v>
      </c>
      <c r="AD258" s="290">
        <v>333</v>
      </c>
      <c r="AE258" s="290">
        <v>0</v>
      </c>
      <c r="AF258" s="290">
        <v>0</v>
      </c>
      <c r="AG258" s="290">
        <v>29535</v>
      </c>
      <c r="AH258" s="290">
        <v>6153.0137633599998</v>
      </c>
      <c r="AI258" s="290">
        <v>0</v>
      </c>
      <c r="AJ258" s="290">
        <v>0</v>
      </c>
      <c r="AK258" s="290">
        <v>0</v>
      </c>
      <c r="AL258" s="290">
        <v>0</v>
      </c>
      <c r="AM258" s="957">
        <v>0.52597092000000001</v>
      </c>
      <c r="AN258" s="290">
        <v>0</v>
      </c>
      <c r="AO258" s="290">
        <v>-4105.1306599999998</v>
      </c>
      <c r="AP258" s="290">
        <v>0</v>
      </c>
      <c r="AQ258" s="290">
        <v>0</v>
      </c>
      <c r="AR258" s="290">
        <v>-1590.9164699999999</v>
      </c>
      <c r="AS258" s="290">
        <v>9855</v>
      </c>
      <c r="AT258" s="290">
        <v>1355</v>
      </c>
      <c r="AU258" s="290">
        <v>368</v>
      </c>
      <c r="AV258" s="766">
        <v>749835</v>
      </c>
      <c r="AW258" s="290">
        <v>16636.792000000001</v>
      </c>
      <c r="AX258" s="766">
        <v>279.58330000000001</v>
      </c>
      <c r="AY258" s="290">
        <v>6259</v>
      </c>
      <c r="AZ258" s="290">
        <v>904</v>
      </c>
      <c r="BA258" s="290">
        <v>739</v>
      </c>
      <c r="BB258" s="290">
        <v>0</v>
      </c>
      <c r="BC258" s="290">
        <v>6320.6968500000003</v>
      </c>
      <c r="BD258" s="290">
        <v>2432</v>
      </c>
      <c r="BE258" s="290">
        <v>789445.14800000004</v>
      </c>
      <c r="BF258" s="290">
        <v>0</v>
      </c>
      <c r="BG258" s="290">
        <v>1223</v>
      </c>
      <c r="BH258" s="290">
        <v>175</v>
      </c>
      <c r="BI258" s="290">
        <v>17219.026600000001</v>
      </c>
      <c r="BJ258" s="290">
        <v>3350</v>
      </c>
      <c r="BK258" s="290">
        <f t="shared" si="3"/>
        <v>0</v>
      </c>
      <c r="BL258" s="290">
        <v>0</v>
      </c>
      <c r="BM258" s="290">
        <v>0</v>
      </c>
      <c r="BN258" s="290">
        <v>21004</v>
      </c>
      <c r="BO258" s="290">
        <v>6812</v>
      </c>
      <c r="BP258" s="290">
        <v>34</v>
      </c>
      <c r="BQ258" s="290">
        <v>2852</v>
      </c>
      <c r="BR258" s="290">
        <v>-14</v>
      </c>
      <c r="BS258" s="290">
        <v>283</v>
      </c>
      <c r="BT258" s="290">
        <v>0</v>
      </c>
      <c r="BU258" s="290">
        <v>0</v>
      </c>
      <c r="BV258" s="290">
        <v>393</v>
      </c>
      <c r="BW258" s="290"/>
      <c r="BX258" s="290"/>
      <c r="BY258" s="290"/>
    </row>
    <row r="259" spans="1:77" ht="13">
      <c r="A259" s="1">
        <v>4628</v>
      </c>
      <c r="B259" s="2" t="s">
        <v>45</v>
      </c>
      <c r="C259" s="289">
        <v>3977</v>
      </c>
      <c r="D259" s="290">
        <v>72</v>
      </c>
      <c r="E259" s="290">
        <v>206</v>
      </c>
      <c r="F259" s="290">
        <v>482</v>
      </c>
      <c r="G259" s="290">
        <v>314</v>
      </c>
      <c r="H259" s="290">
        <v>2154</v>
      </c>
      <c r="I259" s="290">
        <v>508</v>
      </c>
      <c r="J259" s="290">
        <v>219</v>
      </c>
      <c r="K259" s="290">
        <v>79</v>
      </c>
      <c r="L259" s="290">
        <v>36</v>
      </c>
      <c r="M259" s="290">
        <v>396</v>
      </c>
      <c r="N259" s="290">
        <v>42</v>
      </c>
      <c r="O259" s="290">
        <v>48</v>
      </c>
      <c r="P259" s="624">
        <v>59945.895666670003</v>
      </c>
      <c r="Q259" s="624">
        <v>10877.715333329999</v>
      </c>
      <c r="R259" s="624">
        <v>16</v>
      </c>
      <c r="S259" s="290">
        <v>0</v>
      </c>
      <c r="T259" s="290">
        <v>311</v>
      </c>
      <c r="U259" s="958">
        <v>1.2451794466602764E-3</v>
      </c>
      <c r="V259" s="290">
        <v>1520.9451021100001</v>
      </c>
      <c r="W259" s="765">
        <v>0.82970153999999996</v>
      </c>
      <c r="X259" s="290">
        <v>800</v>
      </c>
      <c r="Y259" s="290">
        <v>427.12680399999999</v>
      </c>
      <c r="Z259" s="290">
        <v>107407</v>
      </c>
      <c r="AA259" s="290">
        <v>550</v>
      </c>
      <c r="AB259" s="290">
        <v>97</v>
      </c>
      <c r="AC259" s="290">
        <v>700.08</v>
      </c>
      <c r="AD259" s="290">
        <v>333</v>
      </c>
      <c r="AE259" s="290">
        <v>0</v>
      </c>
      <c r="AF259" s="290">
        <v>0</v>
      </c>
      <c r="AG259" s="290">
        <v>4034</v>
      </c>
      <c r="AH259" s="290">
        <v>685.35507551000001</v>
      </c>
      <c r="AI259" s="290">
        <v>100</v>
      </c>
      <c r="AJ259" s="290">
        <v>0</v>
      </c>
      <c r="AK259" s="290">
        <v>0</v>
      </c>
      <c r="AL259" s="290">
        <v>0</v>
      </c>
      <c r="AM259" s="957">
        <v>6.277829E-2</v>
      </c>
      <c r="AN259" s="290">
        <v>4748</v>
      </c>
      <c r="AO259" s="290">
        <v>-666.24101199999996</v>
      </c>
      <c r="AP259" s="290">
        <v>0</v>
      </c>
      <c r="AQ259" s="290">
        <v>0</v>
      </c>
      <c r="AR259" s="290">
        <v>-217.29328100000001</v>
      </c>
      <c r="AS259" s="290">
        <v>1559</v>
      </c>
      <c r="AT259" s="290">
        <v>161</v>
      </c>
      <c r="AU259" s="290">
        <v>29</v>
      </c>
      <c r="AV259" s="766">
        <v>148493</v>
      </c>
      <c r="AW259" s="290">
        <v>5880</v>
      </c>
      <c r="AX259" s="766">
        <v>19.75</v>
      </c>
      <c r="AY259" s="290">
        <v>669</v>
      </c>
      <c r="AZ259" s="290">
        <v>220</v>
      </c>
      <c r="BA259" s="290">
        <v>77</v>
      </c>
      <c r="BB259" s="290">
        <v>0</v>
      </c>
      <c r="BC259" s="290">
        <v>1092.0119299999999</v>
      </c>
      <c r="BD259" s="290">
        <v>426</v>
      </c>
      <c r="BE259" s="290">
        <v>155334.39799999999</v>
      </c>
      <c r="BF259" s="290">
        <v>0</v>
      </c>
      <c r="BG259" s="290">
        <v>229</v>
      </c>
      <c r="BH259" s="290">
        <v>33</v>
      </c>
      <c r="BI259" s="290">
        <v>1812.56188</v>
      </c>
      <c r="BJ259" s="290">
        <v>0</v>
      </c>
      <c r="BK259" s="290">
        <f t="shared" si="3"/>
        <v>0</v>
      </c>
      <c r="BL259" s="290">
        <v>0</v>
      </c>
      <c r="BM259" s="290">
        <v>0</v>
      </c>
      <c r="BN259" s="290">
        <v>3409</v>
      </c>
      <c r="BO259" s="290">
        <v>791</v>
      </c>
      <c r="BP259" s="290">
        <v>4</v>
      </c>
      <c r="BQ259" s="290">
        <v>395</v>
      </c>
      <c r="BR259" s="290">
        <v>-2</v>
      </c>
      <c r="BS259" s="290">
        <v>71</v>
      </c>
      <c r="BT259" s="290">
        <v>0</v>
      </c>
      <c r="BU259" s="290">
        <v>0</v>
      </c>
      <c r="BV259" s="290">
        <v>74</v>
      </c>
      <c r="BW259" s="290"/>
      <c r="BX259" s="290"/>
      <c r="BY259" s="290"/>
    </row>
    <row r="260" spans="1:77" ht="13">
      <c r="A260" s="1">
        <v>4629</v>
      </c>
      <c r="B260" s="2" t="s">
        <v>46</v>
      </c>
      <c r="C260" s="289">
        <v>388</v>
      </c>
      <c r="D260" s="290">
        <v>6</v>
      </c>
      <c r="E260" s="290">
        <v>14</v>
      </c>
      <c r="F260" s="290">
        <v>63</v>
      </c>
      <c r="G260" s="290">
        <v>36</v>
      </c>
      <c r="H260" s="290">
        <v>199</v>
      </c>
      <c r="I260" s="290">
        <v>38</v>
      </c>
      <c r="J260" s="290">
        <v>23</v>
      </c>
      <c r="K260" s="290">
        <v>3</v>
      </c>
      <c r="L260" s="290">
        <v>4</v>
      </c>
      <c r="M260" s="290">
        <v>33</v>
      </c>
      <c r="N260" s="290">
        <v>0</v>
      </c>
      <c r="O260" s="290">
        <v>4</v>
      </c>
      <c r="P260" s="624">
        <v>2137.85</v>
      </c>
      <c r="Q260" s="624">
        <v>5888.1030000000001</v>
      </c>
      <c r="R260" s="624">
        <v>1</v>
      </c>
      <c r="S260" s="290">
        <v>0</v>
      </c>
      <c r="T260" s="290">
        <v>26</v>
      </c>
      <c r="U260" s="958">
        <v>3.1657182079713396E-4</v>
      </c>
      <c r="V260" s="290">
        <v>350.76192313000001</v>
      </c>
      <c r="W260" s="765">
        <v>1</v>
      </c>
      <c r="X260" s="290">
        <v>0</v>
      </c>
      <c r="Y260" s="290">
        <v>0</v>
      </c>
      <c r="Z260" s="290">
        <v>27348</v>
      </c>
      <c r="AA260" s="290">
        <v>0</v>
      </c>
      <c r="AB260" s="290">
        <v>2</v>
      </c>
      <c r="AC260" s="290">
        <v>129.09100000000001</v>
      </c>
      <c r="AD260" s="290">
        <v>167</v>
      </c>
      <c r="AE260" s="290">
        <v>0</v>
      </c>
      <c r="AF260" s="290">
        <v>0</v>
      </c>
      <c r="AG260" s="290">
        <v>382</v>
      </c>
      <c r="AH260" s="290">
        <v>100</v>
      </c>
      <c r="AI260" s="290">
        <v>200</v>
      </c>
      <c r="AJ260" s="290">
        <v>0</v>
      </c>
      <c r="AK260" s="290">
        <v>0</v>
      </c>
      <c r="AL260" s="290">
        <v>0</v>
      </c>
      <c r="AM260" s="957">
        <v>5.9210499999999998E-3</v>
      </c>
      <c r="AN260" s="290">
        <v>0</v>
      </c>
      <c r="AO260" s="290">
        <v>-104.85831899999999</v>
      </c>
      <c r="AP260" s="290">
        <v>0</v>
      </c>
      <c r="AQ260" s="290">
        <v>0</v>
      </c>
      <c r="AR260" s="290">
        <v>-20.576607200000002</v>
      </c>
      <c r="AS260" s="290">
        <v>167</v>
      </c>
      <c r="AT260" s="290">
        <v>19</v>
      </c>
      <c r="AU260" s="290">
        <v>3</v>
      </c>
      <c r="AV260" s="766">
        <v>29687</v>
      </c>
      <c r="AW260" s="290">
        <v>350</v>
      </c>
      <c r="AX260" s="766">
        <v>3.3332999999999999</v>
      </c>
      <c r="AY260" s="290">
        <v>76</v>
      </c>
      <c r="AZ260" s="290">
        <v>15</v>
      </c>
      <c r="BA260" s="290">
        <v>10</v>
      </c>
      <c r="BB260" s="290">
        <v>0</v>
      </c>
      <c r="BC260" s="290">
        <v>100</v>
      </c>
      <c r="BD260" s="290">
        <v>159</v>
      </c>
      <c r="BE260" s="290">
        <v>31154.956399999999</v>
      </c>
      <c r="BF260" s="290">
        <v>0</v>
      </c>
      <c r="BG260" s="290">
        <v>59</v>
      </c>
      <c r="BH260" s="290">
        <v>8</v>
      </c>
      <c r="BI260" s="290">
        <v>229.09100000000001</v>
      </c>
      <c r="BJ260" s="290">
        <v>0</v>
      </c>
      <c r="BK260" s="290">
        <f t="shared" si="3"/>
        <v>0</v>
      </c>
      <c r="BL260" s="290">
        <v>0</v>
      </c>
      <c r="BM260" s="290">
        <v>0</v>
      </c>
      <c r="BN260" s="290">
        <v>537</v>
      </c>
      <c r="BO260" s="290">
        <v>88</v>
      </c>
      <c r="BP260" s="290">
        <v>0</v>
      </c>
      <c r="BQ260" s="290">
        <v>59</v>
      </c>
      <c r="BR260" s="290">
        <v>0</v>
      </c>
      <c r="BS260" s="290">
        <v>50</v>
      </c>
      <c r="BT260" s="290">
        <v>0</v>
      </c>
      <c r="BU260" s="290">
        <v>0</v>
      </c>
      <c r="BV260" s="290">
        <v>19</v>
      </c>
      <c r="BW260" s="290"/>
      <c r="BX260" s="290"/>
      <c r="BY260" s="290"/>
    </row>
    <row r="261" spans="1:77" ht="13">
      <c r="A261" s="1">
        <v>4630</v>
      </c>
      <c r="B261" s="2" t="s">
        <v>47</v>
      </c>
      <c r="C261" s="289">
        <v>8098</v>
      </c>
      <c r="D261" s="290">
        <v>185</v>
      </c>
      <c r="E261" s="290">
        <v>428</v>
      </c>
      <c r="F261" s="290">
        <v>1033</v>
      </c>
      <c r="G261" s="290">
        <v>735</v>
      </c>
      <c r="H261" s="290">
        <v>4402</v>
      </c>
      <c r="I261" s="290">
        <v>934</v>
      </c>
      <c r="J261" s="290">
        <v>298</v>
      </c>
      <c r="K261" s="290">
        <v>99</v>
      </c>
      <c r="L261" s="290">
        <v>53</v>
      </c>
      <c r="M261" s="290">
        <v>481</v>
      </c>
      <c r="N261" s="290">
        <v>25</v>
      </c>
      <c r="O261" s="290">
        <v>85</v>
      </c>
      <c r="P261" s="624">
        <v>61933.794000000002</v>
      </c>
      <c r="Q261" s="624">
        <v>23565.243666670001</v>
      </c>
      <c r="R261" s="624">
        <v>28</v>
      </c>
      <c r="S261" s="290">
        <v>0</v>
      </c>
      <c r="T261" s="290">
        <v>535</v>
      </c>
      <c r="U261" s="958">
        <v>3.0399381995599556E-3</v>
      </c>
      <c r="V261" s="290">
        <v>-17138.897971769999</v>
      </c>
      <c r="W261" s="765">
        <v>0.67944278000000002</v>
      </c>
      <c r="X261" s="290">
        <v>3800</v>
      </c>
      <c r="Y261" s="290">
        <v>427.12680399999999</v>
      </c>
      <c r="Z261" s="290">
        <v>202713</v>
      </c>
      <c r="AA261" s="290">
        <v>0</v>
      </c>
      <c r="AB261" s="290">
        <v>147</v>
      </c>
      <c r="AC261" s="290">
        <v>1369.0409999999999</v>
      </c>
      <c r="AD261" s="290">
        <v>333</v>
      </c>
      <c r="AE261" s="290">
        <v>0</v>
      </c>
      <c r="AF261" s="290">
        <v>0</v>
      </c>
      <c r="AG261" s="290">
        <v>8114</v>
      </c>
      <c r="AH261" s="290">
        <v>1508.7932938700001</v>
      </c>
      <c r="AI261" s="290">
        <v>1650</v>
      </c>
      <c r="AJ261" s="290">
        <v>0</v>
      </c>
      <c r="AK261" s="290">
        <v>0</v>
      </c>
      <c r="AL261" s="290">
        <v>0</v>
      </c>
      <c r="AM261" s="957">
        <v>0.20056479999999999</v>
      </c>
      <c r="AN261" s="290">
        <v>0</v>
      </c>
      <c r="AO261" s="290">
        <v>-1162.8644999999999</v>
      </c>
      <c r="AP261" s="290">
        <v>0</v>
      </c>
      <c r="AQ261" s="290">
        <v>0</v>
      </c>
      <c r="AR261" s="290">
        <v>-437.06437299999999</v>
      </c>
      <c r="AS261" s="290">
        <v>2272</v>
      </c>
      <c r="AT261" s="290">
        <v>364</v>
      </c>
      <c r="AU261" s="290">
        <v>105</v>
      </c>
      <c r="AV261" s="766">
        <v>204623</v>
      </c>
      <c r="AW261" s="290">
        <v>5227.6570000000002</v>
      </c>
      <c r="AX261" s="766">
        <v>46.541649999999997</v>
      </c>
      <c r="AY261" s="290">
        <v>1273</v>
      </c>
      <c r="AZ261" s="290">
        <v>346</v>
      </c>
      <c r="BA261" s="290">
        <v>163</v>
      </c>
      <c r="BB261" s="290">
        <v>0</v>
      </c>
      <c r="BC261" s="290">
        <v>1887.57527</v>
      </c>
      <c r="BD261" s="290">
        <v>733</v>
      </c>
      <c r="BE261" s="290">
        <v>213658.90599999999</v>
      </c>
      <c r="BF261" s="290">
        <v>0</v>
      </c>
      <c r="BG261" s="290">
        <v>391</v>
      </c>
      <c r="BH261" s="290">
        <v>56</v>
      </c>
      <c r="BI261" s="290">
        <v>3304.9611</v>
      </c>
      <c r="BJ261" s="290">
        <v>0</v>
      </c>
      <c r="BK261" s="290">
        <f t="shared" ref="BK261:BK324" si="4">ROUND(-4300*BL261/BL$361,4)</f>
        <v>0</v>
      </c>
      <c r="BL261" s="290">
        <v>0</v>
      </c>
      <c r="BM261" s="290">
        <v>0</v>
      </c>
      <c r="BN261" s="290">
        <v>5950</v>
      </c>
      <c r="BO261" s="290">
        <v>1627</v>
      </c>
      <c r="BP261" s="290">
        <v>8</v>
      </c>
      <c r="BQ261" s="290">
        <v>790</v>
      </c>
      <c r="BR261" s="290">
        <v>-4</v>
      </c>
      <c r="BS261" s="290">
        <v>113</v>
      </c>
      <c r="BT261" s="290">
        <v>0</v>
      </c>
      <c r="BU261" s="290">
        <v>0</v>
      </c>
      <c r="BV261" s="290">
        <v>126</v>
      </c>
      <c r="BW261" s="290"/>
      <c r="BX261" s="290"/>
      <c r="BY261" s="290"/>
    </row>
    <row r="262" spans="1:77" ht="13">
      <c r="A262" s="1">
        <v>4631</v>
      </c>
      <c r="B262" s="2" t="s">
        <v>1636</v>
      </c>
      <c r="C262" s="289">
        <v>29224</v>
      </c>
      <c r="D262" s="290">
        <v>614</v>
      </c>
      <c r="E262" s="290">
        <v>1546</v>
      </c>
      <c r="F262" s="290">
        <v>4060</v>
      </c>
      <c r="G262" s="290">
        <v>2659</v>
      </c>
      <c r="H262" s="290">
        <v>15839</v>
      </c>
      <c r="I262" s="290">
        <v>3342</v>
      </c>
      <c r="J262" s="290">
        <v>894</v>
      </c>
      <c r="K262" s="290">
        <v>242</v>
      </c>
      <c r="L262" s="290">
        <v>198</v>
      </c>
      <c r="M262" s="290">
        <v>1577</v>
      </c>
      <c r="N262" s="290">
        <v>223</v>
      </c>
      <c r="O262" s="290">
        <v>271</v>
      </c>
      <c r="P262" s="624">
        <v>140916.08766667001</v>
      </c>
      <c r="Q262" s="624">
        <v>75038.866999999998</v>
      </c>
      <c r="R262" s="624">
        <v>125</v>
      </c>
      <c r="S262" s="290">
        <v>695</v>
      </c>
      <c r="T262" s="290">
        <v>1948</v>
      </c>
      <c r="U262" s="958">
        <v>1.0812021722943359E-2</v>
      </c>
      <c r="V262" s="290">
        <v>-19136.014047410001</v>
      </c>
      <c r="W262" s="765">
        <v>0.64389664999999996</v>
      </c>
      <c r="X262" s="290">
        <v>7300</v>
      </c>
      <c r="Y262" s="290">
        <v>1281.380412</v>
      </c>
      <c r="Z262" s="290">
        <v>779977</v>
      </c>
      <c r="AA262" s="290">
        <v>850</v>
      </c>
      <c r="AB262" s="290">
        <v>636</v>
      </c>
      <c r="AC262" s="290">
        <v>5197.0349999999999</v>
      </c>
      <c r="AD262" s="290">
        <v>333</v>
      </c>
      <c r="AE262" s="290">
        <v>0</v>
      </c>
      <c r="AF262" s="290">
        <v>29425.7088</v>
      </c>
      <c r="AG262" s="290">
        <v>29196</v>
      </c>
      <c r="AH262" s="290">
        <v>5675.1448763199996</v>
      </c>
      <c r="AI262" s="290">
        <v>800</v>
      </c>
      <c r="AJ262" s="290">
        <v>0</v>
      </c>
      <c r="AK262" s="290">
        <v>36841.457000000002</v>
      </c>
      <c r="AL262" s="290">
        <v>0</v>
      </c>
      <c r="AM262" s="957">
        <v>0.57637742000000003</v>
      </c>
      <c r="AN262" s="290">
        <v>0</v>
      </c>
      <c r="AO262" s="290">
        <v>-4101.96162</v>
      </c>
      <c r="AP262" s="290">
        <v>0</v>
      </c>
      <c r="AQ262" s="290">
        <v>0</v>
      </c>
      <c r="AR262" s="290">
        <v>-1572.65608</v>
      </c>
      <c r="AS262" s="290">
        <v>4292</v>
      </c>
      <c r="AT262" s="290">
        <v>1345</v>
      </c>
      <c r="AU262" s="290">
        <v>297</v>
      </c>
      <c r="AV262" s="766">
        <v>785111</v>
      </c>
      <c r="AW262" s="290">
        <v>12105.918</v>
      </c>
      <c r="AX262" s="766">
        <v>194.83335</v>
      </c>
      <c r="AY262" s="290">
        <v>5409</v>
      </c>
      <c r="AZ262" s="290">
        <v>1221</v>
      </c>
      <c r="BA262" s="290">
        <v>620</v>
      </c>
      <c r="BB262" s="290">
        <v>0</v>
      </c>
      <c r="BC262" s="290">
        <v>17592.3279</v>
      </c>
      <c r="BD262" s="290">
        <v>2405</v>
      </c>
      <c r="BE262" s="290">
        <v>843802.59600000002</v>
      </c>
      <c r="BF262" s="290">
        <v>0</v>
      </c>
      <c r="BG262" s="290">
        <v>1288</v>
      </c>
      <c r="BH262" s="290">
        <v>184</v>
      </c>
      <c r="BI262" s="290">
        <v>78420.7261</v>
      </c>
      <c r="BJ262" s="290">
        <v>0</v>
      </c>
      <c r="BK262" s="290">
        <f t="shared" si="4"/>
        <v>0</v>
      </c>
      <c r="BL262" s="290">
        <v>0</v>
      </c>
      <c r="BM262" s="290">
        <v>5234</v>
      </c>
      <c r="BN262" s="290">
        <v>20988</v>
      </c>
      <c r="BO262" s="290">
        <v>6055</v>
      </c>
      <c r="BP262" s="290">
        <v>30</v>
      </c>
      <c r="BQ262" s="290">
        <v>2840</v>
      </c>
      <c r="BR262" s="290">
        <v>-14</v>
      </c>
      <c r="BS262" s="290">
        <v>342</v>
      </c>
      <c r="BT262" s="290">
        <v>0</v>
      </c>
      <c r="BU262" s="290">
        <v>0</v>
      </c>
      <c r="BV262" s="290">
        <v>414</v>
      </c>
      <c r="BW262" s="290"/>
      <c r="BX262" s="290"/>
      <c r="BY262" s="290"/>
    </row>
    <row r="263" spans="1:77" ht="13">
      <c r="A263" s="1">
        <v>4632</v>
      </c>
      <c r="B263" s="2" t="s">
        <v>55</v>
      </c>
      <c r="C263" s="289">
        <v>2870</v>
      </c>
      <c r="D263" s="290">
        <v>57</v>
      </c>
      <c r="E263" s="290">
        <v>125</v>
      </c>
      <c r="F263" s="290">
        <v>341</v>
      </c>
      <c r="G263" s="290">
        <v>270</v>
      </c>
      <c r="H263" s="290">
        <v>1498</v>
      </c>
      <c r="I263" s="290">
        <v>432</v>
      </c>
      <c r="J263" s="290">
        <v>114</v>
      </c>
      <c r="K263" s="290">
        <v>24</v>
      </c>
      <c r="L263" s="290">
        <v>20</v>
      </c>
      <c r="M263" s="290">
        <v>216</v>
      </c>
      <c r="N263" s="290">
        <v>25</v>
      </c>
      <c r="O263" s="290">
        <v>36</v>
      </c>
      <c r="P263" s="624">
        <v>15096.902666669999</v>
      </c>
      <c r="Q263" s="624">
        <v>6176.5516666699996</v>
      </c>
      <c r="R263" s="624">
        <v>15</v>
      </c>
      <c r="S263" s="290">
        <v>0</v>
      </c>
      <c r="T263" s="290">
        <v>206</v>
      </c>
      <c r="U263" s="958">
        <v>8.6424489357022358E-4</v>
      </c>
      <c r="V263" s="290">
        <v>1441.0514274699999</v>
      </c>
      <c r="W263" s="765">
        <v>0.71409392999999999</v>
      </c>
      <c r="X263" s="290">
        <v>2000</v>
      </c>
      <c r="Y263" s="290">
        <v>427.12680399999999</v>
      </c>
      <c r="Z263" s="290">
        <v>96979</v>
      </c>
      <c r="AA263" s="290">
        <v>0</v>
      </c>
      <c r="AB263" s="290">
        <v>44</v>
      </c>
      <c r="AC263" s="290">
        <v>481.52499999999998</v>
      </c>
      <c r="AD263" s="290">
        <v>167</v>
      </c>
      <c r="AE263" s="290">
        <v>0</v>
      </c>
      <c r="AF263" s="290">
        <v>0</v>
      </c>
      <c r="AG263" s="290">
        <v>2861</v>
      </c>
      <c r="AH263" s="290">
        <v>497.38849362000002</v>
      </c>
      <c r="AI263" s="290">
        <v>1250</v>
      </c>
      <c r="AJ263" s="290">
        <v>0</v>
      </c>
      <c r="AK263" s="290">
        <v>988.27700000000004</v>
      </c>
      <c r="AL263" s="290">
        <v>0</v>
      </c>
      <c r="AM263" s="957">
        <v>0.11717996999999999</v>
      </c>
      <c r="AN263" s="290">
        <v>0</v>
      </c>
      <c r="AO263" s="290">
        <v>-430.79427900000002</v>
      </c>
      <c r="AP263" s="290">
        <v>0</v>
      </c>
      <c r="AQ263" s="290">
        <v>0</v>
      </c>
      <c r="AR263" s="290">
        <v>-154.109092</v>
      </c>
      <c r="AS263" s="290">
        <v>812</v>
      </c>
      <c r="AT263" s="290">
        <v>154</v>
      </c>
      <c r="AU263" s="290">
        <v>42</v>
      </c>
      <c r="AV263" s="766">
        <v>92593</v>
      </c>
      <c r="AW263" s="290">
        <v>2850</v>
      </c>
      <c r="AX263" s="766">
        <v>20.250050000000002</v>
      </c>
      <c r="AY263" s="290">
        <v>395</v>
      </c>
      <c r="AZ263" s="290">
        <v>151</v>
      </c>
      <c r="BA263" s="290">
        <v>66</v>
      </c>
      <c r="BB263" s="290">
        <v>2938</v>
      </c>
      <c r="BC263" s="290">
        <v>916.30468800000006</v>
      </c>
      <c r="BD263" s="290">
        <v>318</v>
      </c>
      <c r="BE263" s="290">
        <v>95954.3171</v>
      </c>
      <c r="BF263" s="290">
        <v>0</v>
      </c>
      <c r="BG263" s="290">
        <v>157</v>
      </c>
      <c r="BH263" s="290">
        <v>22</v>
      </c>
      <c r="BI263" s="290">
        <v>2394.3173000000002</v>
      </c>
      <c r="BJ263" s="290">
        <v>320</v>
      </c>
      <c r="BK263" s="290">
        <f t="shared" si="4"/>
        <v>0</v>
      </c>
      <c r="BL263" s="290">
        <v>0</v>
      </c>
      <c r="BM263" s="290">
        <v>0</v>
      </c>
      <c r="BN263" s="290">
        <v>2204</v>
      </c>
      <c r="BO263" s="290">
        <v>514</v>
      </c>
      <c r="BP263" s="290">
        <v>2</v>
      </c>
      <c r="BQ263" s="290">
        <v>298</v>
      </c>
      <c r="BR263" s="290">
        <v>-1</v>
      </c>
      <c r="BS263" s="290">
        <v>50</v>
      </c>
      <c r="BT263" s="290">
        <v>0</v>
      </c>
      <c r="BU263" s="290">
        <v>0</v>
      </c>
      <c r="BV263" s="290">
        <v>51</v>
      </c>
      <c r="BW263" s="290"/>
      <c r="BX263" s="290"/>
      <c r="BY263" s="290"/>
    </row>
    <row r="264" spans="1:77" ht="13">
      <c r="A264" s="1">
        <v>4633</v>
      </c>
      <c r="B264" s="2" t="s">
        <v>56</v>
      </c>
      <c r="C264" s="289">
        <v>548</v>
      </c>
      <c r="D264" s="290">
        <v>5</v>
      </c>
      <c r="E264" s="290">
        <v>16</v>
      </c>
      <c r="F264" s="290">
        <v>72</v>
      </c>
      <c r="G264" s="290">
        <v>52</v>
      </c>
      <c r="H264" s="290">
        <v>275</v>
      </c>
      <c r="I264" s="290">
        <v>81</v>
      </c>
      <c r="J264" s="290">
        <v>33</v>
      </c>
      <c r="K264" s="290">
        <v>15</v>
      </c>
      <c r="L264" s="290">
        <v>3</v>
      </c>
      <c r="M264" s="290">
        <v>52</v>
      </c>
      <c r="N264" s="290">
        <v>0</v>
      </c>
      <c r="O264" s="290">
        <v>16</v>
      </c>
      <c r="P264" s="624">
        <v>516.27166666999995</v>
      </c>
      <c r="Q264" s="624">
        <v>674.77599999999995</v>
      </c>
      <c r="R264" s="624">
        <v>2</v>
      </c>
      <c r="S264" s="290">
        <v>0</v>
      </c>
      <c r="T264" s="290">
        <v>46</v>
      </c>
      <c r="U264" s="958">
        <v>5.7730414586703439E-5</v>
      </c>
      <c r="V264" s="290">
        <v>416.55315990999998</v>
      </c>
      <c r="W264" s="765">
        <v>1</v>
      </c>
      <c r="X264" s="290">
        <v>1300</v>
      </c>
      <c r="Y264" s="290">
        <v>0</v>
      </c>
      <c r="Z264" s="290">
        <v>15842</v>
      </c>
      <c r="AA264" s="290">
        <v>0</v>
      </c>
      <c r="AB264" s="290">
        <v>6</v>
      </c>
      <c r="AC264" s="290">
        <v>141.959</v>
      </c>
      <c r="AD264" s="290">
        <v>167</v>
      </c>
      <c r="AE264" s="290">
        <v>0</v>
      </c>
      <c r="AF264" s="290">
        <v>0</v>
      </c>
      <c r="AG264" s="290">
        <v>549</v>
      </c>
      <c r="AH264" s="290">
        <v>100</v>
      </c>
      <c r="AI264" s="290">
        <v>0</v>
      </c>
      <c r="AJ264" s="290">
        <v>0</v>
      </c>
      <c r="AK264" s="290">
        <v>0</v>
      </c>
      <c r="AL264" s="290">
        <v>0</v>
      </c>
      <c r="AM264" s="957">
        <v>7.6556799999999998E-3</v>
      </c>
      <c r="AN264" s="290">
        <v>0</v>
      </c>
      <c r="AO264" s="290">
        <v>-124.526242</v>
      </c>
      <c r="AP264" s="290">
        <v>0</v>
      </c>
      <c r="AQ264" s="290">
        <v>0</v>
      </c>
      <c r="AR264" s="290">
        <v>527.10040000000004</v>
      </c>
      <c r="AS264" s="290">
        <v>144</v>
      </c>
      <c r="AT264" s="290">
        <v>26</v>
      </c>
      <c r="AU264" s="290">
        <v>3</v>
      </c>
      <c r="AV264" s="766">
        <v>41454</v>
      </c>
      <c r="AW264" s="290">
        <v>320</v>
      </c>
      <c r="AX264" s="766">
        <v>0.75</v>
      </c>
      <c r="AY264" s="290">
        <v>103</v>
      </c>
      <c r="AZ264" s="290">
        <v>31</v>
      </c>
      <c r="BA264" s="290">
        <v>13</v>
      </c>
      <c r="BB264" s="290">
        <v>5875</v>
      </c>
      <c r="BC264" s="290">
        <v>100</v>
      </c>
      <c r="BD264" s="290">
        <v>172</v>
      </c>
      <c r="BE264" s="290">
        <v>41306.340700000001</v>
      </c>
      <c r="BF264" s="290">
        <v>0</v>
      </c>
      <c r="BG264" s="290">
        <v>63</v>
      </c>
      <c r="BH264" s="290">
        <v>9</v>
      </c>
      <c r="BI264" s="290">
        <v>241.959</v>
      </c>
      <c r="BJ264" s="290">
        <v>0</v>
      </c>
      <c r="BK264" s="290">
        <f t="shared" si="4"/>
        <v>0</v>
      </c>
      <c r="BL264" s="290">
        <v>0</v>
      </c>
      <c r="BM264" s="290">
        <v>0</v>
      </c>
      <c r="BN264" s="290">
        <v>637</v>
      </c>
      <c r="BO264" s="290">
        <v>92</v>
      </c>
      <c r="BP264" s="290">
        <v>0</v>
      </c>
      <c r="BQ264" s="290">
        <v>55</v>
      </c>
      <c r="BR264" s="290">
        <v>0</v>
      </c>
      <c r="BS264" s="290">
        <v>50</v>
      </c>
      <c r="BT264" s="290">
        <v>0</v>
      </c>
      <c r="BU264" s="290">
        <v>0</v>
      </c>
      <c r="BV264" s="290">
        <v>20</v>
      </c>
      <c r="BW264" s="290"/>
      <c r="BX264" s="290"/>
      <c r="BY264" s="290"/>
    </row>
    <row r="265" spans="1:77" ht="13">
      <c r="A265" s="1">
        <v>4634</v>
      </c>
      <c r="B265" s="2" t="s">
        <v>57</v>
      </c>
      <c r="C265" s="289">
        <v>1691</v>
      </c>
      <c r="D265" s="290">
        <v>34</v>
      </c>
      <c r="E265" s="290">
        <v>68</v>
      </c>
      <c r="F265" s="290">
        <v>225</v>
      </c>
      <c r="G265" s="290">
        <v>139</v>
      </c>
      <c r="H265" s="290">
        <v>876</v>
      </c>
      <c r="I265" s="290">
        <v>233</v>
      </c>
      <c r="J265" s="290">
        <v>97</v>
      </c>
      <c r="K265" s="290">
        <v>31</v>
      </c>
      <c r="L265" s="290">
        <v>12</v>
      </c>
      <c r="M265" s="290">
        <v>166</v>
      </c>
      <c r="N265" s="290">
        <v>1.5</v>
      </c>
      <c r="O265" s="290">
        <v>31</v>
      </c>
      <c r="P265" s="624">
        <v>29213.471666670001</v>
      </c>
      <c r="Q265" s="624">
        <v>13458.22066667</v>
      </c>
      <c r="R265" s="624">
        <v>9</v>
      </c>
      <c r="S265" s="290">
        <v>0</v>
      </c>
      <c r="T265" s="290">
        <v>107</v>
      </c>
      <c r="U265" s="958">
        <v>1.6621269338266704E-3</v>
      </c>
      <c r="V265" s="290">
        <v>1069.5817793000001</v>
      </c>
      <c r="W265" s="765">
        <v>1</v>
      </c>
      <c r="X265" s="290">
        <v>0</v>
      </c>
      <c r="Y265" s="290">
        <v>273.445944</v>
      </c>
      <c r="Z265" s="290">
        <v>57444</v>
      </c>
      <c r="AA265" s="290">
        <v>0</v>
      </c>
      <c r="AB265" s="290">
        <v>27</v>
      </c>
      <c r="AC265" s="290">
        <v>345.38299999999998</v>
      </c>
      <c r="AD265" s="290">
        <v>167</v>
      </c>
      <c r="AE265" s="290">
        <v>0</v>
      </c>
      <c r="AF265" s="290">
        <v>0</v>
      </c>
      <c r="AG265" s="290">
        <v>1703</v>
      </c>
      <c r="AH265" s="290">
        <v>293.51704711000002</v>
      </c>
      <c r="AI265" s="290">
        <v>0</v>
      </c>
      <c r="AJ265" s="290">
        <v>0</v>
      </c>
      <c r="AK265" s="290">
        <v>0</v>
      </c>
      <c r="AL265" s="290">
        <v>0</v>
      </c>
      <c r="AM265" s="957">
        <v>7.49849E-3</v>
      </c>
      <c r="AN265" s="290">
        <v>0</v>
      </c>
      <c r="AO265" s="290">
        <v>-319.74550199999999</v>
      </c>
      <c r="AP265" s="290">
        <v>0</v>
      </c>
      <c r="AQ265" s="290">
        <v>0</v>
      </c>
      <c r="AR265" s="290">
        <v>-91.732884799999994</v>
      </c>
      <c r="AS265" s="290">
        <v>1401</v>
      </c>
      <c r="AT265" s="290">
        <v>64</v>
      </c>
      <c r="AU265" s="290">
        <v>7</v>
      </c>
      <c r="AV265" s="766">
        <v>77607</v>
      </c>
      <c r="AW265" s="290">
        <v>970</v>
      </c>
      <c r="AX265" s="766">
        <v>16.500050000000002</v>
      </c>
      <c r="AY265" s="290">
        <v>238</v>
      </c>
      <c r="AZ265" s="290">
        <v>49</v>
      </c>
      <c r="BA265" s="290">
        <v>38</v>
      </c>
      <c r="BB265" s="290">
        <v>2938</v>
      </c>
      <c r="BC265" s="290">
        <v>563.64740900000004</v>
      </c>
      <c r="BD265" s="290">
        <v>263</v>
      </c>
      <c r="BE265" s="290">
        <v>82139.7255</v>
      </c>
      <c r="BF265" s="290">
        <v>0</v>
      </c>
      <c r="BG265" s="290">
        <v>131</v>
      </c>
      <c r="BH265" s="290">
        <v>19</v>
      </c>
      <c r="BI265" s="290">
        <v>912.34599100000003</v>
      </c>
      <c r="BJ265" s="290">
        <v>0</v>
      </c>
      <c r="BK265" s="290">
        <f t="shared" si="4"/>
        <v>0</v>
      </c>
      <c r="BL265" s="290">
        <v>0</v>
      </c>
      <c r="BM265" s="290">
        <v>0</v>
      </c>
      <c r="BN265" s="290">
        <v>1636</v>
      </c>
      <c r="BO265" s="290">
        <v>330</v>
      </c>
      <c r="BP265" s="290">
        <v>1</v>
      </c>
      <c r="BQ265" s="290">
        <v>180</v>
      </c>
      <c r="BR265" s="290">
        <v>-1</v>
      </c>
      <c r="BS265" s="290">
        <v>50</v>
      </c>
      <c r="BT265" s="290">
        <v>0</v>
      </c>
      <c r="BU265" s="290">
        <v>0</v>
      </c>
      <c r="BV265" s="290">
        <v>42</v>
      </c>
      <c r="BW265" s="290"/>
      <c r="BX265" s="290"/>
      <c r="BY265" s="290"/>
    </row>
    <row r="266" spans="1:77" ht="13">
      <c r="A266" s="1">
        <v>4635</v>
      </c>
      <c r="B266" s="2" t="s">
        <v>59</v>
      </c>
      <c r="C266" s="289">
        <v>2297</v>
      </c>
      <c r="D266" s="290">
        <v>44</v>
      </c>
      <c r="E266" s="290">
        <v>95</v>
      </c>
      <c r="F266" s="290">
        <v>265</v>
      </c>
      <c r="G266" s="290">
        <v>203</v>
      </c>
      <c r="H266" s="290">
        <v>1226</v>
      </c>
      <c r="I266" s="290">
        <v>322</v>
      </c>
      <c r="J266" s="290">
        <v>113</v>
      </c>
      <c r="K266" s="290">
        <v>35</v>
      </c>
      <c r="L266" s="290">
        <v>17</v>
      </c>
      <c r="M266" s="290">
        <v>213</v>
      </c>
      <c r="N266" s="290">
        <v>3</v>
      </c>
      <c r="O266" s="290">
        <v>36</v>
      </c>
      <c r="P266" s="624">
        <v>72162.655666670005</v>
      </c>
      <c r="Q266" s="624">
        <v>21651.982666669999</v>
      </c>
      <c r="R266" s="624">
        <v>12</v>
      </c>
      <c r="S266" s="290">
        <v>0</v>
      </c>
      <c r="T266" s="290">
        <v>167</v>
      </c>
      <c r="U266" s="958">
        <v>2.4178239972165228E-3</v>
      </c>
      <c r="V266" s="290">
        <v>1381.32178709</v>
      </c>
      <c r="W266" s="765">
        <v>1</v>
      </c>
      <c r="X266" s="290">
        <v>0</v>
      </c>
      <c r="Y266" s="290">
        <v>328.55907999999999</v>
      </c>
      <c r="Z266" s="290">
        <v>81292</v>
      </c>
      <c r="AA266" s="290">
        <v>215</v>
      </c>
      <c r="AB266" s="290">
        <v>36</v>
      </c>
      <c r="AC266" s="290">
        <v>477.68299999999999</v>
      </c>
      <c r="AD266" s="290">
        <v>167</v>
      </c>
      <c r="AE266" s="290">
        <v>0</v>
      </c>
      <c r="AF266" s="290">
        <v>0</v>
      </c>
      <c r="AG266" s="290">
        <v>2303</v>
      </c>
      <c r="AH266" s="290">
        <v>374.48726699999997</v>
      </c>
      <c r="AI266" s="290">
        <v>0</v>
      </c>
      <c r="AJ266" s="290">
        <v>0</v>
      </c>
      <c r="AK266" s="290">
        <v>621.78800000000001</v>
      </c>
      <c r="AL266" s="290">
        <v>0</v>
      </c>
      <c r="AM266" s="957">
        <v>2.7848439999999999E-2</v>
      </c>
      <c r="AN266" s="290">
        <v>0</v>
      </c>
      <c r="AO266" s="290">
        <v>-412.93843700000002</v>
      </c>
      <c r="AP266" s="290">
        <v>0</v>
      </c>
      <c r="AQ266" s="290">
        <v>0</v>
      </c>
      <c r="AR266" s="290">
        <v>-124.05216299999999</v>
      </c>
      <c r="AS266" s="290">
        <v>556</v>
      </c>
      <c r="AT266" s="290">
        <v>91</v>
      </c>
      <c r="AU266" s="290">
        <v>15</v>
      </c>
      <c r="AV266" s="766">
        <v>100227</v>
      </c>
      <c r="AW266" s="290">
        <v>1400</v>
      </c>
      <c r="AX266" s="766">
        <v>19.166650000000001</v>
      </c>
      <c r="AY266" s="290">
        <v>417</v>
      </c>
      <c r="AZ266" s="290">
        <v>110</v>
      </c>
      <c r="BA266" s="290">
        <v>33</v>
      </c>
      <c r="BB266" s="290">
        <v>5875</v>
      </c>
      <c r="BC266" s="290">
        <v>686.13125400000001</v>
      </c>
      <c r="BD266" s="290">
        <v>311</v>
      </c>
      <c r="BE266" s="290">
        <v>105701.147</v>
      </c>
      <c r="BF266" s="290">
        <v>0</v>
      </c>
      <c r="BG266" s="290">
        <v>175</v>
      </c>
      <c r="BH266" s="290">
        <v>25</v>
      </c>
      <c r="BI266" s="290">
        <v>1802.5173500000001</v>
      </c>
      <c r="BJ266" s="290">
        <v>0</v>
      </c>
      <c r="BK266" s="290">
        <f t="shared" si="4"/>
        <v>0</v>
      </c>
      <c r="BL266" s="290">
        <v>0</v>
      </c>
      <c r="BM266" s="290">
        <v>0</v>
      </c>
      <c r="BN266" s="290">
        <v>2113</v>
      </c>
      <c r="BO266" s="290">
        <v>441</v>
      </c>
      <c r="BP266" s="290">
        <v>2</v>
      </c>
      <c r="BQ266" s="290">
        <v>239</v>
      </c>
      <c r="BR266" s="290">
        <v>-1</v>
      </c>
      <c r="BS266" s="290">
        <v>50</v>
      </c>
      <c r="BT266" s="290">
        <v>0</v>
      </c>
      <c r="BU266" s="290">
        <v>0</v>
      </c>
      <c r="BV266" s="290">
        <v>56</v>
      </c>
      <c r="BW266" s="290"/>
      <c r="BX266" s="290"/>
      <c r="BY266" s="290"/>
    </row>
    <row r="267" spans="1:77" ht="13">
      <c r="A267" s="1">
        <v>4636</v>
      </c>
      <c r="B267" s="2" t="s">
        <v>60</v>
      </c>
      <c r="C267" s="289">
        <v>802</v>
      </c>
      <c r="D267" s="290">
        <v>12</v>
      </c>
      <c r="E267" s="290">
        <v>26</v>
      </c>
      <c r="F267" s="290">
        <v>88</v>
      </c>
      <c r="G267" s="290">
        <v>61</v>
      </c>
      <c r="H267" s="290">
        <v>441</v>
      </c>
      <c r="I267" s="290">
        <v>133</v>
      </c>
      <c r="J267" s="290">
        <v>43</v>
      </c>
      <c r="K267" s="290">
        <v>12</v>
      </c>
      <c r="L267" s="290">
        <v>5</v>
      </c>
      <c r="M267" s="290">
        <v>85</v>
      </c>
      <c r="N267" s="290">
        <v>0</v>
      </c>
      <c r="O267" s="290">
        <v>15</v>
      </c>
      <c r="P267" s="624">
        <v>10867.866666669999</v>
      </c>
      <c r="Q267" s="624">
        <v>9096.0463333299995</v>
      </c>
      <c r="R267" s="624">
        <v>2</v>
      </c>
      <c r="S267" s="290">
        <v>0</v>
      </c>
      <c r="T267" s="290">
        <v>59</v>
      </c>
      <c r="U267" s="958">
        <v>8.1531713177895849E-4</v>
      </c>
      <c r="V267" s="290">
        <v>542.62957943000004</v>
      </c>
      <c r="W267" s="765">
        <v>1</v>
      </c>
      <c r="X267" s="290">
        <v>1500</v>
      </c>
      <c r="Y267" s="290">
        <v>427.12680399999999</v>
      </c>
      <c r="Z267" s="290">
        <v>24421</v>
      </c>
      <c r="AA267" s="290">
        <v>0</v>
      </c>
      <c r="AB267" s="290">
        <v>7</v>
      </c>
      <c r="AC267" s="290">
        <v>174.81399999999999</v>
      </c>
      <c r="AD267" s="290">
        <v>167</v>
      </c>
      <c r="AE267" s="290">
        <v>32</v>
      </c>
      <c r="AF267" s="290">
        <v>0</v>
      </c>
      <c r="AG267" s="290">
        <v>816</v>
      </c>
      <c r="AH267" s="290">
        <v>120.73238145000001</v>
      </c>
      <c r="AI267" s="290">
        <v>150</v>
      </c>
      <c r="AJ267" s="290">
        <v>0</v>
      </c>
      <c r="AK267" s="290">
        <v>0</v>
      </c>
      <c r="AL267" s="290">
        <v>0</v>
      </c>
      <c r="AM267" s="957">
        <v>7.4955400000000002E-3</v>
      </c>
      <c r="AN267" s="290">
        <v>0</v>
      </c>
      <c r="AO267" s="290">
        <v>-162.216083</v>
      </c>
      <c r="AP267" s="290">
        <v>0</v>
      </c>
      <c r="AQ267" s="290">
        <v>0</v>
      </c>
      <c r="AR267" s="290">
        <v>-43.954218500000003</v>
      </c>
      <c r="AS267" s="290">
        <v>1254</v>
      </c>
      <c r="AT267" s="290">
        <v>21</v>
      </c>
      <c r="AU267" s="290">
        <v>6</v>
      </c>
      <c r="AV267" s="766">
        <v>46479</v>
      </c>
      <c r="AW267" s="290">
        <v>1940</v>
      </c>
      <c r="AX267" s="766">
        <v>7</v>
      </c>
      <c r="AY267" s="290">
        <v>142</v>
      </c>
      <c r="AZ267" s="290">
        <v>40</v>
      </c>
      <c r="BA267" s="290">
        <v>12</v>
      </c>
      <c r="BB267" s="290">
        <v>5875</v>
      </c>
      <c r="BC267" s="290">
        <v>527.23865499999999</v>
      </c>
      <c r="BD267" s="290">
        <v>193</v>
      </c>
      <c r="BE267" s="290">
        <v>49275.8053</v>
      </c>
      <c r="BF267" s="290">
        <v>0</v>
      </c>
      <c r="BG267" s="290">
        <v>84</v>
      </c>
      <c r="BH267" s="290">
        <v>12</v>
      </c>
      <c r="BI267" s="290">
        <v>722.67318499999999</v>
      </c>
      <c r="BJ267" s="290">
        <v>0</v>
      </c>
      <c r="BK267" s="290">
        <f t="shared" si="4"/>
        <v>0</v>
      </c>
      <c r="BL267" s="290">
        <v>0</v>
      </c>
      <c r="BM267" s="290">
        <v>0</v>
      </c>
      <c r="BN267" s="290">
        <v>830</v>
      </c>
      <c r="BO267" s="290">
        <v>143</v>
      </c>
      <c r="BP267" s="290">
        <v>1</v>
      </c>
      <c r="BQ267" s="290">
        <v>81</v>
      </c>
      <c r="BR267" s="290">
        <v>0</v>
      </c>
      <c r="BS267" s="290">
        <v>50</v>
      </c>
      <c r="BT267" s="290">
        <v>0</v>
      </c>
      <c r="BU267" s="290">
        <v>0</v>
      </c>
      <c r="BV267" s="290">
        <v>27</v>
      </c>
      <c r="BW267" s="290"/>
      <c r="BX267" s="290"/>
      <c r="BY267" s="290"/>
    </row>
    <row r="268" spans="1:77" ht="13">
      <c r="A268" s="1">
        <v>4637</v>
      </c>
      <c r="B268" s="2" t="s">
        <v>61</v>
      </c>
      <c r="C268" s="289">
        <v>1328</v>
      </c>
      <c r="D268" s="290">
        <v>19</v>
      </c>
      <c r="E268" s="290">
        <v>51</v>
      </c>
      <c r="F268" s="290">
        <v>116</v>
      </c>
      <c r="G268" s="290">
        <v>145</v>
      </c>
      <c r="H268" s="290">
        <v>688</v>
      </c>
      <c r="I268" s="290">
        <v>237</v>
      </c>
      <c r="J268" s="290">
        <v>70</v>
      </c>
      <c r="K268" s="290">
        <v>19</v>
      </c>
      <c r="L268" s="290">
        <v>9</v>
      </c>
      <c r="M268" s="290">
        <v>138</v>
      </c>
      <c r="N268" s="290">
        <v>6</v>
      </c>
      <c r="O268" s="290">
        <v>19</v>
      </c>
      <c r="P268" s="624">
        <v>18683.698333330001</v>
      </c>
      <c r="Q268" s="624">
        <v>9756.3263333300001</v>
      </c>
      <c r="R268" s="624">
        <v>8</v>
      </c>
      <c r="S268" s="290">
        <v>0</v>
      </c>
      <c r="T268" s="290">
        <v>118</v>
      </c>
      <c r="U268" s="958">
        <v>1.3047135227962853E-3</v>
      </c>
      <c r="V268" s="290">
        <v>802.88859217000004</v>
      </c>
      <c r="W268" s="765">
        <v>1</v>
      </c>
      <c r="X268" s="290">
        <v>1300</v>
      </c>
      <c r="Y268" s="290">
        <v>0</v>
      </c>
      <c r="Z268" s="290">
        <v>42033</v>
      </c>
      <c r="AA268" s="290">
        <v>0</v>
      </c>
      <c r="AB268" s="290">
        <v>16</v>
      </c>
      <c r="AC268" s="290">
        <v>253.286</v>
      </c>
      <c r="AD268" s="290">
        <v>167</v>
      </c>
      <c r="AE268" s="290">
        <v>0</v>
      </c>
      <c r="AF268" s="290">
        <v>0</v>
      </c>
      <c r="AG268" s="290">
        <v>1345</v>
      </c>
      <c r="AH268" s="290">
        <v>198.08785938</v>
      </c>
      <c r="AI268" s="290">
        <v>0</v>
      </c>
      <c r="AJ268" s="290">
        <v>0</v>
      </c>
      <c r="AK268" s="290">
        <v>36.704000000000001</v>
      </c>
      <c r="AL268" s="290">
        <v>0</v>
      </c>
      <c r="AM268" s="957">
        <v>1.431545E-2</v>
      </c>
      <c r="AN268" s="290">
        <v>0</v>
      </c>
      <c r="AO268" s="290">
        <v>-240.01906199999999</v>
      </c>
      <c r="AP268" s="290">
        <v>0</v>
      </c>
      <c r="AQ268" s="290">
        <v>0</v>
      </c>
      <c r="AR268" s="290">
        <v>-72.4490488</v>
      </c>
      <c r="AS268" s="290">
        <v>71</v>
      </c>
      <c r="AT268" s="290">
        <v>53</v>
      </c>
      <c r="AU268" s="290">
        <v>7</v>
      </c>
      <c r="AV268" s="766">
        <v>60446</v>
      </c>
      <c r="AW268" s="290">
        <v>6490</v>
      </c>
      <c r="AX268" s="766">
        <v>7.2916999999999996</v>
      </c>
      <c r="AY268" s="290">
        <v>229</v>
      </c>
      <c r="AZ268" s="290">
        <v>72</v>
      </c>
      <c r="BA268" s="290">
        <v>20</v>
      </c>
      <c r="BB268" s="290">
        <v>5875</v>
      </c>
      <c r="BC268" s="290">
        <v>204.29453000000001</v>
      </c>
      <c r="BD268" s="290">
        <v>234</v>
      </c>
      <c r="BE268" s="290">
        <v>64448.870999999999</v>
      </c>
      <c r="BF268" s="290">
        <v>0</v>
      </c>
      <c r="BG268" s="290">
        <v>111</v>
      </c>
      <c r="BH268" s="290">
        <v>16</v>
      </c>
      <c r="BI268" s="290">
        <v>488.07785899999999</v>
      </c>
      <c r="BJ268" s="290">
        <v>0</v>
      </c>
      <c r="BK268" s="290">
        <f t="shared" si="4"/>
        <v>0</v>
      </c>
      <c r="BL268" s="290">
        <v>0</v>
      </c>
      <c r="BM268" s="290">
        <v>0</v>
      </c>
      <c r="BN268" s="290">
        <v>1228</v>
      </c>
      <c r="BO268" s="290">
        <v>220</v>
      </c>
      <c r="BP268" s="290">
        <v>1</v>
      </c>
      <c r="BQ268" s="290">
        <v>134</v>
      </c>
      <c r="BR268" s="290">
        <v>-1</v>
      </c>
      <c r="BS268" s="290">
        <v>50</v>
      </c>
      <c r="BT268" s="290">
        <v>0</v>
      </c>
      <c r="BU268" s="290">
        <v>0</v>
      </c>
      <c r="BV268" s="290">
        <v>36</v>
      </c>
      <c r="BW268" s="290"/>
      <c r="BX268" s="290"/>
      <c r="BY268" s="290"/>
    </row>
    <row r="269" spans="1:77" ht="13">
      <c r="A269" s="1">
        <v>4638</v>
      </c>
      <c r="B269" s="2" t="s">
        <v>62</v>
      </c>
      <c r="C269" s="289">
        <v>4101</v>
      </c>
      <c r="D269" s="290">
        <v>74</v>
      </c>
      <c r="E269" s="290">
        <v>134</v>
      </c>
      <c r="F269" s="290">
        <v>470</v>
      </c>
      <c r="G269" s="290">
        <v>416</v>
      </c>
      <c r="H269" s="290">
        <v>2243</v>
      </c>
      <c r="I269" s="290">
        <v>574</v>
      </c>
      <c r="J269" s="290">
        <v>209</v>
      </c>
      <c r="K269" s="290">
        <v>67</v>
      </c>
      <c r="L269" s="290">
        <v>31</v>
      </c>
      <c r="M269" s="290">
        <v>388</v>
      </c>
      <c r="N269" s="290">
        <v>48</v>
      </c>
      <c r="O269" s="290">
        <v>47</v>
      </c>
      <c r="P269" s="624">
        <v>72421.668999999994</v>
      </c>
      <c r="Q269" s="624">
        <v>18109.953333329999</v>
      </c>
      <c r="R269" s="624">
        <v>6</v>
      </c>
      <c r="S269" s="290">
        <v>0</v>
      </c>
      <c r="T269" s="290">
        <v>378</v>
      </c>
      <c r="U269" s="958">
        <v>1.8662023973194377E-3</v>
      </c>
      <c r="V269" s="290">
        <v>2132.8660136499998</v>
      </c>
      <c r="W269" s="765">
        <v>0.99840461000000003</v>
      </c>
      <c r="X269" s="290">
        <v>0</v>
      </c>
      <c r="Y269" s="290">
        <v>0</v>
      </c>
      <c r="Z269" s="290">
        <v>122174</v>
      </c>
      <c r="AA269" s="290">
        <v>510</v>
      </c>
      <c r="AB269" s="290">
        <v>82</v>
      </c>
      <c r="AC269" s="290">
        <v>742.28200000000004</v>
      </c>
      <c r="AD269" s="290">
        <v>333</v>
      </c>
      <c r="AE269" s="290">
        <v>0</v>
      </c>
      <c r="AF269" s="290">
        <v>0</v>
      </c>
      <c r="AG269" s="290">
        <v>4187</v>
      </c>
      <c r="AH269" s="290">
        <v>668.00431409999999</v>
      </c>
      <c r="AI269" s="290">
        <v>0</v>
      </c>
      <c r="AJ269" s="290">
        <v>0</v>
      </c>
      <c r="AK269" s="290">
        <v>1598.223</v>
      </c>
      <c r="AL269" s="290">
        <v>0</v>
      </c>
      <c r="AM269" s="957">
        <v>7.187897E-2</v>
      </c>
      <c r="AN269" s="290">
        <v>6096</v>
      </c>
      <c r="AO269" s="290">
        <v>-637.60838799999999</v>
      </c>
      <c r="AP269" s="290">
        <v>0</v>
      </c>
      <c r="AQ269" s="290">
        <v>2372.16</v>
      </c>
      <c r="AR269" s="290">
        <v>3118.0422199999998</v>
      </c>
      <c r="AS269" s="290">
        <v>814</v>
      </c>
      <c r="AT269" s="290">
        <v>213</v>
      </c>
      <c r="AU269" s="290">
        <v>29</v>
      </c>
      <c r="AV269" s="766">
        <v>139012</v>
      </c>
      <c r="AW269" s="290">
        <v>1690</v>
      </c>
      <c r="AX269" s="766">
        <v>36.583300000000001</v>
      </c>
      <c r="AY269" s="290">
        <v>747</v>
      </c>
      <c r="AZ269" s="290">
        <v>204</v>
      </c>
      <c r="BA269" s="290">
        <v>99</v>
      </c>
      <c r="BB269" s="290">
        <v>0</v>
      </c>
      <c r="BC269" s="290">
        <v>665.87466300000006</v>
      </c>
      <c r="BD269" s="290">
        <v>459</v>
      </c>
      <c r="BE269" s="290">
        <v>141685.14600000001</v>
      </c>
      <c r="BF269" s="290">
        <v>0</v>
      </c>
      <c r="BG269" s="290">
        <v>251</v>
      </c>
      <c r="BH269" s="290">
        <v>36</v>
      </c>
      <c r="BI269" s="290">
        <v>3008.5093099999999</v>
      </c>
      <c r="BJ269" s="290">
        <v>0</v>
      </c>
      <c r="BK269" s="290">
        <f t="shared" si="4"/>
        <v>0</v>
      </c>
      <c r="BL269" s="290">
        <v>0</v>
      </c>
      <c r="BM269" s="290">
        <v>0</v>
      </c>
      <c r="BN269" s="290">
        <v>3262</v>
      </c>
      <c r="BO269" s="290">
        <v>668</v>
      </c>
      <c r="BP269" s="290">
        <v>3</v>
      </c>
      <c r="BQ269" s="290">
        <v>414</v>
      </c>
      <c r="BR269" s="290">
        <v>-2</v>
      </c>
      <c r="BS269" s="290">
        <v>60</v>
      </c>
      <c r="BT269" s="290">
        <v>0</v>
      </c>
      <c r="BU269" s="290">
        <v>0</v>
      </c>
      <c r="BV269" s="290">
        <v>81</v>
      </c>
      <c r="BW269" s="290"/>
      <c r="BX269" s="290"/>
      <c r="BY269" s="290"/>
    </row>
    <row r="270" spans="1:77" ht="13">
      <c r="A270" s="1">
        <v>4639</v>
      </c>
      <c r="B270" s="2" t="s">
        <v>63</v>
      </c>
      <c r="C270" s="289">
        <v>2635</v>
      </c>
      <c r="D270" s="290">
        <v>42</v>
      </c>
      <c r="E270" s="290">
        <v>104</v>
      </c>
      <c r="F270" s="290">
        <v>314</v>
      </c>
      <c r="G270" s="290">
        <v>226</v>
      </c>
      <c r="H270" s="290">
        <v>1345</v>
      </c>
      <c r="I270" s="290">
        <v>393</v>
      </c>
      <c r="J270" s="290">
        <v>164</v>
      </c>
      <c r="K270" s="290">
        <v>52</v>
      </c>
      <c r="L270" s="290">
        <v>19</v>
      </c>
      <c r="M270" s="290">
        <v>259</v>
      </c>
      <c r="N270" s="290">
        <v>22</v>
      </c>
      <c r="O270" s="290">
        <v>35</v>
      </c>
      <c r="P270" s="624">
        <v>24967.78966667</v>
      </c>
      <c r="Q270" s="624">
        <v>10975.665999999999</v>
      </c>
      <c r="R270" s="624">
        <v>11</v>
      </c>
      <c r="S270" s="290">
        <v>0</v>
      </c>
      <c r="T270" s="290">
        <v>201</v>
      </c>
      <c r="U270" s="958">
        <v>3.6066504895515021E-3</v>
      </c>
      <c r="V270" s="290">
        <v>1498.99449774</v>
      </c>
      <c r="W270" s="765">
        <v>1</v>
      </c>
      <c r="X270" s="290">
        <v>0</v>
      </c>
      <c r="Y270" s="290">
        <v>427.12680399999999</v>
      </c>
      <c r="Z270" s="290">
        <v>81521</v>
      </c>
      <c r="AA270" s="290">
        <v>0</v>
      </c>
      <c r="AB270" s="290">
        <v>40</v>
      </c>
      <c r="AC270" s="290">
        <v>461.12799999999999</v>
      </c>
      <c r="AD270" s="290">
        <v>167</v>
      </c>
      <c r="AE270" s="290">
        <v>0</v>
      </c>
      <c r="AF270" s="290">
        <v>0</v>
      </c>
      <c r="AG270" s="290">
        <v>2640</v>
      </c>
      <c r="AH270" s="290">
        <v>428.70839639000002</v>
      </c>
      <c r="AI270" s="290">
        <v>0</v>
      </c>
      <c r="AJ270" s="290">
        <v>0</v>
      </c>
      <c r="AK270" s="290">
        <v>0</v>
      </c>
      <c r="AL270" s="290">
        <v>0</v>
      </c>
      <c r="AM270" s="957">
        <v>1.349098E-2</v>
      </c>
      <c r="AN270" s="290">
        <v>0</v>
      </c>
      <c r="AO270" s="290">
        <v>-448.11603700000001</v>
      </c>
      <c r="AP270" s="290">
        <v>0</v>
      </c>
      <c r="AQ270" s="290">
        <v>0</v>
      </c>
      <c r="AR270" s="290">
        <v>-142.204824</v>
      </c>
      <c r="AS270" s="290">
        <v>240</v>
      </c>
      <c r="AT270" s="290">
        <v>86</v>
      </c>
      <c r="AU270" s="290">
        <v>10</v>
      </c>
      <c r="AV270" s="766">
        <v>104641</v>
      </c>
      <c r="AW270" s="290">
        <v>1510</v>
      </c>
      <c r="AX270" s="766">
        <v>12.416650000000001</v>
      </c>
      <c r="AY270" s="290">
        <v>516</v>
      </c>
      <c r="AZ270" s="290">
        <v>112</v>
      </c>
      <c r="BA270" s="290">
        <v>42</v>
      </c>
      <c r="BB270" s="290">
        <v>5875</v>
      </c>
      <c r="BC270" s="290">
        <v>835.42357700000002</v>
      </c>
      <c r="BD270" s="290">
        <v>337</v>
      </c>
      <c r="BE270" s="290">
        <v>109376.22100000001</v>
      </c>
      <c r="BF270" s="290">
        <v>0</v>
      </c>
      <c r="BG270" s="290">
        <v>170</v>
      </c>
      <c r="BH270" s="290">
        <v>24</v>
      </c>
      <c r="BI270" s="290">
        <v>1316.9631999999999</v>
      </c>
      <c r="BJ270" s="290">
        <v>0</v>
      </c>
      <c r="BK270" s="290">
        <f t="shared" si="4"/>
        <v>0</v>
      </c>
      <c r="BL270" s="290">
        <v>0</v>
      </c>
      <c r="BM270" s="290">
        <v>0</v>
      </c>
      <c r="BN270" s="290">
        <v>2293</v>
      </c>
      <c r="BO270" s="290">
        <v>456</v>
      </c>
      <c r="BP270" s="290">
        <v>2</v>
      </c>
      <c r="BQ270" s="290">
        <v>270</v>
      </c>
      <c r="BR270" s="290">
        <v>-1</v>
      </c>
      <c r="BS270" s="290">
        <v>50</v>
      </c>
      <c r="BT270" s="290">
        <v>0</v>
      </c>
      <c r="BU270" s="290">
        <v>0</v>
      </c>
      <c r="BV270" s="290">
        <v>55</v>
      </c>
      <c r="BW270" s="290"/>
      <c r="BX270" s="290"/>
      <c r="BY270" s="290"/>
    </row>
    <row r="271" spans="1:77" ht="13">
      <c r="A271" s="1">
        <v>4640</v>
      </c>
      <c r="B271" s="2" t="s">
        <v>1637</v>
      </c>
      <c r="C271" s="289">
        <v>11847</v>
      </c>
      <c r="D271" s="290">
        <v>287</v>
      </c>
      <c r="E271" s="290">
        <v>566</v>
      </c>
      <c r="F271" s="290">
        <v>1389</v>
      </c>
      <c r="G271" s="290">
        <v>1102</v>
      </c>
      <c r="H271" s="290">
        <v>6533</v>
      </c>
      <c r="I271" s="290">
        <v>1310</v>
      </c>
      <c r="J271" s="290">
        <v>411</v>
      </c>
      <c r="K271" s="290">
        <v>114</v>
      </c>
      <c r="L271" s="290">
        <v>82</v>
      </c>
      <c r="M271" s="290">
        <v>748</v>
      </c>
      <c r="N271" s="290">
        <v>206</v>
      </c>
      <c r="O271" s="290">
        <v>135</v>
      </c>
      <c r="P271" s="624">
        <v>63726.328000000001</v>
      </c>
      <c r="Q271" s="624">
        <v>29635.499</v>
      </c>
      <c r="R271" s="624">
        <v>40</v>
      </c>
      <c r="S271" s="290">
        <v>298</v>
      </c>
      <c r="T271" s="290">
        <v>753</v>
      </c>
      <c r="U271" s="958">
        <v>5.8075204952615037E-3</v>
      </c>
      <c r="V271" s="290">
        <v>5387.0886302600002</v>
      </c>
      <c r="W271" s="765">
        <v>0.70812094000000003</v>
      </c>
      <c r="X271" s="290">
        <v>6500</v>
      </c>
      <c r="Y271" s="290">
        <v>854.25360799999999</v>
      </c>
      <c r="Z271" s="290">
        <v>324061</v>
      </c>
      <c r="AA271" s="290">
        <v>0</v>
      </c>
      <c r="AB271" s="290">
        <v>139</v>
      </c>
      <c r="AC271" s="290">
        <v>1904.864</v>
      </c>
      <c r="AD271" s="290">
        <v>333</v>
      </c>
      <c r="AE271" s="290">
        <v>0</v>
      </c>
      <c r="AF271" s="290">
        <v>41630.690300000002</v>
      </c>
      <c r="AG271" s="290">
        <v>11712</v>
      </c>
      <c r="AH271" s="290">
        <v>2052.4504845699998</v>
      </c>
      <c r="AI271" s="290">
        <v>300</v>
      </c>
      <c r="AJ271" s="290">
        <v>0</v>
      </c>
      <c r="AK271" s="290">
        <v>17.469000000000001</v>
      </c>
      <c r="AL271" s="290">
        <v>0</v>
      </c>
      <c r="AM271" s="957">
        <v>7.3948620000000007E-2</v>
      </c>
      <c r="AN271" s="290">
        <v>0</v>
      </c>
      <c r="AO271" s="290">
        <v>-1610.4400700000001</v>
      </c>
      <c r="AP271" s="290">
        <v>0</v>
      </c>
      <c r="AQ271" s="290">
        <v>-2372.16</v>
      </c>
      <c r="AR271" s="290">
        <v>-630.87231199999997</v>
      </c>
      <c r="AS271" s="290">
        <v>7229</v>
      </c>
      <c r="AT271" s="290">
        <v>354</v>
      </c>
      <c r="AU271" s="290">
        <v>60</v>
      </c>
      <c r="AV271" s="766">
        <v>350030</v>
      </c>
      <c r="AW271" s="290">
        <v>3162.0320000000002</v>
      </c>
      <c r="AX271" s="766">
        <v>105.6666</v>
      </c>
      <c r="AY271" s="290">
        <v>3559</v>
      </c>
      <c r="AZ271" s="290">
        <v>477</v>
      </c>
      <c r="BA271" s="290">
        <v>181</v>
      </c>
      <c r="BB271" s="290">
        <v>0</v>
      </c>
      <c r="BC271" s="290">
        <v>11391.433300000001</v>
      </c>
      <c r="BD271" s="290">
        <v>1023</v>
      </c>
      <c r="BE271" s="290">
        <v>358055.26699999999</v>
      </c>
      <c r="BF271" s="290">
        <v>0</v>
      </c>
      <c r="BG271" s="290">
        <v>535</v>
      </c>
      <c r="BH271" s="290">
        <v>76</v>
      </c>
      <c r="BI271" s="290">
        <v>46459.727400000003</v>
      </c>
      <c r="BJ271" s="290">
        <v>0</v>
      </c>
      <c r="BK271" s="290">
        <f t="shared" si="4"/>
        <v>0</v>
      </c>
      <c r="BL271" s="290">
        <v>0</v>
      </c>
      <c r="BM271" s="290">
        <v>4052</v>
      </c>
      <c r="BN271" s="290">
        <v>8240</v>
      </c>
      <c r="BO271" s="290">
        <v>2346</v>
      </c>
      <c r="BP271" s="290">
        <v>12</v>
      </c>
      <c r="BQ271" s="290">
        <v>1152</v>
      </c>
      <c r="BR271" s="290">
        <v>-5</v>
      </c>
      <c r="BS271" s="290">
        <v>146</v>
      </c>
      <c r="BT271" s="290">
        <v>0</v>
      </c>
      <c r="BU271" s="290">
        <v>0</v>
      </c>
      <c r="BV271" s="290">
        <v>172</v>
      </c>
      <c r="BW271" s="290"/>
      <c r="BX271" s="290"/>
      <c r="BY271" s="290"/>
    </row>
    <row r="272" spans="1:77" ht="13">
      <c r="A272" s="1">
        <v>4641</v>
      </c>
      <c r="B272" s="2" t="s">
        <v>67</v>
      </c>
      <c r="C272" s="289">
        <v>1781</v>
      </c>
      <c r="D272" s="290">
        <v>36</v>
      </c>
      <c r="E272" s="290">
        <v>53</v>
      </c>
      <c r="F272" s="290">
        <v>174</v>
      </c>
      <c r="G272" s="290">
        <v>140</v>
      </c>
      <c r="H272" s="290">
        <v>1030</v>
      </c>
      <c r="I272" s="290">
        <v>230</v>
      </c>
      <c r="J272" s="290">
        <v>79</v>
      </c>
      <c r="K272" s="290">
        <v>29</v>
      </c>
      <c r="L272" s="290">
        <v>15</v>
      </c>
      <c r="M272" s="290">
        <v>154</v>
      </c>
      <c r="N272" s="290">
        <v>0</v>
      </c>
      <c r="O272" s="290">
        <v>16</v>
      </c>
      <c r="P272" s="624">
        <v>11323.563333329999</v>
      </c>
      <c r="Q272" s="624">
        <v>9484.9750000000004</v>
      </c>
      <c r="R272" s="624">
        <v>5</v>
      </c>
      <c r="S272" s="290">
        <v>0</v>
      </c>
      <c r="T272" s="290">
        <v>156</v>
      </c>
      <c r="U272" s="958">
        <v>1.5470182096336551E-3</v>
      </c>
      <c r="V272" s="290">
        <v>927.17344752999998</v>
      </c>
      <c r="W272" s="765">
        <v>1</v>
      </c>
      <c r="X272" s="290">
        <v>0</v>
      </c>
      <c r="Y272" s="290">
        <v>0</v>
      </c>
      <c r="Z272" s="290">
        <v>82877</v>
      </c>
      <c r="AA272" s="290">
        <v>425</v>
      </c>
      <c r="AB272" s="290">
        <v>25</v>
      </c>
      <c r="AC272" s="290">
        <v>271.99599999999998</v>
      </c>
      <c r="AD272" s="290">
        <v>167</v>
      </c>
      <c r="AE272" s="290">
        <v>0</v>
      </c>
      <c r="AF272" s="290">
        <v>0</v>
      </c>
      <c r="AG272" s="290">
        <v>1771</v>
      </c>
      <c r="AH272" s="290">
        <v>247.97129842000001</v>
      </c>
      <c r="AI272" s="290">
        <v>0</v>
      </c>
      <c r="AJ272" s="290">
        <v>4471.0600000000004</v>
      </c>
      <c r="AK272" s="290">
        <v>150.68600000000001</v>
      </c>
      <c r="AL272" s="290">
        <v>0</v>
      </c>
      <c r="AM272" s="957">
        <v>4.3481099999999996E-3</v>
      </c>
      <c r="AN272" s="290">
        <v>0</v>
      </c>
      <c r="AO272" s="290">
        <v>-277.17332599999997</v>
      </c>
      <c r="AP272" s="290">
        <v>0</v>
      </c>
      <c r="AQ272" s="290">
        <v>0</v>
      </c>
      <c r="AR272" s="290">
        <v>-95.395736400000004</v>
      </c>
      <c r="AS272" s="290">
        <v>329</v>
      </c>
      <c r="AT272" s="290">
        <v>55</v>
      </c>
      <c r="AU272" s="290">
        <v>6</v>
      </c>
      <c r="AV272" s="766">
        <v>58056</v>
      </c>
      <c r="AW272" s="290">
        <v>680</v>
      </c>
      <c r="AX272" s="766">
        <v>12.333349999999999</v>
      </c>
      <c r="AY272" s="290">
        <v>371</v>
      </c>
      <c r="AZ272" s="290">
        <v>41</v>
      </c>
      <c r="BA272" s="290">
        <v>23</v>
      </c>
      <c r="BB272" s="290">
        <v>0</v>
      </c>
      <c r="BC272" s="290">
        <v>242.64333300000001</v>
      </c>
      <c r="BD272" s="290">
        <v>268</v>
      </c>
      <c r="BE272" s="290">
        <v>59766.106399999997</v>
      </c>
      <c r="BF272" s="290">
        <v>0</v>
      </c>
      <c r="BG272" s="290">
        <v>121</v>
      </c>
      <c r="BH272" s="290">
        <v>17</v>
      </c>
      <c r="BI272" s="290">
        <v>670.65329799999995</v>
      </c>
      <c r="BJ272" s="290">
        <v>200</v>
      </c>
      <c r="BK272" s="290">
        <f t="shared" si="4"/>
        <v>0</v>
      </c>
      <c r="BL272" s="290">
        <v>0</v>
      </c>
      <c r="BM272" s="290">
        <v>0</v>
      </c>
      <c r="BN272" s="290">
        <v>1418</v>
      </c>
      <c r="BO272" s="290">
        <v>264</v>
      </c>
      <c r="BP272" s="290">
        <v>1</v>
      </c>
      <c r="BQ272" s="290">
        <v>218</v>
      </c>
      <c r="BR272" s="290">
        <v>-1</v>
      </c>
      <c r="BS272" s="290">
        <v>50</v>
      </c>
      <c r="BT272" s="290">
        <v>0</v>
      </c>
      <c r="BU272" s="290">
        <v>0</v>
      </c>
      <c r="BV272" s="290">
        <v>39</v>
      </c>
      <c r="BW272" s="290"/>
      <c r="BX272" s="290"/>
      <c r="BY272" s="290"/>
    </row>
    <row r="273" spans="1:77" ht="13">
      <c r="A273" s="1">
        <v>4642</v>
      </c>
      <c r="B273" s="2" t="s">
        <v>68</v>
      </c>
      <c r="C273" s="289">
        <v>2126</v>
      </c>
      <c r="D273" s="290">
        <v>37</v>
      </c>
      <c r="E273" s="290">
        <v>78</v>
      </c>
      <c r="F273" s="290">
        <v>241</v>
      </c>
      <c r="G273" s="290">
        <v>189</v>
      </c>
      <c r="H273" s="290">
        <v>1176</v>
      </c>
      <c r="I273" s="290">
        <v>318</v>
      </c>
      <c r="J273" s="290">
        <v>98</v>
      </c>
      <c r="K273" s="290">
        <v>27</v>
      </c>
      <c r="L273" s="290">
        <v>16</v>
      </c>
      <c r="M273" s="290">
        <v>185</v>
      </c>
      <c r="N273" s="290">
        <v>17</v>
      </c>
      <c r="O273" s="290">
        <v>29</v>
      </c>
      <c r="P273" s="624">
        <v>15151.181</v>
      </c>
      <c r="Q273" s="624">
        <v>7779.2870000000003</v>
      </c>
      <c r="R273" s="624">
        <v>6</v>
      </c>
      <c r="S273" s="290">
        <v>0</v>
      </c>
      <c r="T273" s="290">
        <v>177</v>
      </c>
      <c r="U273" s="958">
        <v>2.2060481837221221E-3</v>
      </c>
      <c r="V273" s="290">
        <v>1132.5097751999999</v>
      </c>
      <c r="W273" s="765">
        <v>1</v>
      </c>
      <c r="X273" s="290">
        <v>0</v>
      </c>
      <c r="Y273" s="290">
        <v>273.445944</v>
      </c>
      <c r="Z273" s="290">
        <v>71408</v>
      </c>
      <c r="AA273" s="290">
        <v>425</v>
      </c>
      <c r="AB273" s="290">
        <v>34</v>
      </c>
      <c r="AC273" s="290">
        <v>372.31299999999999</v>
      </c>
      <c r="AD273" s="290">
        <v>167</v>
      </c>
      <c r="AE273" s="290">
        <v>0</v>
      </c>
      <c r="AF273" s="290">
        <v>0</v>
      </c>
      <c r="AG273" s="290">
        <v>2164</v>
      </c>
      <c r="AH273" s="290">
        <v>333.27920865999999</v>
      </c>
      <c r="AI273" s="290">
        <v>0</v>
      </c>
      <c r="AJ273" s="290">
        <v>0</v>
      </c>
      <c r="AK273" s="290">
        <v>32.176000000000002</v>
      </c>
      <c r="AL273" s="290">
        <v>0</v>
      </c>
      <c r="AM273" s="957">
        <v>1.9747549999999999E-2</v>
      </c>
      <c r="AN273" s="290">
        <v>0</v>
      </c>
      <c r="AO273" s="290">
        <v>-338.55747500000001</v>
      </c>
      <c r="AP273" s="290">
        <v>0</v>
      </c>
      <c r="AQ273" s="290">
        <v>0</v>
      </c>
      <c r="AR273" s="290">
        <v>-116.564864</v>
      </c>
      <c r="AS273" s="290">
        <v>1194</v>
      </c>
      <c r="AT273" s="290">
        <v>94</v>
      </c>
      <c r="AU273" s="290">
        <v>18</v>
      </c>
      <c r="AV273" s="766">
        <v>76417</v>
      </c>
      <c r="AW273" s="290">
        <v>750</v>
      </c>
      <c r="AX273" s="766">
        <v>15.583299999999999</v>
      </c>
      <c r="AY273" s="290">
        <v>483</v>
      </c>
      <c r="AZ273" s="290">
        <v>54</v>
      </c>
      <c r="BA273" s="290">
        <v>40</v>
      </c>
      <c r="BB273" s="290">
        <v>5875</v>
      </c>
      <c r="BC273" s="290">
        <v>581.77593400000001</v>
      </c>
      <c r="BD273" s="290">
        <v>299</v>
      </c>
      <c r="BE273" s="290">
        <v>79045.852599999998</v>
      </c>
      <c r="BF273" s="290">
        <v>0</v>
      </c>
      <c r="BG273" s="290">
        <v>140</v>
      </c>
      <c r="BH273" s="290">
        <v>20</v>
      </c>
      <c r="BI273" s="290">
        <v>1011.21415</v>
      </c>
      <c r="BJ273" s="290">
        <v>0</v>
      </c>
      <c r="BK273" s="290">
        <f t="shared" si="4"/>
        <v>0</v>
      </c>
      <c r="BL273" s="290">
        <v>0</v>
      </c>
      <c r="BM273" s="290">
        <v>0</v>
      </c>
      <c r="BN273" s="290">
        <v>1732</v>
      </c>
      <c r="BO273" s="290">
        <v>364</v>
      </c>
      <c r="BP273" s="290">
        <v>2</v>
      </c>
      <c r="BQ273" s="290">
        <v>228</v>
      </c>
      <c r="BR273" s="290">
        <v>-1</v>
      </c>
      <c r="BS273" s="290">
        <v>50</v>
      </c>
      <c r="BT273" s="290">
        <v>0</v>
      </c>
      <c r="BU273" s="290">
        <v>0</v>
      </c>
      <c r="BV273" s="290">
        <v>45</v>
      </c>
      <c r="BW273" s="290"/>
      <c r="BX273" s="290"/>
      <c r="BY273" s="290"/>
    </row>
    <row r="274" spans="1:77" ht="13">
      <c r="A274" s="1">
        <v>4643</v>
      </c>
      <c r="B274" s="2" t="s">
        <v>69</v>
      </c>
      <c r="C274" s="289">
        <v>5193</v>
      </c>
      <c r="D274" s="290">
        <v>92</v>
      </c>
      <c r="E274" s="290">
        <v>191</v>
      </c>
      <c r="F274" s="290">
        <v>534</v>
      </c>
      <c r="G274" s="290">
        <v>439</v>
      </c>
      <c r="H274" s="290">
        <v>2887</v>
      </c>
      <c r="I274" s="290">
        <v>718</v>
      </c>
      <c r="J274" s="290">
        <v>300</v>
      </c>
      <c r="K274" s="290">
        <v>66</v>
      </c>
      <c r="L274" s="290">
        <v>43</v>
      </c>
      <c r="M274" s="290">
        <v>472</v>
      </c>
      <c r="N274" s="290">
        <v>48</v>
      </c>
      <c r="O274" s="290">
        <v>40</v>
      </c>
      <c r="P274" s="624">
        <v>40700.215666670003</v>
      </c>
      <c r="Q274" s="624">
        <v>7080.0306666699998</v>
      </c>
      <c r="R274" s="624">
        <v>32</v>
      </c>
      <c r="S274" s="290">
        <v>0</v>
      </c>
      <c r="T274" s="290">
        <v>483</v>
      </c>
      <c r="U274" s="958">
        <v>4.3064669484805358E-4</v>
      </c>
      <c r="V274" s="290">
        <v>2550.2938570699998</v>
      </c>
      <c r="W274" s="765">
        <v>0.68596053999999995</v>
      </c>
      <c r="X274" s="290">
        <v>0</v>
      </c>
      <c r="Y274" s="290">
        <v>427.12680399999999</v>
      </c>
      <c r="Z274" s="290">
        <v>176766</v>
      </c>
      <c r="AA274" s="290">
        <v>1400</v>
      </c>
      <c r="AB274" s="290">
        <v>92</v>
      </c>
      <c r="AC274" s="290">
        <v>727.08500000000004</v>
      </c>
      <c r="AD274" s="290">
        <v>333</v>
      </c>
      <c r="AE274" s="290">
        <v>0</v>
      </c>
      <c r="AF274" s="290">
        <v>0</v>
      </c>
      <c r="AG274" s="290">
        <v>5227</v>
      </c>
      <c r="AH274" s="290">
        <v>769.21708896999996</v>
      </c>
      <c r="AI274" s="290">
        <v>0</v>
      </c>
      <c r="AJ274" s="290">
        <v>0</v>
      </c>
      <c r="AK274" s="290">
        <v>5191.4970000000003</v>
      </c>
      <c r="AL274" s="290">
        <v>0</v>
      </c>
      <c r="AM274" s="957">
        <v>2.494654E-2</v>
      </c>
      <c r="AN274" s="290">
        <v>7315</v>
      </c>
      <c r="AO274" s="290">
        <v>-762.39611100000002</v>
      </c>
      <c r="AP274" s="290">
        <v>0</v>
      </c>
      <c r="AQ274" s="290">
        <v>0</v>
      </c>
      <c r="AR274" s="290">
        <v>-281.554779</v>
      </c>
      <c r="AS274" s="290">
        <v>1110</v>
      </c>
      <c r="AT274" s="290">
        <v>215</v>
      </c>
      <c r="AU274" s="290">
        <v>24</v>
      </c>
      <c r="AV274" s="766">
        <v>154103</v>
      </c>
      <c r="AW274" s="290">
        <v>880</v>
      </c>
      <c r="AX274" s="766">
        <v>28.75</v>
      </c>
      <c r="AY274" s="290">
        <v>928</v>
      </c>
      <c r="AZ274" s="290">
        <v>133</v>
      </c>
      <c r="BA274" s="290">
        <v>84</v>
      </c>
      <c r="BB274" s="290">
        <v>0</v>
      </c>
      <c r="BC274" s="290">
        <v>1165.2232799999999</v>
      </c>
      <c r="BD274" s="290">
        <v>502</v>
      </c>
      <c r="BE274" s="290">
        <v>166395.60500000001</v>
      </c>
      <c r="BF274" s="290">
        <v>0</v>
      </c>
      <c r="BG274" s="290">
        <v>264</v>
      </c>
      <c r="BH274" s="290">
        <v>38</v>
      </c>
      <c r="BI274" s="290">
        <v>7114.9258900000004</v>
      </c>
      <c r="BJ274" s="290">
        <v>0</v>
      </c>
      <c r="BK274" s="290">
        <f t="shared" si="4"/>
        <v>0</v>
      </c>
      <c r="BL274" s="290">
        <v>0</v>
      </c>
      <c r="BM274" s="290">
        <v>0</v>
      </c>
      <c r="BN274" s="290">
        <v>3901</v>
      </c>
      <c r="BO274" s="290">
        <v>800</v>
      </c>
      <c r="BP274" s="290">
        <v>4</v>
      </c>
      <c r="BQ274" s="290">
        <v>554</v>
      </c>
      <c r="BR274" s="290">
        <v>-2</v>
      </c>
      <c r="BS274" s="290">
        <v>50</v>
      </c>
      <c r="BT274" s="290">
        <v>0</v>
      </c>
      <c r="BU274" s="290">
        <v>0</v>
      </c>
      <c r="BV274" s="290">
        <v>85</v>
      </c>
      <c r="BW274" s="290"/>
      <c r="BX274" s="290"/>
      <c r="BY274" s="290"/>
    </row>
    <row r="275" spans="1:77" ht="13">
      <c r="A275" s="1">
        <v>4644</v>
      </c>
      <c r="B275" s="2" t="s">
        <v>70</v>
      </c>
      <c r="C275" s="289">
        <v>5174</v>
      </c>
      <c r="D275" s="290">
        <v>115</v>
      </c>
      <c r="E275" s="290">
        <v>241</v>
      </c>
      <c r="F275" s="290">
        <v>650</v>
      </c>
      <c r="G275" s="290">
        <v>459</v>
      </c>
      <c r="H275" s="290">
        <v>2765</v>
      </c>
      <c r="I275" s="290">
        <v>650</v>
      </c>
      <c r="J275" s="290">
        <v>246</v>
      </c>
      <c r="K275" s="290">
        <v>68</v>
      </c>
      <c r="L275" s="290">
        <v>33</v>
      </c>
      <c r="M275" s="290">
        <v>423</v>
      </c>
      <c r="N275" s="290">
        <v>30</v>
      </c>
      <c r="O275" s="290">
        <v>47</v>
      </c>
      <c r="P275" s="624">
        <v>47539.126666670003</v>
      </c>
      <c r="Q275" s="624">
        <v>18111.99733333</v>
      </c>
      <c r="R275" s="624">
        <v>31</v>
      </c>
      <c r="S275" s="290">
        <v>0</v>
      </c>
      <c r="T275" s="290">
        <v>386</v>
      </c>
      <c r="U275" s="958">
        <v>5.5954508504179974E-3</v>
      </c>
      <c r="V275" s="290">
        <v>2715.72775912</v>
      </c>
      <c r="W275" s="765">
        <v>0.85262072</v>
      </c>
      <c r="X275" s="290">
        <v>0</v>
      </c>
      <c r="Y275" s="290">
        <v>427.12680399999999</v>
      </c>
      <c r="Z275" s="290">
        <v>160782</v>
      </c>
      <c r="AA275" s="290">
        <v>770</v>
      </c>
      <c r="AB275" s="290">
        <v>89</v>
      </c>
      <c r="AC275" s="290">
        <v>907.86400000000003</v>
      </c>
      <c r="AD275" s="290">
        <v>333</v>
      </c>
      <c r="AE275" s="290">
        <v>0</v>
      </c>
      <c r="AF275" s="290">
        <v>0</v>
      </c>
      <c r="AG275" s="290">
        <v>5194</v>
      </c>
      <c r="AH275" s="290">
        <v>929.71163196999998</v>
      </c>
      <c r="AI275" s="290">
        <v>0</v>
      </c>
      <c r="AJ275" s="290">
        <v>0</v>
      </c>
      <c r="AK275" s="290">
        <v>0</v>
      </c>
      <c r="AL275" s="290">
        <v>0</v>
      </c>
      <c r="AM275" s="957">
        <v>2.5250089999999999E-2</v>
      </c>
      <c r="AN275" s="290">
        <v>2903</v>
      </c>
      <c r="AO275" s="290">
        <v>-811.85165300000006</v>
      </c>
      <c r="AP275" s="290">
        <v>0</v>
      </c>
      <c r="AQ275" s="290">
        <v>0</v>
      </c>
      <c r="AR275" s="290">
        <v>-279.777219</v>
      </c>
      <c r="AS275" s="290">
        <v>1839</v>
      </c>
      <c r="AT275" s="290">
        <v>175</v>
      </c>
      <c r="AU275" s="290">
        <v>22</v>
      </c>
      <c r="AV275" s="766">
        <v>172433</v>
      </c>
      <c r="AW275" s="290">
        <v>1780</v>
      </c>
      <c r="AX275" s="766">
        <v>46.999949999999998</v>
      </c>
      <c r="AY275" s="290">
        <v>1119</v>
      </c>
      <c r="AZ275" s="290">
        <v>177</v>
      </c>
      <c r="BA275" s="290">
        <v>69</v>
      </c>
      <c r="BB275" s="290">
        <v>0</v>
      </c>
      <c r="BC275" s="290">
        <v>1320.7102400000001</v>
      </c>
      <c r="BD275" s="290">
        <v>522</v>
      </c>
      <c r="BE275" s="290">
        <v>178062.13399999999</v>
      </c>
      <c r="BF275" s="290">
        <v>0</v>
      </c>
      <c r="BG275" s="290">
        <v>277</v>
      </c>
      <c r="BH275" s="290">
        <v>40</v>
      </c>
      <c r="BI275" s="290">
        <v>2264.70244</v>
      </c>
      <c r="BJ275" s="290">
        <v>0</v>
      </c>
      <c r="BK275" s="290">
        <f t="shared" si="4"/>
        <v>0</v>
      </c>
      <c r="BL275" s="290">
        <v>0</v>
      </c>
      <c r="BM275" s="290">
        <v>0</v>
      </c>
      <c r="BN275" s="290">
        <v>4154</v>
      </c>
      <c r="BO275" s="290">
        <v>1020</v>
      </c>
      <c r="BP275" s="290">
        <v>5</v>
      </c>
      <c r="BQ275" s="290">
        <v>522</v>
      </c>
      <c r="BR275" s="290">
        <v>-2</v>
      </c>
      <c r="BS275" s="290">
        <v>53</v>
      </c>
      <c r="BT275" s="290">
        <v>0</v>
      </c>
      <c r="BU275" s="290">
        <v>0</v>
      </c>
      <c r="BV275" s="290">
        <v>89</v>
      </c>
      <c r="BW275" s="290"/>
      <c r="BX275" s="290"/>
      <c r="BY275" s="290"/>
    </row>
    <row r="276" spans="1:77" ht="13">
      <c r="A276" s="1">
        <v>4645</v>
      </c>
      <c r="B276" s="2" t="s">
        <v>71</v>
      </c>
      <c r="C276" s="289">
        <v>3011</v>
      </c>
      <c r="D276" s="290">
        <v>60</v>
      </c>
      <c r="E276" s="290">
        <v>122</v>
      </c>
      <c r="F276" s="290">
        <v>370</v>
      </c>
      <c r="G276" s="290">
        <v>252</v>
      </c>
      <c r="H276" s="290">
        <v>1531</v>
      </c>
      <c r="I276" s="290">
        <v>459</v>
      </c>
      <c r="J276" s="290">
        <v>196</v>
      </c>
      <c r="K276" s="290">
        <v>44</v>
      </c>
      <c r="L276" s="290">
        <v>26</v>
      </c>
      <c r="M276" s="290">
        <v>297</v>
      </c>
      <c r="N276" s="290">
        <v>4</v>
      </c>
      <c r="O276" s="290">
        <v>30</v>
      </c>
      <c r="P276" s="624">
        <v>60213.468333329998</v>
      </c>
      <c r="Q276" s="624">
        <v>14806.963666670001</v>
      </c>
      <c r="R276" s="624">
        <v>12</v>
      </c>
      <c r="S276" s="290">
        <v>0</v>
      </c>
      <c r="T276" s="290">
        <v>198</v>
      </c>
      <c r="U276" s="958">
        <v>2.5515712363348066E-3</v>
      </c>
      <c r="V276" s="290">
        <v>-2318.33096574</v>
      </c>
      <c r="W276" s="765">
        <v>1</v>
      </c>
      <c r="X276" s="290">
        <v>1300</v>
      </c>
      <c r="Y276" s="290">
        <v>427.12680399999999</v>
      </c>
      <c r="Z276" s="290">
        <v>80393</v>
      </c>
      <c r="AA276" s="290">
        <v>0</v>
      </c>
      <c r="AB276" s="290">
        <v>40</v>
      </c>
      <c r="AC276" s="290">
        <v>532.49</v>
      </c>
      <c r="AD276" s="290">
        <v>333</v>
      </c>
      <c r="AE276" s="290">
        <v>0</v>
      </c>
      <c r="AF276" s="290">
        <v>0</v>
      </c>
      <c r="AG276" s="290">
        <v>3034</v>
      </c>
      <c r="AH276" s="290">
        <v>512.57040985000003</v>
      </c>
      <c r="AI276" s="290">
        <v>0</v>
      </c>
      <c r="AJ276" s="290">
        <v>0</v>
      </c>
      <c r="AK276" s="290">
        <v>0</v>
      </c>
      <c r="AL276" s="290">
        <v>0</v>
      </c>
      <c r="AM276" s="957">
        <v>1.7234840000000001E-2</v>
      </c>
      <c r="AN276" s="290">
        <v>0</v>
      </c>
      <c r="AO276" s="290">
        <v>-515.87912400000005</v>
      </c>
      <c r="AP276" s="290">
        <v>0</v>
      </c>
      <c r="AQ276" s="290">
        <v>0</v>
      </c>
      <c r="AR276" s="290">
        <v>-163.427817</v>
      </c>
      <c r="AS276" s="290">
        <v>702</v>
      </c>
      <c r="AT276" s="290">
        <v>92</v>
      </c>
      <c r="AU276" s="290">
        <v>19</v>
      </c>
      <c r="AV276" s="766">
        <v>117683</v>
      </c>
      <c r="AW276" s="290">
        <v>1590</v>
      </c>
      <c r="AX276" s="766">
        <v>19.375050000000002</v>
      </c>
      <c r="AY276" s="290">
        <v>569</v>
      </c>
      <c r="AZ276" s="290">
        <v>91</v>
      </c>
      <c r="BA276" s="290">
        <v>55</v>
      </c>
      <c r="BB276" s="290">
        <v>5875</v>
      </c>
      <c r="BC276" s="290">
        <v>907.24042599999996</v>
      </c>
      <c r="BD276" s="290">
        <v>368</v>
      </c>
      <c r="BE276" s="290">
        <v>122394.683</v>
      </c>
      <c r="BF276" s="290">
        <v>0</v>
      </c>
      <c r="BG276" s="290">
        <v>202</v>
      </c>
      <c r="BH276" s="290">
        <v>29</v>
      </c>
      <c r="BI276" s="290">
        <v>1472.1872100000001</v>
      </c>
      <c r="BJ276" s="290">
        <v>0</v>
      </c>
      <c r="BK276" s="290">
        <f t="shared" si="4"/>
        <v>0</v>
      </c>
      <c r="BL276" s="290">
        <v>0</v>
      </c>
      <c r="BM276" s="290">
        <v>0</v>
      </c>
      <c r="BN276" s="290">
        <v>2640</v>
      </c>
      <c r="BO276" s="290">
        <v>548</v>
      </c>
      <c r="BP276" s="290">
        <v>2</v>
      </c>
      <c r="BQ276" s="290">
        <v>296</v>
      </c>
      <c r="BR276" s="290">
        <v>-1</v>
      </c>
      <c r="BS276" s="290">
        <v>50</v>
      </c>
      <c r="BT276" s="290">
        <v>0</v>
      </c>
      <c r="BU276" s="290">
        <v>0</v>
      </c>
      <c r="BV276" s="290">
        <v>65</v>
      </c>
      <c r="BW276" s="290"/>
      <c r="BX276" s="290"/>
      <c r="BY276" s="290"/>
    </row>
    <row r="277" spans="1:77" ht="13">
      <c r="A277" s="1">
        <v>4646</v>
      </c>
      <c r="B277" s="2" t="s">
        <v>72</v>
      </c>
      <c r="C277" s="289">
        <v>2802</v>
      </c>
      <c r="D277" s="290">
        <v>48</v>
      </c>
      <c r="E277" s="290">
        <v>111</v>
      </c>
      <c r="F277" s="290">
        <v>371</v>
      </c>
      <c r="G277" s="290">
        <v>334</v>
      </c>
      <c r="H277" s="290">
        <v>1352</v>
      </c>
      <c r="I277" s="290">
        <v>401</v>
      </c>
      <c r="J277" s="290">
        <v>137</v>
      </c>
      <c r="K277" s="290">
        <v>24</v>
      </c>
      <c r="L277" s="290">
        <v>28</v>
      </c>
      <c r="M277" s="290">
        <v>250</v>
      </c>
      <c r="N277" s="290">
        <v>9</v>
      </c>
      <c r="O277" s="290">
        <v>27</v>
      </c>
      <c r="P277" s="624">
        <v>36900.135999999999</v>
      </c>
      <c r="Q277" s="624">
        <v>16049.572666669999</v>
      </c>
      <c r="R277" s="624">
        <v>32</v>
      </c>
      <c r="S277" s="290">
        <v>0</v>
      </c>
      <c r="T277" s="290">
        <v>199</v>
      </c>
      <c r="U277" s="958">
        <v>2.4266831915691254E-3</v>
      </c>
      <c r="V277" s="290">
        <v>1665.6917361400001</v>
      </c>
      <c r="W277" s="765">
        <v>0.90641658999999997</v>
      </c>
      <c r="X277" s="290">
        <v>1600</v>
      </c>
      <c r="Y277" s="290">
        <v>427.12680399999999</v>
      </c>
      <c r="Z277" s="290">
        <v>66853</v>
      </c>
      <c r="AA277" s="290">
        <v>0</v>
      </c>
      <c r="AB277" s="290">
        <v>43</v>
      </c>
      <c r="AC277" s="290">
        <v>527.15800000000002</v>
      </c>
      <c r="AD277" s="290">
        <v>167</v>
      </c>
      <c r="AE277" s="290">
        <v>0</v>
      </c>
      <c r="AF277" s="290">
        <v>0</v>
      </c>
      <c r="AG277" s="290">
        <v>2778</v>
      </c>
      <c r="AH277" s="290">
        <v>553.77846819000001</v>
      </c>
      <c r="AI277" s="290">
        <v>200</v>
      </c>
      <c r="AJ277" s="290">
        <v>0</v>
      </c>
      <c r="AK277" s="290">
        <v>0</v>
      </c>
      <c r="AL277" s="290">
        <v>0</v>
      </c>
      <c r="AM277" s="957">
        <v>1.862842E-2</v>
      </c>
      <c r="AN277" s="290">
        <v>0</v>
      </c>
      <c r="AO277" s="290">
        <v>-497.94924600000002</v>
      </c>
      <c r="AP277" s="290">
        <v>0</v>
      </c>
      <c r="AQ277" s="290">
        <v>0</v>
      </c>
      <c r="AR277" s="290">
        <v>-149.63825800000001</v>
      </c>
      <c r="AS277" s="290">
        <v>1290</v>
      </c>
      <c r="AT277" s="290">
        <v>73</v>
      </c>
      <c r="AU277" s="290">
        <v>11</v>
      </c>
      <c r="AV277" s="766">
        <v>121410</v>
      </c>
      <c r="AW277" s="290">
        <v>410</v>
      </c>
      <c r="AX277" s="766">
        <v>14.666650000000001</v>
      </c>
      <c r="AY277" s="290">
        <v>609</v>
      </c>
      <c r="AZ277" s="290">
        <v>178</v>
      </c>
      <c r="BA277" s="290">
        <v>45</v>
      </c>
      <c r="BB277" s="290">
        <v>4114</v>
      </c>
      <c r="BC277" s="290">
        <v>947.68098099999997</v>
      </c>
      <c r="BD277" s="290">
        <v>336</v>
      </c>
      <c r="BE277" s="290">
        <v>125399.258</v>
      </c>
      <c r="BF277" s="290">
        <v>0</v>
      </c>
      <c r="BG277" s="290">
        <v>178</v>
      </c>
      <c r="BH277" s="290">
        <v>25</v>
      </c>
      <c r="BI277" s="290">
        <v>1508.0632700000001</v>
      </c>
      <c r="BJ277" s="290">
        <v>0</v>
      </c>
      <c r="BK277" s="290">
        <f t="shared" si="4"/>
        <v>0</v>
      </c>
      <c r="BL277" s="290">
        <v>0</v>
      </c>
      <c r="BM277" s="290">
        <v>0</v>
      </c>
      <c r="BN277" s="290">
        <v>2548</v>
      </c>
      <c r="BO277" s="290">
        <v>510</v>
      </c>
      <c r="BP277" s="290">
        <v>2</v>
      </c>
      <c r="BQ277" s="290">
        <v>269</v>
      </c>
      <c r="BR277" s="290">
        <v>-1</v>
      </c>
      <c r="BS277" s="290">
        <v>50</v>
      </c>
      <c r="BT277" s="290">
        <v>0</v>
      </c>
      <c r="BU277" s="290">
        <v>0</v>
      </c>
      <c r="BV277" s="290">
        <v>57</v>
      </c>
      <c r="BW277" s="290"/>
      <c r="BX277" s="290"/>
      <c r="BY277" s="290"/>
    </row>
    <row r="278" spans="1:77" ht="13">
      <c r="A278" s="1">
        <v>4647</v>
      </c>
      <c r="B278" s="2" t="s">
        <v>1638</v>
      </c>
      <c r="C278" s="289">
        <v>22030</v>
      </c>
      <c r="D278" s="290">
        <v>502</v>
      </c>
      <c r="E278" s="290">
        <v>1049</v>
      </c>
      <c r="F278" s="290">
        <v>3083</v>
      </c>
      <c r="G278" s="290">
        <v>2111</v>
      </c>
      <c r="H278" s="290">
        <v>12127</v>
      </c>
      <c r="I278" s="290">
        <v>2203</v>
      </c>
      <c r="J278" s="290">
        <v>737</v>
      </c>
      <c r="K278" s="290">
        <v>205</v>
      </c>
      <c r="L278" s="290">
        <v>150</v>
      </c>
      <c r="M278" s="290">
        <v>1266</v>
      </c>
      <c r="N278" s="290">
        <v>286</v>
      </c>
      <c r="O278" s="290">
        <v>214</v>
      </c>
      <c r="P278" s="624">
        <v>138076.96733332999</v>
      </c>
      <c r="Q278" s="624">
        <v>61047.036</v>
      </c>
      <c r="R278" s="624">
        <v>103</v>
      </c>
      <c r="S278" s="290">
        <v>0</v>
      </c>
      <c r="T278" s="290">
        <v>1755</v>
      </c>
      <c r="U278" s="958">
        <v>1.18723103952703E-2</v>
      </c>
      <c r="V278" s="290">
        <v>10506.027322170001</v>
      </c>
      <c r="W278" s="765">
        <v>0.67465660000000005</v>
      </c>
      <c r="X278" s="290">
        <v>13000</v>
      </c>
      <c r="Y278" s="290">
        <v>1554.826356</v>
      </c>
      <c r="Z278" s="290">
        <v>635077</v>
      </c>
      <c r="AA278" s="290">
        <v>850</v>
      </c>
      <c r="AB278" s="290">
        <v>363</v>
      </c>
      <c r="AC278" s="290">
        <v>4070.665</v>
      </c>
      <c r="AD278" s="290">
        <v>333</v>
      </c>
      <c r="AE278" s="290">
        <v>0</v>
      </c>
      <c r="AF278" s="290">
        <v>62446.035499999998</v>
      </c>
      <c r="AG278" s="290">
        <v>22017</v>
      </c>
      <c r="AH278" s="290">
        <v>4227.8021957600004</v>
      </c>
      <c r="AI278" s="290">
        <v>7650</v>
      </c>
      <c r="AJ278" s="290">
        <v>0</v>
      </c>
      <c r="AK278" s="290">
        <v>0</v>
      </c>
      <c r="AL278" s="290">
        <v>0</v>
      </c>
      <c r="AM278" s="957">
        <v>0.17032170999999999</v>
      </c>
      <c r="AN278" s="290">
        <v>0</v>
      </c>
      <c r="AO278" s="290">
        <v>-3140.7182200000002</v>
      </c>
      <c r="AP278" s="290">
        <v>0</v>
      </c>
      <c r="AQ278" s="290">
        <v>0</v>
      </c>
      <c r="AR278" s="290">
        <v>-1185.9559200000001</v>
      </c>
      <c r="AS278" s="290">
        <v>5898</v>
      </c>
      <c r="AT278" s="290">
        <v>821</v>
      </c>
      <c r="AU278" s="290">
        <v>135</v>
      </c>
      <c r="AV278" s="766">
        <v>683688</v>
      </c>
      <c r="AW278" s="290">
        <v>3708.14</v>
      </c>
      <c r="AX278" s="766">
        <v>172.41669999999999</v>
      </c>
      <c r="AY278" s="290">
        <v>5473</v>
      </c>
      <c r="AZ278" s="290">
        <v>741</v>
      </c>
      <c r="BA278" s="290">
        <v>477</v>
      </c>
      <c r="BB278" s="290">
        <v>0</v>
      </c>
      <c r="BC278" s="290">
        <v>20546.724300000002</v>
      </c>
      <c r="BD278" s="290">
        <v>1841</v>
      </c>
      <c r="BE278" s="290">
        <v>701669.38</v>
      </c>
      <c r="BF278" s="290">
        <v>0</v>
      </c>
      <c r="BG278" s="290">
        <v>981</v>
      </c>
      <c r="BH278" s="290">
        <v>140</v>
      </c>
      <c r="BI278" s="290">
        <v>72299.329100000003</v>
      </c>
      <c r="BJ278" s="290">
        <v>0</v>
      </c>
      <c r="BK278" s="290">
        <f t="shared" si="4"/>
        <v>0</v>
      </c>
      <c r="BL278" s="290">
        <v>0</v>
      </c>
      <c r="BM278" s="290">
        <v>4749</v>
      </c>
      <c r="BN278" s="290">
        <v>16070</v>
      </c>
      <c r="BO278" s="290">
        <v>4453</v>
      </c>
      <c r="BP278" s="290">
        <v>21</v>
      </c>
      <c r="BQ278" s="290">
        <v>2187</v>
      </c>
      <c r="BR278" s="290">
        <v>-10</v>
      </c>
      <c r="BS278" s="290">
        <v>203</v>
      </c>
      <c r="BT278" s="290">
        <v>0</v>
      </c>
      <c r="BU278" s="290">
        <v>0</v>
      </c>
      <c r="BV278" s="290">
        <v>315</v>
      </c>
      <c r="BW278" s="290"/>
      <c r="BX278" s="290"/>
      <c r="BY278" s="290"/>
    </row>
    <row r="279" spans="1:77" ht="13">
      <c r="A279" s="1">
        <v>4648</v>
      </c>
      <c r="B279" s="2" t="s">
        <v>77</v>
      </c>
      <c r="C279" s="289">
        <v>3629</v>
      </c>
      <c r="D279" s="290">
        <v>59</v>
      </c>
      <c r="E279" s="290">
        <v>115</v>
      </c>
      <c r="F279" s="290">
        <v>447</v>
      </c>
      <c r="G279" s="290">
        <v>359</v>
      </c>
      <c r="H279" s="290">
        <v>1854</v>
      </c>
      <c r="I279" s="290">
        <v>535</v>
      </c>
      <c r="J279" s="290">
        <v>246</v>
      </c>
      <c r="K279" s="290">
        <v>71</v>
      </c>
      <c r="L279" s="290">
        <v>28</v>
      </c>
      <c r="M279" s="290">
        <v>380</v>
      </c>
      <c r="N279" s="290">
        <v>71</v>
      </c>
      <c r="O279" s="290">
        <v>74</v>
      </c>
      <c r="P279" s="624">
        <v>111190.78233333</v>
      </c>
      <c r="Q279" s="624">
        <v>14517.797</v>
      </c>
      <c r="R279" s="624">
        <v>18</v>
      </c>
      <c r="S279" s="290">
        <v>0</v>
      </c>
      <c r="T279" s="290">
        <v>242</v>
      </c>
      <c r="U279" s="958">
        <v>2.387078048739842E-3</v>
      </c>
      <c r="V279" s="290">
        <v>2120.1430345200001</v>
      </c>
      <c r="W279" s="765">
        <v>1</v>
      </c>
      <c r="X279" s="290">
        <v>0</v>
      </c>
      <c r="Y279" s="290">
        <v>427.12680399999999</v>
      </c>
      <c r="Z279" s="290">
        <v>112230</v>
      </c>
      <c r="AA279" s="290">
        <v>0</v>
      </c>
      <c r="AB279" s="290">
        <v>59</v>
      </c>
      <c r="AC279" s="290">
        <v>752.06500000000005</v>
      </c>
      <c r="AD279" s="290">
        <v>333</v>
      </c>
      <c r="AE279" s="290">
        <v>0</v>
      </c>
      <c r="AF279" s="290">
        <v>0</v>
      </c>
      <c r="AG279" s="290">
        <v>3686</v>
      </c>
      <c r="AH279" s="290">
        <v>592.09473295999999</v>
      </c>
      <c r="AI279" s="290">
        <v>0</v>
      </c>
      <c r="AJ279" s="290">
        <v>0</v>
      </c>
      <c r="AK279" s="290">
        <v>545.5</v>
      </c>
      <c r="AL279" s="290">
        <v>0</v>
      </c>
      <c r="AM279" s="957">
        <v>6.0459279999999997E-2</v>
      </c>
      <c r="AN279" s="290">
        <v>5541</v>
      </c>
      <c r="AO279" s="290">
        <v>-633.80492400000003</v>
      </c>
      <c r="AP279" s="290">
        <v>0</v>
      </c>
      <c r="AQ279" s="290">
        <v>0</v>
      </c>
      <c r="AR279" s="290">
        <v>-195.781057</v>
      </c>
      <c r="AS279" s="290">
        <v>184</v>
      </c>
      <c r="AT279" s="290">
        <v>109</v>
      </c>
      <c r="AU279" s="290">
        <v>47</v>
      </c>
      <c r="AV279" s="766">
        <v>151965</v>
      </c>
      <c r="AW279" s="290">
        <v>1240</v>
      </c>
      <c r="AX279" s="766">
        <v>10.916700000000001</v>
      </c>
      <c r="AY279" s="290">
        <v>541</v>
      </c>
      <c r="AZ279" s="290">
        <v>162</v>
      </c>
      <c r="BA279" s="290">
        <v>48</v>
      </c>
      <c r="BB279" s="290">
        <v>0</v>
      </c>
      <c r="BC279" s="290">
        <v>1008.34181</v>
      </c>
      <c r="BD279" s="290">
        <v>420</v>
      </c>
      <c r="BE279" s="290">
        <v>153811.73199999999</v>
      </c>
      <c r="BF279" s="290">
        <v>0</v>
      </c>
      <c r="BG279" s="290">
        <v>248</v>
      </c>
      <c r="BH279" s="290">
        <v>35</v>
      </c>
      <c r="BI279" s="290">
        <v>2316.7865400000001</v>
      </c>
      <c r="BJ279" s="290">
        <v>0</v>
      </c>
      <c r="BK279" s="290">
        <f t="shared" si="4"/>
        <v>0</v>
      </c>
      <c r="BL279" s="290">
        <v>0</v>
      </c>
      <c r="BM279" s="290">
        <v>0</v>
      </c>
      <c r="BN279" s="290">
        <v>3243</v>
      </c>
      <c r="BO279" s="290">
        <v>569</v>
      </c>
      <c r="BP279" s="290">
        <v>2</v>
      </c>
      <c r="BQ279" s="290">
        <v>365</v>
      </c>
      <c r="BR279" s="290">
        <v>-2</v>
      </c>
      <c r="BS279" s="290">
        <v>54</v>
      </c>
      <c r="BT279" s="290">
        <v>0</v>
      </c>
      <c r="BU279" s="290">
        <v>0</v>
      </c>
      <c r="BV279" s="290">
        <v>80</v>
      </c>
      <c r="BW279" s="290"/>
      <c r="BX279" s="290"/>
      <c r="BY279" s="290"/>
    </row>
    <row r="280" spans="1:77" ht="13">
      <c r="A280" s="1">
        <v>4649</v>
      </c>
      <c r="B280" s="2" t="s">
        <v>1639</v>
      </c>
      <c r="C280" s="289">
        <v>9457</v>
      </c>
      <c r="D280" s="290">
        <v>169</v>
      </c>
      <c r="E280" s="290">
        <v>434</v>
      </c>
      <c r="F280" s="290">
        <v>1188</v>
      </c>
      <c r="G280" s="290">
        <v>901</v>
      </c>
      <c r="H280" s="290">
        <v>5018</v>
      </c>
      <c r="I280" s="290">
        <v>1175</v>
      </c>
      <c r="J280" s="290">
        <v>437</v>
      </c>
      <c r="K280" s="290">
        <v>129</v>
      </c>
      <c r="L280" s="290">
        <v>65</v>
      </c>
      <c r="M280" s="290">
        <v>777</v>
      </c>
      <c r="N280" s="290">
        <v>80</v>
      </c>
      <c r="O280" s="290">
        <v>97</v>
      </c>
      <c r="P280" s="624">
        <v>86064.055333330005</v>
      </c>
      <c r="Q280" s="624">
        <v>28159.47533333</v>
      </c>
      <c r="R280" s="624">
        <v>41</v>
      </c>
      <c r="S280" s="290">
        <v>0</v>
      </c>
      <c r="T280" s="290">
        <v>647</v>
      </c>
      <c r="U280" s="958">
        <v>5.6187661235438391E-3</v>
      </c>
      <c r="V280" s="290">
        <v>-2674.78923906</v>
      </c>
      <c r="W280" s="765">
        <v>0.76874587000000005</v>
      </c>
      <c r="X280" s="290">
        <v>2500</v>
      </c>
      <c r="Y280" s="290">
        <v>854.25360799999999</v>
      </c>
      <c r="Z280" s="290">
        <v>239118</v>
      </c>
      <c r="AA280" s="290">
        <v>0</v>
      </c>
      <c r="AB280" s="290">
        <v>162</v>
      </c>
      <c r="AC280" s="290">
        <v>1522.3879999999999</v>
      </c>
      <c r="AD280" s="290">
        <v>333</v>
      </c>
      <c r="AE280" s="290">
        <v>0</v>
      </c>
      <c r="AF280" s="290">
        <v>16378.082</v>
      </c>
      <c r="AG280" s="290">
        <v>9451</v>
      </c>
      <c r="AH280" s="290">
        <v>1652.6600238599999</v>
      </c>
      <c r="AI280" s="290">
        <v>0</v>
      </c>
      <c r="AJ280" s="290">
        <v>0</v>
      </c>
      <c r="AK280" s="290">
        <v>0</v>
      </c>
      <c r="AL280" s="290">
        <v>0</v>
      </c>
      <c r="AM280" s="957">
        <v>9.4677559999999994E-2</v>
      </c>
      <c r="AN280" s="290">
        <v>9698</v>
      </c>
      <c r="AO280" s="290">
        <v>-1406.6861699999999</v>
      </c>
      <c r="AP280" s="290">
        <v>0</v>
      </c>
      <c r="AQ280" s="290">
        <v>12725.65</v>
      </c>
      <c r="AR280" s="290">
        <v>-509.08249799999999</v>
      </c>
      <c r="AS280" s="290">
        <v>2465</v>
      </c>
      <c r="AT280" s="290">
        <v>352</v>
      </c>
      <c r="AU280" s="290">
        <v>72</v>
      </c>
      <c r="AV280" s="766">
        <v>293533</v>
      </c>
      <c r="AW280" s="290">
        <v>2261.98</v>
      </c>
      <c r="AX280" s="766">
        <v>57.858249999999998</v>
      </c>
      <c r="AY280" s="290">
        <v>1882</v>
      </c>
      <c r="AZ280" s="290">
        <v>331</v>
      </c>
      <c r="BA280" s="290">
        <v>173</v>
      </c>
      <c r="BB280" s="290">
        <v>0</v>
      </c>
      <c r="BC280" s="290">
        <v>5792.8578900000002</v>
      </c>
      <c r="BD280" s="290">
        <v>849</v>
      </c>
      <c r="BE280" s="290">
        <v>315261.36599999998</v>
      </c>
      <c r="BF280" s="290">
        <v>0</v>
      </c>
      <c r="BG280" s="290">
        <v>470</v>
      </c>
      <c r="BH280" s="290">
        <v>67</v>
      </c>
      <c r="BI280" s="290">
        <v>20407.383600000001</v>
      </c>
      <c r="BJ280" s="290">
        <v>0</v>
      </c>
      <c r="BK280" s="290">
        <f t="shared" si="4"/>
        <v>0</v>
      </c>
      <c r="BL280" s="290">
        <v>0</v>
      </c>
      <c r="BM280" s="290">
        <v>3896</v>
      </c>
      <c r="BN280" s="290">
        <v>7197</v>
      </c>
      <c r="BO280" s="290">
        <v>1776</v>
      </c>
      <c r="BP280" s="290">
        <v>9</v>
      </c>
      <c r="BQ280" s="290">
        <v>867</v>
      </c>
      <c r="BR280" s="290">
        <v>-4</v>
      </c>
      <c r="BS280" s="290">
        <v>111</v>
      </c>
      <c r="BT280" s="290">
        <v>0</v>
      </c>
      <c r="BU280" s="290">
        <v>0</v>
      </c>
      <c r="BV280" s="290">
        <v>151</v>
      </c>
      <c r="BW280" s="290"/>
      <c r="BX280" s="290"/>
      <c r="BY280" s="290"/>
    </row>
    <row r="281" spans="1:77" ht="13">
      <c r="A281" s="1">
        <v>4650</v>
      </c>
      <c r="B281" s="2" t="s">
        <v>82</v>
      </c>
      <c r="C281" s="289">
        <v>5854</v>
      </c>
      <c r="D281" s="290">
        <v>112</v>
      </c>
      <c r="E281" s="290">
        <v>252</v>
      </c>
      <c r="F281" s="290">
        <v>746</v>
      </c>
      <c r="G281" s="290">
        <v>566</v>
      </c>
      <c r="H281" s="290">
        <v>3017</v>
      </c>
      <c r="I281" s="290">
        <v>795</v>
      </c>
      <c r="J281" s="290">
        <v>272</v>
      </c>
      <c r="K281" s="290">
        <v>100</v>
      </c>
      <c r="L281" s="290">
        <v>38</v>
      </c>
      <c r="M281" s="290">
        <v>473</v>
      </c>
      <c r="N281" s="290">
        <v>84</v>
      </c>
      <c r="O281" s="290">
        <v>74</v>
      </c>
      <c r="P281" s="624">
        <v>61314.652999999998</v>
      </c>
      <c r="Q281" s="624">
        <v>22875.80866667</v>
      </c>
      <c r="R281" s="624">
        <v>46</v>
      </c>
      <c r="S281" s="290">
        <v>0</v>
      </c>
      <c r="T281" s="290">
        <v>396</v>
      </c>
      <c r="U281" s="958">
        <v>5.4433795952932391E-3</v>
      </c>
      <c r="V281" s="290">
        <v>3062.50634266</v>
      </c>
      <c r="W281" s="765">
        <v>0.75323943000000004</v>
      </c>
      <c r="X281" s="290">
        <v>600</v>
      </c>
      <c r="Y281" s="290">
        <v>427.12680399999999</v>
      </c>
      <c r="Z281" s="290">
        <v>145775</v>
      </c>
      <c r="AA281" s="290">
        <v>0</v>
      </c>
      <c r="AB281" s="290">
        <v>86</v>
      </c>
      <c r="AC281" s="290">
        <v>1059.6400000000001</v>
      </c>
      <c r="AD281" s="290">
        <v>333</v>
      </c>
      <c r="AE281" s="290">
        <v>0</v>
      </c>
      <c r="AF281" s="290">
        <v>0</v>
      </c>
      <c r="AG281" s="290">
        <v>5860</v>
      </c>
      <c r="AH281" s="290">
        <v>1052.6128585900001</v>
      </c>
      <c r="AI281" s="290">
        <v>1250</v>
      </c>
      <c r="AJ281" s="290">
        <v>0</v>
      </c>
      <c r="AK281" s="290">
        <v>0</v>
      </c>
      <c r="AL281" s="290">
        <v>0</v>
      </c>
      <c r="AM281" s="957">
        <v>2.6159100000000001E-2</v>
      </c>
      <c r="AN281" s="290">
        <v>6400</v>
      </c>
      <c r="AO281" s="290">
        <v>-945.74245499999995</v>
      </c>
      <c r="AP281" s="290">
        <v>0</v>
      </c>
      <c r="AQ281" s="290">
        <v>0</v>
      </c>
      <c r="AR281" s="290">
        <v>-315.65161799999998</v>
      </c>
      <c r="AS281" s="290">
        <v>945</v>
      </c>
      <c r="AT281" s="290">
        <v>173</v>
      </c>
      <c r="AU281" s="290">
        <v>25</v>
      </c>
      <c r="AV281" s="766">
        <v>210128</v>
      </c>
      <c r="AW281" s="290">
        <v>1470</v>
      </c>
      <c r="AX281" s="766">
        <v>40</v>
      </c>
      <c r="AY281" s="290">
        <v>1433</v>
      </c>
      <c r="AZ281" s="290">
        <v>206</v>
      </c>
      <c r="BA281" s="290">
        <v>108</v>
      </c>
      <c r="BB281" s="290">
        <v>0</v>
      </c>
      <c r="BC281" s="290">
        <v>1423.90338</v>
      </c>
      <c r="BD281" s="290">
        <v>561</v>
      </c>
      <c r="BE281" s="290">
        <v>216517.72899999999</v>
      </c>
      <c r="BF281" s="290">
        <v>0</v>
      </c>
      <c r="BG281" s="290">
        <v>314</v>
      </c>
      <c r="BH281" s="290">
        <v>45</v>
      </c>
      <c r="BI281" s="290">
        <v>2539.3796600000001</v>
      </c>
      <c r="BJ281" s="290">
        <v>0</v>
      </c>
      <c r="BK281" s="290">
        <f t="shared" si="4"/>
        <v>0</v>
      </c>
      <c r="BL281" s="290">
        <v>0</v>
      </c>
      <c r="BM281" s="290">
        <v>0</v>
      </c>
      <c r="BN281" s="290">
        <v>4839</v>
      </c>
      <c r="BO281" s="290">
        <v>1101</v>
      </c>
      <c r="BP281" s="290">
        <v>5</v>
      </c>
      <c r="BQ281" s="290">
        <v>569</v>
      </c>
      <c r="BR281" s="290">
        <v>-3</v>
      </c>
      <c r="BS281" s="290">
        <v>66</v>
      </c>
      <c r="BT281" s="290">
        <v>0</v>
      </c>
      <c r="BU281" s="290">
        <v>0</v>
      </c>
      <c r="BV281" s="290">
        <v>101</v>
      </c>
      <c r="BW281" s="290"/>
      <c r="BX281" s="290"/>
      <c r="BY281" s="290"/>
    </row>
    <row r="282" spans="1:77" ht="13">
      <c r="A282" s="1">
        <v>4651</v>
      </c>
      <c r="B282" s="2" t="s">
        <v>83</v>
      </c>
      <c r="C282" s="289">
        <v>7130</v>
      </c>
      <c r="D282" s="290">
        <v>130</v>
      </c>
      <c r="E282" s="290">
        <v>316</v>
      </c>
      <c r="F282" s="290">
        <v>943</v>
      </c>
      <c r="G282" s="290">
        <v>681</v>
      </c>
      <c r="H282" s="290">
        <v>3814</v>
      </c>
      <c r="I282" s="290">
        <v>883</v>
      </c>
      <c r="J282" s="290">
        <v>299</v>
      </c>
      <c r="K282" s="290">
        <v>83</v>
      </c>
      <c r="L282" s="290">
        <v>56</v>
      </c>
      <c r="M282" s="290">
        <v>532</v>
      </c>
      <c r="N282" s="290">
        <v>93</v>
      </c>
      <c r="O282" s="290">
        <v>128</v>
      </c>
      <c r="P282" s="624">
        <v>73722.946333329994</v>
      </c>
      <c r="Q282" s="624">
        <v>23238.282666669998</v>
      </c>
      <c r="R282" s="624">
        <v>37</v>
      </c>
      <c r="S282" s="290">
        <v>0</v>
      </c>
      <c r="T282" s="290">
        <v>574</v>
      </c>
      <c r="U282" s="958">
        <v>5.7116354949744734E-3</v>
      </c>
      <c r="V282" s="290">
        <v>3632.5103548100001</v>
      </c>
      <c r="W282" s="765">
        <v>0.78798785999999998</v>
      </c>
      <c r="X282" s="290">
        <v>0</v>
      </c>
      <c r="Y282" s="290">
        <v>427.12680399999999</v>
      </c>
      <c r="Z282" s="290">
        <v>188692</v>
      </c>
      <c r="AA282" s="290">
        <v>0</v>
      </c>
      <c r="AB282" s="290">
        <v>82</v>
      </c>
      <c r="AC282" s="290">
        <v>1349.2529999999999</v>
      </c>
      <c r="AD282" s="290">
        <v>333</v>
      </c>
      <c r="AE282" s="290">
        <v>0</v>
      </c>
      <c r="AF282" s="290">
        <v>0</v>
      </c>
      <c r="AG282" s="290">
        <v>7149</v>
      </c>
      <c r="AH282" s="290">
        <v>1282.5104472099999</v>
      </c>
      <c r="AI282" s="290">
        <v>0</v>
      </c>
      <c r="AJ282" s="290">
        <v>0</v>
      </c>
      <c r="AK282" s="290">
        <v>0</v>
      </c>
      <c r="AL282" s="290">
        <v>0</v>
      </c>
      <c r="AM282" s="957">
        <v>7.8809660000000004E-2</v>
      </c>
      <c r="AN282" s="290">
        <v>0</v>
      </c>
      <c r="AO282" s="290">
        <v>-1085.91869</v>
      </c>
      <c r="AP282" s="290">
        <v>0</v>
      </c>
      <c r="AQ282" s="290">
        <v>0</v>
      </c>
      <c r="AR282" s="290">
        <v>-52.832782399999999</v>
      </c>
      <c r="AS282" s="290">
        <v>826</v>
      </c>
      <c r="AT282" s="290">
        <v>251</v>
      </c>
      <c r="AU282" s="290">
        <v>48</v>
      </c>
      <c r="AV282" s="766">
        <v>226029</v>
      </c>
      <c r="AW282" s="290">
        <v>2865.6619999999998</v>
      </c>
      <c r="AX282" s="766">
        <v>30.666699999999999</v>
      </c>
      <c r="AY282" s="290">
        <v>1338</v>
      </c>
      <c r="AZ282" s="290">
        <v>336</v>
      </c>
      <c r="BA282" s="290">
        <v>129</v>
      </c>
      <c r="BB282" s="290">
        <v>0</v>
      </c>
      <c r="BC282" s="290">
        <v>1696.5285100000001</v>
      </c>
      <c r="BD282" s="290">
        <v>669</v>
      </c>
      <c r="BE282" s="290">
        <v>228320.96400000001</v>
      </c>
      <c r="BF282" s="290">
        <v>0</v>
      </c>
      <c r="BG282" s="290">
        <v>365</v>
      </c>
      <c r="BH282" s="290">
        <v>52</v>
      </c>
      <c r="BI282" s="290">
        <v>3058.8902499999999</v>
      </c>
      <c r="BJ282" s="290">
        <v>0</v>
      </c>
      <c r="BK282" s="290">
        <f t="shared" si="4"/>
        <v>0</v>
      </c>
      <c r="BL282" s="290">
        <v>0</v>
      </c>
      <c r="BM282" s="290">
        <v>0</v>
      </c>
      <c r="BN282" s="290">
        <v>5556</v>
      </c>
      <c r="BO282" s="290">
        <v>1321</v>
      </c>
      <c r="BP282" s="290">
        <v>6</v>
      </c>
      <c r="BQ282" s="290">
        <v>699</v>
      </c>
      <c r="BR282" s="290">
        <v>-3</v>
      </c>
      <c r="BS282" s="290">
        <v>105</v>
      </c>
      <c r="BT282" s="290">
        <v>0</v>
      </c>
      <c r="BU282" s="290">
        <v>0</v>
      </c>
      <c r="BV282" s="290">
        <v>117</v>
      </c>
      <c r="BW282" s="290"/>
      <c r="BX282" s="290"/>
      <c r="BY282" s="290"/>
    </row>
    <row r="283" spans="1:77" ht="13">
      <c r="A283" s="1">
        <v>5001</v>
      </c>
      <c r="B283" s="2" t="s">
        <v>118</v>
      </c>
      <c r="C283" s="289">
        <v>205163</v>
      </c>
      <c r="D283" s="290">
        <v>4359</v>
      </c>
      <c r="E283" s="290">
        <v>9211</v>
      </c>
      <c r="F283" s="290">
        <v>22982</v>
      </c>
      <c r="G283" s="290">
        <v>18184</v>
      </c>
      <c r="H283" s="290">
        <v>122419</v>
      </c>
      <c r="I283" s="290">
        <v>19083</v>
      </c>
      <c r="J283" s="290">
        <v>5425</v>
      </c>
      <c r="K283" s="290">
        <v>1397</v>
      </c>
      <c r="L283" s="290">
        <v>1464</v>
      </c>
      <c r="M283" s="290">
        <v>11541</v>
      </c>
      <c r="N283" s="290">
        <v>5243</v>
      </c>
      <c r="O283" s="290">
        <v>1531</v>
      </c>
      <c r="P283" s="624">
        <v>426985.16233333002</v>
      </c>
      <c r="Q283" s="624">
        <v>173632.64566667</v>
      </c>
      <c r="R283" s="624">
        <v>616</v>
      </c>
      <c r="S283" s="290">
        <v>4108</v>
      </c>
      <c r="T283" s="290">
        <v>18450</v>
      </c>
      <c r="U283" s="958">
        <v>5.5283796281683402E-3</v>
      </c>
      <c r="V283" s="290">
        <v>-25025.11723236</v>
      </c>
      <c r="W283" s="765">
        <v>0.53114907</v>
      </c>
      <c r="X283" s="290">
        <v>1860</v>
      </c>
      <c r="Y283" s="290">
        <v>5979.7752559999999</v>
      </c>
      <c r="Z283" s="290">
        <v>6382243</v>
      </c>
      <c r="AA283" s="290">
        <v>0</v>
      </c>
      <c r="AB283" s="290">
        <v>4068</v>
      </c>
      <c r="AC283" s="290">
        <v>32349.919999999998</v>
      </c>
      <c r="AD283" s="290">
        <v>1000</v>
      </c>
      <c r="AE283" s="290">
        <v>11846</v>
      </c>
      <c r="AF283" s="290">
        <v>14712.8544</v>
      </c>
      <c r="AG283" s="290">
        <v>203060</v>
      </c>
      <c r="AH283" s="290">
        <v>32757.514584830002</v>
      </c>
      <c r="AI283" s="290">
        <v>44355</v>
      </c>
      <c r="AJ283" s="290">
        <v>0</v>
      </c>
      <c r="AK283" s="290">
        <v>0</v>
      </c>
      <c r="AL283" s="290">
        <v>0</v>
      </c>
      <c r="AM283" s="957">
        <v>4.0750645800000003</v>
      </c>
      <c r="AN283" s="290">
        <v>0</v>
      </c>
      <c r="AO283" s="290">
        <v>-25424.290799999999</v>
      </c>
      <c r="AP283" s="290">
        <v>77456</v>
      </c>
      <c r="AQ283" s="290">
        <v>0</v>
      </c>
      <c r="AR283" s="290">
        <v>-10937.9211</v>
      </c>
      <c r="AS283" s="290">
        <v>38637</v>
      </c>
      <c r="AT283" s="290">
        <v>8928</v>
      </c>
      <c r="AU283" s="290">
        <v>2132</v>
      </c>
      <c r="AV283" s="766">
        <v>4105347</v>
      </c>
      <c r="AW283" s="290">
        <v>66480</v>
      </c>
      <c r="AX283" s="766">
        <v>1610.8334</v>
      </c>
      <c r="AY283" s="290">
        <v>69236</v>
      </c>
      <c r="AZ283" s="290">
        <v>8756</v>
      </c>
      <c r="BA283" s="290">
        <v>4122</v>
      </c>
      <c r="BB283" s="290">
        <v>0</v>
      </c>
      <c r="BC283" s="290">
        <v>48846.743499999997</v>
      </c>
      <c r="BD283" s="290">
        <v>16255</v>
      </c>
      <c r="BE283" s="290">
        <v>4283098.87</v>
      </c>
      <c r="BF283" s="290">
        <v>0</v>
      </c>
      <c r="BG283" s="290">
        <v>7901</v>
      </c>
      <c r="BH283" s="290">
        <v>1128</v>
      </c>
      <c r="BI283" s="290">
        <v>89757.664199999999</v>
      </c>
      <c r="BJ283" s="290">
        <v>0</v>
      </c>
      <c r="BK283" s="290">
        <f t="shared" si="4"/>
        <v>0</v>
      </c>
      <c r="BL283" s="290">
        <v>0</v>
      </c>
      <c r="BM283" s="290">
        <v>0</v>
      </c>
      <c r="BN283" s="290">
        <v>130085</v>
      </c>
      <c r="BO283" s="290">
        <v>38172</v>
      </c>
      <c r="BP283" s="290">
        <v>199</v>
      </c>
      <c r="BQ283" s="290">
        <v>20647</v>
      </c>
      <c r="BR283" s="290">
        <v>-95</v>
      </c>
      <c r="BS283" s="290">
        <v>1784</v>
      </c>
      <c r="BT283" s="290">
        <v>3957.6</v>
      </c>
      <c r="BU283" s="290">
        <v>0</v>
      </c>
      <c r="BV283" s="290">
        <v>2540</v>
      </c>
      <c r="BW283" s="290"/>
      <c r="BX283" s="290"/>
      <c r="BY283" s="290"/>
    </row>
    <row r="284" spans="1:77" ht="13">
      <c r="A284" s="1">
        <v>5006</v>
      </c>
      <c r="B284" s="2" t="s">
        <v>1640</v>
      </c>
      <c r="C284" s="289">
        <v>24357</v>
      </c>
      <c r="D284" s="290">
        <v>458</v>
      </c>
      <c r="E284" s="290">
        <v>1017</v>
      </c>
      <c r="F284" s="290">
        <v>2898</v>
      </c>
      <c r="G284" s="290">
        <v>2115</v>
      </c>
      <c r="H284" s="290">
        <v>13278</v>
      </c>
      <c r="I284" s="290">
        <v>3242</v>
      </c>
      <c r="J284" s="290">
        <v>1117</v>
      </c>
      <c r="K284" s="290">
        <v>277</v>
      </c>
      <c r="L284" s="290">
        <v>181</v>
      </c>
      <c r="M284" s="290">
        <v>2028</v>
      </c>
      <c r="N284" s="290">
        <v>370</v>
      </c>
      <c r="O284" s="290">
        <v>209</v>
      </c>
      <c r="P284" s="624">
        <v>124808.99933332999</v>
      </c>
      <c r="Q284" s="624">
        <v>57967.832666670001</v>
      </c>
      <c r="R284" s="624">
        <v>90</v>
      </c>
      <c r="S284" s="290">
        <v>0</v>
      </c>
      <c r="T284" s="290">
        <v>1910</v>
      </c>
      <c r="U284" s="958">
        <v>1.1766075896421556E-2</v>
      </c>
      <c r="V284" s="290">
        <v>-725.56533245000003</v>
      </c>
      <c r="W284" s="765">
        <v>0.62743687000000004</v>
      </c>
      <c r="X284" s="290">
        <v>1330</v>
      </c>
      <c r="Y284" s="290">
        <v>1708.507216</v>
      </c>
      <c r="Z284" s="290">
        <v>573972</v>
      </c>
      <c r="AA284" s="290">
        <v>0</v>
      </c>
      <c r="AB284" s="290">
        <v>599</v>
      </c>
      <c r="AC284" s="290">
        <v>3782.0720000000001</v>
      </c>
      <c r="AD284" s="290">
        <v>333</v>
      </c>
      <c r="AE284" s="290">
        <v>0</v>
      </c>
      <c r="AF284" s="290">
        <v>15201.0537</v>
      </c>
      <c r="AG284" s="290">
        <v>24402</v>
      </c>
      <c r="AH284" s="290">
        <v>4036.2208719099999</v>
      </c>
      <c r="AI284" s="290">
        <v>3000</v>
      </c>
      <c r="AJ284" s="290">
        <v>0</v>
      </c>
      <c r="AK284" s="290">
        <v>371.45499999999998</v>
      </c>
      <c r="AL284" s="290">
        <v>0</v>
      </c>
      <c r="AM284" s="957">
        <v>0.48088481</v>
      </c>
      <c r="AN284" s="290">
        <v>17674</v>
      </c>
      <c r="AO284" s="290">
        <v>-3442.9233199999999</v>
      </c>
      <c r="AP284" s="290">
        <v>0</v>
      </c>
      <c r="AQ284" s="290">
        <v>-1655.57</v>
      </c>
      <c r="AR284" s="290">
        <v>-1314.4250500000001</v>
      </c>
      <c r="AS284" s="290">
        <v>6496</v>
      </c>
      <c r="AT284" s="290">
        <v>1151</v>
      </c>
      <c r="AU284" s="290">
        <v>262</v>
      </c>
      <c r="AV284" s="766">
        <v>682639</v>
      </c>
      <c r="AW284" s="290">
        <v>4834</v>
      </c>
      <c r="AX284" s="766">
        <v>169.47370000000001</v>
      </c>
      <c r="AY284" s="290">
        <v>5282</v>
      </c>
      <c r="AZ284" s="290">
        <v>955</v>
      </c>
      <c r="BA284" s="290">
        <v>566</v>
      </c>
      <c r="BB284" s="290">
        <v>0</v>
      </c>
      <c r="BC284" s="290">
        <v>10315.3791</v>
      </c>
      <c r="BD284" s="290">
        <v>2014</v>
      </c>
      <c r="BE284" s="290">
        <v>699323.65300000005</v>
      </c>
      <c r="BF284" s="290">
        <v>0</v>
      </c>
      <c r="BG284" s="290">
        <v>1115</v>
      </c>
      <c r="BH284" s="290">
        <v>159</v>
      </c>
      <c r="BI284" s="290">
        <v>25099.308799999999</v>
      </c>
      <c r="BJ284" s="290">
        <v>0</v>
      </c>
      <c r="BK284" s="290">
        <f t="shared" si="4"/>
        <v>0</v>
      </c>
      <c r="BL284" s="290">
        <v>0</v>
      </c>
      <c r="BM284" s="290">
        <v>4920</v>
      </c>
      <c r="BN284" s="290">
        <v>17616</v>
      </c>
      <c r="BO284" s="290">
        <v>4278</v>
      </c>
      <c r="BP284" s="290">
        <v>21</v>
      </c>
      <c r="BQ284" s="290">
        <v>2380</v>
      </c>
      <c r="BR284" s="290">
        <v>-11</v>
      </c>
      <c r="BS284" s="290">
        <v>379</v>
      </c>
      <c r="BT284" s="290">
        <v>0</v>
      </c>
      <c r="BU284" s="290">
        <v>0</v>
      </c>
      <c r="BV284" s="290">
        <v>359</v>
      </c>
      <c r="BW284" s="290"/>
      <c r="BX284" s="290"/>
      <c r="BY284" s="290"/>
    </row>
    <row r="285" spans="1:77" ht="13">
      <c r="A285" s="1">
        <v>5007</v>
      </c>
      <c r="B285" s="2" t="s">
        <v>1641</v>
      </c>
      <c r="C285" s="289">
        <v>15230</v>
      </c>
      <c r="D285" s="290">
        <v>283</v>
      </c>
      <c r="E285" s="290">
        <v>656</v>
      </c>
      <c r="F285" s="290">
        <v>1894</v>
      </c>
      <c r="G285" s="290">
        <v>1512</v>
      </c>
      <c r="H285" s="290">
        <v>8220</v>
      </c>
      <c r="I285" s="290">
        <v>1967</v>
      </c>
      <c r="J285" s="290">
        <v>610</v>
      </c>
      <c r="K285" s="290">
        <v>170</v>
      </c>
      <c r="L285" s="290">
        <v>119</v>
      </c>
      <c r="M285" s="290">
        <v>1233</v>
      </c>
      <c r="N285" s="290">
        <v>261</v>
      </c>
      <c r="O285" s="290">
        <v>134</v>
      </c>
      <c r="P285" s="624">
        <v>94017.561666669993</v>
      </c>
      <c r="Q285" s="624">
        <v>36075.443333329997</v>
      </c>
      <c r="R285" s="624">
        <v>86</v>
      </c>
      <c r="S285" s="290">
        <v>0</v>
      </c>
      <c r="T285" s="290">
        <v>1130</v>
      </c>
      <c r="U285" s="958">
        <v>4.4495934007576041E-3</v>
      </c>
      <c r="V285" s="290">
        <v>971.22636141999999</v>
      </c>
      <c r="W285" s="765">
        <v>0.64994746999999997</v>
      </c>
      <c r="X285" s="290">
        <v>170</v>
      </c>
      <c r="Y285" s="290">
        <v>1152.0765160000001</v>
      </c>
      <c r="Z285" s="290">
        <v>379162</v>
      </c>
      <c r="AA285" s="290">
        <v>0</v>
      </c>
      <c r="AB285" s="290">
        <v>395</v>
      </c>
      <c r="AC285" s="290">
        <v>2544.2289999999998</v>
      </c>
      <c r="AD285" s="290">
        <v>333</v>
      </c>
      <c r="AE285" s="290">
        <v>0</v>
      </c>
      <c r="AF285" s="290">
        <v>41630.690300000002</v>
      </c>
      <c r="AG285" s="290">
        <v>15312</v>
      </c>
      <c r="AH285" s="290">
        <v>2679.9696887300001</v>
      </c>
      <c r="AI285" s="290">
        <v>1650</v>
      </c>
      <c r="AJ285" s="290">
        <v>0</v>
      </c>
      <c r="AK285" s="290">
        <v>9.0020000000000007</v>
      </c>
      <c r="AL285" s="290">
        <v>27805</v>
      </c>
      <c r="AM285" s="957">
        <v>0.2083766</v>
      </c>
      <c r="AN285" s="290">
        <v>0</v>
      </c>
      <c r="AO285" s="290">
        <v>-2224.6326600000002</v>
      </c>
      <c r="AP285" s="290">
        <v>0</v>
      </c>
      <c r="AQ285" s="290">
        <v>1260.21</v>
      </c>
      <c r="AR285" s="290">
        <v>-824.78798099999995</v>
      </c>
      <c r="AS285" s="290">
        <v>3064</v>
      </c>
      <c r="AT285" s="290">
        <v>761</v>
      </c>
      <c r="AU285" s="290">
        <v>108</v>
      </c>
      <c r="AV285" s="766">
        <v>501758</v>
      </c>
      <c r="AW285" s="290">
        <v>2699</v>
      </c>
      <c r="AX285" s="766">
        <v>98.916700000000006</v>
      </c>
      <c r="AY285" s="290">
        <v>3365</v>
      </c>
      <c r="AZ285" s="290">
        <v>597</v>
      </c>
      <c r="BA285" s="290">
        <v>386</v>
      </c>
      <c r="BB285" s="290">
        <v>0</v>
      </c>
      <c r="BC285" s="290">
        <v>7992.8842199999999</v>
      </c>
      <c r="BD285" s="290">
        <v>1298</v>
      </c>
      <c r="BE285" s="290">
        <v>515465.78399999999</v>
      </c>
      <c r="BF285" s="290">
        <v>0</v>
      </c>
      <c r="BG285" s="290">
        <v>710</v>
      </c>
      <c r="BH285" s="290">
        <v>101</v>
      </c>
      <c r="BI285" s="290">
        <v>48015.967499999999</v>
      </c>
      <c r="BJ285" s="290">
        <v>0</v>
      </c>
      <c r="BK285" s="290">
        <f t="shared" si="4"/>
        <v>0</v>
      </c>
      <c r="BL285" s="290">
        <v>0</v>
      </c>
      <c r="BM285" s="290">
        <v>4299</v>
      </c>
      <c r="BN285" s="290">
        <v>11382</v>
      </c>
      <c r="BO285" s="290">
        <v>2754</v>
      </c>
      <c r="BP285" s="290">
        <v>13</v>
      </c>
      <c r="BQ285" s="290">
        <v>1488</v>
      </c>
      <c r="BR285" s="290">
        <v>-7</v>
      </c>
      <c r="BS285" s="290">
        <v>223</v>
      </c>
      <c r="BT285" s="290">
        <v>0</v>
      </c>
      <c r="BU285" s="290">
        <v>0</v>
      </c>
      <c r="BV285" s="290">
        <v>228</v>
      </c>
      <c r="BW285" s="290"/>
      <c r="BX285" s="290"/>
      <c r="BY285" s="290"/>
    </row>
    <row r="286" spans="1:77" ht="13">
      <c r="A286" s="1">
        <v>5014</v>
      </c>
      <c r="B286" s="2" t="s">
        <v>122</v>
      </c>
      <c r="C286" s="289">
        <v>5151</v>
      </c>
      <c r="D286" s="290">
        <v>117</v>
      </c>
      <c r="E286" s="290">
        <v>250</v>
      </c>
      <c r="F286" s="290">
        <v>534</v>
      </c>
      <c r="G286" s="290">
        <v>403</v>
      </c>
      <c r="H286" s="290">
        <v>3062</v>
      </c>
      <c r="I286" s="290">
        <v>515</v>
      </c>
      <c r="J286" s="290">
        <v>187</v>
      </c>
      <c r="K286" s="290">
        <v>48</v>
      </c>
      <c r="L286" s="290">
        <v>40</v>
      </c>
      <c r="M286" s="290">
        <v>334</v>
      </c>
      <c r="N286" s="290">
        <v>11</v>
      </c>
      <c r="O286" s="290">
        <v>83</v>
      </c>
      <c r="P286" s="624">
        <v>62662.081333330003</v>
      </c>
      <c r="Q286" s="624">
        <v>20327.453666670001</v>
      </c>
      <c r="R286" s="624">
        <v>21</v>
      </c>
      <c r="S286" s="290">
        <v>0</v>
      </c>
      <c r="T286" s="290">
        <v>427</v>
      </c>
      <c r="U286" s="958">
        <v>1.4295423894070821E-3</v>
      </c>
      <c r="V286" s="290">
        <v>2458.4932986600002</v>
      </c>
      <c r="W286" s="765">
        <v>0.83798980999999995</v>
      </c>
      <c r="X286" s="290">
        <v>0</v>
      </c>
      <c r="Y286" s="290">
        <v>427.12680399999999</v>
      </c>
      <c r="Z286" s="290">
        <v>389526</v>
      </c>
      <c r="AA286" s="290">
        <v>0</v>
      </c>
      <c r="AB286" s="290">
        <v>91</v>
      </c>
      <c r="AC286" s="290">
        <v>753.39</v>
      </c>
      <c r="AD286" s="290">
        <v>333</v>
      </c>
      <c r="AE286" s="290">
        <v>0</v>
      </c>
      <c r="AF286" s="290">
        <v>0</v>
      </c>
      <c r="AG286" s="290">
        <v>5116</v>
      </c>
      <c r="AH286" s="290">
        <v>812.59399248</v>
      </c>
      <c r="AI286" s="290">
        <v>0</v>
      </c>
      <c r="AJ286" s="290">
        <v>0</v>
      </c>
      <c r="AK286" s="290">
        <v>0</v>
      </c>
      <c r="AL286" s="290">
        <v>0</v>
      </c>
      <c r="AM286" s="957">
        <v>0.13167411000000001</v>
      </c>
      <c r="AN286" s="290">
        <v>0</v>
      </c>
      <c r="AO286" s="290">
        <v>-734.95284700000002</v>
      </c>
      <c r="AP286" s="290">
        <v>0</v>
      </c>
      <c r="AQ286" s="290">
        <v>0</v>
      </c>
      <c r="AR286" s="290">
        <v>-275.57571300000001</v>
      </c>
      <c r="AS286" s="290">
        <v>821</v>
      </c>
      <c r="AT286" s="290">
        <v>250</v>
      </c>
      <c r="AU286" s="290">
        <v>76</v>
      </c>
      <c r="AV286" s="766">
        <v>141527</v>
      </c>
      <c r="AW286" s="290">
        <v>849</v>
      </c>
      <c r="AX286" s="766">
        <v>44.750050000000002</v>
      </c>
      <c r="AY286" s="290">
        <v>716</v>
      </c>
      <c r="AZ286" s="290">
        <v>178</v>
      </c>
      <c r="BA286" s="290">
        <v>121</v>
      </c>
      <c r="BB286" s="290">
        <v>0</v>
      </c>
      <c r="BC286" s="290">
        <v>1193.8105700000001</v>
      </c>
      <c r="BD286" s="290">
        <v>515</v>
      </c>
      <c r="BE286" s="290">
        <v>146192.965</v>
      </c>
      <c r="BF286" s="290">
        <v>0</v>
      </c>
      <c r="BG286" s="290">
        <v>264</v>
      </c>
      <c r="BH286" s="290">
        <v>38</v>
      </c>
      <c r="BI286" s="290">
        <v>1993.1107999999999</v>
      </c>
      <c r="BJ286" s="290">
        <v>0</v>
      </c>
      <c r="BK286" s="290">
        <f t="shared" si="4"/>
        <v>0</v>
      </c>
      <c r="BL286" s="290">
        <v>0</v>
      </c>
      <c r="BM286" s="290">
        <v>0</v>
      </c>
      <c r="BN286" s="290">
        <v>3760</v>
      </c>
      <c r="BO286" s="290">
        <v>974</v>
      </c>
      <c r="BP286" s="290">
        <v>5</v>
      </c>
      <c r="BQ286" s="290">
        <v>564</v>
      </c>
      <c r="BR286" s="290">
        <v>-2</v>
      </c>
      <c r="BS286" s="290">
        <v>50</v>
      </c>
      <c r="BT286" s="290">
        <v>0</v>
      </c>
      <c r="BU286" s="290">
        <v>0</v>
      </c>
      <c r="BV286" s="290">
        <v>85</v>
      </c>
      <c r="BW286" s="290"/>
      <c r="BX286" s="290"/>
      <c r="BY286" s="290"/>
    </row>
    <row r="287" spans="1:77" ht="13">
      <c r="A287" s="1">
        <v>5020</v>
      </c>
      <c r="B287" s="2" t="s">
        <v>129</v>
      </c>
      <c r="C287" s="289">
        <v>948</v>
      </c>
      <c r="D287" s="290">
        <v>13</v>
      </c>
      <c r="E287" s="290">
        <v>24</v>
      </c>
      <c r="F287" s="290">
        <v>100</v>
      </c>
      <c r="G287" s="290">
        <v>75</v>
      </c>
      <c r="H287" s="290">
        <v>494</v>
      </c>
      <c r="I287" s="290">
        <v>175</v>
      </c>
      <c r="J287" s="290">
        <v>54</v>
      </c>
      <c r="K287" s="290">
        <v>17</v>
      </c>
      <c r="L287" s="290">
        <v>7</v>
      </c>
      <c r="M287" s="290">
        <v>116</v>
      </c>
      <c r="N287" s="290">
        <v>0</v>
      </c>
      <c r="O287" s="290">
        <v>5</v>
      </c>
      <c r="P287" s="624">
        <v>14884.94266667</v>
      </c>
      <c r="Q287" s="624">
        <v>14055.057000000001</v>
      </c>
      <c r="R287" s="624">
        <v>2</v>
      </c>
      <c r="S287" s="290">
        <v>0</v>
      </c>
      <c r="T287" s="290">
        <v>70</v>
      </c>
      <c r="U287" s="958">
        <v>7.2759983980610118E-4</v>
      </c>
      <c r="V287" s="290">
        <v>617.99516815000004</v>
      </c>
      <c r="W287" s="765">
        <v>1</v>
      </c>
      <c r="X287" s="290">
        <v>0</v>
      </c>
      <c r="Y287" s="290">
        <v>0</v>
      </c>
      <c r="Z287" s="290">
        <v>21980</v>
      </c>
      <c r="AA287" s="290">
        <v>0</v>
      </c>
      <c r="AB287" s="290">
        <v>18</v>
      </c>
      <c r="AC287" s="290">
        <v>205.57900000000001</v>
      </c>
      <c r="AD287" s="290">
        <v>167</v>
      </c>
      <c r="AE287" s="290">
        <v>0</v>
      </c>
      <c r="AF287" s="290">
        <v>0</v>
      </c>
      <c r="AG287" s="290">
        <v>952</v>
      </c>
      <c r="AH287" s="290">
        <v>125.07007179999999</v>
      </c>
      <c r="AI287" s="290">
        <v>0</v>
      </c>
      <c r="AJ287" s="290">
        <v>0</v>
      </c>
      <c r="AK287" s="290">
        <v>0</v>
      </c>
      <c r="AL287" s="290">
        <v>0</v>
      </c>
      <c r="AM287" s="957">
        <v>3.2113900000000002E-3</v>
      </c>
      <c r="AN287" s="290">
        <v>0</v>
      </c>
      <c r="AO287" s="290">
        <v>-184.746206</v>
      </c>
      <c r="AP287" s="290">
        <v>0</v>
      </c>
      <c r="AQ287" s="290">
        <v>0</v>
      </c>
      <c r="AR287" s="290">
        <v>676.73282600000005</v>
      </c>
      <c r="AS287" s="290">
        <v>175</v>
      </c>
      <c r="AT287" s="290">
        <v>40</v>
      </c>
      <c r="AU287" s="290">
        <v>3</v>
      </c>
      <c r="AV287" s="766">
        <v>52673</v>
      </c>
      <c r="AW287" s="290">
        <v>315</v>
      </c>
      <c r="AX287" s="766">
        <v>5.75</v>
      </c>
      <c r="AY287" s="290">
        <v>132</v>
      </c>
      <c r="AZ287" s="290">
        <v>24</v>
      </c>
      <c r="BA287" s="290">
        <v>11</v>
      </c>
      <c r="BB287" s="290">
        <v>5875</v>
      </c>
      <c r="BC287" s="290">
        <v>129.68867800000001</v>
      </c>
      <c r="BD287" s="290">
        <v>203</v>
      </c>
      <c r="BE287" s="290">
        <v>52392.1152</v>
      </c>
      <c r="BF287" s="290">
        <v>0</v>
      </c>
      <c r="BG287" s="290">
        <v>96</v>
      </c>
      <c r="BH287" s="290">
        <v>14</v>
      </c>
      <c r="BI287" s="290">
        <v>330.64907199999999</v>
      </c>
      <c r="BJ287" s="290">
        <v>0</v>
      </c>
      <c r="BK287" s="290">
        <f t="shared" si="4"/>
        <v>0</v>
      </c>
      <c r="BL287" s="290">
        <v>0</v>
      </c>
      <c r="BM287" s="290">
        <v>0</v>
      </c>
      <c r="BN287" s="290">
        <v>945</v>
      </c>
      <c r="BO287" s="290">
        <v>143</v>
      </c>
      <c r="BP287" s="290">
        <v>1</v>
      </c>
      <c r="BQ287" s="290">
        <v>92</v>
      </c>
      <c r="BR287" s="290">
        <v>0</v>
      </c>
      <c r="BS287" s="290">
        <v>50</v>
      </c>
      <c r="BT287" s="290">
        <v>0</v>
      </c>
      <c r="BU287" s="290">
        <v>0</v>
      </c>
      <c r="BV287" s="290">
        <v>31</v>
      </c>
      <c r="BW287" s="290"/>
      <c r="BX287" s="290"/>
      <c r="BY287" s="290"/>
    </row>
    <row r="288" spans="1:77" ht="13">
      <c r="A288" s="1">
        <v>5021</v>
      </c>
      <c r="B288" s="2" t="s">
        <v>130</v>
      </c>
      <c r="C288" s="289">
        <v>7001</v>
      </c>
      <c r="D288" s="290">
        <v>133</v>
      </c>
      <c r="E288" s="290">
        <v>300</v>
      </c>
      <c r="F288" s="290">
        <v>822</v>
      </c>
      <c r="G288" s="290">
        <v>608</v>
      </c>
      <c r="H288" s="290">
        <v>3773</v>
      </c>
      <c r="I288" s="290">
        <v>974</v>
      </c>
      <c r="J288" s="290">
        <v>309</v>
      </c>
      <c r="K288" s="290">
        <v>61</v>
      </c>
      <c r="L288" s="290">
        <v>47</v>
      </c>
      <c r="M288" s="290">
        <v>571</v>
      </c>
      <c r="N288" s="290">
        <v>99</v>
      </c>
      <c r="O288" s="290">
        <v>58</v>
      </c>
      <c r="P288" s="624">
        <v>27715.473000000002</v>
      </c>
      <c r="Q288" s="624">
        <v>16153.299000000001</v>
      </c>
      <c r="R288" s="624">
        <v>23</v>
      </c>
      <c r="S288" s="290">
        <v>0</v>
      </c>
      <c r="T288" s="290">
        <v>530</v>
      </c>
      <c r="U288" s="958">
        <v>4.8141545739250596E-3</v>
      </c>
      <c r="V288" s="290">
        <v>525.50859189000005</v>
      </c>
      <c r="W288" s="765">
        <v>0.60054865999999996</v>
      </c>
      <c r="X288" s="290">
        <v>1240</v>
      </c>
      <c r="Y288" s="290">
        <v>427.12680399999999</v>
      </c>
      <c r="Z288" s="290">
        <v>191241</v>
      </c>
      <c r="AA288" s="290">
        <v>510</v>
      </c>
      <c r="AB288" s="290">
        <v>163</v>
      </c>
      <c r="AC288" s="290">
        <v>1069.316</v>
      </c>
      <c r="AD288" s="290">
        <v>333</v>
      </c>
      <c r="AE288" s="290">
        <v>0</v>
      </c>
      <c r="AF288" s="290">
        <v>0</v>
      </c>
      <c r="AG288" s="290">
        <v>6980</v>
      </c>
      <c r="AH288" s="290">
        <v>1169.7304980700001</v>
      </c>
      <c r="AI288" s="290">
        <v>520</v>
      </c>
      <c r="AJ288" s="290">
        <v>0</v>
      </c>
      <c r="AK288" s="290">
        <v>0</v>
      </c>
      <c r="AL288" s="290">
        <v>0</v>
      </c>
      <c r="AM288" s="957">
        <v>5.1891630000000001E-2</v>
      </c>
      <c r="AN288" s="290">
        <v>9308</v>
      </c>
      <c r="AO288" s="290">
        <v>-973.12643600000001</v>
      </c>
      <c r="AP288" s="290">
        <v>0</v>
      </c>
      <c r="AQ288" s="290">
        <v>0</v>
      </c>
      <c r="AR288" s="290">
        <v>-375.98093699999998</v>
      </c>
      <c r="AS288" s="290">
        <v>1441</v>
      </c>
      <c r="AT288" s="290">
        <v>314</v>
      </c>
      <c r="AU288" s="290">
        <v>40</v>
      </c>
      <c r="AV288" s="766">
        <v>188571</v>
      </c>
      <c r="AW288" s="290">
        <v>2632</v>
      </c>
      <c r="AX288" s="766">
        <v>56.166649999999997</v>
      </c>
      <c r="AY288" s="290">
        <v>1333</v>
      </c>
      <c r="AZ288" s="290">
        <v>201</v>
      </c>
      <c r="BA288" s="290">
        <v>140</v>
      </c>
      <c r="BB288" s="290">
        <v>0</v>
      </c>
      <c r="BC288" s="290">
        <v>1559.1700699999999</v>
      </c>
      <c r="BD288" s="290">
        <v>630</v>
      </c>
      <c r="BE288" s="290">
        <v>195282.84099999999</v>
      </c>
      <c r="BF288" s="290">
        <v>0</v>
      </c>
      <c r="BG288" s="290">
        <v>333</v>
      </c>
      <c r="BH288" s="290">
        <v>48</v>
      </c>
      <c r="BI288" s="290">
        <v>2666.1732999999999</v>
      </c>
      <c r="BJ288" s="290">
        <v>0</v>
      </c>
      <c r="BK288" s="290">
        <f t="shared" si="4"/>
        <v>0</v>
      </c>
      <c r="BL288" s="290">
        <v>0</v>
      </c>
      <c r="BM288" s="290">
        <v>0</v>
      </c>
      <c r="BN288" s="290">
        <v>4979</v>
      </c>
      <c r="BO288" s="290">
        <v>1248</v>
      </c>
      <c r="BP288" s="290">
        <v>6</v>
      </c>
      <c r="BQ288" s="290">
        <v>680</v>
      </c>
      <c r="BR288" s="290">
        <v>-3</v>
      </c>
      <c r="BS288" s="290">
        <v>62</v>
      </c>
      <c r="BT288" s="290">
        <v>0</v>
      </c>
      <c r="BU288" s="290">
        <v>0</v>
      </c>
      <c r="BV288" s="290">
        <v>107</v>
      </c>
      <c r="BW288" s="290"/>
      <c r="BX288" s="290"/>
      <c r="BY288" s="290"/>
    </row>
    <row r="289" spans="1:77" ht="13">
      <c r="A289" s="1">
        <v>5022</v>
      </c>
      <c r="B289" s="2" t="s">
        <v>131</v>
      </c>
      <c r="C289" s="289">
        <v>2486</v>
      </c>
      <c r="D289" s="290">
        <v>54</v>
      </c>
      <c r="E289" s="290">
        <v>97</v>
      </c>
      <c r="F289" s="290">
        <v>273</v>
      </c>
      <c r="G289" s="290">
        <v>224</v>
      </c>
      <c r="H289" s="290">
        <v>1267</v>
      </c>
      <c r="I289" s="290">
        <v>418</v>
      </c>
      <c r="J289" s="290">
        <v>126</v>
      </c>
      <c r="K289" s="290">
        <v>33</v>
      </c>
      <c r="L289" s="290">
        <v>21</v>
      </c>
      <c r="M289" s="290">
        <v>227</v>
      </c>
      <c r="N289" s="290">
        <v>11</v>
      </c>
      <c r="O289" s="290">
        <v>30</v>
      </c>
      <c r="P289" s="624">
        <v>22219.508666670001</v>
      </c>
      <c r="Q289" s="624">
        <v>15032.337</v>
      </c>
      <c r="R289" s="624">
        <v>9</v>
      </c>
      <c r="S289" s="290">
        <v>0</v>
      </c>
      <c r="T289" s="290">
        <v>207</v>
      </c>
      <c r="U289" s="958">
        <v>3.1061961070917498E-3</v>
      </c>
      <c r="V289" s="290">
        <v>-1273.3205109800001</v>
      </c>
      <c r="W289" s="765">
        <v>0.92398537000000003</v>
      </c>
      <c r="X289" s="290">
        <v>0</v>
      </c>
      <c r="Y289" s="290">
        <v>427.12680399999999</v>
      </c>
      <c r="Z289" s="290">
        <v>58297</v>
      </c>
      <c r="AA289" s="290">
        <v>0</v>
      </c>
      <c r="AB289" s="290">
        <v>58</v>
      </c>
      <c r="AC289" s="290">
        <v>434.50099999999998</v>
      </c>
      <c r="AD289" s="290">
        <v>167</v>
      </c>
      <c r="AE289" s="290">
        <v>0</v>
      </c>
      <c r="AF289" s="290">
        <v>0</v>
      </c>
      <c r="AG289" s="290">
        <v>2492</v>
      </c>
      <c r="AH289" s="290">
        <v>403.40520266999999</v>
      </c>
      <c r="AI289" s="290">
        <v>150</v>
      </c>
      <c r="AJ289" s="290">
        <v>0</v>
      </c>
      <c r="AK289" s="290">
        <v>17.948</v>
      </c>
      <c r="AL289" s="290">
        <v>0</v>
      </c>
      <c r="AM289" s="957">
        <v>2.3664580000000001E-2</v>
      </c>
      <c r="AN289" s="290">
        <v>0</v>
      </c>
      <c r="AO289" s="290">
        <v>-405.15323699999999</v>
      </c>
      <c r="AP289" s="290">
        <v>0</v>
      </c>
      <c r="AQ289" s="290">
        <v>0</v>
      </c>
      <c r="AR289" s="290">
        <v>-134.23273599999999</v>
      </c>
      <c r="AS289" s="290">
        <v>334</v>
      </c>
      <c r="AT289" s="290">
        <v>109</v>
      </c>
      <c r="AU289" s="290">
        <v>14</v>
      </c>
      <c r="AV289" s="766">
        <v>90957</v>
      </c>
      <c r="AW289" s="290">
        <v>835</v>
      </c>
      <c r="AX289" s="766">
        <v>23.333349999999999</v>
      </c>
      <c r="AY289" s="290">
        <v>363</v>
      </c>
      <c r="AZ289" s="290">
        <v>97</v>
      </c>
      <c r="BA289" s="290">
        <v>48</v>
      </c>
      <c r="BB289" s="290">
        <v>5875</v>
      </c>
      <c r="BC289" s="290">
        <v>802.652782</v>
      </c>
      <c r="BD289" s="290">
        <v>315</v>
      </c>
      <c r="BE289" s="290">
        <v>93789.285099999994</v>
      </c>
      <c r="BF289" s="290">
        <v>0</v>
      </c>
      <c r="BG289" s="290">
        <v>163</v>
      </c>
      <c r="BH289" s="290">
        <v>23</v>
      </c>
      <c r="BI289" s="290">
        <v>1282.98101</v>
      </c>
      <c r="BJ289" s="290">
        <v>0</v>
      </c>
      <c r="BK289" s="290">
        <f t="shared" si="4"/>
        <v>0</v>
      </c>
      <c r="BL289" s="290">
        <v>0</v>
      </c>
      <c r="BM289" s="290">
        <v>0</v>
      </c>
      <c r="BN289" s="290">
        <v>2073</v>
      </c>
      <c r="BO289" s="290">
        <v>434</v>
      </c>
      <c r="BP289" s="290">
        <v>2</v>
      </c>
      <c r="BQ289" s="290">
        <v>243</v>
      </c>
      <c r="BR289" s="290">
        <v>-1</v>
      </c>
      <c r="BS289" s="290">
        <v>50</v>
      </c>
      <c r="BT289" s="290">
        <v>0</v>
      </c>
      <c r="BU289" s="290">
        <v>0</v>
      </c>
      <c r="BV289" s="290">
        <v>52</v>
      </c>
      <c r="BW289" s="290"/>
      <c r="BX289" s="290"/>
      <c r="BY289" s="290"/>
    </row>
    <row r="290" spans="1:77" ht="13">
      <c r="A290" s="1">
        <v>5025</v>
      </c>
      <c r="B290" s="4" t="s">
        <v>134</v>
      </c>
      <c r="C290" s="289">
        <v>5581</v>
      </c>
      <c r="D290" s="290">
        <v>96</v>
      </c>
      <c r="E290" s="290">
        <v>188</v>
      </c>
      <c r="F290" s="290">
        <v>549</v>
      </c>
      <c r="G290" s="290">
        <v>458</v>
      </c>
      <c r="H290" s="290">
        <v>3068</v>
      </c>
      <c r="I290" s="290">
        <v>884</v>
      </c>
      <c r="J290" s="290">
        <v>267</v>
      </c>
      <c r="K290" s="290">
        <v>62</v>
      </c>
      <c r="L290" s="290">
        <v>45</v>
      </c>
      <c r="M290" s="290">
        <v>560</v>
      </c>
      <c r="N290" s="290">
        <v>73</v>
      </c>
      <c r="O290" s="290">
        <v>30</v>
      </c>
      <c r="P290" s="624">
        <v>34200.857000000004</v>
      </c>
      <c r="Q290" s="624">
        <v>17691.41366667</v>
      </c>
      <c r="R290" s="624">
        <v>18</v>
      </c>
      <c r="S290" s="290">
        <v>0</v>
      </c>
      <c r="T290" s="290">
        <v>541</v>
      </c>
      <c r="U290" s="958">
        <v>2.3317123953025473E-3</v>
      </c>
      <c r="V290" s="290">
        <v>2608.8717001099999</v>
      </c>
      <c r="W290" s="765">
        <v>0.67899529000000003</v>
      </c>
      <c r="X290" s="290">
        <v>350</v>
      </c>
      <c r="Y290" s="290">
        <v>427.12680399999999</v>
      </c>
      <c r="Z290" s="290">
        <v>149195</v>
      </c>
      <c r="AA290" s="290">
        <v>60</v>
      </c>
      <c r="AB290" s="290">
        <v>93</v>
      </c>
      <c r="AC290" s="290">
        <v>776.37099999999998</v>
      </c>
      <c r="AD290" s="290">
        <v>333</v>
      </c>
      <c r="AE290" s="290">
        <v>0</v>
      </c>
      <c r="AF290" s="290">
        <v>0</v>
      </c>
      <c r="AG290" s="290">
        <v>5572</v>
      </c>
      <c r="AH290" s="290">
        <v>799.58092142999999</v>
      </c>
      <c r="AI290" s="290">
        <v>890</v>
      </c>
      <c r="AJ290" s="290">
        <v>0</v>
      </c>
      <c r="AK290" s="290">
        <v>0</v>
      </c>
      <c r="AL290" s="290">
        <v>0</v>
      </c>
      <c r="AM290" s="957">
        <v>3.8200690000000002E-2</v>
      </c>
      <c r="AN290" s="290">
        <v>7736</v>
      </c>
      <c r="AO290" s="290">
        <v>-779.90763000000004</v>
      </c>
      <c r="AP290" s="290">
        <v>0</v>
      </c>
      <c r="AQ290" s="290">
        <v>0</v>
      </c>
      <c r="AR290" s="290">
        <v>1505.1990000000001</v>
      </c>
      <c r="AS290" s="290">
        <v>975</v>
      </c>
      <c r="AT290" s="290">
        <v>207</v>
      </c>
      <c r="AU290" s="290">
        <v>33</v>
      </c>
      <c r="AV290" s="766">
        <v>158115</v>
      </c>
      <c r="AW290" s="290">
        <v>1192</v>
      </c>
      <c r="AX290" s="766">
        <v>46.499949999999998</v>
      </c>
      <c r="AY290" s="290">
        <v>1297</v>
      </c>
      <c r="AZ290" s="290">
        <v>176</v>
      </c>
      <c r="BA290" s="290">
        <v>125</v>
      </c>
      <c r="BB290" s="290">
        <v>0</v>
      </c>
      <c r="BC290" s="290">
        <v>1203.5720799999999</v>
      </c>
      <c r="BD290" s="290">
        <v>527</v>
      </c>
      <c r="BE290" s="290">
        <v>158852.10999999999</v>
      </c>
      <c r="BF290" s="290">
        <v>0</v>
      </c>
      <c r="BG290" s="290">
        <v>285</v>
      </c>
      <c r="BH290" s="290">
        <v>41</v>
      </c>
      <c r="BI290" s="290">
        <v>2003.07873</v>
      </c>
      <c r="BJ290" s="290">
        <v>0</v>
      </c>
      <c r="BK290" s="290">
        <f t="shared" si="4"/>
        <v>0</v>
      </c>
      <c r="BL290" s="290">
        <v>0</v>
      </c>
      <c r="BM290" s="290">
        <v>0</v>
      </c>
      <c r="BN290" s="290">
        <v>3990</v>
      </c>
      <c r="BO290" s="290">
        <v>857</v>
      </c>
      <c r="BP290" s="290">
        <v>4</v>
      </c>
      <c r="BQ290" s="290">
        <v>547</v>
      </c>
      <c r="BR290" s="290">
        <v>-3</v>
      </c>
      <c r="BS290" s="290">
        <v>50</v>
      </c>
      <c r="BT290" s="290">
        <v>0</v>
      </c>
      <c r="BU290" s="290">
        <v>0</v>
      </c>
      <c r="BV290" s="290">
        <v>92</v>
      </c>
      <c r="BW290" s="290"/>
      <c r="BX290" s="290"/>
      <c r="BY290" s="290"/>
    </row>
    <row r="291" spans="1:77" ht="13">
      <c r="A291" s="1">
        <v>5026</v>
      </c>
      <c r="B291" s="2" t="s">
        <v>135</v>
      </c>
      <c r="C291" s="289">
        <v>1981</v>
      </c>
      <c r="D291" s="290">
        <v>24</v>
      </c>
      <c r="E291" s="290">
        <v>64</v>
      </c>
      <c r="F291" s="290">
        <v>223</v>
      </c>
      <c r="G291" s="290">
        <v>171</v>
      </c>
      <c r="H291" s="290">
        <v>1062</v>
      </c>
      <c r="I291" s="290">
        <v>344</v>
      </c>
      <c r="J291" s="290">
        <v>104</v>
      </c>
      <c r="K291" s="290">
        <v>16</v>
      </c>
      <c r="L291" s="290">
        <v>20</v>
      </c>
      <c r="M291" s="290">
        <v>200</v>
      </c>
      <c r="N291" s="290">
        <v>1.5</v>
      </c>
      <c r="O291" s="290">
        <v>13</v>
      </c>
      <c r="P291" s="624">
        <v>14676.734</v>
      </c>
      <c r="Q291" s="624">
        <v>4788.4366666699998</v>
      </c>
      <c r="R291" s="624">
        <v>10</v>
      </c>
      <c r="S291" s="290">
        <v>0</v>
      </c>
      <c r="T291" s="290">
        <v>142</v>
      </c>
      <c r="U291" s="958">
        <v>2.1685636796228334E-3</v>
      </c>
      <c r="V291" s="290">
        <v>1081.37827838</v>
      </c>
      <c r="W291" s="765">
        <v>1</v>
      </c>
      <c r="X291" s="290">
        <v>0</v>
      </c>
      <c r="Y291" s="290">
        <v>297.82290799999998</v>
      </c>
      <c r="Z291" s="290">
        <v>45380</v>
      </c>
      <c r="AA291" s="290">
        <v>850</v>
      </c>
      <c r="AB291" s="290">
        <v>52</v>
      </c>
      <c r="AC291" s="290">
        <v>333.18900000000002</v>
      </c>
      <c r="AD291" s="290">
        <v>167</v>
      </c>
      <c r="AE291" s="290">
        <v>0</v>
      </c>
      <c r="AF291" s="290">
        <v>0</v>
      </c>
      <c r="AG291" s="290">
        <v>2008</v>
      </c>
      <c r="AH291" s="290">
        <v>284.11871801000001</v>
      </c>
      <c r="AI291" s="290">
        <v>350</v>
      </c>
      <c r="AJ291" s="290">
        <v>0</v>
      </c>
      <c r="AK291" s="290">
        <v>94.528999999999996</v>
      </c>
      <c r="AL291" s="290">
        <v>0</v>
      </c>
      <c r="AM291" s="957">
        <v>1.8457189999999998E-2</v>
      </c>
      <c r="AN291" s="290">
        <v>0</v>
      </c>
      <c r="AO291" s="290">
        <v>-323.27199899999999</v>
      </c>
      <c r="AP291" s="290">
        <v>0</v>
      </c>
      <c r="AQ291" s="290">
        <v>0</v>
      </c>
      <c r="AR291" s="290">
        <v>-108.161851</v>
      </c>
      <c r="AS291" s="290">
        <v>284</v>
      </c>
      <c r="AT291" s="290">
        <v>71</v>
      </c>
      <c r="AU291" s="290">
        <v>13</v>
      </c>
      <c r="AV291" s="766">
        <v>73425</v>
      </c>
      <c r="AW291" s="290">
        <v>510</v>
      </c>
      <c r="AX291" s="766">
        <v>9.0416500000000006</v>
      </c>
      <c r="AY291" s="290">
        <v>339</v>
      </c>
      <c r="AZ291" s="290">
        <v>82</v>
      </c>
      <c r="BA291" s="290">
        <v>29</v>
      </c>
      <c r="BB291" s="290">
        <v>5875</v>
      </c>
      <c r="BC291" s="290">
        <v>578.22714699999995</v>
      </c>
      <c r="BD291" s="290">
        <v>286</v>
      </c>
      <c r="BE291" s="290">
        <v>77521.040699999998</v>
      </c>
      <c r="BF291" s="290">
        <v>0</v>
      </c>
      <c r="BG291" s="290">
        <v>133</v>
      </c>
      <c r="BH291" s="290">
        <v>19</v>
      </c>
      <c r="BI291" s="290">
        <v>1009.65963</v>
      </c>
      <c r="BJ291" s="290">
        <v>0</v>
      </c>
      <c r="BK291" s="290">
        <f t="shared" si="4"/>
        <v>0</v>
      </c>
      <c r="BL291" s="290">
        <v>0</v>
      </c>
      <c r="BM291" s="290">
        <v>0</v>
      </c>
      <c r="BN291" s="290">
        <v>1654</v>
      </c>
      <c r="BO291" s="290">
        <v>300</v>
      </c>
      <c r="BP291" s="290">
        <v>1</v>
      </c>
      <c r="BQ291" s="290">
        <v>196</v>
      </c>
      <c r="BR291" s="290">
        <v>-1</v>
      </c>
      <c r="BS291" s="290">
        <v>50</v>
      </c>
      <c r="BT291" s="290">
        <v>0</v>
      </c>
      <c r="BU291" s="290">
        <v>0</v>
      </c>
      <c r="BV291" s="290">
        <v>43</v>
      </c>
      <c r="BW291" s="290"/>
      <c r="BX291" s="290"/>
      <c r="BY291" s="290"/>
    </row>
    <row r="292" spans="1:77" ht="13">
      <c r="A292" s="1">
        <v>5027</v>
      </c>
      <c r="B292" s="2" t="s">
        <v>136</v>
      </c>
      <c r="C292" s="289">
        <v>6238</v>
      </c>
      <c r="D292" s="290">
        <v>134</v>
      </c>
      <c r="E292" s="290">
        <v>293</v>
      </c>
      <c r="F292" s="290">
        <v>688</v>
      </c>
      <c r="G292" s="290">
        <v>522</v>
      </c>
      <c r="H292" s="290">
        <v>3488</v>
      </c>
      <c r="I292" s="290">
        <v>785</v>
      </c>
      <c r="J292" s="290">
        <v>278</v>
      </c>
      <c r="K292" s="290">
        <v>68</v>
      </c>
      <c r="L292" s="290">
        <v>48</v>
      </c>
      <c r="M292" s="290">
        <v>508</v>
      </c>
      <c r="N292" s="290">
        <v>53</v>
      </c>
      <c r="O292" s="290">
        <v>44</v>
      </c>
      <c r="P292" s="624">
        <v>104982.12266666999</v>
      </c>
      <c r="Q292" s="624">
        <v>21298.155666670002</v>
      </c>
      <c r="R292" s="624">
        <v>27</v>
      </c>
      <c r="S292" s="290">
        <v>0</v>
      </c>
      <c r="T292" s="290">
        <v>411</v>
      </c>
      <c r="U292" s="958">
        <v>6.1373799081271751E-3</v>
      </c>
      <c r="V292" s="290">
        <v>3105.7721147500001</v>
      </c>
      <c r="W292" s="765">
        <v>0.78650920000000002</v>
      </c>
      <c r="X292" s="290">
        <v>160</v>
      </c>
      <c r="Y292" s="290">
        <v>427.12680399999999</v>
      </c>
      <c r="Z292" s="290">
        <v>143443</v>
      </c>
      <c r="AA292" s="290">
        <v>170</v>
      </c>
      <c r="AB292" s="290">
        <v>126</v>
      </c>
      <c r="AC292" s="290">
        <v>980.42</v>
      </c>
      <c r="AD292" s="290">
        <v>333</v>
      </c>
      <c r="AE292" s="290">
        <v>0</v>
      </c>
      <c r="AF292" s="290">
        <v>0</v>
      </c>
      <c r="AG292" s="290">
        <v>6256</v>
      </c>
      <c r="AH292" s="290">
        <v>1015.7424906</v>
      </c>
      <c r="AI292" s="290">
        <v>800</v>
      </c>
      <c r="AJ292" s="290">
        <v>0</v>
      </c>
      <c r="AK292" s="290">
        <v>0</v>
      </c>
      <c r="AL292" s="290">
        <v>0</v>
      </c>
      <c r="AM292" s="957">
        <v>9.3919240000000001E-2</v>
      </c>
      <c r="AN292" s="290">
        <v>0</v>
      </c>
      <c r="AO292" s="290">
        <v>-928.45323499999995</v>
      </c>
      <c r="AP292" s="290">
        <v>0</v>
      </c>
      <c r="AQ292" s="290">
        <v>0</v>
      </c>
      <c r="AR292" s="290">
        <v>-336.98234100000002</v>
      </c>
      <c r="AS292" s="290">
        <v>1693</v>
      </c>
      <c r="AT292" s="290">
        <v>282</v>
      </c>
      <c r="AU292" s="290">
        <v>61</v>
      </c>
      <c r="AV292" s="766">
        <v>183666</v>
      </c>
      <c r="AW292" s="290">
        <v>1171</v>
      </c>
      <c r="AX292" s="766">
        <v>48.583350000000003</v>
      </c>
      <c r="AY292" s="290">
        <v>870</v>
      </c>
      <c r="AZ292" s="290">
        <v>213</v>
      </c>
      <c r="BA292" s="290">
        <v>102</v>
      </c>
      <c r="BB292" s="290">
        <v>0</v>
      </c>
      <c r="BC292" s="290">
        <v>1408.56386</v>
      </c>
      <c r="BD292" s="290">
        <v>597</v>
      </c>
      <c r="BE292" s="290">
        <v>190906.44399999999</v>
      </c>
      <c r="BF292" s="290">
        <v>0</v>
      </c>
      <c r="BG292" s="290">
        <v>335</v>
      </c>
      <c r="BH292" s="290">
        <v>48</v>
      </c>
      <c r="BI292" s="290">
        <v>2423.2892900000002</v>
      </c>
      <c r="BJ292" s="290">
        <v>0</v>
      </c>
      <c r="BK292" s="290">
        <f t="shared" si="4"/>
        <v>0</v>
      </c>
      <c r="BL292" s="290">
        <v>0</v>
      </c>
      <c r="BM292" s="290">
        <v>0</v>
      </c>
      <c r="BN292" s="290">
        <v>4750</v>
      </c>
      <c r="BO292" s="290">
        <v>1159</v>
      </c>
      <c r="BP292" s="290">
        <v>6</v>
      </c>
      <c r="BQ292" s="290">
        <v>605</v>
      </c>
      <c r="BR292" s="290">
        <v>-3</v>
      </c>
      <c r="BS292" s="290">
        <v>50</v>
      </c>
      <c r="BT292" s="290">
        <v>0</v>
      </c>
      <c r="BU292" s="290">
        <v>0</v>
      </c>
      <c r="BV292" s="290">
        <v>108</v>
      </c>
      <c r="BW292" s="290"/>
      <c r="BX292" s="290"/>
      <c r="BY292" s="290"/>
    </row>
    <row r="293" spans="1:77" ht="13">
      <c r="A293" s="1">
        <v>5028</v>
      </c>
      <c r="B293" s="2" t="s">
        <v>137</v>
      </c>
      <c r="C293" s="289">
        <v>16733</v>
      </c>
      <c r="D293" s="290">
        <v>349</v>
      </c>
      <c r="E293" s="290">
        <v>829</v>
      </c>
      <c r="F293" s="290">
        <v>2201</v>
      </c>
      <c r="G293" s="290">
        <v>1533</v>
      </c>
      <c r="H293" s="290">
        <v>9186</v>
      </c>
      <c r="I293" s="290">
        <v>1834</v>
      </c>
      <c r="J293" s="290">
        <v>567</v>
      </c>
      <c r="K293" s="290">
        <v>129</v>
      </c>
      <c r="L293" s="290">
        <v>117</v>
      </c>
      <c r="M293" s="290">
        <v>1015</v>
      </c>
      <c r="N293" s="290">
        <v>179</v>
      </c>
      <c r="O293" s="290">
        <v>99</v>
      </c>
      <c r="P293" s="624">
        <v>88458.357999999993</v>
      </c>
      <c r="Q293" s="624">
        <v>32001.598999999998</v>
      </c>
      <c r="R293" s="624">
        <v>79</v>
      </c>
      <c r="S293" s="290">
        <v>0</v>
      </c>
      <c r="T293" s="290">
        <v>1055</v>
      </c>
      <c r="U293" s="958">
        <v>5.789198464982619E-3</v>
      </c>
      <c r="V293" s="290">
        <v>392.86389765000001</v>
      </c>
      <c r="W293" s="765">
        <v>0.61568544000000003</v>
      </c>
      <c r="X293" s="290">
        <v>3670</v>
      </c>
      <c r="Y293" s="290">
        <v>427.12680399999999</v>
      </c>
      <c r="Z293" s="290">
        <v>413343</v>
      </c>
      <c r="AA293" s="290">
        <v>430</v>
      </c>
      <c r="AB293" s="290">
        <v>388</v>
      </c>
      <c r="AC293" s="290">
        <v>2758.998</v>
      </c>
      <c r="AD293" s="290">
        <v>333</v>
      </c>
      <c r="AE293" s="290">
        <v>0</v>
      </c>
      <c r="AF293" s="290">
        <v>0</v>
      </c>
      <c r="AG293" s="290">
        <v>16628</v>
      </c>
      <c r="AH293" s="290">
        <v>3103.6174463699999</v>
      </c>
      <c r="AI293" s="290">
        <v>1000</v>
      </c>
      <c r="AJ293" s="290">
        <v>0</v>
      </c>
      <c r="AK293" s="290">
        <v>0</v>
      </c>
      <c r="AL293" s="290">
        <v>0</v>
      </c>
      <c r="AM293" s="957">
        <v>0.23405561</v>
      </c>
      <c r="AN293" s="290">
        <v>0</v>
      </c>
      <c r="AO293" s="290">
        <v>-2323.74395</v>
      </c>
      <c r="AP293" s="290">
        <v>0</v>
      </c>
      <c r="AQ293" s="290">
        <v>0</v>
      </c>
      <c r="AR293" s="290">
        <v>-895.67493200000001</v>
      </c>
      <c r="AS293" s="290">
        <v>3318</v>
      </c>
      <c r="AT293" s="290">
        <v>782</v>
      </c>
      <c r="AU293" s="290">
        <v>149</v>
      </c>
      <c r="AV293" s="766">
        <v>422052</v>
      </c>
      <c r="AW293" s="290">
        <v>3186</v>
      </c>
      <c r="AX293" s="766">
        <v>138.41669999999999</v>
      </c>
      <c r="AY293" s="290">
        <v>3039</v>
      </c>
      <c r="AZ293" s="290">
        <v>551</v>
      </c>
      <c r="BA293" s="290">
        <v>356</v>
      </c>
      <c r="BB293" s="290">
        <v>0</v>
      </c>
      <c r="BC293" s="290">
        <v>3446.6284099999998</v>
      </c>
      <c r="BD293" s="290">
        <v>1402</v>
      </c>
      <c r="BE293" s="290">
        <v>445042.23</v>
      </c>
      <c r="BF293" s="290">
        <v>0</v>
      </c>
      <c r="BG293" s="290">
        <v>734</v>
      </c>
      <c r="BH293" s="290">
        <v>105</v>
      </c>
      <c r="BI293" s="290">
        <v>6289.7422500000002</v>
      </c>
      <c r="BJ293" s="290">
        <v>0</v>
      </c>
      <c r="BK293" s="290">
        <f t="shared" si="4"/>
        <v>0</v>
      </c>
      <c r="BL293" s="290">
        <v>0</v>
      </c>
      <c r="BM293" s="290">
        <v>0</v>
      </c>
      <c r="BN293" s="290">
        <v>11890</v>
      </c>
      <c r="BO293" s="290">
        <v>3322</v>
      </c>
      <c r="BP293" s="290">
        <v>16</v>
      </c>
      <c r="BQ293" s="290">
        <v>1612</v>
      </c>
      <c r="BR293" s="290">
        <v>-8</v>
      </c>
      <c r="BS293" s="290">
        <v>187</v>
      </c>
      <c r="BT293" s="290">
        <v>0</v>
      </c>
      <c r="BU293" s="290">
        <v>0</v>
      </c>
      <c r="BV293" s="290">
        <v>236</v>
      </c>
      <c r="BW293" s="290"/>
      <c r="BX293" s="290"/>
      <c r="BY293" s="290"/>
    </row>
    <row r="294" spans="1:77" ht="13">
      <c r="A294" s="1">
        <v>5029</v>
      </c>
      <c r="B294" s="2" t="s">
        <v>138</v>
      </c>
      <c r="C294" s="289">
        <v>8325</v>
      </c>
      <c r="D294" s="290">
        <v>210</v>
      </c>
      <c r="E294" s="290">
        <v>519</v>
      </c>
      <c r="F294" s="290">
        <v>1265</v>
      </c>
      <c r="G294" s="290">
        <v>642</v>
      </c>
      <c r="H294" s="290">
        <v>4610</v>
      </c>
      <c r="I294" s="290">
        <v>774</v>
      </c>
      <c r="J294" s="290">
        <v>227</v>
      </c>
      <c r="K294" s="290">
        <v>58</v>
      </c>
      <c r="L294" s="290">
        <v>59</v>
      </c>
      <c r="M294" s="290">
        <v>414</v>
      </c>
      <c r="N294" s="290">
        <v>53</v>
      </c>
      <c r="O294" s="290">
        <v>45</v>
      </c>
      <c r="P294" s="624">
        <v>32310.509666670001</v>
      </c>
      <c r="Q294" s="624">
        <v>17043.387999999999</v>
      </c>
      <c r="R294" s="624">
        <v>20</v>
      </c>
      <c r="S294" s="290">
        <v>0</v>
      </c>
      <c r="T294" s="290">
        <v>498</v>
      </c>
      <c r="U294" s="958">
        <v>2.8151629551547218E-3</v>
      </c>
      <c r="V294" s="290">
        <v>2337.4431885600002</v>
      </c>
      <c r="W294" s="765">
        <v>0.62393478000000002</v>
      </c>
      <c r="X294" s="290">
        <v>0</v>
      </c>
      <c r="Y294" s="290">
        <v>427.12680399999999</v>
      </c>
      <c r="Z294" s="290">
        <v>203063</v>
      </c>
      <c r="AA294" s="290">
        <v>0</v>
      </c>
      <c r="AB294" s="290">
        <v>178</v>
      </c>
      <c r="AC294" s="290">
        <v>1487.1389999999999</v>
      </c>
      <c r="AD294" s="290">
        <v>333</v>
      </c>
      <c r="AE294" s="290">
        <v>3021</v>
      </c>
      <c r="AF294" s="290">
        <v>0</v>
      </c>
      <c r="AG294" s="290">
        <v>8305</v>
      </c>
      <c r="AH294" s="290">
        <v>1713.3876887700001</v>
      </c>
      <c r="AI294" s="290">
        <v>1650</v>
      </c>
      <c r="AJ294" s="290">
        <v>0</v>
      </c>
      <c r="AK294" s="290">
        <v>0</v>
      </c>
      <c r="AL294" s="290">
        <v>0</v>
      </c>
      <c r="AM294" s="957">
        <v>8.5984569999999996E-2</v>
      </c>
      <c r="AN294" s="290">
        <v>0</v>
      </c>
      <c r="AO294" s="290">
        <v>-1185.14816</v>
      </c>
      <c r="AP294" s="290">
        <v>0</v>
      </c>
      <c r="AQ294" s="290">
        <v>0</v>
      </c>
      <c r="AR294" s="290">
        <v>-447.35267700000003</v>
      </c>
      <c r="AS294" s="290">
        <v>2094</v>
      </c>
      <c r="AT294" s="290">
        <v>380</v>
      </c>
      <c r="AU294" s="290">
        <v>70</v>
      </c>
      <c r="AV294" s="766">
        <v>219753</v>
      </c>
      <c r="AW294" s="290">
        <v>1525</v>
      </c>
      <c r="AX294" s="766">
        <v>83.624949999999998</v>
      </c>
      <c r="AY294" s="290">
        <v>1739</v>
      </c>
      <c r="AZ294" s="290">
        <v>219</v>
      </c>
      <c r="BA294" s="290">
        <v>173</v>
      </c>
      <c r="BB294" s="290">
        <v>0</v>
      </c>
      <c r="BC294" s="290">
        <v>2047.2457400000001</v>
      </c>
      <c r="BD294" s="290">
        <v>743</v>
      </c>
      <c r="BE294" s="290">
        <v>235908.79300000001</v>
      </c>
      <c r="BF294" s="290">
        <v>0</v>
      </c>
      <c r="BG294" s="290">
        <v>367</v>
      </c>
      <c r="BH294" s="290">
        <v>52</v>
      </c>
      <c r="BI294" s="290">
        <v>3627.6534900000001</v>
      </c>
      <c r="BJ294" s="290">
        <v>0</v>
      </c>
      <c r="BK294" s="290">
        <f t="shared" si="4"/>
        <v>0</v>
      </c>
      <c r="BL294" s="290">
        <v>0</v>
      </c>
      <c r="BM294" s="290">
        <v>0</v>
      </c>
      <c r="BN294" s="290">
        <v>6064</v>
      </c>
      <c r="BO294" s="290">
        <v>2009</v>
      </c>
      <c r="BP294" s="290">
        <v>10</v>
      </c>
      <c r="BQ294" s="290">
        <v>800</v>
      </c>
      <c r="BR294" s="290">
        <v>-4</v>
      </c>
      <c r="BS294" s="290">
        <v>82</v>
      </c>
      <c r="BT294" s="290">
        <v>0</v>
      </c>
      <c r="BU294" s="290">
        <v>0</v>
      </c>
      <c r="BV294" s="290">
        <v>118</v>
      </c>
      <c r="BW294" s="290"/>
      <c r="BX294" s="290"/>
      <c r="BY294" s="290"/>
    </row>
    <row r="295" spans="1:77" ht="13">
      <c r="A295" s="1">
        <v>5031</v>
      </c>
      <c r="B295" s="2" t="s">
        <v>141</v>
      </c>
      <c r="C295" s="289">
        <v>14148</v>
      </c>
      <c r="D295" s="290">
        <v>320</v>
      </c>
      <c r="E295" s="290">
        <v>745</v>
      </c>
      <c r="F295" s="290">
        <v>1996</v>
      </c>
      <c r="G295" s="290">
        <v>1294</v>
      </c>
      <c r="H295" s="290">
        <v>7989</v>
      </c>
      <c r="I295" s="290">
        <v>1293</v>
      </c>
      <c r="J295" s="290">
        <v>368</v>
      </c>
      <c r="K295" s="290">
        <v>77</v>
      </c>
      <c r="L295" s="290">
        <v>92</v>
      </c>
      <c r="M295" s="290">
        <v>600</v>
      </c>
      <c r="N295" s="290">
        <v>168</v>
      </c>
      <c r="O295" s="290">
        <v>107</v>
      </c>
      <c r="P295" s="624">
        <v>28713.716333330001</v>
      </c>
      <c r="Q295" s="624">
        <v>20488.488333329999</v>
      </c>
      <c r="R295" s="624">
        <v>53</v>
      </c>
      <c r="S295" s="290">
        <v>0</v>
      </c>
      <c r="T295" s="290">
        <v>890</v>
      </c>
      <c r="U295" s="958">
        <v>1.3424122996416319E-3</v>
      </c>
      <c r="V295" s="290">
        <v>2761.7729135899999</v>
      </c>
      <c r="W295" s="765">
        <v>0.55920464000000003</v>
      </c>
      <c r="X295" s="290">
        <v>0</v>
      </c>
      <c r="Y295" s="290">
        <v>0</v>
      </c>
      <c r="Z295" s="290">
        <v>408135</v>
      </c>
      <c r="AA295" s="290">
        <v>1190</v>
      </c>
      <c r="AB295" s="290">
        <v>314</v>
      </c>
      <c r="AC295" s="290">
        <v>2495.2959999999998</v>
      </c>
      <c r="AD295" s="290">
        <v>333</v>
      </c>
      <c r="AE295" s="290">
        <v>0</v>
      </c>
      <c r="AF295" s="290">
        <v>0</v>
      </c>
      <c r="AG295" s="290">
        <v>14082</v>
      </c>
      <c r="AH295" s="290">
        <v>2775.3988764599999</v>
      </c>
      <c r="AI295" s="290">
        <v>1300</v>
      </c>
      <c r="AJ295" s="290">
        <v>0</v>
      </c>
      <c r="AK295" s="290">
        <v>0</v>
      </c>
      <c r="AL295" s="290">
        <v>0</v>
      </c>
      <c r="AM295" s="957">
        <v>0.22244137999999999</v>
      </c>
      <c r="AN295" s="290">
        <v>0</v>
      </c>
      <c r="AO295" s="290">
        <v>-1889.0515700000001</v>
      </c>
      <c r="AP295" s="290">
        <v>0</v>
      </c>
      <c r="AQ295" s="290">
        <v>0</v>
      </c>
      <c r="AR295" s="290">
        <v>-758.53346099999999</v>
      </c>
      <c r="AS295" s="290">
        <v>3894</v>
      </c>
      <c r="AT295" s="290">
        <v>700</v>
      </c>
      <c r="AU295" s="290">
        <v>145</v>
      </c>
      <c r="AV295" s="766">
        <v>330775</v>
      </c>
      <c r="AW295" s="290">
        <v>3095</v>
      </c>
      <c r="AX295" s="766">
        <v>129.16665</v>
      </c>
      <c r="AY295" s="290">
        <v>3747</v>
      </c>
      <c r="AZ295" s="290">
        <v>432</v>
      </c>
      <c r="BA295" s="290">
        <v>262</v>
      </c>
      <c r="BB295" s="290">
        <v>0</v>
      </c>
      <c r="BC295" s="290">
        <v>2692.7831900000001</v>
      </c>
      <c r="BD295" s="290">
        <v>1196</v>
      </c>
      <c r="BE295" s="290">
        <v>344609.08</v>
      </c>
      <c r="BF295" s="290">
        <v>0</v>
      </c>
      <c r="BG295" s="290">
        <v>582</v>
      </c>
      <c r="BH295" s="290">
        <v>83</v>
      </c>
      <c r="BI295" s="290">
        <v>5270.69488</v>
      </c>
      <c r="BJ295" s="290">
        <v>0</v>
      </c>
      <c r="BK295" s="290">
        <f t="shared" si="4"/>
        <v>0</v>
      </c>
      <c r="BL295" s="290">
        <v>0</v>
      </c>
      <c r="BM295" s="290">
        <v>0</v>
      </c>
      <c r="BN295" s="290">
        <v>9665</v>
      </c>
      <c r="BO295" s="290">
        <v>3045</v>
      </c>
      <c r="BP295" s="290">
        <v>15</v>
      </c>
      <c r="BQ295" s="290">
        <v>1385</v>
      </c>
      <c r="BR295" s="290">
        <v>-7</v>
      </c>
      <c r="BS295" s="290">
        <v>122</v>
      </c>
      <c r="BT295" s="290">
        <v>0</v>
      </c>
      <c r="BU295" s="290">
        <v>0</v>
      </c>
      <c r="BV295" s="290">
        <v>187</v>
      </c>
      <c r="BW295" s="290"/>
      <c r="BX295" s="290"/>
      <c r="BY295" s="290"/>
    </row>
    <row r="296" spans="1:77" ht="13">
      <c r="A296" s="1">
        <v>5032</v>
      </c>
      <c r="B296" s="2" t="s">
        <v>142</v>
      </c>
      <c r="C296" s="289">
        <v>4062</v>
      </c>
      <c r="D296" s="290">
        <v>80</v>
      </c>
      <c r="E296" s="290">
        <v>166</v>
      </c>
      <c r="F296" s="290">
        <v>469</v>
      </c>
      <c r="G296" s="290">
        <v>338</v>
      </c>
      <c r="H296" s="290">
        <v>2188</v>
      </c>
      <c r="I296" s="290">
        <v>561</v>
      </c>
      <c r="J296" s="290">
        <v>207</v>
      </c>
      <c r="K296" s="290">
        <v>58</v>
      </c>
      <c r="L296" s="290">
        <v>33</v>
      </c>
      <c r="M296" s="290">
        <v>355</v>
      </c>
      <c r="N296" s="290">
        <v>18</v>
      </c>
      <c r="O296" s="290">
        <v>18</v>
      </c>
      <c r="P296" s="624">
        <v>31029.46666667</v>
      </c>
      <c r="Q296" s="624">
        <v>15815.57533333</v>
      </c>
      <c r="R296" s="624">
        <v>22</v>
      </c>
      <c r="S296" s="290">
        <v>0</v>
      </c>
      <c r="T296" s="290">
        <v>309</v>
      </c>
      <c r="U296" s="958">
        <v>3.197402658066372E-3</v>
      </c>
      <c r="V296" s="290">
        <v>2002.47795387</v>
      </c>
      <c r="W296" s="765">
        <v>0.79075061000000002</v>
      </c>
      <c r="X296" s="290">
        <v>550</v>
      </c>
      <c r="Y296" s="290">
        <v>427.12680399999999</v>
      </c>
      <c r="Z296" s="290">
        <v>102099</v>
      </c>
      <c r="AA296" s="290">
        <v>90</v>
      </c>
      <c r="AB296" s="290">
        <v>96</v>
      </c>
      <c r="AC296" s="290">
        <v>685.65599999999995</v>
      </c>
      <c r="AD296" s="290">
        <v>333</v>
      </c>
      <c r="AE296" s="290">
        <v>0</v>
      </c>
      <c r="AF296" s="290">
        <v>0</v>
      </c>
      <c r="AG296" s="290">
        <v>4067</v>
      </c>
      <c r="AH296" s="290">
        <v>670.89610766999999</v>
      </c>
      <c r="AI296" s="290">
        <v>460</v>
      </c>
      <c r="AJ296" s="290">
        <v>0</v>
      </c>
      <c r="AK296" s="290">
        <v>294.86799999999999</v>
      </c>
      <c r="AL296" s="290">
        <v>0</v>
      </c>
      <c r="AM296" s="957">
        <v>4.1291920000000003E-2</v>
      </c>
      <c r="AN296" s="290">
        <v>1199</v>
      </c>
      <c r="AO296" s="290">
        <v>-628.85288600000001</v>
      </c>
      <c r="AP296" s="290">
        <v>0</v>
      </c>
      <c r="AQ296" s="290">
        <v>0</v>
      </c>
      <c r="AR296" s="290">
        <v>-219.070841</v>
      </c>
      <c r="AS296" s="290">
        <v>426</v>
      </c>
      <c r="AT296" s="290">
        <v>155</v>
      </c>
      <c r="AU296" s="290">
        <v>28</v>
      </c>
      <c r="AV296" s="766">
        <v>98849</v>
      </c>
      <c r="AW296" s="290">
        <v>973</v>
      </c>
      <c r="AX296" s="766">
        <v>25.916650000000001</v>
      </c>
      <c r="AY296" s="290">
        <v>713</v>
      </c>
      <c r="AZ296" s="290">
        <v>159</v>
      </c>
      <c r="BA296" s="290">
        <v>70</v>
      </c>
      <c r="BB296" s="290">
        <v>0</v>
      </c>
      <c r="BC296" s="290">
        <v>-31364.789400000001</v>
      </c>
      <c r="BD296" s="290">
        <v>423</v>
      </c>
      <c r="BE296" s="290">
        <v>35541.1423</v>
      </c>
      <c r="BF296" s="290">
        <v>0</v>
      </c>
      <c r="BG296" s="290">
        <v>223</v>
      </c>
      <c r="BH296" s="290">
        <v>32</v>
      </c>
      <c r="BI296" s="290">
        <v>-98726.674299999999</v>
      </c>
      <c r="BJ296" s="290">
        <v>0</v>
      </c>
      <c r="BK296" s="290">
        <v>-384</v>
      </c>
      <c r="BL296" s="290">
        <v>-100805.2212</v>
      </c>
      <c r="BM296" s="290">
        <v>0</v>
      </c>
      <c r="BN296" s="290">
        <v>3218</v>
      </c>
      <c r="BO296" s="290">
        <v>698</v>
      </c>
      <c r="BP296" s="290">
        <v>3</v>
      </c>
      <c r="BQ296" s="290">
        <v>397</v>
      </c>
      <c r="BR296" s="290">
        <v>-2</v>
      </c>
      <c r="BS296" s="290">
        <v>50</v>
      </c>
      <c r="BT296" s="290">
        <v>0</v>
      </c>
      <c r="BU296" s="290">
        <v>0</v>
      </c>
      <c r="BV296" s="290">
        <v>72</v>
      </c>
      <c r="BW296" s="290"/>
      <c r="BX296" s="290"/>
      <c r="BY296" s="290"/>
    </row>
    <row r="297" spans="1:77" ht="13">
      <c r="A297" s="1">
        <v>5033</v>
      </c>
      <c r="B297" s="2" t="s">
        <v>143</v>
      </c>
      <c r="C297" s="289">
        <v>769</v>
      </c>
      <c r="D297" s="290">
        <v>14</v>
      </c>
      <c r="E297" s="290">
        <v>27</v>
      </c>
      <c r="F297" s="290">
        <v>66</v>
      </c>
      <c r="G297" s="290">
        <v>60</v>
      </c>
      <c r="H297" s="290">
        <v>433</v>
      </c>
      <c r="I297" s="290">
        <v>108</v>
      </c>
      <c r="J297" s="290">
        <v>65</v>
      </c>
      <c r="K297" s="290">
        <v>8</v>
      </c>
      <c r="L297" s="290">
        <v>7</v>
      </c>
      <c r="M297" s="290">
        <v>78</v>
      </c>
      <c r="N297" s="290">
        <v>1.5</v>
      </c>
      <c r="O297" s="624">
        <v>3</v>
      </c>
      <c r="P297" s="624">
        <v>5094.1949999999997</v>
      </c>
      <c r="Q297" s="624">
        <v>4440.3316666700002</v>
      </c>
      <c r="R297" s="624">
        <v>2</v>
      </c>
      <c r="S297" s="290">
        <v>0</v>
      </c>
      <c r="T297" s="290">
        <v>72</v>
      </c>
      <c r="U297" s="958">
        <v>9.9649755975023016E-4</v>
      </c>
      <c r="V297" s="290">
        <v>511.21450019999997</v>
      </c>
      <c r="W297" s="765">
        <v>1</v>
      </c>
      <c r="X297" s="290">
        <v>400</v>
      </c>
      <c r="Y297" s="290">
        <v>273.445944</v>
      </c>
      <c r="Z297" s="290">
        <v>32995</v>
      </c>
      <c r="AA297" s="290">
        <v>0</v>
      </c>
      <c r="AB297" s="290">
        <v>8</v>
      </c>
      <c r="AC297" s="290">
        <v>141.869</v>
      </c>
      <c r="AD297" s="290">
        <v>167</v>
      </c>
      <c r="AE297" s="290">
        <v>0</v>
      </c>
      <c r="AF297" s="290">
        <v>0</v>
      </c>
      <c r="AG297" s="290">
        <v>781</v>
      </c>
      <c r="AH297" s="290">
        <v>104.82751682</v>
      </c>
      <c r="AI297" s="290">
        <v>900</v>
      </c>
      <c r="AJ297" s="290">
        <v>0</v>
      </c>
      <c r="AK297" s="290">
        <v>19.963000000000001</v>
      </c>
      <c r="AL297" s="290">
        <v>0</v>
      </c>
      <c r="AM297" s="957">
        <v>2.8456499999999999E-3</v>
      </c>
      <c r="AN297" s="290">
        <v>0</v>
      </c>
      <c r="AO297" s="290">
        <v>-152.82472100000001</v>
      </c>
      <c r="AP297" s="290">
        <v>0</v>
      </c>
      <c r="AQ297" s="290">
        <v>0</v>
      </c>
      <c r="AR297" s="290">
        <v>-42.068927199999997</v>
      </c>
      <c r="AS297" s="290">
        <v>152</v>
      </c>
      <c r="AT297" s="290">
        <v>23</v>
      </c>
      <c r="AU297" s="290">
        <v>3</v>
      </c>
      <c r="AV297" s="766">
        <v>36965</v>
      </c>
      <c r="AW297" s="290">
        <v>507</v>
      </c>
      <c r="AX297" s="766">
        <v>8.5</v>
      </c>
      <c r="AY297" s="290">
        <v>139</v>
      </c>
      <c r="AZ297" s="290">
        <v>26</v>
      </c>
      <c r="BA297" s="290">
        <v>10</v>
      </c>
      <c r="BB297" s="290">
        <v>0</v>
      </c>
      <c r="BC297" s="290">
        <v>375.38965100000001</v>
      </c>
      <c r="BD297" s="290">
        <v>190</v>
      </c>
      <c r="BE297" s="290">
        <v>39339.865100000003</v>
      </c>
      <c r="BF297" s="290">
        <v>0</v>
      </c>
      <c r="BG297" s="290">
        <v>77</v>
      </c>
      <c r="BH297" s="290">
        <v>11</v>
      </c>
      <c r="BI297" s="290">
        <v>540.10546099999999</v>
      </c>
      <c r="BJ297" s="290">
        <v>0</v>
      </c>
      <c r="BK297" s="290">
        <f t="shared" si="4"/>
        <v>0</v>
      </c>
      <c r="BL297" s="290">
        <v>0</v>
      </c>
      <c r="BM297" s="290">
        <v>0</v>
      </c>
      <c r="BN297" s="290">
        <v>782</v>
      </c>
      <c r="BO297" s="290">
        <v>132</v>
      </c>
      <c r="BP297" s="290">
        <v>1</v>
      </c>
      <c r="BQ297" s="290">
        <v>94</v>
      </c>
      <c r="BR297" s="290">
        <v>0</v>
      </c>
      <c r="BS297" s="290">
        <v>50</v>
      </c>
      <c r="BT297" s="290">
        <v>0</v>
      </c>
      <c r="BU297" s="290">
        <v>0</v>
      </c>
      <c r="BV297" s="290">
        <v>25</v>
      </c>
      <c r="BW297" s="290"/>
      <c r="BX297" s="290"/>
      <c r="BY297" s="290"/>
    </row>
    <row r="298" spans="1:77" ht="13">
      <c r="A298" s="1">
        <v>5034</v>
      </c>
      <c r="B298" s="2" t="s">
        <v>146</v>
      </c>
      <c r="C298" s="289">
        <v>2422</v>
      </c>
      <c r="D298" s="290">
        <v>37</v>
      </c>
      <c r="E298" s="290">
        <v>94</v>
      </c>
      <c r="F298" s="290">
        <v>272</v>
      </c>
      <c r="G298" s="290">
        <v>179</v>
      </c>
      <c r="H298" s="290">
        <v>1336</v>
      </c>
      <c r="I298" s="290">
        <v>372</v>
      </c>
      <c r="J298" s="290">
        <v>107</v>
      </c>
      <c r="K298" s="290">
        <v>39</v>
      </c>
      <c r="L298" s="290">
        <v>22</v>
      </c>
      <c r="M298" s="290">
        <v>245</v>
      </c>
      <c r="N298" s="290">
        <v>53</v>
      </c>
      <c r="O298" s="290">
        <v>31</v>
      </c>
      <c r="P298" s="624">
        <v>8258.8416666699995</v>
      </c>
      <c r="Q298" s="624">
        <v>10572.29233333</v>
      </c>
      <c r="R298" s="624">
        <v>9</v>
      </c>
      <c r="S298" s="290">
        <v>0</v>
      </c>
      <c r="T298" s="290">
        <v>221</v>
      </c>
      <c r="U298" s="958">
        <v>1.3507902932051259E-3</v>
      </c>
      <c r="V298" s="290">
        <v>1312.9265899500001</v>
      </c>
      <c r="W298" s="765">
        <v>1</v>
      </c>
      <c r="X298" s="290">
        <v>0</v>
      </c>
      <c r="Y298" s="290">
        <v>273.445944</v>
      </c>
      <c r="Z298" s="290">
        <v>55743</v>
      </c>
      <c r="AA298" s="290">
        <v>360</v>
      </c>
      <c r="AB298" s="290">
        <v>56</v>
      </c>
      <c r="AC298" s="290">
        <v>384.94400000000002</v>
      </c>
      <c r="AD298" s="290">
        <v>167</v>
      </c>
      <c r="AE298" s="290">
        <v>0</v>
      </c>
      <c r="AF298" s="290">
        <v>0</v>
      </c>
      <c r="AG298" s="290">
        <v>2436</v>
      </c>
      <c r="AH298" s="290">
        <v>367.25778308000002</v>
      </c>
      <c r="AI298" s="290">
        <v>0</v>
      </c>
      <c r="AJ298" s="290">
        <v>0</v>
      </c>
      <c r="AK298" s="290">
        <v>61.792000000000002</v>
      </c>
      <c r="AL298" s="290">
        <v>0</v>
      </c>
      <c r="AM298" s="957">
        <v>3.8352400000000002E-2</v>
      </c>
      <c r="AN298" s="290">
        <v>0</v>
      </c>
      <c r="AO298" s="290">
        <v>-392.492075</v>
      </c>
      <c r="AP298" s="290">
        <v>0</v>
      </c>
      <c r="AQ298" s="290">
        <v>0</v>
      </c>
      <c r="AR298" s="290">
        <v>-131.21627000000001</v>
      </c>
      <c r="AS298" s="290">
        <v>469</v>
      </c>
      <c r="AT298" s="290">
        <v>107</v>
      </c>
      <c r="AU298" s="290">
        <v>20</v>
      </c>
      <c r="AV298" s="766">
        <v>91605</v>
      </c>
      <c r="AW298" s="290">
        <v>763</v>
      </c>
      <c r="AX298" s="766">
        <v>10.958299999999999</v>
      </c>
      <c r="AY298" s="290">
        <v>400</v>
      </c>
      <c r="AZ298" s="290">
        <v>106</v>
      </c>
      <c r="BA298" s="290">
        <v>55</v>
      </c>
      <c r="BB298" s="290">
        <v>5875</v>
      </c>
      <c r="BC298" s="290">
        <v>627.79449699999998</v>
      </c>
      <c r="BD298" s="290">
        <v>320</v>
      </c>
      <c r="BE298" s="290">
        <v>92782.026899999997</v>
      </c>
      <c r="BF298" s="290">
        <v>0</v>
      </c>
      <c r="BG298" s="290">
        <v>151</v>
      </c>
      <c r="BH298" s="290">
        <v>22</v>
      </c>
      <c r="BI298" s="290">
        <v>1087.4397300000001</v>
      </c>
      <c r="BJ298" s="290">
        <v>270</v>
      </c>
      <c r="BK298" s="290">
        <f t="shared" si="4"/>
        <v>0</v>
      </c>
      <c r="BL298" s="290">
        <v>0</v>
      </c>
      <c r="BM298" s="290">
        <v>0</v>
      </c>
      <c r="BN298" s="290">
        <v>2008</v>
      </c>
      <c r="BO298" s="290">
        <v>401</v>
      </c>
      <c r="BP298" s="290">
        <v>2</v>
      </c>
      <c r="BQ298" s="290">
        <v>236</v>
      </c>
      <c r="BR298" s="290">
        <v>-1</v>
      </c>
      <c r="BS298" s="290">
        <v>50</v>
      </c>
      <c r="BT298" s="290">
        <v>0</v>
      </c>
      <c r="BU298" s="290">
        <v>0</v>
      </c>
      <c r="BV298" s="290">
        <v>49</v>
      </c>
      <c r="BW298" s="290"/>
      <c r="BX298" s="290"/>
      <c r="BY298" s="290"/>
    </row>
    <row r="299" spans="1:77" ht="13">
      <c r="A299" s="1">
        <v>5035</v>
      </c>
      <c r="B299" s="2" t="s">
        <v>147</v>
      </c>
      <c r="C299" s="289">
        <v>24145</v>
      </c>
      <c r="D299" s="290">
        <v>452</v>
      </c>
      <c r="E299" s="290">
        <v>1100</v>
      </c>
      <c r="F299" s="290">
        <v>3189</v>
      </c>
      <c r="G299" s="290">
        <v>2311</v>
      </c>
      <c r="H299" s="290">
        <v>13113</v>
      </c>
      <c r="I299" s="290">
        <v>2890</v>
      </c>
      <c r="J299" s="290">
        <v>821</v>
      </c>
      <c r="K299" s="290">
        <v>176</v>
      </c>
      <c r="L299" s="290">
        <v>171</v>
      </c>
      <c r="M299" s="290">
        <v>1576</v>
      </c>
      <c r="N299" s="290">
        <v>489</v>
      </c>
      <c r="O299" s="290">
        <v>187</v>
      </c>
      <c r="P299" s="624">
        <v>69773.420666670005</v>
      </c>
      <c r="Q299" s="624">
        <v>47196.404666670001</v>
      </c>
      <c r="R299" s="624">
        <v>92</v>
      </c>
      <c r="S299" s="290">
        <v>0</v>
      </c>
      <c r="T299" s="290">
        <v>1679</v>
      </c>
      <c r="U299" s="958">
        <v>6.9163125019557426E-3</v>
      </c>
      <c r="V299" s="290">
        <v>-7618.2182155700002</v>
      </c>
      <c r="W299" s="765">
        <v>0.58266859000000004</v>
      </c>
      <c r="X299" s="290">
        <v>500</v>
      </c>
      <c r="Y299" s="290">
        <v>427.12680399999999</v>
      </c>
      <c r="Z299" s="290">
        <v>598173</v>
      </c>
      <c r="AA299" s="290">
        <v>0</v>
      </c>
      <c r="AB299" s="290">
        <v>597</v>
      </c>
      <c r="AC299" s="290">
        <v>3964.86</v>
      </c>
      <c r="AD299" s="290">
        <v>333</v>
      </c>
      <c r="AE299" s="290">
        <v>0</v>
      </c>
      <c r="AF299" s="290">
        <v>0</v>
      </c>
      <c r="AG299" s="290">
        <v>24052</v>
      </c>
      <c r="AH299" s="290">
        <v>4384.6819968</v>
      </c>
      <c r="AI299" s="290">
        <v>5300</v>
      </c>
      <c r="AJ299" s="290">
        <v>0</v>
      </c>
      <c r="AK299" s="290">
        <v>0</v>
      </c>
      <c r="AL299" s="290">
        <v>0</v>
      </c>
      <c r="AM299" s="957">
        <v>0.39448255999999998</v>
      </c>
      <c r="AN299" s="290">
        <v>0</v>
      </c>
      <c r="AO299" s="290">
        <v>-3283.6598199999999</v>
      </c>
      <c r="AP299" s="290">
        <v>0</v>
      </c>
      <c r="AQ299" s="290">
        <v>0</v>
      </c>
      <c r="AR299" s="290">
        <v>9856.4506700000002</v>
      </c>
      <c r="AS299" s="290">
        <v>5863</v>
      </c>
      <c r="AT299" s="290">
        <v>1199</v>
      </c>
      <c r="AU299" s="290">
        <v>212</v>
      </c>
      <c r="AV299" s="766">
        <v>274557</v>
      </c>
      <c r="AW299" s="290">
        <v>5989</v>
      </c>
      <c r="AX299" s="766">
        <v>157.08335</v>
      </c>
      <c r="AY299" s="290">
        <v>5221</v>
      </c>
      <c r="AZ299" s="290">
        <v>896</v>
      </c>
      <c r="BA299" s="290">
        <v>521</v>
      </c>
      <c r="BB299" s="290">
        <v>0</v>
      </c>
      <c r="BC299" s="290">
        <v>-318751.348</v>
      </c>
      <c r="BD299" s="290">
        <v>1985</v>
      </c>
      <c r="BE299" s="290">
        <v>264187.21899999998</v>
      </c>
      <c r="BF299" s="290">
        <v>0</v>
      </c>
      <c r="BG299" s="290">
        <v>1043</v>
      </c>
      <c r="BH299" s="290">
        <v>149</v>
      </c>
      <c r="BI299" s="290">
        <v>-326432.03200000001</v>
      </c>
      <c r="BJ299" s="290">
        <v>0</v>
      </c>
      <c r="BK299" s="290">
        <v>-1632</v>
      </c>
      <c r="BL299" s="290">
        <v>-335208.70059999998</v>
      </c>
      <c r="BM299" s="290">
        <v>0</v>
      </c>
      <c r="BN299" s="290">
        <v>16801</v>
      </c>
      <c r="BO299" s="290">
        <v>4539</v>
      </c>
      <c r="BP299" s="290">
        <v>22</v>
      </c>
      <c r="BQ299" s="290">
        <v>2338</v>
      </c>
      <c r="BR299" s="290">
        <v>-11</v>
      </c>
      <c r="BS299" s="290">
        <v>314</v>
      </c>
      <c r="BT299" s="290">
        <v>0</v>
      </c>
      <c r="BU299" s="290">
        <v>0</v>
      </c>
      <c r="BV299" s="290">
        <v>335</v>
      </c>
      <c r="BW299" s="290"/>
      <c r="BX299" s="290"/>
      <c r="BY299" s="290"/>
    </row>
    <row r="300" spans="1:77" ht="13">
      <c r="A300" s="1">
        <v>5036</v>
      </c>
      <c r="B300" s="2" t="s">
        <v>148</v>
      </c>
      <c r="C300" s="289">
        <v>2627</v>
      </c>
      <c r="D300" s="290">
        <v>45</v>
      </c>
      <c r="E300" s="290">
        <v>108</v>
      </c>
      <c r="F300" s="290">
        <v>312</v>
      </c>
      <c r="G300" s="290">
        <v>244</v>
      </c>
      <c r="H300" s="290">
        <v>1400</v>
      </c>
      <c r="I300" s="290">
        <v>367</v>
      </c>
      <c r="J300" s="290">
        <v>134</v>
      </c>
      <c r="K300" s="290">
        <v>30</v>
      </c>
      <c r="L300" s="290">
        <v>19</v>
      </c>
      <c r="M300" s="290">
        <v>228</v>
      </c>
      <c r="N300" s="290">
        <v>15</v>
      </c>
      <c r="O300" s="290">
        <v>32</v>
      </c>
      <c r="P300" s="624">
        <v>10599.47066667</v>
      </c>
      <c r="Q300" s="624">
        <v>6419.7653333300004</v>
      </c>
      <c r="R300" s="624">
        <v>13</v>
      </c>
      <c r="S300" s="290">
        <v>0</v>
      </c>
      <c r="T300" s="290">
        <v>169</v>
      </c>
      <c r="U300" s="958">
        <v>2.3367346472604679E-3</v>
      </c>
      <c r="V300" s="290">
        <v>1066.87588067</v>
      </c>
      <c r="W300" s="765">
        <v>0.76261721999999998</v>
      </c>
      <c r="X300" s="290">
        <v>450</v>
      </c>
      <c r="Y300" s="290">
        <v>273.445944</v>
      </c>
      <c r="Z300" s="290">
        <v>60319</v>
      </c>
      <c r="AA300" s="290">
        <v>0</v>
      </c>
      <c r="AB300" s="290">
        <v>66</v>
      </c>
      <c r="AC300" s="290">
        <v>436.32799999999997</v>
      </c>
      <c r="AD300" s="290">
        <v>167</v>
      </c>
      <c r="AE300" s="290">
        <v>0</v>
      </c>
      <c r="AF300" s="290">
        <v>0</v>
      </c>
      <c r="AG300" s="290">
        <v>2640</v>
      </c>
      <c r="AH300" s="290">
        <v>442.44441583999998</v>
      </c>
      <c r="AI300" s="290">
        <v>0</v>
      </c>
      <c r="AJ300" s="290">
        <v>0</v>
      </c>
      <c r="AK300" s="290">
        <v>0</v>
      </c>
      <c r="AL300" s="290">
        <v>0</v>
      </c>
      <c r="AM300" s="957">
        <v>2.54617E-2</v>
      </c>
      <c r="AN300" s="290">
        <v>0</v>
      </c>
      <c r="AO300" s="290">
        <v>-409.60642999999999</v>
      </c>
      <c r="AP300" s="290">
        <v>0</v>
      </c>
      <c r="AQ300" s="290">
        <v>0</v>
      </c>
      <c r="AR300" s="290">
        <v>-142.204824</v>
      </c>
      <c r="AS300" s="290">
        <v>671</v>
      </c>
      <c r="AT300" s="290">
        <v>104</v>
      </c>
      <c r="AU300" s="290">
        <v>16</v>
      </c>
      <c r="AV300" s="766">
        <v>89357</v>
      </c>
      <c r="AW300" s="290">
        <v>1571</v>
      </c>
      <c r="AX300" s="766">
        <v>22.208349999999999</v>
      </c>
      <c r="AY300" s="290">
        <v>422</v>
      </c>
      <c r="AZ300" s="290">
        <v>106</v>
      </c>
      <c r="BA300" s="290">
        <v>54</v>
      </c>
      <c r="BB300" s="290">
        <v>4700</v>
      </c>
      <c r="BC300" s="290">
        <v>701.70309799999995</v>
      </c>
      <c r="BD300" s="290">
        <v>307</v>
      </c>
      <c r="BE300" s="290">
        <v>92651.153000000006</v>
      </c>
      <c r="BF300" s="290">
        <v>0</v>
      </c>
      <c r="BG300" s="290">
        <v>149</v>
      </c>
      <c r="BH300" s="290">
        <v>21</v>
      </c>
      <c r="BI300" s="290">
        <v>1152.2183600000001</v>
      </c>
      <c r="BJ300" s="290">
        <v>0</v>
      </c>
      <c r="BK300" s="290">
        <f t="shared" si="4"/>
        <v>0</v>
      </c>
      <c r="BL300" s="290">
        <v>0</v>
      </c>
      <c r="BM300" s="290">
        <v>0</v>
      </c>
      <c r="BN300" s="290">
        <v>2096</v>
      </c>
      <c r="BO300" s="290">
        <v>467</v>
      </c>
      <c r="BP300" s="290">
        <v>2</v>
      </c>
      <c r="BQ300" s="290">
        <v>255</v>
      </c>
      <c r="BR300" s="290">
        <v>-1</v>
      </c>
      <c r="BS300" s="290">
        <v>50</v>
      </c>
      <c r="BT300" s="290">
        <v>0</v>
      </c>
      <c r="BU300" s="290">
        <v>0</v>
      </c>
      <c r="BV300" s="290">
        <v>48</v>
      </c>
      <c r="BW300" s="290"/>
      <c r="BX300" s="290"/>
      <c r="BY300" s="290"/>
    </row>
    <row r="301" spans="1:77" ht="13">
      <c r="A301" s="1">
        <v>5037</v>
      </c>
      <c r="B301" s="2" t="s">
        <v>150</v>
      </c>
      <c r="C301" s="289">
        <v>20164</v>
      </c>
      <c r="D301" s="290">
        <v>441</v>
      </c>
      <c r="E301" s="290">
        <v>958</v>
      </c>
      <c r="F301" s="290">
        <v>2598</v>
      </c>
      <c r="G301" s="290">
        <v>1804</v>
      </c>
      <c r="H301" s="290">
        <v>11132</v>
      </c>
      <c r="I301" s="290">
        <v>2364</v>
      </c>
      <c r="J301" s="290">
        <v>764</v>
      </c>
      <c r="K301" s="290">
        <v>145</v>
      </c>
      <c r="L301" s="290">
        <v>150</v>
      </c>
      <c r="M301" s="290">
        <v>1343</v>
      </c>
      <c r="N301" s="290">
        <v>351</v>
      </c>
      <c r="O301" s="290">
        <v>161</v>
      </c>
      <c r="P301" s="624">
        <v>90832.641666669995</v>
      </c>
      <c r="Q301" s="624">
        <v>38072.133999999998</v>
      </c>
      <c r="R301" s="624">
        <v>90</v>
      </c>
      <c r="S301" s="290">
        <v>0</v>
      </c>
      <c r="T301" s="290">
        <v>1425</v>
      </c>
      <c r="U301" s="958">
        <v>9.4306815920228229E-3</v>
      </c>
      <c r="V301" s="290">
        <v>-4860.6736989800002</v>
      </c>
      <c r="W301" s="765">
        <v>0.59918674000000005</v>
      </c>
      <c r="X301" s="290">
        <v>5470</v>
      </c>
      <c r="Y301" s="290">
        <v>427.12680399999999</v>
      </c>
      <c r="Z301" s="290">
        <v>509280</v>
      </c>
      <c r="AA301" s="290">
        <v>0</v>
      </c>
      <c r="AB301" s="290">
        <v>429</v>
      </c>
      <c r="AC301" s="290">
        <v>3256.79</v>
      </c>
      <c r="AD301" s="290">
        <v>333</v>
      </c>
      <c r="AE301" s="290">
        <v>0</v>
      </c>
      <c r="AF301" s="290">
        <v>0</v>
      </c>
      <c r="AG301" s="290">
        <v>20206</v>
      </c>
      <c r="AH301" s="290">
        <v>3624.1402885299999</v>
      </c>
      <c r="AI301" s="290">
        <v>1100</v>
      </c>
      <c r="AJ301" s="290">
        <v>0</v>
      </c>
      <c r="AK301" s="290">
        <v>0</v>
      </c>
      <c r="AL301" s="290">
        <v>0</v>
      </c>
      <c r="AM301" s="957">
        <v>0.31913139000000001</v>
      </c>
      <c r="AN301" s="290">
        <v>0</v>
      </c>
      <c r="AO301" s="290">
        <v>-2838.6345799999999</v>
      </c>
      <c r="AP301" s="290">
        <v>0</v>
      </c>
      <c r="AQ301" s="290">
        <v>0</v>
      </c>
      <c r="AR301" s="290">
        <v>-1088.4055599999999</v>
      </c>
      <c r="AS301" s="290">
        <v>5985</v>
      </c>
      <c r="AT301" s="290">
        <v>891</v>
      </c>
      <c r="AU301" s="290">
        <v>201</v>
      </c>
      <c r="AV301" s="766">
        <v>507616</v>
      </c>
      <c r="AW301" s="290">
        <v>5097</v>
      </c>
      <c r="AX301" s="766">
        <v>177.75</v>
      </c>
      <c r="AY301" s="290">
        <v>5491</v>
      </c>
      <c r="AZ301" s="290">
        <v>731</v>
      </c>
      <c r="BA301" s="290">
        <v>466</v>
      </c>
      <c r="BB301" s="290">
        <v>0</v>
      </c>
      <c r="BC301" s="290">
        <v>3925.6398100000001</v>
      </c>
      <c r="BD301" s="290">
        <v>1683</v>
      </c>
      <c r="BE301" s="290">
        <v>542090.62300000002</v>
      </c>
      <c r="BF301" s="290">
        <v>0</v>
      </c>
      <c r="BG301" s="290">
        <v>889</v>
      </c>
      <c r="BH301" s="290">
        <v>127</v>
      </c>
      <c r="BI301" s="290">
        <v>7308.0570900000002</v>
      </c>
      <c r="BJ301" s="290">
        <v>0</v>
      </c>
      <c r="BK301" s="290">
        <f t="shared" si="4"/>
        <v>0</v>
      </c>
      <c r="BL301" s="290">
        <v>0</v>
      </c>
      <c r="BM301" s="290">
        <v>0</v>
      </c>
      <c r="BN301" s="290">
        <v>14524</v>
      </c>
      <c r="BO301" s="290">
        <v>4013</v>
      </c>
      <c r="BP301" s="290">
        <v>20</v>
      </c>
      <c r="BQ301" s="290">
        <v>1971</v>
      </c>
      <c r="BR301" s="290">
        <v>-9</v>
      </c>
      <c r="BS301" s="290">
        <v>213</v>
      </c>
      <c r="BT301" s="290">
        <v>0</v>
      </c>
      <c r="BU301" s="290">
        <v>0</v>
      </c>
      <c r="BV301" s="290">
        <v>286</v>
      </c>
      <c r="BW301" s="290"/>
      <c r="BX301" s="290"/>
      <c r="BY301" s="290"/>
    </row>
    <row r="302" spans="1:77" ht="13">
      <c r="A302" s="1">
        <v>5038</v>
      </c>
      <c r="B302" s="2" t="s">
        <v>151</v>
      </c>
      <c r="C302" s="289">
        <v>14948</v>
      </c>
      <c r="D302" s="290">
        <v>296</v>
      </c>
      <c r="E302" s="290">
        <v>596</v>
      </c>
      <c r="F302" s="290">
        <v>1855</v>
      </c>
      <c r="G302" s="290">
        <v>1422</v>
      </c>
      <c r="H302" s="290">
        <v>8184</v>
      </c>
      <c r="I302" s="290">
        <v>1991</v>
      </c>
      <c r="J302" s="290">
        <v>506</v>
      </c>
      <c r="K302" s="290">
        <v>129</v>
      </c>
      <c r="L302" s="290">
        <v>119</v>
      </c>
      <c r="M302" s="290">
        <v>1110</v>
      </c>
      <c r="N302" s="290">
        <v>213</v>
      </c>
      <c r="O302" s="290">
        <v>99</v>
      </c>
      <c r="P302" s="624">
        <v>62628.017666669999</v>
      </c>
      <c r="Q302" s="624">
        <v>32596.089666669999</v>
      </c>
      <c r="R302" s="624">
        <v>70</v>
      </c>
      <c r="S302" s="290">
        <v>0</v>
      </c>
      <c r="T302" s="290">
        <v>1159</v>
      </c>
      <c r="U302" s="958">
        <v>6.8234919711881569E-3</v>
      </c>
      <c r="V302" s="290">
        <v>3786.6723187299999</v>
      </c>
      <c r="W302" s="765">
        <v>0.58897233000000004</v>
      </c>
      <c r="X302" s="290">
        <v>190</v>
      </c>
      <c r="Y302" s="290">
        <v>427.12680399999999</v>
      </c>
      <c r="Z302" s="290">
        <v>346720</v>
      </c>
      <c r="AA302" s="290">
        <v>210</v>
      </c>
      <c r="AB302" s="290">
        <v>441</v>
      </c>
      <c r="AC302" s="290">
        <v>2374.9929999999999</v>
      </c>
      <c r="AD302" s="290">
        <v>333</v>
      </c>
      <c r="AE302" s="290">
        <v>0</v>
      </c>
      <c r="AF302" s="290">
        <v>0</v>
      </c>
      <c r="AG302" s="290">
        <v>14979</v>
      </c>
      <c r="AH302" s="290">
        <v>2546.2242362299999</v>
      </c>
      <c r="AI302" s="290">
        <v>150</v>
      </c>
      <c r="AJ302" s="290">
        <v>0</v>
      </c>
      <c r="AK302" s="290">
        <v>0</v>
      </c>
      <c r="AL302" s="290">
        <v>0</v>
      </c>
      <c r="AM302" s="957">
        <v>0.23399674000000001</v>
      </c>
      <c r="AN302" s="290">
        <v>7392</v>
      </c>
      <c r="AO302" s="290">
        <v>-2068.92625</v>
      </c>
      <c r="AP302" s="290">
        <v>0</v>
      </c>
      <c r="AQ302" s="290">
        <v>0</v>
      </c>
      <c r="AR302" s="290">
        <v>525.02275999999995</v>
      </c>
      <c r="AS302" s="290">
        <v>3531</v>
      </c>
      <c r="AT302" s="290">
        <v>636</v>
      </c>
      <c r="AU302" s="290">
        <v>159</v>
      </c>
      <c r="AV302" s="766">
        <v>392264</v>
      </c>
      <c r="AW302" s="290">
        <v>2708</v>
      </c>
      <c r="AX302" s="766">
        <v>119.375</v>
      </c>
      <c r="AY302" s="290">
        <v>2694</v>
      </c>
      <c r="AZ302" s="290">
        <v>516</v>
      </c>
      <c r="BA302" s="290">
        <v>379</v>
      </c>
      <c r="BB302" s="290">
        <v>0</v>
      </c>
      <c r="BC302" s="290">
        <v>2909.04792</v>
      </c>
      <c r="BD302" s="290">
        <v>1263</v>
      </c>
      <c r="BE302" s="290">
        <v>398550.10499999998</v>
      </c>
      <c r="BF302" s="290">
        <v>0</v>
      </c>
      <c r="BG302" s="290">
        <v>674</v>
      </c>
      <c r="BH302" s="290">
        <v>96</v>
      </c>
      <c r="BI302" s="290">
        <v>5348.3440399999999</v>
      </c>
      <c r="BJ302" s="290">
        <v>0</v>
      </c>
      <c r="BK302" s="290">
        <f t="shared" si="4"/>
        <v>0</v>
      </c>
      <c r="BL302" s="290">
        <v>0</v>
      </c>
      <c r="BM302" s="290">
        <v>0</v>
      </c>
      <c r="BN302" s="290">
        <v>10586</v>
      </c>
      <c r="BO302" s="290">
        <v>2584</v>
      </c>
      <c r="BP302" s="290">
        <v>12</v>
      </c>
      <c r="BQ302" s="290">
        <v>1447</v>
      </c>
      <c r="BR302" s="290">
        <v>-7</v>
      </c>
      <c r="BS302" s="290">
        <v>197</v>
      </c>
      <c r="BT302" s="290">
        <v>0</v>
      </c>
      <c r="BU302" s="290">
        <v>0</v>
      </c>
      <c r="BV302" s="290">
        <v>217</v>
      </c>
      <c r="BW302" s="290"/>
      <c r="BX302" s="290"/>
      <c r="BY302" s="290"/>
    </row>
    <row r="303" spans="1:77" ht="13">
      <c r="A303" s="1">
        <v>5041</v>
      </c>
      <c r="B303" s="2" t="s">
        <v>156</v>
      </c>
      <c r="C303" s="289">
        <v>2063</v>
      </c>
      <c r="D303" s="290">
        <v>36</v>
      </c>
      <c r="E303" s="290">
        <v>84</v>
      </c>
      <c r="F303" s="290">
        <v>252</v>
      </c>
      <c r="G303" s="290">
        <v>199</v>
      </c>
      <c r="H303" s="290">
        <v>1057</v>
      </c>
      <c r="I303" s="290">
        <v>317</v>
      </c>
      <c r="J303" s="290">
        <v>118</v>
      </c>
      <c r="K303" s="290">
        <v>22</v>
      </c>
      <c r="L303" s="290">
        <v>16</v>
      </c>
      <c r="M303" s="290">
        <v>189</v>
      </c>
      <c r="N303" s="290">
        <v>9</v>
      </c>
      <c r="O303" s="290">
        <v>26</v>
      </c>
      <c r="P303" s="624">
        <v>11954.798000000001</v>
      </c>
      <c r="Q303" s="624">
        <v>6691.6233333299997</v>
      </c>
      <c r="R303" s="624">
        <v>15</v>
      </c>
      <c r="S303" s="290">
        <v>0</v>
      </c>
      <c r="T303" s="290">
        <v>137</v>
      </c>
      <c r="U303" s="958">
        <v>2.8397208031315114E-3</v>
      </c>
      <c r="V303" s="290">
        <v>-5258.1412161300004</v>
      </c>
      <c r="W303" s="765">
        <v>0.99856025999999998</v>
      </c>
      <c r="X303" s="290">
        <v>0</v>
      </c>
      <c r="Y303" s="290">
        <v>427.12680399999999</v>
      </c>
      <c r="Z303" s="290">
        <v>45906</v>
      </c>
      <c r="AA303" s="290">
        <v>0</v>
      </c>
      <c r="AB303" s="290">
        <v>51</v>
      </c>
      <c r="AC303" s="290">
        <v>373.17700000000002</v>
      </c>
      <c r="AD303" s="290">
        <v>167</v>
      </c>
      <c r="AE303" s="290">
        <v>0</v>
      </c>
      <c r="AF303" s="290">
        <v>0</v>
      </c>
      <c r="AG303" s="290">
        <v>2085</v>
      </c>
      <c r="AH303" s="290">
        <v>346.29227971</v>
      </c>
      <c r="AI303" s="290">
        <v>310</v>
      </c>
      <c r="AJ303" s="290">
        <v>0</v>
      </c>
      <c r="AK303" s="290">
        <v>0</v>
      </c>
      <c r="AL303" s="290">
        <v>3805</v>
      </c>
      <c r="AM303" s="957">
        <v>2.1117009999999999E-2</v>
      </c>
      <c r="AN303" s="290">
        <v>0</v>
      </c>
      <c r="AO303" s="290">
        <v>-362.39799599999998</v>
      </c>
      <c r="AP303" s="290">
        <v>0</v>
      </c>
      <c r="AQ303" s="290">
        <v>0</v>
      </c>
      <c r="AR303" s="290">
        <v>-112.30949200000001</v>
      </c>
      <c r="AS303" s="290">
        <v>1067</v>
      </c>
      <c r="AT303" s="290">
        <v>83</v>
      </c>
      <c r="AU303" s="290">
        <v>11</v>
      </c>
      <c r="AV303" s="766">
        <v>83246</v>
      </c>
      <c r="AW303" s="290">
        <v>482</v>
      </c>
      <c r="AX303" s="766">
        <v>22.083349999999999</v>
      </c>
      <c r="AY303" s="290">
        <v>457</v>
      </c>
      <c r="AZ303" s="290">
        <v>102</v>
      </c>
      <c r="BA303" s="290">
        <v>37</v>
      </c>
      <c r="BB303" s="290">
        <v>5875</v>
      </c>
      <c r="BC303" s="290">
        <v>760.817725</v>
      </c>
      <c r="BD303" s="290">
        <v>293</v>
      </c>
      <c r="BE303" s="290">
        <v>88482.057400000005</v>
      </c>
      <c r="BF303" s="290">
        <v>0</v>
      </c>
      <c r="BG303" s="290">
        <v>138</v>
      </c>
      <c r="BH303" s="290">
        <v>20</v>
      </c>
      <c r="BI303" s="290">
        <v>1146.59608</v>
      </c>
      <c r="BJ303" s="290">
        <v>0</v>
      </c>
      <c r="BK303" s="290">
        <f t="shared" si="4"/>
        <v>0</v>
      </c>
      <c r="BL303" s="290">
        <v>0</v>
      </c>
      <c r="BM303" s="290">
        <v>0</v>
      </c>
      <c r="BN303" s="290">
        <v>1854</v>
      </c>
      <c r="BO303" s="290">
        <v>391</v>
      </c>
      <c r="BP303" s="290">
        <v>2</v>
      </c>
      <c r="BQ303" s="290">
        <v>203</v>
      </c>
      <c r="BR303" s="290">
        <v>-1</v>
      </c>
      <c r="BS303" s="290">
        <v>50</v>
      </c>
      <c r="BT303" s="290">
        <v>0</v>
      </c>
      <c r="BU303" s="290">
        <v>0</v>
      </c>
      <c r="BV303" s="290">
        <v>44</v>
      </c>
      <c r="BW303" s="290"/>
      <c r="BX303" s="290"/>
      <c r="BY303" s="290"/>
    </row>
    <row r="304" spans="1:77" ht="13">
      <c r="A304" s="1">
        <v>5042</v>
      </c>
      <c r="B304" s="2" t="s">
        <v>157</v>
      </c>
      <c r="C304" s="289">
        <v>1355</v>
      </c>
      <c r="D304" s="290">
        <v>21</v>
      </c>
      <c r="E304" s="290">
        <v>48</v>
      </c>
      <c r="F304" s="290">
        <v>148</v>
      </c>
      <c r="G304" s="290">
        <v>149</v>
      </c>
      <c r="H304" s="290">
        <v>697</v>
      </c>
      <c r="I304" s="290">
        <v>225</v>
      </c>
      <c r="J304" s="290">
        <v>79</v>
      </c>
      <c r="K304" s="290">
        <v>15</v>
      </c>
      <c r="L304" s="290">
        <v>12</v>
      </c>
      <c r="M304" s="290">
        <v>170</v>
      </c>
      <c r="N304" s="290">
        <v>1.5</v>
      </c>
      <c r="O304" s="290">
        <v>18</v>
      </c>
      <c r="P304" s="624">
        <v>30905.300999999999</v>
      </c>
      <c r="Q304" s="624">
        <v>12710.637000000001</v>
      </c>
      <c r="R304" s="624">
        <v>16</v>
      </c>
      <c r="S304" s="290">
        <v>0</v>
      </c>
      <c r="T304" s="290">
        <v>96</v>
      </c>
      <c r="U304" s="958">
        <v>1.8388728670533081E-3</v>
      </c>
      <c r="V304" s="290">
        <v>912.80146596999998</v>
      </c>
      <c r="W304" s="765">
        <v>1</v>
      </c>
      <c r="X304" s="290">
        <v>1150</v>
      </c>
      <c r="Y304" s="290">
        <v>427.12680399999999</v>
      </c>
      <c r="Z304" s="290">
        <v>33626</v>
      </c>
      <c r="AA304" s="290">
        <v>170</v>
      </c>
      <c r="AB304" s="290">
        <v>22</v>
      </c>
      <c r="AC304" s="290">
        <v>271.00099999999998</v>
      </c>
      <c r="AD304" s="290">
        <v>167</v>
      </c>
      <c r="AE304" s="290">
        <v>0</v>
      </c>
      <c r="AF304" s="290">
        <v>0</v>
      </c>
      <c r="AG304" s="290">
        <v>1382</v>
      </c>
      <c r="AH304" s="290">
        <v>226.28284665999999</v>
      </c>
      <c r="AI304" s="290">
        <v>300</v>
      </c>
      <c r="AJ304" s="290">
        <v>0</v>
      </c>
      <c r="AK304" s="290">
        <v>3.8220000000000001</v>
      </c>
      <c r="AL304" s="290">
        <v>2511</v>
      </c>
      <c r="AM304" s="957">
        <v>2.90266E-3</v>
      </c>
      <c r="AN304" s="290">
        <v>0</v>
      </c>
      <c r="AO304" s="290">
        <v>-272.87690199999997</v>
      </c>
      <c r="AP304" s="290">
        <v>0</v>
      </c>
      <c r="AQ304" s="290">
        <v>0</v>
      </c>
      <c r="AR304" s="290">
        <v>-74.442070999999999</v>
      </c>
      <c r="AS304" s="290">
        <v>74</v>
      </c>
      <c r="AT304" s="290">
        <v>41</v>
      </c>
      <c r="AU304" s="290">
        <v>4</v>
      </c>
      <c r="AV304" s="766">
        <v>76064</v>
      </c>
      <c r="AW304" s="290">
        <v>587</v>
      </c>
      <c r="AX304" s="766">
        <v>6.1666999999999996</v>
      </c>
      <c r="AY304" s="290">
        <v>236</v>
      </c>
      <c r="AZ304" s="290">
        <v>34</v>
      </c>
      <c r="BA304" s="290">
        <v>14</v>
      </c>
      <c r="BB304" s="290">
        <v>5875</v>
      </c>
      <c r="BC304" s="290">
        <v>645.77131699999995</v>
      </c>
      <c r="BD304" s="290">
        <v>237</v>
      </c>
      <c r="BE304" s="290">
        <v>79401.587599999999</v>
      </c>
      <c r="BF304" s="290">
        <v>0</v>
      </c>
      <c r="BG304" s="290">
        <v>118</v>
      </c>
      <c r="BH304" s="290">
        <v>17</v>
      </c>
      <c r="BI304" s="290">
        <v>928.23265100000003</v>
      </c>
      <c r="BJ304" s="290">
        <v>0</v>
      </c>
      <c r="BK304" s="290">
        <f t="shared" si="4"/>
        <v>0</v>
      </c>
      <c r="BL304" s="290">
        <v>0</v>
      </c>
      <c r="BM304" s="290">
        <v>0</v>
      </c>
      <c r="BN304" s="290">
        <v>1396</v>
      </c>
      <c r="BO304" s="290">
        <v>230</v>
      </c>
      <c r="BP304" s="290">
        <v>1</v>
      </c>
      <c r="BQ304" s="290">
        <v>135</v>
      </c>
      <c r="BR304" s="290">
        <v>-1</v>
      </c>
      <c r="BS304" s="290">
        <v>50</v>
      </c>
      <c r="BT304" s="290">
        <v>0</v>
      </c>
      <c r="BU304" s="290">
        <v>0</v>
      </c>
      <c r="BV304" s="290">
        <v>38</v>
      </c>
      <c r="BW304" s="290"/>
      <c r="BX304" s="290"/>
      <c r="BY304" s="290"/>
    </row>
    <row r="305" spans="1:77" ht="13">
      <c r="A305" s="1">
        <v>5043</v>
      </c>
      <c r="B305" s="2" t="s">
        <v>164</v>
      </c>
      <c r="C305" s="289">
        <v>461</v>
      </c>
      <c r="D305" s="290">
        <v>6</v>
      </c>
      <c r="E305" s="290">
        <v>23</v>
      </c>
      <c r="F305" s="290">
        <v>56</v>
      </c>
      <c r="G305" s="290">
        <v>31</v>
      </c>
      <c r="H305" s="290">
        <v>244</v>
      </c>
      <c r="I305" s="290">
        <v>86</v>
      </c>
      <c r="J305" s="290">
        <v>21</v>
      </c>
      <c r="K305" s="290">
        <v>11</v>
      </c>
      <c r="L305" s="290">
        <v>4</v>
      </c>
      <c r="M305" s="290">
        <v>56</v>
      </c>
      <c r="N305" s="290">
        <v>0</v>
      </c>
      <c r="O305" s="290">
        <v>9</v>
      </c>
      <c r="P305" s="624">
        <v>3468.0349999999999</v>
      </c>
      <c r="Q305" s="624">
        <v>4394.2026666700003</v>
      </c>
      <c r="R305" s="624">
        <v>0</v>
      </c>
      <c r="S305" s="290">
        <v>0</v>
      </c>
      <c r="T305" s="290">
        <v>26</v>
      </c>
      <c r="U305" s="958">
        <v>6.9742659941251584E-4</v>
      </c>
      <c r="V305" s="290">
        <v>380.93153715</v>
      </c>
      <c r="W305" s="765">
        <v>1</v>
      </c>
      <c r="X305" s="290">
        <v>0</v>
      </c>
      <c r="Y305" s="290">
        <v>427.12680399999999</v>
      </c>
      <c r="Z305" s="290">
        <v>12059</v>
      </c>
      <c r="AA305" s="290">
        <v>0</v>
      </c>
      <c r="AB305" s="290">
        <v>2</v>
      </c>
      <c r="AC305" s="290">
        <v>121.801</v>
      </c>
      <c r="AD305" s="290">
        <v>167</v>
      </c>
      <c r="AE305" s="290">
        <v>0</v>
      </c>
      <c r="AF305" s="290">
        <v>0</v>
      </c>
      <c r="AG305" s="290">
        <v>478</v>
      </c>
      <c r="AH305" s="290">
        <v>100</v>
      </c>
      <c r="AI305" s="290">
        <v>0</v>
      </c>
      <c r="AJ305" s="290">
        <v>0</v>
      </c>
      <c r="AK305" s="290">
        <v>6.02</v>
      </c>
      <c r="AL305" s="290">
        <v>873</v>
      </c>
      <c r="AM305" s="957">
        <v>1.3946E-3</v>
      </c>
      <c r="AN305" s="290">
        <v>0</v>
      </c>
      <c r="AO305" s="290">
        <v>-113.87735600000001</v>
      </c>
      <c r="AP305" s="290">
        <v>0</v>
      </c>
      <c r="AQ305" s="290">
        <v>0</v>
      </c>
      <c r="AR305" s="290">
        <v>-25.747691700000001</v>
      </c>
      <c r="AS305" s="290">
        <v>85</v>
      </c>
      <c r="AT305" s="290">
        <v>12</v>
      </c>
      <c r="AU305" s="290">
        <v>3</v>
      </c>
      <c r="AV305" s="766">
        <v>38123</v>
      </c>
      <c r="AW305" s="290">
        <v>376</v>
      </c>
      <c r="AX305" s="766">
        <v>-2.7499500000000001</v>
      </c>
      <c r="AY305" s="290">
        <v>82</v>
      </c>
      <c r="AZ305" s="290">
        <v>9</v>
      </c>
      <c r="BA305" s="290">
        <v>11</v>
      </c>
      <c r="BB305" s="290">
        <v>5875</v>
      </c>
      <c r="BC305" s="290">
        <v>100</v>
      </c>
      <c r="BD305" s="290">
        <v>166</v>
      </c>
      <c r="BE305" s="290">
        <v>39109.949399999998</v>
      </c>
      <c r="BF305" s="290">
        <v>0</v>
      </c>
      <c r="BG305" s="290">
        <v>64</v>
      </c>
      <c r="BH305" s="290">
        <v>9</v>
      </c>
      <c r="BI305" s="290">
        <v>654.94780400000002</v>
      </c>
      <c r="BJ305" s="290">
        <v>0</v>
      </c>
      <c r="BK305" s="290">
        <f t="shared" si="4"/>
        <v>0</v>
      </c>
      <c r="BL305" s="290">
        <v>0</v>
      </c>
      <c r="BM305" s="290">
        <v>0</v>
      </c>
      <c r="BN305" s="290">
        <v>583</v>
      </c>
      <c r="BO305" s="290">
        <v>95</v>
      </c>
      <c r="BP305" s="290">
        <v>0</v>
      </c>
      <c r="BQ305" s="290">
        <v>47</v>
      </c>
      <c r="BR305" s="290">
        <v>0</v>
      </c>
      <c r="BS305" s="290">
        <v>50</v>
      </c>
      <c r="BT305" s="290">
        <v>0</v>
      </c>
      <c r="BU305" s="290">
        <v>0</v>
      </c>
      <c r="BV305" s="290">
        <v>21</v>
      </c>
      <c r="BW305" s="290"/>
      <c r="BX305" s="290"/>
      <c r="BY305" s="290"/>
    </row>
    <row r="306" spans="1:77" ht="13">
      <c r="A306" s="1">
        <v>5044</v>
      </c>
      <c r="B306" s="2" t="s">
        <v>165</v>
      </c>
      <c r="C306" s="289">
        <v>843</v>
      </c>
      <c r="D306" s="290">
        <v>14</v>
      </c>
      <c r="E306" s="290">
        <v>25</v>
      </c>
      <c r="F306" s="290">
        <v>93</v>
      </c>
      <c r="G306" s="290">
        <v>85</v>
      </c>
      <c r="H306" s="290">
        <v>443</v>
      </c>
      <c r="I306" s="290">
        <v>134</v>
      </c>
      <c r="J306" s="290">
        <v>65</v>
      </c>
      <c r="K306" s="290">
        <v>12</v>
      </c>
      <c r="L306" s="290">
        <v>7</v>
      </c>
      <c r="M306" s="290">
        <v>95</v>
      </c>
      <c r="N306" s="290">
        <v>1.5</v>
      </c>
      <c r="O306" s="290">
        <v>21</v>
      </c>
      <c r="P306" s="624">
        <v>11998.13</v>
      </c>
      <c r="Q306" s="624">
        <v>9332.3330000000005</v>
      </c>
      <c r="R306" s="624">
        <v>6</v>
      </c>
      <c r="S306" s="290">
        <v>0</v>
      </c>
      <c r="T306" s="290">
        <v>69</v>
      </c>
      <c r="U306" s="958">
        <v>7.4611877783804098E-4</v>
      </c>
      <c r="V306" s="290">
        <v>610.90154674999997</v>
      </c>
      <c r="W306" s="765">
        <v>1</v>
      </c>
      <c r="X306" s="290">
        <v>0</v>
      </c>
      <c r="Y306" s="290">
        <v>625.32212000000004</v>
      </c>
      <c r="Z306" s="290">
        <v>28469</v>
      </c>
      <c r="AA306" s="290">
        <v>140</v>
      </c>
      <c r="AB306" s="290">
        <v>24</v>
      </c>
      <c r="AC306" s="290">
        <v>194.99</v>
      </c>
      <c r="AD306" s="290">
        <v>167</v>
      </c>
      <c r="AE306" s="290">
        <v>0</v>
      </c>
      <c r="AF306" s="290">
        <v>0</v>
      </c>
      <c r="AG306" s="290">
        <v>871</v>
      </c>
      <c r="AH306" s="290">
        <v>133.02250411</v>
      </c>
      <c r="AI306" s="290">
        <v>0</v>
      </c>
      <c r="AJ306" s="290">
        <v>0</v>
      </c>
      <c r="AK306" s="290">
        <v>41.598999999999997</v>
      </c>
      <c r="AL306" s="290">
        <v>1578</v>
      </c>
      <c r="AM306" s="957">
        <v>1.370213E-2</v>
      </c>
      <c r="AN306" s="290">
        <v>0</v>
      </c>
      <c r="AO306" s="290">
        <v>-182.625607</v>
      </c>
      <c r="AP306" s="290">
        <v>0</v>
      </c>
      <c r="AQ306" s="290">
        <v>0</v>
      </c>
      <c r="AR306" s="290">
        <v>-46.916818999999997</v>
      </c>
      <c r="AS306" s="290">
        <v>74</v>
      </c>
      <c r="AT306" s="290">
        <v>45</v>
      </c>
      <c r="AU306" s="290">
        <v>7</v>
      </c>
      <c r="AV306" s="766">
        <v>55059</v>
      </c>
      <c r="AW306" s="290">
        <v>319</v>
      </c>
      <c r="AX306" s="766">
        <v>6.6666999999999996</v>
      </c>
      <c r="AY306" s="290">
        <v>105</v>
      </c>
      <c r="AZ306" s="290">
        <v>33</v>
      </c>
      <c r="BA306" s="290">
        <v>9</v>
      </c>
      <c r="BB306" s="290">
        <v>5875</v>
      </c>
      <c r="BC306" s="290">
        <v>745.970191</v>
      </c>
      <c r="BD306" s="290">
        <v>197</v>
      </c>
      <c r="BE306" s="290">
        <v>56189.272900000004</v>
      </c>
      <c r="BF306" s="290">
        <v>0</v>
      </c>
      <c r="BG306" s="290">
        <v>88</v>
      </c>
      <c r="BH306" s="290">
        <v>13</v>
      </c>
      <c r="BI306" s="290">
        <v>994.93362400000001</v>
      </c>
      <c r="BJ306" s="290">
        <v>0</v>
      </c>
      <c r="BK306" s="290">
        <f t="shared" si="4"/>
        <v>0</v>
      </c>
      <c r="BL306" s="290">
        <v>0</v>
      </c>
      <c r="BM306" s="290">
        <v>0</v>
      </c>
      <c r="BN306" s="290">
        <v>934</v>
      </c>
      <c r="BO306" s="290">
        <v>141</v>
      </c>
      <c r="BP306" s="290">
        <v>1</v>
      </c>
      <c r="BQ306" s="290">
        <v>91</v>
      </c>
      <c r="BR306" s="290">
        <v>0</v>
      </c>
      <c r="BS306" s="290">
        <v>50</v>
      </c>
      <c r="BT306" s="290">
        <v>0</v>
      </c>
      <c r="BU306" s="290">
        <v>0</v>
      </c>
      <c r="BV306" s="290">
        <v>28</v>
      </c>
      <c r="BW306" s="290"/>
      <c r="BX306" s="290"/>
      <c r="BY306" s="290"/>
    </row>
    <row r="307" spans="1:77" ht="13">
      <c r="A307" s="1">
        <v>5045</v>
      </c>
      <c r="B307" s="2" t="s">
        <v>166</v>
      </c>
      <c r="C307" s="289">
        <v>2359</v>
      </c>
      <c r="D307" s="290">
        <v>42</v>
      </c>
      <c r="E307" s="290">
        <v>106</v>
      </c>
      <c r="F307" s="290">
        <v>263</v>
      </c>
      <c r="G307" s="290">
        <v>210</v>
      </c>
      <c r="H307" s="290">
        <v>1238</v>
      </c>
      <c r="I307" s="290">
        <v>328</v>
      </c>
      <c r="J307" s="290">
        <v>145</v>
      </c>
      <c r="K307" s="290">
        <v>41</v>
      </c>
      <c r="L307" s="290">
        <v>15</v>
      </c>
      <c r="M307" s="290">
        <v>238</v>
      </c>
      <c r="N307" s="290">
        <v>51</v>
      </c>
      <c r="O307" s="290">
        <v>31</v>
      </c>
      <c r="P307" s="624">
        <v>15747.935333330001</v>
      </c>
      <c r="Q307" s="624">
        <v>6264.9186666699998</v>
      </c>
      <c r="R307" s="624">
        <v>10</v>
      </c>
      <c r="S307" s="290">
        <v>0</v>
      </c>
      <c r="T307" s="290">
        <v>210</v>
      </c>
      <c r="U307" s="958">
        <v>1.428183812789003E-3</v>
      </c>
      <c r="V307" s="290">
        <v>910.58727356999998</v>
      </c>
      <c r="W307" s="765">
        <v>0.85765983000000001</v>
      </c>
      <c r="X307" s="290">
        <v>510</v>
      </c>
      <c r="Y307" s="290">
        <v>427.12680399999999</v>
      </c>
      <c r="Z307" s="290">
        <v>60632</v>
      </c>
      <c r="AA307" s="290">
        <v>0</v>
      </c>
      <c r="AB307" s="290">
        <v>49</v>
      </c>
      <c r="AC307" s="290">
        <v>375.25900000000001</v>
      </c>
      <c r="AD307" s="290">
        <v>167</v>
      </c>
      <c r="AE307" s="290">
        <v>0</v>
      </c>
      <c r="AF307" s="290">
        <v>0</v>
      </c>
      <c r="AG307" s="290">
        <v>2373</v>
      </c>
      <c r="AH307" s="290">
        <v>386.05444126999998</v>
      </c>
      <c r="AI307" s="290">
        <v>0</v>
      </c>
      <c r="AJ307" s="290">
        <v>0</v>
      </c>
      <c r="AK307" s="290">
        <v>0</v>
      </c>
      <c r="AL307" s="290">
        <v>4302</v>
      </c>
      <c r="AM307" s="957">
        <v>4.1195019999999999E-2</v>
      </c>
      <c r="AN307" s="290">
        <v>0</v>
      </c>
      <c r="AO307" s="290">
        <v>-393.10810400000003</v>
      </c>
      <c r="AP307" s="290">
        <v>0</v>
      </c>
      <c r="AQ307" s="290">
        <v>0</v>
      </c>
      <c r="AR307" s="290">
        <v>-127.822746</v>
      </c>
      <c r="AS307" s="290">
        <v>960</v>
      </c>
      <c r="AT307" s="290">
        <v>109</v>
      </c>
      <c r="AU307" s="290">
        <v>15</v>
      </c>
      <c r="AV307" s="766">
        <v>95659</v>
      </c>
      <c r="AW307" s="290">
        <v>649</v>
      </c>
      <c r="AX307" s="766">
        <v>15.25</v>
      </c>
      <c r="AY307" s="290">
        <v>466</v>
      </c>
      <c r="AZ307" s="290">
        <v>142</v>
      </c>
      <c r="BA307" s="290">
        <v>41</v>
      </c>
      <c r="BB307" s="290">
        <v>5875</v>
      </c>
      <c r="BC307" s="290">
        <v>776.15724599999999</v>
      </c>
      <c r="BD307" s="290">
        <v>298</v>
      </c>
      <c r="BE307" s="290">
        <v>99413.667300000001</v>
      </c>
      <c r="BF307" s="290">
        <v>0</v>
      </c>
      <c r="BG307" s="290">
        <v>145</v>
      </c>
      <c r="BH307" s="290">
        <v>21</v>
      </c>
      <c r="BI307" s="290">
        <v>1188.4402500000001</v>
      </c>
      <c r="BJ307" s="290">
        <v>0</v>
      </c>
      <c r="BK307" s="290">
        <f t="shared" si="4"/>
        <v>0</v>
      </c>
      <c r="BL307" s="290">
        <v>0</v>
      </c>
      <c r="BM307" s="290">
        <v>0</v>
      </c>
      <c r="BN307" s="290">
        <v>2011</v>
      </c>
      <c r="BO307" s="290">
        <v>433</v>
      </c>
      <c r="BP307" s="290">
        <v>2</v>
      </c>
      <c r="BQ307" s="290">
        <v>232</v>
      </c>
      <c r="BR307" s="290">
        <v>-1</v>
      </c>
      <c r="BS307" s="290">
        <v>50</v>
      </c>
      <c r="BT307" s="290">
        <v>0</v>
      </c>
      <c r="BU307" s="290">
        <v>0</v>
      </c>
      <c r="BV307" s="290">
        <v>47</v>
      </c>
      <c r="BW307" s="290"/>
      <c r="BX307" s="290"/>
      <c r="BY307" s="290"/>
    </row>
    <row r="308" spans="1:77" ht="13">
      <c r="A308" s="1">
        <v>5046</v>
      </c>
      <c r="B308" s="2" t="s">
        <v>167</v>
      </c>
      <c r="C308" s="289">
        <v>1231</v>
      </c>
      <c r="D308" s="290">
        <v>21</v>
      </c>
      <c r="E308" s="290">
        <v>50</v>
      </c>
      <c r="F308" s="290">
        <v>176</v>
      </c>
      <c r="G308" s="290">
        <v>110</v>
      </c>
      <c r="H308" s="290">
        <v>603</v>
      </c>
      <c r="I308" s="290">
        <v>198</v>
      </c>
      <c r="J308" s="290">
        <v>75</v>
      </c>
      <c r="K308" s="290">
        <v>16</v>
      </c>
      <c r="L308" s="290">
        <v>7</v>
      </c>
      <c r="M308" s="290">
        <v>105</v>
      </c>
      <c r="N308" s="290">
        <v>1.5</v>
      </c>
      <c r="O308" s="290">
        <v>4</v>
      </c>
      <c r="P308" s="624">
        <v>8951.0560000000005</v>
      </c>
      <c r="Q308" s="624">
        <v>6833.5140000000001</v>
      </c>
      <c r="R308" s="624">
        <v>18</v>
      </c>
      <c r="S308" s="290">
        <v>0</v>
      </c>
      <c r="T308" s="290">
        <v>69</v>
      </c>
      <c r="U308" s="958">
        <v>1.5530789023516824E-3</v>
      </c>
      <c r="V308" s="290">
        <v>855.83980329999997</v>
      </c>
      <c r="W308" s="765">
        <v>1</v>
      </c>
      <c r="X308" s="290">
        <v>0</v>
      </c>
      <c r="Y308" s="290">
        <v>427.12680399999999</v>
      </c>
      <c r="Z308" s="290">
        <v>27461</v>
      </c>
      <c r="AA308" s="290">
        <v>130</v>
      </c>
      <c r="AB308" s="290">
        <v>26</v>
      </c>
      <c r="AC308" s="290">
        <v>290.09800000000001</v>
      </c>
      <c r="AD308" s="290">
        <v>167</v>
      </c>
      <c r="AE308" s="290">
        <v>0</v>
      </c>
      <c r="AF308" s="290">
        <v>0</v>
      </c>
      <c r="AG308" s="290">
        <v>1249</v>
      </c>
      <c r="AH308" s="290">
        <v>233.51233058</v>
      </c>
      <c r="AI308" s="290">
        <v>1000</v>
      </c>
      <c r="AJ308" s="290">
        <v>0</v>
      </c>
      <c r="AK308" s="290">
        <v>0</v>
      </c>
      <c r="AL308" s="290">
        <v>2272</v>
      </c>
      <c r="AM308" s="957">
        <v>3.0905899999999998E-3</v>
      </c>
      <c r="AN308" s="290">
        <v>0</v>
      </c>
      <c r="AO308" s="290">
        <v>-255.84853100000001</v>
      </c>
      <c r="AP308" s="290">
        <v>0</v>
      </c>
      <c r="AQ308" s="290">
        <v>0</v>
      </c>
      <c r="AR308" s="290">
        <v>-67.277964299999994</v>
      </c>
      <c r="AS308" s="290">
        <v>82</v>
      </c>
      <c r="AT308" s="290">
        <v>36</v>
      </c>
      <c r="AU308" s="290">
        <v>3</v>
      </c>
      <c r="AV308" s="766">
        <v>71712</v>
      </c>
      <c r="AW308" s="290">
        <v>507</v>
      </c>
      <c r="AX308" s="766">
        <v>9.8332999999999995</v>
      </c>
      <c r="AY308" s="290">
        <v>252</v>
      </c>
      <c r="AZ308" s="290">
        <v>45</v>
      </c>
      <c r="BA308" s="290">
        <v>15</v>
      </c>
      <c r="BB308" s="290">
        <v>5289</v>
      </c>
      <c r="BC308" s="290">
        <v>645.77131699999995</v>
      </c>
      <c r="BD308" s="290">
        <v>227</v>
      </c>
      <c r="BE308" s="290">
        <v>74538.505600000004</v>
      </c>
      <c r="BF308" s="290">
        <v>0</v>
      </c>
      <c r="BG308" s="290">
        <v>102</v>
      </c>
      <c r="BH308" s="290">
        <v>15</v>
      </c>
      <c r="BI308" s="290">
        <v>950.73713499999997</v>
      </c>
      <c r="BJ308" s="290">
        <v>0</v>
      </c>
      <c r="BK308" s="290">
        <f t="shared" si="4"/>
        <v>0</v>
      </c>
      <c r="BL308" s="290">
        <v>0</v>
      </c>
      <c r="BM308" s="290">
        <v>0</v>
      </c>
      <c r="BN308" s="290">
        <v>1309</v>
      </c>
      <c r="BO308" s="290">
        <v>243</v>
      </c>
      <c r="BP308" s="290">
        <v>1</v>
      </c>
      <c r="BQ308" s="290">
        <v>121</v>
      </c>
      <c r="BR308" s="290">
        <v>-1</v>
      </c>
      <c r="BS308" s="290">
        <v>50</v>
      </c>
      <c r="BT308" s="290">
        <v>0</v>
      </c>
      <c r="BU308" s="290">
        <v>0</v>
      </c>
      <c r="BV308" s="290">
        <v>33</v>
      </c>
      <c r="BW308" s="290"/>
      <c r="BX308" s="290"/>
      <c r="BY308" s="290"/>
    </row>
    <row r="309" spans="1:77" ht="13">
      <c r="A309" s="1">
        <v>5047</v>
      </c>
      <c r="B309" s="2" t="s">
        <v>168</v>
      </c>
      <c r="C309" s="289">
        <v>3884</v>
      </c>
      <c r="D309" s="290">
        <v>88</v>
      </c>
      <c r="E309" s="290">
        <v>203</v>
      </c>
      <c r="F309" s="290">
        <v>527</v>
      </c>
      <c r="G309" s="290">
        <v>337</v>
      </c>
      <c r="H309" s="290">
        <v>2076</v>
      </c>
      <c r="I309" s="290">
        <v>444</v>
      </c>
      <c r="J309" s="290">
        <v>155</v>
      </c>
      <c r="K309" s="290">
        <v>34</v>
      </c>
      <c r="L309" s="290">
        <v>24</v>
      </c>
      <c r="M309" s="290">
        <v>247</v>
      </c>
      <c r="N309" s="290">
        <v>27</v>
      </c>
      <c r="O309" s="290">
        <v>39</v>
      </c>
      <c r="P309" s="624">
        <v>35006.585666669998</v>
      </c>
      <c r="Q309" s="624">
        <v>15260.776333330001</v>
      </c>
      <c r="R309" s="624">
        <v>16</v>
      </c>
      <c r="S309" s="290">
        <v>0</v>
      </c>
      <c r="T309" s="290">
        <v>203</v>
      </c>
      <c r="U309" s="958">
        <v>2.7103419126488964E-3</v>
      </c>
      <c r="V309" s="290">
        <v>-3892.3916304600002</v>
      </c>
      <c r="W309" s="765">
        <v>0.73041752999999998</v>
      </c>
      <c r="X309" s="290">
        <v>0</v>
      </c>
      <c r="Y309" s="290">
        <v>854.25360799999999</v>
      </c>
      <c r="Z309" s="290">
        <v>92418</v>
      </c>
      <c r="AA309" s="290">
        <v>3580</v>
      </c>
      <c r="AB309" s="290">
        <v>74</v>
      </c>
      <c r="AC309" s="290">
        <v>728.94399999999996</v>
      </c>
      <c r="AD309" s="290">
        <v>333</v>
      </c>
      <c r="AE309" s="290">
        <v>0</v>
      </c>
      <c r="AF309" s="290">
        <v>0</v>
      </c>
      <c r="AG309" s="290">
        <v>3864</v>
      </c>
      <c r="AH309" s="290">
        <v>736.68441132999999</v>
      </c>
      <c r="AI309" s="290">
        <v>0</v>
      </c>
      <c r="AJ309" s="290">
        <v>0</v>
      </c>
      <c r="AK309" s="290">
        <v>0</v>
      </c>
      <c r="AL309" s="290">
        <v>7029</v>
      </c>
      <c r="AM309" s="957">
        <v>2.6796279999999999E-2</v>
      </c>
      <c r="AN309" s="290">
        <v>0</v>
      </c>
      <c r="AO309" s="290">
        <v>-589.34152600000004</v>
      </c>
      <c r="AP309" s="290">
        <v>0</v>
      </c>
      <c r="AQ309" s="290">
        <v>0</v>
      </c>
      <c r="AR309" s="290">
        <v>5240.2869899999996</v>
      </c>
      <c r="AS309" s="290">
        <v>592</v>
      </c>
      <c r="AT309" s="290">
        <v>149</v>
      </c>
      <c r="AU309" s="290">
        <v>22</v>
      </c>
      <c r="AV309" s="766">
        <v>130032</v>
      </c>
      <c r="AW309" s="290">
        <v>1353</v>
      </c>
      <c r="AX309" s="766">
        <v>32.749949999999998</v>
      </c>
      <c r="AY309" s="290">
        <v>771</v>
      </c>
      <c r="AZ309" s="290">
        <v>123</v>
      </c>
      <c r="BA309" s="290">
        <v>83</v>
      </c>
      <c r="BB309" s="290">
        <v>0</v>
      </c>
      <c r="BC309" s="290">
        <v>1535.5804700000001</v>
      </c>
      <c r="BD309" s="290">
        <v>401</v>
      </c>
      <c r="BE309" s="290">
        <v>126209.245</v>
      </c>
      <c r="BF309" s="290">
        <v>0</v>
      </c>
      <c r="BG309" s="290">
        <v>207</v>
      </c>
      <c r="BH309" s="290">
        <v>30</v>
      </c>
      <c r="BI309" s="290">
        <v>2319.88202</v>
      </c>
      <c r="BJ309" s="290">
        <v>0</v>
      </c>
      <c r="BK309" s="290">
        <f t="shared" si="4"/>
        <v>0</v>
      </c>
      <c r="BL309" s="290">
        <v>0</v>
      </c>
      <c r="BM309" s="290">
        <v>0</v>
      </c>
      <c r="BN309" s="290">
        <v>3015</v>
      </c>
      <c r="BO309" s="290">
        <v>826</v>
      </c>
      <c r="BP309" s="290">
        <v>4</v>
      </c>
      <c r="BQ309" s="290">
        <v>377</v>
      </c>
      <c r="BR309" s="290">
        <v>-2</v>
      </c>
      <c r="BS309" s="290">
        <v>50</v>
      </c>
      <c r="BT309" s="290">
        <v>0</v>
      </c>
      <c r="BU309" s="290">
        <v>0</v>
      </c>
      <c r="BV309" s="290">
        <v>67</v>
      </c>
      <c r="BW309" s="290"/>
      <c r="BX309" s="290"/>
      <c r="BY309" s="290"/>
    </row>
    <row r="310" spans="1:77" ht="13">
      <c r="A310" s="1">
        <v>5049</v>
      </c>
      <c r="B310" s="2" t="s">
        <v>170</v>
      </c>
      <c r="C310" s="289">
        <v>1103</v>
      </c>
      <c r="D310" s="290">
        <v>23</v>
      </c>
      <c r="E310" s="290">
        <v>32</v>
      </c>
      <c r="F310" s="290">
        <v>92</v>
      </c>
      <c r="G310" s="290">
        <v>107</v>
      </c>
      <c r="H310" s="290">
        <v>617</v>
      </c>
      <c r="I310" s="290">
        <v>178</v>
      </c>
      <c r="J310" s="290">
        <v>45</v>
      </c>
      <c r="K310" s="290">
        <v>13</v>
      </c>
      <c r="L310" s="290">
        <v>9</v>
      </c>
      <c r="M310" s="290">
        <v>94</v>
      </c>
      <c r="N310" s="290">
        <v>0</v>
      </c>
      <c r="O310" s="290">
        <v>5</v>
      </c>
      <c r="P310" s="624">
        <v>14671.703666670001</v>
      </c>
      <c r="Q310" s="624">
        <v>6946.0636666700002</v>
      </c>
      <c r="R310" s="624">
        <v>9</v>
      </c>
      <c r="S310" s="290">
        <v>0</v>
      </c>
      <c r="T310" s="290">
        <v>82</v>
      </c>
      <c r="U310" s="958">
        <v>1.13769872080597E-3</v>
      </c>
      <c r="V310" s="290">
        <v>658.46906345000002</v>
      </c>
      <c r="W310" s="765">
        <v>1</v>
      </c>
      <c r="X310" s="290">
        <v>0</v>
      </c>
      <c r="Y310" s="290">
        <v>345.51696800000002</v>
      </c>
      <c r="Z310" s="290">
        <v>41284</v>
      </c>
      <c r="AA310" s="290">
        <v>0</v>
      </c>
      <c r="AB310" s="290">
        <v>19</v>
      </c>
      <c r="AC310" s="290">
        <v>189.518</v>
      </c>
      <c r="AD310" s="290">
        <v>167</v>
      </c>
      <c r="AE310" s="290">
        <v>0</v>
      </c>
      <c r="AF310" s="290">
        <v>0</v>
      </c>
      <c r="AG310" s="290">
        <v>1107</v>
      </c>
      <c r="AH310" s="290">
        <v>154.71095586000001</v>
      </c>
      <c r="AI310" s="290">
        <v>0</v>
      </c>
      <c r="AJ310" s="290">
        <v>0</v>
      </c>
      <c r="AK310" s="290">
        <v>20.274999999999999</v>
      </c>
      <c r="AL310" s="290">
        <v>1999</v>
      </c>
      <c r="AM310" s="957">
        <v>6.8353900000000002E-3</v>
      </c>
      <c r="AN310" s="290">
        <v>0</v>
      </c>
      <c r="AO310" s="290">
        <v>-196.845651</v>
      </c>
      <c r="AP310" s="290">
        <v>0</v>
      </c>
      <c r="AQ310" s="290">
        <v>0</v>
      </c>
      <c r="AR310" s="290">
        <v>-59.629068400000001</v>
      </c>
      <c r="AS310" s="290">
        <v>20</v>
      </c>
      <c r="AT310" s="290">
        <v>36</v>
      </c>
      <c r="AU310" s="290">
        <v>7</v>
      </c>
      <c r="AV310" s="766">
        <v>50156</v>
      </c>
      <c r="AW310" s="290">
        <v>328</v>
      </c>
      <c r="AX310" s="766">
        <v>12.166700000000001</v>
      </c>
      <c r="AY310" s="290">
        <v>217</v>
      </c>
      <c r="AZ310" s="290">
        <v>33</v>
      </c>
      <c r="BA310" s="290">
        <v>15</v>
      </c>
      <c r="BB310" s="290">
        <v>5875</v>
      </c>
      <c r="BC310" s="290">
        <v>489.91771199999999</v>
      </c>
      <c r="BD310" s="290">
        <v>216</v>
      </c>
      <c r="BE310" s="290">
        <v>55038.482600000003</v>
      </c>
      <c r="BF310" s="290">
        <v>0</v>
      </c>
      <c r="BG310" s="290">
        <v>95</v>
      </c>
      <c r="BH310" s="290">
        <v>14</v>
      </c>
      <c r="BI310" s="290">
        <v>710.02092400000004</v>
      </c>
      <c r="BJ310" s="290">
        <v>0</v>
      </c>
      <c r="BK310" s="290">
        <f t="shared" si="4"/>
        <v>0</v>
      </c>
      <c r="BL310" s="290">
        <v>0</v>
      </c>
      <c r="BM310" s="290">
        <v>0</v>
      </c>
      <c r="BN310" s="290">
        <v>1007</v>
      </c>
      <c r="BO310" s="290">
        <v>170</v>
      </c>
      <c r="BP310" s="290">
        <v>1</v>
      </c>
      <c r="BQ310" s="290">
        <v>109</v>
      </c>
      <c r="BR310" s="290">
        <v>-1</v>
      </c>
      <c r="BS310" s="290">
        <v>50</v>
      </c>
      <c r="BT310" s="290">
        <v>0</v>
      </c>
      <c r="BU310" s="290">
        <v>0</v>
      </c>
      <c r="BV310" s="290">
        <v>30</v>
      </c>
      <c r="BW310" s="290"/>
      <c r="BX310" s="290"/>
      <c r="BY310" s="290"/>
    </row>
    <row r="311" spans="1:77" ht="13">
      <c r="A311" s="1">
        <v>5052</v>
      </c>
      <c r="B311" s="2" t="s">
        <v>173</v>
      </c>
      <c r="C311" s="289">
        <v>557</v>
      </c>
      <c r="D311" s="290">
        <v>9</v>
      </c>
      <c r="E311" s="290">
        <v>19</v>
      </c>
      <c r="F311" s="290">
        <v>54</v>
      </c>
      <c r="G311" s="290">
        <v>42</v>
      </c>
      <c r="H311" s="290">
        <v>290</v>
      </c>
      <c r="I311" s="290">
        <v>112</v>
      </c>
      <c r="J311" s="290">
        <v>32</v>
      </c>
      <c r="K311" s="290">
        <v>9</v>
      </c>
      <c r="L311" s="290">
        <v>5</v>
      </c>
      <c r="M311" s="290">
        <v>62</v>
      </c>
      <c r="N311" s="290">
        <v>0</v>
      </c>
      <c r="O311" s="290">
        <v>4</v>
      </c>
      <c r="P311" s="624">
        <v>2894.027</v>
      </c>
      <c r="Q311" s="624">
        <v>2776.7620000000002</v>
      </c>
      <c r="R311" s="624">
        <v>1</v>
      </c>
      <c r="S311" s="290">
        <v>0</v>
      </c>
      <c r="T311" s="290">
        <v>45</v>
      </c>
      <c r="U311" s="958">
        <v>9.2514993919337238E-4</v>
      </c>
      <c r="V311" s="290">
        <v>406.45143196999999</v>
      </c>
      <c r="W311" s="765">
        <v>1</v>
      </c>
      <c r="X311" s="290">
        <v>0</v>
      </c>
      <c r="Y311" s="290">
        <v>0</v>
      </c>
      <c r="Z311" s="290">
        <v>13835</v>
      </c>
      <c r="AA311" s="290">
        <v>0</v>
      </c>
      <c r="AB311" s="290">
        <v>9</v>
      </c>
      <c r="AC311" s="290">
        <v>110.619</v>
      </c>
      <c r="AD311" s="290">
        <v>167</v>
      </c>
      <c r="AE311" s="290">
        <v>0</v>
      </c>
      <c r="AF311" s="290">
        <v>0</v>
      </c>
      <c r="AG311" s="290">
        <v>567</v>
      </c>
      <c r="AH311" s="290">
        <v>100</v>
      </c>
      <c r="AI311" s="290">
        <v>0</v>
      </c>
      <c r="AJ311" s="290">
        <v>0</v>
      </c>
      <c r="AK311" s="290">
        <v>0</v>
      </c>
      <c r="AL311" s="290">
        <v>1027</v>
      </c>
      <c r="AM311" s="957">
        <v>1.9503000000000001E-3</v>
      </c>
      <c r="AN311" s="290">
        <v>0</v>
      </c>
      <c r="AO311" s="290">
        <v>-121.506387</v>
      </c>
      <c r="AP311" s="290">
        <v>0</v>
      </c>
      <c r="AQ311" s="290">
        <v>0</v>
      </c>
      <c r="AR311" s="290">
        <v>-30.541717999999999</v>
      </c>
      <c r="AS311" s="290">
        <v>20</v>
      </c>
      <c r="AT311" s="290">
        <v>19</v>
      </c>
      <c r="AU311" s="290">
        <v>3</v>
      </c>
      <c r="AV311" s="766">
        <v>37454</v>
      </c>
      <c r="AW311" s="290">
        <v>379</v>
      </c>
      <c r="AX311" s="766">
        <v>1.75</v>
      </c>
      <c r="AY311" s="290">
        <v>77</v>
      </c>
      <c r="AZ311" s="290">
        <v>11</v>
      </c>
      <c r="BA311" s="290">
        <v>14</v>
      </c>
      <c r="BB311" s="290">
        <v>5875</v>
      </c>
      <c r="BC311" s="290">
        <v>100</v>
      </c>
      <c r="BD311" s="290">
        <v>173</v>
      </c>
      <c r="BE311" s="290">
        <v>39248.413399999998</v>
      </c>
      <c r="BF311" s="290">
        <v>0</v>
      </c>
      <c r="BG311" s="290">
        <v>67</v>
      </c>
      <c r="BH311" s="290">
        <v>10</v>
      </c>
      <c r="BI311" s="290">
        <v>210.619</v>
      </c>
      <c r="BJ311" s="290">
        <v>0</v>
      </c>
      <c r="BK311" s="290">
        <f t="shared" si="4"/>
        <v>0</v>
      </c>
      <c r="BL311" s="290">
        <v>0</v>
      </c>
      <c r="BM311" s="290">
        <v>0</v>
      </c>
      <c r="BN311" s="290">
        <v>622</v>
      </c>
      <c r="BO311" s="290">
        <v>91</v>
      </c>
      <c r="BP311" s="290">
        <v>0</v>
      </c>
      <c r="BQ311" s="290">
        <v>55</v>
      </c>
      <c r="BR311" s="290">
        <v>0</v>
      </c>
      <c r="BS311" s="290">
        <v>444</v>
      </c>
      <c r="BT311" s="290">
        <v>0</v>
      </c>
      <c r="BU311" s="290">
        <v>0</v>
      </c>
      <c r="BV311" s="290">
        <v>22</v>
      </c>
      <c r="BW311" s="290"/>
      <c r="BX311" s="290"/>
      <c r="BY311" s="290"/>
    </row>
    <row r="312" spans="1:77" ht="13">
      <c r="A312" s="1">
        <v>5053</v>
      </c>
      <c r="B312" s="2" t="s">
        <v>155</v>
      </c>
      <c r="C312" s="289">
        <v>6816</v>
      </c>
      <c r="D312" s="290">
        <v>125</v>
      </c>
      <c r="E312" s="290">
        <v>319</v>
      </c>
      <c r="F312" s="290">
        <v>851</v>
      </c>
      <c r="G312" s="290">
        <v>656</v>
      </c>
      <c r="H312" s="290">
        <v>3571</v>
      </c>
      <c r="I312" s="290">
        <v>944</v>
      </c>
      <c r="J312" s="290">
        <v>270</v>
      </c>
      <c r="K312" s="290">
        <v>72</v>
      </c>
      <c r="L312" s="290">
        <v>51</v>
      </c>
      <c r="M312" s="290">
        <v>507</v>
      </c>
      <c r="N312" s="290">
        <v>45</v>
      </c>
      <c r="O312" s="290">
        <v>36</v>
      </c>
      <c r="P312" s="624">
        <v>55815.08633333</v>
      </c>
      <c r="Q312" s="624">
        <v>20159.658666669999</v>
      </c>
      <c r="R312" s="624">
        <v>31</v>
      </c>
      <c r="S312" s="290">
        <v>0</v>
      </c>
      <c r="T312" s="290">
        <v>401</v>
      </c>
      <c r="U312" s="958">
        <v>4.8384578572927281E-3</v>
      </c>
      <c r="V312" s="290">
        <v>1776.9532182099999</v>
      </c>
      <c r="W312" s="765">
        <v>0.68241954999999999</v>
      </c>
      <c r="X312" s="290">
        <v>0</v>
      </c>
      <c r="Y312" s="290">
        <v>689.97406799999999</v>
      </c>
      <c r="Z312" s="290">
        <v>166507</v>
      </c>
      <c r="AA312" s="290">
        <v>110</v>
      </c>
      <c r="AB312" s="290">
        <v>139</v>
      </c>
      <c r="AC312" s="290">
        <v>1165.223</v>
      </c>
      <c r="AD312" s="290">
        <v>333</v>
      </c>
      <c r="AE312" s="290">
        <v>0</v>
      </c>
      <c r="AF312" s="290">
        <v>20322.569405589998</v>
      </c>
      <c r="AG312" s="290">
        <v>6808</v>
      </c>
      <c r="AH312" s="290">
        <v>1234.0729049500001</v>
      </c>
      <c r="AI312" s="290">
        <v>150</v>
      </c>
      <c r="AJ312" s="290">
        <v>0</v>
      </c>
      <c r="AK312" s="290">
        <v>0</v>
      </c>
      <c r="AL312" s="290">
        <v>0</v>
      </c>
      <c r="AM312" s="957">
        <v>7.760504E-2</v>
      </c>
      <c r="AN312" s="290">
        <v>7292</v>
      </c>
      <c r="AO312" s="290">
        <v>-995.79976399999998</v>
      </c>
      <c r="AP312" s="290">
        <v>0</v>
      </c>
      <c r="AQ312" s="290">
        <v>0</v>
      </c>
      <c r="AR312" s="290">
        <v>-366.71607699999998</v>
      </c>
      <c r="AS312" s="290">
        <v>2298</v>
      </c>
      <c r="AT312" s="290">
        <v>329</v>
      </c>
      <c r="AU312" s="290">
        <v>60</v>
      </c>
      <c r="AV312" s="766">
        <v>217465</v>
      </c>
      <c r="AW312" s="290">
        <v>1244</v>
      </c>
      <c r="AX312" s="766">
        <v>37.999949999999998</v>
      </c>
      <c r="AY312" s="290">
        <v>1600</v>
      </c>
      <c r="AZ312" s="290">
        <v>182</v>
      </c>
      <c r="BA312" s="290">
        <v>137</v>
      </c>
      <c r="BB312" s="290">
        <v>0</v>
      </c>
      <c r="BC312" s="290">
        <v>19574.124800000001</v>
      </c>
      <c r="BD312" s="290">
        <v>627</v>
      </c>
      <c r="BE312" s="290">
        <v>228210.80100000001</v>
      </c>
      <c r="BF312" s="290">
        <v>0</v>
      </c>
      <c r="BG312" s="290">
        <v>343</v>
      </c>
      <c r="BH312" s="290">
        <v>49</v>
      </c>
      <c r="BI312" s="290">
        <v>23411.839400000001</v>
      </c>
      <c r="BJ312" s="290">
        <v>0</v>
      </c>
      <c r="BK312" s="290">
        <f t="shared" si="4"/>
        <v>0</v>
      </c>
      <c r="BL312" s="290">
        <v>0</v>
      </c>
      <c r="BM312" s="290">
        <v>0</v>
      </c>
      <c r="BN312" s="290">
        <v>5095</v>
      </c>
      <c r="BO312" s="290">
        <v>1293</v>
      </c>
      <c r="BP312" s="290">
        <v>6</v>
      </c>
      <c r="BQ312" s="290">
        <v>660</v>
      </c>
      <c r="BR312" s="290">
        <v>-3</v>
      </c>
      <c r="BS312" s="290">
        <v>100</v>
      </c>
      <c r="BT312" s="290">
        <v>0</v>
      </c>
      <c r="BU312" s="290">
        <v>0</v>
      </c>
      <c r="BV312" s="290">
        <v>110</v>
      </c>
      <c r="BW312" s="290"/>
      <c r="BX312" s="290"/>
      <c r="BY312" s="290"/>
    </row>
    <row r="313" spans="1:77" ht="13">
      <c r="A313" s="1">
        <v>5054</v>
      </c>
      <c r="B313" s="2" t="s">
        <v>1234</v>
      </c>
      <c r="C313" s="289">
        <v>10084</v>
      </c>
      <c r="D313" s="290">
        <v>154</v>
      </c>
      <c r="E313" s="290">
        <v>424</v>
      </c>
      <c r="F313" s="290">
        <v>1264</v>
      </c>
      <c r="G313" s="290">
        <v>880</v>
      </c>
      <c r="H313" s="290">
        <v>5313</v>
      </c>
      <c r="I313" s="290">
        <v>1448</v>
      </c>
      <c r="J313" s="290">
        <v>454</v>
      </c>
      <c r="K313" s="290">
        <v>109</v>
      </c>
      <c r="L313" s="290">
        <v>82</v>
      </c>
      <c r="M313" s="290">
        <v>892</v>
      </c>
      <c r="N313" s="290">
        <v>36</v>
      </c>
      <c r="O313" s="290">
        <v>77</v>
      </c>
      <c r="P313" s="624">
        <v>95000.661333330005</v>
      </c>
      <c r="Q313" s="624">
        <v>34505.203999999998</v>
      </c>
      <c r="R313" s="624">
        <v>47</v>
      </c>
      <c r="S313" s="290">
        <v>0</v>
      </c>
      <c r="T313" s="290">
        <v>713</v>
      </c>
      <c r="U313" s="958">
        <v>7.2375020838979474E-3</v>
      </c>
      <c r="V313" s="290">
        <v>1569.60637862</v>
      </c>
      <c r="W313" s="765">
        <v>0.81114050999999998</v>
      </c>
      <c r="X313" s="290">
        <v>2430</v>
      </c>
      <c r="Y313" s="290">
        <v>854.25360799999999</v>
      </c>
      <c r="Z313" s="290">
        <v>228796</v>
      </c>
      <c r="AA313" s="290">
        <v>0</v>
      </c>
      <c r="AB313" s="290">
        <v>231</v>
      </c>
      <c r="AC313" s="290">
        <v>1741.7829999999999</v>
      </c>
      <c r="AD313" s="290">
        <v>333</v>
      </c>
      <c r="AE313" s="290">
        <v>0</v>
      </c>
      <c r="AF313" s="290">
        <v>16069.33499678</v>
      </c>
      <c r="AG313" s="290">
        <v>10046</v>
      </c>
      <c r="AH313" s="290">
        <v>1710.4958952100001</v>
      </c>
      <c r="AI313" s="290">
        <v>3050</v>
      </c>
      <c r="AJ313" s="290">
        <v>0</v>
      </c>
      <c r="AK313" s="290">
        <v>0</v>
      </c>
      <c r="AL313" s="290">
        <v>0</v>
      </c>
      <c r="AM313" s="957">
        <v>0.13444582999999999</v>
      </c>
      <c r="AN313" s="290">
        <v>7712</v>
      </c>
      <c r="AO313" s="290">
        <v>-1496.8166000000001</v>
      </c>
      <c r="AP313" s="290">
        <v>0</v>
      </c>
      <c r="AQ313" s="290">
        <v>1655.57</v>
      </c>
      <c r="AR313" s="290">
        <v>2836.74188</v>
      </c>
      <c r="AS313" s="290">
        <v>2778</v>
      </c>
      <c r="AT313" s="290">
        <v>435</v>
      </c>
      <c r="AU313" s="290">
        <v>84</v>
      </c>
      <c r="AV313" s="766">
        <v>331147</v>
      </c>
      <c r="AW313" s="290">
        <v>2084</v>
      </c>
      <c r="AX313" s="766">
        <v>48.776200000000003</v>
      </c>
      <c r="AY313" s="290">
        <v>1669</v>
      </c>
      <c r="AZ313" s="290">
        <v>372</v>
      </c>
      <c r="BA313" s="290">
        <v>226</v>
      </c>
      <c r="BB313" s="290">
        <v>0</v>
      </c>
      <c r="BC313" s="290">
        <v>18089.528699999999</v>
      </c>
      <c r="BD313" s="290">
        <v>899</v>
      </c>
      <c r="BE313" s="290">
        <v>335808.58199999999</v>
      </c>
      <c r="BF313" s="290">
        <v>0</v>
      </c>
      <c r="BG313" s="290">
        <v>509</v>
      </c>
      <c r="BH313" s="290">
        <v>73</v>
      </c>
      <c r="BI313" s="290">
        <v>20375.8675</v>
      </c>
      <c r="BJ313" s="290">
        <v>0</v>
      </c>
      <c r="BK313" s="290">
        <f t="shared" si="4"/>
        <v>0</v>
      </c>
      <c r="BL313" s="290">
        <v>0</v>
      </c>
      <c r="BM313" s="290">
        <v>3940</v>
      </c>
      <c r="BN313" s="290">
        <v>7659</v>
      </c>
      <c r="BO313" s="290">
        <v>1760</v>
      </c>
      <c r="BP313" s="290">
        <v>8</v>
      </c>
      <c r="BQ313" s="290">
        <v>968</v>
      </c>
      <c r="BR313" s="290">
        <v>-5</v>
      </c>
      <c r="BS313" s="290">
        <v>127</v>
      </c>
      <c r="BT313" s="290">
        <v>0</v>
      </c>
      <c r="BU313" s="290">
        <v>0</v>
      </c>
      <c r="BV313" s="290">
        <v>164</v>
      </c>
      <c r="BW313" s="290"/>
      <c r="BX313" s="290"/>
      <c r="BY313" s="290"/>
    </row>
    <row r="314" spans="1:77" ht="13">
      <c r="A314" s="1">
        <v>5055</v>
      </c>
      <c r="B314" s="2" t="s">
        <v>1642</v>
      </c>
      <c r="C314" s="289">
        <v>5963</v>
      </c>
      <c r="D314" s="290">
        <v>100</v>
      </c>
      <c r="E314" s="290">
        <v>255</v>
      </c>
      <c r="F314" s="290">
        <v>655</v>
      </c>
      <c r="G314" s="290">
        <v>556</v>
      </c>
      <c r="H314" s="290">
        <v>3148</v>
      </c>
      <c r="I314" s="290">
        <v>913</v>
      </c>
      <c r="J314" s="290">
        <v>297</v>
      </c>
      <c r="K314" s="290">
        <v>62</v>
      </c>
      <c r="L314" s="290">
        <v>44</v>
      </c>
      <c r="M314" s="290">
        <v>551</v>
      </c>
      <c r="N314" s="290">
        <v>38</v>
      </c>
      <c r="O314" s="290">
        <v>44</v>
      </c>
      <c r="P314" s="624">
        <v>69339.25552644</v>
      </c>
      <c r="Q314" s="624">
        <v>20773.865044179998</v>
      </c>
      <c r="R314" s="624">
        <v>23</v>
      </c>
      <c r="S314" s="290">
        <v>0</v>
      </c>
      <c r="T314" s="290">
        <v>441</v>
      </c>
      <c r="U314" s="958">
        <v>4.1325511945300795E-3</v>
      </c>
      <c r="V314" s="290">
        <v>2969.3458392299999</v>
      </c>
      <c r="W314" s="765">
        <v>0.86505310999999996</v>
      </c>
      <c r="X314" s="290">
        <v>30</v>
      </c>
      <c r="Y314" s="290">
        <v>789.50405445000001</v>
      </c>
      <c r="Z314" s="290">
        <v>158118</v>
      </c>
      <c r="AA314" s="290">
        <v>0</v>
      </c>
      <c r="AB314" s="290">
        <v>160</v>
      </c>
      <c r="AC314" s="290">
        <v>985.82292988999995</v>
      </c>
      <c r="AD314" s="290">
        <v>333</v>
      </c>
      <c r="AE314" s="290">
        <v>0</v>
      </c>
      <c r="AF314" s="290">
        <v>24822.926100000001</v>
      </c>
      <c r="AG314" s="290">
        <v>5986</v>
      </c>
      <c r="AH314" s="290">
        <v>959.35251603999995</v>
      </c>
      <c r="AI314" s="290">
        <v>0</v>
      </c>
      <c r="AJ314" s="290">
        <v>0</v>
      </c>
      <c r="AK314" s="290">
        <v>459.23525224000002</v>
      </c>
      <c r="AL314" s="290">
        <v>0</v>
      </c>
      <c r="AM314" s="957">
        <v>5.3156000000000002E-2</v>
      </c>
      <c r="AN314" s="290">
        <v>8197</v>
      </c>
      <c r="AO314" s="290">
        <v>-887.66936199999998</v>
      </c>
      <c r="AP314" s="290">
        <v>0</v>
      </c>
      <c r="AQ314" s="290">
        <v>0</v>
      </c>
      <c r="AR314" s="290">
        <v>-322.43866600000001</v>
      </c>
      <c r="AS314" s="290">
        <v>2520</v>
      </c>
      <c r="AT314" s="290">
        <v>250</v>
      </c>
      <c r="AU314" s="290">
        <v>32</v>
      </c>
      <c r="AV314" s="766">
        <v>204430.58199999999</v>
      </c>
      <c r="AW314" s="290">
        <v>1041</v>
      </c>
      <c r="AX314" s="766">
        <v>45.433349999999997</v>
      </c>
      <c r="AY314" s="290">
        <v>909</v>
      </c>
      <c r="AZ314" s="290">
        <v>240</v>
      </c>
      <c r="BA314" s="290">
        <v>118</v>
      </c>
      <c r="BB314" s="290">
        <v>0</v>
      </c>
      <c r="BC314" s="290">
        <v>3188.1550099999999</v>
      </c>
      <c r="BD314" s="290">
        <v>584</v>
      </c>
      <c r="BE314" s="290">
        <v>216151.6</v>
      </c>
      <c r="BF314" s="290">
        <v>0</v>
      </c>
      <c r="BG314" s="290">
        <v>326</v>
      </c>
      <c r="BH314" s="290">
        <v>47</v>
      </c>
      <c r="BI314" s="290">
        <v>28016.840899999999</v>
      </c>
      <c r="BJ314" s="290">
        <v>0</v>
      </c>
      <c r="BK314" s="290">
        <f t="shared" si="4"/>
        <v>0</v>
      </c>
      <c r="BL314" s="290">
        <v>0</v>
      </c>
      <c r="BM314" s="290">
        <v>0</v>
      </c>
      <c r="BN314" s="290">
        <v>4542</v>
      </c>
      <c r="BO314" s="290">
        <v>1046</v>
      </c>
      <c r="BP314" s="290">
        <v>5</v>
      </c>
      <c r="BQ314" s="290">
        <v>587</v>
      </c>
      <c r="BR314" s="290">
        <v>-3</v>
      </c>
      <c r="BS314" s="290">
        <v>55</v>
      </c>
      <c r="BT314" s="290">
        <v>0</v>
      </c>
      <c r="BU314" s="290">
        <v>0</v>
      </c>
      <c r="BV314" s="290">
        <v>105</v>
      </c>
      <c r="BW314" s="290"/>
      <c r="BX314" s="290"/>
      <c r="BY314" s="290"/>
    </row>
    <row r="315" spans="1:77" ht="13">
      <c r="A315" s="1">
        <v>5056</v>
      </c>
      <c r="B315" s="2" t="s">
        <v>1643</v>
      </c>
      <c r="C315" s="289">
        <v>5050</v>
      </c>
      <c r="D315" s="290">
        <v>115</v>
      </c>
      <c r="E315" s="290">
        <v>200</v>
      </c>
      <c r="F315" s="290">
        <v>510</v>
      </c>
      <c r="G315" s="290">
        <v>422</v>
      </c>
      <c r="H315" s="290">
        <v>2866</v>
      </c>
      <c r="I315" s="290">
        <v>681</v>
      </c>
      <c r="J315" s="290">
        <v>214</v>
      </c>
      <c r="K315" s="290">
        <v>40</v>
      </c>
      <c r="L315" s="290">
        <v>39</v>
      </c>
      <c r="M315" s="290">
        <v>436</v>
      </c>
      <c r="N315" s="290">
        <v>36</v>
      </c>
      <c r="O315" s="290">
        <v>56</v>
      </c>
      <c r="P315" s="624">
        <v>70249.287787980007</v>
      </c>
      <c r="Q315" s="624">
        <v>25126.228844469999</v>
      </c>
      <c r="R315" s="624">
        <v>20</v>
      </c>
      <c r="S315" s="290">
        <v>0</v>
      </c>
      <c r="T315" s="290">
        <v>506</v>
      </c>
      <c r="U315" s="958">
        <v>2.1627797589222376E-3</v>
      </c>
      <c r="V315" s="290">
        <v>2472.4507183699998</v>
      </c>
      <c r="W315" s="765">
        <v>0.91993851999999998</v>
      </c>
      <c r="X315" s="290">
        <v>2570</v>
      </c>
      <c r="Y315" s="290">
        <v>565.65441596999995</v>
      </c>
      <c r="Z315" s="290">
        <v>145800</v>
      </c>
      <c r="AA315" s="290">
        <v>0</v>
      </c>
      <c r="AB315" s="290">
        <v>110</v>
      </c>
      <c r="AC315" s="290">
        <v>793.27862156000003</v>
      </c>
      <c r="AD315" s="290">
        <v>333</v>
      </c>
      <c r="AE315" s="290">
        <v>0</v>
      </c>
      <c r="AF315" s="290">
        <v>6061.8074999999999</v>
      </c>
      <c r="AG315" s="290">
        <v>5048</v>
      </c>
      <c r="AH315" s="290">
        <v>761.26465666000001</v>
      </c>
      <c r="AI315" s="290">
        <v>0</v>
      </c>
      <c r="AJ315" s="290">
        <v>0</v>
      </c>
      <c r="AK315" s="290">
        <v>18.138162139999999</v>
      </c>
      <c r="AL315" s="290">
        <v>0</v>
      </c>
      <c r="AM315" s="957">
        <v>0.11236551</v>
      </c>
      <c r="AN315" s="290">
        <v>2821</v>
      </c>
      <c r="AO315" s="290">
        <v>-739.12534000000005</v>
      </c>
      <c r="AP315" s="290">
        <v>0</v>
      </c>
      <c r="AQ315" s="290">
        <v>0</v>
      </c>
      <c r="AR315" s="290">
        <v>-271.91286100000002</v>
      </c>
      <c r="AS315" s="290">
        <v>1386</v>
      </c>
      <c r="AT315" s="290">
        <v>235</v>
      </c>
      <c r="AU315" s="290">
        <v>56</v>
      </c>
      <c r="AV315" s="766">
        <v>153734.541</v>
      </c>
      <c r="AW315" s="290">
        <v>1071</v>
      </c>
      <c r="AX315" s="766">
        <v>47.816650000000003</v>
      </c>
      <c r="AY315" s="290">
        <v>737</v>
      </c>
      <c r="AZ315" s="290">
        <v>215</v>
      </c>
      <c r="BA315" s="290">
        <v>125</v>
      </c>
      <c r="BB315" s="290">
        <v>0</v>
      </c>
      <c r="BC315" s="290">
        <v>1280.4583700000001</v>
      </c>
      <c r="BD315" s="290">
        <v>518</v>
      </c>
      <c r="BE315" s="290">
        <v>161497.23699999999</v>
      </c>
      <c r="BF315" s="290">
        <v>0</v>
      </c>
      <c r="BG315" s="290">
        <v>281</v>
      </c>
      <c r="BH315" s="290">
        <v>40</v>
      </c>
      <c r="BI315" s="290">
        <v>8200.14336</v>
      </c>
      <c r="BJ315" s="290">
        <v>0</v>
      </c>
      <c r="BK315" s="290">
        <f t="shared" si="4"/>
        <v>0</v>
      </c>
      <c r="BL315" s="290">
        <v>0</v>
      </c>
      <c r="BM315" s="290">
        <v>0</v>
      </c>
      <c r="BN315" s="290">
        <v>3782</v>
      </c>
      <c r="BO315" s="290">
        <v>859</v>
      </c>
      <c r="BP315" s="290">
        <v>4</v>
      </c>
      <c r="BQ315" s="290">
        <v>489</v>
      </c>
      <c r="BR315" s="290">
        <v>-2</v>
      </c>
      <c r="BS315" s="290">
        <v>50</v>
      </c>
      <c r="BT315" s="290">
        <v>0</v>
      </c>
      <c r="BU315" s="290">
        <v>0</v>
      </c>
      <c r="BV315" s="290">
        <v>90</v>
      </c>
      <c r="BW315" s="290"/>
      <c r="BX315" s="290"/>
      <c r="BY315" s="290"/>
    </row>
    <row r="316" spans="1:77" ht="13">
      <c r="A316" s="1">
        <v>5057</v>
      </c>
      <c r="B316" s="2" t="s">
        <v>1644</v>
      </c>
      <c r="C316" s="289">
        <v>10323</v>
      </c>
      <c r="D316" s="290">
        <v>205</v>
      </c>
      <c r="E316" s="290">
        <v>489</v>
      </c>
      <c r="F316" s="290">
        <v>1182</v>
      </c>
      <c r="G316" s="290">
        <v>833</v>
      </c>
      <c r="H316" s="290">
        <v>5719</v>
      </c>
      <c r="I316" s="290">
        <v>1319</v>
      </c>
      <c r="J316" s="290">
        <v>466</v>
      </c>
      <c r="K316" s="290">
        <v>96</v>
      </c>
      <c r="L316" s="290">
        <v>85</v>
      </c>
      <c r="M316" s="290">
        <v>875</v>
      </c>
      <c r="N316" s="290">
        <v>14</v>
      </c>
      <c r="O316" s="290">
        <v>56</v>
      </c>
      <c r="P316" s="624">
        <v>56880.524333330002</v>
      </c>
      <c r="Q316" s="624">
        <v>25746.203666670001</v>
      </c>
      <c r="R316" s="624">
        <v>28</v>
      </c>
      <c r="S316" s="290">
        <v>0</v>
      </c>
      <c r="T316" s="290">
        <v>867</v>
      </c>
      <c r="U316" s="958">
        <v>5.2037993618029178E-3</v>
      </c>
      <c r="V316" s="290">
        <v>1513.0172202399999</v>
      </c>
      <c r="W316" s="765">
        <v>0.67739990000000005</v>
      </c>
      <c r="X316" s="290">
        <v>120</v>
      </c>
      <c r="Y316" s="290">
        <v>854.25360799999999</v>
      </c>
      <c r="Z316" s="290">
        <v>254501</v>
      </c>
      <c r="AA316" s="290">
        <v>0</v>
      </c>
      <c r="AB316" s="290">
        <v>286</v>
      </c>
      <c r="AC316" s="290">
        <v>1544.078</v>
      </c>
      <c r="AD316" s="290">
        <v>333</v>
      </c>
      <c r="AE316" s="290">
        <v>0</v>
      </c>
      <c r="AF316" s="290">
        <v>18599.500100000001</v>
      </c>
      <c r="AG316" s="290">
        <v>10309</v>
      </c>
      <c r="AH316" s="290">
        <v>1703.26641129</v>
      </c>
      <c r="AI316" s="290">
        <v>400</v>
      </c>
      <c r="AJ316" s="290">
        <v>0</v>
      </c>
      <c r="AK316" s="290">
        <v>765.02800000000002</v>
      </c>
      <c r="AL316" s="290">
        <v>0</v>
      </c>
      <c r="AM316" s="957">
        <v>8.7057270000000006E-2</v>
      </c>
      <c r="AN316" s="290">
        <v>13067</v>
      </c>
      <c r="AO316" s="290">
        <v>-1449.6763100000001</v>
      </c>
      <c r="AP316" s="290">
        <v>0</v>
      </c>
      <c r="AQ316" s="290">
        <v>0</v>
      </c>
      <c r="AR316" s="290">
        <v>-555.29906600000004</v>
      </c>
      <c r="AS316" s="290">
        <v>7852</v>
      </c>
      <c r="AT316" s="290">
        <v>481</v>
      </c>
      <c r="AU316" s="290">
        <v>61</v>
      </c>
      <c r="AV316" s="766">
        <v>300299</v>
      </c>
      <c r="AW316" s="290">
        <v>2253</v>
      </c>
      <c r="AX316" s="766">
        <v>76</v>
      </c>
      <c r="AY316" s="290">
        <v>1790</v>
      </c>
      <c r="AZ316" s="290">
        <v>311</v>
      </c>
      <c r="BA316" s="290">
        <v>293</v>
      </c>
      <c r="BB316" s="290">
        <v>0</v>
      </c>
      <c r="BC316" s="290">
        <v>3803.56115</v>
      </c>
      <c r="BD316" s="290">
        <v>905</v>
      </c>
      <c r="BE316" s="290">
        <v>315218.29800000001</v>
      </c>
      <c r="BF316" s="290">
        <v>0</v>
      </c>
      <c r="BG316" s="290">
        <v>484</v>
      </c>
      <c r="BH316" s="290">
        <v>69</v>
      </c>
      <c r="BI316" s="290">
        <v>23466.126100000001</v>
      </c>
      <c r="BJ316" s="290">
        <v>0</v>
      </c>
      <c r="BK316" s="290">
        <f t="shared" si="4"/>
        <v>0</v>
      </c>
      <c r="BL316" s="290">
        <v>0</v>
      </c>
      <c r="BM316" s="290">
        <v>3952</v>
      </c>
      <c r="BN316" s="290">
        <v>7417</v>
      </c>
      <c r="BO316" s="290">
        <v>1909</v>
      </c>
      <c r="BP316" s="290">
        <v>10</v>
      </c>
      <c r="BQ316" s="290">
        <v>996</v>
      </c>
      <c r="BR316" s="290">
        <v>-5</v>
      </c>
      <c r="BS316" s="290">
        <v>96</v>
      </c>
      <c r="BT316" s="290">
        <v>0</v>
      </c>
      <c r="BU316" s="290">
        <v>0</v>
      </c>
      <c r="BV316" s="290">
        <v>156</v>
      </c>
      <c r="BW316" s="290"/>
      <c r="BX316" s="290"/>
      <c r="BY316" s="290"/>
    </row>
    <row r="317" spans="1:77" ht="13">
      <c r="A317" s="1">
        <v>5058</v>
      </c>
      <c r="B317" s="2" t="s">
        <v>1645</v>
      </c>
      <c r="C317" s="289">
        <v>4288</v>
      </c>
      <c r="D317" s="290">
        <v>106</v>
      </c>
      <c r="E317" s="290">
        <v>185</v>
      </c>
      <c r="F317" s="290">
        <v>407</v>
      </c>
      <c r="G317" s="290">
        <v>374</v>
      </c>
      <c r="H317" s="290">
        <v>2291</v>
      </c>
      <c r="I317" s="290">
        <v>640</v>
      </c>
      <c r="J317" s="290">
        <v>233</v>
      </c>
      <c r="K317" s="290">
        <v>61</v>
      </c>
      <c r="L317" s="290">
        <v>36</v>
      </c>
      <c r="M317" s="290">
        <v>447</v>
      </c>
      <c r="N317" s="290">
        <v>8</v>
      </c>
      <c r="O317" s="290">
        <v>36</v>
      </c>
      <c r="P317" s="624">
        <v>65780.375666670006</v>
      </c>
      <c r="Q317" s="624">
        <v>20108.865000000002</v>
      </c>
      <c r="R317" s="624">
        <v>22</v>
      </c>
      <c r="S317" s="290">
        <v>0</v>
      </c>
      <c r="T317" s="290">
        <v>301</v>
      </c>
      <c r="U317" s="958">
        <v>3.2822863416077505E-3</v>
      </c>
      <c r="V317" s="290">
        <v>2168.7457261</v>
      </c>
      <c r="W317" s="765">
        <v>1</v>
      </c>
      <c r="X317" s="290">
        <v>1510</v>
      </c>
      <c r="Y317" s="290">
        <v>854.25360799999999</v>
      </c>
      <c r="Z317" s="290">
        <v>115391</v>
      </c>
      <c r="AA317" s="290">
        <v>0</v>
      </c>
      <c r="AB317" s="290">
        <v>107</v>
      </c>
      <c r="AC317" s="290">
        <v>649.21299999999997</v>
      </c>
      <c r="AD317" s="290">
        <v>333</v>
      </c>
      <c r="AE317" s="290">
        <v>0</v>
      </c>
      <c r="AF317" s="290">
        <v>20060.754099999998</v>
      </c>
      <c r="AG317" s="290">
        <v>4297</v>
      </c>
      <c r="AH317" s="290">
        <v>649.93060431000004</v>
      </c>
      <c r="AI317" s="290">
        <v>2450</v>
      </c>
      <c r="AJ317" s="290">
        <v>0</v>
      </c>
      <c r="AK317" s="290">
        <v>106.131</v>
      </c>
      <c r="AL317" s="290">
        <v>0</v>
      </c>
      <c r="AM317" s="957">
        <v>1.6143660000000001E-2</v>
      </c>
      <c r="AN317" s="290">
        <v>6223</v>
      </c>
      <c r="AO317" s="290">
        <v>-678.55770800000005</v>
      </c>
      <c r="AP317" s="290">
        <v>0</v>
      </c>
      <c r="AQ317" s="290">
        <v>0</v>
      </c>
      <c r="AR317" s="290">
        <v>-231.45989800000001</v>
      </c>
      <c r="AS317" s="290">
        <v>3174</v>
      </c>
      <c r="AT317" s="290">
        <v>162</v>
      </c>
      <c r="AU317" s="290">
        <v>20</v>
      </c>
      <c r="AV317" s="766">
        <v>166324</v>
      </c>
      <c r="AW317" s="290">
        <v>854</v>
      </c>
      <c r="AX317" s="766">
        <v>47.000050000000002</v>
      </c>
      <c r="AY317" s="290">
        <v>637</v>
      </c>
      <c r="AZ317" s="290">
        <v>92</v>
      </c>
      <c r="BA317" s="290">
        <v>63</v>
      </c>
      <c r="BB317" s="290">
        <v>0</v>
      </c>
      <c r="BC317" s="290">
        <v>1453.30486</v>
      </c>
      <c r="BD317" s="290">
        <v>468</v>
      </c>
      <c r="BE317" s="290">
        <v>175775.77600000001</v>
      </c>
      <c r="BF317" s="290">
        <v>0</v>
      </c>
      <c r="BG317" s="290">
        <v>258</v>
      </c>
      <c r="BH317" s="290">
        <v>37</v>
      </c>
      <c r="BI317" s="290">
        <v>22320.282299999999</v>
      </c>
      <c r="BJ317" s="290">
        <v>0</v>
      </c>
      <c r="BK317" s="290">
        <f t="shared" si="4"/>
        <v>0</v>
      </c>
      <c r="BL317" s="290">
        <v>0</v>
      </c>
      <c r="BM317" s="290">
        <v>0</v>
      </c>
      <c r="BN317" s="290">
        <v>3472</v>
      </c>
      <c r="BO317" s="290">
        <v>767</v>
      </c>
      <c r="BP317" s="290">
        <v>4</v>
      </c>
      <c r="BQ317" s="290">
        <v>419</v>
      </c>
      <c r="BR317" s="290">
        <v>-2</v>
      </c>
      <c r="BS317" s="290">
        <v>50</v>
      </c>
      <c r="BT317" s="290">
        <v>0</v>
      </c>
      <c r="BU317" s="290">
        <v>0</v>
      </c>
      <c r="BV317" s="290">
        <v>83</v>
      </c>
      <c r="BW317" s="290"/>
      <c r="BX317" s="290"/>
      <c r="BY317" s="290"/>
    </row>
    <row r="318" spans="1:77" ht="13">
      <c r="A318" s="1">
        <v>5059</v>
      </c>
      <c r="B318" s="2" t="s">
        <v>1646</v>
      </c>
      <c r="C318" s="289">
        <v>18217</v>
      </c>
      <c r="D318" s="290">
        <v>332</v>
      </c>
      <c r="E318" s="290">
        <v>795</v>
      </c>
      <c r="F318" s="290">
        <v>2212</v>
      </c>
      <c r="G318" s="290">
        <v>1524</v>
      </c>
      <c r="H318" s="290">
        <v>9908</v>
      </c>
      <c r="I318" s="290">
        <v>2400</v>
      </c>
      <c r="J318" s="290">
        <v>781</v>
      </c>
      <c r="K318" s="290">
        <v>216</v>
      </c>
      <c r="L318" s="290">
        <v>139</v>
      </c>
      <c r="M318" s="290">
        <v>1514</v>
      </c>
      <c r="N318" s="290">
        <v>238</v>
      </c>
      <c r="O318" s="290">
        <v>171</v>
      </c>
      <c r="P318" s="624">
        <v>111705.67100408</v>
      </c>
      <c r="Q318" s="624">
        <v>46200.594104010001</v>
      </c>
      <c r="R318" s="624">
        <v>76</v>
      </c>
      <c r="S318" s="290">
        <v>0</v>
      </c>
      <c r="T318" s="290">
        <v>1426</v>
      </c>
      <c r="U318" s="958">
        <v>7.9645732913536868E-3</v>
      </c>
      <c r="V318" s="290">
        <v>-4416.6626718799998</v>
      </c>
      <c r="W318" s="765">
        <v>0.66658236000000004</v>
      </c>
      <c r="X318" s="290">
        <v>1720</v>
      </c>
      <c r="Y318" s="290">
        <v>1415.3364811500001</v>
      </c>
      <c r="Z318" s="290">
        <v>444283</v>
      </c>
      <c r="AA318" s="290">
        <v>0</v>
      </c>
      <c r="AB318" s="290">
        <v>535</v>
      </c>
      <c r="AC318" s="290">
        <v>3523.0454483600001</v>
      </c>
      <c r="AD318" s="290">
        <v>333</v>
      </c>
      <c r="AE318" s="290">
        <v>0</v>
      </c>
      <c r="AF318" s="290">
        <v>48184.5982</v>
      </c>
      <c r="AG318" s="290">
        <v>18168</v>
      </c>
      <c r="AH318" s="290">
        <v>3060.24054286</v>
      </c>
      <c r="AI318" s="290">
        <v>9400</v>
      </c>
      <c r="AJ318" s="290">
        <v>0</v>
      </c>
      <c r="AK318" s="290">
        <v>26.143585559999998</v>
      </c>
      <c r="AL318" s="290">
        <v>0</v>
      </c>
      <c r="AM318" s="957">
        <v>0.30174528</v>
      </c>
      <c r="AN318" s="290">
        <v>4448</v>
      </c>
      <c r="AO318" s="290">
        <v>-2608.6898299999998</v>
      </c>
      <c r="AP318" s="290">
        <v>0</v>
      </c>
      <c r="AQ318" s="290">
        <v>0</v>
      </c>
      <c r="AR318" s="290">
        <v>-978.627746</v>
      </c>
      <c r="AS318" s="290">
        <v>4103</v>
      </c>
      <c r="AT318" s="290">
        <v>923</v>
      </c>
      <c r="AU318" s="290">
        <v>174</v>
      </c>
      <c r="AV318" s="766">
        <v>545877.87800000003</v>
      </c>
      <c r="AW318" s="290">
        <v>3531</v>
      </c>
      <c r="AX318" s="766">
        <v>126.4584</v>
      </c>
      <c r="AY318" s="290">
        <v>3031</v>
      </c>
      <c r="AZ318" s="290">
        <v>619</v>
      </c>
      <c r="BA318" s="290">
        <v>402</v>
      </c>
      <c r="BB318" s="290">
        <v>0</v>
      </c>
      <c r="BC318" s="290">
        <v>6726.55159</v>
      </c>
      <c r="BD318" s="290">
        <v>1525</v>
      </c>
      <c r="BE318" s="290">
        <v>565290.94700000004</v>
      </c>
      <c r="BF318" s="290">
        <v>0</v>
      </c>
      <c r="BG318" s="290">
        <v>843</v>
      </c>
      <c r="BH318" s="290">
        <v>120</v>
      </c>
      <c r="BI318" s="290">
        <v>56209.364300000001</v>
      </c>
      <c r="BJ318" s="290">
        <v>0</v>
      </c>
      <c r="BK318" s="290">
        <f t="shared" si="4"/>
        <v>0</v>
      </c>
      <c r="BL318" s="290">
        <v>0</v>
      </c>
      <c r="BM318" s="290">
        <v>4490</v>
      </c>
      <c r="BN318" s="290">
        <v>13348</v>
      </c>
      <c r="BO318" s="290">
        <v>3255</v>
      </c>
      <c r="BP318" s="290">
        <v>16</v>
      </c>
      <c r="BQ318" s="290">
        <v>1765</v>
      </c>
      <c r="BR318" s="290">
        <v>-8</v>
      </c>
      <c r="BS318" s="290">
        <v>235</v>
      </c>
      <c r="BT318" s="290">
        <v>0</v>
      </c>
      <c r="BU318" s="290">
        <v>0</v>
      </c>
      <c r="BV318" s="290">
        <v>271</v>
      </c>
      <c r="BW318" s="290"/>
      <c r="BX318" s="290"/>
      <c r="BY318" s="290"/>
    </row>
    <row r="319" spans="1:77" ht="13">
      <c r="A319" s="1">
        <v>5060</v>
      </c>
      <c r="B319" s="2" t="s">
        <v>1647</v>
      </c>
      <c r="C319" s="289">
        <v>9623</v>
      </c>
      <c r="D319" s="290">
        <v>193</v>
      </c>
      <c r="E319" s="290">
        <v>453</v>
      </c>
      <c r="F319" s="290">
        <v>1153</v>
      </c>
      <c r="G319" s="290">
        <v>921</v>
      </c>
      <c r="H319" s="290">
        <v>5214</v>
      </c>
      <c r="I319" s="290">
        <v>1158</v>
      </c>
      <c r="J319" s="290">
        <v>392</v>
      </c>
      <c r="K319" s="290">
        <v>88</v>
      </c>
      <c r="L319" s="290">
        <v>80</v>
      </c>
      <c r="M319" s="290">
        <v>777</v>
      </c>
      <c r="N319" s="290">
        <v>93</v>
      </c>
      <c r="O319" s="290">
        <v>127</v>
      </c>
      <c r="P319" s="624">
        <v>94192.156666669995</v>
      </c>
      <c r="Q319" s="624">
        <v>36966.149333330002</v>
      </c>
      <c r="R319" s="624">
        <v>62</v>
      </c>
      <c r="S319" s="290">
        <v>68</v>
      </c>
      <c r="T319" s="290">
        <v>769</v>
      </c>
      <c r="U319" s="958">
        <v>4.6907168814574176E-3</v>
      </c>
      <c r="V319" s="290">
        <v>4538.1024021499998</v>
      </c>
      <c r="W319" s="765">
        <v>0.77370715000000001</v>
      </c>
      <c r="X319" s="290">
        <v>2110</v>
      </c>
      <c r="Y319" s="290">
        <v>854.25360799999999</v>
      </c>
      <c r="Z319" s="290">
        <v>278061</v>
      </c>
      <c r="AA319" s="290">
        <v>0</v>
      </c>
      <c r="AB319" s="290">
        <v>244</v>
      </c>
      <c r="AC319" s="290">
        <v>1605.056</v>
      </c>
      <c r="AD319" s="290">
        <v>333</v>
      </c>
      <c r="AE319" s="290">
        <v>0</v>
      </c>
      <c r="AF319" s="290">
        <v>14712.8544</v>
      </c>
      <c r="AG319" s="290">
        <v>9572</v>
      </c>
      <c r="AH319" s="290">
        <v>1679.4091143600001</v>
      </c>
      <c r="AI319" s="290">
        <v>875</v>
      </c>
      <c r="AJ319" s="290">
        <v>0</v>
      </c>
      <c r="AK319" s="290">
        <v>12.749000000000001</v>
      </c>
      <c r="AL319" s="290">
        <v>17393</v>
      </c>
      <c r="AM319" s="957">
        <v>0.12925956999999999</v>
      </c>
      <c r="AN319" s="290">
        <v>0</v>
      </c>
      <c r="AO319" s="290">
        <v>-1447.3102200000001</v>
      </c>
      <c r="AP319" s="290">
        <v>0</v>
      </c>
      <c r="AQ319" s="290">
        <v>-1260.21</v>
      </c>
      <c r="AR319" s="290">
        <v>-515.60021900000004</v>
      </c>
      <c r="AS319" s="290">
        <v>4777</v>
      </c>
      <c r="AT319" s="290">
        <v>409</v>
      </c>
      <c r="AU319" s="290">
        <v>80</v>
      </c>
      <c r="AV319" s="766">
        <v>328755</v>
      </c>
      <c r="AW319" s="290">
        <v>1369</v>
      </c>
      <c r="AX319" s="766">
        <v>71.333349999999996</v>
      </c>
      <c r="AY319" s="290">
        <v>1419</v>
      </c>
      <c r="AZ319" s="290">
        <v>364</v>
      </c>
      <c r="BA319" s="290">
        <v>214</v>
      </c>
      <c r="BB319" s="290">
        <v>0</v>
      </c>
      <c r="BC319" s="290">
        <v>5591.8854300000003</v>
      </c>
      <c r="BD319" s="290">
        <v>860</v>
      </c>
      <c r="BE319" s="290">
        <v>340897.76299999998</v>
      </c>
      <c r="BF319" s="290">
        <v>0</v>
      </c>
      <c r="BG319" s="290">
        <v>476</v>
      </c>
      <c r="BH319" s="290">
        <v>68</v>
      </c>
      <c r="BI319" s="290">
        <v>18864.322100000001</v>
      </c>
      <c r="BJ319" s="290">
        <v>0</v>
      </c>
      <c r="BK319" s="290">
        <f t="shared" si="4"/>
        <v>0</v>
      </c>
      <c r="BL319" s="290">
        <v>0</v>
      </c>
      <c r="BM319" s="290">
        <v>3909</v>
      </c>
      <c r="BN319" s="290">
        <v>7405</v>
      </c>
      <c r="BO319" s="290">
        <v>1814</v>
      </c>
      <c r="BP319" s="290">
        <v>9</v>
      </c>
      <c r="BQ319" s="290">
        <v>957</v>
      </c>
      <c r="BR319" s="290">
        <v>-4</v>
      </c>
      <c r="BS319" s="290">
        <v>146</v>
      </c>
      <c r="BT319" s="290">
        <v>0</v>
      </c>
      <c r="BU319" s="290">
        <v>0</v>
      </c>
      <c r="BV319" s="290">
        <v>153</v>
      </c>
      <c r="BW319" s="290"/>
      <c r="BX319" s="290"/>
      <c r="BY319" s="290"/>
    </row>
    <row r="320" spans="1:77" ht="13">
      <c r="A320" s="1">
        <v>5061</v>
      </c>
      <c r="B320" s="2" t="s">
        <v>114</v>
      </c>
      <c r="C320" s="289">
        <v>2003</v>
      </c>
      <c r="D320" s="290">
        <v>35</v>
      </c>
      <c r="E320" s="290">
        <v>90</v>
      </c>
      <c r="F320" s="290">
        <v>231</v>
      </c>
      <c r="G320" s="290">
        <v>180</v>
      </c>
      <c r="H320" s="290">
        <v>1038</v>
      </c>
      <c r="I320" s="290">
        <v>303</v>
      </c>
      <c r="J320" s="290">
        <v>114</v>
      </c>
      <c r="K320" s="290">
        <v>29</v>
      </c>
      <c r="L320" s="290">
        <v>15</v>
      </c>
      <c r="M320" s="290">
        <v>177</v>
      </c>
      <c r="N320" s="290">
        <v>4</v>
      </c>
      <c r="O320" s="290">
        <v>7</v>
      </c>
      <c r="P320" s="624">
        <v>9895.6313333300004</v>
      </c>
      <c r="Q320" s="624">
        <v>6835.9233333299999</v>
      </c>
      <c r="R320" s="624">
        <v>7</v>
      </c>
      <c r="S320" s="290">
        <v>0</v>
      </c>
      <c r="T320" s="290">
        <v>117</v>
      </c>
      <c r="U320" s="958">
        <v>2.0055893327378758E-3</v>
      </c>
      <c r="V320" s="290">
        <v>979.14119980999999</v>
      </c>
      <c r="W320" s="765">
        <v>0.88421727999999999</v>
      </c>
      <c r="X320" s="290">
        <v>0</v>
      </c>
      <c r="Y320" s="290">
        <v>297.82290799999998</v>
      </c>
      <c r="Z320" s="290">
        <v>48517</v>
      </c>
      <c r="AA320" s="290">
        <v>0</v>
      </c>
      <c r="AB320" s="290">
        <v>36</v>
      </c>
      <c r="AC320" s="290">
        <v>332.81900000000002</v>
      </c>
      <c r="AD320" s="290">
        <v>167</v>
      </c>
      <c r="AE320" s="290">
        <v>0</v>
      </c>
      <c r="AF320" s="290">
        <v>0</v>
      </c>
      <c r="AG320" s="290">
        <v>2020</v>
      </c>
      <c r="AH320" s="290">
        <v>337.61689901</v>
      </c>
      <c r="AI320" s="290">
        <v>0</v>
      </c>
      <c r="AJ320" s="290">
        <v>0</v>
      </c>
      <c r="AK320" s="290">
        <v>0</v>
      </c>
      <c r="AL320" s="290">
        <v>0</v>
      </c>
      <c r="AM320" s="957">
        <v>4.6873399999999999E-3</v>
      </c>
      <c r="AN320" s="290">
        <v>0</v>
      </c>
      <c r="AO320" s="290">
        <v>-322.932076</v>
      </c>
      <c r="AP320" s="290">
        <v>0</v>
      </c>
      <c r="AQ320" s="290">
        <v>0</v>
      </c>
      <c r="AR320" s="290">
        <v>-108.80823700000001</v>
      </c>
      <c r="AS320" s="290">
        <v>356</v>
      </c>
      <c r="AT320" s="290">
        <v>63</v>
      </c>
      <c r="AU320" s="290">
        <v>9</v>
      </c>
      <c r="AV320" s="766">
        <v>75292</v>
      </c>
      <c r="AW320" s="290">
        <v>570</v>
      </c>
      <c r="AX320" s="766">
        <v>4.9583500000000003</v>
      </c>
      <c r="AY320" s="290">
        <v>338</v>
      </c>
      <c r="AZ320" s="290">
        <v>34</v>
      </c>
      <c r="BA320" s="290">
        <v>32</v>
      </c>
      <c r="BB320" s="290">
        <v>5875</v>
      </c>
      <c r="BC320" s="290">
        <v>619.36495300000001</v>
      </c>
      <c r="BD320" s="290">
        <v>273</v>
      </c>
      <c r="BE320" s="290">
        <v>76884.376799999998</v>
      </c>
      <c r="BF320" s="290">
        <v>0</v>
      </c>
      <c r="BG320" s="290">
        <v>130</v>
      </c>
      <c r="BH320" s="290">
        <v>19</v>
      </c>
      <c r="BI320" s="290">
        <v>968.25880700000005</v>
      </c>
      <c r="BJ320" s="290">
        <v>0</v>
      </c>
      <c r="BK320" s="290">
        <f t="shared" si="4"/>
        <v>0</v>
      </c>
      <c r="BL320" s="290">
        <v>0</v>
      </c>
      <c r="BM320" s="290">
        <v>0</v>
      </c>
      <c r="BN320" s="290">
        <v>1652</v>
      </c>
      <c r="BO320" s="290">
        <v>352</v>
      </c>
      <c r="BP320" s="290">
        <v>2</v>
      </c>
      <c r="BQ320" s="290">
        <v>197</v>
      </c>
      <c r="BR320" s="290">
        <v>-1</v>
      </c>
      <c r="BS320" s="290">
        <v>50</v>
      </c>
      <c r="BT320" s="290">
        <v>0</v>
      </c>
      <c r="BU320" s="290">
        <v>0</v>
      </c>
      <c r="BV320" s="290">
        <v>42</v>
      </c>
      <c r="BW320" s="290"/>
      <c r="BX320" s="290"/>
      <c r="BY320" s="290"/>
    </row>
    <row r="321" spans="1:77" ht="13">
      <c r="A321" s="1">
        <v>5401</v>
      </c>
      <c r="B321" s="2" t="s">
        <v>217</v>
      </c>
      <c r="C321" s="289">
        <v>76974</v>
      </c>
      <c r="D321" s="290">
        <v>1699</v>
      </c>
      <c r="E321" s="290">
        <v>3451</v>
      </c>
      <c r="F321" s="290">
        <v>8829</v>
      </c>
      <c r="G321" s="290">
        <v>6796</v>
      </c>
      <c r="H321" s="290">
        <v>46729</v>
      </c>
      <c r="I321" s="290">
        <v>6943</v>
      </c>
      <c r="J321" s="290">
        <v>1785</v>
      </c>
      <c r="K321" s="290">
        <v>374</v>
      </c>
      <c r="L321" s="290">
        <v>561</v>
      </c>
      <c r="M321" s="290">
        <v>4173</v>
      </c>
      <c r="N321" s="290">
        <v>1298</v>
      </c>
      <c r="O321" s="290">
        <v>663</v>
      </c>
      <c r="P321" s="624">
        <v>330877.93733332999</v>
      </c>
      <c r="Q321" s="624">
        <v>127167.53599999999</v>
      </c>
      <c r="R321" s="624">
        <v>188</v>
      </c>
      <c r="S321" s="290">
        <v>0</v>
      </c>
      <c r="T321" s="290">
        <v>7328</v>
      </c>
      <c r="U321" s="958">
        <v>3.4725393642626662E-3</v>
      </c>
      <c r="V321" s="290">
        <v>-1218.1285806000001</v>
      </c>
      <c r="W321" s="765">
        <v>0.57404957000000001</v>
      </c>
      <c r="X321" s="290">
        <v>29590</v>
      </c>
      <c r="Y321" s="290">
        <v>854.25360799999999</v>
      </c>
      <c r="Z321" s="290">
        <v>2351318</v>
      </c>
      <c r="AA321" s="290">
        <v>0</v>
      </c>
      <c r="AB321" s="290">
        <v>1045</v>
      </c>
      <c r="AC321" s="290">
        <v>32692.002</v>
      </c>
      <c r="AD321" s="290">
        <v>500</v>
      </c>
      <c r="AE321" s="290">
        <v>808</v>
      </c>
      <c r="AF321" s="290">
        <v>0</v>
      </c>
      <c r="AG321" s="290">
        <v>76606</v>
      </c>
      <c r="AH321" s="290">
        <v>12617.618283620001</v>
      </c>
      <c r="AI321" s="290">
        <v>7840.558</v>
      </c>
      <c r="AJ321" s="290">
        <v>0</v>
      </c>
      <c r="AK321" s="290">
        <v>0</v>
      </c>
      <c r="AL321" s="290">
        <v>266432</v>
      </c>
      <c r="AM321" s="957">
        <v>0.97400474000000004</v>
      </c>
      <c r="AN321" s="290">
        <v>0</v>
      </c>
      <c r="AO321" s="290">
        <v>-9458.4134599999998</v>
      </c>
      <c r="AP321" s="290">
        <v>0</v>
      </c>
      <c r="AQ321" s="290">
        <v>0</v>
      </c>
      <c r="AR321" s="290">
        <v>-4126.4177200000004</v>
      </c>
      <c r="AS321" s="290">
        <v>13344</v>
      </c>
      <c r="AT321" s="290">
        <v>3559</v>
      </c>
      <c r="AU321" s="290">
        <v>541</v>
      </c>
      <c r="AV321" s="766">
        <v>1764705</v>
      </c>
      <c r="AW321" s="290">
        <v>47876.665999999997</v>
      </c>
      <c r="AX321" s="766">
        <v>705.125</v>
      </c>
      <c r="AY321" s="290">
        <v>24794</v>
      </c>
      <c r="AZ321" s="290">
        <v>2972</v>
      </c>
      <c r="BA321" s="290">
        <v>1729</v>
      </c>
      <c r="BB321" s="290">
        <v>0</v>
      </c>
      <c r="BC321" s="290">
        <v>13120.4051</v>
      </c>
      <c r="BD321" s="290">
        <v>6183</v>
      </c>
      <c r="BE321" s="290">
        <v>1845557.62</v>
      </c>
      <c r="BF321" s="290">
        <v>0</v>
      </c>
      <c r="BG321" s="290">
        <v>3054</v>
      </c>
      <c r="BH321" s="290">
        <v>436</v>
      </c>
      <c r="BI321" s="290">
        <v>46163.873899999999</v>
      </c>
      <c r="BJ321" s="290">
        <v>0</v>
      </c>
      <c r="BK321" s="290">
        <f t="shared" si="4"/>
        <v>0</v>
      </c>
      <c r="BL321" s="290">
        <v>0</v>
      </c>
      <c r="BM321" s="290">
        <v>0</v>
      </c>
      <c r="BN321" s="290">
        <v>48395</v>
      </c>
      <c r="BO321" s="290">
        <v>14621</v>
      </c>
      <c r="BP321" s="290">
        <v>75</v>
      </c>
      <c r="BQ321" s="290">
        <v>7733</v>
      </c>
      <c r="BR321" s="290">
        <v>-36</v>
      </c>
      <c r="BS321" s="290">
        <v>563</v>
      </c>
      <c r="BT321" s="290">
        <v>0</v>
      </c>
      <c r="BU321" s="290">
        <v>0</v>
      </c>
      <c r="BV321" s="290">
        <v>982</v>
      </c>
      <c r="BW321" s="290"/>
      <c r="BX321" s="290"/>
      <c r="BY321" s="290"/>
    </row>
    <row r="322" spans="1:77" ht="13">
      <c r="A322" s="1">
        <v>5402</v>
      </c>
      <c r="B322" s="2" t="s">
        <v>216</v>
      </c>
      <c r="C322" s="289">
        <v>24703</v>
      </c>
      <c r="D322" s="290">
        <v>471</v>
      </c>
      <c r="E322" s="290">
        <v>1041</v>
      </c>
      <c r="F322" s="290">
        <v>2893</v>
      </c>
      <c r="G322" s="290">
        <v>2074</v>
      </c>
      <c r="H322" s="290">
        <v>13912</v>
      </c>
      <c r="I322" s="290">
        <v>3136</v>
      </c>
      <c r="J322" s="290">
        <v>958</v>
      </c>
      <c r="K322" s="290">
        <v>205</v>
      </c>
      <c r="L322" s="290">
        <v>181</v>
      </c>
      <c r="M322" s="290">
        <v>1891</v>
      </c>
      <c r="N322" s="290">
        <v>570</v>
      </c>
      <c r="O322" s="290">
        <v>220</v>
      </c>
      <c r="P322" s="624">
        <v>95636.408666670002</v>
      </c>
      <c r="Q322" s="624">
        <v>38705.764666670002</v>
      </c>
      <c r="R322" s="624">
        <v>87</v>
      </c>
      <c r="S322" s="290">
        <v>0</v>
      </c>
      <c r="T322" s="290">
        <v>2201</v>
      </c>
      <c r="U322" s="958">
        <v>2.9002595249482967E-3</v>
      </c>
      <c r="V322" s="290">
        <v>7616.7672022200004</v>
      </c>
      <c r="W322" s="765">
        <v>0.57504182999999998</v>
      </c>
      <c r="X322" s="290">
        <v>980</v>
      </c>
      <c r="Y322" s="290">
        <v>427.12680399999999</v>
      </c>
      <c r="Z322" s="290">
        <v>665390</v>
      </c>
      <c r="AA322" s="290">
        <v>0</v>
      </c>
      <c r="AB322" s="290">
        <v>557</v>
      </c>
      <c r="AC322" s="290">
        <v>3680.143</v>
      </c>
      <c r="AD322" s="290">
        <v>333</v>
      </c>
      <c r="AE322" s="290">
        <v>0</v>
      </c>
      <c r="AF322" s="290">
        <v>20759.381496959999</v>
      </c>
      <c r="AG322" s="290">
        <v>24690</v>
      </c>
      <c r="AH322" s="290">
        <v>4015.9783169399998</v>
      </c>
      <c r="AI322" s="290">
        <v>4939.7020000000002</v>
      </c>
      <c r="AJ322" s="290">
        <v>0</v>
      </c>
      <c r="AK322" s="290">
        <v>263.03100000000001</v>
      </c>
      <c r="AL322" s="290">
        <v>86299</v>
      </c>
      <c r="AM322" s="957">
        <v>0.38047352000000001</v>
      </c>
      <c r="AN322" s="290">
        <v>0</v>
      </c>
      <c r="AO322" s="290">
        <v>-3334.80485</v>
      </c>
      <c r="AP322" s="290">
        <v>0</v>
      </c>
      <c r="AQ322" s="290">
        <v>0</v>
      </c>
      <c r="AR322" s="290">
        <v>-1329.9383</v>
      </c>
      <c r="AS322" s="290">
        <v>5857</v>
      </c>
      <c r="AT322" s="290">
        <v>1140</v>
      </c>
      <c r="AU322" s="290">
        <v>237</v>
      </c>
      <c r="AV322" s="766">
        <v>692116</v>
      </c>
      <c r="AW322" s="290">
        <v>4683.8230000000003</v>
      </c>
      <c r="AX322" s="766">
        <v>186.08330000000001</v>
      </c>
      <c r="AY322" s="290">
        <v>6363</v>
      </c>
      <c r="AZ322" s="290">
        <v>868</v>
      </c>
      <c r="BA322" s="290">
        <v>615</v>
      </c>
      <c r="BB322" s="290">
        <v>0</v>
      </c>
      <c r="BC322" s="290">
        <v>24484.061699999998</v>
      </c>
      <c r="BD322" s="290">
        <v>2032</v>
      </c>
      <c r="BE322" s="290">
        <v>723252.24399999995</v>
      </c>
      <c r="BF322" s="290">
        <v>0</v>
      </c>
      <c r="BG322" s="290">
        <v>1074</v>
      </c>
      <c r="BH322" s="290">
        <v>153</v>
      </c>
      <c r="BI322" s="290">
        <v>29145.660599999999</v>
      </c>
      <c r="BJ322" s="290">
        <v>0</v>
      </c>
      <c r="BK322" s="290">
        <f t="shared" si="4"/>
        <v>0</v>
      </c>
      <c r="BL322" s="290">
        <v>0</v>
      </c>
      <c r="BM322" s="290">
        <v>0</v>
      </c>
      <c r="BN322" s="290">
        <v>17063</v>
      </c>
      <c r="BO322" s="290">
        <v>4404</v>
      </c>
      <c r="BP322" s="290">
        <v>22</v>
      </c>
      <c r="BQ322" s="290">
        <v>2425</v>
      </c>
      <c r="BR322" s="290">
        <v>-12</v>
      </c>
      <c r="BS322" s="290">
        <v>307</v>
      </c>
      <c r="BT322" s="290">
        <v>0</v>
      </c>
      <c r="BU322" s="290">
        <v>0</v>
      </c>
      <c r="BV322" s="290">
        <v>345</v>
      </c>
      <c r="BW322" s="290"/>
      <c r="BX322" s="290"/>
      <c r="BY322" s="290"/>
    </row>
    <row r="323" spans="1:77" ht="13">
      <c r="A323" s="1">
        <v>5403</v>
      </c>
      <c r="B323" s="2" t="s">
        <v>245</v>
      </c>
      <c r="C323" s="289">
        <v>20789</v>
      </c>
      <c r="D323" s="290">
        <v>466</v>
      </c>
      <c r="E323" s="290">
        <v>1040</v>
      </c>
      <c r="F323" s="290">
        <v>2692</v>
      </c>
      <c r="G323" s="290">
        <v>2217</v>
      </c>
      <c r="H323" s="290">
        <v>11771</v>
      </c>
      <c r="I323" s="290">
        <v>1913</v>
      </c>
      <c r="J323" s="290">
        <v>570</v>
      </c>
      <c r="K323" s="290">
        <v>90</v>
      </c>
      <c r="L323" s="290">
        <v>169</v>
      </c>
      <c r="M323" s="290">
        <v>1160</v>
      </c>
      <c r="N323" s="290">
        <v>260</v>
      </c>
      <c r="O323" s="290">
        <v>152</v>
      </c>
      <c r="P323" s="624">
        <v>114150.50133333</v>
      </c>
      <c r="Q323" s="624">
        <v>75074.039666669996</v>
      </c>
      <c r="R323" s="624">
        <v>99</v>
      </c>
      <c r="S323" s="290">
        <v>0</v>
      </c>
      <c r="T323" s="290">
        <v>1652</v>
      </c>
      <c r="U323" s="958">
        <v>3.3893888848249166E-3</v>
      </c>
      <c r="V323" s="290">
        <v>-3029.26535483</v>
      </c>
      <c r="W323" s="765">
        <v>0.60630764000000004</v>
      </c>
      <c r="X323" s="290">
        <v>580</v>
      </c>
      <c r="Y323" s="290">
        <v>427.12680399999999</v>
      </c>
      <c r="Z323" s="290">
        <v>564534</v>
      </c>
      <c r="AA323" s="290">
        <v>500</v>
      </c>
      <c r="AB323" s="290">
        <v>496</v>
      </c>
      <c r="AC323" s="290">
        <v>3583.1660000000002</v>
      </c>
      <c r="AD323" s="290">
        <v>333</v>
      </c>
      <c r="AE323" s="290">
        <v>0</v>
      </c>
      <c r="AF323" s="290">
        <v>0</v>
      </c>
      <c r="AG323" s="290">
        <v>20759</v>
      </c>
      <c r="AH323" s="290">
        <v>3936.4539938299999</v>
      </c>
      <c r="AI323" s="290">
        <v>4027.39</v>
      </c>
      <c r="AJ323" s="290">
        <v>0</v>
      </c>
      <c r="AK323" s="290">
        <v>0</v>
      </c>
      <c r="AL323" s="290">
        <v>175384</v>
      </c>
      <c r="AM323" s="957">
        <v>0.36899559999999998</v>
      </c>
      <c r="AN323" s="290">
        <v>0</v>
      </c>
      <c r="AO323" s="290">
        <v>-2872.3281099999999</v>
      </c>
      <c r="AP323" s="290">
        <v>0</v>
      </c>
      <c r="AQ323" s="290">
        <v>0</v>
      </c>
      <c r="AR323" s="290">
        <v>-1118.19316</v>
      </c>
      <c r="AS323" s="290">
        <v>9160</v>
      </c>
      <c r="AT323" s="290">
        <v>1186</v>
      </c>
      <c r="AU323" s="290">
        <v>192</v>
      </c>
      <c r="AV323" s="766">
        <v>721006</v>
      </c>
      <c r="AW323" s="290">
        <v>5056.7700000000004</v>
      </c>
      <c r="AX323" s="766">
        <v>174.24995000000001</v>
      </c>
      <c r="AY323" s="290">
        <v>4984</v>
      </c>
      <c r="AZ323" s="290">
        <v>692</v>
      </c>
      <c r="BA323" s="290">
        <v>656</v>
      </c>
      <c r="BB323" s="290">
        <v>0</v>
      </c>
      <c r="BC323" s="290">
        <v>30472.140200000002</v>
      </c>
      <c r="BD323" s="290">
        <v>1735</v>
      </c>
      <c r="BE323" s="290">
        <v>739089.11600000004</v>
      </c>
      <c r="BF323" s="290">
        <v>0</v>
      </c>
      <c r="BG323" s="290">
        <v>907</v>
      </c>
      <c r="BH323" s="290">
        <v>129</v>
      </c>
      <c r="BI323" s="290">
        <v>34958.912400000001</v>
      </c>
      <c r="BJ323" s="290">
        <v>0</v>
      </c>
      <c r="BK323" s="290">
        <f t="shared" si="4"/>
        <v>0</v>
      </c>
      <c r="BL323" s="290">
        <v>0</v>
      </c>
      <c r="BM323" s="290">
        <v>0</v>
      </c>
      <c r="BN323" s="290">
        <v>14696</v>
      </c>
      <c r="BO323" s="290">
        <v>4230</v>
      </c>
      <c r="BP323" s="290">
        <v>21</v>
      </c>
      <c r="BQ323" s="290">
        <v>2018</v>
      </c>
      <c r="BR323" s="290">
        <v>-10</v>
      </c>
      <c r="BS323" s="290">
        <v>191</v>
      </c>
      <c r="BT323" s="290">
        <v>0</v>
      </c>
      <c r="BU323" s="290">
        <v>27012.165631709999</v>
      </c>
      <c r="BV323" s="290">
        <v>292</v>
      </c>
      <c r="BW323" s="290"/>
      <c r="BX323" s="290"/>
      <c r="BY323" s="290"/>
    </row>
    <row r="324" spans="1:77" ht="13">
      <c r="A324" s="1">
        <v>5404</v>
      </c>
      <c r="B324" s="2" t="s">
        <v>241</v>
      </c>
      <c r="C324" s="289">
        <v>2029</v>
      </c>
      <c r="D324" s="290">
        <v>26</v>
      </c>
      <c r="E324" s="290">
        <v>71</v>
      </c>
      <c r="F324" s="290">
        <v>164</v>
      </c>
      <c r="G324" s="290">
        <v>154</v>
      </c>
      <c r="H324" s="290">
        <v>1243</v>
      </c>
      <c r="I324" s="290">
        <v>310</v>
      </c>
      <c r="J324" s="290">
        <v>92</v>
      </c>
      <c r="K324" s="290">
        <v>14</v>
      </c>
      <c r="L324" s="290">
        <v>26</v>
      </c>
      <c r="M324" s="290">
        <v>228</v>
      </c>
      <c r="N324" s="290">
        <v>11</v>
      </c>
      <c r="O324" s="290">
        <v>23</v>
      </c>
      <c r="P324" s="624">
        <v>5183.76</v>
      </c>
      <c r="Q324" s="624">
        <v>2389.1930000000002</v>
      </c>
      <c r="R324" s="624">
        <v>7</v>
      </c>
      <c r="S324" s="290">
        <v>0</v>
      </c>
      <c r="T324" s="290">
        <v>301</v>
      </c>
      <c r="U324" s="958">
        <v>1.8313100856102369E-4</v>
      </c>
      <c r="V324" s="290">
        <v>1057.81942596</v>
      </c>
      <c r="W324" s="765">
        <v>1</v>
      </c>
      <c r="X324" s="290">
        <v>1310</v>
      </c>
      <c r="Y324" s="290">
        <v>427.12680399999999</v>
      </c>
      <c r="Z324" s="290">
        <v>45266</v>
      </c>
      <c r="AA324" s="290">
        <v>1321.45</v>
      </c>
      <c r="AB324" s="290">
        <v>27</v>
      </c>
      <c r="AC324" s="290">
        <v>258.91399999999999</v>
      </c>
      <c r="AD324" s="290">
        <v>167</v>
      </c>
      <c r="AE324" s="290">
        <v>0</v>
      </c>
      <c r="AF324" s="290">
        <v>0</v>
      </c>
      <c r="AG324" s="290">
        <v>2074</v>
      </c>
      <c r="AH324" s="290">
        <v>254.47783394000001</v>
      </c>
      <c r="AI324" s="290">
        <v>0</v>
      </c>
      <c r="AJ324" s="290">
        <v>0</v>
      </c>
      <c r="AK324" s="290">
        <v>0</v>
      </c>
      <c r="AL324" s="290">
        <v>17661</v>
      </c>
      <c r="AM324" s="957">
        <v>0.19253764000000001</v>
      </c>
      <c r="AN324" s="290">
        <v>0</v>
      </c>
      <c r="AO324" s="290">
        <v>-316.22921200000002</v>
      </c>
      <c r="AP324" s="290">
        <v>0</v>
      </c>
      <c r="AQ324" s="290">
        <v>0</v>
      </c>
      <c r="AR324" s="290">
        <v>-111.716972</v>
      </c>
      <c r="AS324" s="290">
        <v>719</v>
      </c>
      <c r="AT324" s="290">
        <v>106</v>
      </c>
      <c r="AU324" s="290">
        <v>46</v>
      </c>
      <c r="AV324" s="766">
        <v>96995</v>
      </c>
      <c r="AW324" s="290">
        <v>285</v>
      </c>
      <c r="AX324" s="766">
        <v>9.5832999999999995</v>
      </c>
      <c r="AY324" s="290">
        <v>328</v>
      </c>
      <c r="AZ324" s="290">
        <v>171</v>
      </c>
      <c r="BA324" s="290">
        <v>52</v>
      </c>
      <c r="BB324" s="290">
        <v>12724</v>
      </c>
      <c r="BC324" s="290">
        <v>665.99159499999996</v>
      </c>
      <c r="BD324" s="290">
        <v>292</v>
      </c>
      <c r="BE324" s="290">
        <v>98467.499599999996</v>
      </c>
      <c r="BF324" s="290">
        <v>0</v>
      </c>
      <c r="BG324" s="290">
        <v>126</v>
      </c>
      <c r="BH324" s="290">
        <v>18</v>
      </c>
      <c r="BI324" s="290">
        <v>940.51863800000001</v>
      </c>
      <c r="BJ324" s="290">
        <v>0</v>
      </c>
      <c r="BK324" s="290">
        <f t="shared" si="4"/>
        <v>0</v>
      </c>
      <c r="BL324" s="290">
        <v>0</v>
      </c>
      <c r="BM324" s="290">
        <v>0</v>
      </c>
      <c r="BN324" s="290">
        <v>1618</v>
      </c>
      <c r="BO324" s="290">
        <v>288</v>
      </c>
      <c r="BP324" s="290">
        <v>1</v>
      </c>
      <c r="BQ324" s="290">
        <v>202</v>
      </c>
      <c r="BR324" s="290">
        <v>-1</v>
      </c>
      <c r="BS324" s="290">
        <v>50</v>
      </c>
      <c r="BT324" s="290">
        <v>0</v>
      </c>
      <c r="BU324" s="290">
        <v>0</v>
      </c>
      <c r="BV324" s="290">
        <v>40</v>
      </c>
      <c r="BW324" s="290"/>
      <c r="BX324" s="290"/>
      <c r="BY324" s="290"/>
    </row>
    <row r="325" spans="1:77" ht="13">
      <c r="A325" s="1">
        <v>5405</v>
      </c>
      <c r="B325" s="2" t="s">
        <v>242</v>
      </c>
      <c r="C325" s="289">
        <v>5788</v>
      </c>
      <c r="D325" s="290">
        <v>97</v>
      </c>
      <c r="E325" s="290">
        <v>205</v>
      </c>
      <c r="F325" s="290">
        <v>660</v>
      </c>
      <c r="G325" s="290">
        <v>616</v>
      </c>
      <c r="H325" s="290">
        <v>3270</v>
      </c>
      <c r="I325" s="290">
        <v>734</v>
      </c>
      <c r="J325" s="290">
        <v>242</v>
      </c>
      <c r="K325" s="290">
        <v>25</v>
      </c>
      <c r="L325" s="290">
        <v>49</v>
      </c>
      <c r="M325" s="290">
        <v>452</v>
      </c>
      <c r="N325" s="290">
        <v>245</v>
      </c>
      <c r="O325" s="290">
        <v>122</v>
      </c>
      <c r="P325" s="624">
        <v>21684.25266667</v>
      </c>
      <c r="Q325" s="624">
        <v>6369.9880000000003</v>
      </c>
      <c r="R325" s="624">
        <v>21</v>
      </c>
      <c r="S325" s="290">
        <v>0</v>
      </c>
      <c r="T325" s="290">
        <v>578</v>
      </c>
      <c r="U325" s="958">
        <v>7.9863372324725829E-4</v>
      </c>
      <c r="V325" s="290">
        <v>2716.1056366900002</v>
      </c>
      <c r="W325" s="765">
        <v>0.5976108</v>
      </c>
      <c r="X325" s="290">
        <v>2240</v>
      </c>
      <c r="Y325" s="290">
        <v>427.12680399999999</v>
      </c>
      <c r="Z325" s="290">
        <v>150625</v>
      </c>
      <c r="AA325" s="290">
        <v>0</v>
      </c>
      <c r="AB325" s="290">
        <v>90</v>
      </c>
      <c r="AC325" s="290">
        <v>983.24199999999996</v>
      </c>
      <c r="AD325" s="290">
        <v>333</v>
      </c>
      <c r="AE325" s="290">
        <v>0</v>
      </c>
      <c r="AF325" s="290">
        <v>0</v>
      </c>
      <c r="AG325" s="290">
        <v>5849</v>
      </c>
      <c r="AH325" s="290">
        <v>944.17059981</v>
      </c>
      <c r="AI325" s="290">
        <v>2313.3879999999999</v>
      </c>
      <c r="AJ325" s="290">
        <v>0</v>
      </c>
      <c r="AK325" s="290">
        <v>0</v>
      </c>
      <c r="AL325" s="290">
        <v>50022</v>
      </c>
      <c r="AM325" s="957">
        <v>0.35498075000000001</v>
      </c>
      <c r="AN325" s="290">
        <v>0</v>
      </c>
      <c r="AO325" s="290">
        <v>-811.96461699999998</v>
      </c>
      <c r="AP325" s="290">
        <v>0</v>
      </c>
      <c r="AQ325" s="290">
        <v>0</v>
      </c>
      <c r="AR325" s="290">
        <v>645.68723199999999</v>
      </c>
      <c r="AS325" s="290">
        <v>2766</v>
      </c>
      <c r="AT325" s="290">
        <v>305</v>
      </c>
      <c r="AU325" s="290">
        <v>76</v>
      </c>
      <c r="AV325" s="766">
        <v>202876</v>
      </c>
      <c r="AW325" s="290">
        <v>578.322</v>
      </c>
      <c r="AX325" s="766">
        <v>41.125</v>
      </c>
      <c r="AY325" s="290">
        <v>1404</v>
      </c>
      <c r="AZ325" s="290">
        <v>532</v>
      </c>
      <c r="BA325" s="290">
        <v>154</v>
      </c>
      <c r="BB325" s="290">
        <v>0</v>
      </c>
      <c r="BC325" s="290">
        <v>1409.2611099999999</v>
      </c>
      <c r="BD325" s="290">
        <v>541</v>
      </c>
      <c r="BE325" s="290">
        <v>208066.878</v>
      </c>
      <c r="BF325" s="290">
        <v>0</v>
      </c>
      <c r="BG325" s="290">
        <v>270</v>
      </c>
      <c r="BH325" s="290">
        <v>38</v>
      </c>
      <c r="BI325" s="290">
        <v>2354.5394000000001</v>
      </c>
      <c r="BJ325" s="290">
        <v>0</v>
      </c>
      <c r="BK325" s="290">
        <f t="shared" ref="BK325:BK359" si="5">ROUND(-4300*BL325/BL$361,4)</f>
        <v>0</v>
      </c>
      <c r="BL325" s="290">
        <v>0</v>
      </c>
      <c r="BM325" s="290">
        <v>0</v>
      </c>
      <c r="BN325" s="290">
        <v>4154</v>
      </c>
      <c r="BO325" s="290">
        <v>943</v>
      </c>
      <c r="BP325" s="290">
        <v>4</v>
      </c>
      <c r="BQ325" s="290">
        <v>574</v>
      </c>
      <c r="BR325" s="290">
        <v>-3</v>
      </c>
      <c r="BS325" s="290">
        <v>124</v>
      </c>
      <c r="BT325" s="290">
        <v>0</v>
      </c>
      <c r="BU325" s="290">
        <v>0</v>
      </c>
      <c r="BV325" s="290">
        <v>87</v>
      </c>
      <c r="BW325" s="290"/>
      <c r="BX325" s="290"/>
      <c r="BY325" s="290"/>
    </row>
    <row r="326" spans="1:77" ht="13">
      <c r="A326" s="1">
        <v>5406</v>
      </c>
      <c r="B326" s="2" t="s">
        <v>1648</v>
      </c>
      <c r="C326" s="289">
        <v>11448</v>
      </c>
      <c r="D326" s="290">
        <v>267</v>
      </c>
      <c r="E326" s="290">
        <v>520</v>
      </c>
      <c r="F326" s="290">
        <v>1337</v>
      </c>
      <c r="G326" s="290">
        <v>975</v>
      </c>
      <c r="H326" s="290">
        <v>6703</v>
      </c>
      <c r="I326" s="290">
        <v>1270</v>
      </c>
      <c r="J326" s="290">
        <v>348</v>
      </c>
      <c r="K326" s="290">
        <v>76</v>
      </c>
      <c r="L326" s="290">
        <v>101</v>
      </c>
      <c r="M326" s="290">
        <v>837</v>
      </c>
      <c r="N326" s="290">
        <v>344</v>
      </c>
      <c r="O326" s="290">
        <v>187</v>
      </c>
      <c r="P326" s="624">
        <v>51564.847666670001</v>
      </c>
      <c r="Q326" s="624">
        <v>31866.925999999999</v>
      </c>
      <c r="R326" s="624">
        <v>51</v>
      </c>
      <c r="S326" s="290">
        <v>0</v>
      </c>
      <c r="T326" s="290">
        <v>1117</v>
      </c>
      <c r="U326" s="958">
        <v>6.790814771509147E-4</v>
      </c>
      <c r="V326" s="290">
        <v>5325.2538394599997</v>
      </c>
      <c r="W326" s="765">
        <v>0.62414879999999995</v>
      </c>
      <c r="X326" s="290">
        <v>1980</v>
      </c>
      <c r="Y326" s="290">
        <v>427.12680399999999</v>
      </c>
      <c r="Z326" s="290">
        <v>331008</v>
      </c>
      <c r="AA326" s="290">
        <v>0</v>
      </c>
      <c r="AB326" s="290">
        <v>198</v>
      </c>
      <c r="AC326" s="290">
        <v>1866.9649999999999</v>
      </c>
      <c r="AD326" s="290">
        <v>333</v>
      </c>
      <c r="AE326" s="290">
        <v>0</v>
      </c>
      <c r="AF326" s="290">
        <v>27928.7873</v>
      </c>
      <c r="AG326" s="290">
        <v>11496</v>
      </c>
      <c r="AH326" s="290">
        <v>1928.82630956</v>
      </c>
      <c r="AI326" s="290">
        <v>3030.6060000000002</v>
      </c>
      <c r="AJ326" s="290">
        <v>0</v>
      </c>
      <c r="AK326" s="290">
        <v>232.22499999999999</v>
      </c>
      <c r="AL326" s="290">
        <v>97804</v>
      </c>
      <c r="AM326" s="957">
        <v>0.31738169999999999</v>
      </c>
      <c r="AN326" s="290">
        <v>0</v>
      </c>
      <c r="AO326" s="290">
        <v>-1591.9549099999999</v>
      </c>
      <c r="AP326" s="290">
        <v>0</v>
      </c>
      <c r="AQ326" s="290">
        <v>0</v>
      </c>
      <c r="AR326" s="290">
        <v>-619.23737200000005</v>
      </c>
      <c r="AS326" s="290">
        <v>5107</v>
      </c>
      <c r="AT326" s="290">
        <v>533</v>
      </c>
      <c r="AU326" s="290">
        <v>143</v>
      </c>
      <c r="AV326" s="766">
        <v>431915</v>
      </c>
      <c r="AW326" s="290">
        <v>4532.3900000000003</v>
      </c>
      <c r="AX326" s="766">
        <v>100.83335</v>
      </c>
      <c r="AY326" s="290">
        <v>2536</v>
      </c>
      <c r="AZ326" s="290">
        <v>553</v>
      </c>
      <c r="BA326" s="290">
        <v>255</v>
      </c>
      <c r="BB326" s="290">
        <v>0</v>
      </c>
      <c r="BC326" s="290">
        <v>7545.2899299999999</v>
      </c>
      <c r="BD326" s="290">
        <v>994</v>
      </c>
      <c r="BE326" s="290">
        <v>436222.99800000002</v>
      </c>
      <c r="BF326" s="290">
        <v>0</v>
      </c>
      <c r="BG326" s="290">
        <v>509</v>
      </c>
      <c r="BH326" s="290">
        <v>73</v>
      </c>
      <c r="BI326" s="290">
        <v>32383.930400000001</v>
      </c>
      <c r="BJ326" s="290">
        <v>0</v>
      </c>
      <c r="BK326" s="290">
        <f t="shared" si="5"/>
        <v>0</v>
      </c>
      <c r="BL326" s="290">
        <v>0</v>
      </c>
      <c r="BM326" s="290">
        <v>4040</v>
      </c>
      <c r="BN326" s="290">
        <v>8145</v>
      </c>
      <c r="BO326" s="290">
        <v>2157</v>
      </c>
      <c r="BP326" s="290">
        <v>11</v>
      </c>
      <c r="BQ326" s="290">
        <v>1144</v>
      </c>
      <c r="BR326" s="290">
        <v>-5</v>
      </c>
      <c r="BS326" s="290">
        <v>165</v>
      </c>
      <c r="BT326" s="290">
        <v>0</v>
      </c>
      <c r="BU326" s="290">
        <v>0</v>
      </c>
      <c r="BV326" s="290">
        <v>164</v>
      </c>
      <c r="BW326" s="290"/>
      <c r="BX326" s="290"/>
      <c r="BY326" s="290"/>
    </row>
    <row r="327" spans="1:77" ht="13">
      <c r="A327" s="1">
        <v>5411</v>
      </c>
      <c r="B327" s="2" t="s">
        <v>218</v>
      </c>
      <c r="C327" s="289">
        <v>2839</v>
      </c>
      <c r="D327" s="290">
        <v>37</v>
      </c>
      <c r="E327" s="290">
        <v>96</v>
      </c>
      <c r="F327" s="290">
        <v>329</v>
      </c>
      <c r="G327" s="290">
        <v>244</v>
      </c>
      <c r="H327" s="290">
        <v>1561</v>
      </c>
      <c r="I327" s="290">
        <v>427</v>
      </c>
      <c r="J327" s="290">
        <v>128</v>
      </c>
      <c r="K327" s="290">
        <v>23</v>
      </c>
      <c r="L327" s="290">
        <v>28</v>
      </c>
      <c r="M327" s="290">
        <v>263</v>
      </c>
      <c r="N327" s="290">
        <v>82</v>
      </c>
      <c r="O327" s="290">
        <v>31</v>
      </c>
      <c r="P327" s="624">
        <v>24435.155666670002</v>
      </c>
      <c r="Q327" s="624">
        <v>11425.039000000001</v>
      </c>
      <c r="R327" s="624">
        <v>26</v>
      </c>
      <c r="S327" s="290">
        <v>0</v>
      </c>
      <c r="T327" s="290">
        <v>245</v>
      </c>
      <c r="U327" s="958">
        <v>1.5198617939501723E-3</v>
      </c>
      <c r="V327" s="290">
        <v>1062.6475954499999</v>
      </c>
      <c r="W327" s="765">
        <v>0.80769679999999999</v>
      </c>
      <c r="X327" s="290">
        <v>1550</v>
      </c>
      <c r="Y327" s="290">
        <v>427.12680399999999</v>
      </c>
      <c r="Z327" s="290">
        <v>61754</v>
      </c>
      <c r="AA327" s="290">
        <v>0</v>
      </c>
      <c r="AB327" s="290">
        <v>88</v>
      </c>
      <c r="AC327" s="290">
        <v>494.40199999999999</v>
      </c>
      <c r="AD327" s="290">
        <v>167</v>
      </c>
      <c r="AE327" s="290">
        <v>0</v>
      </c>
      <c r="AF327" s="290">
        <v>0</v>
      </c>
      <c r="AG327" s="290">
        <v>2845</v>
      </c>
      <c r="AH327" s="290">
        <v>435.21493192000003</v>
      </c>
      <c r="AI327" s="290">
        <v>0</v>
      </c>
      <c r="AJ327" s="290">
        <v>0</v>
      </c>
      <c r="AK327" s="290">
        <v>0</v>
      </c>
      <c r="AL327" s="290">
        <v>9934</v>
      </c>
      <c r="AM327" s="957">
        <v>8.2496139999999996E-2</v>
      </c>
      <c r="AN327" s="290">
        <v>0</v>
      </c>
      <c r="AO327" s="290">
        <v>-468.78896900000001</v>
      </c>
      <c r="AP327" s="290">
        <v>0</v>
      </c>
      <c r="AQ327" s="290">
        <v>0</v>
      </c>
      <c r="AR327" s="290">
        <v>137.298125</v>
      </c>
      <c r="AS327" s="290">
        <v>1119</v>
      </c>
      <c r="AT327" s="290">
        <v>163</v>
      </c>
      <c r="AU327" s="290">
        <v>26</v>
      </c>
      <c r="AV327" s="766">
        <v>121099</v>
      </c>
      <c r="AW327" s="290">
        <v>331</v>
      </c>
      <c r="AX327" s="766">
        <v>14.416700000000001</v>
      </c>
      <c r="AY327" s="290">
        <v>585</v>
      </c>
      <c r="AZ327" s="290">
        <v>159</v>
      </c>
      <c r="BA327" s="290">
        <v>90</v>
      </c>
      <c r="BB327" s="290">
        <v>5875</v>
      </c>
      <c r="BC327" s="290">
        <v>860.52461200000005</v>
      </c>
      <c r="BD327" s="290">
        <v>328</v>
      </c>
      <c r="BE327" s="290">
        <v>122632.66899999999</v>
      </c>
      <c r="BF327" s="290">
        <v>0</v>
      </c>
      <c r="BG327" s="290">
        <v>166</v>
      </c>
      <c r="BH327" s="290">
        <v>24</v>
      </c>
      <c r="BI327" s="290">
        <v>1356.7437399999999</v>
      </c>
      <c r="BJ327" s="290">
        <v>0</v>
      </c>
      <c r="BK327" s="290">
        <f t="shared" si="5"/>
        <v>0</v>
      </c>
      <c r="BL327" s="290">
        <v>0</v>
      </c>
      <c r="BM327" s="290">
        <v>0</v>
      </c>
      <c r="BN327" s="290">
        <v>2399</v>
      </c>
      <c r="BO327" s="290">
        <v>449</v>
      </c>
      <c r="BP327" s="290">
        <v>2</v>
      </c>
      <c r="BQ327" s="290">
        <v>277</v>
      </c>
      <c r="BR327" s="290">
        <v>-1</v>
      </c>
      <c r="BS327" s="290">
        <v>55</v>
      </c>
      <c r="BT327" s="290">
        <v>0</v>
      </c>
      <c r="BU327" s="290">
        <v>0</v>
      </c>
      <c r="BV327" s="290">
        <v>53</v>
      </c>
      <c r="BW327" s="290"/>
      <c r="BX327" s="290"/>
      <c r="BY327" s="290"/>
    </row>
    <row r="328" spans="1:77" ht="13">
      <c r="A328" s="1">
        <v>5412</v>
      </c>
      <c r="B328" s="2" t="s">
        <v>1649</v>
      </c>
      <c r="C328" s="289">
        <v>4216</v>
      </c>
      <c r="D328" s="290">
        <v>60</v>
      </c>
      <c r="E328" s="290">
        <v>131</v>
      </c>
      <c r="F328" s="290">
        <v>462</v>
      </c>
      <c r="G328" s="290">
        <v>329</v>
      </c>
      <c r="H328" s="290">
        <v>2250</v>
      </c>
      <c r="I328" s="290">
        <v>736</v>
      </c>
      <c r="J328" s="290">
        <v>215</v>
      </c>
      <c r="K328" s="290">
        <v>60</v>
      </c>
      <c r="L328" s="290">
        <v>30</v>
      </c>
      <c r="M328" s="290">
        <v>434</v>
      </c>
      <c r="N328" s="290">
        <v>16</v>
      </c>
      <c r="O328" s="290">
        <v>17</v>
      </c>
      <c r="P328" s="624">
        <v>63419.505666669997</v>
      </c>
      <c r="Q328" s="624">
        <v>16270.722</v>
      </c>
      <c r="R328" s="624">
        <v>26</v>
      </c>
      <c r="S328" s="290">
        <v>0</v>
      </c>
      <c r="T328" s="290">
        <v>318</v>
      </c>
      <c r="U328" s="958">
        <v>2.0825441124145976E-3</v>
      </c>
      <c r="V328" s="290">
        <v>2205.0704805700002</v>
      </c>
      <c r="W328" s="765">
        <v>0.91159188999999996</v>
      </c>
      <c r="X328" s="290">
        <v>1380</v>
      </c>
      <c r="Y328" s="290">
        <v>854.25360799999999</v>
      </c>
      <c r="Z328" s="290">
        <v>101538</v>
      </c>
      <c r="AA328" s="290">
        <v>0</v>
      </c>
      <c r="AB328" s="290">
        <v>119</v>
      </c>
      <c r="AC328" s="290">
        <v>696.50099999999998</v>
      </c>
      <c r="AD328" s="290">
        <v>333</v>
      </c>
      <c r="AE328" s="290">
        <v>0</v>
      </c>
      <c r="AF328" s="290">
        <v>24706.4493</v>
      </c>
      <c r="AG328" s="290">
        <v>4243</v>
      </c>
      <c r="AH328" s="290">
        <v>618.12087506</v>
      </c>
      <c r="AI328" s="290">
        <v>0</v>
      </c>
      <c r="AJ328" s="290">
        <v>0</v>
      </c>
      <c r="AK328" s="290">
        <v>0</v>
      </c>
      <c r="AL328" s="290">
        <v>14836</v>
      </c>
      <c r="AM328" s="957">
        <v>5.4849009999999997E-2</v>
      </c>
      <c r="AN328" s="290">
        <v>0</v>
      </c>
      <c r="AO328" s="290">
        <v>-659.19350999999995</v>
      </c>
      <c r="AP328" s="290">
        <v>0</v>
      </c>
      <c r="AQ328" s="290">
        <v>0</v>
      </c>
      <c r="AR328" s="290">
        <v>-228.551163</v>
      </c>
      <c r="AS328" s="290">
        <v>1263</v>
      </c>
      <c r="AT328" s="290">
        <v>181</v>
      </c>
      <c r="AU328" s="290">
        <v>40</v>
      </c>
      <c r="AV328" s="766">
        <v>179846</v>
      </c>
      <c r="AW328" s="290">
        <v>431.08800000000002</v>
      </c>
      <c r="AX328" s="766">
        <v>21.916650000000001</v>
      </c>
      <c r="AY328" s="290">
        <v>795</v>
      </c>
      <c r="AZ328" s="290">
        <v>138</v>
      </c>
      <c r="BA328" s="290">
        <v>88</v>
      </c>
      <c r="BB328" s="290">
        <v>0</v>
      </c>
      <c r="BC328" s="290">
        <v>1480.5812599999999</v>
      </c>
      <c r="BD328" s="290">
        <v>451</v>
      </c>
      <c r="BE328" s="290">
        <v>182711.56599999999</v>
      </c>
      <c r="BF328" s="290">
        <v>0</v>
      </c>
      <c r="BG328" s="290">
        <v>252</v>
      </c>
      <c r="BH328" s="290">
        <v>36</v>
      </c>
      <c r="BI328" s="290">
        <v>26875.324799999999</v>
      </c>
      <c r="BJ328" s="290">
        <v>0</v>
      </c>
      <c r="BK328" s="290">
        <f t="shared" si="5"/>
        <v>0</v>
      </c>
      <c r="BL328" s="290">
        <v>0</v>
      </c>
      <c r="BM328" s="290">
        <v>0</v>
      </c>
      <c r="BN328" s="290">
        <v>3373</v>
      </c>
      <c r="BO328" s="290">
        <v>624</v>
      </c>
      <c r="BP328" s="290">
        <v>3</v>
      </c>
      <c r="BQ328" s="290">
        <v>414</v>
      </c>
      <c r="BR328" s="290">
        <v>-2</v>
      </c>
      <c r="BS328" s="290">
        <v>50</v>
      </c>
      <c r="BT328" s="290">
        <v>0</v>
      </c>
      <c r="BU328" s="290">
        <v>0</v>
      </c>
      <c r="BV328" s="290">
        <v>81</v>
      </c>
      <c r="BW328" s="290"/>
      <c r="BX328" s="290"/>
      <c r="BY328" s="290"/>
    </row>
    <row r="329" spans="1:77" ht="13">
      <c r="A329" s="1">
        <v>5413</v>
      </c>
      <c r="B329" s="2" t="s">
        <v>221</v>
      </c>
      <c r="C329" s="289">
        <v>1361</v>
      </c>
      <c r="D329" s="290">
        <v>13</v>
      </c>
      <c r="E329" s="290">
        <v>39</v>
      </c>
      <c r="F329" s="290">
        <v>112</v>
      </c>
      <c r="G329" s="290">
        <v>124</v>
      </c>
      <c r="H329" s="290">
        <v>680</v>
      </c>
      <c r="I329" s="290">
        <v>263</v>
      </c>
      <c r="J329" s="290">
        <v>110</v>
      </c>
      <c r="K329" s="290">
        <v>20</v>
      </c>
      <c r="L329" s="290">
        <v>11</v>
      </c>
      <c r="M329" s="290">
        <v>198</v>
      </c>
      <c r="N329" s="290">
        <v>18</v>
      </c>
      <c r="O329" s="290">
        <v>14</v>
      </c>
      <c r="P329" s="624">
        <v>11902.522000000001</v>
      </c>
      <c r="Q329" s="624">
        <v>5074.0730000000003</v>
      </c>
      <c r="R329" s="624">
        <v>8</v>
      </c>
      <c r="S329" s="290">
        <v>0</v>
      </c>
      <c r="T329" s="290">
        <v>120</v>
      </c>
      <c r="U329" s="958">
        <v>1.0519562842875414E-3</v>
      </c>
      <c r="V329" s="290">
        <v>-1492.3387021799999</v>
      </c>
      <c r="W329" s="765">
        <v>1</v>
      </c>
      <c r="X329" s="290">
        <v>810</v>
      </c>
      <c r="Y329" s="290">
        <v>427.12680399999999</v>
      </c>
      <c r="Z329" s="290">
        <v>34850</v>
      </c>
      <c r="AA329" s="290">
        <v>0</v>
      </c>
      <c r="AB329" s="290">
        <v>23</v>
      </c>
      <c r="AC329" s="290">
        <v>212.62200000000001</v>
      </c>
      <c r="AD329" s="290">
        <v>167</v>
      </c>
      <c r="AE329" s="290">
        <v>0</v>
      </c>
      <c r="AF329" s="290">
        <v>0</v>
      </c>
      <c r="AG329" s="290">
        <v>1361</v>
      </c>
      <c r="AH329" s="290">
        <v>177.12235601</v>
      </c>
      <c r="AI329" s="290">
        <v>21.268000000000001</v>
      </c>
      <c r="AJ329" s="290">
        <v>0</v>
      </c>
      <c r="AK329" s="290">
        <v>0</v>
      </c>
      <c r="AL329" s="290">
        <v>4780</v>
      </c>
      <c r="AM329" s="957">
        <v>2.9014209999999999E-2</v>
      </c>
      <c r="AN329" s="290">
        <v>0</v>
      </c>
      <c r="AO329" s="290">
        <v>-249.00913</v>
      </c>
      <c r="AP329" s="290">
        <v>0</v>
      </c>
      <c r="AQ329" s="290">
        <v>0</v>
      </c>
      <c r="AR329" s="290">
        <v>462.21545600000002</v>
      </c>
      <c r="AS329" s="290">
        <v>676</v>
      </c>
      <c r="AT329" s="290">
        <v>69</v>
      </c>
      <c r="AU329" s="290">
        <v>15</v>
      </c>
      <c r="AV329" s="766">
        <v>70072</v>
      </c>
      <c r="AW329" s="290">
        <v>254</v>
      </c>
      <c r="AX329" s="766">
        <v>6.7500499999999999</v>
      </c>
      <c r="AY329" s="290">
        <v>215</v>
      </c>
      <c r="AZ329" s="290">
        <v>53</v>
      </c>
      <c r="BA329" s="290">
        <v>27</v>
      </c>
      <c r="BB329" s="290">
        <v>5875</v>
      </c>
      <c r="BC329" s="290">
        <v>596.96375</v>
      </c>
      <c r="BD329" s="290">
        <v>235</v>
      </c>
      <c r="BE329" s="290">
        <v>69892.231799999994</v>
      </c>
      <c r="BF329" s="290">
        <v>0</v>
      </c>
      <c r="BG329" s="290">
        <v>109</v>
      </c>
      <c r="BH329" s="290">
        <v>16</v>
      </c>
      <c r="BI329" s="290">
        <v>816.87116000000003</v>
      </c>
      <c r="BJ329" s="290">
        <v>0</v>
      </c>
      <c r="BK329" s="290">
        <f t="shared" si="5"/>
        <v>0</v>
      </c>
      <c r="BL329" s="290">
        <v>0</v>
      </c>
      <c r="BM329" s="290">
        <v>0</v>
      </c>
      <c r="BN329" s="290">
        <v>1274</v>
      </c>
      <c r="BO329" s="290">
        <v>184</v>
      </c>
      <c r="BP329" s="290">
        <v>1</v>
      </c>
      <c r="BQ329" s="290">
        <v>134</v>
      </c>
      <c r="BR329" s="290">
        <v>-1</v>
      </c>
      <c r="BS329" s="290">
        <v>50</v>
      </c>
      <c r="BT329" s="290">
        <v>0</v>
      </c>
      <c r="BU329" s="290">
        <v>0</v>
      </c>
      <c r="BV329" s="290">
        <v>35</v>
      </c>
      <c r="BW329" s="290"/>
      <c r="BX329" s="290"/>
      <c r="BY329" s="290"/>
    </row>
    <row r="330" spans="1:77" ht="13">
      <c r="A330" s="1">
        <v>5414</v>
      </c>
      <c r="B330" s="2" t="s">
        <v>222</v>
      </c>
      <c r="C330" s="289">
        <v>1091</v>
      </c>
      <c r="D330" s="290">
        <v>14</v>
      </c>
      <c r="E330" s="290">
        <v>37</v>
      </c>
      <c r="F330" s="290">
        <v>102</v>
      </c>
      <c r="G330" s="290">
        <v>97</v>
      </c>
      <c r="H330" s="290">
        <v>581</v>
      </c>
      <c r="I330" s="290">
        <v>166</v>
      </c>
      <c r="J330" s="290">
        <v>74</v>
      </c>
      <c r="K330" s="290">
        <v>17</v>
      </c>
      <c r="L330" s="290">
        <v>8</v>
      </c>
      <c r="M330" s="290">
        <v>132</v>
      </c>
      <c r="N330" s="290">
        <v>15</v>
      </c>
      <c r="O330" s="290">
        <v>8</v>
      </c>
      <c r="P330" s="624">
        <v>9088.1753333300003</v>
      </c>
      <c r="Q330" s="624">
        <v>4907.9933333299996</v>
      </c>
      <c r="R330" s="624">
        <v>7</v>
      </c>
      <c r="S330" s="290">
        <v>0</v>
      </c>
      <c r="T330" s="290">
        <v>120</v>
      </c>
      <c r="U330" s="958">
        <v>6.7971582466082976E-4</v>
      </c>
      <c r="V330" s="290">
        <v>-3650.3334651999999</v>
      </c>
      <c r="W330" s="765">
        <v>1</v>
      </c>
      <c r="X330" s="290">
        <v>930</v>
      </c>
      <c r="Y330" s="290">
        <v>427.12680399999999</v>
      </c>
      <c r="Z330" s="290">
        <v>28544</v>
      </c>
      <c r="AA330" s="290">
        <v>0</v>
      </c>
      <c r="AB330" s="290">
        <v>37</v>
      </c>
      <c r="AC330" s="290">
        <v>207.2</v>
      </c>
      <c r="AD330" s="290">
        <v>167</v>
      </c>
      <c r="AE330" s="290">
        <v>0</v>
      </c>
      <c r="AF330" s="290">
        <v>0</v>
      </c>
      <c r="AG330" s="290">
        <v>1088</v>
      </c>
      <c r="AH330" s="290">
        <v>159.04864621999999</v>
      </c>
      <c r="AI330" s="290">
        <v>268.05700000000002</v>
      </c>
      <c r="AJ330" s="290">
        <v>0</v>
      </c>
      <c r="AK330" s="290">
        <v>0</v>
      </c>
      <c r="AL330" s="290">
        <v>3841</v>
      </c>
      <c r="AM330" s="957">
        <v>3.366516E-2</v>
      </c>
      <c r="AN330" s="290">
        <v>0</v>
      </c>
      <c r="AO330" s="290">
        <v>-208.35425499999999</v>
      </c>
      <c r="AP330" s="290">
        <v>0</v>
      </c>
      <c r="AQ330" s="290">
        <v>0</v>
      </c>
      <c r="AR330" s="290">
        <v>-58.605624599999999</v>
      </c>
      <c r="AS330" s="290">
        <v>113</v>
      </c>
      <c r="AT330" s="290">
        <v>51</v>
      </c>
      <c r="AU330" s="290">
        <v>13</v>
      </c>
      <c r="AV330" s="766">
        <v>57952</v>
      </c>
      <c r="AW330" s="290">
        <v>236</v>
      </c>
      <c r="AX330" s="766">
        <v>3.1667000000000001</v>
      </c>
      <c r="AY330" s="290">
        <v>182</v>
      </c>
      <c r="AZ330" s="290">
        <v>62</v>
      </c>
      <c r="BA330" s="290">
        <v>25</v>
      </c>
      <c r="BB330" s="290">
        <v>5875</v>
      </c>
      <c r="BC330" s="290">
        <v>571.86271599999998</v>
      </c>
      <c r="BD330" s="290">
        <v>214</v>
      </c>
      <c r="BE330" s="290">
        <v>58753.634299999998</v>
      </c>
      <c r="BF330" s="290">
        <v>0</v>
      </c>
      <c r="BG330" s="290">
        <v>92</v>
      </c>
      <c r="BH330" s="290">
        <v>13</v>
      </c>
      <c r="BI330" s="290">
        <v>793.37545</v>
      </c>
      <c r="BJ330" s="290">
        <v>0</v>
      </c>
      <c r="BK330" s="290">
        <f t="shared" si="5"/>
        <v>0</v>
      </c>
      <c r="BL330" s="290">
        <v>0</v>
      </c>
      <c r="BM330" s="290">
        <v>0</v>
      </c>
      <c r="BN330" s="290">
        <v>1066</v>
      </c>
      <c r="BO330" s="290">
        <v>165</v>
      </c>
      <c r="BP330" s="290">
        <v>1</v>
      </c>
      <c r="BQ330" s="290">
        <v>108</v>
      </c>
      <c r="BR330" s="290">
        <v>-1</v>
      </c>
      <c r="BS330" s="290">
        <v>50</v>
      </c>
      <c r="BT330" s="290">
        <v>0</v>
      </c>
      <c r="BU330" s="290">
        <v>0</v>
      </c>
      <c r="BV330" s="290">
        <v>30</v>
      </c>
      <c r="BW330" s="290"/>
      <c r="BX330" s="290"/>
      <c r="BY330" s="290"/>
    </row>
    <row r="331" spans="1:77" ht="13">
      <c r="A331" s="1">
        <v>5415</v>
      </c>
      <c r="B331" s="2" t="s">
        <v>223</v>
      </c>
      <c r="C331" s="289">
        <v>1034</v>
      </c>
      <c r="D331" s="290">
        <v>10</v>
      </c>
      <c r="E331" s="290">
        <v>40</v>
      </c>
      <c r="F331" s="290">
        <v>141</v>
      </c>
      <c r="G331" s="290">
        <v>86</v>
      </c>
      <c r="H331" s="290">
        <v>523</v>
      </c>
      <c r="I331" s="290">
        <v>162</v>
      </c>
      <c r="J331" s="290">
        <v>61</v>
      </c>
      <c r="K331" s="290">
        <v>20</v>
      </c>
      <c r="L331" s="290">
        <v>7</v>
      </c>
      <c r="M331" s="290">
        <v>107</v>
      </c>
      <c r="N331" s="290">
        <v>0</v>
      </c>
      <c r="O331" s="290">
        <v>20</v>
      </c>
      <c r="P331" s="624">
        <v>3351.4650000000001</v>
      </c>
      <c r="Q331" s="624">
        <v>4165.8329999999996</v>
      </c>
      <c r="R331" s="624">
        <v>7</v>
      </c>
      <c r="S331" s="290">
        <v>0</v>
      </c>
      <c r="T331" s="290">
        <v>68</v>
      </c>
      <c r="U331" s="958">
        <v>6.8727840776397877E-4</v>
      </c>
      <c r="V331" s="290">
        <v>701.46602798000004</v>
      </c>
      <c r="W331" s="765">
        <v>0.98558310000000005</v>
      </c>
      <c r="X331" s="290">
        <v>790</v>
      </c>
      <c r="Y331" s="290">
        <v>427.12680399999999</v>
      </c>
      <c r="Z331" s="290">
        <v>22101</v>
      </c>
      <c r="AA331" s="290">
        <v>0</v>
      </c>
      <c r="AB331" s="290">
        <v>32</v>
      </c>
      <c r="AC331" s="290">
        <v>242.15299999999999</v>
      </c>
      <c r="AD331" s="290">
        <v>167</v>
      </c>
      <c r="AE331" s="290">
        <v>0</v>
      </c>
      <c r="AF331" s="290">
        <v>0</v>
      </c>
      <c r="AG331" s="290">
        <v>1043</v>
      </c>
      <c r="AH331" s="290">
        <v>180.73709797000001</v>
      </c>
      <c r="AI331" s="290">
        <v>53.9</v>
      </c>
      <c r="AJ331" s="290">
        <v>0</v>
      </c>
      <c r="AK331" s="290">
        <v>0</v>
      </c>
      <c r="AL331" s="290">
        <v>3622</v>
      </c>
      <c r="AM331" s="957">
        <v>2.6309579999999999E-2</v>
      </c>
      <c r="AN331" s="290">
        <v>0</v>
      </c>
      <c r="AO331" s="290">
        <v>-209.699353</v>
      </c>
      <c r="AP331" s="290">
        <v>0</v>
      </c>
      <c r="AQ331" s="290">
        <v>0</v>
      </c>
      <c r="AR331" s="290">
        <v>-56.181678699999999</v>
      </c>
      <c r="AS331" s="290">
        <v>285</v>
      </c>
      <c r="AT331" s="290">
        <v>46</v>
      </c>
      <c r="AU331" s="290">
        <v>9</v>
      </c>
      <c r="AV331" s="766">
        <v>63025</v>
      </c>
      <c r="AW331" s="290">
        <v>251</v>
      </c>
      <c r="AX331" s="766">
        <v>0.91669999999999996</v>
      </c>
      <c r="AY331" s="290">
        <v>178</v>
      </c>
      <c r="AZ331" s="290">
        <v>69</v>
      </c>
      <c r="BA331" s="290">
        <v>37</v>
      </c>
      <c r="BB331" s="290">
        <v>5875</v>
      </c>
      <c r="BC331" s="290">
        <v>596.26649899999995</v>
      </c>
      <c r="BD331" s="290">
        <v>209</v>
      </c>
      <c r="BE331" s="290">
        <v>64680.076200000003</v>
      </c>
      <c r="BF331" s="290">
        <v>0</v>
      </c>
      <c r="BG331" s="290">
        <v>88</v>
      </c>
      <c r="BH331" s="290">
        <v>13</v>
      </c>
      <c r="BI331" s="290">
        <v>850.01690199999996</v>
      </c>
      <c r="BJ331" s="290">
        <v>0</v>
      </c>
      <c r="BK331" s="290">
        <f t="shared" si="5"/>
        <v>0</v>
      </c>
      <c r="BL331" s="290">
        <v>0</v>
      </c>
      <c r="BM331" s="290">
        <v>0</v>
      </c>
      <c r="BN331" s="290">
        <v>1073</v>
      </c>
      <c r="BO331" s="290">
        <v>184</v>
      </c>
      <c r="BP331" s="290">
        <v>1</v>
      </c>
      <c r="BQ331" s="290">
        <v>101</v>
      </c>
      <c r="BR331" s="290">
        <v>0</v>
      </c>
      <c r="BS331" s="290">
        <v>50</v>
      </c>
      <c r="BT331" s="290">
        <v>0</v>
      </c>
      <c r="BU331" s="290">
        <v>0</v>
      </c>
      <c r="BV331" s="290">
        <v>28</v>
      </c>
      <c r="BW331" s="290"/>
      <c r="BX331" s="290"/>
      <c r="BY331" s="290"/>
    </row>
    <row r="332" spans="1:77" ht="13">
      <c r="A332" s="1">
        <v>5416</v>
      </c>
      <c r="B332" s="2" t="s">
        <v>224</v>
      </c>
      <c r="C332" s="289">
        <v>4005</v>
      </c>
      <c r="D332" s="290">
        <v>76</v>
      </c>
      <c r="E332" s="290">
        <v>170</v>
      </c>
      <c r="F332" s="290">
        <v>483</v>
      </c>
      <c r="G332" s="290">
        <v>381</v>
      </c>
      <c r="H332" s="290">
        <v>2165</v>
      </c>
      <c r="I332" s="290">
        <v>521</v>
      </c>
      <c r="J332" s="290">
        <v>143</v>
      </c>
      <c r="K332" s="290">
        <v>43</v>
      </c>
      <c r="L332" s="290">
        <v>33</v>
      </c>
      <c r="M332" s="290">
        <v>308</v>
      </c>
      <c r="N332" s="290">
        <v>64</v>
      </c>
      <c r="O332" s="290">
        <v>39</v>
      </c>
      <c r="P332" s="624">
        <v>23248.769</v>
      </c>
      <c r="Q332" s="624">
        <v>11528.546</v>
      </c>
      <c r="R332" s="624">
        <v>17</v>
      </c>
      <c r="S332" s="290">
        <v>0</v>
      </c>
      <c r="T332" s="290">
        <v>281</v>
      </c>
      <c r="U332" s="958">
        <v>1.6563730787111776E-3</v>
      </c>
      <c r="V332" s="290">
        <v>1845.7149928599999</v>
      </c>
      <c r="W332" s="765">
        <v>0.79133429</v>
      </c>
      <c r="X332" s="290">
        <v>830</v>
      </c>
      <c r="Y332" s="290">
        <v>427.12680399999999</v>
      </c>
      <c r="Z332" s="290">
        <v>121816</v>
      </c>
      <c r="AA332" s="290">
        <v>246</v>
      </c>
      <c r="AB332" s="290">
        <v>61</v>
      </c>
      <c r="AC332" s="290">
        <v>655.26099999999997</v>
      </c>
      <c r="AD332" s="290">
        <v>333</v>
      </c>
      <c r="AE332" s="290">
        <v>0</v>
      </c>
      <c r="AF332" s="290">
        <v>0</v>
      </c>
      <c r="AG332" s="290">
        <v>3982</v>
      </c>
      <c r="AH332" s="290">
        <v>666.55841731999999</v>
      </c>
      <c r="AI332" s="290">
        <v>0</v>
      </c>
      <c r="AJ332" s="290">
        <v>0</v>
      </c>
      <c r="AK332" s="290">
        <v>0</v>
      </c>
      <c r="AL332" s="290">
        <v>14008</v>
      </c>
      <c r="AM332" s="957">
        <v>2.1970030000000002E-2</v>
      </c>
      <c r="AN332" s="290">
        <v>0</v>
      </c>
      <c r="AO332" s="290">
        <v>-581.98947399999997</v>
      </c>
      <c r="AP332" s="290">
        <v>0</v>
      </c>
      <c r="AQ332" s="290">
        <v>0</v>
      </c>
      <c r="AR332" s="290">
        <v>-214.492277</v>
      </c>
      <c r="AS332" s="290">
        <v>573</v>
      </c>
      <c r="AT332" s="290">
        <v>139</v>
      </c>
      <c r="AU332" s="290">
        <v>17</v>
      </c>
      <c r="AV332" s="766">
        <v>128528</v>
      </c>
      <c r="AW332" s="290">
        <v>1390.077</v>
      </c>
      <c r="AX332" s="766">
        <v>23.791650000000001</v>
      </c>
      <c r="AY332" s="290">
        <v>916</v>
      </c>
      <c r="AZ332" s="290">
        <v>151</v>
      </c>
      <c r="BA332" s="290">
        <v>59</v>
      </c>
      <c r="BB332" s="290">
        <v>0</v>
      </c>
      <c r="BC332" s="290">
        <v>1062.0301400000001</v>
      </c>
      <c r="BD332" s="290">
        <v>417</v>
      </c>
      <c r="BE332" s="290">
        <v>132733.60399999999</v>
      </c>
      <c r="BF332" s="290">
        <v>0</v>
      </c>
      <c r="BG332" s="290">
        <v>209</v>
      </c>
      <c r="BH332" s="290">
        <v>30</v>
      </c>
      <c r="BI332" s="290">
        <v>1748.94622</v>
      </c>
      <c r="BJ332" s="290">
        <v>0</v>
      </c>
      <c r="BK332" s="290">
        <f t="shared" si="5"/>
        <v>0</v>
      </c>
      <c r="BL332" s="290">
        <v>0</v>
      </c>
      <c r="BM332" s="290">
        <v>0</v>
      </c>
      <c r="BN332" s="290">
        <v>2978</v>
      </c>
      <c r="BO332" s="290">
        <v>720</v>
      </c>
      <c r="BP332" s="290">
        <v>3</v>
      </c>
      <c r="BQ332" s="290">
        <v>409</v>
      </c>
      <c r="BR332" s="290">
        <v>-2</v>
      </c>
      <c r="BS332" s="290">
        <v>50</v>
      </c>
      <c r="BT332" s="290">
        <v>0</v>
      </c>
      <c r="BU332" s="290">
        <v>0</v>
      </c>
      <c r="BV332" s="290">
        <v>67</v>
      </c>
      <c r="BW332" s="290"/>
      <c r="BX332" s="290"/>
      <c r="BY332" s="290"/>
    </row>
    <row r="333" spans="1:77" ht="13">
      <c r="A333" s="1">
        <v>5417</v>
      </c>
      <c r="B333" s="2" t="s">
        <v>225</v>
      </c>
      <c r="C333" s="289">
        <v>2146</v>
      </c>
      <c r="D333" s="290">
        <v>29</v>
      </c>
      <c r="E333" s="290">
        <v>64</v>
      </c>
      <c r="F333" s="290">
        <v>234</v>
      </c>
      <c r="G333" s="290">
        <v>267</v>
      </c>
      <c r="H333" s="290">
        <v>1147</v>
      </c>
      <c r="I333" s="290">
        <v>328</v>
      </c>
      <c r="J333" s="290">
        <v>97</v>
      </c>
      <c r="K333" s="290">
        <v>19</v>
      </c>
      <c r="L333" s="290">
        <v>18</v>
      </c>
      <c r="M333" s="290">
        <v>217</v>
      </c>
      <c r="N333" s="290">
        <v>48</v>
      </c>
      <c r="O333" s="290">
        <v>27</v>
      </c>
      <c r="P333" s="624">
        <v>10644.9</v>
      </c>
      <c r="Q333" s="624">
        <v>6345.8459999999995</v>
      </c>
      <c r="R333" s="624">
        <v>12</v>
      </c>
      <c r="S333" s="290">
        <v>0</v>
      </c>
      <c r="T333" s="290">
        <v>189</v>
      </c>
      <c r="U333" s="958">
        <v>9.2792835477970514E-4</v>
      </c>
      <c r="V333" s="290">
        <v>1122.80985098</v>
      </c>
      <c r="W333" s="765">
        <v>0.89040430000000004</v>
      </c>
      <c r="X333" s="290">
        <v>1160</v>
      </c>
      <c r="Y333" s="290">
        <v>427.12680399999999</v>
      </c>
      <c r="Z333" s="290">
        <v>56569</v>
      </c>
      <c r="AA333" s="290">
        <v>591.29999999999995</v>
      </c>
      <c r="AB333" s="290">
        <v>60</v>
      </c>
      <c r="AC333" s="290">
        <v>361.74900000000002</v>
      </c>
      <c r="AD333" s="290">
        <v>167</v>
      </c>
      <c r="AE333" s="290">
        <v>0</v>
      </c>
      <c r="AF333" s="290">
        <v>0</v>
      </c>
      <c r="AG333" s="290">
        <v>2185</v>
      </c>
      <c r="AH333" s="290">
        <v>352.07586685000001</v>
      </c>
      <c r="AI333" s="290">
        <v>1239.221</v>
      </c>
      <c r="AJ333" s="290">
        <v>0</v>
      </c>
      <c r="AK333" s="290">
        <v>55.585999999999999</v>
      </c>
      <c r="AL333" s="290">
        <v>7588</v>
      </c>
      <c r="AM333" s="957">
        <v>2.731136E-2</v>
      </c>
      <c r="AN333" s="290">
        <v>0</v>
      </c>
      <c r="AO333" s="290">
        <v>-335.657737</v>
      </c>
      <c r="AP333" s="290">
        <v>0</v>
      </c>
      <c r="AQ333" s="290">
        <v>0</v>
      </c>
      <c r="AR333" s="290">
        <v>-117.696038</v>
      </c>
      <c r="AS333" s="290">
        <v>874</v>
      </c>
      <c r="AT333" s="290">
        <v>87</v>
      </c>
      <c r="AU333" s="290">
        <v>11</v>
      </c>
      <c r="AV333" s="766">
        <v>83608</v>
      </c>
      <c r="AW333" s="290">
        <v>297</v>
      </c>
      <c r="AX333" s="766">
        <v>4.3333500000000003</v>
      </c>
      <c r="AY333" s="290">
        <v>449</v>
      </c>
      <c r="AZ333" s="290">
        <v>136</v>
      </c>
      <c r="BA333" s="290">
        <v>40</v>
      </c>
      <c r="BB333" s="290">
        <v>5875</v>
      </c>
      <c r="BC333" s="290">
        <v>770.57923800000003</v>
      </c>
      <c r="BD333" s="290">
        <v>287</v>
      </c>
      <c r="BE333" s="290">
        <v>86184.769899999999</v>
      </c>
      <c r="BF333" s="290">
        <v>0</v>
      </c>
      <c r="BG333" s="290">
        <v>134</v>
      </c>
      <c r="BH333" s="290">
        <v>19</v>
      </c>
      <c r="BI333" s="290">
        <v>1196.5376699999999</v>
      </c>
      <c r="BJ333" s="290">
        <v>0</v>
      </c>
      <c r="BK333" s="290">
        <f t="shared" si="5"/>
        <v>0</v>
      </c>
      <c r="BL333" s="290">
        <v>0</v>
      </c>
      <c r="BM333" s="290">
        <v>0</v>
      </c>
      <c r="BN333" s="290">
        <v>1717</v>
      </c>
      <c r="BO333" s="290">
        <v>303</v>
      </c>
      <c r="BP333" s="290">
        <v>1</v>
      </c>
      <c r="BQ333" s="290">
        <v>213</v>
      </c>
      <c r="BR333" s="290">
        <v>-1</v>
      </c>
      <c r="BS333" s="290">
        <v>50</v>
      </c>
      <c r="BT333" s="290">
        <v>0</v>
      </c>
      <c r="BU333" s="290">
        <v>0</v>
      </c>
      <c r="BV333" s="290">
        <v>43</v>
      </c>
      <c r="BW333" s="290"/>
      <c r="BX333" s="290"/>
      <c r="BY333" s="290"/>
    </row>
    <row r="334" spans="1:77" ht="13">
      <c r="A334" s="1">
        <v>5418</v>
      </c>
      <c r="B334" s="2" t="s">
        <v>226</v>
      </c>
      <c r="C334" s="289">
        <v>6640</v>
      </c>
      <c r="D334" s="290">
        <v>135</v>
      </c>
      <c r="E334" s="290">
        <v>271</v>
      </c>
      <c r="F334" s="290">
        <v>728</v>
      </c>
      <c r="G334" s="290">
        <v>631</v>
      </c>
      <c r="H334" s="290">
        <v>3717</v>
      </c>
      <c r="I334" s="290">
        <v>809</v>
      </c>
      <c r="J334" s="290">
        <v>313</v>
      </c>
      <c r="K334" s="290">
        <v>67</v>
      </c>
      <c r="L334" s="290">
        <v>50</v>
      </c>
      <c r="M334" s="290">
        <v>532</v>
      </c>
      <c r="N334" s="290">
        <v>58</v>
      </c>
      <c r="O334" s="290">
        <v>31</v>
      </c>
      <c r="P334" s="624">
        <v>81480.751666669996</v>
      </c>
      <c r="Q334" s="624">
        <v>32920.572999999997</v>
      </c>
      <c r="R334" s="624">
        <v>31</v>
      </c>
      <c r="S334" s="290">
        <v>0</v>
      </c>
      <c r="T334" s="290">
        <v>514</v>
      </c>
      <c r="U334" s="958">
        <v>2.8092407442321045E-3</v>
      </c>
      <c r="V334" s="290">
        <v>-186.91614899999999</v>
      </c>
      <c r="W334" s="765">
        <v>0.82563523999999999</v>
      </c>
      <c r="X334" s="290">
        <v>930</v>
      </c>
      <c r="Y334" s="290">
        <v>427.12680399999999</v>
      </c>
      <c r="Z334" s="290">
        <v>189438</v>
      </c>
      <c r="AA334" s="290">
        <v>1750</v>
      </c>
      <c r="AB334" s="290">
        <v>152</v>
      </c>
      <c r="AC334" s="290">
        <v>1072.402</v>
      </c>
      <c r="AD334" s="290">
        <v>333</v>
      </c>
      <c r="AE334" s="290">
        <v>0</v>
      </c>
      <c r="AF334" s="290">
        <v>0</v>
      </c>
      <c r="AG334" s="290">
        <v>6671</v>
      </c>
      <c r="AH334" s="290">
        <v>1055.50465216</v>
      </c>
      <c r="AI334" s="290">
        <v>2197.2719999999999</v>
      </c>
      <c r="AJ334" s="290">
        <v>0</v>
      </c>
      <c r="AK334" s="290">
        <v>0</v>
      </c>
      <c r="AL334" s="290">
        <v>23654</v>
      </c>
      <c r="AM334" s="957">
        <v>5.374673E-2</v>
      </c>
      <c r="AN334" s="290">
        <v>0</v>
      </c>
      <c r="AO334" s="290">
        <v>-971.71400100000005</v>
      </c>
      <c r="AP334" s="290">
        <v>0</v>
      </c>
      <c r="AQ334" s="290">
        <v>0</v>
      </c>
      <c r="AR334" s="290">
        <v>-359.33650899999998</v>
      </c>
      <c r="AS334" s="290">
        <v>558</v>
      </c>
      <c r="AT334" s="290">
        <v>285</v>
      </c>
      <c r="AU334" s="290">
        <v>41</v>
      </c>
      <c r="AV334" s="766">
        <v>210628</v>
      </c>
      <c r="AW334" s="290">
        <v>625.63199999999995</v>
      </c>
      <c r="AX334" s="766">
        <v>47.250050000000002</v>
      </c>
      <c r="AY334" s="290">
        <v>1436</v>
      </c>
      <c r="AZ334" s="290">
        <v>213</v>
      </c>
      <c r="BA334" s="290">
        <v>135</v>
      </c>
      <c r="BB334" s="290">
        <v>0</v>
      </c>
      <c r="BC334" s="290">
        <v>1467.13294</v>
      </c>
      <c r="BD334" s="290">
        <v>636</v>
      </c>
      <c r="BE334" s="290">
        <v>217124.682</v>
      </c>
      <c r="BF334" s="290">
        <v>0</v>
      </c>
      <c r="BG334" s="290">
        <v>353</v>
      </c>
      <c r="BH334" s="290">
        <v>50</v>
      </c>
      <c r="BI334" s="290">
        <v>2555.0334600000001</v>
      </c>
      <c r="BJ334" s="290">
        <v>0</v>
      </c>
      <c r="BK334" s="290">
        <f t="shared" si="5"/>
        <v>0</v>
      </c>
      <c r="BL334" s="290">
        <v>0</v>
      </c>
      <c r="BM334" s="290">
        <v>0</v>
      </c>
      <c r="BN334" s="290">
        <v>4972</v>
      </c>
      <c r="BO334" s="290">
        <v>1155</v>
      </c>
      <c r="BP334" s="290">
        <v>6</v>
      </c>
      <c r="BQ334" s="290">
        <v>666</v>
      </c>
      <c r="BR334" s="290">
        <v>-3</v>
      </c>
      <c r="BS334" s="290">
        <v>50</v>
      </c>
      <c r="BT334" s="290">
        <v>0</v>
      </c>
      <c r="BU334" s="290">
        <v>0</v>
      </c>
      <c r="BV334" s="290">
        <v>114</v>
      </c>
      <c r="BW334" s="290"/>
      <c r="BX334" s="290"/>
      <c r="BY334" s="290"/>
    </row>
    <row r="335" spans="1:77" ht="13">
      <c r="A335" s="1">
        <v>5419</v>
      </c>
      <c r="B335" s="2" t="s">
        <v>227</v>
      </c>
      <c r="C335" s="289">
        <v>3464</v>
      </c>
      <c r="D335" s="290">
        <v>63</v>
      </c>
      <c r="E335" s="290">
        <v>133</v>
      </c>
      <c r="F335" s="290">
        <v>409</v>
      </c>
      <c r="G335" s="290">
        <v>360</v>
      </c>
      <c r="H335" s="290">
        <v>1889</v>
      </c>
      <c r="I335" s="290">
        <v>448</v>
      </c>
      <c r="J335" s="290">
        <v>137</v>
      </c>
      <c r="K335" s="290">
        <v>26</v>
      </c>
      <c r="L335" s="290">
        <v>26</v>
      </c>
      <c r="M335" s="290">
        <v>276</v>
      </c>
      <c r="N335" s="290">
        <v>29</v>
      </c>
      <c r="O335" s="290">
        <v>33</v>
      </c>
      <c r="P335" s="624">
        <v>14103.94933333</v>
      </c>
      <c r="Q335" s="624">
        <v>10178.312</v>
      </c>
      <c r="R335" s="624">
        <v>9</v>
      </c>
      <c r="S335" s="290">
        <v>0</v>
      </c>
      <c r="T335" s="290">
        <v>279</v>
      </c>
      <c r="U335" s="958">
        <v>9.686726773767007E-4</v>
      </c>
      <c r="V335" s="290">
        <v>1118.2637474600001</v>
      </c>
      <c r="W335" s="765">
        <v>0.71255690999999999</v>
      </c>
      <c r="X335" s="290">
        <v>550</v>
      </c>
      <c r="Y335" s="290">
        <v>427.12680399999999</v>
      </c>
      <c r="Z335" s="290">
        <v>88223</v>
      </c>
      <c r="AA335" s="290">
        <v>0</v>
      </c>
      <c r="AB335" s="290">
        <v>66</v>
      </c>
      <c r="AC335" s="290">
        <v>578.17200000000003</v>
      </c>
      <c r="AD335" s="290">
        <v>333</v>
      </c>
      <c r="AE335" s="290">
        <v>0</v>
      </c>
      <c r="AF335" s="290">
        <v>0</v>
      </c>
      <c r="AG335" s="290">
        <v>3465</v>
      </c>
      <c r="AH335" s="290">
        <v>588.47999100000004</v>
      </c>
      <c r="AI335" s="290">
        <v>0</v>
      </c>
      <c r="AJ335" s="290">
        <v>0</v>
      </c>
      <c r="AK335" s="290">
        <v>0</v>
      </c>
      <c r="AL335" s="290">
        <v>12128</v>
      </c>
      <c r="AM335" s="957">
        <v>5.5121030000000001E-2</v>
      </c>
      <c r="AN335" s="290">
        <v>0</v>
      </c>
      <c r="AO335" s="290">
        <v>-485.41510699999998</v>
      </c>
      <c r="AP335" s="290">
        <v>0</v>
      </c>
      <c r="AQ335" s="290">
        <v>0</v>
      </c>
      <c r="AR335" s="290">
        <v>4732.9462400000002</v>
      </c>
      <c r="AS335" s="290">
        <v>768</v>
      </c>
      <c r="AT335" s="290">
        <v>155</v>
      </c>
      <c r="AU335" s="290">
        <v>37</v>
      </c>
      <c r="AV335" s="766">
        <v>110168</v>
      </c>
      <c r="AW335" s="290">
        <v>370.101</v>
      </c>
      <c r="AX335" s="766">
        <v>25.124949999999998</v>
      </c>
      <c r="AY335" s="290">
        <v>660</v>
      </c>
      <c r="AZ335" s="290">
        <v>117</v>
      </c>
      <c r="BA335" s="290">
        <v>85</v>
      </c>
      <c r="BB335" s="290">
        <v>0</v>
      </c>
      <c r="BC335" s="290">
        <v>1006.94731</v>
      </c>
      <c r="BD335" s="290">
        <v>366</v>
      </c>
      <c r="BE335" s="290">
        <v>106446.277</v>
      </c>
      <c r="BF335" s="290">
        <v>0</v>
      </c>
      <c r="BG335" s="290">
        <v>180</v>
      </c>
      <c r="BH335" s="290">
        <v>26</v>
      </c>
      <c r="BI335" s="290">
        <v>1593.7788</v>
      </c>
      <c r="BJ335" s="290">
        <v>0</v>
      </c>
      <c r="BK335" s="290">
        <f t="shared" si="5"/>
        <v>0</v>
      </c>
      <c r="BL335" s="290">
        <v>0</v>
      </c>
      <c r="BM335" s="290">
        <v>0</v>
      </c>
      <c r="BN335" s="290">
        <v>2484</v>
      </c>
      <c r="BO335" s="290">
        <v>587</v>
      </c>
      <c r="BP335" s="290">
        <v>3</v>
      </c>
      <c r="BQ335" s="290">
        <v>340</v>
      </c>
      <c r="BR335" s="290">
        <v>-2</v>
      </c>
      <c r="BS335" s="290">
        <v>61</v>
      </c>
      <c r="BT335" s="290">
        <v>0</v>
      </c>
      <c r="BU335" s="290">
        <v>0</v>
      </c>
      <c r="BV335" s="290">
        <v>58</v>
      </c>
      <c r="BW335" s="290"/>
      <c r="BX335" s="290"/>
      <c r="BY335" s="290"/>
    </row>
    <row r="336" spans="1:77" ht="13">
      <c r="A336" s="1">
        <v>5420</v>
      </c>
      <c r="B336" s="2" t="s">
        <v>228</v>
      </c>
      <c r="C336" s="289">
        <v>1083</v>
      </c>
      <c r="D336" s="290">
        <v>10</v>
      </c>
      <c r="E336" s="290">
        <v>34</v>
      </c>
      <c r="F336" s="290">
        <v>114</v>
      </c>
      <c r="G336" s="290">
        <v>93</v>
      </c>
      <c r="H336" s="290">
        <v>597</v>
      </c>
      <c r="I336" s="290">
        <v>206</v>
      </c>
      <c r="J336" s="290">
        <v>57</v>
      </c>
      <c r="K336" s="290">
        <v>16</v>
      </c>
      <c r="L336" s="290">
        <v>11</v>
      </c>
      <c r="M336" s="290">
        <v>164</v>
      </c>
      <c r="N336" s="290">
        <v>1.5</v>
      </c>
      <c r="O336" s="290">
        <v>8</v>
      </c>
      <c r="P336" s="624">
        <v>5777.5776666700003</v>
      </c>
      <c r="Q336" s="624">
        <v>6775.7716666699998</v>
      </c>
      <c r="R336" s="624">
        <v>10</v>
      </c>
      <c r="S336" s="290">
        <v>0</v>
      </c>
      <c r="T336" s="290">
        <v>109</v>
      </c>
      <c r="U336" s="958">
        <v>9.131702710328041E-4</v>
      </c>
      <c r="V336" s="290">
        <v>620.15169447000005</v>
      </c>
      <c r="W336" s="765">
        <v>0.98772325999999999</v>
      </c>
      <c r="X336" s="290">
        <v>1270</v>
      </c>
      <c r="Y336" s="290">
        <v>427.12680399999999</v>
      </c>
      <c r="Z336" s="290">
        <v>24841</v>
      </c>
      <c r="AA336" s="290">
        <v>0</v>
      </c>
      <c r="AB336" s="290">
        <v>39</v>
      </c>
      <c r="AC336" s="290">
        <v>195.31</v>
      </c>
      <c r="AD336" s="290">
        <v>167</v>
      </c>
      <c r="AE336" s="290">
        <v>0</v>
      </c>
      <c r="AF336" s="290">
        <v>0</v>
      </c>
      <c r="AG336" s="290">
        <v>1127</v>
      </c>
      <c r="AH336" s="290">
        <v>158.32569781999999</v>
      </c>
      <c r="AI336" s="290">
        <v>20</v>
      </c>
      <c r="AJ336" s="290">
        <v>0</v>
      </c>
      <c r="AK336" s="290">
        <v>0</v>
      </c>
      <c r="AL336" s="290">
        <v>3924</v>
      </c>
      <c r="AM336" s="957">
        <v>1.4360120000000001E-2</v>
      </c>
      <c r="AN336" s="290">
        <v>0</v>
      </c>
      <c r="AO336" s="290">
        <v>-215.61416800000001</v>
      </c>
      <c r="AP336" s="290">
        <v>0</v>
      </c>
      <c r="AQ336" s="290">
        <v>0</v>
      </c>
      <c r="AR336" s="290">
        <v>320.54560400000003</v>
      </c>
      <c r="AS336" s="290">
        <v>542</v>
      </c>
      <c r="AT336" s="290">
        <v>52</v>
      </c>
      <c r="AU336" s="290">
        <v>11</v>
      </c>
      <c r="AV336" s="766">
        <v>65398</v>
      </c>
      <c r="AW336" s="290">
        <v>236</v>
      </c>
      <c r="AX336" s="766">
        <v>1.4167000000000001</v>
      </c>
      <c r="AY336" s="290">
        <v>198</v>
      </c>
      <c r="AZ336" s="290">
        <v>32</v>
      </c>
      <c r="BA336" s="290">
        <v>21</v>
      </c>
      <c r="BB336" s="290">
        <v>5875</v>
      </c>
      <c r="BC336" s="290">
        <v>573.95446900000002</v>
      </c>
      <c r="BD336" s="290">
        <v>215</v>
      </c>
      <c r="BE336" s="290">
        <v>65177.8986</v>
      </c>
      <c r="BF336" s="290">
        <v>0</v>
      </c>
      <c r="BG336" s="290">
        <v>94</v>
      </c>
      <c r="BH336" s="290">
        <v>13</v>
      </c>
      <c r="BI336" s="290">
        <v>780.76250200000004</v>
      </c>
      <c r="BJ336" s="290">
        <v>0</v>
      </c>
      <c r="BK336" s="290">
        <f t="shared" si="5"/>
        <v>0</v>
      </c>
      <c r="BL336" s="290">
        <v>0</v>
      </c>
      <c r="BM336" s="290">
        <v>0</v>
      </c>
      <c r="BN336" s="290">
        <v>1103</v>
      </c>
      <c r="BO336" s="290">
        <v>161</v>
      </c>
      <c r="BP336" s="290">
        <v>1</v>
      </c>
      <c r="BQ336" s="290">
        <v>109</v>
      </c>
      <c r="BR336" s="290">
        <v>-1</v>
      </c>
      <c r="BS336" s="290">
        <v>50</v>
      </c>
      <c r="BT336" s="290">
        <v>0</v>
      </c>
      <c r="BU336" s="290">
        <v>0</v>
      </c>
      <c r="BV336" s="290">
        <v>30</v>
      </c>
      <c r="BW336" s="290"/>
      <c r="BX336" s="290"/>
      <c r="BY336" s="290"/>
    </row>
    <row r="337" spans="1:77" ht="13">
      <c r="A337" s="1">
        <v>5421</v>
      </c>
      <c r="B337" s="2" t="s">
        <v>1650</v>
      </c>
      <c r="C337" s="289">
        <v>14851</v>
      </c>
      <c r="D337" s="290">
        <v>241</v>
      </c>
      <c r="E337" s="290">
        <v>613</v>
      </c>
      <c r="F337" s="290">
        <v>1877</v>
      </c>
      <c r="G337" s="290">
        <v>1416</v>
      </c>
      <c r="H337" s="290">
        <v>8047</v>
      </c>
      <c r="I337" s="290">
        <v>1977</v>
      </c>
      <c r="J337" s="290">
        <v>622</v>
      </c>
      <c r="K337" s="290">
        <v>137</v>
      </c>
      <c r="L337" s="290">
        <v>126</v>
      </c>
      <c r="M337" s="290">
        <v>1286</v>
      </c>
      <c r="N337" s="290">
        <v>230</v>
      </c>
      <c r="O337" s="290">
        <v>208</v>
      </c>
      <c r="P337" s="624">
        <v>213105.45166667001</v>
      </c>
      <c r="Q337" s="624">
        <v>63632.962333329997</v>
      </c>
      <c r="R337" s="624">
        <v>105</v>
      </c>
      <c r="S337" s="290">
        <v>0</v>
      </c>
      <c r="T337" s="290">
        <v>1266</v>
      </c>
      <c r="U337" s="958">
        <v>3.1826423918923496E-3</v>
      </c>
      <c r="V337" s="290">
        <v>-3815.5407865299999</v>
      </c>
      <c r="W337" s="765">
        <v>0.82330051999999998</v>
      </c>
      <c r="X337" s="290">
        <v>4210</v>
      </c>
      <c r="Y337" s="290">
        <v>427.12680399999999</v>
      </c>
      <c r="Z337" s="290">
        <v>376058</v>
      </c>
      <c r="AA337" s="290">
        <v>0</v>
      </c>
      <c r="AB337" s="290">
        <v>387</v>
      </c>
      <c r="AC337" s="290">
        <v>2751.79</v>
      </c>
      <c r="AD337" s="290">
        <v>333</v>
      </c>
      <c r="AE337" s="290">
        <v>0</v>
      </c>
      <c r="AF337" s="290">
        <v>62446.035499999998</v>
      </c>
      <c r="AG337" s="290">
        <v>14930</v>
      </c>
      <c r="AH337" s="290">
        <v>2577.3110170800001</v>
      </c>
      <c r="AI337" s="290">
        <v>3667.6280000000002</v>
      </c>
      <c r="AJ337" s="290">
        <v>0</v>
      </c>
      <c r="AK337" s="290">
        <v>0</v>
      </c>
      <c r="AL337" s="290">
        <v>52178</v>
      </c>
      <c r="AM337" s="957">
        <v>0.30082007999999999</v>
      </c>
      <c r="AN337" s="290">
        <v>0</v>
      </c>
      <c r="AO337" s="290">
        <v>-2304.8193700000002</v>
      </c>
      <c r="AP337" s="290">
        <v>0</v>
      </c>
      <c r="AQ337" s="290">
        <v>0</v>
      </c>
      <c r="AR337" s="290">
        <v>-804.21137399999998</v>
      </c>
      <c r="AS337" s="290">
        <v>3356</v>
      </c>
      <c r="AT337" s="290">
        <v>774</v>
      </c>
      <c r="AU337" s="290">
        <v>123</v>
      </c>
      <c r="AV337" s="766">
        <v>589848</v>
      </c>
      <c r="AW337" s="290">
        <v>2695.4639999999999</v>
      </c>
      <c r="AX337" s="766">
        <v>100.1249</v>
      </c>
      <c r="AY337" s="290">
        <v>2538</v>
      </c>
      <c r="AZ337" s="290">
        <v>712</v>
      </c>
      <c r="BA337" s="290">
        <v>415</v>
      </c>
      <c r="BB337" s="290">
        <v>0</v>
      </c>
      <c r="BC337" s="290">
        <v>5762.70928</v>
      </c>
      <c r="BD337" s="290">
        <v>1289</v>
      </c>
      <c r="BE337" s="290">
        <v>602696.15399999998</v>
      </c>
      <c r="BF337" s="290">
        <v>0</v>
      </c>
      <c r="BG337" s="290">
        <v>761</v>
      </c>
      <c r="BH337" s="290">
        <v>109</v>
      </c>
      <c r="BI337" s="290">
        <v>68202.263300000006</v>
      </c>
      <c r="BJ337" s="290">
        <v>0</v>
      </c>
      <c r="BK337" s="290">
        <f t="shared" si="5"/>
        <v>0</v>
      </c>
      <c r="BL337" s="290">
        <v>0</v>
      </c>
      <c r="BM337" s="290">
        <v>4277</v>
      </c>
      <c r="BN337" s="290">
        <v>11793</v>
      </c>
      <c r="BO337" s="290">
        <v>2668</v>
      </c>
      <c r="BP337" s="290">
        <v>12</v>
      </c>
      <c r="BQ337" s="290">
        <v>1463</v>
      </c>
      <c r="BR337" s="290">
        <v>-7</v>
      </c>
      <c r="BS337" s="290">
        <v>257</v>
      </c>
      <c r="BT337" s="290">
        <v>0</v>
      </c>
      <c r="BU337" s="290">
        <v>0</v>
      </c>
      <c r="BV337" s="290">
        <v>245</v>
      </c>
      <c r="BW337" s="290"/>
      <c r="BX337" s="290"/>
      <c r="BY337" s="290"/>
    </row>
    <row r="338" spans="1:77" ht="13">
      <c r="A338" s="1">
        <v>5422</v>
      </c>
      <c r="B338" s="2" t="s">
        <v>233</v>
      </c>
      <c r="C338" s="289">
        <v>5559</v>
      </c>
      <c r="D338" s="290">
        <v>79</v>
      </c>
      <c r="E338" s="290">
        <v>214</v>
      </c>
      <c r="F338" s="290">
        <v>601</v>
      </c>
      <c r="G338" s="290">
        <v>470</v>
      </c>
      <c r="H338" s="290">
        <v>3022</v>
      </c>
      <c r="I338" s="290">
        <v>841</v>
      </c>
      <c r="J338" s="290">
        <v>306</v>
      </c>
      <c r="K338" s="290">
        <v>58</v>
      </c>
      <c r="L338" s="290">
        <v>49</v>
      </c>
      <c r="M338" s="290">
        <v>616</v>
      </c>
      <c r="N338" s="290">
        <v>5</v>
      </c>
      <c r="O338" s="290">
        <v>43</v>
      </c>
      <c r="P338" s="624">
        <v>93512.963333330001</v>
      </c>
      <c r="Q338" s="624">
        <v>28541.536333330001</v>
      </c>
      <c r="R338" s="624">
        <v>34</v>
      </c>
      <c r="S338" s="290">
        <v>0</v>
      </c>
      <c r="T338" s="290">
        <v>520</v>
      </c>
      <c r="U338" s="958">
        <v>4.2955909644457795E-3</v>
      </c>
      <c r="V338" s="290">
        <v>245.30395555000001</v>
      </c>
      <c r="W338" s="765">
        <v>0.93752674999999996</v>
      </c>
      <c r="X338" s="290">
        <v>1040</v>
      </c>
      <c r="Y338" s="290">
        <v>0</v>
      </c>
      <c r="Z338" s="290">
        <v>127465</v>
      </c>
      <c r="AA338" s="290">
        <v>400</v>
      </c>
      <c r="AB338" s="290">
        <v>133</v>
      </c>
      <c r="AC338" s="290">
        <v>913.68200000000002</v>
      </c>
      <c r="AD338" s="290">
        <v>333</v>
      </c>
      <c r="AE338" s="290">
        <v>0</v>
      </c>
      <c r="AF338" s="290">
        <v>0</v>
      </c>
      <c r="AG338" s="290">
        <v>5591</v>
      </c>
      <c r="AH338" s="290">
        <v>834.28244424000002</v>
      </c>
      <c r="AI338" s="290">
        <v>429.06200000000001</v>
      </c>
      <c r="AJ338" s="290">
        <v>0</v>
      </c>
      <c r="AK338" s="290">
        <v>208.96799999999999</v>
      </c>
      <c r="AL338" s="290">
        <v>19553</v>
      </c>
      <c r="AM338" s="957">
        <v>9.298679E-2</v>
      </c>
      <c r="AN338" s="290">
        <v>0</v>
      </c>
      <c r="AO338" s="290">
        <v>-889.36082399999998</v>
      </c>
      <c r="AP338" s="290">
        <v>0</v>
      </c>
      <c r="AQ338" s="290">
        <v>0</v>
      </c>
      <c r="AR338" s="290">
        <v>-301.16180800000001</v>
      </c>
      <c r="AS338" s="290">
        <v>880</v>
      </c>
      <c r="AT338" s="290">
        <v>260</v>
      </c>
      <c r="AU338" s="290">
        <v>46</v>
      </c>
      <c r="AV338" s="766">
        <v>201272</v>
      </c>
      <c r="AW338" s="290">
        <v>546.71299999999997</v>
      </c>
      <c r="AX338" s="766">
        <v>34.916649999999997</v>
      </c>
      <c r="AY338" s="290">
        <v>773</v>
      </c>
      <c r="AZ338" s="290">
        <v>246</v>
      </c>
      <c r="BA338" s="290">
        <v>127</v>
      </c>
      <c r="BB338" s="290">
        <v>0</v>
      </c>
      <c r="BC338" s="290">
        <v>832.51764100000003</v>
      </c>
      <c r="BD338" s="290">
        <v>562</v>
      </c>
      <c r="BE338" s="290">
        <v>212163.51</v>
      </c>
      <c r="BF338" s="290">
        <v>0</v>
      </c>
      <c r="BG338" s="290">
        <v>324</v>
      </c>
      <c r="BH338" s="290">
        <v>46</v>
      </c>
      <c r="BI338" s="290">
        <v>1956.93244</v>
      </c>
      <c r="BJ338" s="290">
        <v>0</v>
      </c>
      <c r="BK338" s="290">
        <f t="shared" si="5"/>
        <v>0</v>
      </c>
      <c r="BL338" s="290">
        <v>0</v>
      </c>
      <c r="BM338" s="290">
        <v>0</v>
      </c>
      <c r="BN338" s="290">
        <v>4550</v>
      </c>
      <c r="BO338" s="290">
        <v>915</v>
      </c>
      <c r="BP338" s="290">
        <v>4</v>
      </c>
      <c r="BQ338" s="290">
        <v>545</v>
      </c>
      <c r="BR338" s="290">
        <v>-3</v>
      </c>
      <c r="BS338" s="290">
        <v>68</v>
      </c>
      <c r="BT338" s="290">
        <v>0</v>
      </c>
      <c r="BU338" s="290">
        <v>0</v>
      </c>
      <c r="BV338" s="290">
        <v>104</v>
      </c>
      <c r="BW338" s="290"/>
      <c r="BX338" s="290"/>
      <c r="BY338" s="290"/>
    </row>
    <row r="339" spans="1:77" ht="13">
      <c r="A339" s="1">
        <v>5423</v>
      </c>
      <c r="B339" s="2" t="s">
        <v>234</v>
      </c>
      <c r="C339" s="289">
        <v>2200</v>
      </c>
      <c r="D339" s="290">
        <v>34</v>
      </c>
      <c r="E339" s="290">
        <v>77</v>
      </c>
      <c r="F339" s="290">
        <v>165</v>
      </c>
      <c r="G339" s="290">
        <v>162</v>
      </c>
      <c r="H339" s="290">
        <v>1223</v>
      </c>
      <c r="I339" s="290">
        <v>395</v>
      </c>
      <c r="J339" s="290">
        <v>136</v>
      </c>
      <c r="K339" s="290">
        <v>23</v>
      </c>
      <c r="L339" s="290">
        <v>17</v>
      </c>
      <c r="M339" s="290">
        <v>277</v>
      </c>
      <c r="N339" s="290">
        <v>9</v>
      </c>
      <c r="O339" s="290">
        <v>22</v>
      </c>
      <c r="P339" s="624">
        <v>64962.842333330002</v>
      </c>
      <c r="Q339" s="624">
        <v>15422.18366667</v>
      </c>
      <c r="R339" s="624">
        <v>16</v>
      </c>
      <c r="S339" s="290">
        <v>0</v>
      </c>
      <c r="T339" s="290">
        <v>220</v>
      </c>
      <c r="U339" s="958">
        <v>1.047373530970056E-3</v>
      </c>
      <c r="V339" s="290">
        <v>-1051.2472388599999</v>
      </c>
      <c r="W339" s="765">
        <v>1</v>
      </c>
      <c r="X339" s="290">
        <v>740</v>
      </c>
      <c r="Y339" s="290">
        <v>427.12680399999999</v>
      </c>
      <c r="Z339" s="290">
        <v>56633</v>
      </c>
      <c r="AA339" s="290">
        <v>0</v>
      </c>
      <c r="AB339" s="290">
        <v>43</v>
      </c>
      <c r="AC339" s="290">
        <v>338.75900000000001</v>
      </c>
      <c r="AD339" s="290">
        <v>167</v>
      </c>
      <c r="AE339" s="290">
        <v>0</v>
      </c>
      <c r="AF339" s="290">
        <v>0</v>
      </c>
      <c r="AG339" s="290">
        <v>2215</v>
      </c>
      <c r="AH339" s="290">
        <v>260.26142107999999</v>
      </c>
      <c r="AI339" s="290">
        <v>70</v>
      </c>
      <c r="AJ339" s="290">
        <v>0</v>
      </c>
      <c r="AK339" s="290">
        <v>0</v>
      </c>
      <c r="AL339" s="290">
        <v>9222</v>
      </c>
      <c r="AM339" s="957">
        <v>3.7217359999999998E-2</v>
      </c>
      <c r="AN339" s="290">
        <v>0</v>
      </c>
      <c r="AO339" s="290">
        <v>-380.87096000000003</v>
      </c>
      <c r="AP339" s="290">
        <v>0</v>
      </c>
      <c r="AQ339" s="290">
        <v>0</v>
      </c>
      <c r="AR339" s="290">
        <v>-119.31200200000001</v>
      </c>
      <c r="AS339" s="290">
        <v>1850</v>
      </c>
      <c r="AT339" s="290">
        <v>107</v>
      </c>
      <c r="AU339" s="290">
        <v>18</v>
      </c>
      <c r="AV339" s="766">
        <v>105819</v>
      </c>
      <c r="AW339" s="290">
        <v>301</v>
      </c>
      <c r="AX339" s="766">
        <v>12.541650000000001</v>
      </c>
      <c r="AY339" s="290">
        <v>294</v>
      </c>
      <c r="AZ339" s="290">
        <v>98</v>
      </c>
      <c r="BA339" s="290">
        <v>45</v>
      </c>
      <c r="BB339" s="290">
        <v>12724</v>
      </c>
      <c r="BC339" s="290">
        <v>685.51462200000003</v>
      </c>
      <c r="BD339" s="290">
        <v>302</v>
      </c>
      <c r="BE339" s="290">
        <v>109095.20600000001</v>
      </c>
      <c r="BF339" s="290">
        <v>0</v>
      </c>
      <c r="BG339" s="290">
        <v>167</v>
      </c>
      <c r="BH339" s="290">
        <v>24</v>
      </c>
      <c r="BI339" s="290">
        <v>1026.14723</v>
      </c>
      <c r="BJ339" s="290">
        <v>0</v>
      </c>
      <c r="BK339" s="290">
        <f t="shared" si="5"/>
        <v>0</v>
      </c>
      <c r="BL339" s="290">
        <v>0</v>
      </c>
      <c r="BM339" s="290">
        <v>0</v>
      </c>
      <c r="BN339" s="290">
        <v>1949</v>
      </c>
      <c r="BO339" s="290">
        <v>330</v>
      </c>
      <c r="BP339" s="290">
        <v>2</v>
      </c>
      <c r="BQ339" s="290">
        <v>219</v>
      </c>
      <c r="BR339" s="290">
        <v>-1</v>
      </c>
      <c r="BS339" s="290">
        <v>50</v>
      </c>
      <c r="BT339" s="290">
        <v>0</v>
      </c>
      <c r="BU339" s="290">
        <v>0</v>
      </c>
      <c r="BV339" s="290">
        <v>54</v>
      </c>
      <c r="BW339" s="290"/>
      <c r="BX339" s="290"/>
      <c r="BY339" s="290"/>
    </row>
    <row r="340" spans="1:77" ht="13">
      <c r="A340" s="1">
        <v>5424</v>
      </c>
      <c r="B340" s="2" t="s">
        <v>235</v>
      </c>
      <c r="C340" s="289">
        <v>2794</v>
      </c>
      <c r="D340" s="290">
        <v>47</v>
      </c>
      <c r="E340" s="290">
        <v>81</v>
      </c>
      <c r="F340" s="290">
        <v>285</v>
      </c>
      <c r="G340" s="290">
        <v>266</v>
      </c>
      <c r="H340" s="290">
        <v>1450</v>
      </c>
      <c r="I340" s="290">
        <v>499</v>
      </c>
      <c r="J340" s="290">
        <v>172</v>
      </c>
      <c r="K340" s="290">
        <v>35</v>
      </c>
      <c r="L340" s="290">
        <v>22</v>
      </c>
      <c r="M340" s="290">
        <v>321</v>
      </c>
      <c r="N340" s="290">
        <v>12</v>
      </c>
      <c r="O340" s="290">
        <v>10</v>
      </c>
      <c r="P340" s="624">
        <v>53299.866666670001</v>
      </c>
      <c r="Q340" s="624">
        <v>13665.571333329999</v>
      </c>
      <c r="R340" s="624">
        <v>33</v>
      </c>
      <c r="S340" s="290">
        <v>0</v>
      </c>
      <c r="T340" s="290">
        <v>243</v>
      </c>
      <c r="U340" s="958">
        <v>1.6152379497278598E-3</v>
      </c>
      <c r="V340" s="290">
        <v>1656.89131883</v>
      </c>
      <c r="W340" s="765">
        <v>1</v>
      </c>
      <c r="X340" s="290">
        <v>1300</v>
      </c>
      <c r="Y340" s="290">
        <v>427.12680399999999</v>
      </c>
      <c r="Z340" s="290">
        <v>63654</v>
      </c>
      <c r="AA340" s="290">
        <v>0</v>
      </c>
      <c r="AB340" s="290">
        <v>74</v>
      </c>
      <c r="AC340" s="290">
        <v>479.33600000000001</v>
      </c>
      <c r="AD340" s="290">
        <v>167</v>
      </c>
      <c r="AE340" s="290">
        <v>0</v>
      </c>
      <c r="AF340" s="290">
        <v>0</v>
      </c>
      <c r="AG340" s="290">
        <v>2835</v>
      </c>
      <c r="AH340" s="290">
        <v>416.41827373000001</v>
      </c>
      <c r="AI340" s="290">
        <v>1375.75</v>
      </c>
      <c r="AJ340" s="290">
        <v>0</v>
      </c>
      <c r="AK340" s="290">
        <v>52.652000000000001</v>
      </c>
      <c r="AL340" s="290">
        <v>11658</v>
      </c>
      <c r="AM340" s="957">
        <v>3.1023729999999999E-2</v>
      </c>
      <c r="AN340" s="290">
        <v>0</v>
      </c>
      <c r="AO340" s="290">
        <v>-495.31840999999997</v>
      </c>
      <c r="AP340" s="290">
        <v>0</v>
      </c>
      <c r="AQ340" s="290">
        <v>0</v>
      </c>
      <c r="AR340" s="290">
        <v>-152.70858999999999</v>
      </c>
      <c r="AS340" s="290">
        <v>1199</v>
      </c>
      <c r="AT340" s="290">
        <v>127</v>
      </c>
      <c r="AU340" s="290">
        <v>20</v>
      </c>
      <c r="AV340" s="766">
        <v>138618</v>
      </c>
      <c r="AW340" s="290">
        <v>327</v>
      </c>
      <c r="AX340" s="766">
        <v>22.083300000000001</v>
      </c>
      <c r="AY340" s="290">
        <v>447</v>
      </c>
      <c r="AZ340" s="290">
        <v>99</v>
      </c>
      <c r="BA340" s="290">
        <v>51</v>
      </c>
      <c r="BB340" s="290">
        <v>12724</v>
      </c>
      <c r="BC340" s="290">
        <v>834.72632599999997</v>
      </c>
      <c r="BD340" s="290">
        <v>351</v>
      </c>
      <c r="BE340" s="290">
        <v>142477.59</v>
      </c>
      <c r="BF340" s="290">
        <v>0</v>
      </c>
      <c r="BG340" s="290">
        <v>192</v>
      </c>
      <c r="BH340" s="290">
        <v>27</v>
      </c>
      <c r="BI340" s="290">
        <v>1375.5330799999999</v>
      </c>
      <c r="BJ340" s="290">
        <v>0</v>
      </c>
      <c r="BK340" s="290">
        <f t="shared" si="5"/>
        <v>0</v>
      </c>
      <c r="BL340" s="290">
        <v>0</v>
      </c>
      <c r="BM340" s="290">
        <v>0</v>
      </c>
      <c r="BN340" s="290">
        <v>2534</v>
      </c>
      <c r="BO340" s="290">
        <v>411</v>
      </c>
      <c r="BP340" s="290">
        <v>2</v>
      </c>
      <c r="BQ340" s="290">
        <v>276</v>
      </c>
      <c r="BR340" s="290">
        <v>-1</v>
      </c>
      <c r="BS340" s="290">
        <v>50</v>
      </c>
      <c r="BT340" s="290">
        <v>0</v>
      </c>
      <c r="BU340" s="290">
        <v>0</v>
      </c>
      <c r="BV340" s="290">
        <v>62</v>
      </c>
      <c r="BW340" s="290"/>
      <c r="BX340" s="290"/>
      <c r="BY340" s="290"/>
    </row>
    <row r="341" spans="1:77" ht="13">
      <c r="A341" s="1">
        <v>5425</v>
      </c>
      <c r="B341" s="2" t="s">
        <v>236</v>
      </c>
      <c r="C341" s="289">
        <v>1829</v>
      </c>
      <c r="D341" s="290">
        <v>30</v>
      </c>
      <c r="E341" s="290">
        <v>57</v>
      </c>
      <c r="F341" s="290">
        <v>194</v>
      </c>
      <c r="G341" s="290">
        <v>170</v>
      </c>
      <c r="H341" s="290">
        <v>982</v>
      </c>
      <c r="I341" s="290">
        <v>315</v>
      </c>
      <c r="J341" s="290">
        <v>67</v>
      </c>
      <c r="K341" s="290">
        <v>16</v>
      </c>
      <c r="L341" s="290">
        <v>18</v>
      </c>
      <c r="M341" s="290">
        <v>200</v>
      </c>
      <c r="N341" s="290">
        <v>6</v>
      </c>
      <c r="O341" s="290">
        <v>14</v>
      </c>
      <c r="P341" s="624">
        <v>35668.249000000003</v>
      </c>
      <c r="Q341" s="624">
        <v>10695.437666670001</v>
      </c>
      <c r="R341" s="624">
        <v>13</v>
      </c>
      <c r="S341" s="290">
        <v>0</v>
      </c>
      <c r="T341" s="290">
        <v>177</v>
      </c>
      <c r="U341" s="958">
        <v>9.5053408760501965E-4</v>
      </c>
      <c r="V341" s="290">
        <v>1055.4283592100001</v>
      </c>
      <c r="W341" s="765">
        <v>1</v>
      </c>
      <c r="X341" s="290">
        <v>900</v>
      </c>
      <c r="Y341" s="290">
        <v>427.12680399999999</v>
      </c>
      <c r="Z341" s="290">
        <v>53772</v>
      </c>
      <c r="AA341" s="290">
        <v>200</v>
      </c>
      <c r="AB341" s="290">
        <v>30</v>
      </c>
      <c r="AC341" s="290">
        <v>337.31099999999998</v>
      </c>
      <c r="AD341" s="290">
        <v>167</v>
      </c>
      <c r="AE341" s="290">
        <v>0</v>
      </c>
      <c r="AF341" s="290">
        <v>0</v>
      </c>
      <c r="AG341" s="290">
        <v>1831</v>
      </c>
      <c r="AH341" s="290">
        <v>277.61218248</v>
      </c>
      <c r="AI341" s="290">
        <v>316.56700000000001</v>
      </c>
      <c r="AJ341" s="290">
        <v>0</v>
      </c>
      <c r="AK341" s="290">
        <v>145.76499999999999</v>
      </c>
      <c r="AL341" s="290">
        <v>7539</v>
      </c>
      <c r="AM341" s="957">
        <v>2.5770660000000001E-2</v>
      </c>
      <c r="AN341" s="290">
        <v>0</v>
      </c>
      <c r="AO341" s="290">
        <v>-315.51441599999998</v>
      </c>
      <c r="AP341" s="290">
        <v>0</v>
      </c>
      <c r="AQ341" s="290">
        <v>0</v>
      </c>
      <c r="AR341" s="290">
        <v>-98.627664199999998</v>
      </c>
      <c r="AS341" s="290">
        <v>1253</v>
      </c>
      <c r="AT341" s="290">
        <v>106</v>
      </c>
      <c r="AU341" s="290">
        <v>8</v>
      </c>
      <c r="AV341" s="766">
        <v>93267</v>
      </c>
      <c r="AW341" s="290">
        <v>273</v>
      </c>
      <c r="AX341" s="766">
        <v>9.8333499999999994</v>
      </c>
      <c r="AY341" s="290">
        <v>331</v>
      </c>
      <c r="AZ341" s="290">
        <v>103</v>
      </c>
      <c r="BA341" s="290">
        <v>59</v>
      </c>
      <c r="BB341" s="290">
        <v>12724</v>
      </c>
      <c r="BC341" s="290">
        <v>689.00087699999995</v>
      </c>
      <c r="BD341" s="290">
        <v>272</v>
      </c>
      <c r="BE341" s="290">
        <v>95125.011400000003</v>
      </c>
      <c r="BF341" s="290">
        <v>0</v>
      </c>
      <c r="BG341" s="290">
        <v>135</v>
      </c>
      <c r="BH341" s="290">
        <v>19</v>
      </c>
      <c r="BI341" s="290">
        <v>1187.8149900000001</v>
      </c>
      <c r="BJ341" s="290">
        <v>0</v>
      </c>
      <c r="BK341" s="290">
        <f t="shared" si="5"/>
        <v>0</v>
      </c>
      <c r="BL341" s="290">
        <v>0</v>
      </c>
      <c r="BM341" s="290">
        <v>0</v>
      </c>
      <c r="BN341" s="290">
        <v>1614</v>
      </c>
      <c r="BO341" s="290">
        <v>282</v>
      </c>
      <c r="BP341" s="290">
        <v>1</v>
      </c>
      <c r="BQ341" s="290">
        <v>180</v>
      </c>
      <c r="BR341" s="290">
        <v>-1</v>
      </c>
      <c r="BS341" s="290">
        <v>50</v>
      </c>
      <c r="BT341" s="290">
        <v>0</v>
      </c>
      <c r="BU341" s="290">
        <v>0</v>
      </c>
      <c r="BV341" s="290">
        <v>44</v>
      </c>
      <c r="BW341" s="290"/>
      <c r="BX341" s="290"/>
      <c r="BY341" s="290"/>
    </row>
    <row r="342" spans="1:77" ht="13">
      <c r="A342" s="1">
        <v>5426</v>
      </c>
      <c r="B342" s="2" t="s">
        <v>237</v>
      </c>
      <c r="C342" s="289">
        <v>2071</v>
      </c>
      <c r="D342" s="290">
        <v>23</v>
      </c>
      <c r="E342" s="290">
        <v>77</v>
      </c>
      <c r="F342" s="290">
        <v>204</v>
      </c>
      <c r="G342" s="290">
        <v>153</v>
      </c>
      <c r="H342" s="290">
        <v>1115</v>
      </c>
      <c r="I342" s="290">
        <v>357</v>
      </c>
      <c r="J342" s="290">
        <v>129</v>
      </c>
      <c r="K342" s="290">
        <v>22</v>
      </c>
      <c r="L342" s="290">
        <v>21</v>
      </c>
      <c r="M342" s="290">
        <v>252</v>
      </c>
      <c r="N342" s="290">
        <v>0</v>
      </c>
      <c r="O342" s="290">
        <v>10</v>
      </c>
      <c r="P342" s="624">
        <v>40885.742333330003</v>
      </c>
      <c r="Q342" s="624">
        <v>6160.3063333299997</v>
      </c>
      <c r="R342" s="624">
        <v>11</v>
      </c>
      <c r="S342" s="290">
        <v>0</v>
      </c>
      <c r="T342" s="290">
        <v>187</v>
      </c>
      <c r="U342" s="958">
        <v>1.564933101702056E-3</v>
      </c>
      <c r="V342" s="290">
        <v>-3771.6394369200002</v>
      </c>
      <c r="W342" s="765">
        <v>1</v>
      </c>
      <c r="X342" s="290">
        <v>1170</v>
      </c>
      <c r="Y342" s="290">
        <v>427.12680399999999</v>
      </c>
      <c r="Z342" s="290">
        <v>46178</v>
      </c>
      <c r="AA342" s="290">
        <v>700</v>
      </c>
      <c r="AB342" s="290">
        <v>44</v>
      </c>
      <c r="AC342" s="290">
        <v>341.79500000000002</v>
      </c>
      <c r="AD342" s="290">
        <v>167</v>
      </c>
      <c r="AE342" s="290">
        <v>0</v>
      </c>
      <c r="AF342" s="290">
        <v>0</v>
      </c>
      <c r="AG342" s="290">
        <v>2080</v>
      </c>
      <c r="AH342" s="290">
        <v>282.67282123000001</v>
      </c>
      <c r="AI342" s="290">
        <v>1064</v>
      </c>
      <c r="AJ342" s="290">
        <v>645</v>
      </c>
      <c r="AK342" s="290">
        <v>0</v>
      </c>
      <c r="AL342" s="290">
        <v>8587</v>
      </c>
      <c r="AM342" s="957">
        <v>2.2049349999999999E-2</v>
      </c>
      <c r="AN342" s="290">
        <v>0</v>
      </c>
      <c r="AO342" s="290">
        <v>-353.43019500000003</v>
      </c>
      <c r="AP342" s="290">
        <v>0</v>
      </c>
      <c r="AQ342" s="290">
        <v>0</v>
      </c>
      <c r="AR342" s="290">
        <v>-112.040165</v>
      </c>
      <c r="AS342" s="290">
        <v>812</v>
      </c>
      <c r="AT342" s="290">
        <v>101</v>
      </c>
      <c r="AU342" s="290">
        <v>20</v>
      </c>
      <c r="AV342" s="766">
        <v>97641</v>
      </c>
      <c r="AW342" s="290">
        <v>283</v>
      </c>
      <c r="AX342" s="766">
        <v>3.7083499999999998</v>
      </c>
      <c r="AY342" s="290">
        <v>343</v>
      </c>
      <c r="AZ342" s="290">
        <v>48</v>
      </c>
      <c r="BA342" s="290">
        <v>47</v>
      </c>
      <c r="BB342" s="290">
        <v>12724</v>
      </c>
      <c r="BC342" s="290">
        <v>691.78988000000004</v>
      </c>
      <c r="BD342" s="290">
        <v>292</v>
      </c>
      <c r="BE342" s="290">
        <v>99236.362099999998</v>
      </c>
      <c r="BF342" s="290">
        <v>0</v>
      </c>
      <c r="BG342" s="290">
        <v>147</v>
      </c>
      <c r="BH342" s="290">
        <v>21</v>
      </c>
      <c r="BI342" s="290">
        <v>1051.5946300000001</v>
      </c>
      <c r="BJ342" s="290">
        <v>0</v>
      </c>
      <c r="BK342" s="290">
        <f t="shared" si="5"/>
        <v>0</v>
      </c>
      <c r="BL342" s="290">
        <v>0</v>
      </c>
      <c r="BM342" s="290">
        <v>0</v>
      </c>
      <c r="BN342" s="290">
        <v>1808</v>
      </c>
      <c r="BO342" s="290">
        <v>319</v>
      </c>
      <c r="BP342" s="290">
        <v>1</v>
      </c>
      <c r="BQ342" s="290">
        <v>204</v>
      </c>
      <c r="BR342" s="290">
        <v>-1</v>
      </c>
      <c r="BS342" s="290">
        <v>50</v>
      </c>
      <c r="BT342" s="290">
        <v>0</v>
      </c>
      <c r="BU342" s="290">
        <v>0</v>
      </c>
      <c r="BV342" s="290">
        <v>47</v>
      </c>
      <c r="BW342" s="290"/>
      <c r="BX342" s="290"/>
      <c r="BY342" s="290"/>
    </row>
    <row r="343" spans="1:77" ht="13">
      <c r="A343" s="1">
        <v>5427</v>
      </c>
      <c r="B343" s="2" t="s">
        <v>238</v>
      </c>
      <c r="C343" s="289">
        <v>2927</v>
      </c>
      <c r="D343" s="290">
        <v>55</v>
      </c>
      <c r="E343" s="290">
        <v>136</v>
      </c>
      <c r="F343" s="290">
        <v>311</v>
      </c>
      <c r="G343" s="290">
        <v>259</v>
      </c>
      <c r="H343" s="290">
        <v>1601</v>
      </c>
      <c r="I343" s="290">
        <v>419</v>
      </c>
      <c r="J343" s="290">
        <v>121</v>
      </c>
      <c r="K343" s="290">
        <v>22</v>
      </c>
      <c r="L343" s="290">
        <v>27</v>
      </c>
      <c r="M343" s="290">
        <v>252</v>
      </c>
      <c r="N343" s="290">
        <v>45</v>
      </c>
      <c r="O343" s="290">
        <v>44</v>
      </c>
      <c r="P343" s="624">
        <v>19453.556</v>
      </c>
      <c r="Q343" s="624">
        <v>11557.856333330001</v>
      </c>
      <c r="R343" s="624">
        <v>17</v>
      </c>
      <c r="S343" s="290">
        <v>0</v>
      </c>
      <c r="T343" s="290">
        <v>214</v>
      </c>
      <c r="U343" s="958">
        <v>3.3214918673758379E-4</v>
      </c>
      <c r="V343" s="290">
        <v>-81.320712220000004</v>
      </c>
      <c r="W343" s="765">
        <v>1</v>
      </c>
      <c r="X343" s="290">
        <v>740</v>
      </c>
      <c r="Y343" s="290">
        <v>427.12680399999999</v>
      </c>
      <c r="Z343" s="290">
        <v>73085</v>
      </c>
      <c r="AA343" s="290">
        <v>0</v>
      </c>
      <c r="AB343" s="290">
        <v>87</v>
      </c>
      <c r="AC343" s="290">
        <v>450.31599999999997</v>
      </c>
      <c r="AD343" s="290">
        <v>167</v>
      </c>
      <c r="AE343" s="290">
        <v>0</v>
      </c>
      <c r="AF343" s="290">
        <v>0</v>
      </c>
      <c r="AG343" s="290">
        <v>2924</v>
      </c>
      <c r="AH343" s="290">
        <v>461.24107401999999</v>
      </c>
      <c r="AI343" s="290">
        <v>17.5</v>
      </c>
      <c r="AJ343" s="290">
        <v>0</v>
      </c>
      <c r="AK343" s="290">
        <v>0</v>
      </c>
      <c r="AL343" s="290">
        <v>11945</v>
      </c>
      <c r="AM343" s="957">
        <v>5.7411839999999999E-2</v>
      </c>
      <c r="AN343" s="290">
        <v>0</v>
      </c>
      <c r="AO343" s="290">
        <v>-459.26211699999999</v>
      </c>
      <c r="AP343" s="290">
        <v>0</v>
      </c>
      <c r="AQ343" s="290">
        <v>0</v>
      </c>
      <c r="AR343" s="290">
        <v>-157.50261599999999</v>
      </c>
      <c r="AS343" s="290">
        <v>1044</v>
      </c>
      <c r="AT343" s="290">
        <v>163</v>
      </c>
      <c r="AU343" s="290">
        <v>27</v>
      </c>
      <c r="AV343" s="766">
        <v>117321</v>
      </c>
      <c r="AW343" s="290">
        <v>329</v>
      </c>
      <c r="AX343" s="766">
        <v>22.416650000000001</v>
      </c>
      <c r="AY343" s="290">
        <v>401</v>
      </c>
      <c r="AZ343" s="290">
        <v>111</v>
      </c>
      <c r="BA343" s="290">
        <v>63</v>
      </c>
      <c r="BB343" s="290">
        <v>12724</v>
      </c>
      <c r="BC343" s="290">
        <v>864.70811700000002</v>
      </c>
      <c r="BD343" s="290">
        <v>360</v>
      </c>
      <c r="BE343" s="290">
        <v>123359.397</v>
      </c>
      <c r="BF343" s="290">
        <v>0</v>
      </c>
      <c r="BG343" s="290">
        <v>174</v>
      </c>
      <c r="BH343" s="290">
        <v>25</v>
      </c>
      <c r="BI343" s="290">
        <v>1338.68388</v>
      </c>
      <c r="BJ343" s="290">
        <v>0</v>
      </c>
      <c r="BK343" s="290">
        <f t="shared" si="5"/>
        <v>0</v>
      </c>
      <c r="BL343" s="290">
        <v>0</v>
      </c>
      <c r="BM343" s="290">
        <v>0</v>
      </c>
      <c r="BN343" s="290">
        <v>2350</v>
      </c>
      <c r="BO343" s="290">
        <v>540</v>
      </c>
      <c r="BP343" s="290">
        <v>3</v>
      </c>
      <c r="BQ343" s="290">
        <v>283</v>
      </c>
      <c r="BR343" s="290">
        <v>-1</v>
      </c>
      <c r="BS343" s="290">
        <v>55</v>
      </c>
      <c r="BT343" s="290">
        <v>0</v>
      </c>
      <c r="BU343" s="290">
        <v>0</v>
      </c>
      <c r="BV343" s="290">
        <v>56</v>
      </c>
      <c r="BW343" s="290"/>
      <c r="BX343" s="290"/>
      <c r="BY343" s="290"/>
    </row>
    <row r="344" spans="1:77" ht="13">
      <c r="A344" s="1">
        <v>5428</v>
      </c>
      <c r="B344" s="2" t="s">
        <v>239</v>
      </c>
      <c r="C344" s="289">
        <v>4861</v>
      </c>
      <c r="D344" s="290">
        <v>86</v>
      </c>
      <c r="E344" s="290">
        <v>191</v>
      </c>
      <c r="F344" s="290">
        <v>631</v>
      </c>
      <c r="G344" s="290">
        <v>422</v>
      </c>
      <c r="H344" s="290">
        <v>2656</v>
      </c>
      <c r="I344" s="290">
        <v>673</v>
      </c>
      <c r="J344" s="290">
        <v>201</v>
      </c>
      <c r="K344" s="290">
        <v>46</v>
      </c>
      <c r="L344" s="290">
        <v>43</v>
      </c>
      <c r="M344" s="290">
        <v>487</v>
      </c>
      <c r="N344" s="290">
        <v>52</v>
      </c>
      <c r="O344" s="290">
        <v>47</v>
      </c>
      <c r="P344" s="624">
        <v>42579.77366667</v>
      </c>
      <c r="Q344" s="624">
        <v>19193.871999999999</v>
      </c>
      <c r="R344" s="624">
        <v>30</v>
      </c>
      <c r="S344" s="290">
        <v>0</v>
      </c>
      <c r="T344" s="290">
        <v>442</v>
      </c>
      <c r="U344" s="958">
        <v>2.0918585634805763E-3</v>
      </c>
      <c r="V344" s="290">
        <v>-11775.17716691</v>
      </c>
      <c r="W344" s="765">
        <v>0.85452740999999999</v>
      </c>
      <c r="X344" s="290">
        <v>1290</v>
      </c>
      <c r="Y344" s="290">
        <v>427.12680399999999</v>
      </c>
      <c r="Z344" s="290">
        <v>126293</v>
      </c>
      <c r="AA344" s="290">
        <v>1000</v>
      </c>
      <c r="AB344" s="290">
        <v>96</v>
      </c>
      <c r="AC344" s="290">
        <v>846.51599999999996</v>
      </c>
      <c r="AD344" s="290">
        <v>333</v>
      </c>
      <c r="AE344" s="290">
        <v>0</v>
      </c>
      <c r="AF344" s="290">
        <v>0</v>
      </c>
      <c r="AG344" s="290">
        <v>4906</v>
      </c>
      <c r="AH344" s="290">
        <v>830.66770227999996</v>
      </c>
      <c r="AI344" s="290">
        <v>372.76600000000002</v>
      </c>
      <c r="AJ344" s="290">
        <v>0</v>
      </c>
      <c r="AK344" s="290">
        <v>0</v>
      </c>
      <c r="AL344" s="290">
        <v>20102</v>
      </c>
      <c r="AM344" s="957">
        <v>0.15106077000000001</v>
      </c>
      <c r="AN344" s="290">
        <v>0</v>
      </c>
      <c r="AO344" s="290">
        <v>-771.58236699999998</v>
      </c>
      <c r="AP344" s="290">
        <v>0</v>
      </c>
      <c r="AQ344" s="290">
        <v>0</v>
      </c>
      <c r="AR344" s="290">
        <v>-264.26396499999998</v>
      </c>
      <c r="AS344" s="290">
        <v>1516</v>
      </c>
      <c r="AT344" s="290">
        <v>265</v>
      </c>
      <c r="AU344" s="290">
        <v>57</v>
      </c>
      <c r="AV344" s="766">
        <v>166250</v>
      </c>
      <c r="AW344" s="290">
        <v>489.52</v>
      </c>
      <c r="AX344" s="766">
        <v>31.583349999999999</v>
      </c>
      <c r="AY344" s="290">
        <v>938</v>
      </c>
      <c r="AZ344" s="290">
        <v>241</v>
      </c>
      <c r="BA344" s="290">
        <v>141</v>
      </c>
      <c r="BB344" s="290">
        <v>0</v>
      </c>
      <c r="BC344" s="290">
        <v>1215.42535</v>
      </c>
      <c r="BD344" s="290">
        <v>498</v>
      </c>
      <c r="BE344" s="290">
        <v>174362.28700000001</v>
      </c>
      <c r="BF344" s="290">
        <v>0</v>
      </c>
      <c r="BG344" s="290">
        <v>263</v>
      </c>
      <c r="BH344" s="290">
        <v>38</v>
      </c>
      <c r="BI344" s="290">
        <v>2104.3105099999998</v>
      </c>
      <c r="BJ344" s="290">
        <v>0</v>
      </c>
      <c r="BK344" s="290">
        <f t="shared" si="5"/>
        <v>0</v>
      </c>
      <c r="BL344" s="290">
        <v>0</v>
      </c>
      <c r="BM344" s="290">
        <v>0</v>
      </c>
      <c r="BN344" s="290">
        <v>3948</v>
      </c>
      <c r="BO344" s="290">
        <v>859</v>
      </c>
      <c r="BP344" s="290">
        <v>4</v>
      </c>
      <c r="BQ344" s="290">
        <v>476</v>
      </c>
      <c r="BR344" s="290">
        <v>-2</v>
      </c>
      <c r="BS344" s="290">
        <v>70</v>
      </c>
      <c r="BT344" s="290">
        <v>0</v>
      </c>
      <c r="BU344" s="290">
        <v>0</v>
      </c>
      <c r="BV344" s="290">
        <v>84</v>
      </c>
      <c r="BW344" s="290"/>
      <c r="BX344" s="290"/>
      <c r="BY344" s="290"/>
    </row>
    <row r="345" spans="1:77" ht="13">
      <c r="A345" s="1">
        <v>5429</v>
      </c>
      <c r="B345" s="2" t="s">
        <v>240</v>
      </c>
      <c r="C345" s="289">
        <v>1191</v>
      </c>
      <c r="D345" s="290">
        <v>17</v>
      </c>
      <c r="E345" s="290">
        <v>38</v>
      </c>
      <c r="F345" s="290">
        <v>109</v>
      </c>
      <c r="G345" s="290">
        <v>104</v>
      </c>
      <c r="H345" s="290">
        <v>621</v>
      </c>
      <c r="I345" s="290">
        <v>210</v>
      </c>
      <c r="J345" s="290">
        <v>85</v>
      </c>
      <c r="K345" s="290">
        <v>8</v>
      </c>
      <c r="L345" s="290">
        <v>11</v>
      </c>
      <c r="M345" s="290">
        <v>140</v>
      </c>
      <c r="N345" s="290">
        <v>1.5</v>
      </c>
      <c r="O345" s="290">
        <v>7</v>
      </c>
      <c r="P345" s="624">
        <v>14759.883666670001</v>
      </c>
      <c r="Q345" s="624">
        <v>9545.5746666699997</v>
      </c>
      <c r="R345" s="624">
        <v>17</v>
      </c>
      <c r="S345" s="290">
        <v>0</v>
      </c>
      <c r="T345" s="290">
        <v>117</v>
      </c>
      <c r="U345" s="958">
        <v>8.838528352826734E-4</v>
      </c>
      <c r="V345" s="290">
        <v>810.57012427999996</v>
      </c>
      <c r="W345" s="765">
        <v>1</v>
      </c>
      <c r="X345" s="290">
        <v>1410</v>
      </c>
      <c r="Y345" s="290">
        <v>0</v>
      </c>
      <c r="Z345" s="290">
        <v>30284</v>
      </c>
      <c r="AA345" s="290">
        <v>0</v>
      </c>
      <c r="AB345" s="290">
        <v>30</v>
      </c>
      <c r="AC345" s="290">
        <v>210.76300000000001</v>
      </c>
      <c r="AD345" s="290">
        <v>167</v>
      </c>
      <c r="AE345" s="290">
        <v>0</v>
      </c>
      <c r="AF345" s="290">
        <v>0</v>
      </c>
      <c r="AG345" s="290">
        <v>1192</v>
      </c>
      <c r="AH345" s="290">
        <v>160.49454299999999</v>
      </c>
      <c r="AI345" s="290">
        <v>48.814</v>
      </c>
      <c r="AJ345" s="290">
        <v>0</v>
      </c>
      <c r="AK345" s="290">
        <v>46.145000000000003</v>
      </c>
      <c r="AL345" s="290">
        <v>4922</v>
      </c>
      <c r="AM345" s="957">
        <v>4.6947540000000003E-2</v>
      </c>
      <c r="AN345" s="290">
        <v>0</v>
      </c>
      <c r="AO345" s="290">
        <v>-242.315414</v>
      </c>
      <c r="AP345" s="290">
        <v>0</v>
      </c>
      <c r="AQ345" s="290">
        <v>0</v>
      </c>
      <c r="AR345" s="290">
        <v>-64.207632799999999</v>
      </c>
      <c r="AS345" s="290">
        <v>1170</v>
      </c>
      <c r="AT345" s="290">
        <v>70</v>
      </c>
      <c r="AU345" s="290">
        <v>19</v>
      </c>
      <c r="AV345" s="766">
        <v>78656</v>
      </c>
      <c r="AW345" s="290">
        <v>241</v>
      </c>
      <c r="AX345" s="766">
        <v>9.2499500000000001</v>
      </c>
      <c r="AY345" s="290">
        <v>189</v>
      </c>
      <c r="AZ345" s="290">
        <v>51</v>
      </c>
      <c r="BA345" s="290">
        <v>28</v>
      </c>
      <c r="BB345" s="290">
        <v>12724</v>
      </c>
      <c r="BC345" s="290">
        <v>169.431982</v>
      </c>
      <c r="BD345" s="290">
        <v>222</v>
      </c>
      <c r="BE345" s="290">
        <v>81737.924899999998</v>
      </c>
      <c r="BF345" s="290">
        <v>0</v>
      </c>
      <c r="BG345" s="290">
        <v>103</v>
      </c>
      <c r="BH345" s="290">
        <v>15</v>
      </c>
      <c r="BI345" s="290">
        <v>417.40254299999998</v>
      </c>
      <c r="BJ345" s="290">
        <v>0</v>
      </c>
      <c r="BK345" s="290">
        <f t="shared" si="5"/>
        <v>0</v>
      </c>
      <c r="BL345" s="290">
        <v>0</v>
      </c>
      <c r="BM345" s="290">
        <v>0</v>
      </c>
      <c r="BN345" s="290">
        <v>1240</v>
      </c>
      <c r="BO345" s="290">
        <v>186</v>
      </c>
      <c r="BP345" s="290">
        <v>1</v>
      </c>
      <c r="BQ345" s="290">
        <v>117</v>
      </c>
      <c r="BR345" s="290">
        <v>-1</v>
      </c>
      <c r="BS345" s="290">
        <v>50</v>
      </c>
      <c r="BT345" s="290">
        <v>0</v>
      </c>
      <c r="BU345" s="290">
        <v>0</v>
      </c>
      <c r="BV345" s="290">
        <v>33</v>
      </c>
      <c r="BW345" s="290"/>
      <c r="BX345" s="290"/>
      <c r="BY345" s="290"/>
    </row>
    <row r="346" spans="1:77" ht="13">
      <c r="A346" s="1">
        <v>5430</v>
      </c>
      <c r="B346" s="2" t="s">
        <v>244</v>
      </c>
      <c r="C346" s="289">
        <v>2910</v>
      </c>
      <c r="D346" s="290">
        <v>60</v>
      </c>
      <c r="E346" s="290">
        <v>146</v>
      </c>
      <c r="F346" s="290">
        <v>354</v>
      </c>
      <c r="G346" s="290">
        <v>231</v>
      </c>
      <c r="H346" s="290">
        <v>1691</v>
      </c>
      <c r="I346" s="290">
        <v>335</v>
      </c>
      <c r="J346" s="290">
        <v>100</v>
      </c>
      <c r="K346" s="290">
        <v>12</v>
      </c>
      <c r="L346" s="290">
        <v>27</v>
      </c>
      <c r="M346" s="290">
        <v>229</v>
      </c>
      <c r="N346" s="290">
        <v>0</v>
      </c>
      <c r="O346" s="290">
        <v>5</v>
      </c>
      <c r="P346" s="624">
        <v>31099.787333330001</v>
      </c>
      <c r="Q346" s="624">
        <v>21747.171666670001</v>
      </c>
      <c r="R346" s="624">
        <v>22</v>
      </c>
      <c r="S346" s="290">
        <v>0</v>
      </c>
      <c r="T346" s="290">
        <v>228</v>
      </c>
      <c r="U346" s="958">
        <v>1.6453193561084965E-3</v>
      </c>
      <c r="V346" s="290">
        <v>1619.23117155</v>
      </c>
      <c r="W346" s="765">
        <v>1</v>
      </c>
      <c r="X346" s="290">
        <v>1660</v>
      </c>
      <c r="Y346" s="290">
        <v>427.12680399999999</v>
      </c>
      <c r="Z346" s="290">
        <v>55560</v>
      </c>
      <c r="AA346" s="290">
        <v>191.25</v>
      </c>
      <c r="AB346" s="290">
        <v>53</v>
      </c>
      <c r="AC346" s="290">
        <v>513.90300000000002</v>
      </c>
      <c r="AD346" s="290">
        <v>167</v>
      </c>
      <c r="AE346" s="290">
        <v>0</v>
      </c>
      <c r="AF346" s="290">
        <v>0</v>
      </c>
      <c r="AG346" s="290">
        <v>2929</v>
      </c>
      <c r="AH346" s="290">
        <v>505.34092593000003</v>
      </c>
      <c r="AI346" s="290">
        <v>1726.875</v>
      </c>
      <c r="AJ346" s="290">
        <v>0</v>
      </c>
      <c r="AK346" s="290">
        <v>340.91899999999998</v>
      </c>
      <c r="AL346" s="290">
        <v>24816</v>
      </c>
      <c r="AM346" s="957">
        <v>0.12916058</v>
      </c>
      <c r="AN346" s="290">
        <v>0</v>
      </c>
      <c r="AO346" s="290">
        <v>-484.06011899999999</v>
      </c>
      <c r="AP346" s="290">
        <v>0</v>
      </c>
      <c r="AQ346" s="290">
        <v>0</v>
      </c>
      <c r="AR346" s="290">
        <v>-157.77194299999999</v>
      </c>
      <c r="AS346" s="290">
        <v>1329</v>
      </c>
      <c r="AT346" s="290">
        <v>82</v>
      </c>
      <c r="AU346" s="290">
        <v>67</v>
      </c>
      <c r="AV346" s="766">
        <v>145925</v>
      </c>
      <c r="AW346" s="290">
        <v>328</v>
      </c>
      <c r="AX346" s="766">
        <v>14.666700000000001</v>
      </c>
      <c r="AY346" s="290">
        <v>676</v>
      </c>
      <c r="AZ346" s="290">
        <v>201</v>
      </c>
      <c r="BA346" s="290">
        <v>105</v>
      </c>
      <c r="BB346" s="290">
        <v>12724</v>
      </c>
      <c r="BC346" s="290">
        <v>910.02943000000005</v>
      </c>
      <c r="BD346" s="290">
        <v>361</v>
      </c>
      <c r="BE346" s="290">
        <v>149069.56899999999</v>
      </c>
      <c r="BF346" s="290">
        <v>0</v>
      </c>
      <c r="BG346" s="290">
        <v>179</v>
      </c>
      <c r="BH346" s="290">
        <v>25</v>
      </c>
      <c r="BI346" s="290">
        <v>1787.28973</v>
      </c>
      <c r="BJ346" s="290">
        <v>330</v>
      </c>
      <c r="BK346" s="290">
        <f t="shared" si="5"/>
        <v>0</v>
      </c>
      <c r="BL346" s="290">
        <v>0</v>
      </c>
      <c r="BM346" s="290">
        <v>0</v>
      </c>
      <c r="BN346" s="290">
        <v>2477</v>
      </c>
      <c r="BO346" s="290">
        <v>585</v>
      </c>
      <c r="BP346" s="290">
        <v>3</v>
      </c>
      <c r="BQ346" s="290">
        <v>282</v>
      </c>
      <c r="BR346" s="290">
        <v>-1</v>
      </c>
      <c r="BS346" s="290">
        <v>50</v>
      </c>
      <c r="BT346" s="290">
        <v>0</v>
      </c>
      <c r="BU346" s="290">
        <v>0</v>
      </c>
      <c r="BV346" s="290">
        <v>57</v>
      </c>
      <c r="BW346" s="290"/>
      <c r="BX346" s="290"/>
      <c r="BY346" s="290"/>
    </row>
    <row r="347" spans="1:77" ht="13">
      <c r="A347" s="1">
        <v>5432</v>
      </c>
      <c r="B347" s="2" t="s">
        <v>246</v>
      </c>
      <c r="C347" s="289">
        <v>888</v>
      </c>
      <c r="D347" s="290">
        <v>15</v>
      </c>
      <c r="E347" s="290">
        <v>27</v>
      </c>
      <c r="F347" s="290">
        <v>68</v>
      </c>
      <c r="G347" s="290">
        <v>67</v>
      </c>
      <c r="H347" s="290">
        <v>512</v>
      </c>
      <c r="I347" s="290">
        <v>170</v>
      </c>
      <c r="J347" s="290">
        <v>55</v>
      </c>
      <c r="K347" s="290">
        <v>13</v>
      </c>
      <c r="L347" s="290">
        <v>10</v>
      </c>
      <c r="M347" s="290">
        <v>128</v>
      </c>
      <c r="N347" s="290">
        <v>0</v>
      </c>
      <c r="O347" s="290">
        <v>11</v>
      </c>
      <c r="P347" s="624">
        <v>25070.893</v>
      </c>
      <c r="Q347" s="624">
        <v>9692.5693333300005</v>
      </c>
      <c r="R347" s="624">
        <v>6</v>
      </c>
      <c r="S347" s="290">
        <v>0</v>
      </c>
      <c r="T347" s="290">
        <v>103</v>
      </c>
      <c r="U347" s="958">
        <v>2.2235556506694276E-4</v>
      </c>
      <c r="V347" s="290">
        <v>635.54402066</v>
      </c>
      <c r="W347" s="765">
        <v>1</v>
      </c>
      <c r="X347" s="290">
        <v>1570</v>
      </c>
      <c r="Y347" s="290">
        <v>0</v>
      </c>
      <c r="Z347" s="290">
        <v>21128</v>
      </c>
      <c r="AA347" s="290">
        <v>0</v>
      </c>
      <c r="AB347" s="290">
        <v>15</v>
      </c>
      <c r="AC347" s="290">
        <v>164.792</v>
      </c>
      <c r="AD347" s="290">
        <v>167</v>
      </c>
      <c r="AE347" s="290">
        <v>0</v>
      </c>
      <c r="AF347" s="290">
        <v>0</v>
      </c>
      <c r="AG347" s="290">
        <v>927</v>
      </c>
      <c r="AH347" s="290">
        <v>104.82751682</v>
      </c>
      <c r="AI347" s="290">
        <v>207.81700000000001</v>
      </c>
      <c r="AJ347" s="290">
        <v>0</v>
      </c>
      <c r="AK347" s="290">
        <v>0</v>
      </c>
      <c r="AL347" s="290">
        <v>7783</v>
      </c>
      <c r="AM347" s="957">
        <v>2.856976E-2</v>
      </c>
      <c r="AN347" s="290">
        <v>0</v>
      </c>
      <c r="AO347" s="290">
        <v>-189.99233699999999</v>
      </c>
      <c r="AP347" s="290">
        <v>0</v>
      </c>
      <c r="AQ347" s="290">
        <v>0</v>
      </c>
      <c r="AR347" s="290">
        <v>-49.933284899999997</v>
      </c>
      <c r="AS347" s="290">
        <v>1002</v>
      </c>
      <c r="AT347" s="290">
        <v>33</v>
      </c>
      <c r="AU347" s="290">
        <v>14</v>
      </c>
      <c r="AV347" s="766">
        <v>67291</v>
      </c>
      <c r="AW347" s="290">
        <v>225</v>
      </c>
      <c r="AX347" s="766">
        <v>9.5832999999999995</v>
      </c>
      <c r="AY347" s="290">
        <v>131</v>
      </c>
      <c r="AZ347" s="290">
        <v>52</v>
      </c>
      <c r="BA347" s="290">
        <v>19</v>
      </c>
      <c r="BB347" s="290">
        <v>12724</v>
      </c>
      <c r="BC347" s="290">
        <v>100</v>
      </c>
      <c r="BD347" s="290">
        <v>201</v>
      </c>
      <c r="BE347" s="290">
        <v>71392.88</v>
      </c>
      <c r="BF347" s="290">
        <v>0</v>
      </c>
      <c r="BG347" s="290">
        <v>94</v>
      </c>
      <c r="BH347" s="290">
        <v>13</v>
      </c>
      <c r="BI347" s="290">
        <v>269.61951699999997</v>
      </c>
      <c r="BJ347" s="290">
        <v>0</v>
      </c>
      <c r="BK347" s="290">
        <f t="shared" si="5"/>
        <v>0</v>
      </c>
      <c r="BL347" s="290">
        <v>0</v>
      </c>
      <c r="BM347" s="290">
        <v>0</v>
      </c>
      <c r="BN347" s="290">
        <v>972</v>
      </c>
      <c r="BO347" s="290">
        <v>144</v>
      </c>
      <c r="BP347" s="290">
        <v>1</v>
      </c>
      <c r="BQ347" s="290">
        <v>89</v>
      </c>
      <c r="BR347" s="290">
        <v>0</v>
      </c>
      <c r="BS347" s="290">
        <v>50</v>
      </c>
      <c r="BT347" s="290">
        <v>0</v>
      </c>
      <c r="BU347" s="290">
        <v>0</v>
      </c>
      <c r="BV347" s="290">
        <v>30</v>
      </c>
      <c r="BW347" s="290"/>
      <c r="BX347" s="290"/>
      <c r="BY347" s="290"/>
    </row>
    <row r="348" spans="1:77" ht="13">
      <c r="A348" s="1">
        <v>5433</v>
      </c>
      <c r="B348" s="2" t="s">
        <v>247</v>
      </c>
      <c r="C348" s="289">
        <v>1005</v>
      </c>
      <c r="D348" s="290">
        <v>17</v>
      </c>
      <c r="E348" s="290">
        <v>47</v>
      </c>
      <c r="F348" s="290">
        <v>94</v>
      </c>
      <c r="G348" s="290">
        <v>70</v>
      </c>
      <c r="H348" s="290">
        <v>606</v>
      </c>
      <c r="I348" s="290">
        <v>131</v>
      </c>
      <c r="J348" s="290">
        <v>49</v>
      </c>
      <c r="K348" s="290">
        <v>10</v>
      </c>
      <c r="L348" s="290">
        <v>8</v>
      </c>
      <c r="M348" s="290">
        <v>115</v>
      </c>
      <c r="N348" s="290">
        <v>1.5</v>
      </c>
      <c r="O348" s="290">
        <v>17</v>
      </c>
      <c r="P348" s="624">
        <v>14181.025666670001</v>
      </c>
      <c r="Q348" s="624">
        <v>3326.5143333300002</v>
      </c>
      <c r="R348" s="624">
        <v>3</v>
      </c>
      <c r="S348" s="290">
        <v>0</v>
      </c>
      <c r="T348" s="290">
        <v>129</v>
      </c>
      <c r="U348" s="958">
        <v>1.5210605241290884E-4</v>
      </c>
      <c r="V348" s="290">
        <v>635.52589253999997</v>
      </c>
      <c r="W348" s="765">
        <v>1</v>
      </c>
      <c r="X348" s="290">
        <v>1010</v>
      </c>
      <c r="Y348" s="290">
        <v>0</v>
      </c>
      <c r="Z348" s="290">
        <v>22343</v>
      </c>
      <c r="AA348" s="290">
        <v>0</v>
      </c>
      <c r="AB348" s="290">
        <v>25</v>
      </c>
      <c r="AC348" s="290">
        <v>177.43100000000001</v>
      </c>
      <c r="AD348" s="290">
        <v>167</v>
      </c>
      <c r="AE348" s="290">
        <v>0</v>
      </c>
      <c r="AF348" s="290">
        <v>0</v>
      </c>
      <c r="AG348" s="290">
        <v>1024</v>
      </c>
      <c r="AH348" s="290">
        <v>143.14378159</v>
      </c>
      <c r="AI348" s="290">
        <v>369.41199999999998</v>
      </c>
      <c r="AJ348" s="290">
        <v>0</v>
      </c>
      <c r="AK348" s="290">
        <v>0</v>
      </c>
      <c r="AL348" s="290">
        <v>8869</v>
      </c>
      <c r="AM348" s="957">
        <v>0.10461299</v>
      </c>
      <c r="AN348" s="290">
        <v>0</v>
      </c>
      <c r="AO348" s="290">
        <v>-189.986918</v>
      </c>
      <c r="AP348" s="290">
        <v>0</v>
      </c>
      <c r="AQ348" s="290">
        <v>0</v>
      </c>
      <c r="AR348" s="290">
        <v>-55.158234899999997</v>
      </c>
      <c r="AS348" s="290">
        <v>89</v>
      </c>
      <c r="AT348" s="290">
        <v>48</v>
      </c>
      <c r="AU348" s="290">
        <v>34</v>
      </c>
      <c r="AV348" s="766">
        <v>64052</v>
      </c>
      <c r="AW348" s="290">
        <v>232</v>
      </c>
      <c r="AX348" s="766">
        <v>6</v>
      </c>
      <c r="AY348" s="290">
        <v>142</v>
      </c>
      <c r="AZ348" s="290">
        <v>70</v>
      </c>
      <c r="BA348" s="290">
        <v>27</v>
      </c>
      <c r="BB348" s="290">
        <v>12724</v>
      </c>
      <c r="BC348" s="290">
        <v>134.569434</v>
      </c>
      <c r="BD348" s="290">
        <v>209</v>
      </c>
      <c r="BE348" s="290">
        <v>69081.395300000004</v>
      </c>
      <c r="BF348" s="290">
        <v>0</v>
      </c>
      <c r="BG348" s="290">
        <v>87</v>
      </c>
      <c r="BH348" s="290">
        <v>12</v>
      </c>
      <c r="BI348" s="290">
        <v>320.57478200000003</v>
      </c>
      <c r="BJ348" s="290">
        <v>110</v>
      </c>
      <c r="BK348" s="290">
        <f t="shared" si="5"/>
        <v>0</v>
      </c>
      <c r="BL348" s="290">
        <v>0</v>
      </c>
      <c r="BM348" s="290">
        <v>0</v>
      </c>
      <c r="BN348" s="290">
        <v>972</v>
      </c>
      <c r="BO348" s="290">
        <v>189</v>
      </c>
      <c r="BP348" s="290">
        <v>1</v>
      </c>
      <c r="BQ348" s="290">
        <v>101</v>
      </c>
      <c r="BR348" s="290">
        <v>0</v>
      </c>
      <c r="BS348" s="290">
        <v>50</v>
      </c>
      <c r="BT348" s="290">
        <v>0</v>
      </c>
      <c r="BU348" s="290">
        <v>0</v>
      </c>
      <c r="BV348" s="290">
        <v>28</v>
      </c>
      <c r="BW348" s="290"/>
      <c r="BX348" s="290"/>
      <c r="BY348" s="290"/>
    </row>
    <row r="349" spans="1:77" ht="13">
      <c r="A349" s="1">
        <v>5434</v>
      </c>
      <c r="B349" s="2" t="s">
        <v>249</v>
      </c>
      <c r="C349" s="289">
        <v>1225</v>
      </c>
      <c r="D349" s="290">
        <v>13</v>
      </c>
      <c r="E349" s="290">
        <v>40</v>
      </c>
      <c r="F349" s="290">
        <v>114</v>
      </c>
      <c r="G349" s="290">
        <v>85</v>
      </c>
      <c r="H349" s="290">
        <v>677</v>
      </c>
      <c r="I349" s="290">
        <v>218</v>
      </c>
      <c r="J349" s="290">
        <v>71</v>
      </c>
      <c r="K349" s="290">
        <v>13</v>
      </c>
      <c r="L349" s="290">
        <v>11</v>
      </c>
      <c r="M349" s="290">
        <v>183</v>
      </c>
      <c r="N349" s="290">
        <v>3</v>
      </c>
      <c r="O349" s="290">
        <v>13</v>
      </c>
      <c r="P349" s="624">
        <v>13770.26533333</v>
      </c>
      <c r="Q349" s="624">
        <v>5742.1336666699999</v>
      </c>
      <c r="R349" s="624">
        <v>4</v>
      </c>
      <c r="S349" s="290">
        <v>0</v>
      </c>
      <c r="T349" s="290">
        <v>143</v>
      </c>
      <c r="U349" s="958">
        <v>2.3670212501201369E-4</v>
      </c>
      <c r="V349" s="290">
        <v>727.33632516</v>
      </c>
      <c r="W349" s="765">
        <v>1</v>
      </c>
      <c r="X349" s="290">
        <v>1130</v>
      </c>
      <c r="Y349" s="290">
        <v>427.12680399999999</v>
      </c>
      <c r="Z349" s="290">
        <v>36764</v>
      </c>
      <c r="AA349" s="290">
        <v>0</v>
      </c>
      <c r="AB349" s="290">
        <v>16</v>
      </c>
      <c r="AC349" s="290">
        <v>190.85900000000001</v>
      </c>
      <c r="AD349" s="290">
        <v>167</v>
      </c>
      <c r="AE349" s="290">
        <v>0</v>
      </c>
      <c r="AF349" s="290">
        <v>0</v>
      </c>
      <c r="AG349" s="290">
        <v>1231</v>
      </c>
      <c r="AH349" s="290">
        <v>153.26505907999999</v>
      </c>
      <c r="AI349" s="290">
        <v>600</v>
      </c>
      <c r="AJ349" s="290">
        <v>0</v>
      </c>
      <c r="AK349" s="290">
        <v>0</v>
      </c>
      <c r="AL349" s="290">
        <v>10481</v>
      </c>
      <c r="AM349" s="957">
        <v>4.4253140000000003E-2</v>
      </c>
      <c r="AN349" s="290">
        <v>0</v>
      </c>
      <c r="AO349" s="290">
        <v>-217.433134</v>
      </c>
      <c r="AP349" s="290">
        <v>0</v>
      </c>
      <c r="AQ349" s="290">
        <v>0</v>
      </c>
      <c r="AR349" s="290">
        <v>-66.308385900000005</v>
      </c>
      <c r="AS349" s="290">
        <v>1986</v>
      </c>
      <c r="AT349" s="290">
        <v>52</v>
      </c>
      <c r="AU349" s="290">
        <v>22</v>
      </c>
      <c r="AV349" s="766">
        <v>73236</v>
      </c>
      <c r="AW349" s="290">
        <v>260</v>
      </c>
      <c r="AX349" s="766">
        <v>2.9167000000000001</v>
      </c>
      <c r="AY349" s="290">
        <v>148</v>
      </c>
      <c r="AZ349" s="290">
        <v>59</v>
      </c>
      <c r="BA349" s="290">
        <v>16</v>
      </c>
      <c r="BB349" s="290">
        <v>12724</v>
      </c>
      <c r="BC349" s="290">
        <v>566.28470800000002</v>
      </c>
      <c r="BD349" s="290">
        <v>225</v>
      </c>
      <c r="BE349" s="290">
        <v>76174.587299999999</v>
      </c>
      <c r="BF349" s="290">
        <v>0</v>
      </c>
      <c r="BG349" s="290">
        <v>100</v>
      </c>
      <c r="BH349" s="290">
        <v>14</v>
      </c>
      <c r="BI349" s="290">
        <v>771.25086299999998</v>
      </c>
      <c r="BJ349" s="290">
        <v>140</v>
      </c>
      <c r="BK349" s="290">
        <f t="shared" si="5"/>
        <v>0</v>
      </c>
      <c r="BL349" s="290">
        <v>0</v>
      </c>
      <c r="BM349" s="290">
        <v>0</v>
      </c>
      <c r="BN349" s="290">
        <v>1113</v>
      </c>
      <c r="BO349" s="290">
        <v>177</v>
      </c>
      <c r="BP349" s="290">
        <v>1</v>
      </c>
      <c r="BQ349" s="290">
        <v>120</v>
      </c>
      <c r="BR349" s="290">
        <v>-1</v>
      </c>
      <c r="BS349" s="290">
        <v>50</v>
      </c>
      <c r="BT349" s="290">
        <v>0</v>
      </c>
      <c r="BU349" s="290">
        <v>0</v>
      </c>
      <c r="BV349" s="290">
        <v>32</v>
      </c>
      <c r="BW349" s="290"/>
      <c r="BX349" s="290"/>
      <c r="BY349" s="290"/>
    </row>
    <row r="350" spans="1:77" ht="13">
      <c r="A350" s="1">
        <v>5435</v>
      </c>
      <c r="B350" s="2" t="s">
        <v>250</v>
      </c>
      <c r="C350" s="289">
        <v>3162</v>
      </c>
      <c r="D350" s="290">
        <v>46</v>
      </c>
      <c r="E350" s="290">
        <v>99</v>
      </c>
      <c r="F350" s="290">
        <v>318</v>
      </c>
      <c r="G350" s="290">
        <v>273</v>
      </c>
      <c r="H350" s="290">
        <v>1856</v>
      </c>
      <c r="I350" s="290">
        <v>444</v>
      </c>
      <c r="J350" s="290">
        <v>122</v>
      </c>
      <c r="K350" s="290">
        <v>22</v>
      </c>
      <c r="L350" s="290">
        <v>31</v>
      </c>
      <c r="M350" s="290">
        <v>340</v>
      </c>
      <c r="N350" s="290">
        <v>54</v>
      </c>
      <c r="O350" s="290">
        <v>45</v>
      </c>
      <c r="P350" s="624">
        <v>14579.125666669999</v>
      </c>
      <c r="Q350" s="624">
        <v>8373.8856666699994</v>
      </c>
      <c r="R350" s="624">
        <v>13</v>
      </c>
      <c r="S350" s="290">
        <v>0</v>
      </c>
      <c r="T350" s="290">
        <v>376</v>
      </c>
      <c r="U350" s="958">
        <v>1.3878551512741503E-4</v>
      </c>
      <c r="V350" s="290">
        <v>1556.3503486499999</v>
      </c>
      <c r="W350" s="765">
        <v>1</v>
      </c>
      <c r="X350" s="290">
        <v>1040</v>
      </c>
      <c r="Y350" s="290">
        <v>0</v>
      </c>
      <c r="Z350" s="290">
        <v>84073</v>
      </c>
      <c r="AA350" s="290">
        <v>0</v>
      </c>
      <c r="AB350" s="290">
        <v>70</v>
      </c>
      <c r="AC350" s="290">
        <v>498.072</v>
      </c>
      <c r="AD350" s="290">
        <v>333</v>
      </c>
      <c r="AE350" s="290">
        <v>0</v>
      </c>
      <c r="AF350" s="290">
        <v>0</v>
      </c>
      <c r="AG350" s="290">
        <v>3180</v>
      </c>
      <c r="AH350" s="290">
        <v>452.56569331999998</v>
      </c>
      <c r="AI350" s="290">
        <v>16.399999999999999</v>
      </c>
      <c r="AJ350" s="290">
        <v>0</v>
      </c>
      <c r="AK350" s="290">
        <v>0</v>
      </c>
      <c r="AL350" s="290">
        <v>27311</v>
      </c>
      <c r="AM350" s="957">
        <v>0.17354254999999999</v>
      </c>
      <c r="AN350" s="290">
        <v>0</v>
      </c>
      <c r="AO350" s="290">
        <v>-465.262248</v>
      </c>
      <c r="AP350" s="290">
        <v>0</v>
      </c>
      <c r="AQ350" s="290">
        <v>0</v>
      </c>
      <c r="AR350" s="290">
        <v>1541.73342</v>
      </c>
      <c r="AS350" s="290">
        <v>480</v>
      </c>
      <c r="AT350" s="290">
        <v>173</v>
      </c>
      <c r="AU350" s="290">
        <v>49</v>
      </c>
      <c r="AV350" s="766">
        <v>123212</v>
      </c>
      <c r="AW350" s="290">
        <v>350.06599999999997</v>
      </c>
      <c r="AX350" s="766">
        <v>13.083299999999999</v>
      </c>
      <c r="AY350" s="290">
        <v>533</v>
      </c>
      <c r="AZ350" s="290">
        <v>212</v>
      </c>
      <c r="BA350" s="290">
        <v>67</v>
      </c>
      <c r="BB350" s="290">
        <v>0</v>
      </c>
      <c r="BC350" s="290">
        <v>445.543361</v>
      </c>
      <c r="BD350" s="290">
        <v>380</v>
      </c>
      <c r="BE350" s="290">
        <v>122333.644</v>
      </c>
      <c r="BF350" s="290">
        <v>0</v>
      </c>
      <c r="BG350" s="290">
        <v>177</v>
      </c>
      <c r="BH350" s="290">
        <v>25</v>
      </c>
      <c r="BI350" s="290">
        <v>950.63769300000001</v>
      </c>
      <c r="BJ350" s="290">
        <v>360</v>
      </c>
      <c r="BK350" s="290">
        <f t="shared" si="5"/>
        <v>0</v>
      </c>
      <c r="BL350" s="290">
        <v>0</v>
      </c>
      <c r="BM350" s="290">
        <v>0</v>
      </c>
      <c r="BN350" s="290">
        <v>2381</v>
      </c>
      <c r="BO350" s="290">
        <v>446</v>
      </c>
      <c r="BP350" s="290">
        <v>2</v>
      </c>
      <c r="BQ350" s="290">
        <v>314</v>
      </c>
      <c r="BR350" s="290">
        <v>-1</v>
      </c>
      <c r="BS350" s="290">
        <v>55</v>
      </c>
      <c r="BT350" s="290">
        <v>0</v>
      </c>
      <c r="BU350" s="290">
        <v>0</v>
      </c>
      <c r="BV350" s="290">
        <v>57</v>
      </c>
      <c r="BW350" s="290"/>
      <c r="BX350" s="290"/>
      <c r="BY350" s="290"/>
    </row>
    <row r="351" spans="1:77" ht="13">
      <c r="A351" s="1">
        <v>5436</v>
      </c>
      <c r="B351" s="2" t="s">
        <v>251</v>
      </c>
      <c r="C351" s="289">
        <v>3998</v>
      </c>
      <c r="D351" s="290">
        <v>64</v>
      </c>
      <c r="E351" s="290">
        <v>139</v>
      </c>
      <c r="F351" s="290">
        <v>389</v>
      </c>
      <c r="G351" s="290">
        <v>339</v>
      </c>
      <c r="H351" s="290">
        <v>2288</v>
      </c>
      <c r="I351" s="290">
        <v>574</v>
      </c>
      <c r="J351" s="290">
        <v>147</v>
      </c>
      <c r="K351" s="290">
        <v>26</v>
      </c>
      <c r="L351" s="290">
        <v>33</v>
      </c>
      <c r="M351" s="290">
        <v>400</v>
      </c>
      <c r="N351" s="290">
        <v>51</v>
      </c>
      <c r="O351" s="290">
        <v>32</v>
      </c>
      <c r="P351" s="624">
        <v>42868.32666667</v>
      </c>
      <c r="Q351" s="624">
        <v>16246.919</v>
      </c>
      <c r="R351" s="624">
        <v>7</v>
      </c>
      <c r="S351" s="290">
        <v>0</v>
      </c>
      <c r="T351" s="290">
        <v>429</v>
      </c>
      <c r="U351" s="958">
        <v>1.8298191327179923E-3</v>
      </c>
      <c r="V351" s="290">
        <v>1874.58446467</v>
      </c>
      <c r="W351" s="765">
        <v>1</v>
      </c>
      <c r="X351" s="290">
        <v>1520</v>
      </c>
      <c r="Y351" s="290">
        <v>854.25360799999999</v>
      </c>
      <c r="Z351" s="290">
        <v>99679</v>
      </c>
      <c r="AA351" s="290">
        <v>1200</v>
      </c>
      <c r="AB351" s="290">
        <v>81</v>
      </c>
      <c r="AC351" s="290">
        <v>612.71400000000006</v>
      </c>
      <c r="AD351" s="290">
        <v>333</v>
      </c>
      <c r="AE351" s="290">
        <v>0</v>
      </c>
      <c r="AF351" s="290">
        <v>0</v>
      </c>
      <c r="AG351" s="290">
        <v>3966</v>
      </c>
      <c r="AH351" s="290">
        <v>570.40628119999997</v>
      </c>
      <c r="AI351" s="290">
        <v>2500</v>
      </c>
      <c r="AJ351" s="290">
        <v>2000</v>
      </c>
      <c r="AK351" s="290">
        <v>0</v>
      </c>
      <c r="AL351" s="290">
        <v>33473</v>
      </c>
      <c r="AM351" s="957">
        <v>0.12307395</v>
      </c>
      <c r="AN351" s="290">
        <v>0</v>
      </c>
      <c r="AO351" s="290">
        <v>-560.39656100000002</v>
      </c>
      <c r="AP351" s="290">
        <v>0</v>
      </c>
      <c r="AQ351" s="290">
        <v>0</v>
      </c>
      <c r="AR351" s="290">
        <v>2928.47055</v>
      </c>
      <c r="AS351" s="290">
        <v>1233</v>
      </c>
      <c r="AT351" s="290">
        <v>208</v>
      </c>
      <c r="AU351" s="290">
        <v>52</v>
      </c>
      <c r="AV351" s="766">
        <v>146428</v>
      </c>
      <c r="AW351" s="290">
        <v>1486.8440000000001</v>
      </c>
      <c r="AX351" s="766">
        <v>27.583300000000001</v>
      </c>
      <c r="AY351" s="290">
        <v>809</v>
      </c>
      <c r="AZ351" s="290">
        <v>177</v>
      </c>
      <c r="BA351" s="290">
        <v>102</v>
      </c>
      <c r="BB351" s="290">
        <v>0</v>
      </c>
      <c r="BC351" s="290">
        <v>1396.82753</v>
      </c>
      <c r="BD351" s="290">
        <v>442</v>
      </c>
      <c r="BE351" s="290">
        <v>145045.177</v>
      </c>
      <c r="BF351" s="290">
        <v>0</v>
      </c>
      <c r="BG351" s="290">
        <v>224</v>
      </c>
      <c r="BH351" s="290">
        <v>32</v>
      </c>
      <c r="BI351" s="290">
        <v>2037.3738900000001</v>
      </c>
      <c r="BJ351" s="290">
        <v>0</v>
      </c>
      <c r="BK351" s="290">
        <f t="shared" si="5"/>
        <v>0</v>
      </c>
      <c r="BL351" s="290">
        <v>0</v>
      </c>
      <c r="BM351" s="290">
        <v>0</v>
      </c>
      <c r="BN351" s="290">
        <v>2867</v>
      </c>
      <c r="BO351" s="290">
        <v>620</v>
      </c>
      <c r="BP351" s="290">
        <v>3</v>
      </c>
      <c r="BQ351" s="290">
        <v>384</v>
      </c>
      <c r="BR351" s="290">
        <v>-2</v>
      </c>
      <c r="BS351" s="290">
        <v>50</v>
      </c>
      <c r="BT351" s="290">
        <v>0</v>
      </c>
      <c r="BU351" s="290">
        <v>0</v>
      </c>
      <c r="BV351" s="290">
        <v>72</v>
      </c>
      <c r="BW351" s="290"/>
      <c r="BX351" s="290"/>
      <c r="BY351" s="290"/>
    </row>
    <row r="352" spans="1:77" ht="13">
      <c r="A352" s="1">
        <v>5437</v>
      </c>
      <c r="B352" s="2" t="s">
        <v>252</v>
      </c>
      <c r="C352" s="289">
        <v>2628</v>
      </c>
      <c r="D352" s="290">
        <v>45</v>
      </c>
      <c r="E352" s="290">
        <v>95</v>
      </c>
      <c r="F352" s="290">
        <v>273</v>
      </c>
      <c r="G352" s="290">
        <v>271</v>
      </c>
      <c r="H352" s="290">
        <v>1536</v>
      </c>
      <c r="I352" s="290">
        <v>312</v>
      </c>
      <c r="J352" s="290">
        <v>100</v>
      </c>
      <c r="K352" s="290">
        <v>22</v>
      </c>
      <c r="L352" s="290">
        <v>21</v>
      </c>
      <c r="M352" s="290">
        <v>249</v>
      </c>
      <c r="N352" s="290">
        <v>3</v>
      </c>
      <c r="O352" s="290">
        <v>9</v>
      </c>
      <c r="P352" s="624">
        <v>10574.22566667</v>
      </c>
      <c r="Q352" s="624">
        <v>12306.13133333</v>
      </c>
      <c r="R352" s="624">
        <v>18</v>
      </c>
      <c r="S352" s="290">
        <v>0</v>
      </c>
      <c r="T352" s="290">
        <v>231</v>
      </c>
      <c r="U352" s="958">
        <v>1.4900960208540678E-3</v>
      </c>
      <c r="V352" s="290">
        <v>1368.85490949</v>
      </c>
      <c r="W352" s="765">
        <v>1</v>
      </c>
      <c r="X352" s="290">
        <v>1630</v>
      </c>
      <c r="Y352" s="290">
        <v>427.12680399999999</v>
      </c>
      <c r="Z352" s="290">
        <v>60130</v>
      </c>
      <c r="AA352" s="290">
        <v>800</v>
      </c>
      <c r="AB352" s="290">
        <v>53</v>
      </c>
      <c r="AC352" s="290">
        <v>438.77199999999999</v>
      </c>
      <c r="AD352" s="290">
        <v>167</v>
      </c>
      <c r="AE352" s="290">
        <v>0</v>
      </c>
      <c r="AF352" s="290">
        <v>0</v>
      </c>
      <c r="AG352" s="290">
        <v>2654</v>
      </c>
      <c r="AH352" s="290">
        <v>400.51340911</v>
      </c>
      <c r="AI352" s="290">
        <v>1206.627</v>
      </c>
      <c r="AJ352" s="290">
        <v>4500</v>
      </c>
      <c r="AK352" s="290">
        <v>0</v>
      </c>
      <c r="AL352" s="290">
        <v>22686</v>
      </c>
      <c r="AM352" s="957">
        <v>7.5515100000000002E-2</v>
      </c>
      <c r="AN352" s="290">
        <v>0</v>
      </c>
      <c r="AO352" s="290">
        <v>-409.21153299999997</v>
      </c>
      <c r="AP352" s="290">
        <v>0</v>
      </c>
      <c r="AQ352" s="290">
        <v>0</v>
      </c>
      <c r="AR352" s="290">
        <v>-142.95894100000001</v>
      </c>
      <c r="AS352" s="290">
        <v>67</v>
      </c>
      <c r="AT352" s="290">
        <v>109</v>
      </c>
      <c r="AU352" s="290">
        <v>33</v>
      </c>
      <c r="AV352" s="766">
        <v>121229</v>
      </c>
      <c r="AW352" s="290">
        <v>316</v>
      </c>
      <c r="AX352" s="766">
        <v>13.958349999999999</v>
      </c>
      <c r="AY352" s="290">
        <v>679</v>
      </c>
      <c r="AZ352" s="290">
        <v>150</v>
      </c>
      <c r="BA352" s="290">
        <v>85</v>
      </c>
      <c r="BB352" s="290">
        <v>12724</v>
      </c>
      <c r="BC352" s="290">
        <v>829.14831900000001</v>
      </c>
      <c r="BD352" s="290">
        <v>339</v>
      </c>
      <c r="BE352" s="290">
        <v>124382.80100000001</v>
      </c>
      <c r="BF352" s="290">
        <v>0</v>
      </c>
      <c r="BG352" s="290">
        <v>156</v>
      </c>
      <c r="BH352" s="290">
        <v>22</v>
      </c>
      <c r="BI352" s="290">
        <v>1266.41221</v>
      </c>
      <c r="BJ352" s="290">
        <v>0</v>
      </c>
      <c r="BK352" s="290">
        <f t="shared" si="5"/>
        <v>0</v>
      </c>
      <c r="BL352" s="290">
        <v>0</v>
      </c>
      <c r="BM352" s="290">
        <v>0</v>
      </c>
      <c r="BN352" s="290">
        <v>2094</v>
      </c>
      <c r="BO352" s="290">
        <v>423</v>
      </c>
      <c r="BP352" s="290">
        <v>2</v>
      </c>
      <c r="BQ352" s="290">
        <v>259</v>
      </c>
      <c r="BR352" s="290">
        <v>-1</v>
      </c>
      <c r="BS352" s="290">
        <v>50</v>
      </c>
      <c r="BT352" s="290">
        <v>0</v>
      </c>
      <c r="BU352" s="290">
        <v>0</v>
      </c>
      <c r="BV352" s="290">
        <v>50</v>
      </c>
      <c r="BW352" s="290"/>
      <c r="BX352" s="290"/>
      <c r="BY352" s="290"/>
    </row>
    <row r="353" spans="1:77" ht="13">
      <c r="A353" s="1">
        <v>5438</v>
      </c>
      <c r="B353" s="2" t="s">
        <v>253</v>
      </c>
      <c r="C353" s="289">
        <v>1290</v>
      </c>
      <c r="D353" s="290">
        <v>14</v>
      </c>
      <c r="E353" s="290">
        <v>43</v>
      </c>
      <c r="F353" s="290">
        <v>129</v>
      </c>
      <c r="G353" s="290">
        <v>108</v>
      </c>
      <c r="H353" s="290">
        <v>751</v>
      </c>
      <c r="I353" s="290">
        <v>172</v>
      </c>
      <c r="J353" s="290">
        <v>73</v>
      </c>
      <c r="K353" s="290">
        <v>8</v>
      </c>
      <c r="L353" s="290">
        <v>11</v>
      </c>
      <c r="M353" s="290">
        <v>160</v>
      </c>
      <c r="N353" s="290">
        <v>1.5</v>
      </c>
      <c r="O353" s="290">
        <v>18</v>
      </c>
      <c r="P353" s="624">
        <v>39338.53133333</v>
      </c>
      <c r="Q353" s="624">
        <v>12394.251333329999</v>
      </c>
      <c r="R353" s="624">
        <v>10</v>
      </c>
      <c r="S353" s="290">
        <v>0</v>
      </c>
      <c r="T353" s="290">
        <v>172</v>
      </c>
      <c r="U353" s="958">
        <v>7.2030535147090367E-4</v>
      </c>
      <c r="V353" s="290">
        <v>836.31249286000002</v>
      </c>
      <c r="W353" s="765">
        <v>1</v>
      </c>
      <c r="X353" s="290">
        <v>1110</v>
      </c>
      <c r="Y353" s="290">
        <v>0</v>
      </c>
      <c r="Z353" s="290">
        <v>37982</v>
      </c>
      <c r="AA353" s="290">
        <v>0</v>
      </c>
      <c r="AB353" s="290">
        <v>37</v>
      </c>
      <c r="AC353" s="290">
        <v>264.38499999999999</v>
      </c>
      <c r="AD353" s="290">
        <v>167</v>
      </c>
      <c r="AE353" s="290">
        <v>0</v>
      </c>
      <c r="AF353" s="290">
        <v>0</v>
      </c>
      <c r="AG353" s="290">
        <v>1298</v>
      </c>
      <c r="AH353" s="290">
        <v>183.62889154000001</v>
      </c>
      <c r="AI353" s="290">
        <v>0</v>
      </c>
      <c r="AJ353" s="290">
        <v>0</v>
      </c>
      <c r="AK353" s="290">
        <v>255.928</v>
      </c>
      <c r="AL353" s="290">
        <v>11271</v>
      </c>
      <c r="AM353" s="957">
        <v>7.2887939999999998E-2</v>
      </c>
      <c r="AN353" s="290">
        <v>0</v>
      </c>
      <c r="AO353" s="290">
        <v>-250.01095100000001</v>
      </c>
      <c r="AP353" s="290">
        <v>0</v>
      </c>
      <c r="AQ353" s="290">
        <v>0</v>
      </c>
      <c r="AR353" s="290">
        <v>-69.917372</v>
      </c>
      <c r="AS353" s="290">
        <v>1595</v>
      </c>
      <c r="AT353" s="290">
        <v>78</v>
      </c>
      <c r="AU353" s="290">
        <v>16</v>
      </c>
      <c r="AV353" s="766">
        <v>86002</v>
      </c>
      <c r="AW353" s="290">
        <v>246</v>
      </c>
      <c r="AX353" s="766">
        <v>2.6667000000000001</v>
      </c>
      <c r="AY353" s="290">
        <v>219</v>
      </c>
      <c r="AZ353" s="290">
        <v>103</v>
      </c>
      <c r="BA353" s="290">
        <v>19</v>
      </c>
      <c r="BB353" s="290">
        <v>12724</v>
      </c>
      <c r="BC353" s="290">
        <v>196.62477000000001</v>
      </c>
      <c r="BD353" s="290">
        <v>231</v>
      </c>
      <c r="BE353" s="290">
        <v>88023.243000000002</v>
      </c>
      <c r="BF353" s="290">
        <v>0</v>
      </c>
      <c r="BG353" s="290">
        <v>113</v>
      </c>
      <c r="BH353" s="290">
        <v>16</v>
      </c>
      <c r="BI353" s="290">
        <v>703.94189200000005</v>
      </c>
      <c r="BJ353" s="290">
        <v>150</v>
      </c>
      <c r="BK353" s="290">
        <f t="shared" si="5"/>
        <v>0</v>
      </c>
      <c r="BL353" s="290">
        <v>0</v>
      </c>
      <c r="BM353" s="290">
        <v>0</v>
      </c>
      <c r="BN353" s="290">
        <v>1279</v>
      </c>
      <c r="BO353" s="290">
        <v>205</v>
      </c>
      <c r="BP353" s="290">
        <v>1</v>
      </c>
      <c r="BQ353" s="290">
        <v>130</v>
      </c>
      <c r="BR353" s="290">
        <v>-1</v>
      </c>
      <c r="BS353" s="290">
        <v>61</v>
      </c>
      <c r="BT353" s="290">
        <v>0</v>
      </c>
      <c r="BU353" s="290">
        <v>0</v>
      </c>
      <c r="BV353" s="290">
        <v>36</v>
      </c>
      <c r="BW353" s="290"/>
      <c r="BX353" s="290"/>
      <c r="BY353" s="290"/>
    </row>
    <row r="354" spans="1:77" ht="13">
      <c r="A354" s="1">
        <v>5439</v>
      </c>
      <c r="B354" s="2" t="s">
        <v>254</v>
      </c>
      <c r="C354" s="289">
        <v>1132</v>
      </c>
      <c r="D354" s="290">
        <v>17</v>
      </c>
      <c r="E354" s="290">
        <v>44</v>
      </c>
      <c r="F354" s="290">
        <v>72</v>
      </c>
      <c r="G354" s="290">
        <v>85</v>
      </c>
      <c r="H354" s="290">
        <v>702</v>
      </c>
      <c r="I354" s="290">
        <v>166</v>
      </c>
      <c r="J354" s="290">
        <v>43</v>
      </c>
      <c r="K354" s="290">
        <v>7</v>
      </c>
      <c r="L354" s="290">
        <v>10</v>
      </c>
      <c r="M354" s="290">
        <v>119</v>
      </c>
      <c r="N354" s="290">
        <v>1.5</v>
      </c>
      <c r="O354" s="290">
        <v>19</v>
      </c>
      <c r="P354" s="624">
        <v>14633.86066667</v>
      </c>
      <c r="Q354" s="624">
        <v>7297.1823333299999</v>
      </c>
      <c r="R354" s="624">
        <v>3</v>
      </c>
      <c r="S354" s="290">
        <v>0</v>
      </c>
      <c r="T354" s="290">
        <v>155</v>
      </c>
      <c r="U354" s="958">
        <v>3.2244808498990099E-4</v>
      </c>
      <c r="V354" s="290">
        <v>638.05543348000003</v>
      </c>
      <c r="W354" s="765">
        <v>1</v>
      </c>
      <c r="X354" s="290">
        <v>1260</v>
      </c>
      <c r="Y354" s="290">
        <v>427.12680399999999</v>
      </c>
      <c r="Z354" s="290">
        <v>28849</v>
      </c>
      <c r="AA354" s="290">
        <v>0</v>
      </c>
      <c r="AB354" s="290">
        <v>22</v>
      </c>
      <c r="AC354" s="290">
        <v>171.523</v>
      </c>
      <c r="AD354" s="290">
        <v>167</v>
      </c>
      <c r="AE354" s="290">
        <v>0</v>
      </c>
      <c r="AF354" s="290">
        <v>0</v>
      </c>
      <c r="AG354" s="290">
        <v>1136</v>
      </c>
      <c r="AH354" s="290">
        <v>126.51596858000001</v>
      </c>
      <c r="AI354" s="290">
        <v>3197.4389999999999</v>
      </c>
      <c r="AJ354" s="290">
        <v>0</v>
      </c>
      <c r="AK354" s="290">
        <v>0</v>
      </c>
      <c r="AL354" s="290">
        <v>9921</v>
      </c>
      <c r="AM354" s="957">
        <v>0.11562161999999999</v>
      </c>
      <c r="AN354" s="290">
        <v>0</v>
      </c>
      <c r="AO354" s="290">
        <v>-190.74311</v>
      </c>
      <c r="AP354" s="290">
        <v>0</v>
      </c>
      <c r="AQ354" s="290">
        <v>0</v>
      </c>
      <c r="AR354" s="290">
        <v>-61.191166899999999</v>
      </c>
      <c r="AS354" s="290">
        <v>763</v>
      </c>
      <c r="AT354" s="290">
        <v>77</v>
      </c>
      <c r="AU354" s="290">
        <v>18</v>
      </c>
      <c r="AV354" s="766">
        <v>67269</v>
      </c>
      <c r="AW354" s="290">
        <v>238</v>
      </c>
      <c r="AX354" s="766">
        <v>7.5</v>
      </c>
      <c r="AY354" s="290">
        <v>142</v>
      </c>
      <c r="AZ354" s="290">
        <v>114</v>
      </c>
      <c r="BA354" s="290">
        <v>11</v>
      </c>
      <c r="BB354" s="290">
        <v>12724</v>
      </c>
      <c r="BC354" s="290">
        <v>541.183674</v>
      </c>
      <c r="BD354" s="290">
        <v>218</v>
      </c>
      <c r="BE354" s="290">
        <v>67760.398000000001</v>
      </c>
      <c r="BF354" s="290">
        <v>0</v>
      </c>
      <c r="BG354" s="290">
        <v>93</v>
      </c>
      <c r="BH354" s="290">
        <v>13</v>
      </c>
      <c r="BI354" s="290">
        <v>725.16577299999994</v>
      </c>
      <c r="BJ354" s="290">
        <v>130</v>
      </c>
      <c r="BK354" s="290">
        <f t="shared" si="5"/>
        <v>0</v>
      </c>
      <c r="BL354" s="290">
        <v>0</v>
      </c>
      <c r="BM354" s="290">
        <v>0</v>
      </c>
      <c r="BN354" s="290">
        <v>976</v>
      </c>
      <c r="BO354" s="290">
        <v>178</v>
      </c>
      <c r="BP354" s="290">
        <v>1</v>
      </c>
      <c r="BQ354" s="290">
        <v>113</v>
      </c>
      <c r="BR354" s="290">
        <v>-1</v>
      </c>
      <c r="BS354" s="290">
        <v>50</v>
      </c>
      <c r="BT354" s="290">
        <v>0</v>
      </c>
      <c r="BU354" s="290">
        <v>0</v>
      </c>
      <c r="BV354" s="290">
        <v>30</v>
      </c>
      <c r="BW354" s="290"/>
      <c r="BX354" s="290"/>
      <c r="BY354" s="290"/>
    </row>
    <row r="355" spans="1:77" ht="13">
      <c r="A355" s="1">
        <v>5440</v>
      </c>
      <c r="B355" s="2" t="s">
        <v>255</v>
      </c>
      <c r="C355" s="289">
        <v>957</v>
      </c>
      <c r="D355" s="290">
        <v>11</v>
      </c>
      <c r="E355" s="290">
        <v>28</v>
      </c>
      <c r="F355" s="290">
        <v>80</v>
      </c>
      <c r="G355" s="290">
        <v>73</v>
      </c>
      <c r="H355" s="290">
        <v>549</v>
      </c>
      <c r="I355" s="290">
        <v>159</v>
      </c>
      <c r="J355" s="290">
        <v>45</v>
      </c>
      <c r="K355" s="290">
        <v>12</v>
      </c>
      <c r="L355" s="290">
        <v>9</v>
      </c>
      <c r="M355" s="290">
        <v>135</v>
      </c>
      <c r="N355" s="290">
        <v>1.5</v>
      </c>
      <c r="O355" s="290">
        <v>12</v>
      </c>
      <c r="P355" s="624">
        <v>1798.8176666700001</v>
      </c>
      <c r="Q355" s="624">
        <v>1528.652</v>
      </c>
      <c r="R355" s="624">
        <v>2</v>
      </c>
      <c r="S355" s="290">
        <v>0</v>
      </c>
      <c r="T355" s="290">
        <v>113</v>
      </c>
      <c r="U355" s="958">
        <v>1.8616877791994792E-4</v>
      </c>
      <c r="V355" s="290">
        <v>557.63389110000003</v>
      </c>
      <c r="W355" s="765">
        <v>1</v>
      </c>
      <c r="X355" s="290">
        <v>1060</v>
      </c>
      <c r="Y355" s="290">
        <v>427.12680399999999</v>
      </c>
      <c r="Z355" s="290">
        <v>25531</v>
      </c>
      <c r="AA355" s="290">
        <v>0</v>
      </c>
      <c r="AB355" s="290">
        <v>17</v>
      </c>
      <c r="AC355" s="290">
        <v>149.17599999999999</v>
      </c>
      <c r="AD355" s="290">
        <v>167</v>
      </c>
      <c r="AE355" s="290">
        <v>0</v>
      </c>
      <c r="AF355" s="290">
        <v>0</v>
      </c>
      <c r="AG355" s="290">
        <v>957</v>
      </c>
      <c r="AH355" s="290">
        <v>117.11763949</v>
      </c>
      <c r="AI355" s="290">
        <v>1503.345</v>
      </c>
      <c r="AJ355" s="290">
        <v>0</v>
      </c>
      <c r="AK355" s="290">
        <v>110.16</v>
      </c>
      <c r="AL355" s="290">
        <v>8326</v>
      </c>
      <c r="AM355" s="957">
        <v>2.4614460000000001E-2</v>
      </c>
      <c r="AN355" s="290">
        <v>0</v>
      </c>
      <c r="AO355" s="290">
        <v>-166.701539</v>
      </c>
      <c r="AP355" s="290">
        <v>0</v>
      </c>
      <c r="AQ355" s="290">
        <v>0</v>
      </c>
      <c r="AR355" s="290">
        <v>-14.617124199999999</v>
      </c>
      <c r="AS355" s="290">
        <v>977</v>
      </c>
      <c r="AT355" s="290">
        <v>47</v>
      </c>
      <c r="AU355" s="290">
        <v>12</v>
      </c>
      <c r="AV355" s="766">
        <v>60470</v>
      </c>
      <c r="AW355" s="290">
        <v>230</v>
      </c>
      <c r="AX355" s="766">
        <v>3.8333499999999998</v>
      </c>
      <c r="AY355" s="290">
        <v>129</v>
      </c>
      <c r="AZ355" s="290">
        <v>42</v>
      </c>
      <c r="BA355" s="290">
        <v>23</v>
      </c>
      <c r="BB355" s="290">
        <v>12724</v>
      </c>
      <c r="BC355" s="290">
        <v>110.86290200000001</v>
      </c>
      <c r="BD355" s="290">
        <v>204</v>
      </c>
      <c r="BE355" s="290">
        <v>61673.341699999997</v>
      </c>
      <c r="BF355" s="290">
        <v>0</v>
      </c>
      <c r="BG355" s="290">
        <v>80</v>
      </c>
      <c r="BH355" s="290">
        <v>11</v>
      </c>
      <c r="BI355" s="290">
        <v>803.58044299999995</v>
      </c>
      <c r="BJ355" s="290">
        <v>0</v>
      </c>
      <c r="BK355" s="290">
        <f t="shared" si="5"/>
        <v>0</v>
      </c>
      <c r="BL355" s="290">
        <v>0</v>
      </c>
      <c r="BM355" s="290">
        <v>0</v>
      </c>
      <c r="BN355" s="290">
        <v>853</v>
      </c>
      <c r="BO355" s="290">
        <v>130</v>
      </c>
      <c r="BP355" s="290">
        <v>1</v>
      </c>
      <c r="BQ355" s="290">
        <v>96</v>
      </c>
      <c r="BR355" s="290">
        <v>0</v>
      </c>
      <c r="BS355" s="290">
        <v>50</v>
      </c>
      <c r="BT355" s="290">
        <v>0</v>
      </c>
      <c r="BU355" s="290">
        <v>0</v>
      </c>
      <c r="BV355" s="290">
        <v>26</v>
      </c>
      <c r="BW355" s="290"/>
      <c r="BX355" s="290"/>
      <c r="BY355" s="290"/>
    </row>
    <row r="356" spans="1:77" ht="13">
      <c r="A356" s="1">
        <v>5441</v>
      </c>
      <c r="B356" s="2" t="s">
        <v>256</v>
      </c>
      <c r="C356" s="289">
        <v>2918</v>
      </c>
      <c r="D356" s="290">
        <v>46</v>
      </c>
      <c r="E356" s="290">
        <v>89</v>
      </c>
      <c r="F356" s="290">
        <v>293</v>
      </c>
      <c r="G356" s="290">
        <v>255</v>
      </c>
      <c r="H356" s="290">
        <v>1668</v>
      </c>
      <c r="I356" s="290">
        <v>429</v>
      </c>
      <c r="J356" s="290">
        <v>120</v>
      </c>
      <c r="K356" s="290">
        <v>17</v>
      </c>
      <c r="L356" s="290">
        <v>30</v>
      </c>
      <c r="M356" s="290">
        <v>332</v>
      </c>
      <c r="N356" s="290">
        <v>15</v>
      </c>
      <c r="O356" s="290">
        <v>27</v>
      </c>
      <c r="P356" s="624">
        <v>44122.583666669998</v>
      </c>
      <c r="Q356" s="624">
        <v>28251.897000000001</v>
      </c>
      <c r="R356" s="624">
        <v>22</v>
      </c>
      <c r="S356" s="290">
        <v>0</v>
      </c>
      <c r="T356" s="290">
        <v>289</v>
      </c>
      <c r="U356" s="958">
        <v>2.4067659804775485E-3</v>
      </c>
      <c r="V356" s="290">
        <v>-1753.22721787</v>
      </c>
      <c r="W356" s="765">
        <v>1</v>
      </c>
      <c r="X356" s="290">
        <v>1430</v>
      </c>
      <c r="Y356" s="290">
        <v>427.12680399999999</v>
      </c>
      <c r="Z356" s="290">
        <v>74459</v>
      </c>
      <c r="AA356" s="290">
        <v>600</v>
      </c>
      <c r="AB356" s="290">
        <v>52</v>
      </c>
      <c r="AC356" s="290">
        <v>483.54899999999998</v>
      </c>
      <c r="AD356" s="290">
        <v>167</v>
      </c>
      <c r="AE356" s="290">
        <v>0</v>
      </c>
      <c r="AF356" s="290">
        <v>0</v>
      </c>
      <c r="AG356" s="290">
        <v>2917</v>
      </c>
      <c r="AH356" s="290">
        <v>412.80353177000001</v>
      </c>
      <c r="AI356" s="290">
        <v>1082.2159999999999</v>
      </c>
      <c r="AJ356" s="290">
        <v>0</v>
      </c>
      <c r="AK356" s="290">
        <v>12.676</v>
      </c>
      <c r="AL356" s="290">
        <v>24612</v>
      </c>
      <c r="AM356" s="957">
        <v>7.1577290000000002E-2</v>
      </c>
      <c r="AN356" s="290">
        <v>0</v>
      </c>
      <c r="AO356" s="290">
        <v>-473.25077099999999</v>
      </c>
      <c r="AP356" s="290">
        <v>0</v>
      </c>
      <c r="AQ356" s="290">
        <v>0</v>
      </c>
      <c r="AR356" s="290">
        <v>-157.12555800000001</v>
      </c>
      <c r="AS356" s="290">
        <v>1779</v>
      </c>
      <c r="AT356" s="290">
        <v>147</v>
      </c>
      <c r="AU356" s="290">
        <v>35</v>
      </c>
      <c r="AV356" s="766">
        <v>135801</v>
      </c>
      <c r="AW356" s="290">
        <v>327</v>
      </c>
      <c r="AX356" s="766">
        <v>9.9167000000000005</v>
      </c>
      <c r="AY356" s="290">
        <v>576</v>
      </c>
      <c r="AZ356" s="290">
        <v>117</v>
      </c>
      <c r="BA356" s="290">
        <v>59</v>
      </c>
      <c r="BB356" s="290">
        <v>12724</v>
      </c>
      <c r="BC356" s="290">
        <v>822.87306000000001</v>
      </c>
      <c r="BD356" s="290">
        <v>359</v>
      </c>
      <c r="BE356" s="290">
        <v>140845.478</v>
      </c>
      <c r="BF356" s="290">
        <v>0</v>
      </c>
      <c r="BG356" s="290">
        <v>192</v>
      </c>
      <c r="BH356" s="290">
        <v>27</v>
      </c>
      <c r="BI356" s="290">
        <v>1336.15534</v>
      </c>
      <c r="BJ356" s="290">
        <v>0</v>
      </c>
      <c r="BK356" s="290">
        <f t="shared" si="5"/>
        <v>0</v>
      </c>
      <c r="BL356" s="290">
        <v>0</v>
      </c>
      <c r="BM356" s="290">
        <v>0</v>
      </c>
      <c r="BN356" s="290">
        <v>2421</v>
      </c>
      <c r="BO356" s="290">
        <v>426</v>
      </c>
      <c r="BP356" s="290">
        <v>2</v>
      </c>
      <c r="BQ356" s="290">
        <v>282</v>
      </c>
      <c r="BR356" s="290">
        <v>-1</v>
      </c>
      <c r="BS356" s="290">
        <v>50</v>
      </c>
      <c r="BT356" s="290">
        <v>0</v>
      </c>
      <c r="BU356" s="290">
        <v>0</v>
      </c>
      <c r="BV356" s="290">
        <v>62</v>
      </c>
      <c r="BW356" s="290"/>
      <c r="BX356" s="290"/>
      <c r="BY356" s="290"/>
    </row>
    <row r="357" spans="1:77" ht="13">
      <c r="A357" s="1">
        <v>5442</v>
      </c>
      <c r="B357" s="2" t="s">
        <v>257</v>
      </c>
      <c r="C357" s="289">
        <v>926</v>
      </c>
      <c r="D357" s="290">
        <v>10</v>
      </c>
      <c r="E357" s="290">
        <v>32</v>
      </c>
      <c r="F357" s="290">
        <v>91</v>
      </c>
      <c r="G357" s="290">
        <v>66</v>
      </c>
      <c r="H357" s="290">
        <v>501</v>
      </c>
      <c r="I357" s="290">
        <v>169</v>
      </c>
      <c r="J357" s="290">
        <v>53</v>
      </c>
      <c r="K357" s="290">
        <v>9</v>
      </c>
      <c r="L357" s="290">
        <v>10</v>
      </c>
      <c r="M357" s="290">
        <v>141</v>
      </c>
      <c r="N357" s="290">
        <v>4</v>
      </c>
      <c r="O357" s="290">
        <v>10</v>
      </c>
      <c r="P357" s="624">
        <v>7051.51</v>
      </c>
      <c r="Q357" s="624">
        <v>4333.2150000000001</v>
      </c>
      <c r="R357" s="624">
        <v>5</v>
      </c>
      <c r="S357" s="290">
        <v>0</v>
      </c>
      <c r="T357" s="290">
        <v>87</v>
      </c>
      <c r="U357" s="958">
        <v>8.4523441202548398E-4</v>
      </c>
      <c r="V357" s="290">
        <v>615.86078478000002</v>
      </c>
      <c r="W357" s="765">
        <v>1</v>
      </c>
      <c r="X357" s="290">
        <v>810</v>
      </c>
      <c r="Y357" s="290">
        <v>0</v>
      </c>
      <c r="Z357" s="290">
        <v>20196</v>
      </c>
      <c r="AA357" s="290">
        <v>0</v>
      </c>
      <c r="AB357" s="290">
        <v>10</v>
      </c>
      <c r="AC357" s="290">
        <v>174.65799999999999</v>
      </c>
      <c r="AD357" s="290">
        <v>167</v>
      </c>
      <c r="AE357" s="290">
        <v>0</v>
      </c>
      <c r="AF357" s="290">
        <v>0</v>
      </c>
      <c r="AG357" s="290">
        <v>931</v>
      </c>
      <c r="AH357" s="290">
        <v>122.17827823</v>
      </c>
      <c r="AI357" s="290">
        <v>75.552000000000007</v>
      </c>
      <c r="AJ357" s="290">
        <v>0</v>
      </c>
      <c r="AK357" s="290">
        <v>0</v>
      </c>
      <c r="AL357" s="290">
        <v>7986</v>
      </c>
      <c r="AM357" s="957">
        <v>4.4292310000000001E-2</v>
      </c>
      <c r="AN357" s="290">
        <v>0</v>
      </c>
      <c r="AO357" s="290">
        <v>-184.10814400000001</v>
      </c>
      <c r="AP357" s="290">
        <v>0</v>
      </c>
      <c r="AQ357" s="290">
        <v>0</v>
      </c>
      <c r="AR357" s="290">
        <v>-50.148746799999998</v>
      </c>
      <c r="AS357" s="290">
        <v>827</v>
      </c>
      <c r="AT357" s="290">
        <v>53</v>
      </c>
      <c r="AU357" s="290">
        <v>10</v>
      </c>
      <c r="AV357" s="766">
        <v>67423</v>
      </c>
      <c r="AW357" s="290">
        <v>234</v>
      </c>
      <c r="AX357" s="766">
        <v>3.1666500000000002</v>
      </c>
      <c r="AY357" s="290">
        <v>178</v>
      </c>
      <c r="AZ357" s="290">
        <v>74</v>
      </c>
      <c r="BA357" s="290">
        <v>21</v>
      </c>
      <c r="BB357" s="290">
        <v>12724</v>
      </c>
      <c r="BC357" s="290">
        <v>126.202423</v>
      </c>
      <c r="BD357" s="290">
        <v>201</v>
      </c>
      <c r="BE357" s="290">
        <v>68370.812900000004</v>
      </c>
      <c r="BF357" s="290">
        <v>0</v>
      </c>
      <c r="BG357" s="290">
        <v>85</v>
      </c>
      <c r="BH357" s="290">
        <v>12</v>
      </c>
      <c r="BI357" s="290">
        <v>296.83627799999999</v>
      </c>
      <c r="BJ357" s="290">
        <v>0</v>
      </c>
      <c r="BK357" s="290">
        <f t="shared" si="5"/>
        <v>0</v>
      </c>
      <c r="BL357" s="290">
        <v>0</v>
      </c>
      <c r="BM357" s="290">
        <v>0</v>
      </c>
      <c r="BN357" s="290">
        <v>942</v>
      </c>
      <c r="BO357" s="290">
        <v>148</v>
      </c>
      <c r="BP357" s="290">
        <v>1</v>
      </c>
      <c r="BQ357" s="290">
        <v>91</v>
      </c>
      <c r="BR357" s="290">
        <v>0</v>
      </c>
      <c r="BS357" s="290">
        <v>50</v>
      </c>
      <c r="BT357" s="290">
        <v>0</v>
      </c>
      <c r="BU357" s="290">
        <v>0</v>
      </c>
      <c r="BV357" s="290">
        <v>27</v>
      </c>
      <c r="BW357" s="290"/>
      <c r="BX357" s="290"/>
      <c r="BY357" s="290"/>
    </row>
    <row r="358" spans="1:77" ht="13">
      <c r="A358" s="1">
        <v>5443</v>
      </c>
      <c r="B358" s="2" t="s">
        <v>258</v>
      </c>
      <c r="C358" s="289">
        <v>2221</v>
      </c>
      <c r="D358" s="290">
        <v>37</v>
      </c>
      <c r="E358" s="290">
        <v>85</v>
      </c>
      <c r="F358" s="290">
        <v>221</v>
      </c>
      <c r="G358" s="290">
        <v>201</v>
      </c>
      <c r="H358" s="290">
        <v>1345</v>
      </c>
      <c r="I358" s="290">
        <v>264</v>
      </c>
      <c r="J358" s="290">
        <v>66</v>
      </c>
      <c r="K358" s="290">
        <v>13</v>
      </c>
      <c r="L358" s="290">
        <v>19</v>
      </c>
      <c r="M358" s="290">
        <v>159</v>
      </c>
      <c r="N358" s="290">
        <v>26</v>
      </c>
      <c r="O358" s="290">
        <v>57</v>
      </c>
      <c r="P358" s="624">
        <v>2958.1253333300001</v>
      </c>
      <c r="Q358" s="624">
        <v>2748.58233333</v>
      </c>
      <c r="R358" s="624">
        <v>9</v>
      </c>
      <c r="S358" s="290">
        <v>0</v>
      </c>
      <c r="T358" s="290">
        <v>242</v>
      </c>
      <c r="U358" s="958">
        <v>2.0905504195780229E-4</v>
      </c>
      <c r="V358" s="290">
        <v>1090.05808527</v>
      </c>
      <c r="W358" s="765">
        <v>1</v>
      </c>
      <c r="X358" s="290">
        <v>990</v>
      </c>
      <c r="Y358" s="290">
        <v>427.12680399999999</v>
      </c>
      <c r="Z358" s="290">
        <v>58016</v>
      </c>
      <c r="AA358" s="290">
        <v>0</v>
      </c>
      <c r="AB358" s="290">
        <v>45</v>
      </c>
      <c r="AC358" s="290">
        <v>355.07600000000002</v>
      </c>
      <c r="AD358" s="290">
        <v>167</v>
      </c>
      <c r="AE358" s="290">
        <v>0</v>
      </c>
      <c r="AF358" s="290">
        <v>0</v>
      </c>
      <c r="AG358" s="290">
        <v>2232</v>
      </c>
      <c r="AH358" s="290">
        <v>334.72510543999999</v>
      </c>
      <c r="AI358" s="290">
        <v>366.71499999999997</v>
      </c>
      <c r="AJ358" s="290">
        <v>0</v>
      </c>
      <c r="AK358" s="290">
        <v>0</v>
      </c>
      <c r="AL358" s="290">
        <v>19265</v>
      </c>
      <c r="AM358" s="957">
        <v>0.18504066</v>
      </c>
      <c r="AN358" s="290">
        <v>0</v>
      </c>
      <c r="AO358" s="290">
        <v>-325.86677900000001</v>
      </c>
      <c r="AP358" s="290">
        <v>0</v>
      </c>
      <c r="AQ358" s="290">
        <v>0</v>
      </c>
      <c r="AR358" s="290">
        <v>-120.227715</v>
      </c>
      <c r="AS358" s="290">
        <v>40</v>
      </c>
      <c r="AT358" s="290">
        <v>123</v>
      </c>
      <c r="AU358" s="290">
        <v>51</v>
      </c>
      <c r="AV358" s="766">
        <v>95612</v>
      </c>
      <c r="AW358" s="290">
        <v>307</v>
      </c>
      <c r="AX358" s="766">
        <v>17.083349999999999</v>
      </c>
      <c r="AY358" s="290">
        <v>246</v>
      </c>
      <c r="AZ358" s="290">
        <v>152</v>
      </c>
      <c r="BA358" s="290">
        <v>46</v>
      </c>
      <c r="BB358" s="290">
        <v>10180</v>
      </c>
      <c r="BC358" s="290">
        <v>751.75346300000001</v>
      </c>
      <c r="BD358" s="290">
        <v>305</v>
      </c>
      <c r="BE358" s="290">
        <v>96569.693299999999</v>
      </c>
      <c r="BF358" s="290">
        <v>0</v>
      </c>
      <c r="BG358" s="290">
        <v>127</v>
      </c>
      <c r="BH358" s="290">
        <v>18</v>
      </c>
      <c r="BI358" s="290">
        <v>1116.9279100000001</v>
      </c>
      <c r="BJ358" s="290">
        <v>0</v>
      </c>
      <c r="BK358" s="290">
        <f t="shared" si="5"/>
        <v>0</v>
      </c>
      <c r="BL358" s="290">
        <v>0</v>
      </c>
      <c r="BM358" s="290">
        <v>0</v>
      </c>
      <c r="BN358" s="290">
        <v>1667</v>
      </c>
      <c r="BO358" s="290">
        <v>359</v>
      </c>
      <c r="BP358" s="290">
        <v>2</v>
      </c>
      <c r="BQ358" s="290">
        <v>222</v>
      </c>
      <c r="BR358" s="290">
        <v>-1</v>
      </c>
      <c r="BS358" s="290">
        <v>50</v>
      </c>
      <c r="BT358" s="290">
        <v>0</v>
      </c>
      <c r="BU358" s="290">
        <v>0</v>
      </c>
      <c r="BV358" s="290">
        <v>41</v>
      </c>
      <c r="BW358" s="290"/>
      <c r="BX358" s="290"/>
      <c r="BY358" s="290"/>
    </row>
    <row r="359" spans="1:77" ht="13">
      <c r="A359" s="1">
        <v>5444</v>
      </c>
      <c r="B359" s="2" t="s">
        <v>260</v>
      </c>
      <c r="C359" s="289">
        <v>10158</v>
      </c>
      <c r="D359" s="290">
        <v>194</v>
      </c>
      <c r="E359" s="290">
        <v>364</v>
      </c>
      <c r="F359" s="290">
        <v>1112</v>
      </c>
      <c r="G359" s="290">
        <v>963</v>
      </c>
      <c r="H359" s="290">
        <v>5926</v>
      </c>
      <c r="I359" s="290">
        <v>1152</v>
      </c>
      <c r="J359" s="290">
        <v>364</v>
      </c>
      <c r="K359" s="290">
        <v>70</v>
      </c>
      <c r="L359" s="290">
        <v>91</v>
      </c>
      <c r="M359" s="290">
        <v>775</v>
      </c>
      <c r="N359" s="290">
        <v>128</v>
      </c>
      <c r="O359" s="290">
        <v>125</v>
      </c>
      <c r="P359" s="624">
        <v>86285.341</v>
      </c>
      <c r="Q359" s="624">
        <v>39347.474999999999</v>
      </c>
      <c r="R359" s="624">
        <v>27</v>
      </c>
      <c r="S359" s="290">
        <v>0</v>
      </c>
      <c r="T359" s="290">
        <v>966</v>
      </c>
      <c r="U359" s="958">
        <v>1.4096778850786187E-3</v>
      </c>
      <c r="V359" s="290">
        <v>4543.80586064</v>
      </c>
      <c r="W359" s="765">
        <v>0.67249698000000002</v>
      </c>
      <c r="X359" s="290">
        <v>800</v>
      </c>
      <c r="Y359" s="290">
        <v>427.12680399999999</v>
      </c>
      <c r="Z359" s="290">
        <v>266948</v>
      </c>
      <c r="AA359" s="290">
        <v>0</v>
      </c>
      <c r="AB359" s="290">
        <v>209</v>
      </c>
      <c r="AC359" s="290">
        <v>1575.048</v>
      </c>
      <c r="AD359" s="290">
        <v>333</v>
      </c>
      <c r="AE359" s="290">
        <v>0</v>
      </c>
      <c r="AF359" s="290">
        <v>0</v>
      </c>
      <c r="AG359" s="290">
        <v>10145</v>
      </c>
      <c r="AH359" s="290">
        <v>1577.4733911000001</v>
      </c>
      <c r="AI359" s="290">
        <v>1134.153</v>
      </c>
      <c r="AJ359" s="290">
        <v>0</v>
      </c>
      <c r="AK359" s="290">
        <v>397.49299999999999</v>
      </c>
      <c r="AL359" s="290">
        <v>86194</v>
      </c>
      <c r="AM359" s="957">
        <v>0.29674145000000002</v>
      </c>
      <c r="AN359" s="290">
        <v>0</v>
      </c>
      <c r="AO359" s="290">
        <v>-1358.3453999999999</v>
      </c>
      <c r="AP359" s="290">
        <v>0</v>
      </c>
      <c r="AQ359" s="290">
        <v>0</v>
      </c>
      <c r="AR359" s="290">
        <v>-546.46513000000004</v>
      </c>
      <c r="AS359" s="290">
        <v>1651</v>
      </c>
      <c r="AT359" s="290">
        <v>545</v>
      </c>
      <c r="AU359" s="290">
        <v>130</v>
      </c>
      <c r="AV359" s="766">
        <v>329756</v>
      </c>
      <c r="AW359" s="290">
        <v>931.524</v>
      </c>
      <c r="AX359" s="766">
        <v>72.166700000000006</v>
      </c>
      <c r="AY359" s="290">
        <v>2301</v>
      </c>
      <c r="AZ359" s="290">
        <v>432</v>
      </c>
      <c r="BA359" s="290">
        <v>253</v>
      </c>
      <c r="BB359" s="290">
        <v>0</v>
      </c>
      <c r="BC359" s="290">
        <v>1959.39212</v>
      </c>
      <c r="BD359" s="290">
        <v>892</v>
      </c>
      <c r="BE359" s="290">
        <v>336964.10200000001</v>
      </c>
      <c r="BF359" s="290">
        <v>0</v>
      </c>
      <c r="BG359" s="290">
        <v>479</v>
      </c>
      <c r="BH359" s="290">
        <v>68</v>
      </c>
      <c r="BI359" s="290">
        <v>3977.1412</v>
      </c>
      <c r="BJ359" s="290">
        <v>0</v>
      </c>
      <c r="BK359" s="290">
        <f t="shared" si="5"/>
        <v>0</v>
      </c>
      <c r="BL359" s="290">
        <v>0</v>
      </c>
      <c r="BM359" s="290">
        <v>0</v>
      </c>
      <c r="BN359" s="290">
        <v>6950</v>
      </c>
      <c r="BO359" s="290">
        <v>1645</v>
      </c>
      <c r="BP359" s="290">
        <v>8</v>
      </c>
      <c r="BQ359" s="290">
        <v>990</v>
      </c>
      <c r="BR359" s="290">
        <v>-5</v>
      </c>
      <c r="BS359" s="290">
        <v>133</v>
      </c>
      <c r="BT359" s="290">
        <v>0</v>
      </c>
      <c r="BU359" s="290">
        <v>0</v>
      </c>
      <c r="BV359" s="290">
        <v>154</v>
      </c>
      <c r="BW359" s="290"/>
      <c r="BX359" s="290"/>
      <c r="BY359" s="290"/>
    </row>
    <row r="360" spans="1:77"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BW360" s="289"/>
      <c r="BX360" s="289"/>
      <c r="BY360" s="289"/>
    </row>
    <row r="361" spans="1:77" ht="13">
      <c r="A361" s="1"/>
      <c r="B361" s="2" t="s">
        <v>261</v>
      </c>
      <c r="C361" s="289">
        <f t="shared" ref="C361:AH361" si="6">SUM(C4:C359)</f>
        <v>5367580</v>
      </c>
      <c r="D361" s="289">
        <f t="shared" si="6"/>
        <v>111725</v>
      </c>
      <c r="E361" s="289">
        <f t="shared" si="6"/>
        <v>241699</v>
      </c>
      <c r="F361" s="289">
        <f t="shared" si="6"/>
        <v>642002</v>
      </c>
      <c r="G361" s="289">
        <f t="shared" si="6"/>
        <v>456651</v>
      </c>
      <c r="H361" s="289">
        <f t="shared" si="6"/>
        <v>3076256</v>
      </c>
      <c r="I361" s="289">
        <f t="shared" si="6"/>
        <v>588564</v>
      </c>
      <c r="J361" s="289">
        <f t="shared" si="6"/>
        <v>183672</v>
      </c>
      <c r="K361" s="289">
        <f t="shared" si="6"/>
        <v>45166</v>
      </c>
      <c r="L361" s="289">
        <f t="shared" si="6"/>
        <v>40228</v>
      </c>
      <c r="M361" s="289">
        <f t="shared" si="6"/>
        <v>358209</v>
      </c>
      <c r="N361" s="290">
        <f t="shared" si="6"/>
        <v>152560.5</v>
      </c>
      <c r="O361" s="289">
        <f t="shared" si="6"/>
        <v>51420</v>
      </c>
      <c r="P361" s="289">
        <f t="shared" si="6"/>
        <v>20594754.128651891</v>
      </c>
      <c r="Q361" s="289">
        <f t="shared" si="6"/>
        <v>9462950.3373260424</v>
      </c>
      <c r="R361" s="289">
        <f t="shared" si="6"/>
        <v>19431</v>
      </c>
      <c r="S361" s="289">
        <f t="shared" si="6"/>
        <v>25535</v>
      </c>
      <c r="T361" s="289">
        <f t="shared" si="6"/>
        <v>475871</v>
      </c>
      <c r="U361" s="958">
        <f t="shared" si="6"/>
        <v>0.99999999999999944</v>
      </c>
      <c r="V361" s="178">
        <f t="shared" si="6"/>
        <v>5.9862031775992364E-8</v>
      </c>
      <c r="W361" s="801">
        <f t="shared" si="6"/>
        <v>274.58317453000001</v>
      </c>
      <c r="X361" s="289">
        <f t="shared" si="6"/>
        <v>578440</v>
      </c>
      <c r="Y361" s="289">
        <f t="shared" si="6"/>
        <v>200201.64612356998</v>
      </c>
      <c r="Z361" s="289">
        <f t="shared" si="6"/>
        <v>168892423</v>
      </c>
      <c r="AA361" s="289">
        <f t="shared" si="6"/>
        <v>100000</v>
      </c>
      <c r="AB361" s="289">
        <f t="shared" si="6"/>
        <v>107852</v>
      </c>
      <c r="AC361" s="289">
        <f t="shared" si="6"/>
        <v>1316831.994999809</v>
      </c>
      <c r="AD361" s="289">
        <f t="shared" si="6"/>
        <v>107000</v>
      </c>
      <c r="AE361" s="289">
        <f t="shared" si="6"/>
        <v>203885</v>
      </c>
      <c r="AF361" s="289">
        <f t="shared" si="6"/>
        <v>1364525.1813970204</v>
      </c>
      <c r="AG361" s="289">
        <f t="shared" si="6"/>
        <v>5345735</v>
      </c>
      <c r="AH361" s="289">
        <f t="shared" si="6"/>
        <v>904578.26037596969</v>
      </c>
      <c r="AI361" s="289">
        <f t="shared" ref="AI361:BN361" si="7">SUM(AI4:AI359)</f>
        <v>346332.00000000006</v>
      </c>
      <c r="AJ361" s="289">
        <f t="shared" si="7"/>
        <v>37669.922000000006</v>
      </c>
      <c r="AK361" s="289">
        <f t="shared" si="7"/>
        <v>142999.99999993999</v>
      </c>
      <c r="AL361" s="289">
        <f t="shared" si="7"/>
        <v>1749942</v>
      </c>
      <c r="AM361" s="617">
        <f t="shared" si="7"/>
        <v>173.51029916999997</v>
      </c>
      <c r="AN361" s="289">
        <f t="shared" si="7"/>
        <v>451364</v>
      </c>
      <c r="AO361" s="289">
        <f t="shared" si="7"/>
        <v>-732913.00006460049</v>
      </c>
      <c r="AP361" s="289">
        <f t="shared" si="7"/>
        <v>581233</v>
      </c>
      <c r="AQ361" s="289">
        <f t="shared" si="7"/>
        <v>-4899.7814699999963</v>
      </c>
      <c r="AR361" s="289">
        <f t="shared" si="7"/>
        <v>-2.1320005544112064E-5</v>
      </c>
      <c r="AS361" s="176">
        <f t="shared" si="7"/>
        <v>1289630</v>
      </c>
      <c r="AT361" s="289">
        <f t="shared" si="7"/>
        <v>283283</v>
      </c>
      <c r="AU361" s="289">
        <f t="shared" si="7"/>
        <v>58873</v>
      </c>
      <c r="AV361" s="289">
        <f t="shared" si="7"/>
        <v>136441064.00099999</v>
      </c>
      <c r="AW361" s="289">
        <f t="shared" si="7"/>
        <v>2124828.0000000005</v>
      </c>
      <c r="AX361" s="625">
        <f t="shared" si="7"/>
        <v>39544.291750000004</v>
      </c>
      <c r="AY361" s="289">
        <f t="shared" si="7"/>
        <v>1392556</v>
      </c>
      <c r="AZ361" s="289">
        <f t="shared" si="7"/>
        <v>276501</v>
      </c>
      <c r="BA361" s="289">
        <f t="shared" si="7"/>
        <v>116670</v>
      </c>
      <c r="BB361" s="289">
        <f t="shared" si="7"/>
        <v>788742</v>
      </c>
      <c r="BC361" s="289">
        <f t="shared" si="7"/>
        <v>606368.45256329945</v>
      </c>
      <c r="BD361" s="289">
        <f t="shared" si="7"/>
        <v>460300</v>
      </c>
      <c r="BE361" s="289">
        <f t="shared" si="7"/>
        <v>141601228.98800004</v>
      </c>
      <c r="BF361" s="289">
        <f t="shared" si="7"/>
        <v>-29776.057540990001</v>
      </c>
      <c r="BG361" s="289">
        <f t="shared" si="7"/>
        <v>233300</v>
      </c>
      <c r="BH361" s="289">
        <f t="shared" si="7"/>
        <v>33300</v>
      </c>
      <c r="BI361" s="289">
        <f t="shared" si="7"/>
        <v>2961122.0855429987</v>
      </c>
      <c r="BJ361" s="289">
        <f t="shared" si="7"/>
        <v>250000</v>
      </c>
      <c r="BK361" s="289">
        <f t="shared" si="7"/>
        <v>-4322</v>
      </c>
      <c r="BL361" s="71">
        <f t="shared" si="7"/>
        <v>-999623.18660000002</v>
      </c>
      <c r="BM361" s="71">
        <f t="shared" si="7"/>
        <v>196855</v>
      </c>
      <c r="BN361" s="853">
        <f t="shared" si="7"/>
        <v>3750000</v>
      </c>
      <c r="BO361" s="853">
        <f t="shared" ref="BO361:BW361" si="8">SUM(BO4:BO359)</f>
        <v>1000000</v>
      </c>
      <c r="BP361" s="853">
        <f t="shared" si="8"/>
        <v>5000</v>
      </c>
      <c r="BQ361" s="853">
        <f t="shared" si="8"/>
        <v>550000</v>
      </c>
      <c r="BR361" s="853">
        <f t="shared" si="8"/>
        <v>-2500</v>
      </c>
      <c r="BS361" s="71">
        <f t="shared" si="8"/>
        <v>75000</v>
      </c>
      <c r="BT361" s="71">
        <f t="shared" si="8"/>
        <v>3957.6</v>
      </c>
      <c r="BU361" s="71">
        <f t="shared" si="8"/>
        <v>57426.646765559999</v>
      </c>
      <c r="BV361" s="71">
        <f t="shared" si="8"/>
        <v>75000</v>
      </c>
      <c r="BW361" s="71">
        <f t="shared" si="8"/>
        <v>0</v>
      </c>
      <c r="BX361" s="71">
        <f t="shared" ref="BX361:BY361" si="9">SUM(BX4:BX359)</f>
        <v>0</v>
      </c>
      <c r="BY361" s="71">
        <f t="shared" si="9"/>
        <v>0</v>
      </c>
    </row>
    <row r="362" spans="1:77" ht="13">
      <c r="BK362" s="290"/>
    </row>
    <row r="363" spans="1:77" ht="13">
      <c r="N363" s="5"/>
      <c r="O363" s="5"/>
      <c r="AC363" s="5"/>
      <c r="AK363" s="5"/>
      <c r="BE363" s="5"/>
      <c r="BH363" s="5"/>
      <c r="BI363" s="5"/>
      <c r="BJ363" s="5"/>
      <c r="BK363" s="290"/>
      <c r="BL363" s="5"/>
      <c r="BM363" s="5"/>
      <c r="BP363" s="5"/>
      <c r="BS363" s="5"/>
      <c r="BU363" s="5"/>
      <c r="BW363" s="5"/>
      <c r="BX363" s="5"/>
      <c r="BY363" s="5"/>
    </row>
    <row r="364" spans="1:77">
      <c r="C364" s="5"/>
      <c r="X364" s="5"/>
      <c r="AF364" s="5">
        <f>+AF39+AF42</f>
        <v>0</v>
      </c>
      <c r="BI364" s="5"/>
      <c r="BL364" s="5"/>
      <c r="BN364" s="5"/>
      <c r="BO364" s="5"/>
      <c r="BP364" s="5"/>
      <c r="BQ364" s="5"/>
      <c r="BU364" s="5"/>
      <c r="BW364" s="5"/>
      <c r="BX364" s="5"/>
      <c r="BY364" s="5"/>
    </row>
    <row r="365" spans="1:77">
      <c r="AF365" s="5">
        <f>+AF361-AF364</f>
        <v>1364525.1813970204</v>
      </c>
      <c r="BE365" s="5"/>
      <c r="BL365" s="5"/>
      <c r="BU365" s="5"/>
      <c r="BW365" s="5"/>
      <c r="BX365" s="5"/>
      <c r="BY365" s="5"/>
    </row>
    <row r="366" spans="1:77">
      <c r="BJ366" s="5"/>
      <c r="BM366" s="5"/>
    </row>
    <row r="367" spans="1:77">
      <c r="B367" t="s">
        <v>399</v>
      </c>
      <c r="C367" s="5">
        <f>+C4</f>
        <v>693494</v>
      </c>
      <c r="D367" s="5">
        <f>+D4</f>
        <v>17684</v>
      </c>
      <c r="E367" s="5">
        <f t="shared" ref="E367:BP367" si="10">+E4</f>
        <v>32387</v>
      </c>
      <c r="F367" s="5">
        <f t="shared" si="10"/>
        <v>70658</v>
      </c>
      <c r="G367" s="5">
        <f t="shared" si="10"/>
        <v>49023</v>
      </c>
      <c r="H367" s="5">
        <f t="shared" si="10"/>
        <v>440494</v>
      </c>
      <c r="I367" s="5">
        <f t="shared" si="10"/>
        <v>54403</v>
      </c>
      <c r="J367" s="5">
        <f t="shared" si="10"/>
        <v>16331</v>
      </c>
      <c r="K367" s="5">
        <f t="shared" si="10"/>
        <v>4823</v>
      </c>
      <c r="L367" s="5">
        <f t="shared" si="10"/>
        <v>5077</v>
      </c>
      <c r="M367" s="5">
        <f t="shared" si="10"/>
        <v>39174</v>
      </c>
      <c r="N367" s="5">
        <f t="shared" si="10"/>
        <v>37649</v>
      </c>
      <c r="O367" s="5">
        <f t="shared" si="10"/>
        <v>6508</v>
      </c>
      <c r="P367" s="5">
        <f t="shared" si="10"/>
        <v>1230936.713</v>
      </c>
      <c r="Q367" s="5">
        <f t="shared" si="10"/>
        <v>521005.87099999998</v>
      </c>
      <c r="R367" s="5">
        <f t="shared" si="10"/>
        <v>1549</v>
      </c>
      <c r="S367" s="5">
        <f t="shared" si="10"/>
        <v>0</v>
      </c>
      <c r="T367" s="5">
        <f t="shared" si="10"/>
        <v>88162</v>
      </c>
      <c r="U367" s="5">
        <f t="shared" si="10"/>
        <v>7.8376378358587526E-4</v>
      </c>
      <c r="V367" s="5">
        <f t="shared" si="10"/>
        <v>-69665.456316430005</v>
      </c>
      <c r="W367" s="5">
        <f t="shared" si="10"/>
        <v>0.52068174</v>
      </c>
      <c r="X367" s="5">
        <f t="shared" si="10"/>
        <v>0</v>
      </c>
      <c r="Y367" s="5">
        <f t="shared" si="10"/>
        <v>13668.057728</v>
      </c>
      <c r="Z367" s="5">
        <f t="shared" si="10"/>
        <v>29485704</v>
      </c>
      <c r="AA367" s="5">
        <f t="shared" si="10"/>
        <v>0</v>
      </c>
      <c r="AB367" s="5">
        <f t="shared" si="10"/>
        <v>7963</v>
      </c>
      <c r="AC367" s="5">
        <f t="shared" si="10"/>
        <v>295606.77100000001</v>
      </c>
      <c r="AD367" s="5">
        <f t="shared" si="10"/>
        <v>2520</v>
      </c>
      <c r="AE367" s="5">
        <f t="shared" si="10"/>
        <v>0</v>
      </c>
      <c r="AF367" s="5">
        <f t="shared" si="10"/>
        <v>0</v>
      </c>
      <c r="AG367" s="5">
        <f t="shared" si="10"/>
        <v>685803</v>
      </c>
      <c r="AH367" s="5">
        <f t="shared" si="10"/>
        <v>105156.45834204</v>
      </c>
      <c r="AI367" s="5">
        <f t="shared" si="10"/>
        <v>4500</v>
      </c>
      <c r="AJ367" s="5">
        <f t="shared" si="10"/>
        <v>0</v>
      </c>
      <c r="AK367" s="5">
        <f t="shared" si="10"/>
        <v>0</v>
      </c>
      <c r="AL367" s="5">
        <f t="shared" si="10"/>
        <v>0</v>
      </c>
      <c r="AM367" s="5">
        <f t="shared" si="10"/>
        <v>45.183527320000003</v>
      </c>
      <c r="AN367" s="5">
        <f t="shared" si="10"/>
        <v>0</v>
      </c>
      <c r="AO367" s="5">
        <f t="shared" si="10"/>
        <v>-86663.312099999996</v>
      </c>
      <c r="AP367" s="5">
        <f t="shared" si="10"/>
        <v>260850</v>
      </c>
      <c r="AQ367" s="5">
        <f t="shared" si="10"/>
        <v>0</v>
      </c>
      <c r="AR367" s="5">
        <f t="shared" si="10"/>
        <v>33300.790500000003</v>
      </c>
      <c r="AS367" s="5">
        <f t="shared" si="10"/>
        <v>165933</v>
      </c>
      <c r="AT367" s="5">
        <f t="shared" si="10"/>
        <v>36651</v>
      </c>
      <c r="AU367" s="5">
        <f t="shared" si="10"/>
        <v>9151</v>
      </c>
      <c r="AV367" s="5">
        <f t="shared" si="10"/>
        <v>14341122</v>
      </c>
      <c r="AW367" s="5">
        <f t="shared" si="10"/>
        <v>412200</v>
      </c>
      <c r="AX367" s="5">
        <f t="shared" si="10"/>
        <v>6289.8333499999999</v>
      </c>
      <c r="AY367" s="5">
        <f t="shared" si="10"/>
        <v>267593</v>
      </c>
      <c r="AZ367" s="5">
        <f t="shared" si="10"/>
        <v>62490</v>
      </c>
      <c r="BA367" s="5">
        <f t="shared" si="10"/>
        <v>14321</v>
      </c>
      <c r="BB367" s="5">
        <f t="shared" si="10"/>
        <v>0</v>
      </c>
      <c r="BC367" s="5">
        <f t="shared" si="10"/>
        <v>85636.695600000006</v>
      </c>
      <c r="BD367" s="5">
        <f t="shared" si="10"/>
        <v>54824</v>
      </c>
      <c r="BE367" s="5">
        <f t="shared" si="10"/>
        <v>14833523.800000001</v>
      </c>
      <c r="BF367" s="5">
        <f t="shared" si="10"/>
        <v>-29776.057540990001</v>
      </c>
      <c r="BG367" s="5">
        <f t="shared" si="10"/>
        <v>25483</v>
      </c>
      <c r="BH367" s="5">
        <f t="shared" si="10"/>
        <v>3630</v>
      </c>
      <c r="BI367" s="5">
        <f t="shared" si="10"/>
        <v>384655.23</v>
      </c>
      <c r="BJ367" s="5">
        <f t="shared" si="10"/>
        <v>78520</v>
      </c>
      <c r="BK367" s="5">
        <f t="shared" si="10"/>
        <v>0</v>
      </c>
      <c r="BL367" s="5">
        <f t="shared" si="10"/>
        <v>0</v>
      </c>
      <c r="BM367" s="5">
        <f t="shared" si="10"/>
        <v>0</v>
      </c>
      <c r="BN367" s="5">
        <f t="shared" si="10"/>
        <v>443419</v>
      </c>
      <c r="BO367" s="5">
        <f t="shared" si="10"/>
        <v>132416</v>
      </c>
      <c r="BP367" s="5">
        <f t="shared" si="10"/>
        <v>719</v>
      </c>
      <c r="BQ367" s="5">
        <f t="shared" ref="BQ367:BV367" si="11">+BQ4</f>
        <v>79348</v>
      </c>
      <c r="BR367" s="5">
        <f t="shared" si="11"/>
        <v>-323</v>
      </c>
      <c r="BS367" s="5">
        <f t="shared" si="11"/>
        <v>11289</v>
      </c>
      <c r="BT367" s="5">
        <f t="shared" si="11"/>
        <v>0</v>
      </c>
      <c r="BU367" s="5">
        <f t="shared" si="11"/>
        <v>0</v>
      </c>
      <c r="BV367" s="5">
        <f t="shared" si="11"/>
        <v>8187</v>
      </c>
      <c r="BW367" s="5"/>
      <c r="BX367" s="5"/>
      <c r="BY367" s="5"/>
    </row>
    <row r="368" spans="1:77">
      <c r="B368" t="s">
        <v>2130</v>
      </c>
      <c r="C368" s="5">
        <f>SUM(C5:C27)</f>
        <v>479892</v>
      </c>
      <c r="D368" s="5">
        <f>SUM(D5:D27)</f>
        <v>11232</v>
      </c>
      <c r="E368" s="5">
        <f t="shared" ref="E368:BP368" si="12">SUM(E5:E27)</f>
        <v>24720</v>
      </c>
      <c r="F368" s="5">
        <f t="shared" si="12"/>
        <v>64060</v>
      </c>
      <c r="G368" s="5">
        <f t="shared" si="12"/>
        <v>42870</v>
      </c>
      <c r="H368" s="5">
        <f t="shared" si="12"/>
        <v>273377</v>
      </c>
      <c r="I368" s="5">
        <f t="shared" si="12"/>
        <v>44536</v>
      </c>
      <c r="J368" s="5">
        <f t="shared" si="12"/>
        <v>13793</v>
      </c>
      <c r="K368" s="5">
        <f t="shared" si="12"/>
        <v>3305</v>
      </c>
      <c r="L368" s="5">
        <f t="shared" si="12"/>
        <v>3511</v>
      </c>
      <c r="M368" s="5">
        <f t="shared" si="12"/>
        <v>24030</v>
      </c>
      <c r="N368" s="5">
        <f t="shared" si="12"/>
        <v>11577.5</v>
      </c>
      <c r="O368" s="5">
        <f t="shared" si="12"/>
        <v>5289</v>
      </c>
      <c r="P368" s="5">
        <f t="shared" si="12"/>
        <v>1245383.2710000002</v>
      </c>
      <c r="Q368" s="5">
        <f t="shared" si="12"/>
        <v>731845.72366666002</v>
      </c>
      <c r="R368" s="5">
        <f t="shared" si="12"/>
        <v>1551</v>
      </c>
      <c r="S368" s="5">
        <f t="shared" si="12"/>
        <v>0</v>
      </c>
      <c r="T368" s="5">
        <f t="shared" si="12"/>
        <v>38072</v>
      </c>
      <c r="U368" s="5">
        <f t="shared" si="12"/>
        <v>8.7883938967385153E-2</v>
      </c>
      <c r="V368" s="5">
        <f t="shared" si="12"/>
        <v>-13968.479250519995</v>
      </c>
      <c r="W368" s="5">
        <f t="shared" si="12"/>
        <v>16.05004087</v>
      </c>
      <c r="X368" s="5">
        <f t="shared" si="12"/>
        <v>43600</v>
      </c>
      <c r="Y368" s="5">
        <f t="shared" si="12"/>
        <v>10951.616043999995</v>
      </c>
      <c r="Z368" s="5">
        <f t="shared" si="12"/>
        <v>15769940</v>
      </c>
      <c r="AA368" s="5">
        <f t="shared" si="12"/>
        <v>10000</v>
      </c>
      <c r="AB368" s="5">
        <f t="shared" si="12"/>
        <v>9538</v>
      </c>
      <c r="AC368" s="5">
        <f t="shared" si="12"/>
        <v>109634.86499999998</v>
      </c>
      <c r="AD368" s="5">
        <f t="shared" si="12"/>
        <v>7664</v>
      </c>
      <c r="AE368" s="5">
        <f t="shared" si="12"/>
        <v>0</v>
      </c>
      <c r="AF368" s="5">
        <f t="shared" si="12"/>
        <v>60966.104368530003</v>
      </c>
      <c r="AG368" s="5">
        <f t="shared" si="12"/>
        <v>477893</v>
      </c>
      <c r="AH368" s="5">
        <f t="shared" si="12"/>
        <v>89947.536317359991</v>
      </c>
      <c r="AI368" s="5">
        <f t="shared" si="12"/>
        <v>19400</v>
      </c>
      <c r="AJ368" s="5">
        <f t="shared" si="12"/>
        <v>0</v>
      </c>
      <c r="AK368" s="5">
        <f t="shared" si="12"/>
        <v>25861.993999999999</v>
      </c>
      <c r="AL368" s="5">
        <f t="shared" si="12"/>
        <v>0</v>
      </c>
      <c r="AM368" s="5">
        <f t="shared" si="12"/>
        <v>16.299135190000001</v>
      </c>
      <c r="AN368" s="5">
        <f t="shared" si="12"/>
        <v>11585</v>
      </c>
      <c r="AO368" s="5">
        <f t="shared" si="12"/>
        <v>-64944.843831599988</v>
      </c>
      <c r="AP368" s="5">
        <f t="shared" si="12"/>
        <v>54428</v>
      </c>
      <c r="AQ368" s="5">
        <f t="shared" si="12"/>
        <v>0</v>
      </c>
      <c r="AR368" s="5">
        <f t="shared" si="12"/>
        <v>-21119.702469199998</v>
      </c>
      <c r="AS368" s="5">
        <f t="shared" si="12"/>
        <v>93451</v>
      </c>
      <c r="AT368" s="5">
        <f t="shared" si="12"/>
        <v>24788</v>
      </c>
      <c r="AU368" s="5">
        <f t="shared" si="12"/>
        <v>6131</v>
      </c>
      <c r="AV368" s="5">
        <f t="shared" si="12"/>
        <v>11736609</v>
      </c>
      <c r="AW368" s="5">
        <f t="shared" si="12"/>
        <v>145062.00000000003</v>
      </c>
      <c r="AX368" s="5">
        <f t="shared" si="12"/>
        <v>3599.4582500000001</v>
      </c>
      <c r="AY368" s="5">
        <f t="shared" si="12"/>
        <v>114983</v>
      </c>
      <c r="AZ368" s="5">
        <f t="shared" si="12"/>
        <v>23411</v>
      </c>
      <c r="BA368" s="5">
        <f t="shared" si="12"/>
        <v>10127</v>
      </c>
      <c r="BB368" s="5">
        <f t="shared" si="12"/>
        <v>20564</v>
      </c>
      <c r="BC368" s="5">
        <f t="shared" si="12"/>
        <v>121068.63164699997</v>
      </c>
      <c r="BD368" s="5">
        <f t="shared" si="12"/>
        <v>40188</v>
      </c>
      <c r="BE368" s="5">
        <f t="shared" si="12"/>
        <v>12179209.626600001</v>
      </c>
      <c r="BF368" s="5">
        <f t="shared" si="12"/>
        <v>0</v>
      </c>
      <c r="BG368" s="5">
        <f t="shared" si="12"/>
        <v>19844</v>
      </c>
      <c r="BH368" s="5">
        <f t="shared" si="12"/>
        <v>2833</v>
      </c>
      <c r="BI368" s="5">
        <f t="shared" si="12"/>
        <v>297362.11588000006</v>
      </c>
      <c r="BJ368" s="5">
        <f t="shared" si="12"/>
        <v>28320</v>
      </c>
      <c r="BK368" s="5">
        <f t="shared" si="12"/>
        <v>0</v>
      </c>
      <c r="BL368" s="5">
        <f t="shared" si="12"/>
        <v>0</v>
      </c>
      <c r="BM368" s="5">
        <f t="shared" si="12"/>
        <v>8579</v>
      </c>
      <c r="BN368" s="5">
        <f t="shared" si="12"/>
        <v>332294</v>
      </c>
      <c r="BO368" s="5">
        <f t="shared" si="12"/>
        <v>98650</v>
      </c>
      <c r="BP368" s="5">
        <f t="shared" si="12"/>
        <v>494</v>
      </c>
      <c r="BQ368" s="5">
        <f t="shared" ref="BQ368:BV368" si="13">SUM(BQ5:BQ27)</f>
        <v>49542</v>
      </c>
      <c r="BR368" s="5">
        <f t="shared" si="13"/>
        <v>-224</v>
      </c>
      <c r="BS368" s="5">
        <f t="shared" si="13"/>
        <v>6016</v>
      </c>
      <c r="BT368" s="5">
        <f t="shared" si="13"/>
        <v>0</v>
      </c>
      <c r="BU368" s="5">
        <f t="shared" si="13"/>
        <v>0</v>
      </c>
      <c r="BV368" s="5">
        <f t="shared" si="13"/>
        <v>6380</v>
      </c>
      <c r="BW368" s="5"/>
      <c r="BX368" s="5"/>
      <c r="BY368" s="5"/>
    </row>
    <row r="369" spans="2:77">
      <c r="B369" t="s">
        <v>2131</v>
      </c>
      <c r="C369" s="5">
        <f>SUM(C28:C53)</f>
        <v>265238</v>
      </c>
      <c r="D369" s="5">
        <f>SUM(D28:D53)</f>
        <v>5362</v>
      </c>
      <c r="E369" s="5">
        <f t="shared" ref="E369:BP369" si="14">SUM(E28:E53)</f>
        <v>11574</v>
      </c>
      <c r="F369" s="5">
        <f t="shared" si="14"/>
        <v>32587</v>
      </c>
      <c r="G369" s="5">
        <f t="shared" si="14"/>
        <v>23419</v>
      </c>
      <c r="H369" s="5">
        <f t="shared" si="14"/>
        <v>146885</v>
      </c>
      <c r="I369" s="5">
        <f t="shared" si="14"/>
        <v>32218</v>
      </c>
      <c r="J369" s="5">
        <f t="shared" si="14"/>
        <v>10322</v>
      </c>
      <c r="K369" s="5">
        <f t="shared" si="14"/>
        <v>2842</v>
      </c>
      <c r="L369" s="5">
        <f t="shared" si="14"/>
        <v>1907</v>
      </c>
      <c r="M369" s="5">
        <f t="shared" si="14"/>
        <v>18696</v>
      </c>
      <c r="N369" s="5">
        <f t="shared" si="14"/>
        <v>3550.5</v>
      </c>
      <c r="O369" s="5">
        <f t="shared" si="14"/>
        <v>2832</v>
      </c>
      <c r="P369" s="5">
        <f t="shared" si="14"/>
        <v>1414698.1446666697</v>
      </c>
      <c r="Q369" s="5">
        <f t="shared" si="14"/>
        <v>615495.37700001989</v>
      </c>
      <c r="R369" s="5">
        <f t="shared" si="14"/>
        <v>1055</v>
      </c>
      <c r="S369" s="5">
        <f t="shared" si="14"/>
        <v>0</v>
      </c>
      <c r="T369" s="5">
        <f t="shared" si="14"/>
        <v>21382</v>
      </c>
      <c r="U369" s="5">
        <f t="shared" si="14"/>
        <v>6.3961349946635326E-2</v>
      </c>
      <c r="V369" s="5">
        <f t="shared" si="14"/>
        <v>7732.4012932199985</v>
      </c>
      <c r="W369" s="5">
        <f t="shared" si="14"/>
        <v>18.986672649999999</v>
      </c>
      <c r="X369" s="5">
        <f t="shared" si="14"/>
        <v>51250</v>
      </c>
      <c r="Y369" s="5">
        <f t="shared" si="14"/>
        <v>11805.869651999996</v>
      </c>
      <c r="Z369" s="5">
        <f t="shared" si="14"/>
        <v>7535899</v>
      </c>
      <c r="AA369" s="5">
        <f t="shared" si="14"/>
        <v>10000</v>
      </c>
      <c r="AB369" s="5">
        <f t="shared" si="14"/>
        <v>4693</v>
      </c>
      <c r="AC369" s="5">
        <f t="shared" si="14"/>
        <v>55500.553</v>
      </c>
      <c r="AD369" s="5">
        <f t="shared" si="14"/>
        <v>8328</v>
      </c>
      <c r="AE369" s="5">
        <f t="shared" si="14"/>
        <v>0</v>
      </c>
      <c r="AF369" s="5">
        <f t="shared" si="14"/>
        <v>205625.99137925002</v>
      </c>
      <c r="AG369" s="5">
        <f t="shared" si="14"/>
        <v>265209</v>
      </c>
      <c r="AH369" s="5">
        <f t="shared" si="14"/>
        <v>45554.424069640001</v>
      </c>
      <c r="AI369" s="5">
        <f t="shared" si="14"/>
        <v>9750</v>
      </c>
      <c r="AJ369" s="5">
        <f t="shared" si="14"/>
        <v>0</v>
      </c>
      <c r="AK369" s="5">
        <f t="shared" si="14"/>
        <v>14914.022999999999</v>
      </c>
      <c r="AL369" s="5">
        <f t="shared" si="14"/>
        <v>0</v>
      </c>
      <c r="AM369" s="5">
        <f t="shared" si="14"/>
        <v>4.9758466999999991</v>
      </c>
      <c r="AN369" s="5">
        <f t="shared" si="14"/>
        <v>38781</v>
      </c>
      <c r="AO369" s="5">
        <f t="shared" si="14"/>
        <v>-37310.117145000004</v>
      </c>
      <c r="AP369" s="5">
        <f t="shared" si="14"/>
        <v>0</v>
      </c>
      <c r="AQ369" s="5">
        <f t="shared" si="14"/>
        <v>0</v>
      </c>
      <c r="AR369" s="5">
        <f t="shared" si="14"/>
        <v>11629.188934</v>
      </c>
      <c r="AS369" s="5">
        <f t="shared" si="14"/>
        <v>75021</v>
      </c>
      <c r="AT369" s="5">
        <f t="shared" si="14"/>
        <v>11741</v>
      </c>
      <c r="AU369" s="5">
        <f t="shared" si="14"/>
        <v>2891</v>
      </c>
      <c r="AV369" s="5">
        <f t="shared" si="14"/>
        <v>7277352</v>
      </c>
      <c r="AW369" s="5">
        <f t="shared" si="14"/>
        <v>70766</v>
      </c>
      <c r="AX369" s="5">
        <f t="shared" si="14"/>
        <v>1918.6251999999999</v>
      </c>
      <c r="AY369" s="5">
        <f t="shared" si="14"/>
        <v>57698</v>
      </c>
      <c r="AZ369" s="5">
        <f t="shared" si="14"/>
        <v>9907</v>
      </c>
      <c r="BA369" s="5">
        <f t="shared" si="14"/>
        <v>5626</v>
      </c>
      <c r="BB369" s="5">
        <f t="shared" si="14"/>
        <v>32314</v>
      </c>
      <c r="BC369" s="5">
        <f t="shared" si="14"/>
        <v>107546.81818799998</v>
      </c>
      <c r="BD369" s="5">
        <f t="shared" si="14"/>
        <v>23492</v>
      </c>
      <c r="BE369" s="5">
        <f t="shared" si="14"/>
        <v>7516831.2619000021</v>
      </c>
      <c r="BF369" s="5">
        <f t="shared" si="14"/>
        <v>0</v>
      </c>
      <c r="BG369" s="5">
        <f t="shared" si="14"/>
        <v>12337</v>
      </c>
      <c r="BH369" s="5">
        <f t="shared" si="14"/>
        <v>1762</v>
      </c>
      <c r="BI369" s="5">
        <f t="shared" si="14"/>
        <v>333400.86121899995</v>
      </c>
      <c r="BJ369" s="5">
        <f t="shared" si="14"/>
        <v>2850</v>
      </c>
      <c r="BK369" s="5">
        <f t="shared" si="14"/>
        <v>0</v>
      </c>
      <c r="BL369" s="5">
        <f t="shared" si="14"/>
        <v>0</v>
      </c>
      <c r="BM369" s="5">
        <f t="shared" si="14"/>
        <v>21271</v>
      </c>
      <c r="BN369" s="5">
        <f t="shared" si="14"/>
        <v>190900</v>
      </c>
      <c r="BO369" s="5">
        <f t="shared" si="14"/>
        <v>48569</v>
      </c>
      <c r="BP369" s="5">
        <f t="shared" si="14"/>
        <v>234</v>
      </c>
      <c r="BQ369" s="5">
        <f t="shared" ref="BQ369:BV369" si="15">SUM(BQ28:BQ53)</f>
        <v>26276</v>
      </c>
      <c r="BR369" s="5">
        <f t="shared" si="15"/>
        <v>-123</v>
      </c>
      <c r="BS369" s="5">
        <f t="shared" si="15"/>
        <v>3077</v>
      </c>
      <c r="BT369" s="5">
        <f t="shared" si="15"/>
        <v>0</v>
      </c>
      <c r="BU369" s="5">
        <f t="shared" si="15"/>
        <v>0</v>
      </c>
      <c r="BV369" s="5">
        <f t="shared" si="15"/>
        <v>3966</v>
      </c>
      <c r="BW369" s="5"/>
      <c r="BX369" s="5"/>
      <c r="BY369" s="5"/>
    </row>
    <row r="370" spans="2:77">
      <c r="B370" t="s">
        <v>2132</v>
      </c>
      <c r="C370" s="5">
        <f>SUM(C54:C94)</f>
        <v>241235</v>
      </c>
      <c r="D370" s="5">
        <f>SUM(D54:D94)</f>
        <v>4444</v>
      </c>
      <c r="E370" s="5">
        <f t="shared" ref="E370:BP370" si="16">SUM(E54:E94)</f>
        <v>10029</v>
      </c>
      <c r="F370" s="5">
        <f t="shared" si="16"/>
        <v>27722</v>
      </c>
      <c r="G370" s="5">
        <f t="shared" si="16"/>
        <v>21101</v>
      </c>
      <c r="H370" s="5">
        <f t="shared" si="16"/>
        <v>134902</v>
      </c>
      <c r="I370" s="5">
        <f t="shared" si="16"/>
        <v>31202</v>
      </c>
      <c r="J370" s="5">
        <f t="shared" si="16"/>
        <v>10067</v>
      </c>
      <c r="K370" s="5">
        <f t="shared" si="16"/>
        <v>2429</v>
      </c>
      <c r="L370" s="5">
        <f t="shared" si="16"/>
        <v>1904</v>
      </c>
      <c r="M370" s="5">
        <f t="shared" si="16"/>
        <v>19973</v>
      </c>
      <c r="N370" s="5">
        <f t="shared" si="16"/>
        <v>3516.5</v>
      </c>
      <c r="O370" s="5">
        <f t="shared" si="16"/>
        <v>2246</v>
      </c>
      <c r="P370" s="5">
        <f t="shared" si="16"/>
        <v>1915373.5056666904</v>
      </c>
      <c r="Q370" s="5">
        <f t="shared" si="16"/>
        <v>674641.93333333009</v>
      </c>
      <c r="R370" s="5">
        <f t="shared" si="16"/>
        <v>1166</v>
      </c>
      <c r="S370" s="5">
        <f t="shared" si="16"/>
        <v>0</v>
      </c>
      <c r="T370" s="5">
        <f t="shared" si="16"/>
        <v>21275</v>
      </c>
      <c r="U370" s="5">
        <f t="shared" si="16"/>
        <v>6.5686580173778278E-2</v>
      </c>
      <c r="V370" s="5">
        <f t="shared" si="16"/>
        <v>32136.411754510002</v>
      </c>
      <c r="W370" s="5">
        <f t="shared" si="16"/>
        <v>35.969590260000004</v>
      </c>
      <c r="X370" s="5">
        <f t="shared" si="16"/>
        <v>0</v>
      </c>
      <c r="Y370" s="5">
        <f t="shared" si="16"/>
        <v>13859.89383599999</v>
      </c>
      <c r="Z370" s="5">
        <f t="shared" si="16"/>
        <v>6699888</v>
      </c>
      <c r="AA370" s="5">
        <f t="shared" si="16"/>
        <v>9500</v>
      </c>
      <c r="AB370" s="5">
        <f t="shared" si="16"/>
        <v>5654</v>
      </c>
      <c r="AC370" s="5">
        <f t="shared" si="16"/>
        <v>38218.09199999999</v>
      </c>
      <c r="AD370" s="5">
        <f t="shared" si="16"/>
        <v>9670</v>
      </c>
      <c r="AE370" s="5">
        <f t="shared" si="16"/>
        <v>198</v>
      </c>
      <c r="AF370" s="5">
        <f t="shared" si="16"/>
        <v>54075.858788609999</v>
      </c>
      <c r="AG370" s="5">
        <f t="shared" si="16"/>
        <v>241896</v>
      </c>
      <c r="AH370" s="5">
        <f t="shared" si="16"/>
        <v>39126.666334720001</v>
      </c>
      <c r="AI370" s="5">
        <f t="shared" si="16"/>
        <v>82600</v>
      </c>
      <c r="AJ370" s="5">
        <f t="shared" si="16"/>
        <v>6400</v>
      </c>
      <c r="AK370" s="5">
        <f t="shared" si="16"/>
        <v>19331.076000000005</v>
      </c>
      <c r="AL370" s="5">
        <f t="shared" si="16"/>
        <v>438731</v>
      </c>
      <c r="AM370" s="5">
        <f t="shared" si="16"/>
        <v>3.9212501799999995</v>
      </c>
      <c r="AN370" s="5">
        <f t="shared" si="16"/>
        <v>0</v>
      </c>
      <c r="AO370" s="5">
        <f t="shared" si="16"/>
        <v>-35447.905821</v>
      </c>
      <c r="AP370" s="5">
        <f t="shared" si="16"/>
        <v>0</v>
      </c>
      <c r="AQ370" s="5">
        <f t="shared" si="16"/>
        <v>-3017.7421199999999</v>
      </c>
      <c r="AR370" s="5">
        <f t="shared" si="16"/>
        <v>7717.3096434000017</v>
      </c>
      <c r="AS370" s="5">
        <f t="shared" si="16"/>
        <v>59896</v>
      </c>
      <c r="AT370" s="5">
        <f t="shared" si="16"/>
        <v>11404</v>
      </c>
      <c r="AU370" s="5">
        <f t="shared" si="16"/>
        <v>2136</v>
      </c>
      <c r="AV370" s="5">
        <f t="shared" si="16"/>
        <v>7572966</v>
      </c>
      <c r="AW370" s="5">
        <f t="shared" si="16"/>
        <v>60377.999999999993</v>
      </c>
      <c r="AX370" s="5">
        <f t="shared" si="16"/>
        <v>1718.4580499999997</v>
      </c>
      <c r="AY370" s="5">
        <f t="shared" si="16"/>
        <v>50976</v>
      </c>
      <c r="AZ370" s="5">
        <f t="shared" si="16"/>
        <v>9275</v>
      </c>
      <c r="BA370" s="5">
        <f t="shared" si="16"/>
        <v>5548</v>
      </c>
      <c r="BB370" s="5">
        <f t="shared" si="16"/>
        <v>146875</v>
      </c>
      <c r="BC370" s="5">
        <f t="shared" si="16"/>
        <v>71107.315699000013</v>
      </c>
      <c r="BD370" s="5">
        <f t="shared" si="16"/>
        <v>23787</v>
      </c>
      <c r="BE370" s="5">
        <f t="shared" si="16"/>
        <v>7768214.263199999</v>
      </c>
      <c r="BF370" s="5">
        <f t="shared" si="16"/>
        <v>0</v>
      </c>
      <c r="BG370" s="5">
        <f t="shared" si="16"/>
        <v>12322</v>
      </c>
      <c r="BH370" s="5">
        <f t="shared" si="16"/>
        <v>1759</v>
      </c>
      <c r="BI370" s="5">
        <f t="shared" si="16"/>
        <v>164611.58705099998</v>
      </c>
      <c r="BJ370" s="5">
        <f t="shared" si="16"/>
        <v>2470</v>
      </c>
      <c r="BK370" s="5">
        <f t="shared" si="16"/>
        <v>0</v>
      </c>
      <c r="BL370" s="5">
        <f t="shared" si="16"/>
        <v>0</v>
      </c>
      <c r="BM370" s="5">
        <f t="shared" si="16"/>
        <v>4751</v>
      </c>
      <c r="BN370" s="5">
        <f t="shared" si="16"/>
        <v>181372</v>
      </c>
      <c r="BO370" s="5">
        <f t="shared" si="16"/>
        <v>42533</v>
      </c>
      <c r="BP370" s="5">
        <f t="shared" si="16"/>
        <v>205</v>
      </c>
      <c r="BQ370" s="5">
        <f t="shared" ref="BQ370:BV370" si="17">SUM(BQ54:BQ94)</f>
        <v>23829</v>
      </c>
      <c r="BR370" s="5">
        <f t="shared" si="17"/>
        <v>-112</v>
      </c>
      <c r="BS370" s="5">
        <f t="shared" si="17"/>
        <v>3658</v>
      </c>
      <c r="BT370" s="5">
        <f t="shared" si="17"/>
        <v>0</v>
      </c>
      <c r="BU370" s="5">
        <f t="shared" si="17"/>
        <v>0</v>
      </c>
      <c r="BV370" s="5">
        <f t="shared" si="17"/>
        <v>3959</v>
      </c>
      <c r="BW370" s="5"/>
      <c r="BX370" s="5"/>
      <c r="BY370" s="5"/>
    </row>
    <row r="371" spans="2:77">
      <c r="B371" t="s">
        <v>2133</v>
      </c>
      <c r="C371" s="5">
        <f>SUM(C95:C145)</f>
        <v>1241165</v>
      </c>
      <c r="D371" s="5">
        <f>SUM(D95:D145)</f>
        <v>24933</v>
      </c>
      <c r="E371" s="5">
        <f t="shared" ref="E371:BP371" si="18">SUM(E95:E145)</f>
        <v>56504</v>
      </c>
      <c r="F371" s="5">
        <f t="shared" si="18"/>
        <v>156698</v>
      </c>
      <c r="G371" s="5">
        <f t="shared" si="18"/>
        <v>104280</v>
      </c>
      <c r="H371" s="5">
        <f t="shared" si="18"/>
        <v>703003</v>
      </c>
      <c r="I371" s="5">
        <f t="shared" si="18"/>
        <v>137680</v>
      </c>
      <c r="J371" s="5">
        <f t="shared" si="18"/>
        <v>42163</v>
      </c>
      <c r="K371" s="5">
        <f t="shared" si="18"/>
        <v>9534</v>
      </c>
      <c r="L371" s="5">
        <f t="shared" si="18"/>
        <v>9088</v>
      </c>
      <c r="M371" s="5">
        <f t="shared" si="18"/>
        <v>80629</v>
      </c>
      <c r="N371" s="5">
        <f t="shared" si="18"/>
        <v>43376.5</v>
      </c>
      <c r="O371" s="5">
        <f t="shared" si="18"/>
        <v>12097</v>
      </c>
      <c r="P371" s="5">
        <f t="shared" si="18"/>
        <v>3050421.0303333295</v>
      </c>
      <c r="Q371" s="5">
        <f t="shared" si="18"/>
        <v>1731563.4323333397</v>
      </c>
      <c r="R371" s="5">
        <f t="shared" si="18"/>
        <v>4053</v>
      </c>
      <c r="S371" s="5">
        <f t="shared" si="18"/>
        <v>6142</v>
      </c>
      <c r="T371" s="5">
        <f t="shared" si="18"/>
        <v>98768</v>
      </c>
      <c r="U371" s="5">
        <f t="shared" si="18"/>
        <v>0.15180801743143491</v>
      </c>
      <c r="V371" s="5">
        <f t="shared" si="18"/>
        <v>101076.51311734998</v>
      </c>
      <c r="W371" s="5">
        <f t="shared" si="18"/>
        <v>33.045702180000006</v>
      </c>
      <c r="X371" s="5">
        <f t="shared" si="18"/>
        <v>105000</v>
      </c>
      <c r="Y371" s="5">
        <f t="shared" si="18"/>
        <v>34359.860691999987</v>
      </c>
      <c r="Z371" s="5">
        <f t="shared" si="18"/>
        <v>40424511</v>
      </c>
      <c r="AA371" s="5">
        <f t="shared" si="18"/>
        <v>10000</v>
      </c>
      <c r="AB371" s="5">
        <f t="shared" si="18"/>
        <v>24320</v>
      </c>
      <c r="AC371" s="5">
        <f t="shared" si="18"/>
        <v>335808.0780000001</v>
      </c>
      <c r="AD371" s="5">
        <f t="shared" si="18"/>
        <v>18160</v>
      </c>
      <c r="AE371" s="5">
        <f t="shared" si="18"/>
        <v>184589</v>
      </c>
      <c r="AF371" s="5">
        <f t="shared" si="18"/>
        <v>178019.598</v>
      </c>
      <c r="AG371" s="5">
        <f t="shared" si="18"/>
        <v>1234795</v>
      </c>
      <c r="AH371" s="5">
        <f t="shared" si="18"/>
        <v>216606.18243548996</v>
      </c>
      <c r="AI371" s="5">
        <f t="shared" si="18"/>
        <v>10520</v>
      </c>
      <c r="AJ371" s="5">
        <f t="shared" si="18"/>
        <v>18427.862000000001</v>
      </c>
      <c r="AK371" s="5">
        <f t="shared" si="18"/>
        <v>7423.4339999999993</v>
      </c>
      <c r="AL371" s="5">
        <f t="shared" si="18"/>
        <v>0</v>
      </c>
      <c r="AM371" s="5">
        <f t="shared" si="18"/>
        <v>41.371109750000002</v>
      </c>
      <c r="AN371" s="5">
        <f t="shared" si="18"/>
        <v>17113</v>
      </c>
      <c r="AO371" s="5">
        <f t="shared" si="18"/>
        <v>-167678.04719600006</v>
      </c>
      <c r="AP371" s="5">
        <f t="shared" si="18"/>
        <v>38523</v>
      </c>
      <c r="AQ371" s="5">
        <f t="shared" si="18"/>
        <v>0</v>
      </c>
      <c r="AR371" s="5">
        <f t="shared" si="18"/>
        <v>-50731.8272048</v>
      </c>
      <c r="AS371" s="5">
        <f t="shared" si="18"/>
        <v>246672</v>
      </c>
      <c r="AT371" s="5">
        <f t="shared" si="18"/>
        <v>73279</v>
      </c>
      <c r="AU371" s="5">
        <f t="shared" si="18"/>
        <v>12857</v>
      </c>
      <c r="AV371" s="5">
        <f t="shared" si="18"/>
        <v>30009378</v>
      </c>
      <c r="AW371" s="5">
        <f t="shared" si="18"/>
        <v>608852</v>
      </c>
      <c r="AX371" s="5">
        <f t="shared" si="18"/>
        <v>9000.7918499999978</v>
      </c>
      <c r="AY371" s="5">
        <f t="shared" si="18"/>
        <v>312549</v>
      </c>
      <c r="AZ371" s="5">
        <f t="shared" si="18"/>
        <v>63979</v>
      </c>
      <c r="BA371" s="5">
        <f t="shared" si="18"/>
        <v>27431</v>
      </c>
      <c r="BB371" s="5">
        <f t="shared" si="18"/>
        <v>29965</v>
      </c>
      <c r="BC371" s="5">
        <f t="shared" si="18"/>
        <v>200970.40163010004</v>
      </c>
      <c r="BD371" s="5">
        <f t="shared" si="18"/>
        <v>102404</v>
      </c>
      <c r="BE371" s="5">
        <f t="shared" si="18"/>
        <v>31618523.951500006</v>
      </c>
      <c r="BF371" s="5">
        <f t="shared" si="18"/>
        <v>0</v>
      </c>
      <c r="BG371" s="5">
        <f t="shared" si="18"/>
        <v>51990</v>
      </c>
      <c r="BH371" s="5">
        <f t="shared" si="18"/>
        <v>7425</v>
      </c>
      <c r="BI371" s="5">
        <f t="shared" si="18"/>
        <v>772217.15295999986</v>
      </c>
      <c r="BJ371" s="5">
        <f t="shared" si="18"/>
        <v>68000</v>
      </c>
      <c r="BK371" s="5">
        <f t="shared" si="18"/>
        <v>0</v>
      </c>
      <c r="BL371" s="5">
        <f t="shared" si="18"/>
        <v>0</v>
      </c>
      <c r="BM371" s="5">
        <f t="shared" si="18"/>
        <v>43171</v>
      </c>
      <c r="BN371" s="5">
        <f t="shared" si="18"/>
        <v>857938</v>
      </c>
      <c r="BO371" s="5">
        <f t="shared" si="18"/>
        <v>234239</v>
      </c>
      <c r="BP371" s="5">
        <f t="shared" si="18"/>
        <v>1159</v>
      </c>
      <c r="BQ371" s="5">
        <f t="shared" ref="BQ371:BV371" si="19">SUM(BQ95:BQ145)</f>
        <v>128664</v>
      </c>
      <c r="BR371" s="5">
        <f t="shared" si="19"/>
        <v>-577</v>
      </c>
      <c r="BS371" s="5">
        <f t="shared" si="19"/>
        <v>16423</v>
      </c>
      <c r="BT371" s="5">
        <f t="shared" si="19"/>
        <v>0</v>
      </c>
      <c r="BU371" s="5">
        <f t="shared" si="19"/>
        <v>0</v>
      </c>
      <c r="BV371" s="5">
        <f t="shared" si="19"/>
        <v>16714</v>
      </c>
      <c r="BW371" s="5"/>
      <c r="BX371" s="5"/>
      <c r="BY371" s="5"/>
    </row>
    <row r="372" spans="2:77">
      <c r="B372" t="s">
        <v>2134</v>
      </c>
      <c r="C372" s="5">
        <f>SUM(C146:C191)</f>
        <v>371385</v>
      </c>
      <c r="D372" s="5">
        <f>SUM(D146:D191)</f>
        <v>6233</v>
      </c>
      <c r="E372" s="5">
        <f t="shared" ref="E372:BP372" si="20">SUM(E146:E191)</f>
        <v>14097</v>
      </c>
      <c r="F372" s="5">
        <f t="shared" si="20"/>
        <v>40770</v>
      </c>
      <c r="G372" s="5">
        <f t="shared" si="20"/>
        <v>31639</v>
      </c>
      <c r="H372" s="5">
        <f t="shared" si="20"/>
        <v>205943</v>
      </c>
      <c r="I372" s="5">
        <f t="shared" si="20"/>
        <v>51940</v>
      </c>
      <c r="J372" s="5">
        <f t="shared" si="20"/>
        <v>16494</v>
      </c>
      <c r="K372" s="5">
        <f t="shared" si="20"/>
        <v>3881</v>
      </c>
      <c r="L372" s="5">
        <f t="shared" si="20"/>
        <v>3084</v>
      </c>
      <c r="M372" s="5">
        <f t="shared" si="20"/>
        <v>33192</v>
      </c>
      <c r="N372" s="5">
        <f t="shared" si="20"/>
        <v>7849</v>
      </c>
      <c r="O372" s="5">
        <f t="shared" si="20"/>
        <v>3191</v>
      </c>
      <c r="P372" s="5">
        <f t="shared" si="20"/>
        <v>1930213.3679999893</v>
      </c>
      <c r="Q372" s="5">
        <f t="shared" si="20"/>
        <v>852763.75266666</v>
      </c>
      <c r="R372" s="5">
        <f t="shared" si="20"/>
        <v>1762</v>
      </c>
      <c r="S372" s="5">
        <f t="shared" si="20"/>
        <v>0</v>
      </c>
      <c r="T372" s="5">
        <f t="shared" si="20"/>
        <v>33071</v>
      </c>
      <c r="U372" s="5">
        <f t="shared" si="20"/>
        <v>0.17824836719024617</v>
      </c>
      <c r="V372" s="5">
        <f t="shared" si="20"/>
        <v>28770.282822210003</v>
      </c>
      <c r="W372" s="5">
        <f t="shared" si="20"/>
        <v>34.257947790000003</v>
      </c>
      <c r="X372" s="5">
        <f t="shared" si="20"/>
        <v>60700</v>
      </c>
      <c r="Y372" s="5">
        <f t="shared" si="20"/>
        <v>22763.844903999983</v>
      </c>
      <c r="Z372" s="5">
        <f t="shared" si="20"/>
        <v>9626893</v>
      </c>
      <c r="AA372" s="5">
        <f t="shared" si="20"/>
        <v>15000</v>
      </c>
      <c r="AB372" s="5">
        <f t="shared" si="20"/>
        <v>9192</v>
      </c>
      <c r="AC372" s="5">
        <f t="shared" si="20"/>
        <v>60214.355999999992</v>
      </c>
      <c r="AD372" s="5">
        <f t="shared" si="20"/>
        <v>13329</v>
      </c>
      <c r="AE372" s="5">
        <f t="shared" si="20"/>
        <v>0</v>
      </c>
      <c r="AF372" s="5">
        <f t="shared" si="20"/>
        <v>0</v>
      </c>
      <c r="AG372" s="5">
        <f t="shared" si="20"/>
        <v>370997</v>
      </c>
      <c r="AH372" s="5">
        <f t="shared" si="20"/>
        <v>57042.796965119989</v>
      </c>
      <c r="AI372" s="5">
        <f t="shared" si="20"/>
        <v>22750</v>
      </c>
      <c r="AJ372" s="5">
        <f t="shared" si="20"/>
        <v>799</v>
      </c>
      <c r="AK372" s="5">
        <f t="shared" si="20"/>
        <v>1998.3010000000002</v>
      </c>
      <c r="AL372" s="5">
        <f t="shared" si="20"/>
        <v>0</v>
      </c>
      <c r="AM372" s="5">
        <f t="shared" si="20"/>
        <v>7.1176972899999997</v>
      </c>
      <c r="AN372" s="5">
        <f t="shared" si="20"/>
        <v>133048</v>
      </c>
      <c r="AO372" s="5">
        <f t="shared" si="20"/>
        <v>-52953.00604700001</v>
      </c>
      <c r="AP372" s="5">
        <f t="shared" si="20"/>
        <v>0</v>
      </c>
      <c r="AQ372" s="5">
        <f t="shared" si="20"/>
        <v>0</v>
      </c>
      <c r="AR372" s="5">
        <f t="shared" si="20"/>
        <v>35313.517628179994</v>
      </c>
      <c r="AS372" s="5">
        <f t="shared" si="20"/>
        <v>123235</v>
      </c>
      <c r="AT372" s="5">
        <f t="shared" si="20"/>
        <v>20093</v>
      </c>
      <c r="AU372" s="5">
        <f t="shared" si="20"/>
        <v>2960</v>
      </c>
      <c r="AV372" s="5">
        <f t="shared" si="20"/>
        <v>10289080</v>
      </c>
      <c r="AW372" s="5">
        <f t="shared" si="20"/>
        <v>138226</v>
      </c>
      <c r="AX372" s="5">
        <f t="shared" si="20"/>
        <v>2187.4583000000007</v>
      </c>
      <c r="AY372" s="5">
        <f t="shared" si="20"/>
        <v>78469</v>
      </c>
      <c r="AZ372" s="5">
        <f t="shared" si="20"/>
        <v>16039</v>
      </c>
      <c r="BA372" s="5">
        <f t="shared" si="20"/>
        <v>7562</v>
      </c>
      <c r="BB372" s="5">
        <f t="shared" si="20"/>
        <v>92239</v>
      </c>
      <c r="BC372" s="5">
        <f t="shared" si="20"/>
        <v>55276.970683999978</v>
      </c>
      <c r="BD372" s="5">
        <f t="shared" si="20"/>
        <v>33741</v>
      </c>
      <c r="BE372" s="5">
        <f t="shared" si="20"/>
        <v>10598011.912700001</v>
      </c>
      <c r="BF372" s="5">
        <f t="shared" si="20"/>
        <v>0</v>
      </c>
      <c r="BG372" s="5">
        <f t="shared" si="20"/>
        <v>17858</v>
      </c>
      <c r="BH372" s="5">
        <f t="shared" si="20"/>
        <v>2547</v>
      </c>
      <c r="BI372" s="5">
        <f t="shared" si="20"/>
        <v>142019.29892899998</v>
      </c>
      <c r="BJ372" s="5">
        <f t="shared" si="20"/>
        <v>750</v>
      </c>
      <c r="BK372" s="5">
        <f t="shared" si="20"/>
        <v>0</v>
      </c>
      <c r="BL372" s="5">
        <f t="shared" si="20"/>
        <v>0</v>
      </c>
      <c r="BM372" s="5">
        <f t="shared" si="20"/>
        <v>0</v>
      </c>
      <c r="BN372" s="5">
        <f t="shared" si="20"/>
        <v>270937</v>
      </c>
      <c r="BO372" s="5">
        <f t="shared" si="20"/>
        <v>60047</v>
      </c>
      <c r="BP372" s="5">
        <f t="shared" si="20"/>
        <v>289</v>
      </c>
      <c r="BQ372" s="5">
        <f t="shared" ref="BQ372:BV372" si="21">SUM(BQ146:BQ191)</f>
        <v>36224</v>
      </c>
      <c r="BR372" s="5">
        <f t="shared" si="21"/>
        <v>-175</v>
      </c>
      <c r="BS372" s="5">
        <f t="shared" si="21"/>
        <v>5482</v>
      </c>
      <c r="BT372" s="5">
        <f t="shared" si="21"/>
        <v>0</v>
      </c>
      <c r="BU372" s="5">
        <f t="shared" si="21"/>
        <v>0</v>
      </c>
      <c r="BV372" s="5">
        <f t="shared" si="21"/>
        <v>5741</v>
      </c>
      <c r="BW372" s="5"/>
      <c r="BX372" s="5"/>
      <c r="BY372" s="5"/>
    </row>
    <row r="373" spans="2:77">
      <c r="B373" t="s">
        <v>2135</v>
      </c>
      <c r="C373" s="5">
        <f>SUM(C192:C214)</f>
        <v>419396</v>
      </c>
      <c r="D373" s="5">
        <f>SUM(D192:D214)</f>
        <v>7615</v>
      </c>
      <c r="E373" s="5">
        <f t="shared" ref="E373:BP373" si="22">SUM(E192:E214)</f>
        <v>17261</v>
      </c>
      <c r="F373" s="5">
        <f t="shared" si="22"/>
        <v>49054</v>
      </c>
      <c r="G373" s="5">
        <f t="shared" si="22"/>
        <v>35622</v>
      </c>
      <c r="H373" s="5">
        <f t="shared" si="22"/>
        <v>235244</v>
      </c>
      <c r="I373" s="5">
        <f t="shared" si="22"/>
        <v>53125</v>
      </c>
      <c r="J373" s="5">
        <f t="shared" si="22"/>
        <v>16565</v>
      </c>
      <c r="K373" s="5">
        <f t="shared" si="22"/>
        <v>4100</v>
      </c>
      <c r="L373" s="5">
        <f t="shared" si="22"/>
        <v>3308</v>
      </c>
      <c r="M373" s="5">
        <f t="shared" si="22"/>
        <v>31976</v>
      </c>
      <c r="N373" s="5">
        <f t="shared" si="22"/>
        <v>11776.5</v>
      </c>
      <c r="O373" s="5">
        <f t="shared" si="22"/>
        <v>3975</v>
      </c>
      <c r="P373" s="5">
        <f t="shared" si="22"/>
        <v>1300332.0016666704</v>
      </c>
      <c r="Q373" s="5">
        <f t="shared" si="22"/>
        <v>710417.75233331998</v>
      </c>
      <c r="R373" s="5">
        <f t="shared" si="22"/>
        <v>1625</v>
      </c>
      <c r="S373" s="5">
        <f t="shared" si="22"/>
        <v>6005</v>
      </c>
      <c r="T373" s="5">
        <f t="shared" si="22"/>
        <v>37369</v>
      </c>
      <c r="U373" s="5">
        <f t="shared" si="22"/>
        <v>6.8082933837602694E-2</v>
      </c>
      <c r="V373" s="5">
        <f t="shared" si="22"/>
        <v>-57506.162026229984</v>
      </c>
      <c r="W373" s="5">
        <f t="shared" si="22"/>
        <v>16.466029810000002</v>
      </c>
      <c r="X373" s="5">
        <f t="shared" si="22"/>
        <v>44000</v>
      </c>
      <c r="Y373" s="5">
        <f t="shared" si="22"/>
        <v>13842.935947999995</v>
      </c>
      <c r="Z373" s="5">
        <f t="shared" si="22"/>
        <v>11678799</v>
      </c>
      <c r="AA373" s="5">
        <f t="shared" si="22"/>
        <v>8000</v>
      </c>
      <c r="AB373" s="5">
        <f t="shared" si="22"/>
        <v>10928</v>
      </c>
      <c r="AC373" s="5">
        <f t="shared" si="22"/>
        <v>82445.145000000004</v>
      </c>
      <c r="AD373" s="5">
        <f t="shared" si="22"/>
        <v>7332</v>
      </c>
      <c r="AE373" s="5">
        <f t="shared" si="22"/>
        <v>2548</v>
      </c>
      <c r="AF373" s="5">
        <f t="shared" si="22"/>
        <v>135798.4049613</v>
      </c>
      <c r="AG373" s="5">
        <f t="shared" si="22"/>
        <v>418586</v>
      </c>
      <c r="AH373" s="5">
        <f t="shared" si="22"/>
        <v>68238.375761899995</v>
      </c>
      <c r="AI373" s="5">
        <f t="shared" si="22"/>
        <v>21000</v>
      </c>
      <c r="AJ373" s="5">
        <f t="shared" si="22"/>
        <v>427</v>
      </c>
      <c r="AK373" s="5">
        <f t="shared" si="22"/>
        <v>14665.488000000001</v>
      </c>
      <c r="AL373" s="5">
        <f t="shared" si="22"/>
        <v>0</v>
      </c>
      <c r="AM373" s="5">
        <f t="shared" si="22"/>
        <v>16.554052410000004</v>
      </c>
      <c r="AN373" s="5">
        <f t="shared" si="22"/>
        <v>46585</v>
      </c>
      <c r="AO373" s="5">
        <f t="shared" si="22"/>
        <v>-58029.666721999994</v>
      </c>
      <c r="AP373" s="5">
        <f t="shared" si="22"/>
        <v>0</v>
      </c>
      <c r="AQ373" s="5">
        <f t="shared" si="22"/>
        <v>-1882.0393499999991</v>
      </c>
      <c r="AR373" s="5">
        <f t="shared" si="22"/>
        <v>11909.952593500004</v>
      </c>
      <c r="AS373" s="5">
        <f t="shared" si="22"/>
        <v>97996</v>
      </c>
      <c r="AT373" s="5">
        <f t="shared" si="22"/>
        <v>26249</v>
      </c>
      <c r="AU373" s="5">
        <f t="shared" si="22"/>
        <v>5151</v>
      </c>
      <c r="AV373" s="5">
        <f t="shared" si="22"/>
        <v>10794458</v>
      </c>
      <c r="AW373" s="5">
        <f t="shared" si="22"/>
        <v>94353.999999999971</v>
      </c>
      <c r="AX373" s="5">
        <f t="shared" si="22"/>
        <v>2629.8333000000002</v>
      </c>
      <c r="AY373" s="5">
        <f t="shared" si="22"/>
        <v>96050</v>
      </c>
      <c r="AZ373" s="5">
        <f t="shared" si="22"/>
        <v>20857</v>
      </c>
      <c r="BA373" s="5">
        <f t="shared" si="22"/>
        <v>10154</v>
      </c>
      <c r="BB373" s="5">
        <f t="shared" si="22"/>
        <v>35252</v>
      </c>
      <c r="BC373" s="5">
        <f t="shared" si="22"/>
        <v>212197.07266069998</v>
      </c>
      <c r="BD373" s="5">
        <f t="shared" si="22"/>
        <v>35297</v>
      </c>
      <c r="BE373" s="5">
        <f t="shared" si="22"/>
        <v>11207085.991200004</v>
      </c>
      <c r="BF373" s="5">
        <f t="shared" si="22"/>
        <v>0</v>
      </c>
      <c r="BG373" s="5">
        <f t="shared" si="22"/>
        <v>18453</v>
      </c>
      <c r="BH373" s="5">
        <f t="shared" si="22"/>
        <v>2634</v>
      </c>
      <c r="BI373" s="5">
        <f t="shared" si="22"/>
        <v>345404.83078799996</v>
      </c>
      <c r="BJ373" s="5">
        <f t="shared" si="22"/>
        <v>27030</v>
      </c>
      <c r="BK373" s="5">
        <f t="shared" si="22"/>
        <v>0</v>
      </c>
      <c r="BL373" s="5">
        <f t="shared" si="22"/>
        <v>0</v>
      </c>
      <c r="BM373" s="5">
        <f t="shared" si="22"/>
        <v>35007</v>
      </c>
      <c r="BN373" s="5">
        <f t="shared" si="22"/>
        <v>296913</v>
      </c>
      <c r="BO373" s="5">
        <f t="shared" si="22"/>
        <v>72220</v>
      </c>
      <c r="BP373" s="5">
        <f t="shared" si="22"/>
        <v>352</v>
      </c>
      <c r="BQ373" s="5">
        <f t="shared" ref="BQ373:BV373" si="23">SUM(BQ192:BQ214)</f>
        <v>41177</v>
      </c>
      <c r="BR373" s="5">
        <f t="shared" si="23"/>
        <v>-197</v>
      </c>
      <c r="BS373" s="5">
        <f t="shared" si="23"/>
        <v>6653</v>
      </c>
      <c r="BT373" s="5">
        <f t="shared" si="23"/>
        <v>0</v>
      </c>
      <c r="BU373" s="5">
        <f t="shared" si="23"/>
        <v>30414.48113385</v>
      </c>
      <c r="BV373" s="5">
        <f t="shared" si="23"/>
        <v>5933</v>
      </c>
      <c r="BW373" s="5"/>
      <c r="BX373" s="5"/>
      <c r="BY373" s="5"/>
    </row>
    <row r="374" spans="2:77">
      <c r="B374" t="s">
        <v>2136</v>
      </c>
      <c r="C374" s="5">
        <f>SUM(C215:C239)</f>
        <v>307231</v>
      </c>
      <c r="D374" s="5">
        <f>SUM(D215:D239)</f>
        <v>6246</v>
      </c>
      <c r="E374" s="5">
        <f t="shared" ref="E374:BP374" si="24">SUM(E215:E239)</f>
        <v>14213</v>
      </c>
      <c r="F374" s="5">
        <f t="shared" si="24"/>
        <v>39413</v>
      </c>
      <c r="G374" s="5">
        <f t="shared" si="24"/>
        <v>28322</v>
      </c>
      <c r="H374" s="5">
        <f t="shared" si="24"/>
        <v>170785</v>
      </c>
      <c r="I374" s="5">
        <f t="shared" si="24"/>
        <v>34079</v>
      </c>
      <c r="J374" s="5">
        <f t="shared" si="24"/>
        <v>10381</v>
      </c>
      <c r="K374" s="5">
        <f t="shared" si="24"/>
        <v>2467</v>
      </c>
      <c r="L374" s="5">
        <f t="shared" si="24"/>
        <v>2383</v>
      </c>
      <c r="M374" s="5">
        <f t="shared" si="24"/>
        <v>19400</v>
      </c>
      <c r="N374" s="5">
        <f t="shared" si="24"/>
        <v>9544</v>
      </c>
      <c r="O374" s="5">
        <f t="shared" si="24"/>
        <v>3269</v>
      </c>
      <c r="P374" s="5">
        <f t="shared" si="24"/>
        <v>1162123.3066666902</v>
      </c>
      <c r="Q374" s="5">
        <f t="shared" si="24"/>
        <v>640698.95666666992</v>
      </c>
      <c r="R374" s="5">
        <f t="shared" si="24"/>
        <v>1306</v>
      </c>
      <c r="S374" s="5">
        <f t="shared" si="24"/>
        <v>1338</v>
      </c>
      <c r="T374" s="5">
        <f t="shared" si="24"/>
        <v>25336</v>
      </c>
      <c r="U374" s="5">
        <f t="shared" si="24"/>
        <v>5.1905234359196958E-2</v>
      </c>
      <c r="V374" s="5">
        <f t="shared" si="24"/>
        <v>-31794.418683849981</v>
      </c>
      <c r="W374" s="5">
        <f t="shared" si="24"/>
        <v>18.689209730000002</v>
      </c>
      <c r="X374" s="5">
        <f t="shared" si="24"/>
        <v>42500</v>
      </c>
      <c r="Y374" s="5">
        <f t="shared" si="24"/>
        <v>14156.656875999995</v>
      </c>
      <c r="Z374" s="5">
        <f t="shared" si="24"/>
        <v>8183055</v>
      </c>
      <c r="AA374" s="5">
        <f t="shared" si="24"/>
        <v>10000</v>
      </c>
      <c r="AB374" s="5">
        <f t="shared" si="24"/>
        <v>9023</v>
      </c>
      <c r="AC374" s="5">
        <f t="shared" si="24"/>
        <v>81559.660999999993</v>
      </c>
      <c r="AD374" s="5">
        <f t="shared" si="24"/>
        <v>7166</v>
      </c>
      <c r="AE374" s="5">
        <f t="shared" si="24"/>
        <v>0</v>
      </c>
      <c r="AF374" s="5">
        <f t="shared" si="24"/>
        <v>87191.496199999994</v>
      </c>
      <c r="AG374" s="5">
        <f t="shared" si="24"/>
        <v>305906</v>
      </c>
      <c r="AH374" s="5">
        <f t="shared" si="24"/>
        <v>54578.265897190002</v>
      </c>
      <c r="AI374" s="5">
        <f t="shared" si="24"/>
        <v>10202</v>
      </c>
      <c r="AJ374" s="5">
        <f t="shared" si="24"/>
        <v>0</v>
      </c>
      <c r="AK374" s="5">
        <f t="shared" si="24"/>
        <v>4281.4169999999995</v>
      </c>
      <c r="AL374" s="5">
        <f t="shared" si="24"/>
        <v>0</v>
      </c>
      <c r="AM374" s="5">
        <f t="shared" si="24"/>
        <v>9.3313847799999952</v>
      </c>
      <c r="AN374" s="5">
        <f t="shared" si="24"/>
        <v>30239</v>
      </c>
      <c r="AO374" s="5">
        <f t="shared" si="24"/>
        <v>-43207.447485000019</v>
      </c>
      <c r="AP374" s="5">
        <f t="shared" si="24"/>
        <v>42280</v>
      </c>
      <c r="AQ374" s="5">
        <f t="shared" si="24"/>
        <v>0</v>
      </c>
      <c r="AR374" s="5">
        <f t="shared" si="24"/>
        <v>-10668.378871700001</v>
      </c>
      <c r="AS374" s="5">
        <f t="shared" si="24"/>
        <v>96808</v>
      </c>
      <c r="AT374" s="5">
        <f t="shared" si="24"/>
        <v>18024</v>
      </c>
      <c r="AU374" s="5">
        <f t="shared" si="24"/>
        <v>3445</v>
      </c>
      <c r="AV374" s="5">
        <f t="shared" si="24"/>
        <v>8013561</v>
      </c>
      <c r="AW374" s="5">
        <f t="shared" si="24"/>
        <v>80494</v>
      </c>
      <c r="AX374" s="5">
        <f t="shared" si="24"/>
        <v>1907.4166000000005</v>
      </c>
      <c r="AY374" s="5">
        <f t="shared" si="24"/>
        <v>70477</v>
      </c>
      <c r="AZ374" s="5">
        <f t="shared" si="24"/>
        <v>13806</v>
      </c>
      <c r="BA374" s="5">
        <f t="shared" si="24"/>
        <v>7427</v>
      </c>
      <c r="BB374" s="5">
        <f t="shared" si="24"/>
        <v>26440</v>
      </c>
      <c r="BC374" s="5">
        <f t="shared" si="24"/>
        <v>-94191.943799500019</v>
      </c>
      <c r="BD374" s="5">
        <f t="shared" si="24"/>
        <v>26728</v>
      </c>
      <c r="BE374" s="5">
        <f t="shared" si="24"/>
        <v>8349238.3438000008</v>
      </c>
      <c r="BF374" s="5">
        <f t="shared" si="24"/>
        <v>0</v>
      </c>
      <c r="BG374" s="5">
        <f t="shared" si="24"/>
        <v>13649</v>
      </c>
      <c r="BH374" s="5">
        <f t="shared" si="24"/>
        <v>1949</v>
      </c>
      <c r="BI374" s="5">
        <f t="shared" si="24"/>
        <v>50828.691330999987</v>
      </c>
      <c r="BJ374" s="5">
        <f t="shared" si="24"/>
        <v>0</v>
      </c>
      <c r="BK374" s="5">
        <f t="shared" si="24"/>
        <v>-738</v>
      </c>
      <c r="BL374" s="5">
        <f t="shared" si="24"/>
        <v>-190938.80540000001</v>
      </c>
      <c r="BM374" s="5">
        <f t="shared" si="24"/>
        <v>8776</v>
      </c>
      <c r="BN374" s="5">
        <f t="shared" si="24"/>
        <v>221074</v>
      </c>
      <c r="BO374" s="5">
        <f t="shared" si="24"/>
        <v>58204</v>
      </c>
      <c r="BP374" s="5">
        <f t="shared" si="24"/>
        <v>285</v>
      </c>
      <c r="BQ374" s="5">
        <f t="shared" ref="BQ374:BV374" si="25">SUM(BQ215:BQ239)</f>
        <v>29935</v>
      </c>
      <c r="BR374" s="5">
        <f t="shared" si="25"/>
        <v>-145</v>
      </c>
      <c r="BS374" s="5">
        <f t="shared" si="25"/>
        <v>5216</v>
      </c>
      <c r="BT374" s="5">
        <f t="shared" si="25"/>
        <v>0</v>
      </c>
      <c r="BU374" s="5">
        <f t="shared" si="25"/>
        <v>0</v>
      </c>
      <c r="BV374" s="5">
        <f t="shared" si="25"/>
        <v>4390</v>
      </c>
      <c r="BW374" s="5"/>
      <c r="BX374" s="5"/>
      <c r="BY374" s="5"/>
    </row>
    <row r="375" spans="2:77">
      <c r="B375" t="s">
        <v>2137</v>
      </c>
      <c r="C375" s="5">
        <f>SUM(C240:C282)</f>
        <v>636531</v>
      </c>
      <c r="D375" s="5">
        <f>SUM(D240:D282)</f>
        <v>13762</v>
      </c>
      <c r="E375" s="5">
        <f t="shared" ref="E375:BP375" si="26">SUM(E240:E282)</f>
        <v>29767</v>
      </c>
      <c r="F375" s="5">
        <f t="shared" si="26"/>
        <v>78054</v>
      </c>
      <c r="G375" s="5">
        <f t="shared" si="26"/>
        <v>56707</v>
      </c>
      <c r="H375" s="5">
        <f t="shared" si="26"/>
        <v>359525</v>
      </c>
      <c r="I375" s="5">
        <f t="shared" si="26"/>
        <v>67859</v>
      </c>
      <c r="J375" s="5">
        <f t="shared" si="26"/>
        <v>22780</v>
      </c>
      <c r="K375" s="5">
        <f t="shared" si="26"/>
        <v>6125</v>
      </c>
      <c r="L375" s="5">
        <f t="shared" si="26"/>
        <v>4551</v>
      </c>
      <c r="M375" s="5">
        <f t="shared" si="26"/>
        <v>40757</v>
      </c>
      <c r="N375" s="5">
        <f t="shared" si="26"/>
        <v>11744.5</v>
      </c>
      <c r="O375" s="5">
        <f t="shared" si="26"/>
        <v>5927</v>
      </c>
      <c r="P375" s="5">
        <f t="shared" si="26"/>
        <v>3432853.2586666388</v>
      </c>
      <c r="Q375" s="5">
        <f t="shared" si="26"/>
        <v>1332297.8360000302</v>
      </c>
      <c r="R375" s="5">
        <f t="shared" si="26"/>
        <v>2572</v>
      </c>
      <c r="S375" s="5">
        <f t="shared" si="26"/>
        <v>7874</v>
      </c>
      <c r="T375" s="5">
        <f t="shared" si="26"/>
        <v>52194</v>
      </c>
      <c r="U375" s="5">
        <f t="shared" si="26"/>
        <v>0.14028829566418111</v>
      </c>
      <c r="V375" s="5">
        <f t="shared" si="26"/>
        <v>-6010.1229045600139</v>
      </c>
      <c r="W375" s="5">
        <f t="shared" si="26"/>
        <v>34.79308532000001</v>
      </c>
      <c r="X375" s="5">
        <f t="shared" si="26"/>
        <v>126200</v>
      </c>
      <c r="Y375" s="5">
        <f t="shared" si="26"/>
        <v>24050.524655999987</v>
      </c>
      <c r="Z375" s="5">
        <f t="shared" si="26"/>
        <v>19544866</v>
      </c>
      <c r="AA375" s="5">
        <f t="shared" si="26"/>
        <v>10000</v>
      </c>
      <c r="AB375" s="5">
        <f t="shared" si="26"/>
        <v>11462</v>
      </c>
      <c r="AC375" s="5">
        <f t="shared" si="26"/>
        <v>121412.45800000003</v>
      </c>
      <c r="AD375" s="5">
        <f t="shared" si="26"/>
        <v>12830</v>
      </c>
      <c r="AE375" s="5">
        <f t="shared" si="26"/>
        <v>875</v>
      </c>
      <c r="AF375" s="5">
        <f t="shared" si="26"/>
        <v>266628.13089999999</v>
      </c>
      <c r="AG375" s="5">
        <f t="shared" si="26"/>
        <v>634579</v>
      </c>
      <c r="AH375" s="5">
        <f t="shared" si="26"/>
        <v>110604.34071882999</v>
      </c>
      <c r="AI375" s="5">
        <f t="shared" si="26"/>
        <v>36800</v>
      </c>
      <c r="AJ375" s="5">
        <f t="shared" si="26"/>
        <v>4471.0600000000004</v>
      </c>
      <c r="AK375" s="5">
        <f t="shared" si="26"/>
        <v>50074.021000000001</v>
      </c>
      <c r="AL375" s="5">
        <f t="shared" si="26"/>
        <v>0</v>
      </c>
      <c r="AM375" s="5">
        <f t="shared" si="26"/>
        <v>15.75544809</v>
      </c>
      <c r="AN375" s="5">
        <f t="shared" si="26"/>
        <v>80944</v>
      </c>
      <c r="AO375" s="5">
        <f t="shared" si="26"/>
        <v>-88520.27515500001</v>
      </c>
      <c r="AP375" s="5">
        <f t="shared" si="26"/>
        <v>107696</v>
      </c>
      <c r="AQ375" s="5">
        <f t="shared" si="26"/>
        <v>0</v>
      </c>
      <c r="AR375" s="5">
        <f t="shared" si="26"/>
        <v>-14925.809752200004</v>
      </c>
      <c r="AS375" s="5">
        <f t="shared" si="26"/>
        <v>147455</v>
      </c>
      <c r="AT375" s="5">
        <f t="shared" si="26"/>
        <v>28342</v>
      </c>
      <c r="AU375" s="5">
        <f t="shared" si="26"/>
        <v>7419</v>
      </c>
      <c r="AV375" s="5">
        <f t="shared" si="26"/>
        <v>16630902</v>
      </c>
      <c r="AW375" s="5">
        <f t="shared" si="26"/>
        <v>309936.00000000006</v>
      </c>
      <c r="AX375" s="5">
        <f t="shared" si="26"/>
        <v>4879.7083999999986</v>
      </c>
      <c r="AY375" s="5">
        <f t="shared" si="26"/>
        <v>163244</v>
      </c>
      <c r="AZ375" s="5">
        <f t="shared" si="26"/>
        <v>28173</v>
      </c>
      <c r="BA375" s="5">
        <f t="shared" si="26"/>
        <v>12732</v>
      </c>
      <c r="BB375" s="5">
        <f t="shared" si="26"/>
        <v>62866</v>
      </c>
      <c r="BC375" s="5">
        <f t="shared" si="26"/>
        <v>-67332.329347999956</v>
      </c>
      <c r="BD375" s="5">
        <f t="shared" si="26"/>
        <v>54970</v>
      </c>
      <c r="BE375" s="5">
        <f t="shared" si="26"/>
        <v>17138761.600500003</v>
      </c>
      <c r="BF375" s="5">
        <f t="shared" si="26"/>
        <v>0</v>
      </c>
      <c r="BG375" s="5">
        <f t="shared" si="26"/>
        <v>28397</v>
      </c>
      <c r="BH375" s="5">
        <f t="shared" si="26"/>
        <v>4054</v>
      </c>
      <c r="BI375" s="5">
        <f t="shared" si="26"/>
        <v>200099.01563099999</v>
      </c>
      <c r="BJ375" s="5">
        <f t="shared" si="26"/>
        <v>40570</v>
      </c>
      <c r="BK375" s="5">
        <f t="shared" si="26"/>
        <v>-1568</v>
      </c>
      <c r="BL375" s="5">
        <f t="shared" si="26"/>
        <v>-372670.45939999999</v>
      </c>
      <c r="BM375" s="5">
        <f t="shared" si="26"/>
        <v>41473</v>
      </c>
      <c r="BN375" s="5">
        <f t="shared" si="26"/>
        <v>452922</v>
      </c>
      <c r="BO375" s="5">
        <f t="shared" si="26"/>
        <v>122558</v>
      </c>
      <c r="BP375" s="5">
        <f t="shared" si="26"/>
        <v>611</v>
      </c>
      <c r="BQ375" s="5">
        <f t="shared" ref="BQ375:BV375" si="27">SUM(BQ240:BQ282)</f>
        <v>64517</v>
      </c>
      <c r="BR375" s="5">
        <f t="shared" si="27"/>
        <v>-294</v>
      </c>
      <c r="BS375" s="5">
        <f t="shared" si="27"/>
        <v>7955</v>
      </c>
      <c r="BT375" s="5">
        <f t="shared" si="27"/>
        <v>0</v>
      </c>
      <c r="BU375" s="5">
        <f t="shared" si="27"/>
        <v>0</v>
      </c>
      <c r="BV375" s="5">
        <f t="shared" si="27"/>
        <v>9128</v>
      </c>
      <c r="BW375" s="5"/>
      <c r="BX375" s="5"/>
      <c r="BY375" s="5"/>
    </row>
    <row r="376" spans="2:77">
      <c r="B376" t="s">
        <v>2138</v>
      </c>
      <c r="C376" s="5">
        <f>SUM(C283:C320)</f>
        <v>468702</v>
      </c>
      <c r="D376" s="5">
        <f>SUM(D283:D320)</f>
        <v>9540</v>
      </c>
      <c r="E376" s="5">
        <f t="shared" ref="E376:BP376" si="28">SUM(E283:E320)</f>
        <v>21042</v>
      </c>
      <c r="F376" s="5">
        <f t="shared" si="28"/>
        <v>55312</v>
      </c>
      <c r="G376" s="5">
        <f t="shared" si="28"/>
        <v>41715</v>
      </c>
      <c r="H376" s="5">
        <f t="shared" si="28"/>
        <v>266035</v>
      </c>
      <c r="I376" s="5">
        <f t="shared" si="28"/>
        <v>52769</v>
      </c>
      <c r="J376" s="5">
        <f t="shared" si="28"/>
        <v>16199</v>
      </c>
      <c r="K376" s="5">
        <f t="shared" si="28"/>
        <v>3944</v>
      </c>
      <c r="L376" s="5">
        <f t="shared" si="28"/>
        <v>3451</v>
      </c>
      <c r="M376" s="5">
        <f t="shared" si="28"/>
        <v>31714</v>
      </c>
      <c r="N376" s="5">
        <f t="shared" si="28"/>
        <v>8266.5</v>
      </c>
      <c r="O376" s="5">
        <f t="shared" si="28"/>
        <v>3686</v>
      </c>
      <c r="P376" s="5">
        <f t="shared" si="28"/>
        <v>2119308.3023185204</v>
      </c>
      <c r="Q376" s="5">
        <f t="shared" si="28"/>
        <v>909301.66532600985</v>
      </c>
      <c r="R376" s="5">
        <f t="shared" si="28"/>
        <v>1759</v>
      </c>
      <c r="S376" s="5">
        <f t="shared" si="28"/>
        <v>4176</v>
      </c>
      <c r="T376" s="5">
        <f t="shared" si="28"/>
        <v>37773</v>
      </c>
      <c r="U376" s="5">
        <f t="shared" si="28"/>
        <v>0.13885273120068489</v>
      </c>
      <c r="V376" s="5">
        <f t="shared" si="28"/>
        <v>-4805.2529273400023</v>
      </c>
      <c r="W376" s="5">
        <f t="shared" si="28"/>
        <v>30.626678090000006</v>
      </c>
      <c r="X376" s="5">
        <f t="shared" si="28"/>
        <v>28490</v>
      </c>
      <c r="Y376" s="5">
        <f t="shared" si="28"/>
        <v>25792.947647569981</v>
      </c>
      <c r="Z376" s="5">
        <f t="shared" si="28"/>
        <v>13259973</v>
      </c>
      <c r="AA376" s="5">
        <f t="shared" si="28"/>
        <v>8000</v>
      </c>
      <c r="AB376" s="5">
        <f t="shared" si="28"/>
        <v>10360</v>
      </c>
      <c r="AC376" s="5">
        <f t="shared" si="28"/>
        <v>76211.585999809991</v>
      </c>
      <c r="AD376" s="5">
        <f t="shared" si="28"/>
        <v>10831</v>
      </c>
      <c r="AE376" s="5">
        <f t="shared" si="28"/>
        <v>14867</v>
      </c>
      <c r="AF376" s="5">
        <f t="shared" si="28"/>
        <v>240378.94320237002</v>
      </c>
      <c r="AG376" s="5">
        <f t="shared" si="28"/>
        <v>466556</v>
      </c>
      <c r="AH376" s="5">
        <f t="shared" si="28"/>
        <v>78329.032711309977</v>
      </c>
      <c r="AI376" s="5">
        <f t="shared" si="28"/>
        <v>81510</v>
      </c>
      <c r="AJ376" s="5">
        <f t="shared" si="28"/>
        <v>0</v>
      </c>
      <c r="AK376" s="5">
        <f t="shared" si="28"/>
        <v>2328.6979999399991</v>
      </c>
      <c r="AL376" s="5">
        <f t="shared" si="28"/>
        <v>70594</v>
      </c>
      <c r="AM376" s="5">
        <f t="shared" si="28"/>
        <v>7.758838220000003</v>
      </c>
      <c r="AN376" s="5">
        <f t="shared" si="28"/>
        <v>93069</v>
      </c>
      <c r="AO376" s="5">
        <f t="shared" si="28"/>
        <v>-63709.404081999994</v>
      </c>
      <c r="AP376" s="5">
        <f t="shared" si="28"/>
        <v>77456</v>
      </c>
      <c r="AQ376" s="5">
        <f t="shared" si="28"/>
        <v>0</v>
      </c>
      <c r="AR376" s="5">
        <f t="shared" si="28"/>
        <v>-1287.7114156000059</v>
      </c>
      <c r="AS376" s="5">
        <f t="shared" si="28"/>
        <v>112541</v>
      </c>
      <c r="AT376" s="5">
        <f t="shared" si="28"/>
        <v>20907</v>
      </c>
      <c r="AU376" s="5">
        <f t="shared" si="28"/>
        <v>4396</v>
      </c>
      <c r="AV376" s="5">
        <f t="shared" si="28"/>
        <v>11603301.001</v>
      </c>
      <c r="AW376" s="5">
        <f t="shared" si="28"/>
        <v>125928</v>
      </c>
      <c r="AX376" s="5">
        <f t="shared" si="28"/>
        <v>3596.0418</v>
      </c>
      <c r="AY376" s="5">
        <f t="shared" si="28"/>
        <v>121331</v>
      </c>
      <c r="AZ376" s="5">
        <f t="shared" si="28"/>
        <v>17982</v>
      </c>
      <c r="BA376" s="5">
        <f t="shared" si="28"/>
        <v>9845</v>
      </c>
      <c r="BB376" s="5">
        <f t="shared" si="28"/>
        <v>80489</v>
      </c>
      <c r="BC376" s="5">
        <f t="shared" si="28"/>
        <v>-193232.29223600001</v>
      </c>
      <c r="BD376" s="5">
        <f t="shared" si="28"/>
        <v>41019</v>
      </c>
      <c r="BE376" s="5">
        <f t="shared" si="28"/>
        <v>11976893.907300003</v>
      </c>
      <c r="BF376" s="5">
        <f t="shared" si="28"/>
        <v>0</v>
      </c>
      <c r="BG376" s="5">
        <f t="shared" si="28"/>
        <v>20898</v>
      </c>
      <c r="BH376" s="5">
        <f t="shared" si="28"/>
        <v>2988</v>
      </c>
      <c r="BI376" s="5">
        <f t="shared" si="28"/>
        <v>-9015.1144120000336</v>
      </c>
      <c r="BJ376" s="5">
        <f t="shared" si="28"/>
        <v>270</v>
      </c>
      <c r="BK376" s="5">
        <f t="shared" si="28"/>
        <v>-2016</v>
      </c>
      <c r="BL376" s="5">
        <f t="shared" si="28"/>
        <v>-436013.92180000001</v>
      </c>
      <c r="BM376" s="5">
        <f t="shared" si="28"/>
        <v>25510</v>
      </c>
      <c r="BN376" s="5">
        <f t="shared" si="28"/>
        <v>325971</v>
      </c>
      <c r="BO376" s="5">
        <f t="shared" si="28"/>
        <v>87204</v>
      </c>
      <c r="BP376" s="5">
        <f t="shared" si="28"/>
        <v>437</v>
      </c>
      <c r="BQ376" s="5">
        <f t="shared" ref="BQ376:BV376" si="29">SUM(BQ283:BQ320)</f>
        <v>46385</v>
      </c>
      <c r="BR376" s="5">
        <f t="shared" si="29"/>
        <v>-216</v>
      </c>
      <c r="BS376" s="5">
        <f t="shared" si="29"/>
        <v>5816</v>
      </c>
      <c r="BT376" s="5">
        <f t="shared" si="29"/>
        <v>3957.6</v>
      </c>
      <c r="BU376" s="5">
        <f t="shared" si="29"/>
        <v>0</v>
      </c>
      <c r="BV376" s="5">
        <f t="shared" si="29"/>
        <v>6722</v>
      </c>
      <c r="BW376" s="5"/>
      <c r="BX376" s="5"/>
      <c r="BY376" s="5"/>
    </row>
    <row r="377" spans="2:77">
      <c r="B377" t="s">
        <v>2139</v>
      </c>
      <c r="C377" s="5">
        <f>SUM(C321:C359)</f>
        <v>243311</v>
      </c>
      <c r="D377" s="5">
        <f>SUM(D321:D359)</f>
        <v>4674</v>
      </c>
      <c r="E377" s="5">
        <f t="shared" ref="E377:BP377" si="30">SUM(E321:E359)</f>
        <v>10105</v>
      </c>
      <c r="F377" s="5">
        <f t="shared" si="30"/>
        <v>27674</v>
      </c>
      <c r="G377" s="5">
        <f t="shared" si="30"/>
        <v>21953</v>
      </c>
      <c r="H377" s="5">
        <f t="shared" si="30"/>
        <v>140063</v>
      </c>
      <c r="I377" s="5">
        <f t="shared" si="30"/>
        <v>28753</v>
      </c>
      <c r="J377" s="5">
        <f t="shared" si="30"/>
        <v>8577</v>
      </c>
      <c r="K377" s="5">
        <f t="shared" si="30"/>
        <v>1716</v>
      </c>
      <c r="L377" s="5">
        <f t="shared" si="30"/>
        <v>1964</v>
      </c>
      <c r="M377" s="5">
        <f t="shared" si="30"/>
        <v>18668</v>
      </c>
      <c r="N377" s="5">
        <f t="shared" si="30"/>
        <v>3710</v>
      </c>
      <c r="O377" s="5">
        <f t="shared" si="30"/>
        <v>2400</v>
      </c>
      <c r="P377" s="5">
        <f t="shared" si="30"/>
        <v>1793111.2266666899</v>
      </c>
      <c r="Q377" s="5">
        <f t="shared" si="30"/>
        <v>742918.03699998977</v>
      </c>
      <c r="R377" s="5">
        <f t="shared" si="30"/>
        <v>1033</v>
      </c>
      <c r="S377" s="5">
        <f t="shared" si="30"/>
        <v>0</v>
      </c>
      <c r="T377" s="5">
        <f t="shared" si="30"/>
        <v>22469</v>
      </c>
      <c r="U377" s="5">
        <f t="shared" si="30"/>
        <v>5.2498787445268681E-2</v>
      </c>
      <c r="V377" s="5">
        <f t="shared" si="30"/>
        <v>14034.283121699998</v>
      </c>
      <c r="W377" s="5">
        <f t="shared" si="30"/>
        <v>35.177536089999997</v>
      </c>
      <c r="X377" s="5">
        <f t="shared" si="30"/>
        <v>76700</v>
      </c>
      <c r="Y377" s="5">
        <f t="shared" si="30"/>
        <v>14949.438139999991</v>
      </c>
      <c r="Z377" s="5">
        <f t="shared" si="30"/>
        <v>6682895</v>
      </c>
      <c r="AA377" s="5">
        <f t="shared" si="30"/>
        <v>9500</v>
      </c>
      <c r="AB377" s="5">
        <f t="shared" si="30"/>
        <v>4719</v>
      </c>
      <c r="AC377" s="5">
        <f t="shared" si="30"/>
        <v>60220.429999999993</v>
      </c>
      <c r="AD377" s="5">
        <f t="shared" si="30"/>
        <v>9170</v>
      </c>
      <c r="AE377" s="5">
        <f t="shared" si="30"/>
        <v>808</v>
      </c>
      <c r="AF377" s="5">
        <f t="shared" si="30"/>
        <v>135840.65359696001</v>
      </c>
      <c r="AG377" s="5">
        <f t="shared" si="30"/>
        <v>243515</v>
      </c>
      <c r="AH377" s="5">
        <f t="shared" si="30"/>
        <v>39394.180822369992</v>
      </c>
      <c r="AI377" s="5">
        <f t="shared" si="30"/>
        <v>47300.000000000007</v>
      </c>
      <c r="AJ377" s="5">
        <f t="shared" si="30"/>
        <v>7145</v>
      </c>
      <c r="AK377" s="5">
        <f t="shared" si="30"/>
        <v>2121.5480000000002</v>
      </c>
      <c r="AL377" s="5">
        <f t="shared" si="30"/>
        <v>1240617</v>
      </c>
      <c r="AM377" s="5">
        <f t="shared" si="30"/>
        <v>5.2420092399999989</v>
      </c>
      <c r="AN377" s="5">
        <f t="shared" si="30"/>
        <v>0</v>
      </c>
      <c r="AO377" s="5">
        <f t="shared" si="30"/>
        <v>-34448.974480000004</v>
      </c>
      <c r="AP377" s="5">
        <f t="shared" si="30"/>
        <v>0</v>
      </c>
      <c r="AQ377" s="5">
        <f t="shared" si="30"/>
        <v>0</v>
      </c>
      <c r="AR377" s="5">
        <f t="shared" si="30"/>
        <v>-1137.3296068999989</v>
      </c>
      <c r="AS377" s="5">
        <f t="shared" si="30"/>
        <v>70622</v>
      </c>
      <c r="AT377" s="5">
        <f t="shared" si="30"/>
        <v>11805</v>
      </c>
      <c r="AU377" s="5">
        <f t="shared" si="30"/>
        <v>2336</v>
      </c>
      <c r="AV377" s="5">
        <f t="shared" si="30"/>
        <v>8172335</v>
      </c>
      <c r="AW377" s="5">
        <f t="shared" si="30"/>
        <v>78632.000000000029</v>
      </c>
      <c r="AX377" s="5">
        <f t="shared" si="30"/>
        <v>1816.6666500000003</v>
      </c>
      <c r="AY377" s="5">
        <f t="shared" si="30"/>
        <v>59186</v>
      </c>
      <c r="AZ377" s="5">
        <f t="shared" si="30"/>
        <v>10582</v>
      </c>
      <c r="BA377" s="5">
        <f t="shared" si="30"/>
        <v>5897</v>
      </c>
      <c r="BB377" s="5">
        <f t="shared" si="30"/>
        <v>261738</v>
      </c>
      <c r="BC377" s="5">
        <f t="shared" si="30"/>
        <v>107321.111838</v>
      </c>
      <c r="BD377" s="5">
        <f t="shared" si="30"/>
        <v>23850</v>
      </c>
      <c r="BE377" s="5">
        <f t="shared" si="30"/>
        <v>8414934.3293000013</v>
      </c>
      <c r="BF377" s="5">
        <f t="shared" si="30"/>
        <v>0</v>
      </c>
      <c r="BG377" s="5">
        <f t="shared" si="30"/>
        <v>12069</v>
      </c>
      <c r="BH377" s="5">
        <f t="shared" si="30"/>
        <v>1719</v>
      </c>
      <c r="BI377" s="5">
        <f t="shared" si="30"/>
        <v>279538.41616600001</v>
      </c>
      <c r="BJ377" s="5">
        <f t="shared" si="30"/>
        <v>1220</v>
      </c>
      <c r="BK377" s="5">
        <f t="shared" si="30"/>
        <v>0</v>
      </c>
      <c r="BL377" s="5">
        <f t="shared" si="30"/>
        <v>0</v>
      </c>
      <c r="BM377" s="5">
        <f t="shared" si="30"/>
        <v>8317</v>
      </c>
      <c r="BN377" s="5">
        <f t="shared" si="30"/>
        <v>176260</v>
      </c>
      <c r="BO377" s="5">
        <f t="shared" si="30"/>
        <v>43360</v>
      </c>
      <c r="BP377" s="5">
        <f t="shared" si="30"/>
        <v>215</v>
      </c>
      <c r="BQ377" s="5">
        <f t="shared" ref="BQ377:BV377" si="31">SUM(BQ321:BQ359)</f>
        <v>24103</v>
      </c>
      <c r="BR377" s="5">
        <f t="shared" si="31"/>
        <v>-114</v>
      </c>
      <c r="BS377" s="5">
        <f t="shared" si="31"/>
        <v>3415</v>
      </c>
      <c r="BT377" s="5">
        <f t="shared" si="31"/>
        <v>0</v>
      </c>
      <c r="BU377" s="5">
        <f t="shared" si="31"/>
        <v>27012.165631709999</v>
      </c>
      <c r="BV377" s="5">
        <f t="shared" si="31"/>
        <v>3880</v>
      </c>
      <c r="BW377" s="5"/>
      <c r="BX377" s="5"/>
      <c r="BY377" s="5"/>
    </row>
    <row r="378" spans="2:77">
      <c r="C378" s="5"/>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BX330" activePane="bottomRight" state="frozen"/>
      <selection activeCell="J9" sqref="J9"/>
      <selection pane="topRight" activeCell="J9" sqref="J9"/>
      <selection pane="bottomLeft" activeCell="J9" sqref="J9"/>
      <selection pane="bottomRight" activeCell="CJ3" sqref="CJ3"/>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22" width="11.453125" customWidth="1"/>
    <col min="23" max="23" width="12.81640625" customWidth="1"/>
    <col min="24" max="26" width="11.453125" customWidth="1"/>
    <col min="27" max="27" width="12.4531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2" width="18.26953125" customWidth="1"/>
    <col min="73" max="73" width="17" customWidth="1"/>
    <col min="74" max="76" width="18.26953125" customWidth="1"/>
    <col min="77" max="77" width="20" customWidth="1"/>
    <col min="78" max="83" width="18.26953125" customWidth="1"/>
    <col min="84" max="87" width="17" customWidth="1"/>
    <col min="88" max="88" width="16.26953125" customWidth="1"/>
  </cols>
  <sheetData>
    <row r="1" spans="1:88"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c r="CE1"/>
      <c r="CJ1" s="1181"/>
    </row>
    <row r="2" spans="1:88" s="85" customFormat="1" ht="80.25" customHeight="1">
      <c r="A2" s="120" t="s">
        <v>775</v>
      </c>
      <c r="B2" s="120" t="s">
        <v>776</v>
      </c>
      <c r="C2" s="122" t="s">
        <v>2110</v>
      </c>
      <c r="D2" s="120" t="s">
        <v>1004</v>
      </c>
      <c r="E2" s="120" t="s">
        <v>1005</v>
      </c>
      <c r="F2" s="120" t="s">
        <v>777</v>
      </c>
      <c r="G2" s="120" t="s">
        <v>163</v>
      </c>
      <c r="H2" s="120" t="s">
        <v>158</v>
      </c>
      <c r="I2" s="120" t="s">
        <v>723</v>
      </c>
      <c r="J2" s="120" t="s">
        <v>724</v>
      </c>
      <c r="K2" s="120" t="s">
        <v>265</v>
      </c>
      <c r="L2" s="120" t="s">
        <v>726</v>
      </c>
      <c r="M2" s="120" t="s">
        <v>727</v>
      </c>
      <c r="N2" s="122" t="s">
        <v>757</v>
      </c>
      <c r="O2" s="122" t="s">
        <v>1258</v>
      </c>
      <c r="P2" s="120" t="s">
        <v>348</v>
      </c>
      <c r="Q2" s="120" t="s">
        <v>347</v>
      </c>
      <c r="R2" s="120" t="s">
        <v>264</v>
      </c>
      <c r="S2" s="122" t="s">
        <v>1884</v>
      </c>
      <c r="T2" s="122" t="s">
        <v>1120</v>
      </c>
      <c r="U2" s="122" t="s">
        <v>747</v>
      </c>
      <c r="V2" s="122" t="s">
        <v>768</v>
      </c>
      <c r="W2" s="122" t="s">
        <v>1938</v>
      </c>
      <c r="X2" s="122" t="s">
        <v>269</v>
      </c>
      <c r="Y2" s="122" t="s">
        <v>1182</v>
      </c>
      <c r="Z2" s="122" t="s">
        <v>2364</v>
      </c>
      <c r="AA2" s="122" t="s">
        <v>2246</v>
      </c>
      <c r="AB2" s="122" t="s">
        <v>759</v>
      </c>
      <c r="AC2" s="120" t="s">
        <v>2078</v>
      </c>
      <c r="AD2" s="120" t="s">
        <v>2106</v>
      </c>
      <c r="AE2" s="122" t="s">
        <v>917</v>
      </c>
      <c r="AF2" s="122" t="s">
        <v>1064</v>
      </c>
      <c r="AG2" s="122" t="s">
        <v>2055</v>
      </c>
      <c r="AH2" s="122" t="s">
        <v>1024</v>
      </c>
      <c r="AI2" s="122" t="s">
        <v>259</v>
      </c>
      <c r="AJ2" s="122" t="s">
        <v>2566</v>
      </c>
      <c r="AK2" s="122" t="s">
        <v>1940</v>
      </c>
      <c r="AL2" s="122" t="s">
        <v>1168</v>
      </c>
      <c r="AM2" s="120" t="s">
        <v>758</v>
      </c>
      <c r="AN2" s="122" t="s">
        <v>1395</v>
      </c>
      <c r="AO2" s="122" t="s">
        <v>1945</v>
      </c>
      <c r="AP2" s="122" t="s">
        <v>11</v>
      </c>
      <c r="AQ2" s="122" t="s">
        <v>1179</v>
      </c>
      <c r="AR2" s="122" t="s">
        <v>2108</v>
      </c>
      <c r="AS2" s="122" t="s">
        <v>1946</v>
      </c>
      <c r="AT2" s="122" t="s">
        <v>977</v>
      </c>
      <c r="AU2" s="122" t="s">
        <v>978</v>
      </c>
      <c r="AV2" s="122" t="s">
        <v>2080</v>
      </c>
      <c r="AW2" s="122" t="s">
        <v>2352</v>
      </c>
      <c r="AX2" s="120" t="s">
        <v>1002</v>
      </c>
      <c r="AY2" s="122" t="s">
        <v>161</v>
      </c>
      <c r="AZ2" s="122" t="s">
        <v>975</v>
      </c>
      <c r="BA2" s="122" t="s">
        <v>159</v>
      </c>
      <c r="BB2" s="122" t="s">
        <v>1428</v>
      </c>
      <c r="BC2" s="122" t="s">
        <v>2056</v>
      </c>
      <c r="BD2" s="122"/>
      <c r="BE2" s="122" t="s">
        <v>2109</v>
      </c>
      <c r="BF2" s="122" t="s">
        <v>1169</v>
      </c>
      <c r="BG2" s="122" t="s">
        <v>2118</v>
      </c>
      <c r="BH2" s="122" t="s">
        <v>2119</v>
      </c>
      <c r="BI2" s="122" t="s">
        <v>2073</v>
      </c>
      <c r="BJ2" s="122" t="s">
        <v>2129</v>
      </c>
      <c r="BK2" s="122" t="s">
        <v>2120</v>
      </c>
      <c r="BL2" s="122" t="s">
        <v>2074</v>
      </c>
      <c r="BM2" s="122" t="s">
        <v>2075</v>
      </c>
      <c r="BN2" s="122" t="s">
        <v>2121</v>
      </c>
      <c r="BO2" s="122" t="s">
        <v>2122</v>
      </c>
      <c r="BP2" s="122" t="s">
        <v>2148</v>
      </c>
      <c r="BQ2" s="122" t="s">
        <v>2213</v>
      </c>
      <c r="BR2" s="122" t="s">
        <v>2214</v>
      </c>
      <c r="BS2" s="122" t="s">
        <v>2215</v>
      </c>
      <c r="BT2" s="122" t="s">
        <v>1429</v>
      </c>
      <c r="BU2" s="122" t="s">
        <v>1376</v>
      </c>
      <c r="BV2" s="122" t="s">
        <v>2225</v>
      </c>
      <c r="BW2" s="122" t="s">
        <v>2227</v>
      </c>
      <c r="BX2" s="122" t="s">
        <v>2355</v>
      </c>
      <c r="BY2" s="122" t="s">
        <v>2356</v>
      </c>
      <c r="BZ2" s="122" t="s">
        <v>2353</v>
      </c>
      <c r="CA2" s="122" t="s">
        <v>2354</v>
      </c>
      <c r="CB2" s="122" t="s">
        <v>2357</v>
      </c>
      <c r="CC2" s="122" t="s">
        <v>2358</v>
      </c>
      <c r="CD2" s="122" t="s">
        <v>2359</v>
      </c>
      <c r="CE2" s="120" t="s">
        <v>2371</v>
      </c>
      <c r="CF2" s="122" t="s">
        <v>2114</v>
      </c>
      <c r="CG2" s="122" t="s">
        <v>2115</v>
      </c>
      <c r="CH2" s="122" t="s">
        <v>2116</v>
      </c>
      <c r="CI2" s="122" t="s">
        <v>2155</v>
      </c>
      <c r="CJ2" s="1160"/>
    </row>
    <row r="3" spans="1:88"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1040">
        <v>35</v>
      </c>
      <c r="AJ3" s="1040">
        <v>36</v>
      </c>
      <c r="AK3" s="956">
        <v>37</v>
      </c>
      <c r="AL3" s="956">
        <v>38</v>
      </c>
      <c r="AM3" s="956">
        <v>39</v>
      </c>
      <c r="AN3" s="956">
        <v>40</v>
      </c>
      <c r="AO3" s="956">
        <v>41</v>
      </c>
      <c r="AP3" s="956">
        <v>42</v>
      </c>
      <c r="AQ3" s="956">
        <v>43</v>
      </c>
      <c r="AR3" s="803">
        <v>44</v>
      </c>
      <c r="AS3" s="803">
        <v>45</v>
      </c>
      <c r="AT3" s="803">
        <v>46</v>
      </c>
      <c r="AU3" s="803">
        <v>47</v>
      </c>
      <c r="AV3" s="803">
        <v>48</v>
      </c>
      <c r="AW3" s="1073">
        <v>49</v>
      </c>
      <c r="AX3" s="803">
        <v>50</v>
      </c>
      <c r="AY3" s="803">
        <v>51</v>
      </c>
      <c r="AZ3" s="803">
        <v>52</v>
      </c>
      <c r="BA3" s="803">
        <v>53</v>
      </c>
      <c r="BB3" s="803">
        <v>54</v>
      </c>
      <c r="BC3" s="803">
        <v>55</v>
      </c>
      <c r="BD3" s="803">
        <v>56</v>
      </c>
      <c r="BE3" s="803">
        <v>57</v>
      </c>
      <c r="BF3" s="803">
        <v>58</v>
      </c>
      <c r="BG3" s="986">
        <v>59</v>
      </c>
      <c r="BH3" s="986">
        <v>60</v>
      </c>
      <c r="BI3" s="803">
        <v>61</v>
      </c>
      <c r="BJ3" s="1052">
        <v>62</v>
      </c>
      <c r="BK3" s="1052">
        <v>63</v>
      </c>
      <c r="BL3" s="803">
        <v>64</v>
      </c>
      <c r="BM3" s="803">
        <v>65</v>
      </c>
      <c r="BN3" s="1052">
        <v>66</v>
      </c>
      <c r="BO3" s="1052">
        <v>67</v>
      </c>
      <c r="BP3" s="1073">
        <v>68</v>
      </c>
      <c r="BQ3" s="1073">
        <v>69</v>
      </c>
      <c r="BR3" s="1073">
        <v>70</v>
      </c>
      <c r="BS3" s="1073">
        <v>71</v>
      </c>
      <c r="BT3" s="803">
        <v>72</v>
      </c>
      <c r="BU3" s="803">
        <v>73</v>
      </c>
      <c r="BV3" s="1073">
        <v>74</v>
      </c>
      <c r="BW3" s="1073">
        <v>75</v>
      </c>
      <c r="BX3" s="1073">
        <v>76</v>
      </c>
      <c r="BY3" s="1131">
        <v>77</v>
      </c>
      <c r="BZ3" s="1073">
        <v>78</v>
      </c>
      <c r="CA3" s="1131">
        <v>79</v>
      </c>
      <c r="CB3" s="1131">
        <v>80</v>
      </c>
      <c r="CC3" s="1131">
        <v>81</v>
      </c>
      <c r="CD3" s="1131">
        <v>82</v>
      </c>
      <c r="CE3" s="1140">
        <v>83</v>
      </c>
      <c r="CF3" s="803">
        <v>84</v>
      </c>
      <c r="CG3" s="803">
        <v>85</v>
      </c>
      <c r="CH3" s="803">
        <v>86</v>
      </c>
      <c r="CI3" s="803">
        <v>87</v>
      </c>
      <c r="CJ3" s="803">
        <v>88</v>
      </c>
    </row>
    <row r="4" spans="1:88" s="85" customFormat="1" ht="13">
      <c r="A4" s="1">
        <v>301</v>
      </c>
      <c r="B4" s="2" t="s">
        <v>823</v>
      </c>
      <c r="C4" s="289">
        <v>697010</v>
      </c>
      <c r="D4" s="290">
        <v>17623</v>
      </c>
      <c r="E4" s="290">
        <v>31757</v>
      </c>
      <c r="F4" s="290">
        <v>71327</v>
      </c>
      <c r="G4" s="290">
        <v>49581</v>
      </c>
      <c r="H4" s="290">
        <v>446526</v>
      </c>
      <c r="I4" s="290">
        <v>55654</v>
      </c>
      <c r="J4" s="290">
        <v>16711</v>
      </c>
      <c r="K4" s="290">
        <v>4921</v>
      </c>
      <c r="L4" s="290">
        <v>5121</v>
      </c>
      <c r="M4" s="290">
        <v>40011</v>
      </c>
      <c r="N4" s="290">
        <v>36927</v>
      </c>
      <c r="O4" s="290">
        <v>6580</v>
      </c>
      <c r="P4" s="624">
        <v>1287513.7083333</v>
      </c>
      <c r="Q4" s="624">
        <v>545988.31799999997</v>
      </c>
      <c r="R4" s="1039">
        <v>1645</v>
      </c>
      <c r="S4" s="290">
        <v>0</v>
      </c>
      <c r="T4" s="290">
        <v>90108</v>
      </c>
      <c r="U4" s="958">
        <v>7.7651554412506865E-4</v>
      </c>
      <c r="V4" s="290">
        <v>-64366.56715979</v>
      </c>
      <c r="W4" s="765">
        <v>0.51937818999999996</v>
      </c>
      <c r="X4" s="290">
        <v>0</v>
      </c>
      <c r="Y4" s="290"/>
      <c r="Z4" s="290">
        <v>34894706.472000003</v>
      </c>
      <c r="AA4" s="290">
        <v>0</v>
      </c>
      <c r="AB4" s="290">
        <v>8947</v>
      </c>
      <c r="AC4" s="290">
        <v>201251</v>
      </c>
      <c r="AD4" s="290">
        <v>10994</v>
      </c>
      <c r="AE4" s="290">
        <v>0</v>
      </c>
      <c r="AF4" s="290">
        <v>0</v>
      </c>
      <c r="AG4" s="290">
        <v>694100</v>
      </c>
      <c r="AH4" s="290">
        <v>109160</v>
      </c>
      <c r="AI4" s="290">
        <v>350</v>
      </c>
      <c r="AJ4" s="290">
        <v>0</v>
      </c>
      <c r="AK4" s="290">
        <v>0</v>
      </c>
      <c r="AL4" s="290">
        <v>0</v>
      </c>
      <c r="AM4" s="957">
        <v>44.73067563</v>
      </c>
      <c r="AN4" s="290">
        <v>0</v>
      </c>
      <c r="AO4" s="290">
        <v>-162883.48065839999</v>
      </c>
      <c r="AP4" s="290">
        <v>272543</v>
      </c>
      <c r="AQ4" s="290">
        <v>0</v>
      </c>
      <c r="AR4" s="290">
        <v>-26213.721551440001</v>
      </c>
      <c r="AS4" s="290">
        <v>147803.3855</v>
      </c>
      <c r="AT4" s="290">
        <v>36612</v>
      </c>
      <c r="AU4" s="290">
        <v>9221</v>
      </c>
      <c r="AV4" s="766">
        <v>15625820</v>
      </c>
      <c r="AW4" s="290">
        <v>488000</v>
      </c>
      <c r="AX4" s="766">
        <v>6132.7916500000001</v>
      </c>
      <c r="AY4" s="290">
        <v>282388</v>
      </c>
      <c r="AZ4" s="290">
        <v>63722</v>
      </c>
      <c r="BA4" s="290">
        <v>13845</v>
      </c>
      <c r="BB4" s="290">
        <v>0</v>
      </c>
      <c r="BC4" s="290">
        <v>1066574.2295291</v>
      </c>
      <c r="BD4" s="290"/>
      <c r="BE4" s="290">
        <v>14473010.018898999</v>
      </c>
      <c r="BF4" s="290">
        <v>-30580</v>
      </c>
      <c r="BG4" s="290">
        <v>568193</v>
      </c>
      <c r="BH4" s="290">
        <v>7500</v>
      </c>
      <c r="BI4" s="290">
        <v>290825</v>
      </c>
      <c r="BJ4" s="290">
        <v>9374</v>
      </c>
      <c r="BK4" s="290">
        <v>30859</v>
      </c>
      <c r="BL4" s="290">
        <v>0</v>
      </c>
      <c r="BM4" s="290">
        <v>0</v>
      </c>
      <c r="BN4" s="290">
        <v>19311</v>
      </c>
      <c r="BO4" s="290">
        <v>-9089</v>
      </c>
      <c r="BP4" s="290">
        <v>64638</v>
      </c>
      <c r="BQ4" s="290">
        <v>129287</v>
      </c>
      <c r="BR4" s="290">
        <v>97858</v>
      </c>
      <c r="BS4" s="290">
        <v>8232</v>
      </c>
      <c r="BT4" s="290">
        <v>0</v>
      </c>
      <c r="BU4" s="290">
        <v>0</v>
      </c>
      <c r="BV4" s="290">
        <v>17768</v>
      </c>
      <c r="BW4" s="290">
        <v>0</v>
      </c>
      <c r="BX4" s="290">
        <v>19030.2</v>
      </c>
      <c r="BY4" s="290">
        <v>53898</v>
      </c>
      <c r="BZ4" s="290">
        <v>402800</v>
      </c>
      <c r="CA4" s="290">
        <v>143867.88999999984</v>
      </c>
      <c r="CB4" s="290">
        <v>6001</v>
      </c>
      <c r="CC4" s="290">
        <v>49</v>
      </c>
      <c r="CD4" s="290">
        <v>22538</v>
      </c>
      <c r="CE4" s="290">
        <v>34894706.472000003</v>
      </c>
      <c r="CF4" s="290">
        <v>0</v>
      </c>
      <c r="CG4" s="290">
        <v>0</v>
      </c>
      <c r="CH4" s="290">
        <v>0</v>
      </c>
      <c r="CI4" s="290">
        <v>0</v>
      </c>
      <c r="CJ4" s="290"/>
    </row>
    <row r="5" spans="1:88" s="85" customFormat="1" ht="13">
      <c r="A5" s="1">
        <v>1101</v>
      </c>
      <c r="B5" s="2" t="s">
        <v>958</v>
      </c>
      <c r="C5" s="289">
        <v>14787</v>
      </c>
      <c r="D5" s="290">
        <v>311</v>
      </c>
      <c r="E5" s="290">
        <v>660</v>
      </c>
      <c r="F5" s="290">
        <v>1909</v>
      </c>
      <c r="G5" s="290">
        <v>1349</v>
      </c>
      <c r="H5" s="290">
        <v>8182</v>
      </c>
      <c r="I5" s="290">
        <v>1761</v>
      </c>
      <c r="J5" s="290">
        <v>534</v>
      </c>
      <c r="K5" s="290">
        <v>123</v>
      </c>
      <c r="L5" s="290">
        <v>112</v>
      </c>
      <c r="M5" s="290">
        <v>986</v>
      </c>
      <c r="N5" s="290">
        <v>314</v>
      </c>
      <c r="O5" s="290">
        <v>138</v>
      </c>
      <c r="P5" s="624">
        <v>57924.292333329999</v>
      </c>
      <c r="Q5" s="624">
        <v>26808.935333329999</v>
      </c>
      <c r="R5" s="1039">
        <v>75</v>
      </c>
      <c r="S5" s="290">
        <v>0</v>
      </c>
      <c r="T5" s="290">
        <v>1099</v>
      </c>
      <c r="U5" s="958">
        <v>3.8303765091293397E-3</v>
      </c>
      <c r="V5" s="290">
        <v>-4444.8248375800003</v>
      </c>
      <c r="W5" s="765">
        <v>0.57558659999999995</v>
      </c>
      <c r="X5" s="290">
        <v>2700</v>
      </c>
      <c r="Y5" s="290"/>
      <c r="Z5" s="290">
        <v>536136.80000000005</v>
      </c>
      <c r="AA5" s="290">
        <v>0</v>
      </c>
      <c r="AB5" s="290">
        <v>438</v>
      </c>
      <c r="AC5" s="290">
        <v>1297</v>
      </c>
      <c r="AD5" s="290">
        <v>278</v>
      </c>
      <c r="AE5" s="290">
        <v>0</v>
      </c>
      <c r="AF5" s="290">
        <v>0</v>
      </c>
      <c r="AG5" s="290">
        <v>14829</v>
      </c>
      <c r="AH5" s="290">
        <v>2717</v>
      </c>
      <c r="AI5" s="290">
        <v>1100</v>
      </c>
      <c r="AJ5" s="290">
        <v>0</v>
      </c>
      <c r="AK5" s="290">
        <v>0</v>
      </c>
      <c r="AL5" s="290">
        <v>0</v>
      </c>
      <c r="AM5" s="957">
        <v>0.22634581000000001</v>
      </c>
      <c r="AN5" s="290">
        <v>0</v>
      </c>
      <c r="AO5" s="290">
        <v>-3853.7176580300002</v>
      </c>
      <c r="AP5" s="290">
        <v>0</v>
      </c>
      <c r="AQ5" s="290">
        <v>0</v>
      </c>
      <c r="AR5" s="290">
        <v>-560.03929820999997</v>
      </c>
      <c r="AS5" s="290">
        <v>1550.8505</v>
      </c>
      <c r="AT5" s="290">
        <v>767</v>
      </c>
      <c r="AU5" s="290">
        <v>119</v>
      </c>
      <c r="AV5" s="766">
        <v>404099</v>
      </c>
      <c r="AW5" s="290">
        <v>1100</v>
      </c>
      <c r="AX5" s="766">
        <v>99.791650000000004</v>
      </c>
      <c r="AY5" s="290">
        <v>2766</v>
      </c>
      <c r="AZ5" s="290">
        <v>544</v>
      </c>
      <c r="BA5" s="290">
        <v>248</v>
      </c>
      <c r="BB5" s="290">
        <v>0</v>
      </c>
      <c r="BC5" s="290">
        <v>21607.54658323</v>
      </c>
      <c r="BD5" s="290"/>
      <c r="BE5" s="290">
        <v>383431.91021109</v>
      </c>
      <c r="BF5" s="290">
        <v>0</v>
      </c>
      <c r="BG5" s="290">
        <v>12139</v>
      </c>
      <c r="BH5" s="290">
        <v>1000</v>
      </c>
      <c r="BI5" s="290">
        <v>4292</v>
      </c>
      <c r="BJ5" s="290">
        <v>176</v>
      </c>
      <c r="BK5" s="290">
        <v>573</v>
      </c>
      <c r="BL5" s="290">
        <v>0</v>
      </c>
      <c r="BM5" s="290">
        <v>0</v>
      </c>
      <c r="BN5" s="290">
        <v>358</v>
      </c>
      <c r="BO5" s="290">
        <v>-117</v>
      </c>
      <c r="BP5" s="290">
        <v>1371</v>
      </c>
      <c r="BQ5" s="290">
        <v>2743</v>
      </c>
      <c r="BR5" s="290">
        <v>2076</v>
      </c>
      <c r="BS5" s="290">
        <v>209</v>
      </c>
      <c r="BT5" s="290">
        <v>0</v>
      </c>
      <c r="BU5" s="290">
        <v>0</v>
      </c>
      <c r="BV5" s="290">
        <v>330</v>
      </c>
      <c r="BW5" s="290">
        <v>0</v>
      </c>
      <c r="BX5" s="290">
        <v>0</v>
      </c>
      <c r="BY5" s="290">
        <v>1497</v>
      </c>
      <c r="BZ5" s="290">
        <v>1700</v>
      </c>
      <c r="CA5" s="290">
        <v>5333.1</v>
      </c>
      <c r="CB5" s="290">
        <v>135</v>
      </c>
      <c r="CC5" s="290">
        <v>1</v>
      </c>
      <c r="CD5" s="290">
        <v>290</v>
      </c>
      <c r="CE5" s="290">
        <v>536136.80000000005</v>
      </c>
      <c r="CF5" s="290">
        <v>0</v>
      </c>
      <c r="CG5" s="290">
        <v>0</v>
      </c>
      <c r="CH5" s="290">
        <v>0</v>
      </c>
      <c r="CI5" s="290">
        <v>0</v>
      </c>
      <c r="CJ5" s="290"/>
    </row>
    <row r="6" spans="1:88" s="85" customFormat="1" ht="13">
      <c r="A6" s="1">
        <v>1103</v>
      </c>
      <c r="B6" s="2" t="s">
        <v>960</v>
      </c>
      <c r="C6" s="289">
        <v>144147</v>
      </c>
      <c r="D6" s="290">
        <v>3155</v>
      </c>
      <c r="E6" s="290">
        <v>6935</v>
      </c>
      <c r="F6" s="290">
        <v>17849</v>
      </c>
      <c r="G6" s="290">
        <v>12472</v>
      </c>
      <c r="H6" s="290">
        <v>85036</v>
      </c>
      <c r="I6" s="290">
        <v>13300</v>
      </c>
      <c r="J6" s="290">
        <v>3886</v>
      </c>
      <c r="K6" s="290">
        <v>1069</v>
      </c>
      <c r="L6" s="290">
        <v>1088</v>
      </c>
      <c r="M6" s="290">
        <v>7481</v>
      </c>
      <c r="N6" s="290">
        <v>4379</v>
      </c>
      <c r="O6" s="290">
        <v>1740</v>
      </c>
      <c r="P6" s="624">
        <v>266891.12599999999</v>
      </c>
      <c r="Q6" s="624">
        <v>189850.41133333</v>
      </c>
      <c r="R6" s="1039">
        <v>364</v>
      </c>
      <c r="S6" s="290">
        <v>0</v>
      </c>
      <c r="T6" s="290">
        <v>13870</v>
      </c>
      <c r="U6" s="958">
        <v>8.1754579077859355E-3</v>
      </c>
      <c r="V6" s="290">
        <v>-18287.788992270001</v>
      </c>
      <c r="W6" s="765">
        <v>0.53926222999999995</v>
      </c>
      <c r="X6" s="290">
        <v>2500</v>
      </c>
      <c r="Y6" s="290"/>
      <c r="Z6" s="290">
        <v>6300497.6940000001</v>
      </c>
      <c r="AA6" s="290">
        <v>0</v>
      </c>
      <c r="AB6" s="290">
        <v>2594</v>
      </c>
      <c r="AC6" s="290">
        <v>24994</v>
      </c>
      <c r="AD6" s="290">
        <v>2412</v>
      </c>
      <c r="AE6" s="290">
        <v>0</v>
      </c>
      <c r="AF6" s="290">
        <v>36487</v>
      </c>
      <c r="AG6" s="290">
        <v>143702</v>
      </c>
      <c r="AH6" s="290">
        <v>25978</v>
      </c>
      <c r="AI6" s="290">
        <v>3900</v>
      </c>
      <c r="AJ6" s="290">
        <v>0</v>
      </c>
      <c r="AK6" s="290">
        <v>0</v>
      </c>
      <c r="AL6" s="290">
        <v>0</v>
      </c>
      <c r="AM6" s="957">
        <v>5.2347221900000003</v>
      </c>
      <c r="AN6" s="290">
        <v>0</v>
      </c>
      <c r="AO6" s="290">
        <v>-34981.595712119997</v>
      </c>
      <c r="AP6" s="290">
        <v>56425</v>
      </c>
      <c r="AQ6" s="290">
        <v>0</v>
      </c>
      <c r="AR6" s="290">
        <v>-5427.1203203900004</v>
      </c>
      <c r="AS6" s="290">
        <v>21737.486499999999</v>
      </c>
      <c r="AT6" s="290">
        <v>7450</v>
      </c>
      <c r="AU6" s="290">
        <v>1755</v>
      </c>
      <c r="AV6" s="766">
        <v>3553983</v>
      </c>
      <c r="AW6" s="290">
        <v>18000</v>
      </c>
      <c r="AX6" s="766">
        <v>1089.75</v>
      </c>
      <c r="AY6" s="290">
        <v>47238</v>
      </c>
      <c r="AZ6" s="290">
        <v>8253</v>
      </c>
      <c r="BA6" s="290">
        <v>2820</v>
      </c>
      <c r="BB6" s="290">
        <v>0</v>
      </c>
      <c r="BC6" s="290">
        <v>252657.70683708999</v>
      </c>
      <c r="BD6" s="290"/>
      <c r="BE6" s="290">
        <v>3300966.0800971999</v>
      </c>
      <c r="BF6" s="290">
        <v>0</v>
      </c>
      <c r="BG6" s="290">
        <v>117635</v>
      </c>
      <c r="BH6" s="290">
        <v>2000</v>
      </c>
      <c r="BI6" s="290">
        <v>89871</v>
      </c>
      <c r="BJ6" s="290">
        <v>1869</v>
      </c>
      <c r="BK6" s="290">
        <v>6352</v>
      </c>
      <c r="BL6" s="290">
        <v>0</v>
      </c>
      <c r="BM6" s="290">
        <v>0</v>
      </c>
      <c r="BN6" s="290">
        <v>3974</v>
      </c>
      <c r="BO6" s="290">
        <v>-1391</v>
      </c>
      <c r="BP6" s="290">
        <v>13368</v>
      </c>
      <c r="BQ6" s="290">
        <v>26737</v>
      </c>
      <c r="BR6" s="290">
        <v>20240</v>
      </c>
      <c r="BS6" s="290">
        <v>1809</v>
      </c>
      <c r="BT6" s="290">
        <v>0</v>
      </c>
      <c r="BU6" s="290">
        <v>0</v>
      </c>
      <c r="BV6" s="290">
        <v>3656</v>
      </c>
      <c r="BW6" s="290">
        <v>0</v>
      </c>
      <c r="BX6" s="290">
        <v>0</v>
      </c>
      <c r="BY6" s="290">
        <v>12619</v>
      </c>
      <c r="BZ6" s="290">
        <v>29500</v>
      </c>
      <c r="CA6" s="290">
        <v>25386.399999999998</v>
      </c>
      <c r="CB6" s="290">
        <v>1247</v>
      </c>
      <c r="CC6" s="290">
        <v>12</v>
      </c>
      <c r="CD6" s="290">
        <v>3444</v>
      </c>
      <c r="CE6" s="290">
        <v>6300497.6940000001</v>
      </c>
      <c r="CF6" s="290">
        <v>0</v>
      </c>
      <c r="CG6" s="290">
        <v>0</v>
      </c>
      <c r="CH6" s="290">
        <v>0</v>
      </c>
      <c r="CI6" s="290">
        <v>0</v>
      </c>
      <c r="CJ6" s="290"/>
    </row>
    <row r="7" spans="1:88" s="85" customFormat="1" ht="13">
      <c r="A7" s="1">
        <v>1106</v>
      </c>
      <c r="B7" s="2" t="s">
        <v>961</v>
      </c>
      <c r="C7" s="289">
        <v>37323</v>
      </c>
      <c r="D7" s="290">
        <v>694</v>
      </c>
      <c r="E7" s="290">
        <v>1595</v>
      </c>
      <c r="F7" s="290">
        <v>4418</v>
      </c>
      <c r="G7" s="290">
        <v>3272</v>
      </c>
      <c r="H7" s="290">
        <v>21693</v>
      </c>
      <c r="I7" s="290">
        <v>4093</v>
      </c>
      <c r="J7" s="290">
        <v>1210</v>
      </c>
      <c r="K7" s="290">
        <v>330</v>
      </c>
      <c r="L7" s="290">
        <v>310</v>
      </c>
      <c r="M7" s="290">
        <v>2519</v>
      </c>
      <c r="N7" s="290">
        <v>1163</v>
      </c>
      <c r="O7" s="290">
        <v>393</v>
      </c>
      <c r="P7" s="624">
        <v>65399.165000000001</v>
      </c>
      <c r="Q7" s="624">
        <v>34746.603000000003</v>
      </c>
      <c r="R7" s="1039">
        <v>152</v>
      </c>
      <c r="S7" s="290">
        <v>0</v>
      </c>
      <c r="T7" s="290">
        <v>4065</v>
      </c>
      <c r="U7" s="958">
        <v>7.1579627972242414E-4</v>
      </c>
      <c r="V7" s="290">
        <v>-52.681350790000003</v>
      </c>
      <c r="W7" s="765">
        <v>0.53247208000000001</v>
      </c>
      <c r="X7" s="290">
        <v>4600</v>
      </c>
      <c r="Y7" s="290"/>
      <c r="Z7" s="290">
        <v>1275892.7209999999</v>
      </c>
      <c r="AA7" s="290">
        <v>0</v>
      </c>
      <c r="AB7" s="290">
        <v>999</v>
      </c>
      <c r="AC7" s="290">
        <v>7751</v>
      </c>
      <c r="AD7" s="290">
        <v>645</v>
      </c>
      <c r="AE7" s="290">
        <v>0</v>
      </c>
      <c r="AF7" s="290">
        <v>0</v>
      </c>
      <c r="AG7" s="290">
        <v>37305</v>
      </c>
      <c r="AH7" s="290">
        <v>6403</v>
      </c>
      <c r="AI7" s="290">
        <v>290</v>
      </c>
      <c r="AJ7" s="290">
        <v>0</v>
      </c>
      <c r="AK7" s="290">
        <v>0</v>
      </c>
      <c r="AL7" s="290">
        <v>0</v>
      </c>
      <c r="AM7" s="957">
        <v>1.2784781300000001</v>
      </c>
      <c r="AN7" s="290">
        <v>0</v>
      </c>
      <c r="AO7" s="290">
        <v>-9382.1142523399994</v>
      </c>
      <c r="AP7" s="290">
        <v>0</v>
      </c>
      <c r="AQ7" s="290">
        <v>0</v>
      </c>
      <c r="AR7" s="290">
        <v>-1408.87895473</v>
      </c>
      <c r="AS7" s="290">
        <v>6419.5285000000003</v>
      </c>
      <c r="AT7" s="290">
        <v>2267</v>
      </c>
      <c r="AU7" s="290">
        <v>390</v>
      </c>
      <c r="AV7" s="766">
        <v>972924</v>
      </c>
      <c r="AW7" s="290">
        <v>6500</v>
      </c>
      <c r="AX7" s="766">
        <v>251.70830000000001</v>
      </c>
      <c r="AY7" s="290">
        <v>9797</v>
      </c>
      <c r="AZ7" s="290">
        <v>2018</v>
      </c>
      <c r="BA7" s="290">
        <v>905</v>
      </c>
      <c r="BB7" s="290">
        <v>0</v>
      </c>
      <c r="BC7" s="290">
        <v>57350.523265180003</v>
      </c>
      <c r="BD7" s="290"/>
      <c r="BE7" s="290">
        <v>908674.60310485004</v>
      </c>
      <c r="BF7" s="290">
        <v>0</v>
      </c>
      <c r="BG7" s="290">
        <v>30538</v>
      </c>
      <c r="BH7" s="290">
        <v>1500</v>
      </c>
      <c r="BI7" s="290">
        <v>14799</v>
      </c>
      <c r="BJ7" s="290">
        <v>443</v>
      </c>
      <c r="BK7" s="290">
        <v>1443</v>
      </c>
      <c r="BL7" s="290">
        <v>0</v>
      </c>
      <c r="BM7" s="290">
        <v>0</v>
      </c>
      <c r="BN7" s="290">
        <v>903</v>
      </c>
      <c r="BO7" s="290">
        <v>-389</v>
      </c>
      <c r="BP7" s="290">
        <v>3461</v>
      </c>
      <c r="BQ7" s="290">
        <v>6923</v>
      </c>
      <c r="BR7" s="290">
        <v>5241</v>
      </c>
      <c r="BS7" s="290">
        <v>484</v>
      </c>
      <c r="BT7" s="290">
        <v>0</v>
      </c>
      <c r="BU7" s="290">
        <v>0</v>
      </c>
      <c r="BV7" s="290">
        <v>831</v>
      </c>
      <c r="BW7" s="290">
        <v>0</v>
      </c>
      <c r="BX7" s="290">
        <v>0</v>
      </c>
      <c r="BY7" s="290">
        <v>3618</v>
      </c>
      <c r="BZ7" s="290">
        <v>8900</v>
      </c>
      <c r="CA7" s="290">
        <v>1792.048</v>
      </c>
      <c r="CB7" s="290">
        <v>328</v>
      </c>
      <c r="CC7" s="290">
        <v>2</v>
      </c>
      <c r="CD7" s="290">
        <v>963</v>
      </c>
      <c r="CE7" s="290">
        <v>1275892.7209999999</v>
      </c>
      <c r="CF7" s="290">
        <v>0</v>
      </c>
      <c r="CG7" s="290">
        <v>0</v>
      </c>
      <c r="CH7" s="290">
        <v>0</v>
      </c>
      <c r="CI7" s="290">
        <v>0</v>
      </c>
      <c r="CJ7" s="290"/>
    </row>
    <row r="8" spans="1:88" s="85" customFormat="1" ht="13">
      <c r="A8" s="1">
        <v>1108</v>
      </c>
      <c r="B8" s="2" t="s">
        <v>1610</v>
      </c>
      <c r="C8" s="289">
        <v>80450</v>
      </c>
      <c r="D8" s="290">
        <v>2107</v>
      </c>
      <c r="E8" s="290">
        <v>4395</v>
      </c>
      <c r="F8" s="290">
        <v>11136</v>
      </c>
      <c r="G8" s="290">
        <v>7014</v>
      </c>
      <c r="H8" s="290">
        <v>46343</v>
      </c>
      <c r="I8" s="290">
        <v>6662</v>
      </c>
      <c r="J8" s="290">
        <v>1938</v>
      </c>
      <c r="K8" s="290">
        <v>442</v>
      </c>
      <c r="L8" s="290">
        <v>580</v>
      </c>
      <c r="M8" s="290">
        <v>3489</v>
      </c>
      <c r="N8" s="290">
        <v>2654</v>
      </c>
      <c r="O8" s="290">
        <v>1026</v>
      </c>
      <c r="P8" s="624">
        <v>186156.47266666999</v>
      </c>
      <c r="Q8" s="624">
        <v>116691.107</v>
      </c>
      <c r="R8" s="1039">
        <v>230</v>
      </c>
      <c r="S8" s="290">
        <v>0</v>
      </c>
      <c r="T8" s="290">
        <v>6192</v>
      </c>
      <c r="U8" s="958">
        <v>7.3447259497436586E-3</v>
      </c>
      <c r="V8" s="290">
        <v>-23362.144308039999</v>
      </c>
      <c r="W8" s="765">
        <v>0.53924276999999998</v>
      </c>
      <c r="X8" s="290">
        <v>600</v>
      </c>
      <c r="Y8" s="290"/>
      <c r="Z8" s="290">
        <v>2853855.0589999999</v>
      </c>
      <c r="AA8" s="290">
        <v>0</v>
      </c>
      <c r="AB8" s="290">
        <v>1541</v>
      </c>
      <c r="AC8" s="290">
        <v>4600</v>
      </c>
      <c r="AD8" s="290">
        <v>1349</v>
      </c>
      <c r="AE8" s="290">
        <v>0</v>
      </c>
      <c r="AF8" s="290">
        <v>15110</v>
      </c>
      <c r="AG8" s="290">
        <v>80037</v>
      </c>
      <c r="AH8" s="290">
        <v>16249</v>
      </c>
      <c r="AI8" s="290">
        <v>300</v>
      </c>
      <c r="AJ8" s="290">
        <v>0</v>
      </c>
      <c r="AK8" s="290">
        <v>0</v>
      </c>
      <c r="AL8" s="290">
        <v>0</v>
      </c>
      <c r="AM8" s="957">
        <v>3.02783552</v>
      </c>
      <c r="AN8" s="290">
        <v>0</v>
      </c>
      <c r="AO8" s="290">
        <v>-20073.240585880001</v>
      </c>
      <c r="AP8" s="290">
        <v>0</v>
      </c>
      <c r="AQ8" s="290">
        <v>0</v>
      </c>
      <c r="AR8" s="290">
        <v>-3022.7166572699998</v>
      </c>
      <c r="AS8" s="290">
        <v>6717.07</v>
      </c>
      <c r="AT8" s="290">
        <v>4351</v>
      </c>
      <c r="AU8" s="290">
        <v>1040</v>
      </c>
      <c r="AV8" s="766">
        <v>2015491</v>
      </c>
      <c r="AW8" s="290">
        <v>5000</v>
      </c>
      <c r="AX8" s="766">
        <v>725.58335</v>
      </c>
      <c r="AY8" s="290">
        <v>20155</v>
      </c>
      <c r="AZ8" s="290">
        <v>4233</v>
      </c>
      <c r="BA8" s="290">
        <v>1637</v>
      </c>
      <c r="BB8" s="290">
        <v>0</v>
      </c>
      <c r="BC8" s="290">
        <v>126429.54547476</v>
      </c>
      <c r="BD8" s="290"/>
      <c r="BE8" s="290">
        <v>1919185.6605444001</v>
      </c>
      <c r="BF8" s="290">
        <v>0</v>
      </c>
      <c r="BG8" s="290">
        <v>65519</v>
      </c>
      <c r="BH8" s="290">
        <v>1500</v>
      </c>
      <c r="BI8" s="290">
        <v>37308</v>
      </c>
      <c r="BJ8" s="290">
        <v>942</v>
      </c>
      <c r="BK8" s="290">
        <v>3880</v>
      </c>
      <c r="BL8" s="290">
        <v>0</v>
      </c>
      <c r="BM8" s="290">
        <v>8912</v>
      </c>
      <c r="BN8" s="290">
        <v>2427</v>
      </c>
      <c r="BO8" s="290">
        <v>-739</v>
      </c>
      <c r="BP8" s="290">
        <v>7461</v>
      </c>
      <c r="BQ8" s="290">
        <v>14922</v>
      </c>
      <c r="BR8" s="290">
        <v>11296</v>
      </c>
      <c r="BS8" s="290">
        <v>1011</v>
      </c>
      <c r="BT8" s="290">
        <v>0</v>
      </c>
      <c r="BU8" s="290">
        <v>0</v>
      </c>
      <c r="BV8" s="290">
        <v>2233</v>
      </c>
      <c r="BW8" s="290">
        <v>0</v>
      </c>
      <c r="BX8" s="290">
        <v>0</v>
      </c>
      <c r="BY8" s="290">
        <v>6714</v>
      </c>
      <c r="BZ8" s="290">
        <v>11500</v>
      </c>
      <c r="CA8" s="290">
        <v>3834.127</v>
      </c>
      <c r="CB8" s="290">
        <v>700</v>
      </c>
      <c r="CC8" s="290">
        <v>8</v>
      </c>
      <c r="CD8" s="290">
        <v>1829</v>
      </c>
      <c r="CE8" s="290">
        <v>2853855.0589999999</v>
      </c>
      <c r="CF8" s="290">
        <v>0</v>
      </c>
      <c r="CG8" s="290">
        <v>0</v>
      </c>
      <c r="CH8" s="290">
        <v>0</v>
      </c>
      <c r="CI8" s="290">
        <v>0</v>
      </c>
      <c r="CJ8" s="290"/>
    </row>
    <row r="9" spans="1:88" s="85" customFormat="1" ht="13">
      <c r="A9" s="1">
        <v>1111</v>
      </c>
      <c r="B9" s="2" t="s">
        <v>962</v>
      </c>
      <c r="C9" s="289">
        <v>3257</v>
      </c>
      <c r="D9" s="290">
        <v>67</v>
      </c>
      <c r="E9" s="290">
        <v>144</v>
      </c>
      <c r="F9" s="290">
        <v>466</v>
      </c>
      <c r="G9" s="290">
        <v>257</v>
      </c>
      <c r="H9" s="290">
        <v>1754</v>
      </c>
      <c r="I9" s="290">
        <v>411</v>
      </c>
      <c r="J9" s="290">
        <v>149</v>
      </c>
      <c r="K9" s="290">
        <v>44</v>
      </c>
      <c r="L9" s="290">
        <v>25</v>
      </c>
      <c r="M9" s="290">
        <v>263</v>
      </c>
      <c r="N9" s="290">
        <v>9</v>
      </c>
      <c r="O9" s="290">
        <v>25</v>
      </c>
      <c r="P9" s="624">
        <v>10684.395</v>
      </c>
      <c r="Q9" s="624">
        <v>7082.08933333</v>
      </c>
      <c r="R9" s="1039">
        <v>21</v>
      </c>
      <c r="S9" s="290">
        <v>0</v>
      </c>
      <c r="T9" s="290">
        <v>253</v>
      </c>
      <c r="U9" s="958">
        <v>1.9293294833902916E-3</v>
      </c>
      <c r="V9" s="290">
        <v>1965.40926745</v>
      </c>
      <c r="W9" s="765">
        <v>0.76680026000000001</v>
      </c>
      <c r="X9" s="290">
        <v>2000</v>
      </c>
      <c r="Y9" s="290"/>
      <c r="Z9" s="290">
        <v>97746.770999999993</v>
      </c>
      <c r="AA9" s="290">
        <v>0</v>
      </c>
      <c r="AB9" s="290">
        <v>96</v>
      </c>
      <c r="AC9" s="290">
        <v>201</v>
      </c>
      <c r="AD9" s="290">
        <v>74</v>
      </c>
      <c r="AE9" s="290">
        <v>0</v>
      </c>
      <c r="AF9" s="290">
        <v>0</v>
      </c>
      <c r="AG9" s="290">
        <v>3292</v>
      </c>
      <c r="AH9" s="290">
        <v>619</v>
      </c>
      <c r="AI9" s="290">
        <v>145</v>
      </c>
      <c r="AJ9" s="290">
        <v>0</v>
      </c>
      <c r="AK9" s="290">
        <v>19</v>
      </c>
      <c r="AL9" s="290">
        <v>0</v>
      </c>
      <c r="AM9" s="957">
        <v>9.5371800000000007E-2</v>
      </c>
      <c r="AN9" s="290">
        <v>2073</v>
      </c>
      <c r="AO9" s="290">
        <v>-983.75894033999998</v>
      </c>
      <c r="AP9" s="290">
        <v>0</v>
      </c>
      <c r="AQ9" s="290">
        <v>0</v>
      </c>
      <c r="AR9" s="290">
        <v>-124.32728908</v>
      </c>
      <c r="AS9" s="290">
        <v>307.5335</v>
      </c>
      <c r="AT9" s="290">
        <v>167</v>
      </c>
      <c r="AU9" s="290">
        <v>48</v>
      </c>
      <c r="AV9" s="766">
        <v>125396</v>
      </c>
      <c r="AW9" s="290">
        <v>600</v>
      </c>
      <c r="AX9" s="766">
        <v>13.208349999999999</v>
      </c>
      <c r="AY9" s="290">
        <v>458</v>
      </c>
      <c r="AZ9" s="290">
        <v>128</v>
      </c>
      <c r="BA9" s="290">
        <v>78</v>
      </c>
      <c r="BB9" s="290">
        <v>0</v>
      </c>
      <c r="BC9" s="290">
        <v>5637.7711951499996</v>
      </c>
      <c r="BD9" s="290"/>
      <c r="BE9" s="290">
        <v>119754.48620384</v>
      </c>
      <c r="BF9" s="290">
        <v>0</v>
      </c>
      <c r="BG9" s="290">
        <v>2695</v>
      </c>
      <c r="BH9" s="290">
        <v>1000</v>
      </c>
      <c r="BI9" s="290">
        <v>913</v>
      </c>
      <c r="BJ9" s="290">
        <v>38</v>
      </c>
      <c r="BK9" s="290">
        <v>118</v>
      </c>
      <c r="BL9" s="290">
        <v>0</v>
      </c>
      <c r="BM9" s="290">
        <v>0</v>
      </c>
      <c r="BN9" s="290">
        <v>74</v>
      </c>
      <c r="BO9" s="290">
        <v>-25</v>
      </c>
      <c r="BP9" s="290">
        <v>302</v>
      </c>
      <c r="BQ9" s="290">
        <v>604</v>
      </c>
      <c r="BR9" s="290">
        <v>457</v>
      </c>
      <c r="BS9" s="290">
        <v>56</v>
      </c>
      <c r="BT9" s="290">
        <v>0</v>
      </c>
      <c r="BU9" s="290">
        <v>0</v>
      </c>
      <c r="BV9" s="290">
        <v>68</v>
      </c>
      <c r="BW9" s="290">
        <v>0</v>
      </c>
      <c r="BX9" s="290">
        <v>0</v>
      </c>
      <c r="BY9" s="290">
        <v>362</v>
      </c>
      <c r="BZ9" s="290">
        <v>400</v>
      </c>
      <c r="CA9" s="290">
        <v>2521.0940000000001</v>
      </c>
      <c r="CB9" s="290">
        <v>39</v>
      </c>
      <c r="CC9" s="290">
        <v>0</v>
      </c>
      <c r="CD9" s="290">
        <v>62</v>
      </c>
      <c r="CE9" s="290">
        <v>97746.770999999993</v>
      </c>
      <c r="CF9" s="290">
        <v>0</v>
      </c>
      <c r="CG9" s="290">
        <v>0</v>
      </c>
      <c r="CH9" s="290">
        <v>0</v>
      </c>
      <c r="CI9" s="290">
        <v>0</v>
      </c>
      <c r="CJ9" s="290"/>
    </row>
    <row r="10" spans="1:88" s="85" customFormat="1" ht="13">
      <c r="A10" s="1">
        <v>1112</v>
      </c>
      <c r="B10" s="2" t="s">
        <v>963</v>
      </c>
      <c r="C10" s="289">
        <v>3174</v>
      </c>
      <c r="D10" s="290">
        <v>69</v>
      </c>
      <c r="E10" s="290">
        <v>162</v>
      </c>
      <c r="F10" s="290">
        <v>443</v>
      </c>
      <c r="G10" s="290">
        <v>281</v>
      </c>
      <c r="H10" s="290">
        <v>1716</v>
      </c>
      <c r="I10" s="290">
        <v>357</v>
      </c>
      <c r="J10" s="290">
        <v>141</v>
      </c>
      <c r="K10" s="290">
        <v>29</v>
      </c>
      <c r="L10" s="290">
        <v>23</v>
      </c>
      <c r="M10" s="290">
        <v>186</v>
      </c>
      <c r="N10" s="290">
        <v>85</v>
      </c>
      <c r="O10" s="290">
        <v>33</v>
      </c>
      <c r="P10" s="624">
        <v>18389.999</v>
      </c>
      <c r="Q10" s="624">
        <v>8058.80366667</v>
      </c>
      <c r="R10" s="1039">
        <v>8</v>
      </c>
      <c r="S10" s="290">
        <v>0</v>
      </c>
      <c r="T10" s="290">
        <v>230</v>
      </c>
      <c r="U10" s="958">
        <v>2.3022039901655742E-3</v>
      </c>
      <c r="V10" s="290">
        <v>1798.93477476</v>
      </c>
      <c r="W10" s="765">
        <v>0.79195689000000002</v>
      </c>
      <c r="X10" s="290">
        <v>1270</v>
      </c>
      <c r="Y10" s="290"/>
      <c r="Z10" s="290">
        <v>90645.703999999998</v>
      </c>
      <c r="AA10" s="290">
        <v>0</v>
      </c>
      <c r="AB10" s="290">
        <v>94</v>
      </c>
      <c r="AC10" s="290">
        <v>195</v>
      </c>
      <c r="AD10" s="290">
        <v>73</v>
      </c>
      <c r="AE10" s="290">
        <v>0</v>
      </c>
      <c r="AF10" s="290">
        <v>0</v>
      </c>
      <c r="AG10" s="290">
        <v>3198</v>
      </c>
      <c r="AH10" s="290">
        <v>620</v>
      </c>
      <c r="AI10" s="290">
        <v>2400</v>
      </c>
      <c r="AJ10" s="290">
        <v>0</v>
      </c>
      <c r="AK10" s="290">
        <v>0</v>
      </c>
      <c r="AL10" s="290">
        <v>0</v>
      </c>
      <c r="AM10" s="957">
        <v>5.0320669999999998E-2</v>
      </c>
      <c r="AN10" s="290">
        <v>3058</v>
      </c>
      <c r="AO10" s="290">
        <v>-900.43239189999997</v>
      </c>
      <c r="AP10" s="290">
        <v>0</v>
      </c>
      <c r="AQ10" s="290">
        <v>0</v>
      </c>
      <c r="AR10" s="290">
        <v>1591.4165537700001</v>
      </c>
      <c r="AS10" s="290">
        <v>293.82150000000001</v>
      </c>
      <c r="AT10" s="290">
        <v>166</v>
      </c>
      <c r="AU10" s="290">
        <v>21</v>
      </c>
      <c r="AV10" s="766">
        <v>112756</v>
      </c>
      <c r="AW10" s="290">
        <v>0</v>
      </c>
      <c r="AX10" s="766">
        <v>10.916700000000001</v>
      </c>
      <c r="AY10" s="290">
        <v>479</v>
      </c>
      <c r="AZ10" s="290">
        <v>148</v>
      </c>
      <c r="BA10" s="290">
        <v>50</v>
      </c>
      <c r="BB10" s="290">
        <v>0</v>
      </c>
      <c r="BC10" s="290">
        <v>5120.7639222799999</v>
      </c>
      <c r="BD10" s="290"/>
      <c r="BE10" s="290">
        <v>104430.37930637</v>
      </c>
      <c r="BF10" s="290">
        <v>0</v>
      </c>
      <c r="BG10" s="290">
        <v>2618</v>
      </c>
      <c r="BH10" s="290">
        <v>1000</v>
      </c>
      <c r="BI10" s="290">
        <v>888</v>
      </c>
      <c r="BJ10" s="290">
        <v>37</v>
      </c>
      <c r="BK10" s="290">
        <v>130</v>
      </c>
      <c r="BL10" s="290">
        <v>0</v>
      </c>
      <c r="BM10" s="290">
        <v>0</v>
      </c>
      <c r="BN10" s="290">
        <v>81</v>
      </c>
      <c r="BO10" s="290">
        <v>-26</v>
      </c>
      <c r="BP10" s="290">
        <v>294</v>
      </c>
      <c r="BQ10" s="290">
        <v>589</v>
      </c>
      <c r="BR10" s="290">
        <v>446</v>
      </c>
      <c r="BS10" s="290">
        <v>55</v>
      </c>
      <c r="BT10" s="290">
        <v>0</v>
      </c>
      <c r="BU10" s="290">
        <v>0</v>
      </c>
      <c r="BV10" s="290">
        <v>75</v>
      </c>
      <c r="BW10" s="290">
        <v>0</v>
      </c>
      <c r="BX10" s="290">
        <v>0</v>
      </c>
      <c r="BY10" s="290">
        <v>331</v>
      </c>
      <c r="BZ10" s="290">
        <v>100</v>
      </c>
      <c r="CA10" s="290">
        <v>171.989</v>
      </c>
      <c r="CB10" s="290">
        <v>39</v>
      </c>
      <c r="CC10" s="290">
        <v>0</v>
      </c>
      <c r="CD10" s="290">
        <v>63</v>
      </c>
      <c r="CE10" s="290">
        <v>90645.703999999998</v>
      </c>
      <c r="CF10" s="290">
        <v>0</v>
      </c>
      <c r="CG10" s="290">
        <v>0</v>
      </c>
      <c r="CH10" s="290">
        <v>0</v>
      </c>
      <c r="CI10" s="290">
        <v>0</v>
      </c>
      <c r="CJ10" s="290"/>
    </row>
    <row r="11" spans="1:88" ht="13">
      <c r="A11" s="1">
        <v>1114</v>
      </c>
      <c r="B11" s="2" t="s">
        <v>0</v>
      </c>
      <c r="C11" s="289">
        <v>2791</v>
      </c>
      <c r="D11" s="290">
        <v>52</v>
      </c>
      <c r="E11" s="290">
        <v>149</v>
      </c>
      <c r="F11" s="290">
        <v>428</v>
      </c>
      <c r="G11" s="290">
        <v>274</v>
      </c>
      <c r="H11" s="290">
        <v>1517</v>
      </c>
      <c r="I11" s="290">
        <v>290</v>
      </c>
      <c r="J11" s="290">
        <v>68</v>
      </c>
      <c r="K11" s="290">
        <v>21</v>
      </c>
      <c r="L11" s="290">
        <v>26</v>
      </c>
      <c r="M11" s="290">
        <v>121</v>
      </c>
      <c r="N11" s="290">
        <v>21</v>
      </c>
      <c r="O11" s="290">
        <v>24</v>
      </c>
      <c r="P11" s="624">
        <v>18179.407999999999</v>
      </c>
      <c r="Q11" s="624">
        <v>11341.439666669999</v>
      </c>
      <c r="R11" s="1039">
        <v>6</v>
      </c>
      <c r="S11" s="290">
        <v>0</v>
      </c>
      <c r="T11" s="290">
        <v>137</v>
      </c>
      <c r="U11" s="958">
        <v>3.6866766421016391E-3</v>
      </c>
      <c r="V11" s="290">
        <v>1367.25834377</v>
      </c>
      <c r="W11" s="765">
        <v>0.80602357999999996</v>
      </c>
      <c r="X11" s="290">
        <v>0</v>
      </c>
      <c r="Y11" s="290"/>
      <c r="Z11" s="290">
        <v>90706.262000000002</v>
      </c>
      <c r="AA11" s="290">
        <v>0</v>
      </c>
      <c r="AB11" s="290">
        <v>57</v>
      </c>
      <c r="AC11" s="290">
        <v>190</v>
      </c>
      <c r="AD11" s="290">
        <v>66</v>
      </c>
      <c r="AE11" s="290">
        <v>0</v>
      </c>
      <c r="AF11" s="290">
        <v>0</v>
      </c>
      <c r="AG11" s="290">
        <v>2799</v>
      </c>
      <c r="AH11" s="290">
        <v>599</v>
      </c>
      <c r="AI11" s="290">
        <v>0</v>
      </c>
      <c r="AJ11" s="290">
        <v>0</v>
      </c>
      <c r="AK11" s="290">
        <v>0</v>
      </c>
      <c r="AL11" s="290">
        <v>0</v>
      </c>
      <c r="AM11" s="957">
        <v>2.6387310000000001E-2</v>
      </c>
      <c r="AN11" s="290">
        <v>0</v>
      </c>
      <c r="AO11" s="290">
        <v>-790.07590599000002</v>
      </c>
      <c r="AP11" s="290">
        <v>0</v>
      </c>
      <c r="AQ11" s="290">
        <v>0</v>
      </c>
      <c r="AR11" s="290">
        <v>531.74171001000002</v>
      </c>
      <c r="AS11" s="290">
        <v>301.30099999999999</v>
      </c>
      <c r="AT11" s="290">
        <v>112</v>
      </c>
      <c r="AU11" s="290">
        <v>15</v>
      </c>
      <c r="AV11" s="766">
        <v>97250</v>
      </c>
      <c r="AW11" s="290">
        <v>0</v>
      </c>
      <c r="AX11" s="766">
        <v>8.4167000000000005</v>
      </c>
      <c r="AY11" s="290">
        <v>439</v>
      </c>
      <c r="AZ11" s="290">
        <v>122</v>
      </c>
      <c r="BA11" s="290">
        <v>60</v>
      </c>
      <c r="BB11" s="290">
        <v>3017</v>
      </c>
      <c r="BC11" s="290">
        <v>4514.1679910000003</v>
      </c>
      <c r="BD11" s="290"/>
      <c r="BE11" s="290">
        <v>90938.152390310002</v>
      </c>
      <c r="BF11" s="290">
        <v>0</v>
      </c>
      <c r="BG11" s="290">
        <v>2291</v>
      </c>
      <c r="BH11" s="290">
        <v>500</v>
      </c>
      <c r="BI11" s="290">
        <v>855</v>
      </c>
      <c r="BJ11" s="290">
        <v>32</v>
      </c>
      <c r="BK11" s="290">
        <v>118</v>
      </c>
      <c r="BL11" s="290">
        <v>0</v>
      </c>
      <c r="BM11" s="290">
        <v>0</v>
      </c>
      <c r="BN11" s="290">
        <v>74</v>
      </c>
      <c r="BO11" s="290">
        <v>-16</v>
      </c>
      <c r="BP11" s="290">
        <v>259</v>
      </c>
      <c r="BQ11" s="290">
        <v>518</v>
      </c>
      <c r="BR11" s="290">
        <v>392</v>
      </c>
      <c r="BS11" s="290">
        <v>49</v>
      </c>
      <c r="BT11" s="290">
        <v>0</v>
      </c>
      <c r="BU11" s="290">
        <v>0</v>
      </c>
      <c r="BV11" s="290">
        <v>68</v>
      </c>
      <c r="BW11" s="290">
        <v>0</v>
      </c>
      <c r="BX11" s="290">
        <v>0</v>
      </c>
      <c r="BY11" s="290">
        <v>270</v>
      </c>
      <c r="BZ11" s="290">
        <v>100</v>
      </c>
      <c r="CA11" s="290">
        <v>150.91</v>
      </c>
      <c r="CB11" s="290">
        <v>35</v>
      </c>
      <c r="CC11" s="290">
        <v>0</v>
      </c>
      <c r="CD11" s="290">
        <v>39</v>
      </c>
      <c r="CE11" s="290">
        <v>90706.262000000002</v>
      </c>
      <c r="CF11" s="290">
        <v>0</v>
      </c>
      <c r="CG11" s="290">
        <v>0</v>
      </c>
      <c r="CH11" s="290">
        <v>0</v>
      </c>
      <c r="CI11" s="290">
        <v>0</v>
      </c>
      <c r="CJ11" s="290"/>
    </row>
    <row r="12" spans="1:88" ht="13">
      <c r="A12" s="1">
        <v>1119</v>
      </c>
      <c r="B12" s="2" t="s">
        <v>1</v>
      </c>
      <c r="C12" s="289">
        <v>19120</v>
      </c>
      <c r="D12" s="290">
        <v>496</v>
      </c>
      <c r="E12" s="290">
        <v>1106</v>
      </c>
      <c r="F12" s="290">
        <v>2866</v>
      </c>
      <c r="G12" s="290">
        <v>1784</v>
      </c>
      <c r="H12" s="290">
        <v>10382</v>
      </c>
      <c r="I12" s="290">
        <v>1764</v>
      </c>
      <c r="J12" s="290">
        <v>554</v>
      </c>
      <c r="K12" s="290">
        <v>129</v>
      </c>
      <c r="L12" s="290">
        <v>132</v>
      </c>
      <c r="M12" s="290">
        <v>828</v>
      </c>
      <c r="N12" s="290">
        <v>282</v>
      </c>
      <c r="O12" s="290">
        <v>204</v>
      </c>
      <c r="P12" s="624">
        <v>44218.64866667</v>
      </c>
      <c r="Q12" s="624">
        <v>32492.677</v>
      </c>
      <c r="R12" s="1039">
        <v>65</v>
      </c>
      <c r="S12" s="290">
        <v>0</v>
      </c>
      <c r="T12" s="290">
        <v>1302</v>
      </c>
      <c r="U12" s="958">
        <v>8.2719323138717611E-3</v>
      </c>
      <c r="V12" s="290">
        <v>-14738.462993990001</v>
      </c>
      <c r="W12" s="765">
        <v>0.56790147000000002</v>
      </c>
      <c r="X12" s="290">
        <v>0</v>
      </c>
      <c r="Y12" s="290"/>
      <c r="Z12" s="290">
        <v>567615.44099999999</v>
      </c>
      <c r="AA12" s="290">
        <v>0</v>
      </c>
      <c r="AB12" s="290">
        <v>437</v>
      </c>
      <c r="AC12" s="290">
        <v>1181</v>
      </c>
      <c r="AD12" s="290">
        <v>341</v>
      </c>
      <c r="AE12" s="290">
        <v>0</v>
      </c>
      <c r="AF12" s="290">
        <v>0</v>
      </c>
      <c r="AG12" s="290">
        <v>19081</v>
      </c>
      <c r="AH12" s="290">
        <v>4113</v>
      </c>
      <c r="AI12" s="290">
        <v>0</v>
      </c>
      <c r="AJ12" s="290">
        <v>0</v>
      </c>
      <c r="AK12" s="290">
        <v>0</v>
      </c>
      <c r="AL12" s="290">
        <v>0</v>
      </c>
      <c r="AM12" s="957">
        <v>0.40761394000000001</v>
      </c>
      <c r="AN12" s="290">
        <v>0</v>
      </c>
      <c r="AO12" s="290">
        <v>-4991.3177599099999</v>
      </c>
      <c r="AP12" s="290">
        <v>0</v>
      </c>
      <c r="AQ12" s="290">
        <v>0</v>
      </c>
      <c r="AR12" s="290">
        <v>-720.62241885000003</v>
      </c>
      <c r="AS12" s="290">
        <v>1754.8405</v>
      </c>
      <c r="AT12" s="290">
        <v>995</v>
      </c>
      <c r="AU12" s="290">
        <v>172</v>
      </c>
      <c r="AV12" s="766">
        <v>502257</v>
      </c>
      <c r="AW12" s="290">
        <v>1400</v>
      </c>
      <c r="AX12" s="766">
        <v>121.70829999999999</v>
      </c>
      <c r="AY12" s="290">
        <v>2985</v>
      </c>
      <c r="AZ12" s="290">
        <v>859</v>
      </c>
      <c r="BA12" s="290">
        <v>417</v>
      </c>
      <c r="BB12" s="290">
        <v>0</v>
      </c>
      <c r="BC12" s="290">
        <v>28038.842043150002</v>
      </c>
      <c r="BD12" s="290"/>
      <c r="BE12" s="290">
        <v>488175.66941572999</v>
      </c>
      <c r="BF12" s="290">
        <v>0</v>
      </c>
      <c r="BG12" s="290">
        <v>15620</v>
      </c>
      <c r="BH12" s="290">
        <v>1000</v>
      </c>
      <c r="BI12" s="290">
        <v>5635</v>
      </c>
      <c r="BJ12" s="290">
        <v>217</v>
      </c>
      <c r="BK12" s="290">
        <v>906</v>
      </c>
      <c r="BL12" s="290">
        <v>0</v>
      </c>
      <c r="BM12" s="290">
        <v>0</v>
      </c>
      <c r="BN12" s="290">
        <v>567</v>
      </c>
      <c r="BO12" s="290">
        <v>-140</v>
      </c>
      <c r="BP12" s="290">
        <v>1773</v>
      </c>
      <c r="BQ12" s="290">
        <v>3546</v>
      </c>
      <c r="BR12" s="290">
        <v>2685</v>
      </c>
      <c r="BS12" s="290">
        <v>256</v>
      </c>
      <c r="BT12" s="290">
        <v>0</v>
      </c>
      <c r="BU12" s="290">
        <v>0</v>
      </c>
      <c r="BV12" s="290">
        <v>521</v>
      </c>
      <c r="BW12" s="290">
        <v>0</v>
      </c>
      <c r="BX12" s="290">
        <v>0</v>
      </c>
      <c r="BY12" s="290">
        <v>1725</v>
      </c>
      <c r="BZ12" s="290">
        <v>2600</v>
      </c>
      <c r="CA12" s="290">
        <v>953.37599999999998</v>
      </c>
      <c r="CB12" s="290">
        <v>173</v>
      </c>
      <c r="CC12" s="290">
        <v>2</v>
      </c>
      <c r="CD12" s="290">
        <v>347</v>
      </c>
      <c r="CE12" s="290">
        <v>567615.44099999999</v>
      </c>
      <c r="CF12" s="290">
        <v>0</v>
      </c>
      <c r="CG12" s="290">
        <v>0</v>
      </c>
      <c r="CH12" s="290">
        <v>0</v>
      </c>
      <c r="CI12" s="290">
        <v>0</v>
      </c>
      <c r="CJ12" s="290"/>
    </row>
    <row r="13" spans="1:88" ht="13">
      <c r="A13" s="1">
        <v>1120</v>
      </c>
      <c r="B13" s="2" t="s">
        <v>2</v>
      </c>
      <c r="C13" s="289">
        <v>19848</v>
      </c>
      <c r="D13" s="290">
        <v>481</v>
      </c>
      <c r="E13" s="290">
        <v>1026</v>
      </c>
      <c r="F13" s="290">
        <v>2880</v>
      </c>
      <c r="G13" s="290">
        <v>1842</v>
      </c>
      <c r="H13" s="290">
        <v>11122</v>
      </c>
      <c r="I13" s="290">
        <v>1768</v>
      </c>
      <c r="J13" s="290">
        <v>502</v>
      </c>
      <c r="K13" s="290">
        <v>87</v>
      </c>
      <c r="L13" s="290">
        <v>131</v>
      </c>
      <c r="M13" s="290">
        <v>808</v>
      </c>
      <c r="N13" s="290">
        <v>384</v>
      </c>
      <c r="O13" s="290">
        <v>187</v>
      </c>
      <c r="P13" s="624">
        <v>37245.688333329999</v>
      </c>
      <c r="Q13" s="624">
        <v>26489.026000000002</v>
      </c>
      <c r="R13" s="1039">
        <v>73</v>
      </c>
      <c r="S13" s="290">
        <v>0</v>
      </c>
      <c r="T13" s="290">
        <v>1247</v>
      </c>
      <c r="U13" s="958">
        <v>5.7702641242569075E-3</v>
      </c>
      <c r="V13" s="290">
        <v>1495.3512947700001</v>
      </c>
      <c r="W13" s="765">
        <v>0.54507958000000001</v>
      </c>
      <c r="X13" s="290">
        <v>6500</v>
      </c>
      <c r="Y13" s="290"/>
      <c r="Z13" s="290">
        <v>659797.24600000004</v>
      </c>
      <c r="AA13" s="290">
        <v>0</v>
      </c>
      <c r="AB13" s="290">
        <v>478</v>
      </c>
      <c r="AC13" s="290">
        <v>1179</v>
      </c>
      <c r="AD13" s="290">
        <v>341</v>
      </c>
      <c r="AE13" s="290">
        <v>0</v>
      </c>
      <c r="AF13" s="290">
        <v>0</v>
      </c>
      <c r="AG13" s="290">
        <v>19708</v>
      </c>
      <c r="AH13" s="290">
        <v>4055</v>
      </c>
      <c r="AI13" s="290">
        <v>0</v>
      </c>
      <c r="AJ13" s="290">
        <v>0</v>
      </c>
      <c r="AK13" s="290">
        <v>0</v>
      </c>
      <c r="AL13" s="290">
        <v>0</v>
      </c>
      <c r="AM13" s="957">
        <v>0.40947415999999998</v>
      </c>
      <c r="AN13" s="290">
        <v>0</v>
      </c>
      <c r="AO13" s="290">
        <v>-4924.1529228999998</v>
      </c>
      <c r="AP13" s="290">
        <v>0</v>
      </c>
      <c r="AQ13" s="290">
        <v>0</v>
      </c>
      <c r="AR13" s="290">
        <v>-744.30200883999998</v>
      </c>
      <c r="AS13" s="290">
        <v>1761.4559999999999</v>
      </c>
      <c r="AT13" s="290">
        <v>1033</v>
      </c>
      <c r="AU13" s="290">
        <v>188</v>
      </c>
      <c r="AV13" s="766">
        <v>507198</v>
      </c>
      <c r="AW13" s="290">
        <v>1500</v>
      </c>
      <c r="AX13" s="766">
        <v>147.45835</v>
      </c>
      <c r="AY13" s="290">
        <v>3523</v>
      </c>
      <c r="AZ13" s="290">
        <v>809</v>
      </c>
      <c r="BA13" s="290">
        <v>429</v>
      </c>
      <c r="BB13" s="290">
        <v>0</v>
      </c>
      <c r="BC13" s="290">
        <v>28098.661642999999</v>
      </c>
      <c r="BD13" s="290"/>
      <c r="BE13" s="290">
        <v>476269.20825177</v>
      </c>
      <c r="BF13" s="290">
        <v>0</v>
      </c>
      <c r="BG13" s="290">
        <v>16133</v>
      </c>
      <c r="BH13" s="290">
        <v>1000</v>
      </c>
      <c r="BI13" s="290">
        <v>5575</v>
      </c>
      <c r="BJ13" s="290">
        <v>226</v>
      </c>
      <c r="BK13" s="290">
        <v>873</v>
      </c>
      <c r="BL13" s="290">
        <v>0</v>
      </c>
      <c r="BM13" s="290">
        <v>0</v>
      </c>
      <c r="BN13" s="290">
        <v>546</v>
      </c>
      <c r="BO13" s="290">
        <v>-148</v>
      </c>
      <c r="BP13" s="290">
        <v>1841</v>
      </c>
      <c r="BQ13" s="290">
        <v>3681</v>
      </c>
      <c r="BR13" s="290">
        <v>2787</v>
      </c>
      <c r="BS13" s="290">
        <v>256</v>
      </c>
      <c r="BT13" s="290">
        <v>0</v>
      </c>
      <c r="BU13" s="290">
        <v>0</v>
      </c>
      <c r="BV13" s="290">
        <v>502</v>
      </c>
      <c r="BW13" s="290">
        <v>0</v>
      </c>
      <c r="BX13" s="290">
        <v>0</v>
      </c>
      <c r="BY13" s="290">
        <v>1696</v>
      </c>
      <c r="BZ13" s="290">
        <v>4000</v>
      </c>
      <c r="CA13" s="290">
        <v>5114.3999999999996</v>
      </c>
      <c r="CB13" s="290">
        <v>178</v>
      </c>
      <c r="CC13" s="290">
        <v>2</v>
      </c>
      <c r="CD13" s="290">
        <v>366</v>
      </c>
      <c r="CE13" s="290">
        <v>659797.24600000004</v>
      </c>
      <c r="CF13" s="290">
        <v>0</v>
      </c>
      <c r="CG13" s="290">
        <v>0</v>
      </c>
      <c r="CH13" s="290">
        <v>0</v>
      </c>
      <c r="CI13" s="290">
        <v>0</v>
      </c>
      <c r="CJ13" s="290"/>
    </row>
    <row r="14" spans="1:88" ht="13">
      <c r="A14" s="1">
        <v>1121</v>
      </c>
      <c r="B14" s="2" t="s">
        <v>3</v>
      </c>
      <c r="C14" s="289">
        <v>19106</v>
      </c>
      <c r="D14" s="290">
        <v>455</v>
      </c>
      <c r="E14" s="290">
        <v>1014</v>
      </c>
      <c r="F14" s="290">
        <v>2741</v>
      </c>
      <c r="G14" s="290">
        <v>1699</v>
      </c>
      <c r="H14" s="290">
        <v>10754</v>
      </c>
      <c r="I14" s="290">
        <v>1714</v>
      </c>
      <c r="J14" s="290">
        <v>570</v>
      </c>
      <c r="K14" s="290">
        <v>106</v>
      </c>
      <c r="L14" s="290">
        <v>128</v>
      </c>
      <c r="M14" s="290">
        <v>832</v>
      </c>
      <c r="N14" s="290">
        <v>461</v>
      </c>
      <c r="O14" s="290">
        <v>161</v>
      </c>
      <c r="P14" s="624">
        <v>38407.588000000003</v>
      </c>
      <c r="Q14" s="624">
        <v>23282.650333329999</v>
      </c>
      <c r="R14" s="1039">
        <v>57</v>
      </c>
      <c r="S14" s="290">
        <v>0</v>
      </c>
      <c r="T14" s="290">
        <v>1443</v>
      </c>
      <c r="U14" s="958">
        <v>4.9459738474446667E-3</v>
      </c>
      <c r="V14" s="290">
        <v>324.24916717999997</v>
      </c>
      <c r="W14" s="765">
        <v>0.54661660000000001</v>
      </c>
      <c r="X14" s="290">
        <v>2000</v>
      </c>
      <c r="Y14" s="290"/>
      <c r="Z14" s="290">
        <v>690436.44499999995</v>
      </c>
      <c r="AA14" s="290">
        <v>0</v>
      </c>
      <c r="AB14" s="290">
        <v>412</v>
      </c>
      <c r="AC14" s="290">
        <v>1119</v>
      </c>
      <c r="AD14" s="290">
        <v>332</v>
      </c>
      <c r="AE14" s="290">
        <v>0</v>
      </c>
      <c r="AF14" s="290">
        <v>0</v>
      </c>
      <c r="AG14" s="290">
        <v>19053</v>
      </c>
      <c r="AH14" s="290">
        <v>3874</v>
      </c>
      <c r="AI14" s="290">
        <v>0</v>
      </c>
      <c r="AJ14" s="290">
        <v>0</v>
      </c>
      <c r="AK14" s="290">
        <v>0</v>
      </c>
      <c r="AL14" s="290">
        <v>0</v>
      </c>
      <c r="AM14" s="957">
        <v>0.36409512999999999</v>
      </c>
      <c r="AN14" s="290">
        <v>0</v>
      </c>
      <c r="AO14" s="290">
        <v>-4813.6834676300005</v>
      </c>
      <c r="AP14" s="290">
        <v>0</v>
      </c>
      <c r="AQ14" s="290">
        <v>0</v>
      </c>
      <c r="AR14" s="290">
        <v>-719.56495709000001</v>
      </c>
      <c r="AS14" s="290">
        <v>1661.1514999999999</v>
      </c>
      <c r="AT14" s="290">
        <v>960</v>
      </c>
      <c r="AU14" s="290">
        <v>169</v>
      </c>
      <c r="AV14" s="766">
        <v>489254</v>
      </c>
      <c r="AW14" s="290">
        <v>1200</v>
      </c>
      <c r="AX14" s="766">
        <v>146.29165</v>
      </c>
      <c r="AY14" s="290">
        <v>4362</v>
      </c>
      <c r="AZ14" s="290">
        <v>803</v>
      </c>
      <c r="BA14" s="290">
        <v>420</v>
      </c>
      <c r="BB14" s="290">
        <v>0</v>
      </c>
      <c r="BC14" s="290">
        <v>27248.943358050001</v>
      </c>
      <c r="BD14" s="290"/>
      <c r="BE14" s="290">
        <v>466685.23472829</v>
      </c>
      <c r="BF14" s="290">
        <v>0</v>
      </c>
      <c r="BG14" s="290">
        <v>15597</v>
      </c>
      <c r="BH14" s="290">
        <v>1000</v>
      </c>
      <c r="BI14" s="290">
        <v>5325</v>
      </c>
      <c r="BJ14" s="290">
        <v>221</v>
      </c>
      <c r="BK14" s="290">
        <v>878</v>
      </c>
      <c r="BL14" s="290">
        <v>0</v>
      </c>
      <c r="BM14" s="290">
        <v>0</v>
      </c>
      <c r="BN14" s="290">
        <v>549</v>
      </c>
      <c r="BO14" s="290">
        <v>-151</v>
      </c>
      <c r="BP14" s="290">
        <v>1772</v>
      </c>
      <c r="BQ14" s="290">
        <v>3544</v>
      </c>
      <c r="BR14" s="290">
        <v>2683</v>
      </c>
      <c r="BS14" s="290">
        <v>249</v>
      </c>
      <c r="BT14" s="290">
        <v>0</v>
      </c>
      <c r="BU14" s="290">
        <v>0</v>
      </c>
      <c r="BV14" s="290">
        <v>505</v>
      </c>
      <c r="BW14" s="290">
        <v>0</v>
      </c>
      <c r="BX14" s="290">
        <v>0</v>
      </c>
      <c r="BY14" s="290">
        <v>1688</v>
      </c>
      <c r="BZ14" s="290">
        <v>2800</v>
      </c>
      <c r="CA14" s="290">
        <v>919.447</v>
      </c>
      <c r="CB14" s="290">
        <v>172</v>
      </c>
      <c r="CC14" s="290">
        <v>1</v>
      </c>
      <c r="CD14" s="290">
        <v>374</v>
      </c>
      <c r="CE14" s="290">
        <v>690436.44499999995</v>
      </c>
      <c r="CF14" s="290">
        <v>0</v>
      </c>
      <c r="CG14" s="290">
        <v>0</v>
      </c>
      <c r="CH14" s="290">
        <v>0</v>
      </c>
      <c r="CI14" s="290">
        <v>0</v>
      </c>
      <c r="CJ14" s="290"/>
    </row>
    <row r="15" spans="1:88" ht="13">
      <c r="A15" s="1">
        <v>1122</v>
      </c>
      <c r="B15" s="2" t="s">
        <v>4</v>
      </c>
      <c r="C15" s="289">
        <v>12064</v>
      </c>
      <c r="D15" s="290">
        <v>340</v>
      </c>
      <c r="E15" s="290">
        <v>732</v>
      </c>
      <c r="F15" s="290">
        <v>1827</v>
      </c>
      <c r="G15" s="290">
        <v>1080</v>
      </c>
      <c r="H15" s="290">
        <v>6893</v>
      </c>
      <c r="I15" s="290">
        <v>924</v>
      </c>
      <c r="J15" s="290">
        <v>242</v>
      </c>
      <c r="K15" s="290">
        <v>45</v>
      </c>
      <c r="L15" s="290">
        <v>93</v>
      </c>
      <c r="M15" s="290">
        <v>445</v>
      </c>
      <c r="N15" s="290">
        <v>216</v>
      </c>
      <c r="O15" s="290">
        <v>151</v>
      </c>
      <c r="P15" s="624">
        <v>69106.992333329996</v>
      </c>
      <c r="Q15" s="624">
        <v>25092.336666669999</v>
      </c>
      <c r="R15" s="1039">
        <v>41</v>
      </c>
      <c r="S15" s="290">
        <v>0</v>
      </c>
      <c r="T15" s="290">
        <v>755</v>
      </c>
      <c r="U15" s="958">
        <v>2.9565475044512628E-3</v>
      </c>
      <c r="V15" s="290">
        <v>2478.1195010900001</v>
      </c>
      <c r="W15" s="765">
        <v>0.59469240000000001</v>
      </c>
      <c r="X15" s="290">
        <v>2600</v>
      </c>
      <c r="Y15" s="290"/>
      <c r="Z15" s="290">
        <v>371633.98</v>
      </c>
      <c r="AA15" s="290">
        <v>0</v>
      </c>
      <c r="AB15" s="290">
        <v>216</v>
      </c>
      <c r="AC15" s="290">
        <v>770</v>
      </c>
      <c r="AD15" s="290">
        <v>219</v>
      </c>
      <c r="AE15" s="290">
        <v>0</v>
      </c>
      <c r="AF15" s="290">
        <v>0</v>
      </c>
      <c r="AG15" s="290">
        <v>12083</v>
      </c>
      <c r="AH15" s="290">
        <v>2632</v>
      </c>
      <c r="AI15" s="290">
        <v>1400</v>
      </c>
      <c r="AJ15" s="290">
        <v>0</v>
      </c>
      <c r="AK15" s="290">
        <v>0</v>
      </c>
      <c r="AL15" s="290">
        <v>0</v>
      </c>
      <c r="AM15" s="957">
        <v>0.28316848</v>
      </c>
      <c r="AN15" s="290">
        <v>0</v>
      </c>
      <c r="AO15" s="290">
        <v>-3143.22838723</v>
      </c>
      <c r="AP15" s="290">
        <v>0</v>
      </c>
      <c r="AQ15" s="290">
        <v>0</v>
      </c>
      <c r="AR15" s="290">
        <v>-456.33251333999999</v>
      </c>
      <c r="AS15" s="290">
        <v>1112.3325</v>
      </c>
      <c r="AT15" s="290">
        <v>618</v>
      </c>
      <c r="AU15" s="290">
        <v>147</v>
      </c>
      <c r="AV15" s="766">
        <v>328656</v>
      </c>
      <c r="AW15" s="290">
        <v>800</v>
      </c>
      <c r="AX15" s="766">
        <v>122.70829999999999</v>
      </c>
      <c r="AY15" s="290">
        <v>2190</v>
      </c>
      <c r="AZ15" s="290">
        <v>449</v>
      </c>
      <c r="BA15" s="290">
        <v>235</v>
      </c>
      <c r="BB15" s="290">
        <v>0</v>
      </c>
      <c r="BC15" s="290">
        <v>18051.73898862</v>
      </c>
      <c r="BD15" s="290"/>
      <c r="BE15" s="290">
        <v>319742.65059839998</v>
      </c>
      <c r="BF15" s="290">
        <v>0</v>
      </c>
      <c r="BG15" s="290">
        <v>9891</v>
      </c>
      <c r="BH15" s="290">
        <v>1000</v>
      </c>
      <c r="BI15" s="290">
        <v>3621</v>
      </c>
      <c r="BJ15" s="290">
        <v>137</v>
      </c>
      <c r="BK15" s="290">
        <v>627</v>
      </c>
      <c r="BL15" s="290">
        <v>0</v>
      </c>
      <c r="BM15" s="290">
        <v>0</v>
      </c>
      <c r="BN15" s="290">
        <v>392</v>
      </c>
      <c r="BO15" s="290">
        <v>-87</v>
      </c>
      <c r="BP15" s="290">
        <v>1119</v>
      </c>
      <c r="BQ15" s="290">
        <v>2238</v>
      </c>
      <c r="BR15" s="290">
        <v>1694</v>
      </c>
      <c r="BS15" s="290">
        <v>164</v>
      </c>
      <c r="BT15" s="290">
        <v>0</v>
      </c>
      <c r="BU15" s="290">
        <v>0</v>
      </c>
      <c r="BV15" s="290">
        <v>361</v>
      </c>
      <c r="BW15" s="290">
        <v>0</v>
      </c>
      <c r="BX15" s="290">
        <v>0</v>
      </c>
      <c r="BY15" s="290">
        <v>956</v>
      </c>
      <c r="BZ15" s="290">
        <v>2100</v>
      </c>
      <c r="CA15" s="290">
        <v>805.40000000000009</v>
      </c>
      <c r="CB15" s="290">
        <v>113</v>
      </c>
      <c r="CC15" s="290">
        <v>1</v>
      </c>
      <c r="CD15" s="290">
        <v>216</v>
      </c>
      <c r="CE15" s="290">
        <v>371633.98</v>
      </c>
      <c r="CF15" s="290">
        <v>0</v>
      </c>
      <c r="CG15" s="290">
        <v>0</v>
      </c>
      <c r="CH15" s="290">
        <v>0</v>
      </c>
      <c r="CI15" s="290">
        <v>0</v>
      </c>
      <c r="CJ15" s="290"/>
    </row>
    <row r="16" spans="1:88" ht="13">
      <c r="A16" s="1">
        <v>1124</v>
      </c>
      <c r="B16" s="2" t="s">
        <v>5</v>
      </c>
      <c r="C16" s="289">
        <v>27457</v>
      </c>
      <c r="D16" s="290">
        <v>689</v>
      </c>
      <c r="E16" s="290">
        <v>1505</v>
      </c>
      <c r="F16" s="290">
        <v>3825</v>
      </c>
      <c r="G16" s="290">
        <v>2295</v>
      </c>
      <c r="H16" s="290">
        <v>15875</v>
      </c>
      <c r="I16" s="290">
        <v>2238</v>
      </c>
      <c r="J16" s="290">
        <v>736</v>
      </c>
      <c r="K16" s="290">
        <v>165</v>
      </c>
      <c r="L16" s="290">
        <v>178</v>
      </c>
      <c r="M16" s="290">
        <v>1129</v>
      </c>
      <c r="N16" s="290">
        <v>452</v>
      </c>
      <c r="O16" s="290">
        <v>390</v>
      </c>
      <c r="P16" s="624">
        <v>38720.496333329997</v>
      </c>
      <c r="Q16" s="624">
        <v>47508.107333330001</v>
      </c>
      <c r="R16" s="1039">
        <v>75</v>
      </c>
      <c r="S16" s="290">
        <v>0</v>
      </c>
      <c r="T16" s="290">
        <v>1923</v>
      </c>
      <c r="U16" s="958">
        <v>3.0899683191176639E-3</v>
      </c>
      <c r="V16" s="290">
        <v>4388.9627870800005</v>
      </c>
      <c r="W16" s="765">
        <v>0.55591657000000005</v>
      </c>
      <c r="X16" s="290">
        <v>1000</v>
      </c>
      <c r="Y16" s="290"/>
      <c r="Z16" s="290">
        <v>1204713.132</v>
      </c>
      <c r="AA16" s="290">
        <v>0</v>
      </c>
      <c r="AB16" s="290">
        <v>407</v>
      </c>
      <c r="AC16" s="290">
        <v>1588</v>
      </c>
      <c r="AD16" s="290">
        <v>466</v>
      </c>
      <c r="AE16" s="290">
        <v>610</v>
      </c>
      <c r="AF16" s="290">
        <v>0</v>
      </c>
      <c r="AG16" s="290">
        <v>27328</v>
      </c>
      <c r="AH16" s="290">
        <v>5481</v>
      </c>
      <c r="AI16" s="290">
        <v>400</v>
      </c>
      <c r="AJ16" s="290">
        <v>0</v>
      </c>
      <c r="AK16" s="290">
        <v>0</v>
      </c>
      <c r="AL16" s="290">
        <v>0</v>
      </c>
      <c r="AM16" s="957">
        <v>0.65957219</v>
      </c>
      <c r="AN16" s="290">
        <v>0</v>
      </c>
      <c r="AO16" s="290">
        <v>-6795.3640691600003</v>
      </c>
      <c r="AP16" s="290">
        <v>0</v>
      </c>
      <c r="AQ16" s="290">
        <v>0</v>
      </c>
      <c r="AR16" s="290">
        <v>-1032.08267189</v>
      </c>
      <c r="AS16" s="290">
        <v>2314.837</v>
      </c>
      <c r="AT16" s="290">
        <v>1287</v>
      </c>
      <c r="AU16" s="290">
        <v>330</v>
      </c>
      <c r="AV16" s="766">
        <v>693368</v>
      </c>
      <c r="AW16" s="290">
        <v>2900</v>
      </c>
      <c r="AX16" s="766">
        <v>242.50004999999999</v>
      </c>
      <c r="AY16" s="290">
        <v>7411</v>
      </c>
      <c r="AZ16" s="290">
        <v>1145</v>
      </c>
      <c r="BA16" s="290">
        <v>499</v>
      </c>
      <c r="BB16" s="290">
        <v>0</v>
      </c>
      <c r="BC16" s="290">
        <v>38721.994728960002</v>
      </c>
      <c r="BD16" s="290"/>
      <c r="BE16" s="290">
        <v>647932.97242723999</v>
      </c>
      <c r="BF16" s="290">
        <v>0</v>
      </c>
      <c r="BG16" s="290">
        <v>22371</v>
      </c>
      <c r="BH16" s="290">
        <v>1000</v>
      </c>
      <c r="BI16" s="290">
        <v>7535</v>
      </c>
      <c r="BJ16" s="290">
        <v>351</v>
      </c>
      <c r="BK16" s="290">
        <v>1334</v>
      </c>
      <c r="BL16" s="290">
        <v>0</v>
      </c>
      <c r="BM16" s="290">
        <v>0</v>
      </c>
      <c r="BN16" s="290">
        <v>834</v>
      </c>
      <c r="BO16" s="290">
        <v>-200</v>
      </c>
      <c r="BP16" s="290">
        <v>2546</v>
      </c>
      <c r="BQ16" s="290">
        <v>5093</v>
      </c>
      <c r="BR16" s="290">
        <v>3855</v>
      </c>
      <c r="BS16" s="290">
        <v>350</v>
      </c>
      <c r="BT16" s="290">
        <v>0</v>
      </c>
      <c r="BU16" s="290">
        <v>0</v>
      </c>
      <c r="BV16" s="290">
        <v>768</v>
      </c>
      <c r="BW16" s="290">
        <v>0</v>
      </c>
      <c r="BX16" s="290">
        <v>0</v>
      </c>
      <c r="BY16" s="290">
        <v>2284</v>
      </c>
      <c r="BZ16" s="290">
        <v>4800</v>
      </c>
      <c r="CA16" s="290">
        <v>1297.961</v>
      </c>
      <c r="CB16" s="290">
        <v>244</v>
      </c>
      <c r="CC16" s="290">
        <v>2</v>
      </c>
      <c r="CD16" s="290">
        <v>496</v>
      </c>
      <c r="CE16" s="290">
        <v>1204713.132</v>
      </c>
      <c r="CF16" s="290">
        <v>0</v>
      </c>
      <c r="CG16" s="290">
        <v>0</v>
      </c>
      <c r="CH16" s="290">
        <v>0</v>
      </c>
      <c r="CI16" s="290">
        <v>0</v>
      </c>
      <c r="CJ16" s="290"/>
    </row>
    <row r="17" spans="1:88" ht="13">
      <c r="A17" s="1">
        <v>1127</v>
      </c>
      <c r="B17" s="2" t="s">
        <v>6</v>
      </c>
      <c r="C17" s="289">
        <v>11315</v>
      </c>
      <c r="D17" s="290">
        <v>207</v>
      </c>
      <c r="E17" s="290">
        <v>624</v>
      </c>
      <c r="F17" s="290">
        <v>1585</v>
      </c>
      <c r="G17" s="290">
        <v>1093</v>
      </c>
      <c r="H17" s="290">
        <v>6266</v>
      </c>
      <c r="I17" s="290">
        <v>1062</v>
      </c>
      <c r="J17" s="290">
        <v>366</v>
      </c>
      <c r="K17" s="290">
        <v>70</v>
      </c>
      <c r="L17" s="290">
        <v>68</v>
      </c>
      <c r="M17" s="290">
        <v>462</v>
      </c>
      <c r="N17" s="290">
        <v>198</v>
      </c>
      <c r="O17" s="290">
        <v>119</v>
      </c>
      <c r="P17" s="624">
        <v>6541.7963333300004</v>
      </c>
      <c r="Q17" s="624">
        <v>15356.663</v>
      </c>
      <c r="R17" s="1039">
        <v>37</v>
      </c>
      <c r="S17" s="290">
        <v>0</v>
      </c>
      <c r="T17" s="290">
        <v>703</v>
      </c>
      <c r="U17" s="958">
        <v>1.4404314689435811E-3</v>
      </c>
      <c r="V17" s="290">
        <v>946.64574197000002</v>
      </c>
      <c r="W17" s="765">
        <v>0.54546870000000003</v>
      </c>
      <c r="X17" s="290">
        <v>2900</v>
      </c>
      <c r="Y17" s="290"/>
      <c r="Z17" s="290">
        <v>441758.745</v>
      </c>
      <c r="AA17" s="290">
        <v>0</v>
      </c>
      <c r="AB17" s="290">
        <v>202</v>
      </c>
      <c r="AC17" s="290">
        <v>651</v>
      </c>
      <c r="AD17" s="290">
        <v>201</v>
      </c>
      <c r="AE17" s="290">
        <v>0</v>
      </c>
      <c r="AF17" s="290">
        <v>0</v>
      </c>
      <c r="AG17" s="290">
        <v>11273</v>
      </c>
      <c r="AH17" s="290">
        <v>2284</v>
      </c>
      <c r="AI17" s="290">
        <v>0</v>
      </c>
      <c r="AJ17" s="290">
        <v>0</v>
      </c>
      <c r="AK17" s="290">
        <v>0</v>
      </c>
      <c r="AL17" s="290">
        <v>0</v>
      </c>
      <c r="AM17" s="957">
        <v>0.21207375000000001</v>
      </c>
      <c r="AN17" s="290">
        <v>0</v>
      </c>
      <c r="AO17" s="290">
        <v>-2852.37980165</v>
      </c>
      <c r="AP17" s="290">
        <v>0</v>
      </c>
      <c r="AQ17" s="290">
        <v>0</v>
      </c>
      <c r="AR17" s="290">
        <v>-425.74165545</v>
      </c>
      <c r="AS17" s="290">
        <v>963.84849999999994</v>
      </c>
      <c r="AT17" s="290">
        <v>502</v>
      </c>
      <c r="AU17" s="290">
        <v>109</v>
      </c>
      <c r="AV17" s="766">
        <v>289691</v>
      </c>
      <c r="AW17" s="290">
        <v>1300</v>
      </c>
      <c r="AX17" s="766">
        <v>65.958349999999996</v>
      </c>
      <c r="AY17" s="290">
        <v>2661</v>
      </c>
      <c r="AZ17" s="290">
        <v>488</v>
      </c>
      <c r="BA17" s="290">
        <v>252</v>
      </c>
      <c r="BB17" s="290">
        <v>0</v>
      </c>
      <c r="BC17" s="290">
        <v>16289.82947031</v>
      </c>
      <c r="BD17" s="290"/>
      <c r="BE17" s="290">
        <v>279523.28925645998</v>
      </c>
      <c r="BF17" s="290">
        <v>0</v>
      </c>
      <c r="BG17" s="290">
        <v>9228</v>
      </c>
      <c r="BH17" s="290">
        <v>1000</v>
      </c>
      <c r="BI17" s="290">
        <v>3136</v>
      </c>
      <c r="BJ17" s="290">
        <v>137</v>
      </c>
      <c r="BK17" s="290">
        <v>526</v>
      </c>
      <c r="BL17" s="290">
        <v>0</v>
      </c>
      <c r="BM17" s="290">
        <v>0</v>
      </c>
      <c r="BN17" s="290">
        <v>329</v>
      </c>
      <c r="BO17" s="290">
        <v>-78</v>
      </c>
      <c r="BP17" s="290">
        <v>1049</v>
      </c>
      <c r="BQ17" s="290">
        <v>2099</v>
      </c>
      <c r="BR17" s="290">
        <v>1589</v>
      </c>
      <c r="BS17" s="290">
        <v>151</v>
      </c>
      <c r="BT17" s="290">
        <v>0</v>
      </c>
      <c r="BU17" s="290">
        <v>0</v>
      </c>
      <c r="BV17" s="290">
        <v>303</v>
      </c>
      <c r="BW17" s="290">
        <v>0</v>
      </c>
      <c r="BX17" s="290">
        <v>0</v>
      </c>
      <c r="BY17" s="290">
        <v>1037</v>
      </c>
      <c r="BZ17" s="290">
        <v>1800</v>
      </c>
      <c r="CA17" s="290">
        <v>544.82399999999996</v>
      </c>
      <c r="CB17" s="290">
        <v>105</v>
      </c>
      <c r="CC17" s="290">
        <v>1</v>
      </c>
      <c r="CD17" s="290">
        <v>194</v>
      </c>
      <c r="CE17" s="290">
        <v>441758.745</v>
      </c>
      <c r="CF17" s="290">
        <v>0</v>
      </c>
      <c r="CG17" s="290">
        <v>0</v>
      </c>
      <c r="CH17" s="290">
        <v>0</v>
      </c>
      <c r="CI17" s="290">
        <v>0</v>
      </c>
      <c r="CJ17" s="290"/>
    </row>
    <row r="18" spans="1:88" ht="13">
      <c r="A18" s="1">
        <v>1130</v>
      </c>
      <c r="B18" s="2" t="s">
        <v>12</v>
      </c>
      <c r="C18" s="289">
        <v>13070</v>
      </c>
      <c r="D18" s="290">
        <v>295</v>
      </c>
      <c r="E18" s="290">
        <v>689</v>
      </c>
      <c r="F18" s="290">
        <v>1880</v>
      </c>
      <c r="G18" s="290">
        <v>1232</v>
      </c>
      <c r="H18" s="290">
        <v>7031</v>
      </c>
      <c r="I18" s="290">
        <v>1331</v>
      </c>
      <c r="J18" s="290">
        <v>451</v>
      </c>
      <c r="K18" s="290">
        <v>100</v>
      </c>
      <c r="L18" s="290">
        <v>85</v>
      </c>
      <c r="M18" s="290">
        <v>691</v>
      </c>
      <c r="N18" s="290">
        <v>207</v>
      </c>
      <c r="O18" s="290">
        <v>120</v>
      </c>
      <c r="P18" s="624">
        <v>29304.566999999999</v>
      </c>
      <c r="Q18" s="624">
        <v>21529.069666669999</v>
      </c>
      <c r="R18" s="1039">
        <v>59</v>
      </c>
      <c r="S18" s="290">
        <v>0</v>
      </c>
      <c r="T18" s="290">
        <v>890</v>
      </c>
      <c r="U18" s="958">
        <v>3.3155447601828174E-3</v>
      </c>
      <c r="V18" s="290">
        <v>-13249.51123984</v>
      </c>
      <c r="W18" s="765">
        <v>0.57930269999999995</v>
      </c>
      <c r="X18" s="290">
        <v>4200</v>
      </c>
      <c r="Y18" s="290"/>
      <c r="Z18" s="290">
        <v>415521.48</v>
      </c>
      <c r="AA18" s="290">
        <v>0</v>
      </c>
      <c r="AB18" s="290">
        <v>293</v>
      </c>
      <c r="AC18" s="290">
        <v>909</v>
      </c>
      <c r="AD18" s="290">
        <v>239</v>
      </c>
      <c r="AE18" s="290">
        <v>0</v>
      </c>
      <c r="AF18" s="290">
        <v>0</v>
      </c>
      <c r="AG18" s="290">
        <v>13009</v>
      </c>
      <c r="AH18" s="290">
        <v>2686</v>
      </c>
      <c r="AI18" s="290">
        <v>0</v>
      </c>
      <c r="AJ18" s="290">
        <v>0</v>
      </c>
      <c r="AK18" s="290">
        <v>0</v>
      </c>
      <c r="AL18" s="290">
        <v>0</v>
      </c>
      <c r="AM18" s="957">
        <v>0.33070948999999999</v>
      </c>
      <c r="AN18" s="290">
        <v>0</v>
      </c>
      <c r="AO18" s="290">
        <v>-3463.75653074</v>
      </c>
      <c r="AP18" s="290">
        <v>0</v>
      </c>
      <c r="AQ18" s="290">
        <v>0</v>
      </c>
      <c r="AR18" s="290">
        <v>-491.30428419999998</v>
      </c>
      <c r="AS18" s="290">
        <v>1224.4345000000001</v>
      </c>
      <c r="AT18" s="290">
        <v>626</v>
      </c>
      <c r="AU18" s="290">
        <v>134</v>
      </c>
      <c r="AV18" s="766">
        <v>366812</v>
      </c>
      <c r="AW18" s="290">
        <v>1100</v>
      </c>
      <c r="AX18" s="766">
        <v>68.958349999999996</v>
      </c>
      <c r="AY18" s="290">
        <v>2406</v>
      </c>
      <c r="AZ18" s="290">
        <v>663</v>
      </c>
      <c r="BA18" s="290">
        <v>332</v>
      </c>
      <c r="BB18" s="290">
        <v>0</v>
      </c>
      <c r="BC18" s="290">
        <v>19477.900137460001</v>
      </c>
      <c r="BD18" s="290"/>
      <c r="BE18" s="290">
        <v>347207.69711616001</v>
      </c>
      <c r="BF18" s="290">
        <v>0</v>
      </c>
      <c r="BG18" s="290">
        <v>10649</v>
      </c>
      <c r="BH18" s="290">
        <v>1000</v>
      </c>
      <c r="BI18" s="290">
        <v>3834</v>
      </c>
      <c r="BJ18" s="290">
        <v>147</v>
      </c>
      <c r="BK18" s="290">
        <v>570</v>
      </c>
      <c r="BL18" s="290">
        <v>0</v>
      </c>
      <c r="BM18" s="290">
        <v>0</v>
      </c>
      <c r="BN18" s="290">
        <v>356</v>
      </c>
      <c r="BO18" s="290">
        <v>-98</v>
      </c>
      <c r="BP18" s="290">
        <v>1212</v>
      </c>
      <c r="BQ18" s="290">
        <v>2424</v>
      </c>
      <c r="BR18" s="290">
        <v>1835</v>
      </c>
      <c r="BS18" s="290">
        <v>180</v>
      </c>
      <c r="BT18" s="290">
        <v>0</v>
      </c>
      <c r="BU18" s="290">
        <v>0</v>
      </c>
      <c r="BV18" s="290">
        <v>328</v>
      </c>
      <c r="BW18" s="290">
        <v>0</v>
      </c>
      <c r="BX18" s="290">
        <v>0</v>
      </c>
      <c r="BY18" s="290">
        <v>1248</v>
      </c>
      <c r="BZ18" s="290">
        <v>2000</v>
      </c>
      <c r="CA18" s="290">
        <v>4318.6559999999999</v>
      </c>
      <c r="CB18" s="290">
        <v>120</v>
      </c>
      <c r="CC18" s="290">
        <v>1</v>
      </c>
      <c r="CD18" s="290">
        <v>244</v>
      </c>
      <c r="CE18" s="290">
        <v>415521.48</v>
      </c>
      <c r="CF18" s="290">
        <v>0</v>
      </c>
      <c r="CG18" s="290">
        <v>0</v>
      </c>
      <c r="CH18" s="290">
        <v>0</v>
      </c>
      <c r="CI18" s="290">
        <v>0</v>
      </c>
      <c r="CJ18" s="290"/>
    </row>
    <row r="19" spans="1:88" ht="13">
      <c r="A19" s="1">
        <v>1133</v>
      </c>
      <c r="B19" s="2" t="s">
        <v>13</v>
      </c>
      <c r="C19" s="289">
        <v>2580</v>
      </c>
      <c r="D19" s="290">
        <v>56</v>
      </c>
      <c r="E19" s="290">
        <v>124</v>
      </c>
      <c r="F19" s="290">
        <v>366</v>
      </c>
      <c r="G19" s="290">
        <v>228</v>
      </c>
      <c r="H19" s="290">
        <v>1332</v>
      </c>
      <c r="I19" s="290">
        <v>353</v>
      </c>
      <c r="J19" s="290">
        <v>112</v>
      </c>
      <c r="K19" s="290">
        <v>29</v>
      </c>
      <c r="L19" s="290">
        <v>17</v>
      </c>
      <c r="M19" s="290">
        <v>206</v>
      </c>
      <c r="N19" s="290">
        <v>46</v>
      </c>
      <c r="O19" s="290">
        <v>46</v>
      </c>
      <c r="P19" s="624">
        <v>28674.771000000001</v>
      </c>
      <c r="Q19" s="624">
        <v>13655.248333330001</v>
      </c>
      <c r="R19" s="1039">
        <v>7</v>
      </c>
      <c r="S19" s="290">
        <v>0</v>
      </c>
      <c r="T19" s="290">
        <v>169</v>
      </c>
      <c r="U19" s="958">
        <v>4.0132700178462429E-3</v>
      </c>
      <c r="V19" s="290">
        <v>553.65582646999997</v>
      </c>
      <c r="W19" s="765">
        <v>1</v>
      </c>
      <c r="X19" s="290">
        <v>900</v>
      </c>
      <c r="Y19" s="290"/>
      <c r="Z19" s="290">
        <v>106916.879</v>
      </c>
      <c r="AA19" s="290">
        <v>0</v>
      </c>
      <c r="AB19" s="290">
        <v>46</v>
      </c>
      <c r="AC19" s="290">
        <v>175</v>
      </c>
      <c r="AD19" s="290">
        <v>71</v>
      </c>
      <c r="AE19" s="290">
        <v>0</v>
      </c>
      <c r="AF19" s="290">
        <v>0</v>
      </c>
      <c r="AG19" s="290">
        <v>2600</v>
      </c>
      <c r="AH19" s="290">
        <v>508</v>
      </c>
      <c r="AI19" s="290">
        <v>0</v>
      </c>
      <c r="AJ19" s="290">
        <v>0</v>
      </c>
      <c r="AK19" s="290">
        <v>177</v>
      </c>
      <c r="AL19" s="290">
        <v>0</v>
      </c>
      <c r="AM19" s="957">
        <v>3.617853E-2</v>
      </c>
      <c r="AN19" s="290">
        <v>0</v>
      </c>
      <c r="AO19" s="290">
        <v>-805.69138264000003</v>
      </c>
      <c r="AP19" s="290">
        <v>0</v>
      </c>
      <c r="AQ19" s="290">
        <v>0</v>
      </c>
      <c r="AR19" s="290">
        <v>754.00859476999995</v>
      </c>
      <c r="AS19" s="290">
        <v>284.0795</v>
      </c>
      <c r="AT19" s="290">
        <v>94</v>
      </c>
      <c r="AU19" s="290">
        <v>17</v>
      </c>
      <c r="AV19" s="766">
        <v>110806</v>
      </c>
      <c r="AW19" s="290">
        <v>0</v>
      </c>
      <c r="AX19" s="766">
        <v>19.041650000000001</v>
      </c>
      <c r="AY19" s="290">
        <v>500</v>
      </c>
      <c r="AZ19" s="290">
        <v>150</v>
      </c>
      <c r="BA19" s="290">
        <v>22</v>
      </c>
      <c r="BB19" s="290">
        <v>6034</v>
      </c>
      <c r="BC19" s="290">
        <v>5008.3345751099996</v>
      </c>
      <c r="BD19" s="290"/>
      <c r="BE19" s="290">
        <v>103836.92354449</v>
      </c>
      <c r="BF19" s="290">
        <v>0</v>
      </c>
      <c r="BG19" s="290">
        <v>2128</v>
      </c>
      <c r="BH19" s="290">
        <v>500</v>
      </c>
      <c r="BI19" s="290">
        <v>931</v>
      </c>
      <c r="BJ19" s="290">
        <v>34</v>
      </c>
      <c r="BK19" s="290">
        <v>107</v>
      </c>
      <c r="BL19" s="290">
        <v>0</v>
      </c>
      <c r="BM19" s="290">
        <v>0</v>
      </c>
      <c r="BN19" s="290">
        <v>67</v>
      </c>
      <c r="BO19" s="290">
        <v>-17</v>
      </c>
      <c r="BP19" s="290">
        <v>239</v>
      </c>
      <c r="BQ19" s="290">
        <v>479</v>
      </c>
      <c r="BR19" s="290">
        <v>362</v>
      </c>
      <c r="BS19" s="290">
        <v>53</v>
      </c>
      <c r="BT19" s="290">
        <v>0</v>
      </c>
      <c r="BU19" s="290">
        <v>0</v>
      </c>
      <c r="BV19" s="290">
        <v>62</v>
      </c>
      <c r="BW19" s="290">
        <v>0</v>
      </c>
      <c r="BX19" s="290">
        <v>0</v>
      </c>
      <c r="BY19" s="290">
        <v>293</v>
      </c>
      <c r="BZ19" s="290">
        <v>300</v>
      </c>
      <c r="CA19" s="290">
        <v>447</v>
      </c>
      <c r="CB19" s="290">
        <v>36</v>
      </c>
      <c r="CC19" s="290">
        <v>0</v>
      </c>
      <c r="CD19" s="290">
        <v>43</v>
      </c>
      <c r="CE19" s="290">
        <v>106916.879</v>
      </c>
      <c r="CF19" s="290">
        <v>5.677592463232827</v>
      </c>
      <c r="CG19" s="290">
        <v>0</v>
      </c>
      <c r="CH19" s="290">
        <v>0</v>
      </c>
      <c r="CI19" s="290">
        <v>0</v>
      </c>
      <c r="CJ19" s="290"/>
    </row>
    <row r="20" spans="1:88" ht="13">
      <c r="A20" s="1">
        <v>1134</v>
      </c>
      <c r="B20" s="2" t="s">
        <v>14</v>
      </c>
      <c r="C20" s="289">
        <v>3809</v>
      </c>
      <c r="D20" s="290">
        <v>68</v>
      </c>
      <c r="E20" s="290">
        <v>183</v>
      </c>
      <c r="F20" s="290">
        <v>517</v>
      </c>
      <c r="G20" s="290">
        <v>341</v>
      </c>
      <c r="H20" s="290">
        <v>1958</v>
      </c>
      <c r="I20" s="290">
        <v>522</v>
      </c>
      <c r="J20" s="290">
        <v>177</v>
      </c>
      <c r="K20" s="290">
        <v>35</v>
      </c>
      <c r="L20" s="290">
        <v>30</v>
      </c>
      <c r="M20" s="290">
        <v>250</v>
      </c>
      <c r="N20" s="290">
        <v>52</v>
      </c>
      <c r="O20" s="290">
        <v>39</v>
      </c>
      <c r="P20" s="624">
        <v>70517.779666670001</v>
      </c>
      <c r="Q20" s="624">
        <v>22900.501</v>
      </c>
      <c r="R20" s="1039">
        <v>14</v>
      </c>
      <c r="S20" s="290">
        <v>0</v>
      </c>
      <c r="T20" s="290">
        <v>277</v>
      </c>
      <c r="U20" s="958">
        <v>4.53814398508578E-3</v>
      </c>
      <c r="V20" s="290">
        <v>2310.9622284000002</v>
      </c>
      <c r="W20" s="765">
        <v>1</v>
      </c>
      <c r="X20" s="290">
        <v>0</v>
      </c>
      <c r="Y20" s="290"/>
      <c r="Z20" s="290">
        <v>161349.04399999999</v>
      </c>
      <c r="AA20" s="290">
        <v>0</v>
      </c>
      <c r="AB20" s="290">
        <v>66</v>
      </c>
      <c r="AC20" s="290">
        <v>247</v>
      </c>
      <c r="AD20" s="290">
        <v>101</v>
      </c>
      <c r="AE20" s="290">
        <v>0</v>
      </c>
      <c r="AF20" s="290">
        <v>0</v>
      </c>
      <c r="AG20" s="290">
        <v>3801</v>
      </c>
      <c r="AH20" s="290">
        <v>713</v>
      </c>
      <c r="AI20" s="290">
        <v>0</v>
      </c>
      <c r="AJ20" s="290">
        <v>0</v>
      </c>
      <c r="AK20" s="290">
        <v>858</v>
      </c>
      <c r="AL20" s="290">
        <v>0</v>
      </c>
      <c r="AM20" s="957">
        <v>2.5634649999999998E-2</v>
      </c>
      <c r="AN20" s="290">
        <v>0</v>
      </c>
      <c r="AO20" s="290">
        <v>-1156.7207861500001</v>
      </c>
      <c r="AP20" s="290">
        <v>0</v>
      </c>
      <c r="AQ20" s="290">
        <v>0</v>
      </c>
      <c r="AR20" s="290">
        <v>-143.55043309999999</v>
      </c>
      <c r="AS20" s="290">
        <v>383.41300000000001</v>
      </c>
      <c r="AT20" s="290">
        <v>144</v>
      </c>
      <c r="AU20" s="290">
        <v>16</v>
      </c>
      <c r="AV20" s="766">
        <v>143407</v>
      </c>
      <c r="AW20" s="290">
        <v>0</v>
      </c>
      <c r="AX20" s="766">
        <v>29.375050000000002</v>
      </c>
      <c r="AY20" s="290">
        <v>729</v>
      </c>
      <c r="AZ20" s="290">
        <v>161</v>
      </c>
      <c r="BA20" s="290">
        <v>44</v>
      </c>
      <c r="BB20" s="290">
        <v>0</v>
      </c>
      <c r="BC20" s="290">
        <v>6837.5974756599999</v>
      </c>
      <c r="BD20" s="290"/>
      <c r="BE20" s="290">
        <v>139068.14505955001</v>
      </c>
      <c r="BF20" s="290">
        <v>0</v>
      </c>
      <c r="BG20" s="290">
        <v>3112</v>
      </c>
      <c r="BH20" s="290">
        <v>1000</v>
      </c>
      <c r="BI20" s="290">
        <v>1919</v>
      </c>
      <c r="BJ20" s="290">
        <v>51</v>
      </c>
      <c r="BK20" s="290">
        <v>159</v>
      </c>
      <c r="BL20" s="290">
        <v>0</v>
      </c>
      <c r="BM20" s="290">
        <v>0</v>
      </c>
      <c r="BN20" s="290">
        <v>100</v>
      </c>
      <c r="BO20" s="290">
        <v>-24</v>
      </c>
      <c r="BP20" s="290">
        <v>353</v>
      </c>
      <c r="BQ20" s="290">
        <v>706</v>
      </c>
      <c r="BR20" s="290">
        <v>535</v>
      </c>
      <c r="BS20" s="290">
        <v>76</v>
      </c>
      <c r="BT20" s="290">
        <v>0</v>
      </c>
      <c r="BU20" s="290">
        <v>0</v>
      </c>
      <c r="BV20" s="290">
        <v>92</v>
      </c>
      <c r="BW20" s="290">
        <v>0</v>
      </c>
      <c r="BX20" s="290">
        <v>0</v>
      </c>
      <c r="BY20" s="290">
        <v>441</v>
      </c>
      <c r="BZ20" s="290">
        <v>300</v>
      </c>
      <c r="CA20" s="290">
        <v>267</v>
      </c>
      <c r="CB20" s="290">
        <v>46</v>
      </c>
      <c r="CC20" s="290">
        <v>0</v>
      </c>
      <c r="CD20" s="290">
        <v>60</v>
      </c>
      <c r="CE20" s="290">
        <v>161349.04399999999</v>
      </c>
      <c r="CF20" s="290">
        <v>818.42503196926407</v>
      </c>
      <c r="CG20" s="290">
        <v>725.83984912576238</v>
      </c>
      <c r="CH20" s="290">
        <v>624.47848092133381</v>
      </c>
      <c r="CI20" s="290">
        <v>516.53891246998728</v>
      </c>
      <c r="CJ20" s="290"/>
    </row>
    <row r="21" spans="1:88" ht="13">
      <c r="A21" s="1">
        <v>1135</v>
      </c>
      <c r="B21" s="2" t="s">
        <v>15</v>
      </c>
      <c r="C21" s="289">
        <v>4561</v>
      </c>
      <c r="D21" s="290">
        <v>79</v>
      </c>
      <c r="E21" s="290">
        <v>199</v>
      </c>
      <c r="F21" s="290">
        <v>579</v>
      </c>
      <c r="G21" s="290">
        <v>354</v>
      </c>
      <c r="H21" s="290">
        <v>2481</v>
      </c>
      <c r="I21" s="290">
        <v>550</v>
      </c>
      <c r="J21" s="290">
        <v>274</v>
      </c>
      <c r="K21" s="290">
        <v>59</v>
      </c>
      <c r="L21" s="290">
        <v>39</v>
      </c>
      <c r="M21" s="290">
        <v>386</v>
      </c>
      <c r="N21" s="290">
        <v>34</v>
      </c>
      <c r="O21" s="290">
        <v>66</v>
      </c>
      <c r="P21" s="624">
        <v>10725.459000000001</v>
      </c>
      <c r="Q21" s="624">
        <v>6904.3446666700002</v>
      </c>
      <c r="R21" s="1039">
        <v>24</v>
      </c>
      <c r="S21" s="290">
        <v>0</v>
      </c>
      <c r="T21" s="290">
        <v>399</v>
      </c>
      <c r="U21" s="958">
        <v>1.4068937984082922E-3</v>
      </c>
      <c r="V21" s="290">
        <v>2642.14574554</v>
      </c>
      <c r="W21" s="765">
        <v>0.68494882999999995</v>
      </c>
      <c r="X21" s="290">
        <v>2150</v>
      </c>
      <c r="Y21" s="290"/>
      <c r="Z21" s="290">
        <v>157986.484</v>
      </c>
      <c r="AA21" s="290">
        <v>0</v>
      </c>
      <c r="AB21" s="290">
        <v>100</v>
      </c>
      <c r="AC21" s="290">
        <v>250</v>
      </c>
      <c r="AD21" s="290">
        <v>96</v>
      </c>
      <c r="AE21" s="290">
        <v>0</v>
      </c>
      <c r="AF21" s="290">
        <v>0</v>
      </c>
      <c r="AG21" s="290">
        <v>4575</v>
      </c>
      <c r="AH21" s="290">
        <v>778</v>
      </c>
      <c r="AI21" s="290">
        <v>0</v>
      </c>
      <c r="AJ21" s="290">
        <v>0</v>
      </c>
      <c r="AK21" s="290">
        <v>401</v>
      </c>
      <c r="AL21" s="290">
        <v>0</v>
      </c>
      <c r="AM21" s="957">
        <v>3.9395239999999998E-2</v>
      </c>
      <c r="AN21" s="290">
        <v>6743</v>
      </c>
      <c r="AO21" s="290">
        <v>-1322.4902018600001</v>
      </c>
      <c r="AP21" s="290">
        <v>0</v>
      </c>
      <c r="AQ21" s="290">
        <v>0</v>
      </c>
      <c r="AR21" s="290">
        <v>-172.78169729999999</v>
      </c>
      <c r="AS21" s="290">
        <v>381.02300000000002</v>
      </c>
      <c r="AT21" s="290">
        <v>186</v>
      </c>
      <c r="AU21" s="290">
        <v>26</v>
      </c>
      <c r="AV21" s="766">
        <v>168998</v>
      </c>
      <c r="AW21" s="290">
        <v>0</v>
      </c>
      <c r="AX21" s="766">
        <v>29.083349999999999</v>
      </c>
      <c r="AY21" s="290">
        <v>842</v>
      </c>
      <c r="AZ21" s="290">
        <v>172</v>
      </c>
      <c r="BA21" s="290">
        <v>109</v>
      </c>
      <c r="BB21" s="290">
        <v>0</v>
      </c>
      <c r="BC21" s="290">
        <v>7578.1883574399999</v>
      </c>
      <c r="BD21" s="290"/>
      <c r="BE21" s="290">
        <v>159986.6145804</v>
      </c>
      <c r="BF21" s="290">
        <v>0</v>
      </c>
      <c r="BG21" s="290">
        <v>3745</v>
      </c>
      <c r="BH21" s="290">
        <v>1000</v>
      </c>
      <c r="BI21" s="290">
        <v>1525</v>
      </c>
      <c r="BJ21" s="290">
        <v>56</v>
      </c>
      <c r="BK21" s="290">
        <v>172</v>
      </c>
      <c r="BL21" s="290">
        <v>0</v>
      </c>
      <c r="BM21" s="290">
        <v>0</v>
      </c>
      <c r="BN21" s="290">
        <v>108</v>
      </c>
      <c r="BO21" s="290">
        <v>-32</v>
      </c>
      <c r="BP21" s="290">
        <v>423</v>
      </c>
      <c r="BQ21" s="290">
        <v>846</v>
      </c>
      <c r="BR21" s="290">
        <v>640</v>
      </c>
      <c r="BS21" s="290">
        <v>72</v>
      </c>
      <c r="BT21" s="290">
        <v>0</v>
      </c>
      <c r="BU21" s="290">
        <v>0</v>
      </c>
      <c r="BV21" s="290">
        <v>99</v>
      </c>
      <c r="BW21" s="290">
        <v>0</v>
      </c>
      <c r="BX21" s="290">
        <v>0</v>
      </c>
      <c r="BY21" s="290">
        <v>513</v>
      </c>
      <c r="BZ21" s="290">
        <v>400</v>
      </c>
      <c r="CA21" s="290">
        <v>362.39400000000001</v>
      </c>
      <c r="CB21" s="290">
        <v>49</v>
      </c>
      <c r="CC21" s="290">
        <v>0</v>
      </c>
      <c r="CD21" s="290">
        <v>78</v>
      </c>
      <c r="CE21" s="290">
        <v>157986.484</v>
      </c>
      <c r="CF21" s="290">
        <v>140.18376523353731</v>
      </c>
      <c r="CG21" s="290">
        <v>0</v>
      </c>
      <c r="CH21" s="290">
        <v>0</v>
      </c>
      <c r="CI21" s="290">
        <v>0</v>
      </c>
      <c r="CJ21" s="290"/>
    </row>
    <row r="22" spans="1:88" ht="13">
      <c r="A22" s="1">
        <v>1144</v>
      </c>
      <c r="B22" s="2" t="s">
        <v>18</v>
      </c>
      <c r="C22" s="289">
        <v>507</v>
      </c>
      <c r="D22" s="290">
        <v>8</v>
      </c>
      <c r="E22" s="290">
        <v>21</v>
      </c>
      <c r="F22" s="290">
        <v>59</v>
      </c>
      <c r="G22" s="290">
        <v>49</v>
      </c>
      <c r="H22" s="290">
        <v>269</v>
      </c>
      <c r="I22" s="290">
        <v>68</v>
      </c>
      <c r="J22" s="290">
        <v>32</v>
      </c>
      <c r="K22" s="290">
        <v>7</v>
      </c>
      <c r="L22" s="290">
        <v>3</v>
      </c>
      <c r="M22" s="290">
        <v>37</v>
      </c>
      <c r="N22" s="290">
        <v>4</v>
      </c>
      <c r="O22" s="290">
        <v>5</v>
      </c>
      <c r="P22" s="624">
        <v>375.31933333000001</v>
      </c>
      <c r="Q22" s="624">
        <v>459.12733333</v>
      </c>
      <c r="R22" s="1039">
        <v>1</v>
      </c>
      <c r="S22" s="290">
        <v>0</v>
      </c>
      <c r="T22" s="290">
        <v>33</v>
      </c>
      <c r="U22" s="958">
        <v>2.402187495965754E-4</v>
      </c>
      <c r="V22" s="290">
        <v>307.00677252000003</v>
      </c>
      <c r="W22" s="765">
        <v>1</v>
      </c>
      <c r="X22" s="290">
        <v>1250</v>
      </c>
      <c r="Y22" s="290"/>
      <c r="Z22" s="290">
        <v>15499.978999999999</v>
      </c>
      <c r="AA22" s="290">
        <v>0</v>
      </c>
      <c r="AB22" s="290">
        <v>4</v>
      </c>
      <c r="AC22" s="290">
        <v>36</v>
      </c>
      <c r="AD22" s="290">
        <v>26</v>
      </c>
      <c r="AE22" s="290">
        <v>0</v>
      </c>
      <c r="AF22" s="290">
        <v>0</v>
      </c>
      <c r="AG22" s="290">
        <v>513</v>
      </c>
      <c r="AH22" s="290">
        <v>100</v>
      </c>
      <c r="AI22" s="290">
        <v>440</v>
      </c>
      <c r="AJ22" s="290">
        <v>0</v>
      </c>
      <c r="AK22" s="290">
        <v>0</v>
      </c>
      <c r="AL22" s="290">
        <v>0</v>
      </c>
      <c r="AM22" s="957">
        <v>2.0202900000000001E-3</v>
      </c>
      <c r="AN22" s="290">
        <v>0</v>
      </c>
      <c r="AO22" s="290">
        <v>-206.52472134999999</v>
      </c>
      <c r="AP22" s="290">
        <v>0</v>
      </c>
      <c r="AQ22" s="290">
        <v>0</v>
      </c>
      <c r="AR22" s="290">
        <v>-19.374209990000001</v>
      </c>
      <c r="AS22" s="290">
        <v>66.87</v>
      </c>
      <c r="AT22" s="290">
        <v>20</v>
      </c>
      <c r="AU22" s="290">
        <v>1.5</v>
      </c>
      <c r="AV22" s="766">
        <v>34205</v>
      </c>
      <c r="AW22" s="290">
        <v>0</v>
      </c>
      <c r="AX22" s="766">
        <v>2.5</v>
      </c>
      <c r="AY22" s="290">
        <v>91</v>
      </c>
      <c r="AZ22" s="290">
        <v>18</v>
      </c>
      <c r="BA22" s="290">
        <v>6</v>
      </c>
      <c r="BB22" s="290">
        <v>3017</v>
      </c>
      <c r="BC22" s="290">
        <v>1028.74</v>
      </c>
      <c r="BD22" s="290"/>
      <c r="BE22" s="290">
        <v>34037.635002429997</v>
      </c>
      <c r="BF22" s="290">
        <v>0</v>
      </c>
      <c r="BG22" s="290">
        <v>420</v>
      </c>
      <c r="BH22" s="290">
        <v>500</v>
      </c>
      <c r="BI22" s="290">
        <v>162</v>
      </c>
      <c r="BJ22" s="290">
        <v>6</v>
      </c>
      <c r="BK22" s="290">
        <v>18</v>
      </c>
      <c r="BL22" s="290">
        <v>0</v>
      </c>
      <c r="BM22" s="290">
        <v>0</v>
      </c>
      <c r="BN22" s="290">
        <v>11</v>
      </c>
      <c r="BO22" s="290">
        <v>-3</v>
      </c>
      <c r="BP22" s="290">
        <v>47</v>
      </c>
      <c r="BQ22" s="290">
        <v>94</v>
      </c>
      <c r="BR22" s="290">
        <v>71</v>
      </c>
      <c r="BS22" s="290">
        <v>19</v>
      </c>
      <c r="BT22" s="290">
        <v>0</v>
      </c>
      <c r="BU22" s="290">
        <v>0</v>
      </c>
      <c r="BV22" s="290">
        <v>10</v>
      </c>
      <c r="BW22" s="290">
        <v>0</v>
      </c>
      <c r="BX22" s="290">
        <v>0</v>
      </c>
      <c r="BY22" s="290">
        <v>60</v>
      </c>
      <c r="BZ22" s="290">
        <v>100</v>
      </c>
      <c r="CA22" s="290">
        <v>408.06799999999998</v>
      </c>
      <c r="CB22" s="290">
        <v>18</v>
      </c>
      <c r="CC22" s="290">
        <v>0</v>
      </c>
      <c r="CD22" s="290">
        <v>7</v>
      </c>
      <c r="CE22" s="290">
        <v>15499.978999999999</v>
      </c>
      <c r="CF22" s="290">
        <v>0</v>
      </c>
      <c r="CG22" s="290">
        <v>0</v>
      </c>
      <c r="CH22" s="290">
        <v>0</v>
      </c>
      <c r="CI22" s="290">
        <v>0</v>
      </c>
      <c r="CJ22" s="290"/>
    </row>
    <row r="23" spans="1:88" ht="13">
      <c r="A23" s="1">
        <v>1145</v>
      </c>
      <c r="B23" s="2" t="s">
        <v>19</v>
      </c>
      <c r="C23" s="289">
        <v>859</v>
      </c>
      <c r="D23" s="290">
        <v>15</v>
      </c>
      <c r="E23" s="290">
        <v>34</v>
      </c>
      <c r="F23" s="290">
        <v>93</v>
      </c>
      <c r="G23" s="290">
        <v>86</v>
      </c>
      <c r="H23" s="290">
        <v>459</v>
      </c>
      <c r="I23" s="290">
        <v>108</v>
      </c>
      <c r="J23" s="290">
        <v>46</v>
      </c>
      <c r="K23" s="290">
        <v>12</v>
      </c>
      <c r="L23" s="290">
        <v>4</v>
      </c>
      <c r="M23" s="290">
        <v>68</v>
      </c>
      <c r="N23" s="290">
        <v>0</v>
      </c>
      <c r="O23" s="290">
        <v>5</v>
      </c>
      <c r="P23" s="624">
        <v>2169.02266667</v>
      </c>
      <c r="Q23" s="624">
        <v>2276.0129999999999</v>
      </c>
      <c r="R23" s="1039">
        <v>3</v>
      </c>
      <c r="S23" s="290">
        <v>0</v>
      </c>
      <c r="T23" s="290">
        <v>52</v>
      </c>
      <c r="U23" s="958">
        <v>8.307906525112464E-4</v>
      </c>
      <c r="V23" s="290">
        <v>457.08159060000003</v>
      </c>
      <c r="W23" s="765">
        <v>0.90676679999999998</v>
      </c>
      <c r="X23" s="290">
        <v>1800</v>
      </c>
      <c r="Y23" s="290"/>
      <c r="Z23" s="290">
        <v>27882.303</v>
      </c>
      <c r="AA23" s="290">
        <v>0</v>
      </c>
      <c r="AB23" s="290">
        <v>20</v>
      </c>
      <c r="AC23" s="290">
        <v>50</v>
      </c>
      <c r="AD23" s="290">
        <v>31</v>
      </c>
      <c r="AE23" s="290">
        <v>0</v>
      </c>
      <c r="AF23" s="290">
        <v>0</v>
      </c>
      <c r="AG23" s="290">
        <v>853</v>
      </c>
      <c r="AH23" s="290">
        <v>147</v>
      </c>
      <c r="AI23" s="290">
        <v>0</v>
      </c>
      <c r="AJ23" s="290">
        <v>0</v>
      </c>
      <c r="AK23" s="290">
        <v>105</v>
      </c>
      <c r="AL23" s="290">
        <v>0</v>
      </c>
      <c r="AM23" s="957">
        <v>4.4854400000000003E-3</v>
      </c>
      <c r="AN23" s="290">
        <v>0</v>
      </c>
      <c r="AO23" s="290">
        <v>-281.64263519000002</v>
      </c>
      <c r="AP23" s="290">
        <v>0</v>
      </c>
      <c r="AQ23" s="290">
        <v>0</v>
      </c>
      <c r="AR23" s="290">
        <v>3250.0940353999999</v>
      </c>
      <c r="AS23" s="290">
        <v>95.257000000000005</v>
      </c>
      <c r="AT23" s="290">
        <v>37</v>
      </c>
      <c r="AU23" s="290">
        <v>4</v>
      </c>
      <c r="AV23" s="766">
        <v>46087</v>
      </c>
      <c r="AW23" s="290">
        <v>0</v>
      </c>
      <c r="AX23" s="766">
        <v>0.66669999999999996</v>
      </c>
      <c r="AY23" s="290">
        <v>120</v>
      </c>
      <c r="AZ23" s="290">
        <v>22</v>
      </c>
      <c r="BA23" s="290">
        <v>11</v>
      </c>
      <c r="BB23" s="290">
        <v>3017</v>
      </c>
      <c r="BC23" s="290">
        <v>1560.8477299900001</v>
      </c>
      <c r="BD23" s="290"/>
      <c r="BE23" s="290">
        <v>40725.268154509999</v>
      </c>
      <c r="BF23" s="290">
        <v>0</v>
      </c>
      <c r="BG23" s="290">
        <v>698</v>
      </c>
      <c r="BH23" s="290">
        <v>500</v>
      </c>
      <c r="BI23" s="290">
        <v>333</v>
      </c>
      <c r="BJ23" s="290">
        <v>10</v>
      </c>
      <c r="BK23" s="290">
        <v>27</v>
      </c>
      <c r="BL23" s="290">
        <v>0</v>
      </c>
      <c r="BM23" s="290">
        <v>0</v>
      </c>
      <c r="BN23" s="290">
        <v>17</v>
      </c>
      <c r="BO23" s="290">
        <v>-5</v>
      </c>
      <c r="BP23" s="290">
        <v>80</v>
      </c>
      <c r="BQ23" s="290">
        <v>159</v>
      </c>
      <c r="BR23" s="290">
        <v>121</v>
      </c>
      <c r="BS23" s="290">
        <v>23</v>
      </c>
      <c r="BT23" s="290">
        <v>0</v>
      </c>
      <c r="BU23" s="290">
        <v>0</v>
      </c>
      <c r="BV23" s="290">
        <v>15</v>
      </c>
      <c r="BW23" s="290">
        <v>0</v>
      </c>
      <c r="BX23" s="290">
        <v>0</v>
      </c>
      <c r="BY23" s="290">
        <v>98</v>
      </c>
      <c r="BZ23" s="290">
        <v>100</v>
      </c>
      <c r="CA23" s="290">
        <v>679.89800000000002</v>
      </c>
      <c r="CB23" s="290">
        <v>20</v>
      </c>
      <c r="CC23" s="290">
        <v>0</v>
      </c>
      <c r="CD23" s="290">
        <v>12</v>
      </c>
      <c r="CE23" s="290">
        <v>27882.303</v>
      </c>
      <c r="CF23" s="290">
        <v>67.921461247807514</v>
      </c>
      <c r="CG23" s="290">
        <v>19.102983570279491</v>
      </c>
      <c r="CH23" s="290">
        <v>0</v>
      </c>
      <c r="CI23" s="290">
        <v>0</v>
      </c>
      <c r="CJ23" s="290"/>
    </row>
    <row r="24" spans="1:88" ht="13">
      <c r="A24" s="1">
        <v>1146</v>
      </c>
      <c r="B24" s="2" t="s">
        <v>20</v>
      </c>
      <c r="C24" s="289">
        <v>11178</v>
      </c>
      <c r="D24" s="290">
        <v>249</v>
      </c>
      <c r="E24" s="290">
        <v>619</v>
      </c>
      <c r="F24" s="290">
        <v>1673</v>
      </c>
      <c r="G24" s="290">
        <v>1053</v>
      </c>
      <c r="H24" s="290">
        <v>5945</v>
      </c>
      <c r="I24" s="290">
        <v>1224</v>
      </c>
      <c r="J24" s="290">
        <v>351</v>
      </c>
      <c r="K24" s="290">
        <v>67</v>
      </c>
      <c r="L24" s="290">
        <v>77</v>
      </c>
      <c r="M24" s="290">
        <v>548</v>
      </c>
      <c r="N24" s="290">
        <v>158</v>
      </c>
      <c r="O24" s="290">
        <v>85</v>
      </c>
      <c r="P24" s="624">
        <v>100555.12733333001</v>
      </c>
      <c r="Q24" s="624">
        <v>29652.23666667</v>
      </c>
      <c r="R24" s="1039">
        <v>33</v>
      </c>
      <c r="S24" s="290">
        <v>0</v>
      </c>
      <c r="T24" s="290">
        <v>619</v>
      </c>
      <c r="U24" s="958">
        <v>5.5627095143150089E-3</v>
      </c>
      <c r="V24" s="290">
        <v>2779.2297885500002</v>
      </c>
      <c r="W24" s="765">
        <v>0.66140706000000005</v>
      </c>
      <c r="X24" s="290">
        <v>1200</v>
      </c>
      <c r="Y24" s="290"/>
      <c r="Z24" s="290">
        <v>356276.337</v>
      </c>
      <c r="AA24" s="290">
        <v>0</v>
      </c>
      <c r="AB24" s="290">
        <v>238</v>
      </c>
      <c r="AC24" s="290">
        <v>711</v>
      </c>
      <c r="AD24" s="290">
        <v>223</v>
      </c>
      <c r="AE24" s="290">
        <v>0</v>
      </c>
      <c r="AF24" s="290">
        <v>0</v>
      </c>
      <c r="AG24" s="290">
        <v>11181</v>
      </c>
      <c r="AH24" s="290">
        <v>2364</v>
      </c>
      <c r="AI24" s="290">
        <v>0</v>
      </c>
      <c r="AJ24" s="290">
        <v>0</v>
      </c>
      <c r="AK24" s="290">
        <v>22442</v>
      </c>
      <c r="AL24" s="290">
        <v>0</v>
      </c>
      <c r="AM24" s="957">
        <v>0.11554916</v>
      </c>
      <c r="AN24" s="290">
        <v>0</v>
      </c>
      <c r="AO24" s="290">
        <v>-2976.80517315</v>
      </c>
      <c r="AP24" s="290">
        <v>0</v>
      </c>
      <c r="AQ24" s="290">
        <v>0</v>
      </c>
      <c r="AR24" s="290">
        <v>-422.26713826000002</v>
      </c>
      <c r="AS24" s="290">
        <v>1116.558</v>
      </c>
      <c r="AT24" s="290">
        <v>481</v>
      </c>
      <c r="AU24" s="290">
        <v>76</v>
      </c>
      <c r="AV24" s="766">
        <v>340488</v>
      </c>
      <c r="AW24" s="290">
        <v>1400</v>
      </c>
      <c r="AX24" s="766">
        <v>81.541650000000004</v>
      </c>
      <c r="AY24" s="290">
        <v>2127</v>
      </c>
      <c r="AZ24" s="290">
        <v>387</v>
      </c>
      <c r="BA24" s="290">
        <v>199</v>
      </c>
      <c r="BB24" s="290">
        <v>0</v>
      </c>
      <c r="BC24" s="290">
        <v>32571.208638600001</v>
      </c>
      <c r="BD24" s="290"/>
      <c r="BE24" s="290">
        <v>332569.74671490001</v>
      </c>
      <c r="BF24" s="290">
        <v>0</v>
      </c>
      <c r="BG24" s="290">
        <v>9153</v>
      </c>
      <c r="BH24" s="290">
        <v>1000</v>
      </c>
      <c r="BI24" s="290">
        <v>25740</v>
      </c>
      <c r="BJ24" s="290">
        <v>127</v>
      </c>
      <c r="BK24" s="290">
        <v>523</v>
      </c>
      <c r="BL24" s="290">
        <v>0</v>
      </c>
      <c r="BM24" s="290">
        <v>0</v>
      </c>
      <c r="BN24" s="290">
        <v>327</v>
      </c>
      <c r="BO24" s="290">
        <v>-69</v>
      </c>
      <c r="BP24" s="290">
        <v>1037</v>
      </c>
      <c r="BQ24" s="290">
        <v>2073</v>
      </c>
      <c r="BR24" s="290">
        <v>1569</v>
      </c>
      <c r="BS24" s="290">
        <v>168</v>
      </c>
      <c r="BT24" s="290">
        <v>0</v>
      </c>
      <c r="BU24" s="290">
        <v>0</v>
      </c>
      <c r="BV24" s="290">
        <v>301</v>
      </c>
      <c r="BW24" s="290">
        <v>0</v>
      </c>
      <c r="BX24" s="290">
        <v>0</v>
      </c>
      <c r="BY24" s="290">
        <v>1080</v>
      </c>
      <c r="BZ24" s="290">
        <v>3000</v>
      </c>
      <c r="CA24" s="290">
        <v>2196.598</v>
      </c>
      <c r="CB24" s="290">
        <v>106</v>
      </c>
      <c r="CC24" s="290">
        <v>1</v>
      </c>
      <c r="CD24" s="290">
        <v>172</v>
      </c>
      <c r="CE24" s="290">
        <v>356276.337</v>
      </c>
      <c r="CF24" s="290">
        <v>28976.52546219145</v>
      </c>
      <c r="CG24" s="290">
        <v>35356.812017634569</v>
      </c>
      <c r="CH24" s="290">
        <v>41711.588880889947</v>
      </c>
      <c r="CI24" s="290">
        <v>48047.244923817692</v>
      </c>
      <c r="CJ24" s="290"/>
    </row>
    <row r="25" spans="1:88" ht="13">
      <c r="A25" s="1">
        <v>1149</v>
      </c>
      <c r="B25" s="2" t="s">
        <v>21</v>
      </c>
      <c r="C25" s="289">
        <v>42345</v>
      </c>
      <c r="D25" s="290">
        <v>901</v>
      </c>
      <c r="E25" s="290">
        <v>2029</v>
      </c>
      <c r="F25" s="290">
        <v>5762</v>
      </c>
      <c r="G25" s="290">
        <v>3738</v>
      </c>
      <c r="H25" s="290">
        <v>23332</v>
      </c>
      <c r="I25" s="290">
        <v>4671</v>
      </c>
      <c r="J25" s="290">
        <v>1524</v>
      </c>
      <c r="K25" s="290">
        <v>316</v>
      </c>
      <c r="L25" s="290">
        <v>318</v>
      </c>
      <c r="M25" s="290">
        <v>2375</v>
      </c>
      <c r="N25" s="290">
        <v>485</v>
      </c>
      <c r="O25" s="290">
        <v>324</v>
      </c>
      <c r="P25" s="624">
        <v>107983.44633332999</v>
      </c>
      <c r="Q25" s="624">
        <v>59230.181333330002</v>
      </c>
      <c r="R25" s="1039">
        <v>181</v>
      </c>
      <c r="S25" s="290">
        <v>0</v>
      </c>
      <c r="T25" s="290">
        <v>2972</v>
      </c>
      <c r="U25" s="958">
        <v>5.4267655732119398E-3</v>
      </c>
      <c r="V25" s="290">
        <v>-19789.502784640001</v>
      </c>
      <c r="W25" s="765">
        <v>0.56046927999999996</v>
      </c>
      <c r="X25" s="290">
        <v>1750</v>
      </c>
      <c r="Y25" s="290"/>
      <c r="Z25" s="290">
        <v>1289099.81</v>
      </c>
      <c r="AA25" s="290">
        <v>0</v>
      </c>
      <c r="AB25" s="290">
        <v>1116</v>
      </c>
      <c r="AC25" s="290">
        <v>2355</v>
      </c>
      <c r="AD25" s="290">
        <v>756</v>
      </c>
      <c r="AE25" s="290">
        <v>0</v>
      </c>
      <c r="AF25" s="290">
        <v>0</v>
      </c>
      <c r="AG25" s="290">
        <v>42273</v>
      </c>
      <c r="AH25" s="290">
        <v>8137</v>
      </c>
      <c r="AI25" s="290">
        <v>1200</v>
      </c>
      <c r="AJ25" s="290">
        <v>0</v>
      </c>
      <c r="AK25" s="290">
        <v>9075</v>
      </c>
      <c r="AL25" s="290">
        <v>0</v>
      </c>
      <c r="AM25" s="957">
        <v>0.66627581999999996</v>
      </c>
      <c r="AN25" s="290">
        <v>0</v>
      </c>
      <c r="AO25" s="290">
        <v>-10814.43857509</v>
      </c>
      <c r="AP25" s="290">
        <v>0</v>
      </c>
      <c r="AQ25" s="290">
        <v>0</v>
      </c>
      <c r="AR25" s="290">
        <v>-1596.5028830799999</v>
      </c>
      <c r="AS25" s="290">
        <v>3573.8685</v>
      </c>
      <c r="AT25" s="290">
        <v>2144</v>
      </c>
      <c r="AU25" s="290">
        <v>361</v>
      </c>
      <c r="AV25" s="766">
        <v>1111183</v>
      </c>
      <c r="AW25" s="290">
        <v>6500</v>
      </c>
      <c r="AX25" s="766">
        <v>271.91669999999999</v>
      </c>
      <c r="AY25" s="290">
        <v>7707</v>
      </c>
      <c r="AZ25" s="290">
        <v>1532</v>
      </c>
      <c r="BA25" s="290">
        <v>956</v>
      </c>
      <c r="BB25" s="290">
        <v>0</v>
      </c>
      <c r="BC25" s="290">
        <v>67796.492847710004</v>
      </c>
      <c r="BD25" s="290"/>
      <c r="BE25" s="290">
        <v>1050329.0832076001</v>
      </c>
      <c r="BF25" s="290">
        <v>0</v>
      </c>
      <c r="BG25" s="290">
        <v>34605</v>
      </c>
      <c r="BH25" s="290">
        <v>1500</v>
      </c>
      <c r="BI25" s="290">
        <v>20323</v>
      </c>
      <c r="BJ25" s="290">
        <v>486</v>
      </c>
      <c r="BK25" s="290">
        <v>1728</v>
      </c>
      <c r="BL25" s="290">
        <v>0</v>
      </c>
      <c r="BM25" s="290">
        <v>0</v>
      </c>
      <c r="BN25" s="290">
        <v>1081</v>
      </c>
      <c r="BO25" s="290">
        <v>-303</v>
      </c>
      <c r="BP25" s="290">
        <v>3927</v>
      </c>
      <c r="BQ25" s="290">
        <v>7854</v>
      </c>
      <c r="BR25" s="290">
        <v>5946</v>
      </c>
      <c r="BS25" s="290">
        <v>567</v>
      </c>
      <c r="BT25" s="290">
        <v>0</v>
      </c>
      <c r="BU25" s="290">
        <v>0</v>
      </c>
      <c r="BV25" s="290">
        <v>994</v>
      </c>
      <c r="BW25" s="290">
        <v>0</v>
      </c>
      <c r="BX25" s="290">
        <v>0</v>
      </c>
      <c r="BY25" s="290">
        <v>4187</v>
      </c>
      <c r="BZ25" s="290">
        <v>11200</v>
      </c>
      <c r="CA25" s="290">
        <v>9722.0470000000005</v>
      </c>
      <c r="CB25" s="290">
        <v>371</v>
      </c>
      <c r="CC25" s="290">
        <v>3</v>
      </c>
      <c r="CD25" s="290">
        <v>750</v>
      </c>
      <c r="CE25" s="290">
        <v>1289099.81</v>
      </c>
      <c r="CF25" s="290">
        <v>8482.8201557962075</v>
      </c>
      <c r="CG25" s="290">
        <v>7300.9716003649519</v>
      </c>
      <c r="CH25" s="290">
        <v>6021.597280304788</v>
      </c>
      <c r="CI25" s="290">
        <v>4669.1224065782371</v>
      </c>
      <c r="CJ25" s="290"/>
    </row>
    <row r="26" spans="1:88" ht="13">
      <c r="A26" s="1">
        <v>1151</v>
      </c>
      <c r="B26" s="2" t="s">
        <v>22</v>
      </c>
      <c r="C26" s="289">
        <v>192</v>
      </c>
      <c r="D26" s="290">
        <v>3</v>
      </c>
      <c r="E26" s="290">
        <v>6</v>
      </c>
      <c r="F26" s="290">
        <v>21</v>
      </c>
      <c r="G26" s="290">
        <v>21</v>
      </c>
      <c r="H26" s="290">
        <v>105</v>
      </c>
      <c r="I26" s="290">
        <v>25</v>
      </c>
      <c r="J26" s="290">
        <v>10</v>
      </c>
      <c r="K26" s="290">
        <v>2</v>
      </c>
      <c r="L26" s="290">
        <v>2</v>
      </c>
      <c r="M26" s="290">
        <v>15</v>
      </c>
      <c r="N26" s="290">
        <v>1.5</v>
      </c>
      <c r="O26" s="290">
        <v>3</v>
      </c>
      <c r="P26" s="624">
        <v>0</v>
      </c>
      <c r="Q26" s="624">
        <v>0</v>
      </c>
      <c r="R26" s="1039">
        <v>0</v>
      </c>
      <c r="S26" s="290">
        <v>0</v>
      </c>
      <c r="T26" s="290">
        <v>15</v>
      </c>
      <c r="U26" s="958">
        <v>1.6067290545567663E-4</v>
      </c>
      <c r="V26" s="290">
        <v>251.16622913</v>
      </c>
      <c r="W26" s="765">
        <v>1</v>
      </c>
      <c r="X26" s="290">
        <v>0</v>
      </c>
      <c r="Y26" s="290"/>
      <c r="Z26" s="290">
        <v>6575.7209999999995</v>
      </c>
      <c r="AA26" s="290">
        <v>0</v>
      </c>
      <c r="AB26" s="290">
        <v>2</v>
      </c>
      <c r="AC26" s="290">
        <v>21</v>
      </c>
      <c r="AD26" s="290">
        <v>20</v>
      </c>
      <c r="AE26" s="290">
        <v>0</v>
      </c>
      <c r="AF26" s="290">
        <v>0</v>
      </c>
      <c r="AG26" s="290">
        <v>193</v>
      </c>
      <c r="AH26" s="290">
        <v>100</v>
      </c>
      <c r="AI26" s="290">
        <v>1225</v>
      </c>
      <c r="AJ26" s="290">
        <v>0</v>
      </c>
      <c r="AK26" s="290">
        <v>0</v>
      </c>
      <c r="AL26" s="290">
        <v>0</v>
      </c>
      <c r="AM26" s="957">
        <v>2.1043799999999999E-3</v>
      </c>
      <c r="AN26" s="290">
        <v>0</v>
      </c>
      <c r="AO26" s="290">
        <v>-125.71784794</v>
      </c>
      <c r="AP26" s="290">
        <v>0</v>
      </c>
      <c r="AQ26" s="290">
        <v>0</v>
      </c>
      <c r="AR26" s="290">
        <v>-7.2889328000000004</v>
      </c>
      <c r="AS26" s="290">
        <v>33.6325</v>
      </c>
      <c r="AT26" s="290">
        <v>5</v>
      </c>
      <c r="AU26" s="290">
        <v>1.5</v>
      </c>
      <c r="AV26" s="766">
        <v>28558</v>
      </c>
      <c r="AW26" s="290">
        <v>0</v>
      </c>
      <c r="AX26" s="766">
        <v>1.5417000000000001</v>
      </c>
      <c r="AY26" s="290">
        <v>43</v>
      </c>
      <c r="AZ26" s="290">
        <v>11</v>
      </c>
      <c r="BA26" s="290">
        <v>5</v>
      </c>
      <c r="BB26" s="290">
        <v>6034</v>
      </c>
      <c r="BC26" s="290">
        <v>663.26499999999999</v>
      </c>
      <c r="BD26" s="290"/>
      <c r="BE26" s="290">
        <v>28027.015844549998</v>
      </c>
      <c r="BF26" s="290">
        <v>0</v>
      </c>
      <c r="BG26" s="290">
        <v>158</v>
      </c>
      <c r="BH26" s="290">
        <v>500</v>
      </c>
      <c r="BI26" s="290">
        <v>141</v>
      </c>
      <c r="BJ26" s="290">
        <v>2</v>
      </c>
      <c r="BK26" s="290">
        <v>6</v>
      </c>
      <c r="BL26" s="290">
        <v>0</v>
      </c>
      <c r="BM26" s="290">
        <v>0</v>
      </c>
      <c r="BN26" s="290">
        <v>4</v>
      </c>
      <c r="BO26" s="290">
        <v>-1</v>
      </c>
      <c r="BP26" s="290">
        <v>18</v>
      </c>
      <c r="BQ26" s="290">
        <v>36</v>
      </c>
      <c r="BR26" s="290">
        <v>27</v>
      </c>
      <c r="BS26" s="290">
        <v>15</v>
      </c>
      <c r="BT26" s="290">
        <v>0</v>
      </c>
      <c r="BU26" s="290">
        <v>0</v>
      </c>
      <c r="BV26" s="290">
        <v>3</v>
      </c>
      <c r="BW26" s="290">
        <v>0</v>
      </c>
      <c r="BX26" s="290">
        <v>0</v>
      </c>
      <c r="BY26" s="290">
        <v>22</v>
      </c>
      <c r="BZ26" s="290">
        <v>100</v>
      </c>
      <c r="CA26" s="290">
        <v>24.013000000000002</v>
      </c>
      <c r="CB26" s="290">
        <v>16</v>
      </c>
      <c r="CC26" s="290">
        <v>0</v>
      </c>
      <c r="CD26" s="290">
        <v>3</v>
      </c>
      <c r="CE26" s="290">
        <v>6575.7209999999995</v>
      </c>
      <c r="CF26" s="290">
        <v>0</v>
      </c>
      <c r="CG26" s="290">
        <v>0</v>
      </c>
      <c r="CH26" s="290">
        <v>0</v>
      </c>
      <c r="CI26" s="290">
        <v>0</v>
      </c>
      <c r="CJ26" s="290"/>
    </row>
    <row r="27" spans="1:88" ht="13">
      <c r="A27" s="1">
        <v>1160</v>
      </c>
      <c r="B27" s="2" t="s">
        <v>1543</v>
      </c>
      <c r="C27" s="289">
        <v>8705</v>
      </c>
      <c r="D27" s="290">
        <v>185</v>
      </c>
      <c r="E27" s="290">
        <v>420</v>
      </c>
      <c r="F27" s="290">
        <v>1109</v>
      </c>
      <c r="G27" s="290">
        <v>805</v>
      </c>
      <c r="H27" s="290">
        <v>4743</v>
      </c>
      <c r="I27" s="290">
        <v>960</v>
      </c>
      <c r="J27" s="290">
        <v>358</v>
      </c>
      <c r="K27" s="290">
        <v>96</v>
      </c>
      <c r="L27" s="290">
        <v>68</v>
      </c>
      <c r="M27" s="290">
        <v>571</v>
      </c>
      <c r="N27" s="290">
        <v>76</v>
      </c>
      <c r="O27" s="290">
        <v>91</v>
      </c>
      <c r="P27" s="624">
        <v>61214.499333330001</v>
      </c>
      <c r="Q27" s="624">
        <v>25050.41766667</v>
      </c>
      <c r="R27" s="1039">
        <v>27</v>
      </c>
      <c r="S27" s="290">
        <v>0</v>
      </c>
      <c r="T27" s="290">
        <v>618</v>
      </c>
      <c r="U27" s="958">
        <v>8.1556219581829393E-3</v>
      </c>
      <c r="V27" s="290">
        <v>4219.0953007899998</v>
      </c>
      <c r="W27" s="765">
        <v>0.74265535999999999</v>
      </c>
      <c r="X27" s="290">
        <v>3180</v>
      </c>
      <c r="Y27" s="290"/>
      <c r="Z27" s="290">
        <v>338882.98200000002</v>
      </c>
      <c r="AA27" s="290">
        <v>0</v>
      </c>
      <c r="AB27" s="290">
        <v>137</v>
      </c>
      <c r="AC27" s="290">
        <v>481</v>
      </c>
      <c r="AD27" s="290">
        <v>177</v>
      </c>
      <c r="AE27" s="290">
        <v>0</v>
      </c>
      <c r="AF27" s="290">
        <v>8812</v>
      </c>
      <c r="AG27" s="290">
        <v>8676</v>
      </c>
      <c r="AH27" s="290">
        <v>1643</v>
      </c>
      <c r="AI27" s="290">
        <v>100</v>
      </c>
      <c r="AJ27" s="290">
        <v>0</v>
      </c>
      <c r="AK27" s="290">
        <v>0</v>
      </c>
      <c r="AL27" s="290">
        <v>0</v>
      </c>
      <c r="AM27" s="957">
        <v>0.10549989999999999</v>
      </c>
      <c r="AN27" s="290">
        <v>0</v>
      </c>
      <c r="AO27" s="290">
        <v>-2323.2374927199999</v>
      </c>
      <c r="AP27" s="290">
        <v>0</v>
      </c>
      <c r="AQ27" s="290">
        <v>-2144.7193071800002</v>
      </c>
      <c r="AR27" s="290">
        <v>-327.66207777</v>
      </c>
      <c r="AS27" s="290">
        <v>762.23900000000003</v>
      </c>
      <c r="AT27" s="290">
        <v>304</v>
      </c>
      <c r="AU27" s="290">
        <v>72</v>
      </c>
      <c r="AV27" s="766">
        <v>271242</v>
      </c>
      <c r="AW27" s="290">
        <v>700</v>
      </c>
      <c r="AX27" s="766">
        <v>53.083350000000003</v>
      </c>
      <c r="AY27" s="290">
        <v>1568</v>
      </c>
      <c r="AZ27" s="290">
        <v>366</v>
      </c>
      <c r="BA27" s="290">
        <v>126</v>
      </c>
      <c r="BB27" s="290">
        <v>0</v>
      </c>
      <c r="BC27" s="290">
        <v>23619.505467139999</v>
      </c>
      <c r="BD27" s="290"/>
      <c r="BE27" s="290">
        <v>256454.07243915999</v>
      </c>
      <c r="BF27" s="290">
        <v>0</v>
      </c>
      <c r="BG27" s="290">
        <v>7102</v>
      </c>
      <c r="BH27" s="290">
        <v>1000</v>
      </c>
      <c r="BI27" s="290">
        <v>11113</v>
      </c>
      <c r="BJ27" s="290">
        <v>110</v>
      </c>
      <c r="BK27" s="290">
        <v>355</v>
      </c>
      <c r="BL27" s="290">
        <v>0</v>
      </c>
      <c r="BM27" s="290">
        <v>0</v>
      </c>
      <c r="BN27" s="290">
        <v>222</v>
      </c>
      <c r="BO27" s="290">
        <v>-55</v>
      </c>
      <c r="BP27" s="290">
        <v>807</v>
      </c>
      <c r="BQ27" s="290">
        <v>1615</v>
      </c>
      <c r="BR27" s="290">
        <v>1222</v>
      </c>
      <c r="BS27" s="290">
        <v>133</v>
      </c>
      <c r="BT27" s="290">
        <v>0</v>
      </c>
      <c r="BU27" s="290">
        <v>0</v>
      </c>
      <c r="BV27" s="290">
        <v>205</v>
      </c>
      <c r="BW27" s="290">
        <v>0</v>
      </c>
      <c r="BX27" s="290">
        <v>0</v>
      </c>
      <c r="BY27" s="290">
        <v>888</v>
      </c>
      <c r="BZ27" s="290">
        <v>2200</v>
      </c>
      <c r="CA27" s="290">
        <v>443.75400000000002</v>
      </c>
      <c r="CB27" s="290">
        <v>85</v>
      </c>
      <c r="CC27" s="290">
        <v>1</v>
      </c>
      <c r="CD27" s="290">
        <v>137</v>
      </c>
      <c r="CE27" s="290">
        <v>338882.98200000002</v>
      </c>
      <c r="CF27" s="290">
        <v>0</v>
      </c>
      <c r="CG27" s="290">
        <v>0</v>
      </c>
      <c r="CH27" s="290">
        <v>0</v>
      </c>
      <c r="CI27" s="290">
        <v>0</v>
      </c>
      <c r="CJ27" s="290"/>
    </row>
    <row r="28" spans="1:88" ht="13">
      <c r="A28" s="1">
        <v>1505</v>
      </c>
      <c r="B28" s="2" t="s">
        <v>1654</v>
      </c>
      <c r="C28" s="289">
        <v>24099</v>
      </c>
      <c r="D28" s="290">
        <v>407</v>
      </c>
      <c r="E28" s="290">
        <v>885</v>
      </c>
      <c r="F28" s="290">
        <v>2789</v>
      </c>
      <c r="G28" s="290">
        <v>2049</v>
      </c>
      <c r="H28" s="290">
        <v>13676</v>
      </c>
      <c r="I28" s="290">
        <v>3291</v>
      </c>
      <c r="J28" s="290">
        <v>866</v>
      </c>
      <c r="K28" s="290">
        <v>218</v>
      </c>
      <c r="L28" s="290">
        <v>199</v>
      </c>
      <c r="M28" s="290">
        <v>1886</v>
      </c>
      <c r="N28" s="290">
        <v>479</v>
      </c>
      <c r="O28" s="290">
        <v>271</v>
      </c>
      <c r="P28" s="624">
        <v>36063.671666670001</v>
      </c>
      <c r="Q28" s="624">
        <v>25839.153999999999</v>
      </c>
      <c r="R28" s="1039">
        <v>109</v>
      </c>
      <c r="S28" s="290">
        <v>0</v>
      </c>
      <c r="T28" s="290">
        <v>2490</v>
      </c>
      <c r="U28" s="958">
        <v>5.2870032701591674E-4</v>
      </c>
      <c r="V28" s="290">
        <v>12026.316176869999</v>
      </c>
      <c r="W28" s="765">
        <v>0.55157787999999996</v>
      </c>
      <c r="X28" s="290">
        <v>2300</v>
      </c>
      <c r="Y28" s="290"/>
      <c r="Z28" s="290">
        <v>748812.223</v>
      </c>
      <c r="AA28" s="290">
        <v>0</v>
      </c>
      <c r="AB28" s="290">
        <v>729</v>
      </c>
      <c r="AC28" s="290">
        <v>1155</v>
      </c>
      <c r="AD28" s="290">
        <v>436</v>
      </c>
      <c r="AE28" s="290">
        <v>0</v>
      </c>
      <c r="AF28" s="290">
        <v>10962</v>
      </c>
      <c r="AG28" s="290">
        <v>24181</v>
      </c>
      <c r="AH28" s="290">
        <v>3923</v>
      </c>
      <c r="AI28" s="290">
        <v>3270</v>
      </c>
      <c r="AJ28" s="290">
        <v>0</v>
      </c>
      <c r="AK28" s="290">
        <v>0</v>
      </c>
      <c r="AL28" s="290">
        <v>0</v>
      </c>
      <c r="AM28" s="957">
        <v>0.75312066</v>
      </c>
      <c r="AN28" s="290">
        <v>0</v>
      </c>
      <c r="AO28" s="290">
        <v>-6072.4660252900003</v>
      </c>
      <c r="AP28" s="290">
        <v>0</v>
      </c>
      <c r="AQ28" s="290">
        <v>0</v>
      </c>
      <c r="AR28" s="290">
        <v>-913.23152403999995</v>
      </c>
      <c r="AS28" s="290">
        <v>1823.4590000000001</v>
      </c>
      <c r="AT28" s="290">
        <v>1259</v>
      </c>
      <c r="AU28" s="290">
        <v>302</v>
      </c>
      <c r="AV28" s="766">
        <v>646967</v>
      </c>
      <c r="AW28" s="290">
        <v>2000</v>
      </c>
      <c r="AX28" s="766">
        <v>146.16665</v>
      </c>
      <c r="AY28" s="290">
        <v>5288</v>
      </c>
      <c r="AZ28" s="290">
        <v>1158</v>
      </c>
      <c r="BA28" s="290">
        <v>625</v>
      </c>
      <c r="BB28" s="290">
        <v>0</v>
      </c>
      <c r="BC28" s="290">
        <v>42569.251478350001</v>
      </c>
      <c r="BD28" s="290"/>
      <c r="BE28" s="290">
        <v>605281.20550756995</v>
      </c>
      <c r="BF28" s="290">
        <v>0</v>
      </c>
      <c r="BG28" s="290">
        <v>19795</v>
      </c>
      <c r="BH28" s="290">
        <v>1000</v>
      </c>
      <c r="BI28" s="290">
        <v>16476</v>
      </c>
      <c r="BJ28" s="290">
        <v>280</v>
      </c>
      <c r="BK28" s="290">
        <v>802</v>
      </c>
      <c r="BL28" s="290">
        <v>0</v>
      </c>
      <c r="BM28" s="290">
        <v>0</v>
      </c>
      <c r="BN28" s="290">
        <v>502</v>
      </c>
      <c r="BO28" s="290">
        <v>-233</v>
      </c>
      <c r="BP28" s="290">
        <v>2235</v>
      </c>
      <c r="BQ28" s="290">
        <v>4470</v>
      </c>
      <c r="BR28" s="290">
        <v>3384</v>
      </c>
      <c r="BS28" s="290">
        <v>327</v>
      </c>
      <c r="BT28" s="290">
        <v>0</v>
      </c>
      <c r="BU28" s="290">
        <v>0</v>
      </c>
      <c r="BV28" s="290">
        <v>462</v>
      </c>
      <c r="BW28" s="290">
        <v>0</v>
      </c>
      <c r="BX28" s="290">
        <v>0</v>
      </c>
      <c r="BY28" s="290">
        <v>2625</v>
      </c>
      <c r="BZ28" s="290">
        <v>2750</v>
      </c>
      <c r="CA28" s="290">
        <v>3101.4</v>
      </c>
      <c r="CB28" s="290">
        <v>214</v>
      </c>
      <c r="CC28" s="290">
        <v>1</v>
      </c>
      <c r="CD28" s="290">
        <v>0</v>
      </c>
      <c r="CE28" s="290">
        <v>748812.223</v>
      </c>
      <c r="CF28" s="290">
        <v>0</v>
      </c>
      <c r="CG28" s="290">
        <v>0</v>
      </c>
      <c r="CH28" s="290">
        <v>0</v>
      </c>
      <c r="CI28" s="290">
        <v>0</v>
      </c>
      <c r="CJ28" s="290"/>
    </row>
    <row r="29" spans="1:88" ht="13">
      <c r="A29" s="1">
        <v>1506</v>
      </c>
      <c r="B29" s="2" t="s">
        <v>1611</v>
      </c>
      <c r="C29" s="289">
        <v>31870</v>
      </c>
      <c r="D29" s="290">
        <v>646</v>
      </c>
      <c r="E29" s="290">
        <v>1311</v>
      </c>
      <c r="F29" s="290">
        <v>3765</v>
      </c>
      <c r="G29" s="290">
        <v>2724</v>
      </c>
      <c r="H29" s="290">
        <v>17607</v>
      </c>
      <c r="I29" s="290">
        <v>4153</v>
      </c>
      <c r="J29" s="290">
        <v>1313</v>
      </c>
      <c r="K29" s="290">
        <v>363</v>
      </c>
      <c r="L29" s="290">
        <v>226</v>
      </c>
      <c r="M29" s="290">
        <v>2368</v>
      </c>
      <c r="N29" s="290">
        <v>604</v>
      </c>
      <c r="O29" s="290">
        <v>377</v>
      </c>
      <c r="P29" s="624">
        <v>121686.43366667</v>
      </c>
      <c r="Q29" s="624">
        <v>74105.944000000003</v>
      </c>
      <c r="R29" s="1039">
        <v>130</v>
      </c>
      <c r="S29" s="290">
        <v>0</v>
      </c>
      <c r="T29" s="290">
        <v>2942</v>
      </c>
      <c r="U29" s="958">
        <v>5.0670197836234533E-3</v>
      </c>
      <c r="V29" s="290">
        <v>8989.4864776499999</v>
      </c>
      <c r="W29" s="765">
        <v>0.63484960999999995</v>
      </c>
      <c r="X29" s="290">
        <v>2430</v>
      </c>
      <c r="Y29" s="290"/>
      <c r="Z29" s="290">
        <v>1064962.554</v>
      </c>
      <c r="AA29" s="290">
        <v>0</v>
      </c>
      <c r="AB29" s="290">
        <v>585</v>
      </c>
      <c r="AC29" s="290">
        <v>1596</v>
      </c>
      <c r="AD29" s="290">
        <v>603</v>
      </c>
      <c r="AE29" s="290">
        <v>0</v>
      </c>
      <c r="AF29" s="290">
        <v>42755</v>
      </c>
      <c r="AG29" s="290">
        <v>31882</v>
      </c>
      <c r="AH29" s="290">
        <v>5428</v>
      </c>
      <c r="AI29" s="290">
        <v>3890</v>
      </c>
      <c r="AJ29" s="290">
        <v>0</v>
      </c>
      <c r="AK29" s="290">
        <v>0</v>
      </c>
      <c r="AL29" s="290">
        <v>0</v>
      </c>
      <c r="AM29" s="957">
        <v>0.56438005999999996</v>
      </c>
      <c r="AN29" s="290">
        <v>0</v>
      </c>
      <c r="AO29" s="290">
        <v>-8252.3874243699993</v>
      </c>
      <c r="AP29" s="290">
        <v>0</v>
      </c>
      <c r="AQ29" s="290">
        <v>0</v>
      </c>
      <c r="AR29" s="290">
        <v>-1204.0712728799999</v>
      </c>
      <c r="AS29" s="290">
        <v>2451.8845000000001</v>
      </c>
      <c r="AT29" s="290">
        <v>1531</v>
      </c>
      <c r="AU29" s="290">
        <v>288</v>
      </c>
      <c r="AV29" s="766">
        <v>925271</v>
      </c>
      <c r="AW29" s="290">
        <v>1700</v>
      </c>
      <c r="AX29" s="766">
        <v>251.00004999999999</v>
      </c>
      <c r="AY29" s="290">
        <v>8956</v>
      </c>
      <c r="AZ29" s="290">
        <v>1308</v>
      </c>
      <c r="BA29" s="290">
        <v>649</v>
      </c>
      <c r="BB29" s="290">
        <v>0</v>
      </c>
      <c r="BC29" s="290">
        <v>86053.367689310006</v>
      </c>
      <c r="BD29" s="290"/>
      <c r="BE29" s="290">
        <v>879004.69710869004</v>
      </c>
      <c r="BF29" s="290">
        <v>0</v>
      </c>
      <c r="BG29" s="290">
        <v>26099</v>
      </c>
      <c r="BH29" s="290">
        <v>1500</v>
      </c>
      <c r="BI29" s="290">
        <v>50382</v>
      </c>
      <c r="BJ29" s="290">
        <v>374</v>
      </c>
      <c r="BK29" s="290">
        <v>1227</v>
      </c>
      <c r="BL29" s="290">
        <v>0</v>
      </c>
      <c r="BM29" s="290">
        <v>5582</v>
      </c>
      <c r="BN29" s="290">
        <v>767</v>
      </c>
      <c r="BO29" s="290">
        <v>-254</v>
      </c>
      <c r="BP29" s="290">
        <v>2956</v>
      </c>
      <c r="BQ29" s="290">
        <v>5911</v>
      </c>
      <c r="BR29" s="290">
        <v>4475</v>
      </c>
      <c r="BS29" s="290">
        <v>452</v>
      </c>
      <c r="BT29" s="290">
        <v>0</v>
      </c>
      <c r="BU29" s="290">
        <v>0</v>
      </c>
      <c r="BV29" s="290">
        <v>706</v>
      </c>
      <c r="BW29" s="290">
        <v>0</v>
      </c>
      <c r="BX29" s="290">
        <v>0</v>
      </c>
      <c r="BY29" s="290">
        <v>3454</v>
      </c>
      <c r="BZ29" s="290">
        <v>3800</v>
      </c>
      <c r="CA29" s="290">
        <v>1576.2629999999999</v>
      </c>
      <c r="CB29" s="290">
        <v>282</v>
      </c>
      <c r="CC29" s="290">
        <v>2</v>
      </c>
      <c r="CD29" s="290">
        <v>0</v>
      </c>
      <c r="CE29" s="290">
        <v>1064962.554</v>
      </c>
      <c r="CF29" s="290">
        <v>0</v>
      </c>
      <c r="CG29" s="290">
        <v>0</v>
      </c>
      <c r="CH29" s="290">
        <v>0</v>
      </c>
      <c r="CI29" s="290">
        <v>0</v>
      </c>
      <c r="CJ29" s="290"/>
    </row>
    <row r="30" spans="1:88" ht="13">
      <c r="A30" s="1">
        <v>1507</v>
      </c>
      <c r="B30" s="2" t="s">
        <v>1612</v>
      </c>
      <c r="C30" s="289">
        <v>66670</v>
      </c>
      <c r="D30" s="290">
        <v>1300</v>
      </c>
      <c r="E30" s="290">
        <v>3013</v>
      </c>
      <c r="F30" s="290">
        <v>8026</v>
      </c>
      <c r="G30" s="290">
        <v>5850</v>
      </c>
      <c r="H30" s="290">
        <v>37798</v>
      </c>
      <c r="I30" s="290">
        <v>7318</v>
      </c>
      <c r="J30" s="290">
        <v>2340</v>
      </c>
      <c r="K30" s="290">
        <v>647</v>
      </c>
      <c r="L30" s="290">
        <v>475</v>
      </c>
      <c r="M30" s="290">
        <v>4277</v>
      </c>
      <c r="N30" s="290">
        <v>1110</v>
      </c>
      <c r="O30" s="290">
        <v>699</v>
      </c>
      <c r="P30" s="624">
        <v>242494.21933332999</v>
      </c>
      <c r="Q30" s="624">
        <v>120651.66</v>
      </c>
      <c r="R30" s="1039">
        <v>211</v>
      </c>
      <c r="S30" s="290">
        <v>0</v>
      </c>
      <c r="T30" s="290">
        <v>5752</v>
      </c>
      <c r="U30" s="958">
        <v>4.770309927147459E-3</v>
      </c>
      <c r="V30" s="290">
        <v>-15343.134552400001</v>
      </c>
      <c r="W30" s="765">
        <v>0.59848632000000002</v>
      </c>
      <c r="X30" s="290">
        <v>7900</v>
      </c>
      <c r="Y30" s="290"/>
      <c r="Z30" s="290">
        <v>2306453.946</v>
      </c>
      <c r="AA30" s="290">
        <v>0</v>
      </c>
      <c r="AB30" s="290">
        <v>1110</v>
      </c>
      <c r="AC30" s="290">
        <v>13491</v>
      </c>
      <c r="AD30" s="290">
        <v>1190</v>
      </c>
      <c r="AE30" s="290">
        <v>0</v>
      </c>
      <c r="AF30" s="290">
        <v>72975</v>
      </c>
      <c r="AG30" s="290">
        <v>66292</v>
      </c>
      <c r="AH30" s="290">
        <v>11666</v>
      </c>
      <c r="AI30" s="290">
        <v>5540</v>
      </c>
      <c r="AJ30" s="290">
        <v>0</v>
      </c>
      <c r="AK30" s="290">
        <v>0</v>
      </c>
      <c r="AL30" s="290">
        <v>0</v>
      </c>
      <c r="AM30" s="957">
        <v>1.12773934</v>
      </c>
      <c r="AN30" s="290">
        <v>0</v>
      </c>
      <c r="AO30" s="290">
        <v>-16475.689924220002</v>
      </c>
      <c r="AP30" s="290">
        <v>0</v>
      </c>
      <c r="AQ30" s="290">
        <v>0</v>
      </c>
      <c r="AR30" s="290">
        <v>-2503.6162355400002</v>
      </c>
      <c r="AS30" s="290">
        <v>11293.6495</v>
      </c>
      <c r="AT30" s="290">
        <v>2843</v>
      </c>
      <c r="AU30" s="290">
        <v>640</v>
      </c>
      <c r="AV30" s="766">
        <v>1729430</v>
      </c>
      <c r="AW30" s="290">
        <v>9000</v>
      </c>
      <c r="AX30" s="766">
        <v>454.45830000000001</v>
      </c>
      <c r="AY30" s="290">
        <v>17054</v>
      </c>
      <c r="AZ30" s="290">
        <v>2721</v>
      </c>
      <c r="BA30" s="290">
        <v>1329</v>
      </c>
      <c r="BB30" s="290">
        <v>0</v>
      </c>
      <c r="BC30" s="290">
        <v>173115.59492054</v>
      </c>
      <c r="BD30" s="290"/>
      <c r="BE30" s="290">
        <v>1636921.0724428</v>
      </c>
      <c r="BF30" s="290">
        <v>0</v>
      </c>
      <c r="BG30" s="290">
        <v>54267</v>
      </c>
      <c r="BH30" s="290">
        <v>1500</v>
      </c>
      <c r="BI30" s="290">
        <v>99322</v>
      </c>
      <c r="BJ30" s="290">
        <v>787</v>
      </c>
      <c r="BK30" s="290">
        <v>2690</v>
      </c>
      <c r="BL30" s="290">
        <v>0</v>
      </c>
      <c r="BM30" s="290">
        <v>7982</v>
      </c>
      <c r="BN30" s="290">
        <v>1683</v>
      </c>
      <c r="BO30" s="290">
        <v>-506</v>
      </c>
      <c r="BP30" s="290">
        <v>6183</v>
      </c>
      <c r="BQ30" s="290">
        <v>12366</v>
      </c>
      <c r="BR30" s="290">
        <v>9361</v>
      </c>
      <c r="BS30" s="290">
        <v>892</v>
      </c>
      <c r="BT30" s="290">
        <v>0</v>
      </c>
      <c r="BU30" s="290">
        <v>0</v>
      </c>
      <c r="BV30" s="290">
        <v>1548</v>
      </c>
      <c r="BW30" s="290">
        <v>0</v>
      </c>
      <c r="BX30" s="290">
        <v>0</v>
      </c>
      <c r="BY30" s="290">
        <v>6509</v>
      </c>
      <c r="BZ30" s="290">
        <v>10800</v>
      </c>
      <c r="CA30" s="290">
        <v>3146.97</v>
      </c>
      <c r="CB30" s="290">
        <v>578</v>
      </c>
      <c r="CC30" s="290">
        <v>4</v>
      </c>
      <c r="CD30" s="290">
        <v>0</v>
      </c>
      <c r="CE30" s="290">
        <v>2306453.946</v>
      </c>
      <c r="CF30" s="290">
        <v>0</v>
      </c>
      <c r="CG30" s="290">
        <v>0</v>
      </c>
      <c r="CH30" s="290">
        <v>0</v>
      </c>
      <c r="CI30" s="290">
        <v>0</v>
      </c>
      <c r="CJ30" s="290"/>
    </row>
    <row r="31" spans="1:88" ht="13">
      <c r="A31" s="1">
        <v>1511</v>
      </c>
      <c r="B31" s="2" t="s">
        <v>86</v>
      </c>
      <c r="C31" s="289">
        <v>3083</v>
      </c>
      <c r="D31" s="290">
        <v>42</v>
      </c>
      <c r="E31" s="290">
        <v>102</v>
      </c>
      <c r="F31" s="290">
        <v>280</v>
      </c>
      <c r="G31" s="290">
        <v>288</v>
      </c>
      <c r="H31" s="290">
        <v>1601</v>
      </c>
      <c r="I31" s="290">
        <v>565</v>
      </c>
      <c r="J31" s="290">
        <v>189</v>
      </c>
      <c r="K31" s="290">
        <v>56</v>
      </c>
      <c r="L31" s="290">
        <v>22</v>
      </c>
      <c r="M31" s="290">
        <v>340</v>
      </c>
      <c r="N31" s="290">
        <v>3</v>
      </c>
      <c r="O31" s="290">
        <v>19</v>
      </c>
      <c r="P31" s="624">
        <v>37675.048666670002</v>
      </c>
      <c r="Q31" s="624">
        <v>11235.25666667</v>
      </c>
      <c r="R31" s="1039">
        <v>23</v>
      </c>
      <c r="S31" s="290">
        <v>0</v>
      </c>
      <c r="T31" s="290">
        <v>201</v>
      </c>
      <c r="U31" s="958">
        <v>2.5940749128954598E-3</v>
      </c>
      <c r="V31" s="290">
        <v>1751.4183202199999</v>
      </c>
      <c r="W31" s="765">
        <v>0.92556130999999997</v>
      </c>
      <c r="X31" s="290">
        <v>2600</v>
      </c>
      <c r="Y31" s="290"/>
      <c r="Z31" s="290">
        <v>91773.392999999996</v>
      </c>
      <c r="AA31" s="290">
        <v>1190</v>
      </c>
      <c r="AB31" s="290">
        <v>75</v>
      </c>
      <c r="AC31" s="290">
        <v>137</v>
      </c>
      <c r="AD31" s="290">
        <v>83</v>
      </c>
      <c r="AE31" s="290">
        <v>0</v>
      </c>
      <c r="AF31" s="290">
        <v>0</v>
      </c>
      <c r="AG31" s="290">
        <v>3123</v>
      </c>
      <c r="AH31" s="290">
        <v>432</v>
      </c>
      <c r="AI31" s="290">
        <v>0</v>
      </c>
      <c r="AJ31" s="290">
        <v>0</v>
      </c>
      <c r="AK31" s="290">
        <v>0</v>
      </c>
      <c r="AL31" s="290">
        <v>0</v>
      </c>
      <c r="AM31" s="957">
        <v>1.400621E-2</v>
      </c>
      <c r="AN31" s="290">
        <v>0</v>
      </c>
      <c r="AO31" s="290">
        <v>-929.50532244999999</v>
      </c>
      <c r="AP31" s="290">
        <v>0</v>
      </c>
      <c r="AQ31" s="290">
        <v>0</v>
      </c>
      <c r="AR31" s="290">
        <v>1313.32853815</v>
      </c>
      <c r="AS31" s="290">
        <v>233.50550000000001</v>
      </c>
      <c r="AT31" s="290">
        <v>105</v>
      </c>
      <c r="AU31" s="290">
        <v>18</v>
      </c>
      <c r="AV31" s="766">
        <v>125893</v>
      </c>
      <c r="AW31" s="290">
        <v>0</v>
      </c>
      <c r="AX31" s="766">
        <v>13.50005</v>
      </c>
      <c r="AY31" s="290">
        <v>502</v>
      </c>
      <c r="AZ31" s="290">
        <v>72</v>
      </c>
      <c r="BA31" s="290">
        <v>45</v>
      </c>
      <c r="BB31" s="290">
        <v>6034</v>
      </c>
      <c r="BC31" s="290">
        <v>4391.1783642299997</v>
      </c>
      <c r="BD31" s="290"/>
      <c r="BE31" s="290">
        <v>117223.39822072</v>
      </c>
      <c r="BF31" s="290">
        <v>0</v>
      </c>
      <c r="BG31" s="290">
        <v>2557</v>
      </c>
      <c r="BH31" s="290">
        <v>1000</v>
      </c>
      <c r="BI31" s="290">
        <v>652</v>
      </c>
      <c r="BJ31" s="290">
        <v>37</v>
      </c>
      <c r="BK31" s="290">
        <v>89</v>
      </c>
      <c r="BL31" s="290">
        <v>0</v>
      </c>
      <c r="BM31" s="290">
        <v>0</v>
      </c>
      <c r="BN31" s="290">
        <v>55</v>
      </c>
      <c r="BO31" s="290">
        <v>-18</v>
      </c>
      <c r="BP31" s="290">
        <v>286</v>
      </c>
      <c r="BQ31" s="290">
        <v>572</v>
      </c>
      <c r="BR31" s="290">
        <v>433</v>
      </c>
      <c r="BS31" s="290">
        <v>62</v>
      </c>
      <c r="BT31" s="290">
        <v>0</v>
      </c>
      <c r="BU31" s="290">
        <v>0</v>
      </c>
      <c r="BV31" s="290">
        <v>51</v>
      </c>
      <c r="BW31" s="290">
        <v>0</v>
      </c>
      <c r="BX31" s="290">
        <v>0</v>
      </c>
      <c r="BY31" s="290">
        <v>420</v>
      </c>
      <c r="BZ31" s="290">
        <v>360</v>
      </c>
      <c r="CA31" s="290">
        <v>2182.8000000000002</v>
      </c>
      <c r="CB31" s="290">
        <v>39</v>
      </c>
      <c r="CC31" s="290">
        <v>0</v>
      </c>
      <c r="CD31" s="290">
        <v>0</v>
      </c>
      <c r="CE31" s="290">
        <v>91773.392999999996</v>
      </c>
      <c r="CF31" s="290">
        <v>0</v>
      </c>
      <c r="CG31" s="290">
        <v>0</v>
      </c>
      <c r="CH31" s="290">
        <v>0</v>
      </c>
      <c r="CI31" s="290">
        <v>0</v>
      </c>
      <c r="CJ31" s="290"/>
    </row>
    <row r="32" spans="1:88" ht="13">
      <c r="A32" s="1">
        <v>1514</v>
      </c>
      <c r="B32" s="2" t="s">
        <v>897</v>
      </c>
      <c r="C32" s="289">
        <v>2445</v>
      </c>
      <c r="D32" s="290">
        <v>39</v>
      </c>
      <c r="E32" s="290">
        <v>93</v>
      </c>
      <c r="F32" s="290">
        <v>248</v>
      </c>
      <c r="G32" s="290">
        <v>221</v>
      </c>
      <c r="H32" s="290">
        <v>1344</v>
      </c>
      <c r="I32" s="290">
        <v>334</v>
      </c>
      <c r="J32" s="290">
        <v>138</v>
      </c>
      <c r="K32" s="290">
        <v>37</v>
      </c>
      <c r="L32" s="290">
        <v>17</v>
      </c>
      <c r="M32" s="290">
        <v>222</v>
      </c>
      <c r="N32" s="290">
        <v>1.5</v>
      </c>
      <c r="O32" s="290">
        <v>37</v>
      </c>
      <c r="P32" s="624">
        <v>28393.347000000002</v>
      </c>
      <c r="Q32" s="624">
        <v>13609.427666670001</v>
      </c>
      <c r="R32" s="1039">
        <v>12</v>
      </c>
      <c r="S32" s="290">
        <v>0</v>
      </c>
      <c r="T32" s="290">
        <v>183</v>
      </c>
      <c r="U32" s="958">
        <v>1.0123028979823724E-3</v>
      </c>
      <c r="V32" s="290">
        <v>-17.86060561</v>
      </c>
      <c r="W32" s="765">
        <v>0.88557920999999995</v>
      </c>
      <c r="X32" s="290">
        <v>2500</v>
      </c>
      <c r="Y32" s="290"/>
      <c r="Z32" s="290">
        <v>83274.95</v>
      </c>
      <c r="AA32" s="290">
        <v>1785</v>
      </c>
      <c r="AB32" s="290">
        <v>42</v>
      </c>
      <c r="AC32" s="290">
        <v>126</v>
      </c>
      <c r="AD32" s="290">
        <v>66</v>
      </c>
      <c r="AE32" s="290">
        <v>0</v>
      </c>
      <c r="AF32" s="290">
        <v>0</v>
      </c>
      <c r="AG32" s="290">
        <v>2454</v>
      </c>
      <c r="AH32" s="290">
        <v>384</v>
      </c>
      <c r="AI32" s="290">
        <v>0</v>
      </c>
      <c r="AJ32" s="290">
        <v>0</v>
      </c>
      <c r="AK32" s="290">
        <v>0</v>
      </c>
      <c r="AL32" s="290">
        <v>0</v>
      </c>
      <c r="AM32" s="957">
        <v>6.8163219999999997E-2</v>
      </c>
      <c r="AN32" s="290">
        <v>0</v>
      </c>
      <c r="AO32" s="290">
        <v>-731.05317591000005</v>
      </c>
      <c r="AP32" s="290">
        <v>0</v>
      </c>
      <c r="AQ32" s="290">
        <v>0</v>
      </c>
      <c r="AR32" s="290">
        <v>1573.05381074</v>
      </c>
      <c r="AS32" s="290">
        <v>219.8835</v>
      </c>
      <c r="AT32" s="290">
        <v>97</v>
      </c>
      <c r="AU32" s="290">
        <v>38</v>
      </c>
      <c r="AV32" s="766">
        <v>98660</v>
      </c>
      <c r="AW32" s="290">
        <v>800</v>
      </c>
      <c r="AX32" s="766">
        <v>6.9166499999999997</v>
      </c>
      <c r="AY32" s="290">
        <v>389</v>
      </c>
      <c r="AZ32" s="290">
        <v>112</v>
      </c>
      <c r="BA32" s="290">
        <v>54</v>
      </c>
      <c r="BB32" s="290">
        <v>4827</v>
      </c>
      <c r="BC32" s="290">
        <v>3650.3149057400001</v>
      </c>
      <c r="BD32" s="290"/>
      <c r="BE32" s="290">
        <v>91470.476252620007</v>
      </c>
      <c r="BF32" s="290">
        <v>0</v>
      </c>
      <c r="BG32" s="290">
        <v>2009</v>
      </c>
      <c r="BH32" s="290">
        <v>500</v>
      </c>
      <c r="BI32" s="290">
        <v>576</v>
      </c>
      <c r="BJ32" s="290">
        <v>29</v>
      </c>
      <c r="BK32" s="290">
        <v>77</v>
      </c>
      <c r="BL32" s="290">
        <v>0</v>
      </c>
      <c r="BM32" s="290">
        <v>0</v>
      </c>
      <c r="BN32" s="290">
        <v>48</v>
      </c>
      <c r="BO32" s="290">
        <v>-17</v>
      </c>
      <c r="BP32" s="290">
        <v>227</v>
      </c>
      <c r="BQ32" s="290">
        <v>454</v>
      </c>
      <c r="BR32" s="290">
        <v>343</v>
      </c>
      <c r="BS32" s="290">
        <v>50</v>
      </c>
      <c r="BT32" s="290">
        <v>0</v>
      </c>
      <c r="BU32" s="290">
        <v>0</v>
      </c>
      <c r="BV32" s="290">
        <v>44</v>
      </c>
      <c r="BW32" s="290">
        <v>0</v>
      </c>
      <c r="BX32" s="290">
        <v>0</v>
      </c>
      <c r="BY32" s="290">
        <v>286</v>
      </c>
      <c r="BZ32" s="290">
        <v>1130</v>
      </c>
      <c r="CA32" s="290">
        <v>139.636</v>
      </c>
      <c r="CB32" s="290">
        <v>33</v>
      </c>
      <c r="CC32" s="290">
        <v>0</v>
      </c>
      <c r="CD32" s="290">
        <v>0</v>
      </c>
      <c r="CE32" s="290">
        <v>83274.95</v>
      </c>
      <c r="CF32" s="290">
        <v>0</v>
      </c>
      <c r="CG32" s="290">
        <v>0</v>
      </c>
      <c r="CH32" s="290">
        <v>0</v>
      </c>
      <c r="CI32" s="290">
        <v>0</v>
      </c>
      <c r="CJ32" s="290"/>
    </row>
    <row r="33" spans="1:88" ht="13">
      <c r="A33" s="1">
        <v>1515</v>
      </c>
      <c r="B33" s="2" t="s">
        <v>87</v>
      </c>
      <c r="C33" s="289">
        <v>8858</v>
      </c>
      <c r="D33" s="290">
        <v>164</v>
      </c>
      <c r="E33" s="290">
        <v>368</v>
      </c>
      <c r="F33" s="290">
        <v>1110</v>
      </c>
      <c r="G33" s="290">
        <v>756</v>
      </c>
      <c r="H33" s="290">
        <v>4902</v>
      </c>
      <c r="I33" s="290">
        <v>1125</v>
      </c>
      <c r="J33" s="290">
        <v>396</v>
      </c>
      <c r="K33" s="290">
        <v>99</v>
      </c>
      <c r="L33" s="290">
        <v>62</v>
      </c>
      <c r="M33" s="290">
        <v>642</v>
      </c>
      <c r="N33" s="290">
        <v>84</v>
      </c>
      <c r="O33" s="290">
        <v>103</v>
      </c>
      <c r="P33" s="624">
        <v>39312.024666669997</v>
      </c>
      <c r="Q33" s="624">
        <v>16888.756333329999</v>
      </c>
      <c r="R33" s="1039">
        <v>28</v>
      </c>
      <c r="S33" s="290">
        <v>0</v>
      </c>
      <c r="T33" s="290">
        <v>651</v>
      </c>
      <c r="U33" s="958">
        <v>1.7819333852050266E-3</v>
      </c>
      <c r="V33" s="290">
        <v>-6779.6883818599999</v>
      </c>
      <c r="W33" s="765">
        <v>0.61726137000000003</v>
      </c>
      <c r="X33" s="290">
        <v>400</v>
      </c>
      <c r="Y33" s="290"/>
      <c r="Z33" s="290">
        <v>311160.25699999998</v>
      </c>
      <c r="AA33" s="290">
        <v>0</v>
      </c>
      <c r="AB33" s="290">
        <v>168</v>
      </c>
      <c r="AC33" s="290">
        <v>473</v>
      </c>
      <c r="AD33" s="290">
        <v>176</v>
      </c>
      <c r="AE33" s="290">
        <v>0</v>
      </c>
      <c r="AF33" s="290">
        <v>0</v>
      </c>
      <c r="AG33" s="290">
        <v>8920</v>
      </c>
      <c r="AH33" s="290">
        <v>1573</v>
      </c>
      <c r="AI33" s="290">
        <v>1450</v>
      </c>
      <c r="AJ33" s="290">
        <v>0</v>
      </c>
      <c r="AK33" s="290">
        <v>0</v>
      </c>
      <c r="AL33" s="290">
        <v>0</v>
      </c>
      <c r="AM33" s="957">
        <v>0.23430280000000001</v>
      </c>
      <c r="AN33" s="290">
        <v>0</v>
      </c>
      <c r="AO33" s="290">
        <v>-2315.0368626700001</v>
      </c>
      <c r="AP33" s="290">
        <v>0</v>
      </c>
      <c r="AQ33" s="290">
        <v>0</v>
      </c>
      <c r="AR33" s="290">
        <v>-336.87710163000003</v>
      </c>
      <c r="AS33" s="290">
        <v>746.85699999999997</v>
      </c>
      <c r="AT33" s="290">
        <v>351</v>
      </c>
      <c r="AU33" s="290">
        <v>141</v>
      </c>
      <c r="AV33" s="766">
        <v>236538</v>
      </c>
      <c r="AW33" s="290">
        <v>0</v>
      </c>
      <c r="AX33" s="766">
        <v>59.541649999999997</v>
      </c>
      <c r="AY33" s="290">
        <v>1547</v>
      </c>
      <c r="AZ33" s="290">
        <v>375</v>
      </c>
      <c r="BA33" s="290">
        <v>181</v>
      </c>
      <c r="BB33" s="290">
        <v>0</v>
      </c>
      <c r="BC33" s="290">
        <v>12601.78151746</v>
      </c>
      <c r="BD33" s="290"/>
      <c r="BE33" s="290">
        <v>224278.09158296001</v>
      </c>
      <c r="BF33" s="290">
        <v>0</v>
      </c>
      <c r="BG33" s="290">
        <v>7302</v>
      </c>
      <c r="BH33" s="290">
        <v>1000</v>
      </c>
      <c r="BI33" s="290">
        <v>2222</v>
      </c>
      <c r="BJ33" s="290">
        <v>110</v>
      </c>
      <c r="BK33" s="290">
        <v>322</v>
      </c>
      <c r="BL33" s="290">
        <v>0</v>
      </c>
      <c r="BM33" s="290">
        <v>0</v>
      </c>
      <c r="BN33" s="290">
        <v>201</v>
      </c>
      <c r="BO33" s="290">
        <v>-65</v>
      </c>
      <c r="BP33" s="290">
        <v>821</v>
      </c>
      <c r="BQ33" s="290">
        <v>1643</v>
      </c>
      <c r="BR33" s="290">
        <v>1244</v>
      </c>
      <c r="BS33" s="290">
        <v>132</v>
      </c>
      <c r="BT33" s="290">
        <v>0</v>
      </c>
      <c r="BU33" s="290">
        <v>0</v>
      </c>
      <c r="BV33" s="290">
        <v>185</v>
      </c>
      <c r="BW33" s="290">
        <v>0</v>
      </c>
      <c r="BX33" s="290">
        <v>0</v>
      </c>
      <c r="BY33" s="290">
        <v>968</v>
      </c>
      <c r="BZ33" s="290">
        <v>880</v>
      </c>
      <c r="CA33" s="290">
        <v>3057.7000000000003</v>
      </c>
      <c r="CB33" s="290">
        <v>85</v>
      </c>
      <c r="CC33" s="290">
        <v>1</v>
      </c>
      <c r="CD33" s="290">
        <v>0</v>
      </c>
      <c r="CE33" s="290">
        <v>311160.25699999998</v>
      </c>
      <c r="CF33" s="290">
        <v>0</v>
      </c>
      <c r="CG33" s="290">
        <v>0</v>
      </c>
      <c r="CH33" s="290">
        <v>0</v>
      </c>
      <c r="CI33" s="290">
        <v>0</v>
      </c>
      <c r="CJ33" s="290"/>
    </row>
    <row r="34" spans="1:88" ht="13">
      <c r="A34" s="1">
        <v>1516</v>
      </c>
      <c r="B34" s="2" t="s">
        <v>88</v>
      </c>
      <c r="C34" s="289">
        <v>8575</v>
      </c>
      <c r="D34" s="290">
        <v>189</v>
      </c>
      <c r="E34" s="290">
        <v>375</v>
      </c>
      <c r="F34" s="290">
        <v>1134</v>
      </c>
      <c r="G34" s="290">
        <v>849</v>
      </c>
      <c r="H34" s="290">
        <v>4787</v>
      </c>
      <c r="I34" s="290">
        <v>913</v>
      </c>
      <c r="J34" s="290">
        <v>290</v>
      </c>
      <c r="K34" s="290">
        <v>61</v>
      </c>
      <c r="L34" s="290">
        <v>53</v>
      </c>
      <c r="M34" s="290">
        <v>470</v>
      </c>
      <c r="N34" s="290">
        <v>183</v>
      </c>
      <c r="O34" s="290">
        <v>95</v>
      </c>
      <c r="P34" s="624">
        <v>23389.664000000001</v>
      </c>
      <c r="Q34" s="624">
        <v>14638.47833333</v>
      </c>
      <c r="R34" s="1039">
        <v>42</v>
      </c>
      <c r="S34" s="290">
        <v>0</v>
      </c>
      <c r="T34" s="290">
        <v>607</v>
      </c>
      <c r="U34" s="958">
        <v>9.7200350998705165E-4</v>
      </c>
      <c r="V34" s="290">
        <v>1957.81835673</v>
      </c>
      <c r="W34" s="765">
        <v>0.56866026000000003</v>
      </c>
      <c r="X34" s="290">
        <v>2700</v>
      </c>
      <c r="Y34" s="290"/>
      <c r="Z34" s="290">
        <v>314138.39</v>
      </c>
      <c r="AA34" s="290">
        <v>0</v>
      </c>
      <c r="AB34" s="290">
        <v>129</v>
      </c>
      <c r="AC34" s="290">
        <v>476</v>
      </c>
      <c r="AD34" s="290">
        <v>161</v>
      </c>
      <c r="AE34" s="290">
        <v>0</v>
      </c>
      <c r="AF34" s="290">
        <v>0</v>
      </c>
      <c r="AG34" s="290">
        <v>8598</v>
      </c>
      <c r="AH34" s="290">
        <v>1641</v>
      </c>
      <c r="AI34" s="290">
        <v>550</v>
      </c>
      <c r="AJ34" s="290">
        <v>0</v>
      </c>
      <c r="AK34" s="290">
        <v>0</v>
      </c>
      <c r="AL34" s="290">
        <v>0</v>
      </c>
      <c r="AM34" s="957">
        <v>0.18567159999999999</v>
      </c>
      <c r="AN34" s="290">
        <v>0</v>
      </c>
      <c r="AO34" s="290">
        <v>-2195.66229677</v>
      </c>
      <c r="AP34" s="290">
        <v>0</v>
      </c>
      <c r="AQ34" s="290">
        <v>0</v>
      </c>
      <c r="AR34" s="290">
        <v>-324.71629145999998</v>
      </c>
      <c r="AS34" s="290">
        <v>765.88400000000001</v>
      </c>
      <c r="AT34" s="290">
        <v>371</v>
      </c>
      <c r="AU34" s="290">
        <v>95</v>
      </c>
      <c r="AV34" s="766">
        <v>231710</v>
      </c>
      <c r="AW34" s="290">
        <v>500</v>
      </c>
      <c r="AX34" s="766">
        <v>69.833349999999996</v>
      </c>
      <c r="AY34" s="290">
        <v>2156</v>
      </c>
      <c r="AZ34" s="290">
        <v>387</v>
      </c>
      <c r="BA34" s="290">
        <v>146</v>
      </c>
      <c r="BB34" s="290">
        <v>0</v>
      </c>
      <c r="BC34" s="290">
        <v>12474.7926663</v>
      </c>
      <c r="BD34" s="290"/>
      <c r="BE34" s="290">
        <v>219238.79415485001</v>
      </c>
      <c r="BF34" s="290">
        <v>0</v>
      </c>
      <c r="BG34" s="290">
        <v>7038</v>
      </c>
      <c r="BH34" s="290">
        <v>1000</v>
      </c>
      <c r="BI34" s="290">
        <v>2278</v>
      </c>
      <c r="BJ34" s="290">
        <v>104</v>
      </c>
      <c r="BK34" s="290">
        <v>343</v>
      </c>
      <c r="BL34" s="290">
        <v>0</v>
      </c>
      <c r="BM34" s="290">
        <v>0</v>
      </c>
      <c r="BN34" s="290">
        <v>215</v>
      </c>
      <c r="BO34" s="290">
        <v>-64</v>
      </c>
      <c r="BP34" s="290">
        <v>795</v>
      </c>
      <c r="BQ34" s="290">
        <v>1591</v>
      </c>
      <c r="BR34" s="290">
        <v>1204</v>
      </c>
      <c r="BS34" s="290">
        <v>121</v>
      </c>
      <c r="BT34" s="290">
        <v>0</v>
      </c>
      <c r="BU34" s="290">
        <v>0</v>
      </c>
      <c r="BV34" s="290">
        <v>197</v>
      </c>
      <c r="BW34" s="290">
        <v>0</v>
      </c>
      <c r="BX34" s="290">
        <v>0</v>
      </c>
      <c r="BY34" s="290">
        <v>839</v>
      </c>
      <c r="BZ34" s="290">
        <v>1570</v>
      </c>
      <c r="CA34" s="290">
        <v>419.387</v>
      </c>
      <c r="CB34" s="290">
        <v>82</v>
      </c>
      <c r="CC34" s="290">
        <v>1</v>
      </c>
      <c r="CD34" s="290">
        <v>0</v>
      </c>
      <c r="CE34" s="290">
        <v>314138.39</v>
      </c>
      <c r="CF34" s="290">
        <v>0</v>
      </c>
      <c r="CG34" s="290">
        <v>0</v>
      </c>
      <c r="CH34" s="290">
        <v>0</v>
      </c>
      <c r="CI34" s="290">
        <v>0</v>
      </c>
      <c r="CJ34" s="290"/>
    </row>
    <row r="35" spans="1:88" ht="13">
      <c r="A35" s="1">
        <v>1517</v>
      </c>
      <c r="B35" s="2" t="s">
        <v>89</v>
      </c>
      <c r="C35" s="289">
        <v>5140</v>
      </c>
      <c r="D35" s="290">
        <v>108</v>
      </c>
      <c r="E35" s="290">
        <v>258</v>
      </c>
      <c r="F35" s="290">
        <v>664</v>
      </c>
      <c r="G35" s="290">
        <v>422</v>
      </c>
      <c r="H35" s="290">
        <v>2834</v>
      </c>
      <c r="I35" s="290">
        <v>601</v>
      </c>
      <c r="J35" s="290">
        <v>195</v>
      </c>
      <c r="K35" s="290">
        <v>57</v>
      </c>
      <c r="L35" s="290">
        <v>38</v>
      </c>
      <c r="M35" s="290">
        <v>377</v>
      </c>
      <c r="N35" s="290">
        <v>107</v>
      </c>
      <c r="O35" s="290">
        <v>79</v>
      </c>
      <c r="P35" s="624">
        <v>13072.38633333</v>
      </c>
      <c r="Q35" s="624">
        <v>5912.6509999999998</v>
      </c>
      <c r="R35" s="1039">
        <v>19</v>
      </c>
      <c r="S35" s="290">
        <v>0</v>
      </c>
      <c r="T35" s="290">
        <v>386</v>
      </c>
      <c r="U35" s="958">
        <v>7.0012414578662398E-4</v>
      </c>
      <c r="V35" s="290">
        <v>-578.38448908999999</v>
      </c>
      <c r="W35" s="765">
        <v>0.58982840000000003</v>
      </c>
      <c r="X35" s="290">
        <v>900</v>
      </c>
      <c r="Y35" s="290"/>
      <c r="Z35" s="290">
        <v>147452.75700000001</v>
      </c>
      <c r="AA35" s="290">
        <v>0</v>
      </c>
      <c r="AB35" s="290">
        <v>119</v>
      </c>
      <c r="AC35" s="290">
        <v>283</v>
      </c>
      <c r="AD35" s="290">
        <v>101</v>
      </c>
      <c r="AE35" s="290">
        <v>0</v>
      </c>
      <c r="AF35" s="290">
        <v>0</v>
      </c>
      <c r="AG35" s="290">
        <v>5139</v>
      </c>
      <c r="AH35" s="290">
        <v>956</v>
      </c>
      <c r="AI35" s="290">
        <v>50</v>
      </c>
      <c r="AJ35" s="290">
        <v>0</v>
      </c>
      <c r="AK35" s="290">
        <v>0</v>
      </c>
      <c r="AL35" s="290">
        <v>0</v>
      </c>
      <c r="AM35" s="957">
        <v>0.16955542000000001</v>
      </c>
      <c r="AN35" s="290">
        <v>0</v>
      </c>
      <c r="AO35" s="290">
        <v>-1401.91019994</v>
      </c>
      <c r="AP35" s="290">
        <v>0</v>
      </c>
      <c r="AQ35" s="290">
        <v>0</v>
      </c>
      <c r="AR35" s="290">
        <v>-194.08199834999999</v>
      </c>
      <c r="AS35" s="290">
        <v>424.6155</v>
      </c>
      <c r="AT35" s="290">
        <v>215</v>
      </c>
      <c r="AU35" s="290">
        <v>80</v>
      </c>
      <c r="AV35" s="766">
        <v>158542</v>
      </c>
      <c r="AW35" s="290">
        <v>500</v>
      </c>
      <c r="AX35" s="766">
        <v>40.250050000000002</v>
      </c>
      <c r="AY35" s="290">
        <v>956</v>
      </c>
      <c r="AZ35" s="290">
        <v>264</v>
      </c>
      <c r="BA35" s="290">
        <v>115</v>
      </c>
      <c r="BB35" s="290">
        <v>0</v>
      </c>
      <c r="BC35" s="290">
        <v>7886.97430059</v>
      </c>
      <c r="BD35" s="290"/>
      <c r="BE35" s="290">
        <v>148283.50215536001</v>
      </c>
      <c r="BF35" s="290">
        <v>0</v>
      </c>
      <c r="BG35" s="290">
        <v>4207</v>
      </c>
      <c r="BH35" s="290">
        <v>1000</v>
      </c>
      <c r="BI35" s="290">
        <v>1340</v>
      </c>
      <c r="BJ35" s="290">
        <v>59</v>
      </c>
      <c r="BK35" s="290">
        <v>223</v>
      </c>
      <c r="BL35" s="290">
        <v>0</v>
      </c>
      <c r="BM35" s="290">
        <v>0</v>
      </c>
      <c r="BN35" s="290">
        <v>139</v>
      </c>
      <c r="BO35" s="290">
        <v>-43</v>
      </c>
      <c r="BP35" s="290">
        <v>477</v>
      </c>
      <c r="BQ35" s="290">
        <v>953</v>
      </c>
      <c r="BR35" s="290">
        <v>722</v>
      </c>
      <c r="BS35" s="290">
        <v>76</v>
      </c>
      <c r="BT35" s="290">
        <v>0</v>
      </c>
      <c r="BU35" s="290">
        <v>0</v>
      </c>
      <c r="BV35" s="290">
        <v>128</v>
      </c>
      <c r="BW35" s="290">
        <v>0</v>
      </c>
      <c r="BX35" s="290">
        <v>0</v>
      </c>
      <c r="BY35" s="290">
        <v>527</v>
      </c>
      <c r="BZ35" s="290">
        <v>450</v>
      </c>
      <c r="CA35" s="290">
        <v>323.89999999999998</v>
      </c>
      <c r="CB35" s="290">
        <v>52</v>
      </c>
      <c r="CC35" s="290">
        <v>0</v>
      </c>
      <c r="CD35" s="290">
        <v>0</v>
      </c>
      <c r="CE35" s="290">
        <v>147452.75700000001</v>
      </c>
      <c r="CF35" s="290">
        <v>0</v>
      </c>
      <c r="CG35" s="290">
        <v>0</v>
      </c>
      <c r="CH35" s="290">
        <v>0</v>
      </c>
      <c r="CI35" s="290">
        <v>0</v>
      </c>
      <c r="CJ35" s="290"/>
    </row>
    <row r="36" spans="1:88" ht="13">
      <c r="A36" s="1">
        <v>1520</v>
      </c>
      <c r="B36" s="2" t="s">
        <v>91</v>
      </c>
      <c r="C36" s="289">
        <v>10830</v>
      </c>
      <c r="D36" s="290">
        <v>257</v>
      </c>
      <c r="E36" s="290">
        <v>478</v>
      </c>
      <c r="F36" s="290">
        <v>1370</v>
      </c>
      <c r="G36" s="290">
        <v>957</v>
      </c>
      <c r="H36" s="290">
        <v>5828</v>
      </c>
      <c r="I36" s="290">
        <v>1346</v>
      </c>
      <c r="J36" s="290">
        <v>462</v>
      </c>
      <c r="K36" s="290">
        <v>136</v>
      </c>
      <c r="L36" s="290">
        <v>76</v>
      </c>
      <c r="M36" s="290">
        <v>779</v>
      </c>
      <c r="N36" s="290">
        <v>151</v>
      </c>
      <c r="O36" s="290">
        <v>93</v>
      </c>
      <c r="P36" s="624">
        <v>84164.977333329996</v>
      </c>
      <c r="Q36" s="624">
        <v>20691.06833333</v>
      </c>
      <c r="R36" s="1039">
        <v>35</v>
      </c>
      <c r="S36" s="290">
        <v>0</v>
      </c>
      <c r="T36" s="290">
        <v>792</v>
      </c>
      <c r="U36" s="958">
        <v>4.0490618186936628E-3</v>
      </c>
      <c r="V36" s="290">
        <v>689.20210296000005</v>
      </c>
      <c r="W36" s="765">
        <v>0.61652203999999999</v>
      </c>
      <c r="X36" s="290">
        <v>400</v>
      </c>
      <c r="Y36" s="290"/>
      <c r="Z36" s="290">
        <v>310709.30699999997</v>
      </c>
      <c r="AA36" s="290">
        <v>0</v>
      </c>
      <c r="AB36" s="290">
        <v>213</v>
      </c>
      <c r="AC36" s="290">
        <v>585</v>
      </c>
      <c r="AD36" s="290">
        <v>217</v>
      </c>
      <c r="AE36" s="290">
        <v>0</v>
      </c>
      <c r="AF36" s="290">
        <v>0</v>
      </c>
      <c r="AG36" s="290">
        <v>10834</v>
      </c>
      <c r="AH36" s="290">
        <v>1987</v>
      </c>
      <c r="AI36" s="290">
        <v>50</v>
      </c>
      <c r="AJ36" s="290">
        <v>0</v>
      </c>
      <c r="AK36" s="290">
        <v>0</v>
      </c>
      <c r="AL36" s="290">
        <v>0</v>
      </c>
      <c r="AM36" s="957">
        <v>0.12369309000000001</v>
      </c>
      <c r="AN36" s="290">
        <v>0</v>
      </c>
      <c r="AO36" s="290">
        <v>-2882.0898227500002</v>
      </c>
      <c r="AP36" s="290">
        <v>0</v>
      </c>
      <c r="AQ36" s="290">
        <v>0</v>
      </c>
      <c r="AR36" s="290">
        <v>-409.16216580999998</v>
      </c>
      <c r="AS36" s="290">
        <v>912.17600000000004</v>
      </c>
      <c r="AT36" s="290">
        <v>422</v>
      </c>
      <c r="AU36" s="290">
        <v>107</v>
      </c>
      <c r="AV36" s="766">
        <v>309446</v>
      </c>
      <c r="AW36" s="290">
        <v>600</v>
      </c>
      <c r="AX36" s="766">
        <v>107.33335</v>
      </c>
      <c r="AY36" s="290">
        <v>2298</v>
      </c>
      <c r="AZ36" s="290">
        <v>321</v>
      </c>
      <c r="BA36" s="290">
        <v>206</v>
      </c>
      <c r="BB36" s="290">
        <v>0</v>
      </c>
      <c r="BC36" s="290">
        <v>15528.53459748</v>
      </c>
      <c r="BD36" s="290"/>
      <c r="BE36" s="290">
        <v>296816.41603599</v>
      </c>
      <c r="BF36" s="290">
        <v>0</v>
      </c>
      <c r="BG36" s="290">
        <v>8869</v>
      </c>
      <c r="BH36" s="290">
        <v>1000</v>
      </c>
      <c r="BI36" s="290">
        <v>2789</v>
      </c>
      <c r="BJ36" s="290">
        <v>125</v>
      </c>
      <c r="BK36" s="290">
        <v>440</v>
      </c>
      <c r="BL36" s="290">
        <v>0</v>
      </c>
      <c r="BM36" s="290">
        <v>0</v>
      </c>
      <c r="BN36" s="290">
        <v>275</v>
      </c>
      <c r="BO36" s="290">
        <v>-74</v>
      </c>
      <c r="BP36" s="290">
        <v>1004</v>
      </c>
      <c r="BQ36" s="290">
        <v>2009</v>
      </c>
      <c r="BR36" s="290">
        <v>1521</v>
      </c>
      <c r="BS36" s="290">
        <v>163</v>
      </c>
      <c r="BT36" s="290">
        <v>0</v>
      </c>
      <c r="BU36" s="290">
        <v>0</v>
      </c>
      <c r="BV36" s="290">
        <v>253</v>
      </c>
      <c r="BW36" s="290">
        <v>0</v>
      </c>
      <c r="BX36" s="290">
        <v>0</v>
      </c>
      <c r="BY36" s="290">
        <v>1161</v>
      </c>
      <c r="BZ36" s="290">
        <v>2550</v>
      </c>
      <c r="CA36" s="290">
        <v>4520.3999999999996</v>
      </c>
      <c r="CB36" s="290">
        <v>102</v>
      </c>
      <c r="CC36" s="290">
        <v>1</v>
      </c>
      <c r="CD36" s="290">
        <v>0</v>
      </c>
      <c r="CE36" s="290">
        <v>310709.30699999997</v>
      </c>
      <c r="CF36" s="290">
        <v>0</v>
      </c>
      <c r="CG36" s="290">
        <v>0</v>
      </c>
      <c r="CH36" s="290">
        <v>0</v>
      </c>
      <c r="CI36" s="290">
        <v>0</v>
      </c>
      <c r="CJ36" s="290"/>
    </row>
    <row r="37" spans="1:88" ht="13">
      <c r="A37" s="1">
        <v>1525</v>
      </c>
      <c r="B37" s="2" t="s">
        <v>94</v>
      </c>
      <c r="C37" s="289">
        <v>4482</v>
      </c>
      <c r="D37" s="290">
        <v>82</v>
      </c>
      <c r="E37" s="290">
        <v>161</v>
      </c>
      <c r="F37" s="290">
        <v>465</v>
      </c>
      <c r="G37" s="290">
        <v>394</v>
      </c>
      <c r="H37" s="290">
        <v>2476</v>
      </c>
      <c r="I37" s="290">
        <v>590</v>
      </c>
      <c r="J37" s="290">
        <v>263</v>
      </c>
      <c r="K37" s="290">
        <v>73</v>
      </c>
      <c r="L37" s="290">
        <v>29</v>
      </c>
      <c r="M37" s="290">
        <v>370</v>
      </c>
      <c r="N37" s="290">
        <v>50</v>
      </c>
      <c r="O37" s="290">
        <v>54</v>
      </c>
      <c r="P37" s="624">
        <v>44508.089333329997</v>
      </c>
      <c r="Q37" s="624">
        <v>27231.394666669999</v>
      </c>
      <c r="R37" s="1039">
        <v>7</v>
      </c>
      <c r="S37" s="290">
        <v>0</v>
      </c>
      <c r="T37" s="290">
        <v>348</v>
      </c>
      <c r="U37" s="958">
        <v>2.2287056617750689E-3</v>
      </c>
      <c r="V37" s="290">
        <v>2324.3218625999998</v>
      </c>
      <c r="W37" s="765">
        <v>0.80734658999999998</v>
      </c>
      <c r="X37" s="290">
        <v>800</v>
      </c>
      <c r="Y37" s="290"/>
      <c r="Z37" s="290">
        <v>148696.72700000001</v>
      </c>
      <c r="AA37" s="290">
        <v>0</v>
      </c>
      <c r="AB37" s="290">
        <v>59</v>
      </c>
      <c r="AC37" s="290">
        <v>223</v>
      </c>
      <c r="AD37" s="290">
        <v>108</v>
      </c>
      <c r="AE37" s="290">
        <v>0</v>
      </c>
      <c r="AF37" s="290">
        <v>0</v>
      </c>
      <c r="AG37" s="290">
        <v>4504</v>
      </c>
      <c r="AH37" s="290">
        <v>700</v>
      </c>
      <c r="AI37" s="290">
        <v>250</v>
      </c>
      <c r="AJ37" s="290">
        <v>0</v>
      </c>
      <c r="AK37" s="290">
        <v>0</v>
      </c>
      <c r="AL37" s="290">
        <v>0</v>
      </c>
      <c r="AM37" s="957">
        <v>3.5950040000000003E-2</v>
      </c>
      <c r="AN37" s="290">
        <v>2661</v>
      </c>
      <c r="AO37" s="290">
        <v>-1216.2644169</v>
      </c>
      <c r="AP37" s="290">
        <v>0</v>
      </c>
      <c r="AQ37" s="290">
        <v>0</v>
      </c>
      <c r="AR37" s="290">
        <v>6209.40099534</v>
      </c>
      <c r="AS37" s="290">
        <v>373.017</v>
      </c>
      <c r="AT37" s="290">
        <v>139</v>
      </c>
      <c r="AU37" s="290">
        <v>37</v>
      </c>
      <c r="AV37" s="766">
        <v>148445</v>
      </c>
      <c r="AW37" s="290">
        <v>500</v>
      </c>
      <c r="AX37" s="766">
        <v>35.125</v>
      </c>
      <c r="AY37" s="290">
        <v>814</v>
      </c>
      <c r="AZ37" s="290">
        <v>143</v>
      </c>
      <c r="BA37" s="290">
        <v>55</v>
      </c>
      <c r="BB37" s="290">
        <v>0</v>
      </c>
      <c r="BC37" s="290">
        <v>6611.5289505600003</v>
      </c>
      <c r="BD37" s="290"/>
      <c r="BE37" s="290">
        <v>132585.43386831001</v>
      </c>
      <c r="BF37" s="290">
        <v>0</v>
      </c>
      <c r="BG37" s="290">
        <v>3687</v>
      </c>
      <c r="BH37" s="290">
        <v>1000</v>
      </c>
      <c r="BI37" s="290">
        <v>1031</v>
      </c>
      <c r="BJ37" s="290">
        <v>53</v>
      </c>
      <c r="BK37" s="290">
        <v>148</v>
      </c>
      <c r="BL37" s="290">
        <v>0</v>
      </c>
      <c r="BM37" s="290">
        <v>0</v>
      </c>
      <c r="BN37" s="290">
        <v>93</v>
      </c>
      <c r="BO37" s="290">
        <v>-29</v>
      </c>
      <c r="BP37" s="290">
        <v>416</v>
      </c>
      <c r="BQ37" s="290">
        <v>831</v>
      </c>
      <c r="BR37" s="290">
        <v>629</v>
      </c>
      <c r="BS37" s="290">
        <v>81</v>
      </c>
      <c r="BT37" s="290">
        <v>0</v>
      </c>
      <c r="BU37" s="290">
        <v>0</v>
      </c>
      <c r="BV37" s="290">
        <v>85</v>
      </c>
      <c r="BW37" s="290">
        <v>0</v>
      </c>
      <c r="BX37" s="290">
        <v>0</v>
      </c>
      <c r="BY37" s="290">
        <v>516</v>
      </c>
      <c r="BZ37" s="290">
        <v>400</v>
      </c>
      <c r="CA37" s="290">
        <v>2416</v>
      </c>
      <c r="CB37" s="290">
        <v>50</v>
      </c>
      <c r="CC37" s="290">
        <v>0</v>
      </c>
      <c r="CD37" s="290">
        <v>0</v>
      </c>
      <c r="CE37" s="290">
        <v>148696.72700000001</v>
      </c>
      <c r="CF37" s="290">
        <v>0</v>
      </c>
      <c r="CG37" s="290">
        <v>0</v>
      </c>
      <c r="CH37" s="290">
        <v>0</v>
      </c>
      <c r="CI37" s="290">
        <v>0</v>
      </c>
      <c r="CJ37" s="290"/>
    </row>
    <row r="38" spans="1:88" ht="13">
      <c r="A38" s="1">
        <v>1528</v>
      </c>
      <c r="B38" s="2" t="s">
        <v>96</v>
      </c>
      <c r="C38" s="289">
        <v>7596</v>
      </c>
      <c r="D38" s="290">
        <v>129</v>
      </c>
      <c r="E38" s="290">
        <v>306</v>
      </c>
      <c r="F38" s="290">
        <v>958</v>
      </c>
      <c r="G38" s="290">
        <v>721</v>
      </c>
      <c r="H38" s="290">
        <v>4111</v>
      </c>
      <c r="I38" s="290">
        <v>1007</v>
      </c>
      <c r="J38" s="290">
        <v>293</v>
      </c>
      <c r="K38" s="290">
        <v>88</v>
      </c>
      <c r="L38" s="290">
        <v>54</v>
      </c>
      <c r="M38" s="290">
        <v>516</v>
      </c>
      <c r="N38" s="290">
        <v>129</v>
      </c>
      <c r="O38" s="290">
        <v>63</v>
      </c>
      <c r="P38" s="624">
        <v>31505.275000000001</v>
      </c>
      <c r="Q38" s="624">
        <v>18636.27266667</v>
      </c>
      <c r="R38" s="1039">
        <v>34</v>
      </c>
      <c r="S38" s="290">
        <v>0</v>
      </c>
      <c r="T38" s="290">
        <v>577</v>
      </c>
      <c r="U38" s="958">
        <v>1.9023834727343934E-3</v>
      </c>
      <c r="V38" s="290">
        <v>-8062.4287935100001</v>
      </c>
      <c r="W38" s="765">
        <v>0.59805828999999999</v>
      </c>
      <c r="X38" s="290">
        <v>300</v>
      </c>
      <c r="Y38" s="290"/>
      <c r="Z38" s="290">
        <v>222362.87299999999</v>
      </c>
      <c r="AA38" s="290">
        <v>0</v>
      </c>
      <c r="AB38" s="290">
        <v>151</v>
      </c>
      <c r="AC38" s="290">
        <v>407</v>
      </c>
      <c r="AD38" s="290">
        <v>153</v>
      </c>
      <c r="AE38" s="290">
        <v>0</v>
      </c>
      <c r="AF38" s="290">
        <v>0</v>
      </c>
      <c r="AG38" s="290">
        <v>7613</v>
      </c>
      <c r="AH38" s="290">
        <v>1359</v>
      </c>
      <c r="AI38" s="290">
        <v>50</v>
      </c>
      <c r="AJ38" s="290">
        <v>0</v>
      </c>
      <c r="AK38" s="290">
        <v>0</v>
      </c>
      <c r="AL38" s="290">
        <v>0</v>
      </c>
      <c r="AM38" s="957">
        <v>7.1440199999999995E-2</v>
      </c>
      <c r="AN38" s="290">
        <v>2069</v>
      </c>
      <c r="AO38" s="290">
        <v>-1990.11843776</v>
      </c>
      <c r="AP38" s="290">
        <v>0</v>
      </c>
      <c r="AQ38" s="290">
        <v>0</v>
      </c>
      <c r="AR38" s="290">
        <v>4353.6625802199997</v>
      </c>
      <c r="AS38" s="290">
        <v>647.97950000000003</v>
      </c>
      <c r="AT38" s="290">
        <v>309</v>
      </c>
      <c r="AU38" s="290">
        <v>47</v>
      </c>
      <c r="AV38" s="766">
        <v>214016</v>
      </c>
      <c r="AW38" s="290">
        <v>0</v>
      </c>
      <c r="AX38" s="766">
        <v>43.666699999999999</v>
      </c>
      <c r="AY38" s="290">
        <v>1502</v>
      </c>
      <c r="AZ38" s="290">
        <v>286</v>
      </c>
      <c r="BA38" s="290">
        <v>141</v>
      </c>
      <c r="BB38" s="290">
        <v>0</v>
      </c>
      <c r="BC38" s="290">
        <v>11012.05993557</v>
      </c>
      <c r="BD38" s="290"/>
      <c r="BE38" s="290">
        <v>194337.81845374999</v>
      </c>
      <c r="BF38" s="290">
        <v>0</v>
      </c>
      <c r="BG38" s="290">
        <v>6232</v>
      </c>
      <c r="BH38" s="290">
        <v>1000</v>
      </c>
      <c r="BI38" s="290">
        <v>1919</v>
      </c>
      <c r="BJ38" s="290">
        <v>88</v>
      </c>
      <c r="BK38" s="290">
        <v>268</v>
      </c>
      <c r="BL38" s="290">
        <v>0</v>
      </c>
      <c r="BM38" s="290">
        <v>0</v>
      </c>
      <c r="BN38" s="290">
        <v>168</v>
      </c>
      <c r="BO38" s="290">
        <v>-53</v>
      </c>
      <c r="BP38" s="290">
        <v>704</v>
      </c>
      <c r="BQ38" s="290">
        <v>1409</v>
      </c>
      <c r="BR38" s="290">
        <v>1067</v>
      </c>
      <c r="BS38" s="290">
        <v>114</v>
      </c>
      <c r="BT38" s="290">
        <v>0</v>
      </c>
      <c r="BU38" s="290">
        <v>0</v>
      </c>
      <c r="BV38" s="290">
        <v>154</v>
      </c>
      <c r="BW38" s="290">
        <v>0</v>
      </c>
      <c r="BX38" s="290">
        <v>0</v>
      </c>
      <c r="BY38" s="290">
        <v>828</v>
      </c>
      <c r="BZ38" s="290">
        <v>570</v>
      </c>
      <c r="CA38" s="290">
        <v>752.8</v>
      </c>
      <c r="CB38" s="290">
        <v>74</v>
      </c>
      <c r="CC38" s="290">
        <v>1</v>
      </c>
      <c r="CD38" s="290">
        <v>0</v>
      </c>
      <c r="CE38" s="290">
        <v>222362.87299999999</v>
      </c>
      <c r="CF38" s="290">
        <v>0</v>
      </c>
      <c r="CG38" s="290">
        <v>0</v>
      </c>
      <c r="CH38" s="290">
        <v>0</v>
      </c>
      <c r="CI38" s="290">
        <v>0</v>
      </c>
      <c r="CJ38" s="290"/>
    </row>
    <row r="39" spans="1:88" ht="13">
      <c r="A39" s="1">
        <v>1531</v>
      </c>
      <c r="B39" s="2" t="s">
        <v>98</v>
      </c>
      <c r="C39" s="289">
        <v>9409</v>
      </c>
      <c r="D39" s="290">
        <v>201</v>
      </c>
      <c r="E39" s="290">
        <v>519</v>
      </c>
      <c r="F39" s="290">
        <v>1361</v>
      </c>
      <c r="G39" s="290">
        <v>818</v>
      </c>
      <c r="H39" s="290">
        <v>5149</v>
      </c>
      <c r="I39" s="290">
        <v>938</v>
      </c>
      <c r="J39" s="290">
        <v>309</v>
      </c>
      <c r="K39" s="290">
        <v>112</v>
      </c>
      <c r="L39" s="290">
        <v>67</v>
      </c>
      <c r="M39" s="290">
        <v>497</v>
      </c>
      <c r="N39" s="290">
        <v>70</v>
      </c>
      <c r="O39" s="290">
        <v>90</v>
      </c>
      <c r="P39" s="624">
        <v>22220.967000000001</v>
      </c>
      <c r="Q39" s="624">
        <v>15132.973333329999</v>
      </c>
      <c r="R39" s="1039">
        <v>52</v>
      </c>
      <c r="S39" s="290">
        <v>0</v>
      </c>
      <c r="T39" s="290">
        <v>618</v>
      </c>
      <c r="U39" s="958">
        <v>3.544045737524067E-4</v>
      </c>
      <c r="V39" s="290">
        <v>3132.8529349800001</v>
      </c>
      <c r="W39" s="765">
        <v>0.56317366000000002</v>
      </c>
      <c r="X39" s="290">
        <v>900</v>
      </c>
      <c r="Y39" s="290"/>
      <c r="Z39" s="290">
        <v>273616.18300000002</v>
      </c>
      <c r="AA39" s="290">
        <v>0</v>
      </c>
      <c r="AB39" s="290">
        <v>153</v>
      </c>
      <c r="AC39" s="290">
        <v>563</v>
      </c>
      <c r="AD39" s="290">
        <v>175</v>
      </c>
      <c r="AE39" s="290">
        <v>0</v>
      </c>
      <c r="AF39" s="290">
        <v>0</v>
      </c>
      <c r="AG39" s="290">
        <v>9407</v>
      </c>
      <c r="AH39" s="290">
        <v>1914</v>
      </c>
      <c r="AI39" s="290">
        <v>0</v>
      </c>
      <c r="AJ39" s="290">
        <v>0</v>
      </c>
      <c r="AK39" s="290">
        <v>0</v>
      </c>
      <c r="AL39" s="290">
        <v>0</v>
      </c>
      <c r="AM39" s="957">
        <v>9.2504390000000006E-2</v>
      </c>
      <c r="AN39" s="290">
        <v>0</v>
      </c>
      <c r="AO39" s="290">
        <v>-2572.3833224700002</v>
      </c>
      <c r="AP39" s="290">
        <v>0</v>
      </c>
      <c r="AQ39" s="290">
        <v>0</v>
      </c>
      <c r="AR39" s="290">
        <v>-355.26938285</v>
      </c>
      <c r="AS39" s="290">
        <v>800.66449999999998</v>
      </c>
      <c r="AT39" s="290">
        <v>384</v>
      </c>
      <c r="AU39" s="290">
        <v>80</v>
      </c>
      <c r="AV39" s="766">
        <v>286990</v>
      </c>
      <c r="AW39" s="290">
        <v>700</v>
      </c>
      <c r="AX39" s="766">
        <v>65.416700000000006</v>
      </c>
      <c r="AY39" s="290">
        <v>1983</v>
      </c>
      <c r="AZ39" s="290">
        <v>261</v>
      </c>
      <c r="BA39" s="290">
        <v>205</v>
      </c>
      <c r="BB39" s="290">
        <v>0</v>
      </c>
      <c r="BC39" s="290">
        <v>14173.03484206</v>
      </c>
      <c r="BD39" s="290"/>
      <c r="BE39" s="290">
        <v>276437.02530610998</v>
      </c>
      <c r="BF39" s="290">
        <v>0</v>
      </c>
      <c r="BG39" s="290">
        <v>7701</v>
      </c>
      <c r="BH39" s="290">
        <v>1000</v>
      </c>
      <c r="BI39" s="290">
        <v>2652</v>
      </c>
      <c r="BJ39" s="290">
        <v>107</v>
      </c>
      <c r="BK39" s="290">
        <v>440</v>
      </c>
      <c r="BL39" s="290">
        <v>0</v>
      </c>
      <c r="BM39" s="290">
        <v>0</v>
      </c>
      <c r="BN39" s="290">
        <v>275</v>
      </c>
      <c r="BO39" s="290">
        <v>-57</v>
      </c>
      <c r="BP39" s="290">
        <v>873</v>
      </c>
      <c r="BQ39" s="290">
        <v>1745</v>
      </c>
      <c r="BR39" s="290">
        <v>1321</v>
      </c>
      <c r="BS39" s="290">
        <v>131</v>
      </c>
      <c r="BT39" s="290">
        <v>0</v>
      </c>
      <c r="BU39" s="290">
        <v>0</v>
      </c>
      <c r="BV39" s="290">
        <v>253</v>
      </c>
      <c r="BW39" s="290">
        <v>0</v>
      </c>
      <c r="BX39" s="290">
        <v>0</v>
      </c>
      <c r="BY39" s="290">
        <v>893</v>
      </c>
      <c r="BZ39" s="290">
        <v>1700</v>
      </c>
      <c r="CA39" s="290">
        <v>2231.5</v>
      </c>
      <c r="CB39" s="290">
        <v>89</v>
      </c>
      <c r="CC39" s="290">
        <v>1</v>
      </c>
      <c r="CD39" s="290">
        <v>0</v>
      </c>
      <c r="CE39" s="290">
        <v>273616.18300000002</v>
      </c>
      <c r="CF39" s="290">
        <v>0</v>
      </c>
      <c r="CG39" s="290">
        <v>0</v>
      </c>
      <c r="CH39" s="290">
        <v>0</v>
      </c>
      <c r="CI39" s="290">
        <v>0</v>
      </c>
      <c r="CJ39" s="290"/>
    </row>
    <row r="40" spans="1:88" ht="13">
      <c r="A40" s="1">
        <v>1532</v>
      </c>
      <c r="B40" s="2" t="s">
        <v>99</v>
      </c>
      <c r="C40" s="289">
        <v>8506</v>
      </c>
      <c r="D40" s="290">
        <v>215</v>
      </c>
      <c r="E40" s="290">
        <v>501</v>
      </c>
      <c r="F40" s="290">
        <v>1209</v>
      </c>
      <c r="G40" s="290">
        <v>757</v>
      </c>
      <c r="H40" s="290">
        <v>4571</v>
      </c>
      <c r="I40" s="290">
        <v>874</v>
      </c>
      <c r="J40" s="290">
        <v>268</v>
      </c>
      <c r="K40" s="290">
        <v>71</v>
      </c>
      <c r="L40" s="290">
        <v>51</v>
      </c>
      <c r="M40" s="290">
        <v>436</v>
      </c>
      <c r="N40" s="290">
        <v>63</v>
      </c>
      <c r="O40" s="290">
        <v>87</v>
      </c>
      <c r="P40" s="624">
        <v>33876.579666669997</v>
      </c>
      <c r="Q40" s="624">
        <v>12908.249666670001</v>
      </c>
      <c r="R40" s="1039">
        <v>24</v>
      </c>
      <c r="S40" s="290">
        <v>0</v>
      </c>
      <c r="T40" s="290">
        <v>500</v>
      </c>
      <c r="U40" s="958">
        <v>9.1379665829153015E-4</v>
      </c>
      <c r="V40" s="290">
        <v>3268.4152994400001</v>
      </c>
      <c r="W40" s="765">
        <v>0.61677497000000003</v>
      </c>
      <c r="X40" s="290">
        <v>300</v>
      </c>
      <c r="Y40" s="290"/>
      <c r="Z40" s="290">
        <v>285156.16399999999</v>
      </c>
      <c r="AA40" s="290">
        <v>0</v>
      </c>
      <c r="AB40" s="290">
        <v>114</v>
      </c>
      <c r="AC40" s="290">
        <v>506</v>
      </c>
      <c r="AD40" s="290">
        <v>161</v>
      </c>
      <c r="AE40" s="290">
        <v>0</v>
      </c>
      <c r="AF40" s="290">
        <v>0</v>
      </c>
      <c r="AG40" s="290">
        <v>8466</v>
      </c>
      <c r="AH40" s="290">
        <v>1772</v>
      </c>
      <c r="AI40" s="290">
        <v>0</v>
      </c>
      <c r="AJ40" s="290">
        <v>0</v>
      </c>
      <c r="AK40" s="290">
        <v>0</v>
      </c>
      <c r="AL40" s="290">
        <v>0</v>
      </c>
      <c r="AM40" s="957">
        <v>8.4538260000000004E-2</v>
      </c>
      <c r="AN40" s="290">
        <v>0</v>
      </c>
      <c r="AO40" s="290">
        <v>-2217.3840476</v>
      </c>
      <c r="AP40" s="290">
        <v>0</v>
      </c>
      <c r="AQ40" s="290">
        <v>0</v>
      </c>
      <c r="AR40" s="290">
        <v>-319.73111462000003</v>
      </c>
      <c r="AS40" s="290">
        <v>764.65</v>
      </c>
      <c r="AT40" s="290">
        <v>354</v>
      </c>
      <c r="AU40" s="290">
        <v>60</v>
      </c>
      <c r="AV40" s="766">
        <v>238063</v>
      </c>
      <c r="AW40" s="290">
        <v>2200</v>
      </c>
      <c r="AX40" s="766">
        <v>62.208350000000003</v>
      </c>
      <c r="AY40" s="290">
        <v>1800</v>
      </c>
      <c r="AZ40" s="290">
        <v>285</v>
      </c>
      <c r="BA40" s="290">
        <v>167</v>
      </c>
      <c r="BB40" s="290">
        <v>0</v>
      </c>
      <c r="BC40" s="290">
        <v>12803.59807991</v>
      </c>
      <c r="BD40" s="290"/>
      <c r="BE40" s="290">
        <v>227260.45620789999</v>
      </c>
      <c r="BF40" s="290">
        <v>0</v>
      </c>
      <c r="BG40" s="290">
        <v>6930</v>
      </c>
      <c r="BH40" s="290">
        <v>1000</v>
      </c>
      <c r="BI40" s="290">
        <v>2439</v>
      </c>
      <c r="BJ40" s="290">
        <v>97</v>
      </c>
      <c r="BK40" s="290">
        <v>422</v>
      </c>
      <c r="BL40" s="290">
        <v>0</v>
      </c>
      <c r="BM40" s="290">
        <v>0</v>
      </c>
      <c r="BN40" s="290">
        <v>264</v>
      </c>
      <c r="BO40" s="290">
        <v>-48</v>
      </c>
      <c r="BP40" s="290">
        <v>789</v>
      </c>
      <c r="BQ40" s="290">
        <v>1578</v>
      </c>
      <c r="BR40" s="290">
        <v>1194</v>
      </c>
      <c r="BS40" s="290">
        <v>121</v>
      </c>
      <c r="BT40" s="290">
        <v>0</v>
      </c>
      <c r="BU40" s="290">
        <v>0</v>
      </c>
      <c r="BV40" s="290">
        <v>243</v>
      </c>
      <c r="BW40" s="290">
        <v>0</v>
      </c>
      <c r="BX40" s="290">
        <v>0</v>
      </c>
      <c r="BY40" s="290">
        <v>817</v>
      </c>
      <c r="BZ40" s="290">
        <v>1060</v>
      </c>
      <c r="CA40" s="290">
        <v>3044.4</v>
      </c>
      <c r="CB40" s="290">
        <v>82</v>
      </c>
      <c r="CC40" s="290">
        <v>1</v>
      </c>
      <c r="CD40" s="290">
        <v>0</v>
      </c>
      <c r="CE40" s="290">
        <v>285156.16399999999</v>
      </c>
      <c r="CF40" s="290">
        <v>0</v>
      </c>
      <c r="CG40" s="290">
        <v>0</v>
      </c>
      <c r="CH40" s="290">
        <v>0</v>
      </c>
      <c r="CI40" s="290">
        <v>0</v>
      </c>
      <c r="CJ40" s="290"/>
    </row>
    <row r="41" spans="1:88" ht="13">
      <c r="A41" s="1">
        <v>1535</v>
      </c>
      <c r="B41" s="2" t="s">
        <v>101</v>
      </c>
      <c r="C41" s="289">
        <v>6958</v>
      </c>
      <c r="D41" s="290">
        <v>133</v>
      </c>
      <c r="E41" s="290">
        <v>273</v>
      </c>
      <c r="F41" s="290">
        <v>797</v>
      </c>
      <c r="G41" s="290">
        <v>575</v>
      </c>
      <c r="H41" s="290">
        <v>3855</v>
      </c>
      <c r="I41" s="290">
        <v>957</v>
      </c>
      <c r="J41" s="290">
        <v>307</v>
      </c>
      <c r="K41" s="290">
        <v>68</v>
      </c>
      <c r="L41" s="290">
        <v>55</v>
      </c>
      <c r="M41" s="290">
        <v>568</v>
      </c>
      <c r="N41" s="290">
        <v>29</v>
      </c>
      <c r="O41" s="290">
        <v>65</v>
      </c>
      <c r="P41" s="624">
        <v>43647.08233333</v>
      </c>
      <c r="Q41" s="624">
        <v>16885.678</v>
      </c>
      <c r="R41" s="1039">
        <v>33</v>
      </c>
      <c r="S41" s="290">
        <v>0</v>
      </c>
      <c r="T41" s="290">
        <v>588</v>
      </c>
      <c r="U41" s="958">
        <v>2.7570053116195005E-3</v>
      </c>
      <c r="V41" s="290">
        <v>-3073.9821100600002</v>
      </c>
      <c r="W41" s="765">
        <v>0.68603837000000001</v>
      </c>
      <c r="X41" s="290">
        <v>4200</v>
      </c>
      <c r="Y41" s="290"/>
      <c r="Z41" s="290">
        <v>211902.95300000001</v>
      </c>
      <c r="AA41" s="290">
        <v>0</v>
      </c>
      <c r="AB41" s="290">
        <v>147</v>
      </c>
      <c r="AC41" s="290">
        <v>347</v>
      </c>
      <c r="AD41" s="290">
        <v>144</v>
      </c>
      <c r="AE41" s="290">
        <v>0</v>
      </c>
      <c r="AF41" s="290">
        <v>0</v>
      </c>
      <c r="AG41" s="290">
        <v>6965</v>
      </c>
      <c r="AH41" s="290">
        <v>1150</v>
      </c>
      <c r="AI41" s="290">
        <v>0</v>
      </c>
      <c r="AJ41" s="290">
        <v>0</v>
      </c>
      <c r="AK41" s="290">
        <v>0</v>
      </c>
      <c r="AL41" s="290">
        <v>0</v>
      </c>
      <c r="AM41" s="957">
        <v>0.10346571</v>
      </c>
      <c r="AN41" s="290">
        <v>5716</v>
      </c>
      <c r="AO41" s="290">
        <v>-1844.18538122</v>
      </c>
      <c r="AP41" s="290">
        <v>0</v>
      </c>
      <c r="AQ41" s="290">
        <v>10359.279</v>
      </c>
      <c r="AR41" s="290">
        <v>-263.04361130000001</v>
      </c>
      <c r="AS41" s="290">
        <v>519.45249999999999</v>
      </c>
      <c r="AT41" s="290">
        <v>304</v>
      </c>
      <c r="AU41" s="290">
        <v>54</v>
      </c>
      <c r="AV41" s="766">
        <v>193895</v>
      </c>
      <c r="AW41" s="290">
        <v>1400</v>
      </c>
      <c r="AX41" s="766">
        <v>45.5242</v>
      </c>
      <c r="AY41" s="290">
        <v>1156</v>
      </c>
      <c r="AZ41" s="290">
        <v>304</v>
      </c>
      <c r="BA41" s="290">
        <v>145</v>
      </c>
      <c r="BB41" s="290">
        <v>0</v>
      </c>
      <c r="BC41" s="290">
        <v>9338.0783529399996</v>
      </c>
      <c r="BD41" s="290"/>
      <c r="BE41" s="290">
        <v>194900.08101965001</v>
      </c>
      <c r="BF41" s="290">
        <v>0</v>
      </c>
      <c r="BG41" s="290">
        <v>5702</v>
      </c>
      <c r="BH41" s="290">
        <v>1000</v>
      </c>
      <c r="BI41" s="290">
        <v>1641</v>
      </c>
      <c r="BJ41" s="290">
        <v>77</v>
      </c>
      <c r="BK41" s="290">
        <v>240</v>
      </c>
      <c r="BL41" s="290">
        <v>0</v>
      </c>
      <c r="BM41" s="290">
        <v>0</v>
      </c>
      <c r="BN41" s="290">
        <v>150</v>
      </c>
      <c r="BO41" s="290">
        <v>-49</v>
      </c>
      <c r="BP41" s="290">
        <v>645</v>
      </c>
      <c r="BQ41" s="290">
        <v>1291</v>
      </c>
      <c r="BR41" s="290">
        <v>977</v>
      </c>
      <c r="BS41" s="290">
        <v>108</v>
      </c>
      <c r="BT41" s="290">
        <v>0</v>
      </c>
      <c r="BU41" s="290">
        <v>0</v>
      </c>
      <c r="BV41" s="290">
        <v>138</v>
      </c>
      <c r="BW41" s="290">
        <v>0</v>
      </c>
      <c r="BX41" s="290">
        <v>0</v>
      </c>
      <c r="BY41" s="290">
        <v>805</v>
      </c>
      <c r="BZ41" s="290">
        <v>2650</v>
      </c>
      <c r="CA41" s="290">
        <v>352.25200000000001</v>
      </c>
      <c r="CB41" s="290">
        <v>69</v>
      </c>
      <c r="CC41" s="290">
        <v>0</v>
      </c>
      <c r="CD41" s="290">
        <v>0</v>
      </c>
      <c r="CE41" s="290">
        <v>211902.95300000001</v>
      </c>
      <c r="CF41" s="290">
        <v>0</v>
      </c>
      <c r="CG41" s="290">
        <v>0</v>
      </c>
      <c r="CH41" s="290">
        <v>0</v>
      </c>
      <c r="CI41" s="290">
        <v>0</v>
      </c>
      <c r="CJ41" s="290"/>
    </row>
    <row r="42" spans="1:88" ht="13">
      <c r="A42" s="1">
        <v>1539</v>
      </c>
      <c r="B42" s="2" t="s">
        <v>102</v>
      </c>
      <c r="C42" s="289">
        <v>7026</v>
      </c>
      <c r="D42" s="290">
        <v>112</v>
      </c>
      <c r="E42" s="290">
        <v>308</v>
      </c>
      <c r="F42" s="290">
        <v>844</v>
      </c>
      <c r="G42" s="290">
        <v>544</v>
      </c>
      <c r="H42" s="290">
        <v>3758</v>
      </c>
      <c r="I42" s="290">
        <v>1041</v>
      </c>
      <c r="J42" s="290">
        <v>326</v>
      </c>
      <c r="K42" s="290">
        <v>107</v>
      </c>
      <c r="L42" s="290">
        <v>53</v>
      </c>
      <c r="M42" s="290">
        <v>660</v>
      </c>
      <c r="N42" s="290">
        <v>17</v>
      </c>
      <c r="O42" s="290">
        <v>57</v>
      </c>
      <c r="P42" s="624">
        <v>70884.894</v>
      </c>
      <c r="Q42" s="624">
        <v>20062.262666670002</v>
      </c>
      <c r="R42" s="1039">
        <v>39</v>
      </c>
      <c r="S42" s="290">
        <v>0</v>
      </c>
      <c r="T42" s="290">
        <v>604</v>
      </c>
      <c r="U42" s="958">
        <v>3.5568874877741469E-3</v>
      </c>
      <c r="V42" s="290">
        <v>-973.61413235999999</v>
      </c>
      <c r="W42" s="765">
        <v>0.72837463999999996</v>
      </c>
      <c r="X42" s="290">
        <v>330</v>
      </c>
      <c r="Y42" s="290"/>
      <c r="Z42" s="290">
        <v>226776.769</v>
      </c>
      <c r="AA42" s="290">
        <v>0</v>
      </c>
      <c r="AB42" s="290">
        <v>136</v>
      </c>
      <c r="AC42" s="290">
        <v>373</v>
      </c>
      <c r="AD42" s="290">
        <v>154</v>
      </c>
      <c r="AE42" s="290">
        <v>0</v>
      </c>
      <c r="AF42" s="290">
        <v>0</v>
      </c>
      <c r="AG42" s="290">
        <v>7040</v>
      </c>
      <c r="AH42" s="290">
        <v>1206</v>
      </c>
      <c r="AI42" s="290">
        <v>600</v>
      </c>
      <c r="AJ42" s="290">
        <v>0</v>
      </c>
      <c r="AK42" s="290">
        <v>0</v>
      </c>
      <c r="AL42" s="290">
        <v>0</v>
      </c>
      <c r="AM42" s="957">
        <v>7.7421859999999995E-2</v>
      </c>
      <c r="AN42" s="290">
        <v>5794</v>
      </c>
      <c r="AO42" s="290">
        <v>-1996.93307166</v>
      </c>
      <c r="AP42" s="290">
        <v>0</v>
      </c>
      <c r="AQ42" s="290">
        <v>-10359.279</v>
      </c>
      <c r="AR42" s="290">
        <v>-265.87609814000001</v>
      </c>
      <c r="AS42" s="290">
        <v>611.64</v>
      </c>
      <c r="AT42" s="290">
        <v>302</v>
      </c>
      <c r="AU42" s="290">
        <v>55</v>
      </c>
      <c r="AV42" s="766">
        <v>244381</v>
      </c>
      <c r="AW42" s="290">
        <v>600</v>
      </c>
      <c r="AX42" s="766">
        <v>21.01745</v>
      </c>
      <c r="AY42" s="290">
        <v>1356</v>
      </c>
      <c r="AZ42" s="290">
        <v>232</v>
      </c>
      <c r="BA42" s="290">
        <v>125</v>
      </c>
      <c r="BB42" s="290">
        <v>0</v>
      </c>
      <c r="BC42" s="290">
        <v>11017.094450910001</v>
      </c>
      <c r="BD42" s="290"/>
      <c r="BE42" s="290">
        <v>224578.75780938001</v>
      </c>
      <c r="BF42" s="290">
        <v>0</v>
      </c>
      <c r="BG42" s="290">
        <v>5763</v>
      </c>
      <c r="BH42" s="290">
        <v>1000</v>
      </c>
      <c r="BI42" s="290">
        <v>1733</v>
      </c>
      <c r="BJ42" s="290">
        <v>87</v>
      </c>
      <c r="BK42" s="290">
        <v>254</v>
      </c>
      <c r="BL42" s="290">
        <v>0</v>
      </c>
      <c r="BM42" s="290">
        <v>0</v>
      </c>
      <c r="BN42" s="290">
        <v>159</v>
      </c>
      <c r="BO42" s="290">
        <v>-46</v>
      </c>
      <c r="BP42" s="290">
        <v>652</v>
      </c>
      <c r="BQ42" s="290">
        <v>1303</v>
      </c>
      <c r="BR42" s="290">
        <v>987</v>
      </c>
      <c r="BS42" s="290">
        <v>116</v>
      </c>
      <c r="BT42" s="290">
        <v>0</v>
      </c>
      <c r="BU42" s="290">
        <v>0</v>
      </c>
      <c r="BV42" s="290">
        <v>146</v>
      </c>
      <c r="BW42" s="290">
        <v>0</v>
      </c>
      <c r="BX42" s="290">
        <v>0</v>
      </c>
      <c r="BY42" s="290">
        <v>825</v>
      </c>
      <c r="BZ42" s="290">
        <v>550</v>
      </c>
      <c r="CA42" s="290">
        <v>481.7</v>
      </c>
      <c r="CB42" s="290">
        <v>70</v>
      </c>
      <c r="CC42" s="290">
        <v>0</v>
      </c>
      <c r="CD42" s="290">
        <v>0</v>
      </c>
      <c r="CE42" s="290">
        <v>226776.769</v>
      </c>
      <c r="CF42" s="290">
        <v>0</v>
      </c>
      <c r="CG42" s="290">
        <v>0</v>
      </c>
      <c r="CH42" s="290">
        <v>0</v>
      </c>
      <c r="CI42" s="290">
        <v>0</v>
      </c>
      <c r="CJ42" s="290"/>
    </row>
    <row r="43" spans="1:88" ht="13">
      <c r="A43" s="1">
        <v>1547</v>
      </c>
      <c r="B43" s="2" t="s">
        <v>106</v>
      </c>
      <c r="C43" s="289">
        <v>3522</v>
      </c>
      <c r="D43" s="290">
        <v>64</v>
      </c>
      <c r="E43" s="290">
        <v>141</v>
      </c>
      <c r="F43" s="290">
        <v>503</v>
      </c>
      <c r="G43" s="290">
        <v>327</v>
      </c>
      <c r="H43" s="290">
        <v>1843</v>
      </c>
      <c r="I43" s="290">
        <v>454</v>
      </c>
      <c r="J43" s="290">
        <v>157</v>
      </c>
      <c r="K43" s="290">
        <v>39</v>
      </c>
      <c r="L43" s="290">
        <v>23</v>
      </c>
      <c r="M43" s="290">
        <v>236</v>
      </c>
      <c r="N43" s="290">
        <v>29</v>
      </c>
      <c r="O43" s="290">
        <v>56</v>
      </c>
      <c r="P43" s="624">
        <v>46502.568666669998</v>
      </c>
      <c r="Q43" s="624">
        <v>8507.8786666699998</v>
      </c>
      <c r="R43" s="1039">
        <v>8</v>
      </c>
      <c r="S43" s="290">
        <v>0</v>
      </c>
      <c r="T43" s="290">
        <v>241</v>
      </c>
      <c r="U43" s="958">
        <v>7.4264736623113291E-4</v>
      </c>
      <c r="V43" s="290">
        <v>1576.8155317000001</v>
      </c>
      <c r="W43" s="765">
        <v>0.75952372000000001</v>
      </c>
      <c r="X43" s="290">
        <v>0</v>
      </c>
      <c r="Y43" s="290"/>
      <c r="Z43" s="290">
        <v>107765.298</v>
      </c>
      <c r="AA43" s="290">
        <v>0</v>
      </c>
      <c r="AB43" s="290">
        <v>55</v>
      </c>
      <c r="AC43" s="290">
        <v>228</v>
      </c>
      <c r="AD43" s="290">
        <v>84</v>
      </c>
      <c r="AE43" s="290">
        <v>0</v>
      </c>
      <c r="AF43" s="290">
        <v>0</v>
      </c>
      <c r="AG43" s="290">
        <v>3528</v>
      </c>
      <c r="AH43" s="290">
        <v>666</v>
      </c>
      <c r="AI43" s="290">
        <v>0</v>
      </c>
      <c r="AJ43" s="290">
        <v>0</v>
      </c>
      <c r="AK43" s="290">
        <v>2613</v>
      </c>
      <c r="AL43" s="290">
        <v>0</v>
      </c>
      <c r="AM43" s="957">
        <v>7.8196589999999996E-2</v>
      </c>
      <c r="AN43" s="290">
        <v>0</v>
      </c>
      <c r="AO43" s="290">
        <v>-1000.68020719</v>
      </c>
      <c r="AP43" s="290">
        <v>0</v>
      </c>
      <c r="AQ43" s="290">
        <v>0</v>
      </c>
      <c r="AR43" s="290">
        <v>-133.24018100000001</v>
      </c>
      <c r="AS43" s="290">
        <v>352.54149999999998</v>
      </c>
      <c r="AT43" s="290">
        <v>179</v>
      </c>
      <c r="AU43" s="290">
        <v>33</v>
      </c>
      <c r="AV43" s="766">
        <v>119038</v>
      </c>
      <c r="AW43" s="290">
        <v>0</v>
      </c>
      <c r="AX43" s="766">
        <v>24.208349999999999</v>
      </c>
      <c r="AY43" s="290">
        <v>713</v>
      </c>
      <c r="AZ43" s="290">
        <v>163</v>
      </c>
      <c r="BA43" s="290">
        <v>87</v>
      </c>
      <c r="BB43" s="290">
        <v>0</v>
      </c>
      <c r="BC43" s="290">
        <v>7683.7392213200001</v>
      </c>
      <c r="BD43" s="290"/>
      <c r="BE43" s="290">
        <v>114250.64227329</v>
      </c>
      <c r="BF43" s="290">
        <v>0</v>
      </c>
      <c r="BG43" s="290">
        <v>2888</v>
      </c>
      <c r="BH43" s="290">
        <v>1000</v>
      </c>
      <c r="BI43" s="290">
        <v>3591</v>
      </c>
      <c r="BJ43" s="290">
        <v>42</v>
      </c>
      <c r="BK43" s="290">
        <v>126</v>
      </c>
      <c r="BL43" s="290">
        <v>0</v>
      </c>
      <c r="BM43" s="290">
        <v>0</v>
      </c>
      <c r="BN43" s="290">
        <v>79</v>
      </c>
      <c r="BO43" s="290">
        <v>-23</v>
      </c>
      <c r="BP43" s="290">
        <v>327</v>
      </c>
      <c r="BQ43" s="290">
        <v>653</v>
      </c>
      <c r="BR43" s="290">
        <v>495</v>
      </c>
      <c r="BS43" s="290">
        <v>63</v>
      </c>
      <c r="BT43" s="290">
        <v>0</v>
      </c>
      <c r="BU43" s="290">
        <v>0</v>
      </c>
      <c r="BV43" s="290">
        <v>73</v>
      </c>
      <c r="BW43" s="290">
        <v>0</v>
      </c>
      <c r="BX43" s="290">
        <v>0</v>
      </c>
      <c r="BY43" s="290">
        <v>392</v>
      </c>
      <c r="BZ43" s="290">
        <v>0</v>
      </c>
      <c r="CA43" s="290">
        <v>191.137</v>
      </c>
      <c r="CB43" s="290">
        <v>41</v>
      </c>
      <c r="CC43" s="290">
        <v>0</v>
      </c>
      <c r="CD43" s="290">
        <v>0</v>
      </c>
      <c r="CE43" s="290">
        <v>107765.298</v>
      </c>
      <c r="CF43" s="290">
        <v>3180.5149982809412</v>
      </c>
      <c r="CG43" s="290">
        <v>3698.4269557800226</v>
      </c>
      <c r="CH43" s="290">
        <v>4208.1525875035841</v>
      </c>
      <c r="CI43" s="290">
        <v>4711.742148938838</v>
      </c>
      <c r="CJ43" s="290"/>
    </row>
    <row r="44" spans="1:88" ht="13">
      <c r="A44" s="1">
        <v>1554</v>
      </c>
      <c r="B44" s="3" t="s">
        <v>109</v>
      </c>
      <c r="C44" s="289">
        <v>5808</v>
      </c>
      <c r="D44" s="290">
        <v>102</v>
      </c>
      <c r="E44" s="290">
        <v>203</v>
      </c>
      <c r="F44" s="290">
        <v>732</v>
      </c>
      <c r="G44" s="290">
        <v>487</v>
      </c>
      <c r="H44" s="290">
        <v>3171</v>
      </c>
      <c r="I44" s="290">
        <v>823</v>
      </c>
      <c r="J44" s="290">
        <v>218</v>
      </c>
      <c r="K44" s="290">
        <v>65</v>
      </c>
      <c r="L44" s="290">
        <v>44</v>
      </c>
      <c r="M44" s="290">
        <v>457</v>
      </c>
      <c r="N44" s="290">
        <v>32</v>
      </c>
      <c r="O44" s="290">
        <v>55</v>
      </c>
      <c r="P44" s="624">
        <v>41061.214666669999</v>
      </c>
      <c r="Q44" s="624">
        <v>18346.30966667</v>
      </c>
      <c r="R44" s="1039">
        <v>23</v>
      </c>
      <c r="S44" s="290">
        <v>0</v>
      </c>
      <c r="T44" s="290">
        <v>451</v>
      </c>
      <c r="U44" s="958">
        <v>2.2885703047541943E-3</v>
      </c>
      <c r="V44" s="290">
        <v>-1890.75366687</v>
      </c>
      <c r="W44" s="765">
        <v>0.72537841999999997</v>
      </c>
      <c r="X44" s="290">
        <v>200</v>
      </c>
      <c r="Y44" s="290"/>
      <c r="Z44" s="290">
        <v>185263.12599999999</v>
      </c>
      <c r="AA44" s="290">
        <v>0</v>
      </c>
      <c r="AB44" s="290">
        <v>124</v>
      </c>
      <c r="AC44" s="290">
        <v>321</v>
      </c>
      <c r="AD44" s="290">
        <v>125</v>
      </c>
      <c r="AE44" s="290">
        <v>0</v>
      </c>
      <c r="AF44" s="290">
        <v>0</v>
      </c>
      <c r="AG44" s="290">
        <v>5801</v>
      </c>
      <c r="AH44" s="290">
        <v>1001</v>
      </c>
      <c r="AI44" s="290">
        <v>0</v>
      </c>
      <c r="AJ44" s="290">
        <v>0</v>
      </c>
      <c r="AK44" s="290">
        <v>0</v>
      </c>
      <c r="AL44" s="290">
        <v>0</v>
      </c>
      <c r="AM44" s="957">
        <v>7.3165099999999997E-2</v>
      </c>
      <c r="AN44" s="290">
        <v>0</v>
      </c>
      <c r="AO44" s="290">
        <v>-1537.8713222599999</v>
      </c>
      <c r="AP44" s="290">
        <v>0</v>
      </c>
      <c r="AQ44" s="290">
        <v>0</v>
      </c>
      <c r="AR44" s="290">
        <v>-219.08341553</v>
      </c>
      <c r="AS44" s="290">
        <v>500.32650000000001</v>
      </c>
      <c r="AT44" s="290">
        <v>254</v>
      </c>
      <c r="AU44" s="290">
        <v>50</v>
      </c>
      <c r="AV44" s="766">
        <v>164880</v>
      </c>
      <c r="AW44" s="290">
        <v>1300</v>
      </c>
      <c r="AX44" s="766">
        <v>32.958350000000003</v>
      </c>
      <c r="AY44" s="290">
        <v>1052</v>
      </c>
      <c r="AZ44" s="290">
        <v>193</v>
      </c>
      <c r="BA44" s="290">
        <v>116</v>
      </c>
      <c r="BB44" s="290">
        <v>0</v>
      </c>
      <c r="BC44" s="290">
        <v>8043.8193290500003</v>
      </c>
      <c r="BD44" s="290"/>
      <c r="BE44" s="290">
        <v>155435.04576509001</v>
      </c>
      <c r="BF44" s="290">
        <v>0</v>
      </c>
      <c r="BG44" s="290">
        <v>4749</v>
      </c>
      <c r="BH44" s="290">
        <v>1000</v>
      </c>
      <c r="BI44" s="290">
        <v>1447</v>
      </c>
      <c r="BJ44" s="290">
        <v>68</v>
      </c>
      <c r="BK44" s="290">
        <v>181</v>
      </c>
      <c r="BL44" s="290">
        <v>0</v>
      </c>
      <c r="BM44" s="290">
        <v>0</v>
      </c>
      <c r="BN44" s="290">
        <v>113</v>
      </c>
      <c r="BO44" s="290">
        <v>-39</v>
      </c>
      <c r="BP44" s="290">
        <v>539</v>
      </c>
      <c r="BQ44" s="290">
        <v>1077</v>
      </c>
      <c r="BR44" s="290">
        <v>815</v>
      </c>
      <c r="BS44" s="290">
        <v>93</v>
      </c>
      <c r="BT44" s="290">
        <v>0</v>
      </c>
      <c r="BU44" s="290">
        <v>0</v>
      </c>
      <c r="BV44" s="290">
        <v>104</v>
      </c>
      <c r="BW44" s="290">
        <v>0</v>
      </c>
      <c r="BX44" s="290">
        <v>0</v>
      </c>
      <c r="BY44" s="290">
        <v>666</v>
      </c>
      <c r="BZ44" s="290">
        <v>800</v>
      </c>
      <c r="CA44" s="290">
        <v>2696.4</v>
      </c>
      <c r="CB44" s="290">
        <v>60</v>
      </c>
      <c r="CC44" s="290">
        <v>0</v>
      </c>
      <c r="CD44" s="290">
        <v>0</v>
      </c>
      <c r="CE44" s="290">
        <v>185263.12599999999</v>
      </c>
      <c r="CF44" s="290">
        <v>0</v>
      </c>
      <c r="CG44" s="290">
        <v>0</v>
      </c>
      <c r="CH44" s="290">
        <v>0</v>
      </c>
      <c r="CI44" s="290">
        <v>0</v>
      </c>
      <c r="CJ44" s="290"/>
    </row>
    <row r="45" spans="1:88" ht="13">
      <c r="A45" s="1">
        <v>1557</v>
      </c>
      <c r="B45" s="2" t="s">
        <v>110</v>
      </c>
      <c r="C45" s="289">
        <v>2658</v>
      </c>
      <c r="D45" s="290">
        <v>51</v>
      </c>
      <c r="E45" s="290">
        <v>120</v>
      </c>
      <c r="F45" s="290">
        <v>321</v>
      </c>
      <c r="G45" s="290">
        <v>245</v>
      </c>
      <c r="H45" s="290">
        <v>1379</v>
      </c>
      <c r="I45" s="290">
        <v>412</v>
      </c>
      <c r="J45" s="290">
        <v>98</v>
      </c>
      <c r="K45" s="290">
        <v>24</v>
      </c>
      <c r="L45" s="290">
        <v>21</v>
      </c>
      <c r="M45" s="290">
        <v>224</v>
      </c>
      <c r="N45" s="290">
        <v>7</v>
      </c>
      <c r="O45" s="290">
        <v>18</v>
      </c>
      <c r="P45" s="624">
        <v>31591.59566667</v>
      </c>
      <c r="Q45" s="624">
        <v>14587.11966667</v>
      </c>
      <c r="R45" s="1039">
        <v>11</v>
      </c>
      <c r="S45" s="290">
        <v>0</v>
      </c>
      <c r="T45" s="290">
        <v>185</v>
      </c>
      <c r="U45" s="958">
        <v>2.7454355898910089E-3</v>
      </c>
      <c r="V45" s="290">
        <v>-2360.9599850200002</v>
      </c>
      <c r="W45" s="765">
        <v>0.84814584000000004</v>
      </c>
      <c r="X45" s="290">
        <v>500</v>
      </c>
      <c r="Y45" s="290"/>
      <c r="Z45" s="290">
        <v>71939.519</v>
      </c>
      <c r="AA45" s="290">
        <v>0</v>
      </c>
      <c r="AB45" s="290">
        <v>51</v>
      </c>
      <c r="AC45" s="290">
        <v>153</v>
      </c>
      <c r="AD45" s="290">
        <v>70</v>
      </c>
      <c r="AE45" s="290">
        <v>0</v>
      </c>
      <c r="AF45" s="290">
        <v>0</v>
      </c>
      <c r="AG45" s="290">
        <v>2650</v>
      </c>
      <c r="AH45" s="290">
        <v>475</v>
      </c>
      <c r="AI45" s="290">
        <v>0</v>
      </c>
      <c r="AJ45" s="290">
        <v>0</v>
      </c>
      <c r="AK45" s="290">
        <v>35</v>
      </c>
      <c r="AL45" s="290">
        <v>0</v>
      </c>
      <c r="AM45" s="957">
        <v>2.033569E-2</v>
      </c>
      <c r="AN45" s="290">
        <v>0</v>
      </c>
      <c r="AO45" s="290">
        <v>-773.94945869000003</v>
      </c>
      <c r="AP45" s="290">
        <v>0</v>
      </c>
      <c r="AQ45" s="290">
        <v>0</v>
      </c>
      <c r="AR45" s="290">
        <v>3258.24453034</v>
      </c>
      <c r="AS45" s="290">
        <v>240.90649999999999</v>
      </c>
      <c r="AT45" s="290">
        <v>97</v>
      </c>
      <c r="AU45" s="290">
        <v>21</v>
      </c>
      <c r="AV45" s="766">
        <v>98615</v>
      </c>
      <c r="AW45" s="290">
        <v>0</v>
      </c>
      <c r="AX45" s="766">
        <v>12.708349999999999</v>
      </c>
      <c r="AY45" s="290">
        <v>492</v>
      </c>
      <c r="AZ45" s="290">
        <v>69</v>
      </c>
      <c r="BA45" s="290">
        <v>47</v>
      </c>
      <c r="BB45" s="290">
        <v>4225</v>
      </c>
      <c r="BC45" s="290">
        <v>4165.6281256299999</v>
      </c>
      <c r="BD45" s="290"/>
      <c r="BE45" s="290">
        <v>89945.806801519997</v>
      </c>
      <c r="BF45" s="290">
        <v>0</v>
      </c>
      <c r="BG45" s="290">
        <v>2169</v>
      </c>
      <c r="BH45" s="290">
        <v>500</v>
      </c>
      <c r="BI45" s="290">
        <v>733</v>
      </c>
      <c r="BJ45" s="290">
        <v>30</v>
      </c>
      <c r="BK45" s="290">
        <v>101</v>
      </c>
      <c r="BL45" s="290">
        <v>0</v>
      </c>
      <c r="BM45" s="290">
        <v>0</v>
      </c>
      <c r="BN45" s="290">
        <v>63</v>
      </c>
      <c r="BO45" s="290">
        <v>-16</v>
      </c>
      <c r="BP45" s="290">
        <v>247</v>
      </c>
      <c r="BQ45" s="290">
        <v>493</v>
      </c>
      <c r="BR45" s="290">
        <v>373</v>
      </c>
      <c r="BS45" s="290">
        <v>53</v>
      </c>
      <c r="BT45" s="290">
        <v>0</v>
      </c>
      <c r="BU45" s="290">
        <v>0</v>
      </c>
      <c r="BV45" s="290">
        <v>58</v>
      </c>
      <c r="BW45" s="290">
        <v>0</v>
      </c>
      <c r="BX45" s="290">
        <v>0</v>
      </c>
      <c r="BY45" s="290">
        <v>315</v>
      </c>
      <c r="BZ45" s="290">
        <v>170</v>
      </c>
      <c r="CA45" s="290">
        <v>352</v>
      </c>
      <c r="CB45" s="290">
        <v>34</v>
      </c>
      <c r="CC45" s="290">
        <v>0</v>
      </c>
      <c r="CD45" s="290">
        <v>0</v>
      </c>
      <c r="CE45" s="290">
        <v>71939.519</v>
      </c>
      <c r="CF45" s="290">
        <v>0</v>
      </c>
      <c r="CG45" s="290">
        <v>0</v>
      </c>
      <c r="CH45" s="290">
        <v>0</v>
      </c>
      <c r="CI45" s="290">
        <v>0</v>
      </c>
      <c r="CJ45" s="290"/>
    </row>
    <row r="46" spans="1:88" ht="13">
      <c r="A46" s="1">
        <v>1560</v>
      </c>
      <c r="B46" s="2" t="s">
        <v>111</v>
      </c>
      <c r="C46" s="289">
        <v>2985</v>
      </c>
      <c r="D46" s="290">
        <v>45</v>
      </c>
      <c r="E46" s="290">
        <v>107</v>
      </c>
      <c r="F46" s="290">
        <v>345</v>
      </c>
      <c r="G46" s="290">
        <v>256</v>
      </c>
      <c r="H46" s="290">
        <v>1600</v>
      </c>
      <c r="I46" s="290">
        <v>477</v>
      </c>
      <c r="J46" s="290">
        <v>159</v>
      </c>
      <c r="K46" s="290">
        <v>45</v>
      </c>
      <c r="L46" s="290">
        <v>22</v>
      </c>
      <c r="M46" s="290">
        <v>301</v>
      </c>
      <c r="N46" s="290">
        <v>34</v>
      </c>
      <c r="O46" s="290">
        <v>30</v>
      </c>
      <c r="P46" s="624">
        <v>36795.913333329998</v>
      </c>
      <c r="Q46" s="624">
        <v>11204.865333330001</v>
      </c>
      <c r="R46" s="1039">
        <v>20</v>
      </c>
      <c r="S46" s="290">
        <v>0</v>
      </c>
      <c r="T46" s="290">
        <v>241</v>
      </c>
      <c r="U46" s="958">
        <v>1.9629654336113579E-3</v>
      </c>
      <c r="V46" s="290">
        <v>1747.6441555199999</v>
      </c>
      <c r="W46" s="765">
        <v>0.97077707000000002</v>
      </c>
      <c r="X46" s="290">
        <v>500</v>
      </c>
      <c r="Y46" s="290"/>
      <c r="Z46" s="290">
        <v>81411.259000000005</v>
      </c>
      <c r="AA46" s="290">
        <v>0</v>
      </c>
      <c r="AB46" s="290">
        <v>66</v>
      </c>
      <c r="AC46" s="290">
        <v>165</v>
      </c>
      <c r="AD46" s="290">
        <v>80</v>
      </c>
      <c r="AE46" s="290">
        <v>0</v>
      </c>
      <c r="AF46" s="290">
        <v>0</v>
      </c>
      <c r="AG46" s="290">
        <v>3034</v>
      </c>
      <c r="AH46" s="290">
        <v>482</v>
      </c>
      <c r="AI46" s="290">
        <v>0</v>
      </c>
      <c r="AJ46" s="290">
        <v>0</v>
      </c>
      <c r="AK46" s="290">
        <v>0</v>
      </c>
      <c r="AL46" s="290">
        <v>0</v>
      </c>
      <c r="AM46" s="957">
        <v>3.2260089999999998E-2</v>
      </c>
      <c r="AN46" s="290">
        <v>0</v>
      </c>
      <c r="AO46" s="290">
        <v>-927.61621551999997</v>
      </c>
      <c r="AP46" s="290">
        <v>0</v>
      </c>
      <c r="AQ46" s="290">
        <v>0</v>
      </c>
      <c r="AR46" s="290">
        <v>-114.58353434</v>
      </c>
      <c r="AS46" s="290">
        <v>261.60000000000002</v>
      </c>
      <c r="AT46" s="290">
        <v>120</v>
      </c>
      <c r="AU46" s="290">
        <v>20</v>
      </c>
      <c r="AV46" s="766">
        <v>121259</v>
      </c>
      <c r="AW46" s="290">
        <v>0</v>
      </c>
      <c r="AX46" s="766">
        <v>16.458349999999999</v>
      </c>
      <c r="AY46" s="290">
        <v>609</v>
      </c>
      <c r="AZ46" s="290">
        <v>123</v>
      </c>
      <c r="BA46" s="290">
        <v>64</v>
      </c>
      <c r="BB46" s="290">
        <v>6034</v>
      </c>
      <c r="BC46" s="290">
        <v>4931.4121039000001</v>
      </c>
      <c r="BD46" s="290"/>
      <c r="BE46" s="290">
        <v>117587.08131563</v>
      </c>
      <c r="BF46" s="290">
        <v>0</v>
      </c>
      <c r="BG46" s="290">
        <v>2484</v>
      </c>
      <c r="BH46" s="290">
        <v>1000</v>
      </c>
      <c r="BI46" s="290">
        <v>727</v>
      </c>
      <c r="BJ46" s="290">
        <v>35</v>
      </c>
      <c r="BK46" s="290">
        <v>96</v>
      </c>
      <c r="BL46" s="290">
        <v>0</v>
      </c>
      <c r="BM46" s="290">
        <v>0</v>
      </c>
      <c r="BN46" s="290">
        <v>60</v>
      </c>
      <c r="BO46" s="290">
        <v>-21</v>
      </c>
      <c r="BP46" s="290">
        <v>277</v>
      </c>
      <c r="BQ46" s="290">
        <v>554</v>
      </c>
      <c r="BR46" s="290">
        <v>419</v>
      </c>
      <c r="BS46" s="290">
        <v>60</v>
      </c>
      <c r="BT46" s="290">
        <v>0</v>
      </c>
      <c r="BU46" s="290">
        <v>0</v>
      </c>
      <c r="BV46" s="290">
        <v>55</v>
      </c>
      <c r="BW46" s="290">
        <v>0</v>
      </c>
      <c r="BX46" s="290">
        <v>0</v>
      </c>
      <c r="BY46" s="290">
        <v>376</v>
      </c>
      <c r="BZ46" s="290">
        <v>130</v>
      </c>
      <c r="CA46" s="290">
        <v>968.6</v>
      </c>
      <c r="CB46" s="290">
        <v>39</v>
      </c>
      <c r="CC46" s="290">
        <v>0</v>
      </c>
      <c r="CD46" s="290">
        <v>0</v>
      </c>
      <c r="CE46" s="290">
        <v>81411.259000000005</v>
      </c>
      <c r="CF46" s="290">
        <v>0</v>
      </c>
      <c r="CG46" s="290">
        <v>0</v>
      </c>
      <c r="CH46" s="290">
        <v>0</v>
      </c>
      <c r="CI46" s="290">
        <v>0</v>
      </c>
      <c r="CJ46" s="290"/>
    </row>
    <row r="47" spans="1:88" ht="13">
      <c r="A47" s="1">
        <v>1563</v>
      </c>
      <c r="B47" s="2" t="s">
        <v>112</v>
      </c>
      <c r="C47" s="289">
        <v>6956</v>
      </c>
      <c r="D47" s="290">
        <v>127</v>
      </c>
      <c r="E47" s="290">
        <v>284</v>
      </c>
      <c r="F47" s="290">
        <v>717</v>
      </c>
      <c r="G47" s="290">
        <v>639</v>
      </c>
      <c r="H47" s="290">
        <v>3884</v>
      </c>
      <c r="I47" s="290">
        <v>926</v>
      </c>
      <c r="J47" s="290">
        <v>322</v>
      </c>
      <c r="K47" s="290">
        <v>105</v>
      </c>
      <c r="L47" s="290">
        <v>56</v>
      </c>
      <c r="M47" s="290">
        <v>616</v>
      </c>
      <c r="N47" s="290">
        <v>180</v>
      </c>
      <c r="O47" s="290">
        <v>82</v>
      </c>
      <c r="P47" s="624">
        <v>61522.688000000002</v>
      </c>
      <c r="Q47" s="624">
        <v>17534.917333329999</v>
      </c>
      <c r="R47" s="1039">
        <v>36</v>
      </c>
      <c r="S47" s="290">
        <v>0</v>
      </c>
      <c r="T47" s="290">
        <v>694</v>
      </c>
      <c r="U47" s="958">
        <v>2.3185372586202848E-3</v>
      </c>
      <c r="V47" s="290">
        <v>3823.0385653799999</v>
      </c>
      <c r="W47" s="765">
        <v>0.64856608999999998</v>
      </c>
      <c r="X47" s="290">
        <v>330</v>
      </c>
      <c r="Y47" s="290"/>
      <c r="Z47" s="290">
        <v>233349.353</v>
      </c>
      <c r="AA47" s="290">
        <v>0</v>
      </c>
      <c r="AB47" s="290">
        <v>118</v>
      </c>
      <c r="AC47" s="290">
        <v>322</v>
      </c>
      <c r="AD47" s="290">
        <v>147</v>
      </c>
      <c r="AE47" s="290">
        <v>0</v>
      </c>
      <c r="AF47" s="290">
        <v>0</v>
      </c>
      <c r="AG47" s="290">
        <v>7004</v>
      </c>
      <c r="AH47" s="290">
        <v>1104</v>
      </c>
      <c r="AI47" s="290">
        <v>0</v>
      </c>
      <c r="AJ47" s="290">
        <v>0</v>
      </c>
      <c r="AK47" s="290">
        <v>4271</v>
      </c>
      <c r="AL47" s="290">
        <v>0</v>
      </c>
      <c r="AM47" s="957">
        <v>0.10177663000000001</v>
      </c>
      <c r="AN47" s="290">
        <v>9631</v>
      </c>
      <c r="AO47" s="290">
        <v>-1913.5700793799999</v>
      </c>
      <c r="AP47" s="290">
        <v>0</v>
      </c>
      <c r="AQ47" s="290">
        <v>0</v>
      </c>
      <c r="AR47" s="290">
        <v>-264.51650446000002</v>
      </c>
      <c r="AS47" s="290">
        <v>551.68200000000002</v>
      </c>
      <c r="AT47" s="290">
        <v>331</v>
      </c>
      <c r="AU47" s="290">
        <v>43</v>
      </c>
      <c r="AV47" s="766">
        <v>232454</v>
      </c>
      <c r="AW47" s="290">
        <v>900</v>
      </c>
      <c r="AX47" s="766">
        <v>47.041649999999997</v>
      </c>
      <c r="AY47" s="290">
        <v>1414</v>
      </c>
      <c r="AZ47" s="290">
        <v>354</v>
      </c>
      <c r="BA47" s="290">
        <v>136</v>
      </c>
      <c r="BB47" s="290">
        <v>0</v>
      </c>
      <c r="BC47" s="290">
        <v>13437.734759819999</v>
      </c>
      <c r="BD47" s="290"/>
      <c r="BE47" s="290">
        <v>220097.45148936001</v>
      </c>
      <c r="BF47" s="290">
        <v>0</v>
      </c>
      <c r="BG47" s="290">
        <v>5734</v>
      </c>
      <c r="BH47" s="290">
        <v>1000</v>
      </c>
      <c r="BI47" s="290">
        <v>5844</v>
      </c>
      <c r="BJ47" s="290">
        <v>83</v>
      </c>
      <c r="BK47" s="290">
        <v>253</v>
      </c>
      <c r="BL47" s="290">
        <v>0</v>
      </c>
      <c r="BM47" s="290">
        <v>0</v>
      </c>
      <c r="BN47" s="290">
        <v>158</v>
      </c>
      <c r="BO47" s="290">
        <v>-58</v>
      </c>
      <c r="BP47" s="290">
        <v>645</v>
      </c>
      <c r="BQ47" s="290">
        <v>1290</v>
      </c>
      <c r="BR47" s="290">
        <v>977</v>
      </c>
      <c r="BS47" s="290">
        <v>110</v>
      </c>
      <c r="BT47" s="290">
        <v>0</v>
      </c>
      <c r="BU47" s="290">
        <v>0</v>
      </c>
      <c r="BV47" s="290">
        <v>145</v>
      </c>
      <c r="BW47" s="290">
        <v>0</v>
      </c>
      <c r="BX47" s="290">
        <v>0</v>
      </c>
      <c r="BY47" s="290">
        <v>791</v>
      </c>
      <c r="BZ47" s="290">
        <v>310</v>
      </c>
      <c r="CA47" s="290">
        <v>365.505</v>
      </c>
      <c r="CB47" s="290">
        <v>69</v>
      </c>
      <c r="CC47" s="290">
        <v>0</v>
      </c>
      <c r="CD47" s="290">
        <v>0</v>
      </c>
      <c r="CE47" s="290">
        <v>233349.353</v>
      </c>
      <c r="CF47" s="290">
        <v>5085.2955386034773</v>
      </c>
      <c r="CG47" s="290">
        <v>5799.9925443457223</v>
      </c>
      <c r="CH47" s="290">
        <v>6498.2521296412742</v>
      </c>
      <c r="CI47" s="290">
        <v>7184.1910267569137</v>
      </c>
      <c r="CJ47" s="290"/>
    </row>
    <row r="48" spans="1:88" ht="13">
      <c r="A48" s="1">
        <v>1566</v>
      </c>
      <c r="B48" s="2" t="s">
        <v>113</v>
      </c>
      <c r="C48" s="289">
        <v>5872</v>
      </c>
      <c r="D48" s="290">
        <v>108</v>
      </c>
      <c r="E48" s="290">
        <v>230</v>
      </c>
      <c r="F48" s="290">
        <v>628</v>
      </c>
      <c r="G48" s="290">
        <v>531</v>
      </c>
      <c r="H48" s="290">
        <v>3178</v>
      </c>
      <c r="I48" s="290">
        <v>889</v>
      </c>
      <c r="J48" s="290">
        <v>294</v>
      </c>
      <c r="K48" s="290">
        <v>59</v>
      </c>
      <c r="L48" s="290">
        <v>50</v>
      </c>
      <c r="M48" s="290">
        <v>520</v>
      </c>
      <c r="N48" s="290">
        <v>25</v>
      </c>
      <c r="O48" s="290">
        <v>42</v>
      </c>
      <c r="P48" s="624">
        <v>46224.321000000004</v>
      </c>
      <c r="Q48" s="624">
        <v>16163.476000000001</v>
      </c>
      <c r="R48" s="1039">
        <v>31</v>
      </c>
      <c r="S48" s="290">
        <v>0</v>
      </c>
      <c r="T48" s="290">
        <v>455</v>
      </c>
      <c r="U48" s="958">
        <v>3.701601038424476E-3</v>
      </c>
      <c r="V48" s="290">
        <v>3190.0311864</v>
      </c>
      <c r="W48" s="765">
        <v>0.73853067999999999</v>
      </c>
      <c r="X48" s="290">
        <v>1030</v>
      </c>
      <c r="Y48" s="290"/>
      <c r="Z48" s="290">
        <v>170499.11</v>
      </c>
      <c r="AA48" s="290">
        <v>0</v>
      </c>
      <c r="AB48" s="290">
        <v>141</v>
      </c>
      <c r="AC48" s="290">
        <v>279</v>
      </c>
      <c r="AD48" s="290">
        <v>130</v>
      </c>
      <c r="AE48" s="290">
        <v>0</v>
      </c>
      <c r="AF48" s="290">
        <v>0</v>
      </c>
      <c r="AG48" s="290">
        <v>5917</v>
      </c>
      <c r="AH48" s="290">
        <v>932</v>
      </c>
      <c r="AI48" s="290">
        <v>50</v>
      </c>
      <c r="AJ48" s="290">
        <v>0</v>
      </c>
      <c r="AK48" s="290">
        <v>0</v>
      </c>
      <c r="AL48" s="290">
        <v>0</v>
      </c>
      <c r="AM48" s="957">
        <v>4.2947640000000002E-2</v>
      </c>
      <c r="AN48" s="290">
        <v>8310</v>
      </c>
      <c r="AO48" s="290">
        <v>-1596.72682506</v>
      </c>
      <c r="AP48" s="290">
        <v>0</v>
      </c>
      <c r="AQ48" s="290">
        <v>0</v>
      </c>
      <c r="AR48" s="290">
        <v>-223.46432851</v>
      </c>
      <c r="AS48" s="290">
        <v>442.33449999999999</v>
      </c>
      <c r="AT48" s="290">
        <v>226</v>
      </c>
      <c r="AU48" s="290">
        <v>37</v>
      </c>
      <c r="AV48" s="766">
        <v>186885</v>
      </c>
      <c r="AW48" s="290">
        <v>300</v>
      </c>
      <c r="AX48" s="766">
        <v>38.5</v>
      </c>
      <c r="AY48" s="290">
        <v>1076</v>
      </c>
      <c r="AZ48" s="290">
        <v>180</v>
      </c>
      <c r="BA48" s="290">
        <v>90</v>
      </c>
      <c r="BB48" s="290">
        <v>0</v>
      </c>
      <c r="BC48" s="290">
        <v>8591.10040381</v>
      </c>
      <c r="BD48" s="290"/>
      <c r="BE48" s="290">
        <v>178853.07986671</v>
      </c>
      <c r="BF48" s="290">
        <v>0</v>
      </c>
      <c r="BG48" s="290">
        <v>4844</v>
      </c>
      <c r="BH48" s="290">
        <v>1000</v>
      </c>
      <c r="BI48" s="290">
        <v>1341</v>
      </c>
      <c r="BJ48" s="290">
        <v>68</v>
      </c>
      <c r="BK48" s="290">
        <v>204</v>
      </c>
      <c r="BL48" s="290">
        <v>0</v>
      </c>
      <c r="BM48" s="290">
        <v>0</v>
      </c>
      <c r="BN48" s="290">
        <v>127</v>
      </c>
      <c r="BO48" s="290">
        <v>-38</v>
      </c>
      <c r="BP48" s="290">
        <v>545</v>
      </c>
      <c r="BQ48" s="290">
        <v>1089</v>
      </c>
      <c r="BR48" s="290">
        <v>824</v>
      </c>
      <c r="BS48" s="290">
        <v>97</v>
      </c>
      <c r="BT48" s="290">
        <v>0</v>
      </c>
      <c r="BU48" s="290">
        <v>0</v>
      </c>
      <c r="BV48" s="290">
        <v>117</v>
      </c>
      <c r="BW48" s="290">
        <v>0</v>
      </c>
      <c r="BX48" s="290">
        <v>0</v>
      </c>
      <c r="BY48" s="290">
        <v>695</v>
      </c>
      <c r="BZ48" s="290">
        <v>200</v>
      </c>
      <c r="CA48" s="290">
        <v>304.98599999999999</v>
      </c>
      <c r="CB48" s="290">
        <v>61</v>
      </c>
      <c r="CC48" s="290">
        <v>0</v>
      </c>
      <c r="CD48" s="290">
        <v>0</v>
      </c>
      <c r="CE48" s="290">
        <v>170499.11</v>
      </c>
      <c r="CF48" s="290">
        <v>0</v>
      </c>
      <c r="CG48" s="290">
        <v>0</v>
      </c>
      <c r="CH48" s="290">
        <v>0</v>
      </c>
      <c r="CI48" s="290">
        <v>0</v>
      </c>
      <c r="CJ48" s="290"/>
    </row>
    <row r="49" spans="1:88" ht="13">
      <c r="A49" s="1">
        <v>1573</v>
      </c>
      <c r="B49" s="2" t="s">
        <v>116</v>
      </c>
      <c r="C49" s="289">
        <v>2128</v>
      </c>
      <c r="D49" s="290">
        <v>42</v>
      </c>
      <c r="E49" s="290">
        <v>69</v>
      </c>
      <c r="F49" s="290">
        <v>216</v>
      </c>
      <c r="G49" s="290">
        <v>171</v>
      </c>
      <c r="H49" s="290">
        <v>1156</v>
      </c>
      <c r="I49" s="290">
        <v>344</v>
      </c>
      <c r="J49" s="290">
        <v>108</v>
      </c>
      <c r="K49" s="290">
        <v>33</v>
      </c>
      <c r="L49" s="290">
        <v>18</v>
      </c>
      <c r="M49" s="290">
        <v>198</v>
      </c>
      <c r="N49" s="290">
        <v>4</v>
      </c>
      <c r="O49" s="290">
        <v>26</v>
      </c>
      <c r="P49" s="624">
        <v>35919.166333330002</v>
      </c>
      <c r="Q49" s="624">
        <v>9286.8683333299996</v>
      </c>
      <c r="R49" s="1039">
        <v>11</v>
      </c>
      <c r="S49" s="290">
        <v>0</v>
      </c>
      <c r="T49" s="290">
        <v>209</v>
      </c>
      <c r="U49" s="958">
        <v>1.6000984562294159E-3</v>
      </c>
      <c r="V49" s="290">
        <v>1320.6116298100001</v>
      </c>
      <c r="W49" s="765">
        <v>1</v>
      </c>
      <c r="X49" s="290">
        <v>900</v>
      </c>
      <c r="Y49" s="290"/>
      <c r="Z49" s="290">
        <v>68450.55</v>
      </c>
      <c r="AA49" s="290">
        <v>0</v>
      </c>
      <c r="AB49" s="290">
        <v>49</v>
      </c>
      <c r="AC49" s="290">
        <v>113</v>
      </c>
      <c r="AD49" s="290">
        <v>63</v>
      </c>
      <c r="AE49" s="290">
        <v>0</v>
      </c>
      <c r="AF49" s="290">
        <v>0</v>
      </c>
      <c r="AG49" s="290">
        <v>2139</v>
      </c>
      <c r="AH49" s="290">
        <v>314</v>
      </c>
      <c r="AI49" s="290">
        <v>0</v>
      </c>
      <c r="AJ49" s="290">
        <v>0</v>
      </c>
      <c r="AK49" s="290">
        <v>0</v>
      </c>
      <c r="AL49" s="290">
        <v>0</v>
      </c>
      <c r="AM49" s="957">
        <v>2.009302E-2</v>
      </c>
      <c r="AN49" s="290">
        <v>0</v>
      </c>
      <c r="AO49" s="290">
        <v>-661.01423202000001</v>
      </c>
      <c r="AP49" s="290">
        <v>0</v>
      </c>
      <c r="AQ49" s="290">
        <v>0</v>
      </c>
      <c r="AR49" s="290">
        <v>-80.782524710000004</v>
      </c>
      <c r="AS49" s="290">
        <v>187.251</v>
      </c>
      <c r="AT49" s="290">
        <v>86</v>
      </c>
      <c r="AU49" s="290">
        <v>18</v>
      </c>
      <c r="AV49" s="766">
        <v>89738</v>
      </c>
      <c r="AW49" s="290">
        <v>0</v>
      </c>
      <c r="AX49" s="766">
        <v>19.583300000000001</v>
      </c>
      <c r="AY49" s="290">
        <v>325</v>
      </c>
      <c r="AZ49" s="290">
        <v>60</v>
      </c>
      <c r="BA49" s="290">
        <v>34</v>
      </c>
      <c r="BB49" s="290">
        <v>6034</v>
      </c>
      <c r="BC49" s="290">
        <v>3175.6338085100001</v>
      </c>
      <c r="BD49" s="290"/>
      <c r="BE49" s="290">
        <v>86843.190857880007</v>
      </c>
      <c r="BF49" s="290">
        <v>0</v>
      </c>
      <c r="BG49" s="290">
        <v>1751</v>
      </c>
      <c r="BH49" s="290">
        <v>500</v>
      </c>
      <c r="BI49" s="290">
        <v>490</v>
      </c>
      <c r="BJ49" s="290">
        <v>25</v>
      </c>
      <c r="BK49" s="290">
        <v>66</v>
      </c>
      <c r="BL49" s="290">
        <v>0</v>
      </c>
      <c r="BM49" s="290">
        <v>0</v>
      </c>
      <c r="BN49" s="290">
        <v>41</v>
      </c>
      <c r="BO49" s="290">
        <v>-15</v>
      </c>
      <c r="BP49" s="290">
        <v>197</v>
      </c>
      <c r="BQ49" s="290">
        <v>395</v>
      </c>
      <c r="BR49" s="290">
        <v>299</v>
      </c>
      <c r="BS49" s="290">
        <v>47</v>
      </c>
      <c r="BT49" s="290">
        <v>0</v>
      </c>
      <c r="BU49" s="290">
        <v>0</v>
      </c>
      <c r="BV49" s="290">
        <v>38</v>
      </c>
      <c r="BW49" s="290">
        <v>0</v>
      </c>
      <c r="BX49" s="290">
        <v>0</v>
      </c>
      <c r="BY49" s="290">
        <v>265</v>
      </c>
      <c r="BZ49" s="290">
        <v>70</v>
      </c>
      <c r="CA49" s="290">
        <v>126.258</v>
      </c>
      <c r="CB49" s="290">
        <v>32</v>
      </c>
      <c r="CC49" s="290">
        <v>0</v>
      </c>
      <c r="CD49" s="290">
        <v>0</v>
      </c>
      <c r="CE49" s="290">
        <v>68450.55</v>
      </c>
      <c r="CF49" s="290">
        <v>0</v>
      </c>
      <c r="CG49" s="290">
        <v>0</v>
      </c>
      <c r="CH49" s="290">
        <v>0</v>
      </c>
      <c r="CI49" s="290">
        <v>0</v>
      </c>
      <c r="CJ49" s="290"/>
    </row>
    <row r="50" spans="1:88" ht="13">
      <c r="A50" s="1">
        <v>1576</v>
      </c>
      <c r="B50" s="2" t="s">
        <v>1498</v>
      </c>
      <c r="C50" s="289">
        <v>3468</v>
      </c>
      <c r="D50" s="290">
        <v>55</v>
      </c>
      <c r="E50" s="290">
        <v>124</v>
      </c>
      <c r="F50" s="290">
        <v>371</v>
      </c>
      <c r="G50" s="290">
        <v>299</v>
      </c>
      <c r="H50" s="290">
        <v>1864</v>
      </c>
      <c r="I50" s="290">
        <v>560</v>
      </c>
      <c r="J50" s="290">
        <v>164</v>
      </c>
      <c r="K50" s="290">
        <v>49</v>
      </c>
      <c r="L50" s="290">
        <v>27</v>
      </c>
      <c r="M50" s="290">
        <v>351</v>
      </c>
      <c r="N50" s="290">
        <v>43</v>
      </c>
      <c r="O50" s="290">
        <v>41</v>
      </c>
      <c r="P50" s="624">
        <v>66877.295666670005</v>
      </c>
      <c r="Q50" s="624">
        <v>25512.214</v>
      </c>
      <c r="R50" s="1039">
        <v>15</v>
      </c>
      <c r="S50" s="290">
        <v>0</v>
      </c>
      <c r="T50" s="290">
        <v>304</v>
      </c>
      <c r="U50" s="958">
        <v>2.6872839199485869E-3</v>
      </c>
      <c r="V50" s="290">
        <v>2082.30591916</v>
      </c>
      <c r="W50" s="765">
        <v>1</v>
      </c>
      <c r="X50" s="290">
        <v>500</v>
      </c>
      <c r="Y50" s="290"/>
      <c r="Z50" s="290">
        <v>108448.931</v>
      </c>
      <c r="AA50" s="290">
        <v>0</v>
      </c>
      <c r="AB50" s="290">
        <v>65</v>
      </c>
      <c r="AC50" s="290">
        <v>191</v>
      </c>
      <c r="AD50" s="290">
        <v>97</v>
      </c>
      <c r="AE50" s="290">
        <v>0</v>
      </c>
      <c r="AF50" s="290">
        <v>21297</v>
      </c>
      <c r="AG50" s="290">
        <v>3486</v>
      </c>
      <c r="AH50" s="290">
        <v>538</v>
      </c>
      <c r="AI50" s="290">
        <v>0</v>
      </c>
      <c r="AJ50" s="290">
        <v>0</v>
      </c>
      <c r="AK50" s="290">
        <v>8335</v>
      </c>
      <c r="AL50" s="290">
        <v>0</v>
      </c>
      <c r="AM50" s="957">
        <v>4.4175119999999998E-2</v>
      </c>
      <c r="AN50" s="290">
        <v>5456</v>
      </c>
      <c r="AO50" s="290">
        <v>-1042.2699731800001</v>
      </c>
      <c r="AP50" s="290">
        <v>0</v>
      </c>
      <c r="AQ50" s="290">
        <v>-5184.1292505199999</v>
      </c>
      <c r="AR50" s="290">
        <v>2239.40882371</v>
      </c>
      <c r="AS50" s="290">
        <v>319.29149999999998</v>
      </c>
      <c r="AT50" s="290">
        <v>147</v>
      </c>
      <c r="AU50" s="290">
        <v>22</v>
      </c>
      <c r="AV50" s="766">
        <v>170113</v>
      </c>
      <c r="AW50" s="290">
        <v>0</v>
      </c>
      <c r="AX50" s="766">
        <v>15.833349999999999</v>
      </c>
      <c r="AY50" s="290">
        <v>603</v>
      </c>
      <c r="AZ50" s="290">
        <v>168</v>
      </c>
      <c r="BA50" s="290">
        <v>61</v>
      </c>
      <c r="BB50" s="290">
        <v>0</v>
      </c>
      <c r="BC50" s="290">
        <v>37350.621899559999</v>
      </c>
      <c r="BD50" s="290"/>
      <c r="BE50" s="290">
        <v>158065.32022098001</v>
      </c>
      <c r="BF50" s="290">
        <v>0</v>
      </c>
      <c r="BG50" s="290">
        <v>2854</v>
      </c>
      <c r="BH50" s="290">
        <v>1000</v>
      </c>
      <c r="BI50" s="290">
        <v>30458</v>
      </c>
      <c r="BJ50" s="290">
        <v>41</v>
      </c>
      <c r="BK50" s="290">
        <v>107</v>
      </c>
      <c r="BL50" s="290">
        <v>0</v>
      </c>
      <c r="BM50" s="290">
        <v>0</v>
      </c>
      <c r="BN50" s="290">
        <v>67</v>
      </c>
      <c r="BO50" s="290">
        <v>-25</v>
      </c>
      <c r="BP50" s="290">
        <v>322</v>
      </c>
      <c r="BQ50" s="290">
        <v>643</v>
      </c>
      <c r="BR50" s="290">
        <v>487</v>
      </c>
      <c r="BS50" s="290">
        <v>73</v>
      </c>
      <c r="BT50" s="290">
        <v>0</v>
      </c>
      <c r="BU50" s="290">
        <v>0</v>
      </c>
      <c r="BV50" s="290">
        <v>62</v>
      </c>
      <c r="BW50" s="290">
        <v>0</v>
      </c>
      <c r="BX50" s="290">
        <v>0</v>
      </c>
      <c r="BY50" s="290">
        <v>428</v>
      </c>
      <c r="BZ50" s="290">
        <v>300</v>
      </c>
      <c r="CA50" s="290">
        <v>199.08099999999999</v>
      </c>
      <c r="CB50" s="290">
        <v>44</v>
      </c>
      <c r="CC50" s="290">
        <v>0</v>
      </c>
      <c r="CD50" s="290">
        <v>0</v>
      </c>
      <c r="CE50" s="290">
        <v>108448.931</v>
      </c>
      <c r="CF50" s="290">
        <v>10808.647769301739</v>
      </c>
      <c r="CG50" s="290">
        <v>13232.496272172861</v>
      </c>
      <c r="CH50" s="290">
        <v>15648.126064820637</v>
      </c>
      <c r="CI50" s="290">
        <v>18057.595513378459</v>
      </c>
      <c r="CJ50" s="290"/>
    </row>
    <row r="51" spans="1:88" ht="13">
      <c r="A51" s="1">
        <v>1577</v>
      </c>
      <c r="B51" s="2" t="s">
        <v>1613</v>
      </c>
      <c r="C51" s="289">
        <v>10781</v>
      </c>
      <c r="D51" s="290">
        <v>222</v>
      </c>
      <c r="E51" s="290">
        <v>445</v>
      </c>
      <c r="F51" s="290">
        <v>1227</v>
      </c>
      <c r="G51" s="290">
        <v>1060</v>
      </c>
      <c r="H51" s="290">
        <v>5608</v>
      </c>
      <c r="I51" s="290">
        <v>1266</v>
      </c>
      <c r="J51" s="290">
        <v>457</v>
      </c>
      <c r="K51" s="290">
        <v>126</v>
      </c>
      <c r="L51" s="290">
        <v>70</v>
      </c>
      <c r="M51" s="290">
        <v>720</v>
      </c>
      <c r="N51" s="290">
        <v>187</v>
      </c>
      <c r="O51" s="290">
        <v>76</v>
      </c>
      <c r="P51" s="624">
        <v>89085.368666669994</v>
      </c>
      <c r="Q51" s="624">
        <v>26665.508999999998</v>
      </c>
      <c r="R51" s="1039">
        <v>41</v>
      </c>
      <c r="S51" s="290">
        <v>0</v>
      </c>
      <c r="T51" s="290">
        <v>708</v>
      </c>
      <c r="U51" s="958">
        <v>4.4956287926471421E-3</v>
      </c>
      <c r="V51" s="290">
        <v>3949.4292242500001</v>
      </c>
      <c r="W51" s="765">
        <v>0.64969454000000004</v>
      </c>
      <c r="X51" s="290">
        <v>400</v>
      </c>
      <c r="Y51" s="290"/>
      <c r="Z51" s="290">
        <v>294567.46100000001</v>
      </c>
      <c r="AA51" s="290">
        <v>0</v>
      </c>
      <c r="AB51" s="290">
        <v>173</v>
      </c>
      <c r="AC51" s="290">
        <v>531</v>
      </c>
      <c r="AD51" s="290">
        <v>213</v>
      </c>
      <c r="AE51" s="290">
        <v>0</v>
      </c>
      <c r="AF51" s="290">
        <v>21377</v>
      </c>
      <c r="AG51" s="290">
        <v>10411</v>
      </c>
      <c r="AH51" s="290">
        <v>1828</v>
      </c>
      <c r="AI51" s="290">
        <v>500</v>
      </c>
      <c r="AJ51" s="290">
        <v>0</v>
      </c>
      <c r="AK51" s="290">
        <v>0</v>
      </c>
      <c r="AL51" s="290">
        <v>0</v>
      </c>
      <c r="AM51" s="957">
        <v>0.19052686999999999</v>
      </c>
      <c r="AN51" s="290">
        <v>0</v>
      </c>
      <c r="AO51" s="290">
        <v>-2769.6829155199998</v>
      </c>
      <c r="AP51" s="290">
        <v>0</v>
      </c>
      <c r="AQ51" s="290">
        <v>0</v>
      </c>
      <c r="AR51" s="290">
        <v>-393.18694003000002</v>
      </c>
      <c r="AS51" s="290">
        <v>871.01049999999998</v>
      </c>
      <c r="AT51" s="290">
        <v>373</v>
      </c>
      <c r="AU51" s="290">
        <v>109</v>
      </c>
      <c r="AV51" s="766">
        <v>320051</v>
      </c>
      <c r="AW51" s="290">
        <v>2500</v>
      </c>
      <c r="AX51" s="766">
        <v>92.416700000000006</v>
      </c>
      <c r="AY51" s="290">
        <v>3186</v>
      </c>
      <c r="AZ51" s="290">
        <v>514</v>
      </c>
      <c r="BA51" s="290">
        <v>178</v>
      </c>
      <c r="BB51" s="290">
        <v>0</v>
      </c>
      <c r="BC51" s="290">
        <v>36023.653097369999</v>
      </c>
      <c r="BD51" s="290"/>
      <c r="BE51" s="290">
        <v>313902.82043091999</v>
      </c>
      <c r="BF51" s="290">
        <v>0</v>
      </c>
      <c r="BG51" s="290">
        <v>8523</v>
      </c>
      <c r="BH51" s="290">
        <v>1000</v>
      </c>
      <c r="BI51" s="290">
        <v>23949</v>
      </c>
      <c r="BJ51" s="290">
        <v>119</v>
      </c>
      <c r="BK51" s="290">
        <v>423</v>
      </c>
      <c r="BL51" s="290">
        <v>0</v>
      </c>
      <c r="BM51" s="290">
        <v>4077</v>
      </c>
      <c r="BN51" s="290">
        <v>265</v>
      </c>
      <c r="BO51" s="290">
        <v>-73</v>
      </c>
      <c r="BP51" s="290">
        <v>1000</v>
      </c>
      <c r="BQ51" s="290">
        <v>2000</v>
      </c>
      <c r="BR51" s="290">
        <v>1514</v>
      </c>
      <c r="BS51" s="290">
        <v>160</v>
      </c>
      <c r="BT51" s="290">
        <v>0</v>
      </c>
      <c r="BU51" s="290">
        <v>0</v>
      </c>
      <c r="BV51" s="290">
        <v>243</v>
      </c>
      <c r="BW51" s="290">
        <v>0</v>
      </c>
      <c r="BX51" s="290">
        <v>0</v>
      </c>
      <c r="BY51" s="290">
        <v>1132</v>
      </c>
      <c r="BZ51" s="290">
        <v>1550</v>
      </c>
      <c r="CA51" s="290">
        <v>529.029</v>
      </c>
      <c r="CB51" s="290">
        <v>98</v>
      </c>
      <c r="CC51" s="290">
        <v>1</v>
      </c>
      <c r="CD51" s="290">
        <v>0</v>
      </c>
      <c r="CE51" s="290">
        <v>294567.46100000001</v>
      </c>
      <c r="CF51" s="290">
        <v>0</v>
      </c>
      <c r="CG51" s="290">
        <v>0</v>
      </c>
      <c r="CH51" s="290">
        <v>0</v>
      </c>
      <c r="CI51" s="290">
        <v>0</v>
      </c>
      <c r="CJ51" s="290"/>
    </row>
    <row r="52" spans="1:88" ht="13">
      <c r="A52" s="1">
        <v>1578</v>
      </c>
      <c r="B52" s="2" t="s">
        <v>1614</v>
      </c>
      <c r="C52" s="289">
        <v>2502</v>
      </c>
      <c r="D52" s="290">
        <v>31</v>
      </c>
      <c r="E52" s="290">
        <v>70</v>
      </c>
      <c r="F52" s="290">
        <v>315</v>
      </c>
      <c r="G52" s="290">
        <v>252</v>
      </c>
      <c r="H52" s="290">
        <v>1291</v>
      </c>
      <c r="I52" s="290">
        <v>380</v>
      </c>
      <c r="J52" s="290">
        <v>145</v>
      </c>
      <c r="K52" s="290">
        <v>46</v>
      </c>
      <c r="L52" s="290">
        <v>19</v>
      </c>
      <c r="M52" s="290">
        <v>233</v>
      </c>
      <c r="N52" s="290">
        <v>13</v>
      </c>
      <c r="O52" s="290">
        <v>20</v>
      </c>
      <c r="P52" s="624">
        <v>42980.134666669997</v>
      </c>
      <c r="Q52" s="624">
        <v>10174.54733333</v>
      </c>
      <c r="R52" s="1039">
        <v>12</v>
      </c>
      <c r="S52" s="290">
        <v>0</v>
      </c>
      <c r="T52" s="290">
        <v>199</v>
      </c>
      <c r="U52" s="958">
        <v>2.6816133667639484E-3</v>
      </c>
      <c r="V52" s="290">
        <v>1462.0689472900001</v>
      </c>
      <c r="W52" s="765">
        <v>0.98534962000000004</v>
      </c>
      <c r="X52" s="290">
        <v>930</v>
      </c>
      <c r="Y52" s="290"/>
      <c r="Z52" s="290">
        <v>77333.64</v>
      </c>
      <c r="AA52" s="290">
        <v>0</v>
      </c>
      <c r="AB52" s="290">
        <v>42</v>
      </c>
      <c r="AC52" s="290">
        <v>153</v>
      </c>
      <c r="AD52" s="290">
        <v>72</v>
      </c>
      <c r="AE52" s="290">
        <v>0</v>
      </c>
      <c r="AF52" s="290">
        <v>21377</v>
      </c>
      <c r="AG52" s="290">
        <v>2530</v>
      </c>
      <c r="AH52" s="290">
        <v>426</v>
      </c>
      <c r="AI52" s="290">
        <v>300</v>
      </c>
      <c r="AJ52" s="290">
        <v>0</v>
      </c>
      <c r="AK52" s="290">
        <v>0</v>
      </c>
      <c r="AL52" s="290">
        <v>0</v>
      </c>
      <c r="AM52" s="957">
        <v>2.1522449999999999E-2</v>
      </c>
      <c r="AN52" s="290">
        <v>0</v>
      </c>
      <c r="AO52" s="290">
        <v>-784.67541999000002</v>
      </c>
      <c r="AP52" s="290">
        <v>0</v>
      </c>
      <c r="AQ52" s="290">
        <v>0</v>
      </c>
      <c r="AR52" s="290">
        <v>401.83240712999998</v>
      </c>
      <c r="AS52" s="290">
        <v>267.34750000000003</v>
      </c>
      <c r="AT52" s="290">
        <v>92</v>
      </c>
      <c r="AU52" s="290">
        <v>16</v>
      </c>
      <c r="AV52" s="766">
        <v>129370</v>
      </c>
      <c r="AW52" s="290">
        <v>1300</v>
      </c>
      <c r="AX52" s="766">
        <v>5.1666499999999997</v>
      </c>
      <c r="AY52" s="290">
        <v>477</v>
      </c>
      <c r="AZ52" s="290">
        <v>95</v>
      </c>
      <c r="BA52" s="290">
        <v>40</v>
      </c>
      <c r="BB52" s="290">
        <v>6034</v>
      </c>
      <c r="BC52" s="290">
        <v>25489.659034740002</v>
      </c>
      <c r="BD52" s="290"/>
      <c r="BE52" s="290">
        <v>123452.2230883</v>
      </c>
      <c r="BF52" s="290">
        <v>0</v>
      </c>
      <c r="BG52" s="290">
        <v>2071</v>
      </c>
      <c r="BH52" s="290">
        <v>500</v>
      </c>
      <c r="BI52" s="290">
        <v>22028</v>
      </c>
      <c r="BJ52" s="290">
        <v>30</v>
      </c>
      <c r="BK52" s="290">
        <v>61</v>
      </c>
      <c r="BL52" s="290">
        <v>0</v>
      </c>
      <c r="BM52" s="290">
        <v>0</v>
      </c>
      <c r="BN52" s="290">
        <v>38</v>
      </c>
      <c r="BO52" s="290">
        <v>-16</v>
      </c>
      <c r="BP52" s="290">
        <v>232</v>
      </c>
      <c r="BQ52" s="290">
        <v>464</v>
      </c>
      <c r="BR52" s="290">
        <v>351</v>
      </c>
      <c r="BS52" s="290">
        <v>54</v>
      </c>
      <c r="BT52" s="290">
        <v>0</v>
      </c>
      <c r="BU52" s="290">
        <v>0</v>
      </c>
      <c r="BV52" s="290">
        <v>35</v>
      </c>
      <c r="BW52" s="290">
        <v>0</v>
      </c>
      <c r="BX52" s="290">
        <v>0</v>
      </c>
      <c r="BY52" s="290">
        <v>320</v>
      </c>
      <c r="BZ52" s="290">
        <v>370</v>
      </c>
      <c r="CA52" s="290">
        <v>1509.8999999999999</v>
      </c>
      <c r="CB52" s="290">
        <v>35</v>
      </c>
      <c r="CC52" s="290">
        <v>0</v>
      </c>
      <c r="CD52" s="290">
        <v>0</v>
      </c>
      <c r="CE52" s="290">
        <v>77333.64</v>
      </c>
      <c r="CF52" s="290">
        <v>0</v>
      </c>
      <c r="CG52" s="290">
        <v>0</v>
      </c>
      <c r="CH52" s="290">
        <v>0</v>
      </c>
      <c r="CI52" s="290">
        <v>0</v>
      </c>
      <c r="CJ52" s="290"/>
    </row>
    <row r="53" spans="1:88" ht="13">
      <c r="A53" s="1">
        <v>1579</v>
      </c>
      <c r="B53" s="2" t="s">
        <v>1615</v>
      </c>
      <c r="C53" s="289">
        <v>13317</v>
      </c>
      <c r="D53" s="290">
        <v>264</v>
      </c>
      <c r="E53" s="290">
        <v>629</v>
      </c>
      <c r="F53" s="290">
        <v>1705</v>
      </c>
      <c r="G53" s="290">
        <v>1161</v>
      </c>
      <c r="H53" s="290">
        <v>7260</v>
      </c>
      <c r="I53" s="290">
        <v>1694</v>
      </c>
      <c r="J53" s="290">
        <v>465</v>
      </c>
      <c r="K53" s="290">
        <v>123</v>
      </c>
      <c r="L53" s="290">
        <v>101</v>
      </c>
      <c r="M53" s="290">
        <v>929</v>
      </c>
      <c r="N53" s="290">
        <v>48</v>
      </c>
      <c r="O53" s="290">
        <v>114</v>
      </c>
      <c r="P53" s="624">
        <v>87846.732333330001</v>
      </c>
      <c r="Q53" s="624">
        <v>38745.58633333</v>
      </c>
      <c r="R53" s="1039">
        <v>59</v>
      </c>
      <c r="S53" s="290">
        <v>0</v>
      </c>
      <c r="T53" s="290">
        <v>999</v>
      </c>
      <c r="U53" s="958">
        <v>5.9493401177775265E-3</v>
      </c>
      <c r="V53" s="290">
        <v>6577.8229381399997</v>
      </c>
      <c r="W53" s="765">
        <v>0.68936534000000005</v>
      </c>
      <c r="X53" s="290">
        <v>2700</v>
      </c>
      <c r="Y53" s="290"/>
      <c r="Z53" s="290">
        <v>389167.47600000002</v>
      </c>
      <c r="AA53" s="290">
        <v>0</v>
      </c>
      <c r="AB53" s="290">
        <v>243</v>
      </c>
      <c r="AC53" s="290">
        <v>729</v>
      </c>
      <c r="AD53" s="290">
        <v>264</v>
      </c>
      <c r="AE53" s="290">
        <v>0</v>
      </c>
      <c r="AF53" s="290">
        <v>15110</v>
      </c>
      <c r="AG53" s="290">
        <v>13301</v>
      </c>
      <c r="AH53" s="290">
        <v>2474</v>
      </c>
      <c r="AI53" s="290">
        <v>500</v>
      </c>
      <c r="AJ53" s="290">
        <v>0</v>
      </c>
      <c r="AK53" s="290">
        <v>4564</v>
      </c>
      <c r="AL53" s="290">
        <v>0</v>
      </c>
      <c r="AM53" s="957">
        <v>0.30754740000000003</v>
      </c>
      <c r="AN53" s="290">
        <v>0</v>
      </c>
      <c r="AO53" s="290">
        <v>-3556.7232533199999</v>
      </c>
      <c r="AP53" s="290">
        <v>0</v>
      </c>
      <c r="AQ53" s="290">
        <v>0</v>
      </c>
      <c r="AR53" s="290">
        <v>-502.33209963000002</v>
      </c>
      <c r="AS53" s="290">
        <v>1166.6669999999999</v>
      </c>
      <c r="AT53" s="290">
        <v>672</v>
      </c>
      <c r="AU53" s="290">
        <v>150</v>
      </c>
      <c r="AV53" s="766">
        <v>418300</v>
      </c>
      <c r="AW53" s="290">
        <v>1200</v>
      </c>
      <c r="AX53" s="766">
        <v>111.16665</v>
      </c>
      <c r="AY53" s="290">
        <v>2153</v>
      </c>
      <c r="AZ53" s="290">
        <v>538</v>
      </c>
      <c r="BA53" s="290">
        <v>358</v>
      </c>
      <c r="BB53" s="290">
        <v>0</v>
      </c>
      <c r="BC53" s="290">
        <v>37592.674265219997</v>
      </c>
      <c r="BD53" s="290"/>
      <c r="BE53" s="290">
        <v>400378.80020812998</v>
      </c>
      <c r="BF53" s="290">
        <v>0</v>
      </c>
      <c r="BG53" s="290">
        <v>10888</v>
      </c>
      <c r="BH53" s="290">
        <v>1000</v>
      </c>
      <c r="BI53" s="290">
        <v>23141</v>
      </c>
      <c r="BJ53" s="290">
        <v>152</v>
      </c>
      <c r="BK53" s="290">
        <v>547</v>
      </c>
      <c r="BL53" s="290">
        <v>0</v>
      </c>
      <c r="BM53" s="290">
        <v>4274</v>
      </c>
      <c r="BN53" s="290">
        <v>342</v>
      </c>
      <c r="BO53" s="290">
        <v>-92</v>
      </c>
      <c r="BP53" s="290">
        <v>1235</v>
      </c>
      <c r="BQ53" s="290">
        <v>2470</v>
      </c>
      <c r="BR53" s="290">
        <v>1870</v>
      </c>
      <c r="BS53" s="290">
        <v>198</v>
      </c>
      <c r="BT53" s="290">
        <v>0</v>
      </c>
      <c r="BU53" s="290">
        <v>0</v>
      </c>
      <c r="BV53" s="290">
        <v>315</v>
      </c>
      <c r="BW53" s="290">
        <v>0</v>
      </c>
      <c r="BX53" s="290">
        <v>0</v>
      </c>
      <c r="BY53" s="290">
        <v>1421</v>
      </c>
      <c r="BZ53" s="290">
        <v>880</v>
      </c>
      <c r="CA53" s="290">
        <v>679.35900000000004</v>
      </c>
      <c r="CB53" s="290">
        <v>124</v>
      </c>
      <c r="CC53" s="290">
        <v>1</v>
      </c>
      <c r="CD53" s="290">
        <v>0</v>
      </c>
      <c r="CE53" s="290">
        <v>389167.47600000002</v>
      </c>
      <c r="CF53" s="290">
        <v>5244.9397145577541</v>
      </c>
      <c r="CG53" s="290">
        <v>5788.5214749865936</v>
      </c>
      <c r="CH53" s="290">
        <v>6309.4341219370244</v>
      </c>
      <c r="CI53" s="290">
        <v>6813.3551077330549</v>
      </c>
      <c r="CJ53" s="290"/>
    </row>
    <row r="54" spans="1:88" ht="13">
      <c r="A54" s="1">
        <v>1804</v>
      </c>
      <c r="B54" s="2" t="s">
        <v>174</v>
      </c>
      <c r="C54" s="289">
        <v>52560</v>
      </c>
      <c r="D54" s="290">
        <v>995</v>
      </c>
      <c r="E54" s="290">
        <v>2303</v>
      </c>
      <c r="F54" s="290">
        <v>6263</v>
      </c>
      <c r="G54" s="290">
        <v>4548</v>
      </c>
      <c r="H54" s="290">
        <v>30714</v>
      </c>
      <c r="I54" s="290">
        <v>5548</v>
      </c>
      <c r="J54" s="290">
        <v>1691</v>
      </c>
      <c r="K54" s="290">
        <v>336</v>
      </c>
      <c r="L54" s="290">
        <v>399</v>
      </c>
      <c r="M54" s="290">
        <v>3170</v>
      </c>
      <c r="N54" s="290">
        <v>964</v>
      </c>
      <c r="O54" s="290">
        <v>341</v>
      </c>
      <c r="P54" s="624">
        <v>193856.17433333001</v>
      </c>
      <c r="Q54" s="624">
        <v>61211.902333329999</v>
      </c>
      <c r="R54" s="1039">
        <v>193</v>
      </c>
      <c r="S54" s="290">
        <v>0</v>
      </c>
      <c r="T54" s="290">
        <v>4760</v>
      </c>
      <c r="U54" s="958">
        <v>3.4694501298192146E-3</v>
      </c>
      <c r="V54" s="290">
        <v>12089.58358129</v>
      </c>
      <c r="W54" s="765">
        <v>0.56179228999999997</v>
      </c>
      <c r="X54" s="290">
        <v>0</v>
      </c>
      <c r="Y54" s="290"/>
      <c r="Z54" s="290">
        <v>1841083.26</v>
      </c>
      <c r="AA54" s="290">
        <v>0</v>
      </c>
      <c r="AB54" s="290">
        <v>1163</v>
      </c>
      <c r="AC54" s="290">
        <v>2574</v>
      </c>
      <c r="AD54" s="290">
        <v>913</v>
      </c>
      <c r="AE54" s="290">
        <v>0</v>
      </c>
      <c r="AF54" s="290">
        <v>9586</v>
      </c>
      <c r="AG54" s="290">
        <v>52398</v>
      </c>
      <c r="AH54" s="290">
        <v>8974</v>
      </c>
      <c r="AI54" s="290">
        <v>9730</v>
      </c>
      <c r="AJ54" s="290">
        <v>3140</v>
      </c>
      <c r="AK54" s="290">
        <v>0</v>
      </c>
      <c r="AL54" s="290">
        <v>97436</v>
      </c>
      <c r="AM54" s="957">
        <v>0.66314097999999999</v>
      </c>
      <c r="AN54" s="290">
        <v>0</v>
      </c>
      <c r="AO54" s="290">
        <v>-12711.21455631</v>
      </c>
      <c r="AP54" s="290">
        <v>0</v>
      </c>
      <c r="AQ54" s="290">
        <v>-3111.1860153900002</v>
      </c>
      <c r="AR54" s="290">
        <v>-1978.88860662</v>
      </c>
      <c r="AS54" s="290">
        <v>3891.2840000000001</v>
      </c>
      <c r="AT54" s="290">
        <v>2449</v>
      </c>
      <c r="AU54" s="290">
        <v>386</v>
      </c>
      <c r="AV54" s="766">
        <v>1349057</v>
      </c>
      <c r="AW54" s="290">
        <v>17127</v>
      </c>
      <c r="AX54" s="766">
        <v>394.37504999999999</v>
      </c>
      <c r="AY54" s="290">
        <v>15605</v>
      </c>
      <c r="AZ54" s="290">
        <v>1923</v>
      </c>
      <c r="BA54" s="290">
        <v>1120</v>
      </c>
      <c r="BB54" s="290">
        <v>0</v>
      </c>
      <c r="BC54" s="290">
        <v>80942.010873349995</v>
      </c>
      <c r="BD54" s="290"/>
      <c r="BE54" s="290">
        <v>1277899.3831988</v>
      </c>
      <c r="BF54" s="290">
        <v>0</v>
      </c>
      <c r="BG54" s="290">
        <v>42893</v>
      </c>
      <c r="BH54" s="290">
        <v>1500</v>
      </c>
      <c r="BI54" s="290">
        <v>22047</v>
      </c>
      <c r="BJ54" s="290">
        <v>618</v>
      </c>
      <c r="BK54" s="290">
        <v>2127</v>
      </c>
      <c r="BL54" s="290">
        <v>0</v>
      </c>
      <c r="BM54" s="290">
        <v>0</v>
      </c>
      <c r="BN54" s="290">
        <v>1330</v>
      </c>
      <c r="BO54" s="290">
        <v>-417</v>
      </c>
      <c r="BP54" s="290">
        <v>4874</v>
      </c>
      <c r="BQ54" s="290">
        <v>9749</v>
      </c>
      <c r="BR54" s="290">
        <v>7380</v>
      </c>
      <c r="BS54" s="290">
        <v>685</v>
      </c>
      <c r="BT54" s="290">
        <v>0</v>
      </c>
      <c r="BU54" s="290">
        <v>0</v>
      </c>
      <c r="BV54" s="290">
        <v>1224</v>
      </c>
      <c r="BW54" s="290">
        <v>0</v>
      </c>
      <c r="BX54" s="290">
        <v>0</v>
      </c>
      <c r="BY54" s="290">
        <v>4929</v>
      </c>
      <c r="BZ54" s="290">
        <v>6328.625</v>
      </c>
      <c r="CA54" s="290">
        <v>2427.9299999999998</v>
      </c>
      <c r="CB54" s="290">
        <v>458</v>
      </c>
      <c r="CC54" s="290">
        <v>3</v>
      </c>
      <c r="CD54" s="290">
        <v>0</v>
      </c>
      <c r="CE54" s="290">
        <v>1841083.26</v>
      </c>
      <c r="CF54" s="290">
        <v>0</v>
      </c>
      <c r="CG54" s="290">
        <v>0</v>
      </c>
      <c r="CH54" s="290">
        <v>0</v>
      </c>
      <c r="CI54" s="290">
        <v>0</v>
      </c>
      <c r="CJ54" s="290"/>
    </row>
    <row r="55" spans="1:88" ht="13">
      <c r="A55" s="1">
        <v>1806</v>
      </c>
      <c r="B55" s="2" t="s">
        <v>1616</v>
      </c>
      <c r="C55" s="289">
        <v>21661</v>
      </c>
      <c r="D55" s="290">
        <v>378</v>
      </c>
      <c r="E55" s="290">
        <v>866</v>
      </c>
      <c r="F55" s="290">
        <v>2402</v>
      </c>
      <c r="G55" s="290">
        <v>1726</v>
      </c>
      <c r="H55" s="290">
        <v>12236</v>
      </c>
      <c r="I55" s="290">
        <v>2875</v>
      </c>
      <c r="J55" s="290">
        <v>1013</v>
      </c>
      <c r="K55" s="290">
        <v>244</v>
      </c>
      <c r="L55" s="290">
        <v>180</v>
      </c>
      <c r="M55" s="290">
        <v>1933</v>
      </c>
      <c r="N55" s="290">
        <v>305</v>
      </c>
      <c r="O55" s="290">
        <v>174</v>
      </c>
      <c r="P55" s="624">
        <v>160584.73697567999</v>
      </c>
      <c r="Q55" s="624">
        <v>30030.953296070002</v>
      </c>
      <c r="R55" s="1039">
        <v>97</v>
      </c>
      <c r="S55" s="290">
        <v>0</v>
      </c>
      <c r="T55" s="290">
        <v>2030</v>
      </c>
      <c r="U55" s="958">
        <v>2.6113412556949653E-3</v>
      </c>
      <c r="V55" s="290">
        <v>-312.05598383</v>
      </c>
      <c r="W55" s="765">
        <v>0.66391688000000004</v>
      </c>
      <c r="X55" s="290">
        <v>0</v>
      </c>
      <c r="Y55" s="290"/>
      <c r="Z55" s="290">
        <v>679205.41</v>
      </c>
      <c r="AA55" s="290">
        <v>0</v>
      </c>
      <c r="AB55" s="290">
        <v>535</v>
      </c>
      <c r="AC55" s="290">
        <v>1022</v>
      </c>
      <c r="AD55" s="290">
        <v>420</v>
      </c>
      <c r="AE55" s="290">
        <v>0</v>
      </c>
      <c r="AF55" s="290">
        <v>31500</v>
      </c>
      <c r="AG55" s="290">
        <v>21740</v>
      </c>
      <c r="AH55" s="290">
        <v>3432</v>
      </c>
      <c r="AI55" s="290">
        <v>4400</v>
      </c>
      <c r="AJ55" s="290">
        <v>1000</v>
      </c>
      <c r="AK55" s="290">
        <v>10625</v>
      </c>
      <c r="AL55" s="290">
        <v>40654</v>
      </c>
      <c r="AM55" s="957">
        <v>0.37142352000000001</v>
      </c>
      <c r="AN55" s="290">
        <v>0</v>
      </c>
      <c r="AO55" s="290">
        <v>-5710.8924420599997</v>
      </c>
      <c r="AP55" s="290">
        <v>0</v>
      </c>
      <c r="AQ55" s="290">
        <v>0</v>
      </c>
      <c r="AR55" s="290">
        <v>-821.04351899000005</v>
      </c>
      <c r="AS55" s="290">
        <v>1611.3869440999999</v>
      </c>
      <c r="AT55" s="290">
        <v>998</v>
      </c>
      <c r="AU55" s="290">
        <v>192</v>
      </c>
      <c r="AV55" s="766">
        <v>681148</v>
      </c>
      <c r="AW55" s="290">
        <v>7060</v>
      </c>
      <c r="AX55" s="766">
        <v>164.41665</v>
      </c>
      <c r="AY55" s="290">
        <v>5037</v>
      </c>
      <c r="AZ55" s="290">
        <v>925</v>
      </c>
      <c r="BA55" s="290">
        <v>462</v>
      </c>
      <c r="BB55" s="290">
        <v>0</v>
      </c>
      <c r="BC55" s="290">
        <v>68428.455684500004</v>
      </c>
      <c r="BD55" s="290"/>
      <c r="BE55" s="290">
        <v>664080.93369046005</v>
      </c>
      <c r="BF55" s="290">
        <v>0</v>
      </c>
      <c r="BG55" s="290">
        <v>17796</v>
      </c>
      <c r="BH55" s="290">
        <v>1000</v>
      </c>
      <c r="BI55" s="290">
        <v>46999</v>
      </c>
      <c r="BJ55" s="290">
        <v>254</v>
      </c>
      <c r="BK55" s="290">
        <v>795</v>
      </c>
      <c r="BL55" s="290">
        <v>0</v>
      </c>
      <c r="BM55" s="290">
        <v>4873</v>
      </c>
      <c r="BN55" s="290">
        <v>497</v>
      </c>
      <c r="BO55" s="290">
        <v>-175</v>
      </c>
      <c r="BP55" s="290">
        <v>2009</v>
      </c>
      <c r="BQ55" s="290">
        <v>4018</v>
      </c>
      <c r="BR55" s="290">
        <v>3041</v>
      </c>
      <c r="BS55" s="290">
        <v>315</v>
      </c>
      <c r="BT55" s="290">
        <v>0</v>
      </c>
      <c r="BU55" s="290">
        <v>0</v>
      </c>
      <c r="BV55" s="290">
        <v>457</v>
      </c>
      <c r="BW55" s="290">
        <v>0</v>
      </c>
      <c r="BX55" s="290">
        <v>0</v>
      </c>
      <c r="BY55" s="290">
        <v>2418</v>
      </c>
      <c r="BZ55" s="290">
        <v>3958.47</v>
      </c>
      <c r="CA55" s="290">
        <v>1875.21</v>
      </c>
      <c r="CB55" s="290">
        <v>195</v>
      </c>
      <c r="CC55" s="290">
        <v>1</v>
      </c>
      <c r="CD55" s="290">
        <v>0</v>
      </c>
      <c r="CE55" s="290">
        <v>679205.41</v>
      </c>
      <c r="CF55" s="290">
        <v>12491.594611853812</v>
      </c>
      <c r="CG55" s="290">
        <v>14085.453484871257</v>
      </c>
      <c r="CH55" s="290">
        <v>15634.159184919461</v>
      </c>
      <c r="CI55" s="290">
        <v>17149.020270096858</v>
      </c>
      <c r="CJ55" s="290"/>
    </row>
    <row r="56" spans="1:88" ht="13">
      <c r="A56" s="1">
        <v>1811</v>
      </c>
      <c r="B56" s="2" t="s">
        <v>176</v>
      </c>
      <c r="C56" s="289">
        <v>1397</v>
      </c>
      <c r="D56" s="290">
        <v>23</v>
      </c>
      <c r="E56" s="290">
        <v>50</v>
      </c>
      <c r="F56" s="290">
        <v>169</v>
      </c>
      <c r="G56" s="290">
        <v>100</v>
      </c>
      <c r="H56" s="290">
        <v>706</v>
      </c>
      <c r="I56" s="290">
        <v>272</v>
      </c>
      <c r="J56" s="290">
        <v>81</v>
      </c>
      <c r="K56" s="290">
        <v>21</v>
      </c>
      <c r="L56" s="290">
        <v>14</v>
      </c>
      <c r="M56" s="290">
        <v>179</v>
      </c>
      <c r="N56" s="290">
        <v>1.5</v>
      </c>
      <c r="O56" s="290">
        <v>11</v>
      </c>
      <c r="P56" s="624">
        <v>29281.554333330001</v>
      </c>
      <c r="Q56" s="624">
        <v>13032.293333330001</v>
      </c>
      <c r="R56" s="1039">
        <v>9</v>
      </c>
      <c r="S56" s="290">
        <v>0</v>
      </c>
      <c r="T56" s="290">
        <v>100</v>
      </c>
      <c r="U56" s="958">
        <v>1.3205382226699038E-3</v>
      </c>
      <c r="V56" s="290">
        <v>-5731.1574623699998</v>
      </c>
      <c r="W56" s="765">
        <v>1</v>
      </c>
      <c r="X56" s="290">
        <v>0</v>
      </c>
      <c r="Y56" s="290"/>
      <c r="Z56" s="290">
        <v>45529.815999999999</v>
      </c>
      <c r="AA56" s="290">
        <v>703</v>
      </c>
      <c r="AB56" s="290">
        <v>32</v>
      </c>
      <c r="AC56" s="290">
        <v>93</v>
      </c>
      <c r="AD56" s="290">
        <v>52</v>
      </c>
      <c r="AE56" s="290">
        <v>0</v>
      </c>
      <c r="AF56" s="290">
        <v>0</v>
      </c>
      <c r="AG56" s="290">
        <v>1422</v>
      </c>
      <c r="AH56" s="290">
        <v>230</v>
      </c>
      <c r="AI56" s="290">
        <v>0</v>
      </c>
      <c r="AJ56" s="290">
        <v>0</v>
      </c>
      <c r="AK56" s="290">
        <v>11</v>
      </c>
      <c r="AL56" s="290">
        <v>2654</v>
      </c>
      <c r="AM56" s="957">
        <v>7.9627199999999995E-3</v>
      </c>
      <c r="AN56" s="290">
        <v>0</v>
      </c>
      <c r="AO56" s="290">
        <v>-514.17231363999997</v>
      </c>
      <c r="AP56" s="290">
        <v>0</v>
      </c>
      <c r="AQ56" s="290">
        <v>0</v>
      </c>
      <c r="AR56" s="290">
        <v>-53.703950509999999</v>
      </c>
      <c r="AS56" s="290">
        <v>137.6395</v>
      </c>
      <c r="AT56" s="290">
        <v>46</v>
      </c>
      <c r="AU56" s="290">
        <v>8</v>
      </c>
      <c r="AV56" s="766">
        <v>74713</v>
      </c>
      <c r="AW56" s="290">
        <v>0</v>
      </c>
      <c r="AX56" s="766">
        <v>6.625</v>
      </c>
      <c r="AY56" s="290">
        <v>245</v>
      </c>
      <c r="AZ56" s="290">
        <v>44</v>
      </c>
      <c r="BA56" s="290">
        <v>23</v>
      </c>
      <c r="BB56" s="290">
        <v>6034</v>
      </c>
      <c r="BC56" s="290">
        <v>2961.2548570899999</v>
      </c>
      <c r="BD56" s="290"/>
      <c r="BE56" s="290">
        <v>71723.471580130004</v>
      </c>
      <c r="BF56" s="290">
        <v>0</v>
      </c>
      <c r="BG56" s="290">
        <v>1164</v>
      </c>
      <c r="BH56" s="290">
        <v>500</v>
      </c>
      <c r="BI56" s="290">
        <v>386</v>
      </c>
      <c r="BJ56" s="290">
        <v>17</v>
      </c>
      <c r="BK56" s="290">
        <v>43</v>
      </c>
      <c r="BL56" s="290">
        <v>0</v>
      </c>
      <c r="BM56" s="290">
        <v>0</v>
      </c>
      <c r="BN56" s="290">
        <v>27</v>
      </c>
      <c r="BO56" s="290">
        <v>-8</v>
      </c>
      <c r="BP56" s="290">
        <v>130</v>
      </c>
      <c r="BQ56" s="290">
        <v>259</v>
      </c>
      <c r="BR56" s="290">
        <v>196</v>
      </c>
      <c r="BS56" s="290">
        <v>39</v>
      </c>
      <c r="BT56" s="290">
        <v>0</v>
      </c>
      <c r="BU56" s="290">
        <v>0</v>
      </c>
      <c r="BV56" s="290">
        <v>25</v>
      </c>
      <c r="BW56" s="290">
        <v>0</v>
      </c>
      <c r="BX56" s="290">
        <v>0</v>
      </c>
      <c r="BY56" s="290">
        <v>196</v>
      </c>
      <c r="BZ56" s="290">
        <v>0</v>
      </c>
      <c r="CA56" s="290">
        <v>728.99</v>
      </c>
      <c r="CB56" s="290">
        <v>26</v>
      </c>
      <c r="CC56" s="290">
        <v>0</v>
      </c>
      <c r="CD56" s="290">
        <v>0</v>
      </c>
      <c r="CE56" s="290">
        <v>45529.815999999999</v>
      </c>
      <c r="CF56" s="290">
        <v>0</v>
      </c>
      <c r="CG56" s="290">
        <v>0</v>
      </c>
      <c r="CH56" s="290">
        <v>0</v>
      </c>
      <c r="CI56" s="290">
        <v>0</v>
      </c>
      <c r="CJ56" s="290"/>
    </row>
    <row r="57" spans="1:88" ht="13">
      <c r="A57" s="1">
        <v>1812</v>
      </c>
      <c r="B57" s="2" t="s">
        <v>177</v>
      </c>
      <c r="C57" s="289">
        <v>1990</v>
      </c>
      <c r="D57" s="290">
        <v>24</v>
      </c>
      <c r="E57" s="290">
        <v>61</v>
      </c>
      <c r="F57" s="290">
        <v>254</v>
      </c>
      <c r="G57" s="290">
        <v>169</v>
      </c>
      <c r="H57" s="290">
        <v>1068</v>
      </c>
      <c r="I57" s="290">
        <v>291</v>
      </c>
      <c r="J57" s="290">
        <v>103</v>
      </c>
      <c r="K57" s="290">
        <v>20</v>
      </c>
      <c r="L57" s="290">
        <v>17</v>
      </c>
      <c r="M57" s="290">
        <v>217</v>
      </c>
      <c r="N57" s="290">
        <v>22</v>
      </c>
      <c r="O57" s="290">
        <v>20</v>
      </c>
      <c r="P57" s="624">
        <v>14066.339333329999</v>
      </c>
      <c r="Q57" s="624">
        <v>5173.52233333</v>
      </c>
      <c r="R57" s="1039">
        <v>14</v>
      </c>
      <c r="S57" s="290">
        <v>0</v>
      </c>
      <c r="T57" s="290">
        <v>174</v>
      </c>
      <c r="U57" s="958">
        <v>1.8442862180693582E-3</v>
      </c>
      <c r="V57" s="290">
        <v>1262.48963607</v>
      </c>
      <c r="W57" s="765">
        <v>0.93398576</v>
      </c>
      <c r="X57" s="290">
        <v>0</v>
      </c>
      <c r="Y57" s="290"/>
      <c r="Z57" s="290">
        <v>53418.559999999998</v>
      </c>
      <c r="AA57" s="290">
        <v>0</v>
      </c>
      <c r="AB57" s="290">
        <v>61</v>
      </c>
      <c r="AC57" s="290">
        <v>119</v>
      </c>
      <c r="AD57" s="290">
        <v>54</v>
      </c>
      <c r="AE57" s="290">
        <v>0</v>
      </c>
      <c r="AF57" s="290">
        <v>0</v>
      </c>
      <c r="AG57" s="290">
        <v>1990</v>
      </c>
      <c r="AH57" s="290">
        <v>328</v>
      </c>
      <c r="AI57" s="290">
        <v>935</v>
      </c>
      <c r="AJ57" s="290">
        <v>0</v>
      </c>
      <c r="AK57" s="290">
        <v>0</v>
      </c>
      <c r="AL57" s="290">
        <v>3675</v>
      </c>
      <c r="AM57" s="957">
        <v>3.0507929999999999E-2</v>
      </c>
      <c r="AN57" s="290">
        <v>0</v>
      </c>
      <c r="AO57" s="290">
        <v>-631.92205670999999</v>
      </c>
      <c r="AP57" s="290">
        <v>0</v>
      </c>
      <c r="AQ57" s="290">
        <v>0</v>
      </c>
      <c r="AR57" s="290">
        <v>-75.155317519999997</v>
      </c>
      <c r="AS57" s="290">
        <v>185.72900000000001</v>
      </c>
      <c r="AT57" s="290">
        <v>100</v>
      </c>
      <c r="AU57" s="290">
        <v>14</v>
      </c>
      <c r="AV57" s="766">
        <v>90036</v>
      </c>
      <c r="AW57" s="290">
        <v>0</v>
      </c>
      <c r="AX57" s="766">
        <v>11.916650000000001</v>
      </c>
      <c r="AY57" s="290">
        <v>355</v>
      </c>
      <c r="AZ57" s="290">
        <v>85</v>
      </c>
      <c r="BA57" s="290">
        <v>43</v>
      </c>
      <c r="BB57" s="290">
        <v>6034</v>
      </c>
      <c r="BC57" s="290">
        <v>3499.63452874</v>
      </c>
      <c r="BD57" s="290"/>
      <c r="BE57" s="290">
        <v>87865.036604160006</v>
      </c>
      <c r="BF57" s="290">
        <v>0</v>
      </c>
      <c r="BG57" s="290">
        <v>1629</v>
      </c>
      <c r="BH57" s="290">
        <v>500</v>
      </c>
      <c r="BI57" s="290">
        <v>501</v>
      </c>
      <c r="BJ57" s="290">
        <v>23</v>
      </c>
      <c r="BK57" s="290">
        <v>56</v>
      </c>
      <c r="BL57" s="290">
        <v>0</v>
      </c>
      <c r="BM57" s="290">
        <v>0</v>
      </c>
      <c r="BN57" s="290">
        <v>35</v>
      </c>
      <c r="BO57" s="290">
        <v>-16</v>
      </c>
      <c r="BP57" s="290">
        <v>185</v>
      </c>
      <c r="BQ57" s="290">
        <v>369</v>
      </c>
      <c r="BR57" s="290">
        <v>279</v>
      </c>
      <c r="BS57" s="290">
        <v>41</v>
      </c>
      <c r="BT57" s="290">
        <v>0</v>
      </c>
      <c r="BU57" s="290">
        <v>0</v>
      </c>
      <c r="BV57" s="290">
        <v>32</v>
      </c>
      <c r="BW57" s="290">
        <v>0</v>
      </c>
      <c r="BX57" s="290">
        <v>0</v>
      </c>
      <c r="BY57" s="290">
        <v>242</v>
      </c>
      <c r="BZ57" s="290">
        <v>0</v>
      </c>
      <c r="CA57" s="290">
        <v>120.70099999999999</v>
      </c>
      <c r="CB57" s="290">
        <v>30</v>
      </c>
      <c r="CC57" s="290">
        <v>0</v>
      </c>
      <c r="CD57" s="290">
        <v>0</v>
      </c>
      <c r="CE57" s="290">
        <v>53418.559999999998</v>
      </c>
      <c r="CF57" s="290">
        <v>0</v>
      </c>
      <c r="CG57" s="290">
        <v>0</v>
      </c>
      <c r="CH57" s="290">
        <v>0</v>
      </c>
      <c r="CI57" s="290">
        <v>0</v>
      </c>
      <c r="CJ57" s="290"/>
    </row>
    <row r="58" spans="1:88" ht="13">
      <c r="A58" s="1">
        <v>1813</v>
      </c>
      <c r="B58" s="2" t="s">
        <v>178</v>
      </c>
      <c r="C58" s="289">
        <v>7803</v>
      </c>
      <c r="D58" s="290">
        <v>124</v>
      </c>
      <c r="E58" s="290">
        <v>316</v>
      </c>
      <c r="F58" s="290">
        <v>1013</v>
      </c>
      <c r="G58" s="290">
        <v>702</v>
      </c>
      <c r="H58" s="290">
        <v>4383</v>
      </c>
      <c r="I58" s="290">
        <v>969</v>
      </c>
      <c r="J58" s="290">
        <v>311</v>
      </c>
      <c r="K58" s="290">
        <v>65</v>
      </c>
      <c r="L58" s="290">
        <v>61</v>
      </c>
      <c r="M58" s="290">
        <v>623</v>
      </c>
      <c r="N58" s="290">
        <v>105</v>
      </c>
      <c r="O58" s="290">
        <v>86</v>
      </c>
      <c r="P58" s="624">
        <v>83888.592000000004</v>
      </c>
      <c r="Q58" s="624">
        <v>17601.544333329999</v>
      </c>
      <c r="R58" s="1039">
        <v>48</v>
      </c>
      <c r="S58" s="290">
        <v>0</v>
      </c>
      <c r="T58" s="290">
        <v>703</v>
      </c>
      <c r="U58" s="958">
        <v>3.0452122056240662E-3</v>
      </c>
      <c r="V58" s="290">
        <v>4343.3027994800004</v>
      </c>
      <c r="W58" s="765">
        <v>0.64288493999999996</v>
      </c>
      <c r="X58" s="290">
        <v>0</v>
      </c>
      <c r="Y58" s="290"/>
      <c r="Z58" s="290">
        <v>240172.03700000001</v>
      </c>
      <c r="AA58" s="290">
        <v>0</v>
      </c>
      <c r="AB58" s="290">
        <v>227</v>
      </c>
      <c r="AC58" s="290">
        <v>443</v>
      </c>
      <c r="AD58" s="290">
        <v>162</v>
      </c>
      <c r="AE58" s="290">
        <v>0</v>
      </c>
      <c r="AF58" s="290">
        <v>0</v>
      </c>
      <c r="AG58" s="290">
        <v>7883</v>
      </c>
      <c r="AH58" s="290">
        <v>1383</v>
      </c>
      <c r="AI58" s="290">
        <v>650</v>
      </c>
      <c r="AJ58" s="290">
        <v>0</v>
      </c>
      <c r="AK58" s="290">
        <v>0</v>
      </c>
      <c r="AL58" s="290">
        <v>14734</v>
      </c>
      <c r="AM58" s="957">
        <v>0.15085701000000001</v>
      </c>
      <c r="AN58" s="290">
        <v>0</v>
      </c>
      <c r="AO58" s="290">
        <v>-2173.9812823399998</v>
      </c>
      <c r="AP58" s="290">
        <v>0</v>
      </c>
      <c r="AQ58" s="290">
        <v>0</v>
      </c>
      <c r="AR58" s="290">
        <v>1909.4765623200001</v>
      </c>
      <c r="AS58" s="290">
        <v>688.58100000000002</v>
      </c>
      <c r="AT58" s="290">
        <v>390</v>
      </c>
      <c r="AU58" s="290">
        <v>65</v>
      </c>
      <c r="AV58" s="766">
        <v>269005</v>
      </c>
      <c r="AW58" s="290">
        <v>2540</v>
      </c>
      <c r="AX58" s="766">
        <v>38.458350000000003</v>
      </c>
      <c r="AY58" s="290">
        <v>1544</v>
      </c>
      <c r="AZ58" s="290">
        <v>373</v>
      </c>
      <c r="BA58" s="290">
        <v>213</v>
      </c>
      <c r="BB58" s="290">
        <v>0</v>
      </c>
      <c r="BC58" s="290">
        <v>11845.49241949</v>
      </c>
      <c r="BD58" s="290"/>
      <c r="BE58" s="290">
        <v>251155.86726668</v>
      </c>
      <c r="BF58" s="290">
        <v>0</v>
      </c>
      <c r="BG58" s="290">
        <v>6453</v>
      </c>
      <c r="BH58" s="290">
        <v>1000</v>
      </c>
      <c r="BI58" s="290">
        <v>1988</v>
      </c>
      <c r="BJ58" s="290">
        <v>91</v>
      </c>
      <c r="BK58" s="290">
        <v>273</v>
      </c>
      <c r="BL58" s="290">
        <v>0</v>
      </c>
      <c r="BM58" s="290">
        <v>0</v>
      </c>
      <c r="BN58" s="290">
        <v>171</v>
      </c>
      <c r="BO58" s="290">
        <v>-65</v>
      </c>
      <c r="BP58" s="290">
        <v>724</v>
      </c>
      <c r="BQ58" s="290">
        <v>1447</v>
      </c>
      <c r="BR58" s="290">
        <v>1096</v>
      </c>
      <c r="BS58" s="290">
        <v>122</v>
      </c>
      <c r="BT58" s="290">
        <v>0</v>
      </c>
      <c r="BU58" s="290">
        <v>0</v>
      </c>
      <c r="BV58" s="290">
        <v>157</v>
      </c>
      <c r="BW58" s="290">
        <v>0</v>
      </c>
      <c r="BX58" s="290">
        <v>0</v>
      </c>
      <c r="BY58" s="290">
        <v>820</v>
      </c>
      <c r="BZ58" s="290">
        <v>2490.6419999999998</v>
      </c>
      <c r="CA58" s="290">
        <v>2829.6579999999999</v>
      </c>
      <c r="CB58" s="290">
        <v>77</v>
      </c>
      <c r="CC58" s="290">
        <v>1</v>
      </c>
      <c r="CD58" s="290">
        <v>0</v>
      </c>
      <c r="CE58" s="290">
        <v>240172.03700000001</v>
      </c>
      <c r="CF58" s="290">
        <v>0</v>
      </c>
      <c r="CG58" s="290">
        <v>0</v>
      </c>
      <c r="CH58" s="290">
        <v>0</v>
      </c>
      <c r="CI58" s="290">
        <v>0</v>
      </c>
      <c r="CJ58" s="290"/>
    </row>
    <row r="59" spans="1:88" ht="13">
      <c r="A59" s="1">
        <v>1815</v>
      </c>
      <c r="B59" s="2" t="s">
        <v>179</v>
      </c>
      <c r="C59" s="289">
        <v>1182</v>
      </c>
      <c r="D59" s="290">
        <v>16</v>
      </c>
      <c r="E59" s="290">
        <v>36</v>
      </c>
      <c r="F59" s="290">
        <v>131</v>
      </c>
      <c r="G59" s="290">
        <v>92</v>
      </c>
      <c r="H59" s="290">
        <v>638</v>
      </c>
      <c r="I59" s="290">
        <v>195</v>
      </c>
      <c r="J59" s="290">
        <v>65</v>
      </c>
      <c r="K59" s="290">
        <v>22</v>
      </c>
      <c r="L59" s="290">
        <v>9</v>
      </c>
      <c r="M59" s="290">
        <v>162</v>
      </c>
      <c r="N59" s="290">
        <v>1.5</v>
      </c>
      <c r="O59" s="290">
        <v>9</v>
      </c>
      <c r="P59" s="624">
        <v>5743.8620000000001</v>
      </c>
      <c r="Q59" s="624">
        <v>5862.1366666699996</v>
      </c>
      <c r="R59" s="1039">
        <v>4</v>
      </c>
      <c r="S59" s="290">
        <v>0</v>
      </c>
      <c r="T59" s="290">
        <v>99</v>
      </c>
      <c r="U59" s="958">
        <v>1.3728556441585207E-3</v>
      </c>
      <c r="V59" s="290">
        <v>805.54296074000001</v>
      </c>
      <c r="W59" s="765">
        <v>1</v>
      </c>
      <c r="X59" s="290">
        <v>0</v>
      </c>
      <c r="Y59" s="290"/>
      <c r="Z59" s="290">
        <v>32609.32</v>
      </c>
      <c r="AA59" s="290">
        <v>0</v>
      </c>
      <c r="AB59" s="290">
        <v>23</v>
      </c>
      <c r="AC59" s="290">
        <v>69</v>
      </c>
      <c r="AD59" s="290">
        <v>41</v>
      </c>
      <c r="AE59" s="290">
        <v>0</v>
      </c>
      <c r="AF59" s="290">
        <v>0</v>
      </c>
      <c r="AG59" s="290">
        <v>1195</v>
      </c>
      <c r="AH59" s="290">
        <v>175</v>
      </c>
      <c r="AI59" s="290">
        <v>750</v>
      </c>
      <c r="AJ59" s="290">
        <v>0</v>
      </c>
      <c r="AK59" s="290">
        <v>0</v>
      </c>
      <c r="AL59" s="290">
        <v>2233</v>
      </c>
      <c r="AM59" s="957">
        <v>9.0749999999999997E-3</v>
      </c>
      <c r="AN59" s="290">
        <v>0</v>
      </c>
      <c r="AO59" s="290">
        <v>-403.20359865</v>
      </c>
      <c r="AP59" s="290">
        <v>0</v>
      </c>
      <c r="AQ59" s="290">
        <v>0</v>
      </c>
      <c r="AR59" s="290">
        <v>-45.130957000000002</v>
      </c>
      <c r="AS59" s="290">
        <v>110.9025</v>
      </c>
      <c r="AT59" s="290">
        <v>44</v>
      </c>
      <c r="AU59" s="290">
        <v>9</v>
      </c>
      <c r="AV59" s="766">
        <v>61138</v>
      </c>
      <c r="AW59" s="290">
        <v>0</v>
      </c>
      <c r="AX59" s="766">
        <v>5.1666499999999997</v>
      </c>
      <c r="AY59" s="290">
        <v>207</v>
      </c>
      <c r="AZ59" s="290">
        <v>33</v>
      </c>
      <c r="BA59" s="290">
        <v>26</v>
      </c>
      <c r="BB59" s="290">
        <v>6034</v>
      </c>
      <c r="BC59" s="290">
        <v>2352.9459535800002</v>
      </c>
      <c r="BD59" s="290"/>
      <c r="BE59" s="290">
        <v>60458.984367830002</v>
      </c>
      <c r="BF59" s="290">
        <v>0</v>
      </c>
      <c r="BG59" s="290">
        <v>978</v>
      </c>
      <c r="BH59" s="290">
        <v>500</v>
      </c>
      <c r="BI59" s="290">
        <v>285</v>
      </c>
      <c r="BJ59" s="290">
        <v>14</v>
      </c>
      <c r="BK59" s="290">
        <v>32</v>
      </c>
      <c r="BL59" s="290">
        <v>0</v>
      </c>
      <c r="BM59" s="290">
        <v>0</v>
      </c>
      <c r="BN59" s="290">
        <v>20</v>
      </c>
      <c r="BO59" s="290">
        <v>-7</v>
      </c>
      <c r="BP59" s="290">
        <v>110</v>
      </c>
      <c r="BQ59" s="290">
        <v>219</v>
      </c>
      <c r="BR59" s="290">
        <v>166</v>
      </c>
      <c r="BS59" s="290">
        <v>31</v>
      </c>
      <c r="BT59" s="290">
        <v>0</v>
      </c>
      <c r="BU59" s="290">
        <v>0</v>
      </c>
      <c r="BV59" s="290">
        <v>18</v>
      </c>
      <c r="BW59" s="290">
        <v>0</v>
      </c>
      <c r="BX59" s="290">
        <v>0</v>
      </c>
      <c r="BY59" s="290">
        <v>156</v>
      </c>
      <c r="BZ59" s="290">
        <v>0</v>
      </c>
      <c r="CA59" s="290">
        <v>475.2</v>
      </c>
      <c r="CB59" s="290">
        <v>24</v>
      </c>
      <c r="CC59" s="290">
        <v>0</v>
      </c>
      <c r="CD59" s="290">
        <v>0</v>
      </c>
      <c r="CE59" s="290">
        <v>32609.32</v>
      </c>
      <c r="CF59" s="290">
        <v>0</v>
      </c>
      <c r="CG59" s="290">
        <v>0</v>
      </c>
      <c r="CH59" s="290">
        <v>0</v>
      </c>
      <c r="CI59" s="290">
        <v>0</v>
      </c>
      <c r="CJ59" s="290"/>
    </row>
    <row r="60" spans="1:88" ht="13">
      <c r="A60" s="1">
        <v>1816</v>
      </c>
      <c r="B60" s="2" t="s">
        <v>180</v>
      </c>
      <c r="C60" s="289">
        <v>465</v>
      </c>
      <c r="D60" s="290">
        <v>7</v>
      </c>
      <c r="E60" s="290">
        <v>16</v>
      </c>
      <c r="F60" s="290">
        <v>45</v>
      </c>
      <c r="G60" s="290">
        <v>40</v>
      </c>
      <c r="H60" s="290">
        <v>238</v>
      </c>
      <c r="I60" s="290">
        <v>88</v>
      </c>
      <c r="J60" s="290">
        <v>24</v>
      </c>
      <c r="K60" s="290">
        <v>5</v>
      </c>
      <c r="L60" s="290">
        <v>4</v>
      </c>
      <c r="M60" s="290">
        <v>54</v>
      </c>
      <c r="N60" s="290">
        <v>1.5</v>
      </c>
      <c r="O60" s="290">
        <v>6</v>
      </c>
      <c r="P60" s="624">
        <v>3349.77266667</v>
      </c>
      <c r="Q60" s="624">
        <v>5475.3913333299997</v>
      </c>
      <c r="R60" s="1039">
        <v>1</v>
      </c>
      <c r="S60" s="290">
        <v>0</v>
      </c>
      <c r="T60" s="290">
        <v>51</v>
      </c>
      <c r="U60" s="958">
        <v>8.1892476491611597E-4</v>
      </c>
      <c r="V60" s="290">
        <v>410.53347681000002</v>
      </c>
      <c r="W60" s="765">
        <v>1</v>
      </c>
      <c r="X60" s="290">
        <v>0</v>
      </c>
      <c r="Y60" s="290"/>
      <c r="Z60" s="290">
        <v>11123.403</v>
      </c>
      <c r="AA60" s="290">
        <v>0</v>
      </c>
      <c r="AB60" s="290">
        <v>10</v>
      </c>
      <c r="AC60" s="290">
        <v>34</v>
      </c>
      <c r="AD60" s="290">
        <v>27</v>
      </c>
      <c r="AE60" s="290">
        <v>0</v>
      </c>
      <c r="AF60" s="290">
        <v>0</v>
      </c>
      <c r="AG60" s="290">
        <v>463</v>
      </c>
      <c r="AH60" s="290">
        <v>100</v>
      </c>
      <c r="AI60" s="290">
        <v>0</v>
      </c>
      <c r="AJ60" s="290">
        <v>0</v>
      </c>
      <c r="AK60" s="290">
        <v>0</v>
      </c>
      <c r="AL60" s="290">
        <v>860</v>
      </c>
      <c r="AM60" s="957">
        <v>2.8461799999999998E-3</v>
      </c>
      <c r="AN60" s="290">
        <v>0</v>
      </c>
      <c r="AO60" s="290">
        <v>-205.48696132000001</v>
      </c>
      <c r="AP60" s="290">
        <v>0</v>
      </c>
      <c r="AQ60" s="290">
        <v>0</v>
      </c>
      <c r="AR60" s="290">
        <v>845.66900951000002</v>
      </c>
      <c r="AS60" s="290">
        <v>60.308</v>
      </c>
      <c r="AT60" s="290">
        <v>15</v>
      </c>
      <c r="AU60" s="290">
        <v>1.5</v>
      </c>
      <c r="AV60" s="766">
        <v>40700</v>
      </c>
      <c r="AW60" s="290">
        <v>0</v>
      </c>
      <c r="AX60" s="766">
        <v>1.5417000000000001</v>
      </c>
      <c r="AY60" s="290">
        <v>72</v>
      </c>
      <c r="AZ60" s="290">
        <v>27</v>
      </c>
      <c r="BA60" s="290">
        <v>10</v>
      </c>
      <c r="BB60" s="290">
        <v>6034</v>
      </c>
      <c r="BC60" s="290">
        <v>1483.742804</v>
      </c>
      <c r="BD60" s="290"/>
      <c r="BE60" s="290">
        <v>38116.422990719999</v>
      </c>
      <c r="BF60" s="290">
        <v>0</v>
      </c>
      <c r="BG60" s="290">
        <v>379</v>
      </c>
      <c r="BH60" s="290">
        <v>500</v>
      </c>
      <c r="BI60" s="290">
        <v>161</v>
      </c>
      <c r="BJ60" s="290">
        <v>6</v>
      </c>
      <c r="BK60" s="290">
        <v>13</v>
      </c>
      <c r="BL60" s="290">
        <v>0</v>
      </c>
      <c r="BM60" s="290">
        <v>0</v>
      </c>
      <c r="BN60" s="290">
        <v>8</v>
      </c>
      <c r="BO60" s="290">
        <v>-3</v>
      </c>
      <c r="BP60" s="290">
        <v>43</v>
      </c>
      <c r="BQ60" s="290">
        <v>86</v>
      </c>
      <c r="BR60" s="290">
        <v>65</v>
      </c>
      <c r="BS60" s="290">
        <v>20</v>
      </c>
      <c r="BT60" s="290">
        <v>0</v>
      </c>
      <c r="BU60" s="290">
        <v>0</v>
      </c>
      <c r="BV60" s="290">
        <v>8</v>
      </c>
      <c r="BW60" s="290">
        <v>0</v>
      </c>
      <c r="BX60" s="290">
        <v>0</v>
      </c>
      <c r="BY60" s="290">
        <v>60</v>
      </c>
      <c r="BZ60" s="290">
        <v>0</v>
      </c>
      <c r="CA60" s="290">
        <v>39.249000000000002</v>
      </c>
      <c r="CB60" s="290">
        <v>18</v>
      </c>
      <c r="CC60" s="290">
        <v>0</v>
      </c>
      <c r="CD60" s="290">
        <v>0</v>
      </c>
      <c r="CE60" s="290">
        <v>11123.403</v>
      </c>
      <c r="CF60" s="290">
        <v>0</v>
      </c>
      <c r="CG60" s="290">
        <v>0</v>
      </c>
      <c r="CH60" s="290">
        <v>0</v>
      </c>
      <c r="CI60" s="290">
        <v>0</v>
      </c>
      <c r="CJ60" s="290"/>
    </row>
    <row r="61" spans="1:88" ht="13">
      <c r="A61" s="1">
        <v>1818</v>
      </c>
      <c r="B61" s="2" t="s">
        <v>87</v>
      </c>
      <c r="C61" s="289">
        <v>1793</v>
      </c>
      <c r="D61" s="290">
        <v>40</v>
      </c>
      <c r="E61" s="290">
        <v>86</v>
      </c>
      <c r="F61" s="290">
        <v>201</v>
      </c>
      <c r="G61" s="290">
        <v>107</v>
      </c>
      <c r="H61" s="290">
        <v>991</v>
      </c>
      <c r="I61" s="290">
        <v>276</v>
      </c>
      <c r="J61" s="290">
        <v>72</v>
      </c>
      <c r="K61" s="290">
        <v>16</v>
      </c>
      <c r="L61" s="290">
        <v>16</v>
      </c>
      <c r="M61" s="290">
        <v>190</v>
      </c>
      <c r="N61" s="290">
        <v>20</v>
      </c>
      <c r="O61" s="290">
        <v>41</v>
      </c>
      <c r="P61" s="624">
        <v>8632.4519999999993</v>
      </c>
      <c r="Q61" s="624">
        <v>4265.4266666699996</v>
      </c>
      <c r="R61" s="1039">
        <v>7</v>
      </c>
      <c r="S61" s="290">
        <v>0</v>
      </c>
      <c r="T61" s="290">
        <v>162</v>
      </c>
      <c r="U61" s="958">
        <v>7.0481148102680461E-4</v>
      </c>
      <c r="V61" s="290">
        <v>1120.9537658500001</v>
      </c>
      <c r="W61" s="765">
        <v>1</v>
      </c>
      <c r="X61" s="290">
        <v>0</v>
      </c>
      <c r="Y61" s="290"/>
      <c r="Z61" s="290">
        <v>58994.758999999998</v>
      </c>
      <c r="AA61" s="290">
        <v>0</v>
      </c>
      <c r="AB61" s="290">
        <v>49</v>
      </c>
      <c r="AC61" s="290">
        <v>100</v>
      </c>
      <c r="AD61" s="290">
        <v>50</v>
      </c>
      <c r="AE61" s="290">
        <v>0</v>
      </c>
      <c r="AF61" s="290">
        <v>0</v>
      </c>
      <c r="AG61" s="290">
        <v>1789</v>
      </c>
      <c r="AH61" s="290">
        <v>298</v>
      </c>
      <c r="AI61" s="290">
        <v>0</v>
      </c>
      <c r="AJ61" s="290">
        <v>0</v>
      </c>
      <c r="AK61" s="290">
        <v>0</v>
      </c>
      <c r="AL61" s="290">
        <v>3307</v>
      </c>
      <c r="AM61" s="957">
        <v>4.3090459999999997E-2</v>
      </c>
      <c r="AN61" s="290">
        <v>0</v>
      </c>
      <c r="AO61" s="290">
        <v>-561.07819735999999</v>
      </c>
      <c r="AP61" s="290">
        <v>0</v>
      </c>
      <c r="AQ61" s="290">
        <v>0</v>
      </c>
      <c r="AR61" s="290">
        <v>-67.564252780000004</v>
      </c>
      <c r="AS61" s="290">
        <v>155.61000000000001</v>
      </c>
      <c r="AT61" s="290">
        <v>58</v>
      </c>
      <c r="AU61" s="290">
        <v>23</v>
      </c>
      <c r="AV61" s="766">
        <v>79995</v>
      </c>
      <c r="AW61" s="290">
        <v>0</v>
      </c>
      <c r="AX61" s="766">
        <v>17.416699999999999</v>
      </c>
      <c r="AY61" s="290">
        <v>254</v>
      </c>
      <c r="AZ61" s="290">
        <v>102</v>
      </c>
      <c r="BA61" s="290">
        <v>35</v>
      </c>
      <c r="BB61" s="290">
        <v>6034</v>
      </c>
      <c r="BC61" s="290">
        <v>3221.2966768400001</v>
      </c>
      <c r="BD61" s="290"/>
      <c r="BE61" s="290">
        <v>78040.963044000004</v>
      </c>
      <c r="BF61" s="290">
        <v>0</v>
      </c>
      <c r="BG61" s="290">
        <v>1464</v>
      </c>
      <c r="BH61" s="290">
        <v>500</v>
      </c>
      <c r="BI61" s="290">
        <v>448</v>
      </c>
      <c r="BJ61" s="290">
        <v>21</v>
      </c>
      <c r="BK61" s="290">
        <v>75</v>
      </c>
      <c r="BL61" s="290">
        <v>0</v>
      </c>
      <c r="BM61" s="290">
        <v>0</v>
      </c>
      <c r="BN61" s="290">
        <v>47</v>
      </c>
      <c r="BO61" s="290">
        <v>-15</v>
      </c>
      <c r="BP61" s="290">
        <v>166</v>
      </c>
      <c r="BQ61" s="290">
        <v>333</v>
      </c>
      <c r="BR61" s="290">
        <v>252</v>
      </c>
      <c r="BS61" s="290">
        <v>38</v>
      </c>
      <c r="BT61" s="290">
        <v>0</v>
      </c>
      <c r="BU61" s="290">
        <v>0</v>
      </c>
      <c r="BV61" s="290">
        <v>43</v>
      </c>
      <c r="BW61" s="290">
        <v>0</v>
      </c>
      <c r="BX61" s="290">
        <v>0</v>
      </c>
      <c r="BY61" s="290">
        <v>201</v>
      </c>
      <c r="BZ61" s="290">
        <v>0</v>
      </c>
      <c r="CA61" s="290">
        <v>107.17</v>
      </c>
      <c r="CB61" s="290">
        <v>29</v>
      </c>
      <c r="CC61" s="290">
        <v>0</v>
      </c>
      <c r="CD61" s="290">
        <v>0</v>
      </c>
      <c r="CE61" s="290">
        <v>58994.758999999998</v>
      </c>
      <c r="CF61" s="290">
        <v>0</v>
      </c>
      <c r="CG61" s="290">
        <v>0</v>
      </c>
      <c r="CH61" s="290">
        <v>0</v>
      </c>
      <c r="CI61" s="290">
        <v>0</v>
      </c>
      <c r="CJ61" s="290"/>
    </row>
    <row r="62" spans="1:88" ht="13">
      <c r="A62" s="1">
        <v>1820</v>
      </c>
      <c r="B62" s="2" t="s">
        <v>181</v>
      </c>
      <c r="C62" s="289">
        <v>7394</v>
      </c>
      <c r="D62" s="290">
        <v>141</v>
      </c>
      <c r="E62" s="290">
        <v>295</v>
      </c>
      <c r="F62" s="290">
        <v>830</v>
      </c>
      <c r="G62" s="290">
        <v>679</v>
      </c>
      <c r="H62" s="290">
        <v>4123</v>
      </c>
      <c r="I62" s="290">
        <v>1013</v>
      </c>
      <c r="J62" s="290">
        <v>310</v>
      </c>
      <c r="K62" s="290">
        <v>58</v>
      </c>
      <c r="L62" s="290">
        <v>57</v>
      </c>
      <c r="M62" s="290">
        <v>590</v>
      </c>
      <c r="N62" s="290">
        <v>184</v>
      </c>
      <c r="O62" s="290">
        <v>84</v>
      </c>
      <c r="P62" s="624">
        <v>42415.365333330003</v>
      </c>
      <c r="Q62" s="624">
        <v>13568.28833333</v>
      </c>
      <c r="R62" s="1039">
        <v>42</v>
      </c>
      <c r="S62" s="290">
        <v>0</v>
      </c>
      <c r="T62" s="290">
        <v>643</v>
      </c>
      <c r="U62" s="958">
        <v>1.7372983137484937E-3</v>
      </c>
      <c r="V62" s="290">
        <v>3921.3497240800002</v>
      </c>
      <c r="W62" s="765">
        <v>0.60508191</v>
      </c>
      <c r="X62" s="290">
        <v>0</v>
      </c>
      <c r="Y62" s="290"/>
      <c r="Z62" s="290">
        <v>218618.37599999999</v>
      </c>
      <c r="AA62" s="290">
        <v>0</v>
      </c>
      <c r="AB62" s="290">
        <v>215</v>
      </c>
      <c r="AC62" s="290">
        <v>360</v>
      </c>
      <c r="AD62" s="290">
        <v>149</v>
      </c>
      <c r="AE62" s="290">
        <v>0</v>
      </c>
      <c r="AF62" s="290">
        <v>0</v>
      </c>
      <c r="AG62" s="290">
        <v>7449</v>
      </c>
      <c r="AH62" s="290">
        <v>1226</v>
      </c>
      <c r="AI62" s="290">
        <v>2920</v>
      </c>
      <c r="AJ62" s="290">
        <v>0</v>
      </c>
      <c r="AK62" s="290">
        <v>0</v>
      </c>
      <c r="AL62" s="290">
        <v>13859</v>
      </c>
      <c r="AM62" s="957">
        <v>0.1351552</v>
      </c>
      <c r="AN62" s="290">
        <v>0</v>
      </c>
      <c r="AO62" s="290">
        <v>-1962.77839589</v>
      </c>
      <c r="AP62" s="290">
        <v>0</v>
      </c>
      <c r="AQ62" s="290">
        <v>0</v>
      </c>
      <c r="AR62" s="290">
        <v>-281.32259305000002</v>
      </c>
      <c r="AS62" s="290">
        <v>568.17949999999996</v>
      </c>
      <c r="AT62" s="290">
        <v>313</v>
      </c>
      <c r="AU62" s="290">
        <v>77</v>
      </c>
      <c r="AV62" s="766">
        <v>226252</v>
      </c>
      <c r="AW62" s="290">
        <v>0</v>
      </c>
      <c r="AX62" s="766">
        <v>44.374949999999998</v>
      </c>
      <c r="AY62" s="290">
        <v>1688</v>
      </c>
      <c r="AZ62" s="290">
        <v>311</v>
      </c>
      <c r="BA62" s="290">
        <v>184</v>
      </c>
      <c r="BB62" s="290">
        <v>0</v>
      </c>
      <c r="BC62" s="290">
        <v>10491.8702572</v>
      </c>
      <c r="BD62" s="290"/>
      <c r="BE62" s="290">
        <v>216780.85285436999</v>
      </c>
      <c r="BF62" s="290">
        <v>0</v>
      </c>
      <c r="BG62" s="290">
        <v>6098</v>
      </c>
      <c r="BH62" s="290">
        <v>1000</v>
      </c>
      <c r="BI62" s="290">
        <v>1735</v>
      </c>
      <c r="BJ62" s="290">
        <v>85</v>
      </c>
      <c r="BK62" s="290">
        <v>264</v>
      </c>
      <c r="BL62" s="290">
        <v>0</v>
      </c>
      <c r="BM62" s="290">
        <v>0</v>
      </c>
      <c r="BN62" s="290">
        <v>165</v>
      </c>
      <c r="BO62" s="290">
        <v>-64</v>
      </c>
      <c r="BP62" s="290">
        <v>686</v>
      </c>
      <c r="BQ62" s="290">
        <v>1371</v>
      </c>
      <c r="BR62" s="290">
        <v>1038</v>
      </c>
      <c r="BS62" s="290">
        <v>112</v>
      </c>
      <c r="BT62" s="290">
        <v>0</v>
      </c>
      <c r="BU62" s="290">
        <v>0</v>
      </c>
      <c r="BV62" s="290">
        <v>152</v>
      </c>
      <c r="BW62" s="290">
        <v>0</v>
      </c>
      <c r="BX62" s="290">
        <v>0</v>
      </c>
      <c r="BY62" s="290">
        <v>818</v>
      </c>
      <c r="BZ62" s="290">
        <v>2178</v>
      </c>
      <c r="CA62" s="290">
        <v>2313.5</v>
      </c>
      <c r="CB62" s="290">
        <v>72</v>
      </c>
      <c r="CC62" s="290">
        <v>0</v>
      </c>
      <c r="CD62" s="290">
        <v>0</v>
      </c>
      <c r="CE62" s="290">
        <v>218618.37599999999</v>
      </c>
      <c r="CF62" s="290">
        <v>0</v>
      </c>
      <c r="CG62" s="290">
        <v>0</v>
      </c>
      <c r="CH62" s="290">
        <v>0</v>
      </c>
      <c r="CI62" s="290">
        <v>0</v>
      </c>
      <c r="CJ62" s="290"/>
    </row>
    <row r="63" spans="1:88" ht="13">
      <c r="A63" s="1">
        <v>1822</v>
      </c>
      <c r="B63" s="2" t="s">
        <v>182</v>
      </c>
      <c r="C63" s="289">
        <v>2278</v>
      </c>
      <c r="D63" s="290">
        <v>54</v>
      </c>
      <c r="E63" s="290">
        <v>137</v>
      </c>
      <c r="F63" s="290">
        <v>286</v>
      </c>
      <c r="G63" s="290">
        <v>156</v>
      </c>
      <c r="H63" s="290">
        <v>1247</v>
      </c>
      <c r="I63" s="290">
        <v>291</v>
      </c>
      <c r="J63" s="290">
        <v>93</v>
      </c>
      <c r="K63" s="290">
        <v>34</v>
      </c>
      <c r="L63" s="290">
        <v>16</v>
      </c>
      <c r="M63" s="290">
        <v>209</v>
      </c>
      <c r="N63" s="290">
        <v>57</v>
      </c>
      <c r="O63" s="290">
        <v>57</v>
      </c>
      <c r="P63" s="624">
        <v>17878.40633333</v>
      </c>
      <c r="Q63" s="624">
        <v>9288.9590000000007</v>
      </c>
      <c r="R63" s="1039">
        <v>10</v>
      </c>
      <c r="S63" s="290">
        <v>0</v>
      </c>
      <c r="T63" s="290">
        <v>177</v>
      </c>
      <c r="U63" s="958">
        <v>1.8684095707499041E-3</v>
      </c>
      <c r="V63" s="290">
        <v>1471.65795041</v>
      </c>
      <c r="W63" s="765">
        <v>0.84236741000000004</v>
      </c>
      <c r="X63" s="290">
        <v>0</v>
      </c>
      <c r="Y63" s="290"/>
      <c r="Z63" s="290">
        <v>56398.642999999996</v>
      </c>
      <c r="AA63" s="290">
        <v>0</v>
      </c>
      <c r="AB63" s="290">
        <v>66</v>
      </c>
      <c r="AC63" s="290">
        <v>139</v>
      </c>
      <c r="AD63" s="290">
        <v>59</v>
      </c>
      <c r="AE63" s="290">
        <v>0</v>
      </c>
      <c r="AF63" s="290">
        <v>0</v>
      </c>
      <c r="AG63" s="290">
        <v>2298</v>
      </c>
      <c r="AH63" s="290">
        <v>431</v>
      </c>
      <c r="AI63" s="290">
        <v>200</v>
      </c>
      <c r="AJ63" s="290">
        <v>0</v>
      </c>
      <c r="AK63" s="290">
        <v>0</v>
      </c>
      <c r="AL63" s="290">
        <v>4269</v>
      </c>
      <c r="AM63" s="957">
        <v>5.1790460000000003E-2</v>
      </c>
      <c r="AN63" s="290">
        <v>0</v>
      </c>
      <c r="AO63" s="290">
        <v>-736.61841826</v>
      </c>
      <c r="AP63" s="290">
        <v>0</v>
      </c>
      <c r="AQ63" s="290">
        <v>0</v>
      </c>
      <c r="AR63" s="290">
        <v>-86.787396810000004</v>
      </c>
      <c r="AS63" s="290">
        <v>187.62950000000001</v>
      </c>
      <c r="AT63" s="290">
        <v>96</v>
      </c>
      <c r="AU63" s="290">
        <v>17</v>
      </c>
      <c r="AV63" s="766">
        <v>102977</v>
      </c>
      <c r="AW63" s="290">
        <v>0</v>
      </c>
      <c r="AX63" s="766">
        <v>19.416699999999999</v>
      </c>
      <c r="AY63" s="290">
        <v>410</v>
      </c>
      <c r="AZ63" s="290">
        <v>167</v>
      </c>
      <c r="BA63" s="290">
        <v>48</v>
      </c>
      <c r="BB63" s="290">
        <v>6034</v>
      </c>
      <c r="BC63" s="290">
        <v>4108.0811293400002</v>
      </c>
      <c r="BD63" s="290"/>
      <c r="BE63" s="290">
        <v>102137.70068499001</v>
      </c>
      <c r="BF63" s="290">
        <v>0</v>
      </c>
      <c r="BG63" s="290">
        <v>1881</v>
      </c>
      <c r="BH63" s="290">
        <v>500</v>
      </c>
      <c r="BI63" s="290">
        <v>629</v>
      </c>
      <c r="BJ63" s="290">
        <v>27</v>
      </c>
      <c r="BK63" s="290">
        <v>115</v>
      </c>
      <c r="BL63" s="290">
        <v>0</v>
      </c>
      <c r="BM63" s="290">
        <v>0</v>
      </c>
      <c r="BN63" s="290">
        <v>72</v>
      </c>
      <c r="BO63" s="290">
        <v>-19</v>
      </c>
      <c r="BP63" s="290">
        <v>211</v>
      </c>
      <c r="BQ63" s="290">
        <v>423</v>
      </c>
      <c r="BR63" s="290">
        <v>320</v>
      </c>
      <c r="BS63" s="290">
        <v>44</v>
      </c>
      <c r="BT63" s="290">
        <v>0</v>
      </c>
      <c r="BU63" s="290">
        <v>0</v>
      </c>
      <c r="BV63" s="290">
        <v>66</v>
      </c>
      <c r="BW63" s="290">
        <v>0</v>
      </c>
      <c r="BX63" s="290">
        <v>0</v>
      </c>
      <c r="BY63" s="290">
        <v>245</v>
      </c>
      <c r="BZ63" s="290">
        <v>0</v>
      </c>
      <c r="CA63" s="290">
        <v>140.69900000000001</v>
      </c>
      <c r="CB63" s="290">
        <v>31</v>
      </c>
      <c r="CC63" s="290">
        <v>0</v>
      </c>
      <c r="CD63" s="290">
        <v>0</v>
      </c>
      <c r="CE63" s="290">
        <v>56398.642999999996</v>
      </c>
      <c r="CF63" s="290">
        <v>0</v>
      </c>
      <c r="CG63" s="290">
        <v>0</v>
      </c>
      <c r="CH63" s="290">
        <v>0</v>
      </c>
      <c r="CI63" s="290">
        <v>0</v>
      </c>
      <c r="CJ63" s="290"/>
    </row>
    <row r="64" spans="1:88" ht="13">
      <c r="A64" s="1">
        <v>1824</v>
      </c>
      <c r="B64" s="2" t="s">
        <v>183</v>
      </c>
      <c r="C64" s="289">
        <v>13268</v>
      </c>
      <c r="D64" s="290">
        <v>250</v>
      </c>
      <c r="E64" s="290">
        <v>502</v>
      </c>
      <c r="F64" s="290">
        <v>1461</v>
      </c>
      <c r="G64" s="290">
        <v>1130</v>
      </c>
      <c r="H64" s="290">
        <v>7376</v>
      </c>
      <c r="I64" s="290">
        <v>1766</v>
      </c>
      <c r="J64" s="290">
        <v>636</v>
      </c>
      <c r="K64" s="290">
        <v>155</v>
      </c>
      <c r="L64" s="290">
        <v>103</v>
      </c>
      <c r="M64" s="290">
        <v>1178</v>
      </c>
      <c r="N64" s="290">
        <v>161</v>
      </c>
      <c r="O64" s="290">
        <v>77</v>
      </c>
      <c r="P64" s="624">
        <v>51660.036</v>
      </c>
      <c r="Q64" s="624">
        <v>27014.753000000001</v>
      </c>
      <c r="R64" s="1039">
        <v>76</v>
      </c>
      <c r="S64" s="290">
        <v>0</v>
      </c>
      <c r="T64" s="290">
        <v>1233</v>
      </c>
      <c r="U64" s="958">
        <v>2.7694107281411198E-3</v>
      </c>
      <c r="V64" s="290">
        <v>7026.9293846099999</v>
      </c>
      <c r="W64" s="765">
        <v>0.59436164999999996</v>
      </c>
      <c r="X64" s="290">
        <v>0</v>
      </c>
      <c r="Y64" s="290"/>
      <c r="Z64" s="290">
        <v>396161.47399999999</v>
      </c>
      <c r="AA64" s="290">
        <v>0</v>
      </c>
      <c r="AB64" s="290">
        <v>436</v>
      </c>
      <c r="AC64" s="290">
        <v>614</v>
      </c>
      <c r="AD64" s="290">
        <v>257</v>
      </c>
      <c r="AE64" s="290">
        <v>0</v>
      </c>
      <c r="AF64" s="290">
        <v>0</v>
      </c>
      <c r="AG64" s="290">
        <v>13276</v>
      </c>
      <c r="AH64" s="290">
        <v>2142</v>
      </c>
      <c r="AI64" s="290">
        <v>1460</v>
      </c>
      <c r="AJ64" s="290">
        <v>0</v>
      </c>
      <c r="AK64" s="290">
        <v>6931</v>
      </c>
      <c r="AL64" s="290">
        <v>24710</v>
      </c>
      <c r="AM64" s="957">
        <v>0.13044405000000001</v>
      </c>
      <c r="AN64" s="290">
        <v>0</v>
      </c>
      <c r="AO64" s="290">
        <v>-3517.2341556000001</v>
      </c>
      <c r="AP64" s="290">
        <v>0</v>
      </c>
      <c r="AQ64" s="290">
        <v>0</v>
      </c>
      <c r="AR64" s="290">
        <v>-501.38793735000002</v>
      </c>
      <c r="AS64" s="290">
        <v>947.05449999999996</v>
      </c>
      <c r="AT64" s="290">
        <v>683</v>
      </c>
      <c r="AU64" s="290">
        <v>92</v>
      </c>
      <c r="AV64" s="766">
        <v>415458</v>
      </c>
      <c r="AW64" s="290">
        <v>0</v>
      </c>
      <c r="AX64" s="766">
        <v>117.58335</v>
      </c>
      <c r="AY64" s="290">
        <v>2617</v>
      </c>
      <c r="AZ64" s="290">
        <v>366</v>
      </c>
      <c r="BA64" s="290">
        <v>288</v>
      </c>
      <c r="BB64" s="290">
        <v>0</v>
      </c>
      <c r="BC64" s="290">
        <v>23468.189056700001</v>
      </c>
      <c r="BD64" s="290"/>
      <c r="BE64" s="290">
        <v>397457.73548166</v>
      </c>
      <c r="BF64" s="290">
        <v>0</v>
      </c>
      <c r="BG64" s="290">
        <v>10868</v>
      </c>
      <c r="BH64" s="290">
        <v>1000</v>
      </c>
      <c r="BI64" s="290">
        <v>9944</v>
      </c>
      <c r="BJ64" s="290">
        <v>154</v>
      </c>
      <c r="BK64" s="290">
        <v>468</v>
      </c>
      <c r="BL64" s="290">
        <v>0</v>
      </c>
      <c r="BM64" s="290">
        <v>0</v>
      </c>
      <c r="BN64" s="290">
        <v>293</v>
      </c>
      <c r="BO64" s="290">
        <v>-106</v>
      </c>
      <c r="BP64" s="290">
        <v>1230</v>
      </c>
      <c r="BQ64" s="290">
        <v>2461</v>
      </c>
      <c r="BR64" s="290">
        <v>1863</v>
      </c>
      <c r="BS64" s="290">
        <v>193</v>
      </c>
      <c r="BT64" s="290">
        <v>0</v>
      </c>
      <c r="BU64" s="290">
        <v>0</v>
      </c>
      <c r="BV64" s="290">
        <v>269</v>
      </c>
      <c r="BW64" s="290">
        <v>0</v>
      </c>
      <c r="BX64" s="290">
        <v>0</v>
      </c>
      <c r="BY64" s="290">
        <v>1470</v>
      </c>
      <c r="BZ64" s="290">
        <v>2970.33</v>
      </c>
      <c r="CA64" s="290">
        <v>2244.27</v>
      </c>
      <c r="CB64" s="290">
        <v>122</v>
      </c>
      <c r="CC64" s="290">
        <v>1</v>
      </c>
      <c r="CD64" s="290">
        <v>0</v>
      </c>
      <c r="CE64" s="290">
        <v>396161.47399999999</v>
      </c>
      <c r="CF64" s="290">
        <v>8091.9664279813878</v>
      </c>
      <c r="CG64" s="290">
        <v>9065.0748295148296</v>
      </c>
      <c r="CH64" s="290">
        <v>10007.179748604285</v>
      </c>
      <c r="CI64" s="290">
        <v>10926.045970300627</v>
      </c>
      <c r="CJ64" s="290"/>
    </row>
    <row r="65" spans="1:88" ht="13">
      <c r="A65" s="1">
        <v>1825</v>
      </c>
      <c r="B65" s="2" t="s">
        <v>184</v>
      </c>
      <c r="C65" s="289">
        <v>1453</v>
      </c>
      <c r="D65" s="290">
        <v>32</v>
      </c>
      <c r="E65" s="290">
        <v>43</v>
      </c>
      <c r="F65" s="290">
        <v>169</v>
      </c>
      <c r="G65" s="290">
        <v>144</v>
      </c>
      <c r="H65" s="290">
        <v>759</v>
      </c>
      <c r="I65" s="290">
        <v>232</v>
      </c>
      <c r="J65" s="290">
        <v>92</v>
      </c>
      <c r="K65" s="290">
        <v>17</v>
      </c>
      <c r="L65" s="290">
        <v>11</v>
      </c>
      <c r="M65" s="290">
        <v>149</v>
      </c>
      <c r="N65" s="290">
        <v>3</v>
      </c>
      <c r="O65" s="290">
        <v>15</v>
      </c>
      <c r="P65" s="624">
        <v>10983.935333330001</v>
      </c>
      <c r="Q65" s="624">
        <v>8115.4146666699999</v>
      </c>
      <c r="R65" s="1039">
        <v>8</v>
      </c>
      <c r="S65" s="290">
        <v>0</v>
      </c>
      <c r="T65" s="290">
        <v>121</v>
      </c>
      <c r="U65" s="958">
        <v>1.1624102450368623E-3</v>
      </c>
      <c r="V65" s="290">
        <v>970.46861424999997</v>
      </c>
      <c r="W65" s="765">
        <v>1</v>
      </c>
      <c r="X65" s="290">
        <v>0</v>
      </c>
      <c r="Y65" s="290"/>
      <c r="Z65" s="290">
        <v>38988.620999999999</v>
      </c>
      <c r="AA65" s="290">
        <v>0</v>
      </c>
      <c r="AB65" s="290">
        <v>40</v>
      </c>
      <c r="AC65" s="290">
        <v>87</v>
      </c>
      <c r="AD65" s="290">
        <v>48</v>
      </c>
      <c r="AE65" s="290">
        <v>0</v>
      </c>
      <c r="AF65" s="290">
        <v>0</v>
      </c>
      <c r="AG65" s="290">
        <v>1488</v>
      </c>
      <c r="AH65" s="290">
        <v>239</v>
      </c>
      <c r="AI65" s="290">
        <v>750</v>
      </c>
      <c r="AJ65" s="290">
        <v>0</v>
      </c>
      <c r="AK65" s="290">
        <v>0</v>
      </c>
      <c r="AL65" s="290">
        <v>2758</v>
      </c>
      <c r="AM65" s="957">
        <v>6.6930000000000002E-3</v>
      </c>
      <c r="AN65" s="290">
        <v>0</v>
      </c>
      <c r="AO65" s="290">
        <v>-485.75489664999998</v>
      </c>
      <c r="AP65" s="290">
        <v>0</v>
      </c>
      <c r="AQ65" s="290">
        <v>0</v>
      </c>
      <c r="AR65" s="290">
        <v>-56.196538930000003</v>
      </c>
      <c r="AS65" s="290">
        <v>131.76050000000001</v>
      </c>
      <c r="AT65" s="290">
        <v>70</v>
      </c>
      <c r="AU65" s="290">
        <v>6</v>
      </c>
      <c r="AV65" s="766">
        <v>73414</v>
      </c>
      <c r="AW65" s="290">
        <v>0</v>
      </c>
      <c r="AX65" s="766">
        <v>15.666700000000001</v>
      </c>
      <c r="AY65" s="290">
        <v>194</v>
      </c>
      <c r="AZ65" s="290">
        <v>35</v>
      </c>
      <c r="BA65" s="290">
        <v>29</v>
      </c>
      <c r="BB65" s="290">
        <v>6034</v>
      </c>
      <c r="BC65" s="290">
        <v>2776.2207733199998</v>
      </c>
      <c r="BD65" s="290"/>
      <c r="BE65" s="290">
        <v>70174.961392440004</v>
      </c>
      <c r="BF65" s="290">
        <v>0</v>
      </c>
      <c r="BG65" s="290">
        <v>1218</v>
      </c>
      <c r="BH65" s="290">
        <v>500</v>
      </c>
      <c r="BI65" s="290">
        <v>374</v>
      </c>
      <c r="BJ65" s="290">
        <v>17</v>
      </c>
      <c r="BK65" s="290">
        <v>43</v>
      </c>
      <c r="BL65" s="290">
        <v>0</v>
      </c>
      <c r="BM65" s="290">
        <v>0</v>
      </c>
      <c r="BN65" s="290">
        <v>27</v>
      </c>
      <c r="BO65" s="290">
        <v>-10</v>
      </c>
      <c r="BP65" s="290">
        <v>135</v>
      </c>
      <c r="BQ65" s="290">
        <v>270</v>
      </c>
      <c r="BR65" s="290">
        <v>204</v>
      </c>
      <c r="BS65" s="290">
        <v>36</v>
      </c>
      <c r="BT65" s="290">
        <v>0</v>
      </c>
      <c r="BU65" s="290">
        <v>0</v>
      </c>
      <c r="BV65" s="290">
        <v>25</v>
      </c>
      <c r="BW65" s="290">
        <v>0</v>
      </c>
      <c r="BX65" s="290">
        <v>0</v>
      </c>
      <c r="BY65" s="290">
        <v>181</v>
      </c>
      <c r="BZ65" s="290">
        <v>0</v>
      </c>
      <c r="CA65" s="290">
        <v>578.1</v>
      </c>
      <c r="CB65" s="290">
        <v>27</v>
      </c>
      <c r="CC65" s="290">
        <v>0</v>
      </c>
      <c r="CD65" s="290">
        <v>0</v>
      </c>
      <c r="CE65" s="290">
        <v>38988.620999999999</v>
      </c>
      <c r="CF65" s="290">
        <v>0</v>
      </c>
      <c r="CG65" s="290">
        <v>0</v>
      </c>
      <c r="CH65" s="290">
        <v>0</v>
      </c>
      <c r="CI65" s="290">
        <v>0</v>
      </c>
      <c r="CJ65" s="290"/>
    </row>
    <row r="66" spans="1:88" ht="13">
      <c r="A66" s="1">
        <v>1826</v>
      </c>
      <c r="B66" s="2" t="s">
        <v>185</v>
      </c>
      <c r="C66" s="289">
        <v>1267</v>
      </c>
      <c r="D66" s="290">
        <v>11</v>
      </c>
      <c r="E66" s="290">
        <v>35</v>
      </c>
      <c r="F66" s="290">
        <v>142</v>
      </c>
      <c r="G66" s="290">
        <v>116</v>
      </c>
      <c r="H66" s="290">
        <v>649</v>
      </c>
      <c r="I66" s="290">
        <v>233</v>
      </c>
      <c r="J66" s="290">
        <v>85</v>
      </c>
      <c r="K66" s="290">
        <v>17</v>
      </c>
      <c r="L66" s="290">
        <v>11</v>
      </c>
      <c r="M66" s="290">
        <v>126</v>
      </c>
      <c r="N66" s="290">
        <v>14</v>
      </c>
      <c r="O66" s="290">
        <v>11</v>
      </c>
      <c r="P66" s="624">
        <v>14184.51133333</v>
      </c>
      <c r="Q66" s="624">
        <v>10076.008333330001</v>
      </c>
      <c r="R66" s="1039">
        <v>8</v>
      </c>
      <c r="S66" s="290">
        <v>0</v>
      </c>
      <c r="T66" s="290">
        <v>93</v>
      </c>
      <c r="U66" s="958">
        <v>2.1385960995308046E-3</v>
      </c>
      <c r="V66" s="290">
        <v>897.50540550999995</v>
      </c>
      <c r="W66" s="765">
        <v>1</v>
      </c>
      <c r="X66" s="290">
        <v>0</v>
      </c>
      <c r="Y66" s="290"/>
      <c r="Z66" s="290">
        <v>31786.625</v>
      </c>
      <c r="AA66" s="290">
        <v>916</v>
      </c>
      <c r="AB66" s="290">
        <v>27</v>
      </c>
      <c r="AC66" s="290">
        <v>77</v>
      </c>
      <c r="AD66" s="290">
        <v>46</v>
      </c>
      <c r="AE66" s="290">
        <v>0</v>
      </c>
      <c r="AF66" s="290">
        <v>0</v>
      </c>
      <c r="AG66" s="290">
        <v>1288</v>
      </c>
      <c r="AH66" s="290">
        <v>188</v>
      </c>
      <c r="AI66" s="290">
        <v>1000</v>
      </c>
      <c r="AJ66" s="290">
        <v>0</v>
      </c>
      <c r="AK66" s="290">
        <v>0</v>
      </c>
      <c r="AL66" s="290">
        <v>2414</v>
      </c>
      <c r="AM66" s="957">
        <v>1.540831E-2</v>
      </c>
      <c r="AN66" s="290">
        <v>0</v>
      </c>
      <c r="AO66" s="290">
        <v>-449.23415254999998</v>
      </c>
      <c r="AP66" s="290">
        <v>0</v>
      </c>
      <c r="AQ66" s="290">
        <v>0</v>
      </c>
      <c r="AR66" s="290">
        <v>1875.36701999</v>
      </c>
      <c r="AS66" s="290">
        <v>133.398</v>
      </c>
      <c r="AT66" s="290">
        <v>48</v>
      </c>
      <c r="AU66" s="290">
        <v>6</v>
      </c>
      <c r="AV66" s="766">
        <v>73204</v>
      </c>
      <c r="AW66" s="290">
        <v>0</v>
      </c>
      <c r="AX66" s="766">
        <v>5.6250499999999999</v>
      </c>
      <c r="AY66" s="290">
        <v>197</v>
      </c>
      <c r="AZ66" s="290">
        <v>90</v>
      </c>
      <c r="BA66" s="290">
        <v>21</v>
      </c>
      <c r="BB66" s="290">
        <v>6034</v>
      </c>
      <c r="BC66" s="290">
        <v>2610.6254053399998</v>
      </c>
      <c r="BD66" s="290"/>
      <c r="BE66" s="290">
        <v>67962.108204019998</v>
      </c>
      <c r="BF66" s="290">
        <v>0</v>
      </c>
      <c r="BG66" s="290">
        <v>1054</v>
      </c>
      <c r="BH66" s="290">
        <v>500</v>
      </c>
      <c r="BI66" s="290">
        <v>311</v>
      </c>
      <c r="BJ66" s="290">
        <v>16</v>
      </c>
      <c r="BK66" s="290">
        <v>31</v>
      </c>
      <c r="BL66" s="290">
        <v>0</v>
      </c>
      <c r="BM66" s="290">
        <v>0</v>
      </c>
      <c r="BN66" s="290">
        <v>20</v>
      </c>
      <c r="BO66" s="290">
        <v>-8</v>
      </c>
      <c r="BP66" s="290">
        <v>118</v>
      </c>
      <c r="BQ66" s="290">
        <v>235</v>
      </c>
      <c r="BR66" s="290">
        <v>178</v>
      </c>
      <c r="BS66" s="290">
        <v>35</v>
      </c>
      <c r="BT66" s="290">
        <v>0</v>
      </c>
      <c r="BU66" s="290">
        <v>0</v>
      </c>
      <c r="BV66" s="290">
        <v>18</v>
      </c>
      <c r="BW66" s="290">
        <v>0</v>
      </c>
      <c r="BX66" s="290">
        <v>0</v>
      </c>
      <c r="BY66" s="290">
        <v>174</v>
      </c>
      <c r="BZ66" s="290">
        <v>0</v>
      </c>
      <c r="CA66" s="290">
        <v>620.9</v>
      </c>
      <c r="CB66" s="290">
        <v>25</v>
      </c>
      <c r="CC66" s="290">
        <v>0</v>
      </c>
      <c r="CD66" s="290">
        <v>0</v>
      </c>
      <c r="CE66" s="290">
        <v>31786.625</v>
      </c>
      <c r="CF66" s="290">
        <v>0</v>
      </c>
      <c r="CG66" s="290">
        <v>0</v>
      </c>
      <c r="CH66" s="290">
        <v>0</v>
      </c>
      <c r="CI66" s="290">
        <v>0</v>
      </c>
      <c r="CJ66" s="290"/>
    </row>
    <row r="67" spans="1:88" ht="13">
      <c r="A67" s="1">
        <v>1827</v>
      </c>
      <c r="B67" s="2" t="s">
        <v>186</v>
      </c>
      <c r="C67" s="289">
        <v>1371</v>
      </c>
      <c r="D67" s="290">
        <v>20</v>
      </c>
      <c r="E67" s="290">
        <v>37</v>
      </c>
      <c r="F67" s="290">
        <v>157</v>
      </c>
      <c r="G67" s="290">
        <v>127</v>
      </c>
      <c r="H67" s="290">
        <v>718</v>
      </c>
      <c r="I67" s="290">
        <v>240</v>
      </c>
      <c r="J67" s="290">
        <v>66</v>
      </c>
      <c r="K67" s="290">
        <v>14</v>
      </c>
      <c r="L67" s="290">
        <v>12</v>
      </c>
      <c r="M67" s="290">
        <v>143</v>
      </c>
      <c r="N67" s="290">
        <v>7</v>
      </c>
      <c r="O67" s="290">
        <v>13</v>
      </c>
      <c r="P67" s="624">
        <v>17265.935333329999</v>
      </c>
      <c r="Q67" s="624">
        <v>14018.94066667</v>
      </c>
      <c r="R67" s="1039">
        <v>14</v>
      </c>
      <c r="S67" s="290">
        <v>0</v>
      </c>
      <c r="T67" s="290">
        <v>129</v>
      </c>
      <c r="U67" s="958">
        <v>1.685303726502507E-3</v>
      </c>
      <c r="V67" s="290">
        <v>-1663.3809722399999</v>
      </c>
      <c r="W67" s="765">
        <v>1</v>
      </c>
      <c r="X67" s="290">
        <v>0</v>
      </c>
      <c r="Y67" s="290"/>
      <c r="Z67" s="290">
        <v>40253.826000000001</v>
      </c>
      <c r="AA67" s="290">
        <v>0</v>
      </c>
      <c r="AB67" s="290">
        <v>35</v>
      </c>
      <c r="AC67" s="290">
        <v>86</v>
      </c>
      <c r="AD67" s="290">
        <v>48</v>
      </c>
      <c r="AE67" s="290">
        <v>0</v>
      </c>
      <c r="AF67" s="290">
        <v>0</v>
      </c>
      <c r="AG67" s="290">
        <v>1379</v>
      </c>
      <c r="AH67" s="290">
        <v>218</v>
      </c>
      <c r="AI67" s="290">
        <v>312</v>
      </c>
      <c r="AJ67" s="290">
        <v>0</v>
      </c>
      <c r="AK67" s="290">
        <v>0</v>
      </c>
      <c r="AL67" s="290">
        <v>2551</v>
      </c>
      <c r="AM67" s="957">
        <v>1.1619239999999999E-2</v>
      </c>
      <c r="AN67" s="290">
        <v>0</v>
      </c>
      <c r="AO67" s="290">
        <v>-488.83340268000001</v>
      </c>
      <c r="AP67" s="290">
        <v>0</v>
      </c>
      <c r="AQ67" s="290">
        <v>0</v>
      </c>
      <c r="AR67" s="290">
        <v>-52.079991380000003</v>
      </c>
      <c r="AS67" s="290">
        <v>143.6215</v>
      </c>
      <c r="AT67" s="290">
        <v>52</v>
      </c>
      <c r="AU67" s="290">
        <v>7</v>
      </c>
      <c r="AV67" s="766">
        <v>73596</v>
      </c>
      <c r="AW67" s="290">
        <v>0</v>
      </c>
      <c r="AX67" s="766">
        <v>9.25</v>
      </c>
      <c r="AY67" s="290">
        <v>250</v>
      </c>
      <c r="AZ67" s="290">
        <v>60</v>
      </c>
      <c r="BA67" s="290">
        <v>36</v>
      </c>
      <c r="BB67" s="290">
        <v>6034</v>
      </c>
      <c r="BC67" s="290">
        <v>2739.19368282</v>
      </c>
      <c r="BD67" s="290"/>
      <c r="BE67" s="290">
        <v>71429.901435909997</v>
      </c>
      <c r="BF67" s="290">
        <v>0</v>
      </c>
      <c r="BG67" s="290">
        <v>1129</v>
      </c>
      <c r="BH67" s="290">
        <v>500</v>
      </c>
      <c r="BI67" s="290">
        <v>352</v>
      </c>
      <c r="BJ67" s="290">
        <v>17</v>
      </c>
      <c r="BK67" s="290">
        <v>36</v>
      </c>
      <c r="BL67" s="290">
        <v>0</v>
      </c>
      <c r="BM67" s="290">
        <v>0</v>
      </c>
      <c r="BN67" s="290">
        <v>22</v>
      </c>
      <c r="BO67" s="290">
        <v>-10</v>
      </c>
      <c r="BP67" s="290">
        <v>127</v>
      </c>
      <c r="BQ67" s="290">
        <v>254</v>
      </c>
      <c r="BR67" s="290">
        <v>193</v>
      </c>
      <c r="BS67" s="290">
        <v>36</v>
      </c>
      <c r="BT67" s="290">
        <v>0</v>
      </c>
      <c r="BU67" s="290">
        <v>0</v>
      </c>
      <c r="BV67" s="290">
        <v>21</v>
      </c>
      <c r="BW67" s="290">
        <v>0</v>
      </c>
      <c r="BX67" s="290">
        <v>0</v>
      </c>
      <c r="BY67" s="290">
        <v>173</v>
      </c>
      <c r="BZ67" s="290">
        <v>0</v>
      </c>
      <c r="CA67" s="290">
        <v>93.370999999999995</v>
      </c>
      <c r="CB67" s="290">
        <v>26</v>
      </c>
      <c r="CC67" s="290">
        <v>0</v>
      </c>
      <c r="CD67" s="290">
        <v>0</v>
      </c>
      <c r="CE67" s="290">
        <v>40253.826000000001</v>
      </c>
      <c r="CF67" s="290">
        <v>0</v>
      </c>
      <c r="CG67" s="290">
        <v>0</v>
      </c>
      <c r="CH67" s="290">
        <v>0</v>
      </c>
      <c r="CI67" s="290">
        <v>0</v>
      </c>
      <c r="CJ67" s="290"/>
    </row>
    <row r="68" spans="1:88" ht="13">
      <c r="A68" s="1">
        <v>1828</v>
      </c>
      <c r="B68" s="2" t="s">
        <v>187</v>
      </c>
      <c r="C68" s="289">
        <v>1701</v>
      </c>
      <c r="D68" s="290">
        <v>37</v>
      </c>
      <c r="E68" s="290">
        <v>59</v>
      </c>
      <c r="F68" s="290">
        <v>200</v>
      </c>
      <c r="G68" s="290">
        <v>170</v>
      </c>
      <c r="H68" s="290">
        <v>967</v>
      </c>
      <c r="I68" s="290">
        <v>222</v>
      </c>
      <c r="J68" s="290">
        <v>79</v>
      </c>
      <c r="K68" s="290">
        <v>13</v>
      </c>
      <c r="L68" s="290">
        <v>14</v>
      </c>
      <c r="M68" s="290">
        <v>155</v>
      </c>
      <c r="N68" s="290">
        <v>39</v>
      </c>
      <c r="O68" s="290">
        <v>37</v>
      </c>
      <c r="P68" s="624">
        <v>8142.1869999999999</v>
      </c>
      <c r="Q68" s="624">
        <v>4620.4576666700004</v>
      </c>
      <c r="R68" s="1039">
        <v>6</v>
      </c>
      <c r="S68" s="290">
        <v>0</v>
      </c>
      <c r="T68" s="290">
        <v>164</v>
      </c>
      <c r="U68" s="958">
        <v>1.116078964060673E-3</v>
      </c>
      <c r="V68" s="290">
        <v>1044.4084936700001</v>
      </c>
      <c r="W68" s="765">
        <v>1</v>
      </c>
      <c r="X68" s="290">
        <v>0</v>
      </c>
      <c r="Y68" s="290"/>
      <c r="Z68" s="290">
        <v>49782.275000000001</v>
      </c>
      <c r="AA68" s="290">
        <v>4472</v>
      </c>
      <c r="AB68" s="290">
        <v>48</v>
      </c>
      <c r="AC68" s="290">
        <v>100</v>
      </c>
      <c r="AD68" s="290">
        <v>49</v>
      </c>
      <c r="AE68" s="290">
        <v>0</v>
      </c>
      <c r="AF68" s="290">
        <v>0</v>
      </c>
      <c r="AG68" s="290">
        <v>1747</v>
      </c>
      <c r="AH68" s="290">
        <v>292</v>
      </c>
      <c r="AI68" s="290">
        <v>1500</v>
      </c>
      <c r="AJ68" s="290">
        <v>0</v>
      </c>
      <c r="AK68" s="290">
        <v>0</v>
      </c>
      <c r="AL68" s="290">
        <v>3277</v>
      </c>
      <c r="AM68" s="957">
        <v>4.8216759999999997E-2</v>
      </c>
      <c r="AN68" s="290">
        <v>0</v>
      </c>
      <c r="AO68" s="290">
        <v>-522.76450001000001</v>
      </c>
      <c r="AP68" s="290">
        <v>0</v>
      </c>
      <c r="AQ68" s="290">
        <v>0</v>
      </c>
      <c r="AR68" s="290">
        <v>3951.3733354999999</v>
      </c>
      <c r="AS68" s="290">
        <v>162.15950000000001</v>
      </c>
      <c r="AT68" s="290">
        <v>71</v>
      </c>
      <c r="AU68" s="290">
        <v>18</v>
      </c>
      <c r="AV68" s="766">
        <v>78768</v>
      </c>
      <c r="AW68" s="290">
        <v>0</v>
      </c>
      <c r="AX68" s="766">
        <v>10.041650000000001</v>
      </c>
      <c r="AY68" s="290">
        <v>419</v>
      </c>
      <c r="AZ68" s="290">
        <v>117</v>
      </c>
      <c r="BA68" s="290">
        <v>25</v>
      </c>
      <c r="BB68" s="290">
        <v>6034</v>
      </c>
      <c r="BC68" s="290">
        <v>3064.6907054600001</v>
      </c>
      <c r="BD68" s="290"/>
      <c r="BE68" s="290">
        <v>70813.614000949994</v>
      </c>
      <c r="BF68" s="290">
        <v>0</v>
      </c>
      <c r="BG68" s="290">
        <v>1430</v>
      </c>
      <c r="BH68" s="290">
        <v>500</v>
      </c>
      <c r="BI68" s="290">
        <v>441</v>
      </c>
      <c r="BJ68" s="290">
        <v>21</v>
      </c>
      <c r="BK68" s="290">
        <v>55</v>
      </c>
      <c r="BL68" s="290">
        <v>0</v>
      </c>
      <c r="BM68" s="290">
        <v>0</v>
      </c>
      <c r="BN68" s="290">
        <v>34</v>
      </c>
      <c r="BO68" s="290">
        <v>-16</v>
      </c>
      <c r="BP68" s="290">
        <v>158</v>
      </c>
      <c r="BQ68" s="290">
        <v>316</v>
      </c>
      <c r="BR68" s="290">
        <v>239</v>
      </c>
      <c r="BS68" s="290">
        <v>37</v>
      </c>
      <c r="BT68" s="290">
        <v>0</v>
      </c>
      <c r="BU68" s="290">
        <v>0</v>
      </c>
      <c r="BV68" s="290">
        <v>32</v>
      </c>
      <c r="BW68" s="290">
        <v>0</v>
      </c>
      <c r="BX68" s="290">
        <v>0</v>
      </c>
      <c r="BY68" s="290">
        <v>188</v>
      </c>
      <c r="BZ68" s="290">
        <v>0</v>
      </c>
      <c r="CA68" s="290">
        <v>160.30000000000001</v>
      </c>
      <c r="CB68" s="290">
        <v>29</v>
      </c>
      <c r="CC68" s="290">
        <v>0</v>
      </c>
      <c r="CD68" s="290">
        <v>0</v>
      </c>
      <c r="CE68" s="290">
        <v>49782.275000000001</v>
      </c>
      <c r="CF68" s="290">
        <v>0</v>
      </c>
      <c r="CG68" s="290">
        <v>0</v>
      </c>
      <c r="CH68" s="290">
        <v>0</v>
      </c>
      <c r="CI68" s="290">
        <v>0</v>
      </c>
      <c r="CJ68" s="290"/>
    </row>
    <row r="69" spans="1:88" ht="13">
      <c r="A69" s="1">
        <v>1832</v>
      </c>
      <c r="B69" s="2" t="s">
        <v>188</v>
      </c>
      <c r="C69" s="289">
        <v>4428</v>
      </c>
      <c r="D69" s="290">
        <v>85</v>
      </c>
      <c r="E69" s="290">
        <v>172</v>
      </c>
      <c r="F69" s="290">
        <v>498</v>
      </c>
      <c r="G69" s="290">
        <v>352</v>
      </c>
      <c r="H69" s="290">
        <v>2346</v>
      </c>
      <c r="I69" s="290">
        <v>680</v>
      </c>
      <c r="J69" s="290">
        <v>239</v>
      </c>
      <c r="K69" s="290">
        <v>64</v>
      </c>
      <c r="L69" s="290">
        <v>32</v>
      </c>
      <c r="M69" s="290">
        <v>468</v>
      </c>
      <c r="N69" s="290">
        <v>33</v>
      </c>
      <c r="O69" s="290">
        <v>18</v>
      </c>
      <c r="P69" s="624">
        <v>68800.675666669995</v>
      </c>
      <c r="Q69" s="624">
        <v>17604.491999999998</v>
      </c>
      <c r="R69" s="1039">
        <v>26</v>
      </c>
      <c r="S69" s="290">
        <v>0</v>
      </c>
      <c r="T69" s="290">
        <v>383</v>
      </c>
      <c r="U69" s="958">
        <v>2.0338904883659653E-3</v>
      </c>
      <c r="V69" s="290">
        <v>2554.6005916300001</v>
      </c>
      <c r="W69" s="765">
        <v>0.90703917999999994</v>
      </c>
      <c r="X69" s="290">
        <v>0</v>
      </c>
      <c r="Y69" s="290"/>
      <c r="Z69" s="290">
        <v>144714.84899999999</v>
      </c>
      <c r="AA69" s="290">
        <v>0</v>
      </c>
      <c r="AB69" s="290">
        <v>120</v>
      </c>
      <c r="AC69" s="290">
        <v>232</v>
      </c>
      <c r="AD69" s="290">
        <v>111</v>
      </c>
      <c r="AE69" s="290">
        <v>0</v>
      </c>
      <c r="AF69" s="290">
        <v>0</v>
      </c>
      <c r="AG69" s="290">
        <v>4436</v>
      </c>
      <c r="AH69" s="290">
        <v>707</v>
      </c>
      <c r="AI69" s="290">
        <v>0</v>
      </c>
      <c r="AJ69" s="290">
        <v>0</v>
      </c>
      <c r="AK69" s="290">
        <v>0</v>
      </c>
      <c r="AL69" s="290">
        <v>8289</v>
      </c>
      <c r="AM69" s="957">
        <v>3.7427950000000001E-2</v>
      </c>
      <c r="AN69" s="290">
        <v>0</v>
      </c>
      <c r="AO69" s="290">
        <v>-1331.52731008</v>
      </c>
      <c r="AP69" s="290">
        <v>0</v>
      </c>
      <c r="AQ69" s="290">
        <v>0</v>
      </c>
      <c r="AR69" s="290">
        <v>-167.53215502</v>
      </c>
      <c r="AS69" s="290">
        <v>373.99200000000002</v>
      </c>
      <c r="AT69" s="290">
        <v>198</v>
      </c>
      <c r="AU69" s="290">
        <v>25</v>
      </c>
      <c r="AV69" s="766">
        <v>170704</v>
      </c>
      <c r="AW69" s="290">
        <v>0</v>
      </c>
      <c r="AX69" s="766">
        <v>38.583350000000003</v>
      </c>
      <c r="AY69" s="290">
        <v>727</v>
      </c>
      <c r="AZ69" s="290">
        <v>150</v>
      </c>
      <c r="BA69" s="290">
        <v>118</v>
      </c>
      <c r="BB69" s="290">
        <v>0</v>
      </c>
      <c r="BC69" s="290">
        <v>6984.0461248299998</v>
      </c>
      <c r="BD69" s="290"/>
      <c r="BE69" s="290">
        <v>165197.04119702001</v>
      </c>
      <c r="BF69" s="290">
        <v>0</v>
      </c>
      <c r="BG69" s="290">
        <v>3631</v>
      </c>
      <c r="BH69" s="290">
        <v>1000</v>
      </c>
      <c r="BI69" s="290">
        <v>1050</v>
      </c>
      <c r="BJ69" s="290">
        <v>52</v>
      </c>
      <c r="BK69" s="290">
        <v>157</v>
      </c>
      <c r="BL69" s="290">
        <v>0</v>
      </c>
      <c r="BM69" s="290">
        <v>0</v>
      </c>
      <c r="BN69" s="290">
        <v>98</v>
      </c>
      <c r="BO69" s="290">
        <v>-31</v>
      </c>
      <c r="BP69" s="290">
        <v>411</v>
      </c>
      <c r="BQ69" s="290">
        <v>821</v>
      </c>
      <c r="BR69" s="290">
        <v>622</v>
      </c>
      <c r="BS69" s="290">
        <v>83</v>
      </c>
      <c r="BT69" s="290">
        <v>0</v>
      </c>
      <c r="BU69" s="290">
        <v>0</v>
      </c>
      <c r="BV69" s="290">
        <v>90</v>
      </c>
      <c r="BW69" s="290">
        <v>0</v>
      </c>
      <c r="BX69" s="290">
        <v>0</v>
      </c>
      <c r="BY69" s="290">
        <v>533</v>
      </c>
      <c r="BZ69" s="290">
        <v>0</v>
      </c>
      <c r="CA69" s="290">
        <v>254.33099999999999</v>
      </c>
      <c r="CB69" s="290">
        <v>50</v>
      </c>
      <c r="CC69" s="290">
        <v>0</v>
      </c>
      <c r="CD69" s="290">
        <v>0</v>
      </c>
      <c r="CE69" s="290">
        <v>144714.84899999999</v>
      </c>
      <c r="CF69" s="290">
        <v>0</v>
      </c>
      <c r="CG69" s="290">
        <v>0</v>
      </c>
      <c r="CH69" s="290">
        <v>0</v>
      </c>
      <c r="CI69" s="290">
        <v>0</v>
      </c>
      <c r="CJ69" s="290"/>
    </row>
    <row r="70" spans="1:88" ht="13">
      <c r="A70" s="1">
        <v>1833</v>
      </c>
      <c r="B70" s="2" t="s">
        <v>189</v>
      </c>
      <c r="C70" s="289">
        <v>26083</v>
      </c>
      <c r="D70" s="290">
        <v>435</v>
      </c>
      <c r="E70" s="290">
        <v>1051</v>
      </c>
      <c r="F70" s="290">
        <v>3021</v>
      </c>
      <c r="G70" s="290">
        <v>2267</v>
      </c>
      <c r="H70" s="290">
        <v>14749</v>
      </c>
      <c r="I70" s="290">
        <v>3250</v>
      </c>
      <c r="J70" s="290">
        <v>1108</v>
      </c>
      <c r="K70" s="290">
        <v>264</v>
      </c>
      <c r="L70" s="290">
        <v>202</v>
      </c>
      <c r="M70" s="290">
        <v>2039</v>
      </c>
      <c r="N70" s="290">
        <v>368</v>
      </c>
      <c r="O70" s="290">
        <v>199</v>
      </c>
      <c r="P70" s="624">
        <v>116190.60833333</v>
      </c>
      <c r="Q70" s="624">
        <v>45883.37233333</v>
      </c>
      <c r="R70" s="1039">
        <v>114</v>
      </c>
      <c r="S70" s="290">
        <v>0</v>
      </c>
      <c r="T70" s="290">
        <v>2256</v>
      </c>
      <c r="U70" s="958">
        <v>3.6678721178734115E-3</v>
      </c>
      <c r="V70" s="290">
        <v>6075.3134631499997</v>
      </c>
      <c r="W70" s="765">
        <v>0.59311645999999996</v>
      </c>
      <c r="X70" s="290">
        <v>0</v>
      </c>
      <c r="Y70" s="290"/>
      <c r="Z70" s="290">
        <v>813864.70799999998</v>
      </c>
      <c r="AA70" s="290">
        <v>0</v>
      </c>
      <c r="AB70" s="290">
        <v>643</v>
      </c>
      <c r="AC70" s="290">
        <v>1264</v>
      </c>
      <c r="AD70" s="290">
        <v>488</v>
      </c>
      <c r="AE70" s="290">
        <v>0</v>
      </c>
      <c r="AF70" s="290">
        <v>0</v>
      </c>
      <c r="AG70" s="290">
        <v>26145</v>
      </c>
      <c r="AH70" s="290">
        <v>4306</v>
      </c>
      <c r="AI70" s="290">
        <v>1612</v>
      </c>
      <c r="AJ70" s="290">
        <v>0</v>
      </c>
      <c r="AK70" s="290">
        <v>0</v>
      </c>
      <c r="AL70" s="290">
        <v>48728</v>
      </c>
      <c r="AM70" s="957">
        <v>0.32939816999999999</v>
      </c>
      <c r="AN70" s="290">
        <v>0</v>
      </c>
      <c r="AO70" s="290">
        <v>-6635.16772279</v>
      </c>
      <c r="AP70" s="290">
        <v>0</v>
      </c>
      <c r="AQ70" s="290">
        <v>0</v>
      </c>
      <c r="AR70" s="290">
        <v>-987.40491278000002</v>
      </c>
      <c r="AS70" s="290">
        <v>1968.7465</v>
      </c>
      <c r="AT70" s="290">
        <v>1255</v>
      </c>
      <c r="AU70" s="290">
        <v>231</v>
      </c>
      <c r="AV70" s="766">
        <v>739525</v>
      </c>
      <c r="AW70" s="290">
        <v>0</v>
      </c>
      <c r="AX70" s="766">
        <v>157.41665</v>
      </c>
      <c r="AY70" s="290">
        <v>5579</v>
      </c>
      <c r="AZ70" s="290">
        <v>779</v>
      </c>
      <c r="BA70" s="290">
        <v>545</v>
      </c>
      <c r="BB70" s="290">
        <v>0</v>
      </c>
      <c r="BC70" s="290">
        <v>35477.051606339999</v>
      </c>
      <c r="BD70" s="290"/>
      <c r="BE70" s="290">
        <v>697306.35870529001</v>
      </c>
      <c r="BF70" s="290">
        <v>0</v>
      </c>
      <c r="BG70" s="290">
        <v>21402</v>
      </c>
      <c r="BH70" s="290">
        <v>1000</v>
      </c>
      <c r="BI70" s="290">
        <v>6058</v>
      </c>
      <c r="BJ70" s="290">
        <v>303</v>
      </c>
      <c r="BK70" s="290">
        <v>931</v>
      </c>
      <c r="BL70" s="290">
        <v>0</v>
      </c>
      <c r="BM70" s="290">
        <v>0</v>
      </c>
      <c r="BN70" s="290">
        <v>583</v>
      </c>
      <c r="BO70" s="290">
        <v>-200</v>
      </c>
      <c r="BP70" s="290">
        <v>2419</v>
      </c>
      <c r="BQ70" s="290">
        <v>4838</v>
      </c>
      <c r="BR70" s="290">
        <v>3662</v>
      </c>
      <c r="BS70" s="290">
        <v>366</v>
      </c>
      <c r="BT70" s="290">
        <v>0</v>
      </c>
      <c r="BU70" s="290">
        <v>0</v>
      </c>
      <c r="BV70" s="290">
        <v>536</v>
      </c>
      <c r="BW70" s="290">
        <v>0</v>
      </c>
      <c r="BX70" s="290">
        <v>0</v>
      </c>
      <c r="BY70" s="290">
        <v>2789</v>
      </c>
      <c r="BZ70" s="290">
        <v>3396.3789999999999</v>
      </c>
      <c r="CA70" s="290">
        <v>1267.3630000000001</v>
      </c>
      <c r="CB70" s="290">
        <v>232</v>
      </c>
      <c r="CC70" s="290">
        <v>2</v>
      </c>
      <c r="CD70" s="290">
        <v>0</v>
      </c>
      <c r="CE70" s="290">
        <v>813864.70799999998</v>
      </c>
      <c r="CF70" s="290">
        <v>0</v>
      </c>
      <c r="CG70" s="290">
        <v>0</v>
      </c>
      <c r="CH70" s="290">
        <v>0</v>
      </c>
      <c r="CI70" s="290">
        <v>0</v>
      </c>
      <c r="CJ70" s="290"/>
    </row>
    <row r="71" spans="1:88" ht="13">
      <c r="A71" s="1">
        <v>1834</v>
      </c>
      <c r="B71" s="2" t="s">
        <v>190</v>
      </c>
      <c r="C71" s="289">
        <v>1876</v>
      </c>
      <c r="D71" s="290">
        <v>25</v>
      </c>
      <c r="E71" s="290">
        <v>79</v>
      </c>
      <c r="F71" s="290">
        <v>209</v>
      </c>
      <c r="G71" s="290">
        <v>142</v>
      </c>
      <c r="H71" s="290">
        <v>1002</v>
      </c>
      <c r="I71" s="290">
        <v>297</v>
      </c>
      <c r="J71" s="290">
        <v>107</v>
      </c>
      <c r="K71" s="290">
        <v>21</v>
      </c>
      <c r="L71" s="290">
        <v>14</v>
      </c>
      <c r="M71" s="290">
        <v>198</v>
      </c>
      <c r="N71" s="290">
        <v>3</v>
      </c>
      <c r="O71" s="290">
        <v>9</v>
      </c>
      <c r="P71" s="624">
        <v>172158.39966667001</v>
      </c>
      <c r="Q71" s="624">
        <v>66105.466</v>
      </c>
      <c r="R71" s="1039">
        <v>12</v>
      </c>
      <c r="S71" s="290">
        <v>0</v>
      </c>
      <c r="T71" s="290">
        <v>174</v>
      </c>
      <c r="U71" s="958">
        <v>1.1200355042271417E-3</v>
      </c>
      <c r="V71" s="290">
        <v>1574.47068479</v>
      </c>
      <c r="W71" s="765">
        <v>1</v>
      </c>
      <c r="X71" s="290">
        <v>0</v>
      </c>
      <c r="Y71" s="290"/>
      <c r="Z71" s="290">
        <v>91881.135999999999</v>
      </c>
      <c r="AA71" s="290">
        <v>0</v>
      </c>
      <c r="AB71" s="290">
        <v>53</v>
      </c>
      <c r="AC71" s="290">
        <v>168</v>
      </c>
      <c r="AD71" s="290">
        <v>95</v>
      </c>
      <c r="AE71" s="290">
        <v>0</v>
      </c>
      <c r="AF71" s="290">
        <v>0</v>
      </c>
      <c r="AG71" s="290">
        <v>1882</v>
      </c>
      <c r="AH71" s="290">
        <v>292</v>
      </c>
      <c r="AI71" s="290">
        <v>0</v>
      </c>
      <c r="AJ71" s="290">
        <v>0</v>
      </c>
      <c r="AK71" s="290">
        <v>0</v>
      </c>
      <c r="AL71" s="290">
        <v>3517</v>
      </c>
      <c r="AM71" s="957">
        <v>1.0582009999999999E-2</v>
      </c>
      <c r="AN71" s="290">
        <v>0</v>
      </c>
      <c r="AO71" s="290">
        <v>-788.07993739999995</v>
      </c>
      <c r="AP71" s="290">
        <v>0</v>
      </c>
      <c r="AQ71" s="290">
        <v>0</v>
      </c>
      <c r="AR71" s="290">
        <v>838.43809892000002</v>
      </c>
      <c r="AS71" s="290">
        <v>261.68650000000002</v>
      </c>
      <c r="AT71" s="290">
        <v>63</v>
      </c>
      <c r="AU71" s="290">
        <v>15</v>
      </c>
      <c r="AV71" s="766">
        <v>131737</v>
      </c>
      <c r="AW71" s="290">
        <v>0</v>
      </c>
      <c r="AX71" s="766">
        <v>10.708349999999999</v>
      </c>
      <c r="AY71" s="290">
        <v>319</v>
      </c>
      <c r="AZ71" s="290">
        <v>40</v>
      </c>
      <c r="BA71" s="290">
        <v>26</v>
      </c>
      <c r="BB71" s="290">
        <v>6034</v>
      </c>
      <c r="BC71" s="290">
        <v>3952.34563424</v>
      </c>
      <c r="BD71" s="290"/>
      <c r="BE71" s="290">
        <v>125877.38418311</v>
      </c>
      <c r="BF71" s="290">
        <v>0</v>
      </c>
      <c r="BG71" s="290">
        <v>1541</v>
      </c>
      <c r="BH71" s="290">
        <v>500</v>
      </c>
      <c r="BI71" s="290">
        <v>555</v>
      </c>
      <c r="BJ71" s="290">
        <v>26</v>
      </c>
      <c r="BK71" s="290">
        <v>68</v>
      </c>
      <c r="BL71" s="290">
        <v>0</v>
      </c>
      <c r="BM71" s="290">
        <v>0</v>
      </c>
      <c r="BN71" s="290">
        <v>42</v>
      </c>
      <c r="BO71" s="290">
        <v>-13</v>
      </c>
      <c r="BP71" s="290">
        <v>174</v>
      </c>
      <c r="BQ71" s="290">
        <v>348</v>
      </c>
      <c r="BR71" s="290">
        <v>263</v>
      </c>
      <c r="BS71" s="290">
        <v>71</v>
      </c>
      <c r="BT71" s="290">
        <v>0</v>
      </c>
      <c r="BU71" s="290">
        <v>0</v>
      </c>
      <c r="BV71" s="290">
        <v>39</v>
      </c>
      <c r="BW71" s="290">
        <v>0</v>
      </c>
      <c r="BX71" s="290">
        <v>0</v>
      </c>
      <c r="BY71" s="290">
        <v>229</v>
      </c>
      <c r="BZ71" s="290">
        <v>0</v>
      </c>
      <c r="CA71" s="290">
        <v>150.529</v>
      </c>
      <c r="CB71" s="290">
        <v>30</v>
      </c>
      <c r="CC71" s="290">
        <v>0</v>
      </c>
      <c r="CD71" s="290">
        <v>0</v>
      </c>
      <c r="CE71" s="290">
        <v>91881.135999999999</v>
      </c>
      <c r="CF71" s="290">
        <v>0</v>
      </c>
      <c r="CG71" s="290">
        <v>0</v>
      </c>
      <c r="CH71" s="290">
        <v>0</v>
      </c>
      <c r="CI71" s="290">
        <v>0</v>
      </c>
      <c r="CJ71" s="290"/>
    </row>
    <row r="72" spans="1:88" ht="13">
      <c r="A72" s="1">
        <v>1835</v>
      </c>
      <c r="B72" s="2" t="s">
        <v>191</v>
      </c>
      <c r="C72" s="289">
        <v>442</v>
      </c>
      <c r="D72" s="290">
        <v>4</v>
      </c>
      <c r="E72" s="290">
        <v>12</v>
      </c>
      <c r="F72" s="290">
        <v>41</v>
      </c>
      <c r="G72" s="290">
        <v>39</v>
      </c>
      <c r="H72" s="290">
        <v>253</v>
      </c>
      <c r="I72" s="290">
        <v>56</v>
      </c>
      <c r="J72" s="290">
        <v>13</v>
      </c>
      <c r="K72" s="290">
        <v>6</v>
      </c>
      <c r="L72" s="290">
        <v>4</v>
      </c>
      <c r="M72" s="290">
        <v>36</v>
      </c>
      <c r="N72" s="290">
        <v>0</v>
      </c>
      <c r="O72" s="290">
        <v>4</v>
      </c>
      <c r="P72" s="624">
        <v>2144.1109999999999</v>
      </c>
      <c r="Q72" s="624">
        <v>6794.384</v>
      </c>
      <c r="R72" s="1039">
        <v>2</v>
      </c>
      <c r="S72" s="290">
        <v>0</v>
      </c>
      <c r="T72" s="290">
        <v>42</v>
      </c>
      <c r="U72" s="958">
        <v>4.3297591456219934E-5</v>
      </c>
      <c r="V72" s="290">
        <v>378.90621027999998</v>
      </c>
      <c r="W72" s="765">
        <v>1</v>
      </c>
      <c r="X72" s="290">
        <v>0</v>
      </c>
      <c r="Y72" s="290"/>
      <c r="Z72" s="290">
        <v>15146.028</v>
      </c>
      <c r="AA72" s="290">
        <v>0</v>
      </c>
      <c r="AB72" s="290">
        <v>10</v>
      </c>
      <c r="AC72" s="290">
        <v>32</v>
      </c>
      <c r="AD72" s="290">
        <v>26</v>
      </c>
      <c r="AE72" s="290">
        <v>0</v>
      </c>
      <c r="AF72" s="290">
        <v>0</v>
      </c>
      <c r="AG72" s="290">
        <v>424</v>
      </c>
      <c r="AH72" s="290">
        <v>100</v>
      </c>
      <c r="AI72" s="290">
        <v>682.5</v>
      </c>
      <c r="AJ72" s="290">
        <v>0</v>
      </c>
      <c r="AK72" s="290">
        <v>0</v>
      </c>
      <c r="AL72" s="290">
        <v>810</v>
      </c>
      <c r="AM72" s="957">
        <v>1.0241780000000001E-2</v>
      </c>
      <c r="AN72" s="290">
        <v>0</v>
      </c>
      <c r="AO72" s="290">
        <v>-189.65636221</v>
      </c>
      <c r="AP72" s="290">
        <v>0</v>
      </c>
      <c r="AQ72" s="290">
        <v>0</v>
      </c>
      <c r="AR72" s="290">
        <v>-16.012992270000002</v>
      </c>
      <c r="AS72" s="290">
        <v>59.797499999999999</v>
      </c>
      <c r="AT72" s="290">
        <v>19</v>
      </c>
      <c r="AU72" s="290">
        <v>6</v>
      </c>
      <c r="AV72" s="766">
        <v>36942</v>
      </c>
      <c r="AW72" s="290">
        <v>0</v>
      </c>
      <c r="AX72" s="766">
        <v>0</v>
      </c>
      <c r="AY72" s="290">
        <v>70</v>
      </c>
      <c r="AZ72" s="290">
        <v>17</v>
      </c>
      <c r="BA72" s="290">
        <v>15</v>
      </c>
      <c r="BB72" s="290">
        <v>6034</v>
      </c>
      <c r="BC72" s="290">
        <v>968.59500000000003</v>
      </c>
      <c r="BD72" s="290"/>
      <c r="BE72" s="290">
        <v>35775.576404369996</v>
      </c>
      <c r="BF72" s="290">
        <v>0</v>
      </c>
      <c r="BG72" s="290">
        <v>347</v>
      </c>
      <c r="BH72" s="290">
        <v>500</v>
      </c>
      <c r="BI72" s="290">
        <v>158</v>
      </c>
      <c r="BJ72" s="290">
        <v>5</v>
      </c>
      <c r="BK72" s="290">
        <v>10</v>
      </c>
      <c r="BL72" s="290">
        <v>0</v>
      </c>
      <c r="BM72" s="290">
        <v>0</v>
      </c>
      <c r="BN72" s="290">
        <v>6</v>
      </c>
      <c r="BO72" s="290">
        <v>-3</v>
      </c>
      <c r="BP72" s="290">
        <v>41</v>
      </c>
      <c r="BQ72" s="290">
        <v>82</v>
      </c>
      <c r="BR72" s="290">
        <v>62</v>
      </c>
      <c r="BS72" s="290">
        <v>19</v>
      </c>
      <c r="BT72" s="290">
        <v>0</v>
      </c>
      <c r="BU72" s="290">
        <v>0</v>
      </c>
      <c r="BV72" s="290">
        <v>6</v>
      </c>
      <c r="BW72" s="290">
        <v>0</v>
      </c>
      <c r="BX72" s="290">
        <v>0</v>
      </c>
      <c r="BY72" s="290">
        <v>47</v>
      </c>
      <c r="BZ72" s="290">
        <v>0</v>
      </c>
      <c r="CA72" s="290">
        <v>1610.56</v>
      </c>
      <c r="CB72" s="290">
        <v>18</v>
      </c>
      <c r="CC72" s="290">
        <v>0</v>
      </c>
      <c r="CD72" s="290">
        <v>0</v>
      </c>
      <c r="CE72" s="290">
        <v>15146.028</v>
      </c>
      <c r="CF72" s="290">
        <v>0</v>
      </c>
      <c r="CG72" s="290">
        <v>0</v>
      </c>
      <c r="CH72" s="290">
        <v>0</v>
      </c>
      <c r="CI72" s="290">
        <v>0</v>
      </c>
      <c r="CJ72" s="290"/>
    </row>
    <row r="73" spans="1:88" ht="13">
      <c r="A73" s="1">
        <v>1836</v>
      </c>
      <c r="B73" s="2" t="s">
        <v>192</v>
      </c>
      <c r="C73" s="289">
        <v>1206</v>
      </c>
      <c r="D73" s="290">
        <v>20</v>
      </c>
      <c r="E73" s="290">
        <v>52</v>
      </c>
      <c r="F73" s="290">
        <v>140</v>
      </c>
      <c r="G73" s="290">
        <v>139</v>
      </c>
      <c r="H73" s="290">
        <v>610</v>
      </c>
      <c r="I73" s="290">
        <v>185</v>
      </c>
      <c r="J73" s="290">
        <v>59</v>
      </c>
      <c r="K73" s="290">
        <v>11</v>
      </c>
      <c r="L73" s="290">
        <v>9</v>
      </c>
      <c r="M73" s="290">
        <v>118</v>
      </c>
      <c r="N73" s="290">
        <v>1.5</v>
      </c>
      <c r="O73" s="290">
        <v>5</v>
      </c>
      <c r="P73" s="624">
        <v>57170.468333329998</v>
      </c>
      <c r="Q73" s="624">
        <v>20810.872666669999</v>
      </c>
      <c r="R73" s="1039">
        <v>5</v>
      </c>
      <c r="S73" s="290">
        <v>0</v>
      </c>
      <c r="T73" s="290">
        <v>97</v>
      </c>
      <c r="U73" s="958">
        <v>1.3660916769618503E-3</v>
      </c>
      <c r="V73" s="290">
        <v>909.96971260999999</v>
      </c>
      <c r="W73" s="765">
        <v>1</v>
      </c>
      <c r="X73" s="290">
        <v>0</v>
      </c>
      <c r="Y73" s="290"/>
      <c r="Z73" s="290">
        <v>35181.616999999998</v>
      </c>
      <c r="AA73" s="290">
        <v>0</v>
      </c>
      <c r="AB73" s="290">
        <v>25</v>
      </c>
      <c r="AC73" s="290">
        <v>91</v>
      </c>
      <c r="AD73" s="290">
        <v>53</v>
      </c>
      <c r="AE73" s="290">
        <v>0</v>
      </c>
      <c r="AF73" s="290">
        <v>0</v>
      </c>
      <c r="AG73" s="290">
        <v>1216</v>
      </c>
      <c r="AH73" s="290">
        <v>221</v>
      </c>
      <c r="AI73" s="290">
        <v>0</v>
      </c>
      <c r="AJ73" s="290">
        <v>0</v>
      </c>
      <c r="AK73" s="290">
        <v>351</v>
      </c>
      <c r="AL73" s="290">
        <v>2257</v>
      </c>
      <c r="AM73" s="957">
        <v>4.6759200000000001E-3</v>
      </c>
      <c r="AN73" s="290">
        <v>0</v>
      </c>
      <c r="AO73" s="290">
        <v>-455.47299234000002</v>
      </c>
      <c r="AP73" s="290">
        <v>0</v>
      </c>
      <c r="AQ73" s="290">
        <v>0</v>
      </c>
      <c r="AR73" s="290">
        <v>2943.3591216099999</v>
      </c>
      <c r="AS73" s="290">
        <v>149.34399999999999</v>
      </c>
      <c r="AT73" s="290">
        <v>43</v>
      </c>
      <c r="AU73" s="290">
        <v>4</v>
      </c>
      <c r="AV73" s="766">
        <v>77718</v>
      </c>
      <c r="AW73" s="290">
        <v>393</v>
      </c>
      <c r="AX73" s="766">
        <v>6.5</v>
      </c>
      <c r="AY73" s="290">
        <v>170</v>
      </c>
      <c r="AZ73" s="290">
        <v>40</v>
      </c>
      <c r="BA73" s="290">
        <v>22</v>
      </c>
      <c r="BB73" s="290">
        <v>6034</v>
      </c>
      <c r="BC73" s="290">
        <v>2606.5630530899998</v>
      </c>
      <c r="BD73" s="290"/>
      <c r="BE73" s="290">
        <v>71868.870515250004</v>
      </c>
      <c r="BF73" s="290">
        <v>0</v>
      </c>
      <c r="BG73" s="290">
        <v>995</v>
      </c>
      <c r="BH73" s="290">
        <v>500</v>
      </c>
      <c r="BI73" s="290">
        <v>716</v>
      </c>
      <c r="BJ73" s="290">
        <v>14</v>
      </c>
      <c r="BK73" s="290">
        <v>44</v>
      </c>
      <c r="BL73" s="290">
        <v>0</v>
      </c>
      <c r="BM73" s="290">
        <v>0</v>
      </c>
      <c r="BN73" s="290">
        <v>27</v>
      </c>
      <c r="BO73" s="290">
        <v>-7</v>
      </c>
      <c r="BP73" s="290">
        <v>112</v>
      </c>
      <c r="BQ73" s="290">
        <v>224</v>
      </c>
      <c r="BR73" s="290">
        <v>169</v>
      </c>
      <c r="BS73" s="290">
        <v>40</v>
      </c>
      <c r="BT73" s="290">
        <v>0</v>
      </c>
      <c r="BU73" s="290">
        <v>0</v>
      </c>
      <c r="BV73" s="290">
        <v>25</v>
      </c>
      <c r="BW73" s="290">
        <v>0</v>
      </c>
      <c r="BX73" s="290">
        <v>0</v>
      </c>
      <c r="BY73" s="290">
        <v>143</v>
      </c>
      <c r="BZ73" s="290">
        <v>0</v>
      </c>
      <c r="CA73" s="290">
        <v>1211.6000000000001</v>
      </c>
      <c r="CB73" s="290">
        <v>24</v>
      </c>
      <c r="CC73" s="290">
        <v>0</v>
      </c>
      <c r="CD73" s="290">
        <v>0</v>
      </c>
      <c r="CE73" s="290">
        <v>35181.616999999998</v>
      </c>
      <c r="CF73" s="290">
        <v>361.83598979141163</v>
      </c>
      <c r="CG73" s="290">
        <v>355.32002578572133</v>
      </c>
      <c r="CH73" s="290">
        <v>345.9403513222486</v>
      </c>
      <c r="CI73" s="290">
        <v>334.41417925580163</v>
      </c>
      <c r="CJ73" s="290"/>
    </row>
    <row r="74" spans="1:88" ht="13">
      <c r="A74" s="1">
        <v>1837</v>
      </c>
      <c r="B74" s="2" t="s">
        <v>193</v>
      </c>
      <c r="C74" s="289">
        <v>6247</v>
      </c>
      <c r="D74" s="290">
        <v>103</v>
      </c>
      <c r="E74" s="290">
        <v>262</v>
      </c>
      <c r="F74" s="290">
        <v>750</v>
      </c>
      <c r="G74" s="290">
        <v>541</v>
      </c>
      <c r="H74" s="290">
        <v>3369</v>
      </c>
      <c r="I74" s="290">
        <v>862</v>
      </c>
      <c r="J74" s="290">
        <v>289</v>
      </c>
      <c r="K74" s="290">
        <v>94</v>
      </c>
      <c r="L74" s="290">
        <v>45</v>
      </c>
      <c r="M74" s="290">
        <v>562</v>
      </c>
      <c r="N74" s="290">
        <v>43</v>
      </c>
      <c r="O74" s="290">
        <v>66</v>
      </c>
      <c r="P74" s="624">
        <v>95536.519</v>
      </c>
      <c r="Q74" s="624">
        <v>32433.642333330001</v>
      </c>
      <c r="R74" s="1039">
        <v>30</v>
      </c>
      <c r="S74" s="290">
        <v>0</v>
      </c>
      <c r="T74" s="290">
        <v>506</v>
      </c>
      <c r="U74" s="958">
        <v>1.9936904133142355E-3</v>
      </c>
      <c r="V74" s="290">
        <v>-2365.8083529199998</v>
      </c>
      <c r="W74" s="765">
        <v>0.94791625999999995</v>
      </c>
      <c r="X74" s="290">
        <v>0</v>
      </c>
      <c r="Y74" s="290"/>
      <c r="Z74" s="290">
        <v>201930.747</v>
      </c>
      <c r="AA74" s="290">
        <v>0</v>
      </c>
      <c r="AB74" s="290">
        <v>183</v>
      </c>
      <c r="AC74" s="290">
        <v>352</v>
      </c>
      <c r="AD74" s="290">
        <v>150</v>
      </c>
      <c r="AE74" s="290">
        <v>0</v>
      </c>
      <c r="AF74" s="290">
        <v>0</v>
      </c>
      <c r="AG74" s="290">
        <v>6270</v>
      </c>
      <c r="AH74" s="290">
        <v>1070</v>
      </c>
      <c r="AI74" s="290">
        <v>2250</v>
      </c>
      <c r="AJ74" s="290">
        <v>0</v>
      </c>
      <c r="AK74" s="290">
        <v>2416</v>
      </c>
      <c r="AL74" s="290">
        <v>11702</v>
      </c>
      <c r="AM74" s="957">
        <v>0.10277179</v>
      </c>
      <c r="AN74" s="290">
        <v>0</v>
      </c>
      <c r="AO74" s="290">
        <v>-1828.6556163600001</v>
      </c>
      <c r="AP74" s="290">
        <v>0</v>
      </c>
      <c r="AQ74" s="290">
        <v>0</v>
      </c>
      <c r="AR74" s="290">
        <v>10189.41585299</v>
      </c>
      <c r="AS74" s="290">
        <v>544.22299999999996</v>
      </c>
      <c r="AT74" s="290">
        <v>296</v>
      </c>
      <c r="AU74" s="290">
        <v>52</v>
      </c>
      <c r="AV74" s="766">
        <v>241084</v>
      </c>
      <c r="AW74" s="290">
        <v>0</v>
      </c>
      <c r="AX74" s="766">
        <v>40.666649999999997</v>
      </c>
      <c r="AY74" s="290">
        <v>964</v>
      </c>
      <c r="AZ74" s="290">
        <v>264</v>
      </c>
      <c r="BA74" s="290">
        <v>141</v>
      </c>
      <c r="BB74" s="290">
        <v>0</v>
      </c>
      <c r="BC74" s="290">
        <v>11689.3514756</v>
      </c>
      <c r="BD74" s="290"/>
      <c r="BE74" s="290">
        <v>218252.61497935999</v>
      </c>
      <c r="BF74" s="290">
        <v>0</v>
      </c>
      <c r="BG74" s="290">
        <v>5133</v>
      </c>
      <c r="BH74" s="290">
        <v>1000</v>
      </c>
      <c r="BI74" s="290">
        <v>3988</v>
      </c>
      <c r="BJ74" s="290">
        <v>74</v>
      </c>
      <c r="BK74" s="290">
        <v>226</v>
      </c>
      <c r="BL74" s="290">
        <v>0</v>
      </c>
      <c r="BM74" s="290">
        <v>0</v>
      </c>
      <c r="BN74" s="290">
        <v>141</v>
      </c>
      <c r="BO74" s="290">
        <v>-46</v>
      </c>
      <c r="BP74" s="290">
        <v>579</v>
      </c>
      <c r="BQ74" s="290">
        <v>1159</v>
      </c>
      <c r="BR74" s="290">
        <v>877</v>
      </c>
      <c r="BS74" s="290">
        <v>113</v>
      </c>
      <c r="BT74" s="290">
        <v>0</v>
      </c>
      <c r="BU74" s="290">
        <v>0</v>
      </c>
      <c r="BV74" s="290">
        <v>130</v>
      </c>
      <c r="BW74" s="290">
        <v>0</v>
      </c>
      <c r="BX74" s="290">
        <v>0</v>
      </c>
      <c r="BY74" s="290">
        <v>707</v>
      </c>
      <c r="BZ74" s="290">
        <v>0</v>
      </c>
      <c r="CA74" s="290">
        <v>429.1</v>
      </c>
      <c r="CB74" s="290">
        <v>67</v>
      </c>
      <c r="CC74" s="290">
        <v>0</v>
      </c>
      <c r="CD74" s="290">
        <v>0</v>
      </c>
      <c r="CE74" s="290">
        <v>201930.747</v>
      </c>
      <c r="CF74" s="290">
        <v>2678.4219047141314</v>
      </c>
      <c r="CG74" s="290">
        <v>2852.1077678374281</v>
      </c>
      <c r="CH74" s="290">
        <v>3011.1489210187056</v>
      </c>
      <c r="CI74" s="290">
        <v>3159.2131143256438</v>
      </c>
      <c r="CJ74" s="290"/>
    </row>
    <row r="75" spans="1:88" ht="13">
      <c r="A75" s="1">
        <v>1838</v>
      </c>
      <c r="B75" s="2" t="s">
        <v>194</v>
      </c>
      <c r="C75" s="289">
        <v>1920</v>
      </c>
      <c r="D75" s="290">
        <v>26</v>
      </c>
      <c r="E75" s="290">
        <v>62</v>
      </c>
      <c r="F75" s="290">
        <v>201</v>
      </c>
      <c r="G75" s="290">
        <v>134</v>
      </c>
      <c r="H75" s="290">
        <v>1060</v>
      </c>
      <c r="I75" s="290">
        <v>334</v>
      </c>
      <c r="J75" s="290">
        <v>114</v>
      </c>
      <c r="K75" s="290">
        <v>24</v>
      </c>
      <c r="L75" s="290">
        <v>17</v>
      </c>
      <c r="M75" s="290">
        <v>234</v>
      </c>
      <c r="N75" s="290">
        <v>47</v>
      </c>
      <c r="O75" s="290">
        <v>32</v>
      </c>
      <c r="P75" s="624">
        <v>36157.709666670002</v>
      </c>
      <c r="Q75" s="624">
        <v>6261.6363333299996</v>
      </c>
      <c r="R75" s="1039">
        <v>14</v>
      </c>
      <c r="S75" s="290">
        <v>0</v>
      </c>
      <c r="T75" s="290">
        <v>184</v>
      </c>
      <c r="U75" s="958">
        <v>1.2833465694733702E-3</v>
      </c>
      <c r="V75" s="290">
        <v>1285.63162285</v>
      </c>
      <c r="W75" s="765">
        <v>1</v>
      </c>
      <c r="X75" s="290">
        <v>0</v>
      </c>
      <c r="Y75" s="290"/>
      <c r="Z75" s="290">
        <v>62965.311999999998</v>
      </c>
      <c r="AA75" s="290">
        <v>0</v>
      </c>
      <c r="AB75" s="290">
        <v>58</v>
      </c>
      <c r="AC75" s="290">
        <v>107</v>
      </c>
      <c r="AD75" s="290">
        <v>59</v>
      </c>
      <c r="AE75" s="290">
        <v>0</v>
      </c>
      <c r="AF75" s="290">
        <v>0</v>
      </c>
      <c r="AG75" s="290">
        <v>1955</v>
      </c>
      <c r="AH75" s="290">
        <v>274</v>
      </c>
      <c r="AI75" s="290">
        <v>0</v>
      </c>
      <c r="AJ75" s="290">
        <v>0</v>
      </c>
      <c r="AK75" s="290">
        <v>439</v>
      </c>
      <c r="AL75" s="290">
        <v>3629</v>
      </c>
      <c r="AM75" s="957">
        <v>2.5600000000000001E-2</v>
      </c>
      <c r="AN75" s="290">
        <v>0</v>
      </c>
      <c r="AO75" s="290">
        <v>-643.50546417999999</v>
      </c>
      <c r="AP75" s="290">
        <v>0</v>
      </c>
      <c r="AQ75" s="290">
        <v>0</v>
      </c>
      <c r="AR75" s="290">
        <v>600.12994279999998</v>
      </c>
      <c r="AS75" s="290">
        <v>177.12649999999999</v>
      </c>
      <c r="AT75" s="290">
        <v>104</v>
      </c>
      <c r="AU75" s="290">
        <v>13</v>
      </c>
      <c r="AV75" s="766">
        <v>96689</v>
      </c>
      <c r="AW75" s="290">
        <v>0</v>
      </c>
      <c r="AX75" s="766">
        <v>14.208299999999999</v>
      </c>
      <c r="AY75" s="290">
        <v>376</v>
      </c>
      <c r="AZ75" s="290">
        <v>72</v>
      </c>
      <c r="BA75" s="290">
        <v>38</v>
      </c>
      <c r="BB75" s="290">
        <v>6034</v>
      </c>
      <c r="BC75" s="290">
        <v>3485.3876663999999</v>
      </c>
      <c r="BD75" s="290"/>
      <c r="BE75" s="290">
        <v>91876.096756280007</v>
      </c>
      <c r="BF75" s="290">
        <v>0</v>
      </c>
      <c r="BG75" s="290">
        <v>1600</v>
      </c>
      <c r="BH75" s="290">
        <v>500</v>
      </c>
      <c r="BI75" s="290">
        <v>879</v>
      </c>
      <c r="BJ75" s="290">
        <v>23</v>
      </c>
      <c r="BK75" s="290">
        <v>59</v>
      </c>
      <c r="BL75" s="290">
        <v>0</v>
      </c>
      <c r="BM75" s="290">
        <v>0</v>
      </c>
      <c r="BN75" s="290">
        <v>37</v>
      </c>
      <c r="BO75" s="290">
        <v>-17</v>
      </c>
      <c r="BP75" s="290">
        <v>178</v>
      </c>
      <c r="BQ75" s="290">
        <v>356</v>
      </c>
      <c r="BR75" s="290">
        <v>270</v>
      </c>
      <c r="BS75" s="290">
        <v>44</v>
      </c>
      <c r="BT75" s="290">
        <v>0</v>
      </c>
      <c r="BU75" s="290">
        <v>0</v>
      </c>
      <c r="BV75" s="290">
        <v>34</v>
      </c>
      <c r="BW75" s="290">
        <v>0</v>
      </c>
      <c r="BX75" s="290">
        <v>0</v>
      </c>
      <c r="BY75" s="290">
        <v>255</v>
      </c>
      <c r="BZ75" s="290">
        <v>0</v>
      </c>
      <c r="CA75" s="290">
        <v>561.06000000000006</v>
      </c>
      <c r="CB75" s="290">
        <v>31</v>
      </c>
      <c r="CC75" s="290">
        <v>0</v>
      </c>
      <c r="CD75" s="290">
        <v>0</v>
      </c>
      <c r="CE75" s="290">
        <v>62965.311999999998</v>
      </c>
      <c r="CF75" s="290">
        <v>415.71102946209919</v>
      </c>
      <c r="CG75" s="290">
        <v>364.69817797858661</v>
      </c>
      <c r="CH75" s="290">
        <v>309.10986665218729</v>
      </c>
      <c r="CI75" s="290">
        <v>250.09201392135878</v>
      </c>
      <c r="CJ75" s="290"/>
    </row>
    <row r="76" spans="1:88" ht="13">
      <c r="A76" s="1">
        <v>1839</v>
      </c>
      <c r="B76" s="2" t="s">
        <v>195</v>
      </c>
      <c r="C76" s="289">
        <v>999</v>
      </c>
      <c r="D76" s="290">
        <v>16</v>
      </c>
      <c r="E76" s="290">
        <v>31</v>
      </c>
      <c r="F76" s="290">
        <v>84</v>
      </c>
      <c r="G76" s="290">
        <v>75</v>
      </c>
      <c r="H76" s="290">
        <v>521</v>
      </c>
      <c r="I76" s="290">
        <v>193</v>
      </c>
      <c r="J76" s="290">
        <v>77</v>
      </c>
      <c r="K76" s="290">
        <v>13</v>
      </c>
      <c r="L76" s="290">
        <v>9</v>
      </c>
      <c r="M76" s="290">
        <v>119</v>
      </c>
      <c r="N76" s="290">
        <v>1.5</v>
      </c>
      <c r="O76" s="290">
        <v>12</v>
      </c>
      <c r="P76" s="624">
        <v>11028.405000000001</v>
      </c>
      <c r="Q76" s="624">
        <v>5471.3896666700002</v>
      </c>
      <c r="R76" s="1039">
        <v>8</v>
      </c>
      <c r="S76" s="290">
        <v>0</v>
      </c>
      <c r="T76" s="290">
        <v>79</v>
      </c>
      <c r="U76" s="958">
        <v>1.2602744707626854E-3</v>
      </c>
      <c r="V76" s="290">
        <v>742.86065653000003</v>
      </c>
      <c r="W76" s="765">
        <v>1</v>
      </c>
      <c r="X76" s="290">
        <v>0</v>
      </c>
      <c r="Y76" s="290"/>
      <c r="Z76" s="290">
        <v>29700.504000000001</v>
      </c>
      <c r="AA76" s="290">
        <v>0</v>
      </c>
      <c r="AB76" s="290">
        <v>39</v>
      </c>
      <c r="AC76" s="290">
        <v>52</v>
      </c>
      <c r="AD76" s="290">
        <v>39</v>
      </c>
      <c r="AE76" s="290">
        <v>0</v>
      </c>
      <c r="AF76" s="290">
        <v>0</v>
      </c>
      <c r="AG76" s="290">
        <v>1010</v>
      </c>
      <c r="AH76" s="290">
        <v>129</v>
      </c>
      <c r="AI76" s="290">
        <v>3145</v>
      </c>
      <c r="AJ76" s="290">
        <v>0</v>
      </c>
      <c r="AK76" s="290">
        <v>0</v>
      </c>
      <c r="AL76" s="290">
        <v>1893</v>
      </c>
      <c r="AM76" s="957">
        <v>1.6962379999999999E-2</v>
      </c>
      <c r="AN76" s="290">
        <v>0</v>
      </c>
      <c r="AO76" s="290">
        <v>-371.82882180000001</v>
      </c>
      <c r="AP76" s="290">
        <v>0</v>
      </c>
      <c r="AQ76" s="290">
        <v>0</v>
      </c>
      <c r="AR76" s="290">
        <v>-38.144156129999999</v>
      </c>
      <c r="AS76" s="290">
        <v>83.799000000000007</v>
      </c>
      <c r="AT76" s="290">
        <v>43</v>
      </c>
      <c r="AU76" s="290">
        <v>8</v>
      </c>
      <c r="AV76" s="766">
        <v>59220</v>
      </c>
      <c r="AW76" s="290">
        <v>0</v>
      </c>
      <c r="AX76" s="766">
        <v>9.3333499999999994</v>
      </c>
      <c r="AY76" s="290">
        <v>122</v>
      </c>
      <c r="AZ76" s="290">
        <v>51</v>
      </c>
      <c r="BA76" s="290">
        <v>14</v>
      </c>
      <c r="BB76" s="290">
        <v>6034</v>
      </c>
      <c r="BC76" s="290">
        <v>2090.1932048899998</v>
      </c>
      <c r="BD76" s="290"/>
      <c r="BE76" s="290">
        <v>58918.53884026</v>
      </c>
      <c r="BF76" s="290">
        <v>0</v>
      </c>
      <c r="BG76" s="290">
        <v>827</v>
      </c>
      <c r="BH76" s="290">
        <v>500</v>
      </c>
      <c r="BI76" s="290">
        <v>220</v>
      </c>
      <c r="BJ76" s="290">
        <v>12</v>
      </c>
      <c r="BK76" s="290">
        <v>29</v>
      </c>
      <c r="BL76" s="290">
        <v>0</v>
      </c>
      <c r="BM76" s="290">
        <v>0</v>
      </c>
      <c r="BN76" s="290">
        <v>18</v>
      </c>
      <c r="BO76" s="290">
        <v>-8</v>
      </c>
      <c r="BP76" s="290">
        <v>93</v>
      </c>
      <c r="BQ76" s="290">
        <v>185</v>
      </c>
      <c r="BR76" s="290">
        <v>140</v>
      </c>
      <c r="BS76" s="290">
        <v>29</v>
      </c>
      <c r="BT76" s="290">
        <v>0</v>
      </c>
      <c r="BU76" s="290">
        <v>0</v>
      </c>
      <c r="BV76" s="290">
        <v>17</v>
      </c>
      <c r="BW76" s="290">
        <v>0</v>
      </c>
      <c r="BX76" s="290">
        <v>0</v>
      </c>
      <c r="BY76" s="290">
        <v>145</v>
      </c>
      <c r="BZ76" s="290">
        <v>0</v>
      </c>
      <c r="CA76" s="290">
        <v>1706.3999999999999</v>
      </c>
      <c r="CB76" s="290">
        <v>22</v>
      </c>
      <c r="CC76" s="290">
        <v>0</v>
      </c>
      <c r="CD76" s="290">
        <v>0</v>
      </c>
      <c r="CE76" s="290">
        <v>29700.504000000001</v>
      </c>
      <c r="CF76" s="290">
        <v>0</v>
      </c>
      <c r="CG76" s="290">
        <v>0</v>
      </c>
      <c r="CH76" s="290">
        <v>0</v>
      </c>
      <c r="CI76" s="290">
        <v>0</v>
      </c>
      <c r="CJ76" s="290"/>
    </row>
    <row r="77" spans="1:88" ht="13">
      <c r="A77" s="1">
        <v>1840</v>
      </c>
      <c r="B77" s="2" t="s">
        <v>196</v>
      </c>
      <c r="C77" s="289">
        <v>4632</v>
      </c>
      <c r="D77" s="290">
        <v>88</v>
      </c>
      <c r="E77" s="290">
        <v>190</v>
      </c>
      <c r="F77" s="290">
        <v>533</v>
      </c>
      <c r="G77" s="290">
        <v>340</v>
      </c>
      <c r="H77" s="290">
        <v>2513</v>
      </c>
      <c r="I77" s="290">
        <v>746</v>
      </c>
      <c r="J77" s="290">
        <v>207</v>
      </c>
      <c r="K77" s="290">
        <v>52</v>
      </c>
      <c r="L77" s="290">
        <v>37</v>
      </c>
      <c r="M77" s="290">
        <v>401</v>
      </c>
      <c r="N77" s="290">
        <v>73</v>
      </c>
      <c r="O77" s="290">
        <v>46</v>
      </c>
      <c r="P77" s="624">
        <v>32237.360333330002</v>
      </c>
      <c r="Q77" s="624">
        <v>11543.92433333</v>
      </c>
      <c r="R77" s="1039">
        <v>43</v>
      </c>
      <c r="S77" s="290">
        <v>0</v>
      </c>
      <c r="T77" s="290">
        <v>415</v>
      </c>
      <c r="U77" s="958">
        <v>1.8921813941360373E-3</v>
      </c>
      <c r="V77" s="290">
        <v>2735.1934518899998</v>
      </c>
      <c r="W77" s="765">
        <v>0.75430951000000002</v>
      </c>
      <c r="X77" s="290">
        <v>0</v>
      </c>
      <c r="Y77" s="290"/>
      <c r="Z77" s="290">
        <v>127708.02800000001</v>
      </c>
      <c r="AA77" s="290">
        <v>0</v>
      </c>
      <c r="AB77" s="290">
        <v>148</v>
      </c>
      <c r="AC77" s="290">
        <v>237</v>
      </c>
      <c r="AD77" s="290">
        <v>104</v>
      </c>
      <c r="AE77" s="290">
        <v>0</v>
      </c>
      <c r="AF77" s="290">
        <v>0</v>
      </c>
      <c r="AG77" s="290">
        <v>4669</v>
      </c>
      <c r="AH77" s="290">
        <v>757</v>
      </c>
      <c r="AI77" s="290">
        <v>3680</v>
      </c>
      <c r="AJ77" s="290">
        <v>0</v>
      </c>
      <c r="AK77" s="290">
        <v>0</v>
      </c>
      <c r="AL77" s="290">
        <v>8693</v>
      </c>
      <c r="AM77" s="957">
        <v>6.4152059999999997E-2</v>
      </c>
      <c r="AN77" s="290">
        <v>0</v>
      </c>
      <c r="AO77" s="290">
        <v>-1369.0639687099999</v>
      </c>
      <c r="AP77" s="290">
        <v>0</v>
      </c>
      <c r="AQ77" s="290">
        <v>0</v>
      </c>
      <c r="AR77" s="290">
        <v>-176.33174747999999</v>
      </c>
      <c r="AS77" s="290">
        <v>360.96300000000002</v>
      </c>
      <c r="AT77" s="290">
        <v>203</v>
      </c>
      <c r="AU77" s="290">
        <v>35</v>
      </c>
      <c r="AV77" s="766">
        <v>169837</v>
      </c>
      <c r="AW77" s="290">
        <v>0</v>
      </c>
      <c r="AX77" s="766">
        <v>38.333300000000001</v>
      </c>
      <c r="AY77" s="290">
        <v>880</v>
      </c>
      <c r="AZ77" s="290">
        <v>197</v>
      </c>
      <c r="BA77" s="290">
        <v>77</v>
      </c>
      <c r="BB77" s="290">
        <v>0</v>
      </c>
      <c r="BC77" s="290">
        <v>7038.1224733700001</v>
      </c>
      <c r="BD77" s="290"/>
      <c r="BE77" s="290">
        <v>166744.91796913999</v>
      </c>
      <c r="BF77" s="290">
        <v>0</v>
      </c>
      <c r="BG77" s="290">
        <v>3822</v>
      </c>
      <c r="BH77" s="290">
        <v>1000</v>
      </c>
      <c r="BI77" s="290">
        <v>1098</v>
      </c>
      <c r="BJ77" s="290">
        <v>53</v>
      </c>
      <c r="BK77" s="290">
        <v>172</v>
      </c>
      <c r="BL77" s="290">
        <v>0</v>
      </c>
      <c r="BM77" s="290">
        <v>0</v>
      </c>
      <c r="BN77" s="290">
        <v>107</v>
      </c>
      <c r="BO77" s="290">
        <v>-38</v>
      </c>
      <c r="BP77" s="290">
        <v>430</v>
      </c>
      <c r="BQ77" s="290">
        <v>859</v>
      </c>
      <c r="BR77" s="290">
        <v>650</v>
      </c>
      <c r="BS77" s="290">
        <v>78</v>
      </c>
      <c r="BT77" s="290">
        <v>0</v>
      </c>
      <c r="BU77" s="290">
        <v>0</v>
      </c>
      <c r="BV77" s="290">
        <v>99</v>
      </c>
      <c r="BW77" s="290">
        <v>0</v>
      </c>
      <c r="BX77" s="290">
        <v>0</v>
      </c>
      <c r="BY77" s="290">
        <v>564</v>
      </c>
      <c r="BZ77" s="290">
        <v>0</v>
      </c>
      <c r="CA77" s="290">
        <v>717.5</v>
      </c>
      <c r="CB77" s="290">
        <v>50</v>
      </c>
      <c r="CC77" s="290">
        <v>0</v>
      </c>
      <c r="CD77" s="290">
        <v>0</v>
      </c>
      <c r="CE77" s="290">
        <v>127708.02800000001</v>
      </c>
      <c r="CF77" s="290">
        <v>0</v>
      </c>
      <c r="CG77" s="290">
        <v>0</v>
      </c>
      <c r="CH77" s="290">
        <v>0</v>
      </c>
      <c r="CI77" s="290">
        <v>0</v>
      </c>
      <c r="CJ77" s="290"/>
    </row>
    <row r="78" spans="1:88" ht="13">
      <c r="A78" s="1">
        <v>1841</v>
      </c>
      <c r="B78" s="2" t="s">
        <v>197</v>
      </c>
      <c r="C78" s="289">
        <v>9640</v>
      </c>
      <c r="D78" s="290">
        <v>150</v>
      </c>
      <c r="E78" s="290">
        <v>376</v>
      </c>
      <c r="F78" s="290">
        <v>1025</v>
      </c>
      <c r="G78" s="290">
        <v>845</v>
      </c>
      <c r="H78" s="290">
        <v>5373</v>
      </c>
      <c r="I78" s="290">
        <v>1399</v>
      </c>
      <c r="J78" s="290">
        <v>415</v>
      </c>
      <c r="K78" s="290">
        <v>100</v>
      </c>
      <c r="L78" s="290">
        <v>81</v>
      </c>
      <c r="M78" s="290">
        <v>847</v>
      </c>
      <c r="N78" s="290">
        <v>152</v>
      </c>
      <c r="O78" s="290">
        <v>80</v>
      </c>
      <c r="P78" s="624">
        <v>69340.481</v>
      </c>
      <c r="Q78" s="624">
        <v>16239.022999999999</v>
      </c>
      <c r="R78" s="1039">
        <v>29</v>
      </c>
      <c r="S78" s="290">
        <v>0</v>
      </c>
      <c r="T78" s="290">
        <v>889</v>
      </c>
      <c r="U78" s="958">
        <v>1.8594993531221066E-3</v>
      </c>
      <c r="V78" s="290">
        <v>4913.0435614300004</v>
      </c>
      <c r="W78" s="765">
        <v>0.61891512999999998</v>
      </c>
      <c r="X78" s="290">
        <v>0</v>
      </c>
      <c r="Y78" s="290"/>
      <c r="Z78" s="290">
        <v>297010.72700000001</v>
      </c>
      <c r="AA78" s="290">
        <v>0</v>
      </c>
      <c r="AB78" s="290">
        <v>289</v>
      </c>
      <c r="AC78" s="290">
        <v>443</v>
      </c>
      <c r="AD78" s="290">
        <v>194</v>
      </c>
      <c r="AE78" s="290">
        <v>0</v>
      </c>
      <c r="AF78" s="290">
        <v>0</v>
      </c>
      <c r="AG78" s="290">
        <v>9683</v>
      </c>
      <c r="AH78" s="290">
        <v>1502</v>
      </c>
      <c r="AI78" s="290">
        <v>3928.5</v>
      </c>
      <c r="AJ78" s="290">
        <v>0</v>
      </c>
      <c r="AK78" s="290">
        <v>0</v>
      </c>
      <c r="AL78" s="290">
        <v>18124</v>
      </c>
      <c r="AM78" s="957">
        <v>0.16865764</v>
      </c>
      <c r="AN78" s="290">
        <v>0</v>
      </c>
      <c r="AO78" s="290">
        <v>-2459.1572899600001</v>
      </c>
      <c r="AP78" s="290">
        <v>0</v>
      </c>
      <c r="AQ78" s="290">
        <v>0</v>
      </c>
      <c r="AR78" s="290">
        <v>711.17518881000001</v>
      </c>
      <c r="AS78" s="290">
        <v>704.88499999999999</v>
      </c>
      <c r="AT78" s="290">
        <v>445</v>
      </c>
      <c r="AU78" s="290">
        <v>86</v>
      </c>
      <c r="AV78" s="766">
        <v>280251</v>
      </c>
      <c r="AW78" s="290">
        <v>0</v>
      </c>
      <c r="AX78" s="766">
        <v>45.708300000000001</v>
      </c>
      <c r="AY78" s="290">
        <v>1904</v>
      </c>
      <c r="AZ78" s="290">
        <v>418</v>
      </c>
      <c r="BA78" s="290">
        <v>205</v>
      </c>
      <c r="BB78" s="290">
        <v>0</v>
      </c>
      <c r="BC78" s="290">
        <v>12999.460613949999</v>
      </c>
      <c r="BD78" s="290"/>
      <c r="BE78" s="290">
        <v>261278.70592834</v>
      </c>
      <c r="BF78" s="290">
        <v>0</v>
      </c>
      <c r="BG78" s="290">
        <v>7927</v>
      </c>
      <c r="BH78" s="290">
        <v>1000</v>
      </c>
      <c r="BI78" s="290">
        <v>2139</v>
      </c>
      <c r="BJ78" s="290">
        <v>113</v>
      </c>
      <c r="BK78" s="290">
        <v>326</v>
      </c>
      <c r="BL78" s="290">
        <v>0</v>
      </c>
      <c r="BM78" s="290">
        <v>0</v>
      </c>
      <c r="BN78" s="290">
        <v>204</v>
      </c>
      <c r="BO78" s="290">
        <v>-81</v>
      </c>
      <c r="BP78" s="290">
        <v>894</v>
      </c>
      <c r="BQ78" s="290">
        <v>1788</v>
      </c>
      <c r="BR78" s="290">
        <v>1354</v>
      </c>
      <c r="BS78" s="290">
        <v>146</v>
      </c>
      <c r="BT78" s="290">
        <v>0</v>
      </c>
      <c r="BU78" s="290">
        <v>0</v>
      </c>
      <c r="BV78" s="290">
        <v>187</v>
      </c>
      <c r="BW78" s="290">
        <v>0</v>
      </c>
      <c r="BX78" s="290">
        <v>0</v>
      </c>
      <c r="BY78" s="290">
        <v>1102</v>
      </c>
      <c r="BZ78" s="290">
        <v>1772.354</v>
      </c>
      <c r="CA78" s="290">
        <v>854.54600000000005</v>
      </c>
      <c r="CB78" s="290">
        <v>91</v>
      </c>
      <c r="CC78" s="290">
        <v>1</v>
      </c>
      <c r="CD78" s="290">
        <v>0</v>
      </c>
      <c r="CE78" s="290">
        <v>297010.72700000001</v>
      </c>
      <c r="CF78" s="290">
        <v>0</v>
      </c>
      <c r="CG78" s="290">
        <v>0</v>
      </c>
      <c r="CH78" s="290">
        <v>0</v>
      </c>
      <c r="CI78" s="290">
        <v>0</v>
      </c>
      <c r="CJ78" s="290"/>
    </row>
    <row r="79" spans="1:88" ht="13">
      <c r="A79" s="1">
        <v>1845</v>
      </c>
      <c r="B79" s="2" t="s">
        <v>198</v>
      </c>
      <c r="C79" s="289">
        <v>1912</v>
      </c>
      <c r="D79" s="290">
        <v>30</v>
      </c>
      <c r="E79" s="290">
        <v>73</v>
      </c>
      <c r="F79" s="290">
        <v>201</v>
      </c>
      <c r="G79" s="290">
        <v>157</v>
      </c>
      <c r="H79" s="290">
        <v>993</v>
      </c>
      <c r="I79" s="290">
        <v>353</v>
      </c>
      <c r="J79" s="290">
        <v>95</v>
      </c>
      <c r="K79" s="290">
        <v>28</v>
      </c>
      <c r="L79" s="290">
        <v>17</v>
      </c>
      <c r="M79" s="290">
        <v>211</v>
      </c>
      <c r="N79" s="290">
        <v>1.5</v>
      </c>
      <c r="O79" s="290">
        <v>20</v>
      </c>
      <c r="P79" s="624">
        <v>28411.266</v>
      </c>
      <c r="Q79" s="624">
        <v>15650.30966667</v>
      </c>
      <c r="R79" s="1039">
        <v>7</v>
      </c>
      <c r="S79" s="290">
        <v>0</v>
      </c>
      <c r="T79" s="290">
        <v>153</v>
      </c>
      <c r="U79" s="958">
        <v>1.2020310951103264E-3</v>
      </c>
      <c r="V79" s="290">
        <v>1223.55984375</v>
      </c>
      <c r="W79" s="765">
        <v>0.98126385999999999</v>
      </c>
      <c r="X79" s="290">
        <v>0</v>
      </c>
      <c r="Y79" s="290"/>
      <c r="Z79" s="290">
        <v>65788.322</v>
      </c>
      <c r="AA79" s="290">
        <v>0</v>
      </c>
      <c r="AB79" s="290">
        <v>43</v>
      </c>
      <c r="AC79" s="290">
        <v>107</v>
      </c>
      <c r="AD79" s="290">
        <v>61</v>
      </c>
      <c r="AE79" s="290">
        <v>0</v>
      </c>
      <c r="AF79" s="290">
        <v>0</v>
      </c>
      <c r="AG79" s="290">
        <v>1930</v>
      </c>
      <c r="AH79" s="290">
        <v>302</v>
      </c>
      <c r="AI79" s="290">
        <v>0</v>
      </c>
      <c r="AJ79" s="290">
        <v>0</v>
      </c>
      <c r="AK79" s="290">
        <v>2462</v>
      </c>
      <c r="AL79" s="290">
        <v>3584</v>
      </c>
      <c r="AM79" s="957">
        <v>3.1836299999999998E-2</v>
      </c>
      <c r="AN79" s="290">
        <v>0</v>
      </c>
      <c r="AO79" s="290">
        <v>-612.43627739999999</v>
      </c>
      <c r="AP79" s="290">
        <v>0</v>
      </c>
      <c r="AQ79" s="290">
        <v>0</v>
      </c>
      <c r="AR79" s="290">
        <v>-72.889328039999995</v>
      </c>
      <c r="AS79" s="290">
        <v>187.864</v>
      </c>
      <c r="AT79" s="290">
        <v>88</v>
      </c>
      <c r="AU79" s="290">
        <v>22</v>
      </c>
      <c r="AV79" s="766">
        <v>89570</v>
      </c>
      <c r="AW79" s="290">
        <v>0</v>
      </c>
      <c r="AX79" s="766">
        <v>9.3750499999999999</v>
      </c>
      <c r="AY79" s="290">
        <v>278</v>
      </c>
      <c r="AZ79" s="290">
        <v>61</v>
      </c>
      <c r="BA79" s="290">
        <v>36</v>
      </c>
      <c r="BB79" s="290">
        <v>6034</v>
      </c>
      <c r="BC79" s="290">
        <v>4763.7605310299996</v>
      </c>
      <c r="BD79" s="290"/>
      <c r="BE79" s="290">
        <v>87767.471280090002</v>
      </c>
      <c r="BF79" s="290">
        <v>0</v>
      </c>
      <c r="BG79" s="290">
        <v>1580</v>
      </c>
      <c r="BH79" s="290">
        <v>500</v>
      </c>
      <c r="BI79" s="290">
        <v>2932</v>
      </c>
      <c r="BJ79" s="290">
        <v>23</v>
      </c>
      <c r="BK79" s="290">
        <v>62</v>
      </c>
      <c r="BL79" s="290">
        <v>0</v>
      </c>
      <c r="BM79" s="290">
        <v>0</v>
      </c>
      <c r="BN79" s="290">
        <v>39</v>
      </c>
      <c r="BO79" s="290">
        <v>-13</v>
      </c>
      <c r="BP79" s="290">
        <v>177</v>
      </c>
      <c r="BQ79" s="290">
        <v>355</v>
      </c>
      <c r="BR79" s="290">
        <v>268</v>
      </c>
      <c r="BS79" s="290">
        <v>46</v>
      </c>
      <c r="BT79" s="290">
        <v>0</v>
      </c>
      <c r="BU79" s="290">
        <v>0</v>
      </c>
      <c r="BV79" s="290">
        <v>36</v>
      </c>
      <c r="BW79" s="290">
        <v>0</v>
      </c>
      <c r="BX79" s="290">
        <v>0</v>
      </c>
      <c r="BY79" s="290">
        <v>253</v>
      </c>
      <c r="BZ79" s="290">
        <v>0</v>
      </c>
      <c r="CA79" s="290">
        <v>116.98</v>
      </c>
      <c r="CB79" s="290">
        <v>30</v>
      </c>
      <c r="CC79" s="290">
        <v>0</v>
      </c>
      <c r="CD79" s="290">
        <v>0</v>
      </c>
      <c r="CE79" s="290">
        <v>65788.322</v>
      </c>
      <c r="CF79" s="290">
        <v>3113.3016261481189</v>
      </c>
      <c r="CG79" s="290">
        <v>3736.9214197039305</v>
      </c>
      <c r="CH79" s="290">
        <v>4355.9726929413901</v>
      </c>
      <c r="CI79" s="290">
        <v>4971.5996263033448</v>
      </c>
      <c r="CJ79" s="290"/>
    </row>
    <row r="80" spans="1:88" ht="13">
      <c r="A80" s="1">
        <v>1848</v>
      </c>
      <c r="B80" s="2" t="s">
        <v>199</v>
      </c>
      <c r="C80" s="289">
        <v>2586</v>
      </c>
      <c r="D80" s="290">
        <v>37</v>
      </c>
      <c r="E80" s="290">
        <v>93</v>
      </c>
      <c r="F80" s="290">
        <v>277</v>
      </c>
      <c r="G80" s="290">
        <v>178</v>
      </c>
      <c r="H80" s="290">
        <v>1398</v>
      </c>
      <c r="I80" s="290">
        <v>447</v>
      </c>
      <c r="J80" s="290">
        <v>132</v>
      </c>
      <c r="K80" s="290">
        <v>36</v>
      </c>
      <c r="L80" s="290">
        <v>19</v>
      </c>
      <c r="M80" s="290">
        <v>313</v>
      </c>
      <c r="N80" s="290">
        <v>26</v>
      </c>
      <c r="O80" s="290">
        <v>34</v>
      </c>
      <c r="P80" s="624">
        <v>45698.279000000002</v>
      </c>
      <c r="Q80" s="624">
        <v>15330.714666669999</v>
      </c>
      <c r="R80" s="1039">
        <v>11</v>
      </c>
      <c r="S80" s="290">
        <v>0</v>
      </c>
      <c r="T80" s="290">
        <v>227</v>
      </c>
      <c r="U80" s="958">
        <v>2.4097977321868021E-3</v>
      </c>
      <c r="V80" s="290">
        <v>1616.3985154899999</v>
      </c>
      <c r="W80" s="765">
        <v>1</v>
      </c>
      <c r="X80" s="290">
        <v>0</v>
      </c>
      <c r="Y80" s="290"/>
      <c r="Z80" s="290">
        <v>77671.702999999994</v>
      </c>
      <c r="AA80" s="290">
        <v>0</v>
      </c>
      <c r="AB80" s="290">
        <v>77</v>
      </c>
      <c r="AC80" s="290">
        <v>143</v>
      </c>
      <c r="AD80" s="290">
        <v>75</v>
      </c>
      <c r="AE80" s="290">
        <v>0</v>
      </c>
      <c r="AF80" s="290">
        <v>0</v>
      </c>
      <c r="AG80" s="290">
        <v>2598</v>
      </c>
      <c r="AH80" s="290">
        <v>380</v>
      </c>
      <c r="AI80" s="290">
        <v>3000</v>
      </c>
      <c r="AJ80" s="290">
        <v>0</v>
      </c>
      <c r="AK80" s="290">
        <v>0</v>
      </c>
      <c r="AL80" s="290">
        <v>4853</v>
      </c>
      <c r="AM80" s="957">
        <v>3.0566050000000001E-2</v>
      </c>
      <c r="AN80" s="290">
        <v>0</v>
      </c>
      <c r="AO80" s="290">
        <v>-809.06634413999996</v>
      </c>
      <c r="AP80" s="290">
        <v>0</v>
      </c>
      <c r="AQ80" s="290">
        <v>0</v>
      </c>
      <c r="AR80" s="290">
        <v>-98.117344169999996</v>
      </c>
      <c r="AS80" s="290">
        <v>215.14850000000001</v>
      </c>
      <c r="AT80" s="290">
        <v>105</v>
      </c>
      <c r="AU80" s="290">
        <v>18</v>
      </c>
      <c r="AV80" s="766">
        <v>109868</v>
      </c>
      <c r="AW80" s="290">
        <v>0</v>
      </c>
      <c r="AX80" s="766">
        <v>15.458349999999999</v>
      </c>
      <c r="AY80" s="290">
        <v>486</v>
      </c>
      <c r="AZ80" s="290">
        <v>110</v>
      </c>
      <c r="BA80" s="290">
        <v>53</v>
      </c>
      <c r="BB80" s="290">
        <v>6034</v>
      </c>
      <c r="BC80" s="290">
        <v>4241.7562063799996</v>
      </c>
      <c r="BD80" s="290"/>
      <c r="BE80" s="290">
        <v>109326.16821870999</v>
      </c>
      <c r="BF80" s="290">
        <v>0</v>
      </c>
      <c r="BG80" s="290">
        <v>2127</v>
      </c>
      <c r="BH80" s="290">
        <v>500</v>
      </c>
      <c r="BI80" s="290">
        <v>598</v>
      </c>
      <c r="BJ80" s="290">
        <v>30</v>
      </c>
      <c r="BK80" s="290">
        <v>83</v>
      </c>
      <c r="BL80" s="290">
        <v>0</v>
      </c>
      <c r="BM80" s="290">
        <v>0</v>
      </c>
      <c r="BN80" s="290">
        <v>52</v>
      </c>
      <c r="BO80" s="290">
        <v>-20</v>
      </c>
      <c r="BP80" s="290">
        <v>240</v>
      </c>
      <c r="BQ80" s="290">
        <v>480</v>
      </c>
      <c r="BR80" s="290">
        <v>363</v>
      </c>
      <c r="BS80" s="290">
        <v>56</v>
      </c>
      <c r="BT80" s="290">
        <v>0</v>
      </c>
      <c r="BU80" s="290">
        <v>0</v>
      </c>
      <c r="BV80" s="290">
        <v>48</v>
      </c>
      <c r="BW80" s="290">
        <v>0</v>
      </c>
      <c r="BX80" s="290">
        <v>0</v>
      </c>
      <c r="BY80" s="290">
        <v>334</v>
      </c>
      <c r="BZ80" s="290">
        <v>0</v>
      </c>
      <c r="CA80" s="290">
        <v>582</v>
      </c>
      <c r="CB80" s="290">
        <v>36</v>
      </c>
      <c r="CC80" s="290">
        <v>0</v>
      </c>
      <c r="CD80" s="290">
        <v>0</v>
      </c>
      <c r="CE80" s="290">
        <v>77671.702999999994</v>
      </c>
      <c r="CF80" s="290">
        <v>0</v>
      </c>
      <c r="CG80" s="290">
        <v>0</v>
      </c>
      <c r="CH80" s="290">
        <v>0</v>
      </c>
      <c r="CI80" s="290">
        <v>0</v>
      </c>
      <c r="CJ80" s="290"/>
    </row>
    <row r="81" spans="1:88" ht="13">
      <c r="A81" s="1">
        <v>1851</v>
      </c>
      <c r="B81" s="2" t="s">
        <v>202</v>
      </c>
      <c r="C81" s="289">
        <v>2003</v>
      </c>
      <c r="D81" s="290">
        <v>22</v>
      </c>
      <c r="E81" s="290">
        <v>46</v>
      </c>
      <c r="F81" s="290">
        <v>201</v>
      </c>
      <c r="G81" s="290">
        <v>153</v>
      </c>
      <c r="H81" s="290">
        <v>1063</v>
      </c>
      <c r="I81" s="290">
        <v>377</v>
      </c>
      <c r="J81" s="290">
        <v>123</v>
      </c>
      <c r="K81" s="290">
        <v>38</v>
      </c>
      <c r="L81" s="290">
        <v>16</v>
      </c>
      <c r="M81" s="290">
        <v>237</v>
      </c>
      <c r="N81" s="290">
        <v>47</v>
      </c>
      <c r="O81" s="290">
        <v>27</v>
      </c>
      <c r="P81" s="624">
        <v>15126.40633333</v>
      </c>
      <c r="Q81" s="624">
        <v>6533.9049999999997</v>
      </c>
      <c r="R81" s="1039">
        <v>18</v>
      </c>
      <c r="S81" s="290">
        <v>0</v>
      </c>
      <c r="T81" s="290">
        <v>190</v>
      </c>
      <c r="U81" s="958">
        <v>6.8943526517943252E-4</v>
      </c>
      <c r="V81" s="290">
        <v>1328.6532326900001</v>
      </c>
      <c r="W81" s="765">
        <v>1</v>
      </c>
      <c r="X81" s="290">
        <v>0</v>
      </c>
      <c r="Y81" s="290"/>
      <c r="Z81" s="290">
        <v>60382.305</v>
      </c>
      <c r="AA81" s="290">
        <v>5257</v>
      </c>
      <c r="AB81" s="290">
        <v>65</v>
      </c>
      <c r="AC81" s="290">
        <v>101</v>
      </c>
      <c r="AD81" s="290">
        <v>59</v>
      </c>
      <c r="AE81" s="290">
        <v>0</v>
      </c>
      <c r="AF81" s="290">
        <v>0</v>
      </c>
      <c r="AG81" s="290">
        <v>2023</v>
      </c>
      <c r="AH81" s="290">
        <v>268</v>
      </c>
      <c r="AI81" s="290">
        <v>600</v>
      </c>
      <c r="AJ81" s="290">
        <v>0</v>
      </c>
      <c r="AK81" s="290">
        <v>0</v>
      </c>
      <c r="AL81" s="290">
        <v>3785</v>
      </c>
      <c r="AM81" s="957">
        <v>8.7103310000000003E-2</v>
      </c>
      <c r="AN81" s="290">
        <v>0</v>
      </c>
      <c r="AO81" s="290">
        <v>-665.03934722999998</v>
      </c>
      <c r="AP81" s="290">
        <v>0</v>
      </c>
      <c r="AQ81" s="290">
        <v>0</v>
      </c>
      <c r="AR81" s="290">
        <v>-76.401611729999999</v>
      </c>
      <c r="AS81" s="290">
        <v>170.108</v>
      </c>
      <c r="AT81" s="290">
        <v>110</v>
      </c>
      <c r="AU81" s="290">
        <v>26</v>
      </c>
      <c r="AV81" s="766">
        <v>97435</v>
      </c>
      <c r="AW81" s="290">
        <v>0</v>
      </c>
      <c r="AX81" s="766">
        <v>8.1666500000000006</v>
      </c>
      <c r="AY81" s="290">
        <v>374</v>
      </c>
      <c r="AZ81" s="290">
        <v>126</v>
      </c>
      <c r="BA81" s="290">
        <v>60</v>
      </c>
      <c r="BB81" s="290">
        <v>6034</v>
      </c>
      <c r="BC81" s="290">
        <v>3513.5697284399998</v>
      </c>
      <c r="BD81" s="290"/>
      <c r="BE81" s="290">
        <v>94221.425803200007</v>
      </c>
      <c r="BF81" s="290">
        <v>0</v>
      </c>
      <c r="BG81" s="290">
        <v>1656</v>
      </c>
      <c r="BH81" s="290">
        <v>500</v>
      </c>
      <c r="BI81" s="290">
        <v>428</v>
      </c>
      <c r="BJ81" s="290">
        <v>24</v>
      </c>
      <c r="BK81" s="290">
        <v>44</v>
      </c>
      <c r="BL81" s="290">
        <v>0</v>
      </c>
      <c r="BM81" s="290">
        <v>0</v>
      </c>
      <c r="BN81" s="290">
        <v>27</v>
      </c>
      <c r="BO81" s="290">
        <v>-20</v>
      </c>
      <c r="BP81" s="290">
        <v>186</v>
      </c>
      <c r="BQ81" s="290">
        <v>372</v>
      </c>
      <c r="BR81" s="290">
        <v>281</v>
      </c>
      <c r="BS81" s="290">
        <v>44</v>
      </c>
      <c r="BT81" s="290">
        <v>0</v>
      </c>
      <c r="BU81" s="290">
        <v>0</v>
      </c>
      <c r="BV81" s="290">
        <v>25</v>
      </c>
      <c r="BW81" s="290">
        <v>-21491</v>
      </c>
      <c r="BX81" s="290">
        <v>0</v>
      </c>
      <c r="BY81" s="290">
        <v>278</v>
      </c>
      <c r="BZ81" s="290">
        <v>0</v>
      </c>
      <c r="CA81" s="290">
        <v>127.027</v>
      </c>
      <c r="CB81" s="290">
        <v>31</v>
      </c>
      <c r="CC81" s="290">
        <v>0</v>
      </c>
      <c r="CD81" s="290">
        <v>0</v>
      </c>
      <c r="CE81" s="290">
        <v>60382.305</v>
      </c>
      <c r="CF81" s="290">
        <v>0</v>
      </c>
      <c r="CG81" s="290">
        <v>0</v>
      </c>
      <c r="CH81" s="290">
        <v>0</v>
      </c>
      <c r="CI81" s="290">
        <v>0</v>
      </c>
      <c r="CJ81" s="290"/>
    </row>
    <row r="82" spans="1:88" ht="13">
      <c r="A82" s="1">
        <v>1853</v>
      </c>
      <c r="B82" s="2" t="s">
        <v>204</v>
      </c>
      <c r="C82" s="289">
        <v>1324</v>
      </c>
      <c r="D82" s="290">
        <v>20</v>
      </c>
      <c r="E82" s="290">
        <v>36</v>
      </c>
      <c r="F82" s="290">
        <v>131</v>
      </c>
      <c r="G82" s="290">
        <v>123</v>
      </c>
      <c r="H82" s="290">
        <v>681</v>
      </c>
      <c r="I82" s="290">
        <v>275</v>
      </c>
      <c r="J82" s="290">
        <v>66</v>
      </c>
      <c r="K82" s="290">
        <v>24</v>
      </c>
      <c r="L82" s="290">
        <v>10</v>
      </c>
      <c r="M82" s="290">
        <v>171</v>
      </c>
      <c r="N82" s="290">
        <v>17</v>
      </c>
      <c r="O82" s="290">
        <v>21</v>
      </c>
      <c r="P82" s="624">
        <v>11011.587</v>
      </c>
      <c r="Q82" s="624">
        <v>5992.1506666699997</v>
      </c>
      <c r="R82" s="1039">
        <v>8</v>
      </c>
      <c r="S82" s="290">
        <v>0</v>
      </c>
      <c r="T82" s="290">
        <v>106</v>
      </c>
      <c r="U82" s="958">
        <v>7.94328607867621E-4</v>
      </c>
      <c r="V82" s="290">
        <v>890.84409008</v>
      </c>
      <c r="W82" s="765">
        <v>0.93563951999999995</v>
      </c>
      <c r="X82" s="290">
        <v>0</v>
      </c>
      <c r="Y82" s="290"/>
      <c r="Z82" s="290">
        <v>33557.152999999998</v>
      </c>
      <c r="AA82" s="290">
        <v>0</v>
      </c>
      <c r="AB82" s="290">
        <v>44</v>
      </c>
      <c r="AC82" s="290">
        <v>71</v>
      </c>
      <c r="AD82" s="290">
        <v>45</v>
      </c>
      <c r="AE82" s="290">
        <v>0</v>
      </c>
      <c r="AF82" s="290">
        <v>0</v>
      </c>
      <c r="AG82" s="290">
        <v>1356</v>
      </c>
      <c r="AH82" s="290">
        <v>191</v>
      </c>
      <c r="AI82" s="290">
        <v>1000</v>
      </c>
      <c r="AJ82" s="290">
        <v>3000</v>
      </c>
      <c r="AK82" s="290">
        <v>0</v>
      </c>
      <c r="AL82" s="290">
        <v>2509</v>
      </c>
      <c r="AM82" s="957">
        <v>4.0287179999999999E-2</v>
      </c>
      <c r="AN82" s="290">
        <v>0</v>
      </c>
      <c r="AO82" s="290">
        <v>-445.8999215</v>
      </c>
      <c r="AP82" s="290">
        <v>0</v>
      </c>
      <c r="AQ82" s="290">
        <v>0</v>
      </c>
      <c r="AR82" s="290">
        <v>1261.3347733099999</v>
      </c>
      <c r="AS82" s="290">
        <v>119.4145</v>
      </c>
      <c r="AT82" s="290">
        <v>63</v>
      </c>
      <c r="AU82" s="290">
        <v>14</v>
      </c>
      <c r="AV82" s="766">
        <v>69362</v>
      </c>
      <c r="AW82" s="290">
        <v>0</v>
      </c>
      <c r="AX82" s="766">
        <v>7.3333000000000004</v>
      </c>
      <c r="AY82" s="290">
        <v>234</v>
      </c>
      <c r="AZ82" s="290">
        <v>83</v>
      </c>
      <c r="BA82" s="290">
        <v>22</v>
      </c>
      <c r="BB82" s="290">
        <v>6034</v>
      </c>
      <c r="BC82" s="290">
        <v>2124.3021174199998</v>
      </c>
      <c r="BD82" s="290"/>
      <c r="BE82" s="290">
        <v>65166.162063750002</v>
      </c>
      <c r="BF82" s="290">
        <v>0</v>
      </c>
      <c r="BG82" s="290">
        <v>1110</v>
      </c>
      <c r="BH82" s="290">
        <v>500</v>
      </c>
      <c r="BI82" s="290">
        <v>307</v>
      </c>
      <c r="BJ82" s="290">
        <v>16</v>
      </c>
      <c r="BK82" s="290">
        <v>34</v>
      </c>
      <c r="BL82" s="290">
        <v>0</v>
      </c>
      <c r="BM82" s="290">
        <v>0</v>
      </c>
      <c r="BN82" s="290">
        <v>21</v>
      </c>
      <c r="BO82" s="290">
        <v>-11</v>
      </c>
      <c r="BP82" s="290">
        <v>123</v>
      </c>
      <c r="BQ82" s="290">
        <v>246</v>
      </c>
      <c r="BR82" s="290">
        <v>186</v>
      </c>
      <c r="BS82" s="290">
        <v>34</v>
      </c>
      <c r="BT82" s="290">
        <v>0</v>
      </c>
      <c r="BU82" s="290">
        <v>0</v>
      </c>
      <c r="BV82" s="290">
        <v>19</v>
      </c>
      <c r="BW82" s="290">
        <v>0</v>
      </c>
      <c r="BX82" s="290">
        <v>0</v>
      </c>
      <c r="BY82" s="290">
        <v>188</v>
      </c>
      <c r="BZ82" s="290">
        <v>1046.0999999999999</v>
      </c>
      <c r="CA82" s="290">
        <v>162</v>
      </c>
      <c r="CB82" s="290">
        <v>24</v>
      </c>
      <c r="CC82" s="290">
        <v>0</v>
      </c>
      <c r="CD82" s="290">
        <v>0</v>
      </c>
      <c r="CE82" s="290">
        <v>33557.152999999998</v>
      </c>
      <c r="CF82" s="290">
        <v>0</v>
      </c>
      <c r="CG82" s="290">
        <v>0</v>
      </c>
      <c r="CH82" s="290">
        <v>0</v>
      </c>
      <c r="CI82" s="290">
        <v>0</v>
      </c>
      <c r="CJ82" s="290"/>
    </row>
    <row r="83" spans="1:88" ht="13">
      <c r="A83" s="1">
        <v>1856</v>
      </c>
      <c r="B83" s="2" t="s">
        <v>206</v>
      </c>
      <c r="C83" s="289">
        <v>488</v>
      </c>
      <c r="D83" s="290">
        <v>7</v>
      </c>
      <c r="E83" s="290">
        <v>10</v>
      </c>
      <c r="F83" s="290">
        <v>47</v>
      </c>
      <c r="G83" s="290">
        <v>39</v>
      </c>
      <c r="H83" s="290">
        <v>287</v>
      </c>
      <c r="I83" s="290">
        <v>61</v>
      </c>
      <c r="J83" s="290">
        <v>29</v>
      </c>
      <c r="K83" s="290">
        <v>7</v>
      </c>
      <c r="L83" s="290">
        <v>5</v>
      </c>
      <c r="M83" s="290">
        <v>57</v>
      </c>
      <c r="N83" s="290">
        <v>0</v>
      </c>
      <c r="O83" s="290">
        <v>5</v>
      </c>
      <c r="P83" s="624">
        <v>320.66766667000002</v>
      </c>
      <c r="Q83" s="624">
        <v>698.22033333000002</v>
      </c>
      <c r="R83" s="1039">
        <v>0</v>
      </c>
      <c r="S83" s="290">
        <v>0</v>
      </c>
      <c r="T83" s="290">
        <v>73</v>
      </c>
      <c r="U83" s="958">
        <v>1.2623892000019688E-4</v>
      </c>
      <c r="V83" s="290">
        <v>391.31535248</v>
      </c>
      <c r="W83" s="765">
        <v>1</v>
      </c>
      <c r="X83" s="290">
        <v>0</v>
      </c>
      <c r="Y83" s="290"/>
      <c r="Z83" s="290">
        <v>19717.026999999998</v>
      </c>
      <c r="AA83" s="290">
        <v>0</v>
      </c>
      <c r="AB83" s="290">
        <v>13</v>
      </c>
      <c r="AC83" s="290">
        <v>31</v>
      </c>
      <c r="AD83" s="290">
        <v>25</v>
      </c>
      <c r="AE83" s="290">
        <v>0</v>
      </c>
      <c r="AF83" s="290">
        <v>0</v>
      </c>
      <c r="AG83" s="290">
        <v>487</v>
      </c>
      <c r="AH83" s="290">
        <v>100</v>
      </c>
      <c r="AI83" s="290">
        <v>2555</v>
      </c>
      <c r="AJ83" s="290">
        <v>0</v>
      </c>
      <c r="AK83" s="290">
        <v>19</v>
      </c>
      <c r="AL83" s="290">
        <v>927</v>
      </c>
      <c r="AM83" s="957">
        <v>8.9998500000000002E-3</v>
      </c>
      <c r="AN83" s="290">
        <v>0</v>
      </c>
      <c r="AO83" s="290">
        <v>-195.86758995</v>
      </c>
      <c r="AP83" s="290">
        <v>0</v>
      </c>
      <c r="AQ83" s="290">
        <v>0</v>
      </c>
      <c r="AR83" s="290">
        <v>192.62451629</v>
      </c>
      <c r="AS83" s="290">
        <v>51.269500000000001</v>
      </c>
      <c r="AT83" s="290">
        <v>31</v>
      </c>
      <c r="AU83" s="290">
        <v>6</v>
      </c>
      <c r="AV83" s="766">
        <v>36767</v>
      </c>
      <c r="AW83" s="290">
        <v>0</v>
      </c>
      <c r="AX83" s="766">
        <v>2.75</v>
      </c>
      <c r="AY83" s="290">
        <v>62</v>
      </c>
      <c r="AZ83" s="290">
        <v>12</v>
      </c>
      <c r="BA83" s="290">
        <v>15</v>
      </c>
      <c r="BB83" s="290">
        <v>6034</v>
      </c>
      <c r="BC83" s="290">
        <v>1018.774</v>
      </c>
      <c r="BD83" s="290"/>
      <c r="BE83" s="290">
        <v>35302.022192500001</v>
      </c>
      <c r="BF83" s="290">
        <v>0</v>
      </c>
      <c r="BG83" s="290">
        <v>399</v>
      </c>
      <c r="BH83" s="290">
        <v>500</v>
      </c>
      <c r="BI83" s="290">
        <v>175</v>
      </c>
      <c r="BJ83" s="290">
        <v>6</v>
      </c>
      <c r="BK83" s="290">
        <v>10</v>
      </c>
      <c r="BL83" s="290">
        <v>0</v>
      </c>
      <c r="BM83" s="290">
        <v>0</v>
      </c>
      <c r="BN83" s="290">
        <v>6</v>
      </c>
      <c r="BO83" s="290">
        <v>-5</v>
      </c>
      <c r="BP83" s="290">
        <v>45</v>
      </c>
      <c r="BQ83" s="290">
        <v>91</v>
      </c>
      <c r="BR83" s="290">
        <v>69</v>
      </c>
      <c r="BS83" s="290">
        <v>19</v>
      </c>
      <c r="BT83" s="290">
        <v>0</v>
      </c>
      <c r="BU83" s="290">
        <v>0</v>
      </c>
      <c r="BV83" s="290">
        <v>6</v>
      </c>
      <c r="BW83" s="290">
        <v>0</v>
      </c>
      <c r="BX83" s="290">
        <v>0</v>
      </c>
      <c r="BY83" s="290">
        <v>56</v>
      </c>
      <c r="BZ83" s="290">
        <v>0</v>
      </c>
      <c r="CA83" s="290">
        <v>37.411999999999999</v>
      </c>
      <c r="CB83" s="290">
        <v>18</v>
      </c>
      <c r="CC83" s="290">
        <v>0</v>
      </c>
      <c r="CD83" s="290">
        <v>0</v>
      </c>
      <c r="CE83" s="290">
        <v>19717.026999999998</v>
      </c>
      <c r="CF83" s="290">
        <v>0</v>
      </c>
      <c r="CG83" s="290">
        <v>0</v>
      </c>
      <c r="CH83" s="290">
        <v>0</v>
      </c>
      <c r="CI83" s="290">
        <v>0</v>
      </c>
      <c r="CJ83" s="290"/>
    </row>
    <row r="84" spans="1:88" ht="13">
      <c r="A84" s="1">
        <v>1857</v>
      </c>
      <c r="B84" s="2" t="s">
        <v>207</v>
      </c>
      <c r="C84" s="289">
        <v>698</v>
      </c>
      <c r="D84" s="290">
        <v>9</v>
      </c>
      <c r="E84" s="290">
        <v>26</v>
      </c>
      <c r="F84" s="290">
        <v>79</v>
      </c>
      <c r="G84" s="290">
        <v>49</v>
      </c>
      <c r="H84" s="290">
        <v>403</v>
      </c>
      <c r="I84" s="290">
        <v>99</v>
      </c>
      <c r="J84" s="290">
        <v>37</v>
      </c>
      <c r="K84" s="290">
        <v>8</v>
      </c>
      <c r="L84" s="290">
        <v>6</v>
      </c>
      <c r="M84" s="290">
        <v>70</v>
      </c>
      <c r="N84" s="290">
        <v>0</v>
      </c>
      <c r="O84" s="290">
        <v>8</v>
      </c>
      <c r="P84" s="624">
        <v>180.61500000000001</v>
      </c>
      <c r="Q84" s="624">
        <v>4004.0836666700002</v>
      </c>
      <c r="R84" s="1039">
        <v>8</v>
      </c>
      <c r="S84" s="290">
        <v>0</v>
      </c>
      <c r="T84" s="290">
        <v>74</v>
      </c>
      <c r="U84" s="958">
        <v>6.5344350219726215E-5</v>
      </c>
      <c r="V84" s="290">
        <v>570.23161947999995</v>
      </c>
      <c r="W84" s="765">
        <v>1</v>
      </c>
      <c r="X84" s="290">
        <v>0</v>
      </c>
      <c r="Y84" s="290"/>
      <c r="Z84" s="290">
        <v>26622.635999999999</v>
      </c>
      <c r="AA84" s="290">
        <v>0</v>
      </c>
      <c r="AB84" s="290">
        <v>13</v>
      </c>
      <c r="AC84" s="290">
        <v>46</v>
      </c>
      <c r="AD84" s="290">
        <v>30</v>
      </c>
      <c r="AE84" s="290">
        <v>0</v>
      </c>
      <c r="AF84" s="290">
        <v>0</v>
      </c>
      <c r="AG84" s="290">
        <v>710</v>
      </c>
      <c r="AH84" s="290">
        <v>105</v>
      </c>
      <c r="AI84" s="290">
        <v>3000</v>
      </c>
      <c r="AJ84" s="290">
        <v>0</v>
      </c>
      <c r="AK84" s="290">
        <v>0</v>
      </c>
      <c r="AL84" s="290">
        <v>1355</v>
      </c>
      <c r="AM84" s="957">
        <v>3.0793379999999999E-2</v>
      </c>
      <c r="AN84" s="290">
        <v>0</v>
      </c>
      <c r="AO84" s="290">
        <v>-285.42169969999998</v>
      </c>
      <c r="AP84" s="290">
        <v>0</v>
      </c>
      <c r="AQ84" s="290">
        <v>0</v>
      </c>
      <c r="AR84" s="290">
        <v>-26.81420876</v>
      </c>
      <c r="AS84" s="290">
        <v>76.122500000000002</v>
      </c>
      <c r="AT84" s="290">
        <v>20</v>
      </c>
      <c r="AU84" s="290">
        <v>17</v>
      </c>
      <c r="AV84" s="766">
        <v>47947</v>
      </c>
      <c r="AW84" s="290">
        <v>0</v>
      </c>
      <c r="AX84" s="766">
        <v>3.75</v>
      </c>
      <c r="AY84" s="290">
        <v>75</v>
      </c>
      <c r="AZ84" s="290">
        <v>48</v>
      </c>
      <c r="BA84" s="290">
        <v>20</v>
      </c>
      <c r="BB84" s="290">
        <v>6034</v>
      </c>
      <c r="BC84" s="290">
        <v>1331.0264652200001</v>
      </c>
      <c r="BD84" s="290"/>
      <c r="BE84" s="290">
        <v>48603.450873649999</v>
      </c>
      <c r="BF84" s="290">
        <v>0</v>
      </c>
      <c r="BG84" s="290">
        <v>581</v>
      </c>
      <c r="BH84" s="290">
        <v>500</v>
      </c>
      <c r="BI84" s="290">
        <v>181</v>
      </c>
      <c r="BJ84" s="290">
        <v>9</v>
      </c>
      <c r="BK84" s="290">
        <v>22</v>
      </c>
      <c r="BL84" s="290">
        <v>0</v>
      </c>
      <c r="BM84" s="290">
        <v>0</v>
      </c>
      <c r="BN84" s="290">
        <v>14</v>
      </c>
      <c r="BO84" s="290">
        <v>-6</v>
      </c>
      <c r="BP84" s="290">
        <v>65</v>
      </c>
      <c r="BQ84" s="290">
        <v>129</v>
      </c>
      <c r="BR84" s="290">
        <v>98</v>
      </c>
      <c r="BS84" s="290">
        <v>23</v>
      </c>
      <c r="BT84" s="290">
        <v>0</v>
      </c>
      <c r="BU84" s="290">
        <v>0</v>
      </c>
      <c r="BV84" s="290">
        <v>13</v>
      </c>
      <c r="BW84" s="290">
        <v>0</v>
      </c>
      <c r="BX84" s="290">
        <v>0</v>
      </c>
      <c r="BY84" s="290">
        <v>82</v>
      </c>
      <c r="BZ84" s="290">
        <v>0</v>
      </c>
      <c r="CA84" s="290">
        <v>54.518000000000001</v>
      </c>
      <c r="CB84" s="290">
        <v>20</v>
      </c>
      <c r="CC84" s="290">
        <v>0</v>
      </c>
      <c r="CD84" s="290">
        <v>0</v>
      </c>
      <c r="CE84" s="290">
        <v>26622.635999999999</v>
      </c>
      <c r="CF84" s="290">
        <v>0</v>
      </c>
      <c r="CG84" s="290">
        <v>0</v>
      </c>
      <c r="CH84" s="290">
        <v>0</v>
      </c>
      <c r="CI84" s="290">
        <v>0</v>
      </c>
      <c r="CJ84" s="290"/>
    </row>
    <row r="85" spans="1:88" ht="13">
      <c r="A85" s="1">
        <v>1859</v>
      </c>
      <c r="B85" s="2" t="s">
        <v>208</v>
      </c>
      <c r="C85" s="289">
        <v>1238</v>
      </c>
      <c r="D85" s="290">
        <v>19</v>
      </c>
      <c r="E85" s="290">
        <v>33</v>
      </c>
      <c r="F85" s="290">
        <v>119</v>
      </c>
      <c r="G85" s="290">
        <v>112</v>
      </c>
      <c r="H85" s="290">
        <v>668</v>
      </c>
      <c r="I85" s="290">
        <v>198</v>
      </c>
      <c r="J85" s="290">
        <v>94</v>
      </c>
      <c r="K85" s="290">
        <v>18</v>
      </c>
      <c r="L85" s="290">
        <v>10</v>
      </c>
      <c r="M85" s="290">
        <v>149</v>
      </c>
      <c r="N85" s="290">
        <v>1.5</v>
      </c>
      <c r="O85" s="290">
        <v>14</v>
      </c>
      <c r="P85" s="624">
        <v>12817.787666669999</v>
      </c>
      <c r="Q85" s="624">
        <v>5525.8419999999996</v>
      </c>
      <c r="R85" s="1039">
        <v>9</v>
      </c>
      <c r="S85" s="290">
        <v>0</v>
      </c>
      <c r="T85" s="290">
        <v>102</v>
      </c>
      <c r="U85" s="958">
        <v>5.836260293420962E-4</v>
      </c>
      <c r="V85" s="290">
        <v>-2847.9521313700002</v>
      </c>
      <c r="W85" s="765">
        <v>0.93344099000000003</v>
      </c>
      <c r="X85" s="290">
        <v>0</v>
      </c>
      <c r="Y85" s="290"/>
      <c r="Z85" s="290">
        <v>39684.923000000003</v>
      </c>
      <c r="AA85" s="290">
        <v>1383</v>
      </c>
      <c r="AB85" s="290">
        <v>26</v>
      </c>
      <c r="AC85" s="290">
        <v>65</v>
      </c>
      <c r="AD85" s="290">
        <v>42</v>
      </c>
      <c r="AE85" s="290">
        <v>0</v>
      </c>
      <c r="AF85" s="290">
        <v>0</v>
      </c>
      <c r="AG85" s="290">
        <v>1261</v>
      </c>
      <c r="AH85" s="290">
        <v>177</v>
      </c>
      <c r="AI85" s="290">
        <v>0</v>
      </c>
      <c r="AJ85" s="290">
        <v>0</v>
      </c>
      <c r="AK85" s="290">
        <v>0</v>
      </c>
      <c r="AL85" s="290">
        <v>2367</v>
      </c>
      <c r="AM85" s="957">
        <v>1.0769569999999999E-2</v>
      </c>
      <c r="AN85" s="290">
        <v>0</v>
      </c>
      <c r="AO85" s="290">
        <v>-424.47885353999999</v>
      </c>
      <c r="AP85" s="290">
        <v>0</v>
      </c>
      <c r="AQ85" s="290">
        <v>0</v>
      </c>
      <c r="AR85" s="290">
        <v>306.20513481</v>
      </c>
      <c r="AS85" s="290">
        <v>114.6095</v>
      </c>
      <c r="AT85" s="290">
        <v>41</v>
      </c>
      <c r="AU85" s="290">
        <v>17</v>
      </c>
      <c r="AV85" s="766">
        <v>63075</v>
      </c>
      <c r="AW85" s="290">
        <v>0</v>
      </c>
      <c r="AX85" s="766">
        <v>10.25</v>
      </c>
      <c r="AY85" s="290">
        <v>195</v>
      </c>
      <c r="AZ85" s="290">
        <v>25</v>
      </c>
      <c r="BA85" s="290">
        <v>17</v>
      </c>
      <c r="BB85" s="290">
        <v>6034</v>
      </c>
      <c r="BC85" s="290">
        <v>2465.6630568</v>
      </c>
      <c r="BD85" s="290"/>
      <c r="BE85" s="290">
        <v>59541.943574390003</v>
      </c>
      <c r="BF85" s="290">
        <v>0</v>
      </c>
      <c r="BG85" s="290">
        <v>1032</v>
      </c>
      <c r="BH85" s="290">
        <v>500</v>
      </c>
      <c r="BI85" s="290">
        <v>284</v>
      </c>
      <c r="BJ85" s="290">
        <v>15</v>
      </c>
      <c r="BK85" s="290">
        <v>33</v>
      </c>
      <c r="BL85" s="290">
        <v>0</v>
      </c>
      <c r="BM85" s="290">
        <v>0</v>
      </c>
      <c r="BN85" s="290">
        <v>20</v>
      </c>
      <c r="BO85" s="290">
        <v>-8</v>
      </c>
      <c r="BP85" s="290">
        <v>115</v>
      </c>
      <c r="BQ85" s="290">
        <v>230</v>
      </c>
      <c r="BR85" s="290">
        <v>174</v>
      </c>
      <c r="BS85" s="290">
        <v>32</v>
      </c>
      <c r="BT85" s="290">
        <v>0</v>
      </c>
      <c r="BU85" s="290">
        <v>0</v>
      </c>
      <c r="BV85" s="290">
        <v>19</v>
      </c>
      <c r="BW85" s="290">
        <v>0</v>
      </c>
      <c r="BX85" s="290">
        <v>0</v>
      </c>
      <c r="BY85" s="290">
        <v>159</v>
      </c>
      <c r="BZ85" s="290">
        <v>0</v>
      </c>
      <c r="CA85" s="290">
        <v>2314</v>
      </c>
      <c r="CB85" s="290">
        <v>24</v>
      </c>
      <c r="CC85" s="290">
        <v>0</v>
      </c>
      <c r="CD85" s="290">
        <v>0</v>
      </c>
      <c r="CE85" s="290">
        <v>39684.923000000003</v>
      </c>
      <c r="CF85" s="290">
        <v>0</v>
      </c>
      <c r="CG85" s="290">
        <v>0</v>
      </c>
      <c r="CH85" s="290">
        <v>0</v>
      </c>
      <c r="CI85" s="290">
        <v>0</v>
      </c>
      <c r="CJ85" s="290"/>
    </row>
    <row r="86" spans="1:88" ht="13">
      <c r="A86" s="1">
        <v>1860</v>
      </c>
      <c r="B86" s="2" t="s">
        <v>209</v>
      </c>
      <c r="C86" s="289">
        <v>11521</v>
      </c>
      <c r="D86" s="290">
        <v>221</v>
      </c>
      <c r="E86" s="290">
        <v>523</v>
      </c>
      <c r="F86" s="290">
        <v>1416</v>
      </c>
      <c r="G86" s="290">
        <v>1017</v>
      </c>
      <c r="H86" s="290">
        <v>6278</v>
      </c>
      <c r="I86" s="290">
        <v>1452</v>
      </c>
      <c r="J86" s="290">
        <v>467</v>
      </c>
      <c r="K86" s="290">
        <v>118</v>
      </c>
      <c r="L86" s="290">
        <v>93</v>
      </c>
      <c r="M86" s="290">
        <v>1006</v>
      </c>
      <c r="N86" s="290">
        <v>201</v>
      </c>
      <c r="O86" s="290">
        <v>120</v>
      </c>
      <c r="P86" s="624">
        <v>56558.66366667</v>
      </c>
      <c r="Q86" s="624">
        <v>24677.292000000001</v>
      </c>
      <c r="R86" s="1039">
        <v>58</v>
      </c>
      <c r="S86" s="290">
        <v>0</v>
      </c>
      <c r="T86" s="290">
        <v>969</v>
      </c>
      <c r="U86" s="958">
        <v>3.632645636133774E-3</v>
      </c>
      <c r="V86" s="290">
        <v>-9886.2456475199997</v>
      </c>
      <c r="W86" s="765">
        <v>0.63720378</v>
      </c>
      <c r="X86" s="290">
        <v>0</v>
      </c>
      <c r="Y86" s="290"/>
      <c r="Z86" s="290">
        <v>333941.76899999997</v>
      </c>
      <c r="AA86" s="290">
        <v>0</v>
      </c>
      <c r="AB86" s="290">
        <v>252</v>
      </c>
      <c r="AC86" s="290">
        <v>603</v>
      </c>
      <c r="AD86" s="290">
        <v>225</v>
      </c>
      <c r="AE86" s="290">
        <v>0</v>
      </c>
      <c r="AF86" s="290">
        <v>0</v>
      </c>
      <c r="AG86" s="290">
        <v>11492</v>
      </c>
      <c r="AH86" s="290">
        <v>2048</v>
      </c>
      <c r="AI86" s="290">
        <v>3100</v>
      </c>
      <c r="AJ86" s="290">
        <v>0</v>
      </c>
      <c r="AK86" s="290">
        <v>0</v>
      </c>
      <c r="AL86" s="290">
        <v>21277</v>
      </c>
      <c r="AM86" s="957">
        <v>0.33092327999999999</v>
      </c>
      <c r="AN86" s="290">
        <v>0</v>
      </c>
      <c r="AO86" s="290">
        <v>-3138.64089646</v>
      </c>
      <c r="AP86" s="290">
        <v>0</v>
      </c>
      <c r="AQ86" s="290">
        <v>0</v>
      </c>
      <c r="AR86" s="290">
        <v>-434.01251703000003</v>
      </c>
      <c r="AS86" s="290">
        <v>939.25450000000001</v>
      </c>
      <c r="AT86" s="290">
        <v>526</v>
      </c>
      <c r="AU86" s="290">
        <v>154</v>
      </c>
      <c r="AV86" s="766">
        <v>359543</v>
      </c>
      <c r="AW86" s="290">
        <v>0</v>
      </c>
      <c r="AX86" s="766">
        <v>82.083349999999996</v>
      </c>
      <c r="AY86" s="290">
        <v>2240</v>
      </c>
      <c r="AZ86" s="290">
        <v>534</v>
      </c>
      <c r="BA86" s="290">
        <v>262</v>
      </c>
      <c r="BB86" s="290">
        <v>0</v>
      </c>
      <c r="BC86" s="290">
        <v>16700.384765760002</v>
      </c>
      <c r="BD86" s="290"/>
      <c r="BE86" s="290">
        <v>342949.93722361</v>
      </c>
      <c r="BF86" s="290">
        <v>0</v>
      </c>
      <c r="BG86" s="290">
        <v>9407</v>
      </c>
      <c r="BH86" s="290">
        <v>1000</v>
      </c>
      <c r="BI86" s="290">
        <v>2876</v>
      </c>
      <c r="BJ86" s="290">
        <v>132</v>
      </c>
      <c r="BK86" s="290">
        <v>457</v>
      </c>
      <c r="BL86" s="290">
        <v>0</v>
      </c>
      <c r="BM86" s="290">
        <v>0</v>
      </c>
      <c r="BN86" s="290">
        <v>286</v>
      </c>
      <c r="BO86" s="290">
        <v>-96</v>
      </c>
      <c r="BP86" s="290">
        <v>1068</v>
      </c>
      <c r="BQ86" s="290">
        <v>2137</v>
      </c>
      <c r="BR86" s="290">
        <v>1618</v>
      </c>
      <c r="BS86" s="290">
        <v>169</v>
      </c>
      <c r="BT86" s="290">
        <v>0</v>
      </c>
      <c r="BU86" s="290">
        <v>0</v>
      </c>
      <c r="BV86" s="290">
        <v>263</v>
      </c>
      <c r="BW86" s="290">
        <v>0</v>
      </c>
      <c r="BX86" s="290">
        <v>0</v>
      </c>
      <c r="BY86" s="290">
        <v>1217</v>
      </c>
      <c r="BZ86" s="290">
        <v>3944.82</v>
      </c>
      <c r="CA86" s="290">
        <v>599.50199999999995</v>
      </c>
      <c r="CB86" s="290">
        <v>107</v>
      </c>
      <c r="CC86" s="290">
        <v>1</v>
      </c>
      <c r="CD86" s="290">
        <v>0</v>
      </c>
      <c r="CE86" s="290">
        <v>333941.76899999997</v>
      </c>
      <c r="CF86" s="290">
        <v>0</v>
      </c>
      <c r="CG86" s="290">
        <v>0</v>
      </c>
      <c r="CH86" s="290">
        <v>0</v>
      </c>
      <c r="CI86" s="290">
        <v>0</v>
      </c>
      <c r="CJ86" s="290"/>
    </row>
    <row r="87" spans="1:88" ht="13">
      <c r="A87" s="1">
        <v>1865</v>
      </c>
      <c r="B87" s="2" t="s">
        <v>210</v>
      </c>
      <c r="C87" s="289">
        <v>9670</v>
      </c>
      <c r="D87" s="290">
        <v>178</v>
      </c>
      <c r="E87" s="290">
        <v>403</v>
      </c>
      <c r="F87" s="290">
        <v>1084</v>
      </c>
      <c r="G87" s="290">
        <v>838</v>
      </c>
      <c r="H87" s="290">
        <v>5398</v>
      </c>
      <c r="I87" s="290">
        <v>1300</v>
      </c>
      <c r="J87" s="290">
        <v>336</v>
      </c>
      <c r="K87" s="290">
        <v>84</v>
      </c>
      <c r="L87" s="290">
        <v>83</v>
      </c>
      <c r="M87" s="290">
        <v>753</v>
      </c>
      <c r="N87" s="290">
        <v>200</v>
      </c>
      <c r="O87" s="290">
        <v>137</v>
      </c>
      <c r="P87" s="624">
        <v>79361.996666670006</v>
      </c>
      <c r="Q87" s="624">
        <v>33619.179333330001</v>
      </c>
      <c r="R87" s="1039">
        <v>44</v>
      </c>
      <c r="S87" s="290">
        <v>0</v>
      </c>
      <c r="T87" s="290">
        <v>966</v>
      </c>
      <c r="U87" s="958">
        <v>1.1601737225955737E-3</v>
      </c>
      <c r="V87" s="290">
        <v>18.042166269999999</v>
      </c>
      <c r="W87" s="765">
        <v>0.67251643999999999</v>
      </c>
      <c r="X87" s="290">
        <v>0</v>
      </c>
      <c r="Y87" s="290"/>
      <c r="Z87" s="290">
        <v>306877.32699999999</v>
      </c>
      <c r="AA87" s="290">
        <v>0</v>
      </c>
      <c r="AB87" s="290">
        <v>201</v>
      </c>
      <c r="AC87" s="290">
        <v>486</v>
      </c>
      <c r="AD87" s="290">
        <v>197</v>
      </c>
      <c r="AE87" s="290">
        <v>0</v>
      </c>
      <c r="AF87" s="290">
        <v>0</v>
      </c>
      <c r="AG87" s="290">
        <v>9621</v>
      </c>
      <c r="AH87" s="290">
        <v>1594</v>
      </c>
      <c r="AI87" s="290">
        <v>5200</v>
      </c>
      <c r="AJ87" s="290">
        <v>0</v>
      </c>
      <c r="AK87" s="290">
        <v>0</v>
      </c>
      <c r="AL87" s="290">
        <v>17880</v>
      </c>
      <c r="AM87" s="957">
        <v>0.20223896999999999</v>
      </c>
      <c r="AN87" s="290">
        <v>0</v>
      </c>
      <c r="AO87" s="290">
        <v>-2546.1498233500001</v>
      </c>
      <c r="AP87" s="290">
        <v>0</v>
      </c>
      <c r="AQ87" s="290">
        <v>0</v>
      </c>
      <c r="AR87" s="290">
        <v>-363.35141197000002</v>
      </c>
      <c r="AS87" s="290">
        <v>765.26700000000005</v>
      </c>
      <c r="AT87" s="290">
        <v>449</v>
      </c>
      <c r="AU87" s="290">
        <v>99</v>
      </c>
      <c r="AV87" s="766">
        <v>294098</v>
      </c>
      <c r="AW87" s="290">
        <v>0</v>
      </c>
      <c r="AX87" s="766">
        <v>70.5</v>
      </c>
      <c r="AY87" s="290">
        <v>1973</v>
      </c>
      <c r="AZ87" s="290">
        <v>420</v>
      </c>
      <c r="BA87" s="290">
        <v>224</v>
      </c>
      <c r="BB87" s="290">
        <v>0</v>
      </c>
      <c r="BC87" s="290">
        <v>13649.917782230001</v>
      </c>
      <c r="BD87" s="290"/>
      <c r="BE87" s="290">
        <v>277395.70157732</v>
      </c>
      <c r="BF87" s="290">
        <v>0</v>
      </c>
      <c r="BG87" s="290">
        <v>7876</v>
      </c>
      <c r="BH87" s="290">
        <v>1000</v>
      </c>
      <c r="BI87" s="290">
        <v>2277</v>
      </c>
      <c r="BJ87" s="290">
        <v>111</v>
      </c>
      <c r="BK87" s="290">
        <v>360</v>
      </c>
      <c r="BL87" s="290">
        <v>0</v>
      </c>
      <c r="BM87" s="290">
        <v>0</v>
      </c>
      <c r="BN87" s="290">
        <v>225</v>
      </c>
      <c r="BO87" s="290">
        <v>-83</v>
      </c>
      <c r="BP87" s="290">
        <v>897</v>
      </c>
      <c r="BQ87" s="290">
        <v>1794</v>
      </c>
      <c r="BR87" s="290">
        <v>1358</v>
      </c>
      <c r="BS87" s="290">
        <v>148</v>
      </c>
      <c r="BT87" s="290">
        <v>0</v>
      </c>
      <c r="BU87" s="290">
        <v>0</v>
      </c>
      <c r="BV87" s="290">
        <v>207</v>
      </c>
      <c r="BW87" s="290">
        <v>0</v>
      </c>
      <c r="BX87" s="290">
        <v>0</v>
      </c>
      <c r="BY87" s="290">
        <v>1047</v>
      </c>
      <c r="BZ87" s="290">
        <v>7388.7</v>
      </c>
      <c r="CA87" s="290">
        <v>1038.2</v>
      </c>
      <c r="CB87" s="290">
        <v>92</v>
      </c>
      <c r="CC87" s="290">
        <v>1</v>
      </c>
      <c r="CD87" s="290">
        <v>0</v>
      </c>
      <c r="CE87" s="290">
        <v>306877.32699999999</v>
      </c>
      <c r="CF87" s="290">
        <v>0</v>
      </c>
      <c r="CG87" s="290">
        <v>0</v>
      </c>
      <c r="CH87" s="290">
        <v>0</v>
      </c>
      <c r="CI87" s="290">
        <v>0</v>
      </c>
      <c r="CJ87" s="290"/>
    </row>
    <row r="88" spans="1:88" ht="13">
      <c r="A88" s="1">
        <v>1866</v>
      </c>
      <c r="B88" s="2" t="s">
        <v>211</v>
      </c>
      <c r="C88" s="289">
        <v>8065</v>
      </c>
      <c r="D88" s="290">
        <v>137</v>
      </c>
      <c r="E88" s="290">
        <v>312</v>
      </c>
      <c r="F88" s="290">
        <v>895</v>
      </c>
      <c r="G88" s="290">
        <v>672</v>
      </c>
      <c r="H88" s="290">
        <v>4394</v>
      </c>
      <c r="I88" s="290">
        <v>1209</v>
      </c>
      <c r="J88" s="290">
        <v>358</v>
      </c>
      <c r="K88" s="290">
        <v>71</v>
      </c>
      <c r="L88" s="290">
        <v>70</v>
      </c>
      <c r="M88" s="290">
        <v>747</v>
      </c>
      <c r="N88" s="290">
        <v>248</v>
      </c>
      <c r="O88" s="290">
        <v>89</v>
      </c>
      <c r="P88" s="624">
        <v>68159.629000000001</v>
      </c>
      <c r="Q88" s="624">
        <v>16546.813333329999</v>
      </c>
      <c r="R88" s="1039">
        <v>38</v>
      </c>
      <c r="S88" s="290">
        <v>0</v>
      </c>
      <c r="T88" s="290">
        <v>748</v>
      </c>
      <c r="U88" s="958">
        <v>2.6580508294243481E-3</v>
      </c>
      <c r="V88" s="290">
        <v>4355.17832954</v>
      </c>
      <c r="W88" s="765">
        <v>0.71331568999999995</v>
      </c>
      <c r="X88" s="290">
        <v>0</v>
      </c>
      <c r="Y88" s="290"/>
      <c r="Z88" s="290">
        <v>263924.96500000003</v>
      </c>
      <c r="AA88" s="290">
        <v>0</v>
      </c>
      <c r="AB88" s="290">
        <v>194</v>
      </c>
      <c r="AC88" s="290">
        <v>395</v>
      </c>
      <c r="AD88" s="290">
        <v>169</v>
      </c>
      <c r="AE88" s="290">
        <v>0</v>
      </c>
      <c r="AF88" s="290">
        <v>0</v>
      </c>
      <c r="AG88" s="290">
        <v>8048</v>
      </c>
      <c r="AH88" s="290">
        <v>1284</v>
      </c>
      <c r="AI88" s="290">
        <v>2800</v>
      </c>
      <c r="AJ88" s="290">
        <v>0</v>
      </c>
      <c r="AK88" s="290">
        <v>0</v>
      </c>
      <c r="AL88" s="290">
        <v>15002</v>
      </c>
      <c r="AM88" s="957">
        <v>0.17362401</v>
      </c>
      <c r="AN88" s="290">
        <v>0</v>
      </c>
      <c r="AO88" s="290">
        <v>-2179.92541777</v>
      </c>
      <c r="AP88" s="290">
        <v>0</v>
      </c>
      <c r="AQ88" s="290">
        <v>0</v>
      </c>
      <c r="AR88" s="290">
        <v>-303.94472129000002</v>
      </c>
      <c r="AS88" s="290">
        <v>604.21450000000004</v>
      </c>
      <c r="AT88" s="290">
        <v>370</v>
      </c>
      <c r="AU88" s="290">
        <v>84</v>
      </c>
      <c r="AV88" s="766">
        <v>262802</v>
      </c>
      <c r="AW88" s="290">
        <v>0</v>
      </c>
      <c r="AX88" s="766">
        <v>49.916649999999997</v>
      </c>
      <c r="AY88" s="290">
        <v>1723</v>
      </c>
      <c r="AZ88" s="290">
        <v>363</v>
      </c>
      <c r="BA88" s="290">
        <v>193</v>
      </c>
      <c r="BB88" s="290">
        <v>0</v>
      </c>
      <c r="BC88" s="290">
        <v>11556.066251210001</v>
      </c>
      <c r="BD88" s="290"/>
      <c r="BE88" s="290">
        <v>247398.14597841</v>
      </c>
      <c r="BF88" s="290">
        <v>0</v>
      </c>
      <c r="BG88" s="290">
        <v>6588</v>
      </c>
      <c r="BH88" s="290">
        <v>1000</v>
      </c>
      <c r="BI88" s="290">
        <v>1848</v>
      </c>
      <c r="BJ88" s="290">
        <v>93</v>
      </c>
      <c r="BK88" s="290">
        <v>279</v>
      </c>
      <c r="BL88" s="290">
        <v>0</v>
      </c>
      <c r="BM88" s="290">
        <v>0</v>
      </c>
      <c r="BN88" s="290">
        <v>175</v>
      </c>
      <c r="BO88" s="290">
        <v>-72</v>
      </c>
      <c r="BP88" s="290">
        <v>748</v>
      </c>
      <c r="BQ88" s="290">
        <v>1496</v>
      </c>
      <c r="BR88" s="290">
        <v>1132</v>
      </c>
      <c r="BS88" s="290">
        <v>126</v>
      </c>
      <c r="BT88" s="290">
        <v>0</v>
      </c>
      <c r="BU88" s="290">
        <v>0</v>
      </c>
      <c r="BV88" s="290">
        <v>161</v>
      </c>
      <c r="BW88" s="290">
        <v>0</v>
      </c>
      <c r="BX88" s="290">
        <v>0</v>
      </c>
      <c r="BY88" s="290">
        <v>923</v>
      </c>
      <c r="BZ88" s="290">
        <v>0</v>
      </c>
      <c r="CA88" s="290">
        <v>416.38099999999997</v>
      </c>
      <c r="CB88" s="290">
        <v>79</v>
      </c>
      <c r="CC88" s="290">
        <v>0</v>
      </c>
      <c r="CD88" s="290">
        <v>0</v>
      </c>
      <c r="CE88" s="290">
        <v>263924.96500000003</v>
      </c>
      <c r="CF88" s="290">
        <v>0</v>
      </c>
      <c r="CG88" s="290">
        <v>0</v>
      </c>
      <c r="CH88" s="290">
        <v>0</v>
      </c>
      <c r="CI88" s="290">
        <v>0</v>
      </c>
      <c r="CJ88" s="290"/>
    </row>
    <row r="89" spans="1:88" ht="13">
      <c r="A89" s="1">
        <v>1867</v>
      </c>
      <c r="B89" s="2" t="s">
        <v>913</v>
      </c>
      <c r="C89" s="289">
        <v>2576</v>
      </c>
      <c r="D89" s="290">
        <v>40</v>
      </c>
      <c r="E89" s="290">
        <v>88</v>
      </c>
      <c r="F89" s="290">
        <v>211</v>
      </c>
      <c r="G89" s="290">
        <v>197</v>
      </c>
      <c r="H89" s="290">
        <v>1363</v>
      </c>
      <c r="I89" s="290">
        <v>440</v>
      </c>
      <c r="J89" s="290">
        <v>187</v>
      </c>
      <c r="K89" s="290">
        <v>42</v>
      </c>
      <c r="L89" s="290">
        <v>22</v>
      </c>
      <c r="M89" s="290">
        <v>363</v>
      </c>
      <c r="N89" s="290">
        <v>38</v>
      </c>
      <c r="O89" s="290">
        <v>35</v>
      </c>
      <c r="P89" s="624">
        <v>19485.161666669999</v>
      </c>
      <c r="Q89" s="624">
        <v>6288.0780000000004</v>
      </c>
      <c r="R89" s="1039">
        <v>13</v>
      </c>
      <c r="S89" s="290">
        <v>0</v>
      </c>
      <c r="T89" s="290">
        <v>239</v>
      </c>
      <c r="U89" s="958">
        <v>1.4242420702882301E-3</v>
      </c>
      <c r="V89" s="290">
        <v>1597.38069509</v>
      </c>
      <c r="W89" s="765">
        <v>1</v>
      </c>
      <c r="X89" s="290">
        <v>0</v>
      </c>
      <c r="Y89" s="290"/>
      <c r="Z89" s="290">
        <v>96312</v>
      </c>
      <c r="AA89" s="290">
        <v>1380</v>
      </c>
      <c r="AB89" s="290">
        <v>71</v>
      </c>
      <c r="AC89" s="290">
        <v>107</v>
      </c>
      <c r="AD89" s="290">
        <v>70</v>
      </c>
      <c r="AE89" s="290">
        <v>0</v>
      </c>
      <c r="AF89" s="290">
        <v>0</v>
      </c>
      <c r="AG89" s="290">
        <v>2568</v>
      </c>
      <c r="AH89" s="290">
        <v>333</v>
      </c>
      <c r="AI89" s="290">
        <v>370</v>
      </c>
      <c r="AJ89" s="290">
        <v>5700</v>
      </c>
      <c r="AK89" s="290">
        <v>0</v>
      </c>
      <c r="AL89" s="290">
        <v>4781</v>
      </c>
      <c r="AM89" s="957">
        <v>6.8084889999999995E-2</v>
      </c>
      <c r="AN89" s="290">
        <v>0</v>
      </c>
      <c r="AO89" s="290">
        <v>-799.54723219000005</v>
      </c>
      <c r="AP89" s="290">
        <v>0</v>
      </c>
      <c r="AQ89" s="290">
        <v>0</v>
      </c>
      <c r="AR89" s="290">
        <v>547.85000348999995</v>
      </c>
      <c r="AS89" s="290">
        <v>184.322</v>
      </c>
      <c r="AT89" s="290">
        <v>118</v>
      </c>
      <c r="AU89" s="290">
        <v>28</v>
      </c>
      <c r="AV89" s="766">
        <v>114319</v>
      </c>
      <c r="AW89" s="290">
        <v>0</v>
      </c>
      <c r="AX89" s="766">
        <v>21.458349999999999</v>
      </c>
      <c r="AY89" s="290">
        <v>373</v>
      </c>
      <c r="AZ89" s="290">
        <v>136</v>
      </c>
      <c r="BA89" s="290">
        <v>54</v>
      </c>
      <c r="BB89" s="290">
        <v>6034</v>
      </c>
      <c r="BC89" s="290">
        <v>4171.3401353199997</v>
      </c>
      <c r="BD89" s="290"/>
      <c r="BE89" s="290">
        <v>107997.12318173</v>
      </c>
      <c r="BF89" s="290">
        <v>0</v>
      </c>
      <c r="BG89" s="290">
        <v>2102</v>
      </c>
      <c r="BH89" s="290">
        <v>500</v>
      </c>
      <c r="BI89" s="290">
        <v>510</v>
      </c>
      <c r="BJ89" s="290">
        <v>30</v>
      </c>
      <c r="BK89" s="290">
        <v>81</v>
      </c>
      <c r="BL89" s="290">
        <v>0</v>
      </c>
      <c r="BM89" s="290">
        <v>0</v>
      </c>
      <c r="BN89" s="290">
        <v>51</v>
      </c>
      <c r="BO89" s="290">
        <v>-22</v>
      </c>
      <c r="BP89" s="290">
        <v>239</v>
      </c>
      <c r="BQ89" s="290">
        <v>478</v>
      </c>
      <c r="BR89" s="290">
        <v>362</v>
      </c>
      <c r="BS89" s="290">
        <v>52</v>
      </c>
      <c r="BT89" s="290">
        <v>0</v>
      </c>
      <c r="BU89" s="290">
        <v>0</v>
      </c>
      <c r="BV89" s="290">
        <v>47</v>
      </c>
      <c r="BW89" s="290">
        <v>0</v>
      </c>
      <c r="BX89" s="290">
        <v>0</v>
      </c>
      <c r="BY89" s="290">
        <v>347</v>
      </c>
      <c r="BZ89" s="290">
        <v>0</v>
      </c>
      <c r="CA89" s="290">
        <v>1165.4000000000001</v>
      </c>
      <c r="CB89" s="290">
        <v>36</v>
      </c>
      <c r="CC89" s="290">
        <v>0</v>
      </c>
      <c r="CD89" s="290">
        <v>0</v>
      </c>
      <c r="CE89" s="290">
        <v>111311.156</v>
      </c>
      <c r="CF89" s="290">
        <v>0</v>
      </c>
      <c r="CG89" s="290">
        <v>0</v>
      </c>
      <c r="CH89" s="290">
        <v>0</v>
      </c>
      <c r="CI89" s="290">
        <v>0</v>
      </c>
      <c r="CJ89" s="290"/>
    </row>
    <row r="90" spans="1:88" ht="13">
      <c r="A90" s="1">
        <v>1868</v>
      </c>
      <c r="B90" s="2" t="s">
        <v>212</v>
      </c>
      <c r="C90" s="289">
        <v>4416</v>
      </c>
      <c r="D90" s="290">
        <v>64</v>
      </c>
      <c r="E90" s="290">
        <v>161</v>
      </c>
      <c r="F90" s="290">
        <v>469</v>
      </c>
      <c r="G90" s="290">
        <v>375</v>
      </c>
      <c r="H90" s="290">
        <v>2501</v>
      </c>
      <c r="I90" s="290">
        <v>595</v>
      </c>
      <c r="J90" s="290">
        <v>213</v>
      </c>
      <c r="K90" s="290">
        <v>41</v>
      </c>
      <c r="L90" s="290">
        <v>36</v>
      </c>
      <c r="M90" s="290">
        <v>414</v>
      </c>
      <c r="N90" s="290">
        <v>11</v>
      </c>
      <c r="O90" s="290">
        <v>34</v>
      </c>
      <c r="P90" s="624">
        <v>23975.428</v>
      </c>
      <c r="Q90" s="624">
        <v>14832.04</v>
      </c>
      <c r="R90" s="1039">
        <v>35</v>
      </c>
      <c r="S90" s="290">
        <v>0</v>
      </c>
      <c r="T90" s="290">
        <v>433</v>
      </c>
      <c r="U90" s="958">
        <v>9.9137890436457065E-4</v>
      </c>
      <c r="V90" s="290">
        <v>2385.1071902899998</v>
      </c>
      <c r="W90" s="765">
        <v>0.80174325999999996</v>
      </c>
      <c r="X90" s="290">
        <v>0</v>
      </c>
      <c r="Y90" s="290"/>
      <c r="Z90" s="290">
        <v>135720.68900000001</v>
      </c>
      <c r="AA90" s="290">
        <v>0</v>
      </c>
      <c r="AB90" s="290">
        <v>159</v>
      </c>
      <c r="AC90" s="290">
        <v>210</v>
      </c>
      <c r="AD90" s="290">
        <v>98</v>
      </c>
      <c r="AE90" s="290">
        <v>0</v>
      </c>
      <c r="AF90" s="290">
        <v>0</v>
      </c>
      <c r="AG90" s="290">
        <v>4419</v>
      </c>
      <c r="AH90" s="290">
        <v>685</v>
      </c>
      <c r="AI90" s="290">
        <v>1880</v>
      </c>
      <c r="AJ90" s="290">
        <v>0</v>
      </c>
      <c r="AK90" s="290">
        <v>0</v>
      </c>
      <c r="AL90" s="290">
        <v>8207</v>
      </c>
      <c r="AM90" s="957">
        <v>0.15321476000000001</v>
      </c>
      <c r="AN90" s="290">
        <v>0</v>
      </c>
      <c r="AO90" s="290">
        <v>-1246.6896878800001</v>
      </c>
      <c r="AP90" s="290">
        <v>0</v>
      </c>
      <c r="AQ90" s="290">
        <v>0</v>
      </c>
      <c r="AR90" s="290">
        <v>-166.89012467000001</v>
      </c>
      <c r="AS90" s="290">
        <v>342.75</v>
      </c>
      <c r="AT90" s="290">
        <v>214</v>
      </c>
      <c r="AU90" s="290">
        <v>59</v>
      </c>
      <c r="AV90" s="766">
        <v>153769</v>
      </c>
      <c r="AW90" s="290">
        <v>0</v>
      </c>
      <c r="AX90" s="766">
        <v>22.249949999999998</v>
      </c>
      <c r="AY90" s="290">
        <v>627</v>
      </c>
      <c r="AZ90" s="290">
        <v>236</v>
      </c>
      <c r="BA90" s="290">
        <v>87</v>
      </c>
      <c r="BB90" s="290">
        <v>0</v>
      </c>
      <c r="BC90" s="290">
        <v>6639.1088600599996</v>
      </c>
      <c r="BD90" s="290"/>
      <c r="BE90" s="290">
        <v>146738.19760278999</v>
      </c>
      <c r="BF90" s="290">
        <v>0</v>
      </c>
      <c r="BG90" s="290">
        <v>3617</v>
      </c>
      <c r="BH90" s="290">
        <v>1000</v>
      </c>
      <c r="BI90" s="290">
        <v>993</v>
      </c>
      <c r="BJ90" s="290">
        <v>51</v>
      </c>
      <c r="BK90" s="290">
        <v>138</v>
      </c>
      <c r="BL90" s="290">
        <v>0</v>
      </c>
      <c r="BM90" s="290">
        <v>0</v>
      </c>
      <c r="BN90" s="290">
        <v>86</v>
      </c>
      <c r="BO90" s="290">
        <v>-40</v>
      </c>
      <c r="BP90" s="290">
        <v>410</v>
      </c>
      <c r="BQ90" s="290">
        <v>819</v>
      </c>
      <c r="BR90" s="290">
        <v>620</v>
      </c>
      <c r="BS90" s="290">
        <v>73</v>
      </c>
      <c r="BT90" s="290">
        <v>0</v>
      </c>
      <c r="BU90" s="290">
        <v>0</v>
      </c>
      <c r="BV90" s="290">
        <v>79</v>
      </c>
      <c r="BW90" s="290">
        <v>0</v>
      </c>
      <c r="BX90" s="290">
        <v>0</v>
      </c>
      <c r="BY90" s="290">
        <v>489</v>
      </c>
      <c r="BZ90" s="290">
        <v>3938.88</v>
      </c>
      <c r="CA90" s="290">
        <v>766.42</v>
      </c>
      <c r="CB90" s="290">
        <v>49</v>
      </c>
      <c r="CC90" s="290">
        <v>0</v>
      </c>
      <c r="CD90" s="290">
        <v>0</v>
      </c>
      <c r="CE90" s="290">
        <v>135720.68900000001</v>
      </c>
      <c r="CF90" s="290">
        <v>0</v>
      </c>
      <c r="CG90" s="290">
        <v>0</v>
      </c>
      <c r="CH90" s="290">
        <v>0</v>
      </c>
      <c r="CI90" s="290">
        <v>0</v>
      </c>
      <c r="CJ90" s="290"/>
    </row>
    <row r="91" spans="1:88" ht="13">
      <c r="A91" s="1">
        <v>1870</v>
      </c>
      <c r="B91" s="2" t="s">
        <v>213</v>
      </c>
      <c r="C91" s="289">
        <v>10514</v>
      </c>
      <c r="D91" s="290">
        <v>212</v>
      </c>
      <c r="E91" s="290">
        <v>468</v>
      </c>
      <c r="F91" s="290">
        <v>1281</v>
      </c>
      <c r="G91" s="290">
        <v>1009</v>
      </c>
      <c r="H91" s="290">
        <v>5816</v>
      </c>
      <c r="I91" s="290">
        <v>1310</v>
      </c>
      <c r="J91" s="290">
        <v>345</v>
      </c>
      <c r="K91" s="290">
        <v>101</v>
      </c>
      <c r="L91" s="290">
        <v>80</v>
      </c>
      <c r="M91" s="290">
        <v>821</v>
      </c>
      <c r="N91" s="290">
        <v>168</v>
      </c>
      <c r="O91" s="290">
        <v>89</v>
      </c>
      <c r="P91" s="624">
        <v>51020.433666669996</v>
      </c>
      <c r="Q91" s="624">
        <v>25614.351666670002</v>
      </c>
      <c r="R91" s="1039">
        <v>46</v>
      </c>
      <c r="S91" s="290">
        <v>0</v>
      </c>
      <c r="T91" s="290">
        <v>904</v>
      </c>
      <c r="U91" s="958">
        <v>2.2795998605912209E-3</v>
      </c>
      <c r="V91" s="290">
        <v>453.94810457</v>
      </c>
      <c r="W91" s="765">
        <v>0.61037394</v>
      </c>
      <c r="X91" s="290">
        <v>0</v>
      </c>
      <c r="Y91" s="290"/>
      <c r="Z91" s="290">
        <v>329937.85700000002</v>
      </c>
      <c r="AA91" s="290">
        <v>0</v>
      </c>
      <c r="AB91" s="290">
        <v>258</v>
      </c>
      <c r="AC91" s="290">
        <v>544</v>
      </c>
      <c r="AD91" s="290">
        <v>205</v>
      </c>
      <c r="AE91" s="290">
        <v>0</v>
      </c>
      <c r="AF91" s="290">
        <v>0</v>
      </c>
      <c r="AG91" s="290">
        <v>10542</v>
      </c>
      <c r="AH91" s="290">
        <v>1881</v>
      </c>
      <c r="AI91" s="290">
        <v>3300</v>
      </c>
      <c r="AJ91" s="290">
        <v>0</v>
      </c>
      <c r="AK91" s="290">
        <v>0</v>
      </c>
      <c r="AL91" s="290">
        <v>19663</v>
      </c>
      <c r="AM91" s="957">
        <v>0.19947646999999999</v>
      </c>
      <c r="AN91" s="290">
        <v>0</v>
      </c>
      <c r="AO91" s="290">
        <v>-2764.3366259999998</v>
      </c>
      <c r="AP91" s="290">
        <v>0</v>
      </c>
      <c r="AQ91" s="290">
        <v>0</v>
      </c>
      <c r="AR91" s="290">
        <v>-398.13435036999999</v>
      </c>
      <c r="AS91" s="290">
        <v>811.94100000000003</v>
      </c>
      <c r="AT91" s="290">
        <v>521</v>
      </c>
      <c r="AU91" s="290">
        <v>104</v>
      </c>
      <c r="AV91" s="766">
        <v>312992</v>
      </c>
      <c r="AW91" s="290">
        <v>0</v>
      </c>
      <c r="AX91" s="766">
        <v>77.083349999999996</v>
      </c>
      <c r="AY91" s="290">
        <v>2169</v>
      </c>
      <c r="AZ91" s="290">
        <v>411</v>
      </c>
      <c r="BA91" s="290">
        <v>310</v>
      </c>
      <c r="BB91" s="290">
        <v>0</v>
      </c>
      <c r="BC91" s="290">
        <v>14932.263222760001</v>
      </c>
      <c r="BD91" s="290"/>
      <c r="BE91" s="290">
        <v>298962.78333521</v>
      </c>
      <c r="BF91" s="290">
        <v>0</v>
      </c>
      <c r="BG91" s="290">
        <v>8630</v>
      </c>
      <c r="BH91" s="290">
        <v>1000</v>
      </c>
      <c r="BI91" s="290">
        <v>2630</v>
      </c>
      <c r="BJ91" s="290">
        <v>121</v>
      </c>
      <c r="BK91" s="290">
        <v>413</v>
      </c>
      <c r="BL91" s="290">
        <v>0</v>
      </c>
      <c r="BM91" s="290">
        <v>0</v>
      </c>
      <c r="BN91" s="290">
        <v>259</v>
      </c>
      <c r="BO91" s="290">
        <v>-84</v>
      </c>
      <c r="BP91" s="290">
        <v>975</v>
      </c>
      <c r="BQ91" s="290">
        <v>1950</v>
      </c>
      <c r="BR91" s="290">
        <v>1476</v>
      </c>
      <c r="BS91" s="290">
        <v>154</v>
      </c>
      <c r="BT91" s="290">
        <v>0</v>
      </c>
      <c r="BU91" s="290">
        <v>0</v>
      </c>
      <c r="BV91" s="290">
        <v>238</v>
      </c>
      <c r="BW91" s="290">
        <v>0</v>
      </c>
      <c r="BX91" s="290">
        <v>0</v>
      </c>
      <c r="BY91" s="290">
        <v>1083</v>
      </c>
      <c r="BZ91" s="290">
        <v>6114.9</v>
      </c>
      <c r="CA91" s="290">
        <v>528.00699999999995</v>
      </c>
      <c r="CB91" s="290">
        <v>99</v>
      </c>
      <c r="CC91" s="290">
        <v>1</v>
      </c>
      <c r="CD91" s="290">
        <v>0</v>
      </c>
      <c r="CE91" s="290">
        <v>329937.85700000002</v>
      </c>
      <c r="CF91" s="290">
        <v>0</v>
      </c>
      <c r="CG91" s="290">
        <v>0</v>
      </c>
      <c r="CH91" s="290">
        <v>0</v>
      </c>
      <c r="CI91" s="290">
        <v>0</v>
      </c>
      <c r="CJ91" s="290"/>
    </row>
    <row r="92" spans="1:88" ht="13">
      <c r="A92" s="1">
        <v>1871</v>
      </c>
      <c r="B92" s="2" t="s">
        <v>214</v>
      </c>
      <c r="C92" s="289">
        <v>4588</v>
      </c>
      <c r="D92" s="290">
        <v>67</v>
      </c>
      <c r="E92" s="290">
        <v>162</v>
      </c>
      <c r="F92" s="290">
        <v>458</v>
      </c>
      <c r="G92" s="290">
        <v>364</v>
      </c>
      <c r="H92" s="290">
        <v>2459</v>
      </c>
      <c r="I92" s="290">
        <v>780</v>
      </c>
      <c r="J92" s="290">
        <v>265</v>
      </c>
      <c r="K92" s="290">
        <v>63</v>
      </c>
      <c r="L92" s="290">
        <v>39</v>
      </c>
      <c r="M92" s="290">
        <v>497</v>
      </c>
      <c r="N92" s="290">
        <v>55</v>
      </c>
      <c r="O92" s="290">
        <v>47</v>
      </c>
      <c r="P92" s="624">
        <v>86648.384666669997</v>
      </c>
      <c r="Q92" s="624">
        <v>16020.387000000001</v>
      </c>
      <c r="R92" s="1039">
        <v>32</v>
      </c>
      <c r="S92" s="290">
        <v>0</v>
      </c>
      <c r="T92" s="290">
        <v>422</v>
      </c>
      <c r="U92" s="958">
        <v>1.7604327966787398E-3</v>
      </c>
      <c r="V92" s="290">
        <v>-8731.8780930199991</v>
      </c>
      <c r="W92" s="765">
        <v>1</v>
      </c>
      <c r="X92" s="290">
        <v>0</v>
      </c>
      <c r="Y92" s="290"/>
      <c r="Z92" s="290">
        <v>143392.48000000001</v>
      </c>
      <c r="AA92" s="290">
        <v>0</v>
      </c>
      <c r="AB92" s="290">
        <v>96</v>
      </c>
      <c r="AC92" s="290">
        <v>225</v>
      </c>
      <c r="AD92" s="290">
        <v>119</v>
      </c>
      <c r="AE92" s="290">
        <v>0</v>
      </c>
      <c r="AF92" s="290">
        <v>0</v>
      </c>
      <c r="AG92" s="290">
        <v>4618</v>
      </c>
      <c r="AH92" s="290">
        <v>662</v>
      </c>
      <c r="AI92" s="290">
        <v>2500</v>
      </c>
      <c r="AJ92" s="290">
        <v>0</v>
      </c>
      <c r="AK92" s="290">
        <v>0</v>
      </c>
      <c r="AL92" s="290">
        <v>8678</v>
      </c>
      <c r="AM92" s="957">
        <v>0.10398826</v>
      </c>
      <c r="AN92" s="290">
        <v>0</v>
      </c>
      <c r="AO92" s="290">
        <v>-1390.75143899</v>
      </c>
      <c r="AP92" s="290">
        <v>0</v>
      </c>
      <c r="AQ92" s="290">
        <v>0</v>
      </c>
      <c r="AR92" s="290">
        <v>744.36294518</v>
      </c>
      <c r="AS92" s="290">
        <v>393.39400000000001</v>
      </c>
      <c r="AT92" s="290">
        <v>211</v>
      </c>
      <c r="AU92" s="290">
        <v>47</v>
      </c>
      <c r="AV92" s="766">
        <v>172241</v>
      </c>
      <c r="AW92" s="290">
        <v>0</v>
      </c>
      <c r="AX92" s="766">
        <v>30.791650000000001</v>
      </c>
      <c r="AY92" s="290">
        <v>816</v>
      </c>
      <c r="AZ92" s="290">
        <v>228</v>
      </c>
      <c r="BA92" s="290">
        <v>78</v>
      </c>
      <c r="BB92" s="290">
        <v>0</v>
      </c>
      <c r="BC92" s="290">
        <v>7255.1616730799997</v>
      </c>
      <c r="BD92" s="290"/>
      <c r="BE92" s="290">
        <v>161557.25308158001</v>
      </c>
      <c r="BF92" s="290">
        <v>0</v>
      </c>
      <c r="BG92" s="290">
        <v>3780</v>
      </c>
      <c r="BH92" s="290">
        <v>1000</v>
      </c>
      <c r="BI92" s="290">
        <v>1006</v>
      </c>
      <c r="BJ92" s="290">
        <v>55</v>
      </c>
      <c r="BK92" s="290">
        <v>147</v>
      </c>
      <c r="BL92" s="290">
        <v>0</v>
      </c>
      <c r="BM92" s="290">
        <v>0</v>
      </c>
      <c r="BN92" s="290">
        <v>92</v>
      </c>
      <c r="BO92" s="290">
        <v>-36</v>
      </c>
      <c r="BP92" s="290">
        <v>425</v>
      </c>
      <c r="BQ92" s="290">
        <v>851</v>
      </c>
      <c r="BR92" s="290">
        <v>644</v>
      </c>
      <c r="BS92" s="290">
        <v>89</v>
      </c>
      <c r="BT92" s="290">
        <v>0</v>
      </c>
      <c r="BU92" s="290">
        <v>0</v>
      </c>
      <c r="BV92" s="290">
        <v>84</v>
      </c>
      <c r="BW92" s="290">
        <v>0</v>
      </c>
      <c r="BX92" s="290">
        <v>0</v>
      </c>
      <c r="BY92" s="290">
        <v>589</v>
      </c>
      <c r="BZ92" s="290">
        <v>1471.8</v>
      </c>
      <c r="CA92" s="290">
        <v>265.64299999999997</v>
      </c>
      <c r="CB92" s="290">
        <v>53</v>
      </c>
      <c r="CC92" s="290">
        <v>0</v>
      </c>
      <c r="CD92" s="290">
        <v>0</v>
      </c>
      <c r="CE92" s="290">
        <v>143392.48000000001</v>
      </c>
      <c r="CF92" s="290">
        <v>0</v>
      </c>
      <c r="CG92" s="290">
        <v>0</v>
      </c>
      <c r="CH92" s="290">
        <v>0</v>
      </c>
      <c r="CI92" s="290">
        <v>0</v>
      </c>
      <c r="CJ92" s="290"/>
    </row>
    <row r="93" spans="1:88" ht="13">
      <c r="A93" s="1">
        <v>1874</v>
      </c>
      <c r="B93" s="2" t="s">
        <v>215</v>
      </c>
      <c r="C93" s="289">
        <v>989</v>
      </c>
      <c r="D93" s="290">
        <v>14</v>
      </c>
      <c r="E93" s="290">
        <v>25</v>
      </c>
      <c r="F93" s="290">
        <v>83</v>
      </c>
      <c r="G93" s="290">
        <v>74</v>
      </c>
      <c r="H93" s="290">
        <v>580</v>
      </c>
      <c r="I93" s="290">
        <v>149</v>
      </c>
      <c r="J93" s="290">
        <v>74</v>
      </c>
      <c r="K93" s="290">
        <v>12</v>
      </c>
      <c r="L93" s="290">
        <v>9</v>
      </c>
      <c r="M93" s="290">
        <v>114</v>
      </c>
      <c r="N93" s="290">
        <v>1.5</v>
      </c>
      <c r="O93" s="290">
        <v>15</v>
      </c>
      <c r="P93" s="624">
        <v>3588.9859999999999</v>
      </c>
      <c r="Q93" s="624">
        <v>4329.6016666699998</v>
      </c>
      <c r="R93" s="1039">
        <v>3</v>
      </c>
      <c r="S93" s="290">
        <v>0</v>
      </c>
      <c r="T93" s="290">
        <v>99</v>
      </c>
      <c r="U93" s="958">
        <v>5.0922459016298398E-5</v>
      </c>
      <c r="V93" s="290">
        <v>665.86026517000005</v>
      </c>
      <c r="W93" s="765">
        <v>1</v>
      </c>
      <c r="X93" s="290">
        <v>0</v>
      </c>
      <c r="Y93" s="290"/>
      <c r="Z93" s="290">
        <v>34390.430999999997</v>
      </c>
      <c r="AA93" s="290">
        <v>7288</v>
      </c>
      <c r="AB93" s="290">
        <v>22</v>
      </c>
      <c r="AC93" s="290">
        <v>50</v>
      </c>
      <c r="AD93" s="290">
        <v>37</v>
      </c>
      <c r="AE93" s="290">
        <v>0</v>
      </c>
      <c r="AF93" s="290">
        <v>0</v>
      </c>
      <c r="AG93" s="290">
        <v>1011</v>
      </c>
      <c r="AH93" s="290">
        <v>120</v>
      </c>
      <c r="AI93" s="290">
        <v>0</v>
      </c>
      <c r="AJ93" s="290">
        <v>0</v>
      </c>
      <c r="AK93" s="290">
        <v>0</v>
      </c>
      <c r="AL93" s="290">
        <v>1889</v>
      </c>
      <c r="AM93" s="957">
        <v>4.361669E-2</v>
      </c>
      <c r="AN93" s="290">
        <v>0</v>
      </c>
      <c r="AO93" s="290">
        <v>-333.28732072000003</v>
      </c>
      <c r="AP93" s="290">
        <v>0</v>
      </c>
      <c r="AQ93" s="290">
        <v>0</v>
      </c>
      <c r="AR93" s="290">
        <v>-38.181922620000002</v>
      </c>
      <c r="AS93" s="290">
        <v>91.019499999999994</v>
      </c>
      <c r="AT93" s="290">
        <v>55</v>
      </c>
      <c r="AU93" s="290">
        <v>19</v>
      </c>
      <c r="AV93" s="766">
        <v>51967</v>
      </c>
      <c r="AW93" s="290">
        <v>0</v>
      </c>
      <c r="AX93" s="766">
        <v>7</v>
      </c>
      <c r="AY93" s="290">
        <v>138</v>
      </c>
      <c r="AZ93" s="290">
        <v>43</v>
      </c>
      <c r="BA93" s="290">
        <v>15</v>
      </c>
      <c r="BB93" s="290">
        <v>6034</v>
      </c>
      <c r="BC93" s="290">
        <v>1551.60253627</v>
      </c>
      <c r="BD93" s="290"/>
      <c r="BE93" s="290">
        <v>50303.611311389999</v>
      </c>
      <c r="BF93" s="290">
        <v>0</v>
      </c>
      <c r="BG93" s="290">
        <v>828</v>
      </c>
      <c r="BH93" s="290">
        <v>500</v>
      </c>
      <c r="BI93" s="290">
        <v>207</v>
      </c>
      <c r="BJ93" s="290">
        <v>13</v>
      </c>
      <c r="BK93" s="290">
        <v>24</v>
      </c>
      <c r="BL93" s="290">
        <v>0</v>
      </c>
      <c r="BM93" s="290">
        <v>0</v>
      </c>
      <c r="BN93" s="290">
        <v>15</v>
      </c>
      <c r="BO93" s="290">
        <v>-9</v>
      </c>
      <c r="BP93" s="290">
        <v>92</v>
      </c>
      <c r="BQ93" s="290">
        <v>183</v>
      </c>
      <c r="BR93" s="290">
        <v>139</v>
      </c>
      <c r="BS93" s="290">
        <v>27</v>
      </c>
      <c r="BT93" s="290">
        <v>0</v>
      </c>
      <c r="BU93" s="290">
        <v>0</v>
      </c>
      <c r="BV93" s="290">
        <v>14</v>
      </c>
      <c r="BW93" s="290">
        <v>0</v>
      </c>
      <c r="BX93" s="290">
        <v>0</v>
      </c>
      <c r="BY93" s="290">
        <v>121</v>
      </c>
      <c r="BZ93" s="290">
        <v>0</v>
      </c>
      <c r="CA93" s="290">
        <v>1280.8000000000002</v>
      </c>
      <c r="CB93" s="290">
        <v>23</v>
      </c>
      <c r="CC93" s="290">
        <v>0</v>
      </c>
      <c r="CD93" s="290">
        <v>0</v>
      </c>
      <c r="CE93" s="290">
        <v>34390.430999999997</v>
      </c>
      <c r="CF93" s="290">
        <v>0</v>
      </c>
      <c r="CG93" s="290">
        <v>0</v>
      </c>
      <c r="CH93" s="290">
        <v>0</v>
      </c>
      <c r="CI93" s="290">
        <v>0</v>
      </c>
      <c r="CJ93" s="290"/>
    </row>
    <row r="94" spans="1:88" ht="13">
      <c r="A94" s="1">
        <v>1875</v>
      </c>
      <c r="B94" s="2" t="s">
        <v>1617</v>
      </c>
      <c r="C94" s="289">
        <v>2701</v>
      </c>
      <c r="D94" s="290">
        <v>38</v>
      </c>
      <c r="E94" s="290">
        <v>68</v>
      </c>
      <c r="F94" s="290">
        <v>290</v>
      </c>
      <c r="G94" s="290">
        <v>220</v>
      </c>
      <c r="H94" s="290">
        <v>1447</v>
      </c>
      <c r="I94" s="290">
        <v>493</v>
      </c>
      <c r="J94" s="290">
        <v>125</v>
      </c>
      <c r="K94" s="290">
        <v>42</v>
      </c>
      <c r="L94" s="290">
        <v>21</v>
      </c>
      <c r="M94" s="290">
        <v>354</v>
      </c>
      <c r="N94" s="290">
        <v>28</v>
      </c>
      <c r="O94" s="290">
        <v>27</v>
      </c>
      <c r="P94" s="624">
        <v>64035.038690989997</v>
      </c>
      <c r="Q94" s="624">
        <v>16398.956703929998</v>
      </c>
      <c r="R94" s="1039">
        <v>27</v>
      </c>
      <c r="S94" s="290">
        <v>0</v>
      </c>
      <c r="T94" s="290">
        <v>255</v>
      </c>
      <c r="U94" s="958">
        <v>1.5688816521812509E-3</v>
      </c>
      <c r="V94" s="290">
        <v>-2659.65796937</v>
      </c>
      <c r="W94" s="765">
        <v>1</v>
      </c>
      <c r="X94" s="290">
        <v>0</v>
      </c>
      <c r="Y94" s="290"/>
      <c r="Z94" s="290">
        <v>78912.789000000004</v>
      </c>
      <c r="AA94" s="290">
        <v>1845</v>
      </c>
      <c r="AB94" s="290">
        <v>71</v>
      </c>
      <c r="AC94" s="290">
        <v>152</v>
      </c>
      <c r="AD94" s="290">
        <v>81</v>
      </c>
      <c r="AE94" s="290">
        <v>0</v>
      </c>
      <c r="AF94" s="290">
        <v>11254</v>
      </c>
      <c r="AG94" s="290">
        <v>2723</v>
      </c>
      <c r="AH94" s="290">
        <v>393</v>
      </c>
      <c r="AI94" s="290">
        <v>3790</v>
      </c>
      <c r="AJ94" s="290">
        <v>1500</v>
      </c>
      <c r="AK94" s="290">
        <v>786</v>
      </c>
      <c r="AL94" s="290">
        <v>5148</v>
      </c>
      <c r="AM94" s="957">
        <v>4.4466190000000003E-2</v>
      </c>
      <c r="AN94" s="290">
        <v>0</v>
      </c>
      <c r="AO94" s="290">
        <v>-888.72347123999998</v>
      </c>
      <c r="AP94" s="290">
        <v>0</v>
      </c>
      <c r="AQ94" s="290">
        <v>0</v>
      </c>
      <c r="AR94" s="290">
        <v>3163.1857996799999</v>
      </c>
      <c r="AS94" s="290">
        <v>242.5400559</v>
      </c>
      <c r="AT94" s="290">
        <v>108</v>
      </c>
      <c r="AU94" s="290">
        <v>25</v>
      </c>
      <c r="AV94" s="766">
        <v>140322</v>
      </c>
      <c r="AW94" s="290">
        <v>880</v>
      </c>
      <c r="AX94" s="766">
        <v>14.083349999999999</v>
      </c>
      <c r="AY94" s="290">
        <v>556</v>
      </c>
      <c r="AZ94" s="290">
        <v>126</v>
      </c>
      <c r="BA94" s="290">
        <v>46</v>
      </c>
      <c r="BB94" s="290">
        <v>6034</v>
      </c>
      <c r="BC94" s="290">
        <v>16281.06796687</v>
      </c>
      <c r="BD94" s="290"/>
      <c r="BE94" s="290">
        <v>131014.23311027999</v>
      </c>
      <c r="BF94" s="290">
        <v>0</v>
      </c>
      <c r="BG94" s="290">
        <v>2229</v>
      </c>
      <c r="BH94" s="290">
        <v>500</v>
      </c>
      <c r="BI94" s="290">
        <v>12666</v>
      </c>
      <c r="BJ94" s="290">
        <v>32</v>
      </c>
      <c r="BK94" s="290">
        <v>66</v>
      </c>
      <c r="BL94" s="290">
        <v>0</v>
      </c>
      <c r="BM94" s="290">
        <v>0</v>
      </c>
      <c r="BN94" s="290">
        <v>41</v>
      </c>
      <c r="BO94" s="290">
        <v>-21</v>
      </c>
      <c r="BP94" s="290">
        <v>250</v>
      </c>
      <c r="BQ94" s="290">
        <v>501</v>
      </c>
      <c r="BR94" s="290">
        <v>379</v>
      </c>
      <c r="BS94" s="290">
        <v>60</v>
      </c>
      <c r="BT94" s="290">
        <v>0</v>
      </c>
      <c r="BU94" s="290">
        <v>0</v>
      </c>
      <c r="BV94" s="290">
        <v>38</v>
      </c>
      <c r="BW94" s="290">
        <v>0</v>
      </c>
      <c r="BX94" s="290">
        <v>0</v>
      </c>
      <c r="BY94" s="290">
        <v>354</v>
      </c>
      <c r="BZ94" s="290">
        <v>0</v>
      </c>
      <c r="CA94" s="290">
        <v>169.75200000000001</v>
      </c>
      <c r="CB94" s="290">
        <v>37</v>
      </c>
      <c r="CC94" s="290">
        <v>0</v>
      </c>
      <c r="CD94" s="290">
        <v>0</v>
      </c>
      <c r="CE94" s="290">
        <v>78912.789000000004</v>
      </c>
      <c r="CF94" s="290">
        <v>809.43111760881038</v>
      </c>
      <c r="CG94" s="290">
        <v>793.8693955863306</v>
      </c>
      <c r="CH94" s="290">
        <v>771.87242114579612</v>
      </c>
      <c r="CI94" s="290">
        <v>745.0518955489822</v>
      </c>
      <c r="CJ94" s="290"/>
    </row>
    <row r="95" spans="1:88" ht="13">
      <c r="A95" s="1">
        <v>3001</v>
      </c>
      <c r="B95" s="2" t="s">
        <v>783</v>
      </c>
      <c r="C95" s="289">
        <v>31387</v>
      </c>
      <c r="D95" s="290">
        <v>497</v>
      </c>
      <c r="E95" s="290">
        <v>1260</v>
      </c>
      <c r="F95" s="290">
        <v>3633</v>
      </c>
      <c r="G95" s="290">
        <v>2644</v>
      </c>
      <c r="H95" s="290">
        <v>17568</v>
      </c>
      <c r="I95" s="290">
        <v>4176</v>
      </c>
      <c r="J95" s="290">
        <v>1222</v>
      </c>
      <c r="K95" s="290">
        <v>299</v>
      </c>
      <c r="L95" s="290">
        <v>253</v>
      </c>
      <c r="M95" s="290">
        <v>2467</v>
      </c>
      <c r="N95" s="290">
        <v>1097</v>
      </c>
      <c r="O95" s="290">
        <v>243</v>
      </c>
      <c r="P95" s="624">
        <v>87246.422666669998</v>
      </c>
      <c r="Q95" s="624">
        <v>61435.453000000001</v>
      </c>
      <c r="R95" s="1039">
        <v>127</v>
      </c>
      <c r="S95" s="290">
        <v>0</v>
      </c>
      <c r="T95" s="290">
        <v>2961</v>
      </c>
      <c r="U95" s="958">
        <v>4.2896616911927976E-3</v>
      </c>
      <c r="V95" s="290">
        <v>8870.7365590600002</v>
      </c>
      <c r="W95" s="765">
        <v>0.55799836999999997</v>
      </c>
      <c r="X95" s="290">
        <v>2500</v>
      </c>
      <c r="Y95" s="290"/>
      <c r="Z95" s="290">
        <v>876397.34100000001</v>
      </c>
      <c r="AA95" s="290">
        <v>0</v>
      </c>
      <c r="AB95" s="290">
        <v>1055</v>
      </c>
      <c r="AC95" s="290">
        <v>8210</v>
      </c>
      <c r="AD95" s="290">
        <v>578</v>
      </c>
      <c r="AE95" s="290">
        <v>0</v>
      </c>
      <c r="AF95" s="290">
        <v>0</v>
      </c>
      <c r="AG95" s="290">
        <v>31299</v>
      </c>
      <c r="AH95" s="290">
        <v>5175</v>
      </c>
      <c r="AI95" s="290">
        <v>0</v>
      </c>
      <c r="AJ95" s="290">
        <v>0</v>
      </c>
      <c r="AK95" s="290">
        <v>1810</v>
      </c>
      <c r="AL95" s="290">
        <v>0</v>
      </c>
      <c r="AM95" s="957">
        <v>1.55521135</v>
      </c>
      <c r="AN95" s="290">
        <v>0</v>
      </c>
      <c r="AO95" s="290">
        <v>-8087.2354696800003</v>
      </c>
      <c r="AP95" s="290">
        <v>0</v>
      </c>
      <c r="AQ95" s="290">
        <v>0</v>
      </c>
      <c r="AR95" s="290">
        <v>-1182.0534084999999</v>
      </c>
      <c r="AS95" s="290">
        <v>6377.6379999999999</v>
      </c>
      <c r="AT95" s="290">
        <v>2071</v>
      </c>
      <c r="AU95" s="290">
        <v>433</v>
      </c>
      <c r="AV95" s="766">
        <v>866934</v>
      </c>
      <c r="AW95" s="290">
        <v>13000</v>
      </c>
      <c r="AX95" s="766">
        <v>159.54169999999999</v>
      </c>
      <c r="AY95" s="290">
        <v>6983</v>
      </c>
      <c r="AZ95" s="290">
        <v>1707</v>
      </c>
      <c r="BA95" s="290">
        <v>834</v>
      </c>
      <c r="BB95" s="290">
        <v>0</v>
      </c>
      <c r="BC95" s="290">
        <v>52794.768624260003</v>
      </c>
      <c r="BD95" s="290"/>
      <c r="BE95" s="290">
        <v>820785.30177288002</v>
      </c>
      <c r="BF95" s="290">
        <v>0</v>
      </c>
      <c r="BG95" s="290">
        <v>25622</v>
      </c>
      <c r="BH95" s="290">
        <v>1500</v>
      </c>
      <c r="BI95" s="290">
        <v>15773</v>
      </c>
      <c r="BJ95" s="290">
        <v>358</v>
      </c>
      <c r="BK95" s="290">
        <v>1105</v>
      </c>
      <c r="BL95" s="290">
        <v>0</v>
      </c>
      <c r="BM95" s="290">
        <v>0</v>
      </c>
      <c r="BN95" s="290">
        <v>691</v>
      </c>
      <c r="BO95" s="290">
        <v>-348</v>
      </c>
      <c r="BP95" s="290">
        <v>2911</v>
      </c>
      <c r="BQ95" s="290">
        <v>5822</v>
      </c>
      <c r="BR95" s="290">
        <v>4407</v>
      </c>
      <c r="BS95" s="290">
        <v>434</v>
      </c>
      <c r="BT95" s="290">
        <v>0</v>
      </c>
      <c r="BU95" s="290">
        <v>0</v>
      </c>
      <c r="BV95" s="290">
        <v>636</v>
      </c>
      <c r="BW95" s="290">
        <v>0</v>
      </c>
      <c r="BX95" s="290">
        <v>0</v>
      </c>
      <c r="BY95" s="290">
        <v>3401</v>
      </c>
      <c r="BZ95" s="290">
        <v>7900</v>
      </c>
      <c r="CA95" s="290">
        <v>2303.4</v>
      </c>
      <c r="CB95" s="290">
        <v>275</v>
      </c>
      <c r="CC95" s="290">
        <v>2</v>
      </c>
      <c r="CD95" s="290">
        <v>862</v>
      </c>
      <c r="CE95" s="290">
        <v>876397.34100000001</v>
      </c>
      <c r="CF95" s="290">
        <v>0</v>
      </c>
      <c r="CG95" s="290">
        <v>0</v>
      </c>
      <c r="CH95" s="290">
        <v>0</v>
      </c>
      <c r="CI95" s="290">
        <v>0</v>
      </c>
      <c r="CJ95" s="290"/>
    </row>
    <row r="96" spans="1:88" ht="13">
      <c r="A96" s="1">
        <v>3002</v>
      </c>
      <c r="B96" s="2" t="s">
        <v>1618</v>
      </c>
      <c r="C96" s="289">
        <v>49668</v>
      </c>
      <c r="D96" s="290">
        <v>839</v>
      </c>
      <c r="E96" s="290">
        <v>1939</v>
      </c>
      <c r="F96" s="290">
        <v>5802</v>
      </c>
      <c r="G96" s="290">
        <v>4098</v>
      </c>
      <c r="H96" s="290">
        <v>27996</v>
      </c>
      <c r="I96" s="290">
        <v>6493</v>
      </c>
      <c r="J96" s="290">
        <v>1993</v>
      </c>
      <c r="K96" s="290">
        <v>416</v>
      </c>
      <c r="L96" s="290">
        <v>399</v>
      </c>
      <c r="M96" s="290">
        <v>3994</v>
      </c>
      <c r="N96" s="290">
        <v>1646</v>
      </c>
      <c r="O96" s="290">
        <v>499</v>
      </c>
      <c r="P96" s="624">
        <v>84307.013666669998</v>
      </c>
      <c r="Q96" s="624">
        <v>38417.826999999997</v>
      </c>
      <c r="R96" s="1039">
        <v>185</v>
      </c>
      <c r="S96" s="290">
        <v>235</v>
      </c>
      <c r="T96" s="290">
        <v>4738</v>
      </c>
      <c r="U96" s="958">
        <v>1.9616346299623608E-3</v>
      </c>
      <c r="V96" s="290">
        <v>-20002.993351879999</v>
      </c>
      <c r="W96" s="765">
        <v>0.53546830999999995</v>
      </c>
      <c r="X96" s="290">
        <v>3900</v>
      </c>
      <c r="Y96" s="290"/>
      <c r="Z96" s="290">
        <v>1627223.1170000001</v>
      </c>
      <c r="AA96" s="290">
        <v>0</v>
      </c>
      <c r="AB96" s="290">
        <v>1577</v>
      </c>
      <c r="AC96" s="290">
        <v>4051</v>
      </c>
      <c r="AD96" s="290">
        <v>882</v>
      </c>
      <c r="AE96" s="290">
        <v>0</v>
      </c>
      <c r="AF96" s="290">
        <v>15110</v>
      </c>
      <c r="AG96" s="290">
        <v>49576</v>
      </c>
      <c r="AH96" s="290">
        <v>8204</v>
      </c>
      <c r="AI96" s="290">
        <v>0</v>
      </c>
      <c r="AJ96" s="290">
        <v>0</v>
      </c>
      <c r="AK96" s="290">
        <v>0</v>
      </c>
      <c r="AL96" s="290">
        <v>0</v>
      </c>
      <c r="AM96" s="957">
        <v>2.4222750099999999</v>
      </c>
      <c r="AN96" s="290">
        <v>0</v>
      </c>
      <c r="AO96" s="290">
        <v>-12559.713724409999</v>
      </c>
      <c r="AP96" s="290">
        <v>0</v>
      </c>
      <c r="AQ96" s="290">
        <v>0</v>
      </c>
      <c r="AR96" s="290">
        <v>-1872.3115684100001</v>
      </c>
      <c r="AS96" s="290">
        <v>4625.8819999999996</v>
      </c>
      <c r="AT96" s="290">
        <v>3338</v>
      </c>
      <c r="AU96" s="290">
        <v>653</v>
      </c>
      <c r="AV96" s="766">
        <v>1281967</v>
      </c>
      <c r="AW96" s="290">
        <v>6000</v>
      </c>
      <c r="AX96" s="766">
        <v>293.91665</v>
      </c>
      <c r="AY96" s="290">
        <v>11968</v>
      </c>
      <c r="AZ96" s="290">
        <v>2698</v>
      </c>
      <c r="BA96" s="290">
        <v>1191</v>
      </c>
      <c r="BB96" s="290">
        <v>0</v>
      </c>
      <c r="BC96" s="290">
        <v>82090.100976960006</v>
      </c>
      <c r="BD96" s="290"/>
      <c r="BE96" s="290">
        <v>1220946.8986126001</v>
      </c>
      <c r="BF96" s="290">
        <v>0</v>
      </c>
      <c r="BG96" s="290">
        <v>40583</v>
      </c>
      <c r="BH96" s="290">
        <v>1500</v>
      </c>
      <c r="BI96" s="290">
        <v>28247</v>
      </c>
      <c r="BJ96" s="290">
        <v>566</v>
      </c>
      <c r="BK96" s="290">
        <v>1749</v>
      </c>
      <c r="BL96" s="290">
        <v>0</v>
      </c>
      <c r="BM96" s="290">
        <v>6793</v>
      </c>
      <c r="BN96" s="290">
        <v>1094</v>
      </c>
      <c r="BO96" s="290">
        <v>-542</v>
      </c>
      <c r="BP96" s="290">
        <v>4606</v>
      </c>
      <c r="BQ96" s="290">
        <v>9213</v>
      </c>
      <c r="BR96" s="290">
        <v>6974</v>
      </c>
      <c r="BS96" s="290">
        <v>661</v>
      </c>
      <c r="BT96" s="290">
        <v>0</v>
      </c>
      <c r="BU96" s="290">
        <v>0</v>
      </c>
      <c r="BV96" s="290">
        <v>1006</v>
      </c>
      <c r="BW96" s="290">
        <v>0</v>
      </c>
      <c r="BX96" s="290">
        <v>227.5</v>
      </c>
      <c r="BY96" s="290">
        <v>5313</v>
      </c>
      <c r="BZ96" s="290">
        <v>7500</v>
      </c>
      <c r="CA96" s="290">
        <v>2398.9920000000002</v>
      </c>
      <c r="CB96" s="290">
        <v>432</v>
      </c>
      <c r="CC96" s="290">
        <v>3</v>
      </c>
      <c r="CD96" s="290">
        <v>1343</v>
      </c>
      <c r="CE96" s="290">
        <v>1627223.1170000001</v>
      </c>
      <c r="CF96" s="290">
        <v>0</v>
      </c>
      <c r="CG96" s="290">
        <v>0</v>
      </c>
      <c r="CH96" s="290">
        <v>0</v>
      </c>
      <c r="CI96" s="290">
        <v>0</v>
      </c>
      <c r="CJ96" s="290"/>
    </row>
    <row r="97" spans="1:88" ht="13">
      <c r="A97" s="1">
        <v>3003</v>
      </c>
      <c r="B97" s="2" t="s">
        <v>785</v>
      </c>
      <c r="C97" s="289">
        <v>57372</v>
      </c>
      <c r="D97" s="290">
        <v>1102</v>
      </c>
      <c r="E97" s="290">
        <v>2478</v>
      </c>
      <c r="F97" s="290">
        <v>6848</v>
      </c>
      <c r="G97" s="290">
        <v>4889</v>
      </c>
      <c r="H97" s="290">
        <v>32197</v>
      </c>
      <c r="I97" s="290">
        <v>6953</v>
      </c>
      <c r="J97" s="290">
        <v>2178</v>
      </c>
      <c r="K97" s="290">
        <v>476</v>
      </c>
      <c r="L97" s="290">
        <v>461</v>
      </c>
      <c r="M97" s="290">
        <v>4291</v>
      </c>
      <c r="N97" s="290">
        <v>3480</v>
      </c>
      <c r="O97" s="290">
        <v>560</v>
      </c>
      <c r="P97" s="624">
        <v>132226.171</v>
      </c>
      <c r="Q97" s="624">
        <v>74644.467333330002</v>
      </c>
      <c r="R97" s="1039">
        <v>251</v>
      </c>
      <c r="S97" s="290">
        <v>0</v>
      </c>
      <c r="T97" s="290">
        <v>4818</v>
      </c>
      <c r="U97" s="958">
        <v>5.5301488700701656E-3</v>
      </c>
      <c r="V97" s="290">
        <v>6482.0536700599996</v>
      </c>
      <c r="W97" s="765">
        <v>0.54609129000000001</v>
      </c>
      <c r="X97" s="290">
        <v>4000</v>
      </c>
      <c r="Y97" s="290"/>
      <c r="Z97" s="290">
        <v>1652426.263</v>
      </c>
      <c r="AA97" s="290">
        <v>0</v>
      </c>
      <c r="AB97" s="290">
        <v>1854</v>
      </c>
      <c r="AC97" s="290">
        <v>2954</v>
      </c>
      <c r="AD97" s="290">
        <v>1020</v>
      </c>
      <c r="AE97" s="290">
        <v>0</v>
      </c>
      <c r="AF97" s="290">
        <v>0</v>
      </c>
      <c r="AG97" s="290">
        <v>57121</v>
      </c>
      <c r="AH97" s="290">
        <v>9962</v>
      </c>
      <c r="AI97" s="290">
        <v>2000</v>
      </c>
      <c r="AJ97" s="290">
        <v>0</v>
      </c>
      <c r="AK97" s="290">
        <v>0</v>
      </c>
      <c r="AL97" s="290">
        <v>0</v>
      </c>
      <c r="AM97" s="957">
        <v>3.33004962</v>
      </c>
      <c r="AN97" s="290">
        <v>0</v>
      </c>
      <c r="AO97" s="290">
        <v>-14925.82302394</v>
      </c>
      <c r="AP97" s="290">
        <v>0</v>
      </c>
      <c r="AQ97" s="290">
        <v>0</v>
      </c>
      <c r="AR97" s="290">
        <v>-2157.2597446200002</v>
      </c>
      <c r="AS97" s="290">
        <v>4360.4070000000002</v>
      </c>
      <c r="AT97" s="290">
        <v>3824</v>
      </c>
      <c r="AU97" s="290">
        <v>828</v>
      </c>
      <c r="AV97" s="766">
        <v>1573989</v>
      </c>
      <c r="AW97" s="290">
        <v>30500</v>
      </c>
      <c r="AX97" s="766">
        <v>376.04169999999999</v>
      </c>
      <c r="AY97" s="290">
        <v>11174</v>
      </c>
      <c r="AZ97" s="290">
        <v>3385</v>
      </c>
      <c r="BA97" s="290">
        <v>1523</v>
      </c>
      <c r="BB97" s="290">
        <v>0</v>
      </c>
      <c r="BC97" s="290">
        <v>77928.670193929996</v>
      </c>
      <c r="BD97" s="290"/>
      <c r="BE97" s="290">
        <v>1509503.9468729</v>
      </c>
      <c r="BF97" s="290">
        <v>0</v>
      </c>
      <c r="BG97" s="290">
        <v>46760</v>
      </c>
      <c r="BH97" s="290">
        <v>1500</v>
      </c>
      <c r="BI97" s="290">
        <v>13936</v>
      </c>
      <c r="BJ97" s="290">
        <v>644</v>
      </c>
      <c r="BK97" s="290">
        <v>2165</v>
      </c>
      <c r="BL97" s="290">
        <v>0</v>
      </c>
      <c r="BM97" s="290">
        <v>0</v>
      </c>
      <c r="BN97" s="290">
        <v>1354</v>
      </c>
      <c r="BO97" s="290">
        <v>-705</v>
      </c>
      <c r="BP97" s="290">
        <v>5321</v>
      </c>
      <c r="BQ97" s="290">
        <v>10641</v>
      </c>
      <c r="BR97" s="290">
        <v>8056</v>
      </c>
      <c r="BS97" s="290">
        <v>765</v>
      </c>
      <c r="BT97" s="290">
        <v>0</v>
      </c>
      <c r="BU97" s="290">
        <v>0</v>
      </c>
      <c r="BV97" s="290">
        <v>1246</v>
      </c>
      <c r="BW97" s="290">
        <v>0</v>
      </c>
      <c r="BX97" s="290">
        <v>0</v>
      </c>
      <c r="BY97" s="290">
        <v>5832</v>
      </c>
      <c r="BZ97" s="290">
        <v>14900</v>
      </c>
      <c r="CA97" s="290">
        <v>11816.6</v>
      </c>
      <c r="CB97" s="290">
        <v>498</v>
      </c>
      <c r="CC97" s="290">
        <v>4</v>
      </c>
      <c r="CD97" s="290">
        <v>1746</v>
      </c>
      <c r="CE97" s="290">
        <v>1652426.263</v>
      </c>
      <c r="CF97" s="290">
        <v>0</v>
      </c>
      <c r="CG97" s="290">
        <v>0</v>
      </c>
      <c r="CH97" s="290">
        <v>0</v>
      </c>
      <c r="CI97" s="290">
        <v>0</v>
      </c>
      <c r="CJ97" s="290"/>
    </row>
    <row r="98" spans="1:88" ht="13">
      <c r="A98" s="1">
        <v>3004</v>
      </c>
      <c r="B98" s="2" t="s">
        <v>786</v>
      </c>
      <c r="C98" s="289">
        <v>83193</v>
      </c>
      <c r="D98" s="290">
        <v>1486</v>
      </c>
      <c r="E98" s="290">
        <v>3355</v>
      </c>
      <c r="F98" s="290">
        <v>9601</v>
      </c>
      <c r="G98" s="290">
        <v>7139</v>
      </c>
      <c r="H98" s="290">
        <v>47009</v>
      </c>
      <c r="I98" s="290">
        <v>10124</v>
      </c>
      <c r="J98" s="290">
        <v>3239</v>
      </c>
      <c r="K98" s="290">
        <v>645</v>
      </c>
      <c r="L98" s="290">
        <v>670</v>
      </c>
      <c r="M98" s="290">
        <v>6040</v>
      </c>
      <c r="N98" s="290">
        <v>4876</v>
      </c>
      <c r="O98" s="290">
        <v>748</v>
      </c>
      <c r="P98" s="624">
        <v>156093.87166666999</v>
      </c>
      <c r="Q98" s="624">
        <v>96731.836333329993</v>
      </c>
      <c r="R98" s="1039">
        <v>290</v>
      </c>
      <c r="S98" s="290">
        <v>0</v>
      </c>
      <c r="T98" s="290">
        <v>7147</v>
      </c>
      <c r="U98" s="958">
        <v>4.8801481170808155E-3</v>
      </c>
      <c r="V98" s="290">
        <v>-2733.7294608100001</v>
      </c>
      <c r="W98" s="765">
        <v>0.54255028999999999</v>
      </c>
      <c r="X98" s="290">
        <v>5900</v>
      </c>
      <c r="Y98" s="290"/>
      <c r="Z98" s="290">
        <v>2531703.1839999999</v>
      </c>
      <c r="AA98" s="290">
        <v>0</v>
      </c>
      <c r="AB98" s="290">
        <v>2438</v>
      </c>
      <c r="AC98" s="290">
        <v>3944</v>
      </c>
      <c r="AD98" s="290">
        <v>1460</v>
      </c>
      <c r="AE98" s="290">
        <v>0</v>
      </c>
      <c r="AF98" s="290">
        <v>0</v>
      </c>
      <c r="AG98" s="290">
        <v>82598</v>
      </c>
      <c r="AH98" s="290">
        <v>13871</v>
      </c>
      <c r="AI98" s="290">
        <v>0</v>
      </c>
      <c r="AJ98" s="290">
        <v>0</v>
      </c>
      <c r="AK98" s="290">
        <v>0</v>
      </c>
      <c r="AL98" s="290">
        <v>0</v>
      </c>
      <c r="AM98" s="957">
        <v>4.7752171800000003</v>
      </c>
      <c r="AN98" s="290">
        <v>0</v>
      </c>
      <c r="AO98" s="290">
        <v>-20884.317250380001</v>
      </c>
      <c r="AP98" s="290">
        <v>0</v>
      </c>
      <c r="AQ98" s="290">
        <v>0</v>
      </c>
      <c r="AR98" s="290">
        <v>-3119.4366412700001</v>
      </c>
      <c r="AS98" s="290">
        <v>6041.8265000000001</v>
      </c>
      <c r="AT98" s="290">
        <v>5411</v>
      </c>
      <c r="AU98" s="290">
        <v>1213</v>
      </c>
      <c r="AV98" s="766">
        <v>2115262</v>
      </c>
      <c r="AW98" s="290">
        <v>27000</v>
      </c>
      <c r="AX98" s="766">
        <v>489.25004999999999</v>
      </c>
      <c r="AY98" s="290">
        <v>19584</v>
      </c>
      <c r="AZ98" s="290">
        <v>4938</v>
      </c>
      <c r="BA98" s="290">
        <v>2068</v>
      </c>
      <c r="BB98" s="290">
        <v>0</v>
      </c>
      <c r="BC98" s="290">
        <v>111036.93812486</v>
      </c>
      <c r="BD98" s="290"/>
      <c r="BE98" s="290">
        <v>2016004.2544076</v>
      </c>
      <c r="BF98" s="290">
        <v>0</v>
      </c>
      <c r="BG98" s="290">
        <v>67615</v>
      </c>
      <c r="BH98" s="290">
        <v>1500</v>
      </c>
      <c r="BI98" s="290">
        <v>19275</v>
      </c>
      <c r="BJ98" s="290">
        <v>943</v>
      </c>
      <c r="BK98" s="290">
        <v>2996</v>
      </c>
      <c r="BL98" s="290">
        <v>0</v>
      </c>
      <c r="BM98" s="290">
        <v>0</v>
      </c>
      <c r="BN98" s="290">
        <v>1874</v>
      </c>
      <c r="BO98" s="290">
        <v>-1006</v>
      </c>
      <c r="BP98" s="290">
        <v>7715</v>
      </c>
      <c r="BQ98" s="290">
        <v>15431</v>
      </c>
      <c r="BR98" s="290">
        <v>11681</v>
      </c>
      <c r="BS98" s="290">
        <v>1095</v>
      </c>
      <c r="BT98" s="290">
        <v>0</v>
      </c>
      <c r="BU98" s="290">
        <v>0</v>
      </c>
      <c r="BV98" s="290">
        <v>1724</v>
      </c>
      <c r="BW98" s="290">
        <v>0</v>
      </c>
      <c r="BX98" s="290">
        <v>0</v>
      </c>
      <c r="BY98" s="290">
        <v>8621</v>
      </c>
      <c r="BZ98" s="290">
        <v>16400</v>
      </c>
      <c r="CA98" s="290">
        <v>3989.0479999999998</v>
      </c>
      <c r="CB98" s="290">
        <v>716</v>
      </c>
      <c r="CC98" s="290">
        <v>7</v>
      </c>
      <c r="CD98" s="290">
        <v>2492</v>
      </c>
      <c r="CE98" s="290">
        <v>2531703.1839999999</v>
      </c>
      <c r="CF98" s="290">
        <v>0</v>
      </c>
      <c r="CG98" s="290">
        <v>0</v>
      </c>
      <c r="CH98" s="290">
        <v>0</v>
      </c>
      <c r="CI98" s="290">
        <v>0</v>
      </c>
      <c r="CJ98" s="290"/>
    </row>
    <row r="99" spans="1:88" ht="13">
      <c r="A99" s="1">
        <v>3005</v>
      </c>
      <c r="B99" s="2" t="s">
        <v>1619</v>
      </c>
      <c r="C99" s="289">
        <v>101859</v>
      </c>
      <c r="D99" s="290">
        <v>2017</v>
      </c>
      <c r="E99" s="290">
        <v>4391</v>
      </c>
      <c r="F99" s="290">
        <v>12184</v>
      </c>
      <c r="G99" s="290">
        <v>8438</v>
      </c>
      <c r="H99" s="290">
        <v>58659</v>
      </c>
      <c r="I99" s="290">
        <v>11561</v>
      </c>
      <c r="J99" s="290">
        <v>3583</v>
      </c>
      <c r="K99" s="290">
        <v>808</v>
      </c>
      <c r="L99" s="290">
        <v>795</v>
      </c>
      <c r="M99" s="290">
        <v>7259</v>
      </c>
      <c r="N99" s="290">
        <v>5831</v>
      </c>
      <c r="O99" s="290">
        <v>1282</v>
      </c>
      <c r="P99" s="624">
        <v>205619.65533333001</v>
      </c>
      <c r="Q99" s="624">
        <v>85067.849333329999</v>
      </c>
      <c r="R99" s="1039">
        <v>365</v>
      </c>
      <c r="S99" s="290">
        <v>0</v>
      </c>
      <c r="T99" s="290">
        <v>9474</v>
      </c>
      <c r="U99" s="958">
        <v>2.3659698752295974E-3</v>
      </c>
      <c r="V99" s="290">
        <v>22774.68691606</v>
      </c>
      <c r="W99" s="765">
        <v>0.53383400000000003</v>
      </c>
      <c r="X99" s="290">
        <v>5800</v>
      </c>
      <c r="Y99" s="290"/>
      <c r="Z99" s="290">
        <v>3432396.2370000002</v>
      </c>
      <c r="AA99" s="290">
        <v>0</v>
      </c>
      <c r="AB99" s="290">
        <v>2400</v>
      </c>
      <c r="AC99" s="290">
        <v>23839</v>
      </c>
      <c r="AD99" s="290">
        <v>1757</v>
      </c>
      <c r="AE99" s="290">
        <v>0</v>
      </c>
      <c r="AF99" s="290">
        <v>30220</v>
      </c>
      <c r="AG99" s="290">
        <v>101641</v>
      </c>
      <c r="AH99" s="290">
        <v>17568</v>
      </c>
      <c r="AI99" s="290">
        <v>0</v>
      </c>
      <c r="AJ99" s="290">
        <v>0</v>
      </c>
      <c r="AK99" s="290">
        <v>0</v>
      </c>
      <c r="AL99" s="290">
        <v>0</v>
      </c>
      <c r="AM99" s="957">
        <v>5.8111927400000001</v>
      </c>
      <c r="AN99" s="290">
        <v>0</v>
      </c>
      <c r="AO99" s="290">
        <v>-25829.42517206</v>
      </c>
      <c r="AP99" s="290">
        <v>39845</v>
      </c>
      <c r="AQ99" s="290">
        <v>0</v>
      </c>
      <c r="AR99" s="290">
        <v>-3838.6239334500001</v>
      </c>
      <c r="AS99" s="290">
        <v>19097.259999999998</v>
      </c>
      <c r="AT99" s="290">
        <v>6464</v>
      </c>
      <c r="AU99" s="290">
        <v>1413</v>
      </c>
      <c r="AV99" s="766">
        <v>2761928</v>
      </c>
      <c r="AW99" s="290">
        <v>59000</v>
      </c>
      <c r="AX99" s="766">
        <v>724.29169999999999</v>
      </c>
      <c r="AY99" s="290">
        <v>24891</v>
      </c>
      <c r="AZ99" s="290">
        <v>6540</v>
      </c>
      <c r="BA99" s="290">
        <v>2432</v>
      </c>
      <c r="BB99" s="290">
        <v>0</v>
      </c>
      <c r="BC99" s="290">
        <v>190031.79562995999</v>
      </c>
      <c r="BD99" s="290"/>
      <c r="BE99" s="290">
        <v>2623666.5229850998</v>
      </c>
      <c r="BF99" s="290">
        <v>0</v>
      </c>
      <c r="BG99" s="290">
        <v>83204</v>
      </c>
      <c r="BH99" s="290">
        <v>2000</v>
      </c>
      <c r="BI99" s="290">
        <v>73384</v>
      </c>
      <c r="BJ99" s="290">
        <v>1184</v>
      </c>
      <c r="BK99" s="290">
        <v>3956</v>
      </c>
      <c r="BL99" s="290">
        <v>0</v>
      </c>
      <c r="BM99" s="290">
        <v>0</v>
      </c>
      <c r="BN99" s="290">
        <v>2475</v>
      </c>
      <c r="BO99" s="290">
        <v>-1223</v>
      </c>
      <c r="BP99" s="290">
        <v>9446</v>
      </c>
      <c r="BQ99" s="290">
        <v>18893</v>
      </c>
      <c r="BR99" s="290">
        <v>14302</v>
      </c>
      <c r="BS99" s="290">
        <v>1318</v>
      </c>
      <c r="BT99" s="290">
        <v>0</v>
      </c>
      <c r="BU99" s="290">
        <v>0</v>
      </c>
      <c r="BV99" s="290">
        <v>2277</v>
      </c>
      <c r="BW99" s="290">
        <v>0</v>
      </c>
      <c r="BX99" s="290">
        <v>773.2</v>
      </c>
      <c r="BY99" s="290">
        <v>10017</v>
      </c>
      <c r="BZ99" s="290">
        <v>37000</v>
      </c>
      <c r="CA99" s="290">
        <v>9749.7000000000007</v>
      </c>
      <c r="CB99" s="290">
        <v>880</v>
      </c>
      <c r="CC99" s="290">
        <v>9</v>
      </c>
      <c r="CD99" s="290">
        <v>3029</v>
      </c>
      <c r="CE99" s="290">
        <v>3432396.2370000002</v>
      </c>
      <c r="CF99" s="290">
        <v>0</v>
      </c>
      <c r="CG99" s="290">
        <v>0</v>
      </c>
      <c r="CH99" s="290">
        <v>0</v>
      </c>
      <c r="CI99" s="290">
        <v>0</v>
      </c>
      <c r="CJ99" s="290"/>
    </row>
    <row r="100" spans="1:88" ht="13">
      <c r="A100" s="1">
        <v>3006</v>
      </c>
      <c r="B100" s="2" t="s">
        <v>872</v>
      </c>
      <c r="C100" s="289">
        <v>27694</v>
      </c>
      <c r="D100" s="290">
        <v>468</v>
      </c>
      <c r="E100" s="290">
        <v>1121</v>
      </c>
      <c r="F100" s="290">
        <v>3395</v>
      </c>
      <c r="G100" s="290">
        <v>2216</v>
      </c>
      <c r="H100" s="290">
        <v>15767</v>
      </c>
      <c r="I100" s="290">
        <v>3437</v>
      </c>
      <c r="J100" s="290">
        <v>1067</v>
      </c>
      <c r="K100" s="290">
        <v>246</v>
      </c>
      <c r="L100" s="290">
        <v>195</v>
      </c>
      <c r="M100" s="290">
        <v>1914</v>
      </c>
      <c r="N100" s="290">
        <v>797</v>
      </c>
      <c r="O100" s="290">
        <v>312</v>
      </c>
      <c r="P100" s="624">
        <v>81078.98</v>
      </c>
      <c r="Q100" s="624">
        <v>37650.822999999997</v>
      </c>
      <c r="R100" s="1039">
        <v>95</v>
      </c>
      <c r="S100" s="290">
        <v>0</v>
      </c>
      <c r="T100" s="290">
        <v>2723</v>
      </c>
      <c r="U100" s="958">
        <v>3.7579973869844483E-3</v>
      </c>
      <c r="V100" s="290">
        <v>-3699.7902315299998</v>
      </c>
      <c r="W100" s="765">
        <v>0.56319311999999999</v>
      </c>
      <c r="X100" s="290">
        <v>1600</v>
      </c>
      <c r="Y100" s="290"/>
      <c r="Z100" s="290">
        <v>1012188.798</v>
      </c>
      <c r="AA100" s="290">
        <v>0</v>
      </c>
      <c r="AB100" s="290">
        <v>659</v>
      </c>
      <c r="AC100" s="290">
        <v>1414</v>
      </c>
      <c r="AD100" s="290">
        <v>502</v>
      </c>
      <c r="AE100" s="290">
        <v>0</v>
      </c>
      <c r="AF100" s="290">
        <v>0</v>
      </c>
      <c r="AG100" s="290">
        <v>27717</v>
      </c>
      <c r="AH100" s="290">
        <v>4679</v>
      </c>
      <c r="AI100" s="290">
        <v>1900</v>
      </c>
      <c r="AJ100" s="290">
        <v>0</v>
      </c>
      <c r="AK100" s="290">
        <v>0</v>
      </c>
      <c r="AL100" s="290">
        <v>0</v>
      </c>
      <c r="AM100" s="957">
        <v>0.59105766000000004</v>
      </c>
      <c r="AN100" s="290">
        <v>0</v>
      </c>
      <c r="AO100" s="290">
        <v>-6975.1802711</v>
      </c>
      <c r="AP100" s="290">
        <v>0</v>
      </c>
      <c r="AQ100" s="290">
        <v>0</v>
      </c>
      <c r="AR100" s="290">
        <v>-1046.77383697</v>
      </c>
      <c r="AS100" s="290">
        <v>2137.2829999999999</v>
      </c>
      <c r="AT100" s="290">
        <v>1531</v>
      </c>
      <c r="AU100" s="290">
        <v>234</v>
      </c>
      <c r="AV100" s="766">
        <v>705409</v>
      </c>
      <c r="AW100" s="290">
        <v>5500</v>
      </c>
      <c r="AX100" s="766">
        <v>153.20835</v>
      </c>
      <c r="AY100" s="290">
        <v>8385</v>
      </c>
      <c r="AZ100" s="290">
        <v>1268</v>
      </c>
      <c r="BA100" s="290">
        <v>622</v>
      </c>
      <c r="BB100" s="290">
        <v>0</v>
      </c>
      <c r="BC100" s="290">
        <v>37086.761137369998</v>
      </c>
      <c r="BD100" s="290"/>
      <c r="BE100" s="290">
        <v>666225.93087977997</v>
      </c>
      <c r="BF100" s="290">
        <v>0</v>
      </c>
      <c r="BG100" s="290">
        <v>22689</v>
      </c>
      <c r="BH100" s="290">
        <v>1000</v>
      </c>
      <c r="BI100" s="290">
        <v>6595</v>
      </c>
      <c r="BJ100" s="290">
        <v>334</v>
      </c>
      <c r="BK100" s="290">
        <v>1026</v>
      </c>
      <c r="BL100" s="290">
        <v>0</v>
      </c>
      <c r="BM100" s="290">
        <v>0</v>
      </c>
      <c r="BN100" s="290">
        <v>642</v>
      </c>
      <c r="BO100" s="290">
        <v>-252</v>
      </c>
      <c r="BP100" s="290">
        <v>2568</v>
      </c>
      <c r="BQ100" s="290">
        <v>5137</v>
      </c>
      <c r="BR100" s="290">
        <v>3889</v>
      </c>
      <c r="BS100" s="290">
        <v>377</v>
      </c>
      <c r="BT100" s="290">
        <v>0</v>
      </c>
      <c r="BU100" s="290">
        <v>0</v>
      </c>
      <c r="BV100" s="290">
        <v>591</v>
      </c>
      <c r="BW100" s="290">
        <v>0</v>
      </c>
      <c r="BX100" s="290">
        <v>0</v>
      </c>
      <c r="BY100" s="290">
        <v>2909</v>
      </c>
      <c r="BZ100" s="290">
        <v>6000</v>
      </c>
      <c r="CA100" s="290">
        <v>1332.307</v>
      </c>
      <c r="CB100" s="290">
        <v>245</v>
      </c>
      <c r="CC100" s="290">
        <v>2</v>
      </c>
      <c r="CD100" s="290">
        <v>625</v>
      </c>
      <c r="CE100" s="290">
        <v>1012188.798</v>
      </c>
      <c r="CF100" s="290">
        <v>0</v>
      </c>
      <c r="CG100" s="290">
        <v>0</v>
      </c>
      <c r="CH100" s="290">
        <v>0</v>
      </c>
      <c r="CI100" s="290">
        <v>0</v>
      </c>
      <c r="CJ100" s="290"/>
    </row>
    <row r="101" spans="1:88" ht="13">
      <c r="A101" s="1">
        <v>3007</v>
      </c>
      <c r="B101" s="2" t="s">
        <v>873</v>
      </c>
      <c r="C101" s="289">
        <v>30835</v>
      </c>
      <c r="D101" s="290">
        <v>518</v>
      </c>
      <c r="E101" s="290">
        <v>1122</v>
      </c>
      <c r="F101" s="290">
        <v>3427</v>
      </c>
      <c r="G101" s="290">
        <v>2439</v>
      </c>
      <c r="H101" s="290">
        <v>17520</v>
      </c>
      <c r="I101" s="290">
        <v>4158</v>
      </c>
      <c r="J101" s="290">
        <v>1244</v>
      </c>
      <c r="K101" s="290">
        <v>304</v>
      </c>
      <c r="L101" s="290">
        <v>249</v>
      </c>
      <c r="M101" s="290">
        <v>2659</v>
      </c>
      <c r="N101" s="290">
        <v>889</v>
      </c>
      <c r="O101" s="290">
        <v>323</v>
      </c>
      <c r="P101" s="624">
        <v>134990.302</v>
      </c>
      <c r="Q101" s="624">
        <v>81064.017333330004</v>
      </c>
      <c r="R101" s="1039">
        <v>90</v>
      </c>
      <c r="S101" s="290">
        <v>0</v>
      </c>
      <c r="T101" s="290">
        <v>3030</v>
      </c>
      <c r="U101" s="958">
        <v>6.4013343704049557E-3</v>
      </c>
      <c r="V101" s="290">
        <v>-1374.76063064</v>
      </c>
      <c r="W101" s="765">
        <v>0.60903147999999996</v>
      </c>
      <c r="X101" s="290">
        <v>3000</v>
      </c>
      <c r="Y101" s="290"/>
      <c r="Z101" s="290">
        <v>992976.7</v>
      </c>
      <c r="AA101" s="290">
        <v>0</v>
      </c>
      <c r="AB101" s="290">
        <v>791</v>
      </c>
      <c r="AC101" s="290">
        <v>1462</v>
      </c>
      <c r="AD101" s="290">
        <v>581</v>
      </c>
      <c r="AE101" s="290">
        <v>0</v>
      </c>
      <c r="AF101" s="290">
        <v>0</v>
      </c>
      <c r="AG101" s="290">
        <v>30732</v>
      </c>
      <c r="AH101" s="290">
        <v>4796</v>
      </c>
      <c r="AI101" s="290">
        <v>0</v>
      </c>
      <c r="AJ101" s="290">
        <v>0</v>
      </c>
      <c r="AK101" s="290">
        <v>0</v>
      </c>
      <c r="AL101" s="290">
        <v>0</v>
      </c>
      <c r="AM101" s="957">
        <v>1.0852275</v>
      </c>
      <c r="AN101" s="290">
        <v>0</v>
      </c>
      <c r="AO101" s="290">
        <v>-7771.0980664799999</v>
      </c>
      <c r="AP101" s="290">
        <v>0</v>
      </c>
      <c r="AQ101" s="290">
        <v>0</v>
      </c>
      <c r="AR101" s="290">
        <v>-1160.6398079799999</v>
      </c>
      <c r="AS101" s="290">
        <v>2186.0715</v>
      </c>
      <c r="AT101" s="290">
        <v>1864</v>
      </c>
      <c r="AU101" s="290">
        <v>337</v>
      </c>
      <c r="AV101" s="766">
        <v>798238</v>
      </c>
      <c r="AW101" s="290">
        <v>11500</v>
      </c>
      <c r="AX101" s="766">
        <v>205.20835</v>
      </c>
      <c r="AY101" s="290">
        <v>6697</v>
      </c>
      <c r="AZ101" s="290">
        <v>1622</v>
      </c>
      <c r="BA101" s="290">
        <v>702</v>
      </c>
      <c r="BB101" s="290">
        <v>0</v>
      </c>
      <c r="BC101" s="290">
        <v>39936.975383429999</v>
      </c>
      <c r="BD101" s="290"/>
      <c r="BE101" s="290">
        <v>750364.33531616</v>
      </c>
      <c r="BF101" s="290">
        <v>0</v>
      </c>
      <c r="BG101" s="290">
        <v>25157</v>
      </c>
      <c r="BH101" s="290">
        <v>1500</v>
      </c>
      <c r="BI101" s="290">
        <v>6839</v>
      </c>
      <c r="BJ101" s="290">
        <v>351</v>
      </c>
      <c r="BK101" s="290">
        <v>1028</v>
      </c>
      <c r="BL101" s="290">
        <v>0</v>
      </c>
      <c r="BM101" s="290">
        <v>0</v>
      </c>
      <c r="BN101" s="290">
        <v>643</v>
      </c>
      <c r="BO101" s="290">
        <v>-304</v>
      </c>
      <c r="BP101" s="290">
        <v>2860</v>
      </c>
      <c r="BQ101" s="290">
        <v>5719</v>
      </c>
      <c r="BR101" s="290">
        <v>4330</v>
      </c>
      <c r="BS101" s="290">
        <v>436</v>
      </c>
      <c r="BT101" s="290">
        <v>0</v>
      </c>
      <c r="BU101" s="290">
        <v>0</v>
      </c>
      <c r="BV101" s="290">
        <v>592</v>
      </c>
      <c r="BW101" s="290">
        <v>0</v>
      </c>
      <c r="BX101" s="290">
        <v>0</v>
      </c>
      <c r="BY101" s="290">
        <v>3355</v>
      </c>
      <c r="BZ101" s="290">
        <v>10100</v>
      </c>
      <c r="CA101" s="290">
        <v>1484.3330000000001</v>
      </c>
      <c r="CB101" s="290">
        <v>271</v>
      </c>
      <c r="CC101" s="290">
        <v>2</v>
      </c>
      <c r="CD101" s="290">
        <v>753</v>
      </c>
      <c r="CE101" s="290">
        <v>992976.7</v>
      </c>
      <c r="CF101" s="290">
        <v>0</v>
      </c>
      <c r="CG101" s="290">
        <v>0</v>
      </c>
      <c r="CH101" s="290">
        <v>0</v>
      </c>
      <c r="CI101" s="290">
        <v>0</v>
      </c>
      <c r="CJ101" s="290"/>
    </row>
    <row r="102" spans="1:88" ht="13">
      <c r="A102" s="1">
        <v>3011</v>
      </c>
      <c r="B102" s="2" t="s">
        <v>787</v>
      </c>
      <c r="C102" s="289">
        <v>4694</v>
      </c>
      <c r="D102" s="290">
        <v>60</v>
      </c>
      <c r="E102" s="290">
        <v>125</v>
      </c>
      <c r="F102" s="290">
        <v>479</v>
      </c>
      <c r="G102" s="290">
        <v>320</v>
      </c>
      <c r="H102" s="290">
        <v>2558</v>
      </c>
      <c r="I102" s="290">
        <v>916</v>
      </c>
      <c r="J102" s="290">
        <v>172</v>
      </c>
      <c r="K102" s="290">
        <v>39</v>
      </c>
      <c r="L102" s="290">
        <v>37</v>
      </c>
      <c r="M102" s="290">
        <v>406</v>
      </c>
      <c r="N102" s="290">
        <v>30</v>
      </c>
      <c r="O102" s="290">
        <v>19</v>
      </c>
      <c r="P102" s="624">
        <v>32737.585999999999</v>
      </c>
      <c r="Q102" s="624">
        <v>14501.68433333</v>
      </c>
      <c r="R102" s="1039">
        <v>21</v>
      </c>
      <c r="S102" s="290">
        <v>0</v>
      </c>
      <c r="T102" s="290">
        <v>376</v>
      </c>
      <c r="U102" s="958">
        <v>6.2008852904119017E-4</v>
      </c>
      <c r="V102" s="290">
        <v>1710.87195608</v>
      </c>
      <c r="W102" s="765">
        <v>0.71352970999999998</v>
      </c>
      <c r="X102" s="290">
        <v>300</v>
      </c>
      <c r="Y102" s="290"/>
      <c r="Z102" s="290">
        <v>191214.36799999999</v>
      </c>
      <c r="AA102" s="290">
        <v>0</v>
      </c>
      <c r="AB102" s="290">
        <v>132</v>
      </c>
      <c r="AC102" s="290">
        <v>213</v>
      </c>
      <c r="AD102" s="290">
        <v>105</v>
      </c>
      <c r="AE102" s="290">
        <v>0</v>
      </c>
      <c r="AF102" s="290">
        <v>0</v>
      </c>
      <c r="AG102" s="290">
        <v>4669</v>
      </c>
      <c r="AH102" s="290">
        <v>635</v>
      </c>
      <c r="AI102" s="290">
        <v>0</v>
      </c>
      <c r="AJ102" s="290">
        <v>0</v>
      </c>
      <c r="AK102" s="290">
        <v>0</v>
      </c>
      <c r="AL102" s="290">
        <v>0</v>
      </c>
      <c r="AM102" s="957">
        <v>5.0247529999999999E-2</v>
      </c>
      <c r="AN102" s="290">
        <v>0</v>
      </c>
      <c r="AO102" s="290">
        <v>-1173.4936256599999</v>
      </c>
      <c r="AP102" s="290">
        <v>0</v>
      </c>
      <c r="AQ102" s="290">
        <v>0</v>
      </c>
      <c r="AR102" s="290">
        <v>-176.33174747999999</v>
      </c>
      <c r="AS102" s="290">
        <v>321.262</v>
      </c>
      <c r="AT102" s="290">
        <v>245</v>
      </c>
      <c r="AU102" s="290">
        <v>41</v>
      </c>
      <c r="AV102" s="766">
        <v>121179</v>
      </c>
      <c r="AW102" s="290">
        <v>2800</v>
      </c>
      <c r="AX102" s="766">
        <v>14.333349999999999</v>
      </c>
      <c r="AY102" s="290">
        <v>1188</v>
      </c>
      <c r="AZ102" s="290">
        <v>109</v>
      </c>
      <c r="BA102" s="290">
        <v>96</v>
      </c>
      <c r="BB102" s="290">
        <v>0</v>
      </c>
      <c r="BC102" s="290">
        <v>5826.8137202400003</v>
      </c>
      <c r="BD102" s="290"/>
      <c r="BE102" s="290">
        <v>114105.16030085</v>
      </c>
      <c r="BF102" s="290">
        <v>0</v>
      </c>
      <c r="BG102" s="290">
        <v>3822</v>
      </c>
      <c r="BH102" s="290">
        <v>1000</v>
      </c>
      <c r="BI102" s="290">
        <v>953</v>
      </c>
      <c r="BJ102" s="290">
        <v>57</v>
      </c>
      <c r="BK102" s="290">
        <v>117</v>
      </c>
      <c r="BL102" s="290">
        <v>0</v>
      </c>
      <c r="BM102" s="290">
        <v>0</v>
      </c>
      <c r="BN102" s="290">
        <v>73</v>
      </c>
      <c r="BO102" s="290">
        <v>-33</v>
      </c>
      <c r="BP102" s="290">
        <v>435</v>
      </c>
      <c r="BQ102" s="290">
        <v>871</v>
      </c>
      <c r="BR102" s="290">
        <v>659</v>
      </c>
      <c r="BS102" s="290">
        <v>79</v>
      </c>
      <c r="BT102" s="290">
        <v>0</v>
      </c>
      <c r="BU102" s="290">
        <v>0</v>
      </c>
      <c r="BV102" s="290">
        <v>67</v>
      </c>
      <c r="BW102" s="290">
        <v>0</v>
      </c>
      <c r="BX102" s="290">
        <v>0</v>
      </c>
      <c r="BY102" s="290">
        <v>628</v>
      </c>
      <c r="BZ102" s="290">
        <v>1900</v>
      </c>
      <c r="CA102" s="290">
        <v>306.8</v>
      </c>
      <c r="CB102" s="290">
        <v>49</v>
      </c>
      <c r="CC102" s="290">
        <v>0</v>
      </c>
      <c r="CD102" s="290">
        <v>81</v>
      </c>
      <c r="CE102" s="290">
        <v>191214.36799999999</v>
      </c>
      <c r="CF102" s="290">
        <v>0</v>
      </c>
      <c r="CG102" s="290">
        <v>0</v>
      </c>
      <c r="CH102" s="290">
        <v>0</v>
      </c>
      <c r="CI102" s="290">
        <v>0</v>
      </c>
      <c r="CJ102" s="290"/>
    </row>
    <row r="103" spans="1:88" ht="13">
      <c r="A103" s="1">
        <v>3012</v>
      </c>
      <c r="B103" s="2" t="s">
        <v>788</v>
      </c>
      <c r="C103" s="289">
        <v>1325</v>
      </c>
      <c r="D103" s="290">
        <v>16</v>
      </c>
      <c r="E103" s="290">
        <v>37</v>
      </c>
      <c r="F103" s="290">
        <v>140</v>
      </c>
      <c r="G103" s="290">
        <v>116</v>
      </c>
      <c r="H103" s="290">
        <v>742</v>
      </c>
      <c r="I103" s="290">
        <v>191</v>
      </c>
      <c r="J103" s="290">
        <v>68</v>
      </c>
      <c r="K103" s="290">
        <v>17</v>
      </c>
      <c r="L103" s="290">
        <v>11</v>
      </c>
      <c r="M103" s="290">
        <v>125</v>
      </c>
      <c r="N103" s="290">
        <v>1.5</v>
      </c>
      <c r="O103" s="290">
        <v>3</v>
      </c>
      <c r="P103" s="624">
        <v>7490.8066666699997</v>
      </c>
      <c r="Q103" s="624">
        <v>8702.1710000000003</v>
      </c>
      <c r="R103" s="1039">
        <v>3</v>
      </c>
      <c r="S103" s="290">
        <v>0</v>
      </c>
      <c r="T103" s="290">
        <v>109</v>
      </c>
      <c r="U103" s="958">
        <v>1.3593904861238396E-3</v>
      </c>
      <c r="V103" s="290">
        <v>813.14472335000005</v>
      </c>
      <c r="W103" s="765">
        <v>0.89472353000000004</v>
      </c>
      <c r="X103" s="290">
        <v>400</v>
      </c>
      <c r="Y103" s="290"/>
      <c r="Z103" s="290">
        <v>39254.383000000002</v>
      </c>
      <c r="AA103" s="290">
        <v>0</v>
      </c>
      <c r="AB103" s="290">
        <v>37</v>
      </c>
      <c r="AC103" s="290">
        <v>72</v>
      </c>
      <c r="AD103" s="290">
        <v>42</v>
      </c>
      <c r="AE103" s="290">
        <v>0</v>
      </c>
      <c r="AF103" s="290">
        <v>0</v>
      </c>
      <c r="AG103" s="290">
        <v>1327</v>
      </c>
      <c r="AH103" s="290">
        <v>200</v>
      </c>
      <c r="AI103" s="290">
        <v>0</v>
      </c>
      <c r="AJ103" s="290">
        <v>0</v>
      </c>
      <c r="AK103" s="290">
        <v>0</v>
      </c>
      <c r="AL103" s="290">
        <v>0</v>
      </c>
      <c r="AM103" s="957">
        <v>3.2104809999999998E-2</v>
      </c>
      <c r="AN103" s="290">
        <v>0</v>
      </c>
      <c r="AO103" s="290">
        <v>-407.00855776999998</v>
      </c>
      <c r="AP103" s="290">
        <v>0</v>
      </c>
      <c r="AQ103" s="290">
        <v>0</v>
      </c>
      <c r="AR103" s="290">
        <v>1812.2447804799999</v>
      </c>
      <c r="AS103" s="290">
        <v>130.76949999999999</v>
      </c>
      <c r="AT103" s="290">
        <v>84</v>
      </c>
      <c r="AU103" s="290">
        <v>11</v>
      </c>
      <c r="AV103" s="766">
        <v>60449</v>
      </c>
      <c r="AW103" s="290">
        <v>500</v>
      </c>
      <c r="AX103" s="766">
        <v>7.4583500000000003</v>
      </c>
      <c r="AY103" s="290">
        <v>214</v>
      </c>
      <c r="AZ103" s="290">
        <v>61</v>
      </c>
      <c r="BA103" s="290">
        <v>31</v>
      </c>
      <c r="BB103" s="290">
        <v>6034</v>
      </c>
      <c r="BC103" s="290">
        <v>2365.5317712199999</v>
      </c>
      <c r="BD103" s="290"/>
      <c r="BE103" s="290">
        <v>55335.17935138</v>
      </c>
      <c r="BF103" s="290">
        <v>0</v>
      </c>
      <c r="BG103" s="290">
        <v>1086</v>
      </c>
      <c r="BH103" s="290">
        <v>500</v>
      </c>
      <c r="BI103" s="290">
        <v>314</v>
      </c>
      <c r="BJ103" s="290">
        <v>16</v>
      </c>
      <c r="BK103" s="290">
        <v>34</v>
      </c>
      <c r="BL103" s="290">
        <v>0</v>
      </c>
      <c r="BM103" s="290">
        <v>0</v>
      </c>
      <c r="BN103" s="290">
        <v>21</v>
      </c>
      <c r="BO103" s="290">
        <v>-10</v>
      </c>
      <c r="BP103" s="290">
        <v>123</v>
      </c>
      <c r="BQ103" s="290">
        <v>246</v>
      </c>
      <c r="BR103" s="290">
        <v>186</v>
      </c>
      <c r="BS103" s="290">
        <v>31</v>
      </c>
      <c r="BT103" s="290">
        <v>0</v>
      </c>
      <c r="BU103" s="290">
        <v>0</v>
      </c>
      <c r="BV103" s="290">
        <v>20</v>
      </c>
      <c r="BW103" s="290">
        <v>0</v>
      </c>
      <c r="BX103" s="290">
        <v>0</v>
      </c>
      <c r="BY103" s="290">
        <v>159</v>
      </c>
      <c r="BZ103" s="290">
        <v>200</v>
      </c>
      <c r="CA103" s="290">
        <v>77.741</v>
      </c>
      <c r="CB103" s="290">
        <v>24</v>
      </c>
      <c r="CC103" s="290">
        <v>0</v>
      </c>
      <c r="CD103" s="290">
        <v>25</v>
      </c>
      <c r="CE103" s="290">
        <v>39254.383000000002</v>
      </c>
      <c r="CF103" s="290">
        <v>0</v>
      </c>
      <c r="CG103" s="290">
        <v>0</v>
      </c>
      <c r="CH103" s="290">
        <v>0</v>
      </c>
      <c r="CI103" s="290">
        <v>0</v>
      </c>
      <c r="CJ103" s="290"/>
    </row>
    <row r="104" spans="1:88" ht="13">
      <c r="A104" s="1">
        <v>3013</v>
      </c>
      <c r="B104" s="2" t="s">
        <v>789</v>
      </c>
      <c r="C104" s="289">
        <v>3601</v>
      </c>
      <c r="D104" s="290">
        <v>68</v>
      </c>
      <c r="E104" s="290">
        <v>124</v>
      </c>
      <c r="F104" s="290">
        <v>356</v>
      </c>
      <c r="G104" s="290">
        <v>274</v>
      </c>
      <c r="H104" s="290">
        <v>1938</v>
      </c>
      <c r="I104" s="290">
        <v>602</v>
      </c>
      <c r="J104" s="290">
        <v>195</v>
      </c>
      <c r="K104" s="290">
        <v>43</v>
      </c>
      <c r="L104" s="290">
        <v>24</v>
      </c>
      <c r="M104" s="290">
        <v>356</v>
      </c>
      <c r="N104" s="290">
        <v>65</v>
      </c>
      <c r="O104" s="290">
        <v>17</v>
      </c>
      <c r="P104" s="624">
        <v>19303.917333329999</v>
      </c>
      <c r="Q104" s="624">
        <v>12891.968999999999</v>
      </c>
      <c r="R104" s="1039">
        <v>13</v>
      </c>
      <c r="S104" s="290">
        <v>0</v>
      </c>
      <c r="T104" s="290">
        <v>298</v>
      </c>
      <c r="U104" s="958">
        <v>2.7378495885826116E-3</v>
      </c>
      <c r="V104" s="290">
        <v>1843.16947525</v>
      </c>
      <c r="W104" s="765">
        <v>0.74594342000000002</v>
      </c>
      <c r="X104" s="290">
        <v>250</v>
      </c>
      <c r="Y104" s="290"/>
      <c r="Z104" s="290">
        <v>107407.899</v>
      </c>
      <c r="AA104" s="290">
        <v>0</v>
      </c>
      <c r="AB104" s="290">
        <v>123</v>
      </c>
      <c r="AC104" s="290">
        <v>161</v>
      </c>
      <c r="AD104" s="290">
        <v>85</v>
      </c>
      <c r="AE104" s="290">
        <v>0</v>
      </c>
      <c r="AF104" s="290">
        <v>0</v>
      </c>
      <c r="AG104" s="290">
        <v>3600</v>
      </c>
      <c r="AH104" s="290">
        <v>531</v>
      </c>
      <c r="AI104" s="290">
        <v>0</v>
      </c>
      <c r="AJ104" s="290">
        <v>0</v>
      </c>
      <c r="AK104" s="290">
        <v>92</v>
      </c>
      <c r="AL104" s="290">
        <v>0</v>
      </c>
      <c r="AM104" s="957">
        <v>3.9036139999999997E-2</v>
      </c>
      <c r="AN104" s="290">
        <v>5560</v>
      </c>
      <c r="AO104" s="290">
        <v>-975.43011812999998</v>
      </c>
      <c r="AP104" s="290">
        <v>0</v>
      </c>
      <c r="AQ104" s="290">
        <v>0</v>
      </c>
      <c r="AR104" s="290">
        <v>-135.95936836999999</v>
      </c>
      <c r="AS104" s="290">
        <v>262.07749999999999</v>
      </c>
      <c r="AT104" s="290">
        <v>182</v>
      </c>
      <c r="AU104" s="290">
        <v>22</v>
      </c>
      <c r="AV104" s="766">
        <v>114942</v>
      </c>
      <c r="AW104" s="290">
        <v>3000</v>
      </c>
      <c r="AX104" s="766">
        <v>26.291650000000001</v>
      </c>
      <c r="AY104" s="290">
        <v>575</v>
      </c>
      <c r="AZ104" s="290">
        <v>126</v>
      </c>
      <c r="BA104" s="290">
        <v>58</v>
      </c>
      <c r="BB104" s="290">
        <v>0</v>
      </c>
      <c r="BC104" s="290">
        <v>5315.4154448999998</v>
      </c>
      <c r="BD104" s="290"/>
      <c r="BE104" s="290">
        <v>109771.17231287</v>
      </c>
      <c r="BF104" s="290">
        <v>0</v>
      </c>
      <c r="BG104" s="290">
        <v>2947</v>
      </c>
      <c r="BH104" s="290">
        <v>1000</v>
      </c>
      <c r="BI104" s="290">
        <v>869</v>
      </c>
      <c r="BJ104" s="290">
        <v>41</v>
      </c>
      <c r="BK104" s="290">
        <v>113</v>
      </c>
      <c r="BL104" s="290">
        <v>0</v>
      </c>
      <c r="BM104" s="290">
        <v>0</v>
      </c>
      <c r="BN104" s="290">
        <v>71</v>
      </c>
      <c r="BO104" s="290">
        <v>-29</v>
      </c>
      <c r="BP104" s="290">
        <v>334</v>
      </c>
      <c r="BQ104" s="290">
        <v>668</v>
      </c>
      <c r="BR104" s="290">
        <v>506</v>
      </c>
      <c r="BS104" s="290">
        <v>63</v>
      </c>
      <c r="BT104" s="290">
        <v>0</v>
      </c>
      <c r="BU104" s="290">
        <v>0</v>
      </c>
      <c r="BV104" s="290">
        <v>65</v>
      </c>
      <c r="BW104" s="290">
        <v>0</v>
      </c>
      <c r="BX104" s="290">
        <v>0</v>
      </c>
      <c r="BY104" s="290">
        <v>444</v>
      </c>
      <c r="BZ104" s="290">
        <v>1500</v>
      </c>
      <c r="CA104" s="290">
        <v>352.7</v>
      </c>
      <c r="CB104" s="290">
        <v>41</v>
      </c>
      <c r="CC104" s="290">
        <v>0</v>
      </c>
      <c r="CD104" s="290">
        <v>71</v>
      </c>
      <c r="CE104" s="290">
        <v>107407.899</v>
      </c>
      <c r="CF104" s="290">
        <v>0</v>
      </c>
      <c r="CG104" s="290">
        <v>0</v>
      </c>
      <c r="CH104" s="290">
        <v>0</v>
      </c>
      <c r="CI104" s="290">
        <v>0</v>
      </c>
      <c r="CJ104" s="290"/>
    </row>
    <row r="105" spans="1:88" ht="13">
      <c r="A105" s="1">
        <v>3014</v>
      </c>
      <c r="B105" s="2" t="s">
        <v>1620</v>
      </c>
      <c r="C105" s="289">
        <v>45201</v>
      </c>
      <c r="D105" s="290">
        <v>879</v>
      </c>
      <c r="E105" s="290">
        <v>1873</v>
      </c>
      <c r="F105" s="290">
        <v>5422</v>
      </c>
      <c r="G105" s="290">
        <v>3643</v>
      </c>
      <c r="H105" s="290">
        <v>25481</v>
      </c>
      <c r="I105" s="290">
        <v>5737</v>
      </c>
      <c r="J105" s="290">
        <v>1530</v>
      </c>
      <c r="K105" s="290">
        <v>427</v>
      </c>
      <c r="L105" s="290">
        <v>348</v>
      </c>
      <c r="M105" s="290">
        <v>3363</v>
      </c>
      <c r="N105" s="290">
        <v>1614</v>
      </c>
      <c r="O105" s="290">
        <v>450</v>
      </c>
      <c r="P105" s="624">
        <v>135701.56933333</v>
      </c>
      <c r="Q105" s="624">
        <v>81702.620999999999</v>
      </c>
      <c r="R105" s="1039">
        <v>176</v>
      </c>
      <c r="S105" s="290">
        <v>762</v>
      </c>
      <c r="T105" s="290">
        <v>3971</v>
      </c>
      <c r="U105" s="958">
        <v>1.3050736934904238E-2</v>
      </c>
      <c r="V105" s="290">
        <v>11751.93545653</v>
      </c>
      <c r="W105" s="765">
        <v>0.57122845</v>
      </c>
      <c r="X105" s="290">
        <v>3600</v>
      </c>
      <c r="Y105" s="290"/>
      <c r="Z105" s="290">
        <v>1359926.6740000001</v>
      </c>
      <c r="AA105" s="290">
        <v>0</v>
      </c>
      <c r="AB105" s="290">
        <v>1355</v>
      </c>
      <c r="AC105" s="290">
        <v>2712</v>
      </c>
      <c r="AD105" s="290">
        <v>817</v>
      </c>
      <c r="AE105" s="290">
        <v>0</v>
      </c>
      <c r="AF105" s="290">
        <v>60440</v>
      </c>
      <c r="AG105" s="290">
        <v>44992</v>
      </c>
      <c r="AH105" s="290">
        <v>7707</v>
      </c>
      <c r="AI105" s="290">
        <v>0</v>
      </c>
      <c r="AJ105" s="290">
        <v>0</v>
      </c>
      <c r="AK105" s="290">
        <v>0</v>
      </c>
      <c r="AL105" s="290">
        <v>0</v>
      </c>
      <c r="AM105" s="957">
        <v>1.70178505</v>
      </c>
      <c r="AN105" s="290">
        <v>0</v>
      </c>
      <c r="AO105" s="290">
        <v>-11485.07642655</v>
      </c>
      <c r="AP105" s="290">
        <v>0</v>
      </c>
      <c r="AQ105" s="290">
        <v>-125.41500000000001</v>
      </c>
      <c r="AR105" s="290">
        <v>-1699.1899726900001</v>
      </c>
      <c r="AS105" s="290">
        <v>3713.3004999999998</v>
      </c>
      <c r="AT105" s="290">
        <v>2955</v>
      </c>
      <c r="AU105" s="290">
        <v>548</v>
      </c>
      <c r="AV105" s="766">
        <v>1264352</v>
      </c>
      <c r="AW105" s="290">
        <v>9500</v>
      </c>
      <c r="AX105" s="766">
        <v>312.54165</v>
      </c>
      <c r="AY105" s="290">
        <v>7949</v>
      </c>
      <c r="AZ105" s="290">
        <v>2108</v>
      </c>
      <c r="BA105" s="290">
        <v>1130</v>
      </c>
      <c r="BB105" s="290">
        <v>0</v>
      </c>
      <c r="BC105" s="290">
        <v>121130.97348876001</v>
      </c>
      <c r="BD105" s="290"/>
      <c r="BE105" s="290">
        <v>302205.86097354</v>
      </c>
      <c r="BF105" s="290">
        <v>0</v>
      </c>
      <c r="BG105" s="290">
        <v>36831</v>
      </c>
      <c r="BH105" s="290">
        <v>1500</v>
      </c>
      <c r="BI105" s="290">
        <v>-829586</v>
      </c>
      <c r="BJ105" s="290">
        <v>511</v>
      </c>
      <c r="BK105" s="290">
        <v>1644</v>
      </c>
      <c r="BL105" s="290">
        <v>-901262</v>
      </c>
      <c r="BM105" s="290">
        <v>6479</v>
      </c>
      <c r="BN105" s="290">
        <v>1029</v>
      </c>
      <c r="BO105" s="290">
        <v>-459</v>
      </c>
      <c r="BP105" s="290">
        <v>4192</v>
      </c>
      <c r="BQ105" s="290">
        <v>8384</v>
      </c>
      <c r="BR105" s="290">
        <v>6347</v>
      </c>
      <c r="BS105" s="290">
        <v>613</v>
      </c>
      <c r="BT105" s="290">
        <v>0</v>
      </c>
      <c r="BU105" s="290">
        <v>0</v>
      </c>
      <c r="BV105" s="290">
        <v>946</v>
      </c>
      <c r="BW105" s="290">
        <v>17101</v>
      </c>
      <c r="BX105" s="290">
        <v>0</v>
      </c>
      <c r="BY105" s="290">
        <v>4653</v>
      </c>
      <c r="BZ105" s="290">
        <v>9200</v>
      </c>
      <c r="CA105" s="290">
        <v>2193.7289999999998</v>
      </c>
      <c r="CB105" s="290">
        <v>393</v>
      </c>
      <c r="CC105" s="290">
        <v>3</v>
      </c>
      <c r="CD105" s="290">
        <v>1136</v>
      </c>
      <c r="CE105" s="290">
        <v>1359926.6740000001</v>
      </c>
      <c r="CF105" s="290">
        <v>0</v>
      </c>
      <c r="CG105" s="290">
        <v>0</v>
      </c>
      <c r="CH105" s="290">
        <v>0</v>
      </c>
      <c r="CI105" s="290">
        <v>0</v>
      </c>
      <c r="CJ105" s="290"/>
    </row>
    <row r="106" spans="1:88" ht="13">
      <c r="A106" s="1">
        <v>3015</v>
      </c>
      <c r="B106" s="2" t="s">
        <v>2369</v>
      </c>
      <c r="C106" s="289">
        <v>3825</v>
      </c>
      <c r="D106" s="290">
        <v>63</v>
      </c>
      <c r="E106" s="290">
        <v>157</v>
      </c>
      <c r="F106" s="290">
        <v>504</v>
      </c>
      <c r="G106" s="290">
        <v>347</v>
      </c>
      <c r="H106" s="290">
        <v>2130</v>
      </c>
      <c r="I106" s="290">
        <v>466</v>
      </c>
      <c r="J106" s="290">
        <v>110</v>
      </c>
      <c r="K106" s="290">
        <v>39</v>
      </c>
      <c r="L106" s="290">
        <v>30</v>
      </c>
      <c r="M106" s="290">
        <v>280</v>
      </c>
      <c r="N106" s="290">
        <v>40</v>
      </c>
      <c r="O106" s="290">
        <v>42</v>
      </c>
      <c r="P106" s="624">
        <v>11545.32666667</v>
      </c>
      <c r="Q106" s="624">
        <v>9742.2970000000005</v>
      </c>
      <c r="R106" s="1039">
        <v>15</v>
      </c>
      <c r="S106" s="290">
        <v>0</v>
      </c>
      <c r="T106" s="290">
        <v>268</v>
      </c>
      <c r="U106" s="958">
        <v>2.2485918232913833E-3</v>
      </c>
      <c r="V106" s="290">
        <v>1615.5856132500001</v>
      </c>
      <c r="W106" s="765">
        <v>0.64718472000000005</v>
      </c>
      <c r="X106" s="290">
        <v>550</v>
      </c>
      <c r="Y106" s="290"/>
      <c r="Z106" s="290">
        <v>114468.924</v>
      </c>
      <c r="AA106" s="290">
        <v>0</v>
      </c>
      <c r="AB106" s="290">
        <v>101</v>
      </c>
      <c r="AC106" s="290">
        <v>253</v>
      </c>
      <c r="AD106" s="290">
        <v>80</v>
      </c>
      <c r="AE106" s="290">
        <v>0</v>
      </c>
      <c r="AF106" s="290">
        <v>0</v>
      </c>
      <c r="AG106" s="290">
        <v>3816</v>
      </c>
      <c r="AH106" s="290">
        <v>698</v>
      </c>
      <c r="AI106" s="290">
        <v>0</v>
      </c>
      <c r="AJ106" s="290">
        <v>0</v>
      </c>
      <c r="AK106" s="290">
        <v>0</v>
      </c>
      <c r="AL106" s="290">
        <v>0</v>
      </c>
      <c r="AM106" s="957">
        <v>5.8701929999999999E-2</v>
      </c>
      <c r="AN106" s="290">
        <v>0</v>
      </c>
      <c r="AO106" s="290">
        <v>-1020.08604544</v>
      </c>
      <c r="AP106" s="290">
        <v>0</v>
      </c>
      <c r="AQ106" s="290">
        <v>0</v>
      </c>
      <c r="AR106" s="290">
        <v>258.39027428999998</v>
      </c>
      <c r="AS106" s="290">
        <v>372.35899999999998</v>
      </c>
      <c r="AT106" s="290">
        <v>227</v>
      </c>
      <c r="AU106" s="290">
        <v>26</v>
      </c>
      <c r="AV106" s="766">
        <v>115675</v>
      </c>
      <c r="AW106" s="290">
        <v>2300</v>
      </c>
      <c r="AX106" s="766">
        <v>28.416699999999999</v>
      </c>
      <c r="AY106" s="290">
        <v>548</v>
      </c>
      <c r="AZ106" s="290">
        <v>144</v>
      </c>
      <c r="BA106" s="290">
        <v>84</v>
      </c>
      <c r="BB106" s="290">
        <v>0</v>
      </c>
      <c r="BC106" s="290">
        <v>5959.2129505599996</v>
      </c>
      <c r="BD106" s="290"/>
      <c r="BE106" s="290">
        <v>107465.470009</v>
      </c>
      <c r="BF106" s="290">
        <v>0</v>
      </c>
      <c r="BG106" s="290">
        <v>3124</v>
      </c>
      <c r="BH106" s="290">
        <v>1000</v>
      </c>
      <c r="BI106" s="290">
        <v>1031</v>
      </c>
      <c r="BJ106" s="290">
        <v>44</v>
      </c>
      <c r="BK106" s="290">
        <v>137</v>
      </c>
      <c r="BL106" s="290">
        <v>0</v>
      </c>
      <c r="BM106" s="290">
        <v>0</v>
      </c>
      <c r="BN106" s="290">
        <v>86</v>
      </c>
      <c r="BO106" s="290">
        <v>-27</v>
      </c>
      <c r="BP106" s="290">
        <v>355</v>
      </c>
      <c r="BQ106" s="290">
        <v>709</v>
      </c>
      <c r="BR106" s="290">
        <v>537</v>
      </c>
      <c r="BS106" s="290">
        <v>60</v>
      </c>
      <c r="BT106" s="290">
        <v>0</v>
      </c>
      <c r="BU106" s="290">
        <v>0</v>
      </c>
      <c r="BV106" s="290">
        <v>79</v>
      </c>
      <c r="BW106" s="290">
        <v>0</v>
      </c>
      <c r="BX106" s="290">
        <v>0</v>
      </c>
      <c r="BY106" s="290">
        <v>389</v>
      </c>
      <c r="BZ106" s="290">
        <v>400</v>
      </c>
      <c r="CA106" s="290">
        <v>194.84299999999999</v>
      </c>
      <c r="CB106" s="290">
        <v>42</v>
      </c>
      <c r="CC106" s="290">
        <v>0</v>
      </c>
      <c r="CD106" s="290">
        <v>67</v>
      </c>
      <c r="CE106" s="290">
        <v>114468.924</v>
      </c>
      <c r="CF106" s="290">
        <v>0</v>
      </c>
      <c r="CG106" s="290">
        <v>0</v>
      </c>
      <c r="CH106" s="290">
        <v>0</v>
      </c>
      <c r="CI106" s="290">
        <v>0</v>
      </c>
      <c r="CJ106" s="290"/>
    </row>
    <row r="107" spans="1:88" ht="13">
      <c r="A107" s="1">
        <v>3016</v>
      </c>
      <c r="B107" s="2" t="s">
        <v>796</v>
      </c>
      <c r="C107" s="289">
        <v>8222</v>
      </c>
      <c r="D107" s="290">
        <v>147</v>
      </c>
      <c r="E107" s="290">
        <v>342</v>
      </c>
      <c r="F107" s="290">
        <v>954</v>
      </c>
      <c r="G107" s="290">
        <v>697</v>
      </c>
      <c r="H107" s="290">
        <v>4615</v>
      </c>
      <c r="I107" s="290">
        <v>1077</v>
      </c>
      <c r="J107" s="290">
        <v>326</v>
      </c>
      <c r="K107" s="290">
        <v>85</v>
      </c>
      <c r="L107" s="290">
        <v>67</v>
      </c>
      <c r="M107" s="290">
        <v>649</v>
      </c>
      <c r="N107" s="290">
        <v>294</v>
      </c>
      <c r="O107" s="290">
        <v>62</v>
      </c>
      <c r="P107" s="624">
        <v>31220.445333330001</v>
      </c>
      <c r="Q107" s="624">
        <v>17790.576000000001</v>
      </c>
      <c r="R107" s="1039">
        <v>67</v>
      </c>
      <c r="S107" s="290">
        <v>0</v>
      </c>
      <c r="T107" s="290">
        <v>714</v>
      </c>
      <c r="U107" s="958">
        <v>5.8588616021261197E-3</v>
      </c>
      <c r="V107" s="290">
        <v>4123.3852504200004</v>
      </c>
      <c r="W107" s="765">
        <v>0.59868087999999997</v>
      </c>
      <c r="X107" s="290">
        <v>600</v>
      </c>
      <c r="Y107" s="290"/>
      <c r="Z107" s="290">
        <v>234728.41800000001</v>
      </c>
      <c r="AA107" s="290">
        <v>0</v>
      </c>
      <c r="AB107" s="290">
        <v>300</v>
      </c>
      <c r="AC107" s="290">
        <v>404</v>
      </c>
      <c r="AD107" s="290">
        <v>161</v>
      </c>
      <c r="AE107" s="290">
        <v>0</v>
      </c>
      <c r="AF107" s="290">
        <v>0</v>
      </c>
      <c r="AG107" s="290">
        <v>8243</v>
      </c>
      <c r="AH107" s="290">
        <v>1404</v>
      </c>
      <c r="AI107" s="290">
        <v>0</v>
      </c>
      <c r="AJ107" s="290">
        <v>0</v>
      </c>
      <c r="AK107" s="290">
        <v>0</v>
      </c>
      <c r="AL107" s="290">
        <v>0</v>
      </c>
      <c r="AM107" s="957">
        <v>0.18700384</v>
      </c>
      <c r="AN107" s="290">
        <v>0</v>
      </c>
      <c r="AO107" s="290">
        <v>-2275.3311256900001</v>
      </c>
      <c r="AP107" s="290">
        <v>0</v>
      </c>
      <c r="AQ107" s="290">
        <v>125.41500000000001</v>
      </c>
      <c r="AR107" s="290">
        <v>-311.30918707000001</v>
      </c>
      <c r="AS107" s="290">
        <v>654.39350000000002</v>
      </c>
      <c r="AT107" s="290">
        <v>459</v>
      </c>
      <c r="AU107" s="290">
        <v>77</v>
      </c>
      <c r="AV107" s="766">
        <v>262267</v>
      </c>
      <c r="AW107" s="290">
        <v>5000</v>
      </c>
      <c r="AX107" s="766">
        <v>47</v>
      </c>
      <c r="AY107" s="290">
        <v>1227</v>
      </c>
      <c r="AZ107" s="290">
        <v>361</v>
      </c>
      <c r="BA107" s="290">
        <v>159</v>
      </c>
      <c r="BB107" s="290">
        <v>0</v>
      </c>
      <c r="BC107" s="290">
        <v>11955.02228411</v>
      </c>
      <c r="BD107" s="290"/>
      <c r="BE107" s="290">
        <v>247746.36436929999</v>
      </c>
      <c r="BF107" s="290">
        <v>0</v>
      </c>
      <c r="BG107" s="290">
        <v>6748</v>
      </c>
      <c r="BH107" s="290">
        <v>1000</v>
      </c>
      <c r="BI107" s="290">
        <v>1969</v>
      </c>
      <c r="BJ107" s="290">
        <v>95</v>
      </c>
      <c r="BK107" s="290">
        <v>291</v>
      </c>
      <c r="BL107" s="290">
        <v>0</v>
      </c>
      <c r="BM107" s="290">
        <v>0</v>
      </c>
      <c r="BN107" s="290">
        <v>182</v>
      </c>
      <c r="BO107" s="290">
        <v>-80</v>
      </c>
      <c r="BP107" s="290">
        <v>763</v>
      </c>
      <c r="BQ107" s="290">
        <v>1525</v>
      </c>
      <c r="BR107" s="290">
        <v>1154</v>
      </c>
      <c r="BS107" s="290">
        <v>121</v>
      </c>
      <c r="BT107" s="290">
        <v>0</v>
      </c>
      <c r="BU107" s="290">
        <v>0</v>
      </c>
      <c r="BV107" s="290">
        <v>167</v>
      </c>
      <c r="BW107" s="290">
        <v>0</v>
      </c>
      <c r="BX107" s="290">
        <v>0</v>
      </c>
      <c r="BY107" s="290">
        <v>891</v>
      </c>
      <c r="BZ107" s="290">
        <v>1300</v>
      </c>
      <c r="CA107" s="290">
        <v>434.60399999999998</v>
      </c>
      <c r="CB107" s="290">
        <v>79</v>
      </c>
      <c r="CC107" s="290">
        <v>1</v>
      </c>
      <c r="CD107" s="290">
        <v>198</v>
      </c>
      <c r="CE107" s="290">
        <v>234728.41800000001</v>
      </c>
      <c r="CF107" s="290">
        <v>0</v>
      </c>
      <c r="CG107" s="290">
        <v>0</v>
      </c>
      <c r="CH107" s="290">
        <v>0</v>
      </c>
      <c r="CI107" s="290">
        <v>0</v>
      </c>
      <c r="CJ107" s="290"/>
    </row>
    <row r="108" spans="1:88" ht="13">
      <c r="A108" s="1">
        <v>3017</v>
      </c>
      <c r="B108" s="2" t="s">
        <v>797</v>
      </c>
      <c r="C108" s="289">
        <v>7568</v>
      </c>
      <c r="D108" s="290">
        <v>146</v>
      </c>
      <c r="E108" s="290">
        <v>310</v>
      </c>
      <c r="F108" s="290">
        <v>878</v>
      </c>
      <c r="G108" s="290">
        <v>599</v>
      </c>
      <c r="H108" s="290">
        <v>4204</v>
      </c>
      <c r="I108" s="290">
        <v>989</v>
      </c>
      <c r="J108" s="290">
        <v>332</v>
      </c>
      <c r="K108" s="290">
        <v>91</v>
      </c>
      <c r="L108" s="290">
        <v>52</v>
      </c>
      <c r="M108" s="290">
        <v>546</v>
      </c>
      <c r="N108" s="290">
        <v>108</v>
      </c>
      <c r="O108" s="290">
        <v>80</v>
      </c>
      <c r="P108" s="624">
        <v>23880.519333330001</v>
      </c>
      <c r="Q108" s="624">
        <v>11164.228999999999</v>
      </c>
      <c r="R108" s="1039">
        <v>31</v>
      </c>
      <c r="S108" s="290">
        <v>0</v>
      </c>
      <c r="T108" s="290">
        <v>507</v>
      </c>
      <c r="U108" s="958">
        <v>2.3085973286962802E-3</v>
      </c>
      <c r="V108" s="290">
        <v>1486.6325296299999</v>
      </c>
      <c r="W108" s="765">
        <v>0.58282423000000005</v>
      </c>
      <c r="X108" s="290">
        <v>550</v>
      </c>
      <c r="Y108" s="290"/>
      <c r="Z108" s="290">
        <v>240957.899</v>
      </c>
      <c r="AA108" s="290">
        <v>0</v>
      </c>
      <c r="AB108" s="290">
        <v>196</v>
      </c>
      <c r="AC108" s="290">
        <v>372</v>
      </c>
      <c r="AD108" s="290">
        <v>147</v>
      </c>
      <c r="AE108" s="290">
        <v>0</v>
      </c>
      <c r="AF108" s="290">
        <v>0</v>
      </c>
      <c r="AG108" s="290">
        <v>7549</v>
      </c>
      <c r="AH108" s="290">
        <v>1262</v>
      </c>
      <c r="AI108" s="290">
        <v>1500</v>
      </c>
      <c r="AJ108" s="290">
        <v>0</v>
      </c>
      <c r="AK108" s="290">
        <v>0</v>
      </c>
      <c r="AL108" s="290">
        <v>0</v>
      </c>
      <c r="AM108" s="957">
        <v>0.19263575999999999</v>
      </c>
      <c r="AN108" s="290">
        <v>0</v>
      </c>
      <c r="AO108" s="290">
        <v>-1959.8166245</v>
      </c>
      <c r="AP108" s="290">
        <v>0</v>
      </c>
      <c r="AQ108" s="290">
        <v>0</v>
      </c>
      <c r="AR108" s="290">
        <v>-285.09924217000002</v>
      </c>
      <c r="AS108" s="290">
        <v>565.30349999999999</v>
      </c>
      <c r="AT108" s="290">
        <v>415</v>
      </c>
      <c r="AU108" s="290">
        <v>89</v>
      </c>
      <c r="AV108" s="766">
        <v>205589</v>
      </c>
      <c r="AW108" s="290">
        <v>2400</v>
      </c>
      <c r="AX108" s="766">
        <v>47.541649999999997</v>
      </c>
      <c r="AY108" s="290">
        <v>1538</v>
      </c>
      <c r="AZ108" s="290">
        <v>294</v>
      </c>
      <c r="BA108" s="290">
        <v>150</v>
      </c>
      <c r="BB108" s="290">
        <v>0</v>
      </c>
      <c r="BC108" s="290">
        <v>10300.078281259999</v>
      </c>
      <c r="BD108" s="290"/>
      <c r="BE108" s="290">
        <v>197275.07062292</v>
      </c>
      <c r="BF108" s="290">
        <v>0</v>
      </c>
      <c r="BG108" s="290">
        <v>6180</v>
      </c>
      <c r="BH108" s="290">
        <v>1000</v>
      </c>
      <c r="BI108" s="290">
        <v>1781</v>
      </c>
      <c r="BJ108" s="290">
        <v>87</v>
      </c>
      <c r="BK108" s="290">
        <v>274</v>
      </c>
      <c r="BL108" s="290">
        <v>0</v>
      </c>
      <c r="BM108" s="290">
        <v>0</v>
      </c>
      <c r="BN108" s="290">
        <v>171</v>
      </c>
      <c r="BO108" s="290">
        <v>-58</v>
      </c>
      <c r="BP108" s="290">
        <v>702</v>
      </c>
      <c r="BQ108" s="290">
        <v>1404</v>
      </c>
      <c r="BR108" s="290">
        <v>1063</v>
      </c>
      <c r="BS108" s="290">
        <v>111</v>
      </c>
      <c r="BT108" s="290">
        <v>0</v>
      </c>
      <c r="BU108" s="290">
        <v>0</v>
      </c>
      <c r="BV108" s="290">
        <v>157</v>
      </c>
      <c r="BW108" s="290">
        <v>0</v>
      </c>
      <c r="BX108" s="290">
        <v>0</v>
      </c>
      <c r="BY108" s="290">
        <v>836</v>
      </c>
      <c r="BZ108" s="290">
        <v>900</v>
      </c>
      <c r="CA108" s="290">
        <v>374.33800000000002</v>
      </c>
      <c r="CB108" s="290">
        <v>73</v>
      </c>
      <c r="CC108" s="290">
        <v>0</v>
      </c>
      <c r="CD108" s="290">
        <v>143</v>
      </c>
      <c r="CE108" s="290">
        <v>240957.899</v>
      </c>
      <c r="CF108" s="290">
        <v>0</v>
      </c>
      <c r="CG108" s="290">
        <v>0</v>
      </c>
      <c r="CH108" s="290">
        <v>0</v>
      </c>
      <c r="CI108" s="290">
        <v>0</v>
      </c>
      <c r="CJ108" s="290"/>
    </row>
    <row r="109" spans="1:88" ht="13">
      <c r="A109" s="1">
        <v>3018</v>
      </c>
      <c r="B109" s="2" t="s">
        <v>799</v>
      </c>
      <c r="C109" s="289">
        <v>5805</v>
      </c>
      <c r="D109" s="290">
        <v>134</v>
      </c>
      <c r="E109" s="290">
        <v>347</v>
      </c>
      <c r="F109" s="290">
        <v>792</v>
      </c>
      <c r="G109" s="290">
        <v>391</v>
      </c>
      <c r="H109" s="290">
        <v>3373</v>
      </c>
      <c r="I109" s="290">
        <v>579</v>
      </c>
      <c r="J109" s="290">
        <v>137</v>
      </c>
      <c r="K109" s="290">
        <v>19</v>
      </c>
      <c r="L109" s="290">
        <v>49</v>
      </c>
      <c r="M109" s="290">
        <v>276</v>
      </c>
      <c r="N109" s="290">
        <v>67</v>
      </c>
      <c r="O109" s="290">
        <v>58</v>
      </c>
      <c r="P109" s="624">
        <v>38759.638666669998</v>
      </c>
      <c r="Q109" s="624">
        <v>15911.728999999999</v>
      </c>
      <c r="R109" s="1039">
        <v>14</v>
      </c>
      <c r="S109" s="290">
        <v>0</v>
      </c>
      <c r="T109" s="290">
        <v>372</v>
      </c>
      <c r="U109" s="958">
        <v>2.1522293273301993E-3</v>
      </c>
      <c r="V109" s="290">
        <v>-379.28538282</v>
      </c>
      <c r="W109" s="765">
        <v>0.646173</v>
      </c>
      <c r="X109" s="290">
        <v>300</v>
      </c>
      <c r="Y109" s="290"/>
      <c r="Z109" s="290">
        <v>179852.071</v>
      </c>
      <c r="AA109" s="290">
        <v>0</v>
      </c>
      <c r="AB109" s="290">
        <v>152</v>
      </c>
      <c r="AC109" s="290">
        <v>342</v>
      </c>
      <c r="AD109" s="290">
        <v>114</v>
      </c>
      <c r="AE109" s="290">
        <v>3732</v>
      </c>
      <c r="AF109" s="290">
        <v>0</v>
      </c>
      <c r="AG109" s="290">
        <v>5772</v>
      </c>
      <c r="AH109" s="290">
        <v>1133</v>
      </c>
      <c r="AI109" s="290">
        <v>0</v>
      </c>
      <c r="AJ109" s="290">
        <v>0</v>
      </c>
      <c r="AK109" s="290">
        <v>0</v>
      </c>
      <c r="AL109" s="290">
        <v>0</v>
      </c>
      <c r="AM109" s="957">
        <v>0.12316812000000001</v>
      </c>
      <c r="AN109" s="290">
        <v>0</v>
      </c>
      <c r="AO109" s="290">
        <v>-1501.56655602</v>
      </c>
      <c r="AP109" s="290">
        <v>0</v>
      </c>
      <c r="AQ109" s="290">
        <v>0</v>
      </c>
      <c r="AR109" s="290">
        <v>-217.98818729000001</v>
      </c>
      <c r="AS109" s="290">
        <v>469.4545</v>
      </c>
      <c r="AT109" s="290">
        <v>353</v>
      </c>
      <c r="AU109" s="290">
        <v>56</v>
      </c>
      <c r="AV109" s="766">
        <v>155572</v>
      </c>
      <c r="AW109" s="290">
        <v>2500</v>
      </c>
      <c r="AX109" s="766">
        <v>42.916649999999997</v>
      </c>
      <c r="AY109" s="290">
        <v>1058</v>
      </c>
      <c r="AZ109" s="290">
        <v>205</v>
      </c>
      <c r="BA109" s="290">
        <v>109</v>
      </c>
      <c r="BB109" s="290">
        <v>0</v>
      </c>
      <c r="BC109" s="290">
        <v>8907.9704538700007</v>
      </c>
      <c r="BD109" s="290"/>
      <c r="BE109" s="290">
        <v>153838.96937681999</v>
      </c>
      <c r="BF109" s="290">
        <v>0</v>
      </c>
      <c r="BG109" s="290">
        <v>4725</v>
      </c>
      <c r="BH109" s="290">
        <v>1000</v>
      </c>
      <c r="BI109" s="290">
        <v>1589</v>
      </c>
      <c r="BJ109" s="290">
        <v>64</v>
      </c>
      <c r="BK109" s="290">
        <v>289</v>
      </c>
      <c r="BL109" s="290">
        <v>0</v>
      </c>
      <c r="BM109" s="290">
        <v>0</v>
      </c>
      <c r="BN109" s="290">
        <v>181</v>
      </c>
      <c r="BO109" s="290">
        <v>-42</v>
      </c>
      <c r="BP109" s="290">
        <v>538</v>
      </c>
      <c r="BQ109" s="290">
        <v>1077</v>
      </c>
      <c r="BR109" s="290">
        <v>815</v>
      </c>
      <c r="BS109" s="290">
        <v>85</v>
      </c>
      <c r="BT109" s="290">
        <v>0</v>
      </c>
      <c r="BU109" s="290">
        <v>0</v>
      </c>
      <c r="BV109" s="290">
        <v>166</v>
      </c>
      <c r="BW109" s="290">
        <v>0</v>
      </c>
      <c r="BX109" s="290">
        <v>0</v>
      </c>
      <c r="BY109" s="290">
        <v>506</v>
      </c>
      <c r="BZ109" s="290">
        <v>500</v>
      </c>
      <c r="CA109" s="290">
        <v>286.81</v>
      </c>
      <c r="CB109" s="290">
        <v>59</v>
      </c>
      <c r="CC109" s="290">
        <v>0</v>
      </c>
      <c r="CD109" s="290">
        <v>104</v>
      </c>
      <c r="CE109" s="290">
        <v>179852.071</v>
      </c>
      <c r="CF109" s="290">
        <v>0</v>
      </c>
      <c r="CG109" s="290">
        <v>0</v>
      </c>
      <c r="CH109" s="290">
        <v>0</v>
      </c>
      <c r="CI109" s="290">
        <v>0</v>
      </c>
      <c r="CJ109" s="290"/>
    </row>
    <row r="110" spans="1:88" ht="13">
      <c r="A110" s="1">
        <v>3019</v>
      </c>
      <c r="B110" s="2" t="s">
        <v>801</v>
      </c>
      <c r="C110" s="289">
        <v>18290</v>
      </c>
      <c r="D110" s="290">
        <v>377</v>
      </c>
      <c r="E110" s="290">
        <v>935</v>
      </c>
      <c r="F110" s="290">
        <v>2503</v>
      </c>
      <c r="G110" s="290">
        <v>1495</v>
      </c>
      <c r="H110" s="290">
        <v>10007</v>
      </c>
      <c r="I110" s="290">
        <v>2212</v>
      </c>
      <c r="J110" s="290">
        <v>475</v>
      </c>
      <c r="K110" s="290">
        <v>93</v>
      </c>
      <c r="L110" s="290">
        <v>124</v>
      </c>
      <c r="M110" s="290">
        <v>983</v>
      </c>
      <c r="N110" s="290">
        <v>542</v>
      </c>
      <c r="O110" s="290">
        <v>134</v>
      </c>
      <c r="P110" s="624">
        <v>54201.293666669997</v>
      </c>
      <c r="Q110" s="624">
        <v>20809.317666669998</v>
      </c>
      <c r="R110" s="1039">
        <v>41</v>
      </c>
      <c r="S110" s="290">
        <v>0</v>
      </c>
      <c r="T110" s="290">
        <v>1278</v>
      </c>
      <c r="U110" s="958">
        <v>1.7558493789455116E-3</v>
      </c>
      <c r="V110" s="290">
        <v>2907.0470748900002</v>
      </c>
      <c r="W110" s="765">
        <v>0.55741468999999999</v>
      </c>
      <c r="X110" s="290">
        <v>1500</v>
      </c>
      <c r="Y110" s="290"/>
      <c r="Z110" s="290">
        <v>648063.12</v>
      </c>
      <c r="AA110" s="290">
        <v>0</v>
      </c>
      <c r="AB110" s="290">
        <v>353</v>
      </c>
      <c r="AC110" s="290">
        <v>1025</v>
      </c>
      <c r="AD110" s="290">
        <v>327</v>
      </c>
      <c r="AE110" s="290">
        <v>2578</v>
      </c>
      <c r="AF110" s="290">
        <v>0</v>
      </c>
      <c r="AG110" s="290">
        <v>18097</v>
      </c>
      <c r="AH110" s="290">
        <v>3554</v>
      </c>
      <c r="AI110" s="290">
        <v>0</v>
      </c>
      <c r="AJ110" s="290">
        <v>0</v>
      </c>
      <c r="AK110" s="290">
        <v>0</v>
      </c>
      <c r="AL110" s="290">
        <v>0</v>
      </c>
      <c r="AM110" s="957">
        <v>0.42949042999999998</v>
      </c>
      <c r="AN110" s="290">
        <v>0</v>
      </c>
      <c r="AO110" s="290">
        <v>-4520.7685008899998</v>
      </c>
      <c r="AP110" s="290">
        <v>0</v>
      </c>
      <c r="AQ110" s="290">
        <v>0</v>
      </c>
      <c r="AR110" s="290">
        <v>-683.46019149000006</v>
      </c>
      <c r="AS110" s="290">
        <v>1508.9275</v>
      </c>
      <c r="AT110" s="290">
        <v>1098</v>
      </c>
      <c r="AU110" s="290">
        <v>157</v>
      </c>
      <c r="AV110" s="766">
        <v>467159</v>
      </c>
      <c r="AW110" s="290">
        <v>6400</v>
      </c>
      <c r="AX110" s="766">
        <v>161.75</v>
      </c>
      <c r="AY110" s="290">
        <v>4666</v>
      </c>
      <c r="AZ110" s="290">
        <v>811</v>
      </c>
      <c r="BA110" s="290">
        <v>385</v>
      </c>
      <c r="BB110" s="290">
        <v>0</v>
      </c>
      <c r="BC110" s="290">
        <v>25503.1685817</v>
      </c>
      <c r="BD110" s="290"/>
      <c r="BE110" s="290">
        <v>436576.29728652001</v>
      </c>
      <c r="BF110" s="290">
        <v>0</v>
      </c>
      <c r="BG110" s="290">
        <v>14814</v>
      </c>
      <c r="BH110" s="290">
        <v>1000</v>
      </c>
      <c r="BI110" s="290">
        <v>4906</v>
      </c>
      <c r="BJ110" s="290">
        <v>213</v>
      </c>
      <c r="BK110" s="290">
        <v>836</v>
      </c>
      <c r="BL110" s="290">
        <v>0</v>
      </c>
      <c r="BM110" s="290">
        <v>0</v>
      </c>
      <c r="BN110" s="290">
        <v>523</v>
      </c>
      <c r="BO110" s="290">
        <v>-146</v>
      </c>
      <c r="BP110" s="290">
        <v>1696</v>
      </c>
      <c r="BQ110" s="290">
        <v>3392</v>
      </c>
      <c r="BR110" s="290">
        <v>2568</v>
      </c>
      <c r="BS110" s="290">
        <v>245</v>
      </c>
      <c r="BT110" s="290">
        <v>0</v>
      </c>
      <c r="BU110" s="290">
        <v>0</v>
      </c>
      <c r="BV110" s="290">
        <v>481</v>
      </c>
      <c r="BW110" s="290">
        <v>0</v>
      </c>
      <c r="BX110" s="290">
        <v>0</v>
      </c>
      <c r="BY110" s="290">
        <v>1812</v>
      </c>
      <c r="BZ110" s="290">
        <v>5500</v>
      </c>
      <c r="CA110" s="290">
        <v>863.49800000000005</v>
      </c>
      <c r="CB110" s="290">
        <v>163</v>
      </c>
      <c r="CC110" s="290">
        <v>1</v>
      </c>
      <c r="CD110" s="290">
        <v>362</v>
      </c>
      <c r="CE110" s="290">
        <v>648063.12</v>
      </c>
      <c r="CF110" s="290">
        <v>0</v>
      </c>
      <c r="CG110" s="290">
        <v>0</v>
      </c>
      <c r="CH110" s="290">
        <v>0</v>
      </c>
      <c r="CI110" s="290">
        <v>0</v>
      </c>
      <c r="CJ110" s="290"/>
    </row>
    <row r="111" spans="1:88" ht="13">
      <c r="A111" s="1">
        <v>3020</v>
      </c>
      <c r="B111" s="2" t="s">
        <v>1621</v>
      </c>
      <c r="C111" s="289">
        <v>60034</v>
      </c>
      <c r="D111" s="290">
        <v>1219</v>
      </c>
      <c r="E111" s="290">
        <v>2836</v>
      </c>
      <c r="F111" s="290">
        <v>8290</v>
      </c>
      <c r="G111" s="290">
        <v>5305</v>
      </c>
      <c r="H111" s="290">
        <v>32900</v>
      </c>
      <c r="I111" s="290">
        <v>6462</v>
      </c>
      <c r="J111" s="290">
        <v>2132</v>
      </c>
      <c r="K111" s="290">
        <v>448</v>
      </c>
      <c r="L111" s="290">
        <v>404</v>
      </c>
      <c r="M111" s="290">
        <v>3553</v>
      </c>
      <c r="N111" s="290">
        <v>1983</v>
      </c>
      <c r="O111" s="290">
        <v>495</v>
      </c>
      <c r="P111" s="624">
        <v>102640.33266667</v>
      </c>
      <c r="Q111" s="624">
        <v>64717.555999999997</v>
      </c>
      <c r="R111" s="1039">
        <v>157</v>
      </c>
      <c r="S111" s="290">
        <v>0</v>
      </c>
      <c r="T111" s="290">
        <v>3978</v>
      </c>
      <c r="U111" s="958">
        <v>1.9601376049278993E-3</v>
      </c>
      <c r="V111" s="290">
        <v>18646.83437067</v>
      </c>
      <c r="W111" s="765">
        <v>0.53955407</v>
      </c>
      <c r="X111" s="290">
        <v>0</v>
      </c>
      <c r="Y111" s="290"/>
      <c r="Z111" s="290">
        <v>2446438.3840000001</v>
      </c>
      <c r="AA111" s="290">
        <v>0</v>
      </c>
      <c r="AB111" s="290">
        <v>859</v>
      </c>
      <c r="AC111" s="290">
        <v>18683</v>
      </c>
      <c r="AD111" s="290">
        <v>1046</v>
      </c>
      <c r="AE111" s="290">
        <v>0</v>
      </c>
      <c r="AF111" s="290">
        <v>15110</v>
      </c>
      <c r="AG111" s="290">
        <v>59592</v>
      </c>
      <c r="AH111" s="290">
        <v>11639</v>
      </c>
      <c r="AI111" s="290">
        <v>3400</v>
      </c>
      <c r="AJ111" s="290">
        <v>0</v>
      </c>
      <c r="AK111" s="290">
        <v>0</v>
      </c>
      <c r="AL111" s="290">
        <v>0</v>
      </c>
      <c r="AM111" s="957">
        <v>1.2536371900000001</v>
      </c>
      <c r="AN111" s="290">
        <v>0</v>
      </c>
      <c r="AO111" s="290">
        <v>-15048.394735870001</v>
      </c>
      <c r="AP111" s="290">
        <v>0</v>
      </c>
      <c r="AQ111" s="290">
        <v>0</v>
      </c>
      <c r="AR111" s="290">
        <v>-2250.5807444100001</v>
      </c>
      <c r="AS111" s="290">
        <v>14442.407499999999</v>
      </c>
      <c r="AT111" s="290">
        <v>3063</v>
      </c>
      <c r="AU111" s="290">
        <v>551</v>
      </c>
      <c r="AV111" s="766">
        <v>1574936</v>
      </c>
      <c r="AW111" s="290">
        <v>7000</v>
      </c>
      <c r="AX111" s="766">
        <v>493.62495000000001</v>
      </c>
      <c r="AY111" s="290">
        <v>18615</v>
      </c>
      <c r="AZ111" s="290">
        <v>2611</v>
      </c>
      <c r="BA111" s="290">
        <v>1063</v>
      </c>
      <c r="BB111" s="290">
        <v>0</v>
      </c>
      <c r="BC111" s="290">
        <v>116549.37162303001</v>
      </c>
      <c r="BD111" s="290"/>
      <c r="BE111" s="290">
        <v>1506726.0090798</v>
      </c>
      <c r="BF111" s="290">
        <v>0</v>
      </c>
      <c r="BG111" s="290">
        <v>48782</v>
      </c>
      <c r="BH111" s="290">
        <v>1500</v>
      </c>
      <c r="BI111" s="290">
        <v>46478</v>
      </c>
      <c r="BJ111" s="290">
        <v>738</v>
      </c>
      <c r="BK111" s="290">
        <v>2613</v>
      </c>
      <c r="BL111" s="290">
        <v>0</v>
      </c>
      <c r="BM111" s="290">
        <v>7494</v>
      </c>
      <c r="BN111" s="290">
        <v>1635</v>
      </c>
      <c r="BO111" s="290">
        <v>-461</v>
      </c>
      <c r="BP111" s="290">
        <v>5568</v>
      </c>
      <c r="BQ111" s="290">
        <v>11135</v>
      </c>
      <c r="BR111" s="290">
        <v>8429</v>
      </c>
      <c r="BS111" s="290">
        <v>785</v>
      </c>
      <c r="BT111" s="290">
        <v>0</v>
      </c>
      <c r="BU111" s="290">
        <v>0</v>
      </c>
      <c r="BV111" s="290">
        <v>1504</v>
      </c>
      <c r="BW111" s="290">
        <v>0</v>
      </c>
      <c r="BX111" s="290">
        <v>132.4</v>
      </c>
      <c r="BY111" s="290">
        <v>5903</v>
      </c>
      <c r="BZ111" s="290">
        <v>10000</v>
      </c>
      <c r="CA111" s="290">
        <v>2874.3470000000002</v>
      </c>
      <c r="CB111" s="290">
        <v>520</v>
      </c>
      <c r="CC111" s="290">
        <v>4</v>
      </c>
      <c r="CD111" s="290">
        <v>1141</v>
      </c>
      <c r="CE111" s="290">
        <v>2446438.3840000001</v>
      </c>
      <c r="CF111" s="290">
        <v>0</v>
      </c>
      <c r="CG111" s="290">
        <v>0</v>
      </c>
      <c r="CH111" s="290">
        <v>0</v>
      </c>
      <c r="CI111" s="290">
        <v>0</v>
      </c>
      <c r="CJ111" s="290"/>
    </row>
    <row r="112" spans="1:88" ht="13">
      <c r="A112" s="1">
        <v>3021</v>
      </c>
      <c r="B112" s="2" t="s">
        <v>803</v>
      </c>
      <c r="C112" s="289">
        <v>20439</v>
      </c>
      <c r="D112" s="290">
        <v>397</v>
      </c>
      <c r="E112" s="290">
        <v>927</v>
      </c>
      <c r="F112" s="290">
        <v>2561</v>
      </c>
      <c r="G112" s="290">
        <v>1845</v>
      </c>
      <c r="H112" s="290">
        <v>11821</v>
      </c>
      <c r="I112" s="290">
        <v>1844</v>
      </c>
      <c r="J112" s="290">
        <v>628</v>
      </c>
      <c r="K112" s="290">
        <v>131</v>
      </c>
      <c r="L112" s="290">
        <v>131</v>
      </c>
      <c r="M112" s="290">
        <v>1016</v>
      </c>
      <c r="N112" s="290">
        <v>582</v>
      </c>
      <c r="O112" s="290">
        <v>171</v>
      </c>
      <c r="P112" s="624">
        <v>61293.266333330001</v>
      </c>
      <c r="Q112" s="624">
        <v>27413.52266667</v>
      </c>
      <c r="R112" s="1039">
        <v>48</v>
      </c>
      <c r="S112" s="290">
        <v>0</v>
      </c>
      <c r="T112" s="290">
        <v>1442</v>
      </c>
      <c r="U112" s="958">
        <v>1.8673416879961167E-3</v>
      </c>
      <c r="V112" s="290">
        <v>4089.0678618500001</v>
      </c>
      <c r="W112" s="765">
        <v>0.55319273000000002</v>
      </c>
      <c r="X112" s="290">
        <v>2250</v>
      </c>
      <c r="Y112" s="290"/>
      <c r="Z112" s="290">
        <v>689005.86199999996</v>
      </c>
      <c r="AA112" s="290">
        <v>0</v>
      </c>
      <c r="AB112" s="290">
        <v>278</v>
      </c>
      <c r="AC112" s="290">
        <v>1058</v>
      </c>
      <c r="AD112" s="290">
        <v>352</v>
      </c>
      <c r="AE112" s="290">
        <v>11225</v>
      </c>
      <c r="AF112" s="290">
        <v>0</v>
      </c>
      <c r="AG112" s="290">
        <v>20154</v>
      </c>
      <c r="AH112" s="290">
        <v>3564</v>
      </c>
      <c r="AI112" s="290">
        <v>0</v>
      </c>
      <c r="AJ112" s="290">
        <v>0</v>
      </c>
      <c r="AK112" s="290">
        <v>0</v>
      </c>
      <c r="AL112" s="290">
        <v>0</v>
      </c>
      <c r="AM112" s="957">
        <v>0.57819083000000004</v>
      </c>
      <c r="AN112" s="290">
        <v>0</v>
      </c>
      <c r="AO112" s="290">
        <v>-4852.4343447499996</v>
      </c>
      <c r="AP112" s="290">
        <v>0</v>
      </c>
      <c r="AQ112" s="290">
        <v>0</v>
      </c>
      <c r="AR112" s="290">
        <v>-761.14586392000001</v>
      </c>
      <c r="AS112" s="290">
        <v>1572.8105</v>
      </c>
      <c r="AT112" s="290">
        <v>983</v>
      </c>
      <c r="AU112" s="290">
        <v>219</v>
      </c>
      <c r="AV112" s="766">
        <v>480985</v>
      </c>
      <c r="AW112" s="290">
        <v>11500</v>
      </c>
      <c r="AX112" s="766">
        <v>133.24995000000001</v>
      </c>
      <c r="AY112" s="290">
        <v>7036</v>
      </c>
      <c r="AZ112" s="290">
        <v>1122</v>
      </c>
      <c r="BA112" s="290">
        <v>341</v>
      </c>
      <c r="BB112" s="290">
        <v>0</v>
      </c>
      <c r="BC112" s="290">
        <v>26858.887014010001</v>
      </c>
      <c r="BD112" s="290"/>
      <c r="BE112" s="290">
        <v>455365.41248861002</v>
      </c>
      <c r="BF112" s="290">
        <v>0</v>
      </c>
      <c r="BG112" s="290">
        <v>16498</v>
      </c>
      <c r="BH112" s="290">
        <v>1000</v>
      </c>
      <c r="BI112" s="290">
        <v>4974</v>
      </c>
      <c r="BJ112" s="290">
        <v>239</v>
      </c>
      <c r="BK112" s="290">
        <v>854</v>
      </c>
      <c r="BL112" s="290">
        <v>0</v>
      </c>
      <c r="BM112" s="290">
        <v>0</v>
      </c>
      <c r="BN112" s="290">
        <v>534</v>
      </c>
      <c r="BO112" s="290">
        <v>-164</v>
      </c>
      <c r="BP112" s="290">
        <v>1896</v>
      </c>
      <c r="BQ112" s="290">
        <v>3791</v>
      </c>
      <c r="BR112" s="290">
        <v>2870</v>
      </c>
      <c r="BS112" s="290">
        <v>264</v>
      </c>
      <c r="BT112" s="290">
        <v>0</v>
      </c>
      <c r="BU112" s="290">
        <v>0</v>
      </c>
      <c r="BV112" s="290">
        <v>492</v>
      </c>
      <c r="BW112" s="290">
        <v>0</v>
      </c>
      <c r="BX112" s="290">
        <v>0</v>
      </c>
      <c r="BY112" s="290">
        <v>1756</v>
      </c>
      <c r="BZ112" s="290">
        <v>7400</v>
      </c>
      <c r="CA112" s="290">
        <v>1104.432</v>
      </c>
      <c r="CB112" s="290">
        <v>182</v>
      </c>
      <c r="CC112" s="290">
        <v>1</v>
      </c>
      <c r="CD112" s="290">
        <v>407</v>
      </c>
      <c r="CE112" s="290">
        <v>689005.86199999996</v>
      </c>
      <c r="CF112" s="290">
        <v>0</v>
      </c>
      <c r="CG112" s="290">
        <v>0</v>
      </c>
      <c r="CH112" s="290">
        <v>0</v>
      </c>
      <c r="CI112" s="290">
        <v>0</v>
      </c>
      <c r="CJ112" s="290"/>
    </row>
    <row r="113" spans="1:88" ht="13">
      <c r="A113" s="1">
        <v>3022</v>
      </c>
      <c r="B113" s="2" t="s">
        <v>804</v>
      </c>
      <c r="C113" s="289">
        <v>15953</v>
      </c>
      <c r="D113" s="290">
        <v>237</v>
      </c>
      <c r="E113" s="290">
        <v>537</v>
      </c>
      <c r="F113" s="290">
        <v>1972</v>
      </c>
      <c r="G113" s="290">
        <v>1352</v>
      </c>
      <c r="H113" s="290">
        <v>8933</v>
      </c>
      <c r="I113" s="290">
        <v>2211</v>
      </c>
      <c r="J113" s="290">
        <v>621</v>
      </c>
      <c r="K113" s="290">
        <v>97</v>
      </c>
      <c r="L113" s="290">
        <v>123</v>
      </c>
      <c r="M113" s="290">
        <v>1200</v>
      </c>
      <c r="N113" s="290">
        <v>204</v>
      </c>
      <c r="O113" s="290">
        <v>111</v>
      </c>
      <c r="P113" s="624">
        <v>32890.426666669999</v>
      </c>
      <c r="Q113" s="624">
        <v>21411.453333329999</v>
      </c>
      <c r="R113" s="1039">
        <v>42</v>
      </c>
      <c r="S113" s="290">
        <v>0</v>
      </c>
      <c r="T113" s="290">
        <v>1299</v>
      </c>
      <c r="U113" s="958">
        <v>8.968770332305956E-4</v>
      </c>
      <c r="V113" s="290">
        <v>-8261.2425461700004</v>
      </c>
      <c r="W113" s="765">
        <v>0.54675278999999999</v>
      </c>
      <c r="X113" s="290">
        <v>1500</v>
      </c>
      <c r="Y113" s="290"/>
      <c r="Z113" s="290">
        <v>696165.14800000004</v>
      </c>
      <c r="AA113" s="290">
        <v>0</v>
      </c>
      <c r="AB113" s="290">
        <v>225</v>
      </c>
      <c r="AC113" s="290">
        <v>810</v>
      </c>
      <c r="AD113" s="290">
        <v>295</v>
      </c>
      <c r="AE113" s="290">
        <v>0</v>
      </c>
      <c r="AF113" s="290">
        <v>0</v>
      </c>
      <c r="AG113" s="290">
        <v>15960</v>
      </c>
      <c r="AH113" s="290">
        <v>2676</v>
      </c>
      <c r="AI113" s="290">
        <v>3000</v>
      </c>
      <c r="AJ113" s="290">
        <v>2700</v>
      </c>
      <c r="AK113" s="290">
        <v>0</v>
      </c>
      <c r="AL113" s="290">
        <v>0</v>
      </c>
      <c r="AM113" s="957">
        <v>0.34870649999999997</v>
      </c>
      <c r="AN113" s="290">
        <v>0</v>
      </c>
      <c r="AO113" s="290">
        <v>-3850.60546836</v>
      </c>
      <c r="AP113" s="290">
        <v>0</v>
      </c>
      <c r="AQ113" s="290">
        <v>0</v>
      </c>
      <c r="AR113" s="290">
        <v>-602.75319977000004</v>
      </c>
      <c r="AS113" s="290">
        <v>1263.4255000000001</v>
      </c>
      <c r="AT113" s="290">
        <v>1008</v>
      </c>
      <c r="AU113" s="290">
        <v>129</v>
      </c>
      <c r="AV113" s="766">
        <v>369546</v>
      </c>
      <c r="AW113" s="290">
        <v>6500</v>
      </c>
      <c r="AX113" s="766">
        <v>87.5</v>
      </c>
      <c r="AY113" s="290">
        <v>4812</v>
      </c>
      <c r="AZ113" s="290">
        <v>676</v>
      </c>
      <c r="BA113" s="290">
        <v>349</v>
      </c>
      <c r="BB113" s="290">
        <v>0</v>
      </c>
      <c r="BC113" s="290">
        <v>21028.146118010001</v>
      </c>
      <c r="BD113" s="290"/>
      <c r="BE113" s="290">
        <v>341528.14782974002</v>
      </c>
      <c r="BF113" s="290">
        <v>0</v>
      </c>
      <c r="BG113" s="290">
        <v>13065</v>
      </c>
      <c r="BH113" s="290">
        <v>1000</v>
      </c>
      <c r="BI113" s="290">
        <v>3781</v>
      </c>
      <c r="BJ113" s="290">
        <v>206</v>
      </c>
      <c r="BK113" s="290">
        <v>513</v>
      </c>
      <c r="BL113" s="290">
        <v>0</v>
      </c>
      <c r="BM113" s="290">
        <v>0</v>
      </c>
      <c r="BN113" s="290">
        <v>321</v>
      </c>
      <c r="BO113" s="290">
        <v>-117</v>
      </c>
      <c r="BP113" s="290">
        <v>1479</v>
      </c>
      <c r="BQ113" s="290">
        <v>2959</v>
      </c>
      <c r="BR113" s="290">
        <v>2240</v>
      </c>
      <c r="BS113" s="290">
        <v>221</v>
      </c>
      <c r="BT113" s="290">
        <v>0</v>
      </c>
      <c r="BU113" s="290">
        <v>0</v>
      </c>
      <c r="BV113" s="290">
        <v>295</v>
      </c>
      <c r="BW113" s="290">
        <v>0</v>
      </c>
      <c r="BX113" s="290">
        <v>0</v>
      </c>
      <c r="BY113" s="290">
        <v>1761</v>
      </c>
      <c r="BZ113" s="290">
        <v>4900</v>
      </c>
      <c r="CA113" s="290">
        <v>735.49199999999996</v>
      </c>
      <c r="CB113" s="290">
        <v>144</v>
      </c>
      <c r="CC113" s="290">
        <v>1</v>
      </c>
      <c r="CD113" s="290">
        <v>289</v>
      </c>
      <c r="CE113" s="290">
        <v>696165.14800000004</v>
      </c>
      <c r="CF113" s="290">
        <v>0</v>
      </c>
      <c r="CG113" s="290">
        <v>0</v>
      </c>
      <c r="CH113" s="290">
        <v>0</v>
      </c>
      <c r="CI113" s="290">
        <v>0</v>
      </c>
      <c r="CJ113" s="290"/>
    </row>
    <row r="114" spans="1:88" ht="13">
      <c r="A114" s="1">
        <v>3023</v>
      </c>
      <c r="B114" s="4" t="s">
        <v>805</v>
      </c>
      <c r="C114" s="289">
        <v>19805</v>
      </c>
      <c r="D114" s="290">
        <v>395</v>
      </c>
      <c r="E114" s="290">
        <v>979</v>
      </c>
      <c r="F114" s="290">
        <v>2713</v>
      </c>
      <c r="G114" s="290">
        <v>1614</v>
      </c>
      <c r="H114" s="290">
        <v>11130</v>
      </c>
      <c r="I114" s="290">
        <v>2123</v>
      </c>
      <c r="J114" s="290">
        <v>587</v>
      </c>
      <c r="K114" s="290">
        <v>117</v>
      </c>
      <c r="L114" s="290">
        <v>137</v>
      </c>
      <c r="M114" s="290">
        <v>1187</v>
      </c>
      <c r="N114" s="290">
        <v>291</v>
      </c>
      <c r="O114" s="290">
        <v>130</v>
      </c>
      <c r="P114" s="624">
        <v>31408.921333329999</v>
      </c>
      <c r="Q114" s="624">
        <v>23767.229666669999</v>
      </c>
      <c r="R114" s="1039">
        <v>49</v>
      </c>
      <c r="S114" s="290">
        <v>0</v>
      </c>
      <c r="T114" s="290">
        <v>1556</v>
      </c>
      <c r="U114" s="958">
        <v>4.5249265719939324E-4</v>
      </c>
      <c r="V114" s="290">
        <v>-19367.58468847</v>
      </c>
      <c r="W114" s="765">
        <v>0.55426280999999999</v>
      </c>
      <c r="X114" s="290">
        <v>1800</v>
      </c>
      <c r="Y114" s="290"/>
      <c r="Z114" s="290">
        <v>779999.44</v>
      </c>
      <c r="AA114" s="290">
        <v>0</v>
      </c>
      <c r="AB114" s="290">
        <v>319</v>
      </c>
      <c r="AC114" s="290">
        <v>5826</v>
      </c>
      <c r="AD114" s="290">
        <v>346</v>
      </c>
      <c r="AE114" s="290">
        <v>0</v>
      </c>
      <c r="AF114" s="290">
        <v>0</v>
      </c>
      <c r="AG114" s="290">
        <v>19658</v>
      </c>
      <c r="AH114" s="290">
        <v>3820</v>
      </c>
      <c r="AI114" s="290">
        <v>0</v>
      </c>
      <c r="AJ114" s="290">
        <v>0</v>
      </c>
      <c r="AK114" s="290">
        <v>0</v>
      </c>
      <c r="AL114" s="290">
        <v>0</v>
      </c>
      <c r="AM114" s="957">
        <v>0.48271449</v>
      </c>
      <c r="AN114" s="290">
        <v>0</v>
      </c>
      <c r="AO114" s="290">
        <v>-4949.2618408199996</v>
      </c>
      <c r="AP114" s="290">
        <v>0</v>
      </c>
      <c r="AQ114" s="290">
        <v>0</v>
      </c>
      <c r="AR114" s="290">
        <v>-742.41368427999998</v>
      </c>
      <c r="AS114" s="290">
        <v>4541.6869999999999</v>
      </c>
      <c r="AT114" s="290">
        <v>1104</v>
      </c>
      <c r="AU114" s="290">
        <v>161</v>
      </c>
      <c r="AV114" s="766">
        <v>491008</v>
      </c>
      <c r="AW114" s="290">
        <v>10200</v>
      </c>
      <c r="AX114" s="766">
        <v>163.95835</v>
      </c>
      <c r="AY114" s="290">
        <v>7098</v>
      </c>
      <c r="AZ114" s="290">
        <v>1045</v>
      </c>
      <c r="BA114" s="290">
        <v>443</v>
      </c>
      <c r="BB114" s="290">
        <v>0</v>
      </c>
      <c r="BC114" s="290">
        <v>33486.719518860002</v>
      </c>
      <c r="BD114" s="290"/>
      <c r="BE114" s="290">
        <v>462231.74956140999</v>
      </c>
      <c r="BF114" s="290">
        <v>0</v>
      </c>
      <c r="BG114" s="290">
        <v>16092</v>
      </c>
      <c r="BH114" s="290">
        <v>1000</v>
      </c>
      <c r="BI114" s="290">
        <v>9992</v>
      </c>
      <c r="BJ114" s="290">
        <v>238</v>
      </c>
      <c r="BK114" s="290">
        <v>910</v>
      </c>
      <c r="BL114" s="290">
        <v>0</v>
      </c>
      <c r="BM114" s="290">
        <v>0</v>
      </c>
      <c r="BN114" s="290">
        <v>569</v>
      </c>
      <c r="BO114" s="290">
        <v>-149</v>
      </c>
      <c r="BP114" s="290">
        <v>1837</v>
      </c>
      <c r="BQ114" s="290">
        <v>3673</v>
      </c>
      <c r="BR114" s="290">
        <v>2781</v>
      </c>
      <c r="BS114" s="290">
        <v>260</v>
      </c>
      <c r="BT114" s="290">
        <v>0</v>
      </c>
      <c r="BU114" s="290">
        <v>0</v>
      </c>
      <c r="BV114" s="290">
        <v>524</v>
      </c>
      <c r="BW114" s="290">
        <v>0</v>
      </c>
      <c r="BX114" s="290">
        <v>0</v>
      </c>
      <c r="BY114" s="290">
        <v>1918</v>
      </c>
      <c r="BZ114" s="290">
        <v>6200</v>
      </c>
      <c r="CA114" s="290">
        <v>945.34299999999996</v>
      </c>
      <c r="CB114" s="290">
        <v>177</v>
      </c>
      <c r="CC114" s="290">
        <v>1</v>
      </c>
      <c r="CD114" s="290">
        <v>369</v>
      </c>
      <c r="CE114" s="290">
        <v>779999.44</v>
      </c>
      <c r="CF114" s="290">
        <v>0</v>
      </c>
      <c r="CG114" s="290">
        <v>0</v>
      </c>
      <c r="CH114" s="290">
        <v>0</v>
      </c>
      <c r="CI114" s="290">
        <v>0</v>
      </c>
      <c r="CJ114" s="290"/>
    </row>
    <row r="115" spans="1:88" ht="13">
      <c r="A115" s="1">
        <v>3024</v>
      </c>
      <c r="B115" s="2" t="s">
        <v>807</v>
      </c>
      <c r="C115" s="289">
        <v>128233</v>
      </c>
      <c r="D115" s="290">
        <v>2742</v>
      </c>
      <c r="E115" s="290">
        <v>6475</v>
      </c>
      <c r="F115" s="290">
        <v>17199</v>
      </c>
      <c r="G115" s="290">
        <v>10788</v>
      </c>
      <c r="H115" s="290">
        <v>71935</v>
      </c>
      <c r="I115" s="290">
        <v>12855</v>
      </c>
      <c r="J115" s="290">
        <v>4697</v>
      </c>
      <c r="K115" s="290">
        <v>1417</v>
      </c>
      <c r="L115" s="290">
        <v>802</v>
      </c>
      <c r="M115" s="290">
        <v>8135</v>
      </c>
      <c r="N115" s="290">
        <v>3976</v>
      </c>
      <c r="O115" s="290">
        <v>1244</v>
      </c>
      <c r="P115" s="624">
        <v>245167.35566666999</v>
      </c>
      <c r="Q115" s="624">
        <v>96887.871666670006</v>
      </c>
      <c r="R115" s="1039">
        <v>353</v>
      </c>
      <c r="S115" s="290">
        <v>0</v>
      </c>
      <c r="T115" s="290">
        <v>9701</v>
      </c>
      <c r="U115" s="958">
        <v>1.0474180597954338E-3</v>
      </c>
      <c r="V115" s="290">
        <v>-8958.6653750599999</v>
      </c>
      <c r="W115" s="765">
        <v>0.52803610999999995</v>
      </c>
      <c r="X115" s="290">
        <v>0</v>
      </c>
      <c r="Y115" s="290"/>
      <c r="Z115" s="290">
        <v>7785767.4550000001</v>
      </c>
      <c r="AA115" s="290">
        <v>0</v>
      </c>
      <c r="AB115" s="290">
        <v>1355</v>
      </c>
      <c r="AC115" s="290">
        <v>40311</v>
      </c>
      <c r="AD115" s="290">
        <v>2215</v>
      </c>
      <c r="AE115" s="290">
        <v>0</v>
      </c>
      <c r="AF115" s="290">
        <v>0</v>
      </c>
      <c r="AG115" s="290">
        <v>128108</v>
      </c>
      <c r="AH115" s="290">
        <v>24619</v>
      </c>
      <c r="AI115" s="290">
        <v>4500</v>
      </c>
      <c r="AJ115" s="290">
        <v>0</v>
      </c>
      <c r="AK115" s="290">
        <v>0</v>
      </c>
      <c r="AL115" s="290">
        <v>0</v>
      </c>
      <c r="AM115" s="957">
        <v>2.6942002399999998</v>
      </c>
      <c r="AN115" s="290">
        <v>0</v>
      </c>
      <c r="AO115" s="290">
        <v>-33044.081062340003</v>
      </c>
      <c r="AP115" s="290">
        <v>0</v>
      </c>
      <c r="AQ115" s="290">
        <v>0</v>
      </c>
      <c r="AR115" s="290">
        <v>-4838.1896564099998</v>
      </c>
      <c r="AS115" s="290">
        <v>30835.948</v>
      </c>
      <c r="AT115" s="290">
        <v>5969</v>
      </c>
      <c r="AU115" s="290">
        <v>991</v>
      </c>
      <c r="AV115" s="766">
        <v>3472717</v>
      </c>
      <c r="AW115" s="290">
        <v>77200</v>
      </c>
      <c r="AX115" s="766">
        <v>1124</v>
      </c>
      <c r="AY115" s="290">
        <v>52013</v>
      </c>
      <c r="AZ115" s="290">
        <v>7431</v>
      </c>
      <c r="BA115" s="290">
        <v>2071</v>
      </c>
      <c r="BB115" s="290">
        <v>0</v>
      </c>
      <c r="BC115" s="290">
        <v>224918.54720219001</v>
      </c>
      <c r="BD115" s="290"/>
      <c r="BE115" s="290">
        <v>3293974.2591311</v>
      </c>
      <c r="BF115" s="290">
        <v>0</v>
      </c>
      <c r="BG115" s="290">
        <v>104870</v>
      </c>
      <c r="BH115" s="290">
        <v>2000</v>
      </c>
      <c r="BI115" s="290">
        <v>67145</v>
      </c>
      <c r="BJ115" s="290">
        <v>1953</v>
      </c>
      <c r="BK115" s="290">
        <v>6126</v>
      </c>
      <c r="BL115" s="290">
        <v>0</v>
      </c>
      <c r="BM115" s="290">
        <v>0</v>
      </c>
      <c r="BN115" s="290">
        <v>3832</v>
      </c>
      <c r="BO115" s="290">
        <v>-995</v>
      </c>
      <c r="BP115" s="290">
        <v>11892</v>
      </c>
      <c r="BQ115" s="290">
        <v>23785</v>
      </c>
      <c r="BR115" s="290">
        <v>18005</v>
      </c>
      <c r="BS115" s="290">
        <v>1661</v>
      </c>
      <c r="BT115" s="290">
        <v>0</v>
      </c>
      <c r="BU115" s="290">
        <v>0</v>
      </c>
      <c r="BV115" s="290">
        <v>3525</v>
      </c>
      <c r="BW115" s="290">
        <v>0</v>
      </c>
      <c r="BX115" s="290">
        <v>71.099999999999994</v>
      </c>
      <c r="BY115" s="290">
        <v>12380</v>
      </c>
      <c r="BZ115" s="290">
        <v>60700</v>
      </c>
      <c r="CA115" s="290">
        <v>19437.100000000002</v>
      </c>
      <c r="CB115" s="290">
        <v>1111</v>
      </c>
      <c r="CC115" s="290">
        <v>11</v>
      </c>
      <c r="CD115" s="290">
        <v>2464</v>
      </c>
      <c r="CE115" s="290">
        <v>7785767.4550000001</v>
      </c>
      <c r="CF115" s="290">
        <v>0</v>
      </c>
      <c r="CG115" s="290">
        <v>0</v>
      </c>
      <c r="CH115" s="290">
        <v>0</v>
      </c>
      <c r="CI115" s="290">
        <v>0</v>
      </c>
      <c r="CJ115" s="290"/>
    </row>
    <row r="116" spans="1:88" s="657" customFormat="1" ht="13">
      <c r="A116" s="755">
        <v>3025</v>
      </c>
      <c r="B116" s="756" t="s">
        <v>1622</v>
      </c>
      <c r="C116" s="290">
        <v>94915</v>
      </c>
      <c r="D116" s="290">
        <v>1868</v>
      </c>
      <c r="E116" s="290">
        <v>4393</v>
      </c>
      <c r="F116" s="290">
        <v>12946</v>
      </c>
      <c r="G116" s="290">
        <v>8302</v>
      </c>
      <c r="H116" s="290">
        <v>52884</v>
      </c>
      <c r="I116" s="290">
        <v>10176</v>
      </c>
      <c r="J116" s="290">
        <v>3320</v>
      </c>
      <c r="K116" s="290">
        <v>692</v>
      </c>
      <c r="L116" s="290">
        <v>632</v>
      </c>
      <c r="M116" s="290">
        <v>5476</v>
      </c>
      <c r="N116" s="290">
        <v>2417</v>
      </c>
      <c r="O116" s="290">
        <v>1066</v>
      </c>
      <c r="P116" s="624">
        <v>168725.57766667</v>
      </c>
      <c r="Q116" s="624">
        <v>142216.36566667</v>
      </c>
      <c r="R116" s="1039">
        <v>300</v>
      </c>
      <c r="S116" s="290">
        <v>1878</v>
      </c>
      <c r="T116" s="290">
        <v>6578</v>
      </c>
      <c r="U116" s="958">
        <v>3.2869654872448189E-3</v>
      </c>
      <c r="V116" s="290">
        <v>-30536.668247230002</v>
      </c>
      <c r="W116" s="765">
        <v>0.55329001</v>
      </c>
      <c r="X116" s="290">
        <v>0</v>
      </c>
      <c r="Y116" s="290"/>
      <c r="Z116" s="290">
        <v>4749022.1660000002</v>
      </c>
      <c r="AA116" s="290">
        <v>0</v>
      </c>
      <c r="AB116" s="290">
        <v>1399</v>
      </c>
      <c r="AC116" s="290">
        <v>6782</v>
      </c>
      <c r="AD116" s="290">
        <v>1659</v>
      </c>
      <c r="AE116" s="290">
        <v>0</v>
      </c>
      <c r="AF116" s="290">
        <v>30220</v>
      </c>
      <c r="AG116" s="290">
        <v>94581</v>
      </c>
      <c r="AH116" s="290">
        <v>18123</v>
      </c>
      <c r="AI116" s="290">
        <v>0</v>
      </c>
      <c r="AJ116" s="290">
        <v>0</v>
      </c>
      <c r="AK116" s="290">
        <v>0</v>
      </c>
      <c r="AL116" s="290">
        <v>0</v>
      </c>
      <c r="AM116" s="957">
        <v>2.65027138</v>
      </c>
      <c r="AN116" s="290">
        <v>0</v>
      </c>
      <c r="AO116" s="290">
        <v>-23989.92617662</v>
      </c>
      <c r="AP116" s="290">
        <v>0</v>
      </c>
      <c r="AQ116" s="290">
        <v>0</v>
      </c>
      <c r="AR116" s="290">
        <v>-3571.9925054800001</v>
      </c>
      <c r="AS116" s="290">
        <v>8858.6384999999991</v>
      </c>
      <c r="AT116" s="290">
        <v>5009</v>
      </c>
      <c r="AU116" s="290">
        <v>843</v>
      </c>
      <c r="AV116" s="766">
        <v>2477125</v>
      </c>
      <c r="AW116" s="290">
        <v>15500</v>
      </c>
      <c r="AX116" s="766">
        <v>737.41665</v>
      </c>
      <c r="AY116" s="290">
        <v>32258</v>
      </c>
      <c r="AZ116" s="290">
        <v>5598</v>
      </c>
      <c r="BA116" s="290">
        <v>1841</v>
      </c>
      <c r="BB116" s="290">
        <v>0</v>
      </c>
      <c r="BC116" s="290">
        <v>167276.65922592999</v>
      </c>
      <c r="BD116" s="290"/>
      <c r="BE116" s="290">
        <v>2335678.2586833001</v>
      </c>
      <c r="BF116" s="290">
        <v>0</v>
      </c>
      <c r="BG116" s="290">
        <v>77425</v>
      </c>
      <c r="BH116" s="290">
        <v>1500</v>
      </c>
      <c r="BI116" s="290">
        <v>56784</v>
      </c>
      <c r="BJ116" s="290">
        <v>1298</v>
      </c>
      <c r="BK116" s="290">
        <v>4090</v>
      </c>
      <c r="BL116" s="290">
        <v>0</v>
      </c>
      <c r="BM116" s="290">
        <v>9955</v>
      </c>
      <c r="BN116" s="290">
        <v>2559</v>
      </c>
      <c r="BO116" s="290">
        <v>-742</v>
      </c>
      <c r="BP116" s="290">
        <v>8802</v>
      </c>
      <c r="BQ116" s="290">
        <v>17605</v>
      </c>
      <c r="BR116" s="290">
        <v>13327</v>
      </c>
      <c r="BS116" s="290">
        <v>1244</v>
      </c>
      <c r="BT116" s="290">
        <v>0</v>
      </c>
      <c r="BU116" s="290">
        <v>0</v>
      </c>
      <c r="BV116" s="290">
        <v>2354</v>
      </c>
      <c r="BW116" s="290">
        <v>0</v>
      </c>
      <c r="BX116" s="290">
        <v>60.3</v>
      </c>
      <c r="BY116" s="290">
        <v>9253</v>
      </c>
      <c r="BZ116" s="290">
        <v>25800</v>
      </c>
      <c r="CA116" s="290">
        <v>4582.241</v>
      </c>
      <c r="CB116" s="290">
        <v>821</v>
      </c>
      <c r="CC116" s="290">
        <v>9</v>
      </c>
      <c r="CD116" s="290">
        <v>1837</v>
      </c>
      <c r="CE116" s="290">
        <v>4749022.1660000002</v>
      </c>
      <c r="CF116" s="290">
        <v>0</v>
      </c>
      <c r="CG116" s="290">
        <v>0</v>
      </c>
      <c r="CH116" s="290">
        <v>0</v>
      </c>
      <c r="CI116" s="290">
        <v>0</v>
      </c>
      <c r="CJ116" s="290"/>
    </row>
    <row r="117" spans="1:88" ht="13">
      <c r="A117" s="1">
        <v>3026</v>
      </c>
      <c r="B117" s="2" t="s">
        <v>1623</v>
      </c>
      <c r="C117" s="289">
        <v>17591</v>
      </c>
      <c r="D117" s="290">
        <v>329</v>
      </c>
      <c r="E117" s="290">
        <v>720</v>
      </c>
      <c r="F117" s="290">
        <v>2112</v>
      </c>
      <c r="G117" s="290">
        <v>1402</v>
      </c>
      <c r="H117" s="290">
        <v>9857</v>
      </c>
      <c r="I117" s="290">
        <v>2268</v>
      </c>
      <c r="J117" s="290">
        <v>666</v>
      </c>
      <c r="K117" s="290">
        <v>153</v>
      </c>
      <c r="L117" s="290">
        <v>135</v>
      </c>
      <c r="M117" s="290">
        <v>1343</v>
      </c>
      <c r="N117" s="290">
        <v>249</v>
      </c>
      <c r="O117" s="290">
        <v>204</v>
      </c>
      <c r="P117" s="624">
        <v>69145.173666670002</v>
      </c>
      <c r="Q117" s="624">
        <v>45828.534666669999</v>
      </c>
      <c r="R117" s="1039">
        <v>50</v>
      </c>
      <c r="S117" s="290">
        <v>0</v>
      </c>
      <c r="T117" s="290">
        <v>1424</v>
      </c>
      <c r="U117" s="958">
        <v>6.285495111372605E-3</v>
      </c>
      <c r="V117" s="290">
        <v>8537.3127787899994</v>
      </c>
      <c r="W117" s="765">
        <v>0.64407175000000005</v>
      </c>
      <c r="X117" s="290">
        <v>2100</v>
      </c>
      <c r="Y117" s="290"/>
      <c r="Z117" s="290">
        <v>510864.28399999999</v>
      </c>
      <c r="AA117" s="290">
        <v>0</v>
      </c>
      <c r="AB117" s="290">
        <v>378</v>
      </c>
      <c r="AC117" s="290">
        <v>900</v>
      </c>
      <c r="AD117" s="290">
        <v>334</v>
      </c>
      <c r="AE117" s="290">
        <v>0</v>
      </c>
      <c r="AF117" s="290">
        <v>21377</v>
      </c>
      <c r="AG117" s="290">
        <v>17507</v>
      </c>
      <c r="AH117" s="290">
        <v>2999</v>
      </c>
      <c r="AI117" s="290">
        <v>0</v>
      </c>
      <c r="AJ117" s="290">
        <v>0</v>
      </c>
      <c r="AK117" s="290">
        <v>0</v>
      </c>
      <c r="AL117" s="290">
        <v>0</v>
      </c>
      <c r="AM117" s="957">
        <v>0.62264620999999998</v>
      </c>
      <c r="AN117" s="290">
        <v>0</v>
      </c>
      <c r="AO117" s="290">
        <v>-4431.8060106399998</v>
      </c>
      <c r="AP117" s="290">
        <v>0</v>
      </c>
      <c r="AQ117" s="290">
        <v>0</v>
      </c>
      <c r="AR117" s="290">
        <v>-661.17796167999995</v>
      </c>
      <c r="AS117" s="290">
        <v>1335.0550000000001</v>
      </c>
      <c r="AT117" s="290">
        <v>1132</v>
      </c>
      <c r="AU117" s="290">
        <v>181</v>
      </c>
      <c r="AV117" s="766">
        <v>485330</v>
      </c>
      <c r="AW117" s="290">
        <v>1500</v>
      </c>
      <c r="AX117" s="766">
        <v>113.37495</v>
      </c>
      <c r="AY117" s="290">
        <v>2712</v>
      </c>
      <c r="AZ117" s="290">
        <v>919</v>
      </c>
      <c r="BA117" s="290">
        <v>357</v>
      </c>
      <c r="BB117" s="290">
        <v>0</v>
      </c>
      <c r="BC117" s="290">
        <v>44526.652670379997</v>
      </c>
      <c r="BD117" s="290"/>
      <c r="BE117" s="290">
        <v>464516.74056741002</v>
      </c>
      <c r="BF117" s="290">
        <v>0</v>
      </c>
      <c r="BG117" s="290">
        <v>14331</v>
      </c>
      <c r="BH117" s="290">
        <v>1000</v>
      </c>
      <c r="BI117" s="290">
        <v>25610</v>
      </c>
      <c r="BJ117" s="290">
        <v>197</v>
      </c>
      <c r="BK117" s="290">
        <v>622</v>
      </c>
      <c r="BL117" s="290">
        <v>0</v>
      </c>
      <c r="BM117" s="290">
        <v>4561</v>
      </c>
      <c r="BN117" s="290">
        <v>389</v>
      </c>
      <c r="BO117" s="290">
        <v>-147</v>
      </c>
      <c r="BP117" s="290">
        <v>1631</v>
      </c>
      <c r="BQ117" s="290">
        <v>3263</v>
      </c>
      <c r="BR117" s="290">
        <v>2470</v>
      </c>
      <c r="BS117" s="290">
        <v>250</v>
      </c>
      <c r="BT117" s="290">
        <v>0</v>
      </c>
      <c r="BU117" s="290">
        <v>0</v>
      </c>
      <c r="BV117" s="290">
        <v>358</v>
      </c>
      <c r="BW117" s="290">
        <v>0</v>
      </c>
      <c r="BX117" s="290">
        <v>0</v>
      </c>
      <c r="BY117" s="290">
        <v>1857</v>
      </c>
      <c r="BZ117" s="290">
        <v>5500</v>
      </c>
      <c r="CA117" s="290">
        <v>1387.3</v>
      </c>
      <c r="CB117" s="290">
        <v>159</v>
      </c>
      <c r="CC117" s="290">
        <v>1</v>
      </c>
      <c r="CD117" s="290">
        <v>364</v>
      </c>
      <c r="CE117" s="290">
        <v>510864.28399999999</v>
      </c>
      <c r="CF117" s="290">
        <v>0</v>
      </c>
      <c r="CG117" s="290">
        <v>0</v>
      </c>
      <c r="CH117" s="290">
        <v>0</v>
      </c>
      <c r="CI117" s="290">
        <v>0</v>
      </c>
      <c r="CJ117" s="290"/>
    </row>
    <row r="118" spans="1:88" ht="13">
      <c r="A118" s="1">
        <v>3027</v>
      </c>
      <c r="B118" s="2" t="s">
        <v>812</v>
      </c>
      <c r="C118" s="289">
        <v>18730</v>
      </c>
      <c r="D118" s="290">
        <v>442</v>
      </c>
      <c r="E118" s="290">
        <v>982</v>
      </c>
      <c r="F118" s="290">
        <v>2508</v>
      </c>
      <c r="G118" s="290">
        <v>1463</v>
      </c>
      <c r="H118" s="290">
        <v>10905</v>
      </c>
      <c r="I118" s="290">
        <v>1715</v>
      </c>
      <c r="J118" s="290">
        <v>459</v>
      </c>
      <c r="K118" s="290">
        <v>82</v>
      </c>
      <c r="L118" s="290">
        <v>138</v>
      </c>
      <c r="M118" s="290">
        <v>967</v>
      </c>
      <c r="N118" s="290">
        <v>854</v>
      </c>
      <c r="O118" s="290">
        <v>174</v>
      </c>
      <c r="P118" s="624">
        <v>20916.804666669999</v>
      </c>
      <c r="Q118" s="624">
        <v>19369.144333330001</v>
      </c>
      <c r="R118" s="1039">
        <v>51</v>
      </c>
      <c r="S118" s="290">
        <v>0</v>
      </c>
      <c r="T118" s="290">
        <v>1493</v>
      </c>
      <c r="U118" s="958">
        <v>4.2473874006960578E-4</v>
      </c>
      <c r="V118" s="290">
        <v>4303.8731690799996</v>
      </c>
      <c r="W118" s="765">
        <v>0.53986535999999996</v>
      </c>
      <c r="X118" s="290">
        <v>2200</v>
      </c>
      <c r="Y118" s="290"/>
      <c r="Z118" s="290">
        <v>680701.95400000003</v>
      </c>
      <c r="AA118" s="290">
        <v>0</v>
      </c>
      <c r="AB118" s="290">
        <v>266</v>
      </c>
      <c r="AC118" s="290">
        <v>2476</v>
      </c>
      <c r="AD118" s="290">
        <v>314</v>
      </c>
      <c r="AE118" s="290">
        <v>946</v>
      </c>
      <c r="AF118" s="290">
        <v>0</v>
      </c>
      <c r="AG118" s="290">
        <v>18556</v>
      </c>
      <c r="AH118" s="290">
        <v>3589</v>
      </c>
      <c r="AI118" s="290">
        <v>0</v>
      </c>
      <c r="AJ118" s="290">
        <v>0</v>
      </c>
      <c r="AK118" s="290">
        <v>0</v>
      </c>
      <c r="AL118" s="290">
        <v>0</v>
      </c>
      <c r="AM118" s="957">
        <v>0.48924331999999998</v>
      </c>
      <c r="AN118" s="290">
        <v>0</v>
      </c>
      <c r="AO118" s="290">
        <v>-4587.8033901099998</v>
      </c>
      <c r="AP118" s="290">
        <v>0</v>
      </c>
      <c r="AQ118" s="290">
        <v>0</v>
      </c>
      <c r="AR118" s="290">
        <v>-700.79501096000001</v>
      </c>
      <c r="AS118" s="290">
        <v>2378.8105</v>
      </c>
      <c r="AT118" s="290">
        <v>1075</v>
      </c>
      <c r="AU118" s="290">
        <v>179</v>
      </c>
      <c r="AV118" s="766">
        <v>452899</v>
      </c>
      <c r="AW118" s="290">
        <v>3000</v>
      </c>
      <c r="AX118" s="766">
        <v>170.83335</v>
      </c>
      <c r="AY118" s="290">
        <v>4603</v>
      </c>
      <c r="AZ118" s="290">
        <v>873</v>
      </c>
      <c r="BA118" s="290">
        <v>375</v>
      </c>
      <c r="BB118" s="290">
        <v>0</v>
      </c>
      <c r="BC118" s="290">
        <v>27307.523181550001</v>
      </c>
      <c r="BD118" s="290"/>
      <c r="BE118" s="290">
        <v>438794.99950963998</v>
      </c>
      <c r="BF118" s="290">
        <v>0</v>
      </c>
      <c r="BG118" s="290">
        <v>15190</v>
      </c>
      <c r="BH118" s="290">
        <v>1000</v>
      </c>
      <c r="BI118" s="290">
        <v>6379</v>
      </c>
      <c r="BJ118" s="290">
        <v>219</v>
      </c>
      <c r="BK118" s="290">
        <v>874</v>
      </c>
      <c r="BL118" s="290">
        <v>0</v>
      </c>
      <c r="BM118" s="290">
        <v>0</v>
      </c>
      <c r="BN118" s="290">
        <v>546</v>
      </c>
      <c r="BO118" s="290">
        <v>-170</v>
      </c>
      <c r="BP118" s="290">
        <v>1737</v>
      </c>
      <c r="BQ118" s="290">
        <v>3474</v>
      </c>
      <c r="BR118" s="290">
        <v>2630</v>
      </c>
      <c r="BS118" s="290">
        <v>236</v>
      </c>
      <c r="BT118" s="290">
        <v>0</v>
      </c>
      <c r="BU118" s="290">
        <v>0</v>
      </c>
      <c r="BV118" s="290">
        <v>503</v>
      </c>
      <c r="BW118" s="290">
        <v>0</v>
      </c>
      <c r="BX118" s="290">
        <v>0</v>
      </c>
      <c r="BY118" s="290">
        <v>1605</v>
      </c>
      <c r="BZ118" s="290">
        <v>4900</v>
      </c>
      <c r="CA118" s="290">
        <v>876.30200000000002</v>
      </c>
      <c r="CB118" s="290">
        <v>168</v>
      </c>
      <c r="CC118" s="290">
        <v>1</v>
      </c>
      <c r="CD118" s="290">
        <v>420</v>
      </c>
      <c r="CE118" s="290">
        <v>680701.95400000003</v>
      </c>
      <c r="CF118" s="290">
        <v>0</v>
      </c>
      <c r="CG118" s="290">
        <v>0</v>
      </c>
      <c r="CH118" s="290">
        <v>0</v>
      </c>
      <c r="CI118" s="290">
        <v>0</v>
      </c>
      <c r="CJ118" s="290"/>
    </row>
    <row r="119" spans="1:88" ht="13">
      <c r="A119" s="1">
        <v>3028</v>
      </c>
      <c r="B119" s="2" t="s">
        <v>813</v>
      </c>
      <c r="C119" s="289">
        <v>11065</v>
      </c>
      <c r="D119" s="290">
        <v>207</v>
      </c>
      <c r="E119" s="290">
        <v>485</v>
      </c>
      <c r="F119" s="290">
        <v>1615</v>
      </c>
      <c r="G119" s="290">
        <v>909</v>
      </c>
      <c r="H119" s="290">
        <v>6350</v>
      </c>
      <c r="I119" s="290">
        <v>1217</v>
      </c>
      <c r="J119" s="290">
        <v>271</v>
      </c>
      <c r="K119" s="290">
        <v>43</v>
      </c>
      <c r="L119" s="290">
        <v>81</v>
      </c>
      <c r="M119" s="290">
        <v>594</v>
      </c>
      <c r="N119" s="290">
        <v>257</v>
      </c>
      <c r="O119" s="290">
        <v>100</v>
      </c>
      <c r="P119" s="624">
        <v>36489.959666670002</v>
      </c>
      <c r="Q119" s="624">
        <v>15420.036666669999</v>
      </c>
      <c r="R119" s="1039">
        <v>39</v>
      </c>
      <c r="S119" s="290">
        <v>0</v>
      </c>
      <c r="T119" s="290">
        <v>792</v>
      </c>
      <c r="U119" s="958">
        <v>1.8324014349067887E-3</v>
      </c>
      <c r="V119" s="290">
        <v>3125.99389251</v>
      </c>
      <c r="W119" s="765">
        <v>0.58547024999999997</v>
      </c>
      <c r="X119" s="290">
        <v>1800</v>
      </c>
      <c r="Y119" s="290"/>
      <c r="Z119" s="290">
        <v>340035.891</v>
      </c>
      <c r="AA119" s="290">
        <v>0</v>
      </c>
      <c r="AB119" s="290">
        <v>225</v>
      </c>
      <c r="AC119" s="290">
        <v>2235</v>
      </c>
      <c r="AD119" s="290">
        <v>201</v>
      </c>
      <c r="AE119" s="290">
        <v>0</v>
      </c>
      <c r="AF119" s="290">
        <v>0</v>
      </c>
      <c r="AG119" s="290">
        <v>11097</v>
      </c>
      <c r="AH119" s="290">
        <v>2121</v>
      </c>
      <c r="AI119" s="290">
        <v>1690</v>
      </c>
      <c r="AJ119" s="290">
        <v>0</v>
      </c>
      <c r="AK119" s="290">
        <v>0</v>
      </c>
      <c r="AL119" s="290">
        <v>0</v>
      </c>
      <c r="AM119" s="957">
        <v>0.3474584</v>
      </c>
      <c r="AN119" s="290">
        <v>0</v>
      </c>
      <c r="AO119" s="290">
        <v>-2780.3767103199998</v>
      </c>
      <c r="AP119" s="290">
        <v>0</v>
      </c>
      <c r="AQ119" s="290">
        <v>0</v>
      </c>
      <c r="AR119" s="290">
        <v>-419.09475300000003</v>
      </c>
      <c r="AS119" s="290">
        <v>1917.904</v>
      </c>
      <c r="AT119" s="290">
        <v>632</v>
      </c>
      <c r="AU119" s="290">
        <v>117</v>
      </c>
      <c r="AV119" s="766">
        <v>285416</v>
      </c>
      <c r="AW119" s="290">
        <v>9000</v>
      </c>
      <c r="AX119" s="766">
        <v>77.583299999999994</v>
      </c>
      <c r="AY119" s="290">
        <v>1996</v>
      </c>
      <c r="AZ119" s="290">
        <v>580</v>
      </c>
      <c r="BA119" s="290">
        <v>271</v>
      </c>
      <c r="BB119" s="290">
        <v>0</v>
      </c>
      <c r="BC119" s="290">
        <v>17582.41143068</v>
      </c>
      <c r="BD119" s="290"/>
      <c r="BE119" s="290">
        <v>271717.83858018997</v>
      </c>
      <c r="BF119" s="290">
        <v>0</v>
      </c>
      <c r="BG119" s="290">
        <v>9084</v>
      </c>
      <c r="BH119" s="290">
        <v>1000</v>
      </c>
      <c r="BI119" s="290">
        <v>4557</v>
      </c>
      <c r="BJ119" s="290">
        <v>127</v>
      </c>
      <c r="BK119" s="290">
        <v>423</v>
      </c>
      <c r="BL119" s="290">
        <v>0</v>
      </c>
      <c r="BM119" s="290">
        <v>0</v>
      </c>
      <c r="BN119" s="290">
        <v>264</v>
      </c>
      <c r="BO119" s="290">
        <v>-92</v>
      </c>
      <c r="BP119" s="290">
        <v>1026</v>
      </c>
      <c r="BQ119" s="290">
        <v>2052</v>
      </c>
      <c r="BR119" s="290">
        <v>1554</v>
      </c>
      <c r="BS119" s="290">
        <v>151</v>
      </c>
      <c r="BT119" s="290">
        <v>0</v>
      </c>
      <c r="BU119" s="290">
        <v>0</v>
      </c>
      <c r="BV119" s="290">
        <v>243</v>
      </c>
      <c r="BW119" s="290">
        <v>-39156</v>
      </c>
      <c r="BX119" s="290">
        <v>0</v>
      </c>
      <c r="BY119" s="290">
        <v>1042</v>
      </c>
      <c r="BZ119" s="290">
        <v>2800</v>
      </c>
      <c r="CA119" s="290">
        <v>531.07100000000003</v>
      </c>
      <c r="CB119" s="290">
        <v>104</v>
      </c>
      <c r="CC119" s="290">
        <v>1</v>
      </c>
      <c r="CD119" s="290">
        <v>227</v>
      </c>
      <c r="CE119" s="290">
        <v>340035.891</v>
      </c>
      <c r="CF119" s="290">
        <v>0</v>
      </c>
      <c r="CG119" s="290">
        <v>0</v>
      </c>
      <c r="CH119" s="290">
        <v>0</v>
      </c>
      <c r="CI119" s="290">
        <v>0</v>
      </c>
      <c r="CJ119" s="290"/>
    </row>
    <row r="120" spans="1:88" ht="13">
      <c r="A120" s="1">
        <v>3029</v>
      </c>
      <c r="B120" s="2" t="s">
        <v>814</v>
      </c>
      <c r="C120" s="289">
        <v>42740</v>
      </c>
      <c r="D120" s="290">
        <v>984</v>
      </c>
      <c r="E120" s="290">
        <v>2034</v>
      </c>
      <c r="F120" s="290">
        <v>5152</v>
      </c>
      <c r="G120" s="290">
        <v>3533</v>
      </c>
      <c r="H120" s="290">
        <v>24657</v>
      </c>
      <c r="I120" s="290">
        <v>4329</v>
      </c>
      <c r="J120" s="290">
        <v>1216</v>
      </c>
      <c r="K120" s="290">
        <v>196</v>
      </c>
      <c r="L120" s="290">
        <v>286</v>
      </c>
      <c r="M120" s="290">
        <v>2296</v>
      </c>
      <c r="N120" s="290">
        <v>2265</v>
      </c>
      <c r="O120" s="290">
        <v>366</v>
      </c>
      <c r="P120" s="624">
        <v>58923.587666669999</v>
      </c>
      <c r="Q120" s="624">
        <v>34540.011666669998</v>
      </c>
      <c r="R120" s="1039">
        <v>88</v>
      </c>
      <c r="S120" s="290">
        <v>0</v>
      </c>
      <c r="T120" s="290">
        <v>3408</v>
      </c>
      <c r="U120" s="958">
        <v>5.0234625870021867E-4</v>
      </c>
      <c r="V120" s="290">
        <v>3752.9320449799998</v>
      </c>
      <c r="W120" s="765">
        <v>0.52451457000000001</v>
      </c>
      <c r="X120" s="290">
        <v>0</v>
      </c>
      <c r="Y120" s="290"/>
      <c r="Z120" s="290">
        <v>1577847.763</v>
      </c>
      <c r="AA120" s="290">
        <v>0</v>
      </c>
      <c r="AB120" s="290">
        <v>570</v>
      </c>
      <c r="AC120" s="290">
        <v>11541</v>
      </c>
      <c r="AD120" s="290">
        <v>712</v>
      </c>
      <c r="AE120" s="290">
        <v>53928</v>
      </c>
      <c r="AF120" s="290">
        <v>0</v>
      </c>
      <c r="AG120" s="290">
        <v>42101</v>
      </c>
      <c r="AH120" s="290">
        <v>7617</v>
      </c>
      <c r="AI120" s="290">
        <v>2700</v>
      </c>
      <c r="AJ120" s="290">
        <v>0</v>
      </c>
      <c r="AK120" s="290">
        <v>0</v>
      </c>
      <c r="AL120" s="290">
        <v>0</v>
      </c>
      <c r="AM120" s="957">
        <v>1.21582558</v>
      </c>
      <c r="AN120" s="290">
        <v>0</v>
      </c>
      <c r="AO120" s="290">
        <v>-9965.5462214800009</v>
      </c>
      <c r="AP120" s="290">
        <v>0</v>
      </c>
      <c r="AQ120" s="290">
        <v>0</v>
      </c>
      <c r="AR120" s="290">
        <v>-1590.0070465900001</v>
      </c>
      <c r="AS120" s="290">
        <v>8771.7895000000008</v>
      </c>
      <c r="AT120" s="290">
        <v>2413</v>
      </c>
      <c r="AU120" s="290">
        <v>417</v>
      </c>
      <c r="AV120" s="766">
        <v>983455</v>
      </c>
      <c r="AW120" s="290">
        <v>14000</v>
      </c>
      <c r="AX120" s="766">
        <v>347.54169999999999</v>
      </c>
      <c r="AY120" s="290">
        <v>11197</v>
      </c>
      <c r="AZ120" s="290">
        <v>2077</v>
      </c>
      <c r="BA120" s="290">
        <v>852</v>
      </c>
      <c r="BB120" s="290">
        <v>0</v>
      </c>
      <c r="BC120" s="290">
        <v>67224.038135740004</v>
      </c>
      <c r="BD120" s="290"/>
      <c r="BE120" s="290">
        <v>944042.44379231997</v>
      </c>
      <c r="BF120" s="290">
        <v>0</v>
      </c>
      <c r="BG120" s="290">
        <v>34464</v>
      </c>
      <c r="BH120" s="290">
        <v>1500</v>
      </c>
      <c r="BI120" s="290">
        <v>19870</v>
      </c>
      <c r="BJ120" s="290">
        <v>491</v>
      </c>
      <c r="BK120" s="290">
        <v>1834</v>
      </c>
      <c r="BL120" s="290">
        <v>0</v>
      </c>
      <c r="BM120" s="290">
        <v>0</v>
      </c>
      <c r="BN120" s="290">
        <v>1147</v>
      </c>
      <c r="BO120" s="290">
        <v>-405</v>
      </c>
      <c r="BP120" s="290">
        <v>3964</v>
      </c>
      <c r="BQ120" s="290">
        <v>7927</v>
      </c>
      <c r="BR120" s="290">
        <v>6001</v>
      </c>
      <c r="BS120" s="290">
        <v>534</v>
      </c>
      <c r="BT120" s="290">
        <v>0</v>
      </c>
      <c r="BU120" s="290">
        <v>0</v>
      </c>
      <c r="BV120" s="290">
        <v>1055</v>
      </c>
      <c r="BW120" s="290">
        <v>0</v>
      </c>
      <c r="BX120" s="290">
        <v>6169.8</v>
      </c>
      <c r="BY120" s="290">
        <v>3866</v>
      </c>
      <c r="BZ120" s="290">
        <v>20300</v>
      </c>
      <c r="CA120" s="290">
        <v>4545.8</v>
      </c>
      <c r="CB120" s="290">
        <v>370</v>
      </c>
      <c r="CC120" s="290">
        <v>3</v>
      </c>
      <c r="CD120" s="290">
        <v>1003</v>
      </c>
      <c r="CE120" s="290">
        <v>1577847.763</v>
      </c>
      <c r="CF120" s="290">
        <v>0</v>
      </c>
      <c r="CG120" s="290">
        <v>0</v>
      </c>
      <c r="CH120" s="290">
        <v>0</v>
      </c>
      <c r="CI120" s="290">
        <v>0</v>
      </c>
      <c r="CJ120" s="290"/>
    </row>
    <row r="121" spans="1:88" ht="13">
      <c r="A121" s="1">
        <v>3030</v>
      </c>
      <c r="B121" s="4" t="s">
        <v>1624</v>
      </c>
      <c r="C121" s="289">
        <v>86953</v>
      </c>
      <c r="D121" s="290">
        <v>1803</v>
      </c>
      <c r="E121" s="290">
        <v>4071</v>
      </c>
      <c r="F121" s="290">
        <v>11203</v>
      </c>
      <c r="G121" s="290">
        <v>7318</v>
      </c>
      <c r="H121" s="290">
        <v>50199</v>
      </c>
      <c r="I121" s="290">
        <v>8387</v>
      </c>
      <c r="J121" s="290">
        <v>2795</v>
      </c>
      <c r="K121" s="290">
        <v>546</v>
      </c>
      <c r="L121" s="290">
        <v>628</v>
      </c>
      <c r="M121" s="290">
        <v>4977</v>
      </c>
      <c r="N121" s="290">
        <v>4028</v>
      </c>
      <c r="O121" s="290">
        <v>872</v>
      </c>
      <c r="P121" s="624">
        <v>176674.12466666999</v>
      </c>
      <c r="Q121" s="624">
        <v>103825.452</v>
      </c>
      <c r="R121" s="1039">
        <v>232</v>
      </c>
      <c r="S121" s="290">
        <v>196</v>
      </c>
      <c r="T121" s="290">
        <v>6649</v>
      </c>
      <c r="U121" s="958">
        <v>6.5578468161415025E-3</v>
      </c>
      <c r="V121" s="290">
        <v>21978.700908930001</v>
      </c>
      <c r="W121" s="765">
        <v>0.54527413999999996</v>
      </c>
      <c r="X121" s="290">
        <v>3300</v>
      </c>
      <c r="Y121" s="290"/>
      <c r="Z121" s="290">
        <v>3190910.1150000002</v>
      </c>
      <c r="AA121" s="290">
        <v>0</v>
      </c>
      <c r="AB121" s="290">
        <v>1358</v>
      </c>
      <c r="AC121" s="290">
        <v>12379</v>
      </c>
      <c r="AD121" s="290">
        <v>1472</v>
      </c>
      <c r="AE121" s="290">
        <v>13670</v>
      </c>
      <c r="AF121" s="290">
        <v>30220</v>
      </c>
      <c r="AG121" s="290">
        <v>86322</v>
      </c>
      <c r="AH121" s="290">
        <v>15958</v>
      </c>
      <c r="AI121" s="290">
        <v>2300</v>
      </c>
      <c r="AJ121" s="290">
        <v>0</v>
      </c>
      <c r="AK121" s="290">
        <v>0</v>
      </c>
      <c r="AL121" s="290">
        <v>0</v>
      </c>
      <c r="AM121" s="957">
        <v>3.0473936500000001</v>
      </c>
      <c r="AN121" s="290">
        <v>0</v>
      </c>
      <c r="AO121" s="290">
        <v>-21257.482360909999</v>
      </c>
      <c r="AP121" s="290">
        <v>0</v>
      </c>
      <c r="AQ121" s="290">
        <v>0</v>
      </c>
      <c r="AR121" s="290">
        <v>-3260.0790545499999</v>
      </c>
      <c r="AS121" s="290">
        <v>11646.714</v>
      </c>
      <c r="AT121" s="290">
        <v>5250</v>
      </c>
      <c r="AU121" s="290">
        <v>965</v>
      </c>
      <c r="AV121" s="766">
        <v>2165510</v>
      </c>
      <c r="AW121" s="290">
        <v>46000</v>
      </c>
      <c r="AX121" s="766">
        <v>602.83330000000001</v>
      </c>
      <c r="AY121" s="290">
        <v>21171</v>
      </c>
      <c r="AZ121" s="290">
        <v>4447</v>
      </c>
      <c r="BA121" s="290">
        <v>1801</v>
      </c>
      <c r="BB121" s="290">
        <v>0</v>
      </c>
      <c r="BC121" s="290">
        <v>156130.24613792999</v>
      </c>
      <c r="BD121" s="290"/>
      <c r="BE121" s="290">
        <v>2066581.3176924</v>
      </c>
      <c r="BF121" s="290">
        <v>0</v>
      </c>
      <c r="BG121" s="290">
        <v>70664</v>
      </c>
      <c r="BH121" s="290">
        <v>1500</v>
      </c>
      <c r="BI121" s="290">
        <v>60029</v>
      </c>
      <c r="BJ121" s="290">
        <v>1035</v>
      </c>
      <c r="BK121" s="290">
        <v>3597</v>
      </c>
      <c r="BL121" s="290">
        <v>0</v>
      </c>
      <c r="BM121" s="290">
        <v>9363</v>
      </c>
      <c r="BN121" s="290">
        <v>2250</v>
      </c>
      <c r="BO121" s="290">
        <v>-825</v>
      </c>
      <c r="BP121" s="290">
        <v>8064</v>
      </c>
      <c r="BQ121" s="290">
        <v>16128</v>
      </c>
      <c r="BR121" s="290">
        <v>12209</v>
      </c>
      <c r="BS121" s="290">
        <v>1104</v>
      </c>
      <c r="BT121" s="290">
        <v>0</v>
      </c>
      <c r="BU121" s="290">
        <v>0</v>
      </c>
      <c r="BV121" s="290">
        <v>2070</v>
      </c>
      <c r="BW121" s="290">
        <v>0</v>
      </c>
      <c r="BX121" s="290">
        <v>78.8</v>
      </c>
      <c r="BY121" s="290">
        <v>7905</v>
      </c>
      <c r="BZ121" s="290">
        <v>31700</v>
      </c>
      <c r="CA121" s="290">
        <v>22297.4</v>
      </c>
      <c r="CB121" s="290">
        <v>751</v>
      </c>
      <c r="CC121" s="290">
        <v>8</v>
      </c>
      <c r="CD121" s="290">
        <v>2042</v>
      </c>
      <c r="CE121" s="290">
        <v>3190910.1150000002</v>
      </c>
      <c r="CF121" s="290">
        <v>0</v>
      </c>
      <c r="CG121" s="290">
        <v>0</v>
      </c>
      <c r="CH121" s="290">
        <v>0</v>
      </c>
      <c r="CI121" s="290">
        <v>0</v>
      </c>
      <c r="CJ121" s="290"/>
    </row>
    <row r="122" spans="1:88" ht="13">
      <c r="A122" s="1">
        <v>3031</v>
      </c>
      <c r="B122" s="2" t="s">
        <v>816</v>
      </c>
      <c r="C122" s="289">
        <v>24454</v>
      </c>
      <c r="D122" s="290">
        <v>497</v>
      </c>
      <c r="E122" s="290">
        <v>1176</v>
      </c>
      <c r="F122" s="290">
        <v>3510</v>
      </c>
      <c r="G122" s="290">
        <v>2140</v>
      </c>
      <c r="H122" s="290">
        <v>13855</v>
      </c>
      <c r="I122" s="290">
        <v>2325</v>
      </c>
      <c r="J122" s="290">
        <v>688</v>
      </c>
      <c r="K122" s="290">
        <v>117</v>
      </c>
      <c r="L122" s="290">
        <v>175</v>
      </c>
      <c r="M122" s="290">
        <v>1304</v>
      </c>
      <c r="N122" s="290">
        <v>545</v>
      </c>
      <c r="O122" s="290">
        <v>187</v>
      </c>
      <c r="P122" s="624">
        <v>59095.925999999999</v>
      </c>
      <c r="Q122" s="624">
        <v>24993.60033333</v>
      </c>
      <c r="R122" s="1039">
        <v>80</v>
      </c>
      <c r="S122" s="290">
        <v>0</v>
      </c>
      <c r="T122" s="290">
        <v>1661</v>
      </c>
      <c r="U122" s="958">
        <v>1.1734270941330886E-3</v>
      </c>
      <c r="V122" s="290">
        <v>6444.1627575800003</v>
      </c>
      <c r="W122" s="765">
        <v>0.54799798</v>
      </c>
      <c r="X122" s="290">
        <v>1900</v>
      </c>
      <c r="Y122" s="290"/>
      <c r="Z122" s="290">
        <v>946496.26399999997</v>
      </c>
      <c r="AA122" s="290">
        <v>0</v>
      </c>
      <c r="AB122" s="290">
        <v>364</v>
      </c>
      <c r="AC122" s="290">
        <v>2091</v>
      </c>
      <c r="AD122" s="290">
        <v>421</v>
      </c>
      <c r="AE122" s="290">
        <v>997</v>
      </c>
      <c r="AF122" s="290">
        <v>0</v>
      </c>
      <c r="AG122" s="290">
        <v>24308</v>
      </c>
      <c r="AH122" s="290">
        <v>4849</v>
      </c>
      <c r="AI122" s="290">
        <v>0</v>
      </c>
      <c r="AJ122" s="290">
        <v>0</v>
      </c>
      <c r="AK122" s="290">
        <v>0</v>
      </c>
      <c r="AL122" s="290">
        <v>0</v>
      </c>
      <c r="AM122" s="957">
        <v>0.36621478000000002</v>
      </c>
      <c r="AN122" s="290">
        <v>0</v>
      </c>
      <c r="AO122" s="290">
        <v>-6079.7971725199995</v>
      </c>
      <c r="AP122" s="290">
        <v>0</v>
      </c>
      <c r="AQ122" s="290">
        <v>0</v>
      </c>
      <c r="AR122" s="290">
        <v>-918.02786842</v>
      </c>
      <c r="AS122" s="290">
        <v>2511.73</v>
      </c>
      <c r="AT122" s="290">
        <v>1358</v>
      </c>
      <c r="AU122" s="290">
        <v>189</v>
      </c>
      <c r="AV122" s="766">
        <v>619441</v>
      </c>
      <c r="AW122" s="290">
        <v>3000</v>
      </c>
      <c r="AX122" s="766">
        <v>233.91669999999999</v>
      </c>
      <c r="AY122" s="290">
        <v>6743</v>
      </c>
      <c r="AZ122" s="290">
        <v>839</v>
      </c>
      <c r="BA122" s="290">
        <v>485</v>
      </c>
      <c r="BB122" s="290">
        <v>0</v>
      </c>
      <c r="BC122" s="290">
        <v>35646.282874080003</v>
      </c>
      <c r="BD122" s="290"/>
      <c r="BE122" s="290">
        <v>588788.12797921</v>
      </c>
      <c r="BF122" s="290">
        <v>0</v>
      </c>
      <c r="BG122" s="290">
        <v>19899</v>
      </c>
      <c r="BH122" s="290">
        <v>1000</v>
      </c>
      <c r="BI122" s="290">
        <v>7361</v>
      </c>
      <c r="BJ122" s="290">
        <v>296</v>
      </c>
      <c r="BK122" s="290">
        <v>1084</v>
      </c>
      <c r="BL122" s="290">
        <v>0</v>
      </c>
      <c r="BM122" s="290">
        <v>0</v>
      </c>
      <c r="BN122" s="290">
        <v>678</v>
      </c>
      <c r="BO122" s="290">
        <v>-172</v>
      </c>
      <c r="BP122" s="290">
        <v>2268</v>
      </c>
      <c r="BQ122" s="290">
        <v>4536</v>
      </c>
      <c r="BR122" s="290">
        <v>3434</v>
      </c>
      <c r="BS122" s="290">
        <v>315</v>
      </c>
      <c r="BT122" s="290">
        <v>0</v>
      </c>
      <c r="BU122" s="290">
        <v>0</v>
      </c>
      <c r="BV122" s="290">
        <v>624</v>
      </c>
      <c r="BW122" s="290">
        <v>0</v>
      </c>
      <c r="BX122" s="290">
        <v>0</v>
      </c>
      <c r="BY122" s="290">
        <v>2192</v>
      </c>
      <c r="BZ122" s="290">
        <v>9900</v>
      </c>
      <c r="CA122" s="290">
        <v>1783</v>
      </c>
      <c r="CB122" s="290">
        <v>217</v>
      </c>
      <c r="CC122" s="290">
        <v>2</v>
      </c>
      <c r="CD122" s="290">
        <v>426</v>
      </c>
      <c r="CE122" s="290">
        <v>946496.26399999997</v>
      </c>
      <c r="CF122" s="290">
        <v>0</v>
      </c>
      <c r="CG122" s="290">
        <v>0</v>
      </c>
      <c r="CH122" s="290">
        <v>0</v>
      </c>
      <c r="CI122" s="290">
        <v>0</v>
      </c>
      <c r="CJ122" s="290"/>
    </row>
    <row r="123" spans="1:88" ht="13">
      <c r="A123" s="1">
        <v>3032</v>
      </c>
      <c r="B123" s="2" t="s">
        <v>817</v>
      </c>
      <c r="C123" s="289">
        <v>7043</v>
      </c>
      <c r="D123" s="290">
        <v>118</v>
      </c>
      <c r="E123" s="290">
        <v>328</v>
      </c>
      <c r="F123" s="290">
        <v>936</v>
      </c>
      <c r="G123" s="290">
        <v>632</v>
      </c>
      <c r="H123" s="290">
        <v>3943</v>
      </c>
      <c r="I123" s="290">
        <v>727</v>
      </c>
      <c r="J123" s="290">
        <v>212</v>
      </c>
      <c r="K123" s="290">
        <v>25</v>
      </c>
      <c r="L123" s="290">
        <v>52</v>
      </c>
      <c r="M123" s="290">
        <v>355</v>
      </c>
      <c r="N123" s="290">
        <v>114</v>
      </c>
      <c r="O123" s="290">
        <v>66</v>
      </c>
      <c r="P123" s="624">
        <v>22002.150333329999</v>
      </c>
      <c r="Q123" s="624">
        <v>10640.839666669999</v>
      </c>
      <c r="R123" s="1039">
        <v>20</v>
      </c>
      <c r="S123" s="290">
        <v>0</v>
      </c>
      <c r="T123" s="290">
        <v>448</v>
      </c>
      <c r="U123" s="958">
        <v>1.3646808747833125E-3</v>
      </c>
      <c r="V123" s="290">
        <v>1404.91280413</v>
      </c>
      <c r="W123" s="765">
        <v>0.56280399999999997</v>
      </c>
      <c r="X123" s="290">
        <v>750</v>
      </c>
      <c r="Y123" s="290"/>
      <c r="Z123" s="290">
        <v>275007.37</v>
      </c>
      <c r="AA123" s="290">
        <v>0</v>
      </c>
      <c r="AB123" s="290">
        <v>108</v>
      </c>
      <c r="AC123" s="290">
        <v>1023</v>
      </c>
      <c r="AD123" s="290">
        <v>129</v>
      </c>
      <c r="AE123" s="290">
        <v>1381</v>
      </c>
      <c r="AF123" s="290">
        <v>0</v>
      </c>
      <c r="AG123" s="290">
        <v>6921</v>
      </c>
      <c r="AH123" s="290">
        <v>1322</v>
      </c>
      <c r="AI123" s="290">
        <v>3500</v>
      </c>
      <c r="AJ123" s="290">
        <v>191029.31099999999</v>
      </c>
      <c r="AK123" s="290">
        <v>0</v>
      </c>
      <c r="AL123" s="290">
        <v>0</v>
      </c>
      <c r="AM123" s="957">
        <v>8.4246959999999996E-2</v>
      </c>
      <c r="AN123" s="290">
        <v>0</v>
      </c>
      <c r="AO123" s="290">
        <v>-1709.6386429199999</v>
      </c>
      <c r="AP123" s="290">
        <v>0</v>
      </c>
      <c r="AQ123" s="290">
        <v>0</v>
      </c>
      <c r="AR123" s="290">
        <v>-261.38188568999999</v>
      </c>
      <c r="AS123" s="290">
        <v>977.72799999999995</v>
      </c>
      <c r="AT123" s="290">
        <v>385</v>
      </c>
      <c r="AU123" s="290">
        <v>49</v>
      </c>
      <c r="AV123" s="766">
        <v>179173</v>
      </c>
      <c r="AW123" s="290">
        <v>2500</v>
      </c>
      <c r="AX123" s="766">
        <v>42.333300000000001</v>
      </c>
      <c r="AY123" s="290">
        <v>1655</v>
      </c>
      <c r="AZ123" s="290">
        <v>212</v>
      </c>
      <c r="BA123" s="290">
        <v>138</v>
      </c>
      <c r="BB123" s="290">
        <v>0</v>
      </c>
      <c r="BC123" s="290">
        <v>10593.61091913</v>
      </c>
      <c r="BD123" s="290"/>
      <c r="BE123" s="290">
        <v>164179.44895543001</v>
      </c>
      <c r="BF123" s="290">
        <v>0</v>
      </c>
      <c r="BG123" s="290">
        <v>5666</v>
      </c>
      <c r="BH123" s="290">
        <v>1000</v>
      </c>
      <c r="BI123" s="290">
        <v>2474</v>
      </c>
      <c r="BJ123" s="290">
        <v>87</v>
      </c>
      <c r="BK123" s="290">
        <v>285</v>
      </c>
      <c r="BL123" s="290">
        <v>0</v>
      </c>
      <c r="BM123" s="290">
        <v>0</v>
      </c>
      <c r="BN123" s="290">
        <v>179</v>
      </c>
      <c r="BO123" s="290">
        <v>-46</v>
      </c>
      <c r="BP123" s="290">
        <v>653</v>
      </c>
      <c r="BQ123" s="290">
        <v>1306</v>
      </c>
      <c r="BR123" s="290">
        <v>989</v>
      </c>
      <c r="BS123" s="290">
        <v>97</v>
      </c>
      <c r="BT123" s="290">
        <v>0</v>
      </c>
      <c r="BU123" s="290">
        <v>0</v>
      </c>
      <c r="BV123" s="290">
        <v>164</v>
      </c>
      <c r="BW123" s="290">
        <v>0</v>
      </c>
      <c r="BX123" s="290">
        <v>0</v>
      </c>
      <c r="BY123" s="290">
        <v>665</v>
      </c>
      <c r="BZ123" s="290">
        <v>1200</v>
      </c>
      <c r="CA123" s="290">
        <v>326.553</v>
      </c>
      <c r="CB123" s="290">
        <v>67</v>
      </c>
      <c r="CC123" s="290">
        <v>0</v>
      </c>
      <c r="CD123" s="290">
        <v>113</v>
      </c>
      <c r="CE123" s="290">
        <v>275007.37</v>
      </c>
      <c r="CF123" s="290">
        <v>0</v>
      </c>
      <c r="CG123" s="290">
        <v>0</v>
      </c>
      <c r="CH123" s="290">
        <v>0</v>
      </c>
      <c r="CI123" s="290">
        <v>0</v>
      </c>
      <c r="CJ123" s="290"/>
    </row>
    <row r="124" spans="1:88" ht="13">
      <c r="A124" s="1">
        <v>3033</v>
      </c>
      <c r="B124" s="2" t="s">
        <v>818</v>
      </c>
      <c r="C124" s="289">
        <v>40459</v>
      </c>
      <c r="D124" s="290">
        <v>907</v>
      </c>
      <c r="E124" s="290">
        <v>1956</v>
      </c>
      <c r="F124" s="290">
        <v>5441</v>
      </c>
      <c r="G124" s="290">
        <v>3536</v>
      </c>
      <c r="H124" s="290">
        <v>23516</v>
      </c>
      <c r="I124" s="290">
        <v>3460</v>
      </c>
      <c r="J124" s="290">
        <v>1032</v>
      </c>
      <c r="K124" s="290">
        <v>177</v>
      </c>
      <c r="L124" s="290">
        <v>279</v>
      </c>
      <c r="M124" s="290">
        <v>2090</v>
      </c>
      <c r="N124" s="290">
        <v>2037</v>
      </c>
      <c r="O124" s="290">
        <v>444</v>
      </c>
      <c r="P124" s="624">
        <v>92461.09366667</v>
      </c>
      <c r="Q124" s="624">
        <v>56991.947</v>
      </c>
      <c r="R124" s="1039">
        <v>86</v>
      </c>
      <c r="S124" s="290">
        <v>0</v>
      </c>
      <c r="T124" s="290">
        <v>3455</v>
      </c>
      <c r="U124" s="958">
        <v>4.1018032954426194E-3</v>
      </c>
      <c r="V124" s="290">
        <v>4546.3303915899996</v>
      </c>
      <c r="W124" s="765">
        <v>0.5443597</v>
      </c>
      <c r="X124" s="290">
        <v>3800</v>
      </c>
      <c r="Y124" s="290"/>
      <c r="Z124" s="290">
        <v>1340071.24</v>
      </c>
      <c r="AA124" s="290">
        <v>0</v>
      </c>
      <c r="AB124" s="290">
        <v>621</v>
      </c>
      <c r="AC124" s="290">
        <v>9931</v>
      </c>
      <c r="AD124" s="290">
        <v>677</v>
      </c>
      <c r="AE124" s="290">
        <v>67164</v>
      </c>
      <c r="AF124" s="290">
        <f>'K20'!AF124</f>
        <v>-11920</v>
      </c>
      <c r="AG124" s="290">
        <v>40025</v>
      </c>
      <c r="AH124" s="290">
        <v>7763</v>
      </c>
      <c r="AI124" s="290">
        <v>4500</v>
      </c>
      <c r="AJ124" s="290">
        <v>0</v>
      </c>
      <c r="AK124" s="290">
        <v>0</v>
      </c>
      <c r="AL124" s="290">
        <v>0</v>
      </c>
      <c r="AM124" s="957">
        <v>1.87831488</v>
      </c>
      <c r="AN124" s="290">
        <v>0</v>
      </c>
      <c r="AO124" s="290">
        <v>-9834.1045271000003</v>
      </c>
      <c r="AP124" s="290">
        <v>0</v>
      </c>
      <c r="AQ124" s="290">
        <v>0</v>
      </c>
      <c r="AR124" s="290">
        <v>-1511.6038108299999</v>
      </c>
      <c r="AS124" s="290">
        <v>7848.652</v>
      </c>
      <c r="AT124" s="290">
        <v>2611</v>
      </c>
      <c r="AU124" s="290">
        <v>576</v>
      </c>
      <c r="AV124" s="766">
        <v>988344</v>
      </c>
      <c r="AW124" s="290">
        <v>16000</v>
      </c>
      <c r="AX124" s="766">
        <v>365.74995000000001</v>
      </c>
      <c r="AY124" s="290">
        <v>8100</v>
      </c>
      <c r="AZ124" s="290">
        <v>1961</v>
      </c>
      <c r="BA124" s="290">
        <v>1088</v>
      </c>
      <c r="BB124" s="290">
        <v>0</v>
      </c>
      <c r="BC124" s="290">
        <v>50620.404549350002</v>
      </c>
      <c r="BD124" s="290"/>
      <c r="BE124" s="290">
        <v>985012.83856994996</v>
      </c>
      <c r="BF124" s="290">
        <v>0</v>
      </c>
      <c r="BG124" s="290">
        <v>32765</v>
      </c>
      <c r="BH124" s="290">
        <v>1500</v>
      </c>
      <c r="BI124" s="290">
        <v>6451</v>
      </c>
      <c r="BJ124" s="290">
        <v>449</v>
      </c>
      <c r="BK124" s="290">
        <v>1736</v>
      </c>
      <c r="BL124" s="290">
        <v>0</v>
      </c>
      <c r="BM124" s="290">
        <v>0</v>
      </c>
      <c r="BN124" s="290">
        <v>1086</v>
      </c>
      <c r="BO124" s="290">
        <v>-427</v>
      </c>
      <c r="BP124" s="290">
        <v>3752</v>
      </c>
      <c r="BQ124" s="290">
        <v>7504</v>
      </c>
      <c r="BR124" s="290">
        <v>5681</v>
      </c>
      <c r="BS124" s="290">
        <v>508</v>
      </c>
      <c r="BT124" s="290">
        <v>0</v>
      </c>
      <c r="BU124" s="290">
        <v>0</v>
      </c>
      <c r="BV124" s="290">
        <v>999</v>
      </c>
      <c r="BW124" s="290">
        <v>0</v>
      </c>
      <c r="BX124" s="290">
        <v>289.3</v>
      </c>
      <c r="BY124" s="290">
        <v>3388</v>
      </c>
      <c r="BZ124" s="290">
        <v>14200</v>
      </c>
      <c r="CA124" s="290">
        <v>1878.3820000000001</v>
      </c>
      <c r="CB124" s="290">
        <v>353</v>
      </c>
      <c r="CC124" s="290">
        <v>3</v>
      </c>
      <c r="CD124" s="290">
        <v>1056</v>
      </c>
      <c r="CE124" s="290">
        <v>1340071.24</v>
      </c>
      <c r="CF124" s="290">
        <v>0</v>
      </c>
      <c r="CG124" s="290">
        <v>0</v>
      </c>
      <c r="CH124" s="290">
        <v>0</v>
      </c>
      <c r="CI124" s="290">
        <v>0</v>
      </c>
      <c r="CJ124" s="290"/>
    </row>
    <row r="125" spans="1:88" ht="13">
      <c r="A125" s="1">
        <v>3034</v>
      </c>
      <c r="B125" s="2" t="s">
        <v>819</v>
      </c>
      <c r="C125" s="289">
        <v>23422</v>
      </c>
      <c r="D125" s="290">
        <v>516</v>
      </c>
      <c r="E125" s="290">
        <v>1130</v>
      </c>
      <c r="F125" s="290">
        <v>2764</v>
      </c>
      <c r="G125" s="290">
        <v>1878</v>
      </c>
      <c r="H125" s="290">
        <v>13536</v>
      </c>
      <c r="I125" s="290">
        <v>2605</v>
      </c>
      <c r="J125" s="290">
        <v>688</v>
      </c>
      <c r="K125" s="290">
        <v>141</v>
      </c>
      <c r="L125" s="290">
        <v>183</v>
      </c>
      <c r="M125" s="290">
        <v>1436</v>
      </c>
      <c r="N125" s="290">
        <v>456</v>
      </c>
      <c r="O125" s="290">
        <v>189</v>
      </c>
      <c r="P125" s="624">
        <v>97034.471333330002</v>
      </c>
      <c r="Q125" s="624">
        <v>48500.727666669998</v>
      </c>
      <c r="R125" s="1039">
        <v>79</v>
      </c>
      <c r="S125" s="290">
        <v>0</v>
      </c>
      <c r="T125" s="290">
        <v>1763</v>
      </c>
      <c r="U125" s="958">
        <v>7.1868607930299774E-3</v>
      </c>
      <c r="V125" s="290">
        <v>5633.1809856500004</v>
      </c>
      <c r="W125" s="765">
        <v>0.6055294</v>
      </c>
      <c r="X125" s="290">
        <v>2550</v>
      </c>
      <c r="Y125" s="290"/>
      <c r="Z125" s="290">
        <v>720878.89</v>
      </c>
      <c r="AA125" s="290">
        <v>0</v>
      </c>
      <c r="AB125" s="290">
        <v>555</v>
      </c>
      <c r="AC125" s="290">
        <v>1159</v>
      </c>
      <c r="AD125" s="290">
        <v>421</v>
      </c>
      <c r="AE125" s="290">
        <v>5669</v>
      </c>
      <c r="AF125" s="290">
        <f>ROUND('K20'!AF125*1.027,0)</f>
        <v>0</v>
      </c>
      <c r="AG125" s="290">
        <v>23258</v>
      </c>
      <c r="AH125" s="290">
        <v>4126</v>
      </c>
      <c r="AI125" s="290">
        <v>0</v>
      </c>
      <c r="AJ125" s="290">
        <v>0</v>
      </c>
      <c r="AK125" s="290">
        <v>0</v>
      </c>
      <c r="AL125" s="290">
        <v>0</v>
      </c>
      <c r="AM125" s="957">
        <v>0.50307060000000003</v>
      </c>
      <c r="AN125" s="290">
        <v>0</v>
      </c>
      <c r="AO125" s="290">
        <v>-5726.7278978599998</v>
      </c>
      <c r="AP125" s="290">
        <v>0</v>
      </c>
      <c r="AQ125" s="290">
        <v>0</v>
      </c>
      <c r="AR125" s="290">
        <v>-878.37305264999998</v>
      </c>
      <c r="AS125" s="290">
        <v>1652.8119999999999</v>
      </c>
      <c r="AT125" s="290">
        <v>1433</v>
      </c>
      <c r="AU125" s="290">
        <v>195</v>
      </c>
      <c r="AV125" s="766">
        <v>578908</v>
      </c>
      <c r="AW125" s="290">
        <v>3100</v>
      </c>
      <c r="AX125" s="766">
        <v>202.70835</v>
      </c>
      <c r="AY125" s="290">
        <v>4078</v>
      </c>
      <c r="AZ125" s="290">
        <v>960</v>
      </c>
      <c r="BA125" s="290">
        <v>444</v>
      </c>
      <c r="BB125" s="290">
        <v>0</v>
      </c>
      <c r="BC125" s="290">
        <v>30628.278507629999</v>
      </c>
      <c r="BD125" s="290"/>
      <c r="BE125" s="290">
        <v>547009.82795101998</v>
      </c>
      <c r="BF125" s="290">
        <v>0</v>
      </c>
      <c r="BG125" s="290">
        <v>19039</v>
      </c>
      <c r="BH125" s="290">
        <v>1000</v>
      </c>
      <c r="BI125" s="290">
        <v>5706</v>
      </c>
      <c r="BJ125" s="290">
        <v>252</v>
      </c>
      <c r="BK125" s="290">
        <v>988</v>
      </c>
      <c r="BL125" s="290">
        <v>0</v>
      </c>
      <c r="BM125" s="290">
        <v>0</v>
      </c>
      <c r="BN125" s="290">
        <v>618</v>
      </c>
      <c r="BO125" s="290">
        <v>-185</v>
      </c>
      <c r="BP125" s="290">
        <v>2172</v>
      </c>
      <c r="BQ125" s="290">
        <v>4344</v>
      </c>
      <c r="BR125" s="290">
        <v>3289</v>
      </c>
      <c r="BS125" s="290">
        <v>316</v>
      </c>
      <c r="BT125" s="290">
        <v>0</v>
      </c>
      <c r="BU125" s="290">
        <v>0</v>
      </c>
      <c r="BV125" s="290">
        <v>569</v>
      </c>
      <c r="BW125" s="290">
        <v>0</v>
      </c>
      <c r="BX125" s="290">
        <v>0</v>
      </c>
      <c r="BY125" s="290">
        <v>2214</v>
      </c>
      <c r="BZ125" s="290">
        <v>4600</v>
      </c>
      <c r="CA125" s="290">
        <v>1093.8440000000001</v>
      </c>
      <c r="CB125" s="290">
        <v>208</v>
      </c>
      <c r="CC125" s="290">
        <v>2</v>
      </c>
      <c r="CD125" s="290">
        <v>459</v>
      </c>
      <c r="CE125" s="290">
        <v>720878.89</v>
      </c>
      <c r="CF125" s="290">
        <v>0</v>
      </c>
      <c r="CG125" s="290">
        <v>0</v>
      </c>
      <c r="CH125" s="290">
        <v>0</v>
      </c>
      <c r="CI125" s="290">
        <v>0</v>
      </c>
      <c r="CJ125" s="290"/>
    </row>
    <row r="126" spans="1:88" ht="13">
      <c r="A126" s="1">
        <v>3035</v>
      </c>
      <c r="B126" s="2" t="s">
        <v>820</v>
      </c>
      <c r="C126" s="289">
        <v>26031</v>
      </c>
      <c r="D126" s="290">
        <v>568</v>
      </c>
      <c r="E126" s="290">
        <v>1196</v>
      </c>
      <c r="F126" s="290">
        <v>3292</v>
      </c>
      <c r="G126" s="290">
        <v>2045</v>
      </c>
      <c r="H126" s="290">
        <v>14870</v>
      </c>
      <c r="I126" s="290">
        <v>2845</v>
      </c>
      <c r="J126" s="290">
        <v>684</v>
      </c>
      <c r="K126" s="290">
        <v>146</v>
      </c>
      <c r="L126" s="290">
        <v>207</v>
      </c>
      <c r="M126" s="290">
        <v>1630</v>
      </c>
      <c r="N126" s="290">
        <v>673</v>
      </c>
      <c r="O126" s="290">
        <v>282</v>
      </c>
      <c r="P126" s="624">
        <v>63822.980666670002</v>
      </c>
      <c r="Q126" s="624">
        <v>36743.356333329997</v>
      </c>
      <c r="R126" s="1039">
        <v>107</v>
      </c>
      <c r="S126" s="290">
        <v>0</v>
      </c>
      <c r="T126" s="290">
        <v>2168</v>
      </c>
      <c r="U126" s="958">
        <v>4.1536571740948582E-3</v>
      </c>
      <c r="V126" s="290">
        <v>4781.5071882000002</v>
      </c>
      <c r="W126" s="765">
        <v>0.56947740999999996</v>
      </c>
      <c r="X126" s="290">
        <v>2550</v>
      </c>
      <c r="Y126" s="290"/>
      <c r="Z126" s="290">
        <v>762822.91700000002</v>
      </c>
      <c r="AA126" s="290">
        <v>0</v>
      </c>
      <c r="AB126" s="290">
        <v>554</v>
      </c>
      <c r="AC126" s="290">
        <v>3374</v>
      </c>
      <c r="AD126" s="290">
        <v>450</v>
      </c>
      <c r="AE126" s="290">
        <v>0</v>
      </c>
      <c r="AF126" s="290">
        <f>ROUND('K20'!AF126*1.027,0)</f>
        <v>0</v>
      </c>
      <c r="AG126" s="290">
        <v>25646</v>
      </c>
      <c r="AH126" s="290">
        <v>4682</v>
      </c>
      <c r="AI126" s="290">
        <v>0</v>
      </c>
      <c r="AJ126" s="290">
        <v>0</v>
      </c>
      <c r="AK126" s="290">
        <v>0</v>
      </c>
      <c r="AL126" s="290">
        <v>0</v>
      </c>
      <c r="AM126" s="957">
        <v>0.76751727999999997</v>
      </c>
      <c r="AN126" s="290">
        <v>0</v>
      </c>
      <c r="AO126" s="290">
        <v>-6463.2803715099999</v>
      </c>
      <c r="AP126" s="290">
        <v>0</v>
      </c>
      <c r="AQ126" s="290">
        <v>0</v>
      </c>
      <c r="AR126" s="290">
        <v>-968.55943366999998</v>
      </c>
      <c r="AS126" s="290">
        <v>3207.49</v>
      </c>
      <c r="AT126" s="290">
        <v>1590</v>
      </c>
      <c r="AU126" s="290">
        <v>273</v>
      </c>
      <c r="AV126" s="766">
        <v>656933</v>
      </c>
      <c r="AW126" s="290">
        <v>6000</v>
      </c>
      <c r="AX126" s="766">
        <v>229.66665</v>
      </c>
      <c r="AY126" s="290">
        <v>5035</v>
      </c>
      <c r="AZ126" s="290">
        <v>1144</v>
      </c>
      <c r="BA126" s="290">
        <v>646</v>
      </c>
      <c r="BB126" s="290">
        <v>0</v>
      </c>
      <c r="BC126" s="290">
        <v>36864.096711040002</v>
      </c>
      <c r="BD126" s="290"/>
      <c r="BE126" s="290">
        <v>630168.55197290005</v>
      </c>
      <c r="BF126" s="290">
        <v>0</v>
      </c>
      <c r="BG126" s="290">
        <v>20994</v>
      </c>
      <c r="BH126" s="290">
        <v>1000</v>
      </c>
      <c r="BI126" s="290">
        <v>8506</v>
      </c>
      <c r="BJ126" s="290">
        <v>287</v>
      </c>
      <c r="BK126" s="290">
        <v>1067</v>
      </c>
      <c r="BL126" s="290">
        <v>0</v>
      </c>
      <c r="BM126" s="290">
        <v>0</v>
      </c>
      <c r="BN126" s="290">
        <v>667</v>
      </c>
      <c r="BO126" s="290">
        <v>-227</v>
      </c>
      <c r="BP126" s="290">
        <v>2414</v>
      </c>
      <c r="BQ126" s="290">
        <v>4828</v>
      </c>
      <c r="BR126" s="290">
        <v>3655</v>
      </c>
      <c r="BS126" s="290">
        <v>337</v>
      </c>
      <c r="BT126" s="290">
        <v>0</v>
      </c>
      <c r="BU126" s="290">
        <v>0</v>
      </c>
      <c r="BV126" s="290">
        <v>614</v>
      </c>
      <c r="BW126" s="290">
        <v>0</v>
      </c>
      <c r="BX126" s="290">
        <v>0</v>
      </c>
      <c r="BY126" s="290">
        <v>2416</v>
      </c>
      <c r="BZ126" s="290">
        <v>5000</v>
      </c>
      <c r="CA126" s="290">
        <v>1234.5309999999999</v>
      </c>
      <c r="CB126" s="290">
        <v>228</v>
      </c>
      <c r="CC126" s="290">
        <v>2</v>
      </c>
      <c r="CD126" s="290">
        <v>563</v>
      </c>
      <c r="CE126" s="290">
        <v>762822.91700000002</v>
      </c>
      <c r="CF126" s="290">
        <v>0</v>
      </c>
      <c r="CG126" s="290">
        <v>0</v>
      </c>
      <c r="CH126" s="290">
        <v>0</v>
      </c>
      <c r="CI126" s="290">
        <v>0</v>
      </c>
      <c r="CJ126" s="290"/>
    </row>
    <row r="127" spans="1:88" ht="13">
      <c r="A127" s="1">
        <v>3036</v>
      </c>
      <c r="B127" s="2" t="s">
        <v>821</v>
      </c>
      <c r="C127" s="289">
        <v>14637</v>
      </c>
      <c r="D127" s="290">
        <v>356</v>
      </c>
      <c r="E127" s="290">
        <v>691</v>
      </c>
      <c r="F127" s="290">
        <v>1875</v>
      </c>
      <c r="G127" s="290">
        <v>1187</v>
      </c>
      <c r="H127" s="290">
        <v>8592</v>
      </c>
      <c r="I127" s="290">
        <v>1274</v>
      </c>
      <c r="J127" s="290">
        <v>325</v>
      </c>
      <c r="K127" s="290">
        <v>58</v>
      </c>
      <c r="L127" s="290">
        <v>104</v>
      </c>
      <c r="M127" s="290">
        <v>712</v>
      </c>
      <c r="N127" s="290">
        <v>376</v>
      </c>
      <c r="O127" s="290">
        <v>196</v>
      </c>
      <c r="P127" s="624">
        <v>33392.896000000001</v>
      </c>
      <c r="Q127" s="624">
        <v>26730.196666669999</v>
      </c>
      <c r="R127" s="1039">
        <v>52</v>
      </c>
      <c r="S127" s="290">
        <v>0</v>
      </c>
      <c r="T127" s="290">
        <v>1089</v>
      </c>
      <c r="U127" s="958">
        <v>2.9340998056167915E-3</v>
      </c>
      <c r="V127" s="290">
        <v>4741.7767099399998</v>
      </c>
      <c r="W127" s="765">
        <v>0.58025603999999997</v>
      </c>
      <c r="X127" s="290">
        <v>3100</v>
      </c>
      <c r="Y127" s="290"/>
      <c r="Z127" s="290">
        <v>432983.81699999998</v>
      </c>
      <c r="AA127" s="290">
        <v>0</v>
      </c>
      <c r="AB127" s="290">
        <v>235</v>
      </c>
      <c r="AC127" s="290">
        <v>788</v>
      </c>
      <c r="AD127" s="290">
        <v>249</v>
      </c>
      <c r="AE127" s="290">
        <v>20771</v>
      </c>
      <c r="AF127" s="290">
        <f>'K20'!AF127</f>
        <v>-7430</v>
      </c>
      <c r="AG127" s="290">
        <v>14358</v>
      </c>
      <c r="AH127" s="290">
        <v>2720</v>
      </c>
      <c r="AI127" s="290">
        <v>1000</v>
      </c>
      <c r="AJ127" s="290">
        <v>0</v>
      </c>
      <c r="AK127" s="290">
        <v>0</v>
      </c>
      <c r="AL127" s="290">
        <v>0</v>
      </c>
      <c r="AM127" s="957">
        <v>0.29673549999999999</v>
      </c>
      <c r="AN127" s="290">
        <v>0</v>
      </c>
      <c r="AO127" s="290">
        <v>-3483.4215809100001</v>
      </c>
      <c r="AP127" s="290">
        <v>0</v>
      </c>
      <c r="AQ127" s="290">
        <v>0</v>
      </c>
      <c r="AR127" s="290">
        <v>-542.25128084999994</v>
      </c>
      <c r="AS127" s="290">
        <v>1134.45</v>
      </c>
      <c r="AT127" s="290">
        <v>887</v>
      </c>
      <c r="AU127" s="290">
        <v>119</v>
      </c>
      <c r="AV127" s="766">
        <v>351601</v>
      </c>
      <c r="AW127" s="290">
        <v>1500</v>
      </c>
      <c r="AX127" s="766">
        <v>136.625</v>
      </c>
      <c r="AY127" s="290">
        <v>2464</v>
      </c>
      <c r="AZ127" s="290">
        <v>562</v>
      </c>
      <c r="BA127" s="290">
        <v>291</v>
      </c>
      <c r="BB127" s="290">
        <v>0</v>
      </c>
      <c r="BC127" s="290">
        <v>11760.363963190001</v>
      </c>
      <c r="BD127" s="290"/>
      <c r="BE127" s="290">
        <v>339124.28403256001</v>
      </c>
      <c r="BF127" s="290">
        <v>0</v>
      </c>
      <c r="BG127" s="290">
        <v>11754</v>
      </c>
      <c r="BH127" s="290">
        <v>1000</v>
      </c>
      <c r="BI127" s="290">
        <v>-3673</v>
      </c>
      <c r="BJ127" s="290">
        <v>158</v>
      </c>
      <c r="BK127" s="290">
        <v>611</v>
      </c>
      <c r="BL127" s="290">
        <v>0</v>
      </c>
      <c r="BM127" s="290">
        <v>0</v>
      </c>
      <c r="BN127" s="290">
        <v>382</v>
      </c>
      <c r="BO127" s="290">
        <v>-114</v>
      </c>
      <c r="BP127" s="290">
        <v>1357</v>
      </c>
      <c r="BQ127" s="290">
        <v>2715</v>
      </c>
      <c r="BR127" s="290">
        <v>2055</v>
      </c>
      <c r="BS127" s="290">
        <v>187</v>
      </c>
      <c r="BT127" s="290">
        <v>0</v>
      </c>
      <c r="BU127" s="290">
        <v>0</v>
      </c>
      <c r="BV127" s="290">
        <v>352</v>
      </c>
      <c r="BW127" s="290">
        <v>0</v>
      </c>
      <c r="BX127" s="290">
        <v>0</v>
      </c>
      <c r="BY127" s="290">
        <v>1236</v>
      </c>
      <c r="BZ127" s="290">
        <v>3200</v>
      </c>
      <c r="CA127" s="290">
        <v>665.35799999999995</v>
      </c>
      <c r="CB127" s="290">
        <v>132</v>
      </c>
      <c r="CC127" s="290">
        <v>1</v>
      </c>
      <c r="CD127" s="290">
        <v>282</v>
      </c>
      <c r="CE127" s="290">
        <v>432983.81699999998</v>
      </c>
      <c r="CF127" s="290">
        <v>0</v>
      </c>
      <c r="CG127" s="290">
        <v>0</v>
      </c>
      <c r="CH127" s="290">
        <v>0</v>
      </c>
      <c r="CI127" s="290">
        <v>0</v>
      </c>
      <c r="CJ127" s="290"/>
    </row>
    <row r="128" spans="1:88" ht="13">
      <c r="A128" s="1">
        <v>3037</v>
      </c>
      <c r="B128" s="2" t="s">
        <v>822</v>
      </c>
      <c r="C128" s="289">
        <v>2838</v>
      </c>
      <c r="D128" s="290">
        <v>55</v>
      </c>
      <c r="E128" s="290">
        <v>122</v>
      </c>
      <c r="F128" s="290">
        <v>329</v>
      </c>
      <c r="G128" s="290">
        <v>205</v>
      </c>
      <c r="H128" s="290">
        <v>1579</v>
      </c>
      <c r="I128" s="290">
        <v>384</v>
      </c>
      <c r="J128" s="290">
        <v>138</v>
      </c>
      <c r="K128" s="290">
        <v>32</v>
      </c>
      <c r="L128" s="290">
        <v>23</v>
      </c>
      <c r="M128" s="290">
        <v>267</v>
      </c>
      <c r="N128" s="290">
        <v>13</v>
      </c>
      <c r="O128" s="290">
        <v>10</v>
      </c>
      <c r="P128" s="624">
        <v>17218.935000000001</v>
      </c>
      <c r="Q128" s="624">
        <v>10701.32333333</v>
      </c>
      <c r="R128" s="1039">
        <v>6</v>
      </c>
      <c r="S128" s="290">
        <v>0</v>
      </c>
      <c r="T128" s="290">
        <v>274</v>
      </c>
      <c r="U128" s="958">
        <v>1.2708782727648288E-3</v>
      </c>
      <c r="V128" s="290">
        <v>-495.09793374999998</v>
      </c>
      <c r="W128" s="765">
        <v>0.75802559999999997</v>
      </c>
      <c r="X128" s="290">
        <v>1000</v>
      </c>
      <c r="Y128" s="290"/>
      <c r="Z128" s="290">
        <v>76393.837</v>
      </c>
      <c r="AA128" s="290">
        <v>0</v>
      </c>
      <c r="AB128" s="290">
        <v>68</v>
      </c>
      <c r="AC128" s="290">
        <v>148</v>
      </c>
      <c r="AD128" s="290">
        <v>68</v>
      </c>
      <c r="AE128" s="290">
        <v>0</v>
      </c>
      <c r="AF128" s="290">
        <v>0</v>
      </c>
      <c r="AG128" s="290">
        <v>2844</v>
      </c>
      <c r="AH128" s="290">
        <v>462</v>
      </c>
      <c r="AI128" s="290">
        <v>0</v>
      </c>
      <c r="AJ128" s="290">
        <v>0</v>
      </c>
      <c r="AK128" s="290">
        <v>0</v>
      </c>
      <c r="AL128" s="290">
        <v>0</v>
      </c>
      <c r="AM128" s="957">
        <v>0.10694146</v>
      </c>
      <c r="AN128" s="290">
        <v>0</v>
      </c>
      <c r="AO128" s="290">
        <v>-809.31838963999996</v>
      </c>
      <c r="AP128" s="290">
        <v>0</v>
      </c>
      <c r="AQ128" s="290">
        <v>0</v>
      </c>
      <c r="AR128" s="290">
        <v>342.11013551999997</v>
      </c>
      <c r="AS128" s="290">
        <v>215.9425</v>
      </c>
      <c r="AT128" s="290">
        <v>163</v>
      </c>
      <c r="AU128" s="290">
        <v>32</v>
      </c>
      <c r="AV128" s="766">
        <v>99351</v>
      </c>
      <c r="AW128" s="290">
        <v>500</v>
      </c>
      <c r="AX128" s="766">
        <v>20.416650000000001</v>
      </c>
      <c r="AY128" s="290">
        <v>510</v>
      </c>
      <c r="AZ128" s="290">
        <v>167</v>
      </c>
      <c r="BA128" s="290">
        <v>77</v>
      </c>
      <c r="BB128" s="290">
        <v>3017</v>
      </c>
      <c r="BC128" s="290">
        <v>4467.9151876699998</v>
      </c>
      <c r="BD128" s="290"/>
      <c r="BE128" s="290">
        <v>92717.195221739996</v>
      </c>
      <c r="BF128" s="290">
        <v>0</v>
      </c>
      <c r="BG128" s="290">
        <v>2328</v>
      </c>
      <c r="BH128" s="290">
        <v>500</v>
      </c>
      <c r="BI128" s="290">
        <v>678</v>
      </c>
      <c r="BJ128" s="290">
        <v>33</v>
      </c>
      <c r="BK128" s="290">
        <v>107</v>
      </c>
      <c r="BL128" s="290">
        <v>0</v>
      </c>
      <c r="BM128" s="290">
        <v>0</v>
      </c>
      <c r="BN128" s="290">
        <v>67</v>
      </c>
      <c r="BO128" s="290">
        <v>-25</v>
      </c>
      <c r="BP128" s="290">
        <v>263</v>
      </c>
      <c r="BQ128" s="290">
        <v>526</v>
      </c>
      <c r="BR128" s="290">
        <v>398</v>
      </c>
      <c r="BS128" s="290">
        <v>51</v>
      </c>
      <c r="BT128" s="290">
        <v>0</v>
      </c>
      <c r="BU128" s="290">
        <v>0</v>
      </c>
      <c r="BV128" s="290">
        <v>62</v>
      </c>
      <c r="BW128" s="290">
        <v>0</v>
      </c>
      <c r="BX128" s="290">
        <v>0</v>
      </c>
      <c r="BY128" s="290">
        <v>320</v>
      </c>
      <c r="BZ128" s="290">
        <v>800</v>
      </c>
      <c r="CA128" s="290">
        <v>154.58500000000001</v>
      </c>
      <c r="CB128" s="290">
        <v>35</v>
      </c>
      <c r="CC128" s="290">
        <v>0</v>
      </c>
      <c r="CD128" s="290">
        <v>61</v>
      </c>
      <c r="CE128" s="290">
        <v>76393.837</v>
      </c>
      <c r="CF128" s="290">
        <v>0</v>
      </c>
      <c r="CG128" s="290">
        <v>0</v>
      </c>
      <c r="CH128" s="290">
        <v>0</v>
      </c>
      <c r="CI128" s="290">
        <v>0</v>
      </c>
      <c r="CJ128" s="290"/>
    </row>
    <row r="129" spans="1:88" ht="13">
      <c r="A129" s="1">
        <v>3038</v>
      </c>
      <c r="B129" s="2" t="s">
        <v>874</v>
      </c>
      <c r="C129" s="289">
        <v>6811</v>
      </c>
      <c r="D129" s="290">
        <v>115</v>
      </c>
      <c r="E129" s="290">
        <v>327</v>
      </c>
      <c r="F129" s="290">
        <v>909</v>
      </c>
      <c r="G129" s="290">
        <v>515</v>
      </c>
      <c r="H129" s="290">
        <v>3834</v>
      </c>
      <c r="I129" s="290">
        <v>816</v>
      </c>
      <c r="J129" s="290">
        <v>227</v>
      </c>
      <c r="K129" s="290">
        <v>61</v>
      </c>
      <c r="L129" s="290">
        <v>50</v>
      </c>
      <c r="M129" s="290">
        <v>473</v>
      </c>
      <c r="N129" s="290">
        <v>106</v>
      </c>
      <c r="O129" s="290">
        <v>47</v>
      </c>
      <c r="P129" s="624">
        <v>31470.281999999999</v>
      </c>
      <c r="Q129" s="624">
        <v>20781.782666669998</v>
      </c>
      <c r="R129" s="1039">
        <v>17</v>
      </c>
      <c r="S129" s="290">
        <v>0</v>
      </c>
      <c r="T129" s="290">
        <v>506</v>
      </c>
      <c r="U129" s="958">
        <v>1.6579434177059328E-3</v>
      </c>
      <c r="V129" s="290">
        <v>-1287.50295338</v>
      </c>
      <c r="W129" s="765">
        <v>0.61619128999999995</v>
      </c>
      <c r="X129" s="290">
        <v>750</v>
      </c>
      <c r="Y129" s="290"/>
      <c r="Z129" s="290">
        <v>269566.239</v>
      </c>
      <c r="AA129" s="290">
        <v>0</v>
      </c>
      <c r="AB129" s="290">
        <v>107</v>
      </c>
      <c r="AC129" s="290">
        <v>386</v>
      </c>
      <c r="AD129" s="290">
        <v>136</v>
      </c>
      <c r="AE129" s="290">
        <v>0</v>
      </c>
      <c r="AF129" s="290">
        <v>0</v>
      </c>
      <c r="AG129" s="290">
        <v>6804</v>
      </c>
      <c r="AH129" s="290">
        <v>1241</v>
      </c>
      <c r="AI129" s="290">
        <v>0</v>
      </c>
      <c r="AJ129" s="290">
        <v>0</v>
      </c>
      <c r="AK129" s="290">
        <v>0</v>
      </c>
      <c r="AL129" s="290">
        <v>0</v>
      </c>
      <c r="AM129" s="957">
        <v>0.13316533</v>
      </c>
      <c r="AN129" s="290">
        <v>0</v>
      </c>
      <c r="AO129" s="290">
        <v>-1786.9636343100001</v>
      </c>
      <c r="AP129" s="290">
        <v>0</v>
      </c>
      <c r="AQ129" s="290">
        <v>0</v>
      </c>
      <c r="AR129" s="290">
        <v>-256.96320622000002</v>
      </c>
      <c r="AS129" s="290">
        <v>565.54250000000002</v>
      </c>
      <c r="AT129" s="290">
        <v>363</v>
      </c>
      <c r="AU129" s="290">
        <v>61</v>
      </c>
      <c r="AV129" s="766">
        <v>193368</v>
      </c>
      <c r="AW129" s="290">
        <v>2500</v>
      </c>
      <c r="AX129" s="766">
        <v>45.25</v>
      </c>
      <c r="AY129" s="290">
        <v>2022</v>
      </c>
      <c r="AZ129" s="290">
        <v>278</v>
      </c>
      <c r="BA129" s="290">
        <v>126</v>
      </c>
      <c r="BB129" s="290">
        <v>0</v>
      </c>
      <c r="BC129" s="290">
        <v>10353.22710833</v>
      </c>
      <c r="BD129" s="290"/>
      <c r="BE129" s="290">
        <v>180119.23108527</v>
      </c>
      <c r="BF129" s="290">
        <v>0</v>
      </c>
      <c r="BG129" s="290">
        <v>5570</v>
      </c>
      <c r="BH129" s="290">
        <v>1000</v>
      </c>
      <c r="BI129" s="290">
        <v>1763</v>
      </c>
      <c r="BJ129" s="290">
        <v>88</v>
      </c>
      <c r="BK129" s="290">
        <v>293</v>
      </c>
      <c r="BL129" s="290">
        <v>0</v>
      </c>
      <c r="BM129" s="290">
        <v>0</v>
      </c>
      <c r="BN129" s="290">
        <v>183</v>
      </c>
      <c r="BO129" s="290">
        <v>-49</v>
      </c>
      <c r="BP129" s="290">
        <v>632</v>
      </c>
      <c r="BQ129" s="290">
        <v>1263</v>
      </c>
      <c r="BR129" s="290">
        <v>956</v>
      </c>
      <c r="BS129" s="290">
        <v>102</v>
      </c>
      <c r="BT129" s="290">
        <v>0</v>
      </c>
      <c r="BU129" s="290">
        <v>0</v>
      </c>
      <c r="BV129" s="290">
        <v>168</v>
      </c>
      <c r="BW129" s="290">
        <v>0</v>
      </c>
      <c r="BX129" s="290">
        <v>0</v>
      </c>
      <c r="BY129" s="290">
        <v>695</v>
      </c>
      <c r="BZ129" s="290">
        <v>1500</v>
      </c>
      <c r="CA129" s="290">
        <v>341.322</v>
      </c>
      <c r="CB129" s="290">
        <v>67</v>
      </c>
      <c r="CC129" s="290">
        <v>0</v>
      </c>
      <c r="CD129" s="290">
        <v>121</v>
      </c>
      <c r="CE129" s="290">
        <v>269566.239</v>
      </c>
      <c r="CF129" s="290">
        <v>0</v>
      </c>
      <c r="CG129" s="290">
        <v>0</v>
      </c>
      <c r="CH129" s="290">
        <v>0</v>
      </c>
      <c r="CI129" s="290">
        <v>0</v>
      </c>
      <c r="CJ129" s="290"/>
    </row>
    <row r="130" spans="1:88" ht="13">
      <c r="A130" s="1">
        <v>3039</v>
      </c>
      <c r="B130" s="2" t="s">
        <v>875</v>
      </c>
      <c r="C130" s="289">
        <v>1049</v>
      </c>
      <c r="D130" s="290">
        <v>11</v>
      </c>
      <c r="E130" s="290">
        <v>34</v>
      </c>
      <c r="F130" s="290">
        <v>105</v>
      </c>
      <c r="G130" s="290">
        <v>84</v>
      </c>
      <c r="H130" s="290">
        <v>574</v>
      </c>
      <c r="I130" s="290">
        <v>157</v>
      </c>
      <c r="J130" s="290">
        <v>59</v>
      </c>
      <c r="K130" s="290">
        <v>22</v>
      </c>
      <c r="L130" s="290">
        <v>9</v>
      </c>
      <c r="M130" s="290">
        <v>125</v>
      </c>
      <c r="N130" s="290">
        <v>13</v>
      </c>
      <c r="O130" s="290">
        <v>28</v>
      </c>
      <c r="P130" s="624">
        <v>5642.63</v>
      </c>
      <c r="Q130" s="624">
        <v>4051.5520000000001</v>
      </c>
      <c r="R130" s="1039">
        <v>2</v>
      </c>
      <c r="S130" s="290">
        <v>0</v>
      </c>
      <c r="T130" s="290">
        <v>106</v>
      </c>
      <c r="U130" s="958">
        <v>9.0230212416738786E-4</v>
      </c>
      <c r="V130" s="290">
        <v>726.01937362000001</v>
      </c>
      <c r="W130" s="765">
        <v>1</v>
      </c>
      <c r="X130" s="290">
        <v>0</v>
      </c>
      <c r="Y130" s="290"/>
      <c r="Z130" s="290">
        <v>42241.775000000001</v>
      </c>
      <c r="AA130" s="290">
        <v>0</v>
      </c>
      <c r="AB130" s="290">
        <v>28</v>
      </c>
      <c r="AC130" s="290">
        <v>60</v>
      </c>
      <c r="AD130" s="290">
        <v>37</v>
      </c>
      <c r="AE130" s="290">
        <v>0</v>
      </c>
      <c r="AF130" s="290">
        <v>0</v>
      </c>
      <c r="AG130" s="290">
        <v>1046</v>
      </c>
      <c r="AH130" s="290">
        <v>146</v>
      </c>
      <c r="AI130" s="290">
        <v>0</v>
      </c>
      <c r="AJ130" s="290">
        <v>0</v>
      </c>
      <c r="AK130" s="290">
        <v>0</v>
      </c>
      <c r="AL130" s="290">
        <v>0</v>
      </c>
      <c r="AM130" s="957">
        <v>1.4040820000000001E-2</v>
      </c>
      <c r="AN130" s="290">
        <v>0</v>
      </c>
      <c r="AO130" s="290">
        <v>-363.39914615999999</v>
      </c>
      <c r="AP130" s="290">
        <v>0</v>
      </c>
      <c r="AQ130" s="290">
        <v>0</v>
      </c>
      <c r="AR130" s="290">
        <v>253.41391272000001</v>
      </c>
      <c r="AS130" s="290">
        <v>105.5625</v>
      </c>
      <c r="AT130" s="290">
        <v>43</v>
      </c>
      <c r="AU130" s="290">
        <v>6</v>
      </c>
      <c r="AV130" s="766">
        <v>54519</v>
      </c>
      <c r="AW130" s="290">
        <v>600</v>
      </c>
      <c r="AX130" s="766">
        <v>3.4999500000000001</v>
      </c>
      <c r="AY130" s="290">
        <v>169</v>
      </c>
      <c r="AZ130" s="290">
        <v>60</v>
      </c>
      <c r="BA130" s="290">
        <v>30</v>
      </c>
      <c r="BB130" s="290">
        <v>3017</v>
      </c>
      <c r="BC130" s="290">
        <v>2618.9207186899998</v>
      </c>
      <c r="BD130" s="290"/>
      <c r="BE130" s="290">
        <v>51021.88141953</v>
      </c>
      <c r="BF130" s="290">
        <v>0</v>
      </c>
      <c r="BG130" s="290">
        <v>856</v>
      </c>
      <c r="BH130" s="290">
        <v>500</v>
      </c>
      <c r="BI130" s="290">
        <v>243</v>
      </c>
      <c r="BJ130" s="290">
        <v>13</v>
      </c>
      <c r="BK130" s="290">
        <v>29</v>
      </c>
      <c r="BL130" s="290">
        <v>0</v>
      </c>
      <c r="BM130" s="290">
        <v>0</v>
      </c>
      <c r="BN130" s="290">
        <v>18</v>
      </c>
      <c r="BO130" s="290">
        <v>-9</v>
      </c>
      <c r="BP130" s="290">
        <v>97</v>
      </c>
      <c r="BQ130" s="290">
        <v>195</v>
      </c>
      <c r="BR130" s="290">
        <v>147</v>
      </c>
      <c r="BS130" s="290">
        <v>28</v>
      </c>
      <c r="BT130" s="290">
        <v>0</v>
      </c>
      <c r="BU130" s="290">
        <v>0</v>
      </c>
      <c r="BV130" s="290">
        <v>17</v>
      </c>
      <c r="BW130" s="290">
        <v>0</v>
      </c>
      <c r="BX130" s="290">
        <v>0</v>
      </c>
      <c r="BY130" s="290">
        <v>122</v>
      </c>
      <c r="BZ130" s="290">
        <v>300</v>
      </c>
      <c r="CA130" s="290">
        <v>69.7</v>
      </c>
      <c r="CB130" s="290">
        <v>23</v>
      </c>
      <c r="CC130" s="290">
        <v>0</v>
      </c>
      <c r="CD130" s="290">
        <v>21</v>
      </c>
      <c r="CE130" s="290">
        <v>42241.775000000001</v>
      </c>
      <c r="CF130" s="290">
        <v>0</v>
      </c>
      <c r="CG130" s="290">
        <v>0</v>
      </c>
      <c r="CH130" s="290">
        <v>0</v>
      </c>
      <c r="CI130" s="290">
        <v>0</v>
      </c>
      <c r="CJ130" s="290"/>
    </row>
    <row r="131" spans="1:88" ht="13">
      <c r="A131" s="1">
        <v>3040</v>
      </c>
      <c r="B131" s="2" t="s">
        <v>1966</v>
      </c>
      <c r="C131" s="289">
        <v>3262</v>
      </c>
      <c r="D131" s="290">
        <v>39</v>
      </c>
      <c r="E131" s="290">
        <v>104</v>
      </c>
      <c r="F131" s="290">
        <v>325</v>
      </c>
      <c r="G131" s="290">
        <v>249</v>
      </c>
      <c r="H131" s="290">
        <v>1785</v>
      </c>
      <c r="I131" s="290">
        <v>531</v>
      </c>
      <c r="J131" s="290">
        <v>171</v>
      </c>
      <c r="K131" s="290">
        <v>56</v>
      </c>
      <c r="L131" s="290">
        <v>23</v>
      </c>
      <c r="M131" s="290">
        <v>302</v>
      </c>
      <c r="N131" s="290">
        <v>38</v>
      </c>
      <c r="O131" s="290">
        <v>35</v>
      </c>
      <c r="P131" s="624">
        <v>13442.93366667</v>
      </c>
      <c r="Q131" s="624">
        <v>10711.5</v>
      </c>
      <c r="R131" s="1039">
        <v>24</v>
      </c>
      <c r="S131" s="290">
        <v>0</v>
      </c>
      <c r="T131" s="290">
        <v>335</v>
      </c>
      <c r="U131" s="958">
        <v>2.3386380468215749E-3</v>
      </c>
      <c r="V131" s="290">
        <v>1869.7663661500001</v>
      </c>
      <c r="W131" s="765">
        <v>0.74695513000000002</v>
      </c>
      <c r="X131" s="290">
        <v>1000</v>
      </c>
      <c r="Y131" s="290"/>
      <c r="Z131" s="290">
        <v>121501.198</v>
      </c>
      <c r="AA131" s="290">
        <v>0</v>
      </c>
      <c r="AB131" s="290">
        <v>87</v>
      </c>
      <c r="AC131" s="290">
        <v>149</v>
      </c>
      <c r="AD131" s="290">
        <v>77</v>
      </c>
      <c r="AE131" s="290">
        <v>0</v>
      </c>
      <c r="AF131" s="290">
        <v>0</v>
      </c>
      <c r="AG131" s="290">
        <v>3260</v>
      </c>
      <c r="AH131" s="290">
        <v>455</v>
      </c>
      <c r="AI131" s="290">
        <v>3500</v>
      </c>
      <c r="AJ131" s="290">
        <v>0</v>
      </c>
      <c r="AK131" s="290">
        <v>0</v>
      </c>
      <c r="AL131" s="290">
        <v>0</v>
      </c>
      <c r="AM131" s="957">
        <v>3.371557E-2</v>
      </c>
      <c r="AN131" s="290">
        <v>5179</v>
      </c>
      <c r="AO131" s="290">
        <v>-935.88618385999996</v>
      </c>
      <c r="AP131" s="290">
        <v>0</v>
      </c>
      <c r="AQ131" s="290">
        <v>0</v>
      </c>
      <c r="AR131" s="290">
        <v>-123.11876135999999</v>
      </c>
      <c r="AS131" s="290">
        <v>249.8955</v>
      </c>
      <c r="AT131" s="290">
        <v>147</v>
      </c>
      <c r="AU131" s="290">
        <v>21</v>
      </c>
      <c r="AV131" s="766">
        <v>115941</v>
      </c>
      <c r="AW131" s="290">
        <v>1400</v>
      </c>
      <c r="AX131" s="766">
        <v>15.00005</v>
      </c>
      <c r="AY131" s="290">
        <v>618</v>
      </c>
      <c r="AZ131" s="290">
        <v>117</v>
      </c>
      <c r="BA131" s="290">
        <v>53</v>
      </c>
      <c r="BB131" s="290">
        <v>0</v>
      </c>
      <c r="BC131" s="290">
        <v>4906.6523424999996</v>
      </c>
      <c r="BD131" s="290"/>
      <c r="BE131" s="290">
        <v>111997.93795489</v>
      </c>
      <c r="BF131" s="290">
        <v>0</v>
      </c>
      <c r="BG131" s="290">
        <v>2669</v>
      </c>
      <c r="BH131" s="290">
        <v>1000</v>
      </c>
      <c r="BI131" s="290">
        <v>681</v>
      </c>
      <c r="BJ131" s="290">
        <v>39</v>
      </c>
      <c r="BK131" s="290">
        <v>93</v>
      </c>
      <c r="BL131" s="290">
        <v>0</v>
      </c>
      <c r="BM131" s="290">
        <v>0</v>
      </c>
      <c r="BN131" s="290">
        <v>58</v>
      </c>
      <c r="BO131" s="290">
        <v>-26</v>
      </c>
      <c r="BP131" s="290">
        <v>303</v>
      </c>
      <c r="BQ131" s="290">
        <v>605</v>
      </c>
      <c r="BR131" s="290">
        <v>458</v>
      </c>
      <c r="BS131" s="290">
        <v>57</v>
      </c>
      <c r="BT131" s="290">
        <v>0</v>
      </c>
      <c r="BU131" s="290">
        <v>0</v>
      </c>
      <c r="BV131" s="290">
        <v>53</v>
      </c>
      <c r="BW131" s="290">
        <v>0</v>
      </c>
      <c r="BX131" s="290">
        <v>0</v>
      </c>
      <c r="BY131" s="290">
        <v>418</v>
      </c>
      <c r="BZ131" s="290">
        <v>1700</v>
      </c>
      <c r="CA131" s="290">
        <v>424.29999999999995</v>
      </c>
      <c r="CB131" s="290">
        <v>38</v>
      </c>
      <c r="CC131" s="290">
        <v>0</v>
      </c>
      <c r="CD131" s="290">
        <v>64</v>
      </c>
      <c r="CE131" s="290">
        <v>121501.198</v>
      </c>
      <c r="CF131" s="290">
        <v>0</v>
      </c>
      <c r="CG131" s="290">
        <v>0</v>
      </c>
      <c r="CH131" s="290">
        <v>0</v>
      </c>
      <c r="CI131" s="290">
        <v>0</v>
      </c>
      <c r="CJ131" s="290"/>
    </row>
    <row r="132" spans="1:88" ht="13">
      <c r="A132" s="1">
        <v>3041</v>
      </c>
      <c r="B132" s="2" t="s">
        <v>876</v>
      </c>
      <c r="C132" s="289">
        <v>4636</v>
      </c>
      <c r="D132" s="290">
        <v>78</v>
      </c>
      <c r="E132" s="290">
        <v>174</v>
      </c>
      <c r="F132" s="290">
        <v>480</v>
      </c>
      <c r="G132" s="290">
        <v>405</v>
      </c>
      <c r="H132" s="290">
        <v>2552</v>
      </c>
      <c r="I132" s="290">
        <v>634</v>
      </c>
      <c r="J132" s="290">
        <v>227</v>
      </c>
      <c r="K132" s="290">
        <v>66</v>
      </c>
      <c r="L132" s="290">
        <v>33</v>
      </c>
      <c r="M132" s="290">
        <v>431</v>
      </c>
      <c r="N132" s="290">
        <v>133</v>
      </c>
      <c r="O132" s="290">
        <v>62</v>
      </c>
      <c r="P132" s="624">
        <v>12477.749333330001</v>
      </c>
      <c r="Q132" s="624">
        <v>13086.438666669999</v>
      </c>
      <c r="R132" s="1039">
        <v>32</v>
      </c>
      <c r="S132" s="290">
        <v>0</v>
      </c>
      <c r="T132" s="290">
        <v>510</v>
      </c>
      <c r="U132" s="958">
        <v>2.4830209655135925E-3</v>
      </c>
      <c r="V132" s="290">
        <v>2590.71891895</v>
      </c>
      <c r="W132" s="765">
        <v>0.66074555000000001</v>
      </c>
      <c r="X132" s="290">
        <v>1300</v>
      </c>
      <c r="Y132" s="290"/>
      <c r="Z132" s="290">
        <v>165340.489</v>
      </c>
      <c r="AA132" s="290">
        <v>0</v>
      </c>
      <c r="AB132" s="290">
        <v>101</v>
      </c>
      <c r="AC132" s="290">
        <v>214</v>
      </c>
      <c r="AD132" s="290">
        <v>98</v>
      </c>
      <c r="AE132" s="290">
        <v>0</v>
      </c>
      <c r="AF132" s="290">
        <v>0</v>
      </c>
      <c r="AG132" s="290">
        <v>4616</v>
      </c>
      <c r="AH132" s="290">
        <v>713</v>
      </c>
      <c r="AI132" s="290">
        <v>0</v>
      </c>
      <c r="AJ132" s="290">
        <v>0</v>
      </c>
      <c r="AK132" s="290">
        <v>0</v>
      </c>
      <c r="AL132" s="290">
        <v>0</v>
      </c>
      <c r="AM132" s="957">
        <v>5.2823050000000003E-2</v>
      </c>
      <c r="AN132" s="290">
        <v>2702</v>
      </c>
      <c r="AO132" s="290">
        <v>-1296.74920161</v>
      </c>
      <c r="AP132" s="290">
        <v>0</v>
      </c>
      <c r="AQ132" s="290">
        <v>0</v>
      </c>
      <c r="AR132" s="290">
        <v>-174.33012343999999</v>
      </c>
      <c r="AS132" s="290">
        <v>367.97750000000002</v>
      </c>
      <c r="AT132" s="290">
        <v>247</v>
      </c>
      <c r="AU132" s="290">
        <v>19</v>
      </c>
      <c r="AV132" s="766">
        <v>156799</v>
      </c>
      <c r="AW132" s="290">
        <v>1400</v>
      </c>
      <c r="AX132" s="766">
        <v>32.083350000000003</v>
      </c>
      <c r="AY132" s="290">
        <v>825</v>
      </c>
      <c r="AZ132" s="290">
        <v>239</v>
      </c>
      <c r="BA132" s="290">
        <v>84</v>
      </c>
      <c r="BB132" s="290">
        <v>0</v>
      </c>
      <c r="BC132" s="290">
        <v>6830.0171248300003</v>
      </c>
      <c r="BD132" s="290"/>
      <c r="BE132" s="290">
        <v>147580.49637077999</v>
      </c>
      <c r="BF132" s="290">
        <v>0</v>
      </c>
      <c r="BG132" s="290">
        <v>3779</v>
      </c>
      <c r="BH132" s="290">
        <v>1000</v>
      </c>
      <c r="BI132" s="290">
        <v>1025</v>
      </c>
      <c r="BJ132" s="290">
        <v>55</v>
      </c>
      <c r="BK132" s="290">
        <v>156</v>
      </c>
      <c r="BL132" s="290">
        <v>0</v>
      </c>
      <c r="BM132" s="290">
        <v>0</v>
      </c>
      <c r="BN132" s="290">
        <v>98</v>
      </c>
      <c r="BO132" s="290">
        <v>-41</v>
      </c>
      <c r="BP132" s="290">
        <v>430</v>
      </c>
      <c r="BQ132" s="290">
        <v>860</v>
      </c>
      <c r="BR132" s="290">
        <v>651</v>
      </c>
      <c r="BS132" s="290">
        <v>74</v>
      </c>
      <c r="BT132" s="290">
        <v>0</v>
      </c>
      <c r="BU132" s="290">
        <v>0</v>
      </c>
      <c r="BV132" s="290">
        <v>90</v>
      </c>
      <c r="BW132" s="290">
        <v>0</v>
      </c>
      <c r="BX132" s="290">
        <v>0</v>
      </c>
      <c r="BY132" s="290">
        <v>531</v>
      </c>
      <c r="BZ132" s="290">
        <v>1200</v>
      </c>
      <c r="CA132" s="290">
        <v>247.68799999999999</v>
      </c>
      <c r="CB132" s="290">
        <v>49</v>
      </c>
      <c r="CC132" s="290">
        <v>0</v>
      </c>
      <c r="CD132" s="290">
        <v>102</v>
      </c>
      <c r="CE132" s="290">
        <v>165340.489</v>
      </c>
      <c r="CF132" s="290">
        <v>0</v>
      </c>
      <c r="CG132" s="290">
        <v>0</v>
      </c>
      <c r="CH132" s="290">
        <v>0</v>
      </c>
      <c r="CI132" s="290">
        <v>0</v>
      </c>
      <c r="CJ132" s="290"/>
    </row>
    <row r="133" spans="1:88" ht="13">
      <c r="A133" s="1">
        <v>3042</v>
      </c>
      <c r="B133" s="2" t="s">
        <v>877</v>
      </c>
      <c r="C133" s="289">
        <v>2546</v>
      </c>
      <c r="D133" s="290">
        <v>60</v>
      </c>
      <c r="E133" s="290">
        <v>108</v>
      </c>
      <c r="F133" s="290">
        <v>298</v>
      </c>
      <c r="G133" s="290">
        <v>191</v>
      </c>
      <c r="H133" s="290">
        <v>1485</v>
      </c>
      <c r="I133" s="290">
        <v>239</v>
      </c>
      <c r="J133" s="290">
        <v>92</v>
      </c>
      <c r="K133" s="290">
        <v>19</v>
      </c>
      <c r="L133" s="290">
        <v>14</v>
      </c>
      <c r="M133" s="290">
        <v>150</v>
      </c>
      <c r="N133" s="290">
        <v>24</v>
      </c>
      <c r="O133" s="290">
        <v>37</v>
      </c>
      <c r="P133" s="624">
        <v>9815.0143333300002</v>
      </c>
      <c r="Q133" s="624">
        <v>11537.231</v>
      </c>
      <c r="R133" s="1039">
        <v>7</v>
      </c>
      <c r="S133" s="290">
        <v>0</v>
      </c>
      <c r="T133" s="290">
        <v>271</v>
      </c>
      <c r="U133" s="958">
        <v>1.6203724192097267E-3</v>
      </c>
      <c r="V133" s="290">
        <v>1372.1139876</v>
      </c>
      <c r="W133" s="765">
        <v>0.91610568999999997</v>
      </c>
      <c r="X133" s="290">
        <v>0</v>
      </c>
      <c r="Y133" s="290"/>
      <c r="Z133" s="290">
        <v>109594.95699999999</v>
      </c>
      <c r="AA133" s="290">
        <v>0</v>
      </c>
      <c r="AB133" s="290">
        <v>36</v>
      </c>
      <c r="AC133" s="290">
        <v>141</v>
      </c>
      <c r="AD133" s="290">
        <v>61</v>
      </c>
      <c r="AE133" s="290">
        <v>0</v>
      </c>
      <c r="AF133" s="290">
        <v>0</v>
      </c>
      <c r="AG133" s="290">
        <v>2492</v>
      </c>
      <c r="AH133" s="290">
        <v>427</v>
      </c>
      <c r="AI133" s="290">
        <v>0</v>
      </c>
      <c r="AJ133" s="290">
        <v>0</v>
      </c>
      <c r="AK133" s="290">
        <v>0</v>
      </c>
      <c r="AL133" s="290">
        <v>0</v>
      </c>
      <c r="AM133" s="957">
        <v>4.4891779999999999E-2</v>
      </c>
      <c r="AN133" s="290">
        <v>0</v>
      </c>
      <c r="AO133" s="290">
        <v>-686.79303837999998</v>
      </c>
      <c r="AP133" s="290">
        <v>0</v>
      </c>
      <c r="AQ133" s="290">
        <v>0</v>
      </c>
      <c r="AR133" s="290">
        <v>3684.2394545100001</v>
      </c>
      <c r="AS133" s="290">
        <v>225.85749999999999</v>
      </c>
      <c r="AT133" s="290">
        <v>120</v>
      </c>
      <c r="AU133" s="290">
        <v>17</v>
      </c>
      <c r="AV133" s="766">
        <v>86760</v>
      </c>
      <c r="AW133" s="290">
        <v>900</v>
      </c>
      <c r="AX133" s="766">
        <v>22.124949999999998</v>
      </c>
      <c r="AY133" s="290">
        <v>576</v>
      </c>
      <c r="AZ133" s="290">
        <v>136</v>
      </c>
      <c r="BA133" s="290">
        <v>43</v>
      </c>
      <c r="BB133" s="290">
        <v>3017</v>
      </c>
      <c r="BC133" s="290">
        <v>4135.38135521</v>
      </c>
      <c r="BD133" s="290"/>
      <c r="BE133" s="290">
        <v>77655.29959948</v>
      </c>
      <c r="BF133" s="290">
        <v>0</v>
      </c>
      <c r="BG133" s="290">
        <v>2040</v>
      </c>
      <c r="BH133" s="290">
        <v>500</v>
      </c>
      <c r="BI133" s="290">
        <v>629</v>
      </c>
      <c r="BJ133" s="290">
        <v>32</v>
      </c>
      <c r="BK133" s="290">
        <v>99</v>
      </c>
      <c r="BL133" s="290">
        <v>0</v>
      </c>
      <c r="BM133" s="290">
        <v>0</v>
      </c>
      <c r="BN133" s="290">
        <v>62</v>
      </c>
      <c r="BO133" s="290">
        <v>-20</v>
      </c>
      <c r="BP133" s="290">
        <v>236</v>
      </c>
      <c r="BQ133" s="290">
        <v>472</v>
      </c>
      <c r="BR133" s="290">
        <v>357</v>
      </c>
      <c r="BS133" s="290">
        <v>45</v>
      </c>
      <c r="BT133" s="290">
        <v>0</v>
      </c>
      <c r="BU133" s="290">
        <v>0</v>
      </c>
      <c r="BV133" s="290">
        <v>57</v>
      </c>
      <c r="BW133" s="290">
        <v>0</v>
      </c>
      <c r="BX133" s="290">
        <v>0</v>
      </c>
      <c r="BY133" s="290">
        <v>226</v>
      </c>
      <c r="BZ133" s="290">
        <v>1400</v>
      </c>
      <c r="CA133" s="290">
        <v>416.4</v>
      </c>
      <c r="CB133" s="290">
        <v>34</v>
      </c>
      <c r="CC133" s="290">
        <v>0</v>
      </c>
      <c r="CD133" s="290">
        <v>50</v>
      </c>
      <c r="CE133" s="290">
        <v>109594.95699999999</v>
      </c>
      <c r="CF133" s="290">
        <v>0</v>
      </c>
      <c r="CG133" s="290">
        <v>0</v>
      </c>
      <c r="CH133" s="290">
        <v>0</v>
      </c>
      <c r="CI133" s="290">
        <v>0</v>
      </c>
      <c r="CJ133" s="290"/>
    </row>
    <row r="134" spans="1:88" ht="13">
      <c r="A134" s="1">
        <v>3043</v>
      </c>
      <c r="B134" s="2" t="s">
        <v>878</v>
      </c>
      <c r="C134" s="289">
        <v>4648</v>
      </c>
      <c r="D134" s="290">
        <v>82</v>
      </c>
      <c r="E134" s="290">
        <v>154</v>
      </c>
      <c r="F134" s="290">
        <v>566</v>
      </c>
      <c r="G134" s="290">
        <v>427</v>
      </c>
      <c r="H134" s="290">
        <v>2492</v>
      </c>
      <c r="I134" s="290">
        <v>656</v>
      </c>
      <c r="J134" s="290">
        <v>241</v>
      </c>
      <c r="K134" s="290">
        <v>70</v>
      </c>
      <c r="L134" s="290">
        <v>31</v>
      </c>
      <c r="M134" s="290">
        <v>438</v>
      </c>
      <c r="N134" s="290">
        <v>56</v>
      </c>
      <c r="O134" s="290">
        <v>46</v>
      </c>
      <c r="P134" s="624">
        <v>31997.392</v>
      </c>
      <c r="Q134" s="624">
        <v>17274.162333330001</v>
      </c>
      <c r="R134" s="1039">
        <v>16</v>
      </c>
      <c r="S134" s="290">
        <v>0</v>
      </c>
      <c r="T134" s="290">
        <v>431</v>
      </c>
      <c r="U134" s="958">
        <v>3.6743071987993588E-3</v>
      </c>
      <c r="V134" s="290">
        <v>2567.9521304099999</v>
      </c>
      <c r="W134" s="765">
        <v>0.71744037000000005</v>
      </c>
      <c r="X134" s="290">
        <v>1200</v>
      </c>
      <c r="Y134" s="290"/>
      <c r="Z134" s="290">
        <v>161228.834</v>
      </c>
      <c r="AA134" s="290">
        <v>0</v>
      </c>
      <c r="AB134" s="290">
        <v>76</v>
      </c>
      <c r="AC134" s="290">
        <v>252</v>
      </c>
      <c r="AD134" s="290">
        <v>106</v>
      </c>
      <c r="AE134" s="290">
        <v>0</v>
      </c>
      <c r="AF134" s="290">
        <v>0</v>
      </c>
      <c r="AG134" s="290">
        <v>4688</v>
      </c>
      <c r="AH134" s="290">
        <v>784</v>
      </c>
      <c r="AI134" s="290">
        <v>0</v>
      </c>
      <c r="AJ134" s="290">
        <v>0</v>
      </c>
      <c r="AK134" s="290">
        <v>0</v>
      </c>
      <c r="AL134" s="290">
        <v>0</v>
      </c>
      <c r="AM134" s="957">
        <v>2.780053E-2</v>
      </c>
      <c r="AN134" s="290">
        <v>4104</v>
      </c>
      <c r="AO134" s="290">
        <v>-1285.35359453</v>
      </c>
      <c r="AP134" s="290">
        <v>0</v>
      </c>
      <c r="AQ134" s="290">
        <v>0</v>
      </c>
      <c r="AR134" s="290">
        <v>7431.4166189400003</v>
      </c>
      <c r="AS134" s="290">
        <v>412.02249999999998</v>
      </c>
      <c r="AT134" s="290">
        <v>207</v>
      </c>
      <c r="AU134" s="290">
        <v>18</v>
      </c>
      <c r="AV134" s="766">
        <v>161838</v>
      </c>
      <c r="AW134" s="290">
        <v>1600</v>
      </c>
      <c r="AX134" s="766">
        <v>19.499949999999998</v>
      </c>
      <c r="AY134" s="290">
        <v>1002</v>
      </c>
      <c r="AZ134" s="290">
        <v>163</v>
      </c>
      <c r="BA134" s="290">
        <v>67</v>
      </c>
      <c r="BB134" s="290">
        <v>0</v>
      </c>
      <c r="BC134" s="290">
        <v>7346.9960903900001</v>
      </c>
      <c r="BD134" s="290"/>
      <c r="BE134" s="290">
        <v>144194.57268181999</v>
      </c>
      <c r="BF134" s="290">
        <v>0</v>
      </c>
      <c r="BG134" s="290">
        <v>3838</v>
      </c>
      <c r="BH134" s="290">
        <v>1000</v>
      </c>
      <c r="BI134" s="290">
        <v>1142</v>
      </c>
      <c r="BJ134" s="290">
        <v>56</v>
      </c>
      <c r="BK134" s="290">
        <v>138</v>
      </c>
      <c r="BL134" s="290">
        <v>0</v>
      </c>
      <c r="BM134" s="290">
        <v>0</v>
      </c>
      <c r="BN134" s="290">
        <v>86</v>
      </c>
      <c r="BO134" s="290">
        <v>-32</v>
      </c>
      <c r="BP134" s="290">
        <v>431</v>
      </c>
      <c r="BQ134" s="290">
        <v>862</v>
      </c>
      <c r="BR134" s="290">
        <v>653</v>
      </c>
      <c r="BS134" s="290">
        <v>79</v>
      </c>
      <c r="BT134" s="290">
        <v>0</v>
      </c>
      <c r="BU134" s="290">
        <v>0</v>
      </c>
      <c r="BV134" s="290">
        <v>79</v>
      </c>
      <c r="BW134" s="290">
        <v>0</v>
      </c>
      <c r="BX134" s="290">
        <v>0</v>
      </c>
      <c r="BY134" s="290">
        <v>561</v>
      </c>
      <c r="BZ134" s="290">
        <v>1900</v>
      </c>
      <c r="CA134" s="290">
        <v>358</v>
      </c>
      <c r="CB134" s="290">
        <v>50</v>
      </c>
      <c r="CC134" s="290">
        <v>0</v>
      </c>
      <c r="CD134" s="290">
        <v>80</v>
      </c>
      <c r="CE134" s="290">
        <v>161228.834</v>
      </c>
      <c r="CF134" s="290">
        <v>0</v>
      </c>
      <c r="CG134" s="290">
        <v>0</v>
      </c>
      <c r="CH134" s="290">
        <v>0</v>
      </c>
      <c r="CI134" s="290">
        <v>0</v>
      </c>
      <c r="CJ134" s="290"/>
    </row>
    <row r="135" spans="1:88" ht="13">
      <c r="A135" s="1">
        <v>3044</v>
      </c>
      <c r="B135" s="2" t="s">
        <v>880</v>
      </c>
      <c r="C135" s="289">
        <v>4434</v>
      </c>
      <c r="D135" s="290">
        <v>77</v>
      </c>
      <c r="E135" s="290">
        <v>163</v>
      </c>
      <c r="F135" s="290">
        <v>399</v>
      </c>
      <c r="G135" s="290">
        <v>355</v>
      </c>
      <c r="H135" s="290">
        <v>2516</v>
      </c>
      <c r="I135" s="290">
        <v>661</v>
      </c>
      <c r="J135" s="290">
        <v>191</v>
      </c>
      <c r="K135" s="290">
        <v>58</v>
      </c>
      <c r="L135" s="290">
        <v>35</v>
      </c>
      <c r="M135" s="290">
        <v>426</v>
      </c>
      <c r="N135" s="290">
        <v>46</v>
      </c>
      <c r="O135" s="290">
        <v>49</v>
      </c>
      <c r="P135" s="624">
        <v>31622.464</v>
      </c>
      <c r="Q135" s="624">
        <v>12462.28266667</v>
      </c>
      <c r="R135" s="1039">
        <v>13</v>
      </c>
      <c r="S135" s="290">
        <v>0</v>
      </c>
      <c r="T135" s="290">
        <v>470</v>
      </c>
      <c r="U135" s="958">
        <v>2.222430468176701E-3</v>
      </c>
      <c r="V135" s="290">
        <v>2282.68453718</v>
      </c>
      <c r="W135" s="765">
        <v>0.77518580000000004</v>
      </c>
      <c r="X135" s="290">
        <v>0</v>
      </c>
      <c r="Y135" s="290"/>
      <c r="Z135" s="290">
        <v>218809.16</v>
      </c>
      <c r="AA135" s="290">
        <v>0</v>
      </c>
      <c r="AB135" s="290">
        <v>74</v>
      </c>
      <c r="AC135" s="290">
        <v>186</v>
      </c>
      <c r="AD135" s="290">
        <v>98</v>
      </c>
      <c r="AE135" s="290">
        <v>0</v>
      </c>
      <c r="AF135" s="290">
        <v>0</v>
      </c>
      <c r="AG135" s="290">
        <v>4420</v>
      </c>
      <c r="AH135" s="290">
        <v>634</v>
      </c>
      <c r="AI135" s="290">
        <v>0</v>
      </c>
      <c r="AJ135" s="290">
        <v>0</v>
      </c>
      <c r="AK135" s="290">
        <v>0</v>
      </c>
      <c r="AL135" s="290">
        <v>0</v>
      </c>
      <c r="AM135" s="957">
        <v>2.629157E-2</v>
      </c>
      <c r="AN135" s="290">
        <v>0</v>
      </c>
      <c r="AO135" s="290">
        <v>-1142.5667715100001</v>
      </c>
      <c r="AP135" s="290">
        <v>0</v>
      </c>
      <c r="AQ135" s="290">
        <v>0</v>
      </c>
      <c r="AR135" s="290">
        <v>1785.75775552</v>
      </c>
      <c r="AS135" s="290">
        <v>329.71249999999998</v>
      </c>
      <c r="AT135" s="290">
        <v>207</v>
      </c>
      <c r="AU135" s="290">
        <v>15</v>
      </c>
      <c r="AV135" s="766">
        <v>125971</v>
      </c>
      <c r="AW135" s="290">
        <v>500</v>
      </c>
      <c r="AX135" s="766">
        <v>24.166650000000001</v>
      </c>
      <c r="AY135" s="290">
        <v>906</v>
      </c>
      <c r="AZ135" s="290">
        <v>167</v>
      </c>
      <c r="BA135" s="290">
        <v>69</v>
      </c>
      <c r="BB135" s="290">
        <v>0</v>
      </c>
      <c r="BC135" s="290">
        <v>6325.4693372499996</v>
      </c>
      <c r="BD135" s="290"/>
      <c r="BE135" s="290">
        <v>115387.51225062</v>
      </c>
      <c r="BF135" s="290">
        <v>0</v>
      </c>
      <c r="BG135" s="290">
        <v>3618</v>
      </c>
      <c r="BH135" s="290">
        <v>1000</v>
      </c>
      <c r="BI135" s="290">
        <v>918</v>
      </c>
      <c r="BJ135" s="290">
        <v>62</v>
      </c>
      <c r="BK135" s="290">
        <v>145</v>
      </c>
      <c r="BL135" s="290">
        <v>0</v>
      </c>
      <c r="BM135" s="290">
        <v>0</v>
      </c>
      <c r="BN135" s="290">
        <v>91</v>
      </c>
      <c r="BO135" s="290">
        <v>-33</v>
      </c>
      <c r="BP135" s="290">
        <v>411</v>
      </c>
      <c r="BQ135" s="290">
        <v>822</v>
      </c>
      <c r="BR135" s="290">
        <v>623</v>
      </c>
      <c r="BS135" s="290">
        <v>74</v>
      </c>
      <c r="BT135" s="290">
        <v>0</v>
      </c>
      <c r="BU135" s="290">
        <v>0</v>
      </c>
      <c r="BV135" s="290">
        <v>83</v>
      </c>
      <c r="BW135" s="290">
        <v>0</v>
      </c>
      <c r="BX135" s="290">
        <v>0</v>
      </c>
      <c r="BY135" s="290">
        <v>523</v>
      </c>
      <c r="BZ135" s="290">
        <v>1100</v>
      </c>
      <c r="CA135" s="290">
        <v>218.238</v>
      </c>
      <c r="CB135" s="290">
        <v>48</v>
      </c>
      <c r="CC135" s="290">
        <v>0</v>
      </c>
      <c r="CD135" s="290">
        <v>81</v>
      </c>
      <c r="CE135" s="290">
        <v>218809.16</v>
      </c>
      <c r="CF135" s="290">
        <v>0</v>
      </c>
      <c r="CG135" s="290">
        <v>0</v>
      </c>
      <c r="CH135" s="290">
        <v>0</v>
      </c>
      <c r="CI135" s="290">
        <v>0</v>
      </c>
      <c r="CJ135" s="290"/>
    </row>
    <row r="136" spans="1:88" ht="13">
      <c r="A136" s="1">
        <v>3045</v>
      </c>
      <c r="B136" s="2" t="s">
        <v>881</v>
      </c>
      <c r="C136" s="289">
        <v>3465</v>
      </c>
      <c r="D136" s="290">
        <v>45</v>
      </c>
      <c r="E136" s="290">
        <v>122</v>
      </c>
      <c r="F136" s="290">
        <v>391</v>
      </c>
      <c r="G136" s="290">
        <v>282</v>
      </c>
      <c r="H136" s="290">
        <v>1876</v>
      </c>
      <c r="I136" s="290">
        <v>544</v>
      </c>
      <c r="J136" s="290">
        <v>162</v>
      </c>
      <c r="K136" s="290">
        <v>50</v>
      </c>
      <c r="L136" s="290">
        <v>30</v>
      </c>
      <c r="M136" s="290">
        <v>383</v>
      </c>
      <c r="N136" s="290">
        <v>11</v>
      </c>
      <c r="O136" s="290">
        <v>45</v>
      </c>
      <c r="P136" s="624">
        <v>49006.014666670002</v>
      </c>
      <c r="Q136" s="624">
        <v>12726.673000000001</v>
      </c>
      <c r="R136" s="1039">
        <v>17</v>
      </c>
      <c r="S136" s="290">
        <v>0</v>
      </c>
      <c r="T136" s="290">
        <v>328</v>
      </c>
      <c r="U136" s="958">
        <v>3.7839178780071795E-3</v>
      </c>
      <c r="V136" s="290">
        <v>2032.1996426600001</v>
      </c>
      <c r="W136" s="765">
        <v>0.86330207000000003</v>
      </c>
      <c r="X136" s="290">
        <v>650</v>
      </c>
      <c r="Y136" s="290"/>
      <c r="Z136" s="290">
        <v>116506.826</v>
      </c>
      <c r="AA136" s="290">
        <v>0</v>
      </c>
      <c r="AB136" s="290">
        <v>64</v>
      </c>
      <c r="AC136" s="290">
        <v>193</v>
      </c>
      <c r="AD136" s="290">
        <v>87</v>
      </c>
      <c r="AE136" s="290">
        <v>0</v>
      </c>
      <c r="AF136" s="290">
        <v>0</v>
      </c>
      <c r="AG136" s="290">
        <v>3472</v>
      </c>
      <c r="AH136" s="290">
        <v>547</v>
      </c>
      <c r="AI136" s="290">
        <v>0</v>
      </c>
      <c r="AJ136" s="290">
        <v>0</v>
      </c>
      <c r="AK136" s="290">
        <v>0</v>
      </c>
      <c r="AL136" s="290">
        <v>0</v>
      </c>
      <c r="AM136" s="957">
        <v>6.9613709999999995E-2</v>
      </c>
      <c r="AN136" s="290">
        <v>0</v>
      </c>
      <c r="AO136" s="290">
        <v>-1017.18995637</v>
      </c>
      <c r="AP136" s="290">
        <v>0</v>
      </c>
      <c r="AQ136" s="290">
        <v>0</v>
      </c>
      <c r="AR136" s="290">
        <v>-131.12525749</v>
      </c>
      <c r="AS136" s="290">
        <v>312.78750000000002</v>
      </c>
      <c r="AT136" s="290">
        <v>201</v>
      </c>
      <c r="AU136" s="290">
        <v>23</v>
      </c>
      <c r="AV136" s="766">
        <v>123821</v>
      </c>
      <c r="AW136" s="290">
        <v>1500</v>
      </c>
      <c r="AX136" s="766">
        <v>1.83335</v>
      </c>
      <c r="AY136" s="290">
        <v>484</v>
      </c>
      <c r="AZ136" s="290">
        <v>181</v>
      </c>
      <c r="BA136" s="290">
        <v>48</v>
      </c>
      <c r="BB136" s="290">
        <v>0</v>
      </c>
      <c r="BC136" s="290">
        <v>5032.2321906999996</v>
      </c>
      <c r="BD136" s="290"/>
      <c r="BE136" s="290">
        <v>117995.74316416</v>
      </c>
      <c r="BF136" s="290">
        <v>0</v>
      </c>
      <c r="BG136" s="290">
        <v>2842</v>
      </c>
      <c r="BH136" s="290">
        <v>1000</v>
      </c>
      <c r="BI136" s="290">
        <v>827</v>
      </c>
      <c r="BJ136" s="290">
        <v>41</v>
      </c>
      <c r="BK136" s="290">
        <v>96</v>
      </c>
      <c r="BL136" s="290">
        <v>0</v>
      </c>
      <c r="BM136" s="290">
        <v>0</v>
      </c>
      <c r="BN136" s="290">
        <v>60</v>
      </c>
      <c r="BO136" s="290">
        <v>-26</v>
      </c>
      <c r="BP136" s="290">
        <v>321</v>
      </c>
      <c r="BQ136" s="290">
        <v>643</v>
      </c>
      <c r="BR136" s="290">
        <v>487</v>
      </c>
      <c r="BS136" s="290">
        <v>66</v>
      </c>
      <c r="BT136" s="290">
        <v>0</v>
      </c>
      <c r="BU136" s="290">
        <v>0</v>
      </c>
      <c r="BV136" s="290">
        <v>55</v>
      </c>
      <c r="BW136" s="290">
        <v>0</v>
      </c>
      <c r="BX136" s="290">
        <v>0</v>
      </c>
      <c r="BY136" s="290">
        <v>431</v>
      </c>
      <c r="BZ136" s="290">
        <v>700</v>
      </c>
      <c r="CA136" s="290">
        <v>194.29</v>
      </c>
      <c r="CB136" s="290">
        <v>42</v>
      </c>
      <c r="CC136" s="290">
        <v>0</v>
      </c>
      <c r="CD136" s="290">
        <v>63</v>
      </c>
      <c r="CE136" s="290">
        <v>116506.826</v>
      </c>
      <c r="CF136" s="290">
        <v>0</v>
      </c>
      <c r="CG136" s="290">
        <v>0</v>
      </c>
      <c r="CH136" s="290">
        <v>0</v>
      </c>
      <c r="CI136" s="290">
        <v>0</v>
      </c>
      <c r="CJ136" s="290"/>
    </row>
    <row r="137" spans="1:88" ht="13">
      <c r="A137" s="1">
        <v>3046</v>
      </c>
      <c r="B137" s="2" t="s">
        <v>882</v>
      </c>
      <c r="C137" s="289">
        <v>2219</v>
      </c>
      <c r="D137" s="290">
        <v>37</v>
      </c>
      <c r="E137" s="290">
        <v>99</v>
      </c>
      <c r="F137" s="290">
        <v>267</v>
      </c>
      <c r="G137" s="290">
        <v>138</v>
      </c>
      <c r="H137" s="290">
        <v>1251</v>
      </c>
      <c r="I137" s="290">
        <v>311</v>
      </c>
      <c r="J137" s="290">
        <v>90</v>
      </c>
      <c r="K137" s="290">
        <v>20</v>
      </c>
      <c r="L137" s="290">
        <v>19</v>
      </c>
      <c r="M137" s="290">
        <v>213</v>
      </c>
      <c r="N137" s="290">
        <v>12</v>
      </c>
      <c r="O137" s="290">
        <v>26</v>
      </c>
      <c r="P137" s="624">
        <v>25574.698333330001</v>
      </c>
      <c r="Q137" s="624">
        <v>9494.6913333299999</v>
      </c>
      <c r="R137" s="1039">
        <v>14</v>
      </c>
      <c r="S137" s="290">
        <v>0</v>
      </c>
      <c r="T137" s="290">
        <v>235</v>
      </c>
      <c r="U137" s="958">
        <v>1.2388631560290714E-3</v>
      </c>
      <c r="V137" s="290">
        <v>1365.10850899</v>
      </c>
      <c r="W137" s="765">
        <v>0.83073271000000004</v>
      </c>
      <c r="X137" s="290">
        <v>1000</v>
      </c>
      <c r="Y137" s="290"/>
      <c r="Z137" s="290">
        <v>88252.178</v>
      </c>
      <c r="AA137" s="290">
        <v>0</v>
      </c>
      <c r="AB137" s="290">
        <v>38</v>
      </c>
      <c r="AC137" s="290">
        <v>129</v>
      </c>
      <c r="AD137" s="290">
        <v>58</v>
      </c>
      <c r="AE137" s="290">
        <v>0</v>
      </c>
      <c r="AF137" s="290">
        <v>0</v>
      </c>
      <c r="AG137" s="290">
        <v>2213</v>
      </c>
      <c r="AH137" s="290">
        <v>364</v>
      </c>
      <c r="AI137" s="290">
        <v>0</v>
      </c>
      <c r="AJ137" s="290">
        <v>0</v>
      </c>
      <c r="AK137" s="290">
        <v>0</v>
      </c>
      <c r="AL137" s="290">
        <v>0</v>
      </c>
      <c r="AM137" s="957">
        <v>5.8856180000000001E-2</v>
      </c>
      <c r="AN137" s="290">
        <v>0</v>
      </c>
      <c r="AO137" s="290">
        <v>-683.28654112000004</v>
      </c>
      <c r="AP137" s="290">
        <v>0</v>
      </c>
      <c r="AQ137" s="290">
        <v>0</v>
      </c>
      <c r="AR137" s="290">
        <v>-83.577245059999996</v>
      </c>
      <c r="AS137" s="290">
        <v>188.10249999999999</v>
      </c>
      <c r="AT137" s="290">
        <v>121</v>
      </c>
      <c r="AU137" s="290">
        <v>20</v>
      </c>
      <c r="AV137" s="766">
        <v>89094</v>
      </c>
      <c r="AW137" s="290">
        <v>500</v>
      </c>
      <c r="AX137" s="766">
        <v>10.75</v>
      </c>
      <c r="AY137" s="290">
        <v>379</v>
      </c>
      <c r="AZ137" s="290">
        <v>119</v>
      </c>
      <c r="BA137" s="290">
        <v>42</v>
      </c>
      <c r="BB137" s="290">
        <v>3017</v>
      </c>
      <c r="BC137" s="290">
        <v>3795.0699804999999</v>
      </c>
      <c r="BD137" s="290"/>
      <c r="BE137" s="290">
        <v>86602.303790999998</v>
      </c>
      <c r="BF137" s="290">
        <v>0</v>
      </c>
      <c r="BG137" s="290">
        <v>1812</v>
      </c>
      <c r="BH137" s="290">
        <v>500</v>
      </c>
      <c r="BI137" s="290">
        <v>551</v>
      </c>
      <c r="BJ137" s="290">
        <v>28</v>
      </c>
      <c r="BK137" s="290">
        <v>83</v>
      </c>
      <c r="BL137" s="290">
        <v>0</v>
      </c>
      <c r="BM137" s="290">
        <v>0</v>
      </c>
      <c r="BN137" s="290">
        <v>52</v>
      </c>
      <c r="BO137" s="290">
        <v>-18</v>
      </c>
      <c r="BP137" s="290">
        <v>206</v>
      </c>
      <c r="BQ137" s="290">
        <v>412</v>
      </c>
      <c r="BR137" s="290">
        <v>312</v>
      </c>
      <c r="BS137" s="290">
        <v>44</v>
      </c>
      <c r="BT137" s="290">
        <v>0</v>
      </c>
      <c r="BU137" s="290">
        <v>0</v>
      </c>
      <c r="BV137" s="290">
        <v>48</v>
      </c>
      <c r="BW137" s="290">
        <v>0</v>
      </c>
      <c r="BX137" s="290">
        <v>0</v>
      </c>
      <c r="BY137" s="290">
        <v>250</v>
      </c>
      <c r="BZ137" s="290">
        <v>300</v>
      </c>
      <c r="CA137" s="290">
        <v>130.512</v>
      </c>
      <c r="CB137" s="290">
        <v>30</v>
      </c>
      <c r="CC137" s="290">
        <v>0</v>
      </c>
      <c r="CD137" s="290">
        <v>45</v>
      </c>
      <c r="CE137" s="290">
        <v>88252.178</v>
      </c>
      <c r="CF137" s="290">
        <v>0</v>
      </c>
      <c r="CG137" s="290">
        <v>0</v>
      </c>
      <c r="CH137" s="290">
        <v>0</v>
      </c>
      <c r="CI137" s="290">
        <v>0</v>
      </c>
      <c r="CJ137" s="290"/>
    </row>
    <row r="138" spans="1:88" ht="13">
      <c r="A138" s="1">
        <v>3047</v>
      </c>
      <c r="B138" s="2" t="s">
        <v>883</v>
      </c>
      <c r="C138" s="289">
        <v>14166</v>
      </c>
      <c r="D138" s="290">
        <v>279</v>
      </c>
      <c r="E138" s="290">
        <v>553</v>
      </c>
      <c r="F138" s="290">
        <v>1614</v>
      </c>
      <c r="G138" s="290">
        <v>1081</v>
      </c>
      <c r="H138" s="290">
        <v>8003</v>
      </c>
      <c r="I138" s="290">
        <v>1898</v>
      </c>
      <c r="J138" s="290">
        <v>570</v>
      </c>
      <c r="K138" s="290">
        <v>134</v>
      </c>
      <c r="L138" s="290">
        <v>111</v>
      </c>
      <c r="M138" s="290">
        <v>1172</v>
      </c>
      <c r="N138" s="290">
        <v>288</v>
      </c>
      <c r="O138" s="290">
        <v>130</v>
      </c>
      <c r="P138" s="624">
        <v>46597.574333329998</v>
      </c>
      <c r="Q138" s="624">
        <v>27504.438333329999</v>
      </c>
      <c r="R138" s="1039">
        <v>64</v>
      </c>
      <c r="S138" s="290">
        <v>0</v>
      </c>
      <c r="T138" s="290">
        <v>1324</v>
      </c>
      <c r="U138" s="958">
        <v>4.9775569989799883E-3</v>
      </c>
      <c r="V138" s="290">
        <v>6568.9139978599997</v>
      </c>
      <c r="W138" s="765">
        <v>0.58354410999999995</v>
      </c>
      <c r="X138" s="290">
        <v>1700</v>
      </c>
      <c r="Y138" s="290"/>
      <c r="Z138" s="290">
        <v>415657.6</v>
      </c>
      <c r="AA138" s="290">
        <v>0</v>
      </c>
      <c r="AB138" s="290">
        <v>427</v>
      </c>
      <c r="AC138" s="290">
        <v>680</v>
      </c>
      <c r="AD138" s="290">
        <v>267</v>
      </c>
      <c r="AE138" s="290">
        <v>0</v>
      </c>
      <c r="AF138" s="290">
        <v>0</v>
      </c>
      <c r="AG138" s="290">
        <v>14132</v>
      </c>
      <c r="AH138" s="290">
        <v>2297</v>
      </c>
      <c r="AI138" s="290">
        <v>1600</v>
      </c>
      <c r="AJ138" s="290">
        <v>0</v>
      </c>
      <c r="AK138" s="290">
        <v>0</v>
      </c>
      <c r="AL138" s="290">
        <v>0</v>
      </c>
      <c r="AM138" s="957">
        <v>0.48288878000000002</v>
      </c>
      <c r="AN138" s="290">
        <v>0</v>
      </c>
      <c r="AO138" s="290">
        <v>-3657.9772983900002</v>
      </c>
      <c r="AP138" s="290">
        <v>0</v>
      </c>
      <c r="AQ138" s="290">
        <v>0</v>
      </c>
      <c r="AR138" s="290">
        <v>-533.71605382999996</v>
      </c>
      <c r="AS138" s="290">
        <v>1007.2805</v>
      </c>
      <c r="AT138" s="290">
        <v>884</v>
      </c>
      <c r="AU138" s="290">
        <v>152</v>
      </c>
      <c r="AV138" s="766">
        <v>386339</v>
      </c>
      <c r="AW138" s="290">
        <v>2900</v>
      </c>
      <c r="AX138" s="766">
        <v>99.999949999999998</v>
      </c>
      <c r="AY138" s="290">
        <v>2517</v>
      </c>
      <c r="AZ138" s="290">
        <v>716</v>
      </c>
      <c r="BA138" s="290">
        <v>305</v>
      </c>
      <c r="BB138" s="290">
        <v>0</v>
      </c>
      <c r="BC138" s="290">
        <v>18932.76718011</v>
      </c>
      <c r="BD138" s="290"/>
      <c r="BE138" s="290">
        <v>371277.91236901999</v>
      </c>
      <c r="BF138" s="290">
        <v>0</v>
      </c>
      <c r="BG138" s="290">
        <v>11569</v>
      </c>
      <c r="BH138" s="290">
        <v>1000</v>
      </c>
      <c r="BI138" s="290">
        <v>3244</v>
      </c>
      <c r="BJ138" s="290">
        <v>161</v>
      </c>
      <c r="BK138" s="290">
        <v>493</v>
      </c>
      <c r="BL138" s="290">
        <v>0</v>
      </c>
      <c r="BM138" s="290">
        <v>0</v>
      </c>
      <c r="BN138" s="290">
        <v>308</v>
      </c>
      <c r="BO138" s="290">
        <v>-134</v>
      </c>
      <c r="BP138" s="290">
        <v>1314</v>
      </c>
      <c r="BQ138" s="290">
        <v>2628</v>
      </c>
      <c r="BR138" s="290">
        <v>1989</v>
      </c>
      <c r="BS138" s="290">
        <v>201</v>
      </c>
      <c r="BT138" s="290">
        <v>0</v>
      </c>
      <c r="BU138" s="290">
        <v>0</v>
      </c>
      <c r="BV138" s="290">
        <v>284</v>
      </c>
      <c r="BW138" s="290">
        <v>0</v>
      </c>
      <c r="BX138" s="290">
        <v>0</v>
      </c>
      <c r="BY138" s="290">
        <v>1558</v>
      </c>
      <c r="BZ138" s="290">
        <v>5700</v>
      </c>
      <c r="CA138" s="290">
        <v>997.59999999999991</v>
      </c>
      <c r="CB138" s="290">
        <v>129</v>
      </c>
      <c r="CC138" s="290">
        <v>1</v>
      </c>
      <c r="CD138" s="290">
        <v>331</v>
      </c>
      <c r="CE138" s="290">
        <v>415657.6</v>
      </c>
      <c r="CF138" s="290">
        <v>0</v>
      </c>
      <c r="CG138" s="290">
        <v>0</v>
      </c>
      <c r="CH138" s="290">
        <v>0</v>
      </c>
      <c r="CI138" s="290">
        <v>0</v>
      </c>
      <c r="CJ138" s="290"/>
    </row>
    <row r="139" spans="1:88" ht="13">
      <c r="A139" s="1">
        <v>3048</v>
      </c>
      <c r="B139" s="2" t="s">
        <v>884</v>
      </c>
      <c r="C139" s="289">
        <v>19709</v>
      </c>
      <c r="D139" s="290">
        <v>415</v>
      </c>
      <c r="E139" s="290">
        <v>879</v>
      </c>
      <c r="F139" s="290">
        <v>2345</v>
      </c>
      <c r="G139" s="290">
        <v>1569</v>
      </c>
      <c r="H139" s="290">
        <v>11232</v>
      </c>
      <c r="I139" s="290">
        <v>2241</v>
      </c>
      <c r="J139" s="290">
        <v>715</v>
      </c>
      <c r="K139" s="290">
        <v>172</v>
      </c>
      <c r="L139" s="290">
        <v>152</v>
      </c>
      <c r="M139" s="290">
        <v>1351</v>
      </c>
      <c r="N139" s="290">
        <v>423</v>
      </c>
      <c r="O139" s="290">
        <v>173</v>
      </c>
      <c r="P139" s="624">
        <v>58833.093000000001</v>
      </c>
      <c r="Q139" s="624">
        <v>38730.733333329998</v>
      </c>
      <c r="R139" s="1039">
        <v>73</v>
      </c>
      <c r="S139" s="290">
        <v>0</v>
      </c>
      <c r="T139" s="290">
        <v>1546</v>
      </c>
      <c r="U139" s="958">
        <v>4.4772427743421748E-3</v>
      </c>
      <c r="V139" s="290">
        <v>5163.6260246000002</v>
      </c>
      <c r="W139" s="765">
        <v>0.57161757000000002</v>
      </c>
      <c r="X139" s="290">
        <v>2350</v>
      </c>
      <c r="Y139" s="290"/>
      <c r="Z139" s="290">
        <v>655419.36100000003</v>
      </c>
      <c r="AA139" s="290">
        <v>0</v>
      </c>
      <c r="AB139" s="290">
        <v>497</v>
      </c>
      <c r="AC139" s="290">
        <v>1454</v>
      </c>
      <c r="AD139" s="290">
        <v>357</v>
      </c>
      <c r="AE139" s="290">
        <v>1486</v>
      </c>
      <c r="AF139" s="290">
        <v>0</v>
      </c>
      <c r="AG139" s="290">
        <v>19568</v>
      </c>
      <c r="AH139" s="290">
        <v>3411</v>
      </c>
      <c r="AI139" s="290">
        <v>0</v>
      </c>
      <c r="AJ139" s="290">
        <v>384</v>
      </c>
      <c r="AK139" s="290">
        <v>0</v>
      </c>
      <c r="AL139" s="290">
        <v>0</v>
      </c>
      <c r="AM139" s="957">
        <v>0.47381873000000002</v>
      </c>
      <c r="AN139" s="290">
        <v>0</v>
      </c>
      <c r="AO139" s="290">
        <v>-4963.1320622399999</v>
      </c>
      <c r="AP139" s="290">
        <v>0</v>
      </c>
      <c r="AQ139" s="290">
        <v>0</v>
      </c>
      <c r="AR139" s="290">
        <v>-739.01470007</v>
      </c>
      <c r="AS139" s="290">
        <v>1744.33</v>
      </c>
      <c r="AT139" s="290">
        <v>1107</v>
      </c>
      <c r="AU139" s="290">
        <v>192</v>
      </c>
      <c r="AV139" s="766">
        <v>509503</v>
      </c>
      <c r="AW139" s="290">
        <v>6800</v>
      </c>
      <c r="AX139" s="766">
        <v>151.75004999999999</v>
      </c>
      <c r="AY139" s="290">
        <v>3886</v>
      </c>
      <c r="AZ139" s="290">
        <v>841</v>
      </c>
      <c r="BA139" s="290">
        <v>438</v>
      </c>
      <c r="BB139" s="290">
        <v>0</v>
      </c>
      <c r="BC139" s="290">
        <v>26777.70852262</v>
      </c>
      <c r="BD139" s="290"/>
      <c r="BE139" s="290">
        <v>489924.21372166998</v>
      </c>
      <c r="BF139" s="290">
        <v>0</v>
      </c>
      <c r="BG139" s="290">
        <v>16018</v>
      </c>
      <c r="BH139" s="290">
        <v>1000</v>
      </c>
      <c r="BI139" s="290">
        <v>5222</v>
      </c>
      <c r="BJ139" s="290">
        <v>222</v>
      </c>
      <c r="BK139" s="290">
        <v>777</v>
      </c>
      <c r="BL139" s="290">
        <v>0</v>
      </c>
      <c r="BM139" s="290">
        <v>0</v>
      </c>
      <c r="BN139" s="290">
        <v>486</v>
      </c>
      <c r="BO139" s="290">
        <v>-163</v>
      </c>
      <c r="BP139" s="290">
        <v>1828</v>
      </c>
      <c r="BQ139" s="290">
        <v>3656</v>
      </c>
      <c r="BR139" s="290">
        <v>2767</v>
      </c>
      <c r="BS139" s="290">
        <v>268</v>
      </c>
      <c r="BT139" s="290">
        <v>0</v>
      </c>
      <c r="BU139" s="290">
        <v>0</v>
      </c>
      <c r="BV139" s="290">
        <v>447</v>
      </c>
      <c r="BW139" s="290">
        <v>0</v>
      </c>
      <c r="BX139" s="290">
        <v>0</v>
      </c>
      <c r="BY139" s="290">
        <v>1959</v>
      </c>
      <c r="BZ139" s="290">
        <v>5100</v>
      </c>
      <c r="CA139" s="290">
        <v>947.99199999999996</v>
      </c>
      <c r="CB139" s="290">
        <v>176</v>
      </c>
      <c r="CC139" s="290">
        <v>1</v>
      </c>
      <c r="CD139" s="290">
        <v>404</v>
      </c>
      <c r="CE139" s="290">
        <v>655419.36100000003</v>
      </c>
      <c r="CF139" s="290">
        <v>0</v>
      </c>
      <c r="CG139" s="290">
        <v>0</v>
      </c>
      <c r="CH139" s="290">
        <v>0</v>
      </c>
      <c r="CI139" s="290">
        <v>0</v>
      </c>
      <c r="CJ139" s="290"/>
    </row>
    <row r="140" spans="1:88" ht="13">
      <c r="A140" s="1">
        <v>3049</v>
      </c>
      <c r="B140" s="2" t="s">
        <v>886</v>
      </c>
      <c r="C140" s="289">
        <v>27118</v>
      </c>
      <c r="D140" s="290">
        <v>565</v>
      </c>
      <c r="E140" s="290">
        <v>1240</v>
      </c>
      <c r="F140" s="290">
        <v>3555</v>
      </c>
      <c r="G140" s="290">
        <v>2222</v>
      </c>
      <c r="H140" s="290">
        <v>15419</v>
      </c>
      <c r="I140" s="290">
        <v>2958</v>
      </c>
      <c r="J140" s="290">
        <v>819</v>
      </c>
      <c r="K140" s="290">
        <v>172</v>
      </c>
      <c r="L140" s="290">
        <v>201</v>
      </c>
      <c r="M140" s="290">
        <v>1604</v>
      </c>
      <c r="N140" s="290">
        <v>903</v>
      </c>
      <c r="O140" s="290">
        <v>254</v>
      </c>
      <c r="P140" s="624">
        <v>63052.850666669998</v>
      </c>
      <c r="Q140" s="624">
        <v>39233.067999999999</v>
      </c>
      <c r="R140" s="1039">
        <v>103</v>
      </c>
      <c r="S140" s="290">
        <v>0</v>
      </c>
      <c r="T140" s="290">
        <v>2009</v>
      </c>
      <c r="U140" s="958">
        <v>3.8291927476274868E-3</v>
      </c>
      <c r="V140" s="290">
        <v>9404.5316027499994</v>
      </c>
      <c r="W140" s="765">
        <v>0.56673410999999996</v>
      </c>
      <c r="X140" s="290">
        <v>1700</v>
      </c>
      <c r="Y140" s="290"/>
      <c r="Z140" s="290">
        <v>1090866.5589999999</v>
      </c>
      <c r="AA140" s="290">
        <v>0</v>
      </c>
      <c r="AB140" s="290">
        <v>482</v>
      </c>
      <c r="AC140" s="290">
        <v>2218</v>
      </c>
      <c r="AD140" s="290">
        <v>476</v>
      </c>
      <c r="AE140" s="290">
        <v>0</v>
      </c>
      <c r="AF140" s="290">
        <v>0</v>
      </c>
      <c r="AG140" s="290">
        <v>26950</v>
      </c>
      <c r="AH140" s="290">
        <v>4994</v>
      </c>
      <c r="AI140" s="290">
        <v>1400</v>
      </c>
      <c r="AJ140" s="290">
        <v>0</v>
      </c>
      <c r="AK140" s="290">
        <v>0</v>
      </c>
      <c r="AL140" s="290">
        <v>0</v>
      </c>
      <c r="AM140" s="957">
        <v>0.64571787999999997</v>
      </c>
      <c r="AN140" s="290">
        <v>0</v>
      </c>
      <c r="AO140" s="290">
        <v>-6768.7199221299998</v>
      </c>
      <c r="AP140" s="290">
        <v>0</v>
      </c>
      <c r="AQ140" s="290">
        <v>0</v>
      </c>
      <c r="AR140" s="290">
        <v>-1017.80693821</v>
      </c>
      <c r="AS140" s="290">
        <v>2619.6325000000002</v>
      </c>
      <c r="AT140" s="290">
        <v>1492</v>
      </c>
      <c r="AU140" s="290">
        <v>255</v>
      </c>
      <c r="AV140" s="766">
        <v>698447</v>
      </c>
      <c r="AW140" s="290">
        <v>10000</v>
      </c>
      <c r="AX140" s="766">
        <v>203.91665</v>
      </c>
      <c r="AY140" s="290">
        <v>7420</v>
      </c>
      <c r="AZ140" s="290">
        <v>1220</v>
      </c>
      <c r="BA140" s="290">
        <v>498</v>
      </c>
      <c r="BB140" s="290">
        <v>0</v>
      </c>
      <c r="BC140" s="290">
        <v>38088.663957819997</v>
      </c>
      <c r="BD140" s="290"/>
      <c r="BE140" s="290">
        <v>659251.25210865005</v>
      </c>
      <c r="BF140" s="290">
        <v>0</v>
      </c>
      <c r="BG140" s="290">
        <v>22061</v>
      </c>
      <c r="BH140" s="290">
        <v>1000</v>
      </c>
      <c r="BI140" s="290">
        <v>7688</v>
      </c>
      <c r="BJ140" s="290">
        <v>331</v>
      </c>
      <c r="BK140" s="290">
        <v>1124</v>
      </c>
      <c r="BL140" s="290">
        <v>0</v>
      </c>
      <c r="BM140" s="290">
        <v>0</v>
      </c>
      <c r="BN140" s="290">
        <v>703</v>
      </c>
      <c r="BO140" s="290">
        <v>-226</v>
      </c>
      <c r="BP140" s="290">
        <v>2515</v>
      </c>
      <c r="BQ140" s="290">
        <v>5030</v>
      </c>
      <c r="BR140" s="290">
        <v>3808</v>
      </c>
      <c r="BS140" s="290">
        <v>357</v>
      </c>
      <c r="BT140" s="290">
        <v>0</v>
      </c>
      <c r="BU140" s="290">
        <v>0</v>
      </c>
      <c r="BV140" s="290">
        <v>647</v>
      </c>
      <c r="BW140" s="290">
        <v>0</v>
      </c>
      <c r="BX140" s="290">
        <v>0</v>
      </c>
      <c r="BY140" s="290">
        <v>2580</v>
      </c>
      <c r="BZ140" s="290">
        <v>10800</v>
      </c>
      <c r="CA140" s="290">
        <v>1921.3000000000002</v>
      </c>
      <c r="CB140" s="290">
        <v>240</v>
      </c>
      <c r="CC140" s="290">
        <v>2</v>
      </c>
      <c r="CD140" s="290">
        <v>559</v>
      </c>
      <c r="CE140" s="290">
        <v>1090866.5589999999</v>
      </c>
      <c r="CF140" s="290">
        <v>0</v>
      </c>
      <c r="CG140" s="290">
        <v>0</v>
      </c>
      <c r="CH140" s="290">
        <v>0</v>
      </c>
      <c r="CI140" s="290">
        <v>0</v>
      </c>
      <c r="CJ140" s="290"/>
    </row>
    <row r="141" spans="1:88" ht="13">
      <c r="A141" s="1">
        <v>3050</v>
      </c>
      <c r="B141" s="2" t="s">
        <v>889</v>
      </c>
      <c r="C141" s="289">
        <v>2713</v>
      </c>
      <c r="D141" s="290">
        <v>54</v>
      </c>
      <c r="E141" s="290">
        <v>116</v>
      </c>
      <c r="F141" s="290">
        <v>321</v>
      </c>
      <c r="G141" s="290">
        <v>218</v>
      </c>
      <c r="H141" s="290">
        <v>1475</v>
      </c>
      <c r="I141" s="290">
        <v>379</v>
      </c>
      <c r="J141" s="290">
        <v>105</v>
      </c>
      <c r="K141" s="290">
        <v>36</v>
      </c>
      <c r="L141" s="290">
        <v>19</v>
      </c>
      <c r="M141" s="290">
        <v>207</v>
      </c>
      <c r="N141" s="290">
        <v>19</v>
      </c>
      <c r="O141" s="290">
        <v>38</v>
      </c>
      <c r="P141" s="624">
        <v>21629.08333333</v>
      </c>
      <c r="Q141" s="624">
        <v>15780.98633333</v>
      </c>
      <c r="R141" s="1039">
        <v>10</v>
      </c>
      <c r="S141" s="290">
        <v>0</v>
      </c>
      <c r="T141" s="290">
        <v>210</v>
      </c>
      <c r="U141" s="958">
        <v>1.6906157836770904E-3</v>
      </c>
      <c r="V141" s="290">
        <v>1361.5070627600001</v>
      </c>
      <c r="W141" s="765">
        <v>0.80217128999999998</v>
      </c>
      <c r="X141" s="290">
        <v>1100</v>
      </c>
      <c r="Y141" s="290"/>
      <c r="Z141" s="290">
        <v>93630.758000000002</v>
      </c>
      <c r="AA141" s="290">
        <v>0</v>
      </c>
      <c r="AB141" s="290">
        <v>52</v>
      </c>
      <c r="AC141" s="290">
        <v>153</v>
      </c>
      <c r="AD141" s="290">
        <v>68</v>
      </c>
      <c r="AE141" s="290">
        <v>0</v>
      </c>
      <c r="AF141" s="290">
        <v>0</v>
      </c>
      <c r="AG141" s="290">
        <v>2704</v>
      </c>
      <c r="AH141" s="290">
        <v>462</v>
      </c>
      <c r="AI141" s="290">
        <v>2500</v>
      </c>
      <c r="AJ141" s="290">
        <v>0</v>
      </c>
      <c r="AK141" s="290">
        <v>0</v>
      </c>
      <c r="AL141" s="290">
        <v>0</v>
      </c>
      <c r="AM141" s="957">
        <v>5.1977040000000002E-2</v>
      </c>
      <c r="AN141" s="290">
        <v>0</v>
      </c>
      <c r="AO141" s="290">
        <v>-787.19718032000003</v>
      </c>
      <c r="AP141" s="290">
        <v>0</v>
      </c>
      <c r="AQ141" s="290">
        <v>0</v>
      </c>
      <c r="AR141" s="290">
        <v>-102.12059223999999</v>
      </c>
      <c r="AS141" s="290">
        <v>236.34399999999999</v>
      </c>
      <c r="AT141" s="290">
        <v>144</v>
      </c>
      <c r="AU141" s="290">
        <v>16</v>
      </c>
      <c r="AV141" s="766">
        <v>97570</v>
      </c>
      <c r="AW141" s="290">
        <v>800</v>
      </c>
      <c r="AX141" s="766">
        <v>21.25</v>
      </c>
      <c r="AY141" s="290">
        <v>457</v>
      </c>
      <c r="AZ141" s="290">
        <v>163</v>
      </c>
      <c r="BA141" s="290">
        <v>64</v>
      </c>
      <c r="BB141" s="290">
        <v>3017</v>
      </c>
      <c r="BC141" s="290">
        <v>4374.2116521500002</v>
      </c>
      <c r="BD141" s="290"/>
      <c r="BE141" s="290">
        <v>94224.220621109998</v>
      </c>
      <c r="BF141" s="290">
        <v>0</v>
      </c>
      <c r="BG141" s="290">
        <v>2214</v>
      </c>
      <c r="BH141" s="290">
        <v>500</v>
      </c>
      <c r="BI141" s="290">
        <v>683</v>
      </c>
      <c r="BJ141" s="290">
        <v>32</v>
      </c>
      <c r="BK141" s="290">
        <v>102</v>
      </c>
      <c r="BL141" s="290">
        <v>0</v>
      </c>
      <c r="BM141" s="290">
        <v>0</v>
      </c>
      <c r="BN141" s="290">
        <v>64</v>
      </c>
      <c r="BO141" s="290">
        <v>-19</v>
      </c>
      <c r="BP141" s="290">
        <v>252</v>
      </c>
      <c r="BQ141" s="290">
        <v>503</v>
      </c>
      <c r="BR141" s="290">
        <v>381</v>
      </c>
      <c r="BS141" s="290">
        <v>51</v>
      </c>
      <c r="BT141" s="290">
        <v>0</v>
      </c>
      <c r="BU141" s="290">
        <v>0</v>
      </c>
      <c r="BV141" s="290">
        <v>59</v>
      </c>
      <c r="BW141" s="290">
        <v>0</v>
      </c>
      <c r="BX141" s="290">
        <v>0</v>
      </c>
      <c r="BY141" s="290">
        <v>299</v>
      </c>
      <c r="BZ141" s="290">
        <v>500</v>
      </c>
      <c r="CA141" s="290">
        <v>150.36000000000001</v>
      </c>
      <c r="CB141" s="290">
        <v>34</v>
      </c>
      <c r="CC141" s="290">
        <v>0</v>
      </c>
      <c r="CD141" s="290">
        <v>47</v>
      </c>
      <c r="CE141" s="290">
        <v>93630.758000000002</v>
      </c>
      <c r="CF141" s="290">
        <v>0</v>
      </c>
      <c r="CG141" s="290">
        <v>0</v>
      </c>
      <c r="CH141" s="290">
        <v>0</v>
      </c>
      <c r="CI141" s="290">
        <v>0</v>
      </c>
      <c r="CJ141" s="290"/>
    </row>
    <row r="142" spans="1:88" ht="13">
      <c r="A142" s="1">
        <v>3051</v>
      </c>
      <c r="B142" s="2" t="s">
        <v>890</v>
      </c>
      <c r="C142" s="289">
        <v>1386</v>
      </c>
      <c r="D142" s="290">
        <v>21</v>
      </c>
      <c r="E142" s="290">
        <v>60</v>
      </c>
      <c r="F142" s="290">
        <v>119</v>
      </c>
      <c r="G142" s="290">
        <v>132</v>
      </c>
      <c r="H142" s="290">
        <v>730</v>
      </c>
      <c r="I142" s="290">
        <v>219</v>
      </c>
      <c r="J142" s="290">
        <v>76</v>
      </c>
      <c r="K142" s="290">
        <v>31</v>
      </c>
      <c r="L142" s="290">
        <v>8</v>
      </c>
      <c r="M142" s="290">
        <v>145</v>
      </c>
      <c r="N142" s="290">
        <v>13</v>
      </c>
      <c r="O142" s="290">
        <v>11</v>
      </c>
      <c r="P142" s="624">
        <v>10961.509333329999</v>
      </c>
      <c r="Q142" s="624">
        <v>4677.5413333300003</v>
      </c>
      <c r="R142" s="1039">
        <v>14</v>
      </c>
      <c r="S142" s="290">
        <v>0</v>
      </c>
      <c r="T142" s="290">
        <v>117</v>
      </c>
      <c r="U142" s="958">
        <v>1.2267859459890989E-3</v>
      </c>
      <c r="V142" s="290">
        <v>747.91028258999995</v>
      </c>
      <c r="W142" s="765">
        <v>0.99929957999999997</v>
      </c>
      <c r="X142" s="290">
        <v>900</v>
      </c>
      <c r="Y142" s="290"/>
      <c r="Z142" s="290">
        <v>47778.777999999998</v>
      </c>
      <c r="AA142" s="290">
        <v>84</v>
      </c>
      <c r="AB142" s="290">
        <v>38</v>
      </c>
      <c r="AC142" s="290">
        <v>65</v>
      </c>
      <c r="AD142" s="290">
        <v>45</v>
      </c>
      <c r="AE142" s="290">
        <v>0</v>
      </c>
      <c r="AF142" s="290">
        <v>0</v>
      </c>
      <c r="AG142" s="290">
        <v>1388</v>
      </c>
      <c r="AH142" s="290">
        <v>202</v>
      </c>
      <c r="AI142" s="290">
        <v>0</v>
      </c>
      <c r="AJ142" s="290">
        <v>0</v>
      </c>
      <c r="AK142" s="290">
        <v>0</v>
      </c>
      <c r="AL142" s="290">
        <v>0</v>
      </c>
      <c r="AM142" s="957">
        <v>1.620568E-2</v>
      </c>
      <c r="AN142" s="290">
        <v>0</v>
      </c>
      <c r="AO142" s="290">
        <v>-480.06963786</v>
      </c>
      <c r="AP142" s="290">
        <v>0</v>
      </c>
      <c r="AQ142" s="290">
        <v>0</v>
      </c>
      <c r="AR142" s="290">
        <v>616.95153831000005</v>
      </c>
      <c r="AS142" s="290">
        <v>105.694</v>
      </c>
      <c r="AT142" s="290">
        <v>49</v>
      </c>
      <c r="AU142" s="290">
        <v>9</v>
      </c>
      <c r="AV142" s="766">
        <v>72046</v>
      </c>
      <c r="AW142" s="290">
        <v>500</v>
      </c>
      <c r="AX142" s="766">
        <v>7.1666499999999997</v>
      </c>
      <c r="AY142" s="290">
        <v>262</v>
      </c>
      <c r="AZ142" s="290">
        <v>71</v>
      </c>
      <c r="BA142" s="290">
        <v>16</v>
      </c>
      <c r="BB142" s="290">
        <v>3620</v>
      </c>
      <c r="BC142" s="290">
        <v>2735.4731989000002</v>
      </c>
      <c r="BD142" s="290"/>
      <c r="BE142" s="290">
        <v>67521.824045169997</v>
      </c>
      <c r="BF142" s="290">
        <v>0</v>
      </c>
      <c r="BG142" s="290">
        <v>1136</v>
      </c>
      <c r="BH142" s="290">
        <v>500</v>
      </c>
      <c r="BI142" s="290">
        <v>312</v>
      </c>
      <c r="BJ142" s="290">
        <v>17</v>
      </c>
      <c r="BK142" s="290">
        <v>51</v>
      </c>
      <c r="BL142" s="290">
        <v>0</v>
      </c>
      <c r="BM142" s="290">
        <v>0</v>
      </c>
      <c r="BN142" s="290">
        <v>32</v>
      </c>
      <c r="BO142" s="290">
        <v>-10</v>
      </c>
      <c r="BP142" s="290">
        <v>129</v>
      </c>
      <c r="BQ142" s="290">
        <v>257</v>
      </c>
      <c r="BR142" s="290">
        <v>195</v>
      </c>
      <c r="BS142" s="290">
        <v>34</v>
      </c>
      <c r="BT142" s="290">
        <v>0</v>
      </c>
      <c r="BU142" s="290">
        <v>0</v>
      </c>
      <c r="BV142" s="290">
        <v>29</v>
      </c>
      <c r="BW142" s="290">
        <v>0</v>
      </c>
      <c r="BX142" s="290">
        <v>0</v>
      </c>
      <c r="BY142" s="290">
        <v>175</v>
      </c>
      <c r="BZ142" s="290">
        <v>200</v>
      </c>
      <c r="CA142" s="290">
        <v>91.697000000000003</v>
      </c>
      <c r="CB142" s="290">
        <v>26</v>
      </c>
      <c r="CC142" s="290">
        <v>0</v>
      </c>
      <c r="CD142" s="290">
        <v>25</v>
      </c>
      <c r="CE142" s="290">
        <v>47778.777999999998</v>
      </c>
      <c r="CF142" s="290">
        <v>0</v>
      </c>
      <c r="CG142" s="290">
        <v>0</v>
      </c>
      <c r="CH142" s="290">
        <v>0</v>
      </c>
      <c r="CI142" s="290">
        <v>0</v>
      </c>
      <c r="CJ142" s="290"/>
    </row>
    <row r="143" spans="1:88" ht="13">
      <c r="A143" s="1">
        <v>3052</v>
      </c>
      <c r="B143" s="2" t="s">
        <v>891</v>
      </c>
      <c r="C143" s="289">
        <v>2412</v>
      </c>
      <c r="D143" s="290">
        <v>36</v>
      </c>
      <c r="E143" s="290">
        <v>73</v>
      </c>
      <c r="F143" s="290">
        <v>245</v>
      </c>
      <c r="G143" s="290">
        <v>210</v>
      </c>
      <c r="H143" s="290">
        <v>1312</v>
      </c>
      <c r="I143" s="290">
        <v>371</v>
      </c>
      <c r="J143" s="290">
        <v>142</v>
      </c>
      <c r="K143" s="290">
        <v>34</v>
      </c>
      <c r="L143" s="290">
        <v>19</v>
      </c>
      <c r="M143" s="290">
        <v>250</v>
      </c>
      <c r="N143" s="290">
        <v>30</v>
      </c>
      <c r="O143" s="290">
        <v>33</v>
      </c>
      <c r="P143" s="624">
        <v>27890.47733333</v>
      </c>
      <c r="Q143" s="624">
        <v>14860.293333330001</v>
      </c>
      <c r="R143" s="1039">
        <v>14</v>
      </c>
      <c r="S143" s="290">
        <v>0</v>
      </c>
      <c r="T143" s="290">
        <v>182</v>
      </c>
      <c r="U143" s="958">
        <v>3.2789143836006607E-3</v>
      </c>
      <c r="V143" s="290">
        <v>1486.6894941400001</v>
      </c>
      <c r="W143" s="765">
        <v>1</v>
      </c>
      <c r="X143" s="290">
        <v>0</v>
      </c>
      <c r="Y143" s="290"/>
      <c r="Z143" s="290">
        <v>101777.68700000001</v>
      </c>
      <c r="AA143" s="290">
        <v>0</v>
      </c>
      <c r="AB143" s="290">
        <v>35</v>
      </c>
      <c r="AC143" s="290">
        <v>126</v>
      </c>
      <c r="AD143" s="290">
        <v>69</v>
      </c>
      <c r="AE143" s="290">
        <v>0</v>
      </c>
      <c r="AF143" s="290">
        <v>0</v>
      </c>
      <c r="AG143" s="290">
        <v>2423</v>
      </c>
      <c r="AH143" s="290">
        <v>355</v>
      </c>
      <c r="AI143" s="290">
        <v>0</v>
      </c>
      <c r="AJ143" s="290">
        <v>0</v>
      </c>
      <c r="AK143" s="290">
        <v>0</v>
      </c>
      <c r="AL143" s="290">
        <v>0</v>
      </c>
      <c r="AM143" s="957">
        <v>2.3283999999999999E-2</v>
      </c>
      <c r="AN143" s="290">
        <v>0</v>
      </c>
      <c r="AO143" s="290">
        <v>-744.14225351000005</v>
      </c>
      <c r="AP143" s="290">
        <v>0</v>
      </c>
      <c r="AQ143" s="290">
        <v>0</v>
      </c>
      <c r="AR143" s="290">
        <v>-91.508208210000006</v>
      </c>
      <c r="AS143" s="290">
        <v>212.84049999999999</v>
      </c>
      <c r="AT143" s="290">
        <v>114</v>
      </c>
      <c r="AU143" s="290">
        <v>9</v>
      </c>
      <c r="AV143" s="766">
        <v>99557</v>
      </c>
      <c r="AW143" s="290">
        <v>500</v>
      </c>
      <c r="AX143" s="766">
        <v>11.583349999999999</v>
      </c>
      <c r="AY143" s="290">
        <v>387</v>
      </c>
      <c r="AZ143" s="290">
        <v>135</v>
      </c>
      <c r="BA143" s="290">
        <v>35</v>
      </c>
      <c r="BB143" s="290">
        <v>6034</v>
      </c>
      <c r="BC143" s="290">
        <v>4040.1131547700002</v>
      </c>
      <c r="BD143" s="290"/>
      <c r="BE143" s="290">
        <v>95517.364447130007</v>
      </c>
      <c r="BF143" s="290">
        <v>0</v>
      </c>
      <c r="BG143" s="290">
        <v>1983</v>
      </c>
      <c r="BH143" s="290">
        <v>500</v>
      </c>
      <c r="BI143" s="290">
        <v>550</v>
      </c>
      <c r="BJ143" s="290">
        <v>32</v>
      </c>
      <c r="BK143" s="290">
        <v>65</v>
      </c>
      <c r="BL143" s="290">
        <v>0</v>
      </c>
      <c r="BM143" s="290">
        <v>0</v>
      </c>
      <c r="BN143" s="290">
        <v>41</v>
      </c>
      <c r="BO143" s="290">
        <v>-16</v>
      </c>
      <c r="BP143" s="290">
        <v>224</v>
      </c>
      <c r="BQ143" s="290">
        <v>447</v>
      </c>
      <c r="BR143" s="290">
        <v>339</v>
      </c>
      <c r="BS143" s="290">
        <v>52</v>
      </c>
      <c r="BT143" s="290">
        <v>0</v>
      </c>
      <c r="BU143" s="290">
        <v>0</v>
      </c>
      <c r="BV143" s="290">
        <v>37</v>
      </c>
      <c r="BW143" s="290">
        <v>0</v>
      </c>
      <c r="BX143" s="290">
        <v>0</v>
      </c>
      <c r="BY143" s="290">
        <v>300</v>
      </c>
      <c r="BZ143" s="290">
        <v>200</v>
      </c>
      <c r="CA143" s="290">
        <v>142.136</v>
      </c>
      <c r="CB143" s="290">
        <v>35</v>
      </c>
      <c r="CC143" s="290">
        <v>0</v>
      </c>
      <c r="CD143" s="290">
        <v>39</v>
      </c>
      <c r="CE143" s="290">
        <v>101777.68700000001</v>
      </c>
      <c r="CF143" s="290">
        <v>0</v>
      </c>
      <c r="CG143" s="290">
        <v>0</v>
      </c>
      <c r="CH143" s="290">
        <v>0</v>
      </c>
      <c r="CI143" s="290">
        <v>0</v>
      </c>
      <c r="CJ143" s="290"/>
    </row>
    <row r="144" spans="1:88" ht="13">
      <c r="A144" s="1">
        <v>3053</v>
      </c>
      <c r="B144" s="2" t="s">
        <v>860</v>
      </c>
      <c r="C144" s="289">
        <v>6867</v>
      </c>
      <c r="D144" s="290">
        <v>131</v>
      </c>
      <c r="E144" s="290">
        <v>275</v>
      </c>
      <c r="F144" s="290">
        <v>808</v>
      </c>
      <c r="G144" s="290">
        <v>552</v>
      </c>
      <c r="H144" s="290">
        <v>3893</v>
      </c>
      <c r="I144" s="290">
        <v>890</v>
      </c>
      <c r="J144" s="290">
        <v>278</v>
      </c>
      <c r="K144" s="290">
        <v>52</v>
      </c>
      <c r="L144" s="290">
        <v>60</v>
      </c>
      <c r="M144" s="290">
        <v>564</v>
      </c>
      <c r="N144" s="290">
        <v>113</v>
      </c>
      <c r="O144" s="290">
        <v>70</v>
      </c>
      <c r="P144" s="624">
        <v>18653.716</v>
      </c>
      <c r="Q144" s="624">
        <v>10235.98633333</v>
      </c>
      <c r="R144" s="1039">
        <v>23</v>
      </c>
      <c r="S144" s="290">
        <v>0</v>
      </c>
      <c r="T144" s="290">
        <v>555</v>
      </c>
      <c r="U144" s="958">
        <v>1.4013998509892515E-3</v>
      </c>
      <c r="V144" s="290">
        <v>1103.0020107400001</v>
      </c>
      <c r="W144" s="765">
        <v>0.58770769</v>
      </c>
      <c r="X144" s="290">
        <v>1000</v>
      </c>
      <c r="Y144" s="290"/>
      <c r="Z144" s="290">
        <v>209679.27900000001</v>
      </c>
      <c r="AA144" s="290">
        <v>0</v>
      </c>
      <c r="AB144" s="290">
        <v>172</v>
      </c>
      <c r="AC144" s="290">
        <v>342</v>
      </c>
      <c r="AD144" s="290">
        <v>133</v>
      </c>
      <c r="AE144" s="290">
        <v>0</v>
      </c>
      <c r="AF144" s="290">
        <v>0</v>
      </c>
      <c r="AG144" s="290">
        <v>6879</v>
      </c>
      <c r="AH144" s="290">
        <v>1156</v>
      </c>
      <c r="AI144" s="290">
        <v>0</v>
      </c>
      <c r="AJ144" s="290">
        <v>0</v>
      </c>
      <c r="AK144" s="290">
        <v>0</v>
      </c>
      <c r="AL144" s="290">
        <v>0</v>
      </c>
      <c r="AM144" s="957">
        <v>0.20764123000000001</v>
      </c>
      <c r="AN144" s="290">
        <v>0</v>
      </c>
      <c r="AO144" s="290">
        <v>-1767.7955737299999</v>
      </c>
      <c r="AP144" s="290">
        <v>0</v>
      </c>
      <c r="AQ144" s="290">
        <v>0</v>
      </c>
      <c r="AR144" s="290">
        <v>-259.79569306000002</v>
      </c>
      <c r="AS144" s="290">
        <v>536.03200000000004</v>
      </c>
      <c r="AT144" s="290">
        <v>452</v>
      </c>
      <c r="AU144" s="290">
        <v>64</v>
      </c>
      <c r="AV144" s="766">
        <v>183090</v>
      </c>
      <c r="AW144" s="290">
        <v>3900</v>
      </c>
      <c r="AX144" s="766">
        <v>54.208350000000003</v>
      </c>
      <c r="AY144" s="290">
        <v>1310</v>
      </c>
      <c r="AZ144" s="290">
        <v>337</v>
      </c>
      <c r="BA144" s="290">
        <v>150</v>
      </c>
      <c r="BB144" s="290">
        <v>0</v>
      </c>
      <c r="BC144" s="290">
        <v>9954.1040282899994</v>
      </c>
      <c r="BD144" s="290"/>
      <c r="BE144" s="290">
        <v>176038.90367802</v>
      </c>
      <c r="BF144" s="290">
        <v>0</v>
      </c>
      <c r="BG144" s="290">
        <v>5631</v>
      </c>
      <c r="BH144" s="290">
        <v>1000</v>
      </c>
      <c r="BI144" s="290">
        <v>1631</v>
      </c>
      <c r="BJ144" s="290">
        <v>79</v>
      </c>
      <c r="BK144" s="290">
        <v>249</v>
      </c>
      <c r="BL144" s="290">
        <v>0</v>
      </c>
      <c r="BM144" s="290">
        <v>0</v>
      </c>
      <c r="BN144" s="290">
        <v>156</v>
      </c>
      <c r="BO144" s="290">
        <v>-58</v>
      </c>
      <c r="BP144" s="290">
        <v>637</v>
      </c>
      <c r="BQ144" s="290">
        <v>1274</v>
      </c>
      <c r="BR144" s="290">
        <v>964</v>
      </c>
      <c r="BS144" s="290">
        <v>100</v>
      </c>
      <c r="BT144" s="290">
        <v>0</v>
      </c>
      <c r="BU144" s="290">
        <v>0</v>
      </c>
      <c r="BV144" s="290">
        <v>143</v>
      </c>
      <c r="BW144" s="290">
        <v>0</v>
      </c>
      <c r="BX144" s="290">
        <v>0</v>
      </c>
      <c r="BY144" s="290">
        <v>736</v>
      </c>
      <c r="BZ144" s="290">
        <v>1400</v>
      </c>
      <c r="CA144" s="290">
        <v>337.661</v>
      </c>
      <c r="CB144" s="290">
        <v>67</v>
      </c>
      <c r="CC144" s="290">
        <v>0</v>
      </c>
      <c r="CD144" s="290">
        <v>143</v>
      </c>
      <c r="CE144" s="290">
        <v>209679.27900000001</v>
      </c>
      <c r="CF144" s="290">
        <v>0</v>
      </c>
      <c r="CG144" s="290">
        <v>0</v>
      </c>
      <c r="CH144" s="290">
        <v>0</v>
      </c>
      <c r="CI144" s="290">
        <v>0</v>
      </c>
      <c r="CJ144" s="290"/>
    </row>
    <row r="145" spans="1:88" ht="13">
      <c r="A145" s="1">
        <v>3054</v>
      </c>
      <c r="B145" s="4" t="s">
        <v>861</v>
      </c>
      <c r="C145" s="289">
        <v>9062</v>
      </c>
      <c r="D145" s="290">
        <v>151</v>
      </c>
      <c r="E145" s="290">
        <v>396</v>
      </c>
      <c r="F145" s="290">
        <v>1096</v>
      </c>
      <c r="G145" s="290">
        <v>731</v>
      </c>
      <c r="H145" s="290">
        <v>5153</v>
      </c>
      <c r="I145" s="290">
        <v>1149</v>
      </c>
      <c r="J145" s="290">
        <v>280</v>
      </c>
      <c r="K145" s="290">
        <v>72</v>
      </c>
      <c r="L145" s="290">
        <v>69</v>
      </c>
      <c r="M145" s="290">
        <v>640</v>
      </c>
      <c r="N145" s="290">
        <v>176</v>
      </c>
      <c r="O145" s="290">
        <v>81</v>
      </c>
      <c r="P145" s="624">
        <v>27122.911333330001</v>
      </c>
      <c r="Q145" s="624">
        <v>22516.512999999999</v>
      </c>
      <c r="R145" s="1039">
        <v>43</v>
      </c>
      <c r="S145" s="290">
        <v>0</v>
      </c>
      <c r="T145" s="290">
        <v>719</v>
      </c>
      <c r="U145" s="958">
        <v>2.6041913236692104E-3</v>
      </c>
      <c r="V145" s="290">
        <v>4225.3409620000002</v>
      </c>
      <c r="W145" s="765">
        <v>0.63051091000000004</v>
      </c>
      <c r="X145" s="290">
        <v>600</v>
      </c>
      <c r="Y145" s="290"/>
      <c r="Z145" s="290">
        <v>286568.37800000003</v>
      </c>
      <c r="AA145" s="290">
        <v>0</v>
      </c>
      <c r="AB145" s="290">
        <v>200</v>
      </c>
      <c r="AC145" s="290">
        <v>464</v>
      </c>
      <c r="AD145" s="290">
        <v>173</v>
      </c>
      <c r="AE145" s="290">
        <v>0</v>
      </c>
      <c r="AF145" s="290">
        <v>0</v>
      </c>
      <c r="AG145" s="290">
        <v>9028</v>
      </c>
      <c r="AH145" s="290">
        <v>1564</v>
      </c>
      <c r="AI145" s="290">
        <v>60</v>
      </c>
      <c r="AJ145" s="290">
        <v>0</v>
      </c>
      <c r="AK145" s="290">
        <v>0</v>
      </c>
      <c r="AL145" s="290">
        <v>0</v>
      </c>
      <c r="AM145" s="957">
        <v>0.2370052</v>
      </c>
      <c r="AN145" s="290">
        <v>0</v>
      </c>
      <c r="AO145" s="290">
        <v>-2326.3636736899998</v>
      </c>
      <c r="AP145" s="290">
        <v>0</v>
      </c>
      <c r="AQ145" s="290">
        <v>0</v>
      </c>
      <c r="AR145" s="290">
        <v>-340.95588268</v>
      </c>
      <c r="AS145" s="290">
        <v>746.21500000000003</v>
      </c>
      <c r="AT145" s="290">
        <v>522</v>
      </c>
      <c r="AU145" s="290">
        <v>90</v>
      </c>
      <c r="AV145" s="766">
        <v>245920</v>
      </c>
      <c r="AW145" s="290">
        <v>4800</v>
      </c>
      <c r="AX145" s="766">
        <v>53.625</v>
      </c>
      <c r="AY145" s="290">
        <v>1835</v>
      </c>
      <c r="AZ145" s="290">
        <v>413</v>
      </c>
      <c r="BA145" s="290">
        <v>202</v>
      </c>
      <c r="BB145" s="290">
        <v>0</v>
      </c>
      <c r="BC145" s="290">
        <v>13157.79316664</v>
      </c>
      <c r="BD145" s="290"/>
      <c r="BE145" s="290">
        <v>234548.88525111999</v>
      </c>
      <c r="BF145" s="290">
        <v>0</v>
      </c>
      <c r="BG145" s="290">
        <v>7390</v>
      </c>
      <c r="BH145" s="290">
        <v>1000</v>
      </c>
      <c r="BI145" s="290">
        <v>2201</v>
      </c>
      <c r="BJ145" s="290">
        <v>105</v>
      </c>
      <c r="BK145" s="290">
        <v>343</v>
      </c>
      <c r="BL145" s="290">
        <v>0</v>
      </c>
      <c r="BM145" s="290">
        <v>0</v>
      </c>
      <c r="BN145" s="290">
        <v>215</v>
      </c>
      <c r="BO145" s="290">
        <v>-74</v>
      </c>
      <c r="BP145" s="290">
        <v>840</v>
      </c>
      <c r="BQ145" s="290">
        <v>1681</v>
      </c>
      <c r="BR145" s="290">
        <v>1272</v>
      </c>
      <c r="BS145" s="290">
        <v>130</v>
      </c>
      <c r="BT145" s="290">
        <v>0</v>
      </c>
      <c r="BU145" s="290">
        <v>0</v>
      </c>
      <c r="BV145" s="290">
        <v>197</v>
      </c>
      <c r="BW145" s="290">
        <v>0</v>
      </c>
      <c r="BX145" s="290">
        <v>0</v>
      </c>
      <c r="BY145" s="290">
        <v>947</v>
      </c>
      <c r="BZ145" s="290">
        <v>2900</v>
      </c>
      <c r="CA145" s="290">
        <v>444.351</v>
      </c>
      <c r="CB145" s="290">
        <v>86</v>
      </c>
      <c r="CC145" s="290">
        <v>1</v>
      </c>
      <c r="CD145" s="290">
        <v>183</v>
      </c>
      <c r="CE145" s="290">
        <v>286568.37800000003</v>
      </c>
      <c r="CF145" s="290">
        <v>0</v>
      </c>
      <c r="CG145" s="290">
        <v>0</v>
      </c>
      <c r="CH145" s="290">
        <v>0</v>
      </c>
      <c r="CI145" s="290">
        <v>0</v>
      </c>
      <c r="CJ145" s="290"/>
    </row>
    <row r="146" spans="1:88" ht="13">
      <c r="A146" s="1">
        <v>3401</v>
      </c>
      <c r="B146" s="2" t="s">
        <v>824</v>
      </c>
      <c r="C146" s="289">
        <v>17851</v>
      </c>
      <c r="D146" s="290">
        <v>249</v>
      </c>
      <c r="E146" s="290">
        <v>594</v>
      </c>
      <c r="F146" s="290">
        <v>1916</v>
      </c>
      <c r="G146" s="290">
        <v>1434</v>
      </c>
      <c r="H146" s="290">
        <v>9787</v>
      </c>
      <c r="I146" s="290">
        <v>2844</v>
      </c>
      <c r="J146" s="290">
        <v>811</v>
      </c>
      <c r="K146" s="290">
        <v>161</v>
      </c>
      <c r="L146" s="290">
        <v>154</v>
      </c>
      <c r="M146" s="290">
        <v>1920</v>
      </c>
      <c r="N146" s="290">
        <v>586</v>
      </c>
      <c r="O146" s="290">
        <v>136</v>
      </c>
      <c r="P146" s="624">
        <v>96234.747000000003</v>
      </c>
      <c r="Q146" s="624">
        <v>32685.692666669998</v>
      </c>
      <c r="R146" s="1039">
        <v>94</v>
      </c>
      <c r="S146" s="290">
        <v>0</v>
      </c>
      <c r="T146" s="290">
        <v>1781</v>
      </c>
      <c r="U146" s="958">
        <v>4.1214067908085447E-3</v>
      </c>
      <c r="V146" s="290">
        <v>-6945.2965301599997</v>
      </c>
      <c r="W146" s="765">
        <v>0.59992606999999998</v>
      </c>
      <c r="X146" s="290">
        <v>800</v>
      </c>
      <c r="Y146" s="290"/>
      <c r="Z146" s="290">
        <v>548005.07400000002</v>
      </c>
      <c r="AA146" s="290">
        <v>0</v>
      </c>
      <c r="AB146" s="290">
        <v>583</v>
      </c>
      <c r="AC146" s="290">
        <v>813</v>
      </c>
      <c r="AD146" s="290">
        <v>350</v>
      </c>
      <c r="AE146" s="290">
        <v>0</v>
      </c>
      <c r="AF146" s="290">
        <v>0</v>
      </c>
      <c r="AG146" s="290">
        <v>17796</v>
      </c>
      <c r="AH146" s="290">
        <v>2706</v>
      </c>
      <c r="AI146" s="290">
        <v>0</v>
      </c>
      <c r="AJ146" s="290">
        <v>0</v>
      </c>
      <c r="AK146" s="290">
        <v>0</v>
      </c>
      <c r="AL146" s="290">
        <v>0</v>
      </c>
      <c r="AM146" s="957">
        <v>0.57556004000000005</v>
      </c>
      <c r="AN146" s="290">
        <v>17931</v>
      </c>
      <c r="AO146" s="290">
        <v>-4716.4063658799996</v>
      </c>
      <c r="AP146" s="290">
        <v>0</v>
      </c>
      <c r="AQ146" s="290">
        <v>0</v>
      </c>
      <c r="AR146" s="290">
        <v>-672.09247763999997</v>
      </c>
      <c r="AS146" s="290">
        <v>1268.173</v>
      </c>
      <c r="AT146" s="290">
        <v>1112</v>
      </c>
      <c r="AU146" s="290">
        <v>182</v>
      </c>
      <c r="AV146" s="766">
        <v>521460</v>
      </c>
      <c r="AW146" s="290">
        <v>2500</v>
      </c>
      <c r="AX146" s="766">
        <v>102.91670000000001</v>
      </c>
      <c r="AY146" s="290">
        <v>3491</v>
      </c>
      <c r="AZ146" s="290">
        <v>904</v>
      </c>
      <c r="BA146" s="290">
        <v>423</v>
      </c>
      <c r="BB146" s="290">
        <v>0</v>
      </c>
      <c r="BC146" s="290">
        <v>24258.21853532</v>
      </c>
      <c r="BD146" s="290"/>
      <c r="BE146" s="290">
        <v>492930.88477423001</v>
      </c>
      <c r="BF146" s="290">
        <v>0</v>
      </c>
      <c r="BG146" s="290">
        <v>14568</v>
      </c>
      <c r="BH146" s="290">
        <v>1000</v>
      </c>
      <c r="BI146" s="290">
        <v>3869</v>
      </c>
      <c r="BJ146" s="290">
        <v>205</v>
      </c>
      <c r="BK146" s="290">
        <v>540</v>
      </c>
      <c r="BL146" s="290">
        <v>0</v>
      </c>
      <c r="BM146" s="290">
        <v>0</v>
      </c>
      <c r="BN146" s="290">
        <v>338</v>
      </c>
      <c r="BO146" s="290">
        <v>-183</v>
      </c>
      <c r="BP146" s="290">
        <v>1656</v>
      </c>
      <c r="BQ146" s="290">
        <v>3311</v>
      </c>
      <c r="BR146" s="290">
        <v>2506</v>
      </c>
      <c r="BS146" s="290">
        <v>262</v>
      </c>
      <c r="BT146" s="290">
        <v>0</v>
      </c>
      <c r="BU146" s="290">
        <v>0</v>
      </c>
      <c r="BV146" s="290">
        <v>311</v>
      </c>
      <c r="BW146" s="290">
        <v>0</v>
      </c>
      <c r="BX146" s="290">
        <v>0</v>
      </c>
      <c r="BY146" s="290">
        <v>2142</v>
      </c>
      <c r="BZ146" s="290">
        <v>0</v>
      </c>
      <c r="CA146" s="290">
        <v>1691.42</v>
      </c>
      <c r="CB146" s="290">
        <v>160</v>
      </c>
      <c r="CC146" s="290">
        <v>1</v>
      </c>
      <c r="CD146" s="290">
        <v>453</v>
      </c>
      <c r="CE146" s="290">
        <v>548005.07400000002</v>
      </c>
      <c r="CF146" s="290">
        <v>0</v>
      </c>
      <c r="CG146" s="290">
        <v>0</v>
      </c>
      <c r="CH146" s="290">
        <v>0</v>
      </c>
      <c r="CI146" s="290">
        <v>0</v>
      </c>
      <c r="CJ146" s="290"/>
    </row>
    <row r="147" spans="1:88" ht="13">
      <c r="A147" s="1">
        <v>3403</v>
      </c>
      <c r="B147" s="2" t="s">
        <v>825</v>
      </c>
      <c r="C147" s="289">
        <v>31509</v>
      </c>
      <c r="D147" s="290">
        <v>506</v>
      </c>
      <c r="E147" s="290">
        <v>1190</v>
      </c>
      <c r="F147" s="290">
        <v>3437</v>
      </c>
      <c r="G147" s="290">
        <v>2624</v>
      </c>
      <c r="H147" s="290">
        <v>17393</v>
      </c>
      <c r="I147" s="290">
        <v>4440</v>
      </c>
      <c r="J147" s="290">
        <v>1405</v>
      </c>
      <c r="K147" s="290">
        <v>384</v>
      </c>
      <c r="L147" s="290">
        <v>230</v>
      </c>
      <c r="M147" s="290">
        <v>2858</v>
      </c>
      <c r="N147" s="290">
        <v>1187</v>
      </c>
      <c r="O147" s="290">
        <v>305</v>
      </c>
      <c r="P147" s="624">
        <v>44406.880333330002</v>
      </c>
      <c r="Q147" s="624">
        <v>25627.156999999999</v>
      </c>
      <c r="R147" s="1039">
        <v>119</v>
      </c>
      <c r="S147" s="290">
        <v>0</v>
      </c>
      <c r="T147" s="290">
        <v>3126</v>
      </c>
      <c r="U147" s="958">
        <v>2.5717656647733277E-3</v>
      </c>
      <c r="V147" s="290">
        <v>-4857.8876065100003</v>
      </c>
      <c r="W147" s="765">
        <v>0.53502081999999995</v>
      </c>
      <c r="X147" s="290">
        <v>920</v>
      </c>
      <c r="Y147" s="290"/>
      <c r="Z147" s="290">
        <v>1065440.294</v>
      </c>
      <c r="AA147" s="290">
        <v>0</v>
      </c>
      <c r="AB147" s="290">
        <v>706</v>
      </c>
      <c r="AC147" s="290">
        <v>1414</v>
      </c>
      <c r="AD147" s="290">
        <v>574</v>
      </c>
      <c r="AE147" s="290">
        <v>0</v>
      </c>
      <c r="AF147" s="290">
        <v>0</v>
      </c>
      <c r="AG147" s="290">
        <v>31379</v>
      </c>
      <c r="AH147" s="290">
        <v>4910</v>
      </c>
      <c r="AI147" s="290">
        <v>4000</v>
      </c>
      <c r="AJ147" s="290">
        <v>0</v>
      </c>
      <c r="AK147" s="290">
        <v>0</v>
      </c>
      <c r="AL147" s="290">
        <v>0</v>
      </c>
      <c r="AM147" s="957">
        <v>0.85620890000000005</v>
      </c>
      <c r="AN147" s="290">
        <v>0</v>
      </c>
      <c r="AO147" s="290">
        <v>-8038.3710182599998</v>
      </c>
      <c r="AP147" s="290">
        <v>0</v>
      </c>
      <c r="AQ147" s="290">
        <v>0</v>
      </c>
      <c r="AR147" s="290">
        <v>-1185.0747277999999</v>
      </c>
      <c r="AS147" s="290">
        <v>2107.9865</v>
      </c>
      <c r="AT147" s="290">
        <v>1670</v>
      </c>
      <c r="AU147" s="290">
        <v>308</v>
      </c>
      <c r="AV147" s="766">
        <v>823941</v>
      </c>
      <c r="AW147" s="290">
        <v>5000</v>
      </c>
      <c r="AX147" s="766">
        <v>177.83335</v>
      </c>
      <c r="AY147" s="290">
        <v>9985</v>
      </c>
      <c r="AZ147" s="290">
        <v>1638</v>
      </c>
      <c r="BA147" s="290">
        <v>650</v>
      </c>
      <c r="BB147" s="290">
        <v>0</v>
      </c>
      <c r="BC147" s="290">
        <v>41336.49586137</v>
      </c>
      <c r="BD147" s="290"/>
      <c r="BE147" s="290">
        <v>783313.96485522005</v>
      </c>
      <c r="BF147" s="290">
        <v>0</v>
      </c>
      <c r="BG147" s="290">
        <v>25687</v>
      </c>
      <c r="BH147" s="290">
        <v>1500</v>
      </c>
      <c r="BI147" s="290">
        <v>6898</v>
      </c>
      <c r="BJ147" s="290">
        <v>362</v>
      </c>
      <c r="BK147" s="290">
        <v>1117</v>
      </c>
      <c r="BL147" s="290">
        <v>0</v>
      </c>
      <c r="BM147" s="290">
        <v>0</v>
      </c>
      <c r="BN147" s="290">
        <v>699</v>
      </c>
      <c r="BO147" s="290">
        <v>-306</v>
      </c>
      <c r="BP147" s="290">
        <v>2922</v>
      </c>
      <c r="BQ147" s="290">
        <v>5844</v>
      </c>
      <c r="BR147" s="290">
        <v>4424</v>
      </c>
      <c r="BS147" s="290">
        <v>430</v>
      </c>
      <c r="BT147" s="290">
        <v>0</v>
      </c>
      <c r="BU147" s="290">
        <v>0</v>
      </c>
      <c r="BV147" s="290">
        <v>643</v>
      </c>
      <c r="BW147" s="290">
        <v>0</v>
      </c>
      <c r="BX147" s="290">
        <v>0</v>
      </c>
      <c r="BY147" s="290">
        <v>3579</v>
      </c>
      <c r="BZ147" s="290">
        <v>16200</v>
      </c>
      <c r="CA147" s="290">
        <v>8030.598</v>
      </c>
      <c r="CB147" s="290">
        <v>275</v>
      </c>
      <c r="CC147" s="290">
        <v>2</v>
      </c>
      <c r="CD147" s="290">
        <v>759</v>
      </c>
      <c r="CE147" s="290">
        <v>1065440.294</v>
      </c>
      <c r="CF147" s="290">
        <v>0</v>
      </c>
      <c r="CG147" s="290">
        <v>0</v>
      </c>
      <c r="CH147" s="290">
        <v>0</v>
      </c>
      <c r="CI147" s="290">
        <v>0</v>
      </c>
      <c r="CJ147" s="290"/>
    </row>
    <row r="148" spans="1:88" ht="13">
      <c r="A148" s="1">
        <v>3405</v>
      </c>
      <c r="B148" s="2" t="s">
        <v>845</v>
      </c>
      <c r="C148" s="289">
        <v>28493</v>
      </c>
      <c r="D148" s="290">
        <v>510</v>
      </c>
      <c r="E148" s="290">
        <v>1068</v>
      </c>
      <c r="F148" s="290">
        <v>3124</v>
      </c>
      <c r="G148" s="290">
        <v>2661</v>
      </c>
      <c r="H148" s="290">
        <v>15674</v>
      </c>
      <c r="I148" s="290">
        <v>3627</v>
      </c>
      <c r="J148" s="290">
        <v>1248</v>
      </c>
      <c r="K148" s="290">
        <v>297</v>
      </c>
      <c r="L148" s="290">
        <v>207</v>
      </c>
      <c r="M148" s="290">
        <v>2353</v>
      </c>
      <c r="N148" s="290">
        <v>932</v>
      </c>
      <c r="O148" s="290">
        <v>246</v>
      </c>
      <c r="P148" s="624">
        <v>74925.525999999998</v>
      </c>
      <c r="Q148" s="624">
        <v>43667.892666669999</v>
      </c>
      <c r="R148" s="1039">
        <v>117</v>
      </c>
      <c r="S148" s="290">
        <v>0</v>
      </c>
      <c r="T148" s="290">
        <v>2397</v>
      </c>
      <c r="U148" s="958">
        <v>3.453756465510026E-3</v>
      </c>
      <c r="V148" s="290">
        <v>-5763.8013350000001</v>
      </c>
      <c r="W148" s="765">
        <v>0.55543016999999995</v>
      </c>
      <c r="X148" s="290">
        <v>200</v>
      </c>
      <c r="Y148" s="290"/>
      <c r="Z148" s="290">
        <v>948325.75899999996</v>
      </c>
      <c r="AA148" s="290">
        <v>0</v>
      </c>
      <c r="AB148" s="290">
        <v>543</v>
      </c>
      <c r="AC148" s="290">
        <v>1463</v>
      </c>
      <c r="AD148" s="290">
        <v>521</v>
      </c>
      <c r="AE148" s="290">
        <v>0</v>
      </c>
      <c r="AF148" s="290">
        <v>0</v>
      </c>
      <c r="AG148" s="290">
        <v>28209</v>
      </c>
      <c r="AH148" s="290">
        <v>4549</v>
      </c>
      <c r="AI148" s="290">
        <v>2500</v>
      </c>
      <c r="AJ148" s="290">
        <v>0</v>
      </c>
      <c r="AK148" s="290">
        <v>0</v>
      </c>
      <c r="AL148" s="290">
        <v>0</v>
      </c>
      <c r="AM148" s="957">
        <v>0.35510338000000002</v>
      </c>
      <c r="AN148" s="290">
        <v>0</v>
      </c>
      <c r="AO148" s="290">
        <v>-7157.7704034600001</v>
      </c>
      <c r="AP148" s="290">
        <v>0</v>
      </c>
      <c r="AQ148" s="290">
        <v>0</v>
      </c>
      <c r="AR148" s="290">
        <v>-1065.3549506500001</v>
      </c>
      <c r="AS148" s="290">
        <v>2055.6365000000001</v>
      </c>
      <c r="AT148" s="290">
        <v>1271</v>
      </c>
      <c r="AU148" s="290">
        <v>188</v>
      </c>
      <c r="AV148" s="766">
        <v>720667</v>
      </c>
      <c r="AW148" s="290">
        <v>3000</v>
      </c>
      <c r="AX148" s="766">
        <v>231.74995000000001</v>
      </c>
      <c r="AY148" s="290">
        <v>9519</v>
      </c>
      <c r="AZ148" s="290">
        <v>1194</v>
      </c>
      <c r="BA148" s="290">
        <v>474</v>
      </c>
      <c r="BB148" s="290">
        <v>0</v>
      </c>
      <c r="BC148" s="290">
        <v>36956.66204612</v>
      </c>
      <c r="BD148" s="290"/>
      <c r="BE148" s="290">
        <v>687392.27386389999</v>
      </c>
      <c r="BF148" s="290">
        <v>0</v>
      </c>
      <c r="BG148" s="290">
        <v>23092</v>
      </c>
      <c r="BH148" s="290">
        <v>1000</v>
      </c>
      <c r="BI148" s="290">
        <v>6533</v>
      </c>
      <c r="BJ148" s="290">
        <v>329</v>
      </c>
      <c r="BK148" s="290">
        <v>1053</v>
      </c>
      <c r="BL148" s="290">
        <v>0</v>
      </c>
      <c r="BM148" s="290">
        <v>0</v>
      </c>
      <c r="BN148" s="290">
        <v>659</v>
      </c>
      <c r="BO148" s="290">
        <v>-232</v>
      </c>
      <c r="BP148" s="290">
        <v>2642</v>
      </c>
      <c r="BQ148" s="290">
        <v>5285</v>
      </c>
      <c r="BR148" s="290">
        <v>4001</v>
      </c>
      <c r="BS148" s="290">
        <v>391</v>
      </c>
      <c r="BT148" s="290">
        <v>0</v>
      </c>
      <c r="BU148" s="290">
        <v>0</v>
      </c>
      <c r="BV148" s="290">
        <v>606</v>
      </c>
      <c r="BW148" s="290">
        <v>0</v>
      </c>
      <c r="BX148" s="290">
        <v>0</v>
      </c>
      <c r="BY148" s="290">
        <v>3065</v>
      </c>
      <c r="BZ148" s="290">
        <v>6800</v>
      </c>
      <c r="CA148" s="290">
        <v>8410.0020000000004</v>
      </c>
      <c r="CB148" s="290">
        <v>249</v>
      </c>
      <c r="CC148" s="290">
        <v>2</v>
      </c>
      <c r="CD148" s="290">
        <v>573</v>
      </c>
      <c r="CE148" s="290">
        <v>948325.75899999996</v>
      </c>
      <c r="CF148" s="290">
        <v>0</v>
      </c>
      <c r="CG148" s="290">
        <v>0</v>
      </c>
      <c r="CH148" s="290">
        <v>0</v>
      </c>
      <c r="CI148" s="290">
        <v>0</v>
      </c>
      <c r="CJ148" s="290"/>
    </row>
    <row r="149" spans="1:88" ht="13">
      <c r="A149" s="1">
        <v>3407</v>
      </c>
      <c r="B149" s="2" t="s">
        <v>846</v>
      </c>
      <c r="C149" s="289">
        <v>30395</v>
      </c>
      <c r="D149" s="290">
        <v>465</v>
      </c>
      <c r="E149" s="290">
        <v>1169</v>
      </c>
      <c r="F149" s="290">
        <v>3357</v>
      </c>
      <c r="G149" s="290">
        <v>2832</v>
      </c>
      <c r="H149" s="290">
        <v>17100</v>
      </c>
      <c r="I149" s="290">
        <v>4008</v>
      </c>
      <c r="J149" s="290">
        <v>1198</v>
      </c>
      <c r="K149" s="290">
        <v>280</v>
      </c>
      <c r="L149" s="290">
        <v>257</v>
      </c>
      <c r="M149" s="290">
        <v>2455</v>
      </c>
      <c r="N149" s="290">
        <v>1290</v>
      </c>
      <c r="O149" s="290">
        <v>291</v>
      </c>
      <c r="P149" s="624">
        <v>102727.53966667</v>
      </c>
      <c r="Q149" s="624">
        <v>50379.241333329999</v>
      </c>
      <c r="R149" s="1039">
        <v>124</v>
      </c>
      <c r="S149" s="290">
        <v>0</v>
      </c>
      <c r="T149" s="290">
        <v>2705</v>
      </c>
      <c r="U149" s="958">
        <v>6.4083313021069096E-3</v>
      </c>
      <c r="V149" s="290">
        <v>-4122.1812877900002</v>
      </c>
      <c r="W149" s="765">
        <v>0.57280439000000005</v>
      </c>
      <c r="X149" s="290">
        <v>250</v>
      </c>
      <c r="Y149" s="290"/>
      <c r="Z149" s="290">
        <v>909888.27899999998</v>
      </c>
      <c r="AA149" s="290">
        <v>0</v>
      </c>
      <c r="AB149" s="290">
        <v>859</v>
      </c>
      <c r="AC149" s="290">
        <v>1407</v>
      </c>
      <c r="AD149" s="290">
        <v>561</v>
      </c>
      <c r="AE149" s="290">
        <v>0</v>
      </c>
      <c r="AF149" s="290">
        <v>0</v>
      </c>
      <c r="AG149" s="290">
        <v>30409</v>
      </c>
      <c r="AH149" s="290">
        <v>4851</v>
      </c>
      <c r="AI149" s="290">
        <v>4340</v>
      </c>
      <c r="AJ149" s="290">
        <v>0</v>
      </c>
      <c r="AK149" s="290">
        <v>0</v>
      </c>
      <c r="AL149" s="290">
        <v>0</v>
      </c>
      <c r="AM149" s="957">
        <v>0.72830280000000003</v>
      </c>
      <c r="AN149" s="290">
        <v>0</v>
      </c>
      <c r="AO149" s="290">
        <v>-7662.3211603500004</v>
      </c>
      <c r="AP149" s="290">
        <v>0</v>
      </c>
      <c r="AQ149" s="290">
        <v>0</v>
      </c>
      <c r="AR149" s="290">
        <v>-1148.44123132</v>
      </c>
      <c r="AS149" s="290">
        <v>2200.8040000000001</v>
      </c>
      <c r="AT149" s="290">
        <v>1628</v>
      </c>
      <c r="AU149" s="290">
        <v>298</v>
      </c>
      <c r="AV149" s="766">
        <v>778956</v>
      </c>
      <c r="AW149" s="290">
        <v>4000</v>
      </c>
      <c r="AX149" s="766">
        <v>148.58335</v>
      </c>
      <c r="AY149" s="290">
        <v>7604</v>
      </c>
      <c r="AZ149" s="290">
        <v>1402</v>
      </c>
      <c r="BA149" s="290">
        <v>606</v>
      </c>
      <c r="BB149" s="290">
        <v>0</v>
      </c>
      <c r="BC149" s="290">
        <v>41600.073593449997</v>
      </c>
      <c r="BD149" s="290"/>
      <c r="BE149" s="290">
        <v>731079.96819768997</v>
      </c>
      <c r="BF149" s="290">
        <v>0</v>
      </c>
      <c r="BG149" s="290">
        <v>24893</v>
      </c>
      <c r="BH149" s="290">
        <v>1500</v>
      </c>
      <c r="BI149" s="290">
        <v>6819</v>
      </c>
      <c r="BJ149" s="290">
        <v>354</v>
      </c>
      <c r="BK149" s="290">
        <v>1045</v>
      </c>
      <c r="BL149" s="290">
        <v>0</v>
      </c>
      <c r="BM149" s="290">
        <v>0</v>
      </c>
      <c r="BN149" s="290">
        <v>653</v>
      </c>
      <c r="BO149" s="290">
        <v>-298</v>
      </c>
      <c r="BP149" s="290">
        <v>2819</v>
      </c>
      <c r="BQ149" s="290">
        <v>5638</v>
      </c>
      <c r="BR149" s="290">
        <v>4268</v>
      </c>
      <c r="BS149" s="290">
        <v>421</v>
      </c>
      <c r="BT149" s="290">
        <v>0</v>
      </c>
      <c r="BU149" s="290">
        <v>0</v>
      </c>
      <c r="BV149" s="290">
        <v>601</v>
      </c>
      <c r="BW149" s="290">
        <v>0</v>
      </c>
      <c r="BX149" s="290">
        <v>0</v>
      </c>
      <c r="BY149" s="290">
        <v>3235</v>
      </c>
      <c r="BZ149" s="290">
        <v>0</v>
      </c>
      <c r="CA149" s="290">
        <v>5066.2</v>
      </c>
      <c r="CB149" s="290">
        <v>268</v>
      </c>
      <c r="CC149" s="290">
        <v>2</v>
      </c>
      <c r="CD149" s="290">
        <v>737</v>
      </c>
      <c r="CE149" s="290">
        <v>909888.27899999998</v>
      </c>
      <c r="CF149" s="290">
        <v>0</v>
      </c>
      <c r="CG149" s="290">
        <v>0</v>
      </c>
      <c r="CH149" s="290">
        <v>0</v>
      </c>
      <c r="CI149" s="290">
        <v>0</v>
      </c>
      <c r="CJ149" s="290"/>
    </row>
    <row r="150" spans="1:88" ht="13">
      <c r="A150" s="1">
        <v>3411</v>
      </c>
      <c r="B150" s="2" t="s">
        <v>826</v>
      </c>
      <c r="C150" s="289">
        <v>34897</v>
      </c>
      <c r="D150" s="290">
        <v>660</v>
      </c>
      <c r="E150" s="290">
        <v>1393</v>
      </c>
      <c r="F150" s="290">
        <v>3984</v>
      </c>
      <c r="G150" s="290">
        <v>2915</v>
      </c>
      <c r="H150" s="290">
        <v>19672</v>
      </c>
      <c r="I150" s="290">
        <v>4506</v>
      </c>
      <c r="J150" s="290">
        <v>1399</v>
      </c>
      <c r="K150" s="290">
        <v>293</v>
      </c>
      <c r="L150" s="290">
        <v>283</v>
      </c>
      <c r="M150" s="290">
        <v>2668</v>
      </c>
      <c r="N150" s="290">
        <v>522</v>
      </c>
      <c r="O150" s="290">
        <v>266</v>
      </c>
      <c r="P150" s="624">
        <v>162230.12666667</v>
      </c>
      <c r="Q150" s="624">
        <v>61027.108999999997</v>
      </c>
      <c r="R150" s="1039">
        <v>146</v>
      </c>
      <c r="S150" s="290">
        <v>0</v>
      </c>
      <c r="T150" s="290">
        <v>2864</v>
      </c>
      <c r="U150" s="958">
        <v>1.162922026344201E-2</v>
      </c>
      <c r="V150" s="290">
        <v>10453.423904380001</v>
      </c>
      <c r="W150" s="765">
        <v>0.58951710000000002</v>
      </c>
      <c r="X150" s="290">
        <v>0</v>
      </c>
      <c r="Y150" s="290"/>
      <c r="Z150" s="290">
        <v>1013294.552</v>
      </c>
      <c r="AA150" s="290">
        <v>0</v>
      </c>
      <c r="AB150" s="290">
        <v>908</v>
      </c>
      <c r="AC150" s="290">
        <v>1667</v>
      </c>
      <c r="AD150" s="290">
        <v>647</v>
      </c>
      <c r="AE150" s="290">
        <v>0</v>
      </c>
      <c r="AF150" s="290">
        <v>0</v>
      </c>
      <c r="AG150" s="290">
        <v>34822</v>
      </c>
      <c r="AH150" s="290">
        <v>5759</v>
      </c>
      <c r="AI150" s="290">
        <v>5940</v>
      </c>
      <c r="AJ150" s="290">
        <v>0</v>
      </c>
      <c r="AK150" s="290">
        <v>0</v>
      </c>
      <c r="AL150" s="290">
        <v>0</v>
      </c>
      <c r="AM150" s="957">
        <v>0.75421682999999995</v>
      </c>
      <c r="AN150" s="290">
        <v>0</v>
      </c>
      <c r="AO150" s="290">
        <v>-8775.8671574300006</v>
      </c>
      <c r="AP150" s="290">
        <v>0</v>
      </c>
      <c r="AQ150" s="290">
        <v>0</v>
      </c>
      <c r="AR150" s="290">
        <v>-1315.1047570400001</v>
      </c>
      <c r="AS150" s="290">
        <v>2558.7220000000002</v>
      </c>
      <c r="AT150" s="290">
        <v>1971</v>
      </c>
      <c r="AU150" s="290">
        <v>321</v>
      </c>
      <c r="AV150" s="766">
        <v>897716</v>
      </c>
      <c r="AW150" s="290">
        <v>0</v>
      </c>
      <c r="AX150" s="766">
        <v>246.29165</v>
      </c>
      <c r="AY150" s="290">
        <v>6856</v>
      </c>
      <c r="AZ150" s="290">
        <v>1441</v>
      </c>
      <c r="BA150" s="290">
        <v>729</v>
      </c>
      <c r="BB150" s="290">
        <v>0</v>
      </c>
      <c r="BC150" s="290">
        <v>46172.444155220001</v>
      </c>
      <c r="BD150" s="290"/>
      <c r="BE150" s="290">
        <v>852675.01844701997</v>
      </c>
      <c r="BF150" s="290">
        <v>0</v>
      </c>
      <c r="BG150" s="290">
        <v>28505</v>
      </c>
      <c r="BH150" s="290">
        <v>1500</v>
      </c>
      <c r="BI150" s="290">
        <v>8073</v>
      </c>
      <c r="BJ150" s="290">
        <v>397</v>
      </c>
      <c r="BK150" s="290">
        <v>1247</v>
      </c>
      <c r="BL150" s="290">
        <v>0</v>
      </c>
      <c r="BM150" s="290">
        <v>0</v>
      </c>
      <c r="BN150" s="290">
        <v>780</v>
      </c>
      <c r="BO150" s="290">
        <v>-280</v>
      </c>
      <c r="BP150" s="290">
        <v>3236</v>
      </c>
      <c r="BQ150" s="290">
        <v>6473</v>
      </c>
      <c r="BR150" s="290">
        <v>4900</v>
      </c>
      <c r="BS150" s="290">
        <v>485</v>
      </c>
      <c r="BT150" s="290">
        <v>0</v>
      </c>
      <c r="BU150" s="290">
        <v>0</v>
      </c>
      <c r="BV150" s="290">
        <v>718</v>
      </c>
      <c r="BW150" s="290">
        <v>0</v>
      </c>
      <c r="BX150" s="290">
        <v>0</v>
      </c>
      <c r="BY150" s="290">
        <v>3690</v>
      </c>
      <c r="BZ150" s="290">
        <v>3200</v>
      </c>
      <c r="CA150" s="290">
        <v>1676.251</v>
      </c>
      <c r="CB150" s="290">
        <v>306</v>
      </c>
      <c r="CC150" s="290">
        <v>2</v>
      </c>
      <c r="CD150" s="290">
        <v>693</v>
      </c>
      <c r="CE150" s="290">
        <v>1013294.552</v>
      </c>
      <c r="CF150" s="290">
        <v>0</v>
      </c>
      <c r="CG150" s="290">
        <v>0</v>
      </c>
      <c r="CH150" s="290">
        <v>0</v>
      </c>
      <c r="CI150" s="290">
        <v>0</v>
      </c>
      <c r="CJ150" s="290"/>
    </row>
    <row r="151" spans="1:88" ht="13">
      <c r="A151" s="1">
        <v>3412</v>
      </c>
      <c r="B151" s="2" t="s">
        <v>827</v>
      </c>
      <c r="C151" s="289">
        <v>7625</v>
      </c>
      <c r="D151" s="290">
        <v>133</v>
      </c>
      <c r="E151" s="290">
        <v>300</v>
      </c>
      <c r="F151" s="290">
        <v>879</v>
      </c>
      <c r="G151" s="290">
        <v>573</v>
      </c>
      <c r="H151" s="290">
        <v>4325</v>
      </c>
      <c r="I151" s="290">
        <v>1080</v>
      </c>
      <c r="J151" s="290">
        <v>287</v>
      </c>
      <c r="K151" s="290">
        <v>63</v>
      </c>
      <c r="L151" s="290">
        <v>64</v>
      </c>
      <c r="M151" s="290">
        <v>660</v>
      </c>
      <c r="N151" s="290">
        <v>118</v>
      </c>
      <c r="O151" s="290">
        <v>88</v>
      </c>
      <c r="P151" s="624">
        <v>28910.581999999999</v>
      </c>
      <c r="Q151" s="624">
        <v>13352.142</v>
      </c>
      <c r="R151" s="1039">
        <v>33</v>
      </c>
      <c r="S151" s="290">
        <v>0</v>
      </c>
      <c r="T151" s="290">
        <v>630</v>
      </c>
      <c r="U151" s="958">
        <v>3.1315332934892031E-3</v>
      </c>
      <c r="V151" s="290">
        <v>-3666.9857682400002</v>
      </c>
      <c r="W151" s="765">
        <v>0.58529514999999999</v>
      </c>
      <c r="X151" s="290">
        <v>800</v>
      </c>
      <c r="Y151" s="290"/>
      <c r="Z151" s="290">
        <v>204503.18400000001</v>
      </c>
      <c r="AA151" s="290">
        <v>0</v>
      </c>
      <c r="AB151" s="290">
        <v>236</v>
      </c>
      <c r="AC151" s="290">
        <v>376</v>
      </c>
      <c r="AD151" s="290">
        <v>149</v>
      </c>
      <c r="AE151" s="290">
        <v>0</v>
      </c>
      <c r="AF151" s="290">
        <v>0</v>
      </c>
      <c r="AG151" s="290">
        <v>7640</v>
      </c>
      <c r="AH151" s="290">
        <v>1240</v>
      </c>
      <c r="AI151" s="290">
        <v>1000</v>
      </c>
      <c r="AJ151" s="290">
        <v>0</v>
      </c>
      <c r="AK151" s="290">
        <v>0</v>
      </c>
      <c r="AL151" s="290">
        <v>0</v>
      </c>
      <c r="AM151" s="957">
        <v>0.16529051</v>
      </c>
      <c r="AN151" s="290">
        <v>0</v>
      </c>
      <c r="AO151" s="290">
        <v>-1972.3709301700001</v>
      </c>
      <c r="AP151" s="290">
        <v>0</v>
      </c>
      <c r="AQ151" s="290">
        <v>0</v>
      </c>
      <c r="AR151" s="290">
        <v>-288.53599286999997</v>
      </c>
      <c r="AS151" s="290">
        <v>555.22400000000005</v>
      </c>
      <c r="AT151" s="290">
        <v>399</v>
      </c>
      <c r="AU151" s="290">
        <v>76</v>
      </c>
      <c r="AV151" s="766">
        <v>205443</v>
      </c>
      <c r="AW151" s="290">
        <v>500</v>
      </c>
      <c r="AX151" s="766">
        <v>38.208350000000003</v>
      </c>
      <c r="AY151" s="290">
        <v>1404</v>
      </c>
      <c r="AZ151" s="290">
        <v>321</v>
      </c>
      <c r="BA151" s="290">
        <v>178</v>
      </c>
      <c r="BB151" s="290">
        <v>0</v>
      </c>
      <c r="BC151" s="290">
        <v>10537.9592572</v>
      </c>
      <c r="BD151" s="290"/>
      <c r="BE151" s="290">
        <v>192249.05863478</v>
      </c>
      <c r="BF151" s="290">
        <v>0</v>
      </c>
      <c r="BG151" s="290">
        <v>6254</v>
      </c>
      <c r="BH151" s="290">
        <v>1000</v>
      </c>
      <c r="BI151" s="290">
        <v>1765</v>
      </c>
      <c r="BJ151" s="290">
        <v>88</v>
      </c>
      <c r="BK151" s="290">
        <v>259</v>
      </c>
      <c r="BL151" s="290">
        <v>0</v>
      </c>
      <c r="BM151" s="290">
        <v>0</v>
      </c>
      <c r="BN151" s="290">
        <v>162</v>
      </c>
      <c r="BO151" s="290">
        <v>-63</v>
      </c>
      <c r="BP151" s="290">
        <v>707</v>
      </c>
      <c r="BQ151" s="290">
        <v>1414</v>
      </c>
      <c r="BR151" s="290">
        <v>1071</v>
      </c>
      <c r="BS151" s="290">
        <v>112</v>
      </c>
      <c r="BT151" s="290">
        <v>0</v>
      </c>
      <c r="BU151" s="290">
        <v>0</v>
      </c>
      <c r="BV151" s="290">
        <v>149</v>
      </c>
      <c r="BW151" s="290">
        <v>0</v>
      </c>
      <c r="BX151" s="290">
        <v>0</v>
      </c>
      <c r="BY151" s="290">
        <v>838</v>
      </c>
      <c r="BZ151" s="290">
        <v>600</v>
      </c>
      <c r="CA151" s="290">
        <v>376.73599999999999</v>
      </c>
      <c r="CB151" s="290">
        <v>73</v>
      </c>
      <c r="CC151" s="290">
        <v>0</v>
      </c>
      <c r="CD151" s="290">
        <v>156</v>
      </c>
      <c r="CE151" s="290">
        <v>204503.18400000001</v>
      </c>
      <c r="CF151" s="290">
        <v>0</v>
      </c>
      <c r="CG151" s="290">
        <v>0</v>
      </c>
      <c r="CH151" s="290">
        <v>0</v>
      </c>
      <c r="CI151" s="290">
        <v>0</v>
      </c>
      <c r="CJ151" s="290"/>
    </row>
    <row r="152" spans="1:88" ht="13">
      <c r="A152" s="1">
        <v>3413</v>
      </c>
      <c r="B152" s="4" t="s">
        <v>828</v>
      </c>
      <c r="C152" s="289">
        <v>21072</v>
      </c>
      <c r="D152" s="290">
        <v>432</v>
      </c>
      <c r="E152" s="290">
        <v>952</v>
      </c>
      <c r="F152" s="290">
        <v>2416</v>
      </c>
      <c r="G152" s="290">
        <v>1646</v>
      </c>
      <c r="H152" s="290">
        <v>11844</v>
      </c>
      <c r="I152" s="290">
        <v>2726</v>
      </c>
      <c r="J152" s="290">
        <v>831</v>
      </c>
      <c r="K152" s="290">
        <v>196</v>
      </c>
      <c r="L152" s="290">
        <v>171</v>
      </c>
      <c r="M152" s="290">
        <v>1558</v>
      </c>
      <c r="N152" s="290">
        <v>547</v>
      </c>
      <c r="O152" s="290">
        <v>165</v>
      </c>
      <c r="P152" s="624">
        <v>81482.466333329998</v>
      </c>
      <c r="Q152" s="624">
        <v>34463.264000000003</v>
      </c>
      <c r="R152" s="1039">
        <v>102</v>
      </c>
      <c r="S152" s="290">
        <v>0</v>
      </c>
      <c r="T152" s="290">
        <v>1848</v>
      </c>
      <c r="U152" s="958">
        <v>6.0559084643543124E-3</v>
      </c>
      <c r="V152" s="290">
        <v>-18759.309512749998</v>
      </c>
      <c r="W152" s="765">
        <v>0.58545080000000005</v>
      </c>
      <c r="X152" s="290">
        <v>800</v>
      </c>
      <c r="Y152" s="290"/>
      <c r="Z152" s="290">
        <v>603684.37</v>
      </c>
      <c r="AA152" s="290">
        <v>0</v>
      </c>
      <c r="AB152" s="290">
        <v>568</v>
      </c>
      <c r="AC152" s="290">
        <v>1009</v>
      </c>
      <c r="AD152" s="290">
        <v>392</v>
      </c>
      <c r="AE152" s="290">
        <v>0</v>
      </c>
      <c r="AF152" s="290">
        <v>0</v>
      </c>
      <c r="AG152" s="290">
        <v>21043</v>
      </c>
      <c r="AH152" s="290">
        <v>3568</v>
      </c>
      <c r="AI152" s="290">
        <v>1000</v>
      </c>
      <c r="AJ152" s="290">
        <v>0</v>
      </c>
      <c r="AK152" s="290">
        <v>0</v>
      </c>
      <c r="AL152" s="290">
        <v>0</v>
      </c>
      <c r="AM152" s="957">
        <v>0.52912360000000003</v>
      </c>
      <c r="AN152" s="290">
        <v>0</v>
      </c>
      <c r="AO152" s="290">
        <v>-5488.8276880599997</v>
      </c>
      <c r="AP152" s="290">
        <v>0</v>
      </c>
      <c r="AQ152" s="290">
        <v>0</v>
      </c>
      <c r="AR152" s="290">
        <v>-794.72027461000005</v>
      </c>
      <c r="AS152" s="290">
        <v>1465.6759999999999</v>
      </c>
      <c r="AT152" s="290">
        <v>1054</v>
      </c>
      <c r="AU152" s="290">
        <v>215</v>
      </c>
      <c r="AV152" s="766">
        <v>548962</v>
      </c>
      <c r="AW152" s="290">
        <v>1000</v>
      </c>
      <c r="AX152" s="766">
        <v>151.24995000000001</v>
      </c>
      <c r="AY152" s="290">
        <v>4959</v>
      </c>
      <c r="AZ152" s="290">
        <v>1036</v>
      </c>
      <c r="BA152" s="290">
        <v>407</v>
      </c>
      <c r="BB152" s="290">
        <v>0</v>
      </c>
      <c r="BC152" s="290">
        <v>28436.713149390001</v>
      </c>
      <c r="BD152" s="290"/>
      <c r="BE152" s="290">
        <v>531958.58264886006</v>
      </c>
      <c r="BF152" s="290">
        <v>0</v>
      </c>
      <c r="BG152" s="290">
        <v>17226</v>
      </c>
      <c r="BH152" s="290">
        <v>1000</v>
      </c>
      <c r="BI152" s="290">
        <v>4969</v>
      </c>
      <c r="BJ152" s="290">
        <v>240</v>
      </c>
      <c r="BK152" s="290">
        <v>847</v>
      </c>
      <c r="BL152" s="290">
        <v>0</v>
      </c>
      <c r="BM152" s="290">
        <v>0</v>
      </c>
      <c r="BN152" s="290">
        <v>530</v>
      </c>
      <c r="BO152" s="290">
        <v>-188</v>
      </c>
      <c r="BP152" s="290">
        <v>1954</v>
      </c>
      <c r="BQ152" s="290">
        <v>3908</v>
      </c>
      <c r="BR152" s="290">
        <v>2959</v>
      </c>
      <c r="BS152" s="290">
        <v>294</v>
      </c>
      <c r="BT152" s="290">
        <v>0</v>
      </c>
      <c r="BU152" s="290">
        <v>0</v>
      </c>
      <c r="BV152" s="290">
        <v>487</v>
      </c>
      <c r="BW152" s="290">
        <v>0</v>
      </c>
      <c r="BX152" s="290">
        <v>0</v>
      </c>
      <c r="BY152" s="290">
        <v>2228</v>
      </c>
      <c r="BZ152" s="290">
        <v>8700</v>
      </c>
      <c r="CA152" s="290">
        <v>1048.404</v>
      </c>
      <c r="CB152" s="290">
        <v>188</v>
      </c>
      <c r="CC152" s="290">
        <v>1</v>
      </c>
      <c r="CD152" s="290">
        <v>465</v>
      </c>
      <c r="CE152" s="290">
        <v>603684.37</v>
      </c>
      <c r="CF152" s="290">
        <v>0</v>
      </c>
      <c r="CG152" s="290">
        <v>0</v>
      </c>
      <c r="CH152" s="290">
        <v>0</v>
      </c>
      <c r="CI152" s="290">
        <v>0</v>
      </c>
      <c r="CJ152" s="290"/>
    </row>
    <row r="153" spans="1:88" ht="13">
      <c r="A153" s="1">
        <v>3414</v>
      </c>
      <c r="B153" s="2" t="s">
        <v>829</v>
      </c>
      <c r="C153" s="289">
        <v>5038</v>
      </c>
      <c r="D153" s="290">
        <v>60</v>
      </c>
      <c r="E153" s="290">
        <v>145</v>
      </c>
      <c r="F153" s="290">
        <v>507</v>
      </c>
      <c r="G153" s="290">
        <v>401</v>
      </c>
      <c r="H153" s="290">
        <v>2745</v>
      </c>
      <c r="I153" s="290">
        <v>829</v>
      </c>
      <c r="J153" s="290">
        <v>266</v>
      </c>
      <c r="K153" s="290">
        <v>51</v>
      </c>
      <c r="L153" s="290">
        <v>49</v>
      </c>
      <c r="M153" s="290">
        <v>521</v>
      </c>
      <c r="N153" s="290">
        <v>16</v>
      </c>
      <c r="O153" s="290">
        <v>16</v>
      </c>
      <c r="P153" s="624">
        <v>22235.78233333</v>
      </c>
      <c r="Q153" s="624">
        <v>13961.25266667</v>
      </c>
      <c r="R153" s="1039">
        <v>37</v>
      </c>
      <c r="S153" s="290">
        <v>0</v>
      </c>
      <c r="T153" s="290">
        <v>464</v>
      </c>
      <c r="U153" s="958">
        <v>2.7628291060546109E-3</v>
      </c>
      <c r="V153" s="290">
        <v>1275.38178715</v>
      </c>
      <c r="W153" s="765">
        <v>0.70066929</v>
      </c>
      <c r="X153" s="290">
        <v>2000</v>
      </c>
      <c r="Y153" s="290"/>
      <c r="Z153" s="290">
        <v>127141.67600000001</v>
      </c>
      <c r="AA153" s="290">
        <v>0</v>
      </c>
      <c r="AB153" s="290">
        <v>175</v>
      </c>
      <c r="AC153" s="290">
        <v>221</v>
      </c>
      <c r="AD153" s="290">
        <v>109</v>
      </c>
      <c r="AE153" s="290">
        <v>0</v>
      </c>
      <c r="AF153" s="290">
        <v>0</v>
      </c>
      <c r="AG153" s="290">
        <v>5004</v>
      </c>
      <c r="AH153" s="290">
        <v>699</v>
      </c>
      <c r="AI153" s="290">
        <v>1500</v>
      </c>
      <c r="AJ153" s="290">
        <v>0</v>
      </c>
      <c r="AK153" s="290">
        <v>0</v>
      </c>
      <c r="AL153" s="290">
        <v>0</v>
      </c>
      <c r="AM153" s="957">
        <v>7.9101900000000003E-2</v>
      </c>
      <c r="AN153" s="290">
        <v>5797</v>
      </c>
      <c r="AO153" s="290">
        <v>-1378.3681077000001</v>
      </c>
      <c r="AP153" s="290">
        <v>0</v>
      </c>
      <c r="AQ153" s="290">
        <v>0</v>
      </c>
      <c r="AR153" s="290">
        <v>3044.2607717599999</v>
      </c>
      <c r="AS153" s="290">
        <v>363.04050000000001</v>
      </c>
      <c r="AT153" s="290">
        <v>271</v>
      </c>
      <c r="AU153" s="290">
        <v>36</v>
      </c>
      <c r="AV153" s="766">
        <v>168805</v>
      </c>
      <c r="AW153" s="290">
        <v>1000</v>
      </c>
      <c r="AX153" s="766">
        <v>22.958300000000001</v>
      </c>
      <c r="AY153" s="290">
        <v>738</v>
      </c>
      <c r="AZ153" s="290">
        <v>204</v>
      </c>
      <c r="BA153" s="290">
        <v>97</v>
      </c>
      <c r="BB153" s="290">
        <v>0</v>
      </c>
      <c r="BC153" s="290">
        <v>7058.5283828700003</v>
      </c>
      <c r="BD153" s="290"/>
      <c r="BE153" s="290">
        <v>155797.93266051001</v>
      </c>
      <c r="BF153" s="290">
        <v>0</v>
      </c>
      <c r="BG153" s="290">
        <v>4096</v>
      </c>
      <c r="BH153" s="290">
        <v>1000</v>
      </c>
      <c r="BI153" s="290">
        <v>1029</v>
      </c>
      <c r="BJ153" s="290">
        <v>57</v>
      </c>
      <c r="BK153" s="290">
        <v>129</v>
      </c>
      <c r="BL153" s="290">
        <v>0</v>
      </c>
      <c r="BM153" s="290">
        <v>0</v>
      </c>
      <c r="BN153" s="290">
        <v>80</v>
      </c>
      <c r="BO153" s="290">
        <v>-40</v>
      </c>
      <c r="BP153" s="290">
        <v>467</v>
      </c>
      <c r="BQ153" s="290">
        <v>934</v>
      </c>
      <c r="BR153" s="290">
        <v>707</v>
      </c>
      <c r="BS153" s="290">
        <v>82</v>
      </c>
      <c r="BT153" s="290">
        <v>0</v>
      </c>
      <c r="BU153" s="290">
        <v>0</v>
      </c>
      <c r="BV153" s="290">
        <v>74</v>
      </c>
      <c r="BW153" s="290">
        <v>0</v>
      </c>
      <c r="BX153" s="290">
        <v>0</v>
      </c>
      <c r="BY153" s="290">
        <v>635</v>
      </c>
      <c r="BZ153" s="290">
        <v>500</v>
      </c>
      <c r="CA153" s="290">
        <v>483.00800000000004</v>
      </c>
      <c r="CB153" s="290">
        <v>52</v>
      </c>
      <c r="CC153" s="290">
        <v>0</v>
      </c>
      <c r="CD153" s="290">
        <v>98</v>
      </c>
      <c r="CE153" s="290">
        <v>127141.67600000001</v>
      </c>
      <c r="CF153" s="290">
        <v>0</v>
      </c>
      <c r="CG153" s="290">
        <v>0</v>
      </c>
      <c r="CH153" s="290">
        <v>0</v>
      </c>
      <c r="CI153" s="290">
        <v>0</v>
      </c>
      <c r="CJ153" s="290"/>
    </row>
    <row r="154" spans="1:88" ht="13">
      <c r="A154" s="1">
        <v>3415</v>
      </c>
      <c r="B154" s="2" t="s">
        <v>830</v>
      </c>
      <c r="C154" s="289">
        <v>7914</v>
      </c>
      <c r="D154" s="290">
        <v>153</v>
      </c>
      <c r="E154" s="290">
        <v>295</v>
      </c>
      <c r="F154" s="290">
        <v>818</v>
      </c>
      <c r="G154" s="290">
        <v>622</v>
      </c>
      <c r="H154" s="290">
        <v>4566</v>
      </c>
      <c r="I154" s="290">
        <v>1121</v>
      </c>
      <c r="J154" s="290">
        <v>309</v>
      </c>
      <c r="K154" s="290">
        <v>72</v>
      </c>
      <c r="L154" s="290">
        <v>77</v>
      </c>
      <c r="M154" s="290">
        <v>665</v>
      </c>
      <c r="N154" s="290">
        <v>62</v>
      </c>
      <c r="O154" s="290">
        <v>67</v>
      </c>
      <c r="P154" s="624">
        <v>46878.230333330001</v>
      </c>
      <c r="Q154" s="624">
        <v>26254.556333330002</v>
      </c>
      <c r="R154" s="1039">
        <v>31</v>
      </c>
      <c r="S154" s="290">
        <v>0</v>
      </c>
      <c r="T154" s="290">
        <v>694</v>
      </c>
      <c r="U154" s="958">
        <v>3.6629203336175169E-3</v>
      </c>
      <c r="V154" s="290">
        <v>2035.8660016199999</v>
      </c>
      <c r="W154" s="765">
        <v>0.64342971000000004</v>
      </c>
      <c r="X154" s="290">
        <v>1000</v>
      </c>
      <c r="Y154" s="290"/>
      <c r="Z154" s="290">
        <v>229244.834</v>
      </c>
      <c r="AA154" s="290">
        <v>0</v>
      </c>
      <c r="AB154" s="290">
        <v>238</v>
      </c>
      <c r="AC154" s="290">
        <v>360</v>
      </c>
      <c r="AD154" s="290">
        <v>162</v>
      </c>
      <c r="AE154" s="290">
        <v>0</v>
      </c>
      <c r="AF154" s="290">
        <v>0</v>
      </c>
      <c r="AG154" s="290">
        <v>7956</v>
      </c>
      <c r="AH154" s="290">
        <v>1206</v>
      </c>
      <c r="AI154" s="290">
        <v>0</v>
      </c>
      <c r="AJ154" s="290">
        <v>0</v>
      </c>
      <c r="AK154" s="290">
        <v>0</v>
      </c>
      <c r="AL154" s="290">
        <v>0</v>
      </c>
      <c r="AM154" s="957">
        <v>0.14511540000000001</v>
      </c>
      <c r="AN154" s="290">
        <v>4261</v>
      </c>
      <c r="AO154" s="290">
        <v>-2023.3013979100001</v>
      </c>
      <c r="AP154" s="290">
        <v>0</v>
      </c>
      <c r="AQ154" s="290">
        <v>0</v>
      </c>
      <c r="AR154" s="290">
        <v>-300.47020409999999</v>
      </c>
      <c r="AS154" s="290">
        <v>550.6</v>
      </c>
      <c r="AT154" s="290">
        <v>515</v>
      </c>
      <c r="AU154" s="290">
        <v>62</v>
      </c>
      <c r="AV154" s="766">
        <v>212453</v>
      </c>
      <c r="AW154" s="290">
        <v>1000</v>
      </c>
      <c r="AX154" s="766">
        <v>54.916649999999997</v>
      </c>
      <c r="AY154" s="290">
        <v>1325</v>
      </c>
      <c r="AZ154" s="290">
        <v>284</v>
      </c>
      <c r="BA154" s="290">
        <v>144</v>
      </c>
      <c r="BB154" s="290">
        <v>0</v>
      </c>
      <c r="BC154" s="290">
        <v>10403.04423102</v>
      </c>
      <c r="BD154" s="290"/>
      <c r="BE154" s="290">
        <v>203622.16950369001</v>
      </c>
      <c r="BF154" s="290">
        <v>0</v>
      </c>
      <c r="BG154" s="290">
        <v>6513</v>
      </c>
      <c r="BH154" s="290">
        <v>1000</v>
      </c>
      <c r="BI154" s="290">
        <v>1728</v>
      </c>
      <c r="BJ154" s="290">
        <v>91</v>
      </c>
      <c r="BK154" s="290">
        <v>263</v>
      </c>
      <c r="BL154" s="290">
        <v>0</v>
      </c>
      <c r="BM154" s="290">
        <v>0</v>
      </c>
      <c r="BN154" s="290">
        <v>165</v>
      </c>
      <c r="BO154" s="290">
        <v>-63</v>
      </c>
      <c r="BP154" s="290">
        <v>734</v>
      </c>
      <c r="BQ154" s="290">
        <v>1468</v>
      </c>
      <c r="BR154" s="290">
        <v>1111</v>
      </c>
      <c r="BS154" s="290">
        <v>121</v>
      </c>
      <c r="BT154" s="290">
        <v>0</v>
      </c>
      <c r="BU154" s="290">
        <v>0</v>
      </c>
      <c r="BV154" s="290">
        <v>152</v>
      </c>
      <c r="BW154" s="290">
        <v>0</v>
      </c>
      <c r="BX154" s="290">
        <v>0</v>
      </c>
      <c r="BY154" s="290">
        <v>869</v>
      </c>
      <c r="BZ154" s="290">
        <v>700</v>
      </c>
      <c r="CA154" s="290">
        <v>1437.5129999999999</v>
      </c>
      <c r="CB154" s="290">
        <v>77</v>
      </c>
      <c r="CC154" s="290">
        <v>0</v>
      </c>
      <c r="CD154" s="290">
        <v>156</v>
      </c>
      <c r="CE154" s="290">
        <v>229244.834</v>
      </c>
      <c r="CF154" s="290">
        <v>0</v>
      </c>
      <c r="CG154" s="290">
        <v>0</v>
      </c>
      <c r="CH154" s="290">
        <v>0</v>
      </c>
      <c r="CI154" s="290">
        <v>0</v>
      </c>
      <c r="CJ154" s="290"/>
    </row>
    <row r="155" spans="1:88" ht="13">
      <c r="A155" s="1">
        <v>3416</v>
      </c>
      <c r="B155" s="2" t="s">
        <v>831</v>
      </c>
      <c r="C155" s="289">
        <v>6099</v>
      </c>
      <c r="D155" s="290">
        <v>78</v>
      </c>
      <c r="E155" s="290">
        <v>182</v>
      </c>
      <c r="F155" s="290">
        <v>560</v>
      </c>
      <c r="G155" s="290">
        <v>495</v>
      </c>
      <c r="H155" s="290">
        <v>3391</v>
      </c>
      <c r="I155" s="290">
        <v>1015</v>
      </c>
      <c r="J155" s="290">
        <v>313</v>
      </c>
      <c r="K155" s="290">
        <v>92</v>
      </c>
      <c r="L155" s="290">
        <v>53</v>
      </c>
      <c r="M155" s="290">
        <v>704</v>
      </c>
      <c r="N155" s="290">
        <v>75</v>
      </c>
      <c r="O155" s="290">
        <v>28</v>
      </c>
      <c r="P155" s="624">
        <v>34763.898000000001</v>
      </c>
      <c r="Q155" s="624">
        <v>12114.579333330001</v>
      </c>
      <c r="R155" s="1039">
        <v>61</v>
      </c>
      <c r="S155" s="290">
        <v>0</v>
      </c>
      <c r="T155" s="290">
        <v>627</v>
      </c>
      <c r="U155" s="958">
        <v>3.4202873406057742E-3</v>
      </c>
      <c r="V155" s="290">
        <v>-2212.9452436699999</v>
      </c>
      <c r="W155" s="765">
        <v>0.65195144000000005</v>
      </c>
      <c r="X155" s="290">
        <v>1500</v>
      </c>
      <c r="Y155" s="290"/>
      <c r="Z155" s="290">
        <v>154505.867</v>
      </c>
      <c r="AA155" s="290">
        <v>0</v>
      </c>
      <c r="AB155" s="290">
        <v>238</v>
      </c>
      <c r="AC155" s="290">
        <v>244</v>
      </c>
      <c r="AD155" s="290">
        <v>130</v>
      </c>
      <c r="AE155" s="290">
        <v>0</v>
      </c>
      <c r="AF155" s="290">
        <v>0</v>
      </c>
      <c r="AG155" s="290">
        <v>6126</v>
      </c>
      <c r="AH155" s="290">
        <v>813</v>
      </c>
      <c r="AI155" s="290">
        <v>0</v>
      </c>
      <c r="AJ155" s="290">
        <v>0</v>
      </c>
      <c r="AK155" s="290">
        <v>0</v>
      </c>
      <c r="AL155" s="290">
        <v>0</v>
      </c>
      <c r="AM155" s="957">
        <v>0.23305595000000001</v>
      </c>
      <c r="AN155" s="290">
        <v>8530</v>
      </c>
      <c r="AO155" s="290">
        <v>-1746.5992301399999</v>
      </c>
      <c r="AP155" s="290">
        <v>0</v>
      </c>
      <c r="AQ155" s="290">
        <v>0</v>
      </c>
      <c r="AR155" s="290">
        <v>-231.35752518000001</v>
      </c>
      <c r="AS155" s="290">
        <v>400.51549999999997</v>
      </c>
      <c r="AT155" s="290">
        <v>412</v>
      </c>
      <c r="AU155" s="290">
        <v>74</v>
      </c>
      <c r="AV155" s="766">
        <v>209004</v>
      </c>
      <c r="AW155" s="290">
        <v>1500</v>
      </c>
      <c r="AX155" s="766">
        <v>27.041650000000001</v>
      </c>
      <c r="AY155" s="290">
        <v>848</v>
      </c>
      <c r="AZ155" s="290">
        <v>285</v>
      </c>
      <c r="BA155" s="290">
        <v>133</v>
      </c>
      <c r="BB155" s="290">
        <v>0</v>
      </c>
      <c r="BC155" s="290">
        <v>8457.9682093499996</v>
      </c>
      <c r="BD155" s="290"/>
      <c r="BE155" s="290">
        <v>200402.46305138999</v>
      </c>
      <c r="BF155" s="290">
        <v>0</v>
      </c>
      <c r="BG155" s="290">
        <v>5015</v>
      </c>
      <c r="BH155" s="290">
        <v>1000</v>
      </c>
      <c r="BI155" s="290">
        <v>1187</v>
      </c>
      <c r="BJ155" s="290">
        <v>70</v>
      </c>
      <c r="BK155" s="290">
        <v>159</v>
      </c>
      <c r="BL155" s="290">
        <v>0</v>
      </c>
      <c r="BM155" s="290">
        <v>0</v>
      </c>
      <c r="BN155" s="290">
        <v>100</v>
      </c>
      <c r="BO155" s="290">
        <v>-61</v>
      </c>
      <c r="BP155" s="290">
        <v>566</v>
      </c>
      <c r="BQ155" s="290">
        <v>1131</v>
      </c>
      <c r="BR155" s="290">
        <v>856</v>
      </c>
      <c r="BS155" s="290">
        <v>98</v>
      </c>
      <c r="BT155" s="290">
        <v>0</v>
      </c>
      <c r="BU155" s="290">
        <v>0</v>
      </c>
      <c r="BV155" s="290">
        <v>92</v>
      </c>
      <c r="BW155" s="290">
        <v>0</v>
      </c>
      <c r="BX155" s="290">
        <v>0</v>
      </c>
      <c r="BY155" s="290">
        <v>762</v>
      </c>
      <c r="BZ155" s="290">
        <v>0</v>
      </c>
      <c r="CA155" s="290">
        <v>1283.1000000000001</v>
      </c>
      <c r="CB155" s="290">
        <v>61</v>
      </c>
      <c r="CC155" s="290">
        <v>0</v>
      </c>
      <c r="CD155" s="290">
        <v>151</v>
      </c>
      <c r="CE155" s="290">
        <v>154505.867</v>
      </c>
      <c r="CF155" s="290">
        <v>0</v>
      </c>
      <c r="CG155" s="290">
        <v>0</v>
      </c>
      <c r="CH155" s="290">
        <v>0</v>
      </c>
      <c r="CI155" s="290">
        <v>0</v>
      </c>
      <c r="CJ155" s="290"/>
    </row>
    <row r="156" spans="1:88" ht="13">
      <c r="A156" s="1">
        <v>3417</v>
      </c>
      <c r="B156" s="2" t="s">
        <v>832</v>
      </c>
      <c r="C156" s="289">
        <v>4545</v>
      </c>
      <c r="D156" s="290">
        <v>50</v>
      </c>
      <c r="E156" s="290">
        <v>102</v>
      </c>
      <c r="F156" s="290">
        <v>392</v>
      </c>
      <c r="G156" s="290">
        <v>340</v>
      </c>
      <c r="H156" s="290">
        <v>2492</v>
      </c>
      <c r="I156" s="290">
        <v>859</v>
      </c>
      <c r="J156" s="290">
        <v>258</v>
      </c>
      <c r="K156" s="290">
        <v>79</v>
      </c>
      <c r="L156" s="290">
        <v>41</v>
      </c>
      <c r="M156" s="290">
        <v>591</v>
      </c>
      <c r="N156" s="290">
        <v>69</v>
      </c>
      <c r="O156" s="290">
        <v>39</v>
      </c>
      <c r="P156" s="624">
        <v>33521.86</v>
      </c>
      <c r="Q156" s="624">
        <v>14661.72966667</v>
      </c>
      <c r="R156" s="1039">
        <v>27</v>
      </c>
      <c r="S156" s="290">
        <v>0</v>
      </c>
      <c r="T156" s="290">
        <v>484</v>
      </c>
      <c r="U156" s="958">
        <v>3.7813458464840996E-3</v>
      </c>
      <c r="V156" s="290">
        <v>1509.94393137</v>
      </c>
      <c r="W156" s="765">
        <v>0.70203121000000002</v>
      </c>
      <c r="X156" s="290">
        <v>1800</v>
      </c>
      <c r="Y156" s="290"/>
      <c r="Z156" s="290">
        <v>151255.75399999999</v>
      </c>
      <c r="AA156" s="290">
        <v>0</v>
      </c>
      <c r="AB156" s="290">
        <v>144</v>
      </c>
      <c r="AC156" s="290">
        <v>182</v>
      </c>
      <c r="AD156" s="290">
        <v>106</v>
      </c>
      <c r="AE156" s="290">
        <v>0</v>
      </c>
      <c r="AF156" s="290">
        <v>0</v>
      </c>
      <c r="AG156" s="290">
        <v>4572</v>
      </c>
      <c r="AH156" s="290">
        <v>556</v>
      </c>
      <c r="AI156" s="290">
        <v>0</v>
      </c>
      <c r="AJ156" s="290">
        <v>0</v>
      </c>
      <c r="AK156" s="290">
        <v>0</v>
      </c>
      <c r="AL156" s="290">
        <v>0</v>
      </c>
      <c r="AM156" s="957">
        <v>0.19005156000000001</v>
      </c>
      <c r="AN156" s="290">
        <v>6763</v>
      </c>
      <c r="AO156" s="290">
        <v>-1284.34841775</v>
      </c>
      <c r="AP156" s="290">
        <v>0</v>
      </c>
      <c r="AQ156" s="290">
        <v>0</v>
      </c>
      <c r="AR156" s="290">
        <v>5411.4856224599998</v>
      </c>
      <c r="AS156" s="290">
        <v>313.83199999999999</v>
      </c>
      <c r="AT156" s="290">
        <v>294</v>
      </c>
      <c r="AU156" s="290">
        <v>50</v>
      </c>
      <c r="AV156" s="766">
        <v>164874</v>
      </c>
      <c r="AW156" s="290">
        <v>1000</v>
      </c>
      <c r="AX156" s="766">
        <v>17.083300000000001</v>
      </c>
      <c r="AY156" s="290">
        <v>757</v>
      </c>
      <c r="AZ156" s="290">
        <v>275</v>
      </c>
      <c r="BA156" s="290">
        <v>83</v>
      </c>
      <c r="BB156" s="290">
        <v>0</v>
      </c>
      <c r="BC156" s="290">
        <v>6433.19968505</v>
      </c>
      <c r="BD156" s="290"/>
      <c r="BE156" s="290">
        <v>149536.75709992001</v>
      </c>
      <c r="BF156" s="290">
        <v>0</v>
      </c>
      <c r="BG156" s="290">
        <v>3743</v>
      </c>
      <c r="BH156" s="290">
        <v>1000</v>
      </c>
      <c r="BI156" s="290">
        <v>844</v>
      </c>
      <c r="BJ156" s="290">
        <v>53</v>
      </c>
      <c r="BK156" s="290">
        <v>95</v>
      </c>
      <c r="BL156" s="290">
        <v>0</v>
      </c>
      <c r="BM156" s="290">
        <v>0</v>
      </c>
      <c r="BN156" s="290">
        <v>59</v>
      </c>
      <c r="BO156" s="290">
        <v>-46</v>
      </c>
      <c r="BP156" s="290">
        <v>422</v>
      </c>
      <c r="BQ156" s="290">
        <v>843</v>
      </c>
      <c r="BR156" s="290">
        <v>638</v>
      </c>
      <c r="BS156" s="290">
        <v>79</v>
      </c>
      <c r="BT156" s="290">
        <v>0</v>
      </c>
      <c r="BU156" s="290">
        <v>0</v>
      </c>
      <c r="BV156" s="290">
        <v>55</v>
      </c>
      <c r="BW156" s="290">
        <v>0</v>
      </c>
      <c r="BX156" s="290">
        <v>0</v>
      </c>
      <c r="BY156" s="290">
        <v>623</v>
      </c>
      <c r="BZ156" s="290">
        <v>0</v>
      </c>
      <c r="CA156" s="290">
        <v>245.31899999999999</v>
      </c>
      <c r="CB156" s="290">
        <v>48</v>
      </c>
      <c r="CC156" s="290">
        <v>0</v>
      </c>
      <c r="CD156" s="290">
        <v>113</v>
      </c>
      <c r="CE156" s="290">
        <v>151255.75399999999</v>
      </c>
      <c r="CF156" s="290">
        <v>0</v>
      </c>
      <c r="CG156" s="290">
        <v>0</v>
      </c>
      <c r="CH156" s="290">
        <v>0</v>
      </c>
      <c r="CI156" s="290">
        <v>0</v>
      </c>
      <c r="CJ156" s="290"/>
    </row>
    <row r="157" spans="1:88" ht="13">
      <c r="A157" s="1">
        <v>3418</v>
      </c>
      <c r="B157" s="2" t="s">
        <v>833</v>
      </c>
      <c r="C157" s="289">
        <v>7227</v>
      </c>
      <c r="D157" s="290">
        <v>104</v>
      </c>
      <c r="E157" s="290">
        <v>218</v>
      </c>
      <c r="F157" s="290">
        <v>678</v>
      </c>
      <c r="G157" s="290">
        <v>546</v>
      </c>
      <c r="H157" s="290">
        <v>3901</v>
      </c>
      <c r="I157" s="290">
        <v>1254</v>
      </c>
      <c r="J157" s="290">
        <v>408</v>
      </c>
      <c r="K157" s="290">
        <v>87</v>
      </c>
      <c r="L157" s="290">
        <v>72</v>
      </c>
      <c r="M157" s="290">
        <v>873</v>
      </c>
      <c r="N157" s="290">
        <v>75</v>
      </c>
      <c r="O157" s="290">
        <v>45</v>
      </c>
      <c r="P157" s="624">
        <v>35000.559999999998</v>
      </c>
      <c r="Q157" s="624">
        <v>25808.43366667</v>
      </c>
      <c r="R157" s="1039">
        <v>42</v>
      </c>
      <c r="S157" s="290">
        <v>0</v>
      </c>
      <c r="T157" s="290">
        <v>777</v>
      </c>
      <c r="U157" s="958">
        <v>6.2324077322279481E-3</v>
      </c>
      <c r="V157" s="290">
        <v>2298.9660073300001</v>
      </c>
      <c r="W157" s="765">
        <v>0.66043426000000005</v>
      </c>
      <c r="X157" s="290">
        <v>1500</v>
      </c>
      <c r="Y157" s="290"/>
      <c r="Z157" s="290">
        <v>187185.606</v>
      </c>
      <c r="AA157" s="290">
        <v>0</v>
      </c>
      <c r="AB157" s="290">
        <v>263</v>
      </c>
      <c r="AC157" s="290">
        <v>1024</v>
      </c>
      <c r="AD157" s="290">
        <v>156</v>
      </c>
      <c r="AE157" s="290">
        <v>0</v>
      </c>
      <c r="AF157" s="290">
        <v>0</v>
      </c>
      <c r="AG157" s="290">
        <v>7196</v>
      </c>
      <c r="AH157" s="290">
        <v>987</v>
      </c>
      <c r="AI157" s="290">
        <v>0</v>
      </c>
      <c r="AJ157" s="290">
        <v>0</v>
      </c>
      <c r="AK157" s="290">
        <v>0</v>
      </c>
      <c r="AL157" s="290">
        <v>0</v>
      </c>
      <c r="AM157" s="957">
        <v>0.19501893000000001</v>
      </c>
      <c r="AN157" s="290">
        <v>9828</v>
      </c>
      <c r="AO157" s="290">
        <v>-1996.42259442</v>
      </c>
      <c r="AP157" s="290">
        <v>0</v>
      </c>
      <c r="AQ157" s="290">
        <v>0</v>
      </c>
      <c r="AR157" s="290">
        <v>8558.6004436300009</v>
      </c>
      <c r="AS157" s="290">
        <v>920.24300000000005</v>
      </c>
      <c r="AT157" s="290">
        <v>453</v>
      </c>
      <c r="AU157" s="290">
        <v>64</v>
      </c>
      <c r="AV157" s="766">
        <v>251458</v>
      </c>
      <c r="AW157" s="290">
        <v>1500</v>
      </c>
      <c r="AX157" s="766">
        <v>38.458300000000001</v>
      </c>
      <c r="AY157" s="290">
        <v>1166</v>
      </c>
      <c r="AZ157" s="290">
        <v>349</v>
      </c>
      <c r="BA157" s="290">
        <v>128</v>
      </c>
      <c r="BB157" s="290">
        <v>0</v>
      </c>
      <c r="BC157" s="290">
        <v>10840.039029830001</v>
      </c>
      <c r="BD157" s="290"/>
      <c r="BE157" s="290">
        <v>228454.02338751999</v>
      </c>
      <c r="BF157" s="290">
        <v>0</v>
      </c>
      <c r="BG157" s="290">
        <v>5891</v>
      </c>
      <c r="BH157" s="290">
        <v>1000</v>
      </c>
      <c r="BI157" s="290">
        <v>2167</v>
      </c>
      <c r="BJ157" s="290">
        <v>83</v>
      </c>
      <c r="BK157" s="290">
        <v>197</v>
      </c>
      <c r="BL157" s="290">
        <v>0</v>
      </c>
      <c r="BM157" s="290">
        <v>0</v>
      </c>
      <c r="BN157" s="290">
        <v>123</v>
      </c>
      <c r="BO157" s="290">
        <v>-68</v>
      </c>
      <c r="BP157" s="290">
        <v>670</v>
      </c>
      <c r="BQ157" s="290">
        <v>1340</v>
      </c>
      <c r="BR157" s="290">
        <v>1015</v>
      </c>
      <c r="BS157" s="290">
        <v>117</v>
      </c>
      <c r="BT157" s="290">
        <v>0</v>
      </c>
      <c r="BU157" s="290">
        <v>0</v>
      </c>
      <c r="BV157" s="290">
        <v>113</v>
      </c>
      <c r="BW157" s="290">
        <v>0</v>
      </c>
      <c r="BX157" s="290">
        <v>0</v>
      </c>
      <c r="BY157" s="290">
        <v>928</v>
      </c>
      <c r="BZ157" s="290">
        <v>0</v>
      </c>
      <c r="CA157" s="290">
        <v>5505.0569999999998</v>
      </c>
      <c r="CB157" s="290">
        <v>70</v>
      </c>
      <c r="CC157" s="290">
        <v>0</v>
      </c>
      <c r="CD157" s="290">
        <v>167</v>
      </c>
      <c r="CE157" s="290">
        <v>187185.606</v>
      </c>
      <c r="CF157" s="290">
        <v>0</v>
      </c>
      <c r="CG157" s="290">
        <v>0</v>
      </c>
      <c r="CH157" s="290">
        <v>0</v>
      </c>
      <c r="CI157" s="290">
        <v>0</v>
      </c>
      <c r="CJ157" s="290"/>
    </row>
    <row r="158" spans="1:88" ht="13">
      <c r="A158" s="1">
        <v>3419</v>
      </c>
      <c r="B158" s="2" t="s">
        <v>799</v>
      </c>
      <c r="C158" s="289">
        <v>3587</v>
      </c>
      <c r="D158" s="290">
        <v>50</v>
      </c>
      <c r="E158" s="290">
        <v>103</v>
      </c>
      <c r="F158" s="290">
        <v>320</v>
      </c>
      <c r="G158" s="290">
        <v>270</v>
      </c>
      <c r="H158" s="290">
        <v>1993</v>
      </c>
      <c r="I158" s="290">
        <v>639</v>
      </c>
      <c r="J158" s="290">
        <v>197</v>
      </c>
      <c r="K158" s="290">
        <v>47</v>
      </c>
      <c r="L158" s="290">
        <v>34</v>
      </c>
      <c r="M158" s="290">
        <v>413</v>
      </c>
      <c r="N158" s="290">
        <v>12</v>
      </c>
      <c r="O158" s="290">
        <v>31</v>
      </c>
      <c r="P158" s="624">
        <v>21184.472666670001</v>
      </c>
      <c r="Q158" s="624">
        <v>17425.842000000001</v>
      </c>
      <c r="R158" s="1039">
        <v>19</v>
      </c>
      <c r="S158" s="290">
        <v>0</v>
      </c>
      <c r="T158" s="290">
        <v>398</v>
      </c>
      <c r="U158" s="958">
        <v>2.9484440427639731E-3</v>
      </c>
      <c r="V158" s="290">
        <v>1816.9299011400001</v>
      </c>
      <c r="W158" s="765">
        <v>0.71138955000000004</v>
      </c>
      <c r="X158" s="290">
        <v>1000</v>
      </c>
      <c r="Y158" s="290"/>
      <c r="Z158" s="290">
        <v>94110.138000000006</v>
      </c>
      <c r="AA158" s="290">
        <v>0</v>
      </c>
      <c r="AB158" s="290">
        <v>137</v>
      </c>
      <c r="AC158" s="290">
        <v>151</v>
      </c>
      <c r="AD158" s="290">
        <v>86</v>
      </c>
      <c r="AE158" s="290">
        <v>0</v>
      </c>
      <c r="AF158" s="290">
        <v>0</v>
      </c>
      <c r="AG158" s="290">
        <v>3619</v>
      </c>
      <c r="AH158" s="290">
        <v>475</v>
      </c>
      <c r="AI158" s="290">
        <v>475</v>
      </c>
      <c r="AJ158" s="290">
        <v>0</v>
      </c>
      <c r="AK158" s="290">
        <v>0</v>
      </c>
      <c r="AL158" s="290">
        <v>0</v>
      </c>
      <c r="AM158" s="957">
        <v>7.7399930000000006E-2</v>
      </c>
      <c r="AN158" s="290">
        <v>5639</v>
      </c>
      <c r="AO158" s="290">
        <v>-1015.15290247</v>
      </c>
      <c r="AP158" s="290">
        <v>0</v>
      </c>
      <c r="AQ158" s="290">
        <v>0</v>
      </c>
      <c r="AR158" s="290">
        <v>2918.5216869199999</v>
      </c>
      <c r="AS158" s="290">
        <v>256.22300000000001</v>
      </c>
      <c r="AT158" s="290">
        <v>192</v>
      </c>
      <c r="AU158" s="290">
        <v>34</v>
      </c>
      <c r="AV158" s="766">
        <v>129078</v>
      </c>
      <c r="AW158" s="290">
        <v>1500</v>
      </c>
      <c r="AX158" s="766">
        <v>25.75</v>
      </c>
      <c r="AY158" s="290">
        <v>573</v>
      </c>
      <c r="AZ158" s="290">
        <v>159</v>
      </c>
      <c r="BA158" s="290">
        <v>75</v>
      </c>
      <c r="BB158" s="290">
        <v>0</v>
      </c>
      <c r="BC158" s="290">
        <v>4935.3056806100003</v>
      </c>
      <c r="BD158" s="290"/>
      <c r="BE158" s="290">
        <v>118566.91836174999</v>
      </c>
      <c r="BF158" s="290">
        <v>0</v>
      </c>
      <c r="BG158" s="290">
        <v>2963</v>
      </c>
      <c r="BH158" s="290">
        <v>1000</v>
      </c>
      <c r="BI158" s="290">
        <v>712</v>
      </c>
      <c r="BJ158" s="290">
        <v>42</v>
      </c>
      <c r="BK158" s="290">
        <v>98</v>
      </c>
      <c r="BL158" s="290">
        <v>0</v>
      </c>
      <c r="BM158" s="290">
        <v>0</v>
      </c>
      <c r="BN158" s="290">
        <v>61</v>
      </c>
      <c r="BO158" s="290">
        <v>-32</v>
      </c>
      <c r="BP158" s="290">
        <v>333</v>
      </c>
      <c r="BQ158" s="290">
        <v>665</v>
      </c>
      <c r="BR158" s="290">
        <v>504</v>
      </c>
      <c r="BS158" s="290">
        <v>65</v>
      </c>
      <c r="BT158" s="290">
        <v>0</v>
      </c>
      <c r="BU158" s="290">
        <v>0</v>
      </c>
      <c r="BV158" s="290">
        <v>56</v>
      </c>
      <c r="BW158" s="290">
        <v>0</v>
      </c>
      <c r="BX158" s="290">
        <v>0</v>
      </c>
      <c r="BY158" s="290">
        <v>466</v>
      </c>
      <c r="BZ158" s="290">
        <v>3900</v>
      </c>
      <c r="CA158" s="290">
        <v>193.90100000000001</v>
      </c>
      <c r="CB158" s="290">
        <v>41</v>
      </c>
      <c r="CC158" s="290">
        <v>0</v>
      </c>
      <c r="CD158" s="290">
        <v>80</v>
      </c>
      <c r="CE158" s="290">
        <v>94110.138000000006</v>
      </c>
      <c r="CF158" s="290">
        <v>0</v>
      </c>
      <c r="CG158" s="290">
        <v>0</v>
      </c>
      <c r="CH158" s="290">
        <v>0</v>
      </c>
      <c r="CI158" s="290">
        <v>0</v>
      </c>
      <c r="CJ158" s="290"/>
    </row>
    <row r="159" spans="1:88" ht="13">
      <c r="A159" s="1">
        <v>3420</v>
      </c>
      <c r="B159" s="2" t="s">
        <v>834</v>
      </c>
      <c r="C159" s="289">
        <v>21292</v>
      </c>
      <c r="D159" s="290">
        <v>358</v>
      </c>
      <c r="E159" s="290">
        <v>888</v>
      </c>
      <c r="F159" s="290">
        <v>2462</v>
      </c>
      <c r="G159" s="290">
        <v>1814</v>
      </c>
      <c r="H159" s="290">
        <v>11762</v>
      </c>
      <c r="I159" s="290">
        <v>2810</v>
      </c>
      <c r="J159" s="290">
        <v>847</v>
      </c>
      <c r="K159" s="290">
        <v>202</v>
      </c>
      <c r="L159" s="290">
        <v>184</v>
      </c>
      <c r="M159" s="290">
        <v>1791</v>
      </c>
      <c r="N159" s="290">
        <v>622</v>
      </c>
      <c r="O159" s="290">
        <v>236</v>
      </c>
      <c r="P159" s="624">
        <v>68675.180999999997</v>
      </c>
      <c r="Q159" s="624">
        <v>42815.922333330003</v>
      </c>
      <c r="R159" s="1039">
        <v>63</v>
      </c>
      <c r="S159" s="290">
        <v>0</v>
      </c>
      <c r="T159" s="290">
        <v>1875</v>
      </c>
      <c r="U159" s="958">
        <v>4.0862701944953507E-3</v>
      </c>
      <c r="V159" s="290">
        <v>10572.86237237</v>
      </c>
      <c r="W159" s="765">
        <v>0.57445815</v>
      </c>
      <c r="X159" s="290">
        <v>2000</v>
      </c>
      <c r="Y159" s="290"/>
      <c r="Z159" s="290">
        <v>618243.85</v>
      </c>
      <c r="AA159" s="290">
        <v>0</v>
      </c>
      <c r="AB159" s="290">
        <v>548</v>
      </c>
      <c r="AC159" s="290">
        <v>3960</v>
      </c>
      <c r="AD159" s="290">
        <v>397</v>
      </c>
      <c r="AE159" s="290">
        <v>0</v>
      </c>
      <c r="AF159" s="290">
        <v>0</v>
      </c>
      <c r="AG159" s="290">
        <v>21143</v>
      </c>
      <c r="AH159" s="290">
        <v>3553</v>
      </c>
      <c r="AI159" s="290">
        <v>0</v>
      </c>
      <c r="AJ159" s="290">
        <v>0</v>
      </c>
      <c r="AK159" s="290">
        <v>0</v>
      </c>
      <c r="AL159" s="290">
        <v>0</v>
      </c>
      <c r="AM159" s="957">
        <v>0.58245437</v>
      </c>
      <c r="AN159" s="290">
        <v>0</v>
      </c>
      <c r="AO159" s="290">
        <v>-5450.6727394899999</v>
      </c>
      <c r="AP159" s="290">
        <v>0</v>
      </c>
      <c r="AQ159" s="290">
        <v>0</v>
      </c>
      <c r="AR159" s="290">
        <v>-798.49692373000005</v>
      </c>
      <c r="AS159" s="290">
        <v>3391.4775</v>
      </c>
      <c r="AT159" s="290">
        <v>1146</v>
      </c>
      <c r="AU159" s="290">
        <v>203</v>
      </c>
      <c r="AV159" s="766">
        <v>585413</v>
      </c>
      <c r="AW159" s="290">
        <v>2500</v>
      </c>
      <c r="AX159" s="766">
        <v>118.70835</v>
      </c>
      <c r="AY159" s="290">
        <v>5279</v>
      </c>
      <c r="AZ159" s="290">
        <v>1131</v>
      </c>
      <c r="BA159" s="290">
        <v>505</v>
      </c>
      <c r="BB159" s="290">
        <v>0</v>
      </c>
      <c r="BC159" s="290">
        <v>32349.48499456</v>
      </c>
      <c r="BD159" s="290"/>
      <c r="BE159" s="290">
        <v>553871.8401113</v>
      </c>
      <c r="BF159" s="290">
        <v>0</v>
      </c>
      <c r="BG159" s="290">
        <v>17308</v>
      </c>
      <c r="BH159" s="290">
        <v>1000</v>
      </c>
      <c r="BI159" s="290">
        <v>7910</v>
      </c>
      <c r="BJ159" s="290">
        <v>244</v>
      </c>
      <c r="BK159" s="290">
        <v>788</v>
      </c>
      <c r="BL159" s="290">
        <v>0</v>
      </c>
      <c r="BM159" s="290">
        <v>0</v>
      </c>
      <c r="BN159" s="290">
        <v>493</v>
      </c>
      <c r="BO159" s="290">
        <v>-194</v>
      </c>
      <c r="BP159" s="290">
        <v>1975</v>
      </c>
      <c r="BQ159" s="290">
        <v>3949</v>
      </c>
      <c r="BR159" s="290">
        <v>2990</v>
      </c>
      <c r="BS159" s="290">
        <v>298</v>
      </c>
      <c r="BT159" s="290">
        <v>0</v>
      </c>
      <c r="BU159" s="290">
        <v>0</v>
      </c>
      <c r="BV159" s="290">
        <v>454</v>
      </c>
      <c r="BW159" s="290">
        <v>0</v>
      </c>
      <c r="BX159" s="290">
        <v>0</v>
      </c>
      <c r="BY159" s="290">
        <v>2309</v>
      </c>
      <c r="BZ159" s="290">
        <v>7300</v>
      </c>
      <c r="CA159" s="290">
        <v>1041.116</v>
      </c>
      <c r="CB159" s="290">
        <v>189</v>
      </c>
      <c r="CC159" s="290">
        <v>1</v>
      </c>
      <c r="CD159" s="290">
        <v>481</v>
      </c>
      <c r="CE159" s="290">
        <v>618243.85</v>
      </c>
      <c r="CF159" s="290">
        <v>0</v>
      </c>
      <c r="CG159" s="290">
        <v>0</v>
      </c>
      <c r="CH159" s="290">
        <v>0</v>
      </c>
      <c r="CI159" s="290">
        <v>0</v>
      </c>
      <c r="CJ159" s="290"/>
    </row>
    <row r="160" spans="1:88" ht="13">
      <c r="A160" s="1">
        <v>3421</v>
      </c>
      <c r="B160" s="2" t="s">
        <v>835</v>
      </c>
      <c r="C160" s="289">
        <v>6580</v>
      </c>
      <c r="D160" s="290">
        <v>106</v>
      </c>
      <c r="E160" s="290">
        <v>235</v>
      </c>
      <c r="F160" s="290">
        <v>646</v>
      </c>
      <c r="G160" s="290">
        <v>475</v>
      </c>
      <c r="H160" s="290">
        <v>3619</v>
      </c>
      <c r="I160" s="290">
        <v>1082</v>
      </c>
      <c r="J160" s="290">
        <v>352</v>
      </c>
      <c r="K160" s="290">
        <v>98</v>
      </c>
      <c r="L160" s="290">
        <v>57</v>
      </c>
      <c r="M160" s="290">
        <v>730</v>
      </c>
      <c r="N160" s="290">
        <v>72</v>
      </c>
      <c r="O160" s="290">
        <v>50</v>
      </c>
      <c r="P160" s="624">
        <v>76711.240000000005</v>
      </c>
      <c r="Q160" s="624">
        <v>30725.895333330001</v>
      </c>
      <c r="R160" s="1039">
        <v>36</v>
      </c>
      <c r="S160" s="290">
        <v>0</v>
      </c>
      <c r="T160" s="290">
        <v>645</v>
      </c>
      <c r="U160" s="958">
        <v>3.1344248219329338E-3</v>
      </c>
      <c r="V160" s="290">
        <v>-554.11187935999999</v>
      </c>
      <c r="W160" s="765">
        <v>0.82851472999999998</v>
      </c>
      <c r="X160" s="290">
        <v>1500</v>
      </c>
      <c r="Y160" s="290"/>
      <c r="Z160" s="290">
        <v>195306.61600000001</v>
      </c>
      <c r="AA160" s="290">
        <v>0</v>
      </c>
      <c r="AB160" s="290">
        <v>130</v>
      </c>
      <c r="AC160" s="290">
        <v>302</v>
      </c>
      <c r="AD160" s="290">
        <v>154</v>
      </c>
      <c r="AE160" s="290">
        <v>0</v>
      </c>
      <c r="AF160" s="290">
        <v>0</v>
      </c>
      <c r="AG160" s="290">
        <v>6613</v>
      </c>
      <c r="AH160" s="290">
        <v>942</v>
      </c>
      <c r="AI160" s="290">
        <v>0</v>
      </c>
      <c r="AJ160" s="290">
        <v>0</v>
      </c>
      <c r="AK160" s="290">
        <v>67</v>
      </c>
      <c r="AL160" s="290">
        <v>0</v>
      </c>
      <c r="AM160" s="957">
        <v>0.20268174</v>
      </c>
      <c r="AN160" s="290">
        <v>9147</v>
      </c>
      <c r="AO160" s="290">
        <v>-1889.7693494800001</v>
      </c>
      <c r="AP160" s="290">
        <v>0</v>
      </c>
      <c r="AQ160" s="290">
        <v>0</v>
      </c>
      <c r="AR160" s="290">
        <v>-249.74980640000001</v>
      </c>
      <c r="AS160" s="290">
        <v>489.07850000000002</v>
      </c>
      <c r="AT160" s="290">
        <v>340</v>
      </c>
      <c r="AU160" s="290">
        <v>85</v>
      </c>
      <c r="AV160" s="766">
        <v>224109</v>
      </c>
      <c r="AW160" s="290">
        <v>1500</v>
      </c>
      <c r="AX160" s="766">
        <v>51.666699999999999</v>
      </c>
      <c r="AY160" s="290">
        <v>1136</v>
      </c>
      <c r="AZ160" s="290">
        <v>308</v>
      </c>
      <c r="BA160" s="290">
        <v>118</v>
      </c>
      <c r="BB160" s="290">
        <v>0</v>
      </c>
      <c r="BC160" s="290">
        <v>9829.5150231000007</v>
      </c>
      <c r="BD160" s="290"/>
      <c r="BE160" s="290">
        <v>219123.55863309</v>
      </c>
      <c r="BF160" s="290">
        <v>0</v>
      </c>
      <c r="BG160" s="290">
        <v>5413</v>
      </c>
      <c r="BH160" s="290">
        <v>1000</v>
      </c>
      <c r="BI160" s="290">
        <v>1465</v>
      </c>
      <c r="BJ160" s="290">
        <v>76</v>
      </c>
      <c r="BK160" s="290">
        <v>216</v>
      </c>
      <c r="BL160" s="290">
        <v>0</v>
      </c>
      <c r="BM160" s="290">
        <v>0</v>
      </c>
      <c r="BN160" s="290">
        <v>135</v>
      </c>
      <c r="BO160" s="290">
        <v>-56</v>
      </c>
      <c r="BP160" s="290">
        <v>610</v>
      </c>
      <c r="BQ160" s="290">
        <v>1220</v>
      </c>
      <c r="BR160" s="290">
        <v>924</v>
      </c>
      <c r="BS160" s="290">
        <v>115</v>
      </c>
      <c r="BT160" s="290">
        <v>0</v>
      </c>
      <c r="BU160" s="290">
        <v>0</v>
      </c>
      <c r="BV160" s="290">
        <v>124</v>
      </c>
      <c r="BW160" s="290">
        <v>0</v>
      </c>
      <c r="BX160" s="290">
        <v>0</v>
      </c>
      <c r="BY160" s="290">
        <v>817</v>
      </c>
      <c r="BZ160" s="290">
        <v>900</v>
      </c>
      <c r="CA160" s="290">
        <v>2611.5719999999997</v>
      </c>
      <c r="CB160" s="290">
        <v>68</v>
      </c>
      <c r="CC160" s="290">
        <v>0</v>
      </c>
      <c r="CD160" s="290">
        <v>137</v>
      </c>
      <c r="CE160" s="290">
        <v>195306.61600000001</v>
      </c>
      <c r="CF160" s="290">
        <v>0</v>
      </c>
      <c r="CG160" s="290">
        <v>0</v>
      </c>
      <c r="CH160" s="290">
        <v>0</v>
      </c>
      <c r="CI160" s="290">
        <v>0</v>
      </c>
      <c r="CJ160" s="290"/>
    </row>
    <row r="161" spans="1:88" ht="13">
      <c r="A161" s="1">
        <v>3422</v>
      </c>
      <c r="B161" s="2" t="s">
        <v>836</v>
      </c>
      <c r="C161" s="289">
        <v>4338</v>
      </c>
      <c r="D161" s="290">
        <v>65</v>
      </c>
      <c r="E161" s="290">
        <v>143</v>
      </c>
      <c r="F161" s="290">
        <v>424</v>
      </c>
      <c r="G161" s="290">
        <v>441</v>
      </c>
      <c r="H161" s="290">
        <v>2367</v>
      </c>
      <c r="I161" s="290">
        <v>616</v>
      </c>
      <c r="J161" s="290">
        <v>199</v>
      </c>
      <c r="K161" s="290">
        <v>52</v>
      </c>
      <c r="L161" s="290">
        <v>39</v>
      </c>
      <c r="M161" s="290">
        <v>438</v>
      </c>
      <c r="N161" s="290">
        <v>62</v>
      </c>
      <c r="O161" s="290">
        <v>15</v>
      </c>
      <c r="P161" s="624">
        <v>34424.227333330004</v>
      </c>
      <c r="Q161" s="624">
        <v>12210.150666670001</v>
      </c>
      <c r="R161" s="1039">
        <v>21</v>
      </c>
      <c r="S161" s="290">
        <v>0</v>
      </c>
      <c r="T161" s="290">
        <v>398</v>
      </c>
      <c r="U161" s="958">
        <v>1.8049919645015812E-3</v>
      </c>
      <c r="V161" s="290">
        <v>225.18063255000001</v>
      </c>
      <c r="W161" s="765">
        <v>0.77567220999999997</v>
      </c>
      <c r="X161" s="290">
        <v>2000</v>
      </c>
      <c r="Y161" s="290"/>
      <c r="Z161" s="290">
        <v>121169.05899999999</v>
      </c>
      <c r="AA161" s="290">
        <v>0</v>
      </c>
      <c r="AB161" s="290">
        <v>93</v>
      </c>
      <c r="AC161" s="290">
        <v>1040</v>
      </c>
      <c r="AD161" s="290">
        <v>97</v>
      </c>
      <c r="AE161" s="290">
        <v>0</v>
      </c>
      <c r="AF161" s="290">
        <v>0</v>
      </c>
      <c r="AG161" s="290">
        <v>4307</v>
      </c>
      <c r="AH161" s="290">
        <v>627</v>
      </c>
      <c r="AI161" s="290">
        <v>0</v>
      </c>
      <c r="AJ161" s="290">
        <v>0</v>
      </c>
      <c r="AK161" s="290">
        <v>0</v>
      </c>
      <c r="AL161" s="290">
        <v>0</v>
      </c>
      <c r="AM161" s="957">
        <v>6.2894160000000005E-2</v>
      </c>
      <c r="AN161" s="290">
        <v>2582</v>
      </c>
      <c r="AO161" s="290">
        <v>-1169.8440525999999</v>
      </c>
      <c r="AP161" s="290">
        <v>0</v>
      </c>
      <c r="AQ161" s="290">
        <v>0</v>
      </c>
      <c r="AR161" s="290">
        <v>14679.924774659999</v>
      </c>
      <c r="AS161" s="290">
        <v>858.44050000000004</v>
      </c>
      <c r="AT161" s="290">
        <v>195</v>
      </c>
      <c r="AU161" s="290">
        <v>30</v>
      </c>
      <c r="AV161" s="766">
        <v>151406</v>
      </c>
      <c r="AW161" s="290">
        <v>1000</v>
      </c>
      <c r="AX161" s="766">
        <v>29.708300000000001</v>
      </c>
      <c r="AY161" s="290">
        <v>825</v>
      </c>
      <c r="AZ161" s="290">
        <v>204</v>
      </c>
      <c r="BA161" s="290">
        <v>88</v>
      </c>
      <c r="BB161" s="290">
        <v>0</v>
      </c>
      <c r="BC161" s="290">
        <v>7334.9729049400003</v>
      </c>
      <c r="BD161" s="290"/>
      <c r="BE161" s="290">
        <v>128332.18535137</v>
      </c>
      <c r="BF161" s="290">
        <v>0</v>
      </c>
      <c r="BG161" s="290">
        <v>3526</v>
      </c>
      <c r="BH161" s="290">
        <v>1000</v>
      </c>
      <c r="BI161" s="290">
        <v>1764</v>
      </c>
      <c r="BJ161" s="290">
        <v>51</v>
      </c>
      <c r="BK161" s="290">
        <v>133</v>
      </c>
      <c r="BL161" s="290">
        <v>0</v>
      </c>
      <c r="BM161" s="290">
        <v>0</v>
      </c>
      <c r="BN161" s="290">
        <v>83</v>
      </c>
      <c r="BO161" s="290">
        <v>-34</v>
      </c>
      <c r="BP161" s="290">
        <v>402</v>
      </c>
      <c r="BQ161" s="290">
        <v>805</v>
      </c>
      <c r="BR161" s="290">
        <v>609</v>
      </c>
      <c r="BS161" s="290">
        <v>73</v>
      </c>
      <c r="BT161" s="290">
        <v>0</v>
      </c>
      <c r="BU161" s="290">
        <v>0</v>
      </c>
      <c r="BV161" s="290">
        <v>76</v>
      </c>
      <c r="BW161" s="290">
        <v>0</v>
      </c>
      <c r="BX161" s="290">
        <v>0</v>
      </c>
      <c r="BY161" s="290">
        <v>486</v>
      </c>
      <c r="BZ161" s="290">
        <v>0</v>
      </c>
      <c r="CA161" s="290">
        <v>1159.26</v>
      </c>
      <c r="CB161" s="290">
        <v>48</v>
      </c>
      <c r="CC161" s="290">
        <v>0</v>
      </c>
      <c r="CD161" s="290">
        <v>83</v>
      </c>
      <c r="CE161" s="290">
        <v>121169.05899999999</v>
      </c>
      <c r="CF161" s="290">
        <v>0</v>
      </c>
      <c r="CG161" s="290">
        <v>0</v>
      </c>
      <c r="CH161" s="290">
        <v>0</v>
      </c>
      <c r="CI161" s="290">
        <v>0</v>
      </c>
      <c r="CJ161" s="290"/>
    </row>
    <row r="162" spans="1:88" ht="13">
      <c r="A162" s="1">
        <v>3423</v>
      </c>
      <c r="B162" s="2" t="s">
        <v>837</v>
      </c>
      <c r="C162" s="289">
        <v>2378</v>
      </c>
      <c r="D162" s="290">
        <v>23</v>
      </c>
      <c r="E162" s="290">
        <v>74</v>
      </c>
      <c r="F162" s="290">
        <v>224</v>
      </c>
      <c r="G162" s="290">
        <v>143</v>
      </c>
      <c r="H162" s="290">
        <v>1301</v>
      </c>
      <c r="I162" s="290">
        <v>410</v>
      </c>
      <c r="J162" s="290">
        <v>171</v>
      </c>
      <c r="K162" s="290">
        <v>26</v>
      </c>
      <c r="L162" s="290">
        <v>23</v>
      </c>
      <c r="M162" s="290">
        <v>290</v>
      </c>
      <c r="N162" s="290">
        <v>26</v>
      </c>
      <c r="O162" s="290">
        <v>31</v>
      </c>
      <c r="P162" s="624">
        <v>32274.632666670001</v>
      </c>
      <c r="Q162" s="624">
        <v>9074.2610000000004</v>
      </c>
      <c r="R162" s="1039">
        <v>13</v>
      </c>
      <c r="S162" s="290">
        <v>0</v>
      </c>
      <c r="T162" s="290">
        <v>283</v>
      </c>
      <c r="U162" s="958">
        <v>2.0041239498278306E-3</v>
      </c>
      <c r="V162" s="290">
        <v>1074.3874345300001</v>
      </c>
      <c r="W162" s="765">
        <v>1</v>
      </c>
      <c r="X162" s="290">
        <v>800</v>
      </c>
      <c r="Y162" s="290"/>
      <c r="Z162" s="290">
        <v>59878.43</v>
      </c>
      <c r="AA162" s="290">
        <v>0</v>
      </c>
      <c r="AB162" s="290">
        <v>59</v>
      </c>
      <c r="AC162" s="290">
        <v>116</v>
      </c>
      <c r="AD162" s="290">
        <v>68</v>
      </c>
      <c r="AE162" s="290">
        <v>0</v>
      </c>
      <c r="AF162" s="290">
        <v>0</v>
      </c>
      <c r="AG162" s="290">
        <v>2372</v>
      </c>
      <c r="AH162" s="290">
        <v>294</v>
      </c>
      <c r="AI162" s="290">
        <v>0</v>
      </c>
      <c r="AJ162" s="290">
        <v>0</v>
      </c>
      <c r="AK162" s="290">
        <v>0</v>
      </c>
      <c r="AL162" s="290">
        <v>0</v>
      </c>
      <c r="AM162" s="957">
        <v>7.5434230000000005E-2</v>
      </c>
      <c r="AN162" s="290">
        <v>0</v>
      </c>
      <c r="AO162" s="290">
        <v>-751.34894721000001</v>
      </c>
      <c r="AP162" s="290">
        <v>0</v>
      </c>
      <c r="AQ162" s="290">
        <v>0</v>
      </c>
      <c r="AR162" s="290">
        <v>-89.582117159999996</v>
      </c>
      <c r="AS162" s="290">
        <v>187.6995</v>
      </c>
      <c r="AT162" s="290">
        <v>132</v>
      </c>
      <c r="AU162" s="290">
        <v>22</v>
      </c>
      <c r="AV162" s="766">
        <v>103208</v>
      </c>
      <c r="AW162" s="290">
        <v>0</v>
      </c>
      <c r="AX162" s="766">
        <v>9.9583499999999994</v>
      </c>
      <c r="AY162" s="290">
        <v>460</v>
      </c>
      <c r="AZ162" s="290">
        <v>152</v>
      </c>
      <c r="BA162" s="290">
        <v>35</v>
      </c>
      <c r="BB162" s="290">
        <v>6034</v>
      </c>
      <c r="BC162" s="290">
        <v>3938.7113350300001</v>
      </c>
      <c r="BD162" s="290"/>
      <c r="BE162" s="290">
        <v>99029.850829529998</v>
      </c>
      <c r="BF162" s="290">
        <v>0</v>
      </c>
      <c r="BG162" s="290">
        <v>1942</v>
      </c>
      <c r="BH162" s="290">
        <v>500</v>
      </c>
      <c r="BI162" s="290">
        <v>478</v>
      </c>
      <c r="BJ162" s="290">
        <v>28</v>
      </c>
      <c r="BK162" s="290">
        <v>66</v>
      </c>
      <c r="BL162" s="290">
        <v>0</v>
      </c>
      <c r="BM162" s="290">
        <v>0</v>
      </c>
      <c r="BN162" s="290">
        <v>41</v>
      </c>
      <c r="BO162" s="290">
        <v>-22</v>
      </c>
      <c r="BP162" s="290">
        <v>221</v>
      </c>
      <c r="BQ162" s="290">
        <v>441</v>
      </c>
      <c r="BR162" s="290">
        <v>334</v>
      </c>
      <c r="BS162" s="290">
        <v>51</v>
      </c>
      <c r="BT162" s="290">
        <v>0</v>
      </c>
      <c r="BU162" s="290">
        <v>0</v>
      </c>
      <c r="BV162" s="290">
        <v>38</v>
      </c>
      <c r="BW162" s="290">
        <v>0</v>
      </c>
      <c r="BX162" s="290">
        <v>0</v>
      </c>
      <c r="BY162" s="290">
        <v>312</v>
      </c>
      <c r="BZ162" s="290">
        <v>0</v>
      </c>
      <c r="CA162" s="290">
        <v>340.22400000000005</v>
      </c>
      <c r="CB162" s="290">
        <v>34</v>
      </c>
      <c r="CC162" s="290">
        <v>0</v>
      </c>
      <c r="CD162" s="290">
        <v>55</v>
      </c>
      <c r="CE162" s="290">
        <v>59878.43</v>
      </c>
      <c r="CF162" s="290">
        <v>0</v>
      </c>
      <c r="CG162" s="290">
        <v>0</v>
      </c>
      <c r="CH162" s="290">
        <v>0</v>
      </c>
      <c r="CI162" s="290">
        <v>0</v>
      </c>
      <c r="CJ162" s="290"/>
    </row>
    <row r="163" spans="1:88" ht="13">
      <c r="A163" s="1">
        <v>3424</v>
      </c>
      <c r="B163" s="2" t="s">
        <v>838</v>
      </c>
      <c r="C163" s="289">
        <v>1741</v>
      </c>
      <c r="D163" s="290">
        <v>17</v>
      </c>
      <c r="E163" s="290">
        <v>54</v>
      </c>
      <c r="F163" s="290">
        <v>172</v>
      </c>
      <c r="G163" s="290">
        <v>128</v>
      </c>
      <c r="H163" s="290">
        <v>903</v>
      </c>
      <c r="I163" s="290">
        <v>358</v>
      </c>
      <c r="J163" s="290">
        <v>95</v>
      </c>
      <c r="K163" s="290">
        <v>30</v>
      </c>
      <c r="L163" s="290">
        <v>16</v>
      </c>
      <c r="M163" s="290">
        <v>235</v>
      </c>
      <c r="N163" s="290">
        <v>14</v>
      </c>
      <c r="O163" s="290">
        <v>20</v>
      </c>
      <c r="P163" s="624">
        <v>23476.22633333</v>
      </c>
      <c r="Q163" s="624">
        <v>10949.05966667</v>
      </c>
      <c r="R163" s="1039">
        <v>10</v>
      </c>
      <c r="S163" s="290">
        <v>0</v>
      </c>
      <c r="T163" s="290">
        <v>209</v>
      </c>
      <c r="U163" s="958">
        <v>2.5822797342028025E-3</v>
      </c>
      <c r="V163" s="290">
        <v>1178.8664248800001</v>
      </c>
      <c r="W163" s="765">
        <v>1</v>
      </c>
      <c r="X163" s="290">
        <v>0</v>
      </c>
      <c r="Y163" s="290"/>
      <c r="Z163" s="290">
        <v>47201.71</v>
      </c>
      <c r="AA163" s="290">
        <v>0</v>
      </c>
      <c r="AB163" s="290">
        <v>31</v>
      </c>
      <c r="AC163" s="290">
        <v>93</v>
      </c>
      <c r="AD163" s="290">
        <v>57</v>
      </c>
      <c r="AE163" s="290">
        <v>0</v>
      </c>
      <c r="AF163" s="290">
        <v>0</v>
      </c>
      <c r="AG163" s="290">
        <v>1757</v>
      </c>
      <c r="AH163" s="290">
        <v>236</v>
      </c>
      <c r="AI163" s="290">
        <v>0</v>
      </c>
      <c r="AJ163" s="290">
        <v>0</v>
      </c>
      <c r="AK163" s="290">
        <v>0</v>
      </c>
      <c r="AL163" s="290">
        <v>0</v>
      </c>
      <c r="AM163" s="957">
        <v>4.2326099999999998E-2</v>
      </c>
      <c r="AN163" s="290">
        <v>0</v>
      </c>
      <c r="AO163" s="290">
        <v>-590.06559302999995</v>
      </c>
      <c r="AP163" s="290">
        <v>0</v>
      </c>
      <c r="AQ163" s="290">
        <v>0</v>
      </c>
      <c r="AR163" s="290">
        <v>-66.355725059999997</v>
      </c>
      <c r="AS163" s="290">
        <v>159.45249999999999</v>
      </c>
      <c r="AT163" s="290">
        <v>93</v>
      </c>
      <c r="AU163" s="290">
        <v>14</v>
      </c>
      <c r="AV163" s="766">
        <v>84905</v>
      </c>
      <c r="AW163" s="290">
        <v>0</v>
      </c>
      <c r="AX163" s="766">
        <v>4.8333000000000004</v>
      </c>
      <c r="AY163" s="290">
        <v>300</v>
      </c>
      <c r="AZ163" s="290">
        <v>103</v>
      </c>
      <c r="BA163" s="290">
        <v>41</v>
      </c>
      <c r="BB163" s="290">
        <v>6034</v>
      </c>
      <c r="BC163" s="290">
        <v>3083.1093701899999</v>
      </c>
      <c r="BD163" s="290"/>
      <c r="BE163" s="290">
        <v>82124.624649279998</v>
      </c>
      <c r="BF163" s="290">
        <v>0</v>
      </c>
      <c r="BG163" s="290">
        <v>1438</v>
      </c>
      <c r="BH163" s="290">
        <v>500</v>
      </c>
      <c r="BI163" s="290">
        <v>386</v>
      </c>
      <c r="BJ163" s="290">
        <v>21</v>
      </c>
      <c r="BK163" s="290">
        <v>46</v>
      </c>
      <c r="BL163" s="290">
        <v>0</v>
      </c>
      <c r="BM163" s="290">
        <v>0</v>
      </c>
      <c r="BN163" s="290">
        <v>29</v>
      </c>
      <c r="BO163" s="290">
        <v>-15</v>
      </c>
      <c r="BP163" s="290">
        <v>161</v>
      </c>
      <c r="BQ163" s="290">
        <v>323</v>
      </c>
      <c r="BR163" s="290">
        <v>244</v>
      </c>
      <c r="BS163" s="290">
        <v>42</v>
      </c>
      <c r="BT163" s="290">
        <v>0</v>
      </c>
      <c r="BU163" s="290">
        <v>0</v>
      </c>
      <c r="BV163" s="290">
        <v>27</v>
      </c>
      <c r="BW163" s="290">
        <v>0</v>
      </c>
      <c r="BX163" s="290">
        <v>0</v>
      </c>
      <c r="BY163" s="290">
        <v>248</v>
      </c>
      <c r="BZ163" s="290">
        <v>0</v>
      </c>
      <c r="CA163" s="290">
        <v>112.70699999999999</v>
      </c>
      <c r="CB163" s="290">
        <v>29</v>
      </c>
      <c r="CC163" s="290">
        <v>0</v>
      </c>
      <c r="CD163" s="290">
        <v>37</v>
      </c>
      <c r="CE163" s="290">
        <v>47201.71</v>
      </c>
      <c r="CF163" s="290">
        <v>0</v>
      </c>
      <c r="CG163" s="290">
        <v>0</v>
      </c>
      <c r="CH163" s="290">
        <v>0</v>
      </c>
      <c r="CI163" s="290">
        <v>0</v>
      </c>
      <c r="CJ163" s="290"/>
    </row>
    <row r="164" spans="1:88" ht="13">
      <c r="A164" s="1">
        <v>3425</v>
      </c>
      <c r="B164" s="2" t="s">
        <v>839</v>
      </c>
      <c r="C164" s="289">
        <v>1250</v>
      </c>
      <c r="D164" s="290">
        <v>20</v>
      </c>
      <c r="E164" s="290">
        <v>35</v>
      </c>
      <c r="F164" s="290">
        <v>108</v>
      </c>
      <c r="G164" s="290">
        <v>109</v>
      </c>
      <c r="H164" s="290">
        <v>662</v>
      </c>
      <c r="I164" s="290">
        <v>235</v>
      </c>
      <c r="J164" s="290">
        <v>82</v>
      </c>
      <c r="K164" s="290">
        <v>17</v>
      </c>
      <c r="L164" s="290">
        <v>11</v>
      </c>
      <c r="M164" s="290">
        <v>151</v>
      </c>
      <c r="N164" s="290">
        <v>9</v>
      </c>
      <c r="O164" s="290">
        <v>17</v>
      </c>
      <c r="P164" s="624">
        <v>38580.411666669999</v>
      </c>
      <c r="Q164" s="624">
        <v>16452.452000000001</v>
      </c>
      <c r="R164" s="1039">
        <v>6</v>
      </c>
      <c r="S164" s="290">
        <v>0</v>
      </c>
      <c r="T164" s="290">
        <v>108</v>
      </c>
      <c r="U164" s="958">
        <v>1.3039604499035936E-3</v>
      </c>
      <c r="V164" s="290">
        <v>903.82681045000004</v>
      </c>
      <c r="W164" s="765">
        <v>1</v>
      </c>
      <c r="X164" s="290">
        <v>2300</v>
      </c>
      <c r="Y164" s="290"/>
      <c r="Z164" s="290">
        <v>31035.309000000001</v>
      </c>
      <c r="AA164" s="290">
        <v>0</v>
      </c>
      <c r="AB164" s="290">
        <v>22</v>
      </c>
      <c r="AC164" s="290">
        <v>74</v>
      </c>
      <c r="AD164" s="290">
        <v>51</v>
      </c>
      <c r="AE164" s="290">
        <v>0</v>
      </c>
      <c r="AF164" s="290">
        <v>0</v>
      </c>
      <c r="AG164" s="290">
        <v>1268</v>
      </c>
      <c r="AH164" s="290">
        <v>173</v>
      </c>
      <c r="AI164" s="290">
        <v>0</v>
      </c>
      <c r="AJ164" s="290">
        <v>0</v>
      </c>
      <c r="AK164" s="290">
        <v>0</v>
      </c>
      <c r="AL164" s="290">
        <v>0</v>
      </c>
      <c r="AM164" s="957">
        <v>1.8237690000000001E-2</v>
      </c>
      <c r="AN164" s="290">
        <v>0</v>
      </c>
      <c r="AO164" s="290">
        <v>-452.39824601999999</v>
      </c>
      <c r="AP164" s="290">
        <v>0</v>
      </c>
      <c r="AQ164" s="290">
        <v>0</v>
      </c>
      <c r="AR164" s="290">
        <v>-47.887910859999998</v>
      </c>
      <c r="AS164" s="290">
        <v>143.99199999999999</v>
      </c>
      <c r="AT164" s="290">
        <v>59</v>
      </c>
      <c r="AU164" s="290">
        <v>7</v>
      </c>
      <c r="AV164" s="766">
        <v>71579</v>
      </c>
      <c r="AW164" s="290">
        <v>0</v>
      </c>
      <c r="AX164" s="766">
        <v>11.916650000000001</v>
      </c>
      <c r="AY164" s="290">
        <v>213</v>
      </c>
      <c r="AZ164" s="290">
        <v>71</v>
      </c>
      <c r="BA164" s="290">
        <v>13</v>
      </c>
      <c r="BB164" s="290">
        <v>6034</v>
      </c>
      <c r="BC164" s="290">
        <v>2598.73969554</v>
      </c>
      <c r="BD164" s="290"/>
      <c r="BE164" s="290">
        <v>69169.508518560004</v>
      </c>
      <c r="BF164" s="290">
        <v>0</v>
      </c>
      <c r="BG164" s="290">
        <v>1038</v>
      </c>
      <c r="BH164" s="290">
        <v>500</v>
      </c>
      <c r="BI164" s="290">
        <v>298</v>
      </c>
      <c r="BJ164" s="290">
        <v>15</v>
      </c>
      <c r="BK164" s="290">
        <v>35</v>
      </c>
      <c r="BL164" s="290">
        <v>0</v>
      </c>
      <c r="BM164" s="290">
        <v>0</v>
      </c>
      <c r="BN164" s="290">
        <v>22</v>
      </c>
      <c r="BO164" s="290">
        <v>-9</v>
      </c>
      <c r="BP164" s="290">
        <v>116</v>
      </c>
      <c r="BQ164" s="290">
        <v>232</v>
      </c>
      <c r="BR164" s="290">
        <v>176</v>
      </c>
      <c r="BS164" s="290">
        <v>38</v>
      </c>
      <c r="BT164" s="290">
        <v>0</v>
      </c>
      <c r="BU164" s="290">
        <v>0</v>
      </c>
      <c r="BV164" s="290">
        <v>20</v>
      </c>
      <c r="BW164" s="290">
        <v>0</v>
      </c>
      <c r="BX164" s="290">
        <v>0</v>
      </c>
      <c r="BY164" s="290">
        <v>176</v>
      </c>
      <c r="BZ164" s="290">
        <v>0</v>
      </c>
      <c r="CA164" s="290">
        <v>86.411000000000001</v>
      </c>
      <c r="CB164" s="290">
        <v>25</v>
      </c>
      <c r="CC164" s="290">
        <v>0</v>
      </c>
      <c r="CD164" s="290">
        <v>22</v>
      </c>
      <c r="CE164" s="290">
        <v>31035.309000000001</v>
      </c>
      <c r="CF164" s="290">
        <v>0</v>
      </c>
      <c r="CG164" s="290">
        <v>0</v>
      </c>
      <c r="CH164" s="290">
        <v>0</v>
      </c>
      <c r="CI164" s="290">
        <v>0</v>
      </c>
      <c r="CJ164" s="290"/>
    </row>
    <row r="165" spans="1:88" ht="13">
      <c r="A165" s="1">
        <v>3426</v>
      </c>
      <c r="B165" s="2" t="s">
        <v>840</v>
      </c>
      <c r="C165" s="289">
        <v>1563</v>
      </c>
      <c r="D165" s="290">
        <v>30</v>
      </c>
      <c r="E165" s="290">
        <v>69</v>
      </c>
      <c r="F165" s="290">
        <v>196</v>
      </c>
      <c r="G165" s="290">
        <v>146</v>
      </c>
      <c r="H165" s="290">
        <v>828</v>
      </c>
      <c r="I165" s="290">
        <v>207</v>
      </c>
      <c r="J165" s="290">
        <v>75</v>
      </c>
      <c r="K165" s="290">
        <v>12</v>
      </c>
      <c r="L165" s="290">
        <v>14</v>
      </c>
      <c r="M165" s="290">
        <v>138</v>
      </c>
      <c r="N165" s="290">
        <v>51</v>
      </c>
      <c r="O165" s="290">
        <v>41</v>
      </c>
      <c r="P165" s="624">
        <v>10392.858</v>
      </c>
      <c r="Q165" s="624">
        <v>4579.9296666700002</v>
      </c>
      <c r="R165" s="1039">
        <v>4</v>
      </c>
      <c r="S165" s="290">
        <v>0</v>
      </c>
      <c r="T165" s="290">
        <v>124</v>
      </c>
      <c r="U165" s="958">
        <v>2.5130802314824738E-3</v>
      </c>
      <c r="V165" s="290">
        <v>980.22952621000002</v>
      </c>
      <c r="W165" s="765">
        <v>0.87170707000000003</v>
      </c>
      <c r="X165" s="290">
        <v>1500</v>
      </c>
      <c r="Y165" s="290"/>
      <c r="Z165" s="290">
        <v>36633.373</v>
      </c>
      <c r="AA165" s="290">
        <v>0</v>
      </c>
      <c r="AB165" s="290">
        <v>19</v>
      </c>
      <c r="AC165" s="290">
        <v>98</v>
      </c>
      <c r="AD165" s="290">
        <v>45</v>
      </c>
      <c r="AE165" s="290">
        <v>0</v>
      </c>
      <c r="AF165" s="290">
        <v>0</v>
      </c>
      <c r="AG165" s="290">
        <v>1563</v>
      </c>
      <c r="AH165" s="290">
        <v>280</v>
      </c>
      <c r="AI165" s="290">
        <v>0</v>
      </c>
      <c r="AJ165" s="290">
        <v>0</v>
      </c>
      <c r="AK165" s="290">
        <v>0</v>
      </c>
      <c r="AL165" s="290">
        <v>0</v>
      </c>
      <c r="AM165" s="957">
        <v>1.6938789999999999E-2</v>
      </c>
      <c r="AN165" s="290">
        <v>0</v>
      </c>
      <c r="AO165" s="290">
        <v>-490.64058869000002</v>
      </c>
      <c r="AP165" s="290">
        <v>0</v>
      </c>
      <c r="AQ165" s="290">
        <v>0</v>
      </c>
      <c r="AR165" s="290">
        <v>861.39503047999995</v>
      </c>
      <c r="AS165" s="290">
        <v>145.98699999999999</v>
      </c>
      <c r="AT165" s="290">
        <v>56</v>
      </c>
      <c r="AU165" s="290">
        <v>9</v>
      </c>
      <c r="AV165" s="766">
        <v>71802</v>
      </c>
      <c r="AW165" s="290">
        <v>1500</v>
      </c>
      <c r="AX165" s="766">
        <v>7.1250499999999999</v>
      </c>
      <c r="AY165" s="290">
        <v>389</v>
      </c>
      <c r="AZ165" s="290">
        <v>82</v>
      </c>
      <c r="BA165" s="290">
        <v>25</v>
      </c>
      <c r="BB165" s="290">
        <v>6034</v>
      </c>
      <c r="BC165" s="290">
        <v>2922.4228638200002</v>
      </c>
      <c r="BD165" s="290"/>
      <c r="BE165" s="290">
        <v>67685.106304369998</v>
      </c>
      <c r="BF165" s="290">
        <v>0</v>
      </c>
      <c r="BG165" s="290">
        <v>1279</v>
      </c>
      <c r="BH165" s="290">
        <v>500</v>
      </c>
      <c r="BI165" s="290">
        <v>423</v>
      </c>
      <c r="BJ165" s="290">
        <v>18</v>
      </c>
      <c r="BK165" s="290">
        <v>60</v>
      </c>
      <c r="BL165" s="290">
        <v>0</v>
      </c>
      <c r="BM165" s="290">
        <v>0</v>
      </c>
      <c r="BN165" s="290">
        <v>37</v>
      </c>
      <c r="BO165" s="290">
        <v>-12</v>
      </c>
      <c r="BP165" s="290">
        <v>145</v>
      </c>
      <c r="BQ165" s="290">
        <v>290</v>
      </c>
      <c r="BR165" s="290">
        <v>219</v>
      </c>
      <c r="BS165" s="290">
        <v>34</v>
      </c>
      <c r="BT165" s="290">
        <v>0</v>
      </c>
      <c r="BU165" s="290">
        <v>0</v>
      </c>
      <c r="BV165" s="290">
        <v>34</v>
      </c>
      <c r="BW165" s="290">
        <v>0</v>
      </c>
      <c r="BX165" s="290">
        <v>0</v>
      </c>
      <c r="BY165" s="290">
        <v>181</v>
      </c>
      <c r="BZ165" s="290">
        <v>0</v>
      </c>
      <c r="CA165" s="290">
        <v>488.53300000000002</v>
      </c>
      <c r="CB165" s="290">
        <v>26</v>
      </c>
      <c r="CC165" s="290">
        <v>0</v>
      </c>
      <c r="CD165" s="290">
        <v>29</v>
      </c>
      <c r="CE165" s="290">
        <v>36633.373</v>
      </c>
      <c r="CF165" s="290">
        <v>0</v>
      </c>
      <c r="CG165" s="290">
        <v>0</v>
      </c>
      <c r="CH165" s="290">
        <v>0</v>
      </c>
      <c r="CI165" s="290">
        <v>0</v>
      </c>
      <c r="CJ165" s="290"/>
    </row>
    <row r="166" spans="1:88" ht="13">
      <c r="A166" s="1">
        <v>3427</v>
      </c>
      <c r="B166" s="2" t="s">
        <v>841</v>
      </c>
      <c r="C166" s="289">
        <v>5537</v>
      </c>
      <c r="D166" s="290">
        <v>92</v>
      </c>
      <c r="E166" s="290">
        <v>185</v>
      </c>
      <c r="F166" s="290">
        <v>689</v>
      </c>
      <c r="G166" s="290">
        <v>552</v>
      </c>
      <c r="H166" s="290">
        <v>2998</v>
      </c>
      <c r="I166" s="290">
        <v>741</v>
      </c>
      <c r="J166" s="290">
        <v>243</v>
      </c>
      <c r="K166" s="290">
        <v>59</v>
      </c>
      <c r="L166" s="290">
        <v>43</v>
      </c>
      <c r="M166" s="290">
        <v>480</v>
      </c>
      <c r="N166" s="290">
        <v>99</v>
      </c>
      <c r="O166" s="290">
        <v>62</v>
      </c>
      <c r="P166" s="624">
        <v>49668.885333329999</v>
      </c>
      <c r="Q166" s="624">
        <v>15517.579666670001</v>
      </c>
      <c r="R166" s="1039">
        <v>41</v>
      </c>
      <c r="S166" s="290">
        <v>0</v>
      </c>
      <c r="T166" s="290">
        <v>460</v>
      </c>
      <c r="U166" s="958">
        <v>4.9904224767484077E-3</v>
      </c>
      <c r="V166" s="290">
        <v>3135.34846552</v>
      </c>
      <c r="W166" s="765">
        <v>0.71802405000000002</v>
      </c>
      <c r="X166" s="290">
        <v>1000</v>
      </c>
      <c r="Y166" s="290"/>
      <c r="Z166" s="290">
        <v>157024.72899999999</v>
      </c>
      <c r="AA166" s="290">
        <v>0</v>
      </c>
      <c r="AB166" s="290">
        <v>102</v>
      </c>
      <c r="AC166" s="290">
        <v>306</v>
      </c>
      <c r="AD166" s="290">
        <v>121</v>
      </c>
      <c r="AE166" s="290">
        <v>0</v>
      </c>
      <c r="AF166" s="290">
        <v>0</v>
      </c>
      <c r="AG166" s="290">
        <v>5559</v>
      </c>
      <c r="AH166" s="290">
        <v>950</v>
      </c>
      <c r="AI166" s="290">
        <v>0</v>
      </c>
      <c r="AJ166" s="290">
        <v>0</v>
      </c>
      <c r="AK166" s="290">
        <v>0</v>
      </c>
      <c r="AL166" s="290">
        <v>0</v>
      </c>
      <c r="AM166" s="957">
        <v>4.0476459999999999E-2</v>
      </c>
      <c r="AN166" s="290">
        <v>6329</v>
      </c>
      <c r="AO166" s="290">
        <v>-1569.35613111</v>
      </c>
      <c r="AP166" s="290">
        <v>0</v>
      </c>
      <c r="AQ166" s="290">
        <v>0</v>
      </c>
      <c r="AR166" s="290">
        <v>522.31617372000005</v>
      </c>
      <c r="AS166" s="290">
        <v>490.44850000000002</v>
      </c>
      <c r="AT166" s="290">
        <v>207</v>
      </c>
      <c r="AU166" s="290">
        <v>26</v>
      </c>
      <c r="AV166" s="766">
        <v>193964</v>
      </c>
      <c r="AW166" s="290">
        <v>3000</v>
      </c>
      <c r="AX166" s="766">
        <v>35.749949999999998</v>
      </c>
      <c r="AY166" s="290">
        <v>1306</v>
      </c>
      <c r="AZ166" s="290">
        <v>234</v>
      </c>
      <c r="BA166" s="290">
        <v>83</v>
      </c>
      <c r="BB166" s="290">
        <v>0</v>
      </c>
      <c r="BC166" s="290">
        <v>8406.2550425499994</v>
      </c>
      <c r="BD166" s="290"/>
      <c r="BE166" s="290">
        <v>182091.93696829001</v>
      </c>
      <c r="BF166" s="290">
        <v>0</v>
      </c>
      <c r="BG166" s="290">
        <v>4551</v>
      </c>
      <c r="BH166" s="290">
        <v>1000</v>
      </c>
      <c r="BI166" s="290">
        <v>1377</v>
      </c>
      <c r="BJ166" s="290">
        <v>64</v>
      </c>
      <c r="BK166" s="290">
        <v>174</v>
      </c>
      <c r="BL166" s="290">
        <v>0</v>
      </c>
      <c r="BM166" s="290">
        <v>0</v>
      </c>
      <c r="BN166" s="290">
        <v>109</v>
      </c>
      <c r="BO166" s="290">
        <v>-39</v>
      </c>
      <c r="BP166" s="290">
        <v>514</v>
      </c>
      <c r="BQ166" s="290">
        <v>1027</v>
      </c>
      <c r="BR166" s="290">
        <v>777</v>
      </c>
      <c r="BS166" s="290">
        <v>91</v>
      </c>
      <c r="BT166" s="290">
        <v>0</v>
      </c>
      <c r="BU166" s="290">
        <v>0</v>
      </c>
      <c r="BV166" s="290">
        <v>100</v>
      </c>
      <c r="BW166" s="290">
        <v>0</v>
      </c>
      <c r="BX166" s="290">
        <v>0</v>
      </c>
      <c r="BY166" s="290">
        <v>623</v>
      </c>
      <c r="BZ166" s="290">
        <v>0</v>
      </c>
      <c r="CA166" s="290">
        <v>1257.365</v>
      </c>
      <c r="CB166" s="290">
        <v>58</v>
      </c>
      <c r="CC166" s="290">
        <v>0</v>
      </c>
      <c r="CD166" s="290">
        <v>97</v>
      </c>
      <c r="CE166" s="290">
        <v>157024.72899999999</v>
      </c>
      <c r="CF166" s="290">
        <v>0</v>
      </c>
      <c r="CG166" s="290">
        <v>0</v>
      </c>
      <c r="CH166" s="290">
        <v>0</v>
      </c>
      <c r="CI166" s="290">
        <v>0</v>
      </c>
      <c r="CJ166" s="290"/>
    </row>
    <row r="167" spans="1:88" ht="13">
      <c r="A167" s="1">
        <v>3428</v>
      </c>
      <c r="B167" s="2" t="s">
        <v>842</v>
      </c>
      <c r="C167" s="289">
        <v>2405</v>
      </c>
      <c r="D167" s="290">
        <v>50</v>
      </c>
      <c r="E167" s="290">
        <v>115</v>
      </c>
      <c r="F167" s="290">
        <v>316</v>
      </c>
      <c r="G167" s="290">
        <v>223</v>
      </c>
      <c r="H167" s="290">
        <v>1286</v>
      </c>
      <c r="I167" s="290">
        <v>298</v>
      </c>
      <c r="J167" s="290">
        <v>112</v>
      </c>
      <c r="K167" s="290">
        <v>35</v>
      </c>
      <c r="L167" s="290">
        <v>22</v>
      </c>
      <c r="M167" s="290">
        <v>202</v>
      </c>
      <c r="N167" s="290">
        <v>28</v>
      </c>
      <c r="O167" s="290">
        <v>22</v>
      </c>
      <c r="P167" s="624">
        <v>11052.60333333</v>
      </c>
      <c r="Q167" s="624">
        <v>6679.6433333300001</v>
      </c>
      <c r="R167" s="1039">
        <v>13</v>
      </c>
      <c r="S167" s="290">
        <v>0</v>
      </c>
      <c r="T167" s="290">
        <v>189</v>
      </c>
      <c r="U167" s="958">
        <v>3.0403610761161751E-3</v>
      </c>
      <c r="V167" s="290">
        <v>1488.0364169500001</v>
      </c>
      <c r="W167" s="765">
        <v>0.80995368999999995</v>
      </c>
      <c r="X167" s="290">
        <v>2300</v>
      </c>
      <c r="Y167" s="290"/>
      <c r="Z167" s="290">
        <v>69419.739000000001</v>
      </c>
      <c r="AA167" s="290">
        <v>1513</v>
      </c>
      <c r="AB167" s="290">
        <v>47</v>
      </c>
      <c r="AC167" s="290">
        <v>142</v>
      </c>
      <c r="AD167" s="290">
        <v>60</v>
      </c>
      <c r="AE167" s="290">
        <v>0</v>
      </c>
      <c r="AF167" s="290">
        <v>0</v>
      </c>
      <c r="AG167" s="290">
        <v>2435</v>
      </c>
      <c r="AH167" s="290">
        <v>449</v>
      </c>
      <c r="AI167" s="290">
        <v>0</v>
      </c>
      <c r="AJ167" s="290">
        <v>0</v>
      </c>
      <c r="AK167" s="290">
        <v>0</v>
      </c>
      <c r="AL167" s="290">
        <v>0</v>
      </c>
      <c r="AM167" s="957">
        <v>1.1808020000000001E-2</v>
      </c>
      <c r="AN167" s="290">
        <v>0</v>
      </c>
      <c r="AO167" s="290">
        <v>-744.81643744999997</v>
      </c>
      <c r="AP167" s="290">
        <v>0</v>
      </c>
      <c r="AQ167" s="290">
        <v>0</v>
      </c>
      <c r="AR167" s="290">
        <v>-91.961406109999999</v>
      </c>
      <c r="AS167" s="290">
        <v>210.45849999999999</v>
      </c>
      <c r="AT167" s="290">
        <v>97</v>
      </c>
      <c r="AU167" s="290">
        <v>9</v>
      </c>
      <c r="AV167" s="766">
        <v>99541</v>
      </c>
      <c r="AW167" s="290">
        <v>1500</v>
      </c>
      <c r="AX167" s="766">
        <v>15.541700000000001</v>
      </c>
      <c r="AY167" s="290">
        <v>448</v>
      </c>
      <c r="AZ167" s="290">
        <v>80</v>
      </c>
      <c r="BA167" s="290">
        <v>32</v>
      </c>
      <c r="BB167" s="290">
        <v>4827</v>
      </c>
      <c r="BC167" s="290">
        <v>4214.9947553600005</v>
      </c>
      <c r="BD167" s="290"/>
      <c r="BE167" s="290">
        <v>96482.528348670006</v>
      </c>
      <c r="BF167" s="290">
        <v>0</v>
      </c>
      <c r="BG167" s="290">
        <v>1993</v>
      </c>
      <c r="BH167" s="290">
        <v>500</v>
      </c>
      <c r="BI167" s="290">
        <v>651</v>
      </c>
      <c r="BJ167" s="290">
        <v>28</v>
      </c>
      <c r="BK167" s="290">
        <v>98</v>
      </c>
      <c r="BL167" s="290">
        <v>0</v>
      </c>
      <c r="BM167" s="290">
        <v>0</v>
      </c>
      <c r="BN167" s="290">
        <v>61</v>
      </c>
      <c r="BO167" s="290">
        <v>-16</v>
      </c>
      <c r="BP167" s="290">
        <v>223</v>
      </c>
      <c r="BQ167" s="290">
        <v>446</v>
      </c>
      <c r="BR167" s="290">
        <v>338</v>
      </c>
      <c r="BS167" s="290">
        <v>45</v>
      </c>
      <c r="BT167" s="290">
        <v>0</v>
      </c>
      <c r="BU167" s="290">
        <v>0</v>
      </c>
      <c r="BV167" s="290">
        <v>57</v>
      </c>
      <c r="BW167" s="290">
        <v>0</v>
      </c>
      <c r="BX167" s="290">
        <v>0</v>
      </c>
      <c r="BY167" s="290">
        <v>260</v>
      </c>
      <c r="BZ167" s="290">
        <v>0</v>
      </c>
      <c r="CA167" s="290">
        <v>226.71699999999998</v>
      </c>
      <c r="CB167" s="290">
        <v>32</v>
      </c>
      <c r="CC167" s="290">
        <v>0</v>
      </c>
      <c r="CD167" s="290">
        <v>39</v>
      </c>
      <c r="CE167" s="290">
        <v>69419.739000000001</v>
      </c>
      <c r="CF167" s="290">
        <v>0</v>
      </c>
      <c r="CG167" s="290">
        <v>0</v>
      </c>
      <c r="CH167" s="290">
        <v>0</v>
      </c>
      <c r="CI167" s="290">
        <v>0</v>
      </c>
      <c r="CJ167" s="290"/>
    </row>
    <row r="168" spans="1:88" ht="13">
      <c r="A168" s="1">
        <v>3429</v>
      </c>
      <c r="B168" s="2" t="s">
        <v>843</v>
      </c>
      <c r="C168" s="289">
        <v>1518</v>
      </c>
      <c r="D168" s="290">
        <v>14</v>
      </c>
      <c r="E168" s="290">
        <v>36</v>
      </c>
      <c r="F168" s="290">
        <v>163</v>
      </c>
      <c r="G168" s="290">
        <v>132</v>
      </c>
      <c r="H168" s="290">
        <v>784</v>
      </c>
      <c r="I168" s="290">
        <v>286</v>
      </c>
      <c r="J168" s="290">
        <v>87</v>
      </c>
      <c r="K168" s="290">
        <v>22</v>
      </c>
      <c r="L168" s="290">
        <v>11</v>
      </c>
      <c r="M168" s="290">
        <v>182</v>
      </c>
      <c r="N168" s="290">
        <v>5</v>
      </c>
      <c r="O168" s="290">
        <v>12</v>
      </c>
      <c r="P168" s="624">
        <v>9758.2763333300009</v>
      </c>
      <c r="Q168" s="624">
        <v>5753.1530000000002</v>
      </c>
      <c r="R168" s="1039">
        <v>7</v>
      </c>
      <c r="S168" s="290">
        <v>0</v>
      </c>
      <c r="T168" s="290">
        <v>142</v>
      </c>
      <c r="U168" s="958">
        <v>2.5899541177556787E-3</v>
      </c>
      <c r="V168" s="290">
        <v>971.74668138000004</v>
      </c>
      <c r="W168" s="765">
        <v>1</v>
      </c>
      <c r="X168" s="290">
        <v>800</v>
      </c>
      <c r="Y168" s="290"/>
      <c r="Z168" s="290">
        <v>38539.900999999998</v>
      </c>
      <c r="AA168" s="290">
        <v>0</v>
      </c>
      <c r="AB168" s="290">
        <v>29</v>
      </c>
      <c r="AC168" s="290">
        <v>82</v>
      </c>
      <c r="AD168" s="290">
        <v>48</v>
      </c>
      <c r="AE168" s="290">
        <v>0</v>
      </c>
      <c r="AF168" s="290">
        <v>0</v>
      </c>
      <c r="AG168" s="290">
        <v>1524</v>
      </c>
      <c r="AH168" s="290">
        <v>209</v>
      </c>
      <c r="AI168" s="290">
        <v>850</v>
      </c>
      <c r="AJ168" s="290">
        <v>0</v>
      </c>
      <c r="AK168" s="290">
        <v>0</v>
      </c>
      <c r="AL168" s="290">
        <v>0</v>
      </c>
      <c r="AM168" s="957">
        <v>5.6304399999999996E-3</v>
      </c>
      <c r="AN168" s="290">
        <v>0</v>
      </c>
      <c r="AO168" s="290">
        <v>-486.39461581</v>
      </c>
      <c r="AP168" s="290">
        <v>0</v>
      </c>
      <c r="AQ168" s="290">
        <v>0</v>
      </c>
      <c r="AR168" s="290">
        <v>1987.39443127</v>
      </c>
      <c r="AS168" s="290">
        <v>122.467</v>
      </c>
      <c r="AT168" s="290">
        <v>56</v>
      </c>
      <c r="AU168" s="290">
        <v>5</v>
      </c>
      <c r="AV168" s="766">
        <v>73097</v>
      </c>
      <c r="AW168" s="290">
        <v>0</v>
      </c>
      <c r="AX168" s="766">
        <v>9.6249500000000001</v>
      </c>
      <c r="AY168" s="290">
        <v>316</v>
      </c>
      <c r="AZ168" s="290">
        <v>48</v>
      </c>
      <c r="BA168" s="290">
        <v>25</v>
      </c>
      <c r="BB168" s="290">
        <v>6034</v>
      </c>
      <c r="BC168" s="290">
        <v>2807.89775388</v>
      </c>
      <c r="BD168" s="290"/>
      <c r="BE168" s="290">
        <v>67188.099807439998</v>
      </c>
      <c r="BF168" s="290">
        <v>0</v>
      </c>
      <c r="BG168" s="290">
        <v>1248</v>
      </c>
      <c r="BH168" s="290">
        <v>500</v>
      </c>
      <c r="BI168" s="290">
        <v>339</v>
      </c>
      <c r="BJ168" s="290">
        <v>18</v>
      </c>
      <c r="BK168" s="290">
        <v>36</v>
      </c>
      <c r="BL168" s="290">
        <v>0</v>
      </c>
      <c r="BM168" s="290">
        <v>0</v>
      </c>
      <c r="BN168" s="290">
        <v>23</v>
      </c>
      <c r="BO168" s="290">
        <v>-10</v>
      </c>
      <c r="BP168" s="290">
        <v>141</v>
      </c>
      <c r="BQ168" s="290">
        <v>282</v>
      </c>
      <c r="BR168" s="290">
        <v>213</v>
      </c>
      <c r="BS168" s="290">
        <v>36</v>
      </c>
      <c r="BT168" s="290">
        <v>0</v>
      </c>
      <c r="BU168" s="290">
        <v>0</v>
      </c>
      <c r="BV168" s="290">
        <v>21</v>
      </c>
      <c r="BW168" s="290">
        <v>0</v>
      </c>
      <c r="BX168" s="290">
        <v>0</v>
      </c>
      <c r="BY168" s="290">
        <v>211</v>
      </c>
      <c r="BZ168" s="290">
        <v>1500</v>
      </c>
      <c r="CA168" s="290">
        <v>92.905000000000001</v>
      </c>
      <c r="CB168" s="290">
        <v>27</v>
      </c>
      <c r="CC168" s="290">
        <v>0</v>
      </c>
      <c r="CD168" s="290">
        <v>25</v>
      </c>
      <c r="CE168" s="290">
        <v>38539.900999999998</v>
      </c>
      <c r="CF168" s="290">
        <v>0</v>
      </c>
      <c r="CG168" s="290">
        <v>0</v>
      </c>
      <c r="CH168" s="290">
        <v>0</v>
      </c>
      <c r="CI168" s="290">
        <v>0</v>
      </c>
      <c r="CJ168" s="290"/>
    </row>
    <row r="169" spans="1:88" ht="13">
      <c r="A169" s="1">
        <v>3430</v>
      </c>
      <c r="B169" s="2" t="s">
        <v>844</v>
      </c>
      <c r="C169" s="289">
        <v>1870</v>
      </c>
      <c r="D169" s="290">
        <v>39</v>
      </c>
      <c r="E169" s="290">
        <v>50</v>
      </c>
      <c r="F169" s="290">
        <v>175</v>
      </c>
      <c r="G169" s="290">
        <v>171</v>
      </c>
      <c r="H169" s="290">
        <v>1050</v>
      </c>
      <c r="I169" s="290">
        <v>297</v>
      </c>
      <c r="J169" s="290">
        <v>95</v>
      </c>
      <c r="K169" s="290">
        <v>24</v>
      </c>
      <c r="L169" s="290">
        <v>16</v>
      </c>
      <c r="M169" s="290">
        <v>157</v>
      </c>
      <c r="N169" s="290">
        <v>27</v>
      </c>
      <c r="O169" s="290">
        <v>24</v>
      </c>
      <c r="P169" s="624">
        <v>14888.683999999999</v>
      </c>
      <c r="Q169" s="624">
        <v>8021.9306666700004</v>
      </c>
      <c r="R169" s="1039">
        <v>16</v>
      </c>
      <c r="S169" s="290">
        <v>0</v>
      </c>
      <c r="T169" s="290">
        <v>158</v>
      </c>
      <c r="U169" s="958">
        <v>2.7469275369019913E-3</v>
      </c>
      <c r="V169" s="290">
        <v>1131.3756604</v>
      </c>
      <c r="W169" s="765">
        <v>0.82372855</v>
      </c>
      <c r="X169" s="290">
        <v>1500</v>
      </c>
      <c r="Y169" s="290"/>
      <c r="Z169" s="290">
        <v>58126.245999999999</v>
      </c>
      <c r="AA169" s="290">
        <v>3042</v>
      </c>
      <c r="AB169" s="290">
        <v>40</v>
      </c>
      <c r="AC169" s="290">
        <v>89</v>
      </c>
      <c r="AD169" s="290">
        <v>52</v>
      </c>
      <c r="AE169" s="290">
        <v>0</v>
      </c>
      <c r="AF169" s="290">
        <v>0</v>
      </c>
      <c r="AG169" s="290">
        <v>1901</v>
      </c>
      <c r="AH169" s="290">
        <v>270</v>
      </c>
      <c r="AI169" s="290">
        <v>0</v>
      </c>
      <c r="AJ169" s="290">
        <v>0</v>
      </c>
      <c r="AK169" s="290">
        <v>0</v>
      </c>
      <c r="AL169" s="290">
        <v>0</v>
      </c>
      <c r="AM169" s="957">
        <v>1.453488E-2</v>
      </c>
      <c r="AN169" s="290">
        <v>0</v>
      </c>
      <c r="AO169" s="290">
        <v>-566.29473526000004</v>
      </c>
      <c r="AP169" s="290">
        <v>0</v>
      </c>
      <c r="AQ169" s="290">
        <v>0</v>
      </c>
      <c r="AR169" s="290">
        <v>2050.8937794499998</v>
      </c>
      <c r="AS169" s="290">
        <v>153.59</v>
      </c>
      <c r="AT169" s="290">
        <v>75</v>
      </c>
      <c r="AU169" s="290">
        <v>9</v>
      </c>
      <c r="AV169" s="766">
        <v>80141</v>
      </c>
      <c r="AW169" s="290">
        <v>1500</v>
      </c>
      <c r="AX169" s="766">
        <v>11.375</v>
      </c>
      <c r="AY169" s="290">
        <v>423</v>
      </c>
      <c r="AZ169" s="290">
        <v>77</v>
      </c>
      <c r="BA169" s="290">
        <v>18</v>
      </c>
      <c r="BB169" s="290">
        <v>6034</v>
      </c>
      <c r="BC169" s="290">
        <v>3157.84527669</v>
      </c>
      <c r="BD169" s="290"/>
      <c r="BE169" s="290">
        <v>73822.038213559994</v>
      </c>
      <c r="BF169" s="290">
        <v>0</v>
      </c>
      <c r="BG169" s="290">
        <v>1556</v>
      </c>
      <c r="BH169" s="290">
        <v>500</v>
      </c>
      <c r="BI169" s="290">
        <v>411</v>
      </c>
      <c r="BJ169" s="290">
        <v>22</v>
      </c>
      <c r="BK169" s="290">
        <v>49</v>
      </c>
      <c r="BL169" s="290">
        <v>0</v>
      </c>
      <c r="BM169" s="290">
        <v>0</v>
      </c>
      <c r="BN169" s="290">
        <v>31</v>
      </c>
      <c r="BO169" s="290">
        <v>-13</v>
      </c>
      <c r="BP169" s="290">
        <v>173</v>
      </c>
      <c r="BQ169" s="290">
        <v>347</v>
      </c>
      <c r="BR169" s="290">
        <v>263</v>
      </c>
      <c r="BS169" s="290">
        <v>39</v>
      </c>
      <c r="BT169" s="290">
        <v>0</v>
      </c>
      <c r="BU169" s="290">
        <v>0</v>
      </c>
      <c r="BV169" s="290">
        <v>28</v>
      </c>
      <c r="BW169" s="290">
        <v>0</v>
      </c>
      <c r="BX169" s="290">
        <v>0</v>
      </c>
      <c r="BY169" s="290">
        <v>221</v>
      </c>
      <c r="BZ169" s="290">
        <v>300</v>
      </c>
      <c r="CA169" s="290">
        <v>1259.1679999999999</v>
      </c>
      <c r="CB169" s="290">
        <v>28</v>
      </c>
      <c r="CC169" s="290">
        <v>0</v>
      </c>
      <c r="CD169" s="290">
        <v>33</v>
      </c>
      <c r="CE169" s="290">
        <v>58126.245999999999</v>
      </c>
      <c r="CF169" s="290">
        <v>0</v>
      </c>
      <c r="CG169" s="290">
        <v>0</v>
      </c>
      <c r="CH169" s="290">
        <v>0</v>
      </c>
      <c r="CI169" s="290">
        <v>0</v>
      </c>
      <c r="CJ169" s="290"/>
    </row>
    <row r="170" spans="1:88" ht="13">
      <c r="A170" s="1">
        <v>3431</v>
      </c>
      <c r="B170" s="2" t="s">
        <v>847</v>
      </c>
      <c r="C170" s="289">
        <v>2512</v>
      </c>
      <c r="D170" s="290">
        <v>46</v>
      </c>
      <c r="E170" s="290">
        <v>89</v>
      </c>
      <c r="F170" s="290">
        <v>229</v>
      </c>
      <c r="G170" s="290">
        <v>220</v>
      </c>
      <c r="H170" s="290">
        <v>1324</v>
      </c>
      <c r="I170" s="290">
        <v>451</v>
      </c>
      <c r="J170" s="290">
        <v>140</v>
      </c>
      <c r="K170" s="290">
        <v>39</v>
      </c>
      <c r="L170" s="290">
        <v>23</v>
      </c>
      <c r="M170" s="290">
        <v>292</v>
      </c>
      <c r="N170" s="290">
        <v>26</v>
      </c>
      <c r="O170" s="290">
        <v>24</v>
      </c>
      <c r="P170" s="624">
        <v>20558.231666669999</v>
      </c>
      <c r="Q170" s="624">
        <v>5681.1526666700001</v>
      </c>
      <c r="R170" s="1039">
        <v>15</v>
      </c>
      <c r="S170" s="290">
        <v>0</v>
      </c>
      <c r="T170" s="290">
        <v>232</v>
      </c>
      <c r="U170" s="958">
        <v>2.4881774358594799E-3</v>
      </c>
      <c r="V170" s="290">
        <v>1290.1585480599999</v>
      </c>
      <c r="W170" s="765">
        <v>0.86824389999999996</v>
      </c>
      <c r="X170" s="290">
        <v>1500</v>
      </c>
      <c r="Y170" s="290"/>
      <c r="Z170" s="290">
        <v>65512.31</v>
      </c>
      <c r="AA170" s="290">
        <v>0</v>
      </c>
      <c r="AB170" s="290">
        <v>56</v>
      </c>
      <c r="AC170" s="290">
        <v>111</v>
      </c>
      <c r="AD170" s="290">
        <v>66</v>
      </c>
      <c r="AE170" s="290">
        <v>0</v>
      </c>
      <c r="AF170" s="290">
        <v>0</v>
      </c>
      <c r="AG170" s="290">
        <v>2538</v>
      </c>
      <c r="AH170" s="290">
        <v>354</v>
      </c>
      <c r="AI170" s="290">
        <v>0</v>
      </c>
      <c r="AJ170" s="290">
        <v>0</v>
      </c>
      <c r="AK170" s="290">
        <v>0</v>
      </c>
      <c r="AL170" s="290">
        <v>0</v>
      </c>
      <c r="AM170" s="957">
        <v>2.916931E-2</v>
      </c>
      <c r="AN170" s="290">
        <v>0</v>
      </c>
      <c r="AO170" s="290">
        <v>-751.48464940999997</v>
      </c>
      <c r="AP170" s="290">
        <v>0</v>
      </c>
      <c r="AQ170" s="290">
        <v>0</v>
      </c>
      <c r="AR170" s="290">
        <v>771.96337854000001</v>
      </c>
      <c r="AS170" s="290">
        <v>189.40700000000001</v>
      </c>
      <c r="AT170" s="290">
        <v>140</v>
      </c>
      <c r="AU170" s="290">
        <v>14</v>
      </c>
      <c r="AV170" s="766">
        <v>101652</v>
      </c>
      <c r="AW170" s="290">
        <v>1500</v>
      </c>
      <c r="AX170" s="766">
        <v>5.9166499999999997</v>
      </c>
      <c r="AY170" s="290">
        <v>421</v>
      </c>
      <c r="AZ170" s="290">
        <v>97</v>
      </c>
      <c r="BA170" s="290">
        <v>47</v>
      </c>
      <c r="BB170" s="290">
        <v>6034</v>
      </c>
      <c r="BC170" s="290">
        <v>4078.92153547</v>
      </c>
      <c r="BD170" s="290"/>
      <c r="BE170" s="290">
        <v>94790.069697810002</v>
      </c>
      <c r="BF170" s="290">
        <v>0</v>
      </c>
      <c r="BG170" s="290">
        <v>2078</v>
      </c>
      <c r="BH170" s="290">
        <v>500</v>
      </c>
      <c r="BI170" s="290">
        <v>531</v>
      </c>
      <c r="BJ170" s="290">
        <v>30</v>
      </c>
      <c r="BK170" s="290">
        <v>74</v>
      </c>
      <c r="BL170" s="290">
        <v>0</v>
      </c>
      <c r="BM170" s="290">
        <v>0</v>
      </c>
      <c r="BN170" s="290">
        <v>46</v>
      </c>
      <c r="BO170" s="290">
        <v>-19</v>
      </c>
      <c r="BP170" s="290">
        <v>233</v>
      </c>
      <c r="BQ170" s="290">
        <v>466</v>
      </c>
      <c r="BR170" s="290">
        <v>353</v>
      </c>
      <c r="BS170" s="290">
        <v>50</v>
      </c>
      <c r="BT170" s="290">
        <v>0</v>
      </c>
      <c r="BU170" s="290">
        <v>0</v>
      </c>
      <c r="BV170" s="290">
        <v>42</v>
      </c>
      <c r="BW170" s="290">
        <v>0</v>
      </c>
      <c r="BX170" s="290">
        <v>0</v>
      </c>
      <c r="BY170" s="290">
        <v>330</v>
      </c>
      <c r="BZ170" s="290">
        <v>0</v>
      </c>
      <c r="CA170" s="290">
        <v>143.53899999999999</v>
      </c>
      <c r="CB170" s="290">
        <v>34</v>
      </c>
      <c r="CC170" s="290">
        <v>0</v>
      </c>
      <c r="CD170" s="290">
        <v>46</v>
      </c>
      <c r="CE170" s="290">
        <v>65512.31</v>
      </c>
      <c r="CF170" s="290">
        <v>0</v>
      </c>
      <c r="CG170" s="290">
        <v>0</v>
      </c>
      <c r="CH170" s="290">
        <v>0</v>
      </c>
      <c r="CI170" s="290">
        <v>0</v>
      </c>
      <c r="CJ170" s="290"/>
    </row>
    <row r="171" spans="1:88" ht="13">
      <c r="A171" s="1">
        <v>3432</v>
      </c>
      <c r="B171" s="2" t="s">
        <v>848</v>
      </c>
      <c r="C171" s="289">
        <v>1980</v>
      </c>
      <c r="D171" s="290">
        <v>31</v>
      </c>
      <c r="E171" s="290">
        <v>78</v>
      </c>
      <c r="F171" s="290">
        <v>245</v>
      </c>
      <c r="G171" s="290">
        <v>167</v>
      </c>
      <c r="H171" s="290">
        <v>1026</v>
      </c>
      <c r="I171" s="290">
        <v>293</v>
      </c>
      <c r="J171" s="290">
        <v>99</v>
      </c>
      <c r="K171" s="290">
        <v>31</v>
      </c>
      <c r="L171" s="290">
        <v>17</v>
      </c>
      <c r="M171" s="290">
        <v>207</v>
      </c>
      <c r="N171" s="290">
        <v>6</v>
      </c>
      <c r="O171" s="290">
        <v>20</v>
      </c>
      <c r="P171" s="624">
        <v>25923.023333329998</v>
      </c>
      <c r="Q171" s="624">
        <v>9512.0786666700005</v>
      </c>
      <c r="R171" s="1039">
        <v>8</v>
      </c>
      <c r="S171" s="290">
        <v>0</v>
      </c>
      <c r="T171" s="290">
        <v>148</v>
      </c>
      <c r="U171" s="958">
        <v>3.8765763646668385E-3</v>
      </c>
      <c r="V171" s="290">
        <v>1277.3076101500001</v>
      </c>
      <c r="W171" s="765">
        <v>1</v>
      </c>
      <c r="X171" s="290">
        <v>800</v>
      </c>
      <c r="Y171" s="290"/>
      <c r="Z171" s="290">
        <v>52668.099000000002</v>
      </c>
      <c r="AA171" s="290">
        <v>0</v>
      </c>
      <c r="AB171" s="290">
        <v>19</v>
      </c>
      <c r="AC171" s="290">
        <v>121</v>
      </c>
      <c r="AD171" s="290">
        <v>59</v>
      </c>
      <c r="AE171" s="290">
        <v>0</v>
      </c>
      <c r="AF171" s="290">
        <v>0</v>
      </c>
      <c r="AG171" s="290">
        <v>1970</v>
      </c>
      <c r="AH171" s="290">
        <v>343</v>
      </c>
      <c r="AI171" s="290">
        <v>100</v>
      </c>
      <c r="AJ171" s="290">
        <v>0</v>
      </c>
      <c r="AK171" s="290">
        <v>0</v>
      </c>
      <c r="AL171" s="290">
        <v>0</v>
      </c>
      <c r="AM171" s="957">
        <v>1.3114819999999999E-2</v>
      </c>
      <c r="AN171" s="290">
        <v>0</v>
      </c>
      <c r="AO171" s="290">
        <v>-639.33899256999996</v>
      </c>
      <c r="AP171" s="290">
        <v>0</v>
      </c>
      <c r="AQ171" s="290">
        <v>0</v>
      </c>
      <c r="AR171" s="290">
        <v>-74.399987690000003</v>
      </c>
      <c r="AS171" s="290">
        <v>200.9425</v>
      </c>
      <c r="AT171" s="290">
        <v>87</v>
      </c>
      <c r="AU171" s="290">
        <v>7</v>
      </c>
      <c r="AV171" s="766">
        <v>91029</v>
      </c>
      <c r="AW171" s="290">
        <v>0</v>
      </c>
      <c r="AX171" s="766">
        <v>5.8333500000000003</v>
      </c>
      <c r="AY171" s="290">
        <v>370</v>
      </c>
      <c r="AZ171" s="290">
        <v>84</v>
      </c>
      <c r="BA171" s="290">
        <v>30</v>
      </c>
      <c r="BB171" s="290">
        <v>6034</v>
      </c>
      <c r="BC171" s="290">
        <v>3198.88715705</v>
      </c>
      <c r="BD171" s="290"/>
      <c r="BE171" s="290">
        <v>87291.688744359999</v>
      </c>
      <c r="BF171" s="290">
        <v>0</v>
      </c>
      <c r="BG171" s="290">
        <v>1613</v>
      </c>
      <c r="BH171" s="290">
        <v>500</v>
      </c>
      <c r="BI171" s="290">
        <v>523</v>
      </c>
      <c r="BJ171" s="290">
        <v>23</v>
      </c>
      <c r="BK171" s="290">
        <v>65</v>
      </c>
      <c r="BL171" s="290">
        <v>0</v>
      </c>
      <c r="BM171" s="290">
        <v>0</v>
      </c>
      <c r="BN171" s="290">
        <v>41</v>
      </c>
      <c r="BO171" s="290">
        <v>-11</v>
      </c>
      <c r="BP171" s="290">
        <v>184</v>
      </c>
      <c r="BQ171" s="290">
        <v>367</v>
      </c>
      <c r="BR171" s="290">
        <v>278</v>
      </c>
      <c r="BS171" s="290">
        <v>44</v>
      </c>
      <c r="BT171" s="290">
        <v>0</v>
      </c>
      <c r="BU171" s="290">
        <v>0</v>
      </c>
      <c r="BV171" s="290">
        <v>37</v>
      </c>
      <c r="BW171" s="290">
        <v>0</v>
      </c>
      <c r="BX171" s="290">
        <v>0</v>
      </c>
      <c r="BY171" s="290">
        <v>247</v>
      </c>
      <c r="BZ171" s="290">
        <v>0</v>
      </c>
      <c r="CA171" s="290">
        <v>122.11799999999999</v>
      </c>
      <c r="CB171" s="290">
        <v>31</v>
      </c>
      <c r="CC171" s="290">
        <v>0</v>
      </c>
      <c r="CD171" s="290">
        <v>27</v>
      </c>
      <c r="CE171" s="290">
        <v>52668.099000000002</v>
      </c>
      <c r="CF171" s="290">
        <v>0</v>
      </c>
      <c r="CG171" s="290">
        <v>0</v>
      </c>
      <c r="CH171" s="290">
        <v>0</v>
      </c>
      <c r="CI171" s="290">
        <v>0</v>
      </c>
      <c r="CJ171" s="290"/>
    </row>
    <row r="172" spans="1:88" ht="13">
      <c r="A172" s="1">
        <v>3433</v>
      </c>
      <c r="B172" s="2" t="s">
        <v>849</v>
      </c>
      <c r="C172" s="289">
        <v>2183</v>
      </c>
      <c r="D172" s="290">
        <v>24</v>
      </c>
      <c r="E172" s="290">
        <v>77</v>
      </c>
      <c r="F172" s="290">
        <v>210</v>
      </c>
      <c r="G172" s="290">
        <v>185</v>
      </c>
      <c r="H172" s="290">
        <v>1169</v>
      </c>
      <c r="I172" s="290">
        <v>362</v>
      </c>
      <c r="J172" s="290">
        <v>131</v>
      </c>
      <c r="K172" s="290">
        <v>23</v>
      </c>
      <c r="L172" s="290">
        <v>16</v>
      </c>
      <c r="M172" s="290">
        <v>232</v>
      </c>
      <c r="N172" s="290">
        <v>22</v>
      </c>
      <c r="O172" s="290">
        <v>11</v>
      </c>
      <c r="P172" s="624">
        <v>12266.804</v>
      </c>
      <c r="Q172" s="624">
        <v>6664.13866667</v>
      </c>
      <c r="R172" s="1039">
        <v>7</v>
      </c>
      <c r="S172" s="290">
        <v>0</v>
      </c>
      <c r="T172" s="290">
        <v>193</v>
      </c>
      <c r="U172" s="958">
        <v>3.3415757461931579E-3</v>
      </c>
      <c r="V172" s="290">
        <v>1152.83742676</v>
      </c>
      <c r="W172" s="765">
        <v>0.94348029</v>
      </c>
      <c r="X172" s="290">
        <v>0</v>
      </c>
      <c r="Y172" s="290"/>
      <c r="Z172" s="290">
        <v>67408.353000000003</v>
      </c>
      <c r="AA172" s="290">
        <v>0</v>
      </c>
      <c r="AB172" s="290">
        <v>45</v>
      </c>
      <c r="AC172" s="290">
        <v>101</v>
      </c>
      <c r="AD172" s="290">
        <v>59</v>
      </c>
      <c r="AE172" s="290">
        <v>0</v>
      </c>
      <c r="AF172" s="290">
        <v>0</v>
      </c>
      <c r="AG172" s="290">
        <v>2181</v>
      </c>
      <c r="AH172" s="290">
        <v>323</v>
      </c>
      <c r="AI172" s="290">
        <v>0</v>
      </c>
      <c r="AJ172" s="290">
        <v>0</v>
      </c>
      <c r="AK172" s="290">
        <v>0</v>
      </c>
      <c r="AL172" s="290">
        <v>0</v>
      </c>
      <c r="AM172" s="957">
        <v>2.395371E-2</v>
      </c>
      <c r="AN172" s="290">
        <v>0</v>
      </c>
      <c r="AO172" s="290">
        <v>-629.89377832000002</v>
      </c>
      <c r="AP172" s="290">
        <v>0</v>
      </c>
      <c r="AQ172" s="290">
        <v>0</v>
      </c>
      <c r="AR172" s="290">
        <v>-82.368717340000003</v>
      </c>
      <c r="AS172" s="290">
        <v>168.75450000000001</v>
      </c>
      <c r="AT172" s="290">
        <v>94</v>
      </c>
      <c r="AU172" s="290">
        <v>15</v>
      </c>
      <c r="AV172" s="766">
        <v>81719</v>
      </c>
      <c r="AW172" s="290">
        <v>0</v>
      </c>
      <c r="AX172" s="766">
        <v>2.8333499999999998</v>
      </c>
      <c r="AY172" s="290">
        <v>388</v>
      </c>
      <c r="AZ172" s="290">
        <v>82</v>
      </c>
      <c r="BA172" s="290">
        <v>43</v>
      </c>
      <c r="BB172" s="290">
        <v>6034</v>
      </c>
      <c r="BC172" s="290">
        <v>3590.0075803499999</v>
      </c>
      <c r="BD172" s="290"/>
      <c r="BE172" s="290">
        <v>77588.259371339998</v>
      </c>
      <c r="BF172" s="290">
        <v>0</v>
      </c>
      <c r="BG172" s="290">
        <v>1785</v>
      </c>
      <c r="BH172" s="290">
        <v>500</v>
      </c>
      <c r="BI172" s="290">
        <v>483</v>
      </c>
      <c r="BJ172" s="290">
        <v>25</v>
      </c>
      <c r="BK172" s="290">
        <v>63</v>
      </c>
      <c r="BL172" s="290">
        <v>0</v>
      </c>
      <c r="BM172" s="290">
        <v>0</v>
      </c>
      <c r="BN172" s="290">
        <v>39</v>
      </c>
      <c r="BO172" s="290">
        <v>-16</v>
      </c>
      <c r="BP172" s="290">
        <v>202</v>
      </c>
      <c r="BQ172" s="290">
        <v>405</v>
      </c>
      <c r="BR172" s="290">
        <v>307</v>
      </c>
      <c r="BS172" s="290">
        <v>44</v>
      </c>
      <c r="BT172" s="290">
        <v>0</v>
      </c>
      <c r="BU172" s="290">
        <v>0</v>
      </c>
      <c r="BV172" s="290">
        <v>36</v>
      </c>
      <c r="BW172" s="290">
        <v>0</v>
      </c>
      <c r="BX172" s="290">
        <v>0</v>
      </c>
      <c r="BY172" s="290">
        <v>285</v>
      </c>
      <c r="BZ172" s="290">
        <v>2400</v>
      </c>
      <c r="CA172" s="290">
        <v>120.31399999999999</v>
      </c>
      <c r="CB172" s="290">
        <v>32</v>
      </c>
      <c r="CC172" s="290">
        <v>0</v>
      </c>
      <c r="CD172" s="290">
        <v>39</v>
      </c>
      <c r="CE172" s="290">
        <v>67408.353000000003</v>
      </c>
      <c r="CF172" s="290">
        <v>0</v>
      </c>
      <c r="CG172" s="290">
        <v>0</v>
      </c>
      <c r="CH172" s="290">
        <v>0</v>
      </c>
      <c r="CI172" s="290">
        <v>0</v>
      </c>
      <c r="CJ172" s="290"/>
    </row>
    <row r="173" spans="1:88" ht="13">
      <c r="A173" s="1">
        <v>3434</v>
      </c>
      <c r="B173" s="2" t="s">
        <v>850</v>
      </c>
      <c r="C173" s="289">
        <v>2204</v>
      </c>
      <c r="D173" s="290">
        <v>25</v>
      </c>
      <c r="E173" s="290">
        <v>86</v>
      </c>
      <c r="F173" s="290">
        <v>224</v>
      </c>
      <c r="G173" s="290">
        <v>179</v>
      </c>
      <c r="H173" s="290">
        <v>1212</v>
      </c>
      <c r="I173" s="290">
        <v>337</v>
      </c>
      <c r="J173" s="290">
        <v>121</v>
      </c>
      <c r="K173" s="290">
        <v>30</v>
      </c>
      <c r="L173" s="290">
        <v>17</v>
      </c>
      <c r="M173" s="290">
        <v>214</v>
      </c>
      <c r="N173" s="290">
        <v>14</v>
      </c>
      <c r="O173" s="290">
        <v>11</v>
      </c>
      <c r="P173" s="624">
        <v>16681.326333329998</v>
      </c>
      <c r="Q173" s="624">
        <v>7579.50466667</v>
      </c>
      <c r="R173" s="1039">
        <v>11</v>
      </c>
      <c r="S173" s="290">
        <v>0</v>
      </c>
      <c r="T173" s="290">
        <v>198</v>
      </c>
      <c r="U173" s="958">
        <v>3.2244218213792679E-3</v>
      </c>
      <c r="V173" s="290">
        <v>1310.68869255</v>
      </c>
      <c r="W173" s="765">
        <v>0.86715436000000001</v>
      </c>
      <c r="X173" s="290">
        <v>0</v>
      </c>
      <c r="Y173" s="290"/>
      <c r="Z173" s="290">
        <v>59656.925999999999</v>
      </c>
      <c r="AA173" s="290">
        <v>0</v>
      </c>
      <c r="AB173" s="290">
        <v>36</v>
      </c>
      <c r="AC173" s="290">
        <v>107</v>
      </c>
      <c r="AD173" s="290">
        <v>59</v>
      </c>
      <c r="AE173" s="290">
        <v>0</v>
      </c>
      <c r="AF173" s="290">
        <v>0</v>
      </c>
      <c r="AG173" s="290">
        <v>2214</v>
      </c>
      <c r="AH173" s="290">
        <v>331</v>
      </c>
      <c r="AI173" s="290">
        <v>0</v>
      </c>
      <c r="AJ173" s="290">
        <v>0</v>
      </c>
      <c r="AK173" s="290">
        <v>0</v>
      </c>
      <c r="AL173" s="290">
        <v>0</v>
      </c>
      <c r="AM173" s="957">
        <v>1.7722660000000001E-2</v>
      </c>
      <c r="AN173" s="290">
        <v>0</v>
      </c>
      <c r="AO173" s="290">
        <v>-656.04744042000004</v>
      </c>
      <c r="AP173" s="290">
        <v>0</v>
      </c>
      <c r="AQ173" s="290">
        <v>0</v>
      </c>
      <c r="AR173" s="290">
        <v>-83.615011550000006</v>
      </c>
      <c r="AS173" s="290">
        <v>179.83349999999999</v>
      </c>
      <c r="AT173" s="290">
        <v>85</v>
      </c>
      <c r="AU173" s="290">
        <v>15</v>
      </c>
      <c r="AV173" s="766">
        <v>87413</v>
      </c>
      <c r="AW173" s="290">
        <v>0</v>
      </c>
      <c r="AX173" s="766">
        <v>7.2083500000000003</v>
      </c>
      <c r="AY173" s="290">
        <v>427</v>
      </c>
      <c r="AZ173" s="290">
        <v>69</v>
      </c>
      <c r="BA173" s="290">
        <v>38</v>
      </c>
      <c r="BB173" s="290">
        <v>6034</v>
      </c>
      <c r="BC173" s="290">
        <v>3707.0860837099999</v>
      </c>
      <c r="BD173" s="290"/>
      <c r="BE173" s="290">
        <v>82479.48783374</v>
      </c>
      <c r="BF173" s="290">
        <v>0</v>
      </c>
      <c r="BG173" s="290">
        <v>1812</v>
      </c>
      <c r="BH173" s="290">
        <v>500</v>
      </c>
      <c r="BI173" s="290">
        <v>497</v>
      </c>
      <c r="BJ173" s="290">
        <v>26</v>
      </c>
      <c r="BK173" s="290">
        <v>72</v>
      </c>
      <c r="BL173" s="290">
        <v>0</v>
      </c>
      <c r="BM173" s="290">
        <v>0</v>
      </c>
      <c r="BN173" s="290">
        <v>45</v>
      </c>
      <c r="BO173" s="290">
        <v>-15</v>
      </c>
      <c r="BP173" s="290">
        <v>204</v>
      </c>
      <c r="BQ173" s="290">
        <v>409</v>
      </c>
      <c r="BR173" s="290">
        <v>309</v>
      </c>
      <c r="BS173" s="290">
        <v>44</v>
      </c>
      <c r="BT173" s="290">
        <v>0</v>
      </c>
      <c r="BU173" s="290">
        <v>0</v>
      </c>
      <c r="BV173" s="290">
        <v>42</v>
      </c>
      <c r="BW173" s="290">
        <v>0</v>
      </c>
      <c r="BX173" s="290">
        <v>0</v>
      </c>
      <c r="BY173" s="290">
        <v>274</v>
      </c>
      <c r="BZ173" s="290">
        <v>3700</v>
      </c>
      <c r="CA173" s="290">
        <v>125.31</v>
      </c>
      <c r="CB173" s="290">
        <v>31</v>
      </c>
      <c r="CC173" s="290">
        <v>0</v>
      </c>
      <c r="CD173" s="290">
        <v>37</v>
      </c>
      <c r="CE173" s="290">
        <v>59656.925999999999</v>
      </c>
      <c r="CF173" s="290">
        <v>0</v>
      </c>
      <c r="CG173" s="290">
        <v>0</v>
      </c>
      <c r="CH173" s="290">
        <v>0</v>
      </c>
      <c r="CI173" s="290">
        <v>0</v>
      </c>
      <c r="CJ173" s="290"/>
    </row>
    <row r="174" spans="1:88" ht="13">
      <c r="A174" s="1">
        <v>3435</v>
      </c>
      <c r="B174" s="2" t="s">
        <v>851</v>
      </c>
      <c r="C174" s="289">
        <v>3564</v>
      </c>
      <c r="D174" s="290">
        <v>64</v>
      </c>
      <c r="E174" s="290">
        <v>112</v>
      </c>
      <c r="F174" s="290">
        <v>415</v>
      </c>
      <c r="G174" s="290">
        <v>304</v>
      </c>
      <c r="H174" s="290">
        <v>1907</v>
      </c>
      <c r="I174" s="290">
        <v>550</v>
      </c>
      <c r="J174" s="290">
        <v>195</v>
      </c>
      <c r="K174" s="290">
        <v>43</v>
      </c>
      <c r="L174" s="290">
        <v>33</v>
      </c>
      <c r="M174" s="290">
        <v>359</v>
      </c>
      <c r="N174" s="290">
        <v>41</v>
      </c>
      <c r="O174" s="290">
        <v>28</v>
      </c>
      <c r="P174" s="624">
        <v>21478.87</v>
      </c>
      <c r="Q174" s="624">
        <v>12152.525</v>
      </c>
      <c r="R174" s="1039">
        <v>21</v>
      </c>
      <c r="S174" s="290">
        <v>0</v>
      </c>
      <c r="T174" s="290">
        <v>274</v>
      </c>
      <c r="U174" s="958">
        <v>3.9439407757752174E-3</v>
      </c>
      <c r="V174" s="290">
        <v>2065.1967481299998</v>
      </c>
      <c r="W174" s="765">
        <v>0.76837619999999995</v>
      </c>
      <c r="X174" s="290">
        <v>1000</v>
      </c>
      <c r="Y174" s="290"/>
      <c r="Z174" s="290">
        <v>94632.794999999998</v>
      </c>
      <c r="AA174" s="290">
        <v>0</v>
      </c>
      <c r="AB174" s="290">
        <v>72</v>
      </c>
      <c r="AC174" s="290">
        <v>186</v>
      </c>
      <c r="AD174" s="290">
        <v>84</v>
      </c>
      <c r="AE174" s="290">
        <v>0</v>
      </c>
      <c r="AF174" s="290">
        <v>0</v>
      </c>
      <c r="AG174" s="290">
        <v>3590</v>
      </c>
      <c r="AH174" s="290">
        <v>574</v>
      </c>
      <c r="AI174" s="290">
        <v>1915</v>
      </c>
      <c r="AJ174" s="290">
        <v>0</v>
      </c>
      <c r="AK174" s="290">
        <v>0</v>
      </c>
      <c r="AL174" s="290">
        <v>0</v>
      </c>
      <c r="AM174" s="957">
        <v>3.9973170000000002E-2</v>
      </c>
      <c r="AN174" s="290">
        <v>5530</v>
      </c>
      <c r="AO174" s="290">
        <v>-1033.7062097800001</v>
      </c>
      <c r="AP174" s="290">
        <v>0</v>
      </c>
      <c r="AQ174" s="290">
        <v>0</v>
      </c>
      <c r="AR174" s="290">
        <v>-135.58170346</v>
      </c>
      <c r="AS174" s="290">
        <v>288.13150000000002</v>
      </c>
      <c r="AT174" s="290">
        <v>166</v>
      </c>
      <c r="AU174" s="290">
        <v>31</v>
      </c>
      <c r="AV174" s="766">
        <v>129179</v>
      </c>
      <c r="AW174" s="290">
        <v>0</v>
      </c>
      <c r="AX174" s="766">
        <v>21.208300000000001</v>
      </c>
      <c r="AY174" s="290">
        <v>609</v>
      </c>
      <c r="AZ174" s="290">
        <v>99</v>
      </c>
      <c r="BA174" s="290">
        <v>64</v>
      </c>
      <c r="BB174" s="290">
        <v>0</v>
      </c>
      <c r="BC174" s="290">
        <v>5465.1813432400004</v>
      </c>
      <c r="BD174" s="290"/>
      <c r="BE174" s="290">
        <v>123839.99185046001</v>
      </c>
      <c r="BF174" s="290">
        <v>0</v>
      </c>
      <c r="BG174" s="290">
        <v>2939</v>
      </c>
      <c r="BH174" s="290">
        <v>1000</v>
      </c>
      <c r="BI174" s="290">
        <v>844</v>
      </c>
      <c r="BJ174" s="290">
        <v>41</v>
      </c>
      <c r="BK174" s="290">
        <v>102</v>
      </c>
      <c r="BL174" s="290">
        <v>0</v>
      </c>
      <c r="BM174" s="290">
        <v>0</v>
      </c>
      <c r="BN174" s="290">
        <v>64</v>
      </c>
      <c r="BO174" s="290">
        <v>-24</v>
      </c>
      <c r="BP174" s="290">
        <v>331</v>
      </c>
      <c r="BQ174" s="290">
        <v>661</v>
      </c>
      <c r="BR174" s="290">
        <v>500</v>
      </c>
      <c r="BS174" s="290">
        <v>63</v>
      </c>
      <c r="BT174" s="290">
        <v>0</v>
      </c>
      <c r="BU174" s="290">
        <v>0</v>
      </c>
      <c r="BV174" s="290">
        <v>59</v>
      </c>
      <c r="BW174" s="290">
        <v>0</v>
      </c>
      <c r="BX174" s="290">
        <v>0</v>
      </c>
      <c r="BY174" s="290">
        <v>432</v>
      </c>
      <c r="BZ174" s="290">
        <v>0</v>
      </c>
      <c r="CA174" s="290">
        <v>197.44499999999999</v>
      </c>
      <c r="CB174" s="290">
        <v>41</v>
      </c>
      <c r="CC174" s="290">
        <v>0</v>
      </c>
      <c r="CD174" s="290">
        <v>60</v>
      </c>
      <c r="CE174" s="290">
        <v>94632.794999999998</v>
      </c>
      <c r="CF174" s="290">
        <v>0</v>
      </c>
      <c r="CG174" s="290">
        <v>0</v>
      </c>
      <c r="CH174" s="290">
        <v>0</v>
      </c>
      <c r="CI174" s="290">
        <v>0</v>
      </c>
      <c r="CJ174" s="290"/>
    </row>
    <row r="175" spans="1:88" ht="13">
      <c r="A175" s="1">
        <v>3436</v>
      </c>
      <c r="B175" s="2" t="s">
        <v>852</v>
      </c>
      <c r="C175" s="289">
        <v>5705</v>
      </c>
      <c r="D175" s="290">
        <v>96</v>
      </c>
      <c r="E175" s="290">
        <v>189</v>
      </c>
      <c r="F175" s="290">
        <v>604</v>
      </c>
      <c r="G175" s="290">
        <v>500</v>
      </c>
      <c r="H175" s="290">
        <v>3027</v>
      </c>
      <c r="I175" s="290">
        <v>920</v>
      </c>
      <c r="J175" s="290">
        <v>303</v>
      </c>
      <c r="K175" s="290">
        <v>56</v>
      </c>
      <c r="L175" s="290">
        <v>46</v>
      </c>
      <c r="M175" s="290">
        <v>627</v>
      </c>
      <c r="N175" s="290">
        <v>65</v>
      </c>
      <c r="O175" s="290">
        <v>56</v>
      </c>
      <c r="P175" s="624">
        <v>46301.499000000003</v>
      </c>
      <c r="Q175" s="624">
        <v>13835.534333330001</v>
      </c>
      <c r="R175" s="1039">
        <v>40</v>
      </c>
      <c r="S175" s="290">
        <v>0</v>
      </c>
      <c r="T175" s="290">
        <v>515</v>
      </c>
      <c r="U175" s="958">
        <v>4.5118547707565923E-3</v>
      </c>
      <c r="V175" s="290">
        <v>2993.9082049100002</v>
      </c>
      <c r="W175" s="765">
        <v>0.66510369999999996</v>
      </c>
      <c r="X175" s="290">
        <v>1400</v>
      </c>
      <c r="Y175" s="290"/>
      <c r="Z175" s="290">
        <v>176175.57399999999</v>
      </c>
      <c r="AA175" s="290">
        <v>0</v>
      </c>
      <c r="AB175" s="290">
        <v>144</v>
      </c>
      <c r="AC175" s="290">
        <v>269</v>
      </c>
      <c r="AD175" s="290">
        <v>125</v>
      </c>
      <c r="AE175" s="290">
        <v>0</v>
      </c>
      <c r="AF175" s="290">
        <v>0</v>
      </c>
      <c r="AG175" s="290">
        <v>5695</v>
      </c>
      <c r="AH175" s="290">
        <v>862</v>
      </c>
      <c r="AI175" s="290">
        <v>0</v>
      </c>
      <c r="AJ175" s="290">
        <v>0</v>
      </c>
      <c r="AK175" s="290">
        <v>0</v>
      </c>
      <c r="AL175" s="290">
        <v>0</v>
      </c>
      <c r="AM175" s="957">
        <v>0.11388333</v>
      </c>
      <c r="AN175" s="290">
        <v>8077</v>
      </c>
      <c r="AO175" s="290">
        <v>-1604.2734221000001</v>
      </c>
      <c r="AP175" s="290">
        <v>0</v>
      </c>
      <c r="AQ175" s="290">
        <v>0</v>
      </c>
      <c r="AR175" s="290">
        <v>-215.08016746000001</v>
      </c>
      <c r="AS175" s="290">
        <v>423.1465</v>
      </c>
      <c r="AT175" s="290">
        <v>267</v>
      </c>
      <c r="AU175" s="290">
        <v>55</v>
      </c>
      <c r="AV175" s="766">
        <v>194379</v>
      </c>
      <c r="AW175" s="290">
        <v>1000</v>
      </c>
      <c r="AX175" s="766">
        <v>38</v>
      </c>
      <c r="AY175" s="290">
        <v>989</v>
      </c>
      <c r="AZ175" s="290">
        <v>254</v>
      </c>
      <c r="BA175" s="290">
        <v>115</v>
      </c>
      <c r="BB175" s="290">
        <v>0</v>
      </c>
      <c r="BC175" s="290">
        <v>8273.3562033599992</v>
      </c>
      <c r="BD175" s="290"/>
      <c r="BE175" s="290">
        <v>187376.84157501999</v>
      </c>
      <c r="BF175" s="290">
        <v>0</v>
      </c>
      <c r="BG175" s="290">
        <v>4662</v>
      </c>
      <c r="BH175" s="290">
        <v>1000</v>
      </c>
      <c r="BI175" s="290">
        <v>1256</v>
      </c>
      <c r="BJ175" s="290">
        <v>66</v>
      </c>
      <c r="BK175" s="290">
        <v>173</v>
      </c>
      <c r="BL175" s="290">
        <v>0</v>
      </c>
      <c r="BM175" s="290">
        <v>0</v>
      </c>
      <c r="BN175" s="290">
        <v>108</v>
      </c>
      <c r="BO175" s="290">
        <v>-45</v>
      </c>
      <c r="BP175" s="290">
        <v>529</v>
      </c>
      <c r="BQ175" s="290">
        <v>1058</v>
      </c>
      <c r="BR175" s="290">
        <v>801</v>
      </c>
      <c r="BS175" s="290">
        <v>94</v>
      </c>
      <c r="BT175" s="290">
        <v>0</v>
      </c>
      <c r="BU175" s="290">
        <v>0</v>
      </c>
      <c r="BV175" s="290">
        <v>99</v>
      </c>
      <c r="BW175" s="290">
        <v>0</v>
      </c>
      <c r="BX175" s="290">
        <v>0</v>
      </c>
      <c r="BY175" s="290">
        <v>699</v>
      </c>
      <c r="BZ175" s="290">
        <v>900</v>
      </c>
      <c r="CA175" s="290">
        <v>306.42700000000002</v>
      </c>
      <c r="CB175" s="290">
        <v>58</v>
      </c>
      <c r="CC175" s="290">
        <v>0</v>
      </c>
      <c r="CD175" s="290">
        <v>112</v>
      </c>
      <c r="CE175" s="290">
        <v>176175.57399999999</v>
      </c>
      <c r="CF175" s="290">
        <v>0</v>
      </c>
      <c r="CG175" s="290">
        <v>0</v>
      </c>
      <c r="CH175" s="290">
        <v>0</v>
      </c>
      <c r="CI175" s="290">
        <v>0</v>
      </c>
      <c r="CJ175" s="290"/>
    </row>
    <row r="176" spans="1:88" ht="13">
      <c r="A176" s="1">
        <v>3437</v>
      </c>
      <c r="B176" s="2" t="s">
        <v>853</v>
      </c>
      <c r="C176" s="289">
        <v>5592</v>
      </c>
      <c r="D176" s="290">
        <v>78</v>
      </c>
      <c r="E176" s="290">
        <v>203</v>
      </c>
      <c r="F176" s="290">
        <v>590</v>
      </c>
      <c r="G176" s="290">
        <v>493</v>
      </c>
      <c r="H176" s="290">
        <v>3075</v>
      </c>
      <c r="I176" s="290">
        <v>869</v>
      </c>
      <c r="J176" s="290">
        <v>310</v>
      </c>
      <c r="K176" s="290">
        <v>68</v>
      </c>
      <c r="L176" s="290">
        <v>44</v>
      </c>
      <c r="M176" s="290">
        <v>562</v>
      </c>
      <c r="N176" s="290">
        <v>64</v>
      </c>
      <c r="O176" s="290">
        <v>48</v>
      </c>
      <c r="P176" s="624">
        <v>67014.418333330002</v>
      </c>
      <c r="Q176" s="624">
        <v>14338.293666670001</v>
      </c>
      <c r="R176" s="1039">
        <v>42</v>
      </c>
      <c r="S176" s="290">
        <v>0</v>
      </c>
      <c r="T176" s="290">
        <v>486</v>
      </c>
      <c r="U176" s="958">
        <v>3.4922856117761132E-3</v>
      </c>
      <c r="V176" s="290">
        <v>3227.4961794800001</v>
      </c>
      <c r="W176" s="765">
        <v>0.73201291999999996</v>
      </c>
      <c r="X176" s="290">
        <v>2000</v>
      </c>
      <c r="Y176" s="290"/>
      <c r="Z176" s="290">
        <v>138306.56099999999</v>
      </c>
      <c r="AA176" s="290">
        <v>0</v>
      </c>
      <c r="AB176" s="290">
        <v>138</v>
      </c>
      <c r="AC176" s="290">
        <v>268</v>
      </c>
      <c r="AD176" s="290">
        <v>128</v>
      </c>
      <c r="AE176" s="290">
        <v>0</v>
      </c>
      <c r="AF176" s="290">
        <v>0</v>
      </c>
      <c r="AG176" s="290">
        <v>5686</v>
      </c>
      <c r="AH176" s="290">
        <v>858</v>
      </c>
      <c r="AI176" s="290">
        <v>715</v>
      </c>
      <c r="AJ176" s="290">
        <v>0</v>
      </c>
      <c r="AK176" s="290">
        <v>0</v>
      </c>
      <c r="AL176" s="290">
        <v>0</v>
      </c>
      <c r="AM176" s="957">
        <v>0.13125503999999999</v>
      </c>
      <c r="AN176" s="290">
        <v>8096</v>
      </c>
      <c r="AO176" s="290">
        <v>-1615.4794189900001</v>
      </c>
      <c r="AP176" s="290">
        <v>0</v>
      </c>
      <c r="AQ176" s="290">
        <v>0</v>
      </c>
      <c r="AR176" s="290">
        <v>593.18330384000001</v>
      </c>
      <c r="AS176" s="290">
        <v>447.84750000000003</v>
      </c>
      <c r="AT176" s="290">
        <v>266</v>
      </c>
      <c r="AU176" s="290">
        <v>68</v>
      </c>
      <c r="AV176" s="766">
        <v>202740</v>
      </c>
      <c r="AW176" s="290">
        <v>3000</v>
      </c>
      <c r="AX176" s="766">
        <v>21.333349999999999</v>
      </c>
      <c r="AY176" s="290">
        <v>952</v>
      </c>
      <c r="AZ176" s="290">
        <v>239</v>
      </c>
      <c r="BA176" s="290">
        <v>115</v>
      </c>
      <c r="BB176" s="290">
        <v>0</v>
      </c>
      <c r="BC176" s="290">
        <v>8437.8057710499997</v>
      </c>
      <c r="BD176" s="290"/>
      <c r="BE176" s="290">
        <v>190979.73812247999</v>
      </c>
      <c r="BF176" s="290">
        <v>0</v>
      </c>
      <c r="BG176" s="290">
        <v>4655</v>
      </c>
      <c r="BH176" s="290">
        <v>1000</v>
      </c>
      <c r="BI176" s="290">
        <v>1254</v>
      </c>
      <c r="BJ176" s="290">
        <v>66</v>
      </c>
      <c r="BK176" s="290">
        <v>173</v>
      </c>
      <c r="BL176" s="290">
        <v>0</v>
      </c>
      <c r="BM176" s="290">
        <v>0</v>
      </c>
      <c r="BN176" s="290">
        <v>108</v>
      </c>
      <c r="BO176" s="290">
        <v>-45</v>
      </c>
      <c r="BP176" s="290">
        <v>519</v>
      </c>
      <c r="BQ176" s="290">
        <v>1037</v>
      </c>
      <c r="BR176" s="290">
        <v>785</v>
      </c>
      <c r="BS176" s="290">
        <v>96</v>
      </c>
      <c r="BT176" s="290">
        <v>0</v>
      </c>
      <c r="BU176" s="290">
        <v>0</v>
      </c>
      <c r="BV176" s="290">
        <v>99</v>
      </c>
      <c r="BW176" s="290">
        <v>0</v>
      </c>
      <c r="BX176" s="290">
        <v>0</v>
      </c>
      <c r="BY176" s="290">
        <v>687</v>
      </c>
      <c r="BZ176" s="290">
        <v>900</v>
      </c>
      <c r="CA176" s="290">
        <v>2305.8150000000001</v>
      </c>
      <c r="CB176" s="290">
        <v>59</v>
      </c>
      <c r="CC176" s="290">
        <v>0</v>
      </c>
      <c r="CD176" s="290">
        <v>111</v>
      </c>
      <c r="CE176" s="290">
        <v>138306.56099999999</v>
      </c>
      <c r="CF176" s="290">
        <v>0</v>
      </c>
      <c r="CG176" s="290">
        <v>0</v>
      </c>
      <c r="CH176" s="290">
        <v>0</v>
      </c>
      <c r="CI176" s="290">
        <v>0</v>
      </c>
      <c r="CJ176" s="290"/>
    </row>
    <row r="177" spans="1:88" ht="13">
      <c r="A177" s="1">
        <v>3438</v>
      </c>
      <c r="B177" s="2" t="s">
        <v>854</v>
      </c>
      <c r="C177" s="289">
        <v>3064</v>
      </c>
      <c r="D177" s="290">
        <v>52</v>
      </c>
      <c r="E177" s="290">
        <v>106</v>
      </c>
      <c r="F177" s="290">
        <v>361</v>
      </c>
      <c r="G177" s="290">
        <v>267</v>
      </c>
      <c r="H177" s="290">
        <v>1672</v>
      </c>
      <c r="I177" s="290">
        <v>452</v>
      </c>
      <c r="J177" s="290">
        <v>152</v>
      </c>
      <c r="K177" s="290">
        <v>45</v>
      </c>
      <c r="L177" s="290">
        <v>27</v>
      </c>
      <c r="M177" s="290">
        <v>271</v>
      </c>
      <c r="N177" s="290">
        <v>24</v>
      </c>
      <c r="O177" s="290">
        <v>29</v>
      </c>
      <c r="P177" s="624">
        <v>15961.17</v>
      </c>
      <c r="Q177" s="624">
        <v>10256.93233333</v>
      </c>
      <c r="R177" s="1039">
        <v>8</v>
      </c>
      <c r="S177" s="290">
        <v>0</v>
      </c>
      <c r="T177" s="290">
        <v>271</v>
      </c>
      <c r="U177" s="958">
        <v>3.4813941028807535E-3</v>
      </c>
      <c r="V177" s="290">
        <v>1078.63572226</v>
      </c>
      <c r="W177" s="765">
        <v>0.67238025000000001</v>
      </c>
      <c r="X177" s="290">
        <v>1000</v>
      </c>
      <c r="Y177" s="290"/>
      <c r="Z177" s="290">
        <v>91462.100999999995</v>
      </c>
      <c r="AA177" s="290">
        <v>0</v>
      </c>
      <c r="AB177" s="290">
        <v>75</v>
      </c>
      <c r="AC177" s="290">
        <v>162</v>
      </c>
      <c r="AD177" s="290">
        <v>72</v>
      </c>
      <c r="AE177" s="290">
        <v>0</v>
      </c>
      <c r="AF177" s="290">
        <v>0</v>
      </c>
      <c r="AG177" s="290">
        <v>3107</v>
      </c>
      <c r="AH177" s="290">
        <v>507</v>
      </c>
      <c r="AI177" s="290">
        <v>0</v>
      </c>
      <c r="AJ177" s="290">
        <v>0</v>
      </c>
      <c r="AK177" s="290">
        <v>0</v>
      </c>
      <c r="AL177" s="290">
        <v>0</v>
      </c>
      <c r="AM177" s="957">
        <v>3.9934890000000001E-2</v>
      </c>
      <c r="AN177" s="290">
        <v>0</v>
      </c>
      <c r="AO177" s="290">
        <v>-857.03635757999996</v>
      </c>
      <c r="AP177" s="290">
        <v>0</v>
      </c>
      <c r="AQ177" s="290">
        <v>0</v>
      </c>
      <c r="AR177" s="290">
        <v>-86.32942439</v>
      </c>
      <c r="AS177" s="290">
        <v>256.51499999999999</v>
      </c>
      <c r="AT177" s="290">
        <v>133</v>
      </c>
      <c r="AU177" s="290">
        <v>23</v>
      </c>
      <c r="AV177" s="766">
        <v>105318</v>
      </c>
      <c r="AW177" s="290">
        <v>0</v>
      </c>
      <c r="AX177" s="766">
        <v>14.75</v>
      </c>
      <c r="AY177" s="290">
        <v>498</v>
      </c>
      <c r="AZ177" s="290">
        <v>127</v>
      </c>
      <c r="BA177" s="290">
        <v>55</v>
      </c>
      <c r="BB177" s="290">
        <v>5432</v>
      </c>
      <c r="BC177" s="290">
        <v>4752.94362671</v>
      </c>
      <c r="BD177" s="290"/>
      <c r="BE177" s="290">
        <v>98980.099363510002</v>
      </c>
      <c r="BF177" s="290">
        <v>0</v>
      </c>
      <c r="BG177" s="290">
        <v>2543</v>
      </c>
      <c r="BH177" s="290">
        <v>1000</v>
      </c>
      <c r="BI177" s="290">
        <v>741</v>
      </c>
      <c r="BJ177" s="290">
        <v>36</v>
      </c>
      <c r="BK177" s="290">
        <v>92</v>
      </c>
      <c r="BL177" s="290">
        <v>0</v>
      </c>
      <c r="BM177" s="290">
        <v>0</v>
      </c>
      <c r="BN177" s="290">
        <v>58</v>
      </c>
      <c r="BO177" s="290">
        <v>-23</v>
      </c>
      <c r="BP177" s="290">
        <v>284</v>
      </c>
      <c r="BQ177" s="290">
        <v>568</v>
      </c>
      <c r="BR177" s="290">
        <v>430</v>
      </c>
      <c r="BS177" s="290">
        <v>54</v>
      </c>
      <c r="BT177" s="290">
        <v>0</v>
      </c>
      <c r="BU177" s="290">
        <v>0</v>
      </c>
      <c r="BV177" s="290">
        <v>53</v>
      </c>
      <c r="BW177" s="290">
        <v>0</v>
      </c>
      <c r="BX177" s="290">
        <v>0</v>
      </c>
      <c r="BY177" s="290">
        <v>351</v>
      </c>
      <c r="BZ177" s="290">
        <v>0</v>
      </c>
      <c r="CA177" s="290">
        <v>169.55799999999999</v>
      </c>
      <c r="CB177" s="290">
        <v>36</v>
      </c>
      <c r="CC177" s="290">
        <v>0</v>
      </c>
      <c r="CD177" s="290">
        <v>56</v>
      </c>
      <c r="CE177" s="290">
        <v>91462.100999999995</v>
      </c>
      <c r="CF177" s="290">
        <v>0</v>
      </c>
      <c r="CG177" s="290">
        <v>0</v>
      </c>
      <c r="CH177" s="290">
        <v>0</v>
      </c>
      <c r="CI177" s="290">
        <v>0</v>
      </c>
      <c r="CJ177" s="290"/>
    </row>
    <row r="178" spans="1:88" ht="13">
      <c r="A178" s="1">
        <v>3439</v>
      </c>
      <c r="B178" s="2" t="s">
        <v>855</v>
      </c>
      <c r="C178" s="289">
        <v>4408</v>
      </c>
      <c r="D178" s="290">
        <v>77</v>
      </c>
      <c r="E178" s="290">
        <v>147</v>
      </c>
      <c r="F178" s="290">
        <v>440</v>
      </c>
      <c r="G178" s="290">
        <v>348</v>
      </c>
      <c r="H178" s="290">
        <v>2390</v>
      </c>
      <c r="I178" s="290">
        <v>696</v>
      </c>
      <c r="J178" s="290">
        <v>228</v>
      </c>
      <c r="K178" s="290">
        <v>63</v>
      </c>
      <c r="L178" s="290">
        <v>34</v>
      </c>
      <c r="M178" s="290">
        <v>448</v>
      </c>
      <c r="N178" s="290">
        <v>52</v>
      </c>
      <c r="O178" s="290">
        <v>32</v>
      </c>
      <c r="P178" s="624">
        <v>19493.658666669999</v>
      </c>
      <c r="Q178" s="624">
        <v>12015.099333329999</v>
      </c>
      <c r="R178" s="1039">
        <v>23</v>
      </c>
      <c r="S178" s="290">
        <v>0</v>
      </c>
      <c r="T178" s="290">
        <v>386</v>
      </c>
      <c r="U178" s="958">
        <v>4.7678272108967745E-3</v>
      </c>
      <c r="V178" s="290">
        <v>-1605.27257293</v>
      </c>
      <c r="W178" s="765">
        <v>0.70255652000000002</v>
      </c>
      <c r="X178" s="290">
        <v>1000</v>
      </c>
      <c r="Y178" s="290"/>
      <c r="Z178" s="290">
        <v>130433.122</v>
      </c>
      <c r="AA178" s="290">
        <v>0</v>
      </c>
      <c r="AB178" s="290">
        <v>104</v>
      </c>
      <c r="AC178" s="290">
        <v>195</v>
      </c>
      <c r="AD178" s="290">
        <v>97</v>
      </c>
      <c r="AE178" s="290">
        <v>0</v>
      </c>
      <c r="AF178" s="290">
        <v>0</v>
      </c>
      <c r="AG178" s="290">
        <v>4389</v>
      </c>
      <c r="AH178" s="290">
        <v>639</v>
      </c>
      <c r="AI178" s="290">
        <v>0</v>
      </c>
      <c r="AJ178" s="290">
        <v>0</v>
      </c>
      <c r="AK178" s="290">
        <v>0</v>
      </c>
      <c r="AL178" s="290">
        <v>0</v>
      </c>
      <c r="AM178" s="957">
        <v>7.6150780000000001E-2</v>
      </c>
      <c r="AN178" s="290">
        <v>6503</v>
      </c>
      <c r="AO178" s="290">
        <v>-1205.0551860600001</v>
      </c>
      <c r="AP178" s="290">
        <v>0</v>
      </c>
      <c r="AQ178" s="290">
        <v>0</v>
      </c>
      <c r="AR178" s="290">
        <v>5474.3564719200003</v>
      </c>
      <c r="AS178" s="290">
        <v>326.18650000000002</v>
      </c>
      <c r="AT178" s="290">
        <v>177</v>
      </c>
      <c r="AU178" s="290">
        <v>43</v>
      </c>
      <c r="AV178" s="766">
        <v>148002</v>
      </c>
      <c r="AW178" s="290">
        <v>500</v>
      </c>
      <c r="AX178" s="766">
        <v>26.499949999999998</v>
      </c>
      <c r="AY178" s="290">
        <v>738</v>
      </c>
      <c r="AZ178" s="290">
        <v>193</v>
      </c>
      <c r="BA178" s="290">
        <v>62</v>
      </c>
      <c r="BB178" s="290">
        <v>0</v>
      </c>
      <c r="BC178" s="290">
        <v>6262.5731113700003</v>
      </c>
      <c r="BD178" s="290"/>
      <c r="BE178" s="290">
        <v>133757.87217766</v>
      </c>
      <c r="BF178" s="290">
        <v>0</v>
      </c>
      <c r="BG178" s="290">
        <v>3593</v>
      </c>
      <c r="BH178" s="290">
        <v>1000</v>
      </c>
      <c r="BI178" s="290">
        <v>931</v>
      </c>
      <c r="BJ178" s="290">
        <v>51</v>
      </c>
      <c r="BK178" s="290">
        <v>132</v>
      </c>
      <c r="BL178" s="290">
        <v>0</v>
      </c>
      <c r="BM178" s="290">
        <v>0</v>
      </c>
      <c r="BN178" s="290">
        <v>83</v>
      </c>
      <c r="BO178" s="290">
        <v>-34</v>
      </c>
      <c r="BP178" s="290">
        <v>409</v>
      </c>
      <c r="BQ178" s="290">
        <v>818</v>
      </c>
      <c r="BR178" s="290">
        <v>619</v>
      </c>
      <c r="BS178" s="290">
        <v>73</v>
      </c>
      <c r="BT178" s="290">
        <v>0</v>
      </c>
      <c r="BU178" s="290">
        <v>0</v>
      </c>
      <c r="BV178" s="290">
        <v>76</v>
      </c>
      <c r="BW178" s="290">
        <v>0</v>
      </c>
      <c r="BX178" s="290">
        <v>0</v>
      </c>
      <c r="BY178" s="290">
        <v>532</v>
      </c>
      <c r="BZ178" s="290">
        <v>0</v>
      </c>
      <c r="CA178" s="290">
        <v>599.15200000000004</v>
      </c>
      <c r="CB178" s="290">
        <v>47</v>
      </c>
      <c r="CC178" s="290">
        <v>0</v>
      </c>
      <c r="CD178" s="290">
        <v>83</v>
      </c>
      <c r="CE178" s="290">
        <v>130433.122</v>
      </c>
      <c r="CF178" s="290">
        <v>0</v>
      </c>
      <c r="CG178" s="290">
        <v>0</v>
      </c>
      <c r="CH178" s="290">
        <v>0</v>
      </c>
      <c r="CI178" s="290">
        <v>0</v>
      </c>
      <c r="CJ178" s="290"/>
    </row>
    <row r="179" spans="1:88" ht="13">
      <c r="A179" s="1">
        <v>3440</v>
      </c>
      <c r="B179" s="2" t="s">
        <v>856</v>
      </c>
      <c r="C179" s="289">
        <v>5093</v>
      </c>
      <c r="D179" s="290">
        <v>95</v>
      </c>
      <c r="E179" s="290">
        <v>223</v>
      </c>
      <c r="F179" s="290">
        <v>537</v>
      </c>
      <c r="G179" s="290">
        <v>408</v>
      </c>
      <c r="H179" s="290">
        <v>2873</v>
      </c>
      <c r="I179" s="290">
        <v>683</v>
      </c>
      <c r="J179" s="290">
        <v>230</v>
      </c>
      <c r="K179" s="290">
        <v>58</v>
      </c>
      <c r="L179" s="290">
        <v>37</v>
      </c>
      <c r="M179" s="290">
        <v>422</v>
      </c>
      <c r="N179" s="290">
        <v>156</v>
      </c>
      <c r="O179" s="290">
        <v>45</v>
      </c>
      <c r="P179" s="624">
        <v>36763.457666670001</v>
      </c>
      <c r="Q179" s="624">
        <v>11520.48</v>
      </c>
      <c r="R179" s="1039">
        <v>30</v>
      </c>
      <c r="S179" s="290">
        <v>0</v>
      </c>
      <c r="T179" s="290">
        <v>439</v>
      </c>
      <c r="U179" s="958">
        <v>3.1474554121909909E-3</v>
      </c>
      <c r="V179" s="290">
        <v>2381.5064920700001</v>
      </c>
      <c r="W179" s="765">
        <v>0.65508385999999996</v>
      </c>
      <c r="X179" s="290">
        <v>1000</v>
      </c>
      <c r="Y179" s="290"/>
      <c r="Z179" s="290">
        <v>171798.152</v>
      </c>
      <c r="AA179" s="290">
        <v>0</v>
      </c>
      <c r="AB179" s="290">
        <v>118</v>
      </c>
      <c r="AC179" s="290">
        <v>238</v>
      </c>
      <c r="AD179" s="290">
        <v>108</v>
      </c>
      <c r="AE179" s="290">
        <v>0</v>
      </c>
      <c r="AF179" s="290">
        <v>0</v>
      </c>
      <c r="AG179" s="290">
        <v>5107</v>
      </c>
      <c r="AH179" s="290">
        <v>804</v>
      </c>
      <c r="AI179" s="290">
        <v>900</v>
      </c>
      <c r="AJ179" s="290">
        <v>0</v>
      </c>
      <c r="AK179" s="290">
        <v>0</v>
      </c>
      <c r="AL179" s="290">
        <v>0</v>
      </c>
      <c r="AM179" s="957">
        <v>9.3874280000000004E-2</v>
      </c>
      <c r="AN179" s="290">
        <v>1471</v>
      </c>
      <c r="AO179" s="290">
        <v>-1403.4573486100001</v>
      </c>
      <c r="AP179" s="290">
        <v>0</v>
      </c>
      <c r="AQ179" s="290">
        <v>0</v>
      </c>
      <c r="AR179" s="290">
        <v>-192.87347063000001</v>
      </c>
      <c r="AS179" s="290">
        <v>375.9135</v>
      </c>
      <c r="AT179" s="290">
        <v>245</v>
      </c>
      <c r="AU179" s="290">
        <v>33</v>
      </c>
      <c r="AV179" s="766">
        <v>156796</v>
      </c>
      <c r="AW179" s="290">
        <v>1500</v>
      </c>
      <c r="AX179" s="766">
        <v>30.458300000000001</v>
      </c>
      <c r="AY179" s="290">
        <v>1065</v>
      </c>
      <c r="AZ179" s="290">
        <v>302</v>
      </c>
      <c r="BA179" s="290">
        <v>96</v>
      </c>
      <c r="BB179" s="290">
        <v>0</v>
      </c>
      <c r="BC179" s="290">
        <v>7270.1282312399999</v>
      </c>
      <c r="BD179" s="290"/>
      <c r="BE179" s="290">
        <v>153974.99719965001</v>
      </c>
      <c r="BF179" s="290">
        <v>0</v>
      </c>
      <c r="BG179" s="290">
        <v>4181</v>
      </c>
      <c r="BH179" s="290">
        <v>1000</v>
      </c>
      <c r="BI179" s="290">
        <v>1150</v>
      </c>
      <c r="BJ179" s="290">
        <v>61</v>
      </c>
      <c r="BK179" s="290">
        <v>194</v>
      </c>
      <c r="BL179" s="290">
        <v>0</v>
      </c>
      <c r="BM179" s="290">
        <v>0</v>
      </c>
      <c r="BN179" s="290">
        <v>121</v>
      </c>
      <c r="BO179" s="290">
        <v>-44</v>
      </c>
      <c r="BP179" s="290">
        <v>472</v>
      </c>
      <c r="BQ179" s="290">
        <v>945</v>
      </c>
      <c r="BR179" s="290">
        <v>715</v>
      </c>
      <c r="BS179" s="290">
        <v>81</v>
      </c>
      <c r="BT179" s="290">
        <v>0</v>
      </c>
      <c r="BU179" s="290">
        <v>0</v>
      </c>
      <c r="BV179" s="290">
        <v>112</v>
      </c>
      <c r="BW179" s="290">
        <v>0</v>
      </c>
      <c r="BX179" s="290">
        <v>0</v>
      </c>
      <c r="BY179" s="290">
        <v>561</v>
      </c>
      <c r="BZ179" s="290">
        <v>2000</v>
      </c>
      <c r="CA179" s="290">
        <v>268.07</v>
      </c>
      <c r="CB179" s="290">
        <v>53</v>
      </c>
      <c r="CC179" s="290">
        <v>0</v>
      </c>
      <c r="CD179" s="290">
        <v>108</v>
      </c>
      <c r="CE179" s="290">
        <v>171798.152</v>
      </c>
      <c r="CF179" s="290">
        <v>0</v>
      </c>
      <c r="CG179" s="290">
        <v>0</v>
      </c>
      <c r="CH179" s="290">
        <v>0</v>
      </c>
      <c r="CI179" s="290">
        <v>0</v>
      </c>
      <c r="CJ179" s="290"/>
    </row>
    <row r="180" spans="1:88" ht="13">
      <c r="A180" s="1">
        <v>3441</v>
      </c>
      <c r="B180" s="2" t="s">
        <v>857</v>
      </c>
      <c r="C180" s="289">
        <v>6023</v>
      </c>
      <c r="D180" s="290">
        <v>88</v>
      </c>
      <c r="E180" s="290">
        <v>206</v>
      </c>
      <c r="F180" s="290">
        <v>663</v>
      </c>
      <c r="G180" s="290">
        <v>472</v>
      </c>
      <c r="H180" s="290">
        <v>3402</v>
      </c>
      <c r="I180" s="290">
        <v>877</v>
      </c>
      <c r="J180" s="290">
        <v>301</v>
      </c>
      <c r="K180" s="290">
        <v>70</v>
      </c>
      <c r="L180" s="290">
        <v>48</v>
      </c>
      <c r="M180" s="290">
        <v>548</v>
      </c>
      <c r="N180" s="290">
        <v>53</v>
      </c>
      <c r="O180" s="290">
        <v>19</v>
      </c>
      <c r="P180" s="624">
        <v>54337.894999999997</v>
      </c>
      <c r="Q180" s="624">
        <v>15878.749</v>
      </c>
      <c r="R180" s="1039">
        <v>18</v>
      </c>
      <c r="S180" s="290">
        <v>0</v>
      </c>
      <c r="T180" s="290">
        <v>501</v>
      </c>
      <c r="U180" s="958">
        <v>5.9764911417275104E-3</v>
      </c>
      <c r="V180" s="290">
        <v>1901.19191873</v>
      </c>
      <c r="W180" s="765">
        <v>0.66922837000000002</v>
      </c>
      <c r="X180" s="290">
        <v>1000</v>
      </c>
      <c r="Y180" s="290"/>
      <c r="Z180" s="290">
        <v>183324.886</v>
      </c>
      <c r="AA180" s="290">
        <v>0</v>
      </c>
      <c r="AB180" s="290">
        <v>142</v>
      </c>
      <c r="AC180" s="290">
        <v>290</v>
      </c>
      <c r="AD180" s="290">
        <v>130</v>
      </c>
      <c r="AE180" s="290">
        <v>0</v>
      </c>
      <c r="AF180" s="290">
        <v>0</v>
      </c>
      <c r="AG180" s="290">
        <v>6079</v>
      </c>
      <c r="AH180" s="290">
        <v>915</v>
      </c>
      <c r="AI180" s="290">
        <v>4830</v>
      </c>
      <c r="AJ180" s="290">
        <v>0</v>
      </c>
      <c r="AK180" s="290">
        <v>0</v>
      </c>
      <c r="AL180" s="290">
        <v>0</v>
      </c>
      <c r="AM180" s="957">
        <v>5.026195E-2</v>
      </c>
      <c r="AN180" s="290">
        <v>3410</v>
      </c>
      <c r="AO180" s="290">
        <v>-1585.8955832500001</v>
      </c>
      <c r="AP180" s="290">
        <v>0</v>
      </c>
      <c r="AQ180" s="290">
        <v>0</v>
      </c>
      <c r="AR180" s="290">
        <v>2655.50656067</v>
      </c>
      <c r="AS180" s="290">
        <v>463.13549999999998</v>
      </c>
      <c r="AT180" s="290">
        <v>307</v>
      </c>
      <c r="AU180" s="290">
        <v>28</v>
      </c>
      <c r="AV180" s="766">
        <v>180641</v>
      </c>
      <c r="AW180" s="290">
        <v>0</v>
      </c>
      <c r="AX180" s="766">
        <v>28.791650000000001</v>
      </c>
      <c r="AY180" s="290">
        <v>1117</v>
      </c>
      <c r="AZ180" s="290">
        <v>218</v>
      </c>
      <c r="BA180" s="290">
        <v>128</v>
      </c>
      <c r="BB180" s="290">
        <v>0</v>
      </c>
      <c r="BC180" s="290">
        <v>8522.6504681299994</v>
      </c>
      <c r="BD180" s="290"/>
      <c r="BE180" s="290">
        <v>165130.27442301001</v>
      </c>
      <c r="BF180" s="290">
        <v>0</v>
      </c>
      <c r="BG180" s="290">
        <v>4976</v>
      </c>
      <c r="BH180" s="290">
        <v>1000</v>
      </c>
      <c r="BI180" s="290">
        <v>1335</v>
      </c>
      <c r="BJ180" s="290">
        <v>70</v>
      </c>
      <c r="BK180" s="290">
        <v>182</v>
      </c>
      <c r="BL180" s="290">
        <v>0</v>
      </c>
      <c r="BM180" s="290">
        <v>0</v>
      </c>
      <c r="BN180" s="290">
        <v>114</v>
      </c>
      <c r="BO180" s="290">
        <v>-42</v>
      </c>
      <c r="BP180" s="290">
        <v>559</v>
      </c>
      <c r="BQ180" s="290">
        <v>1117</v>
      </c>
      <c r="BR180" s="290">
        <v>846</v>
      </c>
      <c r="BS180" s="290">
        <v>98</v>
      </c>
      <c r="BT180" s="290">
        <v>0</v>
      </c>
      <c r="BU180" s="290">
        <v>0</v>
      </c>
      <c r="BV180" s="290">
        <v>105</v>
      </c>
      <c r="BW180" s="290">
        <v>0</v>
      </c>
      <c r="BX180" s="290">
        <v>0</v>
      </c>
      <c r="BY180" s="290">
        <v>695</v>
      </c>
      <c r="BZ180" s="290">
        <v>0</v>
      </c>
      <c r="CA180" s="290">
        <v>638.78199999999993</v>
      </c>
      <c r="CB180" s="290">
        <v>61</v>
      </c>
      <c r="CC180" s="290">
        <v>0</v>
      </c>
      <c r="CD180" s="290">
        <v>104</v>
      </c>
      <c r="CE180" s="290">
        <v>183324.886</v>
      </c>
      <c r="CF180" s="290">
        <v>0</v>
      </c>
      <c r="CG180" s="290">
        <v>0</v>
      </c>
      <c r="CH180" s="290">
        <v>0</v>
      </c>
      <c r="CI180" s="290">
        <v>0</v>
      </c>
      <c r="CJ180" s="290"/>
    </row>
    <row r="181" spans="1:88" ht="13">
      <c r="A181" s="1">
        <v>3442</v>
      </c>
      <c r="B181" s="2" t="s">
        <v>858</v>
      </c>
      <c r="C181" s="289">
        <v>14871</v>
      </c>
      <c r="D181" s="290">
        <v>256</v>
      </c>
      <c r="E181" s="290">
        <v>610</v>
      </c>
      <c r="F181" s="290">
        <v>1586</v>
      </c>
      <c r="G181" s="290">
        <v>1197</v>
      </c>
      <c r="H181" s="290">
        <v>8333</v>
      </c>
      <c r="I181" s="290">
        <v>2148</v>
      </c>
      <c r="J181" s="290">
        <v>697</v>
      </c>
      <c r="K181" s="290">
        <v>152</v>
      </c>
      <c r="L181" s="290">
        <v>125</v>
      </c>
      <c r="M181" s="290">
        <v>1302</v>
      </c>
      <c r="N181" s="290">
        <v>226</v>
      </c>
      <c r="O181" s="290">
        <v>123</v>
      </c>
      <c r="P181" s="624">
        <v>54828.20166667</v>
      </c>
      <c r="Q181" s="624">
        <v>31710.846666670001</v>
      </c>
      <c r="R181" s="1039">
        <v>56</v>
      </c>
      <c r="S181" s="290">
        <v>0</v>
      </c>
      <c r="T181" s="290">
        <v>1261</v>
      </c>
      <c r="U181" s="958">
        <v>7.5500592485862909E-3</v>
      </c>
      <c r="V181" s="290">
        <v>1209.11077286</v>
      </c>
      <c r="W181" s="765">
        <v>0.60171602000000002</v>
      </c>
      <c r="X181" s="290">
        <v>800</v>
      </c>
      <c r="Y181" s="290"/>
      <c r="Z181" s="290">
        <v>439690.75199999998</v>
      </c>
      <c r="AA181" s="290">
        <v>0</v>
      </c>
      <c r="AB181" s="290">
        <v>438</v>
      </c>
      <c r="AC181" s="290">
        <v>672</v>
      </c>
      <c r="AD181" s="290">
        <v>290</v>
      </c>
      <c r="AE181" s="290">
        <v>0</v>
      </c>
      <c r="AF181" s="290">
        <v>0</v>
      </c>
      <c r="AG181" s="290">
        <v>14979</v>
      </c>
      <c r="AH181" s="290">
        <v>2350</v>
      </c>
      <c r="AI181" s="290">
        <v>750</v>
      </c>
      <c r="AJ181" s="290">
        <v>16000</v>
      </c>
      <c r="AK181" s="290">
        <v>0</v>
      </c>
      <c r="AL181" s="290">
        <v>0</v>
      </c>
      <c r="AM181" s="957">
        <v>0.23100739000000001</v>
      </c>
      <c r="AN181" s="290">
        <v>0</v>
      </c>
      <c r="AO181" s="290">
        <v>-3829.4594654399998</v>
      </c>
      <c r="AP181" s="290">
        <v>0</v>
      </c>
      <c r="AQ181" s="290">
        <v>0</v>
      </c>
      <c r="AR181" s="290">
        <v>6210.3006279299998</v>
      </c>
      <c r="AS181" s="290">
        <v>1028.0934999999999</v>
      </c>
      <c r="AT181" s="290">
        <v>883</v>
      </c>
      <c r="AU181" s="290">
        <v>124</v>
      </c>
      <c r="AV181" s="766">
        <v>411000</v>
      </c>
      <c r="AW181" s="290">
        <v>1000</v>
      </c>
      <c r="AX181" s="766">
        <v>88.541650000000004</v>
      </c>
      <c r="AY181" s="290">
        <v>2934</v>
      </c>
      <c r="AZ181" s="290">
        <v>473</v>
      </c>
      <c r="BA181" s="290">
        <v>285</v>
      </c>
      <c r="BB181" s="290">
        <v>0</v>
      </c>
      <c r="BC181" s="290">
        <v>20236.659049180002</v>
      </c>
      <c r="BD181" s="290"/>
      <c r="BE181" s="290">
        <v>376129.06570532999</v>
      </c>
      <c r="BF181" s="290">
        <v>0</v>
      </c>
      <c r="BG181" s="290">
        <v>12262</v>
      </c>
      <c r="BH181" s="290">
        <v>1000</v>
      </c>
      <c r="BI181" s="290">
        <v>3312</v>
      </c>
      <c r="BJ181" s="290">
        <v>172</v>
      </c>
      <c r="BK181" s="290">
        <v>534</v>
      </c>
      <c r="BL181" s="290">
        <v>0</v>
      </c>
      <c r="BM181" s="290">
        <v>0</v>
      </c>
      <c r="BN181" s="290">
        <v>334</v>
      </c>
      <c r="BO181" s="290">
        <v>-119</v>
      </c>
      <c r="BP181" s="290">
        <v>1379</v>
      </c>
      <c r="BQ181" s="290">
        <v>2758</v>
      </c>
      <c r="BR181" s="290">
        <v>2088</v>
      </c>
      <c r="BS181" s="290">
        <v>218</v>
      </c>
      <c r="BT181" s="290">
        <v>0</v>
      </c>
      <c r="BU181" s="290">
        <v>0</v>
      </c>
      <c r="BV181" s="290">
        <v>307</v>
      </c>
      <c r="BW181" s="290">
        <v>0</v>
      </c>
      <c r="BX181" s="290">
        <v>0</v>
      </c>
      <c r="BY181" s="290">
        <v>1679</v>
      </c>
      <c r="BZ181" s="290">
        <v>6000</v>
      </c>
      <c r="CA181" s="290">
        <v>731.45299999999997</v>
      </c>
      <c r="CB181" s="290">
        <v>136</v>
      </c>
      <c r="CC181" s="290">
        <v>1</v>
      </c>
      <c r="CD181" s="290">
        <v>294</v>
      </c>
      <c r="CE181" s="290">
        <v>439690.75199999998</v>
      </c>
      <c r="CF181" s="290">
        <v>0</v>
      </c>
      <c r="CG181" s="290">
        <v>0</v>
      </c>
      <c r="CH181" s="290">
        <v>0</v>
      </c>
      <c r="CI181" s="290">
        <v>0</v>
      </c>
      <c r="CJ181" s="290"/>
    </row>
    <row r="182" spans="1:88" ht="13">
      <c r="A182" s="1">
        <v>3443</v>
      </c>
      <c r="B182" s="2" t="s">
        <v>859</v>
      </c>
      <c r="C182" s="289">
        <v>13459</v>
      </c>
      <c r="D182" s="290">
        <v>197</v>
      </c>
      <c r="E182" s="290">
        <v>513</v>
      </c>
      <c r="F182" s="290">
        <v>1445</v>
      </c>
      <c r="G182" s="290">
        <v>1157</v>
      </c>
      <c r="H182" s="290">
        <v>7592</v>
      </c>
      <c r="I182" s="290">
        <v>1829</v>
      </c>
      <c r="J182" s="290">
        <v>596</v>
      </c>
      <c r="K182" s="290">
        <v>118</v>
      </c>
      <c r="L182" s="290">
        <v>108</v>
      </c>
      <c r="M182" s="290">
        <v>1060</v>
      </c>
      <c r="N182" s="290">
        <v>264</v>
      </c>
      <c r="O182" s="290">
        <v>133</v>
      </c>
      <c r="P182" s="624">
        <v>44110.879333329998</v>
      </c>
      <c r="Q182" s="624">
        <v>17962.10233333</v>
      </c>
      <c r="R182" s="1039">
        <v>62</v>
      </c>
      <c r="S182" s="290">
        <v>0</v>
      </c>
      <c r="T182" s="290">
        <v>1266</v>
      </c>
      <c r="U182" s="958">
        <v>4.3766255199747571E-3</v>
      </c>
      <c r="V182" s="290">
        <v>4452.6333966299999</v>
      </c>
      <c r="W182" s="765">
        <v>0.57046967000000004</v>
      </c>
      <c r="X182" s="290">
        <v>2000</v>
      </c>
      <c r="Y182" s="290"/>
      <c r="Z182" s="290">
        <v>372074.12</v>
      </c>
      <c r="AA182" s="290">
        <v>0</v>
      </c>
      <c r="AB182" s="290">
        <v>448</v>
      </c>
      <c r="AC182" s="290">
        <v>609</v>
      </c>
      <c r="AD182" s="290">
        <v>254</v>
      </c>
      <c r="AE182" s="290">
        <v>0</v>
      </c>
      <c r="AF182" s="290">
        <v>0</v>
      </c>
      <c r="AG182" s="290">
        <v>13447</v>
      </c>
      <c r="AH182" s="290">
        <v>2107</v>
      </c>
      <c r="AI182" s="290">
        <v>815</v>
      </c>
      <c r="AJ182" s="290">
        <v>0</v>
      </c>
      <c r="AK182" s="290">
        <v>332</v>
      </c>
      <c r="AL182" s="290">
        <v>0</v>
      </c>
      <c r="AM182" s="957">
        <v>0.26446072999999998</v>
      </c>
      <c r="AN182" s="290">
        <v>0</v>
      </c>
      <c r="AO182" s="290">
        <v>-3391.5514659199998</v>
      </c>
      <c r="AP182" s="290">
        <v>0</v>
      </c>
      <c r="AQ182" s="290">
        <v>0</v>
      </c>
      <c r="AR182" s="290">
        <v>-507.84600734999998</v>
      </c>
      <c r="AS182" s="290">
        <v>953.91700000000003</v>
      </c>
      <c r="AT182" s="290">
        <v>803</v>
      </c>
      <c r="AU182" s="290">
        <v>125</v>
      </c>
      <c r="AV182" s="766">
        <v>351720</v>
      </c>
      <c r="AW182" s="290">
        <v>1000</v>
      </c>
      <c r="AX182" s="766">
        <v>52.916649999999997</v>
      </c>
      <c r="AY182" s="290">
        <v>2396</v>
      </c>
      <c r="AZ182" s="290">
        <v>475</v>
      </c>
      <c r="BA182" s="290">
        <v>318</v>
      </c>
      <c r="BB182" s="290">
        <v>0</v>
      </c>
      <c r="BC182" s="290">
        <v>18569.580069420001</v>
      </c>
      <c r="BD182" s="290"/>
      <c r="BE182" s="290">
        <v>332451.62817292003</v>
      </c>
      <c r="BF182" s="290">
        <v>0</v>
      </c>
      <c r="BG182" s="290">
        <v>11008</v>
      </c>
      <c r="BH182" s="290">
        <v>1000</v>
      </c>
      <c r="BI182" s="290">
        <v>3302</v>
      </c>
      <c r="BJ182" s="290">
        <v>154</v>
      </c>
      <c r="BK182" s="290">
        <v>435</v>
      </c>
      <c r="BL182" s="290">
        <v>0</v>
      </c>
      <c r="BM182" s="290">
        <v>0</v>
      </c>
      <c r="BN182" s="290">
        <v>272</v>
      </c>
      <c r="BO182" s="290">
        <v>-120</v>
      </c>
      <c r="BP182" s="290">
        <v>1248</v>
      </c>
      <c r="BQ182" s="290">
        <v>2496</v>
      </c>
      <c r="BR182" s="290">
        <v>1890</v>
      </c>
      <c r="BS182" s="290">
        <v>190</v>
      </c>
      <c r="BT182" s="290">
        <v>0</v>
      </c>
      <c r="BU182" s="290">
        <v>0</v>
      </c>
      <c r="BV182" s="290">
        <v>251</v>
      </c>
      <c r="BW182" s="290">
        <v>0</v>
      </c>
      <c r="BX182" s="290">
        <v>0</v>
      </c>
      <c r="BY182" s="290">
        <v>1484</v>
      </c>
      <c r="BZ182" s="290">
        <v>0</v>
      </c>
      <c r="CA182" s="290">
        <v>647.80999999999995</v>
      </c>
      <c r="CB182" s="290">
        <v>123</v>
      </c>
      <c r="CC182" s="290">
        <v>1</v>
      </c>
      <c r="CD182" s="290">
        <v>297</v>
      </c>
      <c r="CE182" s="290">
        <v>372074.12</v>
      </c>
      <c r="CF182" s="290">
        <v>0</v>
      </c>
      <c r="CG182" s="290">
        <v>0</v>
      </c>
      <c r="CH182" s="290">
        <v>0</v>
      </c>
      <c r="CI182" s="290">
        <v>0</v>
      </c>
      <c r="CJ182" s="290"/>
    </row>
    <row r="183" spans="1:88" ht="13">
      <c r="A183" s="1">
        <v>3446</v>
      </c>
      <c r="B183" s="2" t="s">
        <v>862</v>
      </c>
      <c r="C183" s="289">
        <v>13611</v>
      </c>
      <c r="D183" s="290">
        <v>198</v>
      </c>
      <c r="E183" s="290">
        <v>500</v>
      </c>
      <c r="F183" s="290">
        <v>1570</v>
      </c>
      <c r="G183" s="290">
        <v>1176</v>
      </c>
      <c r="H183" s="290">
        <v>7552</v>
      </c>
      <c r="I183" s="290">
        <v>1895</v>
      </c>
      <c r="J183" s="290">
        <v>608</v>
      </c>
      <c r="K183" s="290">
        <v>132</v>
      </c>
      <c r="L183" s="290">
        <v>117</v>
      </c>
      <c r="M183" s="290">
        <v>1245</v>
      </c>
      <c r="N183" s="290">
        <v>341</v>
      </c>
      <c r="O183" s="290">
        <v>107</v>
      </c>
      <c r="P183" s="624">
        <v>58525.828000000001</v>
      </c>
      <c r="Q183" s="624">
        <v>28911.939333329999</v>
      </c>
      <c r="R183" s="1039">
        <v>71</v>
      </c>
      <c r="S183" s="290">
        <v>0</v>
      </c>
      <c r="T183" s="290">
        <v>1210</v>
      </c>
      <c r="U183" s="958">
        <v>6.3384774972928019E-3</v>
      </c>
      <c r="V183" s="290">
        <v>7103.8028316600003</v>
      </c>
      <c r="W183" s="765">
        <v>0.60193004000000006</v>
      </c>
      <c r="X183" s="290">
        <v>800</v>
      </c>
      <c r="Y183" s="290"/>
      <c r="Z183" s="290">
        <v>427907.10100000002</v>
      </c>
      <c r="AA183" s="290">
        <v>0</v>
      </c>
      <c r="AB183" s="290">
        <v>398</v>
      </c>
      <c r="AC183" s="290">
        <v>663</v>
      </c>
      <c r="AD183" s="290">
        <v>265</v>
      </c>
      <c r="AE183" s="290">
        <v>0</v>
      </c>
      <c r="AF183" s="290">
        <v>0</v>
      </c>
      <c r="AG183" s="290">
        <v>13631</v>
      </c>
      <c r="AH183" s="290">
        <v>2218</v>
      </c>
      <c r="AI183" s="290">
        <v>0</v>
      </c>
      <c r="AJ183" s="290">
        <v>0</v>
      </c>
      <c r="AK183" s="290">
        <v>0</v>
      </c>
      <c r="AL183" s="290">
        <v>0</v>
      </c>
      <c r="AM183" s="957">
        <v>0.33304328</v>
      </c>
      <c r="AN183" s="290">
        <v>0</v>
      </c>
      <c r="AO183" s="290">
        <v>-3608.5687635499999</v>
      </c>
      <c r="AP183" s="290">
        <v>0</v>
      </c>
      <c r="AQ183" s="290">
        <v>0</v>
      </c>
      <c r="AR183" s="290">
        <v>-514.79504172999998</v>
      </c>
      <c r="AS183" s="290">
        <v>1054.674</v>
      </c>
      <c r="AT183" s="290">
        <v>746</v>
      </c>
      <c r="AU183" s="290">
        <v>138</v>
      </c>
      <c r="AV183" s="766">
        <v>397012</v>
      </c>
      <c r="AW183" s="290">
        <v>1000</v>
      </c>
      <c r="AX183" s="766">
        <v>73.166700000000006</v>
      </c>
      <c r="AY183" s="290">
        <v>2463</v>
      </c>
      <c r="AZ183" s="290">
        <v>601</v>
      </c>
      <c r="BA183" s="290">
        <v>299</v>
      </c>
      <c r="BB183" s="290">
        <v>0</v>
      </c>
      <c r="BC183" s="290">
        <v>19563.296536059999</v>
      </c>
      <c r="BD183" s="290"/>
      <c r="BE183" s="290">
        <v>375741.79528531001</v>
      </c>
      <c r="BF183" s="290">
        <v>0</v>
      </c>
      <c r="BG183" s="290">
        <v>11158</v>
      </c>
      <c r="BH183" s="290">
        <v>1000</v>
      </c>
      <c r="BI183" s="290">
        <v>3146</v>
      </c>
      <c r="BJ183" s="290">
        <v>157</v>
      </c>
      <c r="BK183" s="290">
        <v>439</v>
      </c>
      <c r="BL183" s="290">
        <v>0</v>
      </c>
      <c r="BM183" s="290">
        <v>0</v>
      </c>
      <c r="BN183" s="290">
        <v>275</v>
      </c>
      <c r="BO183" s="290">
        <v>-123</v>
      </c>
      <c r="BP183" s="290">
        <v>1262</v>
      </c>
      <c r="BQ183" s="290">
        <v>2525</v>
      </c>
      <c r="BR183" s="290">
        <v>1911</v>
      </c>
      <c r="BS183" s="290">
        <v>199</v>
      </c>
      <c r="BT183" s="290">
        <v>0</v>
      </c>
      <c r="BU183" s="290">
        <v>0</v>
      </c>
      <c r="BV183" s="290">
        <v>253</v>
      </c>
      <c r="BW183" s="290">
        <v>0</v>
      </c>
      <c r="BX183" s="290">
        <v>0</v>
      </c>
      <c r="BY183" s="290">
        <v>1541</v>
      </c>
      <c r="BZ183" s="290">
        <v>2200</v>
      </c>
      <c r="CA183" s="290">
        <v>3815.6750000000002</v>
      </c>
      <c r="CB183" s="290">
        <v>125</v>
      </c>
      <c r="CC183" s="290">
        <v>1</v>
      </c>
      <c r="CD183" s="290">
        <v>303</v>
      </c>
      <c r="CE183" s="290">
        <v>427907.10100000002</v>
      </c>
      <c r="CF183" s="290">
        <v>0</v>
      </c>
      <c r="CG183" s="290">
        <v>0</v>
      </c>
      <c r="CH183" s="290">
        <v>0</v>
      </c>
      <c r="CI183" s="290">
        <v>0</v>
      </c>
      <c r="CJ183" s="290"/>
    </row>
    <row r="184" spans="1:88" ht="13">
      <c r="A184" s="1">
        <v>3447</v>
      </c>
      <c r="B184" s="2" t="s">
        <v>863</v>
      </c>
      <c r="C184" s="289">
        <v>5579</v>
      </c>
      <c r="D184" s="290">
        <v>92</v>
      </c>
      <c r="E184" s="290">
        <v>210</v>
      </c>
      <c r="F184" s="290">
        <v>558</v>
      </c>
      <c r="G184" s="290">
        <v>433</v>
      </c>
      <c r="H184" s="290">
        <v>3151</v>
      </c>
      <c r="I184" s="290">
        <v>826</v>
      </c>
      <c r="J184" s="290">
        <v>252</v>
      </c>
      <c r="K184" s="290">
        <v>48</v>
      </c>
      <c r="L184" s="290">
        <v>53</v>
      </c>
      <c r="M184" s="290">
        <v>566</v>
      </c>
      <c r="N184" s="290">
        <v>88</v>
      </c>
      <c r="O184" s="290">
        <v>48</v>
      </c>
      <c r="P184" s="624">
        <v>34360.046000000002</v>
      </c>
      <c r="Q184" s="624">
        <v>24487.97933333</v>
      </c>
      <c r="R184" s="1039">
        <v>31</v>
      </c>
      <c r="S184" s="290">
        <v>0</v>
      </c>
      <c r="T184" s="290">
        <v>538</v>
      </c>
      <c r="U184" s="958">
        <v>2.8953518425289975E-3</v>
      </c>
      <c r="V184" s="290">
        <v>1045.8971464399999</v>
      </c>
      <c r="W184" s="765">
        <v>0.75067123000000002</v>
      </c>
      <c r="X184" s="290">
        <v>1000</v>
      </c>
      <c r="Y184" s="290"/>
      <c r="Z184" s="290">
        <v>139649.82</v>
      </c>
      <c r="AA184" s="290">
        <v>0</v>
      </c>
      <c r="AB184" s="290">
        <v>240</v>
      </c>
      <c r="AC184" s="290">
        <v>254</v>
      </c>
      <c r="AD184" s="290">
        <v>122</v>
      </c>
      <c r="AE184" s="290">
        <v>0</v>
      </c>
      <c r="AF184" s="290">
        <v>0</v>
      </c>
      <c r="AG184" s="290">
        <v>5570</v>
      </c>
      <c r="AH184" s="290">
        <v>828</v>
      </c>
      <c r="AI184" s="290">
        <v>0</v>
      </c>
      <c r="AJ184" s="290">
        <v>0</v>
      </c>
      <c r="AK184" s="290">
        <v>0</v>
      </c>
      <c r="AL184" s="290">
        <v>0</v>
      </c>
      <c r="AM184" s="957">
        <v>0.11779141</v>
      </c>
      <c r="AN184" s="290">
        <v>7952</v>
      </c>
      <c r="AO184" s="290">
        <v>-1527.7859202699999</v>
      </c>
      <c r="AP184" s="290">
        <v>0</v>
      </c>
      <c r="AQ184" s="290">
        <v>0</v>
      </c>
      <c r="AR184" s="290">
        <v>-210.35935606000001</v>
      </c>
      <c r="AS184" s="290">
        <v>420.48899999999998</v>
      </c>
      <c r="AT184" s="290">
        <v>326</v>
      </c>
      <c r="AU184" s="290">
        <v>50</v>
      </c>
      <c r="AV184" s="766">
        <v>182681</v>
      </c>
      <c r="AW184" s="290">
        <v>0</v>
      </c>
      <c r="AX184" s="766">
        <v>31.750050000000002</v>
      </c>
      <c r="AY184" s="290">
        <v>955</v>
      </c>
      <c r="AZ184" s="290">
        <v>228</v>
      </c>
      <c r="BA184" s="290">
        <v>117</v>
      </c>
      <c r="BB184" s="290">
        <v>0</v>
      </c>
      <c r="BC184" s="290">
        <v>8042.9889191399998</v>
      </c>
      <c r="BD184" s="290"/>
      <c r="BE184" s="290">
        <v>171948.86882875999</v>
      </c>
      <c r="BF184" s="290">
        <v>0</v>
      </c>
      <c r="BG184" s="290">
        <v>4560</v>
      </c>
      <c r="BH184" s="290">
        <v>1000</v>
      </c>
      <c r="BI184" s="290">
        <v>1204</v>
      </c>
      <c r="BJ184" s="290">
        <v>64</v>
      </c>
      <c r="BK184" s="290">
        <v>184</v>
      </c>
      <c r="BL184" s="290">
        <v>0</v>
      </c>
      <c r="BM184" s="290">
        <v>0</v>
      </c>
      <c r="BN184" s="290">
        <v>115</v>
      </c>
      <c r="BO184" s="290">
        <v>-52</v>
      </c>
      <c r="BP184" s="290">
        <v>517</v>
      </c>
      <c r="BQ184" s="290">
        <v>1035</v>
      </c>
      <c r="BR184" s="290">
        <v>783</v>
      </c>
      <c r="BS184" s="290">
        <v>92</v>
      </c>
      <c r="BT184" s="290">
        <v>0</v>
      </c>
      <c r="BU184" s="290">
        <v>0</v>
      </c>
      <c r="BV184" s="290">
        <v>106</v>
      </c>
      <c r="BW184" s="290">
        <v>0</v>
      </c>
      <c r="BX184" s="290">
        <v>0</v>
      </c>
      <c r="BY184" s="290">
        <v>650</v>
      </c>
      <c r="BZ184" s="290">
        <v>0</v>
      </c>
      <c r="CA184" s="290">
        <v>2624.6400000000003</v>
      </c>
      <c r="CB184" s="290">
        <v>58</v>
      </c>
      <c r="CC184" s="290">
        <v>0</v>
      </c>
      <c r="CD184" s="290">
        <v>129</v>
      </c>
      <c r="CE184" s="290">
        <v>139649.82</v>
      </c>
      <c r="CF184" s="290">
        <v>0</v>
      </c>
      <c r="CG184" s="290">
        <v>0</v>
      </c>
      <c r="CH184" s="290">
        <v>0</v>
      </c>
      <c r="CI184" s="290">
        <v>0</v>
      </c>
      <c r="CJ184" s="290"/>
    </row>
    <row r="185" spans="1:88" ht="13">
      <c r="A185" s="1">
        <v>3448</v>
      </c>
      <c r="B185" s="2" t="s">
        <v>864</v>
      </c>
      <c r="C185" s="289">
        <v>6581</v>
      </c>
      <c r="D185" s="290">
        <v>111</v>
      </c>
      <c r="E185" s="290">
        <v>239</v>
      </c>
      <c r="F185" s="290">
        <v>724</v>
      </c>
      <c r="G185" s="290">
        <v>505</v>
      </c>
      <c r="H185" s="290">
        <v>3643</v>
      </c>
      <c r="I185" s="290">
        <v>998</v>
      </c>
      <c r="J185" s="290">
        <v>310</v>
      </c>
      <c r="K185" s="290">
        <v>65</v>
      </c>
      <c r="L185" s="290">
        <v>67</v>
      </c>
      <c r="M185" s="290">
        <v>692</v>
      </c>
      <c r="N185" s="290">
        <v>96</v>
      </c>
      <c r="O185" s="290">
        <v>62</v>
      </c>
      <c r="P185" s="624">
        <v>52092.805666669999</v>
      </c>
      <c r="Q185" s="624">
        <v>25066.963</v>
      </c>
      <c r="R185" s="1039">
        <v>34</v>
      </c>
      <c r="S185" s="290">
        <v>0</v>
      </c>
      <c r="T185" s="290">
        <v>588</v>
      </c>
      <c r="U185" s="958">
        <v>5.0714696812749352E-3</v>
      </c>
      <c r="V185" s="290">
        <v>2905.1759733600002</v>
      </c>
      <c r="W185" s="765">
        <v>0.68710844999999998</v>
      </c>
      <c r="X185" s="290">
        <v>1800</v>
      </c>
      <c r="Y185" s="290"/>
      <c r="Z185" s="290">
        <v>162206.125</v>
      </c>
      <c r="AA185" s="290">
        <v>0</v>
      </c>
      <c r="AB185" s="290">
        <v>223</v>
      </c>
      <c r="AC185" s="290">
        <v>324</v>
      </c>
      <c r="AD185" s="290">
        <v>143</v>
      </c>
      <c r="AE185" s="290">
        <v>0</v>
      </c>
      <c r="AF185" s="290">
        <v>0</v>
      </c>
      <c r="AG185" s="290">
        <v>6595</v>
      </c>
      <c r="AH185" s="290">
        <v>1004</v>
      </c>
      <c r="AI185" s="290">
        <v>0</v>
      </c>
      <c r="AJ185" s="290">
        <v>0</v>
      </c>
      <c r="AK185" s="290">
        <v>0</v>
      </c>
      <c r="AL185" s="290">
        <v>0</v>
      </c>
      <c r="AM185" s="957">
        <v>9.3557340000000003E-2</v>
      </c>
      <c r="AN185" s="290">
        <v>5494</v>
      </c>
      <c r="AO185" s="290">
        <v>-1824.1429432100001</v>
      </c>
      <c r="AP185" s="290">
        <v>0</v>
      </c>
      <c r="AQ185" s="290">
        <v>0</v>
      </c>
      <c r="AR185" s="290">
        <v>-249.07000955000001</v>
      </c>
      <c r="AS185" s="290">
        <v>499.84500000000003</v>
      </c>
      <c r="AT185" s="290">
        <v>333</v>
      </c>
      <c r="AU185" s="290">
        <v>47</v>
      </c>
      <c r="AV185" s="766">
        <v>212889</v>
      </c>
      <c r="AW185" s="290">
        <v>0</v>
      </c>
      <c r="AX185" s="766">
        <v>37.625</v>
      </c>
      <c r="AY185" s="290">
        <v>1030</v>
      </c>
      <c r="AZ185" s="290">
        <v>263</v>
      </c>
      <c r="BA185" s="290">
        <v>107</v>
      </c>
      <c r="BB185" s="290">
        <v>0</v>
      </c>
      <c r="BC185" s="290">
        <v>9449.3773783699999</v>
      </c>
      <c r="BD185" s="290"/>
      <c r="BE185" s="290">
        <v>205348.62487224999</v>
      </c>
      <c r="BF185" s="290">
        <v>0</v>
      </c>
      <c r="BG185" s="290">
        <v>5399</v>
      </c>
      <c r="BH185" s="290">
        <v>1000</v>
      </c>
      <c r="BI185" s="290">
        <v>1471</v>
      </c>
      <c r="BJ185" s="290">
        <v>76</v>
      </c>
      <c r="BK185" s="290">
        <v>209</v>
      </c>
      <c r="BL185" s="290">
        <v>0</v>
      </c>
      <c r="BM185" s="290">
        <v>0</v>
      </c>
      <c r="BN185" s="290">
        <v>131</v>
      </c>
      <c r="BO185" s="290">
        <v>-54</v>
      </c>
      <c r="BP185" s="290">
        <v>610</v>
      </c>
      <c r="BQ185" s="290">
        <v>1221</v>
      </c>
      <c r="BR185" s="290">
        <v>924</v>
      </c>
      <c r="BS185" s="290">
        <v>107</v>
      </c>
      <c r="BT185" s="290">
        <v>0</v>
      </c>
      <c r="BU185" s="290">
        <v>0</v>
      </c>
      <c r="BV185" s="290">
        <v>120</v>
      </c>
      <c r="BW185" s="290">
        <v>0</v>
      </c>
      <c r="BX185" s="290">
        <v>0</v>
      </c>
      <c r="BY185" s="290">
        <v>773</v>
      </c>
      <c r="BZ185" s="290">
        <v>1000</v>
      </c>
      <c r="CA185" s="290">
        <v>774.38799999999992</v>
      </c>
      <c r="CB185" s="290">
        <v>66</v>
      </c>
      <c r="CC185" s="290">
        <v>0</v>
      </c>
      <c r="CD185" s="290">
        <v>134</v>
      </c>
      <c r="CE185" s="290">
        <v>162206.125</v>
      </c>
      <c r="CF185" s="290">
        <v>0</v>
      </c>
      <c r="CG185" s="290">
        <v>0</v>
      </c>
      <c r="CH185" s="290">
        <v>0</v>
      </c>
      <c r="CI185" s="290">
        <v>0</v>
      </c>
      <c r="CJ185" s="290"/>
    </row>
    <row r="186" spans="1:88" ht="13">
      <c r="A186" s="1">
        <v>3449</v>
      </c>
      <c r="B186" s="2" t="s">
        <v>865</v>
      </c>
      <c r="C186" s="289">
        <v>2904</v>
      </c>
      <c r="D186" s="290">
        <v>34</v>
      </c>
      <c r="E186" s="290">
        <v>101</v>
      </c>
      <c r="F186" s="290">
        <v>319</v>
      </c>
      <c r="G186" s="290">
        <v>240</v>
      </c>
      <c r="H186" s="290">
        <v>1558</v>
      </c>
      <c r="I186" s="290">
        <v>467</v>
      </c>
      <c r="J186" s="290">
        <v>169</v>
      </c>
      <c r="K186" s="290">
        <v>42</v>
      </c>
      <c r="L186" s="290">
        <v>25</v>
      </c>
      <c r="M186" s="290">
        <v>333</v>
      </c>
      <c r="N186" s="290">
        <v>33</v>
      </c>
      <c r="O186" s="290">
        <v>32</v>
      </c>
      <c r="P186" s="624">
        <v>47375.308333330002</v>
      </c>
      <c r="Q186" s="624">
        <v>10433.71866667</v>
      </c>
      <c r="R186" s="1039">
        <v>32</v>
      </c>
      <c r="S186" s="290">
        <v>0</v>
      </c>
      <c r="T186" s="290">
        <v>290</v>
      </c>
      <c r="U186" s="958">
        <v>3.1088882322524727E-3</v>
      </c>
      <c r="V186" s="290">
        <v>1922.25161241</v>
      </c>
      <c r="W186" s="765">
        <v>0.93030857</v>
      </c>
      <c r="X186" s="290">
        <v>1000</v>
      </c>
      <c r="Y186" s="290"/>
      <c r="Z186" s="290">
        <v>92272.346000000005</v>
      </c>
      <c r="AA186" s="290">
        <v>384</v>
      </c>
      <c r="AB186" s="290">
        <v>83</v>
      </c>
      <c r="AC186" s="290">
        <v>156</v>
      </c>
      <c r="AD186" s="290">
        <v>79</v>
      </c>
      <c r="AE186" s="290">
        <v>0</v>
      </c>
      <c r="AF186" s="290">
        <v>0</v>
      </c>
      <c r="AG186" s="290">
        <v>2930</v>
      </c>
      <c r="AH186" s="290">
        <v>438</v>
      </c>
      <c r="AI186" s="290">
        <v>0</v>
      </c>
      <c r="AJ186" s="290">
        <v>0</v>
      </c>
      <c r="AK186" s="290">
        <v>0</v>
      </c>
      <c r="AL186" s="290">
        <v>0</v>
      </c>
      <c r="AM186" s="957">
        <v>6.7576460000000005E-2</v>
      </c>
      <c r="AN186" s="290">
        <v>0</v>
      </c>
      <c r="AO186" s="290">
        <v>-962.15696171000002</v>
      </c>
      <c r="AP186" s="290">
        <v>0</v>
      </c>
      <c r="AQ186" s="290">
        <v>0</v>
      </c>
      <c r="AR186" s="290">
        <v>-110.65581926</v>
      </c>
      <c r="AS186" s="290">
        <v>254.74199999999999</v>
      </c>
      <c r="AT186" s="290">
        <v>140</v>
      </c>
      <c r="AU186" s="290">
        <v>26</v>
      </c>
      <c r="AV186" s="766">
        <v>133767</v>
      </c>
      <c r="AW186" s="290">
        <v>0</v>
      </c>
      <c r="AX186" s="766">
        <v>9.7916500000000006</v>
      </c>
      <c r="AY186" s="290">
        <v>479</v>
      </c>
      <c r="AZ186" s="290">
        <v>162</v>
      </c>
      <c r="BA186" s="290">
        <v>46</v>
      </c>
      <c r="BB186" s="290">
        <v>6034</v>
      </c>
      <c r="BC186" s="290">
        <v>5382.9656109699999</v>
      </c>
      <c r="BD186" s="290"/>
      <c r="BE186" s="290">
        <v>129097.74595746001</v>
      </c>
      <c r="BF186" s="290">
        <v>0</v>
      </c>
      <c r="BG186" s="290">
        <v>2399</v>
      </c>
      <c r="BH186" s="290">
        <v>500</v>
      </c>
      <c r="BI186" s="290">
        <v>673</v>
      </c>
      <c r="BJ186" s="290">
        <v>34</v>
      </c>
      <c r="BK186" s="290">
        <v>86</v>
      </c>
      <c r="BL186" s="290">
        <v>0</v>
      </c>
      <c r="BM186" s="290">
        <v>0</v>
      </c>
      <c r="BN186" s="290">
        <v>53</v>
      </c>
      <c r="BO186" s="290">
        <v>-25</v>
      </c>
      <c r="BP186" s="290">
        <v>269</v>
      </c>
      <c r="BQ186" s="290">
        <v>539</v>
      </c>
      <c r="BR186" s="290">
        <v>408</v>
      </c>
      <c r="BS186" s="290">
        <v>59</v>
      </c>
      <c r="BT186" s="290">
        <v>0</v>
      </c>
      <c r="BU186" s="290">
        <v>0</v>
      </c>
      <c r="BV186" s="290">
        <v>49</v>
      </c>
      <c r="BW186" s="290">
        <v>0</v>
      </c>
      <c r="BX186" s="290">
        <v>0</v>
      </c>
      <c r="BY186" s="290">
        <v>367</v>
      </c>
      <c r="BZ186" s="290">
        <v>0</v>
      </c>
      <c r="CA186" s="290">
        <v>183.779</v>
      </c>
      <c r="CB186" s="290">
        <v>38</v>
      </c>
      <c r="CC186" s="290">
        <v>0</v>
      </c>
      <c r="CD186" s="290">
        <v>62</v>
      </c>
      <c r="CE186" s="290">
        <v>92272.346000000005</v>
      </c>
      <c r="CF186" s="290">
        <v>0</v>
      </c>
      <c r="CG186" s="290">
        <v>0</v>
      </c>
      <c r="CH186" s="290">
        <v>0</v>
      </c>
      <c r="CI186" s="290">
        <v>0</v>
      </c>
      <c r="CJ186" s="290"/>
    </row>
    <row r="187" spans="1:88" ht="13">
      <c r="A187" s="1">
        <v>3450</v>
      </c>
      <c r="B187" s="2" t="s">
        <v>866</v>
      </c>
      <c r="C187" s="289">
        <v>1257</v>
      </c>
      <c r="D187" s="290">
        <v>11</v>
      </c>
      <c r="E187" s="290">
        <v>41</v>
      </c>
      <c r="F187" s="290">
        <v>143</v>
      </c>
      <c r="G187" s="290">
        <v>110</v>
      </c>
      <c r="H187" s="290">
        <v>651</v>
      </c>
      <c r="I187" s="290">
        <v>200</v>
      </c>
      <c r="J187" s="290">
        <v>87</v>
      </c>
      <c r="K187" s="290">
        <v>17</v>
      </c>
      <c r="L187" s="290">
        <v>11</v>
      </c>
      <c r="M187" s="290">
        <v>166</v>
      </c>
      <c r="N187" s="290">
        <v>14</v>
      </c>
      <c r="O187" s="290">
        <v>19</v>
      </c>
      <c r="P187" s="624">
        <v>11583.49</v>
      </c>
      <c r="Q187" s="624">
        <v>8090.9896666699997</v>
      </c>
      <c r="R187" s="1039">
        <v>7</v>
      </c>
      <c r="S187" s="290">
        <v>0</v>
      </c>
      <c r="T187" s="290">
        <v>136</v>
      </c>
      <c r="U187" s="958">
        <v>1.6802191074160346E-3</v>
      </c>
      <c r="V187" s="290">
        <v>890.95408583000005</v>
      </c>
      <c r="W187" s="765">
        <v>0.90059924999999996</v>
      </c>
      <c r="X187" s="290">
        <v>1500</v>
      </c>
      <c r="Y187" s="290"/>
      <c r="Z187" s="290">
        <v>34234.07</v>
      </c>
      <c r="AA187" s="290">
        <v>0</v>
      </c>
      <c r="AB187" s="290">
        <v>36</v>
      </c>
      <c r="AC187" s="290">
        <v>76</v>
      </c>
      <c r="AD187" s="290">
        <v>42</v>
      </c>
      <c r="AE187" s="290">
        <v>0</v>
      </c>
      <c r="AF187" s="290">
        <v>0</v>
      </c>
      <c r="AG187" s="290">
        <v>1260</v>
      </c>
      <c r="AH187" s="290">
        <v>194</v>
      </c>
      <c r="AI187" s="290">
        <v>0</v>
      </c>
      <c r="AJ187" s="290">
        <v>0</v>
      </c>
      <c r="AK187" s="290">
        <v>0</v>
      </c>
      <c r="AL187" s="290">
        <v>0</v>
      </c>
      <c r="AM187" s="957">
        <v>2.7035630000000001E-2</v>
      </c>
      <c r="AN187" s="290">
        <v>0</v>
      </c>
      <c r="AO187" s="290">
        <v>-445.95497836999999</v>
      </c>
      <c r="AP187" s="290">
        <v>0</v>
      </c>
      <c r="AQ187" s="290">
        <v>0</v>
      </c>
      <c r="AR187" s="290">
        <v>-47.585778929999996</v>
      </c>
      <c r="AS187" s="290">
        <v>127.663</v>
      </c>
      <c r="AT187" s="290">
        <v>63</v>
      </c>
      <c r="AU187" s="290">
        <v>9</v>
      </c>
      <c r="AV187" s="766">
        <v>69274</v>
      </c>
      <c r="AW187" s="290">
        <v>0</v>
      </c>
      <c r="AX187" s="766">
        <v>4.9999500000000001</v>
      </c>
      <c r="AY187" s="290">
        <v>216</v>
      </c>
      <c r="AZ187" s="290">
        <v>78</v>
      </c>
      <c r="BA187" s="290">
        <v>24</v>
      </c>
      <c r="BB187" s="290">
        <v>6034</v>
      </c>
      <c r="BC187" s="290">
        <v>2403.30570016</v>
      </c>
      <c r="BD187" s="290"/>
      <c r="BE187" s="290">
        <v>67203.860087630004</v>
      </c>
      <c r="BF187" s="290">
        <v>0</v>
      </c>
      <c r="BG187" s="290">
        <v>1031</v>
      </c>
      <c r="BH187" s="290">
        <v>500</v>
      </c>
      <c r="BI187" s="290">
        <v>312</v>
      </c>
      <c r="BJ187" s="290">
        <v>15</v>
      </c>
      <c r="BK187" s="290">
        <v>36</v>
      </c>
      <c r="BL187" s="290">
        <v>0</v>
      </c>
      <c r="BM187" s="290">
        <v>0</v>
      </c>
      <c r="BN187" s="290">
        <v>22</v>
      </c>
      <c r="BO187" s="290">
        <v>-11</v>
      </c>
      <c r="BP187" s="290">
        <v>117</v>
      </c>
      <c r="BQ187" s="290">
        <v>233</v>
      </c>
      <c r="BR187" s="290">
        <v>176</v>
      </c>
      <c r="BS187" s="290">
        <v>32</v>
      </c>
      <c r="BT187" s="290">
        <v>0</v>
      </c>
      <c r="BU187" s="290">
        <v>0</v>
      </c>
      <c r="BV187" s="290">
        <v>21</v>
      </c>
      <c r="BW187" s="290">
        <v>0</v>
      </c>
      <c r="BX187" s="290">
        <v>0</v>
      </c>
      <c r="BY187" s="290">
        <v>165</v>
      </c>
      <c r="BZ187" s="290">
        <v>700</v>
      </c>
      <c r="CA187" s="290">
        <v>85.18</v>
      </c>
      <c r="CB187" s="290">
        <v>23</v>
      </c>
      <c r="CC187" s="290">
        <v>0</v>
      </c>
      <c r="CD187" s="290">
        <v>27</v>
      </c>
      <c r="CE187" s="290">
        <v>34234.07</v>
      </c>
      <c r="CF187" s="290">
        <v>0</v>
      </c>
      <c r="CG187" s="290">
        <v>0</v>
      </c>
      <c r="CH187" s="290">
        <v>0</v>
      </c>
      <c r="CI187" s="290">
        <v>0</v>
      </c>
      <c r="CJ187" s="290"/>
    </row>
    <row r="188" spans="1:88" ht="13">
      <c r="A188" s="1">
        <v>3451</v>
      </c>
      <c r="B188" s="2" t="s">
        <v>867</v>
      </c>
      <c r="C188" s="289">
        <v>6360</v>
      </c>
      <c r="D188" s="290">
        <v>102</v>
      </c>
      <c r="E188" s="290">
        <v>244</v>
      </c>
      <c r="F188" s="290">
        <v>660</v>
      </c>
      <c r="G188" s="290">
        <v>510</v>
      </c>
      <c r="H188" s="290">
        <v>3513</v>
      </c>
      <c r="I188" s="290">
        <v>978</v>
      </c>
      <c r="J188" s="290">
        <v>309</v>
      </c>
      <c r="K188" s="290">
        <v>61</v>
      </c>
      <c r="L188" s="290">
        <v>55</v>
      </c>
      <c r="M188" s="290">
        <v>648</v>
      </c>
      <c r="N188" s="290">
        <v>88</v>
      </c>
      <c r="O188" s="290">
        <v>68</v>
      </c>
      <c r="P188" s="624">
        <v>46028.274333330002</v>
      </c>
      <c r="Q188" s="624">
        <v>15471.495999999999</v>
      </c>
      <c r="R188" s="1039">
        <v>35</v>
      </c>
      <c r="S188" s="290">
        <v>0</v>
      </c>
      <c r="T188" s="290">
        <v>660</v>
      </c>
      <c r="U188" s="958">
        <v>4.5638395737342564E-3</v>
      </c>
      <c r="V188" s="290">
        <v>82.678079229999994</v>
      </c>
      <c r="W188" s="765">
        <v>0.65934472</v>
      </c>
      <c r="X188" s="290">
        <v>1500</v>
      </c>
      <c r="Y188" s="290"/>
      <c r="Z188" s="290">
        <v>199208.80600000001</v>
      </c>
      <c r="AA188" s="290">
        <v>0</v>
      </c>
      <c r="AB188" s="290">
        <v>150</v>
      </c>
      <c r="AC188" s="290">
        <v>294</v>
      </c>
      <c r="AD188" s="290">
        <v>135</v>
      </c>
      <c r="AE188" s="290">
        <v>0</v>
      </c>
      <c r="AF188" s="290">
        <v>0</v>
      </c>
      <c r="AG188" s="290">
        <v>6377</v>
      </c>
      <c r="AH188" s="290">
        <v>965</v>
      </c>
      <c r="AI188" s="290">
        <v>0</v>
      </c>
      <c r="AJ188" s="290">
        <v>0</v>
      </c>
      <c r="AK188" s="290">
        <v>0</v>
      </c>
      <c r="AL188" s="290">
        <v>0</v>
      </c>
      <c r="AM188" s="957">
        <v>0.1150182</v>
      </c>
      <c r="AN188" s="290">
        <v>8894</v>
      </c>
      <c r="AO188" s="290">
        <v>-1732.7960986000001</v>
      </c>
      <c r="AP188" s="290">
        <v>0</v>
      </c>
      <c r="AQ188" s="290">
        <v>0</v>
      </c>
      <c r="AR188" s="290">
        <v>-240.83691447000001</v>
      </c>
      <c r="AS188" s="290">
        <v>467.00650000000002</v>
      </c>
      <c r="AT188" s="290">
        <v>347</v>
      </c>
      <c r="AU188" s="290">
        <v>48</v>
      </c>
      <c r="AV188" s="766">
        <v>194864</v>
      </c>
      <c r="AW188" s="290">
        <v>1000</v>
      </c>
      <c r="AX188" s="766">
        <v>27.041650000000001</v>
      </c>
      <c r="AY188" s="290">
        <v>1258</v>
      </c>
      <c r="AZ188" s="290">
        <v>284</v>
      </c>
      <c r="BA188" s="290">
        <v>108</v>
      </c>
      <c r="BB188" s="290">
        <v>0</v>
      </c>
      <c r="BC188" s="290">
        <v>8904.3234748600007</v>
      </c>
      <c r="BD188" s="290"/>
      <c r="BE188" s="290">
        <v>192307.95216484999</v>
      </c>
      <c r="BF188" s="290">
        <v>0</v>
      </c>
      <c r="BG188" s="290">
        <v>5220</v>
      </c>
      <c r="BH188" s="290">
        <v>1000</v>
      </c>
      <c r="BI188" s="290">
        <v>1394</v>
      </c>
      <c r="BJ188" s="290">
        <v>74</v>
      </c>
      <c r="BK188" s="290">
        <v>210</v>
      </c>
      <c r="BL188" s="290">
        <v>0</v>
      </c>
      <c r="BM188" s="290">
        <v>0</v>
      </c>
      <c r="BN188" s="290">
        <v>131</v>
      </c>
      <c r="BO188" s="290">
        <v>-53</v>
      </c>
      <c r="BP188" s="290">
        <v>590</v>
      </c>
      <c r="BQ188" s="290">
        <v>1180</v>
      </c>
      <c r="BR188" s="290">
        <v>893</v>
      </c>
      <c r="BS188" s="290">
        <v>102</v>
      </c>
      <c r="BT188" s="290">
        <v>0</v>
      </c>
      <c r="BU188" s="290">
        <v>0</v>
      </c>
      <c r="BV188" s="290">
        <v>121</v>
      </c>
      <c r="BW188" s="290">
        <v>0</v>
      </c>
      <c r="BX188" s="290">
        <v>0</v>
      </c>
      <c r="BY188" s="290">
        <v>764</v>
      </c>
      <c r="BZ188" s="290">
        <v>7300</v>
      </c>
      <c r="CA188" s="290">
        <v>330.976</v>
      </c>
      <c r="CB188" s="290">
        <v>64</v>
      </c>
      <c r="CC188" s="290">
        <v>0</v>
      </c>
      <c r="CD188" s="290">
        <v>132</v>
      </c>
      <c r="CE188" s="290">
        <v>199208.80600000001</v>
      </c>
      <c r="CF188" s="290">
        <v>0</v>
      </c>
      <c r="CG188" s="290">
        <v>0</v>
      </c>
      <c r="CH188" s="290">
        <v>0</v>
      </c>
      <c r="CI188" s="290">
        <v>0</v>
      </c>
      <c r="CJ188" s="290"/>
    </row>
    <row r="189" spans="1:88" ht="13">
      <c r="A189" s="1">
        <v>3452</v>
      </c>
      <c r="B189" s="2" t="s">
        <v>868</v>
      </c>
      <c r="C189" s="289">
        <v>2120</v>
      </c>
      <c r="D189" s="290">
        <v>38</v>
      </c>
      <c r="E189" s="290">
        <v>62</v>
      </c>
      <c r="F189" s="290">
        <v>245</v>
      </c>
      <c r="G189" s="290">
        <v>162</v>
      </c>
      <c r="H189" s="290">
        <v>1186</v>
      </c>
      <c r="I189" s="290">
        <v>298</v>
      </c>
      <c r="J189" s="290">
        <v>102</v>
      </c>
      <c r="K189" s="290">
        <v>23</v>
      </c>
      <c r="L189" s="290">
        <v>18</v>
      </c>
      <c r="M189" s="290">
        <v>204</v>
      </c>
      <c r="N189" s="290">
        <v>21</v>
      </c>
      <c r="O189" s="290">
        <v>28</v>
      </c>
      <c r="P189" s="624">
        <v>14938.364</v>
      </c>
      <c r="Q189" s="624">
        <v>7502.8106666699996</v>
      </c>
      <c r="R189" s="1039">
        <v>5</v>
      </c>
      <c r="S189" s="290">
        <v>0</v>
      </c>
      <c r="T189" s="290">
        <v>205</v>
      </c>
      <c r="U189" s="958">
        <v>3.1829238433992622E-3</v>
      </c>
      <c r="V189" s="290">
        <v>586.97219171999996</v>
      </c>
      <c r="W189" s="765">
        <v>0.76927118000000005</v>
      </c>
      <c r="X189" s="290">
        <v>800</v>
      </c>
      <c r="Y189" s="290"/>
      <c r="Z189" s="290">
        <v>75961.975000000006</v>
      </c>
      <c r="AA189" s="290">
        <v>0</v>
      </c>
      <c r="AB189" s="290">
        <v>47</v>
      </c>
      <c r="AC189" s="290">
        <v>116</v>
      </c>
      <c r="AD189" s="290">
        <v>54</v>
      </c>
      <c r="AE189" s="290">
        <v>0</v>
      </c>
      <c r="AF189" s="290">
        <v>0</v>
      </c>
      <c r="AG189" s="290">
        <v>2116</v>
      </c>
      <c r="AH189" s="290">
        <v>333</v>
      </c>
      <c r="AI189" s="290">
        <v>0</v>
      </c>
      <c r="AJ189" s="290">
        <v>0</v>
      </c>
      <c r="AK189" s="290">
        <v>0</v>
      </c>
      <c r="AL189" s="290">
        <v>0</v>
      </c>
      <c r="AM189" s="957">
        <v>5.3228289999999998E-2</v>
      </c>
      <c r="AN189" s="290">
        <v>0</v>
      </c>
      <c r="AO189" s="290">
        <v>-610.94084870999995</v>
      </c>
      <c r="AP189" s="290">
        <v>0</v>
      </c>
      <c r="AQ189" s="290">
        <v>-300.99599999999998</v>
      </c>
      <c r="AR189" s="290">
        <v>-79.913895409999995</v>
      </c>
      <c r="AS189" s="290">
        <v>193.83349999999999</v>
      </c>
      <c r="AT189" s="290">
        <v>106</v>
      </c>
      <c r="AU189" s="290">
        <v>19</v>
      </c>
      <c r="AV189" s="766">
        <v>78203</v>
      </c>
      <c r="AW189" s="290">
        <v>1500</v>
      </c>
      <c r="AX189" s="766">
        <v>21.041650000000001</v>
      </c>
      <c r="AY189" s="290">
        <v>394</v>
      </c>
      <c r="AZ189" s="290">
        <v>118</v>
      </c>
      <c r="BA189" s="290">
        <v>40</v>
      </c>
      <c r="BB189" s="290">
        <v>6034</v>
      </c>
      <c r="BC189" s="290">
        <v>3487.3500642700001</v>
      </c>
      <c r="BD189" s="290"/>
      <c r="BE189" s="290">
        <v>75718.911531110003</v>
      </c>
      <c r="BF189" s="290">
        <v>0</v>
      </c>
      <c r="BG189" s="290">
        <v>1732</v>
      </c>
      <c r="BH189" s="290">
        <v>500</v>
      </c>
      <c r="BI189" s="290">
        <v>503</v>
      </c>
      <c r="BJ189" s="290">
        <v>26</v>
      </c>
      <c r="BK189" s="290">
        <v>63</v>
      </c>
      <c r="BL189" s="290">
        <v>0</v>
      </c>
      <c r="BM189" s="290">
        <v>0</v>
      </c>
      <c r="BN189" s="290">
        <v>39</v>
      </c>
      <c r="BO189" s="290">
        <v>-17</v>
      </c>
      <c r="BP189" s="290">
        <v>197</v>
      </c>
      <c r="BQ189" s="290">
        <v>393</v>
      </c>
      <c r="BR189" s="290">
        <v>298</v>
      </c>
      <c r="BS189" s="290">
        <v>41</v>
      </c>
      <c r="BT189" s="290">
        <v>0</v>
      </c>
      <c r="BU189" s="290">
        <v>0</v>
      </c>
      <c r="BV189" s="290">
        <v>36</v>
      </c>
      <c r="BW189" s="290">
        <v>0</v>
      </c>
      <c r="BX189" s="290">
        <v>0</v>
      </c>
      <c r="BY189" s="290">
        <v>248</v>
      </c>
      <c r="BZ189" s="290">
        <v>0</v>
      </c>
      <c r="CA189" s="290">
        <v>244.62799999999999</v>
      </c>
      <c r="CB189" s="290">
        <v>29</v>
      </c>
      <c r="CC189" s="290">
        <v>0</v>
      </c>
      <c r="CD189" s="290">
        <v>43</v>
      </c>
      <c r="CE189" s="290">
        <v>75961.975000000006</v>
      </c>
      <c r="CF189" s="290">
        <v>0</v>
      </c>
      <c r="CG189" s="290">
        <v>0</v>
      </c>
      <c r="CH189" s="290">
        <v>0</v>
      </c>
      <c r="CI189" s="290">
        <v>0</v>
      </c>
      <c r="CJ189" s="290"/>
    </row>
    <row r="190" spans="1:88" ht="13">
      <c r="A190" s="1">
        <v>3453</v>
      </c>
      <c r="B190" s="2" t="s">
        <v>869</v>
      </c>
      <c r="C190" s="289">
        <v>3236</v>
      </c>
      <c r="D190" s="290">
        <v>63</v>
      </c>
      <c r="E190" s="290">
        <v>116</v>
      </c>
      <c r="F190" s="290">
        <v>348</v>
      </c>
      <c r="G190" s="290">
        <v>254</v>
      </c>
      <c r="H190" s="290">
        <v>1799</v>
      </c>
      <c r="I190" s="290">
        <v>503</v>
      </c>
      <c r="J190" s="290">
        <v>127</v>
      </c>
      <c r="K190" s="290">
        <v>30</v>
      </c>
      <c r="L190" s="290">
        <v>27</v>
      </c>
      <c r="M190" s="290">
        <v>287</v>
      </c>
      <c r="N190" s="290">
        <v>18</v>
      </c>
      <c r="O190" s="290">
        <v>28</v>
      </c>
      <c r="P190" s="624">
        <v>46341.387999999999</v>
      </c>
      <c r="Q190" s="624">
        <v>13783.882666670001</v>
      </c>
      <c r="R190" s="1039">
        <v>15</v>
      </c>
      <c r="S190" s="290">
        <v>0</v>
      </c>
      <c r="T190" s="290">
        <v>309</v>
      </c>
      <c r="U190" s="958">
        <v>3.424924744572979E-3</v>
      </c>
      <c r="V190" s="290">
        <v>1811.8474969700001</v>
      </c>
      <c r="W190" s="765">
        <v>0.79209308</v>
      </c>
      <c r="X190" s="290">
        <v>0</v>
      </c>
      <c r="Y190" s="290"/>
      <c r="Z190" s="290">
        <v>111780.192</v>
      </c>
      <c r="AA190" s="290">
        <v>0</v>
      </c>
      <c r="AB190" s="290">
        <v>49</v>
      </c>
      <c r="AC190" s="290">
        <v>167</v>
      </c>
      <c r="AD190" s="290">
        <v>81</v>
      </c>
      <c r="AE190" s="290">
        <v>0</v>
      </c>
      <c r="AF190" s="290">
        <v>0</v>
      </c>
      <c r="AG190" s="290">
        <v>3240</v>
      </c>
      <c r="AH190" s="290">
        <v>504</v>
      </c>
      <c r="AI190" s="290">
        <v>1400</v>
      </c>
      <c r="AJ190" s="290">
        <v>0</v>
      </c>
      <c r="AK190" s="290">
        <v>0</v>
      </c>
      <c r="AL190" s="290">
        <v>0</v>
      </c>
      <c r="AM190" s="957">
        <v>3.7948389999999999E-2</v>
      </c>
      <c r="AN190" s="290">
        <v>4116</v>
      </c>
      <c r="AO190" s="290">
        <v>-906.89567979000003</v>
      </c>
      <c r="AP190" s="290">
        <v>0</v>
      </c>
      <c r="AQ190" s="290">
        <v>300.99599999999998</v>
      </c>
      <c r="AR190" s="290">
        <v>-122.36343153</v>
      </c>
      <c r="AS190" s="290">
        <v>266.57400000000001</v>
      </c>
      <c r="AT190" s="290">
        <v>159</v>
      </c>
      <c r="AU190" s="290">
        <v>23</v>
      </c>
      <c r="AV190" s="766">
        <v>107218</v>
      </c>
      <c r="AW190" s="290">
        <v>1000</v>
      </c>
      <c r="AX190" s="766">
        <v>30.625</v>
      </c>
      <c r="AY190" s="290">
        <v>637</v>
      </c>
      <c r="AZ190" s="290">
        <v>109</v>
      </c>
      <c r="BA190" s="290">
        <v>41</v>
      </c>
      <c r="BB190" s="290">
        <v>0</v>
      </c>
      <c r="BC190" s="290">
        <v>4902.8190717400003</v>
      </c>
      <c r="BD190" s="290"/>
      <c r="BE190" s="290">
        <v>104193.54344518999</v>
      </c>
      <c r="BF190" s="290">
        <v>0</v>
      </c>
      <c r="BG190" s="290">
        <v>2652</v>
      </c>
      <c r="BH190" s="290">
        <v>1000</v>
      </c>
      <c r="BI190" s="290">
        <v>752</v>
      </c>
      <c r="BJ190" s="290">
        <v>39</v>
      </c>
      <c r="BK190" s="290">
        <v>111</v>
      </c>
      <c r="BL190" s="290">
        <v>0</v>
      </c>
      <c r="BM190" s="290">
        <v>0</v>
      </c>
      <c r="BN190" s="290">
        <v>69</v>
      </c>
      <c r="BO190" s="290">
        <v>-23</v>
      </c>
      <c r="BP190" s="290">
        <v>300</v>
      </c>
      <c r="BQ190" s="290">
        <v>600</v>
      </c>
      <c r="BR190" s="290">
        <v>454</v>
      </c>
      <c r="BS190" s="290">
        <v>61</v>
      </c>
      <c r="BT190" s="290">
        <v>0</v>
      </c>
      <c r="BU190" s="290">
        <v>0</v>
      </c>
      <c r="BV190" s="290">
        <v>64</v>
      </c>
      <c r="BW190" s="290">
        <v>0</v>
      </c>
      <c r="BX190" s="290">
        <v>0</v>
      </c>
      <c r="BY190" s="290">
        <v>365</v>
      </c>
      <c r="BZ190" s="290">
        <v>0</v>
      </c>
      <c r="CA190" s="290">
        <v>173.22300000000001</v>
      </c>
      <c r="CB190" s="290">
        <v>39</v>
      </c>
      <c r="CC190" s="290">
        <v>0</v>
      </c>
      <c r="CD190" s="290">
        <v>56</v>
      </c>
      <c r="CE190" s="290">
        <v>111780.192</v>
      </c>
      <c r="CF190" s="290">
        <v>0</v>
      </c>
      <c r="CG190" s="290">
        <v>0</v>
      </c>
      <c r="CH190" s="290">
        <v>0</v>
      </c>
      <c r="CI190" s="290">
        <v>0</v>
      </c>
      <c r="CJ190" s="290"/>
    </row>
    <row r="191" spans="1:88" ht="13">
      <c r="A191" s="1">
        <v>3454</v>
      </c>
      <c r="B191" s="2" t="s">
        <v>870</v>
      </c>
      <c r="C191" s="289">
        <v>1573</v>
      </c>
      <c r="D191" s="290">
        <v>24</v>
      </c>
      <c r="E191" s="290">
        <v>59</v>
      </c>
      <c r="F191" s="290">
        <v>188</v>
      </c>
      <c r="G191" s="290">
        <v>120</v>
      </c>
      <c r="H191" s="290">
        <v>852</v>
      </c>
      <c r="I191" s="290">
        <v>242</v>
      </c>
      <c r="J191" s="290">
        <v>62</v>
      </c>
      <c r="K191" s="290">
        <v>27</v>
      </c>
      <c r="L191" s="290">
        <v>15</v>
      </c>
      <c r="M191" s="290">
        <v>143</v>
      </c>
      <c r="N191" s="290">
        <v>15</v>
      </c>
      <c r="O191" s="290">
        <v>31</v>
      </c>
      <c r="P191" s="624">
        <v>17498.55</v>
      </c>
      <c r="Q191" s="624">
        <v>7066.63866667</v>
      </c>
      <c r="R191" s="1039">
        <v>8</v>
      </c>
      <c r="S191" s="290">
        <v>0</v>
      </c>
      <c r="T191" s="290">
        <v>131</v>
      </c>
      <c r="U191" s="958">
        <v>2.39985295683318E-3</v>
      </c>
      <c r="V191" s="290">
        <v>1048.2206521799999</v>
      </c>
      <c r="W191" s="765">
        <v>0.99377408</v>
      </c>
      <c r="X191" s="290">
        <v>800</v>
      </c>
      <c r="Y191" s="290"/>
      <c r="Z191" s="290">
        <v>49770.035000000003</v>
      </c>
      <c r="AA191" s="290">
        <v>0</v>
      </c>
      <c r="AB191" s="290">
        <v>31</v>
      </c>
      <c r="AC191" s="290">
        <v>97</v>
      </c>
      <c r="AD191" s="290">
        <v>49</v>
      </c>
      <c r="AE191" s="290">
        <v>0</v>
      </c>
      <c r="AF191" s="290">
        <v>0</v>
      </c>
      <c r="AG191" s="290">
        <v>1574</v>
      </c>
      <c r="AH191" s="290">
        <v>251</v>
      </c>
      <c r="AI191" s="290">
        <v>0</v>
      </c>
      <c r="AJ191" s="290">
        <v>0</v>
      </c>
      <c r="AK191" s="290">
        <v>0</v>
      </c>
      <c r="AL191" s="290">
        <v>0</v>
      </c>
      <c r="AM191" s="957">
        <v>3.0858400000000001E-2</v>
      </c>
      <c r="AN191" s="290">
        <v>0</v>
      </c>
      <c r="AO191" s="290">
        <v>-524.67262421999999</v>
      </c>
      <c r="AP191" s="290">
        <v>0</v>
      </c>
      <c r="AQ191" s="290">
        <v>0</v>
      </c>
      <c r="AR191" s="290">
        <v>-59.44445717</v>
      </c>
      <c r="AS191" s="290">
        <v>150.7595</v>
      </c>
      <c r="AT191" s="290">
        <v>68</v>
      </c>
      <c r="AU191" s="290">
        <v>10</v>
      </c>
      <c r="AV191" s="766">
        <v>76538</v>
      </c>
      <c r="AW191" s="290">
        <v>0</v>
      </c>
      <c r="AX191" s="766">
        <v>7.1250499999999999</v>
      </c>
      <c r="AY191" s="290">
        <v>324</v>
      </c>
      <c r="AZ191" s="290">
        <v>113</v>
      </c>
      <c r="BA191" s="290">
        <v>27</v>
      </c>
      <c r="BB191" s="290">
        <v>6034</v>
      </c>
      <c r="BC191" s="290">
        <v>2971.4910508100002</v>
      </c>
      <c r="BD191" s="290"/>
      <c r="BE191" s="290">
        <v>74176.061426279994</v>
      </c>
      <c r="BF191" s="290">
        <v>0</v>
      </c>
      <c r="BG191" s="290">
        <v>1288</v>
      </c>
      <c r="BH191" s="290">
        <v>500</v>
      </c>
      <c r="BI191" s="290">
        <v>397</v>
      </c>
      <c r="BJ191" s="290">
        <v>19</v>
      </c>
      <c r="BK191" s="290">
        <v>51</v>
      </c>
      <c r="BL191" s="290">
        <v>0</v>
      </c>
      <c r="BM191" s="290">
        <v>0</v>
      </c>
      <c r="BN191" s="290">
        <v>32</v>
      </c>
      <c r="BO191" s="290">
        <v>-11</v>
      </c>
      <c r="BP191" s="290">
        <v>146</v>
      </c>
      <c r="BQ191" s="290">
        <v>292</v>
      </c>
      <c r="BR191" s="290">
        <v>221</v>
      </c>
      <c r="BS191" s="290">
        <v>37</v>
      </c>
      <c r="BT191" s="290">
        <v>0</v>
      </c>
      <c r="BU191" s="290">
        <v>0</v>
      </c>
      <c r="BV191" s="290">
        <v>30</v>
      </c>
      <c r="BW191" s="290">
        <v>0</v>
      </c>
      <c r="BX191" s="290">
        <v>0</v>
      </c>
      <c r="BY191" s="290">
        <v>184</v>
      </c>
      <c r="BZ191" s="290">
        <v>2300</v>
      </c>
      <c r="CA191" s="290">
        <v>100.21599999999999</v>
      </c>
      <c r="CB191" s="290">
        <v>27</v>
      </c>
      <c r="CC191" s="290">
        <v>0</v>
      </c>
      <c r="CD191" s="290">
        <v>28</v>
      </c>
      <c r="CE191" s="290">
        <v>49770.035000000003</v>
      </c>
      <c r="CF191" s="290">
        <v>0</v>
      </c>
      <c r="CG191" s="290">
        <v>0</v>
      </c>
      <c r="CH191" s="290">
        <v>0</v>
      </c>
      <c r="CI191" s="290">
        <v>0</v>
      </c>
      <c r="CJ191" s="290"/>
    </row>
    <row r="192" spans="1:88" ht="13">
      <c r="A192" s="1">
        <v>3801</v>
      </c>
      <c r="B192" s="2" t="s">
        <v>346</v>
      </c>
      <c r="C192" s="289">
        <v>27510</v>
      </c>
      <c r="D192" s="290">
        <v>396</v>
      </c>
      <c r="E192" s="290">
        <v>1094</v>
      </c>
      <c r="F192" s="290">
        <v>3158</v>
      </c>
      <c r="G192" s="290">
        <v>2345</v>
      </c>
      <c r="H192" s="290">
        <v>15424</v>
      </c>
      <c r="I192" s="290">
        <v>3609</v>
      </c>
      <c r="J192" s="290">
        <v>1155</v>
      </c>
      <c r="K192" s="290">
        <v>242</v>
      </c>
      <c r="L192" s="290">
        <v>226</v>
      </c>
      <c r="M192" s="290">
        <v>2157</v>
      </c>
      <c r="N192" s="290">
        <v>899</v>
      </c>
      <c r="O192" s="290">
        <v>260</v>
      </c>
      <c r="P192" s="624">
        <v>34004.968000000001</v>
      </c>
      <c r="Q192" s="624">
        <v>26831.15733333</v>
      </c>
      <c r="R192" s="1039">
        <v>101</v>
      </c>
      <c r="S192" s="290">
        <v>0</v>
      </c>
      <c r="T192" s="290">
        <v>2517</v>
      </c>
      <c r="U192" s="958">
        <v>1.1090842276399438E-3</v>
      </c>
      <c r="V192" s="290">
        <v>4783.7901868700001</v>
      </c>
      <c r="W192" s="765">
        <v>0.53669403000000004</v>
      </c>
      <c r="X192" s="290">
        <v>2400</v>
      </c>
      <c r="Y192" s="290"/>
      <c r="Z192" s="290">
        <v>808471.49399999995</v>
      </c>
      <c r="AA192" s="290">
        <v>0</v>
      </c>
      <c r="AB192" s="290">
        <v>735</v>
      </c>
      <c r="AC192" s="290">
        <v>1297</v>
      </c>
      <c r="AD192" s="290">
        <v>494</v>
      </c>
      <c r="AE192" s="290">
        <v>0</v>
      </c>
      <c r="AF192" s="290">
        <v>0</v>
      </c>
      <c r="AG192" s="290">
        <v>27423</v>
      </c>
      <c r="AH192" s="290">
        <v>4466</v>
      </c>
      <c r="AI192" s="290">
        <v>200</v>
      </c>
      <c r="AJ192" s="290">
        <v>0</v>
      </c>
      <c r="AK192" s="290">
        <v>0</v>
      </c>
      <c r="AL192" s="290">
        <v>0</v>
      </c>
      <c r="AM192" s="957">
        <v>1.76731846</v>
      </c>
      <c r="AN192" s="290">
        <v>0</v>
      </c>
      <c r="AO192" s="290">
        <v>-6992.9895667399996</v>
      </c>
      <c r="AP192" s="290">
        <v>0</v>
      </c>
      <c r="AQ192" s="290">
        <v>0</v>
      </c>
      <c r="AR192" s="290">
        <v>-1035.6704885500001</v>
      </c>
      <c r="AS192" s="290">
        <v>2038.8995</v>
      </c>
      <c r="AT192" s="290">
        <v>1823</v>
      </c>
      <c r="AU192" s="290">
        <v>439</v>
      </c>
      <c r="AV192" s="766">
        <v>728818</v>
      </c>
      <c r="AW192" s="290">
        <v>6000</v>
      </c>
      <c r="AX192" s="766">
        <v>127.20835</v>
      </c>
      <c r="AY192" s="290">
        <v>7180</v>
      </c>
      <c r="AZ192" s="290">
        <v>1652</v>
      </c>
      <c r="BA192" s="290">
        <v>611</v>
      </c>
      <c r="BB192" s="290">
        <v>0</v>
      </c>
      <c r="BC192" s="290">
        <v>36588.417530040002</v>
      </c>
      <c r="BD192" s="290"/>
      <c r="BE192" s="290">
        <v>688372.01202214998</v>
      </c>
      <c r="BF192" s="290">
        <v>0</v>
      </c>
      <c r="BG192" s="290">
        <v>22449</v>
      </c>
      <c r="BH192" s="290">
        <v>1000</v>
      </c>
      <c r="BI192" s="290">
        <v>6257</v>
      </c>
      <c r="BJ192" s="290">
        <v>314</v>
      </c>
      <c r="BK192" s="290">
        <v>972</v>
      </c>
      <c r="BL192" s="290">
        <v>0</v>
      </c>
      <c r="BM192" s="290">
        <v>0</v>
      </c>
      <c r="BN192" s="290">
        <v>608</v>
      </c>
      <c r="BO192" s="290">
        <v>-310</v>
      </c>
      <c r="BP192" s="290">
        <v>2551</v>
      </c>
      <c r="BQ192" s="290">
        <v>5103</v>
      </c>
      <c r="BR192" s="290">
        <v>3863</v>
      </c>
      <c r="BS192" s="290">
        <v>370</v>
      </c>
      <c r="BT192" s="290">
        <v>0</v>
      </c>
      <c r="BU192" s="290">
        <v>0</v>
      </c>
      <c r="BV192" s="290">
        <v>559</v>
      </c>
      <c r="BW192" s="290">
        <v>0</v>
      </c>
      <c r="BX192" s="290">
        <v>0</v>
      </c>
      <c r="BY192" s="290">
        <v>2967</v>
      </c>
      <c r="BZ192" s="290">
        <v>7000</v>
      </c>
      <c r="CA192" s="290">
        <v>3445.3999999999996</v>
      </c>
      <c r="CB192" s="290">
        <v>242</v>
      </c>
      <c r="CC192" s="290">
        <v>2</v>
      </c>
      <c r="CD192" s="290">
        <v>767</v>
      </c>
      <c r="CE192" s="290">
        <v>808471.49399999995</v>
      </c>
      <c r="CF192" s="290">
        <v>0</v>
      </c>
      <c r="CG192" s="290">
        <v>0</v>
      </c>
      <c r="CH192" s="290">
        <v>0</v>
      </c>
      <c r="CI192" s="290">
        <v>0</v>
      </c>
      <c r="CJ192" s="290"/>
    </row>
    <row r="193" spans="1:88" ht="13">
      <c r="A193" s="1">
        <v>3802</v>
      </c>
      <c r="B193" s="2" t="s">
        <v>1625</v>
      </c>
      <c r="C193" s="289">
        <v>25011</v>
      </c>
      <c r="D193" s="290">
        <v>463</v>
      </c>
      <c r="E193" s="290">
        <v>1081</v>
      </c>
      <c r="F193" s="290">
        <v>2952</v>
      </c>
      <c r="G193" s="290">
        <v>1931</v>
      </c>
      <c r="H193" s="290">
        <v>14126</v>
      </c>
      <c r="I193" s="290">
        <v>3240</v>
      </c>
      <c r="J193" s="290">
        <v>863</v>
      </c>
      <c r="K193" s="290">
        <v>201</v>
      </c>
      <c r="L193" s="290">
        <v>194</v>
      </c>
      <c r="M193" s="290">
        <v>1774</v>
      </c>
      <c r="N193" s="290">
        <v>372</v>
      </c>
      <c r="O193" s="290">
        <v>211</v>
      </c>
      <c r="P193" s="624">
        <v>61650.328666670001</v>
      </c>
      <c r="Q193" s="624">
        <v>51816.316666669998</v>
      </c>
      <c r="R193" s="1039">
        <v>81</v>
      </c>
      <c r="S193" s="290">
        <v>1046</v>
      </c>
      <c r="T193" s="290">
        <v>2069</v>
      </c>
      <c r="U193" s="958">
        <v>4.8474432901967138E-3</v>
      </c>
      <c r="V193" s="290">
        <v>3498.08391231</v>
      </c>
      <c r="W193" s="765">
        <v>0.57788240999999996</v>
      </c>
      <c r="X193" s="290">
        <v>3000</v>
      </c>
      <c r="Y193" s="290"/>
      <c r="Z193" s="290">
        <v>814470.78500000003</v>
      </c>
      <c r="AA193" s="290">
        <v>0</v>
      </c>
      <c r="AB193" s="290">
        <v>706</v>
      </c>
      <c r="AC193" s="290">
        <v>5653</v>
      </c>
      <c r="AD193" s="290">
        <v>456</v>
      </c>
      <c r="AE193" s="290">
        <v>808</v>
      </c>
      <c r="AF193" s="290">
        <v>36487</v>
      </c>
      <c r="AG193" s="290">
        <v>24857</v>
      </c>
      <c r="AH193" s="290">
        <v>4221</v>
      </c>
      <c r="AI193" s="290">
        <v>550</v>
      </c>
      <c r="AJ193" s="290">
        <v>0</v>
      </c>
      <c r="AK193" s="290">
        <v>0</v>
      </c>
      <c r="AL193" s="290">
        <v>0</v>
      </c>
      <c r="AM193" s="957">
        <v>0.65100804999999995</v>
      </c>
      <c r="AN193" s="290">
        <v>0</v>
      </c>
      <c r="AO193" s="290">
        <v>-6190.8767952899998</v>
      </c>
      <c r="AP193" s="290">
        <v>0</v>
      </c>
      <c r="AQ193" s="290">
        <v>0</v>
      </c>
      <c r="AR193" s="290">
        <v>-938.76167210000006</v>
      </c>
      <c r="AS193" s="290">
        <v>4543.9724999999999</v>
      </c>
      <c r="AT193" s="290">
        <v>1420</v>
      </c>
      <c r="AU193" s="290">
        <v>307</v>
      </c>
      <c r="AV193" s="766">
        <v>670956</v>
      </c>
      <c r="AW193" s="290">
        <v>6000</v>
      </c>
      <c r="AX193" s="766">
        <v>162.25</v>
      </c>
      <c r="AY193" s="290">
        <v>5410</v>
      </c>
      <c r="AZ193" s="290">
        <v>911</v>
      </c>
      <c r="BA193" s="290">
        <v>580</v>
      </c>
      <c r="BB193" s="290">
        <v>0</v>
      </c>
      <c r="BC193" s="290">
        <v>74491.291585180006</v>
      </c>
      <c r="BD193" s="290"/>
      <c r="BE193" s="290">
        <v>638424.34922232002</v>
      </c>
      <c r="BF193" s="290">
        <v>0</v>
      </c>
      <c r="BG193" s="290">
        <v>20348</v>
      </c>
      <c r="BH193" s="290">
        <v>1000</v>
      </c>
      <c r="BI193" s="290">
        <v>46817</v>
      </c>
      <c r="BJ193" s="290">
        <v>281</v>
      </c>
      <c r="BK193" s="290">
        <v>953</v>
      </c>
      <c r="BL193" s="290">
        <v>0</v>
      </c>
      <c r="BM193" s="290">
        <v>5073</v>
      </c>
      <c r="BN193" s="290">
        <v>596</v>
      </c>
      <c r="BO193" s="290">
        <v>-209</v>
      </c>
      <c r="BP193" s="290">
        <v>2320</v>
      </c>
      <c r="BQ193" s="290">
        <v>4639</v>
      </c>
      <c r="BR193" s="290">
        <v>3512</v>
      </c>
      <c r="BS193" s="290">
        <v>342</v>
      </c>
      <c r="BT193" s="290">
        <v>0</v>
      </c>
      <c r="BU193" s="290">
        <v>0</v>
      </c>
      <c r="BV193" s="290">
        <v>548</v>
      </c>
      <c r="BW193" s="290">
        <v>0</v>
      </c>
      <c r="BX193" s="290">
        <v>0</v>
      </c>
      <c r="BY193" s="290">
        <v>2635</v>
      </c>
      <c r="BZ193" s="290">
        <v>8000</v>
      </c>
      <c r="CA193" s="290">
        <v>4895.3490000000002</v>
      </c>
      <c r="CB193" s="290">
        <v>221</v>
      </c>
      <c r="CC193" s="290">
        <v>2</v>
      </c>
      <c r="CD193" s="290">
        <v>517</v>
      </c>
      <c r="CE193" s="290">
        <v>814470.78500000003</v>
      </c>
      <c r="CF193" s="290">
        <v>0</v>
      </c>
      <c r="CG193" s="290">
        <v>0</v>
      </c>
      <c r="CH193" s="290">
        <v>0</v>
      </c>
      <c r="CI193" s="290">
        <v>0</v>
      </c>
      <c r="CJ193" s="290"/>
    </row>
    <row r="194" spans="1:88" ht="13">
      <c r="A194" s="1">
        <v>3803</v>
      </c>
      <c r="B194" s="2" t="s">
        <v>1626</v>
      </c>
      <c r="C194" s="289">
        <v>57026</v>
      </c>
      <c r="D194" s="290">
        <v>1138</v>
      </c>
      <c r="E194" s="290">
        <v>2353</v>
      </c>
      <c r="F194" s="290">
        <v>6750</v>
      </c>
      <c r="G194" s="290">
        <v>4585</v>
      </c>
      <c r="H194" s="290">
        <v>32653</v>
      </c>
      <c r="I194" s="290">
        <v>6460</v>
      </c>
      <c r="J194" s="290">
        <v>2141</v>
      </c>
      <c r="K194" s="290">
        <v>501</v>
      </c>
      <c r="L194" s="290">
        <v>411</v>
      </c>
      <c r="M194" s="290">
        <v>4053</v>
      </c>
      <c r="N194" s="290">
        <v>1391</v>
      </c>
      <c r="O194" s="290">
        <v>447</v>
      </c>
      <c r="P194" s="624">
        <v>125950.12933333</v>
      </c>
      <c r="Q194" s="624">
        <v>90415.506333330006</v>
      </c>
      <c r="R194" s="1039">
        <v>233</v>
      </c>
      <c r="S194" s="290">
        <v>0</v>
      </c>
      <c r="T194" s="290">
        <v>5462</v>
      </c>
      <c r="U194" s="958">
        <v>7.1448467475208419E-3</v>
      </c>
      <c r="V194" s="290">
        <v>-21735.435256699999</v>
      </c>
      <c r="W194" s="765">
        <v>0.55169462000000002</v>
      </c>
      <c r="X194" s="290">
        <v>4800</v>
      </c>
      <c r="Y194" s="290"/>
      <c r="Z194" s="290">
        <v>2001609.365</v>
      </c>
      <c r="AA194" s="290">
        <v>0</v>
      </c>
      <c r="AB194" s="290">
        <v>1283</v>
      </c>
      <c r="AC194" s="290">
        <v>3991</v>
      </c>
      <c r="AD194" s="290">
        <v>1001</v>
      </c>
      <c r="AE194" s="290">
        <v>0</v>
      </c>
      <c r="AF194" s="290">
        <v>15110</v>
      </c>
      <c r="AG194" s="290">
        <v>56581</v>
      </c>
      <c r="AH194" s="290">
        <v>9596</v>
      </c>
      <c r="AI194" s="290">
        <v>1400</v>
      </c>
      <c r="AJ194" s="290">
        <v>0</v>
      </c>
      <c r="AK194" s="290">
        <v>0</v>
      </c>
      <c r="AL194" s="290">
        <v>0</v>
      </c>
      <c r="AM194" s="957">
        <v>2.4968098599999999</v>
      </c>
      <c r="AN194" s="290">
        <v>0</v>
      </c>
      <c r="AO194" s="290">
        <v>-14339.70040571</v>
      </c>
      <c r="AP194" s="290">
        <v>0</v>
      </c>
      <c r="AQ194" s="290">
        <v>-16653.236972859999</v>
      </c>
      <c r="AR194" s="290">
        <v>-2136.8658393599999</v>
      </c>
      <c r="AS194" s="290">
        <v>4807.1895000000004</v>
      </c>
      <c r="AT194" s="290">
        <v>3629</v>
      </c>
      <c r="AU194" s="290">
        <v>809</v>
      </c>
      <c r="AV194" s="766">
        <v>1450847</v>
      </c>
      <c r="AW194" s="290">
        <v>7500</v>
      </c>
      <c r="AX194" s="766">
        <v>404.91665</v>
      </c>
      <c r="AY194" s="290">
        <v>15952</v>
      </c>
      <c r="AZ194" s="290">
        <v>2695</v>
      </c>
      <c r="BA194" s="290">
        <v>1317</v>
      </c>
      <c r="BB194" s="290">
        <v>0</v>
      </c>
      <c r="BC194" s="290">
        <v>92454.469121970003</v>
      </c>
      <c r="BD194" s="290"/>
      <c r="BE194" s="290">
        <v>1393071.4736597</v>
      </c>
      <c r="BF194" s="290">
        <v>0</v>
      </c>
      <c r="BG194" s="290">
        <v>46318</v>
      </c>
      <c r="BH194" s="290">
        <v>1500</v>
      </c>
      <c r="BI194" s="290">
        <v>29698</v>
      </c>
      <c r="BJ194" s="290">
        <v>660</v>
      </c>
      <c r="BK194" s="290">
        <v>2174</v>
      </c>
      <c r="BL194" s="290">
        <v>0</v>
      </c>
      <c r="BM194" s="290">
        <v>7285</v>
      </c>
      <c r="BN194" s="290">
        <v>1360</v>
      </c>
      <c r="BO194" s="290">
        <v>-562</v>
      </c>
      <c r="BP194" s="290">
        <v>5289</v>
      </c>
      <c r="BQ194" s="290">
        <v>10577</v>
      </c>
      <c r="BR194" s="290">
        <v>8007</v>
      </c>
      <c r="BS194" s="290">
        <v>751</v>
      </c>
      <c r="BT194" s="290">
        <v>0</v>
      </c>
      <c r="BU194" s="290">
        <v>0</v>
      </c>
      <c r="BV194" s="290">
        <v>1251</v>
      </c>
      <c r="BW194" s="290">
        <v>0</v>
      </c>
      <c r="BX194" s="290">
        <v>376.8</v>
      </c>
      <c r="BY194" s="290">
        <v>5706</v>
      </c>
      <c r="BZ194" s="290">
        <v>11000</v>
      </c>
      <c r="CA194" s="290">
        <v>9022.7039999999997</v>
      </c>
      <c r="CB194" s="290">
        <v>493</v>
      </c>
      <c r="CC194" s="290">
        <v>4</v>
      </c>
      <c r="CD194" s="290">
        <v>1391</v>
      </c>
      <c r="CE194" s="290">
        <v>2001609.365</v>
      </c>
      <c r="CF194" s="290">
        <v>0</v>
      </c>
      <c r="CG194" s="290">
        <v>0</v>
      </c>
      <c r="CH194" s="290">
        <v>0</v>
      </c>
      <c r="CI194" s="290">
        <v>0</v>
      </c>
      <c r="CJ194" s="290"/>
    </row>
    <row r="195" spans="1:88" ht="13">
      <c r="A195" s="1">
        <v>3804</v>
      </c>
      <c r="B195" s="2" t="s">
        <v>1153</v>
      </c>
      <c r="C195" s="289">
        <v>64345</v>
      </c>
      <c r="D195" s="290">
        <v>1230</v>
      </c>
      <c r="E195" s="290">
        <v>2711</v>
      </c>
      <c r="F195" s="290">
        <v>7699</v>
      </c>
      <c r="G195" s="290">
        <v>5439</v>
      </c>
      <c r="H195" s="290">
        <v>36000</v>
      </c>
      <c r="I195" s="290">
        <v>7837</v>
      </c>
      <c r="J195" s="290">
        <v>2547</v>
      </c>
      <c r="K195" s="290">
        <v>556</v>
      </c>
      <c r="L195" s="290">
        <v>487</v>
      </c>
      <c r="M195" s="290">
        <v>4724</v>
      </c>
      <c r="N195" s="290">
        <v>1976</v>
      </c>
      <c r="O195" s="290">
        <v>679</v>
      </c>
      <c r="P195" s="624">
        <v>156543.33266667</v>
      </c>
      <c r="Q195" s="624">
        <v>83486.229000000007</v>
      </c>
      <c r="R195" s="1039">
        <v>227</v>
      </c>
      <c r="S195" s="290">
        <v>0</v>
      </c>
      <c r="T195" s="290">
        <v>5741</v>
      </c>
      <c r="U195" s="958">
        <v>7.4908066435157867E-3</v>
      </c>
      <c r="V195" s="290">
        <v>-17319.646406250002</v>
      </c>
      <c r="W195" s="765">
        <v>0.55114985000000005</v>
      </c>
      <c r="X195" s="290">
        <v>4900</v>
      </c>
      <c r="Y195" s="290"/>
      <c r="Z195" s="290">
        <v>2082816.142</v>
      </c>
      <c r="AA195" s="290">
        <v>0</v>
      </c>
      <c r="AB195" s="290">
        <v>1838</v>
      </c>
      <c r="AC195" s="290">
        <v>3186</v>
      </c>
      <c r="AD195" s="290">
        <v>1147</v>
      </c>
      <c r="AE195" s="290">
        <v>0</v>
      </c>
      <c r="AF195" s="290">
        <v>30173</v>
      </c>
      <c r="AG195" s="290">
        <v>64019</v>
      </c>
      <c r="AH195" s="290">
        <v>11051</v>
      </c>
      <c r="AI195" s="290">
        <v>700</v>
      </c>
      <c r="AJ195" s="290">
        <v>0</v>
      </c>
      <c r="AK195" s="290">
        <v>0</v>
      </c>
      <c r="AL195" s="290">
        <v>0</v>
      </c>
      <c r="AM195" s="957">
        <v>3.0634788199999998</v>
      </c>
      <c r="AN195" s="290">
        <v>0</v>
      </c>
      <c r="AO195" s="290">
        <v>-16336.38470217</v>
      </c>
      <c r="AP195" s="290">
        <v>0</v>
      </c>
      <c r="AQ195" s="290">
        <v>0</v>
      </c>
      <c r="AR195" s="290">
        <v>-2417.7730010099999</v>
      </c>
      <c r="AS195" s="290">
        <v>4775.6779999999999</v>
      </c>
      <c r="AT195" s="290">
        <v>4251</v>
      </c>
      <c r="AU195" s="290">
        <v>859</v>
      </c>
      <c r="AV195" s="766">
        <v>1688842</v>
      </c>
      <c r="AW195" s="290">
        <v>9300</v>
      </c>
      <c r="AX195" s="766">
        <v>444.04165</v>
      </c>
      <c r="AY195" s="290">
        <v>14339</v>
      </c>
      <c r="AZ195" s="290">
        <v>3411</v>
      </c>
      <c r="BA195" s="290">
        <v>1517</v>
      </c>
      <c r="BB195" s="290">
        <v>0</v>
      </c>
      <c r="BC195" s="290">
        <v>115163.85548694999</v>
      </c>
      <c r="BD195" s="290"/>
      <c r="BE195" s="290">
        <v>1619049.1978819999</v>
      </c>
      <c r="BF195" s="290">
        <v>0</v>
      </c>
      <c r="BG195" s="290">
        <v>52406</v>
      </c>
      <c r="BH195" s="290">
        <v>1500</v>
      </c>
      <c r="BI195" s="290">
        <v>45557</v>
      </c>
      <c r="BJ195" s="290">
        <v>731</v>
      </c>
      <c r="BK195" s="290">
        <v>2423</v>
      </c>
      <c r="BL195" s="290">
        <v>0</v>
      </c>
      <c r="BM195" s="290">
        <v>7807</v>
      </c>
      <c r="BN195" s="290">
        <v>1516</v>
      </c>
      <c r="BO195" s="290">
        <v>-668</v>
      </c>
      <c r="BP195" s="290">
        <v>5967</v>
      </c>
      <c r="BQ195" s="290">
        <v>11935</v>
      </c>
      <c r="BR195" s="290">
        <v>9035</v>
      </c>
      <c r="BS195" s="290">
        <v>860</v>
      </c>
      <c r="BT195" s="290">
        <v>0</v>
      </c>
      <c r="BU195" s="290">
        <v>0</v>
      </c>
      <c r="BV195" s="290">
        <v>1395</v>
      </c>
      <c r="BW195" s="290">
        <v>0</v>
      </c>
      <c r="BX195" s="290">
        <v>0</v>
      </c>
      <c r="BY195" s="290">
        <v>6667</v>
      </c>
      <c r="BZ195" s="290">
        <v>9500</v>
      </c>
      <c r="CA195" s="290">
        <v>3120.3620000000001</v>
      </c>
      <c r="CB195" s="290">
        <v>557</v>
      </c>
      <c r="CC195" s="290">
        <v>4</v>
      </c>
      <c r="CD195" s="290">
        <v>1653</v>
      </c>
      <c r="CE195" s="290">
        <v>2082816.142</v>
      </c>
      <c r="CF195" s="290">
        <v>0</v>
      </c>
      <c r="CG195" s="290">
        <v>0</v>
      </c>
      <c r="CH195" s="290">
        <v>0</v>
      </c>
      <c r="CI195" s="290">
        <v>0</v>
      </c>
      <c r="CJ195" s="290"/>
    </row>
    <row r="196" spans="1:88" ht="13">
      <c r="A196" s="1">
        <v>3805</v>
      </c>
      <c r="B196" s="4" t="s">
        <v>1235</v>
      </c>
      <c r="C196" s="289">
        <v>47499</v>
      </c>
      <c r="D196" s="290">
        <v>885</v>
      </c>
      <c r="E196" s="290">
        <v>1910</v>
      </c>
      <c r="F196" s="290">
        <v>5407</v>
      </c>
      <c r="G196" s="290">
        <v>3777</v>
      </c>
      <c r="H196" s="290">
        <v>26416</v>
      </c>
      <c r="I196" s="290">
        <v>6456</v>
      </c>
      <c r="J196" s="290">
        <v>2078</v>
      </c>
      <c r="K196" s="290">
        <v>510</v>
      </c>
      <c r="L196" s="290">
        <v>356</v>
      </c>
      <c r="M196" s="290">
        <v>3832</v>
      </c>
      <c r="N196" s="290">
        <v>1237</v>
      </c>
      <c r="O196" s="290">
        <v>378</v>
      </c>
      <c r="P196" s="624">
        <v>114884.76566667001</v>
      </c>
      <c r="Q196" s="624">
        <v>79367.929333330001</v>
      </c>
      <c r="R196" s="1039">
        <v>217</v>
      </c>
      <c r="S196" s="290">
        <v>0</v>
      </c>
      <c r="T196" s="290">
        <v>4304</v>
      </c>
      <c r="U196" s="958">
        <v>7.7630780630537268E-3</v>
      </c>
      <c r="V196" s="290">
        <v>13848.400548240001</v>
      </c>
      <c r="W196" s="765">
        <v>0.57115062999999999</v>
      </c>
      <c r="X196" s="290">
        <v>3800</v>
      </c>
      <c r="Y196" s="290"/>
      <c r="Z196" s="290">
        <v>1502871.6910000001</v>
      </c>
      <c r="AA196" s="290">
        <v>0</v>
      </c>
      <c r="AB196" s="290">
        <v>1496</v>
      </c>
      <c r="AC196" s="290">
        <v>2237</v>
      </c>
      <c r="AD196" s="290">
        <v>875</v>
      </c>
      <c r="AE196" s="290">
        <v>0</v>
      </c>
      <c r="AF196" s="290">
        <v>21377</v>
      </c>
      <c r="AG196" s="290">
        <v>47439</v>
      </c>
      <c r="AH196" s="290">
        <v>7790</v>
      </c>
      <c r="AI196" s="290">
        <v>1100</v>
      </c>
      <c r="AJ196" s="290">
        <v>0</v>
      </c>
      <c r="AK196" s="290">
        <v>0</v>
      </c>
      <c r="AL196" s="290">
        <v>0</v>
      </c>
      <c r="AM196" s="957">
        <v>1.2130432</v>
      </c>
      <c r="AN196" s="290">
        <v>0</v>
      </c>
      <c r="AO196" s="290">
        <v>-12270.15034582</v>
      </c>
      <c r="AP196" s="290">
        <v>0</v>
      </c>
      <c r="AQ196" s="290">
        <v>0</v>
      </c>
      <c r="AR196" s="290">
        <v>-1791.6045766899999</v>
      </c>
      <c r="AS196" s="290">
        <v>3439.3020000000001</v>
      </c>
      <c r="AT196" s="290">
        <v>2931</v>
      </c>
      <c r="AU196" s="290">
        <v>405</v>
      </c>
      <c r="AV196" s="766">
        <v>1326294</v>
      </c>
      <c r="AW196" s="290">
        <v>7500</v>
      </c>
      <c r="AX196" s="766">
        <v>327.37504999999999</v>
      </c>
      <c r="AY196" s="290">
        <v>10468</v>
      </c>
      <c r="AZ196" s="290">
        <v>2277</v>
      </c>
      <c r="BA196" s="290">
        <v>1092</v>
      </c>
      <c r="BB196" s="290">
        <v>0</v>
      </c>
      <c r="BC196" s="290">
        <v>84134.316649529996</v>
      </c>
      <c r="BD196" s="290"/>
      <c r="BE196" s="290">
        <v>1262241.477317</v>
      </c>
      <c r="BF196" s="290">
        <v>0</v>
      </c>
      <c r="BG196" s="290">
        <v>38834</v>
      </c>
      <c r="BH196" s="290">
        <v>1500</v>
      </c>
      <c r="BI196" s="290">
        <v>32279</v>
      </c>
      <c r="BJ196" s="290">
        <v>543</v>
      </c>
      <c r="BK196" s="290">
        <v>1722</v>
      </c>
      <c r="BL196" s="290">
        <v>0</v>
      </c>
      <c r="BM196" s="290">
        <v>6648</v>
      </c>
      <c r="BN196" s="290">
        <v>1077</v>
      </c>
      <c r="BO196" s="290">
        <v>-439</v>
      </c>
      <c r="BP196" s="290">
        <v>4405</v>
      </c>
      <c r="BQ196" s="290">
        <v>8810</v>
      </c>
      <c r="BR196" s="290">
        <v>6669</v>
      </c>
      <c r="BS196" s="290">
        <v>656</v>
      </c>
      <c r="BT196" s="290">
        <v>0</v>
      </c>
      <c r="BU196" s="290">
        <v>0</v>
      </c>
      <c r="BV196" s="290">
        <v>991</v>
      </c>
      <c r="BW196" s="290">
        <v>0</v>
      </c>
      <c r="BX196" s="290">
        <v>0</v>
      </c>
      <c r="BY196" s="290">
        <v>5332</v>
      </c>
      <c r="BZ196" s="290">
        <v>9500</v>
      </c>
      <c r="CA196" s="290">
        <v>5258</v>
      </c>
      <c r="CB196" s="290">
        <v>414</v>
      </c>
      <c r="CC196" s="290">
        <v>3</v>
      </c>
      <c r="CD196" s="290">
        <v>1088</v>
      </c>
      <c r="CE196" s="290">
        <v>1502871.6910000001</v>
      </c>
      <c r="CF196" s="290">
        <v>0</v>
      </c>
      <c r="CG196" s="290">
        <v>0</v>
      </c>
      <c r="CH196" s="290">
        <v>0</v>
      </c>
      <c r="CI196" s="290">
        <v>0</v>
      </c>
      <c r="CJ196" s="290"/>
    </row>
    <row r="197" spans="1:88" ht="13">
      <c r="A197" s="1">
        <v>3806</v>
      </c>
      <c r="B197" s="2" t="s">
        <v>904</v>
      </c>
      <c r="C197" s="289">
        <v>36526</v>
      </c>
      <c r="D197" s="290">
        <v>658</v>
      </c>
      <c r="E197" s="290">
        <v>1427</v>
      </c>
      <c r="F197" s="290">
        <v>4136</v>
      </c>
      <c r="G197" s="290">
        <v>3122</v>
      </c>
      <c r="H197" s="290">
        <v>20709</v>
      </c>
      <c r="I197" s="290">
        <v>4657</v>
      </c>
      <c r="J197" s="290">
        <v>1417</v>
      </c>
      <c r="K197" s="290">
        <v>370</v>
      </c>
      <c r="L197" s="290">
        <v>307</v>
      </c>
      <c r="M197" s="290">
        <v>2849</v>
      </c>
      <c r="N197" s="290">
        <v>1165</v>
      </c>
      <c r="O197" s="290">
        <v>279</v>
      </c>
      <c r="P197" s="624">
        <v>85298.462</v>
      </c>
      <c r="Q197" s="624">
        <v>36762.867333330003</v>
      </c>
      <c r="R197" s="1039">
        <v>149</v>
      </c>
      <c r="S197" s="290">
        <v>0</v>
      </c>
      <c r="T197" s="290">
        <v>3545</v>
      </c>
      <c r="U197" s="958">
        <v>9.4275549037201869E-4</v>
      </c>
      <c r="V197" s="290">
        <v>-9704.4333865999997</v>
      </c>
      <c r="W197" s="765">
        <v>0.53980700000000004</v>
      </c>
      <c r="X197" s="290">
        <v>2600</v>
      </c>
      <c r="Y197" s="290"/>
      <c r="Z197" s="290">
        <v>1164383.0649999999</v>
      </c>
      <c r="AA197" s="290">
        <v>0</v>
      </c>
      <c r="AB197" s="290">
        <v>1090</v>
      </c>
      <c r="AC197" s="290">
        <v>9639</v>
      </c>
      <c r="AD197" s="290">
        <v>655</v>
      </c>
      <c r="AE197" s="290">
        <v>0</v>
      </c>
      <c r="AF197" s="290">
        <v>0</v>
      </c>
      <c r="AG197" s="290">
        <v>36496</v>
      </c>
      <c r="AH197" s="290">
        <v>5970</v>
      </c>
      <c r="AI197" s="290">
        <v>0</v>
      </c>
      <c r="AJ197" s="290">
        <v>0</v>
      </c>
      <c r="AK197" s="290">
        <v>6176</v>
      </c>
      <c r="AL197" s="290">
        <v>0</v>
      </c>
      <c r="AM197" s="957">
        <v>1.3626662599999999</v>
      </c>
      <c r="AN197" s="290">
        <v>0</v>
      </c>
      <c r="AO197" s="290">
        <v>-9255.3023285300005</v>
      </c>
      <c r="AP197" s="290">
        <v>0</v>
      </c>
      <c r="AQ197" s="290">
        <v>0</v>
      </c>
      <c r="AR197" s="290">
        <v>-1378.3258633400001</v>
      </c>
      <c r="AS197" s="290">
        <v>7435.6639999999998</v>
      </c>
      <c r="AT197" s="290">
        <v>2397</v>
      </c>
      <c r="AU197" s="290">
        <v>443</v>
      </c>
      <c r="AV197" s="766">
        <v>954301</v>
      </c>
      <c r="AW197" s="290">
        <v>6500</v>
      </c>
      <c r="AX197" s="766">
        <v>238.625</v>
      </c>
      <c r="AY197" s="290">
        <v>8639</v>
      </c>
      <c r="AZ197" s="290">
        <v>1700</v>
      </c>
      <c r="BA197" s="290">
        <v>932</v>
      </c>
      <c r="BB197" s="290">
        <v>0</v>
      </c>
      <c r="BC197" s="290">
        <v>63840.913691490001</v>
      </c>
      <c r="BD197" s="290"/>
      <c r="BE197" s="290">
        <v>902261.05476968002</v>
      </c>
      <c r="BF197" s="290">
        <v>0</v>
      </c>
      <c r="BG197" s="290">
        <v>29876</v>
      </c>
      <c r="BH197" s="290">
        <v>1500</v>
      </c>
      <c r="BI197" s="290">
        <v>22440</v>
      </c>
      <c r="BJ197" s="290">
        <v>419</v>
      </c>
      <c r="BK197" s="290">
        <v>1297</v>
      </c>
      <c r="BL197" s="290">
        <v>0</v>
      </c>
      <c r="BM197" s="290">
        <v>0</v>
      </c>
      <c r="BN197" s="290">
        <v>811</v>
      </c>
      <c r="BO197" s="290">
        <v>-376</v>
      </c>
      <c r="BP197" s="290">
        <v>3387</v>
      </c>
      <c r="BQ197" s="290">
        <v>6775</v>
      </c>
      <c r="BR197" s="290">
        <v>5129</v>
      </c>
      <c r="BS197" s="290">
        <v>491</v>
      </c>
      <c r="BT197" s="290">
        <v>0</v>
      </c>
      <c r="BU197" s="290">
        <v>0</v>
      </c>
      <c r="BV197" s="290">
        <v>746</v>
      </c>
      <c r="BW197" s="290">
        <v>0</v>
      </c>
      <c r="BX197" s="290">
        <v>1472.1</v>
      </c>
      <c r="BY197" s="290">
        <v>3863</v>
      </c>
      <c r="BZ197" s="290">
        <v>8000</v>
      </c>
      <c r="CA197" s="290">
        <v>1767.826</v>
      </c>
      <c r="CB197" s="290">
        <v>320</v>
      </c>
      <c r="CC197" s="290">
        <v>2</v>
      </c>
      <c r="CD197" s="290">
        <v>931</v>
      </c>
      <c r="CE197" s="290">
        <v>1164383.0649999999</v>
      </c>
      <c r="CF197" s="290">
        <v>5128.2974374292644</v>
      </c>
      <c r="CG197" s="290">
        <v>3572.8750248211945</v>
      </c>
      <c r="CH197" s="290">
        <v>1933.6601666374263</v>
      </c>
      <c r="CI197" s="290">
        <v>231.63858052947762</v>
      </c>
      <c r="CJ197" s="290"/>
    </row>
    <row r="198" spans="1:88" ht="13">
      <c r="A198" s="1">
        <v>3807</v>
      </c>
      <c r="B198" s="2" t="s">
        <v>905</v>
      </c>
      <c r="C198" s="289">
        <v>55144</v>
      </c>
      <c r="D198" s="290">
        <v>1005</v>
      </c>
      <c r="E198" s="290">
        <v>2304</v>
      </c>
      <c r="F198" s="290">
        <v>6490</v>
      </c>
      <c r="G198" s="290">
        <v>4545</v>
      </c>
      <c r="H198" s="290">
        <v>31074</v>
      </c>
      <c r="I198" s="290">
        <v>7025</v>
      </c>
      <c r="J198" s="290">
        <v>2139</v>
      </c>
      <c r="K198" s="290">
        <v>498</v>
      </c>
      <c r="L198" s="290">
        <v>434</v>
      </c>
      <c r="M198" s="290">
        <v>4206</v>
      </c>
      <c r="N198" s="290">
        <v>2708</v>
      </c>
      <c r="O198" s="290">
        <v>535</v>
      </c>
      <c r="P198" s="624">
        <v>134845.29366667001</v>
      </c>
      <c r="Q198" s="624">
        <v>64708.663333329998</v>
      </c>
      <c r="R198" s="1039">
        <v>187</v>
      </c>
      <c r="S198" s="290">
        <v>0</v>
      </c>
      <c r="T198" s="290">
        <v>5222</v>
      </c>
      <c r="U198" s="958">
        <v>4.7555862111988371E-3</v>
      </c>
      <c r="V198" s="290">
        <v>-14688.05227737</v>
      </c>
      <c r="W198" s="765">
        <v>0.54149966999999999</v>
      </c>
      <c r="X198" s="290">
        <v>2800</v>
      </c>
      <c r="Y198" s="290"/>
      <c r="Z198" s="290">
        <v>1648435.71</v>
      </c>
      <c r="AA198" s="290">
        <v>0</v>
      </c>
      <c r="AB198" s="290">
        <v>1547</v>
      </c>
      <c r="AC198" s="290">
        <v>2679</v>
      </c>
      <c r="AD198" s="290">
        <v>988</v>
      </c>
      <c r="AE198" s="290">
        <v>0</v>
      </c>
      <c r="AF198" s="290">
        <v>0</v>
      </c>
      <c r="AG198" s="290">
        <v>55080</v>
      </c>
      <c r="AH198" s="290">
        <v>9278</v>
      </c>
      <c r="AI198" s="290">
        <v>2800</v>
      </c>
      <c r="AJ198" s="290">
        <v>5540</v>
      </c>
      <c r="AK198" s="290">
        <v>0</v>
      </c>
      <c r="AL198" s="290">
        <v>0</v>
      </c>
      <c r="AM198" s="957">
        <v>3.2879344599999998</v>
      </c>
      <c r="AN198" s="290">
        <v>0</v>
      </c>
      <c r="AO198" s="290">
        <v>-14160.75011214</v>
      </c>
      <c r="AP198" s="290">
        <v>0</v>
      </c>
      <c r="AQ198" s="290">
        <v>0</v>
      </c>
      <c r="AR198" s="290">
        <v>-2080.1783360499999</v>
      </c>
      <c r="AS198" s="290">
        <v>4011.6945000000001</v>
      </c>
      <c r="AT198" s="290">
        <v>3563</v>
      </c>
      <c r="AU198" s="290">
        <v>786</v>
      </c>
      <c r="AV198" s="766">
        <v>1458452</v>
      </c>
      <c r="AW198" s="290">
        <v>11000</v>
      </c>
      <c r="AX198" s="766">
        <v>349.62504999999999</v>
      </c>
      <c r="AY198" s="290">
        <v>12809</v>
      </c>
      <c r="AZ198" s="290">
        <v>3544</v>
      </c>
      <c r="BA198" s="290">
        <v>1439</v>
      </c>
      <c r="BB198" s="290">
        <v>0</v>
      </c>
      <c r="BC198" s="290">
        <v>74992.339714450005</v>
      </c>
      <c r="BD198" s="290"/>
      <c r="BE198" s="290">
        <v>1382031.1303443001</v>
      </c>
      <c r="BF198" s="290">
        <v>0</v>
      </c>
      <c r="BG198" s="290">
        <v>45089</v>
      </c>
      <c r="BH198" s="290">
        <v>1500</v>
      </c>
      <c r="BI198" s="290">
        <v>12945</v>
      </c>
      <c r="BJ198" s="290">
        <v>629</v>
      </c>
      <c r="BK198" s="290">
        <v>2054</v>
      </c>
      <c r="BL198" s="290">
        <v>0</v>
      </c>
      <c r="BM198" s="290">
        <v>0</v>
      </c>
      <c r="BN198" s="290">
        <v>1285</v>
      </c>
      <c r="BO198" s="290">
        <v>-661</v>
      </c>
      <c r="BP198" s="290">
        <v>5114</v>
      </c>
      <c r="BQ198" s="290">
        <v>10228</v>
      </c>
      <c r="BR198" s="290">
        <v>7743</v>
      </c>
      <c r="BS198" s="290">
        <v>741</v>
      </c>
      <c r="BT198" s="290">
        <v>0</v>
      </c>
      <c r="BU198" s="290">
        <v>0</v>
      </c>
      <c r="BV198" s="290">
        <v>1182</v>
      </c>
      <c r="BW198" s="290">
        <v>0</v>
      </c>
      <c r="BX198" s="290">
        <v>704.5</v>
      </c>
      <c r="BY198" s="290">
        <v>5816</v>
      </c>
      <c r="BZ198" s="290">
        <v>12000</v>
      </c>
      <c r="CA198" s="290">
        <v>6136.4</v>
      </c>
      <c r="CB198" s="290">
        <v>479</v>
      </c>
      <c r="CC198" s="290">
        <v>3</v>
      </c>
      <c r="CD198" s="290">
        <v>1637</v>
      </c>
      <c r="CE198" s="290">
        <v>1648435.71</v>
      </c>
      <c r="CF198" s="290">
        <v>0</v>
      </c>
      <c r="CG198" s="290">
        <v>0</v>
      </c>
      <c r="CH198" s="290">
        <v>0</v>
      </c>
      <c r="CI198" s="290">
        <v>0</v>
      </c>
      <c r="CJ198" s="290"/>
    </row>
    <row r="199" spans="1:88" ht="13">
      <c r="A199" s="1">
        <v>3808</v>
      </c>
      <c r="B199" s="2" t="s">
        <v>906</v>
      </c>
      <c r="C199" s="289">
        <v>12994</v>
      </c>
      <c r="D199" s="290">
        <v>225</v>
      </c>
      <c r="E199" s="290">
        <v>520</v>
      </c>
      <c r="F199" s="290">
        <v>1446</v>
      </c>
      <c r="G199" s="290">
        <v>1059</v>
      </c>
      <c r="H199" s="290">
        <v>7251</v>
      </c>
      <c r="I199" s="290">
        <v>1750</v>
      </c>
      <c r="J199" s="290">
        <v>567</v>
      </c>
      <c r="K199" s="290">
        <v>178</v>
      </c>
      <c r="L199" s="290">
        <v>109</v>
      </c>
      <c r="M199" s="290">
        <v>1149</v>
      </c>
      <c r="N199" s="290">
        <v>303</v>
      </c>
      <c r="O199" s="290">
        <v>137</v>
      </c>
      <c r="P199" s="624">
        <v>54477.196333330001</v>
      </c>
      <c r="Q199" s="624">
        <v>18800.039333330002</v>
      </c>
      <c r="R199" s="1039">
        <v>69</v>
      </c>
      <c r="S199" s="290">
        <v>0</v>
      </c>
      <c r="T199" s="290">
        <v>1303</v>
      </c>
      <c r="U199" s="958">
        <v>3.1607783022589648E-3</v>
      </c>
      <c r="V199" s="290">
        <v>-3807.9526445000001</v>
      </c>
      <c r="W199" s="765">
        <v>0.58545080000000005</v>
      </c>
      <c r="X199" s="290">
        <v>2400</v>
      </c>
      <c r="Y199" s="290"/>
      <c r="Z199" s="290">
        <v>386292.53200000001</v>
      </c>
      <c r="AA199" s="290">
        <v>0</v>
      </c>
      <c r="AB199" s="290">
        <v>447</v>
      </c>
      <c r="AC199" s="290">
        <v>613</v>
      </c>
      <c r="AD199" s="290">
        <v>249</v>
      </c>
      <c r="AE199" s="290">
        <v>0</v>
      </c>
      <c r="AF199" s="290">
        <v>0</v>
      </c>
      <c r="AG199" s="290">
        <v>12996</v>
      </c>
      <c r="AH199" s="290">
        <v>2102</v>
      </c>
      <c r="AI199" s="290">
        <v>0</v>
      </c>
      <c r="AJ199" s="290">
        <v>0</v>
      </c>
      <c r="AK199" s="290">
        <v>0</v>
      </c>
      <c r="AL199" s="290">
        <v>0</v>
      </c>
      <c r="AM199" s="957">
        <v>0.53894584999999995</v>
      </c>
      <c r="AN199" s="290">
        <v>6694</v>
      </c>
      <c r="AO199" s="290">
        <v>-3538.2156271399999</v>
      </c>
      <c r="AP199" s="290">
        <v>0</v>
      </c>
      <c r="AQ199" s="290">
        <v>0</v>
      </c>
      <c r="AR199" s="290">
        <v>-490.81331981</v>
      </c>
      <c r="AS199" s="290">
        <v>953.74</v>
      </c>
      <c r="AT199" s="290">
        <v>730</v>
      </c>
      <c r="AU199" s="290">
        <v>162</v>
      </c>
      <c r="AV199" s="766">
        <v>396483</v>
      </c>
      <c r="AW199" s="290">
        <v>1000</v>
      </c>
      <c r="AX199" s="766">
        <v>94.999949999999998</v>
      </c>
      <c r="AY199" s="290">
        <v>2796</v>
      </c>
      <c r="AZ199" s="290">
        <v>776</v>
      </c>
      <c r="BA199" s="290">
        <v>309</v>
      </c>
      <c r="BB199" s="290">
        <v>0</v>
      </c>
      <c r="BC199" s="290">
        <v>18239.901514450001</v>
      </c>
      <c r="BD199" s="290"/>
      <c r="BE199" s="290">
        <v>377484.27930534002</v>
      </c>
      <c r="BF199" s="290">
        <v>0</v>
      </c>
      <c r="BG199" s="290">
        <v>10639</v>
      </c>
      <c r="BH199" s="290">
        <v>1000</v>
      </c>
      <c r="BI199" s="290">
        <v>2964</v>
      </c>
      <c r="BJ199" s="290">
        <v>146</v>
      </c>
      <c r="BK199" s="290">
        <v>471</v>
      </c>
      <c r="BL199" s="290">
        <v>0</v>
      </c>
      <c r="BM199" s="290">
        <v>0</v>
      </c>
      <c r="BN199" s="290">
        <v>295</v>
      </c>
      <c r="BO199" s="290">
        <v>-135</v>
      </c>
      <c r="BP199" s="290">
        <v>1205</v>
      </c>
      <c r="BQ199" s="290">
        <v>2410</v>
      </c>
      <c r="BR199" s="290">
        <v>1824</v>
      </c>
      <c r="BS199" s="290">
        <v>187</v>
      </c>
      <c r="BT199" s="290">
        <v>0</v>
      </c>
      <c r="BU199" s="290">
        <v>0</v>
      </c>
      <c r="BV199" s="290">
        <v>271</v>
      </c>
      <c r="BW199" s="290">
        <v>0</v>
      </c>
      <c r="BX199" s="290">
        <v>0</v>
      </c>
      <c r="BY199" s="290">
        <v>1446</v>
      </c>
      <c r="BZ199" s="290">
        <v>2000</v>
      </c>
      <c r="CA199" s="290">
        <v>2607.1</v>
      </c>
      <c r="CB199" s="290">
        <v>119</v>
      </c>
      <c r="CC199" s="290">
        <v>1</v>
      </c>
      <c r="CD199" s="290">
        <v>334</v>
      </c>
      <c r="CE199" s="290">
        <v>386292.53200000001</v>
      </c>
      <c r="CF199" s="290">
        <v>0</v>
      </c>
      <c r="CG199" s="290">
        <v>0</v>
      </c>
      <c r="CH199" s="290">
        <v>0</v>
      </c>
      <c r="CI199" s="290">
        <v>0</v>
      </c>
      <c r="CJ199" s="290"/>
    </row>
    <row r="200" spans="1:88" ht="13">
      <c r="A200" s="1">
        <v>3811</v>
      </c>
      <c r="B200" s="2" t="s">
        <v>1241</v>
      </c>
      <c r="C200" s="289">
        <v>26957</v>
      </c>
      <c r="D200" s="290">
        <v>475</v>
      </c>
      <c r="E200" s="290">
        <v>1095</v>
      </c>
      <c r="F200" s="290">
        <v>3214</v>
      </c>
      <c r="G200" s="290">
        <v>2268</v>
      </c>
      <c r="H200" s="290">
        <v>14764</v>
      </c>
      <c r="I200" s="290">
        <v>3693</v>
      </c>
      <c r="J200" s="290">
        <v>1173</v>
      </c>
      <c r="K200" s="290">
        <v>293</v>
      </c>
      <c r="L200" s="290">
        <v>196</v>
      </c>
      <c r="M200" s="290">
        <v>2150</v>
      </c>
      <c r="N200" s="290">
        <v>675</v>
      </c>
      <c r="O200" s="290">
        <v>224</v>
      </c>
      <c r="P200" s="624">
        <v>63159.123</v>
      </c>
      <c r="Q200" s="624">
        <v>45371.046666670001</v>
      </c>
      <c r="R200" s="1039">
        <v>86</v>
      </c>
      <c r="S200" s="290">
        <v>0</v>
      </c>
      <c r="T200" s="290">
        <v>2104</v>
      </c>
      <c r="U200" s="958">
        <v>1.3675267005095176E-3</v>
      </c>
      <c r="V200" s="290">
        <v>-15380.922600850001</v>
      </c>
      <c r="W200" s="765">
        <v>0.55570255999999996</v>
      </c>
      <c r="X200" s="290">
        <v>1800</v>
      </c>
      <c r="Y200" s="290"/>
      <c r="Z200" s="290">
        <v>999557.24</v>
      </c>
      <c r="AA200" s="290">
        <v>0</v>
      </c>
      <c r="AB200" s="290">
        <v>603</v>
      </c>
      <c r="AC200" s="290">
        <v>1330</v>
      </c>
      <c r="AD200" s="290">
        <v>504</v>
      </c>
      <c r="AE200" s="290">
        <v>0</v>
      </c>
      <c r="AF200" s="290">
        <v>15110</v>
      </c>
      <c r="AG200" s="290">
        <v>26975</v>
      </c>
      <c r="AH200" s="290">
        <v>4581</v>
      </c>
      <c r="AI200" s="290">
        <v>1880</v>
      </c>
      <c r="AJ200" s="290">
        <v>0</v>
      </c>
      <c r="AK200" s="290">
        <v>0</v>
      </c>
      <c r="AL200" s="290">
        <v>0</v>
      </c>
      <c r="AM200" s="957">
        <v>0.97171463000000002</v>
      </c>
      <c r="AN200" s="290">
        <v>0</v>
      </c>
      <c r="AO200" s="290">
        <v>-6946.8837607200003</v>
      </c>
      <c r="AP200" s="290">
        <v>0</v>
      </c>
      <c r="AQ200" s="290">
        <v>0</v>
      </c>
      <c r="AR200" s="290">
        <v>-1018.75110049</v>
      </c>
      <c r="AS200" s="290">
        <v>2060.8519999999999</v>
      </c>
      <c r="AT200" s="290">
        <v>1627</v>
      </c>
      <c r="AU200" s="290">
        <v>314</v>
      </c>
      <c r="AV200" s="766">
        <v>755693</v>
      </c>
      <c r="AW200" s="290">
        <v>6000</v>
      </c>
      <c r="AX200" s="766">
        <v>169.50004999999999</v>
      </c>
      <c r="AY200" s="290">
        <v>7979</v>
      </c>
      <c r="AZ200" s="290">
        <v>1359</v>
      </c>
      <c r="BA200" s="290">
        <v>681</v>
      </c>
      <c r="BB200" s="290">
        <v>0</v>
      </c>
      <c r="BC200" s="290">
        <v>81859.979860210005</v>
      </c>
      <c r="BD200" s="290"/>
      <c r="BE200" s="290">
        <v>723308.25628735998</v>
      </c>
      <c r="BF200" s="290">
        <v>0</v>
      </c>
      <c r="BG200" s="290">
        <v>22082</v>
      </c>
      <c r="BH200" s="290">
        <v>1000</v>
      </c>
      <c r="BI200" s="290">
        <v>52761</v>
      </c>
      <c r="BJ200" s="290">
        <v>323</v>
      </c>
      <c r="BK200" s="290">
        <v>1010</v>
      </c>
      <c r="BL200" s="290">
        <v>0</v>
      </c>
      <c r="BM200" s="290">
        <v>5215</v>
      </c>
      <c r="BN200" s="290">
        <v>632</v>
      </c>
      <c r="BO200" s="290">
        <v>-238</v>
      </c>
      <c r="BP200" s="290">
        <v>2500</v>
      </c>
      <c r="BQ200" s="290">
        <v>5000</v>
      </c>
      <c r="BR200" s="290">
        <v>3785</v>
      </c>
      <c r="BS200" s="290">
        <v>378</v>
      </c>
      <c r="BT200" s="290">
        <v>0</v>
      </c>
      <c r="BU200" s="290">
        <v>31236</v>
      </c>
      <c r="BV200" s="290">
        <v>581</v>
      </c>
      <c r="BW200" s="290">
        <v>0</v>
      </c>
      <c r="BX200" s="290">
        <v>0</v>
      </c>
      <c r="BY200" s="290">
        <v>3046</v>
      </c>
      <c r="BZ200" s="290">
        <v>8000</v>
      </c>
      <c r="CA200" s="290">
        <v>1326.903</v>
      </c>
      <c r="CB200" s="290">
        <v>238</v>
      </c>
      <c r="CC200" s="290">
        <v>2</v>
      </c>
      <c r="CD200" s="290">
        <v>589</v>
      </c>
      <c r="CE200" s="290">
        <v>999557.24</v>
      </c>
      <c r="CF200" s="290">
        <v>0</v>
      </c>
      <c r="CG200" s="290">
        <v>0</v>
      </c>
      <c r="CH200" s="290">
        <v>0</v>
      </c>
      <c r="CI200" s="290">
        <v>0</v>
      </c>
      <c r="CJ200" s="290"/>
    </row>
    <row r="201" spans="1:88" ht="13">
      <c r="A201" s="1">
        <v>3812</v>
      </c>
      <c r="B201" s="2" t="s">
        <v>907</v>
      </c>
      <c r="C201" s="289">
        <v>2347</v>
      </c>
      <c r="D201" s="290">
        <v>38</v>
      </c>
      <c r="E201" s="290">
        <v>92</v>
      </c>
      <c r="F201" s="290">
        <v>289</v>
      </c>
      <c r="G201" s="290">
        <v>190</v>
      </c>
      <c r="H201" s="290">
        <v>1326</v>
      </c>
      <c r="I201" s="290">
        <v>290</v>
      </c>
      <c r="J201" s="290">
        <v>112</v>
      </c>
      <c r="K201" s="290">
        <v>25</v>
      </c>
      <c r="L201" s="290">
        <v>13</v>
      </c>
      <c r="M201" s="290">
        <v>154</v>
      </c>
      <c r="N201" s="290">
        <v>43</v>
      </c>
      <c r="O201" s="290">
        <v>27</v>
      </c>
      <c r="P201" s="624">
        <v>8124.71833333</v>
      </c>
      <c r="Q201" s="624">
        <v>6323.3389999999999</v>
      </c>
      <c r="R201" s="1039">
        <v>3</v>
      </c>
      <c r="S201" s="290">
        <v>0</v>
      </c>
      <c r="T201" s="290">
        <v>137</v>
      </c>
      <c r="U201" s="958">
        <v>7.7696926452725109E-4</v>
      </c>
      <c r="V201" s="290">
        <v>1141.03811918</v>
      </c>
      <c r="W201" s="765">
        <v>0.68479318</v>
      </c>
      <c r="X201" s="290">
        <v>0</v>
      </c>
      <c r="Y201" s="290"/>
      <c r="Z201" s="290">
        <v>66355.051999999996</v>
      </c>
      <c r="AA201" s="290">
        <v>0</v>
      </c>
      <c r="AB201" s="290">
        <v>57</v>
      </c>
      <c r="AC201" s="290">
        <v>130</v>
      </c>
      <c r="AD201" s="290">
        <v>55</v>
      </c>
      <c r="AE201" s="290">
        <v>0</v>
      </c>
      <c r="AF201" s="290">
        <v>0</v>
      </c>
      <c r="AG201" s="290">
        <v>2362</v>
      </c>
      <c r="AH201" s="290">
        <v>402</v>
      </c>
      <c r="AI201" s="290">
        <v>0</v>
      </c>
      <c r="AJ201" s="290">
        <v>0</v>
      </c>
      <c r="AK201" s="290">
        <v>0</v>
      </c>
      <c r="AL201" s="290">
        <v>0</v>
      </c>
      <c r="AM201" s="957">
        <v>4.1420119999999998E-2</v>
      </c>
      <c r="AN201" s="290">
        <v>0</v>
      </c>
      <c r="AO201" s="290">
        <v>-623.98779502000002</v>
      </c>
      <c r="AP201" s="290">
        <v>0</v>
      </c>
      <c r="AQ201" s="290">
        <v>0</v>
      </c>
      <c r="AR201" s="290">
        <v>2943.9156602500002</v>
      </c>
      <c r="AS201" s="290">
        <v>206.67750000000001</v>
      </c>
      <c r="AT201" s="290">
        <v>135</v>
      </c>
      <c r="AU201" s="290">
        <v>15</v>
      </c>
      <c r="AV201" s="766">
        <v>75727</v>
      </c>
      <c r="AW201" s="290">
        <v>1200</v>
      </c>
      <c r="AX201" s="766">
        <v>9.1667000000000005</v>
      </c>
      <c r="AY201" s="290">
        <v>450</v>
      </c>
      <c r="AZ201" s="290">
        <v>112</v>
      </c>
      <c r="BA201" s="290">
        <v>45</v>
      </c>
      <c r="BB201" s="290">
        <v>3017</v>
      </c>
      <c r="BC201" s="290">
        <v>3724.6575227500002</v>
      </c>
      <c r="BD201" s="290"/>
      <c r="BE201" s="290">
        <v>67650.778539720006</v>
      </c>
      <c r="BF201" s="290">
        <v>0</v>
      </c>
      <c r="BG201" s="290">
        <v>1934</v>
      </c>
      <c r="BH201" s="290">
        <v>500</v>
      </c>
      <c r="BI201" s="290">
        <v>587</v>
      </c>
      <c r="BJ201" s="290">
        <v>27</v>
      </c>
      <c r="BK201" s="290">
        <v>78</v>
      </c>
      <c r="BL201" s="290">
        <v>0</v>
      </c>
      <c r="BM201" s="290">
        <v>0</v>
      </c>
      <c r="BN201" s="290">
        <v>49</v>
      </c>
      <c r="BO201" s="290">
        <v>-17</v>
      </c>
      <c r="BP201" s="290">
        <v>218</v>
      </c>
      <c r="BQ201" s="290">
        <v>435</v>
      </c>
      <c r="BR201" s="290">
        <v>330</v>
      </c>
      <c r="BS201" s="290">
        <v>41</v>
      </c>
      <c r="BT201" s="290">
        <v>0</v>
      </c>
      <c r="BU201" s="290">
        <v>0</v>
      </c>
      <c r="BV201" s="290">
        <v>45</v>
      </c>
      <c r="BW201" s="290">
        <v>0</v>
      </c>
      <c r="BX201" s="290">
        <v>0</v>
      </c>
      <c r="BY201" s="290">
        <v>260</v>
      </c>
      <c r="BZ201" s="290">
        <v>500</v>
      </c>
      <c r="CA201" s="290">
        <v>119.18600000000001</v>
      </c>
      <c r="CB201" s="290">
        <v>30</v>
      </c>
      <c r="CC201" s="290">
        <v>0</v>
      </c>
      <c r="CD201" s="290">
        <v>41</v>
      </c>
      <c r="CE201" s="290">
        <v>66355.051999999996</v>
      </c>
      <c r="CF201" s="290">
        <v>0</v>
      </c>
      <c r="CG201" s="290">
        <v>0</v>
      </c>
      <c r="CH201" s="290">
        <v>0</v>
      </c>
      <c r="CI201" s="290">
        <v>0</v>
      </c>
      <c r="CJ201" s="290"/>
    </row>
    <row r="202" spans="1:88" ht="13">
      <c r="A202" s="1">
        <v>3813</v>
      </c>
      <c r="B202" s="2" t="s">
        <v>908</v>
      </c>
      <c r="C202" s="289">
        <v>14014</v>
      </c>
      <c r="D202" s="290">
        <v>263</v>
      </c>
      <c r="E202" s="290">
        <v>531</v>
      </c>
      <c r="F202" s="290">
        <v>1623</v>
      </c>
      <c r="G202" s="290">
        <v>1249</v>
      </c>
      <c r="H202" s="290">
        <v>7720</v>
      </c>
      <c r="I202" s="290">
        <v>2047</v>
      </c>
      <c r="J202" s="290">
        <v>524</v>
      </c>
      <c r="K202" s="290">
        <v>96</v>
      </c>
      <c r="L202" s="290">
        <v>118</v>
      </c>
      <c r="M202" s="290">
        <v>980</v>
      </c>
      <c r="N202" s="290">
        <v>356</v>
      </c>
      <c r="O202" s="290">
        <v>127</v>
      </c>
      <c r="P202" s="624">
        <v>82530.398666669993</v>
      </c>
      <c r="Q202" s="624">
        <v>36207.935333330002</v>
      </c>
      <c r="R202" s="1039">
        <v>51</v>
      </c>
      <c r="S202" s="290">
        <v>0</v>
      </c>
      <c r="T202" s="290">
        <v>1085</v>
      </c>
      <c r="U202" s="958">
        <v>1.3067800772091098E-3</v>
      </c>
      <c r="V202" s="290">
        <v>3462.4420942199999</v>
      </c>
      <c r="W202" s="765">
        <v>0.59173509000000002</v>
      </c>
      <c r="X202" s="290">
        <v>1400</v>
      </c>
      <c r="Y202" s="290"/>
      <c r="Z202" s="290">
        <v>464590.26500000001</v>
      </c>
      <c r="AA202" s="290">
        <v>0</v>
      </c>
      <c r="AB202" s="290">
        <v>409</v>
      </c>
      <c r="AC202" s="290">
        <v>696</v>
      </c>
      <c r="AD202" s="290">
        <v>277</v>
      </c>
      <c r="AE202" s="290">
        <v>0</v>
      </c>
      <c r="AF202" s="290">
        <v>0</v>
      </c>
      <c r="AG202" s="290">
        <v>14053</v>
      </c>
      <c r="AH202" s="290">
        <v>2356</v>
      </c>
      <c r="AI202" s="290">
        <v>0</v>
      </c>
      <c r="AJ202" s="290">
        <v>0</v>
      </c>
      <c r="AK202" s="290">
        <v>11616</v>
      </c>
      <c r="AL202" s="290">
        <v>0</v>
      </c>
      <c r="AM202" s="957">
        <v>0.40115072000000002</v>
      </c>
      <c r="AN202" s="290">
        <v>7173</v>
      </c>
      <c r="AO202" s="290">
        <v>-3530.2044107900001</v>
      </c>
      <c r="AP202" s="290">
        <v>0</v>
      </c>
      <c r="AQ202" s="290">
        <v>0</v>
      </c>
      <c r="AR202" s="290">
        <v>-530.73250102999998</v>
      </c>
      <c r="AS202" s="290">
        <v>1109.4649999999999</v>
      </c>
      <c r="AT202" s="290">
        <v>788</v>
      </c>
      <c r="AU202" s="290">
        <v>150</v>
      </c>
      <c r="AV202" s="766">
        <v>375950</v>
      </c>
      <c r="AW202" s="290">
        <v>1000</v>
      </c>
      <c r="AX202" s="766">
        <v>88.749949999999998</v>
      </c>
      <c r="AY202" s="290">
        <v>2698</v>
      </c>
      <c r="AZ202" s="290">
        <v>671</v>
      </c>
      <c r="BA202" s="290">
        <v>311</v>
      </c>
      <c r="BB202" s="290">
        <v>0</v>
      </c>
      <c r="BC202" s="290">
        <v>27329.3364</v>
      </c>
      <c r="BD202" s="290"/>
      <c r="BE202" s="290">
        <v>361094.4513206</v>
      </c>
      <c r="BF202" s="290">
        <v>0</v>
      </c>
      <c r="BG202" s="290">
        <v>11504</v>
      </c>
      <c r="BH202" s="290">
        <v>1000</v>
      </c>
      <c r="BI202" s="290">
        <v>14945</v>
      </c>
      <c r="BJ202" s="290">
        <v>163</v>
      </c>
      <c r="BK202" s="290">
        <v>474</v>
      </c>
      <c r="BL202" s="290">
        <v>0</v>
      </c>
      <c r="BM202" s="290">
        <v>0</v>
      </c>
      <c r="BN202" s="290">
        <v>296</v>
      </c>
      <c r="BO202" s="290">
        <v>-124</v>
      </c>
      <c r="BP202" s="290">
        <v>1300</v>
      </c>
      <c r="BQ202" s="290">
        <v>2599</v>
      </c>
      <c r="BR202" s="290">
        <v>1968</v>
      </c>
      <c r="BS202" s="290">
        <v>208</v>
      </c>
      <c r="BT202" s="290">
        <v>0</v>
      </c>
      <c r="BU202" s="290">
        <v>0</v>
      </c>
      <c r="BV202" s="290">
        <v>273</v>
      </c>
      <c r="BW202" s="290">
        <v>0</v>
      </c>
      <c r="BX202" s="290">
        <v>0</v>
      </c>
      <c r="BY202" s="290">
        <v>1586</v>
      </c>
      <c r="BZ202" s="290">
        <v>500</v>
      </c>
      <c r="CA202" s="290">
        <v>1662.9</v>
      </c>
      <c r="CB202" s="290">
        <v>128</v>
      </c>
      <c r="CC202" s="290">
        <v>1</v>
      </c>
      <c r="CD202" s="290">
        <v>306</v>
      </c>
      <c r="CE202" s="290">
        <v>464590.26500000001</v>
      </c>
      <c r="CF202" s="290">
        <v>14279.805541333761</v>
      </c>
      <c r="CG202" s="290">
        <v>16746.137999430553</v>
      </c>
      <c r="CH202" s="290">
        <v>19179.880137139866</v>
      </c>
      <c r="CI202" s="290">
        <v>21589.19416117527</v>
      </c>
      <c r="CJ202" s="290"/>
    </row>
    <row r="203" spans="1:88" ht="13">
      <c r="A203" s="1">
        <v>3814</v>
      </c>
      <c r="B203" s="2" t="s">
        <v>910</v>
      </c>
      <c r="C203" s="289">
        <v>10416</v>
      </c>
      <c r="D203" s="290">
        <v>165</v>
      </c>
      <c r="E203" s="290">
        <v>338</v>
      </c>
      <c r="F203" s="290">
        <v>1112</v>
      </c>
      <c r="G203" s="290">
        <v>792</v>
      </c>
      <c r="H203" s="290">
        <v>5663</v>
      </c>
      <c r="I203" s="290">
        <v>1739</v>
      </c>
      <c r="J203" s="290">
        <v>505</v>
      </c>
      <c r="K203" s="290">
        <v>108</v>
      </c>
      <c r="L203" s="290">
        <v>89</v>
      </c>
      <c r="M203" s="290">
        <v>1019</v>
      </c>
      <c r="N203" s="290">
        <v>261</v>
      </c>
      <c r="O203" s="290">
        <v>131</v>
      </c>
      <c r="P203" s="624">
        <v>44796.157333329997</v>
      </c>
      <c r="Q203" s="624">
        <v>29129.8</v>
      </c>
      <c r="R203" s="1039">
        <v>39</v>
      </c>
      <c r="S203" s="290">
        <v>0</v>
      </c>
      <c r="T203" s="290">
        <v>1034</v>
      </c>
      <c r="U203" s="958">
        <v>9.1903207219064535E-4</v>
      </c>
      <c r="V203" s="290">
        <v>-1196.2478268699999</v>
      </c>
      <c r="W203" s="765">
        <v>0.59842795000000004</v>
      </c>
      <c r="X203" s="290">
        <v>1700</v>
      </c>
      <c r="Y203" s="290"/>
      <c r="Z203" s="290">
        <v>309402.73300000001</v>
      </c>
      <c r="AA203" s="290">
        <v>0</v>
      </c>
      <c r="AB203" s="290">
        <v>310</v>
      </c>
      <c r="AC203" s="290">
        <v>485</v>
      </c>
      <c r="AD203" s="290">
        <v>213</v>
      </c>
      <c r="AE203" s="290">
        <v>0</v>
      </c>
      <c r="AF203" s="290">
        <v>0</v>
      </c>
      <c r="AG203" s="290">
        <v>10422</v>
      </c>
      <c r="AH203" s="290">
        <v>1548</v>
      </c>
      <c r="AI203" s="290">
        <v>0</v>
      </c>
      <c r="AJ203" s="290">
        <v>0</v>
      </c>
      <c r="AK203" s="290">
        <v>0</v>
      </c>
      <c r="AL203" s="290">
        <v>0</v>
      </c>
      <c r="AM203" s="957">
        <v>0.33301609999999998</v>
      </c>
      <c r="AN203" s="290">
        <v>13587</v>
      </c>
      <c r="AO203" s="290">
        <v>-2731.2031507199999</v>
      </c>
      <c r="AP203" s="290">
        <v>0</v>
      </c>
      <c r="AQ203" s="290">
        <v>0</v>
      </c>
      <c r="AR203" s="290">
        <v>1338.91699343</v>
      </c>
      <c r="AS203" s="290">
        <v>759.65949999999998</v>
      </c>
      <c r="AT203" s="290">
        <v>604</v>
      </c>
      <c r="AU203" s="290">
        <v>109</v>
      </c>
      <c r="AV203" s="766">
        <v>310383</v>
      </c>
      <c r="AW203" s="290">
        <v>500</v>
      </c>
      <c r="AX203" s="766">
        <v>53.75</v>
      </c>
      <c r="AY203" s="290">
        <v>2186</v>
      </c>
      <c r="AZ203" s="290">
        <v>545</v>
      </c>
      <c r="BA203" s="290">
        <v>241</v>
      </c>
      <c r="BB203" s="290">
        <v>0</v>
      </c>
      <c r="BC203" s="290">
        <v>14099.979239980001</v>
      </c>
      <c r="BD203" s="290"/>
      <c r="BE203" s="290">
        <v>289041.24578432</v>
      </c>
      <c r="BF203" s="290">
        <v>0</v>
      </c>
      <c r="BG203" s="290">
        <v>8532</v>
      </c>
      <c r="BH203" s="290">
        <v>1000</v>
      </c>
      <c r="BI203" s="290">
        <v>2246</v>
      </c>
      <c r="BJ203" s="290">
        <v>120</v>
      </c>
      <c r="BK203" s="290">
        <v>308</v>
      </c>
      <c r="BL203" s="290">
        <v>0</v>
      </c>
      <c r="BM203" s="290">
        <v>0</v>
      </c>
      <c r="BN203" s="290">
        <v>193</v>
      </c>
      <c r="BO203" s="290">
        <v>-101</v>
      </c>
      <c r="BP203" s="290">
        <v>966</v>
      </c>
      <c r="BQ203" s="290">
        <v>1932</v>
      </c>
      <c r="BR203" s="290">
        <v>1463</v>
      </c>
      <c r="BS203" s="290">
        <v>160</v>
      </c>
      <c r="BT203" s="290">
        <v>0</v>
      </c>
      <c r="BU203" s="290">
        <v>0</v>
      </c>
      <c r="BV203" s="290">
        <v>177</v>
      </c>
      <c r="BW203" s="290">
        <v>0</v>
      </c>
      <c r="BX203" s="290">
        <v>0</v>
      </c>
      <c r="BY203" s="290">
        <v>1294</v>
      </c>
      <c r="BZ203" s="290">
        <v>0</v>
      </c>
      <c r="CA203" s="290">
        <v>521.67899999999997</v>
      </c>
      <c r="CB203" s="290">
        <v>97</v>
      </c>
      <c r="CC203" s="290">
        <v>1</v>
      </c>
      <c r="CD203" s="290">
        <v>250</v>
      </c>
      <c r="CE203" s="290">
        <v>309402.73300000001</v>
      </c>
      <c r="CF203" s="290">
        <v>0</v>
      </c>
      <c r="CG203" s="290">
        <v>0</v>
      </c>
      <c r="CH203" s="290">
        <v>0</v>
      </c>
      <c r="CI203" s="290">
        <v>0</v>
      </c>
      <c r="CJ203" s="290"/>
    </row>
    <row r="204" spans="1:88" ht="13">
      <c r="A204" s="1">
        <v>3815</v>
      </c>
      <c r="B204" s="2" t="s">
        <v>911</v>
      </c>
      <c r="C204" s="289">
        <v>4071</v>
      </c>
      <c r="D204" s="290">
        <v>57</v>
      </c>
      <c r="E204" s="290">
        <v>142</v>
      </c>
      <c r="F204" s="290">
        <v>485</v>
      </c>
      <c r="G204" s="290">
        <v>352</v>
      </c>
      <c r="H204" s="290">
        <v>2216</v>
      </c>
      <c r="I204" s="290">
        <v>579</v>
      </c>
      <c r="J204" s="290">
        <v>161</v>
      </c>
      <c r="K204" s="290">
        <v>59</v>
      </c>
      <c r="L204" s="290">
        <v>36</v>
      </c>
      <c r="M204" s="290">
        <v>370</v>
      </c>
      <c r="N204" s="290">
        <v>38</v>
      </c>
      <c r="O204" s="290">
        <v>61</v>
      </c>
      <c r="P204" s="624">
        <v>51383.80966667</v>
      </c>
      <c r="Q204" s="624">
        <v>18979.958999999999</v>
      </c>
      <c r="R204" s="1039">
        <v>17</v>
      </c>
      <c r="S204" s="290">
        <v>0</v>
      </c>
      <c r="T204" s="290">
        <v>352</v>
      </c>
      <c r="U204" s="958">
        <v>2.1946155838597817E-3</v>
      </c>
      <c r="V204" s="290">
        <v>2331.4841390500001</v>
      </c>
      <c r="W204" s="765">
        <v>0.92964707000000002</v>
      </c>
      <c r="X204" s="290">
        <v>900</v>
      </c>
      <c r="Y204" s="290"/>
      <c r="Z204" s="290">
        <v>106553.28200000001</v>
      </c>
      <c r="AA204" s="290">
        <v>0</v>
      </c>
      <c r="AB204" s="290">
        <v>121</v>
      </c>
      <c r="AC204" s="290">
        <v>1149</v>
      </c>
      <c r="AD204" s="290">
        <v>100</v>
      </c>
      <c r="AE204" s="290">
        <v>0</v>
      </c>
      <c r="AF204" s="290">
        <v>0</v>
      </c>
      <c r="AG204" s="290">
        <v>4051</v>
      </c>
      <c r="AH204" s="290">
        <v>666</v>
      </c>
      <c r="AI204" s="290">
        <v>0</v>
      </c>
      <c r="AJ204" s="290">
        <v>0</v>
      </c>
      <c r="AK204" s="290">
        <v>0</v>
      </c>
      <c r="AL204" s="290">
        <v>0</v>
      </c>
      <c r="AM204" s="957">
        <v>0.1019153</v>
      </c>
      <c r="AN204" s="290">
        <v>4892</v>
      </c>
      <c r="AO204" s="290">
        <v>-1166.9927500700001</v>
      </c>
      <c r="AP204" s="290">
        <v>0</v>
      </c>
      <c r="AQ204" s="290">
        <v>0</v>
      </c>
      <c r="AR204" s="290">
        <v>4402.7428223300003</v>
      </c>
      <c r="AS204" s="290">
        <v>931.90549999999996</v>
      </c>
      <c r="AT204" s="290">
        <v>213</v>
      </c>
      <c r="AU204" s="290">
        <v>33</v>
      </c>
      <c r="AV204" s="766">
        <v>151891</v>
      </c>
      <c r="AW204" s="290">
        <v>0</v>
      </c>
      <c r="AX204" s="766">
        <v>13.62505</v>
      </c>
      <c r="AY204" s="290">
        <v>593</v>
      </c>
      <c r="AZ204" s="290">
        <v>239</v>
      </c>
      <c r="BA204" s="290">
        <v>57</v>
      </c>
      <c r="BB204" s="290">
        <v>0</v>
      </c>
      <c r="BC204" s="290">
        <v>7455.92904705</v>
      </c>
      <c r="BD204" s="290"/>
      <c r="BE204" s="290">
        <v>139250.00710995001</v>
      </c>
      <c r="BF204" s="290">
        <v>0</v>
      </c>
      <c r="BG204" s="290">
        <v>3316</v>
      </c>
      <c r="BH204" s="290">
        <v>1000</v>
      </c>
      <c r="BI204" s="290">
        <v>1915</v>
      </c>
      <c r="BJ204" s="290">
        <v>47</v>
      </c>
      <c r="BK204" s="290">
        <v>119</v>
      </c>
      <c r="BL204" s="290">
        <v>0</v>
      </c>
      <c r="BM204" s="290">
        <v>0</v>
      </c>
      <c r="BN204" s="290">
        <v>74</v>
      </c>
      <c r="BO204" s="290">
        <v>-33</v>
      </c>
      <c r="BP204" s="290">
        <v>378</v>
      </c>
      <c r="BQ204" s="290">
        <v>755</v>
      </c>
      <c r="BR204" s="290">
        <v>572</v>
      </c>
      <c r="BS204" s="290">
        <v>75</v>
      </c>
      <c r="BT204" s="290">
        <v>0</v>
      </c>
      <c r="BU204" s="290">
        <v>0</v>
      </c>
      <c r="BV204" s="290">
        <v>68</v>
      </c>
      <c r="BW204" s="290">
        <v>0</v>
      </c>
      <c r="BX204" s="290">
        <v>0</v>
      </c>
      <c r="BY204" s="290">
        <v>472</v>
      </c>
      <c r="BZ204" s="290">
        <v>0</v>
      </c>
      <c r="CA204" s="290">
        <v>222.904</v>
      </c>
      <c r="CB204" s="290">
        <v>48</v>
      </c>
      <c r="CC204" s="290">
        <v>0</v>
      </c>
      <c r="CD204" s="290">
        <v>83</v>
      </c>
      <c r="CE204" s="290">
        <v>106553.28200000001</v>
      </c>
      <c r="CF204" s="290">
        <v>0</v>
      </c>
      <c r="CG204" s="290">
        <v>0</v>
      </c>
      <c r="CH204" s="290">
        <v>0</v>
      </c>
      <c r="CI204" s="290">
        <v>0</v>
      </c>
      <c r="CJ204" s="290"/>
    </row>
    <row r="205" spans="1:88" ht="13">
      <c r="A205" s="1">
        <v>3816</v>
      </c>
      <c r="B205" s="2" t="s">
        <v>912</v>
      </c>
      <c r="C205" s="289">
        <v>6488</v>
      </c>
      <c r="D205" s="290">
        <v>102</v>
      </c>
      <c r="E205" s="290">
        <v>249</v>
      </c>
      <c r="F205" s="290">
        <v>703</v>
      </c>
      <c r="G205" s="290">
        <v>545</v>
      </c>
      <c r="H205" s="290">
        <v>3599</v>
      </c>
      <c r="I205" s="290">
        <v>941</v>
      </c>
      <c r="J205" s="290">
        <v>267</v>
      </c>
      <c r="K205" s="290">
        <v>94</v>
      </c>
      <c r="L205" s="290">
        <v>57</v>
      </c>
      <c r="M205" s="290">
        <v>588</v>
      </c>
      <c r="N205" s="290">
        <v>177</v>
      </c>
      <c r="O205" s="290">
        <v>103</v>
      </c>
      <c r="P205" s="624">
        <v>16865.123666669999</v>
      </c>
      <c r="Q205" s="624">
        <v>17014.874666669999</v>
      </c>
      <c r="R205" s="1039">
        <v>34</v>
      </c>
      <c r="S205" s="290">
        <v>0</v>
      </c>
      <c r="T205" s="290">
        <v>615</v>
      </c>
      <c r="U205" s="958">
        <v>3.03069998012648E-3</v>
      </c>
      <c r="V205" s="290">
        <v>-35.972441279999998</v>
      </c>
      <c r="W205" s="765">
        <v>0.66514260999999997</v>
      </c>
      <c r="X205" s="290">
        <v>2500</v>
      </c>
      <c r="Y205" s="290"/>
      <c r="Z205" s="290">
        <v>175956.23499999999</v>
      </c>
      <c r="AA205" s="290">
        <v>0</v>
      </c>
      <c r="AB205" s="290">
        <v>194</v>
      </c>
      <c r="AC205" s="290">
        <v>310</v>
      </c>
      <c r="AD205" s="290">
        <v>133</v>
      </c>
      <c r="AE205" s="290">
        <v>0</v>
      </c>
      <c r="AF205" s="290">
        <v>0</v>
      </c>
      <c r="AG205" s="290">
        <v>6500</v>
      </c>
      <c r="AH205" s="290">
        <v>1018</v>
      </c>
      <c r="AI205" s="290">
        <v>600</v>
      </c>
      <c r="AJ205" s="290">
        <v>0</v>
      </c>
      <c r="AK205" s="290">
        <v>0</v>
      </c>
      <c r="AL205" s="290">
        <v>0</v>
      </c>
      <c r="AM205" s="957">
        <v>0.23227574000000001</v>
      </c>
      <c r="AN205" s="290">
        <v>7217</v>
      </c>
      <c r="AO205" s="290">
        <v>-1779.12048476</v>
      </c>
      <c r="AP205" s="290">
        <v>0</v>
      </c>
      <c r="AQ205" s="290">
        <v>0</v>
      </c>
      <c r="AR205" s="290">
        <v>-245.48219288999999</v>
      </c>
      <c r="AS205" s="290">
        <v>499.34699999999998</v>
      </c>
      <c r="AT205" s="290">
        <v>378</v>
      </c>
      <c r="AU205" s="290">
        <v>69</v>
      </c>
      <c r="AV205" s="766">
        <v>209093</v>
      </c>
      <c r="AW205" s="290">
        <v>0</v>
      </c>
      <c r="AX205" s="766">
        <v>27.416699999999999</v>
      </c>
      <c r="AY205" s="290">
        <v>1245</v>
      </c>
      <c r="AZ205" s="290">
        <v>378</v>
      </c>
      <c r="BA205" s="290">
        <v>137</v>
      </c>
      <c r="BB205" s="290">
        <v>0</v>
      </c>
      <c r="BC205" s="290">
        <v>9351.7321397800006</v>
      </c>
      <c r="BD205" s="290"/>
      <c r="BE205" s="290">
        <v>197901.47767354999</v>
      </c>
      <c r="BF205" s="290">
        <v>0</v>
      </c>
      <c r="BG205" s="290">
        <v>5321</v>
      </c>
      <c r="BH205" s="290">
        <v>1000</v>
      </c>
      <c r="BI205" s="290">
        <v>1461</v>
      </c>
      <c r="BJ205" s="290">
        <v>75</v>
      </c>
      <c r="BK205" s="290">
        <v>214</v>
      </c>
      <c r="BL205" s="290">
        <v>0</v>
      </c>
      <c r="BM205" s="290">
        <v>0</v>
      </c>
      <c r="BN205" s="290">
        <v>134</v>
      </c>
      <c r="BO205" s="290">
        <v>-64</v>
      </c>
      <c r="BP205" s="290">
        <v>602</v>
      </c>
      <c r="BQ205" s="290">
        <v>1203</v>
      </c>
      <c r="BR205" s="290">
        <v>911</v>
      </c>
      <c r="BS205" s="290">
        <v>100</v>
      </c>
      <c r="BT205" s="290">
        <v>0</v>
      </c>
      <c r="BU205" s="290">
        <v>0</v>
      </c>
      <c r="BV205" s="290">
        <v>123</v>
      </c>
      <c r="BW205" s="290">
        <v>0</v>
      </c>
      <c r="BX205" s="290">
        <v>0</v>
      </c>
      <c r="BY205" s="290">
        <v>738</v>
      </c>
      <c r="BZ205" s="290">
        <v>1500</v>
      </c>
      <c r="CA205" s="290">
        <v>2220.1999999999998</v>
      </c>
      <c r="CB205" s="290">
        <v>65</v>
      </c>
      <c r="CC205" s="290">
        <v>0</v>
      </c>
      <c r="CD205" s="290">
        <v>159</v>
      </c>
      <c r="CE205" s="290">
        <v>175956.23499999999</v>
      </c>
      <c r="CF205" s="290">
        <v>0</v>
      </c>
      <c r="CG205" s="290">
        <v>0</v>
      </c>
      <c r="CH205" s="290">
        <v>0</v>
      </c>
      <c r="CI205" s="290">
        <v>0</v>
      </c>
      <c r="CJ205" s="290"/>
    </row>
    <row r="206" spans="1:88" ht="13">
      <c r="A206" s="1">
        <v>3817</v>
      </c>
      <c r="B206" s="2" t="s">
        <v>1627</v>
      </c>
      <c r="C206" s="289">
        <v>10461</v>
      </c>
      <c r="D206" s="290">
        <v>181</v>
      </c>
      <c r="E206" s="290">
        <v>432</v>
      </c>
      <c r="F206" s="290">
        <v>1238</v>
      </c>
      <c r="G206" s="290">
        <v>961</v>
      </c>
      <c r="H206" s="290">
        <v>5705</v>
      </c>
      <c r="I206" s="290">
        <v>1308</v>
      </c>
      <c r="J206" s="290">
        <v>425</v>
      </c>
      <c r="K206" s="290">
        <v>84</v>
      </c>
      <c r="L206" s="290">
        <v>84</v>
      </c>
      <c r="M206" s="290">
        <v>791</v>
      </c>
      <c r="N206" s="290">
        <v>316</v>
      </c>
      <c r="O206" s="290">
        <v>108</v>
      </c>
      <c r="P206" s="624">
        <v>40919.037333330001</v>
      </c>
      <c r="Q206" s="624">
        <v>23943.99733333</v>
      </c>
      <c r="R206" s="1039">
        <v>40</v>
      </c>
      <c r="S206" s="290">
        <v>1957</v>
      </c>
      <c r="T206" s="290">
        <v>868</v>
      </c>
      <c r="U206" s="958">
        <v>5.9461190762783453E-3</v>
      </c>
      <c r="V206" s="290">
        <v>-1748.3061133599999</v>
      </c>
      <c r="W206" s="765">
        <v>0.60872018000000006</v>
      </c>
      <c r="X206" s="290">
        <v>5000</v>
      </c>
      <c r="Y206" s="290"/>
      <c r="Z206" s="290">
        <v>281774.505</v>
      </c>
      <c r="AA206" s="290">
        <v>0</v>
      </c>
      <c r="AB206" s="290">
        <v>310</v>
      </c>
      <c r="AC206" s="290">
        <v>2171</v>
      </c>
      <c r="AD206" s="290">
        <v>201</v>
      </c>
      <c r="AE206" s="290">
        <v>0</v>
      </c>
      <c r="AF206" s="290">
        <v>19214</v>
      </c>
      <c r="AG206" s="290">
        <v>10334</v>
      </c>
      <c r="AH206" s="290">
        <v>1745</v>
      </c>
      <c r="AI206" s="290">
        <v>5000</v>
      </c>
      <c r="AJ206" s="290">
        <v>0</v>
      </c>
      <c r="AK206" s="290">
        <v>0</v>
      </c>
      <c r="AL206" s="290">
        <v>0</v>
      </c>
      <c r="AM206" s="957">
        <v>0.27074505999999998</v>
      </c>
      <c r="AN206" s="290">
        <v>0</v>
      </c>
      <c r="AO206" s="290">
        <v>-2719.1611018600001</v>
      </c>
      <c r="AP206" s="290">
        <v>0</v>
      </c>
      <c r="AQ206" s="290">
        <v>0</v>
      </c>
      <c r="AR206" s="290">
        <v>-390.27892020000002</v>
      </c>
      <c r="AS206" s="290">
        <v>1821.0730000000001</v>
      </c>
      <c r="AT206" s="290">
        <v>474</v>
      </c>
      <c r="AU206" s="290">
        <v>96</v>
      </c>
      <c r="AV206" s="766">
        <v>315870</v>
      </c>
      <c r="AW206" s="290">
        <v>1000</v>
      </c>
      <c r="AX206" s="766">
        <v>57.25</v>
      </c>
      <c r="AY206" s="290">
        <v>2702</v>
      </c>
      <c r="AZ206" s="290">
        <v>649</v>
      </c>
      <c r="BA206" s="290">
        <v>211</v>
      </c>
      <c r="BB206" s="290">
        <v>0</v>
      </c>
      <c r="BC206" s="290">
        <v>35729.073299989999</v>
      </c>
      <c r="BD206" s="290"/>
      <c r="BE206" s="290">
        <v>303486.74313362001</v>
      </c>
      <c r="BF206" s="290">
        <v>0</v>
      </c>
      <c r="BG206" s="290">
        <v>8459</v>
      </c>
      <c r="BH206" s="290">
        <v>1000</v>
      </c>
      <c r="BI206" s="290">
        <v>23331</v>
      </c>
      <c r="BJ206" s="290">
        <v>125</v>
      </c>
      <c r="BK206" s="290">
        <v>386</v>
      </c>
      <c r="BL206" s="290">
        <v>0</v>
      </c>
      <c r="BM206" s="290">
        <v>4075</v>
      </c>
      <c r="BN206" s="290">
        <v>241</v>
      </c>
      <c r="BO206" s="290">
        <v>-95</v>
      </c>
      <c r="BP206" s="290">
        <v>970</v>
      </c>
      <c r="BQ206" s="290">
        <v>1940</v>
      </c>
      <c r="BR206" s="290">
        <v>1469</v>
      </c>
      <c r="BS206" s="290">
        <v>151</v>
      </c>
      <c r="BT206" s="290">
        <v>0</v>
      </c>
      <c r="BU206" s="290">
        <v>0</v>
      </c>
      <c r="BV206" s="290">
        <v>222</v>
      </c>
      <c r="BW206" s="290">
        <v>0</v>
      </c>
      <c r="BX206" s="290">
        <v>0</v>
      </c>
      <c r="BY206" s="290">
        <v>1096</v>
      </c>
      <c r="BZ206" s="290">
        <v>2000</v>
      </c>
      <c r="CA206" s="290">
        <v>5856</v>
      </c>
      <c r="CB206" s="290">
        <v>97</v>
      </c>
      <c r="CC206" s="290">
        <v>1</v>
      </c>
      <c r="CD206" s="290">
        <v>236</v>
      </c>
      <c r="CE206" s="290">
        <v>281774.505</v>
      </c>
      <c r="CF206" s="290">
        <v>0</v>
      </c>
      <c r="CG206" s="290">
        <v>0</v>
      </c>
      <c r="CH206" s="290">
        <v>0</v>
      </c>
      <c r="CI206" s="290">
        <v>0</v>
      </c>
      <c r="CJ206" s="290"/>
    </row>
    <row r="207" spans="1:88" ht="13">
      <c r="A207" s="1">
        <v>3818</v>
      </c>
      <c r="B207" s="2" t="s">
        <v>920</v>
      </c>
      <c r="C207" s="289">
        <v>5604</v>
      </c>
      <c r="D207" s="290">
        <v>69</v>
      </c>
      <c r="E207" s="290">
        <v>146</v>
      </c>
      <c r="F207" s="290">
        <v>597</v>
      </c>
      <c r="G207" s="290">
        <v>513</v>
      </c>
      <c r="H207" s="290">
        <v>3061</v>
      </c>
      <c r="I207" s="290">
        <v>930</v>
      </c>
      <c r="J207" s="290">
        <v>245</v>
      </c>
      <c r="K207" s="290">
        <v>91</v>
      </c>
      <c r="L207" s="290">
        <v>50</v>
      </c>
      <c r="M207" s="290">
        <v>587</v>
      </c>
      <c r="N207" s="290">
        <v>110</v>
      </c>
      <c r="O207" s="290">
        <v>71</v>
      </c>
      <c r="P207" s="624">
        <v>34485.203999999998</v>
      </c>
      <c r="Q207" s="624">
        <v>14847.582</v>
      </c>
      <c r="R207" s="1039">
        <v>22</v>
      </c>
      <c r="S207" s="290">
        <v>0</v>
      </c>
      <c r="T207" s="290">
        <v>601</v>
      </c>
      <c r="U207" s="958">
        <v>2.28802126140395E-3</v>
      </c>
      <c r="V207" s="290">
        <v>-2339.4914460099999</v>
      </c>
      <c r="W207" s="765">
        <v>0.80736604999999995</v>
      </c>
      <c r="X207" s="290">
        <v>0</v>
      </c>
      <c r="Y207" s="290"/>
      <c r="Z207" s="290">
        <v>223349.69099999999</v>
      </c>
      <c r="AA207" s="290">
        <v>0</v>
      </c>
      <c r="AB207" s="290">
        <v>159</v>
      </c>
      <c r="AC207" s="290">
        <v>268</v>
      </c>
      <c r="AD207" s="290">
        <v>125</v>
      </c>
      <c r="AE207" s="290">
        <v>0</v>
      </c>
      <c r="AF207" s="290">
        <v>0</v>
      </c>
      <c r="AG207" s="290">
        <v>5652</v>
      </c>
      <c r="AH207" s="290">
        <v>842</v>
      </c>
      <c r="AI207" s="290">
        <v>0</v>
      </c>
      <c r="AJ207" s="290">
        <v>0</v>
      </c>
      <c r="AK207" s="290">
        <v>0</v>
      </c>
      <c r="AL207" s="290">
        <v>0</v>
      </c>
      <c r="AM207" s="957">
        <v>0.10176352</v>
      </c>
      <c r="AN207" s="290">
        <v>8039</v>
      </c>
      <c r="AO207" s="290">
        <v>-1524.68830428</v>
      </c>
      <c r="AP207" s="290">
        <v>0</v>
      </c>
      <c r="AQ207" s="290">
        <v>0</v>
      </c>
      <c r="AR207" s="290">
        <v>18148.555137300002</v>
      </c>
      <c r="AS207" s="290">
        <v>453.66050000000001</v>
      </c>
      <c r="AT207" s="290">
        <v>286</v>
      </c>
      <c r="AU207" s="290">
        <v>43</v>
      </c>
      <c r="AV207" s="766">
        <v>194008</v>
      </c>
      <c r="AW207" s="290">
        <v>0</v>
      </c>
      <c r="AX207" s="766">
        <v>32.208300000000001</v>
      </c>
      <c r="AY207" s="290">
        <v>999</v>
      </c>
      <c r="AZ207" s="290">
        <v>268</v>
      </c>
      <c r="BA207" s="290">
        <v>136</v>
      </c>
      <c r="BB207" s="290">
        <v>0</v>
      </c>
      <c r="BC207" s="290">
        <v>8316.0851644699997</v>
      </c>
      <c r="BD207" s="290"/>
      <c r="BE207" s="290">
        <v>164411.51721327999</v>
      </c>
      <c r="BF207" s="290">
        <v>0</v>
      </c>
      <c r="BG207" s="290">
        <v>4627</v>
      </c>
      <c r="BH207" s="290">
        <v>1000</v>
      </c>
      <c r="BI207" s="290">
        <v>1235</v>
      </c>
      <c r="BJ207" s="290">
        <v>73</v>
      </c>
      <c r="BK207" s="290">
        <v>139</v>
      </c>
      <c r="BL207" s="290">
        <v>0</v>
      </c>
      <c r="BM207" s="290">
        <v>0</v>
      </c>
      <c r="BN207" s="290">
        <v>87</v>
      </c>
      <c r="BO207" s="290">
        <v>-51</v>
      </c>
      <c r="BP207" s="290">
        <v>520</v>
      </c>
      <c r="BQ207" s="290">
        <v>1039</v>
      </c>
      <c r="BR207" s="290">
        <v>787</v>
      </c>
      <c r="BS207" s="290">
        <v>93</v>
      </c>
      <c r="BT207" s="290">
        <v>0</v>
      </c>
      <c r="BU207" s="290">
        <v>0</v>
      </c>
      <c r="BV207" s="290">
        <v>80</v>
      </c>
      <c r="BW207" s="290">
        <v>0</v>
      </c>
      <c r="BX207" s="290">
        <v>0</v>
      </c>
      <c r="BY207" s="290">
        <v>696</v>
      </c>
      <c r="BZ207" s="290">
        <v>0</v>
      </c>
      <c r="CA207" s="290">
        <v>1250.578</v>
      </c>
      <c r="CB207" s="290">
        <v>59</v>
      </c>
      <c r="CC207" s="290">
        <v>0</v>
      </c>
      <c r="CD207" s="290">
        <v>125</v>
      </c>
      <c r="CE207" s="290">
        <v>223349.69099999999</v>
      </c>
      <c r="CF207" s="290">
        <v>0</v>
      </c>
      <c r="CG207" s="290">
        <v>0</v>
      </c>
      <c r="CH207" s="290">
        <v>0</v>
      </c>
      <c r="CI207" s="290">
        <v>0</v>
      </c>
      <c r="CJ207" s="290"/>
    </row>
    <row r="208" spans="1:88" ht="13">
      <c r="A208" s="1">
        <v>3819</v>
      </c>
      <c r="B208" s="2" t="s">
        <v>921</v>
      </c>
      <c r="C208" s="289">
        <v>1561</v>
      </c>
      <c r="D208" s="290">
        <v>27</v>
      </c>
      <c r="E208" s="290">
        <v>61</v>
      </c>
      <c r="F208" s="290">
        <v>172</v>
      </c>
      <c r="G208" s="290">
        <v>133</v>
      </c>
      <c r="H208" s="290">
        <v>822</v>
      </c>
      <c r="I208" s="290">
        <v>240</v>
      </c>
      <c r="J208" s="290">
        <v>85</v>
      </c>
      <c r="K208" s="290">
        <v>26</v>
      </c>
      <c r="L208" s="290">
        <v>12</v>
      </c>
      <c r="M208" s="290">
        <v>173</v>
      </c>
      <c r="N208" s="290">
        <v>9</v>
      </c>
      <c r="O208" s="290">
        <v>23</v>
      </c>
      <c r="P208" s="624">
        <v>15967.92333333</v>
      </c>
      <c r="Q208" s="624">
        <v>6769.1523333300001</v>
      </c>
      <c r="R208" s="1039">
        <v>6</v>
      </c>
      <c r="S208" s="290">
        <v>0</v>
      </c>
      <c r="T208" s="290">
        <v>107</v>
      </c>
      <c r="U208" s="958">
        <v>2.0976688223989419E-3</v>
      </c>
      <c r="V208" s="290">
        <v>-4275.6758779399997</v>
      </c>
      <c r="W208" s="765">
        <v>0.88579322000000005</v>
      </c>
      <c r="X208" s="290">
        <v>0</v>
      </c>
      <c r="Y208" s="290"/>
      <c r="Z208" s="290">
        <v>54653.358999999997</v>
      </c>
      <c r="AA208" s="290">
        <v>0</v>
      </c>
      <c r="AB208" s="290">
        <v>40</v>
      </c>
      <c r="AC208" s="290">
        <v>88</v>
      </c>
      <c r="AD208" s="290">
        <v>48</v>
      </c>
      <c r="AE208" s="290">
        <v>0</v>
      </c>
      <c r="AF208" s="290">
        <v>0</v>
      </c>
      <c r="AG208" s="290">
        <v>1566</v>
      </c>
      <c r="AH208" s="290">
        <v>257</v>
      </c>
      <c r="AI208" s="290">
        <v>0</v>
      </c>
      <c r="AJ208" s="290">
        <v>0</v>
      </c>
      <c r="AK208" s="290">
        <v>0</v>
      </c>
      <c r="AL208" s="290">
        <v>0</v>
      </c>
      <c r="AM208" s="957">
        <v>1.13162E-2</v>
      </c>
      <c r="AN208" s="290">
        <v>0</v>
      </c>
      <c r="AO208" s="290">
        <v>-502.70081169999997</v>
      </c>
      <c r="AP208" s="290">
        <v>0</v>
      </c>
      <c r="AQ208" s="290">
        <v>0</v>
      </c>
      <c r="AR208" s="290">
        <v>8052.34488117</v>
      </c>
      <c r="AS208" s="290">
        <v>146.14750000000001</v>
      </c>
      <c r="AT208" s="290">
        <v>50</v>
      </c>
      <c r="AU208" s="290">
        <v>8</v>
      </c>
      <c r="AV208" s="766">
        <v>73042</v>
      </c>
      <c r="AW208" s="290">
        <v>0</v>
      </c>
      <c r="AX208" s="766">
        <v>9.3333499999999994</v>
      </c>
      <c r="AY208" s="290">
        <v>256</v>
      </c>
      <c r="AZ208" s="290">
        <v>70</v>
      </c>
      <c r="BA208" s="290">
        <v>15</v>
      </c>
      <c r="BB208" s="290">
        <v>3620</v>
      </c>
      <c r="BC208" s="290">
        <v>2865.9466559000002</v>
      </c>
      <c r="BD208" s="290"/>
      <c r="BE208" s="290">
        <v>61046.98356773</v>
      </c>
      <c r="BF208" s="290">
        <v>0</v>
      </c>
      <c r="BG208" s="290">
        <v>1282</v>
      </c>
      <c r="BH208" s="290">
        <v>500</v>
      </c>
      <c r="BI208" s="290">
        <v>393</v>
      </c>
      <c r="BJ208" s="290">
        <v>19</v>
      </c>
      <c r="BK208" s="290">
        <v>53</v>
      </c>
      <c r="BL208" s="290">
        <v>0</v>
      </c>
      <c r="BM208" s="290">
        <v>0</v>
      </c>
      <c r="BN208" s="290">
        <v>33</v>
      </c>
      <c r="BO208" s="290">
        <v>-10</v>
      </c>
      <c r="BP208" s="290">
        <v>145</v>
      </c>
      <c r="BQ208" s="290">
        <v>290</v>
      </c>
      <c r="BR208" s="290">
        <v>219</v>
      </c>
      <c r="BS208" s="290">
        <v>36</v>
      </c>
      <c r="BT208" s="290">
        <v>0</v>
      </c>
      <c r="BU208" s="290">
        <v>0</v>
      </c>
      <c r="BV208" s="290">
        <v>31</v>
      </c>
      <c r="BW208" s="290">
        <v>0</v>
      </c>
      <c r="BX208" s="290">
        <v>0</v>
      </c>
      <c r="BY208" s="290">
        <v>192</v>
      </c>
      <c r="BZ208" s="290">
        <v>500</v>
      </c>
      <c r="CA208" s="290">
        <v>1154.8</v>
      </c>
      <c r="CB208" s="290">
        <v>26</v>
      </c>
      <c r="CC208" s="290">
        <v>0</v>
      </c>
      <c r="CD208" s="290">
        <v>24</v>
      </c>
      <c r="CE208" s="290">
        <v>54653.358999999997</v>
      </c>
      <c r="CF208" s="290">
        <v>0</v>
      </c>
      <c r="CG208" s="290">
        <v>0</v>
      </c>
      <c r="CH208" s="290">
        <v>0</v>
      </c>
      <c r="CI208" s="290">
        <v>0</v>
      </c>
      <c r="CJ208" s="290"/>
    </row>
    <row r="209" spans="1:88" ht="13">
      <c r="A209" s="1">
        <v>3820</v>
      </c>
      <c r="B209" s="2" t="s">
        <v>922</v>
      </c>
      <c r="C209" s="289">
        <v>2900</v>
      </c>
      <c r="D209" s="290">
        <v>42</v>
      </c>
      <c r="E209" s="290">
        <v>97</v>
      </c>
      <c r="F209" s="290">
        <v>355</v>
      </c>
      <c r="G209" s="290">
        <v>244</v>
      </c>
      <c r="H209" s="290">
        <v>1534</v>
      </c>
      <c r="I209" s="290">
        <v>468</v>
      </c>
      <c r="J209" s="290">
        <v>134</v>
      </c>
      <c r="K209" s="290">
        <v>28</v>
      </c>
      <c r="L209" s="290">
        <v>28</v>
      </c>
      <c r="M209" s="290">
        <v>290</v>
      </c>
      <c r="N209" s="290">
        <v>32</v>
      </c>
      <c r="O209" s="290">
        <v>38</v>
      </c>
      <c r="P209" s="624">
        <v>23531.446666669999</v>
      </c>
      <c r="Q209" s="624">
        <v>13346.22766667</v>
      </c>
      <c r="R209" s="1039">
        <v>11</v>
      </c>
      <c r="S209" s="290">
        <v>0</v>
      </c>
      <c r="T209" s="290">
        <v>254</v>
      </c>
      <c r="U209" s="958">
        <v>1.8738302875070749E-3</v>
      </c>
      <c r="V209" s="290">
        <v>1687.2608701900001</v>
      </c>
      <c r="W209" s="765">
        <v>0.83536323999999995</v>
      </c>
      <c r="X209" s="290">
        <v>1200</v>
      </c>
      <c r="Y209" s="290"/>
      <c r="Z209" s="290">
        <v>91555.714999999997</v>
      </c>
      <c r="AA209" s="290">
        <v>0</v>
      </c>
      <c r="AB209" s="290">
        <v>65</v>
      </c>
      <c r="AC209" s="290">
        <v>166</v>
      </c>
      <c r="AD209" s="290">
        <v>74</v>
      </c>
      <c r="AE209" s="290">
        <v>0</v>
      </c>
      <c r="AF209" s="290">
        <v>0</v>
      </c>
      <c r="AG209" s="290">
        <v>2902</v>
      </c>
      <c r="AH209" s="290">
        <v>485</v>
      </c>
      <c r="AI209" s="290">
        <v>0</v>
      </c>
      <c r="AJ209" s="290">
        <v>0</v>
      </c>
      <c r="AK209" s="290">
        <v>0</v>
      </c>
      <c r="AL209" s="290">
        <v>0</v>
      </c>
      <c r="AM209" s="957">
        <v>3.1562689999999997E-2</v>
      </c>
      <c r="AN209" s="290">
        <v>0</v>
      </c>
      <c r="AO209" s="290">
        <v>-844.53553425999996</v>
      </c>
      <c r="AP209" s="290">
        <v>0</v>
      </c>
      <c r="AQ209" s="290">
        <v>0</v>
      </c>
      <c r="AR209" s="290">
        <v>828.44345131</v>
      </c>
      <c r="AS209" s="290">
        <v>262.03199999999998</v>
      </c>
      <c r="AT209" s="290">
        <v>125</v>
      </c>
      <c r="AU209" s="290">
        <v>18</v>
      </c>
      <c r="AV209" s="766">
        <v>111472</v>
      </c>
      <c r="AW209" s="290">
        <v>0</v>
      </c>
      <c r="AX209" s="766">
        <v>14.458349999999999</v>
      </c>
      <c r="AY209" s="290">
        <v>606</v>
      </c>
      <c r="AZ209" s="290">
        <v>117</v>
      </c>
      <c r="BA209" s="290">
        <v>58</v>
      </c>
      <c r="BB209" s="290">
        <v>6034</v>
      </c>
      <c r="BC209" s="290">
        <v>4703.4449490799998</v>
      </c>
      <c r="BD209" s="290"/>
      <c r="BE209" s="290">
        <v>104090.38333016</v>
      </c>
      <c r="BF209" s="290">
        <v>0</v>
      </c>
      <c r="BG209" s="290">
        <v>2376</v>
      </c>
      <c r="BH209" s="290">
        <v>500</v>
      </c>
      <c r="BI209" s="290">
        <v>725</v>
      </c>
      <c r="BJ209" s="290">
        <v>34</v>
      </c>
      <c r="BK209" s="290">
        <v>87</v>
      </c>
      <c r="BL209" s="290">
        <v>0</v>
      </c>
      <c r="BM209" s="290">
        <v>0</v>
      </c>
      <c r="BN209" s="290">
        <v>55</v>
      </c>
      <c r="BO209" s="290">
        <v>-21</v>
      </c>
      <c r="BP209" s="290">
        <v>269</v>
      </c>
      <c r="BQ209" s="290">
        <v>538</v>
      </c>
      <c r="BR209" s="290">
        <v>407</v>
      </c>
      <c r="BS209" s="290">
        <v>55</v>
      </c>
      <c r="BT209" s="290">
        <v>0</v>
      </c>
      <c r="BU209" s="290">
        <v>0</v>
      </c>
      <c r="BV209" s="290">
        <v>50</v>
      </c>
      <c r="BW209" s="290">
        <v>0</v>
      </c>
      <c r="BX209" s="290">
        <v>0</v>
      </c>
      <c r="BY209" s="290">
        <v>356</v>
      </c>
      <c r="BZ209" s="290">
        <v>0</v>
      </c>
      <c r="CA209" s="290">
        <v>161.31200000000001</v>
      </c>
      <c r="CB209" s="290">
        <v>36</v>
      </c>
      <c r="CC209" s="290">
        <v>0</v>
      </c>
      <c r="CD209" s="290">
        <v>52</v>
      </c>
      <c r="CE209" s="290">
        <v>91555.714999999997</v>
      </c>
      <c r="CF209" s="290">
        <v>0</v>
      </c>
      <c r="CG209" s="290">
        <v>0</v>
      </c>
      <c r="CH209" s="290">
        <v>0</v>
      </c>
      <c r="CI209" s="290">
        <v>0</v>
      </c>
      <c r="CJ209" s="290"/>
    </row>
    <row r="210" spans="1:88" ht="13">
      <c r="A210" s="1">
        <v>3821</v>
      </c>
      <c r="B210" s="2" t="s">
        <v>923</v>
      </c>
      <c r="C210" s="289">
        <v>2430</v>
      </c>
      <c r="D210" s="290">
        <v>31</v>
      </c>
      <c r="E210" s="290">
        <v>76</v>
      </c>
      <c r="F210" s="290">
        <v>233</v>
      </c>
      <c r="G210" s="290">
        <v>190</v>
      </c>
      <c r="H210" s="290">
        <v>1382</v>
      </c>
      <c r="I210" s="290">
        <v>362</v>
      </c>
      <c r="J210" s="290">
        <v>135</v>
      </c>
      <c r="K210" s="290">
        <v>27</v>
      </c>
      <c r="L210" s="290">
        <v>22</v>
      </c>
      <c r="M210" s="290">
        <v>220</v>
      </c>
      <c r="N210" s="290">
        <v>13</v>
      </c>
      <c r="O210" s="290">
        <v>9</v>
      </c>
      <c r="P210" s="624">
        <v>18595.831333329999</v>
      </c>
      <c r="Q210" s="624">
        <v>9892.1493333300004</v>
      </c>
      <c r="R210" s="1039">
        <v>21</v>
      </c>
      <c r="S210" s="290">
        <v>0</v>
      </c>
      <c r="T210" s="290">
        <v>254</v>
      </c>
      <c r="U210" s="958">
        <v>1.8032165213805568E-3</v>
      </c>
      <c r="V210" s="290">
        <v>1441.0532520199999</v>
      </c>
      <c r="W210" s="765">
        <v>0.87777735000000001</v>
      </c>
      <c r="X210" s="290">
        <v>800</v>
      </c>
      <c r="Y210" s="290"/>
      <c r="Z210" s="290">
        <v>75949.521999999997</v>
      </c>
      <c r="AA210" s="290">
        <v>0</v>
      </c>
      <c r="AB210" s="290">
        <v>60</v>
      </c>
      <c r="AC210" s="290">
        <v>112</v>
      </c>
      <c r="AD210" s="290">
        <v>63</v>
      </c>
      <c r="AE210" s="290">
        <v>0</v>
      </c>
      <c r="AF210" s="290">
        <v>0</v>
      </c>
      <c r="AG210" s="290">
        <v>2436</v>
      </c>
      <c r="AH210" s="290">
        <v>334</v>
      </c>
      <c r="AI210" s="290">
        <v>1700</v>
      </c>
      <c r="AJ210" s="290">
        <v>0</v>
      </c>
      <c r="AK210" s="290">
        <v>0</v>
      </c>
      <c r="AL210" s="290">
        <v>0</v>
      </c>
      <c r="AM210" s="957">
        <v>2.0975480000000001E-2</v>
      </c>
      <c r="AN210" s="290">
        <v>0</v>
      </c>
      <c r="AO210" s="290">
        <v>-721.29965175999996</v>
      </c>
      <c r="AP210" s="290">
        <v>0</v>
      </c>
      <c r="AQ210" s="290">
        <v>0</v>
      </c>
      <c r="AR210" s="290">
        <v>-91.999172599999994</v>
      </c>
      <c r="AS210" s="290">
        <v>175.54249999999999</v>
      </c>
      <c r="AT210" s="290">
        <v>121</v>
      </c>
      <c r="AU210" s="290">
        <v>13</v>
      </c>
      <c r="AV210" s="766">
        <v>94086</v>
      </c>
      <c r="AW210" s="290">
        <v>0</v>
      </c>
      <c r="AX210" s="766">
        <v>12.958299999999999</v>
      </c>
      <c r="AY210" s="290">
        <v>545</v>
      </c>
      <c r="AZ210" s="290">
        <v>77</v>
      </c>
      <c r="BA210" s="290">
        <v>18</v>
      </c>
      <c r="BB210" s="290">
        <v>6034</v>
      </c>
      <c r="BC210" s="290">
        <v>3741.8762707000001</v>
      </c>
      <c r="BD210" s="290"/>
      <c r="BE210" s="290">
        <v>90789.047317499993</v>
      </c>
      <c r="BF210" s="290">
        <v>0</v>
      </c>
      <c r="BG210" s="290">
        <v>1994</v>
      </c>
      <c r="BH210" s="290">
        <v>500</v>
      </c>
      <c r="BI210" s="290">
        <v>509</v>
      </c>
      <c r="BJ210" s="290">
        <v>28</v>
      </c>
      <c r="BK210" s="290">
        <v>71</v>
      </c>
      <c r="BL210" s="290">
        <v>0</v>
      </c>
      <c r="BM210" s="290">
        <v>0</v>
      </c>
      <c r="BN210" s="290">
        <v>44</v>
      </c>
      <c r="BO210" s="290">
        <v>-19</v>
      </c>
      <c r="BP210" s="290">
        <v>225</v>
      </c>
      <c r="BQ210" s="290">
        <v>451</v>
      </c>
      <c r="BR210" s="290">
        <v>341</v>
      </c>
      <c r="BS210" s="290">
        <v>47</v>
      </c>
      <c r="BT210" s="290">
        <v>0</v>
      </c>
      <c r="BU210" s="290">
        <v>0</v>
      </c>
      <c r="BV210" s="290">
        <v>41</v>
      </c>
      <c r="BW210" s="290">
        <v>0</v>
      </c>
      <c r="BX210" s="290">
        <v>0</v>
      </c>
      <c r="BY210" s="290">
        <v>288</v>
      </c>
      <c r="BZ210" s="290">
        <v>0</v>
      </c>
      <c r="CA210" s="290">
        <v>137.773</v>
      </c>
      <c r="CB210" s="290">
        <v>33</v>
      </c>
      <c r="CC210" s="290">
        <v>0</v>
      </c>
      <c r="CD210" s="290">
        <v>46</v>
      </c>
      <c r="CE210" s="290">
        <v>75949.521999999997</v>
      </c>
      <c r="CF210" s="290">
        <v>0</v>
      </c>
      <c r="CG210" s="290">
        <v>0</v>
      </c>
      <c r="CH210" s="290">
        <v>0</v>
      </c>
      <c r="CI210" s="290">
        <v>0</v>
      </c>
      <c r="CJ210" s="290"/>
    </row>
    <row r="211" spans="1:88" ht="13">
      <c r="A211" s="1">
        <v>3822</v>
      </c>
      <c r="B211" s="2" t="s">
        <v>924</v>
      </c>
      <c r="C211" s="289">
        <v>1430</v>
      </c>
      <c r="D211" s="290">
        <v>29</v>
      </c>
      <c r="E211" s="290">
        <v>59</v>
      </c>
      <c r="F211" s="290">
        <v>189</v>
      </c>
      <c r="G211" s="290">
        <v>89</v>
      </c>
      <c r="H211" s="290">
        <v>776</v>
      </c>
      <c r="I211" s="290">
        <v>230</v>
      </c>
      <c r="J211" s="290">
        <v>57</v>
      </c>
      <c r="K211" s="290">
        <v>15</v>
      </c>
      <c r="L211" s="290">
        <v>11</v>
      </c>
      <c r="M211" s="290">
        <v>131</v>
      </c>
      <c r="N211" s="290">
        <v>1.5</v>
      </c>
      <c r="O211" s="290">
        <v>27</v>
      </c>
      <c r="P211" s="624">
        <v>15193.941000000001</v>
      </c>
      <c r="Q211" s="624">
        <v>10557.90833333</v>
      </c>
      <c r="R211" s="1039">
        <v>10</v>
      </c>
      <c r="S211" s="290">
        <v>0</v>
      </c>
      <c r="T211" s="290">
        <v>116</v>
      </c>
      <c r="U211" s="958">
        <v>9.5717698201724043E-4</v>
      </c>
      <c r="V211" s="290">
        <v>988.94747898000003</v>
      </c>
      <c r="W211" s="765">
        <v>1</v>
      </c>
      <c r="X211" s="290">
        <v>0</v>
      </c>
      <c r="Y211" s="290"/>
      <c r="Z211" s="290">
        <v>47756.73</v>
      </c>
      <c r="AA211" s="290">
        <v>0</v>
      </c>
      <c r="AB211" s="290">
        <v>40</v>
      </c>
      <c r="AC211" s="290">
        <v>98</v>
      </c>
      <c r="AD211" s="290">
        <v>48</v>
      </c>
      <c r="AE211" s="290">
        <v>0</v>
      </c>
      <c r="AF211" s="290">
        <v>0</v>
      </c>
      <c r="AG211" s="290">
        <v>1444</v>
      </c>
      <c r="AH211" s="290">
        <v>248</v>
      </c>
      <c r="AI211" s="290">
        <v>0</v>
      </c>
      <c r="AJ211" s="290">
        <v>0</v>
      </c>
      <c r="AK211" s="290">
        <v>0</v>
      </c>
      <c r="AL211" s="290">
        <v>0</v>
      </c>
      <c r="AM211" s="957">
        <v>3.4835629999999999E-2</v>
      </c>
      <c r="AN211" s="290">
        <v>0</v>
      </c>
      <c r="AO211" s="290">
        <v>-495.00424164999998</v>
      </c>
      <c r="AP211" s="290">
        <v>0</v>
      </c>
      <c r="AQ211" s="290">
        <v>0</v>
      </c>
      <c r="AR211" s="290">
        <v>-54.534813309999997</v>
      </c>
      <c r="AS211" s="290">
        <v>139.8655</v>
      </c>
      <c r="AT211" s="290">
        <v>83</v>
      </c>
      <c r="AU211" s="290">
        <v>11</v>
      </c>
      <c r="AV211" s="766">
        <v>72815</v>
      </c>
      <c r="AW211" s="290">
        <v>0</v>
      </c>
      <c r="AX211" s="766">
        <v>6.2916499999999997</v>
      </c>
      <c r="AY211" s="290">
        <v>288</v>
      </c>
      <c r="AZ211" s="290">
        <v>80</v>
      </c>
      <c r="BA211" s="290">
        <v>25</v>
      </c>
      <c r="BB211" s="290">
        <v>5432</v>
      </c>
      <c r="BC211" s="290">
        <v>2876.5996184999999</v>
      </c>
      <c r="BD211" s="290"/>
      <c r="BE211" s="290">
        <v>70279.256504250006</v>
      </c>
      <c r="BF211" s="290">
        <v>0</v>
      </c>
      <c r="BG211" s="290">
        <v>1182</v>
      </c>
      <c r="BH211" s="290">
        <v>500</v>
      </c>
      <c r="BI211" s="290">
        <v>394</v>
      </c>
      <c r="BJ211" s="290">
        <v>17</v>
      </c>
      <c r="BK211" s="290">
        <v>50</v>
      </c>
      <c r="BL211" s="290">
        <v>0</v>
      </c>
      <c r="BM211" s="290">
        <v>0</v>
      </c>
      <c r="BN211" s="290">
        <v>32</v>
      </c>
      <c r="BO211" s="290">
        <v>-11</v>
      </c>
      <c r="BP211" s="290">
        <v>133</v>
      </c>
      <c r="BQ211" s="290">
        <v>265</v>
      </c>
      <c r="BR211" s="290">
        <v>201</v>
      </c>
      <c r="BS211" s="290">
        <v>36</v>
      </c>
      <c r="BT211" s="290">
        <v>0</v>
      </c>
      <c r="BU211" s="290">
        <v>0</v>
      </c>
      <c r="BV211" s="290">
        <v>29</v>
      </c>
      <c r="BW211" s="290">
        <v>0</v>
      </c>
      <c r="BX211" s="290">
        <v>0</v>
      </c>
      <c r="BY211" s="290">
        <v>172</v>
      </c>
      <c r="BZ211" s="290">
        <v>0</v>
      </c>
      <c r="CA211" s="290">
        <v>94.549000000000007</v>
      </c>
      <c r="CB211" s="290">
        <v>26</v>
      </c>
      <c r="CC211" s="290">
        <v>0</v>
      </c>
      <c r="CD211" s="290">
        <v>26</v>
      </c>
      <c r="CE211" s="290">
        <v>47756.73</v>
      </c>
      <c r="CF211" s="290">
        <v>0</v>
      </c>
      <c r="CG211" s="290">
        <v>0</v>
      </c>
      <c r="CH211" s="290">
        <v>0</v>
      </c>
      <c r="CI211" s="290">
        <v>0</v>
      </c>
      <c r="CJ211" s="290"/>
    </row>
    <row r="212" spans="1:88" ht="13">
      <c r="A212" s="1">
        <v>3823</v>
      </c>
      <c r="B212" s="2" t="s">
        <v>925</v>
      </c>
      <c r="C212" s="289">
        <v>1228</v>
      </c>
      <c r="D212" s="290">
        <v>22</v>
      </c>
      <c r="E212" s="290">
        <v>32</v>
      </c>
      <c r="F212" s="290">
        <v>161</v>
      </c>
      <c r="G212" s="290">
        <v>102</v>
      </c>
      <c r="H212" s="290">
        <v>691</v>
      </c>
      <c r="I212" s="290">
        <v>188</v>
      </c>
      <c r="J212" s="290">
        <v>57</v>
      </c>
      <c r="K212" s="290">
        <v>16</v>
      </c>
      <c r="L212" s="290">
        <v>10</v>
      </c>
      <c r="M212" s="290">
        <v>132</v>
      </c>
      <c r="N212" s="290">
        <v>12</v>
      </c>
      <c r="O212" s="290">
        <v>24</v>
      </c>
      <c r="P212" s="624">
        <v>9014.6776666700007</v>
      </c>
      <c r="Q212" s="624">
        <v>6757.3583333300003</v>
      </c>
      <c r="R212" s="1039">
        <v>6</v>
      </c>
      <c r="S212" s="290">
        <v>0</v>
      </c>
      <c r="T212" s="290">
        <v>125</v>
      </c>
      <c r="U212" s="958">
        <v>1.5069047757101793E-3</v>
      </c>
      <c r="V212" s="290">
        <v>857.70640692999996</v>
      </c>
      <c r="W212" s="765">
        <v>1</v>
      </c>
      <c r="X212" s="290">
        <v>0</v>
      </c>
      <c r="Y212" s="290"/>
      <c r="Z212" s="290">
        <v>39973.891000000003</v>
      </c>
      <c r="AA212" s="290">
        <v>0</v>
      </c>
      <c r="AB212" s="290">
        <v>26</v>
      </c>
      <c r="AC212" s="290">
        <v>84</v>
      </c>
      <c r="AD212" s="290">
        <v>42</v>
      </c>
      <c r="AE212" s="290">
        <v>0</v>
      </c>
      <c r="AF212" s="290">
        <v>0</v>
      </c>
      <c r="AG212" s="290">
        <v>1269</v>
      </c>
      <c r="AH212" s="290">
        <v>209</v>
      </c>
      <c r="AI212" s="290">
        <v>0</v>
      </c>
      <c r="AJ212" s="290">
        <v>0</v>
      </c>
      <c r="AK212" s="290">
        <v>0</v>
      </c>
      <c r="AL212" s="290">
        <v>0</v>
      </c>
      <c r="AM212" s="957">
        <v>2.300031E-2</v>
      </c>
      <c r="AN212" s="290">
        <v>0</v>
      </c>
      <c r="AO212" s="290">
        <v>-429.31330384</v>
      </c>
      <c r="AP212" s="290">
        <v>0</v>
      </c>
      <c r="AQ212" s="290">
        <v>0</v>
      </c>
      <c r="AR212" s="290">
        <v>-47.925677350000001</v>
      </c>
      <c r="AS212" s="290">
        <v>140.10400000000001</v>
      </c>
      <c r="AT212" s="290">
        <v>51</v>
      </c>
      <c r="AU212" s="290">
        <v>9</v>
      </c>
      <c r="AV212" s="766">
        <v>63985</v>
      </c>
      <c r="AW212" s="290">
        <v>0</v>
      </c>
      <c r="AX212" s="766">
        <v>10.666650000000001</v>
      </c>
      <c r="AY212" s="290">
        <v>278</v>
      </c>
      <c r="AZ212" s="290">
        <v>83</v>
      </c>
      <c r="BA212" s="290">
        <v>31</v>
      </c>
      <c r="BB212" s="290">
        <v>6034</v>
      </c>
      <c r="BC212" s="290">
        <v>2398.9350292600002</v>
      </c>
      <c r="BD212" s="290"/>
      <c r="BE212" s="290">
        <v>61744.010558670001</v>
      </c>
      <c r="BF212" s="290">
        <v>0</v>
      </c>
      <c r="BG212" s="290">
        <v>1039</v>
      </c>
      <c r="BH212" s="290">
        <v>500</v>
      </c>
      <c r="BI212" s="290">
        <v>335</v>
      </c>
      <c r="BJ212" s="290">
        <v>15</v>
      </c>
      <c r="BK212" s="290">
        <v>34</v>
      </c>
      <c r="BL212" s="290">
        <v>0</v>
      </c>
      <c r="BM212" s="290">
        <v>0</v>
      </c>
      <c r="BN212" s="290">
        <v>21</v>
      </c>
      <c r="BO212" s="290">
        <v>-10</v>
      </c>
      <c r="BP212" s="290">
        <v>114</v>
      </c>
      <c r="BQ212" s="290">
        <v>228</v>
      </c>
      <c r="BR212" s="290">
        <v>172</v>
      </c>
      <c r="BS212" s="290">
        <v>32</v>
      </c>
      <c r="BT212" s="290">
        <v>0</v>
      </c>
      <c r="BU212" s="290">
        <v>0</v>
      </c>
      <c r="BV212" s="290">
        <v>19</v>
      </c>
      <c r="BW212" s="290">
        <v>0</v>
      </c>
      <c r="BX212" s="290">
        <v>0</v>
      </c>
      <c r="BY212" s="290">
        <v>147</v>
      </c>
      <c r="BZ212" s="290">
        <v>0</v>
      </c>
      <c r="CA212" s="290">
        <v>82.001999999999995</v>
      </c>
      <c r="CB212" s="290">
        <v>25</v>
      </c>
      <c r="CC212" s="290">
        <v>0</v>
      </c>
      <c r="CD212" s="290">
        <v>25</v>
      </c>
      <c r="CE212" s="290">
        <v>39973.891000000003</v>
      </c>
      <c r="CF212" s="290">
        <v>0</v>
      </c>
      <c r="CG212" s="290">
        <v>0</v>
      </c>
      <c r="CH212" s="290">
        <v>0</v>
      </c>
      <c r="CI212" s="290">
        <v>0</v>
      </c>
      <c r="CJ212" s="290"/>
    </row>
    <row r="213" spans="1:88" ht="13">
      <c r="A213" s="1">
        <v>3824</v>
      </c>
      <c r="B213" s="2" t="s">
        <v>926</v>
      </c>
      <c r="C213" s="289">
        <v>2164</v>
      </c>
      <c r="D213" s="290">
        <v>24</v>
      </c>
      <c r="E213" s="290">
        <v>72</v>
      </c>
      <c r="F213" s="290">
        <v>251</v>
      </c>
      <c r="G213" s="290">
        <v>188</v>
      </c>
      <c r="H213" s="290">
        <v>1188</v>
      </c>
      <c r="I213" s="290">
        <v>303</v>
      </c>
      <c r="J213" s="290">
        <v>123</v>
      </c>
      <c r="K213" s="290">
        <v>28</v>
      </c>
      <c r="L213" s="290">
        <v>19</v>
      </c>
      <c r="M213" s="290">
        <v>226</v>
      </c>
      <c r="N213" s="290">
        <v>12</v>
      </c>
      <c r="O213" s="290">
        <v>34</v>
      </c>
      <c r="P213" s="624">
        <v>21323.962</v>
      </c>
      <c r="Q213" s="624">
        <v>8928.0593333300003</v>
      </c>
      <c r="R213" s="1039">
        <v>8</v>
      </c>
      <c r="S213" s="290">
        <v>0</v>
      </c>
      <c r="T213" s="290">
        <v>221</v>
      </c>
      <c r="U213" s="958">
        <v>1.9849425316619692E-3</v>
      </c>
      <c r="V213" s="290">
        <v>1320.83490353</v>
      </c>
      <c r="W213" s="765">
        <v>0.98523289000000003</v>
      </c>
      <c r="X213" s="290">
        <v>0</v>
      </c>
      <c r="Y213" s="290"/>
      <c r="Z213" s="290">
        <v>94526.759000000005</v>
      </c>
      <c r="AA213" s="290">
        <v>0</v>
      </c>
      <c r="AB213" s="290">
        <v>41</v>
      </c>
      <c r="AC213" s="290">
        <v>124</v>
      </c>
      <c r="AD213" s="290">
        <v>61</v>
      </c>
      <c r="AE213" s="290">
        <v>0</v>
      </c>
      <c r="AF213" s="290">
        <v>0</v>
      </c>
      <c r="AG213" s="290">
        <v>2177</v>
      </c>
      <c r="AH213" s="290">
        <v>335</v>
      </c>
      <c r="AI213" s="290">
        <v>70</v>
      </c>
      <c r="AJ213" s="290">
        <v>0</v>
      </c>
      <c r="AK213" s="290">
        <v>0</v>
      </c>
      <c r="AL213" s="290">
        <v>0</v>
      </c>
      <c r="AM213" s="957">
        <v>2.098092E-2</v>
      </c>
      <c r="AN213" s="290">
        <v>0</v>
      </c>
      <c r="AO213" s="290">
        <v>-661.12598864999995</v>
      </c>
      <c r="AP213" s="290">
        <v>0</v>
      </c>
      <c r="AQ213" s="290">
        <v>0</v>
      </c>
      <c r="AR213" s="290">
        <v>-82.217651369999999</v>
      </c>
      <c r="AS213" s="290">
        <v>193.36449999999999</v>
      </c>
      <c r="AT213" s="290">
        <v>110</v>
      </c>
      <c r="AU213" s="290">
        <v>11</v>
      </c>
      <c r="AV213" s="766">
        <v>89013</v>
      </c>
      <c r="AW213" s="290">
        <v>0</v>
      </c>
      <c r="AX213" s="766">
        <v>2.2082999999999999</v>
      </c>
      <c r="AY213" s="290">
        <v>449</v>
      </c>
      <c r="AZ213" s="290">
        <v>84</v>
      </c>
      <c r="BA213" s="290">
        <v>24</v>
      </c>
      <c r="BB213" s="290">
        <v>6034</v>
      </c>
      <c r="BC213" s="290">
        <v>3293.1770538400001</v>
      </c>
      <c r="BD213" s="290"/>
      <c r="BE213" s="290">
        <v>84798.868682150001</v>
      </c>
      <c r="BF213" s="290">
        <v>0</v>
      </c>
      <c r="BG213" s="290">
        <v>1782</v>
      </c>
      <c r="BH213" s="290">
        <v>500</v>
      </c>
      <c r="BI213" s="290">
        <v>520</v>
      </c>
      <c r="BJ213" s="290">
        <v>29</v>
      </c>
      <c r="BK213" s="290">
        <v>60</v>
      </c>
      <c r="BL213" s="290">
        <v>0</v>
      </c>
      <c r="BM213" s="290">
        <v>0</v>
      </c>
      <c r="BN213" s="290">
        <v>38</v>
      </c>
      <c r="BO213" s="290">
        <v>-16</v>
      </c>
      <c r="BP213" s="290">
        <v>201</v>
      </c>
      <c r="BQ213" s="290">
        <v>401</v>
      </c>
      <c r="BR213" s="290">
        <v>304</v>
      </c>
      <c r="BS213" s="290">
        <v>46</v>
      </c>
      <c r="BT213" s="290">
        <v>0</v>
      </c>
      <c r="BU213" s="290">
        <v>0</v>
      </c>
      <c r="BV213" s="290">
        <v>35</v>
      </c>
      <c r="BW213" s="290">
        <v>0</v>
      </c>
      <c r="BX213" s="290">
        <v>0</v>
      </c>
      <c r="BY213" s="290">
        <v>259</v>
      </c>
      <c r="BZ213" s="290">
        <v>0</v>
      </c>
      <c r="CA213" s="290">
        <v>1881.1320000000001</v>
      </c>
      <c r="CB213" s="290">
        <v>32</v>
      </c>
      <c r="CC213" s="290">
        <v>0</v>
      </c>
      <c r="CD213" s="290">
        <v>39</v>
      </c>
      <c r="CE213" s="290">
        <v>94526.759000000005</v>
      </c>
      <c r="CF213" s="290">
        <v>0</v>
      </c>
      <c r="CG213" s="290">
        <v>0</v>
      </c>
      <c r="CH213" s="290">
        <v>0</v>
      </c>
      <c r="CI213" s="290">
        <v>0</v>
      </c>
      <c r="CJ213" s="290"/>
    </row>
    <row r="214" spans="1:88" ht="13">
      <c r="A214" s="1">
        <v>3825</v>
      </c>
      <c r="B214" s="2" t="s">
        <v>927</v>
      </c>
      <c r="C214" s="289">
        <v>3756</v>
      </c>
      <c r="D214" s="290">
        <v>69</v>
      </c>
      <c r="E214" s="290">
        <v>154</v>
      </c>
      <c r="F214" s="290">
        <v>408</v>
      </c>
      <c r="G214" s="290">
        <v>290</v>
      </c>
      <c r="H214" s="290">
        <v>2061</v>
      </c>
      <c r="I214" s="290">
        <v>529</v>
      </c>
      <c r="J214" s="290">
        <v>160</v>
      </c>
      <c r="K214" s="290">
        <v>36</v>
      </c>
      <c r="L214" s="290">
        <v>30</v>
      </c>
      <c r="M214" s="290">
        <v>318</v>
      </c>
      <c r="N214" s="290">
        <v>61</v>
      </c>
      <c r="O214" s="290">
        <v>21</v>
      </c>
      <c r="P214" s="624">
        <v>73600.129333329998</v>
      </c>
      <c r="Q214" s="624">
        <v>20948.938999999998</v>
      </c>
      <c r="R214" s="1039">
        <v>14</v>
      </c>
      <c r="S214" s="290">
        <v>0</v>
      </c>
      <c r="T214" s="290">
        <v>353</v>
      </c>
      <c r="U214" s="958">
        <v>2.815467797583441E-3</v>
      </c>
      <c r="V214" s="290">
        <v>2140.9816575</v>
      </c>
      <c r="W214" s="765">
        <v>1</v>
      </c>
      <c r="X214" s="290">
        <v>0</v>
      </c>
      <c r="Y214" s="290"/>
      <c r="Z214" s="290">
        <v>172555.34</v>
      </c>
      <c r="AA214" s="290">
        <v>0</v>
      </c>
      <c r="AB214" s="290">
        <v>57</v>
      </c>
      <c r="AC214" s="290">
        <v>202</v>
      </c>
      <c r="AD214" s="290">
        <v>98</v>
      </c>
      <c r="AE214" s="290">
        <v>0</v>
      </c>
      <c r="AF214" s="290">
        <v>0</v>
      </c>
      <c r="AG214" s="290">
        <v>3707</v>
      </c>
      <c r="AH214" s="290">
        <v>597</v>
      </c>
      <c r="AI214" s="290">
        <v>0</v>
      </c>
      <c r="AJ214" s="290">
        <v>0</v>
      </c>
      <c r="AK214" s="290">
        <v>0</v>
      </c>
      <c r="AL214" s="290">
        <v>0</v>
      </c>
      <c r="AM214" s="957">
        <v>2.055506E-2</v>
      </c>
      <c r="AN214" s="290">
        <v>0</v>
      </c>
      <c r="AO214" s="290">
        <v>-1071.63931785</v>
      </c>
      <c r="AP214" s="290">
        <v>0</v>
      </c>
      <c r="AQ214" s="290">
        <v>0</v>
      </c>
      <c r="AR214" s="290">
        <v>371.90122461999999</v>
      </c>
      <c r="AS214" s="290">
        <v>316.73649999999998</v>
      </c>
      <c r="AT214" s="290">
        <v>124</v>
      </c>
      <c r="AU214" s="290">
        <v>20</v>
      </c>
      <c r="AV214" s="766">
        <v>130410</v>
      </c>
      <c r="AW214" s="290">
        <v>500</v>
      </c>
      <c r="AX214" s="766">
        <v>21.499949999999998</v>
      </c>
      <c r="AY214" s="290">
        <v>829</v>
      </c>
      <c r="AZ214" s="290">
        <v>112</v>
      </c>
      <c r="BA214" s="290">
        <v>66</v>
      </c>
      <c r="BB214" s="290">
        <v>0</v>
      </c>
      <c r="BC214" s="290">
        <v>5916.5732594700003</v>
      </c>
      <c r="BD214" s="290"/>
      <c r="BE214" s="290">
        <v>122101.98345155999</v>
      </c>
      <c r="BF214" s="290">
        <v>0</v>
      </c>
      <c r="BG214" s="290">
        <v>3035</v>
      </c>
      <c r="BH214" s="290">
        <v>1000</v>
      </c>
      <c r="BI214" s="290">
        <v>897</v>
      </c>
      <c r="BJ214" s="290">
        <v>50</v>
      </c>
      <c r="BK214" s="290">
        <v>136</v>
      </c>
      <c r="BL214" s="290">
        <v>0</v>
      </c>
      <c r="BM214" s="290">
        <v>0</v>
      </c>
      <c r="BN214" s="290">
        <v>85</v>
      </c>
      <c r="BO214" s="290">
        <v>-27</v>
      </c>
      <c r="BP214" s="290">
        <v>348</v>
      </c>
      <c r="BQ214" s="290">
        <v>697</v>
      </c>
      <c r="BR214" s="290">
        <v>527</v>
      </c>
      <c r="BS214" s="290">
        <v>73</v>
      </c>
      <c r="BT214" s="290">
        <v>0</v>
      </c>
      <c r="BU214" s="290">
        <v>0</v>
      </c>
      <c r="BV214" s="290">
        <v>78</v>
      </c>
      <c r="BW214" s="290">
        <v>0</v>
      </c>
      <c r="BX214" s="290">
        <v>0</v>
      </c>
      <c r="BY214" s="290">
        <v>425</v>
      </c>
      <c r="BZ214" s="290">
        <v>0</v>
      </c>
      <c r="CA214" s="290">
        <v>1334.3</v>
      </c>
      <c r="CB214" s="290">
        <v>46</v>
      </c>
      <c r="CC214" s="290">
        <v>0</v>
      </c>
      <c r="CD214" s="290">
        <v>66</v>
      </c>
      <c r="CE214" s="290">
        <v>172555.34</v>
      </c>
      <c r="CF214" s="290">
        <v>0</v>
      </c>
      <c r="CG214" s="290">
        <v>0</v>
      </c>
      <c r="CH214" s="290">
        <v>0</v>
      </c>
      <c r="CI214" s="290">
        <v>0</v>
      </c>
      <c r="CJ214" s="290"/>
    </row>
    <row r="215" spans="1:88" ht="13">
      <c r="A215" s="1">
        <v>4201</v>
      </c>
      <c r="B215" s="2" t="s">
        <v>928</v>
      </c>
      <c r="C215" s="289">
        <v>6762</v>
      </c>
      <c r="D215" s="290">
        <v>82</v>
      </c>
      <c r="E215" s="290">
        <v>224</v>
      </c>
      <c r="F215" s="290">
        <v>730</v>
      </c>
      <c r="G215" s="290">
        <v>594</v>
      </c>
      <c r="H215" s="290">
        <v>3659</v>
      </c>
      <c r="I215" s="290">
        <v>1138</v>
      </c>
      <c r="J215" s="290">
        <v>295</v>
      </c>
      <c r="K215" s="290">
        <v>79</v>
      </c>
      <c r="L215" s="290">
        <v>57</v>
      </c>
      <c r="M215" s="290">
        <v>673</v>
      </c>
      <c r="N215" s="290">
        <v>170</v>
      </c>
      <c r="O215" s="290">
        <v>82</v>
      </c>
      <c r="P215" s="624">
        <v>42694.065000000002</v>
      </c>
      <c r="Q215" s="624">
        <v>10960.58633333</v>
      </c>
      <c r="R215" s="1039">
        <v>40</v>
      </c>
      <c r="S215" s="290">
        <v>0</v>
      </c>
      <c r="T215" s="290">
        <v>652</v>
      </c>
      <c r="U215" s="958">
        <v>8.4143136543347299E-4</v>
      </c>
      <c r="V215" s="290">
        <v>3679.86756006</v>
      </c>
      <c r="W215" s="765">
        <v>0.61979065</v>
      </c>
      <c r="X215" s="290">
        <v>810</v>
      </c>
      <c r="Y215" s="290"/>
      <c r="Z215" s="290">
        <v>199212.78400000001</v>
      </c>
      <c r="AA215" s="290">
        <v>0</v>
      </c>
      <c r="AB215" s="290">
        <v>229</v>
      </c>
      <c r="AC215" s="290">
        <v>319</v>
      </c>
      <c r="AD215" s="290">
        <v>142</v>
      </c>
      <c r="AE215" s="290">
        <v>0</v>
      </c>
      <c r="AF215" s="290">
        <v>0</v>
      </c>
      <c r="AG215" s="290">
        <v>6801</v>
      </c>
      <c r="AH215" s="290">
        <v>1023</v>
      </c>
      <c r="AI215" s="290">
        <v>24</v>
      </c>
      <c r="AJ215" s="290">
        <v>0</v>
      </c>
      <c r="AK215" s="290">
        <v>0</v>
      </c>
      <c r="AL215" s="290">
        <v>0</v>
      </c>
      <c r="AM215" s="957">
        <v>0.19860865999999999</v>
      </c>
      <c r="AN215" s="290">
        <v>9362</v>
      </c>
      <c r="AO215" s="290">
        <v>-1841.9077753500001</v>
      </c>
      <c r="AP215" s="290">
        <v>0</v>
      </c>
      <c r="AQ215" s="290">
        <v>0</v>
      </c>
      <c r="AR215" s="290">
        <v>-256.84990673999999</v>
      </c>
      <c r="AS215" s="290">
        <v>519.99149999999997</v>
      </c>
      <c r="AT215" s="290">
        <v>393</v>
      </c>
      <c r="AU215" s="290">
        <v>66</v>
      </c>
      <c r="AV215" s="766">
        <v>218274</v>
      </c>
      <c r="AW215" s="290">
        <v>0</v>
      </c>
      <c r="AX215" s="766">
        <v>32.458300000000001</v>
      </c>
      <c r="AY215" s="290">
        <v>1482</v>
      </c>
      <c r="AZ215" s="290">
        <v>355</v>
      </c>
      <c r="BA215" s="290">
        <v>143</v>
      </c>
      <c r="BB215" s="290">
        <v>0</v>
      </c>
      <c r="BC215" s="290">
        <v>9655.9417785200003</v>
      </c>
      <c r="BD215" s="290"/>
      <c r="BE215" s="290">
        <v>206426.58127980999</v>
      </c>
      <c r="BF215" s="290">
        <v>0</v>
      </c>
      <c r="BG215" s="290">
        <v>5567</v>
      </c>
      <c r="BH215" s="290">
        <v>1000</v>
      </c>
      <c r="BI215" s="290">
        <v>1484</v>
      </c>
      <c r="BJ215" s="290">
        <v>79</v>
      </c>
      <c r="BK215" s="290">
        <v>203</v>
      </c>
      <c r="BL215" s="290">
        <v>0</v>
      </c>
      <c r="BM215" s="290">
        <v>0</v>
      </c>
      <c r="BN215" s="290">
        <v>127</v>
      </c>
      <c r="BO215" s="290">
        <v>-66</v>
      </c>
      <c r="BP215" s="290">
        <v>627</v>
      </c>
      <c r="BQ215" s="290">
        <v>1254</v>
      </c>
      <c r="BR215" s="290">
        <v>949</v>
      </c>
      <c r="BS215" s="290">
        <v>107</v>
      </c>
      <c r="BT215" s="290">
        <v>0</v>
      </c>
      <c r="BU215" s="290">
        <v>0</v>
      </c>
      <c r="BV215" s="290">
        <v>117</v>
      </c>
      <c r="BW215" s="290">
        <v>0</v>
      </c>
      <c r="BX215" s="290">
        <v>0</v>
      </c>
      <c r="BY215" s="290">
        <v>834</v>
      </c>
      <c r="BZ215" s="290">
        <v>100</v>
      </c>
      <c r="CA215" s="290">
        <v>713.8</v>
      </c>
      <c r="CB215" s="290">
        <v>66</v>
      </c>
      <c r="CC215" s="290">
        <v>0</v>
      </c>
      <c r="CD215" s="290">
        <v>162</v>
      </c>
      <c r="CE215" s="290">
        <v>199212.78400000001</v>
      </c>
      <c r="CF215" s="290">
        <v>0</v>
      </c>
      <c r="CG215" s="290">
        <v>0</v>
      </c>
      <c r="CH215" s="290">
        <v>0</v>
      </c>
      <c r="CI215" s="290">
        <v>0</v>
      </c>
      <c r="CJ215" s="290"/>
    </row>
    <row r="216" spans="1:88" ht="13">
      <c r="A216" s="1">
        <v>4202</v>
      </c>
      <c r="B216" s="2" t="s">
        <v>929</v>
      </c>
      <c r="C216" s="289">
        <v>23891</v>
      </c>
      <c r="D216" s="290">
        <v>468</v>
      </c>
      <c r="E216" s="290">
        <v>1076</v>
      </c>
      <c r="F216" s="290">
        <v>3096</v>
      </c>
      <c r="G216" s="290">
        <v>2303</v>
      </c>
      <c r="H216" s="290">
        <v>13184</v>
      </c>
      <c r="I216" s="290">
        <v>2570</v>
      </c>
      <c r="J216" s="290">
        <v>783</v>
      </c>
      <c r="K216" s="290">
        <v>165</v>
      </c>
      <c r="L216" s="290">
        <v>176</v>
      </c>
      <c r="M216" s="290">
        <v>1378</v>
      </c>
      <c r="N216" s="290">
        <v>685</v>
      </c>
      <c r="O216" s="290">
        <v>251</v>
      </c>
      <c r="P216" s="624">
        <v>68747.632333329995</v>
      </c>
      <c r="Q216" s="624">
        <v>37732.398333329998</v>
      </c>
      <c r="R216" s="1039">
        <v>89</v>
      </c>
      <c r="S216" s="290">
        <v>0</v>
      </c>
      <c r="T216" s="290">
        <v>1771</v>
      </c>
      <c r="U216" s="958">
        <v>3.0357471757212441E-3</v>
      </c>
      <c r="V216" s="290">
        <v>-11774.7908749</v>
      </c>
      <c r="W216" s="765">
        <v>0.55690883000000002</v>
      </c>
      <c r="X216" s="290">
        <v>1150</v>
      </c>
      <c r="Y216" s="290"/>
      <c r="Z216" s="290">
        <v>732951.91099999996</v>
      </c>
      <c r="AA216" s="290">
        <v>0</v>
      </c>
      <c r="AB216" s="290">
        <v>687</v>
      </c>
      <c r="AC216" s="290">
        <v>2393</v>
      </c>
      <c r="AD216" s="290">
        <v>426</v>
      </c>
      <c r="AE216" s="290">
        <v>0</v>
      </c>
      <c r="AF216" s="290">
        <v>0</v>
      </c>
      <c r="AG216" s="290">
        <v>23645</v>
      </c>
      <c r="AH216" s="290">
        <v>4421</v>
      </c>
      <c r="AI216" s="290">
        <v>964</v>
      </c>
      <c r="AJ216" s="290">
        <v>0</v>
      </c>
      <c r="AK216" s="290">
        <v>0</v>
      </c>
      <c r="AL216" s="290">
        <v>0</v>
      </c>
      <c r="AM216" s="957">
        <v>0.69437000000000004</v>
      </c>
      <c r="AN216" s="290">
        <v>0</v>
      </c>
      <c r="AO216" s="290">
        <v>-5999.0338011800004</v>
      </c>
      <c r="AP216" s="290">
        <v>0</v>
      </c>
      <c r="AQ216" s="290">
        <v>0</v>
      </c>
      <c r="AR216" s="290">
        <v>-892.98868474999995</v>
      </c>
      <c r="AS216" s="290">
        <v>2593.3364999999999</v>
      </c>
      <c r="AT216" s="290">
        <v>1289</v>
      </c>
      <c r="AU216" s="290">
        <v>277</v>
      </c>
      <c r="AV216" s="766">
        <v>605952</v>
      </c>
      <c r="AW216" s="290">
        <v>0</v>
      </c>
      <c r="AX216" s="766">
        <v>143.87495000000001</v>
      </c>
      <c r="AY216" s="290">
        <v>6334</v>
      </c>
      <c r="AZ216" s="290">
        <v>1078</v>
      </c>
      <c r="BA216" s="290">
        <v>509</v>
      </c>
      <c r="BB216" s="290">
        <v>0</v>
      </c>
      <c r="BC216" s="290">
        <v>33890.905193480001</v>
      </c>
      <c r="BD216" s="290"/>
      <c r="BE216" s="290">
        <v>571833.98904059001</v>
      </c>
      <c r="BF216" s="290">
        <v>0</v>
      </c>
      <c r="BG216" s="290">
        <v>19356</v>
      </c>
      <c r="BH216" s="290">
        <v>1000</v>
      </c>
      <c r="BI216" s="290">
        <v>7240</v>
      </c>
      <c r="BJ216" s="290">
        <v>267</v>
      </c>
      <c r="BK216" s="290">
        <v>954</v>
      </c>
      <c r="BL216" s="290">
        <v>0</v>
      </c>
      <c r="BM216" s="290">
        <v>0</v>
      </c>
      <c r="BN216" s="290">
        <v>597</v>
      </c>
      <c r="BO216" s="290">
        <v>-212</v>
      </c>
      <c r="BP216" s="290">
        <v>2216</v>
      </c>
      <c r="BQ216" s="290">
        <v>4431</v>
      </c>
      <c r="BR216" s="290">
        <v>3355</v>
      </c>
      <c r="BS216" s="290">
        <v>319</v>
      </c>
      <c r="BT216" s="290">
        <v>0</v>
      </c>
      <c r="BU216" s="290">
        <v>0</v>
      </c>
      <c r="BV216" s="290">
        <v>549</v>
      </c>
      <c r="BW216" s="290">
        <v>0</v>
      </c>
      <c r="BX216" s="290">
        <v>0</v>
      </c>
      <c r="BY216" s="290">
        <v>2289</v>
      </c>
      <c r="BZ216" s="290">
        <v>10200</v>
      </c>
      <c r="CA216" s="290">
        <v>1145.857</v>
      </c>
      <c r="CB216" s="290">
        <v>211</v>
      </c>
      <c r="CC216" s="290">
        <v>2</v>
      </c>
      <c r="CD216" s="290">
        <v>526</v>
      </c>
      <c r="CE216" s="290">
        <v>732951.91099999996</v>
      </c>
      <c r="CF216" s="290">
        <v>0</v>
      </c>
      <c r="CG216" s="290">
        <v>0</v>
      </c>
      <c r="CH216" s="290">
        <v>0</v>
      </c>
      <c r="CI216" s="290">
        <v>0</v>
      </c>
      <c r="CJ216" s="290"/>
    </row>
    <row r="217" spans="1:88" ht="13">
      <c r="A217" s="1">
        <v>4203</v>
      </c>
      <c r="B217" s="2" t="s">
        <v>930</v>
      </c>
      <c r="C217" s="289">
        <v>45065</v>
      </c>
      <c r="D217" s="290">
        <v>769</v>
      </c>
      <c r="E217" s="290">
        <v>1847</v>
      </c>
      <c r="F217" s="290">
        <v>5569</v>
      </c>
      <c r="G217" s="290">
        <v>3760</v>
      </c>
      <c r="H217" s="290">
        <v>25391</v>
      </c>
      <c r="I217" s="290">
        <v>5681</v>
      </c>
      <c r="J217" s="290">
        <v>1665</v>
      </c>
      <c r="K217" s="290">
        <v>357</v>
      </c>
      <c r="L217" s="290">
        <v>359</v>
      </c>
      <c r="M217" s="290">
        <v>3247</v>
      </c>
      <c r="N217" s="290">
        <v>1353</v>
      </c>
      <c r="O217" s="290">
        <v>452</v>
      </c>
      <c r="P217" s="624">
        <v>103843.15533333</v>
      </c>
      <c r="Q217" s="624">
        <v>81177.475999999995</v>
      </c>
      <c r="R217" s="1039">
        <v>185</v>
      </c>
      <c r="S217" s="290">
        <v>0</v>
      </c>
      <c r="T217" s="290">
        <v>4405</v>
      </c>
      <c r="U217" s="958">
        <v>3.1882844543066296E-3</v>
      </c>
      <c r="V217" s="290">
        <v>-32423.894854120001</v>
      </c>
      <c r="W217" s="765">
        <v>0.56163664000000002</v>
      </c>
      <c r="X217" s="290">
        <v>6750</v>
      </c>
      <c r="Y217" s="290"/>
      <c r="Z217" s="290">
        <v>1363662.236</v>
      </c>
      <c r="AA217" s="290">
        <v>0</v>
      </c>
      <c r="AB217" s="290">
        <v>1597</v>
      </c>
      <c r="AC217" s="290">
        <v>2309</v>
      </c>
      <c r="AD217" s="290">
        <v>814</v>
      </c>
      <c r="AE217" s="290">
        <v>0</v>
      </c>
      <c r="AF217" s="290">
        <v>0</v>
      </c>
      <c r="AG217" s="290">
        <v>45039</v>
      </c>
      <c r="AH217" s="290">
        <v>7731</v>
      </c>
      <c r="AI217" s="290">
        <v>586</v>
      </c>
      <c r="AJ217" s="290">
        <v>0</v>
      </c>
      <c r="AK217" s="290">
        <v>0</v>
      </c>
      <c r="AL217" s="290">
        <v>0</v>
      </c>
      <c r="AM217" s="957">
        <v>1.6178900599999999</v>
      </c>
      <c r="AN217" s="290">
        <v>0</v>
      </c>
      <c r="AO217" s="290">
        <v>-11573.25577412</v>
      </c>
      <c r="AP217" s="290">
        <v>0</v>
      </c>
      <c r="AQ217" s="290">
        <v>0</v>
      </c>
      <c r="AR217" s="290">
        <v>-1700.9649977700001</v>
      </c>
      <c r="AS217" s="290">
        <v>3475.3125</v>
      </c>
      <c r="AT217" s="290">
        <v>2924</v>
      </c>
      <c r="AU217" s="290">
        <v>541</v>
      </c>
      <c r="AV217" s="766">
        <v>1179677</v>
      </c>
      <c r="AW217" s="290">
        <v>0</v>
      </c>
      <c r="AX217" s="766">
        <v>265.37495000000001</v>
      </c>
      <c r="AY217" s="290">
        <v>11176</v>
      </c>
      <c r="AZ217" s="290">
        <v>2071</v>
      </c>
      <c r="BA217" s="290">
        <v>1239</v>
      </c>
      <c r="BB217" s="290">
        <v>0</v>
      </c>
      <c r="BC217" s="290">
        <v>62356.934556699998</v>
      </c>
      <c r="BD217" s="290"/>
      <c r="BE217" s="290">
        <v>1113080.7417669999</v>
      </c>
      <c r="BF217" s="290">
        <v>0</v>
      </c>
      <c r="BG217" s="290">
        <v>36869</v>
      </c>
      <c r="BH217" s="290">
        <v>1500</v>
      </c>
      <c r="BI217" s="290">
        <v>10854</v>
      </c>
      <c r="BJ217" s="290">
        <v>516</v>
      </c>
      <c r="BK217" s="290">
        <v>1654</v>
      </c>
      <c r="BL217" s="290">
        <v>0</v>
      </c>
      <c r="BM217" s="290">
        <v>0</v>
      </c>
      <c r="BN217" s="290">
        <v>1034</v>
      </c>
      <c r="BO217" s="290">
        <v>-469</v>
      </c>
      <c r="BP217" s="290">
        <v>4179</v>
      </c>
      <c r="BQ217" s="290">
        <v>8359</v>
      </c>
      <c r="BR217" s="290">
        <v>6328</v>
      </c>
      <c r="BS217" s="290">
        <v>611</v>
      </c>
      <c r="BT217" s="290">
        <v>0</v>
      </c>
      <c r="BU217" s="290">
        <v>0</v>
      </c>
      <c r="BV217" s="290">
        <v>952</v>
      </c>
      <c r="BW217" s="290">
        <v>0</v>
      </c>
      <c r="BX217" s="290">
        <v>0</v>
      </c>
      <c r="BY217" s="290">
        <v>4755</v>
      </c>
      <c r="BZ217" s="290">
        <v>0</v>
      </c>
      <c r="CA217" s="290">
        <v>2210.5720000000001</v>
      </c>
      <c r="CB217" s="290">
        <v>394</v>
      </c>
      <c r="CC217" s="290">
        <v>3</v>
      </c>
      <c r="CD217" s="290">
        <v>1162</v>
      </c>
      <c r="CE217" s="290">
        <v>1363662.236</v>
      </c>
      <c r="CF217" s="290">
        <v>0</v>
      </c>
      <c r="CG217" s="290">
        <v>0</v>
      </c>
      <c r="CH217" s="290">
        <v>0</v>
      </c>
      <c r="CI217" s="290">
        <v>0</v>
      </c>
      <c r="CJ217" s="290"/>
    </row>
    <row r="218" spans="1:88" ht="13">
      <c r="A218" s="1">
        <v>4204</v>
      </c>
      <c r="B218" s="2" t="s">
        <v>1628</v>
      </c>
      <c r="C218" s="289">
        <v>112588</v>
      </c>
      <c r="D218" s="290">
        <v>2342</v>
      </c>
      <c r="E218" s="290">
        <v>5236</v>
      </c>
      <c r="F218" s="290">
        <v>14154</v>
      </c>
      <c r="G218" s="290">
        <v>10537</v>
      </c>
      <c r="H218" s="290">
        <v>63780</v>
      </c>
      <c r="I218" s="290">
        <v>11179</v>
      </c>
      <c r="J218" s="290">
        <v>3619</v>
      </c>
      <c r="K218" s="290">
        <v>799</v>
      </c>
      <c r="L218" s="290">
        <v>834</v>
      </c>
      <c r="M218" s="290">
        <v>6440</v>
      </c>
      <c r="N218" s="290">
        <v>5025</v>
      </c>
      <c r="O218" s="290">
        <v>1098</v>
      </c>
      <c r="P218" s="624">
        <v>237118.23133333001</v>
      </c>
      <c r="Q218" s="624">
        <v>147366.50700000001</v>
      </c>
      <c r="R218" s="1039">
        <v>430</v>
      </c>
      <c r="S218" s="290">
        <v>669</v>
      </c>
      <c r="T218" s="290">
        <v>9624</v>
      </c>
      <c r="U218" s="958">
        <v>4.1423126830825207E-3</v>
      </c>
      <c r="V218" s="290">
        <v>-14021.85501635</v>
      </c>
      <c r="W218" s="765">
        <v>0.54723918999999999</v>
      </c>
      <c r="X218" s="290">
        <v>10220</v>
      </c>
      <c r="Y218" s="290"/>
      <c r="Z218" s="290">
        <v>3521880.56</v>
      </c>
      <c r="AA218" s="290">
        <v>0</v>
      </c>
      <c r="AB218" s="290">
        <v>3209</v>
      </c>
      <c r="AC218" s="290">
        <v>21511</v>
      </c>
      <c r="AD218" s="290">
        <v>1926</v>
      </c>
      <c r="AE218" s="290">
        <v>0</v>
      </c>
      <c r="AF218" s="290">
        <v>30220</v>
      </c>
      <c r="AG218" s="290">
        <v>111646</v>
      </c>
      <c r="AH218" s="290">
        <v>20310</v>
      </c>
      <c r="AI218" s="290">
        <v>5419</v>
      </c>
      <c r="AJ218" s="290">
        <v>5113</v>
      </c>
      <c r="AK218" s="290">
        <v>0</v>
      </c>
      <c r="AL218" s="290">
        <v>0</v>
      </c>
      <c r="AM218" s="957">
        <v>4.0150421300000003</v>
      </c>
      <c r="AN218" s="290">
        <v>0</v>
      </c>
      <c r="AO218" s="290">
        <v>-28239.086669849999</v>
      </c>
      <c r="AP218" s="290">
        <v>43872</v>
      </c>
      <c r="AQ218" s="290">
        <v>0</v>
      </c>
      <c r="AR218" s="290">
        <v>-4216.4776780499997</v>
      </c>
      <c r="AS218" s="290">
        <v>18194.165499999999</v>
      </c>
      <c r="AT218" s="290">
        <v>6496</v>
      </c>
      <c r="AU218" s="290">
        <v>1337</v>
      </c>
      <c r="AV218" s="766">
        <v>2955088</v>
      </c>
      <c r="AW218" s="290">
        <v>15900</v>
      </c>
      <c r="AX218" s="766">
        <v>763.74995000000001</v>
      </c>
      <c r="AY218" s="290">
        <v>31365</v>
      </c>
      <c r="AZ218" s="290">
        <v>5761</v>
      </c>
      <c r="BA218" s="290">
        <v>2754</v>
      </c>
      <c r="BB218" s="290">
        <v>0</v>
      </c>
      <c r="BC218" s="290">
        <v>201450.36016608001</v>
      </c>
      <c r="BD218" s="290"/>
      <c r="BE218" s="290">
        <v>2810939.1019775998</v>
      </c>
      <c r="BF218" s="290">
        <v>0</v>
      </c>
      <c r="BG218" s="290">
        <v>91394</v>
      </c>
      <c r="BH218" s="290">
        <v>2000</v>
      </c>
      <c r="BI218" s="290">
        <v>73967</v>
      </c>
      <c r="BJ218" s="290">
        <v>1274</v>
      </c>
      <c r="BK218" s="290">
        <v>4689</v>
      </c>
      <c r="BL218" s="290">
        <v>0</v>
      </c>
      <c r="BM218" s="290">
        <v>0</v>
      </c>
      <c r="BN218" s="290">
        <v>2933</v>
      </c>
      <c r="BO218" s="290">
        <v>-1168</v>
      </c>
      <c r="BP218" s="290">
        <v>10442</v>
      </c>
      <c r="BQ218" s="290">
        <v>20883</v>
      </c>
      <c r="BR218" s="290">
        <v>15808</v>
      </c>
      <c r="BS218" s="290">
        <v>1444</v>
      </c>
      <c r="BT218" s="290">
        <v>0</v>
      </c>
      <c r="BU218" s="290">
        <v>0</v>
      </c>
      <c r="BV218" s="290">
        <v>2699</v>
      </c>
      <c r="BW218" s="290">
        <v>0</v>
      </c>
      <c r="BX218" s="290">
        <v>0</v>
      </c>
      <c r="BY218" s="290">
        <v>10344</v>
      </c>
      <c r="BZ218" s="290">
        <v>17000</v>
      </c>
      <c r="CA218" s="290">
        <v>10440.599999999999</v>
      </c>
      <c r="CB218" s="290">
        <v>970</v>
      </c>
      <c r="CC218" s="290">
        <v>10</v>
      </c>
      <c r="CD218" s="290">
        <v>2891</v>
      </c>
      <c r="CE218" s="290">
        <v>3521880.56</v>
      </c>
      <c r="CF218" s="290">
        <v>0</v>
      </c>
      <c r="CG218" s="290">
        <v>0</v>
      </c>
      <c r="CH218" s="290">
        <v>0</v>
      </c>
      <c r="CI218" s="290">
        <v>0</v>
      </c>
      <c r="CJ218" s="290"/>
    </row>
    <row r="219" spans="1:88" ht="13">
      <c r="A219" s="1">
        <v>4205</v>
      </c>
      <c r="B219" s="2" t="s">
        <v>1629</v>
      </c>
      <c r="C219" s="289">
        <v>23055</v>
      </c>
      <c r="D219" s="290">
        <v>444</v>
      </c>
      <c r="E219" s="290">
        <v>1035</v>
      </c>
      <c r="F219" s="290">
        <v>3045</v>
      </c>
      <c r="G219" s="290">
        <v>2061</v>
      </c>
      <c r="H219" s="290">
        <v>12550</v>
      </c>
      <c r="I219" s="290">
        <v>2877</v>
      </c>
      <c r="J219" s="290">
        <v>828</v>
      </c>
      <c r="K219" s="290">
        <v>229</v>
      </c>
      <c r="L219" s="290">
        <v>191</v>
      </c>
      <c r="M219" s="290">
        <v>1594</v>
      </c>
      <c r="N219" s="290">
        <v>507</v>
      </c>
      <c r="O219" s="290">
        <v>230</v>
      </c>
      <c r="P219" s="624">
        <v>117148.66166667</v>
      </c>
      <c r="Q219" s="624">
        <v>55099.978000000003</v>
      </c>
      <c r="R219" s="1039">
        <v>113</v>
      </c>
      <c r="S219" s="290">
        <v>0</v>
      </c>
      <c r="T219" s="290">
        <v>1951</v>
      </c>
      <c r="U219" s="958">
        <v>7.0294429949760368E-3</v>
      </c>
      <c r="V219" s="290">
        <v>-1213.4643056899999</v>
      </c>
      <c r="W219" s="765">
        <v>0.61615238000000006</v>
      </c>
      <c r="X219" s="290">
        <v>2740</v>
      </c>
      <c r="Y219" s="290"/>
      <c r="Z219" s="290">
        <v>662637.62300000002</v>
      </c>
      <c r="AA219" s="290">
        <v>0</v>
      </c>
      <c r="AB219" s="290">
        <v>873</v>
      </c>
      <c r="AC219" s="290">
        <v>1413</v>
      </c>
      <c r="AD219" s="290">
        <v>440</v>
      </c>
      <c r="AE219" s="290">
        <v>0</v>
      </c>
      <c r="AF219" s="290">
        <v>37948</v>
      </c>
      <c r="AG219" s="290">
        <v>23069</v>
      </c>
      <c r="AH219" s="290">
        <v>4285</v>
      </c>
      <c r="AI219" s="290">
        <v>799</v>
      </c>
      <c r="AJ219" s="290">
        <v>0</v>
      </c>
      <c r="AK219" s="290">
        <v>1333</v>
      </c>
      <c r="AL219" s="290">
        <v>0</v>
      </c>
      <c r="AM219" s="957">
        <v>0.44458077000000001</v>
      </c>
      <c r="AN219" s="290">
        <v>0</v>
      </c>
      <c r="AO219" s="290">
        <v>-6211.1243858899998</v>
      </c>
      <c r="AP219" s="290">
        <v>0</v>
      </c>
      <c r="AQ219" s="290">
        <v>0</v>
      </c>
      <c r="AR219" s="290">
        <v>-871.23518580999996</v>
      </c>
      <c r="AS219" s="290">
        <v>2086.3404999999998</v>
      </c>
      <c r="AT219" s="290">
        <v>1403</v>
      </c>
      <c r="AU219" s="290">
        <v>180</v>
      </c>
      <c r="AV219" s="766">
        <v>716375</v>
      </c>
      <c r="AW219" s="290">
        <v>7600</v>
      </c>
      <c r="AX219" s="766">
        <v>149.24995000000001</v>
      </c>
      <c r="AY219" s="290">
        <v>4918</v>
      </c>
      <c r="AZ219" s="290">
        <v>935</v>
      </c>
      <c r="BA219" s="290">
        <v>526</v>
      </c>
      <c r="BB219" s="290">
        <v>0</v>
      </c>
      <c r="BC219" s="290">
        <v>72055.401223070003</v>
      </c>
      <c r="BD219" s="290"/>
      <c r="BE219" s="290">
        <v>692014.35949702002</v>
      </c>
      <c r="BF219" s="290">
        <v>0</v>
      </c>
      <c r="BG219" s="290">
        <v>18884</v>
      </c>
      <c r="BH219" s="290">
        <v>1000</v>
      </c>
      <c r="BI219" s="290">
        <v>45419</v>
      </c>
      <c r="BJ219" s="290">
        <v>264</v>
      </c>
      <c r="BK219" s="290">
        <v>904</v>
      </c>
      <c r="BL219" s="290">
        <v>0</v>
      </c>
      <c r="BM219" s="290">
        <v>4957</v>
      </c>
      <c r="BN219" s="290">
        <v>566</v>
      </c>
      <c r="BO219" s="290">
        <v>-204</v>
      </c>
      <c r="BP219" s="290">
        <v>2138</v>
      </c>
      <c r="BQ219" s="290">
        <v>4276</v>
      </c>
      <c r="BR219" s="290">
        <v>3237</v>
      </c>
      <c r="BS219" s="290">
        <v>330</v>
      </c>
      <c r="BT219" s="290">
        <v>0</v>
      </c>
      <c r="BU219" s="290">
        <v>0</v>
      </c>
      <c r="BV219" s="290">
        <v>520</v>
      </c>
      <c r="BW219" s="290">
        <v>0</v>
      </c>
      <c r="BX219" s="290">
        <v>0</v>
      </c>
      <c r="BY219" s="290">
        <v>2454</v>
      </c>
      <c r="BZ219" s="290">
        <v>8300</v>
      </c>
      <c r="CA219" s="290">
        <v>1186.3679999999999</v>
      </c>
      <c r="CB219" s="290">
        <v>206</v>
      </c>
      <c r="CC219" s="290">
        <v>2</v>
      </c>
      <c r="CD219" s="290">
        <v>505</v>
      </c>
      <c r="CE219" s="290">
        <v>662637.62300000002</v>
      </c>
      <c r="CF219" s="290">
        <v>1352.5915380480847</v>
      </c>
      <c r="CG219" s="290">
        <v>1302.761244789993</v>
      </c>
      <c r="CH219" s="290">
        <v>1241.4737965259274</v>
      </c>
      <c r="CI219" s="290">
        <v>1171.5986240069888</v>
      </c>
      <c r="CJ219" s="290"/>
    </row>
    <row r="220" spans="1:88" ht="13">
      <c r="A220" s="1">
        <v>4206</v>
      </c>
      <c r="B220" s="2" t="s">
        <v>944</v>
      </c>
      <c r="C220" s="289">
        <v>9645</v>
      </c>
      <c r="D220" s="290">
        <v>195</v>
      </c>
      <c r="E220" s="290">
        <v>405</v>
      </c>
      <c r="F220" s="290">
        <v>1231</v>
      </c>
      <c r="G220" s="290">
        <v>882</v>
      </c>
      <c r="H220" s="290">
        <v>5148</v>
      </c>
      <c r="I220" s="290">
        <v>1333</v>
      </c>
      <c r="J220" s="290">
        <v>406</v>
      </c>
      <c r="K220" s="290">
        <v>81</v>
      </c>
      <c r="L220" s="290">
        <v>83</v>
      </c>
      <c r="M220" s="290">
        <v>733</v>
      </c>
      <c r="N220" s="290">
        <v>154</v>
      </c>
      <c r="O220" s="290">
        <v>111</v>
      </c>
      <c r="P220" s="624">
        <v>28500.45266667</v>
      </c>
      <c r="Q220" s="624">
        <v>16471.188333329999</v>
      </c>
      <c r="R220" s="1039">
        <v>41</v>
      </c>
      <c r="S220" s="290">
        <v>0</v>
      </c>
      <c r="T220" s="290">
        <v>759</v>
      </c>
      <c r="U220" s="958">
        <v>3.7327078631519974E-3</v>
      </c>
      <c r="V220" s="290">
        <v>4921.6105839800002</v>
      </c>
      <c r="W220" s="765">
        <v>0.60091832000000001</v>
      </c>
      <c r="X220" s="290">
        <v>670</v>
      </c>
      <c r="Y220" s="290"/>
      <c r="Z220" s="290">
        <v>282688.32199999999</v>
      </c>
      <c r="AA220" s="290">
        <v>0</v>
      </c>
      <c r="AB220" s="290">
        <v>265</v>
      </c>
      <c r="AC220" s="290">
        <v>1727</v>
      </c>
      <c r="AD220" s="290">
        <v>189</v>
      </c>
      <c r="AE220" s="290">
        <v>0</v>
      </c>
      <c r="AF220" s="290">
        <v>0</v>
      </c>
      <c r="AG220" s="290">
        <v>9681</v>
      </c>
      <c r="AH220" s="290">
        <v>1730</v>
      </c>
      <c r="AI220" s="290">
        <v>914</v>
      </c>
      <c r="AJ220" s="290">
        <v>0</v>
      </c>
      <c r="AK220" s="290">
        <v>1595</v>
      </c>
      <c r="AL220" s="290">
        <v>0</v>
      </c>
      <c r="AM220" s="957">
        <v>0.15868151</v>
      </c>
      <c r="AN220" s="290">
        <v>2559</v>
      </c>
      <c r="AO220" s="290">
        <v>-2569.1586910999999</v>
      </c>
      <c r="AP220" s="290">
        <v>0</v>
      </c>
      <c r="AQ220" s="290">
        <v>0</v>
      </c>
      <c r="AR220" s="290">
        <v>-365.61740143999998</v>
      </c>
      <c r="AS220" s="290">
        <v>1532.2570000000001</v>
      </c>
      <c r="AT220" s="290">
        <v>498</v>
      </c>
      <c r="AU220" s="290">
        <v>75</v>
      </c>
      <c r="AV220" s="766">
        <v>285295</v>
      </c>
      <c r="AW220" s="290">
        <v>0</v>
      </c>
      <c r="AX220" s="766">
        <v>75.583349999999996</v>
      </c>
      <c r="AY220" s="290">
        <v>1732</v>
      </c>
      <c r="AZ220" s="290">
        <v>399</v>
      </c>
      <c r="BA220" s="290">
        <v>204</v>
      </c>
      <c r="BB220" s="290">
        <v>0</v>
      </c>
      <c r="BC220" s="290">
        <v>16912.899531669998</v>
      </c>
      <c r="BD220" s="290"/>
      <c r="BE220" s="290">
        <v>273786.92102529999</v>
      </c>
      <c r="BF220" s="290">
        <v>0</v>
      </c>
      <c r="BG220" s="290">
        <v>7925</v>
      </c>
      <c r="BH220" s="290">
        <v>1000</v>
      </c>
      <c r="BI220" s="290">
        <v>5241</v>
      </c>
      <c r="BJ220" s="290">
        <v>112</v>
      </c>
      <c r="BK220" s="290">
        <v>360</v>
      </c>
      <c r="BL220" s="290">
        <v>0</v>
      </c>
      <c r="BM220" s="290">
        <v>0</v>
      </c>
      <c r="BN220" s="290">
        <v>225</v>
      </c>
      <c r="BO220" s="290">
        <v>-74</v>
      </c>
      <c r="BP220" s="290">
        <v>894</v>
      </c>
      <c r="BQ220" s="290">
        <v>1789</v>
      </c>
      <c r="BR220" s="290">
        <v>1354</v>
      </c>
      <c r="BS220" s="290">
        <v>142</v>
      </c>
      <c r="BT220" s="290">
        <v>0</v>
      </c>
      <c r="BU220" s="290">
        <v>0</v>
      </c>
      <c r="BV220" s="290">
        <v>207</v>
      </c>
      <c r="BW220" s="290">
        <v>0</v>
      </c>
      <c r="BX220" s="290">
        <v>0</v>
      </c>
      <c r="BY220" s="290">
        <v>1070</v>
      </c>
      <c r="BZ220" s="290">
        <v>0</v>
      </c>
      <c r="CA220" s="290">
        <v>2076.6999999999998</v>
      </c>
      <c r="CB220" s="290">
        <v>91</v>
      </c>
      <c r="CC220" s="290">
        <v>1</v>
      </c>
      <c r="CD220" s="290">
        <v>184</v>
      </c>
      <c r="CE220" s="290">
        <v>282688.32199999999</v>
      </c>
      <c r="CF220" s="290">
        <v>1295.2772652351118</v>
      </c>
      <c r="CG220" s="290">
        <v>859.66826870697514</v>
      </c>
      <c r="CH220" s="290">
        <v>401.63304205912755</v>
      </c>
      <c r="CI220" s="290">
        <v>0</v>
      </c>
      <c r="CJ220" s="290"/>
    </row>
    <row r="221" spans="1:88" ht="13">
      <c r="A221" s="1">
        <v>4207</v>
      </c>
      <c r="B221" s="2" t="s">
        <v>946</v>
      </c>
      <c r="C221" s="289">
        <v>9027</v>
      </c>
      <c r="D221" s="290">
        <v>176</v>
      </c>
      <c r="E221" s="290">
        <v>364</v>
      </c>
      <c r="F221" s="290">
        <v>1175</v>
      </c>
      <c r="G221" s="290">
        <v>762</v>
      </c>
      <c r="H221" s="290">
        <v>4866</v>
      </c>
      <c r="I221" s="290">
        <v>1188</v>
      </c>
      <c r="J221" s="290">
        <v>398</v>
      </c>
      <c r="K221" s="290">
        <v>120</v>
      </c>
      <c r="L221" s="290">
        <v>68</v>
      </c>
      <c r="M221" s="290">
        <v>688</v>
      </c>
      <c r="N221" s="290">
        <v>202</v>
      </c>
      <c r="O221" s="290">
        <v>117</v>
      </c>
      <c r="P221" s="624">
        <v>58272.536333329997</v>
      </c>
      <c r="Q221" s="624">
        <v>18259.860333330002</v>
      </c>
      <c r="R221" s="1039">
        <v>53</v>
      </c>
      <c r="S221" s="290">
        <v>0</v>
      </c>
      <c r="T221" s="290">
        <v>723</v>
      </c>
      <c r="U221" s="958">
        <v>2.4708096236017332E-3</v>
      </c>
      <c r="V221" s="290">
        <v>4907.27466869</v>
      </c>
      <c r="W221" s="765">
        <v>0.61663878000000005</v>
      </c>
      <c r="X221" s="290">
        <v>600</v>
      </c>
      <c r="Y221" s="290"/>
      <c r="Z221" s="290">
        <v>274161.28899999999</v>
      </c>
      <c r="AA221" s="290">
        <v>0</v>
      </c>
      <c r="AB221" s="290">
        <v>273</v>
      </c>
      <c r="AC221" s="290">
        <v>505</v>
      </c>
      <c r="AD221" s="290">
        <v>183</v>
      </c>
      <c r="AE221" s="290">
        <v>0</v>
      </c>
      <c r="AF221" s="290">
        <v>0</v>
      </c>
      <c r="AG221" s="290">
        <v>9049</v>
      </c>
      <c r="AH221" s="290">
        <v>1620</v>
      </c>
      <c r="AI221" s="290">
        <v>260</v>
      </c>
      <c r="AJ221" s="290">
        <v>0</v>
      </c>
      <c r="AK221" s="290">
        <v>0</v>
      </c>
      <c r="AL221" s="290">
        <v>0</v>
      </c>
      <c r="AM221" s="957">
        <v>0.14735841999999999</v>
      </c>
      <c r="AN221" s="290">
        <v>7195</v>
      </c>
      <c r="AO221" s="290">
        <v>-2509.1263961</v>
      </c>
      <c r="AP221" s="290">
        <v>0</v>
      </c>
      <c r="AQ221" s="290">
        <v>0</v>
      </c>
      <c r="AR221" s="290">
        <v>-341.74897899000001</v>
      </c>
      <c r="AS221" s="290">
        <v>771.89099999999996</v>
      </c>
      <c r="AT221" s="290">
        <v>506</v>
      </c>
      <c r="AU221" s="290">
        <v>69</v>
      </c>
      <c r="AV221" s="766">
        <v>297775</v>
      </c>
      <c r="AW221" s="290">
        <v>0</v>
      </c>
      <c r="AX221" s="766">
        <v>42.333350000000003</v>
      </c>
      <c r="AY221" s="290">
        <v>1840</v>
      </c>
      <c r="AZ221" s="290">
        <v>344</v>
      </c>
      <c r="BA221" s="290">
        <v>164</v>
      </c>
      <c r="BB221" s="290">
        <v>0</v>
      </c>
      <c r="BC221" s="290">
        <v>13333.47733048</v>
      </c>
      <c r="BD221" s="290"/>
      <c r="BE221" s="290">
        <v>282126.48118747002</v>
      </c>
      <c r="BF221" s="290">
        <v>0</v>
      </c>
      <c r="BG221" s="290">
        <v>7408</v>
      </c>
      <c r="BH221" s="290">
        <v>1000</v>
      </c>
      <c r="BI221" s="290">
        <v>2308</v>
      </c>
      <c r="BJ221" s="290">
        <v>105</v>
      </c>
      <c r="BK221" s="290">
        <v>314</v>
      </c>
      <c r="BL221" s="290">
        <v>0</v>
      </c>
      <c r="BM221" s="290">
        <v>0</v>
      </c>
      <c r="BN221" s="290">
        <v>196</v>
      </c>
      <c r="BO221" s="290">
        <v>-74</v>
      </c>
      <c r="BP221" s="290">
        <v>837</v>
      </c>
      <c r="BQ221" s="290">
        <v>1674</v>
      </c>
      <c r="BR221" s="290">
        <v>1267</v>
      </c>
      <c r="BS221" s="290">
        <v>137</v>
      </c>
      <c r="BT221" s="290">
        <v>0</v>
      </c>
      <c r="BU221" s="290">
        <v>0</v>
      </c>
      <c r="BV221" s="290">
        <v>181</v>
      </c>
      <c r="BW221" s="290">
        <v>0</v>
      </c>
      <c r="BX221" s="290">
        <v>0</v>
      </c>
      <c r="BY221" s="290">
        <v>1008</v>
      </c>
      <c r="BZ221" s="290">
        <v>1000</v>
      </c>
      <c r="CA221" s="290">
        <v>1208.5</v>
      </c>
      <c r="CB221" s="290">
        <v>86</v>
      </c>
      <c r="CC221" s="290">
        <v>1</v>
      </c>
      <c r="CD221" s="290">
        <v>183</v>
      </c>
      <c r="CE221" s="290">
        <v>274161.28899999999</v>
      </c>
      <c r="CF221" s="290">
        <v>0</v>
      </c>
      <c r="CG221" s="290">
        <v>0</v>
      </c>
      <c r="CH221" s="290">
        <v>0</v>
      </c>
      <c r="CI221" s="290">
        <v>0</v>
      </c>
      <c r="CJ221" s="290"/>
    </row>
    <row r="222" spans="1:88" ht="13">
      <c r="A222" s="1">
        <v>4211</v>
      </c>
      <c r="B222" s="2" t="s">
        <v>931</v>
      </c>
      <c r="C222" s="289">
        <v>2430</v>
      </c>
      <c r="D222" s="290">
        <v>34</v>
      </c>
      <c r="E222" s="290">
        <v>84</v>
      </c>
      <c r="F222" s="290">
        <v>274</v>
      </c>
      <c r="G222" s="290">
        <v>205</v>
      </c>
      <c r="H222" s="290">
        <v>1350</v>
      </c>
      <c r="I222" s="290">
        <v>365</v>
      </c>
      <c r="J222" s="290">
        <v>103</v>
      </c>
      <c r="K222" s="290">
        <v>27</v>
      </c>
      <c r="L222" s="290">
        <v>21</v>
      </c>
      <c r="M222" s="290">
        <v>234</v>
      </c>
      <c r="N222" s="290">
        <v>52</v>
      </c>
      <c r="O222" s="290">
        <v>33</v>
      </c>
      <c r="P222" s="624">
        <v>18986.463333330001</v>
      </c>
      <c r="Q222" s="624">
        <v>5425.7953333300002</v>
      </c>
      <c r="R222" s="1039">
        <v>18</v>
      </c>
      <c r="S222" s="290">
        <v>0</v>
      </c>
      <c r="T222" s="290">
        <v>210</v>
      </c>
      <c r="U222" s="958">
        <v>9.6278614392747864E-4</v>
      </c>
      <c r="V222" s="290">
        <v>1323.7587770299999</v>
      </c>
      <c r="W222" s="765">
        <v>0.76187788999999995</v>
      </c>
      <c r="X222" s="290">
        <v>1520</v>
      </c>
      <c r="Y222" s="290"/>
      <c r="Z222" s="290">
        <v>60138.071000000004</v>
      </c>
      <c r="AA222" s="290">
        <v>1568</v>
      </c>
      <c r="AB222" s="290">
        <v>105</v>
      </c>
      <c r="AC222" s="290">
        <v>128</v>
      </c>
      <c r="AD222" s="290">
        <v>60</v>
      </c>
      <c r="AE222" s="290">
        <v>0</v>
      </c>
      <c r="AF222" s="290">
        <v>0</v>
      </c>
      <c r="AG222" s="290">
        <v>2442</v>
      </c>
      <c r="AH222" s="290">
        <v>380</v>
      </c>
      <c r="AI222" s="290">
        <v>52</v>
      </c>
      <c r="AJ222" s="290">
        <v>0</v>
      </c>
      <c r="AK222" s="290">
        <v>0</v>
      </c>
      <c r="AL222" s="290">
        <v>0</v>
      </c>
      <c r="AM222" s="957">
        <v>4.3528409999999997E-2</v>
      </c>
      <c r="AN222" s="290">
        <v>0</v>
      </c>
      <c r="AO222" s="290">
        <v>-715.44614098</v>
      </c>
      <c r="AP222" s="290">
        <v>0</v>
      </c>
      <c r="AQ222" s="290">
        <v>0</v>
      </c>
      <c r="AR222" s="290">
        <v>709.91266340000004</v>
      </c>
      <c r="AS222" s="290">
        <v>187.98349999999999</v>
      </c>
      <c r="AT222" s="290">
        <v>162</v>
      </c>
      <c r="AU222" s="290">
        <v>16</v>
      </c>
      <c r="AV222" s="766">
        <v>96325</v>
      </c>
      <c r="AW222" s="290">
        <v>0</v>
      </c>
      <c r="AX222" s="766">
        <v>4.7916999999999996</v>
      </c>
      <c r="AY222" s="290">
        <v>334</v>
      </c>
      <c r="AZ222" s="290">
        <v>99</v>
      </c>
      <c r="BA222" s="290">
        <v>55</v>
      </c>
      <c r="BB222" s="290">
        <v>6034</v>
      </c>
      <c r="BC222" s="290">
        <v>3809.55286535</v>
      </c>
      <c r="BD222" s="290"/>
      <c r="BE222" s="290">
        <v>89972.083958679999</v>
      </c>
      <c r="BF222" s="290">
        <v>0</v>
      </c>
      <c r="BG222" s="290">
        <v>1999</v>
      </c>
      <c r="BH222" s="290">
        <v>500</v>
      </c>
      <c r="BI222" s="290">
        <v>568</v>
      </c>
      <c r="BJ222" s="290">
        <v>28</v>
      </c>
      <c r="BK222" s="290">
        <v>68</v>
      </c>
      <c r="BL222" s="290">
        <v>0</v>
      </c>
      <c r="BM222" s="290">
        <v>0</v>
      </c>
      <c r="BN222" s="290">
        <v>43</v>
      </c>
      <c r="BO222" s="290">
        <v>-22</v>
      </c>
      <c r="BP222" s="290">
        <v>225</v>
      </c>
      <c r="BQ222" s="290">
        <v>451</v>
      </c>
      <c r="BR222" s="290">
        <v>341</v>
      </c>
      <c r="BS222" s="290">
        <v>45</v>
      </c>
      <c r="BT222" s="290">
        <v>0</v>
      </c>
      <c r="BU222" s="290">
        <v>0</v>
      </c>
      <c r="BV222" s="290">
        <v>39</v>
      </c>
      <c r="BW222" s="290">
        <v>0</v>
      </c>
      <c r="BX222" s="290">
        <v>0</v>
      </c>
      <c r="BY222" s="290">
        <v>275</v>
      </c>
      <c r="BZ222" s="290">
        <v>800</v>
      </c>
      <c r="CA222" s="290">
        <v>140</v>
      </c>
      <c r="CB222" s="290">
        <v>31</v>
      </c>
      <c r="CC222" s="290">
        <v>0</v>
      </c>
      <c r="CD222" s="290">
        <v>55</v>
      </c>
      <c r="CE222" s="290">
        <v>60138.071000000004</v>
      </c>
      <c r="CF222" s="290">
        <v>0</v>
      </c>
      <c r="CG222" s="290">
        <v>0</v>
      </c>
      <c r="CH222" s="290">
        <v>0</v>
      </c>
      <c r="CI222" s="290">
        <v>0</v>
      </c>
      <c r="CJ222" s="290"/>
    </row>
    <row r="223" spans="1:88" ht="13">
      <c r="A223" s="1">
        <v>4212</v>
      </c>
      <c r="B223" s="2" t="s">
        <v>706</v>
      </c>
      <c r="C223" s="289">
        <v>2128</v>
      </c>
      <c r="D223" s="290">
        <v>46</v>
      </c>
      <c r="E223" s="290">
        <v>85</v>
      </c>
      <c r="F223" s="290">
        <v>293</v>
      </c>
      <c r="G223" s="290">
        <v>175</v>
      </c>
      <c r="H223" s="290">
        <v>1206</v>
      </c>
      <c r="I223" s="290">
        <v>215</v>
      </c>
      <c r="J223" s="290">
        <v>87</v>
      </c>
      <c r="K223" s="290">
        <v>15</v>
      </c>
      <c r="L223" s="290">
        <v>21</v>
      </c>
      <c r="M223" s="290">
        <v>142</v>
      </c>
      <c r="N223" s="290">
        <v>43</v>
      </c>
      <c r="O223" s="290">
        <v>32</v>
      </c>
      <c r="P223" s="624">
        <v>10898.178</v>
      </c>
      <c r="Q223" s="624">
        <v>8428.5910000000003</v>
      </c>
      <c r="R223" s="1039">
        <v>7</v>
      </c>
      <c r="S223" s="290">
        <v>0</v>
      </c>
      <c r="T223" s="290">
        <v>195</v>
      </c>
      <c r="U223" s="958">
        <v>6.9776194457556433E-4</v>
      </c>
      <c r="V223" s="290">
        <v>1244.84247071</v>
      </c>
      <c r="W223" s="765">
        <v>0.81820303999999999</v>
      </c>
      <c r="X223" s="290">
        <v>910</v>
      </c>
      <c r="Y223" s="290"/>
      <c r="Z223" s="290">
        <v>53853.637999999999</v>
      </c>
      <c r="AA223" s="290">
        <v>0</v>
      </c>
      <c r="AB223" s="290">
        <v>65</v>
      </c>
      <c r="AC223" s="290">
        <v>135</v>
      </c>
      <c r="AD223" s="290">
        <v>53</v>
      </c>
      <c r="AE223" s="290">
        <v>0</v>
      </c>
      <c r="AF223" s="290">
        <v>0</v>
      </c>
      <c r="AG223" s="290">
        <v>2122</v>
      </c>
      <c r="AH223" s="290">
        <v>399</v>
      </c>
      <c r="AI223" s="290">
        <v>50</v>
      </c>
      <c r="AJ223" s="290">
        <v>0</v>
      </c>
      <c r="AK223" s="290">
        <v>0</v>
      </c>
      <c r="AL223" s="290">
        <v>0</v>
      </c>
      <c r="AM223" s="957">
        <v>2.6025329999999999E-2</v>
      </c>
      <c r="AN223" s="290">
        <v>0</v>
      </c>
      <c r="AO223" s="290">
        <v>-623.08900754000001</v>
      </c>
      <c r="AP223" s="290">
        <v>0</v>
      </c>
      <c r="AQ223" s="290">
        <v>0</v>
      </c>
      <c r="AR223" s="290">
        <v>2107.4808487300002</v>
      </c>
      <c r="AS223" s="290">
        <v>213.5685</v>
      </c>
      <c r="AT223" s="290">
        <v>102</v>
      </c>
      <c r="AU223" s="290">
        <v>11</v>
      </c>
      <c r="AV223" s="766">
        <v>84307</v>
      </c>
      <c r="AW223" s="290">
        <v>0</v>
      </c>
      <c r="AX223" s="766">
        <v>15.916650000000001</v>
      </c>
      <c r="AY223" s="290">
        <v>407</v>
      </c>
      <c r="AZ223" s="290">
        <v>102</v>
      </c>
      <c r="BA223" s="290">
        <v>37</v>
      </c>
      <c r="BB223" s="290">
        <v>4225</v>
      </c>
      <c r="BC223" s="290">
        <v>3501.3472626100001</v>
      </c>
      <c r="BD223" s="290"/>
      <c r="BE223" s="290">
        <v>77248.263066829997</v>
      </c>
      <c r="BF223" s="290">
        <v>0</v>
      </c>
      <c r="BG223" s="290">
        <v>1737</v>
      </c>
      <c r="BH223" s="290">
        <v>500</v>
      </c>
      <c r="BI223" s="290">
        <v>587</v>
      </c>
      <c r="BJ223" s="290">
        <v>24</v>
      </c>
      <c r="BK223" s="290">
        <v>76</v>
      </c>
      <c r="BL223" s="290">
        <v>0</v>
      </c>
      <c r="BM223" s="290">
        <v>0</v>
      </c>
      <c r="BN223" s="290">
        <v>48</v>
      </c>
      <c r="BO223" s="290">
        <v>-18</v>
      </c>
      <c r="BP223" s="290">
        <v>197</v>
      </c>
      <c r="BQ223" s="290">
        <v>395</v>
      </c>
      <c r="BR223" s="290">
        <v>299</v>
      </c>
      <c r="BS223" s="290">
        <v>40</v>
      </c>
      <c r="BT223" s="290">
        <v>0</v>
      </c>
      <c r="BU223" s="290">
        <v>0</v>
      </c>
      <c r="BV223" s="290">
        <v>44</v>
      </c>
      <c r="BW223" s="290">
        <v>0</v>
      </c>
      <c r="BX223" s="290">
        <v>0</v>
      </c>
      <c r="BY223" s="290">
        <v>210</v>
      </c>
      <c r="BZ223" s="290">
        <v>0</v>
      </c>
      <c r="CA223" s="290">
        <v>571.4</v>
      </c>
      <c r="CB223" s="290">
        <v>30</v>
      </c>
      <c r="CC223" s="290">
        <v>0</v>
      </c>
      <c r="CD223" s="290">
        <v>44</v>
      </c>
      <c r="CE223" s="290">
        <v>53853.637999999999</v>
      </c>
      <c r="CF223" s="290">
        <v>0</v>
      </c>
      <c r="CG223" s="290">
        <v>0</v>
      </c>
      <c r="CH223" s="290">
        <v>0</v>
      </c>
      <c r="CI223" s="290">
        <v>0</v>
      </c>
      <c r="CJ223" s="290"/>
    </row>
    <row r="224" spans="1:88" ht="13">
      <c r="A224" s="1">
        <v>4213</v>
      </c>
      <c r="B224" s="2" t="s">
        <v>932</v>
      </c>
      <c r="C224" s="289">
        <v>6067</v>
      </c>
      <c r="D224" s="290">
        <v>91</v>
      </c>
      <c r="E224" s="290">
        <v>218</v>
      </c>
      <c r="F224" s="290">
        <v>697</v>
      </c>
      <c r="G224" s="290">
        <v>502</v>
      </c>
      <c r="H224" s="290">
        <v>3327</v>
      </c>
      <c r="I224" s="290">
        <v>912</v>
      </c>
      <c r="J224" s="290">
        <v>242</v>
      </c>
      <c r="K224" s="290">
        <v>56</v>
      </c>
      <c r="L224" s="290">
        <v>54</v>
      </c>
      <c r="M224" s="290">
        <v>536</v>
      </c>
      <c r="N224" s="290">
        <v>125</v>
      </c>
      <c r="O224" s="290">
        <v>62</v>
      </c>
      <c r="P224" s="624">
        <v>46310.902000000002</v>
      </c>
      <c r="Q224" s="624">
        <v>21411.018</v>
      </c>
      <c r="R224" s="1039">
        <v>29</v>
      </c>
      <c r="S224" s="290">
        <v>0</v>
      </c>
      <c r="T224" s="290">
        <v>571</v>
      </c>
      <c r="U224" s="958">
        <v>1.180641902620926E-3</v>
      </c>
      <c r="V224" s="290">
        <v>2968.9973869599999</v>
      </c>
      <c r="W224" s="765">
        <v>0.66975368999999996</v>
      </c>
      <c r="X224" s="290">
        <v>750</v>
      </c>
      <c r="Y224" s="290"/>
      <c r="Z224" s="290">
        <v>179389.15</v>
      </c>
      <c r="AA224" s="290">
        <v>0</v>
      </c>
      <c r="AB224" s="290">
        <v>211</v>
      </c>
      <c r="AC224" s="290">
        <v>310</v>
      </c>
      <c r="AD224" s="290">
        <v>130</v>
      </c>
      <c r="AE224" s="290">
        <v>0</v>
      </c>
      <c r="AF224" s="290">
        <v>0</v>
      </c>
      <c r="AG224" s="290">
        <v>6045</v>
      </c>
      <c r="AH224" s="290">
        <v>967</v>
      </c>
      <c r="AI224" s="290">
        <v>629</v>
      </c>
      <c r="AJ224" s="290">
        <v>0</v>
      </c>
      <c r="AK224" s="290">
        <v>0</v>
      </c>
      <c r="AL224" s="290">
        <v>0</v>
      </c>
      <c r="AM224" s="957">
        <v>0.22757944999999999</v>
      </c>
      <c r="AN224" s="290">
        <v>5083</v>
      </c>
      <c r="AO224" s="290">
        <v>-1644.66129731</v>
      </c>
      <c r="AP224" s="290">
        <v>0</v>
      </c>
      <c r="AQ224" s="290">
        <v>0</v>
      </c>
      <c r="AR224" s="290">
        <v>370.89031384999998</v>
      </c>
      <c r="AS224" s="290">
        <v>493.68599999999998</v>
      </c>
      <c r="AT224" s="290">
        <v>367</v>
      </c>
      <c r="AU224" s="290">
        <v>71</v>
      </c>
      <c r="AV224" s="766">
        <v>194438</v>
      </c>
      <c r="AW224" s="290">
        <v>0</v>
      </c>
      <c r="AX224" s="766">
        <v>24.708349999999999</v>
      </c>
      <c r="AY224" s="290">
        <v>1284</v>
      </c>
      <c r="AZ224" s="290">
        <v>320</v>
      </c>
      <c r="BA224" s="290">
        <v>135</v>
      </c>
      <c r="BB224" s="290">
        <v>0</v>
      </c>
      <c r="BC224" s="290">
        <v>8798.0677328999991</v>
      </c>
      <c r="BD224" s="290"/>
      <c r="BE224" s="290">
        <v>181710.08439397</v>
      </c>
      <c r="BF224" s="290">
        <v>0</v>
      </c>
      <c r="BG224" s="290">
        <v>4948</v>
      </c>
      <c r="BH224" s="290">
        <v>1000</v>
      </c>
      <c r="BI224" s="290">
        <v>1407</v>
      </c>
      <c r="BJ224" s="290">
        <v>70</v>
      </c>
      <c r="BK224" s="290">
        <v>191</v>
      </c>
      <c r="BL224" s="290">
        <v>0</v>
      </c>
      <c r="BM224" s="290">
        <v>0</v>
      </c>
      <c r="BN224" s="290">
        <v>119</v>
      </c>
      <c r="BO224" s="290">
        <v>-60</v>
      </c>
      <c r="BP224" s="290">
        <v>563</v>
      </c>
      <c r="BQ224" s="290">
        <v>1125</v>
      </c>
      <c r="BR224" s="290">
        <v>852</v>
      </c>
      <c r="BS224" s="290">
        <v>98</v>
      </c>
      <c r="BT224" s="290">
        <v>0</v>
      </c>
      <c r="BU224" s="290">
        <v>0</v>
      </c>
      <c r="BV224" s="290">
        <v>110</v>
      </c>
      <c r="BW224" s="290">
        <v>0</v>
      </c>
      <c r="BX224" s="290">
        <v>0</v>
      </c>
      <c r="BY224" s="290">
        <v>704</v>
      </c>
      <c r="BZ224" s="290">
        <v>200</v>
      </c>
      <c r="CA224" s="290">
        <v>630.20000000000005</v>
      </c>
      <c r="CB224" s="290">
        <v>61</v>
      </c>
      <c r="CC224" s="290">
        <v>0</v>
      </c>
      <c r="CD224" s="290">
        <v>148</v>
      </c>
      <c r="CE224" s="290">
        <v>179389.15</v>
      </c>
      <c r="CF224" s="290">
        <v>0</v>
      </c>
      <c r="CG224" s="290">
        <v>0</v>
      </c>
      <c r="CH224" s="290">
        <v>0</v>
      </c>
      <c r="CI224" s="290">
        <v>0</v>
      </c>
      <c r="CJ224" s="290"/>
    </row>
    <row r="225" spans="1:88" ht="13">
      <c r="A225" s="1">
        <v>4214</v>
      </c>
      <c r="B225" s="2" t="s">
        <v>933</v>
      </c>
      <c r="C225" s="289">
        <v>6004</v>
      </c>
      <c r="D225" s="290">
        <v>145</v>
      </c>
      <c r="E225" s="290">
        <v>287</v>
      </c>
      <c r="F225" s="290">
        <v>809</v>
      </c>
      <c r="G225" s="290">
        <v>507</v>
      </c>
      <c r="H225" s="290">
        <v>3388</v>
      </c>
      <c r="I225" s="290">
        <v>658</v>
      </c>
      <c r="J225" s="290">
        <v>154</v>
      </c>
      <c r="K225" s="290">
        <v>32</v>
      </c>
      <c r="L225" s="290">
        <v>49</v>
      </c>
      <c r="M225" s="290">
        <v>339</v>
      </c>
      <c r="N225" s="290">
        <v>115</v>
      </c>
      <c r="O225" s="290">
        <v>45</v>
      </c>
      <c r="P225" s="624">
        <v>32386.784</v>
      </c>
      <c r="Q225" s="624">
        <v>20561.55866667</v>
      </c>
      <c r="R225" s="1039">
        <v>20</v>
      </c>
      <c r="S225" s="290">
        <v>0</v>
      </c>
      <c r="T225" s="290">
        <v>436</v>
      </c>
      <c r="U225" s="958">
        <v>1.5063932092335363E-3</v>
      </c>
      <c r="V225" s="290">
        <v>718.87676016</v>
      </c>
      <c r="W225" s="765">
        <v>0.64442195999999996</v>
      </c>
      <c r="X225" s="290">
        <v>530</v>
      </c>
      <c r="Y225" s="290"/>
      <c r="Z225" s="290">
        <v>164590.89499999999</v>
      </c>
      <c r="AA225" s="290">
        <v>0</v>
      </c>
      <c r="AB225" s="290">
        <v>252</v>
      </c>
      <c r="AC225" s="290">
        <v>348</v>
      </c>
      <c r="AD225" s="290">
        <v>120</v>
      </c>
      <c r="AE225" s="290">
        <v>0</v>
      </c>
      <c r="AF225" s="290">
        <v>0</v>
      </c>
      <c r="AG225" s="290">
        <v>5980</v>
      </c>
      <c r="AH225" s="290">
        <v>1155</v>
      </c>
      <c r="AI225" s="290">
        <v>932</v>
      </c>
      <c r="AJ225" s="290">
        <v>0</v>
      </c>
      <c r="AK225" s="290">
        <v>0</v>
      </c>
      <c r="AL225" s="290">
        <v>0</v>
      </c>
      <c r="AM225" s="957">
        <v>0.19398086</v>
      </c>
      <c r="AN225" s="290">
        <v>0</v>
      </c>
      <c r="AO225" s="290">
        <v>-1575.52689171</v>
      </c>
      <c r="AP225" s="290">
        <v>0</v>
      </c>
      <c r="AQ225" s="290">
        <v>0</v>
      </c>
      <c r="AR225" s="290">
        <v>-225.84361745999999</v>
      </c>
      <c r="AS225" s="290">
        <v>519.76099999999997</v>
      </c>
      <c r="AT225" s="290">
        <v>349</v>
      </c>
      <c r="AU225" s="290">
        <v>76</v>
      </c>
      <c r="AV225" s="766">
        <v>166153</v>
      </c>
      <c r="AW225" s="290">
        <v>0</v>
      </c>
      <c r="AX225" s="766">
        <v>57.416649999999997</v>
      </c>
      <c r="AY225" s="290">
        <v>968</v>
      </c>
      <c r="AZ225" s="290">
        <v>259</v>
      </c>
      <c r="BA225" s="290">
        <v>148</v>
      </c>
      <c r="BB225" s="290">
        <v>0</v>
      </c>
      <c r="BC225" s="290">
        <v>8783.9417598199998</v>
      </c>
      <c r="BD225" s="290"/>
      <c r="BE225" s="290">
        <v>161196.22382700999</v>
      </c>
      <c r="BF225" s="290">
        <v>0</v>
      </c>
      <c r="BG225" s="290">
        <v>4895</v>
      </c>
      <c r="BH225" s="290">
        <v>1000</v>
      </c>
      <c r="BI225" s="290">
        <v>1623</v>
      </c>
      <c r="BJ225" s="290">
        <v>67</v>
      </c>
      <c r="BK225" s="290">
        <v>253</v>
      </c>
      <c r="BL225" s="290">
        <v>0</v>
      </c>
      <c r="BM225" s="290">
        <v>0</v>
      </c>
      <c r="BN225" s="290">
        <v>158</v>
      </c>
      <c r="BO225" s="290">
        <v>-55</v>
      </c>
      <c r="BP225" s="290">
        <v>557</v>
      </c>
      <c r="BQ225" s="290">
        <v>1114</v>
      </c>
      <c r="BR225" s="290">
        <v>843</v>
      </c>
      <c r="BS225" s="290">
        <v>90</v>
      </c>
      <c r="BT225" s="290">
        <v>0</v>
      </c>
      <c r="BU225" s="290">
        <v>0</v>
      </c>
      <c r="BV225" s="290">
        <v>146</v>
      </c>
      <c r="BW225" s="290">
        <v>-29495</v>
      </c>
      <c r="BX225" s="290">
        <v>0</v>
      </c>
      <c r="BY225" s="290">
        <v>559</v>
      </c>
      <c r="BZ225" s="290">
        <v>1000</v>
      </c>
      <c r="CA225" s="290">
        <v>300.93599999999998</v>
      </c>
      <c r="CB225" s="290">
        <v>60</v>
      </c>
      <c r="CC225" s="290">
        <v>0</v>
      </c>
      <c r="CD225" s="290">
        <v>137</v>
      </c>
      <c r="CE225" s="290">
        <v>164590.89499999999</v>
      </c>
      <c r="CF225" s="290">
        <v>0</v>
      </c>
      <c r="CG225" s="290">
        <v>0</v>
      </c>
      <c r="CH225" s="290">
        <v>0</v>
      </c>
      <c r="CI225" s="290">
        <v>0</v>
      </c>
      <c r="CJ225" s="290"/>
    </row>
    <row r="226" spans="1:88" ht="13">
      <c r="A226" s="1">
        <v>4215</v>
      </c>
      <c r="B226" s="2" t="s">
        <v>934</v>
      </c>
      <c r="C226" s="289">
        <v>11180</v>
      </c>
      <c r="D226" s="290">
        <v>199</v>
      </c>
      <c r="E226" s="290">
        <v>521</v>
      </c>
      <c r="F226" s="290">
        <v>1536</v>
      </c>
      <c r="G226" s="290">
        <v>925</v>
      </c>
      <c r="H226" s="290">
        <v>6134</v>
      </c>
      <c r="I226" s="290">
        <v>1355</v>
      </c>
      <c r="J226" s="290">
        <v>392</v>
      </c>
      <c r="K226" s="290">
        <v>75</v>
      </c>
      <c r="L226" s="290">
        <v>83</v>
      </c>
      <c r="M226" s="290">
        <v>673</v>
      </c>
      <c r="N226" s="290">
        <v>272</v>
      </c>
      <c r="O226" s="290">
        <v>70</v>
      </c>
      <c r="P226" s="624">
        <v>87583.18466667</v>
      </c>
      <c r="Q226" s="624">
        <v>15654.316999999999</v>
      </c>
      <c r="R226" s="1039">
        <v>36</v>
      </c>
      <c r="S226" s="290">
        <v>0</v>
      </c>
      <c r="T226" s="290">
        <v>820</v>
      </c>
      <c r="U226" s="958">
        <v>1.1704828314174007E-3</v>
      </c>
      <c r="V226" s="290">
        <v>-8.2729068800000007</v>
      </c>
      <c r="W226" s="765">
        <v>0.57778512999999998</v>
      </c>
      <c r="X226" s="290">
        <v>770</v>
      </c>
      <c r="Y226" s="290"/>
      <c r="Z226" s="290">
        <v>363857.75599999999</v>
      </c>
      <c r="AA226" s="290">
        <v>0</v>
      </c>
      <c r="AB226" s="290">
        <v>312</v>
      </c>
      <c r="AC226" s="290">
        <v>644</v>
      </c>
      <c r="AD226" s="290">
        <v>216</v>
      </c>
      <c r="AE226" s="290">
        <v>0</v>
      </c>
      <c r="AF226" s="290">
        <v>0</v>
      </c>
      <c r="AG226" s="290">
        <v>11137</v>
      </c>
      <c r="AH226" s="290">
        <v>2084</v>
      </c>
      <c r="AI226" s="290">
        <v>36</v>
      </c>
      <c r="AJ226" s="290">
        <v>0</v>
      </c>
      <c r="AK226" s="290">
        <v>0</v>
      </c>
      <c r="AL226" s="290">
        <v>0</v>
      </c>
      <c r="AM226" s="957">
        <v>0.15551541999999999</v>
      </c>
      <c r="AN226" s="290">
        <v>0</v>
      </c>
      <c r="AO226" s="290">
        <v>-2902.97470041</v>
      </c>
      <c r="AP226" s="290">
        <v>0</v>
      </c>
      <c r="AQ226" s="290">
        <v>0</v>
      </c>
      <c r="AR226" s="290">
        <v>-420.60541265000001</v>
      </c>
      <c r="AS226" s="290">
        <v>937.53049999999996</v>
      </c>
      <c r="AT226" s="290">
        <v>657</v>
      </c>
      <c r="AU226" s="290">
        <v>82</v>
      </c>
      <c r="AV226" s="766">
        <v>115327</v>
      </c>
      <c r="AW226" s="290">
        <v>400</v>
      </c>
      <c r="AX226" s="766">
        <v>84.875</v>
      </c>
      <c r="AY226" s="290">
        <v>2901</v>
      </c>
      <c r="AZ226" s="290">
        <v>354</v>
      </c>
      <c r="BA226" s="290">
        <v>213</v>
      </c>
      <c r="BB226" s="290">
        <v>0</v>
      </c>
      <c r="BC226" s="290">
        <v>-175696.49173070001</v>
      </c>
      <c r="BD226" s="290"/>
      <c r="BE226" s="290">
        <v>94309.427049150006</v>
      </c>
      <c r="BF226" s="290">
        <v>0</v>
      </c>
      <c r="BG226" s="290">
        <v>9117</v>
      </c>
      <c r="BH226" s="290">
        <v>1000</v>
      </c>
      <c r="BI226" s="290">
        <v>-194429</v>
      </c>
      <c r="BJ226" s="290">
        <v>127</v>
      </c>
      <c r="BK226" s="290">
        <v>468</v>
      </c>
      <c r="BL226" s="290">
        <v>-197373</v>
      </c>
      <c r="BM226" s="290">
        <v>0</v>
      </c>
      <c r="BN226" s="290">
        <v>293</v>
      </c>
      <c r="BO226" s="290">
        <v>-87</v>
      </c>
      <c r="BP226" s="290">
        <v>1037</v>
      </c>
      <c r="BQ226" s="290">
        <v>2074</v>
      </c>
      <c r="BR226" s="290">
        <v>1570</v>
      </c>
      <c r="BS226" s="290">
        <v>162</v>
      </c>
      <c r="BT226" s="290">
        <v>0</v>
      </c>
      <c r="BU226" s="290">
        <v>0</v>
      </c>
      <c r="BV226" s="290">
        <v>269</v>
      </c>
      <c r="BW226" s="290">
        <v>0</v>
      </c>
      <c r="BX226" s="290">
        <v>0</v>
      </c>
      <c r="BY226" s="290">
        <v>1153</v>
      </c>
      <c r="BZ226" s="290">
        <v>1500</v>
      </c>
      <c r="CA226" s="290">
        <v>1049.1000000000001</v>
      </c>
      <c r="CB226" s="290">
        <v>104</v>
      </c>
      <c r="CC226" s="290">
        <v>1</v>
      </c>
      <c r="CD226" s="290">
        <v>217</v>
      </c>
      <c r="CE226" s="290">
        <v>363857.75599999999</v>
      </c>
      <c r="CF226" s="290">
        <v>0</v>
      </c>
      <c r="CG226" s="290">
        <v>0</v>
      </c>
      <c r="CH226" s="290">
        <v>0</v>
      </c>
      <c r="CI226" s="290">
        <v>0</v>
      </c>
      <c r="CJ226" s="290"/>
    </row>
    <row r="227" spans="1:88" ht="13">
      <c r="A227" s="1">
        <v>4216</v>
      </c>
      <c r="B227" s="2" t="s">
        <v>935</v>
      </c>
      <c r="C227" s="289">
        <v>5274</v>
      </c>
      <c r="D227" s="290">
        <v>113</v>
      </c>
      <c r="E227" s="290">
        <v>281</v>
      </c>
      <c r="F227" s="290">
        <v>789</v>
      </c>
      <c r="G227" s="290">
        <v>448</v>
      </c>
      <c r="H227" s="290">
        <v>2817</v>
      </c>
      <c r="I227" s="290">
        <v>588</v>
      </c>
      <c r="J227" s="290">
        <v>151</v>
      </c>
      <c r="K227" s="290">
        <v>37</v>
      </c>
      <c r="L227" s="290">
        <v>36</v>
      </c>
      <c r="M227" s="290">
        <v>293</v>
      </c>
      <c r="N227" s="290">
        <v>111</v>
      </c>
      <c r="O227" s="290">
        <v>52</v>
      </c>
      <c r="P227" s="624">
        <v>36191.849000000002</v>
      </c>
      <c r="Q227" s="624">
        <v>18007.49333333</v>
      </c>
      <c r="R227" s="1039">
        <v>27</v>
      </c>
      <c r="S227" s="290">
        <v>0</v>
      </c>
      <c r="T227" s="290">
        <v>362</v>
      </c>
      <c r="U227" s="958">
        <v>1.835287446181584E-3</v>
      </c>
      <c r="V227" s="290">
        <v>2206.4460872499999</v>
      </c>
      <c r="W227" s="765">
        <v>0.67016226000000001</v>
      </c>
      <c r="X227" s="290">
        <v>1030</v>
      </c>
      <c r="Y227" s="290"/>
      <c r="Z227" s="290">
        <v>134213.856</v>
      </c>
      <c r="AA227" s="290">
        <v>0</v>
      </c>
      <c r="AB227" s="290">
        <v>200</v>
      </c>
      <c r="AC227" s="290">
        <v>1521</v>
      </c>
      <c r="AD227" s="290">
        <v>110</v>
      </c>
      <c r="AE227" s="290">
        <v>0</v>
      </c>
      <c r="AF227" s="290">
        <v>0</v>
      </c>
      <c r="AG227" s="290">
        <v>5224</v>
      </c>
      <c r="AH227" s="290">
        <v>1070</v>
      </c>
      <c r="AI227" s="290">
        <v>1098</v>
      </c>
      <c r="AJ227" s="290">
        <v>0</v>
      </c>
      <c r="AK227" s="290">
        <v>0</v>
      </c>
      <c r="AL227" s="290">
        <v>0</v>
      </c>
      <c r="AM227" s="957">
        <v>6.6589830000000003E-2</v>
      </c>
      <c r="AN227" s="290">
        <v>0</v>
      </c>
      <c r="AO227" s="290">
        <v>-1474.4031797299999</v>
      </c>
      <c r="AP227" s="290">
        <v>0</v>
      </c>
      <c r="AQ227" s="290">
        <v>0</v>
      </c>
      <c r="AR227" s="290">
        <v>-197.29215009999999</v>
      </c>
      <c r="AS227" s="290">
        <v>1230.9314999999999</v>
      </c>
      <c r="AT227" s="290">
        <v>254</v>
      </c>
      <c r="AU227" s="290">
        <v>40</v>
      </c>
      <c r="AV227" s="766">
        <v>168770</v>
      </c>
      <c r="AW227" s="290">
        <v>0</v>
      </c>
      <c r="AX227" s="766">
        <v>28.374949999999998</v>
      </c>
      <c r="AY227" s="290">
        <v>946</v>
      </c>
      <c r="AZ227" s="290">
        <v>179</v>
      </c>
      <c r="BA227" s="290">
        <v>112</v>
      </c>
      <c r="BB227" s="290">
        <v>0</v>
      </c>
      <c r="BC227" s="290">
        <v>9731.6977979700005</v>
      </c>
      <c r="BD227" s="290"/>
      <c r="BE227" s="290">
        <v>165844.71364271999</v>
      </c>
      <c r="BF227" s="290">
        <v>0</v>
      </c>
      <c r="BG227" s="290">
        <v>4276</v>
      </c>
      <c r="BH227" s="290">
        <v>1000</v>
      </c>
      <c r="BI227" s="290">
        <v>2701</v>
      </c>
      <c r="BJ227" s="290">
        <v>60</v>
      </c>
      <c r="BK227" s="290">
        <v>232</v>
      </c>
      <c r="BL227" s="290">
        <v>0</v>
      </c>
      <c r="BM227" s="290">
        <v>0</v>
      </c>
      <c r="BN227" s="290">
        <v>145</v>
      </c>
      <c r="BO227" s="290">
        <v>-42</v>
      </c>
      <c r="BP227" s="290">
        <v>489</v>
      </c>
      <c r="BQ227" s="290">
        <v>978</v>
      </c>
      <c r="BR227" s="290">
        <v>741</v>
      </c>
      <c r="BS227" s="290">
        <v>82</v>
      </c>
      <c r="BT227" s="290">
        <v>0</v>
      </c>
      <c r="BU227" s="290">
        <v>0</v>
      </c>
      <c r="BV227" s="290">
        <v>133</v>
      </c>
      <c r="BW227" s="290">
        <v>0</v>
      </c>
      <c r="BX227" s="290">
        <v>0</v>
      </c>
      <c r="BY227" s="290">
        <v>514</v>
      </c>
      <c r="BZ227" s="290">
        <v>0</v>
      </c>
      <c r="CA227" s="290">
        <v>281.62099999999998</v>
      </c>
      <c r="CB227" s="290">
        <v>54</v>
      </c>
      <c r="CC227" s="290">
        <v>0</v>
      </c>
      <c r="CD227" s="290">
        <v>103</v>
      </c>
      <c r="CE227" s="290">
        <v>134213.856</v>
      </c>
      <c r="CF227" s="290">
        <v>0</v>
      </c>
      <c r="CG227" s="290">
        <v>0</v>
      </c>
      <c r="CH227" s="290">
        <v>0</v>
      </c>
      <c r="CI227" s="290">
        <v>0</v>
      </c>
      <c r="CJ227" s="290"/>
    </row>
    <row r="228" spans="1:88" ht="13">
      <c r="A228" s="1">
        <v>4217</v>
      </c>
      <c r="B228" s="2" t="s">
        <v>936</v>
      </c>
      <c r="C228" s="289">
        <v>1822</v>
      </c>
      <c r="D228" s="290">
        <v>42</v>
      </c>
      <c r="E228" s="290">
        <v>91</v>
      </c>
      <c r="F228" s="290">
        <v>216</v>
      </c>
      <c r="G228" s="290">
        <v>153</v>
      </c>
      <c r="H228" s="290">
        <v>957</v>
      </c>
      <c r="I228" s="290">
        <v>260</v>
      </c>
      <c r="J228" s="290">
        <v>91</v>
      </c>
      <c r="K228" s="290">
        <v>12</v>
      </c>
      <c r="L228" s="290">
        <v>19</v>
      </c>
      <c r="M228" s="290">
        <v>173</v>
      </c>
      <c r="N228" s="290">
        <v>68</v>
      </c>
      <c r="O228" s="290">
        <v>29</v>
      </c>
      <c r="P228" s="624">
        <v>18280.931</v>
      </c>
      <c r="Q228" s="624">
        <v>10691.34366667</v>
      </c>
      <c r="R228" s="1039">
        <v>26</v>
      </c>
      <c r="S228" s="290">
        <v>0</v>
      </c>
      <c r="T228" s="290">
        <v>170</v>
      </c>
      <c r="U228" s="958">
        <v>1.3766808694382143E-3</v>
      </c>
      <c r="V228" s="290">
        <v>1008.24167526</v>
      </c>
      <c r="W228" s="765">
        <v>1</v>
      </c>
      <c r="X228" s="290">
        <v>1070</v>
      </c>
      <c r="Y228" s="290"/>
      <c r="Z228" s="290">
        <v>51760.203999999998</v>
      </c>
      <c r="AA228" s="290">
        <v>0</v>
      </c>
      <c r="AB228" s="290">
        <v>80</v>
      </c>
      <c r="AC228" s="290">
        <v>110</v>
      </c>
      <c r="AD228" s="290">
        <v>55</v>
      </c>
      <c r="AE228" s="290">
        <v>0</v>
      </c>
      <c r="AF228" s="290">
        <v>0</v>
      </c>
      <c r="AG228" s="290">
        <v>1822</v>
      </c>
      <c r="AH228" s="290">
        <v>325</v>
      </c>
      <c r="AI228" s="290">
        <v>43</v>
      </c>
      <c r="AJ228" s="290">
        <v>0</v>
      </c>
      <c r="AK228" s="290">
        <v>0</v>
      </c>
      <c r="AL228" s="290">
        <v>0</v>
      </c>
      <c r="AM228" s="957">
        <v>5.9675230000000003E-2</v>
      </c>
      <c r="AN228" s="290">
        <v>0</v>
      </c>
      <c r="AO228" s="290">
        <v>-663.23163116000001</v>
      </c>
      <c r="AP228" s="290">
        <v>0</v>
      </c>
      <c r="AQ228" s="290">
        <v>0</v>
      </c>
      <c r="AR228" s="290">
        <v>-68.810546990000006</v>
      </c>
      <c r="AS228" s="290">
        <v>163.3115</v>
      </c>
      <c r="AT228" s="290">
        <v>93</v>
      </c>
      <c r="AU228" s="290">
        <v>21</v>
      </c>
      <c r="AV228" s="766">
        <v>96495</v>
      </c>
      <c r="AW228" s="290">
        <v>0</v>
      </c>
      <c r="AX228" s="766">
        <v>8.5832999999999995</v>
      </c>
      <c r="AY228" s="290">
        <v>309</v>
      </c>
      <c r="AZ228" s="290">
        <v>103</v>
      </c>
      <c r="BA228" s="290">
        <v>23</v>
      </c>
      <c r="BB228" s="290">
        <v>4827</v>
      </c>
      <c r="BC228" s="290">
        <v>3468.41247565</v>
      </c>
      <c r="BD228" s="290"/>
      <c r="BE228" s="290">
        <v>95985.770154269994</v>
      </c>
      <c r="BF228" s="290">
        <v>0</v>
      </c>
      <c r="BG228" s="290">
        <v>1491</v>
      </c>
      <c r="BH228" s="290">
        <v>500</v>
      </c>
      <c r="BI228" s="290">
        <v>490</v>
      </c>
      <c r="BJ228" s="290">
        <v>21</v>
      </c>
      <c r="BK228" s="290">
        <v>75</v>
      </c>
      <c r="BL228" s="290">
        <v>0</v>
      </c>
      <c r="BM228" s="290">
        <v>0</v>
      </c>
      <c r="BN228" s="290">
        <v>47</v>
      </c>
      <c r="BO228" s="290">
        <v>-20</v>
      </c>
      <c r="BP228" s="290">
        <v>169</v>
      </c>
      <c r="BQ228" s="290">
        <v>338</v>
      </c>
      <c r="BR228" s="290">
        <v>256</v>
      </c>
      <c r="BS228" s="290">
        <v>41</v>
      </c>
      <c r="BT228" s="290">
        <v>0</v>
      </c>
      <c r="BU228" s="290">
        <v>0</v>
      </c>
      <c r="BV228" s="290">
        <v>43</v>
      </c>
      <c r="BW228" s="290">
        <v>0</v>
      </c>
      <c r="BX228" s="290">
        <v>0</v>
      </c>
      <c r="BY228" s="290">
        <v>206</v>
      </c>
      <c r="BZ228" s="290">
        <v>0</v>
      </c>
      <c r="CA228" s="290">
        <v>291</v>
      </c>
      <c r="CB228" s="290">
        <v>30</v>
      </c>
      <c r="CC228" s="290">
        <v>0</v>
      </c>
      <c r="CD228" s="290">
        <v>48</v>
      </c>
      <c r="CE228" s="290">
        <v>51760.203999999998</v>
      </c>
      <c r="CF228" s="290">
        <v>0</v>
      </c>
      <c r="CG228" s="290">
        <v>0</v>
      </c>
      <c r="CH228" s="290">
        <v>0</v>
      </c>
      <c r="CI228" s="290">
        <v>0</v>
      </c>
      <c r="CJ228" s="290"/>
    </row>
    <row r="229" spans="1:88" ht="13">
      <c r="A229" s="1">
        <v>4218</v>
      </c>
      <c r="B229" s="2" t="s">
        <v>937</v>
      </c>
      <c r="C229" s="289">
        <v>1335</v>
      </c>
      <c r="D229" s="290">
        <v>36</v>
      </c>
      <c r="E229" s="290">
        <v>84</v>
      </c>
      <c r="F229" s="290">
        <v>190</v>
      </c>
      <c r="G229" s="290">
        <v>106</v>
      </c>
      <c r="H229" s="290">
        <v>744</v>
      </c>
      <c r="I229" s="290">
        <v>133</v>
      </c>
      <c r="J229" s="290">
        <v>30</v>
      </c>
      <c r="K229" s="290">
        <v>14</v>
      </c>
      <c r="L229" s="290">
        <v>13</v>
      </c>
      <c r="M229" s="290">
        <v>62</v>
      </c>
      <c r="N229" s="290">
        <v>25</v>
      </c>
      <c r="O229" s="290">
        <v>36</v>
      </c>
      <c r="P229" s="624">
        <v>9920.5990000000002</v>
      </c>
      <c r="Q229" s="624">
        <v>7829.1686666699998</v>
      </c>
      <c r="R229" s="1039">
        <v>5</v>
      </c>
      <c r="S229" s="290">
        <v>0</v>
      </c>
      <c r="T229" s="290">
        <v>112</v>
      </c>
      <c r="U229" s="958">
        <v>6.5697035947755243E-4</v>
      </c>
      <c r="V229" s="290">
        <v>880.22562373000005</v>
      </c>
      <c r="W229" s="765">
        <v>0.82950698</v>
      </c>
      <c r="X229" s="290">
        <v>670</v>
      </c>
      <c r="Y229" s="290"/>
      <c r="Z229" s="290">
        <v>35599.732000000004</v>
      </c>
      <c r="AA229" s="290">
        <v>0</v>
      </c>
      <c r="AB229" s="290">
        <v>65</v>
      </c>
      <c r="AC229" s="290">
        <v>96</v>
      </c>
      <c r="AD229" s="290">
        <v>40</v>
      </c>
      <c r="AE229" s="290">
        <v>0</v>
      </c>
      <c r="AF229" s="290">
        <v>0</v>
      </c>
      <c r="AG229" s="290">
        <v>1337</v>
      </c>
      <c r="AH229" s="290">
        <v>272</v>
      </c>
      <c r="AI229" s="290">
        <v>29</v>
      </c>
      <c r="AJ229" s="290">
        <v>0</v>
      </c>
      <c r="AK229" s="290">
        <v>294</v>
      </c>
      <c r="AL229" s="290">
        <v>0</v>
      </c>
      <c r="AM229" s="957">
        <v>3.6537269999999997E-2</v>
      </c>
      <c r="AN229" s="290">
        <v>0</v>
      </c>
      <c r="AO229" s="290">
        <v>-440.58499225000003</v>
      </c>
      <c r="AP229" s="290">
        <v>0</v>
      </c>
      <c r="AQ229" s="290">
        <v>0</v>
      </c>
      <c r="AR229" s="290">
        <v>-50.493798750000003</v>
      </c>
      <c r="AS229" s="290">
        <v>130.71600000000001</v>
      </c>
      <c r="AT229" s="290">
        <v>87</v>
      </c>
      <c r="AU229" s="290">
        <v>12</v>
      </c>
      <c r="AV229" s="766">
        <v>61603</v>
      </c>
      <c r="AW229" s="290">
        <v>0</v>
      </c>
      <c r="AX229" s="766">
        <v>6.0833500000000003</v>
      </c>
      <c r="AY229" s="290">
        <v>161</v>
      </c>
      <c r="AZ229" s="290">
        <v>62</v>
      </c>
      <c r="BA229" s="290">
        <v>27</v>
      </c>
      <c r="BB229" s="290">
        <v>3017</v>
      </c>
      <c r="BC229" s="290">
        <v>2887.0781826500001</v>
      </c>
      <c r="BD229" s="290"/>
      <c r="BE229" s="290">
        <v>60123.427849970001</v>
      </c>
      <c r="BF229" s="290">
        <v>0</v>
      </c>
      <c r="BG229" s="290">
        <v>1094</v>
      </c>
      <c r="BH229" s="290">
        <v>500</v>
      </c>
      <c r="BI229" s="290">
        <v>702</v>
      </c>
      <c r="BJ229" s="290">
        <v>15</v>
      </c>
      <c r="BK229" s="290">
        <v>66</v>
      </c>
      <c r="BL229" s="290">
        <v>0</v>
      </c>
      <c r="BM229" s="290">
        <v>0</v>
      </c>
      <c r="BN229" s="290">
        <v>41</v>
      </c>
      <c r="BO229" s="290">
        <v>-13</v>
      </c>
      <c r="BP229" s="290">
        <v>124</v>
      </c>
      <c r="BQ229" s="290">
        <v>248</v>
      </c>
      <c r="BR229" s="290">
        <v>187</v>
      </c>
      <c r="BS229" s="290">
        <v>30</v>
      </c>
      <c r="BT229" s="290">
        <v>0</v>
      </c>
      <c r="BU229" s="290">
        <v>0</v>
      </c>
      <c r="BV229" s="290">
        <v>38</v>
      </c>
      <c r="BW229" s="290">
        <v>0</v>
      </c>
      <c r="BX229" s="290">
        <v>0</v>
      </c>
      <c r="BY229" s="290">
        <v>119</v>
      </c>
      <c r="BZ229" s="290">
        <v>0</v>
      </c>
      <c r="CA229" s="290">
        <v>84.155000000000001</v>
      </c>
      <c r="CB229" s="290">
        <v>23</v>
      </c>
      <c r="CC229" s="290">
        <v>0</v>
      </c>
      <c r="CD229" s="290">
        <v>32</v>
      </c>
      <c r="CE229" s="290">
        <v>35599.732000000004</v>
      </c>
      <c r="CF229" s="290">
        <v>278.28959811261046</v>
      </c>
      <c r="CG229" s="290">
        <v>243.99382406451264</v>
      </c>
      <c r="CH229" s="290">
        <v>206.63078017229543</v>
      </c>
      <c r="CI229" s="290">
        <v>166.96866049530934</v>
      </c>
      <c r="CJ229" s="290"/>
    </row>
    <row r="230" spans="1:88" ht="13">
      <c r="A230" s="1">
        <v>4219</v>
      </c>
      <c r="B230" s="2" t="s">
        <v>938</v>
      </c>
      <c r="C230" s="289">
        <v>3619</v>
      </c>
      <c r="D230" s="290">
        <v>62</v>
      </c>
      <c r="E230" s="290">
        <v>153</v>
      </c>
      <c r="F230" s="290">
        <v>489</v>
      </c>
      <c r="G230" s="290">
        <v>306</v>
      </c>
      <c r="H230" s="290">
        <v>1963</v>
      </c>
      <c r="I230" s="290">
        <v>470</v>
      </c>
      <c r="J230" s="290">
        <v>142</v>
      </c>
      <c r="K230" s="290">
        <v>42</v>
      </c>
      <c r="L230" s="290">
        <v>35</v>
      </c>
      <c r="M230" s="290">
        <v>293</v>
      </c>
      <c r="N230" s="290">
        <v>131</v>
      </c>
      <c r="O230" s="290">
        <v>41</v>
      </c>
      <c r="P230" s="624">
        <v>12975.554</v>
      </c>
      <c r="Q230" s="624">
        <v>8659.8700000000008</v>
      </c>
      <c r="R230" s="1039">
        <v>13</v>
      </c>
      <c r="S230" s="290">
        <v>0</v>
      </c>
      <c r="T230" s="290">
        <v>319</v>
      </c>
      <c r="U230" s="958">
        <v>1.5678949877192105E-3</v>
      </c>
      <c r="V230" s="290">
        <v>2090.7671473099999</v>
      </c>
      <c r="W230" s="765">
        <v>0.74569048999999998</v>
      </c>
      <c r="X230" s="290">
        <v>190</v>
      </c>
      <c r="Y230" s="290"/>
      <c r="Z230" s="290">
        <v>96303.792000000001</v>
      </c>
      <c r="AA230" s="290">
        <v>0</v>
      </c>
      <c r="AB230" s="290">
        <v>113</v>
      </c>
      <c r="AC230" s="290">
        <v>213</v>
      </c>
      <c r="AD230" s="290">
        <v>80</v>
      </c>
      <c r="AE230" s="290">
        <v>0</v>
      </c>
      <c r="AF230" s="290">
        <v>0</v>
      </c>
      <c r="AG230" s="290">
        <v>3627</v>
      </c>
      <c r="AH230" s="290">
        <v>660</v>
      </c>
      <c r="AI230" s="290">
        <v>570</v>
      </c>
      <c r="AJ230" s="290">
        <v>0</v>
      </c>
      <c r="AK230" s="290">
        <v>0</v>
      </c>
      <c r="AL230" s="290">
        <v>0</v>
      </c>
      <c r="AM230" s="957">
        <v>0.10891586</v>
      </c>
      <c r="AN230" s="290">
        <v>0</v>
      </c>
      <c r="AO230" s="290">
        <v>-1046.50512613</v>
      </c>
      <c r="AP230" s="290">
        <v>0</v>
      </c>
      <c r="AQ230" s="290">
        <v>0</v>
      </c>
      <c r="AR230" s="290">
        <v>-136.97906363000001</v>
      </c>
      <c r="AS230" s="290">
        <v>334.608</v>
      </c>
      <c r="AT230" s="290">
        <v>209</v>
      </c>
      <c r="AU230" s="290">
        <v>31</v>
      </c>
      <c r="AV230" s="766">
        <v>125340</v>
      </c>
      <c r="AW230" s="290">
        <v>0</v>
      </c>
      <c r="AX230" s="766">
        <v>19.541699999999999</v>
      </c>
      <c r="AY230" s="290">
        <v>689</v>
      </c>
      <c r="AZ230" s="290">
        <v>222</v>
      </c>
      <c r="BA230" s="290">
        <v>99</v>
      </c>
      <c r="BB230" s="290">
        <v>0</v>
      </c>
      <c r="BC230" s="290">
        <v>5863.39468579</v>
      </c>
      <c r="BD230" s="290"/>
      <c r="BE230" s="290">
        <v>119286.11964863</v>
      </c>
      <c r="BF230" s="290">
        <v>0</v>
      </c>
      <c r="BG230" s="290">
        <v>2969</v>
      </c>
      <c r="BH230" s="290">
        <v>1000</v>
      </c>
      <c r="BI230" s="290">
        <v>953</v>
      </c>
      <c r="BJ230" s="290">
        <v>42</v>
      </c>
      <c r="BK230" s="290">
        <v>132</v>
      </c>
      <c r="BL230" s="290">
        <v>0</v>
      </c>
      <c r="BM230" s="290">
        <v>0</v>
      </c>
      <c r="BN230" s="290">
        <v>82</v>
      </c>
      <c r="BO230" s="290">
        <v>-36</v>
      </c>
      <c r="BP230" s="290">
        <v>336</v>
      </c>
      <c r="BQ230" s="290">
        <v>671</v>
      </c>
      <c r="BR230" s="290">
        <v>508</v>
      </c>
      <c r="BS230" s="290">
        <v>60</v>
      </c>
      <c r="BT230" s="290">
        <v>0</v>
      </c>
      <c r="BU230" s="290">
        <v>0</v>
      </c>
      <c r="BV230" s="290">
        <v>76</v>
      </c>
      <c r="BW230" s="290">
        <v>0</v>
      </c>
      <c r="BX230" s="290">
        <v>0</v>
      </c>
      <c r="BY230" s="290">
        <v>401</v>
      </c>
      <c r="BZ230" s="290">
        <v>0</v>
      </c>
      <c r="CA230" s="290">
        <v>199.89</v>
      </c>
      <c r="CB230" s="290">
        <v>41</v>
      </c>
      <c r="CC230" s="290">
        <v>0</v>
      </c>
      <c r="CD230" s="290">
        <v>88</v>
      </c>
      <c r="CE230" s="290">
        <v>96303.792000000001</v>
      </c>
      <c r="CF230" s="290">
        <v>0</v>
      </c>
      <c r="CG230" s="290">
        <v>0</v>
      </c>
      <c r="CH230" s="290">
        <v>0</v>
      </c>
      <c r="CI230" s="290">
        <v>0</v>
      </c>
      <c r="CJ230" s="290"/>
    </row>
    <row r="231" spans="1:88" ht="13">
      <c r="A231" s="1">
        <v>4220</v>
      </c>
      <c r="B231" s="2" t="s">
        <v>939</v>
      </c>
      <c r="C231" s="289">
        <v>1142</v>
      </c>
      <c r="D231" s="290">
        <v>16</v>
      </c>
      <c r="E231" s="290">
        <v>39</v>
      </c>
      <c r="F231" s="290">
        <v>122</v>
      </c>
      <c r="G231" s="290">
        <v>92</v>
      </c>
      <c r="H231" s="290">
        <v>613</v>
      </c>
      <c r="I231" s="290">
        <v>201</v>
      </c>
      <c r="J231" s="290">
        <v>48</v>
      </c>
      <c r="K231" s="290">
        <v>14</v>
      </c>
      <c r="L231" s="290">
        <v>10</v>
      </c>
      <c r="M231" s="290">
        <v>107</v>
      </c>
      <c r="N231" s="290">
        <v>4</v>
      </c>
      <c r="O231" s="290">
        <v>11</v>
      </c>
      <c r="P231" s="624">
        <v>19874.881000000001</v>
      </c>
      <c r="Q231" s="624">
        <v>6356.5853333300001</v>
      </c>
      <c r="R231" s="1039">
        <v>7</v>
      </c>
      <c r="S231" s="290">
        <v>0</v>
      </c>
      <c r="T231" s="290">
        <v>116</v>
      </c>
      <c r="U231" s="958">
        <v>1.2149908154693483E-3</v>
      </c>
      <c r="V231" s="290">
        <v>794.51998221999997</v>
      </c>
      <c r="W231" s="765">
        <v>1</v>
      </c>
      <c r="X231" s="290">
        <v>130</v>
      </c>
      <c r="Y231" s="290"/>
      <c r="Z231" s="290">
        <v>34807.694000000003</v>
      </c>
      <c r="AA231" s="290">
        <v>0</v>
      </c>
      <c r="AB231" s="290">
        <v>36</v>
      </c>
      <c r="AC231" s="290">
        <v>69</v>
      </c>
      <c r="AD231" s="290">
        <v>42</v>
      </c>
      <c r="AE231" s="290">
        <v>0</v>
      </c>
      <c r="AF231" s="290">
        <v>0</v>
      </c>
      <c r="AG231" s="290">
        <v>1145</v>
      </c>
      <c r="AH231" s="290">
        <v>171</v>
      </c>
      <c r="AI231" s="290">
        <v>186</v>
      </c>
      <c r="AJ231" s="290">
        <v>0</v>
      </c>
      <c r="AK231" s="290">
        <v>0</v>
      </c>
      <c r="AL231" s="290">
        <v>0</v>
      </c>
      <c r="AM231" s="957">
        <v>1.6548119999999999E-2</v>
      </c>
      <c r="AN231" s="290">
        <v>0</v>
      </c>
      <c r="AO231" s="290">
        <v>-397.68619632000002</v>
      </c>
      <c r="AP231" s="290">
        <v>0</v>
      </c>
      <c r="AQ231" s="290">
        <v>0</v>
      </c>
      <c r="AR231" s="290">
        <v>-43.242632440000001</v>
      </c>
      <c r="AS231" s="290">
        <v>107.97750000000001</v>
      </c>
      <c r="AT231" s="290">
        <v>49</v>
      </c>
      <c r="AU231" s="290">
        <v>8</v>
      </c>
      <c r="AV231" s="766">
        <v>61559</v>
      </c>
      <c r="AW231" s="290">
        <v>0</v>
      </c>
      <c r="AX231" s="766">
        <v>3.7083499999999998</v>
      </c>
      <c r="AY231" s="290">
        <v>258</v>
      </c>
      <c r="AZ231" s="290">
        <v>57</v>
      </c>
      <c r="BA231" s="290">
        <v>28</v>
      </c>
      <c r="BB231" s="290">
        <v>6034</v>
      </c>
      <c r="BC231" s="290">
        <v>2365.79418919</v>
      </c>
      <c r="BD231" s="290"/>
      <c r="BE231" s="290">
        <v>58704.511181709997</v>
      </c>
      <c r="BF231" s="290">
        <v>0</v>
      </c>
      <c r="BG231" s="290">
        <v>937</v>
      </c>
      <c r="BH231" s="290">
        <v>500</v>
      </c>
      <c r="BI231" s="290">
        <v>282</v>
      </c>
      <c r="BJ231" s="290">
        <v>14</v>
      </c>
      <c r="BK231" s="290">
        <v>34</v>
      </c>
      <c r="BL231" s="290">
        <v>0</v>
      </c>
      <c r="BM231" s="290">
        <v>0</v>
      </c>
      <c r="BN231" s="290">
        <v>21</v>
      </c>
      <c r="BO231" s="290">
        <v>-9</v>
      </c>
      <c r="BP231" s="290">
        <v>106</v>
      </c>
      <c r="BQ231" s="290">
        <v>212</v>
      </c>
      <c r="BR231" s="290">
        <v>160</v>
      </c>
      <c r="BS231" s="290">
        <v>32</v>
      </c>
      <c r="BT231" s="290">
        <v>0</v>
      </c>
      <c r="BU231" s="290">
        <v>0</v>
      </c>
      <c r="BV231" s="290">
        <v>20</v>
      </c>
      <c r="BW231" s="290">
        <v>0</v>
      </c>
      <c r="BX231" s="290">
        <v>0</v>
      </c>
      <c r="BY231" s="290">
        <v>145</v>
      </c>
      <c r="BZ231" s="290">
        <v>0</v>
      </c>
      <c r="CA231" s="290">
        <v>75.960999999999999</v>
      </c>
      <c r="CB231" s="290">
        <v>24</v>
      </c>
      <c r="CC231" s="290">
        <v>0</v>
      </c>
      <c r="CD231" s="290">
        <v>23</v>
      </c>
      <c r="CE231" s="290">
        <v>34807.694000000003</v>
      </c>
      <c r="CF231" s="290">
        <v>0</v>
      </c>
      <c r="CG231" s="290">
        <v>0</v>
      </c>
      <c r="CH231" s="290">
        <v>0</v>
      </c>
      <c r="CI231" s="290">
        <v>0</v>
      </c>
      <c r="CJ231" s="290"/>
    </row>
    <row r="232" spans="1:88" ht="13">
      <c r="A232" s="1">
        <v>4221</v>
      </c>
      <c r="B232" s="2" t="s">
        <v>940</v>
      </c>
      <c r="C232" s="289">
        <v>1169</v>
      </c>
      <c r="D232" s="290">
        <v>17</v>
      </c>
      <c r="E232" s="290">
        <v>40</v>
      </c>
      <c r="F232" s="290">
        <v>118</v>
      </c>
      <c r="G232" s="290">
        <v>107</v>
      </c>
      <c r="H232" s="290">
        <v>639</v>
      </c>
      <c r="I232" s="290">
        <v>184</v>
      </c>
      <c r="J232" s="290">
        <v>47</v>
      </c>
      <c r="K232" s="290">
        <v>17</v>
      </c>
      <c r="L232" s="290">
        <v>11</v>
      </c>
      <c r="M232" s="290">
        <v>101</v>
      </c>
      <c r="N232" s="290">
        <v>28</v>
      </c>
      <c r="O232" s="290">
        <v>21</v>
      </c>
      <c r="P232" s="624">
        <v>9468.3119999999999</v>
      </c>
      <c r="Q232" s="624">
        <v>3493.0116666700001</v>
      </c>
      <c r="R232" s="1039">
        <v>6</v>
      </c>
      <c r="S232" s="290">
        <v>0</v>
      </c>
      <c r="T232" s="290">
        <v>137</v>
      </c>
      <c r="U232" s="958">
        <v>1.5942521139798269E-3</v>
      </c>
      <c r="V232" s="290">
        <v>671.74715050999998</v>
      </c>
      <c r="W232" s="765">
        <v>1</v>
      </c>
      <c r="X232" s="290">
        <v>0</v>
      </c>
      <c r="Y232" s="290"/>
      <c r="Z232" s="290">
        <v>52379.277999999998</v>
      </c>
      <c r="AA232" s="290">
        <v>0</v>
      </c>
      <c r="AB232" s="290">
        <v>26</v>
      </c>
      <c r="AC232" s="290">
        <v>65</v>
      </c>
      <c r="AD232" s="290">
        <v>40</v>
      </c>
      <c r="AE232" s="290">
        <v>0</v>
      </c>
      <c r="AF232" s="290">
        <v>0</v>
      </c>
      <c r="AG232" s="290">
        <v>1169</v>
      </c>
      <c r="AH232" s="290">
        <v>171</v>
      </c>
      <c r="AI232" s="290">
        <v>0</v>
      </c>
      <c r="AJ232" s="290">
        <v>0</v>
      </c>
      <c r="AK232" s="290">
        <v>0</v>
      </c>
      <c r="AL232" s="290">
        <v>0</v>
      </c>
      <c r="AM232" s="957">
        <v>1.3698470000000001E-2</v>
      </c>
      <c r="AN232" s="290">
        <v>0</v>
      </c>
      <c r="AO232" s="290">
        <v>-389.09056842000001</v>
      </c>
      <c r="AP232" s="290">
        <v>0</v>
      </c>
      <c r="AQ232" s="290">
        <v>0</v>
      </c>
      <c r="AR232" s="290">
        <v>-44.149028229999999</v>
      </c>
      <c r="AS232" s="290">
        <v>122.53700000000001</v>
      </c>
      <c r="AT232" s="290">
        <v>58</v>
      </c>
      <c r="AU232" s="290">
        <v>4</v>
      </c>
      <c r="AV232" s="766">
        <v>51653</v>
      </c>
      <c r="AW232" s="290">
        <v>0</v>
      </c>
      <c r="AX232" s="766">
        <v>5.4166999999999996</v>
      </c>
      <c r="AY232" s="290">
        <v>243</v>
      </c>
      <c r="AZ232" s="290">
        <v>80</v>
      </c>
      <c r="BA232" s="290">
        <v>13</v>
      </c>
      <c r="BB232" s="290">
        <v>0</v>
      </c>
      <c r="BC232" s="290">
        <v>2268.00370527</v>
      </c>
      <c r="BD232" s="290"/>
      <c r="BE232" s="290">
        <v>49761.051236070001</v>
      </c>
      <c r="BF232" s="290">
        <v>0</v>
      </c>
      <c r="BG232" s="290">
        <v>957</v>
      </c>
      <c r="BH232" s="290">
        <v>500</v>
      </c>
      <c r="BI232" s="290">
        <v>276</v>
      </c>
      <c r="BJ232" s="290">
        <v>16</v>
      </c>
      <c r="BK232" s="290">
        <v>36</v>
      </c>
      <c r="BL232" s="290">
        <v>0</v>
      </c>
      <c r="BM232" s="290">
        <v>0</v>
      </c>
      <c r="BN232" s="290">
        <v>22</v>
      </c>
      <c r="BO232" s="290">
        <v>-10</v>
      </c>
      <c r="BP232" s="290">
        <v>108</v>
      </c>
      <c r="BQ232" s="290">
        <v>217</v>
      </c>
      <c r="BR232" s="290">
        <v>164</v>
      </c>
      <c r="BS232" s="290">
        <v>30</v>
      </c>
      <c r="BT232" s="290">
        <v>0</v>
      </c>
      <c r="BU232" s="290">
        <v>0</v>
      </c>
      <c r="BV232" s="290">
        <v>21</v>
      </c>
      <c r="BW232" s="290">
        <v>0</v>
      </c>
      <c r="BX232" s="290">
        <v>0</v>
      </c>
      <c r="BY232" s="290">
        <v>144</v>
      </c>
      <c r="BZ232" s="290">
        <v>0</v>
      </c>
      <c r="CA232" s="290">
        <v>376.7</v>
      </c>
      <c r="CB232" s="290">
        <v>24</v>
      </c>
      <c r="CC232" s="290">
        <v>0</v>
      </c>
      <c r="CD232" s="290">
        <v>26</v>
      </c>
      <c r="CE232" s="290">
        <v>52379.277999999998</v>
      </c>
      <c r="CF232" s="290">
        <v>0</v>
      </c>
      <c r="CG232" s="290">
        <v>0</v>
      </c>
      <c r="CH232" s="290">
        <v>0</v>
      </c>
      <c r="CI232" s="290">
        <v>0</v>
      </c>
      <c r="CJ232" s="290"/>
    </row>
    <row r="233" spans="1:88" ht="13">
      <c r="A233" s="1">
        <v>4222</v>
      </c>
      <c r="B233" s="2" t="s">
        <v>941</v>
      </c>
      <c r="C233" s="289">
        <v>930</v>
      </c>
      <c r="D233" s="290">
        <v>17</v>
      </c>
      <c r="E233" s="290">
        <v>36</v>
      </c>
      <c r="F233" s="290">
        <v>111</v>
      </c>
      <c r="G233" s="290">
        <v>83</v>
      </c>
      <c r="H233" s="290">
        <v>576</v>
      </c>
      <c r="I233" s="290">
        <v>93</v>
      </c>
      <c r="J233" s="290">
        <v>21</v>
      </c>
      <c r="K233" s="290">
        <v>4</v>
      </c>
      <c r="L233" s="290">
        <v>7</v>
      </c>
      <c r="M233" s="290">
        <v>46</v>
      </c>
      <c r="N233" s="290">
        <v>21</v>
      </c>
      <c r="O233" s="290">
        <v>21</v>
      </c>
      <c r="P233" s="624">
        <v>11074.12766667</v>
      </c>
      <c r="Q233" s="624">
        <v>11858.91566667</v>
      </c>
      <c r="R233" s="1039">
        <v>1</v>
      </c>
      <c r="S233" s="290">
        <v>0</v>
      </c>
      <c r="T233" s="290">
        <v>111</v>
      </c>
      <c r="U233" s="958">
        <v>5.3938799382722159E-4</v>
      </c>
      <c r="V233" s="290">
        <v>622.02767893999999</v>
      </c>
      <c r="W233" s="765">
        <v>1</v>
      </c>
      <c r="X233" s="290">
        <v>0</v>
      </c>
      <c r="Y233" s="290"/>
      <c r="Z233" s="290">
        <v>84385.437000000005</v>
      </c>
      <c r="AA233" s="290">
        <v>0</v>
      </c>
      <c r="AB233" s="290">
        <v>7</v>
      </c>
      <c r="AC233" s="290">
        <v>67</v>
      </c>
      <c r="AD233" s="290">
        <v>37</v>
      </c>
      <c r="AE233" s="290">
        <v>0</v>
      </c>
      <c r="AF233" s="290">
        <v>0</v>
      </c>
      <c r="AG233" s="290">
        <v>941</v>
      </c>
      <c r="AH233" s="290">
        <v>152</v>
      </c>
      <c r="AI233" s="290">
        <v>0</v>
      </c>
      <c r="AJ233" s="290">
        <v>0</v>
      </c>
      <c r="AK233" s="290">
        <v>6</v>
      </c>
      <c r="AL233" s="290">
        <v>0</v>
      </c>
      <c r="AM233" s="957">
        <v>2.010255E-2</v>
      </c>
      <c r="AN233" s="290">
        <v>0</v>
      </c>
      <c r="AO233" s="290">
        <v>-311.34751445000001</v>
      </c>
      <c r="AP233" s="290">
        <v>0</v>
      </c>
      <c r="AQ233" s="290">
        <v>0</v>
      </c>
      <c r="AR233" s="290">
        <v>-35.53826823</v>
      </c>
      <c r="AS233" s="290">
        <v>98.313500000000005</v>
      </c>
      <c r="AT233" s="290">
        <v>52</v>
      </c>
      <c r="AU233" s="290">
        <v>6</v>
      </c>
      <c r="AV233" s="766">
        <v>41331</v>
      </c>
      <c r="AW233" s="290">
        <v>0</v>
      </c>
      <c r="AX233" s="766">
        <v>8.2916500000000006</v>
      </c>
      <c r="AY233" s="290">
        <v>241</v>
      </c>
      <c r="AZ233" s="290">
        <v>60</v>
      </c>
      <c r="BA233" s="290">
        <v>19</v>
      </c>
      <c r="BB233" s="290">
        <v>0</v>
      </c>
      <c r="BC233" s="290">
        <v>2140.2238630799998</v>
      </c>
      <c r="BD233" s="290"/>
      <c r="BE233" s="290">
        <v>39768.174096919996</v>
      </c>
      <c r="BF233" s="290">
        <v>0</v>
      </c>
      <c r="BG233" s="290">
        <v>770</v>
      </c>
      <c r="BH233" s="290">
        <v>500</v>
      </c>
      <c r="BI233" s="290">
        <v>262</v>
      </c>
      <c r="BJ233" s="290">
        <v>20</v>
      </c>
      <c r="BK233" s="290">
        <v>34</v>
      </c>
      <c r="BL233" s="290">
        <v>0</v>
      </c>
      <c r="BM233" s="290">
        <v>0</v>
      </c>
      <c r="BN233" s="290">
        <v>22</v>
      </c>
      <c r="BO233" s="290">
        <v>-8</v>
      </c>
      <c r="BP233" s="290">
        <v>86</v>
      </c>
      <c r="BQ233" s="290">
        <v>172</v>
      </c>
      <c r="BR233" s="290">
        <v>131</v>
      </c>
      <c r="BS233" s="290">
        <v>27</v>
      </c>
      <c r="BT233" s="290">
        <v>0</v>
      </c>
      <c r="BU233" s="290">
        <v>0</v>
      </c>
      <c r="BV233" s="290">
        <v>20</v>
      </c>
      <c r="BW233" s="290">
        <v>0</v>
      </c>
      <c r="BX233" s="290">
        <v>0</v>
      </c>
      <c r="BY233" s="290">
        <v>84</v>
      </c>
      <c r="BZ233" s="290">
        <v>0</v>
      </c>
      <c r="CA233" s="290">
        <v>309.3</v>
      </c>
      <c r="CB233" s="290">
        <v>22</v>
      </c>
      <c r="CC233" s="290">
        <v>0</v>
      </c>
      <c r="CD233" s="290">
        <v>21</v>
      </c>
      <c r="CE233" s="290">
        <v>84385.437000000005</v>
      </c>
      <c r="CF233" s="290">
        <v>0</v>
      </c>
      <c r="CG233" s="290">
        <v>0</v>
      </c>
      <c r="CH233" s="290">
        <v>0</v>
      </c>
      <c r="CI233" s="290">
        <v>0</v>
      </c>
      <c r="CJ233" s="290"/>
    </row>
    <row r="234" spans="1:88" ht="13">
      <c r="A234" s="1">
        <v>4223</v>
      </c>
      <c r="B234" s="2" t="s">
        <v>947</v>
      </c>
      <c r="C234" s="289">
        <v>14935</v>
      </c>
      <c r="D234" s="290">
        <v>317</v>
      </c>
      <c r="E234" s="290">
        <v>731</v>
      </c>
      <c r="F234" s="290">
        <v>2013</v>
      </c>
      <c r="G234" s="290">
        <v>1290</v>
      </c>
      <c r="H234" s="290">
        <v>8471</v>
      </c>
      <c r="I234" s="290">
        <v>1462</v>
      </c>
      <c r="J234" s="290">
        <v>468</v>
      </c>
      <c r="K234" s="290">
        <v>86</v>
      </c>
      <c r="L234" s="290">
        <v>118</v>
      </c>
      <c r="M234" s="290">
        <v>788</v>
      </c>
      <c r="N234" s="290">
        <v>267</v>
      </c>
      <c r="O234" s="290">
        <v>151</v>
      </c>
      <c r="P234" s="624">
        <v>37171.816333330004</v>
      </c>
      <c r="Q234" s="624">
        <v>53312.11833333</v>
      </c>
      <c r="R234" s="1039">
        <v>69</v>
      </c>
      <c r="S234" s="290">
        <v>0</v>
      </c>
      <c r="T234" s="290">
        <v>1146</v>
      </c>
      <c r="U234" s="958">
        <v>1.9457896142631346E-3</v>
      </c>
      <c r="V234" s="290">
        <v>6945.1248585499998</v>
      </c>
      <c r="W234" s="765">
        <v>0.59288299</v>
      </c>
      <c r="X234" s="290">
        <v>2430</v>
      </c>
      <c r="Y234" s="290"/>
      <c r="Z234" s="290">
        <v>393674.56699999998</v>
      </c>
      <c r="AA234" s="290">
        <v>0</v>
      </c>
      <c r="AB234" s="290">
        <v>577</v>
      </c>
      <c r="AC234" s="290">
        <v>849</v>
      </c>
      <c r="AD234" s="290">
        <v>275</v>
      </c>
      <c r="AE234" s="290">
        <v>0</v>
      </c>
      <c r="AF234" s="290">
        <v>0</v>
      </c>
      <c r="AG234" s="290">
        <v>14838</v>
      </c>
      <c r="AH234" s="290">
        <v>2806</v>
      </c>
      <c r="AI234" s="290">
        <v>128</v>
      </c>
      <c r="AJ234" s="290">
        <v>0</v>
      </c>
      <c r="AK234" s="290">
        <v>0</v>
      </c>
      <c r="AL234" s="290">
        <v>0</v>
      </c>
      <c r="AM234" s="957">
        <v>0.42554868000000001</v>
      </c>
      <c r="AN234" s="290">
        <v>0</v>
      </c>
      <c r="AO234" s="290">
        <v>-3899.1411870500001</v>
      </c>
      <c r="AP234" s="290">
        <v>0</v>
      </c>
      <c r="AQ234" s="290">
        <v>0</v>
      </c>
      <c r="AR234" s="290">
        <v>-560.37919663000002</v>
      </c>
      <c r="AS234" s="290">
        <v>1210.3995</v>
      </c>
      <c r="AT234" s="290">
        <v>942</v>
      </c>
      <c r="AU234" s="290">
        <v>166</v>
      </c>
      <c r="AV234" s="766">
        <v>418560</v>
      </c>
      <c r="AW234" s="290">
        <v>1300</v>
      </c>
      <c r="AX234" s="766">
        <v>109.95835</v>
      </c>
      <c r="AY234" s="290">
        <v>2316</v>
      </c>
      <c r="AZ234" s="290">
        <v>594</v>
      </c>
      <c r="BA234" s="290">
        <v>439</v>
      </c>
      <c r="BB234" s="290">
        <v>0</v>
      </c>
      <c r="BC234" s="290">
        <v>21543.027013250001</v>
      </c>
      <c r="BD234" s="290"/>
      <c r="BE234" s="290">
        <v>403911.09282210999</v>
      </c>
      <c r="BF234" s="290">
        <v>0</v>
      </c>
      <c r="BG234" s="290">
        <v>12146</v>
      </c>
      <c r="BH234" s="290">
        <v>1000</v>
      </c>
      <c r="BI234" s="290">
        <v>3930</v>
      </c>
      <c r="BJ234" s="290">
        <v>168</v>
      </c>
      <c r="BK234" s="290">
        <v>622</v>
      </c>
      <c r="BL234" s="290">
        <v>0</v>
      </c>
      <c r="BM234" s="290">
        <v>0</v>
      </c>
      <c r="BN234" s="290">
        <v>389</v>
      </c>
      <c r="BO234" s="290">
        <v>-134</v>
      </c>
      <c r="BP234" s="290">
        <v>1385</v>
      </c>
      <c r="BQ234" s="290">
        <v>2770</v>
      </c>
      <c r="BR234" s="290">
        <v>2097</v>
      </c>
      <c r="BS234" s="290">
        <v>206</v>
      </c>
      <c r="BT234" s="290">
        <v>0</v>
      </c>
      <c r="BU234" s="290">
        <v>0</v>
      </c>
      <c r="BV234" s="290">
        <v>358</v>
      </c>
      <c r="BW234" s="290">
        <v>0</v>
      </c>
      <c r="BX234" s="290">
        <v>0</v>
      </c>
      <c r="BY234" s="290">
        <v>1354</v>
      </c>
      <c r="BZ234" s="290">
        <v>5300</v>
      </c>
      <c r="CA234" s="290">
        <v>744.76300000000003</v>
      </c>
      <c r="CB234" s="290">
        <v>136</v>
      </c>
      <c r="CC234" s="290">
        <v>1</v>
      </c>
      <c r="CD234" s="290">
        <v>331</v>
      </c>
      <c r="CE234" s="290">
        <v>393674.56699999998</v>
      </c>
      <c r="CF234" s="290">
        <v>0</v>
      </c>
      <c r="CG234" s="290">
        <v>0</v>
      </c>
      <c r="CH234" s="290">
        <v>0</v>
      </c>
      <c r="CI234" s="290">
        <v>0</v>
      </c>
      <c r="CJ234" s="290"/>
    </row>
    <row r="235" spans="1:88" ht="13">
      <c r="A235" s="1">
        <v>4224</v>
      </c>
      <c r="B235" s="2" t="s">
        <v>951</v>
      </c>
      <c r="C235" s="289">
        <v>927</v>
      </c>
      <c r="D235" s="290">
        <v>17</v>
      </c>
      <c r="E235" s="290">
        <v>34</v>
      </c>
      <c r="F235" s="290">
        <v>118</v>
      </c>
      <c r="G235" s="290">
        <v>103</v>
      </c>
      <c r="H235" s="290">
        <v>516</v>
      </c>
      <c r="I235" s="290">
        <v>90</v>
      </c>
      <c r="J235" s="290">
        <v>42</v>
      </c>
      <c r="K235" s="290">
        <v>11</v>
      </c>
      <c r="L235" s="290">
        <v>8</v>
      </c>
      <c r="M235" s="290">
        <v>73</v>
      </c>
      <c r="N235" s="290">
        <v>18</v>
      </c>
      <c r="O235" s="290">
        <v>6</v>
      </c>
      <c r="P235" s="624">
        <v>7670.6670000000004</v>
      </c>
      <c r="Q235" s="624">
        <v>5294.6859999999997</v>
      </c>
      <c r="R235" s="1039">
        <v>4</v>
      </c>
      <c r="S235" s="290">
        <v>0</v>
      </c>
      <c r="T235" s="290">
        <v>72</v>
      </c>
      <c r="U235" s="958">
        <v>1.2021056408386267E-3</v>
      </c>
      <c r="V235" s="290">
        <v>657.42311110000003</v>
      </c>
      <c r="W235" s="765">
        <v>1</v>
      </c>
      <c r="X235" s="290">
        <v>0</v>
      </c>
      <c r="Y235" s="290"/>
      <c r="Z235" s="290">
        <v>43509.752</v>
      </c>
      <c r="AA235" s="290">
        <v>0</v>
      </c>
      <c r="AB235" s="290">
        <v>22</v>
      </c>
      <c r="AC235" s="290">
        <v>63</v>
      </c>
      <c r="AD235" s="290">
        <v>35</v>
      </c>
      <c r="AE235" s="290">
        <v>0</v>
      </c>
      <c r="AF235" s="290">
        <v>0</v>
      </c>
      <c r="AG235" s="290">
        <v>931</v>
      </c>
      <c r="AH235" s="290">
        <v>176</v>
      </c>
      <c r="AI235" s="290">
        <v>0</v>
      </c>
      <c r="AJ235" s="290">
        <v>0</v>
      </c>
      <c r="AK235" s="290">
        <v>0</v>
      </c>
      <c r="AL235" s="290">
        <v>0</v>
      </c>
      <c r="AM235" s="957">
        <v>8.6377999999999993E-3</v>
      </c>
      <c r="AN235" s="290">
        <v>0</v>
      </c>
      <c r="AO235" s="290">
        <v>-329.06421774</v>
      </c>
      <c r="AP235" s="290">
        <v>0</v>
      </c>
      <c r="AQ235" s="290">
        <v>0</v>
      </c>
      <c r="AR235" s="290">
        <v>43.551461889999999</v>
      </c>
      <c r="AS235" s="290">
        <v>102.6455</v>
      </c>
      <c r="AT235" s="290">
        <v>41</v>
      </c>
      <c r="AU235" s="290">
        <v>3</v>
      </c>
      <c r="AV235" s="766">
        <v>46558</v>
      </c>
      <c r="AW235" s="290">
        <v>0</v>
      </c>
      <c r="AX235" s="766">
        <v>3.9582999999999999</v>
      </c>
      <c r="AY235" s="290">
        <v>136</v>
      </c>
      <c r="AZ235" s="290">
        <v>61</v>
      </c>
      <c r="BA235" s="290">
        <v>15</v>
      </c>
      <c r="BB235" s="290">
        <v>0</v>
      </c>
      <c r="BC235" s="290">
        <v>1985.6215220500001</v>
      </c>
      <c r="BD235" s="290"/>
      <c r="BE235" s="290">
        <v>44033.520211319999</v>
      </c>
      <c r="BF235" s="290">
        <v>0</v>
      </c>
      <c r="BG235" s="290">
        <v>762</v>
      </c>
      <c r="BH235" s="290">
        <v>500</v>
      </c>
      <c r="BI235" s="290">
        <v>274</v>
      </c>
      <c r="BJ235" s="290">
        <v>13</v>
      </c>
      <c r="BK235" s="290">
        <v>29</v>
      </c>
      <c r="BL235" s="290">
        <v>0</v>
      </c>
      <c r="BM235" s="290">
        <v>0</v>
      </c>
      <c r="BN235" s="290">
        <v>18</v>
      </c>
      <c r="BO235" s="290">
        <v>-7</v>
      </c>
      <c r="BP235" s="290">
        <v>86</v>
      </c>
      <c r="BQ235" s="290">
        <v>172</v>
      </c>
      <c r="BR235" s="290">
        <v>130</v>
      </c>
      <c r="BS235" s="290">
        <v>26</v>
      </c>
      <c r="BT235" s="290">
        <v>0</v>
      </c>
      <c r="BU235" s="290">
        <v>0</v>
      </c>
      <c r="BV235" s="290">
        <v>17</v>
      </c>
      <c r="BW235" s="290">
        <v>0</v>
      </c>
      <c r="BX235" s="290">
        <v>0</v>
      </c>
      <c r="BY235" s="290">
        <v>90</v>
      </c>
      <c r="BZ235" s="290">
        <v>0</v>
      </c>
      <c r="CA235" s="290">
        <v>62.853999999999999</v>
      </c>
      <c r="CB235" s="290">
        <v>22</v>
      </c>
      <c r="CC235" s="290">
        <v>0</v>
      </c>
      <c r="CD235" s="290">
        <v>17</v>
      </c>
      <c r="CE235" s="290">
        <v>43509.752</v>
      </c>
      <c r="CF235" s="290">
        <v>0</v>
      </c>
      <c r="CG235" s="290">
        <v>0</v>
      </c>
      <c r="CH235" s="290">
        <v>0</v>
      </c>
      <c r="CI235" s="290">
        <v>0</v>
      </c>
      <c r="CJ235" s="290"/>
    </row>
    <row r="236" spans="1:88" ht="13">
      <c r="A236" s="1">
        <v>4225</v>
      </c>
      <c r="B236" s="2" t="s">
        <v>1630</v>
      </c>
      <c r="C236" s="289">
        <v>10464</v>
      </c>
      <c r="D236" s="290">
        <v>244</v>
      </c>
      <c r="E236" s="290">
        <v>558</v>
      </c>
      <c r="F236" s="290">
        <v>1494</v>
      </c>
      <c r="G236" s="290">
        <v>1064</v>
      </c>
      <c r="H236" s="290">
        <v>5497</v>
      </c>
      <c r="I236" s="290">
        <v>1170</v>
      </c>
      <c r="J236" s="290">
        <v>344</v>
      </c>
      <c r="K236" s="290">
        <v>74</v>
      </c>
      <c r="L236" s="290">
        <v>81</v>
      </c>
      <c r="M236" s="290">
        <v>593</v>
      </c>
      <c r="N236" s="290">
        <v>266</v>
      </c>
      <c r="O236" s="290">
        <v>139</v>
      </c>
      <c r="P236" s="624">
        <v>73451.60333333</v>
      </c>
      <c r="Q236" s="624">
        <v>49359.574333329998</v>
      </c>
      <c r="R236" s="1039">
        <v>44</v>
      </c>
      <c r="S236" s="290">
        <v>0</v>
      </c>
      <c r="T236" s="290">
        <v>722</v>
      </c>
      <c r="U236" s="958">
        <v>3.9383846365771205E-3</v>
      </c>
      <c r="V236" s="290">
        <v>-12257.854564310001</v>
      </c>
      <c r="W236" s="765">
        <v>0.66232148999999996</v>
      </c>
      <c r="X236" s="290">
        <v>2270</v>
      </c>
      <c r="Y236" s="290"/>
      <c r="Z236" s="290">
        <v>278743.41700000002</v>
      </c>
      <c r="AA236" s="290">
        <v>0</v>
      </c>
      <c r="AB236" s="290">
        <v>329</v>
      </c>
      <c r="AC236" s="290">
        <v>6998</v>
      </c>
      <c r="AD236" s="290">
        <v>215</v>
      </c>
      <c r="AE236" s="290">
        <v>0</v>
      </c>
      <c r="AF236" s="290">
        <v>21377</v>
      </c>
      <c r="AG236" s="290">
        <v>10445</v>
      </c>
      <c r="AH236" s="290">
        <v>2178</v>
      </c>
      <c r="AI236" s="290">
        <v>728</v>
      </c>
      <c r="AJ236" s="290">
        <v>0</v>
      </c>
      <c r="AK236" s="290">
        <v>0</v>
      </c>
      <c r="AL236" s="290">
        <v>0</v>
      </c>
      <c r="AM236" s="957">
        <v>0.20925072</v>
      </c>
      <c r="AN236" s="290">
        <v>0</v>
      </c>
      <c r="AO236" s="290">
        <v>-2902.98388153</v>
      </c>
      <c r="AP236" s="290">
        <v>0</v>
      </c>
      <c r="AQ236" s="290">
        <v>0</v>
      </c>
      <c r="AR236" s="290">
        <v>-394.47100073000001</v>
      </c>
      <c r="AS236" s="290">
        <v>4899.4809999999998</v>
      </c>
      <c r="AT236" s="290">
        <v>530</v>
      </c>
      <c r="AU236" s="290">
        <v>88</v>
      </c>
      <c r="AV236" s="766">
        <v>351002</v>
      </c>
      <c r="AW236" s="290">
        <v>1200</v>
      </c>
      <c r="AX236" s="766">
        <v>68.916700000000006</v>
      </c>
      <c r="AY236" s="290">
        <v>1823</v>
      </c>
      <c r="AZ236" s="290">
        <v>482</v>
      </c>
      <c r="BA236" s="290">
        <v>252</v>
      </c>
      <c r="BB236" s="290">
        <v>0</v>
      </c>
      <c r="BC236" s="290">
        <v>45324.073817620003</v>
      </c>
      <c r="BD236" s="290"/>
      <c r="BE236" s="290">
        <v>334666.23157187999</v>
      </c>
      <c r="BF236" s="290">
        <v>0</v>
      </c>
      <c r="BG236" s="290">
        <v>8550</v>
      </c>
      <c r="BH236" s="290">
        <v>1000</v>
      </c>
      <c r="BI236" s="290">
        <v>30768</v>
      </c>
      <c r="BJ236" s="290">
        <v>119</v>
      </c>
      <c r="BK236" s="290">
        <v>467</v>
      </c>
      <c r="BL236" s="290">
        <v>0</v>
      </c>
      <c r="BM236" s="290">
        <v>4070</v>
      </c>
      <c r="BN236" s="290">
        <v>292</v>
      </c>
      <c r="BO236" s="290">
        <v>-86</v>
      </c>
      <c r="BP236" s="290">
        <v>970</v>
      </c>
      <c r="BQ236" s="290">
        <v>1941</v>
      </c>
      <c r="BR236" s="290">
        <v>1469</v>
      </c>
      <c r="BS236" s="290">
        <v>161</v>
      </c>
      <c r="BT236" s="290">
        <v>0</v>
      </c>
      <c r="BU236" s="290">
        <v>0</v>
      </c>
      <c r="BV236" s="290">
        <v>269</v>
      </c>
      <c r="BW236" s="290">
        <v>-56447</v>
      </c>
      <c r="BX236" s="290">
        <v>0</v>
      </c>
      <c r="BY236" s="290">
        <v>1044</v>
      </c>
      <c r="BZ236" s="290">
        <v>3700</v>
      </c>
      <c r="CA236" s="290">
        <v>554.49</v>
      </c>
      <c r="CB236" s="290">
        <v>99</v>
      </c>
      <c r="CC236" s="290">
        <v>1</v>
      </c>
      <c r="CD236" s="290">
        <v>212</v>
      </c>
      <c r="CE236" s="290">
        <v>278743.41700000002</v>
      </c>
      <c r="CF236" s="290">
        <v>0</v>
      </c>
      <c r="CG236" s="290">
        <v>0</v>
      </c>
      <c r="CH236" s="290">
        <v>0</v>
      </c>
      <c r="CI236" s="290">
        <v>0</v>
      </c>
      <c r="CJ236" s="290"/>
    </row>
    <row r="237" spans="1:88" ht="13">
      <c r="A237" s="1">
        <v>4226</v>
      </c>
      <c r="B237" s="2" t="s">
        <v>955</v>
      </c>
      <c r="C237" s="289">
        <v>1690</v>
      </c>
      <c r="D237" s="290">
        <v>35</v>
      </c>
      <c r="E237" s="290">
        <v>91</v>
      </c>
      <c r="F237" s="290">
        <v>220</v>
      </c>
      <c r="G237" s="290">
        <v>156</v>
      </c>
      <c r="H237" s="290">
        <v>911</v>
      </c>
      <c r="I237" s="290">
        <v>183</v>
      </c>
      <c r="J237" s="290">
        <v>69</v>
      </c>
      <c r="K237" s="290">
        <v>18</v>
      </c>
      <c r="L237" s="290">
        <v>14</v>
      </c>
      <c r="M237" s="290">
        <v>111</v>
      </c>
      <c r="N237" s="290">
        <v>7</v>
      </c>
      <c r="O237" s="290">
        <v>24</v>
      </c>
      <c r="P237" s="624">
        <v>13246.20733333</v>
      </c>
      <c r="Q237" s="624">
        <v>6314.8890000000001</v>
      </c>
      <c r="R237" s="1039">
        <v>15</v>
      </c>
      <c r="S237" s="290">
        <v>0</v>
      </c>
      <c r="T237" s="290">
        <v>107</v>
      </c>
      <c r="U237" s="958">
        <v>1.6556287600461186E-3</v>
      </c>
      <c r="V237" s="290">
        <v>1105.43143783</v>
      </c>
      <c r="W237" s="765">
        <v>0.88764153999999995</v>
      </c>
      <c r="X237" s="290">
        <v>1090</v>
      </c>
      <c r="Y237" s="290"/>
      <c r="Z237" s="290">
        <v>46254.45</v>
      </c>
      <c r="AA237" s="290">
        <v>0</v>
      </c>
      <c r="AB237" s="290">
        <v>57</v>
      </c>
      <c r="AC237" s="290">
        <v>106</v>
      </c>
      <c r="AD237" s="290">
        <v>47</v>
      </c>
      <c r="AE237" s="290">
        <v>0</v>
      </c>
      <c r="AF237" s="290">
        <v>0</v>
      </c>
      <c r="AG237" s="290">
        <v>1683</v>
      </c>
      <c r="AH237" s="290">
        <v>325</v>
      </c>
      <c r="AI237" s="290">
        <v>83</v>
      </c>
      <c r="AJ237" s="290">
        <v>0</v>
      </c>
      <c r="AK237" s="290">
        <v>0</v>
      </c>
      <c r="AL237" s="290">
        <v>0</v>
      </c>
      <c r="AM237" s="957">
        <v>1.160714E-2</v>
      </c>
      <c r="AN237" s="290">
        <v>0</v>
      </c>
      <c r="AO237" s="290">
        <v>-553.30870669000001</v>
      </c>
      <c r="AP237" s="290">
        <v>0</v>
      </c>
      <c r="AQ237" s="290">
        <v>0</v>
      </c>
      <c r="AR237" s="290">
        <v>-63.561004709999999</v>
      </c>
      <c r="AS237" s="290">
        <v>158.10300000000001</v>
      </c>
      <c r="AT237" s="290">
        <v>60</v>
      </c>
      <c r="AU237" s="290">
        <v>7</v>
      </c>
      <c r="AV237" s="766">
        <v>78172</v>
      </c>
      <c r="AW237" s="290">
        <v>900</v>
      </c>
      <c r="AX237" s="766">
        <v>-1.625</v>
      </c>
      <c r="AY237" s="290">
        <v>279</v>
      </c>
      <c r="AZ237" s="290">
        <v>78</v>
      </c>
      <c r="BA237" s="290">
        <v>33</v>
      </c>
      <c r="BB237" s="290">
        <v>3017</v>
      </c>
      <c r="BC237" s="290">
        <v>3083.4721848200002</v>
      </c>
      <c r="BD237" s="290"/>
      <c r="BE237" s="290">
        <v>74455.118237710005</v>
      </c>
      <c r="BF237" s="290">
        <v>0</v>
      </c>
      <c r="BG237" s="290">
        <v>1378</v>
      </c>
      <c r="BH237" s="290">
        <v>500</v>
      </c>
      <c r="BI237" s="290">
        <v>478</v>
      </c>
      <c r="BJ237" s="290">
        <v>19</v>
      </c>
      <c r="BK237" s="290">
        <v>68</v>
      </c>
      <c r="BL237" s="290">
        <v>0</v>
      </c>
      <c r="BM237" s="290">
        <v>0</v>
      </c>
      <c r="BN237" s="290">
        <v>43</v>
      </c>
      <c r="BO237" s="290">
        <v>-11</v>
      </c>
      <c r="BP237" s="290">
        <v>157</v>
      </c>
      <c r="BQ237" s="290">
        <v>313</v>
      </c>
      <c r="BR237" s="290">
        <v>237</v>
      </c>
      <c r="BS237" s="290">
        <v>35</v>
      </c>
      <c r="BT237" s="290">
        <v>0</v>
      </c>
      <c r="BU237" s="290">
        <v>0</v>
      </c>
      <c r="BV237" s="290">
        <v>39</v>
      </c>
      <c r="BW237" s="290">
        <v>0</v>
      </c>
      <c r="BX237" s="290">
        <v>0</v>
      </c>
      <c r="BY237" s="290">
        <v>173</v>
      </c>
      <c r="BZ237" s="290">
        <v>800</v>
      </c>
      <c r="CA237" s="290">
        <v>105.68600000000001</v>
      </c>
      <c r="CB237" s="290">
        <v>27</v>
      </c>
      <c r="CC237" s="290">
        <v>0</v>
      </c>
      <c r="CD237" s="290">
        <v>27</v>
      </c>
      <c r="CE237" s="290">
        <v>46254.45</v>
      </c>
      <c r="CF237" s="290">
        <v>0</v>
      </c>
      <c r="CG237" s="290">
        <v>0</v>
      </c>
      <c r="CH237" s="290">
        <v>0</v>
      </c>
      <c r="CI237" s="290">
        <v>0</v>
      </c>
      <c r="CJ237" s="290"/>
    </row>
    <row r="238" spans="1:88" ht="13">
      <c r="A238" s="1">
        <v>4227</v>
      </c>
      <c r="B238" s="2" t="s">
        <v>956</v>
      </c>
      <c r="C238" s="289">
        <v>5922</v>
      </c>
      <c r="D238" s="290">
        <v>106</v>
      </c>
      <c r="E238" s="290">
        <v>274</v>
      </c>
      <c r="F238" s="290">
        <v>759</v>
      </c>
      <c r="G238" s="290">
        <v>525</v>
      </c>
      <c r="H238" s="290">
        <v>3292</v>
      </c>
      <c r="I238" s="290">
        <v>690</v>
      </c>
      <c r="J238" s="290">
        <v>250</v>
      </c>
      <c r="K238" s="290">
        <v>61</v>
      </c>
      <c r="L238" s="290">
        <v>53</v>
      </c>
      <c r="M238" s="290">
        <v>445</v>
      </c>
      <c r="N238" s="290">
        <v>143</v>
      </c>
      <c r="O238" s="290">
        <v>66</v>
      </c>
      <c r="P238" s="624">
        <v>57527.796000000002</v>
      </c>
      <c r="Q238" s="624">
        <v>16138.36</v>
      </c>
      <c r="R238" s="1039">
        <v>32</v>
      </c>
      <c r="S238" s="290">
        <v>0</v>
      </c>
      <c r="T238" s="290">
        <v>525</v>
      </c>
      <c r="U238" s="958">
        <v>3.3348680804095206E-3</v>
      </c>
      <c r="V238" s="290">
        <v>3290.6529466900001</v>
      </c>
      <c r="W238" s="765">
        <v>0.70654499999999998</v>
      </c>
      <c r="X238" s="290">
        <v>0</v>
      </c>
      <c r="Y238" s="290"/>
      <c r="Z238" s="290">
        <v>187963.50099999999</v>
      </c>
      <c r="AA238" s="290">
        <v>0</v>
      </c>
      <c r="AB238" s="290">
        <v>187</v>
      </c>
      <c r="AC238" s="290">
        <v>335</v>
      </c>
      <c r="AD238" s="290">
        <v>127</v>
      </c>
      <c r="AE238" s="290">
        <v>0</v>
      </c>
      <c r="AF238" s="290">
        <v>0</v>
      </c>
      <c r="AG238" s="290">
        <v>5957</v>
      </c>
      <c r="AH238" s="290">
        <v>1082</v>
      </c>
      <c r="AI238" s="290">
        <v>170</v>
      </c>
      <c r="AJ238" s="290">
        <v>0</v>
      </c>
      <c r="AK238" s="290">
        <v>1142</v>
      </c>
      <c r="AL238" s="290">
        <v>0</v>
      </c>
      <c r="AM238" s="957">
        <v>0.14495747</v>
      </c>
      <c r="AN238" s="290">
        <v>6717</v>
      </c>
      <c r="AO238" s="290">
        <v>-1699.9483289699999</v>
      </c>
      <c r="AP238" s="290">
        <v>0</v>
      </c>
      <c r="AQ238" s="290">
        <v>0</v>
      </c>
      <c r="AR238" s="290">
        <v>-224.97498816000001</v>
      </c>
      <c r="AS238" s="290">
        <v>520.75250000000005</v>
      </c>
      <c r="AT238" s="290">
        <v>360</v>
      </c>
      <c r="AU238" s="290">
        <v>51</v>
      </c>
      <c r="AV238" s="766">
        <v>208953</v>
      </c>
      <c r="AW238" s="290">
        <v>600</v>
      </c>
      <c r="AX238" s="766">
        <v>24.041650000000001</v>
      </c>
      <c r="AY238" s="290">
        <v>926</v>
      </c>
      <c r="AZ238" s="290">
        <v>283</v>
      </c>
      <c r="BA238" s="290">
        <v>176</v>
      </c>
      <c r="BB238" s="290">
        <v>0</v>
      </c>
      <c r="BC238" s="290">
        <v>10235.64982493</v>
      </c>
      <c r="BD238" s="290"/>
      <c r="BE238" s="290">
        <v>199149.58183531999</v>
      </c>
      <c r="BF238" s="290">
        <v>0</v>
      </c>
      <c r="BG238" s="290">
        <v>4876</v>
      </c>
      <c r="BH238" s="290">
        <v>1000</v>
      </c>
      <c r="BI238" s="290">
        <v>2686</v>
      </c>
      <c r="BJ238" s="290">
        <v>70</v>
      </c>
      <c r="BK238" s="290">
        <v>224</v>
      </c>
      <c r="BL238" s="290">
        <v>0</v>
      </c>
      <c r="BM238" s="290">
        <v>0</v>
      </c>
      <c r="BN238" s="290">
        <v>140</v>
      </c>
      <c r="BO238" s="290">
        <v>-54</v>
      </c>
      <c r="BP238" s="290">
        <v>549</v>
      </c>
      <c r="BQ238" s="290">
        <v>1098</v>
      </c>
      <c r="BR238" s="290">
        <v>832</v>
      </c>
      <c r="BS238" s="290">
        <v>95</v>
      </c>
      <c r="BT238" s="290">
        <v>0</v>
      </c>
      <c r="BU238" s="290">
        <v>0</v>
      </c>
      <c r="BV238" s="290">
        <v>129</v>
      </c>
      <c r="BW238" s="290">
        <v>0</v>
      </c>
      <c r="BX238" s="290">
        <v>0</v>
      </c>
      <c r="BY238" s="290">
        <v>608</v>
      </c>
      <c r="BZ238" s="290">
        <v>0</v>
      </c>
      <c r="CA238" s="290">
        <v>422.6</v>
      </c>
      <c r="CB238" s="290">
        <v>61</v>
      </c>
      <c r="CC238" s="290">
        <v>0</v>
      </c>
      <c r="CD238" s="290">
        <v>133</v>
      </c>
      <c r="CE238" s="290">
        <v>187963.50099999999</v>
      </c>
      <c r="CF238" s="290">
        <v>1004.0237476508808</v>
      </c>
      <c r="CG238" s="290">
        <v>781.27801503934506</v>
      </c>
      <c r="CH238" s="290">
        <v>544.54220096684958</v>
      </c>
      <c r="CI238" s="290">
        <v>297.32010458192326</v>
      </c>
      <c r="CJ238" s="290"/>
    </row>
    <row r="239" spans="1:88" ht="13">
      <c r="A239" s="1">
        <v>4228</v>
      </c>
      <c r="B239" s="2" t="s">
        <v>957</v>
      </c>
      <c r="C239" s="289">
        <v>1772</v>
      </c>
      <c r="D239" s="290">
        <v>34</v>
      </c>
      <c r="E239" s="290">
        <v>82</v>
      </c>
      <c r="F239" s="290">
        <v>245</v>
      </c>
      <c r="G239" s="290">
        <v>158</v>
      </c>
      <c r="H239" s="290">
        <v>960</v>
      </c>
      <c r="I239" s="290">
        <v>227</v>
      </c>
      <c r="J239" s="290">
        <v>69</v>
      </c>
      <c r="K239" s="290">
        <v>30</v>
      </c>
      <c r="L239" s="290">
        <v>12</v>
      </c>
      <c r="M239" s="290">
        <v>140</v>
      </c>
      <c r="N239" s="290">
        <v>10</v>
      </c>
      <c r="O239" s="290">
        <v>10</v>
      </c>
      <c r="P239" s="624">
        <v>19550.241999999998</v>
      </c>
      <c r="Q239" s="624">
        <v>7555.2676666699999</v>
      </c>
      <c r="R239" s="1039">
        <v>7</v>
      </c>
      <c r="S239" s="290">
        <v>0</v>
      </c>
      <c r="T239" s="290">
        <v>153</v>
      </c>
      <c r="U239" s="958">
        <v>1.8262059477377941E-3</v>
      </c>
      <c r="V239" s="290">
        <v>1147.2347865300001</v>
      </c>
      <c r="W239" s="765">
        <v>1</v>
      </c>
      <c r="X239" s="290">
        <v>0</v>
      </c>
      <c r="Y239" s="290"/>
      <c r="Z239" s="290">
        <v>109126.65399999999</v>
      </c>
      <c r="AA239" s="290">
        <v>0</v>
      </c>
      <c r="AB239" s="290">
        <v>35</v>
      </c>
      <c r="AC239" s="290">
        <v>117</v>
      </c>
      <c r="AD239" s="290">
        <v>53</v>
      </c>
      <c r="AE239" s="290">
        <v>0</v>
      </c>
      <c r="AF239" s="290">
        <v>0</v>
      </c>
      <c r="AG239" s="290">
        <v>1805</v>
      </c>
      <c r="AH239" s="290">
        <v>337</v>
      </c>
      <c r="AI239" s="290">
        <v>0</v>
      </c>
      <c r="AJ239" s="290">
        <v>0</v>
      </c>
      <c r="AK239" s="290">
        <v>0</v>
      </c>
      <c r="AL239" s="290">
        <v>0</v>
      </c>
      <c r="AM239" s="957">
        <v>1.0216329999999999E-2</v>
      </c>
      <c r="AN239" s="290">
        <v>0</v>
      </c>
      <c r="AO239" s="290">
        <v>-574.23280566000005</v>
      </c>
      <c r="AP239" s="290">
        <v>0</v>
      </c>
      <c r="AQ239" s="290">
        <v>0</v>
      </c>
      <c r="AR239" s="290">
        <v>-68.168516640000007</v>
      </c>
      <c r="AS239" s="290">
        <v>174.23</v>
      </c>
      <c r="AT239" s="290">
        <v>85</v>
      </c>
      <c r="AU239" s="290">
        <v>7</v>
      </c>
      <c r="AV239" s="766">
        <v>74135</v>
      </c>
      <c r="AW239" s="290">
        <v>100</v>
      </c>
      <c r="AX239" s="766">
        <v>9.5000499999999999</v>
      </c>
      <c r="AY239" s="290">
        <v>358</v>
      </c>
      <c r="AZ239" s="290">
        <v>57</v>
      </c>
      <c r="BA239" s="290">
        <v>19</v>
      </c>
      <c r="BB239" s="290">
        <v>0</v>
      </c>
      <c r="BC239" s="290">
        <v>3058.9046409699999</v>
      </c>
      <c r="BD239" s="290"/>
      <c r="BE239" s="290">
        <v>71177.842763599998</v>
      </c>
      <c r="BF239" s="290">
        <v>0</v>
      </c>
      <c r="BG239" s="290">
        <v>1478</v>
      </c>
      <c r="BH239" s="290">
        <v>500</v>
      </c>
      <c r="BI239" s="290">
        <v>507</v>
      </c>
      <c r="BJ239" s="290">
        <v>30</v>
      </c>
      <c r="BK239" s="290">
        <v>70</v>
      </c>
      <c r="BL239" s="290">
        <v>0</v>
      </c>
      <c r="BM239" s="290">
        <v>0</v>
      </c>
      <c r="BN239" s="290">
        <v>44</v>
      </c>
      <c r="BO239" s="290">
        <v>-12</v>
      </c>
      <c r="BP239" s="290">
        <v>164</v>
      </c>
      <c r="BQ239" s="290">
        <v>329</v>
      </c>
      <c r="BR239" s="290">
        <v>249</v>
      </c>
      <c r="BS239" s="290">
        <v>40</v>
      </c>
      <c r="BT239" s="290">
        <v>0</v>
      </c>
      <c r="BU239" s="290">
        <v>0</v>
      </c>
      <c r="BV239" s="290">
        <v>40</v>
      </c>
      <c r="BW239" s="290">
        <v>0</v>
      </c>
      <c r="BX239" s="290">
        <v>0</v>
      </c>
      <c r="BY239" s="290">
        <v>188</v>
      </c>
      <c r="BZ239" s="290">
        <v>100</v>
      </c>
      <c r="CA239" s="290">
        <v>873.1</v>
      </c>
      <c r="CB239" s="290">
        <v>29</v>
      </c>
      <c r="CC239" s="290">
        <v>0</v>
      </c>
      <c r="CD239" s="290">
        <v>29</v>
      </c>
      <c r="CE239" s="290">
        <v>109126.65399999999</v>
      </c>
      <c r="CF239" s="290">
        <v>0</v>
      </c>
      <c r="CG239" s="290">
        <v>0</v>
      </c>
      <c r="CH239" s="290">
        <v>0</v>
      </c>
      <c r="CI239" s="290">
        <v>0</v>
      </c>
      <c r="CJ239" s="290"/>
    </row>
    <row r="240" spans="1:88" ht="13">
      <c r="A240" s="1">
        <v>4601</v>
      </c>
      <c r="B240" s="2" t="s">
        <v>23</v>
      </c>
      <c r="C240" s="289">
        <v>285601</v>
      </c>
      <c r="D240" s="290">
        <v>6251</v>
      </c>
      <c r="E240" s="290">
        <v>12605</v>
      </c>
      <c r="F240" s="290">
        <v>31052</v>
      </c>
      <c r="G240" s="290">
        <v>24283</v>
      </c>
      <c r="H240" s="290">
        <v>169922</v>
      </c>
      <c r="I240" s="290">
        <v>27465</v>
      </c>
      <c r="J240" s="290">
        <v>9644</v>
      </c>
      <c r="K240" s="290">
        <v>2558</v>
      </c>
      <c r="L240" s="290">
        <v>2039</v>
      </c>
      <c r="M240" s="290">
        <v>18184</v>
      </c>
      <c r="N240" s="290">
        <v>7972</v>
      </c>
      <c r="O240" s="290">
        <v>2257</v>
      </c>
      <c r="P240" s="624">
        <v>1018007.5513333</v>
      </c>
      <c r="Q240" s="624">
        <v>341529.03600000002</v>
      </c>
      <c r="R240" s="1039">
        <v>1050</v>
      </c>
      <c r="S240" s="290">
        <v>0</v>
      </c>
      <c r="T240" s="290">
        <v>28203</v>
      </c>
      <c r="U240" s="958">
        <v>3.4177395152358032E-3</v>
      </c>
      <c r="V240" s="290">
        <v>-37200.205729879999</v>
      </c>
      <c r="W240" s="765">
        <v>0.53719989000000001</v>
      </c>
      <c r="X240" s="290">
        <v>14600</v>
      </c>
      <c r="Y240" s="290"/>
      <c r="Z240" s="290">
        <v>10807543.196</v>
      </c>
      <c r="AA240" s="290">
        <v>0</v>
      </c>
      <c r="AB240" s="290">
        <v>5175</v>
      </c>
      <c r="AC240" s="290">
        <v>12887</v>
      </c>
      <c r="AD240" s="290">
        <v>4859</v>
      </c>
      <c r="AE240" s="290">
        <v>0</v>
      </c>
      <c r="AF240" s="290">
        <v>0</v>
      </c>
      <c r="AG240" s="290">
        <v>283780</v>
      </c>
      <c r="AH240" s="290">
        <v>46551</v>
      </c>
      <c r="AI240" s="290">
        <v>5470</v>
      </c>
      <c r="AJ240" s="290">
        <v>0</v>
      </c>
      <c r="AK240" s="290">
        <v>0</v>
      </c>
      <c r="AL240" s="290">
        <v>0</v>
      </c>
      <c r="AM240" s="957">
        <v>9.1540464299999993</v>
      </c>
      <c r="AN240" s="290">
        <v>0</v>
      </c>
      <c r="AO240" s="290">
        <v>-69279.344664549993</v>
      </c>
      <c r="AP240" s="290">
        <v>111584</v>
      </c>
      <c r="AQ240" s="290">
        <v>0</v>
      </c>
      <c r="AR240" s="290">
        <v>-10717.37487663</v>
      </c>
      <c r="AS240" s="290">
        <v>19676.133000000002</v>
      </c>
      <c r="AT240" s="290">
        <v>13300</v>
      </c>
      <c r="AU240" s="290">
        <v>3502</v>
      </c>
      <c r="AV240" s="766">
        <v>6876631</v>
      </c>
      <c r="AW240" s="290">
        <v>130000</v>
      </c>
      <c r="AX240" s="766">
        <v>2327.8750500000001</v>
      </c>
      <c r="AY240" s="290">
        <v>96095</v>
      </c>
      <c r="AZ240" s="290">
        <v>15844</v>
      </c>
      <c r="BA240" s="290">
        <v>5399</v>
      </c>
      <c r="BB240" s="290">
        <v>0</v>
      </c>
      <c r="BC240" s="290">
        <v>370833.57622106001</v>
      </c>
      <c r="BD240" s="290"/>
      <c r="BE240" s="290">
        <v>6457930.7038992001</v>
      </c>
      <c r="BF240" s="290">
        <v>0</v>
      </c>
      <c r="BG240" s="290">
        <v>232304</v>
      </c>
      <c r="BH240" s="290">
        <v>3500</v>
      </c>
      <c r="BI240" s="290">
        <v>64297</v>
      </c>
      <c r="BJ240" s="290">
        <v>3491</v>
      </c>
      <c r="BK240" s="290">
        <v>11918</v>
      </c>
      <c r="BL240" s="290">
        <v>0</v>
      </c>
      <c r="BM240" s="290">
        <v>0</v>
      </c>
      <c r="BN240" s="290">
        <v>7455</v>
      </c>
      <c r="BO240" s="290">
        <v>-2694</v>
      </c>
      <c r="BP240" s="290">
        <v>26487</v>
      </c>
      <c r="BQ240" s="290">
        <v>52974</v>
      </c>
      <c r="BR240" s="290">
        <v>40101</v>
      </c>
      <c r="BS240" s="290">
        <v>3644</v>
      </c>
      <c r="BT240" s="290">
        <v>0</v>
      </c>
      <c r="BU240" s="290">
        <v>0</v>
      </c>
      <c r="BV240" s="290">
        <v>6858</v>
      </c>
      <c r="BW240" s="290">
        <v>0</v>
      </c>
      <c r="BX240" s="290">
        <v>0</v>
      </c>
      <c r="BY240" s="290">
        <v>25579</v>
      </c>
      <c r="BZ240" s="290">
        <v>102500</v>
      </c>
      <c r="CA240" s="290">
        <v>66715.899999999994</v>
      </c>
      <c r="CB240" s="290">
        <v>2452</v>
      </c>
      <c r="CC240" s="290">
        <v>22</v>
      </c>
      <c r="CD240" s="290">
        <v>6670</v>
      </c>
      <c r="CE240" s="290">
        <v>10807543.196</v>
      </c>
      <c r="CF240" s="290">
        <v>0</v>
      </c>
      <c r="CG240" s="290">
        <v>0</v>
      </c>
      <c r="CH240" s="290">
        <v>0</v>
      </c>
      <c r="CI240" s="290">
        <v>0</v>
      </c>
      <c r="CJ240" s="290"/>
    </row>
    <row r="241" spans="1:88" ht="13">
      <c r="A241" s="1">
        <v>4602</v>
      </c>
      <c r="B241" s="2" t="s">
        <v>1631</v>
      </c>
      <c r="C241" s="289">
        <v>17160</v>
      </c>
      <c r="D241" s="290">
        <v>299</v>
      </c>
      <c r="E241" s="290">
        <v>709</v>
      </c>
      <c r="F241" s="290">
        <v>2254</v>
      </c>
      <c r="G241" s="290">
        <v>1599</v>
      </c>
      <c r="H241" s="290">
        <v>9467</v>
      </c>
      <c r="I241" s="290">
        <v>2012</v>
      </c>
      <c r="J241" s="290">
        <v>640</v>
      </c>
      <c r="K241" s="290">
        <v>183</v>
      </c>
      <c r="L241" s="290">
        <v>132</v>
      </c>
      <c r="M241" s="290">
        <v>1223</v>
      </c>
      <c r="N241" s="290">
        <v>359</v>
      </c>
      <c r="O241" s="290">
        <v>226</v>
      </c>
      <c r="P241" s="624">
        <v>125436.46533332999</v>
      </c>
      <c r="Q241" s="624">
        <v>47273.39866667</v>
      </c>
      <c r="R241" s="1039">
        <v>77</v>
      </c>
      <c r="S241" s="290">
        <v>0</v>
      </c>
      <c r="T241" s="290">
        <v>1333</v>
      </c>
      <c r="U241" s="958">
        <v>3.8791651067043406E-3</v>
      </c>
      <c r="V241" s="290">
        <v>9131.5869879399997</v>
      </c>
      <c r="W241" s="765">
        <v>0.63099731999999997</v>
      </c>
      <c r="X241" s="290">
        <v>11400</v>
      </c>
      <c r="Y241" s="290"/>
      <c r="Z241" s="290">
        <v>592638.42599999998</v>
      </c>
      <c r="AA241" s="290">
        <v>0</v>
      </c>
      <c r="AB241" s="290">
        <v>356</v>
      </c>
      <c r="AC241" s="290">
        <v>972</v>
      </c>
      <c r="AD241" s="290">
        <v>335</v>
      </c>
      <c r="AE241" s="290">
        <v>0</v>
      </c>
      <c r="AF241" s="290">
        <v>16840</v>
      </c>
      <c r="AG241" s="290">
        <v>17163</v>
      </c>
      <c r="AH241" s="290">
        <v>3114</v>
      </c>
      <c r="AI241" s="290">
        <v>2200</v>
      </c>
      <c r="AJ241" s="290">
        <v>0</v>
      </c>
      <c r="AK241" s="290">
        <v>0</v>
      </c>
      <c r="AL241" s="290">
        <v>0</v>
      </c>
      <c r="AM241" s="957">
        <v>0.29256131000000002</v>
      </c>
      <c r="AN241" s="290">
        <v>0</v>
      </c>
      <c r="AO241" s="290">
        <v>-4570.6919610100003</v>
      </c>
      <c r="AP241" s="290">
        <v>0</v>
      </c>
      <c r="AQ241" s="290">
        <v>0</v>
      </c>
      <c r="AR241" s="290">
        <v>-160.08563570999999</v>
      </c>
      <c r="AS241" s="290">
        <v>1607.29</v>
      </c>
      <c r="AT241" s="290">
        <v>698</v>
      </c>
      <c r="AU241" s="290">
        <v>170</v>
      </c>
      <c r="AV241" s="766">
        <v>546577</v>
      </c>
      <c r="AW241" s="290">
        <v>2700</v>
      </c>
      <c r="AX241" s="766">
        <v>109.04170000000001</v>
      </c>
      <c r="AY241" s="290">
        <v>3447</v>
      </c>
      <c r="AZ241" s="290">
        <v>730</v>
      </c>
      <c r="BA241" s="290">
        <v>386</v>
      </c>
      <c r="BB241" s="290">
        <v>0</v>
      </c>
      <c r="BC241" s="290">
        <v>41702.171074459999</v>
      </c>
      <c r="BD241" s="290"/>
      <c r="BE241" s="290">
        <v>511496.39236961002</v>
      </c>
      <c r="BF241" s="290">
        <v>0</v>
      </c>
      <c r="BG241" s="290">
        <v>14050</v>
      </c>
      <c r="BH241" s="290">
        <v>1000</v>
      </c>
      <c r="BI241" s="290">
        <v>21261</v>
      </c>
      <c r="BJ241" s="290">
        <v>211</v>
      </c>
      <c r="BK241" s="290">
        <v>625</v>
      </c>
      <c r="BL241" s="290">
        <v>0</v>
      </c>
      <c r="BM241" s="290">
        <v>4548</v>
      </c>
      <c r="BN241" s="290">
        <v>391</v>
      </c>
      <c r="BO241" s="290">
        <v>-131</v>
      </c>
      <c r="BP241" s="290">
        <v>1591</v>
      </c>
      <c r="BQ241" s="290">
        <v>3183</v>
      </c>
      <c r="BR241" s="290">
        <v>2409</v>
      </c>
      <c r="BS241" s="290">
        <v>251</v>
      </c>
      <c r="BT241" s="290">
        <v>0</v>
      </c>
      <c r="BU241" s="290">
        <v>0</v>
      </c>
      <c r="BV241" s="290">
        <v>359</v>
      </c>
      <c r="BW241" s="290">
        <v>0</v>
      </c>
      <c r="BX241" s="290">
        <v>0</v>
      </c>
      <c r="BY241" s="290">
        <v>1800</v>
      </c>
      <c r="BZ241" s="290">
        <v>1700</v>
      </c>
      <c r="CA241" s="290">
        <v>873.03399999999999</v>
      </c>
      <c r="CB241" s="290">
        <v>156</v>
      </c>
      <c r="CC241" s="290">
        <v>1</v>
      </c>
      <c r="CD241" s="290">
        <v>326</v>
      </c>
      <c r="CE241" s="290">
        <v>592638.42599999998</v>
      </c>
      <c r="CF241" s="290">
        <v>0</v>
      </c>
      <c r="CG241" s="290">
        <v>0</v>
      </c>
      <c r="CH241" s="290">
        <v>0</v>
      </c>
      <c r="CI241" s="290">
        <v>0</v>
      </c>
      <c r="CJ241" s="290"/>
    </row>
    <row r="242" spans="1:88" ht="13">
      <c r="A242" s="1">
        <v>4611</v>
      </c>
      <c r="B242" s="2" t="s">
        <v>24</v>
      </c>
      <c r="C242" s="289">
        <v>4053</v>
      </c>
      <c r="D242" s="290">
        <v>94</v>
      </c>
      <c r="E242" s="290">
        <v>192</v>
      </c>
      <c r="F242" s="290">
        <v>503</v>
      </c>
      <c r="G242" s="290">
        <v>371</v>
      </c>
      <c r="H242" s="290">
        <v>2135</v>
      </c>
      <c r="I242" s="290">
        <v>529</v>
      </c>
      <c r="J242" s="290">
        <v>178</v>
      </c>
      <c r="K242" s="290">
        <v>64</v>
      </c>
      <c r="L242" s="290">
        <v>28</v>
      </c>
      <c r="M242" s="290">
        <v>307</v>
      </c>
      <c r="N242" s="290">
        <v>22</v>
      </c>
      <c r="O242" s="290">
        <v>33</v>
      </c>
      <c r="P242" s="624">
        <v>41133.156666670002</v>
      </c>
      <c r="Q242" s="624">
        <v>11614.956</v>
      </c>
      <c r="R242" s="1039">
        <v>20</v>
      </c>
      <c r="S242" s="290">
        <v>0</v>
      </c>
      <c r="T242" s="290">
        <v>301</v>
      </c>
      <c r="U242" s="958">
        <v>3.4421231439985753E-3</v>
      </c>
      <c r="V242" s="290">
        <v>2361.26661629</v>
      </c>
      <c r="W242" s="765">
        <v>0.77073038000000005</v>
      </c>
      <c r="X242" s="290">
        <v>2600</v>
      </c>
      <c r="Y242" s="290"/>
      <c r="Z242" s="290">
        <v>134847.43700000001</v>
      </c>
      <c r="AA242" s="290">
        <v>0</v>
      </c>
      <c r="AB242" s="290">
        <v>87</v>
      </c>
      <c r="AC242" s="290">
        <v>226</v>
      </c>
      <c r="AD242" s="290">
        <v>94</v>
      </c>
      <c r="AE242" s="290">
        <v>0</v>
      </c>
      <c r="AF242" s="290">
        <v>0</v>
      </c>
      <c r="AG242" s="290">
        <v>4066</v>
      </c>
      <c r="AH242" s="290">
        <v>752</v>
      </c>
      <c r="AI242" s="290">
        <v>0</v>
      </c>
      <c r="AJ242" s="290">
        <v>0</v>
      </c>
      <c r="AK242" s="290">
        <v>0</v>
      </c>
      <c r="AL242" s="290">
        <v>0</v>
      </c>
      <c r="AM242" s="957">
        <v>3.7917449999999998E-2</v>
      </c>
      <c r="AN242" s="290">
        <v>1225</v>
      </c>
      <c r="AO242" s="290">
        <v>-1181.89996494</v>
      </c>
      <c r="AP242" s="290">
        <v>0</v>
      </c>
      <c r="AQ242" s="290">
        <v>0</v>
      </c>
      <c r="AR242" s="290">
        <v>-153.55855327</v>
      </c>
      <c r="AS242" s="290">
        <v>369.89850000000001</v>
      </c>
      <c r="AT242" s="290">
        <v>147</v>
      </c>
      <c r="AU242" s="290">
        <v>28</v>
      </c>
      <c r="AV242" s="766">
        <v>143815</v>
      </c>
      <c r="AW242" s="290">
        <v>700</v>
      </c>
      <c r="AX242" s="766">
        <v>36.833350000000003</v>
      </c>
      <c r="AY242" s="290">
        <v>719</v>
      </c>
      <c r="AZ242" s="290">
        <v>152</v>
      </c>
      <c r="BA242" s="290">
        <v>62</v>
      </c>
      <c r="BB242" s="290">
        <v>0</v>
      </c>
      <c r="BC242" s="290">
        <v>6624.6211831700002</v>
      </c>
      <c r="BD242" s="290"/>
      <c r="BE242" s="290">
        <v>139279.98426281</v>
      </c>
      <c r="BF242" s="290">
        <v>0</v>
      </c>
      <c r="BG242" s="290">
        <v>3328</v>
      </c>
      <c r="BH242" s="290">
        <v>1000</v>
      </c>
      <c r="BI242" s="290">
        <v>1072</v>
      </c>
      <c r="BJ242" s="290">
        <v>47</v>
      </c>
      <c r="BK242" s="290">
        <v>170</v>
      </c>
      <c r="BL242" s="290">
        <v>0</v>
      </c>
      <c r="BM242" s="290">
        <v>0</v>
      </c>
      <c r="BN242" s="290">
        <v>106</v>
      </c>
      <c r="BO242" s="290">
        <v>-26</v>
      </c>
      <c r="BP242" s="290">
        <v>376</v>
      </c>
      <c r="BQ242" s="290">
        <v>752</v>
      </c>
      <c r="BR242" s="290">
        <v>569</v>
      </c>
      <c r="BS242" s="290">
        <v>71</v>
      </c>
      <c r="BT242" s="290">
        <v>0</v>
      </c>
      <c r="BU242" s="290">
        <v>0</v>
      </c>
      <c r="BV242" s="290">
        <v>98</v>
      </c>
      <c r="BW242" s="290">
        <v>0</v>
      </c>
      <c r="BX242" s="290">
        <v>0</v>
      </c>
      <c r="BY242" s="290">
        <v>449</v>
      </c>
      <c r="BZ242" s="290">
        <v>900</v>
      </c>
      <c r="CA242" s="290">
        <v>225.751</v>
      </c>
      <c r="CB242" s="290">
        <v>46</v>
      </c>
      <c r="CC242" s="290">
        <v>0</v>
      </c>
      <c r="CD242" s="290">
        <v>64</v>
      </c>
      <c r="CE242" s="290">
        <v>134847.43700000001</v>
      </c>
      <c r="CF242" s="290">
        <v>0</v>
      </c>
      <c r="CG242" s="290">
        <v>0</v>
      </c>
      <c r="CH242" s="290">
        <v>0</v>
      </c>
      <c r="CI242" s="290">
        <v>0</v>
      </c>
      <c r="CJ242" s="290"/>
    </row>
    <row r="243" spans="1:88" ht="13">
      <c r="A243" s="1">
        <v>4612</v>
      </c>
      <c r="B243" s="2" t="s">
        <v>25</v>
      </c>
      <c r="C243" s="289">
        <v>5798</v>
      </c>
      <c r="D243" s="290">
        <v>123</v>
      </c>
      <c r="E243" s="290">
        <v>289</v>
      </c>
      <c r="F243" s="290">
        <v>845</v>
      </c>
      <c r="G243" s="290">
        <v>521</v>
      </c>
      <c r="H243" s="290">
        <v>3101</v>
      </c>
      <c r="I243" s="290">
        <v>679</v>
      </c>
      <c r="J243" s="290">
        <v>173</v>
      </c>
      <c r="K243" s="290">
        <v>43</v>
      </c>
      <c r="L243" s="290">
        <v>42</v>
      </c>
      <c r="M243" s="290">
        <v>294</v>
      </c>
      <c r="N243" s="290">
        <v>71</v>
      </c>
      <c r="O243" s="290">
        <v>64</v>
      </c>
      <c r="P243" s="624">
        <v>44703.009333330003</v>
      </c>
      <c r="Q243" s="624">
        <v>18481.72633333</v>
      </c>
      <c r="R243" s="1039">
        <v>24</v>
      </c>
      <c r="S243" s="290">
        <v>0</v>
      </c>
      <c r="T243" s="290">
        <v>392</v>
      </c>
      <c r="U243" s="958">
        <v>3.3143661439762519E-3</v>
      </c>
      <c r="V243" s="290">
        <v>2010.9727930500001</v>
      </c>
      <c r="W243" s="765">
        <v>0.71267364</v>
      </c>
      <c r="X243" s="290">
        <v>2800</v>
      </c>
      <c r="Y243" s="290"/>
      <c r="Z243" s="290">
        <v>191979.33600000001</v>
      </c>
      <c r="AA243" s="290">
        <v>0</v>
      </c>
      <c r="AB243" s="290">
        <v>130</v>
      </c>
      <c r="AC243" s="290">
        <v>367</v>
      </c>
      <c r="AD243" s="290">
        <v>122</v>
      </c>
      <c r="AE243" s="290">
        <v>0</v>
      </c>
      <c r="AF243" s="290">
        <v>0</v>
      </c>
      <c r="AG243" s="290">
        <v>5774</v>
      </c>
      <c r="AH243" s="290">
        <v>1170</v>
      </c>
      <c r="AI243" s="290">
        <v>0</v>
      </c>
      <c r="AJ243" s="290">
        <v>0</v>
      </c>
      <c r="AK243" s="290">
        <v>0</v>
      </c>
      <c r="AL243" s="290">
        <v>0</v>
      </c>
      <c r="AM243" s="957">
        <v>9.8366590000000004E-2</v>
      </c>
      <c r="AN243" s="290">
        <v>0</v>
      </c>
      <c r="AO243" s="290">
        <v>-1587.9882631600001</v>
      </c>
      <c r="AP243" s="290">
        <v>0</v>
      </c>
      <c r="AQ243" s="290">
        <v>0</v>
      </c>
      <c r="AR243" s="290">
        <v>-218.06372027</v>
      </c>
      <c r="AS243" s="290">
        <v>555.05949999999996</v>
      </c>
      <c r="AT243" s="290">
        <v>241</v>
      </c>
      <c r="AU243" s="290">
        <v>59</v>
      </c>
      <c r="AV243" s="766">
        <v>181274</v>
      </c>
      <c r="AW243" s="290">
        <v>1600</v>
      </c>
      <c r="AX243" s="766">
        <v>44.750050000000002</v>
      </c>
      <c r="AY243" s="290">
        <v>1093</v>
      </c>
      <c r="AZ243" s="290">
        <v>230</v>
      </c>
      <c r="BA243" s="290">
        <v>109</v>
      </c>
      <c r="BB243" s="290">
        <v>0</v>
      </c>
      <c r="BC243" s="290">
        <v>9047.9025922799992</v>
      </c>
      <c r="BD243" s="290"/>
      <c r="BE243" s="290">
        <v>174039.85056979</v>
      </c>
      <c r="BF243" s="290">
        <v>0</v>
      </c>
      <c r="BG243" s="290">
        <v>4727</v>
      </c>
      <c r="BH243" s="290">
        <v>1000</v>
      </c>
      <c r="BI243" s="290">
        <v>1659</v>
      </c>
      <c r="BJ243" s="290">
        <v>66</v>
      </c>
      <c r="BK243" s="290">
        <v>249</v>
      </c>
      <c r="BL243" s="290">
        <v>0</v>
      </c>
      <c r="BM243" s="290">
        <v>0</v>
      </c>
      <c r="BN243" s="290">
        <v>156</v>
      </c>
      <c r="BO243" s="290">
        <v>-40</v>
      </c>
      <c r="BP243" s="290">
        <v>538</v>
      </c>
      <c r="BQ243" s="290">
        <v>1075</v>
      </c>
      <c r="BR243" s="290">
        <v>814</v>
      </c>
      <c r="BS243" s="290">
        <v>91</v>
      </c>
      <c r="BT243" s="290">
        <v>0</v>
      </c>
      <c r="BU243" s="290">
        <v>0</v>
      </c>
      <c r="BV243" s="290">
        <v>144</v>
      </c>
      <c r="BW243" s="290">
        <v>0</v>
      </c>
      <c r="BX243" s="290">
        <v>0</v>
      </c>
      <c r="BY243" s="290">
        <v>578</v>
      </c>
      <c r="BZ243" s="290">
        <v>1200</v>
      </c>
      <c r="CA243" s="290">
        <v>303.31700000000001</v>
      </c>
      <c r="CB243" s="290">
        <v>60</v>
      </c>
      <c r="CC243" s="290">
        <v>0</v>
      </c>
      <c r="CD243" s="290">
        <v>99</v>
      </c>
      <c r="CE243" s="290">
        <v>191979.33600000001</v>
      </c>
      <c r="CF243" s="290">
        <v>0</v>
      </c>
      <c r="CG243" s="290">
        <v>0</v>
      </c>
      <c r="CH243" s="290">
        <v>0</v>
      </c>
      <c r="CI243" s="290">
        <v>0</v>
      </c>
      <c r="CJ243" s="290"/>
    </row>
    <row r="244" spans="1:88" ht="13">
      <c r="A244" s="1">
        <v>4613</v>
      </c>
      <c r="B244" s="2" t="s">
        <v>26</v>
      </c>
      <c r="C244" s="289">
        <v>11953</v>
      </c>
      <c r="D244" s="290">
        <v>243</v>
      </c>
      <c r="E244" s="290">
        <v>569</v>
      </c>
      <c r="F244" s="290">
        <v>1726</v>
      </c>
      <c r="G244" s="290">
        <v>1171</v>
      </c>
      <c r="H244" s="290">
        <v>6367</v>
      </c>
      <c r="I244" s="290">
        <v>1419</v>
      </c>
      <c r="J244" s="290">
        <v>367</v>
      </c>
      <c r="K244" s="290">
        <v>144</v>
      </c>
      <c r="L244" s="290">
        <v>89</v>
      </c>
      <c r="M244" s="290">
        <v>700</v>
      </c>
      <c r="N244" s="290">
        <v>181</v>
      </c>
      <c r="O244" s="290">
        <v>140</v>
      </c>
      <c r="P244" s="624">
        <v>50203.784333329997</v>
      </c>
      <c r="Q244" s="624">
        <v>29008.776000000002</v>
      </c>
      <c r="R244" s="1039">
        <v>57</v>
      </c>
      <c r="S244" s="290">
        <v>0</v>
      </c>
      <c r="T244" s="290">
        <v>745</v>
      </c>
      <c r="U244" s="958">
        <v>2.7817650148413077E-3</v>
      </c>
      <c r="V244" s="290">
        <v>6444.1015894499997</v>
      </c>
      <c r="W244" s="765">
        <v>0.67107669999999997</v>
      </c>
      <c r="X244" s="290">
        <v>5600</v>
      </c>
      <c r="Y244" s="290"/>
      <c r="Z244" s="290">
        <v>395792.70500000002</v>
      </c>
      <c r="AA244" s="290">
        <v>0</v>
      </c>
      <c r="AB244" s="290">
        <v>246</v>
      </c>
      <c r="AC244" s="290">
        <v>728</v>
      </c>
      <c r="AD244" s="290">
        <v>233</v>
      </c>
      <c r="AE244" s="290">
        <v>0</v>
      </c>
      <c r="AF244" s="290">
        <v>0</v>
      </c>
      <c r="AG244" s="290">
        <v>12006</v>
      </c>
      <c r="AH244" s="290">
        <v>2422</v>
      </c>
      <c r="AI244" s="290">
        <v>20</v>
      </c>
      <c r="AJ244" s="290">
        <v>0</v>
      </c>
      <c r="AK244" s="290">
        <v>0</v>
      </c>
      <c r="AL244" s="290">
        <v>0</v>
      </c>
      <c r="AM244" s="957">
        <v>0.16677054999999999</v>
      </c>
      <c r="AN244" s="290">
        <v>0</v>
      </c>
      <c r="AO244" s="290">
        <v>-3225.5076110700002</v>
      </c>
      <c r="AP244" s="290">
        <v>0</v>
      </c>
      <c r="AQ244" s="290">
        <v>0</v>
      </c>
      <c r="AR244" s="290">
        <v>-453.42449350999999</v>
      </c>
      <c r="AS244" s="290">
        <v>1107.0419999999999</v>
      </c>
      <c r="AT244" s="290">
        <v>486</v>
      </c>
      <c r="AU244" s="290">
        <v>110</v>
      </c>
      <c r="AV244" s="766">
        <v>370995</v>
      </c>
      <c r="AW244" s="290">
        <v>1700</v>
      </c>
      <c r="AX244" s="766">
        <v>70.916650000000004</v>
      </c>
      <c r="AY244" s="290">
        <v>2186</v>
      </c>
      <c r="AZ244" s="290">
        <v>446</v>
      </c>
      <c r="BA244" s="290">
        <v>187</v>
      </c>
      <c r="BB244" s="290">
        <v>0</v>
      </c>
      <c r="BC244" s="290">
        <v>18008.20447778</v>
      </c>
      <c r="BD244" s="290"/>
      <c r="BE244" s="290">
        <v>347023.80262322997</v>
      </c>
      <c r="BF244" s="290">
        <v>0</v>
      </c>
      <c r="BG244" s="290">
        <v>9828</v>
      </c>
      <c r="BH244" s="290">
        <v>1000</v>
      </c>
      <c r="BI244" s="290">
        <v>3383</v>
      </c>
      <c r="BJ244" s="290">
        <v>138</v>
      </c>
      <c r="BK244" s="290">
        <v>482</v>
      </c>
      <c r="BL244" s="290">
        <v>0</v>
      </c>
      <c r="BM244" s="290">
        <v>0</v>
      </c>
      <c r="BN244" s="290">
        <v>301</v>
      </c>
      <c r="BO244" s="290">
        <v>-80</v>
      </c>
      <c r="BP244" s="290">
        <v>1109</v>
      </c>
      <c r="BQ244" s="290">
        <v>2217</v>
      </c>
      <c r="BR244" s="290">
        <v>1678</v>
      </c>
      <c r="BS244" s="290">
        <v>175</v>
      </c>
      <c r="BT244" s="290">
        <v>0</v>
      </c>
      <c r="BU244" s="290">
        <v>0</v>
      </c>
      <c r="BV244" s="290">
        <v>277</v>
      </c>
      <c r="BW244" s="290">
        <v>0</v>
      </c>
      <c r="BX244" s="290">
        <v>0</v>
      </c>
      <c r="BY244" s="290">
        <v>1236</v>
      </c>
      <c r="BZ244" s="290">
        <v>3600</v>
      </c>
      <c r="CA244" s="290">
        <v>616.09400000000005</v>
      </c>
      <c r="CB244" s="290">
        <v>113</v>
      </c>
      <c r="CC244" s="290">
        <v>1</v>
      </c>
      <c r="CD244" s="290">
        <v>197</v>
      </c>
      <c r="CE244" s="290">
        <v>395792.70500000002</v>
      </c>
      <c r="CF244" s="290">
        <v>0</v>
      </c>
      <c r="CG244" s="290">
        <v>0</v>
      </c>
      <c r="CH244" s="290">
        <v>0</v>
      </c>
      <c r="CI244" s="290">
        <v>0</v>
      </c>
      <c r="CJ244" s="290"/>
    </row>
    <row r="245" spans="1:88" ht="13">
      <c r="A245" s="1">
        <v>4614</v>
      </c>
      <c r="B245" s="2" t="s">
        <v>27</v>
      </c>
      <c r="C245" s="289">
        <v>18861</v>
      </c>
      <c r="D245" s="290">
        <v>433</v>
      </c>
      <c r="E245" s="290">
        <v>931</v>
      </c>
      <c r="F245" s="290">
        <v>2471</v>
      </c>
      <c r="G245" s="290">
        <v>1718</v>
      </c>
      <c r="H245" s="290">
        <v>10418</v>
      </c>
      <c r="I245" s="290">
        <v>2105</v>
      </c>
      <c r="J245" s="290">
        <v>656</v>
      </c>
      <c r="K245" s="290">
        <v>141</v>
      </c>
      <c r="L245" s="290">
        <v>126</v>
      </c>
      <c r="M245" s="290">
        <v>1009</v>
      </c>
      <c r="N245" s="290">
        <v>326</v>
      </c>
      <c r="O245" s="290">
        <v>161</v>
      </c>
      <c r="P245" s="624">
        <v>38986.81</v>
      </c>
      <c r="Q245" s="624">
        <v>22081.906666669998</v>
      </c>
      <c r="R245" s="1039">
        <v>76</v>
      </c>
      <c r="S245" s="290">
        <v>0</v>
      </c>
      <c r="T245" s="290">
        <v>1418</v>
      </c>
      <c r="U245" s="958">
        <v>1.4949586314524053E-3</v>
      </c>
      <c r="V245" s="290">
        <v>9564.1754537100005</v>
      </c>
      <c r="W245" s="765">
        <v>0.54971011000000003</v>
      </c>
      <c r="X245" s="290">
        <v>2200</v>
      </c>
      <c r="Y245" s="290"/>
      <c r="Z245" s="290">
        <v>624235.36199999996</v>
      </c>
      <c r="AA245" s="290">
        <v>0</v>
      </c>
      <c r="AB245" s="290">
        <v>451</v>
      </c>
      <c r="AC245" s="290">
        <v>4116</v>
      </c>
      <c r="AD245" s="290">
        <v>340</v>
      </c>
      <c r="AE245" s="290">
        <v>0</v>
      </c>
      <c r="AF245" s="290">
        <v>0</v>
      </c>
      <c r="AG245" s="290">
        <v>18873</v>
      </c>
      <c r="AH245" s="290">
        <v>3622</v>
      </c>
      <c r="AI245" s="290">
        <v>750</v>
      </c>
      <c r="AJ245" s="290">
        <v>0</v>
      </c>
      <c r="AK245" s="290">
        <v>0</v>
      </c>
      <c r="AL245" s="290">
        <v>0</v>
      </c>
      <c r="AM245" s="957">
        <v>0.25715908999999998</v>
      </c>
      <c r="AN245" s="290">
        <v>0</v>
      </c>
      <c r="AO245" s="290">
        <v>-4787.2182477899996</v>
      </c>
      <c r="AP245" s="290">
        <v>0</v>
      </c>
      <c r="AQ245" s="290">
        <v>0</v>
      </c>
      <c r="AR245" s="290">
        <v>-712.76698868000005</v>
      </c>
      <c r="AS245" s="290">
        <v>3456.5659999999998</v>
      </c>
      <c r="AT245" s="290">
        <v>888</v>
      </c>
      <c r="AU245" s="290">
        <v>146</v>
      </c>
      <c r="AV245" s="766">
        <v>499563</v>
      </c>
      <c r="AW245" s="290">
        <v>6800</v>
      </c>
      <c r="AX245" s="766">
        <v>171.16665</v>
      </c>
      <c r="AY245" s="290">
        <v>4518</v>
      </c>
      <c r="AZ245" s="290">
        <v>698</v>
      </c>
      <c r="BA245" s="290">
        <v>361</v>
      </c>
      <c r="BB245" s="290">
        <v>0</v>
      </c>
      <c r="BC245" s="290">
        <v>30127.30759516</v>
      </c>
      <c r="BD245" s="290"/>
      <c r="BE245" s="290">
        <v>478729.02032143</v>
      </c>
      <c r="BF245" s="290">
        <v>0</v>
      </c>
      <c r="BG245" s="290">
        <v>15450</v>
      </c>
      <c r="BH245" s="290">
        <v>1000</v>
      </c>
      <c r="BI245" s="290">
        <v>8078</v>
      </c>
      <c r="BJ245" s="290">
        <v>217</v>
      </c>
      <c r="BK245" s="290">
        <v>836</v>
      </c>
      <c r="BL245" s="290">
        <v>0</v>
      </c>
      <c r="BM245" s="290">
        <v>0</v>
      </c>
      <c r="BN245" s="290">
        <v>523</v>
      </c>
      <c r="BO245" s="290">
        <v>-139</v>
      </c>
      <c r="BP245" s="290">
        <v>1749</v>
      </c>
      <c r="BQ245" s="290">
        <v>3498</v>
      </c>
      <c r="BR245" s="290">
        <v>2648</v>
      </c>
      <c r="BS245" s="290">
        <v>255</v>
      </c>
      <c r="BT245" s="290">
        <v>0</v>
      </c>
      <c r="BU245" s="290">
        <v>0</v>
      </c>
      <c r="BV245" s="290">
        <v>481</v>
      </c>
      <c r="BW245" s="290">
        <v>0</v>
      </c>
      <c r="BX245" s="290">
        <v>0</v>
      </c>
      <c r="BY245" s="290">
        <v>1831</v>
      </c>
      <c r="BZ245" s="290">
        <v>4000</v>
      </c>
      <c r="CA245" s="290">
        <v>2518.5</v>
      </c>
      <c r="CB245" s="290">
        <v>170</v>
      </c>
      <c r="CC245" s="290">
        <v>1</v>
      </c>
      <c r="CD245" s="290">
        <v>345</v>
      </c>
      <c r="CE245" s="290">
        <v>624235.36199999996</v>
      </c>
      <c r="CF245" s="290">
        <v>0</v>
      </c>
      <c r="CG245" s="290">
        <v>0</v>
      </c>
      <c r="CH245" s="290">
        <v>0</v>
      </c>
      <c r="CI245" s="290">
        <v>0</v>
      </c>
      <c r="CJ245" s="290"/>
    </row>
    <row r="246" spans="1:88" ht="13">
      <c r="A246" s="1">
        <v>4615</v>
      </c>
      <c r="B246" s="2" t="s">
        <v>28</v>
      </c>
      <c r="C246" s="289">
        <v>3147</v>
      </c>
      <c r="D246" s="290">
        <v>71</v>
      </c>
      <c r="E246" s="290">
        <v>152</v>
      </c>
      <c r="F246" s="290">
        <v>446</v>
      </c>
      <c r="G246" s="290">
        <v>298</v>
      </c>
      <c r="H246" s="290">
        <v>1703</v>
      </c>
      <c r="I246" s="290">
        <v>377</v>
      </c>
      <c r="J246" s="290">
        <v>101</v>
      </c>
      <c r="K246" s="290">
        <v>27</v>
      </c>
      <c r="L246" s="290">
        <v>23</v>
      </c>
      <c r="M246" s="290">
        <v>181</v>
      </c>
      <c r="N246" s="290">
        <v>5</v>
      </c>
      <c r="O246" s="290">
        <v>26</v>
      </c>
      <c r="P246" s="624">
        <v>14880.156999999999</v>
      </c>
      <c r="Q246" s="624">
        <v>9614.2083333299997</v>
      </c>
      <c r="R246" s="1039">
        <v>13</v>
      </c>
      <c r="S246" s="290">
        <v>0</v>
      </c>
      <c r="T246" s="290">
        <v>204</v>
      </c>
      <c r="U246" s="958">
        <v>1.6314789720891334E-3</v>
      </c>
      <c r="V246" s="290">
        <v>1756.0275787200001</v>
      </c>
      <c r="W246" s="765">
        <v>0.73209073999999996</v>
      </c>
      <c r="X246" s="290">
        <v>3000</v>
      </c>
      <c r="Y246" s="290"/>
      <c r="Z246" s="290">
        <v>99743.555999999997</v>
      </c>
      <c r="AA246" s="290">
        <v>0</v>
      </c>
      <c r="AB246" s="290">
        <v>83</v>
      </c>
      <c r="AC246" s="290">
        <v>195</v>
      </c>
      <c r="AD246" s="290">
        <v>71</v>
      </c>
      <c r="AE246" s="290">
        <v>0</v>
      </c>
      <c r="AF246" s="290">
        <v>0</v>
      </c>
      <c r="AG246" s="290">
        <v>3175</v>
      </c>
      <c r="AH246" s="290">
        <v>622</v>
      </c>
      <c r="AI246" s="290">
        <v>0</v>
      </c>
      <c r="AJ246" s="290">
        <v>0</v>
      </c>
      <c r="AK246" s="290">
        <v>0</v>
      </c>
      <c r="AL246" s="290">
        <v>0</v>
      </c>
      <c r="AM246" s="957">
        <v>5.8524220000000002E-2</v>
      </c>
      <c r="AN246" s="290">
        <v>0</v>
      </c>
      <c r="AO246" s="290">
        <v>-878.95577711999999</v>
      </c>
      <c r="AP246" s="290">
        <v>0</v>
      </c>
      <c r="AQ246" s="290">
        <v>0</v>
      </c>
      <c r="AR246" s="290">
        <v>-119.90860960000001</v>
      </c>
      <c r="AS246" s="290">
        <v>308.46350000000001</v>
      </c>
      <c r="AT246" s="290">
        <v>133</v>
      </c>
      <c r="AU246" s="290">
        <v>25</v>
      </c>
      <c r="AV246" s="766">
        <v>108532</v>
      </c>
      <c r="AW246" s="290">
        <v>1000</v>
      </c>
      <c r="AX246" s="766">
        <v>16.833349999999999</v>
      </c>
      <c r="AY246" s="290">
        <v>558</v>
      </c>
      <c r="AZ246" s="290">
        <v>179</v>
      </c>
      <c r="BA246" s="290">
        <v>46</v>
      </c>
      <c r="BB246" s="290">
        <v>3017</v>
      </c>
      <c r="BC246" s="290">
        <v>5304.8826274599996</v>
      </c>
      <c r="BD246" s="290"/>
      <c r="BE246" s="290">
        <v>102071.71911794</v>
      </c>
      <c r="BF246" s="290">
        <v>0</v>
      </c>
      <c r="BG246" s="290">
        <v>2599</v>
      </c>
      <c r="BH246" s="290">
        <v>1000</v>
      </c>
      <c r="BI246" s="290">
        <v>888</v>
      </c>
      <c r="BJ246" s="290">
        <v>37</v>
      </c>
      <c r="BK246" s="290">
        <v>127</v>
      </c>
      <c r="BL246" s="290">
        <v>0</v>
      </c>
      <c r="BM246" s="290">
        <v>0</v>
      </c>
      <c r="BN246" s="290">
        <v>80</v>
      </c>
      <c r="BO246" s="290">
        <v>-21</v>
      </c>
      <c r="BP246" s="290">
        <v>292</v>
      </c>
      <c r="BQ246" s="290">
        <v>584</v>
      </c>
      <c r="BR246" s="290">
        <v>442</v>
      </c>
      <c r="BS246" s="290">
        <v>53</v>
      </c>
      <c r="BT246" s="290">
        <v>0</v>
      </c>
      <c r="BU246" s="290">
        <v>0</v>
      </c>
      <c r="BV246" s="290">
        <v>73</v>
      </c>
      <c r="BW246" s="290">
        <v>0</v>
      </c>
      <c r="BX246" s="290">
        <v>0</v>
      </c>
      <c r="BY246" s="290">
        <v>335</v>
      </c>
      <c r="BZ246" s="290">
        <v>700</v>
      </c>
      <c r="CA246" s="290">
        <v>167.887</v>
      </c>
      <c r="CB246" s="290">
        <v>37</v>
      </c>
      <c r="CC246" s="290">
        <v>0</v>
      </c>
      <c r="CD246" s="290">
        <v>52</v>
      </c>
      <c r="CE246" s="290">
        <v>99743.555999999997</v>
      </c>
      <c r="CF246" s="290">
        <v>0</v>
      </c>
      <c r="CG246" s="290">
        <v>0</v>
      </c>
      <c r="CH246" s="290">
        <v>0</v>
      </c>
      <c r="CI246" s="290">
        <v>0</v>
      </c>
      <c r="CJ246" s="290"/>
    </row>
    <row r="247" spans="1:88" ht="13">
      <c r="A247" s="1">
        <v>4616</v>
      </c>
      <c r="B247" s="2" t="s">
        <v>29</v>
      </c>
      <c r="C247" s="289">
        <v>2924</v>
      </c>
      <c r="D247" s="290">
        <v>76</v>
      </c>
      <c r="E247" s="290">
        <v>133</v>
      </c>
      <c r="F247" s="290">
        <v>309</v>
      </c>
      <c r="G247" s="290">
        <v>228</v>
      </c>
      <c r="H247" s="290">
        <v>1474</v>
      </c>
      <c r="I247" s="290">
        <v>486</v>
      </c>
      <c r="J247" s="290">
        <v>162</v>
      </c>
      <c r="K247" s="290">
        <v>30</v>
      </c>
      <c r="L247" s="290">
        <v>22</v>
      </c>
      <c r="M247" s="290">
        <v>276</v>
      </c>
      <c r="N247" s="290">
        <v>5</v>
      </c>
      <c r="O247" s="290">
        <v>31</v>
      </c>
      <c r="P247" s="624">
        <v>24998.172999999999</v>
      </c>
      <c r="Q247" s="624">
        <v>10434.44866667</v>
      </c>
      <c r="R247" s="1039">
        <v>19</v>
      </c>
      <c r="S247" s="290">
        <v>0</v>
      </c>
      <c r="T247" s="290">
        <v>222</v>
      </c>
      <c r="U247" s="958">
        <v>2.4846626963666752E-3</v>
      </c>
      <c r="V247" s="290">
        <v>1668.52451043</v>
      </c>
      <c r="W247" s="765">
        <v>0.95509553000000003</v>
      </c>
      <c r="X247" s="290">
        <v>2500</v>
      </c>
      <c r="Y247" s="290"/>
      <c r="Z247" s="290">
        <v>125323.236</v>
      </c>
      <c r="AA247" s="290">
        <v>0</v>
      </c>
      <c r="AB247" s="290">
        <v>55</v>
      </c>
      <c r="AC247" s="290">
        <v>187</v>
      </c>
      <c r="AD247" s="290">
        <v>76</v>
      </c>
      <c r="AE247" s="290">
        <v>0</v>
      </c>
      <c r="AF247" s="290">
        <v>0</v>
      </c>
      <c r="AG247" s="290">
        <v>2898</v>
      </c>
      <c r="AH247" s="290">
        <v>476</v>
      </c>
      <c r="AI247" s="290">
        <v>20</v>
      </c>
      <c r="AJ247" s="290">
        <v>0</v>
      </c>
      <c r="AK247" s="290">
        <v>0</v>
      </c>
      <c r="AL247" s="290">
        <v>0</v>
      </c>
      <c r="AM247" s="957">
        <v>3.314624E-2</v>
      </c>
      <c r="AN247" s="290">
        <v>0</v>
      </c>
      <c r="AO247" s="290">
        <v>-888.01395074000004</v>
      </c>
      <c r="AP247" s="290">
        <v>0</v>
      </c>
      <c r="AQ247" s="290">
        <v>0</v>
      </c>
      <c r="AR247" s="290">
        <v>-109.44729153999999</v>
      </c>
      <c r="AS247" s="290">
        <v>245.7225</v>
      </c>
      <c r="AT247" s="290">
        <v>116</v>
      </c>
      <c r="AU247" s="290">
        <v>24</v>
      </c>
      <c r="AV247" s="766">
        <v>115684</v>
      </c>
      <c r="AW247" s="290">
        <v>250</v>
      </c>
      <c r="AX247" s="766">
        <v>28.166650000000001</v>
      </c>
      <c r="AY247" s="290">
        <v>535</v>
      </c>
      <c r="AZ247" s="290">
        <v>98</v>
      </c>
      <c r="BA247" s="290">
        <v>47</v>
      </c>
      <c r="BB247" s="290">
        <v>3017</v>
      </c>
      <c r="BC247" s="290">
        <v>4627.6254824999996</v>
      </c>
      <c r="BD247" s="290"/>
      <c r="BE247" s="290">
        <v>112071.6778275</v>
      </c>
      <c r="BF247" s="290">
        <v>0</v>
      </c>
      <c r="BG247" s="290">
        <v>2372</v>
      </c>
      <c r="BH247" s="290">
        <v>500</v>
      </c>
      <c r="BI247" s="290">
        <v>739</v>
      </c>
      <c r="BJ247" s="290">
        <v>37</v>
      </c>
      <c r="BK247" s="290">
        <v>120</v>
      </c>
      <c r="BL247" s="290">
        <v>0</v>
      </c>
      <c r="BM247" s="290">
        <v>0</v>
      </c>
      <c r="BN247" s="290">
        <v>75</v>
      </c>
      <c r="BO247" s="290">
        <v>-18</v>
      </c>
      <c r="BP247" s="290">
        <v>271</v>
      </c>
      <c r="BQ247" s="290">
        <v>542</v>
      </c>
      <c r="BR247" s="290">
        <v>411</v>
      </c>
      <c r="BS247" s="290">
        <v>57</v>
      </c>
      <c r="BT247" s="290">
        <v>0</v>
      </c>
      <c r="BU247" s="290">
        <v>0</v>
      </c>
      <c r="BV247" s="290">
        <v>69</v>
      </c>
      <c r="BW247" s="290">
        <v>0</v>
      </c>
      <c r="BX247" s="290">
        <v>0</v>
      </c>
      <c r="BY247" s="290">
        <v>364</v>
      </c>
      <c r="BZ247" s="290">
        <v>1100</v>
      </c>
      <c r="CA247" s="290">
        <v>334.29999999999995</v>
      </c>
      <c r="CB247" s="290">
        <v>38</v>
      </c>
      <c r="CC247" s="290">
        <v>0</v>
      </c>
      <c r="CD247" s="290">
        <v>44</v>
      </c>
      <c r="CE247" s="290">
        <v>125323.236</v>
      </c>
      <c r="CF247" s="290">
        <v>0</v>
      </c>
      <c r="CG247" s="290">
        <v>0</v>
      </c>
      <c r="CH247" s="290">
        <v>0</v>
      </c>
      <c r="CI247" s="290">
        <v>0</v>
      </c>
      <c r="CJ247" s="290"/>
    </row>
    <row r="248" spans="1:88" ht="13">
      <c r="A248" s="1">
        <v>4617</v>
      </c>
      <c r="B248" s="2" t="s">
        <v>30</v>
      </c>
      <c r="C248" s="289">
        <v>13039</v>
      </c>
      <c r="D248" s="290">
        <v>233</v>
      </c>
      <c r="E248" s="290">
        <v>499</v>
      </c>
      <c r="F248" s="290">
        <v>1656</v>
      </c>
      <c r="G248" s="290">
        <v>1231</v>
      </c>
      <c r="H248" s="290">
        <v>6847</v>
      </c>
      <c r="I248" s="290">
        <v>1823</v>
      </c>
      <c r="J248" s="290">
        <v>645</v>
      </c>
      <c r="K248" s="290">
        <v>155</v>
      </c>
      <c r="L248" s="290">
        <v>94</v>
      </c>
      <c r="M248" s="290">
        <v>1078</v>
      </c>
      <c r="N248" s="290">
        <v>122</v>
      </c>
      <c r="O248" s="290">
        <v>94</v>
      </c>
      <c r="P248" s="624">
        <v>112328.819</v>
      </c>
      <c r="Q248" s="624">
        <v>28433.116666670001</v>
      </c>
      <c r="R248" s="1039">
        <v>54</v>
      </c>
      <c r="S248" s="290">
        <v>0</v>
      </c>
      <c r="T248" s="290">
        <v>995</v>
      </c>
      <c r="U248" s="958">
        <v>5.7438759067949558E-3</v>
      </c>
      <c r="V248" s="290">
        <v>4501.1861907000002</v>
      </c>
      <c r="W248" s="765">
        <v>0.70273162</v>
      </c>
      <c r="X248" s="290">
        <v>0</v>
      </c>
      <c r="Y248" s="290"/>
      <c r="Z248" s="290">
        <v>433092.84700000001</v>
      </c>
      <c r="AA248" s="290">
        <v>0</v>
      </c>
      <c r="AB248" s="290">
        <v>294</v>
      </c>
      <c r="AC248" s="290">
        <v>708</v>
      </c>
      <c r="AD248" s="290">
        <v>270</v>
      </c>
      <c r="AE248" s="290">
        <v>0</v>
      </c>
      <c r="AF248" s="290">
        <v>0</v>
      </c>
      <c r="AG248" s="290">
        <v>13089</v>
      </c>
      <c r="AH248" s="290">
        <v>2311</v>
      </c>
      <c r="AI248" s="290">
        <v>0</v>
      </c>
      <c r="AJ248" s="290">
        <v>0</v>
      </c>
      <c r="AK248" s="290">
        <v>0</v>
      </c>
      <c r="AL248" s="290">
        <v>0</v>
      </c>
      <c r="AM248" s="957">
        <v>0.14108641</v>
      </c>
      <c r="AN248" s="290">
        <v>16770</v>
      </c>
      <c r="AO248" s="290">
        <v>-3521.5672024199998</v>
      </c>
      <c r="AP248" s="290">
        <v>0</v>
      </c>
      <c r="AQ248" s="290">
        <v>0</v>
      </c>
      <c r="AR248" s="290">
        <v>4940.3539976399998</v>
      </c>
      <c r="AS248" s="290">
        <v>1128.8875</v>
      </c>
      <c r="AT248" s="290">
        <v>610</v>
      </c>
      <c r="AU248" s="290">
        <v>89</v>
      </c>
      <c r="AV248" s="766">
        <v>418012</v>
      </c>
      <c r="AW248" s="290">
        <v>2800</v>
      </c>
      <c r="AX248" s="766">
        <v>73.999949999999998</v>
      </c>
      <c r="AY248" s="290">
        <v>2501</v>
      </c>
      <c r="AZ248" s="290">
        <v>444</v>
      </c>
      <c r="BA248" s="290">
        <v>274</v>
      </c>
      <c r="BB248" s="290">
        <v>0</v>
      </c>
      <c r="BC248" s="290">
        <v>19142.91010307</v>
      </c>
      <c r="BD248" s="290"/>
      <c r="BE248" s="290">
        <v>387192.55118001002</v>
      </c>
      <c r="BF248" s="290">
        <v>0</v>
      </c>
      <c r="BG248" s="290">
        <v>10715</v>
      </c>
      <c r="BH248" s="290">
        <v>1000</v>
      </c>
      <c r="BI248" s="290">
        <v>3289</v>
      </c>
      <c r="BJ248" s="290">
        <v>152</v>
      </c>
      <c r="BK248" s="290">
        <v>439</v>
      </c>
      <c r="BL248" s="290">
        <v>0</v>
      </c>
      <c r="BM248" s="290">
        <v>0</v>
      </c>
      <c r="BN248" s="290">
        <v>275</v>
      </c>
      <c r="BO248" s="290">
        <v>-88</v>
      </c>
      <c r="BP248" s="290">
        <v>1209</v>
      </c>
      <c r="BQ248" s="290">
        <v>2418</v>
      </c>
      <c r="BR248" s="290">
        <v>1831</v>
      </c>
      <c r="BS248" s="290">
        <v>203</v>
      </c>
      <c r="BT248" s="290">
        <v>0</v>
      </c>
      <c r="BU248" s="290">
        <v>0</v>
      </c>
      <c r="BV248" s="290">
        <v>253</v>
      </c>
      <c r="BW248" s="290">
        <v>0</v>
      </c>
      <c r="BX248" s="290">
        <v>0</v>
      </c>
      <c r="BY248" s="290">
        <v>1523</v>
      </c>
      <c r="BZ248" s="290">
        <v>2500</v>
      </c>
      <c r="CA248" s="290">
        <v>1295.8</v>
      </c>
      <c r="CB248" s="290">
        <v>122</v>
      </c>
      <c r="CC248" s="290">
        <v>1</v>
      </c>
      <c r="CD248" s="290">
        <v>219</v>
      </c>
      <c r="CE248" s="290">
        <v>433092.84700000001</v>
      </c>
      <c r="CF248" s="290">
        <v>0</v>
      </c>
      <c r="CG248" s="290">
        <v>0</v>
      </c>
      <c r="CH248" s="290">
        <v>0</v>
      </c>
      <c r="CI248" s="290">
        <v>0</v>
      </c>
      <c r="CJ248" s="290"/>
    </row>
    <row r="249" spans="1:88" ht="13">
      <c r="A249" s="1">
        <v>4618</v>
      </c>
      <c r="B249" s="2" t="s">
        <v>1632</v>
      </c>
      <c r="C249" s="289">
        <v>11002</v>
      </c>
      <c r="D249" s="290">
        <v>173</v>
      </c>
      <c r="E249" s="290">
        <v>396</v>
      </c>
      <c r="F249" s="290">
        <v>1239</v>
      </c>
      <c r="G249" s="290">
        <v>907</v>
      </c>
      <c r="H249" s="290">
        <v>5954</v>
      </c>
      <c r="I249" s="290">
        <v>1553</v>
      </c>
      <c r="J249" s="290">
        <v>640</v>
      </c>
      <c r="K249" s="290">
        <v>190</v>
      </c>
      <c r="L249" s="290">
        <v>85</v>
      </c>
      <c r="M249" s="290">
        <v>1080</v>
      </c>
      <c r="N249" s="290">
        <v>111</v>
      </c>
      <c r="O249" s="290">
        <v>140</v>
      </c>
      <c r="P249" s="624">
        <v>133137</v>
      </c>
      <c r="Q249" s="624">
        <v>29783.978666669998</v>
      </c>
      <c r="R249" s="1039">
        <v>50</v>
      </c>
      <c r="S249" s="290">
        <v>0</v>
      </c>
      <c r="T249" s="290">
        <v>999</v>
      </c>
      <c r="U249" s="958">
        <v>7.7179665834067549E-3</v>
      </c>
      <c r="V249" s="290">
        <v>6199.6056180100004</v>
      </c>
      <c r="W249" s="765">
        <v>0.78032219000000003</v>
      </c>
      <c r="X249" s="290">
        <v>4100</v>
      </c>
      <c r="Y249" s="290"/>
      <c r="Z249" s="290">
        <v>393175.99900000001</v>
      </c>
      <c r="AA249" s="290">
        <v>0</v>
      </c>
      <c r="AB249" s="290">
        <v>200</v>
      </c>
      <c r="AC249" s="290">
        <v>558</v>
      </c>
      <c r="AD249" s="290">
        <v>240</v>
      </c>
      <c r="AE249" s="290">
        <v>0</v>
      </c>
      <c r="AF249" s="290">
        <v>39607</v>
      </c>
      <c r="AG249" s="290">
        <v>11052</v>
      </c>
      <c r="AH249" s="290">
        <v>1743</v>
      </c>
      <c r="AI249" s="290">
        <v>600</v>
      </c>
      <c r="AJ249" s="290">
        <v>0</v>
      </c>
      <c r="AK249" s="290">
        <v>0</v>
      </c>
      <c r="AL249" s="290">
        <v>0</v>
      </c>
      <c r="AM249" s="957">
        <v>0.10791069</v>
      </c>
      <c r="AN249" s="290">
        <v>14377</v>
      </c>
      <c r="AO249" s="290">
        <v>-3103.1284701200002</v>
      </c>
      <c r="AP249" s="290">
        <v>0</v>
      </c>
      <c r="AQ249" s="290">
        <v>0</v>
      </c>
      <c r="AR249" s="290">
        <v>-417.39526088999997</v>
      </c>
      <c r="AS249" s="290">
        <v>905.0625</v>
      </c>
      <c r="AT249" s="290">
        <v>469</v>
      </c>
      <c r="AU249" s="290">
        <v>68</v>
      </c>
      <c r="AV249" s="766">
        <v>423659</v>
      </c>
      <c r="AW249" s="290">
        <v>3200</v>
      </c>
      <c r="AX249" s="766">
        <v>49.833300000000001</v>
      </c>
      <c r="AY249" s="290">
        <v>2206</v>
      </c>
      <c r="AZ249" s="290">
        <v>413</v>
      </c>
      <c r="BA249" s="290">
        <v>201</v>
      </c>
      <c r="BB249" s="290">
        <v>0</v>
      </c>
      <c r="BC249" s="290">
        <v>55316.792093639997</v>
      </c>
      <c r="BD249" s="290"/>
      <c r="BE249" s="290">
        <v>405687.64853269001</v>
      </c>
      <c r="BF249" s="290">
        <v>0</v>
      </c>
      <c r="BG249" s="290">
        <v>9047</v>
      </c>
      <c r="BH249" s="290">
        <v>1000</v>
      </c>
      <c r="BI249" s="290">
        <v>42148</v>
      </c>
      <c r="BJ249" s="290">
        <v>134</v>
      </c>
      <c r="BK249" s="290">
        <v>347</v>
      </c>
      <c r="BL249" s="290">
        <v>0</v>
      </c>
      <c r="BM249" s="290">
        <v>4117</v>
      </c>
      <c r="BN249" s="290">
        <v>217</v>
      </c>
      <c r="BO249" s="290">
        <v>-78</v>
      </c>
      <c r="BP249" s="290">
        <v>1020</v>
      </c>
      <c r="BQ249" s="290">
        <v>2041</v>
      </c>
      <c r="BR249" s="290">
        <v>1545</v>
      </c>
      <c r="BS249" s="290">
        <v>180</v>
      </c>
      <c r="BT249" s="290">
        <v>0</v>
      </c>
      <c r="BU249" s="290">
        <v>0</v>
      </c>
      <c r="BV249" s="290">
        <v>200</v>
      </c>
      <c r="BW249" s="290">
        <v>0</v>
      </c>
      <c r="BX249" s="290">
        <v>0</v>
      </c>
      <c r="BY249" s="290">
        <v>1313</v>
      </c>
      <c r="BZ249" s="290">
        <v>1800</v>
      </c>
      <c r="CA249" s="290">
        <v>592.71900000000005</v>
      </c>
      <c r="CB249" s="290">
        <v>105</v>
      </c>
      <c r="CC249" s="290">
        <v>1</v>
      </c>
      <c r="CD249" s="290">
        <v>192</v>
      </c>
      <c r="CE249" s="290">
        <v>393175.99900000001</v>
      </c>
      <c r="CF249" s="290">
        <v>0</v>
      </c>
      <c r="CG249" s="290">
        <v>0</v>
      </c>
      <c r="CH249" s="290">
        <v>0</v>
      </c>
      <c r="CI249" s="290">
        <v>0</v>
      </c>
      <c r="CJ249" s="290"/>
    </row>
    <row r="250" spans="1:88" ht="13">
      <c r="A250" s="1">
        <v>4619</v>
      </c>
      <c r="B250" s="2" t="s">
        <v>34</v>
      </c>
      <c r="C250" s="289">
        <v>903</v>
      </c>
      <c r="D250" s="290">
        <v>16</v>
      </c>
      <c r="E250" s="290">
        <v>45</v>
      </c>
      <c r="F250" s="290">
        <v>92</v>
      </c>
      <c r="G250" s="290">
        <v>64</v>
      </c>
      <c r="H250" s="290">
        <v>503</v>
      </c>
      <c r="I250" s="290">
        <v>127</v>
      </c>
      <c r="J250" s="290">
        <v>45</v>
      </c>
      <c r="K250" s="290">
        <v>11</v>
      </c>
      <c r="L250" s="290">
        <v>9</v>
      </c>
      <c r="M250" s="290">
        <v>109</v>
      </c>
      <c r="N250" s="290">
        <v>7</v>
      </c>
      <c r="O250" s="290">
        <v>7</v>
      </c>
      <c r="P250" s="624">
        <v>3317.9746666699998</v>
      </c>
      <c r="Q250" s="624">
        <v>2370.4656666699998</v>
      </c>
      <c r="R250" s="1039">
        <v>1</v>
      </c>
      <c r="S250" s="290">
        <v>0</v>
      </c>
      <c r="T250" s="290">
        <v>65</v>
      </c>
      <c r="U250" s="958">
        <v>6.7566178513498983E-4</v>
      </c>
      <c r="V250" s="290">
        <v>626.14091182000004</v>
      </c>
      <c r="W250" s="765">
        <v>1</v>
      </c>
      <c r="X250" s="290">
        <v>0</v>
      </c>
      <c r="Y250" s="290"/>
      <c r="Z250" s="290">
        <v>58015.205000000002</v>
      </c>
      <c r="AA250" s="290">
        <v>0</v>
      </c>
      <c r="AB250" s="290">
        <v>4</v>
      </c>
      <c r="AC250" s="290">
        <v>51</v>
      </c>
      <c r="AD250" s="290">
        <v>34</v>
      </c>
      <c r="AE250" s="290">
        <v>0</v>
      </c>
      <c r="AF250" s="290">
        <v>0</v>
      </c>
      <c r="AG250" s="290">
        <v>903</v>
      </c>
      <c r="AH250" s="290">
        <v>144</v>
      </c>
      <c r="AI250" s="290">
        <v>0</v>
      </c>
      <c r="AJ250" s="290">
        <v>0</v>
      </c>
      <c r="AK250" s="290">
        <v>0</v>
      </c>
      <c r="AL250" s="290">
        <v>0</v>
      </c>
      <c r="AM250" s="957">
        <v>6.5664800000000004E-3</v>
      </c>
      <c r="AN250" s="290">
        <v>0</v>
      </c>
      <c r="AO250" s="290">
        <v>-313.40633736000001</v>
      </c>
      <c r="AP250" s="290">
        <v>0</v>
      </c>
      <c r="AQ250" s="290">
        <v>0</v>
      </c>
      <c r="AR250" s="290">
        <v>-34.103141569999998</v>
      </c>
      <c r="AS250" s="290">
        <v>83.721000000000004</v>
      </c>
      <c r="AT250" s="290">
        <v>35</v>
      </c>
      <c r="AU250" s="290">
        <v>7</v>
      </c>
      <c r="AV250" s="766">
        <v>42318</v>
      </c>
      <c r="AW250" s="290">
        <v>800</v>
      </c>
      <c r="AX250" s="766">
        <v>8.5832999999999995</v>
      </c>
      <c r="AY250" s="290">
        <v>182</v>
      </c>
      <c r="AZ250" s="290">
        <v>22</v>
      </c>
      <c r="BA250" s="290">
        <v>12</v>
      </c>
      <c r="BB250" s="290">
        <v>0</v>
      </c>
      <c r="BC250" s="290">
        <v>1565.97103963</v>
      </c>
      <c r="BD250" s="290"/>
      <c r="BE250" s="290">
        <v>41391.936975340002</v>
      </c>
      <c r="BF250" s="290">
        <v>0</v>
      </c>
      <c r="BG250" s="290">
        <v>739</v>
      </c>
      <c r="BH250" s="290">
        <v>500</v>
      </c>
      <c r="BI250" s="290">
        <v>229</v>
      </c>
      <c r="BJ250" s="290">
        <v>15</v>
      </c>
      <c r="BK250" s="290">
        <v>40</v>
      </c>
      <c r="BL250" s="290">
        <v>0</v>
      </c>
      <c r="BM250" s="290">
        <v>0</v>
      </c>
      <c r="BN250" s="290">
        <v>25</v>
      </c>
      <c r="BO250" s="290">
        <v>-5</v>
      </c>
      <c r="BP250" s="290">
        <v>84</v>
      </c>
      <c r="BQ250" s="290">
        <v>167</v>
      </c>
      <c r="BR250" s="290">
        <v>127</v>
      </c>
      <c r="BS250" s="290">
        <v>25</v>
      </c>
      <c r="BT250" s="290">
        <v>0</v>
      </c>
      <c r="BU250" s="290">
        <v>0</v>
      </c>
      <c r="BV250" s="290">
        <v>23</v>
      </c>
      <c r="BW250" s="290">
        <v>0</v>
      </c>
      <c r="BX250" s="290">
        <v>0</v>
      </c>
      <c r="BY250" s="290">
        <v>104</v>
      </c>
      <c r="BZ250" s="290">
        <v>200</v>
      </c>
      <c r="CA250" s="290">
        <v>59.863</v>
      </c>
      <c r="CB250" s="290">
        <v>22</v>
      </c>
      <c r="CC250" s="290">
        <v>0</v>
      </c>
      <c r="CD250" s="290">
        <v>12</v>
      </c>
      <c r="CE250" s="290">
        <v>58015.205000000002</v>
      </c>
      <c r="CF250" s="290">
        <v>0</v>
      </c>
      <c r="CG250" s="290">
        <v>0</v>
      </c>
      <c r="CH250" s="290">
        <v>0</v>
      </c>
      <c r="CI250" s="290">
        <v>0</v>
      </c>
      <c r="CJ250" s="290"/>
    </row>
    <row r="251" spans="1:88" ht="13">
      <c r="A251" s="1">
        <v>4620</v>
      </c>
      <c r="B251" s="2" t="s">
        <v>35</v>
      </c>
      <c r="C251" s="289">
        <v>1061</v>
      </c>
      <c r="D251" s="290">
        <v>14</v>
      </c>
      <c r="E251" s="290">
        <v>52</v>
      </c>
      <c r="F251" s="290">
        <v>117</v>
      </c>
      <c r="G251" s="290">
        <v>89</v>
      </c>
      <c r="H251" s="290">
        <v>554</v>
      </c>
      <c r="I251" s="290">
        <v>178</v>
      </c>
      <c r="J251" s="290">
        <v>52</v>
      </c>
      <c r="K251" s="290">
        <v>22</v>
      </c>
      <c r="L251" s="290">
        <v>10</v>
      </c>
      <c r="M251" s="290">
        <v>109</v>
      </c>
      <c r="N251" s="290">
        <v>17</v>
      </c>
      <c r="O251" s="290">
        <v>26</v>
      </c>
      <c r="P251" s="624">
        <v>3287.63133333</v>
      </c>
      <c r="Q251" s="624">
        <v>4065.3196666700001</v>
      </c>
      <c r="R251" s="1039">
        <v>5</v>
      </c>
      <c r="S251" s="290">
        <v>0</v>
      </c>
      <c r="T251" s="290">
        <v>74</v>
      </c>
      <c r="U251" s="958">
        <v>1.3156874636776239E-3</v>
      </c>
      <c r="V251" s="290">
        <v>777.55723104000003</v>
      </c>
      <c r="W251" s="765">
        <v>1</v>
      </c>
      <c r="X251" s="290">
        <v>0</v>
      </c>
      <c r="Y251" s="290"/>
      <c r="Z251" s="290">
        <v>38123.357000000004</v>
      </c>
      <c r="AA251" s="290">
        <v>0</v>
      </c>
      <c r="AB251" s="290">
        <v>18</v>
      </c>
      <c r="AC251" s="290">
        <v>64</v>
      </c>
      <c r="AD251" s="290">
        <v>38</v>
      </c>
      <c r="AE251" s="290">
        <v>0</v>
      </c>
      <c r="AF251" s="290">
        <v>0</v>
      </c>
      <c r="AG251" s="290">
        <v>1078</v>
      </c>
      <c r="AH251" s="290">
        <v>177</v>
      </c>
      <c r="AI251" s="290">
        <v>0</v>
      </c>
      <c r="AJ251" s="290">
        <v>0</v>
      </c>
      <c r="AK251" s="290">
        <v>0</v>
      </c>
      <c r="AL251" s="290">
        <v>0</v>
      </c>
      <c r="AM251" s="957">
        <v>2.093621E-2</v>
      </c>
      <c r="AN251" s="290">
        <v>0</v>
      </c>
      <c r="AO251" s="290">
        <v>-389.19572138000001</v>
      </c>
      <c r="AP251" s="290">
        <v>0</v>
      </c>
      <c r="AQ251" s="290">
        <v>0</v>
      </c>
      <c r="AR251" s="290">
        <v>-40.712277530000001</v>
      </c>
      <c r="AS251" s="290">
        <v>102.6785</v>
      </c>
      <c r="AT251" s="290">
        <v>37</v>
      </c>
      <c r="AU251" s="290">
        <v>11</v>
      </c>
      <c r="AV251" s="766">
        <v>60213</v>
      </c>
      <c r="AW251" s="290">
        <v>4400</v>
      </c>
      <c r="AX251" s="766">
        <v>5.1666499999999997</v>
      </c>
      <c r="AY251" s="290">
        <v>244</v>
      </c>
      <c r="AZ251" s="290">
        <v>60</v>
      </c>
      <c r="BA251" s="290">
        <v>17</v>
      </c>
      <c r="BB251" s="290">
        <v>6034</v>
      </c>
      <c r="BC251" s="290">
        <v>1906.3350979700001</v>
      </c>
      <c r="BD251" s="290"/>
      <c r="BE251" s="290">
        <v>58798.699370599999</v>
      </c>
      <c r="BF251" s="290">
        <v>0</v>
      </c>
      <c r="BG251" s="290">
        <v>882</v>
      </c>
      <c r="BH251" s="290">
        <v>500</v>
      </c>
      <c r="BI251" s="290">
        <v>279</v>
      </c>
      <c r="BJ251" s="290">
        <v>13</v>
      </c>
      <c r="BK251" s="290">
        <v>44</v>
      </c>
      <c r="BL251" s="290">
        <v>0</v>
      </c>
      <c r="BM251" s="290">
        <v>0</v>
      </c>
      <c r="BN251" s="290">
        <v>28</v>
      </c>
      <c r="BO251" s="290">
        <v>-7</v>
      </c>
      <c r="BP251" s="290">
        <v>98</v>
      </c>
      <c r="BQ251" s="290">
        <v>197</v>
      </c>
      <c r="BR251" s="290">
        <v>149</v>
      </c>
      <c r="BS251" s="290">
        <v>29</v>
      </c>
      <c r="BT251" s="290">
        <v>0</v>
      </c>
      <c r="BU251" s="290">
        <v>0</v>
      </c>
      <c r="BV251" s="290">
        <v>25</v>
      </c>
      <c r="BW251" s="290">
        <v>0</v>
      </c>
      <c r="BX251" s="290">
        <v>0</v>
      </c>
      <c r="BY251" s="290">
        <v>133</v>
      </c>
      <c r="BZ251" s="290">
        <v>500</v>
      </c>
      <c r="CA251" s="290">
        <v>554.79999999999995</v>
      </c>
      <c r="CB251" s="290">
        <v>23</v>
      </c>
      <c r="CC251" s="290">
        <v>0</v>
      </c>
      <c r="CD251" s="290">
        <v>18</v>
      </c>
      <c r="CE251" s="290">
        <v>38123.357000000004</v>
      </c>
      <c r="CF251" s="290">
        <v>0</v>
      </c>
      <c r="CG251" s="290">
        <v>0</v>
      </c>
      <c r="CH251" s="290">
        <v>0</v>
      </c>
      <c r="CI251" s="290">
        <v>0</v>
      </c>
      <c r="CJ251" s="290"/>
    </row>
    <row r="252" spans="1:88" ht="13">
      <c r="A252" s="1">
        <v>4621</v>
      </c>
      <c r="B252" s="2" t="s">
        <v>1633</v>
      </c>
      <c r="C252" s="289">
        <v>15787</v>
      </c>
      <c r="D252" s="290">
        <v>342</v>
      </c>
      <c r="E252" s="290">
        <v>720</v>
      </c>
      <c r="F252" s="290">
        <v>1856</v>
      </c>
      <c r="G252" s="290">
        <v>1383</v>
      </c>
      <c r="H252" s="290">
        <v>8448</v>
      </c>
      <c r="I252" s="290">
        <v>2015</v>
      </c>
      <c r="J252" s="290">
        <v>800</v>
      </c>
      <c r="K252" s="290">
        <v>231</v>
      </c>
      <c r="L252" s="290">
        <v>108</v>
      </c>
      <c r="M252" s="290">
        <v>1323</v>
      </c>
      <c r="N252" s="290">
        <v>224</v>
      </c>
      <c r="O252" s="290">
        <v>141</v>
      </c>
      <c r="P252" s="624">
        <v>97565.702000000005</v>
      </c>
      <c r="Q252" s="624">
        <v>38291.623333329997</v>
      </c>
      <c r="R252" s="1039">
        <v>77</v>
      </c>
      <c r="S252" s="290">
        <v>0</v>
      </c>
      <c r="T252" s="290">
        <v>1229</v>
      </c>
      <c r="U252" s="958">
        <v>9.0301011180350943E-3</v>
      </c>
      <c r="V252" s="290">
        <v>8678.5589557200001</v>
      </c>
      <c r="W252" s="765">
        <v>0.63099731999999997</v>
      </c>
      <c r="X252" s="290">
        <v>6500</v>
      </c>
      <c r="Y252" s="290"/>
      <c r="Z252" s="290">
        <v>489349.63799999998</v>
      </c>
      <c r="AA252" s="290">
        <v>0</v>
      </c>
      <c r="AB252" s="290">
        <v>261</v>
      </c>
      <c r="AC252" s="290">
        <v>794</v>
      </c>
      <c r="AD252" s="290">
        <v>316</v>
      </c>
      <c r="AE252" s="290">
        <v>0</v>
      </c>
      <c r="AF252" s="290">
        <v>18123</v>
      </c>
      <c r="AG252" s="290">
        <v>15795</v>
      </c>
      <c r="AH252" s="290">
        <v>2789</v>
      </c>
      <c r="AI252" s="290">
        <v>210</v>
      </c>
      <c r="AJ252" s="290">
        <v>0</v>
      </c>
      <c r="AK252" s="290">
        <v>0</v>
      </c>
      <c r="AL252" s="290">
        <v>0</v>
      </c>
      <c r="AM252" s="957">
        <v>0.14178684999999999</v>
      </c>
      <c r="AN252" s="290">
        <v>0</v>
      </c>
      <c r="AO252" s="290">
        <v>-4343.9349265800001</v>
      </c>
      <c r="AP252" s="290">
        <v>0</v>
      </c>
      <c r="AQ252" s="290">
        <v>0</v>
      </c>
      <c r="AR252" s="290">
        <v>-596.52172872000006</v>
      </c>
      <c r="AS252" s="290">
        <v>1242.02</v>
      </c>
      <c r="AT252" s="290">
        <v>551</v>
      </c>
      <c r="AU252" s="290">
        <v>104</v>
      </c>
      <c r="AV252" s="766">
        <v>516628</v>
      </c>
      <c r="AW252" s="290">
        <v>3800</v>
      </c>
      <c r="AX252" s="766">
        <v>122.125</v>
      </c>
      <c r="AY252" s="290">
        <v>3682</v>
      </c>
      <c r="AZ252" s="290">
        <v>613</v>
      </c>
      <c r="BA252" s="290">
        <v>294</v>
      </c>
      <c r="BB252" s="290">
        <v>0</v>
      </c>
      <c r="BC252" s="290">
        <v>40172.377034839999</v>
      </c>
      <c r="BD252" s="290"/>
      <c r="BE252" s="290">
        <v>500025.38777251</v>
      </c>
      <c r="BF252" s="290">
        <v>0</v>
      </c>
      <c r="BG252" s="290">
        <v>12930</v>
      </c>
      <c r="BH252" s="290">
        <v>1000</v>
      </c>
      <c r="BI252" s="290">
        <v>22022</v>
      </c>
      <c r="BJ252" s="290">
        <v>181</v>
      </c>
      <c r="BK252" s="290">
        <v>644</v>
      </c>
      <c r="BL252" s="290">
        <v>0</v>
      </c>
      <c r="BM252" s="290">
        <v>4446</v>
      </c>
      <c r="BN252" s="290">
        <v>403</v>
      </c>
      <c r="BO252" s="290">
        <v>-106</v>
      </c>
      <c r="BP252" s="290">
        <v>1464</v>
      </c>
      <c r="BQ252" s="290">
        <v>2928</v>
      </c>
      <c r="BR252" s="290">
        <v>2217</v>
      </c>
      <c r="BS252" s="290">
        <v>237</v>
      </c>
      <c r="BT252" s="290">
        <v>0</v>
      </c>
      <c r="BU252" s="290">
        <v>0</v>
      </c>
      <c r="BV252" s="290">
        <v>371</v>
      </c>
      <c r="BW252" s="290">
        <v>0</v>
      </c>
      <c r="BX252" s="290">
        <v>0</v>
      </c>
      <c r="BY252" s="290">
        <v>1762</v>
      </c>
      <c r="BZ252" s="290">
        <v>3200</v>
      </c>
      <c r="CA252" s="290">
        <v>1881.8</v>
      </c>
      <c r="CB252" s="290">
        <v>144</v>
      </c>
      <c r="CC252" s="290">
        <v>1</v>
      </c>
      <c r="CD252" s="290">
        <v>261</v>
      </c>
      <c r="CE252" s="290">
        <v>489349.63799999998</v>
      </c>
      <c r="CF252" s="290">
        <v>0</v>
      </c>
      <c r="CG252" s="290">
        <v>0</v>
      </c>
      <c r="CH252" s="290">
        <v>0</v>
      </c>
      <c r="CI252" s="290">
        <v>0</v>
      </c>
      <c r="CJ252" s="290"/>
    </row>
    <row r="253" spans="1:88" ht="13">
      <c r="A253" s="1">
        <v>4622</v>
      </c>
      <c r="B253" s="2" t="s">
        <v>38</v>
      </c>
      <c r="C253" s="289">
        <v>8461</v>
      </c>
      <c r="D253" s="290">
        <v>168</v>
      </c>
      <c r="E253" s="290">
        <v>374</v>
      </c>
      <c r="F253" s="290">
        <v>1052</v>
      </c>
      <c r="G253" s="290">
        <v>719</v>
      </c>
      <c r="H253" s="290">
        <v>4444</v>
      </c>
      <c r="I253" s="290">
        <v>1176</v>
      </c>
      <c r="J253" s="290">
        <v>415</v>
      </c>
      <c r="K253" s="290">
        <v>132</v>
      </c>
      <c r="L253" s="290">
        <v>60</v>
      </c>
      <c r="M253" s="290">
        <v>710</v>
      </c>
      <c r="N253" s="290">
        <v>147</v>
      </c>
      <c r="O253" s="290">
        <v>109</v>
      </c>
      <c r="P253" s="624">
        <v>70187.906666669995</v>
      </c>
      <c r="Q253" s="624">
        <v>17528.53033333</v>
      </c>
      <c r="R253" s="1039">
        <v>50</v>
      </c>
      <c r="S253" s="290">
        <v>0</v>
      </c>
      <c r="T253" s="290">
        <v>589</v>
      </c>
      <c r="U253" s="958">
        <v>4.2720835070390187E-3</v>
      </c>
      <c r="V253" s="290">
        <v>1780.4734482599999</v>
      </c>
      <c r="W253" s="765">
        <v>0.67704969000000004</v>
      </c>
      <c r="X253" s="290">
        <v>5000</v>
      </c>
      <c r="Y253" s="290"/>
      <c r="Z253" s="290">
        <v>267315.22600000002</v>
      </c>
      <c r="AA253" s="290">
        <v>0</v>
      </c>
      <c r="AB253" s="290">
        <v>185</v>
      </c>
      <c r="AC253" s="290">
        <v>459</v>
      </c>
      <c r="AD253" s="290">
        <v>179</v>
      </c>
      <c r="AE253" s="290">
        <v>0</v>
      </c>
      <c r="AF253" s="290">
        <v>0</v>
      </c>
      <c r="AG253" s="290">
        <v>8480</v>
      </c>
      <c r="AH253" s="290">
        <v>1525</v>
      </c>
      <c r="AI253" s="290">
        <v>0</v>
      </c>
      <c r="AJ253" s="290">
        <v>0</v>
      </c>
      <c r="AK253" s="290">
        <v>0</v>
      </c>
      <c r="AL253" s="290">
        <v>0</v>
      </c>
      <c r="AM253" s="957">
        <v>6.4750409999999994E-2</v>
      </c>
      <c r="AN253" s="290">
        <v>6789</v>
      </c>
      <c r="AO253" s="290">
        <v>-2424.03459195</v>
      </c>
      <c r="AP253" s="290">
        <v>0</v>
      </c>
      <c r="AQ253" s="290">
        <v>0</v>
      </c>
      <c r="AR253" s="290">
        <v>-320.25984548999998</v>
      </c>
      <c r="AS253" s="290">
        <v>725.88350000000003</v>
      </c>
      <c r="AT253" s="290">
        <v>282</v>
      </c>
      <c r="AU253" s="290">
        <v>51</v>
      </c>
      <c r="AV253" s="766">
        <v>296349</v>
      </c>
      <c r="AW253" s="290">
        <v>4200</v>
      </c>
      <c r="AX253" s="766">
        <v>64.499949999999998</v>
      </c>
      <c r="AY253" s="290">
        <v>1794</v>
      </c>
      <c r="AZ253" s="290">
        <v>322</v>
      </c>
      <c r="BA253" s="290">
        <v>135</v>
      </c>
      <c r="BB253" s="290">
        <v>0</v>
      </c>
      <c r="BC253" s="290">
        <v>12768.20911059</v>
      </c>
      <c r="BD253" s="290"/>
      <c r="BE253" s="290">
        <v>282061.74231129</v>
      </c>
      <c r="BF253" s="290">
        <v>0</v>
      </c>
      <c r="BG253" s="290">
        <v>6942</v>
      </c>
      <c r="BH253" s="290">
        <v>1000</v>
      </c>
      <c r="BI253" s="290">
        <v>2163</v>
      </c>
      <c r="BJ253" s="290">
        <v>97</v>
      </c>
      <c r="BK253" s="290">
        <v>333</v>
      </c>
      <c r="BL253" s="290">
        <v>0</v>
      </c>
      <c r="BM253" s="290">
        <v>0</v>
      </c>
      <c r="BN253" s="290">
        <v>208</v>
      </c>
      <c r="BO253" s="290">
        <v>-57</v>
      </c>
      <c r="BP253" s="290">
        <v>785</v>
      </c>
      <c r="BQ253" s="290">
        <v>1569</v>
      </c>
      <c r="BR253" s="290">
        <v>1188</v>
      </c>
      <c r="BS253" s="290">
        <v>134</v>
      </c>
      <c r="BT253" s="290">
        <v>0</v>
      </c>
      <c r="BU253" s="290">
        <v>0</v>
      </c>
      <c r="BV253" s="290">
        <v>192</v>
      </c>
      <c r="BW253" s="290">
        <v>0</v>
      </c>
      <c r="BX253" s="290">
        <v>0</v>
      </c>
      <c r="BY253" s="290">
        <v>984</v>
      </c>
      <c r="BZ253" s="290">
        <v>1100</v>
      </c>
      <c r="CA253" s="290">
        <v>463.00700000000001</v>
      </c>
      <c r="CB253" s="290">
        <v>82</v>
      </c>
      <c r="CC253" s="290">
        <v>1</v>
      </c>
      <c r="CD253" s="290">
        <v>140</v>
      </c>
      <c r="CE253" s="290">
        <v>267315.22600000002</v>
      </c>
      <c r="CF253" s="290">
        <v>0</v>
      </c>
      <c r="CG253" s="290">
        <v>0</v>
      </c>
      <c r="CH253" s="290">
        <v>0</v>
      </c>
      <c r="CI253" s="290">
        <v>0</v>
      </c>
      <c r="CJ253" s="290"/>
    </row>
    <row r="254" spans="1:88" ht="13">
      <c r="A254" s="1">
        <v>4623</v>
      </c>
      <c r="B254" s="2" t="s">
        <v>40</v>
      </c>
      <c r="C254" s="289">
        <v>2504</v>
      </c>
      <c r="D254" s="290">
        <v>37</v>
      </c>
      <c r="E254" s="290">
        <v>119</v>
      </c>
      <c r="F254" s="290">
        <v>304</v>
      </c>
      <c r="G254" s="290">
        <v>188</v>
      </c>
      <c r="H254" s="290">
        <v>1352</v>
      </c>
      <c r="I254" s="290">
        <v>375</v>
      </c>
      <c r="J254" s="290">
        <v>93</v>
      </c>
      <c r="K254" s="290">
        <v>35</v>
      </c>
      <c r="L254" s="290">
        <v>17</v>
      </c>
      <c r="M254" s="290">
        <v>175</v>
      </c>
      <c r="N254" s="290">
        <v>20</v>
      </c>
      <c r="O254" s="290">
        <v>9</v>
      </c>
      <c r="P254" s="624">
        <v>9860.1290000000008</v>
      </c>
      <c r="Q254" s="624">
        <v>7357.09333333</v>
      </c>
      <c r="R254" s="1039">
        <v>13</v>
      </c>
      <c r="S254" s="290">
        <v>0</v>
      </c>
      <c r="T254" s="290">
        <v>183</v>
      </c>
      <c r="U254" s="958">
        <v>9.621227354273831E-4</v>
      </c>
      <c r="V254" s="290">
        <v>1422.2222717</v>
      </c>
      <c r="W254" s="765">
        <v>0.77835712999999995</v>
      </c>
      <c r="X254" s="290">
        <v>1900</v>
      </c>
      <c r="Y254" s="290"/>
      <c r="Z254" s="290">
        <v>76737.937999999995</v>
      </c>
      <c r="AA254" s="290">
        <v>0</v>
      </c>
      <c r="AB254" s="290">
        <v>60</v>
      </c>
      <c r="AC254" s="290">
        <v>135</v>
      </c>
      <c r="AD254" s="290">
        <v>61</v>
      </c>
      <c r="AE254" s="290">
        <v>0</v>
      </c>
      <c r="AF254" s="290">
        <v>0</v>
      </c>
      <c r="AG254" s="290">
        <v>2503</v>
      </c>
      <c r="AH254" s="290">
        <v>417</v>
      </c>
      <c r="AI254" s="290">
        <v>0</v>
      </c>
      <c r="AJ254" s="290">
        <v>0</v>
      </c>
      <c r="AK254" s="290">
        <v>0</v>
      </c>
      <c r="AL254" s="290">
        <v>0</v>
      </c>
      <c r="AM254" s="957">
        <v>2.5437129999999999E-2</v>
      </c>
      <c r="AN254" s="290">
        <v>0</v>
      </c>
      <c r="AO254" s="290">
        <v>-711.87406008000005</v>
      </c>
      <c r="AP254" s="290">
        <v>0</v>
      </c>
      <c r="AQ254" s="290">
        <v>0</v>
      </c>
      <c r="AR254" s="290">
        <v>-94.529527509999994</v>
      </c>
      <c r="AS254" s="290">
        <v>198.39599999999999</v>
      </c>
      <c r="AT254" s="290">
        <v>88</v>
      </c>
      <c r="AU254" s="290">
        <v>21</v>
      </c>
      <c r="AV254" s="766">
        <v>88840</v>
      </c>
      <c r="AW254" s="290">
        <v>1100</v>
      </c>
      <c r="AX254" s="766">
        <v>4.2916499999999997</v>
      </c>
      <c r="AY254" s="290">
        <v>473</v>
      </c>
      <c r="AZ254" s="290">
        <v>85</v>
      </c>
      <c r="BA254" s="290">
        <v>31</v>
      </c>
      <c r="BB254" s="290">
        <v>3017</v>
      </c>
      <c r="BC254" s="290">
        <v>4036.76990346</v>
      </c>
      <c r="BD254" s="290"/>
      <c r="BE254" s="290">
        <v>84766.77065649</v>
      </c>
      <c r="BF254" s="290">
        <v>0</v>
      </c>
      <c r="BG254" s="290">
        <v>2049</v>
      </c>
      <c r="BH254" s="290">
        <v>500</v>
      </c>
      <c r="BI254" s="290">
        <v>613</v>
      </c>
      <c r="BJ254" s="290">
        <v>28</v>
      </c>
      <c r="BK254" s="290">
        <v>95</v>
      </c>
      <c r="BL254" s="290">
        <v>0</v>
      </c>
      <c r="BM254" s="290">
        <v>0</v>
      </c>
      <c r="BN254" s="290">
        <v>59</v>
      </c>
      <c r="BO254" s="290">
        <v>-17</v>
      </c>
      <c r="BP254" s="290">
        <v>232</v>
      </c>
      <c r="BQ254" s="290">
        <v>464</v>
      </c>
      <c r="BR254" s="290">
        <v>352</v>
      </c>
      <c r="BS254" s="290">
        <v>46</v>
      </c>
      <c r="BT254" s="290">
        <v>0</v>
      </c>
      <c r="BU254" s="290">
        <v>0</v>
      </c>
      <c r="BV254" s="290">
        <v>55</v>
      </c>
      <c r="BW254" s="290">
        <v>0</v>
      </c>
      <c r="BX254" s="290">
        <v>0</v>
      </c>
      <c r="BY254" s="290">
        <v>284</v>
      </c>
      <c r="BZ254" s="290">
        <v>1300</v>
      </c>
      <c r="CA254" s="290">
        <v>135.97300000000001</v>
      </c>
      <c r="CB254" s="290">
        <v>32</v>
      </c>
      <c r="CC254" s="290">
        <v>0</v>
      </c>
      <c r="CD254" s="290">
        <v>41</v>
      </c>
      <c r="CE254" s="290">
        <v>76737.937999999995</v>
      </c>
      <c r="CF254" s="290">
        <v>0</v>
      </c>
      <c r="CG254" s="290">
        <v>0</v>
      </c>
      <c r="CH254" s="290">
        <v>0</v>
      </c>
      <c r="CI254" s="290">
        <v>0</v>
      </c>
      <c r="CJ254" s="290"/>
    </row>
    <row r="255" spans="1:88" ht="13">
      <c r="A255" s="1">
        <v>4624</v>
      </c>
      <c r="B255" s="2" t="s">
        <v>1634</v>
      </c>
      <c r="C255" s="289">
        <v>25049</v>
      </c>
      <c r="D255" s="290">
        <v>517</v>
      </c>
      <c r="E255" s="290">
        <v>1293</v>
      </c>
      <c r="F255" s="290">
        <v>3567</v>
      </c>
      <c r="G255" s="290">
        <v>2160</v>
      </c>
      <c r="H255" s="290">
        <v>13699</v>
      </c>
      <c r="I255" s="290">
        <v>2778</v>
      </c>
      <c r="J255" s="290">
        <v>795</v>
      </c>
      <c r="K255" s="290">
        <v>167</v>
      </c>
      <c r="L255" s="290">
        <v>161</v>
      </c>
      <c r="M255" s="290">
        <v>1357</v>
      </c>
      <c r="N255" s="290">
        <v>209</v>
      </c>
      <c r="O255" s="290">
        <v>233</v>
      </c>
      <c r="P255" s="624">
        <v>138054.64033333</v>
      </c>
      <c r="Q255" s="624">
        <v>55906.537333330001</v>
      </c>
      <c r="R255" s="1039">
        <v>95</v>
      </c>
      <c r="S255" s="290">
        <v>1488</v>
      </c>
      <c r="T255" s="290">
        <v>1728</v>
      </c>
      <c r="U255" s="958">
        <v>3.8772058887507517E-3</v>
      </c>
      <c r="V255" s="290">
        <v>-3216.7684186900001</v>
      </c>
      <c r="W255" s="765">
        <v>0.62206700999999998</v>
      </c>
      <c r="X255" s="290">
        <v>5500</v>
      </c>
      <c r="Y255" s="290"/>
      <c r="Z255" s="290">
        <v>809661.46299999999</v>
      </c>
      <c r="AA255" s="290">
        <v>0</v>
      </c>
      <c r="AB255" s="290">
        <v>456</v>
      </c>
      <c r="AC255" s="290">
        <v>10149</v>
      </c>
      <c r="AD255" s="290">
        <v>467</v>
      </c>
      <c r="AE255" s="290">
        <v>0</v>
      </c>
      <c r="AF255" s="290">
        <v>15110</v>
      </c>
      <c r="AG255" s="290">
        <v>24976</v>
      </c>
      <c r="AH255" s="290">
        <v>4986</v>
      </c>
      <c r="AI255" s="290">
        <v>1040</v>
      </c>
      <c r="AJ255" s="290">
        <v>0</v>
      </c>
      <c r="AK255" s="290">
        <v>0</v>
      </c>
      <c r="AL255" s="290">
        <v>0</v>
      </c>
      <c r="AM255" s="957">
        <v>0.63449394999999997</v>
      </c>
      <c r="AN255" s="290">
        <v>0</v>
      </c>
      <c r="AO255" s="290">
        <v>-6529.8138728399999</v>
      </c>
      <c r="AP255" s="290">
        <v>0</v>
      </c>
      <c r="AQ255" s="290">
        <v>0</v>
      </c>
      <c r="AR255" s="290">
        <v>-943.25588455000002</v>
      </c>
      <c r="AS255" s="290">
        <v>7500.8464999999997</v>
      </c>
      <c r="AT255" s="290">
        <v>1215</v>
      </c>
      <c r="AU255" s="290">
        <v>294</v>
      </c>
      <c r="AV255" s="766">
        <v>348415</v>
      </c>
      <c r="AW255" s="290">
        <v>5600</v>
      </c>
      <c r="AX255" s="766">
        <v>192.87504999999999</v>
      </c>
      <c r="AY255" s="290">
        <v>5636</v>
      </c>
      <c r="AZ255" s="290">
        <v>1102</v>
      </c>
      <c r="BA255" s="290">
        <v>567</v>
      </c>
      <c r="BB255" s="290">
        <v>0</v>
      </c>
      <c r="BC255" s="290">
        <v>-312218.80871459999</v>
      </c>
      <c r="BD255" s="290"/>
      <c r="BE255" s="290">
        <v>302852.43625372002</v>
      </c>
      <c r="BF255" s="290">
        <v>0</v>
      </c>
      <c r="BG255" s="290">
        <v>20445</v>
      </c>
      <c r="BH255" s="290">
        <v>1000</v>
      </c>
      <c r="BI255" s="290">
        <v>-354648</v>
      </c>
      <c r="BJ255" s="290">
        <v>286</v>
      </c>
      <c r="BK255" s="290">
        <v>1125</v>
      </c>
      <c r="BL255" s="290">
        <v>-385360</v>
      </c>
      <c r="BM255" s="290">
        <v>5088</v>
      </c>
      <c r="BN255" s="290">
        <v>704</v>
      </c>
      <c r="BO255" s="290">
        <v>-176</v>
      </c>
      <c r="BP255" s="290">
        <v>2323</v>
      </c>
      <c r="BQ255" s="290">
        <v>4646</v>
      </c>
      <c r="BR255" s="290">
        <v>3517</v>
      </c>
      <c r="BS255" s="290">
        <v>350</v>
      </c>
      <c r="BT255" s="290">
        <v>0</v>
      </c>
      <c r="BU255" s="290">
        <v>0</v>
      </c>
      <c r="BV255" s="290">
        <v>647</v>
      </c>
      <c r="BW255" s="290">
        <v>0</v>
      </c>
      <c r="BX255" s="290">
        <v>0</v>
      </c>
      <c r="BY255" s="290">
        <v>2458</v>
      </c>
      <c r="BZ255" s="290">
        <v>3400</v>
      </c>
      <c r="CA255" s="290">
        <v>1247.239</v>
      </c>
      <c r="CB255" s="290">
        <v>224</v>
      </c>
      <c r="CC255" s="290">
        <v>2</v>
      </c>
      <c r="CD255" s="290">
        <v>435</v>
      </c>
      <c r="CE255" s="290">
        <v>809661.46299999999</v>
      </c>
      <c r="CF255" s="290">
        <v>0</v>
      </c>
      <c r="CG255" s="290">
        <v>0</v>
      </c>
      <c r="CH255" s="290">
        <v>0</v>
      </c>
      <c r="CI255" s="290">
        <v>0</v>
      </c>
      <c r="CJ255" s="290"/>
    </row>
    <row r="256" spans="1:88" ht="13">
      <c r="A256" s="1">
        <v>4625</v>
      </c>
      <c r="B256" s="2" t="s">
        <v>41</v>
      </c>
      <c r="C256" s="289">
        <v>5276</v>
      </c>
      <c r="D256" s="290">
        <v>119</v>
      </c>
      <c r="E256" s="290">
        <v>315</v>
      </c>
      <c r="F256" s="290">
        <v>744</v>
      </c>
      <c r="G256" s="290">
        <v>467</v>
      </c>
      <c r="H256" s="290">
        <v>2783</v>
      </c>
      <c r="I256" s="290">
        <v>599</v>
      </c>
      <c r="J256" s="290">
        <v>182</v>
      </c>
      <c r="K256" s="290">
        <v>45</v>
      </c>
      <c r="L256" s="290">
        <v>38</v>
      </c>
      <c r="M256" s="290">
        <v>328</v>
      </c>
      <c r="N256" s="290">
        <v>18</v>
      </c>
      <c r="O256" s="290">
        <v>43</v>
      </c>
      <c r="P256" s="624">
        <v>42685.86</v>
      </c>
      <c r="Q256" s="624">
        <v>28192.948333330001</v>
      </c>
      <c r="R256" s="1039">
        <v>26</v>
      </c>
      <c r="S256" s="290">
        <v>0</v>
      </c>
      <c r="T256" s="290">
        <v>326</v>
      </c>
      <c r="U256" s="958">
        <v>1.4595727459775602E-3</v>
      </c>
      <c r="V256" s="290">
        <v>-2237.7689990099998</v>
      </c>
      <c r="W256" s="765">
        <v>0.84511069999999999</v>
      </c>
      <c r="X256" s="290">
        <v>1000</v>
      </c>
      <c r="Y256" s="290"/>
      <c r="Z256" s="290">
        <v>286098.10200000001</v>
      </c>
      <c r="AA256" s="290">
        <v>0</v>
      </c>
      <c r="AB256" s="290">
        <v>80</v>
      </c>
      <c r="AC256" s="290">
        <v>331</v>
      </c>
      <c r="AD256" s="290">
        <v>119</v>
      </c>
      <c r="AE256" s="290">
        <v>0</v>
      </c>
      <c r="AF256" s="290">
        <v>0</v>
      </c>
      <c r="AG256" s="290">
        <v>5254</v>
      </c>
      <c r="AH256" s="290">
        <v>1093</v>
      </c>
      <c r="AI256" s="290">
        <v>0</v>
      </c>
      <c r="AJ256" s="290">
        <v>0</v>
      </c>
      <c r="AK256" s="290">
        <v>0</v>
      </c>
      <c r="AL256" s="290">
        <v>0</v>
      </c>
      <c r="AM256" s="957">
        <v>4.5706299999999998E-2</v>
      </c>
      <c r="AN256" s="290">
        <v>0</v>
      </c>
      <c r="AO256" s="290">
        <v>-1522.7474477400001</v>
      </c>
      <c r="AP256" s="290">
        <v>0</v>
      </c>
      <c r="AQ256" s="290">
        <v>0</v>
      </c>
      <c r="AR256" s="290">
        <v>1336.07214451</v>
      </c>
      <c r="AS256" s="290">
        <v>497.1995</v>
      </c>
      <c r="AT256" s="290">
        <v>195</v>
      </c>
      <c r="AU256" s="290">
        <v>42</v>
      </c>
      <c r="AV256" s="766">
        <v>182973</v>
      </c>
      <c r="AW256" s="290">
        <v>700</v>
      </c>
      <c r="AX256" s="766">
        <v>44.333300000000001</v>
      </c>
      <c r="AY256" s="290">
        <v>920</v>
      </c>
      <c r="AZ256" s="290">
        <v>153</v>
      </c>
      <c r="BA256" s="290">
        <v>82</v>
      </c>
      <c r="BB256" s="290">
        <v>0</v>
      </c>
      <c r="BC256" s="290">
        <v>8876.2729400799999</v>
      </c>
      <c r="BD256" s="290"/>
      <c r="BE256" s="290">
        <v>169914.37548638001</v>
      </c>
      <c r="BF256" s="290">
        <v>0</v>
      </c>
      <c r="BG256" s="290">
        <v>4301</v>
      </c>
      <c r="BH256" s="290">
        <v>1000</v>
      </c>
      <c r="BI256" s="290">
        <v>1543</v>
      </c>
      <c r="BJ256" s="290">
        <v>77</v>
      </c>
      <c r="BK256" s="290">
        <v>265</v>
      </c>
      <c r="BL256" s="290">
        <v>0</v>
      </c>
      <c r="BM256" s="290">
        <v>0</v>
      </c>
      <c r="BN256" s="290">
        <v>166</v>
      </c>
      <c r="BO256" s="290">
        <v>-29</v>
      </c>
      <c r="BP256" s="290">
        <v>489</v>
      </c>
      <c r="BQ256" s="290">
        <v>979</v>
      </c>
      <c r="BR256" s="290">
        <v>741</v>
      </c>
      <c r="BS256" s="290">
        <v>89</v>
      </c>
      <c r="BT256" s="290">
        <v>0</v>
      </c>
      <c r="BU256" s="290">
        <v>0</v>
      </c>
      <c r="BV256" s="290">
        <v>152</v>
      </c>
      <c r="BW256" s="290">
        <v>0</v>
      </c>
      <c r="BX256" s="290">
        <v>0</v>
      </c>
      <c r="BY256" s="290">
        <v>526</v>
      </c>
      <c r="BZ256" s="290">
        <v>650</v>
      </c>
      <c r="CA256" s="290">
        <v>290.85500000000002</v>
      </c>
      <c r="CB256" s="290">
        <v>57</v>
      </c>
      <c r="CC256" s="290">
        <v>0</v>
      </c>
      <c r="CD256" s="290">
        <v>72</v>
      </c>
      <c r="CE256" s="290">
        <v>286098.10200000001</v>
      </c>
      <c r="CF256" s="290">
        <v>0</v>
      </c>
      <c r="CG256" s="290">
        <v>0</v>
      </c>
      <c r="CH256" s="290">
        <v>0</v>
      </c>
      <c r="CI256" s="290">
        <v>0</v>
      </c>
      <c r="CJ256" s="290"/>
    </row>
    <row r="257" spans="1:88" ht="13">
      <c r="A257" s="1">
        <v>4626</v>
      </c>
      <c r="B257" s="2" t="s">
        <v>1635</v>
      </c>
      <c r="C257" s="289">
        <v>38664</v>
      </c>
      <c r="D257" s="290">
        <v>857</v>
      </c>
      <c r="E257" s="290">
        <v>2103</v>
      </c>
      <c r="F257" s="290">
        <v>5345</v>
      </c>
      <c r="G257" s="290">
        <v>3533</v>
      </c>
      <c r="H257" s="290">
        <v>21518</v>
      </c>
      <c r="I257" s="290">
        <v>3942</v>
      </c>
      <c r="J257" s="290">
        <v>948</v>
      </c>
      <c r="K257" s="290">
        <v>241</v>
      </c>
      <c r="L257" s="290">
        <v>276</v>
      </c>
      <c r="M257" s="290">
        <v>1840</v>
      </c>
      <c r="N257" s="290">
        <v>527</v>
      </c>
      <c r="O257" s="290">
        <v>327</v>
      </c>
      <c r="P257" s="624">
        <v>167022.31833333001</v>
      </c>
      <c r="Q257" s="624">
        <v>110007.232</v>
      </c>
      <c r="R257" s="1039">
        <v>133</v>
      </c>
      <c r="S257" s="290">
        <v>1952</v>
      </c>
      <c r="T257" s="290">
        <v>2496</v>
      </c>
      <c r="U257" s="958">
        <v>2.8022754256537847E-3</v>
      </c>
      <c r="V257" s="290">
        <v>-20906.085709049999</v>
      </c>
      <c r="W257" s="765">
        <v>0.60652165000000002</v>
      </c>
      <c r="X257" s="290">
        <v>3100</v>
      </c>
      <c r="Y257" s="290"/>
      <c r="Z257" s="290">
        <v>1234238.007</v>
      </c>
      <c r="AA257" s="290">
        <v>0</v>
      </c>
      <c r="AB257" s="290">
        <v>914</v>
      </c>
      <c r="AC257" s="290">
        <v>2233</v>
      </c>
      <c r="AD257" s="290">
        <v>700</v>
      </c>
      <c r="AE257" s="290">
        <v>0</v>
      </c>
      <c r="AF257" s="290">
        <v>30220</v>
      </c>
      <c r="AG257" s="290">
        <v>38487</v>
      </c>
      <c r="AH257" s="290">
        <v>7799</v>
      </c>
      <c r="AI257" s="290">
        <v>6250</v>
      </c>
      <c r="AJ257" s="290">
        <v>0</v>
      </c>
      <c r="AK257" s="290">
        <v>4140</v>
      </c>
      <c r="AL257" s="290">
        <v>0</v>
      </c>
      <c r="AM257" s="957">
        <v>1.13218573</v>
      </c>
      <c r="AN257" s="290">
        <v>0</v>
      </c>
      <c r="AO257" s="290">
        <v>-9781.9906256600007</v>
      </c>
      <c r="AP257" s="290">
        <v>0</v>
      </c>
      <c r="AQ257" s="290">
        <v>0</v>
      </c>
      <c r="AR257" s="290">
        <v>-1453.5189473400001</v>
      </c>
      <c r="AS257" s="290">
        <v>3440.3719999999998</v>
      </c>
      <c r="AT257" s="290">
        <v>1916</v>
      </c>
      <c r="AU257" s="290">
        <v>517</v>
      </c>
      <c r="AV257" s="766">
        <v>1015171</v>
      </c>
      <c r="AW257" s="290">
        <v>10000</v>
      </c>
      <c r="AX257" s="766">
        <v>272.75004999999999</v>
      </c>
      <c r="AY257" s="290">
        <v>7286</v>
      </c>
      <c r="AZ257" s="290">
        <v>1678</v>
      </c>
      <c r="BA257" s="290">
        <v>836</v>
      </c>
      <c r="BB257" s="290">
        <v>0</v>
      </c>
      <c r="BC257" s="290">
        <v>88034.923391150005</v>
      </c>
      <c r="BD257" s="290"/>
      <c r="BE257" s="290">
        <v>973419.00607322005</v>
      </c>
      <c r="BF257" s="290">
        <v>0</v>
      </c>
      <c r="BG257" s="290">
        <v>31506</v>
      </c>
      <c r="BH257" s="290">
        <v>1500</v>
      </c>
      <c r="BI257" s="290">
        <v>45092</v>
      </c>
      <c r="BJ257" s="290">
        <v>444</v>
      </c>
      <c r="BK257" s="290">
        <v>1774</v>
      </c>
      <c r="BL257" s="290">
        <v>0</v>
      </c>
      <c r="BM257" s="290">
        <v>6026</v>
      </c>
      <c r="BN257" s="290">
        <v>1110</v>
      </c>
      <c r="BO257" s="290">
        <v>-294</v>
      </c>
      <c r="BP257" s="290">
        <v>3586</v>
      </c>
      <c r="BQ257" s="290">
        <v>7171</v>
      </c>
      <c r="BR257" s="290">
        <v>5429</v>
      </c>
      <c r="BS257" s="290">
        <v>525</v>
      </c>
      <c r="BT257" s="290">
        <v>0</v>
      </c>
      <c r="BU257" s="290">
        <v>0</v>
      </c>
      <c r="BV257" s="290">
        <v>1021</v>
      </c>
      <c r="BW257" s="290">
        <v>0</v>
      </c>
      <c r="BX257" s="290">
        <v>0</v>
      </c>
      <c r="BY257" s="290">
        <v>3550</v>
      </c>
      <c r="BZ257" s="290">
        <v>11400</v>
      </c>
      <c r="CA257" s="290">
        <v>9079.5</v>
      </c>
      <c r="CB257" s="290">
        <v>340</v>
      </c>
      <c r="CC257" s="290">
        <v>3</v>
      </c>
      <c r="CD257" s="290">
        <v>729</v>
      </c>
      <c r="CE257" s="290">
        <v>1234238.007</v>
      </c>
      <c r="CF257" s="290">
        <v>5100.7464895720605</v>
      </c>
      <c r="CG257" s="290">
        <v>5992.9681793751151</v>
      </c>
      <c r="CH257" s="290">
        <v>6873.8807573622562</v>
      </c>
      <c r="CI257" s="290">
        <v>7746.3165770449223</v>
      </c>
      <c r="CJ257" s="290"/>
    </row>
    <row r="258" spans="1:88" ht="13">
      <c r="A258" s="1">
        <v>4627</v>
      </c>
      <c r="B258" s="4" t="s">
        <v>44</v>
      </c>
      <c r="C258" s="289">
        <v>29594</v>
      </c>
      <c r="D258" s="290">
        <v>645</v>
      </c>
      <c r="E258" s="290">
        <v>1684</v>
      </c>
      <c r="F258" s="290">
        <v>4496</v>
      </c>
      <c r="G258" s="290">
        <v>2672</v>
      </c>
      <c r="H258" s="290">
        <v>16273</v>
      </c>
      <c r="I258" s="290">
        <v>2930</v>
      </c>
      <c r="J258" s="290">
        <v>780</v>
      </c>
      <c r="K258" s="290">
        <v>154</v>
      </c>
      <c r="L258" s="290">
        <v>213</v>
      </c>
      <c r="M258" s="290">
        <v>1401</v>
      </c>
      <c r="N258" s="290">
        <v>321</v>
      </c>
      <c r="O258" s="290">
        <v>216</v>
      </c>
      <c r="P258" s="624">
        <v>65893.346999999994</v>
      </c>
      <c r="Q258" s="624">
        <v>56619.017333329997</v>
      </c>
      <c r="R258" s="1039">
        <v>116</v>
      </c>
      <c r="S258" s="290">
        <v>0</v>
      </c>
      <c r="T258" s="290">
        <v>1628</v>
      </c>
      <c r="U258" s="958">
        <v>9.8850354519910738E-4</v>
      </c>
      <c r="V258" s="290">
        <v>8831.9594262600003</v>
      </c>
      <c r="W258" s="765">
        <v>0.57521692999999996</v>
      </c>
      <c r="X258" s="290">
        <v>1600</v>
      </c>
      <c r="Y258" s="290"/>
      <c r="Z258" s="290">
        <v>891286.87600000005</v>
      </c>
      <c r="AA258" s="290">
        <v>0</v>
      </c>
      <c r="AB258" s="290">
        <v>639</v>
      </c>
      <c r="AC258" s="290">
        <v>6131</v>
      </c>
      <c r="AD258" s="290">
        <v>525</v>
      </c>
      <c r="AE258" s="290">
        <v>0</v>
      </c>
      <c r="AF258" s="290">
        <v>0</v>
      </c>
      <c r="AG258" s="290">
        <v>29634</v>
      </c>
      <c r="AH258" s="290">
        <v>6299</v>
      </c>
      <c r="AI258" s="290">
        <v>575</v>
      </c>
      <c r="AJ258" s="290">
        <v>0</v>
      </c>
      <c r="AK258" s="290">
        <v>0</v>
      </c>
      <c r="AL258" s="290">
        <v>0</v>
      </c>
      <c r="AM258" s="957">
        <v>0.45284524999999998</v>
      </c>
      <c r="AN258" s="290">
        <v>0</v>
      </c>
      <c r="AO258" s="290">
        <v>-7697.8295721699997</v>
      </c>
      <c r="AP258" s="290">
        <v>0</v>
      </c>
      <c r="AQ258" s="290">
        <v>0</v>
      </c>
      <c r="AR258" s="290">
        <v>-1119.1722006299999</v>
      </c>
      <c r="AS258" s="290">
        <v>5319.4430000000002</v>
      </c>
      <c r="AT258" s="290">
        <v>1374</v>
      </c>
      <c r="AU258" s="290">
        <v>303</v>
      </c>
      <c r="AV258" s="766">
        <v>823048</v>
      </c>
      <c r="AW258" s="290">
        <v>9200</v>
      </c>
      <c r="AX258" s="766">
        <v>245.41669999999999</v>
      </c>
      <c r="AY258" s="290">
        <v>6506</v>
      </c>
      <c r="AZ258" s="290">
        <v>950</v>
      </c>
      <c r="BA258" s="290">
        <v>735</v>
      </c>
      <c r="BB258" s="290">
        <v>0</v>
      </c>
      <c r="BC258" s="290">
        <v>48913.026567360001</v>
      </c>
      <c r="BD258" s="290"/>
      <c r="BE258" s="290">
        <v>783797.97895910998</v>
      </c>
      <c r="BF258" s="290">
        <v>0</v>
      </c>
      <c r="BG258" s="290">
        <v>24259</v>
      </c>
      <c r="BH258" s="290">
        <v>1000</v>
      </c>
      <c r="BI258" s="290">
        <v>12955</v>
      </c>
      <c r="BJ258" s="290">
        <v>337</v>
      </c>
      <c r="BK258" s="290">
        <v>1447</v>
      </c>
      <c r="BL258" s="290">
        <v>0</v>
      </c>
      <c r="BM258" s="290">
        <v>0</v>
      </c>
      <c r="BN258" s="290">
        <v>905</v>
      </c>
      <c r="BO258" s="290">
        <v>-188</v>
      </c>
      <c r="BP258" s="290">
        <v>2745</v>
      </c>
      <c r="BQ258" s="290">
        <v>5489</v>
      </c>
      <c r="BR258" s="290">
        <v>4155</v>
      </c>
      <c r="BS258" s="290">
        <v>394</v>
      </c>
      <c r="BT258" s="290">
        <v>0</v>
      </c>
      <c r="BU258" s="290">
        <v>0</v>
      </c>
      <c r="BV258" s="290">
        <v>833</v>
      </c>
      <c r="BW258" s="290">
        <v>0</v>
      </c>
      <c r="BX258" s="290">
        <v>0</v>
      </c>
      <c r="BY258" s="290">
        <v>2705</v>
      </c>
      <c r="BZ258" s="290">
        <v>9600</v>
      </c>
      <c r="CA258" s="290">
        <v>9070.1</v>
      </c>
      <c r="CB258" s="290">
        <v>264</v>
      </c>
      <c r="CC258" s="290">
        <v>2</v>
      </c>
      <c r="CD258" s="290">
        <v>465</v>
      </c>
      <c r="CE258" s="290">
        <v>891286.87600000005</v>
      </c>
      <c r="CF258" s="290">
        <v>0</v>
      </c>
      <c r="CG258" s="290">
        <v>0</v>
      </c>
      <c r="CH258" s="290">
        <v>0</v>
      </c>
      <c r="CI258" s="290">
        <v>0</v>
      </c>
      <c r="CJ258" s="290"/>
    </row>
    <row r="259" spans="1:88" ht="13">
      <c r="A259" s="1">
        <v>4628</v>
      </c>
      <c r="B259" s="2" t="s">
        <v>45</v>
      </c>
      <c r="C259" s="289">
        <v>3918</v>
      </c>
      <c r="D259" s="290">
        <v>67</v>
      </c>
      <c r="E259" s="290">
        <v>184</v>
      </c>
      <c r="F259" s="290">
        <v>469</v>
      </c>
      <c r="G259" s="290">
        <v>312</v>
      </c>
      <c r="H259" s="290">
        <v>2107</v>
      </c>
      <c r="I259" s="290">
        <v>504</v>
      </c>
      <c r="J259" s="290">
        <v>219</v>
      </c>
      <c r="K259" s="290">
        <v>78</v>
      </c>
      <c r="L259" s="290">
        <v>34</v>
      </c>
      <c r="M259" s="290">
        <v>396</v>
      </c>
      <c r="N259" s="290">
        <v>46</v>
      </c>
      <c r="O259" s="290">
        <v>51</v>
      </c>
      <c r="P259" s="624">
        <v>57843.963000000003</v>
      </c>
      <c r="Q259" s="624">
        <v>10472.777333329999</v>
      </c>
      <c r="R259" s="1039">
        <v>16</v>
      </c>
      <c r="S259" s="290">
        <v>0</v>
      </c>
      <c r="T259" s="290">
        <v>297</v>
      </c>
      <c r="U259" s="958">
        <v>1.20837619012855E-3</v>
      </c>
      <c r="V259" s="290">
        <v>1775.34208509</v>
      </c>
      <c r="W259" s="765">
        <v>0.83081053999999999</v>
      </c>
      <c r="X259" s="290">
        <v>700</v>
      </c>
      <c r="Y259" s="290"/>
      <c r="Z259" s="290">
        <v>118388.21799999999</v>
      </c>
      <c r="AA259" s="290">
        <v>0</v>
      </c>
      <c r="AB259" s="290">
        <v>113</v>
      </c>
      <c r="AC259" s="290">
        <v>219</v>
      </c>
      <c r="AD259" s="290">
        <v>96</v>
      </c>
      <c r="AE259" s="290">
        <v>0</v>
      </c>
      <c r="AF259" s="290">
        <v>0</v>
      </c>
      <c r="AG259" s="290">
        <v>3940</v>
      </c>
      <c r="AH259" s="290">
        <v>673</v>
      </c>
      <c r="AI259" s="290">
        <v>30</v>
      </c>
      <c r="AJ259" s="290">
        <v>5848.6109999999999</v>
      </c>
      <c r="AK259" s="290">
        <v>0</v>
      </c>
      <c r="AL259" s="290">
        <v>0</v>
      </c>
      <c r="AM259" s="957">
        <v>5.9956259999999997E-2</v>
      </c>
      <c r="AN259" s="290">
        <v>4813</v>
      </c>
      <c r="AO259" s="290">
        <v>-1205.7632739400001</v>
      </c>
      <c r="AP259" s="290">
        <v>0</v>
      </c>
      <c r="AQ259" s="290">
        <v>0</v>
      </c>
      <c r="AR259" s="290">
        <v>2132.7124752</v>
      </c>
      <c r="AS259" s="290">
        <v>350.04</v>
      </c>
      <c r="AT259" s="290">
        <v>150</v>
      </c>
      <c r="AU259" s="290">
        <v>29</v>
      </c>
      <c r="AV259" s="766">
        <v>160547</v>
      </c>
      <c r="AW259" s="290">
        <v>1750</v>
      </c>
      <c r="AX259" s="766">
        <v>13.916700000000001</v>
      </c>
      <c r="AY259" s="290">
        <v>678</v>
      </c>
      <c r="AZ259" s="290">
        <v>218</v>
      </c>
      <c r="BA259" s="290">
        <v>79</v>
      </c>
      <c r="BB259" s="290">
        <v>0</v>
      </c>
      <c r="BC259" s="290">
        <v>6618.5618795099999</v>
      </c>
      <c r="BD259" s="290"/>
      <c r="BE259" s="290">
        <v>149530.49532218999</v>
      </c>
      <c r="BF259" s="290">
        <v>0</v>
      </c>
      <c r="BG259" s="290">
        <v>3225</v>
      </c>
      <c r="BH259" s="290">
        <v>1000</v>
      </c>
      <c r="BI259" s="290">
        <v>988</v>
      </c>
      <c r="BJ259" s="290">
        <v>47</v>
      </c>
      <c r="BK259" s="290">
        <v>150</v>
      </c>
      <c r="BL259" s="290">
        <v>0</v>
      </c>
      <c r="BM259" s="290">
        <v>0</v>
      </c>
      <c r="BN259" s="290">
        <v>94</v>
      </c>
      <c r="BO259" s="290">
        <v>-29</v>
      </c>
      <c r="BP259" s="290">
        <v>363</v>
      </c>
      <c r="BQ259" s="290">
        <v>727</v>
      </c>
      <c r="BR259" s="290">
        <v>550</v>
      </c>
      <c r="BS259" s="290">
        <v>72</v>
      </c>
      <c r="BT259" s="290">
        <v>0</v>
      </c>
      <c r="BU259" s="290">
        <v>0</v>
      </c>
      <c r="BV259" s="290">
        <v>86</v>
      </c>
      <c r="BW259" s="290">
        <v>0</v>
      </c>
      <c r="BX259" s="290">
        <v>0</v>
      </c>
      <c r="BY259" s="290">
        <v>455</v>
      </c>
      <c r="BZ259" s="290">
        <v>2700</v>
      </c>
      <c r="CA259" s="290">
        <v>4945.7</v>
      </c>
      <c r="CB259" s="290">
        <v>45</v>
      </c>
      <c r="CC259" s="290">
        <v>0</v>
      </c>
      <c r="CD259" s="290">
        <v>72</v>
      </c>
      <c r="CE259" s="290">
        <v>118388.21799999999</v>
      </c>
      <c r="CF259" s="290">
        <v>0</v>
      </c>
      <c r="CG259" s="290">
        <v>0</v>
      </c>
      <c r="CH259" s="290">
        <v>0</v>
      </c>
      <c r="CI259" s="290">
        <v>0</v>
      </c>
      <c r="CJ259" s="290"/>
    </row>
    <row r="260" spans="1:88" ht="13">
      <c r="A260" s="1">
        <v>4629</v>
      </c>
      <c r="B260" s="2" t="s">
        <v>46</v>
      </c>
      <c r="C260" s="289">
        <v>376</v>
      </c>
      <c r="D260" s="290">
        <v>7</v>
      </c>
      <c r="E260" s="290">
        <v>17</v>
      </c>
      <c r="F260" s="290">
        <v>63</v>
      </c>
      <c r="G260" s="290">
        <v>33</v>
      </c>
      <c r="H260" s="290">
        <v>207</v>
      </c>
      <c r="I260" s="290">
        <v>39</v>
      </c>
      <c r="J260" s="290">
        <v>23</v>
      </c>
      <c r="K260" s="290">
        <v>2</v>
      </c>
      <c r="L260" s="290">
        <v>4</v>
      </c>
      <c r="M260" s="290">
        <v>33</v>
      </c>
      <c r="N260" s="290">
        <v>0</v>
      </c>
      <c r="O260" s="290">
        <v>6</v>
      </c>
      <c r="P260" s="624">
        <v>2177.819</v>
      </c>
      <c r="Q260" s="624">
        <v>6011.0483333299999</v>
      </c>
      <c r="R260" s="1039">
        <v>1</v>
      </c>
      <c r="S260" s="290">
        <v>0</v>
      </c>
      <c r="T260" s="290">
        <v>24</v>
      </c>
      <c r="U260" s="958">
        <v>3.0206610207417255E-4</v>
      </c>
      <c r="V260" s="290">
        <v>393.90885151999998</v>
      </c>
      <c r="W260" s="765">
        <v>1</v>
      </c>
      <c r="X260" s="290">
        <v>0</v>
      </c>
      <c r="Y260" s="290"/>
      <c r="Z260" s="290">
        <v>29904.151000000002</v>
      </c>
      <c r="AA260" s="290">
        <v>0</v>
      </c>
      <c r="AB260" s="290">
        <v>6</v>
      </c>
      <c r="AC260" s="290">
        <v>41</v>
      </c>
      <c r="AD260" s="290">
        <v>25</v>
      </c>
      <c r="AE260" s="290">
        <v>0</v>
      </c>
      <c r="AF260" s="290">
        <v>0</v>
      </c>
      <c r="AG260" s="290">
        <v>391</v>
      </c>
      <c r="AH260" s="290">
        <v>100</v>
      </c>
      <c r="AI260" s="290">
        <v>0</v>
      </c>
      <c r="AJ260" s="290">
        <v>0</v>
      </c>
      <c r="AK260" s="290">
        <v>0</v>
      </c>
      <c r="AL260" s="290">
        <v>0</v>
      </c>
      <c r="AM260" s="957">
        <v>2.0193429999999998E-2</v>
      </c>
      <c r="AN260" s="290">
        <v>0</v>
      </c>
      <c r="AO260" s="290">
        <v>-197.16573070999999</v>
      </c>
      <c r="AP260" s="290">
        <v>0</v>
      </c>
      <c r="AQ260" s="290">
        <v>0</v>
      </c>
      <c r="AR260" s="290">
        <v>-14.76669806</v>
      </c>
      <c r="AS260" s="290">
        <v>64.545500000000004</v>
      </c>
      <c r="AT260" s="290">
        <v>19</v>
      </c>
      <c r="AU260" s="290">
        <v>5</v>
      </c>
      <c r="AV260" s="766">
        <v>32113</v>
      </c>
      <c r="AW260" s="290">
        <v>250</v>
      </c>
      <c r="AX260" s="766">
        <v>0</v>
      </c>
      <c r="AY260" s="290">
        <v>77</v>
      </c>
      <c r="AZ260" s="290">
        <v>32</v>
      </c>
      <c r="BA260" s="290">
        <v>7</v>
      </c>
      <c r="BB260" s="290">
        <v>0</v>
      </c>
      <c r="BC260" s="290">
        <v>998.09100000000001</v>
      </c>
      <c r="BD260" s="290"/>
      <c r="BE260" s="290">
        <v>31650.012445209999</v>
      </c>
      <c r="BF260" s="290">
        <v>0</v>
      </c>
      <c r="BG260" s="290">
        <v>320</v>
      </c>
      <c r="BH260" s="290">
        <v>500</v>
      </c>
      <c r="BI260" s="290">
        <v>166</v>
      </c>
      <c r="BJ260" s="290">
        <v>7</v>
      </c>
      <c r="BK260" s="290">
        <v>13</v>
      </c>
      <c r="BL260" s="290">
        <v>0</v>
      </c>
      <c r="BM260" s="290">
        <v>0</v>
      </c>
      <c r="BN260" s="290">
        <v>8</v>
      </c>
      <c r="BO260" s="290">
        <v>-3</v>
      </c>
      <c r="BP260" s="290">
        <v>35</v>
      </c>
      <c r="BQ260" s="290">
        <v>70</v>
      </c>
      <c r="BR260" s="290">
        <v>53</v>
      </c>
      <c r="BS260" s="290">
        <v>19</v>
      </c>
      <c r="BT260" s="290">
        <v>0</v>
      </c>
      <c r="BU260" s="290">
        <v>0</v>
      </c>
      <c r="BV260" s="290">
        <v>8</v>
      </c>
      <c r="BW260" s="290">
        <v>0</v>
      </c>
      <c r="BX260" s="290">
        <v>0</v>
      </c>
      <c r="BY260" s="290">
        <v>45</v>
      </c>
      <c r="BZ260" s="290">
        <v>200</v>
      </c>
      <c r="CA260" s="290">
        <v>37.659999999999997</v>
      </c>
      <c r="CB260" s="290">
        <v>17</v>
      </c>
      <c r="CC260" s="290">
        <v>0</v>
      </c>
      <c r="CD260" s="290">
        <v>7</v>
      </c>
      <c r="CE260" s="290">
        <v>29904.151000000002</v>
      </c>
      <c r="CF260" s="290">
        <v>0</v>
      </c>
      <c r="CG260" s="290">
        <v>0</v>
      </c>
      <c r="CH260" s="290">
        <v>0</v>
      </c>
      <c r="CI260" s="290">
        <v>0</v>
      </c>
      <c r="CJ260" s="290"/>
    </row>
    <row r="261" spans="1:88" ht="13">
      <c r="A261" s="1">
        <v>4630</v>
      </c>
      <c r="B261" s="2" t="s">
        <v>47</v>
      </c>
      <c r="C261" s="289">
        <v>8080</v>
      </c>
      <c r="D261" s="290">
        <v>163</v>
      </c>
      <c r="E261" s="290">
        <v>416</v>
      </c>
      <c r="F261" s="290">
        <v>1022</v>
      </c>
      <c r="G261" s="290">
        <v>731</v>
      </c>
      <c r="H261" s="290">
        <v>4387</v>
      </c>
      <c r="I261" s="290">
        <v>969</v>
      </c>
      <c r="J261" s="290">
        <v>314</v>
      </c>
      <c r="K261" s="290">
        <v>102</v>
      </c>
      <c r="L261" s="290">
        <v>50</v>
      </c>
      <c r="M261" s="290">
        <v>507</v>
      </c>
      <c r="N261" s="290">
        <v>38</v>
      </c>
      <c r="O261" s="290">
        <v>77</v>
      </c>
      <c r="P261" s="624">
        <v>62312.87233333</v>
      </c>
      <c r="Q261" s="624">
        <v>22415.695666669999</v>
      </c>
      <c r="R261" s="1039">
        <v>27</v>
      </c>
      <c r="S261" s="290">
        <v>0</v>
      </c>
      <c r="T261" s="290">
        <v>534</v>
      </c>
      <c r="U261" s="958">
        <v>3.0045992711192483E-3</v>
      </c>
      <c r="V261" s="290">
        <v>-16268.483882750001</v>
      </c>
      <c r="W261" s="765">
        <v>0.68016264999999998</v>
      </c>
      <c r="X261" s="290">
        <v>3800</v>
      </c>
      <c r="Y261" s="290"/>
      <c r="Z261" s="290">
        <v>228696.345</v>
      </c>
      <c r="AA261" s="290">
        <v>0</v>
      </c>
      <c r="AB261" s="290">
        <v>163</v>
      </c>
      <c r="AC261" s="290">
        <v>444</v>
      </c>
      <c r="AD261" s="290">
        <v>167</v>
      </c>
      <c r="AE261" s="290">
        <v>0</v>
      </c>
      <c r="AF261" s="290">
        <v>0</v>
      </c>
      <c r="AG261" s="290">
        <v>8104</v>
      </c>
      <c r="AH261" s="290">
        <v>1528</v>
      </c>
      <c r="AI261" s="290">
        <v>2125</v>
      </c>
      <c r="AJ261" s="290">
        <v>0</v>
      </c>
      <c r="AK261" s="290">
        <v>0</v>
      </c>
      <c r="AL261" s="290">
        <v>0</v>
      </c>
      <c r="AM261" s="957">
        <v>0.15099149000000001</v>
      </c>
      <c r="AN261" s="290">
        <v>0</v>
      </c>
      <c r="AO261" s="290">
        <v>-2164.0773270300001</v>
      </c>
      <c r="AP261" s="290">
        <v>0</v>
      </c>
      <c r="AQ261" s="290">
        <v>0</v>
      </c>
      <c r="AR261" s="290">
        <v>-306.0596448</v>
      </c>
      <c r="AS261" s="290">
        <v>684.52049999999997</v>
      </c>
      <c r="AT261" s="290">
        <v>367</v>
      </c>
      <c r="AU261" s="290">
        <v>76</v>
      </c>
      <c r="AV261" s="766">
        <v>223012</v>
      </c>
      <c r="AW261" s="290">
        <v>1500</v>
      </c>
      <c r="AX261" s="766">
        <v>49.625</v>
      </c>
      <c r="AY261" s="290">
        <v>1332</v>
      </c>
      <c r="AZ261" s="290">
        <v>355</v>
      </c>
      <c r="BA261" s="290">
        <v>159</v>
      </c>
      <c r="BB261" s="290">
        <v>0</v>
      </c>
      <c r="BC261" s="290">
        <v>12022.96109787</v>
      </c>
      <c r="BD261" s="290"/>
      <c r="BE261" s="290">
        <v>210605.50763752</v>
      </c>
      <c r="BF261" s="290">
        <v>0</v>
      </c>
      <c r="BG261" s="290">
        <v>6634</v>
      </c>
      <c r="BH261" s="290">
        <v>1000</v>
      </c>
      <c r="BI261" s="290">
        <v>2139</v>
      </c>
      <c r="BJ261" s="290">
        <v>93</v>
      </c>
      <c r="BK261" s="290">
        <v>347</v>
      </c>
      <c r="BL261" s="290">
        <v>0</v>
      </c>
      <c r="BM261" s="290">
        <v>0</v>
      </c>
      <c r="BN261" s="290">
        <v>217</v>
      </c>
      <c r="BO261" s="290">
        <v>-53</v>
      </c>
      <c r="BP261" s="290">
        <v>749</v>
      </c>
      <c r="BQ261" s="290">
        <v>1499</v>
      </c>
      <c r="BR261" s="290">
        <v>1135</v>
      </c>
      <c r="BS261" s="290">
        <v>125</v>
      </c>
      <c r="BT261" s="290">
        <v>0</v>
      </c>
      <c r="BU261" s="290">
        <v>0</v>
      </c>
      <c r="BV261" s="290">
        <v>199</v>
      </c>
      <c r="BW261" s="290">
        <v>0</v>
      </c>
      <c r="BX261" s="290">
        <v>0</v>
      </c>
      <c r="BY261" s="290">
        <v>844</v>
      </c>
      <c r="BZ261" s="290">
        <v>750</v>
      </c>
      <c r="CA261" s="290">
        <v>413.35399999999998</v>
      </c>
      <c r="CB261" s="290">
        <v>79</v>
      </c>
      <c r="CC261" s="290">
        <v>1</v>
      </c>
      <c r="CD261" s="290">
        <v>130</v>
      </c>
      <c r="CE261" s="290">
        <v>228696.345</v>
      </c>
      <c r="CF261" s="290">
        <v>0</v>
      </c>
      <c r="CG261" s="290">
        <v>0</v>
      </c>
      <c r="CH261" s="290">
        <v>0</v>
      </c>
      <c r="CI261" s="290">
        <v>0</v>
      </c>
      <c r="CJ261" s="290"/>
    </row>
    <row r="262" spans="1:88" ht="13">
      <c r="A262" s="1">
        <v>4631</v>
      </c>
      <c r="B262" s="2" t="s">
        <v>1636</v>
      </c>
      <c r="C262" s="289">
        <v>29337</v>
      </c>
      <c r="D262" s="290">
        <v>607</v>
      </c>
      <c r="E262" s="290">
        <v>1446</v>
      </c>
      <c r="F262" s="290">
        <v>4097</v>
      </c>
      <c r="G262" s="290">
        <v>2648</v>
      </c>
      <c r="H262" s="290">
        <v>15824</v>
      </c>
      <c r="I262" s="290">
        <v>3524</v>
      </c>
      <c r="J262" s="290">
        <v>934</v>
      </c>
      <c r="K262" s="290">
        <v>245</v>
      </c>
      <c r="L262" s="290">
        <v>197</v>
      </c>
      <c r="M262" s="290">
        <v>1632</v>
      </c>
      <c r="N262" s="290">
        <v>237</v>
      </c>
      <c r="O262" s="290">
        <v>250</v>
      </c>
      <c r="P262" s="624">
        <v>144634.42800000001</v>
      </c>
      <c r="Q262" s="624">
        <v>75323.740000000005</v>
      </c>
      <c r="R262" s="1039">
        <v>127</v>
      </c>
      <c r="S262" s="290">
        <v>348</v>
      </c>
      <c r="T262" s="290">
        <v>1989</v>
      </c>
      <c r="U262" s="958">
        <v>1.0957390273017356E-2</v>
      </c>
      <c r="V262" s="290">
        <v>-19340.968472209999</v>
      </c>
      <c r="W262" s="765">
        <v>0.64251526999999997</v>
      </c>
      <c r="X262" s="290">
        <v>7000</v>
      </c>
      <c r="Y262" s="290"/>
      <c r="Z262" s="290">
        <v>891135.897</v>
      </c>
      <c r="AA262" s="290">
        <v>0</v>
      </c>
      <c r="AB262" s="290">
        <v>673</v>
      </c>
      <c r="AC262" s="290">
        <v>1713</v>
      </c>
      <c r="AD262" s="290">
        <v>554</v>
      </c>
      <c r="AE262" s="290">
        <v>0</v>
      </c>
      <c r="AF262" s="290">
        <v>30220</v>
      </c>
      <c r="AG262" s="290">
        <v>29325</v>
      </c>
      <c r="AH262" s="290">
        <v>5779</v>
      </c>
      <c r="AI262" s="290">
        <v>1300</v>
      </c>
      <c r="AJ262" s="290">
        <v>0</v>
      </c>
      <c r="AK262" s="290">
        <v>54030</v>
      </c>
      <c r="AL262" s="290">
        <v>0</v>
      </c>
      <c r="AM262" s="957">
        <v>0.42131861999999998</v>
      </c>
      <c r="AN262" s="290">
        <v>0</v>
      </c>
      <c r="AO262" s="290">
        <v>-7656.1209232700003</v>
      </c>
      <c r="AP262" s="290">
        <v>0</v>
      </c>
      <c r="AQ262" s="290">
        <v>0</v>
      </c>
      <c r="AR262" s="290">
        <v>-1107.50235484</v>
      </c>
      <c r="AS262" s="290">
        <v>2598.5174999999999</v>
      </c>
      <c r="AT262" s="290">
        <v>1312</v>
      </c>
      <c r="AU262" s="290">
        <v>244</v>
      </c>
      <c r="AV262" s="766">
        <v>876762</v>
      </c>
      <c r="AW262" s="290">
        <v>4300</v>
      </c>
      <c r="AX262" s="766">
        <v>199.66665</v>
      </c>
      <c r="AY262" s="290">
        <v>5579</v>
      </c>
      <c r="AZ262" s="290">
        <v>1124</v>
      </c>
      <c r="BA262" s="290">
        <v>597</v>
      </c>
      <c r="BB262" s="290">
        <v>0</v>
      </c>
      <c r="BC262" s="290">
        <v>109427.72608832001</v>
      </c>
      <c r="BD262" s="290"/>
      <c r="BE262" s="290">
        <v>846320.14404191996</v>
      </c>
      <c r="BF262" s="290">
        <v>0</v>
      </c>
      <c r="BG262" s="290">
        <v>24006</v>
      </c>
      <c r="BH262" s="290">
        <v>1000</v>
      </c>
      <c r="BI262" s="290">
        <v>92296</v>
      </c>
      <c r="BJ262" s="290">
        <v>336</v>
      </c>
      <c r="BK262" s="290">
        <v>1236</v>
      </c>
      <c r="BL262" s="290">
        <v>0</v>
      </c>
      <c r="BM262" s="290">
        <v>5390</v>
      </c>
      <c r="BN262" s="290">
        <v>773</v>
      </c>
      <c r="BO262" s="290">
        <v>-195</v>
      </c>
      <c r="BP262" s="290">
        <v>2721</v>
      </c>
      <c r="BQ262" s="290">
        <v>5441</v>
      </c>
      <c r="BR262" s="290">
        <v>4119</v>
      </c>
      <c r="BS262" s="290">
        <v>416</v>
      </c>
      <c r="BT262" s="290">
        <v>0</v>
      </c>
      <c r="BU262" s="290">
        <v>0</v>
      </c>
      <c r="BV262" s="290">
        <v>711</v>
      </c>
      <c r="BW262" s="290">
        <v>0</v>
      </c>
      <c r="BX262" s="290">
        <v>0</v>
      </c>
      <c r="BY262" s="290">
        <v>3009</v>
      </c>
      <c r="BZ262" s="290">
        <v>1700</v>
      </c>
      <c r="CA262" s="290">
        <v>1462.3720000000001</v>
      </c>
      <c r="CB262" s="290">
        <v>261</v>
      </c>
      <c r="CC262" s="290">
        <v>2</v>
      </c>
      <c r="CD262" s="290">
        <v>483</v>
      </c>
      <c r="CE262" s="290">
        <v>891135.897</v>
      </c>
      <c r="CF262" s="290">
        <v>70684.050622440875</v>
      </c>
      <c r="CG262" s="290">
        <v>87116.478390730073</v>
      </c>
      <c r="CH262" s="290">
        <v>103512.3302383743</v>
      </c>
      <c r="CI262" s="290">
        <v>119880.76656089882</v>
      </c>
      <c r="CJ262" s="290"/>
    </row>
    <row r="263" spans="1:88" ht="13">
      <c r="A263" s="1">
        <v>4632</v>
      </c>
      <c r="B263" s="2" t="s">
        <v>55</v>
      </c>
      <c r="C263" s="289">
        <v>2860</v>
      </c>
      <c r="D263" s="290">
        <v>59</v>
      </c>
      <c r="E263" s="290">
        <v>123</v>
      </c>
      <c r="F263" s="290">
        <v>335</v>
      </c>
      <c r="G263" s="290">
        <v>271</v>
      </c>
      <c r="H263" s="290">
        <v>1492</v>
      </c>
      <c r="I263" s="290">
        <v>457</v>
      </c>
      <c r="J263" s="290">
        <v>116</v>
      </c>
      <c r="K263" s="290">
        <v>24</v>
      </c>
      <c r="L263" s="290">
        <v>21</v>
      </c>
      <c r="M263" s="290">
        <v>219</v>
      </c>
      <c r="N263" s="290">
        <v>26</v>
      </c>
      <c r="O263" s="290">
        <v>32</v>
      </c>
      <c r="P263" s="624">
        <v>15110.357</v>
      </c>
      <c r="Q263" s="624">
        <v>6272.2806666699998</v>
      </c>
      <c r="R263" s="1039">
        <v>16</v>
      </c>
      <c r="S263" s="290">
        <v>0</v>
      </c>
      <c r="T263" s="290">
        <v>228</v>
      </c>
      <c r="U263" s="958">
        <v>8.549442525136137E-4</v>
      </c>
      <c r="V263" s="290">
        <v>1511.5453795799999</v>
      </c>
      <c r="W263" s="765">
        <v>0.71563096000000004</v>
      </c>
      <c r="X263" s="290">
        <v>1900</v>
      </c>
      <c r="Y263" s="290"/>
      <c r="Z263" s="290">
        <v>108953.39200000001</v>
      </c>
      <c r="AA263" s="290">
        <v>0</v>
      </c>
      <c r="AB263" s="290">
        <v>47</v>
      </c>
      <c r="AC263" s="290">
        <v>151</v>
      </c>
      <c r="AD263" s="290">
        <v>68</v>
      </c>
      <c r="AE263" s="290">
        <v>0</v>
      </c>
      <c r="AF263" s="290">
        <v>0</v>
      </c>
      <c r="AG263" s="290">
        <v>2877</v>
      </c>
      <c r="AH263" s="290">
        <v>503</v>
      </c>
      <c r="AI263" s="290">
        <v>0</v>
      </c>
      <c r="AJ263" s="290">
        <v>0</v>
      </c>
      <c r="AK263" s="290">
        <v>1257</v>
      </c>
      <c r="AL263" s="290">
        <v>0</v>
      </c>
      <c r="AM263" s="957">
        <v>0.12954388</v>
      </c>
      <c r="AN263" s="290">
        <v>0</v>
      </c>
      <c r="AO263" s="290">
        <v>-809.44017683000004</v>
      </c>
      <c r="AP263" s="290">
        <v>0</v>
      </c>
      <c r="AQ263" s="290">
        <v>0</v>
      </c>
      <c r="AR263" s="290">
        <v>-108.65419522000001</v>
      </c>
      <c r="AS263" s="290">
        <v>240.76249999999999</v>
      </c>
      <c r="AT263" s="290">
        <v>160</v>
      </c>
      <c r="AU263" s="290">
        <v>39</v>
      </c>
      <c r="AV263" s="766">
        <v>99415</v>
      </c>
      <c r="AW263" s="290">
        <v>750</v>
      </c>
      <c r="AX263" s="766">
        <v>20.125</v>
      </c>
      <c r="AY263" s="290">
        <v>420</v>
      </c>
      <c r="AZ263" s="290">
        <v>171</v>
      </c>
      <c r="BA263" s="290">
        <v>55</v>
      </c>
      <c r="BB263" s="290">
        <v>3017</v>
      </c>
      <c r="BC263" s="290">
        <v>5555.3172976200003</v>
      </c>
      <c r="BD263" s="290"/>
      <c r="BE263" s="290">
        <v>95910.286893729994</v>
      </c>
      <c r="BF263" s="290">
        <v>0</v>
      </c>
      <c r="BG263" s="290">
        <v>2355</v>
      </c>
      <c r="BH263" s="290">
        <v>500</v>
      </c>
      <c r="BI263" s="290">
        <v>1979</v>
      </c>
      <c r="BJ263" s="290">
        <v>35</v>
      </c>
      <c r="BK263" s="290">
        <v>106</v>
      </c>
      <c r="BL263" s="290">
        <v>0</v>
      </c>
      <c r="BM263" s="290">
        <v>0</v>
      </c>
      <c r="BN263" s="290">
        <v>66</v>
      </c>
      <c r="BO263" s="290">
        <v>-24</v>
      </c>
      <c r="BP263" s="290">
        <v>265</v>
      </c>
      <c r="BQ263" s="290">
        <v>530</v>
      </c>
      <c r="BR263" s="290">
        <v>402</v>
      </c>
      <c r="BS263" s="290">
        <v>51</v>
      </c>
      <c r="BT263" s="290">
        <v>0</v>
      </c>
      <c r="BU263" s="290">
        <v>0</v>
      </c>
      <c r="BV263" s="290">
        <v>61</v>
      </c>
      <c r="BW263" s="290">
        <v>0</v>
      </c>
      <c r="BX263" s="290">
        <v>0</v>
      </c>
      <c r="BY263" s="290">
        <v>328</v>
      </c>
      <c r="BZ263" s="290">
        <v>2200</v>
      </c>
      <c r="CA263" s="290">
        <v>802.5</v>
      </c>
      <c r="CB263" s="290">
        <v>35</v>
      </c>
      <c r="CC263" s="290">
        <v>0</v>
      </c>
      <c r="CD263" s="290">
        <v>58</v>
      </c>
      <c r="CE263" s="290">
        <v>108953.39200000001</v>
      </c>
      <c r="CF263" s="290">
        <v>1428.4269002647861</v>
      </c>
      <c r="CG263" s="290">
        <v>1559.3892685326155</v>
      </c>
      <c r="CH263" s="290">
        <v>1683.6735010236926</v>
      </c>
      <c r="CI263" s="290">
        <v>1802.9521288461219</v>
      </c>
      <c r="CJ263" s="290"/>
    </row>
    <row r="264" spans="1:88" ht="13">
      <c r="A264" s="1">
        <v>4633</v>
      </c>
      <c r="B264" s="2" t="s">
        <v>56</v>
      </c>
      <c r="C264" s="289">
        <v>525</v>
      </c>
      <c r="D264" s="290">
        <v>9</v>
      </c>
      <c r="E264" s="290">
        <v>17</v>
      </c>
      <c r="F264" s="290">
        <v>64</v>
      </c>
      <c r="G264" s="290">
        <v>54</v>
      </c>
      <c r="H264" s="290">
        <v>271</v>
      </c>
      <c r="I264" s="290">
        <v>84</v>
      </c>
      <c r="J264" s="290">
        <v>38</v>
      </c>
      <c r="K264" s="290">
        <v>14</v>
      </c>
      <c r="L264" s="290">
        <v>3</v>
      </c>
      <c r="M264" s="290">
        <v>57</v>
      </c>
      <c r="N264" s="290">
        <v>0</v>
      </c>
      <c r="O264" s="290">
        <v>14</v>
      </c>
      <c r="P264" s="624">
        <v>505.82366667000002</v>
      </c>
      <c r="Q264" s="624">
        <v>660.18700000000001</v>
      </c>
      <c r="R264" s="1039">
        <v>2</v>
      </c>
      <c r="S264" s="290">
        <v>0</v>
      </c>
      <c r="T264" s="290">
        <v>42</v>
      </c>
      <c r="U264" s="958">
        <v>9.608806468152128E-5</v>
      </c>
      <c r="V264" s="290">
        <v>460.34585098999997</v>
      </c>
      <c r="W264" s="765">
        <v>1</v>
      </c>
      <c r="X264" s="290">
        <v>1200</v>
      </c>
      <c r="Y264" s="290"/>
      <c r="Z264" s="290">
        <v>16472.117999999999</v>
      </c>
      <c r="AA264" s="290">
        <v>0</v>
      </c>
      <c r="AB264" s="290">
        <v>8</v>
      </c>
      <c r="AC264" s="290">
        <v>39</v>
      </c>
      <c r="AD264" s="290">
        <v>27</v>
      </c>
      <c r="AE264" s="290">
        <v>0</v>
      </c>
      <c r="AF264" s="290">
        <v>0</v>
      </c>
      <c r="AG264" s="290">
        <v>551</v>
      </c>
      <c r="AH264" s="290">
        <v>100</v>
      </c>
      <c r="AI264" s="290">
        <v>0</v>
      </c>
      <c r="AJ264" s="290">
        <v>0</v>
      </c>
      <c r="AK264" s="290">
        <v>0</v>
      </c>
      <c r="AL264" s="290">
        <v>0</v>
      </c>
      <c r="AM264" s="957">
        <v>5.8740499999999996E-3</v>
      </c>
      <c r="AN264" s="290">
        <v>0</v>
      </c>
      <c r="AO264" s="290">
        <v>-230.41986932</v>
      </c>
      <c r="AP264" s="290">
        <v>0</v>
      </c>
      <c r="AQ264" s="290">
        <v>0</v>
      </c>
      <c r="AR264" s="290">
        <v>176.20583133</v>
      </c>
      <c r="AS264" s="290">
        <v>70.979500000000002</v>
      </c>
      <c r="AT264" s="290">
        <v>21</v>
      </c>
      <c r="AU264" s="290">
        <v>3</v>
      </c>
      <c r="AV264" s="766">
        <v>42931</v>
      </c>
      <c r="AW264" s="290">
        <v>250</v>
      </c>
      <c r="AX264" s="766">
        <v>1.25</v>
      </c>
      <c r="AY264" s="290">
        <v>105</v>
      </c>
      <c r="AZ264" s="290">
        <v>28</v>
      </c>
      <c r="BA264" s="290">
        <v>9</v>
      </c>
      <c r="BB264" s="290">
        <v>6034</v>
      </c>
      <c r="BC264" s="290">
        <v>1113.9590000000001</v>
      </c>
      <c r="BD264" s="290"/>
      <c r="BE264" s="290">
        <v>41226.093686640001</v>
      </c>
      <c r="BF264" s="290">
        <v>0</v>
      </c>
      <c r="BG264" s="290">
        <v>451</v>
      </c>
      <c r="BH264" s="290">
        <v>500</v>
      </c>
      <c r="BI264" s="290">
        <v>166</v>
      </c>
      <c r="BJ264" s="290">
        <v>6</v>
      </c>
      <c r="BK264" s="290">
        <v>15</v>
      </c>
      <c r="BL264" s="290">
        <v>0</v>
      </c>
      <c r="BM264" s="290">
        <v>0</v>
      </c>
      <c r="BN264" s="290">
        <v>9</v>
      </c>
      <c r="BO264" s="290">
        <v>-3</v>
      </c>
      <c r="BP264" s="290">
        <v>49</v>
      </c>
      <c r="BQ264" s="290">
        <v>97</v>
      </c>
      <c r="BR264" s="290">
        <v>74</v>
      </c>
      <c r="BS264" s="290">
        <v>20</v>
      </c>
      <c r="BT264" s="290">
        <v>0</v>
      </c>
      <c r="BU264" s="290">
        <v>0</v>
      </c>
      <c r="BV264" s="290">
        <v>8</v>
      </c>
      <c r="BW264" s="290">
        <v>0</v>
      </c>
      <c r="BX264" s="290">
        <v>0</v>
      </c>
      <c r="BY264" s="290">
        <v>75</v>
      </c>
      <c r="BZ264" s="290">
        <v>200</v>
      </c>
      <c r="CA264" s="290">
        <v>44.012</v>
      </c>
      <c r="CB264" s="290">
        <v>19</v>
      </c>
      <c r="CC264" s="290">
        <v>0</v>
      </c>
      <c r="CD264" s="290">
        <v>8</v>
      </c>
      <c r="CE264" s="290">
        <v>16472.117999999999</v>
      </c>
      <c r="CF264" s="290">
        <v>0</v>
      </c>
      <c r="CG264" s="290">
        <v>0</v>
      </c>
      <c r="CH264" s="290">
        <v>0</v>
      </c>
      <c r="CI264" s="290">
        <v>0</v>
      </c>
      <c r="CJ264" s="290"/>
    </row>
    <row r="265" spans="1:88" ht="13">
      <c r="A265" s="1">
        <v>4634</v>
      </c>
      <c r="B265" s="2" t="s">
        <v>57</v>
      </c>
      <c r="C265" s="289">
        <v>1660</v>
      </c>
      <c r="D265" s="290">
        <v>25</v>
      </c>
      <c r="E265" s="290">
        <v>70</v>
      </c>
      <c r="F265" s="290">
        <v>219</v>
      </c>
      <c r="G265" s="290">
        <v>121</v>
      </c>
      <c r="H265" s="290">
        <v>873</v>
      </c>
      <c r="I265" s="290">
        <v>241</v>
      </c>
      <c r="J265" s="290">
        <v>103</v>
      </c>
      <c r="K265" s="290">
        <v>26</v>
      </c>
      <c r="L265" s="290">
        <v>12</v>
      </c>
      <c r="M265" s="290">
        <v>174</v>
      </c>
      <c r="N265" s="290">
        <v>3</v>
      </c>
      <c r="O265" s="290">
        <v>28</v>
      </c>
      <c r="P265" s="624">
        <v>28832.620999999999</v>
      </c>
      <c r="Q265" s="624">
        <v>13167.58233333</v>
      </c>
      <c r="R265" s="1039">
        <v>9</v>
      </c>
      <c r="S265" s="290">
        <v>0</v>
      </c>
      <c r="T265" s="290">
        <v>103</v>
      </c>
      <c r="U265" s="958">
        <v>1.6847881400092327E-3</v>
      </c>
      <c r="V265" s="290">
        <v>1174.4634168299999</v>
      </c>
      <c r="W265" s="765">
        <v>1</v>
      </c>
      <c r="X265" s="290">
        <v>0</v>
      </c>
      <c r="Y265" s="290"/>
      <c r="Z265" s="290">
        <v>63301.815999999999</v>
      </c>
      <c r="AA265" s="290">
        <v>1390</v>
      </c>
      <c r="AB265" s="290">
        <v>31</v>
      </c>
      <c r="AC265" s="290">
        <v>115</v>
      </c>
      <c r="AD265" s="290">
        <v>55</v>
      </c>
      <c r="AE265" s="290">
        <v>0</v>
      </c>
      <c r="AF265" s="290">
        <v>0</v>
      </c>
      <c r="AG265" s="290">
        <v>1678</v>
      </c>
      <c r="AH265" s="290">
        <v>292</v>
      </c>
      <c r="AI265" s="290">
        <v>0</v>
      </c>
      <c r="AJ265" s="290">
        <v>0</v>
      </c>
      <c r="AK265" s="290">
        <v>0</v>
      </c>
      <c r="AL265" s="290">
        <v>0</v>
      </c>
      <c r="AM265" s="957">
        <v>1.268412E-2</v>
      </c>
      <c r="AN265" s="290">
        <v>0</v>
      </c>
      <c r="AO265" s="290">
        <v>-587.86172709000004</v>
      </c>
      <c r="AP265" s="290">
        <v>0</v>
      </c>
      <c r="AQ265" s="290">
        <v>0</v>
      </c>
      <c r="AR265" s="290">
        <v>-63.372172259999999</v>
      </c>
      <c r="AS265" s="290">
        <v>172.69149999999999</v>
      </c>
      <c r="AT265" s="290">
        <v>65</v>
      </c>
      <c r="AU265" s="290">
        <v>9</v>
      </c>
      <c r="AV265" s="766">
        <v>84699</v>
      </c>
      <c r="AW265" s="290">
        <v>250</v>
      </c>
      <c r="AX265" s="766">
        <v>11.916650000000001</v>
      </c>
      <c r="AY265" s="290">
        <v>250</v>
      </c>
      <c r="AZ265" s="290">
        <v>62</v>
      </c>
      <c r="BA265" s="290">
        <v>29</v>
      </c>
      <c r="BB265" s="290">
        <v>3017</v>
      </c>
      <c r="BC265" s="290">
        <v>3188.3459911099999</v>
      </c>
      <c r="BD265" s="290"/>
      <c r="BE265" s="290">
        <v>81186.779449680005</v>
      </c>
      <c r="BF265" s="290">
        <v>0</v>
      </c>
      <c r="BG265" s="290">
        <v>1374</v>
      </c>
      <c r="BH265" s="290">
        <v>500</v>
      </c>
      <c r="BI265" s="290">
        <v>462</v>
      </c>
      <c r="BJ265" s="290">
        <v>21</v>
      </c>
      <c r="BK265" s="290">
        <v>61</v>
      </c>
      <c r="BL265" s="290">
        <v>0</v>
      </c>
      <c r="BM265" s="290">
        <v>0</v>
      </c>
      <c r="BN265" s="290">
        <v>38</v>
      </c>
      <c r="BO265" s="290">
        <v>-9</v>
      </c>
      <c r="BP265" s="290">
        <v>154</v>
      </c>
      <c r="BQ265" s="290">
        <v>308</v>
      </c>
      <c r="BR265" s="290">
        <v>233</v>
      </c>
      <c r="BS265" s="290">
        <v>41</v>
      </c>
      <c r="BT265" s="290">
        <v>0</v>
      </c>
      <c r="BU265" s="290">
        <v>0</v>
      </c>
      <c r="BV265" s="290">
        <v>35</v>
      </c>
      <c r="BW265" s="290">
        <v>0</v>
      </c>
      <c r="BX265" s="290">
        <v>0</v>
      </c>
      <c r="BY265" s="290">
        <v>206</v>
      </c>
      <c r="BZ265" s="290">
        <v>450</v>
      </c>
      <c r="CA265" s="290">
        <v>387.7</v>
      </c>
      <c r="CB265" s="290">
        <v>28</v>
      </c>
      <c r="CC265" s="290">
        <v>0</v>
      </c>
      <c r="CD265" s="290">
        <v>23</v>
      </c>
      <c r="CE265" s="290">
        <v>63301.815999999999</v>
      </c>
      <c r="CF265" s="290">
        <v>0</v>
      </c>
      <c r="CG265" s="290">
        <v>0</v>
      </c>
      <c r="CH265" s="290">
        <v>0</v>
      </c>
      <c r="CI265" s="290">
        <v>0</v>
      </c>
      <c r="CJ265" s="290"/>
    </row>
    <row r="266" spans="1:88" ht="13">
      <c r="A266" s="1">
        <v>4635</v>
      </c>
      <c r="B266" s="2" t="s">
        <v>59</v>
      </c>
      <c r="C266" s="289">
        <v>2272</v>
      </c>
      <c r="D266" s="290">
        <v>40</v>
      </c>
      <c r="E266" s="290">
        <v>94</v>
      </c>
      <c r="F266" s="290">
        <v>251</v>
      </c>
      <c r="G266" s="290">
        <v>199</v>
      </c>
      <c r="H266" s="290">
        <v>1232</v>
      </c>
      <c r="I266" s="290">
        <v>330</v>
      </c>
      <c r="J266" s="290">
        <v>115</v>
      </c>
      <c r="K266" s="290">
        <v>33</v>
      </c>
      <c r="L266" s="290">
        <v>18</v>
      </c>
      <c r="M266" s="290">
        <v>209</v>
      </c>
      <c r="N266" s="290">
        <v>5</v>
      </c>
      <c r="O266" s="290">
        <v>34</v>
      </c>
      <c r="P266" s="624">
        <v>71422.841666670007</v>
      </c>
      <c r="Q266" s="624">
        <v>21372.169000000002</v>
      </c>
      <c r="R266" s="1039">
        <v>12</v>
      </c>
      <c r="S266" s="290">
        <v>0</v>
      </c>
      <c r="T266" s="290">
        <v>178</v>
      </c>
      <c r="U266" s="958">
        <v>2.3772294647032791E-3</v>
      </c>
      <c r="V266" s="290">
        <v>1511.7898616499999</v>
      </c>
      <c r="W266" s="765">
        <v>1</v>
      </c>
      <c r="X266" s="290">
        <v>0</v>
      </c>
      <c r="Y266" s="290"/>
      <c r="Z266" s="290">
        <v>87972.930999999997</v>
      </c>
      <c r="AA266" s="290">
        <v>2991</v>
      </c>
      <c r="AB266" s="290">
        <v>37</v>
      </c>
      <c r="AC266" s="290">
        <v>142</v>
      </c>
      <c r="AD266" s="290">
        <v>74</v>
      </c>
      <c r="AE266" s="290">
        <v>0</v>
      </c>
      <c r="AF266" s="290">
        <v>0</v>
      </c>
      <c r="AG266" s="290">
        <v>2294</v>
      </c>
      <c r="AH266" s="290">
        <v>373</v>
      </c>
      <c r="AI266" s="290">
        <v>0</v>
      </c>
      <c r="AJ266" s="290">
        <v>0</v>
      </c>
      <c r="AK266" s="290">
        <v>752</v>
      </c>
      <c r="AL266" s="290">
        <v>0</v>
      </c>
      <c r="AM266" s="957">
        <v>1.966184E-2</v>
      </c>
      <c r="AN266" s="290">
        <v>0</v>
      </c>
      <c r="AO266" s="290">
        <v>-756.70590188999995</v>
      </c>
      <c r="AP266" s="290">
        <v>0</v>
      </c>
      <c r="AQ266" s="290">
        <v>0</v>
      </c>
      <c r="AR266" s="290">
        <v>550.28913983999996</v>
      </c>
      <c r="AS266" s="290">
        <v>238.8415</v>
      </c>
      <c r="AT266" s="290">
        <v>95</v>
      </c>
      <c r="AU266" s="290">
        <v>14</v>
      </c>
      <c r="AV266" s="766">
        <v>108988</v>
      </c>
      <c r="AW266" s="290">
        <v>900</v>
      </c>
      <c r="AX266" s="766">
        <v>15.958299999999999</v>
      </c>
      <c r="AY266" s="290">
        <v>429</v>
      </c>
      <c r="AZ266" s="290">
        <v>78</v>
      </c>
      <c r="BA266" s="290">
        <v>37</v>
      </c>
      <c r="BB266" s="290">
        <v>6034</v>
      </c>
      <c r="BC266" s="290">
        <v>4751.517347</v>
      </c>
      <c r="BD266" s="290"/>
      <c r="BE266" s="290">
        <v>103171.64353493</v>
      </c>
      <c r="BF266" s="290">
        <v>0</v>
      </c>
      <c r="BG266" s="290">
        <v>1878</v>
      </c>
      <c r="BH266" s="290">
        <v>500</v>
      </c>
      <c r="BI266" s="290">
        <v>1341</v>
      </c>
      <c r="BJ266" s="290">
        <v>28</v>
      </c>
      <c r="BK266" s="290">
        <v>83</v>
      </c>
      <c r="BL266" s="290">
        <v>0</v>
      </c>
      <c r="BM266" s="290">
        <v>0</v>
      </c>
      <c r="BN266" s="290">
        <v>52</v>
      </c>
      <c r="BO266" s="290">
        <v>-14</v>
      </c>
      <c r="BP266" s="290">
        <v>211</v>
      </c>
      <c r="BQ266" s="290">
        <v>421</v>
      </c>
      <c r="BR266" s="290">
        <v>319</v>
      </c>
      <c r="BS266" s="290">
        <v>56</v>
      </c>
      <c r="BT266" s="290">
        <v>0</v>
      </c>
      <c r="BU266" s="290">
        <v>0</v>
      </c>
      <c r="BV266" s="290">
        <v>48</v>
      </c>
      <c r="BW266" s="290">
        <v>0</v>
      </c>
      <c r="BX266" s="290">
        <v>0</v>
      </c>
      <c r="BY266" s="290">
        <v>272</v>
      </c>
      <c r="BZ266" s="290">
        <v>1100</v>
      </c>
      <c r="CA266" s="290">
        <v>994.5</v>
      </c>
      <c r="CB266" s="290">
        <v>34</v>
      </c>
      <c r="CC266" s="290">
        <v>0</v>
      </c>
      <c r="CD266" s="290">
        <v>35</v>
      </c>
      <c r="CE266" s="290">
        <v>87972.930999999997</v>
      </c>
      <c r="CF266" s="290">
        <v>803.54483168739205</v>
      </c>
      <c r="CG266" s="290">
        <v>822.54423791689192</v>
      </c>
      <c r="CH266" s="290">
        <v>836.1724521569156</v>
      </c>
      <c r="CI266" s="290">
        <v>845.77468300913165</v>
      </c>
      <c r="CJ266" s="290"/>
    </row>
    <row r="267" spans="1:88" ht="13">
      <c r="A267" s="1">
        <v>4636</v>
      </c>
      <c r="B267" s="2" t="s">
        <v>60</v>
      </c>
      <c r="C267" s="289">
        <v>786</v>
      </c>
      <c r="D267" s="290">
        <v>7</v>
      </c>
      <c r="E267" s="290">
        <v>26</v>
      </c>
      <c r="F267" s="290">
        <v>81</v>
      </c>
      <c r="G267" s="290">
        <v>61</v>
      </c>
      <c r="H267" s="290">
        <v>416</v>
      </c>
      <c r="I267" s="290">
        <v>138</v>
      </c>
      <c r="J267" s="290">
        <v>42</v>
      </c>
      <c r="K267" s="290">
        <v>12</v>
      </c>
      <c r="L267" s="290">
        <v>5</v>
      </c>
      <c r="M267" s="290">
        <v>89</v>
      </c>
      <c r="N267" s="290">
        <v>0</v>
      </c>
      <c r="O267" s="290">
        <v>15</v>
      </c>
      <c r="P267" s="624">
        <v>10499.66566667</v>
      </c>
      <c r="Q267" s="624">
        <v>9029.5816666699993</v>
      </c>
      <c r="R267" s="1039">
        <v>2</v>
      </c>
      <c r="S267" s="290">
        <v>0</v>
      </c>
      <c r="T267" s="290">
        <v>56</v>
      </c>
      <c r="U267" s="958">
        <v>8.2265904250062823E-4</v>
      </c>
      <c r="V267" s="290">
        <v>589.14664402999995</v>
      </c>
      <c r="W267" s="765">
        <v>1</v>
      </c>
      <c r="X267" s="290">
        <v>1400</v>
      </c>
      <c r="Y267" s="290"/>
      <c r="Z267" s="290">
        <v>25116.300999999999</v>
      </c>
      <c r="AA267" s="290">
        <v>0</v>
      </c>
      <c r="AB267" s="290">
        <v>9</v>
      </c>
      <c r="AC267" s="290">
        <v>53</v>
      </c>
      <c r="AD267" s="290">
        <v>35</v>
      </c>
      <c r="AE267" s="290">
        <v>0</v>
      </c>
      <c r="AF267" s="290">
        <v>0</v>
      </c>
      <c r="AG267" s="290">
        <v>783</v>
      </c>
      <c r="AH267" s="290">
        <v>117</v>
      </c>
      <c r="AI267" s="290">
        <v>0</v>
      </c>
      <c r="AJ267" s="290">
        <v>0</v>
      </c>
      <c r="AK267" s="290">
        <v>0</v>
      </c>
      <c r="AL267" s="290">
        <v>0</v>
      </c>
      <c r="AM267" s="957">
        <v>3.8246E-3</v>
      </c>
      <c r="AN267" s="290">
        <v>0</v>
      </c>
      <c r="AO267" s="290">
        <v>-294.88935858000002</v>
      </c>
      <c r="AP267" s="290">
        <v>0</v>
      </c>
      <c r="AQ267" s="290">
        <v>0</v>
      </c>
      <c r="AR267" s="290">
        <v>-29.571162619999999</v>
      </c>
      <c r="AS267" s="290">
        <v>87.406999999999996</v>
      </c>
      <c r="AT267" s="290">
        <v>20</v>
      </c>
      <c r="AU267" s="290">
        <v>3</v>
      </c>
      <c r="AV267" s="766">
        <v>50653</v>
      </c>
      <c r="AW267" s="290">
        <v>500</v>
      </c>
      <c r="AX267" s="766">
        <v>3.125</v>
      </c>
      <c r="AY267" s="290">
        <v>142</v>
      </c>
      <c r="AZ267" s="290">
        <v>41</v>
      </c>
      <c r="BA267" s="290">
        <v>14</v>
      </c>
      <c r="BB267" s="290">
        <v>6034</v>
      </c>
      <c r="BC267" s="290">
        <v>1877.6731854499999</v>
      </c>
      <c r="BD267" s="290"/>
      <c r="BE267" s="290">
        <v>48473.11374683</v>
      </c>
      <c r="BF267" s="290">
        <v>0</v>
      </c>
      <c r="BG267" s="290">
        <v>641</v>
      </c>
      <c r="BH267" s="290">
        <v>500</v>
      </c>
      <c r="BI267" s="290">
        <v>205</v>
      </c>
      <c r="BJ267" s="290">
        <v>10</v>
      </c>
      <c r="BK267" s="290">
        <v>23</v>
      </c>
      <c r="BL267" s="290">
        <v>0</v>
      </c>
      <c r="BM267" s="290">
        <v>0</v>
      </c>
      <c r="BN267" s="290">
        <v>14</v>
      </c>
      <c r="BO267" s="290">
        <v>-4</v>
      </c>
      <c r="BP267" s="290">
        <v>73</v>
      </c>
      <c r="BQ267" s="290">
        <v>146</v>
      </c>
      <c r="BR267" s="290">
        <v>110</v>
      </c>
      <c r="BS267" s="290">
        <v>26</v>
      </c>
      <c r="BT267" s="290">
        <v>0</v>
      </c>
      <c r="BU267" s="290">
        <v>0</v>
      </c>
      <c r="BV267" s="290">
        <v>13</v>
      </c>
      <c r="BW267" s="290">
        <v>0</v>
      </c>
      <c r="BX267" s="290">
        <v>0</v>
      </c>
      <c r="BY267" s="290">
        <v>102</v>
      </c>
      <c r="BZ267" s="290">
        <v>300</v>
      </c>
      <c r="CA267" s="290">
        <v>1083.9000000000001</v>
      </c>
      <c r="CB267" s="290">
        <v>21</v>
      </c>
      <c r="CC267" s="290">
        <v>0</v>
      </c>
      <c r="CD267" s="290">
        <v>10</v>
      </c>
      <c r="CE267" s="290">
        <v>25116.300999999999</v>
      </c>
      <c r="CF267" s="290">
        <v>0</v>
      </c>
      <c r="CG267" s="290">
        <v>0</v>
      </c>
      <c r="CH267" s="290">
        <v>0</v>
      </c>
      <c r="CI267" s="290">
        <v>0</v>
      </c>
      <c r="CJ267" s="290"/>
    </row>
    <row r="268" spans="1:88" ht="13">
      <c r="A268" s="1">
        <v>4637</v>
      </c>
      <c r="B268" s="2" t="s">
        <v>61</v>
      </c>
      <c r="C268" s="289">
        <v>1294</v>
      </c>
      <c r="D268" s="290">
        <v>14</v>
      </c>
      <c r="E268" s="290">
        <v>47</v>
      </c>
      <c r="F268" s="290">
        <v>112</v>
      </c>
      <c r="G268" s="290">
        <v>136</v>
      </c>
      <c r="H268" s="290">
        <v>682</v>
      </c>
      <c r="I268" s="290">
        <v>232</v>
      </c>
      <c r="J268" s="290">
        <v>77</v>
      </c>
      <c r="K268" s="290">
        <v>17</v>
      </c>
      <c r="L268" s="290">
        <v>9</v>
      </c>
      <c r="M268" s="290">
        <v>143</v>
      </c>
      <c r="N268" s="290">
        <v>4</v>
      </c>
      <c r="O268" s="290">
        <v>16</v>
      </c>
      <c r="P268" s="624">
        <v>18101.963666669999</v>
      </c>
      <c r="Q268" s="624">
        <v>9279.3833333300008</v>
      </c>
      <c r="R268" s="1039">
        <v>9</v>
      </c>
      <c r="S268" s="290">
        <v>0</v>
      </c>
      <c r="T268" s="290">
        <v>119</v>
      </c>
      <c r="U268" s="958">
        <v>1.3186340638584367E-3</v>
      </c>
      <c r="V268" s="290">
        <v>877.84485285000005</v>
      </c>
      <c r="W268" s="765">
        <v>1</v>
      </c>
      <c r="X268" s="290">
        <v>1300</v>
      </c>
      <c r="Y268" s="290"/>
      <c r="Z268" s="290">
        <v>47525.957000000002</v>
      </c>
      <c r="AA268" s="290">
        <v>0</v>
      </c>
      <c r="AB268" s="290">
        <v>19</v>
      </c>
      <c r="AC268" s="290">
        <v>67</v>
      </c>
      <c r="AD268" s="290">
        <v>46</v>
      </c>
      <c r="AE268" s="290">
        <v>0</v>
      </c>
      <c r="AF268" s="290">
        <v>0</v>
      </c>
      <c r="AG268" s="290">
        <v>1317</v>
      </c>
      <c r="AH268" s="290">
        <v>183</v>
      </c>
      <c r="AI268" s="290">
        <v>0</v>
      </c>
      <c r="AJ268" s="290">
        <v>0</v>
      </c>
      <c r="AK268" s="290">
        <v>0</v>
      </c>
      <c r="AL268" s="290">
        <v>0</v>
      </c>
      <c r="AM268" s="957">
        <v>1.8745919999999999E-2</v>
      </c>
      <c r="AN268" s="290">
        <v>0</v>
      </c>
      <c r="AO268" s="290">
        <v>-439.39332968000002</v>
      </c>
      <c r="AP268" s="290">
        <v>0</v>
      </c>
      <c r="AQ268" s="290">
        <v>0</v>
      </c>
      <c r="AR268" s="290">
        <v>-49.738468930000003</v>
      </c>
      <c r="AS268" s="290">
        <v>126.643</v>
      </c>
      <c r="AT268" s="290">
        <v>57</v>
      </c>
      <c r="AU268" s="290">
        <v>10</v>
      </c>
      <c r="AV268" s="766">
        <v>66405</v>
      </c>
      <c r="AW268" s="290">
        <v>500</v>
      </c>
      <c r="AX268" s="766">
        <v>0.41665000000000002</v>
      </c>
      <c r="AY268" s="290">
        <v>218</v>
      </c>
      <c r="AZ268" s="290">
        <v>58</v>
      </c>
      <c r="BA268" s="290">
        <v>20</v>
      </c>
      <c r="BB268" s="290">
        <v>6034</v>
      </c>
      <c r="BC268" s="290">
        <v>2188.0778593800001</v>
      </c>
      <c r="BD268" s="290"/>
      <c r="BE268" s="290">
        <v>63730.702389539998</v>
      </c>
      <c r="BF268" s="290">
        <v>0</v>
      </c>
      <c r="BG268" s="290">
        <v>1078</v>
      </c>
      <c r="BH268" s="290">
        <v>500</v>
      </c>
      <c r="BI268" s="290">
        <v>296</v>
      </c>
      <c r="BJ268" s="290">
        <v>16</v>
      </c>
      <c r="BK268" s="290">
        <v>37</v>
      </c>
      <c r="BL268" s="290">
        <v>0</v>
      </c>
      <c r="BM268" s="290">
        <v>0</v>
      </c>
      <c r="BN268" s="290">
        <v>23</v>
      </c>
      <c r="BO268" s="290">
        <v>-9</v>
      </c>
      <c r="BP268" s="290">
        <v>120</v>
      </c>
      <c r="BQ268" s="290">
        <v>240</v>
      </c>
      <c r="BR268" s="290">
        <v>182</v>
      </c>
      <c r="BS268" s="290">
        <v>35</v>
      </c>
      <c r="BT268" s="290">
        <v>0</v>
      </c>
      <c r="BU268" s="290">
        <v>0</v>
      </c>
      <c r="BV268" s="290">
        <v>21</v>
      </c>
      <c r="BW268" s="290">
        <v>0</v>
      </c>
      <c r="BX268" s="290">
        <v>0</v>
      </c>
      <c r="BY268" s="290">
        <v>171</v>
      </c>
      <c r="BZ268" s="290">
        <v>500</v>
      </c>
      <c r="CA268" s="290">
        <v>411</v>
      </c>
      <c r="CB268" s="290">
        <v>25</v>
      </c>
      <c r="CC268" s="290">
        <v>0</v>
      </c>
      <c r="CD268" s="290">
        <v>22</v>
      </c>
      <c r="CE268" s="290">
        <v>47525.957000000002</v>
      </c>
      <c r="CF268" s="290">
        <v>0</v>
      </c>
      <c r="CG268" s="290">
        <v>0</v>
      </c>
      <c r="CH268" s="290">
        <v>0</v>
      </c>
      <c r="CI268" s="290">
        <v>0</v>
      </c>
      <c r="CJ268" s="290"/>
    </row>
    <row r="269" spans="1:88" ht="13">
      <c r="A269" s="1">
        <v>4638</v>
      </c>
      <c r="B269" s="2" t="s">
        <v>62</v>
      </c>
      <c r="C269" s="289">
        <v>4049</v>
      </c>
      <c r="D269" s="290">
        <v>57</v>
      </c>
      <c r="E269" s="290">
        <v>138</v>
      </c>
      <c r="F269" s="290">
        <v>438</v>
      </c>
      <c r="G269" s="290">
        <v>403</v>
      </c>
      <c r="H269" s="290">
        <v>2183</v>
      </c>
      <c r="I269" s="290">
        <v>587</v>
      </c>
      <c r="J269" s="290">
        <v>215</v>
      </c>
      <c r="K269" s="290">
        <v>68</v>
      </c>
      <c r="L269" s="290">
        <v>30</v>
      </c>
      <c r="M269" s="290">
        <v>397</v>
      </c>
      <c r="N269" s="290">
        <v>47</v>
      </c>
      <c r="O269" s="290">
        <v>38</v>
      </c>
      <c r="P269" s="624">
        <v>72968.616666670001</v>
      </c>
      <c r="Q269" s="624">
        <v>19867.953333329999</v>
      </c>
      <c r="R269" s="1039">
        <v>9</v>
      </c>
      <c r="S269" s="290">
        <v>0</v>
      </c>
      <c r="T269" s="290">
        <v>380</v>
      </c>
      <c r="U269" s="958">
        <v>1.8144494375221061E-3</v>
      </c>
      <c r="V269" s="290">
        <v>2351.8526175500001</v>
      </c>
      <c r="W269" s="765">
        <v>1</v>
      </c>
      <c r="X269" s="290">
        <v>0</v>
      </c>
      <c r="Y269" s="290"/>
      <c r="Z269" s="290">
        <v>141038.106</v>
      </c>
      <c r="AA269" s="290">
        <v>0</v>
      </c>
      <c r="AB269" s="290">
        <v>82</v>
      </c>
      <c r="AC269" s="290">
        <v>215</v>
      </c>
      <c r="AD269" s="290">
        <v>106</v>
      </c>
      <c r="AE269" s="290">
        <v>0</v>
      </c>
      <c r="AF269" s="290">
        <v>0</v>
      </c>
      <c r="AG269" s="290">
        <v>4089</v>
      </c>
      <c r="AH269" s="290">
        <v>647</v>
      </c>
      <c r="AI269" s="290">
        <v>20</v>
      </c>
      <c r="AJ269" s="290">
        <v>0</v>
      </c>
      <c r="AK269" s="290">
        <v>2078</v>
      </c>
      <c r="AL269" s="290">
        <v>0</v>
      </c>
      <c r="AM269" s="957">
        <v>0.10844709</v>
      </c>
      <c r="AN269" s="290">
        <v>6158</v>
      </c>
      <c r="AO269" s="290">
        <v>-1177.1879156099999</v>
      </c>
      <c r="AP269" s="290">
        <v>0</v>
      </c>
      <c r="AQ269" s="290">
        <v>0</v>
      </c>
      <c r="AR269" s="290">
        <v>511.19216352000001</v>
      </c>
      <c r="AS269" s="290">
        <v>371.14100000000002</v>
      </c>
      <c r="AT269" s="290">
        <v>205</v>
      </c>
      <c r="AU269" s="290">
        <v>41</v>
      </c>
      <c r="AV269" s="766">
        <v>150035</v>
      </c>
      <c r="AW269" s="290">
        <v>700</v>
      </c>
      <c r="AX269" s="766">
        <v>19.249949999999998</v>
      </c>
      <c r="AY269" s="290">
        <v>758</v>
      </c>
      <c r="AZ269" s="290">
        <v>217</v>
      </c>
      <c r="BA269" s="290">
        <v>94</v>
      </c>
      <c r="BB269" s="290">
        <v>0</v>
      </c>
      <c r="BC269" s="290">
        <v>7565.5093140999998</v>
      </c>
      <c r="BD269" s="290"/>
      <c r="BE269" s="290">
        <v>141813.85913873999</v>
      </c>
      <c r="BF269" s="290">
        <v>0</v>
      </c>
      <c r="BG269" s="290">
        <v>3347</v>
      </c>
      <c r="BH269" s="290">
        <v>1000</v>
      </c>
      <c r="BI269" s="290">
        <v>3046</v>
      </c>
      <c r="BJ269" s="290">
        <v>49</v>
      </c>
      <c r="BK269" s="290">
        <v>122</v>
      </c>
      <c r="BL269" s="290">
        <v>0</v>
      </c>
      <c r="BM269" s="290">
        <v>0</v>
      </c>
      <c r="BN269" s="290">
        <v>76</v>
      </c>
      <c r="BO269" s="290">
        <v>-33</v>
      </c>
      <c r="BP269" s="290">
        <v>376</v>
      </c>
      <c r="BQ269" s="290">
        <v>751</v>
      </c>
      <c r="BR269" s="290">
        <v>569</v>
      </c>
      <c r="BS269" s="290">
        <v>80</v>
      </c>
      <c r="BT269" s="290">
        <v>0</v>
      </c>
      <c r="BU269" s="290">
        <v>0</v>
      </c>
      <c r="BV269" s="290">
        <v>70</v>
      </c>
      <c r="BW269" s="290">
        <v>0</v>
      </c>
      <c r="BX269" s="290">
        <v>0</v>
      </c>
      <c r="BY269" s="290">
        <v>489</v>
      </c>
      <c r="BZ269" s="290">
        <v>1100</v>
      </c>
      <c r="CA269" s="290">
        <v>1556.6999999999998</v>
      </c>
      <c r="CB269" s="290">
        <v>49</v>
      </c>
      <c r="CC269" s="290">
        <v>0</v>
      </c>
      <c r="CD269" s="290">
        <v>82</v>
      </c>
      <c r="CE269" s="290">
        <v>141038.106</v>
      </c>
      <c r="CF269" s="290">
        <v>2419.8452080533098</v>
      </c>
      <c r="CG269" s="290">
        <v>2704.3504783166818</v>
      </c>
      <c r="CH269" s="290">
        <v>2979.3925502902412</v>
      </c>
      <c r="CI269" s="290">
        <v>3247.3414706533254</v>
      </c>
      <c r="CJ269" s="290"/>
    </row>
    <row r="270" spans="1:88" ht="13">
      <c r="A270" s="1">
        <v>4639</v>
      </c>
      <c r="B270" s="2" t="s">
        <v>63</v>
      </c>
      <c r="C270" s="289">
        <v>2611</v>
      </c>
      <c r="D270" s="290">
        <v>45</v>
      </c>
      <c r="E270" s="290">
        <v>105</v>
      </c>
      <c r="F270" s="290">
        <v>307</v>
      </c>
      <c r="G270" s="290">
        <v>212</v>
      </c>
      <c r="H270" s="290">
        <v>1324</v>
      </c>
      <c r="I270" s="290">
        <v>409</v>
      </c>
      <c r="J270" s="290">
        <v>174</v>
      </c>
      <c r="K270" s="290">
        <v>51</v>
      </c>
      <c r="L270" s="290">
        <v>19</v>
      </c>
      <c r="M270" s="290">
        <v>255</v>
      </c>
      <c r="N270" s="290">
        <v>27</v>
      </c>
      <c r="O270" s="290">
        <v>30</v>
      </c>
      <c r="P270" s="624">
        <v>23866.131333329999</v>
      </c>
      <c r="Q270" s="624">
        <v>10174.19266667</v>
      </c>
      <c r="R270" s="1039">
        <v>12</v>
      </c>
      <c r="S270" s="290">
        <v>0</v>
      </c>
      <c r="T270" s="290">
        <v>201</v>
      </c>
      <c r="U270" s="958">
        <v>3.5804376023780278E-3</v>
      </c>
      <c r="V270" s="290">
        <v>1663.3119383000001</v>
      </c>
      <c r="W270" s="765">
        <v>1</v>
      </c>
      <c r="X270" s="290">
        <v>0</v>
      </c>
      <c r="Y270" s="290"/>
      <c r="Z270" s="290">
        <v>91550.577999999994</v>
      </c>
      <c r="AA270" s="290">
        <v>503</v>
      </c>
      <c r="AB270" s="290">
        <v>38</v>
      </c>
      <c r="AC270" s="290">
        <v>147</v>
      </c>
      <c r="AD270" s="290">
        <v>72</v>
      </c>
      <c r="AE270" s="290">
        <v>0</v>
      </c>
      <c r="AF270" s="290">
        <v>0</v>
      </c>
      <c r="AG270" s="290">
        <v>2627</v>
      </c>
      <c r="AH270" s="290">
        <v>443</v>
      </c>
      <c r="AI270" s="290">
        <v>0</v>
      </c>
      <c r="AJ270" s="290">
        <v>0</v>
      </c>
      <c r="AK270" s="290">
        <v>0</v>
      </c>
      <c r="AL270" s="290">
        <v>0</v>
      </c>
      <c r="AM270" s="957">
        <v>1.006103E-2</v>
      </c>
      <c r="AN270" s="290">
        <v>0</v>
      </c>
      <c r="AO270" s="290">
        <v>-832.54822135999996</v>
      </c>
      <c r="AP270" s="290">
        <v>0</v>
      </c>
      <c r="AQ270" s="290">
        <v>0</v>
      </c>
      <c r="AR270" s="290">
        <v>-99.212572420000001</v>
      </c>
      <c r="AS270" s="290">
        <v>230.56399999999999</v>
      </c>
      <c r="AT270" s="290">
        <v>74</v>
      </c>
      <c r="AU270" s="290">
        <v>8</v>
      </c>
      <c r="AV270" s="766">
        <v>112890</v>
      </c>
      <c r="AW270" s="290">
        <v>700</v>
      </c>
      <c r="AX270" s="766">
        <v>6.2916999999999996</v>
      </c>
      <c r="AY270" s="290">
        <v>516</v>
      </c>
      <c r="AZ270" s="290">
        <v>118</v>
      </c>
      <c r="BA270" s="290">
        <v>38</v>
      </c>
      <c r="BB270" s="290">
        <v>6034</v>
      </c>
      <c r="BC270" s="290">
        <v>4488.9632003899997</v>
      </c>
      <c r="BD270" s="290"/>
      <c r="BE270" s="290">
        <v>108841.18384134</v>
      </c>
      <c r="BF270" s="290">
        <v>0</v>
      </c>
      <c r="BG270" s="290">
        <v>2150</v>
      </c>
      <c r="BH270" s="290">
        <v>500</v>
      </c>
      <c r="BI270" s="290">
        <v>662</v>
      </c>
      <c r="BJ270" s="290">
        <v>32</v>
      </c>
      <c r="BK270" s="290">
        <v>87</v>
      </c>
      <c r="BL270" s="290">
        <v>0</v>
      </c>
      <c r="BM270" s="290">
        <v>0</v>
      </c>
      <c r="BN270" s="290">
        <v>54</v>
      </c>
      <c r="BO270" s="290">
        <v>-16</v>
      </c>
      <c r="BP270" s="290">
        <v>242</v>
      </c>
      <c r="BQ270" s="290">
        <v>484</v>
      </c>
      <c r="BR270" s="290">
        <v>367</v>
      </c>
      <c r="BS270" s="290">
        <v>54</v>
      </c>
      <c r="BT270" s="290">
        <v>0</v>
      </c>
      <c r="BU270" s="290">
        <v>0</v>
      </c>
      <c r="BV270" s="290">
        <v>50</v>
      </c>
      <c r="BW270" s="290">
        <v>0</v>
      </c>
      <c r="BX270" s="290">
        <v>0</v>
      </c>
      <c r="BY270" s="290">
        <v>340</v>
      </c>
      <c r="BZ270" s="290">
        <v>700</v>
      </c>
      <c r="CA270" s="290">
        <v>358.2</v>
      </c>
      <c r="CB270" s="290">
        <v>36</v>
      </c>
      <c r="CC270" s="290">
        <v>0</v>
      </c>
      <c r="CD270" s="290">
        <v>39</v>
      </c>
      <c r="CE270" s="290">
        <v>91550.577999999994</v>
      </c>
      <c r="CF270" s="290">
        <v>0</v>
      </c>
      <c r="CG270" s="290">
        <v>0</v>
      </c>
      <c r="CH270" s="290">
        <v>0</v>
      </c>
      <c r="CI270" s="290">
        <v>0</v>
      </c>
      <c r="CJ270" s="290"/>
    </row>
    <row r="271" spans="1:88" ht="13">
      <c r="A271" s="1">
        <v>4640</v>
      </c>
      <c r="B271" s="2" t="s">
        <v>1637</v>
      </c>
      <c r="C271" s="289">
        <v>11938</v>
      </c>
      <c r="D271" s="290">
        <v>298</v>
      </c>
      <c r="E271" s="290">
        <v>595</v>
      </c>
      <c r="F271" s="290">
        <v>1382</v>
      </c>
      <c r="G271" s="290">
        <v>1091</v>
      </c>
      <c r="H271" s="290">
        <v>6600</v>
      </c>
      <c r="I271" s="290">
        <v>1326</v>
      </c>
      <c r="J271" s="290">
        <v>416</v>
      </c>
      <c r="K271" s="290">
        <v>125</v>
      </c>
      <c r="L271" s="290">
        <v>83</v>
      </c>
      <c r="M271" s="290">
        <v>750</v>
      </c>
      <c r="N271" s="290">
        <v>216</v>
      </c>
      <c r="O271" s="290">
        <v>144</v>
      </c>
      <c r="P271" s="624">
        <v>76873.141000000003</v>
      </c>
      <c r="Q271" s="624">
        <v>29217.247666669999</v>
      </c>
      <c r="R271" s="1039">
        <v>46</v>
      </c>
      <c r="S271" s="290">
        <v>149</v>
      </c>
      <c r="T271" s="290">
        <v>801</v>
      </c>
      <c r="U271" s="958">
        <v>5.8871043039030926E-3</v>
      </c>
      <c r="V271" s="290">
        <v>6065.92646823</v>
      </c>
      <c r="W271" s="765">
        <v>0.70459939999999999</v>
      </c>
      <c r="X271" s="290">
        <v>5700</v>
      </c>
      <c r="Y271" s="290"/>
      <c r="Z271" s="290">
        <v>364326.19099999999</v>
      </c>
      <c r="AA271" s="290">
        <v>0</v>
      </c>
      <c r="AB271" s="290">
        <v>169</v>
      </c>
      <c r="AC271" s="290">
        <v>601</v>
      </c>
      <c r="AD271" s="290">
        <v>231</v>
      </c>
      <c r="AE271" s="290">
        <v>0</v>
      </c>
      <c r="AF271" s="290">
        <v>42755</v>
      </c>
      <c r="AG271" s="290">
        <v>11833</v>
      </c>
      <c r="AH271" s="290">
        <v>2152</v>
      </c>
      <c r="AI271" s="290">
        <v>200</v>
      </c>
      <c r="AJ271" s="290">
        <v>0</v>
      </c>
      <c r="AK271" s="290">
        <v>0</v>
      </c>
      <c r="AL271" s="290">
        <v>0</v>
      </c>
      <c r="AM271" s="957">
        <v>8.7466169999999996E-2</v>
      </c>
      <c r="AN271" s="290">
        <v>0</v>
      </c>
      <c r="AO271" s="290">
        <v>-3089.0738326999999</v>
      </c>
      <c r="AP271" s="290">
        <v>0</v>
      </c>
      <c r="AQ271" s="290">
        <v>0</v>
      </c>
      <c r="AR271" s="290">
        <v>-446.89089052999998</v>
      </c>
      <c r="AS271" s="290">
        <v>952.43200000000002</v>
      </c>
      <c r="AT271" s="290">
        <v>372</v>
      </c>
      <c r="AU271" s="290">
        <v>66</v>
      </c>
      <c r="AV271" s="766">
        <v>371121</v>
      </c>
      <c r="AW271" s="290">
        <v>2100</v>
      </c>
      <c r="AX271" s="766">
        <v>106.83335</v>
      </c>
      <c r="AY271" s="290">
        <v>3691</v>
      </c>
      <c r="AZ271" s="290">
        <v>500</v>
      </c>
      <c r="BA271" s="290">
        <v>185</v>
      </c>
      <c r="BB271" s="290">
        <v>0</v>
      </c>
      <c r="BC271" s="290">
        <v>58667.727392569999</v>
      </c>
      <c r="BD271" s="290"/>
      <c r="BE271" s="290">
        <v>368682.28841081</v>
      </c>
      <c r="BF271" s="290">
        <v>0</v>
      </c>
      <c r="BG271" s="290">
        <v>9687</v>
      </c>
      <c r="BH271" s="290">
        <v>1000</v>
      </c>
      <c r="BI271" s="290">
        <v>45739</v>
      </c>
      <c r="BJ271" s="290">
        <v>136</v>
      </c>
      <c r="BK271" s="290">
        <v>546</v>
      </c>
      <c r="BL271" s="290">
        <v>0</v>
      </c>
      <c r="BM271" s="290">
        <v>4173</v>
      </c>
      <c r="BN271" s="290">
        <v>342</v>
      </c>
      <c r="BO271" s="290">
        <v>-76</v>
      </c>
      <c r="BP271" s="290">
        <v>1107</v>
      </c>
      <c r="BQ271" s="290">
        <v>2214</v>
      </c>
      <c r="BR271" s="290">
        <v>1676</v>
      </c>
      <c r="BS271" s="290">
        <v>174</v>
      </c>
      <c r="BT271" s="290">
        <v>0</v>
      </c>
      <c r="BU271" s="290">
        <v>0</v>
      </c>
      <c r="BV271" s="290">
        <v>314</v>
      </c>
      <c r="BW271" s="290">
        <v>0</v>
      </c>
      <c r="BX271" s="290">
        <v>0</v>
      </c>
      <c r="BY271" s="290">
        <v>1178</v>
      </c>
      <c r="BZ271" s="290">
        <v>2400</v>
      </c>
      <c r="CA271" s="290">
        <v>590.03399999999999</v>
      </c>
      <c r="CB271" s="290">
        <v>112</v>
      </c>
      <c r="CC271" s="290">
        <v>1</v>
      </c>
      <c r="CD271" s="290">
        <v>188</v>
      </c>
      <c r="CE271" s="290">
        <v>364326.19099999999</v>
      </c>
      <c r="CF271" s="290">
        <v>0</v>
      </c>
      <c r="CG271" s="290">
        <v>0</v>
      </c>
      <c r="CH271" s="290">
        <v>0</v>
      </c>
      <c r="CI271" s="290">
        <v>0</v>
      </c>
      <c r="CJ271" s="290"/>
    </row>
    <row r="272" spans="1:88" ht="13">
      <c r="A272" s="1">
        <v>4641</v>
      </c>
      <c r="B272" s="2" t="s">
        <v>67</v>
      </c>
      <c r="C272" s="289">
        <v>1777</v>
      </c>
      <c r="D272" s="290">
        <v>28</v>
      </c>
      <c r="E272" s="290">
        <v>58</v>
      </c>
      <c r="F272" s="290">
        <v>169</v>
      </c>
      <c r="G272" s="290">
        <v>129</v>
      </c>
      <c r="H272" s="290">
        <v>1044</v>
      </c>
      <c r="I272" s="290">
        <v>229</v>
      </c>
      <c r="J272" s="290">
        <v>80</v>
      </c>
      <c r="K272" s="290">
        <v>26</v>
      </c>
      <c r="L272" s="290">
        <v>16</v>
      </c>
      <c r="M272" s="290">
        <v>152</v>
      </c>
      <c r="N272" s="290">
        <v>0</v>
      </c>
      <c r="O272" s="290">
        <v>19</v>
      </c>
      <c r="P272" s="624">
        <v>11309.866333329999</v>
      </c>
      <c r="Q272" s="624">
        <v>9478.6630000000005</v>
      </c>
      <c r="R272" s="1039">
        <v>7</v>
      </c>
      <c r="S272" s="290">
        <v>0</v>
      </c>
      <c r="T272" s="290">
        <v>156</v>
      </c>
      <c r="U272" s="958">
        <v>1.6035347605116023E-3</v>
      </c>
      <c r="V272" s="290">
        <v>1052.7662702499999</v>
      </c>
      <c r="W272" s="765">
        <v>1</v>
      </c>
      <c r="X272" s="290">
        <v>0</v>
      </c>
      <c r="Y272" s="290"/>
      <c r="Z272" s="290">
        <v>87823.733999999997</v>
      </c>
      <c r="AA272" s="290">
        <v>0</v>
      </c>
      <c r="AB272" s="290">
        <v>34</v>
      </c>
      <c r="AC272" s="290">
        <v>88</v>
      </c>
      <c r="AD272" s="290">
        <v>51</v>
      </c>
      <c r="AE272" s="290">
        <v>0</v>
      </c>
      <c r="AF272" s="290">
        <v>0</v>
      </c>
      <c r="AG272" s="290">
        <v>1763</v>
      </c>
      <c r="AH272" s="290">
        <v>245</v>
      </c>
      <c r="AI272" s="290">
        <v>0</v>
      </c>
      <c r="AJ272" s="290">
        <v>0</v>
      </c>
      <c r="AK272" s="290">
        <v>89</v>
      </c>
      <c r="AL272" s="290">
        <v>0</v>
      </c>
      <c r="AM272" s="957">
        <v>1.4406230000000001E-2</v>
      </c>
      <c r="AN272" s="290">
        <v>0</v>
      </c>
      <c r="AO272" s="290">
        <v>-526.94787167000004</v>
      </c>
      <c r="AP272" s="290">
        <v>0</v>
      </c>
      <c r="AQ272" s="290">
        <v>0</v>
      </c>
      <c r="AR272" s="290">
        <v>-66.582324009999994</v>
      </c>
      <c r="AS272" s="290">
        <v>135.99799999999999</v>
      </c>
      <c r="AT272" s="290">
        <v>51</v>
      </c>
      <c r="AU272" s="290">
        <v>14</v>
      </c>
      <c r="AV272" s="766">
        <v>62066</v>
      </c>
      <c r="AW272" s="290">
        <v>250</v>
      </c>
      <c r="AX272" s="766">
        <v>14.833349999999999</v>
      </c>
      <c r="AY272" s="290">
        <v>385</v>
      </c>
      <c r="AZ272" s="290">
        <v>64</v>
      </c>
      <c r="BA272" s="290">
        <v>23</v>
      </c>
      <c r="BB272" s="290">
        <v>0</v>
      </c>
      <c r="BC272" s="290">
        <v>2693.6532984199998</v>
      </c>
      <c r="BD272" s="290"/>
      <c r="BE272" s="290">
        <v>61959.514867279999</v>
      </c>
      <c r="BF272" s="290">
        <v>0</v>
      </c>
      <c r="BG272" s="290">
        <v>1443</v>
      </c>
      <c r="BH272" s="290">
        <v>500</v>
      </c>
      <c r="BI272" s="290">
        <v>473</v>
      </c>
      <c r="BJ272" s="290">
        <v>26</v>
      </c>
      <c r="BK272" s="290">
        <v>56</v>
      </c>
      <c r="BL272" s="290">
        <v>0</v>
      </c>
      <c r="BM272" s="290">
        <v>0</v>
      </c>
      <c r="BN272" s="290">
        <v>35</v>
      </c>
      <c r="BO272" s="290">
        <v>-12</v>
      </c>
      <c r="BP272" s="290">
        <v>165</v>
      </c>
      <c r="BQ272" s="290">
        <v>330</v>
      </c>
      <c r="BR272" s="290">
        <v>250</v>
      </c>
      <c r="BS272" s="290">
        <v>38</v>
      </c>
      <c r="BT272" s="290">
        <v>0</v>
      </c>
      <c r="BU272" s="290">
        <v>0</v>
      </c>
      <c r="BV272" s="290">
        <v>32</v>
      </c>
      <c r="BW272" s="290">
        <v>0</v>
      </c>
      <c r="BX272" s="290">
        <v>0</v>
      </c>
      <c r="BY272" s="290">
        <v>189</v>
      </c>
      <c r="BZ272" s="290">
        <v>400</v>
      </c>
      <c r="CA272" s="290">
        <v>100.651</v>
      </c>
      <c r="CB272" s="290">
        <v>29</v>
      </c>
      <c r="CC272" s="290">
        <v>0</v>
      </c>
      <c r="CD272" s="290">
        <v>29</v>
      </c>
      <c r="CE272" s="290">
        <v>87823.733999999997</v>
      </c>
      <c r="CF272" s="290">
        <v>0</v>
      </c>
      <c r="CG272" s="290">
        <v>0</v>
      </c>
      <c r="CH272" s="290">
        <v>0</v>
      </c>
      <c r="CI272" s="290">
        <v>0</v>
      </c>
      <c r="CJ272" s="290"/>
    </row>
    <row r="273" spans="1:88" ht="13">
      <c r="A273" s="1">
        <v>4642</v>
      </c>
      <c r="B273" s="2" t="s">
        <v>68</v>
      </c>
      <c r="C273" s="289">
        <v>2129</v>
      </c>
      <c r="D273" s="290">
        <v>35</v>
      </c>
      <c r="E273" s="290">
        <v>70</v>
      </c>
      <c r="F273" s="290">
        <v>236</v>
      </c>
      <c r="G273" s="290">
        <v>187</v>
      </c>
      <c r="H273" s="290">
        <v>1144</v>
      </c>
      <c r="I273" s="290">
        <v>334</v>
      </c>
      <c r="J273" s="290">
        <v>101</v>
      </c>
      <c r="K273" s="290">
        <v>26</v>
      </c>
      <c r="L273" s="290">
        <v>17</v>
      </c>
      <c r="M273" s="290">
        <v>193</v>
      </c>
      <c r="N273" s="290">
        <v>19</v>
      </c>
      <c r="O273" s="290">
        <v>30</v>
      </c>
      <c r="P273" s="624">
        <v>15033.466</v>
      </c>
      <c r="Q273" s="624">
        <v>7874.0983333300001</v>
      </c>
      <c r="R273" s="1039">
        <v>5</v>
      </c>
      <c r="S273" s="290">
        <v>0</v>
      </c>
      <c r="T273" s="290">
        <v>194</v>
      </c>
      <c r="U273" s="958">
        <v>2.2020866896412935E-3</v>
      </c>
      <c r="V273" s="290">
        <v>1247.5177607400001</v>
      </c>
      <c r="W273" s="765">
        <v>1</v>
      </c>
      <c r="X273" s="290">
        <v>0</v>
      </c>
      <c r="Y273" s="290"/>
      <c r="Z273" s="290">
        <v>81046.403000000006</v>
      </c>
      <c r="AA273" s="290">
        <v>0</v>
      </c>
      <c r="AB273" s="290">
        <v>30</v>
      </c>
      <c r="AC273" s="290">
        <v>116</v>
      </c>
      <c r="AD273" s="290">
        <v>59</v>
      </c>
      <c r="AE273" s="290">
        <v>0</v>
      </c>
      <c r="AF273" s="290">
        <v>0</v>
      </c>
      <c r="AG273" s="290">
        <v>2133</v>
      </c>
      <c r="AH273" s="290">
        <v>330</v>
      </c>
      <c r="AI273" s="290">
        <v>0</v>
      </c>
      <c r="AJ273" s="290">
        <v>0</v>
      </c>
      <c r="AK273" s="290">
        <v>0</v>
      </c>
      <c r="AL273" s="290">
        <v>0</v>
      </c>
      <c r="AM273" s="957">
        <v>2.8099889999999999E-2</v>
      </c>
      <c r="AN273" s="290">
        <v>0</v>
      </c>
      <c r="AO273" s="290">
        <v>-624.42808766999997</v>
      </c>
      <c r="AP273" s="290">
        <v>0</v>
      </c>
      <c r="AQ273" s="290">
        <v>0</v>
      </c>
      <c r="AR273" s="290">
        <v>-80.555925759999994</v>
      </c>
      <c r="AS273" s="290">
        <v>186.15649999999999</v>
      </c>
      <c r="AT273" s="290">
        <v>98</v>
      </c>
      <c r="AU273" s="290">
        <v>18</v>
      </c>
      <c r="AV273" s="766">
        <v>81808</v>
      </c>
      <c r="AW273" s="290">
        <v>250</v>
      </c>
      <c r="AX273" s="766">
        <v>15.208349999999999</v>
      </c>
      <c r="AY273" s="290">
        <v>491</v>
      </c>
      <c r="AZ273" s="290">
        <v>72</v>
      </c>
      <c r="BA273" s="290">
        <v>39</v>
      </c>
      <c r="BB273" s="290">
        <v>6034</v>
      </c>
      <c r="BC273" s="290">
        <v>3470.2141526599999</v>
      </c>
      <c r="BD273" s="290"/>
      <c r="BE273" s="290">
        <v>78015.766035270004</v>
      </c>
      <c r="BF273" s="290">
        <v>0</v>
      </c>
      <c r="BG273" s="290">
        <v>1746</v>
      </c>
      <c r="BH273" s="290">
        <v>500</v>
      </c>
      <c r="BI273" s="290">
        <v>505</v>
      </c>
      <c r="BJ273" s="290">
        <v>27</v>
      </c>
      <c r="BK273" s="290">
        <v>67</v>
      </c>
      <c r="BL273" s="290">
        <v>0</v>
      </c>
      <c r="BM273" s="290">
        <v>0</v>
      </c>
      <c r="BN273" s="290">
        <v>42</v>
      </c>
      <c r="BO273" s="290">
        <v>-15</v>
      </c>
      <c r="BP273" s="290">
        <v>197</v>
      </c>
      <c r="BQ273" s="290">
        <v>395</v>
      </c>
      <c r="BR273" s="290">
        <v>299</v>
      </c>
      <c r="BS273" s="290">
        <v>45</v>
      </c>
      <c r="BT273" s="290">
        <v>0</v>
      </c>
      <c r="BU273" s="290">
        <v>0</v>
      </c>
      <c r="BV273" s="290">
        <v>38</v>
      </c>
      <c r="BW273" s="290">
        <v>0</v>
      </c>
      <c r="BX273" s="290">
        <v>0</v>
      </c>
      <c r="BY273" s="290">
        <v>253</v>
      </c>
      <c r="BZ273" s="290">
        <v>450</v>
      </c>
      <c r="CA273" s="290">
        <v>119.27</v>
      </c>
      <c r="CB273" s="290">
        <v>32</v>
      </c>
      <c r="CC273" s="290">
        <v>0</v>
      </c>
      <c r="CD273" s="290">
        <v>37</v>
      </c>
      <c r="CE273" s="290">
        <v>81046.403000000006</v>
      </c>
      <c r="CF273" s="290">
        <v>0</v>
      </c>
      <c r="CG273" s="290">
        <v>0</v>
      </c>
      <c r="CH273" s="290">
        <v>0</v>
      </c>
      <c r="CI273" s="290">
        <v>0</v>
      </c>
      <c r="CJ273" s="290"/>
    </row>
    <row r="274" spans="1:88" ht="13">
      <c r="A274" s="1">
        <v>4643</v>
      </c>
      <c r="B274" s="2" t="s">
        <v>69</v>
      </c>
      <c r="C274" s="289">
        <v>5170</v>
      </c>
      <c r="D274" s="290">
        <v>84</v>
      </c>
      <c r="E274" s="290">
        <v>189</v>
      </c>
      <c r="F274" s="290">
        <v>539</v>
      </c>
      <c r="G274" s="290">
        <v>407</v>
      </c>
      <c r="H274" s="290">
        <v>2867</v>
      </c>
      <c r="I274" s="290">
        <v>729</v>
      </c>
      <c r="J274" s="290">
        <v>289</v>
      </c>
      <c r="K274" s="290">
        <v>74</v>
      </c>
      <c r="L274" s="290">
        <v>42</v>
      </c>
      <c r="M274" s="290">
        <v>492</v>
      </c>
      <c r="N274" s="290">
        <v>46</v>
      </c>
      <c r="O274" s="290">
        <v>38</v>
      </c>
      <c r="P274" s="624">
        <v>40585.72</v>
      </c>
      <c r="Q274" s="624">
        <v>6904.3866666699996</v>
      </c>
      <c r="R274" s="1039">
        <v>32</v>
      </c>
      <c r="S274" s="290">
        <v>0</v>
      </c>
      <c r="T274" s="290">
        <v>488</v>
      </c>
      <c r="U274" s="958">
        <v>4.1609942869369335E-4</v>
      </c>
      <c r="V274" s="290">
        <v>2857.4284660399999</v>
      </c>
      <c r="W274" s="765">
        <v>0.69407370000000002</v>
      </c>
      <c r="X274" s="290">
        <v>0</v>
      </c>
      <c r="Y274" s="290"/>
      <c r="Z274" s="290">
        <v>200074.785</v>
      </c>
      <c r="AA274" s="290">
        <v>0</v>
      </c>
      <c r="AB274" s="290">
        <v>95</v>
      </c>
      <c r="AC274" s="290">
        <v>237</v>
      </c>
      <c r="AD274" s="290">
        <v>111</v>
      </c>
      <c r="AE274" s="290">
        <v>0</v>
      </c>
      <c r="AF274" s="290">
        <v>0</v>
      </c>
      <c r="AG274" s="290">
        <v>5178</v>
      </c>
      <c r="AH274" s="290">
        <v>767</v>
      </c>
      <c r="AI274" s="290">
        <v>1500</v>
      </c>
      <c r="AJ274" s="290">
        <v>0</v>
      </c>
      <c r="AK274" s="290">
        <v>7378</v>
      </c>
      <c r="AL274" s="290">
        <v>0</v>
      </c>
      <c r="AM274" s="957">
        <v>1.9885449999999999E-2</v>
      </c>
      <c r="AN274" s="290">
        <v>7450</v>
      </c>
      <c r="AO274" s="290">
        <v>-1430.24704645</v>
      </c>
      <c r="AP274" s="290">
        <v>0</v>
      </c>
      <c r="AQ274" s="290">
        <v>0</v>
      </c>
      <c r="AR274" s="290">
        <v>-195.5548915</v>
      </c>
      <c r="AS274" s="290">
        <v>363.54250000000002</v>
      </c>
      <c r="AT274" s="290">
        <v>196</v>
      </c>
      <c r="AU274" s="290">
        <v>24</v>
      </c>
      <c r="AV274" s="766">
        <v>172310</v>
      </c>
      <c r="AW274" s="290">
        <v>700</v>
      </c>
      <c r="AX274" s="766">
        <v>38.916649999999997</v>
      </c>
      <c r="AY274" s="290">
        <v>943</v>
      </c>
      <c r="AZ274" s="290">
        <v>114</v>
      </c>
      <c r="BA274" s="290">
        <v>85</v>
      </c>
      <c r="BB274" s="290">
        <v>0</v>
      </c>
      <c r="BC274" s="290">
        <v>12580.925892970001</v>
      </c>
      <c r="BD274" s="290"/>
      <c r="BE274" s="290">
        <v>170433.23161871999</v>
      </c>
      <c r="BF274" s="290">
        <v>0</v>
      </c>
      <c r="BG274" s="290">
        <v>4239</v>
      </c>
      <c r="BH274" s="290">
        <v>1000</v>
      </c>
      <c r="BI274" s="290">
        <v>8493</v>
      </c>
      <c r="BJ274" s="290">
        <v>65</v>
      </c>
      <c r="BK274" s="290">
        <v>173</v>
      </c>
      <c r="BL274" s="290">
        <v>0</v>
      </c>
      <c r="BM274" s="290">
        <v>0</v>
      </c>
      <c r="BN274" s="290">
        <v>108</v>
      </c>
      <c r="BO274" s="290">
        <v>-36</v>
      </c>
      <c r="BP274" s="290">
        <v>479</v>
      </c>
      <c r="BQ274" s="290">
        <v>959</v>
      </c>
      <c r="BR274" s="290">
        <v>726</v>
      </c>
      <c r="BS274" s="290">
        <v>84</v>
      </c>
      <c r="BT274" s="290">
        <v>0</v>
      </c>
      <c r="BU274" s="290">
        <v>0</v>
      </c>
      <c r="BV274" s="290">
        <v>99</v>
      </c>
      <c r="BW274" s="290">
        <v>0</v>
      </c>
      <c r="BX274" s="290">
        <v>0</v>
      </c>
      <c r="BY274" s="290">
        <v>600</v>
      </c>
      <c r="BZ274" s="290">
        <v>1050</v>
      </c>
      <c r="CA274" s="290">
        <v>273.18700000000001</v>
      </c>
      <c r="CB274" s="290">
        <v>54</v>
      </c>
      <c r="CC274" s="290">
        <v>0</v>
      </c>
      <c r="CD274" s="290">
        <v>88</v>
      </c>
      <c r="CE274" s="290">
        <v>200074.785</v>
      </c>
      <c r="CF274" s="290">
        <v>9387.5512383866062</v>
      </c>
      <c r="CG274" s="290">
        <v>11323.587939078709</v>
      </c>
      <c r="CH274" s="290">
        <v>13247.492037710173</v>
      </c>
      <c r="CI274" s="290">
        <v>15162.30212993808</v>
      </c>
      <c r="CJ274" s="290"/>
    </row>
    <row r="275" spans="1:88" ht="13">
      <c r="A275" s="1">
        <v>4644</v>
      </c>
      <c r="B275" s="2" t="s">
        <v>70</v>
      </c>
      <c r="C275" s="289">
        <v>5189</v>
      </c>
      <c r="D275" s="290">
        <v>112</v>
      </c>
      <c r="E275" s="290">
        <v>249</v>
      </c>
      <c r="F275" s="290">
        <v>640</v>
      </c>
      <c r="G275" s="290">
        <v>460</v>
      </c>
      <c r="H275" s="290">
        <v>2731</v>
      </c>
      <c r="I275" s="290">
        <v>673</v>
      </c>
      <c r="J275" s="290">
        <v>244</v>
      </c>
      <c r="K275" s="290">
        <v>68</v>
      </c>
      <c r="L275" s="290">
        <v>36</v>
      </c>
      <c r="M275" s="290">
        <v>434</v>
      </c>
      <c r="N275" s="290">
        <v>34</v>
      </c>
      <c r="O275" s="290">
        <v>48</v>
      </c>
      <c r="P275" s="624">
        <v>47493.452333330002</v>
      </c>
      <c r="Q275" s="624">
        <v>18008.111333330002</v>
      </c>
      <c r="R275" s="1039">
        <v>34</v>
      </c>
      <c r="S275" s="290">
        <v>0</v>
      </c>
      <c r="T275" s="290">
        <v>388</v>
      </c>
      <c r="U275" s="958">
        <v>5.6257151278779928E-3</v>
      </c>
      <c r="V275" s="290">
        <v>3047.63940654</v>
      </c>
      <c r="W275" s="765">
        <v>0.85524728999999999</v>
      </c>
      <c r="X275" s="290">
        <v>0</v>
      </c>
      <c r="Y275" s="290"/>
      <c r="Z275" s="290">
        <v>176132.736</v>
      </c>
      <c r="AA275" s="290">
        <v>0</v>
      </c>
      <c r="AB275" s="290">
        <v>91</v>
      </c>
      <c r="AC275" s="290">
        <v>287</v>
      </c>
      <c r="AD275" s="290">
        <v>118</v>
      </c>
      <c r="AE275" s="290">
        <v>0</v>
      </c>
      <c r="AF275" s="290">
        <v>0</v>
      </c>
      <c r="AG275" s="290">
        <v>5177</v>
      </c>
      <c r="AH275" s="290">
        <v>952</v>
      </c>
      <c r="AI275" s="290">
        <v>10</v>
      </c>
      <c r="AJ275" s="290">
        <v>0</v>
      </c>
      <c r="AK275" s="290">
        <v>0</v>
      </c>
      <c r="AL275" s="290">
        <v>0</v>
      </c>
      <c r="AM275" s="957">
        <v>2.9482850000000001E-2</v>
      </c>
      <c r="AN275" s="290">
        <v>2969</v>
      </c>
      <c r="AO275" s="290">
        <v>-1525.45455176</v>
      </c>
      <c r="AP275" s="290">
        <v>0</v>
      </c>
      <c r="AQ275" s="290">
        <v>0</v>
      </c>
      <c r="AR275" s="290">
        <v>-195.51712501</v>
      </c>
      <c r="AS275" s="290">
        <v>453.93200000000002</v>
      </c>
      <c r="AT275" s="290">
        <v>162</v>
      </c>
      <c r="AU275" s="290">
        <v>24</v>
      </c>
      <c r="AV275" s="766">
        <v>184462</v>
      </c>
      <c r="AW275" s="290">
        <v>700</v>
      </c>
      <c r="AX275" s="766">
        <v>27.625</v>
      </c>
      <c r="AY275" s="290">
        <v>1143</v>
      </c>
      <c r="AZ275" s="290">
        <v>203</v>
      </c>
      <c r="BA275" s="290">
        <v>76</v>
      </c>
      <c r="BB275" s="290">
        <v>0</v>
      </c>
      <c r="BC275" s="290">
        <v>8182.7024359699999</v>
      </c>
      <c r="BD275" s="290"/>
      <c r="BE275" s="290">
        <v>180008.94610591</v>
      </c>
      <c r="BF275" s="290">
        <v>0</v>
      </c>
      <c r="BG275" s="290">
        <v>4238</v>
      </c>
      <c r="BH275" s="290">
        <v>1000</v>
      </c>
      <c r="BI275" s="290">
        <v>1357</v>
      </c>
      <c r="BJ275" s="290">
        <v>62</v>
      </c>
      <c r="BK275" s="290">
        <v>212</v>
      </c>
      <c r="BL275" s="290">
        <v>0</v>
      </c>
      <c r="BM275" s="290">
        <v>0</v>
      </c>
      <c r="BN275" s="290">
        <v>133</v>
      </c>
      <c r="BO275" s="290">
        <v>-32</v>
      </c>
      <c r="BP275" s="290">
        <v>481</v>
      </c>
      <c r="BQ275" s="290">
        <v>962</v>
      </c>
      <c r="BR275" s="290">
        <v>729</v>
      </c>
      <c r="BS275" s="290">
        <v>89</v>
      </c>
      <c r="BT275" s="290">
        <v>0</v>
      </c>
      <c r="BU275" s="290">
        <v>0</v>
      </c>
      <c r="BV275" s="290">
        <v>122</v>
      </c>
      <c r="BW275" s="290">
        <v>0</v>
      </c>
      <c r="BX275" s="290">
        <v>0</v>
      </c>
      <c r="BY275" s="290">
        <v>595</v>
      </c>
      <c r="BZ275" s="290">
        <v>450</v>
      </c>
      <c r="CA275" s="290">
        <v>291.37200000000001</v>
      </c>
      <c r="CB275" s="290">
        <v>56</v>
      </c>
      <c r="CC275" s="290">
        <v>0</v>
      </c>
      <c r="CD275" s="290">
        <v>78</v>
      </c>
      <c r="CE275" s="290">
        <v>176132.736</v>
      </c>
      <c r="CF275" s="290">
        <v>0</v>
      </c>
      <c r="CG275" s="290">
        <v>0</v>
      </c>
      <c r="CH275" s="290">
        <v>0</v>
      </c>
      <c r="CI275" s="290">
        <v>0</v>
      </c>
      <c r="CJ275" s="290"/>
    </row>
    <row r="276" spans="1:88" ht="13">
      <c r="A276" s="1">
        <v>4645</v>
      </c>
      <c r="B276" s="2" t="s">
        <v>71</v>
      </c>
      <c r="C276" s="289">
        <v>2991</v>
      </c>
      <c r="D276" s="290">
        <v>53</v>
      </c>
      <c r="E276" s="290">
        <v>122</v>
      </c>
      <c r="F276" s="290">
        <v>360</v>
      </c>
      <c r="G276" s="290">
        <v>251</v>
      </c>
      <c r="H276" s="290">
        <v>1511</v>
      </c>
      <c r="I276" s="290">
        <v>474</v>
      </c>
      <c r="J276" s="290">
        <v>194</v>
      </c>
      <c r="K276" s="290">
        <v>52</v>
      </c>
      <c r="L276" s="290">
        <v>25</v>
      </c>
      <c r="M276" s="290">
        <v>304</v>
      </c>
      <c r="N276" s="290">
        <v>3</v>
      </c>
      <c r="O276" s="290">
        <v>29</v>
      </c>
      <c r="P276" s="624">
        <v>59306.878666670003</v>
      </c>
      <c r="Q276" s="624">
        <v>14510.06866667</v>
      </c>
      <c r="R276" s="1039">
        <v>12</v>
      </c>
      <c r="S276" s="290">
        <v>0</v>
      </c>
      <c r="T276" s="290">
        <v>206</v>
      </c>
      <c r="U276" s="958">
        <v>2.5316095559681025E-3</v>
      </c>
      <c r="V276" s="290">
        <v>-2505.7523432399998</v>
      </c>
      <c r="W276" s="765">
        <v>1</v>
      </c>
      <c r="X276" s="290">
        <v>1200</v>
      </c>
      <c r="Y276" s="290"/>
      <c r="Z276" s="290">
        <v>93436.106</v>
      </c>
      <c r="AA276" s="290">
        <v>0</v>
      </c>
      <c r="AB276" s="290">
        <v>44</v>
      </c>
      <c r="AC276" s="290">
        <v>178</v>
      </c>
      <c r="AD276" s="290">
        <v>86</v>
      </c>
      <c r="AE276" s="290">
        <v>0</v>
      </c>
      <c r="AF276" s="290">
        <v>0</v>
      </c>
      <c r="AG276" s="290">
        <v>3017</v>
      </c>
      <c r="AH276" s="290">
        <v>517</v>
      </c>
      <c r="AI276" s="290">
        <v>20</v>
      </c>
      <c r="AJ276" s="290">
        <v>0</v>
      </c>
      <c r="AK276" s="290">
        <v>0</v>
      </c>
      <c r="AL276" s="290">
        <v>0</v>
      </c>
      <c r="AM276" s="957">
        <v>1.0939630000000001E-2</v>
      </c>
      <c r="AN276" s="290">
        <v>0</v>
      </c>
      <c r="AO276" s="290">
        <v>-965.75884406</v>
      </c>
      <c r="AP276" s="290">
        <v>0</v>
      </c>
      <c r="AQ276" s="290">
        <v>0</v>
      </c>
      <c r="AR276" s="290">
        <v>-113.94150399</v>
      </c>
      <c r="AS276" s="290">
        <v>266.245</v>
      </c>
      <c r="AT276" s="290">
        <v>87</v>
      </c>
      <c r="AU276" s="290">
        <v>12</v>
      </c>
      <c r="AV276" s="766">
        <v>126430</v>
      </c>
      <c r="AW276" s="290">
        <v>500</v>
      </c>
      <c r="AX276" s="766">
        <v>22.708300000000001</v>
      </c>
      <c r="AY276" s="290">
        <v>580</v>
      </c>
      <c r="AZ276" s="290">
        <v>95</v>
      </c>
      <c r="BA276" s="290">
        <v>58</v>
      </c>
      <c r="BB276" s="290">
        <v>6034</v>
      </c>
      <c r="BC276" s="290">
        <v>5129.1872138500003</v>
      </c>
      <c r="BD276" s="290"/>
      <c r="BE276" s="290">
        <v>123025.66416879999</v>
      </c>
      <c r="BF276" s="290">
        <v>0</v>
      </c>
      <c r="BG276" s="290">
        <v>2470</v>
      </c>
      <c r="BH276" s="290">
        <v>1000</v>
      </c>
      <c r="BI276" s="290">
        <v>781</v>
      </c>
      <c r="BJ276" s="290">
        <v>35</v>
      </c>
      <c r="BK276" s="290">
        <v>110</v>
      </c>
      <c r="BL276" s="290">
        <v>0</v>
      </c>
      <c r="BM276" s="290">
        <v>0</v>
      </c>
      <c r="BN276" s="290">
        <v>68</v>
      </c>
      <c r="BO276" s="290">
        <v>-16</v>
      </c>
      <c r="BP276" s="290">
        <v>277</v>
      </c>
      <c r="BQ276" s="290">
        <v>555</v>
      </c>
      <c r="BR276" s="290">
        <v>420</v>
      </c>
      <c r="BS276" s="290">
        <v>64</v>
      </c>
      <c r="BT276" s="290">
        <v>0</v>
      </c>
      <c r="BU276" s="290">
        <v>0</v>
      </c>
      <c r="BV276" s="290">
        <v>63</v>
      </c>
      <c r="BW276" s="290">
        <v>0</v>
      </c>
      <c r="BX276" s="290">
        <v>0</v>
      </c>
      <c r="BY276" s="290">
        <v>381</v>
      </c>
      <c r="BZ276" s="290">
        <v>350</v>
      </c>
      <c r="CA276" s="290">
        <v>184.46700000000001</v>
      </c>
      <c r="CB276" s="290">
        <v>40</v>
      </c>
      <c r="CC276" s="290">
        <v>0</v>
      </c>
      <c r="CD276" s="290">
        <v>39</v>
      </c>
      <c r="CE276" s="290">
        <v>93436.106</v>
      </c>
      <c r="CF276" s="290">
        <v>0</v>
      </c>
      <c r="CG276" s="290">
        <v>0</v>
      </c>
      <c r="CH276" s="290">
        <v>0</v>
      </c>
      <c r="CI276" s="290">
        <v>0</v>
      </c>
      <c r="CJ276" s="290"/>
    </row>
    <row r="277" spans="1:88" ht="13">
      <c r="A277" s="1">
        <v>4646</v>
      </c>
      <c r="B277" s="2" t="s">
        <v>72</v>
      </c>
      <c r="C277" s="289">
        <v>2885</v>
      </c>
      <c r="D277" s="290">
        <v>50</v>
      </c>
      <c r="E277" s="290">
        <v>112</v>
      </c>
      <c r="F277" s="290">
        <v>361</v>
      </c>
      <c r="G277" s="290">
        <v>351</v>
      </c>
      <c r="H277" s="290">
        <v>1357</v>
      </c>
      <c r="I277" s="290">
        <v>419</v>
      </c>
      <c r="J277" s="290">
        <v>143</v>
      </c>
      <c r="K277" s="290">
        <v>25</v>
      </c>
      <c r="L277" s="290">
        <v>25</v>
      </c>
      <c r="M277" s="290">
        <v>259</v>
      </c>
      <c r="N277" s="290">
        <v>8</v>
      </c>
      <c r="O277" s="290">
        <v>31</v>
      </c>
      <c r="P277" s="624">
        <v>34412.491999999998</v>
      </c>
      <c r="Q277" s="624">
        <v>14130.648999999999</v>
      </c>
      <c r="R277" s="1039">
        <v>33</v>
      </c>
      <c r="S277" s="290">
        <v>0</v>
      </c>
      <c r="T277" s="290">
        <v>194</v>
      </c>
      <c r="U277" s="958">
        <v>2.5266039735606319E-3</v>
      </c>
      <c r="V277" s="290">
        <v>1863.57253294</v>
      </c>
      <c r="W277" s="765">
        <v>0.90482119999999999</v>
      </c>
      <c r="X277" s="290">
        <v>1500</v>
      </c>
      <c r="Y277" s="290"/>
      <c r="Z277" s="290">
        <v>82368.853000000003</v>
      </c>
      <c r="AA277" s="290">
        <v>555</v>
      </c>
      <c r="AB277" s="290">
        <v>48</v>
      </c>
      <c r="AC277" s="290">
        <v>171</v>
      </c>
      <c r="AD277" s="290">
        <v>76</v>
      </c>
      <c r="AE277" s="290">
        <v>0</v>
      </c>
      <c r="AF277" s="290">
        <v>0</v>
      </c>
      <c r="AG277" s="290">
        <v>2818</v>
      </c>
      <c r="AH277" s="290">
        <v>580</v>
      </c>
      <c r="AI277" s="290">
        <v>0</v>
      </c>
      <c r="AJ277" s="290">
        <v>0</v>
      </c>
      <c r="AK277" s="290">
        <v>0</v>
      </c>
      <c r="AL277" s="290">
        <v>0</v>
      </c>
      <c r="AM277" s="957">
        <v>1.329732E-2</v>
      </c>
      <c r="AN277" s="290">
        <v>0</v>
      </c>
      <c r="AO277" s="290">
        <v>-932.78594468999995</v>
      </c>
      <c r="AP277" s="290">
        <v>0</v>
      </c>
      <c r="AQ277" s="290">
        <v>0</v>
      </c>
      <c r="AR277" s="290">
        <v>-106.42597223999999</v>
      </c>
      <c r="AS277" s="290">
        <v>263.57900000000001</v>
      </c>
      <c r="AT277" s="290">
        <v>72</v>
      </c>
      <c r="AU277" s="290">
        <v>10</v>
      </c>
      <c r="AV277" s="766">
        <v>129224</v>
      </c>
      <c r="AW277" s="290">
        <v>350</v>
      </c>
      <c r="AX277" s="766">
        <v>24.958300000000001</v>
      </c>
      <c r="AY277" s="290">
        <v>644</v>
      </c>
      <c r="AZ277" s="290">
        <v>145</v>
      </c>
      <c r="BA277" s="290">
        <v>42</v>
      </c>
      <c r="BB277" s="290">
        <v>4225</v>
      </c>
      <c r="BC277" s="290">
        <v>4992.0632721900001</v>
      </c>
      <c r="BD277" s="290"/>
      <c r="BE277" s="290">
        <v>124949.01064108001</v>
      </c>
      <c r="BF277" s="290">
        <v>0</v>
      </c>
      <c r="BG277" s="290">
        <v>2307</v>
      </c>
      <c r="BH277" s="290">
        <v>500</v>
      </c>
      <c r="BI277" s="290">
        <v>827</v>
      </c>
      <c r="BJ277" s="290">
        <v>32</v>
      </c>
      <c r="BK277" s="290">
        <v>105</v>
      </c>
      <c r="BL277" s="290">
        <v>0</v>
      </c>
      <c r="BM277" s="290">
        <v>0</v>
      </c>
      <c r="BN277" s="290">
        <v>66</v>
      </c>
      <c r="BO277" s="290">
        <v>-16</v>
      </c>
      <c r="BP277" s="290">
        <v>268</v>
      </c>
      <c r="BQ277" s="290">
        <v>535</v>
      </c>
      <c r="BR277" s="290">
        <v>405</v>
      </c>
      <c r="BS277" s="290">
        <v>57</v>
      </c>
      <c r="BT277" s="290">
        <v>0</v>
      </c>
      <c r="BU277" s="290">
        <v>0</v>
      </c>
      <c r="BV277" s="290">
        <v>60</v>
      </c>
      <c r="BW277" s="290">
        <v>0</v>
      </c>
      <c r="BX277" s="290">
        <v>0</v>
      </c>
      <c r="BY277" s="290">
        <v>346</v>
      </c>
      <c r="BZ277" s="290">
        <v>200</v>
      </c>
      <c r="CA277" s="290">
        <v>178.16900000000001</v>
      </c>
      <c r="CB277" s="290">
        <v>37</v>
      </c>
      <c r="CC277" s="290">
        <v>0</v>
      </c>
      <c r="CD277" s="290">
        <v>39</v>
      </c>
      <c r="CE277" s="290">
        <v>82368.853000000003</v>
      </c>
      <c r="CF277" s="290">
        <v>0</v>
      </c>
      <c r="CG277" s="290">
        <v>0</v>
      </c>
      <c r="CH277" s="290">
        <v>0</v>
      </c>
      <c r="CI277" s="290">
        <v>0</v>
      </c>
      <c r="CJ277" s="290"/>
    </row>
    <row r="278" spans="1:88" ht="13">
      <c r="A278" s="1">
        <v>4647</v>
      </c>
      <c r="B278" s="2" t="s">
        <v>1638</v>
      </c>
      <c r="C278" s="289">
        <v>22020</v>
      </c>
      <c r="D278" s="290">
        <v>493</v>
      </c>
      <c r="E278" s="290">
        <v>1042</v>
      </c>
      <c r="F278" s="290">
        <v>3053</v>
      </c>
      <c r="G278" s="290">
        <v>2093</v>
      </c>
      <c r="H278" s="290">
        <v>12132</v>
      </c>
      <c r="I278" s="290">
        <v>2295</v>
      </c>
      <c r="J278" s="290">
        <v>729</v>
      </c>
      <c r="K278" s="290">
        <v>222</v>
      </c>
      <c r="L278" s="290">
        <v>151</v>
      </c>
      <c r="M278" s="290">
        <v>1293</v>
      </c>
      <c r="N278" s="290">
        <v>312</v>
      </c>
      <c r="O278" s="290">
        <v>214</v>
      </c>
      <c r="P278" s="624">
        <v>137194.28733332999</v>
      </c>
      <c r="Q278" s="624">
        <v>61109.848333330003</v>
      </c>
      <c r="R278" s="1039">
        <v>100</v>
      </c>
      <c r="S278" s="290">
        <v>0</v>
      </c>
      <c r="T278" s="290">
        <v>1817</v>
      </c>
      <c r="U278" s="958">
        <v>1.1870802477490351E-2</v>
      </c>
      <c r="V278" s="290">
        <v>11732.81723379</v>
      </c>
      <c r="W278" s="765">
        <v>0.67422857000000003</v>
      </c>
      <c r="X278" s="290">
        <v>12100</v>
      </c>
      <c r="Y278" s="290"/>
      <c r="Z278" s="290">
        <v>730307.08600000001</v>
      </c>
      <c r="AA278" s="290">
        <v>0</v>
      </c>
      <c r="AB278" s="290">
        <v>375</v>
      </c>
      <c r="AC278" s="290">
        <v>1292</v>
      </c>
      <c r="AD278" s="290">
        <v>419</v>
      </c>
      <c r="AE278" s="290">
        <v>0</v>
      </c>
      <c r="AF278" s="290">
        <v>64132</v>
      </c>
      <c r="AG278" s="290">
        <v>22059</v>
      </c>
      <c r="AH278" s="290">
        <v>4326</v>
      </c>
      <c r="AI278" s="290">
        <v>5020</v>
      </c>
      <c r="AJ278" s="290">
        <v>0</v>
      </c>
      <c r="AK278" s="290">
        <v>0</v>
      </c>
      <c r="AL278" s="290">
        <v>0</v>
      </c>
      <c r="AM278" s="957">
        <v>0.15598503</v>
      </c>
      <c r="AN278" s="290">
        <v>0</v>
      </c>
      <c r="AO278" s="290">
        <v>-5872.7024646700002</v>
      </c>
      <c r="AP278" s="290">
        <v>0</v>
      </c>
      <c r="AQ278" s="290">
        <v>0</v>
      </c>
      <c r="AR278" s="290">
        <v>-833.09102968000002</v>
      </c>
      <c r="AS278" s="290">
        <v>2035.3325</v>
      </c>
      <c r="AT278" s="290">
        <v>811</v>
      </c>
      <c r="AU278" s="290">
        <v>127</v>
      </c>
      <c r="AV278" s="766">
        <v>726684</v>
      </c>
      <c r="AW278" s="290">
        <v>4000</v>
      </c>
      <c r="AX278" s="766">
        <v>186.87504999999999</v>
      </c>
      <c r="AY278" s="290">
        <v>5660</v>
      </c>
      <c r="AZ278" s="290">
        <v>735</v>
      </c>
      <c r="BA278" s="290">
        <v>447</v>
      </c>
      <c r="BB278" s="290">
        <v>0</v>
      </c>
      <c r="BC278" s="290">
        <v>95807.329051759996</v>
      </c>
      <c r="BD278" s="290"/>
      <c r="BE278" s="290">
        <v>696329.35679620004</v>
      </c>
      <c r="BF278" s="290">
        <v>0</v>
      </c>
      <c r="BG278" s="290">
        <v>18058</v>
      </c>
      <c r="BH278" s="290">
        <v>1000</v>
      </c>
      <c r="BI278" s="290">
        <v>70169</v>
      </c>
      <c r="BJ278" s="290">
        <v>258</v>
      </c>
      <c r="BK278" s="290">
        <v>943</v>
      </c>
      <c r="BL278" s="290">
        <v>0</v>
      </c>
      <c r="BM278" s="290">
        <v>4886</v>
      </c>
      <c r="BN278" s="290">
        <v>590</v>
      </c>
      <c r="BO278" s="290">
        <v>-151</v>
      </c>
      <c r="BP278" s="290">
        <v>2042</v>
      </c>
      <c r="BQ278" s="290">
        <v>4084</v>
      </c>
      <c r="BR278" s="290">
        <v>3092</v>
      </c>
      <c r="BS278" s="290">
        <v>315</v>
      </c>
      <c r="BT278" s="290">
        <v>0</v>
      </c>
      <c r="BU278" s="290">
        <v>0</v>
      </c>
      <c r="BV278" s="290">
        <v>543</v>
      </c>
      <c r="BW278" s="290">
        <v>0</v>
      </c>
      <c r="BX278" s="290">
        <v>0</v>
      </c>
      <c r="BY278" s="290">
        <v>2164</v>
      </c>
      <c r="BZ278" s="290">
        <v>2400</v>
      </c>
      <c r="CA278" s="290">
        <v>1121.7270000000001</v>
      </c>
      <c r="CB278" s="290">
        <v>199</v>
      </c>
      <c r="CC278" s="290">
        <v>2</v>
      </c>
      <c r="CD278" s="290">
        <v>374</v>
      </c>
      <c r="CE278" s="290">
        <v>730307.08600000001</v>
      </c>
      <c r="CF278" s="290">
        <v>0</v>
      </c>
      <c r="CG278" s="290">
        <v>0</v>
      </c>
      <c r="CH278" s="290">
        <v>0</v>
      </c>
      <c r="CI278" s="290">
        <v>0</v>
      </c>
      <c r="CJ278" s="290"/>
    </row>
    <row r="279" spans="1:88" ht="13">
      <c r="A279" s="1">
        <v>4648</v>
      </c>
      <c r="B279" s="2" t="s">
        <v>77</v>
      </c>
      <c r="C279" s="289">
        <v>3597</v>
      </c>
      <c r="D279" s="290">
        <v>65</v>
      </c>
      <c r="E279" s="290">
        <v>101</v>
      </c>
      <c r="F279" s="290">
        <v>416</v>
      </c>
      <c r="G279" s="290">
        <v>337</v>
      </c>
      <c r="H279" s="290">
        <v>1828</v>
      </c>
      <c r="I279" s="290">
        <v>539</v>
      </c>
      <c r="J279" s="290">
        <v>243</v>
      </c>
      <c r="K279" s="290">
        <v>75</v>
      </c>
      <c r="L279" s="290">
        <v>28</v>
      </c>
      <c r="M279" s="290">
        <v>379</v>
      </c>
      <c r="N279" s="290">
        <v>60</v>
      </c>
      <c r="O279" s="290">
        <v>63</v>
      </c>
      <c r="P279" s="624">
        <v>109045.94066666999</v>
      </c>
      <c r="Q279" s="624">
        <v>14209.78166667</v>
      </c>
      <c r="R279" s="1039">
        <v>18</v>
      </c>
      <c r="S279" s="290">
        <v>0</v>
      </c>
      <c r="T279" s="290">
        <v>252</v>
      </c>
      <c r="U279" s="958">
        <v>2.3766682112601901E-3</v>
      </c>
      <c r="V279" s="290">
        <v>2310.55741283</v>
      </c>
      <c r="W279" s="765">
        <v>1</v>
      </c>
      <c r="X279" s="290">
        <v>0</v>
      </c>
      <c r="Y279" s="290"/>
      <c r="Z279" s="290">
        <v>121858.333</v>
      </c>
      <c r="AA279" s="290">
        <v>0</v>
      </c>
      <c r="AB279" s="290">
        <v>67</v>
      </c>
      <c r="AC279" s="290">
        <v>216</v>
      </c>
      <c r="AD279" s="290">
        <v>104</v>
      </c>
      <c r="AE279" s="290">
        <v>0</v>
      </c>
      <c r="AF279" s="290">
        <v>0</v>
      </c>
      <c r="AG279" s="290">
        <v>3604</v>
      </c>
      <c r="AH279" s="290">
        <v>585</v>
      </c>
      <c r="AI279" s="290">
        <v>0</v>
      </c>
      <c r="AJ279" s="290">
        <v>0</v>
      </c>
      <c r="AK279" s="290">
        <v>529</v>
      </c>
      <c r="AL279" s="290">
        <v>0</v>
      </c>
      <c r="AM279" s="957">
        <v>3.8189649999999999E-2</v>
      </c>
      <c r="AN279" s="290">
        <v>5600</v>
      </c>
      <c r="AO279" s="290">
        <v>-1156.51816121</v>
      </c>
      <c r="AP279" s="290">
        <v>0</v>
      </c>
      <c r="AQ279" s="290">
        <v>0</v>
      </c>
      <c r="AR279" s="290">
        <v>129.33517083999999</v>
      </c>
      <c r="AS279" s="290">
        <v>376.03250000000003</v>
      </c>
      <c r="AT279" s="290">
        <v>104</v>
      </c>
      <c r="AU279" s="290">
        <v>31</v>
      </c>
      <c r="AV279" s="766">
        <v>158630</v>
      </c>
      <c r="AW279" s="290">
        <v>750</v>
      </c>
      <c r="AX279" s="766">
        <v>28.166650000000001</v>
      </c>
      <c r="AY279" s="290">
        <v>575</v>
      </c>
      <c r="AZ279" s="290">
        <v>156</v>
      </c>
      <c r="BA279" s="290">
        <v>45</v>
      </c>
      <c r="BB279" s="290">
        <v>0</v>
      </c>
      <c r="BC279" s="290">
        <v>6697.7865369600004</v>
      </c>
      <c r="BD279" s="290"/>
      <c r="BE279" s="290">
        <v>150354.81511699001</v>
      </c>
      <c r="BF279" s="290">
        <v>0</v>
      </c>
      <c r="BG279" s="290">
        <v>2950</v>
      </c>
      <c r="BH279" s="290">
        <v>1000</v>
      </c>
      <c r="BI279" s="290">
        <v>1434</v>
      </c>
      <c r="BJ279" s="290">
        <v>43</v>
      </c>
      <c r="BK279" s="290">
        <v>98</v>
      </c>
      <c r="BL279" s="290">
        <v>0</v>
      </c>
      <c r="BM279" s="290">
        <v>0</v>
      </c>
      <c r="BN279" s="290">
        <v>61</v>
      </c>
      <c r="BO279" s="290">
        <v>-24</v>
      </c>
      <c r="BP279" s="290">
        <v>334</v>
      </c>
      <c r="BQ279" s="290">
        <v>667</v>
      </c>
      <c r="BR279" s="290">
        <v>505</v>
      </c>
      <c r="BS279" s="290">
        <v>78</v>
      </c>
      <c r="BT279" s="290">
        <v>0</v>
      </c>
      <c r="BU279" s="290">
        <v>0</v>
      </c>
      <c r="BV279" s="290">
        <v>56</v>
      </c>
      <c r="BW279" s="290">
        <v>0</v>
      </c>
      <c r="BX279" s="290">
        <v>0</v>
      </c>
      <c r="BY279" s="290">
        <v>465</v>
      </c>
      <c r="BZ279" s="290">
        <v>1050</v>
      </c>
      <c r="CA279" s="290">
        <v>1284.0999999999999</v>
      </c>
      <c r="CB279" s="290">
        <v>45</v>
      </c>
      <c r="CC279" s="290">
        <v>0</v>
      </c>
      <c r="CD279" s="290">
        <v>59</v>
      </c>
      <c r="CE279" s="290">
        <v>121858.333</v>
      </c>
      <c r="CF279" s="290">
        <v>387.61309276562702</v>
      </c>
      <c r="CG279" s="290">
        <v>194.2964691998634</v>
      </c>
      <c r="CH279" s="290">
        <v>0</v>
      </c>
      <c r="CI279" s="290">
        <v>0</v>
      </c>
      <c r="CJ279" s="290"/>
    </row>
    <row r="280" spans="1:88" ht="13">
      <c r="A280" s="1">
        <v>4649</v>
      </c>
      <c r="B280" s="2" t="s">
        <v>1639</v>
      </c>
      <c r="C280" s="289">
        <v>9517</v>
      </c>
      <c r="D280" s="290">
        <v>175</v>
      </c>
      <c r="E280" s="290">
        <v>419</v>
      </c>
      <c r="F280" s="290">
        <v>1174</v>
      </c>
      <c r="G280" s="290">
        <v>889</v>
      </c>
      <c r="H280" s="290">
        <v>5004</v>
      </c>
      <c r="I280" s="290">
        <v>1232</v>
      </c>
      <c r="J280" s="290">
        <v>441</v>
      </c>
      <c r="K280" s="290">
        <v>137</v>
      </c>
      <c r="L280" s="290">
        <v>66</v>
      </c>
      <c r="M280" s="290">
        <v>802</v>
      </c>
      <c r="N280" s="290">
        <v>107</v>
      </c>
      <c r="O280" s="290">
        <v>99</v>
      </c>
      <c r="P280" s="624">
        <v>83174.363666670004</v>
      </c>
      <c r="Q280" s="624">
        <v>28298.098666670001</v>
      </c>
      <c r="R280" s="1039">
        <v>41</v>
      </c>
      <c r="S280" s="290">
        <v>0</v>
      </c>
      <c r="T280" s="290">
        <v>659</v>
      </c>
      <c r="U280" s="958">
        <v>5.616150669050704E-3</v>
      </c>
      <c r="V280" s="290">
        <v>-2746.8847008299999</v>
      </c>
      <c r="W280" s="765">
        <v>0.76621658000000004</v>
      </c>
      <c r="X280" s="290">
        <v>2500</v>
      </c>
      <c r="Y280" s="290"/>
      <c r="Z280" s="290">
        <v>272226.07799999998</v>
      </c>
      <c r="AA280" s="290">
        <v>0</v>
      </c>
      <c r="AB280" s="290">
        <v>168</v>
      </c>
      <c r="AC280" s="290">
        <v>515</v>
      </c>
      <c r="AD280" s="290">
        <v>201</v>
      </c>
      <c r="AE280" s="290">
        <v>0</v>
      </c>
      <c r="AF280" s="290">
        <v>16820</v>
      </c>
      <c r="AG280" s="290">
        <v>9471</v>
      </c>
      <c r="AH280" s="290">
        <v>1694</v>
      </c>
      <c r="AI280" s="290">
        <v>630</v>
      </c>
      <c r="AJ280" s="290">
        <v>0</v>
      </c>
      <c r="AK280" s="290">
        <v>0</v>
      </c>
      <c r="AL280" s="290">
        <v>0</v>
      </c>
      <c r="AM280" s="957">
        <v>0.12592586</v>
      </c>
      <c r="AN280" s="290">
        <v>10003</v>
      </c>
      <c r="AO280" s="290">
        <v>-2642.1893165199999</v>
      </c>
      <c r="AP280" s="290">
        <v>0</v>
      </c>
      <c r="AQ280" s="290">
        <v>0</v>
      </c>
      <c r="AR280" s="290">
        <v>-357.68643829000001</v>
      </c>
      <c r="AS280" s="290">
        <v>761.19399999999996</v>
      </c>
      <c r="AT280" s="290">
        <v>364</v>
      </c>
      <c r="AU280" s="290">
        <v>85</v>
      </c>
      <c r="AV280" s="766">
        <v>326245</v>
      </c>
      <c r="AW280" s="290">
        <v>5300</v>
      </c>
      <c r="AX280" s="766">
        <v>68.041650000000004</v>
      </c>
      <c r="AY280" s="290">
        <v>1964</v>
      </c>
      <c r="AZ280" s="290">
        <v>364</v>
      </c>
      <c r="BA280" s="290">
        <v>178</v>
      </c>
      <c r="BB280" s="290">
        <v>0</v>
      </c>
      <c r="BC280" s="290">
        <v>30643.383631860001</v>
      </c>
      <c r="BD280" s="290"/>
      <c r="BE280" s="290">
        <v>316100.51238596998</v>
      </c>
      <c r="BF280" s="290">
        <v>0</v>
      </c>
      <c r="BG280" s="290">
        <v>7753</v>
      </c>
      <c r="BH280" s="290">
        <v>1000</v>
      </c>
      <c r="BI280" s="290">
        <v>19230</v>
      </c>
      <c r="BJ280" s="290">
        <v>102</v>
      </c>
      <c r="BK280" s="290">
        <v>370</v>
      </c>
      <c r="BL280" s="290">
        <v>0</v>
      </c>
      <c r="BM280" s="290">
        <v>4006</v>
      </c>
      <c r="BN280" s="290">
        <v>231</v>
      </c>
      <c r="BO280" s="290">
        <v>-62</v>
      </c>
      <c r="BP280" s="290">
        <v>883</v>
      </c>
      <c r="BQ280" s="290">
        <v>1765</v>
      </c>
      <c r="BR280" s="290">
        <v>1336</v>
      </c>
      <c r="BS280" s="290">
        <v>151</v>
      </c>
      <c r="BT280" s="290">
        <v>0</v>
      </c>
      <c r="BU280" s="290">
        <v>0</v>
      </c>
      <c r="BV280" s="290">
        <v>213</v>
      </c>
      <c r="BW280" s="290">
        <v>0</v>
      </c>
      <c r="BX280" s="290">
        <v>0</v>
      </c>
      <c r="BY280" s="290">
        <v>1070</v>
      </c>
      <c r="BZ280" s="290">
        <v>1000</v>
      </c>
      <c r="CA280" s="290">
        <v>504.67599999999999</v>
      </c>
      <c r="CB280" s="290">
        <v>92</v>
      </c>
      <c r="CC280" s="290">
        <v>1</v>
      </c>
      <c r="CD280" s="290">
        <v>153</v>
      </c>
      <c r="CE280" s="290">
        <v>272226.07799999998</v>
      </c>
      <c r="CF280" s="290">
        <v>0</v>
      </c>
      <c r="CG280" s="290">
        <v>0</v>
      </c>
      <c r="CH280" s="290">
        <v>0</v>
      </c>
      <c r="CI280" s="290">
        <v>0</v>
      </c>
      <c r="CJ280" s="290"/>
    </row>
    <row r="281" spans="1:88" ht="13">
      <c r="A281" s="1">
        <v>4650</v>
      </c>
      <c r="B281" s="2" t="s">
        <v>82</v>
      </c>
      <c r="C281" s="289">
        <v>5885</v>
      </c>
      <c r="D281" s="290">
        <v>123</v>
      </c>
      <c r="E281" s="290">
        <v>263</v>
      </c>
      <c r="F281" s="290">
        <v>717</v>
      </c>
      <c r="G281" s="290">
        <v>564</v>
      </c>
      <c r="H281" s="290">
        <v>3017</v>
      </c>
      <c r="I281" s="290">
        <v>835</v>
      </c>
      <c r="J281" s="290">
        <v>272</v>
      </c>
      <c r="K281" s="290">
        <v>90</v>
      </c>
      <c r="L281" s="290">
        <v>39</v>
      </c>
      <c r="M281" s="290">
        <v>482</v>
      </c>
      <c r="N281" s="290">
        <v>84</v>
      </c>
      <c r="O281" s="290">
        <v>75</v>
      </c>
      <c r="P281" s="624">
        <v>60803.177000000003</v>
      </c>
      <c r="Q281" s="624">
        <v>22651.217333330002</v>
      </c>
      <c r="R281" s="1039">
        <v>46</v>
      </c>
      <c r="S281" s="290">
        <v>0</v>
      </c>
      <c r="T281" s="290">
        <v>391</v>
      </c>
      <c r="U281" s="958">
        <v>5.5060895971035051E-3</v>
      </c>
      <c r="V281" s="290">
        <v>3409.4303394600001</v>
      </c>
      <c r="W281" s="765">
        <v>0.75035993999999995</v>
      </c>
      <c r="X281" s="290">
        <v>800</v>
      </c>
      <c r="Y281" s="290"/>
      <c r="Z281" s="290">
        <v>169872.66200000001</v>
      </c>
      <c r="AA281" s="290">
        <v>0</v>
      </c>
      <c r="AB281" s="290">
        <v>85</v>
      </c>
      <c r="AC281" s="290">
        <v>325</v>
      </c>
      <c r="AD281" s="290">
        <v>134</v>
      </c>
      <c r="AE281" s="290">
        <v>0</v>
      </c>
      <c r="AF281" s="290">
        <v>0</v>
      </c>
      <c r="AG281" s="290">
        <v>5881</v>
      </c>
      <c r="AH281" s="290">
        <v>1095</v>
      </c>
      <c r="AI281" s="290">
        <v>2000</v>
      </c>
      <c r="AJ281" s="290">
        <v>0</v>
      </c>
      <c r="AK281" s="290">
        <v>0</v>
      </c>
      <c r="AL281" s="290">
        <v>0</v>
      </c>
      <c r="AM281" s="957">
        <v>3.3257509999999997E-2</v>
      </c>
      <c r="AN281" s="290">
        <v>6591</v>
      </c>
      <c r="AO281" s="290">
        <v>-1759.4007412399999</v>
      </c>
      <c r="AP281" s="290">
        <v>0</v>
      </c>
      <c r="AQ281" s="290">
        <v>0</v>
      </c>
      <c r="AR281" s="290">
        <v>-222.10473483000001</v>
      </c>
      <c r="AS281" s="290">
        <v>529.82000000000005</v>
      </c>
      <c r="AT281" s="290">
        <v>168</v>
      </c>
      <c r="AU281" s="290">
        <v>32</v>
      </c>
      <c r="AV281" s="766">
        <v>223800</v>
      </c>
      <c r="AW281" s="290">
        <v>700</v>
      </c>
      <c r="AX281" s="766">
        <v>53.291649999999997</v>
      </c>
      <c r="AY281" s="290">
        <v>1444</v>
      </c>
      <c r="AZ281" s="290">
        <v>212</v>
      </c>
      <c r="BA281" s="290">
        <v>99</v>
      </c>
      <c r="BB281" s="290">
        <v>0</v>
      </c>
      <c r="BC281" s="290">
        <v>9305.3796625899995</v>
      </c>
      <c r="BD281" s="290"/>
      <c r="BE281" s="290">
        <v>214304.00892306</v>
      </c>
      <c r="BF281" s="290">
        <v>0</v>
      </c>
      <c r="BG281" s="290">
        <v>4814</v>
      </c>
      <c r="BH281" s="290">
        <v>1000</v>
      </c>
      <c r="BI281" s="290">
        <v>1554</v>
      </c>
      <c r="BJ281" s="290">
        <v>67</v>
      </c>
      <c r="BK281" s="290">
        <v>242</v>
      </c>
      <c r="BL281" s="290">
        <v>0</v>
      </c>
      <c r="BM281" s="290">
        <v>0</v>
      </c>
      <c r="BN281" s="290">
        <v>151</v>
      </c>
      <c r="BO281" s="290">
        <v>-35</v>
      </c>
      <c r="BP281" s="290">
        <v>546</v>
      </c>
      <c r="BQ281" s="290">
        <v>1092</v>
      </c>
      <c r="BR281" s="290">
        <v>826</v>
      </c>
      <c r="BS281" s="290">
        <v>101</v>
      </c>
      <c r="BT281" s="290">
        <v>0</v>
      </c>
      <c r="BU281" s="290">
        <v>0</v>
      </c>
      <c r="BV281" s="290">
        <v>139</v>
      </c>
      <c r="BW281" s="290">
        <v>0</v>
      </c>
      <c r="BX281" s="290">
        <v>0</v>
      </c>
      <c r="BY281" s="290">
        <v>703</v>
      </c>
      <c r="BZ281" s="290">
        <v>1600</v>
      </c>
      <c r="CA281" s="290">
        <v>336.05799999999999</v>
      </c>
      <c r="CB281" s="290">
        <v>61</v>
      </c>
      <c r="CC281" s="290">
        <v>0</v>
      </c>
      <c r="CD281" s="290">
        <v>87</v>
      </c>
      <c r="CE281" s="290">
        <v>169872.66200000001</v>
      </c>
      <c r="CF281" s="290">
        <v>0</v>
      </c>
      <c r="CG281" s="290">
        <v>0</v>
      </c>
      <c r="CH281" s="290">
        <v>0</v>
      </c>
      <c r="CI281" s="290">
        <v>0</v>
      </c>
      <c r="CJ281" s="290"/>
    </row>
    <row r="282" spans="1:88" ht="13">
      <c r="A282" s="1">
        <v>4651</v>
      </c>
      <c r="B282" s="2" t="s">
        <v>83</v>
      </c>
      <c r="C282" s="289">
        <v>7118</v>
      </c>
      <c r="D282" s="290">
        <v>138</v>
      </c>
      <c r="E282" s="290">
        <v>319</v>
      </c>
      <c r="F282" s="290">
        <v>914</v>
      </c>
      <c r="G282" s="290">
        <v>675</v>
      </c>
      <c r="H282" s="290">
        <v>3814</v>
      </c>
      <c r="I282" s="290">
        <v>906</v>
      </c>
      <c r="J282" s="290">
        <v>307</v>
      </c>
      <c r="K282" s="290">
        <v>80</v>
      </c>
      <c r="L282" s="290">
        <v>56</v>
      </c>
      <c r="M282" s="290">
        <v>538</v>
      </c>
      <c r="N282" s="290">
        <v>94</v>
      </c>
      <c r="O282" s="290">
        <v>108</v>
      </c>
      <c r="P282" s="624">
        <v>72895.48766667</v>
      </c>
      <c r="Q282" s="624">
        <v>23574.022333329998</v>
      </c>
      <c r="R282" s="1039">
        <v>37</v>
      </c>
      <c r="S282" s="290">
        <v>0</v>
      </c>
      <c r="T282" s="290">
        <v>586</v>
      </c>
      <c r="U282" s="958">
        <v>5.6857787684900614E-3</v>
      </c>
      <c r="V282" s="290">
        <v>4039.4231519</v>
      </c>
      <c r="W282" s="765">
        <v>0.78662593999999997</v>
      </c>
      <c r="X282" s="290">
        <v>500</v>
      </c>
      <c r="Y282" s="290"/>
      <c r="Z282" s="290">
        <v>215489.829</v>
      </c>
      <c r="AA282" s="290">
        <v>0</v>
      </c>
      <c r="AB282" s="290">
        <v>82</v>
      </c>
      <c r="AC282" s="290">
        <v>410</v>
      </c>
      <c r="AD282" s="290">
        <v>156</v>
      </c>
      <c r="AE282" s="290">
        <v>0</v>
      </c>
      <c r="AF282" s="290">
        <v>0</v>
      </c>
      <c r="AG282" s="290">
        <v>7153</v>
      </c>
      <c r="AH282" s="290">
        <v>1318</v>
      </c>
      <c r="AI282" s="290">
        <v>10</v>
      </c>
      <c r="AJ282" s="290">
        <v>0</v>
      </c>
      <c r="AK282" s="290">
        <v>0</v>
      </c>
      <c r="AL282" s="290">
        <v>0</v>
      </c>
      <c r="AM282" s="957">
        <v>6.3701129999999995E-2</v>
      </c>
      <c r="AN282" s="290">
        <v>0</v>
      </c>
      <c r="AO282" s="290">
        <v>-2021.87844806</v>
      </c>
      <c r="AP282" s="290">
        <v>0</v>
      </c>
      <c r="AQ282" s="290">
        <v>0</v>
      </c>
      <c r="AR282" s="290">
        <v>-270.14371165</v>
      </c>
      <c r="AS282" s="290">
        <v>674.62649999999996</v>
      </c>
      <c r="AT282" s="290">
        <v>244</v>
      </c>
      <c r="AU282" s="290">
        <v>42</v>
      </c>
      <c r="AV282" s="766">
        <v>237155</v>
      </c>
      <c r="AW282" s="290">
        <v>1500</v>
      </c>
      <c r="AX282" s="766">
        <v>48.791699999999999</v>
      </c>
      <c r="AY282" s="290">
        <v>1400</v>
      </c>
      <c r="AZ282" s="290">
        <v>316</v>
      </c>
      <c r="BA282" s="290">
        <v>122</v>
      </c>
      <c r="BB282" s="290">
        <v>0</v>
      </c>
      <c r="BC282" s="290">
        <v>10960.890251209999</v>
      </c>
      <c r="BD282" s="290"/>
      <c r="BE282" s="290">
        <v>226047.47767045</v>
      </c>
      <c r="BF282" s="290">
        <v>0</v>
      </c>
      <c r="BG282" s="290">
        <v>5855</v>
      </c>
      <c r="BH282" s="290">
        <v>1000</v>
      </c>
      <c r="BI282" s="290">
        <v>1884</v>
      </c>
      <c r="BJ282" s="290">
        <v>83</v>
      </c>
      <c r="BK282" s="290">
        <v>278</v>
      </c>
      <c r="BL282" s="290">
        <v>0</v>
      </c>
      <c r="BM282" s="290">
        <v>0</v>
      </c>
      <c r="BN282" s="290">
        <v>174</v>
      </c>
      <c r="BO282" s="290">
        <v>-47</v>
      </c>
      <c r="BP282" s="290">
        <v>660</v>
      </c>
      <c r="BQ282" s="290">
        <v>1320</v>
      </c>
      <c r="BR282" s="290">
        <v>999</v>
      </c>
      <c r="BS282" s="290">
        <v>117</v>
      </c>
      <c r="BT282" s="290">
        <v>0</v>
      </c>
      <c r="BU282" s="290">
        <v>0</v>
      </c>
      <c r="BV282" s="290">
        <v>160</v>
      </c>
      <c r="BW282" s="290">
        <v>0</v>
      </c>
      <c r="BX282" s="290">
        <v>0</v>
      </c>
      <c r="BY282" s="290">
        <v>779</v>
      </c>
      <c r="BZ282" s="290">
        <v>1400</v>
      </c>
      <c r="CA282" s="290">
        <v>1165.0999999999999</v>
      </c>
      <c r="CB282" s="290">
        <v>72</v>
      </c>
      <c r="CC282" s="290">
        <v>0</v>
      </c>
      <c r="CD282" s="290">
        <v>116</v>
      </c>
      <c r="CE282" s="290">
        <v>215489.829</v>
      </c>
      <c r="CF282" s="290">
        <v>0</v>
      </c>
      <c r="CG282" s="290">
        <v>0</v>
      </c>
      <c r="CH282" s="290">
        <v>0</v>
      </c>
      <c r="CI282" s="290">
        <v>0</v>
      </c>
      <c r="CJ282" s="290"/>
    </row>
    <row r="283" spans="1:88" ht="13">
      <c r="A283" s="1">
        <v>5001</v>
      </c>
      <c r="B283" s="2" t="s">
        <v>118</v>
      </c>
      <c r="C283" s="289">
        <v>207595</v>
      </c>
      <c r="D283" s="290">
        <v>4362</v>
      </c>
      <c r="E283" s="290">
        <v>9000</v>
      </c>
      <c r="F283" s="290">
        <v>23055</v>
      </c>
      <c r="G283" s="290">
        <v>18278</v>
      </c>
      <c r="H283" s="290">
        <v>123952</v>
      </c>
      <c r="I283" s="290">
        <v>19701</v>
      </c>
      <c r="J283" s="290">
        <v>5589</v>
      </c>
      <c r="K283" s="290">
        <v>1400</v>
      </c>
      <c r="L283" s="290">
        <v>1497</v>
      </c>
      <c r="M283" s="290">
        <v>11936</v>
      </c>
      <c r="N283" s="290">
        <v>5426</v>
      </c>
      <c r="O283" s="290">
        <v>1577</v>
      </c>
      <c r="P283" s="624">
        <v>441761.21533332998</v>
      </c>
      <c r="Q283" s="624">
        <v>181405.87266667001</v>
      </c>
      <c r="R283" s="1039">
        <v>634</v>
      </c>
      <c r="S283" s="290">
        <v>2054</v>
      </c>
      <c r="T283" s="290">
        <v>19185</v>
      </c>
      <c r="U283" s="958">
        <v>4.9748028327794985E-3</v>
      </c>
      <c r="V283" s="290">
        <v>-26875.49408398</v>
      </c>
      <c r="W283" s="765">
        <v>0.53091560000000004</v>
      </c>
      <c r="X283" s="290">
        <v>1310</v>
      </c>
      <c r="Y283" s="290"/>
      <c r="Z283" s="290">
        <v>7439942.034</v>
      </c>
      <c r="AA283" s="290">
        <v>0</v>
      </c>
      <c r="AB283" s="290">
        <v>4441</v>
      </c>
      <c r="AC283" s="290">
        <v>13237</v>
      </c>
      <c r="AD283" s="290">
        <v>3408</v>
      </c>
      <c r="AE283" s="290">
        <v>5883</v>
      </c>
      <c r="AF283" s="290">
        <v>15110</v>
      </c>
      <c r="AG283" s="290">
        <v>205337</v>
      </c>
      <c r="AH283" s="290">
        <v>33947</v>
      </c>
      <c r="AI283" s="290">
        <v>29300</v>
      </c>
      <c r="AJ283" s="290">
        <v>0</v>
      </c>
      <c r="AK283" s="290">
        <v>0</v>
      </c>
      <c r="AL283" s="290">
        <v>0</v>
      </c>
      <c r="AM283" s="957">
        <v>4.0792027199999996</v>
      </c>
      <c r="AN283" s="290">
        <v>0</v>
      </c>
      <c r="AO283" s="290">
        <v>-47995.240049660002</v>
      </c>
      <c r="AP283" s="290">
        <v>80629</v>
      </c>
      <c r="AQ283" s="290">
        <v>0</v>
      </c>
      <c r="AR283" s="290">
        <v>-7754.8580063500003</v>
      </c>
      <c r="AS283" s="290">
        <v>16174.96</v>
      </c>
      <c r="AT283" s="290">
        <v>8874</v>
      </c>
      <c r="AU283" s="290">
        <v>1978</v>
      </c>
      <c r="AV283" s="766">
        <v>4490777</v>
      </c>
      <c r="AW283" s="290">
        <v>29100</v>
      </c>
      <c r="AX283" s="766">
        <v>1720.1667</v>
      </c>
      <c r="AY283" s="290">
        <v>72277</v>
      </c>
      <c r="AZ283" s="290">
        <v>9782</v>
      </c>
      <c r="BA283" s="290">
        <v>4055</v>
      </c>
      <c r="BB283" s="290">
        <v>0</v>
      </c>
      <c r="BC283" s="290">
        <v>285241.66424083</v>
      </c>
      <c r="BD283" s="290"/>
      <c r="BE283" s="290">
        <v>4222621.1387526998</v>
      </c>
      <c r="BF283" s="290">
        <v>0</v>
      </c>
      <c r="BG283" s="290">
        <v>168090</v>
      </c>
      <c r="BH283" s="290">
        <v>3000</v>
      </c>
      <c r="BI283" s="290">
        <v>69766</v>
      </c>
      <c r="BJ283" s="290">
        <v>2440</v>
      </c>
      <c r="BK283" s="290">
        <v>8604</v>
      </c>
      <c r="BL283" s="290">
        <v>0</v>
      </c>
      <c r="BM283" s="290">
        <v>0</v>
      </c>
      <c r="BN283" s="290">
        <v>5382</v>
      </c>
      <c r="BO283" s="290">
        <v>-1808</v>
      </c>
      <c r="BP283" s="290">
        <v>19253</v>
      </c>
      <c r="BQ283" s="290">
        <v>38505</v>
      </c>
      <c r="BR283" s="290">
        <v>29148</v>
      </c>
      <c r="BS283" s="290">
        <v>2556</v>
      </c>
      <c r="BT283" s="290">
        <v>4064</v>
      </c>
      <c r="BU283" s="290">
        <v>0</v>
      </c>
      <c r="BV283" s="290">
        <v>4952</v>
      </c>
      <c r="BW283" s="290">
        <v>0</v>
      </c>
      <c r="BX283" s="290">
        <v>0</v>
      </c>
      <c r="BY283" s="290">
        <v>17892</v>
      </c>
      <c r="BZ283" s="290">
        <v>58400</v>
      </c>
      <c r="CA283" s="290">
        <v>21086.400000000001</v>
      </c>
      <c r="CB283" s="290">
        <v>1777</v>
      </c>
      <c r="CC283" s="290">
        <v>15</v>
      </c>
      <c r="CD283" s="290">
        <v>0</v>
      </c>
      <c r="CE283" s="290">
        <v>7439942.034</v>
      </c>
      <c r="CF283" s="290">
        <v>0</v>
      </c>
      <c r="CG283" s="290">
        <v>0</v>
      </c>
      <c r="CH283" s="290">
        <v>0</v>
      </c>
      <c r="CI283" s="290">
        <v>0</v>
      </c>
      <c r="CJ283" s="290"/>
    </row>
    <row r="284" spans="1:88" ht="13">
      <c r="A284" s="1">
        <v>5006</v>
      </c>
      <c r="B284" s="2" t="s">
        <v>1640</v>
      </c>
      <c r="C284" s="289">
        <v>24152</v>
      </c>
      <c r="D284" s="290">
        <v>439</v>
      </c>
      <c r="E284" s="290">
        <v>987</v>
      </c>
      <c r="F284" s="290">
        <v>2903</v>
      </c>
      <c r="G284" s="290">
        <v>2074</v>
      </c>
      <c r="H284" s="290">
        <v>13093</v>
      </c>
      <c r="I284" s="290">
        <v>3328</v>
      </c>
      <c r="J284" s="290">
        <v>1128</v>
      </c>
      <c r="K284" s="290">
        <v>288</v>
      </c>
      <c r="L284" s="290">
        <v>180</v>
      </c>
      <c r="M284" s="290">
        <v>2074</v>
      </c>
      <c r="N284" s="290">
        <v>389</v>
      </c>
      <c r="O284" s="290">
        <v>222</v>
      </c>
      <c r="P284" s="624">
        <v>127156.51366667</v>
      </c>
      <c r="Q284" s="624">
        <v>57901.076000000001</v>
      </c>
      <c r="R284" s="1039">
        <v>87</v>
      </c>
      <c r="S284" s="290">
        <v>0</v>
      </c>
      <c r="T284" s="290">
        <v>2001</v>
      </c>
      <c r="U284" s="958">
        <v>1.1762879905769182E-2</v>
      </c>
      <c r="V284" s="290">
        <v>392.65365306000001</v>
      </c>
      <c r="W284" s="765">
        <v>0.62794271999999995</v>
      </c>
      <c r="X284" s="290">
        <v>400</v>
      </c>
      <c r="Y284" s="290"/>
      <c r="Z284" s="290">
        <v>660267.09299999999</v>
      </c>
      <c r="AA284" s="290">
        <v>0</v>
      </c>
      <c r="AB284" s="290">
        <v>654</v>
      </c>
      <c r="AC284" s="290">
        <v>1230</v>
      </c>
      <c r="AD284" s="290">
        <v>474</v>
      </c>
      <c r="AE284" s="290">
        <v>0</v>
      </c>
      <c r="AF284" s="290">
        <v>15611</v>
      </c>
      <c r="AG284" s="290">
        <v>24240</v>
      </c>
      <c r="AH284" s="290">
        <v>4110</v>
      </c>
      <c r="AI284" s="290">
        <v>250</v>
      </c>
      <c r="AJ284" s="290">
        <v>0</v>
      </c>
      <c r="AK284" s="290">
        <v>94</v>
      </c>
      <c r="AL284" s="290">
        <v>0</v>
      </c>
      <c r="AM284" s="957">
        <v>0.53061674000000003</v>
      </c>
      <c r="AN284" s="290">
        <v>18078</v>
      </c>
      <c r="AO284" s="290">
        <v>-6433.6218185099997</v>
      </c>
      <c r="AP284" s="290">
        <v>0</v>
      </c>
      <c r="AQ284" s="290">
        <v>0</v>
      </c>
      <c r="AR284" s="290">
        <v>-915.45974702000001</v>
      </c>
      <c r="AS284" s="290">
        <v>1891.0360000000001</v>
      </c>
      <c r="AT284" s="290">
        <v>1152</v>
      </c>
      <c r="AU284" s="290">
        <v>260</v>
      </c>
      <c r="AV284" s="766">
        <v>726319</v>
      </c>
      <c r="AW284" s="290">
        <v>1900</v>
      </c>
      <c r="AX284" s="766">
        <v>174.04165</v>
      </c>
      <c r="AY284" s="290">
        <v>5436</v>
      </c>
      <c r="AZ284" s="290">
        <v>1051</v>
      </c>
      <c r="BA284" s="290">
        <v>540</v>
      </c>
      <c r="BB284" s="290">
        <v>0</v>
      </c>
      <c r="BC284" s="290">
        <v>50429.308787909999</v>
      </c>
      <c r="BD284" s="290"/>
      <c r="BE284" s="290">
        <v>697605.91609396995</v>
      </c>
      <c r="BF284" s="290">
        <v>0</v>
      </c>
      <c r="BG284" s="290">
        <v>19843</v>
      </c>
      <c r="BH284" s="290">
        <v>1000</v>
      </c>
      <c r="BI284" s="290">
        <v>21519</v>
      </c>
      <c r="BJ284" s="290">
        <v>281</v>
      </c>
      <c r="BK284" s="290">
        <v>893</v>
      </c>
      <c r="BL284" s="290">
        <v>0</v>
      </c>
      <c r="BM284" s="290">
        <v>5049</v>
      </c>
      <c r="BN284" s="290">
        <v>559</v>
      </c>
      <c r="BO284" s="290">
        <v>-196</v>
      </c>
      <c r="BP284" s="290">
        <v>2240</v>
      </c>
      <c r="BQ284" s="290">
        <v>4480</v>
      </c>
      <c r="BR284" s="290">
        <v>3391</v>
      </c>
      <c r="BS284" s="290">
        <v>355</v>
      </c>
      <c r="BT284" s="290">
        <v>0</v>
      </c>
      <c r="BU284" s="290">
        <v>0</v>
      </c>
      <c r="BV284" s="290">
        <v>514</v>
      </c>
      <c r="BW284" s="290">
        <v>0</v>
      </c>
      <c r="BX284" s="290">
        <v>0</v>
      </c>
      <c r="BY284" s="290">
        <v>2766</v>
      </c>
      <c r="BZ284" s="290">
        <v>4000</v>
      </c>
      <c r="CA284" s="290">
        <v>1228.866</v>
      </c>
      <c r="CB284" s="290">
        <v>216</v>
      </c>
      <c r="CC284" s="290">
        <v>2</v>
      </c>
      <c r="CD284" s="290">
        <v>0</v>
      </c>
      <c r="CE284" s="290">
        <v>660267.09299999999</v>
      </c>
      <c r="CF284" s="290">
        <v>0</v>
      </c>
      <c r="CG284" s="290">
        <v>0</v>
      </c>
      <c r="CH284" s="290">
        <v>0</v>
      </c>
      <c r="CI284" s="290">
        <v>0</v>
      </c>
      <c r="CJ284" s="290"/>
    </row>
    <row r="285" spans="1:88" ht="13">
      <c r="A285" s="1">
        <v>5007</v>
      </c>
      <c r="B285" s="2" t="s">
        <v>1641</v>
      </c>
      <c r="C285" s="289">
        <v>15096</v>
      </c>
      <c r="D285" s="290">
        <v>257</v>
      </c>
      <c r="E285" s="290">
        <v>623</v>
      </c>
      <c r="F285" s="290">
        <v>1841</v>
      </c>
      <c r="G285" s="290">
        <v>1486</v>
      </c>
      <c r="H285" s="290">
        <v>8082</v>
      </c>
      <c r="I285" s="290">
        <v>2047</v>
      </c>
      <c r="J285" s="290">
        <v>635</v>
      </c>
      <c r="K285" s="290">
        <v>160</v>
      </c>
      <c r="L285" s="290">
        <v>121</v>
      </c>
      <c r="M285" s="290">
        <v>1298</v>
      </c>
      <c r="N285" s="290">
        <v>279</v>
      </c>
      <c r="O285" s="290">
        <v>132</v>
      </c>
      <c r="P285" s="624">
        <v>100170.83866667</v>
      </c>
      <c r="Q285" s="624">
        <v>36597.467333330002</v>
      </c>
      <c r="R285" s="1039">
        <v>81</v>
      </c>
      <c r="S285" s="290">
        <v>0</v>
      </c>
      <c r="T285" s="290">
        <v>1151</v>
      </c>
      <c r="U285" s="958">
        <v>4.341314940516431E-3</v>
      </c>
      <c r="V285" s="290">
        <v>1328.8008323700001</v>
      </c>
      <c r="W285" s="765">
        <v>0.64955834999999995</v>
      </c>
      <c r="X285" s="290">
        <v>250</v>
      </c>
      <c r="Y285" s="290"/>
      <c r="Z285" s="290">
        <v>420191.505</v>
      </c>
      <c r="AA285" s="290">
        <v>0</v>
      </c>
      <c r="AB285" s="290">
        <v>423</v>
      </c>
      <c r="AC285" s="290">
        <v>786</v>
      </c>
      <c r="AD285" s="290">
        <v>302</v>
      </c>
      <c r="AE285" s="290">
        <v>0</v>
      </c>
      <c r="AF285" s="290">
        <v>42755</v>
      </c>
      <c r="AG285" s="290">
        <v>15131</v>
      </c>
      <c r="AH285" s="290">
        <v>2643</v>
      </c>
      <c r="AI285" s="290">
        <v>3850</v>
      </c>
      <c r="AJ285" s="290">
        <v>0</v>
      </c>
      <c r="AK285" s="290">
        <v>0</v>
      </c>
      <c r="AL285" s="290">
        <v>28343</v>
      </c>
      <c r="AM285" s="957">
        <v>0.21960415999999999</v>
      </c>
      <c r="AN285" s="290">
        <v>0</v>
      </c>
      <c r="AO285" s="290">
        <v>-4100.7952891499999</v>
      </c>
      <c r="AP285" s="290">
        <v>0</v>
      </c>
      <c r="AQ285" s="290">
        <v>0</v>
      </c>
      <c r="AR285" s="290">
        <v>-571.44477855000002</v>
      </c>
      <c r="AS285" s="290">
        <v>1272.1144999999999</v>
      </c>
      <c r="AT285" s="290">
        <v>741</v>
      </c>
      <c r="AU285" s="290">
        <v>114</v>
      </c>
      <c r="AV285" s="766">
        <v>532831</v>
      </c>
      <c r="AW285" s="290">
        <v>1200</v>
      </c>
      <c r="AX285" s="766">
        <v>107.91665</v>
      </c>
      <c r="AY285" s="290">
        <v>3443</v>
      </c>
      <c r="AZ285" s="290">
        <v>603</v>
      </c>
      <c r="BA285" s="290">
        <v>346</v>
      </c>
      <c r="BB285" s="290">
        <v>0</v>
      </c>
      <c r="BC285" s="290">
        <v>64292.967504729997</v>
      </c>
      <c r="BD285" s="290"/>
      <c r="BE285" s="290">
        <v>506595.08125709998</v>
      </c>
      <c r="BF285" s="290">
        <v>0</v>
      </c>
      <c r="BG285" s="290">
        <v>12386</v>
      </c>
      <c r="BH285" s="290">
        <v>1000</v>
      </c>
      <c r="BI285" s="290">
        <v>46486</v>
      </c>
      <c r="BJ285" s="290">
        <v>176</v>
      </c>
      <c r="BK285" s="290">
        <v>563</v>
      </c>
      <c r="BL285" s="290">
        <v>0</v>
      </c>
      <c r="BM285" s="290">
        <v>4410</v>
      </c>
      <c r="BN285" s="290">
        <v>352</v>
      </c>
      <c r="BO285" s="290">
        <v>-116</v>
      </c>
      <c r="BP285" s="290">
        <v>1400</v>
      </c>
      <c r="BQ285" s="290">
        <v>2800</v>
      </c>
      <c r="BR285" s="290">
        <v>2120</v>
      </c>
      <c r="BS285" s="290">
        <v>226</v>
      </c>
      <c r="BT285" s="290">
        <v>0</v>
      </c>
      <c r="BU285" s="290">
        <v>0</v>
      </c>
      <c r="BV285" s="290">
        <v>324</v>
      </c>
      <c r="BW285" s="290">
        <v>0</v>
      </c>
      <c r="BX285" s="290">
        <v>0</v>
      </c>
      <c r="BY285" s="290">
        <v>1674</v>
      </c>
      <c r="BZ285" s="290">
        <v>1700</v>
      </c>
      <c r="CA285" s="290">
        <v>1691.1999999999998</v>
      </c>
      <c r="CB285" s="290">
        <v>139</v>
      </c>
      <c r="CC285" s="290">
        <v>1</v>
      </c>
      <c r="CD285" s="290">
        <v>0</v>
      </c>
      <c r="CE285" s="290">
        <v>420191.505</v>
      </c>
      <c r="CF285" s="290">
        <v>0</v>
      </c>
      <c r="CG285" s="290">
        <v>0</v>
      </c>
      <c r="CH285" s="290">
        <v>0</v>
      </c>
      <c r="CI285" s="290">
        <v>0</v>
      </c>
      <c r="CJ285" s="290"/>
    </row>
    <row r="286" spans="1:88" ht="13">
      <c r="A286" s="1">
        <v>5014</v>
      </c>
      <c r="B286" s="2" t="s">
        <v>122</v>
      </c>
      <c r="C286" s="289">
        <v>5204</v>
      </c>
      <c r="D286" s="290">
        <v>128</v>
      </c>
      <c r="E286" s="290">
        <v>233</v>
      </c>
      <c r="F286" s="290">
        <v>561</v>
      </c>
      <c r="G286" s="290">
        <v>382</v>
      </c>
      <c r="H286" s="290">
        <v>3126</v>
      </c>
      <c r="I286" s="290">
        <v>533</v>
      </c>
      <c r="J286" s="290">
        <v>186</v>
      </c>
      <c r="K286" s="290">
        <v>47</v>
      </c>
      <c r="L286" s="290">
        <v>42</v>
      </c>
      <c r="M286" s="290">
        <v>333</v>
      </c>
      <c r="N286" s="290">
        <v>24</v>
      </c>
      <c r="O286" s="290">
        <v>81</v>
      </c>
      <c r="P286" s="624">
        <v>62635.664333330002</v>
      </c>
      <c r="Q286" s="624">
        <v>20704.31533333</v>
      </c>
      <c r="R286" s="1039">
        <v>21</v>
      </c>
      <c r="S286" s="290">
        <v>0</v>
      </c>
      <c r="T286" s="290">
        <v>455</v>
      </c>
      <c r="U286" s="958">
        <v>1.3955875551640475E-3</v>
      </c>
      <c r="V286" s="290">
        <v>2757.56994867</v>
      </c>
      <c r="W286" s="765">
        <v>0.83226973999999998</v>
      </c>
      <c r="X286" s="290">
        <v>0</v>
      </c>
      <c r="Y286" s="290"/>
      <c r="Z286" s="290">
        <v>469673.61300000001</v>
      </c>
      <c r="AA286" s="290">
        <v>0</v>
      </c>
      <c r="AB286" s="290">
        <v>99</v>
      </c>
      <c r="AC286" s="290">
        <v>265</v>
      </c>
      <c r="AD286" s="290">
        <v>114</v>
      </c>
      <c r="AE286" s="290">
        <v>0</v>
      </c>
      <c r="AF286" s="290">
        <v>0</v>
      </c>
      <c r="AG286" s="290">
        <v>5196</v>
      </c>
      <c r="AH286" s="290">
        <v>838</v>
      </c>
      <c r="AI286" s="290">
        <v>0</v>
      </c>
      <c r="AJ286" s="290">
        <v>0</v>
      </c>
      <c r="AK286" s="290">
        <v>0</v>
      </c>
      <c r="AL286" s="290">
        <v>0</v>
      </c>
      <c r="AM286" s="957">
        <v>0.13276848999999999</v>
      </c>
      <c r="AN286" s="290">
        <v>0</v>
      </c>
      <c r="AO286" s="290">
        <v>-1380.2642205499999</v>
      </c>
      <c r="AP286" s="290">
        <v>0</v>
      </c>
      <c r="AQ286" s="290">
        <v>0</v>
      </c>
      <c r="AR286" s="290">
        <v>-196.23468835</v>
      </c>
      <c r="AS286" s="290">
        <v>376.69499999999999</v>
      </c>
      <c r="AT286" s="290">
        <v>246</v>
      </c>
      <c r="AU286" s="290">
        <v>80</v>
      </c>
      <c r="AV286" s="766">
        <v>152170</v>
      </c>
      <c r="AW286" s="290">
        <v>500</v>
      </c>
      <c r="AX286" s="766">
        <v>43.791649999999997</v>
      </c>
      <c r="AY286" s="290">
        <v>812</v>
      </c>
      <c r="AZ286" s="290">
        <v>179</v>
      </c>
      <c r="BA286" s="290">
        <v>112</v>
      </c>
      <c r="BB286" s="290">
        <v>0</v>
      </c>
      <c r="BC286" s="290">
        <v>7502.1107964800003</v>
      </c>
      <c r="BD286" s="290"/>
      <c r="BE286" s="290">
        <v>144029.84764888999</v>
      </c>
      <c r="BF286" s="290">
        <v>0</v>
      </c>
      <c r="BG286" s="290">
        <v>4253</v>
      </c>
      <c r="BH286" s="290">
        <v>1000</v>
      </c>
      <c r="BI286" s="290">
        <v>1217</v>
      </c>
      <c r="BJ286" s="290">
        <v>67</v>
      </c>
      <c r="BK286" s="290">
        <v>204</v>
      </c>
      <c r="BL286" s="290">
        <v>0</v>
      </c>
      <c r="BM286" s="290">
        <v>0</v>
      </c>
      <c r="BN286" s="290">
        <v>128</v>
      </c>
      <c r="BO286" s="290">
        <v>-40</v>
      </c>
      <c r="BP286" s="290">
        <v>483</v>
      </c>
      <c r="BQ286" s="290">
        <v>965</v>
      </c>
      <c r="BR286" s="290">
        <v>731</v>
      </c>
      <c r="BS286" s="290">
        <v>85</v>
      </c>
      <c r="BT286" s="290">
        <v>0</v>
      </c>
      <c r="BU286" s="290">
        <v>0</v>
      </c>
      <c r="BV286" s="290">
        <v>118</v>
      </c>
      <c r="BW286" s="290">
        <v>0</v>
      </c>
      <c r="BX286" s="290">
        <v>0</v>
      </c>
      <c r="BY286" s="290">
        <v>473</v>
      </c>
      <c r="BZ286" s="290">
        <v>1700</v>
      </c>
      <c r="CA286" s="290">
        <v>1465.5</v>
      </c>
      <c r="CB286" s="290">
        <v>56</v>
      </c>
      <c r="CC286" s="290">
        <v>0</v>
      </c>
      <c r="CD286" s="290">
        <v>0</v>
      </c>
      <c r="CE286" s="290">
        <v>469673.61300000001</v>
      </c>
      <c r="CF286" s="290">
        <v>0</v>
      </c>
      <c r="CG286" s="290">
        <v>0</v>
      </c>
      <c r="CH286" s="290">
        <v>0</v>
      </c>
      <c r="CI286" s="290">
        <v>0</v>
      </c>
      <c r="CJ286" s="290"/>
    </row>
    <row r="287" spans="1:88" ht="13">
      <c r="A287" s="1">
        <v>5020</v>
      </c>
      <c r="B287" s="2" t="s">
        <v>129</v>
      </c>
      <c r="C287" s="289">
        <v>925</v>
      </c>
      <c r="D287" s="290">
        <v>17</v>
      </c>
      <c r="E287" s="290">
        <v>25</v>
      </c>
      <c r="F287" s="290">
        <v>102</v>
      </c>
      <c r="G287" s="290">
        <v>71</v>
      </c>
      <c r="H287" s="290">
        <v>482</v>
      </c>
      <c r="I287" s="290">
        <v>181</v>
      </c>
      <c r="J287" s="290">
        <v>56</v>
      </c>
      <c r="K287" s="290">
        <v>16</v>
      </c>
      <c r="L287" s="290">
        <v>6</v>
      </c>
      <c r="M287" s="290">
        <v>122</v>
      </c>
      <c r="N287" s="290">
        <v>1.5</v>
      </c>
      <c r="O287" s="290">
        <v>5</v>
      </c>
      <c r="P287" s="624">
        <v>14316.552666670001</v>
      </c>
      <c r="Q287" s="624">
        <v>13515.507666670001</v>
      </c>
      <c r="R287" s="1039">
        <v>2</v>
      </c>
      <c r="S287" s="290">
        <v>0</v>
      </c>
      <c r="T287" s="290">
        <v>84</v>
      </c>
      <c r="U287" s="958">
        <v>7.3409172873974615E-4</v>
      </c>
      <c r="V287" s="290">
        <v>693.83309638000003</v>
      </c>
      <c r="W287" s="765">
        <v>1</v>
      </c>
      <c r="X287" s="290">
        <v>0</v>
      </c>
      <c r="Y287" s="290"/>
      <c r="Z287" s="290">
        <v>24191.807000000001</v>
      </c>
      <c r="AA287" s="290">
        <v>0</v>
      </c>
      <c r="AB287" s="290">
        <v>21</v>
      </c>
      <c r="AC287" s="290">
        <v>63</v>
      </c>
      <c r="AD287" s="290">
        <v>41</v>
      </c>
      <c r="AE287" s="290">
        <v>0</v>
      </c>
      <c r="AF287" s="290">
        <v>0</v>
      </c>
      <c r="AG287" s="290">
        <v>950</v>
      </c>
      <c r="AH287" s="290">
        <v>129</v>
      </c>
      <c r="AI287" s="290">
        <v>0</v>
      </c>
      <c r="AJ287" s="290">
        <v>0</v>
      </c>
      <c r="AK287" s="290">
        <v>0</v>
      </c>
      <c r="AL287" s="290">
        <v>0</v>
      </c>
      <c r="AM287" s="957">
        <v>9.4001999999999992E-3</v>
      </c>
      <c r="AN287" s="290">
        <v>0</v>
      </c>
      <c r="AO287" s="290">
        <v>-347.28874181999998</v>
      </c>
      <c r="AP287" s="290">
        <v>0</v>
      </c>
      <c r="AQ287" s="290">
        <v>0</v>
      </c>
      <c r="AR287" s="290">
        <v>-35.878166649999997</v>
      </c>
      <c r="AS287" s="290">
        <v>102.7895</v>
      </c>
      <c r="AT287" s="290">
        <v>44</v>
      </c>
      <c r="AU287" s="290">
        <v>4</v>
      </c>
      <c r="AV287" s="766">
        <v>54644</v>
      </c>
      <c r="AW287" s="290">
        <v>0</v>
      </c>
      <c r="AX287" s="766">
        <v>4.6666999999999996</v>
      </c>
      <c r="AY287" s="290">
        <v>136</v>
      </c>
      <c r="AZ287" s="290">
        <v>48</v>
      </c>
      <c r="BA287" s="290">
        <v>16</v>
      </c>
      <c r="BB287" s="290">
        <v>6034</v>
      </c>
      <c r="BC287" s="290">
        <v>1619.6490718</v>
      </c>
      <c r="BD287" s="290"/>
      <c r="BE287" s="290">
        <v>53477.586732739997</v>
      </c>
      <c r="BF287" s="290">
        <v>0</v>
      </c>
      <c r="BG287" s="290">
        <v>778</v>
      </c>
      <c r="BH287" s="290">
        <v>500</v>
      </c>
      <c r="BI287" s="290">
        <v>233</v>
      </c>
      <c r="BJ287" s="290">
        <v>11</v>
      </c>
      <c r="BK287" s="290">
        <v>23</v>
      </c>
      <c r="BL287" s="290">
        <v>0</v>
      </c>
      <c r="BM287" s="290">
        <v>0</v>
      </c>
      <c r="BN287" s="290">
        <v>14</v>
      </c>
      <c r="BO287" s="290">
        <v>-6</v>
      </c>
      <c r="BP287" s="290">
        <v>86</v>
      </c>
      <c r="BQ287" s="290">
        <v>172</v>
      </c>
      <c r="BR287" s="290">
        <v>130</v>
      </c>
      <c r="BS287" s="290">
        <v>31</v>
      </c>
      <c r="BT287" s="290">
        <v>0</v>
      </c>
      <c r="BU287" s="290">
        <v>0</v>
      </c>
      <c r="BV287" s="290">
        <v>13</v>
      </c>
      <c r="BW287" s="290">
        <v>0</v>
      </c>
      <c r="BX287" s="290">
        <v>0</v>
      </c>
      <c r="BY287" s="290">
        <v>132</v>
      </c>
      <c r="BZ287" s="290">
        <v>200</v>
      </c>
      <c r="CA287" s="290">
        <v>203</v>
      </c>
      <c r="CB287" s="290">
        <v>22</v>
      </c>
      <c r="CC287" s="290">
        <v>0</v>
      </c>
      <c r="CD287" s="290">
        <v>0</v>
      </c>
      <c r="CE287" s="290">
        <v>24191.807000000001</v>
      </c>
      <c r="CF287" s="290">
        <v>0</v>
      </c>
      <c r="CG287" s="290">
        <v>0</v>
      </c>
      <c r="CH287" s="290">
        <v>0</v>
      </c>
      <c r="CI287" s="290">
        <v>0</v>
      </c>
      <c r="CJ287" s="290"/>
    </row>
    <row r="288" spans="1:88" ht="13">
      <c r="A288" s="1">
        <v>5021</v>
      </c>
      <c r="B288" s="2" t="s">
        <v>130</v>
      </c>
      <c r="C288" s="289">
        <v>6981</v>
      </c>
      <c r="D288" s="290">
        <v>137</v>
      </c>
      <c r="E288" s="290">
        <v>289</v>
      </c>
      <c r="F288" s="290">
        <v>816</v>
      </c>
      <c r="G288" s="290">
        <v>632</v>
      </c>
      <c r="H288" s="290">
        <v>3740</v>
      </c>
      <c r="I288" s="290">
        <v>1022</v>
      </c>
      <c r="J288" s="290">
        <v>298</v>
      </c>
      <c r="K288" s="290">
        <v>75</v>
      </c>
      <c r="L288" s="290">
        <v>51</v>
      </c>
      <c r="M288" s="290">
        <v>587</v>
      </c>
      <c r="N288" s="290">
        <v>104</v>
      </c>
      <c r="O288" s="290">
        <v>63</v>
      </c>
      <c r="P288" s="624">
        <v>27381.103999999999</v>
      </c>
      <c r="Q288" s="624">
        <v>16102.44066667</v>
      </c>
      <c r="R288" s="1039">
        <v>21</v>
      </c>
      <c r="S288" s="290">
        <v>0</v>
      </c>
      <c r="T288" s="290">
        <v>552</v>
      </c>
      <c r="U288" s="958">
        <v>4.7291659426091526E-3</v>
      </c>
      <c r="V288" s="290">
        <v>-481.34274540000001</v>
      </c>
      <c r="W288" s="765">
        <v>0.60017900000000002</v>
      </c>
      <c r="X288" s="290">
        <v>1020</v>
      </c>
      <c r="Y288" s="290"/>
      <c r="Z288" s="290">
        <v>210812.68700000001</v>
      </c>
      <c r="AA288" s="290">
        <v>0</v>
      </c>
      <c r="AB288" s="290">
        <v>169</v>
      </c>
      <c r="AC288" s="290">
        <v>349</v>
      </c>
      <c r="AD288" s="290">
        <v>143</v>
      </c>
      <c r="AE288" s="290">
        <v>0</v>
      </c>
      <c r="AF288" s="290">
        <v>0</v>
      </c>
      <c r="AG288" s="290">
        <v>7009</v>
      </c>
      <c r="AH288" s="290">
        <v>1205</v>
      </c>
      <c r="AI288" s="290">
        <v>605</v>
      </c>
      <c r="AJ288" s="290">
        <v>0</v>
      </c>
      <c r="AK288" s="290">
        <v>0</v>
      </c>
      <c r="AL288" s="290">
        <v>0</v>
      </c>
      <c r="AM288" s="957">
        <v>5.6411309999999999E-2</v>
      </c>
      <c r="AN288" s="290">
        <v>9589</v>
      </c>
      <c r="AO288" s="290">
        <v>-1820.4796578400001</v>
      </c>
      <c r="AP288" s="290">
        <v>0</v>
      </c>
      <c r="AQ288" s="290">
        <v>0</v>
      </c>
      <c r="AR288" s="290">
        <v>-264.70533691999998</v>
      </c>
      <c r="AS288" s="290">
        <v>534.65800000000002</v>
      </c>
      <c r="AT288" s="290">
        <v>312</v>
      </c>
      <c r="AU288" s="290">
        <v>42</v>
      </c>
      <c r="AV288" s="766">
        <v>202997</v>
      </c>
      <c r="AW288" s="290">
        <v>500</v>
      </c>
      <c r="AX288" s="766">
        <v>46.541649999999997</v>
      </c>
      <c r="AY288" s="290">
        <v>1405</v>
      </c>
      <c r="AZ288" s="290">
        <v>211</v>
      </c>
      <c r="BA288" s="290">
        <v>139</v>
      </c>
      <c r="BB288" s="290">
        <v>0</v>
      </c>
      <c r="BC288" s="290">
        <v>9838.1733020699994</v>
      </c>
      <c r="BD288" s="290"/>
      <c r="BE288" s="290">
        <v>191631.66000597001</v>
      </c>
      <c r="BF288" s="290">
        <v>0</v>
      </c>
      <c r="BG288" s="290">
        <v>5738</v>
      </c>
      <c r="BH288" s="290">
        <v>1000</v>
      </c>
      <c r="BI288" s="290">
        <v>1697</v>
      </c>
      <c r="BJ288" s="290">
        <v>80</v>
      </c>
      <c r="BK288" s="290">
        <v>256</v>
      </c>
      <c r="BL288" s="290">
        <v>0</v>
      </c>
      <c r="BM288" s="290">
        <v>0</v>
      </c>
      <c r="BN288" s="290">
        <v>160</v>
      </c>
      <c r="BO288" s="290">
        <v>-50</v>
      </c>
      <c r="BP288" s="290">
        <v>647</v>
      </c>
      <c r="BQ288" s="290">
        <v>1295</v>
      </c>
      <c r="BR288" s="290">
        <v>980</v>
      </c>
      <c r="BS288" s="290">
        <v>107</v>
      </c>
      <c r="BT288" s="290">
        <v>0</v>
      </c>
      <c r="BU288" s="290">
        <v>0</v>
      </c>
      <c r="BV288" s="290">
        <v>147</v>
      </c>
      <c r="BW288" s="290">
        <v>0</v>
      </c>
      <c r="BX288" s="290">
        <v>0</v>
      </c>
      <c r="BY288" s="290">
        <v>792</v>
      </c>
      <c r="BZ288" s="290">
        <v>600</v>
      </c>
      <c r="CA288" s="290">
        <v>347.72399999999999</v>
      </c>
      <c r="CB288" s="290">
        <v>68</v>
      </c>
      <c r="CC288" s="290">
        <v>0</v>
      </c>
      <c r="CD288" s="290">
        <v>0</v>
      </c>
      <c r="CE288" s="290">
        <v>210812.68700000001</v>
      </c>
      <c r="CF288" s="290">
        <v>0</v>
      </c>
      <c r="CG288" s="290">
        <v>0</v>
      </c>
      <c r="CH288" s="290">
        <v>0</v>
      </c>
      <c r="CI288" s="290">
        <v>0</v>
      </c>
      <c r="CJ288" s="290"/>
    </row>
    <row r="289" spans="1:88" ht="13">
      <c r="A289" s="1">
        <v>5022</v>
      </c>
      <c r="B289" s="2" t="s">
        <v>131</v>
      </c>
      <c r="C289" s="289">
        <v>2454</v>
      </c>
      <c r="D289" s="290">
        <v>40</v>
      </c>
      <c r="E289" s="290">
        <v>105</v>
      </c>
      <c r="F289" s="290">
        <v>274</v>
      </c>
      <c r="G289" s="290">
        <v>211</v>
      </c>
      <c r="H289" s="290">
        <v>1261</v>
      </c>
      <c r="I289" s="290">
        <v>418</v>
      </c>
      <c r="J289" s="290">
        <v>125</v>
      </c>
      <c r="K289" s="290">
        <v>30</v>
      </c>
      <c r="L289" s="290">
        <v>21</v>
      </c>
      <c r="M289" s="290">
        <v>225</v>
      </c>
      <c r="N289" s="290">
        <v>20</v>
      </c>
      <c r="O289" s="290">
        <v>30</v>
      </c>
      <c r="P289" s="624">
        <v>21683.874666669999</v>
      </c>
      <c r="Q289" s="624">
        <v>14819.518333329999</v>
      </c>
      <c r="R289" s="1039">
        <v>8</v>
      </c>
      <c r="S289" s="290">
        <v>0</v>
      </c>
      <c r="T289" s="290">
        <v>198</v>
      </c>
      <c r="U289" s="958">
        <v>3.0835825795810898E-3</v>
      </c>
      <c r="V289" s="290">
        <v>-2098.7011206900002</v>
      </c>
      <c r="W289" s="765">
        <v>0.92711779000000005</v>
      </c>
      <c r="X289" s="290">
        <v>0</v>
      </c>
      <c r="Y289" s="290"/>
      <c r="Z289" s="290">
        <v>67810.433000000005</v>
      </c>
      <c r="AA289" s="290">
        <v>0</v>
      </c>
      <c r="AB289" s="290">
        <v>65</v>
      </c>
      <c r="AC289" s="290">
        <v>135</v>
      </c>
      <c r="AD289" s="290">
        <v>68</v>
      </c>
      <c r="AE289" s="290">
        <v>0</v>
      </c>
      <c r="AF289" s="290">
        <v>0</v>
      </c>
      <c r="AG289" s="290">
        <v>2464</v>
      </c>
      <c r="AH289" s="290">
        <v>406</v>
      </c>
      <c r="AI289" s="290">
        <v>1400</v>
      </c>
      <c r="AJ289" s="290">
        <v>0</v>
      </c>
      <c r="AK289" s="290">
        <v>0</v>
      </c>
      <c r="AL289" s="290">
        <v>0</v>
      </c>
      <c r="AM289" s="957">
        <v>3.3205419999999999E-2</v>
      </c>
      <c r="AN289" s="290">
        <v>0</v>
      </c>
      <c r="AO289" s="290">
        <v>-746.64963329</v>
      </c>
      <c r="AP289" s="290">
        <v>0</v>
      </c>
      <c r="AQ289" s="290">
        <v>0</v>
      </c>
      <c r="AR289" s="290">
        <v>221.37195869999999</v>
      </c>
      <c r="AS289" s="290">
        <v>217.25049999999999</v>
      </c>
      <c r="AT289" s="290">
        <v>106</v>
      </c>
      <c r="AU289" s="290">
        <v>16</v>
      </c>
      <c r="AV289" s="766">
        <v>97009</v>
      </c>
      <c r="AW289" s="290">
        <v>350</v>
      </c>
      <c r="AX289" s="766">
        <v>11.208349999999999</v>
      </c>
      <c r="AY289" s="290">
        <v>373</v>
      </c>
      <c r="AZ289" s="290">
        <v>121</v>
      </c>
      <c r="BA289" s="290">
        <v>47</v>
      </c>
      <c r="BB289" s="290">
        <v>6034</v>
      </c>
      <c r="BC289" s="290">
        <v>4180.9810066700002</v>
      </c>
      <c r="BD289" s="290"/>
      <c r="BE289" s="290">
        <v>91249.431310190004</v>
      </c>
      <c r="BF289" s="290">
        <v>0</v>
      </c>
      <c r="BG289" s="290">
        <v>2017</v>
      </c>
      <c r="BH289" s="290">
        <v>500</v>
      </c>
      <c r="BI289" s="290">
        <v>609</v>
      </c>
      <c r="BJ289" s="290">
        <v>29</v>
      </c>
      <c r="BK289" s="290">
        <v>87</v>
      </c>
      <c r="BL289" s="290">
        <v>0</v>
      </c>
      <c r="BM289" s="290">
        <v>0</v>
      </c>
      <c r="BN289" s="290">
        <v>55</v>
      </c>
      <c r="BO289" s="290">
        <v>-17</v>
      </c>
      <c r="BP289" s="290">
        <v>228</v>
      </c>
      <c r="BQ289" s="290">
        <v>455</v>
      </c>
      <c r="BR289" s="290">
        <v>345</v>
      </c>
      <c r="BS289" s="290">
        <v>51</v>
      </c>
      <c r="BT289" s="290">
        <v>0</v>
      </c>
      <c r="BU289" s="290">
        <v>0</v>
      </c>
      <c r="BV289" s="290">
        <v>50</v>
      </c>
      <c r="BW289" s="290">
        <v>0</v>
      </c>
      <c r="BX289" s="290">
        <v>0</v>
      </c>
      <c r="BY289" s="290">
        <v>314</v>
      </c>
      <c r="BZ289" s="290">
        <v>200</v>
      </c>
      <c r="CA289" s="290">
        <v>2354.3000000000002</v>
      </c>
      <c r="CB289" s="290">
        <v>34</v>
      </c>
      <c r="CC289" s="290">
        <v>0</v>
      </c>
      <c r="CD289" s="290">
        <v>0</v>
      </c>
      <c r="CE289" s="290">
        <v>67810.433000000005</v>
      </c>
      <c r="CF289" s="290">
        <v>0</v>
      </c>
      <c r="CG289" s="290">
        <v>0</v>
      </c>
      <c r="CH289" s="290">
        <v>0</v>
      </c>
      <c r="CI289" s="290">
        <v>0</v>
      </c>
      <c r="CJ289" s="290"/>
    </row>
    <row r="290" spans="1:88" ht="13">
      <c r="A290" s="1">
        <v>5025</v>
      </c>
      <c r="B290" s="4" t="s">
        <v>134</v>
      </c>
      <c r="C290" s="289">
        <v>5550</v>
      </c>
      <c r="D290" s="290">
        <v>88</v>
      </c>
      <c r="E290" s="290">
        <v>196</v>
      </c>
      <c r="F290" s="290">
        <v>558</v>
      </c>
      <c r="G290" s="290">
        <v>423</v>
      </c>
      <c r="H290" s="290">
        <v>3067</v>
      </c>
      <c r="I290" s="290">
        <v>918</v>
      </c>
      <c r="J290" s="290">
        <v>272</v>
      </c>
      <c r="K290" s="290">
        <v>58</v>
      </c>
      <c r="L290" s="290">
        <v>46</v>
      </c>
      <c r="M290" s="290">
        <v>579</v>
      </c>
      <c r="N290" s="290">
        <v>75</v>
      </c>
      <c r="O290" s="290">
        <v>33</v>
      </c>
      <c r="P290" s="624">
        <v>33805.203333329999</v>
      </c>
      <c r="Q290" s="624">
        <v>17388.27366667</v>
      </c>
      <c r="R290" s="1039">
        <v>20</v>
      </c>
      <c r="S290" s="290">
        <v>0</v>
      </c>
      <c r="T290" s="290">
        <v>569</v>
      </c>
      <c r="U290" s="958">
        <v>2.3054288900841214E-3</v>
      </c>
      <c r="V290" s="290">
        <v>2920.2185282</v>
      </c>
      <c r="W290" s="765">
        <v>0.68045449000000002</v>
      </c>
      <c r="X290" s="290">
        <v>350</v>
      </c>
      <c r="Y290" s="290"/>
      <c r="Z290" s="290">
        <v>170572.24799999999</v>
      </c>
      <c r="AA290" s="290">
        <v>0</v>
      </c>
      <c r="AB290" s="290">
        <v>96</v>
      </c>
      <c r="AC290" s="290">
        <v>247</v>
      </c>
      <c r="AD290" s="290">
        <v>121</v>
      </c>
      <c r="AE290" s="290">
        <v>0</v>
      </c>
      <c r="AF290" s="290">
        <v>0</v>
      </c>
      <c r="AG290" s="290">
        <v>5580</v>
      </c>
      <c r="AH290" s="290">
        <v>810</v>
      </c>
      <c r="AI290" s="290">
        <v>800</v>
      </c>
      <c r="AJ290" s="290">
        <v>0</v>
      </c>
      <c r="AK290" s="290">
        <v>0</v>
      </c>
      <c r="AL290" s="290">
        <v>0</v>
      </c>
      <c r="AM290" s="957">
        <v>3.0009669999999999E-2</v>
      </c>
      <c r="AN290" s="290">
        <v>7909</v>
      </c>
      <c r="AO290" s="290">
        <v>-1461.67576007</v>
      </c>
      <c r="AP290" s="290">
        <v>0</v>
      </c>
      <c r="AQ290" s="290">
        <v>0</v>
      </c>
      <c r="AR290" s="290">
        <v>-210.73702097</v>
      </c>
      <c r="AS290" s="290">
        <v>388.18549999999999</v>
      </c>
      <c r="AT290" s="290">
        <v>204</v>
      </c>
      <c r="AU290" s="290">
        <v>29</v>
      </c>
      <c r="AV290" s="766">
        <v>166747</v>
      </c>
      <c r="AW290" s="290">
        <v>400</v>
      </c>
      <c r="AX290" s="766">
        <v>26.166699999999999</v>
      </c>
      <c r="AY290" s="290">
        <v>1317</v>
      </c>
      <c r="AZ290" s="290">
        <v>158</v>
      </c>
      <c r="BA290" s="290">
        <v>115</v>
      </c>
      <c r="BB290" s="290">
        <v>0</v>
      </c>
      <c r="BC290" s="290">
        <v>7621.0787254300003</v>
      </c>
      <c r="BD290" s="290"/>
      <c r="BE290" s="290">
        <v>158226.82144664999</v>
      </c>
      <c r="BF290" s="290">
        <v>0</v>
      </c>
      <c r="BG290" s="290">
        <v>4568</v>
      </c>
      <c r="BH290" s="290">
        <v>1000</v>
      </c>
      <c r="BI290" s="290">
        <v>1178</v>
      </c>
      <c r="BJ290" s="290">
        <v>65</v>
      </c>
      <c r="BK290" s="290">
        <v>177</v>
      </c>
      <c r="BL290" s="290">
        <v>0</v>
      </c>
      <c r="BM290" s="290">
        <v>0</v>
      </c>
      <c r="BN290" s="290">
        <v>110</v>
      </c>
      <c r="BO290" s="290">
        <v>-41</v>
      </c>
      <c r="BP290" s="290">
        <v>515</v>
      </c>
      <c r="BQ290" s="290">
        <v>1029</v>
      </c>
      <c r="BR290" s="290">
        <v>779</v>
      </c>
      <c r="BS290" s="290">
        <v>91</v>
      </c>
      <c r="BT290" s="290">
        <v>0</v>
      </c>
      <c r="BU290" s="290">
        <v>0</v>
      </c>
      <c r="BV290" s="290">
        <v>102</v>
      </c>
      <c r="BW290" s="290">
        <v>0</v>
      </c>
      <c r="BX290" s="290">
        <v>0</v>
      </c>
      <c r="BY290" s="290">
        <v>683</v>
      </c>
      <c r="BZ290" s="290">
        <v>600</v>
      </c>
      <c r="CA290" s="290">
        <v>279.19</v>
      </c>
      <c r="CB290" s="290">
        <v>57</v>
      </c>
      <c r="CC290" s="290">
        <v>0</v>
      </c>
      <c r="CD290" s="290">
        <v>102</v>
      </c>
      <c r="CE290" s="290">
        <v>170572.24799999999</v>
      </c>
      <c r="CF290" s="290">
        <v>0</v>
      </c>
      <c r="CG290" s="290">
        <v>0</v>
      </c>
      <c r="CH290" s="290">
        <v>0</v>
      </c>
      <c r="CI290" s="290">
        <v>0</v>
      </c>
      <c r="CJ290" s="290"/>
    </row>
    <row r="291" spans="1:88" ht="13">
      <c r="A291" s="1">
        <v>5026</v>
      </c>
      <c r="B291" s="2" t="s">
        <v>135</v>
      </c>
      <c r="C291" s="289">
        <v>1968</v>
      </c>
      <c r="D291" s="290">
        <v>29</v>
      </c>
      <c r="E291" s="290">
        <v>58</v>
      </c>
      <c r="F291" s="290">
        <v>221</v>
      </c>
      <c r="G291" s="290">
        <v>153</v>
      </c>
      <c r="H291" s="290">
        <v>1043</v>
      </c>
      <c r="I291" s="290">
        <v>345</v>
      </c>
      <c r="J291" s="290">
        <v>118</v>
      </c>
      <c r="K291" s="290">
        <v>18</v>
      </c>
      <c r="L291" s="290">
        <v>19</v>
      </c>
      <c r="M291" s="290">
        <v>206</v>
      </c>
      <c r="N291" s="290">
        <v>1.5</v>
      </c>
      <c r="O291" s="290">
        <v>10</v>
      </c>
      <c r="P291" s="624">
        <v>14516.63</v>
      </c>
      <c r="Q291" s="624">
        <v>4675.95</v>
      </c>
      <c r="R291" s="1039">
        <v>10</v>
      </c>
      <c r="S291" s="290">
        <v>0</v>
      </c>
      <c r="T291" s="290">
        <v>142</v>
      </c>
      <c r="U291" s="958">
        <v>2.1735835038108444E-3</v>
      </c>
      <c r="V291" s="290">
        <v>1200.49880788</v>
      </c>
      <c r="W291" s="765">
        <v>1</v>
      </c>
      <c r="X291" s="290">
        <v>0</v>
      </c>
      <c r="Y291" s="290"/>
      <c r="Z291" s="290">
        <v>50318.663999999997</v>
      </c>
      <c r="AA291" s="290">
        <v>0</v>
      </c>
      <c r="AB291" s="290">
        <v>51</v>
      </c>
      <c r="AC291" s="290">
        <v>105</v>
      </c>
      <c r="AD291" s="290">
        <v>57</v>
      </c>
      <c r="AE291" s="290">
        <v>0</v>
      </c>
      <c r="AF291" s="290">
        <v>0</v>
      </c>
      <c r="AG291" s="290">
        <v>1985</v>
      </c>
      <c r="AH291" s="290">
        <v>289</v>
      </c>
      <c r="AI291" s="290">
        <v>0</v>
      </c>
      <c r="AJ291" s="290">
        <v>0</v>
      </c>
      <c r="AK291" s="290">
        <v>0</v>
      </c>
      <c r="AL291" s="290">
        <v>0</v>
      </c>
      <c r="AM291" s="957">
        <v>1.0306900000000001E-2</v>
      </c>
      <c r="AN291" s="290">
        <v>0</v>
      </c>
      <c r="AO291" s="290">
        <v>-600.89338881000003</v>
      </c>
      <c r="AP291" s="290">
        <v>0</v>
      </c>
      <c r="AQ291" s="290">
        <v>0</v>
      </c>
      <c r="AR291" s="290">
        <v>-74.966485059999997</v>
      </c>
      <c r="AS291" s="290">
        <v>166.59450000000001</v>
      </c>
      <c r="AT291" s="290">
        <v>64</v>
      </c>
      <c r="AU291" s="290">
        <v>8</v>
      </c>
      <c r="AV291" s="766">
        <v>80094</v>
      </c>
      <c r="AW291" s="290">
        <v>0</v>
      </c>
      <c r="AX291" s="766">
        <v>6.7916999999999996</v>
      </c>
      <c r="AY291" s="290">
        <v>339</v>
      </c>
      <c r="AZ291" s="290">
        <v>79</v>
      </c>
      <c r="BA291" s="290">
        <v>25</v>
      </c>
      <c r="BB291" s="290">
        <v>6034</v>
      </c>
      <c r="BC291" s="290">
        <v>3290.65962601</v>
      </c>
      <c r="BD291" s="290"/>
      <c r="BE291" s="290">
        <v>77401.279313220002</v>
      </c>
      <c r="BF291" s="290">
        <v>0</v>
      </c>
      <c r="BG291" s="290">
        <v>1625</v>
      </c>
      <c r="BH291" s="290">
        <v>500</v>
      </c>
      <c r="BI291" s="290">
        <v>451</v>
      </c>
      <c r="BJ291" s="290">
        <v>23</v>
      </c>
      <c r="BK291" s="290">
        <v>51</v>
      </c>
      <c r="BL291" s="290">
        <v>0</v>
      </c>
      <c r="BM291" s="290">
        <v>0</v>
      </c>
      <c r="BN291" s="290">
        <v>32</v>
      </c>
      <c r="BO291" s="290">
        <v>-12</v>
      </c>
      <c r="BP291" s="290">
        <v>183</v>
      </c>
      <c r="BQ291" s="290">
        <v>365</v>
      </c>
      <c r="BR291" s="290">
        <v>276</v>
      </c>
      <c r="BS291" s="290">
        <v>43</v>
      </c>
      <c r="BT291" s="290">
        <v>0</v>
      </c>
      <c r="BU291" s="290">
        <v>0</v>
      </c>
      <c r="BV291" s="290">
        <v>29</v>
      </c>
      <c r="BW291" s="290">
        <v>0</v>
      </c>
      <c r="BX291" s="290">
        <v>0</v>
      </c>
      <c r="BY291" s="290">
        <v>258</v>
      </c>
      <c r="BZ291" s="290">
        <v>900</v>
      </c>
      <c r="CA291" s="290">
        <v>1492.3000000000002</v>
      </c>
      <c r="CB291" s="290">
        <v>31</v>
      </c>
      <c r="CC291" s="290">
        <v>0</v>
      </c>
      <c r="CD291" s="290">
        <v>0</v>
      </c>
      <c r="CE291" s="290">
        <v>50318.663999999997</v>
      </c>
      <c r="CF291" s="290">
        <v>0</v>
      </c>
      <c r="CG291" s="290">
        <v>0</v>
      </c>
      <c r="CH291" s="290">
        <v>0</v>
      </c>
      <c r="CI291" s="290">
        <v>0</v>
      </c>
      <c r="CJ291" s="290"/>
    </row>
    <row r="292" spans="1:88" ht="13">
      <c r="A292" s="1">
        <v>5027</v>
      </c>
      <c r="B292" s="2" t="s">
        <v>136</v>
      </c>
      <c r="C292" s="289">
        <v>6243</v>
      </c>
      <c r="D292" s="290">
        <v>117</v>
      </c>
      <c r="E292" s="290">
        <v>300</v>
      </c>
      <c r="F292" s="290">
        <v>697</v>
      </c>
      <c r="G292" s="290">
        <v>524</v>
      </c>
      <c r="H292" s="290">
        <v>3450</v>
      </c>
      <c r="I292" s="290">
        <v>793</v>
      </c>
      <c r="J292" s="290">
        <v>282</v>
      </c>
      <c r="K292" s="290">
        <v>72</v>
      </c>
      <c r="L292" s="290">
        <v>48</v>
      </c>
      <c r="M292" s="290">
        <v>509</v>
      </c>
      <c r="N292" s="290">
        <v>55</v>
      </c>
      <c r="O292" s="290">
        <v>45</v>
      </c>
      <c r="P292" s="624">
        <v>104336.66033333</v>
      </c>
      <c r="Q292" s="624">
        <v>20550.302666669999</v>
      </c>
      <c r="R292" s="1039">
        <v>29</v>
      </c>
      <c r="S292" s="290">
        <v>0</v>
      </c>
      <c r="T292" s="290">
        <v>431</v>
      </c>
      <c r="U292" s="958">
        <v>6.2318791099759971E-3</v>
      </c>
      <c r="V292" s="290">
        <v>3377.5330188299999</v>
      </c>
      <c r="W292" s="765">
        <v>0.78637301000000004</v>
      </c>
      <c r="X292" s="290">
        <v>0</v>
      </c>
      <c r="Y292" s="290"/>
      <c r="Z292" s="290">
        <v>165635.58900000001</v>
      </c>
      <c r="AA292" s="290">
        <v>0</v>
      </c>
      <c r="AB292" s="290">
        <v>134</v>
      </c>
      <c r="AC292" s="290">
        <v>322</v>
      </c>
      <c r="AD292" s="290">
        <v>142</v>
      </c>
      <c r="AE292" s="290">
        <v>0</v>
      </c>
      <c r="AF292" s="290">
        <v>0</v>
      </c>
      <c r="AG292" s="290">
        <v>6235</v>
      </c>
      <c r="AH292" s="290">
        <v>1038</v>
      </c>
      <c r="AI292" s="290">
        <v>1250</v>
      </c>
      <c r="AJ292" s="290">
        <v>0</v>
      </c>
      <c r="AK292" s="290">
        <v>0</v>
      </c>
      <c r="AL292" s="290">
        <v>0</v>
      </c>
      <c r="AM292" s="957">
        <v>6.3324610000000003E-2</v>
      </c>
      <c r="AN292" s="290">
        <v>0</v>
      </c>
      <c r="AO292" s="290">
        <v>-1743.4349702100001</v>
      </c>
      <c r="AP292" s="290">
        <v>0</v>
      </c>
      <c r="AQ292" s="290">
        <v>0</v>
      </c>
      <c r="AR292" s="290">
        <v>-235.47407272000001</v>
      </c>
      <c r="AS292" s="290">
        <v>490.21</v>
      </c>
      <c r="AT292" s="290">
        <v>279</v>
      </c>
      <c r="AU292" s="290">
        <v>48</v>
      </c>
      <c r="AV292" s="766">
        <v>198224</v>
      </c>
      <c r="AW292" s="290">
        <v>900</v>
      </c>
      <c r="AX292" s="766">
        <v>38.083350000000003</v>
      </c>
      <c r="AY292" s="290">
        <v>907</v>
      </c>
      <c r="AZ292" s="290">
        <v>184</v>
      </c>
      <c r="BA292" s="290">
        <v>92</v>
      </c>
      <c r="BB292" s="290">
        <v>0</v>
      </c>
      <c r="BC292" s="290">
        <v>9191.2892945999993</v>
      </c>
      <c r="BD292" s="290"/>
      <c r="BE292" s="290">
        <v>192141.26304188999</v>
      </c>
      <c r="BF292" s="290">
        <v>0</v>
      </c>
      <c r="BG292" s="290">
        <v>5104</v>
      </c>
      <c r="BH292" s="290">
        <v>1000</v>
      </c>
      <c r="BI292" s="290">
        <v>1502</v>
      </c>
      <c r="BJ292" s="290">
        <v>72</v>
      </c>
      <c r="BK292" s="290">
        <v>250</v>
      </c>
      <c r="BL292" s="290">
        <v>0</v>
      </c>
      <c r="BM292" s="290">
        <v>0</v>
      </c>
      <c r="BN292" s="290">
        <v>157</v>
      </c>
      <c r="BO292" s="290">
        <v>-40</v>
      </c>
      <c r="BP292" s="290">
        <v>579</v>
      </c>
      <c r="BQ292" s="290">
        <v>1158</v>
      </c>
      <c r="BR292" s="290">
        <v>877</v>
      </c>
      <c r="BS292" s="290">
        <v>107</v>
      </c>
      <c r="BT292" s="290">
        <v>0</v>
      </c>
      <c r="BU292" s="290">
        <v>0</v>
      </c>
      <c r="BV292" s="290">
        <v>144</v>
      </c>
      <c r="BW292" s="290">
        <v>0</v>
      </c>
      <c r="BX292" s="290">
        <v>0</v>
      </c>
      <c r="BY292" s="290">
        <v>651</v>
      </c>
      <c r="BZ292" s="290">
        <v>700</v>
      </c>
      <c r="CA292" s="290">
        <v>333.00799999999998</v>
      </c>
      <c r="CB292" s="290">
        <v>64</v>
      </c>
      <c r="CC292" s="290">
        <v>0</v>
      </c>
      <c r="CD292" s="290">
        <v>0</v>
      </c>
      <c r="CE292" s="290">
        <v>165635.58900000001</v>
      </c>
      <c r="CF292" s="290">
        <v>0</v>
      </c>
      <c r="CG292" s="290">
        <v>0</v>
      </c>
      <c r="CH292" s="290">
        <v>0</v>
      </c>
      <c r="CI292" s="290">
        <v>0</v>
      </c>
      <c r="CJ292" s="290"/>
    </row>
    <row r="293" spans="1:88" ht="13">
      <c r="A293" s="1">
        <v>5028</v>
      </c>
      <c r="B293" s="2" t="s">
        <v>137</v>
      </c>
      <c r="C293" s="289">
        <v>16949</v>
      </c>
      <c r="D293" s="290">
        <v>348</v>
      </c>
      <c r="E293" s="290">
        <v>824</v>
      </c>
      <c r="F293" s="290">
        <v>2216</v>
      </c>
      <c r="G293" s="290">
        <v>1557</v>
      </c>
      <c r="H293" s="290">
        <v>9304</v>
      </c>
      <c r="I293" s="290">
        <v>1865</v>
      </c>
      <c r="J293" s="290">
        <v>600</v>
      </c>
      <c r="K293" s="290">
        <v>127</v>
      </c>
      <c r="L293" s="290">
        <v>118</v>
      </c>
      <c r="M293" s="290">
        <v>1032</v>
      </c>
      <c r="N293" s="290">
        <v>203</v>
      </c>
      <c r="O293" s="290">
        <v>120</v>
      </c>
      <c r="P293" s="624">
        <v>88813.769</v>
      </c>
      <c r="Q293" s="624">
        <v>32868.225333330003</v>
      </c>
      <c r="R293" s="1039">
        <v>77</v>
      </c>
      <c r="S293" s="290">
        <v>0</v>
      </c>
      <c r="T293" s="290">
        <v>1094</v>
      </c>
      <c r="U293" s="958">
        <v>5.6464778113589683E-3</v>
      </c>
      <c r="V293" s="290">
        <v>887.72054028000002</v>
      </c>
      <c r="W293" s="765">
        <v>0.61438188000000005</v>
      </c>
      <c r="X293" s="290">
        <v>3970</v>
      </c>
      <c r="Y293" s="290"/>
      <c r="Z293" s="290">
        <v>485438.663</v>
      </c>
      <c r="AA293" s="290">
        <v>0</v>
      </c>
      <c r="AB293" s="290">
        <v>434</v>
      </c>
      <c r="AC293" s="290">
        <v>926</v>
      </c>
      <c r="AD293" s="290">
        <v>317</v>
      </c>
      <c r="AE293" s="290">
        <v>0</v>
      </c>
      <c r="AF293" s="290">
        <v>0</v>
      </c>
      <c r="AG293" s="290">
        <v>16841</v>
      </c>
      <c r="AH293" s="290">
        <v>3213</v>
      </c>
      <c r="AI293" s="290">
        <v>3150</v>
      </c>
      <c r="AJ293" s="290">
        <v>0</v>
      </c>
      <c r="AK293" s="290">
        <v>0</v>
      </c>
      <c r="AL293" s="290">
        <v>0</v>
      </c>
      <c r="AM293" s="957">
        <v>0.24533868</v>
      </c>
      <c r="AN293" s="290">
        <v>0</v>
      </c>
      <c r="AO293" s="290">
        <v>-4355.72835803</v>
      </c>
      <c r="AP293" s="290">
        <v>0</v>
      </c>
      <c r="AQ293" s="290">
        <v>0</v>
      </c>
      <c r="AR293" s="290">
        <v>-636.02547852999999</v>
      </c>
      <c r="AS293" s="290">
        <v>1379.499</v>
      </c>
      <c r="AT293" s="290">
        <v>756</v>
      </c>
      <c r="AU293" s="290">
        <v>144</v>
      </c>
      <c r="AV293" s="766">
        <v>463643</v>
      </c>
      <c r="AW293" s="290">
        <v>1100</v>
      </c>
      <c r="AX293" s="766">
        <v>89.375050000000002</v>
      </c>
      <c r="AY293" s="290">
        <v>3170</v>
      </c>
      <c r="AZ293" s="290">
        <v>631</v>
      </c>
      <c r="BA293" s="290">
        <v>335</v>
      </c>
      <c r="BB293" s="290">
        <v>0</v>
      </c>
      <c r="BC293" s="290">
        <v>23746.74225037</v>
      </c>
      <c r="BD293" s="290"/>
      <c r="BE293" s="290">
        <v>437281.73673494998</v>
      </c>
      <c r="BF293" s="290">
        <v>0</v>
      </c>
      <c r="BG293" s="290">
        <v>13786</v>
      </c>
      <c r="BH293" s="290">
        <v>1000</v>
      </c>
      <c r="BI293" s="290">
        <v>4456</v>
      </c>
      <c r="BJ293" s="290">
        <v>191</v>
      </c>
      <c r="BK293" s="290">
        <v>690</v>
      </c>
      <c r="BL293" s="290">
        <v>0</v>
      </c>
      <c r="BM293" s="290">
        <v>0</v>
      </c>
      <c r="BN293" s="290">
        <v>432</v>
      </c>
      <c r="BO293" s="290">
        <v>-117</v>
      </c>
      <c r="BP293" s="290">
        <v>1572</v>
      </c>
      <c r="BQ293" s="290">
        <v>3144</v>
      </c>
      <c r="BR293" s="290">
        <v>2380</v>
      </c>
      <c r="BS293" s="290">
        <v>238</v>
      </c>
      <c r="BT293" s="290">
        <v>0</v>
      </c>
      <c r="BU293" s="290">
        <v>0</v>
      </c>
      <c r="BV293" s="290">
        <v>397</v>
      </c>
      <c r="BW293" s="290">
        <v>0</v>
      </c>
      <c r="BX293" s="290">
        <v>0</v>
      </c>
      <c r="BY293" s="290">
        <v>1676</v>
      </c>
      <c r="BZ293" s="290">
        <v>3500</v>
      </c>
      <c r="CA293" s="290">
        <v>3652.9</v>
      </c>
      <c r="CB293" s="290">
        <v>153</v>
      </c>
      <c r="CC293" s="290">
        <v>1</v>
      </c>
      <c r="CD293" s="290">
        <v>0</v>
      </c>
      <c r="CE293" s="290">
        <v>485438.663</v>
      </c>
      <c r="CF293" s="290">
        <v>0</v>
      </c>
      <c r="CG293" s="290">
        <v>0</v>
      </c>
      <c r="CH293" s="290">
        <v>0</v>
      </c>
      <c r="CI293" s="290">
        <v>0</v>
      </c>
      <c r="CJ293" s="290"/>
    </row>
    <row r="294" spans="1:88" ht="13">
      <c r="A294" s="1">
        <v>5029</v>
      </c>
      <c r="B294" s="2" t="s">
        <v>138</v>
      </c>
      <c r="C294" s="289">
        <v>8367</v>
      </c>
      <c r="D294" s="290">
        <v>192</v>
      </c>
      <c r="E294" s="290">
        <v>503</v>
      </c>
      <c r="F294" s="290">
        <v>1289</v>
      </c>
      <c r="G294" s="290">
        <v>650</v>
      </c>
      <c r="H294" s="290">
        <v>4661</v>
      </c>
      <c r="I294" s="290">
        <v>794</v>
      </c>
      <c r="J294" s="290">
        <v>229</v>
      </c>
      <c r="K294" s="290">
        <v>52</v>
      </c>
      <c r="L294" s="290">
        <v>61</v>
      </c>
      <c r="M294" s="290">
        <v>427</v>
      </c>
      <c r="N294" s="290">
        <v>59</v>
      </c>
      <c r="O294" s="290">
        <v>54</v>
      </c>
      <c r="P294" s="624">
        <v>32591.911</v>
      </c>
      <c r="Q294" s="624">
        <v>17212.019</v>
      </c>
      <c r="R294" s="1039">
        <v>22</v>
      </c>
      <c r="S294" s="290">
        <v>0</v>
      </c>
      <c r="T294" s="290">
        <v>498</v>
      </c>
      <c r="U294" s="958">
        <v>2.8881640365027313E-3</v>
      </c>
      <c r="V294" s="290">
        <v>2968.6061513200002</v>
      </c>
      <c r="W294" s="765">
        <v>0.62360402999999998</v>
      </c>
      <c r="X294" s="290">
        <v>0</v>
      </c>
      <c r="Y294" s="290"/>
      <c r="Z294" s="290">
        <v>235799.02499999999</v>
      </c>
      <c r="AA294" s="290">
        <v>0</v>
      </c>
      <c r="AB294" s="290">
        <v>191</v>
      </c>
      <c r="AC294" s="290">
        <v>534</v>
      </c>
      <c r="AD294" s="290">
        <v>157</v>
      </c>
      <c r="AE294" s="290">
        <v>0</v>
      </c>
      <c r="AF294" s="290">
        <v>0</v>
      </c>
      <c r="AG294" s="290">
        <v>8370</v>
      </c>
      <c r="AH294" s="290">
        <v>1771</v>
      </c>
      <c r="AI294" s="290">
        <v>1650</v>
      </c>
      <c r="AJ294" s="290">
        <v>0</v>
      </c>
      <c r="AK294" s="290">
        <v>0</v>
      </c>
      <c r="AL294" s="290">
        <v>0</v>
      </c>
      <c r="AM294" s="957">
        <v>8.922977E-2</v>
      </c>
      <c r="AN294" s="290">
        <v>0</v>
      </c>
      <c r="AO294" s="290">
        <v>-2228.0408946100001</v>
      </c>
      <c r="AP294" s="290">
        <v>0</v>
      </c>
      <c r="AQ294" s="290">
        <v>0</v>
      </c>
      <c r="AR294" s="290">
        <v>-316.10553146000001</v>
      </c>
      <c r="AS294" s="290">
        <v>743.56949999999995</v>
      </c>
      <c r="AT294" s="290">
        <v>375</v>
      </c>
      <c r="AU294" s="290">
        <v>69</v>
      </c>
      <c r="AV294" s="766">
        <v>245702</v>
      </c>
      <c r="AW294" s="290">
        <v>0</v>
      </c>
      <c r="AX294" s="766">
        <v>73.875</v>
      </c>
      <c r="AY294" s="290">
        <v>1789</v>
      </c>
      <c r="AZ294" s="290">
        <v>239</v>
      </c>
      <c r="BA294" s="290">
        <v>173</v>
      </c>
      <c r="BB294" s="290">
        <v>0</v>
      </c>
      <c r="BC294" s="290">
        <v>12804.65349277</v>
      </c>
      <c r="BD294" s="290"/>
      <c r="BE294" s="290">
        <v>232060.44568646999</v>
      </c>
      <c r="BF294" s="290">
        <v>0</v>
      </c>
      <c r="BG294" s="290">
        <v>6852</v>
      </c>
      <c r="BH294" s="290">
        <v>1000</v>
      </c>
      <c r="BI294" s="290">
        <v>2462</v>
      </c>
      <c r="BJ294" s="290">
        <v>95</v>
      </c>
      <c r="BK294" s="290">
        <v>430</v>
      </c>
      <c r="BL294" s="290">
        <v>0</v>
      </c>
      <c r="BM294" s="290">
        <v>0</v>
      </c>
      <c r="BN294" s="290">
        <v>269</v>
      </c>
      <c r="BO294" s="290">
        <v>-51</v>
      </c>
      <c r="BP294" s="290">
        <v>776</v>
      </c>
      <c r="BQ294" s="290">
        <v>1552</v>
      </c>
      <c r="BR294" s="290">
        <v>1175</v>
      </c>
      <c r="BS294" s="290">
        <v>118</v>
      </c>
      <c r="BT294" s="290">
        <v>0</v>
      </c>
      <c r="BU294" s="290">
        <v>0</v>
      </c>
      <c r="BV294" s="290">
        <v>247</v>
      </c>
      <c r="BW294" s="290">
        <v>0</v>
      </c>
      <c r="BX294" s="290">
        <v>0</v>
      </c>
      <c r="BY294" s="290">
        <v>759</v>
      </c>
      <c r="BZ294" s="290">
        <v>1200</v>
      </c>
      <c r="CA294" s="290">
        <v>425.57100000000003</v>
      </c>
      <c r="CB294" s="290">
        <v>81</v>
      </c>
      <c r="CC294" s="290">
        <v>1</v>
      </c>
      <c r="CD294" s="290">
        <v>0</v>
      </c>
      <c r="CE294" s="290">
        <v>235799.02499999999</v>
      </c>
      <c r="CF294" s="290">
        <v>0</v>
      </c>
      <c r="CG294" s="290">
        <v>0</v>
      </c>
      <c r="CH294" s="290">
        <v>0</v>
      </c>
      <c r="CI294" s="290">
        <v>0</v>
      </c>
      <c r="CJ294" s="290"/>
    </row>
    <row r="295" spans="1:88" ht="13">
      <c r="A295" s="1">
        <v>5031</v>
      </c>
      <c r="B295" s="2" t="s">
        <v>141</v>
      </c>
      <c r="C295" s="289">
        <v>14334</v>
      </c>
      <c r="D295" s="290">
        <v>306</v>
      </c>
      <c r="E295" s="290">
        <v>754</v>
      </c>
      <c r="F295" s="290">
        <v>1995</v>
      </c>
      <c r="G295" s="290">
        <v>1265</v>
      </c>
      <c r="H295" s="290">
        <v>8069</v>
      </c>
      <c r="I295" s="290">
        <v>1338</v>
      </c>
      <c r="J295" s="290">
        <v>381</v>
      </c>
      <c r="K295" s="290">
        <v>82</v>
      </c>
      <c r="L295" s="290">
        <v>94</v>
      </c>
      <c r="M295" s="290">
        <v>626</v>
      </c>
      <c r="N295" s="290">
        <v>181</v>
      </c>
      <c r="O295" s="290">
        <v>109</v>
      </c>
      <c r="P295" s="624">
        <v>27508.131000000001</v>
      </c>
      <c r="Q295" s="624">
        <v>20106.607333330001</v>
      </c>
      <c r="R295" s="1039">
        <v>53</v>
      </c>
      <c r="S295" s="290">
        <v>0</v>
      </c>
      <c r="T295" s="290">
        <v>914</v>
      </c>
      <c r="U295" s="958">
        <v>1.3802393123411247E-3</v>
      </c>
      <c r="V295" s="290">
        <v>2030.3873825200001</v>
      </c>
      <c r="W295" s="765">
        <v>0.55978832000000001</v>
      </c>
      <c r="X295" s="290">
        <v>0</v>
      </c>
      <c r="Y295" s="290"/>
      <c r="Z295" s="290">
        <v>466120.27500000002</v>
      </c>
      <c r="AA295" s="290">
        <v>0</v>
      </c>
      <c r="AB295" s="290">
        <v>333</v>
      </c>
      <c r="AC295" s="290">
        <v>817</v>
      </c>
      <c r="AD295" s="290">
        <v>250</v>
      </c>
      <c r="AE295" s="290">
        <v>0</v>
      </c>
      <c r="AF295" s="290">
        <v>0</v>
      </c>
      <c r="AG295" s="290">
        <v>14190</v>
      </c>
      <c r="AH295" s="290">
        <v>2860</v>
      </c>
      <c r="AI295" s="290">
        <v>2250</v>
      </c>
      <c r="AJ295" s="290">
        <v>0</v>
      </c>
      <c r="AK295" s="290">
        <v>0</v>
      </c>
      <c r="AL295" s="290">
        <v>0</v>
      </c>
      <c r="AM295" s="957">
        <v>0.20284313000000001</v>
      </c>
      <c r="AN295" s="290">
        <v>0</v>
      </c>
      <c r="AO295" s="290">
        <v>-3559.85883595</v>
      </c>
      <c r="AP295" s="290">
        <v>0</v>
      </c>
      <c r="AQ295" s="290">
        <v>0</v>
      </c>
      <c r="AR295" s="290">
        <v>-535.90651032000005</v>
      </c>
      <c r="AS295" s="290">
        <v>1247.6479999999999</v>
      </c>
      <c r="AT295" s="290">
        <v>669</v>
      </c>
      <c r="AU295" s="290">
        <v>137</v>
      </c>
      <c r="AV295" s="766">
        <v>360124</v>
      </c>
      <c r="AW295" s="290">
        <v>1400</v>
      </c>
      <c r="AX295" s="766">
        <v>116.37505</v>
      </c>
      <c r="AY295" s="290">
        <v>3911</v>
      </c>
      <c r="AZ295" s="290">
        <v>443</v>
      </c>
      <c r="BA295" s="290">
        <v>252</v>
      </c>
      <c r="BB295" s="290">
        <v>0</v>
      </c>
      <c r="BC295" s="290">
        <v>19840.694876459998</v>
      </c>
      <c r="BD295" s="290"/>
      <c r="BE295" s="290">
        <v>342279.95582979999</v>
      </c>
      <c r="BF295" s="290">
        <v>0</v>
      </c>
      <c r="BG295" s="290">
        <v>11616</v>
      </c>
      <c r="BH295" s="290">
        <v>1000</v>
      </c>
      <c r="BI295" s="290">
        <v>3927</v>
      </c>
      <c r="BJ295" s="290">
        <v>164</v>
      </c>
      <c r="BK295" s="290">
        <v>669</v>
      </c>
      <c r="BL295" s="290">
        <v>0</v>
      </c>
      <c r="BM295" s="290">
        <v>0</v>
      </c>
      <c r="BN295" s="290">
        <v>418</v>
      </c>
      <c r="BO295" s="290">
        <v>-97</v>
      </c>
      <c r="BP295" s="290">
        <v>1329</v>
      </c>
      <c r="BQ295" s="290">
        <v>2659</v>
      </c>
      <c r="BR295" s="290">
        <v>2013</v>
      </c>
      <c r="BS295" s="290">
        <v>188</v>
      </c>
      <c r="BT295" s="290">
        <v>0</v>
      </c>
      <c r="BU295" s="290">
        <v>0</v>
      </c>
      <c r="BV295" s="290">
        <v>385</v>
      </c>
      <c r="BW295" s="290">
        <v>0</v>
      </c>
      <c r="BX295" s="290">
        <v>0</v>
      </c>
      <c r="BY295" s="290">
        <v>1264</v>
      </c>
      <c r="BZ295" s="290">
        <v>3100</v>
      </c>
      <c r="CA295" s="290">
        <v>1373.9</v>
      </c>
      <c r="CB295" s="290">
        <v>130</v>
      </c>
      <c r="CC295" s="290">
        <v>1</v>
      </c>
      <c r="CD295" s="290">
        <v>0</v>
      </c>
      <c r="CE295" s="290">
        <v>466120.27500000002</v>
      </c>
      <c r="CF295" s="290">
        <v>0</v>
      </c>
      <c r="CG295" s="290">
        <v>0</v>
      </c>
      <c r="CH295" s="290">
        <v>0</v>
      </c>
      <c r="CI295" s="290">
        <v>0</v>
      </c>
      <c r="CJ295" s="290"/>
    </row>
    <row r="296" spans="1:88" ht="13">
      <c r="A296" s="1">
        <v>5032</v>
      </c>
      <c r="B296" s="2" t="s">
        <v>142</v>
      </c>
      <c r="C296" s="289">
        <v>4069</v>
      </c>
      <c r="D296" s="290">
        <v>75</v>
      </c>
      <c r="E296" s="290">
        <v>167</v>
      </c>
      <c r="F296" s="290">
        <v>460</v>
      </c>
      <c r="G296" s="290">
        <v>335</v>
      </c>
      <c r="H296" s="290">
        <v>2183</v>
      </c>
      <c r="I296" s="290">
        <v>568</v>
      </c>
      <c r="J296" s="290">
        <v>221</v>
      </c>
      <c r="K296" s="290">
        <v>61</v>
      </c>
      <c r="L296" s="290">
        <v>30</v>
      </c>
      <c r="M296" s="290">
        <v>365</v>
      </c>
      <c r="N296" s="290">
        <v>23</v>
      </c>
      <c r="O296" s="290">
        <v>18</v>
      </c>
      <c r="P296" s="624">
        <v>31136.957666670001</v>
      </c>
      <c r="Q296" s="624">
        <v>15739.89633333</v>
      </c>
      <c r="R296" s="1039">
        <v>22</v>
      </c>
      <c r="S296" s="290">
        <v>0</v>
      </c>
      <c r="T296" s="290">
        <v>323</v>
      </c>
      <c r="U296" s="958">
        <v>3.2676088148731641E-3</v>
      </c>
      <c r="V296" s="290">
        <v>2355.1752827099999</v>
      </c>
      <c r="W296" s="765">
        <v>0.79246274000000005</v>
      </c>
      <c r="X296" s="290">
        <v>590</v>
      </c>
      <c r="Y296" s="290"/>
      <c r="Z296" s="290">
        <v>114143.08</v>
      </c>
      <c r="AA296" s="290">
        <v>0</v>
      </c>
      <c r="AB296" s="290">
        <v>106</v>
      </c>
      <c r="AC296" s="290">
        <v>207</v>
      </c>
      <c r="AD296" s="290">
        <v>95</v>
      </c>
      <c r="AE296" s="290">
        <v>0</v>
      </c>
      <c r="AF296" s="290">
        <v>0</v>
      </c>
      <c r="AG296" s="290">
        <v>4070</v>
      </c>
      <c r="AH296" s="290">
        <v>677</v>
      </c>
      <c r="AI296" s="290">
        <v>460</v>
      </c>
      <c r="AJ296" s="290">
        <v>0</v>
      </c>
      <c r="AK296" s="290">
        <v>124</v>
      </c>
      <c r="AL296" s="290">
        <v>0</v>
      </c>
      <c r="AM296" s="957">
        <v>3.1462660000000003E-2</v>
      </c>
      <c r="AN296" s="290">
        <v>1225</v>
      </c>
      <c r="AO296" s="290">
        <v>-1178.8510305699999</v>
      </c>
      <c r="AP296" s="290">
        <v>0</v>
      </c>
      <c r="AQ296" s="290">
        <v>0</v>
      </c>
      <c r="AR296" s="290">
        <v>-153.70961923999999</v>
      </c>
      <c r="AS296" s="290">
        <v>342.82799999999997</v>
      </c>
      <c r="AT296" s="290">
        <v>153</v>
      </c>
      <c r="AU296" s="290">
        <v>29</v>
      </c>
      <c r="AV296" s="766">
        <v>40052</v>
      </c>
      <c r="AW296" s="290">
        <v>0</v>
      </c>
      <c r="AX296" s="766">
        <v>30.791650000000001</v>
      </c>
      <c r="AY296" s="290">
        <v>742</v>
      </c>
      <c r="AZ296" s="290">
        <v>117</v>
      </c>
      <c r="BA296" s="290">
        <v>68</v>
      </c>
      <c r="BB296" s="290">
        <v>0</v>
      </c>
      <c r="BC296" s="290">
        <v>-94611.674288330003</v>
      </c>
      <c r="BD296" s="290"/>
      <c r="BE296" s="290">
        <v>32301.089765090001</v>
      </c>
      <c r="BF296" s="290">
        <v>0</v>
      </c>
      <c r="BG296" s="290">
        <v>3332</v>
      </c>
      <c r="BH296" s="290">
        <v>1000</v>
      </c>
      <c r="BI296" s="290">
        <v>-103093</v>
      </c>
      <c r="BJ296" s="290">
        <v>47</v>
      </c>
      <c r="BK296" s="290">
        <v>149</v>
      </c>
      <c r="BL296" s="290">
        <v>-104196</v>
      </c>
      <c r="BM296" s="290">
        <v>0</v>
      </c>
      <c r="BN296" s="290">
        <v>93</v>
      </c>
      <c r="BO296" s="290">
        <v>-27</v>
      </c>
      <c r="BP296" s="290">
        <v>377</v>
      </c>
      <c r="BQ296" s="290">
        <v>755</v>
      </c>
      <c r="BR296" s="290">
        <v>571</v>
      </c>
      <c r="BS296" s="290">
        <v>71</v>
      </c>
      <c r="BT296" s="290">
        <v>0</v>
      </c>
      <c r="BU296" s="290">
        <v>0</v>
      </c>
      <c r="BV296" s="290">
        <v>86</v>
      </c>
      <c r="BW296" s="290">
        <v>0</v>
      </c>
      <c r="BX296" s="290">
        <v>0</v>
      </c>
      <c r="BY296" s="290">
        <v>482</v>
      </c>
      <c r="BZ296" s="290">
        <v>500</v>
      </c>
      <c r="CA296" s="290">
        <v>225.16900000000001</v>
      </c>
      <c r="CB296" s="290">
        <v>46</v>
      </c>
      <c r="CC296" s="290">
        <v>0</v>
      </c>
      <c r="CD296" s="290">
        <v>0</v>
      </c>
      <c r="CE296" s="290">
        <v>114143.08</v>
      </c>
      <c r="CF296" s="290">
        <v>0</v>
      </c>
      <c r="CG296" s="290">
        <v>0</v>
      </c>
      <c r="CH296" s="290">
        <v>0</v>
      </c>
      <c r="CI296" s="290">
        <v>0</v>
      </c>
      <c r="CJ296" s="290"/>
    </row>
    <row r="297" spans="1:88" ht="13">
      <c r="A297" s="1">
        <v>5033</v>
      </c>
      <c r="B297" s="2" t="s">
        <v>143</v>
      </c>
      <c r="C297" s="289">
        <v>759</v>
      </c>
      <c r="D297" s="290">
        <v>12</v>
      </c>
      <c r="E297" s="290">
        <v>29</v>
      </c>
      <c r="F297" s="290">
        <v>65</v>
      </c>
      <c r="G297" s="290">
        <v>59</v>
      </c>
      <c r="H297" s="290">
        <v>408</v>
      </c>
      <c r="I297" s="290">
        <v>116</v>
      </c>
      <c r="J297" s="290">
        <v>67</v>
      </c>
      <c r="K297" s="290">
        <v>9</v>
      </c>
      <c r="L297" s="290">
        <v>6</v>
      </c>
      <c r="M297" s="290">
        <v>82</v>
      </c>
      <c r="N297" s="290">
        <v>1.5</v>
      </c>
      <c r="O297" s="290">
        <v>2</v>
      </c>
      <c r="P297" s="624">
        <v>4986.4030000000002</v>
      </c>
      <c r="Q297" s="624">
        <v>4305.0259999999998</v>
      </c>
      <c r="R297" s="1039">
        <v>1</v>
      </c>
      <c r="S297" s="290">
        <v>0</v>
      </c>
      <c r="T297" s="290">
        <v>68</v>
      </c>
      <c r="U297" s="958">
        <v>9.1963557113118946E-4</v>
      </c>
      <c r="V297" s="290">
        <v>557.61635851999995</v>
      </c>
      <c r="W297" s="765">
        <v>1</v>
      </c>
      <c r="X297" s="290">
        <v>860</v>
      </c>
      <c r="Y297" s="290"/>
      <c r="Z297" s="290">
        <v>35377.728999999999</v>
      </c>
      <c r="AA297" s="290">
        <v>0</v>
      </c>
      <c r="AB297" s="290">
        <v>13</v>
      </c>
      <c r="AC297" s="290">
        <v>41</v>
      </c>
      <c r="AD297" s="290">
        <v>33</v>
      </c>
      <c r="AE297" s="290">
        <v>0</v>
      </c>
      <c r="AF297" s="290">
        <v>0</v>
      </c>
      <c r="AG297" s="290">
        <v>765</v>
      </c>
      <c r="AH297" s="290">
        <v>105</v>
      </c>
      <c r="AI297" s="290">
        <v>0</v>
      </c>
      <c r="AJ297" s="290">
        <v>0</v>
      </c>
      <c r="AK297" s="290">
        <v>0</v>
      </c>
      <c r="AL297" s="290">
        <v>0</v>
      </c>
      <c r="AM297" s="957">
        <v>2.1103900000000002E-3</v>
      </c>
      <c r="AN297" s="290">
        <v>0</v>
      </c>
      <c r="AO297" s="290">
        <v>-279.107302</v>
      </c>
      <c r="AP297" s="290">
        <v>0</v>
      </c>
      <c r="AQ297" s="290">
        <v>0</v>
      </c>
      <c r="AR297" s="290">
        <v>66.270344629999997</v>
      </c>
      <c r="AS297" s="290">
        <v>70.9345</v>
      </c>
      <c r="AT297" s="290">
        <v>16</v>
      </c>
      <c r="AU297" s="290">
        <v>3</v>
      </c>
      <c r="AV297" s="766">
        <v>40660</v>
      </c>
      <c r="AW297" s="290">
        <v>0</v>
      </c>
      <c r="AX297" s="766">
        <v>3.4166500000000002</v>
      </c>
      <c r="AY297" s="290">
        <v>130</v>
      </c>
      <c r="AZ297" s="290">
        <v>26</v>
      </c>
      <c r="BA297" s="290">
        <v>8</v>
      </c>
      <c r="BB297" s="290">
        <v>0</v>
      </c>
      <c r="BC297" s="290">
        <v>1645.10546082</v>
      </c>
      <c r="BD297" s="290"/>
      <c r="BE297" s="290">
        <v>38933.3618259</v>
      </c>
      <c r="BF297" s="290">
        <v>0</v>
      </c>
      <c r="BG297" s="290">
        <v>626</v>
      </c>
      <c r="BH297" s="290">
        <v>500</v>
      </c>
      <c r="BI297" s="290">
        <v>179</v>
      </c>
      <c r="BJ297" s="290">
        <v>11</v>
      </c>
      <c r="BK297" s="290">
        <v>25</v>
      </c>
      <c r="BL297" s="290">
        <v>0</v>
      </c>
      <c r="BM297" s="290">
        <v>0</v>
      </c>
      <c r="BN297" s="290">
        <v>15</v>
      </c>
      <c r="BO297" s="290">
        <v>-5</v>
      </c>
      <c r="BP297" s="290">
        <v>70</v>
      </c>
      <c r="BQ297" s="290">
        <v>141</v>
      </c>
      <c r="BR297" s="290">
        <v>107</v>
      </c>
      <c r="BS297" s="290">
        <v>25</v>
      </c>
      <c r="BT297" s="290">
        <v>0</v>
      </c>
      <c r="BU297" s="290">
        <v>0</v>
      </c>
      <c r="BV297" s="290">
        <v>14</v>
      </c>
      <c r="BW297" s="290">
        <v>0</v>
      </c>
      <c r="BX297" s="290">
        <v>0</v>
      </c>
      <c r="BY297" s="290">
        <v>102</v>
      </c>
      <c r="BZ297" s="290">
        <v>100</v>
      </c>
      <c r="CA297" s="290">
        <v>160.19999999999999</v>
      </c>
      <c r="CB297" s="290">
        <v>20</v>
      </c>
      <c r="CC297" s="290">
        <v>0</v>
      </c>
      <c r="CD297" s="290">
        <v>0</v>
      </c>
      <c r="CE297" s="290">
        <v>35377.728999999999</v>
      </c>
      <c r="CF297" s="290">
        <v>0</v>
      </c>
      <c r="CG297" s="290">
        <v>0</v>
      </c>
      <c r="CH297" s="290">
        <v>0</v>
      </c>
      <c r="CI297" s="290">
        <v>0</v>
      </c>
      <c r="CJ297" s="290"/>
    </row>
    <row r="298" spans="1:88" ht="13">
      <c r="A298" s="1">
        <v>5034</v>
      </c>
      <c r="B298" s="2" t="s">
        <v>146</v>
      </c>
      <c r="C298" s="289">
        <v>2413</v>
      </c>
      <c r="D298" s="290">
        <v>43</v>
      </c>
      <c r="E298" s="290">
        <v>85</v>
      </c>
      <c r="F298" s="290">
        <v>262</v>
      </c>
      <c r="G298" s="290">
        <v>177</v>
      </c>
      <c r="H298" s="290">
        <v>1315</v>
      </c>
      <c r="I298" s="290">
        <v>379</v>
      </c>
      <c r="J298" s="290">
        <v>107</v>
      </c>
      <c r="K298" s="290">
        <v>43</v>
      </c>
      <c r="L298" s="290">
        <v>21</v>
      </c>
      <c r="M298" s="290">
        <v>256</v>
      </c>
      <c r="N298" s="290">
        <v>61</v>
      </c>
      <c r="O298" s="290">
        <v>26</v>
      </c>
      <c r="P298" s="624">
        <v>8122.0940000000001</v>
      </c>
      <c r="Q298" s="624">
        <v>10222.91566667</v>
      </c>
      <c r="R298" s="1039">
        <v>8</v>
      </c>
      <c r="S298" s="290">
        <v>0</v>
      </c>
      <c r="T298" s="290">
        <v>232</v>
      </c>
      <c r="U298" s="958">
        <v>1.3482534892530914E-3</v>
      </c>
      <c r="V298" s="290">
        <v>1338.8967834</v>
      </c>
      <c r="W298" s="765">
        <v>1</v>
      </c>
      <c r="X298" s="290">
        <v>0</v>
      </c>
      <c r="Y298" s="290"/>
      <c r="Z298" s="290">
        <v>63651.06</v>
      </c>
      <c r="AA298" s="290">
        <v>0</v>
      </c>
      <c r="AB298" s="290">
        <v>69</v>
      </c>
      <c r="AC298" s="290">
        <v>125</v>
      </c>
      <c r="AD298" s="290">
        <v>64</v>
      </c>
      <c r="AE298" s="290">
        <v>0</v>
      </c>
      <c r="AF298" s="290">
        <v>0</v>
      </c>
      <c r="AG298" s="290">
        <v>2411</v>
      </c>
      <c r="AH298" s="290">
        <v>372</v>
      </c>
      <c r="AI298" s="290">
        <v>400</v>
      </c>
      <c r="AJ298" s="290">
        <v>0</v>
      </c>
      <c r="AK298" s="290">
        <v>0</v>
      </c>
      <c r="AL298" s="290">
        <v>0</v>
      </c>
      <c r="AM298" s="957">
        <v>4.6467120000000001E-2</v>
      </c>
      <c r="AN298" s="290">
        <v>0</v>
      </c>
      <c r="AO298" s="290">
        <v>-723.02326467</v>
      </c>
      <c r="AP298" s="290">
        <v>0</v>
      </c>
      <c r="AQ298" s="290">
        <v>0</v>
      </c>
      <c r="AR298" s="290">
        <v>-91.055010319999994</v>
      </c>
      <c r="AS298" s="290">
        <v>192.47200000000001</v>
      </c>
      <c r="AT298" s="290">
        <v>105</v>
      </c>
      <c r="AU298" s="290">
        <v>22</v>
      </c>
      <c r="AV298" s="766">
        <v>95889</v>
      </c>
      <c r="AW298" s="290">
        <v>0</v>
      </c>
      <c r="AX298" s="766">
        <v>17.083300000000001</v>
      </c>
      <c r="AY298" s="290">
        <v>408</v>
      </c>
      <c r="AZ298" s="290">
        <v>118</v>
      </c>
      <c r="BA298" s="290">
        <v>41</v>
      </c>
      <c r="BB298" s="290">
        <v>6034</v>
      </c>
      <c r="BC298" s="290">
        <v>3875.43972708</v>
      </c>
      <c r="BD298" s="290"/>
      <c r="BE298" s="290">
        <v>91107.465738130006</v>
      </c>
      <c r="BF298" s="290">
        <v>0</v>
      </c>
      <c r="BG298" s="290">
        <v>1974</v>
      </c>
      <c r="BH298" s="290">
        <v>500</v>
      </c>
      <c r="BI298" s="290">
        <v>561</v>
      </c>
      <c r="BJ298" s="290">
        <v>28</v>
      </c>
      <c r="BK298" s="290">
        <v>77</v>
      </c>
      <c r="BL298" s="290">
        <v>0</v>
      </c>
      <c r="BM298" s="290">
        <v>0</v>
      </c>
      <c r="BN298" s="290">
        <v>48</v>
      </c>
      <c r="BO298" s="290">
        <v>-21</v>
      </c>
      <c r="BP298" s="290">
        <v>224</v>
      </c>
      <c r="BQ298" s="290">
        <v>448</v>
      </c>
      <c r="BR298" s="290">
        <v>339</v>
      </c>
      <c r="BS298" s="290">
        <v>48</v>
      </c>
      <c r="BT298" s="290">
        <v>0</v>
      </c>
      <c r="BU298" s="290">
        <v>0</v>
      </c>
      <c r="BV298" s="290">
        <v>44</v>
      </c>
      <c r="BW298" s="290">
        <v>0</v>
      </c>
      <c r="BX298" s="290">
        <v>0</v>
      </c>
      <c r="BY298" s="290">
        <v>292</v>
      </c>
      <c r="BZ298" s="290">
        <v>500</v>
      </c>
      <c r="CA298" s="290">
        <v>138.102</v>
      </c>
      <c r="CB298" s="290">
        <v>34</v>
      </c>
      <c r="CC298" s="290">
        <v>0</v>
      </c>
      <c r="CD298" s="290">
        <v>0</v>
      </c>
      <c r="CE298" s="290">
        <v>63651.06</v>
      </c>
      <c r="CF298" s="290">
        <v>0</v>
      </c>
      <c r="CG298" s="290">
        <v>0</v>
      </c>
      <c r="CH298" s="290">
        <v>0</v>
      </c>
      <c r="CI298" s="290">
        <v>0</v>
      </c>
      <c r="CJ298" s="290"/>
    </row>
    <row r="299" spans="1:88" ht="13">
      <c r="A299" s="1">
        <v>5035</v>
      </c>
      <c r="B299" s="2" t="s">
        <v>147</v>
      </c>
      <c r="C299" s="289">
        <v>24283</v>
      </c>
      <c r="D299" s="290">
        <v>481</v>
      </c>
      <c r="E299" s="290">
        <v>1084</v>
      </c>
      <c r="F299" s="290">
        <v>3131</v>
      </c>
      <c r="G299" s="290">
        <v>2307</v>
      </c>
      <c r="H299" s="290">
        <v>13182</v>
      </c>
      <c r="I299" s="290">
        <v>2967</v>
      </c>
      <c r="J299" s="290">
        <v>868</v>
      </c>
      <c r="K299" s="290">
        <v>184</v>
      </c>
      <c r="L299" s="290">
        <v>173</v>
      </c>
      <c r="M299" s="290">
        <v>1640</v>
      </c>
      <c r="N299" s="290">
        <v>535</v>
      </c>
      <c r="O299" s="290">
        <v>194</v>
      </c>
      <c r="P299" s="624">
        <v>69624.577999999994</v>
      </c>
      <c r="Q299" s="624">
        <v>46944.908666670002</v>
      </c>
      <c r="R299" s="1039">
        <v>95</v>
      </c>
      <c r="S299" s="290">
        <v>0</v>
      </c>
      <c r="T299" s="290">
        <v>1755</v>
      </c>
      <c r="U299" s="958">
        <v>7.0597988490667708E-3</v>
      </c>
      <c r="V299" s="290">
        <v>-9960.5922498399996</v>
      </c>
      <c r="W299" s="765">
        <v>0.58233782999999995</v>
      </c>
      <c r="X299" s="290">
        <v>480</v>
      </c>
      <c r="Y299" s="290"/>
      <c r="Z299" s="290">
        <v>694242.41700000002</v>
      </c>
      <c r="AA299" s="290">
        <v>0</v>
      </c>
      <c r="AB299" s="290">
        <v>633</v>
      </c>
      <c r="AC299" s="290">
        <v>1296</v>
      </c>
      <c r="AD299" s="290">
        <v>448</v>
      </c>
      <c r="AE299" s="290">
        <v>0</v>
      </c>
      <c r="AF299" s="290">
        <v>0</v>
      </c>
      <c r="AG299" s="290">
        <v>24204</v>
      </c>
      <c r="AH299" s="290">
        <v>4490</v>
      </c>
      <c r="AI299" s="290">
        <v>5495</v>
      </c>
      <c r="AJ299" s="290">
        <v>0</v>
      </c>
      <c r="AK299" s="290">
        <v>0</v>
      </c>
      <c r="AL299" s="290">
        <v>0</v>
      </c>
      <c r="AM299" s="957">
        <v>0.34511645000000002</v>
      </c>
      <c r="AN299" s="290">
        <v>0</v>
      </c>
      <c r="AO299" s="290">
        <v>-6167.1132465299997</v>
      </c>
      <c r="AP299" s="290">
        <v>0</v>
      </c>
      <c r="AQ299" s="290">
        <v>0</v>
      </c>
      <c r="AR299" s="290">
        <v>-72.599511980000003</v>
      </c>
      <c r="AS299" s="290">
        <v>1982.43</v>
      </c>
      <c r="AT299" s="290">
        <v>1181</v>
      </c>
      <c r="AU299" s="290">
        <v>207</v>
      </c>
      <c r="AV299" s="766">
        <v>299927</v>
      </c>
      <c r="AW299" s="290">
        <v>2400</v>
      </c>
      <c r="AX299" s="766">
        <v>162.83335</v>
      </c>
      <c r="AY299" s="290">
        <v>5358</v>
      </c>
      <c r="AZ299" s="290">
        <v>823</v>
      </c>
      <c r="BA299" s="290">
        <v>513</v>
      </c>
      <c r="BB299" s="290">
        <v>0</v>
      </c>
      <c r="BC299" s="290">
        <v>-303439.03179919999</v>
      </c>
      <c r="BD299" s="290"/>
      <c r="BE299" s="290">
        <v>244503.02404998001</v>
      </c>
      <c r="BF299" s="290">
        <v>0</v>
      </c>
      <c r="BG299" s="290">
        <v>19814</v>
      </c>
      <c r="BH299" s="290">
        <v>1000</v>
      </c>
      <c r="BI299" s="290">
        <v>-340617</v>
      </c>
      <c r="BJ299" s="290">
        <v>276</v>
      </c>
      <c r="BK299" s="290">
        <v>954</v>
      </c>
      <c r="BL299" s="290">
        <v>-346851</v>
      </c>
      <c r="BM299" s="290">
        <v>0</v>
      </c>
      <c r="BN299" s="290">
        <v>597</v>
      </c>
      <c r="BO299" s="290">
        <v>-185</v>
      </c>
      <c r="BP299" s="290">
        <v>2252</v>
      </c>
      <c r="BQ299" s="290">
        <v>4504</v>
      </c>
      <c r="BR299" s="290">
        <v>3410</v>
      </c>
      <c r="BS299" s="290">
        <v>336</v>
      </c>
      <c r="BT299" s="290">
        <v>0</v>
      </c>
      <c r="BU299" s="290">
        <v>0</v>
      </c>
      <c r="BV299" s="290">
        <v>549</v>
      </c>
      <c r="BW299" s="290">
        <v>0</v>
      </c>
      <c r="BX299" s="290">
        <v>0</v>
      </c>
      <c r="BY299" s="290">
        <v>2506</v>
      </c>
      <c r="BZ299" s="290">
        <v>4300</v>
      </c>
      <c r="CA299" s="290">
        <v>1177.961</v>
      </c>
      <c r="CB299" s="290">
        <v>216</v>
      </c>
      <c r="CC299" s="290">
        <v>2</v>
      </c>
      <c r="CD299" s="290">
        <v>0</v>
      </c>
      <c r="CE299" s="290">
        <v>694242.41700000002</v>
      </c>
      <c r="CF299" s="290">
        <v>0</v>
      </c>
      <c r="CG299" s="290">
        <v>0</v>
      </c>
      <c r="CH299" s="290">
        <v>0</v>
      </c>
      <c r="CI299" s="290">
        <v>0</v>
      </c>
      <c r="CJ299" s="290"/>
    </row>
    <row r="300" spans="1:88" ht="13">
      <c r="A300" s="1">
        <v>5036</v>
      </c>
      <c r="B300" s="2" t="s">
        <v>148</v>
      </c>
      <c r="C300" s="289">
        <v>2609</v>
      </c>
      <c r="D300" s="290">
        <v>46</v>
      </c>
      <c r="E300" s="290">
        <v>100</v>
      </c>
      <c r="F300" s="290">
        <v>310</v>
      </c>
      <c r="G300" s="290">
        <v>236</v>
      </c>
      <c r="H300" s="290">
        <v>1402</v>
      </c>
      <c r="I300" s="290">
        <v>369</v>
      </c>
      <c r="J300" s="290">
        <v>142</v>
      </c>
      <c r="K300" s="290">
        <v>28</v>
      </c>
      <c r="L300" s="290">
        <v>19</v>
      </c>
      <c r="M300" s="290">
        <v>240</v>
      </c>
      <c r="N300" s="290">
        <v>16</v>
      </c>
      <c r="O300" s="290">
        <v>31</v>
      </c>
      <c r="P300" s="624">
        <v>10250.367666669999</v>
      </c>
      <c r="Q300" s="624">
        <v>6231.4806666699997</v>
      </c>
      <c r="R300" s="1039">
        <v>15</v>
      </c>
      <c r="S300" s="290">
        <v>0</v>
      </c>
      <c r="T300" s="290">
        <v>179</v>
      </c>
      <c r="U300" s="958">
        <v>2.249213528256102E-3</v>
      </c>
      <c r="V300" s="290">
        <v>1315.32786093</v>
      </c>
      <c r="W300" s="765">
        <v>0.76374567000000004</v>
      </c>
      <c r="X300" s="290">
        <v>290</v>
      </c>
      <c r="Y300" s="290"/>
      <c r="Z300" s="290">
        <v>70464.293000000005</v>
      </c>
      <c r="AA300" s="290">
        <v>0</v>
      </c>
      <c r="AB300" s="290">
        <v>68</v>
      </c>
      <c r="AC300" s="290">
        <v>140</v>
      </c>
      <c r="AD300" s="290">
        <v>63</v>
      </c>
      <c r="AE300" s="290">
        <v>0</v>
      </c>
      <c r="AF300" s="290">
        <v>0</v>
      </c>
      <c r="AG300" s="290">
        <v>2633</v>
      </c>
      <c r="AH300" s="290">
        <v>439</v>
      </c>
      <c r="AI300" s="290">
        <v>0</v>
      </c>
      <c r="AJ300" s="290">
        <v>0</v>
      </c>
      <c r="AK300" s="290">
        <v>0</v>
      </c>
      <c r="AL300" s="290">
        <v>0</v>
      </c>
      <c r="AM300" s="957">
        <v>3.7132470000000001E-2</v>
      </c>
      <c r="AN300" s="290">
        <v>0</v>
      </c>
      <c r="AO300" s="290">
        <v>-764.08280745000002</v>
      </c>
      <c r="AP300" s="290">
        <v>0</v>
      </c>
      <c r="AQ300" s="290">
        <v>0</v>
      </c>
      <c r="AR300" s="290">
        <v>-99.439171369999997</v>
      </c>
      <c r="AS300" s="290">
        <v>218.16399999999999</v>
      </c>
      <c r="AT300" s="290">
        <v>104</v>
      </c>
      <c r="AU300" s="290">
        <v>22</v>
      </c>
      <c r="AV300" s="766">
        <v>95903</v>
      </c>
      <c r="AW300" s="290">
        <v>0</v>
      </c>
      <c r="AX300" s="766">
        <v>14.958299999999999</v>
      </c>
      <c r="AY300" s="290">
        <v>439</v>
      </c>
      <c r="AZ300" s="290">
        <v>112</v>
      </c>
      <c r="BA300" s="290">
        <v>51</v>
      </c>
      <c r="BB300" s="290">
        <v>4827</v>
      </c>
      <c r="BC300" s="290">
        <v>4110.2183598399997</v>
      </c>
      <c r="BD300" s="290"/>
      <c r="BE300" s="290">
        <v>92286.276955540001</v>
      </c>
      <c r="BF300" s="290">
        <v>0</v>
      </c>
      <c r="BG300" s="290">
        <v>2155</v>
      </c>
      <c r="BH300" s="290">
        <v>500</v>
      </c>
      <c r="BI300" s="290">
        <v>642</v>
      </c>
      <c r="BJ300" s="290">
        <v>30</v>
      </c>
      <c r="BK300" s="290">
        <v>87</v>
      </c>
      <c r="BL300" s="290">
        <v>0</v>
      </c>
      <c r="BM300" s="290">
        <v>0</v>
      </c>
      <c r="BN300" s="290">
        <v>54</v>
      </c>
      <c r="BO300" s="290">
        <v>-18</v>
      </c>
      <c r="BP300" s="290">
        <v>242</v>
      </c>
      <c r="BQ300" s="290">
        <v>484</v>
      </c>
      <c r="BR300" s="290">
        <v>366</v>
      </c>
      <c r="BS300" s="290">
        <v>47</v>
      </c>
      <c r="BT300" s="290">
        <v>0</v>
      </c>
      <c r="BU300" s="290">
        <v>0</v>
      </c>
      <c r="BV300" s="290">
        <v>50</v>
      </c>
      <c r="BW300" s="290">
        <v>0</v>
      </c>
      <c r="BX300" s="290">
        <v>0</v>
      </c>
      <c r="BY300" s="290">
        <v>299</v>
      </c>
      <c r="BZ300" s="290">
        <v>600</v>
      </c>
      <c r="CA300" s="290">
        <v>908.8</v>
      </c>
      <c r="CB300" s="290">
        <v>33</v>
      </c>
      <c r="CC300" s="290">
        <v>0</v>
      </c>
      <c r="CD300" s="290">
        <v>0</v>
      </c>
      <c r="CE300" s="290">
        <v>70464.293000000005</v>
      </c>
      <c r="CF300" s="290">
        <v>0</v>
      </c>
      <c r="CG300" s="290">
        <v>0</v>
      </c>
      <c r="CH300" s="290">
        <v>0</v>
      </c>
      <c r="CI300" s="290">
        <v>0</v>
      </c>
      <c r="CJ300" s="290"/>
    </row>
    <row r="301" spans="1:88" ht="13">
      <c r="A301" s="1">
        <v>5037</v>
      </c>
      <c r="B301" s="2" t="s">
        <v>150</v>
      </c>
      <c r="C301" s="289">
        <v>20170</v>
      </c>
      <c r="D301" s="290">
        <v>410</v>
      </c>
      <c r="E301" s="290">
        <v>960</v>
      </c>
      <c r="F301" s="290">
        <v>2557</v>
      </c>
      <c r="G301" s="290">
        <v>1735</v>
      </c>
      <c r="H301" s="290">
        <v>11092</v>
      </c>
      <c r="I301" s="290">
        <v>2464</v>
      </c>
      <c r="J301" s="290">
        <v>790</v>
      </c>
      <c r="K301" s="290">
        <v>153</v>
      </c>
      <c r="L301" s="290">
        <v>150</v>
      </c>
      <c r="M301" s="290">
        <v>1392</v>
      </c>
      <c r="N301" s="290">
        <v>343</v>
      </c>
      <c r="O301" s="290">
        <v>145</v>
      </c>
      <c r="P301" s="624">
        <v>91535.923666670002</v>
      </c>
      <c r="Q301" s="624">
        <v>38480.280333330003</v>
      </c>
      <c r="R301" s="1039">
        <v>92</v>
      </c>
      <c r="S301" s="290">
        <v>0</v>
      </c>
      <c r="T301" s="290">
        <v>1467</v>
      </c>
      <c r="U301" s="958">
        <v>9.30184857787608E-3</v>
      </c>
      <c r="V301" s="290">
        <v>-5250.80981471</v>
      </c>
      <c r="W301" s="765">
        <v>0.59910890999999999</v>
      </c>
      <c r="X301" s="290">
        <v>3830</v>
      </c>
      <c r="Y301" s="290"/>
      <c r="Z301" s="290">
        <v>582620.89099999995</v>
      </c>
      <c r="AA301" s="290">
        <v>0</v>
      </c>
      <c r="AB301" s="290">
        <v>455</v>
      </c>
      <c r="AC301" s="290">
        <v>1066</v>
      </c>
      <c r="AD301" s="290">
        <v>380</v>
      </c>
      <c r="AE301" s="290">
        <v>0</v>
      </c>
      <c r="AF301" s="290">
        <v>0</v>
      </c>
      <c r="AG301" s="290">
        <v>20161</v>
      </c>
      <c r="AH301" s="290">
        <v>3669</v>
      </c>
      <c r="AI301" s="290">
        <v>2375</v>
      </c>
      <c r="AJ301" s="290">
        <v>0</v>
      </c>
      <c r="AK301" s="290">
        <v>0</v>
      </c>
      <c r="AL301" s="290">
        <v>0</v>
      </c>
      <c r="AM301" s="957">
        <v>0.32798177000000001</v>
      </c>
      <c r="AN301" s="290">
        <v>0</v>
      </c>
      <c r="AO301" s="290">
        <v>-5300.2754633300001</v>
      </c>
      <c r="AP301" s="290">
        <v>0</v>
      </c>
      <c r="AQ301" s="290">
        <v>0</v>
      </c>
      <c r="AR301" s="290">
        <v>-761.41022936000002</v>
      </c>
      <c r="AS301" s="290">
        <v>1628.395</v>
      </c>
      <c r="AT301" s="290">
        <v>879</v>
      </c>
      <c r="AU301" s="290">
        <v>195</v>
      </c>
      <c r="AV301" s="766">
        <v>564719</v>
      </c>
      <c r="AW301" s="290">
        <v>1800</v>
      </c>
      <c r="AX301" s="766">
        <v>136.41665</v>
      </c>
      <c r="AY301" s="290">
        <v>5584</v>
      </c>
      <c r="AZ301" s="290">
        <v>778</v>
      </c>
      <c r="BA301" s="290">
        <v>461</v>
      </c>
      <c r="BB301" s="290">
        <v>0</v>
      </c>
      <c r="BC301" s="290">
        <v>28569.057092530002</v>
      </c>
      <c r="BD301" s="290"/>
      <c r="BE301" s="290">
        <v>534944.66873507004</v>
      </c>
      <c r="BF301" s="290">
        <v>0</v>
      </c>
      <c r="BG301" s="290">
        <v>16504</v>
      </c>
      <c r="BH301" s="290">
        <v>1000</v>
      </c>
      <c r="BI301" s="290">
        <v>5115</v>
      </c>
      <c r="BJ301" s="290">
        <v>233</v>
      </c>
      <c r="BK301" s="290">
        <v>855</v>
      </c>
      <c r="BL301" s="290">
        <v>0</v>
      </c>
      <c r="BM301" s="290">
        <v>0</v>
      </c>
      <c r="BN301" s="290">
        <v>535</v>
      </c>
      <c r="BO301" s="290">
        <v>-148</v>
      </c>
      <c r="BP301" s="290">
        <v>1871</v>
      </c>
      <c r="BQ301" s="290">
        <v>3741</v>
      </c>
      <c r="BR301" s="290">
        <v>2832</v>
      </c>
      <c r="BS301" s="290">
        <v>285</v>
      </c>
      <c r="BT301" s="290">
        <v>0</v>
      </c>
      <c r="BU301" s="290">
        <v>0</v>
      </c>
      <c r="BV301" s="290">
        <v>492</v>
      </c>
      <c r="BW301" s="290">
        <v>0</v>
      </c>
      <c r="BX301" s="290">
        <v>0</v>
      </c>
      <c r="BY301" s="290">
        <v>2116</v>
      </c>
      <c r="BZ301" s="290">
        <v>3600</v>
      </c>
      <c r="CA301" s="290">
        <v>1012.389</v>
      </c>
      <c r="CB301" s="290">
        <v>181</v>
      </c>
      <c r="CC301" s="290">
        <v>1</v>
      </c>
      <c r="CD301" s="290">
        <v>0</v>
      </c>
      <c r="CE301" s="290">
        <v>582620.89099999995</v>
      </c>
      <c r="CF301" s="290">
        <v>0</v>
      </c>
      <c r="CG301" s="290">
        <v>0</v>
      </c>
      <c r="CH301" s="290">
        <v>0</v>
      </c>
      <c r="CI301" s="290">
        <v>0</v>
      </c>
      <c r="CJ301" s="290"/>
    </row>
    <row r="302" spans="1:88" ht="13">
      <c r="A302" s="1">
        <v>5038</v>
      </c>
      <c r="B302" s="2" t="s">
        <v>151</v>
      </c>
      <c r="C302" s="289">
        <v>14986</v>
      </c>
      <c r="D302" s="290">
        <v>275</v>
      </c>
      <c r="E302" s="290">
        <v>583</v>
      </c>
      <c r="F302" s="290">
        <v>1814</v>
      </c>
      <c r="G302" s="290">
        <v>1392</v>
      </c>
      <c r="H302" s="290">
        <v>8203</v>
      </c>
      <c r="I302" s="290">
        <v>2076</v>
      </c>
      <c r="J302" s="290">
        <v>521</v>
      </c>
      <c r="K302" s="290">
        <v>125</v>
      </c>
      <c r="L302" s="290">
        <v>116</v>
      </c>
      <c r="M302" s="290">
        <v>1169</v>
      </c>
      <c r="N302" s="290">
        <v>205</v>
      </c>
      <c r="O302" s="290">
        <v>96</v>
      </c>
      <c r="P302" s="624">
        <v>61785.706333330003</v>
      </c>
      <c r="Q302" s="624">
        <v>32108.445333330001</v>
      </c>
      <c r="R302" s="1039">
        <v>70</v>
      </c>
      <c r="S302" s="290">
        <v>0</v>
      </c>
      <c r="T302" s="290">
        <v>1166</v>
      </c>
      <c r="U302" s="958">
        <v>6.8668259501945663E-3</v>
      </c>
      <c r="V302" s="290">
        <v>4196.24773671</v>
      </c>
      <c r="W302" s="765">
        <v>0.58885560000000003</v>
      </c>
      <c r="X302" s="290">
        <v>540</v>
      </c>
      <c r="Y302" s="290"/>
      <c r="Z302" s="290">
        <v>400352.47899999999</v>
      </c>
      <c r="AA302" s="290">
        <v>0</v>
      </c>
      <c r="AB302" s="290">
        <v>460</v>
      </c>
      <c r="AC302" s="290">
        <v>759</v>
      </c>
      <c r="AD302" s="290">
        <v>288</v>
      </c>
      <c r="AE302" s="290">
        <v>0</v>
      </c>
      <c r="AF302" s="290">
        <v>0</v>
      </c>
      <c r="AG302" s="290">
        <v>14989</v>
      </c>
      <c r="AH302" s="290">
        <v>2572</v>
      </c>
      <c r="AI302" s="290">
        <v>150</v>
      </c>
      <c r="AJ302" s="290">
        <v>0</v>
      </c>
      <c r="AK302" s="290">
        <v>0</v>
      </c>
      <c r="AL302" s="290">
        <v>0</v>
      </c>
      <c r="AM302" s="957">
        <v>0.2581503</v>
      </c>
      <c r="AN302" s="290">
        <v>7592</v>
      </c>
      <c r="AO302" s="290">
        <v>-3844.6442210599998</v>
      </c>
      <c r="AP302" s="290">
        <v>0</v>
      </c>
      <c r="AQ302" s="290">
        <v>0</v>
      </c>
      <c r="AR302" s="290">
        <v>-566.08193679999999</v>
      </c>
      <c r="AS302" s="290">
        <v>1187.4965</v>
      </c>
      <c r="AT302" s="290">
        <v>628</v>
      </c>
      <c r="AU302" s="290">
        <v>167</v>
      </c>
      <c r="AV302" s="766">
        <v>416144</v>
      </c>
      <c r="AW302" s="290">
        <v>1900</v>
      </c>
      <c r="AX302" s="766">
        <v>114.91665</v>
      </c>
      <c r="AY302" s="290">
        <v>2784</v>
      </c>
      <c r="AZ302" s="290">
        <v>550</v>
      </c>
      <c r="BA302" s="290">
        <v>376</v>
      </c>
      <c r="BB302" s="290">
        <v>0</v>
      </c>
      <c r="BC302" s="290">
        <v>20571.34404023</v>
      </c>
      <c r="BD302" s="290"/>
      <c r="BE302" s="290">
        <v>389784.31447023002</v>
      </c>
      <c r="BF302" s="290">
        <v>0</v>
      </c>
      <c r="BG302" s="290">
        <v>12270</v>
      </c>
      <c r="BH302" s="290">
        <v>1000</v>
      </c>
      <c r="BI302" s="290">
        <v>3619</v>
      </c>
      <c r="BJ302" s="290">
        <v>171</v>
      </c>
      <c r="BK302" s="290">
        <v>527</v>
      </c>
      <c r="BL302" s="290">
        <v>0</v>
      </c>
      <c r="BM302" s="290">
        <v>0</v>
      </c>
      <c r="BN302" s="290">
        <v>330</v>
      </c>
      <c r="BO302" s="290">
        <v>-117</v>
      </c>
      <c r="BP302" s="290">
        <v>1390</v>
      </c>
      <c r="BQ302" s="290">
        <v>2780</v>
      </c>
      <c r="BR302" s="290">
        <v>2104</v>
      </c>
      <c r="BS302" s="290">
        <v>216</v>
      </c>
      <c r="BT302" s="290">
        <v>0</v>
      </c>
      <c r="BU302" s="290">
        <v>0</v>
      </c>
      <c r="BV302" s="290">
        <v>303</v>
      </c>
      <c r="BW302" s="290">
        <v>0</v>
      </c>
      <c r="BX302" s="290">
        <v>0</v>
      </c>
      <c r="BY302" s="290">
        <v>1646</v>
      </c>
      <c r="BZ302" s="290">
        <v>1900</v>
      </c>
      <c r="CA302" s="290">
        <v>1794.4</v>
      </c>
      <c r="CB302" s="290">
        <v>136</v>
      </c>
      <c r="CC302" s="290">
        <v>1</v>
      </c>
      <c r="CD302" s="290">
        <v>0</v>
      </c>
      <c r="CE302" s="290">
        <v>400352.47899999999</v>
      </c>
      <c r="CF302" s="290">
        <v>0</v>
      </c>
      <c r="CG302" s="290">
        <v>0</v>
      </c>
      <c r="CH302" s="290">
        <v>0</v>
      </c>
      <c r="CI302" s="290">
        <v>0</v>
      </c>
      <c r="CJ302" s="290"/>
    </row>
    <row r="303" spans="1:88" ht="13">
      <c r="A303" s="1">
        <v>5041</v>
      </c>
      <c r="B303" s="2" t="s">
        <v>156</v>
      </c>
      <c r="C303" s="289">
        <v>2054</v>
      </c>
      <c r="D303" s="290">
        <v>29</v>
      </c>
      <c r="E303" s="290">
        <v>83</v>
      </c>
      <c r="F303" s="290">
        <v>248</v>
      </c>
      <c r="G303" s="290">
        <v>194</v>
      </c>
      <c r="H303" s="290">
        <v>1046</v>
      </c>
      <c r="I303" s="290">
        <v>307</v>
      </c>
      <c r="J303" s="290">
        <v>127</v>
      </c>
      <c r="K303" s="290">
        <v>26</v>
      </c>
      <c r="L303" s="290">
        <v>16</v>
      </c>
      <c r="M303" s="290">
        <v>186</v>
      </c>
      <c r="N303" s="290">
        <v>11</v>
      </c>
      <c r="O303" s="290">
        <v>26</v>
      </c>
      <c r="P303" s="624">
        <v>11580.39533333</v>
      </c>
      <c r="Q303" s="624">
        <v>6343.2886666699997</v>
      </c>
      <c r="R303" s="1039">
        <v>16</v>
      </c>
      <c r="S303" s="290">
        <v>0</v>
      </c>
      <c r="T303" s="290">
        <v>147</v>
      </c>
      <c r="U303" s="958">
        <v>2.8710706010061536E-3</v>
      </c>
      <c r="V303" s="290">
        <v>-5620.2951800299998</v>
      </c>
      <c r="W303" s="765">
        <v>1</v>
      </c>
      <c r="X303" s="290">
        <v>0</v>
      </c>
      <c r="Y303" s="290"/>
      <c r="Z303" s="290">
        <v>51492.535000000003</v>
      </c>
      <c r="AA303" s="290">
        <v>0</v>
      </c>
      <c r="AB303" s="290">
        <v>51</v>
      </c>
      <c r="AC303" s="290">
        <v>118</v>
      </c>
      <c r="AD303" s="290">
        <v>58</v>
      </c>
      <c r="AE303" s="290">
        <v>0</v>
      </c>
      <c r="AF303" s="290">
        <v>0</v>
      </c>
      <c r="AG303" s="290">
        <v>2060</v>
      </c>
      <c r="AH303" s="290">
        <v>346</v>
      </c>
      <c r="AI303" s="290">
        <v>710</v>
      </c>
      <c r="AJ303" s="290">
        <v>0</v>
      </c>
      <c r="AK303" s="290">
        <v>0</v>
      </c>
      <c r="AL303" s="290">
        <v>3839</v>
      </c>
      <c r="AM303" s="957">
        <v>2.2944249999999999E-2</v>
      </c>
      <c r="AN303" s="290">
        <v>0</v>
      </c>
      <c r="AO303" s="290">
        <v>-675.37621902000001</v>
      </c>
      <c r="AP303" s="290">
        <v>0</v>
      </c>
      <c r="AQ303" s="290">
        <v>0</v>
      </c>
      <c r="AR303" s="290">
        <v>-77.798971899999998</v>
      </c>
      <c r="AS303" s="290">
        <v>186.58850000000001</v>
      </c>
      <c r="AT303" s="290">
        <v>75</v>
      </c>
      <c r="AU303" s="290">
        <v>14</v>
      </c>
      <c r="AV303" s="766">
        <v>91364</v>
      </c>
      <c r="AW303" s="290">
        <v>200</v>
      </c>
      <c r="AX303" s="766">
        <v>9.7082999999999995</v>
      </c>
      <c r="AY303" s="290">
        <v>449</v>
      </c>
      <c r="AZ303" s="290">
        <v>93</v>
      </c>
      <c r="BA303" s="290">
        <v>38</v>
      </c>
      <c r="BB303" s="290">
        <v>6034</v>
      </c>
      <c r="BC303" s="290">
        <v>3728.5960837100001</v>
      </c>
      <c r="BD303" s="290"/>
      <c r="BE303" s="290">
        <v>88529.730850840002</v>
      </c>
      <c r="BF303" s="290">
        <v>0</v>
      </c>
      <c r="BG303" s="290">
        <v>1686</v>
      </c>
      <c r="BH303" s="290">
        <v>500</v>
      </c>
      <c r="BI303" s="290">
        <v>522</v>
      </c>
      <c r="BJ303" s="290">
        <v>24</v>
      </c>
      <c r="BK303" s="290">
        <v>72</v>
      </c>
      <c r="BL303" s="290">
        <v>0</v>
      </c>
      <c r="BM303" s="290">
        <v>0</v>
      </c>
      <c r="BN303" s="290">
        <v>45</v>
      </c>
      <c r="BO303" s="290">
        <v>-13</v>
      </c>
      <c r="BP303" s="290">
        <v>190</v>
      </c>
      <c r="BQ303" s="290">
        <v>381</v>
      </c>
      <c r="BR303" s="290">
        <v>288</v>
      </c>
      <c r="BS303" s="290">
        <v>44</v>
      </c>
      <c r="BT303" s="290">
        <v>0</v>
      </c>
      <c r="BU303" s="290">
        <v>0</v>
      </c>
      <c r="BV303" s="290">
        <v>42</v>
      </c>
      <c r="BW303" s="290">
        <v>0</v>
      </c>
      <c r="BX303" s="290">
        <v>0</v>
      </c>
      <c r="BY303" s="290">
        <v>254</v>
      </c>
      <c r="BZ303" s="290">
        <v>500</v>
      </c>
      <c r="CA303" s="290">
        <v>444</v>
      </c>
      <c r="CB303" s="290">
        <v>32</v>
      </c>
      <c r="CC303" s="290">
        <v>0</v>
      </c>
      <c r="CD303" s="290">
        <v>0</v>
      </c>
      <c r="CE303" s="290">
        <v>51492.535000000003</v>
      </c>
      <c r="CF303" s="290">
        <v>0</v>
      </c>
      <c r="CG303" s="290">
        <v>0</v>
      </c>
      <c r="CH303" s="290">
        <v>0</v>
      </c>
      <c r="CI303" s="290">
        <v>0</v>
      </c>
      <c r="CJ303" s="290"/>
    </row>
    <row r="304" spans="1:88" ht="13">
      <c r="A304" s="1">
        <v>5042</v>
      </c>
      <c r="B304" s="2" t="s">
        <v>157</v>
      </c>
      <c r="C304" s="289">
        <v>1328</v>
      </c>
      <c r="D304" s="290">
        <v>21</v>
      </c>
      <c r="E304" s="290">
        <v>44</v>
      </c>
      <c r="F304" s="290">
        <v>138</v>
      </c>
      <c r="G304" s="290">
        <v>142</v>
      </c>
      <c r="H304" s="290">
        <v>674</v>
      </c>
      <c r="I304" s="290">
        <v>229</v>
      </c>
      <c r="J304" s="290">
        <v>77</v>
      </c>
      <c r="K304" s="290">
        <v>15</v>
      </c>
      <c r="L304" s="290">
        <v>12</v>
      </c>
      <c r="M304" s="290">
        <v>170</v>
      </c>
      <c r="N304" s="290">
        <v>9</v>
      </c>
      <c r="O304" s="290">
        <v>14</v>
      </c>
      <c r="P304" s="624">
        <v>30314.60333333</v>
      </c>
      <c r="Q304" s="624">
        <v>12174.726000000001</v>
      </c>
      <c r="R304" s="1039">
        <v>17</v>
      </c>
      <c r="S304" s="290">
        <v>0</v>
      </c>
      <c r="T304" s="290">
        <v>102</v>
      </c>
      <c r="U304" s="958">
        <v>1.8405574353031692E-3</v>
      </c>
      <c r="V304" s="290">
        <v>1002.7817367</v>
      </c>
      <c r="W304" s="765">
        <v>1</v>
      </c>
      <c r="X304" s="290">
        <v>580</v>
      </c>
      <c r="Y304" s="290"/>
      <c r="Z304" s="290">
        <v>35802.779000000002</v>
      </c>
      <c r="AA304" s="290">
        <v>0</v>
      </c>
      <c r="AB304" s="290">
        <v>24</v>
      </c>
      <c r="AC304" s="290">
        <v>81</v>
      </c>
      <c r="AD304" s="290">
        <v>50</v>
      </c>
      <c r="AE304" s="290">
        <v>0</v>
      </c>
      <c r="AF304" s="290">
        <v>0</v>
      </c>
      <c r="AG304" s="290">
        <v>1340</v>
      </c>
      <c r="AH304" s="290">
        <v>218</v>
      </c>
      <c r="AI304" s="290">
        <v>1450</v>
      </c>
      <c r="AJ304" s="290">
        <v>0</v>
      </c>
      <c r="AK304" s="290">
        <v>0</v>
      </c>
      <c r="AL304" s="290">
        <v>2522</v>
      </c>
      <c r="AM304" s="957">
        <v>4.1312099999999997E-3</v>
      </c>
      <c r="AN304" s="290">
        <v>0</v>
      </c>
      <c r="AO304" s="290">
        <v>-501.92879163999999</v>
      </c>
      <c r="AP304" s="290">
        <v>0</v>
      </c>
      <c r="AQ304" s="290">
        <v>0</v>
      </c>
      <c r="AR304" s="290">
        <v>-50.607098229999998</v>
      </c>
      <c r="AS304" s="290">
        <v>135.50049999999999</v>
      </c>
      <c r="AT304" s="290">
        <v>37</v>
      </c>
      <c r="AU304" s="290">
        <v>5</v>
      </c>
      <c r="AV304" s="766">
        <v>81548</v>
      </c>
      <c r="AW304" s="290">
        <v>150</v>
      </c>
      <c r="AX304" s="766">
        <v>8.2916500000000006</v>
      </c>
      <c r="AY304" s="290">
        <v>236</v>
      </c>
      <c r="AZ304" s="290">
        <v>41</v>
      </c>
      <c r="BA304" s="290">
        <v>16</v>
      </c>
      <c r="BB304" s="290">
        <v>6034</v>
      </c>
      <c r="BC304" s="290">
        <v>2811.2326506600002</v>
      </c>
      <c r="BD304" s="290"/>
      <c r="BE304" s="290">
        <v>78759.247489369998</v>
      </c>
      <c r="BF304" s="290">
        <v>0</v>
      </c>
      <c r="BG304" s="290">
        <v>1097</v>
      </c>
      <c r="BH304" s="290">
        <v>500</v>
      </c>
      <c r="BI304" s="290">
        <v>349</v>
      </c>
      <c r="BJ304" s="290">
        <v>16</v>
      </c>
      <c r="BK304" s="290">
        <v>40</v>
      </c>
      <c r="BL304" s="290">
        <v>0</v>
      </c>
      <c r="BM304" s="290">
        <v>0</v>
      </c>
      <c r="BN304" s="290">
        <v>25</v>
      </c>
      <c r="BO304" s="290">
        <v>-8</v>
      </c>
      <c r="BP304" s="290">
        <v>123</v>
      </c>
      <c r="BQ304" s="290">
        <v>246</v>
      </c>
      <c r="BR304" s="290">
        <v>186</v>
      </c>
      <c r="BS304" s="290">
        <v>37</v>
      </c>
      <c r="BT304" s="290">
        <v>0</v>
      </c>
      <c r="BU304" s="290">
        <v>0</v>
      </c>
      <c r="BV304" s="290">
        <v>23</v>
      </c>
      <c r="BW304" s="290">
        <v>0</v>
      </c>
      <c r="BX304" s="290">
        <v>0</v>
      </c>
      <c r="BY304" s="290">
        <v>171</v>
      </c>
      <c r="BZ304" s="290">
        <v>500</v>
      </c>
      <c r="CA304" s="290">
        <v>211.3</v>
      </c>
      <c r="CB304" s="290">
        <v>25</v>
      </c>
      <c r="CC304" s="290">
        <v>0</v>
      </c>
      <c r="CD304" s="290">
        <v>0</v>
      </c>
      <c r="CE304" s="290">
        <v>35802.779000000002</v>
      </c>
      <c r="CF304" s="290">
        <v>0</v>
      </c>
      <c r="CG304" s="290">
        <v>0</v>
      </c>
      <c r="CH304" s="290">
        <v>0</v>
      </c>
      <c r="CI304" s="290">
        <v>0</v>
      </c>
      <c r="CJ304" s="290"/>
    </row>
    <row r="305" spans="1:88" ht="13">
      <c r="A305" s="1">
        <v>5043</v>
      </c>
      <c r="B305" s="2" t="s">
        <v>164</v>
      </c>
      <c r="C305" s="289">
        <v>459</v>
      </c>
      <c r="D305" s="290">
        <v>7</v>
      </c>
      <c r="E305" s="290">
        <v>15</v>
      </c>
      <c r="F305" s="290">
        <v>58</v>
      </c>
      <c r="G305" s="290">
        <v>38</v>
      </c>
      <c r="H305" s="290">
        <v>228</v>
      </c>
      <c r="I305" s="290">
        <v>85</v>
      </c>
      <c r="J305" s="290">
        <v>23</v>
      </c>
      <c r="K305" s="290">
        <v>11</v>
      </c>
      <c r="L305" s="290">
        <v>4</v>
      </c>
      <c r="M305" s="290">
        <v>54</v>
      </c>
      <c r="N305" s="290">
        <v>0</v>
      </c>
      <c r="O305" s="290">
        <v>8</v>
      </c>
      <c r="P305" s="624">
        <v>3479.5833333300002</v>
      </c>
      <c r="Q305" s="624">
        <v>4629.9216666700004</v>
      </c>
      <c r="R305" s="1039">
        <v>0</v>
      </c>
      <c r="S305" s="290">
        <v>0</v>
      </c>
      <c r="T305" s="290">
        <v>28</v>
      </c>
      <c r="U305" s="958">
        <v>7.5553017334395684E-4</v>
      </c>
      <c r="V305" s="290">
        <v>420.56785307000001</v>
      </c>
      <c r="W305" s="765">
        <v>1</v>
      </c>
      <c r="X305" s="290">
        <v>0</v>
      </c>
      <c r="Y305" s="290"/>
      <c r="Z305" s="290">
        <v>13437.659</v>
      </c>
      <c r="AA305" s="290">
        <v>0</v>
      </c>
      <c r="AB305" s="290">
        <v>2</v>
      </c>
      <c r="AC305" s="290">
        <v>39</v>
      </c>
      <c r="AD305" s="290">
        <v>27</v>
      </c>
      <c r="AE305" s="290">
        <v>0</v>
      </c>
      <c r="AF305" s="290">
        <v>0</v>
      </c>
      <c r="AG305" s="290">
        <v>465</v>
      </c>
      <c r="AH305" s="290">
        <v>100</v>
      </c>
      <c r="AI305" s="290">
        <v>150</v>
      </c>
      <c r="AJ305" s="290">
        <v>0</v>
      </c>
      <c r="AK305" s="290">
        <v>0</v>
      </c>
      <c r="AL305" s="290">
        <v>858</v>
      </c>
      <c r="AM305" s="957">
        <v>1.1645900000000001E-3</v>
      </c>
      <c r="AN305" s="290">
        <v>0</v>
      </c>
      <c r="AO305" s="290">
        <v>-210.5095322</v>
      </c>
      <c r="AP305" s="290">
        <v>0</v>
      </c>
      <c r="AQ305" s="290">
        <v>0</v>
      </c>
      <c r="AR305" s="290">
        <v>-17.561418410000002</v>
      </c>
      <c r="AS305" s="290">
        <v>60.900500000000001</v>
      </c>
      <c r="AT305" s="290">
        <v>11</v>
      </c>
      <c r="AU305" s="290">
        <v>1.5</v>
      </c>
      <c r="AV305" s="766">
        <v>40119</v>
      </c>
      <c r="AW305" s="290">
        <v>0</v>
      </c>
      <c r="AX305" s="766">
        <v>2.9167000000000001</v>
      </c>
      <c r="AY305" s="290">
        <v>77</v>
      </c>
      <c r="AZ305" s="290">
        <v>15</v>
      </c>
      <c r="BA305" s="290">
        <v>6</v>
      </c>
      <c r="BB305" s="290">
        <v>6034</v>
      </c>
      <c r="BC305" s="290">
        <v>1468.9478039999999</v>
      </c>
      <c r="BD305" s="290"/>
      <c r="BE305" s="290">
        <v>39172.643629420003</v>
      </c>
      <c r="BF305" s="290">
        <v>0</v>
      </c>
      <c r="BG305" s="290">
        <v>381</v>
      </c>
      <c r="BH305" s="290">
        <v>500</v>
      </c>
      <c r="BI305" s="290">
        <v>166</v>
      </c>
      <c r="BJ305" s="290">
        <v>6</v>
      </c>
      <c r="BK305" s="290">
        <v>14</v>
      </c>
      <c r="BL305" s="290">
        <v>0</v>
      </c>
      <c r="BM305" s="290">
        <v>0</v>
      </c>
      <c r="BN305" s="290">
        <v>9</v>
      </c>
      <c r="BO305" s="290">
        <v>-2</v>
      </c>
      <c r="BP305" s="290">
        <v>43</v>
      </c>
      <c r="BQ305" s="290">
        <v>85</v>
      </c>
      <c r="BR305" s="290">
        <v>64</v>
      </c>
      <c r="BS305" s="290">
        <v>20</v>
      </c>
      <c r="BT305" s="290">
        <v>0</v>
      </c>
      <c r="BU305" s="290">
        <v>0</v>
      </c>
      <c r="BV305" s="290">
        <v>8</v>
      </c>
      <c r="BW305" s="290">
        <v>0</v>
      </c>
      <c r="BX305" s="290">
        <v>0</v>
      </c>
      <c r="BY305" s="290">
        <v>65</v>
      </c>
      <c r="BZ305" s="290">
        <v>200</v>
      </c>
      <c r="CA305" s="290">
        <v>299.10000000000002</v>
      </c>
      <c r="CB305" s="290">
        <v>18</v>
      </c>
      <c r="CC305" s="290">
        <v>0</v>
      </c>
      <c r="CD305" s="290">
        <v>0</v>
      </c>
      <c r="CE305" s="290">
        <v>13437.659</v>
      </c>
      <c r="CF305" s="290">
        <v>0</v>
      </c>
      <c r="CG305" s="290">
        <v>0</v>
      </c>
      <c r="CH305" s="290">
        <v>0</v>
      </c>
      <c r="CI305" s="290">
        <v>0</v>
      </c>
      <c r="CJ305" s="290"/>
    </row>
    <row r="306" spans="1:88" ht="13">
      <c r="A306" s="1">
        <v>5044</v>
      </c>
      <c r="B306" s="2" t="s">
        <v>165</v>
      </c>
      <c r="C306" s="289">
        <v>846</v>
      </c>
      <c r="D306" s="290">
        <v>11</v>
      </c>
      <c r="E306" s="290">
        <v>28</v>
      </c>
      <c r="F306" s="290">
        <v>87</v>
      </c>
      <c r="G306" s="290">
        <v>70</v>
      </c>
      <c r="H306" s="290">
        <v>422</v>
      </c>
      <c r="I306" s="290">
        <v>139</v>
      </c>
      <c r="J306" s="290">
        <v>66</v>
      </c>
      <c r="K306" s="290">
        <v>14</v>
      </c>
      <c r="L306" s="290">
        <v>6</v>
      </c>
      <c r="M306" s="290">
        <v>97</v>
      </c>
      <c r="N306" s="290">
        <v>1.5</v>
      </c>
      <c r="O306" s="290">
        <v>14</v>
      </c>
      <c r="P306" s="624">
        <v>11848.737999999999</v>
      </c>
      <c r="Q306" s="624">
        <v>9227.2333333299994</v>
      </c>
      <c r="R306" s="1039">
        <v>8</v>
      </c>
      <c r="S306" s="290">
        <v>0</v>
      </c>
      <c r="T306" s="290">
        <v>70</v>
      </c>
      <c r="U306" s="958">
        <v>7.3710314739246533E-4</v>
      </c>
      <c r="V306" s="290">
        <v>689.09125072999996</v>
      </c>
      <c r="W306" s="765">
        <v>1</v>
      </c>
      <c r="X306" s="290">
        <v>0</v>
      </c>
      <c r="Y306" s="290"/>
      <c r="Z306" s="290">
        <v>32661.99</v>
      </c>
      <c r="AA306" s="290">
        <v>0</v>
      </c>
      <c r="AB306" s="290">
        <v>21</v>
      </c>
      <c r="AC306" s="290">
        <v>55</v>
      </c>
      <c r="AD306" s="290">
        <v>37</v>
      </c>
      <c r="AE306" s="290">
        <v>0</v>
      </c>
      <c r="AF306" s="290">
        <v>0</v>
      </c>
      <c r="AG306" s="290">
        <v>837</v>
      </c>
      <c r="AH306" s="290">
        <v>122</v>
      </c>
      <c r="AI306" s="290">
        <v>0</v>
      </c>
      <c r="AJ306" s="290">
        <v>0</v>
      </c>
      <c r="AK306" s="290">
        <v>0</v>
      </c>
      <c r="AL306" s="290">
        <v>1569</v>
      </c>
      <c r="AM306" s="957">
        <v>1.361009E-2</v>
      </c>
      <c r="AN306" s="290">
        <v>0</v>
      </c>
      <c r="AO306" s="290">
        <v>-344.91527532999999</v>
      </c>
      <c r="AP306" s="290">
        <v>0</v>
      </c>
      <c r="AQ306" s="290">
        <v>0</v>
      </c>
      <c r="AR306" s="290">
        <v>-31.610553150000001</v>
      </c>
      <c r="AS306" s="290">
        <v>97.495000000000005</v>
      </c>
      <c r="AT306" s="290">
        <v>39</v>
      </c>
      <c r="AU306" s="290">
        <v>4</v>
      </c>
      <c r="AV306" s="766">
        <v>57685</v>
      </c>
      <c r="AW306" s="290">
        <v>0</v>
      </c>
      <c r="AX306" s="766">
        <v>3.7083499999999998</v>
      </c>
      <c r="AY306" s="290">
        <v>103</v>
      </c>
      <c r="AZ306" s="290">
        <v>62</v>
      </c>
      <c r="BA306" s="290">
        <v>14</v>
      </c>
      <c r="BB306" s="290">
        <v>6034</v>
      </c>
      <c r="BC306" s="290">
        <v>2264.93362411</v>
      </c>
      <c r="BD306" s="290"/>
      <c r="BE306" s="290">
        <v>58065.979575769998</v>
      </c>
      <c r="BF306" s="290">
        <v>0</v>
      </c>
      <c r="BG306" s="290">
        <v>685</v>
      </c>
      <c r="BH306" s="290">
        <v>500</v>
      </c>
      <c r="BI306" s="290">
        <v>214</v>
      </c>
      <c r="BJ306" s="290">
        <v>11</v>
      </c>
      <c r="BK306" s="290">
        <v>24</v>
      </c>
      <c r="BL306" s="290">
        <v>0</v>
      </c>
      <c r="BM306" s="290">
        <v>0</v>
      </c>
      <c r="BN306" s="290">
        <v>15</v>
      </c>
      <c r="BO306" s="290">
        <v>-6</v>
      </c>
      <c r="BP306" s="290">
        <v>78</v>
      </c>
      <c r="BQ306" s="290">
        <v>157</v>
      </c>
      <c r="BR306" s="290">
        <v>119</v>
      </c>
      <c r="BS306" s="290">
        <v>28</v>
      </c>
      <c r="BT306" s="290">
        <v>0</v>
      </c>
      <c r="BU306" s="290">
        <v>0</v>
      </c>
      <c r="BV306" s="290">
        <v>14</v>
      </c>
      <c r="BW306" s="290">
        <v>0</v>
      </c>
      <c r="BX306" s="290">
        <v>0</v>
      </c>
      <c r="BY306" s="290">
        <v>110</v>
      </c>
      <c r="BZ306" s="290">
        <v>100</v>
      </c>
      <c r="CA306" s="290">
        <v>112.8</v>
      </c>
      <c r="CB306" s="290">
        <v>21</v>
      </c>
      <c r="CC306" s="290">
        <v>0</v>
      </c>
      <c r="CD306" s="290">
        <v>0</v>
      </c>
      <c r="CE306" s="290">
        <v>32661.99</v>
      </c>
      <c r="CF306" s="290">
        <v>0</v>
      </c>
      <c r="CG306" s="290">
        <v>0</v>
      </c>
      <c r="CH306" s="290">
        <v>0</v>
      </c>
      <c r="CI306" s="290">
        <v>0</v>
      </c>
      <c r="CJ306" s="290"/>
    </row>
    <row r="307" spans="1:88" ht="13">
      <c r="A307" s="1">
        <v>5045</v>
      </c>
      <c r="B307" s="2" t="s">
        <v>166</v>
      </c>
      <c r="C307" s="289">
        <v>2347</v>
      </c>
      <c r="D307" s="290">
        <v>38</v>
      </c>
      <c r="E307" s="290">
        <v>98</v>
      </c>
      <c r="F307" s="290">
        <v>267</v>
      </c>
      <c r="G307" s="290">
        <v>204</v>
      </c>
      <c r="H307" s="290">
        <v>1248</v>
      </c>
      <c r="I307" s="290">
        <v>326</v>
      </c>
      <c r="J307" s="290">
        <v>144</v>
      </c>
      <c r="K307" s="290">
        <v>37</v>
      </c>
      <c r="L307" s="290">
        <v>16</v>
      </c>
      <c r="M307" s="290">
        <v>240</v>
      </c>
      <c r="N307" s="290">
        <v>54</v>
      </c>
      <c r="O307" s="290">
        <v>38</v>
      </c>
      <c r="P307" s="624">
        <v>14754.39666667</v>
      </c>
      <c r="Q307" s="624">
        <v>6202.8909999999996</v>
      </c>
      <c r="R307" s="1039">
        <v>10</v>
      </c>
      <c r="S307" s="290">
        <v>0</v>
      </c>
      <c r="T307" s="290">
        <v>199</v>
      </c>
      <c r="U307" s="958">
        <v>1.4396873974359022E-3</v>
      </c>
      <c r="V307" s="290">
        <v>1141.57018859</v>
      </c>
      <c r="W307" s="765">
        <v>0.85748473000000003</v>
      </c>
      <c r="X307" s="290">
        <v>0</v>
      </c>
      <c r="Y307" s="290"/>
      <c r="Z307" s="290">
        <v>67677.910999999993</v>
      </c>
      <c r="AA307" s="290">
        <v>0</v>
      </c>
      <c r="AB307" s="290">
        <v>49</v>
      </c>
      <c r="AC307" s="290">
        <v>126</v>
      </c>
      <c r="AD307" s="290">
        <v>61</v>
      </c>
      <c r="AE307" s="290">
        <v>0</v>
      </c>
      <c r="AF307" s="290">
        <v>0</v>
      </c>
      <c r="AG307" s="290">
        <v>2362</v>
      </c>
      <c r="AH307" s="290">
        <v>392</v>
      </c>
      <c r="AI307" s="290">
        <v>1150</v>
      </c>
      <c r="AJ307" s="290">
        <v>0</v>
      </c>
      <c r="AK307" s="290">
        <v>0</v>
      </c>
      <c r="AL307" s="290">
        <v>4390</v>
      </c>
      <c r="AM307" s="957">
        <v>3.5944160000000003E-2</v>
      </c>
      <c r="AN307" s="290">
        <v>0</v>
      </c>
      <c r="AO307" s="290">
        <v>-729.96740938999994</v>
      </c>
      <c r="AP307" s="290">
        <v>0</v>
      </c>
      <c r="AQ307" s="290">
        <v>0</v>
      </c>
      <c r="AR307" s="290">
        <v>-89.204452250000003</v>
      </c>
      <c r="AS307" s="290">
        <v>187.62950000000001</v>
      </c>
      <c r="AT307" s="290">
        <v>105</v>
      </c>
      <c r="AU307" s="290">
        <v>15</v>
      </c>
      <c r="AV307" s="766">
        <v>102524</v>
      </c>
      <c r="AW307" s="290">
        <v>400</v>
      </c>
      <c r="AX307" s="766">
        <v>19.666650000000001</v>
      </c>
      <c r="AY307" s="290">
        <v>473</v>
      </c>
      <c r="AZ307" s="290">
        <v>127</v>
      </c>
      <c r="BA307" s="290">
        <v>60</v>
      </c>
      <c r="BB307" s="290">
        <v>6034</v>
      </c>
      <c r="BC307" s="290">
        <v>4003.4402452700001</v>
      </c>
      <c r="BD307" s="290"/>
      <c r="BE307" s="290">
        <v>98393.983285659997</v>
      </c>
      <c r="BF307" s="290">
        <v>0</v>
      </c>
      <c r="BG307" s="290">
        <v>1934</v>
      </c>
      <c r="BH307" s="290">
        <v>500</v>
      </c>
      <c r="BI307" s="290">
        <v>579</v>
      </c>
      <c r="BJ307" s="290">
        <v>27</v>
      </c>
      <c r="BK307" s="290">
        <v>89</v>
      </c>
      <c r="BL307" s="290">
        <v>0</v>
      </c>
      <c r="BM307" s="290">
        <v>0</v>
      </c>
      <c r="BN307" s="290">
        <v>56</v>
      </c>
      <c r="BO307" s="290">
        <v>-18</v>
      </c>
      <c r="BP307" s="290">
        <v>218</v>
      </c>
      <c r="BQ307" s="290">
        <v>435</v>
      </c>
      <c r="BR307" s="290">
        <v>330</v>
      </c>
      <c r="BS307" s="290">
        <v>46</v>
      </c>
      <c r="BT307" s="290">
        <v>0</v>
      </c>
      <c r="BU307" s="290">
        <v>0</v>
      </c>
      <c r="BV307" s="290">
        <v>51</v>
      </c>
      <c r="BW307" s="290">
        <v>0</v>
      </c>
      <c r="BX307" s="290">
        <v>0</v>
      </c>
      <c r="BY307" s="290">
        <v>277</v>
      </c>
      <c r="BZ307" s="290">
        <v>200</v>
      </c>
      <c r="CA307" s="290">
        <v>359</v>
      </c>
      <c r="CB307" s="290">
        <v>32</v>
      </c>
      <c r="CC307" s="290">
        <v>0</v>
      </c>
      <c r="CD307" s="290">
        <v>0</v>
      </c>
      <c r="CE307" s="290">
        <v>67677.910999999993</v>
      </c>
      <c r="CF307" s="290">
        <v>0</v>
      </c>
      <c r="CG307" s="290">
        <v>0</v>
      </c>
      <c r="CH307" s="290">
        <v>0</v>
      </c>
      <c r="CI307" s="290">
        <v>0</v>
      </c>
      <c r="CJ307" s="290"/>
    </row>
    <row r="308" spans="1:88" ht="13">
      <c r="A308" s="1">
        <v>5046</v>
      </c>
      <c r="B308" s="2" t="s">
        <v>167</v>
      </c>
      <c r="C308" s="289">
        <v>1215</v>
      </c>
      <c r="D308" s="290">
        <v>20</v>
      </c>
      <c r="E308" s="290">
        <v>45</v>
      </c>
      <c r="F308" s="290">
        <v>176</v>
      </c>
      <c r="G308" s="290">
        <v>111</v>
      </c>
      <c r="H308" s="290">
        <v>590</v>
      </c>
      <c r="I308" s="290">
        <v>200</v>
      </c>
      <c r="J308" s="290">
        <v>78</v>
      </c>
      <c r="K308" s="290">
        <v>13</v>
      </c>
      <c r="L308" s="290">
        <v>9</v>
      </c>
      <c r="M308" s="290">
        <v>102</v>
      </c>
      <c r="N308" s="290">
        <v>3</v>
      </c>
      <c r="O308" s="290">
        <v>6</v>
      </c>
      <c r="P308" s="624">
        <v>8590.4983333300006</v>
      </c>
      <c r="Q308" s="624">
        <v>6596.5856666700001</v>
      </c>
      <c r="R308" s="1039">
        <v>18</v>
      </c>
      <c r="S308" s="290">
        <v>0</v>
      </c>
      <c r="T308" s="290">
        <v>73</v>
      </c>
      <c r="U308" s="958">
        <v>1.5561920686626171E-3</v>
      </c>
      <c r="V308" s="290">
        <v>948.52765080999995</v>
      </c>
      <c r="W308" s="765">
        <v>1</v>
      </c>
      <c r="X308" s="290">
        <v>0</v>
      </c>
      <c r="Y308" s="290"/>
      <c r="Z308" s="290">
        <v>29339.453000000001</v>
      </c>
      <c r="AA308" s="290">
        <v>0</v>
      </c>
      <c r="AB308" s="290">
        <v>31</v>
      </c>
      <c r="AC308" s="290">
        <v>87</v>
      </c>
      <c r="AD308" s="290">
        <v>43</v>
      </c>
      <c r="AE308" s="290">
        <v>0</v>
      </c>
      <c r="AF308" s="290">
        <v>0</v>
      </c>
      <c r="AG308" s="290">
        <v>1233</v>
      </c>
      <c r="AH308" s="290">
        <v>237</v>
      </c>
      <c r="AI308" s="290">
        <v>600</v>
      </c>
      <c r="AJ308" s="290">
        <v>0</v>
      </c>
      <c r="AK308" s="290">
        <v>0</v>
      </c>
      <c r="AL308" s="290">
        <v>2291</v>
      </c>
      <c r="AM308" s="957">
        <v>3.0646200000000001E-3</v>
      </c>
      <c r="AN308" s="290">
        <v>0</v>
      </c>
      <c r="AO308" s="290">
        <v>-474.77264511999999</v>
      </c>
      <c r="AP308" s="290">
        <v>0</v>
      </c>
      <c r="AQ308" s="290">
        <v>0</v>
      </c>
      <c r="AR308" s="290">
        <v>-46.566083669999998</v>
      </c>
      <c r="AS308" s="290">
        <v>145.04900000000001</v>
      </c>
      <c r="AT308" s="290">
        <v>43</v>
      </c>
      <c r="AU308" s="290">
        <v>3</v>
      </c>
      <c r="AV308" s="766">
        <v>76571</v>
      </c>
      <c r="AW308" s="290">
        <v>0</v>
      </c>
      <c r="AX308" s="766">
        <v>12.12505</v>
      </c>
      <c r="AY308" s="290">
        <v>254</v>
      </c>
      <c r="AZ308" s="290">
        <v>36</v>
      </c>
      <c r="BA308" s="290">
        <v>13</v>
      </c>
      <c r="BB308" s="290">
        <v>5432</v>
      </c>
      <c r="BC308" s="290">
        <v>2736.7371345800002</v>
      </c>
      <c r="BD308" s="290"/>
      <c r="BE308" s="290">
        <v>74705.012719510007</v>
      </c>
      <c r="BF308" s="290">
        <v>0</v>
      </c>
      <c r="BG308" s="290">
        <v>1009</v>
      </c>
      <c r="BH308" s="290">
        <v>500</v>
      </c>
      <c r="BI308" s="290">
        <v>367</v>
      </c>
      <c r="BJ308" s="290">
        <v>14</v>
      </c>
      <c r="BK308" s="290">
        <v>43</v>
      </c>
      <c r="BL308" s="290">
        <v>0</v>
      </c>
      <c r="BM308" s="290">
        <v>0</v>
      </c>
      <c r="BN308" s="290">
        <v>27</v>
      </c>
      <c r="BO308" s="290">
        <v>-7</v>
      </c>
      <c r="BP308" s="290">
        <v>113</v>
      </c>
      <c r="BQ308" s="290">
        <v>225</v>
      </c>
      <c r="BR308" s="290">
        <v>171</v>
      </c>
      <c r="BS308" s="290">
        <v>32</v>
      </c>
      <c r="BT308" s="290">
        <v>0</v>
      </c>
      <c r="BU308" s="290">
        <v>0</v>
      </c>
      <c r="BV308" s="290">
        <v>25</v>
      </c>
      <c r="BW308" s="290">
        <v>0</v>
      </c>
      <c r="BX308" s="290">
        <v>0</v>
      </c>
      <c r="BY308" s="290">
        <v>162</v>
      </c>
      <c r="BZ308" s="290">
        <v>300</v>
      </c>
      <c r="CA308" s="290">
        <v>484.5</v>
      </c>
      <c r="CB308" s="290">
        <v>24</v>
      </c>
      <c r="CC308" s="290">
        <v>0</v>
      </c>
      <c r="CD308" s="290">
        <v>0</v>
      </c>
      <c r="CE308" s="290">
        <v>29339.453000000001</v>
      </c>
      <c r="CF308" s="290">
        <v>0</v>
      </c>
      <c r="CG308" s="290">
        <v>0</v>
      </c>
      <c r="CH308" s="290">
        <v>0</v>
      </c>
      <c r="CI308" s="290">
        <v>0</v>
      </c>
      <c r="CJ308" s="290"/>
    </row>
    <row r="309" spans="1:88" ht="13">
      <c r="A309" s="1">
        <v>5047</v>
      </c>
      <c r="B309" s="2" t="s">
        <v>168</v>
      </c>
      <c r="C309" s="289">
        <v>3865</v>
      </c>
      <c r="D309" s="290">
        <v>79</v>
      </c>
      <c r="E309" s="290">
        <v>196</v>
      </c>
      <c r="F309" s="290">
        <v>543</v>
      </c>
      <c r="G309" s="290">
        <v>334</v>
      </c>
      <c r="H309" s="290">
        <v>2082</v>
      </c>
      <c r="I309" s="290">
        <v>446</v>
      </c>
      <c r="J309" s="290">
        <v>158</v>
      </c>
      <c r="K309" s="290">
        <v>31</v>
      </c>
      <c r="L309" s="290">
        <v>27</v>
      </c>
      <c r="M309" s="290">
        <v>256</v>
      </c>
      <c r="N309" s="290">
        <v>26</v>
      </c>
      <c r="O309" s="290">
        <v>43</v>
      </c>
      <c r="P309" s="624">
        <v>35372.432000000001</v>
      </c>
      <c r="Q309" s="624">
        <v>15708.96866667</v>
      </c>
      <c r="R309" s="1039">
        <v>18</v>
      </c>
      <c r="S309" s="290">
        <v>0</v>
      </c>
      <c r="T309" s="290">
        <v>218</v>
      </c>
      <c r="U309" s="958">
        <v>2.6871715845684045E-3</v>
      </c>
      <c r="V309" s="290">
        <v>-3153.6202365499998</v>
      </c>
      <c r="W309" s="765">
        <v>0.72882212999999996</v>
      </c>
      <c r="X309" s="290">
        <v>230</v>
      </c>
      <c r="Y309" s="290"/>
      <c r="Z309" s="290">
        <v>104067.85</v>
      </c>
      <c r="AA309" s="290">
        <v>0</v>
      </c>
      <c r="AB309" s="290">
        <v>84</v>
      </c>
      <c r="AC309" s="290">
        <v>243</v>
      </c>
      <c r="AD309" s="290">
        <v>88</v>
      </c>
      <c r="AE309" s="290">
        <v>0</v>
      </c>
      <c r="AF309" s="290">
        <v>0</v>
      </c>
      <c r="AG309" s="290">
        <v>3869</v>
      </c>
      <c r="AH309" s="290">
        <v>758</v>
      </c>
      <c r="AI309" s="290">
        <v>1030</v>
      </c>
      <c r="AJ309" s="290">
        <v>0</v>
      </c>
      <c r="AK309" s="290">
        <v>0</v>
      </c>
      <c r="AL309" s="290">
        <v>7228</v>
      </c>
      <c r="AM309" s="957">
        <v>3.6263799999999999E-2</v>
      </c>
      <c r="AN309" s="290">
        <v>0</v>
      </c>
      <c r="AO309" s="290">
        <v>-1117.1871850299999</v>
      </c>
      <c r="AP309" s="290">
        <v>0</v>
      </c>
      <c r="AQ309" s="290">
        <v>0</v>
      </c>
      <c r="AR309" s="290">
        <v>-146.11855451</v>
      </c>
      <c r="AS309" s="290">
        <v>364.47199999999998</v>
      </c>
      <c r="AT309" s="290">
        <v>144</v>
      </c>
      <c r="AU309" s="290">
        <v>29</v>
      </c>
      <c r="AV309" s="766">
        <v>136425</v>
      </c>
      <c r="AW309" s="290">
        <v>0</v>
      </c>
      <c r="AX309" s="766">
        <v>32.166649999999997</v>
      </c>
      <c r="AY309" s="290">
        <v>779</v>
      </c>
      <c r="AZ309" s="290">
        <v>131</v>
      </c>
      <c r="BA309" s="290">
        <v>76</v>
      </c>
      <c r="BB309" s="290">
        <v>0</v>
      </c>
      <c r="BC309" s="290">
        <v>6714.8820193299998</v>
      </c>
      <c r="BD309" s="290"/>
      <c r="BE309" s="290">
        <v>129377.79861524999</v>
      </c>
      <c r="BF309" s="290">
        <v>0</v>
      </c>
      <c r="BG309" s="290">
        <v>3167</v>
      </c>
      <c r="BH309" s="290">
        <v>1000</v>
      </c>
      <c r="BI309" s="290">
        <v>1089</v>
      </c>
      <c r="BJ309" s="290">
        <v>45</v>
      </c>
      <c r="BK309" s="290">
        <v>171</v>
      </c>
      <c r="BL309" s="290">
        <v>0</v>
      </c>
      <c r="BM309" s="290">
        <v>0</v>
      </c>
      <c r="BN309" s="290">
        <v>107</v>
      </c>
      <c r="BO309" s="290">
        <v>-23</v>
      </c>
      <c r="BP309" s="290">
        <v>358</v>
      </c>
      <c r="BQ309" s="290">
        <v>717</v>
      </c>
      <c r="BR309" s="290">
        <v>543</v>
      </c>
      <c r="BS309" s="290">
        <v>66</v>
      </c>
      <c r="BT309" s="290">
        <v>0</v>
      </c>
      <c r="BU309" s="290">
        <v>0</v>
      </c>
      <c r="BV309" s="290">
        <v>98</v>
      </c>
      <c r="BW309" s="290">
        <v>0</v>
      </c>
      <c r="BX309" s="290">
        <v>0</v>
      </c>
      <c r="BY309" s="290">
        <v>399</v>
      </c>
      <c r="BZ309" s="290">
        <v>200</v>
      </c>
      <c r="CA309" s="290">
        <v>213.39</v>
      </c>
      <c r="CB309" s="290">
        <v>43</v>
      </c>
      <c r="CC309" s="290">
        <v>0</v>
      </c>
      <c r="CD309" s="290">
        <v>0</v>
      </c>
      <c r="CE309" s="290">
        <v>104067.85</v>
      </c>
      <c r="CF309" s="290">
        <v>0</v>
      </c>
      <c r="CG309" s="290">
        <v>0</v>
      </c>
      <c r="CH309" s="290">
        <v>0</v>
      </c>
      <c r="CI309" s="290">
        <v>0</v>
      </c>
      <c r="CJ309" s="290"/>
    </row>
    <row r="310" spans="1:88" ht="13">
      <c r="A310" s="1">
        <v>5049</v>
      </c>
      <c r="B310" s="2" t="s">
        <v>170</v>
      </c>
      <c r="C310" s="289">
        <v>1100</v>
      </c>
      <c r="D310" s="290">
        <v>16</v>
      </c>
      <c r="E310" s="290">
        <v>40</v>
      </c>
      <c r="F310" s="290">
        <v>84</v>
      </c>
      <c r="G310" s="290">
        <v>99</v>
      </c>
      <c r="H310" s="290">
        <v>622</v>
      </c>
      <c r="I310" s="290">
        <v>176</v>
      </c>
      <c r="J310" s="290">
        <v>57</v>
      </c>
      <c r="K310" s="290">
        <v>7</v>
      </c>
      <c r="L310" s="290">
        <v>9</v>
      </c>
      <c r="M310" s="290">
        <v>95</v>
      </c>
      <c r="N310" s="290">
        <v>0</v>
      </c>
      <c r="O310" s="290">
        <v>6</v>
      </c>
      <c r="P310" s="624">
        <v>14093.128000000001</v>
      </c>
      <c r="Q310" s="624">
        <v>6535.0129999999999</v>
      </c>
      <c r="R310" s="1039">
        <v>9</v>
      </c>
      <c r="S310" s="290">
        <v>0</v>
      </c>
      <c r="T310" s="290">
        <v>84</v>
      </c>
      <c r="U310" s="958">
        <v>1.132143044834098E-3</v>
      </c>
      <c r="V310" s="290">
        <v>727.60526694999999</v>
      </c>
      <c r="W310" s="765">
        <v>1</v>
      </c>
      <c r="X310" s="290">
        <v>290</v>
      </c>
      <c r="Y310" s="290"/>
      <c r="Z310" s="290">
        <v>42474.544000000002</v>
      </c>
      <c r="AA310" s="290">
        <v>0</v>
      </c>
      <c r="AB310" s="290">
        <v>15</v>
      </c>
      <c r="AC310" s="290">
        <v>52</v>
      </c>
      <c r="AD310" s="290">
        <v>40</v>
      </c>
      <c r="AE310" s="290">
        <v>0</v>
      </c>
      <c r="AF310" s="290">
        <v>0</v>
      </c>
      <c r="AG310" s="290">
        <v>1101</v>
      </c>
      <c r="AH310" s="290">
        <v>147</v>
      </c>
      <c r="AI310" s="290">
        <v>0</v>
      </c>
      <c r="AJ310" s="290">
        <v>0</v>
      </c>
      <c r="AK310" s="290">
        <v>0</v>
      </c>
      <c r="AL310" s="290">
        <v>2053</v>
      </c>
      <c r="AM310" s="957">
        <v>1.4321769999999999E-2</v>
      </c>
      <c r="AN310" s="290">
        <v>0</v>
      </c>
      <c r="AO310" s="290">
        <v>-364.19294355</v>
      </c>
      <c r="AP310" s="290">
        <v>0</v>
      </c>
      <c r="AQ310" s="290">
        <v>0</v>
      </c>
      <c r="AR310" s="290">
        <v>-41.580906830000004</v>
      </c>
      <c r="AS310" s="290">
        <v>94.759</v>
      </c>
      <c r="AT310" s="290">
        <v>44</v>
      </c>
      <c r="AU310" s="290">
        <v>11</v>
      </c>
      <c r="AV310" s="766">
        <v>56670</v>
      </c>
      <c r="AW310" s="290">
        <v>0</v>
      </c>
      <c r="AX310" s="766">
        <v>8.3332999999999995</v>
      </c>
      <c r="AY310" s="290">
        <v>233</v>
      </c>
      <c r="AZ310" s="290">
        <v>36</v>
      </c>
      <c r="BA310" s="290">
        <v>11</v>
      </c>
      <c r="BB310" s="290">
        <v>6034</v>
      </c>
      <c r="BC310" s="290">
        <v>2104.02092386</v>
      </c>
      <c r="BD310" s="290"/>
      <c r="BE310" s="290">
        <v>54818.685007510001</v>
      </c>
      <c r="BF310" s="290">
        <v>0</v>
      </c>
      <c r="BG310" s="290">
        <v>901</v>
      </c>
      <c r="BH310" s="290">
        <v>500</v>
      </c>
      <c r="BI310" s="290">
        <v>239</v>
      </c>
      <c r="BJ310" s="290">
        <v>13</v>
      </c>
      <c r="BK310" s="290">
        <v>37</v>
      </c>
      <c r="BL310" s="290">
        <v>0</v>
      </c>
      <c r="BM310" s="290">
        <v>0</v>
      </c>
      <c r="BN310" s="290">
        <v>23</v>
      </c>
      <c r="BO310" s="290">
        <v>-7</v>
      </c>
      <c r="BP310" s="290">
        <v>102</v>
      </c>
      <c r="BQ310" s="290">
        <v>204</v>
      </c>
      <c r="BR310" s="290">
        <v>154</v>
      </c>
      <c r="BS310" s="290">
        <v>30</v>
      </c>
      <c r="BT310" s="290">
        <v>0</v>
      </c>
      <c r="BU310" s="290">
        <v>0</v>
      </c>
      <c r="BV310" s="290">
        <v>21</v>
      </c>
      <c r="BW310" s="290">
        <v>0</v>
      </c>
      <c r="BX310" s="290">
        <v>0</v>
      </c>
      <c r="BY310" s="290">
        <v>133</v>
      </c>
      <c r="BZ310" s="290">
        <v>100</v>
      </c>
      <c r="CA310" s="290">
        <v>69.563000000000002</v>
      </c>
      <c r="CB310" s="290">
        <v>23</v>
      </c>
      <c r="CC310" s="290">
        <v>0</v>
      </c>
      <c r="CD310" s="290">
        <v>0</v>
      </c>
      <c r="CE310" s="290">
        <v>42474.544000000002</v>
      </c>
      <c r="CF310" s="290">
        <v>0</v>
      </c>
      <c r="CG310" s="290">
        <v>0</v>
      </c>
      <c r="CH310" s="290">
        <v>0</v>
      </c>
      <c r="CI310" s="290">
        <v>0</v>
      </c>
      <c r="CJ310" s="290"/>
    </row>
    <row r="311" spans="1:88" ht="13">
      <c r="A311" s="1">
        <v>5052</v>
      </c>
      <c r="B311" s="2" t="s">
        <v>173</v>
      </c>
      <c r="C311" s="289">
        <v>563</v>
      </c>
      <c r="D311" s="290">
        <v>14</v>
      </c>
      <c r="E311" s="290">
        <v>15</v>
      </c>
      <c r="F311" s="290">
        <v>58</v>
      </c>
      <c r="G311" s="290">
        <v>35</v>
      </c>
      <c r="H311" s="290">
        <v>288</v>
      </c>
      <c r="I311" s="290">
        <v>105</v>
      </c>
      <c r="J311" s="290">
        <v>36</v>
      </c>
      <c r="K311" s="290">
        <v>11</v>
      </c>
      <c r="L311" s="290">
        <v>5</v>
      </c>
      <c r="M311" s="290">
        <v>65</v>
      </c>
      <c r="N311" s="290">
        <v>0</v>
      </c>
      <c r="O311" s="290">
        <v>3</v>
      </c>
      <c r="P311" s="624">
        <v>2796.5680000000002</v>
      </c>
      <c r="Q311" s="624">
        <v>2613.3609999999999</v>
      </c>
      <c r="R311" s="1039">
        <v>1</v>
      </c>
      <c r="S311" s="290">
        <v>0</v>
      </c>
      <c r="T311" s="290">
        <v>46</v>
      </c>
      <c r="U311" s="958">
        <v>8.8477385474419854E-4</v>
      </c>
      <c r="V311" s="290">
        <v>462.07459051000001</v>
      </c>
      <c r="W311" s="765">
        <v>1</v>
      </c>
      <c r="X311" s="290">
        <v>0</v>
      </c>
      <c r="Y311" s="290"/>
      <c r="Z311" s="290">
        <v>16669.456999999999</v>
      </c>
      <c r="AA311" s="290">
        <v>0</v>
      </c>
      <c r="AB311" s="290">
        <v>11</v>
      </c>
      <c r="AC311" s="290">
        <v>37</v>
      </c>
      <c r="AD311" s="290">
        <v>28</v>
      </c>
      <c r="AE311" s="290">
        <v>0</v>
      </c>
      <c r="AF311" s="290">
        <v>0</v>
      </c>
      <c r="AG311" s="290">
        <v>562</v>
      </c>
      <c r="AH311" s="290">
        <v>100</v>
      </c>
      <c r="AI311" s="290">
        <v>0</v>
      </c>
      <c r="AJ311" s="290">
        <v>0</v>
      </c>
      <c r="AK311" s="290">
        <v>0</v>
      </c>
      <c r="AL311" s="290">
        <v>1037</v>
      </c>
      <c r="AM311" s="957">
        <v>1.82756E-3</v>
      </c>
      <c r="AN311" s="290">
        <v>0</v>
      </c>
      <c r="AO311" s="290">
        <v>-231.28516642</v>
      </c>
      <c r="AP311" s="290">
        <v>0</v>
      </c>
      <c r="AQ311" s="290">
        <v>0</v>
      </c>
      <c r="AR311" s="290">
        <v>-21.224768059999999</v>
      </c>
      <c r="AS311" s="290">
        <v>55.3095</v>
      </c>
      <c r="AT311" s="290">
        <v>21</v>
      </c>
      <c r="AU311" s="290">
        <v>3</v>
      </c>
      <c r="AV311" s="766">
        <v>40702</v>
      </c>
      <c r="AW311" s="290">
        <v>0</v>
      </c>
      <c r="AX311" s="766">
        <v>5.2499500000000001</v>
      </c>
      <c r="AY311" s="290">
        <v>84</v>
      </c>
      <c r="AZ311" s="290">
        <v>9</v>
      </c>
      <c r="BA311" s="290">
        <v>15</v>
      </c>
      <c r="BB311" s="290">
        <v>6034</v>
      </c>
      <c r="BC311" s="290">
        <v>1464.6189999999999</v>
      </c>
      <c r="BD311" s="290"/>
      <c r="BE311" s="290">
        <v>40907.291962470001</v>
      </c>
      <c r="BF311" s="290">
        <v>0</v>
      </c>
      <c r="BG311" s="290">
        <v>460</v>
      </c>
      <c r="BH311" s="290">
        <v>500</v>
      </c>
      <c r="BI311" s="290">
        <v>165</v>
      </c>
      <c r="BJ311" s="290">
        <v>7</v>
      </c>
      <c r="BK311" s="290">
        <v>15</v>
      </c>
      <c r="BL311" s="290">
        <v>0</v>
      </c>
      <c r="BM311" s="290">
        <v>0</v>
      </c>
      <c r="BN311" s="290">
        <v>9</v>
      </c>
      <c r="BO311" s="290">
        <v>-3</v>
      </c>
      <c r="BP311" s="290">
        <v>52</v>
      </c>
      <c r="BQ311" s="290">
        <v>104</v>
      </c>
      <c r="BR311" s="290">
        <v>79</v>
      </c>
      <c r="BS311" s="290">
        <v>21</v>
      </c>
      <c r="BT311" s="290">
        <v>0</v>
      </c>
      <c r="BU311" s="290">
        <v>0</v>
      </c>
      <c r="BV311" s="290">
        <v>9</v>
      </c>
      <c r="BW311" s="290">
        <v>0</v>
      </c>
      <c r="BX311" s="290">
        <v>0</v>
      </c>
      <c r="BY311" s="290">
        <v>78</v>
      </c>
      <c r="BZ311" s="290">
        <v>100</v>
      </c>
      <c r="CA311" s="290">
        <v>44.177</v>
      </c>
      <c r="CB311" s="290">
        <v>19</v>
      </c>
      <c r="CC311" s="290">
        <v>0</v>
      </c>
      <c r="CD311" s="290">
        <v>0</v>
      </c>
      <c r="CE311" s="290">
        <v>16669.456999999999</v>
      </c>
      <c r="CF311" s="290">
        <v>0</v>
      </c>
      <c r="CG311" s="290">
        <v>0</v>
      </c>
      <c r="CH311" s="290">
        <v>0</v>
      </c>
      <c r="CI311" s="290">
        <v>0</v>
      </c>
      <c r="CJ311" s="290"/>
    </row>
    <row r="312" spans="1:88" ht="13">
      <c r="A312" s="1">
        <v>5053</v>
      </c>
      <c r="B312" s="2" t="s">
        <v>155</v>
      </c>
      <c r="C312" s="289">
        <v>6764</v>
      </c>
      <c r="D312" s="290">
        <v>139</v>
      </c>
      <c r="E312" s="290">
        <v>297</v>
      </c>
      <c r="F312" s="290">
        <v>852</v>
      </c>
      <c r="G312" s="290">
        <v>654</v>
      </c>
      <c r="H312" s="290">
        <v>3544</v>
      </c>
      <c r="I312" s="290">
        <v>984</v>
      </c>
      <c r="J312" s="290">
        <v>268</v>
      </c>
      <c r="K312" s="290">
        <v>63</v>
      </c>
      <c r="L312" s="290">
        <v>50</v>
      </c>
      <c r="M312" s="290">
        <v>504</v>
      </c>
      <c r="N312" s="290">
        <v>64</v>
      </c>
      <c r="O312" s="290">
        <v>39</v>
      </c>
      <c r="P312" s="624">
        <v>55680.971666669997</v>
      </c>
      <c r="Q312" s="624">
        <v>20251.305</v>
      </c>
      <c r="R312" s="1039">
        <v>29</v>
      </c>
      <c r="S312" s="290">
        <v>0</v>
      </c>
      <c r="T312" s="290">
        <v>412</v>
      </c>
      <c r="U312" s="958">
        <v>4.7841810916903395E-3</v>
      </c>
      <c r="V312" s="290">
        <v>1785.2170710099999</v>
      </c>
      <c r="W312" s="765">
        <v>0.68210824999999997</v>
      </c>
      <c r="X312" s="290">
        <v>0</v>
      </c>
      <c r="Y312" s="290"/>
      <c r="Z312" s="290">
        <v>193708.14199999999</v>
      </c>
      <c r="AA312" s="290">
        <v>0</v>
      </c>
      <c r="AB312" s="290">
        <v>143</v>
      </c>
      <c r="AC312" s="290">
        <v>369</v>
      </c>
      <c r="AD312" s="290">
        <v>146</v>
      </c>
      <c r="AE312" s="290">
        <v>0</v>
      </c>
      <c r="AF312" s="290">
        <v>20871</v>
      </c>
      <c r="AG312" s="290">
        <v>6801</v>
      </c>
      <c r="AH312" s="290">
        <v>1256</v>
      </c>
      <c r="AI312" s="290">
        <v>150</v>
      </c>
      <c r="AJ312" s="290">
        <v>0</v>
      </c>
      <c r="AK312" s="290">
        <v>0</v>
      </c>
      <c r="AL312" s="290">
        <v>0</v>
      </c>
      <c r="AM312" s="957">
        <v>8.6174879999999995E-2</v>
      </c>
      <c r="AN312" s="290">
        <v>7502</v>
      </c>
      <c r="AO312" s="290">
        <v>-1844.9858296100001</v>
      </c>
      <c r="AP312" s="290">
        <v>0</v>
      </c>
      <c r="AQ312" s="290">
        <v>0</v>
      </c>
      <c r="AR312" s="290">
        <v>-256.84990673999999</v>
      </c>
      <c r="AS312" s="290">
        <v>582.61149999999998</v>
      </c>
      <c r="AT312" s="290">
        <v>314</v>
      </c>
      <c r="AU312" s="290">
        <v>50</v>
      </c>
      <c r="AV312" s="766">
        <v>236124</v>
      </c>
      <c r="AW312" s="290">
        <v>1500</v>
      </c>
      <c r="AX312" s="766">
        <v>55.375050000000002</v>
      </c>
      <c r="AY312" s="290">
        <v>1636</v>
      </c>
      <c r="AZ312" s="290">
        <v>255</v>
      </c>
      <c r="BA312" s="290">
        <v>147</v>
      </c>
      <c r="BB312" s="290">
        <v>0</v>
      </c>
      <c r="BC312" s="290">
        <v>30767.839378550001</v>
      </c>
      <c r="BD312" s="290"/>
      <c r="BE312" s="290">
        <v>223697.92053052</v>
      </c>
      <c r="BF312" s="290">
        <v>0</v>
      </c>
      <c r="BG312" s="290">
        <v>5567</v>
      </c>
      <c r="BH312" s="290">
        <v>1000</v>
      </c>
      <c r="BI312" s="290">
        <v>22642</v>
      </c>
      <c r="BJ312" s="290">
        <v>78</v>
      </c>
      <c r="BK312" s="290">
        <v>270</v>
      </c>
      <c r="BL312" s="290">
        <v>0</v>
      </c>
      <c r="BM312" s="290">
        <v>0</v>
      </c>
      <c r="BN312" s="290">
        <v>169</v>
      </c>
      <c r="BO312" s="290">
        <v>-42</v>
      </c>
      <c r="BP312" s="290">
        <v>627</v>
      </c>
      <c r="BQ312" s="290">
        <v>1255</v>
      </c>
      <c r="BR312" s="290">
        <v>950</v>
      </c>
      <c r="BS312" s="290">
        <v>110</v>
      </c>
      <c r="BT312" s="290">
        <v>0</v>
      </c>
      <c r="BU312" s="290">
        <v>0</v>
      </c>
      <c r="BV312" s="290">
        <v>156</v>
      </c>
      <c r="BW312" s="290">
        <v>0</v>
      </c>
      <c r="BX312" s="290">
        <v>0</v>
      </c>
      <c r="BY312" s="290">
        <v>771</v>
      </c>
      <c r="BZ312" s="290">
        <v>1100</v>
      </c>
      <c r="CA312" s="290">
        <v>3465.6000000000004</v>
      </c>
      <c r="CB312" s="290">
        <v>68</v>
      </c>
      <c r="CC312" s="290">
        <v>0</v>
      </c>
      <c r="CD312" s="290">
        <v>0</v>
      </c>
      <c r="CE312" s="290">
        <v>193708.14199999999</v>
      </c>
      <c r="CF312" s="290">
        <v>0</v>
      </c>
      <c r="CG312" s="290">
        <v>0</v>
      </c>
      <c r="CH312" s="290">
        <v>0</v>
      </c>
      <c r="CI312" s="290">
        <v>0</v>
      </c>
      <c r="CJ312" s="290"/>
    </row>
    <row r="313" spans="1:88" ht="13">
      <c r="A313" s="1">
        <v>5054</v>
      </c>
      <c r="B313" s="2" t="s">
        <v>1234</v>
      </c>
      <c r="C313" s="289">
        <v>9948</v>
      </c>
      <c r="D313" s="290">
        <v>156</v>
      </c>
      <c r="E313" s="290">
        <v>394</v>
      </c>
      <c r="F313" s="290">
        <v>1231</v>
      </c>
      <c r="G313" s="290">
        <v>898</v>
      </c>
      <c r="H313" s="290">
        <v>5299</v>
      </c>
      <c r="I313" s="290">
        <v>1482</v>
      </c>
      <c r="J313" s="290">
        <v>466</v>
      </c>
      <c r="K313" s="290">
        <v>111</v>
      </c>
      <c r="L313" s="290">
        <v>78</v>
      </c>
      <c r="M313" s="290">
        <v>913</v>
      </c>
      <c r="N313" s="290">
        <v>46</v>
      </c>
      <c r="O313" s="290">
        <v>81</v>
      </c>
      <c r="P313" s="624">
        <v>95191.611333330002</v>
      </c>
      <c r="Q313" s="624">
        <v>34580.233</v>
      </c>
      <c r="R313" s="1039">
        <v>49</v>
      </c>
      <c r="S313" s="290">
        <v>0</v>
      </c>
      <c r="T313" s="290">
        <v>746</v>
      </c>
      <c r="U313" s="958">
        <v>7.1441727455973051E-3</v>
      </c>
      <c r="V313" s="290">
        <v>1955.9765753700001</v>
      </c>
      <c r="W313" s="765">
        <v>0.81061519999999998</v>
      </c>
      <c r="X313" s="290">
        <v>2750</v>
      </c>
      <c r="Y313" s="290"/>
      <c r="Z313" s="290">
        <v>256343.16699999999</v>
      </c>
      <c r="AA313" s="290">
        <v>0</v>
      </c>
      <c r="AB313" s="290">
        <v>258</v>
      </c>
      <c r="AC313" s="290">
        <v>541</v>
      </c>
      <c r="AD313" s="290">
        <v>217</v>
      </c>
      <c r="AE313" s="290">
        <v>0</v>
      </c>
      <c r="AF313" s="290">
        <v>16503</v>
      </c>
      <c r="AG313" s="290">
        <v>10037</v>
      </c>
      <c r="AH313" s="290">
        <v>1724</v>
      </c>
      <c r="AI313" s="290">
        <v>765</v>
      </c>
      <c r="AJ313" s="290">
        <v>0</v>
      </c>
      <c r="AK313" s="290">
        <v>0</v>
      </c>
      <c r="AL313" s="290">
        <v>0</v>
      </c>
      <c r="AM313" s="957">
        <v>0.11846168999999999</v>
      </c>
      <c r="AN313" s="290">
        <v>7945</v>
      </c>
      <c r="AO313" s="290">
        <v>-2776.1635364399999</v>
      </c>
      <c r="AP313" s="290">
        <v>0</v>
      </c>
      <c r="AQ313" s="290">
        <v>0</v>
      </c>
      <c r="AR313" s="290">
        <v>387.28280783999998</v>
      </c>
      <c r="AS313" s="290">
        <v>870.89149999999995</v>
      </c>
      <c r="AT313" s="290">
        <v>435</v>
      </c>
      <c r="AU313" s="290">
        <v>86</v>
      </c>
      <c r="AV313" s="766">
        <v>350807</v>
      </c>
      <c r="AW313" s="290">
        <v>0</v>
      </c>
      <c r="AX313" s="766">
        <v>55.875</v>
      </c>
      <c r="AY313" s="290">
        <v>1727</v>
      </c>
      <c r="AZ313" s="290">
        <v>322</v>
      </c>
      <c r="BA313" s="290">
        <v>236</v>
      </c>
      <c r="BB313" s="290">
        <v>0</v>
      </c>
      <c r="BC313" s="290">
        <v>31199.867499979999</v>
      </c>
      <c r="BD313" s="290"/>
      <c r="BE313" s="290">
        <v>330443.10091332998</v>
      </c>
      <c r="BF313" s="290">
        <v>0</v>
      </c>
      <c r="BG313" s="290">
        <v>8216</v>
      </c>
      <c r="BH313" s="290">
        <v>1000</v>
      </c>
      <c r="BI313" s="290">
        <v>18985</v>
      </c>
      <c r="BJ313" s="290">
        <v>114</v>
      </c>
      <c r="BK313" s="290">
        <v>341</v>
      </c>
      <c r="BL313" s="290">
        <v>0</v>
      </c>
      <c r="BM313" s="290">
        <v>4050</v>
      </c>
      <c r="BN313" s="290">
        <v>213</v>
      </c>
      <c r="BO313" s="290">
        <v>-67</v>
      </c>
      <c r="BP313" s="290">
        <v>923</v>
      </c>
      <c r="BQ313" s="290">
        <v>1845</v>
      </c>
      <c r="BR313" s="290">
        <v>1397</v>
      </c>
      <c r="BS313" s="290">
        <v>163</v>
      </c>
      <c r="BT313" s="290">
        <v>0</v>
      </c>
      <c r="BU313" s="290">
        <v>0</v>
      </c>
      <c r="BV313" s="290">
        <v>196</v>
      </c>
      <c r="BW313" s="290">
        <v>0</v>
      </c>
      <c r="BX313" s="290">
        <v>0</v>
      </c>
      <c r="BY313" s="290">
        <v>1190</v>
      </c>
      <c r="BZ313" s="290">
        <v>1300</v>
      </c>
      <c r="CA313" s="290">
        <v>1162.5999999999999</v>
      </c>
      <c r="CB313" s="290">
        <v>97</v>
      </c>
      <c r="CC313" s="290">
        <v>1</v>
      </c>
      <c r="CD313" s="290">
        <v>0</v>
      </c>
      <c r="CE313" s="290">
        <v>256343.16699999999</v>
      </c>
      <c r="CF313" s="290">
        <v>0</v>
      </c>
      <c r="CG313" s="290">
        <v>0</v>
      </c>
      <c r="CH313" s="290">
        <v>0</v>
      </c>
      <c r="CI313" s="290">
        <v>0</v>
      </c>
      <c r="CJ313" s="290"/>
    </row>
    <row r="314" spans="1:88" ht="13">
      <c r="A314" s="1">
        <v>5055</v>
      </c>
      <c r="B314" s="2" t="s">
        <v>1642</v>
      </c>
      <c r="C314" s="289">
        <v>5941</v>
      </c>
      <c r="D314" s="290">
        <v>87</v>
      </c>
      <c r="E314" s="290">
        <v>254</v>
      </c>
      <c r="F314" s="290">
        <v>656</v>
      </c>
      <c r="G314" s="290">
        <v>515</v>
      </c>
      <c r="H314" s="290">
        <v>3139</v>
      </c>
      <c r="I314" s="290">
        <v>921</v>
      </c>
      <c r="J314" s="290">
        <v>292</v>
      </c>
      <c r="K314" s="290">
        <v>66</v>
      </c>
      <c r="L314" s="290">
        <v>47</v>
      </c>
      <c r="M314" s="290">
        <v>544</v>
      </c>
      <c r="N314" s="290">
        <v>43</v>
      </c>
      <c r="O314" s="290">
        <v>44</v>
      </c>
      <c r="P314" s="624">
        <v>91256.294702500003</v>
      </c>
      <c r="Q314" s="624">
        <v>20626.427788699999</v>
      </c>
      <c r="R314" s="1039">
        <v>23</v>
      </c>
      <c r="S314" s="290">
        <v>0</v>
      </c>
      <c r="T314" s="290">
        <v>455</v>
      </c>
      <c r="U314" s="958">
        <v>4.0455992286418298E-3</v>
      </c>
      <c r="V314" s="290">
        <v>3308.7810311100002</v>
      </c>
      <c r="W314" s="765">
        <v>0.86890540000000005</v>
      </c>
      <c r="X314" s="290">
        <v>0</v>
      </c>
      <c r="Y314" s="290"/>
      <c r="Z314" s="290">
        <v>176810.02900000001</v>
      </c>
      <c r="AA314" s="290">
        <v>0</v>
      </c>
      <c r="AB314" s="290">
        <v>162</v>
      </c>
      <c r="AC314" s="290">
        <v>304</v>
      </c>
      <c r="AD314" s="290">
        <v>140</v>
      </c>
      <c r="AE314" s="290">
        <v>0</v>
      </c>
      <c r="AF314" s="290">
        <v>25493</v>
      </c>
      <c r="AG314" s="290">
        <v>5930</v>
      </c>
      <c r="AH314" s="290">
        <v>960</v>
      </c>
      <c r="AI314" s="290">
        <v>250</v>
      </c>
      <c r="AJ314" s="290">
        <v>0</v>
      </c>
      <c r="AK314" s="290">
        <v>307</v>
      </c>
      <c r="AL314" s="290">
        <v>0</v>
      </c>
      <c r="AM314" s="957">
        <v>3.9268820000000003E-2</v>
      </c>
      <c r="AN314" s="290">
        <v>8361</v>
      </c>
      <c r="AO314" s="290">
        <v>-1656.1654485199999</v>
      </c>
      <c r="AP314" s="290">
        <v>0</v>
      </c>
      <c r="AQ314" s="290">
        <v>0</v>
      </c>
      <c r="AR314" s="290">
        <v>-223.95529289999999</v>
      </c>
      <c r="AS314" s="290">
        <v>492.91146494999998</v>
      </c>
      <c r="AT314" s="290">
        <v>258</v>
      </c>
      <c r="AU314" s="290">
        <v>33</v>
      </c>
      <c r="AV314" s="766">
        <v>223123</v>
      </c>
      <c r="AW314" s="290">
        <v>0</v>
      </c>
      <c r="AX314" s="766">
        <v>25.250050000000002</v>
      </c>
      <c r="AY314" s="290">
        <v>926</v>
      </c>
      <c r="AZ314" s="290">
        <v>164</v>
      </c>
      <c r="BA314" s="290">
        <v>123</v>
      </c>
      <c r="BB314" s="290">
        <v>0</v>
      </c>
      <c r="BC314" s="290">
        <v>34445.84085262</v>
      </c>
      <c r="BD314" s="290"/>
      <c r="BE314" s="290">
        <v>216537.87950819</v>
      </c>
      <c r="BF314" s="290">
        <v>0</v>
      </c>
      <c r="BG314" s="290">
        <v>4854</v>
      </c>
      <c r="BH314" s="290">
        <v>1000</v>
      </c>
      <c r="BI314" s="290">
        <v>27204</v>
      </c>
      <c r="BJ314" s="290">
        <v>69</v>
      </c>
      <c r="BK314" s="290">
        <v>211</v>
      </c>
      <c r="BL314" s="290">
        <v>0</v>
      </c>
      <c r="BM314" s="290">
        <v>0</v>
      </c>
      <c r="BN314" s="290">
        <v>132</v>
      </c>
      <c r="BO314" s="290">
        <v>-40</v>
      </c>
      <c r="BP314" s="290">
        <v>551</v>
      </c>
      <c r="BQ314" s="290">
        <v>1102</v>
      </c>
      <c r="BR314" s="290">
        <v>834</v>
      </c>
      <c r="BS314" s="290">
        <v>105</v>
      </c>
      <c r="BT314" s="290">
        <v>0</v>
      </c>
      <c r="BU314" s="290">
        <v>0</v>
      </c>
      <c r="BV314" s="290">
        <v>121</v>
      </c>
      <c r="BW314" s="290">
        <v>0</v>
      </c>
      <c r="BX314" s="290">
        <v>0</v>
      </c>
      <c r="BY314" s="290">
        <v>720</v>
      </c>
      <c r="BZ314" s="290">
        <v>1100</v>
      </c>
      <c r="CA314" s="290">
        <v>412.5</v>
      </c>
      <c r="CB314" s="290">
        <v>63</v>
      </c>
      <c r="CC314" s="290">
        <v>0</v>
      </c>
      <c r="CD314" s="290">
        <v>0</v>
      </c>
      <c r="CE314" s="290">
        <v>176810.02900000001</v>
      </c>
      <c r="CF314" s="290">
        <v>45.430181613964578</v>
      </c>
      <c r="CG314" s="290">
        <v>0</v>
      </c>
      <c r="CH314" s="290">
        <v>0</v>
      </c>
      <c r="CI314" s="290">
        <v>0</v>
      </c>
      <c r="CJ314" s="290"/>
    </row>
    <row r="315" spans="1:88" ht="13">
      <c r="A315" s="1">
        <v>5056</v>
      </c>
      <c r="B315" s="2" t="s">
        <v>1643</v>
      </c>
      <c r="C315" s="289">
        <v>5140</v>
      </c>
      <c r="D315" s="290">
        <v>91</v>
      </c>
      <c r="E315" s="290">
        <v>210</v>
      </c>
      <c r="F315" s="290">
        <v>510</v>
      </c>
      <c r="G315" s="290">
        <v>420</v>
      </c>
      <c r="H315" s="290">
        <v>2921</v>
      </c>
      <c r="I315" s="290">
        <v>691</v>
      </c>
      <c r="J315" s="290">
        <v>220</v>
      </c>
      <c r="K315" s="290">
        <v>39</v>
      </c>
      <c r="L315" s="290">
        <v>39</v>
      </c>
      <c r="M315" s="290">
        <v>449</v>
      </c>
      <c r="N315" s="290">
        <v>39</v>
      </c>
      <c r="O315" s="290">
        <v>57</v>
      </c>
      <c r="P315" s="624">
        <v>69944.529132740005</v>
      </c>
      <c r="Q315" s="624">
        <v>24378.286395210002</v>
      </c>
      <c r="R315" s="1039">
        <v>19</v>
      </c>
      <c r="S315" s="290">
        <v>0</v>
      </c>
      <c r="T315" s="290">
        <v>539</v>
      </c>
      <c r="U315" s="958">
        <v>2.1984118398231428E-3</v>
      </c>
      <c r="V315" s="290">
        <v>2762.66101979</v>
      </c>
      <c r="W315" s="765">
        <v>0.91789564000000001</v>
      </c>
      <c r="X315" s="290">
        <v>3250</v>
      </c>
      <c r="Y315" s="290"/>
      <c r="Z315" s="290">
        <v>161475.802</v>
      </c>
      <c r="AA315" s="290">
        <v>0</v>
      </c>
      <c r="AB315" s="290">
        <v>109</v>
      </c>
      <c r="AC315" s="290">
        <v>247</v>
      </c>
      <c r="AD315" s="290">
        <v>120</v>
      </c>
      <c r="AE315" s="290">
        <v>0</v>
      </c>
      <c r="AF315" s="290">
        <v>6225</v>
      </c>
      <c r="AG315" s="290">
        <v>5102</v>
      </c>
      <c r="AH315" s="290">
        <v>778</v>
      </c>
      <c r="AI315" s="290">
        <v>0</v>
      </c>
      <c r="AJ315" s="290">
        <v>0</v>
      </c>
      <c r="AK315" s="290">
        <v>414</v>
      </c>
      <c r="AL315" s="290">
        <v>0</v>
      </c>
      <c r="AM315" s="957">
        <v>0.10390381</v>
      </c>
      <c r="AN315" s="290">
        <v>2911</v>
      </c>
      <c r="AO315" s="290">
        <v>-1382.81248712</v>
      </c>
      <c r="AP315" s="290">
        <v>0</v>
      </c>
      <c r="AQ315" s="290">
        <v>0</v>
      </c>
      <c r="AR315" s="290">
        <v>-192.68463817</v>
      </c>
      <c r="AS315" s="290">
        <v>396.63931078000002</v>
      </c>
      <c r="AT315" s="290">
        <v>251</v>
      </c>
      <c r="AU315" s="290">
        <v>51</v>
      </c>
      <c r="AV315" s="766">
        <v>167336</v>
      </c>
      <c r="AW315" s="290">
        <v>2400</v>
      </c>
      <c r="AX315" s="766">
        <v>39.625</v>
      </c>
      <c r="AY315" s="290">
        <v>825</v>
      </c>
      <c r="AZ315" s="290">
        <v>207</v>
      </c>
      <c r="BA315" s="290">
        <v>121</v>
      </c>
      <c r="BB315" s="290">
        <v>0</v>
      </c>
      <c r="BC315" s="290">
        <v>13550.14335633</v>
      </c>
      <c r="BD315" s="290"/>
      <c r="BE315" s="290">
        <v>160290.58152735</v>
      </c>
      <c r="BF315" s="290">
        <v>0</v>
      </c>
      <c r="BG315" s="290">
        <v>4177</v>
      </c>
      <c r="BH315" s="290">
        <v>1000</v>
      </c>
      <c r="BI315" s="290">
        <v>7784</v>
      </c>
      <c r="BJ315" s="290">
        <v>58</v>
      </c>
      <c r="BK315" s="290">
        <v>186</v>
      </c>
      <c r="BL315" s="290">
        <v>0</v>
      </c>
      <c r="BM315" s="290">
        <v>0</v>
      </c>
      <c r="BN315" s="290">
        <v>116</v>
      </c>
      <c r="BO315" s="290">
        <v>-42</v>
      </c>
      <c r="BP315" s="290">
        <v>477</v>
      </c>
      <c r="BQ315" s="290">
        <v>953</v>
      </c>
      <c r="BR315" s="290">
        <v>722</v>
      </c>
      <c r="BS315" s="290">
        <v>90</v>
      </c>
      <c r="BT315" s="290">
        <v>0</v>
      </c>
      <c r="BU315" s="290">
        <v>0</v>
      </c>
      <c r="BV315" s="290">
        <v>107</v>
      </c>
      <c r="BW315" s="290">
        <v>0</v>
      </c>
      <c r="BX315" s="290">
        <v>0</v>
      </c>
      <c r="BY315" s="290">
        <v>552</v>
      </c>
      <c r="BZ315" s="290">
        <v>700</v>
      </c>
      <c r="CA315" s="290">
        <v>1533.1</v>
      </c>
      <c r="CB315" s="290">
        <v>56</v>
      </c>
      <c r="CC315" s="290">
        <v>0</v>
      </c>
      <c r="CD315" s="290">
        <v>0</v>
      </c>
      <c r="CE315" s="290">
        <v>161475.802</v>
      </c>
      <c r="CF315" s="290">
        <v>149.46860749667712</v>
      </c>
      <c r="CG315" s="290">
        <v>0</v>
      </c>
      <c r="CH315" s="290">
        <v>0</v>
      </c>
      <c r="CI315" s="290">
        <v>0</v>
      </c>
      <c r="CJ315" s="290"/>
    </row>
    <row r="316" spans="1:88" ht="13">
      <c r="A316" s="1">
        <v>5057</v>
      </c>
      <c r="B316" s="2" t="s">
        <v>1644</v>
      </c>
      <c r="C316" s="289">
        <v>10306</v>
      </c>
      <c r="D316" s="290">
        <v>224</v>
      </c>
      <c r="E316" s="290">
        <v>462</v>
      </c>
      <c r="F316" s="290">
        <v>1203</v>
      </c>
      <c r="G316" s="290">
        <v>804</v>
      </c>
      <c r="H316" s="290">
        <v>5689</v>
      </c>
      <c r="I316" s="290">
        <v>1376</v>
      </c>
      <c r="J316" s="290">
        <v>480</v>
      </c>
      <c r="K316" s="290">
        <v>99</v>
      </c>
      <c r="L316" s="290">
        <v>81</v>
      </c>
      <c r="M316" s="290">
        <v>887</v>
      </c>
      <c r="N316" s="290">
        <v>30</v>
      </c>
      <c r="O316" s="290">
        <v>53</v>
      </c>
      <c r="P316" s="624">
        <v>56308.574333329998</v>
      </c>
      <c r="Q316" s="624">
        <v>25529.46</v>
      </c>
      <c r="R316" s="1039">
        <v>32</v>
      </c>
      <c r="S316" s="290">
        <v>0</v>
      </c>
      <c r="T316" s="290">
        <v>896</v>
      </c>
      <c r="U316" s="958">
        <v>5.1054632255398908E-3</v>
      </c>
      <c r="V316" s="290">
        <v>1121.08718752</v>
      </c>
      <c r="W316" s="765">
        <v>0.67508462999999996</v>
      </c>
      <c r="X316" s="290">
        <v>1490</v>
      </c>
      <c r="Y316" s="290"/>
      <c r="Z316" s="290">
        <v>300234.18099999998</v>
      </c>
      <c r="AA316" s="290">
        <v>0</v>
      </c>
      <c r="AB316" s="290">
        <v>306</v>
      </c>
      <c r="AC316" s="290">
        <v>511</v>
      </c>
      <c r="AD316" s="290">
        <v>207</v>
      </c>
      <c r="AE316" s="290">
        <v>0</v>
      </c>
      <c r="AF316" s="290">
        <v>19102</v>
      </c>
      <c r="AG316" s="290">
        <v>10337</v>
      </c>
      <c r="AH316" s="290">
        <v>1770</v>
      </c>
      <c r="AI316" s="290">
        <v>0</v>
      </c>
      <c r="AJ316" s="290">
        <v>0</v>
      </c>
      <c r="AK316" s="290">
        <v>765</v>
      </c>
      <c r="AL316" s="290">
        <v>0</v>
      </c>
      <c r="AM316" s="957">
        <v>0.1072582</v>
      </c>
      <c r="AN316" s="290">
        <v>13519</v>
      </c>
      <c r="AO316" s="290">
        <v>-2728.2675117499998</v>
      </c>
      <c r="AP316" s="290">
        <v>0</v>
      </c>
      <c r="AQ316" s="290">
        <v>0</v>
      </c>
      <c r="AR316" s="290">
        <v>-390.39221967999998</v>
      </c>
      <c r="AS316" s="290">
        <v>772.03899999999999</v>
      </c>
      <c r="AT316" s="290">
        <v>479</v>
      </c>
      <c r="AU316" s="290">
        <v>82</v>
      </c>
      <c r="AV316" s="766">
        <v>326700</v>
      </c>
      <c r="AW316" s="290">
        <v>500</v>
      </c>
      <c r="AX316" s="766">
        <v>85.583349999999996</v>
      </c>
      <c r="AY316" s="290">
        <v>1850</v>
      </c>
      <c r="AZ316" s="290">
        <v>291</v>
      </c>
      <c r="BA316" s="290">
        <v>285</v>
      </c>
      <c r="BB316" s="290">
        <v>0</v>
      </c>
      <c r="BC316" s="290">
        <v>34178.126119289998</v>
      </c>
      <c r="BD316" s="290"/>
      <c r="BE316" s="290">
        <v>317292.29542192002</v>
      </c>
      <c r="BF316" s="290">
        <v>0</v>
      </c>
      <c r="BG316" s="290">
        <v>8462</v>
      </c>
      <c r="BH316" s="290">
        <v>1000</v>
      </c>
      <c r="BI316" s="290">
        <v>22355</v>
      </c>
      <c r="BJ316" s="290">
        <v>118</v>
      </c>
      <c r="BK316" s="290">
        <v>409</v>
      </c>
      <c r="BL316" s="290">
        <v>0</v>
      </c>
      <c r="BM316" s="290">
        <v>4067</v>
      </c>
      <c r="BN316" s="290">
        <v>256</v>
      </c>
      <c r="BO316" s="290">
        <v>-74</v>
      </c>
      <c r="BP316" s="290">
        <v>956</v>
      </c>
      <c r="BQ316" s="290">
        <v>1912</v>
      </c>
      <c r="BR316" s="290">
        <v>1447</v>
      </c>
      <c r="BS316" s="290">
        <v>155</v>
      </c>
      <c r="BT316" s="290">
        <v>0</v>
      </c>
      <c r="BU316" s="290">
        <v>0</v>
      </c>
      <c r="BV316" s="290">
        <v>235</v>
      </c>
      <c r="BW316" s="290">
        <v>0</v>
      </c>
      <c r="BX316" s="290">
        <v>0</v>
      </c>
      <c r="BY316" s="290">
        <v>1129</v>
      </c>
      <c r="BZ316" s="290">
        <v>2300</v>
      </c>
      <c r="CA316" s="290">
        <v>521.11800000000005</v>
      </c>
      <c r="CB316" s="290">
        <v>98</v>
      </c>
      <c r="CC316" s="290">
        <v>1</v>
      </c>
      <c r="CD316" s="290">
        <v>0</v>
      </c>
      <c r="CE316" s="290">
        <v>300234.18099999998</v>
      </c>
      <c r="CF316" s="290">
        <v>599.46017280862861</v>
      </c>
      <c r="CG316" s="290">
        <v>365.1853040817266</v>
      </c>
      <c r="CH316" s="290">
        <v>119.56662591624172</v>
      </c>
      <c r="CI316" s="290">
        <v>0</v>
      </c>
      <c r="CJ316" s="290"/>
    </row>
    <row r="317" spans="1:88" ht="13">
      <c r="A317" s="1">
        <v>5058</v>
      </c>
      <c r="B317" s="2" t="s">
        <v>1645</v>
      </c>
      <c r="C317" s="289">
        <v>4271</v>
      </c>
      <c r="D317" s="290">
        <v>97</v>
      </c>
      <c r="E317" s="290">
        <v>190</v>
      </c>
      <c r="F317" s="290">
        <v>397</v>
      </c>
      <c r="G317" s="290">
        <v>354</v>
      </c>
      <c r="H317" s="290">
        <v>2284</v>
      </c>
      <c r="I317" s="290">
        <v>665</v>
      </c>
      <c r="J317" s="290">
        <v>237</v>
      </c>
      <c r="K317" s="290">
        <v>55</v>
      </c>
      <c r="L317" s="290">
        <v>35</v>
      </c>
      <c r="M317" s="290">
        <v>455</v>
      </c>
      <c r="N317" s="290">
        <v>13</v>
      </c>
      <c r="O317" s="290">
        <v>44</v>
      </c>
      <c r="P317" s="624">
        <v>78207.301999999996</v>
      </c>
      <c r="Q317" s="624">
        <v>20828.324333330002</v>
      </c>
      <c r="R317" s="1039">
        <v>23</v>
      </c>
      <c r="S317" s="290">
        <v>0</v>
      </c>
      <c r="T317" s="290">
        <v>313</v>
      </c>
      <c r="U317" s="958">
        <v>3.2013308877757219E-3</v>
      </c>
      <c r="V317" s="290">
        <v>2531.9608127000001</v>
      </c>
      <c r="W317" s="765">
        <v>1</v>
      </c>
      <c r="X317" s="290">
        <v>2680</v>
      </c>
      <c r="Y317" s="290"/>
      <c r="Z317" s="290">
        <v>129736.989</v>
      </c>
      <c r="AA317" s="290">
        <v>0</v>
      </c>
      <c r="AB317" s="290">
        <v>107</v>
      </c>
      <c r="AC317" s="290">
        <v>202</v>
      </c>
      <c r="AD317" s="290">
        <v>112</v>
      </c>
      <c r="AE317" s="290">
        <v>0</v>
      </c>
      <c r="AF317" s="290">
        <v>20602</v>
      </c>
      <c r="AG317" s="290">
        <v>4279</v>
      </c>
      <c r="AH317" s="290">
        <v>652</v>
      </c>
      <c r="AI317" s="290">
        <v>1950</v>
      </c>
      <c r="AJ317" s="290">
        <v>0</v>
      </c>
      <c r="AK317" s="290">
        <v>85</v>
      </c>
      <c r="AL317" s="290">
        <v>0</v>
      </c>
      <c r="AM317" s="957">
        <v>1.956051E-2</v>
      </c>
      <c r="AN317" s="290">
        <v>6380</v>
      </c>
      <c r="AO317" s="290">
        <v>-1267.33862881</v>
      </c>
      <c r="AP317" s="290">
        <v>0</v>
      </c>
      <c r="AQ317" s="290">
        <v>0</v>
      </c>
      <c r="AR317" s="290">
        <v>-161.6028159</v>
      </c>
      <c r="AS317" s="290">
        <v>324.60649999999998</v>
      </c>
      <c r="AT317" s="290">
        <v>159</v>
      </c>
      <c r="AU317" s="290">
        <v>26</v>
      </c>
      <c r="AV317" s="766">
        <v>181100</v>
      </c>
      <c r="AW317" s="290">
        <v>0</v>
      </c>
      <c r="AX317" s="766">
        <v>34.083300000000001</v>
      </c>
      <c r="AY317" s="290">
        <v>674</v>
      </c>
      <c r="AZ317" s="290">
        <v>87</v>
      </c>
      <c r="BA317" s="290">
        <v>67</v>
      </c>
      <c r="BB317" s="290">
        <v>0</v>
      </c>
      <c r="BC317" s="290">
        <v>27185.282312309999</v>
      </c>
      <c r="BD317" s="290"/>
      <c r="BE317" s="290">
        <v>177364.26819974001</v>
      </c>
      <c r="BF317" s="290">
        <v>0</v>
      </c>
      <c r="BG317" s="290">
        <v>3503</v>
      </c>
      <c r="BH317" s="290">
        <v>1000</v>
      </c>
      <c r="BI317" s="290">
        <v>21653</v>
      </c>
      <c r="BJ317" s="290">
        <v>49</v>
      </c>
      <c r="BK317" s="290">
        <v>166</v>
      </c>
      <c r="BL317" s="290">
        <v>0</v>
      </c>
      <c r="BM317" s="290">
        <v>0</v>
      </c>
      <c r="BN317" s="290">
        <v>104</v>
      </c>
      <c r="BO317" s="290">
        <v>-26</v>
      </c>
      <c r="BP317" s="290">
        <v>396</v>
      </c>
      <c r="BQ317" s="290">
        <v>792</v>
      </c>
      <c r="BR317" s="290">
        <v>600</v>
      </c>
      <c r="BS317" s="290">
        <v>84</v>
      </c>
      <c r="BT317" s="290">
        <v>0</v>
      </c>
      <c r="BU317" s="290">
        <v>0</v>
      </c>
      <c r="BV317" s="290">
        <v>95</v>
      </c>
      <c r="BW317" s="290">
        <v>0</v>
      </c>
      <c r="BX317" s="290">
        <v>0</v>
      </c>
      <c r="BY317" s="290">
        <v>524</v>
      </c>
      <c r="BZ317" s="290">
        <v>300</v>
      </c>
      <c r="CA317" s="290">
        <v>242.07</v>
      </c>
      <c r="CB317" s="290">
        <v>50</v>
      </c>
      <c r="CC317" s="290">
        <v>0</v>
      </c>
      <c r="CD317" s="290">
        <v>0</v>
      </c>
      <c r="CE317" s="290">
        <v>129736.989</v>
      </c>
      <c r="CF317" s="290">
        <v>31.266323826371263</v>
      </c>
      <c r="CG317" s="290">
        <v>0</v>
      </c>
      <c r="CH317" s="290">
        <v>0</v>
      </c>
      <c r="CI317" s="290">
        <v>0</v>
      </c>
      <c r="CJ317" s="290"/>
    </row>
    <row r="318" spans="1:88" ht="13">
      <c r="A318" s="1">
        <v>5059</v>
      </c>
      <c r="B318" s="2" t="s">
        <v>1646</v>
      </c>
      <c r="C318" s="289">
        <v>18300</v>
      </c>
      <c r="D318" s="290">
        <v>320</v>
      </c>
      <c r="E318" s="290">
        <v>751</v>
      </c>
      <c r="F318" s="290">
        <v>2248</v>
      </c>
      <c r="G318" s="290">
        <v>1489</v>
      </c>
      <c r="H318" s="290">
        <v>9969</v>
      </c>
      <c r="I318" s="290">
        <v>2481</v>
      </c>
      <c r="J318" s="290">
        <v>801</v>
      </c>
      <c r="K318" s="290">
        <v>201</v>
      </c>
      <c r="L318" s="290">
        <v>140</v>
      </c>
      <c r="M318" s="290">
        <v>1509</v>
      </c>
      <c r="N318" s="290">
        <v>259</v>
      </c>
      <c r="O318" s="290">
        <v>179</v>
      </c>
      <c r="P318" s="624">
        <v>111515.64882404001</v>
      </c>
      <c r="Q318" s="624">
        <v>45975.096812440002</v>
      </c>
      <c r="R318" s="1039">
        <v>76</v>
      </c>
      <c r="S318" s="290">
        <v>0</v>
      </c>
      <c r="T318" s="290">
        <v>1489</v>
      </c>
      <c r="U318" s="958">
        <v>7.9499368505421518E-3</v>
      </c>
      <c r="V318" s="290">
        <v>-3172.3339283099999</v>
      </c>
      <c r="W318" s="765">
        <v>0.66273006999999995</v>
      </c>
      <c r="X318" s="290">
        <v>4560</v>
      </c>
      <c r="Y318" s="290"/>
      <c r="Z318" s="290">
        <v>508653.462</v>
      </c>
      <c r="AA318" s="290">
        <v>0</v>
      </c>
      <c r="AB318" s="290">
        <v>551</v>
      </c>
      <c r="AC318" s="290">
        <v>1398</v>
      </c>
      <c r="AD318" s="290">
        <v>360</v>
      </c>
      <c r="AE318" s="290">
        <v>0</v>
      </c>
      <c r="AF318" s="290">
        <v>49486</v>
      </c>
      <c r="AG318" s="290">
        <v>18260</v>
      </c>
      <c r="AH318" s="290">
        <v>3106</v>
      </c>
      <c r="AI318" s="290">
        <v>2500</v>
      </c>
      <c r="AJ318" s="290">
        <v>0</v>
      </c>
      <c r="AK318" s="290">
        <v>3</v>
      </c>
      <c r="AL318" s="290">
        <v>0</v>
      </c>
      <c r="AM318" s="957">
        <v>0.2339715</v>
      </c>
      <c r="AN318" s="290">
        <v>4579</v>
      </c>
      <c r="AO318" s="290">
        <v>-4860.6422461900002</v>
      </c>
      <c r="AP318" s="290">
        <v>0</v>
      </c>
      <c r="AQ318" s="290">
        <v>0</v>
      </c>
      <c r="AR318" s="290">
        <v>-689.61612955999999</v>
      </c>
      <c r="AS318" s="290">
        <v>1761.5227241800001</v>
      </c>
      <c r="AT318" s="290">
        <v>896</v>
      </c>
      <c r="AU318" s="290">
        <v>143</v>
      </c>
      <c r="AV318" s="766">
        <v>585682</v>
      </c>
      <c r="AW318" s="290">
        <v>1200</v>
      </c>
      <c r="AX318" s="766">
        <v>128.54165</v>
      </c>
      <c r="AY318" s="290">
        <v>3139</v>
      </c>
      <c r="AZ318" s="290">
        <v>606</v>
      </c>
      <c r="BA318" s="290">
        <v>411</v>
      </c>
      <c r="BB318" s="290">
        <v>0</v>
      </c>
      <c r="BC318" s="290">
        <v>75323.364257930007</v>
      </c>
      <c r="BD318" s="290"/>
      <c r="BE318" s="290">
        <v>559342.66850317002</v>
      </c>
      <c r="BF318" s="290">
        <v>0</v>
      </c>
      <c r="BG318" s="290">
        <v>14948</v>
      </c>
      <c r="BH318" s="290">
        <v>1000</v>
      </c>
      <c r="BI318" s="290">
        <v>54353</v>
      </c>
      <c r="BJ318" s="290">
        <v>209</v>
      </c>
      <c r="BK318" s="290">
        <v>660</v>
      </c>
      <c r="BL318" s="290">
        <v>0</v>
      </c>
      <c r="BM318" s="290">
        <v>4619</v>
      </c>
      <c r="BN318" s="290">
        <v>413</v>
      </c>
      <c r="BO318" s="290">
        <v>-140</v>
      </c>
      <c r="BP318" s="290">
        <v>1697</v>
      </c>
      <c r="BQ318" s="290">
        <v>3394</v>
      </c>
      <c r="BR318" s="290">
        <v>2569</v>
      </c>
      <c r="BS318" s="290">
        <v>270</v>
      </c>
      <c r="BT318" s="290">
        <v>0</v>
      </c>
      <c r="BU318" s="290">
        <v>0</v>
      </c>
      <c r="BV318" s="290">
        <v>380</v>
      </c>
      <c r="BW318" s="290">
        <v>0</v>
      </c>
      <c r="BX318" s="290">
        <v>0</v>
      </c>
      <c r="BY318" s="290">
        <v>2044</v>
      </c>
      <c r="BZ318" s="290">
        <v>2400</v>
      </c>
      <c r="CA318" s="290">
        <v>928.41600000000005</v>
      </c>
      <c r="CB318" s="290">
        <v>165</v>
      </c>
      <c r="CC318" s="290">
        <v>1</v>
      </c>
      <c r="CD318" s="290">
        <v>0</v>
      </c>
      <c r="CE318" s="290">
        <v>508653.462</v>
      </c>
      <c r="CF318" s="290">
        <v>0</v>
      </c>
      <c r="CG318" s="290">
        <v>0</v>
      </c>
      <c r="CH318" s="290">
        <v>0</v>
      </c>
      <c r="CI318" s="290">
        <v>0</v>
      </c>
      <c r="CJ318" s="290"/>
    </row>
    <row r="319" spans="1:88" ht="13">
      <c r="A319" s="1">
        <v>5060</v>
      </c>
      <c r="B319" s="2" t="s">
        <v>1647</v>
      </c>
      <c r="C319" s="289">
        <v>9581</v>
      </c>
      <c r="D319" s="290">
        <v>220</v>
      </c>
      <c r="E319" s="290">
        <v>433</v>
      </c>
      <c r="F319" s="290">
        <v>1152</v>
      </c>
      <c r="G319" s="290">
        <v>889</v>
      </c>
      <c r="H319" s="290">
        <v>5281</v>
      </c>
      <c r="I319" s="290">
        <v>1171</v>
      </c>
      <c r="J319" s="290">
        <v>413</v>
      </c>
      <c r="K319" s="290">
        <v>89</v>
      </c>
      <c r="L319" s="290">
        <v>78</v>
      </c>
      <c r="M319" s="290">
        <v>785</v>
      </c>
      <c r="N319" s="290">
        <v>95</v>
      </c>
      <c r="O319" s="290">
        <v>120</v>
      </c>
      <c r="P319" s="624">
        <v>89921.199333330005</v>
      </c>
      <c r="Q319" s="624">
        <v>36164.81533333</v>
      </c>
      <c r="R319" s="1039">
        <v>53</v>
      </c>
      <c r="S319" s="290">
        <v>34</v>
      </c>
      <c r="T319" s="290">
        <v>793</v>
      </c>
      <c r="U319" s="958">
        <v>4.4854012254699456E-3</v>
      </c>
      <c r="V319" s="290">
        <v>4180.1462392599997</v>
      </c>
      <c r="W319" s="765">
        <v>0.77450483999999997</v>
      </c>
      <c r="X319" s="290">
        <v>3380</v>
      </c>
      <c r="Y319" s="290"/>
      <c r="Z319" s="290">
        <v>331249.3</v>
      </c>
      <c r="AA319" s="290">
        <v>0</v>
      </c>
      <c r="AB319" s="290">
        <v>253</v>
      </c>
      <c r="AC319" s="290">
        <v>515</v>
      </c>
      <c r="AD319" s="290">
        <v>203</v>
      </c>
      <c r="AE319" s="290">
        <v>0</v>
      </c>
      <c r="AF319" s="290">
        <v>15110</v>
      </c>
      <c r="AG319" s="290">
        <v>9648</v>
      </c>
      <c r="AH319" s="290">
        <v>1728</v>
      </c>
      <c r="AI319" s="290">
        <v>810</v>
      </c>
      <c r="AJ319" s="290">
        <v>0</v>
      </c>
      <c r="AK319" s="290">
        <v>0</v>
      </c>
      <c r="AL319" s="290">
        <v>17908</v>
      </c>
      <c r="AM319" s="957">
        <v>0.13817478999999999</v>
      </c>
      <c r="AN319" s="290">
        <v>0</v>
      </c>
      <c r="AO319" s="290">
        <v>-2673.7385983200002</v>
      </c>
      <c r="AP319" s="290">
        <v>0</v>
      </c>
      <c r="AQ319" s="290">
        <v>0</v>
      </c>
      <c r="AR319" s="290">
        <v>2317.1459489099998</v>
      </c>
      <c r="AS319" s="290">
        <v>802.52800000000002</v>
      </c>
      <c r="AT319" s="290">
        <v>410</v>
      </c>
      <c r="AU319" s="290">
        <v>83</v>
      </c>
      <c r="AV319" s="766">
        <v>352266</v>
      </c>
      <c r="AW319" s="290">
        <v>1200</v>
      </c>
      <c r="AX319" s="766">
        <v>84.124949999999998</v>
      </c>
      <c r="AY319" s="290">
        <v>1483</v>
      </c>
      <c r="AZ319" s="290">
        <v>376</v>
      </c>
      <c r="BA319" s="290">
        <v>214</v>
      </c>
      <c r="BB319" s="290">
        <v>0</v>
      </c>
      <c r="BC319" s="290">
        <v>29475.322122360001</v>
      </c>
      <c r="BD319" s="290"/>
      <c r="BE319" s="290">
        <v>331514.19907805999</v>
      </c>
      <c r="BF319" s="290">
        <v>0</v>
      </c>
      <c r="BG319" s="290">
        <v>7898</v>
      </c>
      <c r="BH319" s="290">
        <v>1000</v>
      </c>
      <c r="BI319" s="290">
        <v>17556</v>
      </c>
      <c r="BJ319" s="290">
        <v>113</v>
      </c>
      <c r="BK319" s="290">
        <v>381</v>
      </c>
      <c r="BL319" s="290">
        <v>0</v>
      </c>
      <c r="BM319" s="290">
        <v>4018</v>
      </c>
      <c r="BN319" s="290">
        <v>238</v>
      </c>
      <c r="BO319" s="290">
        <v>-72</v>
      </c>
      <c r="BP319" s="290">
        <v>889</v>
      </c>
      <c r="BQ319" s="290">
        <v>1777</v>
      </c>
      <c r="BR319" s="290">
        <v>1345</v>
      </c>
      <c r="BS319" s="290">
        <v>152</v>
      </c>
      <c r="BT319" s="290">
        <v>0</v>
      </c>
      <c r="BU319" s="290">
        <v>0</v>
      </c>
      <c r="BV319" s="290">
        <v>219</v>
      </c>
      <c r="BW319" s="290">
        <v>0</v>
      </c>
      <c r="BX319" s="290">
        <v>0</v>
      </c>
      <c r="BY319" s="290">
        <v>993</v>
      </c>
      <c r="BZ319" s="290">
        <v>2000</v>
      </c>
      <c r="CA319" s="290">
        <v>1695.9</v>
      </c>
      <c r="CB319" s="290">
        <v>94</v>
      </c>
      <c r="CC319" s="290">
        <v>1</v>
      </c>
      <c r="CD319" s="290">
        <v>0</v>
      </c>
      <c r="CE319" s="290">
        <v>331249.3</v>
      </c>
      <c r="CF319" s="290">
        <v>0</v>
      </c>
      <c r="CG319" s="290">
        <v>0</v>
      </c>
      <c r="CH319" s="290">
        <v>0</v>
      </c>
      <c r="CI319" s="290">
        <v>0</v>
      </c>
      <c r="CJ319" s="290"/>
    </row>
    <row r="320" spans="1:88" ht="13">
      <c r="A320" s="1">
        <v>5061</v>
      </c>
      <c r="B320" s="2" t="s">
        <v>114</v>
      </c>
      <c r="C320" s="289">
        <v>1989</v>
      </c>
      <c r="D320" s="290">
        <v>46</v>
      </c>
      <c r="E320" s="290">
        <v>77</v>
      </c>
      <c r="F320" s="290">
        <v>213</v>
      </c>
      <c r="G320" s="290">
        <v>191</v>
      </c>
      <c r="H320" s="290">
        <v>1026</v>
      </c>
      <c r="I320" s="290">
        <v>308</v>
      </c>
      <c r="J320" s="290">
        <v>112</v>
      </c>
      <c r="K320" s="290">
        <v>29</v>
      </c>
      <c r="L320" s="290">
        <v>15</v>
      </c>
      <c r="M320" s="290">
        <v>175</v>
      </c>
      <c r="N320" s="290">
        <v>4</v>
      </c>
      <c r="O320" s="290">
        <v>4</v>
      </c>
      <c r="P320" s="624">
        <v>9743.9243333300001</v>
      </c>
      <c r="Q320" s="624">
        <v>6842.4769999999999</v>
      </c>
      <c r="R320" s="1039">
        <v>7</v>
      </c>
      <c r="S320" s="290">
        <v>0</v>
      </c>
      <c r="T320" s="290">
        <v>125</v>
      </c>
      <c r="U320" s="958">
        <v>2.0121569528854955E-3</v>
      </c>
      <c r="V320" s="290">
        <v>1184.0898838999999</v>
      </c>
      <c r="W320" s="765">
        <v>0.88575431000000004</v>
      </c>
      <c r="X320" s="290">
        <v>0</v>
      </c>
      <c r="Y320" s="290"/>
      <c r="Z320" s="290">
        <v>53745.877</v>
      </c>
      <c r="AA320" s="290">
        <v>0</v>
      </c>
      <c r="AB320" s="290">
        <v>35</v>
      </c>
      <c r="AC320" s="290">
        <v>100</v>
      </c>
      <c r="AD320" s="290">
        <v>55</v>
      </c>
      <c r="AE320" s="290">
        <v>0</v>
      </c>
      <c r="AF320" s="290">
        <v>0</v>
      </c>
      <c r="AG320" s="290">
        <v>2002</v>
      </c>
      <c r="AH320" s="290">
        <v>339</v>
      </c>
      <c r="AI320" s="290">
        <v>0</v>
      </c>
      <c r="AJ320" s="290">
        <v>0</v>
      </c>
      <c r="AK320" s="290">
        <v>0</v>
      </c>
      <c r="AL320" s="290">
        <v>0</v>
      </c>
      <c r="AM320" s="957">
        <v>1.071982E-2</v>
      </c>
      <c r="AN320" s="290">
        <v>0</v>
      </c>
      <c r="AO320" s="290">
        <v>-592.68012455999997</v>
      </c>
      <c r="AP320" s="290">
        <v>0</v>
      </c>
      <c r="AQ320" s="290">
        <v>0</v>
      </c>
      <c r="AR320" s="290">
        <v>10.754031250000001</v>
      </c>
      <c r="AS320" s="290">
        <v>166.40950000000001</v>
      </c>
      <c r="AT320" s="290">
        <v>64</v>
      </c>
      <c r="AU320" s="290">
        <v>14</v>
      </c>
      <c r="AV320" s="766">
        <v>79492</v>
      </c>
      <c r="AW320" s="290">
        <v>0</v>
      </c>
      <c r="AX320" s="766">
        <v>22.374949999999998</v>
      </c>
      <c r="AY320" s="290">
        <v>351</v>
      </c>
      <c r="AZ320" s="290">
        <v>48</v>
      </c>
      <c r="BA320" s="290">
        <v>28</v>
      </c>
      <c r="BB320" s="290">
        <v>6034</v>
      </c>
      <c r="BC320" s="290">
        <v>3299.2588070100001</v>
      </c>
      <c r="BD320" s="290"/>
      <c r="BE320" s="290">
        <v>75082.303056870005</v>
      </c>
      <c r="BF320" s="290">
        <v>0</v>
      </c>
      <c r="BG320" s="290">
        <v>1639</v>
      </c>
      <c r="BH320" s="290">
        <v>500</v>
      </c>
      <c r="BI320" s="290">
        <v>494</v>
      </c>
      <c r="BJ320" s="290">
        <v>23</v>
      </c>
      <c r="BK320" s="290">
        <v>73</v>
      </c>
      <c r="BL320" s="290">
        <v>0</v>
      </c>
      <c r="BM320" s="290">
        <v>0</v>
      </c>
      <c r="BN320" s="290">
        <v>46</v>
      </c>
      <c r="BO320" s="290">
        <v>-11</v>
      </c>
      <c r="BP320" s="290">
        <v>184</v>
      </c>
      <c r="BQ320" s="290">
        <v>369</v>
      </c>
      <c r="BR320" s="290">
        <v>279</v>
      </c>
      <c r="BS320" s="290">
        <v>41</v>
      </c>
      <c r="BT320" s="290">
        <v>0</v>
      </c>
      <c r="BU320" s="290">
        <v>0</v>
      </c>
      <c r="BV320" s="290">
        <v>42</v>
      </c>
      <c r="BW320" s="290">
        <v>0</v>
      </c>
      <c r="BX320" s="290">
        <v>0</v>
      </c>
      <c r="BY320" s="290">
        <v>244</v>
      </c>
      <c r="BZ320" s="290">
        <v>300</v>
      </c>
      <c r="CA320" s="290">
        <v>412.90000000000003</v>
      </c>
      <c r="CB320" s="290">
        <v>29</v>
      </c>
      <c r="CC320" s="290">
        <v>0</v>
      </c>
      <c r="CD320" s="290">
        <v>0</v>
      </c>
      <c r="CE320" s="290">
        <v>53745.877</v>
      </c>
      <c r="CF320" s="290">
        <v>0</v>
      </c>
      <c r="CG320" s="290">
        <v>0</v>
      </c>
      <c r="CH320" s="290">
        <v>0</v>
      </c>
      <c r="CI320" s="290">
        <v>0</v>
      </c>
      <c r="CJ320" s="290"/>
    </row>
    <row r="321" spans="1:88" ht="13">
      <c r="A321" s="1">
        <v>5401</v>
      </c>
      <c r="B321" s="2" t="s">
        <v>217</v>
      </c>
      <c r="C321" s="289">
        <v>77095</v>
      </c>
      <c r="D321" s="290">
        <v>1627</v>
      </c>
      <c r="E321" s="290">
        <v>3393</v>
      </c>
      <c r="F321" s="290">
        <v>8869</v>
      </c>
      <c r="G321" s="290">
        <v>6565</v>
      </c>
      <c r="H321" s="290">
        <v>47070</v>
      </c>
      <c r="I321" s="290">
        <v>7183</v>
      </c>
      <c r="J321" s="290">
        <v>1921</v>
      </c>
      <c r="K321" s="290">
        <v>365</v>
      </c>
      <c r="L321" s="290">
        <v>565</v>
      </c>
      <c r="M321" s="290">
        <v>4405</v>
      </c>
      <c r="N321" s="290">
        <v>1385</v>
      </c>
      <c r="O321" s="290">
        <v>654</v>
      </c>
      <c r="P321" s="624">
        <v>328308.09633332997</v>
      </c>
      <c r="Q321" s="624">
        <v>125430.751</v>
      </c>
      <c r="R321" s="1039">
        <v>194</v>
      </c>
      <c r="S321" s="290">
        <v>0</v>
      </c>
      <c r="T321" s="290">
        <v>7619</v>
      </c>
      <c r="U321" s="958">
        <v>3.4459686519517866E-3</v>
      </c>
      <c r="V321" s="290">
        <v>-6324.4335740699998</v>
      </c>
      <c r="W321" s="765">
        <v>0.57305731999999998</v>
      </c>
      <c r="X321" s="290">
        <v>26242</v>
      </c>
      <c r="Y321" s="290"/>
      <c r="Z321" s="290">
        <v>2721310.3429999999</v>
      </c>
      <c r="AA321" s="290">
        <v>0</v>
      </c>
      <c r="AB321" s="290">
        <v>1255</v>
      </c>
      <c r="AC321" s="290">
        <v>21265</v>
      </c>
      <c r="AD321" s="290">
        <v>1309</v>
      </c>
      <c r="AE321" s="290">
        <v>0</v>
      </c>
      <c r="AF321" s="290">
        <v>0</v>
      </c>
      <c r="AG321" s="290">
        <v>76993</v>
      </c>
      <c r="AH321" s="290">
        <v>12905</v>
      </c>
      <c r="AI321" s="290">
        <v>1361</v>
      </c>
      <c r="AJ321" s="290">
        <v>0</v>
      </c>
      <c r="AK321" s="290">
        <v>0</v>
      </c>
      <c r="AL321" s="290">
        <v>274797</v>
      </c>
      <c r="AM321" s="957">
        <v>1.09368665</v>
      </c>
      <c r="AN321" s="290">
        <v>0</v>
      </c>
      <c r="AO321" s="290">
        <v>-17818.479497560002</v>
      </c>
      <c r="AP321" s="290">
        <v>0</v>
      </c>
      <c r="AQ321" s="290">
        <v>0</v>
      </c>
      <c r="AR321" s="290">
        <v>-2907.7554580199999</v>
      </c>
      <c r="AS321" s="290">
        <v>16346.001</v>
      </c>
      <c r="AT321" s="290">
        <v>3479</v>
      </c>
      <c r="AU321" s="290">
        <v>590</v>
      </c>
      <c r="AV321" s="766">
        <v>1923437</v>
      </c>
      <c r="AW321" s="290">
        <v>4215</v>
      </c>
      <c r="AX321" s="766">
        <v>679.62504999999999</v>
      </c>
      <c r="AY321" s="290">
        <v>25839</v>
      </c>
      <c r="AZ321" s="290">
        <v>3157</v>
      </c>
      <c r="BA321" s="290">
        <v>1646</v>
      </c>
      <c r="BB321" s="290">
        <v>0</v>
      </c>
      <c r="BC321" s="290">
        <v>119329.87389161999</v>
      </c>
      <c r="BD321" s="290"/>
      <c r="BE321" s="290">
        <v>1825334.0244334999</v>
      </c>
      <c r="BF321" s="290">
        <v>0</v>
      </c>
      <c r="BG321" s="290">
        <v>63027</v>
      </c>
      <c r="BH321" s="290">
        <v>1500</v>
      </c>
      <c r="BI321" s="290">
        <v>35479</v>
      </c>
      <c r="BJ321" s="290">
        <v>914</v>
      </c>
      <c r="BK321" s="290">
        <v>3238</v>
      </c>
      <c r="BL321" s="290">
        <v>0</v>
      </c>
      <c r="BM321" s="290">
        <v>0</v>
      </c>
      <c r="BN321" s="290">
        <v>2025</v>
      </c>
      <c r="BO321" s="290">
        <v>-622</v>
      </c>
      <c r="BP321" s="290">
        <v>7150</v>
      </c>
      <c r="BQ321" s="290">
        <v>14300</v>
      </c>
      <c r="BR321" s="290">
        <v>10825</v>
      </c>
      <c r="BS321" s="290">
        <v>982</v>
      </c>
      <c r="BT321" s="290">
        <v>0</v>
      </c>
      <c r="BU321" s="290">
        <v>0</v>
      </c>
      <c r="BV321" s="290">
        <v>1863</v>
      </c>
      <c r="BW321" s="290">
        <v>0</v>
      </c>
      <c r="BX321" s="290">
        <v>0</v>
      </c>
      <c r="BY321" s="290">
        <v>6568</v>
      </c>
      <c r="BZ321" s="290">
        <v>27789</v>
      </c>
      <c r="CA321" s="290">
        <v>3403.4520000000002</v>
      </c>
      <c r="CB321" s="290">
        <v>672</v>
      </c>
      <c r="CC321" s="290">
        <v>5</v>
      </c>
      <c r="CD321" s="290">
        <v>0</v>
      </c>
      <c r="CE321" s="290">
        <v>2721310.3429999999</v>
      </c>
      <c r="CF321" s="290">
        <v>0</v>
      </c>
      <c r="CG321" s="290">
        <v>0</v>
      </c>
      <c r="CH321" s="290">
        <v>0</v>
      </c>
      <c r="CI321" s="290">
        <v>0</v>
      </c>
      <c r="CJ321" s="290"/>
    </row>
    <row r="322" spans="1:88" ht="13">
      <c r="A322" s="1">
        <v>5402</v>
      </c>
      <c r="B322" s="2" t="s">
        <v>216</v>
      </c>
      <c r="C322" s="289">
        <v>24738</v>
      </c>
      <c r="D322" s="290">
        <v>477</v>
      </c>
      <c r="E322" s="290">
        <v>987</v>
      </c>
      <c r="F322" s="290">
        <v>2880</v>
      </c>
      <c r="G322" s="290">
        <v>2085</v>
      </c>
      <c r="H322" s="290">
        <v>13900</v>
      </c>
      <c r="I322" s="290">
        <v>3224</v>
      </c>
      <c r="J322" s="290">
        <v>994</v>
      </c>
      <c r="K322" s="290">
        <v>224</v>
      </c>
      <c r="L322" s="290">
        <v>187</v>
      </c>
      <c r="M322" s="290">
        <v>1939</v>
      </c>
      <c r="N322" s="290">
        <v>581</v>
      </c>
      <c r="O322" s="290">
        <v>204</v>
      </c>
      <c r="P322" s="624">
        <v>95029.045666670005</v>
      </c>
      <c r="Q322" s="624">
        <v>38588.972999999998</v>
      </c>
      <c r="R322" s="1039">
        <v>87</v>
      </c>
      <c r="S322" s="290">
        <v>0</v>
      </c>
      <c r="T322" s="290">
        <v>2217</v>
      </c>
      <c r="U322" s="958">
        <v>2.9223210360253466E-3</v>
      </c>
      <c r="V322" s="290">
        <v>7718.7052078099996</v>
      </c>
      <c r="W322" s="765">
        <v>0.57272657000000005</v>
      </c>
      <c r="X322" s="290">
        <v>1149</v>
      </c>
      <c r="Y322" s="290"/>
      <c r="Z322" s="290">
        <v>765812.473</v>
      </c>
      <c r="AA322" s="290">
        <v>0</v>
      </c>
      <c r="AB322" s="290">
        <v>627</v>
      </c>
      <c r="AC322" s="290">
        <v>1201</v>
      </c>
      <c r="AD322" s="290">
        <v>460</v>
      </c>
      <c r="AE322" s="290">
        <v>0</v>
      </c>
      <c r="AF322" s="290">
        <v>21320</v>
      </c>
      <c r="AG322" s="290">
        <v>24771</v>
      </c>
      <c r="AH322" s="290">
        <v>4114</v>
      </c>
      <c r="AI322" s="290">
        <v>4110</v>
      </c>
      <c r="AJ322" s="290">
        <v>0</v>
      </c>
      <c r="AK322" s="290">
        <v>0</v>
      </c>
      <c r="AL322" s="290">
        <v>88190</v>
      </c>
      <c r="AM322" s="957">
        <v>0.38501806999999999</v>
      </c>
      <c r="AN322" s="290">
        <v>0</v>
      </c>
      <c r="AO322" s="290">
        <v>-6242.0422777200001</v>
      </c>
      <c r="AP322" s="290">
        <v>0</v>
      </c>
      <c r="AQ322" s="290">
        <v>0</v>
      </c>
      <c r="AR322" s="290">
        <v>-935.51375384999994</v>
      </c>
      <c r="AS322" s="290">
        <v>1840.0715</v>
      </c>
      <c r="AT322" s="290">
        <v>1109</v>
      </c>
      <c r="AU322" s="290">
        <v>220</v>
      </c>
      <c r="AV322" s="766">
        <v>749735</v>
      </c>
      <c r="AW322" s="290">
        <v>2450</v>
      </c>
      <c r="AX322" s="766">
        <v>181.125</v>
      </c>
      <c r="AY322" s="290">
        <v>6507</v>
      </c>
      <c r="AZ322" s="290">
        <v>963</v>
      </c>
      <c r="BA322" s="290">
        <v>587</v>
      </c>
      <c r="BB322" s="290">
        <v>0</v>
      </c>
      <c r="BC322" s="290">
        <v>53995.660617900001</v>
      </c>
      <c r="BD322" s="290"/>
      <c r="BE322" s="290">
        <v>717364.86275335005</v>
      </c>
      <c r="BF322" s="290">
        <v>0</v>
      </c>
      <c r="BG322" s="290">
        <v>20278</v>
      </c>
      <c r="BH322" s="290">
        <v>1000</v>
      </c>
      <c r="BI322" s="290">
        <v>27095</v>
      </c>
      <c r="BJ322" s="290">
        <v>287</v>
      </c>
      <c r="BK322" s="290">
        <v>915</v>
      </c>
      <c r="BL322" s="290">
        <v>0</v>
      </c>
      <c r="BM322" s="290">
        <v>0</v>
      </c>
      <c r="BN322" s="290">
        <v>573</v>
      </c>
      <c r="BO322" s="290">
        <v>-207</v>
      </c>
      <c r="BP322" s="290">
        <v>2294</v>
      </c>
      <c r="BQ322" s="290">
        <v>4588</v>
      </c>
      <c r="BR322" s="290">
        <v>3473</v>
      </c>
      <c r="BS322" s="290">
        <v>345</v>
      </c>
      <c r="BT322" s="290">
        <v>0</v>
      </c>
      <c r="BU322" s="290">
        <v>0</v>
      </c>
      <c r="BV322" s="290">
        <v>527</v>
      </c>
      <c r="BW322" s="290">
        <v>0</v>
      </c>
      <c r="BX322" s="290">
        <v>0</v>
      </c>
      <c r="BY322" s="290">
        <v>2656</v>
      </c>
      <c r="BZ322" s="290">
        <v>3872</v>
      </c>
      <c r="CA322" s="290">
        <v>6779.9000000000005</v>
      </c>
      <c r="CB322" s="290">
        <v>220</v>
      </c>
      <c r="CC322" s="290">
        <v>2</v>
      </c>
      <c r="CD322" s="290">
        <v>0</v>
      </c>
      <c r="CE322" s="290">
        <v>765812.473</v>
      </c>
      <c r="CF322" s="290">
        <v>0</v>
      </c>
      <c r="CG322" s="290">
        <v>0</v>
      </c>
      <c r="CH322" s="290">
        <v>0</v>
      </c>
      <c r="CI322" s="290">
        <v>0</v>
      </c>
      <c r="CJ322" s="290"/>
    </row>
    <row r="323" spans="1:88" ht="13">
      <c r="A323" s="1">
        <v>5403</v>
      </c>
      <c r="B323" s="2" t="s">
        <v>245</v>
      </c>
      <c r="C323" s="289">
        <v>20847</v>
      </c>
      <c r="D323" s="290">
        <v>470</v>
      </c>
      <c r="E323" s="290">
        <v>1032</v>
      </c>
      <c r="F323" s="290">
        <v>2698</v>
      </c>
      <c r="G323" s="290">
        <v>2121</v>
      </c>
      <c r="H323" s="290">
        <v>11814</v>
      </c>
      <c r="I323" s="290">
        <v>1988</v>
      </c>
      <c r="J323" s="290">
        <v>572</v>
      </c>
      <c r="K323" s="290">
        <v>108</v>
      </c>
      <c r="L323" s="290">
        <v>167</v>
      </c>
      <c r="M323" s="290">
        <v>1197</v>
      </c>
      <c r="N323" s="290">
        <v>261</v>
      </c>
      <c r="O323" s="290">
        <v>159</v>
      </c>
      <c r="P323" s="624">
        <v>112600.08066666999</v>
      </c>
      <c r="Q323" s="624">
        <v>75450.033666670002</v>
      </c>
      <c r="R323" s="1039">
        <v>102</v>
      </c>
      <c r="S323" s="290">
        <v>0</v>
      </c>
      <c r="T323" s="290">
        <v>1701</v>
      </c>
      <c r="U323" s="958">
        <v>3.3391886935129297E-3</v>
      </c>
      <c r="V323" s="290">
        <v>-4200.9005834400004</v>
      </c>
      <c r="W323" s="765">
        <v>0.60628817999999995</v>
      </c>
      <c r="X323" s="290">
        <v>508</v>
      </c>
      <c r="Y323" s="290"/>
      <c r="Z323" s="290">
        <v>641505.68799999997</v>
      </c>
      <c r="AA323" s="290">
        <v>0</v>
      </c>
      <c r="AB323" s="290">
        <v>549</v>
      </c>
      <c r="AC323" s="290">
        <v>1146</v>
      </c>
      <c r="AD323" s="290">
        <v>388</v>
      </c>
      <c r="AE323" s="290">
        <v>0</v>
      </c>
      <c r="AF323" s="290">
        <v>0</v>
      </c>
      <c r="AG323" s="290">
        <v>20803</v>
      </c>
      <c r="AH323" s="290">
        <v>4008</v>
      </c>
      <c r="AI323" s="290">
        <v>5036.3220000000001</v>
      </c>
      <c r="AJ323" s="290">
        <v>0</v>
      </c>
      <c r="AK323" s="290">
        <v>0</v>
      </c>
      <c r="AL323" s="290">
        <v>181197</v>
      </c>
      <c r="AM323" s="957">
        <v>0.43375978999999998</v>
      </c>
      <c r="AN323" s="290">
        <v>0</v>
      </c>
      <c r="AO323" s="290">
        <v>-5402.9401059299998</v>
      </c>
      <c r="AP323" s="290">
        <v>0</v>
      </c>
      <c r="AQ323" s="290">
        <v>0</v>
      </c>
      <c r="AR323" s="290">
        <v>-785.65631671999995</v>
      </c>
      <c r="AS323" s="290">
        <v>1791.5830000000001</v>
      </c>
      <c r="AT323" s="290">
        <v>1191</v>
      </c>
      <c r="AU323" s="290">
        <v>200</v>
      </c>
      <c r="AV323" s="766">
        <v>762180</v>
      </c>
      <c r="AW323" s="290">
        <v>0</v>
      </c>
      <c r="AX323" s="766">
        <v>147.04165</v>
      </c>
      <c r="AY323" s="290">
        <v>5158</v>
      </c>
      <c r="AZ323" s="290">
        <v>787</v>
      </c>
      <c r="BA323" s="290">
        <v>652</v>
      </c>
      <c r="BB323" s="290">
        <v>0</v>
      </c>
      <c r="BC323" s="290">
        <v>56643.912429529999</v>
      </c>
      <c r="BD323" s="290"/>
      <c r="BE323" s="290">
        <v>744391.55642389995</v>
      </c>
      <c r="BF323" s="290">
        <v>0</v>
      </c>
      <c r="BG323" s="290">
        <v>17029</v>
      </c>
      <c r="BH323" s="290">
        <v>1000</v>
      </c>
      <c r="BI323" s="290">
        <v>33283</v>
      </c>
      <c r="BJ323" s="290">
        <v>238</v>
      </c>
      <c r="BK323" s="290">
        <v>905</v>
      </c>
      <c r="BL323" s="290">
        <v>0</v>
      </c>
      <c r="BM323" s="290">
        <v>0</v>
      </c>
      <c r="BN323" s="290">
        <v>566</v>
      </c>
      <c r="BO323" s="290">
        <v>-165</v>
      </c>
      <c r="BP323" s="290">
        <v>1933</v>
      </c>
      <c r="BQ323" s="290">
        <v>3867</v>
      </c>
      <c r="BR323" s="290">
        <v>2927</v>
      </c>
      <c r="BS323" s="290">
        <v>291</v>
      </c>
      <c r="BT323" s="290">
        <v>0</v>
      </c>
      <c r="BU323" s="290">
        <v>27741</v>
      </c>
      <c r="BV323" s="290">
        <v>521</v>
      </c>
      <c r="BW323" s="290">
        <v>0</v>
      </c>
      <c r="BX323" s="290">
        <v>0</v>
      </c>
      <c r="BY323" s="290">
        <v>1847</v>
      </c>
      <c r="BZ323" s="290">
        <v>6127</v>
      </c>
      <c r="CA323" s="290">
        <v>2492.8000000000002</v>
      </c>
      <c r="CB323" s="290">
        <v>188</v>
      </c>
      <c r="CC323" s="290">
        <v>2</v>
      </c>
      <c r="CD323" s="290">
        <v>0</v>
      </c>
      <c r="CE323" s="290">
        <v>641505.68799999997</v>
      </c>
      <c r="CF323" s="290">
        <v>0</v>
      </c>
      <c r="CG323" s="290">
        <v>0</v>
      </c>
      <c r="CH323" s="290">
        <v>0</v>
      </c>
      <c r="CI323" s="290">
        <v>0</v>
      </c>
      <c r="CJ323" s="290"/>
    </row>
    <row r="324" spans="1:88" ht="13">
      <c r="A324" s="1">
        <v>5404</v>
      </c>
      <c r="B324" s="2" t="s">
        <v>241</v>
      </c>
      <c r="C324" s="289">
        <v>1959</v>
      </c>
      <c r="D324" s="290">
        <v>26</v>
      </c>
      <c r="E324" s="290">
        <v>61</v>
      </c>
      <c r="F324" s="290">
        <v>158</v>
      </c>
      <c r="G324" s="290">
        <v>145</v>
      </c>
      <c r="H324" s="290">
        <v>1178</v>
      </c>
      <c r="I324" s="290">
        <v>325</v>
      </c>
      <c r="J324" s="290">
        <v>85</v>
      </c>
      <c r="K324" s="290">
        <v>18</v>
      </c>
      <c r="L324" s="290">
        <v>25</v>
      </c>
      <c r="M324" s="290">
        <v>238</v>
      </c>
      <c r="N324" s="290">
        <v>10</v>
      </c>
      <c r="O324" s="290">
        <v>21</v>
      </c>
      <c r="P324" s="624">
        <v>5139.6210000000001</v>
      </c>
      <c r="Q324" s="624">
        <v>2421.07333333</v>
      </c>
      <c r="R324" s="1039">
        <v>7</v>
      </c>
      <c r="S324" s="290">
        <v>0</v>
      </c>
      <c r="T324" s="290">
        <v>297</v>
      </c>
      <c r="U324" s="958">
        <v>1.8713493850695958E-4</v>
      </c>
      <c r="V324" s="290">
        <v>1161.9193646199999</v>
      </c>
      <c r="W324" s="765">
        <v>1</v>
      </c>
      <c r="X324" s="290">
        <v>1180</v>
      </c>
      <c r="Y324" s="290"/>
      <c r="Z324" s="290">
        <v>50390.915000000001</v>
      </c>
      <c r="AA324" s="290">
        <v>0</v>
      </c>
      <c r="AB324" s="290">
        <v>24</v>
      </c>
      <c r="AC324" s="290">
        <v>79</v>
      </c>
      <c r="AD324" s="290">
        <v>53</v>
      </c>
      <c r="AE324" s="290">
        <v>0</v>
      </c>
      <c r="AF324" s="290">
        <v>0</v>
      </c>
      <c r="AG324" s="290">
        <v>1996</v>
      </c>
      <c r="AH324" s="290">
        <v>246</v>
      </c>
      <c r="AI324" s="290">
        <v>14</v>
      </c>
      <c r="AJ324" s="290">
        <v>0</v>
      </c>
      <c r="AK324" s="290">
        <v>0</v>
      </c>
      <c r="AL324" s="290">
        <v>17685</v>
      </c>
      <c r="AM324" s="957">
        <v>0.21728311</v>
      </c>
      <c r="AN324" s="290">
        <v>0</v>
      </c>
      <c r="AO324" s="290">
        <v>-581.58297196000001</v>
      </c>
      <c r="AP324" s="290">
        <v>0</v>
      </c>
      <c r="AQ324" s="290">
        <v>0</v>
      </c>
      <c r="AR324" s="290">
        <v>-75.381916459999999</v>
      </c>
      <c r="AS324" s="290">
        <v>129.45699999999999</v>
      </c>
      <c r="AT324" s="290">
        <v>107</v>
      </c>
      <c r="AU324" s="290">
        <v>38</v>
      </c>
      <c r="AV324" s="766">
        <v>100990</v>
      </c>
      <c r="AW324" s="290">
        <v>0</v>
      </c>
      <c r="AX324" s="766">
        <v>12.666700000000001</v>
      </c>
      <c r="AY324" s="290">
        <v>344</v>
      </c>
      <c r="AZ324" s="290">
        <v>220</v>
      </c>
      <c r="BA324" s="290">
        <v>51</v>
      </c>
      <c r="BB324" s="290">
        <v>13068</v>
      </c>
      <c r="BC324" s="290">
        <v>3174.5186379400002</v>
      </c>
      <c r="BD324" s="290"/>
      <c r="BE324" s="290">
        <v>98588.151891109999</v>
      </c>
      <c r="BF324" s="290">
        <v>0</v>
      </c>
      <c r="BG324" s="290">
        <v>1634</v>
      </c>
      <c r="BH324" s="290">
        <v>500</v>
      </c>
      <c r="BI324" s="290">
        <v>378</v>
      </c>
      <c r="BJ324" s="290">
        <v>24</v>
      </c>
      <c r="BK324" s="290">
        <v>56</v>
      </c>
      <c r="BL324" s="290">
        <v>0</v>
      </c>
      <c r="BM324" s="290">
        <v>0</v>
      </c>
      <c r="BN324" s="290">
        <v>35</v>
      </c>
      <c r="BO324" s="290">
        <v>-27</v>
      </c>
      <c r="BP324" s="290">
        <v>182</v>
      </c>
      <c r="BQ324" s="290">
        <v>363</v>
      </c>
      <c r="BR324" s="290">
        <v>275</v>
      </c>
      <c r="BS324" s="290">
        <v>40</v>
      </c>
      <c r="BT324" s="290">
        <v>0</v>
      </c>
      <c r="BU324" s="290">
        <v>0</v>
      </c>
      <c r="BV324" s="290">
        <v>32</v>
      </c>
      <c r="BW324" s="290">
        <v>0</v>
      </c>
      <c r="BX324" s="290">
        <v>0</v>
      </c>
      <c r="BY324" s="290">
        <v>237</v>
      </c>
      <c r="BZ324" s="290">
        <v>110</v>
      </c>
      <c r="CA324" s="290">
        <v>111.086</v>
      </c>
      <c r="CB324" s="290">
        <v>31</v>
      </c>
      <c r="CC324" s="290">
        <v>0</v>
      </c>
      <c r="CD324" s="290">
        <v>0</v>
      </c>
      <c r="CE324" s="290">
        <v>50390.915000000001</v>
      </c>
      <c r="CF324" s="290">
        <v>0</v>
      </c>
      <c r="CG324" s="290">
        <v>0</v>
      </c>
      <c r="CH324" s="290">
        <v>0</v>
      </c>
      <c r="CI324" s="290">
        <v>0</v>
      </c>
      <c r="CJ324" s="290"/>
    </row>
    <row r="325" spans="1:88" ht="13">
      <c r="A325" s="1">
        <v>5405</v>
      </c>
      <c r="B325" s="2" t="s">
        <v>242</v>
      </c>
      <c r="C325" s="289">
        <v>5642</v>
      </c>
      <c r="D325" s="290">
        <v>97</v>
      </c>
      <c r="E325" s="290">
        <v>208</v>
      </c>
      <c r="F325" s="290">
        <v>617</v>
      </c>
      <c r="G325" s="290">
        <v>549</v>
      </c>
      <c r="H325" s="290">
        <v>3214</v>
      </c>
      <c r="I325" s="290">
        <v>758</v>
      </c>
      <c r="J325" s="290">
        <v>237</v>
      </c>
      <c r="K325" s="290">
        <v>37</v>
      </c>
      <c r="L325" s="290">
        <v>45</v>
      </c>
      <c r="M325" s="290">
        <v>469</v>
      </c>
      <c r="N325" s="290">
        <v>246</v>
      </c>
      <c r="O325" s="290">
        <v>100</v>
      </c>
      <c r="P325" s="624">
        <v>21244.065999999999</v>
      </c>
      <c r="Q325" s="624">
        <v>6252.1080000000002</v>
      </c>
      <c r="R325" s="1039">
        <v>22</v>
      </c>
      <c r="S325" s="290">
        <v>0</v>
      </c>
      <c r="T325" s="290">
        <v>609</v>
      </c>
      <c r="U325" s="958">
        <v>7.8285643189660557E-4</v>
      </c>
      <c r="V325" s="290">
        <v>2963.1248830300001</v>
      </c>
      <c r="W325" s="765">
        <v>0.60401183000000003</v>
      </c>
      <c r="X325" s="290">
        <v>1887</v>
      </c>
      <c r="Y325" s="290"/>
      <c r="Z325" s="290">
        <v>171792.18400000001</v>
      </c>
      <c r="AA325" s="290">
        <v>0</v>
      </c>
      <c r="AB325" s="290">
        <v>103</v>
      </c>
      <c r="AC325" s="290">
        <v>270</v>
      </c>
      <c r="AD325" s="290">
        <v>113</v>
      </c>
      <c r="AE325" s="290">
        <v>0</v>
      </c>
      <c r="AF325" s="290">
        <v>0</v>
      </c>
      <c r="AG325" s="290">
        <v>5717</v>
      </c>
      <c r="AH325" s="290">
        <v>920</v>
      </c>
      <c r="AI325" s="290">
        <v>3324.5</v>
      </c>
      <c r="AJ325" s="290">
        <v>0</v>
      </c>
      <c r="AK325" s="290">
        <v>0</v>
      </c>
      <c r="AL325" s="290">
        <v>50448</v>
      </c>
      <c r="AM325" s="957">
        <v>0.28473962000000003</v>
      </c>
      <c r="AN325" s="290">
        <v>0</v>
      </c>
      <c r="AO325" s="290">
        <v>-1483.1519537900001</v>
      </c>
      <c r="AP325" s="290">
        <v>0</v>
      </c>
      <c r="AQ325" s="290">
        <v>0</v>
      </c>
      <c r="AR325" s="290">
        <v>879.30868074</v>
      </c>
      <c r="AS325" s="290">
        <v>491.62099999999998</v>
      </c>
      <c r="AT325" s="290">
        <v>303</v>
      </c>
      <c r="AU325" s="290">
        <v>66</v>
      </c>
      <c r="AV325" s="766">
        <v>215445</v>
      </c>
      <c r="AW325" s="290">
        <v>0</v>
      </c>
      <c r="AX325" s="766">
        <v>37.041649999999997</v>
      </c>
      <c r="AY325" s="290">
        <v>1458</v>
      </c>
      <c r="AZ325" s="290">
        <v>477</v>
      </c>
      <c r="BA325" s="290">
        <v>140</v>
      </c>
      <c r="BB325" s="290">
        <v>0</v>
      </c>
      <c r="BC325" s="290">
        <v>8312.5394038100003</v>
      </c>
      <c r="BD325" s="290"/>
      <c r="BE325" s="290">
        <v>202877.90324593001</v>
      </c>
      <c r="BF325" s="290">
        <v>0</v>
      </c>
      <c r="BG325" s="290">
        <v>4680</v>
      </c>
      <c r="BH325" s="290">
        <v>1000</v>
      </c>
      <c r="BI325" s="290">
        <v>1303</v>
      </c>
      <c r="BJ325" s="290">
        <v>68</v>
      </c>
      <c r="BK325" s="290">
        <v>194</v>
      </c>
      <c r="BL325" s="290">
        <v>0</v>
      </c>
      <c r="BM325" s="290">
        <v>0</v>
      </c>
      <c r="BN325" s="290">
        <v>121</v>
      </c>
      <c r="BO325" s="290">
        <v>-64</v>
      </c>
      <c r="BP325" s="290">
        <v>523</v>
      </c>
      <c r="BQ325" s="290">
        <v>1046</v>
      </c>
      <c r="BR325" s="290">
        <v>792</v>
      </c>
      <c r="BS325" s="290">
        <v>85</v>
      </c>
      <c r="BT325" s="290">
        <v>0</v>
      </c>
      <c r="BU325" s="290">
        <v>0</v>
      </c>
      <c r="BV325" s="290">
        <v>111</v>
      </c>
      <c r="BW325" s="290">
        <v>0</v>
      </c>
      <c r="BX325" s="290">
        <v>0</v>
      </c>
      <c r="BY325" s="290">
        <v>606</v>
      </c>
      <c r="BZ325" s="290">
        <v>1761</v>
      </c>
      <c r="CA325" s="290">
        <v>6199.9000000000005</v>
      </c>
      <c r="CB325" s="290">
        <v>57</v>
      </c>
      <c r="CC325" s="290">
        <v>0</v>
      </c>
      <c r="CD325" s="290">
        <v>0</v>
      </c>
      <c r="CE325" s="290">
        <v>171792.18400000001</v>
      </c>
      <c r="CF325" s="290">
        <v>0</v>
      </c>
      <c r="CG325" s="290">
        <v>0</v>
      </c>
      <c r="CH325" s="290">
        <v>0</v>
      </c>
      <c r="CI325" s="290">
        <v>0</v>
      </c>
      <c r="CJ325" s="290"/>
    </row>
    <row r="326" spans="1:88" ht="13">
      <c r="A326" s="1">
        <v>5406</v>
      </c>
      <c r="B326" s="2" t="s">
        <v>1648</v>
      </c>
      <c r="C326" s="289">
        <v>11331</v>
      </c>
      <c r="D326" s="290">
        <v>235</v>
      </c>
      <c r="E326" s="290">
        <v>495</v>
      </c>
      <c r="F326" s="290">
        <v>1307</v>
      </c>
      <c r="G326" s="290">
        <v>945</v>
      </c>
      <c r="H326" s="290">
        <v>6645</v>
      </c>
      <c r="I326" s="290">
        <v>1312</v>
      </c>
      <c r="J326" s="290">
        <v>358</v>
      </c>
      <c r="K326" s="290">
        <v>75</v>
      </c>
      <c r="L326" s="290">
        <v>103</v>
      </c>
      <c r="M326" s="290">
        <v>855</v>
      </c>
      <c r="N326" s="290">
        <v>357</v>
      </c>
      <c r="O326" s="290">
        <v>171</v>
      </c>
      <c r="P326" s="624">
        <v>59281.517333329997</v>
      </c>
      <c r="Q326" s="624">
        <v>31477.904999999999</v>
      </c>
      <c r="R326" s="1039">
        <v>56</v>
      </c>
      <c r="S326" s="290">
        <v>0</v>
      </c>
      <c r="T326" s="290">
        <v>1164</v>
      </c>
      <c r="U326" s="958">
        <v>7.025462823797902E-4</v>
      </c>
      <c r="V326" s="290">
        <v>5846.8584952700003</v>
      </c>
      <c r="W326" s="765">
        <v>0.62360402999999998</v>
      </c>
      <c r="X326" s="290">
        <v>1779</v>
      </c>
      <c r="Y326" s="290"/>
      <c r="Z326" s="290">
        <v>373038.78899999999</v>
      </c>
      <c r="AA326" s="290">
        <v>0</v>
      </c>
      <c r="AB326" s="290">
        <v>221</v>
      </c>
      <c r="AC326" s="290">
        <v>572</v>
      </c>
      <c r="AD326" s="290">
        <v>216</v>
      </c>
      <c r="AE326" s="290">
        <v>0</v>
      </c>
      <c r="AF326" s="290">
        <v>28683</v>
      </c>
      <c r="AG326" s="290">
        <v>11372</v>
      </c>
      <c r="AH326" s="290">
        <v>1917</v>
      </c>
      <c r="AI326" s="290">
        <v>2581</v>
      </c>
      <c r="AJ326" s="290">
        <v>0</v>
      </c>
      <c r="AK326" s="290">
        <v>0</v>
      </c>
      <c r="AL326" s="290">
        <v>99781</v>
      </c>
      <c r="AM326" s="957">
        <v>0.34299453000000002</v>
      </c>
      <c r="AN326" s="290">
        <v>0</v>
      </c>
      <c r="AO326" s="290">
        <v>-2979.4223313500001</v>
      </c>
      <c r="AP326" s="290">
        <v>0</v>
      </c>
      <c r="AQ326" s="290">
        <v>0</v>
      </c>
      <c r="AR326" s="290">
        <v>-429.48053807999997</v>
      </c>
      <c r="AS326" s="290">
        <v>933.48249999999996</v>
      </c>
      <c r="AT326" s="290">
        <v>537</v>
      </c>
      <c r="AU326" s="290">
        <v>131</v>
      </c>
      <c r="AV326" s="766">
        <v>448961</v>
      </c>
      <c r="AW326" s="290">
        <v>20865</v>
      </c>
      <c r="AX326" s="766">
        <v>119.83329999999999</v>
      </c>
      <c r="AY326" s="290">
        <v>2604</v>
      </c>
      <c r="AZ326" s="290">
        <v>639</v>
      </c>
      <c r="BA326" s="290">
        <v>233</v>
      </c>
      <c r="BB326" s="290">
        <v>0</v>
      </c>
      <c r="BC326" s="290">
        <v>44304.930413560003</v>
      </c>
      <c r="BD326" s="290"/>
      <c r="BE326" s="290">
        <v>440339.48068332998</v>
      </c>
      <c r="BF326" s="290">
        <v>0</v>
      </c>
      <c r="BG326" s="290">
        <v>9309</v>
      </c>
      <c r="BH326" s="290">
        <v>1000</v>
      </c>
      <c r="BI326" s="290">
        <v>31388</v>
      </c>
      <c r="BJ326" s="290">
        <v>135</v>
      </c>
      <c r="BK326" s="290">
        <v>464</v>
      </c>
      <c r="BL326" s="290">
        <v>0</v>
      </c>
      <c r="BM326" s="290">
        <v>4145</v>
      </c>
      <c r="BN326" s="290">
        <v>290</v>
      </c>
      <c r="BO326" s="290">
        <v>-110</v>
      </c>
      <c r="BP326" s="290">
        <v>1051</v>
      </c>
      <c r="BQ326" s="290">
        <v>2102</v>
      </c>
      <c r="BR326" s="290">
        <v>1591</v>
      </c>
      <c r="BS326" s="290">
        <v>162</v>
      </c>
      <c r="BT326" s="290">
        <v>0</v>
      </c>
      <c r="BU326" s="290">
        <v>0</v>
      </c>
      <c r="BV326" s="290">
        <v>267</v>
      </c>
      <c r="BW326" s="290">
        <v>0</v>
      </c>
      <c r="BX326" s="290">
        <v>0</v>
      </c>
      <c r="BY326" s="290">
        <v>1085</v>
      </c>
      <c r="BZ326" s="290">
        <v>4403</v>
      </c>
      <c r="CA326" s="290">
        <v>13178.3</v>
      </c>
      <c r="CB326" s="290">
        <v>106</v>
      </c>
      <c r="CC326" s="290">
        <v>1</v>
      </c>
      <c r="CD326" s="290">
        <v>0</v>
      </c>
      <c r="CE326" s="290">
        <v>373038.78899999999</v>
      </c>
      <c r="CF326" s="290">
        <v>0</v>
      </c>
      <c r="CG326" s="290">
        <v>0</v>
      </c>
      <c r="CH326" s="290">
        <v>0</v>
      </c>
      <c r="CI326" s="290">
        <v>0</v>
      </c>
      <c r="CJ326" s="290"/>
    </row>
    <row r="327" spans="1:88" ht="13">
      <c r="A327" s="1">
        <v>5411</v>
      </c>
      <c r="B327" s="2" t="s">
        <v>218</v>
      </c>
      <c r="C327" s="289">
        <v>2822</v>
      </c>
      <c r="D327" s="290">
        <v>50</v>
      </c>
      <c r="E327" s="290">
        <v>92</v>
      </c>
      <c r="F327" s="290">
        <v>304</v>
      </c>
      <c r="G327" s="290">
        <v>238</v>
      </c>
      <c r="H327" s="290">
        <v>1565</v>
      </c>
      <c r="I327" s="290">
        <v>426</v>
      </c>
      <c r="J327" s="290">
        <v>133</v>
      </c>
      <c r="K327" s="290">
        <v>21</v>
      </c>
      <c r="L327" s="290">
        <v>30</v>
      </c>
      <c r="M327" s="290">
        <v>256</v>
      </c>
      <c r="N327" s="290">
        <v>79</v>
      </c>
      <c r="O327" s="290">
        <v>27</v>
      </c>
      <c r="P327" s="624">
        <v>24295.350999999999</v>
      </c>
      <c r="Q327" s="624">
        <v>11299.062666670001</v>
      </c>
      <c r="R327" s="1039">
        <v>28</v>
      </c>
      <c r="S327" s="290">
        <v>0</v>
      </c>
      <c r="T327" s="290">
        <v>255</v>
      </c>
      <c r="U327" s="958">
        <v>1.5383490651989474E-3</v>
      </c>
      <c r="V327" s="290">
        <v>992.51993117999996</v>
      </c>
      <c r="W327" s="765">
        <v>0.81012879999999998</v>
      </c>
      <c r="X327" s="290">
        <v>1130</v>
      </c>
      <c r="Y327" s="290"/>
      <c r="Z327" s="290">
        <v>73553.589000000007</v>
      </c>
      <c r="AA327" s="290">
        <v>0</v>
      </c>
      <c r="AB327" s="290">
        <v>93</v>
      </c>
      <c r="AC327" s="290">
        <v>143</v>
      </c>
      <c r="AD327" s="290">
        <v>70</v>
      </c>
      <c r="AE327" s="290">
        <v>0</v>
      </c>
      <c r="AF327" s="290">
        <v>0</v>
      </c>
      <c r="AG327" s="290">
        <v>2829</v>
      </c>
      <c r="AH327" s="290">
        <v>442</v>
      </c>
      <c r="AI327" s="290">
        <v>15.678000000000001</v>
      </c>
      <c r="AJ327" s="290">
        <v>0</v>
      </c>
      <c r="AK327" s="290">
        <v>0</v>
      </c>
      <c r="AL327" s="290">
        <v>10135</v>
      </c>
      <c r="AM327" s="957">
        <v>0.10253326</v>
      </c>
      <c r="AN327" s="290">
        <v>0</v>
      </c>
      <c r="AO327" s="290">
        <v>-866.78891397999996</v>
      </c>
      <c r="AP327" s="290">
        <v>0</v>
      </c>
      <c r="AQ327" s="290">
        <v>0</v>
      </c>
      <c r="AR327" s="290">
        <v>-106.84140364</v>
      </c>
      <c r="AS327" s="290">
        <v>247.20099999999999</v>
      </c>
      <c r="AT327" s="290">
        <v>163</v>
      </c>
      <c r="AU327" s="290">
        <v>30</v>
      </c>
      <c r="AV327" s="766">
        <v>126522</v>
      </c>
      <c r="AW327" s="290">
        <v>788</v>
      </c>
      <c r="AX327" s="766">
        <v>15.166700000000001</v>
      </c>
      <c r="AY327" s="290">
        <v>612</v>
      </c>
      <c r="AZ327" s="290">
        <v>169</v>
      </c>
      <c r="BA327" s="290">
        <v>82</v>
      </c>
      <c r="BB327" s="290">
        <v>6034</v>
      </c>
      <c r="BC327" s="290">
        <v>4637.7437359200003</v>
      </c>
      <c r="BD327" s="290"/>
      <c r="BE327" s="290">
        <v>120595.9509347</v>
      </c>
      <c r="BF327" s="290">
        <v>0</v>
      </c>
      <c r="BG327" s="290">
        <v>2316</v>
      </c>
      <c r="BH327" s="290">
        <v>500</v>
      </c>
      <c r="BI327" s="290">
        <v>655</v>
      </c>
      <c r="BJ327" s="290">
        <v>33</v>
      </c>
      <c r="BK327" s="290">
        <v>84</v>
      </c>
      <c r="BL327" s="290">
        <v>0</v>
      </c>
      <c r="BM327" s="290">
        <v>0</v>
      </c>
      <c r="BN327" s="290">
        <v>53</v>
      </c>
      <c r="BO327" s="290">
        <v>-28</v>
      </c>
      <c r="BP327" s="290">
        <v>262</v>
      </c>
      <c r="BQ327" s="290">
        <v>523</v>
      </c>
      <c r="BR327" s="290">
        <v>396</v>
      </c>
      <c r="BS327" s="290">
        <v>53</v>
      </c>
      <c r="BT327" s="290">
        <v>0</v>
      </c>
      <c r="BU327" s="290">
        <v>0</v>
      </c>
      <c r="BV327" s="290">
        <v>49</v>
      </c>
      <c r="BW327" s="290">
        <v>0</v>
      </c>
      <c r="BX327" s="290">
        <v>0</v>
      </c>
      <c r="BY327" s="290">
        <v>340</v>
      </c>
      <c r="BZ327" s="290">
        <v>326</v>
      </c>
      <c r="CA327" s="290">
        <v>165.56299999999999</v>
      </c>
      <c r="CB327" s="290">
        <v>35</v>
      </c>
      <c r="CC327" s="290">
        <v>0</v>
      </c>
      <c r="CD327" s="290">
        <v>0</v>
      </c>
      <c r="CE327" s="290">
        <v>73553.589000000007</v>
      </c>
      <c r="CF327" s="290">
        <v>0</v>
      </c>
      <c r="CG327" s="290">
        <v>0</v>
      </c>
      <c r="CH327" s="290">
        <v>0</v>
      </c>
      <c r="CI327" s="290">
        <v>0</v>
      </c>
      <c r="CJ327" s="290"/>
    </row>
    <row r="328" spans="1:88" ht="13">
      <c r="A328" s="1">
        <v>5412</v>
      </c>
      <c r="B328" s="2" t="s">
        <v>1649</v>
      </c>
      <c r="C328" s="289">
        <v>4209</v>
      </c>
      <c r="D328" s="290">
        <v>74</v>
      </c>
      <c r="E328" s="290">
        <v>125</v>
      </c>
      <c r="F328" s="290">
        <v>454</v>
      </c>
      <c r="G328" s="290">
        <v>312</v>
      </c>
      <c r="H328" s="290">
        <v>2214</v>
      </c>
      <c r="I328" s="290">
        <v>755</v>
      </c>
      <c r="J328" s="290">
        <v>226</v>
      </c>
      <c r="K328" s="290">
        <v>57</v>
      </c>
      <c r="L328" s="290">
        <v>33</v>
      </c>
      <c r="M328" s="290">
        <v>435</v>
      </c>
      <c r="N328" s="290">
        <v>9</v>
      </c>
      <c r="O328" s="290">
        <v>20</v>
      </c>
      <c r="P328" s="624">
        <v>65870.985333329998</v>
      </c>
      <c r="Q328" s="624">
        <v>15795.230333330001</v>
      </c>
      <c r="R328" s="1039">
        <v>21</v>
      </c>
      <c r="S328" s="290">
        <v>0</v>
      </c>
      <c r="T328" s="290">
        <v>321</v>
      </c>
      <c r="U328" s="958">
        <v>2.0831360412911157E-3</v>
      </c>
      <c r="V328" s="290">
        <v>2418.7272941000001</v>
      </c>
      <c r="W328" s="765">
        <v>0.91513288000000004</v>
      </c>
      <c r="X328" s="290">
        <v>1228</v>
      </c>
      <c r="Y328" s="290"/>
      <c r="Z328" s="290">
        <v>112336.47500000001</v>
      </c>
      <c r="AA328" s="290">
        <v>0</v>
      </c>
      <c r="AB328" s="290">
        <v>120</v>
      </c>
      <c r="AC328" s="290">
        <v>214</v>
      </c>
      <c r="AD328" s="290">
        <v>107</v>
      </c>
      <c r="AE328" s="290">
        <v>0</v>
      </c>
      <c r="AF328" s="290">
        <v>25374</v>
      </c>
      <c r="AG328" s="290">
        <v>4217</v>
      </c>
      <c r="AH328" s="290">
        <v>627</v>
      </c>
      <c r="AI328" s="290">
        <v>813</v>
      </c>
      <c r="AJ328" s="290">
        <v>0</v>
      </c>
      <c r="AK328" s="290">
        <v>0</v>
      </c>
      <c r="AL328" s="290">
        <v>15051</v>
      </c>
      <c r="AM328" s="957">
        <v>4.3488440000000003E-2</v>
      </c>
      <c r="AN328" s="290">
        <v>0</v>
      </c>
      <c r="AO328" s="290">
        <v>-1210.6611275400001</v>
      </c>
      <c r="AP328" s="290">
        <v>0</v>
      </c>
      <c r="AQ328" s="290">
        <v>0</v>
      </c>
      <c r="AR328" s="290">
        <v>-154.77109060000001</v>
      </c>
      <c r="AS328" s="290">
        <v>348.25049999999999</v>
      </c>
      <c r="AT328" s="290">
        <v>183</v>
      </c>
      <c r="AU328" s="290">
        <v>33</v>
      </c>
      <c r="AV328" s="766">
        <v>187765</v>
      </c>
      <c r="AW328" s="290">
        <v>0</v>
      </c>
      <c r="AX328" s="766">
        <v>26.125050000000002</v>
      </c>
      <c r="AY328" s="290">
        <v>804</v>
      </c>
      <c r="AZ328" s="290">
        <v>128</v>
      </c>
      <c r="BA328" s="290">
        <v>84</v>
      </c>
      <c r="BB328" s="290">
        <v>0</v>
      </c>
      <c r="BC328" s="290">
        <v>31489.324783060001</v>
      </c>
      <c r="BD328" s="290"/>
      <c r="BE328" s="290">
        <v>178611.45268906001</v>
      </c>
      <c r="BF328" s="290">
        <v>0</v>
      </c>
      <c r="BG328" s="290">
        <v>3452</v>
      </c>
      <c r="BH328" s="290">
        <v>1000</v>
      </c>
      <c r="BI328" s="290">
        <v>26322</v>
      </c>
      <c r="BJ328" s="290">
        <v>49</v>
      </c>
      <c r="BK328" s="290">
        <v>117</v>
      </c>
      <c r="BL328" s="290">
        <v>0</v>
      </c>
      <c r="BM328" s="290">
        <v>0</v>
      </c>
      <c r="BN328" s="290">
        <v>73</v>
      </c>
      <c r="BO328" s="290">
        <v>-28</v>
      </c>
      <c r="BP328" s="290">
        <v>390</v>
      </c>
      <c r="BQ328" s="290">
        <v>781</v>
      </c>
      <c r="BR328" s="290">
        <v>591</v>
      </c>
      <c r="BS328" s="290">
        <v>81</v>
      </c>
      <c r="BT328" s="290">
        <v>0</v>
      </c>
      <c r="BU328" s="290">
        <v>0</v>
      </c>
      <c r="BV328" s="290">
        <v>68</v>
      </c>
      <c r="BW328" s="290">
        <v>0</v>
      </c>
      <c r="BX328" s="290">
        <v>0</v>
      </c>
      <c r="BY328" s="290">
        <v>537</v>
      </c>
      <c r="BZ328" s="290">
        <v>524</v>
      </c>
      <c r="CA328" s="290">
        <v>1761.1</v>
      </c>
      <c r="CB328" s="290">
        <v>48</v>
      </c>
      <c r="CC328" s="290">
        <v>0</v>
      </c>
      <c r="CD328" s="290">
        <v>0</v>
      </c>
      <c r="CE328" s="290">
        <v>112336.47500000001</v>
      </c>
      <c r="CF328" s="290">
        <v>0</v>
      </c>
      <c r="CG328" s="290">
        <v>0</v>
      </c>
      <c r="CH328" s="290">
        <v>0</v>
      </c>
      <c r="CI328" s="290">
        <v>0</v>
      </c>
      <c r="CJ328" s="290"/>
    </row>
    <row r="329" spans="1:88" ht="13">
      <c r="A329" s="1">
        <v>5413</v>
      </c>
      <c r="B329" s="2" t="s">
        <v>221</v>
      </c>
      <c r="C329" s="289">
        <v>1320</v>
      </c>
      <c r="D329" s="290">
        <v>10</v>
      </c>
      <c r="E329" s="290">
        <v>39</v>
      </c>
      <c r="F329" s="290">
        <v>106</v>
      </c>
      <c r="G329" s="290">
        <v>120</v>
      </c>
      <c r="H329" s="290">
        <v>663</v>
      </c>
      <c r="I329" s="290">
        <v>265</v>
      </c>
      <c r="J329" s="290">
        <v>104</v>
      </c>
      <c r="K329" s="290">
        <v>27</v>
      </c>
      <c r="L329" s="290">
        <v>10</v>
      </c>
      <c r="M329" s="290">
        <v>193</v>
      </c>
      <c r="N329" s="290">
        <v>20</v>
      </c>
      <c r="O329" s="290">
        <v>10</v>
      </c>
      <c r="P329" s="624">
        <v>11412.40433333</v>
      </c>
      <c r="Q329" s="624">
        <v>4827.5616666699998</v>
      </c>
      <c r="R329" s="1039">
        <v>8</v>
      </c>
      <c r="S329" s="290">
        <v>0</v>
      </c>
      <c r="T329" s="290">
        <v>133</v>
      </c>
      <c r="U329" s="958">
        <v>1.0408266482632861E-3</v>
      </c>
      <c r="V329" s="290">
        <v>-1407.4506650999999</v>
      </c>
      <c r="W329" s="765">
        <v>1</v>
      </c>
      <c r="X329" s="290">
        <v>682</v>
      </c>
      <c r="Y329" s="290"/>
      <c r="Z329" s="290">
        <v>37922.93</v>
      </c>
      <c r="AA329" s="290">
        <v>0</v>
      </c>
      <c r="AB329" s="290">
        <v>25</v>
      </c>
      <c r="AC329" s="290">
        <v>60</v>
      </c>
      <c r="AD329" s="290">
        <v>46</v>
      </c>
      <c r="AE329" s="290">
        <v>0</v>
      </c>
      <c r="AF329" s="290">
        <v>0</v>
      </c>
      <c r="AG329" s="290">
        <v>1334</v>
      </c>
      <c r="AH329" s="290">
        <v>170</v>
      </c>
      <c r="AI329" s="290">
        <v>0</v>
      </c>
      <c r="AJ329" s="290">
        <v>0</v>
      </c>
      <c r="AK329" s="290">
        <v>0</v>
      </c>
      <c r="AL329" s="290">
        <v>4859</v>
      </c>
      <c r="AM329" s="957">
        <v>2.6438179999999999E-2</v>
      </c>
      <c r="AN329" s="290">
        <v>0</v>
      </c>
      <c r="AO329" s="290">
        <v>-458.36590385</v>
      </c>
      <c r="AP329" s="290">
        <v>0</v>
      </c>
      <c r="AQ329" s="290">
        <v>0</v>
      </c>
      <c r="AR329" s="290">
        <v>-50.380499280000002</v>
      </c>
      <c r="AS329" s="290">
        <v>106.31100000000001</v>
      </c>
      <c r="AT329" s="290">
        <v>66</v>
      </c>
      <c r="AU329" s="290">
        <v>14</v>
      </c>
      <c r="AV329" s="766">
        <v>72391</v>
      </c>
      <c r="AW329" s="290">
        <v>0</v>
      </c>
      <c r="AX329" s="766">
        <v>2.9999500000000001</v>
      </c>
      <c r="AY329" s="290">
        <v>214</v>
      </c>
      <c r="AZ329" s="290">
        <v>53</v>
      </c>
      <c r="BA329" s="290">
        <v>27</v>
      </c>
      <c r="BB329" s="290">
        <v>6034</v>
      </c>
      <c r="BC329" s="290">
        <v>2525.87116001</v>
      </c>
      <c r="BD329" s="290"/>
      <c r="BE329" s="290">
        <v>69308.946942619994</v>
      </c>
      <c r="BF329" s="290">
        <v>0</v>
      </c>
      <c r="BG329" s="290">
        <v>1092</v>
      </c>
      <c r="BH329" s="290">
        <v>500</v>
      </c>
      <c r="BI329" s="290">
        <v>276</v>
      </c>
      <c r="BJ329" s="290">
        <v>16</v>
      </c>
      <c r="BK329" s="290">
        <v>33</v>
      </c>
      <c r="BL329" s="290">
        <v>0</v>
      </c>
      <c r="BM329" s="290">
        <v>0</v>
      </c>
      <c r="BN329" s="290">
        <v>21</v>
      </c>
      <c r="BO329" s="290">
        <v>-11</v>
      </c>
      <c r="BP329" s="290">
        <v>122</v>
      </c>
      <c r="BQ329" s="290">
        <v>245</v>
      </c>
      <c r="BR329" s="290">
        <v>185</v>
      </c>
      <c r="BS329" s="290">
        <v>34</v>
      </c>
      <c r="BT329" s="290">
        <v>0</v>
      </c>
      <c r="BU329" s="290">
        <v>0</v>
      </c>
      <c r="BV329" s="290">
        <v>19</v>
      </c>
      <c r="BW329" s="290">
        <v>0</v>
      </c>
      <c r="BX329" s="290">
        <v>0</v>
      </c>
      <c r="BY329" s="290">
        <v>197</v>
      </c>
      <c r="BZ329" s="290">
        <v>730</v>
      </c>
      <c r="CA329" s="290">
        <v>1987.3999999999999</v>
      </c>
      <c r="CB329" s="290">
        <v>25</v>
      </c>
      <c r="CC329" s="290">
        <v>0</v>
      </c>
      <c r="CD329" s="290">
        <v>0</v>
      </c>
      <c r="CE329" s="290">
        <v>37922.93</v>
      </c>
      <c r="CF329" s="290">
        <v>0</v>
      </c>
      <c r="CG329" s="290">
        <v>0</v>
      </c>
      <c r="CH329" s="290">
        <v>0</v>
      </c>
      <c r="CI329" s="290">
        <v>0</v>
      </c>
      <c r="CJ329" s="290"/>
    </row>
    <row r="330" spans="1:88" ht="13">
      <c r="A330" s="1">
        <v>5414</v>
      </c>
      <c r="B330" s="2" t="s">
        <v>222</v>
      </c>
      <c r="C330" s="289">
        <v>1092</v>
      </c>
      <c r="D330" s="290">
        <v>16</v>
      </c>
      <c r="E330" s="290">
        <v>37</v>
      </c>
      <c r="F330" s="290">
        <v>102</v>
      </c>
      <c r="G330" s="290">
        <v>101</v>
      </c>
      <c r="H330" s="290">
        <v>578</v>
      </c>
      <c r="I330" s="290">
        <v>156</v>
      </c>
      <c r="J330" s="290">
        <v>78</v>
      </c>
      <c r="K330" s="290">
        <v>17</v>
      </c>
      <c r="L330" s="290">
        <v>8</v>
      </c>
      <c r="M330" s="290">
        <v>131</v>
      </c>
      <c r="N330" s="290">
        <v>16</v>
      </c>
      <c r="O330" s="290">
        <v>11</v>
      </c>
      <c r="P330" s="624">
        <v>9039.134</v>
      </c>
      <c r="Q330" s="624">
        <v>4944.5853333300001</v>
      </c>
      <c r="R330" s="1039">
        <v>7</v>
      </c>
      <c r="S330" s="290">
        <v>0</v>
      </c>
      <c r="T330" s="290">
        <v>124</v>
      </c>
      <c r="U330" s="958">
        <v>6.8290745532417925E-4</v>
      </c>
      <c r="V330" s="290">
        <v>-4182.9153677000004</v>
      </c>
      <c r="W330" s="765">
        <v>1</v>
      </c>
      <c r="X330" s="290">
        <v>778</v>
      </c>
      <c r="Y330" s="290"/>
      <c r="Z330" s="290">
        <v>31520.68</v>
      </c>
      <c r="AA330" s="290">
        <v>0</v>
      </c>
      <c r="AB330" s="290">
        <v>35</v>
      </c>
      <c r="AC330" s="290">
        <v>58</v>
      </c>
      <c r="AD330" s="290">
        <v>39</v>
      </c>
      <c r="AE330" s="290">
        <v>0</v>
      </c>
      <c r="AF330" s="290">
        <v>0</v>
      </c>
      <c r="AG330" s="290">
        <v>1085</v>
      </c>
      <c r="AH330" s="290">
        <v>163</v>
      </c>
      <c r="AI330" s="290">
        <v>135</v>
      </c>
      <c r="AJ330" s="290">
        <v>0</v>
      </c>
      <c r="AK330" s="290">
        <v>0</v>
      </c>
      <c r="AL330" s="290">
        <v>3895</v>
      </c>
      <c r="AM330" s="957">
        <v>3.4063389999999999E-2</v>
      </c>
      <c r="AN330" s="290">
        <v>0</v>
      </c>
      <c r="AO330" s="290">
        <v>-390.56088507999999</v>
      </c>
      <c r="AP330" s="290">
        <v>0</v>
      </c>
      <c r="AQ330" s="290">
        <v>0</v>
      </c>
      <c r="AR330" s="290">
        <v>-40.97664297</v>
      </c>
      <c r="AS330" s="290">
        <v>103.6</v>
      </c>
      <c r="AT330" s="290">
        <v>53</v>
      </c>
      <c r="AU330" s="290">
        <v>15</v>
      </c>
      <c r="AV330" s="766">
        <v>60433</v>
      </c>
      <c r="AW330" s="290">
        <v>0</v>
      </c>
      <c r="AX330" s="766">
        <v>7.25</v>
      </c>
      <c r="AY330" s="290">
        <v>189</v>
      </c>
      <c r="AZ330" s="290">
        <v>51</v>
      </c>
      <c r="BA330" s="290">
        <v>21</v>
      </c>
      <c r="BB330" s="290">
        <v>6034</v>
      </c>
      <c r="BC330" s="290">
        <v>2238.3754502199999</v>
      </c>
      <c r="BD330" s="290"/>
      <c r="BE330" s="290">
        <v>58572.027303050003</v>
      </c>
      <c r="BF330" s="290">
        <v>0</v>
      </c>
      <c r="BG330" s="290">
        <v>888</v>
      </c>
      <c r="BH330" s="290">
        <v>500</v>
      </c>
      <c r="BI330" s="290">
        <v>260</v>
      </c>
      <c r="BJ330" s="290">
        <v>13</v>
      </c>
      <c r="BK330" s="290">
        <v>34</v>
      </c>
      <c r="BL330" s="290">
        <v>0</v>
      </c>
      <c r="BM330" s="290">
        <v>0</v>
      </c>
      <c r="BN330" s="290">
        <v>21</v>
      </c>
      <c r="BO330" s="290">
        <v>-11</v>
      </c>
      <c r="BP330" s="290">
        <v>101</v>
      </c>
      <c r="BQ330" s="290">
        <v>203</v>
      </c>
      <c r="BR330" s="290">
        <v>153</v>
      </c>
      <c r="BS330" s="290">
        <v>29</v>
      </c>
      <c r="BT330" s="290">
        <v>0</v>
      </c>
      <c r="BU330" s="290">
        <v>0</v>
      </c>
      <c r="BV330" s="290">
        <v>19</v>
      </c>
      <c r="BW330" s="290">
        <v>0</v>
      </c>
      <c r="BX330" s="290">
        <v>0</v>
      </c>
      <c r="BY330" s="290">
        <v>136</v>
      </c>
      <c r="BZ330" s="290">
        <v>149</v>
      </c>
      <c r="CA330" s="290">
        <v>74.599999999999994</v>
      </c>
      <c r="CB330" s="290">
        <v>23</v>
      </c>
      <c r="CC330" s="290">
        <v>0</v>
      </c>
      <c r="CD330" s="290">
        <v>0</v>
      </c>
      <c r="CE330" s="290">
        <v>31520.68</v>
      </c>
      <c r="CF330" s="290">
        <v>0</v>
      </c>
      <c r="CG330" s="290">
        <v>0</v>
      </c>
      <c r="CH330" s="290">
        <v>0</v>
      </c>
      <c r="CI330" s="290">
        <v>0</v>
      </c>
      <c r="CJ330" s="290"/>
    </row>
    <row r="331" spans="1:88" ht="13">
      <c r="A331" s="1">
        <v>5415</v>
      </c>
      <c r="B331" s="2" t="s">
        <v>223</v>
      </c>
      <c r="C331" s="289">
        <v>1020</v>
      </c>
      <c r="D331" s="290">
        <v>11</v>
      </c>
      <c r="E331" s="290">
        <v>35</v>
      </c>
      <c r="F331" s="290">
        <v>136</v>
      </c>
      <c r="G331" s="290">
        <v>89</v>
      </c>
      <c r="H331" s="290">
        <v>512</v>
      </c>
      <c r="I331" s="290">
        <v>156</v>
      </c>
      <c r="J331" s="290">
        <v>62</v>
      </c>
      <c r="K331" s="290">
        <v>22</v>
      </c>
      <c r="L331" s="290">
        <v>7</v>
      </c>
      <c r="M331" s="290">
        <v>105</v>
      </c>
      <c r="N331" s="290">
        <v>0</v>
      </c>
      <c r="O331" s="290">
        <v>19</v>
      </c>
      <c r="P331" s="624">
        <v>3314.509</v>
      </c>
      <c r="Q331" s="624">
        <v>4141.6886666700002</v>
      </c>
      <c r="R331" s="1039">
        <v>7</v>
      </c>
      <c r="S331" s="290">
        <v>0</v>
      </c>
      <c r="T331" s="290">
        <v>72</v>
      </c>
      <c r="U331" s="958">
        <v>6.5805039707976748E-4</v>
      </c>
      <c r="V331" s="290">
        <v>773.35363937</v>
      </c>
      <c r="W331" s="765">
        <v>0.98943539000000003</v>
      </c>
      <c r="X331" s="290">
        <v>496</v>
      </c>
      <c r="Y331" s="290"/>
      <c r="Z331" s="290">
        <v>22751.856</v>
      </c>
      <c r="AA331" s="290">
        <v>0</v>
      </c>
      <c r="AB331" s="290">
        <v>32</v>
      </c>
      <c r="AC331" s="290">
        <v>71</v>
      </c>
      <c r="AD331" s="290">
        <v>37</v>
      </c>
      <c r="AE331" s="290">
        <v>0</v>
      </c>
      <c r="AF331" s="290">
        <v>0</v>
      </c>
      <c r="AG331" s="290">
        <v>1023</v>
      </c>
      <c r="AH331" s="290">
        <v>179</v>
      </c>
      <c r="AI331" s="290">
        <v>1000</v>
      </c>
      <c r="AJ331" s="290">
        <v>0</v>
      </c>
      <c r="AK331" s="290">
        <v>0</v>
      </c>
      <c r="AL331" s="290">
        <v>3691</v>
      </c>
      <c r="AM331" s="957">
        <v>2.8396230000000001E-2</v>
      </c>
      <c r="AN331" s="290">
        <v>0</v>
      </c>
      <c r="AO331" s="290">
        <v>-387.09167060999999</v>
      </c>
      <c r="AP331" s="290">
        <v>0</v>
      </c>
      <c r="AQ331" s="290">
        <v>0</v>
      </c>
      <c r="AR331" s="290">
        <v>-38.63512051</v>
      </c>
      <c r="AS331" s="290">
        <v>121.0765</v>
      </c>
      <c r="AT331" s="290">
        <v>46</v>
      </c>
      <c r="AU331" s="290">
        <v>12</v>
      </c>
      <c r="AV331" s="766">
        <v>66371</v>
      </c>
      <c r="AW331" s="290">
        <v>0</v>
      </c>
      <c r="AX331" s="766">
        <v>3.5</v>
      </c>
      <c r="AY331" s="290">
        <v>177</v>
      </c>
      <c r="AZ331" s="290">
        <v>55</v>
      </c>
      <c r="BA331" s="290">
        <v>39</v>
      </c>
      <c r="BB331" s="290">
        <v>6034</v>
      </c>
      <c r="BC331" s="290">
        <v>2312.0169019700002</v>
      </c>
      <c r="BD331" s="290"/>
      <c r="BE331" s="290">
        <v>64261.674221519999</v>
      </c>
      <c r="BF331" s="290">
        <v>0</v>
      </c>
      <c r="BG331" s="290">
        <v>837</v>
      </c>
      <c r="BH331" s="290">
        <v>500</v>
      </c>
      <c r="BI331" s="290">
        <v>287</v>
      </c>
      <c r="BJ331" s="290">
        <v>12</v>
      </c>
      <c r="BK331" s="290">
        <v>30</v>
      </c>
      <c r="BL331" s="290">
        <v>0</v>
      </c>
      <c r="BM331" s="290">
        <v>0</v>
      </c>
      <c r="BN331" s="290">
        <v>19</v>
      </c>
      <c r="BO331" s="290">
        <v>-7</v>
      </c>
      <c r="BP331" s="290">
        <v>95</v>
      </c>
      <c r="BQ331" s="290">
        <v>189</v>
      </c>
      <c r="BR331" s="290">
        <v>143</v>
      </c>
      <c r="BS331" s="290">
        <v>28</v>
      </c>
      <c r="BT331" s="290">
        <v>0</v>
      </c>
      <c r="BU331" s="290">
        <v>0</v>
      </c>
      <c r="BV331" s="290">
        <v>17</v>
      </c>
      <c r="BW331" s="290">
        <v>0</v>
      </c>
      <c r="BX331" s="290">
        <v>0</v>
      </c>
      <c r="BY331" s="290">
        <v>131</v>
      </c>
      <c r="BZ331" s="290">
        <v>231</v>
      </c>
      <c r="CA331" s="290">
        <v>383.1</v>
      </c>
      <c r="CB331" s="290">
        <v>22</v>
      </c>
      <c r="CC331" s="290">
        <v>0</v>
      </c>
      <c r="CD331" s="290">
        <v>0</v>
      </c>
      <c r="CE331" s="290">
        <v>22751.856</v>
      </c>
      <c r="CF331" s="290">
        <v>0</v>
      </c>
      <c r="CG331" s="290">
        <v>0</v>
      </c>
      <c r="CH331" s="290">
        <v>0</v>
      </c>
      <c r="CI331" s="290">
        <v>0</v>
      </c>
      <c r="CJ331" s="290"/>
    </row>
    <row r="332" spans="1:88" ht="13">
      <c r="A332" s="1">
        <v>5416</v>
      </c>
      <c r="B332" s="2" t="s">
        <v>224</v>
      </c>
      <c r="C332" s="289">
        <v>3959</v>
      </c>
      <c r="D332" s="290">
        <v>87</v>
      </c>
      <c r="E332" s="290">
        <v>158</v>
      </c>
      <c r="F332" s="290">
        <v>476</v>
      </c>
      <c r="G332" s="290">
        <v>381</v>
      </c>
      <c r="H332" s="290">
        <v>2156</v>
      </c>
      <c r="I332" s="290">
        <v>534</v>
      </c>
      <c r="J332" s="290">
        <v>151</v>
      </c>
      <c r="K332" s="290">
        <v>42</v>
      </c>
      <c r="L332" s="290">
        <v>33</v>
      </c>
      <c r="M332" s="290">
        <v>317</v>
      </c>
      <c r="N332" s="290">
        <v>65</v>
      </c>
      <c r="O332" s="290">
        <v>43</v>
      </c>
      <c r="P332" s="624">
        <v>23160.521333330002</v>
      </c>
      <c r="Q332" s="624">
        <v>11491.76</v>
      </c>
      <c r="R332" s="1039">
        <v>17</v>
      </c>
      <c r="S332" s="290">
        <v>0</v>
      </c>
      <c r="T332" s="290">
        <v>297</v>
      </c>
      <c r="U332" s="958">
        <v>1.5320098992816517E-3</v>
      </c>
      <c r="V332" s="290">
        <v>1955.42686323</v>
      </c>
      <c r="W332" s="765">
        <v>0.79372737999999998</v>
      </c>
      <c r="X332" s="290">
        <v>691</v>
      </c>
      <c r="Y332" s="290"/>
      <c r="Z332" s="290">
        <v>132708.57699999999</v>
      </c>
      <c r="AA332" s="290">
        <v>0</v>
      </c>
      <c r="AB332" s="290">
        <v>61</v>
      </c>
      <c r="AC332" s="290">
        <v>213</v>
      </c>
      <c r="AD332" s="290">
        <v>89</v>
      </c>
      <c r="AE332" s="290">
        <v>0</v>
      </c>
      <c r="AF332" s="290">
        <v>0</v>
      </c>
      <c r="AG332" s="290">
        <v>3985</v>
      </c>
      <c r="AH332" s="290">
        <v>683</v>
      </c>
      <c r="AI332" s="290">
        <v>168</v>
      </c>
      <c r="AJ332" s="290">
        <v>0</v>
      </c>
      <c r="AK332" s="290">
        <v>0</v>
      </c>
      <c r="AL332" s="290">
        <v>14298</v>
      </c>
      <c r="AM332" s="957">
        <v>1.8215990000000001E-2</v>
      </c>
      <c r="AN332" s="290">
        <v>0</v>
      </c>
      <c r="AO332" s="290">
        <v>-1084.47567759</v>
      </c>
      <c r="AP332" s="290">
        <v>0</v>
      </c>
      <c r="AQ332" s="290">
        <v>0</v>
      </c>
      <c r="AR332" s="290">
        <v>-150.49946749</v>
      </c>
      <c r="AS332" s="290">
        <v>327.63049999999998</v>
      </c>
      <c r="AT332" s="290">
        <v>129</v>
      </c>
      <c r="AU332" s="290">
        <v>15</v>
      </c>
      <c r="AV332" s="766">
        <v>137400</v>
      </c>
      <c r="AW332" s="290">
        <v>1067</v>
      </c>
      <c r="AX332" s="766">
        <v>29.625</v>
      </c>
      <c r="AY332" s="290">
        <v>929</v>
      </c>
      <c r="AZ332" s="290">
        <v>151</v>
      </c>
      <c r="BA332" s="290">
        <v>61</v>
      </c>
      <c r="BB332" s="290">
        <v>0</v>
      </c>
      <c r="BC332" s="290">
        <v>6032.9462213200004</v>
      </c>
      <c r="BD332" s="290"/>
      <c r="BE332" s="290">
        <v>131048.02445062</v>
      </c>
      <c r="BF332" s="290">
        <v>0</v>
      </c>
      <c r="BG332" s="290">
        <v>3262</v>
      </c>
      <c r="BH332" s="290">
        <v>1000</v>
      </c>
      <c r="BI332" s="290">
        <v>985</v>
      </c>
      <c r="BJ332" s="290">
        <v>48</v>
      </c>
      <c r="BK332" s="290">
        <v>145</v>
      </c>
      <c r="BL332" s="290">
        <v>0</v>
      </c>
      <c r="BM332" s="290">
        <v>0</v>
      </c>
      <c r="BN332" s="290">
        <v>91</v>
      </c>
      <c r="BO332" s="290">
        <v>-26</v>
      </c>
      <c r="BP332" s="290">
        <v>367</v>
      </c>
      <c r="BQ332" s="290">
        <v>734</v>
      </c>
      <c r="BR332" s="290">
        <v>556</v>
      </c>
      <c r="BS332" s="290">
        <v>67</v>
      </c>
      <c r="BT332" s="290">
        <v>0</v>
      </c>
      <c r="BU332" s="290">
        <v>0</v>
      </c>
      <c r="BV332" s="290">
        <v>83</v>
      </c>
      <c r="BW332" s="290">
        <v>0</v>
      </c>
      <c r="BX332" s="290">
        <v>0</v>
      </c>
      <c r="BY332" s="290">
        <v>431</v>
      </c>
      <c r="BZ332" s="290">
        <v>478</v>
      </c>
      <c r="CA332" s="290">
        <v>876.09999999999991</v>
      </c>
      <c r="CB332" s="290">
        <v>45</v>
      </c>
      <c r="CC332" s="290">
        <v>0</v>
      </c>
      <c r="CD332" s="290">
        <v>0</v>
      </c>
      <c r="CE332" s="290">
        <v>132708.57699999999</v>
      </c>
      <c r="CF332" s="290">
        <v>0</v>
      </c>
      <c r="CG332" s="290">
        <v>0</v>
      </c>
      <c r="CH332" s="290">
        <v>0</v>
      </c>
      <c r="CI332" s="290">
        <v>0</v>
      </c>
      <c r="CJ332" s="290"/>
    </row>
    <row r="333" spans="1:88" ht="13">
      <c r="A333" s="1">
        <v>5417</v>
      </c>
      <c r="B333" s="2" t="s">
        <v>225</v>
      </c>
      <c r="C333" s="289">
        <v>2089</v>
      </c>
      <c r="D333" s="290">
        <v>36</v>
      </c>
      <c r="E333" s="290">
        <v>60</v>
      </c>
      <c r="F333" s="290">
        <v>216</v>
      </c>
      <c r="G333" s="290">
        <v>223</v>
      </c>
      <c r="H333" s="290">
        <v>1130</v>
      </c>
      <c r="I333" s="290">
        <v>352</v>
      </c>
      <c r="J333" s="290">
        <v>92</v>
      </c>
      <c r="K333" s="290">
        <v>19</v>
      </c>
      <c r="L333" s="290">
        <v>17</v>
      </c>
      <c r="M333" s="290">
        <v>228</v>
      </c>
      <c r="N333" s="290">
        <v>46</v>
      </c>
      <c r="O333" s="290">
        <v>23</v>
      </c>
      <c r="P333" s="624">
        <v>10517.539000000001</v>
      </c>
      <c r="Q333" s="624">
        <v>6288.0963333299997</v>
      </c>
      <c r="R333" s="1039">
        <v>12</v>
      </c>
      <c r="S333" s="290">
        <v>0</v>
      </c>
      <c r="T333" s="290">
        <v>194</v>
      </c>
      <c r="U333" s="958">
        <v>9.4880317576969515E-4</v>
      </c>
      <c r="V333" s="290">
        <v>1230.4684466599999</v>
      </c>
      <c r="W333" s="765">
        <v>0.89211642000000002</v>
      </c>
      <c r="X333" s="290">
        <v>925</v>
      </c>
      <c r="Y333" s="290"/>
      <c r="Z333" s="290">
        <v>55380.934000000001</v>
      </c>
      <c r="AA333" s="290">
        <v>781</v>
      </c>
      <c r="AB333" s="290">
        <v>65</v>
      </c>
      <c r="AC333" s="290">
        <v>104</v>
      </c>
      <c r="AD333" s="290">
        <v>56</v>
      </c>
      <c r="AE333" s="290">
        <v>0</v>
      </c>
      <c r="AF333" s="290">
        <v>0</v>
      </c>
      <c r="AG333" s="290">
        <v>2128</v>
      </c>
      <c r="AH333" s="290">
        <v>335</v>
      </c>
      <c r="AI333" s="290">
        <v>6.2679999999999998</v>
      </c>
      <c r="AJ333" s="290">
        <v>0</v>
      </c>
      <c r="AK333" s="290">
        <v>0</v>
      </c>
      <c r="AL333" s="290">
        <v>7661</v>
      </c>
      <c r="AM333" s="957">
        <v>4.4023470000000002E-2</v>
      </c>
      <c r="AN333" s="290">
        <v>0</v>
      </c>
      <c r="AO333" s="290">
        <v>-615.89428483999995</v>
      </c>
      <c r="AP333" s="290">
        <v>0</v>
      </c>
      <c r="AQ333" s="290">
        <v>0</v>
      </c>
      <c r="AR333" s="290">
        <v>-80.367093299999993</v>
      </c>
      <c r="AS333" s="290">
        <v>180.87450000000001</v>
      </c>
      <c r="AT333" s="290">
        <v>89</v>
      </c>
      <c r="AU333" s="290">
        <v>17</v>
      </c>
      <c r="AV333" s="766">
        <v>88833</v>
      </c>
      <c r="AW333" s="290">
        <v>0</v>
      </c>
      <c r="AX333" s="766">
        <v>15.958349999999999</v>
      </c>
      <c r="AY333" s="290">
        <v>460</v>
      </c>
      <c r="AZ333" s="290">
        <v>134</v>
      </c>
      <c r="BA333" s="290">
        <v>36</v>
      </c>
      <c r="BB333" s="290">
        <v>6034</v>
      </c>
      <c r="BC333" s="290">
        <v>3560.5376708499998</v>
      </c>
      <c r="BD333" s="290"/>
      <c r="BE333" s="290">
        <v>84852.797191980004</v>
      </c>
      <c r="BF333" s="290">
        <v>0</v>
      </c>
      <c r="BG333" s="290">
        <v>1742</v>
      </c>
      <c r="BH333" s="290">
        <v>500</v>
      </c>
      <c r="BI333" s="290">
        <v>495</v>
      </c>
      <c r="BJ333" s="290">
        <v>25</v>
      </c>
      <c r="BK333" s="290">
        <v>60</v>
      </c>
      <c r="BL333" s="290">
        <v>0</v>
      </c>
      <c r="BM333" s="290">
        <v>0</v>
      </c>
      <c r="BN333" s="290">
        <v>37</v>
      </c>
      <c r="BO333" s="290">
        <v>-19</v>
      </c>
      <c r="BP333" s="290">
        <v>194</v>
      </c>
      <c r="BQ333" s="290">
        <v>387</v>
      </c>
      <c r="BR333" s="290">
        <v>293</v>
      </c>
      <c r="BS333" s="290">
        <v>42</v>
      </c>
      <c r="BT333" s="290">
        <v>0</v>
      </c>
      <c r="BU333" s="290">
        <v>0</v>
      </c>
      <c r="BV333" s="290">
        <v>34</v>
      </c>
      <c r="BW333" s="290">
        <v>0</v>
      </c>
      <c r="BX333" s="290">
        <v>0</v>
      </c>
      <c r="BY333" s="290">
        <v>258</v>
      </c>
      <c r="BZ333" s="290">
        <v>357</v>
      </c>
      <c r="CA333" s="290">
        <v>117.64</v>
      </c>
      <c r="CB333" s="290">
        <v>31</v>
      </c>
      <c r="CC333" s="290">
        <v>0</v>
      </c>
      <c r="CD333" s="290">
        <v>0</v>
      </c>
      <c r="CE333" s="290">
        <v>55380.934000000001</v>
      </c>
      <c r="CF333" s="290">
        <v>0</v>
      </c>
      <c r="CG333" s="290">
        <v>0</v>
      </c>
      <c r="CH333" s="290">
        <v>0</v>
      </c>
      <c r="CI333" s="290">
        <v>0</v>
      </c>
      <c r="CJ333" s="290"/>
    </row>
    <row r="334" spans="1:88" ht="13">
      <c r="A334" s="1">
        <v>5418</v>
      </c>
      <c r="B334" s="2" t="s">
        <v>226</v>
      </c>
      <c r="C334" s="289">
        <v>6609</v>
      </c>
      <c r="D334" s="290">
        <v>129</v>
      </c>
      <c r="E334" s="290">
        <v>249</v>
      </c>
      <c r="F334" s="290">
        <v>724</v>
      </c>
      <c r="G334" s="290">
        <v>620</v>
      </c>
      <c r="H334" s="290">
        <v>3695</v>
      </c>
      <c r="I334" s="290">
        <v>817</v>
      </c>
      <c r="J334" s="290">
        <v>300</v>
      </c>
      <c r="K334" s="290">
        <v>75</v>
      </c>
      <c r="L334" s="290">
        <v>50</v>
      </c>
      <c r="M334" s="290">
        <v>547</v>
      </c>
      <c r="N334" s="290">
        <v>59</v>
      </c>
      <c r="O334" s="290">
        <v>43</v>
      </c>
      <c r="P334" s="624">
        <v>79375.331333330003</v>
      </c>
      <c r="Q334" s="624">
        <v>33444.973666669997</v>
      </c>
      <c r="R334" s="1039">
        <v>32</v>
      </c>
      <c r="S334" s="290">
        <v>0</v>
      </c>
      <c r="T334" s="290">
        <v>542</v>
      </c>
      <c r="U334" s="958">
        <v>2.7830146233381748E-3</v>
      </c>
      <c r="V334" s="290">
        <v>-625.72043025000005</v>
      </c>
      <c r="W334" s="765">
        <v>0.82693879000000003</v>
      </c>
      <c r="X334" s="290">
        <v>1940</v>
      </c>
      <c r="Y334" s="290"/>
      <c r="Z334" s="290">
        <v>207409.057</v>
      </c>
      <c r="AA334" s="290">
        <v>0</v>
      </c>
      <c r="AB334" s="290">
        <v>157</v>
      </c>
      <c r="AC334" s="290">
        <v>334</v>
      </c>
      <c r="AD334" s="290">
        <v>149</v>
      </c>
      <c r="AE334" s="290">
        <v>0</v>
      </c>
      <c r="AF334" s="290">
        <v>0</v>
      </c>
      <c r="AG334" s="290">
        <v>6609</v>
      </c>
      <c r="AH334" s="290">
        <v>1066</v>
      </c>
      <c r="AI334" s="290">
        <v>2289.866</v>
      </c>
      <c r="AJ334" s="290">
        <v>0</v>
      </c>
      <c r="AK334" s="290">
        <v>0</v>
      </c>
      <c r="AL334" s="290">
        <v>23705</v>
      </c>
      <c r="AM334" s="957">
        <v>4.0976190000000003E-2</v>
      </c>
      <c r="AN334" s="290">
        <v>0</v>
      </c>
      <c r="AO334" s="290">
        <v>-1801.07001386</v>
      </c>
      <c r="AP334" s="290">
        <v>0</v>
      </c>
      <c r="AQ334" s="290">
        <v>0</v>
      </c>
      <c r="AR334" s="290">
        <v>-249.59874042999999</v>
      </c>
      <c r="AS334" s="290">
        <v>536.20100000000002</v>
      </c>
      <c r="AT334" s="290">
        <v>288</v>
      </c>
      <c r="AU334" s="290">
        <v>41</v>
      </c>
      <c r="AV334" s="766">
        <v>224764</v>
      </c>
      <c r="AW334" s="290">
        <v>0</v>
      </c>
      <c r="AX334" s="766">
        <v>52.458300000000001</v>
      </c>
      <c r="AY334" s="290">
        <v>1420</v>
      </c>
      <c r="AZ334" s="290">
        <v>153</v>
      </c>
      <c r="BA334" s="290">
        <v>140</v>
      </c>
      <c r="BB334" s="290">
        <v>0</v>
      </c>
      <c r="BC334" s="290">
        <v>9612.0334561599993</v>
      </c>
      <c r="BD334" s="290"/>
      <c r="BE334" s="290">
        <v>214722.75743120999</v>
      </c>
      <c r="BF334" s="290">
        <v>0</v>
      </c>
      <c r="BG334" s="290">
        <v>5410</v>
      </c>
      <c r="BH334" s="290">
        <v>1000</v>
      </c>
      <c r="BI334" s="290">
        <v>1549</v>
      </c>
      <c r="BJ334" s="290">
        <v>79</v>
      </c>
      <c r="BK334" s="290">
        <v>231</v>
      </c>
      <c r="BL334" s="290">
        <v>0</v>
      </c>
      <c r="BM334" s="290">
        <v>0</v>
      </c>
      <c r="BN334" s="290">
        <v>144</v>
      </c>
      <c r="BO334" s="290">
        <v>-46</v>
      </c>
      <c r="BP334" s="290">
        <v>613</v>
      </c>
      <c r="BQ334" s="290">
        <v>1226</v>
      </c>
      <c r="BR334" s="290">
        <v>928</v>
      </c>
      <c r="BS334" s="290">
        <v>112</v>
      </c>
      <c r="BT334" s="290">
        <v>0</v>
      </c>
      <c r="BU334" s="290">
        <v>0</v>
      </c>
      <c r="BV334" s="290">
        <v>133</v>
      </c>
      <c r="BW334" s="290">
        <v>0</v>
      </c>
      <c r="BX334" s="290">
        <v>0</v>
      </c>
      <c r="BY334" s="290">
        <v>712</v>
      </c>
      <c r="BZ334" s="290">
        <v>688</v>
      </c>
      <c r="CA334" s="290">
        <v>344.017</v>
      </c>
      <c r="CB334" s="290">
        <v>68</v>
      </c>
      <c r="CC334" s="290">
        <v>0</v>
      </c>
      <c r="CD334" s="290">
        <v>0</v>
      </c>
      <c r="CE334" s="290">
        <v>207409.057</v>
      </c>
      <c r="CF334" s="290">
        <v>0</v>
      </c>
      <c r="CG334" s="290">
        <v>0</v>
      </c>
      <c r="CH334" s="290">
        <v>0</v>
      </c>
      <c r="CI334" s="290">
        <v>0</v>
      </c>
      <c r="CJ334" s="290"/>
    </row>
    <row r="335" spans="1:88" ht="13">
      <c r="A335" s="1">
        <v>5419</v>
      </c>
      <c r="B335" s="2" t="s">
        <v>227</v>
      </c>
      <c r="C335" s="289">
        <v>3465</v>
      </c>
      <c r="D335" s="290">
        <v>65</v>
      </c>
      <c r="E335" s="290">
        <v>130</v>
      </c>
      <c r="F335" s="290">
        <v>399</v>
      </c>
      <c r="G335" s="290">
        <v>353</v>
      </c>
      <c r="H335" s="290">
        <v>1887</v>
      </c>
      <c r="I335" s="290">
        <v>460</v>
      </c>
      <c r="J335" s="290">
        <v>143</v>
      </c>
      <c r="K335" s="290">
        <v>32</v>
      </c>
      <c r="L335" s="290">
        <v>27</v>
      </c>
      <c r="M335" s="290">
        <v>293</v>
      </c>
      <c r="N335" s="290">
        <v>32</v>
      </c>
      <c r="O335" s="290">
        <v>30</v>
      </c>
      <c r="P335" s="624">
        <v>14096.196333329999</v>
      </c>
      <c r="Q335" s="624">
        <v>10066.555333329999</v>
      </c>
      <c r="R335" s="1039">
        <v>10</v>
      </c>
      <c r="S335" s="290">
        <v>0</v>
      </c>
      <c r="T335" s="290">
        <v>279</v>
      </c>
      <c r="U335" s="958">
        <v>9.5813527048656158E-4</v>
      </c>
      <c r="V335" s="290">
        <v>1411.4752338200001</v>
      </c>
      <c r="W335" s="765">
        <v>0.71424958000000005</v>
      </c>
      <c r="X335" s="290">
        <v>435</v>
      </c>
      <c r="Y335" s="290"/>
      <c r="Z335" s="290">
        <v>101330.74</v>
      </c>
      <c r="AA335" s="290">
        <v>0</v>
      </c>
      <c r="AB335" s="290">
        <v>73</v>
      </c>
      <c r="AC335" s="290">
        <v>177</v>
      </c>
      <c r="AD335" s="290">
        <v>77</v>
      </c>
      <c r="AE335" s="290">
        <v>0</v>
      </c>
      <c r="AF335" s="290">
        <v>0</v>
      </c>
      <c r="AG335" s="290">
        <v>3469</v>
      </c>
      <c r="AH335" s="290">
        <v>593</v>
      </c>
      <c r="AI335" s="290">
        <v>170</v>
      </c>
      <c r="AJ335" s="290">
        <v>0</v>
      </c>
      <c r="AK335" s="290">
        <v>0</v>
      </c>
      <c r="AL335" s="290">
        <v>12366</v>
      </c>
      <c r="AM335" s="957">
        <v>4.9453570000000002E-2</v>
      </c>
      <c r="AN335" s="290">
        <v>0</v>
      </c>
      <c r="AO335" s="290">
        <v>-917.92136457000004</v>
      </c>
      <c r="AP335" s="290">
        <v>0</v>
      </c>
      <c r="AQ335" s="290">
        <v>0</v>
      </c>
      <c r="AR335" s="290">
        <v>411.30527855000003</v>
      </c>
      <c r="AS335" s="290">
        <v>289.08600000000001</v>
      </c>
      <c r="AT335" s="290">
        <v>152</v>
      </c>
      <c r="AU335" s="290">
        <v>32</v>
      </c>
      <c r="AV335" s="766">
        <v>115282</v>
      </c>
      <c r="AW335" s="290">
        <v>0</v>
      </c>
      <c r="AX335" s="766">
        <v>30.125050000000002</v>
      </c>
      <c r="AY335" s="290">
        <v>671</v>
      </c>
      <c r="AZ335" s="290">
        <v>122</v>
      </c>
      <c r="BA335" s="290">
        <v>76</v>
      </c>
      <c r="BB335" s="290">
        <v>0</v>
      </c>
      <c r="BC335" s="290">
        <v>5175.7787950000002</v>
      </c>
      <c r="BD335" s="290"/>
      <c r="BE335" s="290">
        <v>107775.22473611</v>
      </c>
      <c r="BF335" s="290">
        <v>0</v>
      </c>
      <c r="BG335" s="290">
        <v>2840</v>
      </c>
      <c r="BH335" s="290">
        <v>1000</v>
      </c>
      <c r="BI335" s="290">
        <v>847</v>
      </c>
      <c r="BJ335" s="290">
        <v>40</v>
      </c>
      <c r="BK335" s="290">
        <v>121</v>
      </c>
      <c r="BL335" s="290">
        <v>0</v>
      </c>
      <c r="BM335" s="290">
        <v>0</v>
      </c>
      <c r="BN335" s="290">
        <v>76</v>
      </c>
      <c r="BO335" s="290">
        <v>-25</v>
      </c>
      <c r="BP335" s="290">
        <v>321</v>
      </c>
      <c r="BQ335" s="290">
        <v>643</v>
      </c>
      <c r="BR335" s="290">
        <v>487</v>
      </c>
      <c r="BS335" s="290">
        <v>58</v>
      </c>
      <c r="BT335" s="290">
        <v>0</v>
      </c>
      <c r="BU335" s="290">
        <v>0</v>
      </c>
      <c r="BV335" s="290">
        <v>70</v>
      </c>
      <c r="BW335" s="290">
        <v>0</v>
      </c>
      <c r="BX335" s="290">
        <v>0</v>
      </c>
      <c r="BY335" s="290">
        <v>377</v>
      </c>
      <c r="BZ335" s="290">
        <v>179</v>
      </c>
      <c r="CA335" s="290">
        <v>175.32900000000001</v>
      </c>
      <c r="CB335" s="290">
        <v>40</v>
      </c>
      <c r="CC335" s="290">
        <v>0</v>
      </c>
      <c r="CD335" s="290">
        <v>0</v>
      </c>
      <c r="CE335" s="290">
        <v>101330.74</v>
      </c>
      <c r="CF335" s="290">
        <v>0</v>
      </c>
      <c r="CG335" s="290">
        <v>0</v>
      </c>
      <c r="CH335" s="290">
        <v>0</v>
      </c>
      <c r="CI335" s="290">
        <v>0</v>
      </c>
      <c r="CJ335" s="290"/>
    </row>
    <row r="336" spans="1:88" ht="13">
      <c r="A336" s="1">
        <v>5420</v>
      </c>
      <c r="B336" s="2" t="s">
        <v>228</v>
      </c>
      <c r="C336" s="289">
        <v>1063</v>
      </c>
      <c r="D336" s="290">
        <v>10</v>
      </c>
      <c r="E336" s="290">
        <v>25</v>
      </c>
      <c r="F336" s="290">
        <v>110</v>
      </c>
      <c r="G336" s="290">
        <v>89</v>
      </c>
      <c r="H336" s="290">
        <v>578</v>
      </c>
      <c r="I336" s="290">
        <v>205</v>
      </c>
      <c r="J336" s="290">
        <v>54</v>
      </c>
      <c r="K336" s="290">
        <v>15</v>
      </c>
      <c r="L336" s="290">
        <v>11</v>
      </c>
      <c r="M336" s="290">
        <v>158</v>
      </c>
      <c r="N336" s="290">
        <v>3</v>
      </c>
      <c r="O336" s="290">
        <v>6</v>
      </c>
      <c r="P336" s="624">
        <v>5598.4033333300004</v>
      </c>
      <c r="Q336" s="624">
        <v>6646.1769999999997</v>
      </c>
      <c r="R336" s="1039">
        <v>7</v>
      </c>
      <c r="S336" s="290">
        <v>0</v>
      </c>
      <c r="T336" s="290">
        <v>107</v>
      </c>
      <c r="U336" s="958">
        <v>8.9834691649349173E-4</v>
      </c>
      <c r="V336" s="290">
        <v>752.22181931</v>
      </c>
      <c r="W336" s="765">
        <v>0.99064165999999998</v>
      </c>
      <c r="X336" s="290">
        <v>1324</v>
      </c>
      <c r="Y336" s="290"/>
      <c r="Z336" s="290">
        <v>28130.851999999999</v>
      </c>
      <c r="AA336" s="290">
        <v>0</v>
      </c>
      <c r="AB336" s="290">
        <v>39</v>
      </c>
      <c r="AC336" s="290">
        <v>60</v>
      </c>
      <c r="AD336" s="290">
        <v>39</v>
      </c>
      <c r="AE336" s="290">
        <v>0</v>
      </c>
      <c r="AF336" s="290">
        <v>0</v>
      </c>
      <c r="AG336" s="290">
        <v>1086</v>
      </c>
      <c r="AH336" s="290">
        <v>147</v>
      </c>
      <c r="AI336" s="290">
        <v>0</v>
      </c>
      <c r="AJ336" s="290">
        <v>0</v>
      </c>
      <c r="AK336" s="290">
        <v>0</v>
      </c>
      <c r="AL336" s="290">
        <v>3866</v>
      </c>
      <c r="AM336" s="957">
        <v>1.484795E-2</v>
      </c>
      <c r="AN336" s="290">
        <v>0</v>
      </c>
      <c r="AO336" s="290">
        <v>-376.51442481999999</v>
      </c>
      <c r="AP336" s="290">
        <v>0</v>
      </c>
      <c r="AQ336" s="290">
        <v>0</v>
      </c>
      <c r="AR336" s="290">
        <v>3516.4514536400002</v>
      </c>
      <c r="AS336" s="290">
        <v>97.655000000000001</v>
      </c>
      <c r="AT336" s="290">
        <v>43</v>
      </c>
      <c r="AU336" s="290">
        <v>9</v>
      </c>
      <c r="AV336" s="766">
        <v>67273</v>
      </c>
      <c r="AW336" s="290">
        <v>0</v>
      </c>
      <c r="AX336" s="766">
        <v>2.3332999999999999</v>
      </c>
      <c r="AY336" s="290">
        <v>191</v>
      </c>
      <c r="AZ336" s="290">
        <v>45</v>
      </c>
      <c r="BA336" s="290">
        <v>18</v>
      </c>
      <c r="BB336" s="290">
        <v>6034</v>
      </c>
      <c r="BC336" s="290">
        <v>2259.7625018200001</v>
      </c>
      <c r="BD336" s="290"/>
      <c r="BE336" s="290">
        <v>60884.654372160003</v>
      </c>
      <c r="BF336" s="290">
        <v>0</v>
      </c>
      <c r="BG336" s="290">
        <v>889</v>
      </c>
      <c r="BH336" s="290">
        <v>500</v>
      </c>
      <c r="BI336" s="290">
        <v>246</v>
      </c>
      <c r="BJ336" s="290">
        <v>13</v>
      </c>
      <c r="BK336" s="290">
        <v>22</v>
      </c>
      <c r="BL336" s="290">
        <v>0</v>
      </c>
      <c r="BM336" s="290">
        <v>0</v>
      </c>
      <c r="BN336" s="290">
        <v>14</v>
      </c>
      <c r="BO336" s="290">
        <v>-9</v>
      </c>
      <c r="BP336" s="290">
        <v>99</v>
      </c>
      <c r="BQ336" s="290">
        <v>197</v>
      </c>
      <c r="BR336" s="290">
        <v>149</v>
      </c>
      <c r="BS336" s="290">
        <v>29</v>
      </c>
      <c r="BT336" s="290">
        <v>0</v>
      </c>
      <c r="BU336" s="290">
        <v>0</v>
      </c>
      <c r="BV336" s="290">
        <v>13</v>
      </c>
      <c r="BW336" s="290">
        <v>0</v>
      </c>
      <c r="BX336" s="290">
        <v>0</v>
      </c>
      <c r="BY336" s="290">
        <v>145</v>
      </c>
      <c r="BZ336" s="290">
        <v>326</v>
      </c>
      <c r="CA336" s="290">
        <v>239.1</v>
      </c>
      <c r="CB336" s="290">
        <v>23</v>
      </c>
      <c r="CC336" s="290">
        <v>0</v>
      </c>
      <c r="CD336" s="290">
        <v>0</v>
      </c>
      <c r="CE336" s="290">
        <v>28130.851999999999</v>
      </c>
      <c r="CF336" s="290">
        <v>0</v>
      </c>
      <c r="CG336" s="290">
        <v>0</v>
      </c>
      <c r="CH336" s="290">
        <v>0</v>
      </c>
      <c r="CI336" s="290">
        <v>0</v>
      </c>
      <c r="CJ336" s="290"/>
    </row>
    <row r="337" spans="1:88" ht="13">
      <c r="A337" s="1">
        <v>5421</v>
      </c>
      <c r="B337" s="2" t="s">
        <v>1650</v>
      </c>
      <c r="C337" s="289">
        <v>14725</v>
      </c>
      <c r="D337" s="290">
        <v>249</v>
      </c>
      <c r="E337" s="290">
        <v>586</v>
      </c>
      <c r="F337" s="290">
        <v>1816</v>
      </c>
      <c r="G337" s="290">
        <v>1334</v>
      </c>
      <c r="H337" s="290">
        <v>7958</v>
      </c>
      <c r="I337" s="290">
        <v>2033</v>
      </c>
      <c r="J337" s="290">
        <v>648</v>
      </c>
      <c r="K337" s="290">
        <v>143</v>
      </c>
      <c r="L337" s="290">
        <v>126</v>
      </c>
      <c r="M337" s="290">
        <v>1338</v>
      </c>
      <c r="N337" s="290">
        <v>249</v>
      </c>
      <c r="O337" s="290">
        <v>187</v>
      </c>
      <c r="P337" s="624">
        <v>236431.94633333001</v>
      </c>
      <c r="Q337" s="624">
        <v>63204.539333330002</v>
      </c>
      <c r="R337" s="1039">
        <v>104</v>
      </c>
      <c r="S337" s="290">
        <v>0</v>
      </c>
      <c r="T337" s="290">
        <v>1289</v>
      </c>
      <c r="U337" s="958">
        <v>3.2672978440742486E-3</v>
      </c>
      <c r="V337" s="290">
        <v>-3207.54966216</v>
      </c>
      <c r="W337" s="765">
        <v>0.81870889999999996</v>
      </c>
      <c r="X337" s="290">
        <v>3806</v>
      </c>
      <c r="Y337" s="290"/>
      <c r="Z337" s="290">
        <v>449655.02600000001</v>
      </c>
      <c r="AA337" s="290">
        <v>0</v>
      </c>
      <c r="AB337" s="290">
        <v>402</v>
      </c>
      <c r="AC337" s="290">
        <v>831</v>
      </c>
      <c r="AD337" s="290">
        <v>325</v>
      </c>
      <c r="AE337" s="290">
        <v>0</v>
      </c>
      <c r="AF337" s="290">
        <v>64132</v>
      </c>
      <c r="AG337" s="290">
        <v>14767</v>
      </c>
      <c r="AH337" s="290">
        <v>2566</v>
      </c>
      <c r="AI337" s="290">
        <v>4216</v>
      </c>
      <c r="AJ337" s="290">
        <v>0</v>
      </c>
      <c r="AK337" s="290">
        <v>230</v>
      </c>
      <c r="AL337" s="290">
        <v>53018</v>
      </c>
      <c r="AM337" s="957">
        <v>0.28874105999999999</v>
      </c>
      <c r="AN337" s="290">
        <v>0</v>
      </c>
      <c r="AO337" s="290">
        <v>-4261.59237011</v>
      </c>
      <c r="AP337" s="290">
        <v>0</v>
      </c>
      <c r="AQ337" s="290">
        <v>0</v>
      </c>
      <c r="AR337" s="290">
        <v>-557.69777575000001</v>
      </c>
      <c r="AS337" s="290">
        <v>1375.895</v>
      </c>
      <c r="AT337" s="290">
        <v>748</v>
      </c>
      <c r="AU337" s="290">
        <v>111</v>
      </c>
      <c r="AV337" s="766">
        <v>620482</v>
      </c>
      <c r="AW337" s="290">
        <v>0</v>
      </c>
      <c r="AX337" s="766">
        <v>69.5</v>
      </c>
      <c r="AY337" s="290">
        <v>2598</v>
      </c>
      <c r="AZ337" s="290">
        <v>767</v>
      </c>
      <c r="BA337" s="290">
        <v>403</v>
      </c>
      <c r="BB337" s="290">
        <v>0</v>
      </c>
      <c r="BC337" s="290">
        <v>84846.263321079998</v>
      </c>
      <c r="BD337" s="290"/>
      <c r="BE337" s="290">
        <v>598766.51629609999</v>
      </c>
      <c r="BF337" s="290">
        <v>0</v>
      </c>
      <c r="BG337" s="290">
        <v>12088</v>
      </c>
      <c r="BH337" s="290">
        <v>1000</v>
      </c>
      <c r="BI337" s="290">
        <v>68084</v>
      </c>
      <c r="BJ337" s="290">
        <v>173</v>
      </c>
      <c r="BK337" s="290">
        <v>500</v>
      </c>
      <c r="BL337" s="290">
        <v>0</v>
      </c>
      <c r="BM337" s="290">
        <v>4384</v>
      </c>
      <c r="BN337" s="290">
        <v>313</v>
      </c>
      <c r="BO337" s="290">
        <v>-121</v>
      </c>
      <c r="BP337" s="290">
        <v>1366</v>
      </c>
      <c r="BQ337" s="290">
        <v>2731</v>
      </c>
      <c r="BR337" s="290">
        <v>2068</v>
      </c>
      <c r="BS337" s="290">
        <v>244</v>
      </c>
      <c r="BT337" s="290">
        <v>0</v>
      </c>
      <c r="BU337" s="290">
        <v>0</v>
      </c>
      <c r="BV337" s="290">
        <v>288</v>
      </c>
      <c r="BW337" s="290">
        <v>0</v>
      </c>
      <c r="BX337" s="290">
        <v>0</v>
      </c>
      <c r="BY337" s="290">
        <v>1663</v>
      </c>
      <c r="BZ337" s="290">
        <v>1445</v>
      </c>
      <c r="CA337" s="290">
        <v>2731</v>
      </c>
      <c r="CB337" s="290">
        <v>138</v>
      </c>
      <c r="CC337" s="290">
        <v>1</v>
      </c>
      <c r="CD337" s="290">
        <v>0</v>
      </c>
      <c r="CE337" s="290">
        <v>449655.02600000001</v>
      </c>
      <c r="CF337" s="290">
        <v>230.51671427149182</v>
      </c>
      <c r="CG337" s="290">
        <v>218.58711596477167</v>
      </c>
      <c r="CH337" s="290">
        <v>204.60341839592638</v>
      </c>
      <c r="CI337" s="290">
        <v>189.0800682653354</v>
      </c>
      <c r="CJ337" s="290"/>
    </row>
    <row r="338" spans="1:88" ht="13">
      <c r="A338" s="1">
        <v>5422</v>
      </c>
      <c r="B338" s="2" t="s">
        <v>233</v>
      </c>
      <c r="C338" s="289">
        <v>5559</v>
      </c>
      <c r="D338" s="290">
        <v>93</v>
      </c>
      <c r="E338" s="290">
        <v>187</v>
      </c>
      <c r="F338" s="290">
        <v>610</v>
      </c>
      <c r="G338" s="290">
        <v>471</v>
      </c>
      <c r="H338" s="290">
        <v>3009</v>
      </c>
      <c r="I338" s="290">
        <v>848</v>
      </c>
      <c r="J338" s="290">
        <v>310</v>
      </c>
      <c r="K338" s="290">
        <v>56</v>
      </c>
      <c r="L338" s="290">
        <v>53</v>
      </c>
      <c r="M338" s="290">
        <v>604</v>
      </c>
      <c r="N338" s="290">
        <v>5</v>
      </c>
      <c r="O338" s="290">
        <v>44</v>
      </c>
      <c r="P338" s="624">
        <v>92283.044666670001</v>
      </c>
      <c r="Q338" s="624">
        <v>28163.47066667</v>
      </c>
      <c r="R338" s="1039">
        <v>34</v>
      </c>
      <c r="S338" s="290">
        <v>0</v>
      </c>
      <c r="T338" s="290">
        <v>530</v>
      </c>
      <c r="U338" s="958">
        <v>4.2490031090899119E-3</v>
      </c>
      <c r="V338" s="290">
        <v>1369.32282979</v>
      </c>
      <c r="W338" s="765">
        <v>0.93999767000000001</v>
      </c>
      <c r="X338" s="290">
        <v>1108</v>
      </c>
      <c r="Y338" s="290"/>
      <c r="Z338" s="290">
        <v>148285.033</v>
      </c>
      <c r="AA338" s="290">
        <v>0</v>
      </c>
      <c r="AB338" s="290">
        <v>144</v>
      </c>
      <c r="AC338" s="290">
        <v>291</v>
      </c>
      <c r="AD338" s="290">
        <v>138</v>
      </c>
      <c r="AE338" s="290">
        <v>0</v>
      </c>
      <c r="AF338" s="290">
        <v>0</v>
      </c>
      <c r="AG338" s="290">
        <v>5584</v>
      </c>
      <c r="AH338" s="290">
        <v>848</v>
      </c>
      <c r="AI338" s="290">
        <v>247</v>
      </c>
      <c r="AJ338" s="290">
        <v>0</v>
      </c>
      <c r="AK338" s="290">
        <v>0</v>
      </c>
      <c r="AL338" s="290">
        <v>19846</v>
      </c>
      <c r="AM338" s="957">
        <v>5.5404290000000002E-2</v>
      </c>
      <c r="AN338" s="290">
        <v>0</v>
      </c>
      <c r="AO338" s="290">
        <v>-1636.8156104100001</v>
      </c>
      <c r="AP338" s="290">
        <v>0</v>
      </c>
      <c r="AQ338" s="290">
        <v>0</v>
      </c>
      <c r="AR338" s="290">
        <v>-210.88808693999999</v>
      </c>
      <c r="AS338" s="290">
        <v>456.84100000000001</v>
      </c>
      <c r="AT338" s="290">
        <v>263</v>
      </c>
      <c r="AU338" s="290">
        <v>35</v>
      </c>
      <c r="AV338" s="766">
        <v>218977</v>
      </c>
      <c r="AW338" s="290">
        <v>0</v>
      </c>
      <c r="AX338" s="766">
        <v>34.708300000000001</v>
      </c>
      <c r="AY338" s="290">
        <v>814</v>
      </c>
      <c r="AZ338" s="290">
        <v>186</v>
      </c>
      <c r="BA338" s="290">
        <v>111</v>
      </c>
      <c r="BB338" s="290">
        <v>0</v>
      </c>
      <c r="BC338" s="290">
        <v>8230.9324442399993</v>
      </c>
      <c r="BD338" s="290"/>
      <c r="BE338" s="290">
        <v>207920.99784731001</v>
      </c>
      <c r="BF338" s="290">
        <v>0</v>
      </c>
      <c r="BG338" s="290">
        <v>4571</v>
      </c>
      <c r="BH338" s="290">
        <v>1000</v>
      </c>
      <c r="BI338" s="290">
        <v>1277</v>
      </c>
      <c r="BJ338" s="290">
        <v>64</v>
      </c>
      <c r="BK338" s="290">
        <v>167</v>
      </c>
      <c r="BL338" s="290">
        <v>0</v>
      </c>
      <c r="BM338" s="290">
        <v>0</v>
      </c>
      <c r="BN338" s="290">
        <v>104</v>
      </c>
      <c r="BO338" s="290">
        <v>-40</v>
      </c>
      <c r="BP338" s="290">
        <v>516</v>
      </c>
      <c r="BQ338" s="290">
        <v>1031</v>
      </c>
      <c r="BR338" s="290">
        <v>781</v>
      </c>
      <c r="BS338" s="290">
        <v>103</v>
      </c>
      <c r="BT338" s="290">
        <v>0</v>
      </c>
      <c r="BU338" s="290">
        <v>0</v>
      </c>
      <c r="BV338" s="290">
        <v>96</v>
      </c>
      <c r="BW338" s="290">
        <v>0</v>
      </c>
      <c r="BX338" s="290">
        <v>0</v>
      </c>
      <c r="BY338" s="290">
        <v>667</v>
      </c>
      <c r="BZ338" s="290">
        <v>903</v>
      </c>
      <c r="CA338" s="290">
        <v>312.64299999999997</v>
      </c>
      <c r="CB338" s="290">
        <v>61</v>
      </c>
      <c r="CC338" s="290">
        <v>0</v>
      </c>
      <c r="CD338" s="290">
        <v>0</v>
      </c>
      <c r="CE338" s="290">
        <v>148285.033</v>
      </c>
      <c r="CF338" s="290">
        <v>0</v>
      </c>
      <c r="CG338" s="290">
        <v>0</v>
      </c>
      <c r="CH338" s="290">
        <v>0</v>
      </c>
      <c r="CI338" s="290">
        <v>0</v>
      </c>
      <c r="CJ338" s="290"/>
    </row>
    <row r="339" spans="1:88" ht="13">
      <c r="A339" s="1">
        <v>5423</v>
      </c>
      <c r="B339" s="2" t="s">
        <v>234</v>
      </c>
      <c r="C339" s="289">
        <v>2172</v>
      </c>
      <c r="D339" s="290">
        <v>33</v>
      </c>
      <c r="E339" s="290">
        <v>64</v>
      </c>
      <c r="F339" s="290">
        <v>179</v>
      </c>
      <c r="G339" s="290">
        <v>148</v>
      </c>
      <c r="H339" s="290">
        <v>1209</v>
      </c>
      <c r="I339" s="290">
        <v>407</v>
      </c>
      <c r="J339" s="290">
        <v>139</v>
      </c>
      <c r="K339" s="290">
        <v>20</v>
      </c>
      <c r="L339" s="290">
        <v>18</v>
      </c>
      <c r="M339" s="290">
        <v>282</v>
      </c>
      <c r="N339" s="290">
        <v>8</v>
      </c>
      <c r="O339" s="290">
        <v>22</v>
      </c>
      <c r="P339" s="624">
        <v>64058.567000000003</v>
      </c>
      <c r="Q339" s="624">
        <v>15376.328</v>
      </c>
      <c r="R339" s="1039">
        <v>16</v>
      </c>
      <c r="S339" s="290">
        <v>0</v>
      </c>
      <c r="T339" s="290">
        <v>204</v>
      </c>
      <c r="U339" s="958">
        <v>1.0665663645660281E-3</v>
      </c>
      <c r="V339" s="290">
        <v>-1545.6572513900001</v>
      </c>
      <c r="W339" s="765">
        <v>1</v>
      </c>
      <c r="X339" s="290">
        <v>881</v>
      </c>
      <c r="Y339" s="290"/>
      <c r="Z339" s="290">
        <v>63205.745999999999</v>
      </c>
      <c r="AA339" s="290">
        <v>0</v>
      </c>
      <c r="AB339" s="290">
        <v>47</v>
      </c>
      <c r="AC339" s="290">
        <v>107</v>
      </c>
      <c r="AD339" s="290">
        <v>71</v>
      </c>
      <c r="AE339" s="290">
        <v>0</v>
      </c>
      <c r="AF339" s="290">
        <v>0</v>
      </c>
      <c r="AG339" s="290">
        <v>2199</v>
      </c>
      <c r="AH339" s="290">
        <v>259</v>
      </c>
      <c r="AI339" s="290">
        <v>622</v>
      </c>
      <c r="AJ339" s="290">
        <v>0</v>
      </c>
      <c r="AK339" s="290">
        <v>0</v>
      </c>
      <c r="AL339" s="290">
        <v>9253</v>
      </c>
      <c r="AM339" s="957">
        <v>3.0892559999999999E-2</v>
      </c>
      <c r="AN339" s="290">
        <v>0</v>
      </c>
      <c r="AO339" s="290">
        <v>-706.32835512999998</v>
      </c>
      <c r="AP339" s="290">
        <v>0</v>
      </c>
      <c r="AQ339" s="290">
        <v>0</v>
      </c>
      <c r="AR339" s="290">
        <v>-83.048514179999998</v>
      </c>
      <c r="AS339" s="290">
        <v>169.37950000000001</v>
      </c>
      <c r="AT339" s="290">
        <v>89</v>
      </c>
      <c r="AU339" s="290">
        <v>16</v>
      </c>
      <c r="AV339" s="766">
        <v>112072</v>
      </c>
      <c r="AW339" s="290">
        <v>0</v>
      </c>
      <c r="AX339" s="766">
        <v>17.208349999999999</v>
      </c>
      <c r="AY339" s="290">
        <v>298</v>
      </c>
      <c r="AZ339" s="290">
        <v>105</v>
      </c>
      <c r="BA339" s="290">
        <v>40</v>
      </c>
      <c r="BB339" s="290">
        <v>13068</v>
      </c>
      <c r="BC339" s="290">
        <v>3676.1472250800002</v>
      </c>
      <c r="BD339" s="290"/>
      <c r="BE339" s="290">
        <v>108279.65542674001</v>
      </c>
      <c r="BF339" s="290">
        <v>0</v>
      </c>
      <c r="BG339" s="290">
        <v>1800</v>
      </c>
      <c r="BH339" s="290">
        <v>500</v>
      </c>
      <c r="BI339" s="290">
        <v>437</v>
      </c>
      <c r="BJ339" s="290">
        <v>26</v>
      </c>
      <c r="BK339" s="290">
        <v>60</v>
      </c>
      <c r="BL339" s="290">
        <v>0</v>
      </c>
      <c r="BM339" s="290">
        <v>0</v>
      </c>
      <c r="BN339" s="290">
        <v>38</v>
      </c>
      <c r="BO339" s="290">
        <v>-16</v>
      </c>
      <c r="BP339" s="290">
        <v>201</v>
      </c>
      <c r="BQ339" s="290">
        <v>403</v>
      </c>
      <c r="BR339" s="290">
        <v>305</v>
      </c>
      <c r="BS339" s="290">
        <v>53</v>
      </c>
      <c r="BT339" s="290">
        <v>0</v>
      </c>
      <c r="BU339" s="290">
        <v>0</v>
      </c>
      <c r="BV339" s="290">
        <v>35</v>
      </c>
      <c r="BW339" s="290">
        <v>0</v>
      </c>
      <c r="BX339" s="290">
        <v>0</v>
      </c>
      <c r="BY339" s="290">
        <v>286</v>
      </c>
      <c r="BZ339" s="290">
        <v>624</v>
      </c>
      <c r="CA339" s="290">
        <v>134.91399999999999</v>
      </c>
      <c r="CB339" s="290">
        <v>33</v>
      </c>
      <c r="CC339" s="290">
        <v>0</v>
      </c>
      <c r="CD339" s="290">
        <v>0</v>
      </c>
      <c r="CE339" s="290">
        <v>63205.745999999999</v>
      </c>
      <c r="CF339" s="290">
        <v>0</v>
      </c>
      <c r="CG339" s="290">
        <v>0</v>
      </c>
      <c r="CH339" s="290">
        <v>0</v>
      </c>
      <c r="CI339" s="290">
        <v>0</v>
      </c>
      <c r="CJ339" s="290"/>
    </row>
    <row r="340" spans="1:88" ht="13">
      <c r="A340" s="1">
        <v>5424</v>
      </c>
      <c r="B340" s="2" t="s">
        <v>235</v>
      </c>
      <c r="C340" s="289">
        <v>2773</v>
      </c>
      <c r="D340" s="290">
        <v>30</v>
      </c>
      <c r="E340" s="290">
        <v>84</v>
      </c>
      <c r="F340" s="290">
        <v>273</v>
      </c>
      <c r="G340" s="290">
        <v>262</v>
      </c>
      <c r="H340" s="290">
        <v>1405</v>
      </c>
      <c r="I340" s="290">
        <v>490</v>
      </c>
      <c r="J340" s="290">
        <v>176</v>
      </c>
      <c r="K340" s="290">
        <v>38</v>
      </c>
      <c r="L340" s="290">
        <v>21</v>
      </c>
      <c r="M340" s="290">
        <v>333</v>
      </c>
      <c r="N340" s="290">
        <v>8</v>
      </c>
      <c r="O340" s="290">
        <v>9</v>
      </c>
      <c r="P340" s="624">
        <v>52816.29833333</v>
      </c>
      <c r="Q340" s="624">
        <v>13475.115666670001</v>
      </c>
      <c r="R340" s="1039">
        <v>32</v>
      </c>
      <c r="S340" s="290">
        <v>0</v>
      </c>
      <c r="T340" s="290">
        <v>247</v>
      </c>
      <c r="U340" s="958">
        <v>1.5652464824415229E-3</v>
      </c>
      <c r="V340" s="290">
        <v>1819.1539595199999</v>
      </c>
      <c r="W340" s="765">
        <v>1</v>
      </c>
      <c r="X340" s="290">
        <v>1140</v>
      </c>
      <c r="Y340" s="290"/>
      <c r="Z340" s="290">
        <v>73805.577999999994</v>
      </c>
      <c r="AA340" s="290">
        <v>7705</v>
      </c>
      <c r="AB340" s="290">
        <v>81</v>
      </c>
      <c r="AC340" s="290">
        <v>139</v>
      </c>
      <c r="AD340" s="290">
        <v>80</v>
      </c>
      <c r="AE340" s="290">
        <v>0</v>
      </c>
      <c r="AF340" s="290">
        <v>0</v>
      </c>
      <c r="AG340" s="290">
        <v>2758</v>
      </c>
      <c r="AH340" s="290">
        <v>396</v>
      </c>
      <c r="AI340" s="290">
        <v>0</v>
      </c>
      <c r="AJ340" s="290">
        <v>0</v>
      </c>
      <c r="AK340" s="290">
        <v>0</v>
      </c>
      <c r="AL340" s="290">
        <v>11752</v>
      </c>
      <c r="AM340" s="957">
        <v>2.2301729999999999E-2</v>
      </c>
      <c r="AN340" s="290">
        <v>0</v>
      </c>
      <c r="AO340" s="290">
        <v>-910.55283047</v>
      </c>
      <c r="AP340" s="290">
        <v>0</v>
      </c>
      <c r="AQ340" s="290">
        <v>0</v>
      </c>
      <c r="AR340" s="290">
        <v>-104.15998277</v>
      </c>
      <c r="AS340" s="290">
        <v>239.66800000000001</v>
      </c>
      <c r="AT340" s="290">
        <v>119</v>
      </c>
      <c r="AU340" s="290">
        <v>19</v>
      </c>
      <c r="AV340" s="766">
        <v>146229</v>
      </c>
      <c r="AW340" s="290">
        <v>0</v>
      </c>
      <c r="AX340" s="766">
        <v>13.87505</v>
      </c>
      <c r="AY340" s="290">
        <v>454</v>
      </c>
      <c r="AZ340" s="290">
        <v>77</v>
      </c>
      <c r="BA340" s="290">
        <v>60</v>
      </c>
      <c r="BB340" s="290">
        <v>13068</v>
      </c>
      <c r="BC340" s="290">
        <v>4762.5330777299996</v>
      </c>
      <c r="BD340" s="290"/>
      <c r="BE340" s="290">
        <v>141923.81292271</v>
      </c>
      <c r="BF340" s="290">
        <v>0</v>
      </c>
      <c r="BG340" s="290">
        <v>2258</v>
      </c>
      <c r="BH340" s="290">
        <v>500</v>
      </c>
      <c r="BI340" s="290">
        <v>615</v>
      </c>
      <c r="BJ340" s="290">
        <v>33</v>
      </c>
      <c r="BK340" s="290">
        <v>75</v>
      </c>
      <c r="BL340" s="290">
        <v>0</v>
      </c>
      <c r="BM340" s="290">
        <v>0</v>
      </c>
      <c r="BN340" s="290">
        <v>47</v>
      </c>
      <c r="BO340" s="290">
        <v>-20</v>
      </c>
      <c r="BP340" s="290">
        <v>257</v>
      </c>
      <c r="BQ340" s="290">
        <v>514</v>
      </c>
      <c r="BR340" s="290">
        <v>389</v>
      </c>
      <c r="BS340" s="290">
        <v>60</v>
      </c>
      <c r="BT340" s="290">
        <v>0</v>
      </c>
      <c r="BU340" s="290">
        <v>0</v>
      </c>
      <c r="BV340" s="290">
        <v>43</v>
      </c>
      <c r="BW340" s="290">
        <v>0</v>
      </c>
      <c r="BX340" s="290">
        <v>0</v>
      </c>
      <c r="BY340" s="290">
        <v>377</v>
      </c>
      <c r="BZ340" s="290">
        <v>212</v>
      </c>
      <c r="CA340" s="290">
        <v>173.922</v>
      </c>
      <c r="CB340" s="290">
        <v>37</v>
      </c>
      <c r="CC340" s="290">
        <v>0</v>
      </c>
      <c r="CD340" s="290">
        <v>0</v>
      </c>
      <c r="CE340" s="290">
        <v>73805.577999999994</v>
      </c>
      <c r="CF340" s="290">
        <v>0</v>
      </c>
      <c r="CG340" s="290">
        <v>0</v>
      </c>
      <c r="CH340" s="290">
        <v>0</v>
      </c>
      <c r="CI340" s="290">
        <v>0</v>
      </c>
      <c r="CJ340" s="290"/>
    </row>
    <row r="341" spans="1:88" ht="13">
      <c r="A341" s="1">
        <v>5425</v>
      </c>
      <c r="B341" s="2" t="s">
        <v>236</v>
      </c>
      <c r="C341" s="289">
        <v>1831</v>
      </c>
      <c r="D341" s="290">
        <v>28</v>
      </c>
      <c r="E341" s="290">
        <v>59</v>
      </c>
      <c r="F341" s="290">
        <v>187</v>
      </c>
      <c r="G341" s="290">
        <v>165</v>
      </c>
      <c r="H341" s="290">
        <v>986</v>
      </c>
      <c r="I341" s="290">
        <v>337</v>
      </c>
      <c r="J341" s="290">
        <v>79</v>
      </c>
      <c r="K341" s="290">
        <v>14</v>
      </c>
      <c r="L341" s="290">
        <v>16</v>
      </c>
      <c r="M341" s="290">
        <v>210</v>
      </c>
      <c r="N341" s="290">
        <v>4</v>
      </c>
      <c r="O341" s="290">
        <v>15</v>
      </c>
      <c r="P341" s="624">
        <v>34546.011666669998</v>
      </c>
      <c r="Q341" s="624">
        <v>10293.692999999999</v>
      </c>
      <c r="R341" s="1039">
        <v>11</v>
      </c>
      <c r="S341" s="290">
        <v>0</v>
      </c>
      <c r="T341" s="290">
        <v>166</v>
      </c>
      <c r="U341" s="958">
        <v>9.2663070117547587E-4</v>
      </c>
      <c r="V341" s="290">
        <v>1156.97602828</v>
      </c>
      <c r="W341" s="765">
        <v>1</v>
      </c>
      <c r="X341" s="290">
        <v>822</v>
      </c>
      <c r="Y341" s="290"/>
      <c r="Z341" s="290">
        <v>53784.925999999999</v>
      </c>
      <c r="AA341" s="290">
        <v>0</v>
      </c>
      <c r="AB341" s="290">
        <v>36</v>
      </c>
      <c r="AC341" s="290">
        <v>100</v>
      </c>
      <c r="AD341" s="290">
        <v>58</v>
      </c>
      <c r="AE341" s="290">
        <v>0</v>
      </c>
      <c r="AF341" s="290">
        <v>0</v>
      </c>
      <c r="AG341" s="290">
        <v>1855</v>
      </c>
      <c r="AH341" s="290">
        <v>274</v>
      </c>
      <c r="AI341" s="290">
        <v>354</v>
      </c>
      <c r="AJ341" s="290">
        <v>0</v>
      </c>
      <c r="AK341" s="290">
        <v>75</v>
      </c>
      <c r="AL341" s="290">
        <v>7693</v>
      </c>
      <c r="AM341" s="957">
        <v>2.6487779999999999E-2</v>
      </c>
      <c r="AN341" s="290">
        <v>0</v>
      </c>
      <c r="AO341" s="290">
        <v>-579.10865203000003</v>
      </c>
      <c r="AP341" s="290">
        <v>0</v>
      </c>
      <c r="AQ341" s="290">
        <v>0</v>
      </c>
      <c r="AR341" s="290">
        <v>896.31610188000002</v>
      </c>
      <c r="AS341" s="290">
        <v>168.65549999999999</v>
      </c>
      <c r="AT341" s="290">
        <v>104</v>
      </c>
      <c r="AU341" s="290">
        <v>12</v>
      </c>
      <c r="AV341" s="766">
        <v>97622</v>
      </c>
      <c r="AW341" s="290">
        <v>0</v>
      </c>
      <c r="AX341" s="766">
        <v>12.083349999999999</v>
      </c>
      <c r="AY341" s="290">
        <v>331</v>
      </c>
      <c r="AZ341" s="290">
        <v>71</v>
      </c>
      <c r="BA341" s="290">
        <v>46</v>
      </c>
      <c r="BB341" s="290">
        <v>13068</v>
      </c>
      <c r="BC341" s="290">
        <v>3395.8149864799998</v>
      </c>
      <c r="BD341" s="290"/>
      <c r="BE341" s="290">
        <v>92266.721450919998</v>
      </c>
      <c r="BF341" s="290">
        <v>0</v>
      </c>
      <c r="BG341" s="290">
        <v>1519</v>
      </c>
      <c r="BH341" s="290">
        <v>500</v>
      </c>
      <c r="BI341" s="290">
        <v>507</v>
      </c>
      <c r="BJ341" s="290">
        <v>21</v>
      </c>
      <c r="BK341" s="290">
        <v>54</v>
      </c>
      <c r="BL341" s="290">
        <v>0</v>
      </c>
      <c r="BM341" s="290">
        <v>0</v>
      </c>
      <c r="BN341" s="290">
        <v>34</v>
      </c>
      <c r="BO341" s="290">
        <v>-13</v>
      </c>
      <c r="BP341" s="290">
        <v>170</v>
      </c>
      <c r="BQ341" s="290">
        <v>340</v>
      </c>
      <c r="BR341" s="290">
        <v>257</v>
      </c>
      <c r="BS341" s="290">
        <v>44</v>
      </c>
      <c r="BT341" s="290">
        <v>0</v>
      </c>
      <c r="BU341" s="290">
        <v>0</v>
      </c>
      <c r="BV341" s="290">
        <v>31</v>
      </c>
      <c r="BW341" s="290">
        <v>0</v>
      </c>
      <c r="BX341" s="290">
        <v>0</v>
      </c>
      <c r="BY341" s="290">
        <v>240</v>
      </c>
      <c r="BZ341" s="290">
        <v>437</v>
      </c>
      <c r="CA341" s="290">
        <v>549.9</v>
      </c>
      <c r="CB341" s="290">
        <v>30</v>
      </c>
      <c r="CC341" s="290">
        <v>0</v>
      </c>
      <c r="CD341" s="290">
        <v>0</v>
      </c>
      <c r="CE341" s="290">
        <v>53784.925999999999</v>
      </c>
      <c r="CF341" s="290">
        <v>0</v>
      </c>
      <c r="CG341" s="290">
        <v>0</v>
      </c>
      <c r="CH341" s="290">
        <v>0</v>
      </c>
      <c r="CI341" s="290">
        <v>0</v>
      </c>
      <c r="CJ341" s="290"/>
    </row>
    <row r="342" spans="1:88" ht="13">
      <c r="A342" s="1">
        <v>5426</v>
      </c>
      <c r="B342" s="2" t="s">
        <v>237</v>
      </c>
      <c r="C342" s="289">
        <v>2072</v>
      </c>
      <c r="D342" s="290">
        <v>27</v>
      </c>
      <c r="E342" s="290">
        <v>70</v>
      </c>
      <c r="F342" s="290">
        <v>198</v>
      </c>
      <c r="G342" s="290">
        <v>156</v>
      </c>
      <c r="H342" s="290">
        <v>1092</v>
      </c>
      <c r="I342" s="290">
        <v>367</v>
      </c>
      <c r="J342" s="290">
        <v>138</v>
      </c>
      <c r="K342" s="290">
        <v>20</v>
      </c>
      <c r="L342" s="290">
        <v>20</v>
      </c>
      <c r="M342" s="290">
        <v>252</v>
      </c>
      <c r="N342" s="290">
        <v>1.5</v>
      </c>
      <c r="O342" s="290">
        <v>12</v>
      </c>
      <c r="P342" s="624">
        <v>35864.285000000003</v>
      </c>
      <c r="Q342" s="624">
        <v>6137.0413333300003</v>
      </c>
      <c r="R342" s="1039">
        <v>10</v>
      </c>
      <c r="S342" s="290">
        <v>0</v>
      </c>
      <c r="T342" s="290">
        <v>195</v>
      </c>
      <c r="U342" s="958">
        <v>1.4491603538212057E-3</v>
      </c>
      <c r="V342" s="290">
        <v>-4402.73615548</v>
      </c>
      <c r="W342" s="765">
        <v>1</v>
      </c>
      <c r="X342" s="290">
        <v>892</v>
      </c>
      <c r="Y342" s="290"/>
      <c r="Z342" s="290">
        <v>50359.462</v>
      </c>
      <c r="AA342" s="290">
        <v>0</v>
      </c>
      <c r="AB342" s="290">
        <v>50</v>
      </c>
      <c r="AC342" s="290">
        <v>102</v>
      </c>
      <c r="AD342" s="290">
        <v>62</v>
      </c>
      <c r="AE342" s="290">
        <v>0</v>
      </c>
      <c r="AF342" s="290">
        <v>0</v>
      </c>
      <c r="AG342" s="290">
        <v>2068</v>
      </c>
      <c r="AH342" s="290">
        <v>289</v>
      </c>
      <c r="AI342" s="290">
        <v>1840.866</v>
      </c>
      <c r="AJ342" s="290">
        <v>5995</v>
      </c>
      <c r="AK342" s="290">
        <v>0</v>
      </c>
      <c r="AL342" s="290">
        <v>8711</v>
      </c>
      <c r="AM342" s="957">
        <v>4.5109150000000001E-2</v>
      </c>
      <c r="AN342" s="290">
        <v>0</v>
      </c>
      <c r="AO342" s="290">
        <v>-650.52910233</v>
      </c>
      <c r="AP342" s="290">
        <v>0</v>
      </c>
      <c r="AQ342" s="290">
        <v>0</v>
      </c>
      <c r="AR342" s="290">
        <v>229.00658458999999</v>
      </c>
      <c r="AS342" s="290">
        <v>170.89750000000001</v>
      </c>
      <c r="AT342" s="290">
        <v>109</v>
      </c>
      <c r="AU342" s="290">
        <v>25</v>
      </c>
      <c r="AV342" s="766">
        <v>102012</v>
      </c>
      <c r="AW342" s="290">
        <v>0</v>
      </c>
      <c r="AX342" s="766">
        <v>7.5833500000000003</v>
      </c>
      <c r="AY342" s="290">
        <v>343</v>
      </c>
      <c r="AZ342" s="290">
        <v>71</v>
      </c>
      <c r="BA342" s="290">
        <v>48</v>
      </c>
      <c r="BB342" s="290">
        <v>13068</v>
      </c>
      <c r="BC342" s="290">
        <v>3521.59462523</v>
      </c>
      <c r="BD342" s="290"/>
      <c r="BE342" s="290">
        <v>96750.867548850001</v>
      </c>
      <c r="BF342" s="290">
        <v>0</v>
      </c>
      <c r="BG342" s="290">
        <v>1693</v>
      </c>
      <c r="BH342" s="290">
        <v>500</v>
      </c>
      <c r="BI342" s="290">
        <v>453</v>
      </c>
      <c r="BJ342" s="290">
        <v>24</v>
      </c>
      <c r="BK342" s="290">
        <v>60</v>
      </c>
      <c r="BL342" s="290">
        <v>0</v>
      </c>
      <c r="BM342" s="290">
        <v>0</v>
      </c>
      <c r="BN342" s="290">
        <v>37</v>
      </c>
      <c r="BO342" s="290">
        <v>-16</v>
      </c>
      <c r="BP342" s="290">
        <v>192</v>
      </c>
      <c r="BQ342" s="290">
        <v>384</v>
      </c>
      <c r="BR342" s="290">
        <v>291</v>
      </c>
      <c r="BS342" s="290">
        <v>47</v>
      </c>
      <c r="BT342" s="290">
        <v>0</v>
      </c>
      <c r="BU342" s="290">
        <v>0</v>
      </c>
      <c r="BV342" s="290">
        <v>34</v>
      </c>
      <c r="BW342" s="290">
        <v>0</v>
      </c>
      <c r="BX342" s="290">
        <v>0</v>
      </c>
      <c r="BY342" s="290">
        <v>274</v>
      </c>
      <c r="BZ342" s="290">
        <v>602</v>
      </c>
      <c r="CA342" s="290">
        <v>164.8</v>
      </c>
      <c r="CB342" s="290">
        <v>31</v>
      </c>
      <c r="CC342" s="290">
        <v>0</v>
      </c>
      <c r="CD342" s="290">
        <v>0</v>
      </c>
      <c r="CE342" s="290">
        <v>50359.462</v>
      </c>
      <c r="CF342" s="290">
        <v>0</v>
      </c>
      <c r="CG342" s="290">
        <v>0</v>
      </c>
      <c r="CH342" s="290">
        <v>0</v>
      </c>
      <c r="CI342" s="290">
        <v>0</v>
      </c>
      <c r="CJ342" s="290"/>
    </row>
    <row r="343" spans="1:88" ht="13">
      <c r="A343" s="1">
        <v>5427</v>
      </c>
      <c r="B343" s="2" t="s">
        <v>238</v>
      </c>
      <c r="C343" s="289">
        <v>2893</v>
      </c>
      <c r="D343" s="290">
        <v>50</v>
      </c>
      <c r="E343" s="290">
        <v>130</v>
      </c>
      <c r="F343" s="290">
        <v>314</v>
      </c>
      <c r="G343" s="290">
        <v>241</v>
      </c>
      <c r="H343" s="290">
        <v>1609</v>
      </c>
      <c r="I343" s="290">
        <v>418</v>
      </c>
      <c r="J343" s="290">
        <v>122</v>
      </c>
      <c r="K343" s="290">
        <v>22</v>
      </c>
      <c r="L343" s="290">
        <v>27</v>
      </c>
      <c r="M343" s="290">
        <v>268</v>
      </c>
      <c r="N343" s="290">
        <v>49</v>
      </c>
      <c r="O343" s="290">
        <v>47</v>
      </c>
      <c r="P343" s="624">
        <v>18907.197666669999</v>
      </c>
      <c r="Q343" s="624">
        <v>11253.858</v>
      </c>
      <c r="R343" s="1039">
        <v>17</v>
      </c>
      <c r="S343" s="290">
        <v>0</v>
      </c>
      <c r="T343" s="290">
        <v>225</v>
      </c>
      <c r="U343" s="958">
        <v>3.3909796533078857E-4</v>
      </c>
      <c r="V343" s="290">
        <v>20.653853430000002</v>
      </c>
      <c r="W343" s="765">
        <v>1</v>
      </c>
      <c r="X343" s="290">
        <v>459</v>
      </c>
      <c r="Y343" s="290"/>
      <c r="Z343" s="290">
        <v>80576.759999999995</v>
      </c>
      <c r="AA343" s="290">
        <v>0</v>
      </c>
      <c r="AB343" s="290">
        <v>88</v>
      </c>
      <c r="AC343" s="290">
        <v>151</v>
      </c>
      <c r="AD343" s="290">
        <v>73</v>
      </c>
      <c r="AE343" s="290">
        <v>0</v>
      </c>
      <c r="AF343" s="290">
        <v>0</v>
      </c>
      <c r="AG343" s="290">
        <v>2906</v>
      </c>
      <c r="AH343" s="290">
        <v>478</v>
      </c>
      <c r="AI343" s="290">
        <v>452.5</v>
      </c>
      <c r="AJ343" s="290">
        <v>0</v>
      </c>
      <c r="AK343" s="290">
        <v>0</v>
      </c>
      <c r="AL343" s="290">
        <v>12311</v>
      </c>
      <c r="AM343" s="957">
        <v>7.7800209999999995E-2</v>
      </c>
      <c r="AN343" s="290">
        <v>0</v>
      </c>
      <c r="AO343" s="290">
        <v>-856.04436003000001</v>
      </c>
      <c r="AP343" s="290">
        <v>0</v>
      </c>
      <c r="AQ343" s="290">
        <v>0</v>
      </c>
      <c r="AR343" s="290">
        <v>-109.74942347</v>
      </c>
      <c r="AS343" s="290">
        <v>225.15799999999999</v>
      </c>
      <c r="AT343" s="290">
        <v>161</v>
      </c>
      <c r="AU343" s="290">
        <v>30</v>
      </c>
      <c r="AV343" s="766">
        <v>127047</v>
      </c>
      <c r="AW343" s="290">
        <v>0</v>
      </c>
      <c r="AX343" s="766">
        <v>19.874949999999998</v>
      </c>
      <c r="AY343" s="290">
        <v>434</v>
      </c>
      <c r="AZ343" s="290">
        <v>138</v>
      </c>
      <c r="BA343" s="290">
        <v>54</v>
      </c>
      <c r="BB343" s="290">
        <v>13068</v>
      </c>
      <c r="BC343" s="290">
        <v>4672.6838780199996</v>
      </c>
      <c r="BD343" s="290"/>
      <c r="BE343" s="290">
        <v>123413.54820295</v>
      </c>
      <c r="BF343" s="290">
        <v>0</v>
      </c>
      <c r="BG343" s="290">
        <v>2379</v>
      </c>
      <c r="BH343" s="290">
        <v>500</v>
      </c>
      <c r="BI343" s="290">
        <v>702</v>
      </c>
      <c r="BJ343" s="290">
        <v>33</v>
      </c>
      <c r="BK343" s="290">
        <v>111</v>
      </c>
      <c r="BL343" s="290">
        <v>0</v>
      </c>
      <c r="BM343" s="290">
        <v>0</v>
      </c>
      <c r="BN343" s="290">
        <v>69</v>
      </c>
      <c r="BO343" s="290">
        <v>-24</v>
      </c>
      <c r="BP343" s="290">
        <v>268</v>
      </c>
      <c r="BQ343" s="290">
        <v>537</v>
      </c>
      <c r="BR343" s="290">
        <v>406</v>
      </c>
      <c r="BS343" s="290">
        <v>55</v>
      </c>
      <c r="BT343" s="290">
        <v>0</v>
      </c>
      <c r="BU343" s="290">
        <v>0</v>
      </c>
      <c r="BV343" s="290">
        <v>64</v>
      </c>
      <c r="BW343" s="290">
        <v>0</v>
      </c>
      <c r="BX343" s="290">
        <v>0</v>
      </c>
      <c r="BY343" s="290">
        <v>320</v>
      </c>
      <c r="BZ343" s="290">
        <v>583</v>
      </c>
      <c r="CA343" s="290">
        <v>366.9</v>
      </c>
      <c r="CB343" s="290">
        <v>39</v>
      </c>
      <c r="CC343" s="290">
        <v>0</v>
      </c>
      <c r="CD343" s="290">
        <v>0</v>
      </c>
      <c r="CE343" s="290">
        <v>80576.759999999995</v>
      </c>
      <c r="CF343" s="290">
        <v>0</v>
      </c>
      <c r="CG343" s="290">
        <v>0</v>
      </c>
      <c r="CH343" s="290">
        <v>0</v>
      </c>
      <c r="CI343" s="290">
        <v>0</v>
      </c>
      <c r="CJ343" s="290"/>
    </row>
    <row r="344" spans="1:88" ht="13">
      <c r="A344" s="1">
        <v>5428</v>
      </c>
      <c r="B344" s="2" t="s">
        <v>239</v>
      </c>
      <c r="C344" s="289">
        <v>4812</v>
      </c>
      <c r="D344" s="290">
        <v>88</v>
      </c>
      <c r="E344" s="290">
        <v>171</v>
      </c>
      <c r="F344" s="290">
        <v>602</v>
      </c>
      <c r="G344" s="290">
        <v>425</v>
      </c>
      <c r="H344" s="290">
        <v>2646</v>
      </c>
      <c r="I344" s="290">
        <v>690</v>
      </c>
      <c r="J344" s="290">
        <v>194</v>
      </c>
      <c r="K344" s="290">
        <v>47</v>
      </c>
      <c r="L344" s="290">
        <v>41</v>
      </c>
      <c r="M344" s="290">
        <v>487</v>
      </c>
      <c r="N344" s="290">
        <v>43</v>
      </c>
      <c r="O344" s="290">
        <v>51</v>
      </c>
      <c r="P344" s="624">
        <v>41702.987000000001</v>
      </c>
      <c r="Q344" s="624">
        <v>18838.883666670001</v>
      </c>
      <c r="R344" s="1039">
        <v>29</v>
      </c>
      <c r="S344" s="290">
        <v>0</v>
      </c>
      <c r="T344" s="290">
        <v>452</v>
      </c>
      <c r="U344" s="958">
        <v>2.0320557625982628E-3</v>
      </c>
      <c r="V344" s="290">
        <v>-11879.93880534</v>
      </c>
      <c r="W344" s="765">
        <v>0.85474143000000002</v>
      </c>
      <c r="X344" s="290">
        <v>880</v>
      </c>
      <c r="Y344" s="290"/>
      <c r="Z344" s="290">
        <v>138136.47899999999</v>
      </c>
      <c r="AA344" s="290">
        <v>0</v>
      </c>
      <c r="AB344" s="290">
        <v>111</v>
      </c>
      <c r="AC344" s="290">
        <v>272</v>
      </c>
      <c r="AD344" s="290">
        <v>111</v>
      </c>
      <c r="AE344" s="290">
        <v>0</v>
      </c>
      <c r="AF344" s="290">
        <v>0</v>
      </c>
      <c r="AG344" s="290">
        <v>4863</v>
      </c>
      <c r="AH344" s="290">
        <v>832</v>
      </c>
      <c r="AI344" s="290">
        <v>705</v>
      </c>
      <c r="AJ344" s="290">
        <v>0</v>
      </c>
      <c r="AK344" s="290">
        <v>0</v>
      </c>
      <c r="AL344" s="290">
        <v>20445</v>
      </c>
      <c r="AM344" s="957">
        <v>0.13692607000000001</v>
      </c>
      <c r="AN344" s="290">
        <v>0</v>
      </c>
      <c r="AO344" s="290">
        <v>-1400.7317788800001</v>
      </c>
      <c r="AP344" s="290">
        <v>0</v>
      </c>
      <c r="AQ344" s="290">
        <v>0</v>
      </c>
      <c r="AR344" s="290">
        <v>3978.40340371</v>
      </c>
      <c r="AS344" s="290">
        <v>423.25799999999998</v>
      </c>
      <c r="AT344" s="290">
        <v>245</v>
      </c>
      <c r="AU344" s="290">
        <v>62</v>
      </c>
      <c r="AV344" s="766">
        <v>180336</v>
      </c>
      <c r="AW344" s="290">
        <v>0</v>
      </c>
      <c r="AX344" s="766">
        <v>34.958300000000001</v>
      </c>
      <c r="AY344" s="290">
        <v>955</v>
      </c>
      <c r="AZ344" s="290">
        <v>213</v>
      </c>
      <c r="BA344" s="290">
        <v>150</v>
      </c>
      <c r="BB344" s="290">
        <v>0</v>
      </c>
      <c r="BC344" s="290">
        <v>7617.3105062799996</v>
      </c>
      <c r="BD344" s="290"/>
      <c r="BE344" s="290">
        <v>165732.08216391</v>
      </c>
      <c r="BF344" s="290">
        <v>0</v>
      </c>
      <c r="BG344" s="290">
        <v>3981</v>
      </c>
      <c r="BH344" s="290">
        <v>1000</v>
      </c>
      <c r="BI344" s="290">
        <v>1215</v>
      </c>
      <c r="BJ344" s="290">
        <v>56</v>
      </c>
      <c r="BK344" s="290">
        <v>158</v>
      </c>
      <c r="BL344" s="290">
        <v>0</v>
      </c>
      <c r="BM344" s="290">
        <v>0</v>
      </c>
      <c r="BN344" s="290">
        <v>99</v>
      </c>
      <c r="BO344" s="290">
        <v>-40</v>
      </c>
      <c r="BP344" s="290">
        <v>446</v>
      </c>
      <c r="BQ344" s="290">
        <v>893</v>
      </c>
      <c r="BR344" s="290">
        <v>676</v>
      </c>
      <c r="BS344" s="290">
        <v>83</v>
      </c>
      <c r="BT344" s="290">
        <v>0</v>
      </c>
      <c r="BU344" s="290">
        <v>0</v>
      </c>
      <c r="BV344" s="290">
        <v>91</v>
      </c>
      <c r="BW344" s="290">
        <v>0</v>
      </c>
      <c r="BX344" s="290">
        <v>0</v>
      </c>
      <c r="BY344" s="290">
        <v>550</v>
      </c>
      <c r="BZ344" s="290">
        <v>274</v>
      </c>
      <c r="CA344" s="290">
        <v>1230.8</v>
      </c>
      <c r="CB344" s="290">
        <v>53</v>
      </c>
      <c r="CC344" s="290">
        <v>0</v>
      </c>
      <c r="CD344" s="290">
        <v>0</v>
      </c>
      <c r="CE344" s="290">
        <v>138136.47899999999</v>
      </c>
      <c r="CF344" s="290">
        <v>0</v>
      </c>
      <c r="CG344" s="290">
        <v>0</v>
      </c>
      <c r="CH344" s="290">
        <v>0</v>
      </c>
      <c r="CI344" s="290">
        <v>0</v>
      </c>
      <c r="CJ344" s="290"/>
    </row>
    <row r="345" spans="1:88" ht="13">
      <c r="A345" s="1">
        <v>5429</v>
      </c>
      <c r="B345" s="2" t="s">
        <v>240</v>
      </c>
      <c r="C345" s="289">
        <v>1166</v>
      </c>
      <c r="D345" s="290">
        <v>15</v>
      </c>
      <c r="E345" s="290">
        <v>40</v>
      </c>
      <c r="F345" s="290">
        <v>111</v>
      </c>
      <c r="G345" s="290">
        <v>95</v>
      </c>
      <c r="H345" s="290">
        <v>620</v>
      </c>
      <c r="I345" s="290">
        <v>210</v>
      </c>
      <c r="J345" s="290">
        <v>87</v>
      </c>
      <c r="K345" s="290">
        <v>11</v>
      </c>
      <c r="L345" s="290">
        <v>10</v>
      </c>
      <c r="M345" s="290">
        <v>153</v>
      </c>
      <c r="N345" s="290">
        <v>1.5</v>
      </c>
      <c r="O345" s="290">
        <v>6</v>
      </c>
      <c r="P345" s="624">
        <v>14423.20966667</v>
      </c>
      <c r="Q345" s="624">
        <v>9494.1853333300005</v>
      </c>
      <c r="R345" s="1039">
        <v>17</v>
      </c>
      <c r="S345" s="290">
        <v>0</v>
      </c>
      <c r="T345" s="290">
        <v>117</v>
      </c>
      <c r="U345" s="958">
        <v>8.280488503620482E-4</v>
      </c>
      <c r="V345" s="290">
        <v>908.79403746000003</v>
      </c>
      <c r="W345" s="765">
        <v>1</v>
      </c>
      <c r="X345" s="290">
        <v>859</v>
      </c>
      <c r="Y345" s="290"/>
      <c r="Z345" s="290">
        <v>33890.608</v>
      </c>
      <c r="AA345" s="290">
        <v>0</v>
      </c>
      <c r="AB345" s="290">
        <v>33</v>
      </c>
      <c r="AC345" s="290">
        <v>64</v>
      </c>
      <c r="AD345" s="290">
        <v>44</v>
      </c>
      <c r="AE345" s="290">
        <v>0</v>
      </c>
      <c r="AF345" s="290">
        <v>0</v>
      </c>
      <c r="AG345" s="290">
        <v>1189</v>
      </c>
      <c r="AH345" s="290">
        <v>162</v>
      </c>
      <c r="AI345" s="290">
        <v>97</v>
      </c>
      <c r="AJ345" s="290">
        <v>0</v>
      </c>
      <c r="AK345" s="290">
        <v>0</v>
      </c>
      <c r="AL345" s="290">
        <v>5009</v>
      </c>
      <c r="AM345" s="957">
        <v>6.3771739999999993E-2</v>
      </c>
      <c r="AN345" s="290">
        <v>0</v>
      </c>
      <c r="AO345" s="290">
        <v>-454.88452409000001</v>
      </c>
      <c r="AP345" s="290">
        <v>0</v>
      </c>
      <c r="AQ345" s="290">
        <v>0</v>
      </c>
      <c r="AR345" s="290">
        <v>-44.904358049999999</v>
      </c>
      <c r="AS345" s="290">
        <v>105.3815</v>
      </c>
      <c r="AT345" s="290">
        <v>69</v>
      </c>
      <c r="AU345" s="290">
        <v>19</v>
      </c>
      <c r="AV345" s="766">
        <v>83640</v>
      </c>
      <c r="AW345" s="290">
        <v>0</v>
      </c>
      <c r="AX345" s="766">
        <v>2.2499500000000001</v>
      </c>
      <c r="AY345" s="290">
        <v>189</v>
      </c>
      <c r="AZ345" s="290">
        <v>69</v>
      </c>
      <c r="BA345" s="290">
        <v>23</v>
      </c>
      <c r="BB345" s="290">
        <v>13068</v>
      </c>
      <c r="BC345" s="290">
        <v>2073.4025430000002</v>
      </c>
      <c r="BD345" s="290"/>
      <c r="BE345" s="290">
        <v>82789.111351889995</v>
      </c>
      <c r="BF345" s="290">
        <v>0</v>
      </c>
      <c r="BG345" s="290">
        <v>973</v>
      </c>
      <c r="BH345" s="290">
        <v>500</v>
      </c>
      <c r="BI345" s="290">
        <v>270</v>
      </c>
      <c r="BJ345" s="290">
        <v>14</v>
      </c>
      <c r="BK345" s="290">
        <v>33</v>
      </c>
      <c r="BL345" s="290">
        <v>0</v>
      </c>
      <c r="BM345" s="290">
        <v>0</v>
      </c>
      <c r="BN345" s="290">
        <v>21</v>
      </c>
      <c r="BO345" s="290">
        <v>-11</v>
      </c>
      <c r="BP345" s="290">
        <v>108</v>
      </c>
      <c r="BQ345" s="290">
        <v>216</v>
      </c>
      <c r="BR345" s="290">
        <v>164</v>
      </c>
      <c r="BS345" s="290">
        <v>33</v>
      </c>
      <c r="BT345" s="290">
        <v>0</v>
      </c>
      <c r="BU345" s="290">
        <v>0</v>
      </c>
      <c r="BV345" s="290">
        <v>19</v>
      </c>
      <c r="BW345" s="290">
        <v>0</v>
      </c>
      <c r="BX345" s="290">
        <v>0</v>
      </c>
      <c r="BY345" s="290">
        <v>153</v>
      </c>
      <c r="BZ345" s="290">
        <v>165</v>
      </c>
      <c r="CA345" s="290">
        <v>86.885999999999996</v>
      </c>
      <c r="CB345" s="290">
        <v>24</v>
      </c>
      <c r="CC345" s="290">
        <v>0</v>
      </c>
      <c r="CD345" s="290">
        <v>0</v>
      </c>
      <c r="CE345" s="290">
        <v>33890.608</v>
      </c>
      <c r="CF345" s="290">
        <v>0</v>
      </c>
      <c r="CG345" s="290">
        <v>0</v>
      </c>
      <c r="CH345" s="290">
        <v>0</v>
      </c>
      <c r="CI345" s="290">
        <v>0</v>
      </c>
      <c r="CJ345" s="290"/>
    </row>
    <row r="346" spans="1:88" ht="13">
      <c r="A346" s="1">
        <v>5430</v>
      </c>
      <c r="B346" s="2" t="s">
        <v>244</v>
      </c>
      <c r="C346" s="289">
        <v>2920</v>
      </c>
      <c r="D346" s="290">
        <v>57</v>
      </c>
      <c r="E346" s="290">
        <v>139</v>
      </c>
      <c r="F346" s="290">
        <v>362</v>
      </c>
      <c r="G346" s="290">
        <v>218</v>
      </c>
      <c r="H346" s="290">
        <v>1657</v>
      </c>
      <c r="I346" s="290">
        <v>341</v>
      </c>
      <c r="J346" s="290">
        <v>103</v>
      </c>
      <c r="K346" s="290">
        <v>17</v>
      </c>
      <c r="L346" s="290">
        <v>27</v>
      </c>
      <c r="M346" s="290">
        <v>242</v>
      </c>
      <c r="N346" s="290">
        <v>0</v>
      </c>
      <c r="O346" s="290">
        <v>5</v>
      </c>
      <c r="P346" s="624">
        <v>30601.266333330001</v>
      </c>
      <c r="Q346" s="624">
        <v>21274.903999999999</v>
      </c>
      <c r="R346" s="1039">
        <v>23</v>
      </c>
      <c r="S346" s="290">
        <v>0</v>
      </c>
      <c r="T346" s="290">
        <v>224</v>
      </c>
      <c r="U346" s="958">
        <v>1.6607814184102262E-3</v>
      </c>
      <c r="V346" s="290">
        <v>1818.7385033600001</v>
      </c>
      <c r="W346" s="765">
        <v>1</v>
      </c>
      <c r="X346" s="290">
        <v>1093</v>
      </c>
      <c r="Y346" s="290"/>
      <c r="Z346" s="290">
        <v>64492.858999999997</v>
      </c>
      <c r="AA346" s="290">
        <v>5217</v>
      </c>
      <c r="AB346" s="290">
        <v>50</v>
      </c>
      <c r="AC346" s="290">
        <v>172</v>
      </c>
      <c r="AD346" s="290">
        <v>76</v>
      </c>
      <c r="AE346" s="290">
        <v>0</v>
      </c>
      <c r="AF346" s="290">
        <v>0</v>
      </c>
      <c r="AG346" s="290">
        <v>2894</v>
      </c>
      <c r="AH346" s="290">
        <v>509</v>
      </c>
      <c r="AI346" s="290">
        <v>800</v>
      </c>
      <c r="AJ346" s="290">
        <v>0</v>
      </c>
      <c r="AK346" s="290">
        <v>283</v>
      </c>
      <c r="AL346" s="290">
        <v>25364</v>
      </c>
      <c r="AM346" s="957">
        <v>0.13003153000000001</v>
      </c>
      <c r="AN346" s="290">
        <v>0</v>
      </c>
      <c r="AO346" s="290">
        <v>-910.34487952999996</v>
      </c>
      <c r="AP346" s="290">
        <v>0</v>
      </c>
      <c r="AQ346" s="290">
        <v>0</v>
      </c>
      <c r="AR346" s="290">
        <v>-109.29622557</v>
      </c>
      <c r="AS346" s="290">
        <v>256.95150000000001</v>
      </c>
      <c r="AT346" s="290">
        <v>80</v>
      </c>
      <c r="AU346" s="290">
        <v>62</v>
      </c>
      <c r="AV346" s="766">
        <v>152930</v>
      </c>
      <c r="AW346" s="290">
        <v>0</v>
      </c>
      <c r="AX346" s="766">
        <v>14.50005</v>
      </c>
      <c r="AY346" s="290">
        <v>689</v>
      </c>
      <c r="AZ346" s="290">
        <v>222</v>
      </c>
      <c r="BA346" s="290">
        <v>95</v>
      </c>
      <c r="BB346" s="290">
        <v>13068</v>
      </c>
      <c r="BC346" s="290">
        <v>5288.2897299300002</v>
      </c>
      <c r="BD346" s="290"/>
      <c r="BE346" s="290">
        <v>151575.85675261001</v>
      </c>
      <c r="BF346" s="290">
        <v>0</v>
      </c>
      <c r="BG346" s="290">
        <v>2369</v>
      </c>
      <c r="BH346" s="290">
        <v>500</v>
      </c>
      <c r="BI346" s="290">
        <v>1040</v>
      </c>
      <c r="BJ346" s="290">
        <v>33</v>
      </c>
      <c r="BK346" s="290">
        <v>119</v>
      </c>
      <c r="BL346" s="290">
        <v>0</v>
      </c>
      <c r="BM346" s="290">
        <v>0</v>
      </c>
      <c r="BN346" s="290">
        <v>74</v>
      </c>
      <c r="BO346" s="290">
        <v>-23</v>
      </c>
      <c r="BP346" s="290">
        <v>271</v>
      </c>
      <c r="BQ346" s="290">
        <v>542</v>
      </c>
      <c r="BR346" s="290">
        <v>410</v>
      </c>
      <c r="BS346" s="290">
        <v>57</v>
      </c>
      <c r="BT346" s="290">
        <v>0</v>
      </c>
      <c r="BU346" s="290">
        <v>0</v>
      </c>
      <c r="BV346" s="290">
        <v>68</v>
      </c>
      <c r="BW346" s="290">
        <v>0</v>
      </c>
      <c r="BX346" s="290">
        <v>0</v>
      </c>
      <c r="BY346" s="290">
        <v>289</v>
      </c>
      <c r="BZ346" s="290">
        <v>253</v>
      </c>
      <c r="CA346" s="290">
        <v>173.88200000000001</v>
      </c>
      <c r="CB346" s="290">
        <v>39</v>
      </c>
      <c r="CC346" s="290">
        <v>0</v>
      </c>
      <c r="CD346" s="290">
        <v>0</v>
      </c>
      <c r="CE346" s="290">
        <v>64492.858999999997</v>
      </c>
      <c r="CF346" s="290">
        <v>126.58731891498712</v>
      </c>
      <c r="CG346" s="290">
        <v>0</v>
      </c>
      <c r="CH346" s="290">
        <v>0</v>
      </c>
      <c r="CI346" s="290">
        <v>0</v>
      </c>
      <c r="CJ346" s="290"/>
    </row>
    <row r="347" spans="1:88" ht="13">
      <c r="A347" s="1">
        <v>5432</v>
      </c>
      <c r="B347" s="2" t="s">
        <v>246</v>
      </c>
      <c r="C347" s="289">
        <v>860</v>
      </c>
      <c r="D347" s="290">
        <v>5</v>
      </c>
      <c r="E347" s="290">
        <v>28</v>
      </c>
      <c r="F347" s="290">
        <v>50</v>
      </c>
      <c r="G347" s="290">
        <v>59</v>
      </c>
      <c r="H347" s="290">
        <v>482</v>
      </c>
      <c r="I347" s="290">
        <v>158</v>
      </c>
      <c r="J347" s="290">
        <v>62</v>
      </c>
      <c r="K347" s="290">
        <v>14</v>
      </c>
      <c r="L347" s="290">
        <v>10</v>
      </c>
      <c r="M347" s="290">
        <v>132</v>
      </c>
      <c r="N347" s="290">
        <v>1.5</v>
      </c>
      <c r="O347" s="290">
        <v>7</v>
      </c>
      <c r="P347" s="624">
        <v>23830.115333329999</v>
      </c>
      <c r="Q347" s="624">
        <v>9707.4063333300001</v>
      </c>
      <c r="R347" s="1039">
        <v>5</v>
      </c>
      <c r="S347" s="290">
        <v>0</v>
      </c>
      <c r="T347" s="290">
        <v>106</v>
      </c>
      <c r="U347" s="958">
        <v>2.222077313911743E-4</v>
      </c>
      <c r="V347" s="290">
        <v>674.16829030999997</v>
      </c>
      <c r="W347" s="765">
        <v>1</v>
      </c>
      <c r="X347" s="290">
        <v>1175</v>
      </c>
      <c r="Y347" s="290"/>
      <c r="Z347" s="290">
        <v>24362.409</v>
      </c>
      <c r="AA347" s="290">
        <v>0</v>
      </c>
      <c r="AB347" s="290">
        <v>15</v>
      </c>
      <c r="AC347" s="290">
        <v>43</v>
      </c>
      <c r="AD347" s="290">
        <v>39</v>
      </c>
      <c r="AE347" s="290">
        <v>0</v>
      </c>
      <c r="AF347" s="290">
        <v>0</v>
      </c>
      <c r="AG347" s="290">
        <v>858</v>
      </c>
      <c r="AH347" s="290">
        <v>100</v>
      </c>
      <c r="AI347" s="290">
        <v>78</v>
      </c>
      <c r="AJ347" s="290">
        <v>0</v>
      </c>
      <c r="AK347" s="290">
        <v>0</v>
      </c>
      <c r="AL347" s="290">
        <v>7740</v>
      </c>
      <c r="AM347" s="957">
        <v>5.743243E-2</v>
      </c>
      <c r="AN347" s="290">
        <v>0</v>
      </c>
      <c r="AO347" s="290">
        <v>-337.44578997999997</v>
      </c>
      <c r="AP347" s="290">
        <v>0</v>
      </c>
      <c r="AQ347" s="290">
        <v>0</v>
      </c>
      <c r="AR347" s="290">
        <v>296.91991436000001</v>
      </c>
      <c r="AS347" s="290">
        <v>82.396000000000001</v>
      </c>
      <c r="AT347" s="290">
        <v>34</v>
      </c>
      <c r="AU347" s="290">
        <v>18</v>
      </c>
      <c r="AV347" s="766">
        <v>72937</v>
      </c>
      <c r="AW347" s="290">
        <v>0</v>
      </c>
      <c r="AX347" s="766">
        <v>-0.16669999999999999</v>
      </c>
      <c r="AY347" s="290">
        <v>143</v>
      </c>
      <c r="AZ347" s="290">
        <v>74</v>
      </c>
      <c r="BA347" s="290">
        <v>14</v>
      </c>
      <c r="BB347" s="290">
        <v>13068</v>
      </c>
      <c r="BC347" s="290">
        <v>1580.6195168199999</v>
      </c>
      <c r="BD347" s="290"/>
      <c r="BE347" s="290">
        <v>70091.090715850005</v>
      </c>
      <c r="BF347" s="290">
        <v>0</v>
      </c>
      <c r="BG347" s="290">
        <v>702</v>
      </c>
      <c r="BH347" s="290">
        <v>500</v>
      </c>
      <c r="BI347" s="290">
        <v>182</v>
      </c>
      <c r="BJ347" s="290">
        <v>10</v>
      </c>
      <c r="BK347" s="290">
        <v>22</v>
      </c>
      <c r="BL347" s="290">
        <v>0</v>
      </c>
      <c r="BM347" s="290">
        <v>0</v>
      </c>
      <c r="BN347" s="290">
        <v>14</v>
      </c>
      <c r="BO347" s="290">
        <v>-9</v>
      </c>
      <c r="BP347" s="290">
        <v>80</v>
      </c>
      <c r="BQ347" s="290">
        <v>160</v>
      </c>
      <c r="BR347" s="290">
        <v>121</v>
      </c>
      <c r="BS347" s="290">
        <v>29</v>
      </c>
      <c r="BT347" s="290">
        <v>0</v>
      </c>
      <c r="BU347" s="290">
        <v>0</v>
      </c>
      <c r="BV347" s="290">
        <v>13</v>
      </c>
      <c r="BW347" s="290">
        <v>0</v>
      </c>
      <c r="BX347" s="290">
        <v>0</v>
      </c>
      <c r="BY347" s="290">
        <v>116</v>
      </c>
      <c r="BZ347" s="290">
        <v>144</v>
      </c>
      <c r="CA347" s="290">
        <v>526.1</v>
      </c>
      <c r="CB347" s="290">
        <v>21</v>
      </c>
      <c r="CC347" s="290">
        <v>0</v>
      </c>
      <c r="CD347" s="290">
        <v>0</v>
      </c>
      <c r="CE347" s="290">
        <v>24362.409</v>
      </c>
      <c r="CF347" s="290">
        <v>0</v>
      </c>
      <c r="CG347" s="290">
        <v>0</v>
      </c>
      <c r="CH347" s="290">
        <v>0</v>
      </c>
      <c r="CI347" s="290">
        <v>0</v>
      </c>
      <c r="CJ347" s="290"/>
    </row>
    <row r="348" spans="1:88" ht="13">
      <c r="A348" s="1">
        <v>5433</v>
      </c>
      <c r="B348" s="2" t="s">
        <v>247</v>
      </c>
      <c r="C348" s="289">
        <v>983</v>
      </c>
      <c r="D348" s="290">
        <v>14</v>
      </c>
      <c r="E348" s="290">
        <v>36</v>
      </c>
      <c r="F348" s="290">
        <v>102</v>
      </c>
      <c r="G348" s="290">
        <v>63</v>
      </c>
      <c r="H348" s="290">
        <v>579</v>
      </c>
      <c r="I348" s="290">
        <v>139</v>
      </c>
      <c r="J348" s="290">
        <v>49</v>
      </c>
      <c r="K348" s="290">
        <v>10</v>
      </c>
      <c r="L348" s="290">
        <v>9</v>
      </c>
      <c r="M348" s="290">
        <v>117</v>
      </c>
      <c r="N348" s="290">
        <v>1.5</v>
      </c>
      <c r="O348" s="290">
        <v>18</v>
      </c>
      <c r="P348" s="624">
        <v>13894.436333330001</v>
      </c>
      <c r="Q348" s="624">
        <v>3232.4146666699999</v>
      </c>
      <c r="R348" s="1039">
        <v>3</v>
      </c>
      <c r="S348" s="290">
        <v>0</v>
      </c>
      <c r="T348" s="290">
        <v>125</v>
      </c>
      <c r="U348" s="958">
        <v>1.5201878668452115E-4</v>
      </c>
      <c r="V348" s="290">
        <v>702.18124862000002</v>
      </c>
      <c r="W348" s="765">
        <v>1</v>
      </c>
      <c r="X348" s="290">
        <v>1108</v>
      </c>
      <c r="Y348" s="290"/>
      <c r="Z348" s="290">
        <v>25210.484</v>
      </c>
      <c r="AA348" s="290">
        <v>1975</v>
      </c>
      <c r="AB348" s="290">
        <v>28</v>
      </c>
      <c r="AC348" s="290">
        <v>59</v>
      </c>
      <c r="AD348" s="290">
        <v>37</v>
      </c>
      <c r="AE348" s="290">
        <v>0</v>
      </c>
      <c r="AF348" s="290">
        <v>0</v>
      </c>
      <c r="AG348" s="290">
        <v>992</v>
      </c>
      <c r="AH348" s="290">
        <v>141</v>
      </c>
      <c r="AI348" s="290">
        <v>12</v>
      </c>
      <c r="AJ348" s="290">
        <v>0</v>
      </c>
      <c r="AK348" s="290">
        <v>0</v>
      </c>
      <c r="AL348" s="290">
        <v>8760</v>
      </c>
      <c r="AM348" s="957">
        <v>9.479369E-2</v>
      </c>
      <c r="AN348" s="290">
        <v>0</v>
      </c>
      <c r="AO348" s="290">
        <v>-351.46729614999998</v>
      </c>
      <c r="AP348" s="290">
        <v>0</v>
      </c>
      <c r="AQ348" s="290">
        <v>0</v>
      </c>
      <c r="AR348" s="290">
        <v>-37.464359279999996</v>
      </c>
      <c r="AS348" s="290">
        <v>88.715500000000006</v>
      </c>
      <c r="AT348" s="290">
        <v>44</v>
      </c>
      <c r="AU348" s="290">
        <v>32</v>
      </c>
      <c r="AV348" s="766">
        <v>70675</v>
      </c>
      <c r="AW348" s="290">
        <v>0</v>
      </c>
      <c r="AX348" s="766">
        <v>8.8332999999999995</v>
      </c>
      <c r="AY348" s="290">
        <v>144</v>
      </c>
      <c r="AZ348" s="290">
        <v>68</v>
      </c>
      <c r="BA348" s="290">
        <v>29</v>
      </c>
      <c r="BB348" s="290">
        <v>13068</v>
      </c>
      <c r="BC348" s="290">
        <v>1684.5747815899999</v>
      </c>
      <c r="BD348" s="290"/>
      <c r="BE348" s="290">
        <v>69986.937891699999</v>
      </c>
      <c r="BF348" s="290">
        <v>0</v>
      </c>
      <c r="BG348" s="290">
        <v>812</v>
      </c>
      <c r="BH348" s="290">
        <v>500</v>
      </c>
      <c r="BI348" s="290">
        <v>237</v>
      </c>
      <c r="BJ348" s="290">
        <v>12</v>
      </c>
      <c r="BK348" s="290">
        <v>33</v>
      </c>
      <c r="BL348" s="290">
        <v>0</v>
      </c>
      <c r="BM348" s="290">
        <v>0</v>
      </c>
      <c r="BN348" s="290">
        <v>21</v>
      </c>
      <c r="BO348" s="290">
        <v>-12</v>
      </c>
      <c r="BP348" s="290">
        <v>91</v>
      </c>
      <c r="BQ348" s="290">
        <v>182</v>
      </c>
      <c r="BR348" s="290">
        <v>138</v>
      </c>
      <c r="BS348" s="290">
        <v>27</v>
      </c>
      <c r="BT348" s="290">
        <v>0</v>
      </c>
      <c r="BU348" s="290">
        <v>0</v>
      </c>
      <c r="BV348" s="290">
        <v>19</v>
      </c>
      <c r="BW348" s="290">
        <v>0</v>
      </c>
      <c r="BX348" s="290">
        <v>0</v>
      </c>
      <c r="BY348" s="290">
        <v>107</v>
      </c>
      <c r="BZ348" s="290">
        <v>30</v>
      </c>
      <c r="CA348" s="290">
        <v>120.5</v>
      </c>
      <c r="CB348" s="290">
        <v>22</v>
      </c>
      <c r="CC348" s="290">
        <v>0</v>
      </c>
      <c r="CD348" s="290">
        <v>0</v>
      </c>
      <c r="CE348" s="290">
        <v>25210.484</v>
      </c>
      <c r="CF348" s="290">
        <v>0</v>
      </c>
      <c r="CG348" s="290">
        <v>0</v>
      </c>
      <c r="CH348" s="290">
        <v>0</v>
      </c>
      <c r="CI348" s="290">
        <v>0</v>
      </c>
      <c r="CJ348" s="290"/>
    </row>
    <row r="349" spans="1:88" ht="13">
      <c r="A349" s="1">
        <v>5434</v>
      </c>
      <c r="B349" s="2" t="s">
        <v>249</v>
      </c>
      <c r="C349" s="289">
        <v>1197</v>
      </c>
      <c r="D349" s="290">
        <v>12</v>
      </c>
      <c r="E349" s="290">
        <v>37</v>
      </c>
      <c r="F349" s="290">
        <v>106</v>
      </c>
      <c r="G349" s="290">
        <v>81</v>
      </c>
      <c r="H349" s="290">
        <v>673</v>
      </c>
      <c r="I349" s="290">
        <v>218</v>
      </c>
      <c r="J349" s="290">
        <v>76</v>
      </c>
      <c r="K349" s="290">
        <v>13</v>
      </c>
      <c r="L349" s="290">
        <v>11</v>
      </c>
      <c r="M349" s="290">
        <v>192</v>
      </c>
      <c r="N349" s="290">
        <v>3</v>
      </c>
      <c r="O349" s="290">
        <v>15</v>
      </c>
      <c r="P349" s="624">
        <v>13724.393333329999</v>
      </c>
      <c r="Q349" s="624">
        <v>5767.491</v>
      </c>
      <c r="R349" s="1039">
        <v>4</v>
      </c>
      <c r="S349" s="290">
        <v>0</v>
      </c>
      <c r="T349" s="290">
        <v>136</v>
      </c>
      <c r="U349" s="958">
        <v>2.3726268123930831E-4</v>
      </c>
      <c r="V349" s="290">
        <v>812.69981158999997</v>
      </c>
      <c r="W349" s="765">
        <v>1</v>
      </c>
      <c r="X349" s="290">
        <v>741</v>
      </c>
      <c r="Y349" s="290"/>
      <c r="Z349" s="290">
        <v>36886.972000000002</v>
      </c>
      <c r="AA349" s="290">
        <v>0</v>
      </c>
      <c r="AB349" s="290">
        <v>21</v>
      </c>
      <c r="AC349" s="290">
        <v>62</v>
      </c>
      <c r="AD349" s="290">
        <v>43</v>
      </c>
      <c r="AE349" s="290">
        <v>0</v>
      </c>
      <c r="AF349" s="290">
        <v>0</v>
      </c>
      <c r="AG349" s="290">
        <v>1216</v>
      </c>
      <c r="AH349" s="290">
        <v>150</v>
      </c>
      <c r="AI349" s="290">
        <v>600</v>
      </c>
      <c r="AJ349" s="290">
        <v>0</v>
      </c>
      <c r="AK349" s="290">
        <v>0</v>
      </c>
      <c r="AL349" s="290">
        <v>10677</v>
      </c>
      <c r="AM349" s="957">
        <v>5.2953939999999998E-2</v>
      </c>
      <c r="AN349" s="290">
        <v>0</v>
      </c>
      <c r="AO349" s="290">
        <v>-406.78586323000002</v>
      </c>
      <c r="AP349" s="290">
        <v>0</v>
      </c>
      <c r="AQ349" s="290">
        <v>0</v>
      </c>
      <c r="AR349" s="290">
        <v>-45.924053319999999</v>
      </c>
      <c r="AS349" s="290">
        <v>95.429500000000004</v>
      </c>
      <c r="AT349" s="290">
        <v>43</v>
      </c>
      <c r="AU349" s="290">
        <v>24</v>
      </c>
      <c r="AV349" s="766">
        <v>77939</v>
      </c>
      <c r="AW349" s="290">
        <v>0</v>
      </c>
      <c r="AX349" s="766">
        <v>5.0833000000000004</v>
      </c>
      <c r="AY349" s="290">
        <v>168</v>
      </c>
      <c r="AZ349" s="290">
        <v>77</v>
      </c>
      <c r="BA349" s="290">
        <v>24</v>
      </c>
      <c r="BB349" s="290">
        <v>13068</v>
      </c>
      <c r="BC349" s="290">
        <v>2291.2508630799998</v>
      </c>
      <c r="BD349" s="290"/>
      <c r="BE349" s="290">
        <v>76781.496623109997</v>
      </c>
      <c r="BF349" s="290">
        <v>0</v>
      </c>
      <c r="BG349" s="290">
        <v>995</v>
      </c>
      <c r="BH349" s="290">
        <v>500</v>
      </c>
      <c r="BI349" s="290">
        <v>255</v>
      </c>
      <c r="BJ349" s="290">
        <v>14</v>
      </c>
      <c r="BK349" s="290">
        <v>32</v>
      </c>
      <c r="BL349" s="290">
        <v>0</v>
      </c>
      <c r="BM349" s="290">
        <v>0</v>
      </c>
      <c r="BN349" s="290">
        <v>20</v>
      </c>
      <c r="BO349" s="290">
        <v>-11</v>
      </c>
      <c r="BP349" s="290">
        <v>111</v>
      </c>
      <c r="BQ349" s="290">
        <v>222</v>
      </c>
      <c r="BR349" s="290">
        <v>168</v>
      </c>
      <c r="BS349" s="290">
        <v>32</v>
      </c>
      <c r="BT349" s="290">
        <v>0</v>
      </c>
      <c r="BU349" s="290">
        <v>0</v>
      </c>
      <c r="BV349" s="290">
        <v>18</v>
      </c>
      <c r="BW349" s="290">
        <v>0</v>
      </c>
      <c r="BX349" s="290">
        <v>0</v>
      </c>
      <c r="BY349" s="290">
        <v>151</v>
      </c>
      <c r="BZ349" s="290">
        <v>142</v>
      </c>
      <c r="CA349" s="290">
        <v>289.8</v>
      </c>
      <c r="CB349" s="290">
        <v>24</v>
      </c>
      <c r="CC349" s="290">
        <v>0</v>
      </c>
      <c r="CD349" s="290">
        <v>0</v>
      </c>
      <c r="CE349" s="290">
        <v>36886.972000000002</v>
      </c>
      <c r="CF349" s="290">
        <v>0</v>
      </c>
      <c r="CG349" s="290">
        <v>0</v>
      </c>
      <c r="CH349" s="290">
        <v>0</v>
      </c>
      <c r="CI349" s="290">
        <v>0</v>
      </c>
      <c r="CJ349" s="290"/>
    </row>
    <row r="350" spans="1:88" ht="13">
      <c r="A350" s="1">
        <v>5435</v>
      </c>
      <c r="B350" s="2" t="s">
        <v>250</v>
      </c>
      <c r="C350" s="289">
        <v>3075</v>
      </c>
      <c r="D350" s="290">
        <v>51</v>
      </c>
      <c r="E350" s="290">
        <v>89</v>
      </c>
      <c r="F350" s="290">
        <v>299</v>
      </c>
      <c r="G350" s="290">
        <v>279</v>
      </c>
      <c r="H350" s="290">
        <v>1816</v>
      </c>
      <c r="I350" s="290">
        <v>450</v>
      </c>
      <c r="J350" s="290">
        <v>116</v>
      </c>
      <c r="K350" s="290">
        <v>24</v>
      </c>
      <c r="L350" s="290">
        <v>33</v>
      </c>
      <c r="M350" s="290">
        <v>345</v>
      </c>
      <c r="N350" s="290">
        <v>55</v>
      </c>
      <c r="O350" s="290">
        <v>38</v>
      </c>
      <c r="P350" s="624">
        <v>14180.572666669999</v>
      </c>
      <c r="Q350" s="624">
        <v>8097.8996666700004</v>
      </c>
      <c r="R350" s="1039">
        <v>15</v>
      </c>
      <c r="S350" s="290">
        <v>0</v>
      </c>
      <c r="T350" s="290">
        <v>362</v>
      </c>
      <c r="U350" s="958">
        <v>1.3877130920734882E-4</v>
      </c>
      <c r="V350" s="290">
        <v>1398.5813931299999</v>
      </c>
      <c r="W350" s="765">
        <v>1</v>
      </c>
      <c r="X350" s="290">
        <v>933</v>
      </c>
      <c r="Y350" s="290"/>
      <c r="Z350" s="290">
        <v>93426.260999999999</v>
      </c>
      <c r="AA350" s="290">
        <v>0</v>
      </c>
      <c r="AB350" s="290">
        <v>69</v>
      </c>
      <c r="AC350" s="290">
        <v>141</v>
      </c>
      <c r="AD350" s="290">
        <v>74</v>
      </c>
      <c r="AE350" s="290">
        <v>0</v>
      </c>
      <c r="AF350" s="290">
        <v>0</v>
      </c>
      <c r="AG350" s="290">
        <v>3124</v>
      </c>
      <c r="AH350" s="290">
        <v>448</v>
      </c>
      <c r="AI350" s="290">
        <v>150</v>
      </c>
      <c r="AJ350" s="290">
        <v>0</v>
      </c>
      <c r="AK350" s="290">
        <v>0</v>
      </c>
      <c r="AL350" s="290">
        <v>27560</v>
      </c>
      <c r="AM350" s="957">
        <v>0.16125432000000001</v>
      </c>
      <c r="AN350" s="290">
        <v>0</v>
      </c>
      <c r="AO350" s="290">
        <v>-858.61088044999997</v>
      </c>
      <c r="AP350" s="290">
        <v>0</v>
      </c>
      <c r="AQ350" s="290">
        <v>0</v>
      </c>
      <c r="AR350" s="290">
        <v>-117.98251854999999</v>
      </c>
      <c r="AS350" s="290">
        <v>249.036</v>
      </c>
      <c r="AT350" s="290">
        <v>169</v>
      </c>
      <c r="AU350" s="290">
        <v>45</v>
      </c>
      <c r="AV350" s="766">
        <v>127711</v>
      </c>
      <c r="AW350" s="290">
        <v>0</v>
      </c>
      <c r="AX350" s="766">
        <v>21.083349999999999</v>
      </c>
      <c r="AY350" s="290">
        <v>558</v>
      </c>
      <c r="AZ350" s="290">
        <v>212</v>
      </c>
      <c r="BA350" s="290">
        <v>68</v>
      </c>
      <c r="BB350" s="290">
        <v>13068</v>
      </c>
      <c r="BC350" s="290">
        <v>4253.6376933199999</v>
      </c>
      <c r="BD350" s="290"/>
      <c r="BE350" s="290">
        <v>134161.39136554001</v>
      </c>
      <c r="BF350" s="290">
        <v>0</v>
      </c>
      <c r="BG350" s="290">
        <v>2557</v>
      </c>
      <c r="BH350" s="290">
        <v>1000</v>
      </c>
      <c r="BI350" s="290">
        <v>663</v>
      </c>
      <c r="BJ350" s="290">
        <v>37</v>
      </c>
      <c r="BK350" s="290">
        <v>85</v>
      </c>
      <c r="BL350" s="290">
        <v>0</v>
      </c>
      <c r="BM350" s="290">
        <v>0</v>
      </c>
      <c r="BN350" s="290">
        <v>53</v>
      </c>
      <c r="BO350" s="290">
        <v>-33</v>
      </c>
      <c r="BP350" s="290">
        <v>285</v>
      </c>
      <c r="BQ350" s="290">
        <v>570</v>
      </c>
      <c r="BR350" s="290">
        <v>432</v>
      </c>
      <c r="BS350" s="290">
        <v>56</v>
      </c>
      <c r="BT350" s="290">
        <v>0</v>
      </c>
      <c r="BU350" s="290">
        <v>0</v>
      </c>
      <c r="BV350" s="290">
        <v>49</v>
      </c>
      <c r="BW350" s="290">
        <v>0</v>
      </c>
      <c r="BX350" s="290">
        <v>0</v>
      </c>
      <c r="BY350" s="290">
        <v>342</v>
      </c>
      <c r="BZ350" s="290">
        <v>1265</v>
      </c>
      <c r="CA350" s="290">
        <v>164.001</v>
      </c>
      <c r="CB350" s="290">
        <v>41</v>
      </c>
      <c r="CC350" s="290">
        <v>0</v>
      </c>
      <c r="CD350" s="290">
        <v>0</v>
      </c>
      <c r="CE350" s="290">
        <v>93426.260999999999</v>
      </c>
      <c r="CF350" s="290">
        <v>0</v>
      </c>
      <c r="CG350" s="290">
        <v>0</v>
      </c>
      <c r="CH350" s="290">
        <v>0</v>
      </c>
      <c r="CI350" s="290">
        <v>0</v>
      </c>
      <c r="CJ350" s="290"/>
    </row>
    <row r="351" spans="1:88" ht="13">
      <c r="A351" s="1">
        <v>5436</v>
      </c>
      <c r="B351" s="2" t="s">
        <v>251</v>
      </c>
      <c r="C351" s="289">
        <v>3921</v>
      </c>
      <c r="D351" s="290">
        <v>62</v>
      </c>
      <c r="E351" s="290">
        <v>137</v>
      </c>
      <c r="F351" s="290">
        <v>392</v>
      </c>
      <c r="G351" s="290">
        <v>321</v>
      </c>
      <c r="H351" s="290">
        <v>2265</v>
      </c>
      <c r="I351" s="290">
        <v>598</v>
      </c>
      <c r="J351" s="290">
        <v>145</v>
      </c>
      <c r="K351" s="290">
        <v>30</v>
      </c>
      <c r="L351" s="290">
        <v>33</v>
      </c>
      <c r="M351" s="290">
        <v>406</v>
      </c>
      <c r="N351" s="290">
        <v>54</v>
      </c>
      <c r="O351" s="290">
        <v>32</v>
      </c>
      <c r="P351" s="624">
        <v>42961.335666669998</v>
      </c>
      <c r="Q351" s="624">
        <v>16675.511666670001</v>
      </c>
      <c r="R351" s="1039">
        <v>8</v>
      </c>
      <c r="S351" s="290">
        <v>0</v>
      </c>
      <c r="T351" s="290">
        <v>436</v>
      </c>
      <c r="U351" s="958">
        <v>1.8143894951954329E-3</v>
      </c>
      <c r="V351" s="290">
        <v>2089.85094983</v>
      </c>
      <c r="W351" s="765">
        <v>1</v>
      </c>
      <c r="X351" s="290">
        <v>994</v>
      </c>
      <c r="Y351" s="290"/>
      <c r="Z351" s="290">
        <v>110655.83199999999</v>
      </c>
      <c r="AA351" s="290">
        <v>0</v>
      </c>
      <c r="AB351" s="290">
        <v>86</v>
      </c>
      <c r="AC351" s="290">
        <v>188</v>
      </c>
      <c r="AD351" s="290">
        <v>96</v>
      </c>
      <c r="AE351" s="290">
        <v>0</v>
      </c>
      <c r="AF351" s="290">
        <v>0</v>
      </c>
      <c r="AG351" s="290">
        <v>3950</v>
      </c>
      <c r="AH351" s="290">
        <v>578</v>
      </c>
      <c r="AI351" s="290">
        <v>1615</v>
      </c>
      <c r="AJ351" s="290">
        <v>1500</v>
      </c>
      <c r="AK351" s="290">
        <v>0</v>
      </c>
      <c r="AL351" s="290">
        <v>34847</v>
      </c>
      <c r="AM351" s="957">
        <v>0.11149547</v>
      </c>
      <c r="AN351" s="290">
        <v>0</v>
      </c>
      <c r="AO351" s="290">
        <v>-1046.0465359100001</v>
      </c>
      <c r="AP351" s="290">
        <v>0</v>
      </c>
      <c r="AQ351" s="290">
        <v>0</v>
      </c>
      <c r="AR351" s="290">
        <v>-149.17764029</v>
      </c>
      <c r="AS351" s="290">
        <v>306.35700000000003</v>
      </c>
      <c r="AT351" s="290">
        <v>204</v>
      </c>
      <c r="AU351" s="290">
        <v>52</v>
      </c>
      <c r="AV351" s="766">
        <v>152666</v>
      </c>
      <c r="AW351" s="290">
        <v>0</v>
      </c>
      <c r="AX351" s="766">
        <v>17.708349999999999</v>
      </c>
      <c r="AY351" s="290">
        <v>859</v>
      </c>
      <c r="AZ351" s="290">
        <v>168</v>
      </c>
      <c r="BA351" s="290">
        <v>97</v>
      </c>
      <c r="BB351" s="290">
        <v>0</v>
      </c>
      <c r="BC351" s="290">
        <v>6094.3738892000001</v>
      </c>
      <c r="BD351" s="290"/>
      <c r="BE351" s="290">
        <v>144551.31815221001</v>
      </c>
      <c r="BF351" s="290">
        <v>0</v>
      </c>
      <c r="BG351" s="290">
        <v>3233</v>
      </c>
      <c r="BH351" s="290">
        <v>1000</v>
      </c>
      <c r="BI351" s="290">
        <v>862</v>
      </c>
      <c r="BJ351" s="290">
        <v>45</v>
      </c>
      <c r="BK351" s="290">
        <v>122</v>
      </c>
      <c r="BL351" s="290">
        <v>0</v>
      </c>
      <c r="BM351" s="290">
        <v>0</v>
      </c>
      <c r="BN351" s="290">
        <v>76</v>
      </c>
      <c r="BO351" s="290">
        <v>-36</v>
      </c>
      <c r="BP351" s="290">
        <v>364</v>
      </c>
      <c r="BQ351" s="290">
        <v>727</v>
      </c>
      <c r="BR351" s="290">
        <v>551</v>
      </c>
      <c r="BS351" s="290">
        <v>72</v>
      </c>
      <c r="BT351" s="290">
        <v>0</v>
      </c>
      <c r="BU351" s="290">
        <v>0</v>
      </c>
      <c r="BV351" s="290">
        <v>70</v>
      </c>
      <c r="BW351" s="290">
        <v>0</v>
      </c>
      <c r="BX351" s="290">
        <v>0</v>
      </c>
      <c r="BY351" s="290">
        <v>450</v>
      </c>
      <c r="BZ351" s="290">
        <v>1069</v>
      </c>
      <c r="CA351" s="290">
        <v>985.1</v>
      </c>
      <c r="CB351" s="290">
        <v>48</v>
      </c>
      <c r="CC351" s="290">
        <v>0</v>
      </c>
      <c r="CD351" s="290">
        <v>0</v>
      </c>
      <c r="CE351" s="290">
        <v>110655.83199999999</v>
      </c>
      <c r="CF351" s="290">
        <v>0</v>
      </c>
      <c r="CG351" s="290">
        <v>0</v>
      </c>
      <c r="CH351" s="290">
        <v>0</v>
      </c>
      <c r="CI351" s="290">
        <v>0</v>
      </c>
      <c r="CJ351" s="290"/>
    </row>
    <row r="352" spans="1:88" ht="13">
      <c r="A352" s="1">
        <v>5437</v>
      </c>
      <c r="B352" s="2" t="s">
        <v>252</v>
      </c>
      <c r="C352" s="289">
        <v>2641</v>
      </c>
      <c r="D352" s="290">
        <v>46</v>
      </c>
      <c r="E352" s="290">
        <v>96</v>
      </c>
      <c r="F352" s="290">
        <v>261</v>
      </c>
      <c r="G352" s="290">
        <v>256</v>
      </c>
      <c r="H352" s="290">
        <v>1524</v>
      </c>
      <c r="I352" s="290">
        <v>328</v>
      </c>
      <c r="J352" s="290">
        <v>98</v>
      </c>
      <c r="K352" s="290">
        <v>23</v>
      </c>
      <c r="L352" s="290">
        <v>20</v>
      </c>
      <c r="M352" s="290">
        <v>263</v>
      </c>
      <c r="N352" s="290">
        <v>1.5</v>
      </c>
      <c r="O352" s="290">
        <v>6</v>
      </c>
      <c r="P352" s="624">
        <v>10483.32466667</v>
      </c>
      <c r="Q352" s="624">
        <v>12224.55666667</v>
      </c>
      <c r="R352" s="1039">
        <v>14</v>
      </c>
      <c r="S352" s="290">
        <v>0</v>
      </c>
      <c r="T352" s="290">
        <v>231</v>
      </c>
      <c r="U352" s="958">
        <v>1.5114337162600903E-3</v>
      </c>
      <c r="V352" s="290">
        <v>1493.27665138</v>
      </c>
      <c r="W352" s="765">
        <v>1</v>
      </c>
      <c r="X352" s="290">
        <v>1373</v>
      </c>
      <c r="Y352" s="290"/>
      <c r="Z352" s="290">
        <v>71752.275999999998</v>
      </c>
      <c r="AA352" s="290">
        <v>0</v>
      </c>
      <c r="AB352" s="290">
        <v>59</v>
      </c>
      <c r="AC352" s="290">
        <v>123</v>
      </c>
      <c r="AD352" s="290">
        <v>66</v>
      </c>
      <c r="AE352" s="290">
        <v>0</v>
      </c>
      <c r="AF352" s="290">
        <v>0</v>
      </c>
      <c r="AG352" s="290">
        <v>2632</v>
      </c>
      <c r="AH352" s="290">
        <v>406</v>
      </c>
      <c r="AI352" s="290">
        <v>600</v>
      </c>
      <c r="AJ352" s="290">
        <v>3000</v>
      </c>
      <c r="AK352" s="290">
        <v>0</v>
      </c>
      <c r="AL352" s="290">
        <v>22906</v>
      </c>
      <c r="AM352" s="957">
        <v>9.0917620000000005E-2</v>
      </c>
      <c r="AN352" s="290">
        <v>0</v>
      </c>
      <c r="AO352" s="290">
        <v>-747.43936569000005</v>
      </c>
      <c r="AP352" s="290">
        <v>0</v>
      </c>
      <c r="AQ352" s="290">
        <v>0</v>
      </c>
      <c r="AR352" s="290">
        <v>709.94958206000001</v>
      </c>
      <c r="AS352" s="290">
        <v>219.386</v>
      </c>
      <c r="AT352" s="290">
        <v>102</v>
      </c>
      <c r="AU352" s="290">
        <v>38</v>
      </c>
      <c r="AV352" s="766">
        <v>127634</v>
      </c>
      <c r="AW352" s="290">
        <v>0</v>
      </c>
      <c r="AX352" s="766">
        <v>17.499949999999998</v>
      </c>
      <c r="AY352" s="290">
        <v>700</v>
      </c>
      <c r="AZ352" s="290">
        <v>162</v>
      </c>
      <c r="BA352" s="290">
        <v>84</v>
      </c>
      <c r="BB352" s="290">
        <v>13068</v>
      </c>
      <c r="BC352" s="290">
        <v>4186.4122131100003</v>
      </c>
      <c r="BD352" s="290"/>
      <c r="BE352" s="290">
        <v>121012.80348042</v>
      </c>
      <c r="BF352" s="290">
        <v>0</v>
      </c>
      <c r="BG352" s="290">
        <v>2155</v>
      </c>
      <c r="BH352" s="290">
        <v>500</v>
      </c>
      <c r="BI352" s="290">
        <v>595</v>
      </c>
      <c r="BJ352" s="290">
        <v>31</v>
      </c>
      <c r="BK352" s="290">
        <v>90</v>
      </c>
      <c r="BL352" s="290">
        <v>0</v>
      </c>
      <c r="BM352" s="290">
        <v>0</v>
      </c>
      <c r="BN352" s="290">
        <v>56</v>
      </c>
      <c r="BO352" s="290">
        <v>-21</v>
      </c>
      <c r="BP352" s="290">
        <v>245</v>
      </c>
      <c r="BQ352" s="290">
        <v>490</v>
      </c>
      <c r="BR352" s="290">
        <v>371</v>
      </c>
      <c r="BS352" s="290">
        <v>50</v>
      </c>
      <c r="BT352" s="290">
        <v>0</v>
      </c>
      <c r="BU352" s="290">
        <v>0</v>
      </c>
      <c r="BV352" s="290">
        <v>52</v>
      </c>
      <c r="BW352" s="290">
        <v>0</v>
      </c>
      <c r="BX352" s="290">
        <v>0</v>
      </c>
      <c r="BY352" s="290">
        <v>280</v>
      </c>
      <c r="BZ352" s="290">
        <v>696</v>
      </c>
      <c r="CA352" s="290">
        <v>142.76599999999999</v>
      </c>
      <c r="CB352" s="290">
        <v>36</v>
      </c>
      <c r="CC352" s="290">
        <v>0</v>
      </c>
      <c r="CD352" s="290">
        <v>0</v>
      </c>
      <c r="CE352" s="290">
        <v>71752.275999999998</v>
      </c>
      <c r="CF352" s="290">
        <v>0</v>
      </c>
      <c r="CG352" s="290">
        <v>0</v>
      </c>
      <c r="CH352" s="290">
        <v>0</v>
      </c>
      <c r="CI352" s="290">
        <v>0</v>
      </c>
      <c r="CJ352" s="290"/>
    </row>
    <row r="353" spans="1:88" ht="13">
      <c r="A353" s="1">
        <v>5438</v>
      </c>
      <c r="B353" s="2" t="s">
        <v>253</v>
      </c>
      <c r="C353" s="289">
        <v>1271</v>
      </c>
      <c r="D353" s="290">
        <v>27</v>
      </c>
      <c r="E353" s="290">
        <v>31</v>
      </c>
      <c r="F353" s="290">
        <v>127</v>
      </c>
      <c r="G353" s="290">
        <v>106</v>
      </c>
      <c r="H353" s="290">
        <v>744</v>
      </c>
      <c r="I353" s="290">
        <v>180</v>
      </c>
      <c r="J353" s="290">
        <v>69</v>
      </c>
      <c r="K353" s="290">
        <v>11</v>
      </c>
      <c r="L353" s="290">
        <v>12</v>
      </c>
      <c r="M353" s="290">
        <v>161</v>
      </c>
      <c r="N353" s="290">
        <v>1.5</v>
      </c>
      <c r="O353" s="290">
        <v>19</v>
      </c>
      <c r="P353" s="624">
        <v>39403.170666669997</v>
      </c>
      <c r="Q353" s="624">
        <v>12370.177333330001</v>
      </c>
      <c r="R353" s="1039">
        <v>9</v>
      </c>
      <c r="S353" s="290">
        <v>0</v>
      </c>
      <c r="T353" s="290">
        <v>178</v>
      </c>
      <c r="U353" s="958">
        <v>6.9049245349087855E-4</v>
      </c>
      <c r="V353" s="290">
        <v>919.43666285999996</v>
      </c>
      <c r="W353" s="765">
        <v>1</v>
      </c>
      <c r="X353" s="290">
        <v>1027</v>
      </c>
      <c r="Y353" s="290"/>
      <c r="Z353" s="290">
        <v>39880.777000000002</v>
      </c>
      <c r="AA353" s="290">
        <v>0</v>
      </c>
      <c r="AB353" s="290">
        <v>38</v>
      </c>
      <c r="AC353" s="290">
        <v>80</v>
      </c>
      <c r="AD353" s="290">
        <v>48</v>
      </c>
      <c r="AE353" s="290">
        <v>0</v>
      </c>
      <c r="AF353" s="290">
        <v>0</v>
      </c>
      <c r="AG353" s="290">
        <v>1295</v>
      </c>
      <c r="AH353" s="290">
        <v>185</v>
      </c>
      <c r="AI353" s="290">
        <v>0</v>
      </c>
      <c r="AJ353" s="290">
        <v>0</v>
      </c>
      <c r="AK353" s="290">
        <v>280</v>
      </c>
      <c r="AL353" s="290">
        <v>11244</v>
      </c>
      <c r="AM353" s="957">
        <v>6.4800789999999997E-2</v>
      </c>
      <c r="AN353" s="290">
        <v>0</v>
      </c>
      <c r="AO353" s="290">
        <v>-460.21154582999998</v>
      </c>
      <c r="AP353" s="290">
        <v>0</v>
      </c>
      <c r="AQ353" s="290">
        <v>0</v>
      </c>
      <c r="AR353" s="290">
        <v>-48.907606119999997</v>
      </c>
      <c r="AS353" s="290">
        <v>132.1925</v>
      </c>
      <c r="AT353" s="290">
        <v>79</v>
      </c>
      <c r="AU353" s="290">
        <v>13</v>
      </c>
      <c r="AV353" s="766">
        <v>90024</v>
      </c>
      <c r="AW353" s="290">
        <v>0</v>
      </c>
      <c r="AX353" s="766">
        <v>10.666650000000001</v>
      </c>
      <c r="AY353" s="290">
        <v>220</v>
      </c>
      <c r="AZ353" s="290">
        <v>105</v>
      </c>
      <c r="BA353" s="290">
        <v>22</v>
      </c>
      <c r="BB353" s="290">
        <v>13068</v>
      </c>
      <c r="BC353" s="290">
        <v>2446.9418915400001</v>
      </c>
      <c r="BD353" s="290"/>
      <c r="BE353" s="290">
        <v>87354.084355390005</v>
      </c>
      <c r="BF353" s="290">
        <v>0</v>
      </c>
      <c r="BG353" s="290">
        <v>1060</v>
      </c>
      <c r="BH353" s="290">
        <v>500</v>
      </c>
      <c r="BI353" s="290">
        <v>593</v>
      </c>
      <c r="BJ353" s="290">
        <v>15</v>
      </c>
      <c r="BK353" s="290">
        <v>32</v>
      </c>
      <c r="BL353" s="290">
        <v>0</v>
      </c>
      <c r="BM353" s="290">
        <v>0</v>
      </c>
      <c r="BN353" s="290">
        <v>20</v>
      </c>
      <c r="BO353" s="290">
        <v>-14</v>
      </c>
      <c r="BP353" s="290">
        <v>118</v>
      </c>
      <c r="BQ353" s="290">
        <v>236</v>
      </c>
      <c r="BR353" s="290">
        <v>178</v>
      </c>
      <c r="BS353" s="290">
        <v>36</v>
      </c>
      <c r="BT353" s="290">
        <v>0</v>
      </c>
      <c r="BU353" s="290">
        <v>0</v>
      </c>
      <c r="BV353" s="290">
        <v>18</v>
      </c>
      <c r="BW353" s="290">
        <v>0</v>
      </c>
      <c r="BX353" s="290">
        <v>0</v>
      </c>
      <c r="BY353" s="290">
        <v>143</v>
      </c>
      <c r="BZ353" s="290">
        <v>104</v>
      </c>
      <c r="CA353" s="290">
        <v>553.5</v>
      </c>
      <c r="CB353" s="290">
        <v>25</v>
      </c>
      <c r="CC353" s="290">
        <v>0</v>
      </c>
      <c r="CD353" s="290">
        <v>0</v>
      </c>
      <c r="CE353" s="290">
        <v>39880.777000000002</v>
      </c>
      <c r="CF353" s="290">
        <v>259.45142254415282</v>
      </c>
      <c r="CG353" s="290">
        <v>220.28944069206079</v>
      </c>
      <c r="CH353" s="290">
        <v>178.05556264615996</v>
      </c>
      <c r="CI353" s="290">
        <v>133.51914112954046</v>
      </c>
      <c r="CJ353" s="290"/>
    </row>
    <row r="354" spans="1:88" ht="13">
      <c r="A354" s="1">
        <v>5439</v>
      </c>
      <c r="B354" s="2" t="s">
        <v>254</v>
      </c>
      <c r="C354" s="289">
        <v>1097</v>
      </c>
      <c r="D354" s="290">
        <v>18</v>
      </c>
      <c r="E354" s="290">
        <v>46</v>
      </c>
      <c r="F354" s="290">
        <v>77</v>
      </c>
      <c r="G354" s="290">
        <v>74</v>
      </c>
      <c r="H354" s="290">
        <v>703</v>
      </c>
      <c r="I354" s="290">
        <v>159</v>
      </c>
      <c r="J354" s="290">
        <v>45</v>
      </c>
      <c r="K354" s="290">
        <v>8</v>
      </c>
      <c r="L354" s="290">
        <v>12</v>
      </c>
      <c r="M354" s="290">
        <v>118</v>
      </c>
      <c r="N354" s="290">
        <v>1.5</v>
      </c>
      <c r="O354" s="290">
        <v>14</v>
      </c>
      <c r="P354" s="624">
        <v>14416.186333330001</v>
      </c>
      <c r="Q354" s="624">
        <v>6911.7290000000003</v>
      </c>
      <c r="R354" s="1039">
        <v>4</v>
      </c>
      <c r="S354" s="290">
        <v>0</v>
      </c>
      <c r="T354" s="290">
        <v>166</v>
      </c>
      <c r="U354" s="958">
        <v>3.2328112254583212E-4</v>
      </c>
      <c r="V354" s="290">
        <v>735.56346125000005</v>
      </c>
      <c r="W354" s="765">
        <v>1</v>
      </c>
      <c r="X354" s="290">
        <v>1054</v>
      </c>
      <c r="Y354" s="290"/>
      <c r="Z354" s="290">
        <v>29754.233</v>
      </c>
      <c r="AA354" s="290">
        <v>1073</v>
      </c>
      <c r="AB354" s="290">
        <v>21</v>
      </c>
      <c r="AC354" s="290">
        <v>51</v>
      </c>
      <c r="AD354" s="290">
        <v>39</v>
      </c>
      <c r="AE354" s="290">
        <v>0</v>
      </c>
      <c r="AF354" s="290">
        <v>0</v>
      </c>
      <c r="AG354" s="290">
        <v>1130</v>
      </c>
      <c r="AH354" s="290">
        <v>134</v>
      </c>
      <c r="AI354" s="290">
        <v>2900</v>
      </c>
      <c r="AJ354" s="290">
        <v>0</v>
      </c>
      <c r="AK354" s="290">
        <v>0</v>
      </c>
      <c r="AL354" s="290">
        <v>9867</v>
      </c>
      <c r="AM354" s="957">
        <v>0.19307895</v>
      </c>
      <c r="AN354" s="290">
        <v>0</v>
      </c>
      <c r="AO354" s="290">
        <v>-368.17630973000001</v>
      </c>
      <c r="AP354" s="290">
        <v>0</v>
      </c>
      <c r="AQ354" s="290">
        <v>0</v>
      </c>
      <c r="AR354" s="290">
        <v>-42.676135070000001</v>
      </c>
      <c r="AS354" s="290">
        <v>85.761499999999998</v>
      </c>
      <c r="AT354" s="290">
        <v>78</v>
      </c>
      <c r="AU354" s="290">
        <v>26</v>
      </c>
      <c r="AV354" s="766">
        <v>69370</v>
      </c>
      <c r="AW354" s="290">
        <v>0</v>
      </c>
      <c r="AX354" s="766">
        <v>1.91665</v>
      </c>
      <c r="AY354" s="290">
        <v>146</v>
      </c>
      <c r="AZ354" s="290">
        <v>122</v>
      </c>
      <c r="BA354" s="290">
        <v>12</v>
      </c>
      <c r="BB354" s="290">
        <v>13068</v>
      </c>
      <c r="BC354" s="290">
        <v>2098.1657725800001</v>
      </c>
      <c r="BD354" s="290"/>
      <c r="BE354" s="290">
        <v>70385.892450150001</v>
      </c>
      <c r="BF354" s="290">
        <v>0</v>
      </c>
      <c r="BG354" s="290">
        <v>925</v>
      </c>
      <c r="BH354" s="290">
        <v>500</v>
      </c>
      <c r="BI354" s="290">
        <v>224</v>
      </c>
      <c r="BJ354" s="290">
        <v>13</v>
      </c>
      <c r="BK354" s="290">
        <v>36</v>
      </c>
      <c r="BL354" s="290">
        <v>0</v>
      </c>
      <c r="BM354" s="290">
        <v>0</v>
      </c>
      <c r="BN354" s="290">
        <v>23</v>
      </c>
      <c r="BO354" s="290">
        <v>-19</v>
      </c>
      <c r="BP354" s="290">
        <v>102</v>
      </c>
      <c r="BQ354" s="290">
        <v>203</v>
      </c>
      <c r="BR354" s="290">
        <v>154</v>
      </c>
      <c r="BS354" s="290">
        <v>30</v>
      </c>
      <c r="BT354" s="290">
        <v>0</v>
      </c>
      <c r="BU354" s="290">
        <v>0</v>
      </c>
      <c r="BV354" s="290">
        <v>21</v>
      </c>
      <c r="BW354" s="290">
        <v>0</v>
      </c>
      <c r="BX354" s="290">
        <v>0</v>
      </c>
      <c r="BY354" s="290">
        <v>116</v>
      </c>
      <c r="BZ354" s="290">
        <v>145</v>
      </c>
      <c r="CA354" s="290">
        <v>70.323999999999998</v>
      </c>
      <c r="CB354" s="290">
        <v>24</v>
      </c>
      <c r="CC354" s="290">
        <v>0</v>
      </c>
      <c r="CD354" s="290">
        <v>0</v>
      </c>
      <c r="CE354" s="290">
        <v>29754.233</v>
      </c>
      <c r="CF354" s="290">
        <v>0</v>
      </c>
      <c r="CG354" s="290">
        <v>0</v>
      </c>
      <c r="CH354" s="290">
        <v>0</v>
      </c>
      <c r="CI354" s="290">
        <v>0</v>
      </c>
      <c r="CJ354" s="290"/>
    </row>
    <row r="355" spans="1:88" ht="13">
      <c r="A355" s="1">
        <v>5440</v>
      </c>
      <c r="B355" s="2" t="s">
        <v>255</v>
      </c>
      <c r="C355" s="289">
        <v>928</v>
      </c>
      <c r="D355" s="290">
        <v>14</v>
      </c>
      <c r="E355" s="290">
        <v>28</v>
      </c>
      <c r="F355" s="290">
        <v>74</v>
      </c>
      <c r="G355" s="290">
        <v>59</v>
      </c>
      <c r="H355" s="290">
        <v>554</v>
      </c>
      <c r="I355" s="290">
        <v>156</v>
      </c>
      <c r="J355" s="290">
        <v>49</v>
      </c>
      <c r="K355" s="290">
        <v>15</v>
      </c>
      <c r="L355" s="290">
        <v>8</v>
      </c>
      <c r="M355" s="290">
        <v>134</v>
      </c>
      <c r="N355" s="290">
        <v>1.5</v>
      </c>
      <c r="O355" s="290">
        <v>11</v>
      </c>
      <c r="P355" s="624">
        <v>1896.6416666699999</v>
      </c>
      <c r="Q355" s="624">
        <v>1620.7670000000001</v>
      </c>
      <c r="R355" s="1039">
        <v>2</v>
      </c>
      <c r="S355" s="290">
        <v>0</v>
      </c>
      <c r="T355" s="290">
        <v>116</v>
      </c>
      <c r="U355" s="958">
        <v>1.8645827882762231E-4</v>
      </c>
      <c r="V355" s="290">
        <v>622.67420804000005</v>
      </c>
      <c r="W355" s="765">
        <v>1</v>
      </c>
      <c r="X355" s="290">
        <v>980</v>
      </c>
      <c r="Y355" s="290"/>
      <c r="Z355" s="290">
        <v>29748.058000000001</v>
      </c>
      <c r="AA355" s="290">
        <v>0</v>
      </c>
      <c r="AB355" s="290">
        <v>14</v>
      </c>
      <c r="AC355" s="290">
        <v>44</v>
      </c>
      <c r="AD355" s="290">
        <v>34</v>
      </c>
      <c r="AE355" s="290">
        <v>0</v>
      </c>
      <c r="AF355" s="290">
        <v>0</v>
      </c>
      <c r="AG355" s="290">
        <v>949</v>
      </c>
      <c r="AH355" s="290">
        <v>117</v>
      </c>
      <c r="AI355" s="290">
        <v>3181</v>
      </c>
      <c r="AJ355" s="290">
        <v>0</v>
      </c>
      <c r="AK355" s="290">
        <v>89</v>
      </c>
      <c r="AL355" s="290">
        <v>8341</v>
      </c>
      <c r="AM355" s="957">
        <v>4.1410759999999998E-2</v>
      </c>
      <c r="AN355" s="290">
        <v>0</v>
      </c>
      <c r="AO355" s="290">
        <v>-311.67112581999999</v>
      </c>
      <c r="AP355" s="290">
        <v>0</v>
      </c>
      <c r="AQ355" s="290">
        <v>0</v>
      </c>
      <c r="AR355" s="290">
        <v>-35.840400160000002</v>
      </c>
      <c r="AS355" s="290">
        <v>74.587999999999994</v>
      </c>
      <c r="AT355" s="290">
        <v>43</v>
      </c>
      <c r="AU355" s="290">
        <v>14</v>
      </c>
      <c r="AV355" s="766">
        <v>63110</v>
      </c>
      <c r="AW355" s="290">
        <v>0</v>
      </c>
      <c r="AX355" s="766">
        <v>4.7499500000000001</v>
      </c>
      <c r="AY355" s="290">
        <v>141</v>
      </c>
      <c r="AZ355" s="290">
        <v>63</v>
      </c>
      <c r="BA355" s="290">
        <v>16</v>
      </c>
      <c r="BB355" s="290">
        <v>13068</v>
      </c>
      <c r="BC355" s="290">
        <v>1980.5804434900001</v>
      </c>
      <c r="BD355" s="290"/>
      <c r="BE355" s="290">
        <v>61998.646032980003</v>
      </c>
      <c r="BF355" s="290">
        <v>0</v>
      </c>
      <c r="BG355" s="290">
        <v>777</v>
      </c>
      <c r="BH355" s="290">
        <v>500</v>
      </c>
      <c r="BI355" s="290">
        <v>284</v>
      </c>
      <c r="BJ355" s="290">
        <v>11</v>
      </c>
      <c r="BK355" s="290">
        <v>25</v>
      </c>
      <c r="BL355" s="290">
        <v>0</v>
      </c>
      <c r="BM355" s="290">
        <v>0</v>
      </c>
      <c r="BN355" s="290">
        <v>16</v>
      </c>
      <c r="BO355" s="290">
        <v>-9</v>
      </c>
      <c r="BP355" s="290">
        <v>86</v>
      </c>
      <c r="BQ355" s="290">
        <v>172</v>
      </c>
      <c r="BR355" s="290">
        <v>130</v>
      </c>
      <c r="BS355" s="290">
        <v>26</v>
      </c>
      <c r="BT355" s="290">
        <v>0</v>
      </c>
      <c r="BU355" s="290">
        <v>0</v>
      </c>
      <c r="BV355" s="290">
        <v>14</v>
      </c>
      <c r="BW355" s="290">
        <v>0</v>
      </c>
      <c r="BX355" s="290">
        <v>0</v>
      </c>
      <c r="BY355" s="290">
        <v>111</v>
      </c>
      <c r="BZ355" s="290">
        <v>267</v>
      </c>
      <c r="CA355" s="290">
        <v>568.19999999999993</v>
      </c>
      <c r="CB355" s="290">
        <v>22</v>
      </c>
      <c r="CC355" s="290">
        <v>0</v>
      </c>
      <c r="CD355" s="290">
        <v>0</v>
      </c>
      <c r="CE355" s="290">
        <v>29748.058000000001</v>
      </c>
      <c r="CF355" s="290">
        <v>34.541550338213341</v>
      </c>
      <c r="CG355" s="290">
        <v>0</v>
      </c>
      <c r="CH355" s="290">
        <v>0</v>
      </c>
      <c r="CI355" s="290">
        <v>0</v>
      </c>
      <c r="CJ355" s="290"/>
    </row>
    <row r="356" spans="1:88" ht="13">
      <c r="A356" s="1">
        <v>5441</v>
      </c>
      <c r="B356" s="2" t="s">
        <v>256</v>
      </c>
      <c r="C356" s="289">
        <v>2829</v>
      </c>
      <c r="D356" s="290">
        <v>60</v>
      </c>
      <c r="E356" s="290">
        <v>86</v>
      </c>
      <c r="F356" s="290">
        <v>267</v>
      </c>
      <c r="G356" s="290">
        <v>247</v>
      </c>
      <c r="H356" s="290">
        <v>1631</v>
      </c>
      <c r="I356" s="290">
        <v>443</v>
      </c>
      <c r="J356" s="290">
        <v>125</v>
      </c>
      <c r="K356" s="290">
        <v>18</v>
      </c>
      <c r="L356" s="290">
        <v>30</v>
      </c>
      <c r="M356" s="290">
        <v>332</v>
      </c>
      <c r="N356" s="290">
        <v>13</v>
      </c>
      <c r="O356" s="290">
        <v>21</v>
      </c>
      <c r="P356" s="624">
        <v>43630.906666670002</v>
      </c>
      <c r="Q356" s="624">
        <v>27125.51</v>
      </c>
      <c r="R356" s="1039">
        <v>22</v>
      </c>
      <c r="S356" s="290">
        <v>0</v>
      </c>
      <c r="T356" s="290">
        <v>311</v>
      </c>
      <c r="U356" s="958">
        <v>2.4139812885642341E-3</v>
      </c>
      <c r="V356" s="290">
        <v>-1942.2209856100001</v>
      </c>
      <c r="W356" s="765">
        <v>1</v>
      </c>
      <c r="X356" s="290">
        <v>921</v>
      </c>
      <c r="Y356" s="290"/>
      <c r="Z356" s="290">
        <v>80674.240999999995</v>
      </c>
      <c r="AA356" s="290">
        <v>0</v>
      </c>
      <c r="AB356" s="290">
        <v>55</v>
      </c>
      <c r="AC356" s="290">
        <v>143</v>
      </c>
      <c r="AD356" s="290">
        <v>81</v>
      </c>
      <c r="AE356" s="290">
        <v>0</v>
      </c>
      <c r="AF356" s="290">
        <v>0</v>
      </c>
      <c r="AG356" s="290">
        <v>2877</v>
      </c>
      <c r="AH356" s="290">
        <v>403</v>
      </c>
      <c r="AI356" s="290">
        <v>531</v>
      </c>
      <c r="AJ356" s="290">
        <v>0</v>
      </c>
      <c r="AK356" s="290">
        <v>0</v>
      </c>
      <c r="AL356" s="290">
        <v>25433</v>
      </c>
      <c r="AM356" s="957">
        <v>9.7171679999999996E-2</v>
      </c>
      <c r="AN356" s="290">
        <v>0</v>
      </c>
      <c r="AO356" s="290">
        <v>-877.83028876000003</v>
      </c>
      <c r="AP356" s="290">
        <v>0</v>
      </c>
      <c r="AQ356" s="290">
        <v>0</v>
      </c>
      <c r="AR356" s="290">
        <v>-108.65419522000001</v>
      </c>
      <c r="AS356" s="290">
        <v>241.77449999999999</v>
      </c>
      <c r="AT356" s="290">
        <v>155</v>
      </c>
      <c r="AU356" s="290">
        <v>34</v>
      </c>
      <c r="AV356" s="766">
        <v>144508</v>
      </c>
      <c r="AW356" s="290">
        <v>0</v>
      </c>
      <c r="AX356" s="766">
        <v>22.375050000000002</v>
      </c>
      <c r="AY356" s="290">
        <v>591</v>
      </c>
      <c r="AZ356" s="290">
        <v>157</v>
      </c>
      <c r="BA356" s="290">
        <v>59</v>
      </c>
      <c r="BB356" s="290">
        <v>13068</v>
      </c>
      <c r="BC356" s="290">
        <v>4631.1553357700004</v>
      </c>
      <c r="BD356" s="290"/>
      <c r="BE356" s="290">
        <v>140673.51558842999</v>
      </c>
      <c r="BF356" s="290">
        <v>0</v>
      </c>
      <c r="BG356" s="290">
        <v>2355</v>
      </c>
      <c r="BH356" s="290">
        <v>500</v>
      </c>
      <c r="BI356" s="290">
        <v>627</v>
      </c>
      <c r="BJ356" s="290">
        <v>33</v>
      </c>
      <c r="BK356" s="290">
        <v>84</v>
      </c>
      <c r="BL356" s="290">
        <v>0</v>
      </c>
      <c r="BM356" s="290">
        <v>0</v>
      </c>
      <c r="BN356" s="290">
        <v>52</v>
      </c>
      <c r="BO356" s="290">
        <v>-25</v>
      </c>
      <c r="BP356" s="290">
        <v>262</v>
      </c>
      <c r="BQ356" s="290">
        <v>525</v>
      </c>
      <c r="BR356" s="290">
        <v>397</v>
      </c>
      <c r="BS356" s="290">
        <v>61</v>
      </c>
      <c r="BT356" s="290">
        <v>0</v>
      </c>
      <c r="BU356" s="290">
        <v>0</v>
      </c>
      <c r="BV356" s="290">
        <v>48</v>
      </c>
      <c r="BW356" s="290">
        <v>0</v>
      </c>
      <c r="BX356" s="290">
        <v>0</v>
      </c>
      <c r="BY356" s="290">
        <v>332</v>
      </c>
      <c r="BZ356" s="290">
        <v>100</v>
      </c>
      <c r="CA356" s="290">
        <v>167.672</v>
      </c>
      <c r="CB356" s="290">
        <v>38</v>
      </c>
      <c r="CC356" s="290">
        <v>0</v>
      </c>
      <c r="CD356" s="290">
        <v>0</v>
      </c>
      <c r="CE356" s="290">
        <v>80674.240999999995</v>
      </c>
      <c r="CF356" s="290">
        <v>0</v>
      </c>
      <c r="CG356" s="290">
        <v>0</v>
      </c>
      <c r="CH356" s="290">
        <v>0</v>
      </c>
      <c r="CI356" s="290">
        <v>0</v>
      </c>
      <c r="CJ356" s="290"/>
    </row>
    <row r="357" spans="1:88" ht="13">
      <c r="A357" s="1">
        <v>5442</v>
      </c>
      <c r="B357" s="2" t="s">
        <v>257</v>
      </c>
      <c r="C357" s="289">
        <v>880</v>
      </c>
      <c r="D357" s="290">
        <v>10</v>
      </c>
      <c r="E357" s="290">
        <v>24</v>
      </c>
      <c r="F357" s="290">
        <v>94</v>
      </c>
      <c r="G357" s="290">
        <v>69</v>
      </c>
      <c r="H357" s="290">
        <v>479</v>
      </c>
      <c r="I357" s="290">
        <v>164</v>
      </c>
      <c r="J357" s="290">
        <v>57</v>
      </c>
      <c r="K357" s="290">
        <v>9</v>
      </c>
      <c r="L357" s="290">
        <v>10</v>
      </c>
      <c r="M357" s="290">
        <v>146</v>
      </c>
      <c r="N357" s="290">
        <v>1.5</v>
      </c>
      <c r="O357" s="290">
        <v>6</v>
      </c>
      <c r="P357" s="624">
        <v>6957.3536666700002</v>
      </c>
      <c r="Q357" s="624">
        <v>4275.5320000000002</v>
      </c>
      <c r="R357" s="1039">
        <v>4</v>
      </c>
      <c r="S357" s="290">
        <v>0</v>
      </c>
      <c r="T357" s="290">
        <v>94</v>
      </c>
      <c r="U357" s="958">
        <v>8.1228664910395479E-4</v>
      </c>
      <c r="V357" s="290">
        <v>666.90553996000006</v>
      </c>
      <c r="W357" s="765">
        <v>1</v>
      </c>
      <c r="X357" s="290">
        <v>668</v>
      </c>
      <c r="Y357" s="290"/>
      <c r="Z357" s="290">
        <v>24264.295999999998</v>
      </c>
      <c r="AA357" s="290">
        <v>0</v>
      </c>
      <c r="AB357" s="290">
        <v>11</v>
      </c>
      <c r="AC357" s="290">
        <v>53</v>
      </c>
      <c r="AD357" s="290">
        <v>36</v>
      </c>
      <c r="AE357" s="290">
        <v>0</v>
      </c>
      <c r="AF357" s="290">
        <v>0</v>
      </c>
      <c r="AG357" s="290">
        <v>906</v>
      </c>
      <c r="AH357" s="290">
        <v>123</v>
      </c>
      <c r="AI357" s="290">
        <v>144</v>
      </c>
      <c r="AJ357" s="290">
        <v>0</v>
      </c>
      <c r="AK357" s="290">
        <v>0</v>
      </c>
      <c r="AL357" s="290">
        <v>8071</v>
      </c>
      <c r="AM357" s="957">
        <v>2.169157E-2</v>
      </c>
      <c r="AN357" s="290">
        <v>0</v>
      </c>
      <c r="AO357" s="290">
        <v>-333.81051883999999</v>
      </c>
      <c r="AP357" s="290">
        <v>0</v>
      </c>
      <c r="AQ357" s="290">
        <v>0</v>
      </c>
      <c r="AR357" s="290">
        <v>-27.999817449999998</v>
      </c>
      <c r="AS357" s="290">
        <v>87.328999999999994</v>
      </c>
      <c r="AT357" s="290">
        <v>50</v>
      </c>
      <c r="AU357" s="290">
        <v>6</v>
      </c>
      <c r="AV357" s="766">
        <v>69878</v>
      </c>
      <c r="AW357" s="290">
        <v>0</v>
      </c>
      <c r="AX357" s="766">
        <v>4.9166499999999997</v>
      </c>
      <c r="AY357" s="290">
        <v>187</v>
      </c>
      <c r="AZ357" s="290">
        <v>62</v>
      </c>
      <c r="BA357" s="290">
        <v>18</v>
      </c>
      <c r="BB357" s="290">
        <v>13068</v>
      </c>
      <c r="BC357" s="290">
        <v>1578.8362782300001</v>
      </c>
      <c r="BD357" s="290"/>
      <c r="BE357" s="290">
        <v>67622.372023799995</v>
      </c>
      <c r="BF357" s="290">
        <v>0</v>
      </c>
      <c r="BG357" s="290">
        <v>742</v>
      </c>
      <c r="BH357" s="290">
        <v>500</v>
      </c>
      <c r="BI357" s="290">
        <v>212</v>
      </c>
      <c r="BJ357" s="290">
        <v>11</v>
      </c>
      <c r="BK357" s="290">
        <v>23</v>
      </c>
      <c r="BL357" s="290">
        <v>0</v>
      </c>
      <c r="BM357" s="290">
        <v>0</v>
      </c>
      <c r="BN357" s="290">
        <v>14</v>
      </c>
      <c r="BO357" s="290">
        <v>-7</v>
      </c>
      <c r="BP357" s="290">
        <v>82</v>
      </c>
      <c r="BQ357" s="290">
        <v>163</v>
      </c>
      <c r="BR357" s="290">
        <v>124</v>
      </c>
      <c r="BS357" s="290">
        <v>27</v>
      </c>
      <c r="BT357" s="290">
        <v>0</v>
      </c>
      <c r="BU357" s="290">
        <v>0</v>
      </c>
      <c r="BV357" s="290">
        <v>13</v>
      </c>
      <c r="BW357" s="290">
        <v>0</v>
      </c>
      <c r="BX357" s="290">
        <v>0</v>
      </c>
      <c r="BY357" s="290">
        <v>116</v>
      </c>
      <c r="BZ357" s="290">
        <v>63</v>
      </c>
      <c r="CA357" s="290">
        <v>197.39999999999998</v>
      </c>
      <c r="CB357" s="290">
        <v>22</v>
      </c>
      <c r="CC357" s="290">
        <v>0</v>
      </c>
      <c r="CD357" s="290">
        <v>0</v>
      </c>
      <c r="CE357" s="290">
        <v>24264.295999999998</v>
      </c>
      <c r="CF357" s="290">
        <v>0</v>
      </c>
      <c r="CG357" s="290">
        <v>0</v>
      </c>
      <c r="CH357" s="290">
        <v>0</v>
      </c>
      <c r="CI357" s="290">
        <v>0</v>
      </c>
      <c r="CJ357" s="290"/>
    </row>
    <row r="358" spans="1:88" ht="13">
      <c r="A358" s="1">
        <v>5443</v>
      </c>
      <c r="B358" s="2" t="s">
        <v>258</v>
      </c>
      <c r="C358" s="289">
        <v>2200</v>
      </c>
      <c r="D358" s="290">
        <v>43</v>
      </c>
      <c r="E358" s="290">
        <v>80</v>
      </c>
      <c r="F358" s="290">
        <v>220</v>
      </c>
      <c r="G358" s="290">
        <v>184</v>
      </c>
      <c r="H358" s="290">
        <v>1344</v>
      </c>
      <c r="I358" s="290">
        <v>254</v>
      </c>
      <c r="J358" s="290">
        <v>72</v>
      </c>
      <c r="K358" s="290">
        <v>13</v>
      </c>
      <c r="L358" s="290">
        <v>21</v>
      </c>
      <c r="M358" s="290">
        <v>158</v>
      </c>
      <c r="N358" s="290">
        <v>26</v>
      </c>
      <c r="O358" s="290">
        <v>47</v>
      </c>
      <c r="P358" s="624">
        <v>3094.3009999999999</v>
      </c>
      <c r="Q358" s="624">
        <v>2880.3343333299999</v>
      </c>
      <c r="R358" s="1039">
        <v>9</v>
      </c>
      <c r="S358" s="290">
        <v>0</v>
      </c>
      <c r="T358" s="290">
        <v>251</v>
      </c>
      <c r="U358" s="958">
        <v>2.0904834832046238E-4</v>
      </c>
      <c r="V358" s="290">
        <v>1216.83882718</v>
      </c>
      <c r="W358" s="765">
        <v>1</v>
      </c>
      <c r="X358" s="290">
        <v>1052</v>
      </c>
      <c r="Y358" s="290"/>
      <c r="Z358" s="290">
        <v>60652.347000000002</v>
      </c>
      <c r="AA358" s="290">
        <v>0</v>
      </c>
      <c r="AB358" s="290">
        <v>48</v>
      </c>
      <c r="AC358" s="290">
        <v>107</v>
      </c>
      <c r="AD358" s="290">
        <v>54</v>
      </c>
      <c r="AE358" s="290">
        <v>0</v>
      </c>
      <c r="AF358" s="290">
        <v>0</v>
      </c>
      <c r="AG358" s="290">
        <v>2210</v>
      </c>
      <c r="AH358" s="290">
        <v>333</v>
      </c>
      <c r="AI358" s="290">
        <v>330</v>
      </c>
      <c r="AJ358" s="290">
        <v>0</v>
      </c>
      <c r="AK358" s="290">
        <v>0</v>
      </c>
      <c r="AL358" s="290">
        <v>19358</v>
      </c>
      <c r="AM358" s="957">
        <v>0.21433896</v>
      </c>
      <c r="AN358" s="290">
        <v>0</v>
      </c>
      <c r="AO358" s="290">
        <v>-609.07216374999996</v>
      </c>
      <c r="AP358" s="290">
        <v>0</v>
      </c>
      <c r="AQ358" s="290">
        <v>0</v>
      </c>
      <c r="AR358" s="290">
        <v>-83.463945580000001</v>
      </c>
      <c r="AS358" s="290">
        <v>177.53800000000001</v>
      </c>
      <c r="AT358" s="290">
        <v>109</v>
      </c>
      <c r="AU358" s="290">
        <v>50</v>
      </c>
      <c r="AV358" s="766">
        <v>99239</v>
      </c>
      <c r="AW358" s="290">
        <v>0</v>
      </c>
      <c r="AX358" s="766">
        <v>13.00005</v>
      </c>
      <c r="AY358" s="290">
        <v>265</v>
      </c>
      <c r="AZ358" s="290">
        <v>194</v>
      </c>
      <c r="BA358" s="290">
        <v>49</v>
      </c>
      <c r="BB358" s="290">
        <v>10455</v>
      </c>
      <c r="BC358" s="290">
        <v>3491.9279094399999</v>
      </c>
      <c r="BD358" s="290"/>
      <c r="BE358" s="290">
        <v>96992.823869650005</v>
      </c>
      <c r="BF358" s="290">
        <v>0</v>
      </c>
      <c r="BG358" s="290">
        <v>1809</v>
      </c>
      <c r="BH358" s="290">
        <v>500</v>
      </c>
      <c r="BI358" s="290">
        <v>494</v>
      </c>
      <c r="BJ358" s="290">
        <v>26</v>
      </c>
      <c r="BK358" s="290">
        <v>69</v>
      </c>
      <c r="BL358" s="290">
        <v>0</v>
      </c>
      <c r="BM358" s="290">
        <v>0</v>
      </c>
      <c r="BN358" s="290">
        <v>43</v>
      </c>
      <c r="BO358" s="290">
        <v>-28</v>
      </c>
      <c r="BP358" s="290">
        <v>204</v>
      </c>
      <c r="BQ358" s="290">
        <v>408</v>
      </c>
      <c r="BR358" s="290">
        <v>309</v>
      </c>
      <c r="BS358" s="290">
        <v>40</v>
      </c>
      <c r="BT358" s="290">
        <v>0</v>
      </c>
      <c r="BU358" s="290">
        <v>0</v>
      </c>
      <c r="BV358" s="290">
        <v>40</v>
      </c>
      <c r="BW358" s="290">
        <v>0</v>
      </c>
      <c r="BX358" s="290">
        <v>0</v>
      </c>
      <c r="BY358" s="290">
        <v>210</v>
      </c>
      <c r="BZ358" s="290">
        <v>236</v>
      </c>
      <c r="CA358" s="290">
        <v>116.337</v>
      </c>
      <c r="CB358" s="290">
        <v>33</v>
      </c>
      <c r="CC358" s="290">
        <v>0</v>
      </c>
      <c r="CD358" s="290">
        <v>0</v>
      </c>
      <c r="CE358" s="290">
        <v>60652.347000000002</v>
      </c>
      <c r="CF358" s="290">
        <v>0</v>
      </c>
      <c r="CG358" s="290">
        <v>0</v>
      </c>
      <c r="CH358" s="290">
        <v>0</v>
      </c>
      <c r="CI358" s="290">
        <v>0</v>
      </c>
      <c r="CJ358" s="290"/>
    </row>
    <row r="359" spans="1:88" ht="13">
      <c r="A359" s="1">
        <v>5444</v>
      </c>
      <c r="B359" s="2" t="s">
        <v>260</v>
      </c>
      <c r="C359" s="289">
        <v>10103</v>
      </c>
      <c r="D359" s="290">
        <v>198</v>
      </c>
      <c r="E359" s="290">
        <v>357</v>
      </c>
      <c r="F359" s="290">
        <v>1069</v>
      </c>
      <c r="G359" s="290">
        <v>911</v>
      </c>
      <c r="H359" s="290">
        <v>5928</v>
      </c>
      <c r="I359" s="290">
        <v>1187</v>
      </c>
      <c r="J359" s="290">
        <v>373</v>
      </c>
      <c r="K359" s="290">
        <v>78</v>
      </c>
      <c r="L359" s="290">
        <v>93</v>
      </c>
      <c r="M359" s="290">
        <v>797</v>
      </c>
      <c r="N359" s="290">
        <v>139</v>
      </c>
      <c r="O359" s="290">
        <v>120</v>
      </c>
      <c r="P359" s="624">
        <v>84626.076333329998</v>
      </c>
      <c r="Q359" s="624">
        <v>38530.285666670003</v>
      </c>
      <c r="R359" s="1039">
        <v>28</v>
      </c>
      <c r="S359" s="290">
        <v>0</v>
      </c>
      <c r="T359" s="290">
        <v>1003</v>
      </c>
      <c r="U359" s="958">
        <v>1.3784520437542178E-3</v>
      </c>
      <c r="V359" s="290">
        <v>5060.6403951499997</v>
      </c>
      <c r="W359" s="765">
        <v>0.67372270999999995</v>
      </c>
      <c r="X359" s="290">
        <v>660</v>
      </c>
      <c r="Y359" s="290"/>
      <c r="Z359" s="290">
        <v>305104.79599999997</v>
      </c>
      <c r="AA359" s="290">
        <v>0</v>
      </c>
      <c r="AB359" s="290">
        <v>230</v>
      </c>
      <c r="AC359" s="290">
        <v>481</v>
      </c>
      <c r="AD359" s="290">
        <v>203</v>
      </c>
      <c r="AE359" s="290">
        <v>0</v>
      </c>
      <c r="AF359" s="290">
        <v>0</v>
      </c>
      <c r="AG359" s="290">
        <v>10101</v>
      </c>
      <c r="AH359" s="290">
        <v>1578</v>
      </c>
      <c r="AI359" s="290">
        <v>500</v>
      </c>
      <c r="AJ359" s="290">
        <v>0</v>
      </c>
      <c r="AK359" s="290">
        <v>0</v>
      </c>
      <c r="AL359" s="290">
        <v>88537</v>
      </c>
      <c r="AM359" s="957">
        <v>0.25138279000000002</v>
      </c>
      <c r="AN359" s="290">
        <v>0</v>
      </c>
      <c r="AO359" s="290">
        <v>-2533.0348823499999</v>
      </c>
      <c r="AP359" s="290">
        <v>0</v>
      </c>
      <c r="AQ359" s="290">
        <v>0</v>
      </c>
      <c r="AR359" s="290">
        <v>-381.47932774999998</v>
      </c>
      <c r="AS359" s="290">
        <v>787.524</v>
      </c>
      <c r="AT359" s="290">
        <v>517</v>
      </c>
      <c r="AU359" s="290">
        <v>111</v>
      </c>
      <c r="AV359" s="766">
        <v>347732</v>
      </c>
      <c r="AW359" s="290">
        <v>615</v>
      </c>
      <c r="AX359" s="766">
        <v>90.833299999999994</v>
      </c>
      <c r="AY359" s="290">
        <v>2429</v>
      </c>
      <c r="AZ359" s="290">
        <v>452</v>
      </c>
      <c r="BA359" s="290">
        <v>226</v>
      </c>
      <c r="BB359" s="290">
        <v>0</v>
      </c>
      <c r="BC359" s="290">
        <v>13985.141195099999</v>
      </c>
      <c r="BD359" s="290"/>
      <c r="BE359" s="290">
        <v>335704.22386804002</v>
      </c>
      <c r="BF359" s="290">
        <v>0</v>
      </c>
      <c r="BG359" s="290">
        <v>8269</v>
      </c>
      <c r="BH359" s="290">
        <v>1000</v>
      </c>
      <c r="BI359" s="290">
        <v>2262</v>
      </c>
      <c r="BJ359" s="290">
        <v>117</v>
      </c>
      <c r="BK359" s="290">
        <v>347</v>
      </c>
      <c r="BL359" s="290">
        <v>0</v>
      </c>
      <c r="BM359" s="290">
        <v>0</v>
      </c>
      <c r="BN359" s="290">
        <v>217</v>
      </c>
      <c r="BO359" s="290">
        <v>-87</v>
      </c>
      <c r="BP359" s="290">
        <v>937</v>
      </c>
      <c r="BQ359" s="290">
        <v>1874</v>
      </c>
      <c r="BR359" s="290">
        <v>1419</v>
      </c>
      <c r="BS359" s="290">
        <v>152</v>
      </c>
      <c r="BT359" s="290">
        <v>0</v>
      </c>
      <c r="BU359" s="290">
        <v>0</v>
      </c>
      <c r="BV359" s="290">
        <v>200</v>
      </c>
      <c r="BW359" s="290">
        <v>0</v>
      </c>
      <c r="BX359" s="290">
        <v>0</v>
      </c>
      <c r="BY359" s="290">
        <v>1019</v>
      </c>
      <c r="BZ359" s="290">
        <v>1191</v>
      </c>
      <c r="CA359" s="290">
        <v>1259.9000000000001</v>
      </c>
      <c r="CB359" s="290">
        <v>96</v>
      </c>
      <c r="CC359" s="290">
        <v>1</v>
      </c>
      <c r="CD359" s="290">
        <v>0</v>
      </c>
      <c r="CE359" s="290">
        <v>305104.79599999997</v>
      </c>
      <c r="CF359" s="290">
        <v>0</v>
      </c>
      <c r="CG359" s="290">
        <v>0</v>
      </c>
      <c r="CH359" s="290">
        <v>0</v>
      </c>
      <c r="CI359" s="290">
        <v>0</v>
      </c>
      <c r="CJ359" s="290"/>
    </row>
    <row r="360" spans="1:88"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F360" s="289"/>
      <c r="CG360" s="289"/>
      <c r="CH360" s="289"/>
      <c r="CI360" s="289"/>
    </row>
    <row r="361" spans="1:88" ht="13">
      <c r="A361" s="1"/>
      <c r="B361" s="2" t="s">
        <v>261</v>
      </c>
      <c r="C361" s="289">
        <f t="shared" ref="C361:AH361" si="0">SUM(C4:C359)</f>
        <v>5391369</v>
      </c>
      <c r="D361" s="289">
        <f t="shared" si="0"/>
        <v>109851</v>
      </c>
      <c r="E361" s="289">
        <f t="shared" si="0"/>
        <v>237316</v>
      </c>
      <c r="F361" s="289">
        <f t="shared" si="0"/>
        <v>641420</v>
      </c>
      <c r="G361" s="289">
        <f t="shared" si="0"/>
        <v>453148</v>
      </c>
      <c r="H361" s="289">
        <f t="shared" si="0"/>
        <v>3093029</v>
      </c>
      <c r="I361" s="289">
        <f t="shared" si="0"/>
        <v>605814</v>
      </c>
      <c r="J361" s="289">
        <f t="shared" si="0"/>
        <v>188542</v>
      </c>
      <c r="K361" s="289">
        <f t="shared" si="0"/>
        <v>45875</v>
      </c>
      <c r="L361" s="289">
        <f t="shared" si="0"/>
        <v>40489</v>
      </c>
      <c r="M361" s="289">
        <f t="shared" si="0"/>
        <v>367626</v>
      </c>
      <c r="N361" s="290">
        <f t="shared" si="0"/>
        <v>155864.5</v>
      </c>
      <c r="O361" s="289">
        <f t="shared" si="0"/>
        <v>51419</v>
      </c>
      <c r="P361" s="289">
        <f t="shared" si="0"/>
        <v>20827541.169325836</v>
      </c>
      <c r="Q361" s="289">
        <f t="shared" si="0"/>
        <v>9518719.3936629929</v>
      </c>
      <c r="R361" s="289">
        <f t="shared" si="0"/>
        <v>19681</v>
      </c>
      <c r="S361" s="289">
        <f t="shared" si="0"/>
        <v>12768</v>
      </c>
      <c r="T361" s="289">
        <f t="shared" si="0"/>
        <v>488624</v>
      </c>
      <c r="U361" s="958">
        <f t="shared" si="0"/>
        <v>1.0000000000000007</v>
      </c>
      <c r="V361" s="178">
        <f t="shared" si="0"/>
        <v>-1.9979779608547688E-8</v>
      </c>
      <c r="W361" s="801">
        <f t="shared" si="0"/>
        <v>274.58229885999981</v>
      </c>
      <c r="X361" s="289">
        <f t="shared" si="0"/>
        <v>507020</v>
      </c>
      <c r="Y361" s="289">
        <f t="shared" si="0"/>
        <v>0</v>
      </c>
      <c r="Z361" s="289">
        <f t="shared" si="0"/>
        <v>195955452.35900015</v>
      </c>
      <c r="AA361" s="289">
        <f t="shared" si="0"/>
        <v>55000</v>
      </c>
      <c r="AB361" s="289">
        <f t="shared" si="0"/>
        <v>115718</v>
      </c>
      <c r="AC361" s="289">
        <f t="shared" si="0"/>
        <v>676201</v>
      </c>
      <c r="AD361" s="289">
        <f t="shared" si="0"/>
        <v>100000</v>
      </c>
      <c r="AE361" s="289">
        <f t="shared" si="0"/>
        <v>190848</v>
      </c>
      <c r="AF361" s="289">
        <f t="shared" si="0"/>
        <v>1389169</v>
      </c>
      <c r="AG361" s="289">
        <f t="shared" si="0"/>
        <v>5374995</v>
      </c>
      <c r="AH361" s="289">
        <f t="shared" si="0"/>
        <v>928990</v>
      </c>
      <c r="AI361" s="289">
        <f t="shared" ref="AI361:CE361" si="1">SUM(AI4:AI359)</f>
        <v>342979.99999999994</v>
      </c>
      <c r="AJ361" s="289">
        <f t="shared" si="1"/>
        <v>251449.92199999999</v>
      </c>
      <c r="AK361" s="289">
        <f t="shared" si="1"/>
        <v>174400</v>
      </c>
      <c r="AL361" s="289">
        <f t="shared" si="1"/>
        <v>1789344</v>
      </c>
      <c r="AM361" s="617">
        <f t="shared" si="1"/>
        <v>171.39600564999989</v>
      </c>
      <c r="AN361" s="289">
        <f t="shared" si="1"/>
        <v>462259</v>
      </c>
      <c r="AO361" s="289">
        <f t="shared" si="1"/>
        <v>-1374295.9999999502</v>
      </c>
      <c r="AP361" s="289">
        <f t="shared" si="1"/>
        <v>604898</v>
      </c>
      <c r="AQ361" s="289">
        <f t="shared" si="1"/>
        <v>-27093.27154595</v>
      </c>
      <c r="AR361" s="289">
        <f t="shared" si="1"/>
        <v>-5.995462970531662E-8</v>
      </c>
      <c r="AS361" s="176">
        <f t="shared" si="1"/>
        <v>658415.99749990948</v>
      </c>
      <c r="AT361" s="289">
        <f t="shared" si="1"/>
        <v>280827</v>
      </c>
      <c r="AU361" s="289">
        <f t="shared" si="1"/>
        <v>57174</v>
      </c>
      <c r="AV361" s="289">
        <f t="shared" si="1"/>
        <v>147776307</v>
      </c>
      <c r="AW361" s="289">
        <f t="shared" si="1"/>
        <v>1500000</v>
      </c>
      <c r="AX361" s="625">
        <f t="shared" si="1"/>
        <v>39438.333050000001</v>
      </c>
      <c r="AY361" s="289">
        <f t="shared" si="1"/>
        <v>1452561</v>
      </c>
      <c r="AZ361" s="289">
        <f t="shared" si="1"/>
        <v>285344</v>
      </c>
      <c r="BA361" s="289">
        <f t="shared" si="1"/>
        <v>113292</v>
      </c>
      <c r="BB361" s="289">
        <f>SUM(BB4:BB359)</f>
        <v>826156</v>
      </c>
      <c r="BC361" s="289">
        <f t="shared" si="1"/>
        <v>8473400.0855209213</v>
      </c>
      <c r="BD361" s="289">
        <f t="shared" si="1"/>
        <v>0</v>
      </c>
      <c r="BE361" s="289">
        <f t="shared" si="1"/>
        <v>139041759.99999985</v>
      </c>
      <c r="BF361" s="289">
        <f t="shared" si="1"/>
        <v>-30580</v>
      </c>
      <c r="BG361" s="289">
        <f t="shared" si="1"/>
        <v>4400000</v>
      </c>
      <c r="BH361" s="289">
        <f t="shared" si="1"/>
        <v>321000</v>
      </c>
      <c r="BI361" s="289">
        <f t="shared" si="1"/>
        <v>1366179</v>
      </c>
      <c r="BJ361" s="289">
        <f t="shared" si="1"/>
        <v>65000</v>
      </c>
      <c r="BK361" s="289">
        <f t="shared" si="1"/>
        <v>215820</v>
      </c>
      <c r="BL361" s="289">
        <f t="shared" si="1"/>
        <v>-1935042</v>
      </c>
      <c r="BM361" s="289">
        <f t="shared" si="1"/>
        <v>202897</v>
      </c>
      <c r="BN361" s="289">
        <f t="shared" si="1"/>
        <v>135000</v>
      </c>
      <c r="BO361" s="289">
        <f t="shared" si="1"/>
        <v>-50000</v>
      </c>
      <c r="BP361" s="289">
        <f t="shared" si="1"/>
        <v>500000</v>
      </c>
      <c r="BQ361" s="289">
        <f t="shared" si="1"/>
        <v>1000000</v>
      </c>
      <c r="BR361" s="289">
        <f t="shared" si="1"/>
        <v>757000</v>
      </c>
      <c r="BS361" s="289">
        <f t="shared" si="1"/>
        <v>75000</v>
      </c>
      <c r="BT361" s="289">
        <f t="shared" si="1"/>
        <v>4064</v>
      </c>
      <c r="BU361" s="289">
        <f t="shared" si="1"/>
        <v>58977</v>
      </c>
      <c r="BV361" s="289">
        <f t="shared" si="1"/>
        <v>124200</v>
      </c>
      <c r="BW361" s="289">
        <f t="shared" si="1"/>
        <v>-129488</v>
      </c>
      <c r="BX361" s="289">
        <f t="shared" si="1"/>
        <v>29385.999999999996</v>
      </c>
      <c r="BY361" s="289">
        <f t="shared" si="1"/>
        <v>528000</v>
      </c>
      <c r="BZ361" s="289">
        <f t="shared" si="1"/>
        <v>1500000</v>
      </c>
      <c r="CA361" s="289">
        <f t="shared" si="1"/>
        <v>750000</v>
      </c>
      <c r="CB361" s="289">
        <f t="shared" si="1"/>
        <v>50000</v>
      </c>
      <c r="CC361" s="289">
        <f t="shared" si="1"/>
        <v>350</v>
      </c>
      <c r="CD361" s="289">
        <f t="shared" si="1"/>
        <v>100000</v>
      </c>
      <c r="CE361" s="289">
        <f t="shared" si="1"/>
        <v>195970451.51500013</v>
      </c>
      <c r="CF361" s="289">
        <f>SUM(CF4:CF360)</f>
        <v>205800</v>
      </c>
      <c r="CG361" s="289">
        <f t="shared" ref="CG361:CJ361" si="2">SUM(CG4:CG360)</f>
        <v>237199.99999999994</v>
      </c>
      <c r="CH361" s="289">
        <f t="shared" si="2"/>
        <v>268600.00000000012</v>
      </c>
      <c r="CI361" s="289">
        <f t="shared" si="2"/>
        <v>300000.00000000006</v>
      </c>
      <c r="CJ361" s="289">
        <f t="shared" si="2"/>
        <v>0</v>
      </c>
    </row>
    <row r="362" spans="1:88" ht="13">
      <c r="BK362" s="290"/>
    </row>
    <row r="363" spans="1:88" ht="13">
      <c r="B363" s="756" t="s">
        <v>2350</v>
      </c>
      <c r="N363" s="5"/>
      <c r="O363" s="5"/>
      <c r="AC363" s="5"/>
      <c r="AG363" s="5"/>
      <c r="AJ363" s="5"/>
      <c r="AK363" s="5"/>
      <c r="BE363" s="5"/>
      <c r="BH363" s="5"/>
      <c r="BI363" s="5"/>
      <c r="BJ363" s="5"/>
      <c r="BK363" s="290"/>
      <c r="BL363" s="5"/>
      <c r="BM363" s="5"/>
      <c r="BP363" s="5"/>
      <c r="BS363" s="5"/>
      <c r="BU363" s="5"/>
      <c r="BX363" s="290">
        <v>114</v>
      </c>
      <c r="CE363" s="5">
        <f>+CE361-Z361</f>
        <v>14999.155999988317</v>
      </c>
      <c r="CF363" s="5"/>
      <c r="CG363" s="5"/>
      <c r="CH363" s="5"/>
      <c r="CI363" s="5"/>
    </row>
    <row r="364" spans="1:88" ht="13">
      <c r="C364" s="5">
        <f>SUM(C283:C359)</f>
        <v>713292</v>
      </c>
      <c r="X364" s="5"/>
      <c r="AF364" s="289">
        <f>AF124+AF127</f>
        <v>-19350</v>
      </c>
      <c r="BI364" s="5"/>
      <c r="BL364" s="5"/>
      <c r="BN364" s="5"/>
      <c r="BO364" s="5"/>
      <c r="BP364" s="5"/>
      <c r="BQ364" s="289"/>
      <c r="BU364" s="5"/>
      <c r="CF364" s="5"/>
      <c r="CG364" s="5"/>
      <c r="CH364" s="5"/>
      <c r="CI364" s="5"/>
    </row>
    <row r="365" spans="1:88" ht="13">
      <c r="C365" s="5">
        <f>SUM(C28:C53)</f>
        <v>265544</v>
      </c>
      <c r="AF365" s="289">
        <f>+AF361-AF364</f>
        <v>1408519</v>
      </c>
      <c r="AJ365" s="289">
        <f>+S361+AJ361+AA361</f>
        <v>319217.92200000002</v>
      </c>
      <c r="BE365" s="5"/>
      <c r="BL365" s="5"/>
      <c r="BU365" s="5"/>
      <c r="CF365" s="5"/>
      <c r="CG365" s="5"/>
      <c r="CH365" s="5"/>
      <c r="CI365" s="5"/>
    </row>
    <row r="366" spans="1:88">
      <c r="C366" s="5">
        <f>+C364+C365</f>
        <v>978836</v>
      </c>
      <c r="BJ366" s="5"/>
      <c r="BM366" s="5"/>
    </row>
    <row r="367" spans="1:88">
      <c r="C367" s="1138">
        <f>+C366/C361</f>
        <v>0.18155611311338549</v>
      </c>
    </row>
    <row r="368" spans="1:88">
      <c r="BQ368" s="5"/>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5"/>
    </row>
    <row r="377" spans="69:71">
      <c r="BQ377" s="5">
        <f>+'R21'!D95+'R21'!D94+'R21'!D93+'R21'!D92+'R21'!D91+'R21'!D90</f>
        <v>134458338</v>
      </c>
    </row>
    <row r="378" spans="69:71">
      <c r="BQ378" s="5">
        <f>+BG361+BH361+BJ361+BK361+BN361+BO361+BQ364</f>
        <v>5086820</v>
      </c>
    </row>
    <row r="380" spans="69:71">
      <c r="BQ380" s="5">
        <f>+BQ377+BQ378</f>
        <v>139545158</v>
      </c>
    </row>
    <row r="381" spans="69:71">
      <c r="BQ381" s="629"/>
    </row>
    <row r="382" spans="69:71">
      <c r="BQ382" s="5">
        <f>+BP361+BQ361+BR361+BS361+BV361+BW361</f>
        <v>2326712</v>
      </c>
    </row>
    <row r="383" spans="69:71">
      <c r="BQ383" s="629"/>
    </row>
    <row r="384" spans="69:71">
      <c r="BQ384" s="5">
        <f>+BQ380+BQ382</f>
        <v>141871870</v>
      </c>
      <c r="BR384" s="629">
        <v>141971870</v>
      </c>
      <c r="BS384" s="629">
        <v>141847670</v>
      </c>
    </row>
    <row r="386" spans="69:69">
      <c r="BQ386" s="5">
        <f>+BQ384+BR374</f>
        <v>142701720</v>
      </c>
    </row>
    <row r="387" spans="69:69">
      <c r="BQ387" s="629">
        <v>143329720</v>
      </c>
    </row>
    <row r="388" spans="69:69">
      <c r="BQ388" s="5">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AW4" activePane="bottomRight" state="frozen"/>
      <selection activeCell="J9" sqref="J9"/>
      <selection pane="topRight" activeCell="J9" sqref="J9"/>
      <selection pane="bottomLeft" activeCell="J9" sqref="J9"/>
      <selection pane="bottomRight" activeCell="CD4" sqref="CD4"/>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2" width="17" customWidth="1"/>
    <col min="94" max="95" width="16" customWidth="1"/>
  </cols>
  <sheetData>
    <row r="1" spans="1:100"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row>
    <row r="2" spans="1:100" s="85" customFormat="1" ht="80.25" customHeight="1">
      <c r="A2" s="120" t="s">
        <v>775</v>
      </c>
      <c r="B2" s="120" t="s">
        <v>776</v>
      </c>
      <c r="C2" s="122" t="s">
        <v>2228</v>
      </c>
      <c r="D2" s="120" t="s">
        <v>1004</v>
      </c>
      <c r="E2" s="120" t="s">
        <v>1005</v>
      </c>
      <c r="F2" s="120" t="s">
        <v>777</v>
      </c>
      <c r="G2" s="120" t="s">
        <v>163</v>
      </c>
      <c r="H2" s="120" t="s">
        <v>158</v>
      </c>
      <c r="I2" s="120" t="s">
        <v>723</v>
      </c>
      <c r="J2" s="120" t="s">
        <v>724</v>
      </c>
      <c r="K2" s="120" t="s">
        <v>265</v>
      </c>
      <c r="L2" s="120" t="s">
        <v>726</v>
      </c>
      <c r="M2" s="120" t="s">
        <v>727</v>
      </c>
      <c r="N2" s="122" t="s">
        <v>757</v>
      </c>
      <c r="O2" s="122" t="s">
        <v>2231</v>
      </c>
      <c r="P2" s="120" t="s">
        <v>348</v>
      </c>
      <c r="Q2" s="120" t="s">
        <v>347</v>
      </c>
      <c r="R2" s="120" t="s">
        <v>264</v>
      </c>
      <c r="S2" s="122" t="s">
        <v>2530</v>
      </c>
      <c r="T2" s="122" t="s">
        <v>1120</v>
      </c>
      <c r="U2" s="122" t="s">
        <v>747</v>
      </c>
      <c r="V2" s="122" t="s">
        <v>768</v>
      </c>
      <c r="W2" s="122" t="s">
        <v>1938</v>
      </c>
      <c r="X2" s="122" t="s">
        <v>269</v>
      </c>
      <c r="Y2" s="122"/>
      <c r="Z2" s="122" t="s">
        <v>2229</v>
      </c>
      <c r="AA2" s="122" t="s">
        <v>2281</v>
      </c>
      <c r="AB2" s="122" t="s">
        <v>759</v>
      </c>
      <c r="AC2" s="120" t="s">
        <v>2282</v>
      </c>
      <c r="AD2" s="120" t="s">
        <v>2658</v>
      </c>
      <c r="AE2" s="122" t="s">
        <v>917</v>
      </c>
      <c r="AF2" s="122" t="s">
        <v>1064</v>
      </c>
      <c r="AG2" s="122" t="s">
        <v>2230</v>
      </c>
      <c r="AH2" s="122" t="s">
        <v>1024</v>
      </c>
      <c r="AI2" s="122" t="s">
        <v>259</v>
      </c>
      <c r="AJ2" s="122" t="s">
        <v>2566</v>
      </c>
      <c r="AK2" s="122" t="s">
        <v>1940</v>
      </c>
      <c r="AL2" s="122" t="s">
        <v>2279</v>
      </c>
      <c r="AM2" s="120" t="s">
        <v>758</v>
      </c>
      <c r="AN2" s="122" t="s">
        <v>2280</v>
      </c>
      <c r="AO2" s="122" t="s">
        <v>1945</v>
      </c>
      <c r="AP2" s="122" t="s">
        <v>11</v>
      </c>
      <c r="AQ2" s="122" t="s">
        <v>1179</v>
      </c>
      <c r="AR2" s="122" t="s">
        <v>2108</v>
      </c>
      <c r="AS2" s="122" t="s">
        <v>1946</v>
      </c>
      <c r="AT2" s="122" t="s">
        <v>977</v>
      </c>
      <c r="AU2" s="122" t="s">
        <v>978</v>
      </c>
      <c r="AV2" s="122" t="s">
        <v>2283</v>
      </c>
      <c r="AW2" s="122"/>
      <c r="AX2" s="120" t="s">
        <v>1002</v>
      </c>
      <c r="AY2" s="122" t="s">
        <v>161</v>
      </c>
      <c r="AZ2" s="122" t="s">
        <v>975</v>
      </c>
      <c r="BA2" s="122" t="s">
        <v>159</v>
      </c>
      <c r="BB2" s="122" t="s">
        <v>1428</v>
      </c>
      <c r="BC2" s="122" t="s">
        <v>2289</v>
      </c>
      <c r="BD2" s="122"/>
      <c r="BE2" s="122" t="s">
        <v>2300</v>
      </c>
      <c r="BF2" s="122" t="s">
        <v>1169</v>
      </c>
      <c r="BG2" s="122" t="s">
        <v>2656</v>
      </c>
      <c r="BH2" s="122" t="s">
        <v>2657</v>
      </c>
      <c r="BI2" s="122" t="s">
        <v>2299</v>
      </c>
      <c r="BJ2" s="122" t="s">
        <v>2658</v>
      </c>
      <c r="BK2" s="122"/>
      <c r="BL2" s="122"/>
      <c r="BM2" s="122" t="s">
        <v>2075</v>
      </c>
      <c r="BN2" s="122" t="s">
        <v>2320</v>
      </c>
      <c r="BO2" s="122" t="s">
        <v>2344</v>
      </c>
      <c r="BP2" s="122" t="s">
        <v>2321</v>
      </c>
      <c r="BQ2" s="122" t="s">
        <v>2322</v>
      </c>
      <c r="BR2" s="122" t="s">
        <v>2323</v>
      </c>
      <c r="BS2" s="122" t="s">
        <v>2324</v>
      </c>
      <c r="BT2" s="122" t="s">
        <v>2325</v>
      </c>
      <c r="BU2" s="122" t="s">
        <v>1376</v>
      </c>
      <c r="BV2" s="122" t="s">
        <v>2333</v>
      </c>
      <c r="BW2" s="122" t="s">
        <v>2334</v>
      </c>
      <c r="BX2" s="122" t="s">
        <v>2338</v>
      </c>
      <c r="BY2" s="122" t="s">
        <v>2339</v>
      </c>
      <c r="BZ2" s="122" t="s">
        <v>2345</v>
      </c>
      <c r="CA2" s="122" t="s">
        <v>2340</v>
      </c>
      <c r="CB2" s="122" t="s">
        <v>2362</v>
      </c>
      <c r="CC2" s="122" t="s">
        <v>2388</v>
      </c>
      <c r="CD2" s="122" t="s">
        <v>2433</v>
      </c>
      <c r="CE2" s="122" t="s">
        <v>2527</v>
      </c>
      <c r="CF2" s="122" t="s">
        <v>2526</v>
      </c>
      <c r="CG2" s="122" t="s">
        <v>2525</v>
      </c>
      <c r="CH2" s="122" t="s">
        <v>2524</v>
      </c>
      <c r="CI2" s="122" t="s">
        <v>2528</v>
      </c>
      <c r="CJ2" s="122" t="s">
        <v>2529</v>
      </c>
      <c r="CK2" s="122" t="s">
        <v>2383</v>
      </c>
      <c r="CL2" s="122" t="s">
        <v>2115</v>
      </c>
      <c r="CM2" s="122" t="s">
        <v>2116</v>
      </c>
      <c r="CN2" s="122" t="s">
        <v>2155</v>
      </c>
      <c r="CP2" s="1160" t="s">
        <v>2508</v>
      </c>
      <c r="CQ2" s="1160"/>
    </row>
    <row r="3" spans="1:100"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1153">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956">
        <v>56</v>
      </c>
      <c r="BE3" s="956">
        <v>57</v>
      </c>
      <c r="BF3" s="956">
        <v>58</v>
      </c>
      <c r="BG3" s="1235">
        <v>59</v>
      </c>
      <c r="BH3" s="1235">
        <v>60</v>
      </c>
      <c r="BI3" s="956">
        <v>61</v>
      </c>
      <c r="BJ3" s="1235">
        <v>62</v>
      </c>
      <c r="BK3" s="956">
        <v>63</v>
      </c>
      <c r="BL3" s="956">
        <v>64</v>
      </c>
      <c r="BM3" s="956">
        <v>65</v>
      </c>
      <c r="BN3" s="1123">
        <v>66</v>
      </c>
      <c r="BO3" s="1123">
        <v>67</v>
      </c>
      <c r="BP3" s="1123">
        <v>68</v>
      </c>
      <c r="BQ3" s="1123">
        <v>69</v>
      </c>
      <c r="BR3" s="1123">
        <v>70</v>
      </c>
      <c r="BS3" s="1123">
        <v>71</v>
      </c>
      <c r="BT3" s="1123">
        <v>72</v>
      </c>
      <c r="BU3" s="956">
        <v>73</v>
      </c>
      <c r="BV3" s="1123">
        <v>74</v>
      </c>
      <c r="BW3" s="1123">
        <v>75</v>
      </c>
      <c r="BX3" s="1132">
        <v>76</v>
      </c>
      <c r="BY3" s="1132">
        <v>77</v>
      </c>
      <c r="BZ3" s="1132">
        <v>78</v>
      </c>
      <c r="CA3" s="1123">
        <v>79</v>
      </c>
      <c r="CB3" s="1135">
        <v>80</v>
      </c>
      <c r="CC3" s="1135">
        <v>81</v>
      </c>
      <c r="CD3" s="1135">
        <v>82</v>
      </c>
      <c r="CE3" s="1153">
        <v>83</v>
      </c>
      <c r="CF3" s="1153">
        <v>84</v>
      </c>
      <c r="CG3" s="1153">
        <v>85</v>
      </c>
      <c r="CH3" s="1153">
        <v>86</v>
      </c>
      <c r="CI3" s="1153">
        <v>87</v>
      </c>
      <c r="CJ3" s="1153">
        <v>88</v>
      </c>
      <c r="CK3" s="1141">
        <v>89</v>
      </c>
      <c r="CL3" s="1077">
        <v>90</v>
      </c>
      <c r="CM3" s="1077">
        <v>91</v>
      </c>
      <c r="CN3" s="1077">
        <f t="shared" ref="CN3:CQ3" si="0">CM3+1</f>
        <v>92</v>
      </c>
      <c r="CO3" s="1077">
        <f t="shared" si="0"/>
        <v>93</v>
      </c>
      <c r="CP3" s="1077">
        <f t="shared" si="0"/>
        <v>94</v>
      </c>
      <c r="CQ3" s="1077">
        <f t="shared" si="0"/>
        <v>95</v>
      </c>
    </row>
    <row r="4" spans="1:100" s="85" customFormat="1" ht="13">
      <c r="A4" s="1">
        <v>301</v>
      </c>
      <c r="B4" s="2" t="s">
        <v>823</v>
      </c>
      <c r="C4" s="289">
        <v>699827</v>
      </c>
      <c r="D4" s="290">
        <v>17401</v>
      </c>
      <c r="E4" s="290">
        <v>30703</v>
      </c>
      <c r="F4" s="290">
        <v>71595</v>
      </c>
      <c r="G4" s="290">
        <v>50434</v>
      </c>
      <c r="H4" s="290">
        <v>447154</v>
      </c>
      <c r="I4" s="290">
        <v>57135</v>
      </c>
      <c r="J4" s="290">
        <v>16739</v>
      </c>
      <c r="K4" s="290">
        <v>4947</v>
      </c>
      <c r="L4" s="290">
        <v>5134</v>
      </c>
      <c r="M4" s="290">
        <v>40913</v>
      </c>
      <c r="N4" s="290">
        <v>36902</v>
      </c>
      <c r="O4" s="290">
        <v>6430</v>
      </c>
      <c r="P4" s="624">
        <v>1341180.9113332999</v>
      </c>
      <c r="Q4" s="624">
        <v>568576.53133332997</v>
      </c>
      <c r="R4" s="624">
        <v>1704</v>
      </c>
      <c r="S4" s="290">
        <v>12931</v>
      </c>
      <c r="T4" s="290">
        <v>92272</v>
      </c>
      <c r="U4" s="958">
        <v>8.4809549529626948E-4</v>
      </c>
      <c r="V4" s="290">
        <v>-67428.183152579993</v>
      </c>
      <c r="W4" s="765">
        <v>0.51935872999999999</v>
      </c>
      <c r="X4" s="290">
        <v>0</v>
      </c>
      <c r="Y4" s="290"/>
      <c r="Z4" s="290">
        <f>innut22!E10</f>
        <v>40372980.685327783</v>
      </c>
      <c r="AA4" s="290">
        <v>0</v>
      </c>
      <c r="AB4" s="290">
        <v>9852</v>
      </c>
      <c r="AC4" s="290">
        <v>0</v>
      </c>
      <c r="AD4" s="290"/>
      <c r="AE4" s="290">
        <v>0</v>
      </c>
      <c r="AF4" s="290">
        <v>0</v>
      </c>
      <c r="AG4" s="290">
        <v>696108</v>
      </c>
      <c r="AH4" s="290">
        <v>112260</v>
      </c>
      <c r="AI4" s="290">
        <v>0</v>
      </c>
      <c r="AJ4" s="290">
        <v>0</v>
      </c>
      <c r="AK4" s="290">
        <v>0</v>
      </c>
      <c r="AL4" s="290">
        <v>0</v>
      </c>
      <c r="AM4" s="957">
        <v>43.724022830000003</v>
      </c>
      <c r="AN4" s="290">
        <v>0</v>
      </c>
      <c r="AO4" s="290">
        <v>124555.64435957</v>
      </c>
      <c r="AP4" s="290">
        <v>273924.93</v>
      </c>
      <c r="AQ4" s="290">
        <v>0</v>
      </c>
      <c r="AR4" s="290">
        <v>-33580.696968470002</v>
      </c>
      <c r="AS4" s="290">
        <v>331323</v>
      </c>
      <c r="AT4" s="290">
        <v>36153</v>
      </c>
      <c r="AU4" s="290">
        <v>9221</v>
      </c>
      <c r="AV4" s="766">
        <v>15390730</v>
      </c>
      <c r="AW4" s="290"/>
      <c r="AX4" s="766">
        <v>6170.8749500000004</v>
      </c>
      <c r="AY4" s="290">
        <v>291157</v>
      </c>
      <c r="AZ4" s="290">
        <v>63720</v>
      </c>
      <c r="BA4" s="290">
        <v>13633</v>
      </c>
      <c r="BB4" s="290">
        <v>0</v>
      </c>
      <c r="BC4" s="290">
        <v>1234756</v>
      </c>
      <c r="BD4" s="290"/>
      <c r="BE4" s="290">
        <v>15058363.466409</v>
      </c>
      <c r="BF4" s="290">
        <v>-144439</v>
      </c>
      <c r="BG4" s="290">
        <v>632070.34857251344</v>
      </c>
      <c r="BH4" s="290">
        <v>34054.402453702765</v>
      </c>
      <c r="BI4" s="290">
        <v>-32179</v>
      </c>
      <c r="BJ4" s="290"/>
      <c r="BK4" s="290"/>
      <c r="BL4" s="290"/>
      <c r="BM4" s="290">
        <v>0</v>
      </c>
      <c r="BN4" s="290">
        <v>236999.20724000002</v>
      </c>
      <c r="BO4" s="290">
        <v>-324354.05367630383</v>
      </c>
      <c r="BP4" s="290">
        <v>44693.99</v>
      </c>
      <c r="BQ4" s="290">
        <v>-23969.057000000001</v>
      </c>
      <c r="BR4" s="290">
        <v>-10909.746563696192</v>
      </c>
      <c r="BS4" s="290">
        <v>107.66</v>
      </c>
      <c r="BT4" s="290"/>
      <c r="BU4" s="290">
        <v>0</v>
      </c>
      <c r="BV4" s="290">
        <v>72500</v>
      </c>
      <c r="BW4" s="290">
        <v>-159857</v>
      </c>
      <c r="BX4" s="290">
        <v>69921</v>
      </c>
      <c r="BY4" s="290">
        <v>33732</v>
      </c>
      <c r="BZ4" s="290">
        <v>-121517</v>
      </c>
      <c r="CA4" s="290">
        <v>0</v>
      </c>
      <c r="CB4" s="290">
        <v>54117</v>
      </c>
      <c r="CC4" s="290">
        <v>90525</v>
      </c>
      <c r="CD4" s="290">
        <v>1988</v>
      </c>
      <c r="CE4" s="290">
        <v>25799</v>
      </c>
      <c r="CF4" s="290">
        <v>874</v>
      </c>
      <c r="CG4" s="290">
        <v>133</v>
      </c>
      <c r="CH4" s="290">
        <v>-573</v>
      </c>
      <c r="CI4" s="290">
        <v>-311701</v>
      </c>
      <c r="CJ4" s="290">
        <v>-1283483</v>
      </c>
      <c r="CK4" s="290">
        <f>+innut22!E10+innut22!S10</f>
        <v>40372980.685327783</v>
      </c>
      <c r="CL4" s="290">
        <v>0</v>
      </c>
      <c r="CM4" s="290">
        <v>0</v>
      </c>
      <c r="CN4" s="290">
        <v>0</v>
      </c>
      <c r="CP4" s="290">
        <f>+innut23!E10</f>
        <v>35363742.188434847</v>
      </c>
      <c r="CQ4" s="290"/>
      <c r="CV4" s="85">
        <f>ROUND(1000*AG4/AG$361,3)</f>
        <v>128.86500000000001</v>
      </c>
    </row>
    <row r="5" spans="1:100" s="85" customFormat="1" ht="13">
      <c r="A5" s="1">
        <v>1101</v>
      </c>
      <c r="B5" s="2" t="s">
        <v>958</v>
      </c>
      <c r="C5" s="289">
        <v>14860</v>
      </c>
      <c r="D5" s="290">
        <v>291</v>
      </c>
      <c r="E5" s="290">
        <v>673</v>
      </c>
      <c r="F5" s="290">
        <v>1873</v>
      </c>
      <c r="G5" s="290">
        <v>1323</v>
      </c>
      <c r="H5" s="290">
        <v>8163</v>
      </c>
      <c r="I5" s="290">
        <v>1807</v>
      </c>
      <c r="J5" s="290">
        <v>549</v>
      </c>
      <c r="K5" s="290">
        <v>110</v>
      </c>
      <c r="L5" s="290">
        <v>117</v>
      </c>
      <c r="M5" s="290">
        <v>1010</v>
      </c>
      <c r="N5" s="290">
        <v>337</v>
      </c>
      <c r="O5" s="290">
        <v>123</v>
      </c>
      <c r="P5" s="624">
        <v>58502.482000000004</v>
      </c>
      <c r="Q5" s="624">
        <v>27271.63633333</v>
      </c>
      <c r="R5" s="624">
        <v>77</v>
      </c>
      <c r="S5" s="290">
        <v>166</v>
      </c>
      <c r="T5" s="290">
        <v>1122</v>
      </c>
      <c r="U5" s="958">
        <v>3.7388673700571883E-3</v>
      </c>
      <c r="V5" s="290">
        <v>-3164.9147443500001</v>
      </c>
      <c r="W5" s="765">
        <v>0.57630647000000002</v>
      </c>
      <c r="X5" s="290">
        <v>2500</v>
      </c>
      <c r="Y5" s="290"/>
      <c r="Z5" s="290">
        <f>innut22!E11</f>
        <v>598831.17437071959</v>
      </c>
      <c r="AA5" s="290">
        <v>0</v>
      </c>
      <c r="AB5" s="290">
        <v>436</v>
      </c>
      <c r="AC5" s="290">
        <v>2966</v>
      </c>
      <c r="AD5" s="290"/>
      <c r="AE5" s="290">
        <v>0</v>
      </c>
      <c r="AF5" s="290">
        <v>0</v>
      </c>
      <c r="AG5" s="290">
        <v>14789</v>
      </c>
      <c r="AH5" s="290">
        <v>2760</v>
      </c>
      <c r="AI5" s="290">
        <v>500</v>
      </c>
      <c r="AJ5" s="290">
        <v>0</v>
      </c>
      <c r="AK5" s="290">
        <v>0</v>
      </c>
      <c r="AL5" s="290">
        <v>0</v>
      </c>
      <c r="AM5" s="957">
        <v>0.22432514000000001</v>
      </c>
      <c r="AN5" s="290">
        <v>0</v>
      </c>
      <c r="AO5" s="290">
        <v>2926.1400872600002</v>
      </c>
      <c r="AP5" s="290">
        <v>0</v>
      </c>
      <c r="AQ5" s="290">
        <v>0</v>
      </c>
      <c r="AR5" s="290">
        <v>-713.43085766000002</v>
      </c>
      <c r="AS5" s="290">
        <v>5727</v>
      </c>
      <c r="AT5" s="290">
        <v>769</v>
      </c>
      <c r="AU5" s="290">
        <v>119</v>
      </c>
      <c r="AV5" s="766">
        <v>403730</v>
      </c>
      <c r="AW5" s="290"/>
      <c r="AX5" s="766">
        <v>74.041700000000006</v>
      </c>
      <c r="AY5" s="290">
        <v>2842</v>
      </c>
      <c r="AZ5" s="290">
        <v>536</v>
      </c>
      <c r="BA5" s="290">
        <v>248</v>
      </c>
      <c r="BB5" s="290">
        <v>0</v>
      </c>
      <c r="BC5" s="290">
        <v>25150</v>
      </c>
      <c r="BD5" s="290"/>
      <c r="BE5" s="290">
        <v>406256.82947910001</v>
      </c>
      <c r="BF5" s="290">
        <v>0</v>
      </c>
      <c r="BG5" s="290">
        <v>13421.267512953273</v>
      </c>
      <c r="BH5" s="290">
        <v>723.10502518768646</v>
      </c>
      <c r="BI5" s="290">
        <v>5726</v>
      </c>
      <c r="BJ5" s="290"/>
      <c r="BK5" s="290"/>
      <c r="BL5" s="290"/>
      <c r="BM5" s="290">
        <v>0</v>
      </c>
      <c r="BN5" s="290">
        <v>5567.7354799999994</v>
      </c>
      <c r="BO5" s="290">
        <v>-6890.9883233907058</v>
      </c>
      <c r="BP5" s="290">
        <v>842.93700000000001</v>
      </c>
      <c r="BQ5" s="290">
        <v>-452.06099999999998</v>
      </c>
      <c r="BR5" s="290">
        <v>-288.72846074705211</v>
      </c>
      <c r="BS5" s="290">
        <v>2.7050000000000001</v>
      </c>
      <c r="BT5" s="290"/>
      <c r="BU5" s="290">
        <v>0</v>
      </c>
      <c r="BV5" s="290">
        <v>4000</v>
      </c>
      <c r="BW5" s="290">
        <v>-3396</v>
      </c>
      <c r="BX5" s="290">
        <v>1856</v>
      </c>
      <c r="BY5" s="290">
        <v>434</v>
      </c>
      <c r="BZ5" s="290">
        <v>-2581</v>
      </c>
      <c r="CA5" s="290">
        <v>-11.599695862241333</v>
      </c>
      <c r="CB5" s="290">
        <v>696</v>
      </c>
      <c r="CC5" s="290">
        <v>1923</v>
      </c>
      <c r="CD5" s="290">
        <v>26</v>
      </c>
      <c r="CE5" s="290">
        <v>548</v>
      </c>
      <c r="CF5" s="290">
        <v>22</v>
      </c>
      <c r="CG5" s="290">
        <v>3</v>
      </c>
      <c r="CH5" s="290">
        <v>-14</v>
      </c>
      <c r="CI5" s="290">
        <v>-6619</v>
      </c>
      <c r="CJ5" s="290">
        <v>-16936</v>
      </c>
      <c r="CK5" s="290">
        <f>+innut22!E11+innut22!S11</f>
        <v>598831.17437071959</v>
      </c>
      <c r="CL5" s="290">
        <v>0</v>
      </c>
      <c r="CM5" s="290">
        <v>0</v>
      </c>
      <c r="CN5" s="290">
        <v>0</v>
      </c>
      <c r="CP5" s="290">
        <f>+innut23!E11</f>
        <v>550337.21480567323</v>
      </c>
      <c r="CQ5" s="290"/>
      <c r="CV5" s="85">
        <f t="shared" ref="CV5:CV68" si="1">ROUND(1000*AG5/AG$361,3)</f>
        <v>2.738</v>
      </c>
    </row>
    <row r="6" spans="1:100" s="85" customFormat="1" ht="13">
      <c r="A6" s="1">
        <v>1103</v>
      </c>
      <c r="B6" s="2" t="s">
        <v>960</v>
      </c>
      <c r="C6" s="289">
        <v>144699</v>
      </c>
      <c r="D6" s="290">
        <v>3152</v>
      </c>
      <c r="E6" s="290">
        <v>6757</v>
      </c>
      <c r="F6" s="290">
        <v>17957</v>
      </c>
      <c r="G6" s="290">
        <v>12187</v>
      </c>
      <c r="H6" s="290">
        <v>85058</v>
      </c>
      <c r="I6" s="290">
        <v>13849</v>
      </c>
      <c r="J6" s="290">
        <v>3961</v>
      </c>
      <c r="K6" s="290">
        <v>1065</v>
      </c>
      <c r="L6" s="290">
        <v>1094</v>
      </c>
      <c r="M6" s="290">
        <v>7685</v>
      </c>
      <c r="N6" s="290">
        <v>4445</v>
      </c>
      <c r="O6" s="290">
        <v>1696</v>
      </c>
      <c r="P6" s="624">
        <v>267155.55066667002</v>
      </c>
      <c r="Q6" s="624">
        <v>188307.02233333001</v>
      </c>
      <c r="R6" s="624">
        <v>385</v>
      </c>
      <c r="S6" s="290">
        <v>1976</v>
      </c>
      <c r="T6" s="290">
        <v>14125</v>
      </c>
      <c r="U6" s="958">
        <v>8.2020820303201399E-3</v>
      </c>
      <c r="V6" s="290">
        <v>-17298.735175950002</v>
      </c>
      <c r="W6" s="765">
        <v>0.53922331999999995</v>
      </c>
      <c r="X6" s="290">
        <v>2400</v>
      </c>
      <c r="Y6" s="290"/>
      <c r="Z6" s="290">
        <f>innut22!E12</f>
        <v>7122395.532857229</v>
      </c>
      <c r="AA6" s="290">
        <v>529</v>
      </c>
      <c r="AB6" s="290">
        <v>2632</v>
      </c>
      <c r="AC6" s="290">
        <v>18116</v>
      </c>
      <c r="AD6" s="290"/>
      <c r="AE6" s="290">
        <v>0</v>
      </c>
      <c r="AF6" s="290">
        <v>37400</v>
      </c>
      <c r="AG6" s="290">
        <v>143986</v>
      </c>
      <c r="AH6" s="290">
        <v>26705</v>
      </c>
      <c r="AI6" s="290">
        <v>3000</v>
      </c>
      <c r="AJ6" s="290">
        <v>0</v>
      </c>
      <c r="AK6" s="290">
        <v>0</v>
      </c>
      <c r="AL6" s="290">
        <v>0</v>
      </c>
      <c r="AM6" s="957">
        <v>5.2087001800000001</v>
      </c>
      <c r="AN6" s="290">
        <v>0</v>
      </c>
      <c r="AO6" s="290">
        <v>26836.347219930001</v>
      </c>
      <c r="AP6" s="290">
        <v>56649.771000000001</v>
      </c>
      <c r="AQ6" s="290">
        <v>0</v>
      </c>
      <c r="AR6" s="290">
        <v>-6945.9771094500002</v>
      </c>
      <c r="AS6" s="290">
        <v>40621</v>
      </c>
      <c r="AT6" s="290">
        <v>7421</v>
      </c>
      <c r="AU6" s="290">
        <v>1755</v>
      </c>
      <c r="AV6" s="766">
        <v>3491788</v>
      </c>
      <c r="AW6" s="290"/>
      <c r="AX6" s="766">
        <v>1116.7083500000001</v>
      </c>
      <c r="AY6" s="290">
        <v>48811</v>
      </c>
      <c r="AZ6" s="290">
        <v>8310</v>
      </c>
      <c r="BA6" s="290">
        <v>2804</v>
      </c>
      <c r="BB6" s="290">
        <v>0</v>
      </c>
      <c r="BC6" s="290">
        <v>286120</v>
      </c>
      <c r="BD6" s="290"/>
      <c r="BE6" s="290">
        <v>3528842.8488689</v>
      </c>
      <c r="BF6" s="290">
        <v>0</v>
      </c>
      <c r="BG6" s="290">
        <v>130689.36661216861</v>
      </c>
      <c r="BH6" s="290">
        <v>7041.2230174719407</v>
      </c>
      <c r="BI6" s="290">
        <v>82750</v>
      </c>
      <c r="BJ6" s="290"/>
      <c r="BK6" s="290"/>
      <c r="BL6" s="290"/>
      <c r="BM6" s="290">
        <v>0</v>
      </c>
      <c r="BN6" s="290">
        <v>51063.065419999999</v>
      </c>
      <c r="BO6" s="290">
        <v>-67090.80023880818</v>
      </c>
      <c r="BP6" s="290">
        <v>9265.5329999999994</v>
      </c>
      <c r="BQ6" s="290">
        <v>-4969.0370000000003</v>
      </c>
      <c r="BR6" s="290">
        <v>-2736.5087325099948</v>
      </c>
      <c r="BS6" s="290">
        <v>23.605</v>
      </c>
      <c r="BT6" s="290"/>
      <c r="BU6" s="290">
        <v>0</v>
      </c>
      <c r="BV6" s="290">
        <v>24500</v>
      </c>
      <c r="BW6" s="290">
        <v>-33066</v>
      </c>
      <c r="BX6" s="290">
        <v>17593</v>
      </c>
      <c r="BY6" s="290">
        <v>5153</v>
      </c>
      <c r="BZ6" s="290">
        <v>-25133</v>
      </c>
      <c r="CA6" s="290">
        <v>-70.857448681821552</v>
      </c>
      <c r="CB6" s="290">
        <v>8267</v>
      </c>
      <c r="CC6" s="290">
        <v>18724</v>
      </c>
      <c r="CD6" s="290">
        <v>303</v>
      </c>
      <c r="CE6" s="290">
        <v>5334</v>
      </c>
      <c r="CF6" s="290">
        <v>193</v>
      </c>
      <c r="CG6" s="290">
        <v>32</v>
      </c>
      <c r="CH6" s="290">
        <v>-125</v>
      </c>
      <c r="CI6" s="290">
        <v>-64448</v>
      </c>
      <c r="CJ6" s="290">
        <v>-200116</v>
      </c>
      <c r="CK6" s="290">
        <f>+innut22!E12+innut22!S12</f>
        <v>7122395.532857229</v>
      </c>
      <c r="CL6" s="290">
        <v>0</v>
      </c>
      <c r="CM6" s="290">
        <v>0</v>
      </c>
      <c r="CN6" s="290">
        <v>0</v>
      </c>
      <c r="CP6" s="290">
        <f>+innut23!E12</f>
        <v>6530940.1276575858</v>
      </c>
      <c r="CQ6" s="290"/>
      <c r="CV6" s="85">
        <f t="shared" si="1"/>
        <v>26.655000000000001</v>
      </c>
    </row>
    <row r="7" spans="1:100" s="85" customFormat="1" ht="13">
      <c r="A7" s="1">
        <v>1106</v>
      </c>
      <c r="B7" s="2" t="s">
        <v>961</v>
      </c>
      <c r="C7" s="289">
        <v>37444</v>
      </c>
      <c r="D7" s="290">
        <v>742</v>
      </c>
      <c r="E7" s="290">
        <v>1514</v>
      </c>
      <c r="F7" s="290">
        <v>4362</v>
      </c>
      <c r="G7" s="290">
        <v>3254</v>
      </c>
      <c r="H7" s="290">
        <v>21772</v>
      </c>
      <c r="I7" s="290">
        <v>4190</v>
      </c>
      <c r="J7" s="290">
        <v>1265</v>
      </c>
      <c r="K7" s="290">
        <v>330</v>
      </c>
      <c r="L7" s="290">
        <v>310</v>
      </c>
      <c r="M7" s="290">
        <v>2589</v>
      </c>
      <c r="N7" s="290">
        <v>1218</v>
      </c>
      <c r="O7" s="290">
        <v>366</v>
      </c>
      <c r="P7" s="624">
        <v>70281.071666670003</v>
      </c>
      <c r="Q7" s="624">
        <v>39626.61266667</v>
      </c>
      <c r="R7" s="624">
        <v>152</v>
      </c>
      <c r="S7" s="290">
        <v>558</v>
      </c>
      <c r="T7" s="290">
        <v>4217</v>
      </c>
      <c r="U7" s="958">
        <v>7.0412016206035724E-4</v>
      </c>
      <c r="V7" s="290">
        <v>-1354.2643466300001</v>
      </c>
      <c r="W7" s="765">
        <v>0.53249153999999999</v>
      </c>
      <c r="X7" s="290">
        <v>4100</v>
      </c>
      <c r="Y7" s="290"/>
      <c r="Z7" s="290">
        <f>innut22!E13</f>
        <v>1422585.6997664364</v>
      </c>
      <c r="AA7" s="290">
        <v>0</v>
      </c>
      <c r="AB7" s="290">
        <v>995</v>
      </c>
      <c r="AC7" s="290">
        <v>5218</v>
      </c>
      <c r="AD7" s="290"/>
      <c r="AE7" s="290">
        <v>0</v>
      </c>
      <c r="AF7" s="290">
        <v>0</v>
      </c>
      <c r="AG7" s="290">
        <v>37429</v>
      </c>
      <c r="AH7" s="290">
        <v>6518</v>
      </c>
      <c r="AI7" s="290">
        <v>500</v>
      </c>
      <c r="AJ7" s="290">
        <v>0</v>
      </c>
      <c r="AK7" s="290">
        <v>0</v>
      </c>
      <c r="AL7" s="290">
        <v>0</v>
      </c>
      <c r="AM7" s="957">
        <v>1.2676527</v>
      </c>
      <c r="AN7" s="290">
        <v>0</v>
      </c>
      <c r="AO7" s="290">
        <v>7128.5428623300004</v>
      </c>
      <c r="AP7" s="290">
        <v>0</v>
      </c>
      <c r="AQ7" s="290">
        <v>0</v>
      </c>
      <c r="AR7" s="290">
        <v>-620.96449729999995</v>
      </c>
      <c r="AS7" s="290">
        <v>12584</v>
      </c>
      <c r="AT7" s="290">
        <v>2273</v>
      </c>
      <c r="AU7" s="290">
        <v>390</v>
      </c>
      <c r="AV7" s="766">
        <v>958644</v>
      </c>
      <c r="AW7" s="290"/>
      <c r="AX7" s="766">
        <v>259.79165</v>
      </c>
      <c r="AY7" s="290">
        <v>10049</v>
      </c>
      <c r="AZ7" s="290">
        <v>1992</v>
      </c>
      <c r="BA7" s="290">
        <v>837</v>
      </c>
      <c r="BB7" s="290">
        <v>0</v>
      </c>
      <c r="BC7" s="290">
        <v>66177</v>
      </c>
      <c r="BD7" s="290"/>
      <c r="BE7" s="290">
        <v>945722.44300138997</v>
      </c>
      <c r="BF7" s="290">
        <v>0</v>
      </c>
      <c r="BG7" s="290">
        <v>33818.703953904602</v>
      </c>
      <c r="BH7" s="290">
        <v>1822.0689477205744</v>
      </c>
      <c r="BI7" s="290">
        <v>11736</v>
      </c>
      <c r="BJ7" s="290"/>
      <c r="BK7" s="290"/>
      <c r="BL7" s="290"/>
      <c r="BM7" s="290">
        <v>0</v>
      </c>
      <c r="BN7" s="290">
        <v>13563.889580000001</v>
      </c>
      <c r="BO7" s="290">
        <v>-17440.178643328876</v>
      </c>
      <c r="BP7" s="290">
        <v>2062.8139999999999</v>
      </c>
      <c r="BQ7" s="290">
        <v>-1106.2719999999999</v>
      </c>
      <c r="BR7" s="290">
        <v>-663.90700249665394</v>
      </c>
      <c r="BS7" s="290">
        <v>6.3319999999999999</v>
      </c>
      <c r="BT7" s="290"/>
      <c r="BU7" s="290">
        <v>0</v>
      </c>
      <c r="BV7" s="290">
        <v>6500</v>
      </c>
      <c r="BW7" s="290">
        <v>-8595</v>
      </c>
      <c r="BX7" s="290">
        <v>4264</v>
      </c>
      <c r="BY7" s="290">
        <v>1454</v>
      </c>
      <c r="BZ7" s="290">
        <v>-6533</v>
      </c>
      <c r="CA7" s="290">
        <v>1367.3220658255295</v>
      </c>
      <c r="CB7" s="290">
        <v>2333</v>
      </c>
      <c r="CC7" s="290">
        <v>4867</v>
      </c>
      <c r="CD7" s="290">
        <v>86</v>
      </c>
      <c r="CE7" s="290">
        <v>1380</v>
      </c>
      <c r="CF7" s="290">
        <v>52</v>
      </c>
      <c r="CG7" s="290">
        <v>7</v>
      </c>
      <c r="CH7" s="290">
        <v>-34</v>
      </c>
      <c r="CI7" s="290">
        <v>-16677</v>
      </c>
      <c r="CJ7" s="290">
        <v>-42544</v>
      </c>
      <c r="CK7" s="290">
        <f>+innut22!E13+innut22!S13</f>
        <v>1422585.6997664364</v>
      </c>
      <c r="CL7" s="290">
        <v>0</v>
      </c>
      <c r="CM7" s="290">
        <v>0</v>
      </c>
      <c r="CN7" s="290">
        <v>0</v>
      </c>
      <c r="CP7" s="290">
        <f>+innut23!E13</f>
        <v>1318405.1262070213</v>
      </c>
      <c r="CQ7" s="290"/>
      <c r="CV7" s="85">
        <f t="shared" si="1"/>
        <v>6.9290000000000003</v>
      </c>
    </row>
    <row r="8" spans="1:100" s="85" customFormat="1" ht="13">
      <c r="A8" s="1">
        <v>1108</v>
      </c>
      <c r="B8" s="2" t="s">
        <v>1610</v>
      </c>
      <c r="C8" s="289">
        <v>81305</v>
      </c>
      <c r="D8" s="290">
        <v>1982</v>
      </c>
      <c r="E8" s="290">
        <v>4397</v>
      </c>
      <c r="F8" s="290">
        <v>11242</v>
      </c>
      <c r="G8" s="290">
        <v>7021</v>
      </c>
      <c r="H8" s="290">
        <v>46821</v>
      </c>
      <c r="I8" s="290">
        <v>6981</v>
      </c>
      <c r="J8" s="290">
        <v>1985</v>
      </c>
      <c r="K8" s="290">
        <v>460</v>
      </c>
      <c r="L8" s="290">
        <v>582</v>
      </c>
      <c r="M8" s="290">
        <v>3657</v>
      </c>
      <c r="N8" s="290">
        <v>2750</v>
      </c>
      <c r="O8" s="290">
        <v>1012</v>
      </c>
      <c r="P8" s="624">
        <v>208050.25333333001</v>
      </c>
      <c r="Q8" s="624">
        <v>128029.86833333</v>
      </c>
      <c r="R8" s="624">
        <v>232</v>
      </c>
      <c r="S8" s="290">
        <v>1072</v>
      </c>
      <c r="T8" s="290">
        <v>6392</v>
      </c>
      <c r="U8" s="958">
        <v>7.2984347291672096E-3</v>
      </c>
      <c r="V8" s="290">
        <v>-27392.042185639999</v>
      </c>
      <c r="W8" s="765">
        <v>0.53914549000000001</v>
      </c>
      <c r="X8" s="290">
        <v>1200</v>
      </c>
      <c r="Y8" s="290"/>
      <c r="Z8" s="290">
        <f>innut22!E14</f>
        <v>3182371.4257908831</v>
      </c>
      <c r="AA8" s="290">
        <v>0</v>
      </c>
      <c r="AB8" s="290">
        <v>1611</v>
      </c>
      <c r="AC8" s="290">
        <v>10320</v>
      </c>
      <c r="AD8" s="290"/>
      <c r="AE8" s="290">
        <v>0</v>
      </c>
      <c r="AF8" s="290">
        <v>15488</v>
      </c>
      <c r="AG8" s="290">
        <v>80889</v>
      </c>
      <c r="AH8" s="290">
        <v>16768</v>
      </c>
      <c r="AI8" s="290">
        <v>250</v>
      </c>
      <c r="AJ8" s="290">
        <v>0</v>
      </c>
      <c r="AK8" s="290">
        <v>0</v>
      </c>
      <c r="AL8" s="290">
        <v>0</v>
      </c>
      <c r="AM8" s="957">
        <v>3.1333840400000001</v>
      </c>
      <c r="AN8" s="290">
        <v>0</v>
      </c>
      <c r="AO8" s="290">
        <v>15543.697709030001</v>
      </c>
      <c r="AP8" s="290">
        <v>0</v>
      </c>
      <c r="AQ8" s="290">
        <v>0</v>
      </c>
      <c r="AR8" s="290">
        <v>-3902.1373078400002</v>
      </c>
      <c r="AS8" s="290">
        <v>12655</v>
      </c>
      <c r="AT8" s="290">
        <v>4382</v>
      </c>
      <c r="AU8" s="290">
        <v>1040</v>
      </c>
      <c r="AV8" s="766">
        <v>2026615</v>
      </c>
      <c r="AW8" s="290"/>
      <c r="AX8" s="766">
        <v>668.37495000000001</v>
      </c>
      <c r="AY8" s="290">
        <v>20876</v>
      </c>
      <c r="AZ8" s="290">
        <v>4450</v>
      </c>
      <c r="BA8" s="290">
        <v>1663</v>
      </c>
      <c r="BB8" s="290">
        <v>0</v>
      </c>
      <c r="BC8" s="290">
        <v>147760</v>
      </c>
      <c r="BD8" s="290"/>
      <c r="BE8" s="290">
        <v>2079781.7138173</v>
      </c>
      <c r="BF8" s="290">
        <v>0</v>
      </c>
      <c r="BG8" s="290">
        <v>73433.119457649111</v>
      </c>
      <c r="BH8" s="290">
        <v>3956.3966401672178</v>
      </c>
      <c r="BI8" s="290">
        <v>42576</v>
      </c>
      <c r="BJ8" s="290"/>
      <c r="BK8" s="290"/>
      <c r="BL8" s="290"/>
      <c r="BM8" s="290">
        <v>8976</v>
      </c>
      <c r="BN8" s="290">
        <v>29575.88998</v>
      </c>
      <c r="BO8" s="290">
        <v>-37690.523665613007</v>
      </c>
      <c r="BP8" s="290">
        <v>5718.5230000000001</v>
      </c>
      <c r="BQ8" s="290">
        <v>-3066.8020000000001</v>
      </c>
      <c r="BR8" s="290">
        <v>-1716.097383073032</v>
      </c>
      <c r="BS8" s="290">
        <v>13.372</v>
      </c>
      <c r="BT8" s="290"/>
      <c r="BU8" s="290">
        <v>0</v>
      </c>
      <c r="BV8" s="290">
        <v>15500</v>
      </c>
      <c r="BW8" s="290">
        <v>-18576</v>
      </c>
      <c r="BX8" s="290">
        <v>11036</v>
      </c>
      <c r="BY8" s="290">
        <v>2795</v>
      </c>
      <c r="BZ8" s="290">
        <v>-14120</v>
      </c>
      <c r="CA8" s="290">
        <v>-40.361931313960667</v>
      </c>
      <c r="CB8" s="290">
        <v>4484</v>
      </c>
      <c r="CC8" s="290">
        <v>10519</v>
      </c>
      <c r="CD8" s="290">
        <v>164</v>
      </c>
      <c r="CE8" s="290">
        <v>2997</v>
      </c>
      <c r="CF8" s="290">
        <v>109</v>
      </c>
      <c r="CG8" s="290">
        <v>18</v>
      </c>
      <c r="CH8" s="290">
        <v>-71</v>
      </c>
      <c r="CI8" s="290">
        <v>-36213</v>
      </c>
      <c r="CJ8" s="290">
        <v>-91630</v>
      </c>
      <c r="CK8" s="290">
        <f>+innut22!E14+innut22!S14</f>
        <v>3182371.4257908831</v>
      </c>
      <c r="CL8" s="290">
        <v>0</v>
      </c>
      <c r="CM8" s="290">
        <v>0</v>
      </c>
      <c r="CN8" s="290">
        <v>0</v>
      </c>
      <c r="CP8" s="290">
        <f>+innut23!E14</f>
        <v>2959761.6480656667</v>
      </c>
      <c r="CQ8" s="290"/>
      <c r="CV8" s="85">
        <f t="shared" si="1"/>
        <v>14.974</v>
      </c>
    </row>
    <row r="9" spans="1:100" s="85" customFormat="1" ht="13">
      <c r="A9" s="1">
        <v>1111</v>
      </c>
      <c r="B9" s="2" t="s">
        <v>962</v>
      </c>
      <c r="C9" s="289">
        <v>3281</v>
      </c>
      <c r="D9" s="290">
        <v>69</v>
      </c>
      <c r="E9" s="290">
        <v>140</v>
      </c>
      <c r="F9" s="290">
        <v>464</v>
      </c>
      <c r="G9" s="290">
        <v>251</v>
      </c>
      <c r="H9" s="290">
        <v>1736</v>
      </c>
      <c r="I9" s="290">
        <v>420</v>
      </c>
      <c r="J9" s="290">
        <v>147</v>
      </c>
      <c r="K9" s="290">
        <v>48</v>
      </c>
      <c r="L9" s="290">
        <v>25</v>
      </c>
      <c r="M9" s="290">
        <v>271</v>
      </c>
      <c r="N9" s="290">
        <v>11</v>
      </c>
      <c r="O9" s="290">
        <v>22</v>
      </c>
      <c r="P9" s="624">
        <v>10742.56766667</v>
      </c>
      <c r="Q9" s="624">
        <v>7157.2709999999997</v>
      </c>
      <c r="R9" s="624">
        <v>18</v>
      </c>
      <c r="S9" s="290">
        <v>34</v>
      </c>
      <c r="T9" s="290">
        <v>253</v>
      </c>
      <c r="U9" s="958">
        <v>1.8864628180942525E-3</v>
      </c>
      <c r="V9" s="290">
        <v>1993.5749938199999</v>
      </c>
      <c r="W9" s="765">
        <v>0.76804545000000002</v>
      </c>
      <c r="X9" s="290">
        <v>1500</v>
      </c>
      <c r="Y9" s="290"/>
      <c r="Z9" s="290">
        <f>innut22!E15</f>
        <v>106057.89258825008</v>
      </c>
      <c r="AA9" s="290">
        <v>0</v>
      </c>
      <c r="AB9" s="290">
        <v>99</v>
      </c>
      <c r="AC9" s="290">
        <v>1376</v>
      </c>
      <c r="AD9" s="290"/>
      <c r="AE9" s="290">
        <v>0</v>
      </c>
      <c r="AF9" s="290">
        <v>0</v>
      </c>
      <c r="AG9" s="290">
        <v>3275</v>
      </c>
      <c r="AH9" s="290">
        <v>646</v>
      </c>
      <c r="AI9" s="290">
        <v>6200</v>
      </c>
      <c r="AJ9" s="290">
        <v>0</v>
      </c>
      <c r="AK9" s="290">
        <v>0</v>
      </c>
      <c r="AL9" s="290">
        <v>0</v>
      </c>
      <c r="AM9" s="957">
        <v>7.3913690000000004E-2</v>
      </c>
      <c r="AN9" s="290">
        <v>2063</v>
      </c>
      <c r="AO9" s="290">
        <v>744.26704602999996</v>
      </c>
      <c r="AP9" s="290">
        <v>0</v>
      </c>
      <c r="AQ9" s="290">
        <v>0</v>
      </c>
      <c r="AR9" s="290">
        <v>-157.98810323999999</v>
      </c>
      <c r="AS9" s="290">
        <v>201</v>
      </c>
      <c r="AT9" s="290">
        <v>165</v>
      </c>
      <c r="AU9" s="290">
        <v>48</v>
      </c>
      <c r="AV9" s="766">
        <v>125017</v>
      </c>
      <c r="AW9" s="290"/>
      <c r="AX9" s="766">
        <v>24.041650000000001</v>
      </c>
      <c r="AY9" s="290">
        <v>468</v>
      </c>
      <c r="AZ9" s="290">
        <v>99</v>
      </c>
      <c r="BA9" s="290">
        <v>83</v>
      </c>
      <c r="BB9" s="290">
        <v>0</v>
      </c>
      <c r="BC9" s="290">
        <v>6300</v>
      </c>
      <c r="BD9" s="290"/>
      <c r="BE9" s="290">
        <v>125651.31508856</v>
      </c>
      <c r="BF9" s="290">
        <v>0</v>
      </c>
      <c r="BG9" s="290">
        <v>2963.3363869447971</v>
      </c>
      <c r="BH9" s="290">
        <v>159.65730737825029</v>
      </c>
      <c r="BI9" s="290">
        <v>2022</v>
      </c>
      <c r="BJ9" s="290"/>
      <c r="BK9" s="290"/>
      <c r="BL9" s="290"/>
      <c r="BM9" s="290">
        <v>0</v>
      </c>
      <c r="BN9" s="290">
        <v>1416.1598200000001</v>
      </c>
      <c r="BO9" s="290">
        <v>-1525.998158029925</v>
      </c>
      <c r="BP9" s="290">
        <v>179.679</v>
      </c>
      <c r="BQ9" s="290">
        <v>-96.36</v>
      </c>
      <c r="BR9" s="290">
        <v>-72.81800290878418</v>
      </c>
      <c r="BS9" s="290">
        <v>0.72099999999999997</v>
      </c>
      <c r="BT9" s="290"/>
      <c r="BU9" s="290">
        <v>0</v>
      </c>
      <c r="BV9" s="290">
        <v>500</v>
      </c>
      <c r="BW9" s="290">
        <v>-752</v>
      </c>
      <c r="BX9" s="290">
        <v>473</v>
      </c>
      <c r="BY9" s="290">
        <v>90</v>
      </c>
      <c r="BZ9" s="290">
        <v>-572</v>
      </c>
      <c r="CA9" s="290">
        <v>-5.3836590612909276</v>
      </c>
      <c r="CB9" s="290">
        <v>144</v>
      </c>
      <c r="CC9" s="290">
        <v>426</v>
      </c>
      <c r="CD9" s="290">
        <v>5</v>
      </c>
      <c r="CE9" s="290">
        <v>121</v>
      </c>
      <c r="CF9" s="290">
        <v>6</v>
      </c>
      <c r="CG9" s="290">
        <v>1</v>
      </c>
      <c r="CH9" s="290">
        <v>-4</v>
      </c>
      <c r="CI9" s="290">
        <v>-1461</v>
      </c>
      <c r="CJ9" s="290">
        <v>-3902</v>
      </c>
      <c r="CK9" s="290">
        <f>+innut22!E15+innut22!S15</f>
        <v>106057.89258825008</v>
      </c>
      <c r="CL9" s="290">
        <v>0</v>
      </c>
      <c r="CM9" s="290">
        <v>0</v>
      </c>
      <c r="CN9" s="290">
        <v>0</v>
      </c>
      <c r="CP9" s="290">
        <f>+innut23!E15</f>
        <v>98606.354431175292</v>
      </c>
      <c r="CQ9" s="290"/>
      <c r="CV9" s="85">
        <f t="shared" si="1"/>
        <v>0.60599999999999998</v>
      </c>
    </row>
    <row r="10" spans="1:100" s="85" customFormat="1" ht="13">
      <c r="A10" s="1">
        <v>1112</v>
      </c>
      <c r="B10" s="2" t="s">
        <v>963</v>
      </c>
      <c r="C10" s="289">
        <v>3178</v>
      </c>
      <c r="D10" s="290">
        <v>73</v>
      </c>
      <c r="E10" s="290">
        <v>146</v>
      </c>
      <c r="F10" s="290">
        <v>436</v>
      </c>
      <c r="G10" s="290">
        <v>287</v>
      </c>
      <c r="H10" s="290">
        <v>1695</v>
      </c>
      <c r="I10" s="290">
        <v>370</v>
      </c>
      <c r="J10" s="290">
        <v>149</v>
      </c>
      <c r="K10" s="290">
        <v>28</v>
      </c>
      <c r="L10" s="290">
        <v>22</v>
      </c>
      <c r="M10" s="290">
        <v>187</v>
      </c>
      <c r="N10" s="290">
        <v>84</v>
      </c>
      <c r="O10" s="290">
        <v>30</v>
      </c>
      <c r="P10" s="624">
        <v>18619.272333329998</v>
      </c>
      <c r="Q10" s="624">
        <v>7995.0290000000005</v>
      </c>
      <c r="R10" s="624">
        <v>9</v>
      </c>
      <c r="S10" s="290">
        <v>37</v>
      </c>
      <c r="T10" s="290">
        <v>235</v>
      </c>
      <c r="U10" s="958">
        <v>2.3267739434346944E-3</v>
      </c>
      <c r="V10" s="290">
        <v>1819.4516098500001</v>
      </c>
      <c r="W10" s="765">
        <v>0.79553678999999999</v>
      </c>
      <c r="X10" s="290">
        <v>1500</v>
      </c>
      <c r="Y10" s="290"/>
      <c r="Z10" s="290">
        <f>innut22!E16</f>
        <v>103577.502253196</v>
      </c>
      <c r="AA10" s="290">
        <v>0</v>
      </c>
      <c r="AB10" s="290">
        <v>94</v>
      </c>
      <c r="AC10" s="290">
        <v>1015</v>
      </c>
      <c r="AD10" s="290"/>
      <c r="AE10" s="290">
        <v>0</v>
      </c>
      <c r="AF10" s="290">
        <v>0</v>
      </c>
      <c r="AG10" s="290">
        <v>3184</v>
      </c>
      <c r="AH10" s="290">
        <v>626</v>
      </c>
      <c r="AI10" s="290">
        <v>1350</v>
      </c>
      <c r="AJ10" s="290">
        <v>0</v>
      </c>
      <c r="AK10" s="290">
        <v>0</v>
      </c>
      <c r="AL10" s="290">
        <v>0</v>
      </c>
      <c r="AM10" s="957">
        <v>6.1666270000000002E-2</v>
      </c>
      <c r="AN10" s="290">
        <v>0</v>
      </c>
      <c r="AO10" s="290">
        <v>679.26106579999998</v>
      </c>
      <c r="AP10" s="290">
        <v>0</v>
      </c>
      <c r="AQ10" s="290">
        <v>0</v>
      </c>
      <c r="AR10" s="290">
        <v>-153.59820479999999</v>
      </c>
      <c r="AS10" s="290">
        <v>195</v>
      </c>
      <c r="AT10" s="290">
        <v>171</v>
      </c>
      <c r="AU10" s="290">
        <v>21</v>
      </c>
      <c r="AV10" s="766">
        <v>111321</v>
      </c>
      <c r="AW10" s="290"/>
      <c r="AX10" s="766">
        <v>14.416700000000001</v>
      </c>
      <c r="AY10" s="290">
        <v>485</v>
      </c>
      <c r="AZ10" s="290">
        <v>173</v>
      </c>
      <c r="BA10" s="290">
        <v>36</v>
      </c>
      <c r="BB10" s="290">
        <v>4827</v>
      </c>
      <c r="BC10" s="290">
        <v>6187</v>
      </c>
      <c r="BD10" s="290"/>
      <c r="BE10" s="290">
        <v>111122.80365638</v>
      </c>
      <c r="BF10" s="290">
        <v>0</v>
      </c>
      <c r="BG10" s="290">
        <v>2870.3087588267495</v>
      </c>
      <c r="BH10" s="290">
        <v>154.64520659801261</v>
      </c>
      <c r="BI10" s="290">
        <v>1641</v>
      </c>
      <c r="BJ10" s="290"/>
      <c r="BK10" s="290"/>
      <c r="BL10" s="290"/>
      <c r="BM10" s="290">
        <v>0</v>
      </c>
      <c r="BN10" s="290">
        <v>1292.4692</v>
      </c>
      <c r="BO10" s="290">
        <v>-1483.596377150315</v>
      </c>
      <c r="BP10" s="290">
        <v>178.316</v>
      </c>
      <c r="BQ10" s="290">
        <v>-95.629000000000005</v>
      </c>
      <c r="BR10" s="290">
        <v>-72.304671272673531</v>
      </c>
      <c r="BS10" s="290">
        <v>0.71599999999999997</v>
      </c>
      <c r="BT10" s="290"/>
      <c r="BU10" s="290">
        <v>0</v>
      </c>
      <c r="BV10" s="290">
        <v>2000</v>
      </c>
      <c r="BW10" s="290">
        <v>-731</v>
      </c>
      <c r="BX10" s="290">
        <v>456</v>
      </c>
      <c r="BY10" s="290">
        <v>96</v>
      </c>
      <c r="BZ10" s="290">
        <v>-556</v>
      </c>
      <c r="CA10" s="290">
        <v>-3.9711515770114829</v>
      </c>
      <c r="CB10" s="290">
        <v>154</v>
      </c>
      <c r="CC10" s="290">
        <v>414</v>
      </c>
      <c r="CD10" s="290">
        <v>6</v>
      </c>
      <c r="CE10" s="290">
        <v>117</v>
      </c>
      <c r="CF10" s="290">
        <v>6</v>
      </c>
      <c r="CG10" s="290">
        <v>1</v>
      </c>
      <c r="CH10" s="290">
        <v>-4</v>
      </c>
      <c r="CI10" s="290">
        <v>-1415</v>
      </c>
      <c r="CJ10" s="290">
        <v>-3931</v>
      </c>
      <c r="CK10" s="290">
        <f>+innut22!E16+innut22!S16</f>
        <v>103577.502253196</v>
      </c>
      <c r="CL10" s="290">
        <v>0</v>
      </c>
      <c r="CM10" s="290">
        <v>0</v>
      </c>
      <c r="CN10" s="290">
        <v>0</v>
      </c>
      <c r="CP10" s="290">
        <f>+innut23!E16</f>
        <v>92620.659064089748</v>
      </c>
      <c r="CQ10" s="290"/>
      <c r="CV10" s="85">
        <f t="shared" si="1"/>
        <v>0.58899999999999997</v>
      </c>
    </row>
    <row r="11" spans="1:100" ht="13">
      <c r="A11" s="1">
        <v>1114</v>
      </c>
      <c r="B11" s="2" t="s">
        <v>0</v>
      </c>
      <c r="C11" s="289">
        <v>2789</v>
      </c>
      <c r="D11" s="290">
        <v>53</v>
      </c>
      <c r="E11" s="290">
        <v>137</v>
      </c>
      <c r="F11" s="290">
        <v>417</v>
      </c>
      <c r="G11" s="290">
        <v>284</v>
      </c>
      <c r="H11" s="290">
        <v>1509</v>
      </c>
      <c r="I11" s="290">
        <v>296</v>
      </c>
      <c r="J11" s="290">
        <v>74</v>
      </c>
      <c r="K11" s="290">
        <v>18</v>
      </c>
      <c r="L11" s="290">
        <v>26</v>
      </c>
      <c r="M11" s="290">
        <v>114</v>
      </c>
      <c r="N11" s="290">
        <v>22</v>
      </c>
      <c r="O11" s="290">
        <v>23</v>
      </c>
      <c r="P11" s="624">
        <v>18040.11833333</v>
      </c>
      <c r="Q11" s="624">
        <v>11023.446</v>
      </c>
      <c r="R11" s="624">
        <v>7</v>
      </c>
      <c r="S11" s="290">
        <v>23</v>
      </c>
      <c r="T11" s="290">
        <v>152</v>
      </c>
      <c r="U11" s="958">
        <v>3.721983500911769E-3</v>
      </c>
      <c r="V11" s="290">
        <v>1178.76649004</v>
      </c>
      <c r="W11" s="765">
        <v>0.80481731000000001</v>
      </c>
      <c r="X11" s="290">
        <v>0</v>
      </c>
      <c r="Y11" s="290"/>
      <c r="Z11" s="290">
        <f>innut22!E17</f>
        <v>96051.075772796947</v>
      </c>
      <c r="AA11" s="290">
        <v>0</v>
      </c>
      <c r="AB11" s="290">
        <v>62</v>
      </c>
      <c r="AC11" s="290">
        <v>0</v>
      </c>
      <c r="AD11" s="290"/>
      <c r="AE11" s="290">
        <v>0</v>
      </c>
      <c r="AF11" s="290">
        <v>0</v>
      </c>
      <c r="AG11" s="290">
        <v>2788</v>
      </c>
      <c r="AH11" s="290">
        <v>598</v>
      </c>
      <c r="AI11" s="290">
        <v>0</v>
      </c>
      <c r="AJ11" s="290">
        <v>0</v>
      </c>
      <c r="AK11" s="290">
        <v>0</v>
      </c>
      <c r="AL11" s="290">
        <v>0</v>
      </c>
      <c r="AM11" s="957">
        <v>2.213505E-2</v>
      </c>
      <c r="AN11" s="290">
        <v>0</v>
      </c>
      <c r="AO11" s="290">
        <v>595.08006205000004</v>
      </c>
      <c r="AP11" s="290">
        <v>0</v>
      </c>
      <c r="AQ11" s="290">
        <v>0</v>
      </c>
      <c r="AR11" s="290">
        <v>399.50029417000002</v>
      </c>
      <c r="AS11" s="290">
        <v>593</v>
      </c>
      <c r="AT11" s="290">
        <v>121</v>
      </c>
      <c r="AU11" s="290">
        <v>15</v>
      </c>
      <c r="AV11" s="766">
        <v>95755</v>
      </c>
      <c r="AW11" s="290"/>
      <c r="AX11" s="766">
        <v>14.166650000000001</v>
      </c>
      <c r="AY11" s="290">
        <v>446</v>
      </c>
      <c r="AZ11" s="290">
        <v>95</v>
      </c>
      <c r="BA11" s="290">
        <v>57</v>
      </c>
      <c r="BB11" s="290">
        <v>3017</v>
      </c>
      <c r="BC11" s="290">
        <v>5140</v>
      </c>
      <c r="BD11" s="290"/>
      <c r="BE11" s="290">
        <v>93616.915164739999</v>
      </c>
      <c r="BF11" s="290">
        <v>0</v>
      </c>
      <c r="BG11" s="290">
        <v>2518.971406031405</v>
      </c>
      <c r="BH11" s="290">
        <v>135.71601044740632</v>
      </c>
      <c r="BI11" s="290">
        <v>598</v>
      </c>
      <c r="BJ11" s="290"/>
      <c r="BK11" s="290"/>
      <c r="BL11" s="290"/>
      <c r="BM11" s="290">
        <v>0</v>
      </c>
      <c r="BN11" s="290">
        <v>1132.2931599999999</v>
      </c>
      <c r="BO11" s="290">
        <v>-1299.0787372786049</v>
      </c>
      <c r="BP11" s="290">
        <v>167.64400000000001</v>
      </c>
      <c r="BQ11" s="290">
        <v>-89.906000000000006</v>
      </c>
      <c r="BR11" s="290">
        <v>-68.593422721395072</v>
      </c>
      <c r="BS11" s="290">
        <v>0.64100000000000001</v>
      </c>
      <c r="BT11" s="290"/>
      <c r="BU11" s="290">
        <v>0</v>
      </c>
      <c r="BV11" s="290">
        <v>1000</v>
      </c>
      <c r="BW11" s="290">
        <v>-640</v>
      </c>
      <c r="BX11" s="290">
        <v>439</v>
      </c>
      <c r="BY11" s="290">
        <v>60</v>
      </c>
      <c r="BZ11" s="290">
        <v>-487</v>
      </c>
      <c r="CA11" s="290">
        <v>0</v>
      </c>
      <c r="CB11" s="290">
        <v>97</v>
      </c>
      <c r="CC11" s="290">
        <v>363</v>
      </c>
      <c r="CD11" s="290">
        <v>4</v>
      </c>
      <c r="CE11" s="290">
        <v>103</v>
      </c>
      <c r="CF11" s="290">
        <v>5</v>
      </c>
      <c r="CG11" s="290">
        <v>1</v>
      </c>
      <c r="CH11" s="290">
        <v>-3</v>
      </c>
      <c r="CI11" s="290">
        <v>-1242</v>
      </c>
      <c r="CJ11" s="290">
        <v>-3438</v>
      </c>
      <c r="CK11" s="290">
        <f>+innut22!E17+innut22!S17</f>
        <v>96051.075772796947</v>
      </c>
      <c r="CL11" s="290">
        <v>0</v>
      </c>
      <c r="CM11" s="290">
        <v>0</v>
      </c>
      <c r="CN11" s="290">
        <v>0</v>
      </c>
      <c r="CP11" s="290">
        <f>+innut23!E17</f>
        <v>86937.402946582632</v>
      </c>
      <c r="CQ11" s="290"/>
      <c r="CV11" s="85">
        <f t="shared" si="1"/>
        <v>0.51600000000000001</v>
      </c>
    </row>
    <row r="12" spans="1:100" ht="13">
      <c r="A12" s="1">
        <v>1119</v>
      </c>
      <c r="B12" s="2" t="s">
        <v>1</v>
      </c>
      <c r="C12" s="289">
        <v>19296</v>
      </c>
      <c r="D12" s="290">
        <v>479</v>
      </c>
      <c r="E12" s="290">
        <v>1058</v>
      </c>
      <c r="F12" s="290">
        <v>2906</v>
      </c>
      <c r="G12" s="290">
        <v>1783</v>
      </c>
      <c r="H12" s="290">
        <v>10436</v>
      </c>
      <c r="I12" s="290">
        <v>1859</v>
      </c>
      <c r="J12" s="290">
        <v>542</v>
      </c>
      <c r="K12" s="290">
        <v>136</v>
      </c>
      <c r="L12" s="290">
        <v>131</v>
      </c>
      <c r="M12" s="290">
        <v>869</v>
      </c>
      <c r="N12" s="290">
        <v>307</v>
      </c>
      <c r="O12" s="290">
        <v>198</v>
      </c>
      <c r="P12" s="624">
        <v>44190.485333329998</v>
      </c>
      <c r="Q12" s="624">
        <v>31674.953000000001</v>
      </c>
      <c r="R12" s="624">
        <v>72</v>
      </c>
      <c r="S12" s="290">
        <v>202</v>
      </c>
      <c r="T12" s="290">
        <v>1323</v>
      </c>
      <c r="U12" s="958">
        <v>8.2721253156921391E-3</v>
      </c>
      <c r="V12" s="290">
        <v>-11825.63741308</v>
      </c>
      <c r="W12" s="765">
        <v>0.56770690999999995</v>
      </c>
      <c r="X12" s="290">
        <v>0</v>
      </c>
      <c r="Y12" s="290"/>
      <c r="Z12" s="290">
        <f>innut22!E18</f>
        <v>640129.98950954678</v>
      </c>
      <c r="AA12" s="290">
        <v>0</v>
      </c>
      <c r="AB12" s="290">
        <v>442</v>
      </c>
      <c r="AC12" s="290">
        <v>2858</v>
      </c>
      <c r="AD12" s="290"/>
      <c r="AE12" s="290">
        <v>0</v>
      </c>
      <c r="AF12" s="290">
        <v>0</v>
      </c>
      <c r="AG12" s="290">
        <v>19199</v>
      </c>
      <c r="AH12" s="290">
        <v>4229</v>
      </c>
      <c r="AI12" s="290">
        <v>500</v>
      </c>
      <c r="AJ12" s="290">
        <v>0</v>
      </c>
      <c r="AK12" s="290">
        <v>0</v>
      </c>
      <c r="AL12" s="290">
        <v>0</v>
      </c>
      <c r="AM12" s="957">
        <v>0.43419068</v>
      </c>
      <c r="AN12" s="290">
        <v>0</v>
      </c>
      <c r="AO12" s="290">
        <v>3839.2664566899998</v>
      </c>
      <c r="AP12" s="290">
        <v>0</v>
      </c>
      <c r="AQ12" s="290">
        <v>0</v>
      </c>
      <c r="AR12" s="290">
        <v>-926.17208982</v>
      </c>
      <c r="AS12" s="290">
        <v>4403</v>
      </c>
      <c r="AT12" s="290">
        <v>1013</v>
      </c>
      <c r="AU12" s="290">
        <v>172</v>
      </c>
      <c r="AV12" s="766">
        <v>514406</v>
      </c>
      <c r="AW12" s="290"/>
      <c r="AX12" s="766">
        <v>118.83329999999999</v>
      </c>
      <c r="AY12" s="290">
        <v>3061</v>
      </c>
      <c r="AZ12" s="290">
        <v>911</v>
      </c>
      <c r="BA12" s="290">
        <v>407</v>
      </c>
      <c r="BB12" s="290">
        <v>0</v>
      </c>
      <c r="BC12" s="290">
        <v>32586</v>
      </c>
      <c r="BD12" s="290"/>
      <c r="BE12" s="290">
        <v>528407.10728978994</v>
      </c>
      <c r="BF12" s="290">
        <v>0</v>
      </c>
      <c r="BG12" s="290">
        <v>17427.777788017924</v>
      </c>
      <c r="BH12" s="290">
        <v>938.96598694627176</v>
      </c>
      <c r="BI12" s="290">
        <v>7087</v>
      </c>
      <c r="BJ12" s="290"/>
      <c r="BK12" s="290"/>
      <c r="BL12" s="290"/>
      <c r="BM12" s="290">
        <v>0</v>
      </c>
      <c r="BN12" s="290">
        <v>7305.1936800000003</v>
      </c>
      <c r="BO12" s="290">
        <v>-8945.8438583256593</v>
      </c>
      <c r="BP12" s="290">
        <v>1293.394</v>
      </c>
      <c r="BQ12" s="290">
        <v>-693.63800000000003</v>
      </c>
      <c r="BR12" s="290">
        <v>-442.27913513239724</v>
      </c>
      <c r="BS12" s="290">
        <v>3.351</v>
      </c>
      <c r="BT12" s="290"/>
      <c r="BU12" s="290">
        <v>0</v>
      </c>
      <c r="BV12" s="290">
        <v>4500</v>
      </c>
      <c r="BW12" s="290">
        <v>-4409</v>
      </c>
      <c r="BX12" s="290">
        <v>2835</v>
      </c>
      <c r="BY12" s="290">
        <v>528</v>
      </c>
      <c r="BZ12" s="290">
        <v>-3351</v>
      </c>
      <c r="CA12" s="290">
        <v>-11.177686541943785</v>
      </c>
      <c r="CB12" s="290">
        <v>847</v>
      </c>
      <c r="CC12" s="290">
        <v>2497</v>
      </c>
      <c r="CD12" s="290">
        <v>31</v>
      </c>
      <c r="CE12" s="290">
        <v>711</v>
      </c>
      <c r="CF12" s="290">
        <v>27</v>
      </c>
      <c r="CG12" s="290">
        <v>5</v>
      </c>
      <c r="CH12" s="290">
        <v>-18</v>
      </c>
      <c r="CI12" s="290">
        <v>-8594</v>
      </c>
      <c r="CJ12" s="290">
        <v>-23227</v>
      </c>
      <c r="CK12" s="290">
        <f>+innut22!E18+innut22!S18</f>
        <v>640129.98950954678</v>
      </c>
      <c r="CL12" s="290">
        <v>0</v>
      </c>
      <c r="CM12" s="290">
        <v>0</v>
      </c>
      <c r="CN12" s="290">
        <v>0</v>
      </c>
      <c r="CP12" s="290">
        <f>+innut23!E18</f>
        <v>589428.29601852852</v>
      </c>
      <c r="CQ12" s="290"/>
      <c r="CV12" s="85">
        <f t="shared" si="1"/>
        <v>3.5539999999999998</v>
      </c>
    </row>
    <row r="13" spans="1:100" ht="13">
      <c r="A13" s="1">
        <v>1120</v>
      </c>
      <c r="B13" s="2" t="s">
        <v>2</v>
      </c>
      <c r="C13" s="289">
        <v>20163</v>
      </c>
      <c r="D13" s="290">
        <v>528</v>
      </c>
      <c r="E13" s="290">
        <v>1040</v>
      </c>
      <c r="F13" s="290">
        <v>2865</v>
      </c>
      <c r="G13" s="290">
        <v>1846</v>
      </c>
      <c r="H13" s="290">
        <v>11372</v>
      </c>
      <c r="I13" s="290">
        <v>1779</v>
      </c>
      <c r="J13" s="290">
        <v>523</v>
      </c>
      <c r="K13" s="290">
        <v>93</v>
      </c>
      <c r="L13" s="290">
        <v>137</v>
      </c>
      <c r="M13" s="290">
        <v>858</v>
      </c>
      <c r="N13" s="290">
        <v>411</v>
      </c>
      <c r="O13" s="290">
        <v>173</v>
      </c>
      <c r="P13" s="624">
        <v>38408.941333330004</v>
      </c>
      <c r="Q13" s="624">
        <v>27546.749666669999</v>
      </c>
      <c r="R13" s="624">
        <v>74</v>
      </c>
      <c r="S13" s="290">
        <v>214</v>
      </c>
      <c r="T13" s="290">
        <v>1320</v>
      </c>
      <c r="U13" s="958">
        <v>5.7982916317623982E-3</v>
      </c>
      <c r="V13" s="290">
        <v>1101.0495901500001</v>
      </c>
      <c r="W13" s="765">
        <v>0.54476827999999999</v>
      </c>
      <c r="X13" s="290">
        <v>4400</v>
      </c>
      <c r="Y13" s="290"/>
      <c r="Z13" s="290">
        <f>innut22!E19</f>
        <v>741300.83060371177</v>
      </c>
      <c r="AA13" s="290">
        <v>0</v>
      </c>
      <c r="AB13" s="290">
        <v>481</v>
      </c>
      <c r="AC13" s="290">
        <v>1341</v>
      </c>
      <c r="AD13" s="290"/>
      <c r="AE13" s="290">
        <v>0</v>
      </c>
      <c r="AF13" s="290">
        <v>0</v>
      </c>
      <c r="AG13" s="290">
        <v>20046</v>
      </c>
      <c r="AH13" s="290">
        <v>4242</v>
      </c>
      <c r="AI13" s="290">
        <v>0</v>
      </c>
      <c r="AJ13" s="290">
        <v>0</v>
      </c>
      <c r="AK13" s="290">
        <v>0</v>
      </c>
      <c r="AL13" s="290">
        <v>0</v>
      </c>
      <c r="AM13" s="957">
        <v>0.40278946999999998</v>
      </c>
      <c r="AN13" s="290">
        <v>0</v>
      </c>
      <c r="AO13" s="290">
        <v>3821.2296276299999</v>
      </c>
      <c r="AP13" s="290">
        <v>0</v>
      </c>
      <c r="AQ13" s="290">
        <v>0</v>
      </c>
      <c r="AR13" s="290">
        <v>-967.03191376999996</v>
      </c>
      <c r="AS13" s="290">
        <v>3998</v>
      </c>
      <c r="AT13" s="290">
        <v>1063</v>
      </c>
      <c r="AU13" s="290">
        <v>188</v>
      </c>
      <c r="AV13" s="766">
        <v>503222</v>
      </c>
      <c r="AW13" s="290"/>
      <c r="AX13" s="766">
        <v>158.62504999999999</v>
      </c>
      <c r="AY13" s="290">
        <v>3708</v>
      </c>
      <c r="AZ13" s="290">
        <v>794</v>
      </c>
      <c r="BA13" s="290">
        <v>434</v>
      </c>
      <c r="BB13" s="290">
        <v>0</v>
      </c>
      <c r="BC13" s="290">
        <v>33272</v>
      </c>
      <c r="BD13" s="290"/>
      <c r="BE13" s="290">
        <v>510854.63179820002</v>
      </c>
      <c r="BF13" s="290">
        <v>0</v>
      </c>
      <c r="BG13" s="290">
        <v>18210.835589749451</v>
      </c>
      <c r="BH13" s="290">
        <v>981.1552236109909</v>
      </c>
      <c r="BI13" s="290">
        <v>5583</v>
      </c>
      <c r="BJ13" s="290"/>
      <c r="BK13" s="290"/>
      <c r="BL13" s="290"/>
      <c r="BM13" s="290">
        <v>0</v>
      </c>
      <c r="BN13" s="290">
        <v>7270.8739800000003</v>
      </c>
      <c r="BO13" s="290">
        <v>-9340.5065880512611</v>
      </c>
      <c r="BP13" s="290">
        <v>1323.471</v>
      </c>
      <c r="BQ13" s="290">
        <v>-709.76800000000003</v>
      </c>
      <c r="BR13" s="290">
        <v>-433.20688777375051</v>
      </c>
      <c r="BS13" s="290">
        <v>3.3809999999999998</v>
      </c>
      <c r="BT13" s="290"/>
      <c r="BU13" s="290">
        <v>0</v>
      </c>
      <c r="BV13" s="290">
        <v>4500</v>
      </c>
      <c r="BW13" s="290">
        <v>-4603</v>
      </c>
      <c r="BX13" s="290">
        <v>2780</v>
      </c>
      <c r="BY13" s="290">
        <v>559</v>
      </c>
      <c r="BZ13" s="290">
        <v>-3499</v>
      </c>
      <c r="CA13" s="290">
        <v>-5.2445041749888333</v>
      </c>
      <c r="CB13" s="290">
        <v>896</v>
      </c>
      <c r="CC13" s="290">
        <v>2607</v>
      </c>
      <c r="CD13" s="290">
        <v>33</v>
      </c>
      <c r="CE13" s="290">
        <v>743</v>
      </c>
      <c r="CF13" s="290">
        <v>28</v>
      </c>
      <c r="CG13" s="290">
        <v>5</v>
      </c>
      <c r="CH13" s="290">
        <v>-18</v>
      </c>
      <c r="CI13" s="290">
        <v>-8980</v>
      </c>
      <c r="CJ13" s="290">
        <v>-22356</v>
      </c>
      <c r="CK13" s="290">
        <f>+innut22!E19+innut22!S19</f>
        <v>741300.83060371177</v>
      </c>
      <c r="CL13" s="290">
        <v>0</v>
      </c>
      <c r="CM13" s="290">
        <v>0</v>
      </c>
      <c r="CN13" s="290">
        <v>0</v>
      </c>
      <c r="CP13" s="290">
        <f>+innut23!E19</f>
        <v>694588.66912354808</v>
      </c>
      <c r="CQ13" s="290"/>
      <c r="CV13" s="85">
        <f t="shared" si="1"/>
        <v>3.7109999999999999</v>
      </c>
    </row>
    <row r="14" spans="1:100" ht="13">
      <c r="A14" s="1">
        <v>1121</v>
      </c>
      <c r="B14" s="2" t="s">
        <v>3</v>
      </c>
      <c r="C14" s="289">
        <v>19353</v>
      </c>
      <c r="D14" s="290">
        <v>465</v>
      </c>
      <c r="E14" s="290">
        <v>1006</v>
      </c>
      <c r="F14" s="290">
        <v>2775</v>
      </c>
      <c r="G14" s="290">
        <v>1720</v>
      </c>
      <c r="H14" s="290">
        <v>10838</v>
      </c>
      <c r="I14" s="290">
        <v>1802</v>
      </c>
      <c r="J14" s="290">
        <v>581</v>
      </c>
      <c r="K14" s="290">
        <v>117</v>
      </c>
      <c r="L14" s="290">
        <v>126</v>
      </c>
      <c r="M14" s="290">
        <v>874</v>
      </c>
      <c r="N14" s="290">
        <v>474</v>
      </c>
      <c r="O14" s="290">
        <v>144</v>
      </c>
      <c r="P14" s="624">
        <v>39649.928999999996</v>
      </c>
      <c r="Q14" s="624">
        <v>23752.87</v>
      </c>
      <c r="R14" s="624">
        <v>58</v>
      </c>
      <c r="S14" s="290">
        <v>219</v>
      </c>
      <c r="T14" s="290">
        <v>1515</v>
      </c>
      <c r="U14" s="958">
        <v>4.8995370142858197E-3</v>
      </c>
      <c r="V14" s="290">
        <v>-611.19856570000002</v>
      </c>
      <c r="W14" s="765">
        <v>0.54630529999999999</v>
      </c>
      <c r="X14" s="290">
        <v>2000</v>
      </c>
      <c r="Y14" s="290"/>
      <c r="Z14" s="290">
        <f>innut22!E20</f>
        <v>750725.3701118126</v>
      </c>
      <c r="AA14" s="290">
        <v>0</v>
      </c>
      <c r="AB14" s="290">
        <v>425</v>
      </c>
      <c r="AC14" s="290">
        <v>2942</v>
      </c>
      <c r="AD14" s="290"/>
      <c r="AE14" s="290">
        <v>0</v>
      </c>
      <c r="AF14" s="290">
        <v>0</v>
      </c>
      <c r="AG14" s="290">
        <v>19304</v>
      </c>
      <c r="AH14" s="290">
        <v>4030</v>
      </c>
      <c r="AI14" s="290">
        <v>0</v>
      </c>
      <c r="AJ14" s="290">
        <v>0</v>
      </c>
      <c r="AK14" s="290">
        <v>0</v>
      </c>
      <c r="AL14" s="290">
        <v>0</v>
      </c>
      <c r="AM14" s="957">
        <v>0.37507023</v>
      </c>
      <c r="AN14" s="290">
        <v>0</v>
      </c>
      <c r="AO14" s="290">
        <v>3724.51843977</v>
      </c>
      <c r="AP14" s="290">
        <v>0</v>
      </c>
      <c r="AQ14" s="290">
        <v>0</v>
      </c>
      <c r="AR14" s="290">
        <v>-931.23735724999995</v>
      </c>
      <c r="AS14" s="290">
        <v>3938</v>
      </c>
      <c r="AT14" s="290">
        <v>982</v>
      </c>
      <c r="AU14" s="290">
        <v>169</v>
      </c>
      <c r="AV14" s="766">
        <v>492813</v>
      </c>
      <c r="AW14" s="290"/>
      <c r="AX14" s="766">
        <v>143.83335</v>
      </c>
      <c r="AY14" s="290">
        <v>4476</v>
      </c>
      <c r="AZ14" s="290">
        <v>825</v>
      </c>
      <c r="BA14" s="290">
        <v>412</v>
      </c>
      <c r="BB14" s="290">
        <v>0</v>
      </c>
      <c r="BC14" s="290">
        <v>32172</v>
      </c>
      <c r="BD14" s="290"/>
      <c r="BE14" s="290">
        <v>503212.14407336002</v>
      </c>
      <c r="BF14" s="290">
        <v>0</v>
      </c>
      <c r="BG14" s="290">
        <v>17479.25909678228</v>
      </c>
      <c r="BH14" s="290">
        <v>941.73967378582074</v>
      </c>
      <c r="BI14" s="290">
        <v>6972</v>
      </c>
      <c r="BJ14" s="290"/>
      <c r="BK14" s="290"/>
      <c r="BL14" s="290"/>
      <c r="BM14" s="290">
        <v>0</v>
      </c>
      <c r="BN14" s="290">
        <v>7086.8560199999993</v>
      </c>
      <c r="BO14" s="290">
        <v>-8994.7689901098238</v>
      </c>
      <c r="BP14" s="290">
        <v>1293.471</v>
      </c>
      <c r="BQ14" s="290">
        <v>-693.67899999999997</v>
      </c>
      <c r="BR14" s="290">
        <v>-418.66750662718493</v>
      </c>
      <c r="BS14" s="290">
        <v>3.2949999999999999</v>
      </c>
      <c r="BT14" s="290"/>
      <c r="BU14" s="290">
        <v>0</v>
      </c>
      <c r="BV14" s="290">
        <v>5000</v>
      </c>
      <c r="BW14" s="290">
        <v>-4433</v>
      </c>
      <c r="BX14" s="290">
        <v>2682</v>
      </c>
      <c r="BY14" s="290">
        <v>570</v>
      </c>
      <c r="BZ14" s="290">
        <v>-3370</v>
      </c>
      <c r="CA14" s="290">
        <v>-11.506523262990413</v>
      </c>
      <c r="CB14" s="290">
        <v>915</v>
      </c>
      <c r="CC14" s="290">
        <v>2510</v>
      </c>
      <c r="CD14" s="290">
        <v>34</v>
      </c>
      <c r="CE14" s="290">
        <v>713</v>
      </c>
      <c r="CF14" s="290">
        <v>27</v>
      </c>
      <c r="CG14" s="290">
        <v>4</v>
      </c>
      <c r="CH14" s="290">
        <v>-17</v>
      </c>
      <c r="CI14" s="290">
        <v>-8620</v>
      </c>
      <c r="CJ14" s="290">
        <v>-24347</v>
      </c>
      <c r="CK14" s="290">
        <f>+innut22!E20+innut22!S20</f>
        <v>750725.3701118126</v>
      </c>
      <c r="CL14" s="290">
        <v>0</v>
      </c>
      <c r="CM14" s="290">
        <v>0</v>
      </c>
      <c r="CN14" s="290">
        <v>0</v>
      </c>
      <c r="CP14" s="290">
        <f>+innut23!E20</f>
        <v>692241.37383604236</v>
      </c>
      <c r="CQ14" s="290"/>
      <c r="CV14" s="85">
        <f t="shared" si="1"/>
        <v>3.5739999999999998</v>
      </c>
    </row>
    <row r="15" spans="1:100" ht="13">
      <c r="A15" s="1">
        <v>1122</v>
      </c>
      <c r="B15" s="2" t="s">
        <v>4</v>
      </c>
      <c r="C15" s="289">
        <v>12131</v>
      </c>
      <c r="D15" s="290">
        <v>286</v>
      </c>
      <c r="E15" s="290">
        <v>698</v>
      </c>
      <c r="F15" s="290">
        <v>1887</v>
      </c>
      <c r="G15" s="290">
        <v>1065</v>
      </c>
      <c r="H15" s="290">
        <v>6900</v>
      </c>
      <c r="I15" s="290">
        <v>990</v>
      </c>
      <c r="J15" s="290">
        <v>244</v>
      </c>
      <c r="K15" s="290">
        <v>46</v>
      </c>
      <c r="L15" s="290">
        <v>94</v>
      </c>
      <c r="M15" s="290">
        <v>461</v>
      </c>
      <c r="N15" s="290">
        <v>244</v>
      </c>
      <c r="O15" s="290">
        <v>140</v>
      </c>
      <c r="P15" s="624">
        <v>70874.093333330005</v>
      </c>
      <c r="Q15" s="624">
        <v>26729.797999999999</v>
      </c>
      <c r="R15" s="624">
        <v>44</v>
      </c>
      <c r="S15" s="290">
        <v>130</v>
      </c>
      <c r="T15" s="290">
        <v>770</v>
      </c>
      <c r="U15" s="958">
        <v>2.9177640939098345E-3</v>
      </c>
      <c r="V15" s="290">
        <v>976.90880930000003</v>
      </c>
      <c r="W15" s="765">
        <v>0.59447837999999997</v>
      </c>
      <c r="X15" s="290">
        <v>3000</v>
      </c>
      <c r="Y15" s="290"/>
      <c r="Z15" s="290">
        <f>innut22!E21</f>
        <v>412200.85335821175</v>
      </c>
      <c r="AA15" s="290">
        <v>0</v>
      </c>
      <c r="AB15" s="290">
        <v>240</v>
      </c>
      <c r="AC15" s="290">
        <v>2006</v>
      </c>
      <c r="AD15" s="290"/>
      <c r="AE15" s="290">
        <v>0</v>
      </c>
      <c r="AF15" s="290">
        <v>0</v>
      </c>
      <c r="AG15" s="290">
        <v>12116</v>
      </c>
      <c r="AH15" s="290">
        <v>2683</v>
      </c>
      <c r="AI15" s="290">
        <v>1400</v>
      </c>
      <c r="AJ15" s="290">
        <v>0</v>
      </c>
      <c r="AK15" s="290">
        <v>0</v>
      </c>
      <c r="AL15" s="290">
        <v>0</v>
      </c>
      <c r="AM15" s="957">
        <v>0.33126994999999998</v>
      </c>
      <c r="AN15" s="290">
        <v>0</v>
      </c>
      <c r="AO15" s="290">
        <v>2418.5655296300001</v>
      </c>
      <c r="AP15" s="290">
        <v>0</v>
      </c>
      <c r="AQ15" s="290">
        <v>0</v>
      </c>
      <c r="AR15" s="290">
        <v>-584.48362102999999</v>
      </c>
      <c r="AS15" s="290">
        <v>3831</v>
      </c>
      <c r="AT15" s="290">
        <v>620</v>
      </c>
      <c r="AU15" s="290">
        <v>147</v>
      </c>
      <c r="AV15" s="766">
        <v>336822</v>
      </c>
      <c r="AW15" s="290"/>
      <c r="AX15" s="766">
        <v>86.458349999999996</v>
      </c>
      <c r="AY15" s="290">
        <v>2252</v>
      </c>
      <c r="AZ15" s="290">
        <v>529</v>
      </c>
      <c r="BA15" s="290">
        <v>221</v>
      </c>
      <c r="BB15" s="290">
        <v>0</v>
      </c>
      <c r="BC15" s="290">
        <v>21157</v>
      </c>
      <c r="BD15" s="290"/>
      <c r="BE15" s="290">
        <v>343815.87428942998</v>
      </c>
      <c r="BF15" s="290">
        <v>0</v>
      </c>
      <c r="BG15" s="290">
        <v>10956.48695825277</v>
      </c>
      <c r="BH15" s="290">
        <v>590.30868509770028</v>
      </c>
      <c r="BI15" s="290">
        <v>4689</v>
      </c>
      <c r="BJ15" s="290"/>
      <c r="BK15" s="290"/>
      <c r="BL15" s="290"/>
      <c r="BM15" s="290">
        <v>0</v>
      </c>
      <c r="BN15" s="290">
        <v>4601.9440999999997</v>
      </c>
      <c r="BO15" s="290">
        <v>-5645.4942542566632</v>
      </c>
      <c r="BP15" s="290">
        <v>865.68700000000001</v>
      </c>
      <c r="BQ15" s="290">
        <v>-464.262</v>
      </c>
      <c r="BR15" s="290">
        <v>-291.17968027416742</v>
      </c>
      <c r="BS15" s="290">
        <v>2.1509999999999998</v>
      </c>
      <c r="BT15" s="290"/>
      <c r="BU15" s="290">
        <v>0</v>
      </c>
      <c r="BV15" s="290">
        <v>3000</v>
      </c>
      <c r="BW15" s="290">
        <v>-2782</v>
      </c>
      <c r="BX15" s="290">
        <v>1881</v>
      </c>
      <c r="BY15" s="290">
        <v>340</v>
      </c>
      <c r="BZ15" s="290">
        <v>-2115</v>
      </c>
      <c r="CA15" s="290">
        <v>-7.8461654691689091</v>
      </c>
      <c r="CB15" s="290">
        <v>546</v>
      </c>
      <c r="CC15" s="290">
        <v>1576</v>
      </c>
      <c r="CD15" s="290">
        <v>20</v>
      </c>
      <c r="CE15" s="290">
        <v>447</v>
      </c>
      <c r="CF15" s="290">
        <v>18</v>
      </c>
      <c r="CG15" s="290">
        <v>3</v>
      </c>
      <c r="CH15" s="290">
        <v>-11</v>
      </c>
      <c r="CI15" s="290">
        <v>-5403</v>
      </c>
      <c r="CJ15" s="290">
        <v>-14552</v>
      </c>
      <c r="CK15" s="290">
        <f>+innut22!E21+innut22!S21</f>
        <v>412200.85335821175</v>
      </c>
      <c r="CL15" s="290">
        <v>0</v>
      </c>
      <c r="CM15" s="290">
        <v>0</v>
      </c>
      <c r="CN15" s="290">
        <v>0</v>
      </c>
      <c r="CP15" s="290">
        <f>+innut23!E21</f>
        <v>385412.83274138503</v>
      </c>
      <c r="CQ15" s="290"/>
      <c r="CV15" s="85">
        <f t="shared" si="1"/>
        <v>2.2429999999999999</v>
      </c>
    </row>
    <row r="16" spans="1:100" ht="13">
      <c r="A16" s="1">
        <v>1124</v>
      </c>
      <c r="B16" s="2" t="s">
        <v>5</v>
      </c>
      <c r="C16" s="289">
        <v>27568</v>
      </c>
      <c r="D16" s="290">
        <v>667</v>
      </c>
      <c r="E16" s="290">
        <v>1485</v>
      </c>
      <c r="F16" s="290">
        <v>3807</v>
      </c>
      <c r="G16" s="290">
        <v>2333</v>
      </c>
      <c r="H16" s="290">
        <v>15945</v>
      </c>
      <c r="I16" s="290">
        <v>2313</v>
      </c>
      <c r="J16" s="290">
        <v>760</v>
      </c>
      <c r="K16" s="290">
        <v>154</v>
      </c>
      <c r="L16" s="290">
        <v>182</v>
      </c>
      <c r="M16" s="290">
        <v>1185</v>
      </c>
      <c r="N16" s="290">
        <v>489</v>
      </c>
      <c r="O16" s="290">
        <v>394</v>
      </c>
      <c r="P16" s="624">
        <v>39492.464</v>
      </c>
      <c r="Q16" s="624">
        <v>48514.473666669997</v>
      </c>
      <c r="R16" s="624">
        <v>92</v>
      </c>
      <c r="S16" s="290">
        <v>299</v>
      </c>
      <c r="T16" s="290">
        <v>1997</v>
      </c>
      <c r="U16" s="958">
        <v>3.1180621189266762E-3</v>
      </c>
      <c r="V16" s="290">
        <v>4749.7746738400001</v>
      </c>
      <c r="W16" s="765">
        <v>0.55552745000000003</v>
      </c>
      <c r="X16" s="290">
        <v>1500</v>
      </c>
      <c r="Y16" s="290"/>
      <c r="Z16" s="290">
        <f>innut22!E22</f>
        <v>1365282.8819165947</v>
      </c>
      <c r="AA16" s="290">
        <v>0</v>
      </c>
      <c r="AB16" s="290">
        <v>436</v>
      </c>
      <c r="AC16" s="290">
        <v>2694</v>
      </c>
      <c r="AD16" s="290"/>
      <c r="AE16" s="290">
        <v>1546</v>
      </c>
      <c r="AF16" s="290">
        <v>0</v>
      </c>
      <c r="AG16" s="290">
        <v>27464</v>
      </c>
      <c r="AH16" s="290">
        <v>5632</v>
      </c>
      <c r="AI16" s="290">
        <v>0</v>
      </c>
      <c r="AJ16" s="290">
        <v>0</v>
      </c>
      <c r="AK16" s="290">
        <v>0</v>
      </c>
      <c r="AL16" s="290">
        <v>0</v>
      </c>
      <c r="AM16" s="957">
        <v>0.76819641000000005</v>
      </c>
      <c r="AN16" s="290">
        <v>0</v>
      </c>
      <c r="AO16" s="290">
        <v>5260.9224846699999</v>
      </c>
      <c r="AP16" s="290">
        <v>0</v>
      </c>
      <c r="AQ16" s="290">
        <v>0</v>
      </c>
      <c r="AR16" s="290">
        <v>-1324.88099769</v>
      </c>
      <c r="AS16" s="290">
        <v>5213</v>
      </c>
      <c r="AT16" s="290">
        <v>1351</v>
      </c>
      <c r="AU16" s="290">
        <v>330</v>
      </c>
      <c r="AV16" s="766">
        <v>685203</v>
      </c>
      <c r="AW16" s="290"/>
      <c r="AX16" s="766">
        <v>232.33335</v>
      </c>
      <c r="AY16" s="290">
        <v>7653</v>
      </c>
      <c r="AZ16" s="290">
        <v>1299</v>
      </c>
      <c r="BA16" s="290">
        <v>496</v>
      </c>
      <c r="BB16" s="290">
        <v>0</v>
      </c>
      <c r="BC16" s="290">
        <v>45837</v>
      </c>
      <c r="BD16" s="290"/>
      <c r="BE16" s="290">
        <v>708619.19283197005</v>
      </c>
      <c r="BF16" s="290">
        <v>0</v>
      </c>
      <c r="BG16" s="290">
        <v>24898.88982483821</v>
      </c>
      <c r="BH16" s="290">
        <v>1341.4912068892422</v>
      </c>
      <c r="BI16" s="290">
        <v>8326</v>
      </c>
      <c r="BJ16" s="290"/>
      <c r="BK16" s="290"/>
      <c r="BL16" s="290"/>
      <c r="BM16" s="290">
        <v>0</v>
      </c>
      <c r="BN16" s="290">
        <v>10010.2606</v>
      </c>
      <c r="BO16" s="290">
        <v>-12796.950660193546</v>
      </c>
      <c r="BP16" s="290">
        <v>1951.3720000000001</v>
      </c>
      <c r="BQ16" s="290">
        <v>-1046.5060000000001</v>
      </c>
      <c r="BR16" s="290">
        <v>-586.21667457084175</v>
      </c>
      <c r="BS16" s="290">
        <v>4.5759999999999996</v>
      </c>
      <c r="BT16" s="290"/>
      <c r="BU16" s="290">
        <v>0</v>
      </c>
      <c r="BV16" s="290">
        <v>6000</v>
      </c>
      <c r="BW16" s="290">
        <v>-6307</v>
      </c>
      <c r="BX16" s="290">
        <v>3756</v>
      </c>
      <c r="BY16" s="290">
        <v>779</v>
      </c>
      <c r="BZ16" s="290">
        <v>-4794</v>
      </c>
      <c r="CA16" s="290">
        <v>-10.535265235611405</v>
      </c>
      <c r="CB16" s="290">
        <v>1250</v>
      </c>
      <c r="CC16" s="290">
        <v>3571</v>
      </c>
      <c r="CD16" s="290">
        <v>46</v>
      </c>
      <c r="CE16" s="290">
        <v>1016</v>
      </c>
      <c r="CF16" s="290">
        <v>37</v>
      </c>
      <c r="CG16" s="290">
        <v>6</v>
      </c>
      <c r="CH16" s="290">
        <v>-24</v>
      </c>
      <c r="CI16" s="290">
        <v>-12279</v>
      </c>
      <c r="CJ16" s="290">
        <v>-38057</v>
      </c>
      <c r="CK16" s="290">
        <f>+innut22!E22+innut22!S22</f>
        <v>1365282.8819165947</v>
      </c>
      <c r="CL16" s="290">
        <v>0</v>
      </c>
      <c r="CM16" s="290">
        <v>0</v>
      </c>
      <c r="CN16" s="290">
        <v>0</v>
      </c>
      <c r="CP16" s="290">
        <f>+innut23!E22</f>
        <v>1258082.2765584805</v>
      </c>
      <c r="CQ16" s="290"/>
      <c r="CV16" s="85">
        <f t="shared" si="1"/>
        <v>5.0839999999999996</v>
      </c>
    </row>
    <row r="17" spans="1:100" ht="13">
      <c r="A17" s="1">
        <v>1127</v>
      </c>
      <c r="B17" s="2" t="s">
        <v>6</v>
      </c>
      <c r="C17" s="289">
        <v>11454</v>
      </c>
      <c r="D17" s="290">
        <v>222</v>
      </c>
      <c r="E17" s="290">
        <v>589</v>
      </c>
      <c r="F17" s="290">
        <v>1569</v>
      </c>
      <c r="G17" s="290">
        <v>1093</v>
      </c>
      <c r="H17" s="290">
        <v>6334</v>
      </c>
      <c r="I17" s="290">
        <v>1097</v>
      </c>
      <c r="J17" s="290">
        <v>401</v>
      </c>
      <c r="K17" s="290">
        <v>82</v>
      </c>
      <c r="L17" s="290">
        <v>67</v>
      </c>
      <c r="M17" s="290">
        <v>487</v>
      </c>
      <c r="N17" s="290">
        <v>231</v>
      </c>
      <c r="O17" s="290">
        <v>120</v>
      </c>
      <c r="P17" s="624">
        <v>6554.0883333299998</v>
      </c>
      <c r="Q17" s="624">
        <v>15431.36833333</v>
      </c>
      <c r="R17" s="624">
        <v>35</v>
      </c>
      <c r="S17" s="290">
        <v>117</v>
      </c>
      <c r="T17" s="290">
        <v>719</v>
      </c>
      <c r="U17" s="958">
        <v>1.4611611331677668E-3</v>
      </c>
      <c r="V17" s="290">
        <v>2538.28624691</v>
      </c>
      <c r="W17" s="765">
        <v>0.54517685999999999</v>
      </c>
      <c r="X17" s="290">
        <v>4000</v>
      </c>
      <c r="Y17" s="290"/>
      <c r="Z17" s="290">
        <f>innut22!E23</f>
        <v>500712.29143816564</v>
      </c>
      <c r="AA17" s="290">
        <v>0</v>
      </c>
      <c r="AB17" s="290">
        <v>214</v>
      </c>
      <c r="AC17" s="290">
        <v>2179</v>
      </c>
      <c r="AD17" s="290"/>
      <c r="AE17" s="290">
        <v>0</v>
      </c>
      <c r="AF17" s="290">
        <v>0</v>
      </c>
      <c r="AG17" s="290">
        <v>11387</v>
      </c>
      <c r="AH17" s="290">
        <v>2323</v>
      </c>
      <c r="AI17" s="290">
        <v>0</v>
      </c>
      <c r="AJ17" s="290">
        <v>0</v>
      </c>
      <c r="AK17" s="290">
        <v>0</v>
      </c>
      <c r="AL17" s="290">
        <v>0</v>
      </c>
      <c r="AM17" s="957">
        <v>0.24353896</v>
      </c>
      <c r="AN17" s="290">
        <v>0</v>
      </c>
      <c r="AO17" s="290">
        <v>2187.6880682199999</v>
      </c>
      <c r="AP17" s="290">
        <v>0</v>
      </c>
      <c r="AQ17" s="290">
        <v>0</v>
      </c>
      <c r="AR17" s="290">
        <v>-549.31619286</v>
      </c>
      <c r="AS17" s="290">
        <v>3068</v>
      </c>
      <c r="AT17" s="290">
        <v>522</v>
      </c>
      <c r="AU17" s="290">
        <v>109</v>
      </c>
      <c r="AV17" s="766">
        <v>295431</v>
      </c>
      <c r="AW17" s="290"/>
      <c r="AX17" s="766">
        <v>70.208299999999994</v>
      </c>
      <c r="AY17" s="290">
        <v>2762</v>
      </c>
      <c r="AZ17" s="290">
        <v>548</v>
      </c>
      <c r="BA17" s="290">
        <v>233</v>
      </c>
      <c r="BB17" s="290">
        <v>0</v>
      </c>
      <c r="BC17" s="290">
        <v>19469</v>
      </c>
      <c r="BD17" s="290"/>
      <c r="BE17" s="290">
        <v>300111.91658267</v>
      </c>
      <c r="BF17" s="290">
        <v>0</v>
      </c>
      <c r="BG17" s="290">
        <v>10345.033519069097</v>
      </c>
      <c r="BH17" s="290">
        <v>557.36507123147794</v>
      </c>
      <c r="BI17" s="290">
        <v>4502</v>
      </c>
      <c r="BJ17" s="290"/>
      <c r="BK17" s="290"/>
      <c r="BL17" s="290"/>
      <c r="BM17" s="290">
        <v>0</v>
      </c>
      <c r="BN17" s="290">
        <v>4162.6402400000006</v>
      </c>
      <c r="BO17" s="290">
        <v>-5305.8140535837429</v>
      </c>
      <c r="BP17" s="290">
        <v>748.89300000000003</v>
      </c>
      <c r="BQ17" s="290">
        <v>-401.62599999999998</v>
      </c>
      <c r="BR17" s="290">
        <v>-238.80221789523364</v>
      </c>
      <c r="BS17" s="290">
        <v>1.984</v>
      </c>
      <c r="BT17" s="290"/>
      <c r="BU17" s="290">
        <v>0</v>
      </c>
      <c r="BV17" s="290">
        <v>1500</v>
      </c>
      <c r="BW17" s="290">
        <v>-2615</v>
      </c>
      <c r="BX17" s="290">
        <v>1531</v>
      </c>
      <c r="BY17" s="290">
        <v>304</v>
      </c>
      <c r="BZ17" s="290">
        <v>-1988</v>
      </c>
      <c r="CA17" s="290">
        <v>-340.27496852102422</v>
      </c>
      <c r="CB17" s="290">
        <v>488</v>
      </c>
      <c r="CC17" s="290">
        <v>1481</v>
      </c>
      <c r="CD17" s="290">
        <v>18</v>
      </c>
      <c r="CE17" s="290">
        <v>422</v>
      </c>
      <c r="CF17" s="290">
        <v>16</v>
      </c>
      <c r="CG17" s="290">
        <v>3</v>
      </c>
      <c r="CH17" s="290">
        <v>-11</v>
      </c>
      <c r="CI17" s="290">
        <v>-5102</v>
      </c>
      <c r="CJ17" s="290">
        <v>-14993</v>
      </c>
      <c r="CK17" s="290">
        <f>+innut22!E23+innut22!S23</f>
        <v>500712.29143816564</v>
      </c>
      <c r="CL17" s="290">
        <v>0</v>
      </c>
      <c r="CM17" s="290">
        <v>0</v>
      </c>
      <c r="CN17" s="290">
        <v>0</v>
      </c>
      <c r="CP17" s="290">
        <f>+innut23!E23</f>
        <v>460510.74804054195</v>
      </c>
      <c r="CQ17" s="290"/>
      <c r="CV17" s="85">
        <f t="shared" si="1"/>
        <v>2.1080000000000001</v>
      </c>
    </row>
    <row r="18" spans="1:100" ht="13">
      <c r="A18" s="1">
        <v>1130</v>
      </c>
      <c r="B18" s="2" t="s">
        <v>12</v>
      </c>
      <c r="C18" s="289">
        <v>13268</v>
      </c>
      <c r="D18" s="290">
        <v>318</v>
      </c>
      <c r="E18" s="290">
        <v>653</v>
      </c>
      <c r="F18" s="290">
        <v>1901</v>
      </c>
      <c r="G18" s="290">
        <v>1249</v>
      </c>
      <c r="H18" s="290">
        <v>7137</v>
      </c>
      <c r="I18" s="290">
        <v>1369</v>
      </c>
      <c r="J18" s="290">
        <v>463</v>
      </c>
      <c r="K18" s="290">
        <v>105</v>
      </c>
      <c r="L18" s="290">
        <v>87</v>
      </c>
      <c r="M18" s="290">
        <v>710</v>
      </c>
      <c r="N18" s="290">
        <v>219</v>
      </c>
      <c r="O18" s="290">
        <v>116</v>
      </c>
      <c r="P18" s="624">
        <v>30776.100666670001</v>
      </c>
      <c r="Q18" s="624">
        <v>22096.15533333</v>
      </c>
      <c r="R18" s="624">
        <v>58</v>
      </c>
      <c r="S18" s="290">
        <v>141</v>
      </c>
      <c r="T18" s="290">
        <v>926</v>
      </c>
      <c r="U18" s="958">
        <v>3.3257446055333694E-3</v>
      </c>
      <c r="V18" s="290">
        <v>-14654.378530550001</v>
      </c>
      <c r="W18" s="765">
        <v>0.57901086000000002</v>
      </c>
      <c r="X18" s="290">
        <v>4200</v>
      </c>
      <c r="Y18" s="290"/>
      <c r="Z18" s="290">
        <f>innut22!E24</f>
        <v>464838.83183582057</v>
      </c>
      <c r="AA18" s="290">
        <v>0</v>
      </c>
      <c r="AB18" s="290">
        <v>299</v>
      </c>
      <c r="AC18" s="290">
        <v>2114</v>
      </c>
      <c r="AD18" s="290"/>
      <c r="AE18" s="290">
        <v>0</v>
      </c>
      <c r="AF18" s="290">
        <v>0</v>
      </c>
      <c r="AG18" s="290">
        <v>13195</v>
      </c>
      <c r="AH18" s="290">
        <v>2760</v>
      </c>
      <c r="AI18" s="290">
        <v>0</v>
      </c>
      <c r="AJ18" s="290">
        <v>0</v>
      </c>
      <c r="AK18" s="290">
        <v>0</v>
      </c>
      <c r="AL18" s="290">
        <v>0</v>
      </c>
      <c r="AM18" s="957">
        <v>0.30458592000000001</v>
      </c>
      <c r="AN18" s="290">
        <v>0</v>
      </c>
      <c r="AO18" s="290">
        <v>2666.9486051600002</v>
      </c>
      <c r="AP18" s="290">
        <v>0</v>
      </c>
      <c r="AQ18" s="290">
        <v>0</v>
      </c>
      <c r="AR18" s="290">
        <v>-636.53527398000006</v>
      </c>
      <c r="AS18" s="290">
        <v>2923</v>
      </c>
      <c r="AT18" s="290">
        <v>645</v>
      </c>
      <c r="AU18" s="290">
        <v>134</v>
      </c>
      <c r="AV18" s="766">
        <v>365319</v>
      </c>
      <c r="AW18" s="290"/>
      <c r="AX18" s="766">
        <v>94.499949999999998</v>
      </c>
      <c r="AY18" s="290">
        <v>2498</v>
      </c>
      <c r="AZ18" s="290">
        <v>602</v>
      </c>
      <c r="BA18" s="290">
        <v>343</v>
      </c>
      <c r="BB18" s="290">
        <v>0</v>
      </c>
      <c r="BC18" s="290">
        <v>22437</v>
      </c>
      <c r="BD18" s="290"/>
      <c r="BE18" s="290">
        <v>369433.66835444001</v>
      </c>
      <c r="BF18" s="290">
        <v>0</v>
      </c>
      <c r="BG18" s="290">
        <v>11983.403590973352</v>
      </c>
      <c r="BH18" s="290">
        <v>645.63643837080917</v>
      </c>
      <c r="BI18" s="290">
        <v>4874</v>
      </c>
      <c r="BJ18" s="290"/>
      <c r="BK18" s="290"/>
      <c r="BL18" s="290"/>
      <c r="BM18" s="290">
        <v>0</v>
      </c>
      <c r="BN18" s="290">
        <v>5074.5569000000005</v>
      </c>
      <c r="BO18" s="290">
        <v>-6148.2582275434688</v>
      </c>
      <c r="BP18" s="290">
        <v>830.76700000000005</v>
      </c>
      <c r="BQ18" s="290">
        <v>-445.53399999999999</v>
      </c>
      <c r="BR18" s="290">
        <v>-288.63180242136445</v>
      </c>
      <c r="BS18" s="290">
        <v>2.3690000000000002</v>
      </c>
      <c r="BT18" s="290"/>
      <c r="BU18" s="290">
        <v>0</v>
      </c>
      <c r="BV18" s="290">
        <v>3000</v>
      </c>
      <c r="BW18" s="290">
        <v>-3030</v>
      </c>
      <c r="BX18" s="290">
        <v>1858</v>
      </c>
      <c r="BY18" s="290">
        <v>367</v>
      </c>
      <c r="BZ18" s="290">
        <v>-2303</v>
      </c>
      <c r="CA18" s="290">
        <v>-8.2688700351673106</v>
      </c>
      <c r="CB18" s="290">
        <v>588</v>
      </c>
      <c r="CC18" s="290">
        <v>1716</v>
      </c>
      <c r="CD18" s="290">
        <v>22</v>
      </c>
      <c r="CE18" s="290">
        <v>489</v>
      </c>
      <c r="CF18" s="290">
        <v>19</v>
      </c>
      <c r="CG18" s="290">
        <v>3</v>
      </c>
      <c r="CH18" s="290">
        <v>-13</v>
      </c>
      <c r="CI18" s="290">
        <v>-5909</v>
      </c>
      <c r="CJ18" s="290">
        <v>-15859</v>
      </c>
      <c r="CK18" s="290">
        <f>+innut22!E24+innut22!S24</f>
        <v>464838.83183582057</v>
      </c>
      <c r="CL18" s="290">
        <v>0</v>
      </c>
      <c r="CM18" s="290">
        <v>0</v>
      </c>
      <c r="CN18" s="290">
        <v>0</v>
      </c>
      <c r="CP18" s="290">
        <f>+innut23!E24</f>
        <v>429182.68057767284</v>
      </c>
      <c r="CQ18" s="290"/>
      <c r="CV18" s="85">
        <f t="shared" si="1"/>
        <v>2.4430000000000001</v>
      </c>
    </row>
    <row r="19" spans="1:100" ht="13">
      <c r="A19" s="1">
        <v>1133</v>
      </c>
      <c r="B19" s="2" t="s">
        <v>13</v>
      </c>
      <c r="C19" s="289">
        <v>2534</v>
      </c>
      <c r="D19" s="290">
        <v>50</v>
      </c>
      <c r="E19" s="290">
        <v>104</v>
      </c>
      <c r="F19" s="290">
        <v>357</v>
      </c>
      <c r="G19" s="290">
        <v>231</v>
      </c>
      <c r="H19" s="290">
        <v>1314</v>
      </c>
      <c r="I19" s="290">
        <v>363</v>
      </c>
      <c r="J19" s="290">
        <v>118</v>
      </c>
      <c r="K19" s="290">
        <v>23</v>
      </c>
      <c r="L19" s="290">
        <v>18</v>
      </c>
      <c r="M19" s="290">
        <v>208</v>
      </c>
      <c r="N19" s="290">
        <v>49</v>
      </c>
      <c r="O19" s="290">
        <v>47</v>
      </c>
      <c r="P19" s="624">
        <v>28200.532999999999</v>
      </c>
      <c r="Q19" s="624">
        <v>13066.411333329999</v>
      </c>
      <c r="R19" s="624">
        <v>6</v>
      </c>
      <c r="S19" s="290">
        <v>25</v>
      </c>
      <c r="T19" s="290">
        <v>179</v>
      </c>
      <c r="U19" s="958">
        <v>4.0330047462654259E-3</v>
      </c>
      <c r="V19" s="290">
        <v>662.28910965</v>
      </c>
      <c r="W19" s="765">
        <v>1</v>
      </c>
      <c r="X19" s="290">
        <v>1300</v>
      </c>
      <c r="Y19" s="290"/>
      <c r="Z19" s="290">
        <f>innut22!E25</f>
        <v>109581.72396093218</v>
      </c>
      <c r="AA19" s="290">
        <v>0</v>
      </c>
      <c r="AB19" s="290">
        <v>46</v>
      </c>
      <c r="AC19" s="290">
        <v>388</v>
      </c>
      <c r="AD19" s="290"/>
      <c r="AE19" s="290">
        <v>0</v>
      </c>
      <c r="AF19" s="290">
        <v>0</v>
      </c>
      <c r="AG19" s="290">
        <v>2560</v>
      </c>
      <c r="AH19" s="290">
        <v>495</v>
      </c>
      <c r="AI19" s="290">
        <v>0</v>
      </c>
      <c r="AJ19" s="290">
        <v>0</v>
      </c>
      <c r="AK19" s="290">
        <v>6</v>
      </c>
      <c r="AL19" s="290">
        <v>0</v>
      </c>
      <c r="AM19" s="957">
        <v>3.6408870000000003E-2</v>
      </c>
      <c r="AN19" s="290">
        <v>0</v>
      </c>
      <c r="AO19" s="290">
        <v>596.02183882999998</v>
      </c>
      <c r="AP19" s="290">
        <v>0</v>
      </c>
      <c r="AQ19" s="290">
        <v>0</v>
      </c>
      <c r="AR19" s="290">
        <v>2504.7861275300002</v>
      </c>
      <c r="AS19" s="290">
        <v>981</v>
      </c>
      <c r="AT19" s="290">
        <v>99</v>
      </c>
      <c r="AU19" s="290">
        <v>17</v>
      </c>
      <c r="AV19" s="766">
        <v>108605</v>
      </c>
      <c r="AW19" s="290"/>
      <c r="AX19" s="766">
        <v>24.666650000000001</v>
      </c>
      <c r="AY19" s="290">
        <v>522</v>
      </c>
      <c r="AZ19" s="290">
        <v>144</v>
      </c>
      <c r="BA19" s="290">
        <v>24</v>
      </c>
      <c r="BB19" s="290">
        <v>6034</v>
      </c>
      <c r="BC19" s="290">
        <v>4945</v>
      </c>
      <c r="BD19" s="290"/>
      <c r="BE19" s="290">
        <v>105504.47050900001</v>
      </c>
      <c r="BF19" s="290">
        <v>0</v>
      </c>
      <c r="BG19" s="290">
        <v>2288.6602878750737</v>
      </c>
      <c r="BH19" s="290">
        <v>123.30741142837132</v>
      </c>
      <c r="BI19" s="290">
        <v>889</v>
      </c>
      <c r="BJ19" s="290"/>
      <c r="BK19" s="290"/>
      <c r="BL19" s="290"/>
      <c r="BM19" s="290">
        <v>0</v>
      </c>
      <c r="BN19" s="290">
        <v>1134.08512</v>
      </c>
      <c r="BO19" s="290">
        <v>-1192.8413082615598</v>
      </c>
      <c r="BP19" s="290">
        <v>143.40899999999999</v>
      </c>
      <c r="BQ19" s="290">
        <v>-76.909000000000006</v>
      </c>
      <c r="BR19" s="290">
        <v>-63.911539836016019</v>
      </c>
      <c r="BS19" s="290">
        <v>0.68400000000000005</v>
      </c>
      <c r="BT19" s="290"/>
      <c r="BU19" s="290">
        <v>0</v>
      </c>
      <c r="BV19" s="290">
        <v>1500</v>
      </c>
      <c r="BW19" s="290">
        <v>-588</v>
      </c>
      <c r="BX19" s="290">
        <v>406</v>
      </c>
      <c r="BY19" s="290">
        <v>65</v>
      </c>
      <c r="BZ19" s="290">
        <v>-447</v>
      </c>
      <c r="CA19" s="290">
        <v>-1.5162719024241369</v>
      </c>
      <c r="CB19" s="290">
        <v>104</v>
      </c>
      <c r="CC19" s="290">
        <v>333</v>
      </c>
      <c r="CD19" s="290">
        <v>4</v>
      </c>
      <c r="CE19" s="290">
        <v>93</v>
      </c>
      <c r="CF19" s="290">
        <v>6</v>
      </c>
      <c r="CG19" s="290">
        <v>1</v>
      </c>
      <c r="CH19" s="290">
        <v>-4</v>
      </c>
      <c r="CI19" s="290">
        <v>-1129</v>
      </c>
      <c r="CJ19" s="290">
        <v>-2369</v>
      </c>
      <c r="CK19" s="290">
        <f>+innut22!E25+innut22!S25</f>
        <v>109581.72396093218</v>
      </c>
      <c r="CL19" s="290">
        <v>0</v>
      </c>
      <c r="CM19" s="290">
        <v>0</v>
      </c>
      <c r="CN19" s="290">
        <v>0</v>
      </c>
      <c r="CP19" s="290">
        <f>+innut23!E25</f>
        <v>104479.72657756608</v>
      </c>
      <c r="CQ19" s="290"/>
      <c r="CV19" s="85">
        <f t="shared" si="1"/>
        <v>0.47399999999999998</v>
      </c>
    </row>
    <row r="20" spans="1:100" ht="13">
      <c r="A20" s="1">
        <v>1134</v>
      </c>
      <c r="B20" s="2" t="s">
        <v>14</v>
      </c>
      <c r="C20" s="289">
        <v>3784</v>
      </c>
      <c r="D20" s="290">
        <v>63</v>
      </c>
      <c r="E20" s="290">
        <v>187</v>
      </c>
      <c r="F20" s="290">
        <v>507</v>
      </c>
      <c r="G20" s="290">
        <v>328</v>
      </c>
      <c r="H20" s="290">
        <v>1954</v>
      </c>
      <c r="I20" s="290">
        <v>554</v>
      </c>
      <c r="J20" s="290">
        <v>180</v>
      </c>
      <c r="K20" s="290">
        <v>37</v>
      </c>
      <c r="L20" s="290">
        <v>30</v>
      </c>
      <c r="M20" s="290">
        <v>275</v>
      </c>
      <c r="N20" s="290">
        <v>72</v>
      </c>
      <c r="O20" s="290">
        <v>40</v>
      </c>
      <c r="P20" s="624">
        <v>70563.423666670002</v>
      </c>
      <c r="Q20" s="624">
        <v>23217.60033333</v>
      </c>
      <c r="R20" s="624">
        <v>14</v>
      </c>
      <c r="S20" s="290">
        <v>35</v>
      </c>
      <c r="T20" s="290">
        <v>271</v>
      </c>
      <c r="U20" s="958">
        <v>4.5406306936947496E-3</v>
      </c>
      <c r="V20" s="290">
        <v>2254.2541597499999</v>
      </c>
      <c r="W20" s="765">
        <v>1</v>
      </c>
      <c r="X20" s="290">
        <v>0</v>
      </c>
      <c r="Y20" s="290"/>
      <c r="Z20" s="290">
        <f>innut22!E26</f>
        <v>172365.08798470479</v>
      </c>
      <c r="AA20" s="290">
        <v>0</v>
      </c>
      <c r="AB20" s="290">
        <v>73</v>
      </c>
      <c r="AC20" s="290">
        <v>49</v>
      </c>
      <c r="AD20" s="290"/>
      <c r="AE20" s="290">
        <v>0</v>
      </c>
      <c r="AF20" s="290">
        <v>0</v>
      </c>
      <c r="AG20" s="290">
        <v>3810</v>
      </c>
      <c r="AH20" s="290">
        <v>731</v>
      </c>
      <c r="AI20" s="290">
        <v>900</v>
      </c>
      <c r="AJ20" s="290">
        <v>0</v>
      </c>
      <c r="AK20" s="290">
        <v>818</v>
      </c>
      <c r="AL20" s="290">
        <v>0</v>
      </c>
      <c r="AM20" s="957">
        <v>2.2857800000000001E-2</v>
      </c>
      <c r="AN20" s="290">
        <v>0</v>
      </c>
      <c r="AO20" s="290">
        <v>880.33909399000004</v>
      </c>
      <c r="AP20" s="290">
        <v>0</v>
      </c>
      <c r="AQ20" s="290">
        <v>0</v>
      </c>
      <c r="AR20" s="290">
        <v>-183.79684682999999</v>
      </c>
      <c r="AS20" s="290">
        <v>1053</v>
      </c>
      <c r="AT20" s="290">
        <v>141</v>
      </c>
      <c r="AU20" s="290">
        <v>16</v>
      </c>
      <c r="AV20" s="766">
        <v>145085</v>
      </c>
      <c r="AW20" s="290"/>
      <c r="AX20" s="766">
        <v>14.041650000000001</v>
      </c>
      <c r="AY20" s="290">
        <v>740</v>
      </c>
      <c r="AZ20" s="290">
        <v>147</v>
      </c>
      <c r="BA20" s="290">
        <v>44</v>
      </c>
      <c r="BB20" s="290">
        <v>0</v>
      </c>
      <c r="BC20" s="290">
        <v>8079</v>
      </c>
      <c r="BD20" s="290"/>
      <c r="BE20" s="290">
        <v>145612.0074116</v>
      </c>
      <c r="BF20" s="290">
        <v>0</v>
      </c>
      <c r="BG20" s="290">
        <v>3417.6363572688551</v>
      </c>
      <c r="BH20" s="290">
        <v>184.13387720795464</v>
      </c>
      <c r="BI20" s="290">
        <v>1598</v>
      </c>
      <c r="BJ20" s="290"/>
      <c r="BK20" s="290"/>
      <c r="BL20" s="290"/>
      <c r="BM20" s="290">
        <v>0</v>
      </c>
      <c r="BN20" s="290">
        <v>1675.07196</v>
      </c>
      <c r="BO20" s="290">
        <v>-1775.2833533111495</v>
      </c>
      <c r="BP20" s="290">
        <v>227.51400000000001</v>
      </c>
      <c r="BQ20" s="290">
        <v>-122.014</v>
      </c>
      <c r="BR20" s="290">
        <v>-89.087448913350102</v>
      </c>
      <c r="BS20" s="290">
        <v>0.99199999999999999</v>
      </c>
      <c r="BT20" s="290"/>
      <c r="BU20" s="290">
        <v>0</v>
      </c>
      <c r="BV20" s="290">
        <v>3500</v>
      </c>
      <c r="BW20" s="290">
        <v>-875</v>
      </c>
      <c r="BX20" s="290">
        <v>577</v>
      </c>
      <c r="BY20" s="290">
        <v>92</v>
      </c>
      <c r="BZ20" s="290">
        <v>-665</v>
      </c>
      <c r="CA20" s="290">
        <v>-0.19315777550036728</v>
      </c>
      <c r="CB20" s="290">
        <v>147</v>
      </c>
      <c r="CC20" s="290">
        <v>495</v>
      </c>
      <c r="CD20" s="290">
        <v>5</v>
      </c>
      <c r="CE20" s="290">
        <v>139</v>
      </c>
      <c r="CF20" s="290">
        <v>8</v>
      </c>
      <c r="CG20" s="290">
        <v>1</v>
      </c>
      <c r="CH20" s="290">
        <v>-5</v>
      </c>
      <c r="CI20" s="290">
        <v>-1685</v>
      </c>
      <c r="CJ20" s="290">
        <v>-3230</v>
      </c>
      <c r="CK20" s="290">
        <f>+innut22!E26+innut22!S26</f>
        <v>172365.08798470479</v>
      </c>
      <c r="CL20" s="290">
        <v>725.83984912576238</v>
      </c>
      <c r="CM20" s="290">
        <v>624.47848092133381</v>
      </c>
      <c r="CN20" s="290">
        <v>516.53891246998728</v>
      </c>
      <c r="CP20" s="290">
        <f>+innut23!E26</f>
        <v>165382.86139418001</v>
      </c>
      <c r="CQ20" s="290"/>
      <c r="CV20" s="85">
        <f t="shared" si="1"/>
        <v>0.70499999999999996</v>
      </c>
    </row>
    <row r="21" spans="1:100" ht="13">
      <c r="A21" s="1">
        <v>1135</v>
      </c>
      <c r="B21" s="2" t="s">
        <v>15</v>
      </c>
      <c r="C21" s="289">
        <v>4525</v>
      </c>
      <c r="D21" s="290">
        <v>77</v>
      </c>
      <c r="E21" s="290">
        <v>186</v>
      </c>
      <c r="F21" s="290">
        <v>574</v>
      </c>
      <c r="G21" s="290">
        <v>349</v>
      </c>
      <c r="H21" s="290">
        <v>2450</v>
      </c>
      <c r="I21" s="290">
        <v>588</v>
      </c>
      <c r="J21" s="290">
        <v>238</v>
      </c>
      <c r="K21" s="290">
        <v>74</v>
      </c>
      <c r="L21" s="290">
        <v>39</v>
      </c>
      <c r="M21" s="290">
        <v>396</v>
      </c>
      <c r="N21" s="290">
        <v>40</v>
      </c>
      <c r="O21" s="290">
        <v>50</v>
      </c>
      <c r="P21" s="624">
        <v>10242.418</v>
      </c>
      <c r="Q21" s="624">
        <v>6294.0093333300001</v>
      </c>
      <c r="R21" s="624">
        <v>25</v>
      </c>
      <c r="S21" s="290">
        <v>44</v>
      </c>
      <c r="T21" s="290">
        <v>392</v>
      </c>
      <c r="U21" s="958">
        <v>1.4113785373513629E-3</v>
      </c>
      <c r="V21" s="290">
        <v>2667.4186469000001</v>
      </c>
      <c r="W21" s="765">
        <v>0.68901513999999997</v>
      </c>
      <c r="X21" s="290">
        <v>1150</v>
      </c>
      <c r="Y21" s="290"/>
      <c r="Z21" s="290">
        <f>innut22!E27</f>
        <v>172919.98921582819</v>
      </c>
      <c r="AA21" s="290">
        <v>0</v>
      </c>
      <c r="AB21" s="290">
        <v>91</v>
      </c>
      <c r="AC21" s="290">
        <v>779</v>
      </c>
      <c r="AD21" s="290"/>
      <c r="AE21" s="290">
        <v>0</v>
      </c>
      <c r="AF21" s="290">
        <v>0</v>
      </c>
      <c r="AG21" s="290">
        <v>4536</v>
      </c>
      <c r="AH21" s="290">
        <v>795</v>
      </c>
      <c r="AI21" s="290">
        <v>0</v>
      </c>
      <c r="AJ21" s="290">
        <v>0</v>
      </c>
      <c r="AK21" s="290">
        <v>141</v>
      </c>
      <c r="AL21" s="290">
        <v>0</v>
      </c>
      <c r="AM21" s="957">
        <v>3.8909909999999999E-2</v>
      </c>
      <c r="AN21" s="290">
        <v>6703</v>
      </c>
      <c r="AO21" s="290">
        <v>995.83502152000005</v>
      </c>
      <c r="AP21" s="290">
        <v>0</v>
      </c>
      <c r="AQ21" s="290">
        <v>0</v>
      </c>
      <c r="AR21" s="290">
        <v>-218.81955307000001</v>
      </c>
      <c r="AS21" s="290">
        <v>1458</v>
      </c>
      <c r="AT21" s="290">
        <v>181</v>
      </c>
      <c r="AU21" s="290">
        <v>26</v>
      </c>
      <c r="AV21" s="766">
        <v>166943</v>
      </c>
      <c r="AW21" s="290"/>
      <c r="AX21" s="766">
        <v>29.75</v>
      </c>
      <c r="AY21" s="290">
        <v>872</v>
      </c>
      <c r="AZ21" s="290">
        <v>172</v>
      </c>
      <c r="BA21" s="290">
        <v>106</v>
      </c>
      <c r="BB21" s="290">
        <v>0</v>
      </c>
      <c r="BC21" s="290">
        <v>8654</v>
      </c>
      <c r="BD21" s="290"/>
      <c r="BE21" s="290">
        <v>165144.20546431001</v>
      </c>
      <c r="BF21" s="290">
        <v>0</v>
      </c>
      <c r="BG21" s="290">
        <v>4086.8933712054882</v>
      </c>
      <c r="BH21" s="290">
        <v>220.19180612209161</v>
      </c>
      <c r="BI21" s="290">
        <v>1715</v>
      </c>
      <c r="BJ21" s="290"/>
      <c r="BK21" s="290"/>
      <c r="BL21" s="290"/>
      <c r="BM21" s="290">
        <v>0</v>
      </c>
      <c r="BN21" s="290">
        <v>1894.8327199999999</v>
      </c>
      <c r="BO21" s="290">
        <v>-2113.565693075951</v>
      </c>
      <c r="BP21" s="290">
        <v>242.88200000000001</v>
      </c>
      <c r="BQ21" s="290">
        <v>-130.256</v>
      </c>
      <c r="BR21" s="290">
        <v>-90.771851203197542</v>
      </c>
      <c r="BS21" s="290">
        <v>0.92500000000000004</v>
      </c>
      <c r="BT21" s="290"/>
      <c r="BU21" s="290">
        <v>0</v>
      </c>
      <c r="BV21" s="290">
        <v>2000</v>
      </c>
      <c r="BW21" s="290">
        <v>-1042</v>
      </c>
      <c r="BX21" s="290">
        <v>581</v>
      </c>
      <c r="BY21" s="290">
        <v>114</v>
      </c>
      <c r="BZ21" s="290">
        <v>-792</v>
      </c>
      <c r="CA21" s="290">
        <v>-3.0461757208513518</v>
      </c>
      <c r="CB21" s="290">
        <v>183</v>
      </c>
      <c r="CC21" s="290">
        <v>590</v>
      </c>
      <c r="CD21" s="290">
        <v>7</v>
      </c>
      <c r="CE21" s="290">
        <v>167</v>
      </c>
      <c r="CF21" s="290">
        <v>8</v>
      </c>
      <c r="CG21" s="290">
        <v>1</v>
      </c>
      <c r="CH21" s="290">
        <v>-5</v>
      </c>
      <c r="CI21" s="290">
        <v>-2015</v>
      </c>
      <c r="CJ21" s="290">
        <v>-3953</v>
      </c>
      <c r="CK21" s="290">
        <f>+innut22!E27+innut22!S27</f>
        <v>172919.98921582819</v>
      </c>
      <c r="CL21" s="290">
        <v>0</v>
      </c>
      <c r="CM21" s="290">
        <v>0</v>
      </c>
      <c r="CN21" s="290">
        <v>0</v>
      </c>
      <c r="CP21" s="290">
        <f>+innut23!E27</f>
        <v>163103.62435919614</v>
      </c>
      <c r="CQ21" s="290"/>
      <c r="CV21" s="85">
        <f t="shared" si="1"/>
        <v>0.84</v>
      </c>
    </row>
    <row r="22" spans="1:100" ht="13">
      <c r="A22" s="1">
        <v>1144</v>
      </c>
      <c r="B22" s="2" t="s">
        <v>18</v>
      </c>
      <c r="C22" s="289">
        <v>523</v>
      </c>
      <c r="D22" s="290">
        <v>13</v>
      </c>
      <c r="E22" s="290">
        <v>18</v>
      </c>
      <c r="F22" s="290">
        <v>58</v>
      </c>
      <c r="G22" s="290">
        <v>54</v>
      </c>
      <c r="H22" s="290">
        <v>270</v>
      </c>
      <c r="I22" s="290">
        <v>72</v>
      </c>
      <c r="J22" s="290">
        <v>36</v>
      </c>
      <c r="K22" s="290">
        <v>6</v>
      </c>
      <c r="L22" s="290">
        <v>3</v>
      </c>
      <c r="M22" s="290">
        <v>42</v>
      </c>
      <c r="N22" s="290">
        <v>4</v>
      </c>
      <c r="O22" s="290">
        <v>4</v>
      </c>
      <c r="P22" s="624">
        <v>385.51233332999999</v>
      </c>
      <c r="Q22" s="624">
        <v>472.16866666999999</v>
      </c>
      <c r="R22" s="624">
        <v>1</v>
      </c>
      <c r="S22" s="290">
        <v>4</v>
      </c>
      <c r="T22" s="290">
        <v>33</v>
      </c>
      <c r="U22" s="958">
        <v>2.4131013271232394E-4</v>
      </c>
      <c r="V22" s="290">
        <v>319.05867179000001</v>
      </c>
      <c r="W22" s="765">
        <v>1</v>
      </c>
      <c r="X22" s="290">
        <v>1200</v>
      </c>
      <c r="Y22" s="290"/>
      <c r="Z22" s="290">
        <f>innut22!E28</f>
        <v>17421.053612376672</v>
      </c>
      <c r="AA22" s="290">
        <v>0</v>
      </c>
      <c r="AB22" s="290">
        <v>7</v>
      </c>
      <c r="AC22" s="290">
        <v>0</v>
      </c>
      <c r="AD22" s="290"/>
      <c r="AE22" s="290">
        <v>0</v>
      </c>
      <c r="AF22" s="290">
        <v>0</v>
      </c>
      <c r="AG22" s="290">
        <v>527</v>
      </c>
      <c r="AH22" s="290">
        <v>100</v>
      </c>
      <c r="AI22" s="290">
        <v>500</v>
      </c>
      <c r="AJ22" s="290">
        <v>0</v>
      </c>
      <c r="AK22" s="290">
        <v>0</v>
      </c>
      <c r="AL22" s="290">
        <v>0</v>
      </c>
      <c r="AM22" s="957">
        <v>3.6762999999999998E-4</v>
      </c>
      <c r="AN22" s="290">
        <v>0</v>
      </c>
      <c r="AO22" s="290">
        <v>157.86703560999999</v>
      </c>
      <c r="AP22" s="290">
        <v>0</v>
      </c>
      <c r="AQ22" s="290">
        <v>0</v>
      </c>
      <c r="AR22" s="290">
        <v>-25.422818450000001</v>
      </c>
      <c r="AS22" s="290">
        <v>36</v>
      </c>
      <c r="AT22" s="290">
        <v>21</v>
      </c>
      <c r="AU22" s="290">
        <v>1.5</v>
      </c>
      <c r="AV22" s="766">
        <v>35211</v>
      </c>
      <c r="AW22" s="290"/>
      <c r="AX22" s="766">
        <v>5.5833000000000004</v>
      </c>
      <c r="AY22" s="290">
        <v>86</v>
      </c>
      <c r="AZ22" s="290">
        <v>3</v>
      </c>
      <c r="BA22" s="290">
        <v>7</v>
      </c>
      <c r="BB22" s="290">
        <v>3017</v>
      </c>
      <c r="BC22" s="290">
        <v>1355</v>
      </c>
      <c r="BD22" s="290"/>
      <c r="BE22" s="290">
        <v>35203.219281220001</v>
      </c>
      <c r="BF22" s="290">
        <v>0</v>
      </c>
      <c r="BG22" s="290">
        <v>472.36358743435812</v>
      </c>
      <c r="BH22" s="290">
        <v>25.449793282177662</v>
      </c>
      <c r="BI22" s="290">
        <v>100</v>
      </c>
      <c r="BJ22" s="290"/>
      <c r="BK22" s="290"/>
      <c r="BL22" s="290"/>
      <c r="BM22" s="290">
        <v>0</v>
      </c>
      <c r="BN22" s="290">
        <v>300.38271999999995</v>
      </c>
      <c r="BO22" s="290">
        <v>-245.55756619290702</v>
      </c>
      <c r="BP22" s="290">
        <v>25.824999999999999</v>
      </c>
      <c r="BQ22" s="290">
        <v>-13.85</v>
      </c>
      <c r="BR22" s="290">
        <v>-14.066638748982442</v>
      </c>
      <c r="BS22" s="290">
        <v>0.25800000000000001</v>
      </c>
      <c r="BT22" s="290">
        <v>805</v>
      </c>
      <c r="BU22" s="290">
        <v>0</v>
      </c>
      <c r="BV22" s="290">
        <v>500</v>
      </c>
      <c r="BW22" s="290">
        <v>-121</v>
      </c>
      <c r="BX22" s="290">
        <v>84</v>
      </c>
      <c r="BY22" s="290">
        <v>10</v>
      </c>
      <c r="BZ22" s="290">
        <v>-92</v>
      </c>
      <c r="CA22" s="290">
        <v>410.00848494188944</v>
      </c>
      <c r="CB22" s="290">
        <v>16</v>
      </c>
      <c r="CC22" s="290">
        <v>69</v>
      </c>
      <c r="CD22" s="290">
        <v>1</v>
      </c>
      <c r="CE22" s="290">
        <v>19</v>
      </c>
      <c r="CF22" s="290">
        <v>2</v>
      </c>
      <c r="CG22" s="290">
        <v>0</v>
      </c>
      <c r="CH22" s="290">
        <v>-1</v>
      </c>
      <c r="CI22" s="290">
        <v>-233</v>
      </c>
      <c r="CJ22" s="290">
        <v>-603</v>
      </c>
      <c r="CK22" s="290">
        <f>+innut22!E28+innut22!S28</f>
        <v>17421.053612376672</v>
      </c>
      <c r="CL22" s="290">
        <v>0</v>
      </c>
      <c r="CM22" s="290">
        <v>0</v>
      </c>
      <c r="CN22" s="290">
        <v>0</v>
      </c>
      <c r="CP22" s="290">
        <f>+innut23!E28</f>
        <v>16406.469307238709</v>
      </c>
      <c r="CQ22" s="290"/>
      <c r="CV22" s="85">
        <f t="shared" si="1"/>
        <v>9.8000000000000004E-2</v>
      </c>
    </row>
    <row r="23" spans="1:100" ht="13">
      <c r="A23" s="1">
        <v>1145</v>
      </c>
      <c r="B23" s="2" t="s">
        <v>19</v>
      </c>
      <c r="C23" s="289">
        <v>855</v>
      </c>
      <c r="D23" s="290">
        <v>17</v>
      </c>
      <c r="E23" s="290">
        <v>27</v>
      </c>
      <c r="F23" s="290">
        <v>98</v>
      </c>
      <c r="G23" s="290">
        <v>82</v>
      </c>
      <c r="H23" s="290">
        <v>469</v>
      </c>
      <c r="I23" s="290">
        <v>111</v>
      </c>
      <c r="J23" s="290">
        <v>40</v>
      </c>
      <c r="K23" s="290">
        <v>17</v>
      </c>
      <c r="L23" s="290">
        <v>4</v>
      </c>
      <c r="M23" s="290">
        <v>66</v>
      </c>
      <c r="N23" s="290">
        <v>0</v>
      </c>
      <c r="O23" s="290">
        <v>1.5</v>
      </c>
      <c r="P23" s="624">
        <v>2258.6243333299999</v>
      </c>
      <c r="Q23" s="624">
        <v>2376.0070000000001</v>
      </c>
      <c r="R23" s="624">
        <v>3</v>
      </c>
      <c r="S23" s="290">
        <v>7</v>
      </c>
      <c r="T23" s="290">
        <v>56</v>
      </c>
      <c r="U23" s="958">
        <v>8.5527547718555091E-4</v>
      </c>
      <c r="V23" s="290">
        <v>476.45951002999999</v>
      </c>
      <c r="W23" s="765">
        <v>0.90445154000000005</v>
      </c>
      <c r="X23" s="290">
        <v>1200</v>
      </c>
      <c r="Y23" s="290"/>
      <c r="Z23" s="290">
        <f>innut22!E29</f>
        <v>29005.962967901927</v>
      </c>
      <c r="AA23" s="290">
        <v>0</v>
      </c>
      <c r="AB23" s="290">
        <v>22</v>
      </c>
      <c r="AC23" s="290">
        <v>0</v>
      </c>
      <c r="AD23" s="290"/>
      <c r="AE23" s="290">
        <v>0</v>
      </c>
      <c r="AF23" s="290">
        <v>0</v>
      </c>
      <c r="AG23" s="290">
        <v>861</v>
      </c>
      <c r="AH23" s="290">
        <v>147</v>
      </c>
      <c r="AI23" s="290">
        <v>0</v>
      </c>
      <c r="AJ23" s="290">
        <v>0</v>
      </c>
      <c r="AK23" s="290">
        <v>68</v>
      </c>
      <c r="AL23" s="290">
        <v>0</v>
      </c>
      <c r="AM23" s="957">
        <v>4.17411E-3</v>
      </c>
      <c r="AN23" s="290">
        <v>0</v>
      </c>
      <c r="AO23" s="290">
        <v>216.62994008000001</v>
      </c>
      <c r="AP23" s="290">
        <v>0</v>
      </c>
      <c r="AQ23" s="290">
        <v>0</v>
      </c>
      <c r="AR23" s="290">
        <v>1869.99072065</v>
      </c>
      <c r="AS23" s="290">
        <v>211</v>
      </c>
      <c r="AT23" s="290">
        <v>35</v>
      </c>
      <c r="AU23" s="290">
        <v>4</v>
      </c>
      <c r="AV23" s="766">
        <v>45620</v>
      </c>
      <c r="AW23" s="290"/>
      <c r="AX23" s="766">
        <v>7.5833500000000003</v>
      </c>
      <c r="AY23" s="290">
        <v>127</v>
      </c>
      <c r="AZ23" s="290">
        <v>22</v>
      </c>
      <c r="BA23" s="290">
        <v>10</v>
      </c>
      <c r="BB23" s="290">
        <v>3017</v>
      </c>
      <c r="BC23" s="290">
        <v>1978</v>
      </c>
      <c r="BD23" s="290"/>
      <c r="BE23" s="290">
        <v>42313.49279787</v>
      </c>
      <c r="BF23" s="290">
        <v>0</v>
      </c>
      <c r="BG23" s="290">
        <v>772.21963146534642</v>
      </c>
      <c r="BH23" s="290">
        <v>41.605302593234988</v>
      </c>
      <c r="BI23" s="290">
        <v>215</v>
      </c>
      <c r="BJ23" s="290"/>
      <c r="BK23" s="290"/>
      <c r="BL23" s="290"/>
      <c r="BM23" s="290">
        <v>0</v>
      </c>
      <c r="BN23" s="290">
        <v>412.19428000000005</v>
      </c>
      <c r="BO23" s="290">
        <v>-401.18608063015739</v>
      </c>
      <c r="BP23" s="290">
        <v>38.021999999999998</v>
      </c>
      <c r="BQ23" s="290">
        <v>-20.390999999999998</v>
      </c>
      <c r="BR23" s="290">
        <v>-18.94319936984266</v>
      </c>
      <c r="BS23" s="290">
        <v>0.30399999999999999</v>
      </c>
      <c r="BT23" s="290"/>
      <c r="BU23" s="290">
        <v>0</v>
      </c>
      <c r="BV23" s="290">
        <v>500</v>
      </c>
      <c r="BW23" s="290">
        <v>-198</v>
      </c>
      <c r="BX23" s="290">
        <v>121</v>
      </c>
      <c r="BY23" s="290">
        <v>19</v>
      </c>
      <c r="BZ23" s="290">
        <v>-150</v>
      </c>
      <c r="CA23" s="290">
        <v>0</v>
      </c>
      <c r="CB23" s="290">
        <v>30</v>
      </c>
      <c r="CC23" s="290">
        <v>112</v>
      </c>
      <c r="CD23" s="290">
        <v>1</v>
      </c>
      <c r="CE23" s="290">
        <v>32</v>
      </c>
      <c r="CF23" s="290">
        <v>2</v>
      </c>
      <c r="CG23" s="290">
        <v>0</v>
      </c>
      <c r="CH23" s="290">
        <v>-2</v>
      </c>
      <c r="CI23" s="290">
        <v>-381</v>
      </c>
      <c r="CJ23" s="290">
        <v>-1012</v>
      </c>
      <c r="CK23" s="290">
        <f>+innut22!E29+innut22!S29</f>
        <v>29005.962967901927</v>
      </c>
      <c r="CL23" s="290">
        <v>19.102983570279491</v>
      </c>
      <c r="CM23" s="290">
        <v>0</v>
      </c>
      <c r="CN23" s="290">
        <v>0</v>
      </c>
      <c r="CP23" s="290">
        <f>+innut23!E29</f>
        <v>27326.288347378995</v>
      </c>
      <c r="CQ23" s="290"/>
      <c r="CV23" s="85">
        <f t="shared" si="1"/>
        <v>0.159</v>
      </c>
    </row>
    <row r="24" spans="1:100" ht="13">
      <c r="A24" s="1">
        <v>1146</v>
      </c>
      <c r="B24" s="2" t="s">
        <v>20</v>
      </c>
      <c r="C24" s="289">
        <v>11283</v>
      </c>
      <c r="D24" s="290">
        <v>266</v>
      </c>
      <c r="E24" s="290">
        <v>582</v>
      </c>
      <c r="F24" s="290">
        <v>1690</v>
      </c>
      <c r="G24" s="290">
        <v>1052</v>
      </c>
      <c r="H24" s="290">
        <v>6008</v>
      </c>
      <c r="I24" s="290">
        <v>1247</v>
      </c>
      <c r="J24" s="290">
        <v>379</v>
      </c>
      <c r="K24" s="290">
        <v>61</v>
      </c>
      <c r="L24" s="290">
        <v>76</v>
      </c>
      <c r="M24" s="290">
        <v>561</v>
      </c>
      <c r="N24" s="290">
        <v>160</v>
      </c>
      <c r="O24" s="290">
        <v>81</v>
      </c>
      <c r="P24" s="624">
        <v>100622.34266667</v>
      </c>
      <c r="Q24" s="624">
        <v>29879.683333329998</v>
      </c>
      <c r="R24" s="624">
        <v>37</v>
      </c>
      <c r="S24" s="290">
        <v>99</v>
      </c>
      <c r="T24" s="290">
        <v>652</v>
      </c>
      <c r="U24" s="958">
        <v>5.5971123287771206E-3</v>
      </c>
      <c r="V24" s="290">
        <v>2480.72171738</v>
      </c>
      <c r="W24" s="765">
        <v>0.66095957000000005</v>
      </c>
      <c r="X24" s="290">
        <v>800</v>
      </c>
      <c r="Y24" s="290"/>
      <c r="Z24" s="290">
        <f>innut22!E30</f>
        <v>383659.23323855904</v>
      </c>
      <c r="AA24" s="290">
        <v>0</v>
      </c>
      <c r="AB24" s="290">
        <v>240</v>
      </c>
      <c r="AC24" s="290">
        <v>835</v>
      </c>
      <c r="AD24" s="290"/>
      <c r="AE24" s="290">
        <v>0</v>
      </c>
      <c r="AF24" s="290">
        <v>0</v>
      </c>
      <c r="AG24" s="290">
        <v>11285</v>
      </c>
      <c r="AH24" s="290">
        <v>2435</v>
      </c>
      <c r="AI24" s="290">
        <v>500</v>
      </c>
      <c r="AJ24" s="290">
        <v>0</v>
      </c>
      <c r="AK24" s="290">
        <v>28976</v>
      </c>
      <c r="AL24" s="290">
        <v>0</v>
      </c>
      <c r="AM24" s="957">
        <v>9.8975179999999996E-2</v>
      </c>
      <c r="AN24" s="290">
        <v>0</v>
      </c>
      <c r="AO24" s="290">
        <v>2282.4531893499998</v>
      </c>
      <c r="AP24" s="290">
        <v>0</v>
      </c>
      <c r="AQ24" s="290">
        <v>0</v>
      </c>
      <c r="AR24" s="290">
        <v>-544.39564736</v>
      </c>
      <c r="AS24" s="290">
        <v>3128</v>
      </c>
      <c r="AT24" s="290">
        <v>480</v>
      </c>
      <c r="AU24" s="290">
        <v>76</v>
      </c>
      <c r="AV24" s="766">
        <v>348356</v>
      </c>
      <c r="AW24" s="290"/>
      <c r="AX24" s="766">
        <v>86.041650000000004</v>
      </c>
      <c r="AY24" s="290">
        <v>2187</v>
      </c>
      <c r="AZ24" s="290">
        <v>339</v>
      </c>
      <c r="BA24" s="290">
        <v>208</v>
      </c>
      <c r="BB24" s="290">
        <v>0</v>
      </c>
      <c r="BC24" s="290">
        <v>41949</v>
      </c>
      <c r="BD24" s="290"/>
      <c r="BE24" s="290">
        <v>356727.42651298002</v>
      </c>
      <c r="BF24" s="290">
        <v>0</v>
      </c>
      <c r="BG24" s="290">
        <v>10190.589592776027</v>
      </c>
      <c r="BH24" s="290">
        <v>549.04401071283075</v>
      </c>
      <c r="BI24" s="290">
        <v>32246</v>
      </c>
      <c r="BJ24" s="290"/>
      <c r="BK24" s="290"/>
      <c r="BL24" s="290"/>
      <c r="BM24" s="290">
        <v>0</v>
      </c>
      <c r="BN24" s="290">
        <v>4342.9552999999996</v>
      </c>
      <c r="BO24" s="290">
        <v>-5258.2867827076961</v>
      </c>
      <c r="BP24" s="290">
        <v>741.024</v>
      </c>
      <c r="BQ24" s="290">
        <v>-397.40600000000001</v>
      </c>
      <c r="BR24" s="290">
        <v>-263.21609516463946</v>
      </c>
      <c r="BS24" s="290">
        <v>2.1960000000000002</v>
      </c>
      <c r="BT24" s="290"/>
      <c r="BU24" s="290">
        <v>0</v>
      </c>
      <c r="BV24" s="290">
        <v>4000</v>
      </c>
      <c r="BW24" s="290">
        <v>-2592</v>
      </c>
      <c r="BX24" s="290">
        <v>1700</v>
      </c>
      <c r="BY24" s="290">
        <v>258</v>
      </c>
      <c r="BZ24" s="290">
        <v>-1970</v>
      </c>
      <c r="CA24" s="290">
        <v>-3.2664221276639864</v>
      </c>
      <c r="CB24" s="290">
        <v>413</v>
      </c>
      <c r="CC24" s="290">
        <v>1467</v>
      </c>
      <c r="CD24" s="290">
        <v>15</v>
      </c>
      <c r="CE24" s="290">
        <v>416</v>
      </c>
      <c r="CF24" s="290">
        <v>18</v>
      </c>
      <c r="CG24" s="290">
        <v>3</v>
      </c>
      <c r="CH24" s="290">
        <v>-12</v>
      </c>
      <c r="CI24" s="290">
        <v>-5025</v>
      </c>
      <c r="CJ24" s="290">
        <v>-13370</v>
      </c>
      <c r="CK24" s="290">
        <f>+innut22!E30+innut22!S30</f>
        <v>383659.23323855904</v>
      </c>
      <c r="CL24" s="290">
        <v>35356.812017634569</v>
      </c>
      <c r="CM24" s="290">
        <v>41711.588880889947</v>
      </c>
      <c r="CN24" s="290">
        <v>48047.244923817692</v>
      </c>
      <c r="CP24" s="290">
        <f>+innut23!E30</f>
        <v>360603.23699827457</v>
      </c>
      <c r="CQ24" s="290"/>
      <c r="CV24" s="85">
        <f t="shared" si="1"/>
        <v>2.089</v>
      </c>
    </row>
    <row r="25" spans="1:100" ht="13">
      <c r="A25" s="1">
        <v>1149</v>
      </c>
      <c r="B25" s="2" t="s">
        <v>21</v>
      </c>
      <c r="C25" s="289">
        <v>42541</v>
      </c>
      <c r="D25" s="290">
        <v>930</v>
      </c>
      <c r="E25" s="290">
        <v>1931</v>
      </c>
      <c r="F25" s="290">
        <v>5803</v>
      </c>
      <c r="G25" s="290">
        <v>3699</v>
      </c>
      <c r="H25" s="290">
        <v>23467</v>
      </c>
      <c r="I25" s="290">
        <v>4821</v>
      </c>
      <c r="J25" s="290">
        <v>1555</v>
      </c>
      <c r="K25" s="290">
        <v>331</v>
      </c>
      <c r="L25" s="290">
        <v>319</v>
      </c>
      <c r="M25" s="290">
        <v>2453</v>
      </c>
      <c r="N25" s="290">
        <v>513</v>
      </c>
      <c r="O25" s="290">
        <v>302</v>
      </c>
      <c r="P25" s="624">
        <v>106864.24433333</v>
      </c>
      <c r="Q25" s="624">
        <v>59915.78</v>
      </c>
      <c r="R25" s="624">
        <v>180</v>
      </c>
      <c r="S25" s="290">
        <v>436</v>
      </c>
      <c r="T25" s="290">
        <v>3106</v>
      </c>
      <c r="U25" s="958">
        <v>5.4518005943602309E-3</v>
      </c>
      <c r="V25" s="290">
        <v>-21203.89073526</v>
      </c>
      <c r="W25" s="765">
        <v>0.56025526000000003</v>
      </c>
      <c r="X25" s="290">
        <v>1750</v>
      </c>
      <c r="Y25" s="290"/>
      <c r="Z25" s="290">
        <f>innut22!E31</f>
        <v>1434075.305013987</v>
      </c>
      <c r="AA25" s="290">
        <v>0</v>
      </c>
      <c r="AB25" s="290">
        <v>1145</v>
      </c>
      <c r="AC25" s="290">
        <v>6585</v>
      </c>
      <c r="AD25" s="290"/>
      <c r="AE25" s="290">
        <v>0</v>
      </c>
      <c r="AF25" s="290">
        <v>0</v>
      </c>
      <c r="AG25" s="290">
        <v>42537</v>
      </c>
      <c r="AH25" s="290">
        <v>8332</v>
      </c>
      <c r="AI25" s="290">
        <v>1700</v>
      </c>
      <c r="AJ25" s="290">
        <v>0</v>
      </c>
      <c r="AK25" s="290">
        <v>8484</v>
      </c>
      <c r="AL25" s="290">
        <v>0</v>
      </c>
      <c r="AM25" s="957">
        <v>0.65150560000000002</v>
      </c>
      <c r="AN25" s="290">
        <v>0</v>
      </c>
      <c r="AO25" s="290">
        <v>8282.2062021000002</v>
      </c>
      <c r="AP25" s="290">
        <v>0</v>
      </c>
      <c r="AQ25" s="290">
        <v>0</v>
      </c>
      <c r="AR25" s="290">
        <v>-2052.0121977399999</v>
      </c>
      <c r="AS25" s="290">
        <v>7994</v>
      </c>
      <c r="AT25" s="290">
        <v>2122</v>
      </c>
      <c r="AU25" s="290">
        <v>361</v>
      </c>
      <c r="AV25" s="766">
        <v>1107118</v>
      </c>
      <c r="AW25" s="290"/>
      <c r="AX25" s="766">
        <v>308.79169999999999</v>
      </c>
      <c r="AY25" s="290">
        <v>7882</v>
      </c>
      <c r="AZ25" s="290">
        <v>1525</v>
      </c>
      <c r="BA25" s="290">
        <v>957</v>
      </c>
      <c r="BB25" s="290">
        <v>0</v>
      </c>
      <c r="BC25" s="290">
        <v>78708</v>
      </c>
      <c r="BD25" s="290"/>
      <c r="BE25" s="290">
        <v>1117169.7488505</v>
      </c>
      <c r="BF25" s="290">
        <v>0</v>
      </c>
      <c r="BG25" s="290">
        <v>38422.216774464679</v>
      </c>
      <c r="BH25" s="290">
        <v>2070.094944583403</v>
      </c>
      <c r="BI25" s="290">
        <v>23401</v>
      </c>
      <c r="BJ25" s="290"/>
      <c r="BK25" s="290"/>
      <c r="BL25" s="290"/>
      <c r="BM25" s="290">
        <v>0</v>
      </c>
      <c r="BN25" s="290">
        <v>15759.03134</v>
      </c>
      <c r="BO25" s="290">
        <v>-19820.269816219519</v>
      </c>
      <c r="BP25" s="290">
        <v>2493.3359999999998</v>
      </c>
      <c r="BQ25" s="290">
        <v>-1337.1579999999999</v>
      </c>
      <c r="BR25" s="290">
        <v>-874.60083999740812</v>
      </c>
      <c r="BS25" s="290">
        <v>7.415</v>
      </c>
      <c r="BT25" s="290"/>
      <c r="BU25" s="290">
        <v>0</v>
      </c>
      <c r="BV25" s="290">
        <v>11000</v>
      </c>
      <c r="BW25" s="290">
        <v>-9768</v>
      </c>
      <c r="BX25" s="290">
        <v>5618</v>
      </c>
      <c r="BY25" s="290">
        <v>1138</v>
      </c>
      <c r="BZ25" s="290">
        <v>-7425</v>
      </c>
      <c r="CA25" s="290">
        <v>-25.75368378307212</v>
      </c>
      <c r="CB25" s="290">
        <v>1825</v>
      </c>
      <c r="CC25" s="290">
        <v>5531</v>
      </c>
      <c r="CD25" s="290">
        <v>67</v>
      </c>
      <c r="CE25" s="290">
        <v>1568</v>
      </c>
      <c r="CF25" s="290">
        <v>61</v>
      </c>
      <c r="CG25" s="290">
        <v>9</v>
      </c>
      <c r="CH25" s="290">
        <v>-39</v>
      </c>
      <c r="CI25" s="290">
        <v>-18947</v>
      </c>
      <c r="CJ25" s="290">
        <v>-51184</v>
      </c>
      <c r="CK25" s="290">
        <f>+innut22!E31+innut22!S31</f>
        <v>1434075.305013987</v>
      </c>
      <c r="CL25" s="290">
        <v>7300.9716003649519</v>
      </c>
      <c r="CM25" s="290">
        <v>6021.597280304788</v>
      </c>
      <c r="CN25" s="290">
        <v>4669.1224065782371</v>
      </c>
      <c r="CP25" s="290">
        <f>+innut23!E31</f>
        <v>1322809.1761158961</v>
      </c>
      <c r="CQ25" s="290"/>
      <c r="CV25" s="85">
        <f t="shared" si="1"/>
        <v>7.875</v>
      </c>
    </row>
    <row r="26" spans="1:100" ht="13">
      <c r="A26" s="1">
        <v>1151</v>
      </c>
      <c r="B26" s="2" t="s">
        <v>22</v>
      </c>
      <c r="C26" s="289">
        <v>188</v>
      </c>
      <c r="D26" s="290">
        <v>1</v>
      </c>
      <c r="E26" s="290">
        <v>6</v>
      </c>
      <c r="F26" s="290">
        <v>20</v>
      </c>
      <c r="G26" s="290">
        <v>17</v>
      </c>
      <c r="H26" s="290">
        <v>104</v>
      </c>
      <c r="I26" s="290">
        <v>26</v>
      </c>
      <c r="J26" s="290">
        <v>10</v>
      </c>
      <c r="K26" s="290">
        <v>2</v>
      </c>
      <c r="L26" s="290">
        <v>2</v>
      </c>
      <c r="M26" s="290">
        <v>16</v>
      </c>
      <c r="N26" s="290">
        <v>1.5</v>
      </c>
      <c r="O26" s="290">
        <v>1.5</v>
      </c>
      <c r="P26" s="624">
        <v>0</v>
      </c>
      <c r="Q26" s="624">
        <v>0</v>
      </c>
      <c r="R26" s="624">
        <v>1</v>
      </c>
      <c r="S26" s="290">
        <v>2</v>
      </c>
      <c r="T26" s="290">
        <v>17</v>
      </c>
      <c r="U26" s="958">
        <v>1.581470059074569E-4</v>
      </c>
      <c r="V26" s="290">
        <v>259.03839027999999</v>
      </c>
      <c r="W26" s="765">
        <v>1</v>
      </c>
      <c r="X26" s="290">
        <v>0</v>
      </c>
      <c r="Y26" s="290"/>
      <c r="Z26" s="290">
        <f>innut22!E32</f>
        <v>7107.6439500477181</v>
      </c>
      <c r="AA26" s="290">
        <v>0</v>
      </c>
      <c r="AB26" s="290">
        <v>2</v>
      </c>
      <c r="AC26" s="290">
        <v>0</v>
      </c>
      <c r="AD26" s="290"/>
      <c r="AE26" s="290">
        <v>0</v>
      </c>
      <c r="AF26" s="290">
        <v>0</v>
      </c>
      <c r="AG26" s="290">
        <v>186</v>
      </c>
      <c r="AH26" s="290">
        <v>100</v>
      </c>
      <c r="AI26" s="290">
        <v>0</v>
      </c>
      <c r="AJ26" s="290">
        <v>0</v>
      </c>
      <c r="AK26" s="290">
        <v>0</v>
      </c>
      <c r="AL26" s="290">
        <v>0</v>
      </c>
      <c r="AM26" s="957">
        <v>2.8483100000000002E-3</v>
      </c>
      <c r="AN26" s="290">
        <v>0</v>
      </c>
      <c r="AO26" s="290">
        <v>96.707542050000001</v>
      </c>
      <c r="AP26" s="290">
        <v>0</v>
      </c>
      <c r="AQ26" s="290">
        <v>0</v>
      </c>
      <c r="AR26" s="290">
        <v>-8.9727594499999999</v>
      </c>
      <c r="AS26" s="290">
        <v>21</v>
      </c>
      <c r="AT26" s="290">
        <v>5</v>
      </c>
      <c r="AU26" s="290">
        <v>1.5</v>
      </c>
      <c r="AV26" s="766">
        <v>28788</v>
      </c>
      <c r="AW26" s="290"/>
      <c r="AX26" s="766">
        <v>0.625</v>
      </c>
      <c r="AY26" s="290">
        <v>41</v>
      </c>
      <c r="AZ26" s="290">
        <v>14</v>
      </c>
      <c r="BA26" s="290">
        <v>2</v>
      </c>
      <c r="BB26" s="290">
        <v>6034</v>
      </c>
      <c r="BC26" s="290">
        <v>909</v>
      </c>
      <c r="BD26" s="290"/>
      <c r="BE26" s="290">
        <v>29625.331449320001</v>
      </c>
      <c r="BF26" s="290">
        <v>0</v>
      </c>
      <c r="BG26" s="290">
        <v>169.79800083682471</v>
      </c>
      <c r="BH26" s="290">
        <v>9.1483004532493322</v>
      </c>
      <c r="BI26" s="290">
        <v>100</v>
      </c>
      <c r="BJ26" s="290"/>
      <c r="BK26" s="290"/>
      <c r="BL26" s="290"/>
      <c r="BM26" s="290">
        <v>0</v>
      </c>
      <c r="BN26" s="290">
        <v>184.01102</v>
      </c>
      <c r="BO26" s="290">
        <v>-86.667376303378944</v>
      </c>
      <c r="BP26" s="290">
        <v>7.8620000000000001</v>
      </c>
      <c r="BQ26" s="290">
        <v>-4.2160000000000002</v>
      </c>
      <c r="BR26" s="290">
        <v>-7.1836436966210506</v>
      </c>
      <c r="BS26" s="290">
        <v>0.19400000000000001</v>
      </c>
      <c r="BT26" s="290">
        <v>338</v>
      </c>
      <c r="BU26" s="290">
        <v>0</v>
      </c>
      <c r="BV26" s="290">
        <v>500</v>
      </c>
      <c r="BW26" s="290">
        <v>-43</v>
      </c>
      <c r="BX26" s="290">
        <v>47</v>
      </c>
      <c r="BY26" s="290">
        <v>5</v>
      </c>
      <c r="BZ26" s="290">
        <v>-32</v>
      </c>
      <c r="CA26" s="290">
        <v>0</v>
      </c>
      <c r="CB26" s="290">
        <v>8</v>
      </c>
      <c r="CC26" s="290">
        <v>24</v>
      </c>
      <c r="CD26" s="290">
        <v>0</v>
      </c>
      <c r="CE26" s="290">
        <v>7</v>
      </c>
      <c r="CF26" s="290">
        <v>2</v>
      </c>
      <c r="CG26" s="290">
        <v>0</v>
      </c>
      <c r="CH26" s="290">
        <v>-1</v>
      </c>
      <c r="CI26" s="290">
        <v>-84</v>
      </c>
      <c r="CJ26" s="290">
        <v>-224</v>
      </c>
      <c r="CK26" s="290">
        <f>+innut22!E32+innut22!S32</f>
        <v>7107.6439500477181</v>
      </c>
      <c r="CL26" s="290">
        <v>0</v>
      </c>
      <c r="CM26" s="290">
        <v>0</v>
      </c>
      <c r="CN26" s="290">
        <v>0</v>
      </c>
      <c r="CP26" s="290">
        <f>+innut23!E32</f>
        <v>6542.6184173718793</v>
      </c>
      <c r="CQ26" s="290"/>
      <c r="CV26" s="85">
        <f t="shared" si="1"/>
        <v>3.4000000000000002E-2</v>
      </c>
    </row>
    <row r="27" spans="1:100" ht="13">
      <c r="A27" s="1">
        <v>1160</v>
      </c>
      <c r="B27" s="2" t="s">
        <v>1543</v>
      </c>
      <c r="C27" s="289">
        <v>8775</v>
      </c>
      <c r="D27" s="290">
        <v>161</v>
      </c>
      <c r="E27" s="290">
        <v>410</v>
      </c>
      <c r="F27" s="290">
        <v>1135</v>
      </c>
      <c r="G27" s="290">
        <v>786</v>
      </c>
      <c r="H27" s="290">
        <v>4799</v>
      </c>
      <c r="I27" s="290">
        <v>999</v>
      </c>
      <c r="J27" s="290">
        <v>344</v>
      </c>
      <c r="K27" s="290">
        <v>104</v>
      </c>
      <c r="L27" s="290">
        <v>65</v>
      </c>
      <c r="M27" s="290">
        <v>569</v>
      </c>
      <c r="N27" s="290">
        <v>100</v>
      </c>
      <c r="O27" s="290">
        <v>92</v>
      </c>
      <c r="P27" s="624">
        <v>59908.265666669999</v>
      </c>
      <c r="Q27" s="624">
        <v>24829.810666670001</v>
      </c>
      <c r="R27" s="624">
        <v>26</v>
      </c>
      <c r="S27" s="290">
        <v>80</v>
      </c>
      <c r="T27" s="290">
        <v>642</v>
      </c>
      <c r="U27" s="958">
        <v>8.1563859874098955E-3</v>
      </c>
      <c r="V27" s="290">
        <v>4314.5651196899998</v>
      </c>
      <c r="W27" s="765">
        <v>0.74288883000000006</v>
      </c>
      <c r="X27" s="290">
        <v>1000</v>
      </c>
      <c r="Y27" s="290"/>
      <c r="Z27" s="290">
        <f>innut22!E33</f>
        <v>403504.49020859157</v>
      </c>
      <c r="AA27" s="290">
        <v>4133</v>
      </c>
      <c r="AB27" s="290">
        <v>136</v>
      </c>
      <c r="AC27" s="290">
        <v>948</v>
      </c>
      <c r="AD27" s="290"/>
      <c r="AE27" s="290">
        <v>0</v>
      </c>
      <c r="AF27" s="290">
        <v>6774</v>
      </c>
      <c r="AG27" s="290">
        <v>8738</v>
      </c>
      <c r="AH27" s="290">
        <v>1664</v>
      </c>
      <c r="AI27" s="290">
        <v>0</v>
      </c>
      <c r="AJ27" s="290">
        <v>0</v>
      </c>
      <c r="AK27" s="290">
        <v>0</v>
      </c>
      <c r="AL27" s="290">
        <v>0</v>
      </c>
      <c r="AM27" s="957">
        <v>9.4184219999999999E-2</v>
      </c>
      <c r="AN27" s="290">
        <v>0</v>
      </c>
      <c r="AO27" s="290">
        <v>1765.7767202</v>
      </c>
      <c r="AP27" s="290">
        <v>0</v>
      </c>
      <c r="AQ27" s="290">
        <v>-2203.2195121999998</v>
      </c>
      <c r="AR27" s="290">
        <v>-421.52673163999998</v>
      </c>
      <c r="AS27" s="290">
        <v>2092</v>
      </c>
      <c r="AT27" s="290">
        <v>305</v>
      </c>
      <c r="AU27" s="290">
        <v>72</v>
      </c>
      <c r="AV27" s="766">
        <v>268842</v>
      </c>
      <c r="AW27" s="290"/>
      <c r="AX27" s="766">
        <v>32.666649999999997</v>
      </c>
      <c r="AY27" s="290">
        <v>1602</v>
      </c>
      <c r="AZ27" s="290">
        <v>325</v>
      </c>
      <c r="BA27" s="290">
        <v>144</v>
      </c>
      <c r="BB27" s="290">
        <v>0</v>
      </c>
      <c r="BC27" s="290">
        <v>23829</v>
      </c>
      <c r="BD27" s="290"/>
      <c r="BE27" s="290">
        <v>267074.95480591001</v>
      </c>
      <c r="BF27" s="290">
        <v>0</v>
      </c>
      <c r="BG27" s="290">
        <v>7925.4120071443449</v>
      </c>
      <c r="BH27" s="290">
        <v>427.0017897726749</v>
      </c>
      <c r="BI27" s="290">
        <v>13519</v>
      </c>
      <c r="BJ27" s="290"/>
      <c r="BK27" s="290"/>
      <c r="BL27" s="290"/>
      <c r="BM27" s="290">
        <v>0</v>
      </c>
      <c r="BN27" s="290">
        <v>3359.8452000000002</v>
      </c>
      <c r="BO27" s="290">
        <v>-4071.502871714652</v>
      </c>
      <c r="BP27" s="290">
        <v>499.92200000000003</v>
      </c>
      <c r="BQ27" s="290">
        <v>-268.10399999999998</v>
      </c>
      <c r="BR27" s="290">
        <v>-182.18212144836059</v>
      </c>
      <c r="BS27" s="290">
        <v>1.728</v>
      </c>
      <c r="BT27" s="290"/>
      <c r="BU27" s="290">
        <v>0</v>
      </c>
      <c r="BV27" s="290">
        <v>4500</v>
      </c>
      <c r="BW27" s="290">
        <v>-2007</v>
      </c>
      <c r="BX27" s="290">
        <v>1165</v>
      </c>
      <c r="BY27" s="290">
        <v>209</v>
      </c>
      <c r="BZ27" s="290">
        <v>-1525</v>
      </c>
      <c r="CA27" s="290">
        <v>-3.706206836987576</v>
      </c>
      <c r="CB27" s="290">
        <v>335</v>
      </c>
      <c r="CC27" s="290">
        <v>1136</v>
      </c>
      <c r="CD27" s="290">
        <v>12</v>
      </c>
      <c r="CE27" s="290">
        <v>323</v>
      </c>
      <c r="CF27" s="290">
        <v>14</v>
      </c>
      <c r="CG27" s="290">
        <v>2</v>
      </c>
      <c r="CH27" s="290">
        <v>-9</v>
      </c>
      <c r="CI27" s="290">
        <v>-3908</v>
      </c>
      <c r="CJ27" s="290">
        <v>-15212</v>
      </c>
      <c r="CK27" s="290">
        <f>+innut22!E33+innut22!S33</f>
        <v>403504.49020859157</v>
      </c>
      <c r="CL27" s="290">
        <v>0</v>
      </c>
      <c r="CM27" s="290">
        <v>0</v>
      </c>
      <c r="CN27" s="290">
        <v>0</v>
      </c>
      <c r="CP27" s="290">
        <f>+innut23!E33</f>
        <v>355516.81561209843</v>
      </c>
      <c r="CQ27" s="290"/>
      <c r="CV27" s="85">
        <f t="shared" si="1"/>
        <v>1.6180000000000001</v>
      </c>
    </row>
    <row r="28" spans="1:100" ht="13">
      <c r="A28" s="1">
        <v>1505</v>
      </c>
      <c r="B28" s="2" t="s">
        <v>1654</v>
      </c>
      <c r="C28" s="289">
        <v>24013</v>
      </c>
      <c r="D28" s="290">
        <v>399</v>
      </c>
      <c r="E28" s="290">
        <v>874</v>
      </c>
      <c r="F28" s="290">
        <v>2713</v>
      </c>
      <c r="G28" s="290">
        <v>2038</v>
      </c>
      <c r="H28" s="290">
        <v>13509</v>
      </c>
      <c r="I28" s="290">
        <v>3396</v>
      </c>
      <c r="J28" s="290">
        <v>918</v>
      </c>
      <c r="K28" s="290">
        <v>209</v>
      </c>
      <c r="L28" s="290">
        <v>196</v>
      </c>
      <c r="M28" s="290">
        <v>1922</v>
      </c>
      <c r="N28" s="290">
        <v>519</v>
      </c>
      <c r="O28" s="290">
        <v>263</v>
      </c>
      <c r="P28" s="624">
        <v>36266.726999999999</v>
      </c>
      <c r="Q28" s="624">
        <v>25875.494999999999</v>
      </c>
      <c r="R28" s="624">
        <v>114</v>
      </c>
      <c r="S28" s="290">
        <v>333</v>
      </c>
      <c r="T28" s="290">
        <v>2566</v>
      </c>
      <c r="U28" s="958">
        <v>5.6241049096653832E-4</v>
      </c>
      <c r="V28" s="290">
        <v>12268.43797807</v>
      </c>
      <c r="W28" s="765">
        <v>0.55091637999999998</v>
      </c>
      <c r="X28" s="290">
        <v>2500</v>
      </c>
      <c r="Y28" s="290"/>
      <c r="Z28" s="290">
        <f>innut22!E34</f>
        <v>809806.27568547381</v>
      </c>
      <c r="AA28" s="290">
        <v>0</v>
      </c>
      <c r="AB28" s="290">
        <v>756</v>
      </c>
      <c r="AC28" s="290">
        <v>2964</v>
      </c>
      <c r="AD28" s="290"/>
      <c r="AE28" s="290">
        <v>0</v>
      </c>
      <c r="AF28" s="290">
        <v>11236</v>
      </c>
      <c r="AG28" s="290">
        <v>24056</v>
      </c>
      <c r="AH28" s="290">
        <v>3974</v>
      </c>
      <c r="AI28" s="290">
        <v>3300</v>
      </c>
      <c r="AJ28" s="290">
        <v>0</v>
      </c>
      <c r="AK28" s="290">
        <v>0</v>
      </c>
      <c r="AL28" s="290">
        <v>0</v>
      </c>
      <c r="AM28" s="957">
        <v>0.71702677000000004</v>
      </c>
      <c r="AN28" s="290">
        <v>0</v>
      </c>
      <c r="AO28" s="290">
        <v>4618.9629390999999</v>
      </c>
      <c r="AP28" s="290">
        <v>0</v>
      </c>
      <c r="AQ28" s="290">
        <v>0</v>
      </c>
      <c r="AR28" s="290">
        <v>-1160.4768890400001</v>
      </c>
      <c r="AS28" s="290">
        <v>4436</v>
      </c>
      <c r="AT28" s="290">
        <v>1240</v>
      </c>
      <c r="AU28" s="290">
        <v>302</v>
      </c>
      <c r="AV28" s="766">
        <v>637392</v>
      </c>
      <c r="AW28" s="290"/>
      <c r="AX28" s="766">
        <v>154.25</v>
      </c>
      <c r="AY28" s="290">
        <v>5406</v>
      </c>
      <c r="AZ28" s="290">
        <v>1112</v>
      </c>
      <c r="BA28" s="290">
        <v>611</v>
      </c>
      <c r="BB28" s="290">
        <v>0</v>
      </c>
      <c r="BC28" s="290">
        <v>49500</v>
      </c>
      <c r="BD28" s="290"/>
      <c r="BE28" s="290">
        <v>642807.05802959995</v>
      </c>
      <c r="BF28" s="290">
        <v>0</v>
      </c>
      <c r="BG28" s="290">
        <v>21688.081883482297</v>
      </c>
      <c r="BH28" s="290">
        <v>1168.5007382121075</v>
      </c>
      <c r="BI28" s="290">
        <v>18174</v>
      </c>
      <c r="BJ28" s="290"/>
      <c r="BK28" s="290"/>
      <c r="BL28" s="290"/>
      <c r="BM28" s="290">
        <v>0</v>
      </c>
      <c r="BN28" s="290">
        <v>8788.7671399999981</v>
      </c>
      <c r="BO28" s="290">
        <v>-11208.980668570344</v>
      </c>
      <c r="BP28" s="290">
        <v>1184.933</v>
      </c>
      <c r="BQ28" s="290">
        <v>-635.471</v>
      </c>
      <c r="BR28" s="290">
        <v>-416.52964155320052</v>
      </c>
      <c r="BS28" s="290">
        <v>4.2469999999999999</v>
      </c>
      <c r="BT28" s="290"/>
      <c r="BU28" s="290">
        <v>0</v>
      </c>
      <c r="BV28" s="290">
        <v>6000</v>
      </c>
      <c r="BW28" s="290">
        <v>-5524</v>
      </c>
      <c r="BX28" s="290">
        <v>2669</v>
      </c>
      <c r="BY28" s="290">
        <v>868</v>
      </c>
      <c r="BZ28" s="290">
        <v>-4199</v>
      </c>
      <c r="CA28" s="290">
        <v>29.034170123547028</v>
      </c>
      <c r="CB28" s="290">
        <v>1393</v>
      </c>
      <c r="CC28" s="290">
        <v>3128</v>
      </c>
      <c r="CD28" s="290">
        <v>51</v>
      </c>
      <c r="CE28" s="290">
        <v>885</v>
      </c>
      <c r="CF28" s="290">
        <v>35</v>
      </c>
      <c r="CG28" s="290">
        <v>4</v>
      </c>
      <c r="CH28" s="290">
        <v>-23</v>
      </c>
      <c r="CI28" s="290">
        <v>-10695</v>
      </c>
      <c r="CJ28" s="290">
        <v>-29018</v>
      </c>
      <c r="CK28" s="290">
        <f>+innut22!E34+innut22!S34</f>
        <v>809806.27568547381</v>
      </c>
      <c r="CL28" s="290">
        <v>0</v>
      </c>
      <c r="CM28" s="290">
        <v>0</v>
      </c>
      <c r="CN28" s="290">
        <v>0</v>
      </c>
      <c r="CP28" s="290">
        <f>+innut23!E34</f>
        <v>752720.69268032839</v>
      </c>
      <c r="CQ28" s="290"/>
      <c r="CV28" s="85">
        <f t="shared" si="1"/>
        <v>4.4530000000000003</v>
      </c>
    </row>
    <row r="29" spans="1:100" ht="13">
      <c r="A29" s="1">
        <v>1506</v>
      </c>
      <c r="B29" s="2" t="s">
        <v>1611</v>
      </c>
      <c r="C29" s="289">
        <v>32002</v>
      </c>
      <c r="D29" s="290">
        <v>627</v>
      </c>
      <c r="E29" s="290">
        <v>1296</v>
      </c>
      <c r="F29" s="290">
        <v>3697</v>
      </c>
      <c r="G29" s="290">
        <v>2734</v>
      </c>
      <c r="H29" s="290">
        <v>17550</v>
      </c>
      <c r="I29" s="290">
        <v>4283</v>
      </c>
      <c r="J29" s="290">
        <v>1304</v>
      </c>
      <c r="K29" s="290">
        <v>376</v>
      </c>
      <c r="L29" s="290">
        <v>223</v>
      </c>
      <c r="M29" s="290">
        <v>2436</v>
      </c>
      <c r="N29" s="290">
        <v>667</v>
      </c>
      <c r="O29" s="290">
        <v>326</v>
      </c>
      <c r="P29" s="624">
        <v>121826.29266666999</v>
      </c>
      <c r="Q29" s="624">
        <v>74202.224333329999</v>
      </c>
      <c r="R29" s="624">
        <v>135</v>
      </c>
      <c r="S29" s="290">
        <v>368</v>
      </c>
      <c r="T29" s="290">
        <v>2966</v>
      </c>
      <c r="U29" s="958">
        <v>4.9943176141394874E-3</v>
      </c>
      <c r="V29" s="290">
        <v>9964.9189758600005</v>
      </c>
      <c r="W29" s="765">
        <v>0.63447993999999996</v>
      </c>
      <c r="X29" s="290">
        <v>780</v>
      </c>
      <c r="Y29" s="290"/>
      <c r="Z29" s="290">
        <f>innut22!E35</f>
        <v>1184174.7462885373</v>
      </c>
      <c r="AA29" s="290">
        <v>0</v>
      </c>
      <c r="AB29" s="290">
        <v>629</v>
      </c>
      <c r="AC29" s="290">
        <v>4073</v>
      </c>
      <c r="AD29" s="290"/>
      <c r="AE29" s="290">
        <v>0</v>
      </c>
      <c r="AF29" s="290">
        <v>43824</v>
      </c>
      <c r="AG29" s="290">
        <v>31867</v>
      </c>
      <c r="AH29" s="290">
        <v>5548</v>
      </c>
      <c r="AI29" s="290">
        <v>5937.48</v>
      </c>
      <c r="AJ29" s="290">
        <v>0</v>
      </c>
      <c r="AK29" s="290">
        <v>0</v>
      </c>
      <c r="AL29" s="290">
        <v>0</v>
      </c>
      <c r="AM29" s="957">
        <v>0.59989247999999995</v>
      </c>
      <c r="AN29" s="290">
        <v>0</v>
      </c>
      <c r="AO29" s="290">
        <v>6277.8603904499996</v>
      </c>
      <c r="AP29" s="290">
        <v>0</v>
      </c>
      <c r="AQ29" s="290">
        <v>0</v>
      </c>
      <c r="AR29" s="290">
        <v>-1537.2845453499999</v>
      </c>
      <c r="AS29" s="290">
        <v>5291</v>
      </c>
      <c r="AT29" s="290">
        <v>1492</v>
      </c>
      <c r="AU29" s="290">
        <v>288</v>
      </c>
      <c r="AV29" s="766">
        <v>922014</v>
      </c>
      <c r="AW29" s="290"/>
      <c r="AX29" s="766">
        <v>250.08330000000001</v>
      </c>
      <c r="AY29" s="290">
        <v>9098</v>
      </c>
      <c r="AZ29" s="290">
        <v>1418</v>
      </c>
      <c r="BA29" s="290">
        <v>624</v>
      </c>
      <c r="BB29" s="290">
        <v>0</v>
      </c>
      <c r="BC29" s="290">
        <v>94595</v>
      </c>
      <c r="BD29" s="290"/>
      <c r="BE29" s="290">
        <v>925958.55125336</v>
      </c>
      <c r="BF29" s="290">
        <v>0</v>
      </c>
      <c r="BG29" s="290">
        <v>28903.59373819183</v>
      </c>
      <c r="BH29" s="290">
        <v>1557.2548463025801</v>
      </c>
      <c r="BI29" s="290">
        <v>53445</v>
      </c>
      <c r="BJ29" s="290"/>
      <c r="BK29" s="290"/>
      <c r="BL29" s="290"/>
      <c r="BM29" s="290">
        <v>5575</v>
      </c>
      <c r="BN29" s="290">
        <v>11945.24698</v>
      </c>
      <c r="BO29" s="290">
        <v>-14848.544519676221</v>
      </c>
      <c r="BP29" s="290">
        <v>1801.0820000000001</v>
      </c>
      <c r="BQ29" s="290">
        <v>-965.90700000000004</v>
      </c>
      <c r="BR29" s="290">
        <v>-578.58950280036743</v>
      </c>
      <c r="BS29" s="290">
        <v>5.8719999999999999</v>
      </c>
      <c r="BT29" s="290">
        <v>-3786</v>
      </c>
      <c r="BU29" s="290">
        <v>0</v>
      </c>
      <c r="BV29" s="290">
        <v>8500</v>
      </c>
      <c r="BW29" s="290">
        <v>-7318</v>
      </c>
      <c r="BX29" s="290">
        <v>3706</v>
      </c>
      <c r="BY29" s="290">
        <v>959</v>
      </c>
      <c r="BZ29" s="290">
        <v>-5563</v>
      </c>
      <c r="CA29" s="290">
        <v>-48.159957523411776</v>
      </c>
      <c r="CB29" s="290">
        <v>1538</v>
      </c>
      <c r="CC29" s="290">
        <v>4144</v>
      </c>
      <c r="CD29" s="290">
        <v>56</v>
      </c>
      <c r="CE29" s="290">
        <v>1180</v>
      </c>
      <c r="CF29" s="290">
        <v>48</v>
      </c>
      <c r="CG29" s="290">
        <v>6</v>
      </c>
      <c r="CH29" s="290">
        <v>-31</v>
      </c>
      <c r="CI29" s="290">
        <v>-14253</v>
      </c>
      <c r="CJ29" s="290">
        <v>-36295</v>
      </c>
      <c r="CK29" s="290">
        <f>+innut22!E35+innut22!S35</f>
        <v>1184174.7462885373</v>
      </c>
      <c r="CL29" s="290">
        <v>0</v>
      </c>
      <c r="CM29" s="290">
        <v>0</v>
      </c>
      <c r="CN29" s="290">
        <v>0</v>
      </c>
      <c r="CP29" s="290">
        <f>+innut23!E35</f>
        <v>1094020.1738882915</v>
      </c>
      <c r="CQ29" s="290"/>
      <c r="CV29" s="85">
        <f t="shared" si="1"/>
        <v>5.899</v>
      </c>
    </row>
    <row r="30" spans="1:100" ht="13">
      <c r="A30" s="1">
        <v>1507</v>
      </c>
      <c r="B30" s="2" t="s">
        <v>1612</v>
      </c>
      <c r="C30" s="289">
        <v>67114</v>
      </c>
      <c r="D30" s="290">
        <v>1366</v>
      </c>
      <c r="E30" s="290">
        <v>2972</v>
      </c>
      <c r="F30" s="290">
        <v>8031</v>
      </c>
      <c r="G30" s="290">
        <v>5882</v>
      </c>
      <c r="H30" s="290">
        <v>37875</v>
      </c>
      <c r="I30" s="290">
        <v>7576</v>
      </c>
      <c r="J30" s="290">
        <v>2340</v>
      </c>
      <c r="K30" s="290">
        <v>683</v>
      </c>
      <c r="L30" s="290">
        <v>485</v>
      </c>
      <c r="M30" s="290">
        <v>4373</v>
      </c>
      <c r="N30" s="290">
        <v>1270</v>
      </c>
      <c r="O30" s="290">
        <v>665</v>
      </c>
      <c r="P30" s="624">
        <v>269336.14399999997</v>
      </c>
      <c r="Q30" s="624">
        <v>119976.85933332999</v>
      </c>
      <c r="R30" s="624">
        <v>206</v>
      </c>
      <c r="S30" s="290">
        <v>730</v>
      </c>
      <c r="T30" s="290">
        <v>5876</v>
      </c>
      <c r="U30" s="958">
        <v>4.6442176918863303E-3</v>
      </c>
      <c r="V30" s="290">
        <v>-13815.26553391</v>
      </c>
      <c r="W30" s="765">
        <v>0.59790264000000004</v>
      </c>
      <c r="X30" s="290">
        <v>6000</v>
      </c>
      <c r="Y30" s="290"/>
      <c r="Z30" s="290">
        <f>innut22!E36</f>
        <v>2650505.6484100474</v>
      </c>
      <c r="AA30" s="290">
        <v>0</v>
      </c>
      <c r="AB30" s="290">
        <v>1117</v>
      </c>
      <c r="AC30" s="290">
        <v>4859</v>
      </c>
      <c r="AD30" s="290"/>
      <c r="AE30" s="290">
        <v>0</v>
      </c>
      <c r="AF30" s="290">
        <v>74799</v>
      </c>
      <c r="AG30" s="290">
        <v>66725</v>
      </c>
      <c r="AH30" s="290">
        <v>12003</v>
      </c>
      <c r="AI30" s="290">
        <v>8853.68</v>
      </c>
      <c r="AJ30" s="290">
        <v>200</v>
      </c>
      <c r="AK30" s="290">
        <v>0</v>
      </c>
      <c r="AL30" s="290">
        <v>0</v>
      </c>
      <c r="AM30" s="957">
        <v>1.1364063600000001</v>
      </c>
      <c r="AN30" s="290">
        <v>0</v>
      </c>
      <c r="AO30" s="290">
        <v>12629.45271865</v>
      </c>
      <c r="AP30" s="290">
        <v>0</v>
      </c>
      <c r="AQ30" s="290">
        <v>0</v>
      </c>
      <c r="AR30" s="290">
        <v>-3218.8568515500001</v>
      </c>
      <c r="AS30" s="290">
        <v>18163</v>
      </c>
      <c r="AT30" s="290">
        <v>2750</v>
      </c>
      <c r="AU30" s="290">
        <v>640</v>
      </c>
      <c r="AV30" s="766">
        <v>1725188</v>
      </c>
      <c r="AW30" s="290"/>
      <c r="AX30" s="766">
        <v>458.20830000000001</v>
      </c>
      <c r="AY30" s="290">
        <v>17704</v>
      </c>
      <c r="AZ30" s="290">
        <v>2870</v>
      </c>
      <c r="BA30" s="290">
        <v>1244</v>
      </c>
      <c r="BB30" s="290">
        <v>0</v>
      </c>
      <c r="BC30" s="290">
        <v>190093</v>
      </c>
      <c r="BD30" s="290"/>
      <c r="BE30" s="290">
        <v>1728106.9601112001</v>
      </c>
      <c r="BF30" s="290">
        <v>0</v>
      </c>
      <c r="BG30" s="290">
        <v>60616.079937035393</v>
      </c>
      <c r="BH30" s="290">
        <v>3265.8459394647639</v>
      </c>
      <c r="BI30" s="290">
        <v>91661</v>
      </c>
      <c r="BJ30" s="290"/>
      <c r="BK30" s="290"/>
      <c r="BL30" s="290"/>
      <c r="BM30" s="290">
        <v>8011</v>
      </c>
      <c r="BN30" s="290">
        <v>24030.787980000001</v>
      </c>
      <c r="BO30" s="290">
        <v>-31090.7563647471</v>
      </c>
      <c r="BP30" s="290">
        <v>3957.047</v>
      </c>
      <c r="BQ30" s="290">
        <v>-2122.1350000000002</v>
      </c>
      <c r="BR30" s="290">
        <v>-1240.9804976599999</v>
      </c>
      <c r="BS30" s="290">
        <v>11.715</v>
      </c>
      <c r="BT30" s="290"/>
      <c r="BU30" s="290">
        <v>0</v>
      </c>
      <c r="BV30" s="290">
        <v>15500</v>
      </c>
      <c r="BW30" s="290">
        <v>-15323</v>
      </c>
      <c r="BX30" s="290">
        <v>7967</v>
      </c>
      <c r="BY30" s="290">
        <v>1903</v>
      </c>
      <c r="BZ30" s="290">
        <v>-11647</v>
      </c>
      <c r="CA30" s="290">
        <v>-20.678117592901799</v>
      </c>
      <c r="CB30" s="290">
        <v>3054</v>
      </c>
      <c r="CC30" s="290">
        <v>8677</v>
      </c>
      <c r="CD30" s="290">
        <v>112</v>
      </c>
      <c r="CE30" s="290">
        <v>2474</v>
      </c>
      <c r="CF30" s="290">
        <v>96</v>
      </c>
      <c r="CG30" s="290">
        <v>13</v>
      </c>
      <c r="CH30" s="290">
        <v>-62</v>
      </c>
      <c r="CI30" s="290">
        <v>-29892</v>
      </c>
      <c r="CJ30" s="290">
        <v>-88727</v>
      </c>
      <c r="CK30" s="290">
        <f>+innut22!E36+innut22!S36</f>
        <v>2650505.6484100474</v>
      </c>
      <c r="CL30" s="290">
        <v>0</v>
      </c>
      <c r="CM30" s="290">
        <v>0</v>
      </c>
      <c r="CN30" s="290">
        <v>0</v>
      </c>
      <c r="CP30" s="290">
        <f>+innut23!E36</f>
        <v>2411055.9497229662</v>
      </c>
      <c r="CQ30" s="290"/>
      <c r="CV30" s="85">
        <f t="shared" si="1"/>
        <v>12.352</v>
      </c>
    </row>
    <row r="31" spans="1:100" ht="13">
      <c r="A31" s="1">
        <v>1511</v>
      </c>
      <c r="B31" s="2" t="s">
        <v>86</v>
      </c>
      <c r="C31" s="289">
        <v>3045</v>
      </c>
      <c r="D31" s="290">
        <v>43</v>
      </c>
      <c r="E31" s="290">
        <v>105</v>
      </c>
      <c r="F31" s="290">
        <v>273</v>
      </c>
      <c r="G31" s="290">
        <v>258</v>
      </c>
      <c r="H31" s="290">
        <v>1577</v>
      </c>
      <c r="I31" s="290">
        <v>575</v>
      </c>
      <c r="J31" s="290">
        <v>191</v>
      </c>
      <c r="K31" s="290">
        <v>50</v>
      </c>
      <c r="L31" s="290">
        <v>23</v>
      </c>
      <c r="M31" s="290">
        <v>346</v>
      </c>
      <c r="N31" s="290">
        <v>7</v>
      </c>
      <c r="O31" s="290">
        <v>13</v>
      </c>
      <c r="P31" s="624">
        <v>37389.242333330003</v>
      </c>
      <c r="Q31" s="624">
        <v>11241.319333330001</v>
      </c>
      <c r="R31" s="624">
        <v>22</v>
      </c>
      <c r="S31" s="290">
        <v>25</v>
      </c>
      <c r="T31" s="290">
        <v>204</v>
      </c>
      <c r="U31" s="958">
        <v>2.6119541216135596E-3</v>
      </c>
      <c r="V31" s="290">
        <v>1649.7722334</v>
      </c>
      <c r="W31" s="765">
        <v>0.92696213999999999</v>
      </c>
      <c r="X31" s="290">
        <v>500</v>
      </c>
      <c r="Y31" s="290"/>
      <c r="Z31" s="290">
        <f>innut22!E37</f>
        <v>102539.26432012422</v>
      </c>
      <c r="AA31" s="290">
        <v>0</v>
      </c>
      <c r="AB31" s="290">
        <v>74</v>
      </c>
      <c r="AC31" s="290">
        <v>464</v>
      </c>
      <c r="AD31" s="290"/>
      <c r="AE31" s="290">
        <v>0</v>
      </c>
      <c r="AF31" s="290">
        <v>0</v>
      </c>
      <c r="AG31" s="290">
        <v>3072</v>
      </c>
      <c r="AH31" s="290">
        <v>424</v>
      </c>
      <c r="AI31" s="290">
        <v>160</v>
      </c>
      <c r="AJ31" s="290">
        <v>0</v>
      </c>
      <c r="AK31" s="290">
        <v>0</v>
      </c>
      <c r="AL31" s="290">
        <v>0</v>
      </c>
      <c r="AM31" s="957">
        <v>1.8293739999999999E-2</v>
      </c>
      <c r="AN31" s="290">
        <v>0</v>
      </c>
      <c r="AO31" s="290">
        <v>693.41808048999997</v>
      </c>
      <c r="AP31" s="290">
        <v>0</v>
      </c>
      <c r="AQ31" s="290">
        <v>0</v>
      </c>
      <c r="AR31" s="290">
        <v>1896.1329166999999</v>
      </c>
      <c r="AS31" s="290">
        <v>1144</v>
      </c>
      <c r="AT31" s="290">
        <v>105</v>
      </c>
      <c r="AU31" s="290">
        <v>18</v>
      </c>
      <c r="AV31" s="766">
        <v>123661</v>
      </c>
      <c r="AW31" s="290"/>
      <c r="AX31" s="766">
        <v>10.12505</v>
      </c>
      <c r="AY31" s="290">
        <v>526</v>
      </c>
      <c r="AZ31" s="290">
        <v>92</v>
      </c>
      <c r="BA31" s="290">
        <v>37</v>
      </c>
      <c r="BB31" s="290">
        <v>6034</v>
      </c>
      <c r="BC31" s="290">
        <v>5776</v>
      </c>
      <c r="BD31" s="290"/>
      <c r="BE31" s="290">
        <v>118394.16692103</v>
      </c>
      <c r="BF31" s="290">
        <v>0</v>
      </c>
      <c r="BG31" s="290">
        <v>2750.1857050432509</v>
      </c>
      <c r="BH31" s="290">
        <v>148.17327063906495</v>
      </c>
      <c r="BI31" s="290">
        <v>888</v>
      </c>
      <c r="BJ31" s="290"/>
      <c r="BK31" s="290"/>
      <c r="BL31" s="290"/>
      <c r="BM31" s="290">
        <v>0</v>
      </c>
      <c r="BN31" s="290">
        <v>1319.4065600000001</v>
      </c>
      <c r="BO31" s="290">
        <v>-1431.4095699138718</v>
      </c>
      <c r="BP31" s="290">
        <v>132.29499999999999</v>
      </c>
      <c r="BQ31" s="290">
        <v>-70.948999999999998</v>
      </c>
      <c r="BR31" s="290">
        <v>-50.328833456412177</v>
      </c>
      <c r="BS31" s="290">
        <v>0.79900000000000004</v>
      </c>
      <c r="BT31" s="290"/>
      <c r="BU31" s="290">
        <v>0</v>
      </c>
      <c r="BV31" s="290">
        <v>1500</v>
      </c>
      <c r="BW31" s="290">
        <v>-705</v>
      </c>
      <c r="BX31" s="290">
        <v>317</v>
      </c>
      <c r="BY31" s="290">
        <v>66</v>
      </c>
      <c r="BZ31" s="290">
        <v>-536</v>
      </c>
      <c r="CA31" s="290">
        <v>-1.8131566297161612</v>
      </c>
      <c r="CB31" s="290">
        <v>106</v>
      </c>
      <c r="CC31" s="290">
        <v>399</v>
      </c>
      <c r="CD31" s="290">
        <v>4</v>
      </c>
      <c r="CE31" s="290">
        <v>112</v>
      </c>
      <c r="CF31" s="290">
        <v>7</v>
      </c>
      <c r="CG31" s="290">
        <v>0</v>
      </c>
      <c r="CH31" s="290">
        <v>-4</v>
      </c>
      <c r="CI31" s="290">
        <v>-1356</v>
      </c>
      <c r="CJ31" s="290">
        <v>-3734</v>
      </c>
      <c r="CK31" s="290">
        <f>+innut22!E37+innut22!S37</f>
        <v>102539.26432012422</v>
      </c>
      <c r="CL31" s="290">
        <v>0</v>
      </c>
      <c r="CM31" s="290">
        <v>0</v>
      </c>
      <c r="CN31" s="290">
        <v>0</v>
      </c>
      <c r="CP31" s="290">
        <f>+innut23!E37</f>
        <v>93636.883861548427</v>
      </c>
      <c r="CQ31" s="290"/>
      <c r="CV31" s="85">
        <f t="shared" si="1"/>
        <v>0.56899999999999995</v>
      </c>
    </row>
    <row r="32" spans="1:100" ht="13">
      <c r="A32" s="1">
        <v>1514</v>
      </c>
      <c r="B32" s="2" t="s">
        <v>897</v>
      </c>
      <c r="C32" s="289">
        <v>2422</v>
      </c>
      <c r="D32" s="290">
        <v>49</v>
      </c>
      <c r="E32" s="290">
        <v>86</v>
      </c>
      <c r="F32" s="290">
        <v>243</v>
      </c>
      <c r="G32" s="290">
        <v>214</v>
      </c>
      <c r="H32" s="290">
        <v>1323</v>
      </c>
      <c r="I32" s="290">
        <v>341</v>
      </c>
      <c r="J32" s="290">
        <v>135</v>
      </c>
      <c r="K32" s="290">
        <v>36</v>
      </c>
      <c r="L32" s="290">
        <v>17</v>
      </c>
      <c r="M32" s="290">
        <v>223</v>
      </c>
      <c r="N32" s="290">
        <v>6</v>
      </c>
      <c r="O32" s="290">
        <v>34</v>
      </c>
      <c r="P32" s="624">
        <v>27850.031999999999</v>
      </c>
      <c r="Q32" s="624">
        <v>13299.56566667</v>
      </c>
      <c r="R32" s="624">
        <v>11</v>
      </c>
      <c r="S32" s="290">
        <v>24</v>
      </c>
      <c r="T32" s="290">
        <v>183</v>
      </c>
      <c r="U32" s="958">
        <v>1.0234982796546162E-3</v>
      </c>
      <c r="V32" s="290">
        <v>321.14691195</v>
      </c>
      <c r="W32" s="765">
        <v>0.88487879000000003</v>
      </c>
      <c r="X32" s="290">
        <v>650</v>
      </c>
      <c r="Y32" s="290"/>
      <c r="Z32" s="290">
        <f>innut22!E38</f>
        <v>91997.635512042994</v>
      </c>
      <c r="AA32" s="290">
        <v>0</v>
      </c>
      <c r="AB32" s="290">
        <v>36</v>
      </c>
      <c r="AC32" s="290">
        <v>412</v>
      </c>
      <c r="AD32" s="290"/>
      <c r="AE32" s="290">
        <v>0</v>
      </c>
      <c r="AF32" s="290">
        <v>0</v>
      </c>
      <c r="AG32" s="290">
        <v>2427</v>
      </c>
      <c r="AH32" s="290">
        <v>388</v>
      </c>
      <c r="AI32" s="290">
        <v>130</v>
      </c>
      <c r="AJ32" s="290">
        <v>0</v>
      </c>
      <c r="AK32" s="290">
        <v>0</v>
      </c>
      <c r="AL32" s="290">
        <v>0</v>
      </c>
      <c r="AM32" s="957">
        <v>7.1397489999999994E-2</v>
      </c>
      <c r="AN32" s="290">
        <v>0</v>
      </c>
      <c r="AO32" s="290">
        <v>546.16614876999995</v>
      </c>
      <c r="AP32" s="290">
        <v>0</v>
      </c>
      <c r="AQ32" s="290">
        <v>0</v>
      </c>
      <c r="AR32" s="290">
        <v>1374.5552905899999</v>
      </c>
      <c r="AS32" s="290">
        <v>467</v>
      </c>
      <c r="AT32" s="290">
        <v>104</v>
      </c>
      <c r="AU32" s="290">
        <v>38</v>
      </c>
      <c r="AV32" s="766">
        <v>96808</v>
      </c>
      <c r="AW32" s="290"/>
      <c r="AX32" s="766">
        <v>12.583349999999999</v>
      </c>
      <c r="AY32" s="290">
        <v>389</v>
      </c>
      <c r="AZ32" s="290">
        <v>108</v>
      </c>
      <c r="BA32" s="290">
        <v>57</v>
      </c>
      <c r="BB32" s="290">
        <v>4827</v>
      </c>
      <c r="BC32" s="290">
        <v>4340</v>
      </c>
      <c r="BD32" s="290"/>
      <c r="BE32" s="290">
        <v>92462.786973030001</v>
      </c>
      <c r="BF32" s="290">
        <v>0</v>
      </c>
      <c r="BG32" s="290">
        <v>2187.5040320573908</v>
      </c>
      <c r="BH32" s="290">
        <v>117.85736009452066</v>
      </c>
      <c r="BI32" s="290">
        <v>800</v>
      </c>
      <c r="BJ32" s="290"/>
      <c r="BK32" s="290"/>
      <c r="BL32" s="290"/>
      <c r="BM32" s="290">
        <v>0</v>
      </c>
      <c r="BN32" s="290">
        <v>1039.22182</v>
      </c>
      <c r="BO32" s="290">
        <v>-1130.8694746682834</v>
      </c>
      <c r="BP32" s="290">
        <v>110.97</v>
      </c>
      <c r="BQ32" s="290">
        <v>-59.512999999999998</v>
      </c>
      <c r="BR32" s="290">
        <v>-47.841412454961024</v>
      </c>
      <c r="BS32" s="290">
        <v>0.64200000000000002</v>
      </c>
      <c r="BT32" s="290"/>
      <c r="BU32" s="290">
        <v>0</v>
      </c>
      <c r="BV32" s="290">
        <v>1500</v>
      </c>
      <c r="BW32" s="290">
        <v>-557</v>
      </c>
      <c r="BX32" s="290">
        <v>293</v>
      </c>
      <c r="BY32" s="290">
        <v>63</v>
      </c>
      <c r="BZ32" s="290">
        <v>-424</v>
      </c>
      <c r="CA32" s="290">
        <v>-1.6099328767555789</v>
      </c>
      <c r="CB32" s="290">
        <v>101</v>
      </c>
      <c r="CC32" s="290">
        <v>316</v>
      </c>
      <c r="CD32" s="290">
        <v>4</v>
      </c>
      <c r="CE32" s="290">
        <v>89</v>
      </c>
      <c r="CF32" s="290">
        <v>5</v>
      </c>
      <c r="CG32" s="290">
        <v>0</v>
      </c>
      <c r="CH32" s="290">
        <v>-3</v>
      </c>
      <c r="CI32" s="290">
        <v>-1079</v>
      </c>
      <c r="CJ32" s="290">
        <v>-2978</v>
      </c>
      <c r="CK32" s="290">
        <f>+innut22!E38+innut22!S38</f>
        <v>91997.635512042994</v>
      </c>
      <c r="CL32" s="290">
        <v>0</v>
      </c>
      <c r="CM32" s="290">
        <v>0</v>
      </c>
      <c r="CN32" s="290">
        <v>0</v>
      </c>
      <c r="CP32" s="290">
        <f>+innut23!E38</f>
        <v>84458.929190024297</v>
      </c>
      <c r="CQ32" s="290"/>
      <c r="CV32" s="85">
        <f t="shared" si="1"/>
        <v>0.44900000000000001</v>
      </c>
    </row>
    <row r="33" spans="1:100" ht="13">
      <c r="A33" s="1">
        <v>1515</v>
      </c>
      <c r="B33" s="2" t="s">
        <v>87</v>
      </c>
      <c r="C33" s="289">
        <v>8765</v>
      </c>
      <c r="D33" s="290">
        <v>160</v>
      </c>
      <c r="E33" s="290">
        <v>361</v>
      </c>
      <c r="F33" s="290">
        <v>1068</v>
      </c>
      <c r="G33" s="290">
        <v>753</v>
      </c>
      <c r="H33" s="290">
        <v>4837</v>
      </c>
      <c r="I33" s="290">
        <v>1136</v>
      </c>
      <c r="J33" s="290">
        <v>392</v>
      </c>
      <c r="K33" s="290">
        <v>106</v>
      </c>
      <c r="L33" s="290">
        <v>60</v>
      </c>
      <c r="M33" s="290">
        <v>654</v>
      </c>
      <c r="N33" s="290">
        <v>94</v>
      </c>
      <c r="O33" s="290">
        <v>94</v>
      </c>
      <c r="P33" s="624">
        <v>39233.490666669997</v>
      </c>
      <c r="Q33" s="624">
        <v>16804.584999999999</v>
      </c>
      <c r="R33" s="624">
        <v>32</v>
      </c>
      <c r="S33" s="290">
        <v>93</v>
      </c>
      <c r="T33" s="290">
        <v>657</v>
      </c>
      <c r="U33" s="958">
        <v>1.7726119994902058E-3</v>
      </c>
      <c r="V33" s="290">
        <v>-7468.3955798999996</v>
      </c>
      <c r="W33" s="765">
        <v>0.61700843999999999</v>
      </c>
      <c r="X33" s="290">
        <v>0</v>
      </c>
      <c r="Y33" s="290"/>
      <c r="Z33" s="290">
        <f>innut22!E39</f>
        <v>368916.85468570044</v>
      </c>
      <c r="AA33" s="290">
        <v>3829</v>
      </c>
      <c r="AB33" s="290">
        <v>168</v>
      </c>
      <c r="AC33" s="290">
        <v>729</v>
      </c>
      <c r="AD33" s="290"/>
      <c r="AE33" s="290">
        <v>0</v>
      </c>
      <c r="AF33" s="290">
        <v>0</v>
      </c>
      <c r="AG33" s="290">
        <v>8813</v>
      </c>
      <c r="AH33" s="290">
        <v>1598</v>
      </c>
      <c r="AI33" s="290">
        <v>1680</v>
      </c>
      <c r="AJ33" s="290">
        <v>0</v>
      </c>
      <c r="AK33" s="290">
        <v>0</v>
      </c>
      <c r="AL33" s="290">
        <v>0</v>
      </c>
      <c r="AM33" s="957">
        <v>0.24356161000000001</v>
      </c>
      <c r="AN33" s="290">
        <v>0</v>
      </c>
      <c r="AO33" s="290">
        <v>1745.7807512500001</v>
      </c>
      <c r="AP33" s="290">
        <v>0</v>
      </c>
      <c r="AQ33" s="290">
        <v>0</v>
      </c>
      <c r="AR33" s="290">
        <v>-425.14477980999999</v>
      </c>
      <c r="AS33" s="290">
        <v>1480</v>
      </c>
      <c r="AT33" s="290">
        <v>338</v>
      </c>
      <c r="AU33" s="290">
        <v>141</v>
      </c>
      <c r="AV33" s="766">
        <v>236836</v>
      </c>
      <c r="AW33" s="290"/>
      <c r="AX33" s="766">
        <v>44.791699999999999</v>
      </c>
      <c r="AY33" s="290">
        <v>1588</v>
      </c>
      <c r="AZ33" s="290">
        <v>401</v>
      </c>
      <c r="BA33" s="290">
        <v>173</v>
      </c>
      <c r="BB33" s="290">
        <v>0</v>
      </c>
      <c r="BC33" s="290">
        <v>15117</v>
      </c>
      <c r="BD33" s="290"/>
      <c r="BE33" s="290">
        <v>238388.07980315</v>
      </c>
      <c r="BF33" s="290">
        <v>0</v>
      </c>
      <c r="BG33" s="290">
        <v>7916.3801985891951</v>
      </c>
      <c r="BH33" s="290">
        <v>426.51517804643828</v>
      </c>
      <c r="BI33" s="290">
        <v>6156</v>
      </c>
      <c r="BJ33" s="290"/>
      <c r="BK33" s="290"/>
      <c r="BL33" s="290"/>
      <c r="BM33" s="290">
        <v>0</v>
      </c>
      <c r="BN33" s="290">
        <v>3321.7976999999996</v>
      </c>
      <c r="BO33" s="290">
        <v>-4106.4493944176274</v>
      </c>
      <c r="BP33" s="290">
        <v>457.96499999999997</v>
      </c>
      <c r="BQ33" s="290">
        <v>-245.60300000000001</v>
      </c>
      <c r="BR33" s="290">
        <v>-167.55143635249922</v>
      </c>
      <c r="BS33" s="290">
        <v>1.6930000000000001</v>
      </c>
      <c r="BT33" s="290"/>
      <c r="BU33" s="290">
        <v>0</v>
      </c>
      <c r="BV33" s="290">
        <v>3500</v>
      </c>
      <c r="BW33" s="290">
        <v>-2024</v>
      </c>
      <c r="BX33" s="290">
        <v>1080</v>
      </c>
      <c r="BY33" s="290">
        <v>243</v>
      </c>
      <c r="BZ33" s="290">
        <v>-1538</v>
      </c>
      <c r="CA33" s="290">
        <v>-2.851869229872932</v>
      </c>
      <c r="CB33" s="290">
        <v>389</v>
      </c>
      <c r="CC33" s="290">
        <v>1146</v>
      </c>
      <c r="CD33" s="290">
        <v>14</v>
      </c>
      <c r="CE33" s="290">
        <v>323</v>
      </c>
      <c r="CF33" s="290">
        <v>14</v>
      </c>
      <c r="CG33" s="290">
        <v>2</v>
      </c>
      <c r="CH33" s="290">
        <v>-9</v>
      </c>
      <c r="CI33" s="290">
        <v>-3904</v>
      </c>
      <c r="CJ33" s="290">
        <v>-11352</v>
      </c>
      <c r="CK33" s="290">
        <f>+innut22!E39+innut22!S39</f>
        <v>368916.85468570044</v>
      </c>
      <c r="CL33" s="290">
        <v>0</v>
      </c>
      <c r="CM33" s="290">
        <v>0</v>
      </c>
      <c r="CN33" s="290">
        <v>0</v>
      </c>
      <c r="CP33" s="290">
        <f>+innut23!E39</f>
        <v>333238.10949291574</v>
      </c>
      <c r="CQ33" s="290"/>
      <c r="CV33" s="85">
        <f t="shared" si="1"/>
        <v>1.631</v>
      </c>
    </row>
    <row r="34" spans="1:100" ht="13">
      <c r="A34" s="1">
        <v>1516</v>
      </c>
      <c r="B34" s="2" t="s">
        <v>88</v>
      </c>
      <c r="C34" s="289">
        <v>8557</v>
      </c>
      <c r="D34" s="290">
        <v>178</v>
      </c>
      <c r="E34" s="290">
        <v>397</v>
      </c>
      <c r="F34" s="290">
        <v>1077</v>
      </c>
      <c r="G34" s="290">
        <v>860</v>
      </c>
      <c r="H34" s="290">
        <v>4746</v>
      </c>
      <c r="I34" s="290">
        <v>948</v>
      </c>
      <c r="J34" s="290">
        <v>297</v>
      </c>
      <c r="K34" s="290">
        <v>73</v>
      </c>
      <c r="L34" s="290">
        <v>56</v>
      </c>
      <c r="M34" s="290">
        <v>507</v>
      </c>
      <c r="N34" s="290">
        <v>179</v>
      </c>
      <c r="O34" s="290">
        <v>84</v>
      </c>
      <c r="P34" s="624">
        <v>23256.66466667</v>
      </c>
      <c r="Q34" s="624">
        <v>14823.400333330001</v>
      </c>
      <c r="R34" s="624">
        <v>46</v>
      </c>
      <c r="S34" s="290">
        <v>90</v>
      </c>
      <c r="T34" s="290">
        <v>620</v>
      </c>
      <c r="U34" s="958">
        <v>9.5803284711266673E-4</v>
      </c>
      <c r="V34" s="290">
        <v>2860.02740451</v>
      </c>
      <c r="W34" s="765">
        <v>0.56759018000000006</v>
      </c>
      <c r="X34" s="290">
        <v>400</v>
      </c>
      <c r="Y34" s="290"/>
      <c r="Z34" s="290">
        <f>innut22!E40</f>
        <v>340183.71992275771</v>
      </c>
      <c r="AA34" s="290">
        <v>0</v>
      </c>
      <c r="AB34" s="290">
        <v>133</v>
      </c>
      <c r="AC34" s="290">
        <v>425</v>
      </c>
      <c r="AD34" s="290"/>
      <c r="AE34" s="290">
        <v>0</v>
      </c>
      <c r="AF34" s="290">
        <v>0</v>
      </c>
      <c r="AG34" s="290">
        <v>8576</v>
      </c>
      <c r="AH34" s="290">
        <v>1676</v>
      </c>
      <c r="AI34" s="290">
        <v>2294.3000000000002</v>
      </c>
      <c r="AJ34" s="290">
        <v>0</v>
      </c>
      <c r="AK34" s="290">
        <v>0</v>
      </c>
      <c r="AL34" s="290">
        <v>0</v>
      </c>
      <c r="AM34" s="957">
        <v>0.18215349</v>
      </c>
      <c r="AN34" s="290">
        <v>0</v>
      </c>
      <c r="AO34" s="290">
        <v>1687.7734062699999</v>
      </c>
      <c r="AP34" s="290">
        <v>0</v>
      </c>
      <c r="AQ34" s="290">
        <v>0</v>
      </c>
      <c r="AR34" s="290">
        <v>-413.71174760000002</v>
      </c>
      <c r="AS34" s="290">
        <v>1681</v>
      </c>
      <c r="AT34" s="290">
        <v>379</v>
      </c>
      <c r="AU34" s="290">
        <v>95</v>
      </c>
      <c r="AV34" s="766">
        <v>231458</v>
      </c>
      <c r="AW34" s="290"/>
      <c r="AX34" s="766">
        <v>54.500050000000002</v>
      </c>
      <c r="AY34" s="290">
        <v>2219</v>
      </c>
      <c r="AZ34" s="290">
        <v>372</v>
      </c>
      <c r="BA34" s="290">
        <v>142</v>
      </c>
      <c r="BB34" s="290">
        <v>0</v>
      </c>
      <c r="BC34" s="290">
        <v>14822</v>
      </c>
      <c r="BD34" s="290"/>
      <c r="BE34" s="290">
        <v>235257.91042941</v>
      </c>
      <c r="BF34" s="290">
        <v>0</v>
      </c>
      <c r="BG34" s="290">
        <v>7728.5185806420686</v>
      </c>
      <c r="BH34" s="290">
        <v>416.39365414071557</v>
      </c>
      <c r="BI34" s="290">
        <v>2101</v>
      </c>
      <c r="BJ34" s="290"/>
      <c r="BK34" s="290"/>
      <c r="BL34" s="290"/>
      <c r="BM34" s="290">
        <v>0</v>
      </c>
      <c r="BN34" s="290">
        <v>3211.4237800000001</v>
      </c>
      <c r="BO34" s="290">
        <v>-3996.018382676225</v>
      </c>
      <c r="BP34" s="290">
        <v>519.41700000000003</v>
      </c>
      <c r="BQ34" s="290">
        <v>-278.55900000000003</v>
      </c>
      <c r="BR34" s="290">
        <v>-168.17377843692466</v>
      </c>
      <c r="BS34" s="290">
        <v>1.5740000000000001</v>
      </c>
      <c r="BT34" s="290"/>
      <c r="BU34" s="290">
        <v>0</v>
      </c>
      <c r="BV34" s="290">
        <v>2500</v>
      </c>
      <c r="BW34" s="290">
        <v>-1969</v>
      </c>
      <c r="BX34" s="290">
        <v>1072</v>
      </c>
      <c r="BY34" s="290">
        <v>235</v>
      </c>
      <c r="BZ34" s="290">
        <v>-1497</v>
      </c>
      <c r="CA34" s="290">
        <v>-1.6636188868503723</v>
      </c>
      <c r="CB34" s="290">
        <v>377</v>
      </c>
      <c r="CC34" s="290">
        <v>1115</v>
      </c>
      <c r="CD34" s="290">
        <v>14</v>
      </c>
      <c r="CE34" s="290">
        <v>315</v>
      </c>
      <c r="CF34" s="290">
        <v>13</v>
      </c>
      <c r="CG34" s="290">
        <v>2</v>
      </c>
      <c r="CH34" s="290">
        <v>-8</v>
      </c>
      <c r="CI34" s="290">
        <v>-3811</v>
      </c>
      <c r="CJ34" s="290">
        <v>-8554</v>
      </c>
      <c r="CK34" s="290">
        <f>+innut22!E40+innut22!S40</f>
        <v>340183.71992275771</v>
      </c>
      <c r="CL34" s="290">
        <v>0</v>
      </c>
      <c r="CM34" s="290">
        <v>0</v>
      </c>
      <c r="CN34" s="290">
        <v>0</v>
      </c>
      <c r="CP34" s="290">
        <f>+innut23!E40</f>
        <v>318972.91177455033</v>
      </c>
      <c r="CQ34" s="290"/>
      <c r="CV34" s="85">
        <f t="shared" si="1"/>
        <v>1.5880000000000001</v>
      </c>
    </row>
    <row r="35" spans="1:100" ht="13">
      <c r="A35" s="1">
        <v>1517</v>
      </c>
      <c r="B35" s="2" t="s">
        <v>89</v>
      </c>
      <c r="C35" s="289">
        <v>5126</v>
      </c>
      <c r="D35" s="290">
        <v>108</v>
      </c>
      <c r="E35" s="290">
        <v>256</v>
      </c>
      <c r="F35" s="290">
        <v>659</v>
      </c>
      <c r="G35" s="290">
        <v>411</v>
      </c>
      <c r="H35" s="290">
        <v>2803</v>
      </c>
      <c r="I35" s="290">
        <v>613</v>
      </c>
      <c r="J35" s="290">
        <v>204</v>
      </c>
      <c r="K35" s="290">
        <v>57</v>
      </c>
      <c r="L35" s="290">
        <v>38</v>
      </c>
      <c r="M35" s="290">
        <v>382</v>
      </c>
      <c r="N35" s="290">
        <v>118</v>
      </c>
      <c r="O35" s="290">
        <v>74</v>
      </c>
      <c r="P35" s="624">
        <v>13218.868</v>
      </c>
      <c r="Q35" s="624">
        <v>6158.7730000000001</v>
      </c>
      <c r="R35" s="624">
        <v>21</v>
      </c>
      <c r="S35" s="290">
        <v>61</v>
      </c>
      <c r="T35" s="290">
        <v>385</v>
      </c>
      <c r="U35" s="958">
        <v>6.8164556783918706E-4</v>
      </c>
      <c r="V35" s="290">
        <v>-1076.97472939</v>
      </c>
      <c r="W35" s="765">
        <v>0.58852484999999999</v>
      </c>
      <c r="X35" s="290">
        <v>1000</v>
      </c>
      <c r="Y35" s="290"/>
      <c r="Z35" s="290">
        <f>innut22!E41</f>
        <v>161165.40451870748</v>
      </c>
      <c r="AA35" s="290">
        <v>0</v>
      </c>
      <c r="AB35" s="290">
        <v>125</v>
      </c>
      <c r="AC35" s="290">
        <v>1234</v>
      </c>
      <c r="AD35" s="290"/>
      <c r="AE35" s="290">
        <v>0</v>
      </c>
      <c r="AF35" s="290">
        <v>0</v>
      </c>
      <c r="AG35" s="290">
        <v>5111</v>
      </c>
      <c r="AH35" s="290">
        <v>975</v>
      </c>
      <c r="AI35" s="290">
        <v>590.72</v>
      </c>
      <c r="AJ35" s="290">
        <v>0</v>
      </c>
      <c r="AK35" s="290">
        <v>0</v>
      </c>
      <c r="AL35" s="290">
        <v>0</v>
      </c>
      <c r="AM35" s="957">
        <v>0.15033384</v>
      </c>
      <c r="AN35" s="290">
        <v>0</v>
      </c>
      <c r="AO35" s="290">
        <v>1070.5040655600001</v>
      </c>
      <c r="AP35" s="290">
        <v>0</v>
      </c>
      <c r="AQ35" s="290">
        <v>0</v>
      </c>
      <c r="AR35" s="290">
        <v>-246.55792234</v>
      </c>
      <c r="AS35" s="290">
        <v>1001</v>
      </c>
      <c r="AT35" s="290">
        <v>201</v>
      </c>
      <c r="AU35" s="290">
        <v>80</v>
      </c>
      <c r="AV35" s="766">
        <v>156030</v>
      </c>
      <c r="AW35" s="290"/>
      <c r="AX35" s="766">
        <v>35.333350000000003</v>
      </c>
      <c r="AY35" s="290">
        <v>984</v>
      </c>
      <c r="AZ35" s="290">
        <v>247</v>
      </c>
      <c r="BA35" s="290">
        <v>112</v>
      </c>
      <c r="BB35" s="290">
        <v>0</v>
      </c>
      <c r="BC35" s="290">
        <v>9281</v>
      </c>
      <c r="BD35" s="290"/>
      <c r="BE35" s="290">
        <v>158769.22028382</v>
      </c>
      <c r="BF35" s="290">
        <v>0</v>
      </c>
      <c r="BG35" s="290">
        <v>4629.705065370018</v>
      </c>
      <c r="BH35" s="290">
        <v>249.43717086891525</v>
      </c>
      <c r="BI35" s="290">
        <v>2209</v>
      </c>
      <c r="BJ35" s="290"/>
      <c r="BK35" s="290"/>
      <c r="BL35" s="290"/>
      <c r="BM35" s="290">
        <v>0</v>
      </c>
      <c r="BN35" s="290">
        <v>2036.9098200000001</v>
      </c>
      <c r="BO35" s="290">
        <v>-2381.4890337987626</v>
      </c>
      <c r="BP35" s="290">
        <v>324.358</v>
      </c>
      <c r="BQ35" s="290">
        <v>-173.95099999999999</v>
      </c>
      <c r="BR35" s="290">
        <v>-103.98785843183232</v>
      </c>
      <c r="BS35" s="290">
        <v>0.98499999999999999</v>
      </c>
      <c r="BT35" s="290"/>
      <c r="BU35" s="290">
        <v>0</v>
      </c>
      <c r="BV35" s="290">
        <v>2000</v>
      </c>
      <c r="BW35" s="290">
        <v>-1174</v>
      </c>
      <c r="BX35" s="290">
        <v>667</v>
      </c>
      <c r="BY35" s="290">
        <v>158</v>
      </c>
      <c r="BZ35" s="290">
        <v>-892</v>
      </c>
      <c r="CA35" s="290">
        <v>-4.8249277694051216</v>
      </c>
      <c r="CB35" s="290">
        <v>253</v>
      </c>
      <c r="CC35" s="290">
        <v>665</v>
      </c>
      <c r="CD35" s="290">
        <v>9</v>
      </c>
      <c r="CE35" s="290">
        <v>189</v>
      </c>
      <c r="CF35" s="290">
        <v>8</v>
      </c>
      <c r="CG35" s="290">
        <v>1</v>
      </c>
      <c r="CH35" s="290">
        <v>-5</v>
      </c>
      <c r="CI35" s="290">
        <v>-2283</v>
      </c>
      <c r="CJ35" s="290">
        <v>-6196</v>
      </c>
      <c r="CK35" s="290">
        <f>+innut22!E41+innut22!S41</f>
        <v>161165.40451870748</v>
      </c>
      <c r="CL35" s="290">
        <v>0</v>
      </c>
      <c r="CM35" s="290">
        <v>0</v>
      </c>
      <c r="CN35" s="290">
        <v>0</v>
      </c>
      <c r="CP35" s="290">
        <f>+innut23!E41</f>
        <v>149432.27071713377</v>
      </c>
      <c r="CQ35" s="290"/>
      <c r="CV35" s="85">
        <f t="shared" si="1"/>
        <v>0.94599999999999995</v>
      </c>
    </row>
    <row r="36" spans="1:100" ht="13">
      <c r="A36" s="1">
        <v>1520</v>
      </c>
      <c r="B36" s="2" t="s">
        <v>91</v>
      </c>
      <c r="C36" s="289">
        <v>10833</v>
      </c>
      <c r="D36" s="290">
        <v>222</v>
      </c>
      <c r="E36" s="290">
        <v>481</v>
      </c>
      <c r="F36" s="290">
        <v>1383</v>
      </c>
      <c r="G36" s="290">
        <v>924</v>
      </c>
      <c r="H36" s="290">
        <v>5825</v>
      </c>
      <c r="I36" s="290">
        <v>1392</v>
      </c>
      <c r="J36" s="290">
        <v>463</v>
      </c>
      <c r="K36" s="290">
        <v>156</v>
      </c>
      <c r="L36" s="290">
        <v>75</v>
      </c>
      <c r="M36" s="290">
        <v>802</v>
      </c>
      <c r="N36" s="290">
        <v>159</v>
      </c>
      <c r="O36" s="290">
        <v>100</v>
      </c>
      <c r="P36" s="624">
        <v>82015.937666669997</v>
      </c>
      <c r="Q36" s="624">
        <v>20695.560666670001</v>
      </c>
      <c r="R36" s="624">
        <v>35</v>
      </c>
      <c r="S36" s="290">
        <v>105</v>
      </c>
      <c r="T36" s="290">
        <v>818</v>
      </c>
      <c r="U36" s="958">
        <v>4.0093023332130676E-3</v>
      </c>
      <c r="V36" s="290">
        <v>938.34790754999995</v>
      </c>
      <c r="W36" s="765">
        <v>0.61605509999999997</v>
      </c>
      <c r="X36" s="290">
        <v>0</v>
      </c>
      <c r="Y36" s="290"/>
      <c r="Z36" s="290">
        <f>innut22!E42</f>
        <v>350503.75821612991</v>
      </c>
      <c r="AA36" s="290">
        <v>0</v>
      </c>
      <c r="AB36" s="290">
        <v>216</v>
      </c>
      <c r="AC36" s="290">
        <v>350</v>
      </c>
      <c r="AD36" s="290"/>
      <c r="AE36" s="290">
        <v>0</v>
      </c>
      <c r="AF36" s="290">
        <v>0</v>
      </c>
      <c r="AG36" s="290">
        <v>10846</v>
      </c>
      <c r="AH36" s="290">
        <v>2030</v>
      </c>
      <c r="AI36" s="290">
        <v>643.32000000000005</v>
      </c>
      <c r="AJ36" s="290">
        <v>0</v>
      </c>
      <c r="AK36" s="290">
        <v>0</v>
      </c>
      <c r="AL36" s="290">
        <v>0</v>
      </c>
      <c r="AM36" s="957">
        <v>0.12648269000000001</v>
      </c>
      <c r="AN36" s="290">
        <v>0</v>
      </c>
      <c r="AO36" s="290">
        <v>2210.4097258000002</v>
      </c>
      <c r="AP36" s="290">
        <v>0</v>
      </c>
      <c r="AQ36" s="290">
        <v>0</v>
      </c>
      <c r="AR36" s="290">
        <v>-523.21800542000005</v>
      </c>
      <c r="AS36" s="290">
        <v>2109</v>
      </c>
      <c r="AT36" s="290">
        <v>395</v>
      </c>
      <c r="AU36" s="290">
        <v>107</v>
      </c>
      <c r="AV36" s="766">
        <v>311992</v>
      </c>
      <c r="AW36" s="290"/>
      <c r="AX36" s="766">
        <v>81.416650000000004</v>
      </c>
      <c r="AY36" s="290">
        <v>2347</v>
      </c>
      <c r="AZ36" s="290">
        <v>351</v>
      </c>
      <c r="BA36" s="290">
        <v>193</v>
      </c>
      <c r="BB36" s="290">
        <v>0</v>
      </c>
      <c r="BC36" s="290">
        <v>18374</v>
      </c>
      <c r="BD36" s="290"/>
      <c r="BE36" s="290">
        <v>317108.00906169001</v>
      </c>
      <c r="BF36" s="290">
        <v>0</v>
      </c>
      <c r="BG36" s="290">
        <v>9784.1582077942658</v>
      </c>
      <c r="BH36" s="290">
        <v>527.14648303218087</v>
      </c>
      <c r="BI36" s="290">
        <v>2380</v>
      </c>
      <c r="BJ36" s="290"/>
      <c r="BK36" s="290"/>
      <c r="BL36" s="290"/>
      <c r="BM36" s="290">
        <v>0</v>
      </c>
      <c r="BN36" s="290">
        <v>4205.8740600000001</v>
      </c>
      <c r="BO36" s="290">
        <v>-5053.7331364862803</v>
      </c>
      <c r="BP36" s="290">
        <v>634.09100000000001</v>
      </c>
      <c r="BQ36" s="290">
        <v>-340.05799999999999</v>
      </c>
      <c r="BR36" s="290">
        <v>-217.92358533214212</v>
      </c>
      <c r="BS36" s="290">
        <v>2.1190000000000002</v>
      </c>
      <c r="BT36" s="290"/>
      <c r="BU36" s="290">
        <v>0</v>
      </c>
      <c r="BV36" s="290">
        <v>3500</v>
      </c>
      <c r="BW36" s="290">
        <v>-2491</v>
      </c>
      <c r="BX36" s="290">
        <v>1401</v>
      </c>
      <c r="BY36" s="290">
        <v>275</v>
      </c>
      <c r="BZ36" s="290">
        <v>-1893</v>
      </c>
      <c r="CA36" s="290">
        <v>-1.3693381815778025</v>
      </c>
      <c r="CB36" s="290">
        <v>441</v>
      </c>
      <c r="CC36" s="290">
        <v>1410</v>
      </c>
      <c r="CD36" s="290">
        <v>16</v>
      </c>
      <c r="CE36" s="290">
        <v>399</v>
      </c>
      <c r="CF36" s="290">
        <v>17</v>
      </c>
      <c r="CG36" s="290">
        <v>2</v>
      </c>
      <c r="CH36" s="290">
        <v>-11</v>
      </c>
      <c r="CI36" s="290">
        <v>-4825</v>
      </c>
      <c r="CJ36" s="290">
        <v>-13140</v>
      </c>
      <c r="CK36" s="290">
        <f>+innut22!E42+innut22!S42</f>
        <v>350503.75821612991</v>
      </c>
      <c r="CL36" s="290">
        <v>0</v>
      </c>
      <c r="CM36" s="290">
        <v>0</v>
      </c>
      <c r="CN36" s="290">
        <v>0</v>
      </c>
      <c r="CP36" s="290">
        <f>+innut23!E42</f>
        <v>320429.56172677671</v>
      </c>
      <c r="CQ36" s="290"/>
      <c r="CV36" s="85">
        <f t="shared" si="1"/>
        <v>2.008</v>
      </c>
    </row>
    <row r="37" spans="1:100" ht="13">
      <c r="A37" s="1">
        <v>1525</v>
      </c>
      <c r="B37" s="2" t="s">
        <v>94</v>
      </c>
      <c r="C37" s="289">
        <v>4467</v>
      </c>
      <c r="D37" s="290">
        <v>68</v>
      </c>
      <c r="E37" s="290">
        <v>172</v>
      </c>
      <c r="F37" s="290">
        <v>459</v>
      </c>
      <c r="G37" s="290">
        <v>380</v>
      </c>
      <c r="H37" s="290">
        <v>2450</v>
      </c>
      <c r="I37" s="290">
        <v>600</v>
      </c>
      <c r="J37" s="290">
        <v>249</v>
      </c>
      <c r="K37" s="290">
        <v>82</v>
      </c>
      <c r="L37" s="290">
        <v>27</v>
      </c>
      <c r="M37" s="290">
        <v>355</v>
      </c>
      <c r="N37" s="290">
        <v>47</v>
      </c>
      <c r="O37" s="290">
        <v>47</v>
      </c>
      <c r="P37" s="624">
        <v>44464.97066667</v>
      </c>
      <c r="Q37" s="624">
        <v>28854.776333329999</v>
      </c>
      <c r="R37" s="624">
        <v>9</v>
      </c>
      <c r="S37" s="290">
        <v>41</v>
      </c>
      <c r="T37" s="290">
        <v>350</v>
      </c>
      <c r="U37" s="958">
        <v>2.2421923529207925E-3</v>
      </c>
      <c r="V37" s="290">
        <v>2486.0404531200002</v>
      </c>
      <c r="W37" s="765">
        <v>0.81145181</v>
      </c>
      <c r="X37" s="290">
        <v>500</v>
      </c>
      <c r="Y37" s="290"/>
      <c r="Z37" s="290">
        <f>innut22!E43</f>
        <v>162559.60457048326</v>
      </c>
      <c r="AA37" s="290">
        <v>0</v>
      </c>
      <c r="AB37" s="290">
        <v>58</v>
      </c>
      <c r="AC37" s="290">
        <v>661</v>
      </c>
      <c r="AD37" s="290"/>
      <c r="AE37" s="290">
        <v>0</v>
      </c>
      <c r="AF37" s="290">
        <v>0</v>
      </c>
      <c r="AG37" s="290">
        <v>4460</v>
      </c>
      <c r="AH37" s="290">
        <v>705</v>
      </c>
      <c r="AI37" s="290">
        <v>240</v>
      </c>
      <c r="AJ37" s="290">
        <v>0</v>
      </c>
      <c r="AK37" s="290">
        <v>0</v>
      </c>
      <c r="AL37" s="290">
        <v>0</v>
      </c>
      <c r="AM37" s="957">
        <v>4.713519E-2</v>
      </c>
      <c r="AN37" s="290">
        <v>2642</v>
      </c>
      <c r="AO37" s="290">
        <v>928.12058242000001</v>
      </c>
      <c r="AP37" s="290">
        <v>0</v>
      </c>
      <c r="AQ37" s="290">
        <v>0</v>
      </c>
      <c r="AR37" s="290">
        <v>1522.0894039499999</v>
      </c>
      <c r="AS37" s="290">
        <v>1029</v>
      </c>
      <c r="AT37" s="290">
        <v>157</v>
      </c>
      <c r="AU37" s="290">
        <v>37</v>
      </c>
      <c r="AV37" s="766">
        <v>145789</v>
      </c>
      <c r="AW37" s="290"/>
      <c r="AX37" s="766">
        <v>28.166650000000001</v>
      </c>
      <c r="AY37" s="290">
        <v>842</v>
      </c>
      <c r="AZ37" s="290">
        <v>163</v>
      </c>
      <c r="BA37" s="290">
        <v>56</v>
      </c>
      <c r="BB37" s="290">
        <v>0</v>
      </c>
      <c r="BC37" s="290">
        <v>8025</v>
      </c>
      <c r="BD37" s="290"/>
      <c r="BE37" s="290">
        <v>141849.10430258</v>
      </c>
      <c r="BF37" s="290">
        <v>0</v>
      </c>
      <c r="BG37" s="290">
        <v>4034.5088815856166</v>
      </c>
      <c r="BH37" s="290">
        <v>217.36945810991892</v>
      </c>
      <c r="BI37" s="290">
        <v>1366</v>
      </c>
      <c r="BJ37" s="290"/>
      <c r="BK37" s="290"/>
      <c r="BL37" s="290"/>
      <c r="BM37" s="290">
        <v>0</v>
      </c>
      <c r="BN37" s="290">
        <v>1765.98856</v>
      </c>
      <c r="BO37" s="290">
        <v>-2078.153216736936</v>
      </c>
      <c r="BP37" s="290">
        <v>226.01</v>
      </c>
      <c r="BQ37" s="290">
        <v>-121.208</v>
      </c>
      <c r="BR37" s="290">
        <v>-81.102829998486968</v>
      </c>
      <c r="BS37" s="290">
        <v>1.0489999999999999</v>
      </c>
      <c r="BT37" s="290"/>
      <c r="BU37" s="290">
        <v>0</v>
      </c>
      <c r="BV37" s="290">
        <v>2000</v>
      </c>
      <c r="BW37" s="290">
        <v>-1024</v>
      </c>
      <c r="BX37" s="290">
        <v>522</v>
      </c>
      <c r="BY37" s="290">
        <v>106</v>
      </c>
      <c r="BZ37" s="290">
        <v>-779</v>
      </c>
      <c r="CA37" s="290">
        <v>-2.58351326457705</v>
      </c>
      <c r="CB37" s="290">
        <v>170</v>
      </c>
      <c r="CC37" s="290">
        <v>580</v>
      </c>
      <c r="CD37" s="290">
        <v>6</v>
      </c>
      <c r="CE37" s="290">
        <v>165</v>
      </c>
      <c r="CF37" s="290">
        <v>9</v>
      </c>
      <c r="CG37" s="290">
        <v>1</v>
      </c>
      <c r="CH37" s="290">
        <v>-6</v>
      </c>
      <c r="CI37" s="290">
        <v>-1990</v>
      </c>
      <c r="CJ37" s="290">
        <v>-5462</v>
      </c>
      <c r="CK37" s="290">
        <f>+innut22!E43+innut22!S43</f>
        <v>162559.60457048326</v>
      </c>
      <c r="CL37" s="290">
        <v>0</v>
      </c>
      <c r="CM37" s="290">
        <v>0</v>
      </c>
      <c r="CN37" s="290">
        <v>0</v>
      </c>
      <c r="CP37" s="290">
        <f>+innut23!E43</f>
        <v>148334.57114410633</v>
      </c>
      <c r="CQ37" s="290"/>
      <c r="CV37" s="85">
        <f t="shared" si="1"/>
        <v>0.82599999999999996</v>
      </c>
    </row>
    <row r="38" spans="1:100" ht="13">
      <c r="A38" s="1">
        <v>1528</v>
      </c>
      <c r="B38" s="2" t="s">
        <v>96</v>
      </c>
      <c r="C38" s="289">
        <v>7558</v>
      </c>
      <c r="D38" s="290">
        <v>115</v>
      </c>
      <c r="E38" s="290">
        <v>288</v>
      </c>
      <c r="F38" s="290">
        <v>965</v>
      </c>
      <c r="G38" s="290">
        <v>702</v>
      </c>
      <c r="H38" s="290">
        <v>4092</v>
      </c>
      <c r="I38" s="290">
        <v>1033</v>
      </c>
      <c r="J38" s="290">
        <v>302</v>
      </c>
      <c r="K38" s="290">
        <v>75</v>
      </c>
      <c r="L38" s="290">
        <v>54</v>
      </c>
      <c r="M38" s="290">
        <v>527</v>
      </c>
      <c r="N38" s="290">
        <v>136</v>
      </c>
      <c r="O38" s="290">
        <v>64</v>
      </c>
      <c r="P38" s="624">
        <v>31086.269</v>
      </c>
      <c r="Q38" s="624">
        <v>18119.963</v>
      </c>
      <c r="R38" s="624">
        <v>34</v>
      </c>
      <c r="S38" s="290">
        <v>75</v>
      </c>
      <c r="T38" s="290">
        <v>586</v>
      </c>
      <c r="U38" s="958">
        <v>1.976627063694282E-3</v>
      </c>
      <c r="V38" s="290">
        <v>-7603.8219581800004</v>
      </c>
      <c r="W38" s="765">
        <v>0.59879762000000003</v>
      </c>
      <c r="X38" s="290">
        <v>0</v>
      </c>
      <c r="Y38" s="290"/>
      <c r="Z38" s="290">
        <f>innut22!E44</f>
        <v>243700.8894728951</v>
      </c>
      <c r="AA38" s="290">
        <v>-8516</v>
      </c>
      <c r="AB38" s="290">
        <v>150</v>
      </c>
      <c r="AC38" s="290">
        <v>823</v>
      </c>
      <c r="AD38" s="290"/>
      <c r="AE38" s="290">
        <v>0</v>
      </c>
      <c r="AF38" s="290">
        <v>0</v>
      </c>
      <c r="AG38" s="290">
        <v>7572</v>
      </c>
      <c r="AH38" s="290">
        <v>1362</v>
      </c>
      <c r="AI38" s="290">
        <v>640.38400000000001</v>
      </c>
      <c r="AJ38" s="290">
        <v>0</v>
      </c>
      <c r="AK38" s="290">
        <v>0</v>
      </c>
      <c r="AL38" s="290">
        <v>0</v>
      </c>
      <c r="AM38" s="957">
        <v>6.9947049999999997E-2</v>
      </c>
      <c r="AN38" s="290">
        <v>2062</v>
      </c>
      <c r="AO38" s="290">
        <v>1501.4618824300001</v>
      </c>
      <c r="AP38" s="290">
        <v>0</v>
      </c>
      <c r="AQ38" s="290">
        <v>0</v>
      </c>
      <c r="AR38" s="290">
        <v>3514.0472980599998</v>
      </c>
      <c r="AS38" s="290">
        <v>2018</v>
      </c>
      <c r="AT38" s="290">
        <v>310</v>
      </c>
      <c r="AU38" s="290">
        <v>47</v>
      </c>
      <c r="AV38" s="766">
        <v>209842</v>
      </c>
      <c r="AW38" s="290"/>
      <c r="AX38" s="766">
        <v>44.166699999999999</v>
      </c>
      <c r="AY38" s="290">
        <v>1557</v>
      </c>
      <c r="AZ38" s="290">
        <v>277</v>
      </c>
      <c r="BA38" s="290">
        <v>146</v>
      </c>
      <c r="BB38" s="290">
        <v>0</v>
      </c>
      <c r="BC38" s="290">
        <v>13070</v>
      </c>
      <c r="BD38" s="290"/>
      <c r="BE38" s="290">
        <v>194533.54500943</v>
      </c>
      <c r="BF38" s="290">
        <v>0</v>
      </c>
      <c r="BG38" s="290">
        <v>6826.2409059825595</v>
      </c>
      <c r="BH38" s="290">
        <v>367.78114268967261</v>
      </c>
      <c r="BI38" s="290">
        <v>-6331</v>
      </c>
      <c r="BJ38" s="290"/>
      <c r="BK38" s="290"/>
      <c r="BL38" s="290"/>
      <c r="BM38" s="290">
        <v>0</v>
      </c>
      <c r="BN38" s="290">
        <v>2856.9180999999999</v>
      </c>
      <c r="BO38" s="290">
        <v>-3528.2009320923949</v>
      </c>
      <c r="BP38" s="290">
        <v>379.44499999999999</v>
      </c>
      <c r="BQ38" s="290">
        <v>-203.49299999999999</v>
      </c>
      <c r="BR38" s="290">
        <v>-151.92530215409386</v>
      </c>
      <c r="BS38" s="290">
        <v>1.476</v>
      </c>
      <c r="BT38" s="290"/>
      <c r="BU38" s="290">
        <v>0</v>
      </c>
      <c r="BV38" s="290">
        <v>2500</v>
      </c>
      <c r="BW38" s="290">
        <v>-1739</v>
      </c>
      <c r="BX38" s="290">
        <v>970</v>
      </c>
      <c r="BY38" s="290">
        <v>196</v>
      </c>
      <c r="BZ38" s="290">
        <v>-1322</v>
      </c>
      <c r="CA38" s="290">
        <v>-3.2198657535111579</v>
      </c>
      <c r="CB38" s="290">
        <v>314</v>
      </c>
      <c r="CC38" s="290">
        <v>985</v>
      </c>
      <c r="CD38" s="290">
        <v>12</v>
      </c>
      <c r="CE38" s="290">
        <v>279</v>
      </c>
      <c r="CF38" s="290">
        <v>12</v>
      </c>
      <c r="CG38" s="290">
        <v>2</v>
      </c>
      <c r="CH38" s="290">
        <v>-8</v>
      </c>
      <c r="CI38" s="290">
        <v>-3366</v>
      </c>
      <c r="CJ38" s="290">
        <v>-9098</v>
      </c>
      <c r="CK38" s="290">
        <f>+innut22!E44+innut22!S44</f>
        <v>243700.8894728951</v>
      </c>
      <c r="CL38" s="290">
        <v>0</v>
      </c>
      <c r="CM38" s="290">
        <v>0</v>
      </c>
      <c r="CN38" s="290">
        <v>0</v>
      </c>
      <c r="CP38" s="290">
        <f>+innut23!E44</f>
        <v>227113.37800523447</v>
      </c>
      <c r="CQ38" s="290"/>
      <c r="CV38" s="85">
        <f t="shared" si="1"/>
        <v>1.4019999999999999</v>
      </c>
    </row>
    <row r="39" spans="1:100" ht="13">
      <c r="A39" s="1">
        <v>1531</v>
      </c>
      <c r="B39" s="2" t="s">
        <v>98</v>
      </c>
      <c r="C39" s="289">
        <v>9547</v>
      </c>
      <c r="D39" s="290">
        <v>204</v>
      </c>
      <c r="E39" s="290">
        <v>486</v>
      </c>
      <c r="F39" s="290">
        <v>1386</v>
      </c>
      <c r="G39" s="290">
        <v>796</v>
      </c>
      <c r="H39" s="290">
        <v>5188</v>
      </c>
      <c r="I39" s="290">
        <v>981</v>
      </c>
      <c r="J39" s="290">
        <v>292</v>
      </c>
      <c r="K39" s="290">
        <v>112</v>
      </c>
      <c r="L39" s="290">
        <v>64</v>
      </c>
      <c r="M39" s="290">
        <v>513</v>
      </c>
      <c r="N39" s="290">
        <v>66</v>
      </c>
      <c r="O39" s="290">
        <v>80</v>
      </c>
      <c r="P39" s="624">
        <v>22080.016</v>
      </c>
      <c r="Q39" s="624">
        <v>15227.642333330001</v>
      </c>
      <c r="R39" s="624">
        <v>49</v>
      </c>
      <c r="S39" s="290">
        <v>81</v>
      </c>
      <c r="T39" s="290">
        <v>635</v>
      </c>
      <c r="U39" s="958">
        <v>3.7420458747061832E-4</v>
      </c>
      <c r="V39" s="290">
        <v>2405.33074231</v>
      </c>
      <c r="W39" s="765">
        <v>0.56241487999999995</v>
      </c>
      <c r="X39" s="290">
        <v>750</v>
      </c>
      <c r="Y39" s="290"/>
      <c r="Z39" s="290">
        <f>innut22!E45</f>
        <v>306303.54202516656</v>
      </c>
      <c r="AA39" s="290">
        <v>0</v>
      </c>
      <c r="AB39" s="290">
        <v>172</v>
      </c>
      <c r="AC39" s="290">
        <v>1462</v>
      </c>
      <c r="AD39" s="290"/>
      <c r="AE39" s="290">
        <v>0</v>
      </c>
      <c r="AF39" s="290">
        <v>0</v>
      </c>
      <c r="AG39" s="290">
        <v>9445</v>
      </c>
      <c r="AH39" s="290">
        <v>1962</v>
      </c>
      <c r="AI39" s="290">
        <v>1387</v>
      </c>
      <c r="AJ39" s="290">
        <v>0</v>
      </c>
      <c r="AK39" s="290">
        <v>0</v>
      </c>
      <c r="AL39" s="290">
        <v>0</v>
      </c>
      <c r="AM39" s="957">
        <v>8.4918339999999995E-2</v>
      </c>
      <c r="AN39" s="290">
        <v>0</v>
      </c>
      <c r="AO39" s="290">
        <v>1944.2916577200001</v>
      </c>
      <c r="AP39" s="290">
        <v>0</v>
      </c>
      <c r="AQ39" s="290">
        <v>0</v>
      </c>
      <c r="AR39" s="290">
        <v>970.38441421000005</v>
      </c>
      <c r="AS39" s="290">
        <v>2577</v>
      </c>
      <c r="AT39" s="290">
        <v>382</v>
      </c>
      <c r="AU39" s="290">
        <v>80</v>
      </c>
      <c r="AV39" s="766">
        <v>289871</v>
      </c>
      <c r="AW39" s="290"/>
      <c r="AX39" s="766">
        <v>84.833349999999996</v>
      </c>
      <c r="AY39" s="290">
        <v>2017</v>
      </c>
      <c r="AZ39" s="290">
        <v>246</v>
      </c>
      <c r="BA39" s="290">
        <v>184</v>
      </c>
      <c r="BB39" s="290">
        <v>0</v>
      </c>
      <c r="BC39" s="290">
        <v>16441</v>
      </c>
      <c r="BD39" s="290"/>
      <c r="BE39" s="290">
        <v>285727.23250296997</v>
      </c>
      <c r="BF39" s="290">
        <v>0</v>
      </c>
      <c r="BG39" s="290">
        <v>8622.6676276019443</v>
      </c>
      <c r="BH39" s="290">
        <v>464.56821503814564</v>
      </c>
      <c r="BI39" s="290">
        <v>3424</v>
      </c>
      <c r="BJ39" s="290"/>
      <c r="BK39" s="290"/>
      <c r="BL39" s="290"/>
      <c r="BM39" s="290">
        <v>0</v>
      </c>
      <c r="BN39" s="290">
        <v>3699.51586</v>
      </c>
      <c r="BO39" s="290">
        <v>-4400.9320923946998</v>
      </c>
      <c r="BP39" s="290">
        <v>634.33299999999997</v>
      </c>
      <c r="BQ39" s="290">
        <v>-340.18799999999999</v>
      </c>
      <c r="BR39" s="290">
        <v>-210.72002689246202</v>
      </c>
      <c r="BS39" s="290">
        <v>1.7090000000000001</v>
      </c>
      <c r="BT39" s="290"/>
      <c r="BU39" s="290">
        <v>0</v>
      </c>
      <c r="BV39" s="290">
        <v>2500</v>
      </c>
      <c r="BW39" s="290">
        <v>-2169</v>
      </c>
      <c r="BX39" s="290">
        <v>1356</v>
      </c>
      <c r="BY39" s="290">
        <v>212</v>
      </c>
      <c r="BZ39" s="290">
        <v>-1649</v>
      </c>
      <c r="CA39" s="290">
        <v>-5.7177407128381219</v>
      </c>
      <c r="CB39" s="290">
        <v>340</v>
      </c>
      <c r="CC39" s="290">
        <v>1228</v>
      </c>
      <c r="CD39" s="290">
        <v>12</v>
      </c>
      <c r="CE39" s="290">
        <v>352</v>
      </c>
      <c r="CF39" s="290">
        <v>14</v>
      </c>
      <c r="CG39" s="290">
        <v>2</v>
      </c>
      <c r="CH39" s="290">
        <v>-9</v>
      </c>
      <c r="CI39" s="290">
        <v>-4252</v>
      </c>
      <c r="CJ39" s="290">
        <v>-11284</v>
      </c>
      <c r="CK39" s="290">
        <f>+innut22!E45+innut22!S45</f>
        <v>306303.54202516656</v>
      </c>
      <c r="CL39" s="290">
        <v>0</v>
      </c>
      <c r="CM39" s="290">
        <v>0</v>
      </c>
      <c r="CN39" s="290">
        <v>0</v>
      </c>
      <c r="CP39" s="290">
        <f>+innut23!E45</f>
        <v>287017.7173877607</v>
      </c>
      <c r="CQ39" s="290"/>
      <c r="CV39" s="85">
        <f t="shared" si="1"/>
        <v>1.748</v>
      </c>
    </row>
    <row r="40" spans="1:100" ht="13">
      <c r="A40" s="1">
        <v>1532</v>
      </c>
      <c r="B40" s="2" t="s">
        <v>99</v>
      </c>
      <c r="C40" s="289">
        <v>8597</v>
      </c>
      <c r="D40" s="290">
        <v>208</v>
      </c>
      <c r="E40" s="290">
        <v>490</v>
      </c>
      <c r="F40" s="290">
        <v>1215</v>
      </c>
      <c r="G40" s="290">
        <v>757</v>
      </c>
      <c r="H40" s="290">
        <v>4606</v>
      </c>
      <c r="I40" s="290">
        <v>904</v>
      </c>
      <c r="J40" s="290">
        <v>296</v>
      </c>
      <c r="K40" s="290">
        <v>70</v>
      </c>
      <c r="L40" s="290">
        <v>52</v>
      </c>
      <c r="M40" s="290">
        <v>461</v>
      </c>
      <c r="N40" s="290">
        <v>63</v>
      </c>
      <c r="O40" s="290">
        <v>89</v>
      </c>
      <c r="P40" s="624">
        <v>34461.134666669997</v>
      </c>
      <c r="Q40" s="624">
        <v>13815.063333329999</v>
      </c>
      <c r="R40" s="624">
        <v>24</v>
      </c>
      <c r="S40" s="290">
        <v>69</v>
      </c>
      <c r="T40" s="290">
        <v>534</v>
      </c>
      <c r="U40" s="958">
        <v>9.4055123073373342E-4</v>
      </c>
      <c r="V40" s="290">
        <v>3144.2499603800002</v>
      </c>
      <c r="W40" s="765">
        <v>0.61593836000000002</v>
      </c>
      <c r="X40" s="290">
        <v>900</v>
      </c>
      <c r="Y40" s="290"/>
      <c r="Z40" s="290">
        <f>innut22!E46</f>
        <v>310231.79723875888</v>
      </c>
      <c r="AA40" s="290">
        <v>0</v>
      </c>
      <c r="AB40" s="290">
        <v>126</v>
      </c>
      <c r="AC40" s="290">
        <v>413</v>
      </c>
      <c r="AD40" s="290"/>
      <c r="AE40" s="290">
        <v>0</v>
      </c>
      <c r="AF40" s="290">
        <v>0</v>
      </c>
      <c r="AG40" s="290">
        <v>8546</v>
      </c>
      <c r="AH40" s="290">
        <v>1834</v>
      </c>
      <c r="AI40" s="290">
        <v>504.024</v>
      </c>
      <c r="AJ40" s="290">
        <v>0</v>
      </c>
      <c r="AK40" s="290">
        <v>0</v>
      </c>
      <c r="AL40" s="290">
        <v>0</v>
      </c>
      <c r="AM40" s="957">
        <v>7.4873910000000002E-2</v>
      </c>
      <c r="AN40" s="290">
        <v>0</v>
      </c>
      <c r="AO40" s="290">
        <v>1716.3791238900001</v>
      </c>
      <c r="AP40" s="290">
        <v>0</v>
      </c>
      <c r="AQ40" s="290">
        <v>0</v>
      </c>
      <c r="AR40" s="290">
        <v>-412.26452834000003</v>
      </c>
      <c r="AS40" s="290">
        <v>2761</v>
      </c>
      <c r="AT40" s="290">
        <v>342</v>
      </c>
      <c r="AU40" s="290">
        <v>60</v>
      </c>
      <c r="AV40" s="766">
        <v>239531</v>
      </c>
      <c r="AW40" s="290"/>
      <c r="AX40" s="766">
        <v>74.541650000000004</v>
      </c>
      <c r="AY40" s="290">
        <v>1863</v>
      </c>
      <c r="AZ40" s="290">
        <v>264</v>
      </c>
      <c r="BA40" s="290">
        <v>165</v>
      </c>
      <c r="BB40" s="290">
        <v>0</v>
      </c>
      <c r="BC40" s="290">
        <v>15029</v>
      </c>
      <c r="BD40" s="290"/>
      <c r="BE40" s="290">
        <v>245860.57785825999</v>
      </c>
      <c r="BF40" s="290">
        <v>0</v>
      </c>
      <c r="BG40" s="290">
        <v>7764.6458148626698</v>
      </c>
      <c r="BH40" s="290">
        <v>418.34010104566221</v>
      </c>
      <c r="BI40" s="290">
        <v>2247</v>
      </c>
      <c r="BJ40" s="290"/>
      <c r="BK40" s="290"/>
      <c r="BL40" s="290"/>
      <c r="BM40" s="290">
        <v>0</v>
      </c>
      <c r="BN40" s="290">
        <v>3265.8535400000001</v>
      </c>
      <c r="BO40" s="290">
        <v>-3982.0397735950351</v>
      </c>
      <c r="BP40" s="290">
        <v>626.18100000000004</v>
      </c>
      <c r="BQ40" s="290">
        <v>-335.81599999999997</v>
      </c>
      <c r="BR40" s="290">
        <v>-188.15927334250654</v>
      </c>
      <c r="BS40" s="290">
        <v>1.5960000000000001</v>
      </c>
      <c r="BT40" s="290"/>
      <c r="BU40" s="290">
        <v>0</v>
      </c>
      <c r="BV40" s="290">
        <v>2500</v>
      </c>
      <c r="BW40" s="290">
        <v>-1963</v>
      </c>
      <c r="BX40" s="290">
        <v>1208</v>
      </c>
      <c r="BY40" s="290">
        <v>181</v>
      </c>
      <c r="BZ40" s="290">
        <v>-1492</v>
      </c>
      <c r="CA40" s="290">
        <v>-1.6154930624584836</v>
      </c>
      <c r="CB40" s="290">
        <v>290</v>
      </c>
      <c r="CC40" s="290">
        <v>1111</v>
      </c>
      <c r="CD40" s="290">
        <v>11</v>
      </c>
      <c r="CE40" s="290">
        <v>317</v>
      </c>
      <c r="CF40" s="290">
        <v>13</v>
      </c>
      <c r="CG40" s="290">
        <v>2</v>
      </c>
      <c r="CH40" s="290">
        <v>-8</v>
      </c>
      <c r="CI40" s="290">
        <v>-3829</v>
      </c>
      <c r="CJ40" s="290">
        <v>-8837</v>
      </c>
      <c r="CK40" s="290">
        <f>+innut22!E46+innut22!S46</f>
        <v>310231.79723875888</v>
      </c>
      <c r="CL40" s="290">
        <v>0</v>
      </c>
      <c r="CM40" s="290">
        <v>0</v>
      </c>
      <c r="CN40" s="290">
        <v>0</v>
      </c>
      <c r="CP40" s="290">
        <f>+innut23!E46</f>
        <v>290427.23087434017</v>
      </c>
      <c r="CQ40" s="290"/>
      <c r="CV40" s="85">
        <f t="shared" si="1"/>
        <v>1.5820000000000001</v>
      </c>
    </row>
    <row r="41" spans="1:100" ht="13">
      <c r="A41" s="1">
        <v>1535</v>
      </c>
      <c r="B41" s="2" t="s">
        <v>101</v>
      </c>
      <c r="C41" s="289">
        <v>6936</v>
      </c>
      <c r="D41" s="290">
        <v>132</v>
      </c>
      <c r="E41" s="290">
        <v>272</v>
      </c>
      <c r="F41" s="290">
        <v>798</v>
      </c>
      <c r="G41" s="290">
        <v>565</v>
      </c>
      <c r="H41" s="290">
        <v>3824</v>
      </c>
      <c r="I41" s="290">
        <v>1025</v>
      </c>
      <c r="J41" s="290">
        <v>299</v>
      </c>
      <c r="K41" s="290">
        <v>77</v>
      </c>
      <c r="L41" s="290">
        <v>53</v>
      </c>
      <c r="M41" s="290">
        <v>594</v>
      </c>
      <c r="N41" s="290">
        <v>38</v>
      </c>
      <c r="O41" s="290">
        <v>64</v>
      </c>
      <c r="P41" s="624">
        <v>46987.966</v>
      </c>
      <c r="Q41" s="624">
        <v>17320.453000000001</v>
      </c>
      <c r="R41" s="624">
        <v>37</v>
      </c>
      <c r="S41" s="290">
        <v>70</v>
      </c>
      <c r="T41" s="290">
        <v>605</v>
      </c>
      <c r="U41" s="958">
        <v>2.3726310751526212E-3</v>
      </c>
      <c r="V41" s="290">
        <v>-3766.7319300700001</v>
      </c>
      <c r="W41" s="765">
        <v>0.68605782000000004</v>
      </c>
      <c r="X41" s="290">
        <v>2000</v>
      </c>
      <c r="Y41" s="290"/>
      <c r="Z41" s="290">
        <f>innut22!E47</f>
        <v>248807.46981176798</v>
      </c>
      <c r="AA41" s="290">
        <v>0</v>
      </c>
      <c r="AB41" s="290">
        <v>156</v>
      </c>
      <c r="AC41" s="290">
        <v>720</v>
      </c>
      <c r="AD41" s="290"/>
      <c r="AE41" s="290">
        <v>0</v>
      </c>
      <c r="AF41" s="290">
        <v>0</v>
      </c>
      <c r="AG41" s="290">
        <v>6992</v>
      </c>
      <c r="AH41" s="290">
        <v>1199</v>
      </c>
      <c r="AI41" s="290">
        <v>975.83199999999999</v>
      </c>
      <c r="AJ41" s="290">
        <v>0</v>
      </c>
      <c r="AK41" s="290">
        <v>0</v>
      </c>
      <c r="AL41" s="290">
        <v>0</v>
      </c>
      <c r="AM41" s="957">
        <v>9.445083E-2</v>
      </c>
      <c r="AN41" s="290">
        <v>5725</v>
      </c>
      <c r="AO41" s="290">
        <v>1422.6475937</v>
      </c>
      <c r="AP41" s="290">
        <v>0</v>
      </c>
      <c r="AQ41" s="290">
        <v>0</v>
      </c>
      <c r="AR41" s="290">
        <v>-337.29857034000003</v>
      </c>
      <c r="AS41" s="290">
        <v>1158</v>
      </c>
      <c r="AT41" s="290">
        <v>292</v>
      </c>
      <c r="AU41" s="290">
        <v>54</v>
      </c>
      <c r="AV41" s="766">
        <v>204916</v>
      </c>
      <c r="AW41" s="290"/>
      <c r="AX41" s="766">
        <v>40.750050000000002</v>
      </c>
      <c r="AY41" s="290">
        <v>1182</v>
      </c>
      <c r="AZ41" s="290">
        <v>290</v>
      </c>
      <c r="BA41" s="290">
        <v>144</v>
      </c>
      <c r="BB41" s="290">
        <v>0</v>
      </c>
      <c r="BC41" s="290">
        <v>11920</v>
      </c>
      <c r="BD41" s="290"/>
      <c r="BE41" s="290">
        <v>207461.48784322999</v>
      </c>
      <c r="BF41" s="290">
        <v>0</v>
      </c>
      <c r="BG41" s="290">
        <v>6264.462413852214</v>
      </c>
      <c r="BH41" s="290">
        <v>337.51389331775192</v>
      </c>
      <c r="BI41" s="290">
        <v>1919</v>
      </c>
      <c r="BJ41" s="290"/>
      <c r="BK41" s="290"/>
      <c r="BL41" s="290"/>
      <c r="BM41" s="290">
        <v>0</v>
      </c>
      <c r="BN41" s="290">
        <v>2706.9536200000002</v>
      </c>
      <c r="BO41" s="290">
        <v>-3257.947823189385</v>
      </c>
      <c r="BP41" s="290">
        <v>350.61799999999999</v>
      </c>
      <c r="BQ41" s="290">
        <v>-188.03399999999999</v>
      </c>
      <c r="BR41" s="290">
        <v>-129.19697210633549</v>
      </c>
      <c r="BS41" s="290">
        <v>1.4219999999999999</v>
      </c>
      <c r="BT41" s="290"/>
      <c r="BU41" s="290">
        <v>0</v>
      </c>
      <c r="BV41" s="290">
        <v>2000</v>
      </c>
      <c r="BW41" s="290">
        <v>-1606</v>
      </c>
      <c r="BX41" s="290">
        <v>826</v>
      </c>
      <c r="BY41" s="290">
        <v>182</v>
      </c>
      <c r="BZ41" s="290">
        <v>-1220</v>
      </c>
      <c r="CA41" s="290">
        <v>-2.814824704279772</v>
      </c>
      <c r="CB41" s="290">
        <v>292</v>
      </c>
      <c r="CC41" s="290">
        <v>909</v>
      </c>
      <c r="CD41" s="290">
        <v>11</v>
      </c>
      <c r="CE41" s="290">
        <v>256</v>
      </c>
      <c r="CF41" s="290">
        <v>12</v>
      </c>
      <c r="CG41" s="290">
        <v>1</v>
      </c>
      <c r="CH41" s="290">
        <v>-8</v>
      </c>
      <c r="CI41" s="290">
        <v>-3089</v>
      </c>
      <c r="CJ41" s="290">
        <v>-8505</v>
      </c>
      <c r="CK41" s="290">
        <f>+innut22!E47+innut22!S47</f>
        <v>248807.46981176798</v>
      </c>
      <c r="CL41" s="290">
        <v>0</v>
      </c>
      <c r="CM41" s="290">
        <v>0</v>
      </c>
      <c r="CN41" s="290">
        <v>0</v>
      </c>
      <c r="CP41" s="290">
        <f>+innut23!E47</f>
        <v>228049.07362136539</v>
      </c>
      <c r="CQ41" s="290"/>
      <c r="CV41" s="85">
        <f t="shared" si="1"/>
        <v>1.294</v>
      </c>
    </row>
    <row r="42" spans="1:100" ht="13">
      <c r="A42" s="1">
        <v>1539</v>
      </c>
      <c r="B42" s="2" t="s">
        <v>102</v>
      </c>
      <c r="C42" s="289">
        <v>7019</v>
      </c>
      <c r="D42" s="290">
        <v>128</v>
      </c>
      <c r="E42" s="290">
        <v>308</v>
      </c>
      <c r="F42" s="290">
        <v>827</v>
      </c>
      <c r="G42" s="290">
        <v>545</v>
      </c>
      <c r="H42" s="290">
        <v>3750</v>
      </c>
      <c r="I42" s="290">
        <v>1054</v>
      </c>
      <c r="J42" s="290">
        <v>330</v>
      </c>
      <c r="K42" s="290">
        <v>101</v>
      </c>
      <c r="L42" s="290">
        <v>54</v>
      </c>
      <c r="M42" s="290">
        <v>670</v>
      </c>
      <c r="N42" s="290">
        <v>22</v>
      </c>
      <c r="O42" s="290">
        <v>59</v>
      </c>
      <c r="P42" s="624">
        <v>65674.629000000001</v>
      </c>
      <c r="Q42" s="624">
        <v>19395.059333329998</v>
      </c>
      <c r="R42" s="624">
        <v>36</v>
      </c>
      <c r="S42" s="290">
        <v>66</v>
      </c>
      <c r="T42" s="290">
        <v>619</v>
      </c>
      <c r="U42" s="958">
        <v>3.8442567222546492E-3</v>
      </c>
      <c r="V42" s="290">
        <v>-410.89243499999998</v>
      </c>
      <c r="W42" s="765">
        <v>0.72802443999999999</v>
      </c>
      <c r="X42" s="290">
        <v>230</v>
      </c>
      <c r="Y42" s="290"/>
      <c r="Z42" s="290">
        <f>innut22!E48</f>
        <v>251054.68167852293</v>
      </c>
      <c r="AA42" s="290">
        <v>0</v>
      </c>
      <c r="AB42" s="290">
        <v>129</v>
      </c>
      <c r="AC42" s="290">
        <v>338</v>
      </c>
      <c r="AD42" s="290"/>
      <c r="AE42" s="290">
        <v>0</v>
      </c>
      <c r="AF42" s="290">
        <v>0</v>
      </c>
      <c r="AG42" s="290">
        <v>7043</v>
      </c>
      <c r="AH42" s="290">
        <v>1237</v>
      </c>
      <c r="AI42" s="290">
        <v>950</v>
      </c>
      <c r="AJ42" s="290">
        <v>0</v>
      </c>
      <c r="AK42" s="290">
        <v>0</v>
      </c>
      <c r="AL42" s="290">
        <v>0</v>
      </c>
      <c r="AM42" s="957">
        <v>7.7041730000000003E-2</v>
      </c>
      <c r="AN42" s="290">
        <v>5773</v>
      </c>
      <c r="AO42" s="290">
        <v>1512.93422308</v>
      </c>
      <c r="AP42" s="290">
        <v>0</v>
      </c>
      <c r="AQ42" s="290">
        <v>0</v>
      </c>
      <c r="AR42" s="290">
        <v>-339.75884309000003</v>
      </c>
      <c r="AS42" s="290">
        <v>1823</v>
      </c>
      <c r="AT42" s="290">
        <v>293</v>
      </c>
      <c r="AU42" s="290">
        <v>55</v>
      </c>
      <c r="AV42" s="766">
        <v>234734</v>
      </c>
      <c r="AW42" s="290"/>
      <c r="AX42" s="766">
        <v>50.333350000000003</v>
      </c>
      <c r="AY42" s="290">
        <v>1377</v>
      </c>
      <c r="AZ42" s="290">
        <v>236</v>
      </c>
      <c r="BA42" s="290">
        <v>123</v>
      </c>
      <c r="BB42" s="290">
        <v>0</v>
      </c>
      <c r="BC42" s="290">
        <v>12154</v>
      </c>
      <c r="BD42" s="290"/>
      <c r="BE42" s="290">
        <v>234481.11025957999</v>
      </c>
      <c r="BF42" s="290">
        <v>0</v>
      </c>
      <c r="BG42" s="290">
        <v>6339.4264248599611</v>
      </c>
      <c r="BH42" s="290">
        <v>341.55277064551626</v>
      </c>
      <c r="BI42" s="290">
        <v>1575</v>
      </c>
      <c r="BJ42" s="290"/>
      <c r="BK42" s="290"/>
      <c r="BL42" s="290"/>
      <c r="BM42" s="290">
        <v>0</v>
      </c>
      <c r="BN42" s="290">
        <v>2878.7471999999998</v>
      </c>
      <c r="BO42" s="290">
        <v>-3281.7114586274083</v>
      </c>
      <c r="BP42" s="290">
        <v>401.48500000000001</v>
      </c>
      <c r="BQ42" s="290">
        <v>-215.31299999999999</v>
      </c>
      <c r="BR42" s="290">
        <v>-135.37777259734582</v>
      </c>
      <c r="BS42" s="290">
        <v>1.4910000000000001</v>
      </c>
      <c r="BT42" s="290"/>
      <c r="BU42" s="290">
        <v>0</v>
      </c>
      <c r="BV42" s="290">
        <v>2500</v>
      </c>
      <c r="BW42" s="290">
        <v>-1617</v>
      </c>
      <c r="BX42" s="290">
        <v>865</v>
      </c>
      <c r="BY42" s="290">
        <v>172</v>
      </c>
      <c r="BZ42" s="290">
        <v>-1229</v>
      </c>
      <c r="CA42" s="290">
        <v>-1.3209687752456603</v>
      </c>
      <c r="CB42" s="290">
        <v>276</v>
      </c>
      <c r="CC42" s="290">
        <v>916</v>
      </c>
      <c r="CD42" s="290">
        <v>10</v>
      </c>
      <c r="CE42" s="290">
        <v>259</v>
      </c>
      <c r="CF42" s="290">
        <v>12</v>
      </c>
      <c r="CG42" s="290">
        <v>1</v>
      </c>
      <c r="CH42" s="290">
        <v>-8</v>
      </c>
      <c r="CI42" s="290">
        <v>-3126</v>
      </c>
      <c r="CJ42" s="290">
        <v>-8639</v>
      </c>
      <c r="CK42" s="290">
        <f>+innut22!E48+innut22!S48</f>
        <v>251054.68167852293</v>
      </c>
      <c r="CL42" s="290">
        <v>0</v>
      </c>
      <c r="CM42" s="290">
        <v>0</v>
      </c>
      <c r="CN42" s="290">
        <v>0</v>
      </c>
      <c r="CP42" s="290">
        <f>+innut23!E48</f>
        <v>227953.42592261473</v>
      </c>
      <c r="CQ42" s="290"/>
      <c r="CV42" s="85">
        <f t="shared" si="1"/>
        <v>1.304</v>
      </c>
    </row>
    <row r="43" spans="1:100" ht="13">
      <c r="A43" s="1">
        <v>1547</v>
      </c>
      <c r="B43" s="2" t="s">
        <v>106</v>
      </c>
      <c r="C43" s="289">
        <v>3518</v>
      </c>
      <c r="D43" s="290">
        <v>48</v>
      </c>
      <c r="E43" s="290">
        <v>148</v>
      </c>
      <c r="F43" s="290">
        <v>493</v>
      </c>
      <c r="G43" s="290">
        <v>335</v>
      </c>
      <c r="H43" s="290">
        <v>1829</v>
      </c>
      <c r="I43" s="290">
        <v>465</v>
      </c>
      <c r="J43" s="290">
        <v>156</v>
      </c>
      <c r="K43" s="290">
        <v>39</v>
      </c>
      <c r="L43" s="290">
        <v>24</v>
      </c>
      <c r="M43" s="290">
        <v>236</v>
      </c>
      <c r="N43" s="290">
        <v>58</v>
      </c>
      <c r="O43" s="290">
        <v>53</v>
      </c>
      <c r="P43" s="624">
        <v>45922.531999999999</v>
      </c>
      <c r="Q43" s="624">
        <v>8527.6453333299996</v>
      </c>
      <c r="R43" s="624">
        <v>6</v>
      </c>
      <c r="S43" s="290">
        <v>35</v>
      </c>
      <c r="T43" s="290">
        <v>244</v>
      </c>
      <c r="U43" s="958">
        <v>7.4648704475071214E-4</v>
      </c>
      <c r="V43" s="290">
        <v>1493.98349497</v>
      </c>
      <c r="W43" s="765">
        <v>0.75788940999999999</v>
      </c>
      <c r="X43" s="290">
        <v>0</v>
      </c>
      <c r="Y43" s="290"/>
      <c r="Z43" s="290">
        <f>innut22!E49</f>
        <v>124493.99438440717</v>
      </c>
      <c r="AA43" s="290">
        <v>0</v>
      </c>
      <c r="AB43" s="290">
        <v>57</v>
      </c>
      <c r="AC43" s="290">
        <v>19</v>
      </c>
      <c r="AD43" s="290"/>
      <c r="AE43" s="290">
        <v>0</v>
      </c>
      <c r="AF43" s="290">
        <v>0</v>
      </c>
      <c r="AG43" s="290">
        <v>3513</v>
      </c>
      <c r="AH43" s="290">
        <v>684</v>
      </c>
      <c r="AI43" s="290">
        <v>0</v>
      </c>
      <c r="AJ43" s="290">
        <v>0</v>
      </c>
      <c r="AK43" s="290">
        <v>3181</v>
      </c>
      <c r="AL43" s="290">
        <v>0</v>
      </c>
      <c r="AM43" s="957">
        <v>7.5452229999999995E-2</v>
      </c>
      <c r="AN43" s="290">
        <v>0</v>
      </c>
      <c r="AO43" s="290">
        <v>751.51287720000005</v>
      </c>
      <c r="AP43" s="290">
        <v>0</v>
      </c>
      <c r="AQ43" s="290">
        <v>0</v>
      </c>
      <c r="AR43" s="290">
        <v>20.969415699999999</v>
      </c>
      <c r="AS43" s="290">
        <v>635</v>
      </c>
      <c r="AT43" s="290">
        <v>174</v>
      </c>
      <c r="AU43" s="290">
        <v>33</v>
      </c>
      <c r="AV43" s="766">
        <v>119840</v>
      </c>
      <c r="AW43" s="290"/>
      <c r="AX43" s="766">
        <v>11.083349999999999</v>
      </c>
      <c r="AY43" s="290">
        <v>734</v>
      </c>
      <c r="AZ43" s="290">
        <v>163</v>
      </c>
      <c r="BA43" s="290">
        <v>76</v>
      </c>
      <c r="BB43" s="290">
        <v>0</v>
      </c>
      <c r="BC43" s="290">
        <v>9314</v>
      </c>
      <c r="BD43" s="290"/>
      <c r="BE43" s="290">
        <v>117810.93558818</v>
      </c>
      <c r="BF43" s="290">
        <v>0</v>
      </c>
      <c r="BG43" s="290">
        <v>3177.390249701858</v>
      </c>
      <c r="BH43" s="290">
        <v>171.19000529005928</v>
      </c>
      <c r="BI43" s="290">
        <v>3884</v>
      </c>
      <c r="BJ43" s="290"/>
      <c r="BK43" s="290"/>
      <c r="BL43" s="290"/>
      <c r="BM43" s="290">
        <v>0</v>
      </c>
      <c r="BN43" s="290">
        <v>1429.94688</v>
      </c>
      <c r="BO43" s="290">
        <v>-1636.895123407367</v>
      </c>
      <c r="BP43" s="290">
        <v>183.60499999999999</v>
      </c>
      <c r="BQ43" s="290">
        <v>-98.465999999999994</v>
      </c>
      <c r="BR43" s="290">
        <v>-81.93194813361211</v>
      </c>
      <c r="BS43" s="290">
        <v>0.81399999999999995</v>
      </c>
      <c r="BT43" s="290"/>
      <c r="BU43" s="290">
        <v>0</v>
      </c>
      <c r="BV43" s="290">
        <v>1000</v>
      </c>
      <c r="BW43" s="290">
        <v>-807</v>
      </c>
      <c r="BX43" s="290">
        <v>531</v>
      </c>
      <c r="BY43" s="290">
        <v>91</v>
      </c>
      <c r="BZ43" s="290">
        <v>-613</v>
      </c>
      <c r="CA43" s="290">
        <v>-7.2808459020833993E-2</v>
      </c>
      <c r="CB43" s="290">
        <v>147</v>
      </c>
      <c r="CC43" s="290">
        <v>457</v>
      </c>
      <c r="CD43" s="290">
        <v>5</v>
      </c>
      <c r="CE43" s="290">
        <v>130</v>
      </c>
      <c r="CF43" s="290">
        <v>7</v>
      </c>
      <c r="CG43" s="290">
        <v>1</v>
      </c>
      <c r="CH43" s="290">
        <v>-4</v>
      </c>
      <c r="CI43" s="290">
        <v>-1567</v>
      </c>
      <c r="CJ43" s="290">
        <v>-4244</v>
      </c>
      <c r="CK43" s="290">
        <f>+innut22!E49+innut22!S49</f>
        <v>124493.99438440717</v>
      </c>
      <c r="CL43" s="290">
        <v>3698.4269557800226</v>
      </c>
      <c r="CM43" s="290">
        <v>4208.1525875035841</v>
      </c>
      <c r="CN43" s="290">
        <v>4711.742148938838</v>
      </c>
      <c r="CP43" s="290">
        <f>+innut23!E49</f>
        <v>117399.85213461758</v>
      </c>
      <c r="CQ43" s="290"/>
      <c r="CV43" s="85">
        <f t="shared" si="1"/>
        <v>0.65</v>
      </c>
    </row>
    <row r="44" spans="1:100" ht="13">
      <c r="A44" s="1">
        <v>1554</v>
      </c>
      <c r="B44" s="3" t="s">
        <v>109</v>
      </c>
      <c r="C44" s="289">
        <v>5828</v>
      </c>
      <c r="D44" s="290">
        <v>97</v>
      </c>
      <c r="E44" s="290">
        <v>202</v>
      </c>
      <c r="F44" s="290">
        <v>704</v>
      </c>
      <c r="G44" s="290">
        <v>481</v>
      </c>
      <c r="H44" s="290">
        <v>3140</v>
      </c>
      <c r="I44" s="290">
        <v>837</v>
      </c>
      <c r="J44" s="290">
        <v>251</v>
      </c>
      <c r="K44" s="290">
        <v>64</v>
      </c>
      <c r="L44" s="290">
        <v>41</v>
      </c>
      <c r="M44" s="290">
        <v>478</v>
      </c>
      <c r="N44" s="290">
        <v>29</v>
      </c>
      <c r="O44" s="290">
        <v>54</v>
      </c>
      <c r="P44" s="624">
        <v>40951.474000000002</v>
      </c>
      <c r="Q44" s="624">
        <v>18479.789333330002</v>
      </c>
      <c r="R44" s="624">
        <v>23</v>
      </c>
      <c r="S44" s="290">
        <v>54</v>
      </c>
      <c r="T44" s="290">
        <v>443</v>
      </c>
      <c r="U44" s="958">
        <v>2.3102303682519323E-3</v>
      </c>
      <c r="V44" s="290">
        <v>-1846.99526298</v>
      </c>
      <c r="W44" s="765">
        <v>0.72518386000000001</v>
      </c>
      <c r="X44" s="290">
        <v>0</v>
      </c>
      <c r="Y44" s="290"/>
      <c r="Z44" s="290">
        <f>innut22!E50</f>
        <v>205846.04528919084</v>
      </c>
      <c r="AA44" s="290">
        <v>0</v>
      </c>
      <c r="AB44" s="290">
        <v>122</v>
      </c>
      <c r="AC44" s="290">
        <v>573</v>
      </c>
      <c r="AD44" s="290"/>
      <c r="AE44" s="290">
        <v>0</v>
      </c>
      <c r="AF44" s="290">
        <v>0</v>
      </c>
      <c r="AG44" s="290">
        <v>5776</v>
      </c>
      <c r="AH44" s="290">
        <v>1004</v>
      </c>
      <c r="AI44" s="290">
        <v>310</v>
      </c>
      <c r="AJ44" s="290">
        <v>0</v>
      </c>
      <c r="AK44" s="290">
        <v>0</v>
      </c>
      <c r="AL44" s="290">
        <v>0</v>
      </c>
      <c r="AM44" s="957">
        <v>6.7540959999999997E-2</v>
      </c>
      <c r="AN44" s="290">
        <v>0</v>
      </c>
      <c r="AO44" s="290">
        <v>1170.5496050900001</v>
      </c>
      <c r="AP44" s="290">
        <v>0</v>
      </c>
      <c r="AQ44" s="290">
        <v>0</v>
      </c>
      <c r="AR44" s="290">
        <v>-278.63794940999998</v>
      </c>
      <c r="AS44" s="290">
        <v>1109</v>
      </c>
      <c r="AT44" s="290">
        <v>249</v>
      </c>
      <c r="AU44" s="290">
        <v>50</v>
      </c>
      <c r="AV44" s="766">
        <v>163916</v>
      </c>
      <c r="AW44" s="290"/>
      <c r="AX44" s="766">
        <v>43.375050000000002</v>
      </c>
      <c r="AY44" s="290">
        <v>1070</v>
      </c>
      <c r="AZ44" s="290">
        <v>183</v>
      </c>
      <c r="BA44" s="290">
        <v>107</v>
      </c>
      <c r="BB44" s="290">
        <v>0</v>
      </c>
      <c r="BC44" s="290">
        <v>10147</v>
      </c>
      <c r="BD44" s="290"/>
      <c r="BE44" s="290">
        <v>164835.01250338001</v>
      </c>
      <c r="BF44" s="290">
        <v>0</v>
      </c>
      <c r="BG44" s="290">
        <v>5263.7380259415659</v>
      </c>
      <c r="BH44" s="290">
        <v>283.59731405072927</v>
      </c>
      <c r="BI44" s="290">
        <v>1577</v>
      </c>
      <c r="BJ44" s="290"/>
      <c r="BK44" s="290"/>
      <c r="BL44" s="290"/>
      <c r="BM44" s="290">
        <v>0</v>
      </c>
      <c r="BN44" s="290">
        <v>2227.2722400000002</v>
      </c>
      <c r="BO44" s="290">
        <v>-2691.348201765144</v>
      </c>
      <c r="BP44" s="290">
        <v>276.06799999999998</v>
      </c>
      <c r="BQ44" s="290">
        <v>-148.053</v>
      </c>
      <c r="BR44" s="290">
        <v>-114.91523586035542</v>
      </c>
      <c r="BS44" s="290">
        <v>1.216</v>
      </c>
      <c r="BT44" s="290"/>
      <c r="BU44" s="290">
        <v>0</v>
      </c>
      <c r="BV44" s="290">
        <v>1500</v>
      </c>
      <c r="BW44" s="290">
        <v>-1326</v>
      </c>
      <c r="BX44" s="290">
        <v>735</v>
      </c>
      <c r="BY44" s="290">
        <v>140</v>
      </c>
      <c r="BZ44" s="290">
        <v>-1008</v>
      </c>
      <c r="CA44" s="290">
        <v>-2.2398023745007549</v>
      </c>
      <c r="CB44" s="290">
        <v>224</v>
      </c>
      <c r="CC44" s="290">
        <v>751</v>
      </c>
      <c r="CD44" s="290">
        <v>8</v>
      </c>
      <c r="CE44" s="290">
        <v>215</v>
      </c>
      <c r="CF44" s="290">
        <v>10</v>
      </c>
      <c r="CG44" s="290">
        <v>1</v>
      </c>
      <c r="CH44" s="290">
        <v>-6</v>
      </c>
      <c r="CI44" s="290">
        <v>-2596</v>
      </c>
      <c r="CJ44" s="290">
        <v>-7060</v>
      </c>
      <c r="CK44" s="290">
        <f>+innut22!E50+innut22!S50</f>
        <v>205846.04528919084</v>
      </c>
      <c r="CL44" s="290">
        <v>0</v>
      </c>
      <c r="CM44" s="290">
        <v>0</v>
      </c>
      <c r="CN44" s="290">
        <v>0</v>
      </c>
      <c r="CP44" s="290">
        <f>+innut23!E50</f>
        <v>191566.85371985816</v>
      </c>
      <c r="CQ44" s="290"/>
      <c r="CV44" s="85">
        <f t="shared" si="1"/>
        <v>1.069</v>
      </c>
    </row>
    <row r="45" spans="1:100" ht="13">
      <c r="A45" s="1">
        <v>1557</v>
      </c>
      <c r="B45" s="2" t="s">
        <v>110</v>
      </c>
      <c r="C45" s="289">
        <v>2669</v>
      </c>
      <c r="D45" s="290">
        <v>50</v>
      </c>
      <c r="E45" s="290">
        <v>120</v>
      </c>
      <c r="F45" s="290">
        <v>308</v>
      </c>
      <c r="G45" s="290">
        <v>238</v>
      </c>
      <c r="H45" s="290">
        <v>1370</v>
      </c>
      <c r="I45" s="290">
        <v>431</v>
      </c>
      <c r="J45" s="290">
        <v>108</v>
      </c>
      <c r="K45" s="290">
        <v>25</v>
      </c>
      <c r="L45" s="290">
        <v>22</v>
      </c>
      <c r="M45" s="290">
        <v>218</v>
      </c>
      <c r="N45" s="290">
        <v>7</v>
      </c>
      <c r="O45" s="290">
        <v>18</v>
      </c>
      <c r="P45" s="624">
        <v>32818.358</v>
      </c>
      <c r="Q45" s="624">
        <v>14634.423000000001</v>
      </c>
      <c r="R45" s="624">
        <v>12</v>
      </c>
      <c r="S45" s="290">
        <v>23</v>
      </c>
      <c r="T45" s="290">
        <v>196</v>
      </c>
      <c r="U45" s="958">
        <v>2.7745478548694288E-3</v>
      </c>
      <c r="V45" s="290">
        <v>-2757.82268565</v>
      </c>
      <c r="W45" s="765">
        <v>0.84725086999999999</v>
      </c>
      <c r="X45" s="290">
        <v>400</v>
      </c>
      <c r="Y45" s="290"/>
      <c r="Z45" s="290">
        <f>innut22!E51</f>
        <v>79158.076976215089</v>
      </c>
      <c r="AA45" s="290">
        <v>0</v>
      </c>
      <c r="AB45" s="290">
        <v>49</v>
      </c>
      <c r="AC45" s="290">
        <v>19</v>
      </c>
      <c r="AD45" s="290"/>
      <c r="AE45" s="290">
        <v>0</v>
      </c>
      <c r="AF45" s="290">
        <v>0</v>
      </c>
      <c r="AG45" s="290">
        <v>2650</v>
      </c>
      <c r="AH45" s="290">
        <v>484</v>
      </c>
      <c r="AI45" s="290">
        <v>140</v>
      </c>
      <c r="AJ45" s="290">
        <v>0</v>
      </c>
      <c r="AK45" s="290">
        <v>0</v>
      </c>
      <c r="AL45" s="290">
        <v>0</v>
      </c>
      <c r="AM45" s="957">
        <v>3.4313549999999998E-2</v>
      </c>
      <c r="AN45" s="290">
        <v>0</v>
      </c>
      <c r="AO45" s="290">
        <v>597.99609939000004</v>
      </c>
      <c r="AP45" s="290">
        <v>0</v>
      </c>
      <c r="AQ45" s="290">
        <v>0</v>
      </c>
      <c r="AR45" s="290">
        <v>-127.83770186</v>
      </c>
      <c r="AS45" s="290">
        <v>514</v>
      </c>
      <c r="AT45" s="290">
        <v>111</v>
      </c>
      <c r="AU45" s="290">
        <v>21</v>
      </c>
      <c r="AV45" s="766">
        <v>97275</v>
      </c>
      <c r="AW45" s="290"/>
      <c r="AX45" s="766">
        <v>19.916699999999999</v>
      </c>
      <c r="AY45" s="290">
        <v>501</v>
      </c>
      <c r="AZ45" s="290">
        <v>104</v>
      </c>
      <c r="BA45" s="290">
        <v>43</v>
      </c>
      <c r="BB45" s="290">
        <v>4225</v>
      </c>
      <c r="BC45" s="290">
        <v>4804</v>
      </c>
      <c r="BD45" s="290"/>
      <c r="BE45" s="290">
        <v>96624.192530050001</v>
      </c>
      <c r="BF45" s="290">
        <v>0</v>
      </c>
      <c r="BG45" s="290">
        <v>2410.5897033696019</v>
      </c>
      <c r="BH45" s="290">
        <v>129.87666973256631</v>
      </c>
      <c r="BI45" s="290">
        <v>503</v>
      </c>
      <c r="BJ45" s="290"/>
      <c r="BK45" s="290"/>
      <c r="BL45" s="290"/>
      <c r="BM45" s="290">
        <v>0</v>
      </c>
      <c r="BN45" s="290">
        <v>1137.84166</v>
      </c>
      <c r="BO45" s="290">
        <v>-1234.7771355051302</v>
      </c>
      <c r="BP45" s="290">
        <v>155.828</v>
      </c>
      <c r="BQ45" s="290">
        <v>-83.569000000000003</v>
      </c>
      <c r="BR45" s="290">
        <v>-54.939172410604662</v>
      </c>
      <c r="BS45" s="290">
        <v>0.69</v>
      </c>
      <c r="BT45" s="290"/>
      <c r="BU45" s="290">
        <v>0</v>
      </c>
      <c r="BV45" s="290">
        <v>1000</v>
      </c>
      <c r="BW45" s="290">
        <v>-609</v>
      </c>
      <c r="BX45" s="290">
        <v>350</v>
      </c>
      <c r="BY45" s="290">
        <v>61</v>
      </c>
      <c r="BZ45" s="290">
        <v>-463</v>
      </c>
      <c r="CA45" s="290">
        <v>-7.4352084265171925E-2</v>
      </c>
      <c r="CB45" s="290">
        <v>98</v>
      </c>
      <c r="CC45" s="290">
        <v>345</v>
      </c>
      <c r="CD45" s="290">
        <v>4</v>
      </c>
      <c r="CE45" s="290">
        <v>98</v>
      </c>
      <c r="CF45" s="290">
        <v>6</v>
      </c>
      <c r="CG45" s="290">
        <v>1</v>
      </c>
      <c r="CH45" s="290">
        <v>-4</v>
      </c>
      <c r="CI45" s="290">
        <v>-1189</v>
      </c>
      <c r="CJ45" s="290">
        <v>-3151</v>
      </c>
      <c r="CK45" s="290">
        <f>+innut22!E51+innut22!S51</f>
        <v>79158.076976215089</v>
      </c>
      <c r="CL45" s="290">
        <v>0</v>
      </c>
      <c r="CM45" s="290">
        <v>0</v>
      </c>
      <c r="CN45" s="290">
        <v>0</v>
      </c>
      <c r="CP45" s="290">
        <f>+innut23!E51</f>
        <v>75476.848675578643</v>
      </c>
      <c r="CQ45" s="290"/>
      <c r="CV45" s="85">
        <f t="shared" si="1"/>
        <v>0.49099999999999999</v>
      </c>
    </row>
    <row r="46" spans="1:100" ht="13">
      <c r="A46" s="1">
        <v>1560</v>
      </c>
      <c r="B46" s="2" t="s">
        <v>111</v>
      </c>
      <c r="C46" s="289">
        <v>2960</v>
      </c>
      <c r="D46" s="290">
        <v>46</v>
      </c>
      <c r="E46" s="290">
        <v>94</v>
      </c>
      <c r="F46" s="290">
        <v>326</v>
      </c>
      <c r="G46" s="290">
        <v>256</v>
      </c>
      <c r="H46" s="290">
        <v>1550</v>
      </c>
      <c r="I46" s="290">
        <v>492</v>
      </c>
      <c r="J46" s="290">
        <v>165</v>
      </c>
      <c r="K46" s="290">
        <v>45</v>
      </c>
      <c r="L46" s="290">
        <v>23</v>
      </c>
      <c r="M46" s="290">
        <v>310</v>
      </c>
      <c r="N46" s="290">
        <v>35</v>
      </c>
      <c r="O46" s="290">
        <v>26</v>
      </c>
      <c r="P46" s="624">
        <v>36127.057333329998</v>
      </c>
      <c r="Q46" s="624">
        <v>10864.733</v>
      </c>
      <c r="R46" s="624">
        <v>19</v>
      </c>
      <c r="S46" s="290">
        <v>30</v>
      </c>
      <c r="T46" s="290">
        <v>247</v>
      </c>
      <c r="U46" s="958">
        <v>2.004092165913391E-3</v>
      </c>
      <c r="V46" s="290">
        <v>1853.2950463499999</v>
      </c>
      <c r="W46" s="765">
        <v>0.97567999000000005</v>
      </c>
      <c r="X46" s="290">
        <v>100</v>
      </c>
      <c r="Y46" s="290"/>
      <c r="Z46" s="290">
        <f>innut22!E52</f>
        <v>89889.778395161076</v>
      </c>
      <c r="AA46" s="290">
        <v>0</v>
      </c>
      <c r="AB46" s="290">
        <v>72</v>
      </c>
      <c r="AC46" s="290">
        <v>464</v>
      </c>
      <c r="AD46" s="290"/>
      <c r="AE46" s="290">
        <v>0</v>
      </c>
      <c r="AF46" s="290">
        <v>0</v>
      </c>
      <c r="AG46" s="290">
        <v>2974</v>
      </c>
      <c r="AH46" s="290">
        <v>478</v>
      </c>
      <c r="AI46" s="290">
        <v>181.94</v>
      </c>
      <c r="AJ46" s="290">
        <v>0</v>
      </c>
      <c r="AK46" s="290">
        <v>0</v>
      </c>
      <c r="AL46" s="290">
        <v>0</v>
      </c>
      <c r="AM46" s="957">
        <v>3.6461479999999998E-2</v>
      </c>
      <c r="AN46" s="290">
        <v>0</v>
      </c>
      <c r="AO46" s="290">
        <v>691.89593261000005</v>
      </c>
      <c r="AP46" s="290">
        <v>0</v>
      </c>
      <c r="AQ46" s="290">
        <v>0</v>
      </c>
      <c r="AR46" s="290">
        <v>-143.46766994000001</v>
      </c>
      <c r="AS46" s="290">
        <v>519</v>
      </c>
      <c r="AT46" s="290">
        <v>131</v>
      </c>
      <c r="AU46" s="290">
        <v>20</v>
      </c>
      <c r="AV46" s="766">
        <v>122491</v>
      </c>
      <c r="AW46" s="290"/>
      <c r="AX46" s="766">
        <v>16.708349999999999</v>
      </c>
      <c r="AY46" s="290">
        <v>613</v>
      </c>
      <c r="AZ46" s="290">
        <v>124</v>
      </c>
      <c r="BA46" s="290">
        <v>76</v>
      </c>
      <c r="BB46" s="290">
        <v>6034</v>
      </c>
      <c r="BC46" s="290">
        <v>5746</v>
      </c>
      <c r="BD46" s="290"/>
      <c r="BE46" s="290">
        <v>121017.62370615</v>
      </c>
      <c r="BF46" s="290">
        <v>0</v>
      </c>
      <c r="BG46" s="290">
        <v>2673.4153323244741</v>
      </c>
      <c r="BH46" s="290">
        <v>144.03707096605331</v>
      </c>
      <c r="BI46" s="290">
        <v>942</v>
      </c>
      <c r="BJ46" s="290"/>
      <c r="BK46" s="290"/>
      <c r="BL46" s="290"/>
      <c r="BM46" s="290">
        <v>0</v>
      </c>
      <c r="BN46" s="290">
        <v>1316.5103000000001</v>
      </c>
      <c r="BO46" s="290">
        <v>-1385.7461135819838</v>
      </c>
      <c r="BP46" s="290">
        <v>128.30000000000001</v>
      </c>
      <c r="BQ46" s="290">
        <v>-68.805999999999997</v>
      </c>
      <c r="BR46" s="290">
        <v>-58.215379773922308</v>
      </c>
      <c r="BS46" s="290">
        <v>0.77100000000000002</v>
      </c>
      <c r="BT46" s="290"/>
      <c r="BU46" s="290">
        <v>0</v>
      </c>
      <c r="BV46" s="290">
        <v>1500</v>
      </c>
      <c r="BW46" s="290">
        <v>-683</v>
      </c>
      <c r="BX46" s="290">
        <v>371</v>
      </c>
      <c r="BY46" s="290">
        <v>79</v>
      </c>
      <c r="BZ46" s="290">
        <v>-519</v>
      </c>
      <c r="CA46" s="290">
        <v>-1.8138066440940861</v>
      </c>
      <c r="CB46" s="290">
        <v>127</v>
      </c>
      <c r="CC46" s="290">
        <v>387</v>
      </c>
      <c r="CD46" s="290">
        <v>5</v>
      </c>
      <c r="CE46" s="290">
        <v>109</v>
      </c>
      <c r="CF46" s="290">
        <v>6</v>
      </c>
      <c r="CG46" s="290">
        <v>1</v>
      </c>
      <c r="CH46" s="290">
        <v>-4</v>
      </c>
      <c r="CI46" s="290">
        <v>-1318</v>
      </c>
      <c r="CJ46" s="290">
        <v>-3568</v>
      </c>
      <c r="CK46" s="290">
        <f>+innut22!E52+innut22!S52</f>
        <v>89889.778395161076</v>
      </c>
      <c r="CL46" s="290">
        <v>0</v>
      </c>
      <c r="CM46" s="290">
        <v>0</v>
      </c>
      <c r="CN46" s="290">
        <v>0</v>
      </c>
      <c r="CP46" s="290">
        <f>+innut23!E52</f>
        <v>84565.103671332836</v>
      </c>
      <c r="CQ46" s="290"/>
      <c r="CV46" s="85">
        <f t="shared" si="1"/>
        <v>0.55100000000000005</v>
      </c>
    </row>
    <row r="47" spans="1:100" ht="13">
      <c r="A47" s="1">
        <v>1563</v>
      </c>
      <c r="B47" s="2" t="s">
        <v>112</v>
      </c>
      <c r="C47" s="289">
        <v>6932</v>
      </c>
      <c r="D47" s="290">
        <v>109</v>
      </c>
      <c r="E47" s="290">
        <v>272</v>
      </c>
      <c r="F47" s="290">
        <v>717</v>
      </c>
      <c r="G47" s="290">
        <v>598</v>
      </c>
      <c r="H47" s="290">
        <v>3850</v>
      </c>
      <c r="I47" s="290">
        <v>956</v>
      </c>
      <c r="J47" s="290">
        <v>332</v>
      </c>
      <c r="K47" s="290">
        <v>102</v>
      </c>
      <c r="L47" s="290">
        <v>56</v>
      </c>
      <c r="M47" s="290">
        <v>628</v>
      </c>
      <c r="N47" s="290">
        <v>189</v>
      </c>
      <c r="O47" s="290">
        <v>77</v>
      </c>
      <c r="P47" s="624">
        <v>61147.820666669999</v>
      </c>
      <c r="Q47" s="624">
        <v>17248.952000000001</v>
      </c>
      <c r="R47" s="624">
        <v>36</v>
      </c>
      <c r="S47" s="290">
        <v>81</v>
      </c>
      <c r="T47" s="290">
        <v>689</v>
      </c>
      <c r="U47" s="958">
        <v>2.2749918719949347E-3</v>
      </c>
      <c r="V47" s="290">
        <v>3856.87424637</v>
      </c>
      <c r="W47" s="765">
        <v>0.64767112000000004</v>
      </c>
      <c r="X47" s="290">
        <v>30</v>
      </c>
      <c r="Y47" s="290"/>
      <c r="Z47" s="290">
        <f>innut22!E53</f>
        <v>246099.74084493675</v>
      </c>
      <c r="AA47" s="290">
        <v>0</v>
      </c>
      <c r="AB47" s="290">
        <v>122</v>
      </c>
      <c r="AC47" s="290">
        <v>1010</v>
      </c>
      <c r="AD47" s="290"/>
      <c r="AE47" s="290">
        <v>0</v>
      </c>
      <c r="AF47" s="290">
        <v>0</v>
      </c>
      <c r="AG47" s="290">
        <v>6936</v>
      </c>
      <c r="AH47" s="290">
        <v>1115</v>
      </c>
      <c r="AI47" s="290">
        <v>367.82400000000001</v>
      </c>
      <c r="AJ47" s="290">
        <v>0</v>
      </c>
      <c r="AK47" s="290">
        <v>5086</v>
      </c>
      <c r="AL47" s="290">
        <v>0</v>
      </c>
      <c r="AM47" s="957">
        <v>8.8732829999999999E-2</v>
      </c>
      <c r="AN47" s="290">
        <v>9536</v>
      </c>
      <c r="AO47" s="290">
        <v>1439.8978775200001</v>
      </c>
      <c r="AP47" s="290">
        <v>0</v>
      </c>
      <c r="AQ47" s="290">
        <v>0</v>
      </c>
      <c r="AR47" s="290">
        <v>-334.59709437999999</v>
      </c>
      <c r="AS47" s="290">
        <v>1147</v>
      </c>
      <c r="AT47" s="290">
        <v>313</v>
      </c>
      <c r="AU47" s="290">
        <v>43</v>
      </c>
      <c r="AV47" s="766">
        <v>230170</v>
      </c>
      <c r="AW47" s="290"/>
      <c r="AX47" s="766">
        <v>39.958300000000001</v>
      </c>
      <c r="AY47" s="290">
        <v>1438</v>
      </c>
      <c r="AZ47" s="290">
        <v>319</v>
      </c>
      <c r="BA47" s="290">
        <v>126</v>
      </c>
      <c r="BB47" s="290">
        <v>0</v>
      </c>
      <c r="BC47" s="290">
        <v>16181</v>
      </c>
      <c r="BD47" s="290"/>
      <c r="BE47" s="290">
        <v>229299.61551276999</v>
      </c>
      <c r="BF47" s="290">
        <v>0</v>
      </c>
      <c r="BG47" s="290">
        <v>6260.8496904301537</v>
      </c>
      <c r="BH47" s="290">
        <v>337.31924862725725</v>
      </c>
      <c r="BI47" s="290">
        <v>7211</v>
      </c>
      <c r="BJ47" s="290"/>
      <c r="BK47" s="290"/>
      <c r="BL47" s="290"/>
      <c r="BM47" s="290">
        <v>0</v>
      </c>
      <c r="BN47" s="290">
        <v>2739.7767200000003</v>
      </c>
      <c r="BO47" s="290">
        <v>-3231.8544195711634</v>
      </c>
      <c r="BP47" s="290">
        <v>356.10300000000001</v>
      </c>
      <c r="BQ47" s="290">
        <v>-190.97499999999999</v>
      </c>
      <c r="BR47" s="290">
        <v>-119.52290785003413</v>
      </c>
      <c r="BS47" s="290">
        <v>1.423</v>
      </c>
      <c r="BT47" s="290"/>
      <c r="BU47" s="290">
        <v>0</v>
      </c>
      <c r="BV47" s="290">
        <v>3000</v>
      </c>
      <c r="BW47" s="290">
        <v>-1593</v>
      </c>
      <c r="BX47" s="290">
        <v>762</v>
      </c>
      <c r="BY47" s="290">
        <v>212</v>
      </c>
      <c r="BZ47" s="290">
        <v>-1211</v>
      </c>
      <c r="CA47" s="290">
        <v>-3.9503925788028482</v>
      </c>
      <c r="CB47" s="290">
        <v>339</v>
      </c>
      <c r="CC47" s="290">
        <v>902</v>
      </c>
      <c r="CD47" s="290">
        <v>12</v>
      </c>
      <c r="CE47" s="290">
        <v>256</v>
      </c>
      <c r="CF47" s="290">
        <v>12</v>
      </c>
      <c r="CG47" s="290">
        <v>1</v>
      </c>
      <c r="CH47" s="290">
        <v>-8</v>
      </c>
      <c r="CI47" s="290">
        <v>-3087</v>
      </c>
      <c r="CJ47" s="290">
        <v>-6972</v>
      </c>
      <c r="CK47" s="290">
        <f>+innut22!E53+innut22!S53</f>
        <v>246099.74084493675</v>
      </c>
      <c r="CL47" s="290">
        <v>5799.9925443457223</v>
      </c>
      <c r="CM47" s="290">
        <v>6498.2521296412742</v>
      </c>
      <c r="CN47" s="290">
        <v>7184.1910267569137</v>
      </c>
      <c r="CP47" s="290">
        <f>+innut23!E53</f>
        <v>231679.00298555216</v>
      </c>
      <c r="CQ47" s="290"/>
      <c r="CV47" s="85">
        <f t="shared" si="1"/>
        <v>1.284</v>
      </c>
    </row>
    <row r="48" spans="1:100" ht="13">
      <c r="A48" s="1">
        <v>1566</v>
      </c>
      <c r="B48" s="2" t="s">
        <v>113</v>
      </c>
      <c r="C48" s="289">
        <v>5849</v>
      </c>
      <c r="D48" s="290">
        <v>99</v>
      </c>
      <c r="E48" s="290">
        <v>232</v>
      </c>
      <c r="F48" s="290">
        <v>620</v>
      </c>
      <c r="G48" s="290">
        <v>505</v>
      </c>
      <c r="H48" s="290">
        <v>3133</v>
      </c>
      <c r="I48" s="290">
        <v>906</v>
      </c>
      <c r="J48" s="290">
        <v>305</v>
      </c>
      <c r="K48" s="290">
        <v>65</v>
      </c>
      <c r="L48" s="290">
        <v>50</v>
      </c>
      <c r="M48" s="290">
        <v>551</v>
      </c>
      <c r="N48" s="290">
        <v>32</v>
      </c>
      <c r="O48" s="290">
        <v>40</v>
      </c>
      <c r="P48" s="624">
        <v>45886.340666670003</v>
      </c>
      <c r="Q48" s="624">
        <v>16228.723333329999</v>
      </c>
      <c r="R48" s="624">
        <v>30</v>
      </c>
      <c r="S48" s="290">
        <v>54</v>
      </c>
      <c r="T48" s="290">
        <v>448</v>
      </c>
      <c r="U48" s="958">
        <v>3.7501442975189157E-3</v>
      </c>
      <c r="V48" s="290">
        <v>3287.46866004</v>
      </c>
      <c r="W48" s="765">
        <v>0.74080703999999997</v>
      </c>
      <c r="X48" s="290">
        <v>480</v>
      </c>
      <c r="Y48" s="290"/>
      <c r="Z48" s="290">
        <f>innut22!E54</f>
        <v>178646.46705184993</v>
      </c>
      <c r="AA48" s="290">
        <v>0</v>
      </c>
      <c r="AB48" s="290">
        <v>146</v>
      </c>
      <c r="AC48" s="290">
        <v>662</v>
      </c>
      <c r="AD48" s="290"/>
      <c r="AE48" s="290">
        <v>0</v>
      </c>
      <c r="AF48" s="290">
        <v>0</v>
      </c>
      <c r="AG48" s="290">
        <v>5865</v>
      </c>
      <c r="AH48" s="290">
        <v>927</v>
      </c>
      <c r="AI48" s="290">
        <v>1053.4880000000001</v>
      </c>
      <c r="AJ48" s="290">
        <v>0</v>
      </c>
      <c r="AK48" s="290">
        <v>0</v>
      </c>
      <c r="AL48" s="290">
        <v>0</v>
      </c>
      <c r="AM48" s="957">
        <v>4.8554449999999999E-2</v>
      </c>
      <c r="AN48" s="290">
        <v>8254</v>
      </c>
      <c r="AO48" s="290">
        <v>1227.32006376</v>
      </c>
      <c r="AP48" s="290">
        <v>0</v>
      </c>
      <c r="AQ48" s="290">
        <v>0</v>
      </c>
      <c r="AR48" s="290">
        <v>-282.93136657000002</v>
      </c>
      <c r="AS48" s="290">
        <v>977</v>
      </c>
      <c r="AT48" s="290">
        <v>224</v>
      </c>
      <c r="AU48" s="290">
        <v>37</v>
      </c>
      <c r="AV48" s="766">
        <v>187507</v>
      </c>
      <c r="AW48" s="290"/>
      <c r="AX48" s="766">
        <v>49.624949999999998</v>
      </c>
      <c r="AY48" s="290">
        <v>1109</v>
      </c>
      <c r="AZ48" s="290">
        <v>202</v>
      </c>
      <c r="BA48" s="290">
        <v>97</v>
      </c>
      <c r="BB48" s="290">
        <v>0</v>
      </c>
      <c r="BC48" s="290">
        <v>10218</v>
      </c>
      <c r="BD48" s="290"/>
      <c r="BE48" s="290">
        <v>193018.56079349</v>
      </c>
      <c r="BF48" s="290">
        <v>0</v>
      </c>
      <c r="BG48" s="290">
        <v>5282.7048239073811</v>
      </c>
      <c r="BH48" s="290">
        <v>284.61919867582623</v>
      </c>
      <c r="BI48" s="290">
        <v>1589</v>
      </c>
      <c r="BJ48" s="290"/>
      <c r="BK48" s="290"/>
      <c r="BL48" s="290"/>
      <c r="BM48" s="290">
        <v>0</v>
      </c>
      <c r="BN48" s="290">
        <v>2335.2926599999996</v>
      </c>
      <c r="BO48" s="290">
        <v>-2732.8180753726751</v>
      </c>
      <c r="BP48" s="290">
        <v>314.024</v>
      </c>
      <c r="BQ48" s="290">
        <v>-168.40899999999999</v>
      </c>
      <c r="BR48" s="290">
        <v>-102.75787991982141</v>
      </c>
      <c r="BS48" s="290">
        <v>1.2569999999999999</v>
      </c>
      <c r="BT48" s="290"/>
      <c r="BU48" s="290">
        <v>0</v>
      </c>
      <c r="BV48" s="290">
        <v>2000</v>
      </c>
      <c r="BW48" s="290">
        <v>-1347</v>
      </c>
      <c r="BX48" s="290">
        <v>652</v>
      </c>
      <c r="BY48" s="290">
        <v>142</v>
      </c>
      <c r="BZ48" s="290">
        <v>-1024</v>
      </c>
      <c r="CA48" s="290">
        <v>-2.5887047075030978</v>
      </c>
      <c r="CB48" s="290">
        <v>228</v>
      </c>
      <c r="CC48" s="290">
        <v>763</v>
      </c>
      <c r="CD48" s="290">
        <v>8</v>
      </c>
      <c r="CE48" s="290">
        <v>216</v>
      </c>
      <c r="CF48" s="290">
        <v>10</v>
      </c>
      <c r="CG48" s="290">
        <v>1</v>
      </c>
      <c r="CH48" s="290">
        <v>-7</v>
      </c>
      <c r="CI48" s="290">
        <v>-2605</v>
      </c>
      <c r="CJ48" s="290">
        <v>-7014</v>
      </c>
      <c r="CK48" s="290">
        <f>+innut22!E54+innut22!S54</f>
        <v>178646.46705184993</v>
      </c>
      <c r="CL48" s="290">
        <v>0</v>
      </c>
      <c r="CM48" s="290">
        <v>0</v>
      </c>
      <c r="CN48" s="290">
        <v>0</v>
      </c>
      <c r="CP48" s="290">
        <f>+innut23!E54</f>
        <v>165719.93755231038</v>
      </c>
      <c r="CQ48" s="290"/>
      <c r="CV48" s="85">
        <f t="shared" si="1"/>
        <v>1.0860000000000001</v>
      </c>
    </row>
    <row r="49" spans="1:100" ht="13">
      <c r="A49" s="1">
        <v>1573</v>
      </c>
      <c r="B49" s="2" t="s">
        <v>116</v>
      </c>
      <c r="C49" s="289">
        <v>2120</v>
      </c>
      <c r="D49" s="290">
        <v>40</v>
      </c>
      <c r="E49" s="290">
        <v>74</v>
      </c>
      <c r="F49" s="290">
        <v>208</v>
      </c>
      <c r="G49" s="290">
        <v>169</v>
      </c>
      <c r="H49" s="290">
        <v>1142</v>
      </c>
      <c r="I49" s="290">
        <v>352</v>
      </c>
      <c r="J49" s="290">
        <v>102</v>
      </c>
      <c r="K49" s="290">
        <v>34</v>
      </c>
      <c r="L49" s="290">
        <v>17</v>
      </c>
      <c r="M49" s="290">
        <v>207</v>
      </c>
      <c r="N49" s="290">
        <v>13</v>
      </c>
      <c r="O49" s="290">
        <v>20</v>
      </c>
      <c r="P49" s="624">
        <v>35643.745000000003</v>
      </c>
      <c r="Q49" s="624">
        <v>9186.0310000000009</v>
      </c>
      <c r="R49" s="624">
        <v>11</v>
      </c>
      <c r="S49" s="290">
        <v>22</v>
      </c>
      <c r="T49" s="290">
        <v>199</v>
      </c>
      <c r="U49" s="958">
        <v>1.6334742356790238E-3</v>
      </c>
      <c r="V49" s="290">
        <v>1325.4666322400001</v>
      </c>
      <c r="W49" s="765">
        <v>1</v>
      </c>
      <c r="X49" s="290">
        <v>1100</v>
      </c>
      <c r="Y49" s="290"/>
      <c r="Z49" s="290">
        <f>innut22!E55</f>
        <v>70153.023130177069</v>
      </c>
      <c r="AA49" s="290">
        <v>0</v>
      </c>
      <c r="AB49" s="290">
        <v>55</v>
      </c>
      <c r="AC49" s="290">
        <v>390</v>
      </c>
      <c r="AD49" s="290"/>
      <c r="AE49" s="290">
        <v>0</v>
      </c>
      <c r="AF49" s="290">
        <v>0</v>
      </c>
      <c r="AG49" s="290">
        <v>2121</v>
      </c>
      <c r="AH49" s="290">
        <v>316</v>
      </c>
      <c r="AI49" s="290">
        <v>100</v>
      </c>
      <c r="AJ49" s="290">
        <v>0</v>
      </c>
      <c r="AK49" s="290">
        <v>0</v>
      </c>
      <c r="AL49" s="290">
        <v>0</v>
      </c>
      <c r="AM49" s="957">
        <v>1.6408499999999999E-2</v>
      </c>
      <c r="AN49" s="290">
        <v>0</v>
      </c>
      <c r="AO49" s="290">
        <v>494.84024331000001</v>
      </c>
      <c r="AP49" s="290">
        <v>0</v>
      </c>
      <c r="AQ49" s="290">
        <v>0</v>
      </c>
      <c r="AR49" s="290">
        <v>293.02290038000001</v>
      </c>
      <c r="AS49" s="290">
        <v>919</v>
      </c>
      <c r="AT49" s="290">
        <v>86</v>
      </c>
      <c r="AU49" s="290">
        <v>18</v>
      </c>
      <c r="AV49" s="766">
        <v>90106</v>
      </c>
      <c r="AW49" s="290"/>
      <c r="AX49" s="766">
        <v>14.12495</v>
      </c>
      <c r="AY49" s="290">
        <v>327</v>
      </c>
      <c r="AZ49" s="290">
        <v>48</v>
      </c>
      <c r="BA49" s="290">
        <v>31</v>
      </c>
      <c r="BB49" s="290">
        <v>6034</v>
      </c>
      <c r="BC49" s="290">
        <v>3834</v>
      </c>
      <c r="BD49" s="290"/>
      <c r="BE49" s="290">
        <v>89527.700548359993</v>
      </c>
      <c r="BF49" s="290">
        <v>0</v>
      </c>
      <c r="BG49" s="290">
        <v>1914.743413691853</v>
      </c>
      <c r="BH49" s="290">
        <v>103.16168596217331</v>
      </c>
      <c r="BI49" s="290">
        <v>706</v>
      </c>
      <c r="BJ49" s="290"/>
      <c r="BK49" s="290"/>
      <c r="BL49" s="290"/>
      <c r="BM49" s="290">
        <v>0</v>
      </c>
      <c r="BN49" s="290">
        <v>941.56105999999988</v>
      </c>
      <c r="BO49" s="290">
        <v>-988.2876620401438</v>
      </c>
      <c r="BP49" s="290">
        <v>98.082999999999998</v>
      </c>
      <c r="BQ49" s="290">
        <v>-52.600999999999999</v>
      </c>
      <c r="BR49" s="290">
        <v>-40.839596391442718</v>
      </c>
      <c r="BS49" s="290">
        <v>0.61099999999999999</v>
      </c>
      <c r="BT49" s="290"/>
      <c r="BU49" s="290">
        <v>0</v>
      </c>
      <c r="BV49" s="290">
        <v>1000</v>
      </c>
      <c r="BW49" s="290">
        <v>-487</v>
      </c>
      <c r="BX49" s="290">
        <v>258</v>
      </c>
      <c r="BY49" s="290">
        <v>56</v>
      </c>
      <c r="BZ49" s="290">
        <v>-370</v>
      </c>
      <c r="CA49" s="290">
        <v>-1.5268015684133616</v>
      </c>
      <c r="CB49" s="290">
        <v>90</v>
      </c>
      <c r="CC49" s="290">
        <v>276</v>
      </c>
      <c r="CD49" s="290">
        <v>3</v>
      </c>
      <c r="CE49" s="290">
        <v>78</v>
      </c>
      <c r="CF49" s="290">
        <v>5</v>
      </c>
      <c r="CG49" s="290">
        <v>0</v>
      </c>
      <c r="CH49" s="290">
        <v>-3</v>
      </c>
      <c r="CI49" s="290">
        <v>-944</v>
      </c>
      <c r="CJ49" s="290">
        <v>-2526</v>
      </c>
      <c r="CK49" s="290">
        <f>+innut22!E55+innut22!S55</f>
        <v>70153.023130177069</v>
      </c>
      <c r="CL49" s="290">
        <v>0</v>
      </c>
      <c r="CM49" s="290">
        <v>0</v>
      </c>
      <c r="CN49" s="290">
        <v>0</v>
      </c>
      <c r="CP49" s="290">
        <f>+innut23!E55</f>
        <v>66395.537610215673</v>
      </c>
      <c r="CQ49" s="290"/>
      <c r="CV49" s="85">
        <f t="shared" si="1"/>
        <v>0.39300000000000002</v>
      </c>
    </row>
    <row r="50" spans="1:100" ht="13">
      <c r="A50" s="1">
        <v>1576</v>
      </c>
      <c r="B50" s="2" t="s">
        <v>1498</v>
      </c>
      <c r="C50" s="289">
        <v>3384</v>
      </c>
      <c r="D50" s="290">
        <v>59</v>
      </c>
      <c r="E50" s="290">
        <v>121</v>
      </c>
      <c r="F50" s="290">
        <v>347</v>
      </c>
      <c r="G50" s="290">
        <v>285</v>
      </c>
      <c r="H50" s="290">
        <v>1857</v>
      </c>
      <c r="I50" s="290">
        <v>563</v>
      </c>
      <c r="J50" s="290">
        <v>160</v>
      </c>
      <c r="K50" s="290">
        <v>47</v>
      </c>
      <c r="L50" s="290">
        <v>26</v>
      </c>
      <c r="M50" s="290">
        <v>341</v>
      </c>
      <c r="N50" s="290">
        <v>52</v>
      </c>
      <c r="O50" s="290">
        <v>39</v>
      </c>
      <c r="P50" s="624">
        <v>64858.171333329999</v>
      </c>
      <c r="Q50" s="624">
        <v>24568.544666670001</v>
      </c>
      <c r="R50" s="624">
        <v>15</v>
      </c>
      <c r="S50" s="290">
        <v>36</v>
      </c>
      <c r="T50" s="290">
        <v>309</v>
      </c>
      <c r="U50" s="958">
        <v>2.7048134252543616E-3</v>
      </c>
      <c r="V50" s="290">
        <v>2067.4668890900002</v>
      </c>
      <c r="W50" s="765">
        <v>1</v>
      </c>
      <c r="X50" s="290">
        <v>0</v>
      </c>
      <c r="Y50" s="290"/>
      <c r="Z50" s="290">
        <f>innut22!E56</f>
        <v>112565.82364371736</v>
      </c>
      <c r="AA50" s="290">
        <v>0</v>
      </c>
      <c r="AB50" s="290">
        <v>70</v>
      </c>
      <c r="AC50" s="290">
        <v>96</v>
      </c>
      <c r="AD50" s="290"/>
      <c r="AE50" s="290">
        <v>0</v>
      </c>
      <c r="AF50" s="290">
        <v>16372</v>
      </c>
      <c r="AG50" s="290">
        <v>3439</v>
      </c>
      <c r="AH50" s="290">
        <v>532</v>
      </c>
      <c r="AI50" s="290">
        <v>190</v>
      </c>
      <c r="AJ50" s="290">
        <v>0</v>
      </c>
      <c r="AK50" s="290">
        <v>10809</v>
      </c>
      <c r="AL50" s="290">
        <v>0</v>
      </c>
      <c r="AM50" s="957">
        <v>3.6794640000000003E-2</v>
      </c>
      <c r="AN50" s="290">
        <v>5410</v>
      </c>
      <c r="AO50" s="290">
        <v>771.85331832999998</v>
      </c>
      <c r="AP50" s="290">
        <v>0</v>
      </c>
      <c r="AQ50" s="290">
        <v>-5324.3170731700002</v>
      </c>
      <c r="AR50" s="290">
        <v>4186.0828327099998</v>
      </c>
      <c r="AS50" s="290">
        <v>997</v>
      </c>
      <c r="AT50" s="290">
        <v>135</v>
      </c>
      <c r="AU50" s="290">
        <v>22</v>
      </c>
      <c r="AV50" s="766">
        <v>165936</v>
      </c>
      <c r="AW50" s="290"/>
      <c r="AX50" s="766">
        <v>23.916699999999999</v>
      </c>
      <c r="AY50" s="290">
        <v>612</v>
      </c>
      <c r="AZ50" s="290">
        <v>149</v>
      </c>
      <c r="BA50" s="290">
        <v>52</v>
      </c>
      <c r="BB50" s="290">
        <v>0</v>
      </c>
      <c r="BC50" s="290">
        <v>36089</v>
      </c>
      <c r="BD50" s="290"/>
      <c r="BE50" s="290">
        <v>156331.97078326001</v>
      </c>
      <c r="BF50" s="290">
        <v>0</v>
      </c>
      <c r="BG50" s="290">
        <v>3056.3640150628453</v>
      </c>
      <c r="BH50" s="290">
        <v>164.66940815848798</v>
      </c>
      <c r="BI50" s="290">
        <v>27809</v>
      </c>
      <c r="BJ50" s="290"/>
      <c r="BK50" s="290"/>
      <c r="BL50" s="290"/>
      <c r="BM50" s="290">
        <v>0</v>
      </c>
      <c r="BN50" s="290">
        <v>1468.6498200000001</v>
      </c>
      <c r="BO50" s="290">
        <v>-1602.4145543404313</v>
      </c>
      <c r="BP50" s="290">
        <v>162.929</v>
      </c>
      <c r="BQ50" s="290">
        <v>-87.378</v>
      </c>
      <c r="BR50" s="290">
        <v>-65.333097151033201</v>
      </c>
      <c r="BS50" s="290">
        <v>0.92400000000000004</v>
      </c>
      <c r="BT50" s="290"/>
      <c r="BU50" s="290">
        <v>0</v>
      </c>
      <c r="BV50" s="290">
        <v>1500</v>
      </c>
      <c r="BW50" s="290">
        <v>-790</v>
      </c>
      <c r="BX50" s="290">
        <v>427</v>
      </c>
      <c r="BY50" s="290">
        <v>93</v>
      </c>
      <c r="BZ50" s="290">
        <v>-600</v>
      </c>
      <c r="CA50" s="290">
        <v>-0.3771685085355756</v>
      </c>
      <c r="CB50" s="290">
        <v>150</v>
      </c>
      <c r="CC50" s="290">
        <v>447</v>
      </c>
      <c r="CD50" s="290">
        <v>5</v>
      </c>
      <c r="CE50" s="290">
        <v>125</v>
      </c>
      <c r="CF50" s="290">
        <v>8</v>
      </c>
      <c r="CG50" s="290">
        <v>1</v>
      </c>
      <c r="CH50" s="290">
        <v>-5</v>
      </c>
      <c r="CI50" s="290">
        <v>-1507</v>
      </c>
      <c r="CJ50" s="290">
        <v>-4166</v>
      </c>
      <c r="CK50" s="290">
        <f>+innut22!E56+innut22!S56</f>
        <v>112565.82364371736</v>
      </c>
      <c r="CL50" s="290">
        <v>13232.496272172861</v>
      </c>
      <c r="CM50" s="290">
        <v>15648.126064820637</v>
      </c>
      <c r="CN50" s="290">
        <v>18057.595513378459</v>
      </c>
      <c r="CP50" s="290">
        <f>+innut23!E56</f>
        <v>104652.62407836856</v>
      </c>
      <c r="CQ50" s="290"/>
      <c r="CV50" s="85">
        <f t="shared" si="1"/>
        <v>0.63700000000000001</v>
      </c>
    </row>
    <row r="51" spans="1:100" ht="13">
      <c r="A51" s="1">
        <v>1577</v>
      </c>
      <c r="B51" s="2" t="s">
        <v>1613</v>
      </c>
      <c r="C51" s="289">
        <v>10809</v>
      </c>
      <c r="D51" s="290">
        <v>212</v>
      </c>
      <c r="E51" s="290">
        <v>471</v>
      </c>
      <c r="F51" s="290">
        <v>1228</v>
      </c>
      <c r="G51" s="290">
        <v>1132</v>
      </c>
      <c r="H51" s="290">
        <v>5726</v>
      </c>
      <c r="I51" s="290">
        <v>1315</v>
      </c>
      <c r="J51" s="290">
        <v>469</v>
      </c>
      <c r="K51" s="290">
        <v>114</v>
      </c>
      <c r="L51" s="290">
        <v>71</v>
      </c>
      <c r="M51" s="290">
        <v>741</v>
      </c>
      <c r="N51" s="290">
        <v>206</v>
      </c>
      <c r="O51" s="290">
        <v>80</v>
      </c>
      <c r="P51" s="624">
        <v>102837.76466667</v>
      </c>
      <c r="Q51" s="624">
        <v>26602.988000000001</v>
      </c>
      <c r="R51" s="624">
        <v>40</v>
      </c>
      <c r="S51" s="290">
        <v>106</v>
      </c>
      <c r="T51" s="290">
        <v>733</v>
      </c>
      <c r="U51" s="958">
        <v>4.5264876255885792E-3</v>
      </c>
      <c r="V51" s="290">
        <v>3959.05962903</v>
      </c>
      <c r="W51" s="765">
        <v>0.64463598</v>
      </c>
      <c r="X51" s="290">
        <v>0</v>
      </c>
      <c r="Y51" s="290"/>
      <c r="Z51" s="290">
        <f>innut22!E57</f>
        <v>323642.49136831838</v>
      </c>
      <c r="AA51" s="290">
        <v>0</v>
      </c>
      <c r="AB51" s="290">
        <v>184</v>
      </c>
      <c r="AC51" s="290">
        <v>2062</v>
      </c>
      <c r="AD51" s="290"/>
      <c r="AE51" s="290">
        <v>0</v>
      </c>
      <c r="AF51" s="290">
        <v>21912</v>
      </c>
      <c r="AG51" s="290">
        <v>10667</v>
      </c>
      <c r="AH51" s="290">
        <v>1883</v>
      </c>
      <c r="AI51" s="290">
        <v>1090</v>
      </c>
      <c r="AJ51" s="290">
        <v>0</v>
      </c>
      <c r="AK51" s="290">
        <v>0</v>
      </c>
      <c r="AL51" s="290">
        <v>0</v>
      </c>
      <c r="AM51" s="957">
        <v>0.16572732000000001</v>
      </c>
      <c r="AN51" s="290">
        <v>0</v>
      </c>
      <c r="AO51" s="290">
        <v>2136.8301959099999</v>
      </c>
      <c r="AP51" s="290">
        <v>0</v>
      </c>
      <c r="AQ51" s="290">
        <v>0</v>
      </c>
      <c r="AR51" s="290">
        <v>-514.58293046999995</v>
      </c>
      <c r="AS51" s="290">
        <v>2030</v>
      </c>
      <c r="AT51" s="290">
        <v>376</v>
      </c>
      <c r="AU51" s="290">
        <v>109</v>
      </c>
      <c r="AV51" s="766">
        <v>328684</v>
      </c>
      <c r="AW51" s="290"/>
      <c r="AX51" s="766">
        <v>84.541650000000004</v>
      </c>
      <c r="AY51" s="290">
        <v>3370</v>
      </c>
      <c r="AZ51" s="290">
        <v>470</v>
      </c>
      <c r="BA51" s="290">
        <v>178</v>
      </c>
      <c r="BB51" s="290">
        <v>0</v>
      </c>
      <c r="BC51" s="290">
        <v>39123</v>
      </c>
      <c r="BD51" s="290"/>
      <c r="BE51" s="290">
        <v>331263.17454479</v>
      </c>
      <c r="BF51" s="290">
        <v>0</v>
      </c>
      <c r="BG51" s="290">
        <v>9762.4818672619058</v>
      </c>
      <c r="BH51" s="290">
        <v>525.97861488921296</v>
      </c>
      <c r="BI51" s="290">
        <v>25857</v>
      </c>
      <c r="BJ51" s="290"/>
      <c r="BK51" s="290"/>
      <c r="BL51" s="290"/>
      <c r="BM51" s="290">
        <v>4099</v>
      </c>
      <c r="BN51" s="290">
        <v>4065.8700400000002</v>
      </c>
      <c r="BO51" s="290">
        <v>-4970.3274356351785</v>
      </c>
      <c r="BP51" s="290">
        <v>650.73400000000004</v>
      </c>
      <c r="BQ51" s="290">
        <v>-348.98399999999998</v>
      </c>
      <c r="BR51" s="290">
        <v>-197.85868127450033</v>
      </c>
      <c r="BS51" s="290">
        <v>2.129</v>
      </c>
      <c r="BT51" s="290"/>
      <c r="BU51" s="290">
        <v>0</v>
      </c>
      <c r="BV51" s="290">
        <v>3500</v>
      </c>
      <c r="BW51" s="290">
        <v>-2450</v>
      </c>
      <c r="BX51" s="290">
        <v>1269</v>
      </c>
      <c r="BY51" s="290">
        <v>275</v>
      </c>
      <c r="BZ51" s="290">
        <v>-1862</v>
      </c>
      <c r="CA51" s="290">
        <v>-7.5629230903214193</v>
      </c>
      <c r="CB51" s="290">
        <v>441</v>
      </c>
      <c r="CC51" s="290">
        <v>1387</v>
      </c>
      <c r="CD51" s="290">
        <v>16</v>
      </c>
      <c r="CE51" s="290">
        <v>398</v>
      </c>
      <c r="CF51" s="290">
        <v>17</v>
      </c>
      <c r="CG51" s="290">
        <v>2</v>
      </c>
      <c r="CH51" s="290">
        <v>-11</v>
      </c>
      <c r="CI51" s="290">
        <v>-4814</v>
      </c>
      <c r="CJ51" s="290">
        <v>-12853</v>
      </c>
      <c r="CK51" s="290">
        <f>+innut22!E57+innut22!S57</f>
        <v>323642.49136831838</v>
      </c>
      <c r="CL51" s="290">
        <v>0</v>
      </c>
      <c r="CM51" s="290">
        <v>0</v>
      </c>
      <c r="CN51" s="290">
        <v>0</v>
      </c>
      <c r="CP51" s="290">
        <f>+innut23!E57</f>
        <v>307688.32642814511</v>
      </c>
      <c r="CQ51" s="290"/>
      <c r="CV51" s="85">
        <f t="shared" si="1"/>
        <v>1.9750000000000001</v>
      </c>
    </row>
    <row r="52" spans="1:100" ht="13">
      <c r="A52" s="1">
        <v>1578</v>
      </c>
      <c r="B52" s="2" t="s">
        <v>1614</v>
      </c>
      <c r="C52" s="289">
        <v>2491</v>
      </c>
      <c r="D52" s="290">
        <v>36</v>
      </c>
      <c r="E52" s="290">
        <v>71</v>
      </c>
      <c r="F52" s="290">
        <v>286</v>
      </c>
      <c r="G52" s="290">
        <v>251</v>
      </c>
      <c r="H52" s="290">
        <v>1287</v>
      </c>
      <c r="I52" s="290">
        <v>375</v>
      </c>
      <c r="J52" s="290">
        <v>158</v>
      </c>
      <c r="K52" s="290">
        <v>47</v>
      </c>
      <c r="L52" s="290">
        <v>18</v>
      </c>
      <c r="M52" s="290">
        <v>228</v>
      </c>
      <c r="N52" s="290">
        <v>15</v>
      </c>
      <c r="O52" s="290">
        <v>19</v>
      </c>
      <c r="P52" s="624">
        <v>54882.241333329999</v>
      </c>
      <c r="Q52" s="624">
        <v>9912.2016666700001</v>
      </c>
      <c r="R52" s="624">
        <v>11</v>
      </c>
      <c r="S52" s="290">
        <v>22</v>
      </c>
      <c r="T52" s="290">
        <v>194</v>
      </c>
      <c r="U52" s="958">
        <v>2.571065743512672E-3</v>
      </c>
      <c r="V52" s="290">
        <v>1279.92103359</v>
      </c>
      <c r="W52" s="765">
        <v>0.98822911000000002</v>
      </c>
      <c r="X52" s="290">
        <v>130</v>
      </c>
      <c r="Y52" s="290"/>
      <c r="Z52" s="290">
        <f>innut22!E58</f>
        <v>81179.113141954018</v>
      </c>
      <c r="AA52" s="290">
        <v>0</v>
      </c>
      <c r="AB52" s="290">
        <v>41</v>
      </c>
      <c r="AC52" s="290">
        <v>0</v>
      </c>
      <c r="AD52" s="290"/>
      <c r="AE52" s="290">
        <v>0</v>
      </c>
      <c r="AF52" s="290">
        <v>21912</v>
      </c>
      <c r="AG52" s="290">
        <v>2511</v>
      </c>
      <c r="AH52" s="290">
        <v>415</v>
      </c>
      <c r="AI52" s="290">
        <v>406.00799999999998</v>
      </c>
      <c r="AJ52" s="290">
        <v>0</v>
      </c>
      <c r="AK52" s="290">
        <v>0</v>
      </c>
      <c r="AL52" s="290">
        <v>0</v>
      </c>
      <c r="AM52" s="957">
        <v>1.97904E-2</v>
      </c>
      <c r="AN52" s="290">
        <v>0</v>
      </c>
      <c r="AO52" s="290">
        <v>594.09242623</v>
      </c>
      <c r="AP52" s="290">
        <v>0</v>
      </c>
      <c r="AQ52" s="290">
        <v>0</v>
      </c>
      <c r="AR52" s="290">
        <v>-121.13225258999999</v>
      </c>
      <c r="AS52" s="290">
        <v>506</v>
      </c>
      <c r="AT52" s="290">
        <v>89</v>
      </c>
      <c r="AU52" s="290">
        <v>16</v>
      </c>
      <c r="AV52" s="766">
        <v>127674</v>
      </c>
      <c r="AW52" s="290"/>
      <c r="AX52" s="766">
        <v>11.87505</v>
      </c>
      <c r="AY52" s="290">
        <v>476</v>
      </c>
      <c r="AZ52" s="290">
        <v>87</v>
      </c>
      <c r="BA52" s="290">
        <v>50</v>
      </c>
      <c r="BB52" s="290">
        <v>6034</v>
      </c>
      <c r="BC52" s="290">
        <v>25848</v>
      </c>
      <c r="BD52" s="290"/>
      <c r="BE52" s="290">
        <v>127418.37916683</v>
      </c>
      <c r="BF52" s="290">
        <v>0</v>
      </c>
      <c r="BG52" s="290">
        <v>2249.8235110879273</v>
      </c>
      <c r="BH52" s="290">
        <v>121.21498100555364</v>
      </c>
      <c r="BI52" s="290">
        <v>22327</v>
      </c>
      <c r="BJ52" s="290"/>
      <c r="BK52" s="290"/>
      <c r="BL52" s="290"/>
      <c r="BM52" s="290">
        <v>0</v>
      </c>
      <c r="BN52" s="290">
        <v>1130.4139200000002</v>
      </c>
      <c r="BO52" s="290">
        <v>-1170.0095800956158</v>
      </c>
      <c r="BP52" s="290">
        <v>96.590999999999994</v>
      </c>
      <c r="BQ52" s="290">
        <v>-51.801000000000002</v>
      </c>
      <c r="BR52" s="290">
        <v>-53.90933990438441</v>
      </c>
      <c r="BS52" s="290">
        <v>0.71499999999999997</v>
      </c>
      <c r="BT52" s="290"/>
      <c r="BU52" s="290">
        <v>0</v>
      </c>
      <c r="BV52" s="290">
        <v>1500</v>
      </c>
      <c r="BW52" s="290">
        <v>-577</v>
      </c>
      <c r="BX52" s="290">
        <v>340</v>
      </c>
      <c r="BY52" s="290">
        <v>57</v>
      </c>
      <c r="BZ52" s="290">
        <v>-438</v>
      </c>
      <c r="CA52" s="290">
        <v>0</v>
      </c>
      <c r="CB52" s="290">
        <v>91</v>
      </c>
      <c r="CC52" s="290">
        <v>327</v>
      </c>
      <c r="CD52" s="290">
        <v>3</v>
      </c>
      <c r="CE52" s="290">
        <v>92</v>
      </c>
      <c r="CF52" s="290">
        <v>6</v>
      </c>
      <c r="CG52" s="290">
        <v>0</v>
      </c>
      <c r="CH52" s="290">
        <v>-4</v>
      </c>
      <c r="CI52" s="290">
        <v>-1109</v>
      </c>
      <c r="CJ52" s="290">
        <v>-2988</v>
      </c>
      <c r="CK52" s="290">
        <f>+innut22!E58+innut22!S58</f>
        <v>81179.113141954018</v>
      </c>
      <c r="CL52" s="290">
        <v>0</v>
      </c>
      <c r="CM52" s="290">
        <v>0</v>
      </c>
      <c r="CN52" s="290">
        <v>0</v>
      </c>
      <c r="CP52" s="290">
        <f>+innut23!E58</f>
        <v>76596.065141737417</v>
      </c>
      <c r="CQ52" s="290"/>
      <c r="CV52" s="85">
        <f t="shared" si="1"/>
        <v>0.46500000000000002</v>
      </c>
    </row>
    <row r="53" spans="1:100" ht="13">
      <c r="A53" s="1">
        <v>1579</v>
      </c>
      <c r="B53" s="2" t="s">
        <v>1615</v>
      </c>
      <c r="C53" s="289">
        <v>13287</v>
      </c>
      <c r="D53" s="290">
        <v>246</v>
      </c>
      <c r="E53" s="290">
        <v>635</v>
      </c>
      <c r="F53" s="290">
        <v>1689</v>
      </c>
      <c r="G53" s="290">
        <v>1150</v>
      </c>
      <c r="H53" s="290">
        <v>7255</v>
      </c>
      <c r="I53" s="290">
        <v>1726</v>
      </c>
      <c r="J53" s="290">
        <v>477</v>
      </c>
      <c r="K53" s="290">
        <v>116</v>
      </c>
      <c r="L53" s="290">
        <v>97</v>
      </c>
      <c r="M53" s="290">
        <v>950</v>
      </c>
      <c r="N53" s="290">
        <v>49</v>
      </c>
      <c r="O53" s="290">
        <v>114</v>
      </c>
      <c r="P53" s="624">
        <v>87540.070666669999</v>
      </c>
      <c r="Q53" s="624">
        <v>38378.194000000003</v>
      </c>
      <c r="R53" s="624">
        <v>61</v>
      </c>
      <c r="S53" s="290">
        <v>133</v>
      </c>
      <c r="T53" s="290">
        <v>1068</v>
      </c>
      <c r="U53" s="958">
        <v>6.0774713641500401E-3</v>
      </c>
      <c r="V53" s="290">
        <v>6688.3999339900001</v>
      </c>
      <c r="W53" s="765">
        <v>0.68821743999999996</v>
      </c>
      <c r="X53" s="290">
        <v>1200</v>
      </c>
      <c r="Y53" s="290"/>
      <c r="Z53" s="290">
        <f>innut22!E59</f>
        <v>421776.61895532976</v>
      </c>
      <c r="AA53" s="290">
        <v>0</v>
      </c>
      <c r="AB53" s="290">
        <v>246</v>
      </c>
      <c r="AC53" s="290">
        <v>1817</v>
      </c>
      <c r="AD53" s="290"/>
      <c r="AE53" s="290">
        <v>0</v>
      </c>
      <c r="AF53" s="290">
        <v>15488</v>
      </c>
      <c r="AG53" s="290">
        <v>13294</v>
      </c>
      <c r="AH53" s="290">
        <v>2530</v>
      </c>
      <c r="AI53" s="290">
        <v>2224</v>
      </c>
      <c r="AJ53" s="290">
        <v>0</v>
      </c>
      <c r="AK53" s="290">
        <v>5244</v>
      </c>
      <c r="AL53" s="290">
        <v>0</v>
      </c>
      <c r="AM53" s="957">
        <v>0.30271595000000001</v>
      </c>
      <c r="AN53" s="290">
        <v>0</v>
      </c>
      <c r="AO53" s="290">
        <v>2690.7592014799998</v>
      </c>
      <c r="AP53" s="290">
        <v>0</v>
      </c>
      <c r="AQ53" s="290">
        <v>0</v>
      </c>
      <c r="AR53" s="290">
        <v>-641.31109756000001</v>
      </c>
      <c r="AS53" s="290">
        <v>3548</v>
      </c>
      <c r="AT53" s="290">
        <v>664</v>
      </c>
      <c r="AU53" s="290">
        <v>150</v>
      </c>
      <c r="AV53" s="766">
        <v>418801</v>
      </c>
      <c r="AW53" s="290"/>
      <c r="AX53" s="766">
        <v>62.208350000000003</v>
      </c>
      <c r="AY53" s="290">
        <v>2232</v>
      </c>
      <c r="AZ53" s="290">
        <v>539</v>
      </c>
      <c r="BA53" s="290">
        <v>343</v>
      </c>
      <c r="BB53" s="290">
        <v>0</v>
      </c>
      <c r="BC53" s="290">
        <v>42066</v>
      </c>
      <c r="BD53" s="290"/>
      <c r="BE53" s="290">
        <v>416225.01542282</v>
      </c>
      <c r="BF53" s="290">
        <v>0</v>
      </c>
      <c r="BG53" s="290">
        <v>12000.564027228138</v>
      </c>
      <c r="BH53" s="290">
        <v>646.56100065065891</v>
      </c>
      <c r="BI53" s="290">
        <v>25079</v>
      </c>
      <c r="BJ53" s="290"/>
      <c r="BK53" s="290"/>
      <c r="BL53" s="290"/>
      <c r="BM53" s="290">
        <v>4276</v>
      </c>
      <c r="BN53" s="290">
        <v>5119.8626999999997</v>
      </c>
      <c r="BO53" s="290">
        <v>-6194.3876375113969</v>
      </c>
      <c r="BP53" s="290">
        <v>778.08100000000002</v>
      </c>
      <c r="BQ53" s="290">
        <v>-417.279</v>
      </c>
      <c r="BR53" s="290">
        <v>-265.73914643864526</v>
      </c>
      <c r="BS53" s="290">
        <v>2.569</v>
      </c>
      <c r="BT53" s="290"/>
      <c r="BU53" s="290">
        <v>0</v>
      </c>
      <c r="BV53" s="290">
        <v>5000</v>
      </c>
      <c r="BW53" s="290">
        <v>-3053</v>
      </c>
      <c r="BX53" s="290">
        <v>1714</v>
      </c>
      <c r="BY53" s="290">
        <v>347</v>
      </c>
      <c r="BZ53" s="290">
        <v>-2321</v>
      </c>
      <c r="CA53" s="290">
        <v>-7.1069160499575901</v>
      </c>
      <c r="CB53" s="290">
        <v>556</v>
      </c>
      <c r="CC53" s="290">
        <v>1729</v>
      </c>
      <c r="CD53" s="290">
        <v>20</v>
      </c>
      <c r="CE53" s="290">
        <v>490</v>
      </c>
      <c r="CF53" s="290">
        <v>21</v>
      </c>
      <c r="CG53" s="290">
        <v>3</v>
      </c>
      <c r="CH53" s="290">
        <v>-14</v>
      </c>
      <c r="CI53" s="290">
        <v>-5918</v>
      </c>
      <c r="CJ53" s="290">
        <v>-15849</v>
      </c>
      <c r="CK53" s="290">
        <f>+innut22!E59+innut22!S59</f>
        <v>421776.61895532976</v>
      </c>
      <c r="CL53" s="290">
        <v>5788.5214749865936</v>
      </c>
      <c r="CM53" s="290">
        <v>6309.4341219370244</v>
      </c>
      <c r="CN53" s="290">
        <v>6813.3551077330549</v>
      </c>
      <c r="CP53" s="290">
        <f>+innut23!E59</f>
        <v>396875.17348354292</v>
      </c>
      <c r="CQ53" s="290"/>
      <c r="CV53" s="85">
        <f t="shared" si="1"/>
        <v>2.4609999999999999</v>
      </c>
    </row>
    <row r="54" spans="1:100" ht="13">
      <c r="A54" s="1">
        <v>1804</v>
      </c>
      <c r="B54" s="2" t="s">
        <v>174</v>
      </c>
      <c r="C54" s="289">
        <v>52803</v>
      </c>
      <c r="D54" s="290">
        <v>1061</v>
      </c>
      <c r="E54" s="290">
        <v>2156</v>
      </c>
      <c r="F54" s="290">
        <v>6242</v>
      </c>
      <c r="G54" s="290">
        <v>4480</v>
      </c>
      <c r="H54" s="290">
        <v>30894</v>
      </c>
      <c r="I54" s="290">
        <v>5703</v>
      </c>
      <c r="J54" s="290">
        <v>1781</v>
      </c>
      <c r="K54" s="290">
        <v>350</v>
      </c>
      <c r="L54" s="290">
        <v>389</v>
      </c>
      <c r="M54" s="290">
        <v>3345</v>
      </c>
      <c r="N54" s="290">
        <v>1036</v>
      </c>
      <c r="O54" s="290">
        <v>349</v>
      </c>
      <c r="P54" s="624">
        <v>177488.18533333001</v>
      </c>
      <c r="Q54" s="624">
        <v>62149.408000000003</v>
      </c>
      <c r="R54" s="624">
        <v>188</v>
      </c>
      <c r="S54" s="290">
        <v>601</v>
      </c>
      <c r="T54" s="290">
        <v>4896</v>
      </c>
      <c r="U54" s="958">
        <v>3.4802805135244318E-3</v>
      </c>
      <c r="V54" s="290">
        <v>9636.4461945200001</v>
      </c>
      <c r="W54" s="765">
        <v>0.56134479999999998</v>
      </c>
      <c r="X54" s="290">
        <v>0</v>
      </c>
      <c r="Y54" s="290"/>
      <c r="Z54" s="290">
        <f>innut22!E60</f>
        <v>2041003.0969496614</v>
      </c>
      <c r="AA54" s="290">
        <v>0</v>
      </c>
      <c r="AB54" s="290">
        <v>1220</v>
      </c>
      <c r="AC54" s="290">
        <v>9979</v>
      </c>
      <c r="AD54" s="290"/>
      <c r="AE54" s="290">
        <v>0</v>
      </c>
      <c r="AF54" s="290">
        <v>6550</v>
      </c>
      <c r="AG54" s="290">
        <v>52667</v>
      </c>
      <c r="AH54" s="290">
        <v>9174</v>
      </c>
      <c r="AI54" s="290">
        <v>7325</v>
      </c>
      <c r="AJ54" s="290">
        <v>0</v>
      </c>
      <c r="AK54" s="290">
        <v>0</v>
      </c>
      <c r="AL54" s="290">
        <v>97814</v>
      </c>
      <c r="AM54" s="957">
        <v>0.65601429</v>
      </c>
      <c r="AN54" s="290">
        <v>0</v>
      </c>
      <c r="AO54" s="290">
        <v>9681.6581998099991</v>
      </c>
      <c r="AP54" s="290">
        <v>0</v>
      </c>
      <c r="AQ54" s="290">
        <v>-3195.7560975599999</v>
      </c>
      <c r="AR54" s="290">
        <v>-2540.6899033499999</v>
      </c>
      <c r="AS54" s="290">
        <v>6602</v>
      </c>
      <c r="AT54" s="290">
        <v>2404</v>
      </c>
      <c r="AU54" s="290">
        <v>386</v>
      </c>
      <c r="AV54" s="766">
        <v>1347883</v>
      </c>
      <c r="AW54" s="290"/>
      <c r="AX54" s="766">
        <v>403.24995000000001</v>
      </c>
      <c r="AY54" s="290">
        <v>16006</v>
      </c>
      <c r="AZ54" s="290">
        <v>1953</v>
      </c>
      <c r="BA54" s="290">
        <v>1160</v>
      </c>
      <c r="BB54" s="290">
        <v>0</v>
      </c>
      <c r="BC54" s="290">
        <v>94010</v>
      </c>
      <c r="BD54" s="290"/>
      <c r="BE54" s="290">
        <v>1337555.4546757999</v>
      </c>
      <c r="BF54" s="290">
        <v>0</v>
      </c>
      <c r="BG54" s="290">
        <v>47690.658713759869</v>
      </c>
      <c r="BH54" s="290">
        <v>2569.4558980474708</v>
      </c>
      <c r="BI54" s="290">
        <v>25703</v>
      </c>
      <c r="BJ54" s="290"/>
      <c r="BK54" s="290"/>
      <c r="BL54" s="290"/>
      <c r="BM54" s="290">
        <v>0</v>
      </c>
      <c r="BN54" s="290">
        <v>18421.84936</v>
      </c>
      <c r="BO54" s="290">
        <v>-24540.380149301393</v>
      </c>
      <c r="BP54" s="290">
        <v>3006.386</v>
      </c>
      <c r="BQ54" s="290">
        <v>-1612.3030000000001</v>
      </c>
      <c r="BR54" s="290">
        <v>-946.00944533285303</v>
      </c>
      <c r="BS54" s="290">
        <v>8.9339999999999993</v>
      </c>
      <c r="BT54" s="290"/>
      <c r="BU54" s="290">
        <v>0</v>
      </c>
      <c r="BV54" s="290">
        <v>11000</v>
      </c>
      <c r="BW54" s="290">
        <v>-12095</v>
      </c>
      <c r="BX54" s="290">
        <v>6082</v>
      </c>
      <c r="BY54" s="290">
        <v>1566</v>
      </c>
      <c r="BZ54" s="290">
        <v>-9193</v>
      </c>
      <c r="CA54" s="290">
        <v>-918.47676536575455</v>
      </c>
      <c r="CB54" s="290">
        <v>2513</v>
      </c>
      <c r="CC54" s="290">
        <v>6849</v>
      </c>
      <c r="CD54" s="290">
        <v>92</v>
      </c>
      <c r="CE54" s="290">
        <v>1947</v>
      </c>
      <c r="CF54" s="290">
        <v>73</v>
      </c>
      <c r="CG54" s="290">
        <v>10</v>
      </c>
      <c r="CH54" s="290">
        <v>-47</v>
      </c>
      <c r="CI54" s="290">
        <v>-23518</v>
      </c>
      <c r="CJ54" s="290">
        <v>-62223</v>
      </c>
      <c r="CK54" s="290">
        <f>+innut22!E60+innut22!S60</f>
        <v>2041003.0969496614</v>
      </c>
      <c r="CL54" s="290">
        <v>0</v>
      </c>
      <c r="CM54" s="290">
        <v>0</v>
      </c>
      <c r="CN54" s="290">
        <v>0</v>
      </c>
      <c r="CP54" s="290">
        <f>+innut23!E60</f>
        <v>1879909.3948167902</v>
      </c>
      <c r="CQ54" s="290"/>
      <c r="CV54" s="85">
        <f t="shared" si="1"/>
        <v>9.75</v>
      </c>
    </row>
    <row r="55" spans="1:100" ht="13">
      <c r="A55" s="1">
        <v>1806</v>
      </c>
      <c r="B55" s="2" t="s">
        <v>1616</v>
      </c>
      <c r="C55" s="289">
        <v>21530</v>
      </c>
      <c r="D55" s="290">
        <v>376</v>
      </c>
      <c r="E55" s="290">
        <v>862</v>
      </c>
      <c r="F55" s="290">
        <v>2333</v>
      </c>
      <c r="G55" s="290">
        <v>1671</v>
      </c>
      <c r="H55" s="290">
        <v>12096</v>
      </c>
      <c r="I55" s="290">
        <v>2974</v>
      </c>
      <c r="J55" s="290">
        <v>1019</v>
      </c>
      <c r="K55" s="290">
        <v>245</v>
      </c>
      <c r="L55" s="290">
        <v>180</v>
      </c>
      <c r="M55" s="290">
        <v>1981</v>
      </c>
      <c r="N55" s="290">
        <v>300</v>
      </c>
      <c r="O55" s="290">
        <v>144</v>
      </c>
      <c r="P55" s="624">
        <v>157737.52600000001</v>
      </c>
      <c r="Q55" s="624">
        <v>29290.562999999998</v>
      </c>
      <c r="R55" s="624">
        <v>100</v>
      </c>
      <c r="S55" s="290">
        <v>246</v>
      </c>
      <c r="T55" s="290">
        <v>2067</v>
      </c>
      <c r="U55" s="958">
        <v>2.647909590570163E-3</v>
      </c>
      <c r="V55" s="290">
        <v>833.00005923000003</v>
      </c>
      <c r="W55" s="765">
        <v>0.66442274000000001</v>
      </c>
      <c r="X55" s="290">
        <v>0</v>
      </c>
      <c r="Y55" s="290"/>
      <c r="Z55" s="290">
        <f>innut22!E61</f>
        <v>724694.33049844857</v>
      </c>
      <c r="AA55" s="290">
        <v>0</v>
      </c>
      <c r="AB55" s="290">
        <v>547</v>
      </c>
      <c r="AC55" s="290">
        <v>3104</v>
      </c>
      <c r="AD55" s="290"/>
      <c r="AE55" s="290">
        <v>0</v>
      </c>
      <c r="AF55" s="290">
        <v>32288</v>
      </c>
      <c r="AG55" s="290">
        <v>21576</v>
      </c>
      <c r="AH55" s="290">
        <v>3469</v>
      </c>
      <c r="AI55" s="290">
        <v>3460</v>
      </c>
      <c r="AJ55" s="290">
        <v>1000</v>
      </c>
      <c r="AK55" s="290">
        <v>12427</v>
      </c>
      <c r="AL55" s="290">
        <v>40311</v>
      </c>
      <c r="AM55" s="957">
        <v>0.34007649000000001</v>
      </c>
      <c r="AN55" s="290">
        <v>0</v>
      </c>
      <c r="AO55" s="290">
        <v>4302.4371874600001</v>
      </c>
      <c r="AP55" s="290">
        <v>0</v>
      </c>
      <c r="AQ55" s="290">
        <v>0</v>
      </c>
      <c r="AR55" s="290">
        <v>-1040.8400963500001</v>
      </c>
      <c r="AS55" s="290">
        <v>5855</v>
      </c>
      <c r="AT55" s="290">
        <v>972</v>
      </c>
      <c r="AU55" s="290">
        <v>192</v>
      </c>
      <c r="AV55" s="766">
        <v>693267</v>
      </c>
      <c r="AW55" s="290"/>
      <c r="AX55" s="766">
        <v>128.95830000000001</v>
      </c>
      <c r="AY55" s="290">
        <v>5155</v>
      </c>
      <c r="AZ55" s="290">
        <v>855</v>
      </c>
      <c r="BA55" s="290">
        <v>459</v>
      </c>
      <c r="BB55" s="290">
        <v>0</v>
      </c>
      <c r="BC55" s="290">
        <v>77006</v>
      </c>
      <c r="BD55" s="290"/>
      <c r="BE55" s="290">
        <v>692753.16618178994</v>
      </c>
      <c r="BF55" s="290">
        <v>0</v>
      </c>
      <c r="BG55" s="290">
        <v>19445.483819238489</v>
      </c>
      <c r="BH55" s="290">
        <v>1047.6750465875432</v>
      </c>
      <c r="BI55" s="290">
        <v>51288</v>
      </c>
      <c r="BJ55" s="290"/>
      <c r="BK55" s="290"/>
      <c r="BL55" s="290"/>
      <c r="BM55" s="290">
        <v>4860</v>
      </c>
      <c r="BN55" s="290">
        <v>8186.4953400000004</v>
      </c>
      <c r="BO55" s="290">
        <v>-10053.415651191959</v>
      </c>
      <c r="BP55" s="290">
        <v>1144.8620000000001</v>
      </c>
      <c r="BQ55" s="290">
        <v>-613.98099999999999</v>
      </c>
      <c r="BR55" s="290">
        <v>-366.47981056229054</v>
      </c>
      <c r="BS55" s="290">
        <v>4.0650000000000004</v>
      </c>
      <c r="BT55" s="290"/>
      <c r="BU55" s="290">
        <v>0</v>
      </c>
      <c r="BV55" s="290">
        <v>5000</v>
      </c>
      <c r="BW55" s="290">
        <v>-4955</v>
      </c>
      <c r="BX55" s="290">
        <v>2347</v>
      </c>
      <c r="BY55" s="290">
        <v>641</v>
      </c>
      <c r="BZ55" s="290">
        <v>-3766</v>
      </c>
      <c r="CA55" s="290">
        <v>-484.54587824575083</v>
      </c>
      <c r="CB55" s="290">
        <v>1028</v>
      </c>
      <c r="CC55" s="290">
        <v>2806</v>
      </c>
      <c r="CD55" s="290">
        <v>38</v>
      </c>
      <c r="CE55" s="290">
        <v>794</v>
      </c>
      <c r="CF55" s="290">
        <v>33</v>
      </c>
      <c r="CG55" s="290">
        <v>4</v>
      </c>
      <c r="CH55" s="290">
        <v>-22</v>
      </c>
      <c r="CI55" s="290">
        <v>-9589</v>
      </c>
      <c r="CJ55" s="290">
        <v>-25977</v>
      </c>
      <c r="CK55" s="290">
        <f>+innut22!E61+innut22!S61</f>
        <v>724694.33049844857</v>
      </c>
      <c r="CL55" s="290">
        <v>14085.453484871257</v>
      </c>
      <c r="CM55" s="290">
        <v>15634.159184919461</v>
      </c>
      <c r="CN55" s="290">
        <v>17149.020270096858</v>
      </c>
      <c r="CP55" s="290">
        <f>+innut23!E61</f>
        <v>677554.99724408111</v>
      </c>
      <c r="CQ55" s="290"/>
      <c r="CV55" s="85">
        <f t="shared" si="1"/>
        <v>3.9940000000000002</v>
      </c>
    </row>
    <row r="56" spans="1:100" ht="13">
      <c r="A56" s="1">
        <v>1811</v>
      </c>
      <c r="B56" s="2" t="s">
        <v>176</v>
      </c>
      <c r="C56" s="289">
        <v>1406</v>
      </c>
      <c r="D56" s="290">
        <v>20</v>
      </c>
      <c r="E56" s="290">
        <v>51</v>
      </c>
      <c r="F56" s="290">
        <v>151</v>
      </c>
      <c r="G56" s="290">
        <v>107</v>
      </c>
      <c r="H56" s="290">
        <v>695</v>
      </c>
      <c r="I56" s="290">
        <v>274</v>
      </c>
      <c r="J56" s="290">
        <v>81</v>
      </c>
      <c r="K56" s="290">
        <v>23</v>
      </c>
      <c r="L56" s="290">
        <v>14</v>
      </c>
      <c r="M56" s="290">
        <v>190</v>
      </c>
      <c r="N56" s="290">
        <v>1.5</v>
      </c>
      <c r="O56" s="290">
        <v>11</v>
      </c>
      <c r="P56" s="624">
        <v>28446.96133333</v>
      </c>
      <c r="Q56" s="624">
        <v>12529.455333329999</v>
      </c>
      <c r="R56" s="624">
        <v>9</v>
      </c>
      <c r="S56" s="290">
        <v>12</v>
      </c>
      <c r="T56" s="290">
        <v>111</v>
      </c>
      <c r="U56" s="958">
        <v>1.2701387407519165E-3</v>
      </c>
      <c r="V56" s="290">
        <v>-5298.19341386</v>
      </c>
      <c r="W56" s="765">
        <v>1</v>
      </c>
      <c r="X56" s="290">
        <v>0</v>
      </c>
      <c r="Y56" s="290"/>
      <c r="Z56" s="290">
        <f>innut22!E62</f>
        <v>49152.246725290657</v>
      </c>
      <c r="AA56" s="290">
        <v>0</v>
      </c>
      <c r="AB56" s="290">
        <v>28</v>
      </c>
      <c r="AC56" s="290">
        <v>148</v>
      </c>
      <c r="AD56" s="290"/>
      <c r="AE56" s="290">
        <v>0</v>
      </c>
      <c r="AF56" s="290">
        <v>0</v>
      </c>
      <c r="AG56" s="290">
        <v>1402</v>
      </c>
      <c r="AH56" s="290">
        <v>229</v>
      </c>
      <c r="AI56" s="290">
        <v>1252</v>
      </c>
      <c r="AJ56" s="290">
        <v>0</v>
      </c>
      <c r="AK56" s="290">
        <v>0</v>
      </c>
      <c r="AL56" s="290">
        <v>2600</v>
      </c>
      <c r="AM56" s="957">
        <v>7.6736699999999996E-3</v>
      </c>
      <c r="AN56" s="290">
        <v>0</v>
      </c>
      <c r="AO56" s="290">
        <v>385.87929874999998</v>
      </c>
      <c r="AP56" s="290">
        <v>0</v>
      </c>
      <c r="AQ56" s="290">
        <v>0</v>
      </c>
      <c r="AR56" s="290">
        <v>-67.633380380000006</v>
      </c>
      <c r="AS56" s="290">
        <v>496</v>
      </c>
      <c r="AT56" s="290">
        <v>48</v>
      </c>
      <c r="AU56" s="290">
        <v>8</v>
      </c>
      <c r="AV56" s="766">
        <v>74062</v>
      </c>
      <c r="AW56" s="290"/>
      <c r="AX56" s="766">
        <v>8.875</v>
      </c>
      <c r="AY56" s="290">
        <v>234</v>
      </c>
      <c r="AZ56" s="290">
        <v>39</v>
      </c>
      <c r="BA56" s="290">
        <v>26</v>
      </c>
      <c r="BB56" s="290">
        <v>6034</v>
      </c>
      <c r="BC56" s="290">
        <v>2778</v>
      </c>
      <c r="BD56" s="290"/>
      <c r="BE56" s="290">
        <v>74679.356688309999</v>
      </c>
      <c r="BF56" s="290">
        <v>0</v>
      </c>
      <c r="BG56" s="290">
        <v>1269.8722828541252</v>
      </c>
      <c r="BH56" s="290">
        <v>68.417608708875306</v>
      </c>
      <c r="BI56" s="290">
        <v>377</v>
      </c>
      <c r="BJ56" s="290"/>
      <c r="BK56" s="290"/>
      <c r="BL56" s="290"/>
      <c r="BM56" s="290">
        <v>0</v>
      </c>
      <c r="BN56" s="290">
        <v>734.23479999999995</v>
      </c>
      <c r="BO56" s="290">
        <v>-653.26699772761981</v>
      </c>
      <c r="BP56" s="290">
        <v>67.08</v>
      </c>
      <c r="BQ56" s="290">
        <v>-35.973999999999997</v>
      </c>
      <c r="BR56" s="290">
        <v>-31.993367579183669</v>
      </c>
      <c r="BS56" s="290">
        <v>0.498</v>
      </c>
      <c r="BT56" s="290"/>
      <c r="BU56" s="290">
        <v>0</v>
      </c>
      <c r="BV56" s="290">
        <v>500</v>
      </c>
      <c r="BW56" s="290">
        <v>-322</v>
      </c>
      <c r="BX56" s="290">
        <v>202</v>
      </c>
      <c r="BY56" s="290">
        <v>31</v>
      </c>
      <c r="BZ56" s="290">
        <v>-245</v>
      </c>
      <c r="CA56" s="290">
        <v>-0.57843469319647056</v>
      </c>
      <c r="CB56" s="290">
        <v>49</v>
      </c>
      <c r="CC56" s="290">
        <v>182</v>
      </c>
      <c r="CD56" s="290">
        <v>2</v>
      </c>
      <c r="CE56" s="290">
        <v>52</v>
      </c>
      <c r="CF56" s="290">
        <v>4</v>
      </c>
      <c r="CG56" s="290">
        <v>0</v>
      </c>
      <c r="CH56" s="290">
        <v>-3</v>
      </c>
      <c r="CI56" s="290">
        <v>-626</v>
      </c>
      <c r="CJ56" s="290">
        <v>-1895</v>
      </c>
      <c r="CK56" s="290">
        <f>+innut22!E62+innut22!S62</f>
        <v>49152.246725290657</v>
      </c>
      <c r="CL56" s="290">
        <v>0</v>
      </c>
      <c r="CM56" s="290">
        <v>0</v>
      </c>
      <c r="CN56" s="290">
        <v>0</v>
      </c>
      <c r="CP56" s="290">
        <f>+innut23!E62</f>
        <v>43840.150567998608</v>
      </c>
      <c r="CQ56" s="290"/>
      <c r="CV56" s="85">
        <f t="shared" si="1"/>
        <v>0.26</v>
      </c>
    </row>
    <row r="57" spans="1:100" ht="13">
      <c r="A57" s="1">
        <v>1812</v>
      </c>
      <c r="B57" s="2" t="s">
        <v>177</v>
      </c>
      <c r="C57" s="289">
        <v>1981</v>
      </c>
      <c r="D57" s="290">
        <v>25</v>
      </c>
      <c r="E57" s="290">
        <v>65</v>
      </c>
      <c r="F57" s="290">
        <v>229</v>
      </c>
      <c r="G57" s="290">
        <v>180</v>
      </c>
      <c r="H57" s="290">
        <v>1070</v>
      </c>
      <c r="I57" s="290">
        <v>293</v>
      </c>
      <c r="J57" s="290">
        <v>99</v>
      </c>
      <c r="K57" s="290">
        <v>25</v>
      </c>
      <c r="L57" s="290">
        <v>14</v>
      </c>
      <c r="M57" s="290">
        <v>227</v>
      </c>
      <c r="N57" s="290">
        <v>25</v>
      </c>
      <c r="O57" s="290">
        <v>19</v>
      </c>
      <c r="P57" s="624">
        <v>13534.34166667</v>
      </c>
      <c r="Q57" s="624">
        <v>4829.2686666700001</v>
      </c>
      <c r="R57" s="624">
        <v>13</v>
      </c>
      <c r="S57" s="290">
        <v>23</v>
      </c>
      <c r="T57" s="290">
        <v>181</v>
      </c>
      <c r="U57" s="958">
        <v>1.8124122536839534E-3</v>
      </c>
      <c r="V57" s="290">
        <v>1249.49781968</v>
      </c>
      <c r="W57" s="765">
        <v>0.93221525999999999</v>
      </c>
      <c r="X57" s="290">
        <v>0</v>
      </c>
      <c r="Y57" s="290"/>
      <c r="Z57" s="290">
        <f>innut22!E63</f>
        <v>57152.003149044656</v>
      </c>
      <c r="AA57" s="290">
        <v>0</v>
      </c>
      <c r="AB57" s="290">
        <v>61</v>
      </c>
      <c r="AC57" s="290">
        <v>194</v>
      </c>
      <c r="AD57" s="290"/>
      <c r="AE57" s="290">
        <v>0</v>
      </c>
      <c r="AF57" s="290">
        <v>0</v>
      </c>
      <c r="AG57" s="290">
        <v>1986</v>
      </c>
      <c r="AH57" s="290">
        <v>332</v>
      </c>
      <c r="AI57" s="290">
        <v>1230</v>
      </c>
      <c r="AJ57" s="290">
        <v>0</v>
      </c>
      <c r="AK57" s="290">
        <v>0</v>
      </c>
      <c r="AL57" s="290">
        <v>3703</v>
      </c>
      <c r="AM57" s="957">
        <v>3.252443E-2</v>
      </c>
      <c r="AN57" s="290">
        <v>0</v>
      </c>
      <c r="AO57" s="290">
        <v>466.47858954999998</v>
      </c>
      <c r="AP57" s="290">
        <v>0</v>
      </c>
      <c r="AQ57" s="290">
        <v>0</v>
      </c>
      <c r="AR57" s="290">
        <v>2242.8056681200001</v>
      </c>
      <c r="AS57" s="290">
        <v>522</v>
      </c>
      <c r="AT57" s="290">
        <v>100</v>
      </c>
      <c r="AU57" s="290">
        <v>14</v>
      </c>
      <c r="AV57" s="766">
        <v>90923</v>
      </c>
      <c r="AW57" s="290"/>
      <c r="AX57" s="766">
        <v>7.2083000000000004</v>
      </c>
      <c r="AY57" s="290">
        <v>372</v>
      </c>
      <c r="AZ57" s="290">
        <v>92</v>
      </c>
      <c r="BA57" s="290">
        <v>34</v>
      </c>
      <c r="BB57" s="290">
        <v>6034</v>
      </c>
      <c r="BC57" s="290">
        <v>3634</v>
      </c>
      <c r="BD57" s="290"/>
      <c r="BE57" s="290">
        <v>87711.338666829994</v>
      </c>
      <c r="BF57" s="290">
        <v>0</v>
      </c>
      <c r="BG57" s="290">
        <v>1789.2012747752647</v>
      </c>
      <c r="BH57" s="290">
        <v>96.39778296748365</v>
      </c>
      <c r="BI57" s="290">
        <v>526</v>
      </c>
      <c r="BJ57" s="290"/>
      <c r="BK57" s="290"/>
      <c r="BL57" s="290"/>
      <c r="BM57" s="290">
        <v>0</v>
      </c>
      <c r="BN57" s="290">
        <v>887.59572000000003</v>
      </c>
      <c r="BO57" s="290">
        <v>-925.38392117478816</v>
      </c>
      <c r="BP57" s="290">
        <v>83.805000000000007</v>
      </c>
      <c r="BQ57" s="290">
        <v>-44.944000000000003</v>
      </c>
      <c r="BR57" s="290">
        <v>-39.842662873999807</v>
      </c>
      <c r="BS57" s="290">
        <v>0.52800000000000002</v>
      </c>
      <c r="BT57" s="290"/>
      <c r="BU57" s="290">
        <v>0</v>
      </c>
      <c r="BV57" s="290">
        <v>1000</v>
      </c>
      <c r="BW57" s="290">
        <v>-456</v>
      </c>
      <c r="BX57" s="290">
        <v>258</v>
      </c>
      <c r="BY57" s="290">
        <v>59</v>
      </c>
      <c r="BZ57" s="290">
        <v>-347</v>
      </c>
      <c r="CA57" s="290">
        <v>-0.75813595121206845</v>
      </c>
      <c r="CB57" s="290">
        <v>95</v>
      </c>
      <c r="CC57" s="290">
        <v>258</v>
      </c>
      <c r="CD57" s="290">
        <v>3</v>
      </c>
      <c r="CE57" s="290">
        <v>73</v>
      </c>
      <c r="CF57" s="290">
        <v>4</v>
      </c>
      <c r="CG57" s="290">
        <v>0</v>
      </c>
      <c r="CH57" s="290">
        <v>-3</v>
      </c>
      <c r="CI57" s="290">
        <v>-882</v>
      </c>
      <c r="CJ57" s="290">
        <v>-2375</v>
      </c>
      <c r="CK57" s="290">
        <f>+innut22!E63+innut22!S63</f>
        <v>57152.003149044656</v>
      </c>
      <c r="CL57" s="290">
        <v>0</v>
      </c>
      <c r="CM57" s="290">
        <v>0</v>
      </c>
      <c r="CN57" s="290">
        <v>0</v>
      </c>
      <c r="CP57" s="290">
        <f>+innut23!E63</f>
        <v>53105.604652364527</v>
      </c>
      <c r="CQ57" s="290"/>
      <c r="CV57" s="85">
        <f t="shared" si="1"/>
        <v>0.36799999999999999</v>
      </c>
    </row>
    <row r="58" spans="1:100" ht="13">
      <c r="A58" s="1">
        <v>1813</v>
      </c>
      <c r="B58" s="2" t="s">
        <v>178</v>
      </c>
      <c r="C58" s="289">
        <v>7777</v>
      </c>
      <c r="D58" s="290">
        <v>134</v>
      </c>
      <c r="E58" s="290">
        <v>274</v>
      </c>
      <c r="F58" s="290">
        <v>986</v>
      </c>
      <c r="G58" s="290">
        <v>665</v>
      </c>
      <c r="H58" s="290">
        <v>4355</v>
      </c>
      <c r="I58" s="290">
        <v>1002</v>
      </c>
      <c r="J58" s="290">
        <v>314</v>
      </c>
      <c r="K58" s="290">
        <v>71</v>
      </c>
      <c r="L58" s="290">
        <v>60</v>
      </c>
      <c r="M58" s="290">
        <v>628</v>
      </c>
      <c r="N58" s="290">
        <v>90</v>
      </c>
      <c r="O58" s="290">
        <v>73</v>
      </c>
      <c r="P58" s="624">
        <v>82983.848333329996</v>
      </c>
      <c r="Q58" s="624">
        <v>17507.278999999999</v>
      </c>
      <c r="R58" s="624">
        <v>47</v>
      </c>
      <c r="S58" s="290">
        <v>91</v>
      </c>
      <c r="T58" s="290">
        <v>729</v>
      </c>
      <c r="U58" s="958">
        <v>2.9718996070997165E-3</v>
      </c>
      <c r="V58" s="290">
        <v>4362.9198100900003</v>
      </c>
      <c r="W58" s="765">
        <v>0.64535584999999995</v>
      </c>
      <c r="X58" s="290">
        <v>0</v>
      </c>
      <c r="Y58" s="290"/>
      <c r="Z58" s="290">
        <f>innut22!E64</f>
        <v>256556.26409072871</v>
      </c>
      <c r="AA58" s="290">
        <v>0</v>
      </c>
      <c r="AB58" s="290">
        <v>225</v>
      </c>
      <c r="AC58" s="290">
        <v>194</v>
      </c>
      <c r="AD58" s="290"/>
      <c r="AE58" s="290">
        <v>0</v>
      </c>
      <c r="AF58" s="290">
        <v>0</v>
      </c>
      <c r="AG58" s="290">
        <v>7801</v>
      </c>
      <c r="AH58" s="290">
        <v>1376</v>
      </c>
      <c r="AI58" s="290">
        <v>0</v>
      </c>
      <c r="AJ58" s="290">
        <v>0</v>
      </c>
      <c r="AK58" s="290">
        <v>0</v>
      </c>
      <c r="AL58" s="290">
        <v>14521</v>
      </c>
      <c r="AM58" s="957">
        <v>0.14691261</v>
      </c>
      <c r="AN58" s="290">
        <v>0</v>
      </c>
      <c r="AO58" s="290">
        <v>1628.8213130700001</v>
      </c>
      <c r="AP58" s="290">
        <v>0</v>
      </c>
      <c r="AQ58" s="290">
        <v>0</v>
      </c>
      <c r="AR58" s="290">
        <v>2867.97693613</v>
      </c>
      <c r="AS58" s="290">
        <v>2054</v>
      </c>
      <c r="AT58" s="290">
        <v>366</v>
      </c>
      <c r="AU58" s="290">
        <v>65</v>
      </c>
      <c r="AV58" s="766">
        <v>264534</v>
      </c>
      <c r="AW58" s="290"/>
      <c r="AX58" s="766">
        <v>63.208350000000003</v>
      </c>
      <c r="AY58" s="290">
        <v>1546</v>
      </c>
      <c r="AZ58" s="290">
        <v>376</v>
      </c>
      <c r="BA58" s="290">
        <v>204</v>
      </c>
      <c r="BB58" s="290">
        <v>0</v>
      </c>
      <c r="BC58" s="290">
        <v>13457</v>
      </c>
      <c r="BD58" s="290"/>
      <c r="BE58" s="290">
        <v>257981.65478976001</v>
      </c>
      <c r="BF58" s="290">
        <v>0</v>
      </c>
      <c r="BG58" s="290">
        <v>7024.0375133403495</v>
      </c>
      <c r="BH58" s="290">
        <v>378.43793949425555</v>
      </c>
      <c r="BI58" s="290">
        <v>1570</v>
      </c>
      <c r="BJ58" s="290"/>
      <c r="BK58" s="290"/>
      <c r="BL58" s="290"/>
      <c r="BM58" s="290">
        <v>0</v>
      </c>
      <c r="BN58" s="290">
        <v>3099.2522400000003</v>
      </c>
      <c r="BO58" s="290">
        <v>-3634.9043147454795</v>
      </c>
      <c r="BP58" s="290">
        <v>380.43200000000002</v>
      </c>
      <c r="BQ58" s="290">
        <v>-204.023</v>
      </c>
      <c r="BR58" s="290">
        <v>-160.5667893033087</v>
      </c>
      <c r="BS58" s="290">
        <v>1.5680000000000001</v>
      </c>
      <c r="BT58" s="290"/>
      <c r="BU58" s="290">
        <v>0</v>
      </c>
      <c r="BV58" s="290">
        <v>2000</v>
      </c>
      <c r="BW58" s="290">
        <v>-1791</v>
      </c>
      <c r="BX58" s="290">
        <v>1021</v>
      </c>
      <c r="BY58" s="290">
        <v>236</v>
      </c>
      <c r="BZ58" s="290">
        <v>-1362</v>
      </c>
      <c r="CA58" s="290">
        <v>-0.75813595121206845</v>
      </c>
      <c r="CB58" s="290">
        <v>379</v>
      </c>
      <c r="CC58" s="290">
        <v>1014</v>
      </c>
      <c r="CD58" s="290">
        <v>14</v>
      </c>
      <c r="CE58" s="290">
        <v>287</v>
      </c>
      <c r="CF58" s="290">
        <v>13</v>
      </c>
      <c r="CG58" s="290">
        <v>2</v>
      </c>
      <c r="CH58" s="290">
        <v>-8</v>
      </c>
      <c r="CI58" s="290">
        <v>-3464</v>
      </c>
      <c r="CJ58" s="290">
        <v>-9641</v>
      </c>
      <c r="CK58" s="290">
        <f>+innut22!E64+innut22!S64</f>
        <v>256556.26409072871</v>
      </c>
      <c r="CL58" s="290">
        <v>0</v>
      </c>
      <c r="CM58" s="290">
        <v>0</v>
      </c>
      <c r="CN58" s="290">
        <v>0</v>
      </c>
      <c r="CP58" s="290">
        <f>+innut23!E64</f>
        <v>229842.8962845428</v>
      </c>
      <c r="CQ58" s="290"/>
      <c r="CV58" s="85">
        <f t="shared" si="1"/>
        <v>1.444</v>
      </c>
    </row>
    <row r="59" spans="1:100" ht="13">
      <c r="A59" s="1">
        <v>1815</v>
      </c>
      <c r="B59" s="2" t="s">
        <v>179</v>
      </c>
      <c r="C59" s="289">
        <v>1175</v>
      </c>
      <c r="D59" s="290">
        <v>14</v>
      </c>
      <c r="E59" s="290">
        <v>35</v>
      </c>
      <c r="F59" s="290">
        <v>132</v>
      </c>
      <c r="G59" s="290">
        <v>93</v>
      </c>
      <c r="H59" s="290">
        <v>632</v>
      </c>
      <c r="I59" s="290">
        <v>190</v>
      </c>
      <c r="J59" s="290">
        <v>74</v>
      </c>
      <c r="K59" s="290">
        <v>18</v>
      </c>
      <c r="L59" s="290">
        <v>11</v>
      </c>
      <c r="M59" s="290">
        <v>164</v>
      </c>
      <c r="N59" s="290">
        <v>4</v>
      </c>
      <c r="O59" s="290">
        <v>7</v>
      </c>
      <c r="P59" s="624">
        <v>5737.0603333299996</v>
      </c>
      <c r="Q59" s="624">
        <v>5810.1226666700004</v>
      </c>
      <c r="R59" s="624">
        <v>4</v>
      </c>
      <c r="S59" s="290">
        <v>11</v>
      </c>
      <c r="T59" s="290">
        <v>107</v>
      </c>
      <c r="U59" s="958">
        <v>1.3048018259667477E-3</v>
      </c>
      <c r="V59" s="290">
        <v>824.07319536</v>
      </c>
      <c r="W59" s="765">
        <v>1</v>
      </c>
      <c r="X59" s="290">
        <v>0</v>
      </c>
      <c r="Y59" s="290"/>
      <c r="Z59" s="290">
        <f>innut22!E65</f>
        <v>35005.561623912785</v>
      </c>
      <c r="AA59" s="290">
        <v>0</v>
      </c>
      <c r="AB59" s="290">
        <v>22</v>
      </c>
      <c r="AC59" s="290">
        <v>0</v>
      </c>
      <c r="AD59" s="290"/>
      <c r="AE59" s="290">
        <v>0</v>
      </c>
      <c r="AF59" s="290">
        <v>0</v>
      </c>
      <c r="AG59" s="290">
        <v>1188</v>
      </c>
      <c r="AH59" s="290">
        <v>182</v>
      </c>
      <c r="AI59" s="290">
        <v>0</v>
      </c>
      <c r="AJ59" s="290">
        <v>0</v>
      </c>
      <c r="AK59" s="290">
        <v>0</v>
      </c>
      <c r="AL59" s="290">
        <v>2200</v>
      </c>
      <c r="AM59" s="957">
        <v>9.2762000000000001E-3</v>
      </c>
      <c r="AN59" s="290">
        <v>0</v>
      </c>
      <c r="AO59" s="290">
        <v>307.65359955000002</v>
      </c>
      <c r="AP59" s="290">
        <v>0</v>
      </c>
      <c r="AQ59" s="290">
        <v>0</v>
      </c>
      <c r="AR59" s="290">
        <v>-57.309882950000002</v>
      </c>
      <c r="AS59" s="290">
        <v>472</v>
      </c>
      <c r="AT59" s="290">
        <v>45</v>
      </c>
      <c r="AU59" s="290">
        <v>9</v>
      </c>
      <c r="AV59" s="766">
        <v>62495</v>
      </c>
      <c r="AW59" s="290"/>
      <c r="AX59" s="766">
        <v>4.7499500000000001</v>
      </c>
      <c r="AY59" s="290">
        <v>212</v>
      </c>
      <c r="AZ59" s="290">
        <v>32</v>
      </c>
      <c r="BA59" s="290">
        <v>27</v>
      </c>
      <c r="BB59" s="290">
        <v>6034</v>
      </c>
      <c r="BC59" s="290">
        <v>2366</v>
      </c>
      <c r="BD59" s="290"/>
      <c r="BE59" s="290">
        <v>63507.43890963</v>
      </c>
      <c r="BF59" s="290">
        <v>0</v>
      </c>
      <c r="BG59" s="290">
        <v>1061.2375052301545</v>
      </c>
      <c r="BH59" s="290">
        <v>57.176877832808323</v>
      </c>
      <c r="BI59" s="290">
        <v>182</v>
      </c>
      <c r="BJ59" s="290"/>
      <c r="BK59" s="290"/>
      <c r="BL59" s="290"/>
      <c r="BM59" s="290">
        <v>0</v>
      </c>
      <c r="BN59" s="290">
        <v>585.39023999999995</v>
      </c>
      <c r="BO59" s="290">
        <v>-553.55291961513012</v>
      </c>
      <c r="BP59" s="290">
        <v>46.14</v>
      </c>
      <c r="BQ59" s="290">
        <v>-24.744</v>
      </c>
      <c r="BR59" s="290">
        <v>-26.632320384869828</v>
      </c>
      <c r="BS59" s="290">
        <v>0.39900000000000002</v>
      </c>
      <c r="BT59" s="290"/>
      <c r="BU59" s="290">
        <v>0</v>
      </c>
      <c r="BV59" s="290">
        <v>500</v>
      </c>
      <c r="BW59" s="290">
        <v>-273</v>
      </c>
      <c r="BX59" s="290">
        <v>163</v>
      </c>
      <c r="BY59" s="290">
        <v>29</v>
      </c>
      <c r="BZ59" s="290">
        <v>-207</v>
      </c>
      <c r="CA59" s="290">
        <v>0</v>
      </c>
      <c r="CB59" s="290">
        <v>46</v>
      </c>
      <c r="CC59" s="290">
        <v>154</v>
      </c>
      <c r="CD59" s="290">
        <v>2</v>
      </c>
      <c r="CE59" s="290">
        <v>43</v>
      </c>
      <c r="CF59" s="290">
        <v>3</v>
      </c>
      <c r="CG59" s="290">
        <v>0</v>
      </c>
      <c r="CH59" s="290">
        <v>-2</v>
      </c>
      <c r="CI59" s="290">
        <v>-523</v>
      </c>
      <c r="CJ59" s="290">
        <v>-1455</v>
      </c>
      <c r="CK59" s="290">
        <f>+innut22!E65+innut22!S65</f>
        <v>35005.561623912785</v>
      </c>
      <c r="CL59" s="290">
        <v>0</v>
      </c>
      <c r="CM59" s="290">
        <v>0</v>
      </c>
      <c r="CN59" s="290">
        <v>0</v>
      </c>
      <c r="CP59" s="290">
        <f>+innut23!E65</f>
        <v>31389.000151124234</v>
      </c>
      <c r="CQ59" s="290"/>
      <c r="CV59" s="85">
        <f t="shared" si="1"/>
        <v>0.22</v>
      </c>
    </row>
    <row r="60" spans="1:100" ht="13">
      <c r="A60" s="1">
        <v>1816</v>
      </c>
      <c r="B60" s="2" t="s">
        <v>180</v>
      </c>
      <c r="C60" s="289">
        <v>462</v>
      </c>
      <c r="D60" s="290">
        <v>10</v>
      </c>
      <c r="E60" s="290">
        <v>10</v>
      </c>
      <c r="F60" s="290">
        <v>45</v>
      </c>
      <c r="G60" s="290">
        <v>37</v>
      </c>
      <c r="H60" s="290">
        <v>243</v>
      </c>
      <c r="I60" s="290">
        <v>92</v>
      </c>
      <c r="J60" s="290">
        <v>20</v>
      </c>
      <c r="K60" s="290">
        <v>8</v>
      </c>
      <c r="L60" s="290">
        <v>3</v>
      </c>
      <c r="M60" s="290">
        <v>48</v>
      </c>
      <c r="N60" s="290">
        <v>1.5</v>
      </c>
      <c r="O60" s="290">
        <v>6</v>
      </c>
      <c r="P60" s="624">
        <v>3400.0639999999999</v>
      </c>
      <c r="Q60" s="624">
        <v>5662.0656666699997</v>
      </c>
      <c r="R60" s="624">
        <v>0</v>
      </c>
      <c r="S60" s="290">
        <v>5</v>
      </c>
      <c r="T60" s="290">
        <v>53</v>
      </c>
      <c r="U60" s="958">
        <v>8.397075071265186E-4</v>
      </c>
      <c r="V60" s="290">
        <v>403.02246711999999</v>
      </c>
      <c r="W60" s="765">
        <v>1</v>
      </c>
      <c r="X60" s="290">
        <v>0</v>
      </c>
      <c r="Y60" s="290"/>
      <c r="Z60" s="290">
        <f>innut22!E66</f>
        <v>14177.924824839889</v>
      </c>
      <c r="AA60" s="290">
        <v>0</v>
      </c>
      <c r="AB60" s="290">
        <v>13</v>
      </c>
      <c r="AC60" s="290">
        <v>0</v>
      </c>
      <c r="AD60" s="290"/>
      <c r="AE60" s="290">
        <v>0</v>
      </c>
      <c r="AF60" s="290">
        <v>0</v>
      </c>
      <c r="AG60" s="290">
        <v>465</v>
      </c>
      <c r="AH60" s="290">
        <v>100</v>
      </c>
      <c r="AI60" s="290">
        <v>0</v>
      </c>
      <c r="AJ60" s="290">
        <v>0</v>
      </c>
      <c r="AK60" s="290">
        <v>0</v>
      </c>
      <c r="AL60" s="290">
        <v>865</v>
      </c>
      <c r="AM60" s="957">
        <v>3.18418E-3</v>
      </c>
      <c r="AN60" s="290">
        <v>0</v>
      </c>
      <c r="AO60" s="290">
        <v>150.46152867000001</v>
      </c>
      <c r="AP60" s="290">
        <v>0</v>
      </c>
      <c r="AQ60" s="290">
        <v>0</v>
      </c>
      <c r="AR60" s="290">
        <v>1833.66949305</v>
      </c>
      <c r="AS60" s="290">
        <v>276</v>
      </c>
      <c r="AT60" s="290">
        <v>17</v>
      </c>
      <c r="AU60" s="290">
        <v>1.5</v>
      </c>
      <c r="AV60" s="766">
        <v>40087</v>
      </c>
      <c r="AW60" s="290"/>
      <c r="AX60" s="766">
        <v>4.0833000000000004</v>
      </c>
      <c r="AY60" s="290">
        <v>72</v>
      </c>
      <c r="AZ60" s="290">
        <v>27</v>
      </c>
      <c r="BA60" s="290">
        <v>7</v>
      </c>
      <c r="BB60" s="290">
        <v>6034</v>
      </c>
      <c r="BC60" s="290">
        <v>1286</v>
      </c>
      <c r="BD60" s="290"/>
      <c r="BE60" s="290">
        <v>37763.20773129</v>
      </c>
      <c r="BF60" s="290">
        <v>0</v>
      </c>
      <c r="BG60" s="290">
        <v>417.26955524794158</v>
      </c>
      <c r="BH60" s="290">
        <v>22.481461752133995</v>
      </c>
      <c r="BI60" s="290">
        <v>100</v>
      </c>
      <c r="BJ60" s="290"/>
      <c r="BK60" s="290"/>
      <c r="BL60" s="290"/>
      <c r="BM60" s="290">
        <v>0</v>
      </c>
      <c r="BN60" s="290">
        <v>286.29181999999997</v>
      </c>
      <c r="BO60" s="290">
        <v>-216.66844075844739</v>
      </c>
      <c r="BP60" s="290">
        <v>15.757999999999999</v>
      </c>
      <c r="BQ60" s="290">
        <v>-8.4510000000000005</v>
      </c>
      <c r="BR60" s="290">
        <v>-13.197379241552564</v>
      </c>
      <c r="BS60" s="290">
        <v>0.26700000000000002</v>
      </c>
      <c r="BT60" s="290"/>
      <c r="BU60" s="290">
        <v>0</v>
      </c>
      <c r="BV60" s="290">
        <v>500</v>
      </c>
      <c r="BW60" s="290">
        <v>-107</v>
      </c>
      <c r="BX60" s="290">
        <v>81</v>
      </c>
      <c r="BY60" s="290">
        <v>13</v>
      </c>
      <c r="BZ60" s="290">
        <v>-81</v>
      </c>
      <c r="CA60" s="290">
        <v>0</v>
      </c>
      <c r="CB60" s="290">
        <v>21</v>
      </c>
      <c r="CC60" s="290">
        <v>60</v>
      </c>
      <c r="CD60" s="290">
        <v>1</v>
      </c>
      <c r="CE60" s="290">
        <v>17</v>
      </c>
      <c r="CF60" s="290">
        <v>2</v>
      </c>
      <c r="CG60" s="290">
        <v>0</v>
      </c>
      <c r="CH60" s="290">
        <v>-1</v>
      </c>
      <c r="CI60" s="290">
        <v>-206</v>
      </c>
      <c r="CJ60" s="290">
        <v>-554</v>
      </c>
      <c r="CK60" s="290">
        <f>+innut22!E66+innut22!S66</f>
        <v>14177.924824839889</v>
      </c>
      <c r="CL60" s="290">
        <v>0</v>
      </c>
      <c r="CM60" s="290">
        <v>0</v>
      </c>
      <c r="CN60" s="290">
        <v>0</v>
      </c>
      <c r="CP60" s="290">
        <f>+innut23!E66</f>
        <v>13343.353642725635</v>
      </c>
      <c r="CQ60" s="290"/>
      <c r="CV60" s="85">
        <f t="shared" si="1"/>
        <v>8.5999999999999993E-2</v>
      </c>
    </row>
    <row r="61" spans="1:100" ht="13">
      <c r="A61" s="1">
        <v>1818</v>
      </c>
      <c r="B61" s="2" t="s">
        <v>87</v>
      </c>
      <c r="C61" s="289">
        <v>1825</v>
      </c>
      <c r="D61" s="290">
        <v>33</v>
      </c>
      <c r="E61" s="290">
        <v>90</v>
      </c>
      <c r="F61" s="290">
        <v>193</v>
      </c>
      <c r="G61" s="290">
        <v>117</v>
      </c>
      <c r="H61" s="290">
        <v>1007</v>
      </c>
      <c r="I61" s="290">
        <v>273</v>
      </c>
      <c r="J61" s="290">
        <v>81</v>
      </c>
      <c r="K61" s="290">
        <v>13</v>
      </c>
      <c r="L61" s="290">
        <v>16</v>
      </c>
      <c r="M61" s="290">
        <v>187</v>
      </c>
      <c r="N61" s="290">
        <v>31</v>
      </c>
      <c r="O61" s="290">
        <v>44</v>
      </c>
      <c r="P61" s="624">
        <v>8462.4529999999995</v>
      </c>
      <c r="Q61" s="624">
        <v>4136.4593333299999</v>
      </c>
      <c r="R61" s="624">
        <v>7</v>
      </c>
      <c r="S61" s="290">
        <v>22</v>
      </c>
      <c r="T61" s="290">
        <v>151</v>
      </c>
      <c r="U61" s="958">
        <v>6.9295793622502211E-4</v>
      </c>
      <c r="V61" s="290">
        <v>1142.36217758</v>
      </c>
      <c r="W61" s="765">
        <v>1</v>
      </c>
      <c r="X61" s="290">
        <v>0</v>
      </c>
      <c r="Y61" s="290"/>
      <c r="Z61" s="290">
        <f>innut22!E67</f>
        <v>66573.048377637635</v>
      </c>
      <c r="AA61" s="290">
        <v>0</v>
      </c>
      <c r="AB61" s="290">
        <v>49</v>
      </c>
      <c r="AC61" s="290">
        <v>0</v>
      </c>
      <c r="AD61" s="290"/>
      <c r="AE61" s="290">
        <v>0</v>
      </c>
      <c r="AF61" s="290">
        <v>0</v>
      </c>
      <c r="AG61" s="290">
        <v>1807</v>
      </c>
      <c r="AH61" s="290">
        <v>305</v>
      </c>
      <c r="AI61" s="290">
        <v>300</v>
      </c>
      <c r="AJ61" s="290">
        <v>0</v>
      </c>
      <c r="AK61" s="290">
        <v>0</v>
      </c>
      <c r="AL61" s="290">
        <v>3337</v>
      </c>
      <c r="AM61" s="957">
        <v>5.3657259999999998E-2</v>
      </c>
      <c r="AN61" s="290">
        <v>0</v>
      </c>
      <c r="AO61" s="290">
        <v>426.48133431000002</v>
      </c>
      <c r="AP61" s="290">
        <v>0</v>
      </c>
      <c r="AQ61" s="290">
        <v>0</v>
      </c>
      <c r="AR61" s="290">
        <v>-87.170840479999995</v>
      </c>
      <c r="AS61" s="290">
        <v>100</v>
      </c>
      <c r="AT61" s="290">
        <v>60</v>
      </c>
      <c r="AU61" s="290">
        <v>23</v>
      </c>
      <c r="AV61" s="766">
        <v>80897</v>
      </c>
      <c r="AW61" s="290"/>
      <c r="AX61" s="766">
        <v>8.0000499999999999</v>
      </c>
      <c r="AY61" s="290">
        <v>264</v>
      </c>
      <c r="AZ61" s="290">
        <v>125</v>
      </c>
      <c r="BA61" s="290">
        <v>43</v>
      </c>
      <c r="BB61" s="290">
        <v>6034</v>
      </c>
      <c r="BC61" s="290">
        <v>3372</v>
      </c>
      <c r="BD61" s="290"/>
      <c r="BE61" s="290">
        <v>80770.736302389996</v>
      </c>
      <c r="BF61" s="290">
        <v>0</v>
      </c>
      <c r="BG61" s="290">
        <v>1648.3050613149207</v>
      </c>
      <c r="BH61" s="290">
        <v>88.806640038191645</v>
      </c>
      <c r="BI61" s="290">
        <v>305</v>
      </c>
      <c r="BJ61" s="290"/>
      <c r="BK61" s="290"/>
      <c r="BL61" s="290"/>
      <c r="BM61" s="290">
        <v>0</v>
      </c>
      <c r="BN61" s="290">
        <v>811.49062000000004</v>
      </c>
      <c r="BO61" s="290">
        <v>-841.97822032368686</v>
      </c>
      <c r="BP61" s="290">
        <v>108.33199999999999</v>
      </c>
      <c r="BQ61" s="290">
        <v>-58.097999999999999</v>
      </c>
      <c r="BR61" s="290">
        <v>-37.392697402500808</v>
      </c>
      <c r="BS61" s="290">
        <v>0.49399999999999999</v>
      </c>
      <c r="BT61" s="290"/>
      <c r="BU61" s="290">
        <v>0</v>
      </c>
      <c r="BV61" s="290">
        <v>500</v>
      </c>
      <c r="BW61" s="290">
        <v>-415</v>
      </c>
      <c r="BX61" s="290">
        <v>232</v>
      </c>
      <c r="BY61" s="290">
        <v>57</v>
      </c>
      <c r="BZ61" s="290">
        <v>-315</v>
      </c>
      <c r="CA61" s="290">
        <v>4.1522977261876335</v>
      </c>
      <c r="CB61" s="290">
        <v>91</v>
      </c>
      <c r="CC61" s="290">
        <v>235</v>
      </c>
      <c r="CD61" s="290">
        <v>3</v>
      </c>
      <c r="CE61" s="290">
        <v>67</v>
      </c>
      <c r="CF61" s="290">
        <v>4</v>
      </c>
      <c r="CG61" s="290">
        <v>0</v>
      </c>
      <c r="CH61" s="290">
        <v>-3</v>
      </c>
      <c r="CI61" s="290">
        <v>-813</v>
      </c>
      <c r="CJ61" s="290">
        <v>-2226</v>
      </c>
      <c r="CK61" s="290">
        <f>+innut22!E67+innut22!S67</f>
        <v>66573.048377637635</v>
      </c>
      <c r="CL61" s="290">
        <v>0</v>
      </c>
      <c r="CM61" s="290">
        <v>0</v>
      </c>
      <c r="CN61" s="290">
        <v>0</v>
      </c>
      <c r="CP61" s="290">
        <f>+innut23!E67</f>
        <v>61415.731669165179</v>
      </c>
      <c r="CQ61" s="290"/>
      <c r="CV61" s="85">
        <f t="shared" si="1"/>
        <v>0.33500000000000002</v>
      </c>
    </row>
    <row r="62" spans="1:100" ht="13">
      <c r="A62" s="1">
        <v>1820</v>
      </c>
      <c r="B62" s="2" t="s">
        <v>181</v>
      </c>
      <c r="C62" s="289">
        <v>7333</v>
      </c>
      <c r="D62" s="290">
        <v>144</v>
      </c>
      <c r="E62" s="290">
        <v>271</v>
      </c>
      <c r="F62" s="290">
        <v>819</v>
      </c>
      <c r="G62" s="290">
        <v>646</v>
      </c>
      <c r="H62" s="290">
        <v>4055</v>
      </c>
      <c r="I62" s="290">
        <v>1065</v>
      </c>
      <c r="J62" s="290">
        <v>317</v>
      </c>
      <c r="K62" s="290">
        <v>58</v>
      </c>
      <c r="L62" s="290">
        <v>57</v>
      </c>
      <c r="M62" s="290">
        <v>604</v>
      </c>
      <c r="N62" s="290">
        <v>179</v>
      </c>
      <c r="O62" s="290">
        <v>84</v>
      </c>
      <c r="P62" s="624">
        <v>40771.667000000001</v>
      </c>
      <c r="Q62" s="624">
        <v>13573.40733333</v>
      </c>
      <c r="R62" s="624">
        <v>41</v>
      </c>
      <c r="S62" s="290">
        <v>89</v>
      </c>
      <c r="T62" s="290">
        <v>650</v>
      </c>
      <c r="U62" s="958">
        <v>1.7417420058164874E-3</v>
      </c>
      <c r="V62" s="290">
        <v>3970.5431172200001</v>
      </c>
      <c r="W62" s="765">
        <v>0.60640492000000001</v>
      </c>
      <c r="X62" s="290">
        <v>0</v>
      </c>
      <c r="Y62" s="290"/>
      <c r="Z62" s="290">
        <f>innut22!E68</f>
        <v>236373.58978109865</v>
      </c>
      <c r="AA62" s="290">
        <v>0</v>
      </c>
      <c r="AB62" s="290">
        <v>218</v>
      </c>
      <c r="AC62" s="290">
        <v>205</v>
      </c>
      <c r="AD62" s="290"/>
      <c r="AE62" s="290">
        <v>0</v>
      </c>
      <c r="AF62" s="290">
        <v>0</v>
      </c>
      <c r="AG62" s="290">
        <v>7375</v>
      </c>
      <c r="AH62" s="290">
        <v>1244</v>
      </c>
      <c r="AI62" s="290">
        <v>3000</v>
      </c>
      <c r="AJ62" s="290">
        <v>0</v>
      </c>
      <c r="AK62" s="290">
        <v>0</v>
      </c>
      <c r="AL62" s="290">
        <v>13760</v>
      </c>
      <c r="AM62" s="957">
        <v>0.13317445</v>
      </c>
      <c r="AN62" s="290">
        <v>0</v>
      </c>
      <c r="AO62" s="290">
        <v>1482.3342017</v>
      </c>
      <c r="AP62" s="290">
        <v>0</v>
      </c>
      <c r="AQ62" s="290">
        <v>0</v>
      </c>
      <c r="AR62" s="290">
        <v>-355.77473630999998</v>
      </c>
      <c r="AS62" s="290">
        <v>2777</v>
      </c>
      <c r="AT62" s="290">
        <v>307</v>
      </c>
      <c r="AU62" s="290">
        <v>77</v>
      </c>
      <c r="AV62" s="766">
        <v>227407</v>
      </c>
      <c r="AW62" s="290"/>
      <c r="AX62" s="766">
        <v>62.708350000000003</v>
      </c>
      <c r="AY62" s="290">
        <v>1715</v>
      </c>
      <c r="AZ62" s="290">
        <v>308</v>
      </c>
      <c r="BA62" s="290">
        <v>171</v>
      </c>
      <c r="BB62" s="290">
        <v>0</v>
      </c>
      <c r="BC62" s="290">
        <v>12642</v>
      </c>
      <c r="BD62" s="290"/>
      <c r="BE62" s="290">
        <v>226268.04050954001</v>
      </c>
      <c r="BF62" s="290">
        <v>0</v>
      </c>
      <c r="BG62" s="290">
        <v>6623.0252134916791</v>
      </c>
      <c r="BH62" s="290">
        <v>356.83237884934761</v>
      </c>
      <c r="BI62" s="290">
        <v>1449</v>
      </c>
      <c r="BJ62" s="290"/>
      <c r="BK62" s="290"/>
      <c r="BL62" s="290"/>
      <c r="BM62" s="290">
        <v>0</v>
      </c>
      <c r="BN62" s="290">
        <v>2820.5227599999998</v>
      </c>
      <c r="BO62" s="290">
        <v>-3436.4080657925792</v>
      </c>
      <c r="BP62" s="290">
        <v>380.89699999999999</v>
      </c>
      <c r="BQ62" s="290">
        <v>-204.27199999999999</v>
      </c>
      <c r="BR62" s="290">
        <v>-129.81452628491775</v>
      </c>
      <c r="BS62" s="290">
        <v>1.4470000000000001</v>
      </c>
      <c r="BT62" s="290"/>
      <c r="BU62" s="290">
        <v>0</v>
      </c>
      <c r="BV62" s="290">
        <v>3000</v>
      </c>
      <c r="BW62" s="290">
        <v>-1694</v>
      </c>
      <c r="BX62" s="290">
        <v>843</v>
      </c>
      <c r="BY62" s="290">
        <v>233</v>
      </c>
      <c r="BZ62" s="290">
        <v>-1287</v>
      </c>
      <c r="CA62" s="290">
        <v>165.62783207749712</v>
      </c>
      <c r="CB62" s="290">
        <v>374</v>
      </c>
      <c r="CC62" s="290">
        <v>959</v>
      </c>
      <c r="CD62" s="290">
        <v>14</v>
      </c>
      <c r="CE62" s="290">
        <v>270</v>
      </c>
      <c r="CF62" s="290">
        <v>12</v>
      </c>
      <c r="CG62" s="290">
        <v>1</v>
      </c>
      <c r="CH62" s="290">
        <v>-8</v>
      </c>
      <c r="CI62" s="290">
        <v>-3266</v>
      </c>
      <c r="CJ62" s="290">
        <v>-8895</v>
      </c>
      <c r="CK62" s="290">
        <f>+innut22!E68+innut22!S68</f>
        <v>236373.58978109865</v>
      </c>
      <c r="CL62" s="290">
        <v>0</v>
      </c>
      <c r="CM62" s="290">
        <v>0</v>
      </c>
      <c r="CN62" s="290">
        <v>0</v>
      </c>
      <c r="CP62" s="290">
        <f>+innut23!E68</f>
        <v>220097.28292145001</v>
      </c>
      <c r="CQ62" s="290"/>
      <c r="CV62" s="85">
        <f t="shared" si="1"/>
        <v>1.365</v>
      </c>
    </row>
    <row r="63" spans="1:100" ht="13">
      <c r="A63" s="1">
        <v>1822</v>
      </c>
      <c r="B63" s="2" t="s">
        <v>182</v>
      </c>
      <c r="C63" s="289">
        <v>2257</v>
      </c>
      <c r="D63" s="290">
        <v>45</v>
      </c>
      <c r="E63" s="290">
        <v>129</v>
      </c>
      <c r="F63" s="290">
        <v>296</v>
      </c>
      <c r="G63" s="290">
        <v>138</v>
      </c>
      <c r="H63" s="290">
        <v>1234</v>
      </c>
      <c r="I63" s="290">
        <v>304</v>
      </c>
      <c r="J63" s="290">
        <v>90</v>
      </c>
      <c r="K63" s="290">
        <v>34</v>
      </c>
      <c r="L63" s="290">
        <v>17</v>
      </c>
      <c r="M63" s="290">
        <v>216</v>
      </c>
      <c r="N63" s="290">
        <v>39</v>
      </c>
      <c r="O63" s="290">
        <v>44</v>
      </c>
      <c r="P63" s="624">
        <v>17776.513666669998</v>
      </c>
      <c r="Q63" s="624">
        <v>9226.2473333300004</v>
      </c>
      <c r="R63" s="624">
        <v>9</v>
      </c>
      <c r="S63" s="290">
        <v>26</v>
      </c>
      <c r="T63" s="290">
        <v>169</v>
      </c>
      <c r="U63" s="958">
        <v>1.8212444312308313E-3</v>
      </c>
      <c r="V63" s="290">
        <v>1488.7257048199999</v>
      </c>
      <c r="W63" s="765">
        <v>0.84100549000000002</v>
      </c>
      <c r="X63" s="290">
        <v>0</v>
      </c>
      <c r="Y63" s="290"/>
      <c r="Z63" s="290">
        <f>innut22!E69</f>
        <v>60568.840525895794</v>
      </c>
      <c r="AA63" s="290">
        <v>0</v>
      </c>
      <c r="AB63" s="290">
        <v>66</v>
      </c>
      <c r="AC63" s="290">
        <v>381</v>
      </c>
      <c r="AD63" s="290"/>
      <c r="AE63" s="290">
        <v>0</v>
      </c>
      <c r="AF63" s="290">
        <v>0</v>
      </c>
      <c r="AG63" s="290">
        <v>2270</v>
      </c>
      <c r="AH63" s="290">
        <v>427</v>
      </c>
      <c r="AI63" s="290">
        <v>1600</v>
      </c>
      <c r="AJ63" s="290">
        <v>0</v>
      </c>
      <c r="AK63" s="290">
        <v>0</v>
      </c>
      <c r="AL63" s="290">
        <v>4239</v>
      </c>
      <c r="AM63" s="957">
        <v>5.4839939999999997E-2</v>
      </c>
      <c r="AN63" s="290">
        <v>0</v>
      </c>
      <c r="AO63" s="290">
        <v>555.79021913999998</v>
      </c>
      <c r="AP63" s="290">
        <v>0</v>
      </c>
      <c r="AQ63" s="290">
        <v>0</v>
      </c>
      <c r="AR63" s="290">
        <v>-109.50625782</v>
      </c>
      <c r="AS63" s="290">
        <v>945</v>
      </c>
      <c r="AT63" s="290">
        <v>93</v>
      </c>
      <c r="AU63" s="290">
        <v>17</v>
      </c>
      <c r="AV63" s="766">
        <v>105691</v>
      </c>
      <c r="AW63" s="290"/>
      <c r="AX63" s="766">
        <v>19.833349999999999</v>
      </c>
      <c r="AY63" s="290">
        <v>426</v>
      </c>
      <c r="AZ63" s="290">
        <v>180</v>
      </c>
      <c r="BA63" s="290">
        <v>49</v>
      </c>
      <c r="BB63" s="290">
        <v>6034</v>
      </c>
      <c r="BC63" s="290">
        <v>4269</v>
      </c>
      <c r="BD63" s="290"/>
      <c r="BE63" s="290">
        <v>106527.53505065</v>
      </c>
      <c r="BF63" s="290">
        <v>0</v>
      </c>
      <c r="BG63" s="290">
        <v>2038.4791908974114</v>
      </c>
      <c r="BH63" s="290">
        <v>109.82826661161563</v>
      </c>
      <c r="BI63" s="290">
        <v>808</v>
      </c>
      <c r="BJ63" s="290"/>
      <c r="BK63" s="290"/>
      <c r="BL63" s="290"/>
      <c r="BM63" s="290">
        <v>0</v>
      </c>
      <c r="BN63" s="290">
        <v>1057.5341000000001</v>
      </c>
      <c r="BO63" s="290">
        <v>-1057.7147538100548</v>
      </c>
      <c r="BP63" s="290">
        <v>163.47900000000001</v>
      </c>
      <c r="BQ63" s="290">
        <v>-87.671999999999997</v>
      </c>
      <c r="BR63" s="290">
        <v>-53.126901544283896</v>
      </c>
      <c r="BS63" s="290">
        <v>0.57299999999999995</v>
      </c>
      <c r="BT63" s="290"/>
      <c r="BU63" s="290">
        <v>0</v>
      </c>
      <c r="BV63" s="290">
        <v>1500</v>
      </c>
      <c r="BW63" s="290">
        <v>-521</v>
      </c>
      <c r="BX63" s="290">
        <v>334</v>
      </c>
      <c r="BY63" s="290">
        <v>67</v>
      </c>
      <c r="BZ63" s="290">
        <v>-396</v>
      </c>
      <c r="CA63" s="290">
        <v>-172.07244464566136</v>
      </c>
      <c r="CB63" s="290">
        <v>107</v>
      </c>
      <c r="CC63" s="290">
        <v>295</v>
      </c>
      <c r="CD63" s="290">
        <v>4</v>
      </c>
      <c r="CE63" s="290">
        <v>83</v>
      </c>
      <c r="CF63" s="290">
        <v>5</v>
      </c>
      <c r="CG63" s="290">
        <v>0</v>
      </c>
      <c r="CH63" s="290">
        <v>-3</v>
      </c>
      <c r="CI63" s="290">
        <v>-1005</v>
      </c>
      <c r="CJ63" s="290">
        <v>-2720</v>
      </c>
      <c r="CK63" s="290">
        <f>+innut22!E69+innut22!S69</f>
        <v>60568.840525895794</v>
      </c>
      <c r="CL63" s="290">
        <v>0</v>
      </c>
      <c r="CM63" s="290">
        <v>0</v>
      </c>
      <c r="CN63" s="290">
        <v>0</v>
      </c>
      <c r="CP63" s="290">
        <f>+innut23!E69</f>
        <v>56871.338237154254</v>
      </c>
      <c r="CQ63" s="290"/>
      <c r="CV63" s="85">
        <f t="shared" si="1"/>
        <v>0.42</v>
      </c>
    </row>
    <row r="64" spans="1:100" ht="13">
      <c r="A64" s="1">
        <v>1824</v>
      </c>
      <c r="B64" s="2" t="s">
        <v>183</v>
      </c>
      <c r="C64" s="289">
        <v>13233</v>
      </c>
      <c r="D64" s="290">
        <v>233</v>
      </c>
      <c r="E64" s="290">
        <v>508</v>
      </c>
      <c r="F64" s="290">
        <v>1411</v>
      </c>
      <c r="G64" s="290">
        <v>1148</v>
      </c>
      <c r="H64" s="290">
        <v>7359</v>
      </c>
      <c r="I64" s="290">
        <v>1786</v>
      </c>
      <c r="J64" s="290">
        <v>658</v>
      </c>
      <c r="K64" s="290">
        <v>151</v>
      </c>
      <c r="L64" s="290">
        <v>104</v>
      </c>
      <c r="M64" s="290">
        <v>1213</v>
      </c>
      <c r="N64" s="290">
        <v>175</v>
      </c>
      <c r="O64" s="290">
        <v>76</v>
      </c>
      <c r="P64" s="624">
        <v>50666.626333330001</v>
      </c>
      <c r="Q64" s="624">
        <v>26689.651666670001</v>
      </c>
      <c r="R64" s="624">
        <v>78</v>
      </c>
      <c r="S64" s="290">
        <v>153</v>
      </c>
      <c r="T64" s="290">
        <v>1286</v>
      </c>
      <c r="U64" s="958">
        <v>2.6331324151303965E-3</v>
      </c>
      <c r="V64" s="290">
        <v>7134.8880881900004</v>
      </c>
      <c r="W64" s="765">
        <v>0.59336939</v>
      </c>
      <c r="X64" s="290">
        <v>0</v>
      </c>
      <c r="Y64" s="290"/>
      <c r="Z64" s="290">
        <f>innut22!E70</f>
        <v>432934.69638858037</v>
      </c>
      <c r="AA64" s="290">
        <v>0</v>
      </c>
      <c r="AB64" s="290">
        <v>450</v>
      </c>
      <c r="AC64" s="290">
        <v>1148</v>
      </c>
      <c r="AD64" s="290"/>
      <c r="AE64" s="290">
        <v>0</v>
      </c>
      <c r="AF64" s="290">
        <v>0</v>
      </c>
      <c r="AG64" s="290">
        <v>13254</v>
      </c>
      <c r="AH64" s="290">
        <v>2161</v>
      </c>
      <c r="AI64" s="290">
        <v>1000</v>
      </c>
      <c r="AJ64" s="290">
        <v>0</v>
      </c>
      <c r="AK64" s="290">
        <v>8092</v>
      </c>
      <c r="AL64" s="290">
        <v>24692</v>
      </c>
      <c r="AM64" s="957">
        <v>0.12689052000000001</v>
      </c>
      <c r="AN64" s="290">
        <v>0</v>
      </c>
      <c r="AO64" s="290">
        <v>2663.68814699</v>
      </c>
      <c r="AP64" s="290">
        <v>0</v>
      </c>
      <c r="AQ64" s="290">
        <v>0</v>
      </c>
      <c r="AR64" s="290">
        <v>-639.38147187000004</v>
      </c>
      <c r="AS64" s="290">
        <v>3353</v>
      </c>
      <c r="AT64" s="290">
        <v>658</v>
      </c>
      <c r="AU64" s="290">
        <v>92</v>
      </c>
      <c r="AV64" s="766">
        <v>415649</v>
      </c>
      <c r="AW64" s="290"/>
      <c r="AX64" s="766">
        <v>101.83329999999999</v>
      </c>
      <c r="AY64" s="290">
        <v>2705</v>
      </c>
      <c r="AZ64" s="290">
        <v>369</v>
      </c>
      <c r="BA64" s="290">
        <v>266</v>
      </c>
      <c r="BB64" s="290">
        <v>0</v>
      </c>
      <c r="BC64" s="290">
        <v>28637</v>
      </c>
      <c r="BD64" s="290"/>
      <c r="BE64" s="290">
        <v>415308.69923045998</v>
      </c>
      <c r="BF64" s="290">
        <v>0</v>
      </c>
      <c r="BG64" s="290">
        <v>11951.792261030327</v>
      </c>
      <c r="BH64" s="290">
        <v>643.93329732898087</v>
      </c>
      <c r="BI64" s="290">
        <v>11401</v>
      </c>
      <c r="BJ64" s="290"/>
      <c r="BK64" s="290"/>
      <c r="BL64" s="290"/>
      <c r="BM64" s="290">
        <v>0</v>
      </c>
      <c r="BN64" s="290">
        <v>5068.35304</v>
      </c>
      <c r="BO64" s="290">
        <v>-6175.74949206981</v>
      </c>
      <c r="BP64" s="290">
        <v>688.49300000000005</v>
      </c>
      <c r="BQ64" s="290">
        <v>-369.233</v>
      </c>
      <c r="BR64" s="290">
        <v>-219.87131849318146</v>
      </c>
      <c r="BS64" s="290">
        <v>2.4980000000000002</v>
      </c>
      <c r="BT64" s="290"/>
      <c r="BU64" s="290">
        <v>0</v>
      </c>
      <c r="BV64" s="290">
        <v>2500</v>
      </c>
      <c r="BW64" s="290">
        <v>-3044</v>
      </c>
      <c r="BX64" s="290">
        <v>1407</v>
      </c>
      <c r="BY64" s="290">
        <v>400</v>
      </c>
      <c r="BZ64" s="290">
        <v>-2314</v>
      </c>
      <c r="CA64" s="290">
        <v>-4.4902294370085656</v>
      </c>
      <c r="CB64" s="290">
        <v>642</v>
      </c>
      <c r="CC64" s="290">
        <v>1724</v>
      </c>
      <c r="CD64" s="290">
        <v>24</v>
      </c>
      <c r="CE64" s="290">
        <v>488</v>
      </c>
      <c r="CF64" s="290">
        <v>20</v>
      </c>
      <c r="CG64" s="290">
        <v>2</v>
      </c>
      <c r="CH64" s="290">
        <v>-13</v>
      </c>
      <c r="CI64" s="290">
        <v>-5894</v>
      </c>
      <c r="CJ64" s="290">
        <v>-15998</v>
      </c>
      <c r="CK64" s="290">
        <f>+innut22!E70+innut22!S70</f>
        <v>432934.69638858037</v>
      </c>
      <c r="CL64" s="290">
        <v>9065.0748295148296</v>
      </c>
      <c r="CM64" s="290">
        <v>10007.179748604285</v>
      </c>
      <c r="CN64" s="290">
        <v>10926.045970300627</v>
      </c>
      <c r="CP64" s="290">
        <f>+innut23!E70</f>
        <v>399986.84567051748</v>
      </c>
      <c r="CQ64" s="290"/>
      <c r="CV64" s="85">
        <f t="shared" si="1"/>
        <v>2.4540000000000002</v>
      </c>
    </row>
    <row r="65" spans="1:100" ht="13">
      <c r="A65" s="1">
        <v>1825</v>
      </c>
      <c r="B65" s="2" t="s">
        <v>184</v>
      </c>
      <c r="C65" s="289">
        <v>1461</v>
      </c>
      <c r="D65" s="290">
        <v>20</v>
      </c>
      <c r="E65" s="290">
        <v>45</v>
      </c>
      <c r="F65" s="290">
        <v>159</v>
      </c>
      <c r="G65" s="290">
        <v>138</v>
      </c>
      <c r="H65" s="290">
        <v>745</v>
      </c>
      <c r="I65" s="290">
        <v>227</v>
      </c>
      <c r="J65" s="290">
        <v>96</v>
      </c>
      <c r="K65" s="290">
        <v>19</v>
      </c>
      <c r="L65" s="290">
        <v>10</v>
      </c>
      <c r="M65" s="290">
        <v>154</v>
      </c>
      <c r="N65" s="290">
        <v>9</v>
      </c>
      <c r="O65" s="290">
        <v>20</v>
      </c>
      <c r="P65" s="624">
        <v>11015.861999999999</v>
      </c>
      <c r="Q65" s="624">
        <v>8508.37033333</v>
      </c>
      <c r="R65" s="624">
        <v>8</v>
      </c>
      <c r="S65" s="290">
        <v>15</v>
      </c>
      <c r="T65" s="290">
        <v>134</v>
      </c>
      <c r="U65" s="958">
        <v>1.1465655584492061E-3</v>
      </c>
      <c r="V65" s="290">
        <v>976.02716834</v>
      </c>
      <c r="W65" s="765">
        <v>1</v>
      </c>
      <c r="X65" s="290">
        <v>0</v>
      </c>
      <c r="Y65" s="290"/>
      <c r="Z65" s="290">
        <f>innut22!E71</f>
        <v>42382.855163579537</v>
      </c>
      <c r="AA65" s="290">
        <v>0</v>
      </c>
      <c r="AB65" s="290">
        <v>35</v>
      </c>
      <c r="AC65" s="290">
        <v>189</v>
      </c>
      <c r="AD65" s="290"/>
      <c r="AE65" s="290">
        <v>0</v>
      </c>
      <c r="AF65" s="290">
        <v>0</v>
      </c>
      <c r="AG65" s="290">
        <v>1449</v>
      </c>
      <c r="AH65" s="290">
        <v>227</v>
      </c>
      <c r="AI65" s="290">
        <v>600</v>
      </c>
      <c r="AJ65" s="290">
        <v>0</v>
      </c>
      <c r="AK65" s="290">
        <v>0</v>
      </c>
      <c r="AL65" s="290">
        <v>2704</v>
      </c>
      <c r="AM65" s="957">
        <v>1.321518E-2</v>
      </c>
      <c r="AN65" s="290">
        <v>0</v>
      </c>
      <c r="AO65" s="290">
        <v>364.38301025999999</v>
      </c>
      <c r="AP65" s="290">
        <v>0</v>
      </c>
      <c r="AQ65" s="290">
        <v>0</v>
      </c>
      <c r="AR65" s="290">
        <v>-69.900690560000001</v>
      </c>
      <c r="AS65" s="290">
        <v>490</v>
      </c>
      <c r="AT65" s="290">
        <v>75</v>
      </c>
      <c r="AU65" s="290">
        <v>6</v>
      </c>
      <c r="AV65" s="766">
        <v>72584</v>
      </c>
      <c r="AW65" s="290"/>
      <c r="AX65" s="766">
        <v>5.0833000000000004</v>
      </c>
      <c r="AY65" s="290">
        <v>195</v>
      </c>
      <c r="AZ65" s="290">
        <v>62</v>
      </c>
      <c r="BA65" s="290">
        <v>26</v>
      </c>
      <c r="BB65" s="290">
        <v>6034</v>
      </c>
      <c r="BC65" s="290">
        <v>2839</v>
      </c>
      <c r="BD65" s="290"/>
      <c r="BE65" s="290">
        <v>73022.484093229999</v>
      </c>
      <c r="BF65" s="290">
        <v>0</v>
      </c>
      <c r="BG65" s="290">
        <v>1319.5472299074518</v>
      </c>
      <c r="BH65" s="290">
        <v>71.093973203176986</v>
      </c>
      <c r="BI65" s="290">
        <v>416</v>
      </c>
      <c r="BJ65" s="290"/>
      <c r="BK65" s="290"/>
      <c r="BL65" s="290"/>
      <c r="BM65" s="290">
        <v>0</v>
      </c>
      <c r="BN65" s="290">
        <v>693.33255999999994</v>
      </c>
      <c r="BO65" s="290">
        <v>-675.16681862148437</v>
      </c>
      <c r="BP65" s="290">
        <v>56.594000000000001</v>
      </c>
      <c r="BQ65" s="290">
        <v>-30.350999999999999</v>
      </c>
      <c r="BR65" s="290">
        <v>-31.132461244584768</v>
      </c>
      <c r="BS65" s="290">
        <v>0.46300000000000002</v>
      </c>
      <c r="BT65" s="290"/>
      <c r="BU65" s="290">
        <v>0</v>
      </c>
      <c r="BV65" s="290">
        <v>500</v>
      </c>
      <c r="BW65" s="290">
        <v>-333</v>
      </c>
      <c r="BX65" s="290">
        <v>199</v>
      </c>
      <c r="BY65" s="290">
        <v>38</v>
      </c>
      <c r="BZ65" s="290">
        <v>-253</v>
      </c>
      <c r="CA65" s="290">
        <v>-0.73928013393080505</v>
      </c>
      <c r="CB65" s="290">
        <v>61</v>
      </c>
      <c r="CC65" s="290">
        <v>188</v>
      </c>
      <c r="CD65" s="290">
        <v>2</v>
      </c>
      <c r="CE65" s="290">
        <v>54</v>
      </c>
      <c r="CF65" s="290">
        <v>4</v>
      </c>
      <c r="CG65" s="290">
        <v>0</v>
      </c>
      <c r="CH65" s="290">
        <v>-2</v>
      </c>
      <c r="CI65" s="290">
        <v>-651</v>
      </c>
      <c r="CJ65" s="290">
        <v>-1730</v>
      </c>
      <c r="CK65" s="290">
        <f>+innut22!E71+innut22!S71</f>
        <v>42382.855163579537</v>
      </c>
      <c r="CL65" s="290">
        <v>0</v>
      </c>
      <c r="CM65" s="290">
        <v>0</v>
      </c>
      <c r="CN65" s="290">
        <v>0</v>
      </c>
      <c r="CP65" s="290">
        <f>+innut23!E71</f>
        <v>39476.725288169502</v>
      </c>
      <c r="CQ65" s="290"/>
      <c r="CV65" s="85">
        <f t="shared" si="1"/>
        <v>0.26800000000000002</v>
      </c>
    </row>
    <row r="66" spans="1:100" ht="13">
      <c r="A66" s="1">
        <v>1826</v>
      </c>
      <c r="B66" s="2" t="s">
        <v>185</v>
      </c>
      <c r="C66" s="289">
        <v>1273</v>
      </c>
      <c r="D66" s="290">
        <v>19</v>
      </c>
      <c r="E66" s="290">
        <v>32</v>
      </c>
      <c r="F66" s="290">
        <v>138</v>
      </c>
      <c r="G66" s="290">
        <v>104</v>
      </c>
      <c r="H66" s="290">
        <v>651</v>
      </c>
      <c r="I66" s="290">
        <v>227</v>
      </c>
      <c r="J66" s="290">
        <v>80</v>
      </c>
      <c r="K66" s="290">
        <v>20</v>
      </c>
      <c r="L66" s="290">
        <v>11</v>
      </c>
      <c r="M66" s="290">
        <v>134</v>
      </c>
      <c r="N66" s="290">
        <v>11</v>
      </c>
      <c r="O66" s="290">
        <v>7</v>
      </c>
      <c r="P66" s="624">
        <v>14045.909</v>
      </c>
      <c r="Q66" s="624">
        <v>9844.9210000000003</v>
      </c>
      <c r="R66" s="624">
        <v>10</v>
      </c>
      <c r="S66" s="290">
        <v>12</v>
      </c>
      <c r="T66" s="290">
        <v>99</v>
      </c>
      <c r="U66" s="958">
        <v>2.1142871949915744E-3</v>
      </c>
      <c r="V66" s="290">
        <v>911.05221496000001</v>
      </c>
      <c r="W66" s="765">
        <v>1</v>
      </c>
      <c r="X66" s="290">
        <v>0</v>
      </c>
      <c r="Y66" s="290"/>
      <c r="Z66" s="290">
        <f>innut22!E72</f>
        <v>34145.295429893391</v>
      </c>
      <c r="AA66" s="290">
        <v>0</v>
      </c>
      <c r="AB66" s="290">
        <v>25</v>
      </c>
      <c r="AC66" s="290">
        <v>0</v>
      </c>
      <c r="AD66" s="290"/>
      <c r="AE66" s="290">
        <v>0</v>
      </c>
      <c r="AF66" s="290">
        <v>0</v>
      </c>
      <c r="AG66" s="290">
        <v>1271</v>
      </c>
      <c r="AH66" s="290">
        <v>188</v>
      </c>
      <c r="AI66" s="290">
        <v>1850</v>
      </c>
      <c r="AJ66" s="290">
        <v>0</v>
      </c>
      <c r="AK66" s="290">
        <v>0</v>
      </c>
      <c r="AL66" s="290">
        <v>2358</v>
      </c>
      <c r="AM66" s="957">
        <v>1.0278519999999999E-2</v>
      </c>
      <c r="AN66" s="290">
        <v>0</v>
      </c>
      <c r="AO66" s="290">
        <v>340.12572534999998</v>
      </c>
      <c r="AP66" s="290">
        <v>0</v>
      </c>
      <c r="AQ66" s="290">
        <v>0</v>
      </c>
      <c r="AR66" s="290">
        <v>388.00426805000001</v>
      </c>
      <c r="AS66" s="290">
        <v>480</v>
      </c>
      <c r="AT66" s="290">
        <v>50</v>
      </c>
      <c r="AU66" s="290">
        <v>6</v>
      </c>
      <c r="AV66" s="766">
        <v>72034</v>
      </c>
      <c r="AW66" s="290"/>
      <c r="AX66" s="766">
        <v>5.9583000000000004</v>
      </c>
      <c r="AY66" s="290">
        <v>191</v>
      </c>
      <c r="AZ66" s="290">
        <v>55</v>
      </c>
      <c r="BA66" s="290">
        <v>20</v>
      </c>
      <c r="BB66" s="290">
        <v>6034</v>
      </c>
      <c r="BC66" s="290">
        <v>2508</v>
      </c>
      <c r="BD66" s="290"/>
      <c r="BE66" s="290">
        <v>70882.524358809998</v>
      </c>
      <c r="BF66" s="290">
        <v>0</v>
      </c>
      <c r="BG66" s="290">
        <v>1149.7492290706268</v>
      </c>
      <c r="BH66" s="290">
        <v>61.945672749927652</v>
      </c>
      <c r="BI66" s="290">
        <v>188</v>
      </c>
      <c r="BJ66" s="290"/>
      <c r="BK66" s="290"/>
      <c r="BL66" s="290"/>
      <c r="BM66" s="290">
        <v>0</v>
      </c>
      <c r="BN66" s="290">
        <v>647.17683999999997</v>
      </c>
      <c r="BO66" s="290">
        <v>-592.22707140642285</v>
      </c>
      <c r="BP66" s="290">
        <v>43.48</v>
      </c>
      <c r="BQ66" s="290">
        <v>-23.318000000000001</v>
      </c>
      <c r="BR66" s="290">
        <v>-28.553768593577111</v>
      </c>
      <c r="BS66" s="290">
        <v>0.442</v>
      </c>
      <c r="BT66" s="290"/>
      <c r="BU66" s="290">
        <v>0</v>
      </c>
      <c r="BV66" s="290">
        <v>1500</v>
      </c>
      <c r="BW66" s="290">
        <v>-292</v>
      </c>
      <c r="BX66" s="290">
        <v>178</v>
      </c>
      <c r="BY66" s="290">
        <v>30</v>
      </c>
      <c r="BZ66" s="290">
        <v>-222</v>
      </c>
      <c r="CA66" s="290">
        <v>0</v>
      </c>
      <c r="CB66" s="290">
        <v>48</v>
      </c>
      <c r="CC66" s="290">
        <v>165</v>
      </c>
      <c r="CD66" s="290">
        <v>2</v>
      </c>
      <c r="CE66" s="290">
        <v>47</v>
      </c>
      <c r="CF66" s="290">
        <v>4</v>
      </c>
      <c r="CG66" s="290">
        <v>0</v>
      </c>
      <c r="CH66" s="290">
        <v>-2</v>
      </c>
      <c r="CI66" s="290">
        <v>-567</v>
      </c>
      <c r="CJ66" s="290">
        <v>-1493</v>
      </c>
      <c r="CK66" s="290">
        <f>+innut22!E72+innut22!S72</f>
        <v>34145.295429893391</v>
      </c>
      <c r="CL66" s="290">
        <v>0</v>
      </c>
      <c r="CM66" s="290">
        <v>0</v>
      </c>
      <c r="CN66" s="290">
        <v>0</v>
      </c>
      <c r="CP66" s="290">
        <f>+innut23!E72</f>
        <v>32377.595544578639</v>
      </c>
      <c r="CQ66" s="290"/>
      <c r="CV66" s="85">
        <f t="shared" si="1"/>
        <v>0.23499999999999999</v>
      </c>
    </row>
    <row r="67" spans="1:100" ht="13">
      <c r="A67" s="1">
        <v>1827</v>
      </c>
      <c r="B67" s="2" t="s">
        <v>186</v>
      </c>
      <c r="C67" s="289">
        <v>1369</v>
      </c>
      <c r="D67" s="290">
        <v>16</v>
      </c>
      <c r="E67" s="290">
        <v>35</v>
      </c>
      <c r="F67" s="290">
        <v>160</v>
      </c>
      <c r="G67" s="290">
        <v>118</v>
      </c>
      <c r="H67" s="290">
        <v>722</v>
      </c>
      <c r="I67" s="290">
        <v>242</v>
      </c>
      <c r="J67" s="290">
        <v>70</v>
      </c>
      <c r="K67" s="290">
        <v>16</v>
      </c>
      <c r="L67" s="290">
        <v>12</v>
      </c>
      <c r="M67" s="290">
        <v>147</v>
      </c>
      <c r="N67" s="290">
        <v>11</v>
      </c>
      <c r="O67" s="290">
        <v>19</v>
      </c>
      <c r="P67" s="624">
        <v>17062.50466667</v>
      </c>
      <c r="Q67" s="624">
        <v>13679.687333329999</v>
      </c>
      <c r="R67" s="624">
        <v>13</v>
      </c>
      <c r="S67" s="290">
        <v>14</v>
      </c>
      <c r="T67" s="290">
        <v>133</v>
      </c>
      <c r="U67" s="958">
        <v>1.5337358904855224E-3</v>
      </c>
      <c r="V67" s="290">
        <v>-1917.6339788099999</v>
      </c>
      <c r="W67" s="765">
        <v>1</v>
      </c>
      <c r="X67" s="290">
        <v>0</v>
      </c>
      <c r="Y67" s="290"/>
      <c r="Z67" s="290">
        <f>innut22!E73</f>
        <v>51910.334909703728</v>
      </c>
      <c r="AA67" s="290">
        <v>0</v>
      </c>
      <c r="AB67" s="290">
        <v>30</v>
      </c>
      <c r="AC67" s="290">
        <v>412</v>
      </c>
      <c r="AD67" s="290"/>
      <c r="AE67" s="290">
        <v>0</v>
      </c>
      <c r="AF67" s="290">
        <v>0</v>
      </c>
      <c r="AG67" s="290">
        <v>1379</v>
      </c>
      <c r="AH67" s="290">
        <v>220</v>
      </c>
      <c r="AI67" s="290">
        <v>0</v>
      </c>
      <c r="AJ67" s="290">
        <v>0</v>
      </c>
      <c r="AK67" s="290">
        <v>0</v>
      </c>
      <c r="AL67" s="290">
        <v>2551</v>
      </c>
      <c r="AM67" s="957">
        <v>8.5207800000000004E-3</v>
      </c>
      <c r="AN67" s="290">
        <v>0</v>
      </c>
      <c r="AO67" s="290">
        <v>369.13884258000002</v>
      </c>
      <c r="AP67" s="290">
        <v>0</v>
      </c>
      <c r="AQ67" s="290">
        <v>0</v>
      </c>
      <c r="AR67" s="290">
        <v>-66.523845609999995</v>
      </c>
      <c r="AS67" s="290">
        <v>86</v>
      </c>
      <c r="AT67" s="290">
        <v>52</v>
      </c>
      <c r="AU67" s="290">
        <v>7</v>
      </c>
      <c r="AV67" s="766">
        <v>73703</v>
      </c>
      <c r="AW67" s="290"/>
      <c r="AX67" s="766">
        <v>6</v>
      </c>
      <c r="AY67" s="290">
        <v>256</v>
      </c>
      <c r="AZ67" s="290">
        <v>44</v>
      </c>
      <c r="BA67" s="290">
        <v>32</v>
      </c>
      <c r="BB67" s="290">
        <v>6034</v>
      </c>
      <c r="BC67" s="290">
        <v>2677</v>
      </c>
      <c r="BD67" s="290"/>
      <c r="BE67" s="290">
        <v>73941.362567060001</v>
      </c>
      <c r="BF67" s="290">
        <v>0</v>
      </c>
      <c r="BG67" s="290">
        <v>1236.4545912000692</v>
      </c>
      <c r="BH67" s="290">
        <v>66.617145321799654</v>
      </c>
      <c r="BI67" s="290">
        <v>632</v>
      </c>
      <c r="BJ67" s="290"/>
      <c r="BK67" s="290"/>
      <c r="BL67" s="290"/>
      <c r="BM67" s="290">
        <v>0</v>
      </c>
      <c r="BN67" s="290">
        <v>702.38175999999999</v>
      </c>
      <c r="BO67" s="290">
        <v>-642.55006409870737</v>
      </c>
      <c r="BP67" s="290">
        <v>48.252000000000002</v>
      </c>
      <c r="BQ67" s="290">
        <v>-25.876999999999999</v>
      </c>
      <c r="BR67" s="290">
        <v>-35.067763024537051</v>
      </c>
      <c r="BS67" s="290">
        <v>0.47099999999999997</v>
      </c>
      <c r="BT67" s="290"/>
      <c r="BU67" s="290">
        <v>0</v>
      </c>
      <c r="BV67" s="290">
        <v>1000</v>
      </c>
      <c r="BW67" s="290">
        <v>-317</v>
      </c>
      <c r="BX67" s="290">
        <v>208</v>
      </c>
      <c r="BY67" s="290">
        <v>36</v>
      </c>
      <c r="BZ67" s="290">
        <v>-241</v>
      </c>
      <c r="CA67" s="290">
        <v>-1.6099328767555789</v>
      </c>
      <c r="CB67" s="290">
        <v>58</v>
      </c>
      <c r="CC67" s="290">
        <v>179</v>
      </c>
      <c r="CD67" s="290">
        <v>2</v>
      </c>
      <c r="CE67" s="290">
        <v>50</v>
      </c>
      <c r="CF67" s="290">
        <v>4</v>
      </c>
      <c r="CG67" s="290">
        <v>0</v>
      </c>
      <c r="CH67" s="290">
        <v>-2</v>
      </c>
      <c r="CI67" s="290">
        <v>-610</v>
      </c>
      <c r="CJ67" s="290">
        <v>-1732</v>
      </c>
      <c r="CK67" s="290">
        <f>+innut22!E73+innut22!S73</f>
        <v>51910.334909703728</v>
      </c>
      <c r="CL67" s="290">
        <v>0</v>
      </c>
      <c r="CM67" s="290">
        <v>0</v>
      </c>
      <c r="CN67" s="290">
        <v>0</v>
      </c>
      <c r="CP67" s="290">
        <f>+innut23!E73</f>
        <v>45901.030997471542</v>
      </c>
      <c r="CQ67" s="290"/>
      <c r="CV67" s="85">
        <f t="shared" si="1"/>
        <v>0.255</v>
      </c>
    </row>
    <row r="68" spans="1:100" ht="13">
      <c r="A68" s="1">
        <v>1828</v>
      </c>
      <c r="B68" s="2" t="s">
        <v>187</v>
      </c>
      <c r="C68" s="289">
        <v>1698</v>
      </c>
      <c r="D68" s="290">
        <v>30</v>
      </c>
      <c r="E68" s="290">
        <v>51</v>
      </c>
      <c r="F68" s="290">
        <v>194</v>
      </c>
      <c r="G68" s="290">
        <v>160</v>
      </c>
      <c r="H68" s="290">
        <v>939</v>
      </c>
      <c r="I68" s="290">
        <v>232</v>
      </c>
      <c r="J68" s="290">
        <v>81</v>
      </c>
      <c r="K68" s="290">
        <v>10</v>
      </c>
      <c r="L68" s="290">
        <v>13</v>
      </c>
      <c r="M68" s="290">
        <v>151</v>
      </c>
      <c r="N68" s="290">
        <v>34</v>
      </c>
      <c r="O68" s="290">
        <v>32</v>
      </c>
      <c r="P68" s="624">
        <v>8119.2673333299999</v>
      </c>
      <c r="Q68" s="624">
        <v>4520.3389999999999</v>
      </c>
      <c r="R68" s="624">
        <v>9</v>
      </c>
      <c r="S68" s="290">
        <v>22</v>
      </c>
      <c r="T68" s="290">
        <v>166</v>
      </c>
      <c r="U68" s="958">
        <v>1.1205332241002795E-3</v>
      </c>
      <c r="V68" s="290">
        <v>1059.93761283</v>
      </c>
      <c r="W68" s="765">
        <v>1</v>
      </c>
      <c r="X68" s="290">
        <v>0</v>
      </c>
      <c r="Y68" s="290"/>
      <c r="Z68" s="290">
        <f>innut22!E74</f>
        <v>51700.921887663826</v>
      </c>
      <c r="AA68" s="290">
        <v>0</v>
      </c>
      <c r="AB68" s="290">
        <v>53</v>
      </c>
      <c r="AC68" s="290">
        <v>688</v>
      </c>
      <c r="AD68" s="290"/>
      <c r="AE68" s="290">
        <v>0</v>
      </c>
      <c r="AF68" s="290">
        <v>0</v>
      </c>
      <c r="AG68" s="290">
        <v>1697</v>
      </c>
      <c r="AH68" s="290">
        <v>278</v>
      </c>
      <c r="AI68" s="290">
        <v>0</v>
      </c>
      <c r="AJ68" s="290">
        <v>0</v>
      </c>
      <c r="AK68" s="290">
        <v>0</v>
      </c>
      <c r="AL68" s="290">
        <v>3166</v>
      </c>
      <c r="AM68" s="957">
        <v>4.2054319999999999E-2</v>
      </c>
      <c r="AN68" s="290">
        <v>0</v>
      </c>
      <c r="AO68" s="290">
        <v>395.70953615000002</v>
      </c>
      <c r="AP68" s="290">
        <v>0</v>
      </c>
      <c r="AQ68" s="290">
        <v>0</v>
      </c>
      <c r="AR68" s="290">
        <v>1309.1757631999999</v>
      </c>
      <c r="AS68" s="290">
        <v>100</v>
      </c>
      <c r="AT68" s="290">
        <v>65</v>
      </c>
      <c r="AU68" s="290">
        <v>18</v>
      </c>
      <c r="AV68" s="766">
        <v>77571</v>
      </c>
      <c r="AW68" s="290"/>
      <c r="AX68" s="766">
        <v>22.250050000000002</v>
      </c>
      <c r="AY68" s="290">
        <v>410</v>
      </c>
      <c r="AZ68" s="290">
        <v>104</v>
      </c>
      <c r="BA68" s="290">
        <v>17</v>
      </c>
      <c r="BB68" s="290">
        <v>6034</v>
      </c>
      <c r="BC68" s="290">
        <v>3247</v>
      </c>
      <c r="BD68" s="290"/>
      <c r="BE68" s="290">
        <v>75459.756215009998</v>
      </c>
      <c r="BF68" s="290">
        <v>0</v>
      </c>
      <c r="BG68" s="290">
        <v>1533.6010926645126</v>
      </c>
      <c r="BH68" s="290">
        <v>82.626671114985996</v>
      </c>
      <c r="BI68" s="290">
        <v>966</v>
      </c>
      <c r="BJ68" s="290"/>
      <c r="BK68" s="290"/>
      <c r="BL68" s="290"/>
      <c r="BM68" s="290">
        <v>0</v>
      </c>
      <c r="BN68" s="290">
        <v>752.93935999999997</v>
      </c>
      <c r="BO68" s="290">
        <v>-790.723320359323</v>
      </c>
      <c r="BP68" s="290">
        <v>82.594999999999999</v>
      </c>
      <c r="BQ68" s="290">
        <v>-44.295000000000002</v>
      </c>
      <c r="BR68" s="290">
        <v>-35.954846783087412</v>
      </c>
      <c r="BS68" s="290">
        <v>0.47299999999999998</v>
      </c>
      <c r="BT68" s="290"/>
      <c r="BU68" s="290">
        <v>0</v>
      </c>
      <c r="BV68" s="290">
        <v>500</v>
      </c>
      <c r="BW68" s="290">
        <v>-390</v>
      </c>
      <c r="BX68" s="290">
        <v>229</v>
      </c>
      <c r="BY68" s="290">
        <v>57</v>
      </c>
      <c r="BZ68" s="290">
        <v>-296</v>
      </c>
      <c r="CA68" s="290">
        <v>-255.03419285758957</v>
      </c>
      <c r="CB68" s="290">
        <v>92</v>
      </c>
      <c r="CC68" s="290">
        <v>221</v>
      </c>
      <c r="CD68" s="290">
        <v>3</v>
      </c>
      <c r="CE68" s="290">
        <v>63</v>
      </c>
      <c r="CF68" s="290">
        <v>4</v>
      </c>
      <c r="CG68" s="290">
        <v>0</v>
      </c>
      <c r="CH68" s="290">
        <v>-3</v>
      </c>
      <c r="CI68" s="290">
        <v>-756</v>
      </c>
      <c r="CJ68" s="290">
        <v>-2062</v>
      </c>
      <c r="CK68" s="290">
        <f>+innut22!E74+innut22!S74</f>
        <v>51700.921887663826</v>
      </c>
      <c r="CL68" s="290">
        <v>0</v>
      </c>
      <c r="CM68" s="290">
        <v>0</v>
      </c>
      <c r="CN68" s="290">
        <v>0</v>
      </c>
      <c r="CP68" s="290">
        <f>+innut23!E74</f>
        <v>48303.835814019534</v>
      </c>
      <c r="CQ68" s="290"/>
      <c r="CV68" s="85">
        <f t="shared" si="1"/>
        <v>0.314</v>
      </c>
    </row>
    <row r="69" spans="1:100" ht="13">
      <c r="A69" s="1">
        <v>1832</v>
      </c>
      <c r="B69" s="2" t="s">
        <v>188</v>
      </c>
      <c r="C69" s="289">
        <v>4420</v>
      </c>
      <c r="D69" s="290">
        <v>75</v>
      </c>
      <c r="E69" s="290">
        <v>183</v>
      </c>
      <c r="F69" s="290">
        <v>475</v>
      </c>
      <c r="G69" s="290">
        <v>351</v>
      </c>
      <c r="H69" s="290">
        <v>2338</v>
      </c>
      <c r="I69" s="290">
        <v>676</v>
      </c>
      <c r="J69" s="290">
        <v>235</v>
      </c>
      <c r="K69" s="290">
        <v>74</v>
      </c>
      <c r="L69" s="290">
        <v>34</v>
      </c>
      <c r="M69" s="290">
        <v>475</v>
      </c>
      <c r="N69" s="290">
        <v>34</v>
      </c>
      <c r="O69" s="290">
        <v>15</v>
      </c>
      <c r="P69" s="624">
        <v>67921.042000000001</v>
      </c>
      <c r="Q69" s="624">
        <v>17306.212333330001</v>
      </c>
      <c r="R69" s="624">
        <v>22</v>
      </c>
      <c r="S69" s="290">
        <v>45</v>
      </c>
      <c r="T69" s="290">
        <v>387</v>
      </c>
      <c r="U69" s="958">
        <v>2.0285039787534299E-3</v>
      </c>
      <c r="V69" s="290">
        <v>2681.6139391900001</v>
      </c>
      <c r="W69" s="765">
        <v>0.90960737999999997</v>
      </c>
      <c r="X69" s="290">
        <v>0</v>
      </c>
      <c r="Y69" s="290"/>
      <c r="Z69" s="290">
        <f>innut22!E75</f>
        <v>152214.04055953759</v>
      </c>
      <c r="AA69" s="290">
        <v>0</v>
      </c>
      <c r="AB69" s="290">
        <v>124</v>
      </c>
      <c r="AC69" s="290">
        <v>117</v>
      </c>
      <c r="AD69" s="290"/>
      <c r="AE69" s="290">
        <v>0</v>
      </c>
      <c r="AF69" s="290">
        <v>0</v>
      </c>
      <c r="AG69" s="290">
        <v>4407</v>
      </c>
      <c r="AH69" s="290">
        <v>726</v>
      </c>
      <c r="AI69" s="290">
        <v>400</v>
      </c>
      <c r="AJ69" s="290">
        <v>0</v>
      </c>
      <c r="AK69" s="290">
        <v>0</v>
      </c>
      <c r="AL69" s="290">
        <v>8241</v>
      </c>
      <c r="AM69" s="957">
        <v>3.5486990000000003E-2</v>
      </c>
      <c r="AN69" s="290">
        <v>0</v>
      </c>
      <c r="AO69" s="290">
        <v>1001.13459053</v>
      </c>
      <c r="AP69" s="290">
        <v>0</v>
      </c>
      <c r="AQ69" s="290">
        <v>0</v>
      </c>
      <c r="AR69" s="290">
        <v>-212.59651023000001</v>
      </c>
      <c r="AS69" s="290">
        <v>1038</v>
      </c>
      <c r="AT69" s="290">
        <v>196</v>
      </c>
      <c r="AU69" s="290">
        <v>25</v>
      </c>
      <c r="AV69" s="766">
        <v>171964</v>
      </c>
      <c r="AW69" s="290"/>
      <c r="AX69" s="766">
        <v>31.791699999999999</v>
      </c>
      <c r="AY69" s="290">
        <v>738</v>
      </c>
      <c r="AZ69" s="290">
        <v>142</v>
      </c>
      <c r="BA69" s="290">
        <v>112</v>
      </c>
      <c r="BB69" s="290">
        <v>0</v>
      </c>
      <c r="BC69" s="290">
        <v>7984</v>
      </c>
      <c r="BD69" s="290"/>
      <c r="BE69" s="290">
        <v>170532.41985499999</v>
      </c>
      <c r="BF69" s="290">
        <v>0</v>
      </c>
      <c r="BG69" s="290">
        <v>3992.0593813764108</v>
      </c>
      <c r="BH69" s="290">
        <v>215.08238299660664</v>
      </c>
      <c r="BI69" s="290">
        <v>843</v>
      </c>
      <c r="BJ69" s="290"/>
      <c r="BK69" s="290"/>
      <c r="BL69" s="290"/>
      <c r="BM69" s="290">
        <v>0</v>
      </c>
      <c r="BN69" s="290">
        <v>1904.91652</v>
      </c>
      <c r="BO69" s="290">
        <v>-2053.4576740268335</v>
      </c>
      <c r="BP69" s="290">
        <v>238.209</v>
      </c>
      <c r="BQ69" s="290">
        <v>-127.75</v>
      </c>
      <c r="BR69" s="290">
        <v>-81.527355199812959</v>
      </c>
      <c r="BS69" s="290">
        <v>1.0680000000000001</v>
      </c>
      <c r="BT69" s="290"/>
      <c r="BU69" s="290">
        <v>0</v>
      </c>
      <c r="BV69" s="290">
        <v>2500</v>
      </c>
      <c r="BW69" s="290">
        <v>-1012</v>
      </c>
      <c r="BX69" s="290">
        <v>527</v>
      </c>
      <c r="BY69" s="290">
        <v>116</v>
      </c>
      <c r="BZ69" s="290">
        <v>-769</v>
      </c>
      <c r="CA69" s="290">
        <v>-0.45849077335353172</v>
      </c>
      <c r="CB69" s="290">
        <v>187</v>
      </c>
      <c r="CC69" s="290">
        <v>573</v>
      </c>
      <c r="CD69" s="290">
        <v>7</v>
      </c>
      <c r="CE69" s="290">
        <v>163</v>
      </c>
      <c r="CF69" s="290">
        <v>9</v>
      </c>
      <c r="CG69" s="290">
        <v>1</v>
      </c>
      <c r="CH69" s="290">
        <v>-6</v>
      </c>
      <c r="CI69" s="290">
        <v>-1969</v>
      </c>
      <c r="CJ69" s="290">
        <v>-5247</v>
      </c>
      <c r="CK69" s="290">
        <f>+innut22!E75+innut22!S75</f>
        <v>152214.04055953759</v>
      </c>
      <c r="CL69" s="290">
        <v>0</v>
      </c>
      <c r="CM69" s="290">
        <v>0</v>
      </c>
      <c r="CN69" s="290">
        <v>0</v>
      </c>
      <c r="CP69" s="290">
        <f>+innut23!E75</f>
        <v>145191.42151723508</v>
      </c>
      <c r="CQ69" s="290"/>
      <c r="CV69" s="85">
        <f t="shared" ref="CV69:CV132" si="2">ROUND(1000*AG69/AG$361,3)</f>
        <v>0.81599999999999995</v>
      </c>
    </row>
    <row r="70" spans="1:100" ht="13">
      <c r="A70" s="1">
        <v>1833</v>
      </c>
      <c r="B70" s="2" t="s">
        <v>189</v>
      </c>
      <c r="C70" s="289">
        <v>26092</v>
      </c>
      <c r="D70" s="290">
        <v>456</v>
      </c>
      <c r="E70" s="290">
        <v>1014</v>
      </c>
      <c r="F70" s="290">
        <v>2973</v>
      </c>
      <c r="G70" s="290">
        <v>2152</v>
      </c>
      <c r="H70" s="290">
        <v>14764</v>
      </c>
      <c r="I70" s="290">
        <v>3397</v>
      </c>
      <c r="J70" s="290">
        <v>1117</v>
      </c>
      <c r="K70" s="290">
        <v>288</v>
      </c>
      <c r="L70" s="290">
        <v>195</v>
      </c>
      <c r="M70" s="290">
        <v>2113</v>
      </c>
      <c r="N70" s="290">
        <v>396</v>
      </c>
      <c r="O70" s="290">
        <v>185</v>
      </c>
      <c r="P70" s="624">
        <v>115076.74800000001</v>
      </c>
      <c r="Q70" s="624">
        <v>46480.614999999998</v>
      </c>
      <c r="R70" s="624">
        <v>118</v>
      </c>
      <c r="S70" s="290">
        <v>286</v>
      </c>
      <c r="T70" s="290">
        <v>2289</v>
      </c>
      <c r="U70" s="958">
        <v>3.6470459939236628E-3</v>
      </c>
      <c r="V70" s="290">
        <v>6893.3512683700001</v>
      </c>
      <c r="W70" s="765">
        <v>0.59294135999999997</v>
      </c>
      <c r="X70" s="290">
        <v>0</v>
      </c>
      <c r="Y70" s="290"/>
      <c r="Z70" s="290">
        <f>innut22!E76</f>
        <v>867530.46830040345</v>
      </c>
      <c r="AA70" s="290">
        <v>0</v>
      </c>
      <c r="AB70" s="290">
        <v>660</v>
      </c>
      <c r="AC70" s="290">
        <v>3236</v>
      </c>
      <c r="AD70" s="290"/>
      <c r="AE70" s="290">
        <v>0</v>
      </c>
      <c r="AF70" s="290">
        <v>0</v>
      </c>
      <c r="AG70" s="290">
        <v>26161</v>
      </c>
      <c r="AH70" s="290">
        <v>4378</v>
      </c>
      <c r="AI70" s="290">
        <v>2172.5</v>
      </c>
      <c r="AJ70" s="290">
        <v>0</v>
      </c>
      <c r="AK70" s="290">
        <v>0</v>
      </c>
      <c r="AL70" s="290">
        <v>48540</v>
      </c>
      <c r="AM70" s="957">
        <v>0.34595322000000001</v>
      </c>
      <c r="AN70" s="290">
        <v>0</v>
      </c>
      <c r="AO70" s="290">
        <v>5053.6393450100004</v>
      </c>
      <c r="AP70" s="290">
        <v>0</v>
      </c>
      <c r="AQ70" s="290">
        <v>0</v>
      </c>
      <c r="AR70" s="290">
        <v>-1262.0234408900001</v>
      </c>
      <c r="AS70" s="290">
        <v>2875</v>
      </c>
      <c r="AT70" s="290">
        <v>1238</v>
      </c>
      <c r="AU70" s="290">
        <v>231</v>
      </c>
      <c r="AV70" s="766">
        <v>732159</v>
      </c>
      <c r="AW70" s="290"/>
      <c r="AX70" s="766">
        <v>162.33330000000001</v>
      </c>
      <c r="AY70" s="290">
        <v>5723</v>
      </c>
      <c r="AZ70" s="290">
        <v>823</v>
      </c>
      <c r="BA70" s="290">
        <v>528</v>
      </c>
      <c r="BB70" s="290">
        <v>0</v>
      </c>
      <c r="BC70" s="290">
        <v>41898</v>
      </c>
      <c r="BD70" s="290"/>
      <c r="BE70" s="290">
        <v>735536.38449996</v>
      </c>
      <c r="BF70" s="290">
        <v>0</v>
      </c>
      <c r="BG70" s="290">
        <v>23565.794882098035</v>
      </c>
      <c r="BH70" s="290">
        <v>1269.6673160967105</v>
      </c>
      <c r="BI70" s="290">
        <v>7614</v>
      </c>
      <c r="BJ70" s="290"/>
      <c r="BK70" s="290"/>
      <c r="BL70" s="290"/>
      <c r="BM70" s="290">
        <v>0</v>
      </c>
      <c r="BN70" s="290">
        <v>9615.8510000000006</v>
      </c>
      <c r="BO70" s="290">
        <v>-12189.813072433853</v>
      </c>
      <c r="BP70" s="290">
        <v>1347.518</v>
      </c>
      <c r="BQ70" s="290">
        <v>-722.66399999999999</v>
      </c>
      <c r="BR70" s="290">
        <v>-459.99778745575838</v>
      </c>
      <c r="BS70" s="290">
        <v>4.7619999999999996</v>
      </c>
      <c r="BT70" s="290"/>
      <c r="BU70" s="290">
        <v>0</v>
      </c>
      <c r="BV70" s="290">
        <v>5000</v>
      </c>
      <c r="BW70" s="290">
        <v>-6008</v>
      </c>
      <c r="BX70" s="290">
        <v>2949</v>
      </c>
      <c r="BY70" s="290">
        <v>745</v>
      </c>
      <c r="BZ70" s="290">
        <v>-4567</v>
      </c>
      <c r="CA70" s="290">
        <v>-12.65614011038906</v>
      </c>
      <c r="CB70" s="290">
        <v>1196</v>
      </c>
      <c r="CC70" s="290">
        <v>3402</v>
      </c>
      <c r="CD70" s="290">
        <v>44</v>
      </c>
      <c r="CE70" s="290">
        <v>962</v>
      </c>
      <c r="CF70" s="290">
        <v>39</v>
      </c>
      <c r="CG70" s="290">
        <v>5</v>
      </c>
      <c r="CH70" s="290">
        <v>-25</v>
      </c>
      <c r="CI70" s="290">
        <v>-11621</v>
      </c>
      <c r="CJ70" s="290">
        <v>-30960</v>
      </c>
      <c r="CK70" s="290">
        <f>+innut22!E76+innut22!S76</f>
        <v>867530.46830040345</v>
      </c>
      <c r="CL70" s="290">
        <v>0</v>
      </c>
      <c r="CM70" s="290">
        <v>0</v>
      </c>
      <c r="CN70" s="290">
        <v>0</v>
      </c>
      <c r="CP70" s="290">
        <f>+innut23!E76</f>
        <v>816758.71950292483</v>
      </c>
      <c r="CQ70" s="290"/>
      <c r="CV70" s="85">
        <f t="shared" si="2"/>
        <v>4.843</v>
      </c>
    </row>
    <row r="71" spans="1:100" ht="13">
      <c r="A71" s="1">
        <v>1834</v>
      </c>
      <c r="B71" s="2" t="s">
        <v>190</v>
      </c>
      <c r="C71" s="289">
        <v>1869</v>
      </c>
      <c r="D71" s="290">
        <v>26</v>
      </c>
      <c r="E71" s="290">
        <v>73</v>
      </c>
      <c r="F71" s="290">
        <v>209</v>
      </c>
      <c r="G71" s="290">
        <v>129</v>
      </c>
      <c r="H71" s="290">
        <v>1001</v>
      </c>
      <c r="I71" s="290">
        <v>307</v>
      </c>
      <c r="J71" s="290">
        <v>113</v>
      </c>
      <c r="K71" s="290">
        <v>19</v>
      </c>
      <c r="L71" s="290">
        <v>15</v>
      </c>
      <c r="M71" s="290">
        <v>210</v>
      </c>
      <c r="N71" s="290">
        <v>3</v>
      </c>
      <c r="O71" s="290">
        <v>6</v>
      </c>
      <c r="P71" s="624">
        <v>169773.45233333</v>
      </c>
      <c r="Q71" s="624">
        <v>65543.519666670007</v>
      </c>
      <c r="R71" s="624">
        <v>13</v>
      </c>
      <c r="S71" s="290">
        <v>17</v>
      </c>
      <c r="T71" s="290">
        <v>159</v>
      </c>
      <c r="U71" s="958">
        <v>1.1240611453252134E-3</v>
      </c>
      <c r="V71" s="290">
        <v>1594.6251146899999</v>
      </c>
      <c r="W71" s="765">
        <v>1</v>
      </c>
      <c r="X71" s="290">
        <v>0</v>
      </c>
      <c r="Y71" s="290"/>
      <c r="Z71" s="290">
        <f>innut22!E77</f>
        <v>106730.58451347786</v>
      </c>
      <c r="AA71" s="290">
        <v>0</v>
      </c>
      <c r="AB71" s="290">
        <v>51</v>
      </c>
      <c r="AC71" s="290">
        <v>34</v>
      </c>
      <c r="AD71" s="290"/>
      <c r="AE71" s="290">
        <v>0</v>
      </c>
      <c r="AF71" s="290">
        <v>0</v>
      </c>
      <c r="AG71" s="290">
        <v>1877</v>
      </c>
      <c r="AH71" s="290">
        <v>295</v>
      </c>
      <c r="AI71" s="290">
        <v>0</v>
      </c>
      <c r="AJ71" s="290">
        <v>0</v>
      </c>
      <c r="AK71" s="290">
        <v>0</v>
      </c>
      <c r="AL71" s="290">
        <v>3491</v>
      </c>
      <c r="AM71" s="957">
        <v>7.5311600000000003E-3</v>
      </c>
      <c r="AN71" s="290">
        <v>0</v>
      </c>
      <c r="AO71" s="290">
        <v>595.32594827000003</v>
      </c>
      <c r="AP71" s="290">
        <v>0</v>
      </c>
      <c r="AQ71" s="290">
        <v>0</v>
      </c>
      <c r="AR71" s="290">
        <v>4826.8631230399997</v>
      </c>
      <c r="AS71" s="290">
        <v>974</v>
      </c>
      <c r="AT71" s="290">
        <v>57</v>
      </c>
      <c r="AU71" s="290">
        <v>15</v>
      </c>
      <c r="AV71" s="766">
        <v>129775</v>
      </c>
      <c r="AW71" s="290"/>
      <c r="AX71" s="766">
        <v>8.0000499999999999</v>
      </c>
      <c r="AY71" s="290">
        <v>329</v>
      </c>
      <c r="AZ71" s="290">
        <v>31</v>
      </c>
      <c r="BA71" s="290">
        <v>28</v>
      </c>
      <c r="BB71" s="290">
        <v>0</v>
      </c>
      <c r="BC71" s="290">
        <v>3614</v>
      </c>
      <c r="BD71" s="290"/>
      <c r="BE71" s="290">
        <v>124319.97521400001</v>
      </c>
      <c r="BF71" s="290">
        <v>0</v>
      </c>
      <c r="BG71" s="290">
        <v>1688.0450189575818</v>
      </c>
      <c r="BH71" s="290">
        <v>90.947731633632969</v>
      </c>
      <c r="BI71" s="290">
        <v>329</v>
      </c>
      <c r="BJ71" s="290"/>
      <c r="BK71" s="290"/>
      <c r="BL71" s="290"/>
      <c r="BM71" s="290">
        <v>0</v>
      </c>
      <c r="BN71" s="290">
        <v>1132.7610199999999</v>
      </c>
      <c r="BO71" s="290">
        <v>-874.59497484646397</v>
      </c>
      <c r="BP71" s="290">
        <v>91.905000000000001</v>
      </c>
      <c r="BQ71" s="290">
        <v>-49.287999999999997</v>
      </c>
      <c r="BR71" s="290">
        <v>-61.570631576957716</v>
      </c>
      <c r="BS71" s="290">
        <v>0.91900000000000004</v>
      </c>
      <c r="BT71" s="290"/>
      <c r="BU71" s="290">
        <v>0</v>
      </c>
      <c r="BV71" s="290">
        <v>3000</v>
      </c>
      <c r="BW71" s="290">
        <v>-431</v>
      </c>
      <c r="BX71" s="290">
        <v>392</v>
      </c>
      <c r="BY71" s="290">
        <v>45</v>
      </c>
      <c r="BZ71" s="290">
        <v>-328</v>
      </c>
      <c r="CA71" s="290">
        <v>-0.13141357657822539</v>
      </c>
      <c r="CB71" s="290">
        <v>72</v>
      </c>
      <c r="CC71" s="290">
        <v>244</v>
      </c>
      <c r="CD71" s="290">
        <v>3</v>
      </c>
      <c r="CE71" s="290">
        <v>69</v>
      </c>
      <c r="CF71" s="290">
        <v>7</v>
      </c>
      <c r="CG71" s="290">
        <v>0</v>
      </c>
      <c r="CH71" s="290">
        <v>-5</v>
      </c>
      <c r="CI71" s="290">
        <v>-832</v>
      </c>
      <c r="CJ71" s="290">
        <v>-4126</v>
      </c>
      <c r="CK71" s="290">
        <f>+innut22!E77+innut22!S77</f>
        <v>106730.58451347786</v>
      </c>
      <c r="CL71" s="290">
        <v>0</v>
      </c>
      <c r="CM71" s="290">
        <v>0</v>
      </c>
      <c r="CN71" s="290">
        <v>0</v>
      </c>
      <c r="CP71" s="290">
        <f>+innut23!E77</f>
        <v>93095.050190377195</v>
      </c>
      <c r="CQ71" s="290"/>
      <c r="CV71" s="85">
        <f t="shared" si="2"/>
        <v>0.34699999999999998</v>
      </c>
    </row>
    <row r="72" spans="1:100" ht="13">
      <c r="A72" s="1">
        <v>1835</v>
      </c>
      <c r="B72" s="2" t="s">
        <v>191</v>
      </c>
      <c r="C72" s="289">
        <v>450</v>
      </c>
      <c r="D72" s="290">
        <v>11</v>
      </c>
      <c r="E72" s="290">
        <v>10</v>
      </c>
      <c r="F72" s="290">
        <v>40</v>
      </c>
      <c r="G72" s="290">
        <v>41</v>
      </c>
      <c r="H72" s="290">
        <v>279</v>
      </c>
      <c r="I72" s="290">
        <v>49</v>
      </c>
      <c r="J72" s="290">
        <v>17</v>
      </c>
      <c r="K72" s="290">
        <v>5</v>
      </c>
      <c r="L72" s="290">
        <v>4</v>
      </c>
      <c r="M72" s="290">
        <v>35</v>
      </c>
      <c r="N72" s="290">
        <v>0</v>
      </c>
      <c r="O72" s="290">
        <v>3</v>
      </c>
      <c r="P72" s="624">
        <v>2030.3056666699999</v>
      </c>
      <c r="Q72" s="624">
        <v>6703.4433333300003</v>
      </c>
      <c r="R72" s="624">
        <v>2</v>
      </c>
      <c r="S72" s="290">
        <v>5</v>
      </c>
      <c r="T72" s="290">
        <v>41</v>
      </c>
      <c r="U72" s="958">
        <v>6.2555589064542641E-5</v>
      </c>
      <c r="V72" s="290">
        <v>387.43033005000001</v>
      </c>
      <c r="W72" s="765">
        <v>1</v>
      </c>
      <c r="X72" s="290">
        <v>0</v>
      </c>
      <c r="Y72" s="290"/>
      <c r="Z72" s="290">
        <f>innut22!E78</f>
        <v>17466.935429990408</v>
      </c>
      <c r="AA72" s="290">
        <v>0</v>
      </c>
      <c r="AB72" s="290">
        <v>8</v>
      </c>
      <c r="AC72" s="290">
        <v>0</v>
      </c>
      <c r="AD72" s="290"/>
      <c r="AE72" s="290">
        <v>0</v>
      </c>
      <c r="AF72" s="290">
        <v>0</v>
      </c>
      <c r="AG72" s="290">
        <v>452</v>
      </c>
      <c r="AH72" s="290">
        <v>100</v>
      </c>
      <c r="AI72" s="290">
        <v>3000</v>
      </c>
      <c r="AJ72" s="290">
        <v>0</v>
      </c>
      <c r="AK72" s="290">
        <v>0</v>
      </c>
      <c r="AL72" s="290">
        <v>823</v>
      </c>
      <c r="AM72" s="957">
        <v>1.326754E-2</v>
      </c>
      <c r="AN72" s="290">
        <v>0</v>
      </c>
      <c r="AO72" s="290">
        <v>144.64047160999999</v>
      </c>
      <c r="AP72" s="290">
        <v>0</v>
      </c>
      <c r="AQ72" s="290">
        <v>0</v>
      </c>
      <c r="AR72" s="290">
        <v>15.886153970000001</v>
      </c>
      <c r="AS72" s="290">
        <v>274</v>
      </c>
      <c r="AT72" s="290">
        <v>24</v>
      </c>
      <c r="AU72" s="290">
        <v>6</v>
      </c>
      <c r="AV72" s="766">
        <v>36835</v>
      </c>
      <c r="AW72" s="290"/>
      <c r="AX72" s="766">
        <v>2.3332999999999999</v>
      </c>
      <c r="AY72" s="290">
        <v>70</v>
      </c>
      <c r="AZ72" s="290">
        <v>18</v>
      </c>
      <c r="BA72" s="290">
        <v>14</v>
      </c>
      <c r="BB72" s="290">
        <v>6034</v>
      </c>
      <c r="BC72" s="290">
        <v>1233</v>
      </c>
      <c r="BD72" s="290"/>
      <c r="BE72" s="290">
        <v>36366.637961610002</v>
      </c>
      <c r="BF72" s="290">
        <v>0</v>
      </c>
      <c r="BG72" s="290">
        <v>406.43138498176131</v>
      </c>
      <c r="BH72" s="290">
        <v>21.897527680649997</v>
      </c>
      <c r="BI72" s="290">
        <v>100</v>
      </c>
      <c r="BJ72" s="290"/>
      <c r="BK72" s="290"/>
      <c r="BL72" s="290"/>
      <c r="BM72" s="290">
        <v>0</v>
      </c>
      <c r="BN72" s="290">
        <v>275.21575999999993</v>
      </c>
      <c r="BO72" s="290">
        <v>-210.61104348993163</v>
      </c>
      <c r="BP72" s="290">
        <v>14.233000000000001</v>
      </c>
      <c r="BQ72" s="290">
        <v>-7.633</v>
      </c>
      <c r="BR72" s="290">
        <v>-13.542265473229889</v>
      </c>
      <c r="BS72" s="290">
        <v>0.25600000000000001</v>
      </c>
      <c r="BT72" s="290"/>
      <c r="BU72" s="290">
        <v>0</v>
      </c>
      <c r="BV72" s="290">
        <v>500</v>
      </c>
      <c r="BW72" s="290">
        <v>-104</v>
      </c>
      <c r="BX72" s="290">
        <v>75</v>
      </c>
      <c r="BY72" s="290">
        <v>13</v>
      </c>
      <c r="BZ72" s="290">
        <v>-79</v>
      </c>
      <c r="CA72" s="290">
        <v>257.08154896316159</v>
      </c>
      <c r="CB72" s="290">
        <v>21</v>
      </c>
      <c r="CC72" s="290">
        <v>59</v>
      </c>
      <c r="CD72" s="290">
        <v>1</v>
      </c>
      <c r="CE72" s="290">
        <v>17</v>
      </c>
      <c r="CF72" s="290">
        <v>2</v>
      </c>
      <c r="CG72" s="290">
        <v>0</v>
      </c>
      <c r="CH72" s="290">
        <v>-1</v>
      </c>
      <c r="CI72" s="290">
        <v>-200</v>
      </c>
      <c r="CJ72" s="290">
        <v>-504</v>
      </c>
      <c r="CK72" s="290">
        <f>+innut22!E78+innut22!S78</f>
        <v>17466.935429990408</v>
      </c>
      <c r="CL72" s="290">
        <v>0</v>
      </c>
      <c r="CM72" s="290">
        <v>0</v>
      </c>
      <c r="CN72" s="290">
        <v>0</v>
      </c>
      <c r="CP72" s="290">
        <f>+innut23!E78</f>
        <v>16811.425625005355</v>
      </c>
      <c r="CQ72" s="290"/>
      <c r="CV72" s="85">
        <f t="shared" si="2"/>
        <v>8.4000000000000005E-2</v>
      </c>
    </row>
    <row r="73" spans="1:100" ht="13">
      <c r="A73" s="1">
        <v>1836</v>
      </c>
      <c r="B73" s="2" t="s">
        <v>192</v>
      </c>
      <c r="C73" s="289">
        <v>1153</v>
      </c>
      <c r="D73" s="290">
        <v>16</v>
      </c>
      <c r="E73" s="290">
        <v>46</v>
      </c>
      <c r="F73" s="290">
        <v>143</v>
      </c>
      <c r="G73" s="290">
        <v>130</v>
      </c>
      <c r="H73" s="290">
        <v>589</v>
      </c>
      <c r="I73" s="290">
        <v>189</v>
      </c>
      <c r="J73" s="290">
        <v>59</v>
      </c>
      <c r="K73" s="290">
        <v>12</v>
      </c>
      <c r="L73" s="290">
        <v>9</v>
      </c>
      <c r="M73" s="290">
        <v>126</v>
      </c>
      <c r="N73" s="290">
        <v>1.5</v>
      </c>
      <c r="O73" s="290">
        <v>4</v>
      </c>
      <c r="P73" s="624">
        <v>56423.394</v>
      </c>
      <c r="Q73" s="624">
        <v>20759.052</v>
      </c>
      <c r="R73" s="624">
        <v>5</v>
      </c>
      <c r="S73" s="290">
        <v>10</v>
      </c>
      <c r="T73" s="290">
        <v>93</v>
      </c>
      <c r="U73" s="958">
        <v>1.3721493836336082E-3</v>
      </c>
      <c r="V73" s="290">
        <v>918.22350057999995</v>
      </c>
      <c r="W73" s="765">
        <v>1</v>
      </c>
      <c r="X73" s="290">
        <v>0</v>
      </c>
      <c r="Y73" s="290"/>
      <c r="Z73" s="290">
        <f>innut22!E79</f>
        <v>35805.248302567212</v>
      </c>
      <c r="AA73" s="290">
        <v>0</v>
      </c>
      <c r="AB73" s="290">
        <v>21</v>
      </c>
      <c r="AC73" s="290">
        <v>0</v>
      </c>
      <c r="AD73" s="290"/>
      <c r="AE73" s="290">
        <v>0</v>
      </c>
      <c r="AF73" s="290">
        <v>0</v>
      </c>
      <c r="AG73" s="290">
        <v>1184</v>
      </c>
      <c r="AH73" s="290">
        <v>214</v>
      </c>
      <c r="AI73" s="290">
        <v>0</v>
      </c>
      <c r="AJ73" s="290">
        <v>0</v>
      </c>
      <c r="AK73" s="290">
        <v>362</v>
      </c>
      <c r="AL73" s="290">
        <v>2244</v>
      </c>
      <c r="AM73" s="957">
        <v>3.4597600000000001E-3</v>
      </c>
      <c r="AN73" s="290">
        <v>0</v>
      </c>
      <c r="AO73" s="290">
        <v>342.80300189000002</v>
      </c>
      <c r="AP73" s="290">
        <v>0</v>
      </c>
      <c r="AQ73" s="290">
        <v>0</v>
      </c>
      <c r="AR73" s="290">
        <v>949.61714151000001</v>
      </c>
      <c r="AS73" s="290">
        <v>91</v>
      </c>
      <c r="AT73" s="290">
        <v>37</v>
      </c>
      <c r="AU73" s="290">
        <v>4</v>
      </c>
      <c r="AV73" s="766">
        <v>76955</v>
      </c>
      <c r="AW73" s="290"/>
      <c r="AX73" s="766">
        <v>5.0416999999999996</v>
      </c>
      <c r="AY73" s="290">
        <v>176</v>
      </c>
      <c r="AZ73" s="290">
        <v>34</v>
      </c>
      <c r="BA73" s="290">
        <v>24</v>
      </c>
      <c r="BB73" s="290">
        <v>6034</v>
      </c>
      <c r="BC73" s="290">
        <v>2859</v>
      </c>
      <c r="BD73" s="290"/>
      <c r="BE73" s="290">
        <v>74842.181954319996</v>
      </c>
      <c r="BF73" s="290">
        <v>0</v>
      </c>
      <c r="BG73" s="290">
        <v>1041.367526408824</v>
      </c>
      <c r="BH73" s="290">
        <v>56.106332035087661</v>
      </c>
      <c r="BI73" s="290">
        <v>576</v>
      </c>
      <c r="BJ73" s="290"/>
      <c r="BK73" s="290"/>
      <c r="BL73" s="290"/>
      <c r="BM73" s="290">
        <v>0</v>
      </c>
      <c r="BN73" s="290">
        <v>652.27104000000008</v>
      </c>
      <c r="BO73" s="290">
        <v>-551.68910507097144</v>
      </c>
      <c r="BP73" s="290">
        <v>57.161000000000001</v>
      </c>
      <c r="BQ73" s="290">
        <v>-30.655000000000001</v>
      </c>
      <c r="BR73" s="290">
        <v>-35.598934929028637</v>
      </c>
      <c r="BS73" s="290">
        <v>0.51100000000000001</v>
      </c>
      <c r="BT73" s="290"/>
      <c r="BU73" s="290">
        <v>0</v>
      </c>
      <c r="BV73" s="290">
        <v>3000</v>
      </c>
      <c r="BW73" s="290">
        <v>-272</v>
      </c>
      <c r="BX73" s="290">
        <v>217</v>
      </c>
      <c r="BY73" s="290">
        <v>25</v>
      </c>
      <c r="BZ73" s="290">
        <v>-207</v>
      </c>
      <c r="CA73" s="290">
        <v>0</v>
      </c>
      <c r="CB73" s="290">
        <v>41</v>
      </c>
      <c r="CC73" s="290">
        <v>154</v>
      </c>
      <c r="CD73" s="290">
        <v>1</v>
      </c>
      <c r="CE73" s="290">
        <v>43</v>
      </c>
      <c r="CF73" s="290">
        <v>4</v>
      </c>
      <c r="CG73" s="290">
        <v>0</v>
      </c>
      <c r="CH73" s="290">
        <v>-3</v>
      </c>
      <c r="CI73" s="290">
        <v>-514</v>
      </c>
      <c r="CJ73" s="290">
        <v>-1455</v>
      </c>
      <c r="CK73" s="290">
        <f>+innut22!E79+innut22!S79</f>
        <v>35805.248302567212</v>
      </c>
      <c r="CL73" s="290">
        <v>355.32002578572133</v>
      </c>
      <c r="CM73" s="290">
        <v>345.9403513222486</v>
      </c>
      <c r="CN73" s="290">
        <v>334.41417925580163</v>
      </c>
      <c r="CP73" s="290">
        <f>+innut23!E79</f>
        <v>33167.938435068827</v>
      </c>
      <c r="CQ73" s="290"/>
      <c r="CV73" s="85">
        <f t="shared" si="2"/>
        <v>0.219</v>
      </c>
    </row>
    <row r="74" spans="1:100" ht="13">
      <c r="A74" s="1">
        <v>1837</v>
      </c>
      <c r="B74" s="2" t="s">
        <v>193</v>
      </c>
      <c r="C74" s="289">
        <v>6214</v>
      </c>
      <c r="D74" s="290">
        <v>104</v>
      </c>
      <c r="E74" s="290">
        <v>238</v>
      </c>
      <c r="F74" s="290">
        <v>759</v>
      </c>
      <c r="G74" s="290">
        <v>530</v>
      </c>
      <c r="H74" s="290">
        <v>3334</v>
      </c>
      <c r="I74" s="290">
        <v>873</v>
      </c>
      <c r="J74" s="290">
        <v>302</v>
      </c>
      <c r="K74" s="290">
        <v>79</v>
      </c>
      <c r="L74" s="290">
        <v>46</v>
      </c>
      <c r="M74" s="290">
        <v>583</v>
      </c>
      <c r="N74" s="290">
        <v>64</v>
      </c>
      <c r="O74" s="290">
        <v>67</v>
      </c>
      <c r="P74" s="624">
        <v>94351.025333330006</v>
      </c>
      <c r="Q74" s="624">
        <v>30775.227666670002</v>
      </c>
      <c r="R74" s="624">
        <v>31</v>
      </c>
      <c r="S74" s="290">
        <v>65</v>
      </c>
      <c r="T74" s="290">
        <v>488</v>
      </c>
      <c r="U74" s="958">
        <v>1.9681811705560075E-3</v>
      </c>
      <c r="V74" s="290">
        <v>-3282.7518692100002</v>
      </c>
      <c r="W74" s="765">
        <v>0.94486166999999999</v>
      </c>
      <c r="X74" s="290">
        <v>0</v>
      </c>
      <c r="Y74" s="290"/>
      <c r="Z74" s="290">
        <f>innut22!E80</f>
        <v>215507.26150461609</v>
      </c>
      <c r="AA74" s="290">
        <v>0</v>
      </c>
      <c r="AB74" s="290">
        <v>179</v>
      </c>
      <c r="AC74" s="290">
        <v>126</v>
      </c>
      <c r="AD74" s="290"/>
      <c r="AE74" s="290">
        <v>0</v>
      </c>
      <c r="AF74" s="290">
        <v>0</v>
      </c>
      <c r="AG74" s="290">
        <v>6219</v>
      </c>
      <c r="AH74" s="290">
        <v>1089</v>
      </c>
      <c r="AI74" s="290">
        <v>1900</v>
      </c>
      <c r="AJ74" s="290">
        <v>0</v>
      </c>
      <c r="AK74" s="290">
        <v>2678</v>
      </c>
      <c r="AL74" s="290">
        <v>11626</v>
      </c>
      <c r="AM74" s="957">
        <v>0.10051954</v>
      </c>
      <c r="AN74" s="290">
        <v>0</v>
      </c>
      <c r="AO74" s="290">
        <v>1370.8215493600001</v>
      </c>
      <c r="AP74" s="290">
        <v>0</v>
      </c>
      <c r="AQ74" s="290">
        <v>0</v>
      </c>
      <c r="AR74" s="290">
        <v>11735.235091099999</v>
      </c>
      <c r="AS74" s="290">
        <v>1963</v>
      </c>
      <c r="AT74" s="290">
        <v>297</v>
      </c>
      <c r="AU74" s="290">
        <v>52</v>
      </c>
      <c r="AV74" s="766">
        <v>237828</v>
      </c>
      <c r="AW74" s="290"/>
      <c r="AX74" s="766">
        <v>26.958349999999999</v>
      </c>
      <c r="AY74" s="290">
        <v>983</v>
      </c>
      <c r="AZ74" s="290">
        <v>254</v>
      </c>
      <c r="BA74" s="290">
        <v>155</v>
      </c>
      <c r="BB74" s="290">
        <v>0</v>
      </c>
      <c r="BC74" s="290">
        <v>13374</v>
      </c>
      <c r="BD74" s="290"/>
      <c r="BE74" s="290">
        <v>223548.80411718</v>
      </c>
      <c r="BF74" s="290">
        <v>0</v>
      </c>
      <c r="BG74" s="290">
        <v>5612.3658361703656</v>
      </c>
      <c r="BH74" s="290">
        <v>302.38052668346461</v>
      </c>
      <c r="BI74" s="290">
        <v>3893</v>
      </c>
      <c r="BJ74" s="290"/>
      <c r="BK74" s="290"/>
      <c r="BL74" s="290"/>
      <c r="BM74" s="290">
        <v>0</v>
      </c>
      <c r="BN74" s="290">
        <v>2608.3412199999998</v>
      </c>
      <c r="BO74" s="290">
        <v>-2897.7656625307186</v>
      </c>
      <c r="BP74" s="290">
        <v>298.22000000000003</v>
      </c>
      <c r="BQ74" s="290">
        <v>-159.93299999999999</v>
      </c>
      <c r="BR74" s="290">
        <v>-131.81411074059625</v>
      </c>
      <c r="BS74" s="290">
        <v>1.4450000000000001</v>
      </c>
      <c r="BT74" s="290"/>
      <c r="BU74" s="290">
        <v>0</v>
      </c>
      <c r="BV74" s="290">
        <v>4000</v>
      </c>
      <c r="BW74" s="290">
        <v>-1428</v>
      </c>
      <c r="BX74" s="290">
        <v>840</v>
      </c>
      <c r="BY74" s="290">
        <v>170</v>
      </c>
      <c r="BZ74" s="290">
        <v>-1086</v>
      </c>
      <c r="CA74" s="290">
        <v>-0.49344672868501505</v>
      </c>
      <c r="CB74" s="290">
        <v>273</v>
      </c>
      <c r="CC74" s="290">
        <v>809</v>
      </c>
      <c r="CD74" s="290">
        <v>10</v>
      </c>
      <c r="CE74" s="290">
        <v>229</v>
      </c>
      <c r="CF74" s="290">
        <v>12</v>
      </c>
      <c r="CG74" s="290">
        <v>1</v>
      </c>
      <c r="CH74" s="290">
        <v>-8</v>
      </c>
      <c r="CI74" s="290">
        <v>-2768</v>
      </c>
      <c r="CJ74" s="290">
        <v>-7371</v>
      </c>
      <c r="CK74" s="290">
        <f>+innut22!E80+innut22!S80</f>
        <v>215507.26150461609</v>
      </c>
      <c r="CL74" s="290">
        <v>2852.1077678374281</v>
      </c>
      <c r="CM74" s="290">
        <v>3011.1489210187056</v>
      </c>
      <c r="CN74" s="290">
        <v>3159.2131143256438</v>
      </c>
      <c r="CP74" s="290">
        <f>+innut23!E80</f>
        <v>204031.09211382162</v>
      </c>
      <c r="CQ74" s="290"/>
      <c r="CV74" s="85">
        <f t="shared" si="2"/>
        <v>1.151</v>
      </c>
    </row>
    <row r="75" spans="1:100" ht="13">
      <c r="A75" s="1">
        <v>1838</v>
      </c>
      <c r="B75" s="2" t="s">
        <v>194</v>
      </c>
      <c r="C75" s="289">
        <v>1894</v>
      </c>
      <c r="D75" s="290">
        <v>21</v>
      </c>
      <c r="E75" s="290">
        <v>57</v>
      </c>
      <c r="F75" s="290">
        <v>199</v>
      </c>
      <c r="G75" s="290">
        <v>128</v>
      </c>
      <c r="H75" s="290">
        <v>999</v>
      </c>
      <c r="I75" s="290">
        <v>347</v>
      </c>
      <c r="J75" s="290">
        <v>112</v>
      </c>
      <c r="K75" s="290">
        <v>28</v>
      </c>
      <c r="L75" s="290">
        <v>17</v>
      </c>
      <c r="M75" s="290">
        <v>238</v>
      </c>
      <c r="N75" s="290">
        <v>55</v>
      </c>
      <c r="O75" s="290">
        <v>29</v>
      </c>
      <c r="P75" s="624">
        <v>35579.987333329998</v>
      </c>
      <c r="Q75" s="624">
        <v>6097.9589999999998</v>
      </c>
      <c r="R75" s="624">
        <v>11</v>
      </c>
      <c r="S75" s="290">
        <v>24</v>
      </c>
      <c r="T75" s="290">
        <v>184</v>
      </c>
      <c r="U75" s="958">
        <v>1.2158704024162891E-3</v>
      </c>
      <c r="V75" s="290">
        <v>1058.3332715700001</v>
      </c>
      <c r="W75" s="765">
        <v>1</v>
      </c>
      <c r="X75" s="290">
        <v>0</v>
      </c>
      <c r="Y75" s="290"/>
      <c r="Z75" s="290">
        <f>innut22!E81</f>
        <v>62457.156957661806</v>
      </c>
      <c r="AA75" s="290">
        <v>0</v>
      </c>
      <c r="AB75" s="290">
        <v>57</v>
      </c>
      <c r="AC75" s="290">
        <v>254</v>
      </c>
      <c r="AD75" s="290"/>
      <c r="AE75" s="290">
        <v>0</v>
      </c>
      <c r="AF75" s="290">
        <v>0</v>
      </c>
      <c r="AG75" s="290">
        <v>1891</v>
      </c>
      <c r="AH75" s="290">
        <v>265</v>
      </c>
      <c r="AI75" s="290">
        <v>300</v>
      </c>
      <c r="AJ75" s="290">
        <v>0</v>
      </c>
      <c r="AK75" s="290">
        <v>415</v>
      </c>
      <c r="AL75" s="290">
        <v>3573</v>
      </c>
      <c r="AM75" s="957">
        <v>3.3177079999999998E-2</v>
      </c>
      <c r="AN75" s="290">
        <v>0</v>
      </c>
      <c r="AO75" s="290">
        <v>472.61448374000003</v>
      </c>
      <c r="AP75" s="290">
        <v>0</v>
      </c>
      <c r="AQ75" s="290">
        <v>0</v>
      </c>
      <c r="AR75" s="290">
        <v>1416.07986551</v>
      </c>
      <c r="AS75" s="290">
        <v>107</v>
      </c>
      <c r="AT75" s="290">
        <v>98</v>
      </c>
      <c r="AU75" s="290">
        <v>13</v>
      </c>
      <c r="AV75" s="766">
        <v>95560</v>
      </c>
      <c r="AW75" s="290"/>
      <c r="AX75" s="766">
        <v>0.66669999999999996</v>
      </c>
      <c r="AY75" s="290">
        <v>388</v>
      </c>
      <c r="AZ75" s="290">
        <v>96</v>
      </c>
      <c r="BA75" s="290">
        <v>39</v>
      </c>
      <c r="BB75" s="290">
        <v>6034</v>
      </c>
      <c r="BC75" s="290">
        <v>3963</v>
      </c>
      <c r="BD75" s="290"/>
      <c r="BE75" s="290">
        <v>92790.158447309994</v>
      </c>
      <c r="BF75" s="290">
        <v>0</v>
      </c>
      <c r="BG75" s="290">
        <v>1710.6245403454573</v>
      </c>
      <c r="BH75" s="290">
        <v>92.164260949224641</v>
      </c>
      <c r="BI75" s="290">
        <v>934</v>
      </c>
      <c r="BJ75" s="290"/>
      <c r="BK75" s="290"/>
      <c r="BL75" s="290"/>
      <c r="BM75" s="290">
        <v>0</v>
      </c>
      <c r="BN75" s="290">
        <v>899.27084000000002</v>
      </c>
      <c r="BO75" s="290">
        <v>-881.11832575101937</v>
      </c>
      <c r="BP75" s="290">
        <v>70.204999999999998</v>
      </c>
      <c r="BQ75" s="290">
        <v>-37.65</v>
      </c>
      <c r="BR75" s="290">
        <v>-40.676153031099595</v>
      </c>
      <c r="BS75" s="290">
        <v>0.56999999999999995</v>
      </c>
      <c r="BT75" s="290"/>
      <c r="BU75" s="290">
        <v>0</v>
      </c>
      <c r="BV75" s="290">
        <v>2000</v>
      </c>
      <c r="BW75" s="290">
        <v>-434</v>
      </c>
      <c r="BX75" s="290">
        <v>249</v>
      </c>
      <c r="BY75" s="290">
        <v>63</v>
      </c>
      <c r="BZ75" s="290">
        <v>-330</v>
      </c>
      <c r="CA75" s="290">
        <v>414.39863878211895</v>
      </c>
      <c r="CB75" s="290">
        <v>100</v>
      </c>
      <c r="CC75" s="290">
        <v>246</v>
      </c>
      <c r="CD75" s="290">
        <v>4</v>
      </c>
      <c r="CE75" s="290">
        <v>70</v>
      </c>
      <c r="CF75" s="290">
        <v>5</v>
      </c>
      <c r="CG75" s="290">
        <v>0</v>
      </c>
      <c r="CH75" s="290">
        <v>-3</v>
      </c>
      <c r="CI75" s="290">
        <v>-844</v>
      </c>
      <c r="CJ75" s="290">
        <v>-2230</v>
      </c>
      <c r="CK75" s="290">
        <f>+innut22!E81+innut22!S81</f>
        <v>62457.156957661806</v>
      </c>
      <c r="CL75" s="290">
        <v>364.69817797858661</v>
      </c>
      <c r="CM75" s="290">
        <v>309.10986665218729</v>
      </c>
      <c r="CN75" s="290">
        <v>250.09201392135878</v>
      </c>
      <c r="CP75" s="290">
        <f>+innut23!E81</f>
        <v>60430.718384119144</v>
      </c>
      <c r="CQ75" s="290"/>
      <c r="CV75" s="85">
        <f t="shared" si="2"/>
        <v>0.35</v>
      </c>
    </row>
    <row r="76" spans="1:100" ht="13">
      <c r="A76" s="1">
        <v>1839</v>
      </c>
      <c r="B76" s="2" t="s">
        <v>195</v>
      </c>
      <c r="C76" s="289">
        <v>1012</v>
      </c>
      <c r="D76" s="290">
        <v>12</v>
      </c>
      <c r="E76" s="290">
        <v>33</v>
      </c>
      <c r="F76" s="290">
        <v>81</v>
      </c>
      <c r="G76" s="290">
        <v>74</v>
      </c>
      <c r="H76" s="290">
        <v>505</v>
      </c>
      <c r="I76" s="290">
        <v>203</v>
      </c>
      <c r="J76" s="290">
        <v>73</v>
      </c>
      <c r="K76" s="290">
        <v>15</v>
      </c>
      <c r="L76" s="290">
        <v>8</v>
      </c>
      <c r="M76" s="290">
        <v>121</v>
      </c>
      <c r="N76" s="290">
        <v>8</v>
      </c>
      <c r="O76" s="290">
        <v>11</v>
      </c>
      <c r="P76" s="624">
        <v>11268.90633333</v>
      </c>
      <c r="Q76" s="624">
        <v>5388.47766667</v>
      </c>
      <c r="R76" s="624">
        <v>8</v>
      </c>
      <c r="S76" s="290">
        <v>11</v>
      </c>
      <c r="T76" s="290">
        <v>85</v>
      </c>
      <c r="U76" s="958">
        <v>1.2462215523031828E-3</v>
      </c>
      <c r="V76" s="290">
        <v>738.87635847000001</v>
      </c>
      <c r="W76" s="765">
        <v>1</v>
      </c>
      <c r="X76" s="290">
        <v>0</v>
      </c>
      <c r="Y76" s="290"/>
      <c r="Z76" s="290">
        <f>innut22!E82</f>
        <v>31976.423392187953</v>
      </c>
      <c r="AA76" s="290">
        <v>0</v>
      </c>
      <c r="AB76" s="290">
        <v>33</v>
      </c>
      <c r="AC76" s="290">
        <v>278</v>
      </c>
      <c r="AD76" s="290"/>
      <c r="AE76" s="290">
        <v>0</v>
      </c>
      <c r="AF76" s="290">
        <v>0</v>
      </c>
      <c r="AG76" s="290">
        <v>996</v>
      </c>
      <c r="AH76" s="290">
        <v>126</v>
      </c>
      <c r="AI76" s="290">
        <v>2675.5</v>
      </c>
      <c r="AJ76" s="290">
        <v>0</v>
      </c>
      <c r="AK76" s="290">
        <v>0</v>
      </c>
      <c r="AL76" s="290">
        <v>1859</v>
      </c>
      <c r="AM76" s="957">
        <v>2.1715410000000001E-2</v>
      </c>
      <c r="AN76" s="290">
        <v>0</v>
      </c>
      <c r="AO76" s="290">
        <v>275.84682112000002</v>
      </c>
      <c r="AP76" s="290">
        <v>0</v>
      </c>
      <c r="AQ76" s="290">
        <v>0</v>
      </c>
      <c r="AR76" s="290">
        <v>-2.5733136499999998</v>
      </c>
      <c r="AS76" s="290">
        <v>52</v>
      </c>
      <c r="AT76" s="290">
        <v>43</v>
      </c>
      <c r="AU76" s="290">
        <v>8</v>
      </c>
      <c r="AV76" s="766">
        <v>60722</v>
      </c>
      <c r="AW76" s="290"/>
      <c r="AX76" s="766">
        <v>-3.9167000000000001</v>
      </c>
      <c r="AY76" s="290">
        <v>122</v>
      </c>
      <c r="AZ76" s="290">
        <v>63</v>
      </c>
      <c r="BA76" s="290">
        <v>15</v>
      </c>
      <c r="BB76" s="290">
        <v>6034</v>
      </c>
      <c r="BC76" s="290">
        <v>2062</v>
      </c>
      <c r="BD76" s="290"/>
      <c r="BE76" s="290">
        <v>59971.491173249997</v>
      </c>
      <c r="BF76" s="290">
        <v>0</v>
      </c>
      <c r="BG76" s="290">
        <v>914.01902578120541</v>
      </c>
      <c r="BH76" s="290">
        <v>49.24510669515066</v>
      </c>
      <c r="BI76" s="290">
        <v>404</v>
      </c>
      <c r="BJ76" s="290"/>
      <c r="BK76" s="290"/>
      <c r="BL76" s="290"/>
      <c r="BM76" s="290">
        <v>0</v>
      </c>
      <c r="BN76" s="290">
        <v>524.86966000000007</v>
      </c>
      <c r="BO76" s="290">
        <v>-464.08982149551309</v>
      </c>
      <c r="BP76" s="290">
        <v>34.548000000000002</v>
      </c>
      <c r="BQ76" s="290">
        <v>-18.527999999999999</v>
      </c>
      <c r="BR76" s="290">
        <v>-19.092071275011222</v>
      </c>
      <c r="BS76" s="290">
        <v>0.38100000000000001</v>
      </c>
      <c r="BT76" s="290"/>
      <c r="BU76" s="290">
        <v>0</v>
      </c>
      <c r="BV76" s="290">
        <v>500</v>
      </c>
      <c r="BW76" s="290">
        <v>-229</v>
      </c>
      <c r="BX76" s="290">
        <v>120</v>
      </c>
      <c r="BY76" s="290">
        <v>29</v>
      </c>
      <c r="BZ76" s="290">
        <v>-174</v>
      </c>
      <c r="CA76" s="290">
        <v>-1.0887672294757635</v>
      </c>
      <c r="CB76" s="290">
        <v>47</v>
      </c>
      <c r="CC76" s="290">
        <v>130</v>
      </c>
      <c r="CD76" s="290">
        <v>2</v>
      </c>
      <c r="CE76" s="290">
        <v>37</v>
      </c>
      <c r="CF76" s="290">
        <v>3</v>
      </c>
      <c r="CG76" s="290">
        <v>0</v>
      </c>
      <c r="CH76" s="290">
        <v>-2</v>
      </c>
      <c r="CI76" s="290">
        <v>-451</v>
      </c>
      <c r="CJ76" s="290">
        <v>-1169</v>
      </c>
      <c r="CK76" s="290">
        <f>+innut22!E82+innut22!S82</f>
        <v>31976.423392187953</v>
      </c>
      <c r="CL76" s="290">
        <v>0</v>
      </c>
      <c r="CM76" s="290">
        <v>0</v>
      </c>
      <c r="CN76" s="290">
        <v>0</v>
      </c>
      <c r="CP76" s="290">
        <f>+innut23!E82</f>
        <v>30925.755519239214</v>
      </c>
      <c r="CQ76" s="290"/>
      <c r="CV76" s="85">
        <f t="shared" si="2"/>
        <v>0.184</v>
      </c>
    </row>
    <row r="77" spans="1:100" ht="13">
      <c r="A77" s="1">
        <v>1840</v>
      </c>
      <c r="B77" s="2" t="s">
        <v>196</v>
      </c>
      <c r="C77" s="289">
        <v>4617</v>
      </c>
      <c r="D77" s="290">
        <v>73</v>
      </c>
      <c r="E77" s="290">
        <v>200</v>
      </c>
      <c r="F77" s="290">
        <v>514</v>
      </c>
      <c r="G77" s="290">
        <v>335</v>
      </c>
      <c r="H77" s="290">
        <v>2462</v>
      </c>
      <c r="I77" s="290">
        <v>775</v>
      </c>
      <c r="J77" s="290">
        <v>216</v>
      </c>
      <c r="K77" s="290">
        <v>50</v>
      </c>
      <c r="L77" s="290">
        <v>40</v>
      </c>
      <c r="M77" s="290">
        <v>425</v>
      </c>
      <c r="N77" s="290">
        <v>75</v>
      </c>
      <c r="O77" s="290">
        <v>43</v>
      </c>
      <c r="P77" s="624">
        <v>32017.742666670001</v>
      </c>
      <c r="Q77" s="624">
        <v>11394.19233333</v>
      </c>
      <c r="R77" s="624">
        <v>41</v>
      </c>
      <c r="S77" s="290">
        <v>53</v>
      </c>
      <c r="T77" s="290">
        <v>428</v>
      </c>
      <c r="U77" s="958">
        <v>1.9128013232201794E-3</v>
      </c>
      <c r="V77" s="290">
        <v>2782.6150722299999</v>
      </c>
      <c r="W77" s="765">
        <v>0.75652748999999997</v>
      </c>
      <c r="X77" s="290">
        <v>0</v>
      </c>
      <c r="Y77" s="290"/>
      <c r="Z77" s="290">
        <f>innut22!E83</f>
        <v>134944.05796631353</v>
      </c>
      <c r="AA77" s="290">
        <v>0</v>
      </c>
      <c r="AB77" s="290">
        <v>140</v>
      </c>
      <c r="AC77" s="290">
        <v>32</v>
      </c>
      <c r="AD77" s="290"/>
      <c r="AE77" s="290">
        <v>0</v>
      </c>
      <c r="AF77" s="290">
        <v>0</v>
      </c>
      <c r="AG77" s="290">
        <v>4625</v>
      </c>
      <c r="AH77" s="290">
        <v>761</v>
      </c>
      <c r="AI77" s="290">
        <v>875</v>
      </c>
      <c r="AJ77" s="290">
        <v>0</v>
      </c>
      <c r="AK77" s="290">
        <v>0</v>
      </c>
      <c r="AL77" s="290">
        <v>8620</v>
      </c>
      <c r="AM77" s="957">
        <v>6.7209110000000002E-2</v>
      </c>
      <c r="AN77" s="290">
        <v>0</v>
      </c>
      <c r="AO77" s="290">
        <v>1038.8416319800001</v>
      </c>
      <c r="AP77" s="290">
        <v>0</v>
      </c>
      <c r="AQ77" s="290">
        <v>0</v>
      </c>
      <c r="AR77" s="290">
        <v>-223.11297023</v>
      </c>
      <c r="AS77" s="290">
        <v>1526</v>
      </c>
      <c r="AT77" s="290">
        <v>200</v>
      </c>
      <c r="AU77" s="290">
        <v>35</v>
      </c>
      <c r="AV77" s="766">
        <v>173801</v>
      </c>
      <c r="AW77" s="290"/>
      <c r="AX77" s="766">
        <v>29.625050000000002</v>
      </c>
      <c r="AY77" s="290">
        <v>878</v>
      </c>
      <c r="AZ77" s="290">
        <v>206</v>
      </c>
      <c r="BA77" s="290">
        <v>90</v>
      </c>
      <c r="BB77" s="290">
        <v>0</v>
      </c>
      <c r="BC77" s="290">
        <v>8330</v>
      </c>
      <c r="BD77" s="290"/>
      <c r="BE77" s="290">
        <v>175228.98648732001</v>
      </c>
      <c r="BF77" s="290">
        <v>0</v>
      </c>
      <c r="BG77" s="290">
        <v>4169.9860099128709</v>
      </c>
      <c r="BH77" s="290">
        <v>224.66863400346898</v>
      </c>
      <c r="BI77" s="290">
        <v>793</v>
      </c>
      <c r="BJ77" s="290"/>
      <c r="BK77" s="290"/>
      <c r="BL77" s="290"/>
      <c r="BM77" s="290">
        <v>0</v>
      </c>
      <c r="BN77" s="290">
        <v>1976.6638800000001</v>
      </c>
      <c r="BO77" s="290">
        <v>-2155.0355666834821</v>
      </c>
      <c r="BP77" s="290">
        <v>257.73500000000001</v>
      </c>
      <c r="BQ77" s="290">
        <v>-138.22200000000001</v>
      </c>
      <c r="BR77" s="290">
        <v>-84.027957324649293</v>
      </c>
      <c r="BS77" s="290">
        <v>1.0129999999999999</v>
      </c>
      <c r="BT77" s="290"/>
      <c r="BU77" s="290">
        <v>0</v>
      </c>
      <c r="BV77" s="290">
        <v>1500</v>
      </c>
      <c r="BW77" s="290">
        <v>-1062</v>
      </c>
      <c r="BX77" s="290">
        <v>543</v>
      </c>
      <c r="BY77" s="290">
        <v>138</v>
      </c>
      <c r="BZ77" s="290">
        <v>-807</v>
      </c>
      <c r="CA77" s="290">
        <v>-0.12635599186868518</v>
      </c>
      <c r="CB77" s="290">
        <v>222</v>
      </c>
      <c r="CC77" s="290">
        <v>601</v>
      </c>
      <c r="CD77" s="290">
        <v>8</v>
      </c>
      <c r="CE77" s="290">
        <v>170</v>
      </c>
      <c r="CF77" s="290">
        <v>8</v>
      </c>
      <c r="CG77" s="290">
        <v>1</v>
      </c>
      <c r="CH77" s="290">
        <v>-5</v>
      </c>
      <c r="CI77" s="290">
        <v>-2056</v>
      </c>
      <c r="CJ77" s="290">
        <v>-5482</v>
      </c>
      <c r="CK77" s="290">
        <f>+innut22!E83+innut22!S83</f>
        <v>134944.05796631353</v>
      </c>
      <c r="CL77" s="290">
        <v>0</v>
      </c>
      <c r="CM77" s="290">
        <v>0</v>
      </c>
      <c r="CN77" s="290">
        <v>0</v>
      </c>
      <c r="CP77" s="290">
        <f>+innut23!E83</f>
        <v>127159.38000368561</v>
      </c>
      <c r="CQ77" s="290"/>
      <c r="CV77" s="85">
        <f t="shared" si="2"/>
        <v>0.85599999999999998</v>
      </c>
    </row>
    <row r="78" spans="1:100" ht="13">
      <c r="A78" s="1">
        <v>1841</v>
      </c>
      <c r="B78" s="2" t="s">
        <v>197</v>
      </c>
      <c r="C78" s="289">
        <v>9603</v>
      </c>
      <c r="D78" s="290">
        <v>154</v>
      </c>
      <c r="E78" s="290">
        <v>374</v>
      </c>
      <c r="F78" s="290">
        <v>973</v>
      </c>
      <c r="G78" s="290">
        <v>820</v>
      </c>
      <c r="H78" s="290">
        <v>5348</v>
      </c>
      <c r="I78" s="290">
        <v>1423</v>
      </c>
      <c r="J78" s="290">
        <v>437</v>
      </c>
      <c r="K78" s="290">
        <v>92</v>
      </c>
      <c r="L78" s="290">
        <v>83</v>
      </c>
      <c r="M78" s="290">
        <v>860</v>
      </c>
      <c r="N78" s="290">
        <v>154</v>
      </c>
      <c r="O78" s="290">
        <v>65</v>
      </c>
      <c r="P78" s="624">
        <v>68762.226666670002</v>
      </c>
      <c r="Q78" s="624">
        <v>15961.98433333</v>
      </c>
      <c r="R78" s="624">
        <v>28</v>
      </c>
      <c r="S78" s="290">
        <v>113</v>
      </c>
      <c r="T78" s="290">
        <v>908</v>
      </c>
      <c r="U78" s="958">
        <v>1.8646940775278195E-3</v>
      </c>
      <c r="V78" s="290">
        <v>4849.5697775199997</v>
      </c>
      <c r="W78" s="765">
        <v>0.62023813999999999</v>
      </c>
      <c r="X78" s="290">
        <v>0</v>
      </c>
      <c r="Y78" s="290"/>
      <c r="Z78" s="290">
        <f>innut22!E84</f>
        <v>321306.10580439569</v>
      </c>
      <c r="AA78" s="290">
        <v>0</v>
      </c>
      <c r="AB78" s="290">
        <v>304</v>
      </c>
      <c r="AC78" s="290">
        <v>1664</v>
      </c>
      <c r="AD78" s="290"/>
      <c r="AE78" s="290">
        <v>0</v>
      </c>
      <c r="AF78" s="290">
        <v>0</v>
      </c>
      <c r="AG78" s="290">
        <v>9621</v>
      </c>
      <c r="AH78" s="290">
        <v>1509</v>
      </c>
      <c r="AI78" s="290">
        <v>2750</v>
      </c>
      <c r="AJ78" s="290">
        <v>0</v>
      </c>
      <c r="AK78" s="290">
        <v>0</v>
      </c>
      <c r="AL78" s="290">
        <v>17940</v>
      </c>
      <c r="AM78" s="957">
        <v>0.13672698</v>
      </c>
      <c r="AN78" s="290">
        <v>0</v>
      </c>
      <c r="AO78" s="290">
        <v>1849.25568572</v>
      </c>
      <c r="AP78" s="290">
        <v>0</v>
      </c>
      <c r="AQ78" s="290">
        <v>0</v>
      </c>
      <c r="AR78" s="290">
        <v>2039.8787133000001</v>
      </c>
      <c r="AS78" s="290">
        <v>2054</v>
      </c>
      <c r="AT78" s="290">
        <v>432</v>
      </c>
      <c r="AU78" s="290">
        <v>86</v>
      </c>
      <c r="AV78" s="766">
        <v>275848</v>
      </c>
      <c r="AW78" s="290"/>
      <c r="AX78" s="766">
        <v>63.041649999999997</v>
      </c>
      <c r="AY78" s="290">
        <v>1940</v>
      </c>
      <c r="AZ78" s="290">
        <v>342</v>
      </c>
      <c r="BA78" s="290">
        <v>189</v>
      </c>
      <c r="BB78" s="290">
        <v>0</v>
      </c>
      <c r="BC78" s="290">
        <v>15997</v>
      </c>
      <c r="BD78" s="290"/>
      <c r="BE78" s="290">
        <v>270461.67462422</v>
      </c>
      <c r="BF78" s="290">
        <v>0</v>
      </c>
      <c r="BG78" s="290">
        <v>8673.2457555107849</v>
      </c>
      <c r="BH78" s="290">
        <v>467.2932407050709</v>
      </c>
      <c r="BI78" s="290">
        <v>3173</v>
      </c>
      <c r="BJ78" s="290"/>
      <c r="BK78" s="290"/>
      <c r="BL78" s="290"/>
      <c r="BM78" s="290">
        <v>0</v>
      </c>
      <c r="BN78" s="290">
        <v>3518.6854399999997</v>
      </c>
      <c r="BO78" s="290">
        <v>-4482.939932337682</v>
      </c>
      <c r="BP78" s="290">
        <v>495.57900000000001</v>
      </c>
      <c r="BQ78" s="290">
        <v>-265.77600000000001</v>
      </c>
      <c r="BR78" s="290">
        <v>-154.92390475004001</v>
      </c>
      <c r="BS78" s="290">
        <v>1.8819999999999999</v>
      </c>
      <c r="BT78" s="290"/>
      <c r="BU78" s="290">
        <v>0</v>
      </c>
      <c r="BV78" s="290">
        <v>2000</v>
      </c>
      <c r="BW78" s="290">
        <v>-2209</v>
      </c>
      <c r="BX78" s="290">
        <v>996</v>
      </c>
      <c r="BY78" s="290">
        <v>296</v>
      </c>
      <c r="BZ78" s="290">
        <v>-1679</v>
      </c>
      <c r="CA78" s="290">
        <v>-6.5066029122776854</v>
      </c>
      <c r="CB78" s="290">
        <v>474</v>
      </c>
      <c r="CC78" s="290">
        <v>1251</v>
      </c>
      <c r="CD78" s="290">
        <v>17</v>
      </c>
      <c r="CE78" s="290">
        <v>354</v>
      </c>
      <c r="CF78" s="290">
        <v>15</v>
      </c>
      <c r="CG78" s="290">
        <v>2</v>
      </c>
      <c r="CH78" s="290">
        <v>-10</v>
      </c>
      <c r="CI78" s="290">
        <v>-4277</v>
      </c>
      <c r="CJ78" s="290">
        <v>-11595</v>
      </c>
      <c r="CK78" s="290">
        <f>+innut22!E84+innut22!S84</f>
        <v>321306.10580439569</v>
      </c>
      <c r="CL78" s="290">
        <v>0</v>
      </c>
      <c r="CM78" s="290">
        <v>0</v>
      </c>
      <c r="CN78" s="290">
        <v>0</v>
      </c>
      <c r="CP78" s="290">
        <f>+innut23!E84</f>
        <v>297891.68096200051</v>
      </c>
      <c r="CQ78" s="290"/>
      <c r="CV78" s="85">
        <f t="shared" si="2"/>
        <v>1.7809999999999999</v>
      </c>
    </row>
    <row r="79" spans="1:100" ht="13">
      <c r="A79" s="1">
        <v>1845</v>
      </c>
      <c r="B79" s="2" t="s">
        <v>198</v>
      </c>
      <c r="C79" s="289">
        <v>1869</v>
      </c>
      <c r="D79" s="290">
        <v>28</v>
      </c>
      <c r="E79" s="290">
        <v>67</v>
      </c>
      <c r="F79" s="290">
        <v>191</v>
      </c>
      <c r="G79" s="290">
        <v>165</v>
      </c>
      <c r="H79" s="290">
        <v>971</v>
      </c>
      <c r="I79" s="290">
        <v>344</v>
      </c>
      <c r="J79" s="290">
        <v>105</v>
      </c>
      <c r="K79" s="290">
        <v>31</v>
      </c>
      <c r="L79" s="290">
        <v>17</v>
      </c>
      <c r="M79" s="290">
        <v>218</v>
      </c>
      <c r="N79" s="290">
        <v>1.5</v>
      </c>
      <c r="O79" s="290">
        <v>20</v>
      </c>
      <c r="P79" s="624">
        <v>28051.652999999998</v>
      </c>
      <c r="Q79" s="624">
        <v>15332.97633333</v>
      </c>
      <c r="R79" s="624">
        <v>7</v>
      </c>
      <c r="S79" s="290">
        <v>18</v>
      </c>
      <c r="T79" s="290">
        <v>149</v>
      </c>
      <c r="U79" s="958">
        <v>1.224583159139305E-3</v>
      </c>
      <c r="V79" s="290">
        <v>1237.1810122300001</v>
      </c>
      <c r="W79" s="765">
        <v>0.97616639000000005</v>
      </c>
      <c r="X79" s="290">
        <v>0</v>
      </c>
      <c r="Y79" s="290"/>
      <c r="Z79" s="290">
        <f>innut22!E85</f>
        <v>67416.012500790326</v>
      </c>
      <c r="AA79" s="290">
        <v>0</v>
      </c>
      <c r="AB79" s="290">
        <v>50</v>
      </c>
      <c r="AC79" s="290">
        <v>401</v>
      </c>
      <c r="AD79" s="290"/>
      <c r="AE79" s="290">
        <v>0</v>
      </c>
      <c r="AF79" s="290">
        <v>0</v>
      </c>
      <c r="AG79" s="290">
        <v>1902</v>
      </c>
      <c r="AH79" s="290">
        <v>302</v>
      </c>
      <c r="AI79" s="290">
        <v>0</v>
      </c>
      <c r="AJ79" s="290">
        <v>0</v>
      </c>
      <c r="AK79" s="290">
        <v>3114</v>
      </c>
      <c r="AL79" s="290">
        <v>3558</v>
      </c>
      <c r="AM79" s="957">
        <v>2.7622279999999999E-2</v>
      </c>
      <c r="AN79" s="290">
        <v>0</v>
      </c>
      <c r="AO79" s="290">
        <v>461.88032064999999</v>
      </c>
      <c r="AP79" s="290">
        <v>0</v>
      </c>
      <c r="AQ79" s="290">
        <v>0</v>
      </c>
      <c r="AR79" s="290">
        <v>-91.753701489999997</v>
      </c>
      <c r="AS79" s="290">
        <v>510</v>
      </c>
      <c r="AT79" s="290">
        <v>90</v>
      </c>
      <c r="AU79" s="290">
        <v>22</v>
      </c>
      <c r="AV79" s="766">
        <v>90768</v>
      </c>
      <c r="AW79" s="290"/>
      <c r="AX79" s="766">
        <v>10.333349999999999</v>
      </c>
      <c r="AY79" s="290">
        <v>276</v>
      </c>
      <c r="AZ79" s="290">
        <v>51</v>
      </c>
      <c r="BA79" s="290">
        <v>34</v>
      </c>
      <c r="BB79" s="290">
        <v>6034</v>
      </c>
      <c r="BC79" s="290">
        <v>6005</v>
      </c>
      <c r="BD79" s="290"/>
      <c r="BE79" s="290">
        <v>92215.943284659996</v>
      </c>
      <c r="BF79" s="290">
        <v>0</v>
      </c>
      <c r="BG79" s="290">
        <v>1688.0450189575818</v>
      </c>
      <c r="BH79" s="290">
        <v>90.947731633632969</v>
      </c>
      <c r="BI79" s="290">
        <v>3817</v>
      </c>
      <c r="BJ79" s="290"/>
      <c r="BK79" s="290"/>
      <c r="BL79" s="290"/>
      <c r="BM79" s="290">
        <v>0</v>
      </c>
      <c r="BN79" s="290">
        <v>878.84631999999999</v>
      </c>
      <c r="BO79" s="290">
        <v>-886.24381574745576</v>
      </c>
      <c r="BP79" s="290">
        <v>86.251000000000005</v>
      </c>
      <c r="BQ79" s="290">
        <v>-46.256</v>
      </c>
      <c r="BR79" s="290">
        <v>-38.618018716389805</v>
      </c>
      <c r="BS79" s="290">
        <v>0.58799999999999997</v>
      </c>
      <c r="BT79" s="290"/>
      <c r="BU79" s="290">
        <v>0</v>
      </c>
      <c r="BV79" s="290">
        <v>1500</v>
      </c>
      <c r="BW79" s="290">
        <v>-437</v>
      </c>
      <c r="BX79" s="290">
        <v>245</v>
      </c>
      <c r="BY79" s="290">
        <v>47</v>
      </c>
      <c r="BZ79" s="290">
        <v>-332</v>
      </c>
      <c r="CA79" s="290">
        <v>-1.567485536154436</v>
      </c>
      <c r="CB79" s="290">
        <v>76</v>
      </c>
      <c r="CC79" s="290">
        <v>247</v>
      </c>
      <c r="CD79" s="290">
        <v>3</v>
      </c>
      <c r="CE79" s="290">
        <v>69</v>
      </c>
      <c r="CF79" s="290">
        <v>5</v>
      </c>
      <c r="CG79" s="290">
        <v>0</v>
      </c>
      <c r="CH79" s="290">
        <v>-3</v>
      </c>
      <c r="CI79" s="290">
        <v>-832</v>
      </c>
      <c r="CJ79" s="290">
        <v>-1551</v>
      </c>
      <c r="CK79" s="290">
        <f>+innut22!E85+innut22!S85</f>
        <v>67416.012500790326</v>
      </c>
      <c r="CL79" s="290">
        <v>3736.9214197039305</v>
      </c>
      <c r="CM79" s="290">
        <v>4355.9726929413901</v>
      </c>
      <c r="CN79" s="290">
        <v>4971.5996263033448</v>
      </c>
      <c r="CP79" s="290">
        <f>+innut23!E85</f>
        <v>64690.86683159251</v>
      </c>
      <c r="CQ79" s="290"/>
      <c r="CV79" s="85">
        <f t="shared" si="2"/>
        <v>0.35199999999999998</v>
      </c>
    </row>
    <row r="80" spans="1:100" ht="13">
      <c r="A80" s="1">
        <v>1848</v>
      </c>
      <c r="B80" s="2" t="s">
        <v>199</v>
      </c>
      <c r="C80" s="289">
        <v>2591</v>
      </c>
      <c r="D80" s="290">
        <v>34</v>
      </c>
      <c r="E80" s="290">
        <v>96</v>
      </c>
      <c r="F80" s="290">
        <v>277</v>
      </c>
      <c r="G80" s="290">
        <v>169</v>
      </c>
      <c r="H80" s="290">
        <v>1407</v>
      </c>
      <c r="I80" s="290">
        <v>445</v>
      </c>
      <c r="J80" s="290">
        <v>135</v>
      </c>
      <c r="K80" s="290">
        <v>27</v>
      </c>
      <c r="L80" s="290">
        <v>21</v>
      </c>
      <c r="M80" s="290">
        <v>314</v>
      </c>
      <c r="N80" s="290">
        <v>31</v>
      </c>
      <c r="O80" s="290">
        <v>30</v>
      </c>
      <c r="P80" s="624">
        <v>46030.402333329999</v>
      </c>
      <c r="Q80" s="624">
        <v>15339.599666669999</v>
      </c>
      <c r="R80" s="624">
        <v>10</v>
      </c>
      <c r="S80" s="290">
        <v>29</v>
      </c>
      <c r="T80" s="290">
        <v>242</v>
      </c>
      <c r="U80" s="958">
        <v>2.386885830216475E-3</v>
      </c>
      <c r="V80" s="290">
        <v>1521.0931264799999</v>
      </c>
      <c r="W80" s="765">
        <v>1</v>
      </c>
      <c r="X80" s="290">
        <v>0</v>
      </c>
      <c r="Y80" s="290"/>
      <c r="Z80" s="290">
        <f>innut22!E86</f>
        <v>85404.629650780815</v>
      </c>
      <c r="AA80" s="290">
        <v>0</v>
      </c>
      <c r="AB80" s="290">
        <v>84</v>
      </c>
      <c r="AC80" s="290">
        <v>856</v>
      </c>
      <c r="AD80" s="290"/>
      <c r="AE80" s="290">
        <v>0</v>
      </c>
      <c r="AF80" s="290">
        <v>0</v>
      </c>
      <c r="AG80" s="290">
        <v>2590</v>
      </c>
      <c r="AH80" s="290">
        <v>395</v>
      </c>
      <c r="AI80" s="290">
        <v>5180</v>
      </c>
      <c r="AJ80" s="290">
        <v>0</v>
      </c>
      <c r="AK80" s="290">
        <v>0</v>
      </c>
      <c r="AL80" s="290">
        <v>4813</v>
      </c>
      <c r="AM80" s="957">
        <v>2.4797989999999999E-2</v>
      </c>
      <c r="AN80" s="290">
        <v>0</v>
      </c>
      <c r="AO80" s="290">
        <v>606.62599155999999</v>
      </c>
      <c r="AP80" s="290">
        <v>0</v>
      </c>
      <c r="AQ80" s="290">
        <v>0</v>
      </c>
      <c r="AR80" s="290">
        <v>1272.8788597299999</v>
      </c>
      <c r="AS80" s="290">
        <v>1754</v>
      </c>
      <c r="AT80" s="290">
        <v>111</v>
      </c>
      <c r="AU80" s="290">
        <v>18</v>
      </c>
      <c r="AV80" s="766">
        <v>113187</v>
      </c>
      <c r="AW80" s="290"/>
      <c r="AX80" s="766">
        <v>13.25005</v>
      </c>
      <c r="AY80" s="290">
        <v>494</v>
      </c>
      <c r="AZ80" s="290">
        <v>83</v>
      </c>
      <c r="BA80" s="290">
        <v>52</v>
      </c>
      <c r="BB80" s="290">
        <v>6034</v>
      </c>
      <c r="BC80" s="290">
        <v>4557</v>
      </c>
      <c r="BD80" s="290"/>
      <c r="BE80" s="290">
        <v>112469.36358731</v>
      </c>
      <c r="BF80" s="290">
        <v>0</v>
      </c>
      <c r="BG80" s="290">
        <v>2340.1415966394302</v>
      </c>
      <c r="BH80" s="290">
        <v>126.08109826792031</v>
      </c>
      <c r="BI80" s="290">
        <v>1251</v>
      </c>
      <c r="BJ80" s="290"/>
      <c r="BK80" s="290"/>
      <c r="BL80" s="290"/>
      <c r="BM80" s="290">
        <v>0</v>
      </c>
      <c r="BN80" s="290">
        <v>1154.26226</v>
      </c>
      <c r="BO80" s="290">
        <v>-1206.8199173427499</v>
      </c>
      <c r="BP80" s="290">
        <v>124.639</v>
      </c>
      <c r="BQ80" s="290">
        <v>-66.843000000000004</v>
      </c>
      <c r="BR80" s="290">
        <v>-54.0286318696023</v>
      </c>
      <c r="BS80" s="290">
        <v>0.72599999999999998</v>
      </c>
      <c r="BT80" s="290"/>
      <c r="BU80" s="290">
        <v>0</v>
      </c>
      <c r="BV80" s="290">
        <v>2000</v>
      </c>
      <c r="BW80" s="290">
        <v>-595</v>
      </c>
      <c r="BX80" s="290">
        <v>338</v>
      </c>
      <c r="BY80" s="290">
        <v>75</v>
      </c>
      <c r="BZ80" s="290">
        <v>-452</v>
      </c>
      <c r="CA80" s="290">
        <v>130.06428921235226</v>
      </c>
      <c r="CB80" s="290">
        <v>120</v>
      </c>
      <c r="CC80" s="290">
        <v>337</v>
      </c>
      <c r="CD80" s="290">
        <v>4</v>
      </c>
      <c r="CE80" s="290">
        <v>96</v>
      </c>
      <c r="CF80" s="290">
        <v>6</v>
      </c>
      <c r="CG80" s="290">
        <v>0</v>
      </c>
      <c r="CH80" s="290">
        <v>-4</v>
      </c>
      <c r="CI80" s="290">
        <v>-1154</v>
      </c>
      <c r="CJ80" s="290">
        <v>-3140</v>
      </c>
      <c r="CK80" s="290">
        <f>+innut22!E86+innut22!S86</f>
        <v>85404.629650780815</v>
      </c>
      <c r="CL80" s="290">
        <v>0</v>
      </c>
      <c r="CM80" s="290">
        <v>0</v>
      </c>
      <c r="CN80" s="290">
        <v>0</v>
      </c>
      <c r="CP80" s="290">
        <f>+innut23!E86</f>
        <v>79496.366661815016</v>
      </c>
      <c r="CQ80" s="290"/>
      <c r="CV80" s="85">
        <f t="shared" si="2"/>
        <v>0.47899999999999998</v>
      </c>
    </row>
    <row r="81" spans="1:100" ht="13">
      <c r="A81" s="1">
        <v>1851</v>
      </c>
      <c r="B81" s="2" t="s">
        <v>202</v>
      </c>
      <c r="C81" s="289">
        <v>1976</v>
      </c>
      <c r="D81" s="290">
        <v>25</v>
      </c>
      <c r="E81" s="290">
        <v>44</v>
      </c>
      <c r="F81" s="290">
        <v>193</v>
      </c>
      <c r="G81" s="290">
        <v>136</v>
      </c>
      <c r="H81" s="290">
        <v>1024</v>
      </c>
      <c r="I81" s="290">
        <v>387</v>
      </c>
      <c r="J81" s="290">
        <v>130</v>
      </c>
      <c r="K81" s="290">
        <v>44</v>
      </c>
      <c r="L81" s="290">
        <v>15</v>
      </c>
      <c r="M81" s="290">
        <v>247</v>
      </c>
      <c r="N81" s="290">
        <v>45</v>
      </c>
      <c r="O81" s="290">
        <v>29</v>
      </c>
      <c r="P81" s="624">
        <v>15057.655000000001</v>
      </c>
      <c r="Q81" s="624">
        <v>6611.3280000000004</v>
      </c>
      <c r="R81" s="624">
        <v>18</v>
      </c>
      <c r="S81" s="290">
        <v>26</v>
      </c>
      <c r="T81" s="290">
        <v>184</v>
      </c>
      <c r="U81" s="958">
        <v>7.1017783477015273E-4</v>
      </c>
      <c r="V81" s="290">
        <v>1355.75701482</v>
      </c>
      <c r="W81" s="765">
        <v>1</v>
      </c>
      <c r="X81" s="290">
        <v>0</v>
      </c>
      <c r="Y81" s="290"/>
      <c r="Z81" s="290">
        <f>innut22!E87</f>
        <v>65087.092019869131</v>
      </c>
      <c r="AA81" s="290">
        <v>0</v>
      </c>
      <c r="AB81" s="290">
        <v>65</v>
      </c>
      <c r="AC81" s="290">
        <v>294</v>
      </c>
      <c r="AD81" s="290"/>
      <c r="AE81" s="290">
        <v>0</v>
      </c>
      <c r="AF81" s="290">
        <v>0</v>
      </c>
      <c r="AG81" s="290">
        <v>1983</v>
      </c>
      <c r="AH81" s="290">
        <v>267</v>
      </c>
      <c r="AI81" s="290">
        <v>1310</v>
      </c>
      <c r="AJ81" s="290">
        <v>0</v>
      </c>
      <c r="AK81" s="290">
        <v>0</v>
      </c>
      <c r="AL81" s="290">
        <v>3728</v>
      </c>
      <c r="AM81" s="957">
        <v>6.6684800000000002E-2</v>
      </c>
      <c r="AN81" s="290">
        <v>0</v>
      </c>
      <c r="AO81" s="290">
        <v>506.14863833999999</v>
      </c>
      <c r="AP81" s="290">
        <v>0</v>
      </c>
      <c r="AQ81" s="290">
        <v>0</v>
      </c>
      <c r="AR81" s="290">
        <v>-95.661193510000004</v>
      </c>
      <c r="AS81" s="290">
        <v>101</v>
      </c>
      <c r="AT81" s="290">
        <v>98</v>
      </c>
      <c r="AU81" s="290">
        <v>26</v>
      </c>
      <c r="AV81" s="766">
        <v>75793</v>
      </c>
      <c r="AW81" s="290"/>
      <c r="AX81" s="766">
        <v>9.25</v>
      </c>
      <c r="AY81" s="290">
        <v>376</v>
      </c>
      <c r="AZ81" s="290">
        <v>105</v>
      </c>
      <c r="BA81" s="290">
        <v>68</v>
      </c>
      <c r="BB81" s="290">
        <v>6034</v>
      </c>
      <c r="BC81" s="290">
        <v>-17924</v>
      </c>
      <c r="BD81" s="290"/>
      <c r="BE81" s="290">
        <v>100019.65254736</v>
      </c>
      <c r="BF81" s="290">
        <v>0</v>
      </c>
      <c r="BG81" s="290">
        <v>1784.6853704976895</v>
      </c>
      <c r="BH81" s="290">
        <v>96.154477104365313</v>
      </c>
      <c r="BI81" s="290">
        <v>561</v>
      </c>
      <c r="BJ81" s="290"/>
      <c r="BK81" s="290"/>
      <c r="BL81" s="290"/>
      <c r="BM81" s="290">
        <v>0</v>
      </c>
      <c r="BN81" s="290">
        <v>963.07819999999992</v>
      </c>
      <c r="BO81" s="290">
        <v>-923.98606026666914</v>
      </c>
      <c r="BP81" s="290">
        <v>63.402000000000001</v>
      </c>
      <c r="BQ81" s="290">
        <v>-34.002000000000002</v>
      </c>
      <c r="BR81" s="290">
        <v>-37.239064068618866</v>
      </c>
      <c r="BS81" s="290">
        <v>0.57099999999999995</v>
      </c>
      <c r="BT81" s="290"/>
      <c r="BU81" s="290">
        <v>0</v>
      </c>
      <c r="BV81" s="290">
        <v>1000</v>
      </c>
      <c r="BW81" s="290">
        <v>-455</v>
      </c>
      <c r="BX81" s="290">
        <v>233</v>
      </c>
      <c r="BY81" s="290">
        <v>69</v>
      </c>
      <c r="BZ81" s="290">
        <v>-346</v>
      </c>
      <c r="CA81" s="290">
        <v>98.175924335288073</v>
      </c>
      <c r="CB81" s="290">
        <v>110</v>
      </c>
      <c r="CC81" s="290">
        <v>258</v>
      </c>
      <c r="CD81" s="290">
        <v>4</v>
      </c>
      <c r="CE81" s="290">
        <v>73</v>
      </c>
      <c r="CF81" s="290">
        <v>5</v>
      </c>
      <c r="CG81" s="290">
        <v>0</v>
      </c>
      <c r="CH81" s="290">
        <v>-3</v>
      </c>
      <c r="CI81" s="290">
        <v>-880</v>
      </c>
      <c r="CJ81" s="290">
        <v>-2459</v>
      </c>
      <c r="CK81" s="290">
        <f>+innut22!E87+innut22!S87</f>
        <v>65087.092019869131</v>
      </c>
      <c r="CL81" s="290">
        <v>0</v>
      </c>
      <c r="CM81" s="290">
        <v>0</v>
      </c>
      <c r="CN81" s="290">
        <v>0</v>
      </c>
      <c r="CP81" s="290">
        <f>+innut23!E87</f>
        <v>59298.902528220162</v>
      </c>
      <c r="CQ81" s="290"/>
      <c r="CV81" s="85">
        <f t="shared" si="2"/>
        <v>0.36699999999999999</v>
      </c>
    </row>
    <row r="82" spans="1:100" ht="13">
      <c r="A82" s="1">
        <v>1853</v>
      </c>
      <c r="B82" s="2" t="s">
        <v>204</v>
      </c>
      <c r="C82" s="289">
        <v>1334</v>
      </c>
      <c r="D82" s="290">
        <v>22</v>
      </c>
      <c r="E82" s="290">
        <v>26</v>
      </c>
      <c r="F82" s="290">
        <v>127</v>
      </c>
      <c r="G82" s="290">
        <v>114</v>
      </c>
      <c r="H82" s="290">
        <v>663</v>
      </c>
      <c r="I82" s="290">
        <v>275</v>
      </c>
      <c r="J82" s="290">
        <v>61</v>
      </c>
      <c r="K82" s="290">
        <v>21</v>
      </c>
      <c r="L82" s="290">
        <v>9</v>
      </c>
      <c r="M82" s="290">
        <v>175</v>
      </c>
      <c r="N82" s="290">
        <v>12</v>
      </c>
      <c r="O82" s="290">
        <v>16</v>
      </c>
      <c r="P82" s="624">
        <v>10795.86366667</v>
      </c>
      <c r="Q82" s="624">
        <v>5841.9963333300002</v>
      </c>
      <c r="R82" s="624">
        <v>9</v>
      </c>
      <c r="S82" s="290">
        <v>15</v>
      </c>
      <c r="T82" s="290">
        <v>107</v>
      </c>
      <c r="U82" s="958">
        <v>8.1516746535393702E-4</v>
      </c>
      <c r="V82" s="290">
        <v>865.22097381000003</v>
      </c>
      <c r="W82" s="765">
        <v>0.93785750000000001</v>
      </c>
      <c r="X82" s="290">
        <v>0</v>
      </c>
      <c r="Y82" s="290"/>
      <c r="Z82" s="290">
        <f>innut22!E88</f>
        <v>36487.431623208649</v>
      </c>
      <c r="AA82" s="290">
        <v>0</v>
      </c>
      <c r="AB82" s="290">
        <v>43</v>
      </c>
      <c r="AC82" s="290">
        <v>0</v>
      </c>
      <c r="AD82" s="290"/>
      <c r="AE82" s="290">
        <v>0</v>
      </c>
      <c r="AF82" s="290">
        <v>0</v>
      </c>
      <c r="AG82" s="290">
        <v>1309</v>
      </c>
      <c r="AH82" s="290">
        <v>179</v>
      </c>
      <c r="AI82" s="290">
        <v>5000</v>
      </c>
      <c r="AJ82" s="290">
        <v>0</v>
      </c>
      <c r="AK82" s="290">
        <v>0</v>
      </c>
      <c r="AL82" s="290">
        <v>2464</v>
      </c>
      <c r="AM82" s="957">
        <v>3.2983909999999998E-2</v>
      </c>
      <c r="AN82" s="290">
        <v>0</v>
      </c>
      <c r="AO82" s="290">
        <v>323.0154172</v>
      </c>
      <c r="AP82" s="290">
        <v>0</v>
      </c>
      <c r="AQ82" s="290">
        <v>0</v>
      </c>
      <c r="AR82" s="290">
        <v>3366.8644587899998</v>
      </c>
      <c r="AS82" s="290">
        <v>474</v>
      </c>
      <c r="AT82" s="290">
        <v>59</v>
      </c>
      <c r="AU82" s="290">
        <v>14</v>
      </c>
      <c r="AV82" s="766">
        <v>68705</v>
      </c>
      <c r="AW82" s="290"/>
      <c r="AX82" s="766">
        <v>5.0833500000000003</v>
      </c>
      <c r="AY82" s="290">
        <v>244</v>
      </c>
      <c r="AZ82" s="290">
        <v>70</v>
      </c>
      <c r="BA82" s="290">
        <v>21</v>
      </c>
      <c r="BB82" s="290">
        <v>6034</v>
      </c>
      <c r="BC82" s="290">
        <v>2585</v>
      </c>
      <c r="BD82" s="290"/>
      <c r="BE82" s="290">
        <v>64487.570626449997</v>
      </c>
      <c r="BF82" s="290">
        <v>0</v>
      </c>
      <c r="BG82" s="290">
        <v>1204.8432612570437</v>
      </c>
      <c r="BH82" s="290">
        <v>64.914004279971323</v>
      </c>
      <c r="BI82" s="290">
        <v>179</v>
      </c>
      <c r="BJ82" s="290"/>
      <c r="BK82" s="290"/>
      <c r="BL82" s="290"/>
      <c r="BM82" s="290">
        <v>0</v>
      </c>
      <c r="BN82" s="290">
        <v>614.62006000000008</v>
      </c>
      <c r="BO82" s="290">
        <v>-609.93330957593037</v>
      </c>
      <c r="BP82" s="290">
        <v>37.665999999999997</v>
      </c>
      <c r="BQ82" s="290">
        <v>-20.2</v>
      </c>
      <c r="BR82" s="290">
        <v>-24.98147474713096</v>
      </c>
      <c r="BS82" s="290">
        <v>0.42499999999999999</v>
      </c>
      <c r="BT82" s="290"/>
      <c r="BU82" s="290">
        <v>0</v>
      </c>
      <c r="BV82" s="290">
        <v>500</v>
      </c>
      <c r="BW82" s="290">
        <v>-301</v>
      </c>
      <c r="BX82" s="290">
        <v>162</v>
      </c>
      <c r="BY82" s="290">
        <v>39</v>
      </c>
      <c r="BZ82" s="290">
        <v>-228</v>
      </c>
      <c r="CA82" s="290">
        <v>472.40372432306123</v>
      </c>
      <c r="CB82" s="290">
        <v>62</v>
      </c>
      <c r="CC82" s="290">
        <v>170</v>
      </c>
      <c r="CD82" s="290">
        <v>2</v>
      </c>
      <c r="CE82" s="290">
        <v>49</v>
      </c>
      <c r="CF82" s="290">
        <v>3</v>
      </c>
      <c r="CG82" s="290">
        <v>0</v>
      </c>
      <c r="CH82" s="290">
        <v>-2</v>
      </c>
      <c r="CI82" s="290">
        <v>-594</v>
      </c>
      <c r="CJ82" s="290">
        <v>-1557</v>
      </c>
      <c r="CK82" s="290">
        <f>+innut22!E88+innut22!S88</f>
        <v>36487.431623208649</v>
      </c>
      <c r="CL82" s="290">
        <v>0</v>
      </c>
      <c r="CM82" s="290">
        <v>0</v>
      </c>
      <c r="CN82" s="290">
        <v>0</v>
      </c>
      <c r="CP82" s="290">
        <f>+innut23!E88</f>
        <v>35500.095902719171</v>
      </c>
      <c r="CQ82" s="290"/>
      <c r="CV82" s="85">
        <f t="shared" si="2"/>
        <v>0.24199999999999999</v>
      </c>
    </row>
    <row r="83" spans="1:100" ht="13">
      <c r="A83" s="1">
        <v>1856</v>
      </c>
      <c r="B83" s="2" t="s">
        <v>206</v>
      </c>
      <c r="C83" s="289">
        <v>469</v>
      </c>
      <c r="D83" s="290">
        <v>5</v>
      </c>
      <c r="E83" s="290">
        <v>10</v>
      </c>
      <c r="F83" s="290">
        <v>46</v>
      </c>
      <c r="G83" s="290">
        <v>38</v>
      </c>
      <c r="H83" s="290">
        <v>276</v>
      </c>
      <c r="I83" s="290">
        <v>67</v>
      </c>
      <c r="J83" s="290">
        <v>28</v>
      </c>
      <c r="K83" s="290">
        <v>7</v>
      </c>
      <c r="L83" s="290">
        <v>5</v>
      </c>
      <c r="M83" s="290">
        <v>62</v>
      </c>
      <c r="N83" s="290">
        <v>0</v>
      </c>
      <c r="O83" s="290">
        <v>4</v>
      </c>
      <c r="P83" s="624">
        <v>326.13099999999997</v>
      </c>
      <c r="Q83" s="624">
        <v>701.31899999999996</v>
      </c>
      <c r="R83" s="624">
        <v>0</v>
      </c>
      <c r="S83" s="290">
        <v>6</v>
      </c>
      <c r="T83" s="290">
        <v>73</v>
      </c>
      <c r="U83" s="958">
        <v>1.2666092704350884E-4</v>
      </c>
      <c r="V83" s="290">
        <v>397.26523198000001</v>
      </c>
      <c r="W83" s="765">
        <v>1</v>
      </c>
      <c r="X83" s="290">
        <v>0</v>
      </c>
      <c r="Y83" s="290"/>
      <c r="Z83" s="290">
        <f>innut22!E89</f>
        <v>21345.354059523732</v>
      </c>
      <c r="AA83" s="290">
        <v>0</v>
      </c>
      <c r="AB83" s="290">
        <v>12</v>
      </c>
      <c r="AC83" s="290">
        <v>0</v>
      </c>
      <c r="AD83" s="290"/>
      <c r="AE83" s="290">
        <v>0</v>
      </c>
      <c r="AF83" s="290">
        <v>0</v>
      </c>
      <c r="AG83" s="290">
        <v>477</v>
      </c>
      <c r="AH83" s="290">
        <v>100</v>
      </c>
      <c r="AI83" s="290">
        <v>9000</v>
      </c>
      <c r="AJ83" s="290">
        <v>0</v>
      </c>
      <c r="AK83" s="290">
        <v>0</v>
      </c>
      <c r="AL83" s="290">
        <v>908</v>
      </c>
      <c r="AM83" s="957">
        <v>5.2405300000000002E-3</v>
      </c>
      <c r="AN83" s="290">
        <v>0</v>
      </c>
      <c r="AO83" s="290">
        <v>148.31216362999999</v>
      </c>
      <c r="AP83" s="290">
        <v>0</v>
      </c>
      <c r="AQ83" s="290">
        <v>0</v>
      </c>
      <c r="AR83" s="290">
        <v>-23.010786329999998</v>
      </c>
      <c r="AS83" s="290">
        <v>353</v>
      </c>
      <c r="AT83" s="290">
        <v>26</v>
      </c>
      <c r="AU83" s="290">
        <v>6</v>
      </c>
      <c r="AV83" s="766">
        <v>36641</v>
      </c>
      <c r="AW83" s="290"/>
      <c r="AX83" s="766">
        <v>3.0832999999999999</v>
      </c>
      <c r="AY83" s="290">
        <v>63</v>
      </c>
      <c r="AZ83" s="290">
        <v>8</v>
      </c>
      <c r="BA83" s="290">
        <v>16</v>
      </c>
      <c r="BB83" s="290">
        <v>6034</v>
      </c>
      <c r="BC83" s="290">
        <v>1321</v>
      </c>
      <c r="BD83" s="290"/>
      <c r="BE83" s="290">
        <v>36752.665566440002</v>
      </c>
      <c r="BF83" s="290">
        <v>0</v>
      </c>
      <c r="BG83" s="290">
        <v>423.59182123654676</v>
      </c>
      <c r="BH83" s="290">
        <v>22.82208996049966</v>
      </c>
      <c r="BI83" s="290">
        <v>100</v>
      </c>
      <c r="BJ83" s="290"/>
      <c r="BK83" s="290"/>
      <c r="BL83" s="290"/>
      <c r="BM83" s="290">
        <v>0</v>
      </c>
      <c r="BN83" s="290">
        <v>282.20210000000003</v>
      </c>
      <c r="BO83" s="290">
        <v>-222.25988439092345</v>
      </c>
      <c r="BP83" s="290">
        <v>14.698</v>
      </c>
      <c r="BQ83" s="290">
        <v>-7.8819999999999997</v>
      </c>
      <c r="BR83" s="290">
        <v>-11.00421560907659</v>
      </c>
      <c r="BS83" s="290">
        <v>0.246</v>
      </c>
      <c r="BT83" s="290"/>
      <c r="BU83" s="290">
        <v>0</v>
      </c>
      <c r="BV83" s="290">
        <v>500</v>
      </c>
      <c r="BW83" s="290">
        <v>-110</v>
      </c>
      <c r="BX83" s="290">
        <v>73</v>
      </c>
      <c r="BY83" s="290">
        <v>16</v>
      </c>
      <c r="BZ83" s="290">
        <v>-83</v>
      </c>
      <c r="CA83" s="290">
        <v>0</v>
      </c>
      <c r="CB83" s="290">
        <v>26</v>
      </c>
      <c r="CC83" s="290">
        <v>62</v>
      </c>
      <c r="CD83" s="290">
        <v>1</v>
      </c>
      <c r="CE83" s="290">
        <v>17</v>
      </c>
      <c r="CF83" s="290">
        <v>2</v>
      </c>
      <c r="CG83" s="290">
        <v>0</v>
      </c>
      <c r="CH83" s="290">
        <v>-1</v>
      </c>
      <c r="CI83" s="290">
        <v>-209</v>
      </c>
      <c r="CJ83" s="290">
        <v>-598</v>
      </c>
      <c r="CK83" s="290">
        <f>+innut22!E89+innut22!S89</f>
        <v>21345.354059523732</v>
      </c>
      <c r="CL83" s="290">
        <v>0</v>
      </c>
      <c r="CM83" s="290">
        <v>0</v>
      </c>
      <c r="CN83" s="290">
        <v>0</v>
      </c>
      <c r="CP83" s="290">
        <f>+innut23!E89</f>
        <v>19257.390437164104</v>
      </c>
      <c r="CQ83" s="290"/>
      <c r="CV83" s="85">
        <f t="shared" si="2"/>
        <v>8.7999999999999995E-2</v>
      </c>
    </row>
    <row r="84" spans="1:100" ht="13">
      <c r="A84" s="1">
        <v>1857</v>
      </c>
      <c r="B84" s="2" t="s">
        <v>207</v>
      </c>
      <c r="C84" s="289">
        <v>678</v>
      </c>
      <c r="D84" s="290">
        <v>6</v>
      </c>
      <c r="E84" s="290">
        <v>22</v>
      </c>
      <c r="F84" s="290">
        <v>79</v>
      </c>
      <c r="G84" s="290">
        <v>42</v>
      </c>
      <c r="H84" s="290">
        <v>387</v>
      </c>
      <c r="I84" s="290">
        <v>98</v>
      </c>
      <c r="J84" s="290">
        <v>42</v>
      </c>
      <c r="K84" s="290">
        <v>8</v>
      </c>
      <c r="L84" s="290">
        <v>7</v>
      </c>
      <c r="M84" s="290">
        <v>66</v>
      </c>
      <c r="N84" s="290">
        <v>0</v>
      </c>
      <c r="O84" s="290">
        <v>8</v>
      </c>
      <c r="P84" s="624">
        <v>183.19766666999999</v>
      </c>
      <c r="Q84" s="624">
        <v>3901.1773333299998</v>
      </c>
      <c r="R84" s="624">
        <v>6</v>
      </c>
      <c r="S84" s="290">
        <v>8</v>
      </c>
      <c r="T84" s="290">
        <v>71</v>
      </c>
      <c r="U84" s="958">
        <v>6.5386093920216805E-5</v>
      </c>
      <c r="V84" s="290">
        <v>558.48860763000005</v>
      </c>
      <c r="W84" s="765">
        <v>1</v>
      </c>
      <c r="X84" s="290">
        <v>0</v>
      </c>
      <c r="Y84" s="290"/>
      <c r="Z84" s="290">
        <f>innut22!E90</f>
        <v>27525.720643418157</v>
      </c>
      <c r="AA84" s="290">
        <v>0</v>
      </c>
      <c r="AB84" s="290">
        <v>15</v>
      </c>
      <c r="AC84" s="290">
        <v>0</v>
      </c>
      <c r="AD84" s="290"/>
      <c r="AE84" s="290">
        <v>0</v>
      </c>
      <c r="AF84" s="290">
        <v>0</v>
      </c>
      <c r="AG84" s="290">
        <v>684</v>
      </c>
      <c r="AH84" s="290">
        <v>103</v>
      </c>
      <c r="AI84" s="290">
        <v>1000</v>
      </c>
      <c r="AJ84" s="290">
        <v>0</v>
      </c>
      <c r="AK84" s="290">
        <v>0</v>
      </c>
      <c r="AL84" s="290">
        <v>1299</v>
      </c>
      <c r="AM84" s="957">
        <v>2.5122950000000002E-2</v>
      </c>
      <c r="AN84" s="290">
        <v>0</v>
      </c>
      <c r="AO84" s="290">
        <v>208.50214690999999</v>
      </c>
      <c r="AP84" s="290">
        <v>0</v>
      </c>
      <c r="AQ84" s="290">
        <v>0</v>
      </c>
      <c r="AR84" s="290">
        <v>709.53197643999999</v>
      </c>
      <c r="AS84" s="290">
        <v>368</v>
      </c>
      <c r="AT84" s="290">
        <v>20</v>
      </c>
      <c r="AU84" s="290">
        <v>17</v>
      </c>
      <c r="AV84" s="766">
        <v>50025</v>
      </c>
      <c r="AW84" s="290"/>
      <c r="AX84" s="766">
        <v>1.4167000000000001</v>
      </c>
      <c r="AY84" s="290">
        <v>80</v>
      </c>
      <c r="AZ84" s="290">
        <v>36</v>
      </c>
      <c r="BA84" s="290">
        <v>18</v>
      </c>
      <c r="BB84" s="290">
        <v>6034</v>
      </c>
      <c r="BC84" s="290">
        <v>1629</v>
      </c>
      <c r="BD84" s="290"/>
      <c r="BE84" s="290">
        <v>48762.271967979999</v>
      </c>
      <c r="BF84" s="290">
        <v>0</v>
      </c>
      <c r="BG84" s="290">
        <v>612.35662003918708</v>
      </c>
      <c r="BH84" s="290">
        <v>32.992275038845996</v>
      </c>
      <c r="BI84" s="290">
        <v>103</v>
      </c>
      <c r="BJ84" s="290"/>
      <c r="BK84" s="290"/>
      <c r="BL84" s="290"/>
      <c r="BM84" s="290">
        <v>0</v>
      </c>
      <c r="BN84" s="290">
        <v>396.72906</v>
      </c>
      <c r="BO84" s="290">
        <v>-318.71228705113549</v>
      </c>
      <c r="BP84" s="290">
        <v>26.398</v>
      </c>
      <c r="BQ84" s="290">
        <v>-14.157</v>
      </c>
      <c r="BR84" s="290">
        <v>-17.275166639197224</v>
      </c>
      <c r="BS84" s="290">
        <v>0.29099999999999998</v>
      </c>
      <c r="BT84" s="290"/>
      <c r="BU84" s="290">
        <v>0</v>
      </c>
      <c r="BV84" s="290">
        <v>500</v>
      </c>
      <c r="BW84" s="290">
        <v>-157</v>
      </c>
      <c r="BX84" s="290">
        <v>109</v>
      </c>
      <c r="BY84" s="290">
        <v>22</v>
      </c>
      <c r="BZ84" s="290">
        <v>-119</v>
      </c>
      <c r="CA84" s="290">
        <v>65.726393690332714</v>
      </c>
      <c r="CB84" s="290">
        <v>35</v>
      </c>
      <c r="CC84" s="290">
        <v>89</v>
      </c>
      <c r="CD84" s="290">
        <v>1</v>
      </c>
      <c r="CE84" s="290">
        <v>25</v>
      </c>
      <c r="CF84" s="290">
        <v>2</v>
      </c>
      <c r="CG84" s="290">
        <v>0</v>
      </c>
      <c r="CH84" s="290">
        <v>-2</v>
      </c>
      <c r="CI84" s="290">
        <v>-302</v>
      </c>
      <c r="CJ84" s="290">
        <v>-731</v>
      </c>
      <c r="CK84" s="290">
        <f>+innut22!E90+innut22!S90</f>
        <v>27525.720643418157</v>
      </c>
      <c r="CL84" s="290">
        <v>0</v>
      </c>
      <c r="CM84" s="290">
        <v>0</v>
      </c>
      <c r="CN84" s="290">
        <v>0</v>
      </c>
      <c r="CP84" s="290">
        <f>+innut23!E90</f>
        <v>25528.29147352853</v>
      </c>
      <c r="CQ84" s="290"/>
      <c r="CV84" s="85">
        <f t="shared" si="2"/>
        <v>0.127</v>
      </c>
    </row>
    <row r="85" spans="1:100" ht="13">
      <c r="A85" s="1">
        <v>1859</v>
      </c>
      <c r="B85" s="2" t="s">
        <v>208</v>
      </c>
      <c r="C85" s="289">
        <v>1216</v>
      </c>
      <c r="D85" s="290">
        <v>13</v>
      </c>
      <c r="E85" s="290">
        <v>40</v>
      </c>
      <c r="F85" s="290">
        <v>109</v>
      </c>
      <c r="G85" s="290">
        <v>104</v>
      </c>
      <c r="H85" s="290">
        <v>668</v>
      </c>
      <c r="I85" s="290">
        <v>200</v>
      </c>
      <c r="J85" s="290">
        <v>85</v>
      </c>
      <c r="K85" s="290">
        <v>21</v>
      </c>
      <c r="L85" s="290">
        <v>9</v>
      </c>
      <c r="M85" s="290">
        <v>151</v>
      </c>
      <c r="N85" s="290">
        <v>0</v>
      </c>
      <c r="O85" s="290">
        <v>9</v>
      </c>
      <c r="P85" s="624">
        <v>12628.124</v>
      </c>
      <c r="Q85" s="624">
        <v>5441.7370000000001</v>
      </c>
      <c r="R85" s="624">
        <v>8</v>
      </c>
      <c r="S85" s="290">
        <v>12</v>
      </c>
      <c r="T85" s="290">
        <v>105</v>
      </c>
      <c r="U85" s="958">
        <v>5.8536201925522867E-4</v>
      </c>
      <c r="V85" s="290">
        <v>-2899.4398050700001</v>
      </c>
      <c r="W85" s="765">
        <v>0.93458889000000001</v>
      </c>
      <c r="X85" s="290">
        <v>0</v>
      </c>
      <c r="Y85" s="290"/>
      <c r="Z85" s="290">
        <f>innut22!E91</f>
        <v>45048.027369757889</v>
      </c>
      <c r="AA85" s="290">
        <v>0</v>
      </c>
      <c r="AB85" s="290">
        <v>33</v>
      </c>
      <c r="AC85" s="290">
        <v>49</v>
      </c>
      <c r="AD85" s="290"/>
      <c r="AE85" s="290">
        <v>0</v>
      </c>
      <c r="AF85" s="290">
        <v>0</v>
      </c>
      <c r="AG85" s="290">
        <v>1240</v>
      </c>
      <c r="AH85" s="290">
        <v>173</v>
      </c>
      <c r="AI85" s="290">
        <v>0</v>
      </c>
      <c r="AJ85" s="290">
        <v>0</v>
      </c>
      <c r="AK85" s="290">
        <v>0</v>
      </c>
      <c r="AL85" s="290">
        <v>2304</v>
      </c>
      <c r="AM85" s="957">
        <v>1.8190789999999998E-2</v>
      </c>
      <c r="AN85" s="290">
        <v>0</v>
      </c>
      <c r="AO85" s="290">
        <v>312.61407305</v>
      </c>
      <c r="AP85" s="290">
        <v>0</v>
      </c>
      <c r="AQ85" s="290">
        <v>0</v>
      </c>
      <c r="AR85" s="290">
        <v>1564.0391197599999</v>
      </c>
      <c r="AS85" s="290">
        <v>468</v>
      </c>
      <c r="AT85" s="290">
        <v>41</v>
      </c>
      <c r="AU85" s="290">
        <v>17</v>
      </c>
      <c r="AV85" s="766">
        <v>62010</v>
      </c>
      <c r="AW85" s="290"/>
      <c r="AX85" s="766">
        <v>2.75</v>
      </c>
      <c r="AY85" s="290">
        <v>190</v>
      </c>
      <c r="AZ85" s="290">
        <v>40</v>
      </c>
      <c r="BA85" s="290">
        <v>14</v>
      </c>
      <c r="BB85" s="290">
        <v>6034</v>
      </c>
      <c r="BC85" s="290">
        <v>2446</v>
      </c>
      <c r="BD85" s="290"/>
      <c r="BE85" s="290">
        <v>59721.016808419998</v>
      </c>
      <c r="BF85" s="290">
        <v>0</v>
      </c>
      <c r="BG85" s="290">
        <v>1098.2679203062705</v>
      </c>
      <c r="BH85" s="290">
        <v>59.171985910378659</v>
      </c>
      <c r="BI85" s="290">
        <v>222</v>
      </c>
      <c r="BJ85" s="290"/>
      <c r="BK85" s="290"/>
      <c r="BL85" s="290"/>
      <c r="BM85" s="290">
        <v>0</v>
      </c>
      <c r="BN85" s="290">
        <v>594.82882000000006</v>
      </c>
      <c r="BO85" s="290">
        <v>-577.78250868919304</v>
      </c>
      <c r="BP85" s="290">
        <v>49.213999999999999</v>
      </c>
      <c r="BQ85" s="290">
        <v>-26.393000000000001</v>
      </c>
      <c r="BR85" s="290">
        <v>-22.452540364659988</v>
      </c>
      <c r="BS85" s="290">
        <v>0.40699999999999997</v>
      </c>
      <c r="BT85" s="290"/>
      <c r="BU85" s="290">
        <v>0</v>
      </c>
      <c r="BV85" s="290">
        <v>500</v>
      </c>
      <c r="BW85" s="290">
        <v>-285</v>
      </c>
      <c r="BX85" s="290">
        <v>144</v>
      </c>
      <c r="BY85" s="290">
        <v>32</v>
      </c>
      <c r="BZ85" s="290">
        <v>-216</v>
      </c>
      <c r="CA85" s="290">
        <v>57.178229053852959</v>
      </c>
      <c r="CB85" s="290">
        <v>51</v>
      </c>
      <c r="CC85" s="290">
        <v>161</v>
      </c>
      <c r="CD85" s="290">
        <v>2</v>
      </c>
      <c r="CE85" s="290">
        <v>45</v>
      </c>
      <c r="CF85" s="290">
        <v>3</v>
      </c>
      <c r="CG85" s="290">
        <v>0</v>
      </c>
      <c r="CH85" s="290">
        <v>-2</v>
      </c>
      <c r="CI85" s="290">
        <v>-542</v>
      </c>
      <c r="CJ85" s="290">
        <v>-1472</v>
      </c>
      <c r="CK85" s="290">
        <f>+innut22!E91+innut22!S91</f>
        <v>45048.027369757889</v>
      </c>
      <c r="CL85" s="290">
        <v>0</v>
      </c>
      <c r="CM85" s="290">
        <v>0</v>
      </c>
      <c r="CN85" s="290">
        <v>0</v>
      </c>
      <c r="CP85" s="290">
        <f>+innut23!E91</f>
        <v>43052.463107878029</v>
      </c>
      <c r="CQ85" s="290"/>
      <c r="CV85" s="85">
        <f t="shared" si="2"/>
        <v>0.23</v>
      </c>
    </row>
    <row r="86" spans="1:100" ht="13">
      <c r="A86" s="1">
        <v>1860</v>
      </c>
      <c r="B86" s="2" t="s">
        <v>209</v>
      </c>
      <c r="C86" s="289">
        <v>11566</v>
      </c>
      <c r="D86" s="290">
        <v>240</v>
      </c>
      <c r="E86" s="290">
        <v>508</v>
      </c>
      <c r="F86" s="290">
        <v>1411</v>
      </c>
      <c r="G86" s="290">
        <v>1011</v>
      </c>
      <c r="H86" s="290">
        <v>6349</v>
      </c>
      <c r="I86" s="290">
        <v>1482</v>
      </c>
      <c r="J86" s="290">
        <v>458</v>
      </c>
      <c r="K86" s="290">
        <v>124</v>
      </c>
      <c r="L86" s="290">
        <v>91</v>
      </c>
      <c r="M86" s="290">
        <v>1006</v>
      </c>
      <c r="N86" s="290">
        <v>230</v>
      </c>
      <c r="O86" s="290">
        <v>117</v>
      </c>
      <c r="P86" s="624">
        <v>56722.203666670001</v>
      </c>
      <c r="Q86" s="624">
        <v>24965.559000000001</v>
      </c>
      <c r="R86" s="624">
        <v>63</v>
      </c>
      <c r="S86" s="290">
        <v>139</v>
      </c>
      <c r="T86" s="290">
        <v>1006</v>
      </c>
      <c r="U86" s="958">
        <v>3.4527163416579122E-3</v>
      </c>
      <c r="V86" s="290">
        <v>-9769.4269243700001</v>
      </c>
      <c r="W86" s="765">
        <v>0.63529709000000001</v>
      </c>
      <c r="X86" s="290">
        <v>0</v>
      </c>
      <c r="Y86" s="290"/>
      <c r="Z86" s="290">
        <f>innut22!E92</f>
        <v>371522.73393257626</v>
      </c>
      <c r="AA86" s="290">
        <v>0</v>
      </c>
      <c r="AB86" s="290">
        <v>272</v>
      </c>
      <c r="AC86" s="290">
        <v>1798</v>
      </c>
      <c r="AD86" s="290"/>
      <c r="AE86" s="290">
        <v>0</v>
      </c>
      <c r="AF86" s="290">
        <v>0</v>
      </c>
      <c r="AG86" s="290">
        <v>11583</v>
      </c>
      <c r="AH86" s="290">
        <v>2145</v>
      </c>
      <c r="AI86" s="290">
        <v>3245</v>
      </c>
      <c r="AJ86" s="290">
        <v>0</v>
      </c>
      <c r="AK86" s="290">
        <v>0</v>
      </c>
      <c r="AL86" s="290">
        <v>21441</v>
      </c>
      <c r="AM86" s="957">
        <v>0.32039477</v>
      </c>
      <c r="AN86" s="290">
        <v>0</v>
      </c>
      <c r="AO86" s="290">
        <v>2398.0562152799998</v>
      </c>
      <c r="AP86" s="290">
        <v>0</v>
      </c>
      <c r="AQ86" s="290">
        <v>0</v>
      </c>
      <c r="AR86" s="290">
        <v>-558.77135872999997</v>
      </c>
      <c r="AS86" s="290">
        <v>2214</v>
      </c>
      <c r="AT86" s="290">
        <v>526</v>
      </c>
      <c r="AU86" s="290">
        <v>154</v>
      </c>
      <c r="AV86" s="766">
        <v>358957</v>
      </c>
      <c r="AW86" s="290"/>
      <c r="AX86" s="766">
        <v>81.541650000000004</v>
      </c>
      <c r="AY86" s="290">
        <v>2345</v>
      </c>
      <c r="AZ86" s="290">
        <v>525</v>
      </c>
      <c r="BA86" s="290">
        <v>254</v>
      </c>
      <c r="BB86" s="290">
        <v>0</v>
      </c>
      <c r="BC86" s="290">
        <v>19317</v>
      </c>
      <c r="BD86" s="290"/>
      <c r="BE86" s="290">
        <v>362094.77565826999</v>
      </c>
      <c r="BF86" s="290">
        <v>0</v>
      </c>
      <c r="BG86" s="290">
        <v>10446.18977488678</v>
      </c>
      <c r="BH86" s="290">
        <v>562.81512256532858</v>
      </c>
      <c r="BI86" s="290">
        <v>3943</v>
      </c>
      <c r="BJ86" s="290"/>
      <c r="BK86" s="290"/>
      <c r="BL86" s="290"/>
      <c r="BM86" s="290">
        <v>0</v>
      </c>
      <c r="BN86" s="290">
        <v>4562.9198399999996</v>
      </c>
      <c r="BO86" s="290">
        <v>-5397.140966247518</v>
      </c>
      <c r="BP86" s="290">
        <v>662.71900000000005</v>
      </c>
      <c r="BQ86" s="290">
        <v>-355.411</v>
      </c>
      <c r="BR86" s="290">
        <v>-220.88421466431222</v>
      </c>
      <c r="BS86" s="290">
        <v>2.1989999999999998</v>
      </c>
      <c r="BT86" s="290"/>
      <c r="BU86" s="290">
        <v>0</v>
      </c>
      <c r="BV86" s="290">
        <v>3000</v>
      </c>
      <c r="BW86" s="290">
        <v>-2660</v>
      </c>
      <c r="BX86" s="290">
        <v>1425</v>
      </c>
      <c r="BY86" s="290">
        <v>364</v>
      </c>
      <c r="BZ86" s="290">
        <v>-2022</v>
      </c>
      <c r="CA86" s="290">
        <v>-64.401659088169254</v>
      </c>
      <c r="CB86" s="290">
        <v>583</v>
      </c>
      <c r="CC86" s="290">
        <v>1506</v>
      </c>
      <c r="CD86" s="290">
        <v>21</v>
      </c>
      <c r="CE86" s="290">
        <v>426</v>
      </c>
      <c r="CF86" s="290">
        <v>18</v>
      </c>
      <c r="CG86" s="290">
        <v>2</v>
      </c>
      <c r="CH86" s="290">
        <v>-12</v>
      </c>
      <c r="CI86" s="290">
        <v>-5151</v>
      </c>
      <c r="CJ86" s="290">
        <v>-13921</v>
      </c>
      <c r="CK86" s="290">
        <f>+innut22!E92+innut22!S92</f>
        <v>371522.73393257626</v>
      </c>
      <c r="CL86" s="290">
        <v>0</v>
      </c>
      <c r="CM86" s="290">
        <v>0</v>
      </c>
      <c r="CN86" s="290">
        <v>0</v>
      </c>
      <c r="CP86" s="290">
        <f>+innut23!E92</f>
        <v>342940.11296989676</v>
      </c>
      <c r="CQ86" s="290"/>
      <c r="CV86" s="85">
        <f t="shared" si="2"/>
        <v>2.1440000000000001</v>
      </c>
    </row>
    <row r="87" spans="1:100" ht="13">
      <c r="A87" s="1">
        <v>1865</v>
      </c>
      <c r="B87" s="2" t="s">
        <v>210</v>
      </c>
      <c r="C87" s="289">
        <v>9724</v>
      </c>
      <c r="D87" s="290">
        <v>171</v>
      </c>
      <c r="E87" s="290">
        <v>400</v>
      </c>
      <c r="F87" s="290">
        <v>1065</v>
      </c>
      <c r="G87" s="290">
        <v>844</v>
      </c>
      <c r="H87" s="290">
        <v>5477</v>
      </c>
      <c r="I87" s="290">
        <v>1354</v>
      </c>
      <c r="J87" s="290">
        <v>340</v>
      </c>
      <c r="K87" s="290">
        <v>90</v>
      </c>
      <c r="L87" s="290">
        <v>83</v>
      </c>
      <c r="M87" s="290">
        <v>781</v>
      </c>
      <c r="N87" s="290">
        <v>234</v>
      </c>
      <c r="O87" s="290">
        <v>127</v>
      </c>
      <c r="P87" s="624">
        <v>79056.068333329997</v>
      </c>
      <c r="Q87" s="624">
        <v>33433.19033333</v>
      </c>
      <c r="R87" s="624">
        <v>46</v>
      </c>
      <c r="S87" s="290">
        <v>121</v>
      </c>
      <c r="T87" s="290">
        <v>987</v>
      </c>
      <c r="U87" s="958">
        <v>1.1810207515363417E-3</v>
      </c>
      <c r="V87" s="290">
        <v>555.78965697000001</v>
      </c>
      <c r="W87" s="765">
        <v>0.67224406000000003</v>
      </c>
      <c r="X87" s="290">
        <v>0</v>
      </c>
      <c r="Y87" s="290"/>
      <c r="Z87" s="290">
        <f>innut22!E93</f>
        <v>363475.2369889422</v>
      </c>
      <c r="AA87" s="290">
        <v>0</v>
      </c>
      <c r="AB87" s="290">
        <v>206</v>
      </c>
      <c r="AC87" s="290">
        <v>875</v>
      </c>
      <c r="AD87" s="290"/>
      <c r="AE87" s="290">
        <v>0</v>
      </c>
      <c r="AF87" s="290">
        <v>0</v>
      </c>
      <c r="AG87" s="290">
        <v>9741</v>
      </c>
      <c r="AH87" s="290">
        <v>1632</v>
      </c>
      <c r="AI87" s="290">
        <v>3050</v>
      </c>
      <c r="AJ87" s="290">
        <v>0</v>
      </c>
      <c r="AK87" s="290">
        <v>0</v>
      </c>
      <c r="AL87" s="290">
        <v>17996</v>
      </c>
      <c r="AM87" s="957">
        <v>0.20675056</v>
      </c>
      <c r="AN87" s="290">
        <v>0</v>
      </c>
      <c r="AO87" s="290">
        <v>1951.33231019</v>
      </c>
      <c r="AP87" s="290">
        <v>0</v>
      </c>
      <c r="AQ87" s="290">
        <v>0</v>
      </c>
      <c r="AR87" s="290">
        <v>-469.91209578000002</v>
      </c>
      <c r="AS87" s="290">
        <v>3708</v>
      </c>
      <c r="AT87" s="290">
        <v>433</v>
      </c>
      <c r="AU87" s="290">
        <v>99</v>
      </c>
      <c r="AV87" s="766">
        <v>290925</v>
      </c>
      <c r="AW87" s="290"/>
      <c r="AX87" s="766">
        <v>65.291700000000006</v>
      </c>
      <c r="AY87" s="290">
        <v>2082</v>
      </c>
      <c r="AZ87" s="290">
        <v>451</v>
      </c>
      <c r="BA87" s="290">
        <v>212</v>
      </c>
      <c r="BB87" s="290">
        <v>0</v>
      </c>
      <c r="BC87" s="290">
        <v>16170</v>
      </c>
      <c r="BD87" s="290"/>
      <c r="BE87" s="290">
        <v>292594.14425491</v>
      </c>
      <c r="BF87" s="290">
        <v>0</v>
      </c>
      <c r="BG87" s="290">
        <v>8782.5306390281039</v>
      </c>
      <c r="BH87" s="290">
        <v>473.18124259253455</v>
      </c>
      <c r="BI87" s="290">
        <v>2507</v>
      </c>
      <c r="BJ87" s="290"/>
      <c r="BK87" s="290"/>
      <c r="BL87" s="290"/>
      <c r="BM87" s="290">
        <v>0</v>
      </c>
      <c r="BN87" s="290">
        <v>3712.9125199999999</v>
      </c>
      <c r="BO87" s="290">
        <v>-4538.8543686624425</v>
      </c>
      <c r="BP87" s="290">
        <v>528.404</v>
      </c>
      <c r="BQ87" s="290">
        <v>-283.37900000000002</v>
      </c>
      <c r="BR87" s="290">
        <v>-175.60165064511818</v>
      </c>
      <c r="BS87" s="290">
        <v>1.94</v>
      </c>
      <c r="BT87" s="290"/>
      <c r="BU87" s="290">
        <v>0</v>
      </c>
      <c r="BV87" s="290">
        <v>4500</v>
      </c>
      <c r="BW87" s="290">
        <v>-2237</v>
      </c>
      <c r="BX87" s="290">
        <v>1131</v>
      </c>
      <c r="BY87" s="290">
        <v>316</v>
      </c>
      <c r="BZ87" s="290">
        <v>-1700</v>
      </c>
      <c r="CA87" s="290">
        <v>-3.4215006924391673</v>
      </c>
      <c r="CB87" s="290">
        <v>508</v>
      </c>
      <c r="CC87" s="290">
        <v>1267</v>
      </c>
      <c r="CD87" s="290">
        <v>19</v>
      </c>
      <c r="CE87" s="290">
        <v>358</v>
      </c>
      <c r="CF87" s="290">
        <v>16</v>
      </c>
      <c r="CG87" s="290">
        <v>2</v>
      </c>
      <c r="CH87" s="290">
        <v>-10</v>
      </c>
      <c r="CI87" s="290">
        <v>-4331</v>
      </c>
      <c r="CJ87" s="290">
        <v>-12646</v>
      </c>
      <c r="CK87" s="290">
        <f>+innut22!E93+innut22!S93</f>
        <v>363475.2369889422</v>
      </c>
      <c r="CL87" s="290">
        <v>0</v>
      </c>
      <c r="CM87" s="290">
        <v>0</v>
      </c>
      <c r="CN87" s="290">
        <v>0</v>
      </c>
      <c r="CP87" s="290">
        <f>+innut23!E93</f>
        <v>323772.00758154341</v>
      </c>
      <c r="CQ87" s="290"/>
      <c r="CV87" s="85">
        <f t="shared" si="2"/>
        <v>1.8029999999999999</v>
      </c>
    </row>
    <row r="88" spans="1:100" ht="13">
      <c r="A88" s="1">
        <v>1866</v>
      </c>
      <c r="B88" s="2" t="s">
        <v>211</v>
      </c>
      <c r="C88" s="289">
        <v>8107</v>
      </c>
      <c r="D88" s="290">
        <v>174</v>
      </c>
      <c r="E88" s="290">
        <v>314</v>
      </c>
      <c r="F88" s="290">
        <v>899</v>
      </c>
      <c r="G88" s="290">
        <v>656</v>
      </c>
      <c r="H88" s="290">
        <v>4450</v>
      </c>
      <c r="I88" s="290">
        <v>1217</v>
      </c>
      <c r="J88" s="290">
        <v>370</v>
      </c>
      <c r="K88" s="290">
        <v>76</v>
      </c>
      <c r="L88" s="290">
        <v>72</v>
      </c>
      <c r="M88" s="290">
        <v>757</v>
      </c>
      <c r="N88" s="290">
        <v>260</v>
      </c>
      <c r="O88" s="290">
        <v>86</v>
      </c>
      <c r="P88" s="624">
        <v>68051.61833333</v>
      </c>
      <c r="Q88" s="624">
        <v>16611.329000000002</v>
      </c>
      <c r="R88" s="624">
        <v>37</v>
      </c>
      <c r="S88" s="290">
        <v>102</v>
      </c>
      <c r="T88" s="290">
        <v>766</v>
      </c>
      <c r="U88" s="958">
        <v>2.6514346311845502E-3</v>
      </c>
      <c r="V88" s="290">
        <v>4511.4748238900002</v>
      </c>
      <c r="W88" s="765">
        <v>0.71300439999999998</v>
      </c>
      <c r="X88" s="290">
        <v>0</v>
      </c>
      <c r="Y88" s="290"/>
      <c r="Z88" s="290">
        <f>innut22!E94</f>
        <v>301986.33960755821</v>
      </c>
      <c r="AA88" s="290">
        <v>0</v>
      </c>
      <c r="AB88" s="290">
        <v>195</v>
      </c>
      <c r="AC88" s="290">
        <v>169</v>
      </c>
      <c r="AD88" s="290"/>
      <c r="AE88" s="290">
        <v>0</v>
      </c>
      <c r="AF88" s="290">
        <v>0</v>
      </c>
      <c r="AG88" s="290">
        <v>8156</v>
      </c>
      <c r="AH88" s="290">
        <v>1342</v>
      </c>
      <c r="AI88" s="290">
        <v>1400</v>
      </c>
      <c r="AJ88" s="290">
        <v>0</v>
      </c>
      <c r="AK88" s="290">
        <v>0</v>
      </c>
      <c r="AL88" s="290">
        <v>15009</v>
      </c>
      <c r="AM88" s="957">
        <v>0.15145363000000001</v>
      </c>
      <c r="AN88" s="290">
        <v>0</v>
      </c>
      <c r="AO88" s="290">
        <v>1684.2817806400001</v>
      </c>
      <c r="AP88" s="290">
        <v>0</v>
      </c>
      <c r="AQ88" s="290">
        <v>0</v>
      </c>
      <c r="AR88" s="290">
        <v>-393.45067788</v>
      </c>
      <c r="AS88" s="290">
        <v>798</v>
      </c>
      <c r="AT88" s="290">
        <v>348</v>
      </c>
      <c r="AU88" s="290">
        <v>84</v>
      </c>
      <c r="AV88" s="766">
        <v>258820</v>
      </c>
      <c r="AW88" s="290"/>
      <c r="AX88" s="766">
        <v>72.625</v>
      </c>
      <c r="AY88" s="290">
        <v>1764</v>
      </c>
      <c r="AZ88" s="290">
        <v>337</v>
      </c>
      <c r="BA88" s="290">
        <v>196</v>
      </c>
      <c r="BB88" s="290">
        <v>0</v>
      </c>
      <c r="BC88" s="290">
        <v>13574</v>
      </c>
      <c r="BD88" s="290"/>
      <c r="BE88" s="290">
        <v>263702.78983517998</v>
      </c>
      <c r="BF88" s="290">
        <v>0</v>
      </c>
      <c r="BG88" s="290">
        <v>7322.0871956603087</v>
      </c>
      <c r="BH88" s="290">
        <v>394.49612646006562</v>
      </c>
      <c r="BI88" s="290">
        <v>1511</v>
      </c>
      <c r="BJ88" s="290"/>
      <c r="BK88" s="290"/>
      <c r="BL88" s="290"/>
      <c r="BM88" s="290">
        <v>0</v>
      </c>
      <c r="BN88" s="290">
        <v>3204.78008</v>
      </c>
      <c r="BO88" s="290">
        <v>-3800.317855539563</v>
      </c>
      <c r="BP88" s="290">
        <v>435.94400000000002</v>
      </c>
      <c r="BQ88" s="290">
        <v>-233.79300000000001</v>
      </c>
      <c r="BR88" s="290">
        <v>-146.01495584217167</v>
      </c>
      <c r="BS88" s="290">
        <v>1.657</v>
      </c>
      <c r="BT88" s="290"/>
      <c r="BU88" s="290">
        <v>0</v>
      </c>
      <c r="BV88" s="290">
        <v>2500</v>
      </c>
      <c r="BW88" s="290">
        <v>-1873</v>
      </c>
      <c r="BX88" s="290">
        <v>938</v>
      </c>
      <c r="BY88" s="290">
        <v>266</v>
      </c>
      <c r="BZ88" s="290">
        <v>-1424</v>
      </c>
      <c r="CA88" s="290">
        <v>446.74473138173454</v>
      </c>
      <c r="CB88" s="290">
        <v>426</v>
      </c>
      <c r="CC88" s="290">
        <v>1061</v>
      </c>
      <c r="CD88" s="290">
        <v>16</v>
      </c>
      <c r="CE88" s="290">
        <v>299</v>
      </c>
      <c r="CF88" s="290">
        <v>14</v>
      </c>
      <c r="CG88" s="290">
        <v>1</v>
      </c>
      <c r="CH88" s="290">
        <v>-9</v>
      </c>
      <c r="CI88" s="290">
        <v>-3611</v>
      </c>
      <c r="CJ88" s="290">
        <v>-14886</v>
      </c>
      <c r="CK88" s="290">
        <f>+innut22!E94+innut22!S94</f>
        <v>301986.33960755821</v>
      </c>
      <c r="CL88" s="290">
        <v>0</v>
      </c>
      <c r="CM88" s="290">
        <v>0</v>
      </c>
      <c r="CN88" s="290">
        <v>0</v>
      </c>
      <c r="CP88" s="290">
        <f>+innut23!E94</f>
        <v>257455.58476063784</v>
      </c>
      <c r="CQ88" s="290"/>
      <c r="CV88" s="85">
        <f t="shared" si="2"/>
        <v>1.51</v>
      </c>
    </row>
    <row r="89" spans="1:100" ht="13">
      <c r="A89" s="1">
        <v>1867</v>
      </c>
      <c r="B89" s="2" t="s">
        <v>913</v>
      </c>
      <c r="C89" s="289">
        <v>2565</v>
      </c>
      <c r="D89" s="290">
        <v>43</v>
      </c>
      <c r="E89" s="290">
        <v>88</v>
      </c>
      <c r="F89" s="290">
        <v>216</v>
      </c>
      <c r="G89" s="290">
        <v>194</v>
      </c>
      <c r="H89" s="290">
        <v>1365</v>
      </c>
      <c r="I89" s="290">
        <v>452</v>
      </c>
      <c r="J89" s="290">
        <v>194</v>
      </c>
      <c r="K89" s="290">
        <v>44</v>
      </c>
      <c r="L89" s="290">
        <v>23</v>
      </c>
      <c r="M89" s="290">
        <v>380</v>
      </c>
      <c r="N89" s="290">
        <v>48</v>
      </c>
      <c r="O89" s="290">
        <v>33</v>
      </c>
      <c r="P89" s="624">
        <v>19360.545333329999</v>
      </c>
      <c r="Q89" s="624">
        <v>6237.0396666699999</v>
      </c>
      <c r="R89" s="624">
        <v>13</v>
      </c>
      <c r="S89" s="290">
        <v>33</v>
      </c>
      <c r="T89" s="290">
        <v>268</v>
      </c>
      <c r="U89" s="958">
        <v>1.4435447899633846E-3</v>
      </c>
      <c r="V89" s="290">
        <v>1649.4852311300001</v>
      </c>
      <c r="W89" s="765">
        <v>1</v>
      </c>
      <c r="X89" s="290">
        <v>0</v>
      </c>
      <c r="Y89" s="290"/>
      <c r="Z89" s="290">
        <f>innut22!E95</f>
        <v>102370.1132479362</v>
      </c>
      <c r="AA89" s="290">
        <v>0</v>
      </c>
      <c r="AB89" s="290">
        <v>75</v>
      </c>
      <c r="AC89" s="290">
        <v>462</v>
      </c>
      <c r="AD89" s="290"/>
      <c r="AE89" s="290">
        <v>0</v>
      </c>
      <c r="AF89" s="290">
        <v>0</v>
      </c>
      <c r="AG89" s="290">
        <v>2596</v>
      </c>
      <c r="AH89" s="290">
        <v>346</v>
      </c>
      <c r="AI89" s="290">
        <v>110</v>
      </c>
      <c r="AJ89" s="290">
        <v>0</v>
      </c>
      <c r="AK89" s="290">
        <v>0</v>
      </c>
      <c r="AL89" s="290">
        <v>4794</v>
      </c>
      <c r="AM89" s="957">
        <v>6.0204559999999997E-2</v>
      </c>
      <c r="AN89" s="290">
        <v>0</v>
      </c>
      <c r="AO89" s="290">
        <v>615.80703222</v>
      </c>
      <c r="AP89" s="290">
        <v>0</v>
      </c>
      <c r="AQ89" s="290">
        <v>0</v>
      </c>
      <c r="AR89" s="290">
        <v>-125.23270718000001</v>
      </c>
      <c r="AS89" s="290">
        <v>913</v>
      </c>
      <c r="AT89" s="290">
        <v>123</v>
      </c>
      <c r="AU89" s="290">
        <v>28</v>
      </c>
      <c r="AV89" s="766">
        <v>112465</v>
      </c>
      <c r="AW89" s="290"/>
      <c r="AX89" s="766">
        <v>18.666699999999999</v>
      </c>
      <c r="AY89" s="290">
        <v>394</v>
      </c>
      <c r="AZ89" s="290">
        <v>116</v>
      </c>
      <c r="BA89" s="290">
        <v>51</v>
      </c>
      <c r="BB89" s="290">
        <v>6034</v>
      </c>
      <c r="BC89" s="290">
        <v>4430</v>
      </c>
      <c r="BD89" s="290"/>
      <c r="BE89" s="290">
        <v>114725.34837347</v>
      </c>
      <c r="BF89" s="290">
        <v>0</v>
      </c>
      <c r="BG89" s="290">
        <v>2316.6588943960392</v>
      </c>
      <c r="BH89" s="290">
        <v>124.81590777970497</v>
      </c>
      <c r="BI89" s="290">
        <v>808</v>
      </c>
      <c r="BJ89" s="290"/>
      <c r="BK89" s="290"/>
      <c r="BL89" s="290"/>
      <c r="BM89" s="290">
        <v>0</v>
      </c>
      <c r="BN89" s="290">
        <v>1171.7315599999999</v>
      </c>
      <c r="BO89" s="290">
        <v>-1209.615639158988</v>
      </c>
      <c r="BP89" s="290">
        <v>118.34</v>
      </c>
      <c r="BQ89" s="290">
        <v>-63.465000000000003</v>
      </c>
      <c r="BR89" s="290">
        <v>-40.923943718031872</v>
      </c>
      <c r="BS89" s="290">
        <v>0.68300000000000005</v>
      </c>
      <c r="BT89" s="290"/>
      <c r="BU89" s="290">
        <v>0</v>
      </c>
      <c r="BV89" s="290">
        <v>2000</v>
      </c>
      <c r="BW89" s="290">
        <v>-596</v>
      </c>
      <c r="BX89" s="290">
        <v>258</v>
      </c>
      <c r="BY89" s="290">
        <v>85</v>
      </c>
      <c r="BZ89" s="290">
        <v>-453</v>
      </c>
      <c r="CA89" s="290">
        <v>61.250022877019887</v>
      </c>
      <c r="CB89" s="290">
        <v>137</v>
      </c>
      <c r="CC89" s="290">
        <v>338</v>
      </c>
      <c r="CD89" s="290">
        <v>5</v>
      </c>
      <c r="CE89" s="290">
        <v>95</v>
      </c>
      <c r="CF89" s="290">
        <v>6</v>
      </c>
      <c r="CG89" s="290">
        <v>0</v>
      </c>
      <c r="CH89" s="290">
        <v>-4</v>
      </c>
      <c r="CI89" s="290">
        <v>-1142</v>
      </c>
      <c r="CJ89" s="290">
        <v>-6418</v>
      </c>
      <c r="CK89" s="290">
        <f>+innut22!E95+innut22!S95</f>
        <v>119370.1132479362</v>
      </c>
      <c r="CL89" s="290">
        <v>0</v>
      </c>
      <c r="CM89" s="290">
        <v>0</v>
      </c>
      <c r="CN89" s="290">
        <v>0</v>
      </c>
      <c r="CP89" s="290">
        <f>+innut23!E95</f>
        <v>81131.465896519119</v>
      </c>
      <c r="CQ89" s="290"/>
      <c r="CV89" s="85">
        <f t="shared" si="2"/>
        <v>0.48099999999999998</v>
      </c>
    </row>
    <row r="90" spans="1:100" ht="13">
      <c r="A90" s="1">
        <v>1868</v>
      </c>
      <c r="B90" s="2" t="s">
        <v>212</v>
      </c>
      <c r="C90" s="289">
        <v>4458</v>
      </c>
      <c r="D90" s="290">
        <v>78</v>
      </c>
      <c r="E90" s="290">
        <v>151</v>
      </c>
      <c r="F90" s="290">
        <v>460</v>
      </c>
      <c r="G90" s="290">
        <v>381</v>
      </c>
      <c r="H90" s="290">
        <v>2498</v>
      </c>
      <c r="I90" s="290">
        <v>615</v>
      </c>
      <c r="J90" s="290">
        <v>203</v>
      </c>
      <c r="K90" s="290">
        <v>51</v>
      </c>
      <c r="L90" s="290">
        <v>34</v>
      </c>
      <c r="M90" s="290">
        <v>428</v>
      </c>
      <c r="N90" s="290">
        <v>10</v>
      </c>
      <c r="O90" s="290">
        <v>34</v>
      </c>
      <c r="P90" s="624">
        <v>22948.158666669999</v>
      </c>
      <c r="Q90" s="624">
        <v>14034.999</v>
      </c>
      <c r="R90" s="624">
        <v>35</v>
      </c>
      <c r="S90" s="290">
        <v>56</v>
      </c>
      <c r="T90" s="290">
        <v>432</v>
      </c>
      <c r="U90" s="958">
        <v>9.8232884782460412E-4</v>
      </c>
      <c r="V90" s="290">
        <v>2419.5893427999999</v>
      </c>
      <c r="W90" s="765">
        <v>0.80318299999999998</v>
      </c>
      <c r="X90" s="290">
        <v>0</v>
      </c>
      <c r="Y90" s="290"/>
      <c r="Z90" s="290">
        <f>innut22!E96</f>
        <v>154050.10608374342</v>
      </c>
      <c r="AA90" s="290">
        <v>0</v>
      </c>
      <c r="AB90" s="290">
        <v>170</v>
      </c>
      <c r="AC90" s="290">
        <v>0</v>
      </c>
      <c r="AD90" s="290"/>
      <c r="AE90" s="290">
        <v>0</v>
      </c>
      <c r="AF90" s="290">
        <v>0</v>
      </c>
      <c r="AG90" s="290">
        <v>4437</v>
      </c>
      <c r="AH90" s="290">
        <v>692</v>
      </c>
      <c r="AI90" s="290">
        <v>200</v>
      </c>
      <c r="AJ90" s="290">
        <v>0</v>
      </c>
      <c r="AK90" s="290">
        <v>0</v>
      </c>
      <c r="AL90" s="290">
        <v>8218</v>
      </c>
      <c r="AM90" s="957">
        <v>0.13787402000000001</v>
      </c>
      <c r="AN90" s="290">
        <v>0</v>
      </c>
      <c r="AO90" s="290">
        <v>942.06415006999998</v>
      </c>
      <c r="AP90" s="290">
        <v>0</v>
      </c>
      <c r="AQ90" s="290">
        <v>0</v>
      </c>
      <c r="AR90" s="290">
        <v>-214.04372949</v>
      </c>
      <c r="AS90" s="290">
        <v>613</v>
      </c>
      <c r="AT90" s="290">
        <v>229</v>
      </c>
      <c r="AU90" s="290">
        <v>59</v>
      </c>
      <c r="AV90" s="766">
        <v>153424</v>
      </c>
      <c r="AW90" s="290"/>
      <c r="AX90" s="766">
        <v>25.291650000000001</v>
      </c>
      <c r="AY90" s="290">
        <v>648</v>
      </c>
      <c r="AZ90" s="290">
        <v>199</v>
      </c>
      <c r="BA90" s="290">
        <v>88</v>
      </c>
      <c r="BB90" s="290">
        <v>0</v>
      </c>
      <c r="BC90" s="290">
        <v>7846</v>
      </c>
      <c r="BD90" s="290"/>
      <c r="BE90" s="290">
        <v>151175.31327134999</v>
      </c>
      <c r="BF90" s="290">
        <v>0</v>
      </c>
      <c r="BG90" s="290">
        <v>4026.3802538859818</v>
      </c>
      <c r="BH90" s="290">
        <v>216.93150755630595</v>
      </c>
      <c r="BI90" s="290">
        <v>692</v>
      </c>
      <c r="BJ90" s="290"/>
      <c r="BK90" s="290"/>
      <c r="BL90" s="290"/>
      <c r="BM90" s="290">
        <v>0</v>
      </c>
      <c r="BN90" s="290">
        <v>1792.5197799999999</v>
      </c>
      <c r="BO90" s="290">
        <v>-2067.4362831080239</v>
      </c>
      <c r="BP90" s="290">
        <v>196.7</v>
      </c>
      <c r="BQ90" s="290">
        <v>-105.489</v>
      </c>
      <c r="BR90" s="290">
        <v>-75.247496891975914</v>
      </c>
      <c r="BS90" s="290">
        <v>0.95299999999999996</v>
      </c>
      <c r="BT90" s="290"/>
      <c r="BU90" s="290">
        <v>0</v>
      </c>
      <c r="BV90" s="290">
        <v>1000</v>
      </c>
      <c r="BW90" s="290">
        <v>-1019</v>
      </c>
      <c r="BX90" s="290">
        <v>489</v>
      </c>
      <c r="BY90" s="290">
        <v>147</v>
      </c>
      <c r="BZ90" s="290">
        <v>-775</v>
      </c>
      <c r="CA90" s="290">
        <v>0</v>
      </c>
      <c r="CB90" s="290">
        <v>236</v>
      </c>
      <c r="CC90" s="290">
        <v>577</v>
      </c>
      <c r="CD90" s="290">
        <v>9</v>
      </c>
      <c r="CE90" s="290">
        <v>164</v>
      </c>
      <c r="CF90" s="290">
        <v>8</v>
      </c>
      <c r="CG90" s="290">
        <v>1</v>
      </c>
      <c r="CH90" s="290">
        <v>-5</v>
      </c>
      <c r="CI90" s="290">
        <v>-1986</v>
      </c>
      <c r="CJ90" s="290">
        <v>-5331</v>
      </c>
      <c r="CK90" s="290">
        <f>+innut22!E96+innut22!S96</f>
        <v>154050.10608374342</v>
      </c>
      <c r="CL90" s="290">
        <v>0</v>
      </c>
      <c r="CM90" s="290">
        <v>0</v>
      </c>
      <c r="CN90" s="290">
        <v>0</v>
      </c>
      <c r="CP90" s="290">
        <f>+innut23!E96</f>
        <v>143599.41841448774</v>
      </c>
      <c r="CQ90" s="290"/>
      <c r="CV90" s="85">
        <f t="shared" si="2"/>
        <v>0.82099999999999995</v>
      </c>
    </row>
    <row r="91" spans="1:100" ht="13">
      <c r="A91" s="1">
        <v>1870</v>
      </c>
      <c r="B91" s="2" t="s">
        <v>213</v>
      </c>
      <c r="C91" s="289">
        <v>10468</v>
      </c>
      <c r="D91" s="290">
        <v>195</v>
      </c>
      <c r="E91" s="290">
        <v>461</v>
      </c>
      <c r="F91" s="290">
        <v>1259</v>
      </c>
      <c r="G91" s="290">
        <v>957</v>
      </c>
      <c r="H91" s="290">
        <v>5790</v>
      </c>
      <c r="I91" s="290">
        <v>1359</v>
      </c>
      <c r="J91" s="290">
        <v>358</v>
      </c>
      <c r="K91" s="290">
        <v>90</v>
      </c>
      <c r="L91" s="290">
        <v>78</v>
      </c>
      <c r="M91" s="290">
        <v>857</v>
      </c>
      <c r="N91" s="290">
        <v>186</v>
      </c>
      <c r="O91" s="290">
        <v>88</v>
      </c>
      <c r="P91" s="624">
        <v>50768.938000000002</v>
      </c>
      <c r="Q91" s="624">
        <v>24845.760333329999</v>
      </c>
      <c r="R91" s="624">
        <v>44</v>
      </c>
      <c r="S91" s="290">
        <v>120</v>
      </c>
      <c r="T91" s="290">
        <v>920</v>
      </c>
      <c r="U91" s="958">
        <v>2.4336519069055153E-3</v>
      </c>
      <c r="V91" s="290">
        <v>409.46690317999997</v>
      </c>
      <c r="W91" s="765">
        <v>0.61000427999999995</v>
      </c>
      <c r="X91" s="290">
        <v>0</v>
      </c>
      <c r="Y91" s="290"/>
      <c r="Z91" s="290">
        <f>innut22!E97</f>
        <v>367978.24441099877</v>
      </c>
      <c r="AA91" s="290">
        <v>0</v>
      </c>
      <c r="AB91" s="290">
        <v>264</v>
      </c>
      <c r="AC91" s="290">
        <v>1705</v>
      </c>
      <c r="AD91" s="290"/>
      <c r="AE91" s="290">
        <v>0</v>
      </c>
      <c r="AF91" s="290">
        <v>0</v>
      </c>
      <c r="AG91" s="290">
        <v>10469</v>
      </c>
      <c r="AH91" s="290">
        <v>1865</v>
      </c>
      <c r="AI91" s="290">
        <v>180</v>
      </c>
      <c r="AJ91" s="290">
        <v>0</v>
      </c>
      <c r="AK91" s="290">
        <v>0</v>
      </c>
      <c r="AL91" s="290">
        <v>19567</v>
      </c>
      <c r="AM91" s="957">
        <v>0.19126844000000001</v>
      </c>
      <c r="AN91" s="290">
        <v>0</v>
      </c>
      <c r="AO91" s="290">
        <v>2090.4649708799998</v>
      </c>
      <c r="AP91" s="290">
        <v>0</v>
      </c>
      <c r="AQ91" s="290">
        <v>0</v>
      </c>
      <c r="AR91" s="290">
        <v>-505.03128330999999</v>
      </c>
      <c r="AS91" s="290">
        <v>2961</v>
      </c>
      <c r="AT91" s="290">
        <v>516</v>
      </c>
      <c r="AU91" s="290">
        <v>104</v>
      </c>
      <c r="AV91" s="766">
        <v>313697</v>
      </c>
      <c r="AW91" s="290"/>
      <c r="AX91" s="766">
        <v>80.083349999999996</v>
      </c>
      <c r="AY91" s="290">
        <v>2210</v>
      </c>
      <c r="AZ91" s="290">
        <v>394</v>
      </c>
      <c r="BA91" s="290">
        <v>325</v>
      </c>
      <c r="BB91" s="290">
        <v>0</v>
      </c>
      <c r="BC91" s="290">
        <v>17762</v>
      </c>
      <c r="BD91" s="290"/>
      <c r="BE91" s="290">
        <v>313340.73771085002</v>
      </c>
      <c r="BF91" s="290">
        <v>0</v>
      </c>
      <c r="BG91" s="290">
        <v>9454.4971955312812</v>
      </c>
      <c r="BH91" s="290">
        <v>509.38515502454254</v>
      </c>
      <c r="BI91" s="290">
        <v>3570</v>
      </c>
      <c r="BJ91" s="290"/>
      <c r="BK91" s="290"/>
      <c r="BL91" s="290"/>
      <c r="BM91" s="290">
        <v>0</v>
      </c>
      <c r="BN91" s="290">
        <v>3977.6482600000004</v>
      </c>
      <c r="BO91" s="290">
        <v>-4878.0686156993243</v>
      </c>
      <c r="BP91" s="290">
        <v>608.50900000000001</v>
      </c>
      <c r="BQ91" s="290">
        <v>-326.339</v>
      </c>
      <c r="BR91" s="290">
        <v>-197.12261069873492</v>
      </c>
      <c r="BS91" s="290">
        <v>1.9830000000000001</v>
      </c>
      <c r="BT91" s="290"/>
      <c r="BU91" s="290">
        <v>0</v>
      </c>
      <c r="BV91" s="290">
        <v>3500</v>
      </c>
      <c r="BW91" s="290">
        <v>-2404</v>
      </c>
      <c r="BX91" s="290">
        <v>1270</v>
      </c>
      <c r="BY91" s="290">
        <v>313</v>
      </c>
      <c r="BZ91" s="290">
        <v>-1827</v>
      </c>
      <c r="CA91" s="290">
        <v>-627.61003360194127</v>
      </c>
      <c r="CB91" s="290">
        <v>502</v>
      </c>
      <c r="CC91" s="290">
        <v>1361</v>
      </c>
      <c r="CD91" s="290">
        <v>18</v>
      </c>
      <c r="CE91" s="290">
        <v>386</v>
      </c>
      <c r="CF91" s="290">
        <v>16</v>
      </c>
      <c r="CG91" s="290">
        <v>2</v>
      </c>
      <c r="CH91" s="290">
        <v>-11</v>
      </c>
      <c r="CI91" s="290">
        <v>-4662</v>
      </c>
      <c r="CJ91" s="290">
        <v>-13155</v>
      </c>
      <c r="CK91" s="290">
        <f>+innut22!E97+innut22!S97</f>
        <v>367978.24441099877</v>
      </c>
      <c r="CL91" s="290">
        <v>0</v>
      </c>
      <c r="CM91" s="290">
        <v>0</v>
      </c>
      <c r="CN91" s="290">
        <v>0</v>
      </c>
      <c r="CP91" s="290">
        <f>+innut23!E97</f>
        <v>326951.1694623435</v>
      </c>
      <c r="CQ91" s="290"/>
      <c r="CV91" s="85">
        <f t="shared" si="2"/>
        <v>1.9379999999999999</v>
      </c>
    </row>
    <row r="92" spans="1:100" ht="13">
      <c r="A92" s="1">
        <v>1871</v>
      </c>
      <c r="B92" s="2" t="s">
        <v>214</v>
      </c>
      <c r="C92" s="289">
        <v>4572</v>
      </c>
      <c r="D92" s="290">
        <v>65</v>
      </c>
      <c r="E92" s="290">
        <v>160</v>
      </c>
      <c r="F92" s="290">
        <v>449</v>
      </c>
      <c r="G92" s="290">
        <v>351</v>
      </c>
      <c r="H92" s="290">
        <v>2443</v>
      </c>
      <c r="I92" s="290">
        <v>781</v>
      </c>
      <c r="J92" s="290">
        <v>273</v>
      </c>
      <c r="K92" s="290">
        <v>63</v>
      </c>
      <c r="L92" s="290">
        <v>38</v>
      </c>
      <c r="M92" s="290">
        <v>504</v>
      </c>
      <c r="N92" s="290">
        <v>68</v>
      </c>
      <c r="O92" s="290">
        <v>37</v>
      </c>
      <c r="P92" s="624">
        <v>84460.280666670005</v>
      </c>
      <c r="Q92" s="624">
        <v>15576.46133333</v>
      </c>
      <c r="R92" s="624">
        <v>27</v>
      </c>
      <c r="S92" s="290">
        <v>51</v>
      </c>
      <c r="T92" s="290">
        <v>424</v>
      </c>
      <c r="U92" s="958">
        <v>1.7668480441583991E-3</v>
      </c>
      <c r="V92" s="290">
        <v>-7728.8858924100005</v>
      </c>
      <c r="W92" s="765">
        <v>1</v>
      </c>
      <c r="X92" s="290">
        <v>0</v>
      </c>
      <c r="Y92" s="290"/>
      <c r="Z92" s="290">
        <f>innut22!E98</f>
        <v>150063.63205356782</v>
      </c>
      <c r="AA92" s="290">
        <v>0</v>
      </c>
      <c r="AB92" s="290">
        <v>97</v>
      </c>
      <c r="AC92" s="290">
        <v>455</v>
      </c>
      <c r="AD92" s="290"/>
      <c r="AE92" s="290">
        <v>0</v>
      </c>
      <c r="AF92" s="290">
        <v>0</v>
      </c>
      <c r="AG92" s="290">
        <v>4585</v>
      </c>
      <c r="AH92" s="290">
        <v>669</v>
      </c>
      <c r="AI92" s="290">
        <v>0</v>
      </c>
      <c r="AJ92" s="290">
        <v>0</v>
      </c>
      <c r="AK92" s="290">
        <v>0</v>
      </c>
      <c r="AL92" s="290">
        <v>8538</v>
      </c>
      <c r="AM92" s="957">
        <v>8.831195E-2</v>
      </c>
      <c r="AN92" s="290">
        <v>0</v>
      </c>
      <c r="AO92" s="290">
        <v>1028.4999517399999</v>
      </c>
      <c r="AP92" s="290">
        <v>0</v>
      </c>
      <c r="AQ92" s="290">
        <v>0</v>
      </c>
      <c r="AR92" s="290">
        <v>3991.5260703399999</v>
      </c>
      <c r="AS92" s="290">
        <v>1031</v>
      </c>
      <c r="AT92" s="290">
        <v>192</v>
      </c>
      <c r="AU92" s="290">
        <v>47</v>
      </c>
      <c r="AV92" s="766">
        <v>169433</v>
      </c>
      <c r="AW92" s="290"/>
      <c r="AX92" s="766">
        <v>21.458349999999999</v>
      </c>
      <c r="AY92" s="290">
        <v>832</v>
      </c>
      <c r="AZ92" s="290">
        <v>206</v>
      </c>
      <c r="BA92" s="290">
        <v>71</v>
      </c>
      <c r="BB92" s="290">
        <v>0</v>
      </c>
      <c r="BC92" s="290">
        <v>8137</v>
      </c>
      <c r="BD92" s="290"/>
      <c r="BE92" s="290">
        <v>163144.47057961</v>
      </c>
      <c r="BF92" s="290">
        <v>0</v>
      </c>
      <c r="BG92" s="290">
        <v>4129.3428714146939</v>
      </c>
      <c r="BH92" s="290">
        <v>222.47888123540392</v>
      </c>
      <c r="BI92" s="290">
        <v>1124</v>
      </c>
      <c r="BJ92" s="290"/>
      <c r="BK92" s="290"/>
      <c r="BL92" s="290"/>
      <c r="BM92" s="290">
        <v>0</v>
      </c>
      <c r="BN92" s="290">
        <v>1956.9861599999999</v>
      </c>
      <c r="BO92" s="290">
        <v>-2136.3974212418952</v>
      </c>
      <c r="BP92" s="290">
        <v>207.41200000000001</v>
      </c>
      <c r="BQ92" s="290">
        <v>-111.233</v>
      </c>
      <c r="BR92" s="290">
        <v>-81.248264089975805</v>
      </c>
      <c r="BS92" s="290">
        <v>1.143</v>
      </c>
      <c r="BT92" s="290"/>
      <c r="BU92" s="290">
        <v>0</v>
      </c>
      <c r="BV92" s="290">
        <v>1000</v>
      </c>
      <c r="BW92" s="290">
        <v>-1053</v>
      </c>
      <c r="BX92" s="290">
        <v>520</v>
      </c>
      <c r="BY92" s="290">
        <v>133</v>
      </c>
      <c r="BZ92" s="290">
        <v>-800</v>
      </c>
      <c r="CA92" s="290">
        <v>12.33752533187112</v>
      </c>
      <c r="CB92" s="290">
        <v>213</v>
      </c>
      <c r="CC92" s="290">
        <v>596</v>
      </c>
      <c r="CD92" s="290">
        <v>8</v>
      </c>
      <c r="CE92" s="290">
        <v>169</v>
      </c>
      <c r="CF92" s="290">
        <v>9</v>
      </c>
      <c r="CG92" s="290">
        <v>1</v>
      </c>
      <c r="CH92" s="290">
        <v>-6</v>
      </c>
      <c r="CI92" s="290">
        <v>-2036</v>
      </c>
      <c r="CJ92" s="290">
        <v>-5497</v>
      </c>
      <c r="CK92" s="290">
        <f>+innut22!E98+innut22!S98</f>
        <v>150063.63205356782</v>
      </c>
      <c r="CL92" s="290">
        <v>0</v>
      </c>
      <c r="CM92" s="290">
        <v>0</v>
      </c>
      <c r="CN92" s="290">
        <v>0</v>
      </c>
      <c r="CP92" s="290">
        <f>+innut23!E98</f>
        <v>140823.88883003523</v>
      </c>
      <c r="CQ92" s="290"/>
      <c r="CV92" s="85">
        <f t="shared" si="2"/>
        <v>0.84899999999999998</v>
      </c>
    </row>
    <row r="93" spans="1:100" ht="13">
      <c r="A93" s="1">
        <v>1874</v>
      </c>
      <c r="B93" s="2" t="s">
        <v>215</v>
      </c>
      <c r="C93" s="289">
        <v>982</v>
      </c>
      <c r="D93" s="290">
        <v>10</v>
      </c>
      <c r="E93" s="290">
        <v>26</v>
      </c>
      <c r="F93" s="290">
        <v>72</v>
      </c>
      <c r="G93" s="290">
        <v>64</v>
      </c>
      <c r="H93" s="290">
        <v>597</v>
      </c>
      <c r="I93" s="290">
        <v>143</v>
      </c>
      <c r="J93" s="290">
        <v>71</v>
      </c>
      <c r="K93" s="290">
        <v>19</v>
      </c>
      <c r="L93" s="290">
        <v>8</v>
      </c>
      <c r="M93" s="290">
        <v>112</v>
      </c>
      <c r="N93" s="290">
        <v>1.5</v>
      </c>
      <c r="O93" s="290">
        <v>9</v>
      </c>
      <c r="P93" s="624">
        <v>3553.3056666699999</v>
      </c>
      <c r="Q93" s="624">
        <v>4140.2776666700001</v>
      </c>
      <c r="R93" s="624">
        <v>0</v>
      </c>
      <c r="S93" s="290">
        <v>13</v>
      </c>
      <c r="T93" s="290">
        <v>109</v>
      </c>
      <c r="U93" s="958">
        <v>5.0945438410985196E-5</v>
      </c>
      <c r="V93" s="290">
        <v>644.44046561000005</v>
      </c>
      <c r="W93" s="765">
        <v>1</v>
      </c>
      <c r="X93" s="290">
        <v>0</v>
      </c>
      <c r="Y93" s="290"/>
      <c r="Z93" s="290">
        <f>innut22!E99</f>
        <v>39228.677469960094</v>
      </c>
      <c r="AA93" s="290">
        <v>0</v>
      </c>
      <c r="AB93" s="290">
        <v>20</v>
      </c>
      <c r="AC93" s="290">
        <v>28</v>
      </c>
      <c r="AD93" s="290"/>
      <c r="AE93" s="290">
        <v>0</v>
      </c>
      <c r="AF93" s="290">
        <v>0</v>
      </c>
      <c r="AG93" s="290">
        <v>1002</v>
      </c>
      <c r="AH93" s="290">
        <v>108</v>
      </c>
      <c r="AI93" s="290">
        <v>6085</v>
      </c>
      <c r="AJ93" s="290">
        <v>0</v>
      </c>
      <c r="AK93" s="290">
        <v>0</v>
      </c>
      <c r="AL93" s="290">
        <v>1841</v>
      </c>
      <c r="AM93" s="957">
        <v>4.8543070000000001E-2</v>
      </c>
      <c r="AN93" s="290">
        <v>0</v>
      </c>
      <c r="AO93" s="290">
        <v>240.59079953</v>
      </c>
      <c r="AP93" s="290">
        <v>0</v>
      </c>
      <c r="AQ93" s="290">
        <v>0</v>
      </c>
      <c r="AR93" s="290">
        <v>2777.9219233099998</v>
      </c>
      <c r="AS93" s="290">
        <v>453</v>
      </c>
      <c r="AT93" s="290">
        <v>51</v>
      </c>
      <c r="AU93" s="290">
        <v>19</v>
      </c>
      <c r="AV93" s="766">
        <v>52091</v>
      </c>
      <c r="AW93" s="290"/>
      <c r="AX93" s="766">
        <v>3.0832999999999999</v>
      </c>
      <c r="AY93" s="290">
        <v>150</v>
      </c>
      <c r="AZ93" s="290">
        <v>49</v>
      </c>
      <c r="BA93" s="290">
        <v>10</v>
      </c>
      <c r="BB93" s="290">
        <v>6034</v>
      </c>
      <c r="BC93" s="290">
        <v>2033</v>
      </c>
      <c r="BD93" s="290"/>
      <c r="BE93" s="290">
        <v>48690.216246260003</v>
      </c>
      <c r="BF93" s="290">
        <v>0</v>
      </c>
      <c r="BG93" s="290">
        <v>886.92360011575454</v>
      </c>
      <c r="BH93" s="290">
        <v>47.785271516440652</v>
      </c>
      <c r="BI93" s="290">
        <v>136</v>
      </c>
      <c r="BJ93" s="290"/>
      <c r="BK93" s="290"/>
      <c r="BL93" s="290"/>
      <c r="BM93" s="290">
        <v>0</v>
      </c>
      <c r="BN93" s="290">
        <v>457.78598</v>
      </c>
      <c r="BO93" s="290">
        <v>-466.88554331175112</v>
      </c>
      <c r="BP93" s="290">
        <v>33.72</v>
      </c>
      <c r="BQ93" s="290">
        <v>-18.084</v>
      </c>
      <c r="BR93" s="290">
        <v>-15.779422709122976</v>
      </c>
      <c r="BS93" s="290">
        <v>0.35099999999999998</v>
      </c>
      <c r="BT93" s="290"/>
      <c r="BU93" s="290">
        <v>0</v>
      </c>
      <c r="BV93" s="290">
        <v>500</v>
      </c>
      <c r="BW93" s="290">
        <v>-230</v>
      </c>
      <c r="BX93" s="290">
        <v>105</v>
      </c>
      <c r="BY93" s="290">
        <v>35</v>
      </c>
      <c r="BZ93" s="290">
        <v>-175</v>
      </c>
      <c r="CA93" s="290">
        <v>-0.1080139791258965</v>
      </c>
      <c r="CB93" s="290">
        <v>56</v>
      </c>
      <c r="CC93" s="290">
        <v>130</v>
      </c>
      <c r="CD93" s="290">
        <v>2</v>
      </c>
      <c r="CE93" s="290">
        <v>36</v>
      </c>
      <c r="CF93" s="290">
        <v>3</v>
      </c>
      <c r="CG93" s="290">
        <v>0</v>
      </c>
      <c r="CH93" s="290">
        <v>-2</v>
      </c>
      <c r="CI93" s="290">
        <v>-437</v>
      </c>
      <c r="CJ93" s="290">
        <v>-1260</v>
      </c>
      <c r="CK93" s="290">
        <f>+innut22!E99+innut22!S99</f>
        <v>39228.677469960094</v>
      </c>
      <c r="CL93" s="290">
        <v>0</v>
      </c>
      <c r="CM93" s="290">
        <v>0</v>
      </c>
      <c r="CN93" s="290">
        <v>0</v>
      </c>
      <c r="CP93" s="290">
        <f>+innut23!E99</f>
        <v>36848.564231202465</v>
      </c>
      <c r="CQ93" s="290"/>
      <c r="CV93" s="85">
        <f t="shared" si="2"/>
        <v>0.185</v>
      </c>
    </row>
    <row r="94" spans="1:100" ht="13">
      <c r="A94" s="1">
        <v>1875</v>
      </c>
      <c r="B94" s="2" t="s">
        <v>1617</v>
      </c>
      <c r="C94" s="289">
        <v>2708</v>
      </c>
      <c r="D94" s="290">
        <v>38</v>
      </c>
      <c r="E94" s="290">
        <v>81</v>
      </c>
      <c r="F94" s="290">
        <v>270</v>
      </c>
      <c r="G94" s="290">
        <v>213</v>
      </c>
      <c r="H94" s="290">
        <v>1451</v>
      </c>
      <c r="I94" s="290">
        <v>488</v>
      </c>
      <c r="J94" s="290">
        <v>131</v>
      </c>
      <c r="K94" s="290">
        <v>50</v>
      </c>
      <c r="L94" s="290">
        <v>19</v>
      </c>
      <c r="M94" s="290">
        <v>358</v>
      </c>
      <c r="N94" s="290">
        <v>31</v>
      </c>
      <c r="O94" s="290">
        <v>24</v>
      </c>
      <c r="P94" s="624">
        <v>66057.428333329997</v>
      </c>
      <c r="Q94" s="624">
        <v>16815.23</v>
      </c>
      <c r="R94" s="624">
        <v>26</v>
      </c>
      <c r="S94" s="290">
        <v>30</v>
      </c>
      <c r="T94" s="290">
        <v>253</v>
      </c>
      <c r="U94" s="958">
        <v>1.5769084587698883E-3</v>
      </c>
      <c r="V94" s="290">
        <v>-891.23912742000005</v>
      </c>
      <c r="W94" s="765">
        <v>1</v>
      </c>
      <c r="X94" s="290">
        <v>0</v>
      </c>
      <c r="Y94" s="290"/>
      <c r="Z94" s="290">
        <f>innut22!E100</f>
        <v>89432.212067874876</v>
      </c>
      <c r="AA94" s="290">
        <v>0</v>
      </c>
      <c r="AB94" s="290">
        <v>76</v>
      </c>
      <c r="AC94" s="290">
        <v>0</v>
      </c>
      <c r="AD94" s="290"/>
      <c r="AE94" s="290">
        <v>0</v>
      </c>
      <c r="AF94" s="290">
        <v>11536</v>
      </c>
      <c r="AG94" s="290">
        <v>2722</v>
      </c>
      <c r="AH94" s="290">
        <v>399</v>
      </c>
      <c r="AI94" s="290">
        <v>1550</v>
      </c>
      <c r="AJ94" s="290">
        <v>1500</v>
      </c>
      <c r="AK94" s="290">
        <v>875</v>
      </c>
      <c r="AL94" s="290">
        <v>5027</v>
      </c>
      <c r="AM94" s="957">
        <v>3.600213E-2</v>
      </c>
      <c r="AN94" s="290">
        <v>0</v>
      </c>
      <c r="AO94" s="290">
        <v>674.82186290000004</v>
      </c>
      <c r="AP94" s="290">
        <v>0</v>
      </c>
      <c r="AQ94" s="290">
        <v>0</v>
      </c>
      <c r="AR94" s="290">
        <v>-131.31102809999999</v>
      </c>
      <c r="AS94" s="290">
        <v>1763</v>
      </c>
      <c r="AT94" s="290">
        <v>103</v>
      </c>
      <c r="AU94" s="290">
        <v>25</v>
      </c>
      <c r="AV94" s="766">
        <v>138252</v>
      </c>
      <c r="AW94" s="290"/>
      <c r="AX94" s="766">
        <v>12.791650000000001</v>
      </c>
      <c r="AY94" s="290">
        <v>567</v>
      </c>
      <c r="AZ94" s="290">
        <v>102</v>
      </c>
      <c r="BA94" s="290">
        <v>41</v>
      </c>
      <c r="BB94" s="290">
        <v>6034</v>
      </c>
      <c r="BC94" s="290">
        <v>16741</v>
      </c>
      <c r="BD94" s="290"/>
      <c r="BE94" s="290">
        <v>138185.31829145001</v>
      </c>
      <c r="BF94" s="290">
        <v>0</v>
      </c>
      <c r="BG94" s="290">
        <v>2445.813756734688</v>
      </c>
      <c r="BH94" s="290">
        <v>131.77445546488931</v>
      </c>
      <c r="BI94" s="290">
        <v>12810</v>
      </c>
      <c r="BJ94" s="290"/>
      <c r="BK94" s="290"/>
      <c r="BL94" s="290"/>
      <c r="BM94" s="290">
        <v>0</v>
      </c>
      <c r="BN94" s="290">
        <v>1284.0224800000001</v>
      </c>
      <c r="BO94" s="290">
        <v>-1268.3257972999866</v>
      </c>
      <c r="BP94" s="290">
        <v>110.134</v>
      </c>
      <c r="BQ94" s="290">
        <v>-59.064</v>
      </c>
      <c r="BR94" s="290">
        <v>-53.764983889535742</v>
      </c>
      <c r="BS94" s="290">
        <v>0.78800000000000003</v>
      </c>
      <c r="BT94" s="290"/>
      <c r="BU94" s="290">
        <v>0</v>
      </c>
      <c r="BV94" s="290">
        <v>1500</v>
      </c>
      <c r="BW94" s="290">
        <v>-625</v>
      </c>
      <c r="BX94" s="290">
        <v>342</v>
      </c>
      <c r="BY94" s="290">
        <v>78</v>
      </c>
      <c r="BZ94" s="290">
        <v>-475</v>
      </c>
      <c r="CA94" s="290">
        <v>300.21030118952223</v>
      </c>
      <c r="CB94" s="290">
        <v>125</v>
      </c>
      <c r="CC94" s="290">
        <v>354</v>
      </c>
      <c r="CD94" s="290">
        <v>5</v>
      </c>
      <c r="CE94" s="290">
        <v>100</v>
      </c>
      <c r="CF94" s="290">
        <v>6</v>
      </c>
      <c r="CG94" s="290">
        <v>0</v>
      </c>
      <c r="CH94" s="290">
        <v>-4</v>
      </c>
      <c r="CI94" s="290">
        <v>-1206</v>
      </c>
      <c r="CJ94" s="290">
        <v>-3196</v>
      </c>
      <c r="CK94" s="290">
        <f>+innut22!E100+innut22!S100</f>
        <v>89432.212067874876</v>
      </c>
      <c r="CL94" s="290">
        <v>793.8693955863306</v>
      </c>
      <c r="CM94" s="290">
        <v>771.87242114579612</v>
      </c>
      <c r="CN94" s="290">
        <v>745.0518955489822</v>
      </c>
      <c r="CP94" s="290">
        <f>+innut23!E100</f>
        <v>86131.303831645331</v>
      </c>
      <c r="CQ94" s="290"/>
      <c r="CV94" s="85">
        <f t="shared" si="2"/>
        <v>0.504</v>
      </c>
    </row>
    <row r="95" spans="1:100" ht="13">
      <c r="A95" s="1">
        <v>3001</v>
      </c>
      <c r="B95" s="2" t="s">
        <v>783</v>
      </c>
      <c r="C95" s="289">
        <v>31444</v>
      </c>
      <c r="D95" s="290">
        <v>538</v>
      </c>
      <c r="E95" s="290">
        <v>1196</v>
      </c>
      <c r="F95" s="290">
        <v>3563</v>
      </c>
      <c r="G95" s="290">
        <v>2647</v>
      </c>
      <c r="H95" s="290">
        <v>17572</v>
      </c>
      <c r="I95" s="290">
        <v>4284</v>
      </c>
      <c r="J95" s="290">
        <v>1241</v>
      </c>
      <c r="K95" s="290">
        <v>305</v>
      </c>
      <c r="L95" s="290">
        <v>247</v>
      </c>
      <c r="M95" s="290">
        <v>2545</v>
      </c>
      <c r="N95" s="290">
        <v>1136</v>
      </c>
      <c r="O95" s="290">
        <v>222</v>
      </c>
      <c r="P95" s="624">
        <v>88243.32466667</v>
      </c>
      <c r="Q95" s="624">
        <v>62692.913333329998</v>
      </c>
      <c r="R95" s="624">
        <v>130</v>
      </c>
      <c r="S95" s="290">
        <v>500</v>
      </c>
      <c r="T95" s="290">
        <v>3016</v>
      </c>
      <c r="U95" s="958">
        <v>4.2113897595744418E-3</v>
      </c>
      <c r="V95" s="290">
        <v>8875.9672246299997</v>
      </c>
      <c r="W95" s="765">
        <v>0.55737577000000005</v>
      </c>
      <c r="X95" s="290">
        <v>2600</v>
      </c>
      <c r="Y95" s="290"/>
      <c r="Z95" s="290">
        <f>innut22!E101</f>
        <v>961053.67727851134</v>
      </c>
      <c r="AA95" s="290">
        <v>0</v>
      </c>
      <c r="AB95" s="290">
        <v>1050</v>
      </c>
      <c r="AC95" s="290">
        <v>6760</v>
      </c>
      <c r="AD95" s="290"/>
      <c r="AE95" s="290">
        <v>0</v>
      </c>
      <c r="AF95" s="290">
        <v>0</v>
      </c>
      <c r="AG95" s="290">
        <v>31346</v>
      </c>
      <c r="AH95" s="290">
        <v>5251</v>
      </c>
      <c r="AI95" s="290">
        <v>2100</v>
      </c>
      <c r="AJ95" s="290">
        <v>0</v>
      </c>
      <c r="AK95" s="290">
        <v>0</v>
      </c>
      <c r="AL95" s="290">
        <v>0</v>
      </c>
      <c r="AM95" s="957">
        <v>1.6160564100000001</v>
      </c>
      <c r="AN95" s="290">
        <v>0</v>
      </c>
      <c r="AO95" s="290">
        <v>6142.5825762900004</v>
      </c>
      <c r="AP95" s="290">
        <v>0</v>
      </c>
      <c r="AQ95" s="290">
        <v>0</v>
      </c>
      <c r="AR95" s="290">
        <v>-1512.15117076</v>
      </c>
      <c r="AS95" s="290">
        <v>11835</v>
      </c>
      <c r="AT95" s="290">
        <v>2037</v>
      </c>
      <c r="AU95" s="290">
        <v>433</v>
      </c>
      <c r="AV95" s="766">
        <v>862741</v>
      </c>
      <c r="AW95" s="290"/>
      <c r="AX95" s="766">
        <v>178.99995000000001</v>
      </c>
      <c r="AY95" s="290">
        <v>7167</v>
      </c>
      <c r="AZ95" s="290">
        <v>1805</v>
      </c>
      <c r="BA95" s="290">
        <v>814</v>
      </c>
      <c r="BB95" s="290">
        <v>0</v>
      </c>
      <c r="BC95" s="290">
        <v>58911</v>
      </c>
      <c r="BD95" s="290"/>
      <c r="BE95" s="290">
        <v>855773.55600284005</v>
      </c>
      <c r="BF95" s="290">
        <v>0</v>
      </c>
      <c r="BG95" s="290">
        <v>28399.618820814449</v>
      </c>
      <c r="BH95" s="290">
        <v>1530.1019119785742</v>
      </c>
      <c r="BI95" s="290">
        <v>12011</v>
      </c>
      <c r="BJ95" s="290"/>
      <c r="BK95" s="290"/>
      <c r="BL95" s="290"/>
      <c r="BM95" s="290">
        <v>0</v>
      </c>
      <c r="BN95" s="290">
        <v>11687.846099999999</v>
      </c>
      <c r="BO95" s="290">
        <v>-14605.782675299552</v>
      </c>
      <c r="BP95" s="290">
        <v>1588.876</v>
      </c>
      <c r="BQ95" s="290">
        <v>-852.10299999999995</v>
      </c>
      <c r="BR95" s="290">
        <v>-547.047065724954</v>
      </c>
      <c r="BS95" s="290">
        <v>5.649</v>
      </c>
      <c r="BT95" s="290"/>
      <c r="BU95" s="290">
        <v>0</v>
      </c>
      <c r="BV95" s="290">
        <v>5500</v>
      </c>
      <c r="BW95" s="290">
        <v>-7198</v>
      </c>
      <c r="BX95" s="290">
        <v>3511</v>
      </c>
      <c r="BY95" s="290">
        <v>1303</v>
      </c>
      <c r="BZ95" s="290">
        <v>-5472</v>
      </c>
      <c r="CA95" s="290">
        <v>-26.438358975493429</v>
      </c>
      <c r="CB95" s="290">
        <v>2091</v>
      </c>
      <c r="CC95" s="290">
        <v>4076</v>
      </c>
      <c r="CD95" s="290">
        <v>77</v>
      </c>
      <c r="CE95" s="290">
        <v>1159</v>
      </c>
      <c r="CF95" s="290">
        <v>46</v>
      </c>
      <c r="CG95" s="290">
        <v>6</v>
      </c>
      <c r="CH95" s="290">
        <v>-30</v>
      </c>
      <c r="CI95" s="290">
        <v>-14005</v>
      </c>
      <c r="CJ95" s="290">
        <v>-37629</v>
      </c>
      <c r="CK95" s="290">
        <f>+innut22!E101+innut22!S101</f>
        <v>961053.67727851134</v>
      </c>
      <c r="CL95" s="290">
        <v>0</v>
      </c>
      <c r="CM95" s="290">
        <v>0</v>
      </c>
      <c r="CN95" s="290">
        <v>0</v>
      </c>
      <c r="CP95" s="290">
        <f>+innut23!E101</f>
        <v>894102.12977896642</v>
      </c>
      <c r="CQ95" s="290"/>
      <c r="CV95" s="85">
        <f t="shared" si="2"/>
        <v>5.8029999999999999</v>
      </c>
    </row>
    <row r="96" spans="1:100" ht="13">
      <c r="A96" s="1">
        <v>3002</v>
      </c>
      <c r="B96" s="2" t="s">
        <v>1618</v>
      </c>
      <c r="C96" s="289">
        <v>50290</v>
      </c>
      <c r="D96" s="290">
        <v>846</v>
      </c>
      <c r="E96" s="290">
        <v>1919</v>
      </c>
      <c r="F96" s="290">
        <v>5761</v>
      </c>
      <c r="G96" s="290">
        <v>4074</v>
      </c>
      <c r="H96" s="290">
        <v>28200</v>
      </c>
      <c r="I96" s="290">
        <v>6674</v>
      </c>
      <c r="J96" s="290">
        <v>2029</v>
      </c>
      <c r="K96" s="290">
        <v>449</v>
      </c>
      <c r="L96" s="290">
        <v>402</v>
      </c>
      <c r="M96" s="290">
        <v>4149</v>
      </c>
      <c r="N96" s="290">
        <v>1769</v>
      </c>
      <c r="O96" s="290">
        <v>512</v>
      </c>
      <c r="P96" s="624">
        <v>86469.365666669997</v>
      </c>
      <c r="Q96" s="624">
        <v>40085.349666670001</v>
      </c>
      <c r="R96" s="624">
        <v>183</v>
      </c>
      <c r="S96" s="290">
        <v>778</v>
      </c>
      <c r="T96" s="290">
        <v>4866</v>
      </c>
      <c r="U96" s="958">
        <v>2.0182306828817405E-3</v>
      </c>
      <c r="V96" s="290">
        <v>-19063.829327970001</v>
      </c>
      <c r="W96" s="765">
        <v>0.53550721999999995</v>
      </c>
      <c r="X96" s="290">
        <v>3500</v>
      </c>
      <c r="Y96" s="290"/>
      <c r="Z96" s="290">
        <f>innut22!E102</f>
        <v>1820799.0765454916</v>
      </c>
      <c r="AA96" s="290">
        <v>0</v>
      </c>
      <c r="AB96" s="290">
        <v>1567</v>
      </c>
      <c r="AC96" s="290">
        <v>7743</v>
      </c>
      <c r="AD96" s="290"/>
      <c r="AE96" s="290">
        <v>0</v>
      </c>
      <c r="AF96" s="290">
        <v>15488</v>
      </c>
      <c r="AG96" s="290">
        <v>49952</v>
      </c>
      <c r="AH96" s="290">
        <v>8419</v>
      </c>
      <c r="AI96" s="290">
        <v>200</v>
      </c>
      <c r="AJ96" s="290">
        <v>0</v>
      </c>
      <c r="AK96" s="290">
        <v>0</v>
      </c>
      <c r="AL96" s="290">
        <v>0</v>
      </c>
      <c r="AM96" s="957">
        <v>2.41133379</v>
      </c>
      <c r="AN96" s="290">
        <v>0</v>
      </c>
      <c r="AO96" s="290">
        <v>9630.2967370799997</v>
      </c>
      <c r="AP96" s="290">
        <v>0</v>
      </c>
      <c r="AQ96" s="290">
        <v>0</v>
      </c>
      <c r="AR96" s="290">
        <v>-2409.7165597399999</v>
      </c>
      <c r="AS96" s="290">
        <v>12106</v>
      </c>
      <c r="AT96" s="290">
        <v>3278</v>
      </c>
      <c r="AU96" s="290">
        <v>653</v>
      </c>
      <c r="AV96" s="766">
        <v>1286485</v>
      </c>
      <c r="AW96" s="290"/>
      <c r="AX96" s="766">
        <v>276.79165</v>
      </c>
      <c r="AY96" s="290">
        <v>12370</v>
      </c>
      <c r="AZ96" s="290">
        <v>2779</v>
      </c>
      <c r="BA96" s="290">
        <v>1164</v>
      </c>
      <c r="BB96" s="290">
        <v>0</v>
      </c>
      <c r="BC96" s="290">
        <v>95657</v>
      </c>
      <c r="BD96" s="290"/>
      <c r="BE96" s="290">
        <v>1301146.3599543001</v>
      </c>
      <c r="BF96" s="290">
        <v>0</v>
      </c>
      <c r="BG96" s="290">
        <v>45420.96522385061</v>
      </c>
      <c r="BH96" s="290">
        <v>2447.1703712441963</v>
      </c>
      <c r="BI96" s="290">
        <v>31650</v>
      </c>
      <c r="BJ96" s="290"/>
      <c r="BK96" s="290"/>
      <c r="BL96" s="290"/>
      <c r="BM96" s="290">
        <v>6821</v>
      </c>
      <c r="BN96" s="290">
        <v>18324.120940000001</v>
      </c>
      <c r="BO96" s="290">
        <v>-23275.316027453686</v>
      </c>
      <c r="BP96" s="290">
        <v>2561.5079999999998</v>
      </c>
      <c r="BQ96" s="290">
        <v>-1373.7180000000001</v>
      </c>
      <c r="BR96" s="290">
        <v>-874.96711526786373</v>
      </c>
      <c r="BS96" s="290">
        <v>8.657</v>
      </c>
      <c r="BT96" s="290"/>
      <c r="BU96" s="290">
        <v>0</v>
      </c>
      <c r="BV96" s="290">
        <v>8500</v>
      </c>
      <c r="BW96" s="290">
        <v>-11471</v>
      </c>
      <c r="BX96" s="290">
        <v>5620</v>
      </c>
      <c r="BY96" s="290">
        <v>2029</v>
      </c>
      <c r="BZ96" s="290">
        <v>-8719</v>
      </c>
      <c r="CA96" s="290">
        <v>-30.284797278451151</v>
      </c>
      <c r="CB96" s="290">
        <v>3256</v>
      </c>
      <c r="CC96" s="290">
        <v>6496</v>
      </c>
      <c r="CD96" s="290">
        <v>119</v>
      </c>
      <c r="CE96" s="290">
        <v>1854</v>
      </c>
      <c r="CF96" s="290">
        <v>71</v>
      </c>
      <c r="CG96" s="290">
        <v>9</v>
      </c>
      <c r="CH96" s="290">
        <v>-46</v>
      </c>
      <c r="CI96" s="290">
        <v>-22399</v>
      </c>
      <c r="CJ96" s="290">
        <v>-63914</v>
      </c>
      <c r="CK96" s="290">
        <f>+innut22!E102+innut22!S102</f>
        <v>1820799.0765454916</v>
      </c>
      <c r="CL96" s="290">
        <v>0</v>
      </c>
      <c r="CM96" s="290">
        <v>0</v>
      </c>
      <c r="CN96" s="290">
        <v>0</v>
      </c>
      <c r="CP96" s="290">
        <f>+innut23!E102</f>
        <v>1660309.2609549679</v>
      </c>
      <c r="CQ96" s="290"/>
      <c r="CV96" s="85">
        <f t="shared" si="2"/>
        <v>9.2469999999999999</v>
      </c>
    </row>
    <row r="97" spans="1:100" ht="13">
      <c r="A97" s="1">
        <v>3003</v>
      </c>
      <c r="B97" s="2" t="s">
        <v>785</v>
      </c>
      <c r="C97" s="289">
        <v>58182</v>
      </c>
      <c r="D97" s="290">
        <v>1092</v>
      </c>
      <c r="E97" s="290">
        <v>2440</v>
      </c>
      <c r="F97" s="290">
        <v>6958</v>
      </c>
      <c r="G97" s="290">
        <v>4885</v>
      </c>
      <c r="H97" s="290">
        <v>32593</v>
      </c>
      <c r="I97" s="290">
        <v>7125</v>
      </c>
      <c r="J97" s="290">
        <v>2193</v>
      </c>
      <c r="K97" s="290">
        <v>498</v>
      </c>
      <c r="L97" s="290">
        <v>466</v>
      </c>
      <c r="M97" s="290">
        <v>4426</v>
      </c>
      <c r="N97" s="290">
        <v>3764</v>
      </c>
      <c r="O97" s="290">
        <v>577</v>
      </c>
      <c r="P97" s="624">
        <v>133015.54666667001</v>
      </c>
      <c r="Q97" s="624">
        <v>75680.268666670003</v>
      </c>
      <c r="R97" s="624">
        <v>252</v>
      </c>
      <c r="S97" s="290">
        <v>1022</v>
      </c>
      <c r="T97" s="290">
        <v>5035</v>
      </c>
      <c r="U97" s="958">
        <v>5.6907006552080319E-3</v>
      </c>
      <c r="V97" s="290">
        <v>-2181.1956237200002</v>
      </c>
      <c r="W97" s="765">
        <v>0.54570216999999999</v>
      </c>
      <c r="X97" s="290">
        <v>3500</v>
      </c>
      <c r="Y97" s="290"/>
      <c r="Z97" s="290">
        <f>innut22!E103</f>
        <v>1857711.7380336244</v>
      </c>
      <c r="AA97" s="290">
        <v>0</v>
      </c>
      <c r="AB97" s="290">
        <v>1859</v>
      </c>
      <c r="AC97" s="290">
        <v>18822</v>
      </c>
      <c r="AD97" s="290"/>
      <c r="AE97" s="290">
        <v>0</v>
      </c>
      <c r="AF97" s="290">
        <v>0</v>
      </c>
      <c r="AG97" s="290">
        <v>57784</v>
      </c>
      <c r="AH97" s="290">
        <v>10296</v>
      </c>
      <c r="AI97" s="290">
        <v>2700</v>
      </c>
      <c r="AJ97" s="290">
        <v>0</v>
      </c>
      <c r="AK97" s="290">
        <v>0</v>
      </c>
      <c r="AL97" s="290">
        <v>0</v>
      </c>
      <c r="AM97" s="957">
        <v>3.3070430000000002</v>
      </c>
      <c r="AN97" s="290">
        <v>0</v>
      </c>
      <c r="AO97" s="290">
        <v>11508.808251369999</v>
      </c>
      <c r="AP97" s="290">
        <v>0</v>
      </c>
      <c r="AQ97" s="290">
        <v>0</v>
      </c>
      <c r="AR97" s="290">
        <v>-2787.5372695400001</v>
      </c>
      <c r="AS97" s="290">
        <v>8593</v>
      </c>
      <c r="AT97" s="290">
        <v>3844</v>
      </c>
      <c r="AU97" s="290">
        <v>828</v>
      </c>
      <c r="AV97" s="766">
        <v>1585094</v>
      </c>
      <c r="AW97" s="290"/>
      <c r="AX97" s="766">
        <v>368.16665</v>
      </c>
      <c r="AY97" s="290">
        <v>11627</v>
      </c>
      <c r="AZ97" s="290">
        <v>3420</v>
      </c>
      <c r="BA97" s="290">
        <v>1522</v>
      </c>
      <c r="BB97" s="290">
        <v>0</v>
      </c>
      <c r="BC97" s="290">
        <v>91683</v>
      </c>
      <c r="BD97" s="290"/>
      <c r="BE97" s="290">
        <v>1620984.849801</v>
      </c>
      <c r="BF97" s="290">
        <v>0</v>
      </c>
      <c r="BG97" s="290">
        <v>52548.868535575188</v>
      </c>
      <c r="BH97" s="290">
        <v>2831.2043455901735</v>
      </c>
      <c r="BI97" s="290">
        <v>29118</v>
      </c>
      <c r="BJ97" s="290"/>
      <c r="BK97" s="290"/>
      <c r="BL97" s="290"/>
      <c r="BM97" s="290">
        <v>0</v>
      </c>
      <c r="BN97" s="290">
        <v>21898.473140000002</v>
      </c>
      <c r="BO97" s="290">
        <v>-26924.664904916393</v>
      </c>
      <c r="BP97" s="290">
        <v>3172.06</v>
      </c>
      <c r="BQ97" s="290">
        <v>-1701.152</v>
      </c>
      <c r="BR97" s="290">
        <v>-1063.1317921872012</v>
      </c>
      <c r="BS97" s="290">
        <v>10.032</v>
      </c>
      <c r="BT97" s="290"/>
      <c r="BU97" s="290">
        <v>0</v>
      </c>
      <c r="BV97" s="290">
        <v>10500</v>
      </c>
      <c r="BW97" s="290">
        <v>-13270</v>
      </c>
      <c r="BX97" s="290">
        <v>6817</v>
      </c>
      <c r="BY97" s="290">
        <v>2664</v>
      </c>
      <c r="BZ97" s="290">
        <v>-10086</v>
      </c>
      <c r="CA97" s="290">
        <v>-73.616442896407534</v>
      </c>
      <c r="CB97" s="290">
        <v>4274</v>
      </c>
      <c r="CC97" s="290">
        <v>7514</v>
      </c>
      <c r="CD97" s="290">
        <v>157</v>
      </c>
      <c r="CE97" s="290">
        <v>2145</v>
      </c>
      <c r="CF97" s="290">
        <v>82</v>
      </c>
      <c r="CG97" s="290">
        <v>11</v>
      </c>
      <c r="CH97" s="290">
        <v>-53</v>
      </c>
      <c r="CI97" s="290">
        <v>-25914</v>
      </c>
      <c r="CJ97" s="290">
        <v>-69565</v>
      </c>
      <c r="CK97" s="290">
        <f>+innut22!E103+innut22!S103</f>
        <v>1857711.7380336244</v>
      </c>
      <c r="CL97" s="290">
        <v>0</v>
      </c>
      <c r="CM97" s="290">
        <v>0</v>
      </c>
      <c r="CN97" s="290">
        <v>0</v>
      </c>
      <c r="CP97" s="290">
        <f>+innut23!E103</f>
        <v>1714019.0301113019</v>
      </c>
      <c r="CQ97" s="290"/>
      <c r="CV97" s="85">
        <f t="shared" si="2"/>
        <v>10.696999999999999</v>
      </c>
    </row>
    <row r="98" spans="1:100" ht="13">
      <c r="A98" s="1">
        <v>3004</v>
      </c>
      <c r="B98" s="2" t="s">
        <v>786</v>
      </c>
      <c r="C98" s="289">
        <v>83892</v>
      </c>
      <c r="D98" s="290">
        <v>1445</v>
      </c>
      <c r="E98" s="290">
        <v>3337</v>
      </c>
      <c r="F98" s="290">
        <v>9607</v>
      </c>
      <c r="G98" s="290">
        <v>7140</v>
      </c>
      <c r="H98" s="290">
        <v>47488</v>
      </c>
      <c r="I98" s="290">
        <v>10513</v>
      </c>
      <c r="J98" s="290">
        <v>3252</v>
      </c>
      <c r="K98" s="290">
        <v>678</v>
      </c>
      <c r="L98" s="290">
        <v>668</v>
      </c>
      <c r="M98" s="290">
        <v>6214</v>
      </c>
      <c r="N98" s="290">
        <v>5146</v>
      </c>
      <c r="O98" s="290">
        <v>747</v>
      </c>
      <c r="P98" s="624">
        <v>154742.83833333</v>
      </c>
      <c r="Q98" s="624">
        <v>91320.011333329996</v>
      </c>
      <c r="R98" s="624">
        <v>298</v>
      </c>
      <c r="S98" s="290">
        <v>1434</v>
      </c>
      <c r="T98" s="290">
        <v>7402</v>
      </c>
      <c r="U98" s="958">
        <v>4.8851580885434743E-3</v>
      </c>
      <c r="V98" s="290">
        <v>-6615.4039099800002</v>
      </c>
      <c r="W98" s="765">
        <v>0.54216116999999997</v>
      </c>
      <c r="X98" s="290">
        <v>5200</v>
      </c>
      <c r="Y98" s="290"/>
      <c r="Z98" s="290">
        <f>innut22!E104</f>
        <v>2860079.8970169686</v>
      </c>
      <c r="AA98" s="290">
        <v>0</v>
      </c>
      <c r="AB98" s="290">
        <v>2427</v>
      </c>
      <c r="AC98" s="290">
        <v>11320</v>
      </c>
      <c r="AD98" s="290"/>
      <c r="AE98" s="290">
        <v>0</v>
      </c>
      <c r="AF98" s="290">
        <v>0</v>
      </c>
      <c r="AG98" s="290">
        <v>83460</v>
      </c>
      <c r="AH98" s="290">
        <v>14249</v>
      </c>
      <c r="AI98" s="290">
        <v>200</v>
      </c>
      <c r="AJ98" s="290">
        <v>0</v>
      </c>
      <c r="AK98" s="290">
        <v>0</v>
      </c>
      <c r="AL98" s="290">
        <v>0</v>
      </c>
      <c r="AM98" s="957">
        <v>4.5800867700000003</v>
      </c>
      <c r="AN98" s="290">
        <v>0</v>
      </c>
      <c r="AO98" s="290">
        <v>16014.9327294</v>
      </c>
      <c r="AP98" s="290">
        <v>0</v>
      </c>
      <c r="AQ98" s="290">
        <v>0</v>
      </c>
      <c r="AR98" s="290">
        <v>-4026.1639989599998</v>
      </c>
      <c r="AS98" s="290">
        <v>8777</v>
      </c>
      <c r="AT98" s="290">
        <v>5424</v>
      </c>
      <c r="AU98" s="290">
        <v>1213</v>
      </c>
      <c r="AV98" s="766">
        <v>2124453</v>
      </c>
      <c r="AW98" s="290"/>
      <c r="AX98" s="766">
        <v>449.66669999999999</v>
      </c>
      <c r="AY98" s="290">
        <v>20367</v>
      </c>
      <c r="AZ98" s="290">
        <v>4818</v>
      </c>
      <c r="BA98" s="290">
        <v>2029</v>
      </c>
      <c r="BB98" s="290">
        <v>0</v>
      </c>
      <c r="BC98" s="290">
        <v>130843</v>
      </c>
      <c r="BD98" s="290"/>
      <c r="BE98" s="290">
        <v>2136948.7793681999</v>
      </c>
      <c r="BF98" s="290">
        <v>0</v>
      </c>
      <c r="BG98" s="290">
        <v>75769.64833086649</v>
      </c>
      <c r="BH98" s="290">
        <v>4082.2830937446438</v>
      </c>
      <c r="BI98" s="290">
        <v>25569</v>
      </c>
      <c r="BJ98" s="290"/>
      <c r="BK98" s="290"/>
      <c r="BL98" s="290"/>
      <c r="BM98" s="290">
        <v>0</v>
      </c>
      <c r="BN98" s="290">
        <v>30472.536040000003</v>
      </c>
      <c r="BO98" s="290">
        <v>-38888.490463871007</v>
      </c>
      <c r="BP98" s="290">
        <v>4400.0829999999996</v>
      </c>
      <c r="BQ98" s="290">
        <v>-2359.732</v>
      </c>
      <c r="BR98" s="290">
        <v>-1458.1540592406595</v>
      </c>
      <c r="BS98" s="290">
        <v>14.34</v>
      </c>
      <c r="BT98" s="290"/>
      <c r="BU98" s="290">
        <v>0</v>
      </c>
      <c r="BV98" s="290">
        <v>15000</v>
      </c>
      <c r="BW98" s="290">
        <v>-19166</v>
      </c>
      <c r="BX98" s="290">
        <v>9357</v>
      </c>
      <c r="BY98" s="290">
        <v>3741</v>
      </c>
      <c r="BZ98" s="290">
        <v>-14568</v>
      </c>
      <c r="CA98" s="290">
        <v>103.41748311166339</v>
      </c>
      <c r="CB98" s="290">
        <v>6001</v>
      </c>
      <c r="CC98" s="290">
        <v>10853</v>
      </c>
      <c r="CD98" s="290">
        <v>220</v>
      </c>
      <c r="CE98" s="290">
        <v>3093</v>
      </c>
      <c r="CF98" s="290">
        <v>117</v>
      </c>
      <c r="CG98" s="290">
        <v>16</v>
      </c>
      <c r="CH98" s="290">
        <v>-76</v>
      </c>
      <c r="CI98" s="290">
        <v>-37365</v>
      </c>
      <c r="CJ98" s="290">
        <v>-101671</v>
      </c>
      <c r="CK98" s="290">
        <f>+innut22!E104+innut22!S104</f>
        <v>2860079.8970169686</v>
      </c>
      <c r="CL98" s="290">
        <v>0</v>
      </c>
      <c r="CM98" s="290">
        <v>0</v>
      </c>
      <c r="CN98" s="290">
        <v>0</v>
      </c>
      <c r="CP98" s="290">
        <f>+innut23!E104</f>
        <v>2617453.3684428693</v>
      </c>
      <c r="CQ98" s="290"/>
      <c r="CV98" s="85">
        <f t="shared" si="2"/>
        <v>15.45</v>
      </c>
    </row>
    <row r="99" spans="1:100" ht="13">
      <c r="A99" s="1">
        <v>3005</v>
      </c>
      <c r="B99" s="2" t="s">
        <v>1619</v>
      </c>
      <c r="C99" s="289">
        <v>102273</v>
      </c>
      <c r="D99" s="290">
        <v>1947</v>
      </c>
      <c r="E99" s="290">
        <v>4332</v>
      </c>
      <c r="F99" s="290">
        <v>12099</v>
      </c>
      <c r="G99" s="290">
        <v>8631</v>
      </c>
      <c r="H99" s="290">
        <v>58959</v>
      </c>
      <c r="I99" s="290">
        <v>11756</v>
      </c>
      <c r="J99" s="290">
        <v>3608</v>
      </c>
      <c r="K99" s="290">
        <v>831</v>
      </c>
      <c r="L99" s="290">
        <v>802</v>
      </c>
      <c r="M99" s="290">
        <v>7410</v>
      </c>
      <c r="N99" s="290">
        <v>6174</v>
      </c>
      <c r="O99" s="290">
        <v>1238</v>
      </c>
      <c r="P99" s="624">
        <v>205636.71900000001</v>
      </c>
      <c r="Q99" s="624">
        <v>90489.520999999993</v>
      </c>
      <c r="R99" s="624">
        <v>382</v>
      </c>
      <c r="S99" s="290">
        <v>1766</v>
      </c>
      <c r="T99" s="290">
        <v>9649</v>
      </c>
      <c r="U99" s="958">
        <v>2.3225838830829224E-3</v>
      </c>
      <c r="V99" s="290">
        <v>25984.499984909999</v>
      </c>
      <c r="W99" s="765">
        <v>0.53352270999999996</v>
      </c>
      <c r="X99" s="290">
        <v>5300</v>
      </c>
      <c r="Y99" s="290"/>
      <c r="Z99" s="290">
        <f>innut22!E105</f>
        <v>3842161.1703858753</v>
      </c>
      <c r="AA99" s="290">
        <v>0</v>
      </c>
      <c r="AB99" s="290">
        <v>2540</v>
      </c>
      <c r="AC99" s="290">
        <v>13736</v>
      </c>
      <c r="AD99" s="290"/>
      <c r="AE99" s="290">
        <v>0</v>
      </c>
      <c r="AF99" s="290">
        <v>30976</v>
      </c>
      <c r="AG99" s="290">
        <v>102163</v>
      </c>
      <c r="AH99" s="290">
        <v>18039</v>
      </c>
      <c r="AI99" s="290">
        <v>200</v>
      </c>
      <c r="AJ99" s="290">
        <v>0</v>
      </c>
      <c r="AK99" s="290">
        <v>0</v>
      </c>
      <c r="AL99" s="290">
        <v>0</v>
      </c>
      <c r="AM99" s="957">
        <v>5.8358472099999998</v>
      </c>
      <c r="AN99" s="290">
        <v>0</v>
      </c>
      <c r="AO99" s="290">
        <v>19776.37470724</v>
      </c>
      <c r="AP99" s="290">
        <v>40016.832000000002</v>
      </c>
      <c r="AQ99" s="290">
        <v>-866.63499999999999</v>
      </c>
      <c r="AR99" s="290">
        <v>-4928.4087302400003</v>
      </c>
      <c r="AS99" s="290">
        <v>38419</v>
      </c>
      <c r="AT99" s="290">
        <v>6397</v>
      </c>
      <c r="AU99" s="290">
        <v>1413</v>
      </c>
      <c r="AV99" s="766">
        <v>2757660</v>
      </c>
      <c r="AW99" s="290"/>
      <c r="AX99" s="766">
        <v>687.95830000000001</v>
      </c>
      <c r="AY99" s="290">
        <v>25659</v>
      </c>
      <c r="AZ99" s="290">
        <v>6694</v>
      </c>
      <c r="BA99" s="290">
        <v>2353</v>
      </c>
      <c r="BB99" s="290">
        <v>0</v>
      </c>
      <c r="BC99" s="290">
        <v>211216</v>
      </c>
      <c r="BD99" s="290"/>
      <c r="BE99" s="290">
        <v>2772704.8848146</v>
      </c>
      <c r="BF99" s="290">
        <v>0</v>
      </c>
      <c r="BG99" s="290">
        <v>92397.207880898088</v>
      </c>
      <c r="BH99" s="290">
        <v>4978.1352817463458</v>
      </c>
      <c r="BI99" s="290">
        <v>62751</v>
      </c>
      <c r="BJ99" s="290"/>
      <c r="BK99" s="290"/>
      <c r="BL99" s="290"/>
      <c r="BM99" s="290">
        <v>0</v>
      </c>
      <c r="BN99" s="290">
        <v>37629.6486</v>
      </c>
      <c r="BO99" s="290">
        <v>-47603.221318720985</v>
      </c>
      <c r="BP99" s="290">
        <v>5781.2240000000002</v>
      </c>
      <c r="BQ99" s="290">
        <v>-3100.4279999999999</v>
      </c>
      <c r="BR99" s="290">
        <v>-1848.7034061311531</v>
      </c>
      <c r="BS99" s="290">
        <v>17.202999999999999</v>
      </c>
      <c r="BT99" s="290"/>
      <c r="BU99" s="290">
        <v>0</v>
      </c>
      <c r="BV99" s="290">
        <v>16000</v>
      </c>
      <c r="BW99" s="290">
        <v>-23461</v>
      </c>
      <c r="BX99" s="290">
        <v>11864</v>
      </c>
      <c r="BY99" s="290">
        <v>4607</v>
      </c>
      <c r="BZ99" s="290">
        <v>-17833</v>
      </c>
      <c r="CA99" s="290">
        <v>-53.722875147861487</v>
      </c>
      <c r="CB99" s="290">
        <v>7391</v>
      </c>
      <c r="CC99" s="290">
        <v>13285</v>
      </c>
      <c r="CD99" s="290">
        <v>271</v>
      </c>
      <c r="CE99" s="290">
        <v>3770</v>
      </c>
      <c r="CF99" s="290">
        <v>140</v>
      </c>
      <c r="CG99" s="290">
        <v>20</v>
      </c>
      <c r="CH99" s="290">
        <v>-91</v>
      </c>
      <c r="CI99" s="290">
        <v>-45552</v>
      </c>
      <c r="CJ99" s="290">
        <v>-127013</v>
      </c>
      <c r="CK99" s="290">
        <f>+innut22!E105+innut22!S105</f>
        <v>3842161.1703858753</v>
      </c>
      <c r="CL99" s="290">
        <v>0</v>
      </c>
      <c r="CM99" s="290">
        <v>0</v>
      </c>
      <c r="CN99" s="290">
        <v>0</v>
      </c>
      <c r="CP99" s="290">
        <f>+innut23!E105</f>
        <v>3508215.3790989113</v>
      </c>
      <c r="CQ99" s="290"/>
      <c r="CV99" s="85">
        <f t="shared" si="2"/>
        <v>18.913</v>
      </c>
    </row>
    <row r="100" spans="1:100" ht="13">
      <c r="A100" s="1">
        <v>3006</v>
      </c>
      <c r="B100" s="2" t="s">
        <v>872</v>
      </c>
      <c r="C100" s="289">
        <v>27879</v>
      </c>
      <c r="D100" s="290">
        <v>461</v>
      </c>
      <c r="E100" s="290">
        <v>1057</v>
      </c>
      <c r="F100" s="290">
        <v>3413</v>
      </c>
      <c r="G100" s="290">
        <v>2240</v>
      </c>
      <c r="H100" s="290">
        <v>15725</v>
      </c>
      <c r="I100" s="290">
        <v>3578</v>
      </c>
      <c r="J100" s="290">
        <v>1085</v>
      </c>
      <c r="K100" s="290">
        <v>258</v>
      </c>
      <c r="L100" s="290">
        <v>193</v>
      </c>
      <c r="M100" s="290">
        <v>1979</v>
      </c>
      <c r="N100" s="290">
        <v>822</v>
      </c>
      <c r="O100" s="290">
        <v>301</v>
      </c>
      <c r="P100" s="624">
        <v>83084.789000000004</v>
      </c>
      <c r="Q100" s="624">
        <v>37471.035333330001</v>
      </c>
      <c r="R100" s="624">
        <v>101</v>
      </c>
      <c r="S100" s="290">
        <v>361</v>
      </c>
      <c r="T100" s="290">
        <v>2817</v>
      </c>
      <c r="U100" s="958">
        <v>3.8934932815840005E-3</v>
      </c>
      <c r="V100" s="290">
        <v>-3712.7530803099999</v>
      </c>
      <c r="W100" s="765">
        <v>0.56352387000000004</v>
      </c>
      <c r="X100" s="290">
        <v>1700</v>
      </c>
      <c r="Y100" s="290"/>
      <c r="Z100" s="290">
        <f>innut22!E106</f>
        <v>1122176.9140260424</v>
      </c>
      <c r="AA100" s="290">
        <v>0</v>
      </c>
      <c r="AB100" s="290">
        <v>681</v>
      </c>
      <c r="AC100" s="290">
        <v>2046</v>
      </c>
      <c r="AD100" s="290"/>
      <c r="AE100" s="290">
        <v>0</v>
      </c>
      <c r="AF100" s="290">
        <v>0</v>
      </c>
      <c r="AG100" s="290">
        <v>27817</v>
      </c>
      <c r="AH100" s="290">
        <v>4765</v>
      </c>
      <c r="AI100" s="290">
        <v>2000</v>
      </c>
      <c r="AJ100" s="290">
        <v>0</v>
      </c>
      <c r="AK100" s="290">
        <v>0</v>
      </c>
      <c r="AL100" s="290">
        <v>0</v>
      </c>
      <c r="AM100" s="957">
        <v>0.57013725000000004</v>
      </c>
      <c r="AN100" s="290">
        <v>0</v>
      </c>
      <c r="AO100" s="290">
        <v>5356.7466672600003</v>
      </c>
      <c r="AP100" s="290">
        <v>0</v>
      </c>
      <c r="AQ100" s="290">
        <v>0</v>
      </c>
      <c r="AR100" s="290">
        <v>-1341.90994439</v>
      </c>
      <c r="AS100" s="290">
        <v>3831</v>
      </c>
      <c r="AT100" s="290">
        <v>1507</v>
      </c>
      <c r="AU100" s="290">
        <v>234</v>
      </c>
      <c r="AV100" s="766">
        <v>703180</v>
      </c>
      <c r="AW100" s="290"/>
      <c r="AX100" s="766">
        <v>200.58335</v>
      </c>
      <c r="AY100" s="290">
        <v>8509</v>
      </c>
      <c r="AZ100" s="290">
        <v>1240</v>
      </c>
      <c r="BA100" s="290">
        <v>613</v>
      </c>
      <c r="BB100" s="290">
        <v>0</v>
      </c>
      <c r="BC100" s="290">
        <v>44596</v>
      </c>
      <c r="BD100" s="290"/>
      <c r="BE100" s="290">
        <v>714758.94741456001</v>
      </c>
      <c r="BF100" s="290">
        <v>0</v>
      </c>
      <c r="BG100" s="290">
        <v>25179.779070903383</v>
      </c>
      <c r="BH100" s="290">
        <v>1356.6248315752027</v>
      </c>
      <c r="BI100" s="290">
        <v>6811</v>
      </c>
      <c r="BJ100" s="290"/>
      <c r="BK100" s="290"/>
      <c r="BL100" s="290"/>
      <c r="BM100" s="290">
        <v>0</v>
      </c>
      <c r="BN100" s="290">
        <v>10192.590779999999</v>
      </c>
      <c r="BO100" s="290">
        <v>-12961.43229371555</v>
      </c>
      <c r="BP100" s="290">
        <v>1492.2539999999999</v>
      </c>
      <c r="BQ100" s="290">
        <v>-800.28499999999997</v>
      </c>
      <c r="BR100" s="290">
        <v>-524.05166395158562</v>
      </c>
      <c r="BS100" s="290">
        <v>4.9269999999999996</v>
      </c>
      <c r="BT100" s="290"/>
      <c r="BU100" s="290">
        <v>0</v>
      </c>
      <c r="BV100" s="290">
        <v>6500</v>
      </c>
      <c r="BW100" s="290">
        <v>-6388</v>
      </c>
      <c r="BX100" s="290">
        <v>3369</v>
      </c>
      <c r="BY100" s="290">
        <v>941</v>
      </c>
      <c r="BZ100" s="290">
        <v>-4856</v>
      </c>
      <c r="CA100" s="290">
        <v>-8.0028223328627064</v>
      </c>
      <c r="CB100" s="290">
        <v>1509</v>
      </c>
      <c r="CC100" s="290">
        <v>3617</v>
      </c>
      <c r="CD100" s="290">
        <v>55</v>
      </c>
      <c r="CE100" s="290">
        <v>1028</v>
      </c>
      <c r="CF100" s="290">
        <v>40</v>
      </c>
      <c r="CG100" s="290">
        <v>5</v>
      </c>
      <c r="CH100" s="290">
        <v>-26</v>
      </c>
      <c r="CI100" s="290">
        <v>-12417</v>
      </c>
      <c r="CJ100" s="290">
        <v>-29686</v>
      </c>
      <c r="CK100" s="290">
        <f>+innut22!E106+innut22!S106</f>
        <v>1122176.9140260424</v>
      </c>
      <c r="CL100" s="290">
        <v>0</v>
      </c>
      <c r="CM100" s="290">
        <v>0</v>
      </c>
      <c r="CN100" s="290">
        <v>0</v>
      </c>
      <c r="CP100" s="290">
        <f>+innut23!E106</f>
        <v>1048807.4278502199</v>
      </c>
      <c r="CQ100" s="290"/>
      <c r="CV100" s="85">
        <f t="shared" si="2"/>
        <v>5.15</v>
      </c>
    </row>
    <row r="101" spans="1:100" ht="13">
      <c r="A101" s="1">
        <v>3007</v>
      </c>
      <c r="B101" s="2" t="s">
        <v>873</v>
      </c>
      <c r="C101" s="289">
        <v>31011</v>
      </c>
      <c r="D101" s="290">
        <v>518</v>
      </c>
      <c r="E101" s="290">
        <v>1104</v>
      </c>
      <c r="F101" s="290">
        <v>3348</v>
      </c>
      <c r="G101" s="290">
        <v>2409</v>
      </c>
      <c r="H101" s="290">
        <v>17652</v>
      </c>
      <c r="I101" s="290">
        <v>4281</v>
      </c>
      <c r="J101" s="290">
        <v>1247</v>
      </c>
      <c r="K101" s="290">
        <v>315</v>
      </c>
      <c r="L101" s="290">
        <v>250</v>
      </c>
      <c r="M101" s="290">
        <v>2698</v>
      </c>
      <c r="N101" s="290">
        <v>952</v>
      </c>
      <c r="O101" s="290">
        <v>298</v>
      </c>
      <c r="P101" s="624">
        <v>134854.36566667</v>
      </c>
      <c r="Q101" s="624">
        <v>80794.385333330007</v>
      </c>
      <c r="R101" s="624">
        <v>96</v>
      </c>
      <c r="S101" s="290">
        <v>435</v>
      </c>
      <c r="T101" s="290">
        <v>3102</v>
      </c>
      <c r="U101" s="958">
        <v>6.2328426733946783E-3</v>
      </c>
      <c r="V101" s="290">
        <v>-4475.3907279900004</v>
      </c>
      <c r="W101" s="765">
        <v>0.60883692</v>
      </c>
      <c r="X101" s="290">
        <v>2600</v>
      </c>
      <c r="Y101" s="290"/>
      <c r="Z101" s="290">
        <f>innut22!E107</f>
        <v>1106257.7970590417</v>
      </c>
      <c r="AA101" s="290">
        <v>0</v>
      </c>
      <c r="AB101" s="290">
        <v>841</v>
      </c>
      <c r="AC101" s="290">
        <v>3983</v>
      </c>
      <c r="AD101" s="290"/>
      <c r="AE101" s="290">
        <v>0</v>
      </c>
      <c r="AF101" s="290">
        <v>0</v>
      </c>
      <c r="AG101" s="290">
        <v>30874</v>
      </c>
      <c r="AH101" s="290">
        <v>4924</v>
      </c>
      <c r="AI101" s="290">
        <v>200</v>
      </c>
      <c r="AJ101" s="290">
        <v>0</v>
      </c>
      <c r="AK101" s="290">
        <v>0</v>
      </c>
      <c r="AL101" s="290">
        <v>0</v>
      </c>
      <c r="AM101" s="957">
        <v>1.02028501</v>
      </c>
      <c r="AN101" s="290">
        <v>0</v>
      </c>
      <c r="AO101" s="290">
        <v>5892.4279271799996</v>
      </c>
      <c r="AP101" s="290">
        <v>0</v>
      </c>
      <c r="AQ101" s="290">
        <v>0</v>
      </c>
      <c r="AR101" s="290">
        <v>414.23441391</v>
      </c>
      <c r="AS101" s="290">
        <v>4684</v>
      </c>
      <c r="AT101" s="290">
        <v>1868</v>
      </c>
      <c r="AU101" s="290">
        <v>337</v>
      </c>
      <c r="AV101" s="766">
        <v>791516</v>
      </c>
      <c r="AW101" s="290"/>
      <c r="AX101" s="766">
        <v>166.20830000000001</v>
      </c>
      <c r="AY101" s="290">
        <v>6943</v>
      </c>
      <c r="AZ101" s="290">
        <v>1541</v>
      </c>
      <c r="BA101" s="290">
        <v>671</v>
      </c>
      <c r="BB101" s="290">
        <v>0</v>
      </c>
      <c r="BC101" s="290">
        <v>49151</v>
      </c>
      <c r="BD101" s="290"/>
      <c r="BE101" s="290">
        <v>778922.23692891002</v>
      </c>
      <c r="BF101" s="290">
        <v>0</v>
      </c>
      <c r="BG101" s="290">
        <v>28008.541510376443</v>
      </c>
      <c r="BH101" s="290">
        <v>1509.0316242325266</v>
      </c>
      <c r="BI101" s="290">
        <v>8907</v>
      </c>
      <c r="BJ101" s="290"/>
      <c r="BK101" s="290"/>
      <c r="BL101" s="290"/>
      <c r="BM101" s="290">
        <v>0</v>
      </c>
      <c r="BN101" s="290">
        <v>11211.862419999999</v>
      </c>
      <c r="BO101" s="290">
        <v>-14385.852559088826</v>
      </c>
      <c r="BP101" s="290">
        <v>1475.347</v>
      </c>
      <c r="BQ101" s="290">
        <v>-791.21799999999996</v>
      </c>
      <c r="BR101" s="290">
        <v>-529.23452174140527</v>
      </c>
      <c r="BS101" s="290">
        <v>5.6749999999999998</v>
      </c>
      <c r="BT101" s="290"/>
      <c r="BU101" s="290">
        <v>0</v>
      </c>
      <c r="BV101" s="290">
        <v>6000</v>
      </c>
      <c r="BW101" s="290">
        <v>-7090</v>
      </c>
      <c r="BX101" s="290">
        <v>3387</v>
      </c>
      <c r="BY101" s="290">
        <v>1135</v>
      </c>
      <c r="BZ101" s="290">
        <v>-5389</v>
      </c>
      <c r="CA101" s="290">
        <v>-15.579339169768446</v>
      </c>
      <c r="CB101" s="290">
        <v>1821</v>
      </c>
      <c r="CC101" s="290">
        <v>4015</v>
      </c>
      <c r="CD101" s="290">
        <v>67</v>
      </c>
      <c r="CE101" s="290">
        <v>1143</v>
      </c>
      <c r="CF101" s="290">
        <v>46</v>
      </c>
      <c r="CG101" s="290">
        <v>5</v>
      </c>
      <c r="CH101" s="290">
        <v>-30</v>
      </c>
      <c r="CI101" s="290">
        <v>-13812</v>
      </c>
      <c r="CJ101" s="290">
        <v>-38014</v>
      </c>
      <c r="CK101" s="290">
        <f>+innut22!E107+innut22!S107</f>
        <v>1106257.7970590417</v>
      </c>
      <c r="CL101" s="290">
        <v>0</v>
      </c>
      <c r="CM101" s="290">
        <v>0</v>
      </c>
      <c r="CN101" s="290">
        <v>0</v>
      </c>
      <c r="CP101" s="290">
        <f>+innut23!E107</f>
        <v>1007306.1294585143</v>
      </c>
      <c r="CQ101" s="290"/>
      <c r="CV101" s="85">
        <f t="shared" si="2"/>
        <v>5.7149999999999999</v>
      </c>
    </row>
    <row r="102" spans="1:100" ht="13">
      <c r="A102" s="1">
        <v>3011</v>
      </c>
      <c r="B102" s="2" t="s">
        <v>787</v>
      </c>
      <c r="C102" s="289">
        <v>4741</v>
      </c>
      <c r="D102" s="290">
        <v>66</v>
      </c>
      <c r="E102" s="290">
        <v>120</v>
      </c>
      <c r="F102" s="290">
        <v>460</v>
      </c>
      <c r="G102" s="290">
        <v>339</v>
      </c>
      <c r="H102" s="290">
        <v>2557</v>
      </c>
      <c r="I102" s="290">
        <v>973</v>
      </c>
      <c r="J102" s="290">
        <v>191</v>
      </c>
      <c r="K102" s="290">
        <v>36</v>
      </c>
      <c r="L102" s="290">
        <v>35</v>
      </c>
      <c r="M102" s="290">
        <v>421</v>
      </c>
      <c r="N102" s="290">
        <v>31</v>
      </c>
      <c r="O102" s="290">
        <v>15</v>
      </c>
      <c r="P102" s="624">
        <v>33026.959000000003</v>
      </c>
      <c r="Q102" s="624">
        <v>14114.005999999999</v>
      </c>
      <c r="R102" s="624">
        <v>22</v>
      </c>
      <c r="S102" s="290">
        <v>48</v>
      </c>
      <c r="T102" s="290">
        <v>392</v>
      </c>
      <c r="U102" s="958">
        <v>6.5699986390233705E-4</v>
      </c>
      <c r="V102" s="290">
        <v>1586.49588543</v>
      </c>
      <c r="W102" s="765">
        <v>0.71366589999999996</v>
      </c>
      <c r="X102" s="290">
        <v>500</v>
      </c>
      <c r="Y102" s="290"/>
      <c r="Z102" s="290">
        <f>innut22!E108</f>
        <v>210214.03972157289</v>
      </c>
      <c r="AA102" s="290">
        <v>0</v>
      </c>
      <c r="AB102" s="290">
        <v>125</v>
      </c>
      <c r="AC102" s="290">
        <v>629</v>
      </c>
      <c r="AD102" s="290"/>
      <c r="AE102" s="290">
        <v>0</v>
      </c>
      <c r="AF102" s="290">
        <v>0</v>
      </c>
      <c r="AG102" s="290">
        <v>4742</v>
      </c>
      <c r="AH102" s="290">
        <v>649</v>
      </c>
      <c r="AI102" s="290">
        <v>200</v>
      </c>
      <c r="AJ102" s="290">
        <v>0</v>
      </c>
      <c r="AK102" s="290">
        <v>0</v>
      </c>
      <c r="AL102" s="290">
        <v>0</v>
      </c>
      <c r="AM102" s="957">
        <v>6.2712390000000007E-2</v>
      </c>
      <c r="AN102" s="290">
        <v>0</v>
      </c>
      <c r="AO102" s="290">
        <v>902.30664349000006</v>
      </c>
      <c r="AP102" s="290">
        <v>0</v>
      </c>
      <c r="AQ102" s="290">
        <v>0</v>
      </c>
      <c r="AR102" s="290">
        <v>-228.75712537000001</v>
      </c>
      <c r="AS102" s="290">
        <v>1019</v>
      </c>
      <c r="AT102" s="290">
        <v>246</v>
      </c>
      <c r="AU102" s="290">
        <v>41</v>
      </c>
      <c r="AV102" s="766">
        <v>121076</v>
      </c>
      <c r="AW102" s="290"/>
      <c r="AX102" s="766">
        <v>34.083350000000003</v>
      </c>
      <c r="AY102" s="290">
        <v>1222</v>
      </c>
      <c r="AZ102" s="290">
        <v>137</v>
      </c>
      <c r="BA102" s="290">
        <v>87</v>
      </c>
      <c r="BB102" s="290">
        <v>0</v>
      </c>
      <c r="BC102" s="290">
        <v>8100</v>
      </c>
      <c r="BD102" s="290"/>
      <c r="BE102" s="290">
        <v>121093.99479861</v>
      </c>
      <c r="BF102" s="290">
        <v>0</v>
      </c>
      <c r="BG102" s="290">
        <v>4281.9804359967338</v>
      </c>
      <c r="BH102" s="290">
        <v>230.70261940880363</v>
      </c>
      <c r="BI102" s="290">
        <v>1278</v>
      </c>
      <c r="BJ102" s="290"/>
      <c r="BK102" s="290"/>
      <c r="BL102" s="290"/>
      <c r="BM102" s="290">
        <v>0</v>
      </c>
      <c r="BN102" s="290">
        <v>1716.8708800000002</v>
      </c>
      <c r="BO102" s="290">
        <v>-2209.5521421001235</v>
      </c>
      <c r="BP102" s="290">
        <v>185.11</v>
      </c>
      <c r="BQ102" s="290">
        <v>-99.272999999999996</v>
      </c>
      <c r="BR102" s="290">
        <v>-75.742884036205027</v>
      </c>
      <c r="BS102" s="290">
        <v>1.046</v>
      </c>
      <c r="BT102" s="290"/>
      <c r="BU102" s="290">
        <v>0</v>
      </c>
      <c r="BV102" s="290">
        <v>500</v>
      </c>
      <c r="BW102" s="290">
        <v>-1089</v>
      </c>
      <c r="BX102" s="290">
        <v>485</v>
      </c>
      <c r="BY102" s="290">
        <v>124</v>
      </c>
      <c r="BZ102" s="290">
        <v>-828</v>
      </c>
      <c r="CA102" s="290">
        <v>-2.4588538636716066</v>
      </c>
      <c r="CB102" s="290">
        <v>199</v>
      </c>
      <c r="CC102" s="290">
        <v>617</v>
      </c>
      <c r="CD102" s="290">
        <v>7</v>
      </c>
      <c r="CE102" s="290">
        <v>175</v>
      </c>
      <c r="CF102" s="290">
        <v>9</v>
      </c>
      <c r="CG102" s="290">
        <v>1</v>
      </c>
      <c r="CH102" s="290">
        <v>-6</v>
      </c>
      <c r="CI102" s="290">
        <v>-2112</v>
      </c>
      <c r="CJ102" s="290">
        <v>-6786</v>
      </c>
      <c r="CK102" s="290">
        <f>+innut22!E108+innut22!S108</f>
        <v>210214.03972157289</v>
      </c>
      <c r="CL102" s="290">
        <v>0</v>
      </c>
      <c r="CM102" s="290">
        <v>0</v>
      </c>
      <c r="CN102" s="290">
        <v>0</v>
      </c>
      <c r="CP102" s="290">
        <f>+innut23!E108</f>
        <v>192305.91128527906</v>
      </c>
      <c r="CQ102" s="290"/>
      <c r="CV102" s="85">
        <f t="shared" si="2"/>
        <v>0.878</v>
      </c>
    </row>
    <row r="103" spans="1:100" ht="13">
      <c r="A103" s="1">
        <v>3012</v>
      </c>
      <c r="B103" s="2" t="s">
        <v>788</v>
      </c>
      <c r="C103" s="289">
        <v>1315</v>
      </c>
      <c r="D103" s="290">
        <v>21</v>
      </c>
      <c r="E103" s="290">
        <v>42</v>
      </c>
      <c r="F103" s="290">
        <v>130</v>
      </c>
      <c r="G103" s="290">
        <v>109</v>
      </c>
      <c r="H103" s="290">
        <v>725</v>
      </c>
      <c r="I103" s="290">
        <v>199</v>
      </c>
      <c r="J103" s="290">
        <v>66</v>
      </c>
      <c r="K103" s="290">
        <v>20</v>
      </c>
      <c r="L103" s="290">
        <v>10</v>
      </c>
      <c r="M103" s="290">
        <v>135</v>
      </c>
      <c r="N103" s="290">
        <v>1.5</v>
      </c>
      <c r="O103" s="290">
        <v>4</v>
      </c>
      <c r="P103" s="624">
        <v>7227.0266666699999</v>
      </c>
      <c r="Q103" s="624">
        <v>8428.8733333300006</v>
      </c>
      <c r="R103" s="624">
        <v>4</v>
      </c>
      <c r="S103" s="290">
        <v>14</v>
      </c>
      <c r="T103" s="290">
        <v>110</v>
      </c>
      <c r="U103" s="958">
        <v>1.3254030206235757E-3</v>
      </c>
      <c r="V103" s="290">
        <v>828.46794342999999</v>
      </c>
      <c r="W103" s="765">
        <v>0.89497645999999997</v>
      </c>
      <c r="X103" s="290">
        <v>400</v>
      </c>
      <c r="Y103" s="290"/>
      <c r="Z103" s="290">
        <f>innut22!E109</f>
        <v>43667.839384965853</v>
      </c>
      <c r="AA103" s="290">
        <v>0</v>
      </c>
      <c r="AB103" s="290">
        <v>41</v>
      </c>
      <c r="AC103" s="290">
        <v>122</v>
      </c>
      <c r="AD103" s="290"/>
      <c r="AE103" s="290">
        <v>0</v>
      </c>
      <c r="AF103" s="290">
        <v>0</v>
      </c>
      <c r="AG103" s="290">
        <v>1312</v>
      </c>
      <c r="AH103" s="290">
        <v>194</v>
      </c>
      <c r="AI103" s="290">
        <v>2000</v>
      </c>
      <c r="AJ103" s="290">
        <v>0</v>
      </c>
      <c r="AK103" s="290">
        <v>0</v>
      </c>
      <c r="AL103" s="290">
        <v>0</v>
      </c>
      <c r="AM103" s="957">
        <v>2.0745320000000001E-2</v>
      </c>
      <c r="AN103" s="290">
        <v>0</v>
      </c>
      <c r="AO103" s="290">
        <v>309.29430339999999</v>
      </c>
      <c r="AP103" s="290">
        <v>0</v>
      </c>
      <c r="AQ103" s="290">
        <v>0</v>
      </c>
      <c r="AR103" s="290">
        <v>836.97819100000004</v>
      </c>
      <c r="AS103" s="290">
        <v>878</v>
      </c>
      <c r="AT103" s="290">
        <v>77</v>
      </c>
      <c r="AU103" s="290">
        <v>11</v>
      </c>
      <c r="AV103" s="766">
        <v>59400</v>
      </c>
      <c r="AW103" s="290"/>
      <c r="AX103" s="766">
        <v>5.4166999999999996</v>
      </c>
      <c r="AY103" s="290">
        <v>216</v>
      </c>
      <c r="AZ103" s="290">
        <v>43</v>
      </c>
      <c r="BA103" s="290">
        <v>27</v>
      </c>
      <c r="BB103" s="290">
        <v>6034</v>
      </c>
      <c r="BC103" s="290">
        <v>2567</v>
      </c>
      <c r="BD103" s="290"/>
      <c r="BE103" s="290">
        <v>58259.473946220001</v>
      </c>
      <c r="BF103" s="290">
        <v>0</v>
      </c>
      <c r="BG103" s="290">
        <v>1187.6828250022579</v>
      </c>
      <c r="BH103" s="290">
        <v>63.989442000121656</v>
      </c>
      <c r="BI103" s="290">
        <v>316</v>
      </c>
      <c r="BJ103" s="290"/>
      <c r="BK103" s="290"/>
      <c r="BL103" s="290"/>
      <c r="BM103" s="290">
        <v>0</v>
      </c>
      <c r="BN103" s="290">
        <v>588.51210000000003</v>
      </c>
      <c r="BO103" s="290">
        <v>-611.33117048404938</v>
      </c>
      <c r="BP103" s="290">
        <v>54.206000000000003</v>
      </c>
      <c r="BQ103" s="290">
        <v>-29.07</v>
      </c>
      <c r="BR103" s="290">
        <v>-24.24798861324528</v>
      </c>
      <c r="BS103" s="290">
        <v>0.40699999999999997</v>
      </c>
      <c r="BT103" s="290"/>
      <c r="BU103" s="290">
        <v>0</v>
      </c>
      <c r="BV103" s="290">
        <v>500</v>
      </c>
      <c r="BW103" s="290">
        <v>-301</v>
      </c>
      <c r="BX103" s="290">
        <v>161</v>
      </c>
      <c r="BY103" s="290">
        <v>36</v>
      </c>
      <c r="BZ103" s="290">
        <v>-229</v>
      </c>
      <c r="CA103" s="290">
        <v>-0.47594090270537492</v>
      </c>
      <c r="CB103" s="290">
        <v>57</v>
      </c>
      <c r="CC103" s="290">
        <v>171</v>
      </c>
      <c r="CD103" s="290">
        <v>2</v>
      </c>
      <c r="CE103" s="290">
        <v>48</v>
      </c>
      <c r="CF103" s="290">
        <v>3</v>
      </c>
      <c r="CG103" s="290">
        <v>0</v>
      </c>
      <c r="CH103" s="290">
        <v>-2</v>
      </c>
      <c r="CI103" s="290">
        <v>-586</v>
      </c>
      <c r="CJ103" s="290">
        <v>-1610</v>
      </c>
      <c r="CK103" s="290">
        <f>+innut22!E109+innut22!S109</f>
        <v>43667.839384965853</v>
      </c>
      <c r="CL103" s="290">
        <v>0</v>
      </c>
      <c r="CM103" s="290">
        <v>0</v>
      </c>
      <c r="CN103" s="290">
        <v>0</v>
      </c>
      <c r="CP103" s="290">
        <f>+innut23!E109</f>
        <v>40250.467865798651</v>
      </c>
      <c r="CQ103" s="290"/>
      <c r="CV103" s="85">
        <f t="shared" si="2"/>
        <v>0.24299999999999999</v>
      </c>
    </row>
    <row r="104" spans="1:100" ht="13">
      <c r="A104" s="1">
        <v>3013</v>
      </c>
      <c r="B104" s="2" t="s">
        <v>789</v>
      </c>
      <c r="C104" s="289">
        <v>3578</v>
      </c>
      <c r="D104" s="290">
        <v>62</v>
      </c>
      <c r="E104" s="290">
        <v>135</v>
      </c>
      <c r="F104" s="290">
        <v>353</v>
      </c>
      <c r="G104" s="290">
        <v>281</v>
      </c>
      <c r="H104" s="290">
        <v>1948</v>
      </c>
      <c r="I104" s="290">
        <v>597</v>
      </c>
      <c r="J104" s="290">
        <v>201</v>
      </c>
      <c r="K104" s="290">
        <v>46</v>
      </c>
      <c r="L104" s="290">
        <v>26</v>
      </c>
      <c r="M104" s="290">
        <v>353</v>
      </c>
      <c r="N104" s="290">
        <v>69</v>
      </c>
      <c r="O104" s="290">
        <v>20</v>
      </c>
      <c r="P104" s="624">
        <v>18798.376</v>
      </c>
      <c r="Q104" s="624">
        <v>12392.70866667</v>
      </c>
      <c r="R104" s="624">
        <v>12</v>
      </c>
      <c r="S104" s="290">
        <v>42</v>
      </c>
      <c r="T104" s="290">
        <v>330</v>
      </c>
      <c r="U104" s="958">
        <v>2.7160515678365266E-3</v>
      </c>
      <c r="V104" s="290">
        <v>1795.2253682999999</v>
      </c>
      <c r="W104" s="765">
        <v>0.74592396999999999</v>
      </c>
      <c r="X104" s="290">
        <v>500</v>
      </c>
      <c r="Y104" s="290"/>
      <c r="Z104" s="290">
        <f>innut22!E110</f>
        <v>117189.60072072719</v>
      </c>
      <c r="AA104" s="290">
        <v>0</v>
      </c>
      <c r="AB104" s="290">
        <v>127</v>
      </c>
      <c r="AC104" s="290">
        <v>689</v>
      </c>
      <c r="AD104" s="290"/>
      <c r="AE104" s="290">
        <v>0</v>
      </c>
      <c r="AF104" s="290">
        <v>0</v>
      </c>
      <c r="AG104" s="290">
        <v>3623</v>
      </c>
      <c r="AH104" s="290">
        <v>549</v>
      </c>
      <c r="AI104" s="290">
        <v>200</v>
      </c>
      <c r="AJ104" s="290">
        <v>0</v>
      </c>
      <c r="AK104" s="290">
        <v>0</v>
      </c>
      <c r="AL104" s="290">
        <v>0</v>
      </c>
      <c r="AM104" s="957">
        <v>3.483435E-2</v>
      </c>
      <c r="AN104" s="290">
        <v>5567</v>
      </c>
      <c r="AO104" s="290">
        <v>747.72051476000001</v>
      </c>
      <c r="AP104" s="290">
        <v>0</v>
      </c>
      <c r="AQ104" s="290">
        <v>0</v>
      </c>
      <c r="AR104" s="290">
        <v>-174.77584673000001</v>
      </c>
      <c r="AS104" s="290">
        <v>1772</v>
      </c>
      <c r="AT104" s="290">
        <v>174</v>
      </c>
      <c r="AU104" s="290">
        <v>22</v>
      </c>
      <c r="AV104" s="766">
        <v>115414</v>
      </c>
      <c r="AW104" s="290"/>
      <c r="AX104" s="766">
        <v>18.25</v>
      </c>
      <c r="AY104" s="290">
        <v>605</v>
      </c>
      <c r="AZ104" s="290">
        <v>118</v>
      </c>
      <c r="BA104" s="290">
        <v>61</v>
      </c>
      <c r="BB104" s="290">
        <v>0</v>
      </c>
      <c r="BC104" s="290">
        <v>6648</v>
      </c>
      <c r="BD104" s="290"/>
      <c r="BE104" s="290">
        <v>116758.56748670001</v>
      </c>
      <c r="BF104" s="290">
        <v>0</v>
      </c>
      <c r="BG104" s="290">
        <v>3231.5811010327593</v>
      </c>
      <c r="BH104" s="290">
        <v>174.10967564747926</v>
      </c>
      <c r="BI104" s="290">
        <v>1238</v>
      </c>
      <c r="BJ104" s="290"/>
      <c r="BK104" s="290"/>
      <c r="BL104" s="290"/>
      <c r="BM104" s="290">
        <v>0</v>
      </c>
      <c r="BN104" s="290">
        <v>1422.7309400000001</v>
      </c>
      <c r="BO104" s="290">
        <v>-1688.1500233717309</v>
      </c>
      <c r="BP104" s="290">
        <v>172.79400000000001</v>
      </c>
      <c r="BQ104" s="290">
        <v>-92.668000000000006</v>
      </c>
      <c r="BR104" s="290">
        <v>-58.836767837529436</v>
      </c>
      <c r="BS104" s="290">
        <v>0.82399999999999995</v>
      </c>
      <c r="BT104" s="290"/>
      <c r="BU104" s="290">
        <v>0</v>
      </c>
      <c r="BV104" s="290">
        <v>500</v>
      </c>
      <c r="BW104" s="290">
        <v>-832</v>
      </c>
      <c r="BX104" s="290">
        <v>379</v>
      </c>
      <c r="BY104" s="290">
        <v>110</v>
      </c>
      <c r="BZ104" s="290">
        <v>-632</v>
      </c>
      <c r="CA104" s="290">
        <v>-2.6941487907398596</v>
      </c>
      <c r="CB104" s="290">
        <v>176</v>
      </c>
      <c r="CC104" s="290">
        <v>471</v>
      </c>
      <c r="CD104" s="290">
        <v>6</v>
      </c>
      <c r="CE104" s="290">
        <v>132</v>
      </c>
      <c r="CF104" s="290">
        <v>7</v>
      </c>
      <c r="CG104" s="290">
        <v>1</v>
      </c>
      <c r="CH104" s="290">
        <v>-4</v>
      </c>
      <c r="CI104" s="290">
        <v>-1594</v>
      </c>
      <c r="CJ104" s="290">
        <v>-4414</v>
      </c>
      <c r="CK104" s="290">
        <f>+innut22!E110+innut22!S110</f>
        <v>117189.60072072719</v>
      </c>
      <c r="CL104" s="290">
        <v>0</v>
      </c>
      <c r="CM104" s="290">
        <v>0</v>
      </c>
      <c r="CN104" s="290">
        <v>0</v>
      </c>
      <c r="CP104" s="290">
        <f>+innut23!E110</f>
        <v>106604.22957113388</v>
      </c>
      <c r="CQ104" s="290"/>
      <c r="CV104" s="85">
        <f t="shared" si="2"/>
        <v>0.67100000000000004</v>
      </c>
    </row>
    <row r="105" spans="1:100" ht="13">
      <c r="A105" s="1">
        <v>3014</v>
      </c>
      <c r="B105" s="2" t="s">
        <v>1620</v>
      </c>
      <c r="C105" s="289">
        <v>45608</v>
      </c>
      <c r="D105" s="290">
        <v>865</v>
      </c>
      <c r="E105" s="290">
        <v>1902</v>
      </c>
      <c r="F105" s="290">
        <v>5427</v>
      </c>
      <c r="G105" s="290">
        <v>3625</v>
      </c>
      <c r="H105" s="290">
        <v>25769</v>
      </c>
      <c r="I105" s="290">
        <v>5824</v>
      </c>
      <c r="J105" s="290">
        <v>1580</v>
      </c>
      <c r="K105" s="290">
        <v>426</v>
      </c>
      <c r="L105" s="290">
        <v>344</v>
      </c>
      <c r="M105" s="290">
        <v>3457</v>
      </c>
      <c r="N105" s="290">
        <v>1667</v>
      </c>
      <c r="O105" s="290">
        <v>458</v>
      </c>
      <c r="P105" s="624">
        <v>142100.35533332999</v>
      </c>
      <c r="Q105" s="624">
        <v>82615.792333329999</v>
      </c>
      <c r="R105" s="624">
        <v>184</v>
      </c>
      <c r="S105" s="290">
        <v>655</v>
      </c>
      <c r="T105" s="290">
        <v>4208</v>
      </c>
      <c r="U105" s="958">
        <v>1.3205737398122695E-2</v>
      </c>
      <c r="V105" s="290">
        <v>12238.6976634</v>
      </c>
      <c r="W105" s="765">
        <v>0.57122845</v>
      </c>
      <c r="X105" s="290">
        <v>3300</v>
      </c>
      <c r="Y105" s="290"/>
      <c r="Z105" s="290">
        <f>innut22!E111</f>
        <v>1520153.887904526</v>
      </c>
      <c r="AA105" s="290">
        <v>0</v>
      </c>
      <c r="AB105" s="290">
        <v>1367</v>
      </c>
      <c r="AC105" s="290">
        <v>10082</v>
      </c>
      <c r="AD105" s="290"/>
      <c r="AE105" s="290">
        <v>0</v>
      </c>
      <c r="AF105" s="290">
        <v>61951</v>
      </c>
      <c r="AG105" s="290">
        <v>45418</v>
      </c>
      <c r="AH105" s="290">
        <v>7957</v>
      </c>
      <c r="AI105" s="290">
        <v>5700</v>
      </c>
      <c r="AJ105" s="290">
        <v>0</v>
      </c>
      <c r="AK105" s="290">
        <v>0</v>
      </c>
      <c r="AL105" s="290">
        <v>0</v>
      </c>
      <c r="AM105" s="957">
        <v>1.59716919</v>
      </c>
      <c r="AN105" s="290">
        <v>0</v>
      </c>
      <c r="AO105" s="290">
        <v>8831.8225015000007</v>
      </c>
      <c r="AP105" s="290">
        <v>0</v>
      </c>
      <c r="AQ105" s="290">
        <v>0</v>
      </c>
      <c r="AR105" s="290">
        <v>-2190.99348796</v>
      </c>
      <c r="AS105" s="290">
        <v>15198</v>
      </c>
      <c r="AT105" s="290">
        <v>2945</v>
      </c>
      <c r="AU105" s="290">
        <v>548</v>
      </c>
      <c r="AV105" s="766">
        <v>379146</v>
      </c>
      <c r="AW105" s="290"/>
      <c r="AX105" s="766">
        <v>283.625</v>
      </c>
      <c r="AY105" s="290">
        <v>8165</v>
      </c>
      <c r="AZ105" s="290">
        <v>2022</v>
      </c>
      <c r="BA105" s="290">
        <v>1124</v>
      </c>
      <c r="BB105" s="290">
        <v>0</v>
      </c>
      <c r="BC105" s="290">
        <v>-750947</v>
      </c>
      <c r="BD105" s="290"/>
      <c r="BE105" s="290">
        <v>1287217.0234628001</v>
      </c>
      <c r="BF105" s="290">
        <v>0</v>
      </c>
      <c r="BG105" s="290">
        <v>41192.272458329258</v>
      </c>
      <c r="BH105" s="290">
        <v>2219.3387610201885</v>
      </c>
      <c r="BI105" s="290">
        <v>79990</v>
      </c>
      <c r="BJ105" s="290"/>
      <c r="BK105" s="290"/>
      <c r="BL105" s="290"/>
      <c r="BM105" s="290">
        <v>6508</v>
      </c>
      <c r="BN105" s="290">
        <v>16804.81798</v>
      </c>
      <c r="BO105" s="290">
        <v>-21162.682241649814</v>
      </c>
      <c r="BP105" s="290">
        <v>2448.2170000000001</v>
      </c>
      <c r="BQ105" s="290">
        <v>-1312.961</v>
      </c>
      <c r="BR105" s="290">
        <v>-837.98069714414714</v>
      </c>
      <c r="BS105" s="290">
        <v>8.0210000000000008</v>
      </c>
      <c r="BT105" s="290"/>
      <c r="BU105" s="290">
        <v>0</v>
      </c>
      <c r="BV105" s="290">
        <v>11500</v>
      </c>
      <c r="BW105" s="290">
        <v>-10430</v>
      </c>
      <c r="BX105" s="290">
        <v>5372</v>
      </c>
      <c r="BY105" s="290">
        <v>1709</v>
      </c>
      <c r="BZ105" s="290">
        <v>-7928</v>
      </c>
      <c r="CA105" s="290">
        <v>-39.432041206038775</v>
      </c>
      <c r="CB105" s="290">
        <v>2741</v>
      </c>
      <c r="CC105" s="290">
        <v>5906</v>
      </c>
      <c r="CD105" s="290">
        <v>101</v>
      </c>
      <c r="CE105" s="290">
        <v>1681</v>
      </c>
      <c r="CF105" s="290">
        <v>65</v>
      </c>
      <c r="CG105" s="290">
        <v>9</v>
      </c>
      <c r="CH105" s="290">
        <v>-43</v>
      </c>
      <c r="CI105" s="290">
        <v>-20313</v>
      </c>
      <c r="CJ105" s="290">
        <v>-54567</v>
      </c>
      <c r="CK105" s="290">
        <f>+innut22!E111+innut22!S111</f>
        <v>1520153.887904526</v>
      </c>
      <c r="CL105" s="290">
        <v>0</v>
      </c>
      <c r="CM105" s="290">
        <v>0</v>
      </c>
      <c r="CN105" s="290">
        <v>0</v>
      </c>
      <c r="CP105" s="290">
        <f>+innut23!E111</f>
        <v>1415948.7235594317</v>
      </c>
      <c r="CQ105" s="290"/>
      <c r="CV105" s="85">
        <f t="shared" si="2"/>
        <v>8.4079999999999995</v>
      </c>
    </row>
    <row r="106" spans="1:100" ht="13">
      <c r="A106" s="1">
        <v>3015</v>
      </c>
      <c r="B106" s="2" t="s">
        <v>2369</v>
      </c>
      <c r="C106" s="289">
        <v>3846</v>
      </c>
      <c r="D106" s="290">
        <v>53</v>
      </c>
      <c r="E106" s="290">
        <v>163</v>
      </c>
      <c r="F106" s="290">
        <v>504</v>
      </c>
      <c r="G106" s="290">
        <v>331</v>
      </c>
      <c r="H106" s="290">
        <v>2150</v>
      </c>
      <c r="I106" s="290">
        <v>483</v>
      </c>
      <c r="J106" s="290">
        <v>108</v>
      </c>
      <c r="K106" s="290">
        <v>37</v>
      </c>
      <c r="L106" s="290">
        <v>28</v>
      </c>
      <c r="M106" s="290">
        <v>281</v>
      </c>
      <c r="N106" s="290">
        <v>37</v>
      </c>
      <c r="O106" s="290">
        <v>41</v>
      </c>
      <c r="P106" s="624">
        <v>11634.45033333</v>
      </c>
      <c r="Q106" s="624">
        <v>9800.9976666700004</v>
      </c>
      <c r="R106" s="624">
        <v>14</v>
      </c>
      <c r="S106" s="290">
        <v>38</v>
      </c>
      <c r="T106" s="290">
        <v>274</v>
      </c>
      <c r="U106" s="958">
        <v>2.1996290450676322E-3</v>
      </c>
      <c r="V106" s="290">
        <v>1848.2728189100001</v>
      </c>
      <c r="W106" s="765">
        <v>0.64597844000000004</v>
      </c>
      <c r="X106" s="290">
        <v>500</v>
      </c>
      <c r="Y106" s="290"/>
      <c r="Z106" s="290">
        <f>innut22!E112</f>
        <v>123672.45265250701</v>
      </c>
      <c r="AA106" s="290">
        <v>0</v>
      </c>
      <c r="AB106" s="290">
        <v>104</v>
      </c>
      <c r="AC106" s="290">
        <v>412</v>
      </c>
      <c r="AD106" s="290"/>
      <c r="AE106" s="290">
        <v>0</v>
      </c>
      <c r="AF106" s="290">
        <v>0</v>
      </c>
      <c r="AG106" s="290">
        <v>3829</v>
      </c>
      <c r="AH106" s="290">
        <v>709</v>
      </c>
      <c r="AI106" s="290">
        <v>200</v>
      </c>
      <c r="AJ106" s="290">
        <v>0</v>
      </c>
      <c r="AK106" s="290">
        <v>0</v>
      </c>
      <c r="AL106" s="290">
        <v>0</v>
      </c>
      <c r="AM106" s="957">
        <v>4.863907E-2</v>
      </c>
      <c r="AN106" s="290">
        <v>0</v>
      </c>
      <c r="AO106" s="290">
        <v>767.52487099999996</v>
      </c>
      <c r="AP106" s="290">
        <v>0</v>
      </c>
      <c r="AQ106" s="290">
        <v>0</v>
      </c>
      <c r="AR106" s="290">
        <v>2098.5428865600002</v>
      </c>
      <c r="AS106" s="290">
        <v>1703</v>
      </c>
      <c r="AT106" s="290">
        <v>230</v>
      </c>
      <c r="AU106" s="290">
        <v>26</v>
      </c>
      <c r="AV106" s="766">
        <v>113828</v>
      </c>
      <c r="AW106" s="290"/>
      <c r="AX106" s="766">
        <v>13.666650000000001</v>
      </c>
      <c r="AY106" s="290">
        <v>570</v>
      </c>
      <c r="AZ106" s="290">
        <v>119</v>
      </c>
      <c r="BA106" s="290">
        <v>90</v>
      </c>
      <c r="BB106" s="290">
        <v>0</v>
      </c>
      <c r="BC106" s="290">
        <v>7135</v>
      </c>
      <c r="BD106" s="290"/>
      <c r="BE106" s="290">
        <v>110354.46090645999</v>
      </c>
      <c r="BF106" s="290">
        <v>0</v>
      </c>
      <c r="BG106" s="290">
        <v>3473.6335703107861</v>
      </c>
      <c r="BH106" s="290">
        <v>187.15086991062194</v>
      </c>
      <c r="BI106" s="290">
        <v>1121</v>
      </c>
      <c r="BJ106" s="290"/>
      <c r="BK106" s="290"/>
      <c r="BL106" s="290"/>
      <c r="BM106" s="290">
        <v>0</v>
      </c>
      <c r="BN106" s="290">
        <v>1460.4138399999999</v>
      </c>
      <c r="BO106" s="290">
        <v>-1784.1364723959032</v>
      </c>
      <c r="BP106" s="290">
        <v>197.715</v>
      </c>
      <c r="BQ106" s="290">
        <v>-106.033</v>
      </c>
      <c r="BR106" s="290">
        <v>-81.126434727341163</v>
      </c>
      <c r="BS106" s="290">
        <v>0.77700000000000002</v>
      </c>
      <c r="BT106" s="290"/>
      <c r="BU106" s="290">
        <v>0</v>
      </c>
      <c r="BV106" s="290">
        <v>1000</v>
      </c>
      <c r="BW106" s="290">
        <v>-879</v>
      </c>
      <c r="BX106" s="290">
        <v>517</v>
      </c>
      <c r="BY106" s="290">
        <v>99</v>
      </c>
      <c r="BZ106" s="290">
        <v>-668</v>
      </c>
      <c r="CA106" s="290">
        <v>-1.6099328767555789</v>
      </c>
      <c r="CB106" s="290">
        <v>159</v>
      </c>
      <c r="CC106" s="290">
        <v>498</v>
      </c>
      <c r="CD106" s="290">
        <v>6</v>
      </c>
      <c r="CE106" s="290">
        <v>142</v>
      </c>
      <c r="CF106" s="290">
        <v>6</v>
      </c>
      <c r="CG106" s="290">
        <v>1</v>
      </c>
      <c r="CH106" s="290">
        <v>-4</v>
      </c>
      <c r="CI106" s="290">
        <v>-1713</v>
      </c>
      <c r="CJ106" s="290">
        <v>-4612</v>
      </c>
      <c r="CK106" s="290">
        <f>+innut22!E112+innut22!S112</f>
        <v>123672.45265250701</v>
      </c>
      <c r="CL106" s="290">
        <v>0</v>
      </c>
      <c r="CM106" s="290">
        <v>0</v>
      </c>
      <c r="CN106" s="290">
        <v>0</v>
      </c>
      <c r="CP106" s="290">
        <f>+innut23!E112</f>
        <v>115856.96290127463</v>
      </c>
      <c r="CQ106" s="290"/>
      <c r="CV106" s="85">
        <f t="shared" si="2"/>
        <v>0.70899999999999996</v>
      </c>
    </row>
    <row r="107" spans="1:100" ht="13">
      <c r="A107" s="1">
        <v>3016</v>
      </c>
      <c r="B107" s="2" t="s">
        <v>796</v>
      </c>
      <c r="C107" s="289">
        <v>8312</v>
      </c>
      <c r="D107" s="290">
        <v>150</v>
      </c>
      <c r="E107" s="290">
        <v>344</v>
      </c>
      <c r="F107" s="290">
        <v>921</v>
      </c>
      <c r="G107" s="290">
        <v>686</v>
      </c>
      <c r="H107" s="290">
        <v>4632</v>
      </c>
      <c r="I107" s="290">
        <v>1128</v>
      </c>
      <c r="J107" s="290">
        <v>317</v>
      </c>
      <c r="K107" s="290">
        <v>77</v>
      </c>
      <c r="L107" s="290">
        <v>68</v>
      </c>
      <c r="M107" s="290">
        <v>646</v>
      </c>
      <c r="N107" s="290">
        <v>300</v>
      </c>
      <c r="O107" s="290">
        <v>45</v>
      </c>
      <c r="P107" s="624">
        <v>31610.634666670001</v>
      </c>
      <c r="Q107" s="624">
        <v>17839.508666670001</v>
      </c>
      <c r="R107" s="624">
        <v>67</v>
      </c>
      <c r="S107" s="290">
        <v>111</v>
      </c>
      <c r="T107" s="290">
        <v>723</v>
      </c>
      <c r="U107" s="958">
        <v>5.9511298775717517E-3</v>
      </c>
      <c r="V107" s="290">
        <v>3927.6168990299998</v>
      </c>
      <c r="W107" s="765">
        <v>0.59848632000000002</v>
      </c>
      <c r="X107" s="290">
        <v>600</v>
      </c>
      <c r="Y107" s="290"/>
      <c r="Z107" s="290">
        <f>innut22!E113</f>
        <v>270166.81185311184</v>
      </c>
      <c r="AA107" s="290">
        <v>0</v>
      </c>
      <c r="AB107" s="290">
        <v>282</v>
      </c>
      <c r="AC107" s="290">
        <v>1053</v>
      </c>
      <c r="AD107" s="290"/>
      <c r="AE107" s="290">
        <v>0</v>
      </c>
      <c r="AF107" s="290">
        <v>0</v>
      </c>
      <c r="AG107" s="290">
        <v>8255</v>
      </c>
      <c r="AH107" s="290">
        <v>1409</v>
      </c>
      <c r="AI107" s="290">
        <v>200</v>
      </c>
      <c r="AJ107" s="290">
        <v>0</v>
      </c>
      <c r="AK107" s="290">
        <v>0</v>
      </c>
      <c r="AL107" s="290">
        <v>0</v>
      </c>
      <c r="AM107" s="957">
        <v>0.18144774</v>
      </c>
      <c r="AN107" s="290">
        <v>0</v>
      </c>
      <c r="AO107" s="290">
        <v>1698.8201367700001</v>
      </c>
      <c r="AP107" s="290">
        <v>0</v>
      </c>
      <c r="AQ107" s="290">
        <v>0</v>
      </c>
      <c r="AR107" s="290">
        <v>6819.0867814900002</v>
      </c>
      <c r="AS107" s="290">
        <v>3223</v>
      </c>
      <c r="AT107" s="290">
        <v>450</v>
      </c>
      <c r="AU107" s="290">
        <v>77</v>
      </c>
      <c r="AV107" s="766">
        <v>259401</v>
      </c>
      <c r="AW107" s="290"/>
      <c r="AX107" s="766">
        <v>29.791650000000001</v>
      </c>
      <c r="AY107" s="290">
        <v>1298</v>
      </c>
      <c r="AZ107" s="290">
        <v>354</v>
      </c>
      <c r="BA107" s="290">
        <v>146</v>
      </c>
      <c r="BB107" s="290">
        <v>0</v>
      </c>
      <c r="BC107" s="290">
        <v>13935</v>
      </c>
      <c r="BD107" s="290"/>
      <c r="BE107" s="290">
        <v>250813.58618925</v>
      </c>
      <c r="BF107" s="290">
        <v>0</v>
      </c>
      <c r="BG107" s="290">
        <v>7507.2392710408885</v>
      </c>
      <c r="BH107" s="290">
        <v>404.47166684791728</v>
      </c>
      <c r="BI107" s="290">
        <v>2462</v>
      </c>
      <c r="BJ107" s="290"/>
      <c r="BK107" s="290"/>
      <c r="BL107" s="290"/>
      <c r="BM107" s="290">
        <v>0</v>
      </c>
      <c r="BN107" s="290">
        <v>3232.4430400000001</v>
      </c>
      <c r="BO107" s="290">
        <v>-3846.4472655074906</v>
      </c>
      <c r="BP107" s="290">
        <v>420.34899999999999</v>
      </c>
      <c r="BQ107" s="290">
        <v>-225.43</v>
      </c>
      <c r="BR107" s="290">
        <v>-144.37189453226466</v>
      </c>
      <c r="BS107" s="290">
        <v>1.5740000000000001</v>
      </c>
      <c r="BT107" s="290"/>
      <c r="BU107" s="290">
        <v>0</v>
      </c>
      <c r="BV107" s="290">
        <v>2000</v>
      </c>
      <c r="BW107" s="290">
        <v>-1896</v>
      </c>
      <c r="BX107" s="290">
        <v>923</v>
      </c>
      <c r="BY107" s="290">
        <v>290</v>
      </c>
      <c r="BZ107" s="290">
        <v>-1441</v>
      </c>
      <c r="CA107" s="290">
        <v>-4.1168799602448871</v>
      </c>
      <c r="CB107" s="290">
        <v>466</v>
      </c>
      <c r="CC107" s="290">
        <v>1073</v>
      </c>
      <c r="CD107" s="290">
        <v>17</v>
      </c>
      <c r="CE107" s="290">
        <v>306</v>
      </c>
      <c r="CF107" s="290">
        <v>13</v>
      </c>
      <c r="CG107" s="290">
        <v>2</v>
      </c>
      <c r="CH107" s="290">
        <v>-8</v>
      </c>
      <c r="CI107" s="290">
        <v>-3702</v>
      </c>
      <c r="CJ107" s="290">
        <v>-9909</v>
      </c>
      <c r="CK107" s="290">
        <f>+innut22!E113+innut22!S113</f>
        <v>270166.81185311184</v>
      </c>
      <c r="CL107" s="290">
        <v>0</v>
      </c>
      <c r="CM107" s="290">
        <v>0</v>
      </c>
      <c r="CN107" s="290">
        <v>0</v>
      </c>
      <c r="CP107" s="290">
        <f>+innut23!E113</f>
        <v>251818.85761779308</v>
      </c>
      <c r="CQ107" s="290"/>
      <c r="CV107" s="85">
        <f t="shared" si="2"/>
        <v>1.528</v>
      </c>
    </row>
    <row r="108" spans="1:100" ht="13">
      <c r="A108" s="1">
        <v>3017</v>
      </c>
      <c r="B108" s="2" t="s">
        <v>797</v>
      </c>
      <c r="C108" s="289">
        <v>7633</v>
      </c>
      <c r="D108" s="290">
        <v>137</v>
      </c>
      <c r="E108" s="290">
        <v>319</v>
      </c>
      <c r="F108" s="290">
        <v>876</v>
      </c>
      <c r="G108" s="290">
        <v>597</v>
      </c>
      <c r="H108" s="290">
        <v>4215</v>
      </c>
      <c r="I108" s="290">
        <v>1030</v>
      </c>
      <c r="J108" s="290">
        <v>331</v>
      </c>
      <c r="K108" s="290">
        <v>88</v>
      </c>
      <c r="L108" s="290">
        <v>54</v>
      </c>
      <c r="M108" s="290">
        <v>551</v>
      </c>
      <c r="N108" s="290">
        <v>123</v>
      </c>
      <c r="O108" s="290">
        <v>75</v>
      </c>
      <c r="P108" s="624">
        <v>26690.796333329999</v>
      </c>
      <c r="Q108" s="624">
        <v>13574.597</v>
      </c>
      <c r="R108" s="624">
        <v>30</v>
      </c>
      <c r="S108" s="290">
        <v>82</v>
      </c>
      <c r="T108" s="290">
        <v>506</v>
      </c>
      <c r="U108" s="958">
        <v>2.3878370852583948E-3</v>
      </c>
      <c r="V108" s="290">
        <v>1031.4238177</v>
      </c>
      <c r="W108" s="765">
        <v>0.58056733999999999</v>
      </c>
      <c r="X108" s="290">
        <v>600</v>
      </c>
      <c r="Y108" s="290"/>
      <c r="Z108" s="290">
        <f>innut22!E114</f>
        <v>266408.42390147911</v>
      </c>
      <c r="AA108" s="290">
        <v>0</v>
      </c>
      <c r="AB108" s="290">
        <v>180</v>
      </c>
      <c r="AC108" s="290">
        <v>2424</v>
      </c>
      <c r="AD108" s="290"/>
      <c r="AE108" s="290">
        <v>0</v>
      </c>
      <c r="AF108" s="290">
        <v>0</v>
      </c>
      <c r="AG108" s="290">
        <v>7593</v>
      </c>
      <c r="AH108" s="290">
        <v>1295</v>
      </c>
      <c r="AI108" s="290">
        <v>200</v>
      </c>
      <c r="AJ108" s="290">
        <v>0</v>
      </c>
      <c r="AK108" s="290">
        <v>0</v>
      </c>
      <c r="AL108" s="290">
        <v>0</v>
      </c>
      <c r="AM108" s="957">
        <v>0.20586289999999999</v>
      </c>
      <c r="AN108" s="290">
        <v>0</v>
      </c>
      <c r="AO108" s="290">
        <v>1508.87096262</v>
      </c>
      <c r="AP108" s="290">
        <v>0</v>
      </c>
      <c r="AQ108" s="290">
        <v>0</v>
      </c>
      <c r="AR108" s="290">
        <v>-366.29119630999998</v>
      </c>
      <c r="AS108" s="290">
        <v>2789</v>
      </c>
      <c r="AT108" s="290">
        <v>414</v>
      </c>
      <c r="AU108" s="290">
        <v>89</v>
      </c>
      <c r="AV108" s="766">
        <v>208081</v>
      </c>
      <c r="AW108" s="290"/>
      <c r="AX108" s="766">
        <v>62.166699999999999</v>
      </c>
      <c r="AY108" s="290">
        <v>1598</v>
      </c>
      <c r="AZ108" s="290">
        <v>320</v>
      </c>
      <c r="BA108" s="290">
        <v>150</v>
      </c>
      <c r="BB108" s="290">
        <v>0</v>
      </c>
      <c r="BC108" s="290">
        <v>12872</v>
      </c>
      <c r="BD108" s="290"/>
      <c r="BE108" s="290">
        <v>213314.35554086001</v>
      </c>
      <c r="BF108" s="290">
        <v>0</v>
      </c>
      <c r="BG108" s="290">
        <v>6893.9794701461869</v>
      </c>
      <c r="BH108" s="290">
        <v>371.43073063644766</v>
      </c>
      <c r="BI108" s="290">
        <v>3719</v>
      </c>
      <c r="BJ108" s="290"/>
      <c r="BK108" s="290"/>
      <c r="BL108" s="290"/>
      <c r="BM108" s="290">
        <v>0</v>
      </c>
      <c r="BN108" s="290">
        <v>2871.0157999999997</v>
      </c>
      <c r="BO108" s="290">
        <v>-3537.9859584492278</v>
      </c>
      <c r="BP108" s="290">
        <v>428.42099999999999</v>
      </c>
      <c r="BQ108" s="290">
        <v>-229.75899999999999</v>
      </c>
      <c r="BR108" s="290">
        <v>-138.66343222218936</v>
      </c>
      <c r="BS108" s="290">
        <v>1.454</v>
      </c>
      <c r="BT108" s="290"/>
      <c r="BU108" s="290">
        <v>0</v>
      </c>
      <c r="BV108" s="290">
        <v>1500</v>
      </c>
      <c r="BW108" s="290">
        <v>-1744</v>
      </c>
      <c r="BX108" s="290">
        <v>884</v>
      </c>
      <c r="BY108" s="290">
        <v>214</v>
      </c>
      <c r="BZ108" s="290">
        <v>-1325</v>
      </c>
      <c r="CA108" s="290">
        <v>-9.4824093285824347</v>
      </c>
      <c r="CB108" s="290">
        <v>343</v>
      </c>
      <c r="CC108" s="290">
        <v>987</v>
      </c>
      <c r="CD108" s="290">
        <v>13</v>
      </c>
      <c r="CE108" s="290">
        <v>281</v>
      </c>
      <c r="CF108" s="290">
        <v>12</v>
      </c>
      <c r="CG108" s="290">
        <v>1</v>
      </c>
      <c r="CH108" s="290">
        <v>-8</v>
      </c>
      <c r="CI108" s="290">
        <v>-3400</v>
      </c>
      <c r="CJ108" s="290">
        <v>-9161</v>
      </c>
      <c r="CK108" s="290">
        <f>+innut22!E114+innut22!S114</f>
        <v>266408.42390147911</v>
      </c>
      <c r="CL108" s="290">
        <v>0</v>
      </c>
      <c r="CM108" s="290">
        <v>0</v>
      </c>
      <c r="CN108" s="290">
        <v>0</v>
      </c>
      <c r="CP108" s="290">
        <f>+innut23!E114</f>
        <v>249652.99187329999</v>
      </c>
      <c r="CQ108" s="290"/>
      <c r="CV108" s="85">
        <f t="shared" si="2"/>
        <v>1.4059999999999999</v>
      </c>
    </row>
    <row r="109" spans="1:100" ht="13">
      <c r="A109" s="1">
        <v>3018</v>
      </c>
      <c r="B109" s="2" t="s">
        <v>799</v>
      </c>
      <c r="C109" s="289">
        <v>5913</v>
      </c>
      <c r="D109" s="290">
        <v>145</v>
      </c>
      <c r="E109" s="290">
        <v>332</v>
      </c>
      <c r="F109" s="290">
        <v>824</v>
      </c>
      <c r="G109" s="290">
        <v>389</v>
      </c>
      <c r="H109" s="290">
        <v>3441</v>
      </c>
      <c r="I109" s="290">
        <v>582</v>
      </c>
      <c r="J109" s="290">
        <v>159</v>
      </c>
      <c r="K109" s="290">
        <v>18</v>
      </c>
      <c r="L109" s="290">
        <v>46</v>
      </c>
      <c r="M109" s="290">
        <v>293</v>
      </c>
      <c r="N109" s="290">
        <v>85</v>
      </c>
      <c r="O109" s="290">
        <v>59</v>
      </c>
      <c r="P109" s="624">
        <v>40702.250999999997</v>
      </c>
      <c r="Q109" s="624">
        <v>16694.62133333</v>
      </c>
      <c r="R109" s="624">
        <v>14</v>
      </c>
      <c r="S109" s="290">
        <v>60</v>
      </c>
      <c r="T109" s="290">
        <v>397</v>
      </c>
      <c r="U109" s="958">
        <v>2.2302507274660254E-3</v>
      </c>
      <c r="V109" s="290">
        <v>-392.22654884000002</v>
      </c>
      <c r="W109" s="765">
        <v>0.64463598</v>
      </c>
      <c r="X109" s="290">
        <v>500</v>
      </c>
      <c r="Y109" s="290"/>
      <c r="Z109" s="290">
        <f>innut22!E115</f>
        <v>195430.50062069052</v>
      </c>
      <c r="AA109" s="290">
        <v>0</v>
      </c>
      <c r="AB109" s="290">
        <v>143</v>
      </c>
      <c r="AC109" s="290">
        <v>194</v>
      </c>
      <c r="AD109" s="290"/>
      <c r="AE109" s="290">
        <v>2150</v>
      </c>
      <c r="AF109" s="290">
        <v>0</v>
      </c>
      <c r="AG109" s="290">
        <v>5890</v>
      </c>
      <c r="AH109" s="290">
        <v>1180</v>
      </c>
      <c r="AI109" s="290">
        <v>2200</v>
      </c>
      <c r="AJ109" s="290">
        <v>0</v>
      </c>
      <c r="AK109" s="290">
        <v>0</v>
      </c>
      <c r="AL109" s="290">
        <v>0</v>
      </c>
      <c r="AM109" s="957">
        <v>0.11190686</v>
      </c>
      <c r="AN109" s="290">
        <v>0</v>
      </c>
      <c r="AO109" s="290">
        <v>1171.1352576199999</v>
      </c>
      <c r="AP109" s="290">
        <v>0</v>
      </c>
      <c r="AQ109" s="290">
        <v>0</v>
      </c>
      <c r="AR109" s="290">
        <v>-284.13738261999998</v>
      </c>
      <c r="AS109" s="290">
        <v>1470</v>
      </c>
      <c r="AT109" s="290">
        <v>364</v>
      </c>
      <c r="AU109" s="290">
        <v>56</v>
      </c>
      <c r="AV109" s="766">
        <v>162519</v>
      </c>
      <c r="AW109" s="290"/>
      <c r="AX109" s="766">
        <v>53.25</v>
      </c>
      <c r="AY109" s="290">
        <v>1102</v>
      </c>
      <c r="AZ109" s="290">
        <v>185</v>
      </c>
      <c r="BA109" s="290">
        <v>118</v>
      </c>
      <c r="BB109" s="290">
        <v>0</v>
      </c>
      <c r="BC109" s="290">
        <v>10487</v>
      </c>
      <c r="BD109" s="290"/>
      <c r="BE109" s="290">
        <v>165159.51497789999</v>
      </c>
      <c r="BF109" s="290">
        <v>0</v>
      </c>
      <c r="BG109" s="290">
        <v>5340.5083986603431</v>
      </c>
      <c r="BH109" s="290">
        <v>287.73351372374094</v>
      </c>
      <c r="BI109" s="290">
        <v>1374</v>
      </c>
      <c r="BJ109" s="290"/>
      <c r="BK109" s="290"/>
      <c r="BL109" s="290"/>
      <c r="BM109" s="290">
        <v>0</v>
      </c>
      <c r="BN109" s="290">
        <v>2228.3866000000003</v>
      </c>
      <c r="BO109" s="290">
        <v>-2744.4669162736668</v>
      </c>
      <c r="BP109" s="290">
        <v>422.733</v>
      </c>
      <c r="BQ109" s="290">
        <v>-226.708</v>
      </c>
      <c r="BR109" s="290">
        <v>-131.43416730384908</v>
      </c>
      <c r="BS109" s="290">
        <v>1.1339999999999999</v>
      </c>
      <c r="BT109" s="290"/>
      <c r="BU109" s="290">
        <v>0</v>
      </c>
      <c r="BV109" s="290">
        <v>2000</v>
      </c>
      <c r="BW109" s="290">
        <v>-1353</v>
      </c>
      <c r="BX109" s="290">
        <v>843</v>
      </c>
      <c r="BY109" s="290">
        <v>158</v>
      </c>
      <c r="BZ109" s="290">
        <v>-1028</v>
      </c>
      <c r="CA109" s="290">
        <v>2077.3554835775158</v>
      </c>
      <c r="CB109" s="290">
        <v>253</v>
      </c>
      <c r="CC109" s="290">
        <v>766</v>
      </c>
      <c r="CD109" s="290">
        <v>9</v>
      </c>
      <c r="CE109" s="290">
        <v>218</v>
      </c>
      <c r="CF109" s="290">
        <v>9</v>
      </c>
      <c r="CG109" s="290">
        <v>1</v>
      </c>
      <c r="CH109" s="290">
        <v>-6</v>
      </c>
      <c r="CI109" s="290">
        <v>-2634</v>
      </c>
      <c r="CJ109" s="290">
        <v>-6909</v>
      </c>
      <c r="CK109" s="290">
        <f>+innut22!E115+innut22!S115</f>
        <v>195430.50062069052</v>
      </c>
      <c r="CL109" s="290">
        <v>0</v>
      </c>
      <c r="CM109" s="290">
        <v>0</v>
      </c>
      <c r="CN109" s="290">
        <v>0</v>
      </c>
      <c r="CP109" s="290">
        <f>+innut23!E115</f>
        <v>188766.33267704074</v>
      </c>
      <c r="CQ109" s="290"/>
      <c r="CV109" s="85">
        <f t="shared" si="2"/>
        <v>1.0900000000000001</v>
      </c>
    </row>
    <row r="110" spans="1:100" ht="13">
      <c r="A110" s="1">
        <v>3019</v>
      </c>
      <c r="B110" s="2" t="s">
        <v>801</v>
      </c>
      <c r="C110" s="289">
        <v>18699</v>
      </c>
      <c r="D110" s="290">
        <v>388</v>
      </c>
      <c r="E110" s="290">
        <v>899</v>
      </c>
      <c r="F110" s="290">
        <v>2582</v>
      </c>
      <c r="G110" s="290">
        <v>1500</v>
      </c>
      <c r="H110" s="290">
        <v>10262</v>
      </c>
      <c r="I110" s="290">
        <v>2287</v>
      </c>
      <c r="J110" s="290">
        <v>512</v>
      </c>
      <c r="K110" s="290">
        <v>96</v>
      </c>
      <c r="L110" s="290">
        <v>121</v>
      </c>
      <c r="M110" s="290">
        <v>1052</v>
      </c>
      <c r="N110" s="290">
        <v>591</v>
      </c>
      <c r="O110" s="290">
        <v>141</v>
      </c>
      <c r="P110" s="624">
        <v>56475.129333329998</v>
      </c>
      <c r="Q110" s="624">
        <v>21715.674999999999</v>
      </c>
      <c r="R110" s="624">
        <v>42</v>
      </c>
      <c r="S110" s="290">
        <v>214</v>
      </c>
      <c r="T110" s="290">
        <v>1303</v>
      </c>
      <c r="U110" s="958">
        <v>1.7983425451130863E-3</v>
      </c>
      <c r="V110" s="290">
        <v>3051.51608205</v>
      </c>
      <c r="W110" s="765">
        <v>0.55698665000000003</v>
      </c>
      <c r="X110" s="290">
        <v>1500</v>
      </c>
      <c r="Y110" s="290"/>
      <c r="Z110" s="290">
        <f>innut22!E116</f>
        <v>723589.91785368556</v>
      </c>
      <c r="AA110" s="290">
        <v>0</v>
      </c>
      <c r="AB110" s="290">
        <v>362</v>
      </c>
      <c r="AC110" s="290">
        <v>1026</v>
      </c>
      <c r="AD110" s="290"/>
      <c r="AE110" s="290">
        <v>1250</v>
      </c>
      <c r="AF110" s="290">
        <v>0</v>
      </c>
      <c r="AG110" s="290">
        <v>18526</v>
      </c>
      <c r="AH110" s="290">
        <v>3705</v>
      </c>
      <c r="AI110" s="290">
        <v>200</v>
      </c>
      <c r="AJ110" s="290">
        <v>0</v>
      </c>
      <c r="AK110" s="290">
        <v>0</v>
      </c>
      <c r="AL110" s="290">
        <v>0</v>
      </c>
      <c r="AM110" s="957">
        <v>0.45481946000000001</v>
      </c>
      <c r="AN110" s="290">
        <v>0</v>
      </c>
      <c r="AO110" s="290">
        <v>3509.70818293</v>
      </c>
      <c r="AP110" s="290">
        <v>0</v>
      </c>
      <c r="AQ110" s="290">
        <v>0</v>
      </c>
      <c r="AR110" s="290">
        <v>-893.70613761000004</v>
      </c>
      <c r="AS110" s="290">
        <v>3039</v>
      </c>
      <c r="AT110" s="290">
        <v>1084</v>
      </c>
      <c r="AU110" s="290">
        <v>157</v>
      </c>
      <c r="AV110" s="766">
        <v>461515</v>
      </c>
      <c r="AW110" s="290"/>
      <c r="AX110" s="766">
        <v>136.41665</v>
      </c>
      <c r="AY110" s="290">
        <v>4839</v>
      </c>
      <c r="AZ110" s="290">
        <v>894</v>
      </c>
      <c r="BA110" s="290">
        <v>377</v>
      </c>
      <c r="BB110" s="290">
        <v>0</v>
      </c>
      <c r="BC110" s="290">
        <v>30528</v>
      </c>
      <c r="BD110" s="290"/>
      <c r="BE110" s="290">
        <v>465797.30583313003</v>
      </c>
      <c r="BF110" s="290">
        <v>0</v>
      </c>
      <c r="BG110" s="290">
        <v>16888.578817275455</v>
      </c>
      <c r="BH110" s="290">
        <v>909.91526688994293</v>
      </c>
      <c r="BI110" s="290">
        <v>4731</v>
      </c>
      <c r="BJ110" s="290"/>
      <c r="BK110" s="290"/>
      <c r="BL110" s="290"/>
      <c r="BM110" s="290">
        <v>0</v>
      </c>
      <c r="BN110" s="290">
        <v>6678.1241600000003</v>
      </c>
      <c r="BO110" s="290">
        <v>-8632.2570612709587</v>
      </c>
      <c r="BP110" s="290">
        <v>1182.713</v>
      </c>
      <c r="BQ110" s="290">
        <v>-634.28</v>
      </c>
      <c r="BR110" s="290">
        <v>-389.5489561784338</v>
      </c>
      <c r="BS110" s="290">
        <v>3.2610000000000001</v>
      </c>
      <c r="BT110" s="290"/>
      <c r="BU110" s="290">
        <v>0</v>
      </c>
      <c r="BV110" s="290">
        <v>3500</v>
      </c>
      <c r="BW110" s="290">
        <v>-4254</v>
      </c>
      <c r="BX110" s="290">
        <v>2510</v>
      </c>
      <c r="BY110" s="290">
        <v>557</v>
      </c>
      <c r="BZ110" s="290">
        <v>-3234</v>
      </c>
      <c r="CA110" s="290">
        <v>-4.0121425506076775</v>
      </c>
      <c r="CB110" s="290">
        <v>893</v>
      </c>
      <c r="CC110" s="290">
        <v>2409</v>
      </c>
      <c r="CD110" s="290">
        <v>33</v>
      </c>
      <c r="CE110" s="290">
        <v>689</v>
      </c>
      <c r="CF110" s="290">
        <v>27</v>
      </c>
      <c r="CG110" s="290">
        <v>4</v>
      </c>
      <c r="CH110" s="290">
        <v>-17</v>
      </c>
      <c r="CI110" s="290">
        <v>-8328</v>
      </c>
      <c r="CJ110" s="290">
        <v>-20430</v>
      </c>
      <c r="CK110" s="290">
        <f>+innut22!E116+innut22!S116</f>
        <v>723589.91785368556</v>
      </c>
      <c r="CL110" s="290">
        <v>0</v>
      </c>
      <c r="CM110" s="290">
        <v>0</v>
      </c>
      <c r="CN110" s="290">
        <v>0</v>
      </c>
      <c r="CP110" s="290">
        <f>+innut23!E116</f>
        <v>679316.539128487</v>
      </c>
      <c r="CQ110" s="290"/>
      <c r="CV110" s="85">
        <f t="shared" si="2"/>
        <v>3.43</v>
      </c>
    </row>
    <row r="111" spans="1:100" ht="13">
      <c r="A111" s="1">
        <v>3020</v>
      </c>
      <c r="B111" s="2" t="s">
        <v>1621</v>
      </c>
      <c r="C111" s="289">
        <v>61032</v>
      </c>
      <c r="D111" s="290">
        <v>1223</v>
      </c>
      <c r="E111" s="290">
        <v>2846</v>
      </c>
      <c r="F111" s="290">
        <v>8361</v>
      </c>
      <c r="G111" s="290">
        <v>5343</v>
      </c>
      <c r="H111" s="290">
        <v>33571</v>
      </c>
      <c r="I111" s="290">
        <v>6591</v>
      </c>
      <c r="J111" s="290">
        <v>2169</v>
      </c>
      <c r="K111" s="290">
        <v>485</v>
      </c>
      <c r="L111" s="290">
        <v>399</v>
      </c>
      <c r="M111" s="290">
        <v>3674</v>
      </c>
      <c r="N111" s="290">
        <v>2179</v>
      </c>
      <c r="O111" s="290">
        <v>501</v>
      </c>
      <c r="P111" s="624">
        <v>103949.91566667</v>
      </c>
      <c r="Q111" s="624">
        <v>65478.135999999999</v>
      </c>
      <c r="R111" s="624">
        <v>168</v>
      </c>
      <c r="S111" s="290">
        <v>676</v>
      </c>
      <c r="T111" s="290">
        <v>4148</v>
      </c>
      <c r="U111" s="958">
        <v>1.9475706812567349E-3</v>
      </c>
      <c r="V111" s="290">
        <v>19898.740012009999</v>
      </c>
      <c r="W111" s="765">
        <v>0.53943733000000005</v>
      </c>
      <c r="X111" s="290">
        <v>0</v>
      </c>
      <c r="Y111" s="290"/>
      <c r="Z111" s="290">
        <f>innut22!E117</f>
        <v>2751233.3258229089</v>
      </c>
      <c r="AA111" s="290">
        <v>0</v>
      </c>
      <c r="AB111" s="290">
        <v>905</v>
      </c>
      <c r="AC111" s="290">
        <v>8713</v>
      </c>
      <c r="AD111" s="290"/>
      <c r="AE111" s="290">
        <v>0</v>
      </c>
      <c r="AF111" s="290">
        <v>15488</v>
      </c>
      <c r="AG111" s="290">
        <v>60589</v>
      </c>
      <c r="AH111" s="290">
        <v>12080</v>
      </c>
      <c r="AI111" s="290">
        <v>700</v>
      </c>
      <c r="AJ111" s="290">
        <v>0</v>
      </c>
      <c r="AK111" s="290">
        <v>0</v>
      </c>
      <c r="AL111" s="290">
        <v>0</v>
      </c>
      <c r="AM111" s="957">
        <v>1.2681294400000001</v>
      </c>
      <c r="AN111" s="290">
        <v>0</v>
      </c>
      <c r="AO111" s="290">
        <v>11672.640012559999</v>
      </c>
      <c r="AP111" s="290">
        <v>0</v>
      </c>
      <c r="AQ111" s="290">
        <v>0</v>
      </c>
      <c r="AR111" s="290">
        <v>-2922.8522709399999</v>
      </c>
      <c r="AS111" s="290">
        <v>24322</v>
      </c>
      <c r="AT111" s="290">
        <v>3109</v>
      </c>
      <c r="AU111" s="290">
        <v>551</v>
      </c>
      <c r="AV111" s="766">
        <v>1586703</v>
      </c>
      <c r="AW111" s="290"/>
      <c r="AX111" s="766">
        <v>487.20835</v>
      </c>
      <c r="AY111" s="290">
        <v>19305</v>
      </c>
      <c r="AZ111" s="290">
        <v>2668</v>
      </c>
      <c r="BA111" s="290">
        <v>1092</v>
      </c>
      <c r="BB111" s="290">
        <v>0</v>
      </c>
      <c r="BC111" s="290">
        <v>128706</v>
      </c>
      <c r="BD111" s="290"/>
      <c r="BE111" s="290">
        <v>1611616.3934652</v>
      </c>
      <c r="BF111" s="290">
        <v>0</v>
      </c>
      <c r="BG111" s="290">
        <v>55122.933973793006</v>
      </c>
      <c r="BH111" s="290">
        <v>2969.8886875676235</v>
      </c>
      <c r="BI111" s="290">
        <v>36281</v>
      </c>
      <c r="BJ111" s="290"/>
      <c r="BK111" s="290"/>
      <c r="BL111" s="290"/>
      <c r="BM111" s="290">
        <v>7546</v>
      </c>
      <c r="BN111" s="290">
        <v>22210.205280000002</v>
      </c>
      <c r="BO111" s="290">
        <v>-28231.664854007675</v>
      </c>
      <c r="BP111" s="290">
        <v>3886.6640000000002</v>
      </c>
      <c r="BQ111" s="290">
        <v>-2084.3890000000001</v>
      </c>
      <c r="BR111" s="290">
        <v>-1255.0756526957828</v>
      </c>
      <c r="BS111" s="290">
        <v>10.339</v>
      </c>
      <c r="BT111" s="290"/>
      <c r="BU111" s="290">
        <v>0</v>
      </c>
      <c r="BV111" s="290">
        <v>11500</v>
      </c>
      <c r="BW111" s="290">
        <v>-13914</v>
      </c>
      <c r="BX111" s="290">
        <v>8059</v>
      </c>
      <c r="BY111" s="290">
        <v>1764</v>
      </c>
      <c r="BZ111" s="290">
        <v>-10576</v>
      </c>
      <c r="CA111" s="290">
        <v>-34.078773296543659</v>
      </c>
      <c r="CB111" s="290">
        <v>2830</v>
      </c>
      <c r="CC111" s="290">
        <v>7879</v>
      </c>
      <c r="CD111" s="290">
        <v>104</v>
      </c>
      <c r="CE111" s="290">
        <v>2250</v>
      </c>
      <c r="CF111" s="290">
        <v>84</v>
      </c>
      <c r="CG111" s="290">
        <v>13</v>
      </c>
      <c r="CH111" s="290">
        <v>-55</v>
      </c>
      <c r="CI111" s="290">
        <v>-27183</v>
      </c>
      <c r="CJ111" s="290">
        <v>-76311</v>
      </c>
      <c r="CK111" s="290">
        <f>+innut22!E117+innut22!S117</f>
        <v>2751233.3258229089</v>
      </c>
      <c r="CL111" s="290">
        <v>0</v>
      </c>
      <c r="CM111" s="290">
        <v>0</v>
      </c>
      <c r="CN111" s="290">
        <v>0</v>
      </c>
      <c r="CP111" s="290">
        <f>+innut23!E117</f>
        <v>2548320.6235703048</v>
      </c>
      <c r="CQ111" s="290"/>
      <c r="CV111" s="85">
        <f t="shared" si="2"/>
        <v>11.215999999999999</v>
      </c>
    </row>
    <row r="112" spans="1:100" ht="13">
      <c r="A112" s="1">
        <v>3021</v>
      </c>
      <c r="B112" s="2" t="s">
        <v>803</v>
      </c>
      <c r="C112" s="289">
        <v>20780</v>
      </c>
      <c r="D112" s="290">
        <v>423</v>
      </c>
      <c r="E112" s="290">
        <v>939</v>
      </c>
      <c r="F112" s="290">
        <v>2601</v>
      </c>
      <c r="G112" s="290">
        <v>1770</v>
      </c>
      <c r="H112" s="290">
        <v>11951</v>
      </c>
      <c r="I112" s="290">
        <v>1880</v>
      </c>
      <c r="J112" s="290">
        <v>646</v>
      </c>
      <c r="K112" s="290">
        <v>149</v>
      </c>
      <c r="L112" s="290">
        <v>128</v>
      </c>
      <c r="M112" s="290">
        <v>1039</v>
      </c>
      <c r="N112" s="290">
        <v>615</v>
      </c>
      <c r="O112" s="290">
        <v>176</v>
      </c>
      <c r="P112" s="624">
        <v>63763.905666669998</v>
      </c>
      <c r="Q112" s="624">
        <v>27903.007666670001</v>
      </c>
      <c r="R112" s="624">
        <v>49</v>
      </c>
      <c r="S112" s="290">
        <v>240</v>
      </c>
      <c r="T112" s="290">
        <v>1502</v>
      </c>
      <c r="U112" s="958">
        <v>1.8567163106055027E-3</v>
      </c>
      <c r="V112" s="290">
        <v>3512.0179894500002</v>
      </c>
      <c r="W112" s="765">
        <v>0.55247285999999995</v>
      </c>
      <c r="X112" s="290">
        <v>2000</v>
      </c>
      <c r="Y112" s="290"/>
      <c r="Z112" s="290">
        <f>innut22!E118</f>
        <v>767666.95194249391</v>
      </c>
      <c r="AA112" s="290">
        <v>0</v>
      </c>
      <c r="AB112" s="290">
        <v>272</v>
      </c>
      <c r="AC112" s="290">
        <v>1774</v>
      </c>
      <c r="AD112" s="290"/>
      <c r="AE112" s="290">
        <v>0</v>
      </c>
      <c r="AF112" s="290">
        <v>0</v>
      </c>
      <c r="AG112" s="290">
        <v>20359</v>
      </c>
      <c r="AH112" s="290">
        <v>3731</v>
      </c>
      <c r="AI112" s="290">
        <v>200</v>
      </c>
      <c r="AJ112" s="290">
        <v>0</v>
      </c>
      <c r="AK112" s="290">
        <v>0</v>
      </c>
      <c r="AL112" s="290">
        <v>0</v>
      </c>
      <c r="AM112" s="957">
        <v>0.63256067000000005</v>
      </c>
      <c r="AN112" s="290">
        <v>0</v>
      </c>
      <c r="AO112" s="290">
        <v>3785.5645423000001</v>
      </c>
      <c r="AP112" s="290">
        <v>0</v>
      </c>
      <c r="AQ112" s="290">
        <v>0</v>
      </c>
      <c r="AR112" s="290">
        <v>-982.13123478</v>
      </c>
      <c r="AS112" s="290">
        <v>4441</v>
      </c>
      <c r="AT112" s="290">
        <v>963</v>
      </c>
      <c r="AU112" s="290">
        <v>219</v>
      </c>
      <c r="AV112" s="766">
        <v>482878</v>
      </c>
      <c r="AW112" s="290"/>
      <c r="AX112" s="766">
        <v>158.58330000000001</v>
      </c>
      <c r="AY112" s="290">
        <v>7130</v>
      </c>
      <c r="AZ112" s="290">
        <v>1253</v>
      </c>
      <c r="BA112" s="290">
        <v>340</v>
      </c>
      <c r="BB112" s="290">
        <v>0</v>
      </c>
      <c r="BC112" s="290">
        <v>33248</v>
      </c>
      <c r="BD112" s="290"/>
      <c r="BE112" s="290">
        <v>489650.26036001003</v>
      </c>
      <c r="BF112" s="290">
        <v>0</v>
      </c>
      <c r="BG112" s="290">
        <v>18768.09817760222</v>
      </c>
      <c r="BH112" s="290">
        <v>1011.179167119793</v>
      </c>
      <c r="BI112" s="290">
        <v>5505</v>
      </c>
      <c r="BJ112" s="290"/>
      <c r="BK112" s="290"/>
      <c r="BL112" s="290"/>
      <c r="BM112" s="290">
        <v>0</v>
      </c>
      <c r="BN112" s="290">
        <v>7203.0119600000007</v>
      </c>
      <c r="BO112" s="290">
        <v>-9486.3500761316773</v>
      </c>
      <c r="BP112" s="290">
        <v>1298.807</v>
      </c>
      <c r="BQ112" s="290">
        <v>-696.54100000000005</v>
      </c>
      <c r="BR112" s="290">
        <v>-397.45653863644526</v>
      </c>
      <c r="BS112" s="290">
        <v>3.4660000000000002</v>
      </c>
      <c r="BT112" s="290"/>
      <c r="BU112" s="290">
        <v>0</v>
      </c>
      <c r="BV112" s="290">
        <v>4500</v>
      </c>
      <c r="BW112" s="290">
        <v>-4675</v>
      </c>
      <c r="BX112" s="290">
        <v>2551</v>
      </c>
      <c r="BY112" s="290">
        <v>627</v>
      </c>
      <c r="BZ112" s="290">
        <v>-3554</v>
      </c>
      <c r="CA112" s="290">
        <v>-6.9373452318779982</v>
      </c>
      <c r="CB112" s="290">
        <v>1006</v>
      </c>
      <c r="CC112" s="290">
        <v>2647</v>
      </c>
      <c r="CD112" s="290">
        <v>37</v>
      </c>
      <c r="CE112" s="290">
        <v>766</v>
      </c>
      <c r="CF112" s="290">
        <v>28</v>
      </c>
      <c r="CG112" s="290">
        <v>4</v>
      </c>
      <c r="CH112" s="290">
        <v>-18</v>
      </c>
      <c r="CI112" s="290">
        <v>-9255</v>
      </c>
      <c r="CJ112" s="290">
        <v>-21731</v>
      </c>
      <c r="CK112" s="290">
        <f>+innut22!E118+innut22!S118</f>
        <v>767666.95194249391</v>
      </c>
      <c r="CL112" s="290">
        <v>0</v>
      </c>
      <c r="CM112" s="290">
        <v>0</v>
      </c>
      <c r="CN112" s="290">
        <v>0</v>
      </c>
      <c r="CP112" s="290">
        <f>+innut23!E118</f>
        <v>732377.50594284071</v>
      </c>
      <c r="CQ112" s="290"/>
      <c r="CV112" s="85">
        <f t="shared" si="2"/>
        <v>3.7690000000000001</v>
      </c>
    </row>
    <row r="113" spans="1:100" ht="13">
      <c r="A113" s="1">
        <v>3022</v>
      </c>
      <c r="B113" s="2" t="s">
        <v>804</v>
      </c>
      <c r="C113" s="289">
        <v>16084</v>
      </c>
      <c r="D113" s="290">
        <v>240</v>
      </c>
      <c r="E113" s="290">
        <v>539</v>
      </c>
      <c r="F113" s="290">
        <v>1911</v>
      </c>
      <c r="G113" s="290">
        <v>1344</v>
      </c>
      <c r="H113" s="290">
        <v>8959</v>
      </c>
      <c r="I113" s="290">
        <v>2233</v>
      </c>
      <c r="J113" s="290">
        <v>650</v>
      </c>
      <c r="K113" s="290">
        <v>122</v>
      </c>
      <c r="L113" s="290">
        <v>122</v>
      </c>
      <c r="M113" s="290">
        <v>1257</v>
      </c>
      <c r="N113" s="290">
        <v>226</v>
      </c>
      <c r="O113" s="290">
        <v>104</v>
      </c>
      <c r="P113" s="624">
        <v>33333.873333329997</v>
      </c>
      <c r="Q113" s="624">
        <v>21684.600666670001</v>
      </c>
      <c r="R113" s="624">
        <v>53</v>
      </c>
      <c r="S113" s="290">
        <v>170</v>
      </c>
      <c r="T113" s="290">
        <v>1315</v>
      </c>
      <c r="U113" s="958">
        <v>8.8294083507366443E-4</v>
      </c>
      <c r="V113" s="290">
        <v>-9181.6990250899999</v>
      </c>
      <c r="W113" s="765">
        <v>0.54692790000000002</v>
      </c>
      <c r="X113" s="290">
        <v>1300</v>
      </c>
      <c r="Y113" s="290"/>
      <c r="Z113" s="290">
        <f>innut22!E119</f>
        <v>791677.43212994095</v>
      </c>
      <c r="AA113" s="290">
        <v>0</v>
      </c>
      <c r="AB113" s="290">
        <v>241</v>
      </c>
      <c r="AC113" s="290">
        <v>4033</v>
      </c>
      <c r="AD113" s="290"/>
      <c r="AE113" s="290">
        <v>0</v>
      </c>
      <c r="AF113" s="290">
        <v>0</v>
      </c>
      <c r="AG113" s="290">
        <v>15998</v>
      </c>
      <c r="AH113" s="290">
        <v>2715</v>
      </c>
      <c r="AI113" s="290">
        <v>200</v>
      </c>
      <c r="AJ113" s="290">
        <v>0</v>
      </c>
      <c r="AK113" s="290">
        <v>0</v>
      </c>
      <c r="AL113" s="290">
        <v>0</v>
      </c>
      <c r="AM113" s="957">
        <v>0.38064341000000002</v>
      </c>
      <c r="AN113" s="290">
        <v>0</v>
      </c>
      <c r="AO113" s="290">
        <v>2992.6738707099998</v>
      </c>
      <c r="AP113" s="290">
        <v>0</v>
      </c>
      <c r="AQ113" s="290">
        <v>0</v>
      </c>
      <c r="AR113" s="290">
        <v>-771.75379410000005</v>
      </c>
      <c r="AS113" s="290">
        <v>3629</v>
      </c>
      <c r="AT113" s="290">
        <v>974</v>
      </c>
      <c r="AU113" s="290">
        <v>129</v>
      </c>
      <c r="AV113" s="766">
        <v>363107</v>
      </c>
      <c r="AW113" s="290"/>
      <c r="AX113" s="766">
        <v>107.54170000000001</v>
      </c>
      <c r="AY113" s="290">
        <v>4954</v>
      </c>
      <c r="AZ113" s="290">
        <v>771</v>
      </c>
      <c r="BA113" s="290">
        <v>325</v>
      </c>
      <c r="BB113" s="290">
        <v>0</v>
      </c>
      <c r="BC113" s="290">
        <v>25963</v>
      </c>
      <c r="BD113" s="290"/>
      <c r="BE113" s="290">
        <v>380437.29617007001</v>
      </c>
      <c r="BF113" s="290">
        <v>0</v>
      </c>
      <c r="BG113" s="290">
        <v>14526.760880103664</v>
      </c>
      <c r="BH113" s="290">
        <v>782.6663004790546</v>
      </c>
      <c r="BI113" s="290">
        <v>6748</v>
      </c>
      <c r="BJ113" s="290"/>
      <c r="BK113" s="290"/>
      <c r="BL113" s="290"/>
      <c r="BM113" s="290">
        <v>0</v>
      </c>
      <c r="BN113" s="290">
        <v>5694.3331600000001</v>
      </c>
      <c r="BO113" s="290">
        <v>-7454.3262693626693</v>
      </c>
      <c r="BP113" s="290">
        <v>780.16800000000001</v>
      </c>
      <c r="BQ113" s="290">
        <v>-418.39800000000002</v>
      </c>
      <c r="BR113" s="290">
        <v>-290.88201695491819</v>
      </c>
      <c r="BS113" s="290">
        <v>2.88</v>
      </c>
      <c r="BT113" s="290"/>
      <c r="BU113" s="290">
        <v>0</v>
      </c>
      <c r="BV113" s="290">
        <v>3000</v>
      </c>
      <c r="BW113" s="290">
        <v>-3674</v>
      </c>
      <c r="BX113" s="290">
        <v>1863</v>
      </c>
      <c r="BY113" s="290">
        <v>444</v>
      </c>
      <c r="BZ113" s="290">
        <v>-2793</v>
      </c>
      <c r="CA113" s="290">
        <v>-15.774873682412817</v>
      </c>
      <c r="CB113" s="290">
        <v>713</v>
      </c>
      <c r="CC113" s="290">
        <v>2080</v>
      </c>
      <c r="CD113" s="290">
        <v>26</v>
      </c>
      <c r="CE113" s="290">
        <v>593</v>
      </c>
      <c r="CF113" s="290">
        <v>24</v>
      </c>
      <c r="CG113" s="290">
        <v>3</v>
      </c>
      <c r="CH113" s="290">
        <v>-15</v>
      </c>
      <c r="CI113" s="290">
        <v>-7164</v>
      </c>
      <c r="CJ113" s="290">
        <v>-24754</v>
      </c>
      <c r="CK113" s="290">
        <f>+innut22!E119+innut22!S119</f>
        <v>791677.43212994095</v>
      </c>
      <c r="CL113" s="290">
        <v>0</v>
      </c>
      <c r="CM113" s="290">
        <v>0</v>
      </c>
      <c r="CN113" s="290">
        <v>0</v>
      </c>
      <c r="CP113" s="290">
        <f>+innut23!E119</f>
        <v>715456.84761533409</v>
      </c>
      <c r="CQ113" s="290"/>
      <c r="CV113" s="85">
        <f t="shared" si="2"/>
        <v>2.9620000000000002</v>
      </c>
    </row>
    <row r="114" spans="1:100" ht="13">
      <c r="A114" s="1">
        <v>3023</v>
      </c>
      <c r="B114" s="4" t="s">
        <v>805</v>
      </c>
      <c r="C114" s="289">
        <v>19939</v>
      </c>
      <c r="D114" s="290">
        <v>368</v>
      </c>
      <c r="E114" s="290">
        <v>961</v>
      </c>
      <c r="F114" s="290">
        <v>2758</v>
      </c>
      <c r="G114" s="290">
        <v>1614</v>
      </c>
      <c r="H114" s="290">
        <v>11195</v>
      </c>
      <c r="I114" s="290">
        <v>2230</v>
      </c>
      <c r="J114" s="290">
        <v>610</v>
      </c>
      <c r="K114" s="290">
        <v>128</v>
      </c>
      <c r="L114" s="290">
        <v>142</v>
      </c>
      <c r="M114" s="290">
        <v>1230</v>
      </c>
      <c r="N114" s="290">
        <v>306</v>
      </c>
      <c r="O114" s="290">
        <v>113</v>
      </c>
      <c r="P114" s="624">
        <v>31746.067999999999</v>
      </c>
      <c r="Q114" s="624">
        <v>25368.79</v>
      </c>
      <c r="R114" s="624">
        <v>49</v>
      </c>
      <c r="S114" s="290">
        <v>213</v>
      </c>
      <c r="T114" s="290">
        <v>1585</v>
      </c>
      <c r="U114" s="958">
        <v>4.8755535447704866E-4</v>
      </c>
      <c r="V114" s="290">
        <v>-20076.0357735</v>
      </c>
      <c r="W114" s="765">
        <v>0.55496323000000003</v>
      </c>
      <c r="X114" s="290">
        <v>1600</v>
      </c>
      <c r="Y114" s="290"/>
      <c r="Z114" s="290">
        <f>innut22!E120</f>
        <v>845917.4357947536</v>
      </c>
      <c r="AA114" s="290">
        <v>0</v>
      </c>
      <c r="AB114" s="290">
        <v>314</v>
      </c>
      <c r="AC114" s="290">
        <v>3536</v>
      </c>
      <c r="AD114" s="290"/>
      <c r="AE114" s="290">
        <v>0</v>
      </c>
      <c r="AF114" s="290">
        <v>0</v>
      </c>
      <c r="AG114" s="290">
        <v>19864</v>
      </c>
      <c r="AH114" s="290">
        <v>3948</v>
      </c>
      <c r="AI114" s="290">
        <v>200</v>
      </c>
      <c r="AJ114" s="290">
        <v>0</v>
      </c>
      <c r="AK114" s="290">
        <v>0</v>
      </c>
      <c r="AL114" s="290">
        <v>0</v>
      </c>
      <c r="AM114" s="957">
        <v>0.48722529999999997</v>
      </c>
      <c r="AN114" s="290">
        <v>0</v>
      </c>
      <c r="AO114" s="290">
        <v>3827.1337509800001</v>
      </c>
      <c r="AP114" s="290">
        <v>0</v>
      </c>
      <c r="AQ114" s="290">
        <v>0</v>
      </c>
      <c r="AR114" s="290">
        <v>-958.25211689000002</v>
      </c>
      <c r="AS114" s="290">
        <v>8645</v>
      </c>
      <c r="AT114" s="290">
        <v>1088</v>
      </c>
      <c r="AU114" s="290">
        <v>161</v>
      </c>
      <c r="AV114" s="766">
        <v>489224</v>
      </c>
      <c r="AW114" s="290"/>
      <c r="AX114" s="766">
        <v>147.5</v>
      </c>
      <c r="AY114" s="290">
        <v>7339</v>
      </c>
      <c r="AZ114" s="290">
        <v>1091</v>
      </c>
      <c r="BA114" s="290">
        <v>435</v>
      </c>
      <c r="BB114" s="290">
        <v>0</v>
      </c>
      <c r="BC114" s="290">
        <v>37727</v>
      </c>
      <c r="BD114" s="290"/>
      <c r="BE114" s="290">
        <v>496565.87351935997</v>
      </c>
      <c r="BF114" s="290">
        <v>0</v>
      </c>
      <c r="BG114" s="290">
        <v>18008.523078114085</v>
      </c>
      <c r="BH114" s="290">
        <v>970.25512094328963</v>
      </c>
      <c r="BI114" s="290">
        <v>7484</v>
      </c>
      <c r="BJ114" s="290"/>
      <c r="BK114" s="290"/>
      <c r="BL114" s="290"/>
      <c r="BM114" s="290">
        <v>0</v>
      </c>
      <c r="BN114" s="290">
        <v>7282.10808</v>
      </c>
      <c r="BO114" s="290">
        <v>-9255.7030262920398</v>
      </c>
      <c r="BP114" s="290">
        <v>1317.759</v>
      </c>
      <c r="BQ114" s="290">
        <v>-706.70500000000004</v>
      </c>
      <c r="BR114" s="290">
        <v>-414.05378036069953</v>
      </c>
      <c r="BS114" s="290">
        <v>3.4249999999999998</v>
      </c>
      <c r="BT114" s="290"/>
      <c r="BU114" s="290">
        <v>0</v>
      </c>
      <c r="BV114" s="290">
        <v>4500</v>
      </c>
      <c r="BW114" s="290">
        <v>-4562</v>
      </c>
      <c r="BX114" s="290">
        <v>2654</v>
      </c>
      <c r="BY114" s="290">
        <v>555</v>
      </c>
      <c r="BZ114" s="290">
        <v>-3467</v>
      </c>
      <c r="CA114" s="290">
        <v>-13.830273347260572</v>
      </c>
      <c r="CB114" s="290">
        <v>891</v>
      </c>
      <c r="CC114" s="290">
        <v>2583</v>
      </c>
      <c r="CD114" s="290">
        <v>33</v>
      </c>
      <c r="CE114" s="290">
        <v>735</v>
      </c>
      <c r="CF114" s="290">
        <v>28</v>
      </c>
      <c r="CG114" s="290">
        <v>4</v>
      </c>
      <c r="CH114" s="290">
        <v>-18</v>
      </c>
      <c r="CI114" s="290">
        <v>-8881</v>
      </c>
      <c r="CJ114" s="290">
        <v>-26321</v>
      </c>
      <c r="CK114" s="290">
        <f>+innut22!E120+innut22!S120</f>
        <v>845917.4357947536</v>
      </c>
      <c r="CL114" s="290">
        <v>0</v>
      </c>
      <c r="CM114" s="290">
        <v>0</v>
      </c>
      <c r="CN114" s="290">
        <v>0</v>
      </c>
      <c r="CP114" s="290">
        <f>+innut23!E120</f>
        <v>771410.02339219418</v>
      </c>
      <c r="CQ114" s="290"/>
      <c r="CV114" s="85">
        <f t="shared" si="2"/>
        <v>3.677</v>
      </c>
    </row>
    <row r="115" spans="1:100" ht="13">
      <c r="A115" s="1">
        <v>3024</v>
      </c>
      <c r="B115" s="2" t="s">
        <v>807</v>
      </c>
      <c r="C115" s="289">
        <v>128982</v>
      </c>
      <c r="D115" s="290">
        <v>2757</v>
      </c>
      <c r="E115" s="290">
        <v>6352</v>
      </c>
      <c r="F115" s="290">
        <v>17169</v>
      </c>
      <c r="G115" s="290">
        <v>10828</v>
      </c>
      <c r="H115" s="290">
        <v>72107</v>
      </c>
      <c r="I115" s="290">
        <v>13451</v>
      </c>
      <c r="J115" s="290">
        <v>4701</v>
      </c>
      <c r="K115" s="290">
        <v>1466</v>
      </c>
      <c r="L115" s="290">
        <v>808</v>
      </c>
      <c r="M115" s="290">
        <v>8386</v>
      </c>
      <c r="N115" s="290">
        <v>4133</v>
      </c>
      <c r="O115" s="290">
        <v>1210</v>
      </c>
      <c r="P115" s="624">
        <v>269480.64633333002</v>
      </c>
      <c r="Q115" s="624">
        <v>109275.32733333</v>
      </c>
      <c r="R115" s="624">
        <v>361</v>
      </c>
      <c r="S115" s="290">
        <v>1422</v>
      </c>
      <c r="T115" s="290">
        <v>9838</v>
      </c>
      <c r="U115" s="958">
        <v>1.0483461919635316E-3</v>
      </c>
      <c r="V115" s="290">
        <v>-11632.447852200001</v>
      </c>
      <c r="W115" s="765">
        <v>0.52731623999999999</v>
      </c>
      <c r="X115" s="290">
        <v>0</v>
      </c>
      <c r="Y115" s="290"/>
      <c r="Z115" s="290">
        <f>innut22!E121</f>
        <v>8917399.4717350807</v>
      </c>
      <c r="AA115" s="290">
        <v>0</v>
      </c>
      <c r="AB115" s="290">
        <v>1388</v>
      </c>
      <c r="AC115" s="290">
        <v>7685</v>
      </c>
      <c r="AD115" s="290"/>
      <c r="AE115" s="290">
        <v>0</v>
      </c>
      <c r="AF115" s="290">
        <v>0</v>
      </c>
      <c r="AG115" s="290">
        <v>128831</v>
      </c>
      <c r="AH115" s="290">
        <v>25371</v>
      </c>
      <c r="AI115" s="290">
        <v>2200</v>
      </c>
      <c r="AJ115" s="290">
        <v>0</v>
      </c>
      <c r="AK115" s="290">
        <v>0</v>
      </c>
      <c r="AL115" s="290">
        <v>0</v>
      </c>
      <c r="AM115" s="957">
        <v>2.7271353500000002</v>
      </c>
      <c r="AN115" s="290">
        <v>0</v>
      </c>
      <c r="AO115" s="290">
        <v>25315.68309853</v>
      </c>
      <c r="AP115" s="290">
        <v>0</v>
      </c>
      <c r="AQ115" s="290">
        <v>0</v>
      </c>
      <c r="AR115" s="290">
        <v>-6214.8901767300003</v>
      </c>
      <c r="AS115" s="290">
        <v>47077</v>
      </c>
      <c r="AT115" s="290">
        <v>5873</v>
      </c>
      <c r="AU115" s="290">
        <v>991</v>
      </c>
      <c r="AV115" s="766">
        <v>3465790</v>
      </c>
      <c r="AW115" s="290"/>
      <c r="AX115" s="766">
        <v>1135.7083</v>
      </c>
      <c r="AY115" s="290">
        <v>53022</v>
      </c>
      <c r="AZ115" s="290">
        <v>7705</v>
      </c>
      <c r="BA115" s="290">
        <v>1957</v>
      </c>
      <c r="BB115" s="290">
        <v>0</v>
      </c>
      <c r="BC115" s="290">
        <v>243799</v>
      </c>
      <c r="BD115" s="290"/>
      <c r="BE115" s="290">
        <v>3463306.7325018998</v>
      </c>
      <c r="BF115" s="290">
        <v>0</v>
      </c>
      <c r="BG115" s="290">
        <v>116494.07310603895</v>
      </c>
      <c r="BH115" s="290">
        <v>6276.4153673457722</v>
      </c>
      <c r="BI115" s="290">
        <v>33056</v>
      </c>
      <c r="BJ115" s="290"/>
      <c r="BK115" s="290"/>
      <c r="BL115" s="290"/>
      <c r="BM115" s="290">
        <v>0</v>
      </c>
      <c r="BN115" s="290">
        <v>48169.610099999998</v>
      </c>
      <c r="BO115" s="290">
        <v>-60029.272884626953</v>
      </c>
      <c r="BP115" s="290">
        <v>8954.2109999999993</v>
      </c>
      <c r="BQ115" s="290">
        <v>-4802.0770000000002</v>
      </c>
      <c r="BR115" s="290">
        <v>-2580.2379990692375</v>
      </c>
      <c r="BS115" s="290">
        <v>21.823</v>
      </c>
      <c r="BT115" s="290"/>
      <c r="BU115" s="290">
        <v>0</v>
      </c>
      <c r="BV115" s="290">
        <v>22000</v>
      </c>
      <c r="BW115" s="290">
        <v>-29585</v>
      </c>
      <c r="BX115" s="290">
        <v>16599</v>
      </c>
      <c r="BY115" s="290">
        <v>3709</v>
      </c>
      <c r="BZ115" s="290">
        <v>-22488</v>
      </c>
      <c r="CA115" s="290">
        <v>-30.05621630380665</v>
      </c>
      <c r="CB115" s="290">
        <v>5950</v>
      </c>
      <c r="CC115" s="290">
        <v>16753</v>
      </c>
      <c r="CD115" s="290">
        <v>218</v>
      </c>
      <c r="CE115" s="290">
        <v>4755</v>
      </c>
      <c r="CF115" s="290">
        <v>178</v>
      </c>
      <c r="CG115" s="290">
        <v>31</v>
      </c>
      <c r="CH115" s="290">
        <v>-116</v>
      </c>
      <c r="CI115" s="290">
        <v>-57448</v>
      </c>
      <c r="CJ115" s="290">
        <v>-277799</v>
      </c>
      <c r="CK115" s="290">
        <f>+innut22!E121+innut22!S121</f>
        <v>8917399.4717350807</v>
      </c>
      <c r="CL115" s="290">
        <v>0</v>
      </c>
      <c r="CM115" s="290">
        <v>0</v>
      </c>
      <c r="CN115" s="290">
        <v>0</v>
      </c>
      <c r="CP115" s="290">
        <f>+innut23!E121</f>
        <v>7910554.4180557812</v>
      </c>
      <c r="CQ115" s="290"/>
      <c r="CV115" s="85">
        <f t="shared" si="2"/>
        <v>23.85</v>
      </c>
    </row>
    <row r="116" spans="1:100" s="657" customFormat="1" ht="13">
      <c r="A116" s="755">
        <v>3025</v>
      </c>
      <c r="B116" s="756" t="s">
        <v>1622</v>
      </c>
      <c r="C116" s="290">
        <v>96088</v>
      </c>
      <c r="D116" s="290">
        <v>1857</v>
      </c>
      <c r="E116" s="290">
        <v>4392</v>
      </c>
      <c r="F116" s="290">
        <v>12801</v>
      </c>
      <c r="G116" s="290">
        <v>8315</v>
      </c>
      <c r="H116" s="290">
        <v>53576</v>
      </c>
      <c r="I116" s="290">
        <v>10511</v>
      </c>
      <c r="J116" s="290">
        <v>3391</v>
      </c>
      <c r="K116" s="290">
        <v>719</v>
      </c>
      <c r="L116" s="290">
        <v>632</v>
      </c>
      <c r="M116" s="290">
        <v>5665</v>
      </c>
      <c r="N116" s="290">
        <v>2581</v>
      </c>
      <c r="O116" s="290">
        <v>1026</v>
      </c>
      <c r="P116" s="624">
        <v>170845.88399999999</v>
      </c>
      <c r="Q116" s="624">
        <v>144960.12100000001</v>
      </c>
      <c r="R116" s="624">
        <v>304</v>
      </c>
      <c r="S116" s="290">
        <v>1085</v>
      </c>
      <c r="T116" s="290">
        <v>6931</v>
      </c>
      <c r="U116" s="958">
        <v>3.3575348845426688E-3</v>
      </c>
      <c r="V116" s="290">
        <v>-28139.913707660002</v>
      </c>
      <c r="W116" s="765">
        <v>0.55286197999999998</v>
      </c>
      <c r="X116" s="290">
        <v>0</v>
      </c>
      <c r="Y116" s="290"/>
      <c r="Z116" s="290">
        <f>innut22!E122</f>
        <v>5410734.9413420726</v>
      </c>
      <c r="AA116" s="290">
        <v>0</v>
      </c>
      <c r="AB116" s="290">
        <v>1443</v>
      </c>
      <c r="AC116" s="290">
        <v>12778</v>
      </c>
      <c r="AD116" s="290"/>
      <c r="AE116" s="290">
        <v>0</v>
      </c>
      <c r="AF116" s="290">
        <v>30976</v>
      </c>
      <c r="AG116" s="290">
        <v>95562</v>
      </c>
      <c r="AH116" s="290">
        <v>18582</v>
      </c>
      <c r="AI116" s="290">
        <v>1700</v>
      </c>
      <c r="AJ116" s="290">
        <v>0</v>
      </c>
      <c r="AK116" s="290">
        <v>0</v>
      </c>
      <c r="AL116" s="290">
        <v>0</v>
      </c>
      <c r="AM116" s="957">
        <v>2.7239909199999999</v>
      </c>
      <c r="AN116" s="290">
        <v>0</v>
      </c>
      <c r="AO116" s="290">
        <v>18416.61666734</v>
      </c>
      <c r="AP116" s="290">
        <v>0</v>
      </c>
      <c r="AQ116" s="290">
        <v>0</v>
      </c>
      <c r="AR116" s="290">
        <v>-4609.9722510000001</v>
      </c>
      <c r="AS116" s="290">
        <v>17254</v>
      </c>
      <c r="AT116" s="290">
        <v>5046</v>
      </c>
      <c r="AU116" s="290">
        <v>843</v>
      </c>
      <c r="AV116" s="766">
        <v>2461568</v>
      </c>
      <c r="AW116" s="290"/>
      <c r="AX116" s="766">
        <v>735.58335</v>
      </c>
      <c r="AY116" s="290">
        <v>33231</v>
      </c>
      <c r="AZ116" s="290">
        <v>5769</v>
      </c>
      <c r="BA116" s="290">
        <v>1762</v>
      </c>
      <c r="BB116" s="290">
        <v>0</v>
      </c>
      <c r="BC116" s="290">
        <v>186246</v>
      </c>
      <c r="BD116" s="290"/>
      <c r="BE116" s="290">
        <v>2487465.382615</v>
      </c>
      <c r="BF116" s="290">
        <v>0</v>
      </c>
      <c r="BG116" s="290">
        <v>86784.842044727731</v>
      </c>
      <c r="BH116" s="290">
        <v>4675.7547550628815</v>
      </c>
      <c r="BI116" s="290">
        <v>62336</v>
      </c>
      <c r="BJ116" s="290"/>
      <c r="BK116" s="290"/>
      <c r="BL116" s="290"/>
      <c r="BM116" s="290">
        <v>9988</v>
      </c>
      <c r="BN116" s="290">
        <v>35042.358559999993</v>
      </c>
      <c r="BO116" s="290">
        <v>-44527.461367223113</v>
      </c>
      <c r="BP116" s="290">
        <v>6066.8919999999998</v>
      </c>
      <c r="BQ116" s="290">
        <v>-3253.6289999999999</v>
      </c>
      <c r="BR116" s="290">
        <v>-1943.5154078949367</v>
      </c>
      <c r="BS116" s="290">
        <v>16.331</v>
      </c>
      <c r="BT116" s="290"/>
      <c r="BU116" s="290">
        <v>0</v>
      </c>
      <c r="BV116" s="290">
        <v>20500</v>
      </c>
      <c r="BW116" s="290">
        <v>-21945</v>
      </c>
      <c r="BX116" s="290">
        <v>12483</v>
      </c>
      <c r="BY116" s="290">
        <v>2831</v>
      </c>
      <c r="BZ116" s="290">
        <v>-16681</v>
      </c>
      <c r="CA116" s="290">
        <v>-49.975784881942673</v>
      </c>
      <c r="CB116" s="290">
        <v>4541</v>
      </c>
      <c r="CC116" s="290">
        <v>12427</v>
      </c>
      <c r="CD116" s="290">
        <v>167</v>
      </c>
      <c r="CE116" s="290">
        <v>3542</v>
      </c>
      <c r="CF116" s="290">
        <v>133</v>
      </c>
      <c r="CG116" s="290">
        <v>20</v>
      </c>
      <c r="CH116" s="290">
        <v>-87</v>
      </c>
      <c r="CI116" s="290">
        <v>-42797</v>
      </c>
      <c r="CJ116" s="290">
        <v>-173622</v>
      </c>
      <c r="CK116" s="290">
        <f>+innut22!E122+innut22!S122</f>
        <v>5410734.9413420726</v>
      </c>
      <c r="CL116" s="290">
        <v>0</v>
      </c>
      <c r="CM116" s="290">
        <v>0</v>
      </c>
      <c r="CN116" s="290">
        <v>0</v>
      </c>
      <c r="CP116" s="290">
        <f>+innut23!E122</f>
        <v>4842482.0971346749</v>
      </c>
      <c r="CQ116" s="290"/>
      <c r="CV116" s="85">
        <f t="shared" si="2"/>
        <v>17.690999999999999</v>
      </c>
    </row>
    <row r="117" spans="1:100" ht="13">
      <c r="A117" s="1">
        <v>3026</v>
      </c>
      <c r="B117" s="2" t="s">
        <v>1623</v>
      </c>
      <c r="C117" s="289">
        <v>17754</v>
      </c>
      <c r="D117" s="290">
        <v>320</v>
      </c>
      <c r="E117" s="290">
        <v>746</v>
      </c>
      <c r="F117" s="290">
        <v>2069</v>
      </c>
      <c r="G117" s="290">
        <v>1390</v>
      </c>
      <c r="H117" s="290">
        <v>10014</v>
      </c>
      <c r="I117" s="290">
        <v>2315</v>
      </c>
      <c r="J117" s="290">
        <v>666</v>
      </c>
      <c r="K117" s="290">
        <v>167</v>
      </c>
      <c r="L117" s="290">
        <v>134</v>
      </c>
      <c r="M117" s="290">
        <v>1377</v>
      </c>
      <c r="N117" s="290">
        <v>264</v>
      </c>
      <c r="O117" s="290">
        <v>187</v>
      </c>
      <c r="P117" s="624">
        <v>76066.164333330002</v>
      </c>
      <c r="Q117" s="624">
        <v>46874.644666669999</v>
      </c>
      <c r="R117" s="624">
        <v>52</v>
      </c>
      <c r="S117" s="290">
        <v>215</v>
      </c>
      <c r="T117" s="290">
        <v>1482</v>
      </c>
      <c r="U117" s="958">
        <v>6.2241576784537673E-3</v>
      </c>
      <c r="V117" s="290">
        <v>8606.4745588599999</v>
      </c>
      <c r="W117" s="765">
        <v>0.64218452000000004</v>
      </c>
      <c r="X117" s="290">
        <v>1900</v>
      </c>
      <c r="Y117" s="290"/>
      <c r="Z117" s="290">
        <f>innut22!E123</f>
        <v>557609.58627674251</v>
      </c>
      <c r="AA117" s="290">
        <v>0</v>
      </c>
      <c r="AB117" s="290">
        <v>401</v>
      </c>
      <c r="AC117" s="290">
        <v>3010</v>
      </c>
      <c r="AD117" s="290"/>
      <c r="AE117" s="290">
        <v>0</v>
      </c>
      <c r="AF117" s="290">
        <v>21912</v>
      </c>
      <c r="AG117" s="290">
        <v>17687</v>
      </c>
      <c r="AH117" s="290">
        <v>3077</v>
      </c>
      <c r="AI117" s="290">
        <v>200</v>
      </c>
      <c r="AJ117" s="290">
        <v>0</v>
      </c>
      <c r="AK117" s="290">
        <v>0</v>
      </c>
      <c r="AL117" s="290">
        <v>0</v>
      </c>
      <c r="AM117" s="957">
        <v>0.63554577000000001</v>
      </c>
      <c r="AN117" s="290">
        <v>0</v>
      </c>
      <c r="AO117" s="290">
        <v>3406.8394791400001</v>
      </c>
      <c r="AP117" s="290">
        <v>0</v>
      </c>
      <c r="AQ117" s="290">
        <v>0</v>
      </c>
      <c r="AR117" s="290">
        <v>-853.23223879</v>
      </c>
      <c r="AS117" s="290">
        <v>3317</v>
      </c>
      <c r="AT117" s="290">
        <v>1119</v>
      </c>
      <c r="AU117" s="290">
        <v>181</v>
      </c>
      <c r="AV117" s="766">
        <v>488220</v>
      </c>
      <c r="AW117" s="290"/>
      <c r="AX117" s="766">
        <v>114.37505</v>
      </c>
      <c r="AY117" s="290">
        <v>2824</v>
      </c>
      <c r="AZ117" s="290">
        <v>971</v>
      </c>
      <c r="BA117" s="290">
        <v>316</v>
      </c>
      <c r="BB117" s="290">
        <v>0</v>
      </c>
      <c r="BC117" s="290">
        <v>49974</v>
      </c>
      <c r="BD117" s="290"/>
      <c r="BE117" s="290">
        <v>494751.79072216997</v>
      </c>
      <c r="BF117" s="290">
        <v>0</v>
      </c>
      <c r="BG117" s="290">
        <v>16035.072908813754</v>
      </c>
      <c r="BH117" s="290">
        <v>863.93045876057784</v>
      </c>
      <c r="BI117" s="290">
        <v>27999</v>
      </c>
      <c r="BJ117" s="290"/>
      <c r="BK117" s="290"/>
      <c r="BL117" s="290"/>
      <c r="BM117" s="290">
        <v>4575</v>
      </c>
      <c r="BN117" s="290">
        <v>6482.38994</v>
      </c>
      <c r="BO117" s="290">
        <v>-8241.3219606336752</v>
      </c>
      <c r="BP117" s="290">
        <v>953.78300000000002</v>
      </c>
      <c r="BQ117" s="290">
        <v>-511.50700000000001</v>
      </c>
      <c r="BR117" s="290">
        <v>-327.85319270378545</v>
      </c>
      <c r="BS117" s="290">
        <v>3.2810000000000001</v>
      </c>
      <c r="BT117" s="290"/>
      <c r="BU117" s="290">
        <v>0</v>
      </c>
      <c r="BV117" s="290">
        <v>3500</v>
      </c>
      <c r="BW117" s="290">
        <v>-4062</v>
      </c>
      <c r="BX117" s="290">
        <v>2094</v>
      </c>
      <c r="BY117" s="290">
        <v>560</v>
      </c>
      <c r="BZ117" s="290">
        <v>-3087</v>
      </c>
      <c r="CA117" s="290">
        <v>-11.771786662539398</v>
      </c>
      <c r="CB117" s="290">
        <v>899</v>
      </c>
      <c r="CC117" s="290">
        <v>2300</v>
      </c>
      <c r="CD117" s="290">
        <v>33</v>
      </c>
      <c r="CE117" s="290">
        <v>654</v>
      </c>
      <c r="CF117" s="290">
        <v>27</v>
      </c>
      <c r="CG117" s="290">
        <v>3</v>
      </c>
      <c r="CH117" s="290">
        <v>-17</v>
      </c>
      <c r="CI117" s="290">
        <v>-7907</v>
      </c>
      <c r="CJ117" s="290">
        <v>-21119</v>
      </c>
      <c r="CK117" s="290">
        <f>+innut22!E123+innut22!S123</f>
        <v>557609.58627674251</v>
      </c>
      <c r="CL117" s="290">
        <v>0</v>
      </c>
      <c r="CM117" s="290">
        <v>0</v>
      </c>
      <c r="CN117" s="290">
        <v>0</v>
      </c>
      <c r="CP117" s="290">
        <f>+innut23!E123</f>
        <v>518870.46484503383</v>
      </c>
      <c r="CQ117" s="290"/>
      <c r="CV117" s="85">
        <f t="shared" si="2"/>
        <v>3.274</v>
      </c>
    </row>
    <row r="118" spans="1:100" ht="13">
      <c r="A118" s="1">
        <v>3027</v>
      </c>
      <c r="B118" s="2" t="s">
        <v>812</v>
      </c>
      <c r="C118" s="289">
        <v>19024</v>
      </c>
      <c r="D118" s="290">
        <v>454</v>
      </c>
      <c r="E118" s="290">
        <v>1013</v>
      </c>
      <c r="F118" s="290">
        <v>2534</v>
      </c>
      <c r="G118" s="290">
        <v>1506</v>
      </c>
      <c r="H118" s="290">
        <v>11070</v>
      </c>
      <c r="I118" s="290">
        <v>1744</v>
      </c>
      <c r="J118" s="290">
        <v>473</v>
      </c>
      <c r="K118" s="290">
        <v>79</v>
      </c>
      <c r="L118" s="290">
        <v>136</v>
      </c>
      <c r="M118" s="290">
        <v>1021</v>
      </c>
      <c r="N118" s="290">
        <v>904</v>
      </c>
      <c r="O118" s="290">
        <v>165</v>
      </c>
      <c r="P118" s="624">
        <v>20985.344333329998</v>
      </c>
      <c r="Q118" s="624">
        <v>19572.401999999998</v>
      </c>
      <c r="R118" s="624">
        <v>51</v>
      </c>
      <c r="S118" s="290">
        <v>245</v>
      </c>
      <c r="T118" s="290">
        <v>1553</v>
      </c>
      <c r="U118" s="958">
        <v>4.2488499332440439E-4</v>
      </c>
      <c r="V118" s="290">
        <v>3916.8517309399999</v>
      </c>
      <c r="W118" s="765">
        <v>0.53990428000000001</v>
      </c>
      <c r="X118" s="290">
        <v>2000</v>
      </c>
      <c r="Y118" s="290"/>
      <c r="Z118" s="290">
        <f>innut22!E124</f>
        <v>762568.48242971092</v>
      </c>
      <c r="AA118" s="290">
        <v>0</v>
      </c>
      <c r="AB118" s="290">
        <v>277</v>
      </c>
      <c r="AC118" s="290">
        <v>1725</v>
      </c>
      <c r="AD118" s="290"/>
      <c r="AE118" s="290">
        <v>2000</v>
      </c>
      <c r="AF118" s="290">
        <v>0</v>
      </c>
      <c r="AG118" s="290">
        <v>18873</v>
      </c>
      <c r="AH118" s="290">
        <v>3777</v>
      </c>
      <c r="AI118" s="290">
        <v>200</v>
      </c>
      <c r="AJ118" s="290">
        <v>0</v>
      </c>
      <c r="AK118" s="290">
        <v>0</v>
      </c>
      <c r="AL118" s="290">
        <v>0</v>
      </c>
      <c r="AM118" s="957">
        <v>0.47677560000000002</v>
      </c>
      <c r="AN118" s="290">
        <v>0</v>
      </c>
      <c r="AO118" s="290">
        <v>3561.5027589599999</v>
      </c>
      <c r="AP118" s="290">
        <v>0</v>
      </c>
      <c r="AQ118" s="290">
        <v>0</v>
      </c>
      <c r="AR118" s="290">
        <v>-910.44564046000005</v>
      </c>
      <c r="AS118" s="290">
        <v>6181</v>
      </c>
      <c r="AT118" s="290">
        <v>1084</v>
      </c>
      <c r="AU118" s="290">
        <v>179</v>
      </c>
      <c r="AV118" s="766">
        <v>464333</v>
      </c>
      <c r="AW118" s="290"/>
      <c r="AX118" s="766">
        <v>180.25</v>
      </c>
      <c r="AY118" s="290">
        <v>4724</v>
      </c>
      <c r="AZ118" s="290">
        <v>862</v>
      </c>
      <c r="BA118" s="290">
        <v>361</v>
      </c>
      <c r="BB118" s="290">
        <v>0</v>
      </c>
      <c r="BC118" s="290">
        <v>32618</v>
      </c>
      <c r="BD118" s="290"/>
      <c r="BE118" s="290">
        <v>472977.82441669999</v>
      </c>
      <c r="BF118" s="290">
        <v>0</v>
      </c>
      <c r="BG118" s="290">
        <v>17182.112595317838</v>
      </c>
      <c r="BH118" s="290">
        <v>925.73014799263444</v>
      </c>
      <c r="BI118" s="290">
        <v>5502</v>
      </c>
      <c r="BJ118" s="290"/>
      <c r="BK118" s="290"/>
      <c r="BL118" s="290"/>
      <c r="BM118" s="290">
        <v>0</v>
      </c>
      <c r="BN118" s="290">
        <v>6776.6766799999996</v>
      </c>
      <c r="BO118" s="290">
        <v>-8793.9429729767253</v>
      </c>
      <c r="BP118" s="290">
        <v>1337.5650000000001</v>
      </c>
      <c r="BQ118" s="290">
        <v>-717.32600000000002</v>
      </c>
      <c r="BR118" s="290">
        <v>-380.34122267542244</v>
      </c>
      <c r="BS118" s="290">
        <v>3.1160000000000001</v>
      </c>
      <c r="BT118" s="290"/>
      <c r="BU118" s="290">
        <v>0</v>
      </c>
      <c r="BV118" s="290">
        <v>4000</v>
      </c>
      <c r="BW118" s="290">
        <v>-4334</v>
      </c>
      <c r="BX118" s="290">
        <v>2452</v>
      </c>
      <c r="BY118" s="290">
        <v>640</v>
      </c>
      <c r="BZ118" s="290">
        <v>-3294</v>
      </c>
      <c r="CA118" s="290">
        <v>-6.7474843478519233</v>
      </c>
      <c r="CB118" s="290">
        <v>1026</v>
      </c>
      <c r="CC118" s="290">
        <v>2454</v>
      </c>
      <c r="CD118" s="290">
        <v>38</v>
      </c>
      <c r="CE118" s="290">
        <v>701</v>
      </c>
      <c r="CF118" s="290">
        <v>25</v>
      </c>
      <c r="CG118" s="290">
        <v>4</v>
      </c>
      <c r="CH118" s="290">
        <v>-17</v>
      </c>
      <c r="CI118" s="290">
        <v>-8473</v>
      </c>
      <c r="CJ118" s="290">
        <v>-22074</v>
      </c>
      <c r="CK118" s="290">
        <f>+innut22!E124+innut22!S124</f>
        <v>762568.48242971092</v>
      </c>
      <c r="CL118" s="290">
        <v>0</v>
      </c>
      <c r="CM118" s="290">
        <v>0</v>
      </c>
      <c r="CN118" s="290">
        <v>0</v>
      </c>
      <c r="CP118" s="290">
        <f>+innut23!E124</f>
        <v>717968.75286991347</v>
      </c>
      <c r="CQ118" s="290"/>
      <c r="CV118" s="85">
        <f t="shared" si="2"/>
        <v>3.4940000000000002</v>
      </c>
    </row>
    <row r="119" spans="1:100" ht="13">
      <c r="A119" s="1">
        <v>3028</v>
      </c>
      <c r="B119" s="2" t="s">
        <v>813</v>
      </c>
      <c r="C119" s="289">
        <v>11249</v>
      </c>
      <c r="D119" s="290">
        <v>201</v>
      </c>
      <c r="E119" s="290">
        <v>471</v>
      </c>
      <c r="F119" s="290">
        <v>1604</v>
      </c>
      <c r="G119" s="290">
        <v>915</v>
      </c>
      <c r="H119" s="290">
        <v>6385</v>
      </c>
      <c r="I119" s="290">
        <v>1217</v>
      </c>
      <c r="J119" s="290">
        <v>296</v>
      </c>
      <c r="K119" s="290">
        <v>38</v>
      </c>
      <c r="L119" s="290">
        <v>81</v>
      </c>
      <c r="M119" s="290">
        <v>609</v>
      </c>
      <c r="N119" s="290">
        <v>245</v>
      </c>
      <c r="O119" s="290">
        <v>97</v>
      </c>
      <c r="P119" s="624">
        <v>38215.898999999998</v>
      </c>
      <c r="Q119" s="624">
        <v>16348.103999999999</v>
      </c>
      <c r="R119" s="624">
        <v>40</v>
      </c>
      <c r="S119" s="290">
        <v>129</v>
      </c>
      <c r="T119" s="290">
        <v>812</v>
      </c>
      <c r="U119" s="958">
        <v>1.8916197769608455E-3</v>
      </c>
      <c r="V119" s="290">
        <v>3169.0232087899999</v>
      </c>
      <c r="W119" s="765">
        <v>0.58611230000000003</v>
      </c>
      <c r="X119" s="290">
        <v>1600</v>
      </c>
      <c r="Y119" s="290"/>
      <c r="Z119" s="290">
        <f>innut22!E125</f>
        <v>376376.91456936765</v>
      </c>
      <c r="AA119" s="290">
        <v>0</v>
      </c>
      <c r="AB119" s="290">
        <v>210</v>
      </c>
      <c r="AC119" s="290">
        <v>1390</v>
      </c>
      <c r="AD119" s="290"/>
      <c r="AE119" s="290">
        <v>0</v>
      </c>
      <c r="AF119" s="290">
        <v>0</v>
      </c>
      <c r="AG119" s="290">
        <v>11127</v>
      </c>
      <c r="AH119" s="290">
        <v>2188</v>
      </c>
      <c r="AI119" s="290">
        <v>200</v>
      </c>
      <c r="AJ119" s="290">
        <v>0</v>
      </c>
      <c r="AK119" s="290">
        <v>0</v>
      </c>
      <c r="AL119" s="290">
        <v>0</v>
      </c>
      <c r="AM119" s="957">
        <v>0.35947565999999997</v>
      </c>
      <c r="AN119" s="290">
        <v>0</v>
      </c>
      <c r="AO119" s="290">
        <v>2113.14729597</v>
      </c>
      <c r="AP119" s="290">
        <v>0</v>
      </c>
      <c r="AQ119" s="290">
        <v>0</v>
      </c>
      <c r="AR119" s="290">
        <v>-424.35435995</v>
      </c>
      <c r="AS119" s="290">
        <v>4249</v>
      </c>
      <c r="AT119" s="290">
        <v>628</v>
      </c>
      <c r="AU119" s="290">
        <v>117</v>
      </c>
      <c r="AV119" s="766">
        <v>247975</v>
      </c>
      <c r="AW119" s="290"/>
      <c r="AX119" s="766">
        <v>49.583350000000003</v>
      </c>
      <c r="AY119" s="290">
        <v>2061</v>
      </c>
      <c r="AZ119" s="290">
        <v>599</v>
      </c>
      <c r="BA119" s="290">
        <v>267</v>
      </c>
      <c r="BB119" s="290">
        <v>0</v>
      </c>
      <c r="BC119" s="290">
        <v>-18767</v>
      </c>
      <c r="BD119" s="290"/>
      <c r="BE119" s="290">
        <v>283353.35852855002</v>
      </c>
      <c r="BF119" s="290">
        <v>0</v>
      </c>
      <c r="BG119" s="290">
        <v>10159.881443688517</v>
      </c>
      <c r="BH119" s="290">
        <v>547.38953084362629</v>
      </c>
      <c r="BI119" s="290">
        <v>3578</v>
      </c>
      <c r="BJ119" s="290"/>
      <c r="BK119" s="290"/>
      <c r="BL119" s="290"/>
      <c r="BM119" s="290">
        <v>0</v>
      </c>
      <c r="BN119" s="290">
        <v>4020.8072200000001</v>
      </c>
      <c r="BO119" s="290">
        <v>-5184.6661082134278</v>
      </c>
      <c r="BP119" s="290">
        <v>589.77599999999995</v>
      </c>
      <c r="BQ119" s="290">
        <v>-316.29300000000001</v>
      </c>
      <c r="BR119" s="290">
        <v>-245.15123611353789</v>
      </c>
      <c r="BS119" s="290">
        <v>1.9650000000000001</v>
      </c>
      <c r="BT119" s="290"/>
      <c r="BU119" s="290">
        <v>0</v>
      </c>
      <c r="BV119" s="290">
        <v>2500</v>
      </c>
      <c r="BW119" s="290">
        <v>-2555</v>
      </c>
      <c r="BX119" s="290">
        <v>1574</v>
      </c>
      <c r="BY119" s="290">
        <v>337</v>
      </c>
      <c r="BZ119" s="290">
        <v>-1942</v>
      </c>
      <c r="CA119" s="290">
        <v>-5.4378756730343412</v>
      </c>
      <c r="CB119" s="290">
        <v>541</v>
      </c>
      <c r="CC119" s="290">
        <v>1447</v>
      </c>
      <c r="CD119" s="290">
        <v>20</v>
      </c>
      <c r="CE119" s="290">
        <v>415</v>
      </c>
      <c r="CF119" s="290">
        <v>16</v>
      </c>
      <c r="CG119" s="290">
        <v>2</v>
      </c>
      <c r="CH119" s="290">
        <v>-10</v>
      </c>
      <c r="CI119" s="290">
        <v>-5010</v>
      </c>
      <c r="CJ119" s="290">
        <v>-13285</v>
      </c>
      <c r="CK119" s="290">
        <f>+innut22!E125+innut22!S125</f>
        <v>376376.91456936765</v>
      </c>
      <c r="CL119" s="290">
        <v>0</v>
      </c>
      <c r="CM119" s="290">
        <v>0</v>
      </c>
      <c r="CN119" s="290">
        <v>0</v>
      </c>
      <c r="CP119" s="290">
        <f>+innut23!E125</f>
        <v>353220.74199725076</v>
      </c>
      <c r="CQ119" s="290"/>
      <c r="CV119" s="85">
        <f t="shared" si="2"/>
        <v>2.06</v>
      </c>
    </row>
    <row r="120" spans="1:100" ht="13">
      <c r="A120" s="1">
        <v>3029</v>
      </c>
      <c r="B120" s="2" t="s">
        <v>814</v>
      </c>
      <c r="C120" s="289">
        <v>44693</v>
      </c>
      <c r="D120" s="290">
        <v>1072</v>
      </c>
      <c r="E120" s="290">
        <v>2112</v>
      </c>
      <c r="F120" s="290">
        <v>5256</v>
      </c>
      <c r="G120" s="290">
        <v>3630</v>
      </c>
      <c r="H120" s="290">
        <v>25603</v>
      </c>
      <c r="I120" s="290">
        <v>4500</v>
      </c>
      <c r="J120" s="290">
        <v>1255</v>
      </c>
      <c r="K120" s="290">
        <v>214</v>
      </c>
      <c r="L120" s="290">
        <v>299</v>
      </c>
      <c r="M120" s="290">
        <v>2390</v>
      </c>
      <c r="N120" s="290">
        <v>2392</v>
      </c>
      <c r="O120" s="290">
        <v>370</v>
      </c>
      <c r="P120" s="624">
        <v>64372.142</v>
      </c>
      <c r="Q120" s="624">
        <v>38009.771000000001</v>
      </c>
      <c r="R120" s="624">
        <v>94</v>
      </c>
      <c r="S120" s="290">
        <v>605</v>
      </c>
      <c r="T120" s="290">
        <v>3667</v>
      </c>
      <c r="U120" s="958">
        <v>5.0445353529104118E-4</v>
      </c>
      <c r="V120" s="290">
        <v>2264.1108402</v>
      </c>
      <c r="W120" s="765">
        <v>0.52402817000000002</v>
      </c>
      <c r="X120" s="290">
        <v>0</v>
      </c>
      <c r="Y120" s="290"/>
      <c r="Z120" s="290">
        <f>innut22!E126</f>
        <v>1829188.4320349772</v>
      </c>
      <c r="AA120" s="290">
        <v>0</v>
      </c>
      <c r="AB120" s="290">
        <v>617</v>
      </c>
      <c r="AC120" s="290">
        <v>4057</v>
      </c>
      <c r="AD120" s="290"/>
      <c r="AE120" s="290">
        <v>52999</v>
      </c>
      <c r="AF120" s="290">
        <v>0</v>
      </c>
      <c r="AG120" s="290">
        <v>43642</v>
      </c>
      <c r="AH120" s="290">
        <v>8120</v>
      </c>
      <c r="AI120" s="290">
        <v>200</v>
      </c>
      <c r="AJ120" s="290">
        <v>0</v>
      </c>
      <c r="AK120" s="290">
        <v>0</v>
      </c>
      <c r="AL120" s="290">
        <v>0</v>
      </c>
      <c r="AM120" s="957">
        <v>1.3317372700000001</v>
      </c>
      <c r="AN120" s="290">
        <v>0</v>
      </c>
      <c r="AO120" s="290">
        <v>7898.1219480500004</v>
      </c>
      <c r="AP120" s="290">
        <v>0</v>
      </c>
      <c r="AQ120" s="290">
        <v>0</v>
      </c>
      <c r="AR120" s="290">
        <v>-2105.31810739</v>
      </c>
      <c r="AS120" s="290">
        <v>15569</v>
      </c>
      <c r="AT120" s="290">
        <v>2520</v>
      </c>
      <c r="AU120" s="290">
        <v>417</v>
      </c>
      <c r="AV120" s="766">
        <v>1000964</v>
      </c>
      <c r="AW120" s="290"/>
      <c r="AX120" s="766">
        <v>362.33335</v>
      </c>
      <c r="AY120" s="290">
        <v>11823</v>
      </c>
      <c r="AZ120" s="290">
        <v>2315</v>
      </c>
      <c r="BA120" s="290">
        <v>871</v>
      </c>
      <c r="BB120" s="290">
        <v>0</v>
      </c>
      <c r="BC120" s="290">
        <v>78382</v>
      </c>
      <c r="BD120" s="290"/>
      <c r="BE120" s="290">
        <v>1027662.7321683</v>
      </c>
      <c r="BF120" s="290">
        <v>0</v>
      </c>
      <c r="BG120" s="290">
        <v>40365.861975533015</v>
      </c>
      <c r="BH120" s="290">
        <v>2174.813788069534</v>
      </c>
      <c r="BI120" s="290">
        <v>12177</v>
      </c>
      <c r="BJ120" s="290"/>
      <c r="BK120" s="290"/>
      <c r="BL120" s="290"/>
      <c r="BM120" s="290">
        <v>0</v>
      </c>
      <c r="BN120" s="290">
        <v>15028.212079999999</v>
      </c>
      <c r="BO120" s="290">
        <v>-20335.148584043356</v>
      </c>
      <c r="BP120" s="290">
        <v>2824.7649999999999</v>
      </c>
      <c r="BQ120" s="290">
        <v>-1514.9</v>
      </c>
      <c r="BR120" s="290">
        <v>-791.2444879055397</v>
      </c>
      <c r="BS120" s="290">
        <v>7.1849999999999996</v>
      </c>
      <c r="BT120" s="290"/>
      <c r="BU120" s="290">
        <v>0</v>
      </c>
      <c r="BV120" s="290">
        <v>6000</v>
      </c>
      <c r="BW120" s="290">
        <v>-10022</v>
      </c>
      <c r="BX120" s="290">
        <v>5087</v>
      </c>
      <c r="BY120" s="290">
        <v>1579</v>
      </c>
      <c r="BZ120" s="290">
        <v>-7618</v>
      </c>
      <c r="CA120" s="290">
        <v>-15.869008051103719</v>
      </c>
      <c r="CB120" s="290">
        <v>2533</v>
      </c>
      <c r="CC120" s="290">
        <v>5675</v>
      </c>
      <c r="CD120" s="290">
        <v>93</v>
      </c>
      <c r="CE120" s="290">
        <v>1648</v>
      </c>
      <c r="CF120" s="290">
        <v>59</v>
      </c>
      <c r="CG120" s="290">
        <v>9</v>
      </c>
      <c r="CH120" s="290">
        <v>-38</v>
      </c>
      <c r="CI120" s="290">
        <v>-19906</v>
      </c>
      <c r="CJ120" s="290">
        <v>-49183</v>
      </c>
      <c r="CK120" s="290">
        <f>+innut22!E126+innut22!S126</f>
        <v>1829188.4320349772</v>
      </c>
      <c r="CL120" s="290">
        <v>0</v>
      </c>
      <c r="CM120" s="290">
        <v>0</v>
      </c>
      <c r="CN120" s="290">
        <v>0</v>
      </c>
      <c r="CP120" s="290">
        <f>+innut23!E126</f>
        <v>1749169.4147155124</v>
      </c>
      <c r="CQ120" s="290"/>
      <c r="CV120" s="85">
        <f t="shared" si="2"/>
        <v>8.0790000000000006</v>
      </c>
    </row>
    <row r="121" spans="1:100" ht="13">
      <c r="A121" s="1">
        <v>3030</v>
      </c>
      <c r="B121" s="4" t="s">
        <v>1624</v>
      </c>
      <c r="C121" s="289">
        <v>89095</v>
      </c>
      <c r="D121" s="290">
        <v>1773</v>
      </c>
      <c r="E121" s="290">
        <v>4050</v>
      </c>
      <c r="F121" s="290">
        <v>11358</v>
      </c>
      <c r="G121" s="290">
        <v>7442</v>
      </c>
      <c r="H121" s="290">
        <v>51335</v>
      </c>
      <c r="I121" s="290">
        <v>8620</v>
      </c>
      <c r="J121" s="290">
        <v>2870</v>
      </c>
      <c r="K121" s="290">
        <v>578</v>
      </c>
      <c r="L121" s="290">
        <v>637</v>
      </c>
      <c r="M121" s="290">
        <v>5186</v>
      </c>
      <c r="N121" s="290">
        <v>4243</v>
      </c>
      <c r="O121" s="290">
        <v>857</v>
      </c>
      <c r="P121" s="624">
        <v>180727.50433333</v>
      </c>
      <c r="Q121" s="624">
        <v>107602.96966667</v>
      </c>
      <c r="R121" s="624">
        <v>246</v>
      </c>
      <c r="S121" s="290">
        <v>1202</v>
      </c>
      <c r="T121" s="290">
        <v>6969</v>
      </c>
      <c r="U121" s="958">
        <v>6.4938990410882257E-3</v>
      </c>
      <c r="V121" s="290">
        <v>22548.213349059999</v>
      </c>
      <c r="W121" s="765">
        <v>0.54395112999999995</v>
      </c>
      <c r="X121" s="290">
        <v>3500</v>
      </c>
      <c r="Y121" s="290"/>
      <c r="Z121" s="290">
        <f>innut22!E127</f>
        <v>3544416.5795798958</v>
      </c>
      <c r="AA121" s="290">
        <v>0</v>
      </c>
      <c r="AB121" s="290">
        <v>1398</v>
      </c>
      <c r="AC121" s="290">
        <v>11430</v>
      </c>
      <c r="AD121" s="290"/>
      <c r="AE121" s="290">
        <v>5181</v>
      </c>
      <c r="AF121" s="290">
        <v>30976</v>
      </c>
      <c r="AG121" s="290">
        <v>88026</v>
      </c>
      <c r="AH121" s="290">
        <v>16638</v>
      </c>
      <c r="AI121" s="290">
        <v>4700</v>
      </c>
      <c r="AJ121" s="290">
        <v>0</v>
      </c>
      <c r="AK121" s="290">
        <v>0</v>
      </c>
      <c r="AL121" s="290">
        <v>0</v>
      </c>
      <c r="AM121" s="957">
        <v>3.0953548400000002</v>
      </c>
      <c r="AN121" s="290">
        <v>0</v>
      </c>
      <c r="AO121" s="290">
        <v>16555.898481060001</v>
      </c>
      <c r="AP121" s="290">
        <v>0</v>
      </c>
      <c r="AQ121" s="290">
        <v>0</v>
      </c>
      <c r="AR121" s="290">
        <v>-4246.4307712999998</v>
      </c>
      <c r="AS121" s="290">
        <v>26476</v>
      </c>
      <c r="AT121" s="290">
        <v>5201</v>
      </c>
      <c r="AU121" s="290">
        <v>965</v>
      </c>
      <c r="AV121" s="766">
        <v>2181117</v>
      </c>
      <c r="AW121" s="290"/>
      <c r="AX121" s="766">
        <v>652.58335</v>
      </c>
      <c r="AY121" s="290">
        <v>21955</v>
      </c>
      <c r="AZ121" s="290">
        <v>4663</v>
      </c>
      <c r="BA121" s="290">
        <v>1817</v>
      </c>
      <c r="BB121" s="290">
        <v>0</v>
      </c>
      <c r="BC121" s="290">
        <v>177825</v>
      </c>
      <c r="BD121" s="290"/>
      <c r="BE121" s="290">
        <v>2226328.4588625999</v>
      </c>
      <c r="BF121" s="290">
        <v>0</v>
      </c>
      <c r="BG121" s="290">
        <v>80468.898322111156</v>
      </c>
      <c r="BH121" s="290">
        <v>4335.4671749055806</v>
      </c>
      <c r="BI121" s="290">
        <v>59044</v>
      </c>
      <c r="BJ121" s="290"/>
      <c r="BK121" s="290"/>
      <c r="BL121" s="290"/>
      <c r="BM121" s="290">
        <v>9431</v>
      </c>
      <c r="BN121" s="290">
        <v>31501.86276</v>
      </c>
      <c r="BO121" s="290">
        <v>-41016.034766028148</v>
      </c>
      <c r="BP121" s="290">
        <v>5363.9430000000002</v>
      </c>
      <c r="BQ121" s="290">
        <v>-2876.643</v>
      </c>
      <c r="BR121" s="290">
        <v>-1721.0380152590731</v>
      </c>
      <c r="BS121" s="290">
        <v>14.614000000000001</v>
      </c>
      <c r="BT121" s="290"/>
      <c r="BU121" s="290">
        <v>0</v>
      </c>
      <c r="BV121" s="290">
        <v>14000</v>
      </c>
      <c r="BW121" s="290">
        <v>-20215</v>
      </c>
      <c r="BX121" s="290">
        <v>11049</v>
      </c>
      <c r="BY121" s="290">
        <v>3134</v>
      </c>
      <c r="BZ121" s="290">
        <v>-15365</v>
      </c>
      <c r="CA121" s="290">
        <v>-44.703978712779644</v>
      </c>
      <c r="CB121" s="290">
        <v>5027</v>
      </c>
      <c r="CC121" s="290">
        <v>11447</v>
      </c>
      <c r="CD121" s="290">
        <v>184</v>
      </c>
      <c r="CE121" s="290">
        <v>3284</v>
      </c>
      <c r="CF121" s="290">
        <v>119</v>
      </c>
      <c r="CG121" s="290">
        <v>18</v>
      </c>
      <c r="CH121" s="290">
        <v>-78</v>
      </c>
      <c r="CI121" s="290">
        <v>-39682</v>
      </c>
      <c r="CJ121" s="290">
        <v>-93561</v>
      </c>
      <c r="CK121" s="290">
        <f>+innut22!E127+innut22!S127</f>
        <v>3544416.5795798958</v>
      </c>
      <c r="CL121" s="290">
        <v>0</v>
      </c>
      <c r="CM121" s="290">
        <v>0</v>
      </c>
      <c r="CN121" s="290">
        <v>0</v>
      </c>
      <c r="CP121" s="290">
        <f>+innut23!E127</f>
        <v>3341836.090555633</v>
      </c>
      <c r="CQ121" s="290"/>
      <c r="CV121" s="85">
        <f t="shared" si="2"/>
        <v>16.295999999999999</v>
      </c>
    </row>
    <row r="122" spans="1:100" ht="13">
      <c r="A122" s="1">
        <v>3031</v>
      </c>
      <c r="B122" s="2" t="s">
        <v>816</v>
      </c>
      <c r="C122" s="289">
        <v>24947</v>
      </c>
      <c r="D122" s="290">
        <v>480</v>
      </c>
      <c r="E122" s="290">
        <v>1186</v>
      </c>
      <c r="F122" s="290">
        <v>3544</v>
      </c>
      <c r="G122" s="290">
        <v>2174</v>
      </c>
      <c r="H122" s="290">
        <v>14126</v>
      </c>
      <c r="I122" s="290">
        <v>2395</v>
      </c>
      <c r="J122" s="290">
        <v>712</v>
      </c>
      <c r="K122" s="290">
        <v>123</v>
      </c>
      <c r="L122" s="290">
        <v>175</v>
      </c>
      <c r="M122" s="290">
        <v>1347</v>
      </c>
      <c r="N122" s="290">
        <v>568</v>
      </c>
      <c r="O122" s="290">
        <v>173</v>
      </c>
      <c r="P122" s="624">
        <v>62368.890333329997</v>
      </c>
      <c r="Q122" s="624">
        <v>26637.11</v>
      </c>
      <c r="R122" s="624">
        <v>82</v>
      </c>
      <c r="S122" s="290">
        <v>253</v>
      </c>
      <c r="T122" s="290">
        <v>1732</v>
      </c>
      <c r="U122" s="958">
        <v>1.1796590286035802E-3</v>
      </c>
      <c r="V122" s="290">
        <v>6877.0330384299996</v>
      </c>
      <c r="W122" s="765">
        <v>0.54599401000000003</v>
      </c>
      <c r="X122" s="290">
        <v>1700</v>
      </c>
      <c r="Y122" s="290"/>
      <c r="Z122" s="290">
        <f>innut22!E128</f>
        <v>1041930.8272970963</v>
      </c>
      <c r="AA122" s="290">
        <v>0</v>
      </c>
      <c r="AB122" s="290">
        <v>385</v>
      </c>
      <c r="AC122" s="290">
        <v>2708</v>
      </c>
      <c r="AD122" s="290"/>
      <c r="AE122" s="290">
        <v>0</v>
      </c>
      <c r="AF122" s="290">
        <v>0</v>
      </c>
      <c r="AG122" s="290">
        <v>24740</v>
      </c>
      <c r="AH122" s="290">
        <v>5055</v>
      </c>
      <c r="AI122" s="290">
        <v>200</v>
      </c>
      <c r="AJ122" s="290">
        <v>0</v>
      </c>
      <c r="AK122" s="290">
        <v>0</v>
      </c>
      <c r="AL122" s="290">
        <v>0</v>
      </c>
      <c r="AM122" s="957">
        <v>0.40899982000000001</v>
      </c>
      <c r="AN122" s="290">
        <v>0</v>
      </c>
      <c r="AO122" s="290">
        <v>4698.7796595700001</v>
      </c>
      <c r="AP122" s="290">
        <v>0</v>
      </c>
      <c r="AQ122" s="290">
        <v>0</v>
      </c>
      <c r="AR122" s="290">
        <v>-1193.47348831</v>
      </c>
      <c r="AS122" s="290">
        <v>4910</v>
      </c>
      <c r="AT122" s="290">
        <v>1348</v>
      </c>
      <c r="AU122" s="290">
        <v>189</v>
      </c>
      <c r="AV122" s="766">
        <v>621832</v>
      </c>
      <c r="AW122" s="290"/>
      <c r="AX122" s="766">
        <v>187.37495000000001</v>
      </c>
      <c r="AY122" s="290">
        <v>6943</v>
      </c>
      <c r="AZ122" s="290">
        <v>960</v>
      </c>
      <c r="BA122" s="290">
        <v>468</v>
      </c>
      <c r="BB122" s="290">
        <v>0</v>
      </c>
      <c r="BC122" s="290">
        <v>41323</v>
      </c>
      <c r="BD122" s="290"/>
      <c r="BE122" s="290">
        <v>627905.45339229004</v>
      </c>
      <c r="BF122" s="290">
        <v>0</v>
      </c>
      <c r="BG122" s="290">
        <v>22531.652802533332</v>
      </c>
      <c r="BH122" s="290">
        <v>1213.9502734426121</v>
      </c>
      <c r="BI122" s="290">
        <v>7763</v>
      </c>
      <c r="BJ122" s="290"/>
      <c r="BK122" s="290"/>
      <c r="BL122" s="290"/>
      <c r="BM122" s="290">
        <v>0</v>
      </c>
      <c r="BN122" s="290">
        <v>8940.6390200000005</v>
      </c>
      <c r="BO122" s="290">
        <v>-11527.69295562148</v>
      </c>
      <c r="BP122" s="290">
        <v>1579.9770000000001</v>
      </c>
      <c r="BQ122" s="290">
        <v>-847.33</v>
      </c>
      <c r="BR122" s="290">
        <v>-532.17792050202092</v>
      </c>
      <c r="BS122" s="290">
        <v>4.1749999999999998</v>
      </c>
      <c r="BT122" s="290"/>
      <c r="BU122" s="290">
        <v>0</v>
      </c>
      <c r="BV122" s="290">
        <v>4500</v>
      </c>
      <c r="BW122" s="290">
        <v>-5681</v>
      </c>
      <c r="BX122" s="290">
        <v>3420</v>
      </c>
      <c r="BY122" s="290">
        <v>659</v>
      </c>
      <c r="BZ122" s="290">
        <v>-4318</v>
      </c>
      <c r="CA122" s="290">
        <v>-10.590143876499951</v>
      </c>
      <c r="CB122" s="290">
        <v>1058</v>
      </c>
      <c r="CC122" s="290">
        <v>3217</v>
      </c>
      <c r="CD122" s="290">
        <v>39</v>
      </c>
      <c r="CE122" s="290">
        <v>920</v>
      </c>
      <c r="CF122" s="290">
        <v>34</v>
      </c>
      <c r="CG122" s="290">
        <v>6</v>
      </c>
      <c r="CH122" s="290">
        <v>-22</v>
      </c>
      <c r="CI122" s="290">
        <v>-11111</v>
      </c>
      <c r="CJ122" s="290">
        <v>-27520</v>
      </c>
      <c r="CK122" s="290">
        <f>+innut22!E128+innut22!S128</f>
        <v>1041930.8272970963</v>
      </c>
      <c r="CL122" s="290">
        <v>0</v>
      </c>
      <c r="CM122" s="290">
        <v>0</v>
      </c>
      <c r="CN122" s="290">
        <v>0</v>
      </c>
      <c r="CP122" s="290">
        <f>+innut23!E128</f>
        <v>975849.47382401815</v>
      </c>
      <c r="CQ122" s="290"/>
      <c r="CV122" s="85">
        <f t="shared" si="2"/>
        <v>4.58</v>
      </c>
    </row>
    <row r="123" spans="1:100" ht="13">
      <c r="A123" s="1">
        <v>3032</v>
      </c>
      <c r="B123" s="2" t="s">
        <v>817</v>
      </c>
      <c r="C123" s="289">
        <v>6989</v>
      </c>
      <c r="D123" s="290">
        <v>128</v>
      </c>
      <c r="E123" s="290">
        <v>317</v>
      </c>
      <c r="F123" s="290">
        <v>927</v>
      </c>
      <c r="G123" s="290">
        <v>633</v>
      </c>
      <c r="H123" s="290">
        <v>3998</v>
      </c>
      <c r="I123" s="290">
        <v>757</v>
      </c>
      <c r="J123" s="290">
        <v>213</v>
      </c>
      <c r="K123" s="290">
        <v>32</v>
      </c>
      <c r="L123" s="290">
        <v>50</v>
      </c>
      <c r="M123" s="290">
        <v>386</v>
      </c>
      <c r="N123" s="290">
        <v>125</v>
      </c>
      <c r="O123" s="290">
        <v>65</v>
      </c>
      <c r="P123" s="624">
        <v>22425.623333330001</v>
      </c>
      <c r="Q123" s="624">
        <v>10848.626666669999</v>
      </c>
      <c r="R123" s="624">
        <v>20</v>
      </c>
      <c r="S123" s="290">
        <v>68</v>
      </c>
      <c r="T123" s="290">
        <v>474</v>
      </c>
      <c r="U123" s="958">
        <v>1.4218221871057592E-3</v>
      </c>
      <c r="V123" s="290">
        <v>2043.87170683</v>
      </c>
      <c r="W123" s="765">
        <v>0.56173392</v>
      </c>
      <c r="X123" s="290">
        <v>700</v>
      </c>
      <c r="Y123" s="290"/>
      <c r="Z123" s="290">
        <f>innut22!E129</f>
        <v>308173.49425742938</v>
      </c>
      <c r="AA123" s="290">
        <v>0</v>
      </c>
      <c r="AB123" s="290">
        <v>120</v>
      </c>
      <c r="AC123" s="290">
        <v>770</v>
      </c>
      <c r="AD123" s="290"/>
      <c r="AE123" s="290">
        <v>1131</v>
      </c>
      <c r="AF123" s="290">
        <v>0</v>
      </c>
      <c r="AG123" s="290">
        <v>7005</v>
      </c>
      <c r="AH123" s="290">
        <v>1361</v>
      </c>
      <c r="AI123" s="290">
        <v>200</v>
      </c>
      <c r="AJ123" s="290">
        <v>656.62900000000002</v>
      </c>
      <c r="AK123" s="290">
        <v>0</v>
      </c>
      <c r="AL123" s="290">
        <v>0</v>
      </c>
      <c r="AM123" s="957">
        <v>0.10180738</v>
      </c>
      <c r="AN123" s="290">
        <v>0</v>
      </c>
      <c r="AO123" s="290">
        <v>1312.1797593900001</v>
      </c>
      <c r="AP123" s="290">
        <v>0</v>
      </c>
      <c r="AQ123" s="290">
        <v>0</v>
      </c>
      <c r="AR123" s="290">
        <v>-337.92569868999999</v>
      </c>
      <c r="AS123" s="290">
        <v>3440</v>
      </c>
      <c r="AT123" s="290">
        <v>386</v>
      </c>
      <c r="AU123" s="290">
        <v>49</v>
      </c>
      <c r="AV123" s="766">
        <v>174298</v>
      </c>
      <c r="AW123" s="290"/>
      <c r="AX123" s="766">
        <v>41.833300000000001</v>
      </c>
      <c r="AY123" s="290">
        <v>1703</v>
      </c>
      <c r="AZ123" s="290">
        <v>267</v>
      </c>
      <c r="BA123" s="290">
        <v>126</v>
      </c>
      <c r="BB123" s="290">
        <v>0</v>
      </c>
      <c r="BC123" s="290">
        <v>12854</v>
      </c>
      <c r="BD123" s="290"/>
      <c r="BE123" s="290">
        <v>173625.48987459001</v>
      </c>
      <c r="BF123" s="290">
        <v>0</v>
      </c>
      <c r="BG123" s="290">
        <v>6312.3309991945098</v>
      </c>
      <c r="BH123" s="290">
        <v>340.09293546680624</v>
      </c>
      <c r="BI123" s="290">
        <v>2131</v>
      </c>
      <c r="BJ123" s="290"/>
      <c r="BK123" s="290"/>
      <c r="BL123" s="290"/>
      <c r="BM123" s="290">
        <v>0</v>
      </c>
      <c r="BN123" s="290">
        <v>2496.7601</v>
      </c>
      <c r="BO123" s="290">
        <v>-3264.0052204579006</v>
      </c>
      <c r="BP123" s="290">
        <v>411.67200000000003</v>
      </c>
      <c r="BQ123" s="290">
        <v>-220.77699999999999</v>
      </c>
      <c r="BR123" s="290">
        <v>-143.9141345881321</v>
      </c>
      <c r="BS123" s="290">
        <v>1.276</v>
      </c>
      <c r="BT123" s="290"/>
      <c r="BU123" s="290">
        <v>0</v>
      </c>
      <c r="BV123" s="290">
        <v>1500</v>
      </c>
      <c r="BW123" s="290">
        <v>-1609</v>
      </c>
      <c r="BX123" s="290">
        <v>921</v>
      </c>
      <c r="BY123" s="290">
        <v>178</v>
      </c>
      <c r="BZ123" s="290">
        <v>-1223</v>
      </c>
      <c r="CA123" s="290">
        <v>-3.0117449539671952</v>
      </c>
      <c r="CB123" s="290">
        <v>286</v>
      </c>
      <c r="CC123" s="290">
        <v>911</v>
      </c>
      <c r="CD123" s="290">
        <v>10</v>
      </c>
      <c r="CE123" s="290">
        <v>258</v>
      </c>
      <c r="CF123" s="290">
        <v>10</v>
      </c>
      <c r="CG123" s="290">
        <v>2</v>
      </c>
      <c r="CH123" s="290">
        <v>-7</v>
      </c>
      <c r="CI123" s="290">
        <v>-3113</v>
      </c>
      <c r="CJ123" s="290">
        <v>-8869</v>
      </c>
      <c r="CK123" s="290">
        <f>+innut22!E129+innut22!S129</f>
        <v>308173.49425742938</v>
      </c>
      <c r="CL123" s="290">
        <v>0</v>
      </c>
      <c r="CM123" s="290">
        <v>0</v>
      </c>
      <c r="CN123" s="290">
        <v>0</v>
      </c>
      <c r="CP123" s="290">
        <f>+innut23!E129</f>
        <v>284927.20238344761</v>
      </c>
      <c r="CQ123" s="290"/>
      <c r="CV123" s="85">
        <f t="shared" si="2"/>
        <v>1.2969999999999999</v>
      </c>
    </row>
    <row r="124" spans="1:100" ht="13">
      <c r="A124" s="1">
        <v>3033</v>
      </c>
      <c r="B124" s="2" t="s">
        <v>818</v>
      </c>
      <c r="C124" s="289">
        <v>41565</v>
      </c>
      <c r="D124" s="290">
        <v>861</v>
      </c>
      <c r="E124" s="290">
        <v>2015</v>
      </c>
      <c r="F124" s="290">
        <v>5618</v>
      </c>
      <c r="G124" s="290">
        <v>3580</v>
      </c>
      <c r="H124" s="290">
        <v>24071</v>
      </c>
      <c r="I124" s="290">
        <v>3559</v>
      </c>
      <c r="J124" s="290">
        <v>1057</v>
      </c>
      <c r="K124" s="290">
        <v>181</v>
      </c>
      <c r="L124" s="290">
        <v>290</v>
      </c>
      <c r="M124" s="290">
        <v>2181</v>
      </c>
      <c r="N124" s="290">
        <v>2268</v>
      </c>
      <c r="O124" s="290">
        <v>487</v>
      </c>
      <c r="P124" s="624">
        <v>94547.937666669997</v>
      </c>
      <c r="Q124" s="624">
        <v>56996.194000000003</v>
      </c>
      <c r="R124" s="624">
        <v>90</v>
      </c>
      <c r="S124" s="290">
        <v>627</v>
      </c>
      <c r="T124" s="290">
        <v>3600</v>
      </c>
      <c r="U124" s="958">
        <v>4.278366837941144E-3</v>
      </c>
      <c r="V124" s="290">
        <v>5089.7948014499998</v>
      </c>
      <c r="W124" s="765">
        <v>0.54344526999999998</v>
      </c>
      <c r="X124" s="290">
        <v>3500</v>
      </c>
      <c r="Y124" s="290"/>
      <c r="Z124" s="290">
        <f>innut22!E130</f>
        <v>1533999.0839422946</v>
      </c>
      <c r="AA124" s="290">
        <v>0</v>
      </c>
      <c r="AB124" s="290">
        <v>637</v>
      </c>
      <c r="AC124" s="290">
        <v>4702</v>
      </c>
      <c r="AD124" s="290"/>
      <c r="AE124" s="290">
        <v>50887</v>
      </c>
      <c r="AF124" s="290">
        <v>-11920</v>
      </c>
      <c r="AG124" s="290">
        <v>40942</v>
      </c>
      <c r="AH124" s="290">
        <v>8198</v>
      </c>
      <c r="AI124" s="290">
        <v>2900</v>
      </c>
      <c r="AJ124" s="290">
        <v>0</v>
      </c>
      <c r="AK124" s="290">
        <v>0</v>
      </c>
      <c r="AL124" s="290">
        <v>0</v>
      </c>
      <c r="AM124" s="957">
        <v>1.8829234500000001</v>
      </c>
      <c r="AN124" s="290">
        <v>0</v>
      </c>
      <c r="AO124" s="290">
        <v>7712.9801969800001</v>
      </c>
      <c r="AP124" s="290">
        <v>0</v>
      </c>
      <c r="AQ124" s="290">
        <v>0</v>
      </c>
      <c r="AR124" s="290">
        <v>-1975.0683734199999</v>
      </c>
      <c r="AS124" s="290">
        <v>17261</v>
      </c>
      <c r="AT124" s="290">
        <v>2564</v>
      </c>
      <c r="AU124" s="290">
        <v>576</v>
      </c>
      <c r="AV124" s="766">
        <v>1039054</v>
      </c>
      <c r="AW124" s="290"/>
      <c r="AX124" s="766">
        <v>281</v>
      </c>
      <c r="AY124" s="290">
        <v>8554</v>
      </c>
      <c r="AZ124" s="290">
        <v>2087</v>
      </c>
      <c r="BA124" s="290">
        <v>1090</v>
      </c>
      <c r="BB124" s="290">
        <v>0</v>
      </c>
      <c r="BC124" s="290">
        <v>62004</v>
      </c>
      <c r="BD124" s="290"/>
      <c r="BE124" s="290">
        <v>1053408.8024548001</v>
      </c>
      <c r="BF124" s="290">
        <v>0</v>
      </c>
      <c r="BG124" s="290">
        <v>37540.712259482018</v>
      </c>
      <c r="BH124" s="290">
        <v>2022.6016401027046</v>
      </c>
      <c r="BI124" s="290">
        <v>980</v>
      </c>
      <c r="BJ124" s="290"/>
      <c r="BK124" s="290"/>
      <c r="BL124" s="290"/>
      <c r="BM124" s="290">
        <v>0</v>
      </c>
      <c r="BN124" s="290">
        <v>14675.932199999999</v>
      </c>
      <c r="BO124" s="290">
        <v>-19077.073766736241</v>
      </c>
      <c r="BP124" s="290">
        <v>2574.9270000000001</v>
      </c>
      <c r="BQ124" s="290">
        <v>-1380.914</v>
      </c>
      <c r="BR124" s="290">
        <v>-855.21650159909404</v>
      </c>
      <c r="BS124" s="290">
        <v>6.7359999999999998</v>
      </c>
      <c r="BT124" s="290"/>
      <c r="BU124" s="290">
        <v>0</v>
      </c>
      <c r="BV124" s="290">
        <v>7500</v>
      </c>
      <c r="BW124" s="290">
        <v>-9402</v>
      </c>
      <c r="BX124" s="290">
        <v>5503</v>
      </c>
      <c r="BY124" s="290">
        <v>1635</v>
      </c>
      <c r="BZ124" s="290">
        <v>-7147</v>
      </c>
      <c r="CA124" s="290">
        <v>-18.390931664664095</v>
      </c>
      <c r="CB124" s="290">
        <v>2622</v>
      </c>
      <c r="CC124" s="290">
        <v>5324</v>
      </c>
      <c r="CD124" s="290">
        <v>96</v>
      </c>
      <c r="CE124" s="290">
        <v>1532</v>
      </c>
      <c r="CF124" s="290">
        <v>55</v>
      </c>
      <c r="CG124" s="290">
        <v>9</v>
      </c>
      <c r="CH124" s="290">
        <v>-36</v>
      </c>
      <c r="CI124" s="290">
        <v>-18513</v>
      </c>
      <c r="CJ124" s="290">
        <v>-47534</v>
      </c>
      <c r="CK124" s="290">
        <f>+innut22!E130+innut22!S130</f>
        <v>1533999.0839422946</v>
      </c>
      <c r="CL124" s="290">
        <v>0</v>
      </c>
      <c r="CM124" s="290">
        <v>0</v>
      </c>
      <c r="CN124" s="290">
        <v>0</v>
      </c>
      <c r="CP124" s="290">
        <f>+innut23!E130</f>
        <v>1442870.2395534478</v>
      </c>
      <c r="CQ124" s="290"/>
      <c r="CV124" s="85">
        <f t="shared" si="2"/>
        <v>7.5789999999999997</v>
      </c>
    </row>
    <row r="125" spans="1:100" ht="13">
      <c r="A125" s="1">
        <v>3034</v>
      </c>
      <c r="B125" s="2" t="s">
        <v>819</v>
      </c>
      <c r="C125" s="289">
        <v>23898</v>
      </c>
      <c r="D125" s="290">
        <v>496</v>
      </c>
      <c r="E125" s="290">
        <v>1155</v>
      </c>
      <c r="F125" s="290">
        <v>2810</v>
      </c>
      <c r="G125" s="290">
        <v>1875</v>
      </c>
      <c r="H125" s="290">
        <v>13722</v>
      </c>
      <c r="I125" s="290">
        <v>2704</v>
      </c>
      <c r="J125" s="290">
        <v>702</v>
      </c>
      <c r="K125" s="290">
        <v>155</v>
      </c>
      <c r="L125" s="290">
        <v>181</v>
      </c>
      <c r="M125" s="290">
        <v>1491</v>
      </c>
      <c r="N125" s="290">
        <v>503</v>
      </c>
      <c r="O125" s="290">
        <v>178</v>
      </c>
      <c r="P125" s="624">
        <v>96215.069000000003</v>
      </c>
      <c r="Q125" s="624">
        <v>47996.094333330002</v>
      </c>
      <c r="R125" s="624">
        <v>77</v>
      </c>
      <c r="S125" s="290">
        <v>269</v>
      </c>
      <c r="T125" s="290">
        <v>1859</v>
      </c>
      <c r="U125" s="958">
        <v>7.0866326779829162E-3</v>
      </c>
      <c r="V125" s="290">
        <v>4932.3870052100001</v>
      </c>
      <c r="W125" s="765">
        <v>0.60477060999999999</v>
      </c>
      <c r="X125" s="290">
        <v>2300</v>
      </c>
      <c r="Y125" s="290"/>
      <c r="Z125" s="290">
        <f>innut22!E131</f>
        <v>791469.08676740143</v>
      </c>
      <c r="AA125" s="290">
        <v>0</v>
      </c>
      <c r="AB125" s="290">
        <v>583</v>
      </c>
      <c r="AC125" s="290">
        <v>1458</v>
      </c>
      <c r="AD125" s="290"/>
      <c r="AE125" s="290">
        <v>2630</v>
      </c>
      <c r="AF125" s="290">
        <v>0</v>
      </c>
      <c r="AG125" s="290">
        <v>23619</v>
      </c>
      <c r="AH125" s="290">
        <v>4302</v>
      </c>
      <c r="AI125" s="290">
        <v>200</v>
      </c>
      <c r="AJ125" s="290">
        <v>0</v>
      </c>
      <c r="AK125" s="290">
        <v>0</v>
      </c>
      <c r="AL125" s="290">
        <v>0</v>
      </c>
      <c r="AM125" s="957">
        <v>0.46928525999999998</v>
      </c>
      <c r="AN125" s="290">
        <v>0</v>
      </c>
      <c r="AO125" s="290">
        <v>4437.8028075299999</v>
      </c>
      <c r="AP125" s="290">
        <v>0</v>
      </c>
      <c r="AQ125" s="290">
        <v>0</v>
      </c>
      <c r="AR125" s="290">
        <v>-1139.3957283899999</v>
      </c>
      <c r="AS125" s="290">
        <v>6395</v>
      </c>
      <c r="AT125" s="290">
        <v>1454</v>
      </c>
      <c r="AU125" s="290">
        <v>195</v>
      </c>
      <c r="AV125" s="766">
        <v>578533</v>
      </c>
      <c r="AW125" s="290"/>
      <c r="AX125" s="766">
        <v>191.29165</v>
      </c>
      <c r="AY125" s="290">
        <v>4234</v>
      </c>
      <c r="AZ125" s="290">
        <v>908</v>
      </c>
      <c r="BA125" s="290">
        <v>472</v>
      </c>
      <c r="BB125" s="290">
        <v>0</v>
      </c>
      <c r="BC125" s="290">
        <v>38108</v>
      </c>
      <c r="BD125" s="290"/>
      <c r="BE125" s="290">
        <v>584883.88632704003</v>
      </c>
      <c r="BF125" s="290">
        <v>0</v>
      </c>
      <c r="BG125" s="290">
        <v>21584.216085098069</v>
      </c>
      <c r="BH125" s="290">
        <v>1162.9047033603856</v>
      </c>
      <c r="BI125" s="290">
        <v>5760</v>
      </c>
      <c r="BJ125" s="290"/>
      <c r="BK125" s="290"/>
      <c r="BL125" s="290"/>
      <c r="BM125" s="290">
        <v>0</v>
      </c>
      <c r="BN125" s="290">
        <v>8444.0633200000011</v>
      </c>
      <c r="BO125" s="290">
        <v>-11005.358929621008</v>
      </c>
      <c r="BP125" s="290">
        <v>1485.366</v>
      </c>
      <c r="BQ125" s="290">
        <v>-796.59100000000001</v>
      </c>
      <c r="BR125" s="290">
        <v>-434.93983154760662</v>
      </c>
      <c r="BS125" s="290">
        <v>4.1619999999999999</v>
      </c>
      <c r="BT125" s="290"/>
      <c r="BU125" s="290">
        <v>0</v>
      </c>
      <c r="BV125" s="290">
        <v>5000</v>
      </c>
      <c r="BW125" s="290">
        <v>-5424</v>
      </c>
      <c r="BX125" s="290">
        <v>2788</v>
      </c>
      <c r="BY125" s="290">
        <v>702</v>
      </c>
      <c r="BZ125" s="290">
        <v>-4123</v>
      </c>
      <c r="CA125" s="290">
        <v>-5.7015588313861372</v>
      </c>
      <c r="CB125" s="290">
        <v>1126</v>
      </c>
      <c r="CC125" s="290">
        <v>3071</v>
      </c>
      <c r="CD125" s="290">
        <v>41</v>
      </c>
      <c r="CE125" s="290">
        <v>881</v>
      </c>
      <c r="CF125" s="290">
        <v>34</v>
      </c>
      <c r="CG125" s="290">
        <v>5</v>
      </c>
      <c r="CH125" s="290">
        <v>-22</v>
      </c>
      <c r="CI125" s="290">
        <v>-10644</v>
      </c>
      <c r="CJ125" s="290">
        <v>-27877</v>
      </c>
      <c r="CK125" s="290">
        <f>+innut22!E131+innut22!S131</f>
        <v>791469.08676740143</v>
      </c>
      <c r="CL125" s="290">
        <v>0</v>
      </c>
      <c r="CM125" s="290">
        <v>0</v>
      </c>
      <c r="CN125" s="290">
        <v>0</v>
      </c>
      <c r="CP125" s="290">
        <f>+innut23!E131</f>
        <v>750913.72039773921</v>
      </c>
      <c r="CQ125" s="290"/>
      <c r="CV125" s="85">
        <f t="shared" si="2"/>
        <v>4.3719999999999999</v>
      </c>
    </row>
    <row r="126" spans="1:100" ht="13">
      <c r="A126" s="1">
        <v>3035</v>
      </c>
      <c r="B126" s="2" t="s">
        <v>820</v>
      </c>
      <c r="C126" s="289">
        <v>26716</v>
      </c>
      <c r="D126" s="290">
        <v>572</v>
      </c>
      <c r="E126" s="290">
        <v>1238</v>
      </c>
      <c r="F126" s="290">
        <v>3370</v>
      </c>
      <c r="G126" s="290">
        <v>2109</v>
      </c>
      <c r="H126" s="290">
        <v>15371</v>
      </c>
      <c r="I126" s="290">
        <v>2914</v>
      </c>
      <c r="J126" s="290">
        <v>719</v>
      </c>
      <c r="K126" s="290">
        <v>148</v>
      </c>
      <c r="L126" s="290">
        <v>220</v>
      </c>
      <c r="M126" s="290">
        <v>1660</v>
      </c>
      <c r="N126" s="290">
        <v>717</v>
      </c>
      <c r="O126" s="290">
        <v>276</v>
      </c>
      <c r="P126" s="624">
        <v>63685.442999999999</v>
      </c>
      <c r="Q126" s="624">
        <v>36707.571666670003</v>
      </c>
      <c r="R126" s="624">
        <v>112</v>
      </c>
      <c r="S126" s="290">
        <v>337</v>
      </c>
      <c r="T126" s="290">
        <v>2314</v>
      </c>
      <c r="U126" s="958">
        <v>4.0695330589236006E-3</v>
      </c>
      <c r="V126" s="290">
        <v>5004.3346581699998</v>
      </c>
      <c r="W126" s="765">
        <v>0.56811548999999995</v>
      </c>
      <c r="X126" s="290">
        <v>2300</v>
      </c>
      <c r="Y126" s="290"/>
      <c r="Z126" s="290">
        <f>innut22!E132</f>
        <v>843249.29102528887</v>
      </c>
      <c r="AA126" s="290">
        <v>0</v>
      </c>
      <c r="AB126" s="290">
        <v>610</v>
      </c>
      <c r="AC126" s="290">
        <v>5994</v>
      </c>
      <c r="AD126" s="290"/>
      <c r="AE126" s="290">
        <v>7094</v>
      </c>
      <c r="AF126" s="290">
        <v>0</v>
      </c>
      <c r="AG126" s="290">
        <v>26441</v>
      </c>
      <c r="AH126" s="290">
        <v>4947</v>
      </c>
      <c r="AI126" s="290">
        <v>4700</v>
      </c>
      <c r="AJ126" s="290">
        <v>0</v>
      </c>
      <c r="AK126" s="290">
        <v>0</v>
      </c>
      <c r="AL126" s="290">
        <v>0</v>
      </c>
      <c r="AM126" s="957">
        <v>0.77303732999999997</v>
      </c>
      <c r="AN126" s="290">
        <v>0</v>
      </c>
      <c r="AO126" s="290">
        <v>5084.6944374900004</v>
      </c>
      <c r="AP126" s="290">
        <v>0</v>
      </c>
      <c r="AQ126" s="290">
        <v>0</v>
      </c>
      <c r="AR126" s="290">
        <v>-1275.5308207099999</v>
      </c>
      <c r="AS126" s="290">
        <v>9415</v>
      </c>
      <c r="AT126" s="290">
        <v>1647</v>
      </c>
      <c r="AU126" s="290">
        <v>273</v>
      </c>
      <c r="AV126" s="766">
        <v>664836</v>
      </c>
      <c r="AW126" s="290"/>
      <c r="AX126" s="766">
        <v>226</v>
      </c>
      <c r="AY126" s="290">
        <v>5341</v>
      </c>
      <c r="AZ126" s="290">
        <v>1165</v>
      </c>
      <c r="BA126" s="290">
        <v>655</v>
      </c>
      <c r="BB126" s="290">
        <v>0</v>
      </c>
      <c r="BC126" s="290">
        <v>44142</v>
      </c>
      <c r="BD126" s="290"/>
      <c r="BE126" s="290">
        <v>698033.27402764</v>
      </c>
      <c r="BF126" s="290">
        <v>0</v>
      </c>
      <c r="BG126" s="290">
        <v>24129.379735939408</v>
      </c>
      <c r="BH126" s="290">
        <v>1300.0318878138783</v>
      </c>
      <c r="BI126" s="290">
        <v>10941</v>
      </c>
      <c r="BJ126" s="290"/>
      <c r="BK126" s="290"/>
      <c r="BL126" s="290"/>
      <c r="BM126" s="290">
        <v>0</v>
      </c>
      <c r="BN126" s="290">
        <v>9674.9413199999999</v>
      </c>
      <c r="BO126" s="290">
        <v>-12320.280090524962</v>
      </c>
      <c r="BP126" s="290">
        <v>1629.087</v>
      </c>
      <c r="BQ126" s="290">
        <v>-873.66700000000003</v>
      </c>
      <c r="BR126" s="290">
        <v>-515.13477133296453</v>
      </c>
      <c r="BS126" s="290">
        <v>4.4969999999999999</v>
      </c>
      <c r="BT126" s="290"/>
      <c r="BU126" s="290">
        <v>0</v>
      </c>
      <c r="BV126" s="290">
        <v>5000</v>
      </c>
      <c r="BW126" s="290">
        <v>-6072</v>
      </c>
      <c r="BX126" s="290">
        <v>3309</v>
      </c>
      <c r="BY126" s="290">
        <v>879</v>
      </c>
      <c r="BZ126" s="290">
        <v>-4615</v>
      </c>
      <c r="CA126" s="290">
        <v>-23.443458142072814</v>
      </c>
      <c r="CB126" s="290">
        <v>1410</v>
      </c>
      <c r="CC126" s="290">
        <v>3438</v>
      </c>
      <c r="CD126" s="290">
        <v>52</v>
      </c>
      <c r="CE126" s="290">
        <v>985</v>
      </c>
      <c r="CF126" s="290">
        <v>37</v>
      </c>
      <c r="CG126" s="290">
        <v>5</v>
      </c>
      <c r="CH126" s="290">
        <v>-24</v>
      </c>
      <c r="CI126" s="290">
        <v>-11899</v>
      </c>
      <c r="CJ126" s="290">
        <v>-30778</v>
      </c>
      <c r="CK126" s="290">
        <f>+innut22!E132+innut22!S132</f>
        <v>843249.29102528887</v>
      </c>
      <c r="CL126" s="290">
        <v>0</v>
      </c>
      <c r="CM126" s="290">
        <v>0</v>
      </c>
      <c r="CN126" s="290">
        <v>0</v>
      </c>
      <c r="CP126" s="290">
        <f>+innut23!E132</f>
        <v>805562.23742699414</v>
      </c>
      <c r="CQ126" s="290"/>
      <c r="CV126" s="85">
        <f t="shared" si="2"/>
        <v>4.8949999999999996</v>
      </c>
    </row>
    <row r="127" spans="1:100" ht="13">
      <c r="A127" s="1">
        <v>3036</v>
      </c>
      <c r="B127" s="2" t="s">
        <v>821</v>
      </c>
      <c r="C127" s="289">
        <v>15074</v>
      </c>
      <c r="D127" s="290">
        <v>369</v>
      </c>
      <c r="E127" s="290">
        <v>730</v>
      </c>
      <c r="F127" s="290">
        <v>1884</v>
      </c>
      <c r="G127" s="290">
        <v>1207</v>
      </c>
      <c r="H127" s="290">
        <v>8873</v>
      </c>
      <c r="I127" s="290">
        <v>1331</v>
      </c>
      <c r="J127" s="290">
        <v>341</v>
      </c>
      <c r="K127" s="290">
        <v>63</v>
      </c>
      <c r="L127" s="290">
        <v>108</v>
      </c>
      <c r="M127" s="290">
        <v>746</v>
      </c>
      <c r="N127" s="290">
        <v>431</v>
      </c>
      <c r="O127" s="290">
        <v>200</v>
      </c>
      <c r="P127" s="624">
        <v>35448.548666670002</v>
      </c>
      <c r="Q127" s="624">
        <v>28342.41666667</v>
      </c>
      <c r="R127" s="624">
        <v>53</v>
      </c>
      <c r="S127" s="290">
        <v>170</v>
      </c>
      <c r="T127" s="290">
        <v>1183</v>
      </c>
      <c r="U127" s="958">
        <v>2.9804482915854183E-3</v>
      </c>
      <c r="V127" s="290">
        <v>5155.3349412300004</v>
      </c>
      <c r="W127" s="765">
        <v>0.57840771999999996</v>
      </c>
      <c r="X127" s="290">
        <v>2800</v>
      </c>
      <c r="Y127" s="290"/>
      <c r="Z127" s="290">
        <f>innut22!E133</f>
        <v>491156.65128403326</v>
      </c>
      <c r="AA127" s="290">
        <v>0</v>
      </c>
      <c r="AB127" s="290">
        <v>230</v>
      </c>
      <c r="AC127" s="290">
        <v>3280</v>
      </c>
      <c r="AD127" s="290"/>
      <c r="AE127" s="290">
        <v>18225</v>
      </c>
      <c r="AF127" s="290">
        <v>-7430</v>
      </c>
      <c r="AG127" s="290">
        <v>14798</v>
      </c>
      <c r="AH127" s="290">
        <v>2885</v>
      </c>
      <c r="AI127" s="290">
        <v>200</v>
      </c>
      <c r="AJ127" s="290">
        <v>0</v>
      </c>
      <c r="AK127" s="290">
        <v>0</v>
      </c>
      <c r="AL127" s="290">
        <v>0</v>
      </c>
      <c r="AM127" s="957">
        <v>0.30495387000000002</v>
      </c>
      <c r="AN127" s="290">
        <v>0</v>
      </c>
      <c r="AO127" s="290">
        <v>2738.4468765400002</v>
      </c>
      <c r="AP127" s="290">
        <v>0</v>
      </c>
      <c r="AQ127" s="290">
        <v>0</v>
      </c>
      <c r="AR127" s="290">
        <v>-713.86502343999996</v>
      </c>
      <c r="AS127" s="290">
        <v>5299</v>
      </c>
      <c r="AT127" s="290">
        <v>903</v>
      </c>
      <c r="AU127" s="290">
        <v>119</v>
      </c>
      <c r="AV127" s="766">
        <v>359039</v>
      </c>
      <c r="AW127" s="290"/>
      <c r="AX127" s="766">
        <v>119.12505</v>
      </c>
      <c r="AY127" s="290">
        <v>2652</v>
      </c>
      <c r="AZ127" s="290">
        <v>608</v>
      </c>
      <c r="BA127" s="290">
        <v>304</v>
      </c>
      <c r="BB127" s="290">
        <v>0</v>
      </c>
      <c r="BC127" s="290">
        <v>16784</v>
      </c>
      <c r="BD127" s="290"/>
      <c r="BE127" s="290">
        <v>368833.75748382002</v>
      </c>
      <c r="BF127" s="290">
        <v>0</v>
      </c>
      <c r="BG127" s="290">
        <v>13614.548216033489</v>
      </c>
      <c r="BH127" s="290">
        <v>733.51851612915129</v>
      </c>
      <c r="BI127" s="290">
        <v>-1265</v>
      </c>
      <c r="BJ127" s="290"/>
      <c r="BK127" s="290"/>
      <c r="BL127" s="290"/>
      <c r="BM127" s="290">
        <v>0</v>
      </c>
      <c r="BN127" s="290">
        <v>5210.6007800000007</v>
      </c>
      <c r="BO127" s="290">
        <v>-6895.1819061150627</v>
      </c>
      <c r="BP127" s="290">
        <v>936.72500000000002</v>
      </c>
      <c r="BQ127" s="290">
        <v>-502.35899999999998</v>
      </c>
      <c r="BR127" s="290">
        <v>-292.45830448919833</v>
      </c>
      <c r="BS127" s="290">
        <v>2.504</v>
      </c>
      <c r="BT127" s="290"/>
      <c r="BU127" s="290">
        <v>0</v>
      </c>
      <c r="BV127" s="290">
        <v>2500</v>
      </c>
      <c r="BW127" s="290">
        <v>-3398</v>
      </c>
      <c r="BX127" s="290">
        <v>1883</v>
      </c>
      <c r="BY127" s="290">
        <v>443</v>
      </c>
      <c r="BZ127" s="290">
        <v>-2583</v>
      </c>
      <c r="CA127" s="290">
        <v>-12.830569395739531</v>
      </c>
      <c r="CB127" s="290">
        <v>711</v>
      </c>
      <c r="CC127" s="290">
        <v>1924</v>
      </c>
      <c r="CD127" s="290">
        <v>26</v>
      </c>
      <c r="CE127" s="290">
        <v>556</v>
      </c>
      <c r="CF127" s="290">
        <v>20</v>
      </c>
      <c r="CG127" s="290">
        <v>3</v>
      </c>
      <c r="CH127" s="290">
        <v>-13</v>
      </c>
      <c r="CI127" s="290">
        <v>-6714</v>
      </c>
      <c r="CJ127" s="290">
        <v>-17239</v>
      </c>
      <c r="CK127" s="290">
        <f>+innut22!E133+innut22!S133</f>
        <v>491156.65128403326</v>
      </c>
      <c r="CL127" s="290">
        <v>0</v>
      </c>
      <c r="CM127" s="290">
        <v>0</v>
      </c>
      <c r="CN127" s="290">
        <v>0</v>
      </c>
      <c r="CP127" s="290">
        <f>+innut23!E133</f>
        <v>475284.40559270204</v>
      </c>
      <c r="CQ127" s="290"/>
      <c r="CV127" s="85">
        <f t="shared" si="2"/>
        <v>2.7389999999999999</v>
      </c>
    </row>
    <row r="128" spans="1:100" ht="13">
      <c r="A128" s="1">
        <v>3037</v>
      </c>
      <c r="B128" s="2" t="s">
        <v>822</v>
      </c>
      <c r="C128" s="289">
        <v>2905</v>
      </c>
      <c r="D128" s="290">
        <v>53</v>
      </c>
      <c r="E128" s="290">
        <v>118</v>
      </c>
      <c r="F128" s="290">
        <v>331</v>
      </c>
      <c r="G128" s="290">
        <v>209</v>
      </c>
      <c r="H128" s="290">
        <v>1603</v>
      </c>
      <c r="I128" s="290">
        <v>384</v>
      </c>
      <c r="J128" s="290">
        <v>139</v>
      </c>
      <c r="K128" s="290">
        <v>32</v>
      </c>
      <c r="L128" s="290">
        <v>22</v>
      </c>
      <c r="M128" s="290">
        <v>269</v>
      </c>
      <c r="N128" s="290">
        <v>14</v>
      </c>
      <c r="O128" s="290">
        <v>13</v>
      </c>
      <c r="P128" s="624">
        <v>18087.466</v>
      </c>
      <c r="Q128" s="624">
        <v>10883.65733333</v>
      </c>
      <c r="R128" s="624">
        <v>7</v>
      </c>
      <c r="S128" s="290">
        <v>34</v>
      </c>
      <c r="T128" s="290">
        <v>278</v>
      </c>
      <c r="U128" s="958">
        <v>1.2231229408621552E-3</v>
      </c>
      <c r="V128" s="290">
        <v>-425.14356406000002</v>
      </c>
      <c r="W128" s="765">
        <v>0.75796724000000004</v>
      </c>
      <c r="X128" s="290">
        <v>800</v>
      </c>
      <c r="Y128" s="290"/>
      <c r="Z128" s="290">
        <f>innut22!E134</f>
        <v>86577.752371973009</v>
      </c>
      <c r="AA128" s="290">
        <v>0</v>
      </c>
      <c r="AB128" s="290">
        <v>71</v>
      </c>
      <c r="AC128" s="290">
        <v>70</v>
      </c>
      <c r="AD128" s="290"/>
      <c r="AE128" s="290">
        <v>0</v>
      </c>
      <c r="AF128" s="290">
        <v>0</v>
      </c>
      <c r="AG128" s="290">
        <v>2869</v>
      </c>
      <c r="AH128" s="290">
        <v>478</v>
      </c>
      <c r="AI128" s="290">
        <v>200</v>
      </c>
      <c r="AJ128" s="290">
        <v>0</v>
      </c>
      <c r="AK128" s="290">
        <v>0</v>
      </c>
      <c r="AL128" s="290">
        <v>0</v>
      </c>
      <c r="AM128" s="957">
        <v>9.0903629999999999E-2</v>
      </c>
      <c r="AN128" s="290">
        <v>0</v>
      </c>
      <c r="AO128" s="290">
        <v>616.31894803</v>
      </c>
      <c r="AP128" s="290">
        <v>0</v>
      </c>
      <c r="AQ128" s="290">
        <v>0</v>
      </c>
      <c r="AR128" s="290">
        <v>1512.8396770300001</v>
      </c>
      <c r="AS128" s="290">
        <v>3048</v>
      </c>
      <c r="AT128" s="290">
        <v>160</v>
      </c>
      <c r="AU128" s="290">
        <v>32</v>
      </c>
      <c r="AV128" s="766">
        <v>97369</v>
      </c>
      <c r="AW128" s="290"/>
      <c r="AX128" s="766">
        <v>19.999949999999998</v>
      </c>
      <c r="AY128" s="290">
        <v>517</v>
      </c>
      <c r="AZ128" s="290">
        <v>143</v>
      </c>
      <c r="BA128" s="290">
        <v>74</v>
      </c>
      <c r="BB128" s="290">
        <v>3017</v>
      </c>
      <c r="BC128" s="290">
        <v>4988</v>
      </c>
      <c r="BD128" s="290"/>
      <c r="BE128" s="290">
        <v>96542.745143880005</v>
      </c>
      <c r="BF128" s="290">
        <v>0</v>
      </c>
      <c r="BG128" s="290">
        <v>2623.7403852711482</v>
      </c>
      <c r="BH128" s="290">
        <v>141.36070647175166</v>
      </c>
      <c r="BI128" s="290">
        <v>548</v>
      </c>
      <c r="BJ128" s="290"/>
      <c r="BK128" s="290"/>
      <c r="BL128" s="290"/>
      <c r="BM128" s="290">
        <v>0</v>
      </c>
      <c r="BN128" s="290">
        <v>1172.7056</v>
      </c>
      <c r="BO128" s="290">
        <v>-1336.8209817978184</v>
      </c>
      <c r="BP128" s="290">
        <v>154.166</v>
      </c>
      <c r="BQ128" s="290">
        <v>-82.677999999999997</v>
      </c>
      <c r="BR128" s="290">
        <v>-54.762216487731315</v>
      </c>
      <c r="BS128" s="290">
        <v>0.66500000000000004</v>
      </c>
      <c r="BT128" s="290"/>
      <c r="BU128" s="290">
        <v>0</v>
      </c>
      <c r="BV128" s="290">
        <v>500</v>
      </c>
      <c r="BW128" s="290">
        <v>-659</v>
      </c>
      <c r="BX128" s="290">
        <v>355</v>
      </c>
      <c r="BY128" s="290">
        <v>89</v>
      </c>
      <c r="BZ128" s="290">
        <v>-501</v>
      </c>
      <c r="CA128" s="290">
        <v>-0.27540171445029671</v>
      </c>
      <c r="CB128" s="290">
        <v>143</v>
      </c>
      <c r="CC128" s="290">
        <v>373</v>
      </c>
      <c r="CD128" s="290">
        <v>5</v>
      </c>
      <c r="CE128" s="290">
        <v>107</v>
      </c>
      <c r="CF128" s="290">
        <v>5</v>
      </c>
      <c r="CG128" s="290">
        <v>1</v>
      </c>
      <c r="CH128" s="290">
        <v>-4</v>
      </c>
      <c r="CI128" s="290">
        <v>-1294</v>
      </c>
      <c r="CJ128" s="290">
        <v>-3385</v>
      </c>
      <c r="CK128" s="290">
        <f>+innut22!E134+innut22!S134</f>
        <v>86577.752371973009</v>
      </c>
      <c r="CL128" s="290">
        <v>0</v>
      </c>
      <c r="CM128" s="290">
        <v>0</v>
      </c>
      <c r="CN128" s="290">
        <v>0</v>
      </c>
      <c r="CP128" s="290">
        <f>+innut23!E134</f>
        <v>82341.866239911382</v>
      </c>
      <c r="CQ128" s="290"/>
      <c r="CV128" s="85">
        <f t="shared" si="2"/>
        <v>0.53100000000000003</v>
      </c>
    </row>
    <row r="129" spans="1:100" ht="13">
      <c r="A129" s="1">
        <v>3038</v>
      </c>
      <c r="B129" s="2" t="s">
        <v>874</v>
      </c>
      <c r="C129" s="289">
        <v>6859</v>
      </c>
      <c r="D129" s="290">
        <v>126</v>
      </c>
      <c r="E129" s="290">
        <v>295</v>
      </c>
      <c r="F129" s="290">
        <v>944</v>
      </c>
      <c r="G129" s="290">
        <v>504</v>
      </c>
      <c r="H129" s="290">
        <v>3821</v>
      </c>
      <c r="I129" s="290">
        <v>848</v>
      </c>
      <c r="J129" s="290">
        <v>239</v>
      </c>
      <c r="K129" s="290">
        <v>65</v>
      </c>
      <c r="L129" s="290">
        <v>49</v>
      </c>
      <c r="M129" s="290">
        <v>500</v>
      </c>
      <c r="N129" s="290">
        <v>107</v>
      </c>
      <c r="O129" s="290">
        <v>42</v>
      </c>
      <c r="P129" s="624">
        <v>30867.047999999999</v>
      </c>
      <c r="Q129" s="624">
        <v>20669.212333330001</v>
      </c>
      <c r="R129" s="624">
        <v>18</v>
      </c>
      <c r="S129" s="290">
        <v>68</v>
      </c>
      <c r="T129" s="290">
        <v>514</v>
      </c>
      <c r="U129" s="958">
        <v>1.7176027595647207E-3</v>
      </c>
      <c r="V129" s="290">
        <v>-1725.16196969</v>
      </c>
      <c r="W129" s="765">
        <v>0.61556869999999997</v>
      </c>
      <c r="X129" s="290">
        <v>700</v>
      </c>
      <c r="Y129" s="290"/>
      <c r="Z129" s="290">
        <f>innut22!E135</f>
        <v>318555.90339370479</v>
      </c>
      <c r="AA129" s="290">
        <v>0</v>
      </c>
      <c r="AB129" s="290">
        <v>100</v>
      </c>
      <c r="AC129" s="290">
        <v>188</v>
      </c>
      <c r="AD129" s="290"/>
      <c r="AE129" s="290">
        <v>0</v>
      </c>
      <c r="AF129" s="290">
        <v>0</v>
      </c>
      <c r="AG129" s="290">
        <v>6842</v>
      </c>
      <c r="AH129" s="290">
        <v>1291</v>
      </c>
      <c r="AI129" s="290">
        <v>200</v>
      </c>
      <c r="AJ129" s="290">
        <v>0</v>
      </c>
      <c r="AK129" s="290">
        <v>0</v>
      </c>
      <c r="AL129" s="290">
        <v>0</v>
      </c>
      <c r="AM129" s="957">
        <v>0.1321679</v>
      </c>
      <c r="AN129" s="290">
        <v>0</v>
      </c>
      <c r="AO129" s="290">
        <v>1371.0417782300001</v>
      </c>
      <c r="AP129" s="290">
        <v>0</v>
      </c>
      <c r="AQ129" s="290">
        <v>0</v>
      </c>
      <c r="AR129" s="290">
        <v>-330.06247401000002</v>
      </c>
      <c r="AS129" s="290">
        <v>2158</v>
      </c>
      <c r="AT129" s="290">
        <v>349</v>
      </c>
      <c r="AU129" s="290">
        <v>61</v>
      </c>
      <c r="AV129" s="766">
        <v>190068</v>
      </c>
      <c r="AW129" s="290"/>
      <c r="AX129" s="766">
        <v>42.249949999999998</v>
      </c>
      <c r="AY129" s="290">
        <v>2090</v>
      </c>
      <c r="AZ129" s="290">
        <v>288</v>
      </c>
      <c r="BA129" s="290">
        <v>121</v>
      </c>
      <c r="BB129" s="290">
        <v>0</v>
      </c>
      <c r="BC129" s="290">
        <v>11969</v>
      </c>
      <c r="BD129" s="290"/>
      <c r="BE129" s="290">
        <v>191312.16973133001</v>
      </c>
      <c r="BF129" s="290">
        <v>0</v>
      </c>
      <c r="BG129" s="290">
        <v>6194.9174879775574</v>
      </c>
      <c r="BH129" s="290">
        <v>333.76698302572959</v>
      </c>
      <c r="BI129" s="290">
        <v>1479</v>
      </c>
      <c r="BJ129" s="290"/>
      <c r="BK129" s="290"/>
      <c r="BL129" s="290"/>
      <c r="BM129" s="290">
        <v>0</v>
      </c>
      <c r="BN129" s="290">
        <v>2608.7602599999996</v>
      </c>
      <c r="BO129" s="290">
        <v>-3188.0547777834345</v>
      </c>
      <c r="BP129" s="290">
        <v>398.04500000000002</v>
      </c>
      <c r="BQ129" s="290">
        <v>-213.46899999999999</v>
      </c>
      <c r="BR129" s="290">
        <v>-147.87748490702705</v>
      </c>
      <c r="BS129" s="290">
        <v>1.333</v>
      </c>
      <c r="BT129" s="290"/>
      <c r="BU129" s="290">
        <v>0</v>
      </c>
      <c r="BV129" s="290">
        <v>2000</v>
      </c>
      <c r="BW129" s="290">
        <v>-1571</v>
      </c>
      <c r="BX129" s="290">
        <v>946</v>
      </c>
      <c r="BY129" s="290">
        <v>178</v>
      </c>
      <c r="BZ129" s="290">
        <v>-1194</v>
      </c>
      <c r="CA129" s="290">
        <v>-0.736997309538026</v>
      </c>
      <c r="CB129" s="290">
        <v>286</v>
      </c>
      <c r="CC129" s="290">
        <v>890</v>
      </c>
      <c r="CD129" s="290">
        <v>10</v>
      </c>
      <c r="CE129" s="290">
        <v>253</v>
      </c>
      <c r="CF129" s="290">
        <v>11</v>
      </c>
      <c r="CG129" s="290">
        <v>1</v>
      </c>
      <c r="CH129" s="290">
        <v>-7</v>
      </c>
      <c r="CI129" s="290">
        <v>-3055</v>
      </c>
      <c r="CJ129" s="290">
        <v>-10102</v>
      </c>
      <c r="CK129" s="290">
        <f>+innut22!E135+innut22!S135</f>
        <v>318555.90339370479</v>
      </c>
      <c r="CL129" s="290">
        <v>0</v>
      </c>
      <c r="CM129" s="290">
        <v>0</v>
      </c>
      <c r="CN129" s="290">
        <v>0</v>
      </c>
      <c r="CP129" s="290">
        <f>+innut23!E135</f>
        <v>290984.20273886941</v>
      </c>
      <c r="CQ129" s="290"/>
      <c r="CV129" s="85">
        <f t="shared" si="2"/>
        <v>1.2669999999999999</v>
      </c>
    </row>
    <row r="130" spans="1:100" ht="13">
      <c r="A130" s="1">
        <v>3039</v>
      </c>
      <c r="B130" s="2" t="s">
        <v>875</v>
      </c>
      <c r="C130" s="289">
        <v>1057</v>
      </c>
      <c r="D130" s="290">
        <v>18</v>
      </c>
      <c r="E130" s="290">
        <v>32</v>
      </c>
      <c r="F130" s="290">
        <v>104</v>
      </c>
      <c r="G130" s="290">
        <v>90</v>
      </c>
      <c r="H130" s="290">
        <v>583</v>
      </c>
      <c r="I130" s="290">
        <v>153</v>
      </c>
      <c r="J130" s="290">
        <v>64</v>
      </c>
      <c r="K130" s="290">
        <v>19</v>
      </c>
      <c r="L130" s="290">
        <v>10</v>
      </c>
      <c r="M130" s="290">
        <v>124</v>
      </c>
      <c r="N130" s="290">
        <v>17</v>
      </c>
      <c r="O130" s="290">
        <v>22</v>
      </c>
      <c r="P130" s="624">
        <v>5555.6896666700004</v>
      </c>
      <c r="Q130" s="624">
        <v>3927.4946666699998</v>
      </c>
      <c r="R130" s="624">
        <v>2</v>
      </c>
      <c r="S130" s="290">
        <v>12</v>
      </c>
      <c r="T130" s="290">
        <v>105</v>
      </c>
      <c r="U130" s="958">
        <v>9.052952701509001E-4</v>
      </c>
      <c r="V130" s="290">
        <v>735.25892927999996</v>
      </c>
      <c r="W130" s="765">
        <v>1</v>
      </c>
      <c r="X130" s="290">
        <v>0</v>
      </c>
      <c r="Y130" s="290"/>
      <c r="Z130" s="290">
        <f>innut22!E136</f>
        <v>43735.281434610966</v>
      </c>
      <c r="AA130" s="290">
        <v>0</v>
      </c>
      <c r="AB130" s="290">
        <v>31</v>
      </c>
      <c r="AC130" s="290">
        <v>390</v>
      </c>
      <c r="AD130" s="290"/>
      <c r="AE130" s="290">
        <v>0</v>
      </c>
      <c r="AF130" s="290">
        <v>0</v>
      </c>
      <c r="AG130" s="290">
        <v>1063</v>
      </c>
      <c r="AH130" s="290">
        <v>159</v>
      </c>
      <c r="AI130" s="290">
        <v>200</v>
      </c>
      <c r="AJ130" s="290">
        <v>0</v>
      </c>
      <c r="AK130" s="290">
        <v>0</v>
      </c>
      <c r="AL130" s="290">
        <v>0</v>
      </c>
      <c r="AM130" s="957">
        <v>1.2557240000000001E-2</v>
      </c>
      <c r="AN130" s="290">
        <v>0</v>
      </c>
      <c r="AO130" s="290">
        <v>274.49631593999999</v>
      </c>
      <c r="AP130" s="290">
        <v>0</v>
      </c>
      <c r="AQ130" s="290">
        <v>0</v>
      </c>
      <c r="AR130" s="290">
        <v>60.428141439999997</v>
      </c>
      <c r="AS130" s="290">
        <v>209</v>
      </c>
      <c r="AT130" s="290">
        <v>47</v>
      </c>
      <c r="AU130" s="290">
        <v>6</v>
      </c>
      <c r="AV130" s="766">
        <v>53166</v>
      </c>
      <c r="AW130" s="290"/>
      <c r="AX130" s="766">
        <v>5.1250499999999999</v>
      </c>
      <c r="AY130" s="290">
        <v>185</v>
      </c>
      <c r="AZ130" s="290">
        <v>49</v>
      </c>
      <c r="BA130" s="290">
        <v>26</v>
      </c>
      <c r="BB130" s="290">
        <v>3017</v>
      </c>
      <c r="BC130" s="290">
        <v>2134</v>
      </c>
      <c r="BD130" s="290"/>
      <c r="BE130" s="290">
        <v>52619.958248700001</v>
      </c>
      <c r="BF130" s="290">
        <v>0</v>
      </c>
      <c r="BG130" s="290">
        <v>954.6621642793815</v>
      </c>
      <c r="BH130" s="290">
        <v>51.434859463215659</v>
      </c>
      <c r="BI130" s="290">
        <v>549</v>
      </c>
      <c r="BJ130" s="290"/>
      <c r="BK130" s="290"/>
      <c r="BL130" s="290"/>
      <c r="BM130" s="290">
        <v>0</v>
      </c>
      <c r="BN130" s="290">
        <v>522.29996000000006</v>
      </c>
      <c r="BO130" s="290">
        <v>-495.30871511017108</v>
      </c>
      <c r="BP130" s="290">
        <v>42.633000000000003</v>
      </c>
      <c r="BQ130" s="290">
        <v>-22.864000000000001</v>
      </c>
      <c r="BR130" s="290">
        <v>-22.175956980663933</v>
      </c>
      <c r="BS130" s="290">
        <v>0.36699999999999999</v>
      </c>
      <c r="BT130" s="290"/>
      <c r="BU130" s="290">
        <v>0</v>
      </c>
      <c r="BV130" s="290">
        <v>500</v>
      </c>
      <c r="BW130" s="290">
        <v>-244</v>
      </c>
      <c r="BX130" s="290">
        <v>140</v>
      </c>
      <c r="BY130" s="290">
        <v>32</v>
      </c>
      <c r="BZ130" s="290">
        <v>-186</v>
      </c>
      <c r="CA130" s="290">
        <v>100.04871209083495</v>
      </c>
      <c r="CB130" s="290">
        <v>52</v>
      </c>
      <c r="CC130" s="290">
        <v>138</v>
      </c>
      <c r="CD130" s="290">
        <v>2</v>
      </c>
      <c r="CE130" s="290">
        <v>39</v>
      </c>
      <c r="CF130" s="290">
        <v>3</v>
      </c>
      <c r="CG130" s="290">
        <v>0</v>
      </c>
      <c r="CH130" s="290">
        <v>-2</v>
      </c>
      <c r="CI130" s="290">
        <v>-471</v>
      </c>
      <c r="CJ130" s="290">
        <v>-1273</v>
      </c>
      <c r="CK130" s="290">
        <f>+innut22!E136+innut22!S136</f>
        <v>43735.281434610966</v>
      </c>
      <c r="CL130" s="290">
        <v>0</v>
      </c>
      <c r="CM130" s="290">
        <v>0</v>
      </c>
      <c r="CN130" s="290">
        <v>0</v>
      </c>
      <c r="CP130" s="290">
        <f>+innut23!E136</f>
        <v>40558.741756694348</v>
      </c>
      <c r="CQ130" s="290"/>
      <c r="CV130" s="85">
        <f t="shared" si="2"/>
        <v>0.19700000000000001</v>
      </c>
    </row>
    <row r="131" spans="1:100" ht="13">
      <c r="A131" s="1">
        <v>3040</v>
      </c>
      <c r="B131" s="2" t="s">
        <v>1966</v>
      </c>
      <c r="C131" s="289">
        <v>3273</v>
      </c>
      <c r="D131" s="290">
        <v>42</v>
      </c>
      <c r="E131" s="290">
        <v>103</v>
      </c>
      <c r="F131" s="290">
        <v>302</v>
      </c>
      <c r="G131" s="290">
        <v>245</v>
      </c>
      <c r="H131" s="290">
        <v>1802</v>
      </c>
      <c r="I131" s="290">
        <v>544</v>
      </c>
      <c r="J131" s="290">
        <v>169</v>
      </c>
      <c r="K131" s="290">
        <v>60</v>
      </c>
      <c r="L131" s="290">
        <v>22</v>
      </c>
      <c r="M131" s="290">
        <v>317</v>
      </c>
      <c r="N131" s="290">
        <v>51</v>
      </c>
      <c r="O131" s="290">
        <v>30</v>
      </c>
      <c r="P131" s="624">
        <v>14160.073</v>
      </c>
      <c r="Q131" s="624">
        <v>11160.9</v>
      </c>
      <c r="R131" s="624">
        <v>21</v>
      </c>
      <c r="S131" s="290">
        <v>38</v>
      </c>
      <c r="T131" s="290">
        <v>343</v>
      </c>
      <c r="U131" s="958">
        <v>2.4162242871255601E-3</v>
      </c>
      <c r="V131" s="290">
        <v>1860.6698940799999</v>
      </c>
      <c r="W131" s="765">
        <v>0.74751935999999997</v>
      </c>
      <c r="X131" s="290">
        <v>900</v>
      </c>
      <c r="Y131" s="290"/>
      <c r="Z131" s="290">
        <f>innut22!E137</f>
        <v>133323.47719757177</v>
      </c>
      <c r="AA131" s="290">
        <v>0</v>
      </c>
      <c r="AB131" s="290">
        <v>92</v>
      </c>
      <c r="AC131" s="290">
        <v>388</v>
      </c>
      <c r="AD131" s="290"/>
      <c r="AE131" s="290">
        <v>0</v>
      </c>
      <c r="AF131" s="290">
        <v>0</v>
      </c>
      <c r="AG131" s="290">
        <v>3267</v>
      </c>
      <c r="AH131" s="290">
        <v>462</v>
      </c>
      <c r="AI131" s="290">
        <v>2200</v>
      </c>
      <c r="AJ131" s="290">
        <v>0</v>
      </c>
      <c r="AK131" s="290">
        <v>0</v>
      </c>
      <c r="AL131" s="290">
        <v>0</v>
      </c>
      <c r="AM131" s="957">
        <v>3.6803040000000002E-2</v>
      </c>
      <c r="AN131" s="290">
        <v>5166</v>
      </c>
      <c r="AO131" s="290">
        <v>694.64920557000005</v>
      </c>
      <c r="AP131" s="290">
        <v>0</v>
      </c>
      <c r="AQ131" s="290">
        <v>0</v>
      </c>
      <c r="AR131" s="290">
        <v>3089.8276389500002</v>
      </c>
      <c r="AS131" s="290">
        <v>608</v>
      </c>
      <c r="AT131" s="290">
        <v>148</v>
      </c>
      <c r="AU131" s="290">
        <v>21</v>
      </c>
      <c r="AV131" s="766">
        <v>117184</v>
      </c>
      <c r="AW131" s="290"/>
      <c r="AX131" s="766">
        <v>7.9999500000000001</v>
      </c>
      <c r="AY131" s="290">
        <v>635</v>
      </c>
      <c r="AZ131" s="290">
        <v>126</v>
      </c>
      <c r="BA131" s="290">
        <v>51</v>
      </c>
      <c r="BB131" s="290">
        <v>0</v>
      </c>
      <c r="BC131" s="290">
        <v>5990</v>
      </c>
      <c r="BD131" s="290"/>
      <c r="BE131" s="290">
        <v>112049.68409946001</v>
      </c>
      <c r="BF131" s="290">
        <v>0</v>
      </c>
      <c r="BG131" s="290">
        <v>2956.110940100677</v>
      </c>
      <c r="BH131" s="290">
        <v>159.26801799726098</v>
      </c>
      <c r="BI131" s="290">
        <v>850</v>
      </c>
      <c r="BJ131" s="290"/>
      <c r="BK131" s="290"/>
      <c r="BL131" s="290"/>
      <c r="BM131" s="290">
        <v>0</v>
      </c>
      <c r="BN131" s="290">
        <v>1321.7490999999998</v>
      </c>
      <c r="BO131" s="290">
        <v>-1522.2705289416076</v>
      </c>
      <c r="BP131" s="290">
        <v>131.005</v>
      </c>
      <c r="BQ131" s="290">
        <v>-70.257000000000005</v>
      </c>
      <c r="BR131" s="290">
        <v>-52.458299155968</v>
      </c>
      <c r="BS131" s="290">
        <v>0.748</v>
      </c>
      <c r="BT131" s="290"/>
      <c r="BU131" s="290">
        <v>0</v>
      </c>
      <c r="BV131" s="290">
        <v>1000</v>
      </c>
      <c r="BW131" s="290">
        <v>-750</v>
      </c>
      <c r="BX131" s="290">
        <v>332</v>
      </c>
      <c r="BY131" s="290">
        <v>100</v>
      </c>
      <c r="BZ131" s="290">
        <v>-570</v>
      </c>
      <c r="CA131" s="290">
        <v>-1.5162719024241369</v>
      </c>
      <c r="CB131" s="290">
        <v>161</v>
      </c>
      <c r="CC131" s="290">
        <v>425</v>
      </c>
      <c r="CD131" s="290">
        <v>6</v>
      </c>
      <c r="CE131" s="290">
        <v>121</v>
      </c>
      <c r="CF131" s="290">
        <v>6</v>
      </c>
      <c r="CG131" s="290">
        <v>1</v>
      </c>
      <c r="CH131" s="290">
        <v>-4</v>
      </c>
      <c r="CI131" s="290">
        <v>-1458</v>
      </c>
      <c r="CJ131" s="290">
        <v>-5263</v>
      </c>
      <c r="CK131" s="290">
        <f>+innut22!E137+innut22!S137</f>
        <v>133323.47719757177</v>
      </c>
      <c r="CL131" s="290">
        <v>0</v>
      </c>
      <c r="CM131" s="290">
        <v>0</v>
      </c>
      <c r="CN131" s="290">
        <v>0</v>
      </c>
      <c r="CP131" s="290">
        <f>+innut23!E137</f>
        <v>117493.02787615545</v>
      </c>
      <c r="CQ131" s="290"/>
      <c r="CV131" s="85">
        <f t="shared" si="2"/>
        <v>0.60499999999999998</v>
      </c>
    </row>
    <row r="132" spans="1:100" ht="13">
      <c r="A132" s="1">
        <v>3041</v>
      </c>
      <c r="B132" s="2" t="s">
        <v>876</v>
      </c>
      <c r="C132" s="289">
        <v>4667</v>
      </c>
      <c r="D132" s="290">
        <v>74</v>
      </c>
      <c r="E132" s="290">
        <v>165</v>
      </c>
      <c r="F132" s="290">
        <v>490</v>
      </c>
      <c r="G132" s="290">
        <v>392</v>
      </c>
      <c r="H132" s="290">
        <v>2566</v>
      </c>
      <c r="I132" s="290">
        <v>645</v>
      </c>
      <c r="J132" s="290">
        <v>235</v>
      </c>
      <c r="K132" s="290">
        <v>64</v>
      </c>
      <c r="L132" s="290">
        <v>33</v>
      </c>
      <c r="M132" s="290">
        <v>443</v>
      </c>
      <c r="N132" s="290">
        <v>137</v>
      </c>
      <c r="O132" s="290">
        <v>65</v>
      </c>
      <c r="P132" s="624">
        <v>12444.194333330001</v>
      </c>
      <c r="Q132" s="624">
        <v>13115.96833333</v>
      </c>
      <c r="R132" s="624">
        <v>32</v>
      </c>
      <c r="S132" s="290">
        <v>59</v>
      </c>
      <c r="T132" s="290">
        <v>513</v>
      </c>
      <c r="U132" s="958">
        <v>2.5088491342388055E-3</v>
      </c>
      <c r="V132" s="290">
        <v>2642.9078120300001</v>
      </c>
      <c r="W132" s="765">
        <v>0.66000623000000003</v>
      </c>
      <c r="X132" s="290">
        <v>1100</v>
      </c>
      <c r="Y132" s="290"/>
      <c r="Z132" s="290">
        <f>innut22!E138</f>
        <v>184555.09120522757</v>
      </c>
      <c r="AA132" s="290">
        <v>0</v>
      </c>
      <c r="AB132" s="290">
        <v>115</v>
      </c>
      <c r="AC132" s="290">
        <v>493</v>
      </c>
      <c r="AD132" s="290"/>
      <c r="AE132" s="290">
        <v>0</v>
      </c>
      <c r="AF132" s="290">
        <v>0</v>
      </c>
      <c r="AG132" s="290">
        <v>4631</v>
      </c>
      <c r="AH132" s="290">
        <v>734</v>
      </c>
      <c r="AI132" s="290">
        <v>200</v>
      </c>
      <c r="AJ132" s="290">
        <v>0</v>
      </c>
      <c r="AK132" s="290">
        <v>0</v>
      </c>
      <c r="AL132" s="290">
        <v>0</v>
      </c>
      <c r="AM132" s="957">
        <v>4.7949760000000001E-2</v>
      </c>
      <c r="AN132" s="290">
        <v>2715</v>
      </c>
      <c r="AO132" s="290">
        <v>986.68432153000003</v>
      </c>
      <c r="AP132" s="290">
        <v>0</v>
      </c>
      <c r="AQ132" s="290">
        <v>0</v>
      </c>
      <c r="AR132" s="290">
        <v>-223.40241408</v>
      </c>
      <c r="AS132" s="290">
        <v>865</v>
      </c>
      <c r="AT132" s="290">
        <v>226</v>
      </c>
      <c r="AU132" s="290">
        <v>19</v>
      </c>
      <c r="AV132" s="766">
        <v>154558</v>
      </c>
      <c r="AW132" s="290"/>
      <c r="AX132" s="766">
        <v>27.999949999999998</v>
      </c>
      <c r="AY132" s="290">
        <v>855</v>
      </c>
      <c r="AZ132" s="290">
        <v>240</v>
      </c>
      <c r="BA132" s="290">
        <v>84</v>
      </c>
      <c r="BB132" s="290">
        <v>0</v>
      </c>
      <c r="BC132" s="290">
        <v>8177</v>
      </c>
      <c r="BD132" s="290"/>
      <c r="BE132" s="290">
        <v>154686.460066</v>
      </c>
      <c r="BF132" s="290">
        <v>0</v>
      </c>
      <c r="BG132" s="290">
        <v>4215.1450526886219</v>
      </c>
      <c r="BH132" s="290">
        <v>227.1016926346523</v>
      </c>
      <c r="BI132" s="290">
        <v>1227</v>
      </c>
      <c r="BJ132" s="290"/>
      <c r="BK132" s="290"/>
      <c r="BL132" s="290"/>
      <c r="BM132" s="290">
        <v>0</v>
      </c>
      <c r="BN132" s="290">
        <v>1877.4211599999999</v>
      </c>
      <c r="BO132" s="290">
        <v>-2157.8312884997199</v>
      </c>
      <c r="BP132" s="290">
        <v>218.77500000000001</v>
      </c>
      <c r="BQ132" s="290">
        <v>-117.327</v>
      </c>
      <c r="BR132" s="290">
        <v>-81.117950985672891</v>
      </c>
      <c r="BS132" s="290">
        <v>0.95599999999999996</v>
      </c>
      <c r="BT132" s="290"/>
      <c r="BU132" s="290">
        <v>0</v>
      </c>
      <c r="BV132" s="290">
        <v>500</v>
      </c>
      <c r="BW132" s="290">
        <v>-1063</v>
      </c>
      <c r="BX132" s="290">
        <v>517</v>
      </c>
      <c r="BY132" s="290">
        <v>153</v>
      </c>
      <c r="BZ132" s="290">
        <v>-808</v>
      </c>
      <c r="CA132" s="290">
        <v>285.12407948539288</v>
      </c>
      <c r="CB132" s="290">
        <v>246</v>
      </c>
      <c r="CC132" s="290">
        <v>602</v>
      </c>
      <c r="CD132" s="290">
        <v>9</v>
      </c>
      <c r="CE132" s="290">
        <v>172</v>
      </c>
      <c r="CF132" s="290">
        <v>8</v>
      </c>
      <c r="CG132" s="290">
        <v>1</v>
      </c>
      <c r="CH132" s="290">
        <v>-5</v>
      </c>
      <c r="CI132" s="290">
        <v>-2079</v>
      </c>
      <c r="CJ132" s="290">
        <v>-5976</v>
      </c>
      <c r="CK132" s="290">
        <f>+innut22!E138+innut22!S138</f>
        <v>184555.09120522757</v>
      </c>
      <c r="CL132" s="290">
        <v>0</v>
      </c>
      <c r="CM132" s="290">
        <v>0</v>
      </c>
      <c r="CN132" s="290">
        <v>0</v>
      </c>
      <c r="CP132" s="290">
        <f>+innut23!E138</f>
        <v>170391.95224142383</v>
      </c>
      <c r="CQ132" s="290"/>
      <c r="CV132" s="85">
        <f t="shared" si="2"/>
        <v>0.85699999999999998</v>
      </c>
    </row>
    <row r="133" spans="1:100" ht="13">
      <c r="A133" s="1">
        <v>3042</v>
      </c>
      <c r="B133" s="2" t="s">
        <v>877</v>
      </c>
      <c r="C133" s="289">
        <v>2611</v>
      </c>
      <c r="D133" s="290">
        <v>58</v>
      </c>
      <c r="E133" s="290">
        <v>106</v>
      </c>
      <c r="F133" s="290">
        <v>312</v>
      </c>
      <c r="G133" s="290">
        <v>173</v>
      </c>
      <c r="H133" s="290">
        <v>1554</v>
      </c>
      <c r="I133" s="290">
        <v>259</v>
      </c>
      <c r="J133" s="290">
        <v>87</v>
      </c>
      <c r="K133" s="290">
        <v>17</v>
      </c>
      <c r="L133" s="290">
        <v>16</v>
      </c>
      <c r="M133" s="290">
        <v>161</v>
      </c>
      <c r="N133" s="290">
        <v>28</v>
      </c>
      <c r="O133" s="290">
        <v>30</v>
      </c>
      <c r="P133" s="624">
        <v>9943.3053333299995</v>
      </c>
      <c r="Q133" s="624">
        <v>11493.198</v>
      </c>
      <c r="R133" s="624">
        <v>6</v>
      </c>
      <c r="S133" s="290">
        <v>31</v>
      </c>
      <c r="T133" s="290">
        <v>305</v>
      </c>
      <c r="U133" s="958">
        <v>1.6446346107522234E-3</v>
      </c>
      <c r="V133" s="290">
        <v>1424.6016572799999</v>
      </c>
      <c r="W133" s="765">
        <v>0.91301217999999995</v>
      </c>
      <c r="X133" s="290">
        <v>0</v>
      </c>
      <c r="Y133" s="290"/>
      <c r="Z133" s="290">
        <f>innut22!E139</f>
        <v>127541.16170846933</v>
      </c>
      <c r="AA133" s="290">
        <v>0</v>
      </c>
      <c r="AB133" s="290">
        <v>40</v>
      </c>
      <c r="AC133" s="290">
        <v>194</v>
      </c>
      <c r="AD133" s="290"/>
      <c r="AE133" s="290">
        <v>0</v>
      </c>
      <c r="AF133" s="290">
        <v>0</v>
      </c>
      <c r="AG133" s="290">
        <v>2566</v>
      </c>
      <c r="AH133" s="290">
        <v>451</v>
      </c>
      <c r="AI133" s="290">
        <v>200</v>
      </c>
      <c r="AJ133" s="290">
        <v>0</v>
      </c>
      <c r="AK133" s="290">
        <v>0</v>
      </c>
      <c r="AL133" s="290">
        <v>0</v>
      </c>
      <c r="AM133" s="957">
        <v>5.4854310000000003E-2</v>
      </c>
      <c r="AN133" s="290">
        <v>0</v>
      </c>
      <c r="AO133" s="290">
        <v>531.85060533000001</v>
      </c>
      <c r="AP133" s="290">
        <v>0</v>
      </c>
      <c r="AQ133" s="290">
        <v>0</v>
      </c>
      <c r="AR133" s="290">
        <v>1849.8463356100001</v>
      </c>
      <c r="AS133" s="290">
        <v>502</v>
      </c>
      <c r="AT133" s="290">
        <v>126</v>
      </c>
      <c r="AU133" s="290">
        <v>17</v>
      </c>
      <c r="AV133" s="766">
        <v>85220</v>
      </c>
      <c r="AW133" s="290"/>
      <c r="AX133" s="766">
        <v>21.666650000000001</v>
      </c>
      <c r="AY133" s="290">
        <v>613</v>
      </c>
      <c r="AZ133" s="290">
        <v>166</v>
      </c>
      <c r="BA133" s="290">
        <v>44</v>
      </c>
      <c r="BB133" s="290">
        <v>3017</v>
      </c>
      <c r="BC133" s="290">
        <v>4509</v>
      </c>
      <c r="BD133" s="290"/>
      <c r="BE133" s="290">
        <v>82026.715398970002</v>
      </c>
      <c r="BF133" s="290">
        <v>0</v>
      </c>
      <c r="BG133" s="290">
        <v>2358.2052137497303</v>
      </c>
      <c r="BH133" s="290">
        <v>127.05432172039363</v>
      </c>
      <c r="BI133" s="290">
        <v>645</v>
      </c>
      <c r="BJ133" s="290"/>
      <c r="BK133" s="290"/>
      <c r="BL133" s="290"/>
      <c r="BM133" s="290">
        <v>0</v>
      </c>
      <c r="BN133" s="290">
        <v>1011.9828200000001</v>
      </c>
      <c r="BO133" s="290">
        <v>-1195.6370300777978</v>
      </c>
      <c r="BP133" s="290">
        <v>145.18199999999999</v>
      </c>
      <c r="BQ133" s="290">
        <v>-77.86</v>
      </c>
      <c r="BR133" s="290">
        <v>-55.256708888204692</v>
      </c>
      <c r="BS133" s="290">
        <v>0.59799999999999998</v>
      </c>
      <c r="BT133" s="290"/>
      <c r="BU133" s="290">
        <v>0</v>
      </c>
      <c r="BV133" s="290">
        <v>1500</v>
      </c>
      <c r="BW133" s="290">
        <v>-589</v>
      </c>
      <c r="BX133" s="290">
        <v>344</v>
      </c>
      <c r="BY133" s="290">
        <v>82</v>
      </c>
      <c r="BZ133" s="290">
        <v>-448</v>
      </c>
      <c r="CA133" s="290">
        <v>1749.9909189660025</v>
      </c>
      <c r="CB133" s="290">
        <v>131</v>
      </c>
      <c r="CC133" s="290">
        <v>334</v>
      </c>
      <c r="CD133" s="290">
        <v>5</v>
      </c>
      <c r="CE133" s="290">
        <v>96</v>
      </c>
      <c r="CF133" s="290">
        <v>5</v>
      </c>
      <c r="CG133" s="290">
        <v>0</v>
      </c>
      <c r="CH133" s="290">
        <v>-3</v>
      </c>
      <c r="CI133" s="290">
        <v>-1163</v>
      </c>
      <c r="CJ133" s="290">
        <v>-4298</v>
      </c>
      <c r="CK133" s="290">
        <f>+innut22!E139+innut22!S139</f>
        <v>127541.16170846933</v>
      </c>
      <c r="CL133" s="290">
        <v>0</v>
      </c>
      <c r="CM133" s="290">
        <v>0</v>
      </c>
      <c r="CN133" s="290">
        <v>0</v>
      </c>
      <c r="CP133" s="290">
        <f>+innut23!E139</f>
        <v>117736.21055028772</v>
      </c>
      <c r="CQ133" s="290"/>
      <c r="CV133" s="85">
        <f t="shared" ref="CV133:CV196" si="3">ROUND(1000*AG133/AG$361,3)</f>
        <v>0.47499999999999998</v>
      </c>
    </row>
    <row r="134" spans="1:100" ht="13">
      <c r="A134" s="1">
        <v>3043</v>
      </c>
      <c r="B134" s="2" t="s">
        <v>878</v>
      </c>
      <c r="C134" s="289">
        <v>4650</v>
      </c>
      <c r="D134" s="290">
        <v>80</v>
      </c>
      <c r="E134" s="290">
        <v>146</v>
      </c>
      <c r="F134" s="290">
        <v>534</v>
      </c>
      <c r="G134" s="290">
        <v>431</v>
      </c>
      <c r="H134" s="290">
        <v>2490</v>
      </c>
      <c r="I134" s="290">
        <v>686</v>
      </c>
      <c r="J134" s="290">
        <v>221</v>
      </c>
      <c r="K134" s="290">
        <v>72</v>
      </c>
      <c r="L134" s="290">
        <v>32</v>
      </c>
      <c r="M134" s="290">
        <v>449</v>
      </c>
      <c r="N134" s="290">
        <v>64</v>
      </c>
      <c r="O134" s="290">
        <v>40</v>
      </c>
      <c r="P134" s="624">
        <v>31187.446</v>
      </c>
      <c r="Q134" s="624">
        <v>16327.10266667</v>
      </c>
      <c r="R134" s="624">
        <v>19</v>
      </c>
      <c r="S134" s="290">
        <v>47</v>
      </c>
      <c r="T134" s="290">
        <v>456</v>
      </c>
      <c r="U134" s="958">
        <v>3.614510901490133E-3</v>
      </c>
      <c r="V134" s="290">
        <v>2595.51635988</v>
      </c>
      <c r="W134" s="765">
        <v>0.71775166000000001</v>
      </c>
      <c r="X134" s="290">
        <v>1100</v>
      </c>
      <c r="Y134" s="290"/>
      <c r="Z134" s="290">
        <f>innut22!E140</f>
        <v>178692.36400629857</v>
      </c>
      <c r="AA134" s="290">
        <v>0</v>
      </c>
      <c r="AB134" s="290">
        <v>71</v>
      </c>
      <c r="AC134" s="290">
        <v>3078</v>
      </c>
      <c r="AD134" s="290"/>
      <c r="AE134" s="290">
        <v>0</v>
      </c>
      <c r="AF134" s="290">
        <v>0</v>
      </c>
      <c r="AG134" s="290">
        <v>4660</v>
      </c>
      <c r="AH134" s="290">
        <v>788</v>
      </c>
      <c r="AI134" s="290">
        <v>200</v>
      </c>
      <c r="AJ134" s="290">
        <v>0</v>
      </c>
      <c r="AK134" s="290">
        <v>0</v>
      </c>
      <c r="AL134" s="290">
        <v>0</v>
      </c>
      <c r="AM134" s="957">
        <v>2.971963E-2</v>
      </c>
      <c r="AN134" s="290">
        <v>4085</v>
      </c>
      <c r="AO134" s="290">
        <v>968.99153535000005</v>
      </c>
      <c r="AP134" s="290">
        <v>0</v>
      </c>
      <c r="AQ134" s="290">
        <v>0</v>
      </c>
      <c r="AR134" s="290">
        <v>6504.3756931600001</v>
      </c>
      <c r="AS134" s="290">
        <v>907</v>
      </c>
      <c r="AT134" s="290">
        <v>205</v>
      </c>
      <c r="AU134" s="290">
        <v>18</v>
      </c>
      <c r="AV134" s="766">
        <v>158816</v>
      </c>
      <c r="AW134" s="290"/>
      <c r="AX134" s="766">
        <v>31.208349999999999</v>
      </c>
      <c r="AY134" s="290">
        <v>1023</v>
      </c>
      <c r="AZ134" s="290">
        <v>174</v>
      </c>
      <c r="BA134" s="290">
        <v>73</v>
      </c>
      <c r="BB134" s="290">
        <v>0</v>
      </c>
      <c r="BC134" s="290">
        <v>8332</v>
      </c>
      <c r="BD134" s="290"/>
      <c r="BE134" s="290">
        <v>152321.56668488</v>
      </c>
      <c r="BF134" s="290">
        <v>0</v>
      </c>
      <c r="BG134" s="290">
        <v>4199.7909781448661</v>
      </c>
      <c r="BH134" s="290">
        <v>226.27445270004992</v>
      </c>
      <c r="BI134" s="290">
        <v>3866</v>
      </c>
      <c r="BJ134" s="290"/>
      <c r="BK134" s="290"/>
      <c r="BL134" s="290"/>
      <c r="BM134" s="290">
        <v>0</v>
      </c>
      <c r="BN134" s="290">
        <v>1843.7560799999999</v>
      </c>
      <c r="BO134" s="290">
        <v>-2171.3439439448703</v>
      </c>
      <c r="BP134" s="290">
        <v>205.41399999999999</v>
      </c>
      <c r="BQ134" s="290">
        <v>-110.16200000000001</v>
      </c>
      <c r="BR134" s="290">
        <v>-82.935514511364616</v>
      </c>
      <c r="BS134" s="290">
        <v>1.0169999999999999</v>
      </c>
      <c r="BT134" s="290"/>
      <c r="BU134" s="290">
        <v>0</v>
      </c>
      <c r="BV134" s="290">
        <v>2500</v>
      </c>
      <c r="BW134" s="290">
        <v>-1070</v>
      </c>
      <c r="BX134" s="290">
        <v>564</v>
      </c>
      <c r="BY134" s="290">
        <v>122</v>
      </c>
      <c r="BZ134" s="290">
        <v>-813</v>
      </c>
      <c r="CA134" s="290">
        <v>-2685.7456215437651</v>
      </c>
      <c r="CB134" s="290">
        <v>197</v>
      </c>
      <c r="CC134" s="290">
        <v>606</v>
      </c>
      <c r="CD134" s="290">
        <v>7</v>
      </c>
      <c r="CE134" s="290">
        <v>171</v>
      </c>
      <c r="CF134" s="290">
        <v>8</v>
      </c>
      <c r="CG134" s="290">
        <v>1</v>
      </c>
      <c r="CH134" s="290">
        <v>-5</v>
      </c>
      <c r="CI134" s="290">
        <v>-2071</v>
      </c>
      <c r="CJ134" s="290">
        <v>-5326</v>
      </c>
      <c r="CK134" s="290">
        <f>+innut22!E140+innut22!S140</f>
        <v>178692.36400629857</v>
      </c>
      <c r="CL134" s="290">
        <v>0</v>
      </c>
      <c r="CM134" s="290">
        <v>0</v>
      </c>
      <c r="CN134" s="290">
        <v>0</v>
      </c>
      <c r="CP134" s="290">
        <f>+innut23!E140</f>
        <v>165653.20790114882</v>
      </c>
      <c r="CQ134" s="290"/>
      <c r="CV134" s="85">
        <f t="shared" si="3"/>
        <v>0.86299999999999999</v>
      </c>
    </row>
    <row r="135" spans="1:100" ht="13">
      <c r="A135" s="1">
        <v>3044</v>
      </c>
      <c r="B135" s="2" t="s">
        <v>880</v>
      </c>
      <c r="C135" s="289">
        <v>4504</v>
      </c>
      <c r="D135" s="290">
        <v>74</v>
      </c>
      <c r="E135" s="290">
        <v>162</v>
      </c>
      <c r="F135" s="290">
        <v>405</v>
      </c>
      <c r="G135" s="290">
        <v>342</v>
      </c>
      <c r="H135" s="290">
        <v>2524</v>
      </c>
      <c r="I135" s="290">
        <v>695</v>
      </c>
      <c r="J135" s="290">
        <v>196</v>
      </c>
      <c r="K135" s="290">
        <v>51</v>
      </c>
      <c r="L135" s="290">
        <v>35</v>
      </c>
      <c r="M135" s="290">
        <v>423</v>
      </c>
      <c r="N135" s="290">
        <v>44</v>
      </c>
      <c r="O135" s="290">
        <v>43</v>
      </c>
      <c r="P135" s="624">
        <v>31266.187999999998</v>
      </c>
      <c r="Q135" s="624">
        <v>12108.13966667</v>
      </c>
      <c r="R135" s="624">
        <v>13</v>
      </c>
      <c r="S135" s="290">
        <v>47</v>
      </c>
      <c r="T135" s="290">
        <v>488</v>
      </c>
      <c r="U135" s="958">
        <v>2.1426399754138356E-3</v>
      </c>
      <c r="V135" s="290">
        <v>2337.5283997500001</v>
      </c>
      <c r="W135" s="765">
        <v>0.77526362999999998</v>
      </c>
      <c r="X135" s="290">
        <v>0</v>
      </c>
      <c r="Y135" s="290"/>
      <c r="Z135" s="290">
        <f>innut22!E141</f>
        <v>242626.53683748117</v>
      </c>
      <c r="AA135" s="290">
        <v>0</v>
      </c>
      <c r="AB135" s="290">
        <v>68</v>
      </c>
      <c r="AC135" s="290">
        <v>118</v>
      </c>
      <c r="AD135" s="290"/>
      <c r="AE135" s="290">
        <v>0</v>
      </c>
      <c r="AF135" s="290">
        <v>0</v>
      </c>
      <c r="AG135" s="290">
        <v>4449</v>
      </c>
      <c r="AH135" s="290">
        <v>657</v>
      </c>
      <c r="AI135" s="290">
        <v>200</v>
      </c>
      <c r="AJ135" s="290">
        <v>0</v>
      </c>
      <c r="AK135" s="290">
        <v>0</v>
      </c>
      <c r="AL135" s="290">
        <v>0</v>
      </c>
      <c r="AM135" s="957">
        <v>3.2518739999999997E-2</v>
      </c>
      <c r="AN135" s="290">
        <v>0</v>
      </c>
      <c r="AO135" s="290">
        <v>872.67615338999997</v>
      </c>
      <c r="AP135" s="290">
        <v>0</v>
      </c>
      <c r="AQ135" s="290">
        <v>0</v>
      </c>
      <c r="AR135" s="290">
        <v>-206.44206835</v>
      </c>
      <c r="AS135" s="290">
        <v>811</v>
      </c>
      <c r="AT135" s="290">
        <v>211</v>
      </c>
      <c r="AU135" s="290">
        <v>15</v>
      </c>
      <c r="AV135" s="766">
        <v>124069</v>
      </c>
      <c r="AW135" s="290"/>
      <c r="AX135" s="766">
        <v>30.375</v>
      </c>
      <c r="AY135" s="290">
        <v>949</v>
      </c>
      <c r="AZ135" s="290">
        <v>202</v>
      </c>
      <c r="BA135" s="290">
        <v>77</v>
      </c>
      <c r="BB135" s="290">
        <v>0</v>
      </c>
      <c r="BC135" s="290">
        <v>7814</v>
      </c>
      <c r="BD135" s="290"/>
      <c r="BE135" s="290">
        <v>121497.81807133</v>
      </c>
      <c r="BF135" s="290">
        <v>0</v>
      </c>
      <c r="BG135" s="290">
        <v>4067.9265732396725</v>
      </c>
      <c r="BH135" s="290">
        <v>219.16992149699459</v>
      </c>
      <c r="BI135" s="290">
        <v>775</v>
      </c>
      <c r="BJ135" s="290"/>
      <c r="BK135" s="290"/>
      <c r="BL135" s="290"/>
      <c r="BM135" s="290">
        <v>0</v>
      </c>
      <c r="BN135" s="290">
        <v>1660.4912400000001</v>
      </c>
      <c r="BO135" s="290">
        <v>-2073.0277267404999</v>
      </c>
      <c r="BP135" s="290">
        <v>219.864</v>
      </c>
      <c r="BQ135" s="290">
        <v>-117.911</v>
      </c>
      <c r="BR135" s="290">
        <v>-68.993887078116316</v>
      </c>
      <c r="BS135" s="290">
        <v>0.96299999999999997</v>
      </c>
      <c r="BT135" s="290"/>
      <c r="BU135" s="290">
        <v>0</v>
      </c>
      <c r="BV135" s="290">
        <v>1500</v>
      </c>
      <c r="BW135" s="290">
        <v>-1022</v>
      </c>
      <c r="BX135" s="290">
        <v>443</v>
      </c>
      <c r="BY135" s="290">
        <v>122</v>
      </c>
      <c r="BZ135" s="290">
        <v>-777</v>
      </c>
      <c r="CA135" s="290">
        <v>523.61437381861617</v>
      </c>
      <c r="CB135" s="290">
        <v>196</v>
      </c>
      <c r="CC135" s="290">
        <v>579</v>
      </c>
      <c r="CD135" s="290">
        <v>7</v>
      </c>
      <c r="CE135" s="290">
        <v>166</v>
      </c>
      <c r="CF135" s="290">
        <v>8</v>
      </c>
      <c r="CG135" s="290">
        <v>1</v>
      </c>
      <c r="CH135" s="290">
        <v>-5</v>
      </c>
      <c r="CI135" s="290">
        <v>-2006</v>
      </c>
      <c r="CJ135" s="290">
        <v>-5443</v>
      </c>
      <c r="CK135" s="290">
        <f>+innut22!E141+innut22!S141</f>
        <v>242626.53683748117</v>
      </c>
      <c r="CL135" s="290">
        <v>0</v>
      </c>
      <c r="CM135" s="290">
        <v>0</v>
      </c>
      <c r="CN135" s="290">
        <v>0</v>
      </c>
      <c r="CP135" s="290">
        <f>+innut23!E141</f>
        <v>228577.79447540021</v>
      </c>
      <c r="CQ135" s="290"/>
      <c r="CV135" s="85">
        <f t="shared" si="3"/>
        <v>0.82399999999999995</v>
      </c>
    </row>
    <row r="136" spans="1:100" ht="13">
      <c r="A136" s="1">
        <v>3045</v>
      </c>
      <c r="B136" s="2" t="s">
        <v>881</v>
      </c>
      <c r="C136" s="289">
        <v>3492</v>
      </c>
      <c r="D136" s="290">
        <v>48</v>
      </c>
      <c r="E136" s="290">
        <v>116</v>
      </c>
      <c r="F136" s="290">
        <v>374</v>
      </c>
      <c r="G136" s="290">
        <v>283</v>
      </c>
      <c r="H136" s="290">
        <v>1866</v>
      </c>
      <c r="I136" s="290">
        <v>561</v>
      </c>
      <c r="J136" s="290">
        <v>181</v>
      </c>
      <c r="K136" s="290">
        <v>48</v>
      </c>
      <c r="L136" s="290">
        <v>26</v>
      </c>
      <c r="M136" s="290">
        <v>379</v>
      </c>
      <c r="N136" s="290">
        <v>21</v>
      </c>
      <c r="O136" s="290">
        <v>42</v>
      </c>
      <c r="P136" s="624">
        <v>48459.752999999997</v>
      </c>
      <c r="Q136" s="624">
        <v>12521.53833333</v>
      </c>
      <c r="R136" s="624">
        <v>16</v>
      </c>
      <c r="S136" s="290">
        <v>36</v>
      </c>
      <c r="T136" s="290">
        <v>319</v>
      </c>
      <c r="U136" s="958">
        <v>3.7471895367197682E-3</v>
      </c>
      <c r="V136" s="290">
        <v>2054.70779214</v>
      </c>
      <c r="W136" s="765">
        <v>0.86643448999999995</v>
      </c>
      <c r="X136" s="290">
        <v>500</v>
      </c>
      <c r="Y136" s="290"/>
      <c r="Z136" s="290">
        <f>innut22!E142</f>
        <v>132576.01989378865</v>
      </c>
      <c r="AA136" s="290">
        <v>0</v>
      </c>
      <c r="AB136" s="290">
        <v>64</v>
      </c>
      <c r="AC136" s="290">
        <v>127</v>
      </c>
      <c r="AD136" s="290"/>
      <c r="AE136" s="290">
        <v>0</v>
      </c>
      <c r="AF136" s="290">
        <v>0</v>
      </c>
      <c r="AG136" s="290">
        <v>3477</v>
      </c>
      <c r="AH136" s="290">
        <v>546</v>
      </c>
      <c r="AI136" s="290">
        <v>200</v>
      </c>
      <c r="AJ136" s="290">
        <v>0</v>
      </c>
      <c r="AK136" s="290">
        <v>0</v>
      </c>
      <c r="AL136" s="290">
        <v>0</v>
      </c>
      <c r="AM136" s="957">
        <v>6.1447120000000001E-2</v>
      </c>
      <c r="AN136" s="290">
        <v>0</v>
      </c>
      <c r="AO136" s="290">
        <v>767.08992822000005</v>
      </c>
      <c r="AP136" s="290">
        <v>0</v>
      </c>
      <c r="AQ136" s="290">
        <v>0</v>
      </c>
      <c r="AR136" s="290">
        <v>-126.80595949000001</v>
      </c>
      <c r="AS136" s="290">
        <v>1106</v>
      </c>
      <c r="AT136" s="290">
        <v>198</v>
      </c>
      <c r="AU136" s="290">
        <v>23</v>
      </c>
      <c r="AV136" s="766">
        <v>123450</v>
      </c>
      <c r="AW136" s="290"/>
      <c r="AX136" s="766">
        <v>17.75</v>
      </c>
      <c r="AY136" s="290">
        <v>493</v>
      </c>
      <c r="AZ136" s="290">
        <v>162</v>
      </c>
      <c r="BA136" s="290">
        <v>55</v>
      </c>
      <c r="BB136" s="290">
        <v>0</v>
      </c>
      <c r="BC136" s="290">
        <v>6412</v>
      </c>
      <c r="BD136" s="290"/>
      <c r="BE136" s="290">
        <v>121575.43002504999</v>
      </c>
      <c r="BF136" s="290">
        <v>0</v>
      </c>
      <c r="BG136" s="290">
        <v>3153.9075474584679</v>
      </c>
      <c r="BH136" s="290">
        <v>169.92481480184401</v>
      </c>
      <c r="BI136" s="290">
        <v>673</v>
      </c>
      <c r="BJ136" s="290"/>
      <c r="BK136" s="290"/>
      <c r="BL136" s="290"/>
      <c r="BM136" s="290">
        <v>0</v>
      </c>
      <c r="BN136" s="290">
        <v>1459.5862400000001</v>
      </c>
      <c r="BO136" s="290">
        <v>-1620.1207925099388</v>
      </c>
      <c r="BP136" s="290">
        <v>149.57499999999999</v>
      </c>
      <c r="BQ136" s="290">
        <v>-80.215999999999994</v>
      </c>
      <c r="BR136" s="290">
        <v>-64.184273064670975</v>
      </c>
      <c r="BS136" s="290">
        <v>0.85499999999999998</v>
      </c>
      <c r="BT136" s="290"/>
      <c r="BU136" s="290">
        <v>0</v>
      </c>
      <c r="BV136" s="290">
        <v>2000</v>
      </c>
      <c r="BW136" s="290">
        <v>-798</v>
      </c>
      <c r="BX136" s="290">
        <v>426</v>
      </c>
      <c r="BY136" s="290">
        <v>93</v>
      </c>
      <c r="BZ136" s="290">
        <v>-607</v>
      </c>
      <c r="CA136" s="290">
        <v>-0.49517442539026035</v>
      </c>
      <c r="CB136" s="290">
        <v>149</v>
      </c>
      <c r="CC136" s="290">
        <v>452</v>
      </c>
      <c r="CD136" s="290">
        <v>5</v>
      </c>
      <c r="CE136" s="290">
        <v>129</v>
      </c>
      <c r="CF136" s="290">
        <v>7</v>
      </c>
      <c r="CG136" s="290">
        <v>1</v>
      </c>
      <c r="CH136" s="290">
        <v>-5</v>
      </c>
      <c r="CI136" s="290">
        <v>-1555</v>
      </c>
      <c r="CJ136" s="290">
        <v>-3998</v>
      </c>
      <c r="CK136" s="290">
        <f>+innut22!E142+innut22!S142</f>
        <v>132576.01989378865</v>
      </c>
      <c r="CL136" s="290">
        <v>0</v>
      </c>
      <c r="CM136" s="290">
        <v>0</v>
      </c>
      <c r="CN136" s="290">
        <v>0</v>
      </c>
      <c r="CP136" s="290">
        <f>+innut23!E142</f>
        <v>121614.80370255213</v>
      </c>
      <c r="CQ136" s="290"/>
      <c r="CV136" s="85">
        <f t="shared" si="3"/>
        <v>0.64400000000000002</v>
      </c>
    </row>
    <row r="137" spans="1:100" ht="13">
      <c r="A137" s="1">
        <v>3046</v>
      </c>
      <c r="B137" s="2" t="s">
        <v>882</v>
      </c>
      <c r="C137" s="289">
        <v>2189</v>
      </c>
      <c r="D137" s="290">
        <v>30</v>
      </c>
      <c r="E137" s="290">
        <v>89</v>
      </c>
      <c r="F137" s="290">
        <v>283</v>
      </c>
      <c r="G137" s="290">
        <v>137</v>
      </c>
      <c r="H137" s="290">
        <v>1228</v>
      </c>
      <c r="I137" s="290">
        <v>322</v>
      </c>
      <c r="J137" s="290">
        <v>91</v>
      </c>
      <c r="K137" s="290">
        <v>24</v>
      </c>
      <c r="L137" s="290">
        <v>19</v>
      </c>
      <c r="M137" s="290">
        <v>216</v>
      </c>
      <c r="N137" s="290">
        <v>24</v>
      </c>
      <c r="O137" s="290">
        <v>25</v>
      </c>
      <c r="P137" s="624">
        <v>19788.824000000001</v>
      </c>
      <c r="Q137" s="624">
        <v>9577.8446666700002</v>
      </c>
      <c r="R137" s="624">
        <v>15</v>
      </c>
      <c r="S137" s="290">
        <v>26</v>
      </c>
      <c r="T137" s="290">
        <v>240</v>
      </c>
      <c r="U137" s="958">
        <v>1.261211429705571E-3</v>
      </c>
      <c r="V137" s="290">
        <v>1408.7353233700001</v>
      </c>
      <c r="W137" s="765">
        <v>0.85972216999999995</v>
      </c>
      <c r="X137" s="290">
        <v>800</v>
      </c>
      <c r="Y137" s="290"/>
      <c r="Z137" s="290">
        <f>innut22!E143</f>
        <v>104923.83663185035</v>
      </c>
      <c r="AA137" s="290">
        <v>0</v>
      </c>
      <c r="AB137" s="290">
        <v>46</v>
      </c>
      <c r="AC137" s="290">
        <v>0</v>
      </c>
      <c r="AD137" s="290"/>
      <c r="AE137" s="290">
        <v>0</v>
      </c>
      <c r="AF137" s="290">
        <v>0</v>
      </c>
      <c r="AG137" s="290">
        <v>2204</v>
      </c>
      <c r="AH137" s="290">
        <v>370</v>
      </c>
      <c r="AI137" s="290">
        <v>200</v>
      </c>
      <c r="AJ137" s="290">
        <v>0</v>
      </c>
      <c r="AK137" s="290">
        <v>0</v>
      </c>
      <c r="AL137" s="290">
        <v>0</v>
      </c>
      <c r="AM137" s="957">
        <v>4.324973E-2</v>
      </c>
      <c r="AN137" s="290">
        <v>0</v>
      </c>
      <c r="AO137" s="290">
        <v>525.92718158000002</v>
      </c>
      <c r="AP137" s="290">
        <v>0</v>
      </c>
      <c r="AQ137" s="290">
        <v>0</v>
      </c>
      <c r="AR137" s="290">
        <v>-106.32237542999999</v>
      </c>
      <c r="AS137" s="290">
        <v>708</v>
      </c>
      <c r="AT137" s="290">
        <v>121</v>
      </c>
      <c r="AU137" s="290">
        <v>20</v>
      </c>
      <c r="AV137" s="766">
        <v>89998</v>
      </c>
      <c r="AW137" s="290"/>
      <c r="AX137" s="766">
        <v>9.9167000000000005</v>
      </c>
      <c r="AY137" s="290">
        <v>397</v>
      </c>
      <c r="AZ137" s="290">
        <v>88</v>
      </c>
      <c r="BA137" s="290">
        <v>49</v>
      </c>
      <c r="BB137" s="290">
        <v>3017</v>
      </c>
      <c r="BC137" s="290">
        <v>4030</v>
      </c>
      <c r="BD137" s="290"/>
      <c r="BE137" s="290">
        <v>92661.553321960004</v>
      </c>
      <c r="BF137" s="290">
        <v>0</v>
      </c>
      <c r="BG137" s="290">
        <v>1977.06289272239</v>
      </c>
      <c r="BH137" s="290">
        <v>106.51930687320632</v>
      </c>
      <c r="BI137" s="290">
        <v>370</v>
      </c>
      <c r="BJ137" s="290"/>
      <c r="BK137" s="290"/>
      <c r="BL137" s="290"/>
      <c r="BM137" s="290">
        <v>0</v>
      </c>
      <c r="BN137" s="290">
        <v>1000.7119799999999</v>
      </c>
      <c r="BO137" s="290">
        <v>-1026.9618138314365</v>
      </c>
      <c r="BP137" s="290">
        <v>112.087</v>
      </c>
      <c r="BQ137" s="290">
        <v>-60.112000000000002</v>
      </c>
      <c r="BR137" s="290">
        <v>-49.293166168563403</v>
      </c>
      <c r="BS137" s="290">
        <v>0.56799999999999995</v>
      </c>
      <c r="BT137" s="290"/>
      <c r="BU137" s="290">
        <v>0</v>
      </c>
      <c r="BV137" s="290">
        <v>1000</v>
      </c>
      <c r="BW137" s="290">
        <v>-506</v>
      </c>
      <c r="BX137" s="290">
        <v>317</v>
      </c>
      <c r="BY137" s="290">
        <v>67</v>
      </c>
      <c r="BZ137" s="290">
        <v>-385</v>
      </c>
      <c r="CA137" s="290">
        <v>0</v>
      </c>
      <c r="CB137" s="290">
        <v>108</v>
      </c>
      <c r="CC137" s="290">
        <v>287</v>
      </c>
      <c r="CD137" s="290">
        <v>4</v>
      </c>
      <c r="CE137" s="290">
        <v>81</v>
      </c>
      <c r="CF137" s="290">
        <v>5</v>
      </c>
      <c r="CG137" s="290">
        <v>0</v>
      </c>
      <c r="CH137" s="290">
        <v>-3</v>
      </c>
      <c r="CI137" s="290">
        <v>-975</v>
      </c>
      <c r="CJ137" s="290">
        <v>-5404</v>
      </c>
      <c r="CK137" s="290">
        <f>+innut22!E143+innut22!S143</f>
        <v>104923.83663185035</v>
      </c>
      <c r="CL137" s="290">
        <v>0</v>
      </c>
      <c r="CM137" s="290">
        <v>0</v>
      </c>
      <c r="CN137" s="290">
        <v>0</v>
      </c>
      <c r="CP137" s="290">
        <f>+innut23!E143</f>
        <v>86520.767578955594</v>
      </c>
      <c r="CQ137" s="290"/>
      <c r="CV137" s="85">
        <f t="shared" si="3"/>
        <v>0.40799999999999997</v>
      </c>
    </row>
    <row r="138" spans="1:100" ht="13">
      <c r="A138" s="1">
        <v>3047</v>
      </c>
      <c r="B138" s="2" t="s">
        <v>883</v>
      </c>
      <c r="C138" s="289">
        <v>14273</v>
      </c>
      <c r="D138" s="290">
        <v>254</v>
      </c>
      <c r="E138" s="290">
        <v>537</v>
      </c>
      <c r="F138" s="290">
        <v>1615</v>
      </c>
      <c r="G138" s="290">
        <v>1068</v>
      </c>
      <c r="H138" s="290">
        <v>8066</v>
      </c>
      <c r="I138" s="290">
        <v>2022</v>
      </c>
      <c r="J138" s="290">
        <v>562</v>
      </c>
      <c r="K138" s="290">
        <v>140</v>
      </c>
      <c r="L138" s="290">
        <v>109</v>
      </c>
      <c r="M138" s="290">
        <v>1219</v>
      </c>
      <c r="N138" s="290">
        <v>312</v>
      </c>
      <c r="O138" s="290">
        <v>128</v>
      </c>
      <c r="P138" s="624">
        <v>46685.146000000001</v>
      </c>
      <c r="Q138" s="624">
        <v>27488.384999999998</v>
      </c>
      <c r="R138" s="624">
        <v>63</v>
      </c>
      <c r="S138" s="290">
        <v>193</v>
      </c>
      <c r="T138" s="290">
        <v>1391</v>
      </c>
      <c r="U138" s="958">
        <v>5.0669250147039671E-3</v>
      </c>
      <c r="V138" s="290">
        <v>7046.0365724000003</v>
      </c>
      <c r="W138" s="765">
        <v>0.58397213999999997</v>
      </c>
      <c r="X138" s="290">
        <v>1800</v>
      </c>
      <c r="Y138" s="290"/>
      <c r="Z138" s="290">
        <f>innut22!E144</f>
        <v>475331.06545815535</v>
      </c>
      <c r="AA138" s="290">
        <v>0</v>
      </c>
      <c r="AB138" s="290">
        <v>452</v>
      </c>
      <c r="AC138" s="290">
        <v>3231</v>
      </c>
      <c r="AD138" s="290"/>
      <c r="AE138" s="290">
        <v>0</v>
      </c>
      <c r="AF138" s="290">
        <v>0</v>
      </c>
      <c r="AG138" s="290">
        <v>14264</v>
      </c>
      <c r="AH138" s="290">
        <v>2335</v>
      </c>
      <c r="AI138" s="290">
        <v>200</v>
      </c>
      <c r="AJ138" s="290">
        <v>0</v>
      </c>
      <c r="AK138" s="290">
        <v>0</v>
      </c>
      <c r="AL138" s="290">
        <v>0</v>
      </c>
      <c r="AM138" s="957">
        <v>0.45573742</v>
      </c>
      <c r="AN138" s="290">
        <v>0</v>
      </c>
      <c r="AO138" s="290">
        <v>2785.5247586400001</v>
      </c>
      <c r="AP138" s="290">
        <v>0</v>
      </c>
      <c r="AQ138" s="290">
        <v>0</v>
      </c>
      <c r="AR138" s="290">
        <v>-688.10452050000004</v>
      </c>
      <c r="AS138" s="290">
        <v>4425</v>
      </c>
      <c r="AT138" s="290">
        <v>872</v>
      </c>
      <c r="AU138" s="290">
        <v>152</v>
      </c>
      <c r="AV138" s="766">
        <v>390557</v>
      </c>
      <c r="AW138" s="290"/>
      <c r="AX138" s="766">
        <v>90.583349999999996</v>
      </c>
      <c r="AY138" s="290">
        <v>2581</v>
      </c>
      <c r="AZ138" s="290">
        <v>690</v>
      </c>
      <c r="BA138" s="290">
        <v>292</v>
      </c>
      <c r="BB138" s="290">
        <v>0</v>
      </c>
      <c r="BC138" s="290">
        <v>23057</v>
      </c>
      <c r="BD138" s="290"/>
      <c r="BE138" s="290">
        <v>390212.10377634002</v>
      </c>
      <c r="BF138" s="290">
        <v>0</v>
      </c>
      <c r="BG138" s="290">
        <v>12891.100350765952</v>
      </c>
      <c r="BH138" s="290">
        <v>694.54091685759408</v>
      </c>
      <c r="BI138" s="290">
        <v>5566</v>
      </c>
      <c r="BJ138" s="290"/>
      <c r="BK138" s="290"/>
      <c r="BL138" s="290"/>
      <c r="BM138" s="290">
        <v>0</v>
      </c>
      <c r="BN138" s="290">
        <v>5300.1785999999993</v>
      </c>
      <c r="BO138" s="290">
        <v>-6646.3626644698779</v>
      </c>
      <c r="BP138" s="290">
        <v>706.70799999999997</v>
      </c>
      <c r="BQ138" s="290">
        <v>-379.00200000000001</v>
      </c>
      <c r="BR138" s="290">
        <v>-252.51430780866175</v>
      </c>
      <c r="BS138" s="290">
        <v>2.6309999999999998</v>
      </c>
      <c r="BT138" s="290"/>
      <c r="BU138" s="290">
        <v>0</v>
      </c>
      <c r="BV138" s="290">
        <v>3500</v>
      </c>
      <c r="BW138" s="290">
        <v>-3276</v>
      </c>
      <c r="BX138" s="290">
        <v>1613</v>
      </c>
      <c r="BY138" s="290">
        <v>504</v>
      </c>
      <c r="BZ138" s="290">
        <v>-2490</v>
      </c>
      <c r="CA138" s="290">
        <v>-12.63862772145967</v>
      </c>
      <c r="CB138" s="290">
        <v>809</v>
      </c>
      <c r="CC138" s="290">
        <v>1855</v>
      </c>
      <c r="CD138" s="290">
        <v>30</v>
      </c>
      <c r="CE138" s="290">
        <v>526</v>
      </c>
      <c r="CF138" s="290">
        <v>21</v>
      </c>
      <c r="CG138" s="290">
        <v>3</v>
      </c>
      <c r="CH138" s="290">
        <v>-14</v>
      </c>
      <c r="CI138" s="290">
        <v>-6357</v>
      </c>
      <c r="CJ138" s="290">
        <v>-17199</v>
      </c>
      <c r="CK138" s="290">
        <f>+innut22!E144+innut22!S144</f>
        <v>475331.06545815535</v>
      </c>
      <c r="CL138" s="290">
        <v>0</v>
      </c>
      <c r="CM138" s="290">
        <v>0</v>
      </c>
      <c r="CN138" s="290">
        <v>0</v>
      </c>
      <c r="CP138" s="290">
        <f>+innut23!E144</f>
        <v>439612.42788878671</v>
      </c>
      <c r="CQ138" s="290"/>
      <c r="CV138" s="85">
        <f t="shared" si="3"/>
        <v>2.641</v>
      </c>
    </row>
    <row r="139" spans="1:100" ht="13">
      <c r="A139" s="1">
        <v>3048</v>
      </c>
      <c r="B139" s="2" t="s">
        <v>884</v>
      </c>
      <c r="C139" s="289">
        <v>20044</v>
      </c>
      <c r="D139" s="290">
        <v>413</v>
      </c>
      <c r="E139" s="290">
        <v>866</v>
      </c>
      <c r="F139" s="290">
        <v>2357</v>
      </c>
      <c r="G139" s="290">
        <v>1610</v>
      </c>
      <c r="H139" s="290">
        <v>11396</v>
      </c>
      <c r="I139" s="290">
        <v>2327</v>
      </c>
      <c r="J139" s="290">
        <v>738</v>
      </c>
      <c r="K139" s="290">
        <v>173</v>
      </c>
      <c r="L139" s="290">
        <v>147</v>
      </c>
      <c r="M139" s="290">
        <v>1417</v>
      </c>
      <c r="N139" s="290">
        <v>464</v>
      </c>
      <c r="O139" s="290">
        <v>154</v>
      </c>
      <c r="P139" s="624">
        <v>64610.650333329999</v>
      </c>
      <c r="Q139" s="624">
        <v>42411.461000000003</v>
      </c>
      <c r="R139" s="624">
        <v>76</v>
      </c>
      <c r="S139" s="290">
        <v>241</v>
      </c>
      <c r="T139" s="290">
        <v>1711</v>
      </c>
      <c r="U139" s="958">
        <v>4.4432989807527299E-3</v>
      </c>
      <c r="V139" s="290">
        <v>6214.2332053800001</v>
      </c>
      <c r="W139" s="765">
        <v>0.57136463999999998</v>
      </c>
      <c r="X139" s="290">
        <v>2400</v>
      </c>
      <c r="Y139" s="290"/>
      <c r="Z139" s="290">
        <f>innut22!E145</f>
        <v>765314.91880260804</v>
      </c>
      <c r="AA139" s="290">
        <v>0</v>
      </c>
      <c r="AB139" s="290">
        <v>529</v>
      </c>
      <c r="AC139" s="290">
        <v>8145</v>
      </c>
      <c r="AD139" s="290"/>
      <c r="AE139" s="290">
        <v>0</v>
      </c>
      <c r="AF139" s="290">
        <v>0</v>
      </c>
      <c r="AG139" s="290">
        <v>19880</v>
      </c>
      <c r="AH139" s="290">
        <v>3522</v>
      </c>
      <c r="AI139" s="290">
        <v>200</v>
      </c>
      <c r="AJ139" s="290">
        <v>0</v>
      </c>
      <c r="AK139" s="290">
        <v>0</v>
      </c>
      <c r="AL139" s="290">
        <v>0</v>
      </c>
      <c r="AM139" s="957">
        <v>0.43834205999999998</v>
      </c>
      <c r="AN139" s="290">
        <v>0</v>
      </c>
      <c r="AO139" s="290">
        <v>3831.3034977699999</v>
      </c>
      <c r="AP139" s="290">
        <v>0</v>
      </c>
      <c r="AQ139" s="290">
        <v>866.63499999999999</v>
      </c>
      <c r="AR139" s="290">
        <v>-959.02396715999998</v>
      </c>
      <c r="AS139" s="290">
        <v>4676</v>
      </c>
      <c r="AT139" s="290">
        <v>1088</v>
      </c>
      <c r="AU139" s="290">
        <v>192</v>
      </c>
      <c r="AV139" s="766">
        <v>516491</v>
      </c>
      <c r="AW139" s="290"/>
      <c r="AX139" s="766">
        <v>153.58335</v>
      </c>
      <c r="AY139" s="290">
        <v>4055</v>
      </c>
      <c r="AZ139" s="290">
        <v>818</v>
      </c>
      <c r="BA139" s="290">
        <v>443</v>
      </c>
      <c r="BB139" s="290">
        <v>0</v>
      </c>
      <c r="BC139" s="290">
        <v>32528</v>
      </c>
      <c r="BD139" s="290"/>
      <c r="BE139" s="290">
        <v>528577.98945896002</v>
      </c>
      <c r="BF139" s="290">
        <v>0</v>
      </c>
      <c r="BG139" s="290">
        <v>18077.164823133226</v>
      </c>
      <c r="BH139" s="290">
        <v>973.95337006268812</v>
      </c>
      <c r="BI139" s="290">
        <v>11667</v>
      </c>
      <c r="BJ139" s="290"/>
      <c r="BK139" s="290"/>
      <c r="BL139" s="290"/>
      <c r="BM139" s="290">
        <v>0</v>
      </c>
      <c r="BN139" s="290">
        <v>7290.0420999999997</v>
      </c>
      <c r="BO139" s="290">
        <v>-9263.1582844686745</v>
      </c>
      <c r="BP139" s="290">
        <v>1143.433</v>
      </c>
      <c r="BQ139" s="290">
        <v>-613.21500000000003</v>
      </c>
      <c r="BR139" s="290">
        <v>-363.79761735348916</v>
      </c>
      <c r="BS139" s="290">
        <v>3.552</v>
      </c>
      <c r="BT139" s="290"/>
      <c r="BU139" s="290">
        <v>0</v>
      </c>
      <c r="BV139" s="290">
        <v>4000</v>
      </c>
      <c r="BW139" s="290">
        <v>-4565</v>
      </c>
      <c r="BX139" s="290">
        <v>2336</v>
      </c>
      <c r="BY139" s="290">
        <v>629</v>
      </c>
      <c r="BZ139" s="290">
        <v>-3470</v>
      </c>
      <c r="CA139" s="290">
        <v>-31.856198177835722</v>
      </c>
      <c r="CB139" s="290">
        <v>1009</v>
      </c>
      <c r="CC139" s="290">
        <v>2585</v>
      </c>
      <c r="CD139" s="290">
        <v>37</v>
      </c>
      <c r="CE139" s="290">
        <v>739</v>
      </c>
      <c r="CF139" s="290">
        <v>29</v>
      </c>
      <c r="CG139" s="290">
        <v>4</v>
      </c>
      <c r="CH139" s="290">
        <v>-19</v>
      </c>
      <c r="CI139" s="290">
        <v>-8927</v>
      </c>
      <c r="CJ139" s="290">
        <v>-29303</v>
      </c>
      <c r="CK139" s="290">
        <f>+innut22!E145+innut22!S145</f>
        <v>765314.91880260804</v>
      </c>
      <c r="CL139" s="290">
        <v>0</v>
      </c>
      <c r="CM139" s="290">
        <v>0</v>
      </c>
      <c r="CN139" s="290">
        <v>0</v>
      </c>
      <c r="CP139" s="290">
        <f>+innut23!E145</f>
        <v>686808.33139062859</v>
      </c>
      <c r="CQ139" s="290"/>
      <c r="CV139" s="85">
        <f t="shared" si="3"/>
        <v>3.68</v>
      </c>
    </row>
    <row r="140" spans="1:100" ht="13">
      <c r="A140" s="1">
        <v>3049</v>
      </c>
      <c r="B140" s="2" t="s">
        <v>886</v>
      </c>
      <c r="C140" s="289">
        <v>27584</v>
      </c>
      <c r="D140" s="290">
        <v>579</v>
      </c>
      <c r="E140" s="290">
        <v>1237</v>
      </c>
      <c r="F140" s="290">
        <v>3575</v>
      </c>
      <c r="G140" s="290">
        <v>2187</v>
      </c>
      <c r="H140" s="290">
        <v>15687</v>
      </c>
      <c r="I140" s="290">
        <v>3042</v>
      </c>
      <c r="J140" s="290">
        <v>853</v>
      </c>
      <c r="K140" s="290">
        <v>177</v>
      </c>
      <c r="L140" s="290">
        <v>200</v>
      </c>
      <c r="M140" s="290">
        <v>1610</v>
      </c>
      <c r="N140" s="290">
        <v>936</v>
      </c>
      <c r="O140" s="290">
        <v>255</v>
      </c>
      <c r="P140" s="624">
        <v>73474.644333329998</v>
      </c>
      <c r="Q140" s="624">
        <v>43012.007333330002</v>
      </c>
      <c r="R140" s="624">
        <v>105</v>
      </c>
      <c r="S140" s="290">
        <v>322</v>
      </c>
      <c r="T140" s="290">
        <v>2111</v>
      </c>
      <c r="U140" s="958">
        <v>3.791227963927603E-3</v>
      </c>
      <c r="V140" s="290">
        <v>10365.75862767</v>
      </c>
      <c r="W140" s="765">
        <v>0.56418537999999996</v>
      </c>
      <c r="X140" s="290">
        <v>1800</v>
      </c>
      <c r="Y140" s="290"/>
      <c r="Z140" s="290">
        <f>innut22!E146</f>
        <v>1241478.2032461769</v>
      </c>
      <c r="AA140" s="290">
        <v>0</v>
      </c>
      <c r="AB140" s="290">
        <v>492</v>
      </c>
      <c r="AC140" s="290">
        <v>2951</v>
      </c>
      <c r="AD140" s="290"/>
      <c r="AE140" s="290">
        <v>663</v>
      </c>
      <c r="AF140" s="290">
        <v>0</v>
      </c>
      <c r="AG140" s="290">
        <v>27337</v>
      </c>
      <c r="AH140" s="290">
        <v>5173</v>
      </c>
      <c r="AI140" s="290">
        <v>200</v>
      </c>
      <c r="AJ140" s="290">
        <v>0</v>
      </c>
      <c r="AK140" s="290">
        <v>0</v>
      </c>
      <c r="AL140" s="290">
        <v>0</v>
      </c>
      <c r="AM140" s="957">
        <v>0.59440201999999998</v>
      </c>
      <c r="AN140" s="290">
        <v>0</v>
      </c>
      <c r="AO140" s="290">
        <v>5226.1965385000003</v>
      </c>
      <c r="AP140" s="290">
        <v>0</v>
      </c>
      <c r="AQ140" s="290">
        <v>0</v>
      </c>
      <c r="AR140" s="290">
        <v>-1318.7544361299999</v>
      </c>
      <c r="AS140" s="290">
        <v>4635</v>
      </c>
      <c r="AT140" s="290">
        <v>1488</v>
      </c>
      <c r="AU140" s="290">
        <v>255</v>
      </c>
      <c r="AV140" s="766">
        <v>695583</v>
      </c>
      <c r="AW140" s="290"/>
      <c r="AX140" s="766">
        <v>210.87495000000001</v>
      </c>
      <c r="AY140" s="290">
        <v>7719</v>
      </c>
      <c r="AZ140" s="290">
        <v>1152</v>
      </c>
      <c r="BA140" s="290">
        <v>509</v>
      </c>
      <c r="BB140" s="290">
        <v>0</v>
      </c>
      <c r="BC140" s="290">
        <v>45038</v>
      </c>
      <c r="BD140" s="290"/>
      <c r="BE140" s="290">
        <v>707091.16602417</v>
      </c>
      <c r="BF140" s="290">
        <v>0</v>
      </c>
      <c r="BG140" s="290">
        <v>24913.340718526451</v>
      </c>
      <c r="BH140" s="290">
        <v>1342.2697856512209</v>
      </c>
      <c r="BI140" s="290">
        <v>8124</v>
      </c>
      <c r="BJ140" s="290"/>
      <c r="BK140" s="290"/>
      <c r="BL140" s="290"/>
      <c r="BM140" s="290">
        <v>0</v>
      </c>
      <c r="BN140" s="290">
        <v>9944.1855399999986</v>
      </c>
      <c r="BO140" s="290">
        <v>-12737.774548416508</v>
      </c>
      <c r="BP140" s="290">
        <v>1672.423</v>
      </c>
      <c r="BQ140" s="290">
        <v>-896.90800000000002</v>
      </c>
      <c r="BR140" s="290">
        <v>-547.10385097256028</v>
      </c>
      <c r="BS140" s="290">
        <v>4.718</v>
      </c>
      <c r="BT140" s="290"/>
      <c r="BU140" s="290">
        <v>0</v>
      </c>
      <c r="BV140" s="290">
        <v>6000</v>
      </c>
      <c r="BW140" s="290">
        <v>-6278</v>
      </c>
      <c r="BX140" s="290">
        <v>3503</v>
      </c>
      <c r="BY140" s="290">
        <v>841</v>
      </c>
      <c r="BZ140" s="290">
        <v>-4772</v>
      </c>
      <c r="CA140" s="290">
        <v>-11.540140610929939</v>
      </c>
      <c r="CB140" s="290">
        <v>1349</v>
      </c>
      <c r="CC140" s="290">
        <v>3555</v>
      </c>
      <c r="CD140" s="290">
        <v>49</v>
      </c>
      <c r="CE140" s="290">
        <v>1017</v>
      </c>
      <c r="CF140" s="290">
        <v>39</v>
      </c>
      <c r="CG140" s="290">
        <v>6</v>
      </c>
      <c r="CH140" s="290">
        <v>-25</v>
      </c>
      <c r="CI140" s="290">
        <v>-12286</v>
      </c>
      <c r="CJ140" s="290">
        <v>-38276</v>
      </c>
      <c r="CK140" s="290">
        <f>+innut22!E146+innut22!S146</f>
        <v>1241478.2032461769</v>
      </c>
      <c r="CL140" s="290">
        <v>0</v>
      </c>
      <c r="CM140" s="290">
        <v>0</v>
      </c>
      <c r="CN140" s="290">
        <v>0</v>
      </c>
      <c r="CP140" s="290">
        <f>+innut23!E146</f>
        <v>1142065.1700893526</v>
      </c>
      <c r="CQ140" s="290"/>
      <c r="CV140" s="85">
        <f t="shared" si="3"/>
        <v>5.0609999999999999</v>
      </c>
    </row>
    <row r="141" spans="1:100" ht="13">
      <c r="A141" s="1">
        <v>3050</v>
      </c>
      <c r="B141" s="2" t="s">
        <v>889</v>
      </c>
      <c r="C141" s="289">
        <v>2720</v>
      </c>
      <c r="D141" s="290">
        <v>51</v>
      </c>
      <c r="E141" s="290">
        <v>114</v>
      </c>
      <c r="F141" s="290">
        <v>313</v>
      </c>
      <c r="G141" s="290">
        <v>207</v>
      </c>
      <c r="H141" s="290">
        <v>1490</v>
      </c>
      <c r="I141" s="290">
        <v>388</v>
      </c>
      <c r="J141" s="290">
        <v>110</v>
      </c>
      <c r="K141" s="290">
        <v>32</v>
      </c>
      <c r="L141" s="290">
        <v>18</v>
      </c>
      <c r="M141" s="290">
        <v>216</v>
      </c>
      <c r="N141" s="290">
        <v>29</v>
      </c>
      <c r="O141" s="290">
        <v>39</v>
      </c>
      <c r="P141" s="624">
        <v>21338.458666670002</v>
      </c>
      <c r="Q141" s="624">
        <v>14721.912333329999</v>
      </c>
      <c r="R141" s="624">
        <v>10</v>
      </c>
      <c r="S141" s="290">
        <v>28</v>
      </c>
      <c r="T141" s="290">
        <v>211</v>
      </c>
      <c r="U141" s="958">
        <v>1.7843973505447764E-3</v>
      </c>
      <c r="V141" s="290">
        <v>1477.90679058</v>
      </c>
      <c r="W141" s="765">
        <v>0.80617923000000002</v>
      </c>
      <c r="X141" s="290">
        <v>900</v>
      </c>
      <c r="Y141" s="290"/>
      <c r="Z141" s="290">
        <f>innut22!E147</f>
        <v>102696.75152325412</v>
      </c>
      <c r="AA141" s="290">
        <v>0</v>
      </c>
      <c r="AB141" s="290">
        <v>60</v>
      </c>
      <c r="AC141" s="290">
        <v>105</v>
      </c>
      <c r="AD141" s="290"/>
      <c r="AE141" s="290">
        <v>0</v>
      </c>
      <c r="AF141" s="290">
        <v>0</v>
      </c>
      <c r="AG141" s="290">
        <v>2705</v>
      </c>
      <c r="AH141" s="290">
        <v>458</v>
      </c>
      <c r="AI141" s="290">
        <v>2200</v>
      </c>
      <c r="AJ141" s="290">
        <v>0</v>
      </c>
      <c r="AK141" s="290">
        <v>0</v>
      </c>
      <c r="AL141" s="290">
        <v>0</v>
      </c>
      <c r="AM141" s="957">
        <v>4.9834459999999997E-2</v>
      </c>
      <c r="AN141" s="290">
        <v>0</v>
      </c>
      <c r="AO141" s="290">
        <v>590.50311342999998</v>
      </c>
      <c r="AP141" s="290">
        <v>0</v>
      </c>
      <c r="AQ141" s="290">
        <v>0</v>
      </c>
      <c r="AR141" s="290">
        <v>987.23898181000004</v>
      </c>
      <c r="AS141" s="290">
        <v>1153</v>
      </c>
      <c r="AT141" s="290">
        <v>131</v>
      </c>
      <c r="AU141" s="290">
        <v>16</v>
      </c>
      <c r="AV141" s="766">
        <v>98261</v>
      </c>
      <c r="AW141" s="290"/>
      <c r="AX141" s="766">
        <v>16.958300000000001</v>
      </c>
      <c r="AY141" s="290">
        <v>468</v>
      </c>
      <c r="AZ141" s="290">
        <v>175</v>
      </c>
      <c r="BA141" s="290">
        <v>51</v>
      </c>
      <c r="BB141" s="290">
        <v>3017</v>
      </c>
      <c r="BC141" s="290">
        <v>4822</v>
      </c>
      <c r="BD141" s="290"/>
      <c r="BE141" s="290">
        <v>96125.510275280001</v>
      </c>
      <c r="BF141" s="290">
        <v>0</v>
      </c>
      <c r="BG141" s="290">
        <v>2456.651927000868</v>
      </c>
      <c r="BH141" s="290">
        <v>132.35838953637329</v>
      </c>
      <c r="BI141" s="290">
        <v>563</v>
      </c>
      <c r="BJ141" s="290"/>
      <c r="BK141" s="290"/>
      <c r="BL141" s="290"/>
      <c r="BM141" s="290">
        <v>0</v>
      </c>
      <c r="BN141" s="290">
        <v>1123.5843200000002</v>
      </c>
      <c r="BO141" s="290">
        <v>-1260.4045854873123</v>
      </c>
      <c r="BP141" s="290">
        <v>146.19</v>
      </c>
      <c r="BQ141" s="290">
        <v>-78.400000000000006</v>
      </c>
      <c r="BR141" s="290">
        <v>-54.222917910828428</v>
      </c>
      <c r="BS141" s="290">
        <v>0.66300000000000003</v>
      </c>
      <c r="BT141" s="290"/>
      <c r="BU141" s="290">
        <v>0</v>
      </c>
      <c r="BV141" s="290">
        <v>500</v>
      </c>
      <c r="BW141" s="290">
        <v>-621</v>
      </c>
      <c r="BX141" s="290">
        <v>355</v>
      </c>
      <c r="BY141" s="290">
        <v>72</v>
      </c>
      <c r="BZ141" s="290">
        <v>-472</v>
      </c>
      <c r="CA141" s="290">
        <v>-0.40981660185946112</v>
      </c>
      <c r="CB141" s="290">
        <v>116</v>
      </c>
      <c r="CC141" s="290">
        <v>352</v>
      </c>
      <c r="CD141" s="290">
        <v>4</v>
      </c>
      <c r="CE141" s="290">
        <v>100</v>
      </c>
      <c r="CF141" s="290">
        <v>5</v>
      </c>
      <c r="CG141" s="290">
        <v>1</v>
      </c>
      <c r="CH141" s="290">
        <v>-4</v>
      </c>
      <c r="CI141" s="290">
        <v>-1211</v>
      </c>
      <c r="CJ141" s="290">
        <v>-2445</v>
      </c>
      <c r="CK141" s="290">
        <f>+innut22!E147+innut22!S147</f>
        <v>102696.75152325412</v>
      </c>
      <c r="CL141" s="290">
        <v>0</v>
      </c>
      <c r="CM141" s="290">
        <v>0</v>
      </c>
      <c r="CN141" s="290">
        <v>0</v>
      </c>
      <c r="CP141" s="290">
        <f>+innut23!E147</f>
        <v>97240.194505253865</v>
      </c>
      <c r="CQ141" s="290"/>
      <c r="CV141" s="85">
        <f t="shared" si="3"/>
        <v>0.501</v>
      </c>
    </row>
    <row r="142" spans="1:100" ht="13">
      <c r="A142" s="1">
        <v>3051</v>
      </c>
      <c r="B142" s="2" t="s">
        <v>890</v>
      </c>
      <c r="C142" s="289">
        <v>1370</v>
      </c>
      <c r="D142" s="290">
        <v>21</v>
      </c>
      <c r="E142" s="290">
        <v>56</v>
      </c>
      <c r="F142" s="290">
        <v>126</v>
      </c>
      <c r="G142" s="290">
        <v>120</v>
      </c>
      <c r="H142" s="290">
        <v>716</v>
      </c>
      <c r="I142" s="290">
        <v>229</v>
      </c>
      <c r="J142" s="290">
        <v>79</v>
      </c>
      <c r="K142" s="290">
        <v>31</v>
      </c>
      <c r="L142" s="290">
        <v>8</v>
      </c>
      <c r="M142" s="290">
        <v>150</v>
      </c>
      <c r="N142" s="290">
        <v>18</v>
      </c>
      <c r="O142" s="290">
        <v>8</v>
      </c>
      <c r="P142" s="624">
        <v>10341.019</v>
      </c>
      <c r="Q142" s="624">
        <v>4332.3410000000003</v>
      </c>
      <c r="R142" s="624">
        <v>13</v>
      </c>
      <c r="S142" s="290">
        <v>15</v>
      </c>
      <c r="T142" s="290">
        <v>123</v>
      </c>
      <c r="U142" s="958">
        <v>1.2841011360304698E-3</v>
      </c>
      <c r="V142" s="290">
        <v>977.78759812999999</v>
      </c>
      <c r="W142" s="765">
        <v>1</v>
      </c>
      <c r="X142" s="290">
        <v>700</v>
      </c>
      <c r="Y142" s="290"/>
      <c r="Z142" s="290">
        <f>innut22!E148</f>
        <v>48448.340186282941</v>
      </c>
      <c r="AA142" s="290">
        <v>0</v>
      </c>
      <c r="AB142" s="290">
        <v>40</v>
      </c>
      <c r="AC142" s="290">
        <v>388</v>
      </c>
      <c r="AD142" s="290"/>
      <c r="AE142" s="290">
        <v>0</v>
      </c>
      <c r="AF142" s="290">
        <v>0</v>
      </c>
      <c r="AG142" s="290">
        <v>1378</v>
      </c>
      <c r="AH142" s="290">
        <v>206</v>
      </c>
      <c r="AI142" s="290">
        <v>200</v>
      </c>
      <c r="AJ142" s="290">
        <v>0</v>
      </c>
      <c r="AK142" s="290">
        <v>0</v>
      </c>
      <c r="AL142" s="290">
        <v>0</v>
      </c>
      <c r="AM142" s="957">
        <v>2.2263450000000001E-2</v>
      </c>
      <c r="AN142" s="290">
        <v>0</v>
      </c>
      <c r="AO142" s="290">
        <v>365.04023654000002</v>
      </c>
      <c r="AP142" s="290">
        <v>0</v>
      </c>
      <c r="AQ142" s="290">
        <v>0</v>
      </c>
      <c r="AR142" s="290">
        <v>-66.475604970000006</v>
      </c>
      <c r="AS142" s="290">
        <v>574</v>
      </c>
      <c r="AT142" s="290">
        <v>48</v>
      </c>
      <c r="AU142" s="290">
        <v>9</v>
      </c>
      <c r="AV142" s="766">
        <v>70509</v>
      </c>
      <c r="AW142" s="290"/>
      <c r="AX142" s="766">
        <v>7.5416499999999997</v>
      </c>
      <c r="AY142" s="290">
        <v>270</v>
      </c>
      <c r="AZ142" s="290">
        <v>99</v>
      </c>
      <c r="BA142" s="290">
        <v>18</v>
      </c>
      <c r="BB142" s="290">
        <v>3620</v>
      </c>
      <c r="BC142" s="290">
        <v>2682</v>
      </c>
      <c r="BD142" s="290"/>
      <c r="BE142" s="290">
        <v>71322.447398999997</v>
      </c>
      <c r="BF142" s="290">
        <v>0</v>
      </c>
      <c r="BG142" s="290">
        <v>1237.3577720555843</v>
      </c>
      <c r="BH142" s="290">
        <v>66.665806494423322</v>
      </c>
      <c r="BI142" s="290">
        <v>594</v>
      </c>
      <c r="BJ142" s="290"/>
      <c r="BK142" s="290"/>
      <c r="BL142" s="290"/>
      <c r="BM142" s="290">
        <v>0</v>
      </c>
      <c r="BN142" s="290">
        <v>694.58309999999994</v>
      </c>
      <c r="BO142" s="290">
        <v>-642.0841104626677</v>
      </c>
      <c r="BP142" s="290">
        <v>72.111000000000004</v>
      </c>
      <c r="BQ142" s="290">
        <v>-38.673000000000002</v>
      </c>
      <c r="BR142" s="290">
        <v>-25.858717634908114</v>
      </c>
      <c r="BS142" s="290">
        <v>0.438</v>
      </c>
      <c r="BT142" s="290"/>
      <c r="BU142" s="290">
        <v>0</v>
      </c>
      <c r="BV142" s="290">
        <v>500</v>
      </c>
      <c r="BW142" s="290">
        <v>-316</v>
      </c>
      <c r="BX142" s="290">
        <v>158</v>
      </c>
      <c r="BY142" s="290">
        <v>40</v>
      </c>
      <c r="BZ142" s="290">
        <v>-241</v>
      </c>
      <c r="CA142" s="290">
        <v>-1.5162719024241369</v>
      </c>
      <c r="CB142" s="290">
        <v>64</v>
      </c>
      <c r="CC142" s="290">
        <v>179</v>
      </c>
      <c r="CD142" s="290">
        <v>2</v>
      </c>
      <c r="CE142" s="290">
        <v>51</v>
      </c>
      <c r="CF142" s="290">
        <v>4</v>
      </c>
      <c r="CG142" s="290">
        <v>0</v>
      </c>
      <c r="CH142" s="290">
        <v>-2</v>
      </c>
      <c r="CI142" s="290">
        <v>-610</v>
      </c>
      <c r="CJ142" s="290">
        <v>-1191</v>
      </c>
      <c r="CK142" s="290">
        <f>+innut22!E148+innut22!S148</f>
        <v>48448.340186282941</v>
      </c>
      <c r="CL142" s="290">
        <v>0</v>
      </c>
      <c r="CM142" s="290">
        <v>0</v>
      </c>
      <c r="CN142" s="290">
        <v>0</v>
      </c>
      <c r="CP142" s="290">
        <f>+innut23!E148</f>
        <v>45377.362530589162</v>
      </c>
      <c r="CQ142" s="290"/>
      <c r="CV142" s="85">
        <f t="shared" si="3"/>
        <v>0.255</v>
      </c>
    </row>
    <row r="143" spans="1:100" ht="13">
      <c r="A143" s="1">
        <v>3052</v>
      </c>
      <c r="B143" s="2" t="s">
        <v>891</v>
      </c>
      <c r="C143" s="289">
        <v>2455</v>
      </c>
      <c r="D143" s="290">
        <v>38</v>
      </c>
      <c r="E143" s="290">
        <v>69</v>
      </c>
      <c r="F143" s="290">
        <v>242</v>
      </c>
      <c r="G143" s="290">
        <v>220</v>
      </c>
      <c r="H143" s="290">
        <v>1324</v>
      </c>
      <c r="I143" s="290">
        <v>373</v>
      </c>
      <c r="J143" s="290">
        <v>149</v>
      </c>
      <c r="K143" s="290">
        <v>40</v>
      </c>
      <c r="L143" s="290">
        <v>18</v>
      </c>
      <c r="M143" s="290">
        <v>261</v>
      </c>
      <c r="N143" s="290">
        <v>37</v>
      </c>
      <c r="O143" s="290">
        <v>32</v>
      </c>
      <c r="P143" s="624">
        <v>27292.219000000001</v>
      </c>
      <c r="Q143" s="624">
        <v>14102.70933333</v>
      </c>
      <c r="R143" s="624">
        <v>15</v>
      </c>
      <c r="S143" s="290">
        <v>23</v>
      </c>
      <c r="T143" s="290">
        <v>203</v>
      </c>
      <c r="U143" s="958">
        <v>3.3005897610273332E-3</v>
      </c>
      <c r="V143" s="290">
        <v>1529.23333142</v>
      </c>
      <c r="W143" s="765">
        <v>1</v>
      </c>
      <c r="X143" s="290">
        <v>0</v>
      </c>
      <c r="Y143" s="290"/>
      <c r="Z143" s="290">
        <f>innut22!E149</f>
        <v>108552.11834998631</v>
      </c>
      <c r="AA143" s="290">
        <v>0</v>
      </c>
      <c r="AB143" s="290">
        <v>35</v>
      </c>
      <c r="AC143" s="290">
        <v>86</v>
      </c>
      <c r="AD143" s="290"/>
      <c r="AE143" s="290">
        <v>0</v>
      </c>
      <c r="AF143" s="290">
        <v>0</v>
      </c>
      <c r="AG143" s="290">
        <v>2455</v>
      </c>
      <c r="AH143" s="290">
        <v>360</v>
      </c>
      <c r="AI143" s="290">
        <v>200</v>
      </c>
      <c r="AJ143" s="290">
        <v>0</v>
      </c>
      <c r="AK143" s="290">
        <v>0</v>
      </c>
      <c r="AL143" s="290">
        <v>0</v>
      </c>
      <c r="AM143" s="957">
        <v>1.9739610000000001E-2</v>
      </c>
      <c r="AN143" s="290">
        <v>0</v>
      </c>
      <c r="AO143" s="290">
        <v>570.91304706000005</v>
      </c>
      <c r="AP143" s="290">
        <v>0</v>
      </c>
      <c r="AQ143" s="290">
        <v>0</v>
      </c>
      <c r="AR143" s="290">
        <v>-118.43077663</v>
      </c>
      <c r="AS143" s="290">
        <v>1033</v>
      </c>
      <c r="AT143" s="290">
        <v>116</v>
      </c>
      <c r="AU143" s="290">
        <v>9</v>
      </c>
      <c r="AV143" s="766">
        <v>99130</v>
      </c>
      <c r="AW143" s="290"/>
      <c r="AX143" s="766">
        <v>9.7082999999999995</v>
      </c>
      <c r="AY143" s="290">
        <v>385</v>
      </c>
      <c r="AZ143" s="290">
        <v>110</v>
      </c>
      <c r="BA143" s="290">
        <v>37</v>
      </c>
      <c r="BB143" s="290">
        <v>6034</v>
      </c>
      <c r="BC143" s="290">
        <v>4254</v>
      </c>
      <c r="BD143" s="290"/>
      <c r="BE143" s="290">
        <v>100464.3681048</v>
      </c>
      <c r="BF143" s="290">
        <v>0</v>
      </c>
      <c r="BG143" s="290">
        <v>2217.3090002893864</v>
      </c>
      <c r="BH143" s="290">
        <v>119.46317879110164</v>
      </c>
      <c r="BI143" s="290">
        <v>446</v>
      </c>
      <c r="BJ143" s="290"/>
      <c r="BK143" s="290"/>
      <c r="BL143" s="290"/>
      <c r="BM143" s="290">
        <v>0</v>
      </c>
      <c r="BN143" s="290">
        <v>1086.30918</v>
      </c>
      <c r="BO143" s="290">
        <v>-1143.9161764773942</v>
      </c>
      <c r="BP143" s="290">
        <v>90.459000000000003</v>
      </c>
      <c r="BQ143" s="290">
        <v>-48.512999999999998</v>
      </c>
      <c r="BR143" s="290">
        <v>-47.674471109585696</v>
      </c>
      <c r="BS143" s="290">
        <v>0.67400000000000004</v>
      </c>
      <c r="BT143" s="290"/>
      <c r="BU143" s="290">
        <v>0</v>
      </c>
      <c r="BV143" s="290">
        <v>1000</v>
      </c>
      <c r="BW143" s="290">
        <v>-564</v>
      </c>
      <c r="BX143" s="290">
        <v>295</v>
      </c>
      <c r="BY143" s="290">
        <v>61</v>
      </c>
      <c r="BZ143" s="290">
        <v>-429</v>
      </c>
      <c r="CA143" s="290">
        <v>-0.33853241302010417</v>
      </c>
      <c r="CB143" s="290">
        <v>98</v>
      </c>
      <c r="CC143" s="290">
        <v>319</v>
      </c>
      <c r="CD143" s="290">
        <v>4</v>
      </c>
      <c r="CE143" s="290">
        <v>91</v>
      </c>
      <c r="CF143" s="290">
        <v>6</v>
      </c>
      <c r="CG143" s="290">
        <v>0</v>
      </c>
      <c r="CH143" s="290">
        <v>-4</v>
      </c>
      <c r="CI143" s="290">
        <v>-1093</v>
      </c>
      <c r="CJ143" s="290">
        <v>-2293</v>
      </c>
      <c r="CK143" s="290">
        <f>+innut22!E149+innut22!S149</f>
        <v>108552.11834998631</v>
      </c>
      <c r="CL143" s="290">
        <v>0</v>
      </c>
      <c r="CM143" s="290">
        <v>0</v>
      </c>
      <c r="CN143" s="290">
        <v>0</v>
      </c>
      <c r="CP143" s="290">
        <f>+innut23!E149</f>
        <v>103467.60005730047</v>
      </c>
      <c r="CQ143" s="290"/>
      <c r="CV143" s="85">
        <f t="shared" si="3"/>
        <v>0.45400000000000001</v>
      </c>
    </row>
    <row r="144" spans="1:100" ht="13">
      <c r="A144" s="1">
        <v>3053</v>
      </c>
      <c r="B144" s="2" t="s">
        <v>860</v>
      </c>
      <c r="C144" s="289">
        <v>6908</v>
      </c>
      <c r="D144" s="290">
        <v>123</v>
      </c>
      <c r="E144" s="290">
        <v>282</v>
      </c>
      <c r="F144" s="290">
        <v>777</v>
      </c>
      <c r="G144" s="290">
        <v>525</v>
      </c>
      <c r="H144" s="290">
        <v>3909</v>
      </c>
      <c r="I144" s="290">
        <v>911</v>
      </c>
      <c r="J144" s="290">
        <v>278</v>
      </c>
      <c r="K144" s="290">
        <v>53</v>
      </c>
      <c r="L144" s="290">
        <v>62</v>
      </c>
      <c r="M144" s="290">
        <v>597</v>
      </c>
      <c r="N144" s="290">
        <v>126</v>
      </c>
      <c r="O144" s="290">
        <v>60</v>
      </c>
      <c r="P144" s="624">
        <v>19047.179</v>
      </c>
      <c r="Q144" s="624">
        <v>10331.010666669999</v>
      </c>
      <c r="R144" s="624">
        <v>21</v>
      </c>
      <c r="S144" s="290">
        <v>82</v>
      </c>
      <c r="T144" s="290">
        <v>566</v>
      </c>
      <c r="U144" s="958">
        <v>1.3354382422050735E-3</v>
      </c>
      <c r="V144" s="290">
        <v>872.30354748000002</v>
      </c>
      <c r="W144" s="765">
        <v>0.58737693999999996</v>
      </c>
      <c r="X144" s="290">
        <v>800</v>
      </c>
      <c r="Y144" s="290"/>
      <c r="Z144" s="290">
        <f>innut22!E150</f>
        <v>226119.03675411158</v>
      </c>
      <c r="AA144" s="290">
        <v>0</v>
      </c>
      <c r="AB144" s="290">
        <v>167</v>
      </c>
      <c r="AC144" s="290">
        <v>105</v>
      </c>
      <c r="AD144" s="290"/>
      <c r="AE144" s="290">
        <v>0</v>
      </c>
      <c r="AF144" s="290">
        <v>0</v>
      </c>
      <c r="AG144" s="290">
        <v>6858</v>
      </c>
      <c r="AH144" s="290">
        <v>1166</v>
      </c>
      <c r="AI144" s="290">
        <v>200</v>
      </c>
      <c r="AJ144" s="290">
        <v>0</v>
      </c>
      <c r="AK144" s="290">
        <v>0</v>
      </c>
      <c r="AL144" s="290">
        <v>0</v>
      </c>
      <c r="AM144" s="957">
        <v>0.20046752000000001</v>
      </c>
      <c r="AN144" s="290">
        <v>0</v>
      </c>
      <c r="AO144" s="290">
        <v>1333.2102863499999</v>
      </c>
      <c r="AP144" s="290">
        <v>0</v>
      </c>
      <c r="AQ144" s="290">
        <v>0</v>
      </c>
      <c r="AR144" s="290">
        <v>-115.87307872</v>
      </c>
      <c r="AS144" s="290">
        <v>1148</v>
      </c>
      <c r="AT144" s="290">
        <v>437</v>
      </c>
      <c r="AU144" s="290">
        <v>64</v>
      </c>
      <c r="AV144" s="766">
        <v>185954</v>
      </c>
      <c r="AW144" s="290"/>
      <c r="AX144" s="766">
        <v>38.291649999999997</v>
      </c>
      <c r="AY144" s="290">
        <v>1344</v>
      </c>
      <c r="AZ144" s="290">
        <v>338</v>
      </c>
      <c r="BA144" s="290">
        <v>154</v>
      </c>
      <c r="BB144" s="290">
        <v>0</v>
      </c>
      <c r="BC144" s="290">
        <v>11806</v>
      </c>
      <c r="BD144" s="290"/>
      <c r="BE144" s="290">
        <v>181789.53033482999</v>
      </c>
      <c r="BF144" s="290">
        <v>0</v>
      </c>
      <c r="BG144" s="290">
        <v>6239.1733498977928</v>
      </c>
      <c r="BH144" s="290">
        <v>336.15138048428923</v>
      </c>
      <c r="BI144" s="290">
        <v>1271</v>
      </c>
      <c r="BJ144" s="290"/>
      <c r="BK144" s="290"/>
      <c r="BL144" s="290"/>
      <c r="BM144" s="290">
        <v>0</v>
      </c>
      <c r="BN144" s="290">
        <v>2536.7761</v>
      </c>
      <c r="BO144" s="290">
        <v>-3195.5100359600692</v>
      </c>
      <c r="BP144" s="290">
        <v>363.01900000000001</v>
      </c>
      <c r="BQ144" s="290">
        <v>-194.684</v>
      </c>
      <c r="BR144" s="290">
        <v>-121.47988658973347</v>
      </c>
      <c r="BS144" s="290">
        <v>1.29</v>
      </c>
      <c r="BT144" s="290"/>
      <c r="BU144" s="290">
        <v>0</v>
      </c>
      <c r="BV144" s="290">
        <v>1500</v>
      </c>
      <c r="BW144" s="290">
        <v>-1575</v>
      </c>
      <c r="BX144" s="290">
        <v>779</v>
      </c>
      <c r="BY144" s="290">
        <v>214</v>
      </c>
      <c r="BZ144" s="290">
        <v>-1197</v>
      </c>
      <c r="CA144" s="290">
        <v>-0.41117745019728602</v>
      </c>
      <c r="CB144" s="290">
        <v>343</v>
      </c>
      <c r="CC144" s="290">
        <v>892</v>
      </c>
      <c r="CD144" s="290">
        <v>13</v>
      </c>
      <c r="CE144" s="290">
        <v>255</v>
      </c>
      <c r="CF144" s="290">
        <v>11</v>
      </c>
      <c r="CG144" s="290">
        <v>1</v>
      </c>
      <c r="CH144" s="290">
        <v>-7</v>
      </c>
      <c r="CI144" s="290">
        <v>-3077</v>
      </c>
      <c r="CJ144" s="290">
        <v>-8318</v>
      </c>
      <c r="CK144" s="290">
        <f>+innut22!E150+innut22!S150</f>
        <v>226119.03675411158</v>
      </c>
      <c r="CL144" s="290">
        <v>0</v>
      </c>
      <c r="CM144" s="290">
        <v>0</v>
      </c>
      <c r="CN144" s="290">
        <v>0</v>
      </c>
      <c r="CP144" s="290">
        <f>+innut23!E150</f>
        <v>209137.56445793316</v>
      </c>
      <c r="CQ144" s="290"/>
      <c r="CV144" s="85">
        <f t="shared" si="3"/>
        <v>1.27</v>
      </c>
    </row>
    <row r="145" spans="1:100" ht="13">
      <c r="A145" s="1">
        <v>3054</v>
      </c>
      <c r="B145" s="4" t="s">
        <v>861</v>
      </c>
      <c r="C145" s="289">
        <v>9144</v>
      </c>
      <c r="D145" s="290">
        <v>164</v>
      </c>
      <c r="E145" s="290">
        <v>376</v>
      </c>
      <c r="F145" s="290">
        <v>1089</v>
      </c>
      <c r="G145" s="290">
        <v>740</v>
      </c>
      <c r="H145" s="290">
        <v>5210</v>
      </c>
      <c r="I145" s="290">
        <v>1193</v>
      </c>
      <c r="J145" s="290">
        <v>296</v>
      </c>
      <c r="K145" s="290">
        <v>71</v>
      </c>
      <c r="L145" s="290">
        <v>69</v>
      </c>
      <c r="M145" s="290">
        <v>668</v>
      </c>
      <c r="N145" s="290">
        <v>191</v>
      </c>
      <c r="O145" s="290">
        <v>78</v>
      </c>
      <c r="P145" s="624">
        <v>27112.598666670001</v>
      </c>
      <c r="Q145" s="624">
        <v>23474.61</v>
      </c>
      <c r="R145" s="624">
        <v>43</v>
      </c>
      <c r="S145" s="290">
        <v>107</v>
      </c>
      <c r="T145" s="290">
        <v>757</v>
      </c>
      <c r="U145" s="958">
        <v>2.6469749120579486E-3</v>
      </c>
      <c r="V145" s="290">
        <v>4233.3797664100002</v>
      </c>
      <c r="W145" s="765">
        <v>0.63039418000000003</v>
      </c>
      <c r="X145" s="290">
        <v>700</v>
      </c>
      <c r="Y145" s="290"/>
      <c r="Z145" s="290">
        <f>innut22!E151</f>
        <v>311544.83052394324</v>
      </c>
      <c r="AA145" s="290">
        <v>0</v>
      </c>
      <c r="AB145" s="290">
        <v>203</v>
      </c>
      <c r="AC145" s="290">
        <v>304</v>
      </c>
      <c r="AD145" s="290"/>
      <c r="AE145" s="290">
        <v>0</v>
      </c>
      <c r="AF145" s="290">
        <v>0</v>
      </c>
      <c r="AG145" s="290">
        <v>9139</v>
      </c>
      <c r="AH145" s="290">
        <v>1609</v>
      </c>
      <c r="AI145" s="290">
        <v>1700</v>
      </c>
      <c r="AJ145" s="290">
        <v>0</v>
      </c>
      <c r="AK145" s="290">
        <v>0</v>
      </c>
      <c r="AL145" s="290">
        <v>0</v>
      </c>
      <c r="AM145" s="957">
        <v>0.22181666999999999</v>
      </c>
      <c r="AN145" s="290">
        <v>0</v>
      </c>
      <c r="AO145" s="290">
        <v>1774.21951085</v>
      </c>
      <c r="AP145" s="290">
        <v>0</v>
      </c>
      <c r="AQ145" s="290">
        <v>0</v>
      </c>
      <c r="AR145" s="290">
        <v>-440.87122916999999</v>
      </c>
      <c r="AS145" s="290">
        <v>1672</v>
      </c>
      <c r="AT145" s="290">
        <v>515</v>
      </c>
      <c r="AU145" s="290">
        <v>90</v>
      </c>
      <c r="AV145" s="766">
        <v>247307</v>
      </c>
      <c r="AW145" s="290"/>
      <c r="AX145" s="766">
        <v>56.416649999999997</v>
      </c>
      <c r="AY145" s="290">
        <v>1897</v>
      </c>
      <c r="AZ145" s="290">
        <v>393</v>
      </c>
      <c r="BA145" s="290">
        <v>184</v>
      </c>
      <c r="BB145" s="290">
        <v>0</v>
      </c>
      <c r="BC145" s="290">
        <v>15300</v>
      </c>
      <c r="BD145" s="290"/>
      <c r="BE145" s="290">
        <v>244442.28119142001</v>
      </c>
      <c r="BF145" s="290">
        <v>0</v>
      </c>
      <c r="BG145" s="290">
        <v>8258.6857428293879</v>
      </c>
      <c r="BH145" s="290">
        <v>444.95776247080784</v>
      </c>
      <c r="BI145" s="290">
        <v>1913</v>
      </c>
      <c r="BJ145" s="290"/>
      <c r="BK145" s="290"/>
      <c r="BL145" s="290"/>
      <c r="BM145" s="290">
        <v>0</v>
      </c>
      <c r="BN145" s="290">
        <v>3375.9097800000004</v>
      </c>
      <c r="BO145" s="290">
        <v>-4258.3502797665606</v>
      </c>
      <c r="BP145" s="290">
        <v>491.072</v>
      </c>
      <c r="BQ145" s="290">
        <v>-263.35899999999998</v>
      </c>
      <c r="BR145" s="290">
        <v>-169.79439532928862</v>
      </c>
      <c r="BS145" s="290">
        <v>1.7090000000000001</v>
      </c>
      <c r="BT145" s="290"/>
      <c r="BU145" s="290">
        <v>0</v>
      </c>
      <c r="BV145" s="290">
        <v>2000</v>
      </c>
      <c r="BW145" s="290">
        <v>-2099</v>
      </c>
      <c r="BX145" s="290">
        <v>1095</v>
      </c>
      <c r="BY145" s="290">
        <v>278</v>
      </c>
      <c r="BZ145" s="290">
        <v>-1595</v>
      </c>
      <c r="CA145" s="290">
        <v>-1.1871049041512265</v>
      </c>
      <c r="CB145" s="290">
        <v>446</v>
      </c>
      <c r="CC145" s="290">
        <v>1188</v>
      </c>
      <c r="CD145" s="290">
        <v>16</v>
      </c>
      <c r="CE145" s="290">
        <v>337</v>
      </c>
      <c r="CF145" s="290">
        <v>14</v>
      </c>
      <c r="CG145" s="290">
        <v>2</v>
      </c>
      <c r="CH145" s="290">
        <v>-9</v>
      </c>
      <c r="CI145" s="290">
        <v>-4073</v>
      </c>
      <c r="CJ145" s="290">
        <v>-10797</v>
      </c>
      <c r="CK145" s="290">
        <f>+innut22!E151+innut22!S151</f>
        <v>311544.83052394324</v>
      </c>
      <c r="CL145" s="290">
        <v>0</v>
      </c>
      <c r="CM145" s="290">
        <v>0</v>
      </c>
      <c r="CN145" s="290">
        <v>0</v>
      </c>
      <c r="CP145" s="290">
        <f>+innut23!E151</f>
        <v>292824.3839356582</v>
      </c>
      <c r="CQ145" s="290"/>
      <c r="CV145" s="85">
        <f t="shared" si="3"/>
        <v>1.6919999999999999</v>
      </c>
    </row>
    <row r="146" spans="1:100" ht="13">
      <c r="A146" s="1">
        <v>3401</v>
      </c>
      <c r="B146" s="2" t="s">
        <v>824</v>
      </c>
      <c r="C146" s="289">
        <v>17949</v>
      </c>
      <c r="D146" s="290">
        <v>263</v>
      </c>
      <c r="E146" s="290">
        <v>609</v>
      </c>
      <c r="F146" s="290">
        <v>1931</v>
      </c>
      <c r="G146" s="290">
        <v>1409</v>
      </c>
      <c r="H146" s="290">
        <v>9763</v>
      </c>
      <c r="I146" s="290">
        <v>2946</v>
      </c>
      <c r="J146" s="290">
        <v>831</v>
      </c>
      <c r="K146" s="290">
        <v>160</v>
      </c>
      <c r="L146" s="290">
        <v>152</v>
      </c>
      <c r="M146" s="290">
        <v>1981</v>
      </c>
      <c r="N146" s="290">
        <v>617</v>
      </c>
      <c r="O146" s="290">
        <v>134</v>
      </c>
      <c r="P146" s="624">
        <v>98312.312999999995</v>
      </c>
      <c r="Q146" s="624">
        <v>33685.065999999999</v>
      </c>
      <c r="R146" s="624">
        <v>94</v>
      </c>
      <c r="S146" s="290">
        <v>256</v>
      </c>
      <c r="T146" s="290">
        <v>1810</v>
      </c>
      <c r="U146" s="958">
        <v>4.1511596716967154E-3</v>
      </c>
      <c r="V146" s="290">
        <v>-6842.3290698600003</v>
      </c>
      <c r="W146" s="765">
        <v>0.59984824000000003</v>
      </c>
      <c r="X146" s="290">
        <v>1000</v>
      </c>
      <c r="Y146" s="290"/>
      <c r="Z146" s="290">
        <f>innut22!E152</f>
        <v>626872.54633975204</v>
      </c>
      <c r="AA146" s="290">
        <v>0</v>
      </c>
      <c r="AB146" s="290">
        <v>577</v>
      </c>
      <c r="AC146" s="290">
        <v>1749</v>
      </c>
      <c r="AD146" s="290"/>
      <c r="AE146" s="290">
        <v>0</v>
      </c>
      <c r="AF146" s="290">
        <v>0</v>
      </c>
      <c r="AG146" s="290">
        <v>17912</v>
      </c>
      <c r="AH146" s="290">
        <v>2803</v>
      </c>
      <c r="AI146" s="290">
        <v>4800</v>
      </c>
      <c r="AJ146" s="290">
        <v>0</v>
      </c>
      <c r="AK146" s="290">
        <v>0</v>
      </c>
      <c r="AL146" s="290">
        <v>0</v>
      </c>
      <c r="AM146" s="957">
        <v>0.52605299000000005</v>
      </c>
      <c r="AN146" s="290">
        <v>17952</v>
      </c>
      <c r="AO146" s="290">
        <v>3607.0938683600002</v>
      </c>
      <c r="AP146" s="290">
        <v>0</v>
      </c>
      <c r="AQ146" s="290">
        <v>0</v>
      </c>
      <c r="AR146" s="290">
        <v>-864.08638328999996</v>
      </c>
      <c r="AS146" s="290">
        <v>4035</v>
      </c>
      <c r="AT146" s="290">
        <v>1090</v>
      </c>
      <c r="AU146" s="290">
        <v>182</v>
      </c>
      <c r="AV146" s="766">
        <v>516773</v>
      </c>
      <c r="AW146" s="290"/>
      <c r="AX146" s="766">
        <v>82.541650000000004</v>
      </c>
      <c r="AY146" s="290">
        <v>3592</v>
      </c>
      <c r="AZ146" s="290">
        <v>845</v>
      </c>
      <c r="BA146" s="290">
        <v>408</v>
      </c>
      <c r="BB146" s="290">
        <v>0</v>
      </c>
      <c r="BC146" s="290">
        <v>28383</v>
      </c>
      <c r="BD146" s="290"/>
      <c r="BE146" s="290">
        <v>521715.93778126</v>
      </c>
      <c r="BF146" s="290">
        <v>0</v>
      </c>
      <c r="BG146" s="290">
        <v>16211.193175639186</v>
      </c>
      <c r="BH146" s="290">
        <v>873.41938742219281</v>
      </c>
      <c r="BI146" s="290">
        <v>4552</v>
      </c>
      <c r="BJ146" s="290"/>
      <c r="BK146" s="290"/>
      <c r="BL146" s="290"/>
      <c r="BM146" s="290">
        <v>0</v>
      </c>
      <c r="BN146" s="290">
        <v>6863.4255199999998</v>
      </c>
      <c r="BO146" s="290">
        <v>-8346.1615287426011</v>
      </c>
      <c r="BP146" s="290">
        <v>800.41200000000003</v>
      </c>
      <c r="BQ146" s="290">
        <v>-429.255</v>
      </c>
      <c r="BR146" s="290">
        <v>-304.02259792416714</v>
      </c>
      <c r="BS146" s="290">
        <v>3.4409999999999998</v>
      </c>
      <c r="BT146" s="290"/>
      <c r="BU146" s="290">
        <v>0</v>
      </c>
      <c r="BV146" s="290">
        <v>3500</v>
      </c>
      <c r="BW146" s="290">
        <v>-4113</v>
      </c>
      <c r="BX146" s="290">
        <v>1943</v>
      </c>
      <c r="BY146" s="290">
        <v>668</v>
      </c>
      <c r="BZ146" s="290">
        <v>-3127</v>
      </c>
      <c r="CA146" s="290">
        <v>-6.8393933332317829</v>
      </c>
      <c r="CB146" s="290">
        <v>1072</v>
      </c>
      <c r="CC146" s="290">
        <v>2329</v>
      </c>
      <c r="CD146" s="290">
        <v>39</v>
      </c>
      <c r="CE146" s="290">
        <v>662</v>
      </c>
      <c r="CF146" s="290">
        <v>28</v>
      </c>
      <c r="CG146" s="290">
        <v>3</v>
      </c>
      <c r="CH146" s="290">
        <v>-18</v>
      </c>
      <c r="CI146" s="290">
        <v>-7994</v>
      </c>
      <c r="CJ146" s="290">
        <v>-22222</v>
      </c>
      <c r="CK146" s="290">
        <f>+innut22!E152+innut22!S152</f>
        <v>626872.54633975204</v>
      </c>
      <c r="CL146" s="290">
        <v>0</v>
      </c>
      <c r="CM146" s="290">
        <v>0</v>
      </c>
      <c r="CN146" s="290">
        <v>0</v>
      </c>
      <c r="CP146" s="290">
        <f>+innut23!E152</f>
        <v>561570.37326507852</v>
      </c>
      <c r="CQ146" s="290"/>
      <c r="CV146" s="85">
        <f t="shared" si="3"/>
        <v>3.3159999999999998</v>
      </c>
    </row>
    <row r="147" spans="1:100" ht="13">
      <c r="A147" s="1">
        <v>3403</v>
      </c>
      <c r="B147" s="2" t="s">
        <v>825</v>
      </c>
      <c r="C147" s="289">
        <v>31999</v>
      </c>
      <c r="D147" s="290">
        <v>522</v>
      </c>
      <c r="E147" s="290">
        <v>1172</v>
      </c>
      <c r="F147" s="290">
        <v>3443</v>
      </c>
      <c r="G147" s="290">
        <v>2619</v>
      </c>
      <c r="H147" s="290">
        <v>17540</v>
      </c>
      <c r="I147" s="290">
        <v>4587</v>
      </c>
      <c r="J147" s="290">
        <v>1402</v>
      </c>
      <c r="K147" s="290">
        <v>408</v>
      </c>
      <c r="L147" s="290">
        <v>232</v>
      </c>
      <c r="M147" s="290">
        <v>2939</v>
      </c>
      <c r="N147" s="290">
        <v>1249</v>
      </c>
      <c r="O147" s="290">
        <v>287</v>
      </c>
      <c r="P147" s="624">
        <v>44950.06733333</v>
      </c>
      <c r="Q147" s="624">
        <v>25888.498666669999</v>
      </c>
      <c r="R147" s="624">
        <v>121</v>
      </c>
      <c r="S147" s="290">
        <v>437</v>
      </c>
      <c r="T147" s="290">
        <v>3199</v>
      </c>
      <c r="U147" s="958">
        <v>2.5427341105707752E-3</v>
      </c>
      <c r="V147" s="290">
        <v>-5983.4544673399996</v>
      </c>
      <c r="W147" s="765">
        <v>0.53511810000000004</v>
      </c>
      <c r="X147" s="290">
        <v>950</v>
      </c>
      <c r="Y147" s="290"/>
      <c r="Z147" s="290">
        <f>innut22!E153</f>
        <v>1189581.9922373113</v>
      </c>
      <c r="AA147" s="290">
        <v>0</v>
      </c>
      <c r="AB147" s="290">
        <v>715</v>
      </c>
      <c r="AC147" s="290">
        <v>5168</v>
      </c>
      <c r="AD147" s="290"/>
      <c r="AE147" s="290">
        <v>0</v>
      </c>
      <c r="AF147" s="290">
        <v>0</v>
      </c>
      <c r="AG147" s="290">
        <v>31693</v>
      </c>
      <c r="AH147" s="290">
        <v>5077</v>
      </c>
      <c r="AI147" s="290">
        <v>2000</v>
      </c>
      <c r="AJ147" s="290">
        <v>0</v>
      </c>
      <c r="AK147" s="290">
        <v>0</v>
      </c>
      <c r="AL147" s="290">
        <v>0</v>
      </c>
      <c r="AM147" s="957">
        <v>0.82864596999999995</v>
      </c>
      <c r="AN147" s="290">
        <v>0</v>
      </c>
      <c r="AO147" s="290">
        <v>6163.0331184799998</v>
      </c>
      <c r="AP147" s="290">
        <v>0</v>
      </c>
      <c r="AQ147" s="290">
        <v>0</v>
      </c>
      <c r="AR147" s="290">
        <v>-1528.8906735999999</v>
      </c>
      <c r="AS147" s="290">
        <v>5442</v>
      </c>
      <c r="AT147" s="290">
        <v>1612</v>
      </c>
      <c r="AU147" s="290">
        <v>308</v>
      </c>
      <c r="AV147" s="766">
        <v>825451</v>
      </c>
      <c r="AW147" s="290"/>
      <c r="AX147" s="766">
        <v>194.99995000000001</v>
      </c>
      <c r="AY147" s="290">
        <v>10230</v>
      </c>
      <c r="AZ147" s="290">
        <v>1657</v>
      </c>
      <c r="BA147" s="290">
        <v>603</v>
      </c>
      <c r="BB147" s="290">
        <v>0</v>
      </c>
      <c r="BC147" s="290">
        <v>50220</v>
      </c>
      <c r="BD147" s="290"/>
      <c r="BE147" s="290">
        <v>832276.73437939002</v>
      </c>
      <c r="BF147" s="290">
        <v>0</v>
      </c>
      <c r="BG147" s="290">
        <v>28900.884195625284</v>
      </c>
      <c r="BH147" s="290">
        <v>1557.1088627847091</v>
      </c>
      <c r="BI147" s="290">
        <v>10245</v>
      </c>
      <c r="BJ147" s="290"/>
      <c r="BK147" s="290"/>
      <c r="BL147" s="290"/>
      <c r="BM147" s="290">
        <v>0</v>
      </c>
      <c r="BN147" s="290">
        <v>11726.758520000001</v>
      </c>
      <c r="BO147" s="290">
        <v>-14767.468587005318</v>
      </c>
      <c r="BP147" s="290">
        <v>1650.5989999999999</v>
      </c>
      <c r="BQ147" s="290">
        <v>-885.20399999999995</v>
      </c>
      <c r="BR147" s="290">
        <v>-522.10892947917637</v>
      </c>
      <c r="BS147" s="290">
        <v>5.6360000000000001</v>
      </c>
      <c r="BT147" s="290"/>
      <c r="BU147" s="290">
        <v>0</v>
      </c>
      <c r="BV147" s="290">
        <v>6000</v>
      </c>
      <c r="BW147" s="290">
        <v>-7278</v>
      </c>
      <c r="BX147" s="290">
        <v>3356</v>
      </c>
      <c r="BY147" s="290">
        <v>1141</v>
      </c>
      <c r="BZ147" s="290">
        <v>-5532</v>
      </c>
      <c r="CA147" s="290">
        <v>-20.212003515506694</v>
      </c>
      <c r="CB147" s="290">
        <v>1830</v>
      </c>
      <c r="CC147" s="290">
        <v>4121</v>
      </c>
      <c r="CD147" s="290">
        <v>67</v>
      </c>
      <c r="CE147" s="290">
        <v>1180</v>
      </c>
      <c r="CF147" s="290">
        <v>46</v>
      </c>
      <c r="CG147" s="290">
        <v>6</v>
      </c>
      <c r="CH147" s="290">
        <v>-30</v>
      </c>
      <c r="CI147" s="290">
        <v>-14252</v>
      </c>
      <c r="CJ147" s="290">
        <v>-37186</v>
      </c>
      <c r="CK147" s="290">
        <f>+innut22!E153+innut22!S153</f>
        <v>1189581.9922373113</v>
      </c>
      <c r="CL147" s="290">
        <v>0</v>
      </c>
      <c r="CM147" s="290">
        <v>0</v>
      </c>
      <c r="CN147" s="290">
        <v>0</v>
      </c>
      <c r="CP147" s="290">
        <f>+innut23!E153</f>
        <v>1101809.4693468702</v>
      </c>
      <c r="CQ147" s="290"/>
      <c r="CV147" s="85">
        <f t="shared" si="3"/>
        <v>5.867</v>
      </c>
    </row>
    <row r="148" spans="1:100" ht="13">
      <c r="A148" s="1">
        <v>3405</v>
      </c>
      <c r="B148" s="2" t="s">
        <v>845</v>
      </c>
      <c r="C148" s="289">
        <v>28425</v>
      </c>
      <c r="D148" s="290">
        <v>480</v>
      </c>
      <c r="E148" s="290">
        <v>1084</v>
      </c>
      <c r="F148" s="290">
        <v>3089</v>
      </c>
      <c r="G148" s="290">
        <v>2664</v>
      </c>
      <c r="H148" s="290">
        <v>15667</v>
      </c>
      <c r="I148" s="290">
        <v>3737</v>
      </c>
      <c r="J148" s="290">
        <v>1287</v>
      </c>
      <c r="K148" s="290">
        <v>313</v>
      </c>
      <c r="L148" s="290">
        <v>203</v>
      </c>
      <c r="M148" s="290">
        <v>2421</v>
      </c>
      <c r="N148" s="290">
        <v>974</v>
      </c>
      <c r="O148" s="290">
        <v>239</v>
      </c>
      <c r="P148" s="624">
        <v>84869.434999999998</v>
      </c>
      <c r="Q148" s="624">
        <v>43023.454666669997</v>
      </c>
      <c r="R148" s="624">
        <v>119</v>
      </c>
      <c r="S148" s="290">
        <v>331</v>
      </c>
      <c r="T148" s="290">
        <v>2452</v>
      </c>
      <c r="U148" s="958">
        <v>3.3849581482310129E-3</v>
      </c>
      <c r="V148" s="290">
        <v>-5910.2810578400004</v>
      </c>
      <c r="W148" s="765">
        <v>0.55465193000000002</v>
      </c>
      <c r="X148" s="290">
        <v>200</v>
      </c>
      <c r="Y148" s="290"/>
      <c r="Z148" s="290">
        <f>innut22!E154</f>
        <v>1043648.4970206087</v>
      </c>
      <c r="AA148" s="290">
        <v>0</v>
      </c>
      <c r="AB148" s="290">
        <v>569</v>
      </c>
      <c r="AC148" s="290">
        <v>3403</v>
      </c>
      <c r="AD148" s="290"/>
      <c r="AE148" s="290">
        <v>0</v>
      </c>
      <c r="AF148" s="290">
        <v>0</v>
      </c>
      <c r="AG148" s="290">
        <v>28321</v>
      </c>
      <c r="AH148" s="290">
        <v>4616</v>
      </c>
      <c r="AI148" s="290">
        <v>2970</v>
      </c>
      <c r="AJ148" s="290">
        <v>0</v>
      </c>
      <c r="AK148" s="290">
        <v>0</v>
      </c>
      <c r="AL148" s="290">
        <v>0</v>
      </c>
      <c r="AM148" s="957">
        <v>0.33981460000000002</v>
      </c>
      <c r="AN148" s="290">
        <v>0</v>
      </c>
      <c r="AO148" s="290">
        <v>5466.38408213</v>
      </c>
      <c r="AP148" s="290">
        <v>0</v>
      </c>
      <c r="AQ148" s="290">
        <v>-371.41500000000002</v>
      </c>
      <c r="AR148" s="290">
        <v>-1366.22322807</v>
      </c>
      <c r="AS148" s="290">
        <v>3477</v>
      </c>
      <c r="AT148" s="290">
        <v>1236</v>
      </c>
      <c r="AU148" s="290">
        <v>188</v>
      </c>
      <c r="AV148" s="766">
        <v>725153</v>
      </c>
      <c r="AW148" s="290"/>
      <c r="AX148" s="766">
        <v>179.54169999999999</v>
      </c>
      <c r="AY148" s="290">
        <v>9692</v>
      </c>
      <c r="AZ148" s="290">
        <v>1186</v>
      </c>
      <c r="BA148" s="290">
        <v>464</v>
      </c>
      <c r="BB148" s="290">
        <v>0</v>
      </c>
      <c r="BC148" s="290">
        <v>45359</v>
      </c>
      <c r="BD148" s="290"/>
      <c r="BE148" s="290">
        <v>728952.38408957003</v>
      </c>
      <c r="BF148" s="290">
        <v>0</v>
      </c>
      <c r="BG148" s="290">
        <v>25686.463530847312</v>
      </c>
      <c r="BH148" s="290">
        <v>1383.9237494170795</v>
      </c>
      <c r="BI148" s="290">
        <v>8019</v>
      </c>
      <c r="BJ148" s="290"/>
      <c r="BK148" s="290"/>
      <c r="BL148" s="290"/>
      <c r="BM148" s="290">
        <v>0</v>
      </c>
      <c r="BN148" s="290">
        <v>10401.204220000001</v>
      </c>
      <c r="BO148" s="290">
        <v>-13196.272926279544</v>
      </c>
      <c r="BP148" s="290">
        <v>1531.5050000000001</v>
      </c>
      <c r="BQ148" s="290">
        <v>-821.33500000000004</v>
      </c>
      <c r="BR148" s="290">
        <v>-474.91235098469355</v>
      </c>
      <c r="BS148" s="290">
        <v>5.1210000000000004</v>
      </c>
      <c r="BT148" s="290"/>
      <c r="BU148" s="290">
        <v>0</v>
      </c>
      <c r="BV148" s="290">
        <v>5000</v>
      </c>
      <c r="BW148" s="290">
        <v>-6504</v>
      </c>
      <c r="BX148" s="290">
        <v>3054</v>
      </c>
      <c r="BY148" s="290">
        <v>863</v>
      </c>
      <c r="BZ148" s="290">
        <v>-4944</v>
      </c>
      <c r="CA148" s="290">
        <v>-13.309942735764253</v>
      </c>
      <c r="CB148" s="290">
        <v>1384</v>
      </c>
      <c r="CC148" s="290">
        <v>3683</v>
      </c>
      <c r="CD148" s="290">
        <v>51</v>
      </c>
      <c r="CE148" s="290">
        <v>1048</v>
      </c>
      <c r="CF148" s="290">
        <v>42</v>
      </c>
      <c r="CG148" s="290">
        <v>5</v>
      </c>
      <c r="CH148" s="290">
        <v>-27</v>
      </c>
      <c r="CI148" s="290">
        <v>-12660</v>
      </c>
      <c r="CJ148" s="290">
        <v>-30931</v>
      </c>
      <c r="CK148" s="290">
        <f>+innut22!E154+innut22!S154</f>
        <v>1043648.4970206087</v>
      </c>
      <c r="CL148" s="290">
        <v>0</v>
      </c>
      <c r="CM148" s="290">
        <v>0</v>
      </c>
      <c r="CN148" s="290">
        <v>0</v>
      </c>
      <c r="CP148" s="290">
        <f>+innut23!E154</f>
        <v>972885.03667477251</v>
      </c>
      <c r="CQ148" s="290"/>
      <c r="CV148" s="85">
        <f t="shared" si="3"/>
        <v>5.2430000000000003</v>
      </c>
    </row>
    <row r="149" spans="1:100" ht="13">
      <c r="A149" s="1">
        <v>3407</v>
      </c>
      <c r="B149" s="2" t="s">
        <v>846</v>
      </c>
      <c r="C149" s="289">
        <v>30267</v>
      </c>
      <c r="D149" s="290">
        <v>512</v>
      </c>
      <c r="E149" s="290">
        <v>1073</v>
      </c>
      <c r="F149" s="290">
        <v>3340</v>
      </c>
      <c r="G149" s="290">
        <v>2718</v>
      </c>
      <c r="H149" s="290">
        <v>17008</v>
      </c>
      <c r="I149" s="290">
        <v>4057</v>
      </c>
      <c r="J149" s="290">
        <v>1249</v>
      </c>
      <c r="K149" s="290">
        <v>301</v>
      </c>
      <c r="L149" s="290">
        <v>256</v>
      </c>
      <c r="M149" s="290">
        <v>2508</v>
      </c>
      <c r="N149" s="290">
        <v>1296</v>
      </c>
      <c r="O149" s="290">
        <v>282</v>
      </c>
      <c r="P149" s="624">
        <v>107352.88800000001</v>
      </c>
      <c r="Q149" s="624">
        <v>49522.063999999998</v>
      </c>
      <c r="R149" s="624">
        <v>121</v>
      </c>
      <c r="S149" s="290">
        <v>428</v>
      </c>
      <c r="T149" s="290">
        <v>2844</v>
      </c>
      <c r="U149" s="958">
        <v>6.2156037470135952E-3</v>
      </c>
      <c r="V149" s="290">
        <v>-5968.7509557800004</v>
      </c>
      <c r="W149" s="765">
        <v>0.57301840999999998</v>
      </c>
      <c r="X149" s="290">
        <v>1250</v>
      </c>
      <c r="Y149" s="290"/>
      <c r="Z149" s="290">
        <f>innut22!E155</f>
        <v>1016016.3423628662</v>
      </c>
      <c r="AA149" s="290">
        <v>0</v>
      </c>
      <c r="AB149" s="290">
        <v>891</v>
      </c>
      <c r="AC149" s="290">
        <v>5409</v>
      </c>
      <c r="AD149" s="290"/>
      <c r="AE149" s="290">
        <v>0</v>
      </c>
      <c r="AF149" s="290">
        <v>0</v>
      </c>
      <c r="AG149" s="290">
        <v>30258</v>
      </c>
      <c r="AH149" s="290">
        <v>4918</v>
      </c>
      <c r="AI149" s="290">
        <v>7320</v>
      </c>
      <c r="AJ149" s="290">
        <v>0</v>
      </c>
      <c r="AK149" s="290">
        <v>0</v>
      </c>
      <c r="AL149" s="290">
        <v>0</v>
      </c>
      <c r="AM149" s="957">
        <v>0.75113379999999996</v>
      </c>
      <c r="AN149" s="290">
        <v>0</v>
      </c>
      <c r="AO149" s="290">
        <v>5832.0748526400002</v>
      </c>
      <c r="AP149" s="290">
        <v>0</v>
      </c>
      <c r="AQ149" s="290">
        <v>0</v>
      </c>
      <c r="AR149" s="290">
        <v>-1459.6653520299999</v>
      </c>
      <c r="AS149" s="290">
        <v>3421</v>
      </c>
      <c r="AT149" s="290">
        <v>1616</v>
      </c>
      <c r="AU149" s="290">
        <v>298</v>
      </c>
      <c r="AV149" s="766">
        <v>771826</v>
      </c>
      <c r="AW149" s="290"/>
      <c r="AX149" s="766">
        <v>202.37495000000001</v>
      </c>
      <c r="AY149" s="290">
        <v>7782</v>
      </c>
      <c r="AZ149" s="290">
        <v>1441</v>
      </c>
      <c r="BA149" s="290">
        <v>605</v>
      </c>
      <c r="BB149" s="290">
        <v>0</v>
      </c>
      <c r="BC149" s="290">
        <v>48713</v>
      </c>
      <c r="BD149" s="290"/>
      <c r="BE149" s="290">
        <v>779467.08872273995</v>
      </c>
      <c r="BF149" s="290">
        <v>0</v>
      </c>
      <c r="BG149" s="290">
        <v>27336.574953873263</v>
      </c>
      <c r="BH149" s="290">
        <v>1472.8277118005187</v>
      </c>
      <c r="BI149" s="290">
        <v>10327</v>
      </c>
      <c r="BJ149" s="290"/>
      <c r="BK149" s="290"/>
      <c r="BL149" s="290"/>
      <c r="BM149" s="290">
        <v>0</v>
      </c>
      <c r="BN149" s="290">
        <v>11097.025139999998</v>
      </c>
      <c r="BO149" s="290">
        <v>-14098.825119288389</v>
      </c>
      <c r="BP149" s="290">
        <v>1493.223</v>
      </c>
      <c r="BQ149" s="290">
        <v>-800.80499999999995</v>
      </c>
      <c r="BR149" s="290">
        <v>-518.91457478759708</v>
      </c>
      <c r="BS149" s="290">
        <v>5.452</v>
      </c>
      <c r="BT149" s="290"/>
      <c r="BU149" s="290">
        <v>0</v>
      </c>
      <c r="BV149" s="290">
        <v>7000</v>
      </c>
      <c r="BW149" s="290">
        <v>-6949</v>
      </c>
      <c r="BX149" s="290">
        <v>3322</v>
      </c>
      <c r="BY149" s="290">
        <v>1115</v>
      </c>
      <c r="BZ149" s="290">
        <v>-5282</v>
      </c>
      <c r="CA149" s="290">
        <v>-21.155445924012383</v>
      </c>
      <c r="CB149" s="290">
        <v>1789</v>
      </c>
      <c r="CC149" s="290">
        <v>3935</v>
      </c>
      <c r="CD149" s="290">
        <v>66</v>
      </c>
      <c r="CE149" s="290">
        <v>1116</v>
      </c>
      <c r="CF149" s="290">
        <v>45</v>
      </c>
      <c r="CG149" s="290">
        <v>5</v>
      </c>
      <c r="CH149" s="290">
        <v>-29</v>
      </c>
      <c r="CI149" s="290">
        <v>-13481</v>
      </c>
      <c r="CJ149" s="290">
        <v>-36952</v>
      </c>
      <c r="CK149" s="290">
        <f>+innut22!E155+innut22!S155</f>
        <v>1016016.3423628662</v>
      </c>
      <c r="CL149" s="290">
        <v>0</v>
      </c>
      <c r="CM149" s="290">
        <v>0</v>
      </c>
      <c r="CN149" s="290">
        <v>0</v>
      </c>
      <c r="CP149" s="290">
        <f>+innut23!E155</f>
        <v>936770.61680744565</v>
      </c>
      <c r="CQ149" s="290"/>
      <c r="CV149" s="85">
        <f t="shared" si="3"/>
        <v>5.601</v>
      </c>
    </row>
    <row r="150" spans="1:100" ht="13">
      <c r="A150" s="1">
        <v>3411</v>
      </c>
      <c r="B150" s="2" t="s">
        <v>826</v>
      </c>
      <c r="C150" s="289">
        <v>35073</v>
      </c>
      <c r="D150" s="290">
        <v>647</v>
      </c>
      <c r="E150" s="290">
        <v>1426</v>
      </c>
      <c r="F150" s="290">
        <v>3918</v>
      </c>
      <c r="G150" s="290">
        <v>2860</v>
      </c>
      <c r="H150" s="290">
        <v>19885</v>
      </c>
      <c r="I150" s="290">
        <v>4560</v>
      </c>
      <c r="J150" s="290">
        <v>1439</v>
      </c>
      <c r="K150" s="290">
        <v>307</v>
      </c>
      <c r="L150" s="290">
        <v>290</v>
      </c>
      <c r="M150" s="290">
        <v>2721</v>
      </c>
      <c r="N150" s="290">
        <v>570</v>
      </c>
      <c r="O150" s="290">
        <v>244</v>
      </c>
      <c r="P150" s="624">
        <v>167216.72666667</v>
      </c>
      <c r="Q150" s="624">
        <v>62274.838666670003</v>
      </c>
      <c r="R150" s="624">
        <v>147</v>
      </c>
      <c r="S150" s="290">
        <v>407</v>
      </c>
      <c r="T150" s="290">
        <v>3031</v>
      </c>
      <c r="U150" s="958">
        <v>1.1571333086562344E-2</v>
      </c>
      <c r="V150" s="290">
        <v>10094.06368483</v>
      </c>
      <c r="W150" s="765">
        <v>0.58881669000000003</v>
      </c>
      <c r="X150" s="290">
        <v>0</v>
      </c>
      <c r="Y150" s="290"/>
      <c r="Z150" s="290">
        <f>innut22!E156</f>
        <v>1117233.052221908</v>
      </c>
      <c r="AA150" s="290">
        <v>0</v>
      </c>
      <c r="AB150" s="290">
        <v>925</v>
      </c>
      <c r="AC150" s="290">
        <v>4044</v>
      </c>
      <c r="AD150" s="290"/>
      <c r="AE150" s="290">
        <v>0</v>
      </c>
      <c r="AF150" s="290">
        <v>0</v>
      </c>
      <c r="AG150" s="290">
        <v>35042</v>
      </c>
      <c r="AH150" s="290">
        <v>5860</v>
      </c>
      <c r="AI150" s="290">
        <v>2440</v>
      </c>
      <c r="AJ150" s="290">
        <v>0</v>
      </c>
      <c r="AK150" s="290">
        <v>0</v>
      </c>
      <c r="AL150" s="290">
        <v>0</v>
      </c>
      <c r="AM150" s="957">
        <v>0.75687139000000003</v>
      </c>
      <c r="AN150" s="290">
        <v>0</v>
      </c>
      <c r="AO150" s="290">
        <v>6726.8098410800003</v>
      </c>
      <c r="AP150" s="290">
        <v>0</v>
      </c>
      <c r="AQ150" s="290">
        <v>0</v>
      </c>
      <c r="AR150" s="290">
        <v>-1690.4485843699999</v>
      </c>
      <c r="AS150" s="290">
        <v>6500</v>
      </c>
      <c r="AT150" s="290">
        <v>1931</v>
      </c>
      <c r="AU150" s="290">
        <v>321</v>
      </c>
      <c r="AV150" s="766">
        <v>899321</v>
      </c>
      <c r="AW150" s="290"/>
      <c r="AX150" s="766">
        <v>223.58335</v>
      </c>
      <c r="AY150" s="290">
        <v>7100</v>
      </c>
      <c r="AZ150" s="290">
        <v>1487</v>
      </c>
      <c r="BA150" s="290">
        <v>702</v>
      </c>
      <c r="BB150" s="290">
        <v>0</v>
      </c>
      <c r="BC150" s="290">
        <v>56034</v>
      </c>
      <c r="BD150" s="290"/>
      <c r="BE150" s="290">
        <v>907904.31656305003</v>
      </c>
      <c r="BF150" s="290">
        <v>0</v>
      </c>
      <c r="BG150" s="290">
        <v>31677.262145478471</v>
      </c>
      <c r="BH150" s="290">
        <v>1706.6933074298606</v>
      </c>
      <c r="BI150" s="290">
        <v>9904</v>
      </c>
      <c r="BJ150" s="290"/>
      <c r="BK150" s="290"/>
      <c r="BL150" s="290"/>
      <c r="BM150" s="290">
        <v>0</v>
      </c>
      <c r="BN150" s="290">
        <v>12799.489</v>
      </c>
      <c r="BO150" s="290">
        <v>-16327.947314102179</v>
      </c>
      <c r="BP150" s="290">
        <v>1868.2650000000001</v>
      </c>
      <c r="BQ150" s="290">
        <v>-1001.937</v>
      </c>
      <c r="BR150" s="290">
        <v>-608.3840204081589</v>
      </c>
      <c r="BS150" s="290">
        <v>6.3319999999999999</v>
      </c>
      <c r="BT150" s="290"/>
      <c r="BU150" s="290">
        <v>0</v>
      </c>
      <c r="BV150" s="290">
        <v>10000</v>
      </c>
      <c r="BW150" s="290">
        <v>-8047</v>
      </c>
      <c r="BX150" s="290">
        <v>3890</v>
      </c>
      <c r="BY150" s="290">
        <v>1063</v>
      </c>
      <c r="BZ150" s="290">
        <v>-6117</v>
      </c>
      <c r="CA150" s="290">
        <v>-15.817665489661522</v>
      </c>
      <c r="CB150" s="290">
        <v>1705</v>
      </c>
      <c r="CC150" s="290">
        <v>4557</v>
      </c>
      <c r="CD150" s="290">
        <v>63</v>
      </c>
      <c r="CE150" s="290">
        <v>1293</v>
      </c>
      <c r="CF150" s="290">
        <v>52</v>
      </c>
      <c r="CG150" s="290">
        <v>6</v>
      </c>
      <c r="CH150" s="290">
        <v>-34</v>
      </c>
      <c r="CI150" s="290">
        <v>-15621</v>
      </c>
      <c r="CJ150" s="290">
        <v>-41880</v>
      </c>
      <c r="CK150" s="290">
        <f>+innut22!E156+innut22!S156</f>
        <v>1117233.052221908</v>
      </c>
      <c r="CL150" s="290">
        <v>0</v>
      </c>
      <c r="CM150" s="290">
        <v>0</v>
      </c>
      <c r="CN150" s="290">
        <v>0</v>
      </c>
      <c r="CP150" s="290">
        <f>+innut23!E156</f>
        <v>1041131.58297166</v>
      </c>
      <c r="CQ150" s="290"/>
      <c r="CV150" s="85">
        <f t="shared" si="3"/>
        <v>6.4870000000000001</v>
      </c>
    </row>
    <row r="151" spans="1:100" ht="13">
      <c r="A151" s="1">
        <v>3412</v>
      </c>
      <c r="B151" s="2" t="s">
        <v>827</v>
      </c>
      <c r="C151" s="289">
        <v>7715</v>
      </c>
      <c r="D151" s="290">
        <v>153</v>
      </c>
      <c r="E151" s="290">
        <v>291</v>
      </c>
      <c r="F151" s="290">
        <v>872</v>
      </c>
      <c r="G151" s="290">
        <v>573</v>
      </c>
      <c r="H151" s="290">
        <v>4356</v>
      </c>
      <c r="I151" s="290">
        <v>1082</v>
      </c>
      <c r="J151" s="290">
        <v>302</v>
      </c>
      <c r="K151" s="290">
        <v>63</v>
      </c>
      <c r="L151" s="290">
        <v>68</v>
      </c>
      <c r="M151" s="290">
        <v>664</v>
      </c>
      <c r="N151" s="290">
        <v>111</v>
      </c>
      <c r="O151" s="290">
        <v>81</v>
      </c>
      <c r="P151" s="624">
        <v>28733.748666669999</v>
      </c>
      <c r="Q151" s="624">
        <v>13355.472666670001</v>
      </c>
      <c r="R151" s="624">
        <v>28</v>
      </c>
      <c r="S151" s="290">
        <v>91</v>
      </c>
      <c r="T151" s="290">
        <v>644</v>
      </c>
      <c r="U151" s="958">
        <v>2.9873952408531533E-3</v>
      </c>
      <c r="V151" s="290">
        <v>-2759.8436772300001</v>
      </c>
      <c r="W151" s="765">
        <v>0.58552862000000006</v>
      </c>
      <c r="X151" s="290">
        <v>0</v>
      </c>
      <c r="Y151" s="290"/>
      <c r="Z151" s="290">
        <f>innut22!E157</f>
        <v>217147.0110722582</v>
      </c>
      <c r="AA151" s="290">
        <v>0</v>
      </c>
      <c r="AB151" s="290">
        <v>263</v>
      </c>
      <c r="AC151" s="290">
        <v>320</v>
      </c>
      <c r="AD151" s="290"/>
      <c r="AE151" s="290">
        <v>0</v>
      </c>
      <c r="AF151" s="290">
        <v>0</v>
      </c>
      <c r="AG151" s="290">
        <v>7692</v>
      </c>
      <c r="AH151" s="290">
        <v>1288</v>
      </c>
      <c r="AI151" s="290">
        <v>1000</v>
      </c>
      <c r="AJ151" s="290">
        <v>0</v>
      </c>
      <c r="AK151" s="290">
        <v>0</v>
      </c>
      <c r="AL151" s="290">
        <v>0</v>
      </c>
      <c r="AM151" s="957">
        <v>0.16644527000000001</v>
      </c>
      <c r="AN151" s="290">
        <v>0</v>
      </c>
      <c r="AO151" s="290">
        <v>1495.14444873</v>
      </c>
      <c r="AP151" s="290">
        <v>0</v>
      </c>
      <c r="AQ151" s="290">
        <v>0</v>
      </c>
      <c r="AR151" s="290">
        <v>-371.06701988999998</v>
      </c>
      <c r="AS151" s="290">
        <v>1504</v>
      </c>
      <c r="AT151" s="290">
        <v>393</v>
      </c>
      <c r="AU151" s="290">
        <v>76</v>
      </c>
      <c r="AV151" s="766">
        <v>203114</v>
      </c>
      <c r="AW151" s="290"/>
      <c r="AX151" s="766">
        <v>45.999949999999998</v>
      </c>
      <c r="AY151" s="290">
        <v>1424</v>
      </c>
      <c r="AZ151" s="290">
        <v>324</v>
      </c>
      <c r="BA151" s="290">
        <v>164</v>
      </c>
      <c r="BB151" s="290">
        <v>0</v>
      </c>
      <c r="BC151" s="290">
        <v>12918</v>
      </c>
      <c r="BD151" s="290"/>
      <c r="BE151" s="290">
        <v>199383.94783382001</v>
      </c>
      <c r="BF151" s="290">
        <v>0</v>
      </c>
      <c r="BG151" s="290">
        <v>6968.0403002984176</v>
      </c>
      <c r="BH151" s="290">
        <v>375.42094679158816</v>
      </c>
      <c r="BI151" s="290">
        <v>1608</v>
      </c>
      <c r="BJ151" s="290"/>
      <c r="BK151" s="290"/>
      <c r="BL151" s="290"/>
      <c r="BM151" s="290">
        <v>0</v>
      </c>
      <c r="BN151" s="290">
        <v>2844.8975599999999</v>
      </c>
      <c r="BO151" s="290">
        <v>-3584.1153684171554</v>
      </c>
      <c r="BP151" s="290">
        <v>380.96899999999999</v>
      </c>
      <c r="BQ151" s="290">
        <v>-204.31100000000001</v>
      </c>
      <c r="BR151" s="290">
        <v>-137.64598303619519</v>
      </c>
      <c r="BS151" s="290">
        <v>1.4590000000000001</v>
      </c>
      <c r="BT151" s="290"/>
      <c r="BU151" s="290">
        <v>0</v>
      </c>
      <c r="BV151" s="290">
        <v>2500</v>
      </c>
      <c r="BW151" s="290">
        <v>-1766</v>
      </c>
      <c r="BX151" s="290">
        <v>883</v>
      </c>
      <c r="BY151" s="290">
        <v>238</v>
      </c>
      <c r="BZ151" s="290">
        <v>-1343</v>
      </c>
      <c r="CA151" s="290">
        <v>-1.2532085466492617</v>
      </c>
      <c r="CB151" s="290">
        <v>382</v>
      </c>
      <c r="CC151" s="290">
        <v>1000</v>
      </c>
      <c r="CD151" s="290">
        <v>14</v>
      </c>
      <c r="CE151" s="290">
        <v>284</v>
      </c>
      <c r="CF151" s="290">
        <v>12</v>
      </c>
      <c r="CG151" s="290">
        <v>1</v>
      </c>
      <c r="CH151" s="290">
        <v>-8</v>
      </c>
      <c r="CI151" s="290">
        <v>-3436</v>
      </c>
      <c r="CJ151" s="290">
        <v>-9021</v>
      </c>
      <c r="CK151" s="290">
        <f>+innut22!E157+innut22!S157</f>
        <v>217147.0110722582</v>
      </c>
      <c r="CL151" s="290">
        <v>0</v>
      </c>
      <c r="CM151" s="290">
        <v>0</v>
      </c>
      <c r="CN151" s="290">
        <v>0</v>
      </c>
      <c r="CP151" s="290">
        <f>+innut23!E157</f>
        <v>205331.29176276733</v>
      </c>
      <c r="CQ151" s="290"/>
      <c r="CV151" s="85">
        <f t="shared" si="3"/>
        <v>1.4239999999999999</v>
      </c>
    </row>
    <row r="152" spans="1:100" ht="13">
      <c r="A152" s="1">
        <v>3413</v>
      </c>
      <c r="B152" s="4" t="s">
        <v>828</v>
      </c>
      <c r="C152" s="289">
        <v>21156</v>
      </c>
      <c r="D152" s="290">
        <v>400</v>
      </c>
      <c r="E152" s="290">
        <v>916</v>
      </c>
      <c r="F152" s="290">
        <v>2441</v>
      </c>
      <c r="G152" s="290">
        <v>1634</v>
      </c>
      <c r="H152" s="290">
        <v>11770</v>
      </c>
      <c r="I152" s="290">
        <v>2832</v>
      </c>
      <c r="J152" s="290">
        <v>852</v>
      </c>
      <c r="K152" s="290">
        <v>200</v>
      </c>
      <c r="L152" s="290">
        <v>167</v>
      </c>
      <c r="M152" s="290">
        <v>1630</v>
      </c>
      <c r="N152" s="290">
        <v>574</v>
      </c>
      <c r="O152" s="290">
        <v>159</v>
      </c>
      <c r="P152" s="624">
        <v>83317.724666669994</v>
      </c>
      <c r="Q152" s="624">
        <v>34489.617333330003</v>
      </c>
      <c r="R152" s="624">
        <v>104</v>
      </c>
      <c r="S152" s="290">
        <v>267</v>
      </c>
      <c r="T152" s="290">
        <v>1892</v>
      </c>
      <c r="U152" s="958">
        <v>6.0347428934870474E-3</v>
      </c>
      <c r="V152" s="290">
        <v>-17801.114169339999</v>
      </c>
      <c r="W152" s="765">
        <v>0.58430289000000002</v>
      </c>
      <c r="X152" s="290">
        <v>0</v>
      </c>
      <c r="Y152" s="290"/>
      <c r="Z152" s="290">
        <f>innut22!E158</f>
        <v>651005.42908947892</v>
      </c>
      <c r="AA152" s="290">
        <v>0</v>
      </c>
      <c r="AB152" s="290">
        <v>567</v>
      </c>
      <c r="AC152" s="290">
        <v>1511</v>
      </c>
      <c r="AD152" s="290"/>
      <c r="AE152" s="290">
        <v>0</v>
      </c>
      <c r="AF152" s="290">
        <v>0</v>
      </c>
      <c r="AG152" s="290">
        <v>21045</v>
      </c>
      <c r="AH152" s="290">
        <v>3628</v>
      </c>
      <c r="AI152" s="290">
        <v>1000</v>
      </c>
      <c r="AJ152" s="290">
        <v>0</v>
      </c>
      <c r="AK152" s="290">
        <v>0</v>
      </c>
      <c r="AL152" s="290">
        <v>0</v>
      </c>
      <c r="AM152" s="957">
        <v>0.51768354999999999</v>
      </c>
      <c r="AN152" s="290">
        <v>0</v>
      </c>
      <c r="AO152" s="290">
        <v>4199.9893397799997</v>
      </c>
      <c r="AP152" s="290">
        <v>0</v>
      </c>
      <c r="AQ152" s="290">
        <v>0</v>
      </c>
      <c r="AR152" s="290">
        <v>-1015.22431534</v>
      </c>
      <c r="AS152" s="290">
        <v>4030</v>
      </c>
      <c r="AT152" s="290">
        <v>1031</v>
      </c>
      <c r="AU152" s="290">
        <v>215</v>
      </c>
      <c r="AV152" s="766">
        <v>560421</v>
      </c>
      <c r="AW152" s="290"/>
      <c r="AX152" s="766">
        <v>168.08330000000001</v>
      </c>
      <c r="AY152" s="290">
        <v>5079</v>
      </c>
      <c r="AZ152" s="290">
        <v>1037</v>
      </c>
      <c r="BA152" s="290">
        <v>385</v>
      </c>
      <c r="BB152" s="290">
        <v>0</v>
      </c>
      <c r="BC152" s="290">
        <v>34226</v>
      </c>
      <c r="BD152" s="290"/>
      <c r="BE152" s="290">
        <v>569188.08976083004</v>
      </c>
      <c r="BF152" s="290">
        <v>0</v>
      </c>
      <c r="BG152" s="290">
        <v>19107.69417927587</v>
      </c>
      <c r="BH152" s="290">
        <v>1029.4757680262917</v>
      </c>
      <c r="BI152" s="290">
        <v>5139</v>
      </c>
      <c r="BJ152" s="290"/>
      <c r="BK152" s="290"/>
      <c r="BL152" s="290"/>
      <c r="BM152" s="290">
        <v>0</v>
      </c>
      <c r="BN152" s="290">
        <v>7991.5619200000001</v>
      </c>
      <c r="BO152" s="290">
        <v>-9805.9942704548921</v>
      </c>
      <c r="BP152" s="290">
        <v>1233.1880000000001</v>
      </c>
      <c r="BQ152" s="290">
        <v>-661.35</v>
      </c>
      <c r="BR152" s="290">
        <v>-376.33205567305464</v>
      </c>
      <c r="BS152" s="290">
        <v>3.8380000000000001</v>
      </c>
      <c r="BT152" s="290"/>
      <c r="BU152" s="290">
        <v>0</v>
      </c>
      <c r="BV152" s="290">
        <v>6500</v>
      </c>
      <c r="BW152" s="290">
        <v>-4833</v>
      </c>
      <c r="BX152" s="290">
        <v>2416</v>
      </c>
      <c r="BY152" s="290">
        <v>696</v>
      </c>
      <c r="BZ152" s="290">
        <v>-3674</v>
      </c>
      <c r="CA152" s="290">
        <v>-5.9115938720535723</v>
      </c>
      <c r="CB152" s="290">
        <v>1117</v>
      </c>
      <c r="CC152" s="290">
        <v>2737</v>
      </c>
      <c r="CD152" s="290">
        <v>41</v>
      </c>
      <c r="CE152" s="290">
        <v>780</v>
      </c>
      <c r="CF152" s="290">
        <v>31</v>
      </c>
      <c r="CG152" s="290">
        <v>4</v>
      </c>
      <c r="CH152" s="290">
        <v>-20</v>
      </c>
      <c r="CI152" s="290">
        <v>-9423</v>
      </c>
      <c r="CJ152" s="290">
        <v>-25093</v>
      </c>
      <c r="CK152" s="290">
        <f>+innut22!E158+innut22!S158</f>
        <v>651005.42908947892</v>
      </c>
      <c r="CL152" s="290">
        <v>0</v>
      </c>
      <c r="CM152" s="290">
        <v>0</v>
      </c>
      <c r="CN152" s="290">
        <v>0</v>
      </c>
      <c r="CP152" s="290">
        <f>+innut23!E158</f>
        <v>612719.17867647076</v>
      </c>
      <c r="CQ152" s="290"/>
      <c r="CV152" s="85">
        <f t="shared" si="3"/>
        <v>3.8959999999999999</v>
      </c>
    </row>
    <row r="153" spans="1:100" ht="13">
      <c r="A153" s="1">
        <v>3414</v>
      </c>
      <c r="B153" s="2" t="s">
        <v>829</v>
      </c>
      <c r="C153" s="289">
        <v>5016</v>
      </c>
      <c r="D153" s="290">
        <v>61</v>
      </c>
      <c r="E153" s="290">
        <v>144</v>
      </c>
      <c r="F153" s="290">
        <v>483</v>
      </c>
      <c r="G153" s="290">
        <v>412</v>
      </c>
      <c r="H153" s="290">
        <v>2766</v>
      </c>
      <c r="I153" s="290">
        <v>855</v>
      </c>
      <c r="J153" s="290">
        <v>263</v>
      </c>
      <c r="K153" s="290">
        <v>62</v>
      </c>
      <c r="L153" s="290">
        <v>49</v>
      </c>
      <c r="M153" s="290">
        <v>554</v>
      </c>
      <c r="N153" s="290">
        <v>22</v>
      </c>
      <c r="O153" s="290">
        <v>11</v>
      </c>
      <c r="P153" s="624">
        <v>22287.340333330001</v>
      </c>
      <c r="Q153" s="624">
        <v>14007.99533333</v>
      </c>
      <c r="R153" s="624">
        <v>35</v>
      </c>
      <c r="S153" s="290">
        <v>57</v>
      </c>
      <c r="T153" s="290">
        <v>491</v>
      </c>
      <c r="U153" s="958">
        <v>2.7069096318041255E-3</v>
      </c>
      <c r="V153" s="290">
        <v>1546.0894074099999</v>
      </c>
      <c r="W153" s="765">
        <v>0.69901553000000005</v>
      </c>
      <c r="X153" s="290">
        <v>2000</v>
      </c>
      <c r="Y153" s="290"/>
      <c r="Z153" s="290">
        <f>innut22!E159</f>
        <v>136951.93530001451</v>
      </c>
      <c r="AA153" s="290">
        <v>0</v>
      </c>
      <c r="AB153" s="290">
        <v>181</v>
      </c>
      <c r="AC153" s="290">
        <v>58</v>
      </c>
      <c r="AD153" s="290"/>
      <c r="AE153" s="290">
        <v>0</v>
      </c>
      <c r="AF153" s="290">
        <v>0</v>
      </c>
      <c r="AG153" s="290">
        <v>5046</v>
      </c>
      <c r="AH153" s="290">
        <v>710</v>
      </c>
      <c r="AI153" s="290">
        <v>0</v>
      </c>
      <c r="AJ153" s="290">
        <v>0</v>
      </c>
      <c r="AK153" s="290">
        <v>0</v>
      </c>
      <c r="AL153" s="290">
        <v>0</v>
      </c>
      <c r="AM153" s="957">
        <v>6.3417669999999995E-2</v>
      </c>
      <c r="AN153" s="290">
        <v>5818</v>
      </c>
      <c r="AO153" s="290">
        <v>1042.2293794499999</v>
      </c>
      <c r="AP153" s="290">
        <v>0</v>
      </c>
      <c r="AQ153" s="290">
        <v>0</v>
      </c>
      <c r="AR153" s="290">
        <v>3237.2703866699999</v>
      </c>
      <c r="AS153" s="290">
        <v>1017</v>
      </c>
      <c r="AT153" s="290">
        <v>276</v>
      </c>
      <c r="AU153" s="290">
        <v>36</v>
      </c>
      <c r="AV153" s="766">
        <v>166428</v>
      </c>
      <c r="AW153" s="290"/>
      <c r="AX153" s="766">
        <v>21.125</v>
      </c>
      <c r="AY153" s="290">
        <v>760</v>
      </c>
      <c r="AZ153" s="290">
        <v>162</v>
      </c>
      <c r="BA153" s="290">
        <v>95</v>
      </c>
      <c r="BB153" s="290">
        <v>0</v>
      </c>
      <c r="BC153" s="290">
        <v>8615</v>
      </c>
      <c r="BD153" s="290"/>
      <c r="BE153" s="290">
        <v>160326.55383230001</v>
      </c>
      <c r="BF153" s="290">
        <v>0</v>
      </c>
      <c r="BG153" s="290">
        <v>4530.3551712633653</v>
      </c>
      <c r="BH153" s="290">
        <v>244.08444188031191</v>
      </c>
      <c r="BI153" s="290">
        <v>768</v>
      </c>
      <c r="BJ153" s="290"/>
      <c r="BK153" s="290"/>
      <c r="BL153" s="290"/>
      <c r="BM153" s="290">
        <v>0</v>
      </c>
      <c r="BN153" s="290">
        <v>1983.1099400000003</v>
      </c>
      <c r="BO153" s="290">
        <v>-2351.2020474561837</v>
      </c>
      <c r="BP153" s="290">
        <v>188.46899999999999</v>
      </c>
      <c r="BQ153" s="290">
        <v>-101.075</v>
      </c>
      <c r="BR153" s="290">
        <v>-78.418139857433218</v>
      </c>
      <c r="BS153" s="290">
        <v>1.071</v>
      </c>
      <c r="BT153" s="290"/>
      <c r="BU153" s="290">
        <v>0</v>
      </c>
      <c r="BV153" s="290">
        <v>1500</v>
      </c>
      <c r="BW153" s="290">
        <v>-1159</v>
      </c>
      <c r="BX153" s="290">
        <v>499</v>
      </c>
      <c r="BY153" s="290">
        <v>149</v>
      </c>
      <c r="BZ153" s="290">
        <v>-881</v>
      </c>
      <c r="CA153" s="290">
        <v>23.045247313616571</v>
      </c>
      <c r="CB153" s="290">
        <v>239</v>
      </c>
      <c r="CC153" s="290">
        <v>656</v>
      </c>
      <c r="CD153" s="290">
        <v>9</v>
      </c>
      <c r="CE153" s="290">
        <v>185</v>
      </c>
      <c r="CF153" s="290">
        <v>9</v>
      </c>
      <c r="CG153" s="290">
        <v>1</v>
      </c>
      <c r="CH153" s="290">
        <v>-6</v>
      </c>
      <c r="CI153" s="290">
        <v>-2234</v>
      </c>
      <c r="CJ153" s="290">
        <v>-5977</v>
      </c>
      <c r="CK153" s="290">
        <f>+innut22!E159+innut22!S159</f>
        <v>136951.93530001451</v>
      </c>
      <c r="CL153" s="290">
        <v>0</v>
      </c>
      <c r="CM153" s="290">
        <v>0</v>
      </c>
      <c r="CN153" s="290">
        <v>0</v>
      </c>
      <c r="CP153" s="290">
        <f>+innut23!E159</f>
        <v>128046.17336718134</v>
      </c>
      <c r="CQ153" s="290"/>
      <c r="CV153" s="85">
        <f t="shared" si="3"/>
        <v>0.93400000000000005</v>
      </c>
    </row>
    <row r="154" spans="1:100" ht="13">
      <c r="A154" s="1">
        <v>3415</v>
      </c>
      <c r="B154" s="2" t="s">
        <v>830</v>
      </c>
      <c r="C154" s="289">
        <v>7978</v>
      </c>
      <c r="D154" s="290">
        <v>147</v>
      </c>
      <c r="E154" s="290">
        <v>280</v>
      </c>
      <c r="F154" s="290">
        <v>807</v>
      </c>
      <c r="G154" s="290">
        <v>617</v>
      </c>
      <c r="H154" s="290">
        <v>4592</v>
      </c>
      <c r="I154" s="290">
        <v>1143</v>
      </c>
      <c r="J154" s="290">
        <v>308</v>
      </c>
      <c r="K154" s="290">
        <v>79</v>
      </c>
      <c r="L154" s="290">
        <v>74</v>
      </c>
      <c r="M154" s="290">
        <v>676</v>
      </c>
      <c r="N154" s="290">
        <v>71</v>
      </c>
      <c r="O154" s="290">
        <v>64</v>
      </c>
      <c r="P154" s="624">
        <v>45721.793666669997</v>
      </c>
      <c r="Q154" s="624">
        <v>25675.280666670002</v>
      </c>
      <c r="R154" s="624">
        <v>29</v>
      </c>
      <c r="S154" s="290">
        <v>90</v>
      </c>
      <c r="T154" s="290">
        <v>732</v>
      </c>
      <c r="U154" s="958">
        <v>3.7439115592322221E-3</v>
      </c>
      <c r="V154" s="290">
        <v>2218.8225027100002</v>
      </c>
      <c r="W154" s="765">
        <v>0.64228180000000001</v>
      </c>
      <c r="X154" s="290">
        <v>0</v>
      </c>
      <c r="Y154" s="290"/>
      <c r="Z154" s="290">
        <f>innut22!E160</f>
        <v>249331.49480595614</v>
      </c>
      <c r="AA154" s="290">
        <v>0</v>
      </c>
      <c r="AB154" s="290">
        <v>236</v>
      </c>
      <c r="AC154" s="290">
        <v>525</v>
      </c>
      <c r="AD154" s="290"/>
      <c r="AE154" s="290">
        <v>0</v>
      </c>
      <c r="AF154" s="290">
        <v>0</v>
      </c>
      <c r="AG154" s="290">
        <v>7973</v>
      </c>
      <c r="AH154" s="290">
        <v>1220</v>
      </c>
      <c r="AI154" s="290">
        <v>0</v>
      </c>
      <c r="AJ154" s="290">
        <v>0</v>
      </c>
      <c r="AK154" s="290">
        <v>0</v>
      </c>
      <c r="AL154" s="290">
        <v>0</v>
      </c>
      <c r="AM154" s="957">
        <v>0.1319641</v>
      </c>
      <c r="AN154" s="290">
        <v>4265</v>
      </c>
      <c r="AO154" s="290">
        <v>1525.8944499199999</v>
      </c>
      <c r="AP154" s="290">
        <v>0</v>
      </c>
      <c r="AQ154" s="290">
        <v>0</v>
      </c>
      <c r="AR154" s="290">
        <v>1258.3998675299999</v>
      </c>
      <c r="AS154" s="290">
        <v>1618</v>
      </c>
      <c r="AT154" s="290">
        <v>483</v>
      </c>
      <c r="AU154" s="290">
        <v>62</v>
      </c>
      <c r="AV154" s="766">
        <v>214877</v>
      </c>
      <c r="AW154" s="290"/>
      <c r="AX154" s="766">
        <v>56.083350000000003</v>
      </c>
      <c r="AY154" s="290">
        <v>1373</v>
      </c>
      <c r="AZ154" s="290">
        <v>276</v>
      </c>
      <c r="BA154" s="290">
        <v>149</v>
      </c>
      <c r="BB154" s="290">
        <v>0</v>
      </c>
      <c r="BC154" s="290">
        <v>13283</v>
      </c>
      <c r="BD154" s="290"/>
      <c r="BE154" s="290">
        <v>208843.95983318001</v>
      </c>
      <c r="BF154" s="290">
        <v>0</v>
      </c>
      <c r="BG154" s="290">
        <v>7205.57686529887</v>
      </c>
      <c r="BH154" s="290">
        <v>388.21883519161258</v>
      </c>
      <c r="BI154" s="290">
        <v>1745</v>
      </c>
      <c r="BJ154" s="290"/>
      <c r="BK154" s="290"/>
      <c r="BL154" s="290"/>
      <c r="BM154" s="290">
        <v>0</v>
      </c>
      <c r="BN154" s="290">
        <v>2903.4073600000002</v>
      </c>
      <c r="BO154" s="290">
        <v>-3715.048340144303</v>
      </c>
      <c r="BP154" s="290">
        <v>376.61099999999999</v>
      </c>
      <c r="BQ154" s="290">
        <v>-201.97399999999999</v>
      </c>
      <c r="BR154" s="290">
        <v>-131.17149531098738</v>
      </c>
      <c r="BS154" s="290">
        <v>1.5720000000000001</v>
      </c>
      <c r="BT154" s="290"/>
      <c r="BU154" s="290">
        <v>0</v>
      </c>
      <c r="BV154" s="290">
        <v>500</v>
      </c>
      <c r="BW154" s="290">
        <v>-1831</v>
      </c>
      <c r="BX154" s="290">
        <v>842</v>
      </c>
      <c r="BY154" s="290">
        <v>235</v>
      </c>
      <c r="BZ154" s="290">
        <v>-1392</v>
      </c>
      <c r="CA154" s="290">
        <v>98.603475455290322</v>
      </c>
      <c r="CB154" s="290">
        <v>377</v>
      </c>
      <c r="CC154" s="290">
        <v>1037</v>
      </c>
      <c r="CD154" s="290">
        <v>14</v>
      </c>
      <c r="CE154" s="290">
        <v>294</v>
      </c>
      <c r="CF154" s="290">
        <v>13</v>
      </c>
      <c r="CG154" s="290">
        <v>1</v>
      </c>
      <c r="CH154" s="290">
        <v>-8</v>
      </c>
      <c r="CI154" s="290">
        <v>-3553</v>
      </c>
      <c r="CJ154" s="290">
        <v>-9460</v>
      </c>
      <c r="CK154" s="290">
        <f>+innut22!E160+innut22!S160</f>
        <v>249331.49480595614</v>
      </c>
      <c r="CL154" s="290">
        <v>0</v>
      </c>
      <c r="CM154" s="290">
        <v>0</v>
      </c>
      <c r="CN154" s="290">
        <v>0</v>
      </c>
      <c r="CP154" s="290">
        <f>+innut23!E160</f>
        <v>232755.67407903686</v>
      </c>
      <c r="CQ154" s="290"/>
      <c r="CV154" s="85">
        <f t="shared" si="3"/>
        <v>1.476</v>
      </c>
    </row>
    <row r="155" spans="1:100" ht="13">
      <c r="A155" s="1">
        <v>3416</v>
      </c>
      <c r="B155" s="2" t="s">
        <v>831</v>
      </c>
      <c r="C155" s="289">
        <v>6032</v>
      </c>
      <c r="D155" s="290">
        <v>69</v>
      </c>
      <c r="E155" s="290">
        <v>185</v>
      </c>
      <c r="F155" s="290">
        <v>533</v>
      </c>
      <c r="G155" s="290">
        <v>457</v>
      </c>
      <c r="H155" s="290">
        <v>3365</v>
      </c>
      <c r="I155" s="290">
        <v>1047</v>
      </c>
      <c r="J155" s="290">
        <v>314</v>
      </c>
      <c r="K155" s="290">
        <v>89</v>
      </c>
      <c r="L155" s="290">
        <v>51</v>
      </c>
      <c r="M155" s="290">
        <v>721</v>
      </c>
      <c r="N155" s="290">
        <v>81</v>
      </c>
      <c r="O155" s="290">
        <v>25</v>
      </c>
      <c r="P155" s="624">
        <v>34702.258999999998</v>
      </c>
      <c r="Q155" s="624">
        <v>12143.34266667</v>
      </c>
      <c r="R155" s="624">
        <v>60</v>
      </c>
      <c r="S155" s="290">
        <v>86</v>
      </c>
      <c r="T155" s="290">
        <v>648</v>
      </c>
      <c r="U155" s="958">
        <v>3.3558346117836934E-3</v>
      </c>
      <c r="V155" s="290">
        <v>-2336.1100451500001</v>
      </c>
      <c r="W155" s="765">
        <v>0.65288533000000004</v>
      </c>
      <c r="X155" s="290">
        <v>1500</v>
      </c>
      <c r="Y155" s="290"/>
      <c r="Z155" s="290">
        <f>innut22!E161</f>
        <v>167734.55471895781</v>
      </c>
      <c r="AA155" s="290">
        <v>0</v>
      </c>
      <c r="AB155" s="290">
        <v>247</v>
      </c>
      <c r="AC155" s="290">
        <v>487</v>
      </c>
      <c r="AD155" s="290"/>
      <c r="AE155" s="290">
        <v>0</v>
      </c>
      <c r="AF155" s="290">
        <v>0</v>
      </c>
      <c r="AG155" s="290">
        <v>6059</v>
      </c>
      <c r="AH155" s="290">
        <v>802</v>
      </c>
      <c r="AI155" s="290">
        <v>0</v>
      </c>
      <c r="AJ155" s="290">
        <v>0</v>
      </c>
      <c r="AK155" s="290">
        <v>0</v>
      </c>
      <c r="AL155" s="290">
        <v>0</v>
      </c>
      <c r="AM155" s="957">
        <v>0.20172956</v>
      </c>
      <c r="AN155" s="290">
        <v>8522</v>
      </c>
      <c r="AO155" s="290">
        <v>1297.9625901700001</v>
      </c>
      <c r="AP155" s="290">
        <v>0</v>
      </c>
      <c r="AQ155" s="290">
        <v>0</v>
      </c>
      <c r="AR155" s="290">
        <v>3497.66742006</v>
      </c>
      <c r="AS155" s="290">
        <v>1855</v>
      </c>
      <c r="AT155" s="290">
        <v>404</v>
      </c>
      <c r="AU155" s="290">
        <v>74</v>
      </c>
      <c r="AV155" s="766">
        <v>209197</v>
      </c>
      <c r="AW155" s="290"/>
      <c r="AX155" s="766">
        <v>14.958349999999999</v>
      </c>
      <c r="AY155" s="290">
        <v>895</v>
      </c>
      <c r="AZ155" s="290">
        <v>251</v>
      </c>
      <c r="BA155" s="290">
        <v>119</v>
      </c>
      <c r="BB155" s="290">
        <v>0</v>
      </c>
      <c r="BC155" s="290">
        <v>10213</v>
      </c>
      <c r="BD155" s="290"/>
      <c r="BE155" s="290">
        <v>203438.81065418001</v>
      </c>
      <c r="BF155" s="290">
        <v>0</v>
      </c>
      <c r="BG155" s="290">
        <v>5447.9869204666311</v>
      </c>
      <c r="BH155" s="290">
        <v>293.52419326595725</v>
      </c>
      <c r="BI155" s="290">
        <v>1289</v>
      </c>
      <c r="BJ155" s="290"/>
      <c r="BK155" s="290"/>
      <c r="BL155" s="290"/>
      <c r="BM155" s="290">
        <v>0</v>
      </c>
      <c r="BN155" s="290">
        <v>2469.7082599999999</v>
      </c>
      <c r="BO155" s="290">
        <v>-2823.2130807643712</v>
      </c>
      <c r="BP155" s="290">
        <v>229.89599999999999</v>
      </c>
      <c r="BQ155" s="290">
        <v>-123.292</v>
      </c>
      <c r="BR155" s="290">
        <v>-85.447040218483536</v>
      </c>
      <c r="BS155" s="290">
        <v>1.254</v>
      </c>
      <c r="BT155" s="290"/>
      <c r="BU155" s="290">
        <v>0</v>
      </c>
      <c r="BV155" s="290">
        <v>1500</v>
      </c>
      <c r="BW155" s="290">
        <v>-1391</v>
      </c>
      <c r="BX155" s="290">
        <v>553</v>
      </c>
      <c r="BY155" s="290">
        <v>223</v>
      </c>
      <c r="BZ155" s="290">
        <v>-1058</v>
      </c>
      <c r="CA155" s="290">
        <v>-1.9061390171451649</v>
      </c>
      <c r="CB155" s="290">
        <v>358</v>
      </c>
      <c r="CC155" s="290">
        <v>788</v>
      </c>
      <c r="CD155" s="290">
        <v>13</v>
      </c>
      <c r="CE155" s="290">
        <v>222</v>
      </c>
      <c r="CF155" s="290">
        <v>10</v>
      </c>
      <c r="CG155" s="290">
        <v>1</v>
      </c>
      <c r="CH155" s="290">
        <v>-7</v>
      </c>
      <c r="CI155" s="290">
        <v>-2687</v>
      </c>
      <c r="CJ155" s="290">
        <v>-7393</v>
      </c>
      <c r="CK155" s="290">
        <f>+innut22!E161+innut22!S161</f>
        <v>167734.55471895781</v>
      </c>
      <c r="CL155" s="290">
        <v>0</v>
      </c>
      <c r="CM155" s="290">
        <v>0</v>
      </c>
      <c r="CN155" s="290">
        <v>0</v>
      </c>
      <c r="CP155" s="290">
        <f>+innut23!E161</f>
        <v>152796.72912791092</v>
      </c>
      <c r="CQ155" s="290"/>
      <c r="CV155" s="85">
        <f t="shared" si="3"/>
        <v>1.1220000000000001</v>
      </c>
    </row>
    <row r="156" spans="1:100" ht="13">
      <c r="A156" s="1">
        <v>3417</v>
      </c>
      <c r="B156" s="2" t="s">
        <v>832</v>
      </c>
      <c r="C156" s="289">
        <v>4548</v>
      </c>
      <c r="D156" s="290">
        <v>56</v>
      </c>
      <c r="E156" s="290">
        <v>104</v>
      </c>
      <c r="F156" s="290">
        <v>367</v>
      </c>
      <c r="G156" s="290">
        <v>354</v>
      </c>
      <c r="H156" s="290">
        <v>2475</v>
      </c>
      <c r="I156" s="290">
        <v>836</v>
      </c>
      <c r="J156" s="290">
        <v>262</v>
      </c>
      <c r="K156" s="290">
        <v>80</v>
      </c>
      <c r="L156" s="290">
        <v>41</v>
      </c>
      <c r="M156" s="290">
        <v>581</v>
      </c>
      <c r="N156" s="290">
        <v>69</v>
      </c>
      <c r="O156" s="290">
        <v>37</v>
      </c>
      <c r="P156" s="624">
        <v>32332.76333333</v>
      </c>
      <c r="Q156" s="624">
        <v>14166.483666669999</v>
      </c>
      <c r="R156" s="624">
        <v>24</v>
      </c>
      <c r="S156" s="290">
        <v>62</v>
      </c>
      <c r="T156" s="290">
        <v>479</v>
      </c>
      <c r="U156" s="958">
        <v>3.7859720757942228E-3</v>
      </c>
      <c r="V156" s="290">
        <v>2020.0233133199999</v>
      </c>
      <c r="W156" s="765">
        <v>0.70255652000000002</v>
      </c>
      <c r="X156" s="290">
        <v>1500</v>
      </c>
      <c r="Y156" s="290"/>
      <c r="Z156" s="290">
        <f>innut22!E162</f>
        <v>159170.82755931845</v>
      </c>
      <c r="AA156" s="290">
        <v>0</v>
      </c>
      <c r="AB156" s="290">
        <v>144</v>
      </c>
      <c r="AC156" s="290">
        <v>0</v>
      </c>
      <c r="AD156" s="290"/>
      <c r="AE156" s="290">
        <v>0</v>
      </c>
      <c r="AF156" s="290">
        <v>0</v>
      </c>
      <c r="AG156" s="290">
        <v>4534</v>
      </c>
      <c r="AH156" s="290">
        <v>562</v>
      </c>
      <c r="AI156" s="290">
        <v>0</v>
      </c>
      <c r="AJ156" s="290">
        <v>0</v>
      </c>
      <c r="AK156" s="290">
        <v>0</v>
      </c>
      <c r="AL156" s="290">
        <v>0</v>
      </c>
      <c r="AM156" s="957">
        <v>0.15274707000000001</v>
      </c>
      <c r="AN156" s="290">
        <v>6684</v>
      </c>
      <c r="AO156" s="290">
        <v>947.90082494000001</v>
      </c>
      <c r="AP156" s="290">
        <v>0</v>
      </c>
      <c r="AQ156" s="290">
        <v>0</v>
      </c>
      <c r="AR156" s="290">
        <v>9815.2700253599996</v>
      </c>
      <c r="AS156" s="290">
        <v>1063</v>
      </c>
      <c r="AT156" s="290">
        <v>278</v>
      </c>
      <c r="AU156" s="290">
        <v>50</v>
      </c>
      <c r="AV156" s="766">
        <v>161889</v>
      </c>
      <c r="AW156" s="290"/>
      <c r="AX156" s="766">
        <v>17.500050000000002</v>
      </c>
      <c r="AY156" s="290">
        <v>733</v>
      </c>
      <c r="AZ156" s="290">
        <v>227</v>
      </c>
      <c r="BA156" s="290">
        <v>82</v>
      </c>
      <c r="BB156" s="290">
        <v>0</v>
      </c>
      <c r="BC156" s="290">
        <v>7785</v>
      </c>
      <c r="BD156" s="290"/>
      <c r="BE156" s="290">
        <v>149188.57867956001</v>
      </c>
      <c r="BF156" s="290">
        <v>0</v>
      </c>
      <c r="BG156" s="290">
        <v>4107.666530882334</v>
      </c>
      <c r="BH156" s="290">
        <v>221.31101309243596</v>
      </c>
      <c r="BI156" s="290">
        <v>562</v>
      </c>
      <c r="BJ156" s="290"/>
      <c r="BK156" s="290"/>
      <c r="BL156" s="290"/>
      <c r="BM156" s="290">
        <v>0</v>
      </c>
      <c r="BN156" s="290">
        <v>1803.62556</v>
      </c>
      <c r="BO156" s="290">
        <v>-2112.6337858038719</v>
      </c>
      <c r="BP156" s="290">
        <v>142.434</v>
      </c>
      <c r="BQ156" s="290">
        <v>-76.385999999999996</v>
      </c>
      <c r="BR156" s="290">
        <v>-63.432973844360966</v>
      </c>
      <c r="BS156" s="290">
        <v>1.0149999999999999</v>
      </c>
      <c r="BT156" s="290"/>
      <c r="BU156" s="290">
        <v>0</v>
      </c>
      <c r="BV156" s="290">
        <v>500</v>
      </c>
      <c r="BW156" s="290">
        <v>-1041</v>
      </c>
      <c r="BX156" s="290">
        <v>407</v>
      </c>
      <c r="BY156" s="290">
        <v>161</v>
      </c>
      <c r="BZ156" s="290">
        <v>-791</v>
      </c>
      <c r="CA156" s="290">
        <v>90.378199648232908</v>
      </c>
      <c r="CB156" s="290">
        <v>258</v>
      </c>
      <c r="CC156" s="290">
        <v>590</v>
      </c>
      <c r="CD156" s="290">
        <v>9</v>
      </c>
      <c r="CE156" s="290">
        <v>168</v>
      </c>
      <c r="CF156" s="290">
        <v>8</v>
      </c>
      <c r="CG156" s="290">
        <v>1</v>
      </c>
      <c r="CH156" s="290">
        <v>-5</v>
      </c>
      <c r="CI156" s="290">
        <v>-2026</v>
      </c>
      <c r="CJ156" s="290">
        <v>-8088</v>
      </c>
      <c r="CK156" s="290">
        <f>+innut22!E162+innut22!S162</f>
        <v>159170.82755931845</v>
      </c>
      <c r="CL156" s="290">
        <v>0</v>
      </c>
      <c r="CM156" s="290">
        <v>0</v>
      </c>
      <c r="CN156" s="290">
        <v>0</v>
      </c>
      <c r="CP156" s="290">
        <f>+innut23!E162</f>
        <v>134985.3788388363</v>
      </c>
      <c r="CQ156" s="290"/>
      <c r="CV156" s="85">
        <f t="shared" si="3"/>
        <v>0.83899999999999997</v>
      </c>
    </row>
    <row r="157" spans="1:100" ht="13">
      <c r="A157" s="1">
        <v>3418</v>
      </c>
      <c r="B157" s="2" t="s">
        <v>833</v>
      </c>
      <c r="C157" s="289">
        <v>7211</v>
      </c>
      <c r="D157" s="290">
        <v>88</v>
      </c>
      <c r="E157" s="290">
        <v>215</v>
      </c>
      <c r="F157" s="290">
        <v>671</v>
      </c>
      <c r="G157" s="290">
        <v>534</v>
      </c>
      <c r="H157" s="290">
        <v>3915</v>
      </c>
      <c r="I157" s="290">
        <v>1262</v>
      </c>
      <c r="J157" s="290">
        <v>430</v>
      </c>
      <c r="K157" s="290">
        <v>93</v>
      </c>
      <c r="L157" s="290">
        <v>71</v>
      </c>
      <c r="M157" s="290">
        <v>892</v>
      </c>
      <c r="N157" s="290">
        <v>80</v>
      </c>
      <c r="O157" s="290">
        <v>43</v>
      </c>
      <c r="P157" s="624">
        <v>34857.406999999999</v>
      </c>
      <c r="Q157" s="624">
        <v>25857.611333330002</v>
      </c>
      <c r="R157" s="624">
        <v>40</v>
      </c>
      <c r="S157" s="290">
        <v>97</v>
      </c>
      <c r="T157" s="290">
        <v>825</v>
      </c>
      <c r="U157" s="958">
        <v>6.186626099606597E-3</v>
      </c>
      <c r="V157" s="290">
        <v>2080.1234410400002</v>
      </c>
      <c r="W157" s="765">
        <v>0.65833301</v>
      </c>
      <c r="X157" s="290">
        <v>1000</v>
      </c>
      <c r="Y157" s="290"/>
      <c r="Z157" s="290">
        <f>innut22!E163</f>
        <v>199923.7994973826</v>
      </c>
      <c r="AA157" s="290">
        <v>0</v>
      </c>
      <c r="AB157" s="290">
        <v>276</v>
      </c>
      <c r="AC157" s="290">
        <v>1112</v>
      </c>
      <c r="AD157" s="290"/>
      <c r="AE157" s="290">
        <v>0</v>
      </c>
      <c r="AF157" s="290">
        <v>0</v>
      </c>
      <c r="AG157" s="290">
        <v>7208</v>
      </c>
      <c r="AH157" s="290">
        <v>980</v>
      </c>
      <c r="AI157" s="290">
        <v>4250</v>
      </c>
      <c r="AJ157" s="290">
        <v>0</v>
      </c>
      <c r="AK157" s="290">
        <v>0</v>
      </c>
      <c r="AL157" s="290">
        <v>0</v>
      </c>
      <c r="AM157" s="957">
        <v>0.17023688000000001</v>
      </c>
      <c r="AN157" s="290">
        <v>9857</v>
      </c>
      <c r="AO157" s="290">
        <v>1512.86548356</v>
      </c>
      <c r="AP157" s="290">
        <v>0</v>
      </c>
      <c r="AQ157" s="290">
        <v>0</v>
      </c>
      <c r="AR157" s="290">
        <v>7663.7982667799997</v>
      </c>
      <c r="AS157" s="290">
        <v>2424</v>
      </c>
      <c r="AT157" s="290">
        <v>457</v>
      </c>
      <c r="AU157" s="290">
        <v>64</v>
      </c>
      <c r="AV157" s="766">
        <v>247494</v>
      </c>
      <c r="AW157" s="290"/>
      <c r="AX157" s="766">
        <v>26.708349999999999</v>
      </c>
      <c r="AY157" s="290">
        <v>1207</v>
      </c>
      <c r="AZ157" s="290">
        <v>304</v>
      </c>
      <c r="BA157" s="290">
        <v>132</v>
      </c>
      <c r="BB157" s="290">
        <v>0</v>
      </c>
      <c r="BC157" s="290">
        <v>12648</v>
      </c>
      <c r="BD157" s="290"/>
      <c r="BE157" s="290">
        <v>236887.30019404</v>
      </c>
      <c r="BF157" s="290">
        <v>0</v>
      </c>
      <c r="BG157" s="290">
        <v>6512.8371491188464</v>
      </c>
      <c r="BH157" s="290">
        <v>350.89571578926029</v>
      </c>
      <c r="BI157" s="290">
        <v>2092</v>
      </c>
      <c r="BJ157" s="290"/>
      <c r="BK157" s="290"/>
      <c r="BL157" s="290"/>
      <c r="BM157" s="290">
        <v>0</v>
      </c>
      <c r="BN157" s="290">
        <v>2878.6163999999999</v>
      </c>
      <c r="BO157" s="290">
        <v>-3358.593808573954</v>
      </c>
      <c r="BP157" s="290">
        <v>279.05500000000001</v>
      </c>
      <c r="BQ157" s="290">
        <v>-149.655</v>
      </c>
      <c r="BR157" s="290">
        <v>-110.62793938346331</v>
      </c>
      <c r="BS157" s="290">
        <v>1.516</v>
      </c>
      <c r="BT157" s="290"/>
      <c r="BU157" s="290">
        <v>0</v>
      </c>
      <c r="BV157" s="290">
        <v>2000</v>
      </c>
      <c r="BW157" s="290">
        <v>-1655</v>
      </c>
      <c r="BX157" s="290">
        <v>704</v>
      </c>
      <c r="BY157" s="290">
        <v>253</v>
      </c>
      <c r="BZ157" s="290">
        <v>-1258</v>
      </c>
      <c r="CA157" s="290">
        <v>-864.31065204258266</v>
      </c>
      <c r="CB157" s="290">
        <v>405</v>
      </c>
      <c r="CC157" s="290">
        <v>937</v>
      </c>
      <c r="CD157" s="290">
        <v>15</v>
      </c>
      <c r="CE157" s="290">
        <v>266</v>
      </c>
      <c r="CF157" s="290">
        <v>12</v>
      </c>
      <c r="CG157" s="290">
        <v>1</v>
      </c>
      <c r="CH157" s="290">
        <v>-8</v>
      </c>
      <c r="CI157" s="290">
        <v>-3212</v>
      </c>
      <c r="CJ157" s="290">
        <v>-8546</v>
      </c>
      <c r="CK157" s="290">
        <f>+innut22!E163+innut22!S163</f>
        <v>199923.7994973826</v>
      </c>
      <c r="CL157" s="290">
        <v>0</v>
      </c>
      <c r="CM157" s="290">
        <v>0</v>
      </c>
      <c r="CN157" s="290">
        <v>0</v>
      </c>
      <c r="CP157" s="290">
        <f>+innut23!E163</f>
        <v>188997.24128043567</v>
      </c>
      <c r="CQ157" s="290"/>
      <c r="CV157" s="85">
        <f t="shared" si="3"/>
        <v>1.3340000000000001</v>
      </c>
    </row>
    <row r="158" spans="1:100" ht="13">
      <c r="A158" s="1">
        <v>3419</v>
      </c>
      <c r="B158" s="2" t="s">
        <v>799</v>
      </c>
      <c r="C158" s="289">
        <v>3597</v>
      </c>
      <c r="D158" s="290">
        <v>37</v>
      </c>
      <c r="E158" s="290">
        <v>116</v>
      </c>
      <c r="F158" s="290">
        <v>313</v>
      </c>
      <c r="G158" s="290">
        <v>276</v>
      </c>
      <c r="H158" s="290">
        <v>1949</v>
      </c>
      <c r="I158" s="290">
        <v>666</v>
      </c>
      <c r="J158" s="290">
        <v>197</v>
      </c>
      <c r="K158" s="290">
        <v>44</v>
      </c>
      <c r="L158" s="290">
        <v>35</v>
      </c>
      <c r="M158" s="290">
        <v>413</v>
      </c>
      <c r="N158" s="290">
        <v>12</v>
      </c>
      <c r="O158" s="290">
        <v>27</v>
      </c>
      <c r="P158" s="624">
        <v>20941.067999999999</v>
      </c>
      <c r="Q158" s="624">
        <v>17134.952000000001</v>
      </c>
      <c r="R158" s="624">
        <v>18</v>
      </c>
      <c r="S158" s="290">
        <v>47</v>
      </c>
      <c r="T158" s="290">
        <v>419</v>
      </c>
      <c r="U158" s="958">
        <v>2.9722726988222667E-3</v>
      </c>
      <c r="V158" s="290">
        <v>1949.7770318800001</v>
      </c>
      <c r="W158" s="765">
        <v>0.71277091999999997</v>
      </c>
      <c r="X158" s="290">
        <v>1500</v>
      </c>
      <c r="Y158" s="290"/>
      <c r="Z158" s="290">
        <f>innut22!E164</f>
        <v>102193.5439560548</v>
      </c>
      <c r="AA158" s="290">
        <v>0</v>
      </c>
      <c r="AB158" s="290">
        <v>124</v>
      </c>
      <c r="AC158" s="290">
        <v>2280</v>
      </c>
      <c r="AD158" s="290"/>
      <c r="AE158" s="290">
        <v>0</v>
      </c>
      <c r="AF158" s="290">
        <v>0</v>
      </c>
      <c r="AG158" s="290">
        <v>3598</v>
      </c>
      <c r="AH158" s="290">
        <v>489</v>
      </c>
      <c r="AI158" s="290">
        <v>2000</v>
      </c>
      <c r="AJ158" s="290">
        <v>0</v>
      </c>
      <c r="AK158" s="290">
        <v>0</v>
      </c>
      <c r="AL158" s="290">
        <v>0</v>
      </c>
      <c r="AM158" s="957">
        <v>9.4860719999999996E-2</v>
      </c>
      <c r="AN158" s="290">
        <v>5550</v>
      </c>
      <c r="AO158" s="290">
        <v>766.66777826999999</v>
      </c>
      <c r="AP158" s="290">
        <v>0</v>
      </c>
      <c r="AQ158" s="290">
        <v>0</v>
      </c>
      <c r="AR158" s="290">
        <v>1740.60272979</v>
      </c>
      <c r="AS158" s="290">
        <v>850</v>
      </c>
      <c r="AT158" s="290">
        <v>186</v>
      </c>
      <c r="AU158" s="290">
        <v>34</v>
      </c>
      <c r="AV158" s="766">
        <v>127240</v>
      </c>
      <c r="AW158" s="290"/>
      <c r="AX158" s="766">
        <v>12.166650000000001</v>
      </c>
      <c r="AY158" s="290">
        <v>585</v>
      </c>
      <c r="AZ158" s="290">
        <v>193</v>
      </c>
      <c r="BA158" s="290">
        <v>75</v>
      </c>
      <c r="BB158" s="290">
        <v>0</v>
      </c>
      <c r="BC158" s="290">
        <v>6467</v>
      </c>
      <c r="BD158" s="290"/>
      <c r="BE158" s="290">
        <v>126002.70520555</v>
      </c>
      <c r="BF158" s="290">
        <v>0</v>
      </c>
      <c r="BG158" s="290">
        <v>3248.7415372875453</v>
      </c>
      <c r="BH158" s="290">
        <v>175.03423792732897</v>
      </c>
      <c r="BI158" s="290">
        <v>2769</v>
      </c>
      <c r="BJ158" s="290"/>
      <c r="BK158" s="290"/>
      <c r="BL158" s="290"/>
      <c r="BM158" s="290">
        <v>0</v>
      </c>
      <c r="BN158" s="290">
        <v>1458.7829999999999</v>
      </c>
      <c r="BO158" s="290">
        <v>-1676.501182470739</v>
      </c>
      <c r="BP158" s="290">
        <v>147.07499999999999</v>
      </c>
      <c r="BQ158" s="290">
        <v>-78.875</v>
      </c>
      <c r="BR158" s="290">
        <v>-55.031346089307249</v>
      </c>
      <c r="BS158" s="290">
        <v>0.83799999999999997</v>
      </c>
      <c r="BT158" s="290"/>
      <c r="BU158" s="290">
        <v>0</v>
      </c>
      <c r="BV158" s="290">
        <v>500</v>
      </c>
      <c r="BW158" s="290">
        <v>-826</v>
      </c>
      <c r="BX158" s="290">
        <v>351</v>
      </c>
      <c r="BY158" s="290">
        <v>122</v>
      </c>
      <c r="BZ158" s="290">
        <v>-628</v>
      </c>
      <c r="CA158" s="290">
        <v>-1520.2884714399536</v>
      </c>
      <c r="CB158" s="290">
        <v>195</v>
      </c>
      <c r="CC158" s="290">
        <v>468</v>
      </c>
      <c r="CD158" s="290">
        <v>7</v>
      </c>
      <c r="CE158" s="290">
        <v>133</v>
      </c>
      <c r="CF158" s="290">
        <v>7</v>
      </c>
      <c r="CG158" s="290">
        <v>1</v>
      </c>
      <c r="CH158" s="290">
        <v>-4</v>
      </c>
      <c r="CI158" s="290">
        <v>-1602</v>
      </c>
      <c r="CJ158" s="290">
        <v>-4298</v>
      </c>
      <c r="CK158" s="290">
        <f>+innut22!E164+innut22!S164</f>
        <v>102193.5439560548</v>
      </c>
      <c r="CL158" s="290">
        <v>0</v>
      </c>
      <c r="CM158" s="290">
        <v>0</v>
      </c>
      <c r="CN158" s="290">
        <v>0</v>
      </c>
      <c r="CP158" s="290">
        <f>+innut23!E164</f>
        <v>95179.3295973575</v>
      </c>
      <c r="CQ158" s="290"/>
      <c r="CV158" s="85">
        <f t="shared" si="3"/>
        <v>0.66600000000000004</v>
      </c>
    </row>
    <row r="159" spans="1:100" ht="13">
      <c r="A159" s="1">
        <v>3420</v>
      </c>
      <c r="B159" s="2" t="s">
        <v>834</v>
      </c>
      <c r="C159" s="289">
        <v>21435</v>
      </c>
      <c r="D159" s="290">
        <v>386</v>
      </c>
      <c r="E159" s="290">
        <v>851</v>
      </c>
      <c r="F159" s="290">
        <v>2440</v>
      </c>
      <c r="G159" s="290">
        <v>1863</v>
      </c>
      <c r="H159" s="290">
        <v>11785</v>
      </c>
      <c r="I159" s="290">
        <v>2903</v>
      </c>
      <c r="J159" s="290">
        <v>837</v>
      </c>
      <c r="K159" s="290">
        <v>208</v>
      </c>
      <c r="L159" s="290">
        <v>183</v>
      </c>
      <c r="M159" s="290">
        <v>1832</v>
      </c>
      <c r="N159" s="290">
        <v>654</v>
      </c>
      <c r="O159" s="290">
        <v>221</v>
      </c>
      <c r="P159" s="624">
        <v>71477.374333329994</v>
      </c>
      <c r="Q159" s="624">
        <v>43282.412666670003</v>
      </c>
      <c r="R159" s="624">
        <v>67</v>
      </c>
      <c r="S159" s="290">
        <v>279</v>
      </c>
      <c r="T159" s="290">
        <v>1961</v>
      </c>
      <c r="U159" s="958">
        <v>4.0043764795951852E-3</v>
      </c>
      <c r="V159" s="290">
        <v>11063.5191615</v>
      </c>
      <c r="W159" s="765">
        <v>0.57416630999999996</v>
      </c>
      <c r="X159" s="290">
        <v>1500</v>
      </c>
      <c r="Y159" s="290"/>
      <c r="Z159" s="290">
        <f>innut22!E165</f>
        <v>677013.58849819726</v>
      </c>
      <c r="AA159" s="290">
        <v>0</v>
      </c>
      <c r="AB159" s="290">
        <v>560</v>
      </c>
      <c r="AC159" s="290">
        <v>2154</v>
      </c>
      <c r="AD159" s="290"/>
      <c r="AE159" s="290">
        <v>0</v>
      </c>
      <c r="AF159" s="290">
        <v>0</v>
      </c>
      <c r="AG159" s="290">
        <v>21273</v>
      </c>
      <c r="AH159" s="290">
        <v>3662</v>
      </c>
      <c r="AI159" s="290">
        <v>0</v>
      </c>
      <c r="AJ159" s="290">
        <v>0</v>
      </c>
      <c r="AK159" s="290">
        <v>0</v>
      </c>
      <c r="AL159" s="290">
        <v>0</v>
      </c>
      <c r="AM159" s="957">
        <v>0.55715630999999999</v>
      </c>
      <c r="AN159" s="290">
        <v>0</v>
      </c>
      <c r="AO159" s="290">
        <v>4169.1271560900004</v>
      </c>
      <c r="AP159" s="290">
        <v>0</v>
      </c>
      <c r="AQ159" s="290">
        <v>0</v>
      </c>
      <c r="AR159" s="290">
        <v>-1026.22318176</v>
      </c>
      <c r="AS159" s="290">
        <v>7263</v>
      </c>
      <c r="AT159" s="290">
        <v>1124</v>
      </c>
      <c r="AU159" s="290">
        <v>203</v>
      </c>
      <c r="AV159" s="766">
        <v>582378</v>
      </c>
      <c r="AW159" s="290"/>
      <c r="AX159" s="766">
        <v>154.95830000000001</v>
      </c>
      <c r="AY159" s="290">
        <v>5349</v>
      </c>
      <c r="AZ159" s="290">
        <v>1107</v>
      </c>
      <c r="BA159" s="290">
        <v>517</v>
      </c>
      <c r="BB159" s="290">
        <v>0</v>
      </c>
      <c r="BC159" s="290">
        <v>37215</v>
      </c>
      <c r="BD159" s="290"/>
      <c r="BE159" s="290">
        <v>583350.29947959003</v>
      </c>
      <c r="BF159" s="290">
        <v>0</v>
      </c>
      <c r="BG159" s="290">
        <v>19359.681637964561</v>
      </c>
      <c r="BH159" s="290">
        <v>1043.0522351882946</v>
      </c>
      <c r="BI159" s="290">
        <v>5816</v>
      </c>
      <c r="BJ159" s="290"/>
      <c r="BK159" s="290"/>
      <c r="BL159" s="290"/>
      <c r="BM159" s="290">
        <v>0</v>
      </c>
      <c r="BN159" s="290">
        <v>7932.8386600000003</v>
      </c>
      <c r="BO159" s="290">
        <v>-9912.2316994719386</v>
      </c>
      <c r="BP159" s="290">
        <v>1159.8219999999999</v>
      </c>
      <c r="BQ159" s="290">
        <v>-622.00400000000002</v>
      </c>
      <c r="BR159" s="290">
        <v>-379.89706758523101</v>
      </c>
      <c r="BS159" s="290">
        <v>3.8969999999999998</v>
      </c>
      <c r="BT159" s="290"/>
      <c r="BU159" s="290">
        <v>0</v>
      </c>
      <c r="BV159" s="290">
        <v>4500</v>
      </c>
      <c r="BW159" s="290">
        <v>-4885</v>
      </c>
      <c r="BX159" s="290">
        <v>2441</v>
      </c>
      <c r="BY159" s="290">
        <v>727</v>
      </c>
      <c r="BZ159" s="290">
        <v>-3713</v>
      </c>
      <c r="CA159" s="290">
        <v>-8.4248929428304109</v>
      </c>
      <c r="CB159" s="290">
        <v>1167</v>
      </c>
      <c r="CC159" s="290">
        <v>2766</v>
      </c>
      <c r="CD159" s="290">
        <v>43</v>
      </c>
      <c r="CE159" s="290">
        <v>790</v>
      </c>
      <c r="CF159" s="290">
        <v>32</v>
      </c>
      <c r="CG159" s="290">
        <v>4</v>
      </c>
      <c r="CH159" s="290">
        <v>-21</v>
      </c>
      <c r="CI159" s="290">
        <v>-9547</v>
      </c>
      <c r="CJ159" s="290">
        <v>-25611</v>
      </c>
      <c r="CK159" s="290">
        <f>+innut22!E165+innut22!S165</f>
        <v>677013.58849819726</v>
      </c>
      <c r="CL159" s="290">
        <v>0</v>
      </c>
      <c r="CM159" s="290">
        <v>0</v>
      </c>
      <c r="CN159" s="290">
        <v>0</v>
      </c>
      <c r="CP159" s="290">
        <f>+innut23!E165</f>
        <v>628149.95123300783</v>
      </c>
      <c r="CQ159" s="290"/>
      <c r="CV159" s="85">
        <f t="shared" si="3"/>
        <v>3.9380000000000002</v>
      </c>
    </row>
    <row r="160" spans="1:100" ht="13">
      <c r="A160" s="1">
        <v>3421</v>
      </c>
      <c r="B160" s="2" t="s">
        <v>835</v>
      </c>
      <c r="C160" s="289">
        <v>6603</v>
      </c>
      <c r="D160" s="290">
        <v>91</v>
      </c>
      <c r="E160" s="290">
        <v>238</v>
      </c>
      <c r="F160" s="290">
        <v>647</v>
      </c>
      <c r="G160" s="290">
        <v>473</v>
      </c>
      <c r="H160" s="290">
        <v>3605</v>
      </c>
      <c r="I160" s="290">
        <v>1108</v>
      </c>
      <c r="J160" s="290">
        <v>348</v>
      </c>
      <c r="K160" s="290">
        <v>102</v>
      </c>
      <c r="L160" s="290">
        <v>54</v>
      </c>
      <c r="M160" s="290">
        <v>739</v>
      </c>
      <c r="N160" s="290">
        <v>72</v>
      </c>
      <c r="O160" s="290">
        <v>44</v>
      </c>
      <c r="P160" s="624">
        <v>76465.756999999998</v>
      </c>
      <c r="Q160" s="624">
        <v>30265.052</v>
      </c>
      <c r="R160" s="624">
        <v>36</v>
      </c>
      <c r="S160" s="290">
        <v>79</v>
      </c>
      <c r="T160" s="290">
        <v>662</v>
      </c>
      <c r="U160" s="958">
        <v>3.1023478781809265E-3</v>
      </c>
      <c r="V160" s="290">
        <v>1222.15108818</v>
      </c>
      <c r="W160" s="765">
        <v>0.83055760999999995</v>
      </c>
      <c r="X160" s="290">
        <v>1000</v>
      </c>
      <c r="Y160" s="290"/>
      <c r="Z160" s="290">
        <f>innut22!E166</f>
        <v>224098.49827140963</v>
      </c>
      <c r="AA160" s="290">
        <v>0</v>
      </c>
      <c r="AB160" s="290">
        <v>132</v>
      </c>
      <c r="AC160" s="290">
        <v>606</v>
      </c>
      <c r="AD160" s="290"/>
      <c r="AE160" s="290">
        <v>0</v>
      </c>
      <c r="AF160" s="290">
        <v>0</v>
      </c>
      <c r="AG160" s="290">
        <v>6612</v>
      </c>
      <c r="AH160" s="290">
        <v>959</v>
      </c>
      <c r="AI160" s="290">
        <v>0</v>
      </c>
      <c r="AJ160" s="290">
        <v>0</v>
      </c>
      <c r="AK160" s="290">
        <v>0</v>
      </c>
      <c r="AL160" s="290">
        <v>0</v>
      </c>
      <c r="AM160" s="957">
        <v>0.19323303999999999</v>
      </c>
      <c r="AN160" s="290">
        <v>9091</v>
      </c>
      <c r="AO160" s="290">
        <v>1425.06791742</v>
      </c>
      <c r="AP160" s="290">
        <v>0</v>
      </c>
      <c r="AQ160" s="290">
        <v>0</v>
      </c>
      <c r="AR160" s="290">
        <v>-318.96712630000002</v>
      </c>
      <c r="AS160" s="290">
        <v>1618</v>
      </c>
      <c r="AT160" s="290">
        <v>327</v>
      </c>
      <c r="AU160" s="290">
        <v>85</v>
      </c>
      <c r="AV160" s="766">
        <v>228651</v>
      </c>
      <c r="AW160" s="290"/>
      <c r="AX160" s="766">
        <v>33.166649999999997</v>
      </c>
      <c r="AY160" s="290">
        <v>1189</v>
      </c>
      <c r="AZ160" s="290">
        <v>301</v>
      </c>
      <c r="BA160" s="290">
        <v>111</v>
      </c>
      <c r="BB160" s="290">
        <v>0</v>
      </c>
      <c r="BC160" s="290">
        <v>11242</v>
      </c>
      <c r="BD160" s="290"/>
      <c r="BE160" s="290">
        <v>227714.01732399999</v>
      </c>
      <c r="BF160" s="290">
        <v>0</v>
      </c>
      <c r="BG160" s="290">
        <v>5963.7031889657101</v>
      </c>
      <c r="BH160" s="290">
        <v>321.3097228340709</v>
      </c>
      <c r="BI160" s="290">
        <v>1565</v>
      </c>
      <c r="BJ160" s="290"/>
      <c r="BK160" s="290"/>
      <c r="BL160" s="290"/>
      <c r="BM160" s="290">
        <v>0</v>
      </c>
      <c r="BN160" s="290">
        <v>2711.5589</v>
      </c>
      <c r="BO160" s="290">
        <v>-3080.8854414943098</v>
      </c>
      <c r="BP160" s="290">
        <v>308.40899999999999</v>
      </c>
      <c r="BQ160" s="290">
        <v>-165.398</v>
      </c>
      <c r="BR160" s="290">
        <v>-110.80963166765969</v>
      </c>
      <c r="BS160" s="290">
        <v>1.494</v>
      </c>
      <c r="BT160" s="290"/>
      <c r="BU160" s="290">
        <v>0</v>
      </c>
      <c r="BV160" s="290">
        <v>2000</v>
      </c>
      <c r="BW160" s="290">
        <v>-1518</v>
      </c>
      <c r="BX160" s="290">
        <v>714</v>
      </c>
      <c r="BY160" s="290">
        <v>205</v>
      </c>
      <c r="BZ160" s="290">
        <v>-1154</v>
      </c>
      <c r="CA160" s="290">
        <v>-2.3688268380304862</v>
      </c>
      <c r="CB160" s="290">
        <v>329</v>
      </c>
      <c r="CC160" s="290">
        <v>860</v>
      </c>
      <c r="CD160" s="290">
        <v>12</v>
      </c>
      <c r="CE160" s="290">
        <v>243</v>
      </c>
      <c r="CF160" s="290">
        <v>12</v>
      </c>
      <c r="CG160" s="290">
        <v>1</v>
      </c>
      <c r="CH160" s="290">
        <v>-8</v>
      </c>
      <c r="CI160" s="290">
        <v>-2941</v>
      </c>
      <c r="CJ160" s="290">
        <v>-8198</v>
      </c>
      <c r="CK160" s="290">
        <f>+innut22!E166+innut22!S166</f>
        <v>224098.49827140963</v>
      </c>
      <c r="CL160" s="290">
        <v>0</v>
      </c>
      <c r="CM160" s="290">
        <v>0</v>
      </c>
      <c r="CN160" s="290">
        <v>0</v>
      </c>
      <c r="CP160" s="290">
        <f>+innut23!E166</f>
        <v>199587.83084896306</v>
      </c>
      <c r="CQ160" s="290"/>
      <c r="CV160" s="85">
        <f t="shared" si="3"/>
        <v>1.224</v>
      </c>
    </row>
    <row r="161" spans="1:100" ht="13">
      <c r="A161" s="1">
        <v>3422</v>
      </c>
      <c r="B161" s="2" t="s">
        <v>836</v>
      </c>
      <c r="C161" s="289">
        <v>4195</v>
      </c>
      <c r="D161" s="290">
        <v>52</v>
      </c>
      <c r="E161" s="290">
        <v>149</v>
      </c>
      <c r="F161" s="290">
        <v>423</v>
      </c>
      <c r="G161" s="290">
        <v>420</v>
      </c>
      <c r="H161" s="290">
        <v>2341</v>
      </c>
      <c r="I161" s="290">
        <v>616</v>
      </c>
      <c r="J161" s="290">
        <v>192</v>
      </c>
      <c r="K161" s="290">
        <v>45</v>
      </c>
      <c r="L161" s="290">
        <v>40</v>
      </c>
      <c r="M161" s="290">
        <v>449</v>
      </c>
      <c r="N161" s="290">
        <v>64</v>
      </c>
      <c r="O161" s="290">
        <v>15</v>
      </c>
      <c r="P161" s="624">
        <v>33611.804333330001</v>
      </c>
      <c r="Q161" s="624">
        <v>12049.97566667</v>
      </c>
      <c r="R161" s="624">
        <v>21</v>
      </c>
      <c r="S161" s="290">
        <v>49</v>
      </c>
      <c r="T161" s="290">
        <v>419</v>
      </c>
      <c r="U161" s="958">
        <v>1.7546934973787438E-3</v>
      </c>
      <c r="V161" s="290">
        <v>66.562206079999996</v>
      </c>
      <c r="W161" s="765">
        <v>0.77650881000000005</v>
      </c>
      <c r="X161" s="290">
        <v>1000</v>
      </c>
      <c r="Y161" s="290"/>
      <c r="Z161" s="290">
        <f>innut22!E167</f>
        <v>125084.48275033133</v>
      </c>
      <c r="AA161" s="290">
        <v>0</v>
      </c>
      <c r="AB161" s="290">
        <v>104</v>
      </c>
      <c r="AC161" s="290">
        <v>1294</v>
      </c>
      <c r="AD161" s="290"/>
      <c r="AE161" s="290">
        <v>0</v>
      </c>
      <c r="AF161" s="290">
        <v>0</v>
      </c>
      <c r="AG161" s="290">
        <v>4238</v>
      </c>
      <c r="AH161" s="290">
        <v>632</v>
      </c>
      <c r="AI161" s="290">
        <v>500</v>
      </c>
      <c r="AJ161" s="290">
        <v>0</v>
      </c>
      <c r="AK161" s="290">
        <v>0</v>
      </c>
      <c r="AL161" s="290">
        <v>0</v>
      </c>
      <c r="AM161" s="957">
        <v>6.2805009999999994E-2</v>
      </c>
      <c r="AN161" s="290">
        <v>2574</v>
      </c>
      <c r="AO161" s="290">
        <v>877.39276839000001</v>
      </c>
      <c r="AP161" s="290">
        <v>0</v>
      </c>
      <c r="AQ161" s="290">
        <v>0</v>
      </c>
      <c r="AR161" s="290">
        <v>16145.937570890001</v>
      </c>
      <c r="AS161" s="290">
        <v>2973</v>
      </c>
      <c r="AT161" s="290">
        <v>201</v>
      </c>
      <c r="AU161" s="290">
        <v>30</v>
      </c>
      <c r="AV161" s="766">
        <v>149736</v>
      </c>
      <c r="AW161" s="290"/>
      <c r="AX161" s="766">
        <v>18.333300000000001</v>
      </c>
      <c r="AY161" s="290">
        <v>829</v>
      </c>
      <c r="AZ161" s="290">
        <v>196</v>
      </c>
      <c r="BA161" s="290">
        <v>87</v>
      </c>
      <c r="BB161" s="290">
        <v>0</v>
      </c>
      <c r="BC161" s="290">
        <v>8488</v>
      </c>
      <c r="BD161" s="290"/>
      <c r="BE161" s="290">
        <v>132333.90405400001</v>
      </c>
      <c r="BF161" s="290">
        <v>0</v>
      </c>
      <c r="BG161" s="290">
        <v>3788.8436888855299</v>
      </c>
      <c r="BH161" s="290">
        <v>204.13361915628161</v>
      </c>
      <c r="BI161" s="290">
        <v>1926</v>
      </c>
      <c r="BJ161" s="290"/>
      <c r="BK161" s="290"/>
      <c r="BL161" s="290"/>
      <c r="BM161" s="290">
        <v>0</v>
      </c>
      <c r="BN161" s="290">
        <v>1669.4658200000001</v>
      </c>
      <c r="BO161" s="290">
        <v>-1974.7115095361289</v>
      </c>
      <c r="BP161" s="290">
        <v>193.06299999999999</v>
      </c>
      <c r="BQ161" s="290">
        <v>-103.538</v>
      </c>
      <c r="BR161" s="290">
        <v>-71.14633882756155</v>
      </c>
      <c r="BS161" s="290">
        <v>0.93</v>
      </c>
      <c r="BT161" s="290"/>
      <c r="BU161" s="290">
        <v>0</v>
      </c>
      <c r="BV161" s="290">
        <v>1500</v>
      </c>
      <c r="BW161" s="290">
        <v>-973</v>
      </c>
      <c r="BX161" s="290">
        <v>451</v>
      </c>
      <c r="BY161" s="290">
        <v>128</v>
      </c>
      <c r="BZ161" s="290">
        <v>-740</v>
      </c>
      <c r="CA161" s="290">
        <v>-5.0629716363096122</v>
      </c>
      <c r="CB161" s="290">
        <v>205</v>
      </c>
      <c r="CC161" s="290">
        <v>551</v>
      </c>
      <c r="CD161" s="290">
        <v>8</v>
      </c>
      <c r="CE161" s="290">
        <v>155</v>
      </c>
      <c r="CF161" s="290">
        <v>8</v>
      </c>
      <c r="CG161" s="290">
        <v>1</v>
      </c>
      <c r="CH161" s="290">
        <v>-5</v>
      </c>
      <c r="CI161" s="290">
        <v>-1868</v>
      </c>
      <c r="CJ161" s="290">
        <v>-5199</v>
      </c>
      <c r="CK161" s="290">
        <f>+innut22!E167+innut22!S167</f>
        <v>125084.48275033133</v>
      </c>
      <c r="CL161" s="290">
        <v>0</v>
      </c>
      <c r="CM161" s="290">
        <v>0</v>
      </c>
      <c r="CN161" s="290">
        <v>0</v>
      </c>
      <c r="CP161" s="290">
        <f>+innut23!E167</f>
        <v>119855.71810993973</v>
      </c>
      <c r="CQ161" s="290"/>
      <c r="CV161" s="85">
        <f t="shared" si="3"/>
        <v>0.78500000000000003</v>
      </c>
    </row>
    <row r="162" spans="1:100" ht="13">
      <c r="A162" s="1">
        <v>3423</v>
      </c>
      <c r="B162" s="2" t="s">
        <v>837</v>
      </c>
      <c r="C162" s="289">
        <v>2318</v>
      </c>
      <c r="D162" s="290">
        <v>26</v>
      </c>
      <c r="E162" s="290">
        <v>71</v>
      </c>
      <c r="F162" s="290">
        <v>211</v>
      </c>
      <c r="G162" s="290">
        <v>147</v>
      </c>
      <c r="H162" s="290">
        <v>1290</v>
      </c>
      <c r="I162" s="290">
        <v>408</v>
      </c>
      <c r="J162" s="290">
        <v>174</v>
      </c>
      <c r="K162" s="290">
        <v>24</v>
      </c>
      <c r="L162" s="290">
        <v>23</v>
      </c>
      <c r="M162" s="290">
        <v>305</v>
      </c>
      <c r="N162" s="290">
        <v>32</v>
      </c>
      <c r="O162" s="290">
        <v>31</v>
      </c>
      <c r="P162" s="624">
        <v>31566.964</v>
      </c>
      <c r="Q162" s="624">
        <v>8615.2856666700009</v>
      </c>
      <c r="R162" s="624">
        <v>13</v>
      </c>
      <c r="S162" s="290">
        <v>34</v>
      </c>
      <c r="T162" s="290">
        <v>304</v>
      </c>
      <c r="U162" s="958">
        <v>1.9354990006154593E-3</v>
      </c>
      <c r="V162" s="290">
        <v>1404.758673</v>
      </c>
      <c r="W162" s="765">
        <v>1</v>
      </c>
      <c r="X162" s="290">
        <v>800</v>
      </c>
      <c r="Y162" s="290"/>
      <c r="Z162" s="290">
        <f>innut22!E168</f>
        <v>64329.186664889639</v>
      </c>
      <c r="AA162" s="290">
        <v>0</v>
      </c>
      <c r="AB162" s="290">
        <v>67</v>
      </c>
      <c r="AC162" s="290">
        <v>317</v>
      </c>
      <c r="AD162" s="290"/>
      <c r="AE162" s="290">
        <v>0</v>
      </c>
      <c r="AF162" s="290">
        <v>0</v>
      </c>
      <c r="AG162" s="290">
        <v>2351</v>
      </c>
      <c r="AH162" s="290">
        <v>302</v>
      </c>
      <c r="AI162" s="290">
        <v>2000</v>
      </c>
      <c r="AJ162" s="290">
        <v>0</v>
      </c>
      <c r="AK162" s="290">
        <v>0</v>
      </c>
      <c r="AL162" s="290">
        <v>0</v>
      </c>
      <c r="AM162" s="957">
        <v>8.2271179999999999E-2</v>
      </c>
      <c r="AN162" s="290">
        <v>0</v>
      </c>
      <c r="AO162" s="290">
        <v>563.19451778999996</v>
      </c>
      <c r="AP162" s="290">
        <v>0</v>
      </c>
      <c r="AQ162" s="290">
        <v>0</v>
      </c>
      <c r="AR162" s="290">
        <v>-113.41374983999999</v>
      </c>
      <c r="AS162" s="290">
        <v>1083</v>
      </c>
      <c r="AT162" s="290">
        <v>133</v>
      </c>
      <c r="AU162" s="290">
        <v>22</v>
      </c>
      <c r="AV162" s="766">
        <v>102580</v>
      </c>
      <c r="AW162" s="290"/>
      <c r="AX162" s="766">
        <v>8.2083499999999994</v>
      </c>
      <c r="AY162" s="290">
        <v>468</v>
      </c>
      <c r="AZ162" s="290">
        <v>159</v>
      </c>
      <c r="BA162" s="290">
        <v>33</v>
      </c>
      <c r="BB162" s="290">
        <v>6034</v>
      </c>
      <c r="BC162" s="290">
        <v>4118</v>
      </c>
      <c r="BD162" s="290"/>
      <c r="BE162" s="290">
        <v>102395.3329376</v>
      </c>
      <c r="BF162" s="290">
        <v>0</v>
      </c>
      <c r="BG162" s="290">
        <v>2093.573223083828</v>
      </c>
      <c r="BH162" s="290">
        <v>112.7965981416593</v>
      </c>
      <c r="BI162" s="290">
        <v>619</v>
      </c>
      <c r="BJ162" s="290"/>
      <c r="BK162" s="290"/>
      <c r="BL162" s="290"/>
      <c r="BM162" s="290">
        <v>0</v>
      </c>
      <c r="BN162" s="290">
        <v>1071.6226799999999</v>
      </c>
      <c r="BO162" s="290">
        <v>-1095.4569983292683</v>
      </c>
      <c r="BP162" s="290">
        <v>93.305000000000007</v>
      </c>
      <c r="BQ162" s="290">
        <v>-50.039000000000001</v>
      </c>
      <c r="BR162" s="290">
        <v>-40.845107827614207</v>
      </c>
      <c r="BS162" s="290">
        <v>0.65300000000000002</v>
      </c>
      <c r="BT162" s="290"/>
      <c r="BU162" s="290">
        <v>0</v>
      </c>
      <c r="BV162" s="290">
        <v>1500</v>
      </c>
      <c r="BW162" s="290">
        <v>-540</v>
      </c>
      <c r="BX162" s="290">
        <v>262</v>
      </c>
      <c r="BY162" s="290">
        <v>88</v>
      </c>
      <c r="BZ162" s="290">
        <v>-410</v>
      </c>
      <c r="CA162" s="290">
        <v>-1.2395738431173982</v>
      </c>
      <c r="CB162" s="290">
        <v>142</v>
      </c>
      <c r="CC162" s="290">
        <v>306</v>
      </c>
      <c r="CD162" s="290">
        <v>5</v>
      </c>
      <c r="CE162" s="290">
        <v>85</v>
      </c>
      <c r="CF162" s="290">
        <v>5</v>
      </c>
      <c r="CG162" s="290">
        <v>0</v>
      </c>
      <c r="CH162" s="290">
        <v>-3</v>
      </c>
      <c r="CI162" s="290">
        <v>-1032</v>
      </c>
      <c r="CJ162" s="290">
        <v>-2900</v>
      </c>
      <c r="CK162" s="290">
        <f>+innut22!E168+innut22!S168</f>
        <v>64329.186664889639</v>
      </c>
      <c r="CL162" s="290">
        <v>0</v>
      </c>
      <c r="CM162" s="290">
        <v>0</v>
      </c>
      <c r="CN162" s="290">
        <v>0</v>
      </c>
      <c r="CP162" s="290">
        <f>+innut23!E168</f>
        <v>58933.389798056291</v>
      </c>
      <c r="CQ162" s="290"/>
      <c r="CV162" s="85">
        <f t="shared" si="3"/>
        <v>0.435</v>
      </c>
    </row>
    <row r="163" spans="1:100" ht="13">
      <c r="A163" s="1">
        <v>3424</v>
      </c>
      <c r="B163" s="2" t="s">
        <v>838</v>
      </c>
      <c r="C163" s="289">
        <v>1722</v>
      </c>
      <c r="D163" s="290">
        <v>16</v>
      </c>
      <c r="E163" s="290">
        <v>51</v>
      </c>
      <c r="F163" s="290">
        <v>158</v>
      </c>
      <c r="G163" s="290">
        <v>125</v>
      </c>
      <c r="H163" s="290">
        <v>884</v>
      </c>
      <c r="I163" s="290">
        <v>377</v>
      </c>
      <c r="J163" s="290">
        <v>98</v>
      </c>
      <c r="K163" s="290">
        <v>30</v>
      </c>
      <c r="L163" s="290">
        <v>16</v>
      </c>
      <c r="M163" s="290">
        <v>240</v>
      </c>
      <c r="N163" s="290">
        <v>22</v>
      </c>
      <c r="O163" s="290">
        <v>20</v>
      </c>
      <c r="P163" s="624">
        <v>23291.058000000001</v>
      </c>
      <c r="Q163" s="624">
        <v>10787.13933333</v>
      </c>
      <c r="R163" s="624">
        <v>8</v>
      </c>
      <c r="S163" s="290">
        <v>22</v>
      </c>
      <c r="T163" s="290">
        <v>216</v>
      </c>
      <c r="U163" s="958">
        <v>2.5241310394450221E-3</v>
      </c>
      <c r="V163" s="290">
        <v>1173.0132542399999</v>
      </c>
      <c r="W163" s="765">
        <v>1</v>
      </c>
      <c r="X163" s="290">
        <v>0</v>
      </c>
      <c r="Y163" s="290"/>
      <c r="Z163" s="290">
        <f>innut22!E169</f>
        <v>49034.324058144579</v>
      </c>
      <c r="AA163" s="290">
        <v>0</v>
      </c>
      <c r="AB163" s="290">
        <v>33</v>
      </c>
      <c r="AC163" s="290">
        <v>19</v>
      </c>
      <c r="AD163" s="290"/>
      <c r="AE163" s="290">
        <v>0</v>
      </c>
      <c r="AF163" s="290">
        <v>0</v>
      </c>
      <c r="AG163" s="290">
        <v>1739</v>
      </c>
      <c r="AH163" s="290">
        <v>226</v>
      </c>
      <c r="AI163" s="290">
        <v>0</v>
      </c>
      <c r="AJ163" s="290">
        <v>0</v>
      </c>
      <c r="AK163" s="290">
        <v>0</v>
      </c>
      <c r="AL163" s="290">
        <v>0</v>
      </c>
      <c r="AM163" s="957">
        <v>3.9089020000000002E-2</v>
      </c>
      <c r="AN163" s="290">
        <v>0</v>
      </c>
      <c r="AO163" s="290">
        <v>437.92438829999998</v>
      </c>
      <c r="AP163" s="290">
        <v>0</v>
      </c>
      <c r="AQ163" s="290">
        <v>0</v>
      </c>
      <c r="AR163" s="290">
        <v>664.29130506000001</v>
      </c>
      <c r="AS163" s="290">
        <v>420</v>
      </c>
      <c r="AT163" s="290">
        <v>91</v>
      </c>
      <c r="AU163" s="290">
        <v>14</v>
      </c>
      <c r="AV163" s="766">
        <v>84874</v>
      </c>
      <c r="AW163" s="290"/>
      <c r="AX163" s="766">
        <v>5.9583000000000004</v>
      </c>
      <c r="AY163" s="290">
        <v>299</v>
      </c>
      <c r="AZ163" s="290">
        <v>93</v>
      </c>
      <c r="BA163" s="290">
        <v>45</v>
      </c>
      <c r="BB163" s="290">
        <v>6034</v>
      </c>
      <c r="BC163" s="290">
        <v>3202</v>
      </c>
      <c r="BD163" s="290"/>
      <c r="BE163" s="290">
        <v>83118.189846210007</v>
      </c>
      <c r="BF163" s="290">
        <v>0</v>
      </c>
      <c r="BG163" s="290">
        <v>1555.2774331968733</v>
      </c>
      <c r="BH163" s="290">
        <v>83.794539257954</v>
      </c>
      <c r="BI163" s="290">
        <v>245</v>
      </c>
      <c r="BJ163" s="290"/>
      <c r="BK163" s="290"/>
      <c r="BL163" s="290"/>
      <c r="BM163" s="290">
        <v>0</v>
      </c>
      <c r="BN163" s="290">
        <v>833.26397999999995</v>
      </c>
      <c r="BO163" s="290">
        <v>-810.2933730729892</v>
      </c>
      <c r="BP163" s="290">
        <v>66.180999999999997</v>
      </c>
      <c r="BQ163" s="290">
        <v>-35.491999999999997</v>
      </c>
      <c r="BR163" s="290">
        <v>-32.136899265087351</v>
      </c>
      <c r="BS163" s="290">
        <v>0.55100000000000005</v>
      </c>
      <c r="BT163" s="290"/>
      <c r="BU163" s="290">
        <v>0</v>
      </c>
      <c r="BV163" s="290">
        <v>1000</v>
      </c>
      <c r="BW163" s="290">
        <v>-399</v>
      </c>
      <c r="BX163" s="290">
        <v>207</v>
      </c>
      <c r="BY163" s="290">
        <v>56</v>
      </c>
      <c r="BZ163" s="290">
        <v>-304</v>
      </c>
      <c r="CA163" s="290">
        <v>-7.3707661923400281E-2</v>
      </c>
      <c r="CB163" s="290">
        <v>91</v>
      </c>
      <c r="CC163" s="290">
        <v>226</v>
      </c>
      <c r="CD163" s="290">
        <v>3</v>
      </c>
      <c r="CE163" s="290">
        <v>63</v>
      </c>
      <c r="CF163" s="290">
        <v>4</v>
      </c>
      <c r="CG163" s="290">
        <v>0</v>
      </c>
      <c r="CH163" s="290">
        <v>-3</v>
      </c>
      <c r="CI163" s="290">
        <v>-767</v>
      </c>
      <c r="CJ163" s="290">
        <v>-2066</v>
      </c>
      <c r="CK163" s="290">
        <f>+innut22!E169+innut22!S169</f>
        <v>49034.324058144579</v>
      </c>
      <c r="CL163" s="290">
        <v>0</v>
      </c>
      <c r="CM163" s="290">
        <v>0</v>
      </c>
      <c r="CN163" s="290">
        <v>0</v>
      </c>
      <c r="CP163" s="290">
        <f>+innut23!E169</f>
        <v>46710.892350868533</v>
      </c>
      <c r="CQ163" s="290"/>
      <c r="CV163" s="85">
        <f t="shared" si="3"/>
        <v>0.32200000000000001</v>
      </c>
    </row>
    <row r="164" spans="1:100" ht="13">
      <c r="A164" s="1">
        <v>3425</v>
      </c>
      <c r="B164" s="2" t="s">
        <v>839</v>
      </c>
      <c r="C164" s="289">
        <v>1253</v>
      </c>
      <c r="D164" s="290">
        <v>14</v>
      </c>
      <c r="E164" s="290">
        <v>38</v>
      </c>
      <c r="F164" s="290">
        <v>116</v>
      </c>
      <c r="G164" s="290">
        <v>108</v>
      </c>
      <c r="H164" s="290">
        <v>659</v>
      </c>
      <c r="I164" s="290">
        <v>244</v>
      </c>
      <c r="J164" s="290">
        <v>77</v>
      </c>
      <c r="K164" s="290">
        <v>24</v>
      </c>
      <c r="L164" s="290">
        <v>9</v>
      </c>
      <c r="M164" s="290">
        <v>157</v>
      </c>
      <c r="N164" s="290">
        <v>8</v>
      </c>
      <c r="O164" s="290">
        <v>12</v>
      </c>
      <c r="P164" s="624">
        <v>33687.307000000001</v>
      </c>
      <c r="Q164" s="624">
        <v>15449.50533333</v>
      </c>
      <c r="R164" s="624">
        <v>5</v>
      </c>
      <c r="S164" s="290">
        <v>12</v>
      </c>
      <c r="T164" s="290">
        <v>114</v>
      </c>
      <c r="U164" s="958">
        <v>1.2915024065095612E-3</v>
      </c>
      <c r="V164" s="290">
        <v>910.94248828000002</v>
      </c>
      <c r="W164" s="765">
        <v>1</v>
      </c>
      <c r="X164" s="290">
        <v>2500</v>
      </c>
      <c r="Y164" s="290"/>
      <c r="Z164" s="290">
        <f>innut22!E170</f>
        <v>34329.711984352209</v>
      </c>
      <c r="AA164" s="290">
        <v>0</v>
      </c>
      <c r="AB164" s="290">
        <v>18</v>
      </c>
      <c r="AC164" s="290">
        <v>506</v>
      </c>
      <c r="AD164" s="290"/>
      <c r="AE164" s="290">
        <v>0</v>
      </c>
      <c r="AF164" s="290">
        <v>0</v>
      </c>
      <c r="AG164" s="290">
        <v>1280</v>
      </c>
      <c r="AH164" s="290">
        <v>177</v>
      </c>
      <c r="AI164" s="290">
        <v>0</v>
      </c>
      <c r="AJ164" s="290">
        <v>0</v>
      </c>
      <c r="AK164" s="290">
        <v>0</v>
      </c>
      <c r="AL164" s="290">
        <v>0</v>
      </c>
      <c r="AM164" s="957">
        <v>2.1073919999999999E-2</v>
      </c>
      <c r="AN164" s="290">
        <v>0</v>
      </c>
      <c r="AO164" s="290">
        <v>340.08476078000001</v>
      </c>
      <c r="AP164" s="290">
        <v>0</v>
      </c>
      <c r="AQ164" s="290">
        <v>0</v>
      </c>
      <c r="AR164" s="290">
        <v>-61.748022030000001</v>
      </c>
      <c r="AS164" s="290">
        <v>329</v>
      </c>
      <c r="AT164" s="290">
        <v>56</v>
      </c>
      <c r="AU164" s="290">
        <v>7</v>
      </c>
      <c r="AV164" s="766">
        <v>71305</v>
      </c>
      <c r="AW164" s="290"/>
      <c r="AX164" s="766">
        <v>1.91665</v>
      </c>
      <c r="AY164" s="290">
        <v>211</v>
      </c>
      <c r="AZ164" s="290">
        <v>84</v>
      </c>
      <c r="BA164" s="290">
        <v>14</v>
      </c>
      <c r="BB164" s="290">
        <v>6034</v>
      </c>
      <c r="BC164" s="290">
        <v>2481</v>
      </c>
      <c r="BD164" s="290"/>
      <c r="BE164" s="290">
        <v>71210.526161169997</v>
      </c>
      <c r="BF164" s="290">
        <v>0</v>
      </c>
      <c r="BG164" s="290">
        <v>1131.6856119603265</v>
      </c>
      <c r="BH164" s="290">
        <v>60.972449297454318</v>
      </c>
      <c r="BI164" s="290">
        <v>683</v>
      </c>
      <c r="BJ164" s="290"/>
      <c r="BK164" s="290"/>
      <c r="BL164" s="290"/>
      <c r="BM164" s="290">
        <v>0</v>
      </c>
      <c r="BN164" s="290">
        <v>647.09888000000001</v>
      </c>
      <c r="BO164" s="290">
        <v>-596.42065413077989</v>
      </c>
      <c r="BP164" s="290">
        <v>46.9</v>
      </c>
      <c r="BQ164" s="290">
        <v>-25.152000000000001</v>
      </c>
      <c r="BR164" s="290">
        <v>-26.937612018862897</v>
      </c>
      <c r="BS164" s="290">
        <v>0.48899999999999999</v>
      </c>
      <c r="BT164" s="290"/>
      <c r="BU164" s="290">
        <v>0</v>
      </c>
      <c r="BV164" s="290">
        <v>500</v>
      </c>
      <c r="BW164" s="290">
        <v>-294</v>
      </c>
      <c r="BX164" s="290">
        <v>176</v>
      </c>
      <c r="BY164" s="290">
        <v>32</v>
      </c>
      <c r="BZ164" s="290">
        <v>-223</v>
      </c>
      <c r="CA164" s="290">
        <v>-1.9776138503572156</v>
      </c>
      <c r="CB164" s="290">
        <v>52</v>
      </c>
      <c r="CC164" s="290">
        <v>166</v>
      </c>
      <c r="CD164" s="290">
        <v>2</v>
      </c>
      <c r="CE164" s="290">
        <v>46</v>
      </c>
      <c r="CF164" s="290">
        <v>4</v>
      </c>
      <c r="CG164" s="290">
        <v>0</v>
      </c>
      <c r="CH164" s="290">
        <v>-3</v>
      </c>
      <c r="CI164" s="290">
        <v>-558</v>
      </c>
      <c r="CJ164" s="290">
        <v>-1481</v>
      </c>
      <c r="CK164" s="290">
        <f>+innut22!E170+innut22!S170</f>
        <v>34329.711984352209</v>
      </c>
      <c r="CL164" s="290">
        <v>0</v>
      </c>
      <c r="CM164" s="290">
        <v>0</v>
      </c>
      <c r="CN164" s="290">
        <v>0</v>
      </c>
      <c r="CP164" s="290">
        <f>+innut23!E170</f>
        <v>32395.648876633768</v>
      </c>
      <c r="CQ164" s="290"/>
      <c r="CV164" s="85">
        <f t="shared" si="3"/>
        <v>0.23699999999999999</v>
      </c>
    </row>
    <row r="165" spans="1:100" ht="13">
      <c r="A165" s="1">
        <v>3426</v>
      </c>
      <c r="B165" s="2" t="s">
        <v>840</v>
      </c>
      <c r="C165" s="289">
        <v>1551</v>
      </c>
      <c r="D165" s="290">
        <v>36</v>
      </c>
      <c r="E165" s="290">
        <v>65</v>
      </c>
      <c r="F165" s="290">
        <v>191</v>
      </c>
      <c r="G165" s="290">
        <v>131</v>
      </c>
      <c r="H165" s="290">
        <v>830</v>
      </c>
      <c r="I165" s="290">
        <v>215</v>
      </c>
      <c r="J165" s="290">
        <v>79</v>
      </c>
      <c r="K165" s="290">
        <v>11</v>
      </c>
      <c r="L165" s="290">
        <v>15</v>
      </c>
      <c r="M165" s="290">
        <v>139</v>
      </c>
      <c r="N165" s="290">
        <v>60</v>
      </c>
      <c r="O165" s="290">
        <v>36</v>
      </c>
      <c r="P165" s="624">
        <v>10253.36866667</v>
      </c>
      <c r="Q165" s="624">
        <v>4472.4876666700002</v>
      </c>
      <c r="R165" s="624">
        <v>6</v>
      </c>
      <c r="S165" s="290">
        <v>17</v>
      </c>
      <c r="T165" s="290">
        <v>130</v>
      </c>
      <c r="U165" s="958">
        <v>2.4326128501394677E-3</v>
      </c>
      <c r="V165" s="290">
        <v>1018.9811150100001</v>
      </c>
      <c r="W165" s="765">
        <v>0.87279660999999997</v>
      </c>
      <c r="X165" s="290">
        <v>600</v>
      </c>
      <c r="Y165" s="290"/>
      <c r="Z165" s="290">
        <f>innut22!E171</f>
        <v>39327.368964781286</v>
      </c>
      <c r="AA165" s="290">
        <v>0</v>
      </c>
      <c r="AB165" s="290">
        <v>20</v>
      </c>
      <c r="AC165" s="290">
        <v>68</v>
      </c>
      <c r="AD165" s="290"/>
      <c r="AE165" s="290">
        <v>0</v>
      </c>
      <c r="AF165" s="290">
        <v>0</v>
      </c>
      <c r="AG165" s="290">
        <v>1558</v>
      </c>
      <c r="AH165" s="290">
        <v>280</v>
      </c>
      <c r="AI165" s="290">
        <v>1000</v>
      </c>
      <c r="AJ165" s="290">
        <v>0</v>
      </c>
      <c r="AK165" s="290">
        <v>0</v>
      </c>
      <c r="AL165" s="290">
        <v>0</v>
      </c>
      <c r="AM165" s="957">
        <v>1.6615029999999999E-2</v>
      </c>
      <c r="AN165" s="290">
        <v>0</v>
      </c>
      <c r="AO165" s="290">
        <v>380.41912984999999</v>
      </c>
      <c r="AP165" s="290">
        <v>0</v>
      </c>
      <c r="AQ165" s="290">
        <v>0</v>
      </c>
      <c r="AR165" s="290">
        <v>-75.158920570000006</v>
      </c>
      <c r="AS165" s="290">
        <v>391</v>
      </c>
      <c r="AT165" s="290">
        <v>55</v>
      </c>
      <c r="AU165" s="290">
        <v>9</v>
      </c>
      <c r="AV165" s="766">
        <v>71151</v>
      </c>
      <c r="AW165" s="290"/>
      <c r="AX165" s="766">
        <v>14.916650000000001</v>
      </c>
      <c r="AY165" s="290">
        <v>408</v>
      </c>
      <c r="AZ165" s="290">
        <v>82</v>
      </c>
      <c r="BA165" s="290">
        <v>28</v>
      </c>
      <c r="BB165" s="290">
        <v>6034</v>
      </c>
      <c r="BC165" s="290">
        <v>3027</v>
      </c>
      <c r="BD165" s="290"/>
      <c r="BE165" s="290">
        <v>72171.399673120002</v>
      </c>
      <c r="BF165" s="290">
        <v>0</v>
      </c>
      <c r="BG165" s="290">
        <v>1400.8335069038039</v>
      </c>
      <c r="BH165" s="290">
        <v>75.473478739306984</v>
      </c>
      <c r="BI165" s="290">
        <v>348</v>
      </c>
      <c r="BJ165" s="290"/>
      <c r="BK165" s="290"/>
      <c r="BL165" s="290"/>
      <c r="BM165" s="290">
        <v>0</v>
      </c>
      <c r="BN165" s="290">
        <v>723.84541999999988</v>
      </c>
      <c r="BO165" s="290">
        <v>-725.95576494980867</v>
      </c>
      <c r="BP165" s="290">
        <v>91.174000000000007</v>
      </c>
      <c r="BQ165" s="290">
        <v>-48.896000000000001</v>
      </c>
      <c r="BR165" s="290">
        <v>-35.339913242278371</v>
      </c>
      <c r="BS165" s="290">
        <v>0.437</v>
      </c>
      <c r="BT165" s="290"/>
      <c r="BU165" s="290">
        <v>0</v>
      </c>
      <c r="BV165" s="290">
        <v>1000</v>
      </c>
      <c r="BW165" s="290">
        <v>-358</v>
      </c>
      <c r="BX165" s="290">
        <v>225</v>
      </c>
      <c r="BY165" s="290">
        <v>45</v>
      </c>
      <c r="BZ165" s="290">
        <v>-272</v>
      </c>
      <c r="CA165" s="290">
        <v>-0.26474180791284141</v>
      </c>
      <c r="CB165" s="290">
        <v>72</v>
      </c>
      <c r="CC165" s="290">
        <v>203</v>
      </c>
      <c r="CD165" s="290">
        <v>3</v>
      </c>
      <c r="CE165" s="290">
        <v>57</v>
      </c>
      <c r="CF165" s="290">
        <v>4</v>
      </c>
      <c r="CG165" s="290">
        <v>0</v>
      </c>
      <c r="CH165" s="290">
        <v>-2</v>
      </c>
      <c r="CI165" s="290">
        <v>-691</v>
      </c>
      <c r="CJ165" s="290">
        <v>-1856</v>
      </c>
      <c r="CK165" s="290">
        <f>+innut22!E171+innut22!S171</f>
        <v>39327.368964781286</v>
      </c>
      <c r="CL165" s="290">
        <v>0</v>
      </c>
      <c r="CM165" s="290">
        <v>0</v>
      </c>
      <c r="CN165" s="290">
        <v>0</v>
      </c>
      <c r="CP165" s="290">
        <f>+innut23!E171</f>
        <v>36926.628432652695</v>
      </c>
      <c r="CQ165" s="290"/>
      <c r="CV165" s="85">
        <f t="shared" si="3"/>
        <v>0.28799999999999998</v>
      </c>
    </row>
    <row r="166" spans="1:100" ht="13">
      <c r="A166" s="1">
        <v>3427</v>
      </c>
      <c r="B166" s="2" t="s">
        <v>841</v>
      </c>
      <c r="C166" s="289">
        <v>5581</v>
      </c>
      <c r="D166" s="290">
        <v>100</v>
      </c>
      <c r="E166" s="290">
        <v>178</v>
      </c>
      <c r="F166" s="290">
        <v>701</v>
      </c>
      <c r="G166" s="290">
        <v>515</v>
      </c>
      <c r="H166" s="290">
        <v>3018</v>
      </c>
      <c r="I166" s="290">
        <v>785</v>
      </c>
      <c r="J166" s="290">
        <v>244</v>
      </c>
      <c r="K166" s="290">
        <v>61</v>
      </c>
      <c r="L166" s="290">
        <v>45</v>
      </c>
      <c r="M166" s="290">
        <v>472</v>
      </c>
      <c r="N166" s="290">
        <v>124</v>
      </c>
      <c r="O166" s="290">
        <v>56</v>
      </c>
      <c r="P166" s="624">
        <v>48964.072</v>
      </c>
      <c r="Q166" s="624">
        <v>15172.59466667</v>
      </c>
      <c r="R166" s="624">
        <v>42</v>
      </c>
      <c r="S166" s="290">
        <v>57</v>
      </c>
      <c r="T166" s="290">
        <v>474</v>
      </c>
      <c r="U166" s="958">
        <v>4.9025168585619472E-3</v>
      </c>
      <c r="V166" s="290">
        <v>3214.46239156</v>
      </c>
      <c r="W166" s="765">
        <v>0.71874391999999998</v>
      </c>
      <c r="X166" s="290">
        <v>800</v>
      </c>
      <c r="Y166" s="290"/>
      <c r="Z166" s="290">
        <f>innut22!E172</f>
        <v>171566.54555409704</v>
      </c>
      <c r="AA166" s="290">
        <v>0</v>
      </c>
      <c r="AB166" s="290">
        <v>96</v>
      </c>
      <c r="AC166" s="290">
        <v>617</v>
      </c>
      <c r="AD166" s="290"/>
      <c r="AE166" s="290">
        <v>0</v>
      </c>
      <c r="AF166" s="290">
        <v>0</v>
      </c>
      <c r="AG166" s="290">
        <v>5602</v>
      </c>
      <c r="AH166" s="290">
        <v>981</v>
      </c>
      <c r="AI166" s="290">
        <v>0</v>
      </c>
      <c r="AJ166" s="290">
        <v>0</v>
      </c>
      <c r="AK166" s="290">
        <v>0</v>
      </c>
      <c r="AL166" s="290">
        <v>0</v>
      </c>
      <c r="AM166" s="957">
        <v>3.6636000000000002E-2</v>
      </c>
      <c r="AN166" s="290">
        <v>6291</v>
      </c>
      <c r="AO166" s="290">
        <v>1200.06442505</v>
      </c>
      <c r="AP166" s="290">
        <v>0</v>
      </c>
      <c r="AQ166" s="290">
        <v>0</v>
      </c>
      <c r="AR166" s="290">
        <v>-270.24407767000002</v>
      </c>
      <c r="AS166" s="290">
        <v>1359</v>
      </c>
      <c r="AT166" s="290">
        <v>200</v>
      </c>
      <c r="AU166" s="290">
        <v>26</v>
      </c>
      <c r="AV166" s="766">
        <v>190982</v>
      </c>
      <c r="AW166" s="290"/>
      <c r="AX166" s="766">
        <v>41.666649999999997</v>
      </c>
      <c r="AY166" s="290">
        <v>1330</v>
      </c>
      <c r="AZ166" s="290">
        <v>216</v>
      </c>
      <c r="BA166" s="290">
        <v>63</v>
      </c>
      <c r="BB166" s="290">
        <v>0</v>
      </c>
      <c r="BC166" s="290">
        <v>9745</v>
      </c>
      <c r="BD166" s="290"/>
      <c r="BE166" s="290">
        <v>191700.14075352001</v>
      </c>
      <c r="BF166" s="290">
        <v>0</v>
      </c>
      <c r="BG166" s="290">
        <v>5040.6523546293547</v>
      </c>
      <c r="BH166" s="290">
        <v>271.57800441268364</v>
      </c>
      <c r="BI166" s="290">
        <v>1598</v>
      </c>
      <c r="BJ166" s="290"/>
      <c r="BK166" s="290"/>
      <c r="BL166" s="290"/>
      <c r="BM166" s="290">
        <v>0</v>
      </c>
      <c r="BN166" s="290">
        <v>2283.4317799999999</v>
      </c>
      <c r="BO166" s="290">
        <v>-2610.2722690942414</v>
      </c>
      <c r="BP166" s="290">
        <v>255.47900000000001</v>
      </c>
      <c r="BQ166" s="290">
        <v>-137.011</v>
      </c>
      <c r="BR166" s="290">
        <v>-115.20012548811061</v>
      </c>
      <c r="BS166" s="290">
        <v>1.1850000000000001</v>
      </c>
      <c r="BT166" s="290"/>
      <c r="BU166" s="290">
        <v>0</v>
      </c>
      <c r="BV166" s="290">
        <v>2500</v>
      </c>
      <c r="BW166" s="290">
        <v>-1286</v>
      </c>
      <c r="BX166" s="290">
        <v>733</v>
      </c>
      <c r="BY166" s="290">
        <v>148</v>
      </c>
      <c r="BZ166" s="290">
        <v>-978</v>
      </c>
      <c r="CA166" s="290">
        <v>195.38761458235217</v>
      </c>
      <c r="CB166" s="290">
        <v>238</v>
      </c>
      <c r="CC166" s="290">
        <v>728</v>
      </c>
      <c r="CD166" s="290">
        <v>9</v>
      </c>
      <c r="CE166" s="290">
        <v>206</v>
      </c>
      <c r="CF166" s="290">
        <v>10</v>
      </c>
      <c r="CG166" s="290">
        <v>1</v>
      </c>
      <c r="CH166" s="290">
        <v>-6</v>
      </c>
      <c r="CI166" s="290">
        <v>-2486</v>
      </c>
      <c r="CJ166" s="290">
        <v>-6590</v>
      </c>
      <c r="CK166" s="290">
        <f>+innut22!E172+innut22!S172</f>
        <v>171566.54555409704</v>
      </c>
      <c r="CL166" s="290">
        <v>0</v>
      </c>
      <c r="CM166" s="290">
        <v>0</v>
      </c>
      <c r="CN166" s="290">
        <v>0</v>
      </c>
      <c r="CP166" s="290">
        <f>+innut23!E172</f>
        <v>160604.92275564163</v>
      </c>
      <c r="CQ166" s="290"/>
      <c r="CV166" s="85">
        <f t="shared" si="3"/>
        <v>1.0369999999999999</v>
      </c>
    </row>
    <row r="167" spans="1:100" ht="13">
      <c r="A167" s="1">
        <v>3428</v>
      </c>
      <c r="B167" s="2" t="s">
        <v>842</v>
      </c>
      <c r="C167" s="289">
        <v>2445</v>
      </c>
      <c r="D167" s="290">
        <v>45</v>
      </c>
      <c r="E167" s="290">
        <v>104</v>
      </c>
      <c r="F167" s="290">
        <v>322</v>
      </c>
      <c r="G167" s="290">
        <v>213</v>
      </c>
      <c r="H167" s="290">
        <v>1280</v>
      </c>
      <c r="I167" s="290">
        <v>308</v>
      </c>
      <c r="J167" s="290">
        <v>108</v>
      </c>
      <c r="K167" s="290">
        <v>36</v>
      </c>
      <c r="L167" s="290">
        <v>21</v>
      </c>
      <c r="M167" s="290">
        <v>202</v>
      </c>
      <c r="N167" s="290">
        <v>27</v>
      </c>
      <c r="O167" s="290">
        <v>19</v>
      </c>
      <c r="P167" s="624">
        <v>10979.785</v>
      </c>
      <c r="Q167" s="624">
        <v>6559.8180000000002</v>
      </c>
      <c r="R167" s="624">
        <v>15</v>
      </c>
      <c r="S167" s="290">
        <v>22</v>
      </c>
      <c r="T167" s="290">
        <v>184</v>
      </c>
      <c r="U167" s="958">
        <v>2.9579228077261099E-3</v>
      </c>
      <c r="V167" s="290">
        <v>1511.49873867</v>
      </c>
      <c r="W167" s="765">
        <v>0.81224949999999996</v>
      </c>
      <c r="X167" s="290">
        <v>1000</v>
      </c>
      <c r="Y167" s="290"/>
      <c r="Z167" s="290">
        <f>innut22!E173</f>
        <v>74779.524691692568</v>
      </c>
      <c r="AA167" s="290">
        <v>0</v>
      </c>
      <c r="AB167" s="290">
        <v>47</v>
      </c>
      <c r="AC167" s="290">
        <v>0</v>
      </c>
      <c r="AD167" s="290"/>
      <c r="AE167" s="290">
        <v>0</v>
      </c>
      <c r="AF167" s="290">
        <v>0</v>
      </c>
      <c r="AG167" s="290">
        <v>2416</v>
      </c>
      <c r="AH167" s="290">
        <v>457</v>
      </c>
      <c r="AI167" s="290">
        <v>0</v>
      </c>
      <c r="AJ167" s="290">
        <v>0</v>
      </c>
      <c r="AK167" s="290">
        <v>0</v>
      </c>
      <c r="AL167" s="290">
        <v>0</v>
      </c>
      <c r="AM167" s="957">
        <v>1.4626490000000001E-2</v>
      </c>
      <c r="AN167" s="290">
        <v>0</v>
      </c>
      <c r="AO167" s="290">
        <v>564.29214090000005</v>
      </c>
      <c r="AP167" s="290">
        <v>0</v>
      </c>
      <c r="AQ167" s="290">
        <v>0</v>
      </c>
      <c r="AR167" s="290">
        <v>-116.54939158000001</v>
      </c>
      <c r="AS167" s="290">
        <v>596</v>
      </c>
      <c r="AT167" s="290">
        <v>100</v>
      </c>
      <c r="AU167" s="290">
        <v>9</v>
      </c>
      <c r="AV167" s="766">
        <v>100164</v>
      </c>
      <c r="AW167" s="290"/>
      <c r="AX167" s="766">
        <v>14.87495</v>
      </c>
      <c r="AY167" s="290">
        <v>448</v>
      </c>
      <c r="AZ167" s="290">
        <v>94</v>
      </c>
      <c r="BA167" s="290">
        <v>31</v>
      </c>
      <c r="BB167" s="290">
        <v>4827</v>
      </c>
      <c r="BC167" s="290">
        <v>4424</v>
      </c>
      <c r="BD167" s="290"/>
      <c r="BE167" s="290">
        <v>99525.251148290001</v>
      </c>
      <c r="BF167" s="290">
        <v>0</v>
      </c>
      <c r="BG167" s="290">
        <v>2208.2771917342366</v>
      </c>
      <c r="BH167" s="290">
        <v>118.97656706486499</v>
      </c>
      <c r="BI167" s="290">
        <v>457</v>
      </c>
      <c r="BJ167" s="290"/>
      <c r="BK167" s="290"/>
      <c r="BL167" s="290"/>
      <c r="BM167" s="290">
        <v>0</v>
      </c>
      <c r="BN167" s="290">
        <v>1073.7112</v>
      </c>
      <c r="BO167" s="290">
        <v>-1125.7439846718471</v>
      </c>
      <c r="BP167" s="290">
        <v>133.369</v>
      </c>
      <c r="BQ167" s="290">
        <v>-71.525000000000006</v>
      </c>
      <c r="BR167" s="290">
        <v>-54.391215328152853</v>
      </c>
      <c r="BS167" s="290">
        <v>0.57999999999999996</v>
      </c>
      <c r="BT167" s="290"/>
      <c r="BU167" s="290">
        <v>0</v>
      </c>
      <c r="BV167" s="290">
        <v>1000</v>
      </c>
      <c r="BW167" s="290">
        <v>-555</v>
      </c>
      <c r="BX167" s="290">
        <v>341</v>
      </c>
      <c r="BY167" s="290">
        <v>57</v>
      </c>
      <c r="BZ167" s="290">
        <v>-422</v>
      </c>
      <c r="CA167" s="290">
        <v>0</v>
      </c>
      <c r="CB167" s="290">
        <v>92</v>
      </c>
      <c r="CC167" s="290">
        <v>314</v>
      </c>
      <c r="CD167" s="290">
        <v>3</v>
      </c>
      <c r="CE167" s="290">
        <v>90</v>
      </c>
      <c r="CF167" s="290">
        <v>5</v>
      </c>
      <c r="CG167" s="290">
        <v>1</v>
      </c>
      <c r="CH167" s="290">
        <v>-3</v>
      </c>
      <c r="CI167" s="290">
        <v>-1089</v>
      </c>
      <c r="CJ167" s="290">
        <v>-2866</v>
      </c>
      <c r="CK167" s="290">
        <f>+innut22!E173+innut22!S173</f>
        <v>74779.524691692568</v>
      </c>
      <c r="CL167" s="290">
        <v>0</v>
      </c>
      <c r="CM167" s="290">
        <v>0</v>
      </c>
      <c r="CN167" s="290">
        <v>0</v>
      </c>
      <c r="CP167" s="290">
        <f>+innut23!E173</f>
        <v>69738.279576532383</v>
      </c>
      <c r="CQ167" s="290"/>
      <c r="CV167" s="85">
        <f t="shared" si="3"/>
        <v>0.44700000000000001</v>
      </c>
    </row>
    <row r="168" spans="1:100" ht="13">
      <c r="A168" s="1">
        <v>3429</v>
      </c>
      <c r="B168" s="2" t="s">
        <v>843</v>
      </c>
      <c r="C168" s="289">
        <v>1530</v>
      </c>
      <c r="D168" s="290">
        <v>13</v>
      </c>
      <c r="E168" s="290">
        <v>38</v>
      </c>
      <c r="F168" s="290">
        <v>158</v>
      </c>
      <c r="G168" s="290">
        <v>118</v>
      </c>
      <c r="H168" s="290">
        <v>805</v>
      </c>
      <c r="I168" s="290">
        <v>286</v>
      </c>
      <c r="J168" s="290">
        <v>101</v>
      </c>
      <c r="K168" s="290">
        <v>19</v>
      </c>
      <c r="L168" s="290">
        <v>12</v>
      </c>
      <c r="M168" s="290">
        <v>183</v>
      </c>
      <c r="N168" s="290">
        <v>5</v>
      </c>
      <c r="O168" s="290">
        <v>7</v>
      </c>
      <c r="P168" s="624">
        <v>9621.6696666700009</v>
      </c>
      <c r="Q168" s="624">
        <v>5605.85</v>
      </c>
      <c r="R168" s="624">
        <v>7</v>
      </c>
      <c r="S168" s="290">
        <v>14</v>
      </c>
      <c r="T168" s="290">
        <v>145</v>
      </c>
      <c r="U168" s="958">
        <v>2.6343778221043068E-3</v>
      </c>
      <c r="V168" s="290">
        <v>983.46895673999995</v>
      </c>
      <c r="W168" s="765">
        <v>1</v>
      </c>
      <c r="X168" s="290">
        <v>800</v>
      </c>
      <c r="Y168" s="290"/>
      <c r="Z168" s="290">
        <f>innut22!E174</f>
        <v>43336.656285180288</v>
      </c>
      <c r="AA168" s="290">
        <v>0</v>
      </c>
      <c r="AB168" s="290">
        <v>30</v>
      </c>
      <c r="AC168" s="290">
        <v>75</v>
      </c>
      <c r="AD168" s="290"/>
      <c r="AE168" s="290">
        <v>0</v>
      </c>
      <c r="AF168" s="290">
        <v>0</v>
      </c>
      <c r="AG168" s="290">
        <v>1538</v>
      </c>
      <c r="AH168" s="290">
        <v>208</v>
      </c>
      <c r="AI168" s="290">
        <v>500</v>
      </c>
      <c r="AJ168" s="290">
        <v>0</v>
      </c>
      <c r="AK168" s="290">
        <v>0</v>
      </c>
      <c r="AL168" s="290">
        <v>0</v>
      </c>
      <c r="AM168" s="957">
        <v>5.8585499999999997E-3</v>
      </c>
      <c r="AN168" s="290">
        <v>0</v>
      </c>
      <c r="AO168" s="290">
        <v>367.16127438000001</v>
      </c>
      <c r="AP168" s="290">
        <v>0</v>
      </c>
      <c r="AQ168" s="290">
        <v>0</v>
      </c>
      <c r="AR168" s="290">
        <v>1843.47856531</v>
      </c>
      <c r="AS168" s="290">
        <v>371</v>
      </c>
      <c r="AT168" s="290">
        <v>50</v>
      </c>
      <c r="AU168" s="290">
        <v>5</v>
      </c>
      <c r="AV168" s="766">
        <v>71683</v>
      </c>
      <c r="AW168" s="290"/>
      <c r="AX168" s="766">
        <v>-1.0000500000000001</v>
      </c>
      <c r="AY168" s="290">
        <v>321</v>
      </c>
      <c r="AZ168" s="290">
        <v>54</v>
      </c>
      <c r="BA168" s="290">
        <v>26</v>
      </c>
      <c r="BB168" s="290">
        <v>6034</v>
      </c>
      <c r="BC168" s="290">
        <v>2847</v>
      </c>
      <c r="BD168" s="290"/>
      <c r="BE168" s="290">
        <v>68904.78236487</v>
      </c>
      <c r="BF168" s="290">
        <v>0</v>
      </c>
      <c r="BG168" s="290">
        <v>1381.8667089379883</v>
      </c>
      <c r="BH168" s="290">
        <v>74.451594114209982</v>
      </c>
      <c r="BI168" s="290">
        <v>283</v>
      </c>
      <c r="BJ168" s="290"/>
      <c r="BK168" s="290"/>
      <c r="BL168" s="290"/>
      <c r="BM168" s="290">
        <v>0</v>
      </c>
      <c r="BN168" s="290">
        <v>698.61892</v>
      </c>
      <c r="BO168" s="290">
        <v>-716.63669222901524</v>
      </c>
      <c r="BP168" s="290">
        <v>47.082999999999998</v>
      </c>
      <c r="BQ168" s="290">
        <v>-25.25</v>
      </c>
      <c r="BR168" s="290">
        <v>-28.993755782908828</v>
      </c>
      <c r="BS168" s="290">
        <v>0.47199999999999998</v>
      </c>
      <c r="BT168" s="290"/>
      <c r="BU168" s="290">
        <v>0</v>
      </c>
      <c r="BV168" s="290">
        <v>500</v>
      </c>
      <c r="BW168" s="290">
        <v>-353</v>
      </c>
      <c r="BX168" s="290">
        <v>189</v>
      </c>
      <c r="BY168" s="290">
        <v>37</v>
      </c>
      <c r="BZ168" s="290">
        <v>-268</v>
      </c>
      <c r="CA168" s="290">
        <v>-0.293471988075936</v>
      </c>
      <c r="CB168" s="290">
        <v>59</v>
      </c>
      <c r="CC168" s="290">
        <v>200</v>
      </c>
      <c r="CD168" s="290">
        <v>2</v>
      </c>
      <c r="CE168" s="290">
        <v>56</v>
      </c>
      <c r="CF168" s="290">
        <v>4</v>
      </c>
      <c r="CG168" s="290">
        <v>0</v>
      </c>
      <c r="CH168" s="290">
        <v>-3</v>
      </c>
      <c r="CI168" s="290">
        <v>-681</v>
      </c>
      <c r="CJ168" s="290">
        <v>-1826</v>
      </c>
      <c r="CK168" s="290">
        <f>+innut22!E174+innut22!S174</f>
        <v>43336.656285180288</v>
      </c>
      <c r="CL168" s="290">
        <v>0</v>
      </c>
      <c r="CM168" s="290">
        <v>0</v>
      </c>
      <c r="CN168" s="290">
        <v>0</v>
      </c>
      <c r="CP168" s="290">
        <f>+innut23!E174</f>
        <v>39976.135093176068</v>
      </c>
      <c r="CQ168" s="290"/>
      <c r="CV168" s="85">
        <f t="shared" si="3"/>
        <v>0.28499999999999998</v>
      </c>
    </row>
    <row r="169" spans="1:100" ht="13">
      <c r="A169" s="1">
        <v>3430</v>
      </c>
      <c r="B169" s="2" t="s">
        <v>844</v>
      </c>
      <c r="C169" s="289">
        <v>1855</v>
      </c>
      <c r="D169" s="290">
        <v>39</v>
      </c>
      <c r="E169" s="290">
        <v>52</v>
      </c>
      <c r="F169" s="290">
        <v>161</v>
      </c>
      <c r="G169" s="290">
        <v>155</v>
      </c>
      <c r="H169" s="290">
        <v>1039</v>
      </c>
      <c r="I169" s="290">
        <v>299</v>
      </c>
      <c r="J169" s="290">
        <v>96</v>
      </c>
      <c r="K169" s="290">
        <v>23</v>
      </c>
      <c r="L169" s="290">
        <v>16</v>
      </c>
      <c r="M169" s="290">
        <v>159</v>
      </c>
      <c r="N169" s="290">
        <v>31</v>
      </c>
      <c r="O169" s="290">
        <v>25</v>
      </c>
      <c r="P169" s="624">
        <v>14534.712666670001</v>
      </c>
      <c r="Q169" s="624">
        <v>8070.1983333300004</v>
      </c>
      <c r="R169" s="624">
        <v>17</v>
      </c>
      <c r="S169" s="290">
        <v>20</v>
      </c>
      <c r="T169" s="290">
        <v>174</v>
      </c>
      <c r="U169" s="958">
        <v>2.7392588265822311E-3</v>
      </c>
      <c r="V169" s="290">
        <v>1153.3241644499999</v>
      </c>
      <c r="W169" s="765">
        <v>0.82600490000000004</v>
      </c>
      <c r="X169" s="290">
        <v>600</v>
      </c>
      <c r="Y169" s="290"/>
      <c r="Z169" s="290">
        <f>innut22!E175</f>
        <v>67299.252906402049</v>
      </c>
      <c r="AA169" s="290">
        <v>0</v>
      </c>
      <c r="AB169" s="290">
        <v>39</v>
      </c>
      <c r="AC169" s="290">
        <v>998</v>
      </c>
      <c r="AD169" s="290"/>
      <c r="AE169" s="290">
        <v>0</v>
      </c>
      <c r="AF169" s="290">
        <v>0</v>
      </c>
      <c r="AG169" s="290">
        <v>1864</v>
      </c>
      <c r="AH169" s="290">
        <v>259</v>
      </c>
      <c r="AI169" s="290">
        <v>800</v>
      </c>
      <c r="AJ169" s="290">
        <v>0</v>
      </c>
      <c r="AK169" s="290">
        <v>0</v>
      </c>
      <c r="AL169" s="290">
        <v>0</v>
      </c>
      <c r="AM169" s="957">
        <v>1.6574680000000001E-2</v>
      </c>
      <c r="AN169" s="290">
        <v>0</v>
      </c>
      <c r="AO169" s="290">
        <v>430.57380417000002</v>
      </c>
      <c r="AP169" s="290">
        <v>0</v>
      </c>
      <c r="AQ169" s="290">
        <v>0</v>
      </c>
      <c r="AR169" s="290">
        <v>-89.920557079999995</v>
      </c>
      <c r="AS169" s="290">
        <v>290</v>
      </c>
      <c r="AT169" s="290">
        <v>70</v>
      </c>
      <c r="AU169" s="290">
        <v>9</v>
      </c>
      <c r="AV169" s="766">
        <v>78868</v>
      </c>
      <c r="AW169" s="290"/>
      <c r="AX169" s="766">
        <v>19.916650000000001</v>
      </c>
      <c r="AY169" s="290">
        <v>422</v>
      </c>
      <c r="AZ169" s="290">
        <v>92</v>
      </c>
      <c r="BA169" s="290">
        <v>16</v>
      </c>
      <c r="BB169" s="290">
        <v>6034</v>
      </c>
      <c r="BC169" s="290">
        <v>3406</v>
      </c>
      <c r="BD169" s="290"/>
      <c r="BE169" s="290">
        <v>78361.580499939999</v>
      </c>
      <c r="BF169" s="290">
        <v>0</v>
      </c>
      <c r="BG169" s="290">
        <v>1675.4004869803714</v>
      </c>
      <c r="BH169" s="290">
        <v>90.26647521690164</v>
      </c>
      <c r="BI169" s="290">
        <v>1257</v>
      </c>
      <c r="BJ169" s="290"/>
      <c r="BK169" s="290"/>
      <c r="BL169" s="290"/>
      <c r="BM169" s="290">
        <v>0</v>
      </c>
      <c r="BN169" s="290">
        <v>819.27760000000012</v>
      </c>
      <c r="BO169" s="290">
        <v>-868.53757757794824</v>
      </c>
      <c r="BP169" s="290">
        <v>81.972999999999999</v>
      </c>
      <c r="BQ169" s="290">
        <v>-43.960999999999999</v>
      </c>
      <c r="BR169" s="290">
        <v>-31.996424975702411</v>
      </c>
      <c r="BS169" s="290">
        <v>0.501</v>
      </c>
      <c r="BT169" s="290"/>
      <c r="BU169" s="290">
        <v>0</v>
      </c>
      <c r="BV169" s="290">
        <v>1000</v>
      </c>
      <c r="BW169" s="290">
        <v>-428</v>
      </c>
      <c r="BX169" s="290">
        <v>199</v>
      </c>
      <c r="BY169" s="290">
        <v>52</v>
      </c>
      <c r="BZ169" s="290">
        <v>-325</v>
      </c>
      <c r="CA169" s="290">
        <v>116.74340255365053</v>
      </c>
      <c r="CB169" s="290">
        <v>83</v>
      </c>
      <c r="CC169" s="290">
        <v>242</v>
      </c>
      <c r="CD169" s="290">
        <v>3</v>
      </c>
      <c r="CE169" s="290">
        <v>68</v>
      </c>
      <c r="CF169" s="290">
        <v>4</v>
      </c>
      <c r="CG169" s="290">
        <v>0</v>
      </c>
      <c r="CH169" s="290">
        <v>-3</v>
      </c>
      <c r="CI169" s="290">
        <v>-826</v>
      </c>
      <c r="CJ169" s="290">
        <v>-2248</v>
      </c>
      <c r="CK169" s="290">
        <f>+innut22!E175+innut22!S175</f>
        <v>67299.252906402049</v>
      </c>
      <c r="CL169" s="290">
        <v>0</v>
      </c>
      <c r="CM169" s="290">
        <v>0</v>
      </c>
      <c r="CN169" s="290">
        <v>0</v>
      </c>
      <c r="CP169" s="290">
        <f>+innut23!E175</f>
        <v>62196.359816701734</v>
      </c>
      <c r="CQ169" s="290"/>
      <c r="CV169" s="85">
        <f t="shared" si="3"/>
        <v>0.34499999999999997</v>
      </c>
    </row>
    <row r="170" spans="1:100" ht="13">
      <c r="A170" s="1">
        <v>3431</v>
      </c>
      <c r="B170" s="2" t="s">
        <v>847</v>
      </c>
      <c r="C170" s="289">
        <v>2498</v>
      </c>
      <c r="D170" s="290">
        <v>51</v>
      </c>
      <c r="E170" s="290">
        <v>85</v>
      </c>
      <c r="F170" s="290">
        <v>213</v>
      </c>
      <c r="G170" s="290">
        <v>199</v>
      </c>
      <c r="H170" s="290">
        <v>1314</v>
      </c>
      <c r="I170" s="290">
        <v>446</v>
      </c>
      <c r="J170" s="290">
        <v>159</v>
      </c>
      <c r="K170" s="290">
        <v>36</v>
      </c>
      <c r="L170" s="290">
        <v>21</v>
      </c>
      <c r="M170" s="290">
        <v>290</v>
      </c>
      <c r="N170" s="290">
        <v>25</v>
      </c>
      <c r="O170" s="290">
        <v>17</v>
      </c>
      <c r="P170" s="624">
        <v>20087.232666669999</v>
      </c>
      <c r="Q170" s="624">
        <v>5372.6440000000002</v>
      </c>
      <c r="R170" s="624">
        <v>14</v>
      </c>
      <c r="S170" s="290">
        <v>26</v>
      </c>
      <c r="T170" s="290">
        <v>245</v>
      </c>
      <c r="U170" s="958">
        <v>2.4267325694401543E-3</v>
      </c>
      <c r="V170" s="290">
        <v>1502.8407296299999</v>
      </c>
      <c r="W170" s="765">
        <v>0.87215456000000002</v>
      </c>
      <c r="X170" s="290">
        <v>1000</v>
      </c>
      <c r="Y170" s="290"/>
      <c r="Z170" s="290">
        <f>innut22!E176</f>
        <v>71688.528951443135</v>
      </c>
      <c r="AA170" s="290">
        <v>0</v>
      </c>
      <c r="AB170" s="290">
        <v>50</v>
      </c>
      <c r="AC170" s="290">
        <v>0</v>
      </c>
      <c r="AD170" s="290"/>
      <c r="AE170" s="290">
        <v>0</v>
      </c>
      <c r="AF170" s="290">
        <v>0</v>
      </c>
      <c r="AG170" s="290">
        <v>2503</v>
      </c>
      <c r="AH170" s="290">
        <v>345</v>
      </c>
      <c r="AI170" s="290">
        <v>1000</v>
      </c>
      <c r="AJ170" s="290">
        <v>0</v>
      </c>
      <c r="AK170" s="290">
        <v>0</v>
      </c>
      <c r="AL170" s="290">
        <v>0</v>
      </c>
      <c r="AM170" s="957">
        <v>2.404129E-2</v>
      </c>
      <c r="AN170" s="290">
        <v>0</v>
      </c>
      <c r="AO170" s="290">
        <v>561.05982166000001</v>
      </c>
      <c r="AP170" s="290">
        <v>0</v>
      </c>
      <c r="AQ170" s="290">
        <v>0</v>
      </c>
      <c r="AR170" s="290">
        <v>1763.66535649</v>
      </c>
      <c r="AS170" s="290">
        <v>1641</v>
      </c>
      <c r="AT170" s="290">
        <v>129</v>
      </c>
      <c r="AU170" s="290">
        <v>14</v>
      </c>
      <c r="AV170" s="766">
        <v>99415</v>
      </c>
      <c r="AW170" s="290"/>
      <c r="AX170" s="766">
        <v>20.541699999999999</v>
      </c>
      <c r="AY170" s="290">
        <v>433</v>
      </c>
      <c r="AZ170" s="290">
        <v>84</v>
      </c>
      <c r="BA170" s="290">
        <v>36</v>
      </c>
      <c r="BB170" s="290">
        <v>6034</v>
      </c>
      <c r="BC170" s="290">
        <v>4384</v>
      </c>
      <c r="BD170" s="290"/>
      <c r="BE170" s="290">
        <v>96764.60411308</v>
      </c>
      <c r="BF170" s="290">
        <v>0</v>
      </c>
      <c r="BG170" s="290">
        <v>2256.1457770765323</v>
      </c>
      <c r="BH170" s="290">
        <v>121.5556092139193</v>
      </c>
      <c r="BI170" s="290">
        <v>345</v>
      </c>
      <c r="BJ170" s="290"/>
      <c r="BK170" s="290"/>
      <c r="BL170" s="290"/>
      <c r="BM170" s="290">
        <v>0</v>
      </c>
      <c r="BN170" s="290">
        <v>1067.5608800000002</v>
      </c>
      <c r="BO170" s="290">
        <v>-1166.2819510072984</v>
      </c>
      <c r="BP170" s="290">
        <v>117.685</v>
      </c>
      <c r="BQ170" s="290">
        <v>-63.113</v>
      </c>
      <c r="BR170" s="290">
        <v>-37.489928992701827</v>
      </c>
      <c r="BS170" s="290">
        <v>0.63900000000000001</v>
      </c>
      <c r="BT170" s="290"/>
      <c r="BU170" s="290">
        <v>0</v>
      </c>
      <c r="BV170" s="290">
        <v>1000</v>
      </c>
      <c r="BW170" s="290">
        <v>-575</v>
      </c>
      <c r="BX170" s="290">
        <v>245</v>
      </c>
      <c r="BY170" s="290">
        <v>67</v>
      </c>
      <c r="BZ170" s="290">
        <v>-437</v>
      </c>
      <c r="CA170" s="290">
        <v>0</v>
      </c>
      <c r="CB170" s="290">
        <v>108</v>
      </c>
      <c r="CC170" s="290">
        <v>325</v>
      </c>
      <c r="CD170" s="290">
        <v>4</v>
      </c>
      <c r="CE170" s="290">
        <v>92</v>
      </c>
      <c r="CF170" s="290">
        <v>5</v>
      </c>
      <c r="CG170" s="290">
        <v>0</v>
      </c>
      <c r="CH170" s="290">
        <v>-3</v>
      </c>
      <c r="CI170" s="290">
        <v>-1113</v>
      </c>
      <c r="CJ170" s="290">
        <v>-2996</v>
      </c>
      <c r="CK170" s="290">
        <f>+innut22!E176+innut22!S176</f>
        <v>71688.528951443135</v>
      </c>
      <c r="CL170" s="290">
        <v>0</v>
      </c>
      <c r="CM170" s="290">
        <v>0</v>
      </c>
      <c r="CN170" s="290">
        <v>0</v>
      </c>
      <c r="CP170" s="290">
        <f>+innut23!E176</f>
        <v>66694.049804484908</v>
      </c>
      <c r="CQ170" s="290"/>
      <c r="CV170" s="85">
        <f t="shared" si="3"/>
        <v>0.46300000000000002</v>
      </c>
    </row>
    <row r="171" spans="1:100" ht="13">
      <c r="A171" s="1">
        <v>3432</v>
      </c>
      <c r="B171" s="2" t="s">
        <v>848</v>
      </c>
      <c r="C171" s="289">
        <v>1986</v>
      </c>
      <c r="D171" s="290">
        <v>35</v>
      </c>
      <c r="E171" s="290">
        <v>73</v>
      </c>
      <c r="F171" s="290">
        <v>233</v>
      </c>
      <c r="G171" s="290">
        <v>174</v>
      </c>
      <c r="H171" s="290">
        <v>1022</v>
      </c>
      <c r="I171" s="290">
        <v>306</v>
      </c>
      <c r="J171" s="290">
        <v>99</v>
      </c>
      <c r="K171" s="290">
        <v>27</v>
      </c>
      <c r="L171" s="290">
        <v>17</v>
      </c>
      <c r="M171" s="290">
        <v>209</v>
      </c>
      <c r="N171" s="290">
        <v>6</v>
      </c>
      <c r="O171" s="290">
        <v>20</v>
      </c>
      <c r="P171" s="624">
        <v>25415.96</v>
      </c>
      <c r="Q171" s="624">
        <v>9047.7000000000007</v>
      </c>
      <c r="R171" s="624">
        <v>8</v>
      </c>
      <c r="S171" s="290">
        <v>15</v>
      </c>
      <c r="T171" s="290">
        <v>152</v>
      </c>
      <c r="U171" s="958">
        <v>3.7687543803630458E-3</v>
      </c>
      <c r="V171" s="290">
        <v>1279.97629734</v>
      </c>
      <c r="W171" s="765">
        <v>1</v>
      </c>
      <c r="X171" s="290">
        <v>0</v>
      </c>
      <c r="Y171" s="290"/>
      <c r="Z171" s="290">
        <f>innut22!E177</f>
        <v>59186.780391926637</v>
      </c>
      <c r="AA171" s="290">
        <v>0</v>
      </c>
      <c r="AB171" s="290">
        <v>15</v>
      </c>
      <c r="AC171" s="290">
        <v>412</v>
      </c>
      <c r="AD171" s="290"/>
      <c r="AE171" s="290">
        <v>0</v>
      </c>
      <c r="AF171" s="290">
        <v>0</v>
      </c>
      <c r="AG171" s="290">
        <v>1969</v>
      </c>
      <c r="AH171" s="290">
        <v>342</v>
      </c>
      <c r="AI171" s="290">
        <v>500</v>
      </c>
      <c r="AJ171" s="290">
        <v>0</v>
      </c>
      <c r="AK171" s="290">
        <v>0</v>
      </c>
      <c r="AL171" s="290">
        <v>0</v>
      </c>
      <c r="AM171" s="957">
        <v>1.4291399999999999E-2</v>
      </c>
      <c r="AN171" s="290">
        <v>0</v>
      </c>
      <c r="AO171" s="290">
        <v>477.85720665999997</v>
      </c>
      <c r="AP171" s="290">
        <v>0</v>
      </c>
      <c r="AQ171" s="290">
        <v>0</v>
      </c>
      <c r="AR171" s="290">
        <v>912.51181153000005</v>
      </c>
      <c r="AS171" s="290">
        <v>927</v>
      </c>
      <c r="AT171" s="290">
        <v>87</v>
      </c>
      <c r="AU171" s="290">
        <v>7</v>
      </c>
      <c r="AV171" s="766">
        <v>90358</v>
      </c>
      <c r="AW171" s="290"/>
      <c r="AX171" s="766">
        <v>14.50005</v>
      </c>
      <c r="AY171" s="290">
        <v>378</v>
      </c>
      <c r="AZ171" s="290">
        <v>92</v>
      </c>
      <c r="BA171" s="290">
        <v>24</v>
      </c>
      <c r="BB171" s="290">
        <v>6034</v>
      </c>
      <c r="BC171" s="290">
        <v>3664</v>
      </c>
      <c r="BD171" s="290"/>
      <c r="BE171" s="290">
        <v>88281.161534450002</v>
      </c>
      <c r="BF171" s="290">
        <v>0</v>
      </c>
      <c r="BG171" s="290">
        <v>1793.7171790528398</v>
      </c>
      <c r="BH171" s="290">
        <v>96.641088830601987</v>
      </c>
      <c r="BI171" s="290">
        <v>754</v>
      </c>
      <c r="BJ171" s="290"/>
      <c r="BK171" s="290"/>
      <c r="BL171" s="290"/>
      <c r="BM171" s="290">
        <v>0</v>
      </c>
      <c r="BN171" s="290">
        <v>909.24645999999996</v>
      </c>
      <c r="BO171" s="290">
        <v>-917.46270936211374</v>
      </c>
      <c r="BP171" s="290">
        <v>98.566999999999993</v>
      </c>
      <c r="BQ171" s="290">
        <v>-52.860999999999997</v>
      </c>
      <c r="BR171" s="290">
        <v>-43.450817761130629</v>
      </c>
      <c r="BS171" s="290">
        <v>0.57099999999999995</v>
      </c>
      <c r="BT171" s="290"/>
      <c r="BU171" s="290">
        <v>0</v>
      </c>
      <c r="BV171" s="290">
        <v>1000</v>
      </c>
      <c r="BW171" s="290">
        <v>-452</v>
      </c>
      <c r="BX171" s="290">
        <v>275</v>
      </c>
      <c r="BY171" s="290">
        <v>40</v>
      </c>
      <c r="BZ171" s="290">
        <v>-344</v>
      </c>
      <c r="CA171" s="290">
        <v>-1.6099328767555789</v>
      </c>
      <c r="CB171" s="290">
        <v>65</v>
      </c>
      <c r="CC171" s="290">
        <v>256</v>
      </c>
      <c r="CD171" s="290">
        <v>2</v>
      </c>
      <c r="CE171" s="290">
        <v>73</v>
      </c>
      <c r="CF171" s="290">
        <v>5</v>
      </c>
      <c r="CG171" s="290">
        <v>0</v>
      </c>
      <c r="CH171" s="290">
        <v>-3</v>
      </c>
      <c r="CI171" s="290">
        <v>-885</v>
      </c>
      <c r="CJ171" s="290">
        <v>-2355</v>
      </c>
      <c r="CK171" s="290">
        <f>+innut22!E177+innut22!S177</f>
        <v>59186.780391926637</v>
      </c>
      <c r="CL171" s="290">
        <v>0</v>
      </c>
      <c r="CM171" s="290">
        <v>0</v>
      </c>
      <c r="CN171" s="290">
        <v>0</v>
      </c>
      <c r="CP171" s="290">
        <f>+innut23!E177</f>
        <v>54918.664346500984</v>
      </c>
      <c r="CQ171" s="290"/>
      <c r="CV171" s="85">
        <f t="shared" si="3"/>
        <v>0.36499999999999999</v>
      </c>
    </row>
    <row r="172" spans="1:100" ht="13">
      <c r="A172" s="1">
        <v>3433</v>
      </c>
      <c r="B172" s="2" t="s">
        <v>849</v>
      </c>
      <c r="C172" s="289">
        <v>2151</v>
      </c>
      <c r="D172" s="290">
        <v>31</v>
      </c>
      <c r="E172" s="290">
        <v>74</v>
      </c>
      <c r="F172" s="290">
        <v>201</v>
      </c>
      <c r="G172" s="290">
        <v>192</v>
      </c>
      <c r="H172" s="290">
        <v>1155</v>
      </c>
      <c r="I172" s="290">
        <v>374</v>
      </c>
      <c r="J172" s="290">
        <v>123</v>
      </c>
      <c r="K172" s="290">
        <v>26</v>
      </c>
      <c r="L172" s="290">
        <v>16</v>
      </c>
      <c r="M172" s="290">
        <v>241</v>
      </c>
      <c r="N172" s="290">
        <v>19</v>
      </c>
      <c r="O172" s="290">
        <v>9</v>
      </c>
      <c r="P172" s="624">
        <v>12282.77266667</v>
      </c>
      <c r="Q172" s="624">
        <v>6545.6703333300002</v>
      </c>
      <c r="R172" s="624">
        <v>7</v>
      </c>
      <c r="S172" s="290">
        <v>22</v>
      </c>
      <c r="T172" s="290">
        <v>192</v>
      </c>
      <c r="U172" s="958">
        <v>3.3014292676564845E-3</v>
      </c>
      <c r="V172" s="290">
        <v>1166.88660282</v>
      </c>
      <c r="W172" s="765">
        <v>0.94637923999999995</v>
      </c>
      <c r="X172" s="290">
        <v>0</v>
      </c>
      <c r="Y172" s="290"/>
      <c r="Z172" s="290">
        <f>innut22!E178</f>
        <v>71779.66540455744</v>
      </c>
      <c r="AA172" s="290">
        <v>0</v>
      </c>
      <c r="AB172" s="290">
        <v>43</v>
      </c>
      <c r="AC172" s="290">
        <v>25</v>
      </c>
      <c r="AD172" s="290"/>
      <c r="AE172" s="290">
        <v>0</v>
      </c>
      <c r="AF172" s="290">
        <v>0</v>
      </c>
      <c r="AG172" s="290">
        <v>2176</v>
      </c>
      <c r="AH172" s="290">
        <v>326</v>
      </c>
      <c r="AI172" s="290">
        <v>650</v>
      </c>
      <c r="AJ172" s="290">
        <v>0</v>
      </c>
      <c r="AK172" s="290">
        <v>0</v>
      </c>
      <c r="AL172" s="290">
        <v>0</v>
      </c>
      <c r="AM172" s="957">
        <v>2.4778149999999999E-2</v>
      </c>
      <c r="AN172" s="290">
        <v>0</v>
      </c>
      <c r="AO172" s="290">
        <v>474.38905847000001</v>
      </c>
      <c r="AP172" s="290">
        <v>0</v>
      </c>
      <c r="AQ172" s="290">
        <v>0</v>
      </c>
      <c r="AR172" s="290">
        <v>-84.653546230000003</v>
      </c>
      <c r="AS172" s="290">
        <v>700</v>
      </c>
      <c r="AT172" s="290">
        <v>96</v>
      </c>
      <c r="AU172" s="290">
        <v>15</v>
      </c>
      <c r="AV172" s="766">
        <v>80896</v>
      </c>
      <c r="AW172" s="290"/>
      <c r="AX172" s="766">
        <v>7.5833500000000003</v>
      </c>
      <c r="AY172" s="290">
        <v>399</v>
      </c>
      <c r="AZ172" s="290">
        <v>82</v>
      </c>
      <c r="BA172" s="290">
        <v>36</v>
      </c>
      <c r="BB172" s="290">
        <v>6034</v>
      </c>
      <c r="BC172" s="290">
        <v>3873</v>
      </c>
      <c r="BD172" s="290"/>
      <c r="BE172" s="290">
        <v>79893.792182749996</v>
      </c>
      <c r="BF172" s="290">
        <v>0</v>
      </c>
      <c r="BG172" s="290">
        <v>1942.7420202128189</v>
      </c>
      <c r="BH172" s="290">
        <v>104.67018231350698</v>
      </c>
      <c r="BI172" s="290">
        <v>351</v>
      </c>
      <c r="BJ172" s="290"/>
      <c r="BK172" s="290"/>
      <c r="BL172" s="290"/>
      <c r="BM172" s="290">
        <v>0</v>
      </c>
      <c r="BN172" s="290">
        <v>902.6474199999999</v>
      </c>
      <c r="BO172" s="290">
        <v>-1013.9151120223258</v>
      </c>
      <c r="BP172" s="290">
        <v>94.293999999999997</v>
      </c>
      <c r="BQ172" s="290">
        <v>-50.569000000000003</v>
      </c>
      <c r="BR172" s="290">
        <v>-36.936923184766528</v>
      </c>
      <c r="BS172" s="290">
        <v>0.57799999999999996</v>
      </c>
      <c r="BT172" s="290"/>
      <c r="BU172" s="290">
        <v>0</v>
      </c>
      <c r="BV172" s="290">
        <v>500</v>
      </c>
      <c r="BW172" s="290">
        <v>-500</v>
      </c>
      <c r="BX172" s="290">
        <v>230</v>
      </c>
      <c r="BY172" s="290">
        <v>56</v>
      </c>
      <c r="BZ172" s="290">
        <v>-380</v>
      </c>
      <c r="CA172" s="290">
        <v>-9.8384792907523888E-2</v>
      </c>
      <c r="CB172" s="290">
        <v>90</v>
      </c>
      <c r="CC172" s="290">
        <v>283</v>
      </c>
      <c r="CD172" s="290">
        <v>3</v>
      </c>
      <c r="CE172" s="290">
        <v>79</v>
      </c>
      <c r="CF172" s="290">
        <v>5</v>
      </c>
      <c r="CG172" s="290">
        <v>0</v>
      </c>
      <c r="CH172" s="290">
        <v>-3</v>
      </c>
      <c r="CI172" s="290">
        <v>-958</v>
      </c>
      <c r="CJ172" s="290">
        <v>-2615</v>
      </c>
      <c r="CK172" s="290">
        <f>+innut22!E178+innut22!S178</f>
        <v>71779.66540455744</v>
      </c>
      <c r="CL172" s="290">
        <v>0</v>
      </c>
      <c r="CM172" s="290">
        <v>0</v>
      </c>
      <c r="CN172" s="290">
        <v>0</v>
      </c>
      <c r="CP172" s="290">
        <f>+innut23!E178</f>
        <v>67167.740513942801</v>
      </c>
      <c r="CQ172" s="290"/>
      <c r="CV172" s="85">
        <f t="shared" si="3"/>
        <v>0.40300000000000002</v>
      </c>
    </row>
    <row r="173" spans="1:100" ht="13">
      <c r="A173" s="1">
        <v>3434</v>
      </c>
      <c r="B173" s="2" t="s">
        <v>850</v>
      </c>
      <c r="C173" s="289">
        <v>2211</v>
      </c>
      <c r="D173" s="290">
        <v>30</v>
      </c>
      <c r="E173" s="290">
        <v>74</v>
      </c>
      <c r="F173" s="290">
        <v>226</v>
      </c>
      <c r="G173" s="290">
        <v>179</v>
      </c>
      <c r="H173" s="290">
        <v>1197</v>
      </c>
      <c r="I173" s="290">
        <v>347</v>
      </c>
      <c r="J173" s="290">
        <v>130</v>
      </c>
      <c r="K173" s="290">
        <v>28</v>
      </c>
      <c r="L173" s="290">
        <v>17</v>
      </c>
      <c r="M173" s="290">
        <v>229</v>
      </c>
      <c r="N173" s="290">
        <v>12</v>
      </c>
      <c r="O173" s="290">
        <v>7</v>
      </c>
      <c r="P173" s="624">
        <v>16267.867333329999</v>
      </c>
      <c r="Q173" s="624">
        <v>7054.1516666699999</v>
      </c>
      <c r="R173" s="624">
        <v>11</v>
      </c>
      <c r="S173" s="290">
        <v>20</v>
      </c>
      <c r="T173" s="290">
        <v>187</v>
      </c>
      <c r="U173" s="958">
        <v>3.1749887148353629E-3</v>
      </c>
      <c r="V173" s="290">
        <v>1325.9627419200001</v>
      </c>
      <c r="W173" s="765">
        <v>0.86740729000000005</v>
      </c>
      <c r="X173" s="290">
        <v>0</v>
      </c>
      <c r="Y173" s="290"/>
      <c r="Z173" s="290">
        <f>innut22!E179</f>
        <v>64186.412316734808</v>
      </c>
      <c r="AA173" s="290">
        <v>0</v>
      </c>
      <c r="AB173" s="290">
        <v>34</v>
      </c>
      <c r="AC173" s="290">
        <v>0</v>
      </c>
      <c r="AD173" s="290"/>
      <c r="AE173" s="290">
        <v>0</v>
      </c>
      <c r="AF173" s="290">
        <v>0</v>
      </c>
      <c r="AG173" s="290">
        <v>2211</v>
      </c>
      <c r="AH173" s="290">
        <v>333</v>
      </c>
      <c r="AI173" s="290">
        <v>0</v>
      </c>
      <c r="AJ173" s="290">
        <v>0</v>
      </c>
      <c r="AK173" s="290">
        <v>0</v>
      </c>
      <c r="AL173" s="290">
        <v>0</v>
      </c>
      <c r="AM173" s="957">
        <v>2.2696319999999999E-2</v>
      </c>
      <c r="AN173" s="290">
        <v>0</v>
      </c>
      <c r="AO173" s="290">
        <v>495.02545735000001</v>
      </c>
      <c r="AP173" s="290">
        <v>0</v>
      </c>
      <c r="AQ173" s="290">
        <v>0</v>
      </c>
      <c r="AR173" s="290">
        <v>-106.66005993</v>
      </c>
      <c r="AS173" s="290">
        <v>716</v>
      </c>
      <c r="AT173" s="290">
        <v>75</v>
      </c>
      <c r="AU173" s="290">
        <v>15</v>
      </c>
      <c r="AV173" s="766">
        <v>85844</v>
      </c>
      <c r="AW173" s="290"/>
      <c r="AX173" s="766">
        <v>5.5416499999999997</v>
      </c>
      <c r="AY173" s="290">
        <v>427</v>
      </c>
      <c r="AZ173" s="290">
        <v>98</v>
      </c>
      <c r="BA173" s="290">
        <v>41</v>
      </c>
      <c r="BB173" s="290">
        <v>6034</v>
      </c>
      <c r="BC173" s="290">
        <v>3945</v>
      </c>
      <c r="BD173" s="290"/>
      <c r="BE173" s="290">
        <v>85146.902538020004</v>
      </c>
      <c r="BF173" s="290">
        <v>0</v>
      </c>
      <c r="BG173" s="290">
        <v>1996.9328715437205</v>
      </c>
      <c r="BH173" s="290">
        <v>107.58985267092697</v>
      </c>
      <c r="BI173" s="290">
        <v>333</v>
      </c>
      <c r="BJ173" s="290"/>
      <c r="BK173" s="290"/>
      <c r="BL173" s="290"/>
      <c r="BM173" s="290">
        <v>0</v>
      </c>
      <c r="BN173" s="290">
        <v>941.91347999999994</v>
      </c>
      <c r="BO173" s="290">
        <v>-1030.2234892837143</v>
      </c>
      <c r="BP173" s="290">
        <v>93.244</v>
      </c>
      <c r="BQ173" s="290">
        <v>-50.006</v>
      </c>
      <c r="BR173" s="290">
        <v>-39.500990716285592</v>
      </c>
      <c r="BS173" s="290">
        <v>0.57299999999999995</v>
      </c>
      <c r="BT173" s="290"/>
      <c r="BU173" s="290">
        <v>0</v>
      </c>
      <c r="BV173" s="290">
        <v>1000</v>
      </c>
      <c r="BW173" s="290">
        <v>-508</v>
      </c>
      <c r="BX173" s="290">
        <v>253</v>
      </c>
      <c r="BY173" s="290">
        <v>53</v>
      </c>
      <c r="BZ173" s="290">
        <v>-386</v>
      </c>
      <c r="CA173" s="290">
        <v>0</v>
      </c>
      <c r="CB173" s="290">
        <v>85</v>
      </c>
      <c r="CC173" s="290">
        <v>288</v>
      </c>
      <c r="CD173" s="290">
        <v>3</v>
      </c>
      <c r="CE173" s="290">
        <v>82</v>
      </c>
      <c r="CF173" s="290">
        <v>5</v>
      </c>
      <c r="CG173" s="290">
        <v>0</v>
      </c>
      <c r="CH173" s="290">
        <v>-3</v>
      </c>
      <c r="CI173" s="290">
        <v>-985</v>
      </c>
      <c r="CJ173" s="290">
        <v>-2591</v>
      </c>
      <c r="CK173" s="290">
        <f>+innut22!E179+innut22!S179</f>
        <v>64186.412316734808</v>
      </c>
      <c r="CL173" s="290">
        <v>0</v>
      </c>
      <c r="CM173" s="290">
        <v>0</v>
      </c>
      <c r="CN173" s="290">
        <v>0</v>
      </c>
      <c r="CP173" s="290">
        <f>+innut23!E179</f>
        <v>60417.319249286047</v>
      </c>
      <c r="CQ173" s="290"/>
      <c r="CV173" s="85">
        <f t="shared" si="3"/>
        <v>0.40899999999999997</v>
      </c>
    </row>
    <row r="174" spans="1:100" ht="13">
      <c r="A174" s="1">
        <v>3435</v>
      </c>
      <c r="B174" s="2" t="s">
        <v>851</v>
      </c>
      <c r="C174" s="289">
        <v>3591</v>
      </c>
      <c r="D174" s="290">
        <v>60</v>
      </c>
      <c r="E174" s="290">
        <v>118</v>
      </c>
      <c r="F174" s="290">
        <v>411</v>
      </c>
      <c r="G174" s="290">
        <v>293</v>
      </c>
      <c r="H174" s="290">
        <v>1899</v>
      </c>
      <c r="I174" s="290">
        <v>561</v>
      </c>
      <c r="J174" s="290">
        <v>196</v>
      </c>
      <c r="K174" s="290">
        <v>44</v>
      </c>
      <c r="L174" s="290">
        <v>34</v>
      </c>
      <c r="M174" s="290">
        <v>364</v>
      </c>
      <c r="N174" s="290">
        <v>38</v>
      </c>
      <c r="O174" s="290">
        <v>25</v>
      </c>
      <c r="P174" s="624">
        <v>21170.616000000002</v>
      </c>
      <c r="Q174" s="624">
        <v>12252.170333329999</v>
      </c>
      <c r="R174" s="624">
        <v>23</v>
      </c>
      <c r="S174" s="290">
        <v>34</v>
      </c>
      <c r="T174" s="290">
        <v>284</v>
      </c>
      <c r="U174" s="958">
        <v>3.9628426534999922E-3</v>
      </c>
      <c r="V174" s="290">
        <v>2113.0286964400002</v>
      </c>
      <c r="W174" s="765">
        <v>0.76956301999999999</v>
      </c>
      <c r="X174" s="290">
        <v>0</v>
      </c>
      <c r="Y174" s="290"/>
      <c r="Z174" s="290">
        <f>innut22!E180</f>
        <v>105654.7417666681</v>
      </c>
      <c r="AA174" s="290">
        <v>0</v>
      </c>
      <c r="AB174" s="290">
        <v>81</v>
      </c>
      <c r="AC174" s="290">
        <v>0</v>
      </c>
      <c r="AD174" s="290"/>
      <c r="AE174" s="290">
        <v>0</v>
      </c>
      <c r="AF174" s="290">
        <v>0</v>
      </c>
      <c r="AG174" s="290">
        <v>3582</v>
      </c>
      <c r="AH174" s="290">
        <v>579</v>
      </c>
      <c r="AI174" s="290">
        <v>700</v>
      </c>
      <c r="AJ174" s="290">
        <v>0</v>
      </c>
      <c r="AK174" s="290">
        <v>0</v>
      </c>
      <c r="AL174" s="290">
        <v>0</v>
      </c>
      <c r="AM174" s="957">
        <v>3.127311E-2</v>
      </c>
      <c r="AN174" s="290">
        <v>5523</v>
      </c>
      <c r="AO174" s="290">
        <v>788.86303798999995</v>
      </c>
      <c r="AP174" s="290">
        <v>0</v>
      </c>
      <c r="AQ174" s="290">
        <v>0</v>
      </c>
      <c r="AR174" s="290">
        <v>-172.7979804</v>
      </c>
      <c r="AS174" s="290">
        <v>502</v>
      </c>
      <c r="AT174" s="290">
        <v>149</v>
      </c>
      <c r="AU174" s="290">
        <v>31</v>
      </c>
      <c r="AV174" s="766">
        <v>129440</v>
      </c>
      <c r="AW174" s="290"/>
      <c r="AX174" s="766">
        <v>13.083349999999999</v>
      </c>
      <c r="AY174" s="290">
        <v>635</v>
      </c>
      <c r="AZ174" s="290">
        <v>86</v>
      </c>
      <c r="BA174" s="290">
        <v>56</v>
      </c>
      <c r="BB174" s="290">
        <v>0</v>
      </c>
      <c r="BC174" s="290">
        <v>6580</v>
      </c>
      <c r="BD174" s="290"/>
      <c r="BE174" s="290">
        <v>129714.13407099999</v>
      </c>
      <c r="BF174" s="290">
        <v>0</v>
      </c>
      <c r="BG174" s="290">
        <v>3243.3224521544548</v>
      </c>
      <c r="BH174" s="290">
        <v>174.74227089158697</v>
      </c>
      <c r="BI174" s="290">
        <v>579</v>
      </c>
      <c r="BJ174" s="290"/>
      <c r="BK174" s="290"/>
      <c r="BL174" s="290"/>
      <c r="BM174" s="290">
        <v>0</v>
      </c>
      <c r="BN174" s="290">
        <v>1501.0152000000003</v>
      </c>
      <c r="BO174" s="290">
        <v>-1669.0459242941042</v>
      </c>
      <c r="BP174" s="290">
        <v>151.167</v>
      </c>
      <c r="BQ174" s="290">
        <v>-81.069999999999993</v>
      </c>
      <c r="BR174" s="290">
        <v>-68.343036475127292</v>
      </c>
      <c r="BS174" s="290">
        <v>0.82099999999999995</v>
      </c>
      <c r="BT174" s="290"/>
      <c r="BU174" s="290">
        <v>0</v>
      </c>
      <c r="BV174" s="290">
        <v>1500</v>
      </c>
      <c r="BW174" s="290">
        <v>-823</v>
      </c>
      <c r="BX174" s="290">
        <v>437</v>
      </c>
      <c r="BY174" s="290">
        <v>89</v>
      </c>
      <c r="BZ174" s="290">
        <v>-625</v>
      </c>
      <c r="CA174" s="290">
        <v>62.455760769231247</v>
      </c>
      <c r="CB174" s="290">
        <v>144</v>
      </c>
      <c r="CC174" s="290">
        <v>466</v>
      </c>
      <c r="CD174" s="290">
        <v>5</v>
      </c>
      <c r="CE174" s="290">
        <v>132</v>
      </c>
      <c r="CF174" s="290">
        <v>7</v>
      </c>
      <c r="CG174" s="290">
        <v>1</v>
      </c>
      <c r="CH174" s="290">
        <v>-4</v>
      </c>
      <c r="CI174" s="290">
        <v>-1599</v>
      </c>
      <c r="CJ174" s="290">
        <v>-4214</v>
      </c>
      <c r="CK174" s="290">
        <f>+innut22!E180+innut22!S180</f>
        <v>105654.7417666681</v>
      </c>
      <c r="CL174" s="290">
        <v>0</v>
      </c>
      <c r="CM174" s="290">
        <v>0</v>
      </c>
      <c r="CN174" s="290">
        <v>0</v>
      </c>
      <c r="CP174" s="290">
        <f>+innut23!E180</f>
        <v>98928.123028813148</v>
      </c>
      <c r="CQ174" s="290"/>
      <c r="CV174" s="85">
        <f t="shared" si="3"/>
        <v>0.66300000000000003</v>
      </c>
    </row>
    <row r="175" spans="1:100" ht="13">
      <c r="A175" s="1">
        <v>3436</v>
      </c>
      <c r="B175" s="2" t="s">
        <v>852</v>
      </c>
      <c r="C175" s="289">
        <v>5628</v>
      </c>
      <c r="D175" s="290">
        <v>88</v>
      </c>
      <c r="E175" s="290">
        <v>199</v>
      </c>
      <c r="F175" s="290">
        <v>578</v>
      </c>
      <c r="G175" s="290">
        <v>501</v>
      </c>
      <c r="H175" s="290">
        <v>3015</v>
      </c>
      <c r="I175" s="290">
        <v>921</v>
      </c>
      <c r="J175" s="290">
        <v>307</v>
      </c>
      <c r="K175" s="290">
        <v>56</v>
      </c>
      <c r="L175" s="290">
        <v>43</v>
      </c>
      <c r="M175" s="290">
        <v>649</v>
      </c>
      <c r="N175" s="290">
        <v>91</v>
      </c>
      <c r="O175" s="290">
        <v>59</v>
      </c>
      <c r="P175" s="624">
        <v>45756.556666670003</v>
      </c>
      <c r="Q175" s="624">
        <v>13209.063666669999</v>
      </c>
      <c r="R175" s="624">
        <v>40</v>
      </c>
      <c r="S175" s="290">
        <v>65</v>
      </c>
      <c r="T175" s="290">
        <v>525</v>
      </c>
      <c r="U175" s="958">
        <v>4.3889311988878407E-3</v>
      </c>
      <c r="V175" s="290">
        <v>3025.1962586099999</v>
      </c>
      <c r="W175" s="765">
        <v>0.66325537999999995</v>
      </c>
      <c r="X175" s="290">
        <v>600</v>
      </c>
      <c r="Y175" s="290"/>
      <c r="Z175" s="290">
        <f>innut22!E181</f>
        <v>195336.12909134358</v>
      </c>
      <c r="AA175" s="290">
        <v>0</v>
      </c>
      <c r="AB175" s="290">
        <v>146</v>
      </c>
      <c r="AC175" s="290">
        <v>209</v>
      </c>
      <c r="AD175" s="290"/>
      <c r="AE175" s="290">
        <v>0</v>
      </c>
      <c r="AF175" s="290">
        <v>0</v>
      </c>
      <c r="AG175" s="290">
        <v>5665</v>
      </c>
      <c r="AH175" s="290">
        <v>886</v>
      </c>
      <c r="AI175" s="290">
        <v>0</v>
      </c>
      <c r="AJ175" s="290">
        <v>0</v>
      </c>
      <c r="AK175" s="290">
        <v>0</v>
      </c>
      <c r="AL175" s="290">
        <v>0</v>
      </c>
      <c r="AM175" s="957">
        <v>9.5781409999999997E-2</v>
      </c>
      <c r="AN175" s="290">
        <v>8056</v>
      </c>
      <c r="AO175" s="290">
        <v>1206.9090599900001</v>
      </c>
      <c r="AP175" s="290">
        <v>0</v>
      </c>
      <c r="AQ175" s="290">
        <v>0</v>
      </c>
      <c r="AR175" s="290">
        <v>-273.28323812999997</v>
      </c>
      <c r="AS175" s="290">
        <v>1075</v>
      </c>
      <c r="AT175" s="290">
        <v>260</v>
      </c>
      <c r="AU175" s="290">
        <v>55</v>
      </c>
      <c r="AV175" s="766">
        <v>195707</v>
      </c>
      <c r="AW175" s="290"/>
      <c r="AX175" s="766">
        <v>34.333300000000001</v>
      </c>
      <c r="AY175" s="290">
        <v>1004</v>
      </c>
      <c r="AZ175" s="290">
        <v>218</v>
      </c>
      <c r="BA175" s="290">
        <v>102</v>
      </c>
      <c r="BB175" s="290">
        <v>0</v>
      </c>
      <c r="BC175" s="290">
        <v>9801</v>
      </c>
      <c r="BD175" s="290"/>
      <c r="BE175" s="290">
        <v>192575.63842472</v>
      </c>
      <c r="BF175" s="290">
        <v>0</v>
      </c>
      <c r="BG175" s="290">
        <v>5083.1018548385618</v>
      </c>
      <c r="BH175" s="290">
        <v>273.86507952599601</v>
      </c>
      <c r="BI175" s="290">
        <v>1095</v>
      </c>
      <c r="BJ175" s="290"/>
      <c r="BK175" s="290"/>
      <c r="BL175" s="290"/>
      <c r="BM175" s="290">
        <v>0</v>
      </c>
      <c r="BN175" s="290">
        <v>2296.4554600000001</v>
      </c>
      <c r="BO175" s="290">
        <v>-2639.6273481647404</v>
      </c>
      <c r="BP175" s="290">
        <v>263.678</v>
      </c>
      <c r="BQ175" s="290">
        <v>-141.40899999999999</v>
      </c>
      <c r="BR175" s="290">
        <v>-96.487619050847798</v>
      </c>
      <c r="BS175" s="290">
        <v>1.208</v>
      </c>
      <c r="BT175" s="290"/>
      <c r="BU175" s="290">
        <v>0</v>
      </c>
      <c r="BV175" s="290">
        <v>2500</v>
      </c>
      <c r="BW175" s="290">
        <v>-1301</v>
      </c>
      <c r="BX175" s="290">
        <v>615</v>
      </c>
      <c r="BY175" s="290">
        <v>168</v>
      </c>
      <c r="BZ175" s="290">
        <v>-989</v>
      </c>
      <c r="CA175" s="290">
        <v>-0.81749278441199635</v>
      </c>
      <c r="CB175" s="290">
        <v>270</v>
      </c>
      <c r="CC175" s="290">
        <v>737</v>
      </c>
      <c r="CD175" s="290">
        <v>10</v>
      </c>
      <c r="CE175" s="290">
        <v>207</v>
      </c>
      <c r="CF175" s="290">
        <v>10</v>
      </c>
      <c r="CG175" s="290">
        <v>1</v>
      </c>
      <c r="CH175" s="290">
        <v>-6</v>
      </c>
      <c r="CI175" s="290">
        <v>-2507</v>
      </c>
      <c r="CJ175" s="290">
        <v>-6969</v>
      </c>
      <c r="CK175" s="290">
        <f>+innut22!E181+innut22!S181</f>
        <v>195336.12909134358</v>
      </c>
      <c r="CL175" s="290">
        <v>0</v>
      </c>
      <c r="CM175" s="290">
        <v>0</v>
      </c>
      <c r="CN175" s="290">
        <v>0</v>
      </c>
      <c r="CP175" s="290">
        <f>+innut23!E181</f>
        <v>179159.9685417343</v>
      </c>
      <c r="CQ175" s="290"/>
      <c r="CV175" s="85">
        <f t="shared" si="3"/>
        <v>1.0489999999999999</v>
      </c>
    </row>
    <row r="176" spans="1:100" ht="13">
      <c r="A176" s="1">
        <v>3437</v>
      </c>
      <c r="B176" s="2" t="s">
        <v>853</v>
      </c>
      <c r="C176" s="289">
        <v>5531</v>
      </c>
      <c r="D176" s="290">
        <v>67</v>
      </c>
      <c r="E176" s="290">
        <v>184</v>
      </c>
      <c r="F176" s="290">
        <v>571</v>
      </c>
      <c r="G176" s="290">
        <v>455</v>
      </c>
      <c r="H176" s="290">
        <v>3003</v>
      </c>
      <c r="I176" s="290">
        <v>888</v>
      </c>
      <c r="J176" s="290">
        <v>310</v>
      </c>
      <c r="K176" s="290">
        <v>75</v>
      </c>
      <c r="L176" s="290">
        <v>44</v>
      </c>
      <c r="M176" s="290">
        <v>559</v>
      </c>
      <c r="N176" s="290">
        <v>51</v>
      </c>
      <c r="O176" s="290">
        <v>37</v>
      </c>
      <c r="P176" s="624">
        <v>67347.461666670002</v>
      </c>
      <c r="Q176" s="624">
        <v>15021.25433333</v>
      </c>
      <c r="R176" s="624">
        <v>42</v>
      </c>
      <c r="S176" s="290">
        <v>64</v>
      </c>
      <c r="T176" s="290">
        <v>501</v>
      </c>
      <c r="U176" s="958">
        <v>3.4507762476432258E-3</v>
      </c>
      <c r="V176" s="290">
        <v>3224.1834288700002</v>
      </c>
      <c r="W176" s="765">
        <v>0.73709093999999997</v>
      </c>
      <c r="X176" s="290">
        <v>1000</v>
      </c>
      <c r="Y176" s="290"/>
      <c r="Z176" s="290">
        <f>innut22!E182</f>
        <v>143663.84231176722</v>
      </c>
      <c r="AA176" s="290">
        <v>0</v>
      </c>
      <c r="AB176" s="290">
        <v>153</v>
      </c>
      <c r="AC176" s="290">
        <v>474</v>
      </c>
      <c r="AD176" s="290"/>
      <c r="AE176" s="290">
        <v>0</v>
      </c>
      <c r="AF176" s="290">
        <v>0</v>
      </c>
      <c r="AG176" s="290">
        <v>5553</v>
      </c>
      <c r="AH176" s="290">
        <v>839</v>
      </c>
      <c r="AI176" s="290">
        <v>1800</v>
      </c>
      <c r="AJ176" s="290">
        <v>0</v>
      </c>
      <c r="AK176" s="290">
        <v>0</v>
      </c>
      <c r="AL176" s="290">
        <v>0</v>
      </c>
      <c r="AM176" s="957">
        <v>0.13913807</v>
      </c>
      <c r="AN176" s="290">
        <v>7922</v>
      </c>
      <c r="AO176" s="290">
        <v>1203.6936076699999</v>
      </c>
      <c r="AP176" s="290">
        <v>0</v>
      </c>
      <c r="AQ176" s="290">
        <v>0</v>
      </c>
      <c r="AR176" s="290">
        <v>-160.60696182000001</v>
      </c>
      <c r="AS176" s="290">
        <v>758</v>
      </c>
      <c r="AT176" s="290">
        <v>258</v>
      </c>
      <c r="AU176" s="290">
        <v>68</v>
      </c>
      <c r="AV176" s="766">
        <v>200066</v>
      </c>
      <c r="AW176" s="290"/>
      <c r="AX176" s="766">
        <v>14.916650000000001</v>
      </c>
      <c r="AY176" s="290">
        <v>975</v>
      </c>
      <c r="AZ176" s="290">
        <v>248</v>
      </c>
      <c r="BA176" s="290">
        <v>100</v>
      </c>
      <c r="BB176" s="290">
        <v>0</v>
      </c>
      <c r="BC176" s="290">
        <v>9747</v>
      </c>
      <c r="BD176" s="290"/>
      <c r="BE176" s="290">
        <v>195971.64542558001</v>
      </c>
      <c r="BF176" s="290">
        <v>0</v>
      </c>
      <c r="BG176" s="290">
        <v>4995.4933118536037</v>
      </c>
      <c r="BH176" s="290">
        <v>269.14494578150027</v>
      </c>
      <c r="BI176" s="290">
        <v>1313</v>
      </c>
      <c r="BJ176" s="290"/>
      <c r="BK176" s="290"/>
      <c r="BL176" s="290"/>
      <c r="BM176" s="290">
        <v>0</v>
      </c>
      <c r="BN176" s="290">
        <v>2290.3372399999998</v>
      </c>
      <c r="BO176" s="290">
        <v>-2587.4405409282972</v>
      </c>
      <c r="BP176" s="290">
        <v>230.726</v>
      </c>
      <c r="BQ176" s="290">
        <v>-123.73699999999999</v>
      </c>
      <c r="BR176" s="290">
        <v>-96.051070857742317</v>
      </c>
      <c r="BS176" s="290">
        <v>1.2330000000000001</v>
      </c>
      <c r="BT176" s="290"/>
      <c r="BU176" s="290">
        <v>0</v>
      </c>
      <c r="BV176" s="290">
        <v>1500</v>
      </c>
      <c r="BW176" s="290">
        <v>-1275</v>
      </c>
      <c r="BX176" s="290">
        <v>616</v>
      </c>
      <c r="BY176" s="290">
        <v>167</v>
      </c>
      <c r="BZ176" s="290">
        <v>-969</v>
      </c>
      <c r="CA176" s="290">
        <v>-64.067628213960347</v>
      </c>
      <c r="CB176" s="290">
        <v>268</v>
      </c>
      <c r="CC176" s="290">
        <v>722</v>
      </c>
      <c r="CD176" s="290">
        <v>10</v>
      </c>
      <c r="CE176" s="290">
        <v>204</v>
      </c>
      <c r="CF176" s="290">
        <v>10</v>
      </c>
      <c r="CG176" s="290">
        <v>1</v>
      </c>
      <c r="CH176" s="290">
        <v>-7</v>
      </c>
      <c r="CI176" s="290">
        <v>-2463</v>
      </c>
      <c r="CJ176" s="290">
        <v>-6621</v>
      </c>
      <c r="CK176" s="290">
        <f>+innut22!E182+innut22!S182</f>
        <v>143663.84231176722</v>
      </c>
      <c r="CL176" s="290">
        <v>0</v>
      </c>
      <c r="CM176" s="290">
        <v>0</v>
      </c>
      <c r="CN176" s="290">
        <v>0</v>
      </c>
      <c r="CP176" s="290">
        <f>+innut23!E182</f>
        <v>134433.02435989139</v>
      </c>
      <c r="CQ176" s="290"/>
      <c r="CV176" s="85">
        <f t="shared" si="3"/>
        <v>1.028</v>
      </c>
    </row>
    <row r="177" spans="1:100" ht="13">
      <c r="A177" s="1">
        <v>3438</v>
      </c>
      <c r="B177" s="2" t="s">
        <v>854</v>
      </c>
      <c r="C177" s="289">
        <v>3064</v>
      </c>
      <c r="D177" s="290">
        <v>47</v>
      </c>
      <c r="E177" s="290">
        <v>92</v>
      </c>
      <c r="F177" s="290">
        <v>374</v>
      </c>
      <c r="G177" s="290">
        <v>247</v>
      </c>
      <c r="H177" s="290">
        <v>1674</v>
      </c>
      <c r="I177" s="290">
        <v>448</v>
      </c>
      <c r="J177" s="290">
        <v>152</v>
      </c>
      <c r="K177" s="290">
        <v>39</v>
      </c>
      <c r="L177" s="290">
        <v>27</v>
      </c>
      <c r="M177" s="290">
        <v>268</v>
      </c>
      <c r="N177" s="290">
        <v>25</v>
      </c>
      <c r="O177" s="290">
        <v>33</v>
      </c>
      <c r="P177" s="624">
        <v>15881.15433333</v>
      </c>
      <c r="Q177" s="624">
        <v>10463.58266667</v>
      </c>
      <c r="R177" s="624">
        <v>9</v>
      </c>
      <c r="S177" s="290">
        <v>32</v>
      </c>
      <c r="T177" s="290">
        <v>290</v>
      </c>
      <c r="U177" s="958">
        <v>3.4696098911389181E-3</v>
      </c>
      <c r="V177" s="290">
        <v>1208.7369917799999</v>
      </c>
      <c r="W177" s="765">
        <v>0.67370326000000003</v>
      </c>
      <c r="X177" s="290">
        <v>600</v>
      </c>
      <c r="Y177" s="290"/>
      <c r="Z177" s="290">
        <f>innut22!E183</f>
        <v>102877.75238761633</v>
      </c>
      <c r="AA177" s="290">
        <v>0</v>
      </c>
      <c r="AB177" s="290">
        <v>74</v>
      </c>
      <c r="AC177" s="290">
        <v>135</v>
      </c>
      <c r="AD177" s="290"/>
      <c r="AE177" s="290">
        <v>0</v>
      </c>
      <c r="AF177" s="290">
        <v>0</v>
      </c>
      <c r="AG177" s="290">
        <v>3073</v>
      </c>
      <c r="AH177" s="290">
        <v>507</v>
      </c>
      <c r="AI177" s="290">
        <v>0</v>
      </c>
      <c r="AJ177" s="290">
        <v>0</v>
      </c>
      <c r="AK177" s="290">
        <v>0</v>
      </c>
      <c r="AL177" s="290">
        <v>0</v>
      </c>
      <c r="AM177" s="957">
        <v>3.6758470000000001E-2</v>
      </c>
      <c r="AN177" s="290">
        <v>0</v>
      </c>
      <c r="AO177" s="290">
        <v>645.02098550999995</v>
      </c>
      <c r="AP177" s="290">
        <v>0</v>
      </c>
      <c r="AQ177" s="290">
        <v>0</v>
      </c>
      <c r="AR177" s="290">
        <v>-148.24349351999999</v>
      </c>
      <c r="AS177" s="290">
        <v>526</v>
      </c>
      <c r="AT177" s="290">
        <v>124</v>
      </c>
      <c r="AU177" s="290">
        <v>23</v>
      </c>
      <c r="AV177" s="766">
        <v>103989</v>
      </c>
      <c r="AW177" s="290"/>
      <c r="AX177" s="766">
        <v>16.749949999999998</v>
      </c>
      <c r="AY177" s="290">
        <v>511</v>
      </c>
      <c r="AZ177" s="290">
        <v>121</v>
      </c>
      <c r="BA177" s="290">
        <v>52</v>
      </c>
      <c r="BB177" s="290">
        <v>5432</v>
      </c>
      <c r="BC177" s="290">
        <v>5836</v>
      </c>
      <c r="BD177" s="290"/>
      <c r="BE177" s="290">
        <v>102479.55373836</v>
      </c>
      <c r="BF177" s="290">
        <v>0</v>
      </c>
      <c r="BG177" s="290">
        <v>2767.3461412980369</v>
      </c>
      <c r="BH177" s="290">
        <v>149.09783291891463</v>
      </c>
      <c r="BI177" s="290">
        <v>642</v>
      </c>
      <c r="BJ177" s="290"/>
      <c r="BK177" s="290"/>
      <c r="BL177" s="290"/>
      <c r="BM177" s="290">
        <v>0</v>
      </c>
      <c r="BN177" s="290">
        <v>1227.3186199999998</v>
      </c>
      <c r="BO177" s="290">
        <v>-1431.8755235499113</v>
      </c>
      <c r="BP177" s="290">
        <v>123.767</v>
      </c>
      <c r="BQ177" s="290">
        <v>-66.376000000000005</v>
      </c>
      <c r="BR177" s="290">
        <v>-61.997254491017955</v>
      </c>
      <c r="BS177" s="290">
        <v>0.69099999999999995</v>
      </c>
      <c r="BT177" s="290"/>
      <c r="BU177" s="290">
        <v>0</v>
      </c>
      <c r="BV177" s="290">
        <v>1500</v>
      </c>
      <c r="BW177" s="290">
        <v>-706</v>
      </c>
      <c r="BX177" s="290">
        <v>398</v>
      </c>
      <c r="BY177" s="290">
        <v>84</v>
      </c>
      <c r="BZ177" s="290">
        <v>-536</v>
      </c>
      <c r="CA177" s="290">
        <v>-0.5278419590704857</v>
      </c>
      <c r="CB177" s="290">
        <v>135</v>
      </c>
      <c r="CC177" s="290">
        <v>400</v>
      </c>
      <c r="CD177" s="290">
        <v>5</v>
      </c>
      <c r="CE177" s="290">
        <v>113</v>
      </c>
      <c r="CF177" s="290">
        <v>6</v>
      </c>
      <c r="CG177" s="290">
        <v>1</v>
      </c>
      <c r="CH177" s="290">
        <v>-4</v>
      </c>
      <c r="CI177" s="290">
        <v>-1365</v>
      </c>
      <c r="CJ177" s="290">
        <v>-3725</v>
      </c>
      <c r="CK177" s="290">
        <f>+innut22!E183+innut22!S183</f>
        <v>102877.75238761633</v>
      </c>
      <c r="CL177" s="290">
        <v>0</v>
      </c>
      <c r="CM177" s="290">
        <v>0</v>
      </c>
      <c r="CN177" s="290">
        <v>0</v>
      </c>
      <c r="CP177" s="290">
        <f>+innut23!E183</f>
        <v>94635.689568996517</v>
      </c>
      <c r="CQ177" s="290"/>
      <c r="CV177" s="85">
        <f t="shared" si="3"/>
        <v>0.56899999999999995</v>
      </c>
    </row>
    <row r="178" spans="1:100" ht="13">
      <c r="A178" s="1">
        <v>3439</v>
      </c>
      <c r="B178" s="2" t="s">
        <v>855</v>
      </c>
      <c r="C178" s="289">
        <v>4385</v>
      </c>
      <c r="D178" s="290">
        <v>91</v>
      </c>
      <c r="E178" s="290">
        <v>152</v>
      </c>
      <c r="F178" s="290">
        <v>423</v>
      </c>
      <c r="G178" s="290">
        <v>329</v>
      </c>
      <c r="H178" s="290">
        <v>2401</v>
      </c>
      <c r="I178" s="290">
        <v>699</v>
      </c>
      <c r="J178" s="290">
        <v>240</v>
      </c>
      <c r="K178" s="290">
        <v>65</v>
      </c>
      <c r="L178" s="290">
        <v>32</v>
      </c>
      <c r="M178" s="290">
        <v>459</v>
      </c>
      <c r="N178" s="290">
        <v>63</v>
      </c>
      <c r="O178" s="290">
        <v>31</v>
      </c>
      <c r="P178" s="624">
        <v>19560.455999999998</v>
      </c>
      <c r="Q178" s="624">
        <v>12085.651666670001</v>
      </c>
      <c r="R178" s="624">
        <v>20</v>
      </c>
      <c r="S178" s="290">
        <v>48</v>
      </c>
      <c r="T178" s="290">
        <v>407</v>
      </c>
      <c r="U178" s="958">
        <v>4.7154913369319047E-3</v>
      </c>
      <c r="V178" s="290">
        <v>-1190.3566324999999</v>
      </c>
      <c r="W178" s="765">
        <v>0.70277054000000005</v>
      </c>
      <c r="X178" s="290">
        <v>1000</v>
      </c>
      <c r="Y178" s="290"/>
      <c r="Z178" s="290">
        <f>innut22!E184</f>
        <v>145361.88651834914</v>
      </c>
      <c r="AA178" s="290">
        <v>0</v>
      </c>
      <c r="AB178" s="290">
        <v>99</v>
      </c>
      <c r="AC178" s="290">
        <v>1658</v>
      </c>
      <c r="AD178" s="290"/>
      <c r="AE178" s="290">
        <v>0</v>
      </c>
      <c r="AF178" s="290">
        <v>0</v>
      </c>
      <c r="AG178" s="290">
        <v>4400</v>
      </c>
      <c r="AH178" s="290">
        <v>657</v>
      </c>
      <c r="AI178" s="290">
        <v>0</v>
      </c>
      <c r="AJ178" s="290">
        <v>0</v>
      </c>
      <c r="AK178" s="290">
        <v>0</v>
      </c>
      <c r="AL178" s="290">
        <v>0</v>
      </c>
      <c r="AM178" s="957">
        <v>6.0249459999999998E-2</v>
      </c>
      <c r="AN178" s="290">
        <v>6522</v>
      </c>
      <c r="AO178" s="290">
        <v>911.91902450999999</v>
      </c>
      <c r="AP178" s="290">
        <v>0</v>
      </c>
      <c r="AQ178" s="290">
        <v>0</v>
      </c>
      <c r="AR178" s="290">
        <v>4234.7255914300003</v>
      </c>
      <c r="AS178" s="290">
        <v>717</v>
      </c>
      <c r="AT178" s="290">
        <v>165</v>
      </c>
      <c r="AU178" s="290">
        <v>43</v>
      </c>
      <c r="AV178" s="766">
        <v>146052</v>
      </c>
      <c r="AW178" s="290"/>
      <c r="AX178" s="766">
        <v>39.333350000000003</v>
      </c>
      <c r="AY178" s="290">
        <v>771</v>
      </c>
      <c r="AZ178" s="290">
        <v>165</v>
      </c>
      <c r="BA178" s="290">
        <v>57</v>
      </c>
      <c r="BB178" s="290">
        <v>0</v>
      </c>
      <c r="BC178" s="290">
        <v>7751</v>
      </c>
      <c r="BD178" s="290"/>
      <c r="BE178" s="290">
        <v>140559.50324160999</v>
      </c>
      <c r="BF178" s="290">
        <v>0</v>
      </c>
      <c r="BG178" s="290">
        <v>3960.4480514333845</v>
      </c>
      <c r="BH178" s="290">
        <v>213.37924195477825</v>
      </c>
      <c r="BI178" s="290">
        <v>2315</v>
      </c>
      <c r="BJ178" s="290"/>
      <c r="BK178" s="290"/>
      <c r="BL178" s="290"/>
      <c r="BM178" s="290">
        <v>0</v>
      </c>
      <c r="BN178" s="290">
        <v>1735.16092</v>
      </c>
      <c r="BO178" s="290">
        <v>-2050.1959985745557</v>
      </c>
      <c r="BP178" s="290">
        <v>212.56200000000001</v>
      </c>
      <c r="BQ178" s="290">
        <v>-113.995</v>
      </c>
      <c r="BR178" s="290">
        <v>-68.995338537328678</v>
      </c>
      <c r="BS178" s="290">
        <v>0.94899999999999995</v>
      </c>
      <c r="BT178" s="290"/>
      <c r="BU178" s="290">
        <v>0</v>
      </c>
      <c r="BV178" s="290">
        <v>1500</v>
      </c>
      <c r="BW178" s="290">
        <v>-1010</v>
      </c>
      <c r="BX178" s="290">
        <v>447</v>
      </c>
      <c r="BY178" s="290">
        <v>124</v>
      </c>
      <c r="BZ178" s="290">
        <v>-768</v>
      </c>
      <c r="CA178" s="290">
        <v>-6.4855828881156867</v>
      </c>
      <c r="CB178" s="290">
        <v>199</v>
      </c>
      <c r="CC178" s="290">
        <v>572</v>
      </c>
      <c r="CD178" s="290">
        <v>7</v>
      </c>
      <c r="CE178" s="290">
        <v>162</v>
      </c>
      <c r="CF178" s="290">
        <v>8</v>
      </c>
      <c r="CG178" s="290">
        <v>1</v>
      </c>
      <c r="CH178" s="290">
        <v>-5</v>
      </c>
      <c r="CI178" s="290">
        <v>-1953</v>
      </c>
      <c r="CJ178" s="290">
        <v>-5284</v>
      </c>
      <c r="CK178" s="290">
        <f>+innut22!E184+innut22!S184</f>
        <v>145361.88651834914</v>
      </c>
      <c r="CL178" s="290">
        <v>0</v>
      </c>
      <c r="CM178" s="290">
        <v>0</v>
      </c>
      <c r="CN178" s="290">
        <v>0</v>
      </c>
      <c r="CP178" s="290">
        <f>+innut23!E184</f>
        <v>135454.61855564592</v>
      </c>
      <c r="CQ178" s="290"/>
      <c r="CV178" s="85">
        <f t="shared" si="3"/>
        <v>0.81499999999999995</v>
      </c>
    </row>
    <row r="179" spans="1:100" ht="13">
      <c r="A179" s="1">
        <v>3440</v>
      </c>
      <c r="B179" s="2" t="s">
        <v>856</v>
      </c>
      <c r="C179" s="289">
        <v>5082</v>
      </c>
      <c r="D179" s="290">
        <v>79</v>
      </c>
      <c r="E179" s="290">
        <v>227</v>
      </c>
      <c r="F179" s="290">
        <v>533</v>
      </c>
      <c r="G179" s="290">
        <v>376</v>
      </c>
      <c r="H179" s="290">
        <v>2861</v>
      </c>
      <c r="I179" s="290">
        <v>706</v>
      </c>
      <c r="J179" s="290">
        <v>230</v>
      </c>
      <c r="K179" s="290">
        <v>55</v>
      </c>
      <c r="L179" s="290">
        <v>36</v>
      </c>
      <c r="M179" s="290">
        <v>429</v>
      </c>
      <c r="N179" s="290">
        <v>168</v>
      </c>
      <c r="O179" s="290">
        <v>52</v>
      </c>
      <c r="P179" s="624">
        <v>36308.116999999998</v>
      </c>
      <c r="Q179" s="624">
        <v>10781.790999999999</v>
      </c>
      <c r="R179" s="624">
        <v>27</v>
      </c>
      <c r="S179" s="290">
        <v>64</v>
      </c>
      <c r="T179" s="290">
        <v>464</v>
      </c>
      <c r="U179" s="958">
        <v>3.1767582933487789E-3</v>
      </c>
      <c r="V179" s="290">
        <v>2632.6716251100002</v>
      </c>
      <c r="W179" s="765">
        <v>0.65459745999999996</v>
      </c>
      <c r="X179" s="290">
        <v>0</v>
      </c>
      <c r="Y179" s="290"/>
      <c r="Z179" s="290">
        <f>innut22!E185</f>
        <v>187372.48512964067</v>
      </c>
      <c r="AA179" s="290">
        <v>0</v>
      </c>
      <c r="AB179" s="290">
        <v>124</v>
      </c>
      <c r="AC179" s="290">
        <v>772</v>
      </c>
      <c r="AD179" s="290"/>
      <c r="AE179" s="290">
        <v>0</v>
      </c>
      <c r="AF179" s="290">
        <v>0</v>
      </c>
      <c r="AG179" s="290">
        <v>5067</v>
      </c>
      <c r="AH179" s="290">
        <v>813</v>
      </c>
      <c r="AI179" s="290">
        <v>1300</v>
      </c>
      <c r="AJ179" s="290">
        <v>0</v>
      </c>
      <c r="AK179" s="290">
        <v>0</v>
      </c>
      <c r="AL179" s="290">
        <v>0</v>
      </c>
      <c r="AM179" s="957">
        <v>9.3724650000000007E-2</v>
      </c>
      <c r="AN179" s="290">
        <v>1473</v>
      </c>
      <c r="AO179" s="290">
        <v>1060.36671753</v>
      </c>
      <c r="AP179" s="290">
        <v>0</v>
      </c>
      <c r="AQ179" s="290">
        <v>371.41500000000002</v>
      </c>
      <c r="AR179" s="290">
        <v>-244.43533407999999</v>
      </c>
      <c r="AS179" s="290">
        <v>1044</v>
      </c>
      <c r="AT179" s="290">
        <v>236</v>
      </c>
      <c r="AU179" s="290">
        <v>33</v>
      </c>
      <c r="AV179" s="766">
        <v>161620</v>
      </c>
      <c r="AW179" s="290"/>
      <c r="AX179" s="766">
        <v>31.041650000000001</v>
      </c>
      <c r="AY179" s="290">
        <v>1068</v>
      </c>
      <c r="AZ179" s="290">
        <v>314</v>
      </c>
      <c r="BA179" s="290">
        <v>106</v>
      </c>
      <c r="BB179" s="290">
        <v>0</v>
      </c>
      <c r="BC179" s="290">
        <v>8988</v>
      </c>
      <c r="BD179" s="290"/>
      <c r="BE179" s="290">
        <v>160699.64046858999</v>
      </c>
      <c r="BF179" s="290">
        <v>0</v>
      </c>
      <c r="BG179" s="290">
        <v>4576.4173948946318</v>
      </c>
      <c r="BH179" s="290">
        <v>246.56616168411892</v>
      </c>
      <c r="BI179" s="290">
        <v>1585</v>
      </c>
      <c r="BJ179" s="290"/>
      <c r="BK179" s="290"/>
      <c r="BL179" s="290"/>
      <c r="BM179" s="290">
        <v>0</v>
      </c>
      <c r="BN179" s="290">
        <v>2017.6208999999999</v>
      </c>
      <c r="BO179" s="290">
        <v>-2360.9870738130171</v>
      </c>
      <c r="BP179" s="290">
        <v>292.06799999999998</v>
      </c>
      <c r="BQ179" s="290">
        <v>-156.63399999999999</v>
      </c>
      <c r="BR179" s="290">
        <v>-88.091814522583064</v>
      </c>
      <c r="BS179" s="290">
        <v>1.0429999999999999</v>
      </c>
      <c r="BT179" s="290"/>
      <c r="BU179" s="290">
        <v>0</v>
      </c>
      <c r="BV179" s="290">
        <v>1500</v>
      </c>
      <c r="BW179" s="290">
        <v>-1164</v>
      </c>
      <c r="BX179" s="290">
        <v>562</v>
      </c>
      <c r="BY179" s="290">
        <v>166</v>
      </c>
      <c r="BZ179" s="290">
        <v>-884</v>
      </c>
      <c r="CA179" s="290">
        <v>-3.0190116643997271</v>
      </c>
      <c r="CB179" s="290">
        <v>266</v>
      </c>
      <c r="CC179" s="290">
        <v>659</v>
      </c>
      <c r="CD179" s="290">
        <v>10</v>
      </c>
      <c r="CE179" s="290">
        <v>187</v>
      </c>
      <c r="CF179" s="290">
        <v>9</v>
      </c>
      <c r="CG179" s="290">
        <v>1</v>
      </c>
      <c r="CH179" s="290">
        <v>-6</v>
      </c>
      <c r="CI179" s="290">
        <v>-2263</v>
      </c>
      <c r="CJ179" s="290">
        <v>-4921</v>
      </c>
      <c r="CK179" s="290">
        <f>+innut22!E185+innut22!S185</f>
        <v>187372.48512964067</v>
      </c>
      <c r="CL179" s="290">
        <v>0</v>
      </c>
      <c r="CM179" s="290">
        <v>0</v>
      </c>
      <c r="CN179" s="290">
        <v>0</v>
      </c>
      <c r="CP179" s="290">
        <f>+innut23!E185</f>
        <v>177003.31245149305</v>
      </c>
      <c r="CQ179" s="290"/>
      <c r="CV179" s="85">
        <f t="shared" si="3"/>
        <v>0.93799999999999994</v>
      </c>
    </row>
    <row r="180" spans="1:100" ht="13">
      <c r="A180" s="1">
        <v>3441</v>
      </c>
      <c r="B180" s="2" t="s">
        <v>857</v>
      </c>
      <c r="C180" s="289">
        <v>6079</v>
      </c>
      <c r="D180" s="290">
        <v>87</v>
      </c>
      <c r="E180" s="290">
        <v>186</v>
      </c>
      <c r="F180" s="290">
        <v>652</v>
      </c>
      <c r="G180" s="290">
        <v>468</v>
      </c>
      <c r="H180" s="290">
        <v>3387</v>
      </c>
      <c r="I180" s="290">
        <v>901</v>
      </c>
      <c r="J180" s="290">
        <v>305</v>
      </c>
      <c r="K180" s="290">
        <v>67</v>
      </c>
      <c r="L180" s="290">
        <v>48</v>
      </c>
      <c r="M180" s="290">
        <v>555</v>
      </c>
      <c r="N180" s="290">
        <v>53</v>
      </c>
      <c r="O180" s="290">
        <v>20</v>
      </c>
      <c r="P180" s="624">
        <v>52001.852333330004</v>
      </c>
      <c r="Q180" s="624">
        <v>15541.852999999999</v>
      </c>
      <c r="R180" s="624">
        <v>19</v>
      </c>
      <c r="S180" s="290">
        <v>59</v>
      </c>
      <c r="T180" s="290">
        <v>512</v>
      </c>
      <c r="U180" s="958">
        <v>5.9459695813684071E-3</v>
      </c>
      <c r="V180" s="290">
        <v>1932.2623025800001</v>
      </c>
      <c r="W180" s="765">
        <v>0.67084321999999996</v>
      </c>
      <c r="X180" s="290">
        <v>1500</v>
      </c>
      <c r="Y180" s="290"/>
      <c r="Z180" s="290">
        <f>innut22!E186</f>
        <v>196309.42578320668</v>
      </c>
      <c r="AA180" s="290">
        <v>0</v>
      </c>
      <c r="AB180" s="290">
        <v>141</v>
      </c>
      <c r="AC180" s="290">
        <v>202</v>
      </c>
      <c r="AD180" s="290"/>
      <c r="AE180" s="290">
        <v>0</v>
      </c>
      <c r="AF180" s="290">
        <v>0</v>
      </c>
      <c r="AG180" s="290">
        <v>6053</v>
      </c>
      <c r="AH180" s="290">
        <v>918</v>
      </c>
      <c r="AI180" s="290">
        <v>0</v>
      </c>
      <c r="AJ180" s="290">
        <v>0</v>
      </c>
      <c r="AK180" s="290">
        <v>0</v>
      </c>
      <c r="AL180" s="290">
        <v>0</v>
      </c>
      <c r="AM180" s="957">
        <v>4.4551889999999997E-2</v>
      </c>
      <c r="AN180" s="290">
        <v>3371</v>
      </c>
      <c r="AO180" s="290">
        <v>1186.4004093000001</v>
      </c>
      <c r="AP180" s="290">
        <v>0</v>
      </c>
      <c r="AQ180" s="290">
        <v>0</v>
      </c>
      <c r="AR180" s="290">
        <v>4741.2419100999996</v>
      </c>
      <c r="AS180" s="290">
        <v>693</v>
      </c>
      <c r="AT180" s="290">
        <v>293</v>
      </c>
      <c r="AU180" s="290">
        <v>28</v>
      </c>
      <c r="AV180" s="766">
        <v>176811</v>
      </c>
      <c r="AW180" s="290"/>
      <c r="AX180" s="766">
        <v>29.750050000000002</v>
      </c>
      <c r="AY180" s="290">
        <v>1116</v>
      </c>
      <c r="AZ180" s="290">
        <v>197</v>
      </c>
      <c r="BA180" s="290">
        <v>109</v>
      </c>
      <c r="BB180" s="290">
        <v>0</v>
      </c>
      <c r="BC180" s="290">
        <v>10360</v>
      </c>
      <c r="BD180" s="290"/>
      <c r="BE180" s="290">
        <v>168716.19765171999</v>
      </c>
      <c r="BF180" s="290">
        <v>0</v>
      </c>
      <c r="BG180" s="290">
        <v>5490.4364206758382</v>
      </c>
      <c r="BH180" s="290">
        <v>295.81126837926968</v>
      </c>
      <c r="BI180" s="290">
        <v>1120</v>
      </c>
      <c r="BJ180" s="290"/>
      <c r="BK180" s="290"/>
      <c r="BL180" s="290"/>
      <c r="BM180" s="290">
        <v>0</v>
      </c>
      <c r="BN180" s="290">
        <v>2257.4324799999999</v>
      </c>
      <c r="BO180" s="290">
        <v>-2820.4173589481334</v>
      </c>
      <c r="BP180" s="290">
        <v>248.74700000000001</v>
      </c>
      <c r="BQ180" s="290">
        <v>-133.40100000000001</v>
      </c>
      <c r="BR180" s="290">
        <v>-104.59670581716738</v>
      </c>
      <c r="BS180" s="290">
        <v>1.262</v>
      </c>
      <c r="BT180" s="290"/>
      <c r="BU180" s="290">
        <v>0</v>
      </c>
      <c r="BV180" s="290">
        <v>2000</v>
      </c>
      <c r="BW180" s="290">
        <v>-1390</v>
      </c>
      <c r="BX180" s="290">
        <v>675</v>
      </c>
      <c r="BY180" s="290">
        <v>154</v>
      </c>
      <c r="BZ180" s="290">
        <v>-1057</v>
      </c>
      <c r="CA180" s="290">
        <v>82.973584765300899</v>
      </c>
      <c r="CB180" s="290">
        <v>248</v>
      </c>
      <c r="CC180" s="290">
        <v>787</v>
      </c>
      <c r="CD180" s="290">
        <v>9</v>
      </c>
      <c r="CE180" s="290">
        <v>224</v>
      </c>
      <c r="CF180" s="290">
        <v>10</v>
      </c>
      <c r="CG180" s="290">
        <v>1</v>
      </c>
      <c r="CH180" s="290">
        <v>-7</v>
      </c>
      <c r="CI180" s="290">
        <v>-2708</v>
      </c>
      <c r="CJ180" s="290">
        <v>-7162</v>
      </c>
      <c r="CK180" s="290">
        <f>+innut22!E186+innut22!S186</f>
        <v>196309.42578320668</v>
      </c>
      <c r="CL180" s="290">
        <v>0</v>
      </c>
      <c r="CM180" s="290">
        <v>0</v>
      </c>
      <c r="CN180" s="290">
        <v>0</v>
      </c>
      <c r="CP180" s="290">
        <f>+innut23!E186</f>
        <v>183675.2852534251</v>
      </c>
      <c r="CQ180" s="290"/>
      <c r="CV180" s="85">
        <f t="shared" si="3"/>
        <v>1.121</v>
      </c>
    </row>
    <row r="181" spans="1:100" ht="13">
      <c r="A181" s="1">
        <v>3442</v>
      </c>
      <c r="B181" s="2" t="s">
        <v>858</v>
      </c>
      <c r="C181" s="289">
        <v>14827</v>
      </c>
      <c r="D181" s="290">
        <v>228</v>
      </c>
      <c r="E181" s="290">
        <v>570</v>
      </c>
      <c r="F181" s="290">
        <v>1594</v>
      </c>
      <c r="G181" s="290">
        <v>1172</v>
      </c>
      <c r="H181" s="290">
        <v>8279</v>
      </c>
      <c r="I181" s="290">
        <v>2144</v>
      </c>
      <c r="J181" s="290">
        <v>695</v>
      </c>
      <c r="K181" s="290">
        <v>158</v>
      </c>
      <c r="L181" s="290">
        <v>127</v>
      </c>
      <c r="M181" s="290">
        <v>1316</v>
      </c>
      <c r="N181" s="290">
        <v>222</v>
      </c>
      <c r="O181" s="290">
        <v>108</v>
      </c>
      <c r="P181" s="624">
        <v>54374.890666669999</v>
      </c>
      <c r="Q181" s="624">
        <v>31476.296999999999</v>
      </c>
      <c r="R181" s="624">
        <v>60</v>
      </c>
      <c r="S181" s="290">
        <v>171</v>
      </c>
      <c r="T181" s="290">
        <v>1291</v>
      </c>
      <c r="U181" s="958">
        <v>7.589578287007852E-3</v>
      </c>
      <c r="V181" s="290">
        <v>1638.56930063</v>
      </c>
      <c r="W181" s="765">
        <v>0.60196894999999995</v>
      </c>
      <c r="X181" s="290">
        <v>2200</v>
      </c>
      <c r="Y181" s="290"/>
      <c r="Z181" s="290">
        <f>innut22!E187</f>
        <v>475486.11376062763</v>
      </c>
      <c r="AA181" s="290">
        <v>0</v>
      </c>
      <c r="AB181" s="290">
        <v>440</v>
      </c>
      <c r="AC181" s="290">
        <v>3311</v>
      </c>
      <c r="AD181" s="290"/>
      <c r="AE181" s="290">
        <v>0</v>
      </c>
      <c r="AF181" s="290">
        <v>0</v>
      </c>
      <c r="AG181" s="290">
        <v>14840</v>
      </c>
      <c r="AH181" s="290">
        <v>2360</v>
      </c>
      <c r="AI181" s="290">
        <v>0</v>
      </c>
      <c r="AJ181" s="290">
        <v>0</v>
      </c>
      <c r="AK181" s="290">
        <v>0</v>
      </c>
      <c r="AL181" s="290">
        <v>0</v>
      </c>
      <c r="AM181" s="957">
        <v>0.27461131999999999</v>
      </c>
      <c r="AN181" s="290">
        <v>0</v>
      </c>
      <c r="AO181" s="290">
        <v>2898.0968332399998</v>
      </c>
      <c r="AP181" s="290">
        <v>0</v>
      </c>
      <c r="AQ181" s="290">
        <v>0</v>
      </c>
      <c r="AR181" s="290">
        <v>-70.678808329999995</v>
      </c>
      <c r="AS181" s="290">
        <v>2847</v>
      </c>
      <c r="AT181" s="290">
        <v>873</v>
      </c>
      <c r="AU181" s="290">
        <v>124</v>
      </c>
      <c r="AV181" s="766">
        <v>403272</v>
      </c>
      <c r="AW181" s="290"/>
      <c r="AX181" s="766">
        <v>70.041700000000006</v>
      </c>
      <c r="AY181" s="290">
        <v>2964</v>
      </c>
      <c r="AZ181" s="290">
        <v>561</v>
      </c>
      <c r="BA181" s="290">
        <v>278</v>
      </c>
      <c r="BB181" s="290">
        <v>0</v>
      </c>
      <c r="BC181" s="290">
        <v>24245</v>
      </c>
      <c r="BD181" s="290"/>
      <c r="BE181" s="290">
        <v>400511.90235946001</v>
      </c>
      <c r="BF181" s="290">
        <v>0</v>
      </c>
      <c r="BG181" s="290">
        <v>13391.462544721277</v>
      </c>
      <c r="BH181" s="290">
        <v>721.4992064911055</v>
      </c>
      <c r="BI181" s="290">
        <v>5671</v>
      </c>
      <c r="BJ181" s="290"/>
      <c r="BK181" s="290"/>
      <c r="BL181" s="290"/>
      <c r="BM181" s="290">
        <v>0</v>
      </c>
      <c r="BN181" s="290">
        <v>5514.3759600000003</v>
      </c>
      <c r="BO181" s="290">
        <v>-6914.7519588287296</v>
      </c>
      <c r="BP181" s="290">
        <v>733.50199999999995</v>
      </c>
      <c r="BQ181" s="290">
        <v>-393.37200000000001</v>
      </c>
      <c r="BR181" s="290">
        <v>-249.59766020401219</v>
      </c>
      <c r="BS181" s="290">
        <v>2.7919999999999998</v>
      </c>
      <c r="BT181" s="290"/>
      <c r="BU181" s="290">
        <v>0</v>
      </c>
      <c r="BV181" s="290">
        <v>4500</v>
      </c>
      <c r="BW181" s="290">
        <v>-3408</v>
      </c>
      <c r="BX181" s="290">
        <v>1596</v>
      </c>
      <c r="BY181" s="290">
        <v>446</v>
      </c>
      <c r="BZ181" s="290">
        <v>-2590</v>
      </c>
      <c r="CA181" s="290">
        <v>-12.948340967258446</v>
      </c>
      <c r="CB181" s="290">
        <v>715</v>
      </c>
      <c r="CC181" s="290">
        <v>1930</v>
      </c>
      <c r="CD181" s="290">
        <v>26</v>
      </c>
      <c r="CE181" s="290">
        <v>547</v>
      </c>
      <c r="CF181" s="290">
        <v>23</v>
      </c>
      <c r="CG181" s="290">
        <v>3</v>
      </c>
      <c r="CH181" s="290">
        <v>-15</v>
      </c>
      <c r="CI181" s="290">
        <v>-6604</v>
      </c>
      <c r="CJ181" s="290">
        <v>-17980</v>
      </c>
      <c r="CK181" s="290">
        <f>+innut22!E187+innut22!S187</f>
        <v>475486.11376062763</v>
      </c>
      <c r="CL181" s="290">
        <v>0</v>
      </c>
      <c r="CM181" s="290">
        <v>0</v>
      </c>
      <c r="CN181" s="290">
        <v>0</v>
      </c>
      <c r="CP181" s="290">
        <f>+innut23!E187</f>
        <v>438302.73184615484</v>
      </c>
      <c r="CQ181" s="290"/>
      <c r="CV181" s="85">
        <f t="shared" si="3"/>
        <v>2.7469999999999999</v>
      </c>
    </row>
    <row r="182" spans="1:100" ht="13">
      <c r="A182" s="1">
        <v>3443</v>
      </c>
      <c r="B182" s="2" t="s">
        <v>859</v>
      </c>
      <c r="C182" s="289">
        <v>13572</v>
      </c>
      <c r="D182" s="290">
        <v>230</v>
      </c>
      <c r="E182" s="290">
        <v>481</v>
      </c>
      <c r="F182" s="290">
        <v>1476</v>
      </c>
      <c r="G182" s="290">
        <v>1115</v>
      </c>
      <c r="H182" s="290">
        <v>7623</v>
      </c>
      <c r="I182" s="290">
        <v>1909</v>
      </c>
      <c r="J182" s="290">
        <v>599</v>
      </c>
      <c r="K182" s="290">
        <v>126</v>
      </c>
      <c r="L182" s="290">
        <v>106</v>
      </c>
      <c r="M182" s="290">
        <v>1117</v>
      </c>
      <c r="N182" s="290">
        <v>290</v>
      </c>
      <c r="O182" s="290">
        <v>113</v>
      </c>
      <c r="P182" s="624">
        <v>43616.534666669999</v>
      </c>
      <c r="Q182" s="624">
        <v>17871.179333330001</v>
      </c>
      <c r="R182" s="624">
        <v>56</v>
      </c>
      <c r="S182" s="290">
        <v>173</v>
      </c>
      <c r="T182" s="290">
        <v>1318</v>
      </c>
      <c r="U182" s="958">
        <v>4.4200530354066925E-3</v>
      </c>
      <c r="V182" s="290">
        <v>4437.5951557400003</v>
      </c>
      <c r="W182" s="765">
        <v>0.57033347999999995</v>
      </c>
      <c r="X182" s="290">
        <v>1500</v>
      </c>
      <c r="Y182" s="290"/>
      <c r="Z182" s="290">
        <f>innut22!E188</f>
        <v>405416.37383892463</v>
      </c>
      <c r="AA182" s="290">
        <v>0</v>
      </c>
      <c r="AB182" s="290">
        <v>464</v>
      </c>
      <c r="AC182" s="290">
        <v>3683</v>
      </c>
      <c r="AD182" s="290"/>
      <c r="AE182" s="290">
        <v>0</v>
      </c>
      <c r="AF182" s="290">
        <v>0</v>
      </c>
      <c r="AG182" s="290">
        <v>13559</v>
      </c>
      <c r="AH182" s="290">
        <v>2155</v>
      </c>
      <c r="AI182" s="290">
        <v>2200</v>
      </c>
      <c r="AJ182" s="290">
        <v>0</v>
      </c>
      <c r="AK182" s="290">
        <v>0</v>
      </c>
      <c r="AL182" s="290">
        <v>0</v>
      </c>
      <c r="AM182" s="957">
        <v>0.24677511999999999</v>
      </c>
      <c r="AN182" s="290">
        <v>0</v>
      </c>
      <c r="AO182" s="290">
        <v>2586.74688393</v>
      </c>
      <c r="AP182" s="290">
        <v>0</v>
      </c>
      <c r="AQ182" s="290">
        <v>0</v>
      </c>
      <c r="AR182" s="290">
        <v>-654.09486774000004</v>
      </c>
      <c r="AS182" s="290">
        <v>4717</v>
      </c>
      <c r="AT182" s="290">
        <v>824</v>
      </c>
      <c r="AU182" s="290">
        <v>125</v>
      </c>
      <c r="AV182" s="766">
        <v>350768</v>
      </c>
      <c r="AW182" s="290"/>
      <c r="AX182" s="766">
        <v>83.333349999999996</v>
      </c>
      <c r="AY182" s="290">
        <v>2478</v>
      </c>
      <c r="AZ182" s="290">
        <v>434</v>
      </c>
      <c r="BA182" s="290">
        <v>290</v>
      </c>
      <c r="BB182" s="290">
        <v>0</v>
      </c>
      <c r="BC182" s="290">
        <v>22126</v>
      </c>
      <c r="BD182" s="290"/>
      <c r="BE182" s="290">
        <v>350451.74540691002</v>
      </c>
      <c r="BF182" s="290">
        <v>0</v>
      </c>
      <c r="BG182" s="290">
        <v>12257.97057104992</v>
      </c>
      <c r="BH182" s="290">
        <v>660.42943484840384</v>
      </c>
      <c r="BI182" s="290">
        <v>5838</v>
      </c>
      <c r="BJ182" s="290"/>
      <c r="BK182" s="290"/>
      <c r="BL182" s="290"/>
      <c r="BM182" s="290">
        <v>0</v>
      </c>
      <c r="BN182" s="290">
        <v>4921.9524599999995</v>
      </c>
      <c r="BO182" s="290">
        <v>-6317.8653510619097</v>
      </c>
      <c r="BP182" s="290">
        <v>638.85699999999997</v>
      </c>
      <c r="BQ182" s="290">
        <v>-342.61399999999998</v>
      </c>
      <c r="BR182" s="290">
        <v>-229.41877422844919</v>
      </c>
      <c r="BS182" s="290">
        <v>2.492</v>
      </c>
      <c r="BT182" s="290"/>
      <c r="BU182" s="290">
        <v>0</v>
      </c>
      <c r="BV182" s="290">
        <v>3000</v>
      </c>
      <c r="BW182" s="290">
        <v>-3114</v>
      </c>
      <c r="BX182" s="290">
        <v>1466</v>
      </c>
      <c r="BY182" s="290">
        <v>450</v>
      </c>
      <c r="BZ182" s="290">
        <v>-2367</v>
      </c>
      <c r="CA182" s="290">
        <v>-14.403334709640603</v>
      </c>
      <c r="CB182" s="290">
        <v>723</v>
      </c>
      <c r="CC182" s="290">
        <v>1763</v>
      </c>
      <c r="CD182" s="290">
        <v>26</v>
      </c>
      <c r="CE182" s="290">
        <v>500</v>
      </c>
      <c r="CF182" s="290">
        <v>20</v>
      </c>
      <c r="CG182" s="290">
        <v>2</v>
      </c>
      <c r="CH182" s="290">
        <v>-13</v>
      </c>
      <c r="CI182" s="290">
        <v>-6045</v>
      </c>
      <c r="CJ182" s="290">
        <v>-15930</v>
      </c>
      <c r="CK182" s="290">
        <f>+innut22!E188+innut22!S188</f>
        <v>405416.37383892463</v>
      </c>
      <c r="CL182" s="290">
        <v>0</v>
      </c>
      <c r="CM182" s="290">
        <v>0</v>
      </c>
      <c r="CN182" s="290">
        <v>0</v>
      </c>
      <c r="CP182" s="290">
        <f>+innut23!E188</f>
        <v>383609.50185554335</v>
      </c>
      <c r="CQ182" s="290"/>
      <c r="CV182" s="85">
        <f t="shared" si="3"/>
        <v>2.5099999999999998</v>
      </c>
    </row>
    <row r="183" spans="1:100" ht="13">
      <c r="A183" s="1">
        <v>3446</v>
      </c>
      <c r="B183" s="2" t="s">
        <v>862</v>
      </c>
      <c r="C183" s="289">
        <v>13633</v>
      </c>
      <c r="D183" s="290">
        <v>198</v>
      </c>
      <c r="E183" s="290">
        <v>462</v>
      </c>
      <c r="F183" s="290">
        <v>1528</v>
      </c>
      <c r="G183" s="290">
        <v>1168</v>
      </c>
      <c r="H183" s="290">
        <v>7583</v>
      </c>
      <c r="I183" s="290">
        <v>1939</v>
      </c>
      <c r="J183" s="290">
        <v>617</v>
      </c>
      <c r="K183" s="290">
        <v>126</v>
      </c>
      <c r="L183" s="290">
        <v>118</v>
      </c>
      <c r="M183" s="290">
        <v>1255</v>
      </c>
      <c r="N183" s="290">
        <v>356</v>
      </c>
      <c r="O183" s="290">
        <v>103</v>
      </c>
      <c r="P183" s="624">
        <v>57955.803</v>
      </c>
      <c r="Q183" s="624">
        <v>28514.128333330002</v>
      </c>
      <c r="R183" s="624">
        <v>72</v>
      </c>
      <c r="S183" s="290">
        <v>176</v>
      </c>
      <c r="T183" s="290">
        <v>1235</v>
      </c>
      <c r="U183" s="958">
        <v>6.4993202671509431E-3</v>
      </c>
      <c r="V183" s="290">
        <v>7054.78023527</v>
      </c>
      <c r="W183" s="765">
        <v>0.60224133000000002</v>
      </c>
      <c r="X183" s="290">
        <v>0</v>
      </c>
      <c r="Y183" s="290"/>
      <c r="Z183" s="290">
        <f>innut22!E189</f>
        <v>455948.37346934009</v>
      </c>
      <c r="AA183" s="290">
        <v>0</v>
      </c>
      <c r="AB183" s="290">
        <v>407</v>
      </c>
      <c r="AC183" s="290">
        <v>1313</v>
      </c>
      <c r="AD183" s="290"/>
      <c r="AE183" s="290">
        <v>0</v>
      </c>
      <c r="AF183" s="290">
        <v>0</v>
      </c>
      <c r="AG183" s="290">
        <v>13621</v>
      </c>
      <c r="AH183" s="290">
        <v>2228</v>
      </c>
      <c r="AI183" s="290">
        <v>0</v>
      </c>
      <c r="AJ183" s="290">
        <v>0</v>
      </c>
      <c r="AK183" s="290">
        <v>0</v>
      </c>
      <c r="AL183" s="290">
        <v>0</v>
      </c>
      <c r="AM183" s="957">
        <v>0.3395687</v>
      </c>
      <c r="AN183" s="290">
        <v>0</v>
      </c>
      <c r="AO183" s="290">
        <v>2711.2851543699999</v>
      </c>
      <c r="AP183" s="290">
        <v>0</v>
      </c>
      <c r="AQ183" s="290">
        <v>0</v>
      </c>
      <c r="AR183" s="290">
        <v>2661.4650686599998</v>
      </c>
      <c r="AS183" s="290">
        <v>2274</v>
      </c>
      <c r="AT183" s="290">
        <v>751</v>
      </c>
      <c r="AU183" s="290">
        <v>138</v>
      </c>
      <c r="AV183" s="766">
        <v>394283</v>
      </c>
      <c r="AW183" s="290"/>
      <c r="AX183" s="766">
        <v>68.25</v>
      </c>
      <c r="AY183" s="290">
        <v>2524</v>
      </c>
      <c r="AZ183" s="290">
        <v>607</v>
      </c>
      <c r="BA183" s="290">
        <v>305</v>
      </c>
      <c r="BB183" s="290">
        <v>0</v>
      </c>
      <c r="BC183" s="290">
        <v>22202</v>
      </c>
      <c r="BD183" s="290"/>
      <c r="BE183" s="290">
        <v>385037.67210892</v>
      </c>
      <c r="BF183" s="290">
        <v>0</v>
      </c>
      <c r="BG183" s="290">
        <v>12313.064603236337</v>
      </c>
      <c r="BH183" s="290">
        <v>663.3977663784475</v>
      </c>
      <c r="BI183" s="290">
        <v>3541</v>
      </c>
      <c r="BJ183" s="290"/>
      <c r="BK183" s="290"/>
      <c r="BL183" s="290"/>
      <c r="BM183" s="290">
        <v>0</v>
      </c>
      <c r="BN183" s="290">
        <v>5158.9186200000004</v>
      </c>
      <c r="BO183" s="290">
        <v>-6346.7544764963695</v>
      </c>
      <c r="BP183" s="290">
        <v>607.13099999999997</v>
      </c>
      <c r="BQ183" s="290">
        <v>-325.60000000000002</v>
      </c>
      <c r="BR183" s="290">
        <v>-240.13106968177576</v>
      </c>
      <c r="BS183" s="290">
        <v>2.57</v>
      </c>
      <c r="BT183" s="290"/>
      <c r="BU183" s="290">
        <v>0</v>
      </c>
      <c r="BV183" s="290">
        <v>5000</v>
      </c>
      <c r="BW183" s="290">
        <v>-3128</v>
      </c>
      <c r="BX183" s="290">
        <v>1532</v>
      </c>
      <c r="BY183" s="290">
        <v>458</v>
      </c>
      <c r="BZ183" s="290">
        <v>-2378</v>
      </c>
      <c r="CA183" s="290">
        <v>-5.1340738218550541</v>
      </c>
      <c r="CB183" s="290">
        <v>735</v>
      </c>
      <c r="CC183" s="290">
        <v>1771</v>
      </c>
      <c r="CD183" s="290">
        <v>27</v>
      </c>
      <c r="CE183" s="290">
        <v>503</v>
      </c>
      <c r="CF183" s="290">
        <v>21</v>
      </c>
      <c r="CG183" s="290">
        <v>2</v>
      </c>
      <c r="CH183" s="290">
        <v>-14</v>
      </c>
      <c r="CI183" s="290">
        <v>-6072</v>
      </c>
      <c r="CJ183" s="290">
        <v>-16401</v>
      </c>
      <c r="CK183" s="290">
        <f>+innut22!E189+innut22!S189</f>
        <v>455948.37346934009</v>
      </c>
      <c r="CL183" s="290">
        <v>0</v>
      </c>
      <c r="CM183" s="290">
        <v>0</v>
      </c>
      <c r="CN183" s="290">
        <v>0</v>
      </c>
      <c r="CP183" s="290">
        <f>+innut23!E189</f>
        <v>421086.21833609411</v>
      </c>
      <c r="CQ183" s="290"/>
      <c r="CV183" s="85">
        <f t="shared" si="3"/>
        <v>2.5219999999999998</v>
      </c>
    </row>
    <row r="184" spans="1:100" ht="13">
      <c r="A184" s="1">
        <v>3447</v>
      </c>
      <c r="B184" s="2" t="s">
        <v>863</v>
      </c>
      <c r="C184" s="289">
        <v>5535</v>
      </c>
      <c r="D184" s="290">
        <v>77</v>
      </c>
      <c r="E184" s="290">
        <v>198</v>
      </c>
      <c r="F184" s="290">
        <v>556</v>
      </c>
      <c r="G184" s="290">
        <v>419</v>
      </c>
      <c r="H184" s="290">
        <v>3132</v>
      </c>
      <c r="I184" s="290">
        <v>852</v>
      </c>
      <c r="J184" s="290">
        <v>276</v>
      </c>
      <c r="K184" s="290">
        <v>55</v>
      </c>
      <c r="L184" s="290">
        <v>51</v>
      </c>
      <c r="M184" s="290">
        <v>574</v>
      </c>
      <c r="N184" s="290">
        <v>92</v>
      </c>
      <c r="O184" s="290">
        <v>45</v>
      </c>
      <c r="P184" s="624">
        <v>34385.954333330003</v>
      </c>
      <c r="Q184" s="624">
        <v>24404.166000000001</v>
      </c>
      <c r="R184" s="624">
        <v>30</v>
      </c>
      <c r="S184" s="290">
        <v>74</v>
      </c>
      <c r="T184" s="290">
        <v>549</v>
      </c>
      <c r="U184" s="958">
        <v>2.9559494478721693E-3</v>
      </c>
      <c r="V184" s="290">
        <v>716.51636639000003</v>
      </c>
      <c r="W184" s="765">
        <v>0.75201370000000001</v>
      </c>
      <c r="X184" s="290">
        <v>1000</v>
      </c>
      <c r="Y184" s="290"/>
      <c r="Z184" s="290">
        <f>innut22!E190</f>
        <v>151342.38284391418</v>
      </c>
      <c r="AA184" s="290">
        <v>0</v>
      </c>
      <c r="AB184" s="290">
        <v>246</v>
      </c>
      <c r="AC184" s="290">
        <v>912</v>
      </c>
      <c r="AD184" s="290"/>
      <c r="AE184" s="290">
        <v>0</v>
      </c>
      <c r="AF184" s="290">
        <v>0</v>
      </c>
      <c r="AG184" s="290">
        <v>5565</v>
      </c>
      <c r="AH184" s="290">
        <v>822</v>
      </c>
      <c r="AI184" s="290">
        <v>1000</v>
      </c>
      <c r="AJ184" s="290">
        <v>0</v>
      </c>
      <c r="AK184" s="290">
        <v>0</v>
      </c>
      <c r="AL184" s="290">
        <v>0</v>
      </c>
      <c r="AM184" s="957">
        <v>0.11254531</v>
      </c>
      <c r="AN184" s="290">
        <v>7907</v>
      </c>
      <c r="AO184" s="290">
        <v>1158.79396176</v>
      </c>
      <c r="AP184" s="290">
        <v>0</v>
      </c>
      <c r="AQ184" s="290">
        <v>0</v>
      </c>
      <c r="AR184" s="290">
        <v>-268.45917391</v>
      </c>
      <c r="AS184" s="290">
        <v>1918</v>
      </c>
      <c r="AT184" s="290">
        <v>310</v>
      </c>
      <c r="AU184" s="290">
        <v>50</v>
      </c>
      <c r="AV184" s="766">
        <v>180143</v>
      </c>
      <c r="AW184" s="290"/>
      <c r="AX184" s="766">
        <v>23.791699999999999</v>
      </c>
      <c r="AY184" s="290">
        <v>948</v>
      </c>
      <c r="AZ184" s="290">
        <v>226</v>
      </c>
      <c r="BA184" s="290">
        <v>104</v>
      </c>
      <c r="BB184" s="290">
        <v>0</v>
      </c>
      <c r="BC184" s="290">
        <v>9608</v>
      </c>
      <c r="BD184" s="290"/>
      <c r="BE184" s="290">
        <v>179843.84347453999</v>
      </c>
      <c r="BF184" s="290">
        <v>0</v>
      </c>
      <c r="BG184" s="290">
        <v>4999.106035275664</v>
      </c>
      <c r="BH184" s="290">
        <v>269.339590471995</v>
      </c>
      <c r="BI184" s="290">
        <v>1734</v>
      </c>
      <c r="BJ184" s="290"/>
      <c r="BK184" s="290"/>
      <c r="BL184" s="290"/>
      <c r="BM184" s="290">
        <v>0</v>
      </c>
      <c r="BN184" s="290">
        <v>2204.9040999999997</v>
      </c>
      <c r="BO184" s="290">
        <v>-2593.0319845607733</v>
      </c>
      <c r="BP184" s="290">
        <v>252.38</v>
      </c>
      <c r="BQ184" s="290">
        <v>-135.34899999999999</v>
      </c>
      <c r="BR184" s="290">
        <v>-93.528999947316407</v>
      </c>
      <c r="BS184" s="290">
        <v>1.194</v>
      </c>
      <c r="BT184" s="290"/>
      <c r="BU184" s="290">
        <v>0</v>
      </c>
      <c r="BV184" s="290">
        <v>1500</v>
      </c>
      <c r="BW184" s="290">
        <v>-1278</v>
      </c>
      <c r="BX184" s="290">
        <v>599</v>
      </c>
      <c r="BY184" s="290">
        <v>193</v>
      </c>
      <c r="BZ184" s="290">
        <v>-971</v>
      </c>
      <c r="CA184" s="290">
        <v>-3.5681154919101346</v>
      </c>
      <c r="CB184" s="290">
        <v>309</v>
      </c>
      <c r="CC184" s="290">
        <v>724</v>
      </c>
      <c r="CD184" s="290">
        <v>11</v>
      </c>
      <c r="CE184" s="290">
        <v>204</v>
      </c>
      <c r="CF184" s="290">
        <v>10</v>
      </c>
      <c r="CG184" s="290">
        <v>1</v>
      </c>
      <c r="CH184" s="290">
        <v>-6</v>
      </c>
      <c r="CI184" s="290">
        <v>-2465</v>
      </c>
      <c r="CJ184" s="290">
        <v>-6716</v>
      </c>
      <c r="CK184" s="290">
        <f>+innut22!E190+innut22!S190</f>
        <v>151342.38284391418</v>
      </c>
      <c r="CL184" s="290">
        <v>0</v>
      </c>
      <c r="CM184" s="290">
        <v>0</v>
      </c>
      <c r="CN184" s="290">
        <v>0</v>
      </c>
      <c r="CP184" s="290">
        <f>+innut23!E190</f>
        <v>139993.0295167208</v>
      </c>
      <c r="CQ184" s="290"/>
      <c r="CV184" s="85">
        <f t="shared" si="3"/>
        <v>1.03</v>
      </c>
    </row>
    <row r="185" spans="1:100" ht="13">
      <c r="A185" s="1">
        <v>3448</v>
      </c>
      <c r="B185" s="2" t="s">
        <v>864</v>
      </c>
      <c r="C185" s="289">
        <v>6577</v>
      </c>
      <c r="D185" s="290">
        <v>101</v>
      </c>
      <c r="E185" s="290">
        <v>246</v>
      </c>
      <c r="F185" s="290">
        <v>704</v>
      </c>
      <c r="G185" s="290">
        <v>476</v>
      </c>
      <c r="H185" s="290">
        <v>3641</v>
      </c>
      <c r="I185" s="290">
        <v>1001</v>
      </c>
      <c r="J185" s="290">
        <v>325</v>
      </c>
      <c r="K185" s="290">
        <v>62</v>
      </c>
      <c r="L185" s="290">
        <v>64</v>
      </c>
      <c r="M185" s="290">
        <v>692</v>
      </c>
      <c r="N185" s="290">
        <v>91</v>
      </c>
      <c r="O185" s="290">
        <v>48</v>
      </c>
      <c r="P185" s="624">
        <v>51591.256333329999</v>
      </c>
      <c r="Q185" s="624">
        <v>24483.090333330001</v>
      </c>
      <c r="R185" s="624">
        <v>35</v>
      </c>
      <c r="S185" s="290">
        <v>78</v>
      </c>
      <c r="T185" s="290">
        <v>608</v>
      </c>
      <c r="U185" s="958">
        <v>4.9846797983602604E-3</v>
      </c>
      <c r="V185" s="290">
        <v>3175.1732503600001</v>
      </c>
      <c r="W185" s="765">
        <v>0.68845091000000003</v>
      </c>
      <c r="X185" s="290">
        <v>2200</v>
      </c>
      <c r="Y185" s="290"/>
      <c r="Z185" s="290">
        <f>innut22!E191</f>
        <v>181502.47676777741</v>
      </c>
      <c r="AA185" s="290">
        <v>0</v>
      </c>
      <c r="AB185" s="290">
        <v>239</v>
      </c>
      <c r="AC185" s="290">
        <v>628</v>
      </c>
      <c r="AD185" s="290"/>
      <c r="AE185" s="290">
        <v>0</v>
      </c>
      <c r="AF185" s="290">
        <v>0</v>
      </c>
      <c r="AG185" s="290">
        <v>6556</v>
      </c>
      <c r="AH185" s="290">
        <v>1028</v>
      </c>
      <c r="AI185" s="290">
        <v>1000</v>
      </c>
      <c r="AJ185" s="290">
        <v>0</v>
      </c>
      <c r="AK185" s="290">
        <v>0</v>
      </c>
      <c r="AL185" s="290">
        <v>0</v>
      </c>
      <c r="AM185" s="957">
        <v>0.10112645000000001</v>
      </c>
      <c r="AN185" s="290">
        <v>5458</v>
      </c>
      <c r="AO185" s="290">
        <v>1379.1562500099999</v>
      </c>
      <c r="AP185" s="290">
        <v>0</v>
      </c>
      <c r="AQ185" s="290">
        <v>0</v>
      </c>
      <c r="AR185" s="290">
        <v>-316.26565033999998</v>
      </c>
      <c r="AS185" s="290">
        <v>2285</v>
      </c>
      <c r="AT185" s="290">
        <v>334</v>
      </c>
      <c r="AU185" s="290">
        <v>47</v>
      </c>
      <c r="AV185" s="766">
        <v>214843</v>
      </c>
      <c r="AW185" s="290"/>
      <c r="AX185" s="766">
        <v>36.708300000000001</v>
      </c>
      <c r="AY185" s="290">
        <v>1052</v>
      </c>
      <c r="AZ185" s="290">
        <v>279</v>
      </c>
      <c r="BA185" s="290">
        <v>101</v>
      </c>
      <c r="BB185" s="290">
        <v>0</v>
      </c>
      <c r="BC185" s="290">
        <v>11214</v>
      </c>
      <c r="BD185" s="290"/>
      <c r="BE185" s="290">
        <v>215231.53124253001</v>
      </c>
      <c r="BF185" s="290">
        <v>0</v>
      </c>
      <c r="BG185" s="290">
        <v>5940.2204867223199</v>
      </c>
      <c r="BH185" s="290">
        <v>320.0445323458556</v>
      </c>
      <c r="BI185" s="290">
        <v>1656</v>
      </c>
      <c r="BJ185" s="290"/>
      <c r="BK185" s="290"/>
      <c r="BL185" s="290"/>
      <c r="BM185" s="290">
        <v>0</v>
      </c>
      <c r="BN185" s="290">
        <v>2624.2001199999995</v>
      </c>
      <c r="BO185" s="290">
        <v>-3054.7920378760882</v>
      </c>
      <c r="BP185" s="290">
        <v>316.57</v>
      </c>
      <c r="BQ185" s="290">
        <v>-169.774</v>
      </c>
      <c r="BR185" s="290">
        <v>-116.12911466558867</v>
      </c>
      <c r="BS185" s="290">
        <v>1.381</v>
      </c>
      <c r="BT185" s="290"/>
      <c r="BU185" s="290">
        <v>0</v>
      </c>
      <c r="BV185" s="290">
        <v>1500</v>
      </c>
      <c r="BW185" s="290">
        <v>-1506</v>
      </c>
      <c r="BX185" s="290">
        <v>744</v>
      </c>
      <c r="BY185" s="290">
        <v>204</v>
      </c>
      <c r="BZ185" s="290">
        <v>-1144</v>
      </c>
      <c r="CA185" s="290">
        <v>-2.4559674583225615</v>
      </c>
      <c r="CB185" s="290">
        <v>327</v>
      </c>
      <c r="CC185" s="290">
        <v>853</v>
      </c>
      <c r="CD185" s="290">
        <v>12</v>
      </c>
      <c r="CE185" s="290">
        <v>242</v>
      </c>
      <c r="CF185" s="290">
        <v>11</v>
      </c>
      <c r="CG185" s="290">
        <v>1</v>
      </c>
      <c r="CH185" s="290">
        <v>-7</v>
      </c>
      <c r="CI185" s="290">
        <v>-2929</v>
      </c>
      <c r="CJ185" s="290">
        <v>-7801</v>
      </c>
      <c r="CK185" s="290">
        <f>+innut22!E191+innut22!S191</f>
        <v>181502.47676777741</v>
      </c>
      <c r="CL185" s="290">
        <v>0</v>
      </c>
      <c r="CM185" s="290">
        <v>0</v>
      </c>
      <c r="CN185" s="290">
        <v>0</v>
      </c>
      <c r="CP185" s="290">
        <f>+innut23!E191</f>
        <v>171019.59658615338</v>
      </c>
      <c r="CQ185" s="290"/>
      <c r="CV185" s="85">
        <f t="shared" si="3"/>
        <v>1.214</v>
      </c>
    </row>
    <row r="186" spans="1:100" ht="13">
      <c r="A186" s="1">
        <v>3449</v>
      </c>
      <c r="B186" s="2" t="s">
        <v>865</v>
      </c>
      <c r="C186" s="289">
        <v>2889</v>
      </c>
      <c r="D186" s="290">
        <v>25</v>
      </c>
      <c r="E186" s="290">
        <v>97</v>
      </c>
      <c r="F186" s="290">
        <v>306</v>
      </c>
      <c r="G186" s="290">
        <v>240</v>
      </c>
      <c r="H186" s="290">
        <v>1566</v>
      </c>
      <c r="I186" s="290">
        <v>467</v>
      </c>
      <c r="J186" s="290">
        <v>170</v>
      </c>
      <c r="K186" s="290">
        <v>42</v>
      </c>
      <c r="L186" s="290">
        <v>25</v>
      </c>
      <c r="M186" s="290">
        <v>321</v>
      </c>
      <c r="N186" s="290">
        <v>45</v>
      </c>
      <c r="O186" s="290">
        <v>27</v>
      </c>
      <c r="P186" s="624">
        <v>46902.236666670004</v>
      </c>
      <c r="Q186" s="624">
        <v>10269.962</v>
      </c>
      <c r="R186" s="624">
        <v>30</v>
      </c>
      <c r="S186" s="290">
        <v>36</v>
      </c>
      <c r="T186" s="290">
        <v>296</v>
      </c>
      <c r="U186" s="958">
        <v>3.0990361227996861E-3</v>
      </c>
      <c r="V186" s="290">
        <v>1905.7214832699999</v>
      </c>
      <c r="W186" s="765">
        <v>0.93949181000000004</v>
      </c>
      <c r="X186" s="290">
        <v>1000</v>
      </c>
      <c r="Y186" s="290"/>
      <c r="Z186" s="290">
        <f>innut22!E192</f>
        <v>92149.360527042954</v>
      </c>
      <c r="AA186" s="290">
        <v>0</v>
      </c>
      <c r="AB186" s="290">
        <v>86</v>
      </c>
      <c r="AC186" s="290">
        <v>1081</v>
      </c>
      <c r="AD186" s="290"/>
      <c r="AE186" s="290">
        <v>0</v>
      </c>
      <c r="AF186" s="290">
        <v>0</v>
      </c>
      <c r="AG186" s="290">
        <v>2913</v>
      </c>
      <c r="AH186" s="290">
        <v>430</v>
      </c>
      <c r="AI186" s="290">
        <v>0</v>
      </c>
      <c r="AJ186" s="290">
        <v>0</v>
      </c>
      <c r="AK186" s="290">
        <v>0</v>
      </c>
      <c r="AL186" s="290">
        <v>0</v>
      </c>
      <c r="AM186" s="957">
        <v>6.7518729999999999E-2</v>
      </c>
      <c r="AN186" s="290">
        <v>0</v>
      </c>
      <c r="AO186" s="290">
        <v>711.46844403</v>
      </c>
      <c r="AP186" s="290">
        <v>0</v>
      </c>
      <c r="AQ186" s="290">
        <v>0</v>
      </c>
      <c r="AR186" s="290">
        <v>2486.96630121</v>
      </c>
      <c r="AS186" s="290">
        <v>753</v>
      </c>
      <c r="AT186" s="290">
        <v>146</v>
      </c>
      <c r="AU186" s="290">
        <v>26</v>
      </c>
      <c r="AV186" s="766">
        <v>133358</v>
      </c>
      <c r="AW186" s="290"/>
      <c r="AX186" s="766">
        <v>4.5833500000000003</v>
      </c>
      <c r="AY186" s="290">
        <v>493</v>
      </c>
      <c r="AZ186" s="290">
        <v>150</v>
      </c>
      <c r="BA186" s="290">
        <v>43</v>
      </c>
      <c r="BB186" s="290">
        <v>6034</v>
      </c>
      <c r="BC186" s="290">
        <v>5044</v>
      </c>
      <c r="BD186" s="290"/>
      <c r="BE186" s="290">
        <v>130490.26111380001</v>
      </c>
      <c r="BF186" s="290">
        <v>0</v>
      </c>
      <c r="BG186" s="290">
        <v>2609.289491582907</v>
      </c>
      <c r="BH186" s="290">
        <v>140.58212770977295</v>
      </c>
      <c r="BI186" s="290">
        <v>1511</v>
      </c>
      <c r="BJ186" s="290"/>
      <c r="BK186" s="290"/>
      <c r="BL186" s="290"/>
      <c r="BM186" s="290">
        <v>0</v>
      </c>
      <c r="BN186" s="290">
        <v>1353.7520400000001</v>
      </c>
      <c r="BO186" s="290">
        <v>-1357.3229417835639</v>
      </c>
      <c r="BP186" s="290">
        <v>118.36</v>
      </c>
      <c r="BQ186" s="290">
        <v>-63.475999999999999</v>
      </c>
      <c r="BR186" s="290">
        <v>-56.555383254119555</v>
      </c>
      <c r="BS186" s="290">
        <v>0.76100000000000001</v>
      </c>
      <c r="BT186" s="290"/>
      <c r="BU186" s="290">
        <v>0</v>
      </c>
      <c r="BV186" s="290">
        <v>2000</v>
      </c>
      <c r="BW186" s="290">
        <v>-669</v>
      </c>
      <c r="BX186" s="290">
        <v>357</v>
      </c>
      <c r="BY186" s="290">
        <v>95</v>
      </c>
      <c r="BZ186" s="290">
        <v>-508</v>
      </c>
      <c r="CA186" s="290">
        <v>145.48128503768339</v>
      </c>
      <c r="CB186" s="290">
        <v>152</v>
      </c>
      <c r="CC186" s="290">
        <v>379</v>
      </c>
      <c r="CD186" s="290">
        <v>6</v>
      </c>
      <c r="CE186" s="290">
        <v>107</v>
      </c>
      <c r="CF186" s="290">
        <v>6</v>
      </c>
      <c r="CG186" s="290">
        <v>0</v>
      </c>
      <c r="CH186" s="290">
        <v>-4</v>
      </c>
      <c r="CI186" s="290">
        <v>-1287</v>
      </c>
      <c r="CJ186" s="290">
        <v>-3489</v>
      </c>
      <c r="CK186" s="290">
        <f>+innut22!E192+innut22!S192</f>
        <v>92149.360527042954</v>
      </c>
      <c r="CL186" s="290">
        <v>0</v>
      </c>
      <c r="CM186" s="290">
        <v>0</v>
      </c>
      <c r="CN186" s="290">
        <v>0</v>
      </c>
      <c r="CP186" s="290">
        <f>+innut23!E192</f>
        <v>85851.126895935929</v>
      </c>
      <c r="CQ186" s="290"/>
      <c r="CV186" s="85">
        <f t="shared" si="3"/>
        <v>0.53900000000000003</v>
      </c>
    </row>
    <row r="187" spans="1:100" ht="13">
      <c r="A187" s="1">
        <v>3450</v>
      </c>
      <c r="B187" s="2" t="s">
        <v>866</v>
      </c>
      <c r="C187" s="289">
        <v>1256</v>
      </c>
      <c r="D187" s="290">
        <v>6</v>
      </c>
      <c r="E187" s="290">
        <v>36</v>
      </c>
      <c r="F187" s="290">
        <v>138</v>
      </c>
      <c r="G187" s="290">
        <v>108</v>
      </c>
      <c r="H187" s="290">
        <v>650</v>
      </c>
      <c r="I187" s="290">
        <v>204</v>
      </c>
      <c r="J187" s="290">
        <v>91</v>
      </c>
      <c r="K187" s="290">
        <v>16</v>
      </c>
      <c r="L187" s="290">
        <v>11</v>
      </c>
      <c r="M187" s="290">
        <v>169</v>
      </c>
      <c r="N187" s="290">
        <v>25</v>
      </c>
      <c r="O187" s="290">
        <v>16</v>
      </c>
      <c r="P187" s="624">
        <v>11579.300999999999</v>
      </c>
      <c r="Q187" s="624">
        <v>7924.4116666700002</v>
      </c>
      <c r="R187" s="624">
        <v>7</v>
      </c>
      <c r="S187" s="290">
        <v>17</v>
      </c>
      <c r="T187" s="290">
        <v>140</v>
      </c>
      <c r="U187" s="958">
        <v>1.6192172354495085E-3</v>
      </c>
      <c r="V187" s="290">
        <v>896.32031651</v>
      </c>
      <c r="W187" s="765">
        <v>0.90437371</v>
      </c>
      <c r="X187" s="290">
        <v>1000</v>
      </c>
      <c r="Y187" s="290"/>
      <c r="Z187" s="290">
        <f>innut22!E193</f>
        <v>37086.251225899105</v>
      </c>
      <c r="AA187" s="290">
        <v>0</v>
      </c>
      <c r="AB187" s="290">
        <v>36</v>
      </c>
      <c r="AC187" s="290">
        <v>412</v>
      </c>
      <c r="AD187" s="290"/>
      <c r="AE187" s="290">
        <v>0</v>
      </c>
      <c r="AF187" s="290">
        <v>0</v>
      </c>
      <c r="AG187" s="290">
        <v>1249</v>
      </c>
      <c r="AH187" s="290">
        <v>184</v>
      </c>
      <c r="AI187" s="290">
        <v>0</v>
      </c>
      <c r="AJ187" s="290">
        <v>0</v>
      </c>
      <c r="AK187" s="290">
        <v>0</v>
      </c>
      <c r="AL187" s="290">
        <v>0</v>
      </c>
      <c r="AM187" s="957">
        <v>3.588496E-2</v>
      </c>
      <c r="AN187" s="290">
        <v>0</v>
      </c>
      <c r="AO187" s="290">
        <v>334.62582363000001</v>
      </c>
      <c r="AP187" s="290">
        <v>0</v>
      </c>
      <c r="AQ187" s="290">
        <v>0</v>
      </c>
      <c r="AR187" s="290">
        <v>-60.25256212</v>
      </c>
      <c r="AS187" s="290">
        <v>332</v>
      </c>
      <c r="AT187" s="290">
        <v>63</v>
      </c>
      <c r="AU187" s="290">
        <v>9</v>
      </c>
      <c r="AV187" s="766">
        <v>69328</v>
      </c>
      <c r="AW187" s="290"/>
      <c r="AX187" s="766">
        <v>1.54165</v>
      </c>
      <c r="AY187" s="290">
        <v>217</v>
      </c>
      <c r="AZ187" s="290">
        <v>100</v>
      </c>
      <c r="BA187" s="290">
        <v>26</v>
      </c>
      <c r="BB187" s="290">
        <v>6034</v>
      </c>
      <c r="BC187" s="290">
        <v>2484</v>
      </c>
      <c r="BD187" s="290"/>
      <c r="BE187" s="290">
        <v>68972.765051709997</v>
      </c>
      <c r="BF187" s="290">
        <v>0</v>
      </c>
      <c r="BG187" s="290">
        <v>1134.3951545268715</v>
      </c>
      <c r="BH187" s="290">
        <v>61.11843281532532</v>
      </c>
      <c r="BI187" s="290">
        <v>596</v>
      </c>
      <c r="BJ187" s="290"/>
      <c r="BK187" s="290"/>
      <c r="BL187" s="290"/>
      <c r="BM187" s="290">
        <v>0</v>
      </c>
      <c r="BN187" s="290">
        <v>636.71186</v>
      </c>
      <c r="BO187" s="290">
        <v>-581.97609141355008</v>
      </c>
      <c r="BP187" s="290">
        <v>44.610999999999997</v>
      </c>
      <c r="BQ187" s="290">
        <v>-23.925000000000001</v>
      </c>
      <c r="BR187" s="290">
        <v>-27.223835709694331</v>
      </c>
      <c r="BS187" s="290">
        <v>0.41199999999999998</v>
      </c>
      <c r="BT187" s="290"/>
      <c r="BU187" s="290">
        <v>0</v>
      </c>
      <c r="BV187" s="290">
        <v>500</v>
      </c>
      <c r="BW187" s="290">
        <v>-287</v>
      </c>
      <c r="BX187" s="290">
        <v>175</v>
      </c>
      <c r="BY187" s="290">
        <v>44</v>
      </c>
      <c r="BZ187" s="290">
        <v>-218</v>
      </c>
      <c r="CA187" s="290">
        <v>-1.6099328767555789</v>
      </c>
      <c r="CB187" s="290">
        <v>71</v>
      </c>
      <c r="CC187" s="290">
        <v>162</v>
      </c>
      <c r="CD187" s="290">
        <v>3</v>
      </c>
      <c r="CE187" s="290">
        <v>46</v>
      </c>
      <c r="CF187" s="290">
        <v>3</v>
      </c>
      <c r="CG187" s="290">
        <v>0</v>
      </c>
      <c r="CH187" s="290">
        <v>-2</v>
      </c>
      <c r="CI187" s="290">
        <v>-559</v>
      </c>
      <c r="CJ187" s="290">
        <v>-1502</v>
      </c>
      <c r="CK187" s="290">
        <f>+innut22!E193+innut22!S193</f>
        <v>37086.251225899105</v>
      </c>
      <c r="CL187" s="290">
        <v>0</v>
      </c>
      <c r="CM187" s="290">
        <v>0</v>
      </c>
      <c r="CN187" s="290">
        <v>0</v>
      </c>
      <c r="CP187" s="290">
        <f>+innut23!E193</f>
        <v>35174.58212769121</v>
      </c>
      <c r="CQ187" s="290"/>
      <c r="CV187" s="85">
        <f t="shared" si="3"/>
        <v>0.23100000000000001</v>
      </c>
    </row>
    <row r="188" spans="1:100" ht="13">
      <c r="A188" s="1">
        <v>3451</v>
      </c>
      <c r="B188" s="2" t="s">
        <v>867</v>
      </c>
      <c r="C188" s="289">
        <v>6354</v>
      </c>
      <c r="D188" s="290">
        <v>107</v>
      </c>
      <c r="E188" s="290">
        <v>223</v>
      </c>
      <c r="F188" s="290">
        <v>658</v>
      </c>
      <c r="G188" s="290">
        <v>512</v>
      </c>
      <c r="H188" s="290">
        <v>3455</v>
      </c>
      <c r="I188" s="290">
        <v>1034</v>
      </c>
      <c r="J188" s="290">
        <v>300</v>
      </c>
      <c r="K188" s="290">
        <v>69</v>
      </c>
      <c r="L188" s="290">
        <v>55</v>
      </c>
      <c r="M188" s="290">
        <v>661</v>
      </c>
      <c r="N188" s="290">
        <v>104</v>
      </c>
      <c r="O188" s="290">
        <v>66</v>
      </c>
      <c r="P188" s="624">
        <v>45380.762666670002</v>
      </c>
      <c r="Q188" s="624">
        <v>15472.138000000001</v>
      </c>
      <c r="R188" s="624">
        <v>35</v>
      </c>
      <c r="S188" s="290">
        <v>76</v>
      </c>
      <c r="T188" s="290">
        <v>670</v>
      </c>
      <c r="U188" s="958">
        <v>4.5130593592910863E-3</v>
      </c>
      <c r="V188" s="290">
        <v>98.273306169999998</v>
      </c>
      <c r="W188" s="765">
        <v>0.65796334000000001</v>
      </c>
      <c r="X188" s="290">
        <v>1000</v>
      </c>
      <c r="Y188" s="290"/>
      <c r="Z188" s="290">
        <f>innut22!E194</f>
        <v>214906.42438056346</v>
      </c>
      <c r="AA188" s="290">
        <v>0</v>
      </c>
      <c r="AB188" s="290">
        <v>149</v>
      </c>
      <c r="AC188" s="290">
        <v>485</v>
      </c>
      <c r="AD188" s="290"/>
      <c r="AE188" s="290">
        <v>0</v>
      </c>
      <c r="AF188" s="290">
        <v>0</v>
      </c>
      <c r="AG188" s="290">
        <v>6358</v>
      </c>
      <c r="AH188" s="290">
        <v>979</v>
      </c>
      <c r="AI188" s="290">
        <v>0</v>
      </c>
      <c r="AJ188" s="290">
        <v>0</v>
      </c>
      <c r="AK188" s="290">
        <v>0</v>
      </c>
      <c r="AL188" s="290">
        <v>0</v>
      </c>
      <c r="AM188" s="957">
        <v>0.11611962000000001</v>
      </c>
      <c r="AN188" s="290">
        <v>8831</v>
      </c>
      <c r="AO188" s="290">
        <v>1315.5030188999999</v>
      </c>
      <c r="AP188" s="290">
        <v>0</v>
      </c>
      <c r="AQ188" s="290">
        <v>0</v>
      </c>
      <c r="AR188" s="290">
        <v>-306.71400318000002</v>
      </c>
      <c r="AS188" s="290">
        <v>1597</v>
      </c>
      <c r="AT188" s="290">
        <v>347</v>
      </c>
      <c r="AU188" s="290">
        <v>48</v>
      </c>
      <c r="AV188" s="766">
        <v>201535</v>
      </c>
      <c r="AW188" s="290"/>
      <c r="AX188" s="766">
        <v>35.958350000000003</v>
      </c>
      <c r="AY188" s="290">
        <v>1306</v>
      </c>
      <c r="AZ188" s="290">
        <v>282</v>
      </c>
      <c r="BA188" s="290">
        <v>111</v>
      </c>
      <c r="BB188" s="290">
        <v>0</v>
      </c>
      <c r="BC188" s="290">
        <v>10862</v>
      </c>
      <c r="BD188" s="290"/>
      <c r="BE188" s="290">
        <v>201333.40546390001</v>
      </c>
      <c r="BF188" s="290">
        <v>0</v>
      </c>
      <c r="BG188" s="290">
        <v>5738.8111559424697</v>
      </c>
      <c r="BH188" s="290">
        <v>309.19309085077799</v>
      </c>
      <c r="BI188" s="290">
        <v>1464</v>
      </c>
      <c r="BJ188" s="290"/>
      <c r="BK188" s="290"/>
      <c r="BL188" s="290"/>
      <c r="BM188" s="290">
        <v>0</v>
      </c>
      <c r="BN188" s="290">
        <v>2503.0834599999998</v>
      </c>
      <c r="BO188" s="290">
        <v>-2962.533217940233</v>
      </c>
      <c r="BP188" s="290">
        <v>297.70400000000001</v>
      </c>
      <c r="BQ188" s="290">
        <v>-159.65700000000001</v>
      </c>
      <c r="BR188" s="290">
        <v>-109.08323085980786</v>
      </c>
      <c r="BS188" s="290">
        <v>1.321</v>
      </c>
      <c r="BT188" s="290"/>
      <c r="BU188" s="290">
        <v>0</v>
      </c>
      <c r="BV188" s="290">
        <v>1000</v>
      </c>
      <c r="BW188" s="290">
        <v>-1460</v>
      </c>
      <c r="BX188" s="290">
        <v>693</v>
      </c>
      <c r="BY188" s="290">
        <v>199</v>
      </c>
      <c r="BZ188" s="290">
        <v>-1110</v>
      </c>
      <c r="CA188" s="290">
        <v>-13.835011199958956</v>
      </c>
      <c r="CB188" s="290">
        <v>319</v>
      </c>
      <c r="CC188" s="290">
        <v>827</v>
      </c>
      <c r="CD188" s="290">
        <v>12</v>
      </c>
      <c r="CE188" s="290">
        <v>234</v>
      </c>
      <c r="CF188" s="290">
        <v>11</v>
      </c>
      <c r="CG188" s="290">
        <v>1</v>
      </c>
      <c r="CH188" s="290">
        <v>-7</v>
      </c>
      <c r="CI188" s="290">
        <v>-2830</v>
      </c>
      <c r="CJ188" s="290">
        <v>-7650</v>
      </c>
      <c r="CK188" s="290">
        <f>+innut22!E194+innut22!S194</f>
        <v>214906.42438056346</v>
      </c>
      <c r="CL188" s="290">
        <v>0</v>
      </c>
      <c r="CM188" s="290">
        <v>0</v>
      </c>
      <c r="CN188" s="290">
        <v>0</v>
      </c>
      <c r="CP188" s="290">
        <f>+innut23!E194</f>
        <v>200420.48987232373</v>
      </c>
      <c r="CQ188" s="290"/>
      <c r="CV188" s="85">
        <f t="shared" si="3"/>
        <v>1.177</v>
      </c>
    </row>
    <row r="189" spans="1:100" ht="13">
      <c r="A189" s="1">
        <v>3452</v>
      </c>
      <c r="B189" s="2" t="s">
        <v>868</v>
      </c>
      <c r="C189" s="289">
        <v>2111</v>
      </c>
      <c r="D189" s="290">
        <v>25</v>
      </c>
      <c r="E189" s="290">
        <v>70</v>
      </c>
      <c r="F189" s="290">
        <v>233</v>
      </c>
      <c r="G189" s="290">
        <v>163</v>
      </c>
      <c r="H189" s="290">
        <v>1183</v>
      </c>
      <c r="I189" s="290">
        <v>304</v>
      </c>
      <c r="J189" s="290">
        <v>107</v>
      </c>
      <c r="K189" s="290">
        <v>19</v>
      </c>
      <c r="L189" s="290">
        <v>19</v>
      </c>
      <c r="M189" s="290">
        <v>212</v>
      </c>
      <c r="N189" s="290">
        <v>26</v>
      </c>
      <c r="O189" s="290">
        <v>26</v>
      </c>
      <c r="P189" s="624">
        <v>16537.589</v>
      </c>
      <c r="Q189" s="624">
        <v>8952.2983333299999</v>
      </c>
      <c r="R189" s="624">
        <v>5</v>
      </c>
      <c r="S189" s="290">
        <v>24</v>
      </c>
      <c r="T189" s="290">
        <v>211</v>
      </c>
      <c r="U189" s="958">
        <v>3.2136753826827588E-3</v>
      </c>
      <c r="V189" s="290">
        <v>607.10734149999996</v>
      </c>
      <c r="W189" s="765">
        <v>0.76707265000000002</v>
      </c>
      <c r="X189" s="290">
        <v>0</v>
      </c>
      <c r="Y189" s="290"/>
      <c r="Z189" s="290">
        <f>innut22!E195</f>
        <v>83369.095473872294</v>
      </c>
      <c r="AA189" s="290">
        <v>0</v>
      </c>
      <c r="AB189" s="290">
        <v>48</v>
      </c>
      <c r="AC189" s="290">
        <v>432</v>
      </c>
      <c r="AD189" s="290"/>
      <c r="AE189" s="290">
        <v>0</v>
      </c>
      <c r="AF189" s="290">
        <v>0</v>
      </c>
      <c r="AG189" s="290">
        <v>2104</v>
      </c>
      <c r="AH189" s="290">
        <v>329</v>
      </c>
      <c r="AI189" s="290">
        <v>1000</v>
      </c>
      <c r="AJ189" s="290">
        <v>0</v>
      </c>
      <c r="AK189" s="290">
        <v>0</v>
      </c>
      <c r="AL189" s="290">
        <v>0</v>
      </c>
      <c r="AM189" s="957">
        <v>3.8706839999999999E-2</v>
      </c>
      <c r="AN189" s="290">
        <v>0</v>
      </c>
      <c r="AO189" s="290">
        <v>459.16482037999998</v>
      </c>
      <c r="AP189" s="290">
        <v>0</v>
      </c>
      <c r="AQ189" s="290">
        <v>0</v>
      </c>
      <c r="AR189" s="290">
        <v>-101.49831121</v>
      </c>
      <c r="AS189" s="290">
        <v>575</v>
      </c>
      <c r="AT189" s="290">
        <v>109</v>
      </c>
      <c r="AU189" s="290">
        <v>19</v>
      </c>
      <c r="AV189" s="766">
        <v>78947</v>
      </c>
      <c r="AW189" s="290"/>
      <c r="AX189" s="766">
        <v>6.8750499999999999</v>
      </c>
      <c r="AY189" s="290">
        <v>401</v>
      </c>
      <c r="AZ189" s="290">
        <v>84</v>
      </c>
      <c r="BA189" s="290">
        <v>42</v>
      </c>
      <c r="BB189" s="290">
        <v>6034</v>
      </c>
      <c r="BC189" s="290">
        <v>3811</v>
      </c>
      <c r="BD189" s="290"/>
      <c r="BE189" s="290">
        <v>77493.778366429993</v>
      </c>
      <c r="BF189" s="290">
        <v>0</v>
      </c>
      <c r="BG189" s="290">
        <v>1906.614785992218</v>
      </c>
      <c r="BH189" s="290">
        <v>102.72373540856032</v>
      </c>
      <c r="BI189" s="290">
        <v>761</v>
      </c>
      <c r="BJ189" s="290"/>
      <c r="BK189" s="290"/>
      <c r="BL189" s="290"/>
      <c r="BM189" s="290">
        <v>0</v>
      </c>
      <c r="BN189" s="290">
        <v>873.67938000000004</v>
      </c>
      <c r="BO189" s="290">
        <v>-980.36645022746939</v>
      </c>
      <c r="BP189" s="290">
        <v>89.512</v>
      </c>
      <c r="BQ189" s="290">
        <v>-48.003999999999998</v>
      </c>
      <c r="BR189" s="290">
        <v>-40.664166406527528</v>
      </c>
      <c r="BS189" s="290">
        <v>0.53100000000000003</v>
      </c>
      <c r="BT189" s="290"/>
      <c r="BU189" s="290">
        <v>0</v>
      </c>
      <c r="BV189" s="290">
        <v>500</v>
      </c>
      <c r="BW189" s="290">
        <v>-483</v>
      </c>
      <c r="BX189" s="290">
        <v>266</v>
      </c>
      <c r="BY189" s="290">
        <v>63</v>
      </c>
      <c r="BZ189" s="290">
        <v>-367</v>
      </c>
      <c r="CA189" s="290">
        <v>-1.6877633660031393</v>
      </c>
      <c r="CB189" s="290">
        <v>101</v>
      </c>
      <c r="CC189" s="290">
        <v>274</v>
      </c>
      <c r="CD189" s="290">
        <v>4</v>
      </c>
      <c r="CE189" s="290">
        <v>78</v>
      </c>
      <c r="CF189" s="290">
        <v>4</v>
      </c>
      <c r="CG189" s="290">
        <v>0</v>
      </c>
      <c r="CH189" s="290">
        <v>-3</v>
      </c>
      <c r="CI189" s="290">
        <v>-940</v>
      </c>
      <c r="CJ189" s="290">
        <v>-2653</v>
      </c>
      <c r="CK189" s="290">
        <f>+innut22!E195+innut22!S195</f>
        <v>83369.095473872294</v>
      </c>
      <c r="CL189" s="290">
        <v>0</v>
      </c>
      <c r="CM189" s="290">
        <v>0</v>
      </c>
      <c r="CN189" s="290">
        <v>0</v>
      </c>
      <c r="CP189" s="290">
        <f>+innut23!E195</f>
        <v>76238.206953294808</v>
      </c>
      <c r="CQ189" s="290"/>
      <c r="CV189" s="85">
        <f t="shared" si="3"/>
        <v>0.38900000000000001</v>
      </c>
    </row>
    <row r="190" spans="1:100" ht="13">
      <c r="A190" s="1">
        <v>3453</v>
      </c>
      <c r="B190" s="2" t="s">
        <v>869</v>
      </c>
      <c r="C190" s="289">
        <v>3252</v>
      </c>
      <c r="D190" s="290">
        <v>55</v>
      </c>
      <c r="E190" s="290">
        <v>127</v>
      </c>
      <c r="F190" s="290">
        <v>335</v>
      </c>
      <c r="G190" s="290">
        <v>258</v>
      </c>
      <c r="H190" s="290">
        <v>1801</v>
      </c>
      <c r="I190" s="290">
        <v>505</v>
      </c>
      <c r="J190" s="290">
        <v>141</v>
      </c>
      <c r="K190" s="290">
        <v>20</v>
      </c>
      <c r="L190" s="290">
        <v>28</v>
      </c>
      <c r="M190" s="290">
        <v>302</v>
      </c>
      <c r="N190" s="290">
        <v>19</v>
      </c>
      <c r="O190" s="290">
        <v>32</v>
      </c>
      <c r="P190" s="624">
        <v>44316.831333330003</v>
      </c>
      <c r="Q190" s="624">
        <v>15159.909</v>
      </c>
      <c r="R190" s="624">
        <v>16</v>
      </c>
      <c r="S190" s="290">
        <v>32</v>
      </c>
      <c r="T190" s="290">
        <v>301</v>
      </c>
      <c r="U190" s="958">
        <v>3.4262386877061198E-3</v>
      </c>
      <c r="V190" s="290">
        <v>1848.1150227799999</v>
      </c>
      <c r="W190" s="765">
        <v>0.79092572000000005</v>
      </c>
      <c r="X190" s="290">
        <v>0</v>
      </c>
      <c r="Y190" s="290"/>
      <c r="Z190" s="290">
        <f>innut22!E196</f>
        <v>125780.38858091326</v>
      </c>
      <c r="AA190" s="290">
        <v>0</v>
      </c>
      <c r="AB190" s="290">
        <v>51</v>
      </c>
      <c r="AC190" s="290">
        <v>0</v>
      </c>
      <c r="AD190" s="290"/>
      <c r="AE190" s="290">
        <v>0</v>
      </c>
      <c r="AF190" s="290">
        <v>0</v>
      </c>
      <c r="AG190" s="290">
        <v>3242</v>
      </c>
      <c r="AH190" s="290">
        <v>512</v>
      </c>
      <c r="AI190" s="290">
        <v>1070</v>
      </c>
      <c r="AJ190" s="290">
        <v>0</v>
      </c>
      <c r="AK190" s="290">
        <v>0</v>
      </c>
      <c r="AL190" s="290">
        <v>0</v>
      </c>
      <c r="AM190" s="957">
        <v>3.7004889999999999E-2</v>
      </c>
      <c r="AN190" s="290">
        <v>4111</v>
      </c>
      <c r="AO190" s="290">
        <v>689.96205961999999</v>
      </c>
      <c r="AP190" s="290">
        <v>0</v>
      </c>
      <c r="AQ190" s="290">
        <v>0</v>
      </c>
      <c r="AR190" s="290">
        <v>-156.39616204999999</v>
      </c>
      <c r="AS190" s="290">
        <v>831</v>
      </c>
      <c r="AT190" s="290">
        <v>162</v>
      </c>
      <c r="AU190" s="290">
        <v>23</v>
      </c>
      <c r="AV190" s="766">
        <v>109398</v>
      </c>
      <c r="AW190" s="290"/>
      <c r="AX190" s="766">
        <v>20.208300000000001</v>
      </c>
      <c r="AY190" s="290">
        <v>676</v>
      </c>
      <c r="AZ190" s="290">
        <v>104</v>
      </c>
      <c r="BA190" s="290">
        <v>46</v>
      </c>
      <c r="BB190" s="290">
        <v>0</v>
      </c>
      <c r="BC190" s="290">
        <v>6079</v>
      </c>
      <c r="BD190" s="290"/>
      <c r="BE190" s="290">
        <v>109144.65980218</v>
      </c>
      <c r="BF190" s="290">
        <v>0</v>
      </c>
      <c r="BG190" s="290">
        <v>2937.1441421348613</v>
      </c>
      <c r="BH190" s="290">
        <v>158.24613337216397</v>
      </c>
      <c r="BI190" s="290">
        <v>512</v>
      </c>
      <c r="BJ190" s="290"/>
      <c r="BK190" s="290"/>
      <c r="BL190" s="290"/>
      <c r="BM190" s="290">
        <v>0</v>
      </c>
      <c r="BN190" s="290">
        <v>1312.8306</v>
      </c>
      <c r="BO190" s="290">
        <v>-1510.6216880406159</v>
      </c>
      <c r="BP190" s="290">
        <v>167.68799999999999</v>
      </c>
      <c r="BQ190" s="290">
        <v>-89.93</v>
      </c>
      <c r="BR190" s="290">
        <v>-59.752911959384043</v>
      </c>
      <c r="BS190" s="290">
        <v>0.78600000000000003</v>
      </c>
      <c r="BT190" s="290"/>
      <c r="BU190" s="290">
        <v>0</v>
      </c>
      <c r="BV190" s="290">
        <v>1500</v>
      </c>
      <c r="BW190" s="290">
        <v>-745</v>
      </c>
      <c r="BX190" s="290">
        <v>385</v>
      </c>
      <c r="BY190" s="290">
        <v>83</v>
      </c>
      <c r="BZ190" s="290">
        <v>-566</v>
      </c>
      <c r="CA190" s="290">
        <v>0</v>
      </c>
      <c r="CB190" s="290">
        <v>132</v>
      </c>
      <c r="CC190" s="290">
        <v>422</v>
      </c>
      <c r="CD190" s="290">
        <v>5</v>
      </c>
      <c r="CE190" s="290">
        <v>120</v>
      </c>
      <c r="CF190" s="290">
        <v>6</v>
      </c>
      <c r="CG190" s="290">
        <v>1</v>
      </c>
      <c r="CH190" s="290">
        <v>-4</v>
      </c>
      <c r="CI190" s="290">
        <v>-1448</v>
      </c>
      <c r="CJ190" s="290">
        <v>-3404</v>
      </c>
      <c r="CK190" s="290">
        <f>+innut22!E196+innut22!S196</f>
        <v>125780.38858091326</v>
      </c>
      <c r="CL190" s="290">
        <v>0</v>
      </c>
      <c r="CM190" s="290">
        <v>0</v>
      </c>
      <c r="CN190" s="290">
        <v>0</v>
      </c>
      <c r="CP190" s="290">
        <f>+innut23!E196</f>
        <v>117658.4767232751</v>
      </c>
      <c r="CQ190" s="290"/>
      <c r="CV190" s="85">
        <f t="shared" si="3"/>
        <v>0.6</v>
      </c>
    </row>
    <row r="191" spans="1:100" ht="13">
      <c r="A191" s="1">
        <v>3454</v>
      </c>
      <c r="B191" s="2" t="s">
        <v>870</v>
      </c>
      <c r="C191" s="289">
        <v>1587</v>
      </c>
      <c r="D191" s="290">
        <v>24</v>
      </c>
      <c r="E191" s="290">
        <v>60</v>
      </c>
      <c r="F191" s="290">
        <v>178</v>
      </c>
      <c r="G191" s="290">
        <v>122</v>
      </c>
      <c r="H191" s="290">
        <v>872</v>
      </c>
      <c r="I191" s="290">
        <v>242</v>
      </c>
      <c r="J191" s="290">
        <v>67</v>
      </c>
      <c r="K191" s="290">
        <v>25</v>
      </c>
      <c r="L191" s="290">
        <v>14</v>
      </c>
      <c r="M191" s="290">
        <v>145</v>
      </c>
      <c r="N191" s="290">
        <v>26</v>
      </c>
      <c r="O191" s="290">
        <v>33</v>
      </c>
      <c r="P191" s="624">
        <v>16962.46766667</v>
      </c>
      <c r="Q191" s="624">
        <v>6893.9083333299996</v>
      </c>
      <c r="R191" s="624">
        <v>8</v>
      </c>
      <c r="S191" s="290">
        <v>17</v>
      </c>
      <c r="T191" s="290">
        <v>138</v>
      </c>
      <c r="U191" s="958">
        <v>2.3554883459865551E-3</v>
      </c>
      <c r="V191" s="290">
        <v>1060.6363915500001</v>
      </c>
      <c r="W191" s="765">
        <v>0.99192575999999999</v>
      </c>
      <c r="X191" s="290">
        <v>800</v>
      </c>
      <c r="Y191" s="290"/>
      <c r="Z191" s="290">
        <f>innut22!E197</f>
        <v>56039.661634245727</v>
      </c>
      <c r="AA191" s="290">
        <v>0</v>
      </c>
      <c r="AB191" s="290">
        <v>31</v>
      </c>
      <c r="AC191" s="290">
        <v>0</v>
      </c>
      <c r="AD191" s="290"/>
      <c r="AE191" s="290">
        <v>0</v>
      </c>
      <c r="AF191" s="290">
        <v>0</v>
      </c>
      <c r="AG191" s="290">
        <v>1590</v>
      </c>
      <c r="AH191" s="290">
        <v>262</v>
      </c>
      <c r="AI191" s="290">
        <v>1300</v>
      </c>
      <c r="AJ191" s="290">
        <v>0</v>
      </c>
      <c r="AK191" s="290">
        <v>0</v>
      </c>
      <c r="AL191" s="290">
        <v>0</v>
      </c>
      <c r="AM191" s="957">
        <v>2.6019179999999999E-2</v>
      </c>
      <c r="AN191" s="290">
        <v>0</v>
      </c>
      <c r="AO191" s="290">
        <v>395.9704132</v>
      </c>
      <c r="AP191" s="290">
        <v>0</v>
      </c>
      <c r="AQ191" s="290">
        <v>0</v>
      </c>
      <c r="AR191" s="290">
        <v>-76.702621120000003</v>
      </c>
      <c r="AS191" s="290">
        <v>444</v>
      </c>
      <c r="AT191" s="290">
        <v>58</v>
      </c>
      <c r="AU191" s="290">
        <v>10</v>
      </c>
      <c r="AV191" s="766">
        <v>76722</v>
      </c>
      <c r="AW191" s="290"/>
      <c r="AX191" s="766">
        <v>10.416700000000001</v>
      </c>
      <c r="AY191" s="290">
        <v>329</v>
      </c>
      <c r="AZ191" s="290">
        <v>111</v>
      </c>
      <c r="BA191" s="290">
        <v>22</v>
      </c>
      <c r="BB191" s="290">
        <v>6034</v>
      </c>
      <c r="BC191" s="290">
        <v>3002</v>
      </c>
      <c r="BD191" s="290"/>
      <c r="BE191" s="290">
        <v>75994.141075909996</v>
      </c>
      <c r="BF191" s="290">
        <v>0</v>
      </c>
      <c r="BG191" s="290">
        <v>1433.3480177023446</v>
      </c>
      <c r="BH191" s="290">
        <v>77.225280953758968</v>
      </c>
      <c r="BI191" s="290">
        <v>262</v>
      </c>
      <c r="BJ191" s="290"/>
      <c r="BK191" s="290"/>
      <c r="BL191" s="290"/>
      <c r="BM191" s="290">
        <v>0</v>
      </c>
      <c r="BN191" s="290">
        <v>753.43574000000001</v>
      </c>
      <c r="BO191" s="290">
        <v>-740.86628130307815</v>
      </c>
      <c r="BP191" s="290">
        <v>80.188000000000002</v>
      </c>
      <c r="BQ191" s="290">
        <v>-43.003999999999998</v>
      </c>
      <c r="BR191" s="290">
        <v>-36.231458696921862</v>
      </c>
      <c r="BS191" s="290">
        <v>0.47799999999999998</v>
      </c>
      <c r="BT191" s="290"/>
      <c r="BU191" s="290">
        <v>0</v>
      </c>
      <c r="BV191" s="290">
        <v>500</v>
      </c>
      <c r="BW191" s="290">
        <v>-365</v>
      </c>
      <c r="BX191" s="290">
        <v>222</v>
      </c>
      <c r="BY191" s="290">
        <v>44</v>
      </c>
      <c r="BZ191" s="290">
        <v>-278</v>
      </c>
      <c r="CA191" s="290">
        <v>0</v>
      </c>
      <c r="CB191" s="290">
        <v>71</v>
      </c>
      <c r="CC191" s="290">
        <v>207</v>
      </c>
      <c r="CD191" s="290">
        <v>3</v>
      </c>
      <c r="CE191" s="290">
        <v>59</v>
      </c>
      <c r="CF191" s="290">
        <v>4</v>
      </c>
      <c r="CG191" s="290">
        <v>0</v>
      </c>
      <c r="CH191" s="290">
        <v>-3</v>
      </c>
      <c r="CI191" s="290">
        <v>-707</v>
      </c>
      <c r="CJ191" s="290">
        <v>-1869</v>
      </c>
      <c r="CK191" s="290">
        <f>+innut22!E197+innut22!S197</f>
        <v>56039.661634245727</v>
      </c>
      <c r="CL191" s="290">
        <v>0</v>
      </c>
      <c r="CM191" s="290">
        <v>0</v>
      </c>
      <c r="CN191" s="290">
        <v>0</v>
      </c>
      <c r="CP191" s="290">
        <f>+innut23!E197</f>
        <v>54472.024756178507</v>
      </c>
      <c r="CQ191" s="290"/>
      <c r="CV191" s="85">
        <f t="shared" si="3"/>
        <v>0.29399999999999998</v>
      </c>
    </row>
    <row r="192" spans="1:100" ht="13">
      <c r="A192" s="1">
        <v>3801</v>
      </c>
      <c r="B192" s="2" t="s">
        <v>346</v>
      </c>
      <c r="C192" s="289">
        <v>27502</v>
      </c>
      <c r="D192" s="290">
        <v>438</v>
      </c>
      <c r="E192" s="290">
        <v>1014</v>
      </c>
      <c r="F192" s="290">
        <v>3147</v>
      </c>
      <c r="G192" s="290">
        <v>2336</v>
      </c>
      <c r="H192" s="290">
        <v>15436</v>
      </c>
      <c r="I192" s="290">
        <v>3729</v>
      </c>
      <c r="J192" s="290">
        <v>1175</v>
      </c>
      <c r="K192" s="290">
        <v>251</v>
      </c>
      <c r="L192" s="290">
        <v>222</v>
      </c>
      <c r="M192" s="290">
        <v>2255</v>
      </c>
      <c r="N192" s="290">
        <v>988</v>
      </c>
      <c r="O192" s="290">
        <v>250</v>
      </c>
      <c r="P192" s="624">
        <v>34301.453666670001</v>
      </c>
      <c r="Q192" s="624">
        <v>27100.805333330001</v>
      </c>
      <c r="R192" s="624">
        <v>103</v>
      </c>
      <c r="S192" s="290">
        <v>443</v>
      </c>
      <c r="T192" s="290">
        <v>2626</v>
      </c>
      <c r="U192" s="958">
        <v>1.1680956271774648E-3</v>
      </c>
      <c r="V192" s="290">
        <v>5237.2500184099999</v>
      </c>
      <c r="W192" s="765">
        <v>0.53663567000000001</v>
      </c>
      <c r="X192" s="290">
        <v>2800</v>
      </c>
      <c r="Y192" s="290"/>
      <c r="Z192" s="290">
        <f>innut22!E198</f>
        <v>866858.73495297797</v>
      </c>
      <c r="AA192" s="290">
        <v>0</v>
      </c>
      <c r="AB192" s="290">
        <v>711</v>
      </c>
      <c r="AC192" s="290">
        <v>4975</v>
      </c>
      <c r="AD192" s="290"/>
      <c r="AE192" s="290">
        <v>0</v>
      </c>
      <c r="AF192" s="290">
        <v>0</v>
      </c>
      <c r="AG192" s="290">
        <v>27526</v>
      </c>
      <c r="AH192" s="290">
        <v>4585</v>
      </c>
      <c r="AI192" s="290">
        <v>0</v>
      </c>
      <c r="AJ192" s="290">
        <v>0</v>
      </c>
      <c r="AK192" s="290">
        <v>0</v>
      </c>
      <c r="AL192" s="290">
        <v>0</v>
      </c>
      <c r="AM192" s="957">
        <v>1.7042513699999999</v>
      </c>
      <c r="AN192" s="290">
        <v>0</v>
      </c>
      <c r="AO192" s="290">
        <v>5326.6571959299999</v>
      </c>
      <c r="AP192" s="290">
        <v>0</v>
      </c>
      <c r="AQ192" s="290">
        <v>0</v>
      </c>
      <c r="AR192" s="290">
        <v>-1327.87191751</v>
      </c>
      <c r="AS192" s="290">
        <v>4841</v>
      </c>
      <c r="AT192" s="290">
        <v>1842</v>
      </c>
      <c r="AU192" s="290">
        <v>439</v>
      </c>
      <c r="AV192" s="766">
        <v>724815</v>
      </c>
      <c r="AW192" s="290"/>
      <c r="AX192" s="766">
        <v>143.375</v>
      </c>
      <c r="AY192" s="290">
        <v>7439</v>
      </c>
      <c r="AZ192" s="290">
        <v>1595</v>
      </c>
      <c r="BA192" s="290">
        <v>625</v>
      </c>
      <c r="BB192" s="290">
        <v>0</v>
      </c>
      <c r="BC192" s="290">
        <v>43736</v>
      </c>
      <c r="BD192" s="290"/>
      <c r="BE192" s="290">
        <v>728008.52311420999</v>
      </c>
      <c r="BF192" s="290">
        <v>0</v>
      </c>
      <c r="BG192" s="290">
        <v>24839.279888374218</v>
      </c>
      <c r="BH192" s="290">
        <v>1338.2795694960803</v>
      </c>
      <c r="BI192" s="290">
        <v>9560</v>
      </c>
      <c r="BJ192" s="290"/>
      <c r="BK192" s="290"/>
      <c r="BL192" s="290"/>
      <c r="BM192" s="290">
        <v>0</v>
      </c>
      <c r="BN192" s="290">
        <v>10135.337820000001</v>
      </c>
      <c r="BO192" s="290">
        <v>-12825.839785628006</v>
      </c>
      <c r="BP192" s="290">
        <v>1372.7660000000001</v>
      </c>
      <c r="BQ192" s="290">
        <v>-736.20500000000004</v>
      </c>
      <c r="BR192" s="290">
        <v>-477.43323671197851</v>
      </c>
      <c r="BS192" s="290">
        <v>4.8330000000000002</v>
      </c>
      <c r="BT192" s="290"/>
      <c r="BU192" s="290">
        <v>0</v>
      </c>
      <c r="BV192" s="290">
        <v>5500</v>
      </c>
      <c r="BW192" s="290">
        <v>-6321</v>
      </c>
      <c r="BX192" s="290">
        <v>3065</v>
      </c>
      <c r="BY192" s="290">
        <v>1155</v>
      </c>
      <c r="BZ192" s="290">
        <v>-4805</v>
      </c>
      <c r="CA192" s="290">
        <v>-19.458797660015989</v>
      </c>
      <c r="CB192" s="290">
        <v>1854</v>
      </c>
      <c r="CC192" s="290">
        <v>3579</v>
      </c>
      <c r="CD192" s="290">
        <v>68</v>
      </c>
      <c r="CE192" s="290">
        <v>1014</v>
      </c>
      <c r="CF192" s="290">
        <v>39</v>
      </c>
      <c r="CG192" s="290">
        <v>5</v>
      </c>
      <c r="CH192" s="290">
        <v>-26</v>
      </c>
      <c r="CI192" s="290">
        <v>-12249</v>
      </c>
      <c r="CJ192" s="290">
        <v>-32938</v>
      </c>
      <c r="CK192" s="290">
        <f>+innut22!E198+innut22!S198</f>
        <v>866858.73495297797</v>
      </c>
      <c r="CL192" s="290">
        <v>0</v>
      </c>
      <c r="CM192" s="290">
        <v>0</v>
      </c>
      <c r="CN192" s="290">
        <v>0</v>
      </c>
      <c r="CP192" s="290">
        <f>+innut23!E198</f>
        <v>810705.557980048</v>
      </c>
      <c r="CQ192" s="290"/>
      <c r="CV192" s="85">
        <f t="shared" si="3"/>
        <v>5.0960000000000001</v>
      </c>
    </row>
    <row r="193" spans="1:100" ht="13">
      <c r="A193" s="1">
        <v>3802</v>
      </c>
      <c r="B193" s="2" t="s">
        <v>1625</v>
      </c>
      <c r="C193" s="289">
        <v>25681</v>
      </c>
      <c r="D193" s="290">
        <v>468</v>
      </c>
      <c r="E193" s="290">
        <v>1071</v>
      </c>
      <c r="F193" s="290">
        <v>2948</v>
      </c>
      <c r="G193" s="290">
        <v>1958</v>
      </c>
      <c r="H193" s="290">
        <v>14365</v>
      </c>
      <c r="I193" s="290">
        <v>3360</v>
      </c>
      <c r="J193" s="290">
        <v>905</v>
      </c>
      <c r="K193" s="290">
        <v>211</v>
      </c>
      <c r="L193" s="290">
        <v>194</v>
      </c>
      <c r="M193" s="290">
        <v>1882</v>
      </c>
      <c r="N193" s="290">
        <v>410</v>
      </c>
      <c r="O193" s="290">
        <v>221</v>
      </c>
      <c r="P193" s="624">
        <v>61579.539333330002</v>
      </c>
      <c r="Q193" s="624">
        <v>53154.953000000001</v>
      </c>
      <c r="R193" s="624">
        <v>88</v>
      </c>
      <c r="S193" s="290">
        <v>307</v>
      </c>
      <c r="T193" s="290">
        <v>2188</v>
      </c>
      <c r="U193" s="958">
        <v>4.7566041035627098E-3</v>
      </c>
      <c r="V193" s="290">
        <v>2576.81307294</v>
      </c>
      <c r="W193" s="765">
        <v>0.57720145</v>
      </c>
      <c r="X193" s="290">
        <v>2800</v>
      </c>
      <c r="Y193" s="290"/>
      <c r="Z193" s="290">
        <f>innut22!E199</f>
        <v>904559.92735247139</v>
      </c>
      <c r="AA193" s="290">
        <v>0</v>
      </c>
      <c r="AB193" s="290">
        <v>704</v>
      </c>
      <c r="AC193" s="290">
        <v>1322</v>
      </c>
      <c r="AD193" s="290"/>
      <c r="AE193" s="290">
        <v>0</v>
      </c>
      <c r="AF193" s="290">
        <v>37400</v>
      </c>
      <c r="AG193" s="290">
        <v>25286</v>
      </c>
      <c r="AH193" s="290">
        <v>4366</v>
      </c>
      <c r="AI193" s="290">
        <v>1000</v>
      </c>
      <c r="AJ193" s="290">
        <v>0</v>
      </c>
      <c r="AK193" s="290">
        <v>0</v>
      </c>
      <c r="AL193" s="290">
        <v>0</v>
      </c>
      <c r="AM193" s="957">
        <v>0.70233566999999997</v>
      </c>
      <c r="AN193" s="290">
        <v>0</v>
      </c>
      <c r="AO193" s="290">
        <v>4798.4520783400003</v>
      </c>
      <c r="AP193" s="290">
        <v>0</v>
      </c>
      <c r="AQ193" s="290">
        <v>0</v>
      </c>
      <c r="AR193" s="290">
        <v>-1219.81287896</v>
      </c>
      <c r="AS193" s="290">
        <v>10325</v>
      </c>
      <c r="AT193" s="290">
        <v>1483</v>
      </c>
      <c r="AU193" s="290">
        <v>307</v>
      </c>
      <c r="AV193" s="766">
        <v>671816</v>
      </c>
      <c r="AW193" s="290"/>
      <c r="AX193" s="766">
        <v>156.87495000000001</v>
      </c>
      <c r="AY193" s="290">
        <v>5584</v>
      </c>
      <c r="AZ193" s="290">
        <v>965</v>
      </c>
      <c r="BA193" s="290">
        <v>553</v>
      </c>
      <c r="BB193" s="290">
        <v>0</v>
      </c>
      <c r="BC193" s="290">
        <v>81147</v>
      </c>
      <c r="BD193" s="290"/>
      <c r="BE193" s="290">
        <v>677399.52959162998</v>
      </c>
      <c r="BF193" s="290">
        <v>0</v>
      </c>
      <c r="BG193" s="290">
        <v>23194.587550481356</v>
      </c>
      <c r="BH193" s="290">
        <v>1249.6675741483832</v>
      </c>
      <c r="BI193" s="290">
        <v>43088</v>
      </c>
      <c r="BJ193" s="290"/>
      <c r="BK193" s="290"/>
      <c r="BL193" s="290"/>
      <c r="BM193" s="290">
        <v>5095</v>
      </c>
      <c r="BN193" s="290">
        <v>9130.2914799999999</v>
      </c>
      <c r="BO193" s="290">
        <v>-11782.10364089914</v>
      </c>
      <c r="BP193" s="290">
        <v>1399.8879999999999</v>
      </c>
      <c r="BQ193" s="290">
        <v>-750.75</v>
      </c>
      <c r="BR193" s="290">
        <v>-454.67316119265752</v>
      </c>
      <c r="BS193" s="290">
        <v>4.5179999999999998</v>
      </c>
      <c r="BT193" s="290"/>
      <c r="BU193" s="290">
        <v>0</v>
      </c>
      <c r="BV193" s="290">
        <v>5000</v>
      </c>
      <c r="BW193" s="290">
        <v>-5807</v>
      </c>
      <c r="BX193" s="290">
        <v>2917</v>
      </c>
      <c r="BY193" s="290">
        <v>801</v>
      </c>
      <c r="BZ193" s="290">
        <v>-4414</v>
      </c>
      <c r="CA193" s="290">
        <v>-5.1706779082021512</v>
      </c>
      <c r="CB193" s="290">
        <v>1285</v>
      </c>
      <c r="CC193" s="290">
        <v>3288</v>
      </c>
      <c r="CD193" s="290">
        <v>47</v>
      </c>
      <c r="CE193" s="290">
        <v>947</v>
      </c>
      <c r="CF193" s="290">
        <v>37</v>
      </c>
      <c r="CG193" s="290">
        <v>5</v>
      </c>
      <c r="CH193" s="290">
        <v>-24</v>
      </c>
      <c r="CI193" s="290">
        <v>-11438</v>
      </c>
      <c r="CJ193" s="290">
        <v>-30147</v>
      </c>
      <c r="CK193" s="290">
        <f>+innut22!E199+innut22!S199</f>
        <v>904559.92735247139</v>
      </c>
      <c r="CL193" s="290">
        <v>0</v>
      </c>
      <c r="CM193" s="290">
        <v>0</v>
      </c>
      <c r="CN193" s="290">
        <v>0</v>
      </c>
      <c r="CP193" s="290">
        <f>+innut23!E199</f>
        <v>851240.52998027462</v>
      </c>
      <c r="CQ193" s="290"/>
      <c r="CV193" s="85">
        <f t="shared" si="3"/>
        <v>4.681</v>
      </c>
    </row>
    <row r="194" spans="1:100" ht="13">
      <c r="A194" s="1">
        <v>3803</v>
      </c>
      <c r="B194" s="2" t="s">
        <v>1626</v>
      </c>
      <c r="C194" s="289">
        <v>57794</v>
      </c>
      <c r="D194" s="290">
        <v>1141</v>
      </c>
      <c r="E194" s="290">
        <v>2365</v>
      </c>
      <c r="F194" s="290">
        <v>6746</v>
      </c>
      <c r="G194" s="290">
        <v>4618</v>
      </c>
      <c r="H194" s="290">
        <v>33127</v>
      </c>
      <c r="I194" s="290">
        <v>6731</v>
      </c>
      <c r="J194" s="290">
        <v>2208</v>
      </c>
      <c r="K194" s="290">
        <v>513</v>
      </c>
      <c r="L194" s="290">
        <v>415</v>
      </c>
      <c r="M194" s="290">
        <v>4175</v>
      </c>
      <c r="N194" s="290">
        <v>1503</v>
      </c>
      <c r="O194" s="290">
        <v>438</v>
      </c>
      <c r="P194" s="624">
        <v>128345.249</v>
      </c>
      <c r="Q194" s="624">
        <v>93149.653000000006</v>
      </c>
      <c r="R194" s="624">
        <v>226</v>
      </c>
      <c r="S194" s="290">
        <v>813</v>
      </c>
      <c r="T194" s="290">
        <v>5667</v>
      </c>
      <c r="U194" s="958">
        <v>6.9407755496071104E-3</v>
      </c>
      <c r="V194" s="290">
        <v>-21646.962712109998</v>
      </c>
      <c r="W194" s="765">
        <v>0.55153896999999996</v>
      </c>
      <c r="X194" s="290">
        <v>4500</v>
      </c>
      <c r="Y194" s="290"/>
      <c r="Z194" s="290">
        <f>innut22!E200</f>
        <v>2242430.7220241679</v>
      </c>
      <c r="AA194" s="290">
        <v>0</v>
      </c>
      <c r="AB194" s="290">
        <v>1321</v>
      </c>
      <c r="AC194" s="290">
        <v>10728</v>
      </c>
      <c r="AD194" s="290"/>
      <c r="AE194" s="290">
        <v>0</v>
      </c>
      <c r="AF194" s="290">
        <v>15488</v>
      </c>
      <c r="AG194" s="290">
        <v>57449</v>
      </c>
      <c r="AH194" s="290">
        <v>9913</v>
      </c>
      <c r="AI194" s="290">
        <v>3200</v>
      </c>
      <c r="AJ194" s="290">
        <v>0</v>
      </c>
      <c r="AK194" s="290">
        <v>0</v>
      </c>
      <c r="AL194" s="290">
        <v>0</v>
      </c>
      <c r="AM194" s="957">
        <v>2.4595728000000001</v>
      </c>
      <c r="AN194" s="290">
        <v>0</v>
      </c>
      <c r="AO194" s="290">
        <v>11049.621125510001</v>
      </c>
      <c r="AP194" s="290">
        <v>0</v>
      </c>
      <c r="AQ194" s="290">
        <v>0</v>
      </c>
      <c r="AR194" s="290">
        <v>-2771.3766544</v>
      </c>
      <c r="AS194" s="290">
        <v>11241</v>
      </c>
      <c r="AT194" s="290">
        <v>3577</v>
      </c>
      <c r="AU194" s="290">
        <v>809</v>
      </c>
      <c r="AV194" s="766">
        <v>1468260</v>
      </c>
      <c r="AW194" s="290"/>
      <c r="AX194" s="766">
        <v>432.95830000000001</v>
      </c>
      <c r="AY194" s="290">
        <v>16496</v>
      </c>
      <c r="AZ194" s="290">
        <v>2764</v>
      </c>
      <c r="BA194" s="290">
        <v>1301</v>
      </c>
      <c r="BB194" s="290">
        <v>0</v>
      </c>
      <c r="BC194" s="290">
        <v>107023</v>
      </c>
      <c r="BD194" s="290"/>
      <c r="BE194" s="290">
        <v>1488498.3063056001</v>
      </c>
      <c r="BF194" s="290">
        <v>0</v>
      </c>
      <c r="BG194" s="290">
        <v>52198.434363635359</v>
      </c>
      <c r="BH194" s="290">
        <v>2812.3238106121908</v>
      </c>
      <c r="BI194" s="290">
        <v>36129</v>
      </c>
      <c r="BJ194" s="290"/>
      <c r="BK194" s="290"/>
      <c r="BL194" s="290"/>
      <c r="BM194" s="290">
        <v>7336</v>
      </c>
      <c r="BN194" s="290">
        <v>21024.751319999999</v>
      </c>
      <c r="BO194" s="290">
        <v>-26768.570436843103</v>
      </c>
      <c r="BP194" s="290">
        <v>3264.39</v>
      </c>
      <c r="BQ194" s="290">
        <v>-1750.6679999999999</v>
      </c>
      <c r="BR194" s="290">
        <v>-1028.8609323506705</v>
      </c>
      <c r="BS194" s="290">
        <v>9.9160000000000004</v>
      </c>
      <c r="BT194" s="290"/>
      <c r="BU194" s="290">
        <v>0</v>
      </c>
      <c r="BV194" s="290">
        <v>9500</v>
      </c>
      <c r="BW194" s="290">
        <v>-13193</v>
      </c>
      <c r="BX194" s="290">
        <v>6589</v>
      </c>
      <c r="BY194" s="290">
        <v>2120</v>
      </c>
      <c r="BZ194" s="290">
        <v>-10028</v>
      </c>
      <c r="CA194" s="290">
        <v>-41.957950806225199</v>
      </c>
      <c r="CB194" s="290">
        <v>3400</v>
      </c>
      <c r="CC194" s="290">
        <v>7471</v>
      </c>
      <c r="CD194" s="290">
        <v>125</v>
      </c>
      <c r="CE194" s="290">
        <v>2131</v>
      </c>
      <c r="CF194" s="290">
        <v>81</v>
      </c>
      <c r="CG194" s="290">
        <v>11</v>
      </c>
      <c r="CH194" s="290">
        <v>-53</v>
      </c>
      <c r="CI194" s="290">
        <v>-25741</v>
      </c>
      <c r="CJ194" s="290">
        <v>-74372</v>
      </c>
      <c r="CK194" s="290">
        <f>+innut22!E200+innut22!S200</f>
        <v>2242430.7220241679</v>
      </c>
      <c r="CL194" s="290">
        <v>0</v>
      </c>
      <c r="CM194" s="290">
        <v>0</v>
      </c>
      <c r="CN194" s="290">
        <v>0</v>
      </c>
      <c r="CP194" s="290">
        <f>+innut23!E200</f>
        <v>2052119.9376504277</v>
      </c>
      <c r="CQ194" s="290"/>
      <c r="CV194" s="85">
        <f t="shared" si="3"/>
        <v>10.635</v>
      </c>
    </row>
    <row r="195" spans="1:100" ht="13">
      <c r="A195" s="1">
        <v>3804</v>
      </c>
      <c r="B195" s="2" t="s">
        <v>1153</v>
      </c>
      <c r="C195" s="289">
        <v>64943</v>
      </c>
      <c r="D195" s="290">
        <v>1119</v>
      </c>
      <c r="E195" s="290">
        <v>2727</v>
      </c>
      <c r="F195" s="290">
        <v>7673</v>
      </c>
      <c r="G195" s="290">
        <v>5437</v>
      </c>
      <c r="H195" s="290">
        <v>36400</v>
      </c>
      <c r="I195" s="290">
        <v>8138</v>
      </c>
      <c r="J195" s="290">
        <v>2552</v>
      </c>
      <c r="K195" s="290">
        <v>575</v>
      </c>
      <c r="L195" s="290">
        <v>487</v>
      </c>
      <c r="M195" s="290">
        <v>4891</v>
      </c>
      <c r="N195" s="290">
        <v>2137</v>
      </c>
      <c r="O195" s="290">
        <v>732</v>
      </c>
      <c r="P195" s="624">
        <v>159464.04666667001</v>
      </c>
      <c r="Q195" s="624">
        <v>86120.983333330005</v>
      </c>
      <c r="R195" s="624">
        <v>245</v>
      </c>
      <c r="S195" s="290">
        <v>944</v>
      </c>
      <c r="T195" s="290">
        <v>5907</v>
      </c>
      <c r="U195" s="958">
        <v>7.5221932740291647E-3</v>
      </c>
      <c r="V195" s="290">
        <v>-22072.952224770001</v>
      </c>
      <c r="W195" s="765">
        <v>0.55091637999999998</v>
      </c>
      <c r="X195" s="290">
        <v>4600</v>
      </c>
      <c r="Y195" s="290"/>
      <c r="Z195" s="290">
        <f>innut22!E201</f>
        <v>2346797.7855095649</v>
      </c>
      <c r="AA195" s="290">
        <v>0</v>
      </c>
      <c r="AB195" s="290">
        <v>1902</v>
      </c>
      <c r="AC195" s="290">
        <v>6991</v>
      </c>
      <c r="AD195" s="290"/>
      <c r="AE195" s="290">
        <v>0</v>
      </c>
      <c r="AF195" s="290">
        <v>30928</v>
      </c>
      <c r="AG195" s="290">
        <v>64621</v>
      </c>
      <c r="AH195" s="290">
        <v>11365</v>
      </c>
      <c r="AI195" s="290">
        <v>0</v>
      </c>
      <c r="AJ195" s="290">
        <v>0</v>
      </c>
      <c r="AK195" s="290">
        <v>0</v>
      </c>
      <c r="AL195" s="290">
        <v>0</v>
      </c>
      <c r="AM195" s="957">
        <v>2.74340881</v>
      </c>
      <c r="AN195" s="290">
        <v>0</v>
      </c>
      <c r="AO195" s="290">
        <v>12531.38314613</v>
      </c>
      <c r="AP195" s="290">
        <v>0</v>
      </c>
      <c r="AQ195" s="290">
        <v>0</v>
      </c>
      <c r="AR195" s="290">
        <v>-3117.3585403400002</v>
      </c>
      <c r="AS195" s="290">
        <v>11805</v>
      </c>
      <c r="AT195" s="290">
        <v>4127</v>
      </c>
      <c r="AU195" s="290">
        <v>859</v>
      </c>
      <c r="AV195" s="766">
        <v>1703731</v>
      </c>
      <c r="AW195" s="290"/>
      <c r="AX195" s="766">
        <v>365.20830000000001</v>
      </c>
      <c r="AY195" s="290">
        <v>14839</v>
      </c>
      <c r="AZ195" s="290">
        <v>3204</v>
      </c>
      <c r="BA195" s="290">
        <v>1448</v>
      </c>
      <c r="BB195" s="290">
        <v>0</v>
      </c>
      <c r="BC195" s="290">
        <v>132657</v>
      </c>
      <c r="BD195" s="290"/>
      <c r="BE195" s="290">
        <v>1715440.7533688999</v>
      </c>
      <c r="BF195" s="290">
        <v>0</v>
      </c>
      <c r="BG195" s="290">
        <v>58655.27429971227</v>
      </c>
      <c r="BH195" s="290">
        <v>3160.2025336987836</v>
      </c>
      <c r="BI195" s="290">
        <v>49284</v>
      </c>
      <c r="BJ195" s="290"/>
      <c r="BK195" s="290"/>
      <c r="BL195" s="290"/>
      <c r="BM195" s="290">
        <v>7848</v>
      </c>
      <c r="BN195" s="290">
        <v>23844.185359999999</v>
      </c>
      <c r="BO195" s="290">
        <v>-30110.38991451963</v>
      </c>
      <c r="BP195" s="290">
        <v>3550.4639999999999</v>
      </c>
      <c r="BQ195" s="290">
        <v>-1904.088</v>
      </c>
      <c r="BR195" s="290">
        <v>-1178.1024245739075</v>
      </c>
      <c r="BS195" s="290">
        <v>11.275</v>
      </c>
      <c r="BT195" s="290"/>
      <c r="BU195" s="290">
        <v>0</v>
      </c>
      <c r="BV195" s="290">
        <v>13500</v>
      </c>
      <c r="BW195" s="290">
        <v>-14840</v>
      </c>
      <c r="BX195" s="290">
        <v>7560</v>
      </c>
      <c r="BY195" s="290">
        <v>2461</v>
      </c>
      <c r="BZ195" s="290">
        <v>-11280</v>
      </c>
      <c r="CA195" s="290">
        <v>-27.344020906461992</v>
      </c>
      <c r="CB195" s="290">
        <v>3949</v>
      </c>
      <c r="CC195" s="290">
        <v>8403</v>
      </c>
      <c r="CD195" s="290">
        <v>145</v>
      </c>
      <c r="CE195" s="290">
        <v>2394</v>
      </c>
      <c r="CF195" s="290">
        <v>92</v>
      </c>
      <c r="CG195" s="290">
        <v>13</v>
      </c>
      <c r="CH195" s="290">
        <v>-60</v>
      </c>
      <c r="CI195" s="290">
        <v>-28925</v>
      </c>
      <c r="CJ195" s="290">
        <v>-79536</v>
      </c>
      <c r="CK195" s="290">
        <f>+innut22!E201+innut22!S201</f>
        <v>2346797.7855095649</v>
      </c>
      <c r="CL195" s="290">
        <v>0</v>
      </c>
      <c r="CM195" s="290">
        <v>0</v>
      </c>
      <c r="CN195" s="290">
        <v>0</v>
      </c>
      <c r="CP195" s="290">
        <f>+innut23!E201</f>
        <v>2129463.7023192397</v>
      </c>
      <c r="CQ195" s="290"/>
      <c r="CV195" s="85">
        <f t="shared" si="3"/>
        <v>11.962999999999999</v>
      </c>
    </row>
    <row r="196" spans="1:100" ht="13">
      <c r="A196" s="1">
        <v>3805</v>
      </c>
      <c r="B196" s="4" t="s">
        <v>1235</v>
      </c>
      <c r="C196" s="289">
        <v>47777</v>
      </c>
      <c r="D196" s="290">
        <v>816</v>
      </c>
      <c r="E196" s="290">
        <v>1928</v>
      </c>
      <c r="F196" s="290">
        <v>5381</v>
      </c>
      <c r="G196" s="290">
        <v>3730</v>
      </c>
      <c r="H196" s="290">
        <v>26357</v>
      </c>
      <c r="I196" s="290">
        <v>6755</v>
      </c>
      <c r="J196" s="290">
        <v>2114</v>
      </c>
      <c r="K196" s="290">
        <v>499</v>
      </c>
      <c r="L196" s="290">
        <v>354</v>
      </c>
      <c r="M196" s="290">
        <v>3985</v>
      </c>
      <c r="N196" s="290">
        <v>1311</v>
      </c>
      <c r="O196" s="290">
        <v>368</v>
      </c>
      <c r="P196" s="624">
        <v>118505.33333333</v>
      </c>
      <c r="Q196" s="624">
        <v>83816.017999999996</v>
      </c>
      <c r="R196" s="624">
        <v>221</v>
      </c>
      <c r="S196" s="290">
        <v>629</v>
      </c>
      <c r="T196" s="290">
        <v>4391</v>
      </c>
      <c r="U196" s="958">
        <v>7.8552732671772502E-3</v>
      </c>
      <c r="V196" s="290">
        <v>14057.786527030001</v>
      </c>
      <c r="W196" s="765">
        <v>0.57093660999999996</v>
      </c>
      <c r="X196" s="290">
        <v>3600</v>
      </c>
      <c r="Y196" s="290"/>
      <c r="Z196" s="290">
        <f>innut22!E202</f>
        <v>1665811.0418653502</v>
      </c>
      <c r="AA196" s="290">
        <v>0</v>
      </c>
      <c r="AB196" s="290">
        <v>1534</v>
      </c>
      <c r="AC196" s="290">
        <v>3968</v>
      </c>
      <c r="AD196" s="290"/>
      <c r="AE196" s="290">
        <v>0</v>
      </c>
      <c r="AF196" s="290">
        <v>21912</v>
      </c>
      <c r="AG196" s="290">
        <v>47580</v>
      </c>
      <c r="AH196" s="290">
        <v>7938</v>
      </c>
      <c r="AI196" s="290">
        <v>1800</v>
      </c>
      <c r="AJ196" s="290">
        <v>0</v>
      </c>
      <c r="AK196" s="290">
        <v>0</v>
      </c>
      <c r="AL196" s="290">
        <v>0</v>
      </c>
      <c r="AM196" s="957">
        <v>1.2086593800000001</v>
      </c>
      <c r="AN196" s="290">
        <v>0</v>
      </c>
      <c r="AO196" s="290">
        <v>9394.6922908699999</v>
      </c>
      <c r="AP196" s="290">
        <v>0</v>
      </c>
      <c r="AQ196" s="290">
        <v>0</v>
      </c>
      <c r="AR196" s="290">
        <v>-2295.2897564199998</v>
      </c>
      <c r="AS196" s="290">
        <v>7473</v>
      </c>
      <c r="AT196" s="290">
        <v>2911</v>
      </c>
      <c r="AU196" s="290">
        <v>405</v>
      </c>
      <c r="AV196" s="766">
        <v>1325218</v>
      </c>
      <c r="AW196" s="290"/>
      <c r="AX196" s="766">
        <v>298.83335</v>
      </c>
      <c r="AY196" s="290">
        <v>10830</v>
      </c>
      <c r="AZ196" s="290">
        <v>2313</v>
      </c>
      <c r="BA196" s="290">
        <v>1099</v>
      </c>
      <c r="BB196" s="290">
        <v>0</v>
      </c>
      <c r="BC196" s="290">
        <v>97047</v>
      </c>
      <c r="BD196" s="290"/>
      <c r="BE196" s="290">
        <v>1342989.6008063001</v>
      </c>
      <c r="BF196" s="290">
        <v>0</v>
      </c>
      <c r="BG196" s="290">
        <v>43151.27173394135</v>
      </c>
      <c r="BH196" s="290">
        <v>2324.8848444409218</v>
      </c>
      <c r="BI196" s="290">
        <v>33818</v>
      </c>
      <c r="BJ196" s="290"/>
      <c r="BK196" s="290"/>
      <c r="BL196" s="290"/>
      <c r="BM196" s="290">
        <v>6669</v>
      </c>
      <c r="BN196" s="290">
        <v>17875.822780000002</v>
      </c>
      <c r="BO196" s="290">
        <v>-22170.074002767582</v>
      </c>
      <c r="BP196" s="290">
        <v>2552.6149999999998</v>
      </c>
      <c r="BQ196" s="290">
        <v>-1368.9490000000001</v>
      </c>
      <c r="BR196" s="290">
        <v>-824.4843892509864</v>
      </c>
      <c r="BS196" s="290">
        <v>8.5890000000000004</v>
      </c>
      <c r="BT196" s="290"/>
      <c r="BU196" s="290">
        <v>0</v>
      </c>
      <c r="BV196" s="290">
        <v>9500</v>
      </c>
      <c r="BW196" s="290">
        <v>-10926</v>
      </c>
      <c r="BX196" s="290">
        <v>5286</v>
      </c>
      <c r="BY196" s="290">
        <v>1639</v>
      </c>
      <c r="BZ196" s="290">
        <v>-8305</v>
      </c>
      <c r="CA196" s="290">
        <v>-15.519387981433283</v>
      </c>
      <c r="CB196" s="290">
        <v>2630</v>
      </c>
      <c r="CC196" s="290">
        <v>6187</v>
      </c>
      <c r="CD196" s="290">
        <v>96</v>
      </c>
      <c r="CE196" s="290">
        <v>1761</v>
      </c>
      <c r="CF196" s="290">
        <v>70</v>
      </c>
      <c r="CG196" s="290">
        <v>9</v>
      </c>
      <c r="CH196" s="290">
        <v>-46</v>
      </c>
      <c r="CI196" s="290">
        <v>-21280</v>
      </c>
      <c r="CJ196" s="290">
        <v>-58238</v>
      </c>
      <c r="CK196" s="290">
        <f>+innut22!E202+innut22!S202</f>
        <v>1665811.0418653502</v>
      </c>
      <c r="CL196" s="290">
        <v>0</v>
      </c>
      <c r="CM196" s="290">
        <v>0</v>
      </c>
      <c r="CN196" s="290">
        <v>0</v>
      </c>
      <c r="CP196" s="290">
        <f>+innut23!E202</f>
        <v>1519709.498378678</v>
      </c>
      <c r="CQ196" s="290"/>
      <c r="CV196" s="85">
        <f t="shared" si="3"/>
        <v>8.8079999999999998</v>
      </c>
    </row>
    <row r="197" spans="1:100" ht="13">
      <c r="A197" s="1">
        <v>3806</v>
      </c>
      <c r="B197" s="2" t="s">
        <v>904</v>
      </c>
      <c r="C197" s="289">
        <v>36624</v>
      </c>
      <c r="D197" s="290">
        <v>637</v>
      </c>
      <c r="E197" s="290">
        <v>1398</v>
      </c>
      <c r="F197" s="290">
        <v>4086</v>
      </c>
      <c r="G197" s="290">
        <v>3126</v>
      </c>
      <c r="H197" s="290">
        <v>20691</v>
      </c>
      <c r="I197" s="290">
        <v>4807</v>
      </c>
      <c r="J197" s="290">
        <v>1435</v>
      </c>
      <c r="K197" s="290">
        <v>356</v>
      </c>
      <c r="L197" s="290">
        <v>313</v>
      </c>
      <c r="M197" s="290">
        <v>2900</v>
      </c>
      <c r="N197" s="290">
        <v>1247</v>
      </c>
      <c r="O197" s="290">
        <v>295</v>
      </c>
      <c r="P197" s="624">
        <v>85553.445333330004</v>
      </c>
      <c r="Q197" s="624">
        <v>35615.377999999997</v>
      </c>
      <c r="R197" s="624">
        <v>147</v>
      </c>
      <c r="S197" s="290">
        <v>533</v>
      </c>
      <c r="T197" s="290">
        <v>3606</v>
      </c>
      <c r="U197" s="958">
        <v>9.4756481861990333E-4</v>
      </c>
      <c r="V197" s="290">
        <v>-9291.3501502199997</v>
      </c>
      <c r="W197" s="765">
        <v>0.53967080000000001</v>
      </c>
      <c r="X197" s="290">
        <v>3000</v>
      </c>
      <c r="Y197" s="290"/>
      <c r="Z197" s="290">
        <f>innut22!E203</f>
        <v>1285192.0509767064</v>
      </c>
      <c r="AA197" s="290">
        <v>0</v>
      </c>
      <c r="AB197" s="290">
        <v>1112</v>
      </c>
      <c r="AC197" s="290">
        <v>7053</v>
      </c>
      <c r="AD197" s="290"/>
      <c r="AE197" s="290">
        <v>0</v>
      </c>
      <c r="AF197" s="290">
        <v>0</v>
      </c>
      <c r="AG197" s="290">
        <v>36536</v>
      </c>
      <c r="AH197" s="290">
        <v>6076</v>
      </c>
      <c r="AI197" s="290">
        <v>0</v>
      </c>
      <c r="AJ197" s="290">
        <v>0</v>
      </c>
      <c r="AK197" s="290">
        <v>5128</v>
      </c>
      <c r="AL197" s="290">
        <v>0</v>
      </c>
      <c r="AM197" s="957">
        <v>1.2849778700000001</v>
      </c>
      <c r="AN197" s="290">
        <v>0</v>
      </c>
      <c r="AO197" s="290">
        <v>7033.0122844699999</v>
      </c>
      <c r="AP197" s="290">
        <v>0</v>
      </c>
      <c r="AQ197" s="290">
        <v>0</v>
      </c>
      <c r="AR197" s="290">
        <v>-1762.5201038299999</v>
      </c>
      <c r="AS197" s="290">
        <v>15117</v>
      </c>
      <c r="AT197" s="290">
        <v>2364</v>
      </c>
      <c r="AU197" s="290">
        <v>443</v>
      </c>
      <c r="AV197" s="766">
        <v>950938</v>
      </c>
      <c r="AW197" s="290"/>
      <c r="AX197" s="766">
        <v>254.95835</v>
      </c>
      <c r="AY197" s="290">
        <v>8891</v>
      </c>
      <c r="AZ197" s="290">
        <v>1637</v>
      </c>
      <c r="BA197" s="290">
        <v>924</v>
      </c>
      <c r="BB197" s="290">
        <v>0</v>
      </c>
      <c r="BC197" s="290">
        <v>72495</v>
      </c>
      <c r="BD197" s="290"/>
      <c r="BE197" s="290">
        <v>943619.34300223005</v>
      </c>
      <c r="BF197" s="290">
        <v>0</v>
      </c>
      <c r="BG197" s="290">
        <v>33078.095652382282</v>
      </c>
      <c r="BH197" s="290">
        <v>1782.1667861691678</v>
      </c>
      <c r="BI197" s="290">
        <v>18257</v>
      </c>
      <c r="BJ197" s="290"/>
      <c r="BK197" s="290"/>
      <c r="BL197" s="290"/>
      <c r="BM197" s="290">
        <v>0</v>
      </c>
      <c r="BN197" s="290">
        <v>13382.118039999999</v>
      </c>
      <c r="BO197" s="290">
        <v>-17024.082046345447</v>
      </c>
      <c r="BP197" s="290">
        <v>1908.154</v>
      </c>
      <c r="BQ197" s="290">
        <v>-1023.329</v>
      </c>
      <c r="BR197" s="290">
        <v>-622.66030049064875</v>
      </c>
      <c r="BS197" s="290">
        <v>6.3860000000000001</v>
      </c>
      <c r="BT197" s="290"/>
      <c r="BU197" s="290">
        <v>0</v>
      </c>
      <c r="BV197" s="290">
        <v>7500</v>
      </c>
      <c r="BW197" s="290">
        <v>-8390</v>
      </c>
      <c r="BX197" s="290">
        <v>3987</v>
      </c>
      <c r="BY197" s="290">
        <v>1391</v>
      </c>
      <c r="BZ197" s="290">
        <v>-6378</v>
      </c>
      <c r="CA197" s="290">
        <v>-27.586693163902964</v>
      </c>
      <c r="CB197" s="290">
        <v>2232</v>
      </c>
      <c r="CC197" s="290">
        <v>4751</v>
      </c>
      <c r="CD197" s="290">
        <v>82</v>
      </c>
      <c r="CE197" s="290">
        <v>1350</v>
      </c>
      <c r="CF197" s="290">
        <v>52</v>
      </c>
      <c r="CG197" s="290">
        <v>7</v>
      </c>
      <c r="CH197" s="290">
        <v>-34</v>
      </c>
      <c r="CI197" s="290">
        <v>-16312</v>
      </c>
      <c r="CJ197" s="290">
        <v>-44317</v>
      </c>
      <c r="CK197" s="290">
        <f>+innut22!E203+innut22!S203</f>
        <v>1285192.0509767064</v>
      </c>
      <c r="CL197" s="290">
        <v>3572.8750248211945</v>
      </c>
      <c r="CM197" s="290">
        <v>1933.6601666374263</v>
      </c>
      <c r="CN197" s="290">
        <v>231.63858052947762</v>
      </c>
      <c r="CP197" s="290">
        <f>+innut23!E203</f>
        <v>1189177.2774663491</v>
      </c>
      <c r="CQ197" s="290"/>
      <c r="CV197" s="85">
        <f t="shared" ref="CV197:CV260" si="4">ROUND(1000*AG197/AG$361,3)</f>
        <v>6.7640000000000002</v>
      </c>
    </row>
    <row r="198" spans="1:100" ht="13">
      <c r="A198" s="1">
        <v>3807</v>
      </c>
      <c r="B198" s="2" t="s">
        <v>905</v>
      </c>
      <c r="C198" s="289">
        <v>55513</v>
      </c>
      <c r="D198" s="290">
        <v>1018</v>
      </c>
      <c r="E198" s="290">
        <v>2302</v>
      </c>
      <c r="F198" s="290">
        <v>6399</v>
      </c>
      <c r="G198" s="290">
        <v>4554</v>
      </c>
      <c r="H198" s="290">
        <v>31240</v>
      </c>
      <c r="I198" s="290">
        <v>7215</v>
      </c>
      <c r="J198" s="290">
        <v>2148</v>
      </c>
      <c r="K198" s="290">
        <v>510</v>
      </c>
      <c r="L198" s="290">
        <v>429</v>
      </c>
      <c r="M198" s="290">
        <v>4306</v>
      </c>
      <c r="N198" s="290">
        <v>2818</v>
      </c>
      <c r="O198" s="290">
        <v>498</v>
      </c>
      <c r="P198" s="624">
        <v>136789.72733333</v>
      </c>
      <c r="Q198" s="624">
        <v>71811.153333330003</v>
      </c>
      <c r="R198" s="624">
        <v>194</v>
      </c>
      <c r="S198" s="290">
        <v>941</v>
      </c>
      <c r="T198" s="290">
        <v>5404</v>
      </c>
      <c r="U198" s="958">
        <v>4.8256815233830514E-3</v>
      </c>
      <c r="V198" s="290">
        <v>-17196.737605189999</v>
      </c>
      <c r="W198" s="765">
        <v>0.54140239000000001</v>
      </c>
      <c r="X198" s="290">
        <v>3400</v>
      </c>
      <c r="Y198" s="290"/>
      <c r="Z198" s="290">
        <f>innut22!E204</f>
        <v>1818860.8582132764</v>
      </c>
      <c r="AA198" s="290">
        <v>0</v>
      </c>
      <c r="AB198" s="290">
        <v>1586</v>
      </c>
      <c r="AC198" s="290">
        <v>9431</v>
      </c>
      <c r="AD198" s="290"/>
      <c r="AE198" s="290">
        <v>0</v>
      </c>
      <c r="AF198" s="290">
        <v>0</v>
      </c>
      <c r="AG198" s="290">
        <v>55386</v>
      </c>
      <c r="AH198" s="290">
        <v>9526</v>
      </c>
      <c r="AI198" s="290">
        <v>2900</v>
      </c>
      <c r="AJ198" s="290">
        <v>0</v>
      </c>
      <c r="AK198" s="290">
        <v>0</v>
      </c>
      <c r="AL198" s="290">
        <v>0</v>
      </c>
      <c r="AM198" s="957">
        <v>3.1472602200000002</v>
      </c>
      <c r="AN198" s="290">
        <v>0</v>
      </c>
      <c r="AO198" s="290">
        <v>10824.5107866</v>
      </c>
      <c r="AP198" s="290">
        <v>0</v>
      </c>
      <c r="AQ198" s="290">
        <v>0</v>
      </c>
      <c r="AR198" s="290">
        <v>-2671.85620952</v>
      </c>
      <c r="AS198" s="290">
        <v>11298</v>
      </c>
      <c r="AT198" s="290">
        <v>3596</v>
      </c>
      <c r="AU198" s="290">
        <v>786</v>
      </c>
      <c r="AV198" s="766">
        <v>1454855</v>
      </c>
      <c r="AW198" s="290"/>
      <c r="AX198" s="766">
        <v>361.04169999999999</v>
      </c>
      <c r="AY198" s="290">
        <v>13138</v>
      </c>
      <c r="AZ198" s="290">
        <v>3386</v>
      </c>
      <c r="BA198" s="290">
        <v>1426</v>
      </c>
      <c r="BB198" s="290">
        <v>0</v>
      </c>
      <c r="BC198" s="290">
        <v>87849</v>
      </c>
      <c r="BD198" s="290"/>
      <c r="BE198" s="290">
        <v>1466953.8180259999</v>
      </c>
      <c r="BF198" s="290">
        <v>0</v>
      </c>
      <c r="BG198" s="290">
        <v>50138.278832205586</v>
      </c>
      <c r="BH198" s="290">
        <v>2701.3276758576071</v>
      </c>
      <c r="BI198" s="290">
        <v>18957</v>
      </c>
      <c r="BJ198" s="290"/>
      <c r="BK198" s="290"/>
      <c r="BL198" s="290"/>
      <c r="BM198" s="290">
        <v>0</v>
      </c>
      <c r="BN198" s="290">
        <v>20596.420879999998</v>
      </c>
      <c r="BO198" s="290">
        <v>-25807.308085693261</v>
      </c>
      <c r="BP198" s="290">
        <v>3056.3359999999998</v>
      </c>
      <c r="BQ198" s="290">
        <v>-1639.0909999999999</v>
      </c>
      <c r="BR198" s="290">
        <v>-978.16307438387014</v>
      </c>
      <c r="BS198" s="290">
        <v>9.6929999999999996</v>
      </c>
      <c r="BT198" s="290"/>
      <c r="BU198" s="290">
        <v>0</v>
      </c>
      <c r="BV198" s="290">
        <v>10500</v>
      </c>
      <c r="BW198" s="290">
        <v>-12719</v>
      </c>
      <c r="BX198" s="290">
        <v>6269</v>
      </c>
      <c r="BY198" s="290">
        <v>2454</v>
      </c>
      <c r="BZ198" s="290">
        <v>-9668</v>
      </c>
      <c r="CA198" s="290">
        <v>-36.887719922866381</v>
      </c>
      <c r="CB198" s="290">
        <v>3937</v>
      </c>
      <c r="CC198" s="290">
        <v>7202</v>
      </c>
      <c r="CD198" s="290">
        <v>144</v>
      </c>
      <c r="CE198" s="290">
        <v>2046</v>
      </c>
      <c r="CF198" s="290">
        <v>79</v>
      </c>
      <c r="CG198" s="290">
        <v>11</v>
      </c>
      <c r="CH198" s="290">
        <v>-51</v>
      </c>
      <c r="CI198" s="290">
        <v>-24725</v>
      </c>
      <c r="CJ198" s="290">
        <v>-66703</v>
      </c>
      <c r="CK198" s="290">
        <f>+innut22!E204+innut22!S204</f>
        <v>1818860.8582132764</v>
      </c>
      <c r="CL198" s="290">
        <v>0</v>
      </c>
      <c r="CM198" s="290">
        <v>0</v>
      </c>
      <c r="CN198" s="290">
        <v>0</v>
      </c>
      <c r="CP198" s="290">
        <f>+innut23!E204</f>
        <v>1681398.3848895733</v>
      </c>
      <c r="CQ198" s="290"/>
      <c r="CV198" s="85">
        <f t="shared" si="4"/>
        <v>10.253</v>
      </c>
    </row>
    <row r="199" spans="1:100" ht="13">
      <c r="A199" s="1">
        <v>3808</v>
      </c>
      <c r="B199" s="2" t="s">
        <v>906</v>
      </c>
      <c r="C199" s="289">
        <v>13029</v>
      </c>
      <c r="D199" s="290">
        <v>191</v>
      </c>
      <c r="E199" s="290">
        <v>512</v>
      </c>
      <c r="F199" s="290">
        <v>1450</v>
      </c>
      <c r="G199" s="290">
        <v>1042</v>
      </c>
      <c r="H199" s="290">
        <v>7247</v>
      </c>
      <c r="I199" s="290">
        <v>1769</v>
      </c>
      <c r="J199" s="290">
        <v>589</v>
      </c>
      <c r="K199" s="290">
        <v>179</v>
      </c>
      <c r="L199" s="290">
        <v>109</v>
      </c>
      <c r="M199" s="290">
        <v>1159</v>
      </c>
      <c r="N199" s="290">
        <v>349</v>
      </c>
      <c r="O199" s="290">
        <v>147</v>
      </c>
      <c r="P199" s="624">
        <v>54659.749666670003</v>
      </c>
      <c r="Q199" s="624">
        <v>19186.723666670001</v>
      </c>
      <c r="R199" s="624">
        <v>68</v>
      </c>
      <c r="S199" s="290">
        <v>192</v>
      </c>
      <c r="T199" s="290">
        <v>1323</v>
      </c>
      <c r="U199" s="958">
        <v>3.1155217583702694E-3</v>
      </c>
      <c r="V199" s="290">
        <v>-2654.43325555</v>
      </c>
      <c r="W199" s="765">
        <v>0.58558699000000003</v>
      </c>
      <c r="X199" s="290">
        <v>2600</v>
      </c>
      <c r="Y199" s="290"/>
      <c r="Z199" s="290">
        <f>innut22!E205</f>
        <v>426477.04519038316</v>
      </c>
      <c r="AA199" s="290">
        <v>0</v>
      </c>
      <c r="AB199" s="290">
        <v>479</v>
      </c>
      <c r="AC199" s="290">
        <v>1991</v>
      </c>
      <c r="AD199" s="290"/>
      <c r="AE199" s="290">
        <v>0</v>
      </c>
      <c r="AF199" s="290">
        <v>0</v>
      </c>
      <c r="AG199" s="290">
        <v>12979</v>
      </c>
      <c r="AH199" s="290">
        <v>2118</v>
      </c>
      <c r="AI199" s="290">
        <v>0</v>
      </c>
      <c r="AJ199" s="290">
        <v>0</v>
      </c>
      <c r="AK199" s="290">
        <v>0</v>
      </c>
      <c r="AL199" s="290">
        <v>0</v>
      </c>
      <c r="AM199" s="957">
        <v>0.48695168999999999</v>
      </c>
      <c r="AN199" s="290">
        <v>6668</v>
      </c>
      <c r="AO199" s="290">
        <v>2690.4481444500002</v>
      </c>
      <c r="AP199" s="290">
        <v>0</v>
      </c>
      <c r="AQ199" s="290">
        <v>0</v>
      </c>
      <c r="AR199" s="290">
        <v>-626.11529526000004</v>
      </c>
      <c r="AS199" s="290">
        <v>2915</v>
      </c>
      <c r="AT199" s="290">
        <v>701</v>
      </c>
      <c r="AU199" s="290">
        <v>162</v>
      </c>
      <c r="AV199" s="766">
        <v>395306</v>
      </c>
      <c r="AW199" s="290"/>
      <c r="AX199" s="766">
        <v>77.375050000000002</v>
      </c>
      <c r="AY199" s="290">
        <v>2861</v>
      </c>
      <c r="AZ199" s="290">
        <v>724</v>
      </c>
      <c r="BA199" s="290">
        <v>315</v>
      </c>
      <c r="BB199" s="290">
        <v>0</v>
      </c>
      <c r="BC199" s="290">
        <v>21277</v>
      </c>
      <c r="BD199" s="290"/>
      <c r="BE199" s="290">
        <v>399985.57817062002</v>
      </c>
      <c r="BF199" s="290">
        <v>0</v>
      </c>
      <c r="BG199" s="290">
        <v>11767.543366505261</v>
      </c>
      <c r="BH199" s="290">
        <v>634.00641811375283</v>
      </c>
      <c r="BI199" s="290">
        <v>4109</v>
      </c>
      <c r="BJ199" s="290"/>
      <c r="BK199" s="290"/>
      <c r="BL199" s="290"/>
      <c r="BM199" s="290">
        <v>0</v>
      </c>
      <c r="BN199" s="290">
        <v>5119.270840000001</v>
      </c>
      <c r="BO199" s="290">
        <v>-6047.6122421588998</v>
      </c>
      <c r="BP199" s="290">
        <v>675.83900000000006</v>
      </c>
      <c r="BQ199" s="290">
        <v>-362.447</v>
      </c>
      <c r="BR199" s="290">
        <v>-228.96280563584492</v>
      </c>
      <c r="BS199" s="290">
        <v>2.4260000000000002</v>
      </c>
      <c r="BT199" s="290"/>
      <c r="BU199" s="290">
        <v>0</v>
      </c>
      <c r="BV199" s="290">
        <v>4000</v>
      </c>
      <c r="BW199" s="290">
        <v>-2981</v>
      </c>
      <c r="BX199" s="290">
        <v>1462</v>
      </c>
      <c r="BY199" s="290">
        <v>502</v>
      </c>
      <c r="BZ199" s="290">
        <v>-2266</v>
      </c>
      <c r="CA199" s="290">
        <v>-274.51379220525632</v>
      </c>
      <c r="CB199" s="290">
        <v>805</v>
      </c>
      <c r="CC199" s="290">
        <v>1688</v>
      </c>
      <c r="CD199" s="290">
        <v>30</v>
      </c>
      <c r="CE199" s="290">
        <v>480</v>
      </c>
      <c r="CF199" s="290">
        <v>20</v>
      </c>
      <c r="CG199" s="290">
        <v>2</v>
      </c>
      <c r="CH199" s="290">
        <v>-13</v>
      </c>
      <c r="CI199" s="290">
        <v>-5803</v>
      </c>
      <c r="CJ199" s="290">
        <v>-15775</v>
      </c>
      <c r="CK199" s="290">
        <f>+innut22!E205+innut22!S205</f>
        <v>426477.04519038316</v>
      </c>
      <c r="CL199" s="290">
        <v>0</v>
      </c>
      <c r="CM199" s="290">
        <v>0</v>
      </c>
      <c r="CN199" s="290">
        <v>0</v>
      </c>
      <c r="CP199" s="290">
        <f>+innut23!E205</f>
        <v>392310.92565602408</v>
      </c>
      <c r="CQ199" s="290"/>
      <c r="CV199" s="85">
        <f t="shared" si="4"/>
        <v>2.403</v>
      </c>
    </row>
    <row r="200" spans="1:100" ht="13">
      <c r="A200" s="1">
        <v>3811</v>
      </c>
      <c r="B200" s="2" t="s">
        <v>1241</v>
      </c>
      <c r="C200" s="289">
        <v>27165</v>
      </c>
      <c r="D200" s="290">
        <v>465</v>
      </c>
      <c r="E200" s="290">
        <v>1091</v>
      </c>
      <c r="F200" s="290">
        <v>3208</v>
      </c>
      <c r="G200" s="290">
        <v>2220</v>
      </c>
      <c r="H200" s="290">
        <v>14772</v>
      </c>
      <c r="I200" s="290">
        <v>3857</v>
      </c>
      <c r="J200" s="290">
        <v>1202</v>
      </c>
      <c r="K200" s="290">
        <v>281</v>
      </c>
      <c r="L200" s="290">
        <v>194</v>
      </c>
      <c r="M200" s="290">
        <v>2211</v>
      </c>
      <c r="N200" s="290">
        <v>735</v>
      </c>
      <c r="O200" s="290">
        <v>222</v>
      </c>
      <c r="P200" s="624">
        <v>63178.209000000003</v>
      </c>
      <c r="Q200" s="624">
        <v>44505.478000000003</v>
      </c>
      <c r="R200" s="624">
        <v>90</v>
      </c>
      <c r="S200" s="290">
        <v>342</v>
      </c>
      <c r="T200" s="290">
        <v>2184</v>
      </c>
      <c r="U200" s="958">
        <v>1.3693541314169604E-3</v>
      </c>
      <c r="V200" s="290">
        <v>-17148.19127806</v>
      </c>
      <c r="W200" s="765">
        <v>0.55525506999999996</v>
      </c>
      <c r="X200" s="290">
        <v>1800</v>
      </c>
      <c r="Y200" s="290"/>
      <c r="Z200" s="290">
        <f>innut22!E206</f>
        <v>1124017.0853263633</v>
      </c>
      <c r="AA200" s="290">
        <v>0</v>
      </c>
      <c r="AB200" s="290">
        <v>631</v>
      </c>
      <c r="AC200" s="290">
        <v>2954</v>
      </c>
      <c r="AD200" s="290"/>
      <c r="AE200" s="290">
        <v>0</v>
      </c>
      <c r="AF200" s="290">
        <v>15488</v>
      </c>
      <c r="AG200" s="290">
        <v>27096</v>
      </c>
      <c r="AH200" s="290">
        <v>4689</v>
      </c>
      <c r="AI200" s="290">
        <v>2000</v>
      </c>
      <c r="AJ200" s="290">
        <v>0</v>
      </c>
      <c r="AK200" s="290">
        <v>0</v>
      </c>
      <c r="AL200" s="290">
        <v>0</v>
      </c>
      <c r="AM200" s="957">
        <v>0.92581581000000002</v>
      </c>
      <c r="AN200" s="290">
        <v>0</v>
      </c>
      <c r="AO200" s="290">
        <v>5314.3217943500003</v>
      </c>
      <c r="AP200" s="290">
        <v>0</v>
      </c>
      <c r="AQ200" s="290">
        <v>0</v>
      </c>
      <c r="AR200" s="290">
        <v>-1307.1284413599999</v>
      </c>
      <c r="AS200" s="290">
        <v>4955</v>
      </c>
      <c r="AT200" s="290">
        <v>1593</v>
      </c>
      <c r="AU200" s="290">
        <v>314</v>
      </c>
      <c r="AV200" s="766">
        <v>759343</v>
      </c>
      <c r="AW200" s="290"/>
      <c r="AX200" s="766">
        <v>171.91665</v>
      </c>
      <c r="AY200" s="290">
        <v>8239</v>
      </c>
      <c r="AZ200" s="290">
        <v>1345</v>
      </c>
      <c r="BA200" s="290">
        <v>641</v>
      </c>
      <c r="BB200" s="290">
        <v>0</v>
      </c>
      <c r="BC200" s="290">
        <v>89814</v>
      </c>
      <c r="BD200" s="290"/>
      <c r="BE200" s="290">
        <v>744644.06622815004</v>
      </c>
      <c r="BF200" s="290">
        <v>0</v>
      </c>
      <c r="BG200" s="290">
        <v>24534.907940065656</v>
      </c>
      <c r="BH200" s="290">
        <v>1321.8807543219048</v>
      </c>
      <c r="BI200" s="290">
        <v>33931</v>
      </c>
      <c r="BJ200" s="290"/>
      <c r="BK200" s="290"/>
      <c r="BL200" s="290"/>
      <c r="BM200" s="290">
        <v>5231</v>
      </c>
      <c r="BN200" s="290">
        <v>10111.866539999999</v>
      </c>
      <c r="BO200" s="290">
        <v>-12625.479722130947</v>
      </c>
      <c r="BP200" s="290">
        <v>1497.556</v>
      </c>
      <c r="BQ200" s="290">
        <v>-803.12800000000004</v>
      </c>
      <c r="BR200" s="290">
        <v>-490.19653783200164</v>
      </c>
      <c r="BS200" s="290">
        <v>4.9359999999999999</v>
      </c>
      <c r="BT200" s="290"/>
      <c r="BU200" s="290">
        <v>10800</v>
      </c>
      <c r="BV200" s="290">
        <v>5000</v>
      </c>
      <c r="BW200" s="290">
        <v>-6222</v>
      </c>
      <c r="BX200" s="290">
        <v>3148</v>
      </c>
      <c r="BY200" s="290">
        <v>891</v>
      </c>
      <c r="BZ200" s="290">
        <v>-4730</v>
      </c>
      <c r="CA200" s="290">
        <v>-11.554280037050376</v>
      </c>
      <c r="CB200" s="290">
        <v>1429</v>
      </c>
      <c r="CC200" s="290">
        <v>3524</v>
      </c>
      <c r="CD200" s="290">
        <v>52</v>
      </c>
      <c r="CE200" s="290">
        <v>1001</v>
      </c>
      <c r="CF200" s="290">
        <v>40</v>
      </c>
      <c r="CG200" s="290">
        <v>5</v>
      </c>
      <c r="CH200" s="290">
        <v>-26</v>
      </c>
      <c r="CI200" s="290">
        <v>-12099</v>
      </c>
      <c r="CJ200" s="290">
        <v>-36640</v>
      </c>
      <c r="CK200" s="290">
        <f>+innut22!E206+innut22!S206</f>
        <v>1124017.0853263633</v>
      </c>
      <c r="CL200" s="290">
        <v>0</v>
      </c>
      <c r="CM200" s="290">
        <v>0</v>
      </c>
      <c r="CN200" s="290">
        <v>0</v>
      </c>
      <c r="CP200" s="290">
        <f>+innut23!E206</f>
        <v>1024059.286711027</v>
      </c>
      <c r="CQ200" s="290"/>
      <c r="CV200" s="85">
        <f t="shared" si="4"/>
        <v>5.016</v>
      </c>
    </row>
    <row r="201" spans="1:100" ht="13">
      <c r="A201" s="1">
        <v>3812</v>
      </c>
      <c r="B201" s="2" t="s">
        <v>907</v>
      </c>
      <c r="C201" s="289">
        <v>2349</v>
      </c>
      <c r="D201" s="290">
        <v>38</v>
      </c>
      <c r="E201" s="290">
        <v>89</v>
      </c>
      <c r="F201" s="290">
        <v>289</v>
      </c>
      <c r="G201" s="290">
        <v>182</v>
      </c>
      <c r="H201" s="290">
        <v>1308</v>
      </c>
      <c r="I201" s="290">
        <v>307</v>
      </c>
      <c r="J201" s="290">
        <v>110</v>
      </c>
      <c r="K201" s="290">
        <v>24</v>
      </c>
      <c r="L201" s="290">
        <v>12</v>
      </c>
      <c r="M201" s="290">
        <v>158</v>
      </c>
      <c r="N201" s="290">
        <v>40</v>
      </c>
      <c r="O201" s="290">
        <v>21</v>
      </c>
      <c r="P201" s="624">
        <v>8420.7086666699997</v>
      </c>
      <c r="Q201" s="624">
        <v>6502.93</v>
      </c>
      <c r="R201" s="624">
        <v>3</v>
      </c>
      <c r="S201" s="290">
        <v>23</v>
      </c>
      <c r="T201" s="290">
        <v>141</v>
      </c>
      <c r="U201" s="958">
        <v>7.9766914070737802E-4</v>
      </c>
      <c r="V201" s="290">
        <v>1054.7419196999999</v>
      </c>
      <c r="W201" s="765">
        <v>0.68529903999999997</v>
      </c>
      <c r="X201" s="290">
        <v>0</v>
      </c>
      <c r="Y201" s="290"/>
      <c r="Z201" s="290">
        <f>innut22!E207</f>
        <v>74003.557322347813</v>
      </c>
      <c r="AA201" s="290">
        <v>0</v>
      </c>
      <c r="AB201" s="290">
        <v>63</v>
      </c>
      <c r="AC201" s="290">
        <v>328</v>
      </c>
      <c r="AD201" s="290"/>
      <c r="AE201" s="290">
        <v>0</v>
      </c>
      <c r="AF201" s="290">
        <v>0</v>
      </c>
      <c r="AG201" s="290">
        <v>2347</v>
      </c>
      <c r="AH201" s="290">
        <v>410</v>
      </c>
      <c r="AI201" s="290">
        <v>0</v>
      </c>
      <c r="AJ201" s="290">
        <v>0</v>
      </c>
      <c r="AK201" s="290">
        <v>0</v>
      </c>
      <c r="AL201" s="290">
        <v>0</v>
      </c>
      <c r="AM201" s="957">
        <v>3.3624950000000001E-2</v>
      </c>
      <c r="AN201" s="290">
        <v>0</v>
      </c>
      <c r="AO201" s="290">
        <v>471.27371409</v>
      </c>
      <c r="AP201" s="290">
        <v>0</v>
      </c>
      <c r="AQ201" s="290">
        <v>0</v>
      </c>
      <c r="AR201" s="290">
        <v>2777.8159661300001</v>
      </c>
      <c r="AS201" s="290">
        <v>774</v>
      </c>
      <c r="AT201" s="290">
        <v>126</v>
      </c>
      <c r="AU201" s="290">
        <v>15</v>
      </c>
      <c r="AV201" s="766">
        <v>74235</v>
      </c>
      <c r="AW201" s="290"/>
      <c r="AX201" s="766">
        <v>13.49995</v>
      </c>
      <c r="AY201" s="290">
        <v>464</v>
      </c>
      <c r="AZ201" s="290">
        <v>98</v>
      </c>
      <c r="BA201" s="290">
        <v>39</v>
      </c>
      <c r="BB201" s="290">
        <v>3017</v>
      </c>
      <c r="BC201" s="290">
        <v>4227</v>
      </c>
      <c r="BD201" s="290"/>
      <c r="BE201" s="290">
        <v>70573.282775379994</v>
      </c>
      <c r="BF201" s="290">
        <v>0</v>
      </c>
      <c r="BG201" s="290">
        <v>2121.5718296047939</v>
      </c>
      <c r="BH201" s="290">
        <v>114.30509449299299</v>
      </c>
      <c r="BI201" s="290">
        <v>738</v>
      </c>
      <c r="BJ201" s="290"/>
      <c r="BK201" s="290"/>
      <c r="BL201" s="290"/>
      <c r="BM201" s="290">
        <v>0</v>
      </c>
      <c r="BN201" s="290">
        <v>896.71968000000004</v>
      </c>
      <c r="BO201" s="290">
        <v>-1093.5931837851097</v>
      </c>
      <c r="BP201" s="290">
        <v>116.721</v>
      </c>
      <c r="BQ201" s="290">
        <v>-62.597000000000001</v>
      </c>
      <c r="BR201" s="290">
        <v>-48.504444742470142</v>
      </c>
      <c r="BS201" s="290">
        <v>0.53700000000000003</v>
      </c>
      <c r="BT201" s="290"/>
      <c r="BU201" s="290">
        <v>0</v>
      </c>
      <c r="BV201" s="290">
        <v>1000</v>
      </c>
      <c r="BW201" s="290">
        <v>-539</v>
      </c>
      <c r="BX201" s="290">
        <v>306</v>
      </c>
      <c r="BY201" s="290">
        <v>60</v>
      </c>
      <c r="BZ201" s="290">
        <v>-410</v>
      </c>
      <c r="CA201" s="290">
        <v>-1.2830514724202544</v>
      </c>
      <c r="CB201" s="290">
        <v>97</v>
      </c>
      <c r="CC201" s="290">
        <v>305</v>
      </c>
      <c r="CD201" s="290">
        <v>4</v>
      </c>
      <c r="CE201" s="290">
        <v>87</v>
      </c>
      <c r="CF201" s="290">
        <v>4</v>
      </c>
      <c r="CG201" s="290">
        <v>0</v>
      </c>
      <c r="CH201" s="290">
        <v>-3</v>
      </c>
      <c r="CI201" s="290">
        <v>-1046</v>
      </c>
      <c r="CJ201" s="290">
        <v>-2793</v>
      </c>
      <c r="CK201" s="290">
        <f>+innut22!E207+innut22!S207</f>
        <v>74003.557322347813</v>
      </c>
      <c r="CL201" s="290">
        <v>0</v>
      </c>
      <c r="CM201" s="290">
        <v>0</v>
      </c>
      <c r="CN201" s="290">
        <v>0</v>
      </c>
      <c r="CP201" s="290">
        <f>+innut23!E207</f>
        <v>70141.206503338966</v>
      </c>
      <c r="CQ201" s="290"/>
      <c r="CV201" s="85">
        <f t="shared" si="4"/>
        <v>0.434</v>
      </c>
    </row>
    <row r="202" spans="1:100" ht="13">
      <c r="A202" s="1">
        <v>3813</v>
      </c>
      <c r="B202" s="2" t="s">
        <v>908</v>
      </c>
      <c r="C202" s="289">
        <v>14056</v>
      </c>
      <c r="D202" s="290">
        <v>241</v>
      </c>
      <c r="E202" s="290">
        <v>535</v>
      </c>
      <c r="F202" s="290">
        <v>1613</v>
      </c>
      <c r="G202" s="290">
        <v>1204</v>
      </c>
      <c r="H202" s="290">
        <v>7658</v>
      </c>
      <c r="I202" s="290">
        <v>2114</v>
      </c>
      <c r="J202" s="290">
        <v>545</v>
      </c>
      <c r="K202" s="290">
        <v>101</v>
      </c>
      <c r="L202" s="290">
        <v>119</v>
      </c>
      <c r="M202" s="290">
        <v>1018</v>
      </c>
      <c r="N202" s="290">
        <v>393</v>
      </c>
      <c r="O202" s="290">
        <v>121</v>
      </c>
      <c r="P202" s="624">
        <v>85411.326333329998</v>
      </c>
      <c r="Q202" s="624">
        <v>37836.728999999999</v>
      </c>
      <c r="R202" s="624">
        <v>56</v>
      </c>
      <c r="S202" s="290">
        <v>174</v>
      </c>
      <c r="T202" s="290">
        <v>1114</v>
      </c>
      <c r="U202" s="958">
        <v>1.3112652969851514E-3</v>
      </c>
      <c r="V202" s="290">
        <v>4578.3845120799997</v>
      </c>
      <c r="W202" s="765">
        <v>0.59179345000000005</v>
      </c>
      <c r="X202" s="290">
        <v>1400</v>
      </c>
      <c r="Y202" s="290"/>
      <c r="Z202" s="290">
        <f>innut22!E208</f>
        <v>505729.20095184335</v>
      </c>
      <c r="AA202" s="290">
        <v>0</v>
      </c>
      <c r="AB202" s="290">
        <v>416</v>
      </c>
      <c r="AC202" s="290">
        <v>1062</v>
      </c>
      <c r="AD202" s="290"/>
      <c r="AE202" s="290">
        <v>0</v>
      </c>
      <c r="AF202" s="290">
        <v>0</v>
      </c>
      <c r="AG202" s="290">
        <v>14011</v>
      </c>
      <c r="AH202" s="290">
        <v>2363</v>
      </c>
      <c r="AI202" s="290">
        <v>0</v>
      </c>
      <c r="AJ202" s="290">
        <v>0</v>
      </c>
      <c r="AK202" s="290">
        <v>14280</v>
      </c>
      <c r="AL202" s="290">
        <v>0</v>
      </c>
      <c r="AM202" s="957">
        <v>0.35237653000000002</v>
      </c>
      <c r="AN202" s="290">
        <v>7151</v>
      </c>
      <c r="AO202" s="290">
        <v>2716.8120773099999</v>
      </c>
      <c r="AP202" s="290">
        <v>0</v>
      </c>
      <c r="AQ202" s="290">
        <v>0</v>
      </c>
      <c r="AR202" s="290">
        <v>-675.89963802</v>
      </c>
      <c r="AS202" s="290">
        <v>3113</v>
      </c>
      <c r="AT202" s="290">
        <v>790</v>
      </c>
      <c r="AU202" s="290">
        <v>150</v>
      </c>
      <c r="AV202" s="766">
        <v>380225</v>
      </c>
      <c r="AW202" s="290"/>
      <c r="AX202" s="766">
        <v>88.166650000000004</v>
      </c>
      <c r="AY202" s="290">
        <v>2746</v>
      </c>
      <c r="AZ202" s="290">
        <v>584</v>
      </c>
      <c r="BA202" s="290">
        <v>302</v>
      </c>
      <c r="BB202" s="290">
        <v>0</v>
      </c>
      <c r="BC202" s="290">
        <v>34606</v>
      </c>
      <c r="BD202" s="290"/>
      <c r="BE202" s="290">
        <v>394107.90453251998</v>
      </c>
      <c r="BF202" s="290">
        <v>0</v>
      </c>
      <c r="BG202" s="290">
        <v>12695.110105119193</v>
      </c>
      <c r="BH202" s="290">
        <v>683.98144239825854</v>
      </c>
      <c r="BI202" s="290">
        <v>17705</v>
      </c>
      <c r="BJ202" s="290"/>
      <c r="BK202" s="290"/>
      <c r="BL202" s="290"/>
      <c r="BM202" s="290">
        <v>0</v>
      </c>
      <c r="BN202" s="290">
        <v>5169.4350000000004</v>
      </c>
      <c r="BO202" s="290">
        <v>-6528.4763945518416</v>
      </c>
      <c r="BP202" s="290">
        <v>706.51800000000003</v>
      </c>
      <c r="BQ202" s="290">
        <v>-378.9</v>
      </c>
      <c r="BR202" s="290">
        <v>-256.13198862881364</v>
      </c>
      <c r="BS202" s="290">
        <v>2.7080000000000002</v>
      </c>
      <c r="BT202" s="290"/>
      <c r="BU202" s="290">
        <v>0</v>
      </c>
      <c r="BV202" s="290">
        <v>3000</v>
      </c>
      <c r="BW202" s="290">
        <v>-3218</v>
      </c>
      <c r="BX202" s="290">
        <v>1642</v>
      </c>
      <c r="BY202" s="290">
        <v>455</v>
      </c>
      <c r="BZ202" s="290">
        <v>-2446</v>
      </c>
      <c r="CA202" s="290">
        <v>-4.1526168193452122</v>
      </c>
      <c r="CB202" s="290">
        <v>729</v>
      </c>
      <c r="CC202" s="290">
        <v>1822</v>
      </c>
      <c r="CD202" s="290">
        <v>27</v>
      </c>
      <c r="CE202" s="290">
        <v>518</v>
      </c>
      <c r="CF202" s="290">
        <v>22</v>
      </c>
      <c r="CG202" s="290">
        <v>3</v>
      </c>
      <c r="CH202" s="290">
        <v>-14</v>
      </c>
      <c r="CI202" s="290">
        <v>-6260</v>
      </c>
      <c r="CJ202" s="290">
        <v>-16832</v>
      </c>
      <c r="CK202" s="290">
        <f>+innut22!E208+innut22!S208</f>
        <v>505729.20095184335</v>
      </c>
      <c r="CL202" s="290">
        <v>16746.137999430553</v>
      </c>
      <c r="CM202" s="290">
        <v>19179.880137139866</v>
      </c>
      <c r="CN202" s="290">
        <v>21589.19416117527</v>
      </c>
      <c r="CP202" s="290">
        <f>+innut23!E208</f>
        <v>461349.52000644983</v>
      </c>
      <c r="CQ202" s="290"/>
      <c r="CV202" s="85">
        <f t="shared" si="4"/>
        <v>2.5939999999999999</v>
      </c>
    </row>
    <row r="203" spans="1:100" ht="13">
      <c r="A203" s="1">
        <v>3814</v>
      </c>
      <c r="B203" s="2" t="s">
        <v>910</v>
      </c>
      <c r="C203" s="289">
        <v>10351</v>
      </c>
      <c r="D203" s="290">
        <v>167</v>
      </c>
      <c r="E203" s="290">
        <v>325</v>
      </c>
      <c r="F203" s="290">
        <v>1097</v>
      </c>
      <c r="G203" s="290">
        <v>776</v>
      </c>
      <c r="H203" s="290">
        <v>5576</v>
      </c>
      <c r="I203" s="290">
        <v>1804</v>
      </c>
      <c r="J203" s="290">
        <v>510</v>
      </c>
      <c r="K203" s="290">
        <v>109</v>
      </c>
      <c r="L203" s="290">
        <v>85</v>
      </c>
      <c r="M203" s="290">
        <v>1065</v>
      </c>
      <c r="N203" s="290">
        <v>270</v>
      </c>
      <c r="O203" s="290">
        <v>118</v>
      </c>
      <c r="P203" s="624">
        <v>44615.260333329999</v>
      </c>
      <c r="Q203" s="624">
        <v>28829.96133333</v>
      </c>
      <c r="R203" s="624">
        <v>41</v>
      </c>
      <c r="S203" s="290">
        <v>143</v>
      </c>
      <c r="T203" s="290">
        <v>1054</v>
      </c>
      <c r="U203" s="958">
        <v>8.9086983468000217E-4</v>
      </c>
      <c r="V203" s="290">
        <v>-342.90822270000001</v>
      </c>
      <c r="W203" s="765">
        <v>0.59881706999999995</v>
      </c>
      <c r="X203" s="290">
        <v>2000</v>
      </c>
      <c r="Y203" s="290"/>
      <c r="Z203" s="290">
        <f>innut22!E209</f>
        <v>362475.58972376789</v>
      </c>
      <c r="AA203" s="290">
        <v>0</v>
      </c>
      <c r="AB203" s="290">
        <v>316</v>
      </c>
      <c r="AC203" s="290">
        <v>2870</v>
      </c>
      <c r="AD203" s="290"/>
      <c r="AE203" s="290">
        <v>0</v>
      </c>
      <c r="AF203" s="290">
        <v>0</v>
      </c>
      <c r="AG203" s="290">
        <v>10364</v>
      </c>
      <c r="AH203" s="290">
        <v>1571</v>
      </c>
      <c r="AI203" s="290">
        <v>0</v>
      </c>
      <c r="AJ203" s="290">
        <v>0</v>
      </c>
      <c r="AK203" s="290">
        <v>0</v>
      </c>
      <c r="AL203" s="290">
        <v>0</v>
      </c>
      <c r="AM203" s="957">
        <v>0.33093412999999999</v>
      </c>
      <c r="AN203" s="290">
        <v>13629</v>
      </c>
      <c r="AO203" s="290">
        <v>2080.8422695200002</v>
      </c>
      <c r="AP203" s="290">
        <v>0</v>
      </c>
      <c r="AQ203" s="290">
        <v>0</v>
      </c>
      <c r="AR203" s="290">
        <v>-499.96601587999999</v>
      </c>
      <c r="AS203" s="290">
        <v>2392</v>
      </c>
      <c r="AT203" s="290">
        <v>583</v>
      </c>
      <c r="AU203" s="290">
        <v>109</v>
      </c>
      <c r="AV203" s="766">
        <v>305130</v>
      </c>
      <c r="AW203" s="290"/>
      <c r="AX203" s="766">
        <v>69.499949999999998</v>
      </c>
      <c r="AY203" s="290">
        <v>2263</v>
      </c>
      <c r="AZ203" s="290">
        <v>565</v>
      </c>
      <c r="BA203" s="290">
        <v>247</v>
      </c>
      <c r="BB203" s="290">
        <v>0</v>
      </c>
      <c r="BC203" s="290">
        <v>16996</v>
      </c>
      <c r="BD203" s="290"/>
      <c r="BE203" s="290">
        <v>310058.66286630998</v>
      </c>
      <c r="BF203" s="290">
        <v>0</v>
      </c>
      <c r="BG203" s="290">
        <v>9348.8250354360243</v>
      </c>
      <c r="BH203" s="290">
        <v>503.69179782757362</v>
      </c>
      <c r="BI203" s="290">
        <v>4441</v>
      </c>
      <c r="BJ203" s="290"/>
      <c r="BK203" s="290"/>
      <c r="BL203" s="290"/>
      <c r="BM203" s="290">
        <v>0</v>
      </c>
      <c r="BN203" s="290">
        <v>3959.3385799999996</v>
      </c>
      <c r="BO203" s="290">
        <v>-4829.143483915158</v>
      </c>
      <c r="BP203" s="290">
        <v>456.94099999999997</v>
      </c>
      <c r="BQ203" s="290">
        <v>-245.054</v>
      </c>
      <c r="BR203" s="290">
        <v>-176.09886562746243</v>
      </c>
      <c r="BS203" s="290">
        <v>2.0710000000000002</v>
      </c>
      <c r="BT203" s="290"/>
      <c r="BU203" s="290">
        <v>0</v>
      </c>
      <c r="BV203" s="290">
        <v>2500</v>
      </c>
      <c r="BW203" s="290">
        <v>-2380</v>
      </c>
      <c r="BX203" s="290">
        <v>1132</v>
      </c>
      <c r="BY203" s="290">
        <v>373</v>
      </c>
      <c r="BZ203" s="290">
        <v>-1809</v>
      </c>
      <c r="CA203" s="290">
        <v>-1255.0542304573794</v>
      </c>
      <c r="CB203" s="290">
        <v>599</v>
      </c>
      <c r="CC203" s="290">
        <v>1348</v>
      </c>
      <c r="CD203" s="290">
        <v>22</v>
      </c>
      <c r="CE203" s="290">
        <v>382</v>
      </c>
      <c r="CF203" s="290">
        <v>17</v>
      </c>
      <c r="CG203" s="290">
        <v>2</v>
      </c>
      <c r="CH203" s="290">
        <v>-11</v>
      </c>
      <c r="CI203" s="290">
        <v>-4610</v>
      </c>
      <c r="CJ203" s="290">
        <v>-13446</v>
      </c>
      <c r="CK203" s="290">
        <f>+innut22!E209+innut22!S209</f>
        <v>362475.58972376789</v>
      </c>
      <c r="CL203" s="290">
        <v>0</v>
      </c>
      <c r="CM203" s="290">
        <v>0</v>
      </c>
      <c r="CN203" s="290">
        <v>0</v>
      </c>
      <c r="CP203" s="290">
        <f>+innut23!E209</f>
        <v>309214.74655896152</v>
      </c>
      <c r="CQ203" s="290"/>
      <c r="CV203" s="85">
        <f t="shared" si="4"/>
        <v>1.919</v>
      </c>
    </row>
    <row r="204" spans="1:100" ht="13">
      <c r="A204" s="1">
        <v>3815</v>
      </c>
      <c r="B204" s="2" t="s">
        <v>911</v>
      </c>
      <c r="C204" s="289">
        <v>4093</v>
      </c>
      <c r="D204" s="290">
        <v>65</v>
      </c>
      <c r="E204" s="290">
        <v>141</v>
      </c>
      <c r="F204" s="290">
        <v>470</v>
      </c>
      <c r="G204" s="290">
        <v>367</v>
      </c>
      <c r="H204" s="290">
        <v>2224</v>
      </c>
      <c r="I204" s="290">
        <v>604</v>
      </c>
      <c r="J204" s="290">
        <v>157</v>
      </c>
      <c r="K204" s="290">
        <v>57</v>
      </c>
      <c r="L204" s="290">
        <v>39</v>
      </c>
      <c r="M204" s="290">
        <v>386</v>
      </c>
      <c r="N204" s="290">
        <v>57</v>
      </c>
      <c r="O204" s="290">
        <v>63</v>
      </c>
      <c r="P204" s="624">
        <v>51522.368999999999</v>
      </c>
      <c r="Q204" s="624">
        <v>19032.357333330001</v>
      </c>
      <c r="R204" s="624">
        <v>17</v>
      </c>
      <c r="S204" s="290">
        <v>49</v>
      </c>
      <c r="T204" s="290">
        <v>356</v>
      </c>
      <c r="U204" s="958">
        <v>2.1726161484580662E-3</v>
      </c>
      <c r="V204" s="290">
        <v>2385.6860554300001</v>
      </c>
      <c r="W204" s="765">
        <v>0.92935522999999998</v>
      </c>
      <c r="X204" s="290">
        <v>900</v>
      </c>
      <c r="Y204" s="290"/>
      <c r="Z204" s="290">
        <f>innut22!E210</f>
        <v>114824.77109789854</v>
      </c>
      <c r="AA204" s="290">
        <v>0</v>
      </c>
      <c r="AB204" s="290">
        <v>128</v>
      </c>
      <c r="AC204" s="290">
        <v>0</v>
      </c>
      <c r="AD204" s="290"/>
      <c r="AE204" s="290">
        <v>0</v>
      </c>
      <c r="AF204" s="290">
        <v>0</v>
      </c>
      <c r="AG204" s="290">
        <v>4085</v>
      </c>
      <c r="AH204" s="290">
        <v>689</v>
      </c>
      <c r="AI204" s="290">
        <v>0</v>
      </c>
      <c r="AJ204" s="290">
        <v>0</v>
      </c>
      <c r="AK204" s="290">
        <v>0</v>
      </c>
      <c r="AL204" s="290">
        <v>0</v>
      </c>
      <c r="AM204" s="957">
        <v>0.1059032</v>
      </c>
      <c r="AN204" s="290">
        <v>4902</v>
      </c>
      <c r="AO204" s="290">
        <v>890.65498851999996</v>
      </c>
      <c r="AP204" s="290">
        <v>0</v>
      </c>
      <c r="AQ204" s="290">
        <v>0</v>
      </c>
      <c r="AR204" s="290">
        <v>2875.5285487900001</v>
      </c>
      <c r="AS204" s="290">
        <v>1901</v>
      </c>
      <c r="AT204" s="290">
        <v>203</v>
      </c>
      <c r="AU204" s="290">
        <v>33</v>
      </c>
      <c r="AV204" s="766">
        <v>150024</v>
      </c>
      <c r="AW204" s="290"/>
      <c r="AX204" s="766">
        <v>17.333349999999999</v>
      </c>
      <c r="AY204" s="290">
        <v>611</v>
      </c>
      <c r="AZ204" s="290">
        <v>262</v>
      </c>
      <c r="BA204" s="290">
        <v>58</v>
      </c>
      <c r="BB204" s="290">
        <v>0</v>
      </c>
      <c r="BC204" s="290">
        <v>8286</v>
      </c>
      <c r="BD204" s="290"/>
      <c r="BE204" s="290">
        <v>144709.92884153</v>
      </c>
      <c r="BF204" s="290">
        <v>0</v>
      </c>
      <c r="BG204" s="290">
        <v>3696.7192416229977</v>
      </c>
      <c r="BH204" s="290">
        <v>199.17017954866765</v>
      </c>
      <c r="BI204" s="290">
        <v>689</v>
      </c>
      <c r="BJ204" s="290"/>
      <c r="BK204" s="290"/>
      <c r="BL204" s="290"/>
      <c r="BM204" s="290">
        <v>0</v>
      </c>
      <c r="BN204" s="290">
        <v>1694.7006000000001</v>
      </c>
      <c r="BO204" s="290">
        <v>-1903.4206032220593</v>
      </c>
      <c r="BP204" s="290">
        <v>178.51400000000001</v>
      </c>
      <c r="BQ204" s="290">
        <v>-95.736000000000004</v>
      </c>
      <c r="BR204" s="290">
        <v>-82.392797218005498</v>
      </c>
      <c r="BS204" s="290">
        <v>0.97499999999999998</v>
      </c>
      <c r="BT204" s="290"/>
      <c r="BU204" s="290">
        <v>0</v>
      </c>
      <c r="BV204" s="290">
        <v>1500</v>
      </c>
      <c r="BW204" s="290">
        <v>-938</v>
      </c>
      <c r="BX204" s="290">
        <v>534</v>
      </c>
      <c r="BY204" s="290">
        <v>129</v>
      </c>
      <c r="BZ204" s="290">
        <v>-713</v>
      </c>
      <c r="CA204" s="290">
        <v>1230.3598004400646</v>
      </c>
      <c r="CB204" s="290">
        <v>206</v>
      </c>
      <c r="CC204" s="290">
        <v>531</v>
      </c>
      <c r="CD204" s="290">
        <v>8</v>
      </c>
      <c r="CE204" s="290">
        <v>151</v>
      </c>
      <c r="CF204" s="290">
        <v>8</v>
      </c>
      <c r="CG204" s="290">
        <v>1</v>
      </c>
      <c r="CH204" s="290">
        <v>-5</v>
      </c>
      <c r="CI204" s="290">
        <v>-1823</v>
      </c>
      <c r="CJ204" s="290">
        <v>-4817</v>
      </c>
      <c r="CK204" s="290">
        <f>+innut22!E210+innut22!S210</f>
        <v>114824.77109789854</v>
      </c>
      <c r="CL204" s="290">
        <v>0</v>
      </c>
      <c r="CM204" s="290">
        <v>0</v>
      </c>
      <c r="CN204" s="290">
        <v>0</v>
      </c>
      <c r="CP204" s="290">
        <f>+innut23!E210</f>
        <v>108001.64864530695</v>
      </c>
      <c r="CQ204" s="290"/>
      <c r="CV204" s="85">
        <f t="shared" si="4"/>
        <v>0.75600000000000001</v>
      </c>
    </row>
    <row r="205" spans="1:100" ht="13">
      <c r="A205" s="1">
        <v>3816</v>
      </c>
      <c r="B205" s="2" t="s">
        <v>912</v>
      </c>
      <c r="C205" s="289">
        <v>6494</v>
      </c>
      <c r="D205" s="290">
        <v>110</v>
      </c>
      <c r="E205" s="290">
        <v>249</v>
      </c>
      <c r="F205" s="290">
        <v>699</v>
      </c>
      <c r="G205" s="290">
        <v>552</v>
      </c>
      <c r="H205" s="290">
        <v>3562</v>
      </c>
      <c r="I205" s="290">
        <v>953</v>
      </c>
      <c r="J205" s="290">
        <v>273</v>
      </c>
      <c r="K205" s="290">
        <v>100</v>
      </c>
      <c r="L205" s="290">
        <v>57</v>
      </c>
      <c r="M205" s="290">
        <v>602</v>
      </c>
      <c r="N205" s="290">
        <v>189</v>
      </c>
      <c r="O205" s="290">
        <v>92</v>
      </c>
      <c r="P205" s="624">
        <v>16533.91566667</v>
      </c>
      <c r="Q205" s="624">
        <v>16537.107</v>
      </c>
      <c r="R205" s="624">
        <v>33</v>
      </c>
      <c r="S205" s="290">
        <v>90</v>
      </c>
      <c r="T205" s="290">
        <v>644</v>
      </c>
      <c r="U205" s="958">
        <v>2.9724582839515505E-3</v>
      </c>
      <c r="V205" s="290">
        <v>10.529537149999999</v>
      </c>
      <c r="W205" s="765">
        <v>0.66545390999999998</v>
      </c>
      <c r="X205" s="290">
        <v>2600</v>
      </c>
      <c r="Y205" s="290"/>
      <c r="Z205" s="290">
        <f>innut22!E211</f>
        <v>198150.37565376773</v>
      </c>
      <c r="AA205" s="290">
        <v>0</v>
      </c>
      <c r="AB205" s="290">
        <v>192</v>
      </c>
      <c r="AC205" s="290">
        <v>217</v>
      </c>
      <c r="AD205" s="290"/>
      <c r="AE205" s="290">
        <v>0</v>
      </c>
      <c r="AF205" s="290">
        <v>0</v>
      </c>
      <c r="AG205" s="290">
        <v>6498</v>
      </c>
      <c r="AH205" s="290">
        <v>1064</v>
      </c>
      <c r="AI205" s="290">
        <v>1000</v>
      </c>
      <c r="AJ205" s="290">
        <v>0</v>
      </c>
      <c r="AK205" s="290">
        <v>0</v>
      </c>
      <c r="AL205" s="290">
        <v>0</v>
      </c>
      <c r="AM205" s="957">
        <v>0.20230794999999999</v>
      </c>
      <c r="AN205" s="290">
        <v>7191</v>
      </c>
      <c r="AO205" s="290">
        <v>1360.2492879199999</v>
      </c>
      <c r="AP205" s="290">
        <v>0</v>
      </c>
      <c r="AQ205" s="290">
        <v>0</v>
      </c>
      <c r="AR205" s="290">
        <v>-313.46769309000001</v>
      </c>
      <c r="AS205" s="290">
        <v>1549</v>
      </c>
      <c r="AT205" s="290">
        <v>363</v>
      </c>
      <c r="AU205" s="290">
        <v>69</v>
      </c>
      <c r="AV205" s="766">
        <v>207275</v>
      </c>
      <c r="AW205" s="290"/>
      <c r="AX205" s="766">
        <v>40.458300000000001</v>
      </c>
      <c r="AY205" s="290">
        <v>1271</v>
      </c>
      <c r="AZ205" s="290">
        <v>340</v>
      </c>
      <c r="BA205" s="290">
        <v>139</v>
      </c>
      <c r="BB205" s="290">
        <v>0</v>
      </c>
      <c r="BC205" s="290">
        <v>11080</v>
      </c>
      <c r="BD205" s="290"/>
      <c r="BE205" s="290">
        <v>209995.4847768</v>
      </c>
      <c r="BF205" s="290">
        <v>0</v>
      </c>
      <c r="BG205" s="290">
        <v>5865.2564757145728</v>
      </c>
      <c r="BH205" s="290">
        <v>316.00565501809126</v>
      </c>
      <c r="BI205" s="290">
        <v>1281</v>
      </c>
      <c r="BJ205" s="290"/>
      <c r="BK205" s="290"/>
      <c r="BL205" s="290"/>
      <c r="BM205" s="290">
        <v>0</v>
      </c>
      <c r="BN205" s="290">
        <v>2588.2247600000001</v>
      </c>
      <c r="BO205" s="290">
        <v>-3027.766726985787</v>
      </c>
      <c r="BP205" s="290">
        <v>328.17200000000003</v>
      </c>
      <c r="BQ205" s="290">
        <v>-175.99600000000001</v>
      </c>
      <c r="BR205" s="290">
        <v>-113.59349293009518</v>
      </c>
      <c r="BS205" s="290">
        <v>1.294</v>
      </c>
      <c r="BT205" s="290"/>
      <c r="BU205" s="290">
        <v>0</v>
      </c>
      <c r="BV205" s="290">
        <v>1000</v>
      </c>
      <c r="BW205" s="290">
        <v>-1492</v>
      </c>
      <c r="BX205" s="290">
        <v>727</v>
      </c>
      <c r="BY205" s="290">
        <v>235</v>
      </c>
      <c r="BZ205" s="290">
        <v>-1134</v>
      </c>
      <c r="CA205" s="290">
        <v>1274.6654599158821</v>
      </c>
      <c r="CB205" s="290">
        <v>377</v>
      </c>
      <c r="CC205" s="290">
        <v>845</v>
      </c>
      <c r="CD205" s="290">
        <v>14</v>
      </c>
      <c r="CE205" s="290">
        <v>239</v>
      </c>
      <c r="CF205" s="290">
        <v>11</v>
      </c>
      <c r="CG205" s="290">
        <v>1</v>
      </c>
      <c r="CH205" s="290">
        <v>-7</v>
      </c>
      <c r="CI205" s="290">
        <v>-2892</v>
      </c>
      <c r="CJ205" s="290">
        <v>-7868</v>
      </c>
      <c r="CK205" s="290">
        <f>+innut22!E211+innut22!S211</f>
        <v>198150.37565376773</v>
      </c>
      <c r="CL205" s="290">
        <v>0</v>
      </c>
      <c r="CM205" s="290">
        <v>0</v>
      </c>
      <c r="CN205" s="290">
        <v>0</v>
      </c>
      <c r="CP205" s="290">
        <f>+innut23!E211</f>
        <v>182244.05674047783</v>
      </c>
      <c r="CQ205" s="290"/>
      <c r="CV205" s="85">
        <f t="shared" si="4"/>
        <v>1.2030000000000001</v>
      </c>
    </row>
    <row r="206" spans="1:100" ht="13">
      <c r="A206" s="1">
        <v>3817</v>
      </c>
      <c r="B206" s="2" t="s">
        <v>1627</v>
      </c>
      <c r="C206" s="289">
        <v>10539</v>
      </c>
      <c r="D206" s="290">
        <v>189</v>
      </c>
      <c r="E206" s="290">
        <v>443</v>
      </c>
      <c r="F206" s="290">
        <v>1227</v>
      </c>
      <c r="G206" s="290">
        <v>922</v>
      </c>
      <c r="H206" s="290">
        <v>5746</v>
      </c>
      <c r="I206" s="290">
        <v>1341</v>
      </c>
      <c r="J206" s="290">
        <v>434</v>
      </c>
      <c r="K206" s="290">
        <v>98</v>
      </c>
      <c r="L206" s="290">
        <v>82</v>
      </c>
      <c r="M206" s="290">
        <v>808</v>
      </c>
      <c r="N206" s="290">
        <v>365</v>
      </c>
      <c r="O206" s="290">
        <v>111</v>
      </c>
      <c r="P206" s="624">
        <v>42589.219666669997</v>
      </c>
      <c r="Q206" s="624">
        <v>23936.856666669999</v>
      </c>
      <c r="R206" s="624">
        <v>40</v>
      </c>
      <c r="S206" s="290">
        <v>139</v>
      </c>
      <c r="T206" s="290">
        <v>915</v>
      </c>
      <c r="U206" s="958">
        <v>5.8816790946592864E-3</v>
      </c>
      <c r="V206" s="290">
        <v>-1962.4774385400001</v>
      </c>
      <c r="W206" s="765">
        <v>0.60848670999999999</v>
      </c>
      <c r="X206" s="290">
        <v>4000</v>
      </c>
      <c r="Y206" s="290"/>
      <c r="Z206" s="290">
        <f>innut22!E212</f>
        <v>317083.45271746273</v>
      </c>
      <c r="AA206" s="290">
        <v>0</v>
      </c>
      <c r="AB206" s="290">
        <v>319</v>
      </c>
      <c r="AC206" s="290">
        <v>3448</v>
      </c>
      <c r="AD206" s="290"/>
      <c r="AE206" s="290">
        <v>0</v>
      </c>
      <c r="AF206" s="290">
        <v>19694</v>
      </c>
      <c r="AG206" s="290">
        <v>10400</v>
      </c>
      <c r="AH206" s="290">
        <v>1803</v>
      </c>
      <c r="AI206" s="290">
        <v>2000</v>
      </c>
      <c r="AJ206" s="290">
        <v>0</v>
      </c>
      <c r="AK206" s="290">
        <v>0</v>
      </c>
      <c r="AL206" s="290">
        <v>0</v>
      </c>
      <c r="AM206" s="957">
        <v>0.25721758</v>
      </c>
      <c r="AN206" s="290">
        <v>0</v>
      </c>
      <c r="AO206" s="290">
        <v>2096.2350759199999</v>
      </c>
      <c r="AP206" s="290">
        <v>0</v>
      </c>
      <c r="AQ206" s="290">
        <v>0</v>
      </c>
      <c r="AR206" s="290">
        <v>-501.70267899999999</v>
      </c>
      <c r="AS206" s="290">
        <v>4154</v>
      </c>
      <c r="AT206" s="290">
        <v>456</v>
      </c>
      <c r="AU206" s="290">
        <v>96</v>
      </c>
      <c r="AV206" s="766">
        <v>317964</v>
      </c>
      <c r="AW206" s="290"/>
      <c r="AX206" s="766">
        <v>58.916649999999997</v>
      </c>
      <c r="AY206" s="290">
        <v>2742</v>
      </c>
      <c r="AZ206" s="290">
        <v>643</v>
      </c>
      <c r="BA206" s="290">
        <v>205</v>
      </c>
      <c r="BB206" s="290">
        <v>0</v>
      </c>
      <c r="BC206" s="290">
        <v>38199</v>
      </c>
      <c r="BD206" s="290"/>
      <c r="BE206" s="290">
        <v>324877.31197967997</v>
      </c>
      <c r="BF206" s="290">
        <v>0</v>
      </c>
      <c r="BG206" s="290">
        <v>9518.6230362728493</v>
      </c>
      <c r="BH206" s="290">
        <v>512.84009828082287</v>
      </c>
      <c r="BI206" s="290">
        <v>24945</v>
      </c>
      <c r="BJ206" s="290"/>
      <c r="BK206" s="290"/>
      <c r="BL206" s="290"/>
      <c r="BM206" s="290">
        <v>4076</v>
      </c>
      <c r="BN206" s="290">
        <v>3988.6273600000004</v>
      </c>
      <c r="BO206" s="290">
        <v>-4845.9178148125866</v>
      </c>
      <c r="BP206" s="290">
        <v>584.39</v>
      </c>
      <c r="BQ206" s="290">
        <v>-313.404</v>
      </c>
      <c r="BR206" s="290">
        <v>-193.69094679929361</v>
      </c>
      <c r="BS206" s="290">
        <v>1.972</v>
      </c>
      <c r="BT206" s="290"/>
      <c r="BU206" s="290">
        <v>0</v>
      </c>
      <c r="BV206" s="290">
        <v>2000</v>
      </c>
      <c r="BW206" s="290">
        <v>-2388</v>
      </c>
      <c r="BX206" s="290">
        <v>1243</v>
      </c>
      <c r="BY206" s="290">
        <v>363</v>
      </c>
      <c r="BZ206" s="290">
        <v>-1815</v>
      </c>
      <c r="CA206" s="290">
        <v>-899.97659838812024</v>
      </c>
      <c r="CB206" s="290">
        <v>582</v>
      </c>
      <c r="CC206" s="290">
        <v>1352</v>
      </c>
      <c r="CD206" s="290">
        <v>21</v>
      </c>
      <c r="CE206" s="290">
        <v>389</v>
      </c>
      <c r="CF206" s="290">
        <v>16</v>
      </c>
      <c r="CG206" s="290">
        <v>2</v>
      </c>
      <c r="CH206" s="290">
        <v>-10</v>
      </c>
      <c r="CI206" s="290">
        <v>-4694</v>
      </c>
      <c r="CJ206" s="290">
        <v>-12598</v>
      </c>
      <c r="CK206" s="290">
        <f>+innut22!E212+innut22!S212</f>
        <v>317083.45271746273</v>
      </c>
      <c r="CL206" s="290">
        <v>0</v>
      </c>
      <c r="CM206" s="290">
        <v>0</v>
      </c>
      <c r="CN206" s="290">
        <v>0</v>
      </c>
      <c r="CP206" s="290">
        <f>+innut23!E212</f>
        <v>296683.64641840575</v>
      </c>
      <c r="CQ206" s="290"/>
      <c r="CV206" s="85">
        <f t="shared" si="4"/>
        <v>1.925</v>
      </c>
    </row>
    <row r="207" spans="1:100" ht="13">
      <c r="A207" s="1">
        <v>3818</v>
      </c>
      <c r="B207" s="2" t="s">
        <v>920</v>
      </c>
      <c r="C207" s="289">
        <v>5512</v>
      </c>
      <c r="D207" s="290">
        <v>64</v>
      </c>
      <c r="E207" s="290">
        <v>130</v>
      </c>
      <c r="F207" s="290">
        <v>581</v>
      </c>
      <c r="G207" s="290">
        <v>465</v>
      </c>
      <c r="H207" s="290">
        <v>3046</v>
      </c>
      <c r="I207" s="290">
        <v>928</v>
      </c>
      <c r="J207" s="290">
        <v>234</v>
      </c>
      <c r="K207" s="290">
        <v>93</v>
      </c>
      <c r="L207" s="290">
        <v>52</v>
      </c>
      <c r="M207" s="290">
        <v>596</v>
      </c>
      <c r="N207" s="290">
        <v>126</v>
      </c>
      <c r="O207" s="290">
        <v>72</v>
      </c>
      <c r="P207" s="624">
        <v>33751.325666670004</v>
      </c>
      <c r="Q207" s="624">
        <v>14443.550999999999</v>
      </c>
      <c r="R207" s="624">
        <v>25</v>
      </c>
      <c r="S207" s="290">
        <v>73</v>
      </c>
      <c r="T207" s="290">
        <v>614</v>
      </c>
      <c r="U207" s="958">
        <v>2.2811069292617871E-3</v>
      </c>
      <c r="V207" s="290">
        <v>-2130.9337515699999</v>
      </c>
      <c r="W207" s="765">
        <v>0.81228842000000001</v>
      </c>
      <c r="X207" s="290">
        <v>0</v>
      </c>
      <c r="Y207" s="290"/>
      <c r="Z207" s="290">
        <f>innut22!E213</f>
        <v>233906.85028119583</v>
      </c>
      <c r="AA207" s="290">
        <v>0</v>
      </c>
      <c r="AB207" s="290">
        <v>159</v>
      </c>
      <c r="AC207" s="290">
        <v>833</v>
      </c>
      <c r="AD207" s="290"/>
      <c r="AE207" s="290">
        <v>0</v>
      </c>
      <c r="AF207" s="290">
        <v>0</v>
      </c>
      <c r="AG207" s="290">
        <v>5541</v>
      </c>
      <c r="AH207" s="290">
        <v>798</v>
      </c>
      <c r="AI207" s="290">
        <v>0</v>
      </c>
      <c r="AJ207" s="290">
        <v>0</v>
      </c>
      <c r="AK207" s="290">
        <v>0</v>
      </c>
      <c r="AL207" s="290">
        <v>0</v>
      </c>
      <c r="AM207" s="957">
        <v>0.10443015999999999</v>
      </c>
      <c r="AN207" s="290">
        <v>7937</v>
      </c>
      <c r="AO207" s="290">
        <v>1142.04993913</v>
      </c>
      <c r="AP207" s="290">
        <v>0</v>
      </c>
      <c r="AQ207" s="290">
        <v>0</v>
      </c>
      <c r="AR207" s="290">
        <v>16831.74591663</v>
      </c>
      <c r="AS207" s="290">
        <v>1154</v>
      </c>
      <c r="AT207" s="290">
        <v>290</v>
      </c>
      <c r="AU207" s="290">
        <v>43</v>
      </c>
      <c r="AV207" s="766">
        <v>190954</v>
      </c>
      <c r="AW207" s="290"/>
      <c r="AX207" s="766">
        <v>25.541650000000001</v>
      </c>
      <c r="AY207" s="290">
        <v>1019</v>
      </c>
      <c r="AZ207" s="290">
        <v>263</v>
      </c>
      <c r="BA207" s="290">
        <v>129</v>
      </c>
      <c r="BB207" s="290">
        <v>0</v>
      </c>
      <c r="BC207" s="290">
        <v>9629</v>
      </c>
      <c r="BD207" s="290"/>
      <c r="BE207" s="290">
        <v>171630.69621548001</v>
      </c>
      <c r="BF207" s="290">
        <v>0</v>
      </c>
      <c r="BG207" s="290">
        <v>4978.3328755988186</v>
      </c>
      <c r="BH207" s="290">
        <v>268.22038350165064</v>
      </c>
      <c r="BI207" s="290">
        <v>1631</v>
      </c>
      <c r="BJ207" s="290"/>
      <c r="BK207" s="290"/>
      <c r="BL207" s="290"/>
      <c r="BM207" s="290">
        <v>0</v>
      </c>
      <c r="BN207" s="290">
        <v>2173.0442800000001</v>
      </c>
      <c r="BO207" s="290">
        <v>-2581.8490972958211</v>
      </c>
      <c r="BP207" s="290">
        <v>183.60599999999999</v>
      </c>
      <c r="BQ207" s="290">
        <v>-98.466999999999999</v>
      </c>
      <c r="BR207" s="290">
        <v>-96.258275157671676</v>
      </c>
      <c r="BS207" s="290">
        <v>1.1839999999999999</v>
      </c>
      <c r="BT207" s="290"/>
      <c r="BU207" s="290">
        <v>0</v>
      </c>
      <c r="BV207" s="290">
        <v>2000</v>
      </c>
      <c r="BW207" s="290">
        <v>-1272</v>
      </c>
      <c r="BX207" s="290">
        <v>621</v>
      </c>
      <c r="BY207" s="290">
        <v>189</v>
      </c>
      <c r="BZ207" s="290">
        <v>-967</v>
      </c>
      <c r="CA207" s="290">
        <v>-3.2599075465072929</v>
      </c>
      <c r="CB207" s="290">
        <v>304</v>
      </c>
      <c r="CC207" s="290">
        <v>721</v>
      </c>
      <c r="CD207" s="290">
        <v>11</v>
      </c>
      <c r="CE207" s="290">
        <v>203</v>
      </c>
      <c r="CF207" s="290">
        <v>10</v>
      </c>
      <c r="CG207" s="290">
        <v>1</v>
      </c>
      <c r="CH207" s="290">
        <v>-6</v>
      </c>
      <c r="CI207" s="290">
        <v>-2455</v>
      </c>
      <c r="CJ207" s="290">
        <v>-5229</v>
      </c>
      <c r="CK207" s="290">
        <f>+innut22!E213+innut22!S213</f>
        <v>233906.85028119583</v>
      </c>
      <c r="CL207" s="290">
        <v>0</v>
      </c>
      <c r="CM207" s="290">
        <v>0</v>
      </c>
      <c r="CN207" s="290">
        <v>0</v>
      </c>
      <c r="CP207" s="290">
        <f>+innut23!E213</f>
        <v>220426.23999350163</v>
      </c>
      <c r="CQ207" s="290"/>
      <c r="CV207" s="85">
        <f t="shared" si="4"/>
        <v>1.026</v>
      </c>
    </row>
    <row r="208" spans="1:100" ht="13">
      <c r="A208" s="1">
        <v>3819</v>
      </c>
      <c r="B208" s="2" t="s">
        <v>921</v>
      </c>
      <c r="C208" s="289">
        <v>1562</v>
      </c>
      <c r="D208" s="290">
        <v>24</v>
      </c>
      <c r="E208" s="290">
        <v>59</v>
      </c>
      <c r="F208" s="290">
        <v>163</v>
      </c>
      <c r="G208" s="290">
        <v>141</v>
      </c>
      <c r="H208" s="290">
        <v>805</v>
      </c>
      <c r="I208" s="290">
        <v>246</v>
      </c>
      <c r="J208" s="290">
        <v>89</v>
      </c>
      <c r="K208" s="290">
        <v>25</v>
      </c>
      <c r="L208" s="290">
        <v>11</v>
      </c>
      <c r="M208" s="290">
        <v>170</v>
      </c>
      <c r="N208" s="290">
        <v>23</v>
      </c>
      <c r="O208" s="290">
        <v>22</v>
      </c>
      <c r="P208" s="624">
        <v>16161.94933333</v>
      </c>
      <c r="Q208" s="624">
        <v>7546.1006666699996</v>
      </c>
      <c r="R208" s="624">
        <v>5</v>
      </c>
      <c r="S208" s="290">
        <v>15</v>
      </c>
      <c r="T208" s="290">
        <v>109</v>
      </c>
      <c r="U208" s="958">
        <v>2.107341301691826E-3</v>
      </c>
      <c r="V208" s="290">
        <v>-4811.0230388500004</v>
      </c>
      <c r="W208" s="765">
        <v>0.88676602000000004</v>
      </c>
      <c r="X208" s="290">
        <v>0</v>
      </c>
      <c r="Y208" s="290"/>
      <c r="Z208" s="290">
        <f>innut22!E214</f>
        <v>59850.705798924857</v>
      </c>
      <c r="AA208" s="290">
        <v>0</v>
      </c>
      <c r="AB208" s="290">
        <v>39</v>
      </c>
      <c r="AC208" s="290">
        <v>0</v>
      </c>
      <c r="AD208" s="290"/>
      <c r="AE208" s="290">
        <v>0</v>
      </c>
      <c r="AF208" s="290">
        <v>0</v>
      </c>
      <c r="AG208" s="290">
        <v>1552</v>
      </c>
      <c r="AH208" s="290">
        <v>259</v>
      </c>
      <c r="AI208" s="290">
        <v>0</v>
      </c>
      <c r="AJ208" s="290">
        <v>0</v>
      </c>
      <c r="AK208" s="290">
        <v>0</v>
      </c>
      <c r="AL208" s="290">
        <v>0</v>
      </c>
      <c r="AM208" s="957">
        <v>1.485275E-2</v>
      </c>
      <c r="AN208" s="290">
        <v>0</v>
      </c>
      <c r="AO208" s="290">
        <v>373.99625394999998</v>
      </c>
      <c r="AP208" s="290">
        <v>0</v>
      </c>
      <c r="AQ208" s="290">
        <v>0</v>
      </c>
      <c r="AR208" s="290">
        <v>9115.06667844</v>
      </c>
      <c r="AS208" s="290">
        <v>363</v>
      </c>
      <c r="AT208" s="290">
        <v>52</v>
      </c>
      <c r="AU208" s="290">
        <v>8</v>
      </c>
      <c r="AV208" s="766">
        <v>71697</v>
      </c>
      <c r="AW208" s="290"/>
      <c r="AX208" s="766">
        <v>4.8333500000000003</v>
      </c>
      <c r="AY208" s="290">
        <v>256</v>
      </c>
      <c r="AZ208" s="290">
        <v>87</v>
      </c>
      <c r="BA208" s="290">
        <v>17</v>
      </c>
      <c r="BB208" s="290">
        <v>3620</v>
      </c>
      <c r="BC208" s="290">
        <v>2991</v>
      </c>
      <c r="BD208" s="290"/>
      <c r="BE208" s="290">
        <v>61486.140671610003</v>
      </c>
      <c r="BF208" s="290">
        <v>0</v>
      </c>
      <c r="BG208" s="290">
        <v>1410.7684963144691</v>
      </c>
      <c r="BH208" s="290">
        <v>76.008751638167311</v>
      </c>
      <c r="BI208" s="290">
        <v>259</v>
      </c>
      <c r="BJ208" s="290"/>
      <c r="BK208" s="290"/>
      <c r="BL208" s="290"/>
      <c r="BM208" s="290">
        <v>0</v>
      </c>
      <c r="BN208" s="290">
        <v>711.62423999999999</v>
      </c>
      <c r="BO208" s="290">
        <v>-723.16004313357064</v>
      </c>
      <c r="BP208" s="290">
        <v>72.664000000000001</v>
      </c>
      <c r="BQ208" s="290">
        <v>-38.969000000000001</v>
      </c>
      <c r="BR208" s="290">
        <v>-30.350013778006279</v>
      </c>
      <c r="BS208" s="290">
        <v>0.46500000000000002</v>
      </c>
      <c r="BT208" s="290"/>
      <c r="BU208" s="290">
        <v>0</v>
      </c>
      <c r="BV208" s="290">
        <v>500</v>
      </c>
      <c r="BW208" s="290">
        <v>-356</v>
      </c>
      <c r="BX208" s="290">
        <v>201</v>
      </c>
      <c r="BY208" s="290">
        <v>39</v>
      </c>
      <c r="BZ208" s="290">
        <v>-271</v>
      </c>
      <c r="CA208" s="290">
        <v>266.72581691157694</v>
      </c>
      <c r="CB208" s="290">
        <v>63</v>
      </c>
      <c r="CC208" s="290">
        <v>202</v>
      </c>
      <c r="CD208" s="290">
        <v>2</v>
      </c>
      <c r="CE208" s="290">
        <v>58</v>
      </c>
      <c r="CF208" s="290">
        <v>4</v>
      </c>
      <c r="CG208" s="290">
        <v>0</v>
      </c>
      <c r="CH208" s="290">
        <v>-2</v>
      </c>
      <c r="CI208" s="290">
        <v>-696</v>
      </c>
      <c r="CJ208" s="290">
        <v>-1935</v>
      </c>
      <c r="CK208" s="290">
        <f>+innut22!E214+innut22!S214</f>
        <v>59850.705798924857</v>
      </c>
      <c r="CL208" s="290">
        <v>0</v>
      </c>
      <c r="CM208" s="290">
        <v>0</v>
      </c>
      <c r="CN208" s="290">
        <v>0</v>
      </c>
      <c r="CP208" s="290">
        <f>+innut23!E214</f>
        <v>54517.139236855219</v>
      </c>
      <c r="CQ208" s="290"/>
      <c r="CV208" s="85">
        <f t="shared" si="4"/>
        <v>0.28699999999999998</v>
      </c>
    </row>
    <row r="209" spans="1:100" ht="13">
      <c r="A209" s="1">
        <v>3820</v>
      </c>
      <c r="B209" s="2" t="s">
        <v>922</v>
      </c>
      <c r="C209" s="289">
        <v>2889</v>
      </c>
      <c r="D209" s="290">
        <v>35</v>
      </c>
      <c r="E209" s="290">
        <v>96</v>
      </c>
      <c r="F209" s="290">
        <v>350</v>
      </c>
      <c r="G209" s="290">
        <v>244</v>
      </c>
      <c r="H209" s="290">
        <v>1533</v>
      </c>
      <c r="I209" s="290">
        <v>483</v>
      </c>
      <c r="J209" s="290">
        <v>132</v>
      </c>
      <c r="K209" s="290">
        <v>32</v>
      </c>
      <c r="L209" s="290">
        <v>28</v>
      </c>
      <c r="M209" s="290">
        <v>295</v>
      </c>
      <c r="N209" s="290">
        <v>43</v>
      </c>
      <c r="O209" s="290">
        <v>40</v>
      </c>
      <c r="P209" s="624">
        <v>23318.787</v>
      </c>
      <c r="Q209" s="624">
        <v>13457.10133333</v>
      </c>
      <c r="R209" s="624">
        <v>12</v>
      </c>
      <c r="S209" s="290">
        <v>31</v>
      </c>
      <c r="T209" s="290">
        <v>256</v>
      </c>
      <c r="U209" s="958">
        <v>1.7824086406475024E-3</v>
      </c>
      <c r="V209" s="290">
        <v>1622.4473196599999</v>
      </c>
      <c r="W209" s="765">
        <v>0.83258103000000006</v>
      </c>
      <c r="X209" s="290">
        <v>1200</v>
      </c>
      <c r="Y209" s="290"/>
      <c r="Z209" s="290">
        <f>innut22!E215</f>
        <v>101152.08050186736</v>
      </c>
      <c r="AA209" s="290">
        <v>0</v>
      </c>
      <c r="AB209" s="290">
        <v>66</v>
      </c>
      <c r="AC209" s="290">
        <v>206</v>
      </c>
      <c r="AD209" s="290"/>
      <c r="AE209" s="290">
        <v>0</v>
      </c>
      <c r="AF209" s="290">
        <v>0</v>
      </c>
      <c r="AG209" s="290">
        <v>2905</v>
      </c>
      <c r="AH209" s="290">
        <v>490</v>
      </c>
      <c r="AI209" s="290">
        <v>0</v>
      </c>
      <c r="AJ209" s="290">
        <v>0</v>
      </c>
      <c r="AK209" s="290">
        <v>0</v>
      </c>
      <c r="AL209" s="290">
        <v>0</v>
      </c>
      <c r="AM209" s="957">
        <v>3.5582639999999999E-2</v>
      </c>
      <c r="AN209" s="290">
        <v>0</v>
      </c>
      <c r="AO209" s="290">
        <v>644.46484195999994</v>
      </c>
      <c r="AP209" s="290">
        <v>0</v>
      </c>
      <c r="AQ209" s="290">
        <v>0</v>
      </c>
      <c r="AR209" s="290">
        <v>-140.13906562</v>
      </c>
      <c r="AS209" s="290">
        <v>537</v>
      </c>
      <c r="AT209" s="290">
        <v>125</v>
      </c>
      <c r="AU209" s="290">
        <v>18</v>
      </c>
      <c r="AV209" s="766">
        <v>109269</v>
      </c>
      <c r="AW209" s="290"/>
      <c r="AX209" s="766">
        <v>9.2082999999999995</v>
      </c>
      <c r="AY209" s="290">
        <v>626</v>
      </c>
      <c r="AZ209" s="290">
        <v>133</v>
      </c>
      <c r="BA209" s="290">
        <v>54</v>
      </c>
      <c r="BB209" s="290">
        <v>6034</v>
      </c>
      <c r="BC209" s="290">
        <v>5075</v>
      </c>
      <c r="BD209" s="290"/>
      <c r="BE209" s="290">
        <v>109514.20220658999</v>
      </c>
      <c r="BF209" s="290">
        <v>0</v>
      </c>
      <c r="BG209" s="290">
        <v>2609.289491582907</v>
      </c>
      <c r="BH209" s="290">
        <v>140.58212770977295</v>
      </c>
      <c r="BI209" s="290">
        <v>696</v>
      </c>
      <c r="BJ209" s="290"/>
      <c r="BK209" s="290"/>
      <c r="BL209" s="290"/>
      <c r="BM209" s="290">
        <v>0</v>
      </c>
      <c r="BN209" s="290">
        <v>1226.2604199999998</v>
      </c>
      <c r="BO209" s="290">
        <v>-1353.5953126952465</v>
      </c>
      <c r="BP209" s="290">
        <v>124.401</v>
      </c>
      <c r="BQ209" s="290">
        <v>-66.715000000000003</v>
      </c>
      <c r="BR209" s="290">
        <v>-62.260995982958129</v>
      </c>
      <c r="BS209" s="290">
        <v>0.71599999999999997</v>
      </c>
      <c r="BT209" s="290"/>
      <c r="BU209" s="290">
        <v>0</v>
      </c>
      <c r="BV209" s="290">
        <v>1000</v>
      </c>
      <c r="BW209" s="290">
        <v>-667</v>
      </c>
      <c r="BX209" s="290">
        <v>390</v>
      </c>
      <c r="BY209" s="290">
        <v>80</v>
      </c>
      <c r="BZ209" s="290">
        <v>-507</v>
      </c>
      <c r="CA209" s="290">
        <v>-0.80611132179515721</v>
      </c>
      <c r="CB209" s="290">
        <v>128</v>
      </c>
      <c r="CC209" s="290">
        <v>378</v>
      </c>
      <c r="CD209" s="290">
        <v>5</v>
      </c>
      <c r="CE209" s="290">
        <v>107</v>
      </c>
      <c r="CF209" s="290">
        <v>6</v>
      </c>
      <c r="CG209" s="290">
        <v>1</v>
      </c>
      <c r="CH209" s="290">
        <v>-4</v>
      </c>
      <c r="CI209" s="290">
        <v>-1287</v>
      </c>
      <c r="CJ209" s="290">
        <v>-3564</v>
      </c>
      <c r="CK209" s="290">
        <f>+innut22!E215+innut22!S215</f>
        <v>101152.08050186736</v>
      </c>
      <c r="CL209" s="290">
        <v>0</v>
      </c>
      <c r="CM209" s="290">
        <v>0</v>
      </c>
      <c r="CN209" s="290">
        <v>0</v>
      </c>
      <c r="CP209" s="290">
        <f>+innut23!E215</f>
        <v>92154.43853713735</v>
      </c>
      <c r="CQ209" s="290"/>
      <c r="CV209" s="85">
        <f t="shared" si="4"/>
        <v>0.53800000000000003</v>
      </c>
    </row>
    <row r="210" spans="1:100" ht="13">
      <c r="A210" s="1">
        <v>3821</v>
      </c>
      <c r="B210" s="2" t="s">
        <v>923</v>
      </c>
      <c r="C210" s="289">
        <v>2452</v>
      </c>
      <c r="D210" s="290">
        <v>39</v>
      </c>
      <c r="E210" s="290">
        <v>81</v>
      </c>
      <c r="F210" s="290">
        <v>221</v>
      </c>
      <c r="G210" s="290">
        <v>186</v>
      </c>
      <c r="H210" s="290">
        <v>1380</v>
      </c>
      <c r="I210" s="290">
        <v>366</v>
      </c>
      <c r="J210" s="290">
        <v>143</v>
      </c>
      <c r="K210" s="290">
        <v>30</v>
      </c>
      <c r="L210" s="290">
        <v>19</v>
      </c>
      <c r="M210" s="290">
        <v>232</v>
      </c>
      <c r="N210" s="290">
        <v>15</v>
      </c>
      <c r="O210" s="290">
        <v>9</v>
      </c>
      <c r="P210" s="624">
        <v>18888.94866667</v>
      </c>
      <c r="Q210" s="624">
        <v>9519.8109999999997</v>
      </c>
      <c r="R210" s="624">
        <v>20</v>
      </c>
      <c r="S210" s="290">
        <v>27</v>
      </c>
      <c r="T210" s="290">
        <v>256</v>
      </c>
      <c r="U210" s="958">
        <v>1.7883802567926843E-3</v>
      </c>
      <c r="V210" s="290">
        <v>1448.9449179799999</v>
      </c>
      <c r="W210" s="765">
        <v>0.87396397000000003</v>
      </c>
      <c r="X210" s="290">
        <v>400</v>
      </c>
      <c r="Y210" s="290"/>
      <c r="Z210" s="290">
        <f>innut22!E216</f>
        <v>83912.535732809105</v>
      </c>
      <c r="AA210" s="290">
        <v>0</v>
      </c>
      <c r="AB210" s="290">
        <v>66</v>
      </c>
      <c r="AC210" s="290">
        <v>0</v>
      </c>
      <c r="AD210" s="290"/>
      <c r="AE210" s="290">
        <v>0</v>
      </c>
      <c r="AF210" s="290">
        <v>0</v>
      </c>
      <c r="AG210" s="290">
        <v>2446</v>
      </c>
      <c r="AH210" s="290">
        <v>345</v>
      </c>
      <c r="AI210" s="290">
        <v>2100</v>
      </c>
      <c r="AJ210" s="290">
        <v>0</v>
      </c>
      <c r="AK210" s="290">
        <v>0</v>
      </c>
      <c r="AL210" s="290">
        <v>0</v>
      </c>
      <c r="AM210" s="957">
        <v>1.832139E-2</v>
      </c>
      <c r="AN210" s="290">
        <v>0</v>
      </c>
      <c r="AO210" s="290">
        <v>540.93874436999999</v>
      </c>
      <c r="AP210" s="290">
        <v>0</v>
      </c>
      <c r="AQ210" s="290">
        <v>0</v>
      </c>
      <c r="AR210" s="290">
        <v>635.34416170999998</v>
      </c>
      <c r="AS210" s="290">
        <v>424</v>
      </c>
      <c r="AT210" s="290">
        <v>114</v>
      </c>
      <c r="AU210" s="290">
        <v>13</v>
      </c>
      <c r="AV210" s="766">
        <v>94420</v>
      </c>
      <c r="AW210" s="290"/>
      <c r="AX210" s="766">
        <v>2.9166500000000002</v>
      </c>
      <c r="AY210" s="290">
        <v>574</v>
      </c>
      <c r="AZ210" s="290">
        <v>73</v>
      </c>
      <c r="BA210" s="290">
        <v>16</v>
      </c>
      <c r="BB210" s="290">
        <v>6034</v>
      </c>
      <c r="BC210" s="290">
        <v>4232</v>
      </c>
      <c r="BD210" s="290"/>
      <c r="BE210" s="290">
        <v>91879.779080769993</v>
      </c>
      <c r="BF210" s="290">
        <v>0</v>
      </c>
      <c r="BG210" s="290">
        <v>2214.5994577228412</v>
      </c>
      <c r="BH210" s="290">
        <v>119.31719527323064</v>
      </c>
      <c r="BI210" s="290">
        <v>345</v>
      </c>
      <c r="BJ210" s="290"/>
      <c r="BK210" s="290"/>
      <c r="BL210" s="290"/>
      <c r="BM210" s="290">
        <v>0</v>
      </c>
      <c r="BN210" s="290">
        <v>1029.2753400000001</v>
      </c>
      <c r="BO210" s="290">
        <v>-1139.7225937530372</v>
      </c>
      <c r="BP210" s="290">
        <v>101.97</v>
      </c>
      <c r="BQ210" s="290">
        <v>-54.686</v>
      </c>
      <c r="BR210" s="290">
        <v>-41.454617501255797</v>
      </c>
      <c r="BS210" s="290">
        <v>0.61799999999999999</v>
      </c>
      <c r="BT210" s="290"/>
      <c r="BU210" s="290">
        <v>0</v>
      </c>
      <c r="BV210" s="290">
        <v>1000</v>
      </c>
      <c r="BW210" s="290">
        <v>-562</v>
      </c>
      <c r="BX210" s="290">
        <v>254</v>
      </c>
      <c r="BY210" s="290">
        <v>69</v>
      </c>
      <c r="BZ210" s="290">
        <v>-427</v>
      </c>
      <c r="CA210" s="290">
        <v>-1.2874570709251631E-4</v>
      </c>
      <c r="CB210" s="290">
        <v>111</v>
      </c>
      <c r="CC210" s="290">
        <v>318</v>
      </c>
      <c r="CD210" s="290">
        <v>4</v>
      </c>
      <c r="CE210" s="290">
        <v>90</v>
      </c>
      <c r="CF210" s="290">
        <v>5</v>
      </c>
      <c r="CG210" s="290">
        <v>0</v>
      </c>
      <c r="CH210" s="290">
        <v>-3</v>
      </c>
      <c r="CI210" s="290">
        <v>-1092</v>
      </c>
      <c r="CJ210" s="290">
        <v>-2918</v>
      </c>
      <c r="CK210" s="290">
        <f>+innut22!E216+innut22!S216</f>
        <v>83912.535732809105</v>
      </c>
      <c r="CL210" s="290">
        <v>0</v>
      </c>
      <c r="CM210" s="290">
        <v>0</v>
      </c>
      <c r="CN210" s="290">
        <v>0</v>
      </c>
      <c r="CP210" s="290">
        <f>+innut23!E216</f>
        <v>78406.492709641272</v>
      </c>
      <c r="CQ210" s="290"/>
      <c r="CV210" s="85">
        <f t="shared" si="4"/>
        <v>0.45300000000000001</v>
      </c>
    </row>
    <row r="211" spans="1:100" ht="13">
      <c r="A211" s="1">
        <v>3822</v>
      </c>
      <c r="B211" s="2" t="s">
        <v>924</v>
      </c>
      <c r="C211" s="289">
        <v>1414</v>
      </c>
      <c r="D211" s="290">
        <v>23</v>
      </c>
      <c r="E211" s="290">
        <v>57</v>
      </c>
      <c r="F211" s="290">
        <v>179</v>
      </c>
      <c r="G211" s="290">
        <v>92</v>
      </c>
      <c r="H211" s="290">
        <v>763</v>
      </c>
      <c r="I211" s="290">
        <v>233</v>
      </c>
      <c r="J211" s="290">
        <v>65</v>
      </c>
      <c r="K211" s="290">
        <v>14</v>
      </c>
      <c r="L211" s="290">
        <v>10</v>
      </c>
      <c r="M211" s="290">
        <v>129</v>
      </c>
      <c r="N211" s="290">
        <v>10</v>
      </c>
      <c r="O211" s="290">
        <v>23</v>
      </c>
      <c r="P211" s="624">
        <v>15214.07433333</v>
      </c>
      <c r="Q211" s="624">
        <v>10581.20733333</v>
      </c>
      <c r="R211" s="624">
        <v>10</v>
      </c>
      <c r="S211" s="290">
        <v>16</v>
      </c>
      <c r="T211" s="290">
        <v>126</v>
      </c>
      <c r="U211" s="958">
        <v>9.4061851713001139E-4</v>
      </c>
      <c r="V211" s="290">
        <v>999.36286994</v>
      </c>
      <c r="W211" s="765">
        <v>1</v>
      </c>
      <c r="X211" s="290">
        <v>0</v>
      </c>
      <c r="Y211" s="290"/>
      <c r="Z211" s="290">
        <f>innut22!E217</f>
        <v>50416.747992196411</v>
      </c>
      <c r="AA211" s="290">
        <v>0</v>
      </c>
      <c r="AB211" s="290">
        <v>39</v>
      </c>
      <c r="AC211" s="290">
        <v>239</v>
      </c>
      <c r="AD211" s="290"/>
      <c r="AE211" s="290">
        <v>0</v>
      </c>
      <c r="AF211" s="290">
        <v>0</v>
      </c>
      <c r="AG211" s="290">
        <v>1426</v>
      </c>
      <c r="AH211" s="290">
        <v>241</v>
      </c>
      <c r="AI211" s="290">
        <v>500</v>
      </c>
      <c r="AJ211" s="290">
        <v>0</v>
      </c>
      <c r="AK211" s="290">
        <v>0</v>
      </c>
      <c r="AL211" s="290">
        <v>0</v>
      </c>
      <c r="AM211" s="957">
        <v>3.5621300000000002E-2</v>
      </c>
      <c r="AN211" s="290">
        <v>0</v>
      </c>
      <c r="AO211" s="290">
        <v>373.09499439000001</v>
      </c>
      <c r="AP211" s="290">
        <v>0</v>
      </c>
      <c r="AQ211" s="290">
        <v>0</v>
      </c>
      <c r="AR211" s="290">
        <v>-68.791155790000005</v>
      </c>
      <c r="AS211" s="290">
        <v>280</v>
      </c>
      <c r="AT211" s="290">
        <v>77</v>
      </c>
      <c r="AU211" s="290">
        <v>11</v>
      </c>
      <c r="AV211" s="766">
        <v>72659</v>
      </c>
      <c r="AW211" s="290"/>
      <c r="AX211" s="766">
        <v>8.7083499999999994</v>
      </c>
      <c r="AY211" s="290">
        <v>284</v>
      </c>
      <c r="AZ211" s="290">
        <v>86</v>
      </c>
      <c r="BA211" s="290">
        <v>26</v>
      </c>
      <c r="BB211" s="290">
        <v>5432</v>
      </c>
      <c r="BC211" s="290">
        <v>2828</v>
      </c>
      <c r="BD211" s="290"/>
      <c r="BE211" s="290">
        <v>73206.248861970002</v>
      </c>
      <c r="BF211" s="290">
        <v>0</v>
      </c>
      <c r="BG211" s="290">
        <v>1277.0977296982453</v>
      </c>
      <c r="BH211" s="290">
        <v>68.806898089864646</v>
      </c>
      <c r="BI211" s="290">
        <v>480</v>
      </c>
      <c r="BJ211" s="290"/>
      <c r="BK211" s="290"/>
      <c r="BL211" s="290"/>
      <c r="BM211" s="290">
        <v>0</v>
      </c>
      <c r="BN211" s="290">
        <v>709.90936000000011</v>
      </c>
      <c r="BO211" s="290">
        <v>-664.44988499257192</v>
      </c>
      <c r="BP211" s="290">
        <v>74.489999999999995</v>
      </c>
      <c r="BQ211" s="290">
        <v>-39.948</v>
      </c>
      <c r="BR211" s="290">
        <v>-35.527452497522468</v>
      </c>
      <c r="BS211" s="290">
        <v>0.46300000000000002</v>
      </c>
      <c r="BT211" s="290"/>
      <c r="BU211" s="290">
        <v>0</v>
      </c>
      <c r="BV211" s="290">
        <v>1000</v>
      </c>
      <c r="BW211" s="290">
        <v>-327</v>
      </c>
      <c r="BX211" s="290">
        <v>223</v>
      </c>
      <c r="BY211" s="290">
        <v>42</v>
      </c>
      <c r="BZ211" s="290">
        <v>-249</v>
      </c>
      <c r="CA211" s="290">
        <v>-0.93702250990571656</v>
      </c>
      <c r="CB211" s="290">
        <v>67</v>
      </c>
      <c r="CC211" s="290">
        <v>185</v>
      </c>
      <c r="CD211" s="290">
        <v>2</v>
      </c>
      <c r="CE211" s="290">
        <v>52</v>
      </c>
      <c r="CF211" s="290">
        <v>4</v>
      </c>
      <c r="CG211" s="290">
        <v>0</v>
      </c>
      <c r="CH211" s="290">
        <v>-2</v>
      </c>
      <c r="CI211" s="290">
        <v>-630</v>
      </c>
      <c r="CJ211" s="290">
        <v>-1489</v>
      </c>
      <c r="CK211" s="290">
        <f>+innut22!E217+innut22!S217</f>
        <v>50416.747992196411</v>
      </c>
      <c r="CL211" s="290">
        <v>0</v>
      </c>
      <c r="CM211" s="290">
        <v>0</v>
      </c>
      <c r="CN211" s="290">
        <v>0</v>
      </c>
      <c r="CP211" s="290">
        <f>+innut23!E217</f>
        <v>47966.663328987415</v>
      </c>
      <c r="CQ211" s="290"/>
      <c r="CV211" s="85">
        <f t="shared" si="4"/>
        <v>0.26400000000000001</v>
      </c>
    </row>
    <row r="212" spans="1:100" ht="13">
      <c r="A212" s="1">
        <v>3823</v>
      </c>
      <c r="B212" s="2" t="s">
        <v>925</v>
      </c>
      <c r="C212" s="289">
        <v>1198</v>
      </c>
      <c r="D212" s="290">
        <v>15</v>
      </c>
      <c r="E212" s="290">
        <v>30</v>
      </c>
      <c r="F212" s="290">
        <v>152</v>
      </c>
      <c r="G212" s="290">
        <v>99</v>
      </c>
      <c r="H212" s="290">
        <v>663</v>
      </c>
      <c r="I212" s="290">
        <v>187</v>
      </c>
      <c r="J212" s="290">
        <v>55</v>
      </c>
      <c r="K212" s="290">
        <v>16</v>
      </c>
      <c r="L212" s="290">
        <v>10</v>
      </c>
      <c r="M212" s="290">
        <v>130</v>
      </c>
      <c r="N212" s="290">
        <v>20</v>
      </c>
      <c r="O212" s="290">
        <v>17</v>
      </c>
      <c r="P212" s="624">
        <v>8937.4410000000007</v>
      </c>
      <c r="Q212" s="624">
        <v>6665.7933333299998</v>
      </c>
      <c r="R212" s="624">
        <v>6</v>
      </c>
      <c r="S212" s="290">
        <v>15</v>
      </c>
      <c r="T212" s="290">
        <v>128</v>
      </c>
      <c r="U212" s="958">
        <v>1.4974086174176227E-3</v>
      </c>
      <c r="V212" s="290">
        <v>841.64246982999998</v>
      </c>
      <c r="W212" s="765">
        <v>1</v>
      </c>
      <c r="X212" s="290">
        <v>0</v>
      </c>
      <c r="Y212" s="290"/>
      <c r="Z212" s="290">
        <f>innut22!E218</f>
        <v>40227.118971756339</v>
      </c>
      <c r="AA212" s="290">
        <v>0</v>
      </c>
      <c r="AB212" s="290">
        <v>27</v>
      </c>
      <c r="AC212" s="290">
        <v>291</v>
      </c>
      <c r="AD212" s="290"/>
      <c r="AE212" s="290">
        <v>0</v>
      </c>
      <c r="AF212" s="290">
        <v>0</v>
      </c>
      <c r="AG212" s="290">
        <v>1217</v>
      </c>
      <c r="AH212" s="290">
        <v>199</v>
      </c>
      <c r="AI212" s="290">
        <v>0</v>
      </c>
      <c r="AJ212" s="290">
        <v>0</v>
      </c>
      <c r="AK212" s="290">
        <v>0</v>
      </c>
      <c r="AL212" s="290">
        <v>0</v>
      </c>
      <c r="AM212" s="957">
        <v>2.5066580000000001E-2</v>
      </c>
      <c r="AN212" s="290">
        <v>0</v>
      </c>
      <c r="AO212" s="290">
        <v>314.21278697000002</v>
      </c>
      <c r="AP212" s="290">
        <v>0</v>
      </c>
      <c r="AQ212" s="290">
        <v>0</v>
      </c>
      <c r="AR212" s="290">
        <v>440.28367814000001</v>
      </c>
      <c r="AS212" s="290">
        <v>239</v>
      </c>
      <c r="AT212" s="290">
        <v>50</v>
      </c>
      <c r="AU212" s="290">
        <v>9</v>
      </c>
      <c r="AV212" s="766">
        <v>63860</v>
      </c>
      <c r="AW212" s="290"/>
      <c r="AX212" s="766">
        <v>4.6666499999999997</v>
      </c>
      <c r="AY212" s="290">
        <v>274</v>
      </c>
      <c r="AZ212" s="290">
        <v>84</v>
      </c>
      <c r="BA212" s="290">
        <v>25</v>
      </c>
      <c r="BB212" s="290">
        <v>6034</v>
      </c>
      <c r="BC212" s="290">
        <v>2499</v>
      </c>
      <c r="BD212" s="290"/>
      <c r="BE212" s="290">
        <v>62669.045026319996</v>
      </c>
      <c r="BF212" s="290">
        <v>0</v>
      </c>
      <c r="BG212" s="290">
        <v>1082.0106649069999</v>
      </c>
      <c r="BH212" s="290">
        <v>58.296084803152645</v>
      </c>
      <c r="BI212" s="290">
        <v>490</v>
      </c>
      <c r="BJ212" s="290"/>
      <c r="BK212" s="290"/>
      <c r="BL212" s="290"/>
      <c r="BM212" s="290">
        <v>0</v>
      </c>
      <c r="BN212" s="290">
        <v>597.87078000000008</v>
      </c>
      <c r="BO212" s="290">
        <v>-567.06557506028059</v>
      </c>
      <c r="BP212" s="290">
        <v>42.268999999999998</v>
      </c>
      <c r="BQ212" s="290">
        <v>-22.667999999999999</v>
      </c>
      <c r="BR212" s="290">
        <v>-29.631696317360145</v>
      </c>
      <c r="BS212" s="290">
        <v>0.40400000000000003</v>
      </c>
      <c r="BT212" s="290"/>
      <c r="BU212" s="290">
        <v>0</v>
      </c>
      <c r="BV212" s="290">
        <v>500</v>
      </c>
      <c r="BW212" s="290">
        <v>-279</v>
      </c>
      <c r="BX212" s="290">
        <v>188</v>
      </c>
      <c r="BY212" s="290">
        <v>38</v>
      </c>
      <c r="BZ212" s="290">
        <v>-212</v>
      </c>
      <c r="CA212" s="290">
        <v>-96.178508622359345</v>
      </c>
      <c r="CB212" s="290">
        <v>61</v>
      </c>
      <c r="CC212" s="290">
        <v>158</v>
      </c>
      <c r="CD212" s="290">
        <v>2</v>
      </c>
      <c r="CE212" s="290">
        <v>44</v>
      </c>
      <c r="CF212" s="290">
        <v>3</v>
      </c>
      <c r="CG212" s="290">
        <v>0</v>
      </c>
      <c r="CH212" s="290">
        <v>-2</v>
      </c>
      <c r="CI212" s="290">
        <v>-534</v>
      </c>
      <c r="CJ212" s="290">
        <v>-1464</v>
      </c>
      <c r="CK212" s="290">
        <f>+innut22!E218+innut22!S218</f>
        <v>40227.118971756339</v>
      </c>
      <c r="CL212" s="290">
        <v>0</v>
      </c>
      <c r="CM212" s="290">
        <v>0</v>
      </c>
      <c r="CN212" s="290">
        <v>0</v>
      </c>
      <c r="CP212" s="290">
        <f>+innut23!E218</f>
        <v>38338.253599883596</v>
      </c>
      <c r="CQ212" s="290"/>
      <c r="CV212" s="85">
        <f t="shared" si="4"/>
        <v>0.22500000000000001</v>
      </c>
    </row>
    <row r="213" spans="1:100" ht="13">
      <c r="A213" s="1">
        <v>3824</v>
      </c>
      <c r="B213" s="2" t="s">
        <v>926</v>
      </c>
      <c r="C213" s="289">
        <v>2140</v>
      </c>
      <c r="D213" s="290">
        <v>27</v>
      </c>
      <c r="E213" s="290">
        <v>56</v>
      </c>
      <c r="F213" s="290">
        <v>248</v>
      </c>
      <c r="G213" s="290">
        <v>174</v>
      </c>
      <c r="H213" s="290">
        <v>1183</v>
      </c>
      <c r="I213" s="290">
        <v>312</v>
      </c>
      <c r="J213" s="290">
        <v>116</v>
      </c>
      <c r="K213" s="290">
        <v>30</v>
      </c>
      <c r="L213" s="290">
        <v>19</v>
      </c>
      <c r="M213" s="290">
        <v>218</v>
      </c>
      <c r="N213" s="290">
        <v>24</v>
      </c>
      <c r="O213" s="290">
        <v>28</v>
      </c>
      <c r="P213" s="624">
        <v>21629.171333329999</v>
      </c>
      <c r="Q213" s="624">
        <v>9100.4279999999999</v>
      </c>
      <c r="R213" s="624">
        <v>7</v>
      </c>
      <c r="S213" s="290">
        <v>23</v>
      </c>
      <c r="T213" s="290">
        <v>224</v>
      </c>
      <c r="U213" s="958">
        <v>1.9758588221022123E-3</v>
      </c>
      <c r="V213" s="290">
        <v>1314.29548578</v>
      </c>
      <c r="W213" s="765">
        <v>0.98910463000000004</v>
      </c>
      <c r="X213" s="290">
        <v>0</v>
      </c>
      <c r="Y213" s="290"/>
      <c r="Z213" s="290">
        <f>innut22!E219</f>
        <v>95991.261679949996</v>
      </c>
      <c r="AA213" s="290">
        <v>0</v>
      </c>
      <c r="AB213" s="290">
        <v>46</v>
      </c>
      <c r="AC213" s="290">
        <v>81</v>
      </c>
      <c r="AD213" s="290"/>
      <c r="AE213" s="290">
        <v>0</v>
      </c>
      <c r="AF213" s="290">
        <v>0</v>
      </c>
      <c r="AG213" s="290">
        <v>2146</v>
      </c>
      <c r="AH213" s="290">
        <v>332</v>
      </c>
      <c r="AI213" s="290">
        <v>0</v>
      </c>
      <c r="AJ213" s="290">
        <v>0</v>
      </c>
      <c r="AK213" s="290">
        <v>0</v>
      </c>
      <c r="AL213" s="290">
        <v>0</v>
      </c>
      <c r="AM213" s="957">
        <v>1.837132E-2</v>
      </c>
      <c r="AN213" s="290">
        <v>0</v>
      </c>
      <c r="AO213" s="290">
        <v>490.66968730000002</v>
      </c>
      <c r="AP213" s="290">
        <v>0</v>
      </c>
      <c r="AQ213" s="290">
        <v>0</v>
      </c>
      <c r="AR213" s="290">
        <v>708.10546248000003</v>
      </c>
      <c r="AS213" s="290">
        <v>398</v>
      </c>
      <c r="AT213" s="290">
        <v>99</v>
      </c>
      <c r="AU213" s="290">
        <v>11</v>
      </c>
      <c r="AV213" s="766">
        <v>88097</v>
      </c>
      <c r="AW213" s="290"/>
      <c r="AX213" s="766">
        <v>13.458299999999999</v>
      </c>
      <c r="AY213" s="290">
        <v>456</v>
      </c>
      <c r="AZ213" s="290">
        <v>79</v>
      </c>
      <c r="BA213" s="290">
        <v>22</v>
      </c>
      <c r="BB213" s="290">
        <v>6034</v>
      </c>
      <c r="BC213" s="290">
        <v>3900</v>
      </c>
      <c r="BD213" s="290"/>
      <c r="BE213" s="290">
        <v>86033.932145069994</v>
      </c>
      <c r="BF213" s="290">
        <v>0</v>
      </c>
      <c r="BG213" s="290">
        <v>1932.8070308021536</v>
      </c>
      <c r="BH213" s="290">
        <v>104.13490941464664</v>
      </c>
      <c r="BI213" s="290">
        <v>413</v>
      </c>
      <c r="BJ213" s="290"/>
      <c r="BK213" s="290"/>
      <c r="BL213" s="290"/>
      <c r="BM213" s="290">
        <v>0</v>
      </c>
      <c r="BN213" s="290">
        <v>933.62549999999999</v>
      </c>
      <c r="BO213" s="290">
        <v>-999.93650294113559</v>
      </c>
      <c r="BP213" s="290">
        <v>81.573999999999998</v>
      </c>
      <c r="BQ213" s="290">
        <v>-43.747</v>
      </c>
      <c r="BR213" s="290">
        <v>-44.78710707919268</v>
      </c>
      <c r="BS213" s="290">
        <v>0.58699999999999997</v>
      </c>
      <c r="BT213" s="290"/>
      <c r="BU213" s="290">
        <v>0</v>
      </c>
      <c r="BV213" s="290">
        <v>1000</v>
      </c>
      <c r="BW213" s="290">
        <v>-493</v>
      </c>
      <c r="BX213" s="290">
        <v>290</v>
      </c>
      <c r="BY213" s="290">
        <v>61</v>
      </c>
      <c r="BZ213" s="290">
        <v>-375</v>
      </c>
      <c r="CA213" s="290">
        <v>-0.31588997967172361</v>
      </c>
      <c r="CB213" s="290">
        <v>97</v>
      </c>
      <c r="CC213" s="290">
        <v>279</v>
      </c>
      <c r="CD213" s="290">
        <v>4</v>
      </c>
      <c r="CE213" s="290">
        <v>79</v>
      </c>
      <c r="CF213" s="290">
        <v>5</v>
      </c>
      <c r="CG213" s="290">
        <v>0</v>
      </c>
      <c r="CH213" s="290">
        <v>-3</v>
      </c>
      <c r="CI213" s="290">
        <v>-953</v>
      </c>
      <c r="CJ213" s="290">
        <v>-1801</v>
      </c>
      <c r="CK213" s="290">
        <f>+innut22!E219+innut22!S219</f>
        <v>95991.261679949996</v>
      </c>
      <c r="CL213" s="290">
        <v>0</v>
      </c>
      <c r="CM213" s="290">
        <v>0</v>
      </c>
      <c r="CN213" s="290">
        <v>0</v>
      </c>
      <c r="CP213" s="290">
        <f>+innut23!E219</f>
        <v>91569.011840336767</v>
      </c>
      <c r="CQ213" s="290"/>
      <c r="CV213" s="85">
        <f t="shared" si="4"/>
        <v>0.39700000000000002</v>
      </c>
    </row>
    <row r="214" spans="1:100" ht="13">
      <c r="A214" s="1">
        <v>3825</v>
      </c>
      <c r="B214" s="2" t="s">
        <v>927</v>
      </c>
      <c r="C214" s="289">
        <v>3755</v>
      </c>
      <c r="D214" s="290">
        <v>74</v>
      </c>
      <c r="E214" s="290">
        <v>151</v>
      </c>
      <c r="F214" s="290">
        <v>414</v>
      </c>
      <c r="G214" s="290">
        <v>286</v>
      </c>
      <c r="H214" s="290">
        <v>2065</v>
      </c>
      <c r="I214" s="290">
        <v>551</v>
      </c>
      <c r="J214" s="290">
        <v>171</v>
      </c>
      <c r="K214" s="290">
        <v>35</v>
      </c>
      <c r="L214" s="290">
        <v>29</v>
      </c>
      <c r="M214" s="290">
        <v>335</v>
      </c>
      <c r="N214" s="290">
        <v>70</v>
      </c>
      <c r="O214" s="290">
        <v>24</v>
      </c>
      <c r="P214" s="624">
        <v>73323.781000000003</v>
      </c>
      <c r="Q214" s="624">
        <v>20468.56833333</v>
      </c>
      <c r="R214" s="624">
        <v>11</v>
      </c>
      <c r="S214" s="290">
        <v>39</v>
      </c>
      <c r="T214" s="290">
        <v>352</v>
      </c>
      <c r="U214" s="958">
        <v>2.7891924510514681E-3</v>
      </c>
      <c r="V214" s="290">
        <v>2194.67322169</v>
      </c>
      <c r="W214" s="765">
        <v>1</v>
      </c>
      <c r="X214" s="290">
        <v>0</v>
      </c>
      <c r="Y214" s="290"/>
      <c r="Z214" s="290">
        <f>innut22!E220</f>
        <v>184220.84569381451</v>
      </c>
      <c r="AA214" s="290">
        <v>0</v>
      </c>
      <c r="AB214" s="290">
        <v>63</v>
      </c>
      <c r="AC214" s="290">
        <v>259</v>
      </c>
      <c r="AD214" s="290"/>
      <c r="AE214" s="290">
        <v>0</v>
      </c>
      <c r="AF214" s="290">
        <v>0</v>
      </c>
      <c r="AG214" s="290">
        <v>3747</v>
      </c>
      <c r="AH214" s="290">
        <v>619</v>
      </c>
      <c r="AI214" s="290">
        <v>0</v>
      </c>
      <c r="AJ214" s="290">
        <v>0</v>
      </c>
      <c r="AK214" s="290">
        <v>0</v>
      </c>
      <c r="AL214" s="290">
        <v>0</v>
      </c>
      <c r="AM214" s="957">
        <v>2.1796860000000001E-2</v>
      </c>
      <c r="AN214" s="290">
        <v>0</v>
      </c>
      <c r="AO214" s="290">
        <v>819.34362177000003</v>
      </c>
      <c r="AP214" s="290">
        <v>0</v>
      </c>
      <c r="AQ214" s="290">
        <v>0</v>
      </c>
      <c r="AR214" s="290">
        <v>-180.75768636999999</v>
      </c>
      <c r="AS214" s="290">
        <v>680</v>
      </c>
      <c r="AT214" s="290">
        <v>123</v>
      </c>
      <c r="AU214" s="290">
        <v>20</v>
      </c>
      <c r="AV214" s="766">
        <v>128476</v>
      </c>
      <c r="AW214" s="290"/>
      <c r="AX214" s="766">
        <v>32.083350000000003</v>
      </c>
      <c r="AY214" s="290">
        <v>867</v>
      </c>
      <c r="AZ214" s="290">
        <v>125</v>
      </c>
      <c r="BA214" s="290">
        <v>60</v>
      </c>
      <c r="BB214" s="290">
        <v>0</v>
      </c>
      <c r="BC214" s="290">
        <v>6899</v>
      </c>
      <c r="BD214" s="290"/>
      <c r="BE214" s="290">
        <v>128390.27321442</v>
      </c>
      <c r="BF214" s="290">
        <v>0</v>
      </c>
      <c r="BG214" s="290">
        <v>3391.4441124589189</v>
      </c>
      <c r="BH214" s="290">
        <v>182.72270320186828</v>
      </c>
      <c r="BI214" s="290">
        <v>878</v>
      </c>
      <c r="BJ214" s="290"/>
      <c r="BK214" s="290"/>
      <c r="BL214" s="290"/>
      <c r="BM214" s="290">
        <v>0</v>
      </c>
      <c r="BN214" s="290">
        <v>1559.0123600000002</v>
      </c>
      <c r="BO214" s="290">
        <v>-1745.9282742406501</v>
      </c>
      <c r="BP214" s="290">
        <v>207.69399999999999</v>
      </c>
      <c r="BQ214" s="290">
        <v>-111.38500000000001</v>
      </c>
      <c r="BR214" s="290">
        <v>-74.382150006297607</v>
      </c>
      <c r="BS214" s="290">
        <v>0.96199999999999997</v>
      </c>
      <c r="BT214" s="290"/>
      <c r="BU214" s="290">
        <v>0</v>
      </c>
      <c r="BV214" s="290">
        <v>2000</v>
      </c>
      <c r="BW214" s="290">
        <v>-860</v>
      </c>
      <c r="BX214" s="290">
        <v>483</v>
      </c>
      <c r="BY214" s="290">
        <v>100</v>
      </c>
      <c r="BZ214" s="290">
        <v>-654</v>
      </c>
      <c r="CA214" s="290">
        <v>94.027064246947589</v>
      </c>
      <c r="CB214" s="290">
        <v>161</v>
      </c>
      <c r="CC214" s="290">
        <v>487</v>
      </c>
      <c r="CD214" s="290">
        <v>6</v>
      </c>
      <c r="CE214" s="290">
        <v>138</v>
      </c>
      <c r="CF214" s="290">
        <v>8</v>
      </c>
      <c r="CG214" s="290">
        <v>1</v>
      </c>
      <c r="CH214" s="290">
        <v>-5</v>
      </c>
      <c r="CI214" s="290">
        <v>-1672</v>
      </c>
      <c r="CJ214" s="290">
        <v>-4259</v>
      </c>
      <c r="CK214" s="290">
        <f>+innut22!E220+innut22!S220</f>
        <v>184220.84569381451</v>
      </c>
      <c r="CL214" s="290">
        <v>0</v>
      </c>
      <c r="CM214" s="290">
        <v>0</v>
      </c>
      <c r="CN214" s="290">
        <v>0</v>
      </c>
      <c r="CP214" s="290">
        <f>+innut23!E220</f>
        <v>173462.61248571609</v>
      </c>
      <c r="CQ214" s="290"/>
      <c r="CV214" s="85">
        <f t="shared" si="4"/>
        <v>0.69399999999999995</v>
      </c>
    </row>
    <row r="215" spans="1:100" ht="13">
      <c r="A215" s="1">
        <v>4201</v>
      </c>
      <c r="B215" s="2" t="s">
        <v>928</v>
      </c>
      <c r="C215" s="289">
        <v>6735</v>
      </c>
      <c r="D215" s="290">
        <v>92</v>
      </c>
      <c r="E215" s="290">
        <v>208</v>
      </c>
      <c r="F215" s="290">
        <v>742</v>
      </c>
      <c r="G215" s="290">
        <v>547</v>
      </c>
      <c r="H215" s="290">
        <v>3641</v>
      </c>
      <c r="I215" s="290">
        <v>1154</v>
      </c>
      <c r="J215" s="290">
        <v>303</v>
      </c>
      <c r="K215" s="290">
        <v>85</v>
      </c>
      <c r="L215" s="290">
        <v>58</v>
      </c>
      <c r="M215" s="290">
        <v>682</v>
      </c>
      <c r="N215" s="290">
        <v>176</v>
      </c>
      <c r="O215" s="290">
        <v>76</v>
      </c>
      <c r="P215" s="624">
        <v>42411.995666670002</v>
      </c>
      <c r="Q215" s="624">
        <v>10871.977999999999</v>
      </c>
      <c r="R215" s="624">
        <v>38</v>
      </c>
      <c r="S215" s="290">
        <v>94</v>
      </c>
      <c r="T215" s="290">
        <v>677</v>
      </c>
      <c r="U215" s="958">
        <v>8.1288884187923429E-4</v>
      </c>
      <c r="V215" s="290">
        <v>3740.8078699299999</v>
      </c>
      <c r="W215" s="765">
        <v>0.62070508999999996</v>
      </c>
      <c r="X215" s="290">
        <v>610</v>
      </c>
      <c r="Y215" s="290"/>
      <c r="Z215" s="290">
        <f>innut22!E221</f>
        <v>226442.22710573251</v>
      </c>
      <c r="AA215" s="290">
        <v>0</v>
      </c>
      <c r="AB215" s="290">
        <v>244</v>
      </c>
      <c r="AC215" s="290">
        <v>220</v>
      </c>
      <c r="AD215" s="290"/>
      <c r="AE215" s="290">
        <v>0</v>
      </c>
      <c r="AF215" s="290">
        <v>0</v>
      </c>
      <c r="AG215" s="290">
        <v>6772</v>
      </c>
      <c r="AH215" s="290">
        <v>1031</v>
      </c>
      <c r="AI215" s="290">
        <v>354</v>
      </c>
      <c r="AJ215" s="290">
        <v>0</v>
      </c>
      <c r="AK215" s="290">
        <v>0</v>
      </c>
      <c r="AL215" s="290">
        <v>0</v>
      </c>
      <c r="AM215" s="957">
        <v>0.19203010000000001</v>
      </c>
      <c r="AN215" s="290">
        <v>9306</v>
      </c>
      <c r="AO215" s="290">
        <v>1396.5664857100001</v>
      </c>
      <c r="AP215" s="290">
        <v>0</v>
      </c>
      <c r="AQ215" s="290">
        <v>0</v>
      </c>
      <c r="AR215" s="290">
        <v>-326.68562906</v>
      </c>
      <c r="AS215" s="290">
        <v>1989</v>
      </c>
      <c r="AT215" s="290">
        <v>389</v>
      </c>
      <c r="AU215" s="290">
        <v>66</v>
      </c>
      <c r="AV215" s="766">
        <v>216134</v>
      </c>
      <c r="AW215" s="290"/>
      <c r="AX215" s="766">
        <v>32.583350000000003</v>
      </c>
      <c r="AY215" s="290">
        <v>1525</v>
      </c>
      <c r="AZ215" s="290">
        <v>342</v>
      </c>
      <c r="BA215" s="290">
        <v>130</v>
      </c>
      <c r="BB215" s="290">
        <v>0</v>
      </c>
      <c r="BC215" s="290">
        <v>11448</v>
      </c>
      <c r="BD215" s="290"/>
      <c r="BE215" s="290">
        <v>215820.80104491001</v>
      </c>
      <c r="BF215" s="290">
        <v>0</v>
      </c>
      <c r="BG215" s="290">
        <v>6082.9230618936936</v>
      </c>
      <c r="BH215" s="290">
        <v>327.73299762039488</v>
      </c>
      <c r="BI215" s="290">
        <v>1251</v>
      </c>
      <c r="BJ215" s="290"/>
      <c r="BK215" s="290"/>
      <c r="BL215" s="290"/>
      <c r="BM215" s="290">
        <v>0</v>
      </c>
      <c r="BN215" s="290">
        <v>2657.3275800000001</v>
      </c>
      <c r="BO215" s="290">
        <v>-3155.4380232606572</v>
      </c>
      <c r="BP215" s="290">
        <v>284.24799999999999</v>
      </c>
      <c r="BQ215" s="290">
        <v>-152.44</v>
      </c>
      <c r="BR215" s="290">
        <v>-119.68434387162246</v>
      </c>
      <c r="BS215" s="290">
        <v>1.3779999999999999</v>
      </c>
      <c r="BT215" s="290"/>
      <c r="BU215" s="290">
        <v>0</v>
      </c>
      <c r="BV215" s="290">
        <v>2000</v>
      </c>
      <c r="BW215" s="290">
        <v>-1555</v>
      </c>
      <c r="BX215" s="290">
        <v>767</v>
      </c>
      <c r="BY215" s="290">
        <v>245</v>
      </c>
      <c r="BZ215" s="290">
        <v>-1182</v>
      </c>
      <c r="CA215" s="290">
        <v>-21.391212867720412</v>
      </c>
      <c r="CB215" s="290">
        <v>393</v>
      </c>
      <c r="CC215" s="290">
        <v>881</v>
      </c>
      <c r="CD215" s="290">
        <v>14</v>
      </c>
      <c r="CE215" s="290">
        <v>248</v>
      </c>
      <c r="CF215" s="290">
        <v>11</v>
      </c>
      <c r="CG215" s="290">
        <v>1</v>
      </c>
      <c r="CH215" s="290">
        <v>-7</v>
      </c>
      <c r="CI215" s="290">
        <v>-3000</v>
      </c>
      <c r="CJ215" s="290">
        <v>-8387</v>
      </c>
      <c r="CK215" s="290">
        <f>+innut22!E221+innut22!S221</f>
        <v>226442.22710573251</v>
      </c>
      <c r="CL215" s="290">
        <v>0</v>
      </c>
      <c r="CM215" s="290">
        <v>0</v>
      </c>
      <c r="CN215" s="290">
        <v>0</v>
      </c>
      <c r="CP215" s="290">
        <f>+innut23!E221</f>
        <v>202285.17036892948</v>
      </c>
      <c r="CQ215" s="290"/>
      <c r="CV215" s="85">
        <f t="shared" si="4"/>
        <v>1.254</v>
      </c>
    </row>
    <row r="216" spans="1:100" ht="13">
      <c r="A216" s="1">
        <v>4202</v>
      </c>
      <c r="B216" s="2" t="s">
        <v>929</v>
      </c>
      <c r="C216" s="289">
        <v>24017</v>
      </c>
      <c r="D216" s="290">
        <v>498</v>
      </c>
      <c r="E216" s="290">
        <v>1062</v>
      </c>
      <c r="F216" s="290">
        <v>3078</v>
      </c>
      <c r="G216" s="290">
        <v>2291</v>
      </c>
      <c r="H216" s="290">
        <v>13339</v>
      </c>
      <c r="I216" s="290">
        <v>2661</v>
      </c>
      <c r="J216" s="290">
        <v>800</v>
      </c>
      <c r="K216" s="290">
        <v>165</v>
      </c>
      <c r="L216" s="290">
        <v>174</v>
      </c>
      <c r="M216" s="290">
        <v>1413</v>
      </c>
      <c r="N216" s="290">
        <v>795</v>
      </c>
      <c r="O216" s="290">
        <v>258</v>
      </c>
      <c r="P216" s="624">
        <v>67986.139333329993</v>
      </c>
      <c r="Q216" s="624">
        <v>38166.915000000001</v>
      </c>
      <c r="R216" s="624">
        <v>90</v>
      </c>
      <c r="S216" s="290">
        <v>308</v>
      </c>
      <c r="T216" s="290">
        <v>1874</v>
      </c>
      <c r="U216" s="958">
        <v>2.9770966481684393E-3</v>
      </c>
      <c r="V216" s="290">
        <v>-9946.5511894499996</v>
      </c>
      <c r="W216" s="765">
        <v>0.55651971</v>
      </c>
      <c r="X216" s="290">
        <v>680</v>
      </c>
      <c r="Y216" s="290"/>
      <c r="Z216" s="290">
        <f>innut22!E222</f>
        <v>797288.99315951567</v>
      </c>
      <c r="AA216" s="290">
        <v>0</v>
      </c>
      <c r="AB216" s="290">
        <v>707</v>
      </c>
      <c r="AC216" s="290">
        <v>1334</v>
      </c>
      <c r="AD216" s="290"/>
      <c r="AE216" s="290">
        <v>0</v>
      </c>
      <c r="AF216" s="290">
        <v>0</v>
      </c>
      <c r="AG216" s="290">
        <v>23894</v>
      </c>
      <c r="AH216" s="290">
        <v>4552</v>
      </c>
      <c r="AI216" s="290">
        <v>1020</v>
      </c>
      <c r="AJ216" s="290">
        <v>0</v>
      </c>
      <c r="AK216" s="290">
        <v>0</v>
      </c>
      <c r="AL216" s="290">
        <v>0</v>
      </c>
      <c r="AM216" s="957">
        <v>0.62566546999999995</v>
      </c>
      <c r="AN216" s="290">
        <v>0</v>
      </c>
      <c r="AO216" s="290">
        <v>4618.2949840700003</v>
      </c>
      <c r="AP216" s="290">
        <v>0</v>
      </c>
      <c r="AQ216" s="290">
        <v>0</v>
      </c>
      <c r="AR216" s="290">
        <v>-1152.6619049999999</v>
      </c>
      <c r="AS216" s="290">
        <v>5212</v>
      </c>
      <c r="AT216" s="290">
        <v>1279</v>
      </c>
      <c r="AU216" s="290">
        <v>277</v>
      </c>
      <c r="AV216" s="766">
        <v>603773</v>
      </c>
      <c r="AW216" s="290"/>
      <c r="AX216" s="766">
        <v>191.83335</v>
      </c>
      <c r="AY216" s="290">
        <v>6570</v>
      </c>
      <c r="AZ216" s="290">
        <v>1008</v>
      </c>
      <c r="BA216" s="290">
        <v>526</v>
      </c>
      <c r="BB216" s="290">
        <v>0</v>
      </c>
      <c r="BC216" s="290">
        <v>40072</v>
      </c>
      <c r="BD216" s="290"/>
      <c r="BE216" s="290">
        <v>611617.42787640996</v>
      </c>
      <c r="BF216" s="290">
        <v>0</v>
      </c>
      <c r="BG216" s="290">
        <v>21691.694606904359</v>
      </c>
      <c r="BH216" s="290">
        <v>1168.6953829026022</v>
      </c>
      <c r="BI216" s="290">
        <v>5886</v>
      </c>
      <c r="BJ216" s="290"/>
      <c r="BK216" s="290"/>
      <c r="BL216" s="290"/>
      <c r="BM216" s="290">
        <v>0</v>
      </c>
      <c r="BN216" s="290">
        <v>8787.4961800000001</v>
      </c>
      <c r="BO216" s="290">
        <v>-11133.496179531918</v>
      </c>
      <c r="BP216" s="290">
        <v>1443.558</v>
      </c>
      <c r="BQ216" s="290">
        <v>-774.17</v>
      </c>
      <c r="BR216" s="290">
        <v>-471.3615196962275</v>
      </c>
      <c r="BS216" s="290">
        <v>4.1909999999999998</v>
      </c>
      <c r="BT216" s="290"/>
      <c r="BU216" s="290">
        <v>0</v>
      </c>
      <c r="BV216" s="290">
        <v>5000</v>
      </c>
      <c r="BW216" s="290">
        <v>-5487</v>
      </c>
      <c r="BX216" s="290">
        <v>3036</v>
      </c>
      <c r="BY216" s="290">
        <v>803</v>
      </c>
      <c r="BZ216" s="290">
        <v>-4171</v>
      </c>
      <c r="CA216" s="290">
        <v>-5.2174807718547527</v>
      </c>
      <c r="CB216" s="290">
        <v>1289</v>
      </c>
      <c r="CC216" s="290">
        <v>3107</v>
      </c>
      <c r="CD216" s="290">
        <v>47</v>
      </c>
      <c r="CE216" s="290">
        <v>885</v>
      </c>
      <c r="CF216" s="290">
        <v>34</v>
      </c>
      <c r="CG216" s="290">
        <v>5</v>
      </c>
      <c r="CH216" s="290">
        <v>-22</v>
      </c>
      <c r="CI216" s="290">
        <v>-10697</v>
      </c>
      <c r="CJ216" s="290">
        <v>-29423</v>
      </c>
      <c r="CK216" s="290">
        <f>+innut22!E222+innut22!S222</f>
        <v>797288.99315951567</v>
      </c>
      <c r="CL216" s="290">
        <v>0</v>
      </c>
      <c r="CM216" s="290">
        <v>0</v>
      </c>
      <c r="CN216" s="290">
        <v>0</v>
      </c>
      <c r="CP216" s="290">
        <f>+innut23!E222</f>
        <v>725602.88176312635</v>
      </c>
      <c r="CQ216" s="290"/>
      <c r="CV216" s="85">
        <f t="shared" si="4"/>
        <v>4.423</v>
      </c>
    </row>
    <row r="217" spans="1:100" ht="13">
      <c r="A217" s="1">
        <v>4203</v>
      </c>
      <c r="B217" s="2" t="s">
        <v>930</v>
      </c>
      <c r="C217" s="289">
        <v>45509</v>
      </c>
      <c r="D217" s="290">
        <v>766</v>
      </c>
      <c r="E217" s="290">
        <v>1780</v>
      </c>
      <c r="F217" s="290">
        <v>5539</v>
      </c>
      <c r="G217" s="290">
        <v>3737</v>
      </c>
      <c r="H217" s="290">
        <v>25446</v>
      </c>
      <c r="I217" s="290">
        <v>5869</v>
      </c>
      <c r="J217" s="290">
        <v>1754</v>
      </c>
      <c r="K217" s="290">
        <v>380</v>
      </c>
      <c r="L217" s="290">
        <v>366</v>
      </c>
      <c r="M217" s="290">
        <v>3337</v>
      </c>
      <c r="N217" s="290">
        <v>1424</v>
      </c>
      <c r="O217" s="290">
        <v>430</v>
      </c>
      <c r="P217" s="624">
        <v>102817.77366666999</v>
      </c>
      <c r="Q217" s="624">
        <v>81671.097666670001</v>
      </c>
      <c r="R217" s="624">
        <v>196</v>
      </c>
      <c r="S217" s="290">
        <v>673</v>
      </c>
      <c r="T217" s="290">
        <v>4432</v>
      </c>
      <c r="U217" s="958">
        <v>3.1552490481590689E-3</v>
      </c>
      <c r="V217" s="290">
        <v>-32214.42419066</v>
      </c>
      <c r="W217" s="765">
        <v>0.56165609999999999</v>
      </c>
      <c r="X217" s="290">
        <v>4640</v>
      </c>
      <c r="Y217" s="290"/>
      <c r="Z217" s="290">
        <f>innut22!E223</f>
        <v>1505098.6323856148</v>
      </c>
      <c r="AA217" s="290">
        <v>0</v>
      </c>
      <c r="AB217" s="290">
        <v>1690</v>
      </c>
      <c r="AC217" s="290">
        <v>9623</v>
      </c>
      <c r="AD217" s="290"/>
      <c r="AE217" s="290">
        <v>0</v>
      </c>
      <c r="AF217" s="290">
        <v>0</v>
      </c>
      <c r="AG217" s="290">
        <v>45271</v>
      </c>
      <c r="AH217" s="290">
        <v>7901</v>
      </c>
      <c r="AI217" s="290">
        <v>1998</v>
      </c>
      <c r="AJ217" s="290">
        <v>0</v>
      </c>
      <c r="AK217" s="290">
        <v>0</v>
      </c>
      <c r="AL217" s="290">
        <v>0</v>
      </c>
      <c r="AM217" s="957">
        <v>1.61808492</v>
      </c>
      <c r="AN217" s="290">
        <v>0</v>
      </c>
      <c r="AO217" s="290">
        <v>8899.3502563000002</v>
      </c>
      <c r="AP217" s="290">
        <v>0</v>
      </c>
      <c r="AQ217" s="290">
        <v>0</v>
      </c>
      <c r="AR217" s="290">
        <v>-2183.9021135500002</v>
      </c>
      <c r="AS217" s="290">
        <v>8350</v>
      </c>
      <c r="AT217" s="290">
        <v>2876</v>
      </c>
      <c r="AU217" s="290">
        <v>541</v>
      </c>
      <c r="AV217" s="766">
        <v>1172913</v>
      </c>
      <c r="AW217" s="290"/>
      <c r="AX217" s="766">
        <v>272.875</v>
      </c>
      <c r="AY217" s="290">
        <v>11431</v>
      </c>
      <c r="AZ217" s="290">
        <v>2112</v>
      </c>
      <c r="BA217" s="290">
        <v>1216</v>
      </c>
      <c r="BB217" s="290">
        <v>0</v>
      </c>
      <c r="BC217" s="290">
        <v>72387</v>
      </c>
      <c r="BD217" s="290"/>
      <c r="BE217" s="290">
        <v>1200472.3776040999</v>
      </c>
      <c r="BF217" s="290">
        <v>0</v>
      </c>
      <c r="BG217" s="290">
        <v>41102.857553633272</v>
      </c>
      <c r="BH217" s="290">
        <v>2214.5213049304457</v>
      </c>
      <c r="BI217" s="290">
        <v>17524</v>
      </c>
      <c r="BJ217" s="290"/>
      <c r="BK217" s="290"/>
      <c r="BL217" s="290"/>
      <c r="BM217" s="290">
        <v>0</v>
      </c>
      <c r="BN217" s="290">
        <v>16933.306919999999</v>
      </c>
      <c r="BO217" s="290">
        <v>-21094.187057151979</v>
      </c>
      <c r="BP217" s="290">
        <v>2388.547</v>
      </c>
      <c r="BQ217" s="290">
        <v>-1280.96</v>
      </c>
      <c r="BR217" s="290">
        <v>-849.05970231641413</v>
      </c>
      <c r="BS217" s="290">
        <v>7.9909999999999997</v>
      </c>
      <c r="BT217" s="290"/>
      <c r="BU217" s="290">
        <v>0</v>
      </c>
      <c r="BV217" s="290">
        <v>8000</v>
      </c>
      <c r="BW217" s="290">
        <v>-10396</v>
      </c>
      <c r="BX217" s="290">
        <v>5443</v>
      </c>
      <c r="BY217" s="290">
        <v>1755</v>
      </c>
      <c r="BZ217" s="290">
        <v>-7902</v>
      </c>
      <c r="CA217" s="290">
        <v>-37.638160531605536</v>
      </c>
      <c r="CB217" s="290">
        <v>2815</v>
      </c>
      <c r="CC217" s="290">
        <v>5887</v>
      </c>
      <c r="CD217" s="290">
        <v>103</v>
      </c>
      <c r="CE217" s="290">
        <v>1678</v>
      </c>
      <c r="CF217" s="290">
        <v>65</v>
      </c>
      <c r="CG217" s="290">
        <v>9</v>
      </c>
      <c r="CH217" s="290">
        <v>-42</v>
      </c>
      <c r="CI217" s="290">
        <v>-20269</v>
      </c>
      <c r="CJ217" s="290">
        <v>-54469</v>
      </c>
      <c r="CK217" s="290">
        <f>+innut22!E223+innut22!S223</f>
        <v>1505098.6323856148</v>
      </c>
      <c r="CL217" s="290">
        <v>0</v>
      </c>
      <c r="CM217" s="290">
        <v>0</v>
      </c>
      <c r="CN217" s="290">
        <v>0</v>
      </c>
      <c r="CP217" s="290">
        <f>+innut23!E223</f>
        <v>1389132.4331632908</v>
      </c>
      <c r="CQ217" s="290"/>
      <c r="CV217" s="85">
        <f t="shared" si="4"/>
        <v>8.3810000000000002</v>
      </c>
    </row>
    <row r="218" spans="1:100" ht="13">
      <c r="A218" s="1">
        <v>4204</v>
      </c>
      <c r="B218" s="2" t="s">
        <v>1628</v>
      </c>
      <c r="C218" s="289">
        <v>113737</v>
      </c>
      <c r="D218" s="290">
        <v>2365</v>
      </c>
      <c r="E218" s="290">
        <v>5209</v>
      </c>
      <c r="F218" s="290">
        <v>14200</v>
      </c>
      <c r="G218" s="290">
        <v>10250</v>
      </c>
      <c r="H218" s="290">
        <v>64409</v>
      </c>
      <c r="I218" s="290">
        <v>11604</v>
      </c>
      <c r="J218" s="290">
        <v>3684</v>
      </c>
      <c r="K218" s="290">
        <v>823</v>
      </c>
      <c r="L218" s="290">
        <v>843</v>
      </c>
      <c r="M218" s="290">
        <v>6630</v>
      </c>
      <c r="N218" s="290">
        <v>5306</v>
      </c>
      <c r="O218" s="290">
        <v>1059</v>
      </c>
      <c r="P218" s="624">
        <v>242621.71533333001</v>
      </c>
      <c r="Q218" s="624">
        <v>147759.89433333001</v>
      </c>
      <c r="R218" s="624">
        <v>432</v>
      </c>
      <c r="S218" s="290">
        <v>1665</v>
      </c>
      <c r="T218" s="290">
        <v>9837</v>
      </c>
      <c r="U218" s="958">
        <v>4.2002877739573882E-3</v>
      </c>
      <c r="V218" s="290">
        <v>-11475.937725489999</v>
      </c>
      <c r="W218" s="765">
        <v>0.54702518</v>
      </c>
      <c r="X218" s="290">
        <v>8600</v>
      </c>
      <c r="Y218" s="290"/>
      <c r="Z218" s="290">
        <f>innut22!E224</f>
        <v>3977290.0129548102</v>
      </c>
      <c r="AA218" s="290">
        <v>0</v>
      </c>
      <c r="AB218" s="290">
        <v>3305</v>
      </c>
      <c r="AC218" s="290">
        <v>11945</v>
      </c>
      <c r="AD218" s="290"/>
      <c r="AE218" s="290">
        <v>0</v>
      </c>
      <c r="AF218" s="290">
        <v>30976</v>
      </c>
      <c r="AG218" s="290">
        <v>112544</v>
      </c>
      <c r="AH218" s="290">
        <v>20950</v>
      </c>
      <c r="AI218" s="290">
        <v>7077</v>
      </c>
      <c r="AJ218" s="290">
        <v>0</v>
      </c>
      <c r="AK218" s="290">
        <v>0</v>
      </c>
      <c r="AL218" s="290">
        <v>0</v>
      </c>
      <c r="AM218" s="957">
        <v>3.8375041300000001</v>
      </c>
      <c r="AN218" s="290">
        <v>0</v>
      </c>
      <c r="AO218" s="290">
        <v>21686.070186860001</v>
      </c>
      <c r="AP218" s="290">
        <v>44247.084000000003</v>
      </c>
      <c r="AQ218" s="290">
        <v>0</v>
      </c>
      <c r="AR218" s="290">
        <v>-5429.1948370399996</v>
      </c>
      <c r="AS218" s="290">
        <v>33938</v>
      </c>
      <c r="AT218" s="290">
        <v>6392</v>
      </c>
      <c r="AU218" s="290">
        <v>1337</v>
      </c>
      <c r="AV218" s="766">
        <v>2959121</v>
      </c>
      <c r="AW218" s="290"/>
      <c r="AX218" s="766">
        <v>739.45835</v>
      </c>
      <c r="AY218" s="290">
        <v>32457</v>
      </c>
      <c r="AZ218" s="290">
        <v>5692</v>
      </c>
      <c r="BA218" s="290">
        <v>2666</v>
      </c>
      <c r="BB218" s="290">
        <v>0</v>
      </c>
      <c r="BC218" s="290">
        <v>226365</v>
      </c>
      <c r="BD218" s="290"/>
      <c r="BE218" s="290">
        <v>2981708.4308773</v>
      </c>
      <c r="BF218" s="290">
        <v>0</v>
      </c>
      <c r="BG218" s="290">
        <v>102725.0809637124</v>
      </c>
      <c r="BH218" s="290">
        <v>5534.5757906979743</v>
      </c>
      <c r="BI218" s="290">
        <v>63871</v>
      </c>
      <c r="BJ218" s="290"/>
      <c r="BK218" s="290"/>
      <c r="BL218" s="290"/>
      <c r="BM218" s="290">
        <v>0</v>
      </c>
      <c r="BN218" s="290">
        <v>41263.336299999995</v>
      </c>
      <c r="BO218" s="290">
        <v>-52440.286014448822</v>
      </c>
      <c r="BP218" s="290">
        <v>6916.0950000000003</v>
      </c>
      <c r="BQ218" s="290">
        <v>-3709.0509999999999</v>
      </c>
      <c r="BR218" s="290">
        <v>-2154.1366708373057</v>
      </c>
      <c r="BS218" s="290">
        <v>18.927</v>
      </c>
      <c r="BT218" s="290"/>
      <c r="BU218" s="290">
        <v>0</v>
      </c>
      <c r="BV218" s="290">
        <v>24000</v>
      </c>
      <c r="BW218" s="290">
        <v>-25845</v>
      </c>
      <c r="BX218" s="290">
        <v>13830</v>
      </c>
      <c r="BY218" s="290">
        <v>4343</v>
      </c>
      <c r="BZ218" s="290">
        <v>-19645</v>
      </c>
      <c r="CA218" s="290">
        <v>-577.88461471386654</v>
      </c>
      <c r="CB218" s="290">
        <v>6967</v>
      </c>
      <c r="CC218" s="290">
        <v>14635</v>
      </c>
      <c r="CD218" s="290">
        <v>255</v>
      </c>
      <c r="CE218" s="290">
        <v>4193</v>
      </c>
      <c r="CF218" s="290">
        <v>155</v>
      </c>
      <c r="CG218" s="290">
        <v>23</v>
      </c>
      <c r="CH218" s="290">
        <v>-100</v>
      </c>
      <c r="CI218" s="290">
        <v>-50658</v>
      </c>
      <c r="CJ218" s="290">
        <v>-137989</v>
      </c>
      <c r="CK218" s="290">
        <f>+innut22!E224+innut22!S224</f>
        <v>3977290.0129548102</v>
      </c>
      <c r="CL218" s="290">
        <v>0</v>
      </c>
      <c r="CM218" s="290">
        <v>0</v>
      </c>
      <c r="CN218" s="290">
        <v>0</v>
      </c>
      <c r="CP218" s="290">
        <f>+innut23!E224</f>
        <v>3652123.8416874614</v>
      </c>
      <c r="CQ218" s="290"/>
      <c r="CV218" s="85">
        <f t="shared" si="4"/>
        <v>20.834</v>
      </c>
    </row>
    <row r="219" spans="1:100" ht="13">
      <c r="A219" s="1">
        <v>4205</v>
      </c>
      <c r="B219" s="2" t="s">
        <v>1629</v>
      </c>
      <c r="C219" s="289">
        <v>23147</v>
      </c>
      <c r="D219" s="290">
        <v>406</v>
      </c>
      <c r="E219" s="290">
        <v>985</v>
      </c>
      <c r="F219" s="290">
        <v>3056</v>
      </c>
      <c r="G219" s="290">
        <v>2016</v>
      </c>
      <c r="H219" s="290">
        <v>12598</v>
      </c>
      <c r="I219" s="290">
        <v>2945</v>
      </c>
      <c r="J219" s="290">
        <v>856</v>
      </c>
      <c r="K219" s="290">
        <v>217</v>
      </c>
      <c r="L219" s="290">
        <v>187</v>
      </c>
      <c r="M219" s="290">
        <v>1644</v>
      </c>
      <c r="N219" s="290">
        <v>544</v>
      </c>
      <c r="O219" s="290">
        <v>221</v>
      </c>
      <c r="P219" s="624">
        <v>120226.01700000001</v>
      </c>
      <c r="Q219" s="624">
        <v>56397.127</v>
      </c>
      <c r="R219" s="624">
        <v>114</v>
      </c>
      <c r="S219" s="290">
        <v>290</v>
      </c>
      <c r="T219" s="290">
        <v>2015</v>
      </c>
      <c r="U219" s="958">
        <v>6.9663852074042121E-3</v>
      </c>
      <c r="V219" s="290">
        <v>-1186.52375598</v>
      </c>
      <c r="W219" s="765">
        <v>0.61595781999999999</v>
      </c>
      <c r="X219" s="290">
        <v>2470</v>
      </c>
      <c r="Y219" s="290"/>
      <c r="Z219" s="290">
        <f>innut22!E225</f>
        <v>746013.8789243541</v>
      </c>
      <c r="AA219" s="290">
        <v>0</v>
      </c>
      <c r="AB219" s="290">
        <v>869</v>
      </c>
      <c r="AC219" s="290">
        <v>6282</v>
      </c>
      <c r="AD219" s="290"/>
      <c r="AE219" s="290">
        <v>0</v>
      </c>
      <c r="AF219" s="290">
        <v>38897</v>
      </c>
      <c r="AG219" s="290">
        <v>23079</v>
      </c>
      <c r="AH219" s="290">
        <v>4351</v>
      </c>
      <c r="AI219" s="290">
        <v>1572</v>
      </c>
      <c r="AJ219" s="290">
        <v>0</v>
      </c>
      <c r="AK219" s="290">
        <v>1353</v>
      </c>
      <c r="AL219" s="290">
        <v>0</v>
      </c>
      <c r="AM219" s="957">
        <v>0.41133861999999999</v>
      </c>
      <c r="AN219" s="290">
        <v>0</v>
      </c>
      <c r="AO219" s="290">
        <v>4711.0411073100004</v>
      </c>
      <c r="AP219" s="290">
        <v>0</v>
      </c>
      <c r="AQ219" s="290">
        <v>0</v>
      </c>
      <c r="AR219" s="290">
        <v>-1113.3457816</v>
      </c>
      <c r="AS219" s="290">
        <v>6407</v>
      </c>
      <c r="AT219" s="290">
        <v>1401</v>
      </c>
      <c r="AU219" s="290">
        <v>180</v>
      </c>
      <c r="AV219" s="766">
        <v>723058</v>
      </c>
      <c r="AW219" s="290"/>
      <c r="AX219" s="766">
        <v>130.62495000000001</v>
      </c>
      <c r="AY219" s="290">
        <v>5076</v>
      </c>
      <c r="AZ219" s="290">
        <v>867</v>
      </c>
      <c r="BA219" s="290">
        <v>544</v>
      </c>
      <c r="BB219" s="290">
        <v>0</v>
      </c>
      <c r="BC219" s="290">
        <v>77334</v>
      </c>
      <c r="BD219" s="290"/>
      <c r="BE219" s="290">
        <v>727124.19686214998</v>
      </c>
      <c r="BF219" s="290">
        <v>0</v>
      </c>
      <c r="BG219" s="290">
        <v>20905.927262606285</v>
      </c>
      <c r="BH219" s="290">
        <v>1126.3601627200121</v>
      </c>
      <c r="BI219" s="290">
        <v>50883</v>
      </c>
      <c r="BJ219" s="290"/>
      <c r="BK219" s="290"/>
      <c r="BL219" s="290"/>
      <c r="BM219" s="290">
        <v>4958</v>
      </c>
      <c r="BN219" s="290">
        <v>8963.9695800000009</v>
      </c>
      <c r="BO219" s="290">
        <v>-10753.743966159585</v>
      </c>
      <c r="BP219" s="290">
        <v>1274.5260000000001</v>
      </c>
      <c r="BQ219" s="290">
        <v>-683.51900000000001</v>
      </c>
      <c r="BR219" s="290">
        <v>-475.1273681905634</v>
      </c>
      <c r="BS219" s="290">
        <v>4.2910000000000004</v>
      </c>
      <c r="BT219" s="290"/>
      <c r="BU219" s="290">
        <v>0</v>
      </c>
      <c r="BV219" s="290">
        <v>6500</v>
      </c>
      <c r="BW219" s="290">
        <v>-5300</v>
      </c>
      <c r="BX219" s="290">
        <v>3053</v>
      </c>
      <c r="BY219" s="290">
        <v>756</v>
      </c>
      <c r="BZ219" s="290">
        <v>-4029</v>
      </c>
      <c r="CA219" s="290">
        <v>281.60375435014794</v>
      </c>
      <c r="CB219" s="290">
        <v>1212</v>
      </c>
      <c r="CC219" s="290">
        <v>3001</v>
      </c>
      <c r="CD219" s="290">
        <v>44</v>
      </c>
      <c r="CE219" s="290">
        <v>853</v>
      </c>
      <c r="CF219" s="290">
        <v>35</v>
      </c>
      <c r="CG219" s="290">
        <v>5</v>
      </c>
      <c r="CH219" s="290">
        <v>-23</v>
      </c>
      <c r="CI219" s="290">
        <v>-10310</v>
      </c>
      <c r="CJ219" s="290">
        <v>-27928</v>
      </c>
      <c r="CK219" s="290">
        <f>+innut22!E225+innut22!S225</f>
        <v>746013.8789243541</v>
      </c>
      <c r="CL219" s="290">
        <v>1302.761244789993</v>
      </c>
      <c r="CM219" s="290">
        <v>1241.4737965259274</v>
      </c>
      <c r="CN219" s="290">
        <v>1171.5986240069888</v>
      </c>
      <c r="CP219" s="290">
        <f>+innut23!E225</f>
        <v>685471.56850973319</v>
      </c>
      <c r="CQ219" s="290"/>
      <c r="CV219" s="85">
        <f t="shared" si="4"/>
        <v>4.2720000000000002</v>
      </c>
    </row>
    <row r="220" spans="1:100" ht="13">
      <c r="A220" s="1">
        <v>4206</v>
      </c>
      <c r="B220" s="2" t="s">
        <v>944</v>
      </c>
      <c r="C220" s="289">
        <v>9622</v>
      </c>
      <c r="D220" s="290">
        <v>177</v>
      </c>
      <c r="E220" s="290">
        <v>402</v>
      </c>
      <c r="F220" s="290">
        <v>1197</v>
      </c>
      <c r="G220" s="290">
        <v>864</v>
      </c>
      <c r="H220" s="290">
        <v>5120</v>
      </c>
      <c r="I220" s="290">
        <v>1368</v>
      </c>
      <c r="J220" s="290">
        <v>403</v>
      </c>
      <c r="K220" s="290">
        <v>82</v>
      </c>
      <c r="L220" s="290">
        <v>83</v>
      </c>
      <c r="M220" s="290">
        <v>757</v>
      </c>
      <c r="N220" s="290">
        <v>180</v>
      </c>
      <c r="O220" s="290">
        <v>103</v>
      </c>
      <c r="P220" s="624">
        <v>30016.596666670001</v>
      </c>
      <c r="Q220" s="624">
        <v>17377.365000000002</v>
      </c>
      <c r="R220" s="624">
        <v>49</v>
      </c>
      <c r="S220" s="290">
        <v>106</v>
      </c>
      <c r="T220" s="290">
        <v>773</v>
      </c>
      <c r="U220" s="958">
        <v>3.8127069412317014E-3</v>
      </c>
      <c r="V220" s="290">
        <v>4795.2351339099996</v>
      </c>
      <c r="W220" s="765">
        <v>0.60074322000000002</v>
      </c>
      <c r="X220" s="290">
        <v>960</v>
      </c>
      <c r="Y220" s="290"/>
      <c r="Z220" s="290">
        <f>innut22!E226</f>
        <v>308342.21462547942</v>
      </c>
      <c r="AA220" s="290">
        <v>0</v>
      </c>
      <c r="AB220" s="290">
        <v>261</v>
      </c>
      <c r="AC220" s="290">
        <v>1251</v>
      </c>
      <c r="AD220" s="290"/>
      <c r="AE220" s="290">
        <v>0</v>
      </c>
      <c r="AF220" s="290">
        <v>0</v>
      </c>
      <c r="AG220" s="290">
        <v>9613</v>
      </c>
      <c r="AH220" s="290">
        <v>1747</v>
      </c>
      <c r="AI220" s="290">
        <v>324</v>
      </c>
      <c r="AJ220" s="290">
        <v>0</v>
      </c>
      <c r="AK220" s="290">
        <v>1296</v>
      </c>
      <c r="AL220" s="290">
        <v>0</v>
      </c>
      <c r="AM220" s="957">
        <v>0.15420039999999999</v>
      </c>
      <c r="AN220" s="290">
        <v>2548</v>
      </c>
      <c r="AO220" s="290">
        <v>1945.22662939</v>
      </c>
      <c r="AP220" s="290">
        <v>0</v>
      </c>
      <c r="AQ220" s="290">
        <v>0</v>
      </c>
      <c r="AR220" s="290">
        <v>-463.73729358000003</v>
      </c>
      <c r="AS220" s="290">
        <v>3292</v>
      </c>
      <c r="AT220" s="290">
        <v>502</v>
      </c>
      <c r="AU220" s="290">
        <v>75</v>
      </c>
      <c r="AV220" s="766">
        <v>287355</v>
      </c>
      <c r="AW220" s="290"/>
      <c r="AX220" s="766">
        <v>40.458350000000003</v>
      </c>
      <c r="AY220" s="290">
        <v>1774</v>
      </c>
      <c r="AZ220" s="290">
        <v>381</v>
      </c>
      <c r="BA220" s="290">
        <v>180</v>
      </c>
      <c r="BB220" s="290">
        <v>0</v>
      </c>
      <c r="BC220" s="290">
        <v>19175</v>
      </c>
      <c r="BD220" s="290"/>
      <c r="BE220" s="290">
        <v>286495.20534354</v>
      </c>
      <c r="BF220" s="290">
        <v>0</v>
      </c>
      <c r="BG220" s="290">
        <v>8690.4061917655708</v>
      </c>
      <c r="BH220" s="290">
        <v>468.21780298492052</v>
      </c>
      <c r="BI220" s="290">
        <v>4294</v>
      </c>
      <c r="BJ220" s="290"/>
      <c r="BK220" s="290"/>
      <c r="BL220" s="290"/>
      <c r="BM220" s="290">
        <v>0</v>
      </c>
      <c r="BN220" s="290">
        <v>3701.2948799999999</v>
      </c>
      <c r="BO220" s="290">
        <v>-4479.2123032493646</v>
      </c>
      <c r="BP220" s="290">
        <v>502.16500000000002</v>
      </c>
      <c r="BQ220" s="290">
        <v>-269.30700000000002</v>
      </c>
      <c r="BR220" s="290">
        <v>-187.00562640871871</v>
      </c>
      <c r="BS220" s="290">
        <v>1.8360000000000001</v>
      </c>
      <c r="BT220" s="290"/>
      <c r="BU220" s="290">
        <v>0</v>
      </c>
      <c r="BV220" s="290">
        <v>2500</v>
      </c>
      <c r="BW220" s="290">
        <v>-2208</v>
      </c>
      <c r="BX220" s="290">
        <v>1197</v>
      </c>
      <c r="BY220" s="290">
        <v>276</v>
      </c>
      <c r="BZ220" s="290">
        <v>-1678</v>
      </c>
      <c r="CA220" s="290">
        <v>-371.77095034191655</v>
      </c>
      <c r="CB220" s="290">
        <v>443</v>
      </c>
      <c r="CC220" s="290">
        <v>1250</v>
      </c>
      <c r="CD220" s="290">
        <v>16</v>
      </c>
      <c r="CE220" s="290">
        <v>355</v>
      </c>
      <c r="CF220" s="290">
        <v>15</v>
      </c>
      <c r="CG220" s="290">
        <v>2</v>
      </c>
      <c r="CH220" s="290">
        <v>-10</v>
      </c>
      <c r="CI220" s="290">
        <v>-4286</v>
      </c>
      <c r="CJ220" s="290">
        <v>-11551</v>
      </c>
      <c r="CK220" s="290">
        <f>+innut22!E226+innut22!S226</f>
        <v>308342.21462547942</v>
      </c>
      <c r="CL220" s="290">
        <v>859.66826870697514</v>
      </c>
      <c r="CM220" s="290">
        <v>401.63304205912755</v>
      </c>
      <c r="CN220" s="290">
        <v>0</v>
      </c>
      <c r="CP220" s="290">
        <f>+innut23!E226</f>
        <v>286099.15855350444</v>
      </c>
      <c r="CQ220" s="290"/>
      <c r="CV220" s="85">
        <f t="shared" si="4"/>
        <v>1.78</v>
      </c>
    </row>
    <row r="221" spans="1:100" ht="13">
      <c r="A221" s="1">
        <v>4207</v>
      </c>
      <c r="B221" s="2" t="s">
        <v>946</v>
      </c>
      <c r="C221" s="289">
        <v>9048</v>
      </c>
      <c r="D221" s="290">
        <v>208</v>
      </c>
      <c r="E221" s="290">
        <v>350</v>
      </c>
      <c r="F221" s="290">
        <v>1159</v>
      </c>
      <c r="G221" s="290">
        <v>736</v>
      </c>
      <c r="H221" s="290">
        <v>4834</v>
      </c>
      <c r="I221" s="290">
        <v>1232</v>
      </c>
      <c r="J221" s="290">
        <v>401</v>
      </c>
      <c r="K221" s="290">
        <v>125</v>
      </c>
      <c r="L221" s="290">
        <v>70</v>
      </c>
      <c r="M221" s="290">
        <v>706</v>
      </c>
      <c r="N221" s="290">
        <v>241</v>
      </c>
      <c r="O221" s="290">
        <v>122</v>
      </c>
      <c r="P221" s="624">
        <v>58088.183666669996</v>
      </c>
      <c r="Q221" s="624">
        <v>18232.583666670002</v>
      </c>
      <c r="R221" s="624">
        <v>54</v>
      </c>
      <c r="S221" s="290">
        <v>106</v>
      </c>
      <c r="T221" s="290">
        <v>742</v>
      </c>
      <c r="U221" s="958">
        <v>2.5881188635465133E-3</v>
      </c>
      <c r="V221" s="290">
        <v>5155.3016157700004</v>
      </c>
      <c r="W221" s="765">
        <v>0.61689170999999998</v>
      </c>
      <c r="X221" s="290">
        <v>350</v>
      </c>
      <c r="Y221" s="290"/>
      <c r="Z221" s="290">
        <f>innut22!E227</f>
        <v>305468.80383243592</v>
      </c>
      <c r="AA221" s="290">
        <v>0</v>
      </c>
      <c r="AB221" s="290">
        <v>268</v>
      </c>
      <c r="AC221" s="290">
        <v>230</v>
      </c>
      <c r="AD221" s="290"/>
      <c r="AE221" s="290">
        <v>0</v>
      </c>
      <c r="AF221" s="290">
        <v>0</v>
      </c>
      <c r="AG221" s="290">
        <v>9045</v>
      </c>
      <c r="AH221" s="290">
        <v>1664</v>
      </c>
      <c r="AI221" s="290">
        <v>17</v>
      </c>
      <c r="AJ221" s="290">
        <v>0</v>
      </c>
      <c r="AK221" s="290">
        <v>0</v>
      </c>
      <c r="AL221" s="290">
        <v>0</v>
      </c>
      <c r="AM221" s="957">
        <v>0.13536193999999999</v>
      </c>
      <c r="AN221" s="290">
        <v>7194</v>
      </c>
      <c r="AO221" s="290">
        <v>1924.6434756000001</v>
      </c>
      <c r="AP221" s="290">
        <v>0</v>
      </c>
      <c r="AQ221" s="290">
        <v>0</v>
      </c>
      <c r="AR221" s="290">
        <v>-436.33660880000002</v>
      </c>
      <c r="AS221" s="290">
        <v>1978</v>
      </c>
      <c r="AT221" s="290">
        <v>498</v>
      </c>
      <c r="AU221" s="290">
        <v>69</v>
      </c>
      <c r="AV221" s="766">
        <v>294830</v>
      </c>
      <c r="AW221" s="290"/>
      <c r="AX221" s="766">
        <v>75.791650000000004</v>
      </c>
      <c r="AY221" s="290">
        <v>1878</v>
      </c>
      <c r="AZ221" s="290">
        <v>321</v>
      </c>
      <c r="BA221" s="290">
        <v>163</v>
      </c>
      <c r="BB221" s="290">
        <v>0</v>
      </c>
      <c r="BC221" s="290">
        <v>15353</v>
      </c>
      <c r="BD221" s="290"/>
      <c r="BE221" s="290">
        <v>300951.96217431</v>
      </c>
      <c r="BF221" s="290">
        <v>0</v>
      </c>
      <c r="BG221" s="290">
        <v>8171.9803806999462</v>
      </c>
      <c r="BH221" s="290">
        <v>440.28628989893593</v>
      </c>
      <c r="BI221" s="290">
        <v>1894</v>
      </c>
      <c r="BJ221" s="290"/>
      <c r="BK221" s="290"/>
      <c r="BL221" s="290"/>
      <c r="BM221" s="290">
        <v>0</v>
      </c>
      <c r="BN221" s="290">
        <v>3662.1301200000003</v>
      </c>
      <c r="BO221" s="290">
        <v>-4214.5506379788312</v>
      </c>
      <c r="BP221" s="290">
        <v>479.45</v>
      </c>
      <c r="BQ221" s="290">
        <v>-257.12599999999998</v>
      </c>
      <c r="BR221" s="290">
        <v>-185.82603633917961</v>
      </c>
      <c r="BS221" s="290">
        <v>1.786</v>
      </c>
      <c r="BT221" s="290"/>
      <c r="BU221" s="290">
        <v>0</v>
      </c>
      <c r="BV221" s="290">
        <v>3000</v>
      </c>
      <c r="BW221" s="290">
        <v>-2077</v>
      </c>
      <c r="BX221" s="290">
        <v>1186</v>
      </c>
      <c r="BY221" s="290">
        <v>275</v>
      </c>
      <c r="BZ221" s="290">
        <v>-1579</v>
      </c>
      <c r="CA221" s="290">
        <v>29.136554318010695</v>
      </c>
      <c r="CB221" s="290">
        <v>442</v>
      </c>
      <c r="CC221" s="290">
        <v>1176</v>
      </c>
      <c r="CD221" s="290">
        <v>16</v>
      </c>
      <c r="CE221" s="290">
        <v>334</v>
      </c>
      <c r="CF221" s="290">
        <v>15</v>
      </c>
      <c r="CG221" s="290">
        <v>2</v>
      </c>
      <c r="CH221" s="290">
        <v>-9</v>
      </c>
      <c r="CI221" s="290">
        <v>-4030</v>
      </c>
      <c r="CJ221" s="290">
        <v>-10888</v>
      </c>
      <c r="CK221" s="290">
        <f>+innut22!E227+innut22!S227</f>
        <v>305468.80383243592</v>
      </c>
      <c r="CL221" s="290">
        <v>0</v>
      </c>
      <c r="CM221" s="290">
        <v>0</v>
      </c>
      <c r="CN221" s="290">
        <v>0</v>
      </c>
      <c r="CP221" s="290">
        <f>+innut23!E227</f>
        <v>281949.71191666496</v>
      </c>
      <c r="CQ221" s="290"/>
      <c r="CV221" s="85">
        <f t="shared" si="4"/>
        <v>1.6739999999999999</v>
      </c>
    </row>
    <row r="222" spans="1:100" ht="13">
      <c r="A222" s="1">
        <v>4211</v>
      </c>
      <c r="B222" s="2" t="s">
        <v>931</v>
      </c>
      <c r="C222" s="289">
        <v>2427</v>
      </c>
      <c r="D222" s="290">
        <v>39</v>
      </c>
      <c r="E222" s="290">
        <v>72</v>
      </c>
      <c r="F222" s="290">
        <v>271</v>
      </c>
      <c r="G222" s="290">
        <v>193</v>
      </c>
      <c r="H222" s="290">
        <v>1365</v>
      </c>
      <c r="I222" s="290">
        <v>370</v>
      </c>
      <c r="J222" s="290">
        <v>104</v>
      </c>
      <c r="K222" s="290">
        <v>26</v>
      </c>
      <c r="L222" s="290">
        <v>20</v>
      </c>
      <c r="M222" s="290">
        <v>227</v>
      </c>
      <c r="N222" s="290">
        <v>52</v>
      </c>
      <c r="O222" s="290">
        <v>35</v>
      </c>
      <c r="P222" s="624">
        <v>18756.526999999998</v>
      </c>
      <c r="Q222" s="624">
        <v>5946.8803333300002</v>
      </c>
      <c r="R222" s="624">
        <v>17</v>
      </c>
      <c r="S222" s="290">
        <v>32</v>
      </c>
      <c r="T222" s="290">
        <v>225</v>
      </c>
      <c r="U222" s="958">
        <v>9.0947845131571356E-4</v>
      </c>
      <c r="V222" s="290">
        <v>1445.76146253</v>
      </c>
      <c r="W222" s="765">
        <v>0.76191681</v>
      </c>
      <c r="X222" s="290">
        <v>1140</v>
      </c>
      <c r="Y222" s="290"/>
      <c r="Z222" s="290">
        <f>innut22!E228</f>
        <v>64710.451605177215</v>
      </c>
      <c r="AA222" s="290">
        <v>0</v>
      </c>
      <c r="AB222" s="290">
        <v>104</v>
      </c>
      <c r="AC222" s="290">
        <v>273</v>
      </c>
      <c r="AD222" s="290"/>
      <c r="AE222" s="290">
        <v>0</v>
      </c>
      <c r="AF222" s="290">
        <v>0</v>
      </c>
      <c r="AG222" s="290">
        <v>2440</v>
      </c>
      <c r="AH222" s="290">
        <v>376</v>
      </c>
      <c r="AI222" s="290">
        <v>429</v>
      </c>
      <c r="AJ222" s="290">
        <v>0</v>
      </c>
      <c r="AK222" s="290">
        <v>0</v>
      </c>
      <c r="AL222" s="290">
        <v>0</v>
      </c>
      <c r="AM222" s="957">
        <v>4.9296010000000001E-2</v>
      </c>
      <c r="AN222" s="290">
        <v>0</v>
      </c>
      <c r="AO222" s="290">
        <v>539.75025586000004</v>
      </c>
      <c r="AP222" s="290">
        <v>0</v>
      </c>
      <c r="AQ222" s="290">
        <v>0</v>
      </c>
      <c r="AR222" s="290">
        <v>309.03542441000002</v>
      </c>
      <c r="AS222" s="290">
        <v>730</v>
      </c>
      <c r="AT222" s="290">
        <v>161</v>
      </c>
      <c r="AU222" s="290">
        <v>16</v>
      </c>
      <c r="AV222" s="766">
        <v>94399</v>
      </c>
      <c r="AW222" s="290"/>
      <c r="AX222" s="766">
        <v>23.500050000000002</v>
      </c>
      <c r="AY222" s="290">
        <v>342</v>
      </c>
      <c r="AZ222" s="290">
        <v>113</v>
      </c>
      <c r="BA222" s="290">
        <v>50</v>
      </c>
      <c r="BB222" s="290">
        <v>6034</v>
      </c>
      <c r="BC222" s="290">
        <v>4285</v>
      </c>
      <c r="BD222" s="290"/>
      <c r="BE222" s="290">
        <v>92757.422997999995</v>
      </c>
      <c r="BF222" s="290">
        <v>0</v>
      </c>
      <c r="BG222" s="290">
        <v>2192.0199363349657</v>
      </c>
      <c r="BH222" s="290">
        <v>118.10066595763898</v>
      </c>
      <c r="BI222" s="290">
        <v>649</v>
      </c>
      <c r="BJ222" s="290"/>
      <c r="BK222" s="290"/>
      <c r="BL222" s="290"/>
      <c r="BM222" s="290">
        <v>0</v>
      </c>
      <c r="BN222" s="290">
        <v>1027.01394</v>
      </c>
      <c r="BO222" s="290">
        <v>-1136.9268719367992</v>
      </c>
      <c r="BP222" s="290">
        <v>104.23699999999999</v>
      </c>
      <c r="BQ222" s="290">
        <v>-55.902000000000001</v>
      </c>
      <c r="BR222" s="290">
        <v>-47.716020324038986</v>
      </c>
      <c r="BS222" s="290">
        <v>0.58099999999999996</v>
      </c>
      <c r="BT222" s="290"/>
      <c r="BU222" s="290">
        <v>0</v>
      </c>
      <c r="BV222" s="290">
        <v>500</v>
      </c>
      <c r="BW222" s="290">
        <v>-560</v>
      </c>
      <c r="BX222" s="290">
        <v>302</v>
      </c>
      <c r="BY222" s="290">
        <v>84</v>
      </c>
      <c r="BZ222" s="290">
        <v>-426</v>
      </c>
      <c r="CA222" s="290">
        <v>51.712952260838165</v>
      </c>
      <c r="CB222" s="290">
        <v>134</v>
      </c>
      <c r="CC222" s="290">
        <v>317</v>
      </c>
      <c r="CD222" s="290">
        <v>5</v>
      </c>
      <c r="CE222" s="290">
        <v>89</v>
      </c>
      <c r="CF222" s="290">
        <v>5</v>
      </c>
      <c r="CG222" s="290">
        <v>0</v>
      </c>
      <c r="CH222" s="290">
        <v>-3</v>
      </c>
      <c r="CI222" s="290">
        <v>-1081</v>
      </c>
      <c r="CJ222" s="290">
        <v>-2883</v>
      </c>
      <c r="CK222" s="290">
        <f>+innut22!E228+innut22!S228</f>
        <v>64710.451605177215</v>
      </c>
      <c r="CL222" s="290">
        <v>0</v>
      </c>
      <c r="CM222" s="290">
        <v>0</v>
      </c>
      <c r="CN222" s="290">
        <v>0</v>
      </c>
      <c r="CP222" s="290">
        <f>+innut23!E228</f>
        <v>60653.448843375707</v>
      </c>
      <c r="CQ222" s="290"/>
      <c r="CV222" s="85">
        <f t="shared" si="4"/>
        <v>0.45200000000000001</v>
      </c>
    </row>
    <row r="223" spans="1:100" ht="13">
      <c r="A223" s="1">
        <v>4212</v>
      </c>
      <c r="B223" s="2" t="s">
        <v>706</v>
      </c>
      <c r="C223" s="289">
        <v>2131</v>
      </c>
      <c r="D223" s="290">
        <v>43</v>
      </c>
      <c r="E223" s="290">
        <v>87</v>
      </c>
      <c r="F223" s="290">
        <v>290</v>
      </c>
      <c r="G223" s="290">
        <v>181</v>
      </c>
      <c r="H223" s="290">
        <v>1199</v>
      </c>
      <c r="I223" s="290">
        <v>228</v>
      </c>
      <c r="J223" s="290">
        <v>85</v>
      </c>
      <c r="K223" s="290">
        <v>13</v>
      </c>
      <c r="L223" s="290">
        <v>21</v>
      </c>
      <c r="M223" s="290">
        <v>140</v>
      </c>
      <c r="N223" s="290">
        <v>52</v>
      </c>
      <c r="O223" s="290">
        <v>27</v>
      </c>
      <c r="P223" s="624">
        <v>12156.337</v>
      </c>
      <c r="Q223" s="624">
        <v>9518.8960000000006</v>
      </c>
      <c r="R223" s="624">
        <v>5</v>
      </c>
      <c r="S223" s="290">
        <v>26</v>
      </c>
      <c r="T223" s="290">
        <v>203</v>
      </c>
      <c r="U223" s="958">
        <v>7.2035035178732044E-4</v>
      </c>
      <c r="V223" s="290">
        <v>1159.0869203499999</v>
      </c>
      <c r="W223" s="765">
        <v>0.81793066000000003</v>
      </c>
      <c r="X223" s="290">
        <v>1080</v>
      </c>
      <c r="Y223" s="290"/>
      <c r="Z223" s="290">
        <f>innut22!E229</f>
        <v>58595.14670841051</v>
      </c>
      <c r="AA223" s="290">
        <v>1374</v>
      </c>
      <c r="AB223" s="290">
        <v>69</v>
      </c>
      <c r="AC223" s="290">
        <v>85</v>
      </c>
      <c r="AD223" s="290"/>
      <c r="AE223" s="290">
        <v>0</v>
      </c>
      <c r="AF223" s="290">
        <v>0</v>
      </c>
      <c r="AG223" s="290">
        <v>2126</v>
      </c>
      <c r="AH223" s="290">
        <v>407</v>
      </c>
      <c r="AI223" s="290">
        <v>34</v>
      </c>
      <c r="AJ223" s="290">
        <v>0</v>
      </c>
      <c r="AK223" s="290">
        <v>0</v>
      </c>
      <c r="AL223" s="290">
        <v>0</v>
      </c>
      <c r="AM223" s="957">
        <v>2.3912280000000001E-2</v>
      </c>
      <c r="AN223" s="290">
        <v>0</v>
      </c>
      <c r="AO223" s="290">
        <v>471.47718073999999</v>
      </c>
      <c r="AP223" s="290">
        <v>0</v>
      </c>
      <c r="AQ223" s="290">
        <v>0</v>
      </c>
      <c r="AR223" s="290">
        <v>1732.3107734099999</v>
      </c>
      <c r="AS223" s="290">
        <v>659</v>
      </c>
      <c r="AT223" s="290">
        <v>107</v>
      </c>
      <c r="AU223" s="290">
        <v>11</v>
      </c>
      <c r="AV223" s="766">
        <v>82698</v>
      </c>
      <c r="AW223" s="290"/>
      <c r="AX223" s="766">
        <v>19.458300000000001</v>
      </c>
      <c r="AY223" s="290">
        <v>419</v>
      </c>
      <c r="AZ223" s="290">
        <v>92</v>
      </c>
      <c r="BA223" s="290">
        <v>40</v>
      </c>
      <c r="BB223" s="290">
        <v>4225</v>
      </c>
      <c r="BC223" s="290">
        <v>3929</v>
      </c>
      <c r="BD223" s="290"/>
      <c r="BE223" s="290">
        <v>81434.946555729999</v>
      </c>
      <c r="BF223" s="290">
        <v>0</v>
      </c>
      <c r="BG223" s="290">
        <v>1924.6784031025186</v>
      </c>
      <c r="BH223" s="290">
        <v>103.69695886103365</v>
      </c>
      <c r="BI223" s="290">
        <v>1866</v>
      </c>
      <c r="BJ223" s="290"/>
      <c r="BK223" s="290"/>
      <c r="BL223" s="290"/>
      <c r="BM223" s="290">
        <v>0</v>
      </c>
      <c r="BN223" s="290">
        <v>897.10681999999997</v>
      </c>
      <c r="BO223" s="290">
        <v>-990.61743022034216</v>
      </c>
      <c r="BP223" s="290">
        <v>118.55</v>
      </c>
      <c r="BQ223" s="290">
        <v>-63.578000000000003</v>
      </c>
      <c r="BR223" s="290">
        <v>-50.653270549087978</v>
      </c>
      <c r="BS223" s="290">
        <v>0.52300000000000002</v>
      </c>
      <c r="BT223" s="290"/>
      <c r="BU223" s="290">
        <v>0</v>
      </c>
      <c r="BV223" s="290">
        <v>500</v>
      </c>
      <c r="BW223" s="290">
        <v>-488</v>
      </c>
      <c r="BX223" s="290">
        <v>319</v>
      </c>
      <c r="BY223" s="290">
        <v>68</v>
      </c>
      <c r="BZ223" s="290">
        <v>-371</v>
      </c>
      <c r="CA223" s="290">
        <v>-0.33111923056982562</v>
      </c>
      <c r="CB223" s="290">
        <v>109</v>
      </c>
      <c r="CC223" s="290">
        <v>276</v>
      </c>
      <c r="CD223" s="290">
        <v>4</v>
      </c>
      <c r="CE223" s="290">
        <v>79</v>
      </c>
      <c r="CF223" s="290">
        <v>4</v>
      </c>
      <c r="CG223" s="290">
        <v>0</v>
      </c>
      <c r="CH223" s="290">
        <v>-3</v>
      </c>
      <c r="CI223" s="290">
        <v>-949</v>
      </c>
      <c r="CJ223" s="290">
        <v>-2519</v>
      </c>
      <c r="CK223" s="290">
        <f>+innut22!E229+innut22!S229</f>
        <v>58595.14670841051</v>
      </c>
      <c r="CL223" s="290">
        <v>0</v>
      </c>
      <c r="CM223" s="290">
        <v>0</v>
      </c>
      <c r="CN223" s="290">
        <v>0</v>
      </c>
      <c r="CP223" s="290">
        <f>+innut23!E229</f>
        <v>55346.115704702235</v>
      </c>
      <c r="CQ223" s="290"/>
      <c r="CV223" s="85">
        <f t="shared" si="4"/>
        <v>0.39400000000000002</v>
      </c>
    </row>
    <row r="224" spans="1:100" ht="13">
      <c r="A224" s="1">
        <v>4213</v>
      </c>
      <c r="B224" s="2" t="s">
        <v>932</v>
      </c>
      <c r="C224" s="289">
        <v>6115</v>
      </c>
      <c r="D224" s="290">
        <v>95</v>
      </c>
      <c r="E224" s="290">
        <v>201</v>
      </c>
      <c r="F224" s="290">
        <v>696</v>
      </c>
      <c r="G224" s="290">
        <v>501</v>
      </c>
      <c r="H224" s="290">
        <v>3393</v>
      </c>
      <c r="I224" s="290">
        <v>935</v>
      </c>
      <c r="J224" s="290">
        <v>236</v>
      </c>
      <c r="K224" s="290">
        <v>61</v>
      </c>
      <c r="L224" s="290">
        <v>54</v>
      </c>
      <c r="M224" s="290">
        <v>539</v>
      </c>
      <c r="N224" s="290">
        <v>130</v>
      </c>
      <c r="O224" s="290">
        <v>60</v>
      </c>
      <c r="P224" s="624">
        <v>47006.296666670001</v>
      </c>
      <c r="Q224" s="624">
        <v>21649.381000000001</v>
      </c>
      <c r="R224" s="624">
        <v>30</v>
      </c>
      <c r="S224" s="290">
        <v>86</v>
      </c>
      <c r="T224" s="290">
        <v>576</v>
      </c>
      <c r="U224" s="958">
        <v>1.2337055002894543E-3</v>
      </c>
      <c r="V224" s="290">
        <v>2848.1597784700002</v>
      </c>
      <c r="W224" s="765">
        <v>0.66274951999999998</v>
      </c>
      <c r="X224" s="290">
        <v>700</v>
      </c>
      <c r="Y224" s="290"/>
      <c r="Z224" s="290">
        <f>innut22!E230</f>
        <v>198920.23943756573</v>
      </c>
      <c r="AA224" s="290">
        <v>0</v>
      </c>
      <c r="AB224" s="290">
        <v>226</v>
      </c>
      <c r="AC224" s="290">
        <v>113</v>
      </c>
      <c r="AD224" s="290"/>
      <c r="AE224" s="290">
        <v>0</v>
      </c>
      <c r="AF224" s="290">
        <v>0</v>
      </c>
      <c r="AG224" s="290">
        <v>6118</v>
      </c>
      <c r="AH224" s="290">
        <v>984</v>
      </c>
      <c r="AI224" s="290">
        <v>38</v>
      </c>
      <c r="AJ224" s="290">
        <v>0</v>
      </c>
      <c r="AK224" s="290">
        <v>0</v>
      </c>
      <c r="AL224" s="290">
        <v>0</v>
      </c>
      <c r="AM224" s="957">
        <v>0.23193127999999999</v>
      </c>
      <c r="AN224" s="290">
        <v>5093</v>
      </c>
      <c r="AO224" s="290">
        <v>1257.0713765999999</v>
      </c>
      <c r="AP224" s="290">
        <v>0</v>
      </c>
      <c r="AQ224" s="290">
        <v>0</v>
      </c>
      <c r="AR224" s="290">
        <v>-295.13624905</v>
      </c>
      <c r="AS224" s="290">
        <v>1818</v>
      </c>
      <c r="AT224" s="290">
        <v>360</v>
      </c>
      <c r="AU224" s="290">
        <v>71</v>
      </c>
      <c r="AV224" s="766">
        <v>191097</v>
      </c>
      <c r="AW224" s="290"/>
      <c r="AX224" s="766">
        <v>39.958300000000001</v>
      </c>
      <c r="AY224" s="290">
        <v>1338</v>
      </c>
      <c r="AZ224" s="290">
        <v>334</v>
      </c>
      <c r="BA224" s="290">
        <v>126</v>
      </c>
      <c r="BB224" s="290">
        <v>0</v>
      </c>
      <c r="BC224" s="290">
        <v>10423</v>
      </c>
      <c r="BD224" s="290"/>
      <c r="BE224" s="290">
        <v>189844.70663159</v>
      </c>
      <c r="BF224" s="290">
        <v>0</v>
      </c>
      <c r="BG224" s="290">
        <v>5522.9509314743782</v>
      </c>
      <c r="BH224" s="290">
        <v>297.56307059372165</v>
      </c>
      <c r="BI224" s="290">
        <v>1097</v>
      </c>
      <c r="BJ224" s="290"/>
      <c r="BK224" s="290"/>
      <c r="BL224" s="290"/>
      <c r="BM224" s="290">
        <v>0</v>
      </c>
      <c r="BN224" s="290">
        <v>2391.9022</v>
      </c>
      <c r="BO224" s="290">
        <v>-2850.7043452907119</v>
      </c>
      <c r="BP224" s="290">
        <v>278.56799999999998</v>
      </c>
      <c r="BQ224" s="290">
        <v>-149.39400000000001</v>
      </c>
      <c r="BR224" s="290">
        <v>-114.6068615177509</v>
      </c>
      <c r="BS224" s="290">
        <v>1.2749999999999999</v>
      </c>
      <c r="BT224" s="290"/>
      <c r="BU224" s="290">
        <v>0</v>
      </c>
      <c r="BV224" s="290">
        <v>3000</v>
      </c>
      <c r="BW224" s="290">
        <v>-1405</v>
      </c>
      <c r="BX224" s="290">
        <v>735</v>
      </c>
      <c r="BY224" s="290">
        <v>225</v>
      </c>
      <c r="BZ224" s="290">
        <v>-1068</v>
      </c>
      <c r="CA224" s="290">
        <v>47.960006808462822</v>
      </c>
      <c r="CB224" s="290">
        <v>361</v>
      </c>
      <c r="CC224" s="290">
        <v>796</v>
      </c>
      <c r="CD224" s="290">
        <v>13</v>
      </c>
      <c r="CE224" s="290">
        <v>225</v>
      </c>
      <c r="CF224" s="290">
        <v>10</v>
      </c>
      <c r="CG224" s="290">
        <v>1</v>
      </c>
      <c r="CH224" s="290">
        <v>-7</v>
      </c>
      <c r="CI224" s="290">
        <v>-2724</v>
      </c>
      <c r="CJ224" s="290">
        <v>-7266</v>
      </c>
      <c r="CK224" s="290">
        <f>+innut22!E230+innut22!S230</f>
        <v>198920.23943756573</v>
      </c>
      <c r="CL224" s="290">
        <v>0</v>
      </c>
      <c r="CM224" s="290">
        <v>0</v>
      </c>
      <c r="CN224" s="290">
        <v>0</v>
      </c>
      <c r="CP224" s="290">
        <f>+innut23!E230</f>
        <v>186175.45316591821</v>
      </c>
      <c r="CQ224" s="290"/>
      <c r="CV224" s="85">
        <f t="shared" si="4"/>
        <v>1.133</v>
      </c>
    </row>
    <row r="225" spans="1:100" ht="13">
      <c r="A225" s="1">
        <v>4214</v>
      </c>
      <c r="B225" s="2" t="s">
        <v>933</v>
      </c>
      <c r="C225" s="289">
        <v>6098</v>
      </c>
      <c r="D225" s="290">
        <v>138</v>
      </c>
      <c r="E225" s="290">
        <v>306</v>
      </c>
      <c r="F225" s="290">
        <v>818</v>
      </c>
      <c r="G225" s="290">
        <v>505</v>
      </c>
      <c r="H225" s="290">
        <v>3437</v>
      </c>
      <c r="I225" s="290">
        <v>673</v>
      </c>
      <c r="J225" s="290">
        <v>177</v>
      </c>
      <c r="K225" s="290">
        <v>31</v>
      </c>
      <c r="L225" s="290">
        <v>50</v>
      </c>
      <c r="M225" s="290">
        <v>352</v>
      </c>
      <c r="N225" s="290">
        <v>102</v>
      </c>
      <c r="O225" s="290">
        <v>38</v>
      </c>
      <c r="P225" s="624">
        <v>34204.398999999998</v>
      </c>
      <c r="Q225" s="624">
        <v>21252.943666669998</v>
      </c>
      <c r="R225" s="624">
        <v>20</v>
      </c>
      <c r="S225" s="290">
        <v>80</v>
      </c>
      <c r="T225" s="290">
        <v>463</v>
      </c>
      <c r="U225" s="958">
        <v>1.6517546790322224E-3</v>
      </c>
      <c r="V225" s="290">
        <v>595.77599998000005</v>
      </c>
      <c r="W225" s="765">
        <v>0.64230125999999998</v>
      </c>
      <c r="X225" s="290">
        <v>0</v>
      </c>
      <c r="Y225" s="290"/>
      <c r="Z225" s="290">
        <f>innut22!E231</f>
        <v>177706.60778855349</v>
      </c>
      <c r="AA225" s="290">
        <v>0</v>
      </c>
      <c r="AB225" s="290">
        <v>260</v>
      </c>
      <c r="AC225" s="290">
        <v>421</v>
      </c>
      <c r="AD225" s="290"/>
      <c r="AE225" s="290">
        <v>0</v>
      </c>
      <c r="AF225" s="290">
        <v>0</v>
      </c>
      <c r="AG225" s="290">
        <v>6085</v>
      </c>
      <c r="AH225" s="290">
        <v>1206</v>
      </c>
      <c r="AI225" s="290">
        <v>114</v>
      </c>
      <c r="AJ225" s="290">
        <v>781.21500000000003</v>
      </c>
      <c r="AK225" s="290">
        <v>0</v>
      </c>
      <c r="AL225" s="290">
        <v>0</v>
      </c>
      <c r="AM225" s="957">
        <v>0.20132992</v>
      </c>
      <c r="AN225" s="290">
        <v>0</v>
      </c>
      <c r="AO225" s="290">
        <v>1229.97346728</v>
      </c>
      <c r="AP225" s="290">
        <v>0</v>
      </c>
      <c r="AQ225" s="290">
        <v>0</v>
      </c>
      <c r="AR225" s="290">
        <v>-293.54430786</v>
      </c>
      <c r="AS225" s="290">
        <v>1395</v>
      </c>
      <c r="AT225" s="290">
        <v>359</v>
      </c>
      <c r="AU225" s="290">
        <v>76</v>
      </c>
      <c r="AV225" s="766">
        <v>140543</v>
      </c>
      <c r="AW225" s="290"/>
      <c r="AX225" s="766">
        <v>43.333350000000003</v>
      </c>
      <c r="AY225" s="290">
        <v>990</v>
      </c>
      <c r="AZ225" s="290">
        <v>266</v>
      </c>
      <c r="BA225" s="290">
        <v>152</v>
      </c>
      <c r="BB225" s="290">
        <v>0</v>
      </c>
      <c r="BC225" s="290">
        <v>-18804</v>
      </c>
      <c r="BD225" s="290"/>
      <c r="BE225" s="290">
        <v>175189.79181709001</v>
      </c>
      <c r="BF225" s="290">
        <v>0</v>
      </c>
      <c r="BG225" s="290">
        <v>5507.5968569306224</v>
      </c>
      <c r="BH225" s="290">
        <v>296.73583065911924</v>
      </c>
      <c r="BI225" s="290">
        <v>1627</v>
      </c>
      <c r="BJ225" s="290"/>
      <c r="BK225" s="290"/>
      <c r="BL225" s="290"/>
      <c r="BM225" s="290">
        <v>0</v>
      </c>
      <c r="BN225" s="290">
        <v>2340.3414400000001</v>
      </c>
      <c r="BO225" s="290">
        <v>-2835.3278753014029</v>
      </c>
      <c r="BP225" s="290">
        <v>384.161</v>
      </c>
      <c r="BQ225" s="290">
        <v>-206.023</v>
      </c>
      <c r="BR225" s="290">
        <v>-130.69757361649641</v>
      </c>
      <c r="BS225" s="290">
        <v>1.194</v>
      </c>
      <c r="BT225" s="290"/>
      <c r="BU225" s="290">
        <v>0</v>
      </c>
      <c r="BV225" s="290">
        <v>2000</v>
      </c>
      <c r="BW225" s="290">
        <v>-1397</v>
      </c>
      <c r="BX225" s="290">
        <v>832</v>
      </c>
      <c r="BY225" s="290">
        <v>207</v>
      </c>
      <c r="BZ225" s="290">
        <v>-1062</v>
      </c>
      <c r="CA225" s="290">
        <v>-1.6479910821009298</v>
      </c>
      <c r="CB225" s="290">
        <v>333</v>
      </c>
      <c r="CC225" s="290">
        <v>791</v>
      </c>
      <c r="CD225" s="290">
        <v>12</v>
      </c>
      <c r="CE225" s="290">
        <v>225</v>
      </c>
      <c r="CF225" s="290">
        <v>10</v>
      </c>
      <c r="CG225" s="290">
        <v>1</v>
      </c>
      <c r="CH225" s="290">
        <v>-6</v>
      </c>
      <c r="CI225" s="290">
        <v>-2716</v>
      </c>
      <c r="CJ225" s="290">
        <v>-7160</v>
      </c>
      <c r="CK225" s="290">
        <f>+innut22!E231+innut22!S231</f>
        <v>177706.60778855349</v>
      </c>
      <c r="CL225" s="290">
        <v>0</v>
      </c>
      <c r="CM225" s="290">
        <v>0</v>
      </c>
      <c r="CN225" s="290">
        <v>0</v>
      </c>
      <c r="CP225" s="290">
        <f>+innut23!E231</f>
        <v>168360.35890010436</v>
      </c>
      <c r="CQ225" s="290"/>
      <c r="CV225" s="85">
        <f t="shared" si="4"/>
        <v>1.1259999999999999</v>
      </c>
    </row>
    <row r="226" spans="1:100" ht="13">
      <c r="A226" s="1">
        <v>4215</v>
      </c>
      <c r="B226" s="2" t="s">
        <v>934</v>
      </c>
      <c r="C226" s="289">
        <v>11279</v>
      </c>
      <c r="D226" s="290">
        <v>190</v>
      </c>
      <c r="E226" s="290">
        <v>504</v>
      </c>
      <c r="F226" s="290">
        <v>1579</v>
      </c>
      <c r="G226" s="290">
        <v>929</v>
      </c>
      <c r="H226" s="290">
        <v>6172</v>
      </c>
      <c r="I226" s="290">
        <v>1416</v>
      </c>
      <c r="J226" s="290">
        <v>407</v>
      </c>
      <c r="K226" s="290">
        <v>82</v>
      </c>
      <c r="L226" s="290">
        <v>79</v>
      </c>
      <c r="M226" s="290">
        <v>703</v>
      </c>
      <c r="N226" s="290">
        <v>283</v>
      </c>
      <c r="O226" s="290">
        <v>68</v>
      </c>
      <c r="P226" s="624">
        <v>76891.216</v>
      </c>
      <c r="Q226" s="624">
        <v>16116.569</v>
      </c>
      <c r="R226" s="624">
        <v>35</v>
      </c>
      <c r="S226" s="290">
        <v>127</v>
      </c>
      <c r="T226" s="290">
        <v>841</v>
      </c>
      <c r="U226" s="958">
        <v>1.1887991868122865E-3</v>
      </c>
      <c r="V226" s="290">
        <v>-1306.66426183</v>
      </c>
      <c r="W226" s="765">
        <v>0.57766839000000003</v>
      </c>
      <c r="X226" s="290">
        <v>930</v>
      </c>
      <c r="Y226" s="290"/>
      <c r="Z226" s="290">
        <f>innut22!E232</f>
        <v>409304.59342403105</v>
      </c>
      <c r="AA226" s="290">
        <v>0</v>
      </c>
      <c r="AB226" s="290">
        <v>327</v>
      </c>
      <c r="AC226" s="290">
        <v>853</v>
      </c>
      <c r="AD226" s="290"/>
      <c r="AE226" s="290">
        <v>0</v>
      </c>
      <c r="AF226" s="290">
        <v>0</v>
      </c>
      <c r="AG226" s="290">
        <v>11279</v>
      </c>
      <c r="AH226" s="290">
        <v>2139</v>
      </c>
      <c r="AI226" s="290">
        <v>845</v>
      </c>
      <c r="AJ226" s="290">
        <v>0</v>
      </c>
      <c r="AK226" s="290">
        <v>0</v>
      </c>
      <c r="AL226" s="290">
        <v>0</v>
      </c>
      <c r="AM226" s="957">
        <v>0.16626674999999999</v>
      </c>
      <c r="AN226" s="290">
        <v>0</v>
      </c>
      <c r="AO226" s="290">
        <v>2224.81583082</v>
      </c>
      <c r="AP226" s="290">
        <v>0</v>
      </c>
      <c r="AQ226" s="290">
        <v>0</v>
      </c>
      <c r="AR226" s="290">
        <v>-544.10620349999999</v>
      </c>
      <c r="AS226" s="290">
        <v>1889</v>
      </c>
      <c r="AT226" s="290">
        <v>640</v>
      </c>
      <c r="AU226" s="290">
        <v>82</v>
      </c>
      <c r="AV226" s="766">
        <v>109919</v>
      </c>
      <c r="AW226" s="290"/>
      <c r="AX226" s="766">
        <v>58.166699999999999</v>
      </c>
      <c r="AY226" s="290">
        <v>2983</v>
      </c>
      <c r="AZ226" s="290">
        <v>396</v>
      </c>
      <c r="BA226" s="290">
        <v>214</v>
      </c>
      <c r="BB226" s="290">
        <v>0</v>
      </c>
      <c r="BC226" s="290">
        <v>-178399</v>
      </c>
      <c r="BD226" s="290"/>
      <c r="BE226" s="290">
        <v>306515.82985975</v>
      </c>
      <c r="BF226" s="290">
        <v>0</v>
      </c>
      <c r="BG226" s="290">
        <v>10186.976869353968</v>
      </c>
      <c r="BH226" s="290">
        <v>548.8493660223362</v>
      </c>
      <c r="BI226" s="290">
        <v>2992</v>
      </c>
      <c r="BJ226" s="290"/>
      <c r="BK226" s="290"/>
      <c r="BL226" s="290"/>
      <c r="BM226" s="290">
        <v>0</v>
      </c>
      <c r="BN226" s="290">
        <v>4233.2853800000003</v>
      </c>
      <c r="BO226" s="290">
        <v>-5255.4910608914579</v>
      </c>
      <c r="BP226" s="290">
        <v>654.09900000000005</v>
      </c>
      <c r="BQ226" s="290">
        <v>-350.78800000000001</v>
      </c>
      <c r="BR226" s="290">
        <v>-242.98161304581367</v>
      </c>
      <c r="BS226" s="290">
        <v>2.121</v>
      </c>
      <c r="BT226" s="290"/>
      <c r="BU226" s="290">
        <v>0</v>
      </c>
      <c r="BV226" s="290">
        <v>2500</v>
      </c>
      <c r="BW226" s="290">
        <v>-2590</v>
      </c>
      <c r="BX226" s="290">
        <v>1561</v>
      </c>
      <c r="BY226" s="290">
        <v>330</v>
      </c>
      <c r="BZ226" s="290">
        <v>-1969</v>
      </c>
      <c r="CA226" s="290">
        <v>229.75529393727129</v>
      </c>
      <c r="CB226" s="290">
        <v>529</v>
      </c>
      <c r="CC226" s="290">
        <v>1467</v>
      </c>
      <c r="CD226" s="290">
        <v>19</v>
      </c>
      <c r="CE226" s="290">
        <v>416</v>
      </c>
      <c r="CF226" s="290">
        <v>17</v>
      </c>
      <c r="CG226" s="290">
        <v>2</v>
      </c>
      <c r="CH226" s="290">
        <v>-11</v>
      </c>
      <c r="CI226" s="290">
        <v>-5024</v>
      </c>
      <c r="CJ226" s="290">
        <v>-14435</v>
      </c>
      <c r="CK226" s="290">
        <f>+innut22!E232+innut22!S232</f>
        <v>409304.59342403105</v>
      </c>
      <c r="CL226" s="290">
        <v>0</v>
      </c>
      <c r="CM226" s="290">
        <v>0</v>
      </c>
      <c r="CN226" s="290">
        <v>0</v>
      </c>
      <c r="CP226" s="290">
        <f>+innut23!E232</f>
        <v>371669.15007896803</v>
      </c>
      <c r="CQ226" s="290"/>
      <c r="CV226" s="85">
        <f t="shared" si="4"/>
        <v>2.0880000000000001</v>
      </c>
    </row>
    <row r="227" spans="1:100" ht="13">
      <c r="A227" s="1">
        <v>4216</v>
      </c>
      <c r="B227" s="2" t="s">
        <v>935</v>
      </c>
      <c r="C227" s="289">
        <v>5342</v>
      </c>
      <c r="D227" s="290">
        <v>110</v>
      </c>
      <c r="E227" s="290">
        <v>267</v>
      </c>
      <c r="F227" s="290">
        <v>809</v>
      </c>
      <c r="G227" s="290">
        <v>449</v>
      </c>
      <c r="H227" s="290">
        <v>2873</v>
      </c>
      <c r="I227" s="290">
        <v>594</v>
      </c>
      <c r="J227" s="290">
        <v>162</v>
      </c>
      <c r="K227" s="290">
        <v>42</v>
      </c>
      <c r="L227" s="290">
        <v>34</v>
      </c>
      <c r="M227" s="290">
        <v>312</v>
      </c>
      <c r="N227" s="290">
        <v>114</v>
      </c>
      <c r="O227" s="290">
        <v>51</v>
      </c>
      <c r="P227" s="624">
        <v>37481.398333329998</v>
      </c>
      <c r="Q227" s="624">
        <v>19200.74733333</v>
      </c>
      <c r="R227" s="624">
        <v>25</v>
      </c>
      <c r="S227" s="290">
        <v>60</v>
      </c>
      <c r="T227" s="290">
        <v>368</v>
      </c>
      <c r="U227" s="958">
        <v>1.9087809985015702E-3</v>
      </c>
      <c r="V227" s="290">
        <v>2309.3108356799999</v>
      </c>
      <c r="W227" s="765">
        <v>0.67115451999999998</v>
      </c>
      <c r="X227" s="290">
        <v>1080</v>
      </c>
      <c r="Y227" s="290"/>
      <c r="Z227" s="290">
        <f>innut22!E233</f>
        <v>151390.31917355387</v>
      </c>
      <c r="AA227" s="290">
        <v>0</v>
      </c>
      <c r="AB227" s="290">
        <v>208</v>
      </c>
      <c r="AC227" s="290">
        <v>145</v>
      </c>
      <c r="AD227" s="290"/>
      <c r="AE227" s="290">
        <v>0</v>
      </c>
      <c r="AF227" s="290">
        <v>0</v>
      </c>
      <c r="AG227" s="290">
        <v>5306</v>
      </c>
      <c r="AH227" s="290">
        <v>1116</v>
      </c>
      <c r="AI227" s="290">
        <v>643</v>
      </c>
      <c r="AJ227" s="290">
        <v>0</v>
      </c>
      <c r="AK227" s="290">
        <v>0</v>
      </c>
      <c r="AL227" s="290">
        <v>0</v>
      </c>
      <c r="AM227" s="957">
        <v>6.847222E-2</v>
      </c>
      <c r="AN227" s="290">
        <v>0</v>
      </c>
      <c r="AO227" s="290">
        <v>1133.40526275</v>
      </c>
      <c r="AP227" s="290">
        <v>0</v>
      </c>
      <c r="AQ227" s="290">
        <v>0</v>
      </c>
      <c r="AR227" s="290">
        <v>-255.96484756999999</v>
      </c>
      <c r="AS227" s="290">
        <v>2107</v>
      </c>
      <c r="AT227" s="290">
        <v>266</v>
      </c>
      <c r="AU227" s="290">
        <v>40</v>
      </c>
      <c r="AV227" s="766">
        <v>173741</v>
      </c>
      <c r="AW227" s="290"/>
      <c r="AX227" s="766">
        <v>24.125</v>
      </c>
      <c r="AY227" s="290">
        <v>964</v>
      </c>
      <c r="AZ227" s="290">
        <v>179</v>
      </c>
      <c r="BA227" s="290">
        <v>119</v>
      </c>
      <c r="BB227" s="290">
        <v>0</v>
      </c>
      <c r="BC227" s="290">
        <v>10795</v>
      </c>
      <c r="BD227" s="290"/>
      <c r="BE227" s="290">
        <v>173960.24277521</v>
      </c>
      <c r="BF227" s="290">
        <v>0</v>
      </c>
      <c r="BG227" s="290">
        <v>4824.7921301612641</v>
      </c>
      <c r="BH227" s="290">
        <v>259.9479841556273</v>
      </c>
      <c r="BI227" s="290">
        <v>1261</v>
      </c>
      <c r="BJ227" s="290"/>
      <c r="BK227" s="290"/>
      <c r="BL227" s="290"/>
      <c r="BM227" s="290">
        <v>0</v>
      </c>
      <c r="BN227" s="290">
        <v>2156.5955600000002</v>
      </c>
      <c r="BO227" s="290">
        <v>-2472.3499928264982</v>
      </c>
      <c r="BP227" s="290">
        <v>326.06</v>
      </c>
      <c r="BQ227" s="290">
        <v>-174.864</v>
      </c>
      <c r="BR227" s="290">
        <v>-128.76882869902434</v>
      </c>
      <c r="BS227" s="290">
        <v>1.0880000000000001</v>
      </c>
      <c r="BT227" s="290"/>
      <c r="BU227" s="290">
        <v>0</v>
      </c>
      <c r="BV227" s="290">
        <v>2000</v>
      </c>
      <c r="BW227" s="290">
        <v>-1218</v>
      </c>
      <c r="BX227" s="290">
        <v>828</v>
      </c>
      <c r="BY227" s="290">
        <v>156</v>
      </c>
      <c r="BZ227" s="290">
        <v>-926</v>
      </c>
      <c r="CA227" s="290">
        <v>48.239261525522323</v>
      </c>
      <c r="CB227" s="290">
        <v>250</v>
      </c>
      <c r="CC227" s="290">
        <v>690</v>
      </c>
      <c r="CD227" s="290">
        <v>9</v>
      </c>
      <c r="CE227" s="290">
        <v>197</v>
      </c>
      <c r="CF227" s="290">
        <v>9</v>
      </c>
      <c r="CG227" s="290">
        <v>1</v>
      </c>
      <c r="CH227" s="290">
        <v>-6</v>
      </c>
      <c r="CI227" s="290">
        <v>-2379</v>
      </c>
      <c r="CJ227" s="290">
        <v>-6295</v>
      </c>
      <c r="CK227" s="290">
        <f>+innut22!E233+innut22!S233</f>
        <v>151390.31917355387</v>
      </c>
      <c r="CL227" s="290">
        <v>0</v>
      </c>
      <c r="CM227" s="290">
        <v>0</v>
      </c>
      <c r="CN227" s="290">
        <v>0</v>
      </c>
      <c r="CP227" s="290">
        <f>+innut23!E233</f>
        <v>141987.53100546208</v>
      </c>
      <c r="CQ227" s="290"/>
      <c r="CV227" s="85">
        <f t="shared" si="4"/>
        <v>0.98199999999999998</v>
      </c>
    </row>
    <row r="228" spans="1:100" ht="13">
      <c r="A228" s="1">
        <v>4217</v>
      </c>
      <c r="B228" s="2" t="s">
        <v>936</v>
      </c>
      <c r="C228" s="289">
        <v>1801</v>
      </c>
      <c r="D228" s="290">
        <v>38</v>
      </c>
      <c r="E228" s="290">
        <v>85</v>
      </c>
      <c r="F228" s="290">
        <v>216</v>
      </c>
      <c r="G228" s="290">
        <v>145</v>
      </c>
      <c r="H228" s="290">
        <v>950</v>
      </c>
      <c r="I228" s="290">
        <v>279</v>
      </c>
      <c r="J228" s="290">
        <v>96</v>
      </c>
      <c r="K228" s="290">
        <v>11</v>
      </c>
      <c r="L228" s="290">
        <v>17</v>
      </c>
      <c r="M228" s="290">
        <v>179</v>
      </c>
      <c r="N228" s="290">
        <v>81</v>
      </c>
      <c r="O228" s="290">
        <v>26</v>
      </c>
      <c r="P228" s="624">
        <v>19004.765666669999</v>
      </c>
      <c r="Q228" s="624">
        <v>10977.08366667</v>
      </c>
      <c r="R228" s="624">
        <v>26</v>
      </c>
      <c r="S228" s="290">
        <v>28</v>
      </c>
      <c r="T228" s="290">
        <v>161</v>
      </c>
      <c r="U228" s="958">
        <v>1.454495372157031E-3</v>
      </c>
      <c r="V228" s="290">
        <v>1135.9049214199999</v>
      </c>
      <c r="W228" s="765">
        <v>1</v>
      </c>
      <c r="X228" s="290">
        <v>930</v>
      </c>
      <c r="Y228" s="290"/>
      <c r="Z228" s="290">
        <f>innut22!E234</f>
        <v>54744.071532264636</v>
      </c>
      <c r="AA228" s="290">
        <v>0</v>
      </c>
      <c r="AB228" s="290">
        <v>82</v>
      </c>
      <c r="AC228" s="290">
        <v>145</v>
      </c>
      <c r="AD228" s="290"/>
      <c r="AE228" s="290">
        <v>0</v>
      </c>
      <c r="AF228" s="290">
        <v>0</v>
      </c>
      <c r="AG228" s="290">
        <v>1820</v>
      </c>
      <c r="AH228" s="290">
        <v>322</v>
      </c>
      <c r="AI228" s="290">
        <v>0</v>
      </c>
      <c r="AJ228" s="290">
        <v>0</v>
      </c>
      <c r="AK228" s="290">
        <v>0</v>
      </c>
      <c r="AL228" s="290">
        <v>0</v>
      </c>
      <c r="AM228" s="957">
        <v>5.5585710000000003E-2</v>
      </c>
      <c r="AN228" s="290">
        <v>0</v>
      </c>
      <c r="AO228" s="290">
        <v>501.57452932000001</v>
      </c>
      <c r="AP228" s="290">
        <v>0</v>
      </c>
      <c r="AQ228" s="290">
        <v>0</v>
      </c>
      <c r="AR228" s="290">
        <v>-87.797968819999994</v>
      </c>
      <c r="AS228" s="290">
        <v>559</v>
      </c>
      <c r="AT228" s="290">
        <v>101</v>
      </c>
      <c r="AU228" s="290">
        <v>21</v>
      </c>
      <c r="AV228" s="766">
        <v>98878</v>
      </c>
      <c r="AW228" s="290"/>
      <c r="AX228" s="766">
        <v>10.00005</v>
      </c>
      <c r="AY228" s="290">
        <v>323</v>
      </c>
      <c r="AZ228" s="290">
        <v>87</v>
      </c>
      <c r="BA228" s="290">
        <v>27</v>
      </c>
      <c r="BB228" s="290">
        <v>4827</v>
      </c>
      <c r="BC228" s="290">
        <v>3451</v>
      </c>
      <c r="BD228" s="290"/>
      <c r="BE228" s="290">
        <v>99681.248301250002</v>
      </c>
      <c r="BF228" s="290">
        <v>0</v>
      </c>
      <c r="BG228" s="290">
        <v>1626.6287207825601</v>
      </c>
      <c r="BH228" s="290">
        <v>87.638771895223655</v>
      </c>
      <c r="BI228" s="290">
        <v>467</v>
      </c>
      <c r="BJ228" s="290"/>
      <c r="BK228" s="290"/>
      <c r="BL228" s="290"/>
      <c r="BM228" s="290">
        <v>0</v>
      </c>
      <c r="BN228" s="290">
        <v>954.37477999999999</v>
      </c>
      <c r="BO228" s="290">
        <v>-848.03561759220258</v>
      </c>
      <c r="BP228" s="290">
        <v>106.146</v>
      </c>
      <c r="BQ228" s="290">
        <v>-56.926000000000002</v>
      </c>
      <c r="BR228" s="290">
        <v>-42.061481466134019</v>
      </c>
      <c r="BS228" s="290">
        <v>0.53900000000000003</v>
      </c>
      <c r="BT228" s="290"/>
      <c r="BU228" s="290">
        <v>0</v>
      </c>
      <c r="BV228" s="290">
        <v>1000</v>
      </c>
      <c r="BW228" s="290">
        <v>-418</v>
      </c>
      <c r="BX228" s="290">
        <v>261</v>
      </c>
      <c r="BY228" s="290">
        <v>72</v>
      </c>
      <c r="BZ228" s="290">
        <v>-318</v>
      </c>
      <c r="CA228" s="290">
        <v>90.963319058336566</v>
      </c>
      <c r="CB228" s="290">
        <v>116</v>
      </c>
      <c r="CC228" s="290">
        <v>237</v>
      </c>
      <c r="CD228" s="290">
        <v>4</v>
      </c>
      <c r="CE228" s="290">
        <v>66</v>
      </c>
      <c r="CF228" s="290">
        <v>4</v>
      </c>
      <c r="CG228" s="290">
        <v>0</v>
      </c>
      <c r="CH228" s="290">
        <v>-3</v>
      </c>
      <c r="CI228" s="290">
        <v>-802</v>
      </c>
      <c r="CJ228" s="290">
        <v>-2211</v>
      </c>
      <c r="CK228" s="290">
        <f>+innut22!E234+innut22!S234</f>
        <v>54744.071532264636</v>
      </c>
      <c r="CL228" s="290">
        <v>0</v>
      </c>
      <c r="CM228" s="290">
        <v>0</v>
      </c>
      <c r="CN228" s="290">
        <v>0</v>
      </c>
      <c r="CP228" s="290">
        <f>+innut23!E234</f>
        <v>50680.687873814932</v>
      </c>
      <c r="CQ228" s="290"/>
      <c r="CV228" s="85">
        <f t="shared" si="4"/>
        <v>0.33700000000000002</v>
      </c>
    </row>
    <row r="229" spans="1:100" ht="13">
      <c r="A229" s="1">
        <v>4218</v>
      </c>
      <c r="B229" s="2" t="s">
        <v>937</v>
      </c>
      <c r="C229" s="289">
        <v>1323</v>
      </c>
      <c r="D229" s="290">
        <v>34</v>
      </c>
      <c r="E229" s="290">
        <v>67</v>
      </c>
      <c r="F229" s="290">
        <v>195</v>
      </c>
      <c r="G229" s="290">
        <v>96</v>
      </c>
      <c r="H229" s="290">
        <v>749</v>
      </c>
      <c r="I229" s="290">
        <v>134</v>
      </c>
      <c r="J229" s="290">
        <v>34</v>
      </c>
      <c r="K229" s="290">
        <v>9</v>
      </c>
      <c r="L229" s="290">
        <v>13</v>
      </c>
      <c r="M229" s="290">
        <v>66</v>
      </c>
      <c r="N229" s="290">
        <v>29</v>
      </c>
      <c r="O229" s="290">
        <v>28</v>
      </c>
      <c r="P229" s="624">
        <v>11695.892666670001</v>
      </c>
      <c r="Q229" s="624">
        <v>9251.5503333300003</v>
      </c>
      <c r="R229" s="624">
        <v>5</v>
      </c>
      <c r="S229" s="290">
        <v>19</v>
      </c>
      <c r="T229" s="290">
        <v>109</v>
      </c>
      <c r="U229" s="958">
        <v>6.988557214006486E-4</v>
      </c>
      <c r="V229" s="290">
        <v>890.68845166000006</v>
      </c>
      <c r="W229" s="765">
        <v>0.82956534999999998</v>
      </c>
      <c r="X229" s="290">
        <v>620</v>
      </c>
      <c r="Y229" s="290"/>
      <c r="Z229" s="290">
        <f>innut22!E235</f>
        <v>37778.166008091604</v>
      </c>
      <c r="AA229" s="290">
        <v>0</v>
      </c>
      <c r="AB229" s="290">
        <v>72</v>
      </c>
      <c r="AC229" s="290">
        <v>0</v>
      </c>
      <c r="AD229" s="290"/>
      <c r="AE229" s="290">
        <v>0</v>
      </c>
      <c r="AF229" s="290">
        <v>0</v>
      </c>
      <c r="AG229" s="290">
        <v>1318</v>
      </c>
      <c r="AH229" s="290">
        <v>270</v>
      </c>
      <c r="AI229" s="290">
        <v>15</v>
      </c>
      <c r="AJ229" s="290">
        <v>0</v>
      </c>
      <c r="AK229" s="290">
        <v>278</v>
      </c>
      <c r="AL229" s="290">
        <v>0</v>
      </c>
      <c r="AM229" s="957">
        <v>4.1590710000000003E-2</v>
      </c>
      <c r="AN229" s="290">
        <v>0</v>
      </c>
      <c r="AO229" s="290">
        <v>332.52326343999999</v>
      </c>
      <c r="AP229" s="290">
        <v>0</v>
      </c>
      <c r="AQ229" s="290">
        <v>0</v>
      </c>
      <c r="AR229" s="290">
        <v>-63.581166430000003</v>
      </c>
      <c r="AS229" s="290">
        <v>440</v>
      </c>
      <c r="AT229" s="290">
        <v>87</v>
      </c>
      <c r="AU229" s="290">
        <v>12</v>
      </c>
      <c r="AV229" s="766">
        <v>62403</v>
      </c>
      <c r="AW229" s="290"/>
      <c r="AX229" s="766">
        <v>9.7916500000000006</v>
      </c>
      <c r="AY229" s="290">
        <v>166</v>
      </c>
      <c r="AZ229" s="290">
        <v>71</v>
      </c>
      <c r="BA229" s="290">
        <v>43</v>
      </c>
      <c r="BB229" s="290">
        <v>3017</v>
      </c>
      <c r="BC229" s="290">
        <v>3032</v>
      </c>
      <c r="BD229" s="290"/>
      <c r="BE229" s="290">
        <v>62611.026690079998</v>
      </c>
      <c r="BF229" s="290">
        <v>0</v>
      </c>
      <c r="BG229" s="290">
        <v>1194.9082718463781</v>
      </c>
      <c r="BH229" s="290">
        <v>64.378731381110981</v>
      </c>
      <c r="BI229" s="290">
        <v>548</v>
      </c>
      <c r="BJ229" s="290"/>
      <c r="BK229" s="290"/>
      <c r="BL229" s="290"/>
      <c r="BM229" s="290">
        <v>0</v>
      </c>
      <c r="BN229" s="290">
        <v>632.71118000000001</v>
      </c>
      <c r="BO229" s="290">
        <v>-614.12689230028741</v>
      </c>
      <c r="BP229" s="290">
        <v>83.15</v>
      </c>
      <c r="BQ229" s="290">
        <v>-44.593000000000004</v>
      </c>
      <c r="BR229" s="290">
        <v>-36.528287699712607</v>
      </c>
      <c r="BS229" s="290">
        <v>0.38700000000000001</v>
      </c>
      <c r="BT229" s="290"/>
      <c r="BU229" s="290">
        <v>0</v>
      </c>
      <c r="BV229" s="290">
        <v>1000</v>
      </c>
      <c r="BW229" s="290">
        <v>-303</v>
      </c>
      <c r="BX229" s="290">
        <v>231</v>
      </c>
      <c r="BY229" s="290">
        <v>49</v>
      </c>
      <c r="BZ229" s="290">
        <v>-230</v>
      </c>
      <c r="CA229" s="290">
        <v>0</v>
      </c>
      <c r="CB229" s="290">
        <v>79</v>
      </c>
      <c r="CC229" s="290">
        <v>171</v>
      </c>
      <c r="CD229" s="290">
        <v>3</v>
      </c>
      <c r="CE229" s="290">
        <v>49</v>
      </c>
      <c r="CF229" s="290">
        <v>3</v>
      </c>
      <c r="CG229" s="290">
        <v>0</v>
      </c>
      <c r="CH229" s="290">
        <v>-2</v>
      </c>
      <c r="CI229" s="290">
        <v>-589</v>
      </c>
      <c r="CJ229" s="290">
        <v>-1578</v>
      </c>
      <c r="CK229" s="290">
        <f>+innut22!E235+innut22!S235</f>
        <v>37778.166008091604</v>
      </c>
      <c r="CL229" s="290">
        <v>243.99382406451264</v>
      </c>
      <c r="CM229" s="290">
        <v>206.63078017229543</v>
      </c>
      <c r="CN229" s="290">
        <v>166.96866049530934</v>
      </c>
      <c r="CP229" s="290">
        <f>+innut23!E235</f>
        <v>36489.970131896356</v>
      </c>
      <c r="CQ229" s="290"/>
      <c r="CV229" s="85">
        <f t="shared" si="4"/>
        <v>0.24399999999999999</v>
      </c>
    </row>
    <row r="230" spans="1:100" ht="13">
      <c r="A230" s="1">
        <v>4219</v>
      </c>
      <c r="B230" s="2" t="s">
        <v>938</v>
      </c>
      <c r="C230" s="289">
        <v>3653</v>
      </c>
      <c r="D230" s="290">
        <v>61</v>
      </c>
      <c r="E230" s="290">
        <v>151</v>
      </c>
      <c r="F230" s="290">
        <v>498</v>
      </c>
      <c r="G230" s="290">
        <v>294</v>
      </c>
      <c r="H230" s="290">
        <v>1979</v>
      </c>
      <c r="I230" s="290">
        <v>492</v>
      </c>
      <c r="J230" s="290">
        <v>135</v>
      </c>
      <c r="K230" s="290">
        <v>35</v>
      </c>
      <c r="L230" s="290">
        <v>33</v>
      </c>
      <c r="M230" s="290">
        <v>292</v>
      </c>
      <c r="N230" s="290">
        <v>139</v>
      </c>
      <c r="O230" s="290">
        <v>37</v>
      </c>
      <c r="P230" s="624">
        <v>13308.314</v>
      </c>
      <c r="Q230" s="624">
        <v>9252.1333333300008</v>
      </c>
      <c r="R230" s="624">
        <v>13</v>
      </c>
      <c r="S230" s="290">
        <v>52</v>
      </c>
      <c r="T230" s="290">
        <v>342</v>
      </c>
      <c r="U230" s="958">
        <v>1.6054708123179702E-3</v>
      </c>
      <c r="V230" s="290">
        <v>2116.3093586999998</v>
      </c>
      <c r="W230" s="765">
        <v>0.74759717999999997</v>
      </c>
      <c r="X230" s="290">
        <v>260</v>
      </c>
      <c r="Y230" s="290"/>
      <c r="Z230" s="290">
        <f>innut22!E236</f>
        <v>108043.3149560809</v>
      </c>
      <c r="AA230" s="290">
        <v>0</v>
      </c>
      <c r="AB230" s="290">
        <v>122</v>
      </c>
      <c r="AC230" s="290">
        <v>23</v>
      </c>
      <c r="AD230" s="290"/>
      <c r="AE230" s="290">
        <v>0</v>
      </c>
      <c r="AF230" s="290">
        <v>0</v>
      </c>
      <c r="AG230" s="290">
        <v>3645</v>
      </c>
      <c r="AH230" s="290">
        <v>686</v>
      </c>
      <c r="AI230" s="290">
        <v>696</v>
      </c>
      <c r="AJ230" s="290">
        <v>0</v>
      </c>
      <c r="AK230" s="290">
        <v>0</v>
      </c>
      <c r="AL230" s="290">
        <v>0</v>
      </c>
      <c r="AM230" s="957">
        <v>0.10584652999999999</v>
      </c>
      <c r="AN230" s="290">
        <v>0</v>
      </c>
      <c r="AO230" s="290">
        <v>790.08781699999997</v>
      </c>
      <c r="AP230" s="290">
        <v>0</v>
      </c>
      <c r="AQ230" s="290">
        <v>0</v>
      </c>
      <c r="AR230" s="290">
        <v>161.88544381</v>
      </c>
      <c r="AS230" s="290">
        <v>1166</v>
      </c>
      <c r="AT230" s="290">
        <v>197</v>
      </c>
      <c r="AU230" s="290">
        <v>31</v>
      </c>
      <c r="AV230" s="766">
        <v>124989</v>
      </c>
      <c r="AW230" s="290"/>
      <c r="AX230" s="766">
        <v>13.333349999999999</v>
      </c>
      <c r="AY230" s="290">
        <v>704</v>
      </c>
      <c r="AZ230" s="290">
        <v>227</v>
      </c>
      <c r="BA230" s="290">
        <v>100</v>
      </c>
      <c r="BB230" s="290">
        <v>0</v>
      </c>
      <c r="BC230" s="290">
        <v>6793</v>
      </c>
      <c r="BD230" s="290"/>
      <c r="BE230" s="290">
        <v>122881.07379413</v>
      </c>
      <c r="BF230" s="290">
        <v>0</v>
      </c>
      <c r="BG230" s="290">
        <v>3299.3196651963863</v>
      </c>
      <c r="BH230" s="290">
        <v>177.75926359425429</v>
      </c>
      <c r="BI230" s="290">
        <v>709</v>
      </c>
      <c r="BJ230" s="290"/>
      <c r="BK230" s="290"/>
      <c r="BL230" s="290"/>
      <c r="BM230" s="290">
        <v>0</v>
      </c>
      <c r="BN230" s="290">
        <v>1503.34566</v>
      </c>
      <c r="BO230" s="290">
        <v>-1698.4010033646036</v>
      </c>
      <c r="BP230" s="290">
        <v>187.95599999999999</v>
      </c>
      <c r="BQ230" s="290">
        <v>-100.8</v>
      </c>
      <c r="BR230" s="290">
        <v>-80.176342482073878</v>
      </c>
      <c r="BS230" s="290">
        <v>0.78</v>
      </c>
      <c r="BT230" s="290"/>
      <c r="BU230" s="290">
        <v>0</v>
      </c>
      <c r="BV230" s="290">
        <v>1500</v>
      </c>
      <c r="BW230" s="290">
        <v>-837</v>
      </c>
      <c r="BX230" s="290">
        <v>513</v>
      </c>
      <c r="BY230" s="290">
        <v>136</v>
      </c>
      <c r="BZ230" s="290">
        <v>-636</v>
      </c>
      <c r="CA230" s="290">
        <v>488.29568584667754</v>
      </c>
      <c r="CB230" s="290">
        <v>217</v>
      </c>
      <c r="CC230" s="290">
        <v>474</v>
      </c>
      <c r="CD230" s="290">
        <v>8</v>
      </c>
      <c r="CE230" s="290">
        <v>135</v>
      </c>
      <c r="CF230" s="290">
        <v>6</v>
      </c>
      <c r="CG230" s="290">
        <v>1</v>
      </c>
      <c r="CH230" s="290">
        <v>-4</v>
      </c>
      <c r="CI230" s="290">
        <v>-1627</v>
      </c>
      <c r="CJ230" s="290">
        <v>-4367</v>
      </c>
      <c r="CK230" s="290">
        <f>+innut22!E236+innut22!S236</f>
        <v>108043.3149560809</v>
      </c>
      <c r="CL230" s="290">
        <v>0</v>
      </c>
      <c r="CM230" s="290">
        <v>0</v>
      </c>
      <c r="CN230" s="290">
        <v>0</v>
      </c>
      <c r="CP230" s="290">
        <f>+innut23!E236</f>
        <v>99784.641849458509</v>
      </c>
      <c r="CQ230" s="290"/>
      <c r="CV230" s="85">
        <f t="shared" si="4"/>
        <v>0.67500000000000004</v>
      </c>
    </row>
    <row r="231" spans="1:100" ht="13">
      <c r="A231" s="1">
        <v>4220</v>
      </c>
      <c r="B231" s="2" t="s">
        <v>939</v>
      </c>
      <c r="C231" s="289">
        <v>1134</v>
      </c>
      <c r="D231" s="290">
        <v>14</v>
      </c>
      <c r="E231" s="290">
        <v>41</v>
      </c>
      <c r="F231" s="290">
        <v>113</v>
      </c>
      <c r="G231" s="290">
        <v>94</v>
      </c>
      <c r="H231" s="290">
        <v>612</v>
      </c>
      <c r="I231" s="290">
        <v>206</v>
      </c>
      <c r="J231" s="290">
        <v>47</v>
      </c>
      <c r="K231" s="290">
        <v>10</v>
      </c>
      <c r="L231" s="290">
        <v>9</v>
      </c>
      <c r="M231" s="290">
        <v>115</v>
      </c>
      <c r="N231" s="290">
        <v>4</v>
      </c>
      <c r="O231" s="290">
        <v>9</v>
      </c>
      <c r="P231" s="624">
        <v>19544.042000000001</v>
      </c>
      <c r="Q231" s="624">
        <v>6186.8643333299997</v>
      </c>
      <c r="R231" s="624">
        <v>6</v>
      </c>
      <c r="S231" s="290">
        <v>14</v>
      </c>
      <c r="T231" s="290">
        <v>122</v>
      </c>
      <c r="U231" s="958">
        <v>1.2823639441583549E-3</v>
      </c>
      <c r="V231" s="290">
        <v>791.53753405999998</v>
      </c>
      <c r="W231" s="765">
        <v>1</v>
      </c>
      <c r="X231" s="290">
        <v>770</v>
      </c>
      <c r="Y231" s="290"/>
      <c r="Z231" s="290">
        <f>innut22!E237</f>
        <v>36750.718774240588</v>
      </c>
      <c r="AA231" s="290">
        <v>0</v>
      </c>
      <c r="AB231" s="290">
        <v>43</v>
      </c>
      <c r="AC231" s="290">
        <v>52</v>
      </c>
      <c r="AD231" s="290"/>
      <c r="AE231" s="290">
        <v>0</v>
      </c>
      <c r="AF231" s="290">
        <v>0</v>
      </c>
      <c r="AG231" s="290">
        <v>1137</v>
      </c>
      <c r="AH231" s="290">
        <v>170</v>
      </c>
      <c r="AI231" s="290">
        <v>28</v>
      </c>
      <c r="AJ231" s="290">
        <v>0</v>
      </c>
      <c r="AK231" s="290">
        <v>0</v>
      </c>
      <c r="AL231" s="290">
        <v>0</v>
      </c>
      <c r="AM231" s="957">
        <v>2.1715060000000001E-2</v>
      </c>
      <c r="AN231" s="290">
        <v>0</v>
      </c>
      <c r="AO231" s="290">
        <v>295.50696820000002</v>
      </c>
      <c r="AP231" s="290">
        <v>0</v>
      </c>
      <c r="AQ231" s="290">
        <v>0</v>
      </c>
      <c r="AR231" s="290">
        <v>471.00931781999998</v>
      </c>
      <c r="AS231" s="290">
        <v>353</v>
      </c>
      <c r="AT231" s="290">
        <v>59</v>
      </c>
      <c r="AU231" s="290">
        <v>8</v>
      </c>
      <c r="AV231" s="766">
        <v>60688</v>
      </c>
      <c r="AW231" s="290"/>
      <c r="AX231" s="766">
        <v>7.8749500000000001</v>
      </c>
      <c r="AY231" s="290">
        <v>260</v>
      </c>
      <c r="AZ231" s="290">
        <v>60</v>
      </c>
      <c r="BA231" s="290">
        <v>28</v>
      </c>
      <c r="BB231" s="290">
        <v>6034</v>
      </c>
      <c r="BC231" s="290">
        <v>2309</v>
      </c>
      <c r="BD231" s="290"/>
      <c r="BE231" s="290">
        <v>60077.262480450001</v>
      </c>
      <c r="BF231" s="290">
        <v>0</v>
      </c>
      <c r="BG231" s="290">
        <v>1024.2070901540385</v>
      </c>
      <c r="BH231" s="290">
        <v>55.181769755237994</v>
      </c>
      <c r="BI231" s="290">
        <v>222</v>
      </c>
      <c r="BJ231" s="290"/>
      <c r="BK231" s="290"/>
      <c r="BL231" s="290"/>
      <c r="BM231" s="290">
        <v>0</v>
      </c>
      <c r="BN231" s="290">
        <v>562.27814000000001</v>
      </c>
      <c r="BO231" s="290">
        <v>-529.78928417710677</v>
      </c>
      <c r="BP231" s="290">
        <v>56.279000000000003</v>
      </c>
      <c r="BQ231" s="290">
        <v>-30.181999999999999</v>
      </c>
      <c r="BR231" s="290">
        <v>-24.788539981481176</v>
      </c>
      <c r="BS231" s="290">
        <v>0.40600000000000003</v>
      </c>
      <c r="BT231" s="290"/>
      <c r="BU231" s="290">
        <v>0</v>
      </c>
      <c r="BV231" s="290">
        <v>1000</v>
      </c>
      <c r="BW231" s="290">
        <v>-261</v>
      </c>
      <c r="BX231" s="290">
        <v>154</v>
      </c>
      <c r="BY231" s="290">
        <v>36</v>
      </c>
      <c r="BZ231" s="290">
        <v>-198</v>
      </c>
      <c r="CA231" s="290">
        <v>-0.20331584141206349</v>
      </c>
      <c r="CB231" s="290">
        <v>58</v>
      </c>
      <c r="CC231" s="290">
        <v>148</v>
      </c>
      <c r="CD231" s="290">
        <v>2</v>
      </c>
      <c r="CE231" s="290">
        <v>42</v>
      </c>
      <c r="CF231" s="290">
        <v>3</v>
      </c>
      <c r="CG231" s="290">
        <v>0</v>
      </c>
      <c r="CH231" s="290">
        <v>-2</v>
      </c>
      <c r="CI231" s="290">
        <v>-505</v>
      </c>
      <c r="CJ231" s="290">
        <v>-1366</v>
      </c>
      <c r="CK231" s="290">
        <f>+innut22!E237+innut22!S237</f>
        <v>36750.718774240588</v>
      </c>
      <c r="CL231" s="290">
        <v>0</v>
      </c>
      <c r="CM231" s="290">
        <v>0</v>
      </c>
      <c r="CN231" s="290">
        <v>0</v>
      </c>
      <c r="CP231" s="290">
        <f>+innut23!E237</f>
        <v>34886.584403721805</v>
      </c>
      <c r="CQ231" s="290"/>
      <c r="CV231" s="85">
        <f t="shared" si="4"/>
        <v>0.21</v>
      </c>
    </row>
    <row r="232" spans="1:100" ht="13">
      <c r="A232" s="1">
        <v>4221</v>
      </c>
      <c r="B232" s="2" t="s">
        <v>940</v>
      </c>
      <c r="C232" s="289">
        <v>1169</v>
      </c>
      <c r="D232" s="290">
        <v>20</v>
      </c>
      <c r="E232" s="290">
        <v>42</v>
      </c>
      <c r="F232" s="290">
        <v>109</v>
      </c>
      <c r="G232" s="290">
        <v>107</v>
      </c>
      <c r="H232" s="290">
        <v>633</v>
      </c>
      <c r="I232" s="290">
        <v>188</v>
      </c>
      <c r="J232" s="290">
        <v>51</v>
      </c>
      <c r="K232" s="290">
        <v>13</v>
      </c>
      <c r="L232" s="290">
        <v>10</v>
      </c>
      <c r="M232" s="290">
        <v>103</v>
      </c>
      <c r="N232" s="290">
        <v>28</v>
      </c>
      <c r="O232" s="290">
        <v>17</v>
      </c>
      <c r="P232" s="624">
        <v>9290.6139999999996</v>
      </c>
      <c r="Q232" s="624">
        <v>3491.12966667</v>
      </c>
      <c r="R232" s="624">
        <v>6</v>
      </c>
      <c r="S232" s="290">
        <v>14</v>
      </c>
      <c r="T232" s="290">
        <v>129</v>
      </c>
      <c r="U232" s="958">
        <v>1.5599951725268084E-3</v>
      </c>
      <c r="V232" s="290">
        <v>667.64809944000001</v>
      </c>
      <c r="W232" s="765">
        <v>1</v>
      </c>
      <c r="X232" s="290">
        <v>0</v>
      </c>
      <c r="Y232" s="290"/>
      <c r="Z232" s="290">
        <f>innut22!E238</f>
        <v>55806.865208857322</v>
      </c>
      <c r="AA232" s="290">
        <v>0</v>
      </c>
      <c r="AB232" s="290">
        <v>32</v>
      </c>
      <c r="AC232" s="290">
        <v>0</v>
      </c>
      <c r="AD232" s="290"/>
      <c r="AE232" s="290">
        <v>0</v>
      </c>
      <c r="AF232" s="290">
        <v>0</v>
      </c>
      <c r="AG232" s="290">
        <v>1163</v>
      </c>
      <c r="AH232" s="290">
        <v>176</v>
      </c>
      <c r="AI232" s="290">
        <v>0</v>
      </c>
      <c r="AJ232" s="290">
        <v>0</v>
      </c>
      <c r="AK232" s="290">
        <v>0</v>
      </c>
      <c r="AL232" s="290">
        <v>0</v>
      </c>
      <c r="AM232" s="957">
        <v>6.9224899999999999E-3</v>
      </c>
      <c r="AN232" s="290">
        <v>0</v>
      </c>
      <c r="AO232" s="290">
        <v>288.00692220000002</v>
      </c>
      <c r="AP232" s="290">
        <v>0</v>
      </c>
      <c r="AQ232" s="290">
        <v>0</v>
      </c>
      <c r="AR232" s="290">
        <v>963.78288439999994</v>
      </c>
      <c r="AS232" s="290">
        <v>355</v>
      </c>
      <c r="AT232" s="290">
        <v>55</v>
      </c>
      <c r="AU232" s="290">
        <v>4</v>
      </c>
      <c r="AV232" s="766">
        <v>51778</v>
      </c>
      <c r="AW232" s="290"/>
      <c r="AX232" s="766">
        <v>5.0416499999999997</v>
      </c>
      <c r="AY232" s="290">
        <v>249</v>
      </c>
      <c r="AZ232" s="290">
        <v>43</v>
      </c>
      <c r="BA232" s="290">
        <v>16</v>
      </c>
      <c r="BB232" s="290">
        <v>0</v>
      </c>
      <c r="BC232" s="290">
        <v>2337</v>
      </c>
      <c r="BD232" s="290"/>
      <c r="BE232" s="290">
        <v>49970.052971279998</v>
      </c>
      <c r="BF232" s="290">
        <v>0</v>
      </c>
      <c r="BG232" s="290">
        <v>1055.8184200970643</v>
      </c>
      <c r="BH232" s="290">
        <v>56.884910797066325</v>
      </c>
      <c r="BI232" s="290">
        <v>176</v>
      </c>
      <c r="BJ232" s="290"/>
      <c r="BK232" s="290"/>
      <c r="BL232" s="290"/>
      <c r="BM232" s="290">
        <v>0</v>
      </c>
      <c r="BN232" s="290">
        <v>548.00738000000001</v>
      </c>
      <c r="BO232" s="290">
        <v>-541.90407871413822</v>
      </c>
      <c r="BP232" s="290">
        <v>54.682000000000002</v>
      </c>
      <c r="BQ232" s="290">
        <v>-29.326000000000001</v>
      </c>
      <c r="BR232" s="290">
        <v>-22.846301285861792</v>
      </c>
      <c r="BS232" s="290">
        <v>0.38700000000000001</v>
      </c>
      <c r="BT232" s="290"/>
      <c r="BU232" s="290">
        <v>0</v>
      </c>
      <c r="BV232" s="290">
        <v>500</v>
      </c>
      <c r="BW232" s="290">
        <v>-267</v>
      </c>
      <c r="BX232" s="290">
        <v>144</v>
      </c>
      <c r="BY232" s="290">
        <v>37</v>
      </c>
      <c r="BZ232" s="290">
        <v>-203</v>
      </c>
      <c r="CA232" s="290">
        <v>0</v>
      </c>
      <c r="CB232" s="290">
        <v>59</v>
      </c>
      <c r="CC232" s="290">
        <v>151</v>
      </c>
      <c r="CD232" s="290">
        <v>2</v>
      </c>
      <c r="CE232" s="290">
        <v>43</v>
      </c>
      <c r="CF232" s="290">
        <v>3</v>
      </c>
      <c r="CG232" s="290">
        <v>0</v>
      </c>
      <c r="CH232" s="290">
        <v>-2</v>
      </c>
      <c r="CI232" s="290">
        <v>-521</v>
      </c>
      <c r="CJ232" s="290">
        <v>-1039</v>
      </c>
      <c r="CK232" s="290">
        <f>+innut22!E238+innut22!S238</f>
        <v>55806.865208857322</v>
      </c>
      <c r="CL232" s="290">
        <v>0</v>
      </c>
      <c r="CM232" s="290">
        <v>0</v>
      </c>
      <c r="CN232" s="290">
        <v>0</v>
      </c>
      <c r="CP232" s="290">
        <f>+innut23!E238</f>
        <v>53580.290313153513</v>
      </c>
      <c r="CQ232" s="290"/>
      <c r="CV232" s="85">
        <f t="shared" si="4"/>
        <v>0.215</v>
      </c>
    </row>
    <row r="233" spans="1:100" ht="13">
      <c r="A233" s="1">
        <v>4222</v>
      </c>
      <c r="B233" s="2" t="s">
        <v>941</v>
      </c>
      <c r="C233" s="289">
        <v>935</v>
      </c>
      <c r="D233" s="290">
        <v>17</v>
      </c>
      <c r="E233" s="290">
        <v>29</v>
      </c>
      <c r="F233" s="290">
        <v>98</v>
      </c>
      <c r="G233" s="290">
        <v>79</v>
      </c>
      <c r="H233" s="290">
        <v>573</v>
      </c>
      <c r="I233" s="290">
        <v>104</v>
      </c>
      <c r="J233" s="290">
        <v>22</v>
      </c>
      <c r="K233" s="290">
        <v>5</v>
      </c>
      <c r="L233" s="290">
        <v>7</v>
      </c>
      <c r="M233" s="290">
        <v>49</v>
      </c>
      <c r="N233" s="290">
        <v>19</v>
      </c>
      <c r="O233" s="290">
        <v>8</v>
      </c>
      <c r="P233" s="624">
        <v>10571.781999999999</v>
      </c>
      <c r="Q233" s="624">
        <v>11636.361000000001</v>
      </c>
      <c r="R233" s="624">
        <v>1</v>
      </c>
      <c r="S233" s="290">
        <v>12</v>
      </c>
      <c r="T233" s="290">
        <v>123</v>
      </c>
      <c r="U233" s="958">
        <v>5.7578053586111678E-4</v>
      </c>
      <c r="V233" s="290">
        <v>605.42335789000003</v>
      </c>
      <c r="W233" s="765">
        <v>1</v>
      </c>
      <c r="X233" s="290">
        <v>0</v>
      </c>
      <c r="Y233" s="290"/>
      <c r="Z233" s="290">
        <f>innut22!E239</f>
        <v>89916.272123363306</v>
      </c>
      <c r="AA233" s="290">
        <v>0</v>
      </c>
      <c r="AB233" s="290">
        <v>8</v>
      </c>
      <c r="AC233" s="290">
        <v>0</v>
      </c>
      <c r="AD233" s="290"/>
      <c r="AE233" s="290">
        <v>0</v>
      </c>
      <c r="AF233" s="290">
        <v>0</v>
      </c>
      <c r="AG233" s="290">
        <v>927</v>
      </c>
      <c r="AH233" s="290">
        <v>140</v>
      </c>
      <c r="AI233" s="290">
        <v>0</v>
      </c>
      <c r="AJ233" s="290">
        <v>0</v>
      </c>
      <c r="AK233" s="290">
        <v>0</v>
      </c>
      <c r="AL233" s="290">
        <v>0</v>
      </c>
      <c r="AM233" s="957">
        <v>1.8383630000000001E-2</v>
      </c>
      <c r="AN233" s="290">
        <v>0</v>
      </c>
      <c r="AO233" s="290">
        <v>226.02443127000001</v>
      </c>
      <c r="AP233" s="290">
        <v>0</v>
      </c>
      <c r="AQ233" s="290">
        <v>0</v>
      </c>
      <c r="AR233" s="290">
        <v>1843.6161563799999</v>
      </c>
      <c r="AS233" s="290">
        <v>298</v>
      </c>
      <c r="AT233" s="290">
        <v>50</v>
      </c>
      <c r="AU233" s="290">
        <v>6</v>
      </c>
      <c r="AV233" s="766">
        <v>41507</v>
      </c>
      <c r="AW233" s="290"/>
      <c r="AX233" s="766">
        <v>4.7083000000000004</v>
      </c>
      <c r="AY233" s="290">
        <v>252</v>
      </c>
      <c r="AZ233" s="290">
        <v>53</v>
      </c>
      <c r="BA233" s="290">
        <v>18</v>
      </c>
      <c r="BB233" s="290">
        <v>0</v>
      </c>
      <c r="BC233" s="290">
        <v>2036</v>
      </c>
      <c r="BD233" s="290"/>
      <c r="BE233" s="290">
        <v>38828.501500459999</v>
      </c>
      <c r="BF233" s="290">
        <v>0</v>
      </c>
      <c r="BG233" s="290">
        <v>844.47409990654853</v>
      </c>
      <c r="BH233" s="290">
        <v>45.498196403128325</v>
      </c>
      <c r="BI233" s="290">
        <v>140</v>
      </c>
      <c r="BJ233" s="290"/>
      <c r="BK233" s="290"/>
      <c r="BL233" s="290"/>
      <c r="BM233" s="290">
        <v>0</v>
      </c>
      <c r="BN233" s="290">
        <v>430.06971999999996</v>
      </c>
      <c r="BO233" s="290">
        <v>-431.93902060877576</v>
      </c>
      <c r="BP233" s="290">
        <v>40.716999999999999</v>
      </c>
      <c r="BQ233" s="290">
        <v>-21.835999999999999</v>
      </c>
      <c r="BR233" s="290">
        <v>-22.365699391224197</v>
      </c>
      <c r="BS233" s="290">
        <v>0.35399999999999998</v>
      </c>
      <c r="BT233" s="290"/>
      <c r="BU233" s="290">
        <v>0</v>
      </c>
      <c r="BV233" s="290">
        <v>1000</v>
      </c>
      <c r="BW233" s="290">
        <v>-213</v>
      </c>
      <c r="BX233" s="290">
        <v>141</v>
      </c>
      <c r="BY233" s="290">
        <v>32</v>
      </c>
      <c r="BZ233" s="290">
        <v>-162</v>
      </c>
      <c r="CA233" s="290">
        <v>0</v>
      </c>
      <c r="CB233" s="290">
        <v>51</v>
      </c>
      <c r="CC233" s="290">
        <v>121</v>
      </c>
      <c r="CD233" s="290">
        <v>2</v>
      </c>
      <c r="CE233" s="290">
        <v>34</v>
      </c>
      <c r="CF233" s="290">
        <v>3</v>
      </c>
      <c r="CG233" s="290">
        <v>0</v>
      </c>
      <c r="CH233" s="290">
        <v>-2</v>
      </c>
      <c r="CI233" s="290">
        <v>-416</v>
      </c>
      <c r="CJ233" s="290">
        <v>-1299</v>
      </c>
      <c r="CK233" s="290">
        <f>+innut22!E239+innut22!S239</f>
        <v>89916.272123363306</v>
      </c>
      <c r="CL233" s="290">
        <v>0</v>
      </c>
      <c r="CM233" s="290">
        <v>0</v>
      </c>
      <c r="CN233" s="290">
        <v>0</v>
      </c>
      <c r="CP233" s="290">
        <f>+innut23!E239</f>
        <v>87415.75426033065</v>
      </c>
      <c r="CQ233" s="290"/>
      <c r="CV233" s="85">
        <f t="shared" si="4"/>
        <v>0.17199999999999999</v>
      </c>
    </row>
    <row r="234" spans="1:100" ht="13">
      <c r="A234" s="1">
        <v>4223</v>
      </c>
      <c r="B234" s="2" t="s">
        <v>947</v>
      </c>
      <c r="C234" s="289">
        <v>15123</v>
      </c>
      <c r="D234" s="290">
        <v>322</v>
      </c>
      <c r="E234" s="290">
        <v>729</v>
      </c>
      <c r="F234" s="290">
        <v>1995</v>
      </c>
      <c r="G234" s="290">
        <v>1290</v>
      </c>
      <c r="H234" s="290">
        <v>8648</v>
      </c>
      <c r="I234" s="290">
        <v>1495</v>
      </c>
      <c r="J234" s="290">
        <v>488</v>
      </c>
      <c r="K234" s="290">
        <v>98</v>
      </c>
      <c r="L234" s="290">
        <v>117</v>
      </c>
      <c r="M234" s="290">
        <v>832</v>
      </c>
      <c r="N234" s="290">
        <v>312</v>
      </c>
      <c r="O234" s="290">
        <v>153</v>
      </c>
      <c r="P234" s="624">
        <v>37191.172666669998</v>
      </c>
      <c r="Q234" s="624">
        <v>54270.207666670001</v>
      </c>
      <c r="R234" s="624">
        <v>72</v>
      </c>
      <c r="S234" s="290">
        <v>195</v>
      </c>
      <c r="T234" s="290">
        <v>1224</v>
      </c>
      <c r="U234" s="958">
        <v>1.918083543376905E-3</v>
      </c>
      <c r="V234" s="290">
        <v>4170.5550869199997</v>
      </c>
      <c r="W234" s="765">
        <v>0.59231876999999999</v>
      </c>
      <c r="X234" s="290">
        <v>2940</v>
      </c>
      <c r="Y234" s="290"/>
      <c r="Z234" s="290">
        <f>innut22!E240</f>
        <v>427407.76890008699</v>
      </c>
      <c r="AA234" s="290">
        <v>0</v>
      </c>
      <c r="AB234" s="290">
        <v>602</v>
      </c>
      <c r="AC234" s="290">
        <v>1849</v>
      </c>
      <c r="AD234" s="290"/>
      <c r="AE234" s="290">
        <v>0</v>
      </c>
      <c r="AF234" s="290">
        <v>0</v>
      </c>
      <c r="AG234" s="290">
        <v>15065</v>
      </c>
      <c r="AH234" s="290">
        <v>2891</v>
      </c>
      <c r="AI234" s="290">
        <v>85</v>
      </c>
      <c r="AJ234" s="290">
        <v>0</v>
      </c>
      <c r="AK234" s="290">
        <v>0</v>
      </c>
      <c r="AL234" s="290">
        <v>0</v>
      </c>
      <c r="AM234" s="957">
        <v>0.39510972999999999</v>
      </c>
      <c r="AN234" s="290">
        <v>0</v>
      </c>
      <c r="AO234" s="290">
        <v>2990.8274082200001</v>
      </c>
      <c r="AP234" s="290">
        <v>0</v>
      </c>
      <c r="AQ234" s="290">
        <v>0</v>
      </c>
      <c r="AR234" s="290">
        <v>-726.74527491000003</v>
      </c>
      <c r="AS234" s="290">
        <v>4786</v>
      </c>
      <c r="AT234" s="290">
        <v>943</v>
      </c>
      <c r="AU234" s="290">
        <v>166</v>
      </c>
      <c r="AV234" s="766">
        <v>424358</v>
      </c>
      <c r="AW234" s="290"/>
      <c r="AX234" s="766">
        <v>66.083349999999996</v>
      </c>
      <c r="AY234" s="290">
        <v>2429</v>
      </c>
      <c r="AZ234" s="290">
        <v>563</v>
      </c>
      <c r="BA234" s="290">
        <v>407</v>
      </c>
      <c r="BB234" s="290">
        <v>0</v>
      </c>
      <c r="BC234" s="290">
        <v>24937</v>
      </c>
      <c r="BD234" s="290"/>
      <c r="BE234" s="290">
        <v>423593.20675185003</v>
      </c>
      <c r="BF234" s="290">
        <v>0</v>
      </c>
      <c r="BG234" s="290">
        <v>13658.804077953724</v>
      </c>
      <c r="BH234" s="290">
        <v>735.90291358771083</v>
      </c>
      <c r="BI234" s="290">
        <v>4740</v>
      </c>
      <c r="BJ234" s="290"/>
      <c r="BK234" s="290"/>
      <c r="BL234" s="290"/>
      <c r="BM234" s="290">
        <v>0</v>
      </c>
      <c r="BN234" s="290">
        <v>5690.8197799999998</v>
      </c>
      <c r="BO234" s="290">
        <v>-7019.5915269376555</v>
      </c>
      <c r="BP234" s="290">
        <v>885.55499999999995</v>
      </c>
      <c r="BQ234" s="290">
        <v>-474.916</v>
      </c>
      <c r="BR234" s="290">
        <v>-311.7502640728062</v>
      </c>
      <c r="BS234" s="290">
        <v>2.7130000000000001</v>
      </c>
      <c r="BT234" s="290"/>
      <c r="BU234" s="290">
        <v>0</v>
      </c>
      <c r="BV234" s="290">
        <v>4000</v>
      </c>
      <c r="BW234" s="290">
        <v>-3460</v>
      </c>
      <c r="BX234" s="290">
        <v>2000</v>
      </c>
      <c r="BY234" s="290">
        <v>509</v>
      </c>
      <c r="BZ234" s="290">
        <v>-2630</v>
      </c>
      <c r="CA234" s="290">
        <v>-625.82998898953792</v>
      </c>
      <c r="CB234" s="290">
        <v>817</v>
      </c>
      <c r="CC234" s="290">
        <v>1959</v>
      </c>
      <c r="CD234" s="290">
        <v>30</v>
      </c>
      <c r="CE234" s="290">
        <v>558</v>
      </c>
      <c r="CF234" s="290">
        <v>22</v>
      </c>
      <c r="CG234" s="290">
        <v>3</v>
      </c>
      <c r="CH234" s="290">
        <v>-14</v>
      </c>
      <c r="CI234" s="290">
        <v>-6736</v>
      </c>
      <c r="CJ234" s="290">
        <v>-17736</v>
      </c>
      <c r="CK234" s="290">
        <f>+innut22!E240+innut22!S240</f>
        <v>427407.76890008699</v>
      </c>
      <c r="CL234" s="290">
        <v>0</v>
      </c>
      <c r="CM234" s="290">
        <v>0</v>
      </c>
      <c r="CN234" s="290">
        <v>0</v>
      </c>
      <c r="CP234" s="290">
        <f>+innut23!E240</f>
        <v>402518.3307100269</v>
      </c>
      <c r="CQ234" s="290"/>
      <c r="CV234" s="85">
        <f t="shared" si="4"/>
        <v>2.7890000000000001</v>
      </c>
    </row>
    <row r="235" spans="1:100" ht="13">
      <c r="A235" s="1">
        <v>4224</v>
      </c>
      <c r="B235" s="2" t="s">
        <v>951</v>
      </c>
      <c r="C235" s="289">
        <v>912</v>
      </c>
      <c r="D235" s="290">
        <v>17</v>
      </c>
      <c r="E235" s="290">
        <v>32</v>
      </c>
      <c r="F235" s="290">
        <v>115</v>
      </c>
      <c r="G235" s="290">
        <v>103</v>
      </c>
      <c r="H235" s="290">
        <v>521</v>
      </c>
      <c r="I235" s="290">
        <v>91</v>
      </c>
      <c r="J235" s="290">
        <v>37</v>
      </c>
      <c r="K235" s="290">
        <v>14</v>
      </c>
      <c r="L235" s="290">
        <v>8</v>
      </c>
      <c r="M235" s="290">
        <v>73</v>
      </c>
      <c r="N235" s="290">
        <v>16</v>
      </c>
      <c r="O235" s="290">
        <v>6</v>
      </c>
      <c r="P235" s="624">
        <v>7793.2889999999998</v>
      </c>
      <c r="Q235" s="624">
        <v>5348.8416666700004</v>
      </c>
      <c r="R235" s="624">
        <v>5</v>
      </c>
      <c r="S235" s="290">
        <v>9</v>
      </c>
      <c r="T235" s="290">
        <v>68</v>
      </c>
      <c r="U235" s="958">
        <v>1.2287544548295639E-3</v>
      </c>
      <c r="V235" s="290">
        <v>674.36681636000003</v>
      </c>
      <c r="W235" s="765">
        <v>1</v>
      </c>
      <c r="X235" s="290">
        <v>0</v>
      </c>
      <c r="Y235" s="290"/>
      <c r="Z235" s="290">
        <f>innut22!E241</f>
        <v>45716.471789529285</v>
      </c>
      <c r="AA235" s="290">
        <v>-1883</v>
      </c>
      <c r="AB235" s="290">
        <v>17</v>
      </c>
      <c r="AC235" s="290">
        <v>0</v>
      </c>
      <c r="AD235" s="290"/>
      <c r="AE235" s="290">
        <v>0</v>
      </c>
      <c r="AF235" s="290">
        <v>0</v>
      </c>
      <c r="AG235" s="290">
        <v>930</v>
      </c>
      <c r="AH235" s="290">
        <v>174</v>
      </c>
      <c r="AI235" s="290">
        <v>0</v>
      </c>
      <c r="AJ235" s="290">
        <v>0</v>
      </c>
      <c r="AK235" s="290">
        <v>0</v>
      </c>
      <c r="AL235" s="290">
        <v>0</v>
      </c>
      <c r="AM235" s="957">
        <v>1.026382E-2</v>
      </c>
      <c r="AN235" s="290">
        <v>0</v>
      </c>
      <c r="AO235" s="290">
        <v>251.76328952</v>
      </c>
      <c r="AP235" s="290">
        <v>0</v>
      </c>
      <c r="AQ235" s="290">
        <v>0</v>
      </c>
      <c r="AR235" s="290">
        <v>-44.863797259999998</v>
      </c>
      <c r="AS235" s="290">
        <v>306</v>
      </c>
      <c r="AT235" s="290">
        <v>42</v>
      </c>
      <c r="AU235" s="290">
        <v>3</v>
      </c>
      <c r="AV235" s="766">
        <v>45823</v>
      </c>
      <c r="AW235" s="290"/>
      <c r="AX235" s="766">
        <v>4.5416999999999996</v>
      </c>
      <c r="AY235" s="290">
        <v>145</v>
      </c>
      <c r="AZ235" s="290">
        <v>70</v>
      </c>
      <c r="BA235" s="290">
        <v>16</v>
      </c>
      <c r="BB235" s="290">
        <v>0</v>
      </c>
      <c r="BC235" s="290">
        <v>2020</v>
      </c>
      <c r="BD235" s="290"/>
      <c r="BE235" s="290">
        <v>44763.562404179997</v>
      </c>
      <c r="BF235" s="290">
        <v>0</v>
      </c>
      <c r="BG235" s="290">
        <v>823.70094022970284</v>
      </c>
      <c r="BH235" s="290">
        <v>44.378989432783989</v>
      </c>
      <c r="BI235" s="290">
        <v>-1709</v>
      </c>
      <c r="BJ235" s="290"/>
      <c r="BK235" s="290"/>
      <c r="BL235" s="290"/>
      <c r="BM235" s="290">
        <v>0</v>
      </c>
      <c r="BN235" s="290">
        <v>479.04451999999998</v>
      </c>
      <c r="BO235" s="290">
        <v>-433.33688151689478</v>
      </c>
      <c r="BP235" s="290">
        <v>41.179000000000002</v>
      </c>
      <c r="BQ235" s="290">
        <v>-22.084</v>
      </c>
      <c r="BR235" s="290">
        <v>-23.142638483105202</v>
      </c>
      <c r="BS235" s="290">
        <v>0.34</v>
      </c>
      <c r="BT235" s="290"/>
      <c r="BU235" s="290">
        <v>0</v>
      </c>
      <c r="BV235" s="290">
        <v>500</v>
      </c>
      <c r="BW235" s="290">
        <v>-214</v>
      </c>
      <c r="BX235" s="290">
        <v>147</v>
      </c>
      <c r="BY235" s="290">
        <v>24</v>
      </c>
      <c r="BZ235" s="290">
        <v>-162</v>
      </c>
      <c r="CA235" s="290">
        <v>0</v>
      </c>
      <c r="CB235" s="290">
        <v>38</v>
      </c>
      <c r="CC235" s="290">
        <v>121</v>
      </c>
      <c r="CD235" s="290">
        <v>1</v>
      </c>
      <c r="CE235" s="290">
        <v>34</v>
      </c>
      <c r="CF235" s="290">
        <v>3</v>
      </c>
      <c r="CG235" s="290">
        <v>0</v>
      </c>
      <c r="CH235" s="290">
        <v>-2</v>
      </c>
      <c r="CI235" s="290">
        <v>-406</v>
      </c>
      <c r="CJ235" s="290">
        <v>-869</v>
      </c>
      <c r="CK235" s="290">
        <f>+innut22!E241+innut22!S241</f>
        <v>45716.471789529285</v>
      </c>
      <c r="CL235" s="290">
        <v>0</v>
      </c>
      <c r="CM235" s="290">
        <v>0</v>
      </c>
      <c r="CN235" s="290">
        <v>0</v>
      </c>
      <c r="CP235" s="290">
        <f>+innut23!E241</f>
        <v>43333.782271730233</v>
      </c>
      <c r="CQ235" s="290"/>
      <c r="CV235" s="85">
        <f t="shared" si="4"/>
        <v>0.17199999999999999</v>
      </c>
    </row>
    <row r="236" spans="1:100" ht="13">
      <c r="A236" s="1">
        <v>4225</v>
      </c>
      <c r="B236" s="2" t="s">
        <v>1630</v>
      </c>
      <c r="C236" s="289">
        <v>10480</v>
      </c>
      <c r="D236" s="290">
        <v>213</v>
      </c>
      <c r="E236" s="290">
        <v>546</v>
      </c>
      <c r="F236" s="290">
        <v>1503</v>
      </c>
      <c r="G236" s="290">
        <v>1062</v>
      </c>
      <c r="H236" s="290">
        <v>5532</v>
      </c>
      <c r="I236" s="290">
        <v>1225</v>
      </c>
      <c r="J236" s="290">
        <v>359</v>
      </c>
      <c r="K236" s="290">
        <v>74</v>
      </c>
      <c r="L236" s="290">
        <v>84</v>
      </c>
      <c r="M236" s="290">
        <v>600</v>
      </c>
      <c r="N236" s="290">
        <v>310</v>
      </c>
      <c r="O236" s="290">
        <v>137</v>
      </c>
      <c r="P236" s="624">
        <v>93280.407333330004</v>
      </c>
      <c r="Q236" s="624">
        <v>49594.565999999999</v>
      </c>
      <c r="R236" s="624">
        <v>46</v>
      </c>
      <c r="S236" s="290">
        <v>126</v>
      </c>
      <c r="T236" s="290">
        <v>752</v>
      </c>
      <c r="U236" s="958">
        <v>3.9219083157902065E-3</v>
      </c>
      <c r="V236" s="290">
        <v>-9780.1503044700003</v>
      </c>
      <c r="W236" s="765">
        <v>0.66129031999999999</v>
      </c>
      <c r="X236" s="290">
        <v>1110</v>
      </c>
      <c r="Y236" s="290"/>
      <c r="Z236" s="290">
        <f>innut22!E242</f>
        <v>308036.17769951333</v>
      </c>
      <c r="AA236" s="290">
        <v>0</v>
      </c>
      <c r="AB236" s="290">
        <v>330</v>
      </c>
      <c r="AC236" s="290">
        <v>891</v>
      </c>
      <c r="AD236" s="290"/>
      <c r="AE236" s="290">
        <v>0</v>
      </c>
      <c r="AF236" s="290">
        <v>21912</v>
      </c>
      <c r="AG236" s="290">
        <v>10514</v>
      </c>
      <c r="AH236" s="290">
        <v>2223</v>
      </c>
      <c r="AI236" s="290">
        <v>1355</v>
      </c>
      <c r="AJ236" s="290">
        <v>0</v>
      </c>
      <c r="AK236" s="290">
        <v>0</v>
      </c>
      <c r="AL236" s="290">
        <v>0</v>
      </c>
      <c r="AM236" s="957">
        <v>0.21994997999999999</v>
      </c>
      <c r="AN236" s="290">
        <v>0</v>
      </c>
      <c r="AO236" s="290">
        <v>2239.0450233699999</v>
      </c>
      <c r="AP236" s="290">
        <v>0</v>
      </c>
      <c r="AQ236" s="290">
        <v>0</v>
      </c>
      <c r="AR236" s="290">
        <v>-507.20211221</v>
      </c>
      <c r="AS236" s="290">
        <v>8710</v>
      </c>
      <c r="AT236" s="290">
        <v>554</v>
      </c>
      <c r="AU236" s="290">
        <v>88</v>
      </c>
      <c r="AV236" s="766">
        <v>292977</v>
      </c>
      <c r="AW236" s="290"/>
      <c r="AX236" s="766">
        <v>47.333350000000003</v>
      </c>
      <c r="AY236" s="290">
        <v>1862</v>
      </c>
      <c r="AZ236" s="290">
        <v>494</v>
      </c>
      <c r="BA236" s="290">
        <v>257</v>
      </c>
      <c r="BB236" s="290">
        <v>0</v>
      </c>
      <c r="BC236" s="290">
        <v>-10527</v>
      </c>
      <c r="BD236" s="290"/>
      <c r="BE236" s="290">
        <v>353850.55520043999</v>
      </c>
      <c r="BF236" s="290">
        <v>0</v>
      </c>
      <c r="BG236" s="290">
        <v>9465.3353657974621</v>
      </c>
      <c r="BH236" s="290">
        <v>509.96908909602649</v>
      </c>
      <c r="BI236" s="290">
        <v>25026</v>
      </c>
      <c r="BJ236" s="290"/>
      <c r="BK236" s="290"/>
      <c r="BL236" s="290"/>
      <c r="BM236" s="290">
        <v>4076</v>
      </c>
      <c r="BN236" s="290">
        <v>4260.3600800000004</v>
      </c>
      <c r="BO236" s="290">
        <v>-4899.0365293211089</v>
      </c>
      <c r="BP236" s="290">
        <v>662.45899999999995</v>
      </c>
      <c r="BQ236" s="290">
        <v>-355.27199999999999</v>
      </c>
      <c r="BR236" s="290">
        <v>-245.00972157169571</v>
      </c>
      <c r="BS236" s="290">
        <v>2.1360000000000001</v>
      </c>
      <c r="BT236" s="290"/>
      <c r="BU236" s="290">
        <v>0</v>
      </c>
      <c r="BV236" s="290">
        <v>4000</v>
      </c>
      <c r="BW236" s="290">
        <v>-2414</v>
      </c>
      <c r="BX236" s="290">
        <v>1566</v>
      </c>
      <c r="BY236" s="290">
        <v>327</v>
      </c>
      <c r="BZ236" s="290">
        <v>-1835</v>
      </c>
      <c r="CA236" s="290">
        <v>305.36317089280431</v>
      </c>
      <c r="CB236" s="290">
        <v>525</v>
      </c>
      <c r="CC236" s="290">
        <v>1367</v>
      </c>
      <c r="CD236" s="290">
        <v>19</v>
      </c>
      <c r="CE236" s="290">
        <v>386</v>
      </c>
      <c r="CF236" s="290">
        <v>17</v>
      </c>
      <c r="CG236" s="290">
        <v>2</v>
      </c>
      <c r="CH236" s="290">
        <v>-11</v>
      </c>
      <c r="CI236" s="290">
        <v>-4668</v>
      </c>
      <c r="CJ236" s="290">
        <v>-12630</v>
      </c>
      <c r="CK236" s="290">
        <f>+innut22!E242+innut22!S242</f>
        <v>308036.17769951333</v>
      </c>
      <c r="CL236" s="290">
        <v>0</v>
      </c>
      <c r="CM236" s="290">
        <v>0</v>
      </c>
      <c r="CN236" s="290">
        <v>0</v>
      </c>
      <c r="CP236" s="290">
        <f>+innut23!E242</f>
        <v>283307.89134183008</v>
      </c>
      <c r="CQ236" s="290"/>
      <c r="CV236" s="85">
        <f t="shared" si="4"/>
        <v>1.946</v>
      </c>
    </row>
    <row r="237" spans="1:100" ht="13">
      <c r="A237" s="1">
        <v>4226</v>
      </c>
      <c r="B237" s="2" t="s">
        <v>955</v>
      </c>
      <c r="C237" s="289">
        <v>1704</v>
      </c>
      <c r="D237" s="290">
        <v>44</v>
      </c>
      <c r="E237" s="290">
        <v>84</v>
      </c>
      <c r="F237" s="290">
        <v>219</v>
      </c>
      <c r="G237" s="290">
        <v>152</v>
      </c>
      <c r="H237" s="290">
        <v>915</v>
      </c>
      <c r="I237" s="290">
        <v>189</v>
      </c>
      <c r="J237" s="290">
        <v>73</v>
      </c>
      <c r="K237" s="290">
        <v>18</v>
      </c>
      <c r="L237" s="290">
        <v>13</v>
      </c>
      <c r="M237" s="290">
        <v>117</v>
      </c>
      <c r="N237" s="290">
        <v>13</v>
      </c>
      <c r="O237" s="290">
        <v>21</v>
      </c>
      <c r="P237" s="624">
        <v>13314.481</v>
      </c>
      <c r="Q237" s="624">
        <v>6237.05366667</v>
      </c>
      <c r="R237" s="624">
        <v>15</v>
      </c>
      <c r="S237" s="290">
        <v>16</v>
      </c>
      <c r="T237" s="290">
        <v>116</v>
      </c>
      <c r="U237" s="958">
        <v>1.6794326761668207E-3</v>
      </c>
      <c r="V237" s="290">
        <v>1132.6453714899999</v>
      </c>
      <c r="W237" s="765">
        <v>0.88676602000000004</v>
      </c>
      <c r="X237" s="290">
        <v>1780</v>
      </c>
      <c r="Y237" s="290"/>
      <c r="Z237" s="290">
        <f>innut22!E243</f>
        <v>51952.837484471929</v>
      </c>
      <c r="AA237" s="290">
        <v>0</v>
      </c>
      <c r="AB237" s="290">
        <v>55</v>
      </c>
      <c r="AC237" s="290">
        <v>0</v>
      </c>
      <c r="AD237" s="290"/>
      <c r="AE237" s="290">
        <v>0</v>
      </c>
      <c r="AF237" s="290">
        <v>0</v>
      </c>
      <c r="AG237" s="290">
        <v>1694</v>
      </c>
      <c r="AH237" s="290">
        <v>338</v>
      </c>
      <c r="AI237" s="290">
        <v>56</v>
      </c>
      <c r="AJ237" s="290">
        <v>0</v>
      </c>
      <c r="AK237" s="290">
        <v>0</v>
      </c>
      <c r="AL237" s="290">
        <v>0</v>
      </c>
      <c r="AM237" s="957">
        <v>9.9996500000000006E-3</v>
      </c>
      <c r="AN237" s="290">
        <v>0</v>
      </c>
      <c r="AO237" s="290">
        <v>422.85373134000002</v>
      </c>
      <c r="AP237" s="290">
        <v>0</v>
      </c>
      <c r="AQ237" s="290">
        <v>0</v>
      </c>
      <c r="AR237" s="290">
        <v>-81.719647910000006</v>
      </c>
      <c r="AS237" s="290">
        <v>382</v>
      </c>
      <c r="AT237" s="290">
        <v>60</v>
      </c>
      <c r="AU237" s="290">
        <v>7</v>
      </c>
      <c r="AV237" s="766">
        <v>77170</v>
      </c>
      <c r="AW237" s="290"/>
      <c r="AX237" s="766">
        <v>10.458299999999999</v>
      </c>
      <c r="AY237" s="290">
        <v>297</v>
      </c>
      <c r="AZ237" s="290">
        <v>68</v>
      </c>
      <c r="BA237" s="290">
        <v>28</v>
      </c>
      <c r="BB237" s="290">
        <v>3017</v>
      </c>
      <c r="BC237" s="290">
        <v>3256</v>
      </c>
      <c r="BD237" s="290"/>
      <c r="BE237" s="290">
        <v>78840.855653360006</v>
      </c>
      <c r="BF237" s="290">
        <v>0</v>
      </c>
      <c r="BG237" s="290">
        <v>1539.0201777976026</v>
      </c>
      <c r="BH237" s="290">
        <v>82.918638150727986</v>
      </c>
      <c r="BI237" s="290">
        <v>338</v>
      </c>
      <c r="BJ237" s="290"/>
      <c r="BK237" s="290"/>
      <c r="BL237" s="290"/>
      <c r="BM237" s="290">
        <v>0</v>
      </c>
      <c r="BN237" s="290">
        <v>804.58817999999997</v>
      </c>
      <c r="BO237" s="290">
        <v>-789.32545945120398</v>
      </c>
      <c r="BP237" s="290">
        <v>104.85</v>
      </c>
      <c r="BQ237" s="290">
        <v>-56.23</v>
      </c>
      <c r="BR237" s="290">
        <v>-38.346720548795979</v>
      </c>
      <c r="BS237" s="290">
        <v>0.46400000000000002</v>
      </c>
      <c r="BT237" s="290"/>
      <c r="BU237" s="290">
        <v>0</v>
      </c>
      <c r="BV237" s="290">
        <v>1000</v>
      </c>
      <c r="BW237" s="290">
        <v>-389</v>
      </c>
      <c r="BX237" s="290">
        <v>250</v>
      </c>
      <c r="BY237" s="290">
        <v>42</v>
      </c>
      <c r="BZ237" s="290">
        <v>-296</v>
      </c>
      <c r="CA237" s="290">
        <v>0</v>
      </c>
      <c r="CB237" s="290">
        <v>67</v>
      </c>
      <c r="CC237" s="290">
        <v>220</v>
      </c>
      <c r="CD237" s="290">
        <v>2</v>
      </c>
      <c r="CE237" s="290">
        <v>63</v>
      </c>
      <c r="CF237" s="290">
        <v>4</v>
      </c>
      <c r="CG237" s="290">
        <v>0</v>
      </c>
      <c r="CH237" s="290">
        <v>-2</v>
      </c>
      <c r="CI237" s="290">
        <v>-759</v>
      </c>
      <c r="CJ237" s="290">
        <v>-2024</v>
      </c>
      <c r="CK237" s="290">
        <f>+innut22!E243+innut22!S243</f>
        <v>51952.837484471929</v>
      </c>
      <c r="CL237" s="290">
        <v>0</v>
      </c>
      <c r="CM237" s="290">
        <v>0</v>
      </c>
      <c r="CN237" s="290">
        <v>0</v>
      </c>
      <c r="CP237" s="290">
        <f>+innut23!E243</f>
        <v>47680.67189191081</v>
      </c>
      <c r="CQ237" s="290"/>
      <c r="CV237" s="85">
        <f t="shared" si="4"/>
        <v>0.314</v>
      </c>
    </row>
    <row r="238" spans="1:100" ht="13">
      <c r="A238" s="1">
        <v>4227</v>
      </c>
      <c r="B238" s="2" t="s">
        <v>956</v>
      </c>
      <c r="C238" s="289">
        <v>5883</v>
      </c>
      <c r="D238" s="290">
        <v>109</v>
      </c>
      <c r="E238" s="290">
        <v>255</v>
      </c>
      <c r="F238" s="290">
        <v>744</v>
      </c>
      <c r="G238" s="290">
        <v>539</v>
      </c>
      <c r="H238" s="290">
        <v>3255</v>
      </c>
      <c r="I238" s="290">
        <v>722</v>
      </c>
      <c r="J238" s="290">
        <v>252</v>
      </c>
      <c r="K238" s="290">
        <v>58</v>
      </c>
      <c r="L238" s="290">
        <v>54</v>
      </c>
      <c r="M238" s="290">
        <v>457</v>
      </c>
      <c r="N238" s="290">
        <v>151</v>
      </c>
      <c r="O238" s="290">
        <v>60</v>
      </c>
      <c r="P238" s="624">
        <v>53202.021333329998</v>
      </c>
      <c r="Q238" s="624">
        <v>16062.14733333</v>
      </c>
      <c r="R238" s="624">
        <v>33</v>
      </c>
      <c r="S238" s="290">
        <v>76</v>
      </c>
      <c r="T238" s="290">
        <v>524</v>
      </c>
      <c r="U238" s="958">
        <v>3.432712292890573E-3</v>
      </c>
      <c r="V238" s="290">
        <v>3421.1300806600002</v>
      </c>
      <c r="W238" s="765">
        <v>0.70897699999999997</v>
      </c>
      <c r="X238" s="290">
        <v>0</v>
      </c>
      <c r="Y238" s="290"/>
      <c r="Z238" s="290">
        <f>innut22!E244</f>
        <v>204724.973775694</v>
      </c>
      <c r="AA238" s="290">
        <v>0</v>
      </c>
      <c r="AB238" s="290">
        <v>191</v>
      </c>
      <c r="AC238" s="290">
        <v>21</v>
      </c>
      <c r="AD238" s="290"/>
      <c r="AE238" s="290">
        <v>0</v>
      </c>
      <c r="AF238" s="290">
        <v>0</v>
      </c>
      <c r="AG238" s="290">
        <v>5934</v>
      </c>
      <c r="AH238" s="290">
        <v>1088</v>
      </c>
      <c r="AI238" s="290">
        <v>400</v>
      </c>
      <c r="AJ238" s="290">
        <v>0</v>
      </c>
      <c r="AK238" s="290">
        <v>1004</v>
      </c>
      <c r="AL238" s="290">
        <v>0</v>
      </c>
      <c r="AM238" s="957">
        <v>0.13895176000000001</v>
      </c>
      <c r="AN238" s="290">
        <v>6655</v>
      </c>
      <c r="AO238" s="290">
        <v>1277.22026366</v>
      </c>
      <c r="AP238" s="290">
        <v>0</v>
      </c>
      <c r="AQ238" s="290">
        <v>0</v>
      </c>
      <c r="AR238" s="290">
        <v>-105.06868629</v>
      </c>
      <c r="AS238" s="290">
        <v>1301</v>
      </c>
      <c r="AT238" s="290">
        <v>350</v>
      </c>
      <c r="AU238" s="290">
        <v>51</v>
      </c>
      <c r="AV238" s="766">
        <v>207884</v>
      </c>
      <c r="AW238" s="290"/>
      <c r="AX238" s="766">
        <v>27.583300000000001</v>
      </c>
      <c r="AY238" s="290">
        <v>938</v>
      </c>
      <c r="AZ238" s="290">
        <v>273</v>
      </c>
      <c r="BA238" s="290">
        <v>150</v>
      </c>
      <c r="BB238" s="290">
        <v>0</v>
      </c>
      <c r="BC238" s="290">
        <v>11645</v>
      </c>
      <c r="BD238" s="290"/>
      <c r="BE238" s="290">
        <v>204473.38085992</v>
      </c>
      <c r="BF238" s="290">
        <v>0</v>
      </c>
      <c r="BG238" s="290">
        <v>5313.4129729948918</v>
      </c>
      <c r="BH238" s="290">
        <v>286.27367854503092</v>
      </c>
      <c r="BI238" s="290">
        <v>2113</v>
      </c>
      <c r="BJ238" s="290"/>
      <c r="BK238" s="290"/>
      <c r="BL238" s="290"/>
      <c r="BM238" s="290">
        <v>0</v>
      </c>
      <c r="BN238" s="290">
        <v>2430.24064</v>
      </c>
      <c r="BO238" s="290">
        <v>-2764.9688762594124</v>
      </c>
      <c r="BP238" s="290">
        <v>315.65499999999997</v>
      </c>
      <c r="BQ238" s="290">
        <v>-169.28299999999999</v>
      </c>
      <c r="BR238" s="290">
        <v>-120.79026694932944</v>
      </c>
      <c r="BS238" s="290">
        <v>1.228</v>
      </c>
      <c r="BT238" s="290"/>
      <c r="BU238" s="290">
        <v>0</v>
      </c>
      <c r="BV238" s="290">
        <v>3000</v>
      </c>
      <c r="BW238" s="290">
        <v>-1363</v>
      </c>
      <c r="BX238" s="290">
        <v>777</v>
      </c>
      <c r="BY238" s="290">
        <v>198</v>
      </c>
      <c r="BZ238" s="290">
        <v>-1036</v>
      </c>
      <c r="CA238" s="290">
        <v>-8.1496791258189205E-2</v>
      </c>
      <c r="CB238" s="290">
        <v>317</v>
      </c>
      <c r="CC238" s="290">
        <v>772</v>
      </c>
      <c r="CD238" s="290">
        <v>12</v>
      </c>
      <c r="CE238" s="290">
        <v>217</v>
      </c>
      <c r="CF238" s="290">
        <v>10</v>
      </c>
      <c r="CG238" s="290">
        <v>1</v>
      </c>
      <c r="CH238" s="290">
        <v>-7</v>
      </c>
      <c r="CI238" s="290">
        <v>-2620</v>
      </c>
      <c r="CJ238" s="290">
        <v>-7127</v>
      </c>
      <c r="CK238" s="290">
        <f>+innut22!E244+innut22!S244</f>
        <v>204724.973775694</v>
      </c>
      <c r="CL238" s="290">
        <v>781.27801503934506</v>
      </c>
      <c r="CM238" s="290">
        <v>544.54220096684958</v>
      </c>
      <c r="CN238" s="290">
        <v>297.32010458192326</v>
      </c>
      <c r="CP238" s="290">
        <f>+innut23!E244</f>
        <v>190517.04752243435</v>
      </c>
      <c r="CQ238" s="290"/>
      <c r="CV238" s="85">
        <f t="shared" si="4"/>
        <v>1.099</v>
      </c>
    </row>
    <row r="239" spans="1:100" ht="13">
      <c r="A239" s="1">
        <v>4228</v>
      </c>
      <c r="B239" s="2" t="s">
        <v>957</v>
      </c>
      <c r="C239" s="289">
        <v>1810</v>
      </c>
      <c r="D239" s="290">
        <v>30</v>
      </c>
      <c r="E239" s="290">
        <v>77</v>
      </c>
      <c r="F239" s="290">
        <v>247</v>
      </c>
      <c r="G239" s="290">
        <v>154</v>
      </c>
      <c r="H239" s="290">
        <v>954</v>
      </c>
      <c r="I239" s="290">
        <v>231</v>
      </c>
      <c r="J239" s="290">
        <v>74</v>
      </c>
      <c r="K239" s="290">
        <v>22</v>
      </c>
      <c r="L239" s="290">
        <v>13</v>
      </c>
      <c r="M239" s="290">
        <v>138</v>
      </c>
      <c r="N239" s="290">
        <v>12</v>
      </c>
      <c r="O239" s="290">
        <v>6</v>
      </c>
      <c r="P239" s="624">
        <v>19297.414333330002</v>
      </c>
      <c r="Q239" s="624">
        <v>7446.1610000000001</v>
      </c>
      <c r="R239" s="624">
        <v>7</v>
      </c>
      <c r="S239" s="290">
        <v>17</v>
      </c>
      <c r="T239" s="290">
        <v>159</v>
      </c>
      <c r="U239" s="958">
        <v>1.8503621591777883E-3</v>
      </c>
      <c r="V239" s="290">
        <v>1038.7464305799999</v>
      </c>
      <c r="W239" s="765">
        <v>1</v>
      </c>
      <c r="X239" s="290">
        <v>0</v>
      </c>
      <c r="Y239" s="290"/>
      <c r="Z239" s="290">
        <f>innut22!E245</f>
        <v>121488.10920750386</v>
      </c>
      <c r="AA239" s="290">
        <v>0</v>
      </c>
      <c r="AB239" s="290">
        <v>31</v>
      </c>
      <c r="AC239" s="290">
        <v>194</v>
      </c>
      <c r="AD239" s="290"/>
      <c r="AE239" s="290">
        <v>0</v>
      </c>
      <c r="AF239" s="290">
        <v>0</v>
      </c>
      <c r="AG239" s="290">
        <v>1789</v>
      </c>
      <c r="AH239" s="290">
        <v>341</v>
      </c>
      <c r="AI239" s="290">
        <v>0</v>
      </c>
      <c r="AJ239" s="290">
        <v>0</v>
      </c>
      <c r="AK239" s="290">
        <v>0</v>
      </c>
      <c r="AL239" s="290">
        <v>0</v>
      </c>
      <c r="AM239" s="957">
        <v>1.06026E-2</v>
      </c>
      <c r="AN239" s="290">
        <v>0</v>
      </c>
      <c r="AO239" s="290">
        <v>426.55012201</v>
      </c>
      <c r="AP239" s="290">
        <v>0</v>
      </c>
      <c r="AQ239" s="290">
        <v>0</v>
      </c>
      <c r="AR239" s="290">
        <v>869.16836550000005</v>
      </c>
      <c r="AS239" s="290">
        <v>408</v>
      </c>
      <c r="AT239" s="290">
        <v>82</v>
      </c>
      <c r="AU239" s="290">
        <v>7</v>
      </c>
      <c r="AV239" s="766">
        <v>74042</v>
      </c>
      <c r="AW239" s="290"/>
      <c r="AX239" s="766">
        <v>2.7917000000000001</v>
      </c>
      <c r="AY239" s="290">
        <v>361</v>
      </c>
      <c r="AZ239" s="290">
        <v>58</v>
      </c>
      <c r="BA239" s="290">
        <v>20</v>
      </c>
      <c r="BB239" s="290">
        <v>0</v>
      </c>
      <c r="BC239" s="290">
        <v>3439</v>
      </c>
      <c r="BD239" s="290"/>
      <c r="BE239" s="290">
        <v>72139.907949119995</v>
      </c>
      <c r="BF239" s="290">
        <v>0</v>
      </c>
      <c r="BG239" s="290">
        <v>1634.7573484821953</v>
      </c>
      <c r="BH239" s="290">
        <v>88.076722448836648</v>
      </c>
      <c r="BI239" s="290">
        <v>535</v>
      </c>
      <c r="BJ239" s="290"/>
      <c r="BK239" s="290"/>
      <c r="BL239" s="290"/>
      <c r="BM239" s="290">
        <v>0</v>
      </c>
      <c r="BN239" s="290">
        <v>811.62152000000003</v>
      </c>
      <c r="BO239" s="290">
        <v>-833.59105487497277</v>
      </c>
      <c r="BP239" s="290">
        <v>92.512</v>
      </c>
      <c r="BQ239" s="290">
        <v>-49.613999999999997</v>
      </c>
      <c r="BR239" s="290">
        <v>-43.6843291738152</v>
      </c>
      <c r="BS239" s="290">
        <v>0.51400000000000001</v>
      </c>
      <c r="BT239" s="290"/>
      <c r="BU239" s="290">
        <v>0</v>
      </c>
      <c r="BV239" s="290">
        <v>1000</v>
      </c>
      <c r="BW239" s="290">
        <v>-411</v>
      </c>
      <c r="BX239" s="290">
        <v>278</v>
      </c>
      <c r="BY239" s="290">
        <v>43</v>
      </c>
      <c r="BZ239" s="290">
        <v>-312</v>
      </c>
      <c r="CA239" s="290">
        <v>-0.75813595121206845</v>
      </c>
      <c r="CB239" s="290">
        <v>69</v>
      </c>
      <c r="CC239" s="290">
        <v>233</v>
      </c>
      <c r="CD239" s="290">
        <v>3</v>
      </c>
      <c r="CE239" s="290">
        <v>67</v>
      </c>
      <c r="CF239" s="290">
        <v>4</v>
      </c>
      <c r="CG239" s="290">
        <v>0</v>
      </c>
      <c r="CH239" s="290">
        <v>-3</v>
      </c>
      <c r="CI239" s="290">
        <v>-806</v>
      </c>
      <c r="CJ239" s="290">
        <v>-1627</v>
      </c>
      <c r="CK239" s="290">
        <f>+innut22!E245+innut22!S245</f>
        <v>121488.10920750386</v>
      </c>
      <c r="CL239" s="290">
        <v>0</v>
      </c>
      <c r="CM239" s="290">
        <v>0</v>
      </c>
      <c r="CN239" s="290">
        <v>0</v>
      </c>
      <c r="CP239" s="290">
        <f>+innut23!E245</f>
        <v>117373.54052772591</v>
      </c>
      <c r="CQ239" s="290"/>
      <c r="CV239" s="85">
        <f t="shared" si="4"/>
        <v>0.33100000000000002</v>
      </c>
    </row>
    <row r="240" spans="1:100" ht="13">
      <c r="A240" s="1">
        <v>4601</v>
      </c>
      <c r="B240" s="2" t="s">
        <v>23</v>
      </c>
      <c r="C240" s="289">
        <v>286930</v>
      </c>
      <c r="D240" s="290">
        <v>6142</v>
      </c>
      <c r="E240" s="290">
        <v>12439</v>
      </c>
      <c r="F240" s="290">
        <v>30983</v>
      </c>
      <c r="G240" s="290">
        <v>24479</v>
      </c>
      <c r="H240" s="290">
        <v>170635</v>
      </c>
      <c r="I240" s="290">
        <v>28153</v>
      </c>
      <c r="J240" s="290">
        <v>9776</v>
      </c>
      <c r="K240" s="290">
        <v>2624</v>
      </c>
      <c r="L240" s="290">
        <v>2067</v>
      </c>
      <c r="M240" s="290">
        <v>18570</v>
      </c>
      <c r="N240" s="290">
        <v>8144</v>
      </c>
      <c r="O240" s="290">
        <v>2167</v>
      </c>
      <c r="P240" s="624">
        <v>1038761.7616667</v>
      </c>
      <c r="Q240" s="624">
        <v>346906.93300000002</v>
      </c>
      <c r="R240" s="624">
        <v>1026</v>
      </c>
      <c r="S240" s="290">
        <v>3836</v>
      </c>
      <c r="T240" s="290">
        <v>28689</v>
      </c>
      <c r="U240" s="958">
        <v>3.5038395557158144E-3</v>
      </c>
      <c r="V240" s="290">
        <v>-30596.409571910001</v>
      </c>
      <c r="W240" s="765">
        <v>0.53716098000000001</v>
      </c>
      <c r="X240" s="290">
        <v>14000</v>
      </c>
      <c r="Y240" s="290"/>
      <c r="Z240" s="290">
        <f>innut22!E246</f>
        <v>12280834.018142296</v>
      </c>
      <c r="AA240" s="290">
        <v>0</v>
      </c>
      <c r="AB240" s="290">
        <v>5196</v>
      </c>
      <c r="AC240" s="290">
        <v>54050</v>
      </c>
      <c r="AD240" s="290"/>
      <c r="AE240" s="290">
        <v>0</v>
      </c>
      <c r="AF240" s="290">
        <v>0</v>
      </c>
      <c r="AG240" s="290">
        <v>285231</v>
      </c>
      <c r="AH240" s="290">
        <v>47790</v>
      </c>
      <c r="AI240" s="290">
        <v>5480</v>
      </c>
      <c r="AJ240" s="290">
        <v>0</v>
      </c>
      <c r="AK240" s="290">
        <v>0</v>
      </c>
      <c r="AL240" s="290">
        <v>0</v>
      </c>
      <c r="AM240" s="957">
        <v>9.1663835099999993</v>
      </c>
      <c r="AN240" s="290">
        <v>0</v>
      </c>
      <c r="AO240" s="290">
        <v>52909.176774</v>
      </c>
      <c r="AP240" s="290">
        <v>112241.193</v>
      </c>
      <c r="AQ240" s="290">
        <v>0</v>
      </c>
      <c r="AR240" s="290">
        <v>-13759.726618590001</v>
      </c>
      <c r="AS240" s="290">
        <v>40919</v>
      </c>
      <c r="AT240" s="290">
        <v>13184</v>
      </c>
      <c r="AU240" s="290">
        <v>3502</v>
      </c>
      <c r="AV240" s="766">
        <v>6833251</v>
      </c>
      <c r="AW240" s="290"/>
      <c r="AX240" s="766">
        <v>2267.8750500000001</v>
      </c>
      <c r="AY240" s="290">
        <v>98998</v>
      </c>
      <c r="AZ240" s="290">
        <v>16194</v>
      </c>
      <c r="BA240" s="290">
        <v>5230</v>
      </c>
      <c r="BB240" s="290">
        <v>0</v>
      </c>
      <c r="BC240" s="290">
        <v>450335</v>
      </c>
      <c r="BD240" s="290"/>
      <c r="BE240" s="290">
        <v>6864661.3170443</v>
      </c>
      <c r="BF240" s="290">
        <v>0</v>
      </c>
      <c r="BG240" s="290">
        <v>259149.68287292615</v>
      </c>
      <c r="BH240" s="290">
        <v>13962.350260908674</v>
      </c>
      <c r="BI240" s="290">
        <v>101840</v>
      </c>
      <c r="BJ240" s="290"/>
      <c r="BK240" s="290"/>
      <c r="BL240" s="290"/>
      <c r="BM240" s="290">
        <v>0</v>
      </c>
      <c r="BN240" s="290">
        <v>100673.34173999999</v>
      </c>
      <c r="BO240" s="290">
        <v>-132904.42156123163</v>
      </c>
      <c r="BP240" s="290">
        <v>17455.662</v>
      </c>
      <c r="BQ240" s="290">
        <v>-9361.3430000000008</v>
      </c>
      <c r="BR240" s="290">
        <v>-4736.4188993963489</v>
      </c>
      <c r="BS240" s="290">
        <v>47.634999999999998</v>
      </c>
      <c r="BT240" s="290"/>
      <c r="BU240" s="290">
        <v>0</v>
      </c>
      <c r="BV240" s="290">
        <v>41500</v>
      </c>
      <c r="BW240" s="290">
        <v>-65502</v>
      </c>
      <c r="BX240" s="290">
        <v>30408</v>
      </c>
      <c r="BY240" s="290">
        <v>10003</v>
      </c>
      <c r="BZ240" s="290">
        <v>-49788</v>
      </c>
      <c r="CA240" s="290">
        <v>-211.45527937200677</v>
      </c>
      <c r="CB240" s="290">
        <v>16048</v>
      </c>
      <c r="CC240" s="290">
        <v>37091</v>
      </c>
      <c r="CD240" s="290">
        <v>588</v>
      </c>
      <c r="CE240" s="290">
        <v>10578</v>
      </c>
      <c r="CF240" s="290">
        <v>389</v>
      </c>
      <c r="CG240" s="290">
        <v>56</v>
      </c>
      <c r="CH240" s="290">
        <v>-253</v>
      </c>
      <c r="CI240" s="290">
        <v>-127796</v>
      </c>
      <c r="CJ240" s="290">
        <v>-384068</v>
      </c>
      <c r="CK240" s="290">
        <f>+innut22!E246+innut22!S246</f>
        <v>12280834.018142296</v>
      </c>
      <c r="CL240" s="290">
        <v>0</v>
      </c>
      <c r="CM240" s="290">
        <v>0</v>
      </c>
      <c r="CN240" s="290">
        <v>0</v>
      </c>
      <c r="CP240" s="290">
        <f>+innut23!E246</f>
        <v>11235659.973589228</v>
      </c>
      <c r="CQ240" s="290"/>
      <c r="CV240" s="85">
        <f t="shared" si="4"/>
        <v>52.802999999999997</v>
      </c>
    </row>
    <row r="241" spans="1:100" ht="13">
      <c r="A241" s="1">
        <v>4602</v>
      </c>
      <c r="B241" s="2" t="s">
        <v>1631</v>
      </c>
      <c r="C241" s="289">
        <v>17131</v>
      </c>
      <c r="D241" s="290">
        <v>307</v>
      </c>
      <c r="E241" s="290">
        <v>685</v>
      </c>
      <c r="F241" s="290">
        <v>2215</v>
      </c>
      <c r="G241" s="290">
        <v>1581</v>
      </c>
      <c r="H241" s="290">
        <v>9489</v>
      </c>
      <c r="I241" s="290">
        <v>2069</v>
      </c>
      <c r="J241" s="290">
        <v>633</v>
      </c>
      <c r="K241" s="290">
        <v>189</v>
      </c>
      <c r="L241" s="290">
        <v>128</v>
      </c>
      <c r="M241" s="290">
        <v>1264</v>
      </c>
      <c r="N241" s="290">
        <v>404</v>
      </c>
      <c r="O241" s="290">
        <v>211</v>
      </c>
      <c r="P241" s="624">
        <v>121838.387</v>
      </c>
      <c r="Q241" s="624">
        <v>47676.937666669997</v>
      </c>
      <c r="R241" s="624">
        <v>81</v>
      </c>
      <c r="S241" s="290">
        <v>188</v>
      </c>
      <c r="T241" s="290">
        <v>1354</v>
      </c>
      <c r="U241" s="958">
        <v>3.9390232707068621E-3</v>
      </c>
      <c r="V241" s="290">
        <v>9156.8854674199993</v>
      </c>
      <c r="W241" s="765">
        <v>0.62942138000000003</v>
      </c>
      <c r="X241" s="290">
        <v>11400</v>
      </c>
      <c r="Y241" s="290"/>
      <c r="Z241" s="290">
        <f>innut22!E247</f>
        <v>673192.73072622775</v>
      </c>
      <c r="AA241" s="290">
        <v>0</v>
      </c>
      <c r="AB241" s="290">
        <v>361</v>
      </c>
      <c r="AC241" s="290">
        <v>3127</v>
      </c>
      <c r="AD241" s="290"/>
      <c r="AE241" s="290">
        <v>0</v>
      </c>
      <c r="AF241" s="290">
        <v>17261</v>
      </c>
      <c r="AG241" s="290">
        <v>17168</v>
      </c>
      <c r="AH241" s="290">
        <v>3171</v>
      </c>
      <c r="AI241" s="290">
        <v>4000</v>
      </c>
      <c r="AJ241" s="290">
        <v>100</v>
      </c>
      <c r="AK241" s="290">
        <v>0</v>
      </c>
      <c r="AL241" s="290">
        <v>0</v>
      </c>
      <c r="AM241" s="957">
        <v>0.27245494999999997</v>
      </c>
      <c r="AN241" s="290">
        <v>0</v>
      </c>
      <c r="AO241" s="290">
        <v>3457.31815379</v>
      </c>
      <c r="AP241" s="290">
        <v>0</v>
      </c>
      <c r="AQ241" s="290">
        <v>0</v>
      </c>
      <c r="AR241" s="290">
        <v>-828.19534548000001</v>
      </c>
      <c r="AS241" s="290">
        <v>3066</v>
      </c>
      <c r="AT241" s="290">
        <v>681</v>
      </c>
      <c r="AU241" s="290">
        <v>170</v>
      </c>
      <c r="AV241" s="766">
        <v>535275</v>
      </c>
      <c r="AW241" s="290"/>
      <c r="AX241" s="766">
        <v>102.37505</v>
      </c>
      <c r="AY241" s="290">
        <v>3554</v>
      </c>
      <c r="AZ241" s="290">
        <v>693</v>
      </c>
      <c r="BA241" s="290">
        <v>351</v>
      </c>
      <c r="BB241" s="290">
        <v>0</v>
      </c>
      <c r="BC241" s="290">
        <v>45200</v>
      </c>
      <c r="BD241" s="290"/>
      <c r="BE241" s="290">
        <v>532752.18931193999</v>
      </c>
      <c r="BF241" s="290">
        <v>0</v>
      </c>
      <c r="BG241" s="290">
        <v>15472.391235827894</v>
      </c>
      <c r="BH241" s="290">
        <v>833.61454821603343</v>
      </c>
      <c r="BI241" s="290">
        <v>23559</v>
      </c>
      <c r="BJ241" s="290"/>
      <c r="BK241" s="290"/>
      <c r="BL241" s="290"/>
      <c r="BM241" s="290">
        <v>4545</v>
      </c>
      <c r="BN241" s="290">
        <v>6578.4386199999999</v>
      </c>
      <c r="BO241" s="290">
        <v>-7999.4920235290847</v>
      </c>
      <c r="BP241" s="290">
        <v>896.654</v>
      </c>
      <c r="BQ241" s="290">
        <v>-480.86900000000003</v>
      </c>
      <c r="BR241" s="290">
        <v>-352.75638524522765</v>
      </c>
      <c r="BS241" s="290">
        <v>3.2570000000000001</v>
      </c>
      <c r="BT241" s="290"/>
      <c r="BU241" s="290">
        <v>0</v>
      </c>
      <c r="BV241" s="290">
        <v>6000</v>
      </c>
      <c r="BW241" s="290">
        <v>-3943</v>
      </c>
      <c r="BX241" s="290">
        <v>2263</v>
      </c>
      <c r="BY241" s="290">
        <v>490</v>
      </c>
      <c r="BZ241" s="290">
        <v>-2997</v>
      </c>
      <c r="CA241" s="290">
        <v>-12.232211225687479</v>
      </c>
      <c r="CB241" s="290">
        <v>786</v>
      </c>
      <c r="CC241" s="290">
        <v>2233</v>
      </c>
      <c r="CD241" s="290">
        <v>29</v>
      </c>
      <c r="CE241" s="290">
        <v>632</v>
      </c>
      <c r="CF241" s="290">
        <v>27</v>
      </c>
      <c r="CG241" s="290">
        <v>3</v>
      </c>
      <c r="CH241" s="290">
        <v>-17</v>
      </c>
      <c r="CI241" s="290">
        <v>-7630</v>
      </c>
      <c r="CJ241" s="290">
        <v>-21278</v>
      </c>
      <c r="CK241" s="290">
        <f>+innut22!E247+innut22!S247</f>
        <v>673192.73072622775</v>
      </c>
      <c r="CL241" s="290">
        <v>0</v>
      </c>
      <c r="CM241" s="290">
        <v>0</v>
      </c>
      <c r="CN241" s="290">
        <v>0</v>
      </c>
      <c r="CP241" s="290">
        <f>+innut23!E247</f>
        <v>611718.68299116229</v>
      </c>
      <c r="CQ241" s="290"/>
      <c r="CV241" s="85">
        <f t="shared" si="4"/>
        <v>3.1779999999999999</v>
      </c>
    </row>
    <row r="242" spans="1:100" ht="13">
      <c r="A242" s="1">
        <v>4611</v>
      </c>
      <c r="B242" s="2" t="s">
        <v>24</v>
      </c>
      <c r="C242" s="289">
        <v>4043</v>
      </c>
      <c r="D242" s="290">
        <v>61</v>
      </c>
      <c r="E242" s="290">
        <v>209</v>
      </c>
      <c r="F242" s="290">
        <v>505</v>
      </c>
      <c r="G242" s="290">
        <v>347</v>
      </c>
      <c r="H242" s="290">
        <v>2148</v>
      </c>
      <c r="I242" s="290">
        <v>541</v>
      </c>
      <c r="J242" s="290">
        <v>178</v>
      </c>
      <c r="K242" s="290">
        <v>65</v>
      </c>
      <c r="L242" s="290">
        <v>27</v>
      </c>
      <c r="M242" s="290">
        <v>318</v>
      </c>
      <c r="N242" s="290">
        <v>27</v>
      </c>
      <c r="O242" s="290">
        <v>28</v>
      </c>
      <c r="P242" s="624">
        <v>40377.39866667</v>
      </c>
      <c r="Q242" s="624">
        <v>11550.793333330001</v>
      </c>
      <c r="R242" s="624">
        <v>18</v>
      </c>
      <c r="S242" s="290">
        <v>38</v>
      </c>
      <c r="T242" s="290">
        <v>320</v>
      </c>
      <c r="U242" s="958">
        <v>3.3883245322579563E-3</v>
      </c>
      <c r="V242" s="290">
        <v>2390.2607866100002</v>
      </c>
      <c r="W242" s="765">
        <v>0.76991323</v>
      </c>
      <c r="X242" s="290">
        <v>2300</v>
      </c>
      <c r="Y242" s="290"/>
      <c r="Z242" s="290">
        <f>innut22!E248</f>
        <v>140390.59136957629</v>
      </c>
      <c r="AA242" s="290">
        <v>0</v>
      </c>
      <c r="AB242" s="290">
        <v>90</v>
      </c>
      <c r="AC242" s="290">
        <v>379</v>
      </c>
      <c r="AD242" s="290"/>
      <c r="AE242" s="290">
        <v>0</v>
      </c>
      <c r="AF242" s="290">
        <v>0</v>
      </c>
      <c r="AG242" s="290">
        <v>4054</v>
      </c>
      <c r="AH242" s="290">
        <v>761</v>
      </c>
      <c r="AI242" s="290">
        <v>0</v>
      </c>
      <c r="AJ242" s="290">
        <v>0</v>
      </c>
      <c r="AK242" s="290">
        <v>0</v>
      </c>
      <c r="AL242" s="290">
        <v>0</v>
      </c>
      <c r="AM242" s="957">
        <v>3.5004239999999999E-2</v>
      </c>
      <c r="AN242" s="290">
        <v>1223</v>
      </c>
      <c r="AO242" s="290">
        <v>892.36288597999999</v>
      </c>
      <c r="AP242" s="290">
        <v>0</v>
      </c>
      <c r="AQ242" s="290">
        <v>0</v>
      </c>
      <c r="AR242" s="290">
        <v>-195.56756351999999</v>
      </c>
      <c r="AS242" s="290">
        <v>629</v>
      </c>
      <c r="AT242" s="290">
        <v>151</v>
      </c>
      <c r="AU242" s="290">
        <v>28</v>
      </c>
      <c r="AV242" s="766">
        <v>145617</v>
      </c>
      <c r="AW242" s="290"/>
      <c r="AX242" s="766">
        <v>12</v>
      </c>
      <c r="AY242" s="290">
        <v>751</v>
      </c>
      <c r="AZ242" s="290">
        <v>136</v>
      </c>
      <c r="BA242" s="290">
        <v>62</v>
      </c>
      <c r="BB242" s="290">
        <v>0</v>
      </c>
      <c r="BC242" s="290">
        <v>7563</v>
      </c>
      <c r="BD242" s="290"/>
      <c r="BE242" s="290">
        <v>144426.10911301</v>
      </c>
      <c r="BF242" s="290">
        <v>0</v>
      </c>
      <c r="BG242" s="290">
        <v>3651.5601988472463</v>
      </c>
      <c r="BH242" s="290">
        <v>196.7371209174843</v>
      </c>
      <c r="BI242" s="290">
        <v>1140</v>
      </c>
      <c r="BJ242" s="290"/>
      <c r="BK242" s="290"/>
      <c r="BL242" s="290"/>
      <c r="BM242" s="290">
        <v>0</v>
      </c>
      <c r="BN242" s="290">
        <v>1697.9503199999999</v>
      </c>
      <c r="BO242" s="290">
        <v>-1888.9760405048294</v>
      </c>
      <c r="BP242" s="290">
        <v>249.33600000000001</v>
      </c>
      <c r="BQ242" s="290">
        <v>-133.71700000000001</v>
      </c>
      <c r="BR242" s="290">
        <v>-83.021740376805667</v>
      </c>
      <c r="BS242" s="290">
        <v>0.91200000000000003</v>
      </c>
      <c r="BT242" s="290"/>
      <c r="BU242" s="290">
        <v>0</v>
      </c>
      <c r="BV242" s="290">
        <v>1000</v>
      </c>
      <c r="BW242" s="290">
        <v>-931</v>
      </c>
      <c r="BX242" s="290">
        <v>534</v>
      </c>
      <c r="BY242" s="290">
        <v>98</v>
      </c>
      <c r="BZ242" s="290">
        <v>-708</v>
      </c>
      <c r="CA242" s="290">
        <v>-1.4835391183648881</v>
      </c>
      <c r="CB242" s="290">
        <v>158</v>
      </c>
      <c r="CC242" s="290">
        <v>527</v>
      </c>
      <c r="CD242" s="290">
        <v>6</v>
      </c>
      <c r="CE242" s="290">
        <v>149</v>
      </c>
      <c r="CF242" s="290">
        <v>7</v>
      </c>
      <c r="CG242" s="290">
        <v>1</v>
      </c>
      <c r="CH242" s="290">
        <v>-5</v>
      </c>
      <c r="CI242" s="290">
        <v>-1801</v>
      </c>
      <c r="CJ242" s="290">
        <v>-4356</v>
      </c>
      <c r="CK242" s="290">
        <f>+innut22!E248+innut22!S248</f>
        <v>140390.59136957629</v>
      </c>
      <c r="CL242" s="290">
        <v>0</v>
      </c>
      <c r="CM242" s="290">
        <v>0</v>
      </c>
      <c r="CN242" s="290">
        <v>0</v>
      </c>
      <c r="CP242" s="290">
        <f>+innut23!E248</f>
        <v>130811.8111288721</v>
      </c>
      <c r="CQ242" s="290"/>
      <c r="CV242" s="85">
        <f t="shared" si="4"/>
        <v>0.75</v>
      </c>
    </row>
    <row r="243" spans="1:100" ht="13">
      <c r="A243" s="1">
        <v>4612</v>
      </c>
      <c r="B243" s="2" t="s">
        <v>25</v>
      </c>
      <c r="C243" s="289">
        <v>5775</v>
      </c>
      <c r="D243" s="290">
        <v>115</v>
      </c>
      <c r="E243" s="290">
        <v>265</v>
      </c>
      <c r="F243" s="290">
        <v>879</v>
      </c>
      <c r="G243" s="290">
        <v>503</v>
      </c>
      <c r="H243" s="290">
        <v>3092</v>
      </c>
      <c r="I243" s="290">
        <v>698</v>
      </c>
      <c r="J243" s="290">
        <v>178</v>
      </c>
      <c r="K243" s="290">
        <v>46</v>
      </c>
      <c r="L243" s="290">
        <v>41</v>
      </c>
      <c r="M243" s="290">
        <v>312</v>
      </c>
      <c r="N243" s="290">
        <v>78</v>
      </c>
      <c r="O243" s="290">
        <v>60</v>
      </c>
      <c r="P243" s="624">
        <v>45162.433666669996</v>
      </c>
      <c r="Q243" s="624">
        <v>18997.280666670002</v>
      </c>
      <c r="R243" s="624">
        <v>25</v>
      </c>
      <c r="S243" s="290">
        <v>58</v>
      </c>
      <c r="T243" s="290">
        <v>380</v>
      </c>
      <c r="U243" s="958">
        <v>3.3811391209713098E-3</v>
      </c>
      <c r="V243" s="290">
        <v>1283.1938970000001</v>
      </c>
      <c r="W243" s="765">
        <v>0.71218724</v>
      </c>
      <c r="X243" s="290">
        <v>2800</v>
      </c>
      <c r="Y243" s="290"/>
      <c r="Z243" s="290">
        <f>innut22!E249</f>
        <v>189392.54230765029</v>
      </c>
      <c r="AA243" s="290">
        <v>0</v>
      </c>
      <c r="AB243" s="290">
        <v>141</v>
      </c>
      <c r="AC243" s="290">
        <v>968</v>
      </c>
      <c r="AD243" s="290"/>
      <c r="AE243" s="290">
        <v>0</v>
      </c>
      <c r="AF243" s="290">
        <v>0</v>
      </c>
      <c r="AG243" s="290">
        <v>5776</v>
      </c>
      <c r="AH243" s="290">
        <v>1193</v>
      </c>
      <c r="AI243" s="290">
        <v>20</v>
      </c>
      <c r="AJ243" s="290">
        <v>0</v>
      </c>
      <c r="AK243" s="290">
        <v>0</v>
      </c>
      <c r="AL243" s="290">
        <v>0</v>
      </c>
      <c r="AM243" s="957">
        <v>0.10880935999999999</v>
      </c>
      <c r="AN243" s="290">
        <v>0</v>
      </c>
      <c r="AO243" s="290">
        <v>1215.34550087</v>
      </c>
      <c r="AP243" s="290">
        <v>0</v>
      </c>
      <c r="AQ243" s="290">
        <v>0</v>
      </c>
      <c r="AR243" s="290">
        <v>-278.63794940999998</v>
      </c>
      <c r="AS243" s="290">
        <v>1173</v>
      </c>
      <c r="AT243" s="290">
        <v>247</v>
      </c>
      <c r="AU243" s="290">
        <v>59</v>
      </c>
      <c r="AV243" s="766">
        <v>182642</v>
      </c>
      <c r="AW243" s="290"/>
      <c r="AX243" s="766">
        <v>34.5</v>
      </c>
      <c r="AY243" s="290">
        <v>1142</v>
      </c>
      <c r="AZ243" s="290">
        <v>251</v>
      </c>
      <c r="BA243" s="290">
        <v>93</v>
      </c>
      <c r="BB243" s="290">
        <v>0</v>
      </c>
      <c r="BC243" s="290">
        <v>10479</v>
      </c>
      <c r="BD243" s="290"/>
      <c r="BE243" s="290">
        <v>184948.56990624001</v>
      </c>
      <c r="BF243" s="290">
        <v>0</v>
      </c>
      <c r="BG243" s="290">
        <v>5215.8694405992692</v>
      </c>
      <c r="BH243" s="290">
        <v>281.01827190167489</v>
      </c>
      <c r="BI243" s="290">
        <v>2161</v>
      </c>
      <c r="BJ243" s="290"/>
      <c r="BK243" s="290"/>
      <c r="BL243" s="290"/>
      <c r="BM243" s="290">
        <v>0</v>
      </c>
      <c r="BN243" s="290">
        <v>2312.5079599999999</v>
      </c>
      <c r="BO243" s="290">
        <v>-2691.348201765144</v>
      </c>
      <c r="BP243" s="290">
        <v>336.976</v>
      </c>
      <c r="BQ243" s="290">
        <v>-180.71799999999999</v>
      </c>
      <c r="BR243" s="290">
        <v>-140.82444298298742</v>
      </c>
      <c r="BS243" s="290">
        <v>1.1910000000000001</v>
      </c>
      <c r="BT243" s="290"/>
      <c r="BU243" s="290">
        <v>0</v>
      </c>
      <c r="BV243" s="290">
        <v>2500</v>
      </c>
      <c r="BW243" s="290">
        <v>-1326</v>
      </c>
      <c r="BX243" s="290">
        <v>901</v>
      </c>
      <c r="BY243" s="290">
        <v>151</v>
      </c>
      <c r="BZ243" s="290">
        <v>-1008</v>
      </c>
      <c r="CA243" s="290">
        <v>-3.7843152518684064</v>
      </c>
      <c r="CB243" s="290">
        <v>242</v>
      </c>
      <c r="CC243" s="290">
        <v>751</v>
      </c>
      <c r="CD243" s="290">
        <v>9</v>
      </c>
      <c r="CE243" s="290">
        <v>213</v>
      </c>
      <c r="CF243" s="290">
        <v>10</v>
      </c>
      <c r="CG243" s="290">
        <v>1</v>
      </c>
      <c r="CH243" s="290">
        <v>-6</v>
      </c>
      <c r="CI243" s="290">
        <v>-2572</v>
      </c>
      <c r="CJ243" s="290">
        <v>-6459</v>
      </c>
      <c r="CK243" s="290">
        <f>+innut22!E249+innut22!S249</f>
        <v>189392.54230765029</v>
      </c>
      <c r="CL243" s="290">
        <v>0</v>
      </c>
      <c r="CM243" s="290">
        <v>0</v>
      </c>
      <c r="CN243" s="290">
        <v>0</v>
      </c>
      <c r="CP243" s="290">
        <f>+innut23!E249</f>
        <v>176644.91743044765</v>
      </c>
      <c r="CQ243" s="290"/>
      <c r="CV243" s="85">
        <f t="shared" si="4"/>
        <v>1.069</v>
      </c>
    </row>
    <row r="244" spans="1:100" ht="13">
      <c r="A244" s="1">
        <v>4613</v>
      </c>
      <c r="B244" s="2" t="s">
        <v>26</v>
      </c>
      <c r="C244" s="289">
        <v>12061</v>
      </c>
      <c r="D244" s="290">
        <v>255</v>
      </c>
      <c r="E244" s="290">
        <v>533</v>
      </c>
      <c r="F244" s="290">
        <v>1731</v>
      </c>
      <c r="G244" s="290">
        <v>1134</v>
      </c>
      <c r="H244" s="290">
        <v>6407</v>
      </c>
      <c r="I244" s="290">
        <v>1471</v>
      </c>
      <c r="J244" s="290">
        <v>377</v>
      </c>
      <c r="K244" s="290">
        <v>145</v>
      </c>
      <c r="L244" s="290">
        <v>84</v>
      </c>
      <c r="M244" s="290">
        <v>721</v>
      </c>
      <c r="N244" s="290">
        <v>186</v>
      </c>
      <c r="O244" s="290">
        <v>120</v>
      </c>
      <c r="P244" s="624">
        <v>49777.191333330004</v>
      </c>
      <c r="Q244" s="624">
        <v>28857.885999999999</v>
      </c>
      <c r="R244" s="624">
        <v>57</v>
      </c>
      <c r="S244" s="290">
        <v>113</v>
      </c>
      <c r="T244" s="290">
        <v>771</v>
      </c>
      <c r="U244" s="958">
        <v>2.788035338261283E-3</v>
      </c>
      <c r="V244" s="290">
        <v>6601.4355589699999</v>
      </c>
      <c r="W244" s="765">
        <v>0.66946185000000002</v>
      </c>
      <c r="X244" s="290">
        <v>5200</v>
      </c>
      <c r="Y244" s="290"/>
      <c r="Z244" s="290">
        <f>innut22!E250</f>
        <v>427931.10588349227</v>
      </c>
      <c r="AA244" s="290">
        <v>0</v>
      </c>
      <c r="AB244" s="290">
        <v>238</v>
      </c>
      <c r="AC244" s="290">
        <v>2464</v>
      </c>
      <c r="AD244" s="290"/>
      <c r="AE244" s="290">
        <v>0</v>
      </c>
      <c r="AF244" s="290">
        <v>0</v>
      </c>
      <c r="AG244" s="290">
        <v>12053</v>
      </c>
      <c r="AH244" s="290">
        <v>2461</v>
      </c>
      <c r="AI244" s="290">
        <v>30</v>
      </c>
      <c r="AJ244" s="290">
        <v>0</v>
      </c>
      <c r="AK244" s="290">
        <v>0</v>
      </c>
      <c r="AL244" s="290">
        <v>0</v>
      </c>
      <c r="AM244" s="957">
        <v>0.16818332999999999</v>
      </c>
      <c r="AN244" s="290">
        <v>0</v>
      </c>
      <c r="AO244" s="290">
        <v>2464.5327907300002</v>
      </c>
      <c r="AP244" s="290">
        <v>0</v>
      </c>
      <c r="AQ244" s="290">
        <v>0</v>
      </c>
      <c r="AR244" s="290">
        <v>-581.44446057000005</v>
      </c>
      <c r="AS244" s="290">
        <v>2723</v>
      </c>
      <c r="AT244" s="290">
        <v>478</v>
      </c>
      <c r="AU244" s="290">
        <v>110</v>
      </c>
      <c r="AV244" s="766">
        <v>363695</v>
      </c>
      <c r="AW244" s="290"/>
      <c r="AX244" s="766">
        <v>113.5</v>
      </c>
      <c r="AY244" s="290">
        <v>2271</v>
      </c>
      <c r="AZ244" s="290">
        <v>457</v>
      </c>
      <c r="BA244" s="290">
        <v>201</v>
      </c>
      <c r="BB244" s="290">
        <v>0</v>
      </c>
      <c r="BC244" s="290">
        <v>20508</v>
      </c>
      <c r="BD244" s="290"/>
      <c r="BE244" s="290">
        <v>367906.54403067997</v>
      </c>
      <c r="BF244" s="290">
        <v>0</v>
      </c>
      <c r="BG244" s="290">
        <v>10893.264298366716</v>
      </c>
      <c r="BH244" s="290">
        <v>586.90240301404344</v>
      </c>
      <c r="BI244" s="290">
        <v>4925</v>
      </c>
      <c r="BJ244" s="290"/>
      <c r="BK244" s="290"/>
      <c r="BL244" s="290"/>
      <c r="BM244" s="290">
        <v>0</v>
      </c>
      <c r="BN244" s="290">
        <v>4689.4086600000001</v>
      </c>
      <c r="BO244" s="290">
        <v>-5616.1391751861638</v>
      </c>
      <c r="BP244" s="290">
        <v>714.35900000000004</v>
      </c>
      <c r="BQ244" s="290">
        <v>-383.10599999999999</v>
      </c>
      <c r="BR244" s="290">
        <v>-269.16539989281534</v>
      </c>
      <c r="BS244" s="290">
        <v>2.2789999999999999</v>
      </c>
      <c r="BT244" s="290"/>
      <c r="BU244" s="290">
        <v>0</v>
      </c>
      <c r="BV244" s="290">
        <v>4500</v>
      </c>
      <c r="BW244" s="290">
        <v>-2768</v>
      </c>
      <c r="BX244" s="290">
        <v>1723</v>
      </c>
      <c r="BY244" s="290">
        <v>295</v>
      </c>
      <c r="BZ244" s="290">
        <v>-2104</v>
      </c>
      <c r="CA244" s="290">
        <v>-9.6360849210209381</v>
      </c>
      <c r="CB244" s="290">
        <v>474</v>
      </c>
      <c r="CC244" s="290">
        <v>1567</v>
      </c>
      <c r="CD244" s="290">
        <v>17</v>
      </c>
      <c r="CE244" s="290">
        <v>445</v>
      </c>
      <c r="CF244" s="290">
        <v>19</v>
      </c>
      <c r="CG244" s="290">
        <v>3</v>
      </c>
      <c r="CH244" s="290">
        <v>-12</v>
      </c>
      <c r="CI244" s="290">
        <v>-5372</v>
      </c>
      <c r="CJ244" s="290">
        <v>-13413</v>
      </c>
      <c r="CK244" s="290">
        <f>+innut22!E250+innut22!S250</f>
        <v>427931.10588349227</v>
      </c>
      <c r="CL244" s="290">
        <v>0</v>
      </c>
      <c r="CM244" s="290">
        <v>0</v>
      </c>
      <c r="CN244" s="290">
        <v>0</v>
      </c>
      <c r="CP244" s="290">
        <f>+innut23!E250</f>
        <v>394366.84691253811</v>
      </c>
      <c r="CQ244" s="290"/>
      <c r="CV244" s="85">
        <f t="shared" si="4"/>
        <v>2.2309999999999999</v>
      </c>
    </row>
    <row r="245" spans="1:100" ht="13">
      <c r="A245" s="1">
        <v>4614</v>
      </c>
      <c r="B245" s="2" t="s">
        <v>27</v>
      </c>
      <c r="C245" s="289">
        <v>18919</v>
      </c>
      <c r="D245" s="290">
        <v>383</v>
      </c>
      <c r="E245" s="290">
        <v>946</v>
      </c>
      <c r="F245" s="290">
        <v>2484</v>
      </c>
      <c r="G245" s="290">
        <v>1700</v>
      </c>
      <c r="H245" s="290">
        <v>10363</v>
      </c>
      <c r="I245" s="290">
        <v>2139</v>
      </c>
      <c r="J245" s="290">
        <v>688</v>
      </c>
      <c r="K245" s="290">
        <v>152</v>
      </c>
      <c r="L245" s="290">
        <v>120</v>
      </c>
      <c r="M245" s="290">
        <v>1042</v>
      </c>
      <c r="N245" s="290">
        <v>320</v>
      </c>
      <c r="O245" s="290">
        <v>144</v>
      </c>
      <c r="P245" s="624">
        <v>38536.728666670002</v>
      </c>
      <c r="Q245" s="624">
        <v>21804.593000000001</v>
      </c>
      <c r="R245" s="624">
        <v>77</v>
      </c>
      <c r="S245" s="290">
        <v>196</v>
      </c>
      <c r="T245" s="290">
        <v>1456</v>
      </c>
      <c r="U245" s="958">
        <v>1.5174534698016468E-3</v>
      </c>
      <c r="V245" s="290">
        <v>9478.6738128899997</v>
      </c>
      <c r="W245" s="765">
        <v>0.54945717999999999</v>
      </c>
      <c r="X245" s="290">
        <v>2600</v>
      </c>
      <c r="Y245" s="290"/>
      <c r="Z245" s="290">
        <f>innut22!E251</f>
        <v>679737.64080376877</v>
      </c>
      <c r="AA245" s="290">
        <v>0</v>
      </c>
      <c r="AB245" s="290">
        <v>446</v>
      </c>
      <c r="AC245" s="290">
        <v>4130</v>
      </c>
      <c r="AD245" s="290"/>
      <c r="AE245" s="290">
        <v>0</v>
      </c>
      <c r="AF245" s="290">
        <v>0</v>
      </c>
      <c r="AG245" s="290">
        <v>18855</v>
      </c>
      <c r="AH245" s="290">
        <v>3676</v>
      </c>
      <c r="AI245" s="290">
        <v>550</v>
      </c>
      <c r="AJ245" s="290">
        <v>0</v>
      </c>
      <c r="AK245" s="290">
        <v>0</v>
      </c>
      <c r="AL245" s="290">
        <v>0</v>
      </c>
      <c r="AM245" s="957">
        <v>0.24595360999999999</v>
      </c>
      <c r="AN245" s="290">
        <v>0</v>
      </c>
      <c r="AO245" s="290">
        <v>3661.5642082700001</v>
      </c>
      <c r="AP245" s="290">
        <v>0</v>
      </c>
      <c r="AQ245" s="290">
        <v>0</v>
      </c>
      <c r="AR245" s="290">
        <v>-909.57730890000005</v>
      </c>
      <c r="AS245" s="290">
        <v>7238</v>
      </c>
      <c r="AT245" s="290">
        <v>880</v>
      </c>
      <c r="AU245" s="290">
        <v>146</v>
      </c>
      <c r="AV245" s="766">
        <v>504534</v>
      </c>
      <c r="AW245" s="290"/>
      <c r="AX245" s="766">
        <v>121.00005</v>
      </c>
      <c r="AY245" s="290">
        <v>4628</v>
      </c>
      <c r="AZ245" s="290">
        <v>681</v>
      </c>
      <c r="BA245" s="290">
        <v>364</v>
      </c>
      <c r="BB245" s="290">
        <v>0</v>
      </c>
      <c r="BC245" s="290">
        <v>34596</v>
      </c>
      <c r="BD245" s="290"/>
      <c r="BE245" s="290">
        <v>510413.71995743999</v>
      </c>
      <c r="BF245" s="290">
        <v>0</v>
      </c>
      <c r="BG245" s="290">
        <v>17087.278605488758</v>
      </c>
      <c r="BH245" s="290">
        <v>920.62072486714942</v>
      </c>
      <c r="BI245" s="290">
        <v>7806</v>
      </c>
      <c r="BJ245" s="290"/>
      <c r="BK245" s="290"/>
      <c r="BL245" s="290"/>
      <c r="BM245" s="290">
        <v>0</v>
      </c>
      <c r="BN245" s="290">
        <v>6967.0693600000004</v>
      </c>
      <c r="BO245" s="290">
        <v>-8785.5558075280114</v>
      </c>
      <c r="BP245" s="290">
        <v>1214.3689999999999</v>
      </c>
      <c r="BQ245" s="290">
        <v>-651.25699999999995</v>
      </c>
      <c r="BR245" s="290">
        <v>-375.6984756555475</v>
      </c>
      <c r="BS245" s="290">
        <v>3.3159999999999998</v>
      </c>
      <c r="BT245" s="290"/>
      <c r="BU245" s="290">
        <v>0</v>
      </c>
      <c r="BV245" s="290">
        <v>5000</v>
      </c>
      <c r="BW245" s="290">
        <v>-4330</v>
      </c>
      <c r="BX245" s="290">
        <v>2411</v>
      </c>
      <c r="BY245" s="290">
        <v>511</v>
      </c>
      <c r="BZ245" s="290">
        <v>-3291</v>
      </c>
      <c r="CA245" s="290">
        <v>-714.24307681644177</v>
      </c>
      <c r="CB245" s="290">
        <v>820</v>
      </c>
      <c r="CC245" s="290">
        <v>2452</v>
      </c>
      <c r="CD245" s="290">
        <v>30</v>
      </c>
      <c r="CE245" s="290">
        <v>697</v>
      </c>
      <c r="CF245" s="290">
        <v>27</v>
      </c>
      <c r="CG245" s="290">
        <v>4</v>
      </c>
      <c r="CH245" s="290">
        <v>-18</v>
      </c>
      <c r="CI245" s="290">
        <v>-8426</v>
      </c>
      <c r="CJ245" s="290">
        <v>-21029</v>
      </c>
      <c r="CK245" s="290">
        <f>+innut22!E251+innut22!S251</f>
        <v>679737.64080376877</v>
      </c>
      <c r="CL245" s="290">
        <v>0</v>
      </c>
      <c r="CM245" s="290">
        <v>0</v>
      </c>
      <c r="CN245" s="290">
        <v>0</v>
      </c>
      <c r="CP245" s="290">
        <f>+innut23!E251</f>
        <v>635041.82614571776</v>
      </c>
      <c r="CQ245" s="290"/>
      <c r="CV245" s="85">
        <f t="shared" si="4"/>
        <v>3.49</v>
      </c>
    </row>
    <row r="246" spans="1:100" ht="13">
      <c r="A246" s="1">
        <v>4615</v>
      </c>
      <c r="B246" s="2" t="s">
        <v>28</v>
      </c>
      <c r="C246" s="289">
        <v>3117</v>
      </c>
      <c r="D246" s="290">
        <v>59</v>
      </c>
      <c r="E246" s="290">
        <v>144</v>
      </c>
      <c r="F246" s="290">
        <v>432</v>
      </c>
      <c r="G246" s="290">
        <v>303</v>
      </c>
      <c r="H246" s="290">
        <v>1683</v>
      </c>
      <c r="I246" s="290">
        <v>401</v>
      </c>
      <c r="J246" s="290">
        <v>102</v>
      </c>
      <c r="K246" s="290">
        <v>26</v>
      </c>
      <c r="L246" s="290">
        <v>25</v>
      </c>
      <c r="M246" s="290">
        <v>183</v>
      </c>
      <c r="N246" s="290">
        <v>15</v>
      </c>
      <c r="O246" s="290">
        <v>25</v>
      </c>
      <c r="P246" s="624">
        <v>14795.462</v>
      </c>
      <c r="Q246" s="624">
        <v>9645.3006666700003</v>
      </c>
      <c r="R246" s="624">
        <v>12</v>
      </c>
      <c r="S246" s="290">
        <v>29</v>
      </c>
      <c r="T246" s="290">
        <v>210</v>
      </c>
      <c r="U246" s="958">
        <v>1.6387373639166522E-3</v>
      </c>
      <c r="V246" s="290">
        <v>1772.45499034</v>
      </c>
      <c r="W246" s="765">
        <v>0.73409471000000004</v>
      </c>
      <c r="X246" s="290">
        <v>3000</v>
      </c>
      <c r="Y246" s="290"/>
      <c r="Z246" s="290">
        <f>innut22!E252</f>
        <v>109193.78272535867</v>
      </c>
      <c r="AA246" s="290">
        <v>0</v>
      </c>
      <c r="AB246" s="290">
        <v>77</v>
      </c>
      <c r="AC246" s="290">
        <v>0</v>
      </c>
      <c r="AD246" s="290"/>
      <c r="AE246" s="290">
        <v>0</v>
      </c>
      <c r="AF246" s="290">
        <v>0</v>
      </c>
      <c r="AG246" s="290">
        <v>3150</v>
      </c>
      <c r="AH246" s="290">
        <v>624</v>
      </c>
      <c r="AI246" s="290">
        <v>30</v>
      </c>
      <c r="AJ246" s="290">
        <v>0</v>
      </c>
      <c r="AK246" s="290">
        <v>0</v>
      </c>
      <c r="AL246" s="290">
        <v>0</v>
      </c>
      <c r="AM246" s="957">
        <v>4.6649660000000003E-2</v>
      </c>
      <c r="AN246" s="290">
        <v>0</v>
      </c>
      <c r="AO246" s="290">
        <v>661.71568362000005</v>
      </c>
      <c r="AP246" s="290">
        <v>0</v>
      </c>
      <c r="AQ246" s="290">
        <v>0</v>
      </c>
      <c r="AR246" s="290">
        <v>-151.95802297</v>
      </c>
      <c r="AS246" s="290">
        <v>717</v>
      </c>
      <c r="AT246" s="290">
        <v>132</v>
      </c>
      <c r="AU246" s="290">
        <v>25</v>
      </c>
      <c r="AV246" s="766">
        <v>107218</v>
      </c>
      <c r="AW246" s="290"/>
      <c r="AX246" s="766">
        <v>25.166650000000001</v>
      </c>
      <c r="AY246" s="290">
        <v>562</v>
      </c>
      <c r="AZ246" s="290">
        <v>140</v>
      </c>
      <c r="BA246" s="290">
        <v>46</v>
      </c>
      <c r="BB246" s="290">
        <v>3017</v>
      </c>
      <c r="BC246" s="290">
        <v>6154</v>
      </c>
      <c r="BD246" s="290"/>
      <c r="BE246" s="290">
        <v>105542.2204165</v>
      </c>
      <c r="BF246" s="290">
        <v>0</v>
      </c>
      <c r="BG246" s="290">
        <v>2815.2147266403331</v>
      </c>
      <c r="BH246" s="290">
        <v>151.67687506796898</v>
      </c>
      <c r="BI246" s="290">
        <v>624</v>
      </c>
      <c r="BJ246" s="290"/>
      <c r="BK246" s="290"/>
      <c r="BL246" s="290"/>
      <c r="BM246" s="290">
        <v>0</v>
      </c>
      <c r="BN246" s="290">
        <v>1259.0846000000001</v>
      </c>
      <c r="BO246" s="290">
        <v>-1467.7539535249662</v>
      </c>
      <c r="BP246" s="290">
        <v>187.12</v>
      </c>
      <c r="BQ246" s="290">
        <v>-100.351</v>
      </c>
      <c r="BR246" s="290">
        <v>-69.88493094229662</v>
      </c>
      <c r="BS246" s="290">
        <v>0.69499999999999995</v>
      </c>
      <c r="BT246" s="290"/>
      <c r="BU246" s="290">
        <v>0</v>
      </c>
      <c r="BV246" s="290">
        <v>1500</v>
      </c>
      <c r="BW246" s="290">
        <v>-723</v>
      </c>
      <c r="BX246" s="290">
        <v>449</v>
      </c>
      <c r="BY246" s="290">
        <v>76</v>
      </c>
      <c r="BZ246" s="290">
        <v>-550</v>
      </c>
      <c r="CA246" s="290">
        <v>698.09028446726268</v>
      </c>
      <c r="CB246" s="290">
        <v>122</v>
      </c>
      <c r="CC246" s="290">
        <v>410</v>
      </c>
      <c r="CD246" s="290">
        <v>4</v>
      </c>
      <c r="CE246" s="290">
        <v>115</v>
      </c>
      <c r="CF246" s="290">
        <v>6</v>
      </c>
      <c r="CG246" s="290">
        <v>1</v>
      </c>
      <c r="CH246" s="290">
        <v>-4</v>
      </c>
      <c r="CI246" s="290">
        <v>-1388</v>
      </c>
      <c r="CJ246" s="290">
        <v>-3833</v>
      </c>
      <c r="CK246" s="290">
        <f>+innut22!E252+innut22!S252</f>
        <v>109193.78272535867</v>
      </c>
      <c r="CL246" s="290">
        <v>0</v>
      </c>
      <c r="CM246" s="290">
        <v>0</v>
      </c>
      <c r="CN246" s="290">
        <v>0</v>
      </c>
      <c r="CP246" s="290">
        <f>+innut23!E252</f>
        <v>100096.72087654447</v>
      </c>
      <c r="CQ246" s="290"/>
      <c r="CV246" s="85">
        <f t="shared" si="4"/>
        <v>0.58299999999999996</v>
      </c>
    </row>
    <row r="247" spans="1:100" ht="13">
      <c r="A247" s="1">
        <v>4616</v>
      </c>
      <c r="B247" s="2" t="s">
        <v>29</v>
      </c>
      <c r="C247" s="289">
        <v>2883</v>
      </c>
      <c r="D247" s="290">
        <v>64</v>
      </c>
      <c r="E247" s="290">
        <v>147</v>
      </c>
      <c r="F247" s="290">
        <v>321</v>
      </c>
      <c r="G247" s="290">
        <v>224</v>
      </c>
      <c r="H247" s="290">
        <v>1453</v>
      </c>
      <c r="I247" s="290">
        <v>512</v>
      </c>
      <c r="J247" s="290">
        <v>157</v>
      </c>
      <c r="K247" s="290">
        <v>39</v>
      </c>
      <c r="L247" s="290">
        <v>23</v>
      </c>
      <c r="M247" s="290">
        <v>279</v>
      </c>
      <c r="N247" s="290">
        <v>7</v>
      </c>
      <c r="O247" s="290">
        <v>29</v>
      </c>
      <c r="P247" s="624">
        <v>25021.353999999999</v>
      </c>
      <c r="Q247" s="624">
        <v>10284.813333329999</v>
      </c>
      <c r="R247" s="624">
        <v>17</v>
      </c>
      <c r="S247" s="290">
        <v>26</v>
      </c>
      <c r="T247" s="290">
        <v>225</v>
      </c>
      <c r="U247" s="958">
        <v>2.5117486995078443E-3</v>
      </c>
      <c r="V247" s="290">
        <v>1747.7048455199999</v>
      </c>
      <c r="W247" s="765">
        <v>0.95062064999999996</v>
      </c>
      <c r="X247" s="290">
        <v>2100</v>
      </c>
      <c r="Y247" s="290"/>
      <c r="Z247" s="290">
        <f>innut22!E253</f>
        <v>142611.20723191139</v>
      </c>
      <c r="AA247" s="290">
        <v>0</v>
      </c>
      <c r="AB247" s="290">
        <v>65</v>
      </c>
      <c r="AC247" s="290">
        <v>0</v>
      </c>
      <c r="AD247" s="290"/>
      <c r="AE247" s="290">
        <v>0</v>
      </c>
      <c r="AF247" s="290">
        <v>0</v>
      </c>
      <c r="AG247" s="290">
        <v>2917</v>
      </c>
      <c r="AH247" s="290">
        <v>504</v>
      </c>
      <c r="AI247" s="290">
        <v>0</v>
      </c>
      <c r="AJ247" s="290">
        <v>0</v>
      </c>
      <c r="AK247" s="290">
        <v>0</v>
      </c>
      <c r="AL247" s="290">
        <v>0</v>
      </c>
      <c r="AM247" s="957">
        <v>2.8977599999999999E-2</v>
      </c>
      <c r="AN247" s="290">
        <v>0</v>
      </c>
      <c r="AO247" s="290">
        <v>691.22759182000004</v>
      </c>
      <c r="AP247" s="290">
        <v>0</v>
      </c>
      <c r="AQ247" s="290">
        <v>0</v>
      </c>
      <c r="AR247" s="290">
        <v>-140.71795333</v>
      </c>
      <c r="AS247" s="290">
        <v>1395</v>
      </c>
      <c r="AT247" s="290">
        <v>111</v>
      </c>
      <c r="AU247" s="290">
        <v>24</v>
      </c>
      <c r="AV247" s="766">
        <v>116398</v>
      </c>
      <c r="AW247" s="290"/>
      <c r="AX247" s="766">
        <v>30.333349999999999</v>
      </c>
      <c r="AY247" s="290">
        <v>554</v>
      </c>
      <c r="AZ247" s="290">
        <v>93</v>
      </c>
      <c r="BA247" s="290">
        <v>44</v>
      </c>
      <c r="BB247" s="290">
        <v>3017</v>
      </c>
      <c r="BC247" s="290">
        <v>5175</v>
      </c>
      <c r="BD247" s="290"/>
      <c r="BE247" s="290">
        <v>121131.66599669</v>
      </c>
      <c r="BF247" s="290">
        <v>0</v>
      </c>
      <c r="BG247" s="290">
        <v>2603.870406449817</v>
      </c>
      <c r="BH247" s="290">
        <v>140.29016067403094</v>
      </c>
      <c r="BI247" s="290">
        <v>504</v>
      </c>
      <c r="BJ247" s="290"/>
      <c r="BK247" s="290"/>
      <c r="BL247" s="290"/>
      <c r="BM247" s="290">
        <v>0</v>
      </c>
      <c r="BN247" s="290">
        <v>1315.2386000000001</v>
      </c>
      <c r="BO247" s="290">
        <v>-1359.1867563277226</v>
      </c>
      <c r="BP247" s="290">
        <v>194.46199999999999</v>
      </c>
      <c r="BQ247" s="290">
        <v>-104.288</v>
      </c>
      <c r="BR247" s="290">
        <v>-55.97584367227752</v>
      </c>
      <c r="BS247" s="290">
        <v>0.75</v>
      </c>
      <c r="BT247" s="290"/>
      <c r="BU247" s="290">
        <v>0</v>
      </c>
      <c r="BV247" s="290">
        <v>1500</v>
      </c>
      <c r="BW247" s="290">
        <v>-670</v>
      </c>
      <c r="BX247" s="290">
        <v>360</v>
      </c>
      <c r="BY247" s="290">
        <v>67</v>
      </c>
      <c r="BZ247" s="290">
        <v>-509</v>
      </c>
      <c r="CA247" s="290">
        <v>0</v>
      </c>
      <c r="CB247" s="290">
        <v>108</v>
      </c>
      <c r="CC247" s="290">
        <v>379</v>
      </c>
      <c r="CD247" s="290">
        <v>4</v>
      </c>
      <c r="CE247" s="290">
        <v>106</v>
      </c>
      <c r="CF247" s="290">
        <v>6</v>
      </c>
      <c r="CG247" s="290">
        <v>1</v>
      </c>
      <c r="CH247" s="290">
        <v>-4</v>
      </c>
      <c r="CI247" s="290">
        <v>-1284</v>
      </c>
      <c r="CJ247" s="290">
        <v>-6722</v>
      </c>
      <c r="CK247" s="290">
        <f>+innut22!E253+innut22!S253</f>
        <v>142611.20723191139</v>
      </c>
      <c r="CL247" s="290">
        <v>0</v>
      </c>
      <c r="CM247" s="290">
        <v>0</v>
      </c>
      <c r="CN247" s="290">
        <v>0</v>
      </c>
      <c r="CP247" s="290">
        <f>+innut23!E253</f>
        <v>118474.26503794064</v>
      </c>
      <c r="CQ247" s="290"/>
      <c r="CV247" s="85">
        <f t="shared" si="4"/>
        <v>0.54</v>
      </c>
    </row>
    <row r="248" spans="1:100" ht="13">
      <c r="A248" s="1">
        <v>4617</v>
      </c>
      <c r="B248" s="2" t="s">
        <v>30</v>
      </c>
      <c r="C248" s="289">
        <v>13017</v>
      </c>
      <c r="D248" s="290">
        <v>235</v>
      </c>
      <c r="E248" s="290">
        <v>487</v>
      </c>
      <c r="F248" s="290">
        <v>1599</v>
      </c>
      <c r="G248" s="290">
        <v>1207</v>
      </c>
      <c r="H248" s="290">
        <v>6843</v>
      </c>
      <c r="I248" s="290">
        <v>1838</v>
      </c>
      <c r="J248" s="290">
        <v>659</v>
      </c>
      <c r="K248" s="290">
        <v>154</v>
      </c>
      <c r="L248" s="290">
        <v>93</v>
      </c>
      <c r="M248" s="290">
        <v>1106</v>
      </c>
      <c r="N248" s="290">
        <v>111</v>
      </c>
      <c r="O248" s="290">
        <v>90</v>
      </c>
      <c r="P248" s="624">
        <v>111885.38733333</v>
      </c>
      <c r="Q248" s="624">
        <v>28760.01233333</v>
      </c>
      <c r="R248" s="624">
        <v>55</v>
      </c>
      <c r="S248" s="290">
        <v>125</v>
      </c>
      <c r="T248" s="290">
        <v>1009</v>
      </c>
      <c r="U248" s="958">
        <v>5.8712251845298843E-3</v>
      </c>
      <c r="V248" s="290">
        <v>5026.4418191599998</v>
      </c>
      <c r="W248" s="765">
        <v>0.70135024999999995</v>
      </c>
      <c r="X248" s="290">
        <v>0</v>
      </c>
      <c r="Y248" s="290"/>
      <c r="Z248" s="290">
        <f>innut22!E254</f>
        <v>479885.22539702797</v>
      </c>
      <c r="AA248" s="290">
        <v>0</v>
      </c>
      <c r="AB248" s="290">
        <v>313</v>
      </c>
      <c r="AC248" s="290">
        <v>1607</v>
      </c>
      <c r="AD248" s="290"/>
      <c r="AE248" s="290">
        <v>0</v>
      </c>
      <c r="AF248" s="290">
        <v>0</v>
      </c>
      <c r="AG248" s="290">
        <v>13022</v>
      </c>
      <c r="AH248" s="290">
        <v>2326</v>
      </c>
      <c r="AI248" s="290">
        <v>30</v>
      </c>
      <c r="AJ248" s="290">
        <v>0</v>
      </c>
      <c r="AK248" s="290">
        <v>0</v>
      </c>
      <c r="AL248" s="290">
        <v>0</v>
      </c>
      <c r="AM248" s="957">
        <v>0.13685642000000001</v>
      </c>
      <c r="AN248" s="290">
        <v>16732</v>
      </c>
      <c r="AO248" s="290">
        <v>2651.5748887099999</v>
      </c>
      <c r="AP248" s="290">
        <v>0</v>
      </c>
      <c r="AQ248" s="290">
        <v>0</v>
      </c>
      <c r="AR248" s="290">
        <v>4361.6455428099998</v>
      </c>
      <c r="AS248" s="290">
        <v>3125</v>
      </c>
      <c r="AT248" s="290">
        <v>601</v>
      </c>
      <c r="AU248" s="290">
        <v>89</v>
      </c>
      <c r="AV248" s="766">
        <v>410540</v>
      </c>
      <c r="AW248" s="290"/>
      <c r="AX248" s="766">
        <v>75.083349999999996</v>
      </c>
      <c r="AY248" s="290">
        <v>2552</v>
      </c>
      <c r="AZ248" s="290">
        <v>435</v>
      </c>
      <c r="BA248" s="290">
        <v>247</v>
      </c>
      <c r="BB248" s="290">
        <v>0</v>
      </c>
      <c r="BC248" s="290">
        <v>21696</v>
      </c>
      <c r="BD248" s="290"/>
      <c r="BE248" s="290">
        <v>401736.72760198999</v>
      </c>
      <c r="BF248" s="290">
        <v>0</v>
      </c>
      <c r="BG248" s="290">
        <v>11756.705196239081</v>
      </c>
      <c r="BH248" s="290">
        <v>633.42248404226882</v>
      </c>
      <c r="BI248" s="290">
        <v>3933</v>
      </c>
      <c r="BJ248" s="290"/>
      <c r="BK248" s="290"/>
      <c r="BL248" s="290"/>
      <c r="BM248" s="290">
        <v>0</v>
      </c>
      <c r="BN248" s="290">
        <v>5045.3044399999999</v>
      </c>
      <c r="BO248" s="290">
        <v>-6067.6482485086062</v>
      </c>
      <c r="BP248" s="290">
        <v>640.024</v>
      </c>
      <c r="BQ248" s="290">
        <v>-343.24</v>
      </c>
      <c r="BR248" s="290">
        <v>-253.7718261142351</v>
      </c>
      <c r="BS248" s="290">
        <v>2.6160000000000001</v>
      </c>
      <c r="BT248" s="290"/>
      <c r="BU248" s="290">
        <v>0</v>
      </c>
      <c r="BV248" s="290">
        <v>7500</v>
      </c>
      <c r="BW248" s="290">
        <v>-2990</v>
      </c>
      <c r="BX248" s="290">
        <v>1625</v>
      </c>
      <c r="BY248" s="290">
        <v>326</v>
      </c>
      <c r="BZ248" s="290">
        <v>-2273</v>
      </c>
      <c r="CA248" s="290">
        <v>-6.284365377158565</v>
      </c>
      <c r="CB248" s="290">
        <v>524</v>
      </c>
      <c r="CC248" s="290">
        <v>1693</v>
      </c>
      <c r="CD248" s="290">
        <v>19</v>
      </c>
      <c r="CE248" s="290">
        <v>480</v>
      </c>
      <c r="CF248" s="290">
        <v>21</v>
      </c>
      <c r="CG248" s="290">
        <v>3</v>
      </c>
      <c r="CH248" s="290">
        <v>-14</v>
      </c>
      <c r="CI248" s="290">
        <v>-5798</v>
      </c>
      <c r="CJ248" s="290">
        <v>-18213</v>
      </c>
      <c r="CK248" s="290">
        <f>+innut22!E254+innut22!S254</f>
        <v>479885.22539702797</v>
      </c>
      <c r="CL248" s="290">
        <v>0</v>
      </c>
      <c r="CM248" s="290">
        <v>0</v>
      </c>
      <c r="CN248" s="290">
        <v>0</v>
      </c>
      <c r="CP248" s="290">
        <f>+innut23!E254</f>
        <v>425905.04078123777</v>
      </c>
      <c r="CQ248" s="290"/>
      <c r="CV248" s="85">
        <f t="shared" si="4"/>
        <v>2.411</v>
      </c>
    </row>
    <row r="249" spans="1:100" ht="13">
      <c r="A249" s="1">
        <v>4618</v>
      </c>
      <c r="B249" s="2" t="s">
        <v>1632</v>
      </c>
      <c r="C249" s="289">
        <v>10881</v>
      </c>
      <c r="D249" s="290">
        <v>194</v>
      </c>
      <c r="E249" s="290">
        <v>354</v>
      </c>
      <c r="F249" s="290">
        <v>1232</v>
      </c>
      <c r="G249" s="290">
        <v>880</v>
      </c>
      <c r="H249" s="290">
        <v>5899</v>
      </c>
      <c r="I249" s="290">
        <v>1586</v>
      </c>
      <c r="J249" s="290">
        <v>644</v>
      </c>
      <c r="K249" s="290">
        <v>183</v>
      </c>
      <c r="L249" s="290">
        <v>83</v>
      </c>
      <c r="M249" s="290">
        <v>1073</v>
      </c>
      <c r="N249" s="290">
        <v>124</v>
      </c>
      <c r="O249" s="290">
        <v>147</v>
      </c>
      <c r="P249" s="624">
        <v>134145.25833333001</v>
      </c>
      <c r="Q249" s="624">
        <v>29216.248</v>
      </c>
      <c r="R249" s="624">
        <v>47</v>
      </c>
      <c r="S249" s="290">
        <v>109</v>
      </c>
      <c r="T249" s="290">
        <v>990</v>
      </c>
      <c r="U249" s="958">
        <v>7.9257154745993475E-3</v>
      </c>
      <c r="V249" s="290">
        <v>6223.3348330099998</v>
      </c>
      <c r="W249" s="765">
        <v>0.78020546000000002</v>
      </c>
      <c r="X249" s="290">
        <v>4300</v>
      </c>
      <c r="Y249" s="290"/>
      <c r="Z249" s="290">
        <f>innut22!E255</f>
        <v>412213.36873148941</v>
      </c>
      <c r="AA249" s="290">
        <v>0</v>
      </c>
      <c r="AB249" s="290">
        <v>199</v>
      </c>
      <c r="AC249" s="290">
        <v>516</v>
      </c>
      <c r="AD249" s="290"/>
      <c r="AE249" s="290">
        <v>0</v>
      </c>
      <c r="AF249" s="290">
        <v>40597</v>
      </c>
      <c r="AG249" s="290">
        <v>10972</v>
      </c>
      <c r="AH249" s="290">
        <v>1754</v>
      </c>
      <c r="AI249" s="290">
        <v>410</v>
      </c>
      <c r="AJ249" s="290">
        <v>0</v>
      </c>
      <c r="AK249" s="290">
        <v>0</v>
      </c>
      <c r="AL249" s="290">
        <v>0</v>
      </c>
      <c r="AM249" s="957">
        <v>0.11066843</v>
      </c>
      <c r="AN249" s="290">
        <v>14298</v>
      </c>
      <c r="AO249" s="290">
        <v>2323.3753668600002</v>
      </c>
      <c r="AP249" s="290">
        <v>0</v>
      </c>
      <c r="AQ249" s="290">
        <v>-519.98099999999999</v>
      </c>
      <c r="AR249" s="290">
        <v>-529.29632633999995</v>
      </c>
      <c r="AS249" s="290">
        <v>1444</v>
      </c>
      <c r="AT249" s="290">
        <v>445</v>
      </c>
      <c r="AU249" s="290">
        <v>68</v>
      </c>
      <c r="AV249" s="766">
        <v>420923</v>
      </c>
      <c r="AW249" s="290"/>
      <c r="AX249" s="766">
        <v>73.166650000000004</v>
      </c>
      <c r="AY249" s="290">
        <v>2252</v>
      </c>
      <c r="AZ249" s="290">
        <v>441</v>
      </c>
      <c r="BA249" s="290">
        <v>195</v>
      </c>
      <c r="BB249" s="290">
        <v>0</v>
      </c>
      <c r="BC249" s="290">
        <v>57801</v>
      </c>
      <c r="BD249" s="290"/>
      <c r="BE249" s="290">
        <v>415735.35452653997</v>
      </c>
      <c r="BF249" s="290">
        <v>0</v>
      </c>
      <c r="BG249" s="290">
        <v>9847.3808676803183</v>
      </c>
      <c r="BH249" s="290">
        <v>530.55276511583759</v>
      </c>
      <c r="BI249" s="290">
        <v>42867</v>
      </c>
      <c r="BJ249" s="290"/>
      <c r="BK249" s="290"/>
      <c r="BL249" s="290"/>
      <c r="BM249" s="290">
        <v>4113</v>
      </c>
      <c r="BN249" s="290">
        <v>4420.8202999999994</v>
      </c>
      <c r="BO249" s="290">
        <v>-5112.4432946272791</v>
      </c>
      <c r="BP249" s="290">
        <v>490.45699999999999</v>
      </c>
      <c r="BQ249" s="290">
        <v>-263.029</v>
      </c>
      <c r="BR249" s="290">
        <v>-206.32022048764955</v>
      </c>
      <c r="BS249" s="290">
        <v>2.3199999999999998</v>
      </c>
      <c r="BT249" s="290"/>
      <c r="BU249" s="290">
        <v>0</v>
      </c>
      <c r="BV249" s="290">
        <v>5000</v>
      </c>
      <c r="BW249" s="290">
        <v>-2520</v>
      </c>
      <c r="BX249" s="290">
        <v>1320</v>
      </c>
      <c r="BY249" s="290">
        <v>285</v>
      </c>
      <c r="BZ249" s="290">
        <v>-1915</v>
      </c>
      <c r="CA249" s="290">
        <v>-9.8047848850708306</v>
      </c>
      <c r="CB249" s="290">
        <v>458</v>
      </c>
      <c r="CC249" s="290">
        <v>1427</v>
      </c>
      <c r="CD249" s="290">
        <v>17</v>
      </c>
      <c r="CE249" s="290">
        <v>401</v>
      </c>
      <c r="CF249" s="290">
        <v>19</v>
      </c>
      <c r="CG249" s="290">
        <v>2</v>
      </c>
      <c r="CH249" s="290">
        <v>-12</v>
      </c>
      <c r="CI249" s="290">
        <v>-4846</v>
      </c>
      <c r="CJ249" s="290">
        <v>-9993</v>
      </c>
      <c r="CK249" s="290">
        <f>+innut22!E255+innut22!S255</f>
        <v>412213.36873148941</v>
      </c>
      <c r="CL249" s="290">
        <v>0</v>
      </c>
      <c r="CM249" s="290">
        <v>0</v>
      </c>
      <c r="CN249" s="290">
        <v>0</v>
      </c>
      <c r="CP249" s="290">
        <f>+innut23!E255</f>
        <v>387887.67145340727</v>
      </c>
      <c r="CQ249" s="290"/>
      <c r="CV249" s="85">
        <f t="shared" si="4"/>
        <v>2.0310000000000001</v>
      </c>
    </row>
    <row r="250" spans="1:100" ht="13">
      <c r="A250" s="1">
        <v>4619</v>
      </c>
      <c r="B250" s="2" t="s">
        <v>34</v>
      </c>
      <c r="C250" s="289">
        <v>937</v>
      </c>
      <c r="D250" s="290">
        <v>17</v>
      </c>
      <c r="E250" s="290">
        <v>47</v>
      </c>
      <c r="F250" s="290">
        <v>94</v>
      </c>
      <c r="G250" s="290">
        <v>61</v>
      </c>
      <c r="H250" s="290">
        <v>528</v>
      </c>
      <c r="I250" s="290">
        <v>125</v>
      </c>
      <c r="J250" s="290">
        <v>46</v>
      </c>
      <c r="K250" s="290">
        <v>15</v>
      </c>
      <c r="L250" s="290">
        <v>9</v>
      </c>
      <c r="M250" s="290">
        <v>109</v>
      </c>
      <c r="N250" s="290">
        <v>8</v>
      </c>
      <c r="O250" s="290">
        <v>6</v>
      </c>
      <c r="P250" s="624">
        <v>3267.89766667</v>
      </c>
      <c r="Q250" s="624">
        <v>2358.4369999999999</v>
      </c>
      <c r="R250" s="624">
        <v>1</v>
      </c>
      <c r="S250" s="290">
        <v>7</v>
      </c>
      <c r="T250" s="290">
        <v>69</v>
      </c>
      <c r="U250" s="958">
        <v>6.5920374169828159E-4</v>
      </c>
      <c r="V250" s="290">
        <v>652.72613632000002</v>
      </c>
      <c r="W250" s="765">
        <v>1</v>
      </c>
      <c r="X250" s="290">
        <v>0</v>
      </c>
      <c r="Y250" s="290"/>
      <c r="Z250" s="290">
        <f>innut22!E256</f>
        <v>62462.745823367579</v>
      </c>
      <c r="AA250" s="290">
        <v>0</v>
      </c>
      <c r="AB250" s="290">
        <v>2</v>
      </c>
      <c r="AC250" s="290">
        <v>0</v>
      </c>
      <c r="AD250" s="290"/>
      <c r="AE250" s="290">
        <v>0</v>
      </c>
      <c r="AF250" s="290">
        <v>0</v>
      </c>
      <c r="AG250" s="290">
        <v>933</v>
      </c>
      <c r="AH250" s="290">
        <v>150</v>
      </c>
      <c r="AI250" s="290">
        <v>0</v>
      </c>
      <c r="AJ250" s="290">
        <v>0</v>
      </c>
      <c r="AK250" s="290">
        <v>0</v>
      </c>
      <c r="AL250" s="290">
        <v>0</v>
      </c>
      <c r="AM250" s="957">
        <v>6.3951199999999998E-3</v>
      </c>
      <c r="AN250" s="290">
        <v>0</v>
      </c>
      <c r="AO250" s="290">
        <v>243.68411264</v>
      </c>
      <c r="AP250" s="290">
        <v>0</v>
      </c>
      <c r="AQ250" s="290">
        <v>519.98099999999999</v>
      </c>
      <c r="AR250" s="290">
        <v>-45.00851918</v>
      </c>
      <c r="AS250" s="290">
        <v>126</v>
      </c>
      <c r="AT250" s="290">
        <v>39</v>
      </c>
      <c r="AU250" s="290">
        <v>7</v>
      </c>
      <c r="AV250" s="766">
        <v>43098</v>
      </c>
      <c r="AW250" s="290"/>
      <c r="AX250" s="766">
        <v>6.4583500000000003</v>
      </c>
      <c r="AY250" s="290">
        <v>199</v>
      </c>
      <c r="AZ250" s="290">
        <v>20</v>
      </c>
      <c r="BA250" s="290">
        <v>12</v>
      </c>
      <c r="BB250" s="290">
        <v>0</v>
      </c>
      <c r="BC250" s="290">
        <v>1969</v>
      </c>
      <c r="BD250" s="290"/>
      <c r="BE250" s="290">
        <v>44049.38627571</v>
      </c>
      <c r="BF250" s="290">
        <v>0</v>
      </c>
      <c r="BG250" s="290">
        <v>826.41048279624795</v>
      </c>
      <c r="BH250" s="290">
        <v>44.524972950654991</v>
      </c>
      <c r="BI250" s="290">
        <v>150</v>
      </c>
      <c r="BJ250" s="290"/>
      <c r="BK250" s="290"/>
      <c r="BL250" s="290"/>
      <c r="BM250" s="290">
        <v>0</v>
      </c>
      <c r="BN250" s="290">
        <v>463.67182000000003</v>
      </c>
      <c r="BO250" s="290">
        <v>-434.73474242501379</v>
      </c>
      <c r="BP250" s="290">
        <v>59.966999999999999</v>
      </c>
      <c r="BQ250" s="290">
        <v>-32.159999999999997</v>
      </c>
      <c r="BR250" s="290">
        <v>-19.07607757498624</v>
      </c>
      <c r="BS250" s="290">
        <v>0.33200000000000002</v>
      </c>
      <c r="BT250" s="290"/>
      <c r="BU250" s="290">
        <v>0</v>
      </c>
      <c r="BV250" s="290">
        <v>500</v>
      </c>
      <c r="BW250" s="290">
        <v>-214</v>
      </c>
      <c r="BX250" s="290">
        <v>122</v>
      </c>
      <c r="BY250" s="290">
        <v>19</v>
      </c>
      <c r="BZ250" s="290">
        <v>-163</v>
      </c>
      <c r="CA250" s="290">
        <v>0</v>
      </c>
      <c r="CB250" s="290">
        <v>30</v>
      </c>
      <c r="CC250" s="290">
        <v>121</v>
      </c>
      <c r="CD250" s="290">
        <v>1</v>
      </c>
      <c r="CE250" s="290">
        <v>35</v>
      </c>
      <c r="CF250" s="290">
        <v>3</v>
      </c>
      <c r="CG250" s="290">
        <v>0</v>
      </c>
      <c r="CH250" s="290">
        <v>-2</v>
      </c>
      <c r="CI250" s="290">
        <v>-417</v>
      </c>
      <c r="CJ250" s="290">
        <v>-890</v>
      </c>
      <c r="CK250" s="290">
        <f>+innut22!E256+innut22!S256</f>
        <v>62462.745823367579</v>
      </c>
      <c r="CL250" s="290">
        <v>0</v>
      </c>
      <c r="CM250" s="290">
        <v>0</v>
      </c>
      <c r="CN250" s="290">
        <v>0</v>
      </c>
      <c r="CP250" s="290">
        <f>+innut23!E256</f>
        <v>60410.661217718138</v>
      </c>
      <c r="CQ250" s="290"/>
      <c r="CV250" s="85">
        <f t="shared" si="4"/>
        <v>0.17299999999999999</v>
      </c>
    </row>
    <row r="251" spans="1:100" ht="13">
      <c r="A251" s="1">
        <v>4620</v>
      </c>
      <c r="B251" s="2" t="s">
        <v>35</v>
      </c>
      <c r="C251" s="289">
        <v>1051</v>
      </c>
      <c r="D251" s="290">
        <v>15</v>
      </c>
      <c r="E251" s="290">
        <v>48</v>
      </c>
      <c r="F251" s="290">
        <v>117</v>
      </c>
      <c r="G251" s="290">
        <v>81</v>
      </c>
      <c r="H251" s="290">
        <v>548</v>
      </c>
      <c r="I251" s="290">
        <v>178</v>
      </c>
      <c r="J251" s="290">
        <v>54</v>
      </c>
      <c r="K251" s="290">
        <v>21</v>
      </c>
      <c r="L251" s="290">
        <v>10</v>
      </c>
      <c r="M251" s="290">
        <v>111</v>
      </c>
      <c r="N251" s="290">
        <v>18</v>
      </c>
      <c r="O251" s="290">
        <v>23</v>
      </c>
      <c r="P251" s="624">
        <v>3360.4389999999999</v>
      </c>
      <c r="Q251" s="624">
        <v>4090.0196666699999</v>
      </c>
      <c r="R251" s="624">
        <v>2</v>
      </c>
      <c r="S251" s="290">
        <v>10</v>
      </c>
      <c r="T251" s="290">
        <v>65</v>
      </c>
      <c r="U251" s="958">
        <v>1.3404727862912217E-3</v>
      </c>
      <c r="V251" s="290">
        <v>762.63019441999995</v>
      </c>
      <c r="W251" s="765">
        <v>1</v>
      </c>
      <c r="X251" s="290">
        <v>0</v>
      </c>
      <c r="Y251" s="290"/>
      <c r="Z251" s="290">
        <f>innut22!E257</f>
        <v>39913.591247035649</v>
      </c>
      <c r="AA251" s="290">
        <v>0</v>
      </c>
      <c r="AB251" s="290">
        <v>16</v>
      </c>
      <c r="AC251" s="290">
        <v>0</v>
      </c>
      <c r="AD251" s="290"/>
      <c r="AE251" s="290">
        <v>0</v>
      </c>
      <c r="AF251" s="290">
        <v>0</v>
      </c>
      <c r="AG251" s="290">
        <v>1062</v>
      </c>
      <c r="AH251" s="290">
        <v>174</v>
      </c>
      <c r="AI251" s="290">
        <v>0</v>
      </c>
      <c r="AJ251" s="290">
        <v>0</v>
      </c>
      <c r="AK251" s="290">
        <v>0</v>
      </c>
      <c r="AL251" s="290">
        <v>0</v>
      </c>
      <c r="AM251" s="957">
        <v>2.3568889999999999E-2</v>
      </c>
      <c r="AN251" s="290">
        <v>0</v>
      </c>
      <c r="AO251" s="290">
        <v>284.71490853</v>
      </c>
      <c r="AP251" s="290">
        <v>0</v>
      </c>
      <c r="AQ251" s="290">
        <v>0</v>
      </c>
      <c r="AR251" s="290">
        <v>1278.5440930699999</v>
      </c>
      <c r="AS251" s="290">
        <v>150</v>
      </c>
      <c r="AT251" s="290">
        <v>36</v>
      </c>
      <c r="AU251" s="290">
        <v>11</v>
      </c>
      <c r="AV251" s="766">
        <v>60716</v>
      </c>
      <c r="AW251" s="290"/>
      <c r="AX251" s="766">
        <v>4.8333000000000004</v>
      </c>
      <c r="AY251" s="290">
        <v>245</v>
      </c>
      <c r="AZ251" s="290">
        <v>67</v>
      </c>
      <c r="BA251" s="290">
        <v>18</v>
      </c>
      <c r="BB251" s="290">
        <v>6034</v>
      </c>
      <c r="BC251" s="290">
        <v>2237</v>
      </c>
      <c r="BD251" s="290"/>
      <c r="BE251" s="290">
        <v>58424.481501069997</v>
      </c>
      <c r="BF251" s="290">
        <v>0</v>
      </c>
      <c r="BG251" s="290">
        <v>949.24307914629139</v>
      </c>
      <c r="BH251" s="290">
        <v>51.142892427473662</v>
      </c>
      <c r="BI251" s="290">
        <v>174</v>
      </c>
      <c r="BJ251" s="290"/>
      <c r="BK251" s="290"/>
      <c r="BL251" s="290"/>
      <c r="BM251" s="290">
        <v>0</v>
      </c>
      <c r="BN251" s="290">
        <v>541.74348000000009</v>
      </c>
      <c r="BO251" s="290">
        <v>-494.84276147413141</v>
      </c>
      <c r="BP251" s="290">
        <v>60.759</v>
      </c>
      <c r="BQ251" s="290">
        <v>-32.585000000000001</v>
      </c>
      <c r="BR251" s="290">
        <v>-24.228933256702295</v>
      </c>
      <c r="BS251" s="290">
        <v>0.36899999999999999</v>
      </c>
      <c r="BT251" s="290"/>
      <c r="BU251" s="290">
        <v>0</v>
      </c>
      <c r="BV251" s="290">
        <v>500</v>
      </c>
      <c r="BW251" s="290">
        <v>-244</v>
      </c>
      <c r="BX251" s="290">
        <v>151</v>
      </c>
      <c r="BY251" s="290">
        <v>26</v>
      </c>
      <c r="BZ251" s="290">
        <v>-185</v>
      </c>
      <c r="CA251" s="290">
        <v>7.7852147308335979</v>
      </c>
      <c r="CB251" s="290">
        <v>42</v>
      </c>
      <c r="CC251" s="290">
        <v>138</v>
      </c>
      <c r="CD251" s="290">
        <v>2</v>
      </c>
      <c r="CE251" s="290">
        <v>39</v>
      </c>
      <c r="CF251" s="290">
        <v>3</v>
      </c>
      <c r="CG251" s="290">
        <v>0</v>
      </c>
      <c r="CH251" s="290">
        <v>-2</v>
      </c>
      <c r="CI251" s="290">
        <v>-468</v>
      </c>
      <c r="CJ251" s="290">
        <v>-882</v>
      </c>
      <c r="CK251" s="290">
        <f>+innut22!E257+innut22!S257</f>
        <v>39913.591247035649</v>
      </c>
      <c r="CL251" s="290">
        <v>0</v>
      </c>
      <c r="CM251" s="290">
        <v>0</v>
      </c>
      <c r="CN251" s="290">
        <v>0</v>
      </c>
      <c r="CP251" s="290">
        <f>+innut23!E257</f>
        <v>38332.239331622564</v>
      </c>
      <c r="CQ251" s="290"/>
      <c r="CV251" s="85">
        <f t="shared" si="4"/>
        <v>0.19700000000000001</v>
      </c>
    </row>
    <row r="252" spans="1:100" ht="13">
      <c r="A252" s="1">
        <v>4621</v>
      </c>
      <c r="B252" s="2" t="s">
        <v>1633</v>
      </c>
      <c r="C252" s="289">
        <v>15875</v>
      </c>
      <c r="D252" s="290">
        <v>328</v>
      </c>
      <c r="E252" s="290">
        <v>709</v>
      </c>
      <c r="F252" s="290">
        <v>1880</v>
      </c>
      <c r="G252" s="290">
        <v>1368</v>
      </c>
      <c r="H252" s="290">
        <v>8466</v>
      </c>
      <c r="I252" s="290">
        <v>2080</v>
      </c>
      <c r="J252" s="290">
        <v>783</v>
      </c>
      <c r="K252" s="290">
        <v>248</v>
      </c>
      <c r="L252" s="290">
        <v>110</v>
      </c>
      <c r="M252" s="290">
        <v>1323</v>
      </c>
      <c r="N252" s="290">
        <v>255</v>
      </c>
      <c r="O252" s="290">
        <v>130</v>
      </c>
      <c r="P252" s="624">
        <v>102575.20333333001</v>
      </c>
      <c r="Q252" s="624">
        <v>38443.268666670003</v>
      </c>
      <c r="R252" s="624">
        <v>70</v>
      </c>
      <c r="S252" s="290">
        <v>153</v>
      </c>
      <c r="T252" s="290">
        <v>1246</v>
      </c>
      <c r="U252" s="958">
        <v>8.9655104501070674E-3</v>
      </c>
      <c r="V252" s="290">
        <v>8846.1071389600002</v>
      </c>
      <c r="W252" s="765">
        <v>0.63154208000000001</v>
      </c>
      <c r="X252" s="290">
        <v>6500</v>
      </c>
      <c r="Y252" s="290"/>
      <c r="Z252" s="290">
        <f>innut22!E258</f>
        <v>554967.34972716647</v>
      </c>
      <c r="AA252" s="290">
        <v>0</v>
      </c>
      <c r="AB252" s="290">
        <v>282</v>
      </c>
      <c r="AC252" s="290">
        <v>2727</v>
      </c>
      <c r="AD252" s="290"/>
      <c r="AE252" s="290">
        <v>0</v>
      </c>
      <c r="AF252" s="290">
        <v>18576</v>
      </c>
      <c r="AG252" s="290">
        <v>15862</v>
      </c>
      <c r="AH252" s="290">
        <v>2878</v>
      </c>
      <c r="AI252" s="290">
        <v>30</v>
      </c>
      <c r="AJ252" s="290">
        <v>0</v>
      </c>
      <c r="AK252" s="290">
        <v>0</v>
      </c>
      <c r="AL252" s="290">
        <v>0</v>
      </c>
      <c r="AM252" s="957">
        <v>0.14577688</v>
      </c>
      <c r="AN252" s="290">
        <v>0</v>
      </c>
      <c r="AO252" s="290">
        <v>3302.5424424100001</v>
      </c>
      <c r="AP252" s="290">
        <v>0</v>
      </c>
      <c r="AQ252" s="290">
        <v>0</v>
      </c>
      <c r="AR252" s="290">
        <v>-765.19306675999997</v>
      </c>
      <c r="AS252" s="290">
        <v>3936</v>
      </c>
      <c r="AT252" s="290">
        <v>545</v>
      </c>
      <c r="AU252" s="290">
        <v>104</v>
      </c>
      <c r="AV252" s="766">
        <v>521698</v>
      </c>
      <c r="AW252" s="290"/>
      <c r="AX252" s="766">
        <v>114.12495</v>
      </c>
      <c r="AY252" s="290">
        <v>3808</v>
      </c>
      <c r="AZ252" s="290">
        <v>641</v>
      </c>
      <c r="BA252" s="290">
        <v>276</v>
      </c>
      <c r="BB252" s="290">
        <v>0</v>
      </c>
      <c r="BC252" s="290">
        <v>44291</v>
      </c>
      <c r="BD252" s="290"/>
      <c r="BE252" s="290">
        <v>524098.31837484997</v>
      </c>
      <c r="BF252" s="290">
        <v>0</v>
      </c>
      <c r="BG252" s="290">
        <v>14337.996081301024</v>
      </c>
      <c r="BH252" s="290">
        <v>772.49611540070828</v>
      </c>
      <c r="BI252" s="290">
        <v>24181</v>
      </c>
      <c r="BJ252" s="290"/>
      <c r="BK252" s="290"/>
      <c r="BL252" s="290"/>
      <c r="BM252" s="290">
        <v>4449</v>
      </c>
      <c r="BN252" s="290">
        <v>6283.9379600000002</v>
      </c>
      <c r="BO252" s="290">
        <v>-7390.956574861274</v>
      </c>
      <c r="BP252" s="290">
        <v>938.06899999999996</v>
      </c>
      <c r="BQ252" s="290">
        <v>-503.08</v>
      </c>
      <c r="BR252" s="290">
        <v>-297.39723597857784</v>
      </c>
      <c r="BS252" s="290">
        <v>3.0920000000000001</v>
      </c>
      <c r="BT252" s="290"/>
      <c r="BU252" s="290">
        <v>0</v>
      </c>
      <c r="BV252" s="290">
        <v>5500</v>
      </c>
      <c r="BW252" s="290">
        <v>-3643</v>
      </c>
      <c r="BX252" s="290">
        <v>1903</v>
      </c>
      <c r="BY252" s="290">
        <v>399</v>
      </c>
      <c r="BZ252" s="290">
        <v>-2769</v>
      </c>
      <c r="CA252" s="290">
        <v>-10.665149160148303</v>
      </c>
      <c r="CB252" s="290">
        <v>640</v>
      </c>
      <c r="CC252" s="290">
        <v>2063</v>
      </c>
      <c r="CD252" s="290">
        <v>23</v>
      </c>
      <c r="CE252" s="290">
        <v>585</v>
      </c>
      <c r="CF252" s="290">
        <v>25</v>
      </c>
      <c r="CG252" s="290">
        <v>3</v>
      </c>
      <c r="CH252" s="290">
        <v>-16</v>
      </c>
      <c r="CI252" s="290">
        <v>-7071</v>
      </c>
      <c r="CJ252" s="290">
        <v>-19013</v>
      </c>
      <c r="CK252" s="290">
        <f>+innut22!E258+innut22!S258</f>
        <v>554967.34972716647</v>
      </c>
      <c r="CL252" s="290">
        <v>0</v>
      </c>
      <c r="CM252" s="290">
        <v>0</v>
      </c>
      <c r="CN252" s="290">
        <v>0</v>
      </c>
      <c r="CP252" s="290">
        <f>+innut23!E258</f>
        <v>515914.11129063973</v>
      </c>
      <c r="CQ252" s="290"/>
      <c r="CV252" s="85">
        <f t="shared" si="4"/>
        <v>2.9359999999999999</v>
      </c>
    </row>
    <row r="253" spans="1:100" ht="13">
      <c r="A253" s="1">
        <v>4622</v>
      </c>
      <c r="B253" s="2" t="s">
        <v>38</v>
      </c>
      <c r="C253" s="289">
        <v>8497</v>
      </c>
      <c r="D253" s="290">
        <v>146</v>
      </c>
      <c r="E253" s="290">
        <v>396</v>
      </c>
      <c r="F253" s="290">
        <v>1024</v>
      </c>
      <c r="G253" s="290">
        <v>734</v>
      </c>
      <c r="H253" s="290">
        <v>4410</v>
      </c>
      <c r="I253" s="290">
        <v>1218</v>
      </c>
      <c r="J253" s="290">
        <v>425</v>
      </c>
      <c r="K253" s="290">
        <v>124</v>
      </c>
      <c r="L253" s="290">
        <v>57</v>
      </c>
      <c r="M253" s="290">
        <v>708</v>
      </c>
      <c r="N253" s="290">
        <v>166</v>
      </c>
      <c r="O253" s="290">
        <v>90</v>
      </c>
      <c r="P253" s="624">
        <v>70043.327000000005</v>
      </c>
      <c r="Q253" s="624">
        <v>17501.625</v>
      </c>
      <c r="R253" s="624">
        <v>51</v>
      </c>
      <c r="S253" s="290">
        <v>82</v>
      </c>
      <c r="T253" s="290">
        <v>590</v>
      </c>
      <c r="U253" s="958">
        <v>4.2421938579699269E-3</v>
      </c>
      <c r="V253" s="290">
        <v>1789.88987664</v>
      </c>
      <c r="W253" s="765">
        <v>0.67621308000000002</v>
      </c>
      <c r="X253" s="290">
        <v>4600</v>
      </c>
      <c r="Y253" s="290"/>
      <c r="Z253" s="290">
        <f>innut22!E259</f>
        <v>291054.92946909729</v>
      </c>
      <c r="AA253" s="290">
        <v>0</v>
      </c>
      <c r="AB253" s="290">
        <v>196</v>
      </c>
      <c r="AC253" s="290">
        <v>596</v>
      </c>
      <c r="AD253" s="290"/>
      <c r="AE253" s="290">
        <v>0</v>
      </c>
      <c r="AF253" s="290">
        <v>0</v>
      </c>
      <c r="AG253" s="290">
        <v>8477</v>
      </c>
      <c r="AH253" s="290">
        <v>1539</v>
      </c>
      <c r="AI253" s="290">
        <v>195</v>
      </c>
      <c r="AJ253" s="290">
        <v>0</v>
      </c>
      <c r="AK253" s="290">
        <v>0</v>
      </c>
      <c r="AL253" s="290">
        <v>0</v>
      </c>
      <c r="AM253" s="957">
        <v>6.7912120000000006E-2</v>
      </c>
      <c r="AN253" s="290">
        <v>6792</v>
      </c>
      <c r="AO253" s="290">
        <v>1830.7832130100001</v>
      </c>
      <c r="AP253" s="290">
        <v>0</v>
      </c>
      <c r="AQ253" s="290">
        <v>0</v>
      </c>
      <c r="AR253" s="290">
        <v>-408.93592403000002</v>
      </c>
      <c r="AS253" s="290">
        <v>1265</v>
      </c>
      <c r="AT253" s="290">
        <v>288</v>
      </c>
      <c r="AU253" s="290">
        <v>51</v>
      </c>
      <c r="AV253" s="766">
        <v>294132</v>
      </c>
      <c r="AW253" s="290"/>
      <c r="AX253" s="766">
        <v>41.708350000000003</v>
      </c>
      <c r="AY253" s="290">
        <v>1842</v>
      </c>
      <c r="AZ253" s="290">
        <v>331</v>
      </c>
      <c r="BA253" s="290">
        <v>137</v>
      </c>
      <c r="BB253" s="290">
        <v>0</v>
      </c>
      <c r="BC253" s="290">
        <v>14554</v>
      </c>
      <c r="BD253" s="290"/>
      <c r="BE253" s="290">
        <v>291890.39952932001</v>
      </c>
      <c r="BF253" s="290">
        <v>0</v>
      </c>
      <c r="BG253" s="290">
        <v>7674.3277293111678</v>
      </c>
      <c r="BH253" s="290">
        <v>413.47398378329558</v>
      </c>
      <c r="BI253" s="290">
        <v>2135</v>
      </c>
      <c r="BJ253" s="290"/>
      <c r="BK253" s="290"/>
      <c r="BL253" s="290"/>
      <c r="BM253" s="290">
        <v>0</v>
      </c>
      <c r="BN253" s="290">
        <v>3483.5367999999999</v>
      </c>
      <c r="BO253" s="290">
        <v>-3949.8889727082978</v>
      </c>
      <c r="BP253" s="290">
        <v>498.50400000000002</v>
      </c>
      <c r="BQ253" s="290">
        <v>-267.34399999999999</v>
      </c>
      <c r="BR253" s="290">
        <v>-163.22053029093934</v>
      </c>
      <c r="BS253" s="290">
        <v>1.7430000000000001</v>
      </c>
      <c r="BT253" s="290"/>
      <c r="BU253" s="290">
        <v>0</v>
      </c>
      <c r="BV253" s="290">
        <v>3000</v>
      </c>
      <c r="BW253" s="290">
        <v>-1947</v>
      </c>
      <c r="BX253" s="290">
        <v>1057</v>
      </c>
      <c r="BY253" s="290">
        <v>213</v>
      </c>
      <c r="BZ253" s="290">
        <v>-1480</v>
      </c>
      <c r="CA253" s="290">
        <v>-2.3302970007626982</v>
      </c>
      <c r="CB253" s="290">
        <v>342</v>
      </c>
      <c r="CC253" s="290">
        <v>1102</v>
      </c>
      <c r="CD253" s="290">
        <v>13</v>
      </c>
      <c r="CE253" s="290">
        <v>313</v>
      </c>
      <c r="CF253" s="290">
        <v>14</v>
      </c>
      <c r="CG253" s="290">
        <v>2</v>
      </c>
      <c r="CH253" s="290">
        <v>-9</v>
      </c>
      <c r="CI253" s="290">
        <v>-3785</v>
      </c>
      <c r="CJ253" s="290">
        <v>-10140</v>
      </c>
      <c r="CK253" s="290">
        <f>+innut22!E259+innut22!S259</f>
        <v>291054.92946909729</v>
      </c>
      <c r="CL253" s="290">
        <v>0</v>
      </c>
      <c r="CM253" s="290">
        <v>0</v>
      </c>
      <c r="CN253" s="290">
        <v>0</v>
      </c>
      <c r="CP253" s="290">
        <f>+innut23!E259</f>
        <v>270150.52702434763</v>
      </c>
      <c r="CQ253" s="290"/>
      <c r="CV253" s="85">
        <f t="shared" si="4"/>
        <v>1.569</v>
      </c>
    </row>
    <row r="254" spans="1:100" ht="13">
      <c r="A254" s="1">
        <v>4623</v>
      </c>
      <c r="B254" s="2" t="s">
        <v>40</v>
      </c>
      <c r="C254" s="289">
        <v>2501</v>
      </c>
      <c r="D254" s="290">
        <v>48</v>
      </c>
      <c r="E254" s="290">
        <v>106</v>
      </c>
      <c r="F254" s="290">
        <v>311</v>
      </c>
      <c r="G254" s="290">
        <v>184</v>
      </c>
      <c r="H254" s="290">
        <v>1344</v>
      </c>
      <c r="I254" s="290">
        <v>386</v>
      </c>
      <c r="J254" s="290">
        <v>90</v>
      </c>
      <c r="K254" s="290">
        <v>37</v>
      </c>
      <c r="L254" s="290">
        <v>16</v>
      </c>
      <c r="M254" s="290">
        <v>176</v>
      </c>
      <c r="N254" s="290">
        <v>20</v>
      </c>
      <c r="O254" s="290">
        <v>7</v>
      </c>
      <c r="P254" s="624">
        <v>9906.6953333300007</v>
      </c>
      <c r="Q254" s="624">
        <v>7492.56233333</v>
      </c>
      <c r="R254" s="624">
        <v>13</v>
      </c>
      <c r="S254" s="290">
        <v>24</v>
      </c>
      <c r="T254" s="290">
        <v>186</v>
      </c>
      <c r="U254" s="958">
        <v>9.4944445811329483E-4</v>
      </c>
      <c r="V254" s="290">
        <v>1345.99805967</v>
      </c>
      <c r="W254" s="765">
        <v>0.77724813999999998</v>
      </c>
      <c r="X254" s="290">
        <v>1900</v>
      </c>
      <c r="Y254" s="290"/>
      <c r="Z254" s="290">
        <f>innut22!E260</f>
        <v>82389.545174626954</v>
      </c>
      <c r="AA254" s="290">
        <v>0</v>
      </c>
      <c r="AB254" s="290">
        <v>67</v>
      </c>
      <c r="AC254" s="290">
        <v>969</v>
      </c>
      <c r="AD254" s="290"/>
      <c r="AE254" s="290">
        <v>0</v>
      </c>
      <c r="AF254" s="290">
        <v>0</v>
      </c>
      <c r="AG254" s="290">
        <v>2506</v>
      </c>
      <c r="AH254" s="290">
        <v>435</v>
      </c>
      <c r="AI254" s="290">
        <v>30</v>
      </c>
      <c r="AJ254" s="290">
        <v>0</v>
      </c>
      <c r="AK254" s="290">
        <v>0</v>
      </c>
      <c r="AL254" s="290">
        <v>0</v>
      </c>
      <c r="AM254" s="957">
        <v>2.9808540000000001E-2</v>
      </c>
      <c r="AN254" s="290">
        <v>0</v>
      </c>
      <c r="AO254" s="290">
        <v>541.25725020000004</v>
      </c>
      <c r="AP254" s="290">
        <v>0</v>
      </c>
      <c r="AQ254" s="290">
        <v>0</v>
      </c>
      <c r="AR254" s="290">
        <v>-120.89104938</v>
      </c>
      <c r="AS254" s="290">
        <v>739</v>
      </c>
      <c r="AT254" s="290">
        <v>89</v>
      </c>
      <c r="AU254" s="290">
        <v>21</v>
      </c>
      <c r="AV254" s="766">
        <v>88535</v>
      </c>
      <c r="AW254" s="290"/>
      <c r="AX254" s="766">
        <v>12.458349999999999</v>
      </c>
      <c r="AY254" s="290">
        <v>490</v>
      </c>
      <c r="AZ254" s="290">
        <v>100</v>
      </c>
      <c r="BA254" s="290">
        <v>30</v>
      </c>
      <c r="BB254" s="290">
        <v>3017</v>
      </c>
      <c r="BC254" s="290">
        <v>4476</v>
      </c>
      <c r="BD254" s="290"/>
      <c r="BE254" s="290">
        <v>89439.177622989999</v>
      </c>
      <c r="BF254" s="290">
        <v>0</v>
      </c>
      <c r="BG254" s="290">
        <v>2258.8553196430776</v>
      </c>
      <c r="BH254" s="290">
        <v>121.7015927317903</v>
      </c>
      <c r="BI254" s="290">
        <v>1404</v>
      </c>
      <c r="BJ254" s="290"/>
      <c r="BK254" s="290"/>
      <c r="BL254" s="290"/>
      <c r="BM254" s="290">
        <v>0</v>
      </c>
      <c r="BN254" s="290">
        <v>1029.88138</v>
      </c>
      <c r="BO254" s="290">
        <v>-1167.6798119154175</v>
      </c>
      <c r="BP254" s="290">
        <v>134.45599999999999</v>
      </c>
      <c r="BQ254" s="290">
        <v>-72.108000000000004</v>
      </c>
      <c r="BR254" s="290">
        <v>-52.351888328521888</v>
      </c>
      <c r="BS254" s="290">
        <v>0.59299999999999997</v>
      </c>
      <c r="BT254" s="290"/>
      <c r="BU254" s="290">
        <v>0</v>
      </c>
      <c r="BV254" s="290">
        <v>1000</v>
      </c>
      <c r="BW254" s="290">
        <v>-575</v>
      </c>
      <c r="BX254" s="290">
        <v>326</v>
      </c>
      <c r="BY254" s="290">
        <v>63</v>
      </c>
      <c r="BZ254" s="290">
        <v>-437</v>
      </c>
      <c r="CA254" s="290">
        <v>-3.7906797560606265</v>
      </c>
      <c r="CB254" s="290">
        <v>101</v>
      </c>
      <c r="CC254" s="290">
        <v>326</v>
      </c>
      <c r="CD254" s="290">
        <v>4</v>
      </c>
      <c r="CE254" s="290">
        <v>92</v>
      </c>
      <c r="CF254" s="290">
        <v>5</v>
      </c>
      <c r="CG254" s="290">
        <v>0</v>
      </c>
      <c r="CH254" s="290">
        <v>-3</v>
      </c>
      <c r="CI254" s="290">
        <v>-1114</v>
      </c>
      <c r="CJ254" s="290">
        <v>-2969</v>
      </c>
      <c r="CK254" s="290">
        <f>+innut22!E260+innut22!S260</f>
        <v>82389.545174626954</v>
      </c>
      <c r="CL254" s="290">
        <v>0</v>
      </c>
      <c r="CM254" s="290">
        <v>0</v>
      </c>
      <c r="CN254" s="290">
        <v>0</v>
      </c>
      <c r="CP254" s="290">
        <f>+innut23!E260</f>
        <v>77611.029265090649</v>
      </c>
      <c r="CQ254" s="290"/>
      <c r="CV254" s="85">
        <f t="shared" si="4"/>
        <v>0.46400000000000002</v>
      </c>
    </row>
    <row r="255" spans="1:100" ht="13">
      <c r="A255" s="1">
        <v>4624</v>
      </c>
      <c r="B255" s="2" t="s">
        <v>1634</v>
      </c>
      <c r="C255" s="289">
        <v>25213</v>
      </c>
      <c r="D255" s="290">
        <v>545</v>
      </c>
      <c r="E255" s="290">
        <v>1249</v>
      </c>
      <c r="F255" s="290">
        <v>3598</v>
      </c>
      <c r="G255" s="290">
        <v>2169</v>
      </c>
      <c r="H255" s="290">
        <v>13724</v>
      </c>
      <c r="I255" s="290">
        <v>2877</v>
      </c>
      <c r="J255" s="290">
        <v>829</v>
      </c>
      <c r="K255" s="290">
        <v>173</v>
      </c>
      <c r="L255" s="290">
        <v>163</v>
      </c>
      <c r="M255" s="290">
        <v>1421</v>
      </c>
      <c r="N255" s="290">
        <v>225</v>
      </c>
      <c r="O255" s="290">
        <v>225</v>
      </c>
      <c r="P255" s="624">
        <v>161898.89133332999</v>
      </c>
      <c r="Q255" s="624">
        <v>61706.617666669998</v>
      </c>
      <c r="R255" s="624">
        <v>98</v>
      </c>
      <c r="S255" s="290">
        <v>249</v>
      </c>
      <c r="T255" s="290">
        <v>1752</v>
      </c>
      <c r="U255" s="958">
        <v>3.9294246764073433E-3</v>
      </c>
      <c r="V255" s="290">
        <v>-1789.3760877899999</v>
      </c>
      <c r="W255" s="765">
        <v>0.62175570999999996</v>
      </c>
      <c r="X255" s="290">
        <v>5500</v>
      </c>
      <c r="Y255" s="290"/>
      <c r="Z255" s="290">
        <f>innut22!E261</f>
        <v>896902.35955817648</v>
      </c>
      <c r="AA255" s="290">
        <v>0</v>
      </c>
      <c r="AB255" s="290">
        <v>485</v>
      </c>
      <c r="AC255" s="290">
        <v>3571</v>
      </c>
      <c r="AD255" s="290"/>
      <c r="AE255" s="290">
        <v>0</v>
      </c>
      <c r="AF255" s="290">
        <v>15488</v>
      </c>
      <c r="AG255" s="290">
        <v>25164</v>
      </c>
      <c r="AH255" s="290">
        <v>5153</v>
      </c>
      <c r="AI255" s="290">
        <v>4306.6000000000004</v>
      </c>
      <c r="AJ255" s="290">
        <v>0</v>
      </c>
      <c r="AK255" s="290">
        <v>0</v>
      </c>
      <c r="AL255" s="290">
        <v>0</v>
      </c>
      <c r="AM255" s="957">
        <v>0.58064835999999997</v>
      </c>
      <c r="AN255" s="290">
        <v>0</v>
      </c>
      <c r="AO255" s="290">
        <v>5028.5038308399999</v>
      </c>
      <c r="AP255" s="290">
        <v>0</v>
      </c>
      <c r="AQ255" s="290">
        <v>0</v>
      </c>
      <c r="AR255" s="290">
        <v>-1213.9275206100001</v>
      </c>
      <c r="AS255" s="290">
        <v>15848</v>
      </c>
      <c r="AT255" s="290">
        <v>1195</v>
      </c>
      <c r="AU255" s="290">
        <v>294</v>
      </c>
      <c r="AV255" s="766">
        <v>336776</v>
      </c>
      <c r="AW255" s="290"/>
      <c r="AX255" s="766">
        <v>170.45835</v>
      </c>
      <c r="AY255" s="290">
        <v>5812</v>
      </c>
      <c r="AZ255" s="290">
        <v>1037</v>
      </c>
      <c r="BA255" s="290">
        <v>565</v>
      </c>
      <c r="BB255" s="290">
        <v>0</v>
      </c>
      <c r="BC255" s="290">
        <v>-319781</v>
      </c>
      <c r="BD255" s="290"/>
      <c r="BE255" s="290">
        <v>730718.20840974001</v>
      </c>
      <c r="BF255" s="290">
        <v>0</v>
      </c>
      <c r="BG255" s="290">
        <v>22771.898910100324</v>
      </c>
      <c r="BH255" s="290">
        <v>1226.8941453605071</v>
      </c>
      <c r="BI255" s="290">
        <v>24212</v>
      </c>
      <c r="BJ255" s="290"/>
      <c r="BK255" s="290"/>
      <c r="BL255" s="290"/>
      <c r="BM255" s="290">
        <v>5097</v>
      </c>
      <c r="BN255" s="290">
        <v>9568.0242200000012</v>
      </c>
      <c r="BO255" s="290">
        <v>-11725.2572973023</v>
      </c>
      <c r="BP255" s="290">
        <v>1605.1859999999999</v>
      </c>
      <c r="BQ255" s="290">
        <v>-860.84900000000005</v>
      </c>
      <c r="BR255" s="290">
        <v>-558.78052118110816</v>
      </c>
      <c r="BS255" s="290">
        <v>4.6429999999999998</v>
      </c>
      <c r="BT255" s="290"/>
      <c r="BU255" s="290">
        <v>0</v>
      </c>
      <c r="BV255" s="290">
        <v>8500</v>
      </c>
      <c r="BW255" s="290">
        <v>-5779</v>
      </c>
      <c r="BX255" s="290">
        <v>3585</v>
      </c>
      <c r="BY255" s="290">
        <v>649</v>
      </c>
      <c r="BZ255" s="290">
        <v>-4392</v>
      </c>
      <c r="CA255" s="290">
        <v>-13.966401516593123</v>
      </c>
      <c r="CB255" s="290">
        <v>1041</v>
      </c>
      <c r="CC255" s="290">
        <v>3272</v>
      </c>
      <c r="CD255" s="290">
        <v>38</v>
      </c>
      <c r="CE255" s="290">
        <v>929</v>
      </c>
      <c r="CF255" s="290">
        <v>38</v>
      </c>
      <c r="CG255" s="290">
        <v>6</v>
      </c>
      <c r="CH255" s="290">
        <v>-25</v>
      </c>
      <c r="CI255" s="290">
        <v>-11230</v>
      </c>
      <c r="CJ255" s="290">
        <v>-30305</v>
      </c>
      <c r="CK255" s="290">
        <f>+innut22!E261+innut22!S261</f>
        <v>896902.35955817648</v>
      </c>
      <c r="CL255" s="290">
        <v>0</v>
      </c>
      <c r="CM255" s="290">
        <v>0</v>
      </c>
      <c r="CN255" s="290">
        <v>0</v>
      </c>
      <c r="CP255" s="290">
        <f>+innut23!E261</f>
        <v>831212.16272590123</v>
      </c>
      <c r="CQ255" s="290"/>
      <c r="CV255" s="85">
        <f t="shared" si="4"/>
        <v>4.6580000000000004</v>
      </c>
    </row>
    <row r="256" spans="1:100" ht="13">
      <c r="A256" s="1">
        <v>4625</v>
      </c>
      <c r="B256" s="2" t="s">
        <v>41</v>
      </c>
      <c r="C256" s="289">
        <v>5283</v>
      </c>
      <c r="D256" s="290">
        <v>112</v>
      </c>
      <c r="E256" s="290">
        <v>298</v>
      </c>
      <c r="F256" s="290">
        <v>756</v>
      </c>
      <c r="G256" s="290">
        <v>458</v>
      </c>
      <c r="H256" s="290">
        <v>2778</v>
      </c>
      <c r="I256" s="290">
        <v>630</v>
      </c>
      <c r="J256" s="290">
        <v>184</v>
      </c>
      <c r="K256" s="290">
        <v>50</v>
      </c>
      <c r="L256" s="290">
        <v>39</v>
      </c>
      <c r="M256" s="290">
        <v>325</v>
      </c>
      <c r="N256" s="290">
        <v>18</v>
      </c>
      <c r="O256" s="290">
        <v>44</v>
      </c>
      <c r="P256" s="624">
        <v>42617.281666670002</v>
      </c>
      <c r="Q256" s="624">
        <v>28061.627</v>
      </c>
      <c r="R256" s="624">
        <v>25</v>
      </c>
      <c r="S256" s="290">
        <v>42</v>
      </c>
      <c r="T256" s="290">
        <v>345</v>
      </c>
      <c r="U256" s="958">
        <v>1.4728444272931493E-3</v>
      </c>
      <c r="V256" s="290">
        <v>-2373.7496311499999</v>
      </c>
      <c r="W256" s="765">
        <v>0.84160862000000003</v>
      </c>
      <c r="X256" s="290">
        <v>700</v>
      </c>
      <c r="Y256" s="290"/>
      <c r="Z256" s="290">
        <f>innut22!E262</f>
        <v>343522.14314632391</v>
      </c>
      <c r="AA256" s="290">
        <v>0</v>
      </c>
      <c r="AB256" s="290">
        <v>82</v>
      </c>
      <c r="AC256" s="290">
        <v>206</v>
      </c>
      <c r="AD256" s="290"/>
      <c r="AE256" s="290">
        <v>0</v>
      </c>
      <c r="AF256" s="290">
        <v>0</v>
      </c>
      <c r="AG256" s="290">
        <v>5266</v>
      </c>
      <c r="AH256" s="290">
        <v>1102</v>
      </c>
      <c r="AI256" s="290">
        <v>440</v>
      </c>
      <c r="AJ256" s="290">
        <v>0</v>
      </c>
      <c r="AK256" s="290">
        <v>0</v>
      </c>
      <c r="AL256" s="290">
        <v>0</v>
      </c>
      <c r="AM256" s="957">
        <v>4.6239540000000003E-2</v>
      </c>
      <c r="AN256" s="290">
        <v>0</v>
      </c>
      <c r="AO256" s="290">
        <v>1167.65464468</v>
      </c>
      <c r="AP256" s="290">
        <v>0</v>
      </c>
      <c r="AQ256" s="290">
        <v>0</v>
      </c>
      <c r="AR256" s="290">
        <v>-254.03522189</v>
      </c>
      <c r="AS256" s="290">
        <v>1539</v>
      </c>
      <c r="AT256" s="290">
        <v>199</v>
      </c>
      <c r="AU256" s="290">
        <v>42</v>
      </c>
      <c r="AV256" s="766">
        <v>179480</v>
      </c>
      <c r="AW256" s="290"/>
      <c r="AX256" s="766">
        <v>56.5</v>
      </c>
      <c r="AY256" s="290">
        <v>981</v>
      </c>
      <c r="AZ256" s="290">
        <v>154</v>
      </c>
      <c r="BA256" s="290">
        <v>83</v>
      </c>
      <c r="BB256" s="290">
        <v>0</v>
      </c>
      <c r="BC256" s="290">
        <v>9773</v>
      </c>
      <c r="BD256" s="290"/>
      <c r="BE256" s="290">
        <v>180659.35116682999</v>
      </c>
      <c r="BF256" s="290">
        <v>0</v>
      </c>
      <c r="BG256" s="290">
        <v>4771.5044596858779</v>
      </c>
      <c r="BH256" s="290">
        <v>257.07697497083097</v>
      </c>
      <c r="BI256" s="290">
        <v>1308</v>
      </c>
      <c r="BJ256" s="290"/>
      <c r="BK256" s="290"/>
      <c r="BL256" s="290"/>
      <c r="BM256" s="290">
        <v>0</v>
      </c>
      <c r="BN256" s="290">
        <v>2221.7638199999997</v>
      </c>
      <c r="BO256" s="290">
        <v>-2453.7118473849114</v>
      </c>
      <c r="BP256" s="290">
        <v>386.58800000000002</v>
      </c>
      <c r="BQ256" s="290">
        <v>-207.32400000000001</v>
      </c>
      <c r="BR256" s="290">
        <v>-123.67109780193833</v>
      </c>
      <c r="BS256" s="290">
        <v>1.161</v>
      </c>
      <c r="BT256" s="290"/>
      <c r="BU256" s="290">
        <v>0</v>
      </c>
      <c r="BV256" s="290">
        <v>1500</v>
      </c>
      <c r="BW256" s="290">
        <v>-1209</v>
      </c>
      <c r="BX256" s="290">
        <v>795</v>
      </c>
      <c r="BY256" s="290">
        <v>110</v>
      </c>
      <c r="BZ256" s="290">
        <v>-919</v>
      </c>
      <c r="CA256" s="290">
        <v>-0.80587481314995557</v>
      </c>
      <c r="CB256" s="290">
        <v>176</v>
      </c>
      <c r="CC256" s="290">
        <v>685</v>
      </c>
      <c r="CD256" s="290">
        <v>6</v>
      </c>
      <c r="CE256" s="290">
        <v>195</v>
      </c>
      <c r="CF256" s="290">
        <v>9</v>
      </c>
      <c r="CG256" s="290">
        <v>1</v>
      </c>
      <c r="CH256" s="290">
        <v>-6</v>
      </c>
      <c r="CI256" s="290">
        <v>-2353</v>
      </c>
      <c r="CJ256" s="290">
        <v>-11501</v>
      </c>
      <c r="CK256" s="290">
        <f>+innut22!E262+innut22!S262</f>
        <v>343522.14314632391</v>
      </c>
      <c r="CL256" s="290">
        <v>0</v>
      </c>
      <c r="CM256" s="290">
        <v>0</v>
      </c>
      <c r="CN256" s="290">
        <v>0</v>
      </c>
      <c r="CP256" s="290">
        <f>+innut23!E262</f>
        <v>300612.84401917597</v>
      </c>
      <c r="CQ256" s="290"/>
      <c r="CV256" s="85">
        <f t="shared" si="4"/>
        <v>0.97499999999999998</v>
      </c>
    </row>
    <row r="257" spans="1:100" ht="13">
      <c r="A257" s="1">
        <v>4626</v>
      </c>
      <c r="B257" s="2" t="s">
        <v>1635</v>
      </c>
      <c r="C257" s="289">
        <v>39032</v>
      </c>
      <c r="D257" s="290">
        <v>895</v>
      </c>
      <c r="E257" s="290">
        <v>2000</v>
      </c>
      <c r="F257" s="290">
        <v>5410</v>
      </c>
      <c r="G257" s="290">
        <v>3521</v>
      </c>
      <c r="H257" s="290">
        <v>21688</v>
      </c>
      <c r="I257" s="290">
        <v>4084</v>
      </c>
      <c r="J257" s="290">
        <v>1003</v>
      </c>
      <c r="K257" s="290">
        <v>234</v>
      </c>
      <c r="L257" s="290">
        <v>275</v>
      </c>
      <c r="M257" s="290">
        <v>1908</v>
      </c>
      <c r="N257" s="290">
        <v>633</v>
      </c>
      <c r="O257" s="290">
        <v>321</v>
      </c>
      <c r="P257" s="624">
        <v>169004.20233333</v>
      </c>
      <c r="Q257" s="624">
        <v>112670.39733332999</v>
      </c>
      <c r="R257" s="624">
        <v>130</v>
      </c>
      <c r="S257" s="290">
        <v>429</v>
      </c>
      <c r="T257" s="290">
        <v>2571</v>
      </c>
      <c r="U257" s="958">
        <v>2.918507263949436E-3</v>
      </c>
      <c r="V257" s="290">
        <v>-18118.864613919999</v>
      </c>
      <c r="W257" s="765">
        <v>0.60589906000000004</v>
      </c>
      <c r="X257" s="290">
        <v>3500</v>
      </c>
      <c r="Y257" s="290"/>
      <c r="Z257" s="290">
        <f>innut22!E263</f>
        <v>1381011.12277896</v>
      </c>
      <c r="AA257" s="290">
        <v>0</v>
      </c>
      <c r="AB257" s="290">
        <v>945</v>
      </c>
      <c r="AC257" s="290">
        <v>6224</v>
      </c>
      <c r="AD257" s="290"/>
      <c r="AE257" s="290">
        <v>0</v>
      </c>
      <c r="AF257" s="290">
        <v>30976</v>
      </c>
      <c r="AG257" s="290">
        <v>38835</v>
      </c>
      <c r="AH257" s="290">
        <v>8006</v>
      </c>
      <c r="AI257" s="290">
        <v>4500</v>
      </c>
      <c r="AJ257" s="290">
        <v>0</v>
      </c>
      <c r="AK257" s="290">
        <v>5101</v>
      </c>
      <c r="AL257" s="290">
        <v>0</v>
      </c>
      <c r="AM257" s="957">
        <v>1.13721782</v>
      </c>
      <c r="AN257" s="290">
        <v>0</v>
      </c>
      <c r="AO257" s="290">
        <v>7502.9582837899998</v>
      </c>
      <c r="AP257" s="290">
        <v>0</v>
      </c>
      <c r="AQ257" s="290">
        <v>0</v>
      </c>
      <c r="AR257" s="290">
        <v>-1873.42534028</v>
      </c>
      <c r="AS257" s="290">
        <v>8677</v>
      </c>
      <c r="AT257" s="290">
        <v>1932</v>
      </c>
      <c r="AU257" s="290">
        <v>517</v>
      </c>
      <c r="AV257" s="766">
        <v>1025737</v>
      </c>
      <c r="AW257" s="290"/>
      <c r="AX257" s="766">
        <v>290.75004999999999</v>
      </c>
      <c r="AY257" s="290">
        <v>7530</v>
      </c>
      <c r="AZ257" s="290">
        <v>1702</v>
      </c>
      <c r="BA257" s="290">
        <v>834</v>
      </c>
      <c r="BB257" s="290">
        <v>0</v>
      </c>
      <c r="BC257" s="290">
        <v>98864</v>
      </c>
      <c r="BD257" s="290"/>
      <c r="BE257" s="290">
        <v>1040333.3735082</v>
      </c>
      <c r="BF257" s="290">
        <v>0</v>
      </c>
      <c r="BG257" s="290">
        <v>35252.955152462462</v>
      </c>
      <c r="BH257" s="290">
        <v>1899.3428898469572</v>
      </c>
      <c r="BI257" s="290">
        <v>50307</v>
      </c>
      <c r="BJ257" s="290"/>
      <c r="BK257" s="290"/>
      <c r="BL257" s="290"/>
      <c r="BM257" s="290">
        <v>6050</v>
      </c>
      <c r="BN257" s="290">
        <v>14276.311400000001</v>
      </c>
      <c r="BO257" s="290">
        <v>-18095.309455600654</v>
      </c>
      <c r="BP257" s="290">
        <v>2542.6680000000001</v>
      </c>
      <c r="BQ257" s="290">
        <v>-1363.614</v>
      </c>
      <c r="BR257" s="290">
        <v>-834.61525673829988</v>
      </c>
      <c r="BS257" s="290">
        <v>6.9020000000000001</v>
      </c>
      <c r="BT257" s="290"/>
      <c r="BU257" s="290">
        <v>0</v>
      </c>
      <c r="BV257" s="290">
        <v>10500</v>
      </c>
      <c r="BW257" s="290">
        <v>-8918</v>
      </c>
      <c r="BX257" s="290">
        <v>5358</v>
      </c>
      <c r="BY257" s="290">
        <v>1120</v>
      </c>
      <c r="BZ257" s="290">
        <v>-6779</v>
      </c>
      <c r="CA257" s="290">
        <v>-24.342687661046511</v>
      </c>
      <c r="CB257" s="290">
        <v>1796</v>
      </c>
      <c r="CC257" s="290">
        <v>5050</v>
      </c>
      <c r="CD257" s="290">
        <v>66</v>
      </c>
      <c r="CE257" s="290">
        <v>1439</v>
      </c>
      <c r="CF257" s="290">
        <v>56</v>
      </c>
      <c r="CG257" s="290">
        <v>9</v>
      </c>
      <c r="CH257" s="290">
        <v>-37</v>
      </c>
      <c r="CI257" s="290">
        <v>-17385</v>
      </c>
      <c r="CJ257" s="290">
        <v>-46784</v>
      </c>
      <c r="CK257" s="290">
        <f>+innut22!E263+innut22!S263</f>
        <v>1381011.12277896</v>
      </c>
      <c r="CL257" s="290">
        <v>5992.9681793751151</v>
      </c>
      <c r="CM257" s="290">
        <v>6873.8807573622562</v>
      </c>
      <c r="CN257" s="290">
        <v>7746.3165770449223</v>
      </c>
      <c r="CP257" s="290">
        <f>+innut23!E263</f>
        <v>1280447.8375771819</v>
      </c>
      <c r="CQ257" s="290"/>
      <c r="CV257" s="85">
        <f t="shared" si="4"/>
        <v>7.1890000000000001</v>
      </c>
    </row>
    <row r="258" spans="1:100" ht="13">
      <c r="A258" s="1">
        <v>4627</v>
      </c>
      <c r="B258" s="4" t="s">
        <v>44</v>
      </c>
      <c r="C258" s="289">
        <v>29816</v>
      </c>
      <c r="D258" s="290">
        <v>624</v>
      </c>
      <c r="E258" s="290">
        <v>1600</v>
      </c>
      <c r="F258" s="290">
        <v>4486</v>
      </c>
      <c r="G258" s="290">
        <v>2645</v>
      </c>
      <c r="H258" s="290">
        <v>16317</v>
      </c>
      <c r="I258" s="290">
        <v>3043</v>
      </c>
      <c r="J258" s="290">
        <v>803</v>
      </c>
      <c r="K258" s="290">
        <v>171</v>
      </c>
      <c r="L258" s="290">
        <v>212</v>
      </c>
      <c r="M258" s="290">
        <v>1495</v>
      </c>
      <c r="N258" s="290">
        <v>340</v>
      </c>
      <c r="O258" s="290">
        <v>224</v>
      </c>
      <c r="P258" s="624">
        <v>62511.241999999998</v>
      </c>
      <c r="Q258" s="624">
        <v>55811.052333330001</v>
      </c>
      <c r="R258" s="624">
        <v>112</v>
      </c>
      <c r="S258" s="290">
        <v>270</v>
      </c>
      <c r="T258" s="290">
        <v>1678</v>
      </c>
      <c r="U258" s="958">
        <v>1.0810550780441369E-3</v>
      </c>
      <c r="V258" s="290">
        <v>9119.6693205400006</v>
      </c>
      <c r="W258" s="765">
        <v>0.57537258000000002</v>
      </c>
      <c r="X258" s="290">
        <v>1900</v>
      </c>
      <c r="Y258" s="290"/>
      <c r="Z258" s="290">
        <f>innut22!E264</f>
        <v>968273.93143772567</v>
      </c>
      <c r="AA258" s="290">
        <v>0</v>
      </c>
      <c r="AB258" s="290">
        <v>654</v>
      </c>
      <c r="AC258" s="290">
        <v>5780</v>
      </c>
      <c r="AD258" s="290"/>
      <c r="AE258" s="290">
        <v>0</v>
      </c>
      <c r="AF258" s="290">
        <v>0</v>
      </c>
      <c r="AG258" s="290">
        <v>29689</v>
      </c>
      <c r="AH258" s="290">
        <v>6426</v>
      </c>
      <c r="AI258" s="290">
        <v>200</v>
      </c>
      <c r="AJ258" s="290">
        <v>0</v>
      </c>
      <c r="AK258" s="290">
        <v>0</v>
      </c>
      <c r="AL258" s="290">
        <v>0</v>
      </c>
      <c r="AM258" s="957">
        <v>0.46299963999999999</v>
      </c>
      <c r="AN258" s="290">
        <v>0</v>
      </c>
      <c r="AO258" s="290">
        <v>5846.0450712700003</v>
      </c>
      <c r="AP258" s="290">
        <v>0</v>
      </c>
      <c r="AQ258" s="290">
        <v>0</v>
      </c>
      <c r="AR258" s="290">
        <v>-1432.2164266100001</v>
      </c>
      <c r="AS258" s="290">
        <v>11367</v>
      </c>
      <c r="AT258" s="290">
        <v>1345</v>
      </c>
      <c r="AU258" s="290">
        <v>303</v>
      </c>
      <c r="AV258" s="766">
        <v>824055</v>
      </c>
      <c r="AW258" s="290"/>
      <c r="AX258" s="766">
        <v>201.12504999999999</v>
      </c>
      <c r="AY258" s="290">
        <v>6670</v>
      </c>
      <c r="AZ258" s="290">
        <v>995</v>
      </c>
      <c r="BA258" s="290">
        <v>709</v>
      </c>
      <c r="BB258" s="290">
        <v>0</v>
      </c>
      <c r="BC258" s="290">
        <v>54331</v>
      </c>
      <c r="BD258" s="290"/>
      <c r="BE258" s="290">
        <v>820068.02884991001</v>
      </c>
      <c r="BF258" s="290">
        <v>0</v>
      </c>
      <c r="BG258" s="290">
        <v>26929.240388035985</v>
      </c>
      <c r="BH258" s="290">
        <v>1450.8815229472448</v>
      </c>
      <c r="BI258" s="290">
        <v>12206</v>
      </c>
      <c r="BJ258" s="290"/>
      <c r="BK258" s="290"/>
      <c r="BL258" s="290"/>
      <c r="BM258" s="290">
        <v>0</v>
      </c>
      <c r="BN258" s="290">
        <v>11123.60708</v>
      </c>
      <c r="BO258" s="290">
        <v>-13833.697500381815</v>
      </c>
      <c r="BP258" s="290">
        <v>2023.105</v>
      </c>
      <c r="BQ258" s="290">
        <v>-1084.9760000000001</v>
      </c>
      <c r="BR258" s="290">
        <v>-675.56372555578423</v>
      </c>
      <c r="BS258" s="290">
        <v>5.133</v>
      </c>
      <c r="BT258" s="290"/>
      <c r="BU258" s="290">
        <v>0</v>
      </c>
      <c r="BV258" s="290">
        <v>8500</v>
      </c>
      <c r="BW258" s="290">
        <v>-6818</v>
      </c>
      <c r="BX258" s="290">
        <v>4344</v>
      </c>
      <c r="BY258" s="290">
        <v>705</v>
      </c>
      <c r="BZ258" s="290">
        <v>-5182</v>
      </c>
      <c r="CA258" s="290">
        <v>-22.607854062400293</v>
      </c>
      <c r="CB258" s="290">
        <v>1132</v>
      </c>
      <c r="CC258" s="290">
        <v>3861</v>
      </c>
      <c r="CD258" s="290">
        <v>41</v>
      </c>
      <c r="CE258" s="290">
        <v>1099</v>
      </c>
      <c r="CF258" s="290">
        <v>42</v>
      </c>
      <c r="CG258" s="290">
        <v>7</v>
      </c>
      <c r="CH258" s="290">
        <v>-27</v>
      </c>
      <c r="CI258" s="290">
        <v>-13280</v>
      </c>
      <c r="CJ258" s="290">
        <v>-35439</v>
      </c>
      <c r="CK258" s="290">
        <f>+innut22!E264+innut22!S264</f>
        <v>968273.93143772567</v>
      </c>
      <c r="CL258" s="290">
        <v>0</v>
      </c>
      <c r="CM258" s="290">
        <v>0</v>
      </c>
      <c r="CN258" s="290">
        <v>0</v>
      </c>
      <c r="CP258" s="290">
        <f>+innut23!E264</f>
        <v>904548.80433479068</v>
      </c>
      <c r="CQ258" s="290"/>
      <c r="CV258" s="85">
        <f t="shared" si="4"/>
        <v>5.4960000000000004</v>
      </c>
    </row>
    <row r="259" spans="1:100" ht="13">
      <c r="A259" s="1">
        <v>4628</v>
      </c>
      <c r="B259" s="2" t="s">
        <v>45</v>
      </c>
      <c r="C259" s="289">
        <v>3867</v>
      </c>
      <c r="D259" s="290">
        <v>63</v>
      </c>
      <c r="E259" s="290">
        <v>168</v>
      </c>
      <c r="F259" s="290">
        <v>483</v>
      </c>
      <c r="G259" s="290">
        <v>296</v>
      </c>
      <c r="H259" s="290">
        <v>2090</v>
      </c>
      <c r="I259" s="290">
        <v>537</v>
      </c>
      <c r="J259" s="290">
        <v>194</v>
      </c>
      <c r="K259" s="290">
        <v>82</v>
      </c>
      <c r="L259" s="290">
        <v>33</v>
      </c>
      <c r="M259" s="290">
        <v>387</v>
      </c>
      <c r="N259" s="290">
        <v>44</v>
      </c>
      <c r="O259" s="290">
        <v>40</v>
      </c>
      <c r="P259" s="624">
        <v>55944.082999999999</v>
      </c>
      <c r="Q259" s="624">
        <v>10062.63633333</v>
      </c>
      <c r="R259" s="624">
        <v>16</v>
      </c>
      <c r="S259" s="290">
        <v>41</v>
      </c>
      <c r="T259" s="290">
        <v>310</v>
      </c>
      <c r="U259" s="958">
        <v>1.2479943675814239E-3</v>
      </c>
      <c r="V259" s="290">
        <v>1995.7276064499999</v>
      </c>
      <c r="W259" s="765">
        <v>0.83258103000000006</v>
      </c>
      <c r="X259" s="290">
        <v>600</v>
      </c>
      <c r="Y259" s="290"/>
      <c r="Z259" s="290">
        <f>innut22!E265</f>
        <v>124050.02724674008</v>
      </c>
      <c r="AA259" s="290">
        <v>0</v>
      </c>
      <c r="AB259" s="290">
        <v>117</v>
      </c>
      <c r="AC259" s="290">
        <v>630</v>
      </c>
      <c r="AD259" s="290"/>
      <c r="AE259" s="290">
        <v>0</v>
      </c>
      <c r="AF259" s="290">
        <v>0</v>
      </c>
      <c r="AG259" s="290">
        <v>3913</v>
      </c>
      <c r="AH259" s="290">
        <v>678</v>
      </c>
      <c r="AI259" s="290">
        <v>0</v>
      </c>
      <c r="AJ259" s="290">
        <v>0</v>
      </c>
      <c r="AK259" s="290">
        <v>0</v>
      </c>
      <c r="AL259" s="290">
        <v>0</v>
      </c>
      <c r="AM259" s="957">
        <v>5.433607E-2</v>
      </c>
      <c r="AN259" s="290">
        <v>4757</v>
      </c>
      <c r="AO259" s="290">
        <v>900.07848884999999</v>
      </c>
      <c r="AP259" s="290">
        <v>0</v>
      </c>
      <c r="AQ259" s="290">
        <v>0</v>
      </c>
      <c r="AR259" s="290">
        <v>2892.8893989799999</v>
      </c>
      <c r="AS259" s="290">
        <v>863</v>
      </c>
      <c r="AT259" s="290">
        <v>146</v>
      </c>
      <c r="AU259" s="290">
        <v>29</v>
      </c>
      <c r="AV259" s="766">
        <v>157948</v>
      </c>
      <c r="AW259" s="290"/>
      <c r="AX259" s="766">
        <v>16.666650000000001</v>
      </c>
      <c r="AY259" s="290">
        <v>693</v>
      </c>
      <c r="AZ259" s="290">
        <v>197</v>
      </c>
      <c r="BA259" s="290">
        <v>68</v>
      </c>
      <c r="BB259" s="290">
        <v>0</v>
      </c>
      <c r="BC259" s="290">
        <v>7273</v>
      </c>
      <c r="BD259" s="290"/>
      <c r="BE259" s="290">
        <v>153020.33665369</v>
      </c>
      <c r="BF259" s="290">
        <v>0</v>
      </c>
      <c r="BG259" s="290">
        <v>3492.6003682766018</v>
      </c>
      <c r="BH259" s="290">
        <v>188.17275453571895</v>
      </c>
      <c r="BI259" s="290">
        <v>1308</v>
      </c>
      <c r="BJ259" s="290"/>
      <c r="BK259" s="290"/>
      <c r="BL259" s="290"/>
      <c r="BM259" s="290">
        <v>0</v>
      </c>
      <c r="BN259" s="290">
        <v>1712.6312400000002</v>
      </c>
      <c r="BO259" s="290">
        <v>-1823.2765778232356</v>
      </c>
      <c r="BP259" s="290">
        <v>208.494</v>
      </c>
      <c r="BQ259" s="290">
        <v>-111.81399999999999</v>
      </c>
      <c r="BR259" s="290">
        <v>-81.490827534747396</v>
      </c>
      <c r="BS259" s="290">
        <v>0.92100000000000004</v>
      </c>
      <c r="BT259" s="290"/>
      <c r="BU259" s="290">
        <v>0</v>
      </c>
      <c r="BV259" s="290">
        <v>2000</v>
      </c>
      <c r="BW259" s="290">
        <v>-899</v>
      </c>
      <c r="BX259" s="290">
        <v>526</v>
      </c>
      <c r="BY259" s="290">
        <v>107</v>
      </c>
      <c r="BZ259" s="290">
        <v>-683</v>
      </c>
      <c r="CA259" s="290">
        <v>-2.4648346420171947</v>
      </c>
      <c r="CB259" s="290">
        <v>171</v>
      </c>
      <c r="CC259" s="290">
        <v>509</v>
      </c>
      <c r="CD259" s="290">
        <v>6</v>
      </c>
      <c r="CE259" s="290">
        <v>143</v>
      </c>
      <c r="CF259" s="290">
        <v>8</v>
      </c>
      <c r="CG259" s="290">
        <v>1</v>
      </c>
      <c r="CH259" s="290">
        <v>-5</v>
      </c>
      <c r="CI259" s="290">
        <v>-1722</v>
      </c>
      <c r="CJ259" s="290">
        <v>-4631</v>
      </c>
      <c r="CK259" s="290">
        <f>+innut22!E265+innut22!S265</f>
        <v>124050.02724674008</v>
      </c>
      <c r="CL259" s="290">
        <v>0</v>
      </c>
      <c r="CM259" s="290">
        <v>0</v>
      </c>
      <c r="CN259" s="290">
        <v>0</v>
      </c>
      <c r="CP259" s="290">
        <f>+innut23!E265</f>
        <v>117989.52118165948</v>
      </c>
      <c r="CQ259" s="290"/>
      <c r="CV259" s="85">
        <f t="shared" si="4"/>
        <v>0.72399999999999998</v>
      </c>
    </row>
    <row r="260" spans="1:100" ht="13">
      <c r="A260" s="1">
        <v>4629</v>
      </c>
      <c r="B260" s="2" t="s">
        <v>46</v>
      </c>
      <c r="C260" s="289">
        <v>378</v>
      </c>
      <c r="D260" s="290">
        <v>11</v>
      </c>
      <c r="E260" s="290">
        <v>13</v>
      </c>
      <c r="F260" s="290">
        <v>55</v>
      </c>
      <c r="G260" s="290">
        <v>38</v>
      </c>
      <c r="H260" s="290">
        <v>198</v>
      </c>
      <c r="I260" s="290">
        <v>41</v>
      </c>
      <c r="J260" s="290">
        <v>24</v>
      </c>
      <c r="K260" s="290">
        <v>4</v>
      </c>
      <c r="L260" s="290">
        <v>3</v>
      </c>
      <c r="M260" s="290">
        <v>34</v>
      </c>
      <c r="N260" s="290">
        <v>0</v>
      </c>
      <c r="O260" s="290">
        <v>6</v>
      </c>
      <c r="P260" s="624">
        <v>2167.7333333299998</v>
      </c>
      <c r="Q260" s="624">
        <v>6080.8410000000003</v>
      </c>
      <c r="R260" s="624">
        <v>1</v>
      </c>
      <c r="S260" s="290">
        <v>4</v>
      </c>
      <c r="T260" s="290">
        <v>31</v>
      </c>
      <c r="U260" s="958">
        <v>3.0299195118996779E-4</v>
      </c>
      <c r="V260" s="290">
        <v>398.09990274</v>
      </c>
      <c r="W260" s="765">
        <v>1</v>
      </c>
      <c r="X260" s="290">
        <v>0</v>
      </c>
      <c r="Y260" s="290"/>
      <c r="Z260" s="290">
        <f>innut22!E266</f>
        <v>33889.223069822481</v>
      </c>
      <c r="AA260" s="290">
        <v>-767</v>
      </c>
      <c r="AB260" s="290">
        <v>5</v>
      </c>
      <c r="AC260" s="290">
        <v>0</v>
      </c>
      <c r="AD260" s="290"/>
      <c r="AE260" s="290">
        <v>0</v>
      </c>
      <c r="AF260" s="290">
        <v>0</v>
      </c>
      <c r="AG260" s="290">
        <v>384</v>
      </c>
      <c r="AH260" s="290">
        <v>100</v>
      </c>
      <c r="AI260" s="290">
        <v>0</v>
      </c>
      <c r="AJ260" s="290">
        <v>0</v>
      </c>
      <c r="AK260" s="290">
        <v>0</v>
      </c>
      <c r="AL260" s="290">
        <v>0</v>
      </c>
      <c r="AM260" s="957">
        <v>1.5844270000000001E-2</v>
      </c>
      <c r="AN260" s="290">
        <v>0</v>
      </c>
      <c r="AO260" s="290">
        <v>148.62377365</v>
      </c>
      <c r="AP260" s="290">
        <v>0</v>
      </c>
      <c r="AQ260" s="290">
        <v>0</v>
      </c>
      <c r="AR260" s="290">
        <v>-18.52440661</v>
      </c>
      <c r="AS260" s="290">
        <v>41</v>
      </c>
      <c r="AT260" s="290">
        <v>14</v>
      </c>
      <c r="AU260" s="290">
        <v>5</v>
      </c>
      <c r="AV260" s="766">
        <v>32665</v>
      </c>
      <c r="AW260" s="290"/>
      <c r="AX260" s="766">
        <v>5.5</v>
      </c>
      <c r="AY260" s="290">
        <v>72</v>
      </c>
      <c r="AZ260" s="290">
        <v>32</v>
      </c>
      <c r="BA260" s="290">
        <v>10</v>
      </c>
      <c r="BB260" s="290">
        <v>0</v>
      </c>
      <c r="BC260" s="290">
        <v>1196</v>
      </c>
      <c r="BD260" s="290"/>
      <c r="BE260" s="290">
        <v>32202.440170469999</v>
      </c>
      <c r="BF260" s="290">
        <v>0</v>
      </c>
      <c r="BG260" s="290">
        <v>341.40236338467952</v>
      </c>
      <c r="BH260" s="290">
        <v>18.393923251745999</v>
      </c>
      <c r="BI260" s="290">
        <v>-667</v>
      </c>
      <c r="BJ260" s="290"/>
      <c r="BK260" s="290"/>
      <c r="BL260" s="290"/>
      <c r="BM260" s="290">
        <v>0</v>
      </c>
      <c r="BN260" s="290">
        <v>282.79502000000002</v>
      </c>
      <c r="BO260" s="290">
        <v>-178.92619623923397</v>
      </c>
      <c r="BP260" s="290">
        <v>20.126999999999999</v>
      </c>
      <c r="BQ260" s="290">
        <v>-10.794</v>
      </c>
      <c r="BR260" s="290">
        <v>-14.450823760766047</v>
      </c>
      <c r="BS260" s="290">
        <v>0.249</v>
      </c>
      <c r="BT260" s="290"/>
      <c r="BU260" s="290">
        <v>0</v>
      </c>
      <c r="BV260" s="290">
        <v>500</v>
      </c>
      <c r="BW260" s="290">
        <v>-88</v>
      </c>
      <c r="BX260" s="290">
        <v>90</v>
      </c>
      <c r="BY260" s="290">
        <v>11</v>
      </c>
      <c r="BZ260" s="290">
        <v>-67</v>
      </c>
      <c r="CA260" s="290">
        <v>0</v>
      </c>
      <c r="CB260" s="290">
        <v>17</v>
      </c>
      <c r="CC260" s="290">
        <v>50</v>
      </c>
      <c r="CD260" s="290">
        <v>1</v>
      </c>
      <c r="CE260" s="290">
        <v>14</v>
      </c>
      <c r="CF260" s="290">
        <v>2</v>
      </c>
      <c r="CG260" s="290">
        <v>0</v>
      </c>
      <c r="CH260" s="290">
        <v>-1</v>
      </c>
      <c r="CI260" s="290">
        <v>-168</v>
      </c>
      <c r="CJ260" s="290">
        <v>-1266</v>
      </c>
      <c r="CK260" s="290">
        <f>+innut22!E266+innut22!S266</f>
        <v>33889.223069822481</v>
      </c>
      <c r="CL260" s="290">
        <v>0</v>
      </c>
      <c r="CM260" s="290">
        <v>0</v>
      </c>
      <c r="CN260" s="290">
        <v>0</v>
      </c>
      <c r="CP260" s="290">
        <f>+innut23!E266</f>
        <v>29300.449755860089</v>
      </c>
      <c r="CQ260" s="290"/>
      <c r="CV260" s="85">
        <f t="shared" si="4"/>
        <v>7.0999999999999994E-2</v>
      </c>
    </row>
    <row r="261" spans="1:100" ht="13">
      <c r="A261" s="1">
        <v>4630</v>
      </c>
      <c r="B261" s="2" t="s">
        <v>47</v>
      </c>
      <c r="C261" s="289">
        <v>8131</v>
      </c>
      <c r="D261" s="290">
        <v>173</v>
      </c>
      <c r="E261" s="290">
        <v>390</v>
      </c>
      <c r="F261" s="290">
        <v>1028</v>
      </c>
      <c r="G261" s="290">
        <v>712</v>
      </c>
      <c r="H261" s="290">
        <v>4425</v>
      </c>
      <c r="I261" s="290">
        <v>997</v>
      </c>
      <c r="J261" s="290">
        <v>321</v>
      </c>
      <c r="K261" s="290">
        <v>96</v>
      </c>
      <c r="L261" s="290">
        <v>48</v>
      </c>
      <c r="M261" s="290">
        <v>510</v>
      </c>
      <c r="N261" s="290">
        <v>38</v>
      </c>
      <c r="O261" s="290">
        <v>81</v>
      </c>
      <c r="P261" s="624">
        <v>62255.982000000004</v>
      </c>
      <c r="Q261" s="624">
        <v>21120.230666669999</v>
      </c>
      <c r="R261" s="624">
        <v>25</v>
      </c>
      <c r="S261" s="290">
        <v>75</v>
      </c>
      <c r="T261" s="290">
        <v>564</v>
      </c>
      <c r="U261" s="958">
        <v>3.0309243062738439E-3</v>
      </c>
      <c r="V261" s="290">
        <v>-13816.56752108</v>
      </c>
      <c r="W261" s="765">
        <v>0.67942332000000005</v>
      </c>
      <c r="X261" s="290">
        <v>4000</v>
      </c>
      <c r="Y261" s="290"/>
      <c r="Z261" s="290">
        <f>innut22!E267</f>
        <v>257468.07980354808</v>
      </c>
      <c r="AA261" s="290">
        <v>0</v>
      </c>
      <c r="AB261" s="290">
        <v>154</v>
      </c>
      <c r="AC261" s="290">
        <v>1623</v>
      </c>
      <c r="AD261" s="290"/>
      <c r="AE261" s="290">
        <v>0</v>
      </c>
      <c r="AF261" s="290">
        <v>0</v>
      </c>
      <c r="AG261" s="290">
        <v>8142</v>
      </c>
      <c r="AH261" s="290">
        <v>1565</v>
      </c>
      <c r="AI261" s="290">
        <v>2270</v>
      </c>
      <c r="AJ261" s="290">
        <v>0</v>
      </c>
      <c r="AK261" s="290">
        <v>0</v>
      </c>
      <c r="AL261" s="290">
        <v>0</v>
      </c>
      <c r="AM261" s="957">
        <v>0.14658948999999999</v>
      </c>
      <c r="AN261" s="290">
        <v>0</v>
      </c>
      <c r="AO261" s="290">
        <v>1623.41271635</v>
      </c>
      <c r="AP261" s="290">
        <v>0</v>
      </c>
      <c r="AQ261" s="290">
        <v>0</v>
      </c>
      <c r="AR261" s="290">
        <v>2401.8425650700001</v>
      </c>
      <c r="AS261" s="290">
        <v>2538</v>
      </c>
      <c r="AT261" s="290">
        <v>365</v>
      </c>
      <c r="AU261" s="290">
        <v>76</v>
      </c>
      <c r="AV261" s="766">
        <v>222244</v>
      </c>
      <c r="AW261" s="290"/>
      <c r="AX261" s="766">
        <v>38.666699999999999</v>
      </c>
      <c r="AY261" s="290">
        <v>1354</v>
      </c>
      <c r="AZ261" s="290">
        <v>345</v>
      </c>
      <c r="BA261" s="290">
        <v>154</v>
      </c>
      <c r="BB261" s="290">
        <v>0</v>
      </c>
      <c r="BC261" s="290">
        <v>14084</v>
      </c>
      <c r="BD261" s="290"/>
      <c r="BE261" s="290">
        <v>218024.95207425</v>
      </c>
      <c r="BF261" s="290">
        <v>0</v>
      </c>
      <c r="BG261" s="290">
        <v>7343.7635361926687</v>
      </c>
      <c r="BH261" s="290">
        <v>395.66399460303353</v>
      </c>
      <c r="BI261" s="290">
        <v>3188</v>
      </c>
      <c r="BJ261" s="290"/>
      <c r="BK261" s="290"/>
      <c r="BL261" s="290"/>
      <c r="BM261" s="290">
        <v>0</v>
      </c>
      <c r="BN261" s="290">
        <v>3088.9609999999998</v>
      </c>
      <c r="BO261" s="290">
        <v>-3793.7945046350078</v>
      </c>
      <c r="BP261" s="290">
        <v>477.86</v>
      </c>
      <c r="BQ261" s="290">
        <v>-256.27300000000002</v>
      </c>
      <c r="BR261" s="290">
        <v>-164.03041137667807</v>
      </c>
      <c r="BS261" s="290">
        <v>1.6240000000000001</v>
      </c>
      <c r="BT261" s="290"/>
      <c r="BU261" s="290">
        <v>0</v>
      </c>
      <c r="BV261" s="290">
        <v>2500</v>
      </c>
      <c r="BW261" s="290">
        <v>-1870</v>
      </c>
      <c r="BX261" s="290">
        <v>1057</v>
      </c>
      <c r="BY261" s="290">
        <v>196</v>
      </c>
      <c r="BZ261" s="290">
        <v>-1421</v>
      </c>
      <c r="CA261" s="290">
        <v>-6.3470839883138979</v>
      </c>
      <c r="CB261" s="290">
        <v>314</v>
      </c>
      <c r="CC261" s="290">
        <v>1059</v>
      </c>
      <c r="CD261" s="290">
        <v>12</v>
      </c>
      <c r="CE261" s="290">
        <v>300</v>
      </c>
      <c r="CF261" s="290">
        <v>13</v>
      </c>
      <c r="CG261" s="290">
        <v>2</v>
      </c>
      <c r="CH261" s="290">
        <v>-9</v>
      </c>
      <c r="CI261" s="290">
        <v>-3621</v>
      </c>
      <c r="CJ261" s="290">
        <v>-9822</v>
      </c>
      <c r="CK261" s="290">
        <f>+innut22!E267+innut22!S267</f>
        <v>257468.07980354808</v>
      </c>
      <c r="CL261" s="290">
        <v>0</v>
      </c>
      <c r="CM261" s="290">
        <v>0</v>
      </c>
      <c r="CN261" s="290">
        <v>0</v>
      </c>
      <c r="CP261" s="290">
        <f>+innut23!E267</f>
        <v>234651.33201789547</v>
      </c>
      <c r="CQ261" s="290"/>
      <c r="CV261" s="85">
        <f t="shared" ref="CV261:CV324" si="5">ROUND(1000*AG261/AG$361,3)</f>
        <v>1.5069999999999999</v>
      </c>
    </row>
    <row r="262" spans="1:100" ht="13">
      <c r="A262" s="1">
        <v>4631</v>
      </c>
      <c r="B262" s="2" t="s">
        <v>1636</v>
      </c>
      <c r="C262" s="289">
        <v>29593</v>
      </c>
      <c r="D262" s="290">
        <v>583</v>
      </c>
      <c r="E262" s="290">
        <v>1329</v>
      </c>
      <c r="F262" s="290">
        <v>4148</v>
      </c>
      <c r="G262" s="290">
        <v>2614</v>
      </c>
      <c r="H262" s="290">
        <v>15882</v>
      </c>
      <c r="I262" s="290">
        <v>3652</v>
      </c>
      <c r="J262" s="290">
        <v>958</v>
      </c>
      <c r="K262" s="290">
        <v>257</v>
      </c>
      <c r="L262" s="290">
        <v>192</v>
      </c>
      <c r="M262" s="290">
        <v>1691</v>
      </c>
      <c r="N262" s="290">
        <v>270</v>
      </c>
      <c r="O262" s="290">
        <v>245</v>
      </c>
      <c r="P262" s="624">
        <v>144922.201</v>
      </c>
      <c r="Q262" s="624">
        <v>75980.107666669996</v>
      </c>
      <c r="R262" s="624">
        <v>132</v>
      </c>
      <c r="S262" s="290">
        <v>280</v>
      </c>
      <c r="T262" s="290">
        <v>2033</v>
      </c>
      <c r="U262" s="958">
        <v>1.1175332495123222E-2</v>
      </c>
      <c r="V262" s="290">
        <v>-18059.019973009999</v>
      </c>
      <c r="W262" s="765">
        <v>0.64185376999999999</v>
      </c>
      <c r="X262" s="290">
        <v>7000</v>
      </c>
      <c r="Y262" s="290"/>
      <c r="Z262" s="290">
        <f>innut22!E268</f>
        <v>987396.18855133175</v>
      </c>
      <c r="AA262" s="290">
        <v>0</v>
      </c>
      <c r="AB262" s="290">
        <v>694</v>
      </c>
      <c r="AC262" s="290">
        <v>7577</v>
      </c>
      <c r="AD262" s="290"/>
      <c r="AE262" s="290">
        <v>0</v>
      </c>
      <c r="AF262" s="290">
        <v>30976</v>
      </c>
      <c r="AG262" s="290">
        <v>29423</v>
      </c>
      <c r="AH262" s="290">
        <v>5845</v>
      </c>
      <c r="AI262" s="290">
        <v>700</v>
      </c>
      <c r="AJ262" s="290">
        <v>0</v>
      </c>
      <c r="AK262" s="290">
        <v>70681</v>
      </c>
      <c r="AL262" s="290">
        <v>0</v>
      </c>
      <c r="AM262" s="957">
        <v>0.41236831000000002</v>
      </c>
      <c r="AN262" s="290">
        <v>0</v>
      </c>
      <c r="AO262" s="290">
        <v>5852.3583936100003</v>
      </c>
      <c r="AP262" s="290">
        <v>0</v>
      </c>
      <c r="AQ262" s="290">
        <v>0</v>
      </c>
      <c r="AR262" s="290">
        <v>-1419.38441579</v>
      </c>
      <c r="AS262" s="290">
        <v>4130</v>
      </c>
      <c r="AT262" s="290">
        <v>1332</v>
      </c>
      <c r="AU262" s="290">
        <v>244</v>
      </c>
      <c r="AV262" s="766">
        <v>885777</v>
      </c>
      <c r="AW262" s="290"/>
      <c r="AX262" s="766">
        <v>212.29169999999999</v>
      </c>
      <c r="AY262" s="290">
        <v>5754</v>
      </c>
      <c r="AZ262" s="290">
        <v>1092</v>
      </c>
      <c r="BA262" s="290">
        <v>631</v>
      </c>
      <c r="BB262" s="290">
        <v>0</v>
      </c>
      <c r="BC262" s="290">
        <v>132860</v>
      </c>
      <c r="BD262" s="290"/>
      <c r="BE262" s="290">
        <v>916938.78089861001</v>
      </c>
      <c r="BF262" s="290">
        <v>0</v>
      </c>
      <c r="BG262" s="290">
        <v>26727.831057256135</v>
      </c>
      <c r="BH262" s="290">
        <v>1440.0300814521672</v>
      </c>
      <c r="BI262" s="290">
        <v>115079</v>
      </c>
      <c r="BJ262" s="290"/>
      <c r="BK262" s="290"/>
      <c r="BL262" s="290"/>
      <c r="BM262" s="290">
        <v>5398</v>
      </c>
      <c r="BN262" s="290">
        <v>11135.6198</v>
      </c>
      <c r="BO262" s="290">
        <v>-13709.753833195262</v>
      </c>
      <c r="BP262" s="290">
        <v>1723.742</v>
      </c>
      <c r="BQ262" s="290">
        <v>-924.43</v>
      </c>
      <c r="BR262" s="290">
        <v>-640.96925105577714</v>
      </c>
      <c r="BS262" s="290">
        <v>5.4249999999999998</v>
      </c>
      <c r="BT262" s="290"/>
      <c r="BU262" s="290">
        <v>0</v>
      </c>
      <c r="BV262" s="290">
        <v>11000</v>
      </c>
      <c r="BW262" s="290">
        <v>-6757</v>
      </c>
      <c r="BX262" s="290">
        <v>4109</v>
      </c>
      <c r="BY262" s="290">
        <v>730</v>
      </c>
      <c r="BZ262" s="290">
        <v>-5136</v>
      </c>
      <c r="CA262" s="290">
        <v>-29.633715748961549</v>
      </c>
      <c r="CB262" s="290">
        <v>1171</v>
      </c>
      <c r="CC262" s="290">
        <v>3826</v>
      </c>
      <c r="CD262" s="290">
        <v>43</v>
      </c>
      <c r="CE262" s="290">
        <v>1091</v>
      </c>
      <c r="CF262" s="290">
        <v>44</v>
      </c>
      <c r="CG262" s="290">
        <v>6</v>
      </c>
      <c r="CH262" s="290">
        <v>-29</v>
      </c>
      <c r="CI262" s="290">
        <v>-13181</v>
      </c>
      <c r="CJ262" s="290">
        <v>-35109</v>
      </c>
      <c r="CK262" s="290">
        <f>+innut22!E268+innut22!S268</f>
        <v>987396.18855133175</v>
      </c>
      <c r="CL262" s="290">
        <v>87116.478390730073</v>
      </c>
      <c r="CM262" s="290">
        <v>103512.3302383743</v>
      </c>
      <c r="CN262" s="290">
        <v>119880.76656089882</v>
      </c>
      <c r="CP262" s="290">
        <f>+innut23!E268</f>
        <v>922507.21509287588</v>
      </c>
      <c r="CQ262" s="290"/>
      <c r="CV262" s="85">
        <f t="shared" si="5"/>
        <v>5.4470000000000001</v>
      </c>
    </row>
    <row r="263" spans="1:100" ht="13">
      <c r="A263" s="1">
        <v>4632</v>
      </c>
      <c r="B263" s="2" t="s">
        <v>55</v>
      </c>
      <c r="C263" s="289">
        <v>2889</v>
      </c>
      <c r="D263" s="290">
        <v>44</v>
      </c>
      <c r="E263" s="290">
        <v>130</v>
      </c>
      <c r="F263" s="290">
        <v>334</v>
      </c>
      <c r="G263" s="290">
        <v>260</v>
      </c>
      <c r="H263" s="290">
        <v>1492</v>
      </c>
      <c r="I263" s="290">
        <v>462</v>
      </c>
      <c r="J263" s="290">
        <v>130</v>
      </c>
      <c r="K263" s="290">
        <v>23</v>
      </c>
      <c r="L263" s="290">
        <v>21</v>
      </c>
      <c r="M263" s="290">
        <v>224</v>
      </c>
      <c r="N263" s="290">
        <v>28</v>
      </c>
      <c r="O263" s="290">
        <v>21</v>
      </c>
      <c r="P263" s="624">
        <v>15118.714333329999</v>
      </c>
      <c r="Q263" s="624">
        <v>6308.6936666700003</v>
      </c>
      <c r="R263" s="624">
        <v>14</v>
      </c>
      <c r="S263" s="290">
        <v>32</v>
      </c>
      <c r="T263" s="290">
        <v>224</v>
      </c>
      <c r="U263" s="958">
        <v>8.3864831591407875E-4</v>
      </c>
      <c r="V263" s="290">
        <v>1431.53263945</v>
      </c>
      <c r="W263" s="765">
        <v>0.71555312999999998</v>
      </c>
      <c r="X263" s="290">
        <v>1900</v>
      </c>
      <c r="Y263" s="290"/>
      <c r="Z263" s="290">
        <f>innut22!E269</f>
        <v>118971.03721028806</v>
      </c>
      <c r="AA263" s="290">
        <v>0</v>
      </c>
      <c r="AB263" s="290">
        <v>46</v>
      </c>
      <c r="AC263" s="290">
        <v>2252</v>
      </c>
      <c r="AD263" s="290"/>
      <c r="AE263" s="290">
        <v>0</v>
      </c>
      <c r="AF263" s="290">
        <v>0</v>
      </c>
      <c r="AG263" s="290">
        <v>2875</v>
      </c>
      <c r="AH263" s="290">
        <v>499</v>
      </c>
      <c r="AI263" s="290">
        <v>0</v>
      </c>
      <c r="AJ263" s="290">
        <v>0</v>
      </c>
      <c r="AK263" s="290">
        <v>1429</v>
      </c>
      <c r="AL263" s="290">
        <v>0</v>
      </c>
      <c r="AM263" s="957">
        <v>0.10710744</v>
      </c>
      <c r="AN263" s="290">
        <v>0</v>
      </c>
      <c r="AO263" s="290">
        <v>611.94206959999997</v>
      </c>
      <c r="AP263" s="290">
        <v>0</v>
      </c>
      <c r="AQ263" s="290">
        <v>0</v>
      </c>
      <c r="AR263" s="290">
        <v>-138.69184636</v>
      </c>
      <c r="AS263" s="290">
        <v>554</v>
      </c>
      <c r="AT263" s="290">
        <v>156</v>
      </c>
      <c r="AU263" s="290">
        <v>39</v>
      </c>
      <c r="AV263" s="766">
        <v>100149</v>
      </c>
      <c r="AW263" s="290"/>
      <c r="AX263" s="766">
        <v>13.416650000000001</v>
      </c>
      <c r="AY263" s="290">
        <v>445</v>
      </c>
      <c r="AZ263" s="290">
        <v>144</v>
      </c>
      <c r="BA263" s="290">
        <v>51</v>
      </c>
      <c r="BB263" s="290">
        <v>3017</v>
      </c>
      <c r="BC263" s="290">
        <v>6326</v>
      </c>
      <c r="BD263" s="290"/>
      <c r="BE263" s="290">
        <v>101605.03127948</v>
      </c>
      <c r="BF263" s="290">
        <v>0</v>
      </c>
      <c r="BG263" s="290">
        <v>2609.289491582907</v>
      </c>
      <c r="BH263" s="290">
        <v>140.58212770977295</v>
      </c>
      <c r="BI263" s="290">
        <v>4180</v>
      </c>
      <c r="BJ263" s="290"/>
      <c r="BK263" s="290"/>
      <c r="BL263" s="290"/>
      <c r="BM263" s="290">
        <v>0</v>
      </c>
      <c r="BN263" s="290">
        <v>1164.3774600000002</v>
      </c>
      <c r="BO263" s="290">
        <v>-1339.6167036140564</v>
      </c>
      <c r="BP263" s="290">
        <v>159.58000000000001</v>
      </c>
      <c r="BQ263" s="290">
        <v>-85.581000000000003</v>
      </c>
      <c r="BR263" s="290">
        <v>-55.611378438977589</v>
      </c>
      <c r="BS263" s="290">
        <v>0.66</v>
      </c>
      <c r="BT263" s="290"/>
      <c r="BU263" s="290">
        <v>0</v>
      </c>
      <c r="BV263" s="290">
        <v>1000</v>
      </c>
      <c r="BW263" s="290">
        <v>-660</v>
      </c>
      <c r="BX263" s="290">
        <v>352</v>
      </c>
      <c r="BY263" s="290">
        <v>83</v>
      </c>
      <c r="BZ263" s="290">
        <v>-502</v>
      </c>
      <c r="CA263" s="290">
        <v>-8.8083779469661749</v>
      </c>
      <c r="CB263" s="290">
        <v>132</v>
      </c>
      <c r="CC263" s="290">
        <v>374</v>
      </c>
      <c r="CD263" s="290">
        <v>5</v>
      </c>
      <c r="CE263" s="290">
        <v>107</v>
      </c>
      <c r="CF263" s="290">
        <v>5</v>
      </c>
      <c r="CG263" s="290">
        <v>1</v>
      </c>
      <c r="CH263" s="290">
        <v>-3</v>
      </c>
      <c r="CI263" s="290">
        <v>-1287</v>
      </c>
      <c r="CJ263" s="290">
        <v>-2803</v>
      </c>
      <c r="CK263" s="290">
        <f>+innut22!E269+innut22!S269</f>
        <v>118971.03721028806</v>
      </c>
      <c r="CL263" s="290">
        <v>1559.3892685326155</v>
      </c>
      <c r="CM263" s="290">
        <v>1683.6735010236926</v>
      </c>
      <c r="CN263" s="290">
        <v>1802.9521288461219</v>
      </c>
      <c r="CP263" s="290">
        <f>+innut23!E269</f>
        <v>113220.73564844146</v>
      </c>
      <c r="CQ263" s="290"/>
      <c r="CV263" s="85">
        <f t="shared" si="5"/>
        <v>0.53200000000000003</v>
      </c>
    </row>
    <row r="264" spans="1:100" ht="13">
      <c r="A264" s="1">
        <v>4633</v>
      </c>
      <c r="B264" s="2" t="s">
        <v>56</v>
      </c>
      <c r="C264" s="289">
        <v>502</v>
      </c>
      <c r="D264" s="290">
        <v>7</v>
      </c>
      <c r="E264" s="290">
        <v>14</v>
      </c>
      <c r="F264" s="290">
        <v>56</v>
      </c>
      <c r="G264" s="290">
        <v>52</v>
      </c>
      <c r="H264" s="290">
        <v>256</v>
      </c>
      <c r="I264" s="290">
        <v>84</v>
      </c>
      <c r="J264" s="290">
        <v>37</v>
      </c>
      <c r="K264" s="290">
        <v>15</v>
      </c>
      <c r="L264" s="290">
        <v>3</v>
      </c>
      <c r="M264" s="290">
        <v>60</v>
      </c>
      <c r="N264" s="290">
        <v>1.5</v>
      </c>
      <c r="O264" s="290">
        <v>9</v>
      </c>
      <c r="P264" s="624">
        <v>497.10133332999999</v>
      </c>
      <c r="Q264" s="624">
        <v>647.15733333000003</v>
      </c>
      <c r="R264" s="624">
        <v>2</v>
      </c>
      <c r="S264" s="290">
        <v>5</v>
      </c>
      <c r="T264" s="290">
        <v>48</v>
      </c>
      <c r="U264" s="958">
        <v>1.139810006702387E-4</v>
      </c>
      <c r="V264" s="290">
        <v>455.20707969</v>
      </c>
      <c r="W264" s="765">
        <v>1</v>
      </c>
      <c r="X264" s="290">
        <v>1200</v>
      </c>
      <c r="Y264" s="290"/>
      <c r="Z264" s="290">
        <f>innut22!E270</f>
        <v>17703.971661063955</v>
      </c>
      <c r="AA264" s="290">
        <v>0</v>
      </c>
      <c r="AB264" s="290">
        <v>6</v>
      </c>
      <c r="AC264" s="290">
        <v>0</v>
      </c>
      <c r="AD264" s="290"/>
      <c r="AE264" s="290">
        <v>0</v>
      </c>
      <c r="AF264" s="290">
        <v>0</v>
      </c>
      <c r="AG264" s="290">
        <v>521</v>
      </c>
      <c r="AH264" s="290">
        <v>100</v>
      </c>
      <c r="AI264" s="290">
        <v>0</v>
      </c>
      <c r="AJ264" s="290">
        <v>0</v>
      </c>
      <c r="AK264" s="290">
        <v>0</v>
      </c>
      <c r="AL264" s="290">
        <v>0</v>
      </c>
      <c r="AM264" s="957">
        <v>5.5074800000000004E-3</v>
      </c>
      <c r="AN264" s="290">
        <v>0</v>
      </c>
      <c r="AO264" s="290">
        <v>169.94375912000001</v>
      </c>
      <c r="AP264" s="290">
        <v>0</v>
      </c>
      <c r="AQ264" s="290">
        <v>0</v>
      </c>
      <c r="AR264" s="290">
        <v>-25.133374589999999</v>
      </c>
      <c r="AS264" s="290">
        <v>39</v>
      </c>
      <c r="AT264" s="290">
        <v>22</v>
      </c>
      <c r="AU264" s="290">
        <v>3</v>
      </c>
      <c r="AV264" s="766">
        <v>42628</v>
      </c>
      <c r="AW264" s="290"/>
      <c r="AX264" s="766">
        <v>4.4999500000000001</v>
      </c>
      <c r="AY264" s="290">
        <v>106</v>
      </c>
      <c r="AZ264" s="290">
        <v>23</v>
      </c>
      <c r="BA264" s="290">
        <v>7</v>
      </c>
      <c r="BB264" s="290">
        <v>6034</v>
      </c>
      <c r="BC264" s="290">
        <v>1392</v>
      </c>
      <c r="BD264" s="290"/>
      <c r="BE264" s="290">
        <v>42220.316294930002</v>
      </c>
      <c r="BF264" s="290">
        <v>0</v>
      </c>
      <c r="BG264" s="290">
        <v>453.39678946854258</v>
      </c>
      <c r="BH264" s="290">
        <v>24.427908657080661</v>
      </c>
      <c r="BI264" s="290">
        <v>100</v>
      </c>
      <c r="BJ264" s="290"/>
      <c r="BK264" s="290"/>
      <c r="BL264" s="290"/>
      <c r="BM264" s="290">
        <v>0</v>
      </c>
      <c r="BN264" s="290">
        <v>323.36180000000002</v>
      </c>
      <c r="BO264" s="290">
        <v>-242.76184437666899</v>
      </c>
      <c r="BP264" s="290">
        <v>21.158999999999999</v>
      </c>
      <c r="BQ264" s="290">
        <v>-11.347</v>
      </c>
      <c r="BR264" s="290">
        <v>-13.673955623331029</v>
      </c>
      <c r="BS264" s="290">
        <v>0.26200000000000001</v>
      </c>
      <c r="BT264" s="290"/>
      <c r="BU264" s="290">
        <v>0</v>
      </c>
      <c r="BV264" s="290">
        <v>500</v>
      </c>
      <c r="BW264" s="290">
        <v>-120</v>
      </c>
      <c r="BX264" s="290">
        <v>84</v>
      </c>
      <c r="BY264" s="290">
        <v>12</v>
      </c>
      <c r="BZ264" s="290">
        <v>-91</v>
      </c>
      <c r="CA264" s="290">
        <v>0</v>
      </c>
      <c r="CB264" s="290">
        <v>20</v>
      </c>
      <c r="CC264" s="290">
        <v>68</v>
      </c>
      <c r="CD264" s="290">
        <v>1</v>
      </c>
      <c r="CE264" s="290">
        <v>19</v>
      </c>
      <c r="CF264" s="290">
        <v>2</v>
      </c>
      <c r="CG264" s="290">
        <v>0</v>
      </c>
      <c r="CH264" s="290">
        <v>-1</v>
      </c>
      <c r="CI264" s="290">
        <v>-224</v>
      </c>
      <c r="CJ264" s="290">
        <v>-655</v>
      </c>
      <c r="CK264" s="290">
        <f>+innut22!E270+innut22!S270</f>
        <v>17703.971661063955</v>
      </c>
      <c r="CL264" s="290">
        <v>0</v>
      </c>
      <c r="CM264" s="290">
        <v>0</v>
      </c>
      <c r="CN264" s="290">
        <v>0</v>
      </c>
      <c r="CP264" s="290">
        <f>+innut23!E270</f>
        <v>15793.794500131049</v>
      </c>
      <c r="CQ264" s="290"/>
      <c r="CV264" s="85">
        <f t="shared" si="5"/>
        <v>9.6000000000000002E-2</v>
      </c>
    </row>
    <row r="265" spans="1:100" ht="13">
      <c r="A265" s="1">
        <v>4634</v>
      </c>
      <c r="B265" s="2" t="s">
        <v>57</v>
      </c>
      <c r="C265" s="289">
        <v>1629</v>
      </c>
      <c r="D265" s="290">
        <v>27</v>
      </c>
      <c r="E265" s="290">
        <v>67</v>
      </c>
      <c r="F265" s="290">
        <v>207</v>
      </c>
      <c r="G265" s="290">
        <v>120</v>
      </c>
      <c r="H265" s="290">
        <v>847</v>
      </c>
      <c r="I265" s="290">
        <v>255</v>
      </c>
      <c r="J265" s="290">
        <v>99</v>
      </c>
      <c r="K265" s="290">
        <v>31</v>
      </c>
      <c r="L265" s="290">
        <v>13</v>
      </c>
      <c r="M265" s="290">
        <v>167</v>
      </c>
      <c r="N265" s="290">
        <v>11</v>
      </c>
      <c r="O265" s="290">
        <v>20</v>
      </c>
      <c r="P265" s="624">
        <v>28255.281666669998</v>
      </c>
      <c r="Q265" s="624">
        <v>12896.661666669999</v>
      </c>
      <c r="R265" s="624">
        <v>9</v>
      </c>
      <c r="S265" s="290">
        <v>14</v>
      </c>
      <c r="T265" s="290">
        <v>109</v>
      </c>
      <c r="U265" s="958">
        <v>1.7093641135492719E-3</v>
      </c>
      <c r="V265" s="290">
        <v>1180.74527268</v>
      </c>
      <c r="W265" s="765">
        <v>1</v>
      </c>
      <c r="X265" s="290">
        <v>0</v>
      </c>
      <c r="Y265" s="290"/>
      <c r="Z265" s="290">
        <f>innut22!E271</f>
        <v>69238.320351759467</v>
      </c>
      <c r="AA265" s="290">
        <v>0</v>
      </c>
      <c r="AB265" s="290">
        <v>33</v>
      </c>
      <c r="AC265" s="290">
        <v>24</v>
      </c>
      <c r="AD265" s="290"/>
      <c r="AE265" s="290">
        <v>0</v>
      </c>
      <c r="AF265" s="290">
        <v>0</v>
      </c>
      <c r="AG265" s="290">
        <v>1653</v>
      </c>
      <c r="AH265" s="290">
        <v>287</v>
      </c>
      <c r="AI265" s="290">
        <v>400</v>
      </c>
      <c r="AJ265" s="290">
        <v>0</v>
      </c>
      <c r="AK265" s="290">
        <v>0</v>
      </c>
      <c r="AL265" s="290">
        <v>0</v>
      </c>
      <c r="AM265" s="957">
        <v>1.460916E-2</v>
      </c>
      <c r="AN265" s="290">
        <v>0</v>
      </c>
      <c r="AO265" s="290">
        <v>440.81100481999999</v>
      </c>
      <c r="AP265" s="290">
        <v>0</v>
      </c>
      <c r="AQ265" s="290">
        <v>0</v>
      </c>
      <c r="AR265" s="290">
        <v>-79.741781579999994</v>
      </c>
      <c r="AS265" s="290">
        <v>518</v>
      </c>
      <c r="AT265" s="290">
        <v>63</v>
      </c>
      <c r="AU265" s="290">
        <v>9</v>
      </c>
      <c r="AV265" s="766">
        <v>83879</v>
      </c>
      <c r="AW265" s="290"/>
      <c r="AX265" s="766">
        <v>6.5833000000000004</v>
      </c>
      <c r="AY265" s="290">
        <v>259</v>
      </c>
      <c r="AZ265" s="290">
        <v>71</v>
      </c>
      <c r="BA265" s="290">
        <v>34</v>
      </c>
      <c r="BB265" s="290">
        <v>3017</v>
      </c>
      <c r="BC265" s="290">
        <v>3218</v>
      </c>
      <c r="BD265" s="290"/>
      <c r="BE265" s="290">
        <v>83884.021545869997</v>
      </c>
      <c r="BF265" s="290">
        <v>0</v>
      </c>
      <c r="BG265" s="290">
        <v>1471.2816136339759</v>
      </c>
      <c r="BH265" s="290">
        <v>79.269050203952986</v>
      </c>
      <c r="BI265" s="290">
        <v>311</v>
      </c>
      <c r="BJ265" s="290"/>
      <c r="BK265" s="290"/>
      <c r="BL265" s="290"/>
      <c r="BM265" s="290">
        <v>0</v>
      </c>
      <c r="BN265" s="290">
        <v>838.75652000000002</v>
      </c>
      <c r="BO265" s="290">
        <v>-770.22136037357745</v>
      </c>
      <c r="BP265" s="290">
        <v>82.677999999999997</v>
      </c>
      <c r="BQ265" s="290">
        <v>-44.34</v>
      </c>
      <c r="BR265" s="290">
        <v>-39.314316869232407</v>
      </c>
      <c r="BS265" s="290">
        <v>0.53500000000000003</v>
      </c>
      <c r="BT265" s="290"/>
      <c r="BU265" s="290">
        <v>0</v>
      </c>
      <c r="BV265" s="290">
        <v>1500</v>
      </c>
      <c r="BW265" s="290">
        <v>-380</v>
      </c>
      <c r="BX265" s="290">
        <v>257</v>
      </c>
      <c r="BY265" s="290">
        <v>36</v>
      </c>
      <c r="BZ265" s="290">
        <v>-289</v>
      </c>
      <c r="CA265" s="290">
        <v>-9.384275719013857E-2</v>
      </c>
      <c r="CB265" s="290">
        <v>58</v>
      </c>
      <c r="CC265" s="290">
        <v>215</v>
      </c>
      <c r="CD265" s="290">
        <v>2</v>
      </c>
      <c r="CE265" s="290">
        <v>60</v>
      </c>
      <c r="CF265" s="290">
        <v>4</v>
      </c>
      <c r="CG265" s="290">
        <v>0</v>
      </c>
      <c r="CH265" s="290">
        <v>-3</v>
      </c>
      <c r="CI265" s="290">
        <v>-726</v>
      </c>
      <c r="CJ265" s="290">
        <v>-2240</v>
      </c>
      <c r="CK265" s="290">
        <f>+innut22!E271+innut22!S271</f>
        <v>69238.320351759467</v>
      </c>
      <c r="CL265" s="290">
        <v>0</v>
      </c>
      <c r="CM265" s="290">
        <v>0</v>
      </c>
      <c r="CN265" s="290">
        <v>0</v>
      </c>
      <c r="CP265" s="290">
        <f>+innut23!E271</f>
        <v>62715.805503666117</v>
      </c>
      <c r="CQ265" s="290"/>
      <c r="CV265" s="85">
        <f t="shared" si="5"/>
        <v>0.30599999999999999</v>
      </c>
    </row>
    <row r="266" spans="1:100" ht="13">
      <c r="A266" s="1">
        <v>4635</v>
      </c>
      <c r="B266" s="2" t="s">
        <v>59</v>
      </c>
      <c r="C266" s="289">
        <v>2230</v>
      </c>
      <c r="D266" s="290">
        <v>38</v>
      </c>
      <c r="E266" s="290">
        <v>80</v>
      </c>
      <c r="F266" s="290">
        <v>241</v>
      </c>
      <c r="G266" s="290">
        <v>191</v>
      </c>
      <c r="H266" s="290">
        <v>1205</v>
      </c>
      <c r="I266" s="290">
        <v>326</v>
      </c>
      <c r="J266" s="290">
        <v>117</v>
      </c>
      <c r="K266" s="290">
        <v>37</v>
      </c>
      <c r="L266" s="290">
        <v>17</v>
      </c>
      <c r="M266" s="290">
        <v>217</v>
      </c>
      <c r="N266" s="290">
        <v>11</v>
      </c>
      <c r="O266" s="290">
        <v>27</v>
      </c>
      <c r="P266" s="624">
        <v>70640.283333329993</v>
      </c>
      <c r="Q266" s="624">
        <v>21239.269666669999</v>
      </c>
      <c r="R266" s="624">
        <v>12</v>
      </c>
      <c r="S266" s="290">
        <v>20</v>
      </c>
      <c r="T266" s="290">
        <v>185</v>
      </c>
      <c r="U266" s="958">
        <v>2.3511647027867153E-3</v>
      </c>
      <c r="V266" s="290">
        <v>1504.54147309</v>
      </c>
      <c r="W266" s="765">
        <v>1</v>
      </c>
      <c r="X266" s="290">
        <v>0</v>
      </c>
      <c r="Y266" s="290"/>
      <c r="Z266" s="290">
        <f>innut22!E272</f>
        <v>95410.232089757352</v>
      </c>
      <c r="AA266" s="290">
        <v>0</v>
      </c>
      <c r="AB266" s="290">
        <v>32</v>
      </c>
      <c r="AC266" s="290">
        <v>279</v>
      </c>
      <c r="AD266" s="290"/>
      <c r="AE266" s="290">
        <v>0</v>
      </c>
      <c r="AF266" s="290">
        <v>0</v>
      </c>
      <c r="AG266" s="290">
        <v>2235</v>
      </c>
      <c r="AH266" s="290">
        <v>376</v>
      </c>
      <c r="AI266" s="290">
        <v>20</v>
      </c>
      <c r="AJ266" s="290">
        <v>0</v>
      </c>
      <c r="AK266" s="290">
        <v>803</v>
      </c>
      <c r="AL266" s="290">
        <v>0</v>
      </c>
      <c r="AM266" s="957">
        <v>2.2887709999999999E-2</v>
      </c>
      <c r="AN266" s="290">
        <v>0</v>
      </c>
      <c r="AO266" s="290">
        <v>561.69476508000002</v>
      </c>
      <c r="AP266" s="290">
        <v>0</v>
      </c>
      <c r="AQ266" s="290">
        <v>0</v>
      </c>
      <c r="AR266" s="290">
        <v>340.87524938000001</v>
      </c>
      <c r="AS266" s="290">
        <v>545</v>
      </c>
      <c r="AT266" s="290">
        <v>97</v>
      </c>
      <c r="AU266" s="290">
        <v>14</v>
      </c>
      <c r="AV266" s="766">
        <v>107304</v>
      </c>
      <c r="AW266" s="290"/>
      <c r="AX266" s="766">
        <v>15.791700000000001</v>
      </c>
      <c r="AY266" s="290">
        <v>436</v>
      </c>
      <c r="AZ266" s="290">
        <v>87</v>
      </c>
      <c r="BA266" s="290">
        <v>30</v>
      </c>
      <c r="BB266" s="290">
        <v>6034</v>
      </c>
      <c r="BC266" s="290">
        <v>4923</v>
      </c>
      <c r="BD266" s="290"/>
      <c r="BE266" s="290">
        <v>105899.75302072</v>
      </c>
      <c r="BF266" s="290">
        <v>0</v>
      </c>
      <c r="BG266" s="290">
        <v>2014.0933077985057</v>
      </c>
      <c r="BH266" s="290">
        <v>108.51441495077664</v>
      </c>
      <c r="BI266" s="290">
        <v>1458</v>
      </c>
      <c r="BJ266" s="290"/>
      <c r="BK266" s="290"/>
      <c r="BL266" s="290"/>
      <c r="BM266" s="290">
        <v>0</v>
      </c>
      <c r="BN266" s="290">
        <v>1068.76902</v>
      </c>
      <c r="BO266" s="290">
        <v>-1041.4063765486665</v>
      </c>
      <c r="BP266" s="290">
        <v>108.458</v>
      </c>
      <c r="BQ266" s="290">
        <v>-58.164999999999999</v>
      </c>
      <c r="BR266" s="290">
        <v>-50.273409291114739</v>
      </c>
      <c r="BS266" s="290">
        <v>0.71</v>
      </c>
      <c r="BT266" s="290"/>
      <c r="BU266" s="290">
        <v>0</v>
      </c>
      <c r="BV266" s="290">
        <v>2000</v>
      </c>
      <c r="BW266" s="290">
        <v>-513</v>
      </c>
      <c r="BX266" s="290">
        <v>324</v>
      </c>
      <c r="BY266" s="290">
        <v>52</v>
      </c>
      <c r="BZ266" s="290">
        <v>-390</v>
      </c>
      <c r="CA266" s="290">
        <v>-1.0922341602187657</v>
      </c>
      <c r="CB266" s="290">
        <v>84</v>
      </c>
      <c r="CC266" s="290">
        <v>291</v>
      </c>
      <c r="CD266" s="290">
        <v>3</v>
      </c>
      <c r="CE266" s="290">
        <v>82</v>
      </c>
      <c r="CF266" s="290">
        <v>6</v>
      </c>
      <c r="CG266" s="290">
        <v>0</v>
      </c>
      <c r="CH266" s="290">
        <v>-4</v>
      </c>
      <c r="CI266" s="290">
        <v>-993</v>
      </c>
      <c r="CJ266" s="290">
        <v>-2749</v>
      </c>
      <c r="CK266" s="290">
        <f>+innut22!E272+innut22!S272</f>
        <v>95410.232089757352</v>
      </c>
      <c r="CL266" s="290">
        <v>822.54423791689192</v>
      </c>
      <c r="CM266" s="290">
        <v>836.1724521569156</v>
      </c>
      <c r="CN266" s="290">
        <v>845.77468300913165</v>
      </c>
      <c r="CP266" s="290">
        <f>+innut23!E272</f>
        <v>87682.848526276895</v>
      </c>
      <c r="CQ266" s="290"/>
      <c r="CV266" s="85">
        <f t="shared" si="5"/>
        <v>0.41399999999999998</v>
      </c>
    </row>
    <row r="267" spans="1:100" ht="13">
      <c r="A267" s="1">
        <v>4636</v>
      </c>
      <c r="B267" s="2" t="s">
        <v>60</v>
      </c>
      <c r="C267" s="289">
        <v>768</v>
      </c>
      <c r="D267" s="290">
        <v>10</v>
      </c>
      <c r="E267" s="290">
        <v>24</v>
      </c>
      <c r="F267" s="290">
        <v>75</v>
      </c>
      <c r="G267" s="290">
        <v>58</v>
      </c>
      <c r="H267" s="290">
        <v>418</v>
      </c>
      <c r="I267" s="290">
        <v>134</v>
      </c>
      <c r="J267" s="290">
        <v>40</v>
      </c>
      <c r="K267" s="290">
        <v>12</v>
      </c>
      <c r="L267" s="290">
        <v>6</v>
      </c>
      <c r="M267" s="290">
        <v>85</v>
      </c>
      <c r="N267" s="290">
        <v>1.5</v>
      </c>
      <c r="O267" s="290">
        <v>17</v>
      </c>
      <c r="P267" s="624">
        <v>10006.837</v>
      </c>
      <c r="Q267" s="624">
        <v>8881.1243333300008</v>
      </c>
      <c r="R267" s="624">
        <v>2</v>
      </c>
      <c r="S267" s="290">
        <v>6</v>
      </c>
      <c r="T267" s="290">
        <v>55</v>
      </c>
      <c r="U267" s="958">
        <v>8.2729792322976516E-4</v>
      </c>
      <c r="V267" s="290">
        <v>585.30094721</v>
      </c>
      <c r="W267" s="765">
        <v>1</v>
      </c>
      <c r="X267" s="290">
        <v>1400</v>
      </c>
      <c r="Y267" s="290"/>
      <c r="Z267" s="290">
        <f>innut22!E273</f>
        <v>27934.080142665345</v>
      </c>
      <c r="AA267" s="290">
        <v>0</v>
      </c>
      <c r="AB267" s="290">
        <v>8</v>
      </c>
      <c r="AC267" s="290">
        <v>4</v>
      </c>
      <c r="AD267" s="290"/>
      <c r="AE267" s="290">
        <v>0</v>
      </c>
      <c r="AF267" s="290">
        <v>0</v>
      </c>
      <c r="AG267" s="290">
        <v>771</v>
      </c>
      <c r="AH267" s="290">
        <v>112</v>
      </c>
      <c r="AI267" s="290">
        <v>0</v>
      </c>
      <c r="AJ267" s="290">
        <v>0</v>
      </c>
      <c r="AK267" s="290">
        <v>0</v>
      </c>
      <c r="AL267" s="290">
        <v>0</v>
      </c>
      <c r="AM267" s="957">
        <v>3.3020599999999999E-3</v>
      </c>
      <c r="AN267" s="290">
        <v>0</v>
      </c>
      <c r="AO267" s="290">
        <v>218.51207421999999</v>
      </c>
      <c r="AP267" s="290">
        <v>0</v>
      </c>
      <c r="AQ267" s="290">
        <v>0</v>
      </c>
      <c r="AR267" s="290">
        <v>479.97613848999998</v>
      </c>
      <c r="AS267" s="290">
        <v>536</v>
      </c>
      <c r="AT267" s="290">
        <v>17</v>
      </c>
      <c r="AU267" s="290">
        <v>3</v>
      </c>
      <c r="AV267" s="766">
        <v>49996</v>
      </c>
      <c r="AW267" s="290"/>
      <c r="AX267" s="766">
        <v>1.45835</v>
      </c>
      <c r="AY267" s="290">
        <v>137</v>
      </c>
      <c r="AZ267" s="290">
        <v>40</v>
      </c>
      <c r="BA267" s="290">
        <v>14</v>
      </c>
      <c r="BB267" s="290">
        <v>6034</v>
      </c>
      <c r="BC267" s="290">
        <v>1757</v>
      </c>
      <c r="BD267" s="290"/>
      <c r="BE267" s="290">
        <v>49076.24454082</v>
      </c>
      <c r="BF267" s="290">
        <v>0</v>
      </c>
      <c r="BG267" s="290">
        <v>693.64289703553914</v>
      </c>
      <c r="BH267" s="290">
        <v>37.371780574975986</v>
      </c>
      <c r="BI267" s="290">
        <v>116</v>
      </c>
      <c r="BJ267" s="290"/>
      <c r="BK267" s="290"/>
      <c r="BL267" s="290"/>
      <c r="BM267" s="290">
        <v>0</v>
      </c>
      <c r="BN267" s="290">
        <v>415.77552000000003</v>
      </c>
      <c r="BO267" s="290">
        <v>-359.25025338658696</v>
      </c>
      <c r="BP267" s="290">
        <v>29.92</v>
      </c>
      <c r="BQ267" s="290">
        <v>-16.045999999999999</v>
      </c>
      <c r="BR267" s="290">
        <v>-18.72198597292018</v>
      </c>
      <c r="BS267" s="290">
        <v>0.33800000000000002</v>
      </c>
      <c r="BT267" s="290"/>
      <c r="BU267" s="290">
        <v>0</v>
      </c>
      <c r="BV267" s="290">
        <v>500</v>
      </c>
      <c r="BW267" s="290">
        <v>-177</v>
      </c>
      <c r="BX267" s="290">
        <v>120</v>
      </c>
      <c r="BY267" s="290">
        <v>15</v>
      </c>
      <c r="BZ267" s="290">
        <v>-135</v>
      </c>
      <c r="CA267" s="290">
        <v>-1.528064049288469E-2</v>
      </c>
      <c r="CB267" s="290">
        <v>24</v>
      </c>
      <c r="CC267" s="290">
        <v>100</v>
      </c>
      <c r="CD267" s="290">
        <v>1</v>
      </c>
      <c r="CE267" s="290">
        <v>28</v>
      </c>
      <c r="CF267" s="290">
        <v>3</v>
      </c>
      <c r="CG267" s="290">
        <v>0</v>
      </c>
      <c r="CH267" s="290">
        <v>-2</v>
      </c>
      <c r="CI267" s="290">
        <v>-342</v>
      </c>
      <c r="CJ267" s="290">
        <v>-949</v>
      </c>
      <c r="CK267" s="290">
        <f>+innut22!E273+innut22!S273</f>
        <v>27934.080142665345</v>
      </c>
      <c r="CL267" s="290">
        <v>0</v>
      </c>
      <c r="CM267" s="290">
        <v>0</v>
      </c>
      <c r="CN267" s="290">
        <v>0</v>
      </c>
      <c r="CP267" s="290">
        <f>+innut23!E273</f>
        <v>26200.148367040289</v>
      </c>
      <c r="CQ267" s="290"/>
      <c r="CV267" s="85">
        <f t="shared" si="5"/>
        <v>0.14299999999999999</v>
      </c>
    </row>
    <row r="268" spans="1:100" ht="13">
      <c r="A268" s="1">
        <v>4637</v>
      </c>
      <c r="B268" s="2" t="s">
        <v>61</v>
      </c>
      <c r="C268" s="289">
        <v>1290</v>
      </c>
      <c r="D268" s="290">
        <v>12</v>
      </c>
      <c r="E268" s="290">
        <v>41</v>
      </c>
      <c r="F268" s="290">
        <v>116</v>
      </c>
      <c r="G268" s="290">
        <v>123</v>
      </c>
      <c r="H268" s="290">
        <v>667</v>
      </c>
      <c r="I268" s="290">
        <v>233</v>
      </c>
      <c r="J268" s="290">
        <v>87</v>
      </c>
      <c r="K268" s="290">
        <v>11</v>
      </c>
      <c r="L268" s="290">
        <v>10</v>
      </c>
      <c r="M268" s="290">
        <v>153</v>
      </c>
      <c r="N268" s="290">
        <v>8</v>
      </c>
      <c r="O268" s="290">
        <v>14</v>
      </c>
      <c r="P268" s="624">
        <v>17649.523000000001</v>
      </c>
      <c r="Q268" s="624">
        <v>8857.7056666699991</v>
      </c>
      <c r="R268" s="624">
        <v>9</v>
      </c>
      <c r="S268" s="290">
        <v>13</v>
      </c>
      <c r="T268" s="290">
        <v>122</v>
      </c>
      <c r="U268" s="958">
        <v>1.3234703219034503E-3</v>
      </c>
      <c r="V268" s="290">
        <v>886.25138453</v>
      </c>
      <c r="W268" s="765">
        <v>1</v>
      </c>
      <c r="X268" s="290">
        <v>1300</v>
      </c>
      <c r="Y268" s="290"/>
      <c r="Z268" s="290">
        <f>innut22!E274</f>
        <v>48483.556791151328</v>
      </c>
      <c r="AA268" s="290">
        <v>0</v>
      </c>
      <c r="AB268" s="290">
        <v>24</v>
      </c>
      <c r="AC268" s="290">
        <v>0</v>
      </c>
      <c r="AD268" s="290"/>
      <c r="AE268" s="290">
        <v>0</v>
      </c>
      <c r="AF268" s="290">
        <v>0</v>
      </c>
      <c r="AG268" s="290">
        <v>1290</v>
      </c>
      <c r="AH268" s="290">
        <v>188</v>
      </c>
      <c r="AI268" s="290">
        <v>10</v>
      </c>
      <c r="AJ268" s="290">
        <v>0</v>
      </c>
      <c r="AK268" s="290">
        <v>0</v>
      </c>
      <c r="AL268" s="290">
        <v>0</v>
      </c>
      <c r="AM268" s="957">
        <v>2.009035E-2</v>
      </c>
      <c r="AN268" s="290">
        <v>0</v>
      </c>
      <c r="AO268" s="290">
        <v>330.86676048999999</v>
      </c>
      <c r="AP268" s="290">
        <v>0</v>
      </c>
      <c r="AQ268" s="290">
        <v>0</v>
      </c>
      <c r="AR268" s="290">
        <v>-62.230428449999998</v>
      </c>
      <c r="AS268" s="290">
        <v>550</v>
      </c>
      <c r="AT268" s="290">
        <v>58</v>
      </c>
      <c r="AU268" s="290">
        <v>10</v>
      </c>
      <c r="AV268" s="766">
        <v>65924</v>
      </c>
      <c r="AW268" s="290"/>
      <c r="AX268" s="766">
        <v>0.58330000000000004</v>
      </c>
      <c r="AY268" s="290">
        <v>216</v>
      </c>
      <c r="AZ268" s="290">
        <v>58</v>
      </c>
      <c r="BA268" s="290">
        <v>19</v>
      </c>
      <c r="BB268" s="290">
        <v>6034</v>
      </c>
      <c r="BC268" s="290">
        <v>2539</v>
      </c>
      <c r="BD268" s="290"/>
      <c r="BE268" s="290">
        <v>66362.995789459994</v>
      </c>
      <c r="BF268" s="290">
        <v>0</v>
      </c>
      <c r="BG268" s="290">
        <v>1165.1033036143824</v>
      </c>
      <c r="BH268" s="290">
        <v>62.772912684529999</v>
      </c>
      <c r="BI268" s="290">
        <v>188</v>
      </c>
      <c r="BJ268" s="290"/>
      <c r="BK268" s="290"/>
      <c r="BL268" s="290"/>
      <c r="BM268" s="290">
        <v>0</v>
      </c>
      <c r="BN268" s="290">
        <v>629.55925999999999</v>
      </c>
      <c r="BO268" s="290">
        <v>-601.08019049117661</v>
      </c>
      <c r="BP268" s="290">
        <v>49.069000000000003</v>
      </c>
      <c r="BQ268" s="290">
        <v>-26.315999999999999</v>
      </c>
      <c r="BR268" s="290">
        <v>-24.679069508823385</v>
      </c>
      <c r="BS268" s="290">
        <v>0.44700000000000001</v>
      </c>
      <c r="BT268" s="290"/>
      <c r="BU268" s="290">
        <v>0</v>
      </c>
      <c r="BV268" s="290">
        <v>500</v>
      </c>
      <c r="BW268" s="290">
        <v>-296</v>
      </c>
      <c r="BX268" s="290">
        <v>161</v>
      </c>
      <c r="BY268" s="290">
        <v>34</v>
      </c>
      <c r="BZ268" s="290">
        <v>-225</v>
      </c>
      <c r="CA268" s="290">
        <v>0</v>
      </c>
      <c r="CB268" s="290">
        <v>55</v>
      </c>
      <c r="CC268" s="290">
        <v>168</v>
      </c>
      <c r="CD268" s="290">
        <v>2</v>
      </c>
      <c r="CE268" s="290">
        <v>48</v>
      </c>
      <c r="CF268" s="290">
        <v>4</v>
      </c>
      <c r="CG268" s="290">
        <v>0</v>
      </c>
      <c r="CH268" s="290">
        <v>-2</v>
      </c>
      <c r="CI268" s="290">
        <v>-575</v>
      </c>
      <c r="CJ268" s="290">
        <v>-1139</v>
      </c>
      <c r="CK268" s="290">
        <f>+innut22!E274+innut22!S274</f>
        <v>48483.556791151328</v>
      </c>
      <c r="CL268" s="290">
        <v>0</v>
      </c>
      <c r="CM268" s="290">
        <v>0</v>
      </c>
      <c r="CN268" s="290">
        <v>0</v>
      </c>
      <c r="CP268" s="290">
        <f>+innut23!E274</f>
        <v>45695.655279597537</v>
      </c>
      <c r="CQ268" s="290"/>
      <c r="CV268" s="85">
        <f t="shared" si="5"/>
        <v>0.23899999999999999</v>
      </c>
    </row>
    <row r="269" spans="1:100" ht="13">
      <c r="A269" s="1">
        <v>4638</v>
      </c>
      <c r="B269" s="2" t="s">
        <v>62</v>
      </c>
      <c r="C269" s="289">
        <v>3965</v>
      </c>
      <c r="D269" s="290">
        <v>56</v>
      </c>
      <c r="E269" s="290">
        <v>122</v>
      </c>
      <c r="F269" s="290">
        <v>428</v>
      </c>
      <c r="G269" s="290">
        <v>384</v>
      </c>
      <c r="H269" s="290">
        <v>2147</v>
      </c>
      <c r="I269" s="290">
        <v>601</v>
      </c>
      <c r="J269" s="290">
        <v>214</v>
      </c>
      <c r="K269" s="290">
        <v>71</v>
      </c>
      <c r="L269" s="290">
        <v>28</v>
      </c>
      <c r="M269" s="290">
        <v>410</v>
      </c>
      <c r="N269" s="290">
        <v>52</v>
      </c>
      <c r="O269" s="290">
        <v>34</v>
      </c>
      <c r="P269" s="624">
        <v>76797.974666669994</v>
      </c>
      <c r="Q269" s="624">
        <v>23742.933333329998</v>
      </c>
      <c r="R269" s="624">
        <v>9</v>
      </c>
      <c r="S269" s="290">
        <v>47</v>
      </c>
      <c r="T269" s="290">
        <v>382</v>
      </c>
      <c r="U269" s="958">
        <v>1.7683415968808213E-3</v>
      </c>
      <c r="V269" s="290">
        <v>2271.6465962900002</v>
      </c>
      <c r="W269" s="765">
        <v>1</v>
      </c>
      <c r="X269" s="290">
        <v>0</v>
      </c>
      <c r="Y269" s="290"/>
      <c r="Z269" s="290">
        <f>innut22!E275</f>
        <v>146721.3762587588</v>
      </c>
      <c r="AA269" s="290">
        <v>0</v>
      </c>
      <c r="AB269" s="290">
        <v>87</v>
      </c>
      <c r="AC269" s="290">
        <v>118</v>
      </c>
      <c r="AD269" s="290"/>
      <c r="AE269" s="290">
        <v>0</v>
      </c>
      <c r="AF269" s="290">
        <v>0</v>
      </c>
      <c r="AG269" s="290">
        <v>4023</v>
      </c>
      <c r="AH269" s="290">
        <v>640</v>
      </c>
      <c r="AI269" s="290">
        <v>10</v>
      </c>
      <c r="AJ269" s="290">
        <v>0</v>
      </c>
      <c r="AK269" s="290">
        <v>2420</v>
      </c>
      <c r="AL269" s="290">
        <v>0</v>
      </c>
      <c r="AM269" s="957">
        <v>0.10451067999999999</v>
      </c>
      <c r="AN269" s="290">
        <v>6097</v>
      </c>
      <c r="AO269" s="290">
        <v>886.83226200000001</v>
      </c>
      <c r="AP269" s="290">
        <v>0</v>
      </c>
      <c r="AQ269" s="290">
        <v>0</v>
      </c>
      <c r="AR269" s="290">
        <v>-194.07210362000001</v>
      </c>
      <c r="AS269" s="290">
        <v>1021</v>
      </c>
      <c r="AT269" s="290">
        <v>199</v>
      </c>
      <c r="AU269" s="290">
        <v>41</v>
      </c>
      <c r="AV269" s="766">
        <v>148732</v>
      </c>
      <c r="AW269" s="290"/>
      <c r="AX269" s="766">
        <v>21.291650000000001</v>
      </c>
      <c r="AY269" s="290">
        <v>759</v>
      </c>
      <c r="AZ269" s="290">
        <v>210</v>
      </c>
      <c r="BA269" s="290">
        <v>94</v>
      </c>
      <c r="BB269" s="290">
        <v>0</v>
      </c>
      <c r="BC269" s="290">
        <v>9453</v>
      </c>
      <c r="BD269" s="290"/>
      <c r="BE269" s="290">
        <v>148261.59292815</v>
      </c>
      <c r="BF269" s="290">
        <v>0</v>
      </c>
      <c r="BG269" s="290">
        <v>3581.1120921170741</v>
      </c>
      <c r="BH269" s="290">
        <v>192.9415494528383</v>
      </c>
      <c r="BI269" s="290">
        <v>3178</v>
      </c>
      <c r="BJ269" s="290"/>
      <c r="BK269" s="290"/>
      <c r="BL269" s="290"/>
      <c r="BM269" s="290">
        <v>0</v>
      </c>
      <c r="BN269" s="290">
        <v>1687.4268800000002</v>
      </c>
      <c r="BO269" s="290">
        <v>-1874.5314777875997</v>
      </c>
      <c r="BP269" s="290">
        <v>165.30600000000001</v>
      </c>
      <c r="BQ269" s="290">
        <v>-88.652000000000001</v>
      </c>
      <c r="BR269" s="290">
        <v>-80.131707672573427</v>
      </c>
      <c r="BS269" s="290">
        <v>1.0429999999999999</v>
      </c>
      <c r="BT269" s="290"/>
      <c r="BU269" s="290">
        <v>0</v>
      </c>
      <c r="BV269" s="290">
        <v>2500</v>
      </c>
      <c r="BW269" s="290">
        <v>-924</v>
      </c>
      <c r="BX269" s="290">
        <v>505</v>
      </c>
      <c r="BY269" s="290">
        <v>123</v>
      </c>
      <c r="BZ269" s="290">
        <v>-702</v>
      </c>
      <c r="CA269" s="290">
        <v>-0.46069453982713071</v>
      </c>
      <c r="CB269" s="290">
        <v>197</v>
      </c>
      <c r="CC269" s="290">
        <v>523</v>
      </c>
      <c r="CD269" s="290">
        <v>7</v>
      </c>
      <c r="CE269" s="290">
        <v>146</v>
      </c>
      <c r="CF269" s="290">
        <v>9</v>
      </c>
      <c r="CG269" s="290">
        <v>1</v>
      </c>
      <c r="CH269" s="290">
        <v>-6</v>
      </c>
      <c r="CI269" s="290">
        <v>-1766</v>
      </c>
      <c r="CJ269" s="290">
        <v>-3758</v>
      </c>
      <c r="CK269" s="290">
        <f>+innut22!E275+innut22!S275</f>
        <v>146721.3762587588</v>
      </c>
      <c r="CL269" s="290">
        <v>2704.3504783166818</v>
      </c>
      <c r="CM269" s="290">
        <v>2979.3925502902412</v>
      </c>
      <c r="CN269" s="290">
        <v>3247.3414706533254</v>
      </c>
      <c r="CP269" s="290">
        <f>+innut23!E275</f>
        <v>136906.66884795314</v>
      </c>
      <c r="CQ269" s="290"/>
      <c r="CV269" s="85">
        <f t="shared" si="5"/>
        <v>0.745</v>
      </c>
    </row>
    <row r="270" spans="1:100" ht="13">
      <c r="A270" s="1">
        <v>4639</v>
      </c>
      <c r="B270" s="2" t="s">
        <v>63</v>
      </c>
      <c r="C270" s="289">
        <v>2560</v>
      </c>
      <c r="D270" s="290">
        <v>52</v>
      </c>
      <c r="E270" s="290">
        <v>100</v>
      </c>
      <c r="F270" s="290">
        <v>298</v>
      </c>
      <c r="G270" s="290">
        <v>211</v>
      </c>
      <c r="H270" s="290">
        <v>1310</v>
      </c>
      <c r="I270" s="290">
        <v>414</v>
      </c>
      <c r="J270" s="290">
        <v>177</v>
      </c>
      <c r="K270" s="290">
        <v>46</v>
      </c>
      <c r="L270" s="290">
        <v>18</v>
      </c>
      <c r="M270" s="290">
        <v>265</v>
      </c>
      <c r="N270" s="290">
        <v>35</v>
      </c>
      <c r="O270" s="290">
        <v>25</v>
      </c>
      <c r="P270" s="624">
        <v>22840.868666670001</v>
      </c>
      <c r="Q270" s="624">
        <v>9518.2156666699993</v>
      </c>
      <c r="R270" s="624">
        <v>13</v>
      </c>
      <c r="S270" s="290">
        <v>22</v>
      </c>
      <c r="T270" s="290">
        <v>193</v>
      </c>
      <c r="U270" s="958">
        <v>3.4940718626595368E-3</v>
      </c>
      <c r="V270" s="290">
        <v>330.21526531000001</v>
      </c>
      <c r="W270" s="765">
        <v>1</v>
      </c>
      <c r="X270" s="290">
        <v>0</v>
      </c>
      <c r="Y270" s="290"/>
      <c r="Z270" s="290">
        <f>innut22!E276</f>
        <v>98847.182377269492</v>
      </c>
      <c r="AA270" s="290">
        <v>0</v>
      </c>
      <c r="AB270" s="290">
        <v>34</v>
      </c>
      <c r="AC270" s="290">
        <v>132</v>
      </c>
      <c r="AD270" s="290"/>
      <c r="AE270" s="290">
        <v>0</v>
      </c>
      <c r="AF270" s="290">
        <v>0</v>
      </c>
      <c r="AG270" s="290">
        <v>2608</v>
      </c>
      <c r="AH270" s="290">
        <v>446</v>
      </c>
      <c r="AI270" s="290">
        <v>0</v>
      </c>
      <c r="AJ270" s="290">
        <v>0</v>
      </c>
      <c r="AK270" s="290">
        <v>0</v>
      </c>
      <c r="AL270" s="290">
        <v>0</v>
      </c>
      <c r="AM270" s="957">
        <v>9.8572399999999998E-3</v>
      </c>
      <c r="AN270" s="290">
        <v>0</v>
      </c>
      <c r="AO270" s="290">
        <v>627.05556392999995</v>
      </c>
      <c r="AP270" s="290">
        <v>0</v>
      </c>
      <c r="AQ270" s="290">
        <v>0</v>
      </c>
      <c r="AR270" s="290">
        <v>-125.81159488999999</v>
      </c>
      <c r="AS270" s="290">
        <v>147</v>
      </c>
      <c r="AT270" s="290">
        <v>75</v>
      </c>
      <c r="AU270" s="290">
        <v>8</v>
      </c>
      <c r="AV270" s="766">
        <v>112746</v>
      </c>
      <c r="AW270" s="290"/>
      <c r="AX270" s="766">
        <v>18.666699999999999</v>
      </c>
      <c r="AY270" s="290">
        <v>518</v>
      </c>
      <c r="AZ270" s="290">
        <v>112</v>
      </c>
      <c r="BA270" s="290">
        <v>37</v>
      </c>
      <c r="BB270" s="290">
        <v>6034</v>
      </c>
      <c r="BC270" s="290">
        <v>4666</v>
      </c>
      <c r="BD270" s="290"/>
      <c r="BE270" s="290">
        <v>111401.69582198</v>
      </c>
      <c r="BF270" s="290">
        <v>0</v>
      </c>
      <c r="BG270" s="290">
        <v>2312.1429901184642</v>
      </c>
      <c r="BH270" s="290">
        <v>124.57260191658665</v>
      </c>
      <c r="BI270" s="290">
        <v>578</v>
      </c>
      <c r="BJ270" s="290"/>
      <c r="BK270" s="290"/>
      <c r="BL270" s="290"/>
      <c r="BM270" s="290">
        <v>0</v>
      </c>
      <c r="BN270" s="290">
        <v>1193.1347800000001</v>
      </c>
      <c r="BO270" s="290">
        <v>-1215.207082791464</v>
      </c>
      <c r="BP270" s="290">
        <v>134.018</v>
      </c>
      <c r="BQ270" s="290">
        <v>-71.873000000000005</v>
      </c>
      <c r="BR270" s="290">
        <v>-53.254460182285506</v>
      </c>
      <c r="BS270" s="290">
        <v>0.69799999999999995</v>
      </c>
      <c r="BT270" s="290"/>
      <c r="BU270" s="290">
        <v>0</v>
      </c>
      <c r="BV270" s="290">
        <v>1000</v>
      </c>
      <c r="BW270" s="290">
        <v>-599</v>
      </c>
      <c r="BX270" s="290">
        <v>336</v>
      </c>
      <c r="BY270" s="290">
        <v>57</v>
      </c>
      <c r="BZ270" s="290">
        <v>-455</v>
      </c>
      <c r="CA270" s="290">
        <v>-0.51623702625056467</v>
      </c>
      <c r="CB270" s="290">
        <v>91</v>
      </c>
      <c r="CC270" s="290">
        <v>339</v>
      </c>
      <c r="CD270" s="290">
        <v>3</v>
      </c>
      <c r="CE270" s="290">
        <v>94</v>
      </c>
      <c r="CF270" s="290">
        <v>6</v>
      </c>
      <c r="CG270" s="290">
        <v>0</v>
      </c>
      <c r="CH270" s="290">
        <v>-4</v>
      </c>
      <c r="CI270" s="290">
        <v>-1140</v>
      </c>
      <c r="CJ270" s="290">
        <v>-3144</v>
      </c>
      <c r="CK270" s="290">
        <f>+innut22!E276+innut22!S276</f>
        <v>98847.182377269492</v>
      </c>
      <c r="CL270" s="290">
        <v>0</v>
      </c>
      <c r="CM270" s="290">
        <v>0</v>
      </c>
      <c r="CN270" s="290">
        <v>0</v>
      </c>
      <c r="CP270" s="290">
        <f>+innut23!E276</f>
        <v>89633.448696577092</v>
      </c>
      <c r="CQ270" s="290"/>
      <c r="CV270" s="85">
        <f t="shared" si="5"/>
        <v>0.48299999999999998</v>
      </c>
    </row>
    <row r="271" spans="1:100" ht="13">
      <c r="A271" s="1">
        <v>4640</v>
      </c>
      <c r="B271" s="2" t="s">
        <v>1637</v>
      </c>
      <c r="C271" s="289">
        <v>12097</v>
      </c>
      <c r="D271" s="290">
        <v>296</v>
      </c>
      <c r="E271" s="290">
        <v>590</v>
      </c>
      <c r="F271" s="290">
        <v>1392</v>
      </c>
      <c r="G271" s="290">
        <v>1093</v>
      </c>
      <c r="H271" s="290">
        <v>6637</v>
      </c>
      <c r="I271" s="290">
        <v>1373</v>
      </c>
      <c r="J271" s="290">
        <v>427</v>
      </c>
      <c r="K271" s="290">
        <v>122</v>
      </c>
      <c r="L271" s="290">
        <v>85</v>
      </c>
      <c r="M271" s="290">
        <v>755</v>
      </c>
      <c r="N271" s="290">
        <v>247</v>
      </c>
      <c r="O271" s="290">
        <v>136</v>
      </c>
      <c r="P271" s="624">
        <v>90181.633000000002</v>
      </c>
      <c r="Q271" s="624">
        <v>28807.14766667</v>
      </c>
      <c r="R271" s="624">
        <v>47</v>
      </c>
      <c r="S271" s="290">
        <v>110</v>
      </c>
      <c r="T271" s="290">
        <v>831</v>
      </c>
      <c r="U271" s="958">
        <v>5.9150100416616594E-3</v>
      </c>
      <c r="V271" s="290">
        <v>6262.8244698199996</v>
      </c>
      <c r="W271" s="765">
        <v>0.70208957999999999</v>
      </c>
      <c r="X271" s="290">
        <v>5700</v>
      </c>
      <c r="Y271" s="290"/>
      <c r="Z271" s="290">
        <f>innut22!E277</f>
        <v>410126.32002038363</v>
      </c>
      <c r="AA271" s="290">
        <v>0</v>
      </c>
      <c r="AB271" s="290">
        <v>162</v>
      </c>
      <c r="AC271" s="290">
        <v>704</v>
      </c>
      <c r="AD271" s="290"/>
      <c r="AE271" s="290">
        <v>0</v>
      </c>
      <c r="AF271" s="290">
        <v>43824</v>
      </c>
      <c r="AG271" s="290">
        <v>11930</v>
      </c>
      <c r="AH271" s="290">
        <v>2224</v>
      </c>
      <c r="AI271" s="290">
        <v>150</v>
      </c>
      <c r="AJ271" s="290">
        <v>0</v>
      </c>
      <c r="AK271" s="290">
        <v>0</v>
      </c>
      <c r="AL271" s="290">
        <v>0</v>
      </c>
      <c r="AM271" s="957">
        <v>8.7289539999999999E-2</v>
      </c>
      <c r="AN271" s="290">
        <v>0</v>
      </c>
      <c r="AO271" s="290">
        <v>2376.8700962100002</v>
      </c>
      <c r="AP271" s="290">
        <v>0</v>
      </c>
      <c r="AQ271" s="290">
        <v>0</v>
      </c>
      <c r="AR271" s="290">
        <v>-575.51086157999998</v>
      </c>
      <c r="AS271" s="290">
        <v>2212</v>
      </c>
      <c r="AT271" s="290">
        <v>351</v>
      </c>
      <c r="AU271" s="290">
        <v>66</v>
      </c>
      <c r="AV271" s="766">
        <v>385355</v>
      </c>
      <c r="AW271" s="290"/>
      <c r="AX271" s="766">
        <v>117.12495</v>
      </c>
      <c r="AY271" s="290">
        <v>3814</v>
      </c>
      <c r="AZ271" s="290">
        <v>537</v>
      </c>
      <c r="BA271" s="290">
        <v>154</v>
      </c>
      <c r="BB271" s="290">
        <v>0</v>
      </c>
      <c r="BC271" s="290">
        <v>62859</v>
      </c>
      <c r="BD271" s="290"/>
      <c r="BE271" s="290">
        <v>391513.35552933998</v>
      </c>
      <c r="BF271" s="290">
        <v>0</v>
      </c>
      <c r="BG271" s="290">
        <v>10925.778809165258</v>
      </c>
      <c r="BH271" s="290">
        <v>588.65420522849547</v>
      </c>
      <c r="BI271" s="290">
        <v>46752</v>
      </c>
      <c r="BJ271" s="290"/>
      <c r="BK271" s="290"/>
      <c r="BL271" s="290"/>
      <c r="BM271" s="290">
        <v>4180</v>
      </c>
      <c r="BN271" s="290">
        <v>4522.6078000000007</v>
      </c>
      <c r="BO271" s="290">
        <v>-5558.8268779532846</v>
      </c>
      <c r="BP271" s="290">
        <v>814.82100000000003</v>
      </c>
      <c r="BQ271" s="290">
        <v>-436.98200000000003</v>
      </c>
      <c r="BR271" s="290">
        <v>-224.15472822682659</v>
      </c>
      <c r="BS271" s="290">
        <v>2.2890000000000001</v>
      </c>
      <c r="BT271" s="290"/>
      <c r="BU271" s="290">
        <v>0</v>
      </c>
      <c r="BV271" s="290">
        <v>4500</v>
      </c>
      <c r="BW271" s="290">
        <v>-2740</v>
      </c>
      <c r="BX271" s="290">
        <v>1438</v>
      </c>
      <c r="BY271" s="290">
        <v>287</v>
      </c>
      <c r="BZ271" s="290">
        <v>-2082</v>
      </c>
      <c r="CA271" s="290">
        <v>-2.7541938198894513</v>
      </c>
      <c r="CB271" s="290">
        <v>460</v>
      </c>
      <c r="CC271" s="290">
        <v>1551</v>
      </c>
      <c r="CD271" s="290">
        <v>17</v>
      </c>
      <c r="CE271" s="290">
        <v>446</v>
      </c>
      <c r="CF271" s="290">
        <v>19</v>
      </c>
      <c r="CG271" s="290">
        <v>2</v>
      </c>
      <c r="CH271" s="290">
        <v>-12</v>
      </c>
      <c r="CI271" s="290">
        <v>-5388</v>
      </c>
      <c r="CJ271" s="290">
        <v>-14335</v>
      </c>
      <c r="CK271" s="290">
        <f>+innut22!E277+innut22!S277</f>
        <v>410126.32002038363</v>
      </c>
      <c r="CL271" s="290">
        <v>0</v>
      </c>
      <c r="CM271" s="290">
        <v>0</v>
      </c>
      <c r="CN271" s="290">
        <v>0</v>
      </c>
      <c r="CP271" s="290">
        <f>+innut23!E277</f>
        <v>386057.18062809051</v>
      </c>
      <c r="CQ271" s="290"/>
      <c r="CV271" s="85">
        <f t="shared" si="5"/>
        <v>2.2090000000000001</v>
      </c>
    </row>
    <row r="272" spans="1:100" ht="13">
      <c r="A272" s="1">
        <v>4641</v>
      </c>
      <c r="B272" s="2" t="s">
        <v>67</v>
      </c>
      <c r="C272" s="289">
        <v>1766</v>
      </c>
      <c r="D272" s="290">
        <v>32</v>
      </c>
      <c r="E272" s="290">
        <v>65</v>
      </c>
      <c r="F272" s="290">
        <v>159</v>
      </c>
      <c r="G272" s="290">
        <v>142</v>
      </c>
      <c r="H272" s="290">
        <v>1031</v>
      </c>
      <c r="I272" s="290">
        <v>231</v>
      </c>
      <c r="J272" s="290">
        <v>80</v>
      </c>
      <c r="K272" s="290">
        <v>26</v>
      </c>
      <c r="L272" s="290">
        <v>16</v>
      </c>
      <c r="M272" s="290">
        <v>149</v>
      </c>
      <c r="N272" s="290">
        <v>0</v>
      </c>
      <c r="O272" s="290">
        <v>18</v>
      </c>
      <c r="P272" s="624">
        <v>11350.409666670001</v>
      </c>
      <c r="Q272" s="624">
        <v>9502.3169999999991</v>
      </c>
      <c r="R272" s="624">
        <v>7</v>
      </c>
      <c r="S272" s="290">
        <v>17</v>
      </c>
      <c r="T272" s="290">
        <v>160</v>
      </c>
      <c r="U272" s="958">
        <v>1.5938003699360816E-3</v>
      </c>
      <c r="V272" s="290">
        <v>1064.1513383900001</v>
      </c>
      <c r="W272" s="765">
        <v>1</v>
      </c>
      <c r="X272" s="290">
        <v>0</v>
      </c>
      <c r="Y272" s="290"/>
      <c r="Z272" s="290">
        <f>innut22!E278</f>
        <v>95862.700645336125</v>
      </c>
      <c r="AA272" s="290">
        <v>0</v>
      </c>
      <c r="AB272" s="290">
        <v>32</v>
      </c>
      <c r="AC272" s="290">
        <v>0</v>
      </c>
      <c r="AD272" s="290"/>
      <c r="AE272" s="290">
        <v>0</v>
      </c>
      <c r="AF272" s="290">
        <v>0</v>
      </c>
      <c r="AG272" s="290">
        <v>1766</v>
      </c>
      <c r="AH272" s="290">
        <v>255</v>
      </c>
      <c r="AI272" s="290">
        <v>10</v>
      </c>
      <c r="AJ272" s="290">
        <v>0</v>
      </c>
      <c r="AK272" s="290">
        <v>0</v>
      </c>
      <c r="AL272" s="290">
        <v>0</v>
      </c>
      <c r="AM272" s="957">
        <v>1.763673E-2</v>
      </c>
      <c r="AN272" s="290">
        <v>0</v>
      </c>
      <c r="AO272" s="290">
        <v>397.28265835000002</v>
      </c>
      <c r="AP272" s="290">
        <v>0</v>
      </c>
      <c r="AQ272" s="290">
        <v>0</v>
      </c>
      <c r="AR272" s="290">
        <v>-85.192974149999998</v>
      </c>
      <c r="AS272" s="290">
        <v>88</v>
      </c>
      <c r="AT272" s="290">
        <v>51</v>
      </c>
      <c r="AU272" s="290">
        <v>14</v>
      </c>
      <c r="AV272" s="766">
        <v>64756</v>
      </c>
      <c r="AW272" s="290"/>
      <c r="AX272" s="766">
        <v>6.6666499999999997</v>
      </c>
      <c r="AY272" s="290">
        <v>409</v>
      </c>
      <c r="AZ272" s="290">
        <v>78</v>
      </c>
      <c r="BA272" s="290">
        <v>22</v>
      </c>
      <c r="BB272" s="290">
        <v>0</v>
      </c>
      <c r="BC272" s="290">
        <v>3336</v>
      </c>
      <c r="BD272" s="290"/>
      <c r="BE272" s="290">
        <v>63757.745992960001</v>
      </c>
      <c r="BF272" s="290">
        <v>0</v>
      </c>
      <c r="BG272" s="290">
        <v>1595.0173908395343</v>
      </c>
      <c r="BH272" s="290">
        <v>85.93563085339531</v>
      </c>
      <c r="BI272" s="290">
        <v>255</v>
      </c>
      <c r="BJ272" s="290"/>
      <c r="BK272" s="290"/>
      <c r="BL272" s="290"/>
      <c r="BM272" s="290">
        <v>0</v>
      </c>
      <c r="BN272" s="290">
        <v>755.93262000000016</v>
      </c>
      <c r="BO272" s="290">
        <v>-822.87412124606033</v>
      </c>
      <c r="BP272" s="290">
        <v>84.236999999999995</v>
      </c>
      <c r="BQ272" s="290">
        <v>-45.176000000000002</v>
      </c>
      <c r="BR272" s="290">
        <v>-31.619498753939826</v>
      </c>
      <c r="BS272" s="290">
        <v>0.5</v>
      </c>
      <c r="BT272" s="290"/>
      <c r="BU272" s="290">
        <v>0</v>
      </c>
      <c r="BV272" s="290">
        <v>1000</v>
      </c>
      <c r="BW272" s="290">
        <v>-406</v>
      </c>
      <c r="BX272" s="290">
        <v>199</v>
      </c>
      <c r="BY272" s="290">
        <v>44</v>
      </c>
      <c r="BZ272" s="290">
        <v>-308</v>
      </c>
      <c r="CA272" s="290">
        <v>0</v>
      </c>
      <c r="CB272" s="290">
        <v>70</v>
      </c>
      <c r="CC272" s="290">
        <v>230</v>
      </c>
      <c r="CD272" s="290">
        <v>3</v>
      </c>
      <c r="CE272" s="290">
        <v>65</v>
      </c>
      <c r="CF272" s="290">
        <v>4</v>
      </c>
      <c r="CG272" s="290">
        <v>0</v>
      </c>
      <c r="CH272" s="290">
        <v>-3</v>
      </c>
      <c r="CI272" s="290">
        <v>-787</v>
      </c>
      <c r="CJ272" s="290">
        <v>-1911</v>
      </c>
      <c r="CK272" s="290">
        <f>+innut22!E278+innut22!S278</f>
        <v>95862.700645336125</v>
      </c>
      <c r="CL272" s="290">
        <v>0</v>
      </c>
      <c r="CM272" s="290">
        <v>0</v>
      </c>
      <c r="CN272" s="290">
        <v>0</v>
      </c>
      <c r="CP272" s="290">
        <f>+innut23!E278</f>
        <v>91333.896629162758</v>
      </c>
      <c r="CQ272" s="290"/>
      <c r="CV272" s="85">
        <f t="shared" si="5"/>
        <v>0.32700000000000001</v>
      </c>
    </row>
    <row r="273" spans="1:100" ht="13">
      <c r="A273" s="1">
        <v>4642</v>
      </c>
      <c r="B273" s="2" t="s">
        <v>68</v>
      </c>
      <c r="C273" s="289">
        <v>2117</v>
      </c>
      <c r="D273" s="290">
        <v>34</v>
      </c>
      <c r="E273" s="290">
        <v>77</v>
      </c>
      <c r="F273" s="290">
        <v>217</v>
      </c>
      <c r="G273" s="290">
        <v>179</v>
      </c>
      <c r="H273" s="290">
        <v>1140</v>
      </c>
      <c r="I273" s="290">
        <v>341</v>
      </c>
      <c r="J273" s="290">
        <v>98</v>
      </c>
      <c r="K273" s="290">
        <v>24</v>
      </c>
      <c r="L273" s="290">
        <v>18</v>
      </c>
      <c r="M273" s="290">
        <v>194</v>
      </c>
      <c r="N273" s="290">
        <v>25</v>
      </c>
      <c r="O273" s="290">
        <v>28</v>
      </c>
      <c r="P273" s="624">
        <v>14896.31533333</v>
      </c>
      <c r="Q273" s="624">
        <v>7873.3130000000001</v>
      </c>
      <c r="R273" s="624">
        <v>6</v>
      </c>
      <c r="S273" s="290">
        <v>21</v>
      </c>
      <c r="T273" s="290">
        <v>182</v>
      </c>
      <c r="U273" s="958">
        <v>2.26263564543925E-3</v>
      </c>
      <c r="V273" s="290">
        <v>1260.0738791399999</v>
      </c>
      <c r="W273" s="765">
        <v>1</v>
      </c>
      <c r="X273" s="290">
        <v>0</v>
      </c>
      <c r="Y273" s="290"/>
      <c r="Z273" s="290">
        <f>innut22!E279</f>
        <v>87084.306414405903</v>
      </c>
      <c r="AA273" s="290">
        <v>0</v>
      </c>
      <c r="AB273" s="290">
        <v>30</v>
      </c>
      <c r="AC273" s="290">
        <v>306</v>
      </c>
      <c r="AD273" s="290"/>
      <c r="AE273" s="290">
        <v>0</v>
      </c>
      <c r="AF273" s="290">
        <v>0</v>
      </c>
      <c r="AG273" s="290">
        <v>2110</v>
      </c>
      <c r="AH273" s="290">
        <v>338</v>
      </c>
      <c r="AI273" s="290">
        <v>0</v>
      </c>
      <c r="AJ273" s="290">
        <v>0</v>
      </c>
      <c r="AK273" s="290">
        <v>0</v>
      </c>
      <c r="AL273" s="290">
        <v>0</v>
      </c>
      <c r="AM273" s="957">
        <v>3.055834E-2</v>
      </c>
      <c r="AN273" s="290">
        <v>0</v>
      </c>
      <c r="AO273" s="290">
        <v>470.42698002999998</v>
      </c>
      <c r="AP273" s="290">
        <v>0</v>
      </c>
      <c r="AQ273" s="290">
        <v>0</v>
      </c>
      <c r="AR273" s="290">
        <v>-101.78775507</v>
      </c>
      <c r="AS273" s="290">
        <v>116</v>
      </c>
      <c r="AT273" s="290">
        <v>95</v>
      </c>
      <c r="AU273" s="290">
        <v>18</v>
      </c>
      <c r="AV273" s="766">
        <v>81276</v>
      </c>
      <c r="AW273" s="290"/>
      <c r="AX273" s="766">
        <v>11.50005</v>
      </c>
      <c r="AY273" s="290">
        <v>497</v>
      </c>
      <c r="AZ273" s="290">
        <v>81</v>
      </c>
      <c r="BA273" s="290">
        <v>42</v>
      </c>
      <c r="BB273" s="290">
        <v>6034</v>
      </c>
      <c r="BC273" s="290">
        <v>3846</v>
      </c>
      <c r="BD273" s="290"/>
      <c r="BE273" s="290">
        <v>81251.134382599994</v>
      </c>
      <c r="BF273" s="290">
        <v>0</v>
      </c>
      <c r="BG273" s="290">
        <v>1912.033871125308</v>
      </c>
      <c r="BH273" s="290">
        <v>103.01570244430231</v>
      </c>
      <c r="BI273" s="290">
        <v>644</v>
      </c>
      <c r="BJ273" s="290"/>
      <c r="BK273" s="290"/>
      <c r="BL273" s="290"/>
      <c r="BM273" s="290">
        <v>0</v>
      </c>
      <c r="BN273" s="290">
        <v>895.10853999999995</v>
      </c>
      <c r="BO273" s="290">
        <v>-983.16217204370741</v>
      </c>
      <c r="BP273" s="290">
        <v>103.129</v>
      </c>
      <c r="BQ273" s="290">
        <v>-55.307000000000002</v>
      </c>
      <c r="BR273" s="290">
        <v>-40.145091596168484</v>
      </c>
      <c r="BS273" s="290">
        <v>0.57299999999999995</v>
      </c>
      <c r="BT273" s="290"/>
      <c r="BU273" s="290">
        <v>0</v>
      </c>
      <c r="BV273" s="290">
        <v>1000</v>
      </c>
      <c r="BW273" s="290">
        <v>-485</v>
      </c>
      <c r="BX273" s="290">
        <v>256</v>
      </c>
      <c r="BY273" s="290">
        <v>54</v>
      </c>
      <c r="BZ273" s="290">
        <v>-368</v>
      </c>
      <c r="CA273" s="290">
        <v>-1.1962763601240454</v>
      </c>
      <c r="CB273" s="290">
        <v>87</v>
      </c>
      <c r="CC273" s="290">
        <v>274</v>
      </c>
      <c r="CD273" s="290">
        <v>3</v>
      </c>
      <c r="CE273" s="290">
        <v>78</v>
      </c>
      <c r="CF273" s="290">
        <v>5</v>
      </c>
      <c r="CG273" s="290">
        <v>0</v>
      </c>
      <c r="CH273" s="290">
        <v>-3</v>
      </c>
      <c r="CI273" s="290">
        <v>-943</v>
      </c>
      <c r="CJ273" s="290">
        <v>-2190</v>
      </c>
      <c r="CK273" s="290">
        <f>+innut22!E279+innut22!S279</f>
        <v>87084.306414405903</v>
      </c>
      <c r="CL273" s="290">
        <v>0</v>
      </c>
      <c r="CM273" s="290">
        <v>0</v>
      </c>
      <c r="CN273" s="290">
        <v>0</v>
      </c>
      <c r="CP273" s="290">
        <f>+innut23!E279</f>
        <v>81606.718431921574</v>
      </c>
      <c r="CQ273" s="290"/>
      <c r="CV273" s="85">
        <f t="shared" si="5"/>
        <v>0.39100000000000001</v>
      </c>
    </row>
    <row r="274" spans="1:100" ht="13">
      <c r="A274" s="1">
        <v>4643</v>
      </c>
      <c r="B274" s="2" t="s">
        <v>69</v>
      </c>
      <c r="C274" s="289">
        <v>5204</v>
      </c>
      <c r="D274" s="290">
        <v>66</v>
      </c>
      <c r="E274" s="290">
        <v>201</v>
      </c>
      <c r="F274" s="290">
        <v>534</v>
      </c>
      <c r="G274" s="290">
        <v>398</v>
      </c>
      <c r="H274" s="290">
        <v>2870</v>
      </c>
      <c r="I274" s="290">
        <v>731</v>
      </c>
      <c r="J274" s="290">
        <v>289</v>
      </c>
      <c r="K274" s="290">
        <v>80</v>
      </c>
      <c r="L274" s="290">
        <v>41</v>
      </c>
      <c r="M274" s="290">
        <v>483</v>
      </c>
      <c r="N274" s="290">
        <v>58</v>
      </c>
      <c r="O274" s="290">
        <v>40</v>
      </c>
      <c r="P274" s="624">
        <v>40659.393666670003</v>
      </c>
      <c r="Q274" s="624">
        <v>6783.5466666700004</v>
      </c>
      <c r="R274" s="624">
        <v>32</v>
      </c>
      <c r="S274" s="290">
        <v>52</v>
      </c>
      <c r="T274" s="290">
        <v>518</v>
      </c>
      <c r="U274" s="958">
        <v>3.9947235612527993E-4</v>
      </c>
      <c r="V274" s="290">
        <v>2899.7942294999998</v>
      </c>
      <c r="W274" s="765">
        <v>0.69691428</v>
      </c>
      <c r="X274" s="290">
        <v>0</v>
      </c>
      <c r="Y274" s="290"/>
      <c r="Z274" s="290">
        <f>innut22!E280</f>
        <v>214608.44894638861</v>
      </c>
      <c r="AA274" s="290">
        <v>0</v>
      </c>
      <c r="AB274" s="290">
        <v>91</v>
      </c>
      <c r="AC274" s="290">
        <v>744</v>
      </c>
      <c r="AD274" s="290"/>
      <c r="AE274" s="290">
        <v>0</v>
      </c>
      <c r="AF274" s="290">
        <v>0</v>
      </c>
      <c r="AG274" s="290">
        <v>5169</v>
      </c>
      <c r="AH274" s="290">
        <v>785</v>
      </c>
      <c r="AI274" s="290">
        <v>0</v>
      </c>
      <c r="AJ274" s="290">
        <v>0</v>
      </c>
      <c r="AK274" s="290">
        <v>9388</v>
      </c>
      <c r="AL274" s="290">
        <v>0</v>
      </c>
      <c r="AM274" s="957">
        <v>1.670102E-2</v>
      </c>
      <c r="AN274" s="290">
        <v>7423</v>
      </c>
      <c r="AO274" s="290">
        <v>1082.5884614199999</v>
      </c>
      <c r="AP274" s="290">
        <v>0</v>
      </c>
      <c r="AQ274" s="290">
        <v>0</v>
      </c>
      <c r="AR274" s="290">
        <v>-249.35587959</v>
      </c>
      <c r="AS274" s="290">
        <v>640</v>
      </c>
      <c r="AT274" s="290">
        <v>200</v>
      </c>
      <c r="AU274" s="290">
        <v>24</v>
      </c>
      <c r="AV274" s="766">
        <v>178134</v>
      </c>
      <c r="AW274" s="290"/>
      <c r="AX274" s="766">
        <v>18.458349999999999</v>
      </c>
      <c r="AY274" s="290">
        <v>955</v>
      </c>
      <c r="AZ274" s="290">
        <v>93</v>
      </c>
      <c r="BA274" s="290">
        <v>83</v>
      </c>
      <c r="BB274" s="290">
        <v>0</v>
      </c>
      <c r="BC274" s="290">
        <v>16389</v>
      </c>
      <c r="BD274" s="290"/>
      <c r="BE274" s="290">
        <v>179635.16228033</v>
      </c>
      <c r="BF274" s="290">
        <v>0</v>
      </c>
      <c r="BG274" s="290">
        <v>4700.1531721001902</v>
      </c>
      <c r="BH274" s="290">
        <v>253.23274233356125</v>
      </c>
      <c r="BI274" s="290">
        <v>10917</v>
      </c>
      <c r="BJ274" s="290"/>
      <c r="BK274" s="290"/>
      <c r="BL274" s="290"/>
      <c r="BM274" s="290">
        <v>0</v>
      </c>
      <c r="BN274" s="290">
        <v>2059.9034999999999</v>
      </c>
      <c r="BO274" s="290">
        <v>-2408.5143446890634</v>
      </c>
      <c r="BP274" s="290">
        <v>251.22300000000001</v>
      </c>
      <c r="BQ274" s="290">
        <v>-134.72900000000001</v>
      </c>
      <c r="BR274" s="290">
        <v>-88.054624153660683</v>
      </c>
      <c r="BS274" s="290">
        <v>1.081</v>
      </c>
      <c r="BT274" s="290"/>
      <c r="BU274" s="290">
        <v>0</v>
      </c>
      <c r="BV274" s="290">
        <v>1000</v>
      </c>
      <c r="BW274" s="290">
        <v>-1187</v>
      </c>
      <c r="BX274" s="290">
        <v>558</v>
      </c>
      <c r="BY274" s="290">
        <v>135</v>
      </c>
      <c r="BZ274" s="290">
        <v>-902</v>
      </c>
      <c r="CA274" s="290">
        <v>-2.9095311572758646</v>
      </c>
      <c r="CB274" s="290">
        <v>216</v>
      </c>
      <c r="CC274" s="290">
        <v>672</v>
      </c>
      <c r="CD274" s="290">
        <v>8</v>
      </c>
      <c r="CE274" s="290">
        <v>192</v>
      </c>
      <c r="CF274" s="290">
        <v>9</v>
      </c>
      <c r="CG274" s="290">
        <v>1</v>
      </c>
      <c r="CH274" s="290">
        <v>-6</v>
      </c>
      <c r="CI274" s="290">
        <v>-2318</v>
      </c>
      <c r="CJ274" s="290">
        <v>-4609</v>
      </c>
      <c r="CK274" s="290">
        <f>+innut22!E280+innut22!S280</f>
        <v>214608.44894638861</v>
      </c>
      <c r="CL274" s="290">
        <v>11323.587939078709</v>
      </c>
      <c r="CM274" s="290">
        <v>13247.492037710173</v>
      </c>
      <c r="CN274" s="290">
        <v>15162.30212993808</v>
      </c>
      <c r="CP274" s="290">
        <f>+innut23!E280</f>
        <v>202345.82638075325</v>
      </c>
      <c r="CQ274" s="290"/>
      <c r="CV274" s="85">
        <f t="shared" si="5"/>
        <v>0.95699999999999996</v>
      </c>
    </row>
    <row r="275" spans="1:100" ht="13">
      <c r="A275" s="1">
        <v>4644</v>
      </c>
      <c r="B275" s="2" t="s">
        <v>70</v>
      </c>
      <c r="C275" s="289">
        <v>5246</v>
      </c>
      <c r="D275" s="290">
        <v>119</v>
      </c>
      <c r="E275" s="290">
        <v>249</v>
      </c>
      <c r="F275" s="290">
        <v>619</v>
      </c>
      <c r="G275" s="290">
        <v>464</v>
      </c>
      <c r="H275" s="290">
        <v>2770</v>
      </c>
      <c r="I275" s="290">
        <v>688</v>
      </c>
      <c r="J275" s="290">
        <v>253</v>
      </c>
      <c r="K275" s="290">
        <v>72</v>
      </c>
      <c r="L275" s="290">
        <v>36</v>
      </c>
      <c r="M275" s="290">
        <v>452</v>
      </c>
      <c r="N275" s="290">
        <v>45</v>
      </c>
      <c r="O275" s="290">
        <v>44</v>
      </c>
      <c r="P275" s="624">
        <v>47686.179333330001</v>
      </c>
      <c r="Q275" s="624">
        <v>17930.93466667</v>
      </c>
      <c r="R275" s="624">
        <v>35</v>
      </c>
      <c r="S275" s="290">
        <v>45</v>
      </c>
      <c r="T275" s="290">
        <v>388</v>
      </c>
      <c r="U275" s="958">
        <v>5.5096651703168088E-3</v>
      </c>
      <c r="V275" s="290">
        <v>3145.3082390300001</v>
      </c>
      <c r="W275" s="765">
        <v>0.85524728999999999</v>
      </c>
      <c r="X275" s="290">
        <v>0</v>
      </c>
      <c r="Y275" s="290"/>
      <c r="Z275" s="290">
        <f>innut22!E281</f>
        <v>190754.56138503423</v>
      </c>
      <c r="AA275" s="290">
        <v>0</v>
      </c>
      <c r="AB275" s="290">
        <v>94</v>
      </c>
      <c r="AC275" s="290">
        <v>388</v>
      </c>
      <c r="AD275" s="290"/>
      <c r="AE275" s="290">
        <v>0</v>
      </c>
      <c r="AF275" s="290">
        <v>0</v>
      </c>
      <c r="AG275" s="290">
        <v>5234</v>
      </c>
      <c r="AH275" s="290">
        <v>973</v>
      </c>
      <c r="AI275" s="290">
        <v>0</v>
      </c>
      <c r="AJ275" s="290">
        <v>0</v>
      </c>
      <c r="AK275" s="290">
        <v>0</v>
      </c>
      <c r="AL275" s="290">
        <v>0</v>
      </c>
      <c r="AM275" s="957">
        <v>2.6440740000000001E-2</v>
      </c>
      <c r="AN275" s="290">
        <v>2976</v>
      </c>
      <c r="AO275" s="290">
        <v>1174.2469077799999</v>
      </c>
      <c r="AP275" s="290">
        <v>0</v>
      </c>
      <c r="AQ275" s="290">
        <v>0</v>
      </c>
      <c r="AR275" s="290">
        <v>-252.49152133000001</v>
      </c>
      <c r="AS275" s="290">
        <v>1093</v>
      </c>
      <c r="AT275" s="290">
        <v>144</v>
      </c>
      <c r="AU275" s="290">
        <v>24</v>
      </c>
      <c r="AV275" s="766">
        <v>187809</v>
      </c>
      <c r="AW275" s="290"/>
      <c r="AX275" s="766">
        <v>48.666649999999997</v>
      </c>
      <c r="AY275" s="290">
        <v>1159</v>
      </c>
      <c r="AZ275" s="290">
        <v>206</v>
      </c>
      <c r="BA275" s="290">
        <v>72</v>
      </c>
      <c r="BB275" s="290">
        <v>0</v>
      </c>
      <c r="BC275" s="290">
        <v>9353</v>
      </c>
      <c r="BD275" s="290"/>
      <c r="BE275" s="290">
        <v>191562.77453813</v>
      </c>
      <c r="BF275" s="290">
        <v>0</v>
      </c>
      <c r="BG275" s="290">
        <v>4738.0867680318215</v>
      </c>
      <c r="BH275" s="290">
        <v>255.27651158375525</v>
      </c>
      <c r="BI275" s="290">
        <v>1361</v>
      </c>
      <c r="BJ275" s="290"/>
      <c r="BK275" s="290"/>
      <c r="BL275" s="290"/>
      <c r="BM275" s="290">
        <v>0</v>
      </c>
      <c r="BN275" s="290">
        <v>2234.3073000000004</v>
      </c>
      <c r="BO275" s="290">
        <v>-2438.8013310316419</v>
      </c>
      <c r="BP275" s="290">
        <v>332.40600000000001</v>
      </c>
      <c r="BQ275" s="290">
        <v>-178.267</v>
      </c>
      <c r="BR275" s="290">
        <v>-104.28769706593437</v>
      </c>
      <c r="BS275" s="290">
        <v>1.159</v>
      </c>
      <c r="BT275" s="290"/>
      <c r="BU275" s="290">
        <v>0</v>
      </c>
      <c r="BV275" s="290">
        <v>4500</v>
      </c>
      <c r="BW275" s="290">
        <v>-1202</v>
      </c>
      <c r="BX275" s="290">
        <v>659</v>
      </c>
      <c r="BY275" s="290">
        <v>118</v>
      </c>
      <c r="BZ275" s="290">
        <v>-914</v>
      </c>
      <c r="CA275" s="290">
        <v>-1.5162719024241369</v>
      </c>
      <c r="CB275" s="290">
        <v>190</v>
      </c>
      <c r="CC275" s="290">
        <v>681</v>
      </c>
      <c r="CD275" s="290">
        <v>7</v>
      </c>
      <c r="CE275" s="290">
        <v>193</v>
      </c>
      <c r="CF275" s="290">
        <v>9</v>
      </c>
      <c r="CG275" s="290">
        <v>1</v>
      </c>
      <c r="CH275" s="290">
        <v>-6</v>
      </c>
      <c r="CI275" s="290">
        <v>-2337</v>
      </c>
      <c r="CJ275" s="290">
        <v>-4729</v>
      </c>
      <c r="CK275" s="290">
        <f>+innut22!E281+innut22!S281</f>
        <v>190754.56138503423</v>
      </c>
      <c r="CL275" s="290">
        <v>0</v>
      </c>
      <c r="CM275" s="290">
        <v>0</v>
      </c>
      <c r="CN275" s="290">
        <v>0</v>
      </c>
      <c r="CP275" s="290">
        <f>+innut23!E281</f>
        <v>181260.96690863231</v>
      </c>
      <c r="CQ275" s="290"/>
      <c r="CV275" s="85">
        <f t="shared" si="5"/>
        <v>0.96899999999999997</v>
      </c>
    </row>
    <row r="276" spans="1:100" ht="13">
      <c r="A276" s="1">
        <v>4645</v>
      </c>
      <c r="B276" s="2" t="s">
        <v>71</v>
      </c>
      <c r="C276" s="289">
        <v>2951</v>
      </c>
      <c r="D276" s="290">
        <v>51</v>
      </c>
      <c r="E276" s="290">
        <v>117</v>
      </c>
      <c r="F276" s="290">
        <v>351</v>
      </c>
      <c r="G276" s="290">
        <v>243</v>
      </c>
      <c r="H276" s="290">
        <v>1481</v>
      </c>
      <c r="I276" s="290">
        <v>486</v>
      </c>
      <c r="J276" s="290">
        <v>185</v>
      </c>
      <c r="K276" s="290">
        <v>55</v>
      </c>
      <c r="L276" s="290">
        <v>25</v>
      </c>
      <c r="M276" s="290">
        <v>317</v>
      </c>
      <c r="N276" s="290">
        <v>9</v>
      </c>
      <c r="O276" s="290">
        <v>24</v>
      </c>
      <c r="P276" s="624">
        <v>58679.421666670001</v>
      </c>
      <c r="Q276" s="624">
        <v>14309.458000000001</v>
      </c>
      <c r="R276" s="624">
        <v>12</v>
      </c>
      <c r="S276" s="290">
        <v>22</v>
      </c>
      <c r="T276" s="290">
        <v>196</v>
      </c>
      <c r="U276" s="958">
        <v>2.5757425584926981E-3</v>
      </c>
      <c r="V276" s="290">
        <v>-1912.47820895</v>
      </c>
      <c r="W276" s="765">
        <v>1</v>
      </c>
      <c r="X276" s="290">
        <v>1100</v>
      </c>
      <c r="Y276" s="290"/>
      <c r="Z276" s="290">
        <f>innut22!E282</f>
        <v>106987.06055725775</v>
      </c>
      <c r="AA276" s="290">
        <v>0</v>
      </c>
      <c r="AB276" s="290">
        <v>46</v>
      </c>
      <c r="AC276" s="290">
        <v>562</v>
      </c>
      <c r="AD276" s="290"/>
      <c r="AE276" s="290">
        <v>0</v>
      </c>
      <c r="AF276" s="290">
        <v>0</v>
      </c>
      <c r="AG276" s="290">
        <v>2969</v>
      </c>
      <c r="AH276" s="290">
        <v>511</v>
      </c>
      <c r="AI276" s="290">
        <v>20</v>
      </c>
      <c r="AJ276" s="290">
        <v>0</v>
      </c>
      <c r="AK276" s="290">
        <v>0</v>
      </c>
      <c r="AL276" s="290">
        <v>0</v>
      </c>
      <c r="AM276" s="957">
        <v>1.2574E-2</v>
      </c>
      <c r="AN276" s="290">
        <v>0</v>
      </c>
      <c r="AO276" s="290">
        <v>719.83121490999997</v>
      </c>
      <c r="AP276" s="290">
        <v>0</v>
      </c>
      <c r="AQ276" s="290">
        <v>0</v>
      </c>
      <c r="AR276" s="290">
        <v>-143.22646673</v>
      </c>
      <c r="AS276" s="290">
        <v>661</v>
      </c>
      <c r="AT276" s="290">
        <v>86</v>
      </c>
      <c r="AU276" s="290">
        <v>12</v>
      </c>
      <c r="AV276" s="766">
        <v>127958</v>
      </c>
      <c r="AW276" s="290"/>
      <c r="AX276" s="766">
        <v>10.708349999999999</v>
      </c>
      <c r="AY276" s="290">
        <v>585</v>
      </c>
      <c r="AZ276" s="290">
        <v>109</v>
      </c>
      <c r="BA276" s="290">
        <v>57</v>
      </c>
      <c r="BB276" s="290">
        <v>6034</v>
      </c>
      <c r="BC276" s="290">
        <v>5827</v>
      </c>
      <c r="BD276" s="290"/>
      <c r="BE276" s="290">
        <v>127028.28269440999</v>
      </c>
      <c r="BF276" s="290">
        <v>0</v>
      </c>
      <c r="BG276" s="290">
        <v>2665.2867046248389</v>
      </c>
      <c r="BH276" s="290">
        <v>143.5991204124403</v>
      </c>
      <c r="BI276" s="290">
        <v>1073</v>
      </c>
      <c r="BJ276" s="290"/>
      <c r="BK276" s="290"/>
      <c r="BL276" s="290"/>
      <c r="BM276" s="290">
        <v>0</v>
      </c>
      <c r="BN276" s="290">
        <v>1369.6643600000002</v>
      </c>
      <c r="BO276" s="290">
        <v>-1383.4163454017855</v>
      </c>
      <c r="BP276" s="290">
        <v>146.90299999999999</v>
      </c>
      <c r="BQ276" s="290">
        <v>-78.783000000000001</v>
      </c>
      <c r="BR276" s="290">
        <v>-62.994674001290342</v>
      </c>
      <c r="BS276" s="290">
        <v>0.82599999999999996</v>
      </c>
      <c r="BT276" s="290"/>
      <c r="BU276" s="290">
        <v>0</v>
      </c>
      <c r="BV276" s="290">
        <v>2000</v>
      </c>
      <c r="BW276" s="290">
        <v>-682</v>
      </c>
      <c r="BX276" s="290">
        <v>410</v>
      </c>
      <c r="BY276" s="290">
        <v>58</v>
      </c>
      <c r="BZ276" s="290">
        <v>-518</v>
      </c>
      <c r="CA276" s="290">
        <v>-2.199340596924344</v>
      </c>
      <c r="CB276" s="290">
        <v>93</v>
      </c>
      <c r="CC276" s="290">
        <v>386</v>
      </c>
      <c r="CD276" s="290">
        <v>3</v>
      </c>
      <c r="CE276" s="290">
        <v>109</v>
      </c>
      <c r="CF276" s="290">
        <v>7</v>
      </c>
      <c r="CG276" s="290">
        <v>1</v>
      </c>
      <c r="CH276" s="290">
        <v>-4</v>
      </c>
      <c r="CI276" s="290">
        <v>-1314</v>
      </c>
      <c r="CJ276" s="290">
        <v>-4304</v>
      </c>
      <c r="CK276" s="290">
        <f>+innut22!E282+innut22!S282</f>
        <v>106987.06055725775</v>
      </c>
      <c r="CL276" s="290">
        <v>0</v>
      </c>
      <c r="CM276" s="290">
        <v>0</v>
      </c>
      <c r="CN276" s="290">
        <v>0</v>
      </c>
      <c r="CP276" s="290">
        <f>+innut23!E282</f>
        <v>90229.382953553286</v>
      </c>
      <c r="CQ276" s="290"/>
      <c r="CV276" s="85">
        <f t="shared" si="5"/>
        <v>0.55000000000000004</v>
      </c>
    </row>
    <row r="277" spans="1:100" ht="13">
      <c r="A277" s="1">
        <v>4646</v>
      </c>
      <c r="B277" s="2" t="s">
        <v>72</v>
      </c>
      <c r="C277" s="289">
        <v>2901</v>
      </c>
      <c r="D277" s="290">
        <v>49</v>
      </c>
      <c r="E277" s="290">
        <v>110</v>
      </c>
      <c r="F277" s="290">
        <v>359</v>
      </c>
      <c r="G277" s="290">
        <v>374</v>
      </c>
      <c r="H277" s="290">
        <v>1347</v>
      </c>
      <c r="I277" s="290">
        <v>430</v>
      </c>
      <c r="J277" s="290">
        <v>150</v>
      </c>
      <c r="K277" s="290">
        <v>26</v>
      </c>
      <c r="L277" s="290">
        <v>24</v>
      </c>
      <c r="M277" s="290">
        <v>263</v>
      </c>
      <c r="N277" s="290">
        <v>14</v>
      </c>
      <c r="O277" s="290">
        <v>27</v>
      </c>
      <c r="P277" s="624">
        <v>32364.425999999999</v>
      </c>
      <c r="Q277" s="624">
        <v>12423.954</v>
      </c>
      <c r="R277" s="624">
        <v>33</v>
      </c>
      <c r="S277" s="290">
        <v>23</v>
      </c>
      <c r="T277" s="290">
        <v>199</v>
      </c>
      <c r="U277" s="958">
        <v>2.5530649746559396E-3</v>
      </c>
      <c r="V277" s="290">
        <v>1791.70915771</v>
      </c>
      <c r="W277" s="765">
        <v>0.90221408999999997</v>
      </c>
      <c r="X277" s="290">
        <v>1500</v>
      </c>
      <c r="Y277" s="290"/>
      <c r="Z277" s="290">
        <f>innut22!E283</f>
        <v>109457.34342078181</v>
      </c>
      <c r="AA277" s="290">
        <v>0</v>
      </c>
      <c r="AB277" s="290">
        <v>48</v>
      </c>
      <c r="AC277" s="290">
        <v>299</v>
      </c>
      <c r="AD277" s="290"/>
      <c r="AE277" s="290">
        <v>0</v>
      </c>
      <c r="AF277" s="290">
        <v>0</v>
      </c>
      <c r="AG277" s="290">
        <v>2845</v>
      </c>
      <c r="AH277" s="290">
        <v>610</v>
      </c>
      <c r="AI277" s="290">
        <v>0</v>
      </c>
      <c r="AJ277" s="290">
        <v>0</v>
      </c>
      <c r="AK277" s="290">
        <v>0</v>
      </c>
      <c r="AL277" s="290">
        <v>0</v>
      </c>
      <c r="AM277" s="957">
        <v>1.5376249999999999E-2</v>
      </c>
      <c r="AN277" s="290">
        <v>0</v>
      </c>
      <c r="AO277" s="290">
        <v>707.65584736999995</v>
      </c>
      <c r="AP277" s="290">
        <v>0</v>
      </c>
      <c r="AQ277" s="290">
        <v>0</v>
      </c>
      <c r="AR277" s="290">
        <v>-137.24462708999999</v>
      </c>
      <c r="AS277" s="290">
        <v>654</v>
      </c>
      <c r="AT277" s="290">
        <v>79</v>
      </c>
      <c r="AU277" s="290">
        <v>10</v>
      </c>
      <c r="AV277" s="766">
        <v>129162</v>
      </c>
      <c r="AW277" s="290"/>
      <c r="AX277" s="766">
        <v>20.541650000000001</v>
      </c>
      <c r="AY277" s="290">
        <v>649</v>
      </c>
      <c r="AZ277" s="290">
        <v>162</v>
      </c>
      <c r="BA277" s="290">
        <v>46</v>
      </c>
      <c r="BB277" s="290">
        <v>4225</v>
      </c>
      <c r="BC277" s="290">
        <v>5146</v>
      </c>
      <c r="BD277" s="290"/>
      <c r="BE277" s="290">
        <v>129547.66243132</v>
      </c>
      <c r="BF277" s="290">
        <v>0</v>
      </c>
      <c r="BG277" s="290">
        <v>2620.1276618490879</v>
      </c>
      <c r="BH277" s="290">
        <v>141.16606178125699</v>
      </c>
      <c r="BI277" s="290">
        <v>909</v>
      </c>
      <c r="BJ277" s="290"/>
      <c r="BK277" s="290"/>
      <c r="BL277" s="290"/>
      <c r="BM277" s="290">
        <v>0</v>
      </c>
      <c r="BN277" s="290">
        <v>1346.49758</v>
      </c>
      <c r="BO277" s="290">
        <v>-1325.6380945328663</v>
      </c>
      <c r="BP277" s="290">
        <v>149.33099999999999</v>
      </c>
      <c r="BQ277" s="290">
        <v>-80.084999999999994</v>
      </c>
      <c r="BR277" s="290">
        <v>-62.676913746262414</v>
      </c>
      <c r="BS277" s="290">
        <v>0.74</v>
      </c>
      <c r="BT277" s="290"/>
      <c r="BU277" s="290">
        <v>0</v>
      </c>
      <c r="BV277" s="290">
        <v>2000</v>
      </c>
      <c r="BW277" s="290">
        <v>-653</v>
      </c>
      <c r="BX277" s="290">
        <v>399</v>
      </c>
      <c r="BY277" s="290">
        <v>60</v>
      </c>
      <c r="BZ277" s="290">
        <v>-497</v>
      </c>
      <c r="CA277" s="290">
        <v>-1.1685717208712845</v>
      </c>
      <c r="CB277" s="290">
        <v>97</v>
      </c>
      <c r="CC277" s="290">
        <v>370</v>
      </c>
      <c r="CD277" s="290">
        <v>4</v>
      </c>
      <c r="CE277" s="290">
        <v>107</v>
      </c>
      <c r="CF277" s="290">
        <v>6</v>
      </c>
      <c r="CG277" s="290">
        <v>1</v>
      </c>
      <c r="CH277" s="290">
        <v>-4</v>
      </c>
      <c r="CI277" s="290">
        <v>-1292</v>
      </c>
      <c r="CJ277" s="290">
        <v>-5608</v>
      </c>
      <c r="CK277" s="290">
        <f>+innut22!E283+innut22!S283</f>
        <v>109457.34342078181</v>
      </c>
      <c r="CL277" s="290">
        <v>0</v>
      </c>
      <c r="CM277" s="290">
        <v>0</v>
      </c>
      <c r="CN277" s="290">
        <v>0</v>
      </c>
      <c r="CP277" s="290">
        <f>+innut23!E283</f>
        <v>83728.257014121031</v>
      </c>
      <c r="CQ277" s="290"/>
      <c r="CV277" s="85">
        <f t="shared" si="5"/>
        <v>0.52700000000000002</v>
      </c>
    </row>
    <row r="278" spans="1:100" ht="13">
      <c r="A278" s="1">
        <v>4647</v>
      </c>
      <c r="B278" s="2" t="s">
        <v>1638</v>
      </c>
      <c r="C278" s="289">
        <v>22116</v>
      </c>
      <c r="D278" s="290">
        <v>483</v>
      </c>
      <c r="E278" s="290">
        <v>1021</v>
      </c>
      <c r="F278" s="290">
        <v>3021</v>
      </c>
      <c r="G278" s="290">
        <v>2103</v>
      </c>
      <c r="H278" s="290">
        <v>12062</v>
      </c>
      <c r="I278" s="290">
        <v>2401</v>
      </c>
      <c r="J278" s="290">
        <v>761</v>
      </c>
      <c r="K278" s="290">
        <v>224</v>
      </c>
      <c r="L278" s="290">
        <v>146</v>
      </c>
      <c r="M278" s="290">
        <v>1350</v>
      </c>
      <c r="N278" s="290">
        <v>356</v>
      </c>
      <c r="O278" s="290">
        <v>202</v>
      </c>
      <c r="P278" s="624">
        <v>136016.68466666999</v>
      </c>
      <c r="Q278" s="624">
        <v>60961.125666669999</v>
      </c>
      <c r="R278" s="624">
        <v>103</v>
      </c>
      <c r="S278" s="290">
        <v>217</v>
      </c>
      <c r="T278" s="290">
        <v>1831</v>
      </c>
      <c r="U278" s="958">
        <v>1.1777414514290244E-2</v>
      </c>
      <c r="V278" s="290">
        <v>11986.97141869</v>
      </c>
      <c r="W278" s="765">
        <v>0.67358651999999997</v>
      </c>
      <c r="X278" s="290">
        <v>12100</v>
      </c>
      <c r="Y278" s="290"/>
      <c r="Z278" s="290">
        <f>innut22!E284</f>
        <v>812560.99575445999</v>
      </c>
      <c r="AA278" s="290">
        <v>0</v>
      </c>
      <c r="AB278" s="290">
        <v>391</v>
      </c>
      <c r="AC278" s="290">
        <v>3845</v>
      </c>
      <c r="AD278" s="290"/>
      <c r="AE278" s="290">
        <v>0</v>
      </c>
      <c r="AF278" s="290">
        <v>65735</v>
      </c>
      <c r="AG278" s="290">
        <v>22076</v>
      </c>
      <c r="AH278" s="290">
        <v>4415</v>
      </c>
      <c r="AI278" s="290">
        <v>3040</v>
      </c>
      <c r="AJ278" s="290">
        <v>0</v>
      </c>
      <c r="AK278" s="290">
        <v>0</v>
      </c>
      <c r="AL278" s="290">
        <v>0</v>
      </c>
      <c r="AM278" s="957">
        <v>0.15996413000000001</v>
      </c>
      <c r="AN278" s="290">
        <v>0</v>
      </c>
      <c r="AO278" s="290">
        <v>4475.1302741700001</v>
      </c>
      <c r="AP278" s="290">
        <v>0</v>
      </c>
      <c r="AQ278" s="290">
        <v>0</v>
      </c>
      <c r="AR278" s="290">
        <v>-1064.9604174599999</v>
      </c>
      <c r="AS278" s="290">
        <v>5078</v>
      </c>
      <c r="AT278" s="290">
        <v>779</v>
      </c>
      <c r="AU278" s="290">
        <v>127</v>
      </c>
      <c r="AV278" s="766">
        <v>726270</v>
      </c>
      <c r="AW278" s="290"/>
      <c r="AX278" s="766">
        <v>167.20835</v>
      </c>
      <c r="AY278" s="290">
        <v>5796</v>
      </c>
      <c r="AZ278" s="290">
        <v>784</v>
      </c>
      <c r="BA278" s="290">
        <v>435</v>
      </c>
      <c r="BB278" s="290">
        <v>0</v>
      </c>
      <c r="BC278" s="290">
        <v>100943</v>
      </c>
      <c r="BD278" s="290"/>
      <c r="BE278" s="290">
        <v>734385.62363964994</v>
      </c>
      <c r="BF278" s="290">
        <v>0</v>
      </c>
      <c r="BG278" s="290">
        <v>19974.747800570294</v>
      </c>
      <c r="BH278" s="290">
        <v>1076.1904937450117</v>
      </c>
      <c r="BI278" s="290">
        <v>73995</v>
      </c>
      <c r="BJ278" s="290"/>
      <c r="BK278" s="290"/>
      <c r="BL278" s="290"/>
      <c r="BM278" s="290">
        <v>4885</v>
      </c>
      <c r="BN278" s="290">
        <v>8515.0884399999995</v>
      </c>
      <c r="BO278" s="290">
        <v>-10286.392469211794</v>
      </c>
      <c r="BP278" s="290">
        <v>1360.7929999999999</v>
      </c>
      <c r="BQ278" s="290">
        <v>-729.78300000000002</v>
      </c>
      <c r="BR278" s="290">
        <v>-470.7772190484003</v>
      </c>
      <c r="BS278" s="290">
        <v>4.1079999999999997</v>
      </c>
      <c r="BT278" s="290"/>
      <c r="BU278" s="290">
        <v>0</v>
      </c>
      <c r="BV278" s="290">
        <v>7500</v>
      </c>
      <c r="BW278" s="290">
        <v>-5070</v>
      </c>
      <c r="BX278" s="290">
        <v>3030</v>
      </c>
      <c r="BY278" s="290">
        <v>565</v>
      </c>
      <c r="BZ278" s="290">
        <v>-3853</v>
      </c>
      <c r="CA278" s="290">
        <v>-15.036751739804458</v>
      </c>
      <c r="CB278" s="290">
        <v>907</v>
      </c>
      <c r="CC278" s="290">
        <v>2871</v>
      </c>
      <c r="CD278" s="290">
        <v>33</v>
      </c>
      <c r="CE278" s="290">
        <v>815</v>
      </c>
      <c r="CF278" s="290">
        <v>34</v>
      </c>
      <c r="CG278" s="290">
        <v>5</v>
      </c>
      <c r="CH278" s="290">
        <v>-22</v>
      </c>
      <c r="CI278" s="290">
        <v>-9850</v>
      </c>
      <c r="CJ278" s="290">
        <v>-26224</v>
      </c>
      <c r="CK278" s="290">
        <f>+innut22!E284+innut22!S284</f>
        <v>812560.99575445999</v>
      </c>
      <c r="CL278" s="290">
        <v>0</v>
      </c>
      <c r="CM278" s="290">
        <v>0</v>
      </c>
      <c r="CN278" s="290">
        <v>0</v>
      </c>
      <c r="CP278" s="290">
        <f>+innut23!E284</f>
        <v>743335.39592644142</v>
      </c>
      <c r="CQ278" s="290"/>
      <c r="CV278" s="85">
        <f t="shared" si="5"/>
        <v>4.0869999999999997</v>
      </c>
    </row>
    <row r="279" spans="1:100" ht="13">
      <c r="A279" s="1">
        <v>4648</v>
      </c>
      <c r="B279" s="2" t="s">
        <v>77</v>
      </c>
      <c r="C279" s="289">
        <v>3521</v>
      </c>
      <c r="D279" s="290">
        <v>65</v>
      </c>
      <c r="E279" s="290">
        <v>116</v>
      </c>
      <c r="F279" s="290">
        <v>389</v>
      </c>
      <c r="G279" s="290">
        <v>338</v>
      </c>
      <c r="H279" s="290">
        <v>1818</v>
      </c>
      <c r="I279" s="290">
        <v>548</v>
      </c>
      <c r="J279" s="290">
        <v>233</v>
      </c>
      <c r="K279" s="290">
        <v>82</v>
      </c>
      <c r="L279" s="290">
        <v>26</v>
      </c>
      <c r="M279" s="290">
        <v>385</v>
      </c>
      <c r="N279" s="290">
        <v>66</v>
      </c>
      <c r="O279" s="290">
        <v>52</v>
      </c>
      <c r="P279" s="624">
        <v>107557.84633333</v>
      </c>
      <c r="Q279" s="624">
        <v>13951.23766667</v>
      </c>
      <c r="R279" s="624">
        <v>17</v>
      </c>
      <c r="S279" s="290">
        <v>33</v>
      </c>
      <c r="T279" s="290">
        <v>232</v>
      </c>
      <c r="U279" s="958">
        <v>2.3003033863668873E-3</v>
      </c>
      <c r="V279" s="290">
        <v>2318.7153197100001</v>
      </c>
      <c r="W279" s="765">
        <v>1</v>
      </c>
      <c r="X279" s="290">
        <v>0</v>
      </c>
      <c r="Y279" s="290"/>
      <c r="Z279" s="290">
        <f>innut22!E285</f>
        <v>129232.02717081967</v>
      </c>
      <c r="AA279" s="290">
        <v>0</v>
      </c>
      <c r="AB279" s="290">
        <v>70</v>
      </c>
      <c r="AC279" s="290">
        <v>543</v>
      </c>
      <c r="AD279" s="290"/>
      <c r="AE279" s="290">
        <v>0</v>
      </c>
      <c r="AF279" s="290">
        <v>0</v>
      </c>
      <c r="AG279" s="290">
        <v>3589</v>
      </c>
      <c r="AH279" s="290">
        <v>598</v>
      </c>
      <c r="AI279" s="290">
        <v>30</v>
      </c>
      <c r="AJ279" s="290">
        <v>0</v>
      </c>
      <c r="AK279" s="290">
        <v>388</v>
      </c>
      <c r="AL279" s="290">
        <v>0</v>
      </c>
      <c r="AM279" s="957">
        <v>3.8369010000000002E-2</v>
      </c>
      <c r="AN279" s="290">
        <v>5562</v>
      </c>
      <c r="AO279" s="290">
        <v>865.65261249000002</v>
      </c>
      <c r="AP279" s="290">
        <v>0</v>
      </c>
      <c r="AQ279" s="290">
        <v>0</v>
      </c>
      <c r="AR279" s="290">
        <v>555.65789858000005</v>
      </c>
      <c r="AS279" s="290">
        <v>1022</v>
      </c>
      <c r="AT279" s="290">
        <v>102</v>
      </c>
      <c r="AU279" s="290">
        <v>31</v>
      </c>
      <c r="AV279" s="766">
        <v>156252</v>
      </c>
      <c r="AW279" s="290"/>
      <c r="AX279" s="766">
        <v>21.708349999999999</v>
      </c>
      <c r="AY279" s="290">
        <v>575</v>
      </c>
      <c r="AZ279" s="290">
        <v>157</v>
      </c>
      <c r="BA279" s="290">
        <v>45</v>
      </c>
      <c r="BB279" s="290">
        <v>0</v>
      </c>
      <c r="BC279" s="290">
        <v>7202</v>
      </c>
      <c r="BD279" s="290"/>
      <c r="BE279" s="290">
        <v>153990.42037363999</v>
      </c>
      <c r="BF279" s="290">
        <v>0</v>
      </c>
      <c r="BG279" s="290">
        <v>3180.0997922684032</v>
      </c>
      <c r="BH279" s="290">
        <v>171.33598880793028</v>
      </c>
      <c r="BI279" s="290">
        <v>1529</v>
      </c>
      <c r="BJ279" s="290"/>
      <c r="BK279" s="290"/>
      <c r="BL279" s="290"/>
      <c r="BM279" s="290">
        <v>0</v>
      </c>
      <c r="BN279" s="290">
        <v>1647.1271400000001</v>
      </c>
      <c r="BO279" s="290">
        <v>-1672.307599746382</v>
      </c>
      <c r="BP279" s="290">
        <v>154.886</v>
      </c>
      <c r="BQ279" s="290">
        <v>-83.063999999999993</v>
      </c>
      <c r="BR279" s="290">
        <v>-74.518384237852658</v>
      </c>
      <c r="BS279" s="290">
        <v>1.002</v>
      </c>
      <c r="BT279" s="290"/>
      <c r="BU279" s="290">
        <v>0</v>
      </c>
      <c r="BV279" s="290">
        <v>2500</v>
      </c>
      <c r="BW279" s="290">
        <v>-824</v>
      </c>
      <c r="BX279" s="290">
        <v>481</v>
      </c>
      <c r="BY279" s="290">
        <v>87</v>
      </c>
      <c r="BZ279" s="290">
        <v>-626</v>
      </c>
      <c r="CA279" s="290">
        <v>-2.1251560157653557</v>
      </c>
      <c r="CB279" s="290">
        <v>139</v>
      </c>
      <c r="CC279" s="290">
        <v>467</v>
      </c>
      <c r="CD279" s="290">
        <v>5</v>
      </c>
      <c r="CE279" s="290">
        <v>130</v>
      </c>
      <c r="CF279" s="290">
        <v>8</v>
      </c>
      <c r="CG279" s="290">
        <v>1</v>
      </c>
      <c r="CH279" s="290">
        <v>-5</v>
      </c>
      <c r="CI279" s="290">
        <v>-1568</v>
      </c>
      <c r="CJ279" s="290">
        <v>-3673</v>
      </c>
      <c r="CK279" s="290">
        <f>+innut22!E285+innut22!S285</f>
        <v>129232.02717081967</v>
      </c>
      <c r="CL279" s="290">
        <v>194.2964691998634</v>
      </c>
      <c r="CM279" s="290">
        <v>0</v>
      </c>
      <c r="CN279" s="290">
        <v>0</v>
      </c>
      <c r="CP279" s="290">
        <f>+innut23!E285</f>
        <v>119626.96474676191</v>
      </c>
      <c r="CQ279" s="290"/>
      <c r="CV279" s="85">
        <f t="shared" si="5"/>
        <v>0.66400000000000003</v>
      </c>
    </row>
    <row r="280" spans="1:100" ht="13">
      <c r="A280" s="1">
        <v>4649</v>
      </c>
      <c r="B280" s="2" t="s">
        <v>1639</v>
      </c>
      <c r="C280" s="289">
        <v>9527</v>
      </c>
      <c r="D280" s="290">
        <v>195</v>
      </c>
      <c r="E280" s="290">
        <v>420</v>
      </c>
      <c r="F280" s="290">
        <v>1188</v>
      </c>
      <c r="G280" s="290">
        <v>869</v>
      </c>
      <c r="H280" s="290">
        <v>5005</v>
      </c>
      <c r="I280" s="290">
        <v>1265</v>
      </c>
      <c r="J280" s="290">
        <v>451</v>
      </c>
      <c r="K280" s="290">
        <v>136</v>
      </c>
      <c r="L280" s="290">
        <v>65</v>
      </c>
      <c r="M280" s="290">
        <v>803</v>
      </c>
      <c r="N280" s="290">
        <v>121</v>
      </c>
      <c r="O280" s="290">
        <v>98</v>
      </c>
      <c r="P280" s="624">
        <v>84526.267000000007</v>
      </c>
      <c r="Q280" s="624">
        <v>28723.819333330001</v>
      </c>
      <c r="R280" s="624">
        <v>41</v>
      </c>
      <c r="S280" s="290">
        <v>88</v>
      </c>
      <c r="T280" s="290">
        <v>673</v>
      </c>
      <c r="U280" s="958">
        <v>5.5412452602434416E-3</v>
      </c>
      <c r="V280" s="290">
        <v>-2585.8716821200001</v>
      </c>
      <c r="W280" s="765">
        <v>0.76602201999999997</v>
      </c>
      <c r="X280" s="290">
        <v>2700</v>
      </c>
      <c r="Y280" s="290"/>
      <c r="Z280" s="290">
        <f>innut22!E286</f>
        <v>305895.73266172106</v>
      </c>
      <c r="AA280" s="290">
        <v>0</v>
      </c>
      <c r="AB280" s="290">
        <v>175</v>
      </c>
      <c r="AC280" s="290">
        <v>10</v>
      </c>
      <c r="AD280" s="290"/>
      <c r="AE280" s="290">
        <v>0</v>
      </c>
      <c r="AF280" s="290">
        <v>17241</v>
      </c>
      <c r="AG280" s="290">
        <v>9529</v>
      </c>
      <c r="AH280" s="290">
        <v>1754</v>
      </c>
      <c r="AI280" s="290">
        <v>0</v>
      </c>
      <c r="AJ280" s="290">
        <v>0</v>
      </c>
      <c r="AK280" s="290">
        <v>0</v>
      </c>
      <c r="AL280" s="290">
        <v>0</v>
      </c>
      <c r="AM280" s="957">
        <v>0.11182767</v>
      </c>
      <c r="AN280" s="290">
        <v>10060</v>
      </c>
      <c r="AO280" s="290">
        <v>2018.5093243700001</v>
      </c>
      <c r="AP280" s="290">
        <v>0</v>
      </c>
      <c r="AQ280" s="290">
        <v>0</v>
      </c>
      <c r="AR280" s="290">
        <v>-459.68507963000002</v>
      </c>
      <c r="AS280" s="290">
        <v>2126</v>
      </c>
      <c r="AT280" s="290">
        <v>360</v>
      </c>
      <c r="AU280" s="290">
        <v>85</v>
      </c>
      <c r="AV280" s="766">
        <v>329485</v>
      </c>
      <c r="AW280" s="290"/>
      <c r="AX280" s="766">
        <v>63.333350000000003</v>
      </c>
      <c r="AY280" s="290">
        <v>2002</v>
      </c>
      <c r="AZ280" s="290">
        <v>331</v>
      </c>
      <c r="BA280" s="290">
        <v>172</v>
      </c>
      <c r="BB280" s="290">
        <v>0</v>
      </c>
      <c r="BC280" s="290">
        <v>32972</v>
      </c>
      <c r="BD280" s="290"/>
      <c r="BE280" s="290">
        <v>332101.52318895998</v>
      </c>
      <c r="BF280" s="290">
        <v>0</v>
      </c>
      <c r="BG280" s="290">
        <v>8604.6040104916428</v>
      </c>
      <c r="BH280" s="290">
        <v>463.59499158567212</v>
      </c>
      <c r="BI280" s="290">
        <v>19005</v>
      </c>
      <c r="BJ280" s="290"/>
      <c r="BK280" s="290"/>
      <c r="BL280" s="290"/>
      <c r="BM280" s="290">
        <v>4010</v>
      </c>
      <c r="BN280" s="290">
        <v>3840.7341000000001</v>
      </c>
      <c r="BO280" s="290">
        <v>-4440.0721978220326</v>
      </c>
      <c r="BP280" s="290">
        <v>545.99199999999996</v>
      </c>
      <c r="BQ280" s="290">
        <v>-292.81200000000001</v>
      </c>
      <c r="BR280" s="290">
        <v>-192.77214217362882</v>
      </c>
      <c r="BS280" s="290">
        <v>1.9710000000000001</v>
      </c>
      <c r="BT280" s="290"/>
      <c r="BU280" s="290">
        <v>0</v>
      </c>
      <c r="BV280" s="290">
        <v>4000</v>
      </c>
      <c r="BW280" s="290">
        <v>-2188</v>
      </c>
      <c r="BX280" s="290">
        <v>1235</v>
      </c>
      <c r="BY280" s="290">
        <v>230</v>
      </c>
      <c r="BZ280" s="290">
        <v>-1663</v>
      </c>
      <c r="CA280" s="290">
        <v>-4.0760004338567413E-2</v>
      </c>
      <c r="CB280" s="290">
        <v>368</v>
      </c>
      <c r="CC280" s="290">
        <v>1239</v>
      </c>
      <c r="CD280" s="290">
        <v>14</v>
      </c>
      <c r="CE280" s="290">
        <v>351</v>
      </c>
      <c r="CF280" s="290">
        <v>16</v>
      </c>
      <c r="CG280" s="290">
        <v>2</v>
      </c>
      <c r="CH280" s="290">
        <v>-10</v>
      </c>
      <c r="CI280" s="290">
        <v>-4243</v>
      </c>
      <c r="CJ280" s="290">
        <v>-11471</v>
      </c>
      <c r="CK280" s="290">
        <f>+innut22!E286+innut22!S286</f>
        <v>305895.73266172106</v>
      </c>
      <c r="CL280" s="290">
        <v>0</v>
      </c>
      <c r="CM280" s="290">
        <v>0</v>
      </c>
      <c r="CN280" s="290">
        <v>0</v>
      </c>
      <c r="CP280" s="290">
        <f>+innut23!E286</f>
        <v>283261.84345102089</v>
      </c>
      <c r="CQ280" s="290"/>
      <c r="CV280" s="85">
        <f t="shared" si="5"/>
        <v>1.764</v>
      </c>
    </row>
    <row r="281" spans="1:100" ht="13">
      <c r="A281" s="1">
        <v>4650</v>
      </c>
      <c r="B281" s="2" t="s">
        <v>82</v>
      </c>
      <c r="C281" s="289">
        <v>5875</v>
      </c>
      <c r="D281" s="290">
        <v>119</v>
      </c>
      <c r="E281" s="290">
        <v>244</v>
      </c>
      <c r="F281" s="290">
        <v>726</v>
      </c>
      <c r="G281" s="290">
        <v>596</v>
      </c>
      <c r="H281" s="290">
        <v>3009</v>
      </c>
      <c r="I281" s="290">
        <v>850</v>
      </c>
      <c r="J281" s="290">
        <v>270</v>
      </c>
      <c r="K281" s="290">
        <v>92</v>
      </c>
      <c r="L281" s="290">
        <v>41</v>
      </c>
      <c r="M281" s="290">
        <v>487</v>
      </c>
      <c r="N281" s="290">
        <v>121</v>
      </c>
      <c r="O281" s="290">
        <v>80</v>
      </c>
      <c r="P281" s="624">
        <v>60271.078999999998</v>
      </c>
      <c r="Q281" s="624">
        <v>22395.92633333</v>
      </c>
      <c r="R281" s="624">
        <v>46</v>
      </c>
      <c r="S281" s="290">
        <v>53</v>
      </c>
      <c r="T281" s="290">
        <v>421</v>
      </c>
      <c r="U281" s="958">
        <v>5.5103758428236612E-3</v>
      </c>
      <c r="V281" s="290">
        <v>3575.0103958700001</v>
      </c>
      <c r="W281" s="765">
        <v>0.74781120000000001</v>
      </c>
      <c r="X281" s="290">
        <v>1500</v>
      </c>
      <c r="Y281" s="290"/>
      <c r="Z281" s="290">
        <f>innut22!E287</f>
        <v>189362.9589416408</v>
      </c>
      <c r="AA281" s="290">
        <v>0</v>
      </c>
      <c r="AB281" s="290">
        <v>81</v>
      </c>
      <c r="AC281" s="290">
        <v>434</v>
      </c>
      <c r="AD281" s="290"/>
      <c r="AE281" s="290">
        <v>0</v>
      </c>
      <c r="AF281" s="290">
        <v>0</v>
      </c>
      <c r="AG281" s="290">
        <v>5906</v>
      </c>
      <c r="AH281" s="290">
        <v>1110</v>
      </c>
      <c r="AI281" s="290">
        <v>2770</v>
      </c>
      <c r="AJ281" s="290">
        <v>0</v>
      </c>
      <c r="AK281" s="290">
        <v>0</v>
      </c>
      <c r="AL281" s="290">
        <v>0</v>
      </c>
      <c r="AM281" s="957">
        <v>3.0490949999999999E-2</v>
      </c>
      <c r="AN281" s="290">
        <v>6620</v>
      </c>
      <c r="AO281" s="290">
        <v>1334.66884121</v>
      </c>
      <c r="AP281" s="290">
        <v>0</v>
      </c>
      <c r="AQ281" s="290">
        <v>0</v>
      </c>
      <c r="AR281" s="290">
        <v>-284.90923290000001</v>
      </c>
      <c r="AS281" s="290">
        <v>1936</v>
      </c>
      <c r="AT281" s="290">
        <v>165</v>
      </c>
      <c r="AU281" s="290">
        <v>32</v>
      </c>
      <c r="AV281" s="766">
        <v>223025</v>
      </c>
      <c r="AW281" s="290"/>
      <c r="AX281" s="766">
        <v>48.958350000000003</v>
      </c>
      <c r="AY281" s="290">
        <v>1507</v>
      </c>
      <c r="AZ281" s="290">
        <v>200</v>
      </c>
      <c r="BA281" s="290">
        <v>91</v>
      </c>
      <c r="BB281" s="290">
        <v>0</v>
      </c>
      <c r="BC281" s="290">
        <v>10497</v>
      </c>
      <c r="BD281" s="290"/>
      <c r="BE281" s="290">
        <v>223886.09141425</v>
      </c>
      <c r="BF281" s="290">
        <v>0</v>
      </c>
      <c r="BG281" s="290">
        <v>5306.187526150773</v>
      </c>
      <c r="BH281" s="290">
        <v>285.88438916404164</v>
      </c>
      <c r="BI281" s="290">
        <v>1544</v>
      </c>
      <c r="BJ281" s="290"/>
      <c r="BK281" s="290"/>
      <c r="BL281" s="290"/>
      <c r="BM281" s="290">
        <v>0</v>
      </c>
      <c r="BN281" s="290">
        <v>2539.5513799999999</v>
      </c>
      <c r="BO281" s="290">
        <v>-2751.9221744503016</v>
      </c>
      <c r="BP281" s="290">
        <v>335.726</v>
      </c>
      <c r="BQ281" s="290">
        <v>-180.047</v>
      </c>
      <c r="BR281" s="290">
        <v>-121.91664491492224</v>
      </c>
      <c r="BS281" s="290">
        <v>1.3069999999999999</v>
      </c>
      <c r="BT281" s="290"/>
      <c r="BU281" s="290">
        <v>0</v>
      </c>
      <c r="BV281" s="290">
        <v>2500</v>
      </c>
      <c r="BW281" s="290">
        <v>-1356</v>
      </c>
      <c r="BX281" s="290">
        <v>780</v>
      </c>
      <c r="BY281" s="290">
        <v>138</v>
      </c>
      <c r="BZ281" s="290">
        <v>-1031</v>
      </c>
      <c r="CA281" s="290">
        <v>-1.6985606347760722</v>
      </c>
      <c r="CB281" s="290">
        <v>222</v>
      </c>
      <c r="CC281" s="290">
        <v>768</v>
      </c>
      <c r="CD281" s="290">
        <v>8</v>
      </c>
      <c r="CE281" s="290">
        <v>217</v>
      </c>
      <c r="CF281" s="290">
        <v>11</v>
      </c>
      <c r="CG281" s="290">
        <v>1</v>
      </c>
      <c r="CH281" s="290">
        <v>-7</v>
      </c>
      <c r="CI281" s="290">
        <v>-2617</v>
      </c>
      <c r="CJ281" s="290">
        <v>-7126</v>
      </c>
      <c r="CK281" s="290">
        <f>+innut22!E287+innut22!S287</f>
        <v>189362.9589416408</v>
      </c>
      <c r="CL281" s="290">
        <v>0</v>
      </c>
      <c r="CM281" s="290">
        <v>0</v>
      </c>
      <c r="CN281" s="290">
        <v>0</v>
      </c>
      <c r="CP281" s="290">
        <f>+innut23!E287</f>
        <v>173577.0703294265</v>
      </c>
      <c r="CQ281" s="290"/>
      <c r="CV281" s="85">
        <f t="shared" si="5"/>
        <v>1.093</v>
      </c>
    </row>
    <row r="282" spans="1:100" ht="13">
      <c r="A282" s="1">
        <v>4651</v>
      </c>
      <c r="B282" s="2" t="s">
        <v>83</v>
      </c>
      <c r="C282" s="289">
        <v>7207</v>
      </c>
      <c r="D282" s="290">
        <v>143</v>
      </c>
      <c r="E282" s="290">
        <v>305</v>
      </c>
      <c r="F282" s="290">
        <v>893</v>
      </c>
      <c r="G282" s="290">
        <v>680</v>
      </c>
      <c r="H282" s="290">
        <v>3802</v>
      </c>
      <c r="I282" s="290">
        <v>936</v>
      </c>
      <c r="J282" s="290">
        <v>309</v>
      </c>
      <c r="K282" s="290">
        <v>81</v>
      </c>
      <c r="L282" s="290">
        <v>54</v>
      </c>
      <c r="M282" s="290">
        <v>562</v>
      </c>
      <c r="N282" s="290">
        <v>106</v>
      </c>
      <c r="O282" s="290">
        <v>94</v>
      </c>
      <c r="P282" s="624">
        <v>72258.714999999997</v>
      </c>
      <c r="Q282" s="624">
        <v>23845.250333330001</v>
      </c>
      <c r="R282" s="624">
        <v>37</v>
      </c>
      <c r="S282" s="290">
        <v>68</v>
      </c>
      <c r="T282" s="290">
        <v>603</v>
      </c>
      <c r="U282" s="958">
        <v>5.7489062958999415E-3</v>
      </c>
      <c r="V282" s="290">
        <v>4090.35474333</v>
      </c>
      <c r="W282" s="765">
        <v>0.78565313999999997</v>
      </c>
      <c r="X282" s="290">
        <v>700</v>
      </c>
      <c r="Y282" s="290"/>
      <c r="Z282" s="290">
        <f>innut22!E288</f>
        <v>249803.62829192798</v>
      </c>
      <c r="AA282" s="290">
        <v>0</v>
      </c>
      <c r="AB282" s="290">
        <v>89</v>
      </c>
      <c r="AC282" s="290">
        <v>268</v>
      </c>
      <c r="AD282" s="290"/>
      <c r="AE282" s="290">
        <v>0</v>
      </c>
      <c r="AF282" s="290">
        <v>0</v>
      </c>
      <c r="AG282" s="290">
        <v>7149</v>
      </c>
      <c r="AH282" s="290">
        <v>1346</v>
      </c>
      <c r="AI282" s="290">
        <v>0</v>
      </c>
      <c r="AJ282" s="290">
        <v>0</v>
      </c>
      <c r="AK282" s="290">
        <v>0</v>
      </c>
      <c r="AL282" s="290">
        <v>0</v>
      </c>
      <c r="AM282" s="957">
        <v>6.2460439999999999E-2</v>
      </c>
      <c r="AN282" s="290">
        <v>0</v>
      </c>
      <c r="AO282" s="290">
        <v>1527.0638182600001</v>
      </c>
      <c r="AP282" s="290">
        <v>0</v>
      </c>
      <c r="AQ282" s="290">
        <v>0</v>
      </c>
      <c r="AR282" s="290">
        <v>-344.87235117</v>
      </c>
      <c r="AS282" s="290">
        <v>1618</v>
      </c>
      <c r="AT282" s="290">
        <v>252</v>
      </c>
      <c r="AU282" s="290">
        <v>42</v>
      </c>
      <c r="AV282" s="766">
        <v>236376</v>
      </c>
      <c r="AW282" s="290"/>
      <c r="AX282" s="766">
        <v>56.083350000000003</v>
      </c>
      <c r="AY282" s="290">
        <v>1434</v>
      </c>
      <c r="AZ282" s="290">
        <v>299</v>
      </c>
      <c r="BA282" s="290">
        <v>114</v>
      </c>
      <c r="BB282" s="290">
        <v>0</v>
      </c>
      <c r="BC282" s="290">
        <v>12483</v>
      </c>
      <c r="BD282" s="290"/>
      <c r="BE282" s="290">
        <v>234516.34400538</v>
      </c>
      <c r="BF282" s="290">
        <v>0</v>
      </c>
      <c r="BG282" s="290">
        <v>6509.2244256967851</v>
      </c>
      <c r="BH282" s="290">
        <v>350.70107109876557</v>
      </c>
      <c r="BI282" s="290">
        <v>1614</v>
      </c>
      <c r="BJ282" s="290"/>
      <c r="BK282" s="290"/>
      <c r="BL282" s="290"/>
      <c r="BM282" s="290">
        <v>0</v>
      </c>
      <c r="BN282" s="290">
        <v>2905.6323800000005</v>
      </c>
      <c r="BO282" s="290">
        <v>-3331.1025440476137</v>
      </c>
      <c r="BP282" s="290">
        <v>404.53199999999998</v>
      </c>
      <c r="BQ282" s="290">
        <v>-216.947</v>
      </c>
      <c r="BR282" s="290">
        <v>-147.58408939173486</v>
      </c>
      <c r="BS282" s="290">
        <v>1.516</v>
      </c>
      <c r="BT282" s="290"/>
      <c r="BU282" s="290">
        <v>0</v>
      </c>
      <c r="BV282" s="290">
        <v>4000</v>
      </c>
      <c r="BW282" s="290">
        <v>-1642</v>
      </c>
      <c r="BX282" s="290">
        <v>949</v>
      </c>
      <c r="BY282" s="290">
        <v>177</v>
      </c>
      <c r="BZ282" s="290">
        <v>-1248</v>
      </c>
      <c r="CA282" s="290">
        <v>-1.0467465606518545</v>
      </c>
      <c r="CB282" s="290">
        <v>283</v>
      </c>
      <c r="CC282" s="290">
        <v>930</v>
      </c>
      <c r="CD282" s="290">
        <v>10</v>
      </c>
      <c r="CE282" s="290">
        <v>266</v>
      </c>
      <c r="CF282" s="290">
        <v>12</v>
      </c>
      <c r="CG282" s="290">
        <v>1</v>
      </c>
      <c r="CH282" s="290">
        <v>-8</v>
      </c>
      <c r="CI282" s="290">
        <v>-3210</v>
      </c>
      <c r="CJ282" s="290">
        <v>-8899</v>
      </c>
      <c r="CK282" s="290">
        <f>+innut22!E288+innut22!S288</f>
        <v>249803.62829192798</v>
      </c>
      <c r="CL282" s="290">
        <v>0</v>
      </c>
      <c r="CM282" s="290">
        <v>0</v>
      </c>
      <c r="CN282" s="290">
        <v>0</v>
      </c>
      <c r="CP282" s="290">
        <f>+innut23!E288</f>
        <v>222914.94927938457</v>
      </c>
      <c r="CQ282" s="290"/>
      <c r="CV282" s="85">
        <f t="shared" si="5"/>
        <v>1.323</v>
      </c>
    </row>
    <row r="283" spans="1:100" ht="13">
      <c r="A283" s="1">
        <v>5001</v>
      </c>
      <c r="B283" s="2" t="s">
        <v>118</v>
      </c>
      <c r="C283" s="289">
        <v>210496</v>
      </c>
      <c r="D283" s="290">
        <v>4276</v>
      </c>
      <c r="E283" s="290">
        <v>8863</v>
      </c>
      <c r="F283" s="290">
        <v>22995</v>
      </c>
      <c r="G283" s="290">
        <v>18512</v>
      </c>
      <c r="H283" s="290">
        <v>125232</v>
      </c>
      <c r="I283" s="290">
        <v>20297</v>
      </c>
      <c r="J283" s="290">
        <v>5815</v>
      </c>
      <c r="K283" s="290">
        <v>1416</v>
      </c>
      <c r="L283" s="290">
        <v>1495</v>
      </c>
      <c r="M283" s="290">
        <v>12371</v>
      </c>
      <c r="N283" s="290">
        <v>5790</v>
      </c>
      <c r="O283" s="290">
        <v>1496</v>
      </c>
      <c r="P283" s="624">
        <v>450447.337</v>
      </c>
      <c r="Q283" s="624">
        <v>182549.34566667001</v>
      </c>
      <c r="R283" s="624">
        <v>645</v>
      </c>
      <c r="S283" s="290">
        <v>2622</v>
      </c>
      <c r="T283" s="290">
        <v>19879</v>
      </c>
      <c r="U283" s="958">
        <v>5.619499815771499E-3</v>
      </c>
      <c r="V283" s="290">
        <v>-28321.994115490001</v>
      </c>
      <c r="W283" s="765">
        <v>0.53066267</v>
      </c>
      <c r="X283" s="290">
        <v>1810</v>
      </c>
      <c r="Y283" s="290"/>
      <c r="Z283" s="290">
        <f>innut22!E289</f>
        <v>8411204.3168864436</v>
      </c>
      <c r="AA283" s="290">
        <v>0</v>
      </c>
      <c r="AB283" s="290">
        <v>4625</v>
      </c>
      <c r="AC283" s="290">
        <v>20549</v>
      </c>
      <c r="AD283" s="290"/>
      <c r="AE283" s="290">
        <v>0</v>
      </c>
      <c r="AF283" s="290">
        <v>15488</v>
      </c>
      <c r="AG283" s="290">
        <v>207406</v>
      </c>
      <c r="AH283" s="290">
        <v>34788</v>
      </c>
      <c r="AI283" s="290">
        <v>25500</v>
      </c>
      <c r="AJ283" s="290">
        <v>0</v>
      </c>
      <c r="AK283" s="290">
        <v>0</v>
      </c>
      <c r="AL283" s="290">
        <v>0</v>
      </c>
      <c r="AM283" s="957">
        <v>4.1363340500000003</v>
      </c>
      <c r="AN283" s="290">
        <v>0</v>
      </c>
      <c r="AO283" s="290">
        <v>36840.824423580001</v>
      </c>
      <c r="AP283" s="290">
        <v>81584.835000000006</v>
      </c>
      <c r="AQ283" s="290">
        <v>0</v>
      </c>
      <c r="AR283" s="290">
        <v>-10005.39863849</v>
      </c>
      <c r="AS283" s="290">
        <v>33536</v>
      </c>
      <c r="AT283" s="290">
        <v>8929</v>
      </c>
      <c r="AU283" s="290">
        <v>1978</v>
      </c>
      <c r="AV283" s="766">
        <v>4494988</v>
      </c>
      <c r="AW283" s="290"/>
      <c r="AX283" s="766">
        <v>1649.0416499999999</v>
      </c>
      <c r="AY283" s="290">
        <v>74776</v>
      </c>
      <c r="AZ283" s="290">
        <v>10093</v>
      </c>
      <c r="BA283" s="290">
        <v>3934</v>
      </c>
      <c r="BB283" s="290">
        <v>0</v>
      </c>
      <c r="BC283" s="290">
        <v>349888</v>
      </c>
      <c r="BD283" s="290"/>
      <c r="BE283" s="290">
        <v>4478450.1078300998</v>
      </c>
      <c r="BF283" s="290">
        <v>0</v>
      </c>
      <c r="BG283" s="290">
        <v>190115.95736249074</v>
      </c>
      <c r="BH283" s="290">
        <v>10242.982192591338</v>
      </c>
      <c r="BI283" s="290">
        <v>70825</v>
      </c>
      <c r="BJ283" s="290"/>
      <c r="BK283" s="290"/>
      <c r="BL283" s="290"/>
      <c r="BM283" s="290">
        <v>0</v>
      </c>
      <c r="BN283" s="290">
        <v>70099.161120000004</v>
      </c>
      <c r="BO283" s="290">
        <v>-96641.579836444158</v>
      </c>
      <c r="BP283" s="290">
        <v>12567.287</v>
      </c>
      <c r="BQ283" s="290">
        <v>-6739.7430000000004</v>
      </c>
      <c r="BR283" s="290">
        <v>-3468.7841958303084</v>
      </c>
      <c r="BS283" s="290">
        <v>33.570999999999998</v>
      </c>
      <c r="BT283" s="290"/>
      <c r="BU283" s="290">
        <v>0</v>
      </c>
      <c r="BV283" s="290">
        <v>27500</v>
      </c>
      <c r="BW283" s="290">
        <v>-47630</v>
      </c>
      <c r="BX283" s="290">
        <v>22272</v>
      </c>
      <c r="BY283" s="290">
        <v>6837</v>
      </c>
      <c r="BZ283" s="290">
        <v>-36204</v>
      </c>
      <c r="CA283" s="290">
        <v>-79.912087725540914</v>
      </c>
      <c r="CB283" s="290">
        <v>10969</v>
      </c>
      <c r="CC283" s="290">
        <v>26971</v>
      </c>
      <c r="CD283" s="290">
        <v>402</v>
      </c>
      <c r="CE283" s="290">
        <v>7760</v>
      </c>
      <c r="CF283" s="290">
        <v>274</v>
      </c>
      <c r="CG283" s="290">
        <v>41</v>
      </c>
      <c r="CH283" s="290">
        <v>-178</v>
      </c>
      <c r="CI283" s="290">
        <v>-93753</v>
      </c>
      <c r="CJ283" s="290">
        <v>-259263</v>
      </c>
      <c r="CK283" s="290">
        <f>+innut22!E289+innut22!S289</f>
        <v>8411204.3168864436</v>
      </c>
      <c r="CL283" s="290">
        <v>0</v>
      </c>
      <c r="CM283" s="290">
        <v>0</v>
      </c>
      <c r="CN283" s="290">
        <v>0</v>
      </c>
      <c r="CP283" s="290">
        <f>+innut23!E289</f>
        <v>7810621.661834769</v>
      </c>
      <c r="CQ283" s="290"/>
      <c r="CV283" s="85">
        <f t="shared" si="5"/>
        <v>38.396000000000001</v>
      </c>
    </row>
    <row r="284" spans="1:100" ht="13">
      <c r="A284" s="1">
        <v>5006</v>
      </c>
      <c r="B284" s="2" t="s">
        <v>1640</v>
      </c>
      <c r="C284" s="289">
        <v>24004</v>
      </c>
      <c r="D284" s="290">
        <v>407</v>
      </c>
      <c r="E284" s="290">
        <v>971</v>
      </c>
      <c r="F284" s="290">
        <v>2836</v>
      </c>
      <c r="G284" s="290">
        <v>2001</v>
      </c>
      <c r="H284" s="290">
        <v>13008</v>
      </c>
      <c r="I284" s="290">
        <v>3396</v>
      </c>
      <c r="J284" s="290">
        <v>1161</v>
      </c>
      <c r="K284" s="290">
        <v>315</v>
      </c>
      <c r="L284" s="290">
        <v>181</v>
      </c>
      <c r="M284" s="290">
        <v>2108</v>
      </c>
      <c r="N284" s="290">
        <v>428</v>
      </c>
      <c r="O284" s="290">
        <v>197</v>
      </c>
      <c r="P284" s="624">
        <v>127512.19566667</v>
      </c>
      <c r="Q284" s="624">
        <v>58553.21866667</v>
      </c>
      <c r="R284" s="624">
        <v>79</v>
      </c>
      <c r="S284" s="290">
        <v>282</v>
      </c>
      <c r="T284" s="290">
        <v>2071</v>
      </c>
      <c r="U284" s="958">
        <v>1.186700393533276E-2</v>
      </c>
      <c r="V284" s="290">
        <v>1727.7637109899999</v>
      </c>
      <c r="W284" s="765">
        <v>0.62790380999999995</v>
      </c>
      <c r="X284" s="290">
        <v>1380</v>
      </c>
      <c r="Y284" s="290"/>
      <c r="Z284" s="290">
        <f>innut22!E290</f>
        <v>706231.66069211438</v>
      </c>
      <c r="AA284" s="290">
        <v>0</v>
      </c>
      <c r="AB284" s="290">
        <v>670</v>
      </c>
      <c r="AC284" s="290">
        <v>5277</v>
      </c>
      <c r="AD284" s="290"/>
      <c r="AE284" s="290">
        <v>0</v>
      </c>
      <c r="AF284" s="290">
        <v>16002</v>
      </c>
      <c r="AG284" s="290">
        <v>24095</v>
      </c>
      <c r="AH284" s="290">
        <v>4144</v>
      </c>
      <c r="AI284" s="290">
        <v>3180</v>
      </c>
      <c r="AJ284" s="290">
        <v>0</v>
      </c>
      <c r="AK284" s="290">
        <v>0</v>
      </c>
      <c r="AL284" s="290">
        <v>0</v>
      </c>
      <c r="AM284" s="957">
        <v>0.53919105000000001</v>
      </c>
      <c r="AN284" s="290">
        <v>17933</v>
      </c>
      <c r="AO284" s="290">
        <v>4868.9935596799996</v>
      </c>
      <c r="AP284" s="290">
        <v>0</v>
      </c>
      <c r="AQ284" s="290">
        <v>0</v>
      </c>
      <c r="AR284" s="290">
        <v>-1162.35827408</v>
      </c>
      <c r="AS284" s="290">
        <v>7987</v>
      </c>
      <c r="AT284" s="290">
        <v>1138</v>
      </c>
      <c r="AU284" s="290">
        <v>260</v>
      </c>
      <c r="AV284" s="766">
        <v>730050</v>
      </c>
      <c r="AW284" s="290"/>
      <c r="AX284" s="766">
        <v>144.79169999999999</v>
      </c>
      <c r="AY284" s="290">
        <v>5485</v>
      </c>
      <c r="AZ284" s="290">
        <v>1063</v>
      </c>
      <c r="BA284" s="290">
        <v>556</v>
      </c>
      <c r="BB284" s="290">
        <v>0</v>
      </c>
      <c r="BC284" s="290">
        <v>54879</v>
      </c>
      <c r="BD284" s="290"/>
      <c r="BE284" s="290">
        <v>735984.33808875002</v>
      </c>
      <c r="BF284" s="290">
        <v>0</v>
      </c>
      <c r="BG284" s="290">
        <v>21679.953255782661</v>
      </c>
      <c r="BH284" s="290">
        <v>1168.0627876584945</v>
      </c>
      <c r="BI284" s="290">
        <v>25423</v>
      </c>
      <c r="BJ284" s="290"/>
      <c r="BK284" s="290"/>
      <c r="BL284" s="290"/>
      <c r="BM284" s="290">
        <v>5035</v>
      </c>
      <c r="BN284" s="290">
        <v>9264.5148200000003</v>
      </c>
      <c r="BO284" s="290">
        <v>-11227.152860375891</v>
      </c>
      <c r="BP284" s="290">
        <v>1281.4949999999999</v>
      </c>
      <c r="BQ284" s="290">
        <v>-687.25599999999997</v>
      </c>
      <c r="BR284" s="290">
        <v>-444.56041123594423</v>
      </c>
      <c r="BS284" s="290">
        <v>4.601</v>
      </c>
      <c r="BT284" s="290"/>
      <c r="BU284" s="290">
        <v>0</v>
      </c>
      <c r="BV284" s="290">
        <v>7000</v>
      </c>
      <c r="BW284" s="290">
        <v>-5533</v>
      </c>
      <c r="BX284" s="290">
        <v>2848</v>
      </c>
      <c r="BY284" s="290">
        <v>737</v>
      </c>
      <c r="BZ284" s="290">
        <v>-4206</v>
      </c>
      <c r="CA284" s="290">
        <v>-20.641548388165575</v>
      </c>
      <c r="CB284" s="290">
        <v>1182</v>
      </c>
      <c r="CC284" s="290">
        <v>3133</v>
      </c>
      <c r="CD284" s="290">
        <v>43</v>
      </c>
      <c r="CE284" s="290">
        <v>885</v>
      </c>
      <c r="CF284" s="290">
        <v>38</v>
      </c>
      <c r="CG284" s="290">
        <v>5</v>
      </c>
      <c r="CH284" s="290">
        <v>-24</v>
      </c>
      <c r="CI284" s="290">
        <v>-10691</v>
      </c>
      <c r="CJ284" s="290">
        <v>-29016</v>
      </c>
      <c r="CK284" s="290">
        <f>+innut22!E290+innut22!S290</f>
        <v>706231.66069211438</v>
      </c>
      <c r="CL284" s="290">
        <v>0</v>
      </c>
      <c r="CM284" s="290">
        <v>0</v>
      </c>
      <c r="CN284" s="290">
        <v>0</v>
      </c>
      <c r="CP284" s="290">
        <f>+innut23!E290</f>
        <v>652529.94663150946</v>
      </c>
      <c r="CQ284" s="290"/>
      <c r="CV284" s="85">
        <f t="shared" si="5"/>
        <v>4.4610000000000003</v>
      </c>
    </row>
    <row r="285" spans="1:100" ht="13">
      <c r="A285" s="1">
        <v>5007</v>
      </c>
      <c r="B285" s="2" t="s">
        <v>1641</v>
      </c>
      <c r="C285" s="289">
        <v>15001</v>
      </c>
      <c r="D285" s="290">
        <v>246</v>
      </c>
      <c r="E285" s="290">
        <v>610</v>
      </c>
      <c r="F285" s="290">
        <v>1803</v>
      </c>
      <c r="G285" s="290">
        <v>1429</v>
      </c>
      <c r="H285" s="290">
        <v>8071</v>
      </c>
      <c r="I285" s="290">
        <v>2094</v>
      </c>
      <c r="J285" s="290">
        <v>634</v>
      </c>
      <c r="K285" s="290">
        <v>161</v>
      </c>
      <c r="L285" s="290">
        <v>122</v>
      </c>
      <c r="M285" s="290">
        <v>1325</v>
      </c>
      <c r="N285" s="290">
        <v>310</v>
      </c>
      <c r="O285" s="290">
        <v>119</v>
      </c>
      <c r="P285" s="624">
        <v>105601.15666666999</v>
      </c>
      <c r="Q285" s="624">
        <v>36988.25266667</v>
      </c>
      <c r="R285" s="624">
        <v>83</v>
      </c>
      <c r="S285" s="290">
        <v>169</v>
      </c>
      <c r="T285" s="290">
        <v>1209</v>
      </c>
      <c r="U285" s="958">
        <v>4.2192569596790153E-3</v>
      </c>
      <c r="V285" s="290">
        <v>2079.4333570899998</v>
      </c>
      <c r="W285" s="765">
        <v>0.64841044000000003</v>
      </c>
      <c r="X285" s="290">
        <v>1420</v>
      </c>
      <c r="Y285" s="290"/>
      <c r="Z285" s="290">
        <f>innut22!E291</f>
        <v>464282.93003310979</v>
      </c>
      <c r="AA285" s="290">
        <v>0</v>
      </c>
      <c r="AB285" s="290">
        <v>438</v>
      </c>
      <c r="AC285" s="290">
        <v>2249</v>
      </c>
      <c r="AD285" s="290"/>
      <c r="AE285" s="290">
        <v>0</v>
      </c>
      <c r="AF285" s="290">
        <v>43824</v>
      </c>
      <c r="AG285" s="290">
        <v>15048</v>
      </c>
      <c r="AH285" s="290">
        <v>2658</v>
      </c>
      <c r="AI285" s="290">
        <v>2330</v>
      </c>
      <c r="AJ285" s="290">
        <v>0</v>
      </c>
      <c r="AK285" s="290">
        <v>0</v>
      </c>
      <c r="AL285" s="290">
        <v>28094</v>
      </c>
      <c r="AM285" s="957">
        <v>0.22201937999999999</v>
      </c>
      <c r="AN285" s="290">
        <v>0</v>
      </c>
      <c r="AO285" s="290">
        <v>3101.4378209800002</v>
      </c>
      <c r="AP285" s="290">
        <v>0</v>
      </c>
      <c r="AQ285" s="290">
        <v>0</v>
      </c>
      <c r="AR285" s="290">
        <v>-725.92518399999994</v>
      </c>
      <c r="AS285" s="290">
        <v>3784</v>
      </c>
      <c r="AT285" s="290">
        <v>717</v>
      </c>
      <c r="AU285" s="290">
        <v>114</v>
      </c>
      <c r="AV285" s="766">
        <v>527255</v>
      </c>
      <c r="AW285" s="290"/>
      <c r="AX285" s="766">
        <v>83.208349999999996</v>
      </c>
      <c r="AY285" s="290">
        <v>3505</v>
      </c>
      <c r="AZ285" s="290">
        <v>619</v>
      </c>
      <c r="BA285" s="290">
        <v>347</v>
      </c>
      <c r="BB285" s="290">
        <v>0</v>
      </c>
      <c r="BC285" s="290">
        <v>67717</v>
      </c>
      <c r="BD285" s="290"/>
      <c r="BE285" s="290">
        <v>530607.72787671001</v>
      </c>
      <c r="BF285" s="290">
        <v>0</v>
      </c>
      <c r="BG285" s="290">
        <v>13548.616013580891</v>
      </c>
      <c r="BH285" s="290">
        <v>729.96625052762352</v>
      </c>
      <c r="BI285" s="290">
        <v>48731</v>
      </c>
      <c r="BJ285" s="290"/>
      <c r="BK285" s="290"/>
      <c r="BL285" s="290"/>
      <c r="BM285" s="290">
        <v>4401</v>
      </c>
      <c r="BN285" s="290">
        <v>5901.2846000000009</v>
      </c>
      <c r="BO285" s="290">
        <v>-7011.6703151249812</v>
      </c>
      <c r="BP285" s="290">
        <v>799.94100000000003</v>
      </c>
      <c r="BQ285" s="290">
        <v>-429.00299999999999</v>
      </c>
      <c r="BR285" s="290">
        <v>-285.6875678846169</v>
      </c>
      <c r="BS285" s="290">
        <v>2.93</v>
      </c>
      <c r="BT285" s="290"/>
      <c r="BU285" s="290">
        <v>0</v>
      </c>
      <c r="BV285" s="290">
        <v>5500</v>
      </c>
      <c r="BW285" s="290">
        <v>-3456</v>
      </c>
      <c r="BX285" s="290">
        <v>1828</v>
      </c>
      <c r="BY285" s="290">
        <v>441</v>
      </c>
      <c r="BZ285" s="290">
        <v>-2627</v>
      </c>
      <c r="CA285" s="290">
        <v>-8.794716990402776</v>
      </c>
      <c r="CB285" s="290">
        <v>707</v>
      </c>
      <c r="CC285" s="290">
        <v>1957</v>
      </c>
      <c r="CD285" s="290">
        <v>26</v>
      </c>
      <c r="CE285" s="290">
        <v>553</v>
      </c>
      <c r="CF285" s="290">
        <v>24</v>
      </c>
      <c r="CG285" s="290">
        <v>3</v>
      </c>
      <c r="CH285" s="290">
        <v>-16</v>
      </c>
      <c r="CI285" s="290">
        <v>-6681</v>
      </c>
      <c r="CJ285" s="290">
        <v>-18165</v>
      </c>
      <c r="CK285" s="290">
        <f>+innut22!E291+innut22!S291</f>
        <v>464282.93003310979</v>
      </c>
      <c r="CL285" s="290">
        <v>0</v>
      </c>
      <c r="CM285" s="290">
        <v>0</v>
      </c>
      <c r="CN285" s="290">
        <v>0</v>
      </c>
      <c r="CP285" s="290">
        <f>+innut23!E291</f>
        <v>428681.60413464432</v>
      </c>
      <c r="CQ285" s="290"/>
      <c r="CV285" s="85">
        <f t="shared" si="5"/>
        <v>2.786</v>
      </c>
    </row>
    <row r="286" spans="1:100" ht="13">
      <c r="A286" s="1">
        <v>5014</v>
      </c>
      <c r="B286" s="2" t="s">
        <v>122</v>
      </c>
      <c r="C286" s="289">
        <v>5265</v>
      </c>
      <c r="D286" s="290">
        <v>130</v>
      </c>
      <c r="E286" s="290">
        <v>232</v>
      </c>
      <c r="F286" s="290">
        <v>553</v>
      </c>
      <c r="G286" s="290">
        <v>378</v>
      </c>
      <c r="H286" s="290">
        <v>3145</v>
      </c>
      <c r="I286" s="290">
        <v>555</v>
      </c>
      <c r="J286" s="290">
        <v>186</v>
      </c>
      <c r="K286" s="290">
        <v>46</v>
      </c>
      <c r="L286" s="290">
        <v>40</v>
      </c>
      <c r="M286" s="290">
        <v>350</v>
      </c>
      <c r="N286" s="290">
        <v>33</v>
      </c>
      <c r="O286" s="290">
        <v>79</v>
      </c>
      <c r="P286" s="624">
        <v>60319.470999999998</v>
      </c>
      <c r="Q286" s="624">
        <v>21359.47533333</v>
      </c>
      <c r="R286" s="624">
        <v>23</v>
      </c>
      <c r="S286" s="290">
        <v>59</v>
      </c>
      <c r="T286" s="290">
        <v>427</v>
      </c>
      <c r="U286" s="958">
        <v>1.4306626773447121E-3</v>
      </c>
      <c r="V286" s="290">
        <v>2838.19721832</v>
      </c>
      <c r="W286" s="765">
        <v>0.82602436000000001</v>
      </c>
      <c r="X286" s="290">
        <v>0</v>
      </c>
      <c r="Y286" s="290"/>
      <c r="Z286" s="290">
        <f>innut22!E292</f>
        <v>535425.52034064557</v>
      </c>
      <c r="AA286" s="290">
        <v>6343</v>
      </c>
      <c r="AB286" s="290">
        <v>115</v>
      </c>
      <c r="AC286" s="290">
        <v>952</v>
      </c>
      <c r="AD286" s="290"/>
      <c r="AE286" s="290">
        <v>0</v>
      </c>
      <c r="AF286" s="290">
        <v>0</v>
      </c>
      <c r="AG286" s="290">
        <v>5225</v>
      </c>
      <c r="AH286" s="290">
        <v>856</v>
      </c>
      <c r="AI286" s="290">
        <v>0</v>
      </c>
      <c r="AJ286" s="290">
        <v>0</v>
      </c>
      <c r="AK286" s="290">
        <v>0</v>
      </c>
      <c r="AL286" s="290">
        <v>0</v>
      </c>
      <c r="AM286" s="957">
        <v>0.16386023999999999</v>
      </c>
      <c r="AN286" s="290">
        <v>0</v>
      </c>
      <c r="AO286" s="290">
        <v>1059.59227332</v>
      </c>
      <c r="AP286" s="290">
        <v>0</v>
      </c>
      <c r="AQ286" s="290">
        <v>0</v>
      </c>
      <c r="AR286" s="290">
        <v>-252.05735555000001</v>
      </c>
      <c r="AS286" s="290">
        <v>1071</v>
      </c>
      <c r="AT286" s="290">
        <v>258</v>
      </c>
      <c r="AU286" s="290">
        <v>80</v>
      </c>
      <c r="AV286" s="766">
        <v>151828</v>
      </c>
      <c r="AW286" s="290"/>
      <c r="AX286" s="766">
        <v>51.833300000000001</v>
      </c>
      <c r="AY286" s="290">
        <v>838</v>
      </c>
      <c r="AZ286" s="290">
        <v>215</v>
      </c>
      <c r="BA286" s="290">
        <v>106</v>
      </c>
      <c r="BB286" s="290">
        <v>0</v>
      </c>
      <c r="BC286" s="290">
        <v>9211</v>
      </c>
      <c r="BD286" s="290"/>
      <c r="BE286" s="290">
        <v>160558.67262473001</v>
      </c>
      <c r="BF286" s="290">
        <v>0</v>
      </c>
      <c r="BG286" s="290">
        <v>4755.2472042866066</v>
      </c>
      <c r="BH286" s="290">
        <v>256.20107386360496</v>
      </c>
      <c r="BI286" s="290">
        <v>8151</v>
      </c>
      <c r="BJ286" s="290"/>
      <c r="BK286" s="290"/>
      <c r="BL286" s="290"/>
      <c r="BM286" s="290">
        <v>0</v>
      </c>
      <c r="BN286" s="290">
        <v>2016.14732</v>
      </c>
      <c r="BO286" s="290">
        <v>-2434.607748307285</v>
      </c>
      <c r="BP286" s="290">
        <v>309.37299999999999</v>
      </c>
      <c r="BQ286" s="290">
        <v>-165.91499999999999</v>
      </c>
      <c r="BR286" s="290">
        <v>-98.384727385926638</v>
      </c>
      <c r="BS286" s="290">
        <v>1.109</v>
      </c>
      <c r="BT286" s="290"/>
      <c r="BU286" s="290">
        <v>0</v>
      </c>
      <c r="BV286" s="290">
        <v>3500</v>
      </c>
      <c r="BW286" s="290">
        <v>-1200</v>
      </c>
      <c r="BX286" s="290">
        <v>621</v>
      </c>
      <c r="BY286" s="290">
        <v>154</v>
      </c>
      <c r="BZ286" s="290">
        <v>-912</v>
      </c>
      <c r="CA286" s="290">
        <v>-3.7218443067883982</v>
      </c>
      <c r="CB286" s="290">
        <v>246</v>
      </c>
      <c r="CC286" s="290">
        <v>679</v>
      </c>
      <c r="CD286" s="290">
        <v>9</v>
      </c>
      <c r="CE286" s="290">
        <v>194</v>
      </c>
      <c r="CF286" s="290">
        <v>9</v>
      </c>
      <c r="CG286" s="290">
        <v>1</v>
      </c>
      <c r="CH286" s="290">
        <v>-6</v>
      </c>
      <c r="CI286" s="290">
        <v>-2345</v>
      </c>
      <c r="CJ286" s="290">
        <v>-35538</v>
      </c>
      <c r="CK286" s="290">
        <f>+innut22!E292+innut22!S292</f>
        <v>535425.52034064557</v>
      </c>
      <c r="CL286" s="290">
        <v>0</v>
      </c>
      <c r="CM286" s="290">
        <v>0</v>
      </c>
      <c r="CN286" s="290">
        <v>0</v>
      </c>
      <c r="CP286" s="290">
        <f>+innut23!E292</f>
        <v>407238.24820271163</v>
      </c>
      <c r="CQ286" s="290"/>
      <c r="CV286" s="85">
        <f t="shared" si="5"/>
        <v>0.96699999999999997</v>
      </c>
    </row>
    <row r="287" spans="1:100" ht="13">
      <c r="A287" s="1">
        <v>5020</v>
      </c>
      <c r="B287" s="2" t="s">
        <v>129</v>
      </c>
      <c r="C287" s="289">
        <v>904</v>
      </c>
      <c r="D287" s="290">
        <v>20</v>
      </c>
      <c r="E287" s="290">
        <v>23</v>
      </c>
      <c r="F287" s="290">
        <v>89</v>
      </c>
      <c r="G287" s="290">
        <v>63</v>
      </c>
      <c r="H287" s="290">
        <v>468</v>
      </c>
      <c r="I287" s="290">
        <v>186</v>
      </c>
      <c r="J287" s="290">
        <v>54</v>
      </c>
      <c r="K287" s="290">
        <v>17</v>
      </c>
      <c r="L287" s="290">
        <v>6</v>
      </c>
      <c r="M287" s="290">
        <v>122</v>
      </c>
      <c r="N287" s="290">
        <v>1.5</v>
      </c>
      <c r="O287" s="290">
        <v>4</v>
      </c>
      <c r="P287" s="624">
        <v>12949.825000000001</v>
      </c>
      <c r="Q287" s="624">
        <v>12234.05733333</v>
      </c>
      <c r="R287" s="624">
        <v>2</v>
      </c>
      <c r="S287" s="290">
        <v>8</v>
      </c>
      <c r="T287" s="290">
        <v>81</v>
      </c>
      <c r="U287" s="958">
        <v>7.1297565219244385E-4</v>
      </c>
      <c r="V287" s="290">
        <v>680.05943511999999</v>
      </c>
      <c r="W287" s="765">
        <v>1</v>
      </c>
      <c r="X287" s="290">
        <v>0</v>
      </c>
      <c r="Y287" s="290"/>
      <c r="Z287" s="290">
        <f>innut22!E293</f>
        <v>25774.824193144552</v>
      </c>
      <c r="AA287" s="290">
        <v>0</v>
      </c>
      <c r="AB287" s="290">
        <v>20</v>
      </c>
      <c r="AC287" s="290">
        <v>31</v>
      </c>
      <c r="AD287" s="290"/>
      <c r="AE287" s="290">
        <v>0</v>
      </c>
      <c r="AF287" s="290">
        <v>0</v>
      </c>
      <c r="AG287" s="290">
        <v>920</v>
      </c>
      <c r="AH287" s="290">
        <v>131</v>
      </c>
      <c r="AI287" s="290">
        <v>1330</v>
      </c>
      <c r="AJ287" s="290">
        <v>0</v>
      </c>
      <c r="AK287" s="290">
        <v>0</v>
      </c>
      <c r="AL287" s="290">
        <v>0</v>
      </c>
      <c r="AM287" s="957">
        <v>5.8062799999999996E-3</v>
      </c>
      <c r="AN287" s="290">
        <v>0</v>
      </c>
      <c r="AO287" s="290">
        <v>253.88853114</v>
      </c>
      <c r="AP287" s="290">
        <v>0</v>
      </c>
      <c r="AQ287" s="290">
        <v>0</v>
      </c>
      <c r="AR287" s="290">
        <v>770.08786869999994</v>
      </c>
      <c r="AS287" s="290">
        <v>261</v>
      </c>
      <c r="AT287" s="290">
        <v>46</v>
      </c>
      <c r="AU287" s="290">
        <v>4</v>
      </c>
      <c r="AV287" s="766">
        <v>55194</v>
      </c>
      <c r="AW287" s="290"/>
      <c r="AX287" s="766">
        <v>9.2499500000000001</v>
      </c>
      <c r="AY287" s="290">
        <v>136</v>
      </c>
      <c r="AZ287" s="290">
        <v>27</v>
      </c>
      <c r="BA287" s="290">
        <v>12</v>
      </c>
      <c r="BB287" s="290">
        <v>6034</v>
      </c>
      <c r="BC287" s="290">
        <v>1985</v>
      </c>
      <c r="BD287" s="290"/>
      <c r="BE287" s="290">
        <v>53648.838167870003</v>
      </c>
      <c r="BF287" s="290">
        <v>0</v>
      </c>
      <c r="BG287" s="290">
        <v>816.47549338558258</v>
      </c>
      <c r="BH287" s="290">
        <v>43.989700051794657</v>
      </c>
      <c r="BI287" s="290">
        <v>162</v>
      </c>
      <c r="BJ287" s="290"/>
      <c r="BK287" s="290"/>
      <c r="BL287" s="290"/>
      <c r="BM287" s="290">
        <v>0</v>
      </c>
      <c r="BN287" s="290">
        <v>483.08834000000002</v>
      </c>
      <c r="BO287" s="290">
        <v>-428.67734515649806</v>
      </c>
      <c r="BP287" s="290">
        <v>35.411000000000001</v>
      </c>
      <c r="BQ287" s="290">
        <v>-18.991</v>
      </c>
      <c r="BR287" s="290">
        <v>-22.097990820937007</v>
      </c>
      <c r="BS287" s="290">
        <v>0.38700000000000001</v>
      </c>
      <c r="BT287" s="290"/>
      <c r="BU287" s="290">
        <v>0</v>
      </c>
      <c r="BV287" s="290">
        <v>500</v>
      </c>
      <c r="BW287" s="290">
        <v>-211</v>
      </c>
      <c r="BX287" s="290">
        <v>133</v>
      </c>
      <c r="BY287" s="290">
        <v>22</v>
      </c>
      <c r="BZ287" s="290">
        <v>-161</v>
      </c>
      <c r="CA287" s="290">
        <v>-0.1200040225649488</v>
      </c>
      <c r="CB287" s="290">
        <v>35</v>
      </c>
      <c r="CC287" s="290">
        <v>120</v>
      </c>
      <c r="CD287" s="290">
        <v>1</v>
      </c>
      <c r="CE287" s="290">
        <v>33</v>
      </c>
      <c r="CF287" s="290">
        <v>3</v>
      </c>
      <c r="CG287" s="290">
        <v>0</v>
      </c>
      <c r="CH287" s="290">
        <v>-2</v>
      </c>
      <c r="CI287" s="290">
        <v>-403</v>
      </c>
      <c r="CJ287" s="290">
        <v>-1104</v>
      </c>
      <c r="CK287" s="290">
        <f>+innut22!E293+innut22!S293</f>
        <v>25774.824193144552</v>
      </c>
      <c r="CL287" s="290">
        <v>0</v>
      </c>
      <c r="CM287" s="290">
        <v>0</v>
      </c>
      <c r="CN287" s="290">
        <v>0</v>
      </c>
      <c r="CP287" s="290">
        <f>+innut23!E293</f>
        <v>24198.506412069521</v>
      </c>
      <c r="CQ287" s="290"/>
      <c r="CV287" s="85">
        <f t="shared" si="5"/>
        <v>0.17</v>
      </c>
    </row>
    <row r="288" spans="1:100" ht="13">
      <c r="A288" s="1">
        <v>5021</v>
      </c>
      <c r="B288" s="2" t="s">
        <v>130</v>
      </c>
      <c r="C288" s="289">
        <v>7066</v>
      </c>
      <c r="D288" s="290">
        <v>142</v>
      </c>
      <c r="E288" s="290">
        <v>283</v>
      </c>
      <c r="F288" s="290">
        <v>816</v>
      </c>
      <c r="G288" s="290">
        <v>614</v>
      </c>
      <c r="H288" s="290">
        <v>3746</v>
      </c>
      <c r="I288" s="290">
        <v>1030</v>
      </c>
      <c r="J288" s="290">
        <v>308</v>
      </c>
      <c r="K288" s="290">
        <v>83</v>
      </c>
      <c r="L288" s="290">
        <v>52</v>
      </c>
      <c r="M288" s="290">
        <v>607</v>
      </c>
      <c r="N288" s="290">
        <v>113</v>
      </c>
      <c r="O288" s="290">
        <v>62</v>
      </c>
      <c r="P288" s="624">
        <v>27130.758666670001</v>
      </c>
      <c r="Q288" s="624">
        <v>16011.391</v>
      </c>
      <c r="R288" s="624">
        <v>19</v>
      </c>
      <c r="S288" s="290">
        <v>71</v>
      </c>
      <c r="T288" s="290">
        <v>552</v>
      </c>
      <c r="U288" s="958">
        <v>4.5462130277178249E-3</v>
      </c>
      <c r="V288" s="290">
        <v>527.20465094999997</v>
      </c>
      <c r="W288" s="765">
        <v>0.59994552000000001</v>
      </c>
      <c r="X288" s="290">
        <v>1620</v>
      </c>
      <c r="Y288" s="290"/>
      <c r="Z288" s="290">
        <f>innut22!E294</f>
        <v>234286.68437820624</v>
      </c>
      <c r="AA288" s="290">
        <v>0</v>
      </c>
      <c r="AB288" s="290">
        <v>173</v>
      </c>
      <c r="AC288" s="290">
        <v>0</v>
      </c>
      <c r="AD288" s="290"/>
      <c r="AE288" s="290">
        <v>0</v>
      </c>
      <c r="AF288" s="290">
        <v>0</v>
      </c>
      <c r="AG288" s="290">
        <v>7022</v>
      </c>
      <c r="AH288" s="290">
        <v>1227</v>
      </c>
      <c r="AI288" s="290">
        <v>1175</v>
      </c>
      <c r="AJ288" s="290">
        <v>0</v>
      </c>
      <c r="AK288" s="290">
        <v>0</v>
      </c>
      <c r="AL288" s="290">
        <v>0</v>
      </c>
      <c r="AM288" s="957">
        <v>5.7942399999999998E-2</v>
      </c>
      <c r="AN288" s="290">
        <v>9566</v>
      </c>
      <c r="AO288" s="290">
        <v>1398.13328196</v>
      </c>
      <c r="AP288" s="290">
        <v>0</v>
      </c>
      <c r="AQ288" s="290">
        <v>0</v>
      </c>
      <c r="AR288" s="290">
        <v>-338.74578960999997</v>
      </c>
      <c r="AS288" s="290">
        <v>1753</v>
      </c>
      <c r="AT288" s="290">
        <v>307</v>
      </c>
      <c r="AU288" s="290">
        <v>42</v>
      </c>
      <c r="AV288" s="766">
        <v>201727</v>
      </c>
      <c r="AW288" s="290"/>
      <c r="AX288" s="766">
        <v>63.916649999999997</v>
      </c>
      <c r="AY288" s="290">
        <v>1441</v>
      </c>
      <c r="AZ288" s="290">
        <v>219</v>
      </c>
      <c r="BA288" s="290">
        <v>132</v>
      </c>
      <c r="BB288" s="290">
        <v>0</v>
      </c>
      <c r="BC288" s="290">
        <v>12057</v>
      </c>
      <c r="BD288" s="290"/>
      <c r="BE288" s="290">
        <v>206094.06957287001</v>
      </c>
      <c r="BF288" s="290">
        <v>0</v>
      </c>
      <c r="BG288" s="290">
        <v>6381.8759250691674</v>
      </c>
      <c r="BH288" s="290">
        <v>343.83984575882863</v>
      </c>
      <c r="BI288" s="290">
        <v>1227</v>
      </c>
      <c r="BJ288" s="290"/>
      <c r="BK288" s="290"/>
      <c r="BL288" s="290"/>
      <c r="BM288" s="290">
        <v>0</v>
      </c>
      <c r="BN288" s="290">
        <v>2660.3088199999997</v>
      </c>
      <c r="BO288" s="290">
        <v>-3271.9264322705753</v>
      </c>
      <c r="BP288" s="290">
        <v>388.029</v>
      </c>
      <c r="BQ288" s="290">
        <v>-208.09700000000001</v>
      </c>
      <c r="BR288" s="290">
        <v>-129.70938772942435</v>
      </c>
      <c r="BS288" s="290">
        <v>1.395</v>
      </c>
      <c r="BT288" s="290"/>
      <c r="BU288" s="290">
        <v>0</v>
      </c>
      <c r="BV288" s="290">
        <v>2000</v>
      </c>
      <c r="BW288" s="290">
        <v>-1613</v>
      </c>
      <c r="BX288" s="290">
        <v>827</v>
      </c>
      <c r="BY288" s="290">
        <v>184</v>
      </c>
      <c r="BZ288" s="290">
        <v>-1226</v>
      </c>
      <c r="CA288" s="290">
        <v>0</v>
      </c>
      <c r="CB288" s="290">
        <v>295</v>
      </c>
      <c r="CC288" s="290">
        <v>913</v>
      </c>
      <c r="CD288" s="290">
        <v>11</v>
      </c>
      <c r="CE288" s="290">
        <v>260</v>
      </c>
      <c r="CF288" s="290">
        <v>11</v>
      </c>
      <c r="CG288" s="290">
        <v>1</v>
      </c>
      <c r="CH288" s="290">
        <v>-7</v>
      </c>
      <c r="CI288" s="290">
        <v>-3147</v>
      </c>
      <c r="CJ288" s="290">
        <v>-8360</v>
      </c>
      <c r="CK288" s="290">
        <f>+innut22!E294+innut22!S294</f>
        <v>234286.68437820624</v>
      </c>
      <c r="CL288" s="290">
        <v>0</v>
      </c>
      <c r="CM288" s="290">
        <v>0</v>
      </c>
      <c r="CN288" s="290">
        <v>0</v>
      </c>
      <c r="CP288" s="290">
        <f>+innut23!E294</f>
        <v>218560.30860199328</v>
      </c>
      <c r="CQ288" s="290"/>
      <c r="CV288" s="85">
        <f t="shared" si="5"/>
        <v>1.3</v>
      </c>
    </row>
    <row r="289" spans="1:100" ht="13">
      <c r="A289" s="1">
        <v>5022</v>
      </c>
      <c r="B289" s="2" t="s">
        <v>131</v>
      </c>
      <c r="C289" s="289">
        <v>2443</v>
      </c>
      <c r="D289" s="290">
        <v>37</v>
      </c>
      <c r="E289" s="290">
        <v>99</v>
      </c>
      <c r="F289" s="290">
        <v>261</v>
      </c>
      <c r="G289" s="290">
        <v>205</v>
      </c>
      <c r="H289" s="290">
        <v>1255</v>
      </c>
      <c r="I289" s="290">
        <v>432</v>
      </c>
      <c r="J289" s="290">
        <v>128</v>
      </c>
      <c r="K289" s="290">
        <v>30</v>
      </c>
      <c r="L289" s="290">
        <v>22</v>
      </c>
      <c r="M289" s="290">
        <v>239</v>
      </c>
      <c r="N289" s="290">
        <v>16</v>
      </c>
      <c r="O289" s="290">
        <v>20</v>
      </c>
      <c r="P289" s="624">
        <v>21388.585999999999</v>
      </c>
      <c r="Q289" s="624">
        <v>14534.554</v>
      </c>
      <c r="R289" s="624">
        <v>8</v>
      </c>
      <c r="S289" s="290">
        <v>25</v>
      </c>
      <c r="T289" s="290">
        <v>206</v>
      </c>
      <c r="U289" s="958">
        <v>3.0740225241611355E-3</v>
      </c>
      <c r="V289" s="290">
        <v>-3073.6128520900002</v>
      </c>
      <c r="W289" s="765">
        <v>0.92867427000000002</v>
      </c>
      <c r="X289" s="290">
        <v>0</v>
      </c>
      <c r="Y289" s="290"/>
      <c r="Z289" s="290">
        <f>innut22!E295</f>
        <v>70438.470071357719</v>
      </c>
      <c r="AA289" s="290">
        <v>0</v>
      </c>
      <c r="AB289" s="290">
        <v>64</v>
      </c>
      <c r="AC289" s="290">
        <v>0</v>
      </c>
      <c r="AD289" s="290"/>
      <c r="AE289" s="290">
        <v>0</v>
      </c>
      <c r="AF289" s="290">
        <v>0</v>
      </c>
      <c r="AG289" s="290">
        <v>2447</v>
      </c>
      <c r="AH289" s="290">
        <v>396</v>
      </c>
      <c r="AI289" s="290">
        <v>650</v>
      </c>
      <c r="AJ289" s="290">
        <v>0</v>
      </c>
      <c r="AK289" s="290">
        <v>0</v>
      </c>
      <c r="AL289" s="290">
        <v>0</v>
      </c>
      <c r="AM289" s="957">
        <v>4.160664E-2</v>
      </c>
      <c r="AN289" s="290">
        <v>0</v>
      </c>
      <c r="AO289" s="290">
        <v>557.60515556999997</v>
      </c>
      <c r="AP289" s="290">
        <v>0</v>
      </c>
      <c r="AQ289" s="290">
        <v>0</v>
      </c>
      <c r="AR289" s="290">
        <v>1822.41211011</v>
      </c>
      <c r="AS289" s="290">
        <v>624</v>
      </c>
      <c r="AT289" s="290">
        <v>116</v>
      </c>
      <c r="AU289" s="290">
        <v>16</v>
      </c>
      <c r="AV289" s="766">
        <v>95271</v>
      </c>
      <c r="AW289" s="290"/>
      <c r="AX289" s="766">
        <v>2.5416500000000002</v>
      </c>
      <c r="AY289" s="290">
        <v>383</v>
      </c>
      <c r="AZ289" s="290">
        <v>135</v>
      </c>
      <c r="BA289" s="290">
        <v>42</v>
      </c>
      <c r="BB289" s="290">
        <v>6034</v>
      </c>
      <c r="BC289" s="290">
        <v>4409</v>
      </c>
      <c r="BD289" s="290"/>
      <c r="BE289" s="290">
        <v>92034.956932159999</v>
      </c>
      <c r="BF289" s="290">
        <v>0</v>
      </c>
      <c r="BG289" s="290">
        <v>2206.4708300232064</v>
      </c>
      <c r="BH289" s="290">
        <v>118.87924471961766</v>
      </c>
      <c r="BI289" s="290">
        <v>396</v>
      </c>
      <c r="BJ289" s="290"/>
      <c r="BK289" s="290"/>
      <c r="BL289" s="290"/>
      <c r="BM289" s="290">
        <v>0</v>
      </c>
      <c r="BN289" s="290">
        <v>1060.98748</v>
      </c>
      <c r="BO289" s="290">
        <v>-1140.1885473890768</v>
      </c>
      <c r="BP289" s="290">
        <v>116.11</v>
      </c>
      <c r="BQ289" s="290">
        <v>-62.268999999999998</v>
      </c>
      <c r="BR289" s="290">
        <v>-47.302932610923193</v>
      </c>
      <c r="BS289" s="290">
        <v>0.66300000000000003</v>
      </c>
      <c r="BT289" s="290"/>
      <c r="BU289" s="290">
        <v>0</v>
      </c>
      <c r="BV289" s="290">
        <v>500</v>
      </c>
      <c r="BW289" s="290">
        <v>-562</v>
      </c>
      <c r="BX289" s="290">
        <v>303</v>
      </c>
      <c r="BY289" s="290">
        <v>66</v>
      </c>
      <c r="BZ289" s="290">
        <v>-427</v>
      </c>
      <c r="CA289" s="290">
        <v>0</v>
      </c>
      <c r="CB289" s="290">
        <v>105</v>
      </c>
      <c r="CC289" s="290">
        <v>318</v>
      </c>
      <c r="CD289" s="290">
        <v>4</v>
      </c>
      <c r="CE289" s="290">
        <v>90</v>
      </c>
      <c r="CF289" s="290">
        <v>5</v>
      </c>
      <c r="CG289" s="290">
        <v>0</v>
      </c>
      <c r="CH289" s="290">
        <v>-4</v>
      </c>
      <c r="CI289" s="290">
        <v>-1088</v>
      </c>
      <c r="CJ289" s="290">
        <v>-2903</v>
      </c>
      <c r="CK289" s="290">
        <f>+innut22!E295+innut22!S295</f>
        <v>70438.470071357719</v>
      </c>
      <c r="CL289" s="290">
        <v>0</v>
      </c>
      <c r="CM289" s="290">
        <v>0</v>
      </c>
      <c r="CN289" s="290">
        <v>0</v>
      </c>
      <c r="CP289" s="290">
        <f>+innut23!E295</f>
        <v>66770.142700043245</v>
      </c>
      <c r="CQ289" s="290"/>
      <c r="CV289" s="85">
        <f t="shared" si="5"/>
        <v>0.45300000000000001</v>
      </c>
    </row>
    <row r="290" spans="1:100" ht="13">
      <c r="A290" s="1">
        <v>5025</v>
      </c>
      <c r="B290" s="4" t="s">
        <v>134</v>
      </c>
      <c r="C290" s="289">
        <v>5572</v>
      </c>
      <c r="D290" s="290">
        <v>110</v>
      </c>
      <c r="E290" s="290">
        <v>194</v>
      </c>
      <c r="F290" s="290">
        <v>558</v>
      </c>
      <c r="G290" s="290">
        <v>418</v>
      </c>
      <c r="H290" s="290">
        <v>3016</v>
      </c>
      <c r="I290" s="290">
        <v>945</v>
      </c>
      <c r="J290" s="290">
        <v>270</v>
      </c>
      <c r="K290" s="290">
        <v>60</v>
      </c>
      <c r="L290" s="290">
        <v>49</v>
      </c>
      <c r="M290" s="290">
        <v>585</v>
      </c>
      <c r="N290" s="290">
        <v>87</v>
      </c>
      <c r="O290" s="290">
        <v>34</v>
      </c>
      <c r="P290" s="624">
        <v>33616.993666670001</v>
      </c>
      <c r="Q290" s="624">
        <v>17176.193666669998</v>
      </c>
      <c r="R290" s="624">
        <v>20</v>
      </c>
      <c r="S290" s="290">
        <v>59</v>
      </c>
      <c r="T290" s="290">
        <v>561</v>
      </c>
      <c r="U290" s="958">
        <v>2.2611360362928684E-3</v>
      </c>
      <c r="V290" s="290">
        <v>3018.81563069</v>
      </c>
      <c r="W290" s="765">
        <v>0.68298376999999999</v>
      </c>
      <c r="X290" s="290">
        <v>350</v>
      </c>
      <c r="Y290" s="290"/>
      <c r="Z290" s="290">
        <f>innut22!E296</f>
        <v>187418.64053531512</v>
      </c>
      <c r="AA290" s="290">
        <v>0</v>
      </c>
      <c r="AB290" s="290">
        <v>101</v>
      </c>
      <c r="AC290" s="290">
        <v>678</v>
      </c>
      <c r="AD290" s="290"/>
      <c r="AE290" s="290">
        <v>0</v>
      </c>
      <c r="AF290" s="290">
        <v>0</v>
      </c>
      <c r="AG290" s="290">
        <v>5571</v>
      </c>
      <c r="AH290" s="290">
        <v>845</v>
      </c>
      <c r="AI290" s="290">
        <v>1150</v>
      </c>
      <c r="AJ290" s="290">
        <v>0</v>
      </c>
      <c r="AK290" s="290">
        <v>0</v>
      </c>
      <c r="AL290" s="290">
        <v>0</v>
      </c>
      <c r="AM290" s="957">
        <v>3.7469099999999998E-2</v>
      </c>
      <c r="AN290" s="290">
        <v>7873</v>
      </c>
      <c r="AO290" s="290">
        <v>1127.02306105</v>
      </c>
      <c r="AP290" s="290">
        <v>0</v>
      </c>
      <c r="AQ290" s="290">
        <v>0</v>
      </c>
      <c r="AR290" s="290">
        <v>-268.74861776</v>
      </c>
      <c r="AS290" s="290">
        <v>1170</v>
      </c>
      <c r="AT290" s="290">
        <v>201</v>
      </c>
      <c r="AU290" s="290">
        <v>29</v>
      </c>
      <c r="AV290" s="766">
        <v>166411</v>
      </c>
      <c r="AW290" s="290"/>
      <c r="AX290" s="766">
        <v>46.041699999999999</v>
      </c>
      <c r="AY290" s="290">
        <v>1350</v>
      </c>
      <c r="AZ290" s="290">
        <v>198</v>
      </c>
      <c r="BA290" s="290">
        <v>117</v>
      </c>
      <c r="BB290" s="290">
        <v>0</v>
      </c>
      <c r="BC290" s="290">
        <v>9573</v>
      </c>
      <c r="BD290" s="290"/>
      <c r="BE290" s="290">
        <v>171408.33461274</v>
      </c>
      <c r="BF290" s="290">
        <v>0</v>
      </c>
      <c r="BG290" s="290">
        <v>5032.5237269297195</v>
      </c>
      <c r="BH290" s="290">
        <v>271.14005385907063</v>
      </c>
      <c r="BI290" s="290">
        <v>1523</v>
      </c>
      <c r="BJ290" s="290"/>
      <c r="BK290" s="290"/>
      <c r="BL290" s="290"/>
      <c r="BM290" s="290">
        <v>0</v>
      </c>
      <c r="BN290" s="290">
        <v>2144.4517599999999</v>
      </c>
      <c r="BO290" s="290">
        <v>-2595.8277063770115</v>
      </c>
      <c r="BP290" s="290">
        <v>276.58199999999999</v>
      </c>
      <c r="BQ290" s="290">
        <v>-148.32900000000001</v>
      </c>
      <c r="BR290" s="290">
        <v>-91.411011687509557</v>
      </c>
      <c r="BS290" s="290">
        <v>1.1850000000000001</v>
      </c>
      <c r="BT290" s="290"/>
      <c r="BU290" s="290">
        <v>0</v>
      </c>
      <c r="BV290" s="290">
        <v>1500</v>
      </c>
      <c r="BW290" s="290">
        <v>-1279</v>
      </c>
      <c r="BX290" s="290">
        <v>586</v>
      </c>
      <c r="BY290" s="290">
        <v>153</v>
      </c>
      <c r="BZ290" s="290">
        <v>-972</v>
      </c>
      <c r="CA290" s="290">
        <v>-2.6510419354788155</v>
      </c>
      <c r="CB290" s="290">
        <v>245</v>
      </c>
      <c r="CC290" s="290">
        <v>724</v>
      </c>
      <c r="CD290" s="290">
        <v>9</v>
      </c>
      <c r="CE290" s="290">
        <v>205</v>
      </c>
      <c r="CF290" s="290">
        <v>10</v>
      </c>
      <c r="CG290" s="290">
        <v>1</v>
      </c>
      <c r="CH290" s="290">
        <v>-6</v>
      </c>
      <c r="CI290" s="290">
        <v>-2482</v>
      </c>
      <c r="CJ290" s="290">
        <v>-6691</v>
      </c>
      <c r="CK290" s="290">
        <f>+innut22!E296+innut22!S296</f>
        <v>187418.64053531512</v>
      </c>
      <c r="CL290" s="290">
        <v>0</v>
      </c>
      <c r="CM290" s="290">
        <v>0</v>
      </c>
      <c r="CN290" s="290">
        <v>0</v>
      </c>
      <c r="CP290" s="290">
        <f>+innut23!E296</f>
        <v>174279.64337059195</v>
      </c>
      <c r="CQ290" s="290"/>
      <c r="CV290" s="85">
        <f t="shared" si="5"/>
        <v>1.0309999999999999</v>
      </c>
    </row>
    <row r="291" spans="1:100" ht="13">
      <c r="A291" s="1">
        <v>5026</v>
      </c>
      <c r="B291" s="2" t="s">
        <v>135</v>
      </c>
      <c r="C291" s="289">
        <v>1953</v>
      </c>
      <c r="D291" s="290">
        <v>37</v>
      </c>
      <c r="E291" s="290">
        <v>59</v>
      </c>
      <c r="F291" s="290">
        <v>211</v>
      </c>
      <c r="G291" s="290">
        <v>145</v>
      </c>
      <c r="H291" s="290">
        <v>1029</v>
      </c>
      <c r="I291" s="290">
        <v>351</v>
      </c>
      <c r="J291" s="290">
        <v>120</v>
      </c>
      <c r="K291" s="290">
        <v>15</v>
      </c>
      <c r="L291" s="290">
        <v>19</v>
      </c>
      <c r="M291" s="290">
        <v>197</v>
      </c>
      <c r="N291" s="290">
        <v>4</v>
      </c>
      <c r="O291" s="290">
        <v>6</v>
      </c>
      <c r="P291" s="624">
        <v>14332.73566667</v>
      </c>
      <c r="Q291" s="624">
        <v>4493.0103333300003</v>
      </c>
      <c r="R291" s="624">
        <v>10</v>
      </c>
      <c r="S291" s="290">
        <v>17</v>
      </c>
      <c r="T291" s="290">
        <v>140</v>
      </c>
      <c r="U291" s="958">
        <v>2.1777097357822814E-3</v>
      </c>
      <c r="V291" s="290">
        <v>1213.2682606799999</v>
      </c>
      <c r="W291" s="765">
        <v>1</v>
      </c>
      <c r="X291" s="290">
        <v>0</v>
      </c>
      <c r="Y291" s="290"/>
      <c r="Z291" s="290">
        <f>innut22!E297</f>
        <v>54091.33728959065</v>
      </c>
      <c r="AA291" s="290">
        <v>0</v>
      </c>
      <c r="AB291" s="290">
        <v>51</v>
      </c>
      <c r="AC291" s="290">
        <v>0</v>
      </c>
      <c r="AD291" s="290"/>
      <c r="AE291" s="290">
        <v>0</v>
      </c>
      <c r="AF291" s="290">
        <v>0</v>
      </c>
      <c r="AG291" s="290">
        <v>1967</v>
      </c>
      <c r="AH291" s="290">
        <v>295</v>
      </c>
      <c r="AI291" s="290">
        <v>0</v>
      </c>
      <c r="AJ291" s="290">
        <v>0</v>
      </c>
      <c r="AK291" s="290">
        <v>0</v>
      </c>
      <c r="AL291" s="290">
        <v>0</v>
      </c>
      <c r="AM291" s="957">
        <v>8.9459799999999992E-3</v>
      </c>
      <c r="AN291" s="290">
        <v>0</v>
      </c>
      <c r="AO291" s="290">
        <v>452.95290482000001</v>
      </c>
      <c r="AP291" s="290">
        <v>0</v>
      </c>
      <c r="AQ291" s="290">
        <v>0</v>
      </c>
      <c r="AR291" s="290">
        <v>-94.889343229999994</v>
      </c>
      <c r="AS291" s="290">
        <v>431</v>
      </c>
      <c r="AT291" s="290">
        <v>61</v>
      </c>
      <c r="AU291" s="290">
        <v>8</v>
      </c>
      <c r="AV291" s="766">
        <v>80441</v>
      </c>
      <c r="AW291" s="290"/>
      <c r="AX291" s="766">
        <v>17.791650000000001</v>
      </c>
      <c r="AY291" s="290">
        <v>349</v>
      </c>
      <c r="AZ291" s="290">
        <v>71</v>
      </c>
      <c r="BA291" s="290">
        <v>26</v>
      </c>
      <c r="BB291" s="290">
        <v>6034</v>
      </c>
      <c r="BC291" s="290">
        <v>3566</v>
      </c>
      <c r="BD291" s="290"/>
      <c r="BE291" s="290">
        <v>80260.755837880002</v>
      </c>
      <c r="BF291" s="290">
        <v>0</v>
      </c>
      <c r="BG291" s="290">
        <v>1763.9122108208439</v>
      </c>
      <c r="BH291" s="290">
        <v>95.035270134020976</v>
      </c>
      <c r="BI291" s="290">
        <v>295</v>
      </c>
      <c r="BJ291" s="290"/>
      <c r="BK291" s="290"/>
      <c r="BL291" s="290"/>
      <c r="BM291" s="290">
        <v>0</v>
      </c>
      <c r="BN291" s="290">
        <v>861.85961999999995</v>
      </c>
      <c r="BO291" s="290">
        <v>-916.5308020900344</v>
      </c>
      <c r="BP291" s="290">
        <v>85.831999999999994</v>
      </c>
      <c r="BQ291" s="290">
        <v>-46.030999999999999</v>
      </c>
      <c r="BR291" s="290">
        <v>-37.678817909965545</v>
      </c>
      <c r="BS291" s="290">
        <v>0.54900000000000004</v>
      </c>
      <c r="BT291" s="290"/>
      <c r="BU291" s="290">
        <v>0</v>
      </c>
      <c r="BV291" s="290">
        <v>1000</v>
      </c>
      <c r="BW291" s="290">
        <v>-452</v>
      </c>
      <c r="BX291" s="290">
        <v>239</v>
      </c>
      <c r="BY291" s="290">
        <v>44</v>
      </c>
      <c r="BZ291" s="290">
        <v>-343</v>
      </c>
      <c r="CA291" s="290">
        <v>0</v>
      </c>
      <c r="CB291" s="290">
        <v>70</v>
      </c>
      <c r="CC291" s="290">
        <v>256</v>
      </c>
      <c r="CD291" s="290">
        <v>3</v>
      </c>
      <c r="CE291" s="290">
        <v>72</v>
      </c>
      <c r="CF291" s="290">
        <v>4</v>
      </c>
      <c r="CG291" s="290">
        <v>0</v>
      </c>
      <c r="CH291" s="290">
        <v>-3</v>
      </c>
      <c r="CI291" s="290">
        <v>-870</v>
      </c>
      <c r="CJ291" s="290">
        <v>-2343</v>
      </c>
      <c r="CK291" s="290">
        <f>+innut22!E297+innut22!S297</f>
        <v>54091.33728959065</v>
      </c>
      <c r="CL291" s="290">
        <v>0</v>
      </c>
      <c r="CM291" s="290">
        <v>0</v>
      </c>
      <c r="CN291" s="290">
        <v>0</v>
      </c>
      <c r="CP291" s="290">
        <f>+innut23!E297</f>
        <v>50433.215210665803</v>
      </c>
      <c r="CQ291" s="290"/>
      <c r="CV291" s="85">
        <f t="shared" si="5"/>
        <v>0.36399999999999999</v>
      </c>
    </row>
    <row r="292" spans="1:100" ht="13">
      <c r="A292" s="1">
        <v>5027</v>
      </c>
      <c r="B292" s="2" t="s">
        <v>136</v>
      </c>
      <c r="C292" s="289">
        <v>6120</v>
      </c>
      <c r="D292" s="290">
        <v>138</v>
      </c>
      <c r="E292" s="290">
        <v>287</v>
      </c>
      <c r="F292" s="290">
        <v>709</v>
      </c>
      <c r="G292" s="290">
        <v>486</v>
      </c>
      <c r="H292" s="290">
        <v>3426</v>
      </c>
      <c r="I292" s="290">
        <v>820</v>
      </c>
      <c r="J292" s="290">
        <v>276</v>
      </c>
      <c r="K292" s="290">
        <v>79</v>
      </c>
      <c r="L292" s="290">
        <v>46</v>
      </c>
      <c r="M292" s="290">
        <v>507</v>
      </c>
      <c r="N292" s="290">
        <v>63</v>
      </c>
      <c r="O292" s="290">
        <v>54</v>
      </c>
      <c r="P292" s="624">
        <v>104162.44133333</v>
      </c>
      <c r="Q292" s="624">
        <v>19936.204666670001</v>
      </c>
      <c r="R292" s="624">
        <v>30</v>
      </c>
      <c r="S292" s="290">
        <v>57</v>
      </c>
      <c r="T292" s="290">
        <v>441</v>
      </c>
      <c r="U292" s="958">
        <v>6.2732542222477339E-3</v>
      </c>
      <c r="V292" s="290">
        <v>3561.7131089600002</v>
      </c>
      <c r="W292" s="765">
        <v>0.78471924999999998</v>
      </c>
      <c r="X292" s="290">
        <v>0</v>
      </c>
      <c r="Y292" s="290"/>
      <c r="Z292" s="290">
        <f>innut22!E298</f>
        <v>172926.41608938519</v>
      </c>
      <c r="AA292" s="290">
        <v>0</v>
      </c>
      <c r="AB292" s="290">
        <v>128</v>
      </c>
      <c r="AC292" s="290">
        <v>903</v>
      </c>
      <c r="AD292" s="290"/>
      <c r="AE292" s="290">
        <v>0</v>
      </c>
      <c r="AF292" s="290">
        <v>0</v>
      </c>
      <c r="AG292" s="290">
        <v>6221</v>
      </c>
      <c r="AH292" s="290">
        <v>1067</v>
      </c>
      <c r="AI292" s="290">
        <v>0</v>
      </c>
      <c r="AJ292" s="290">
        <v>0</v>
      </c>
      <c r="AK292" s="290">
        <v>0</v>
      </c>
      <c r="AL292" s="290">
        <v>0</v>
      </c>
      <c r="AM292" s="957">
        <v>6.5749139999999998E-2</v>
      </c>
      <c r="AN292" s="290">
        <v>0</v>
      </c>
      <c r="AO292" s="290">
        <v>1329.7045271100001</v>
      </c>
      <c r="AP292" s="290">
        <v>0</v>
      </c>
      <c r="AQ292" s="290">
        <v>0</v>
      </c>
      <c r="AR292" s="290">
        <v>-300.10503519999997</v>
      </c>
      <c r="AS292" s="290">
        <v>1933</v>
      </c>
      <c r="AT292" s="290">
        <v>271</v>
      </c>
      <c r="AU292" s="290">
        <v>48</v>
      </c>
      <c r="AV292" s="766">
        <v>201314</v>
      </c>
      <c r="AW292" s="290"/>
      <c r="AX292" s="766">
        <v>36.333350000000003</v>
      </c>
      <c r="AY292" s="290">
        <v>929</v>
      </c>
      <c r="AZ292" s="290">
        <v>197</v>
      </c>
      <c r="BA292" s="290">
        <v>104</v>
      </c>
      <c r="BB292" s="290">
        <v>0</v>
      </c>
      <c r="BC292" s="290">
        <v>10910</v>
      </c>
      <c r="BD292" s="290"/>
      <c r="BE292" s="290">
        <v>204295.87391257999</v>
      </c>
      <c r="BF292" s="290">
        <v>0</v>
      </c>
      <c r="BG292" s="290">
        <v>5527.4668357519531</v>
      </c>
      <c r="BH292" s="290">
        <v>297.80637645683993</v>
      </c>
      <c r="BI292" s="290">
        <v>1970</v>
      </c>
      <c r="BJ292" s="290"/>
      <c r="BK292" s="290"/>
      <c r="BL292" s="290"/>
      <c r="BM292" s="290">
        <v>0</v>
      </c>
      <c r="BN292" s="290">
        <v>2530.1054800000002</v>
      </c>
      <c r="BO292" s="290">
        <v>-2898.6975698027982</v>
      </c>
      <c r="BP292" s="290">
        <v>356.68299999999999</v>
      </c>
      <c r="BQ292" s="290">
        <v>-191.28700000000001</v>
      </c>
      <c r="BR292" s="290">
        <v>-121.65575778030515</v>
      </c>
      <c r="BS292" s="290">
        <v>1.3819999999999999</v>
      </c>
      <c r="BT292" s="290"/>
      <c r="BU292" s="290">
        <v>0</v>
      </c>
      <c r="BV292" s="290">
        <v>2500</v>
      </c>
      <c r="BW292" s="290">
        <v>-1429</v>
      </c>
      <c r="BX292" s="290">
        <v>777</v>
      </c>
      <c r="BY292" s="290">
        <v>150</v>
      </c>
      <c r="BZ292" s="290">
        <v>-1086</v>
      </c>
      <c r="CA292" s="290">
        <v>-3.5301524168968399</v>
      </c>
      <c r="CB292" s="290">
        <v>240</v>
      </c>
      <c r="CC292" s="290">
        <v>809</v>
      </c>
      <c r="CD292" s="290">
        <v>9</v>
      </c>
      <c r="CE292" s="290">
        <v>226</v>
      </c>
      <c r="CF292" s="290">
        <v>11</v>
      </c>
      <c r="CG292" s="290">
        <v>1</v>
      </c>
      <c r="CH292" s="290">
        <v>-7</v>
      </c>
      <c r="CI292" s="290">
        <v>-2726</v>
      </c>
      <c r="CJ292" s="290">
        <v>-7455</v>
      </c>
      <c r="CK292" s="290">
        <f>+innut22!E298+innut22!S298</f>
        <v>172926.41608938519</v>
      </c>
      <c r="CL292" s="290">
        <v>0</v>
      </c>
      <c r="CM292" s="290">
        <v>0</v>
      </c>
      <c r="CN292" s="290">
        <v>0</v>
      </c>
      <c r="CP292" s="290">
        <f>+innut23!E298</f>
        <v>162143.83024456326</v>
      </c>
      <c r="CQ292" s="290"/>
      <c r="CV292" s="85">
        <f t="shared" si="5"/>
        <v>1.1519999999999999</v>
      </c>
    </row>
    <row r="293" spans="1:100" ht="13">
      <c r="A293" s="1">
        <v>5028</v>
      </c>
      <c r="B293" s="2" t="s">
        <v>137</v>
      </c>
      <c r="C293" s="289">
        <v>17123</v>
      </c>
      <c r="D293" s="290">
        <v>386</v>
      </c>
      <c r="E293" s="290">
        <v>784</v>
      </c>
      <c r="F293" s="290">
        <v>2216</v>
      </c>
      <c r="G293" s="290">
        <v>1528</v>
      </c>
      <c r="H293" s="290">
        <v>9412</v>
      </c>
      <c r="I293" s="290">
        <v>1934</v>
      </c>
      <c r="J293" s="290">
        <v>634</v>
      </c>
      <c r="K293" s="290">
        <v>137</v>
      </c>
      <c r="L293" s="290">
        <v>118</v>
      </c>
      <c r="M293" s="290">
        <v>1083</v>
      </c>
      <c r="N293" s="290">
        <v>240</v>
      </c>
      <c r="O293" s="290">
        <v>132</v>
      </c>
      <c r="P293" s="624">
        <v>88001.919666670001</v>
      </c>
      <c r="Q293" s="624">
        <v>33882.93</v>
      </c>
      <c r="R293" s="624">
        <v>81</v>
      </c>
      <c r="S293" s="290">
        <v>170</v>
      </c>
      <c r="T293" s="290">
        <v>1143</v>
      </c>
      <c r="U293" s="958">
        <v>5.6245711378072301E-3</v>
      </c>
      <c r="V293" s="290">
        <v>1165.9569444700001</v>
      </c>
      <c r="W293" s="765">
        <v>0.61331179999999996</v>
      </c>
      <c r="X293" s="290">
        <v>4110</v>
      </c>
      <c r="Y293" s="290"/>
      <c r="Z293" s="290">
        <f>innut22!E299</f>
        <v>534819.55133295327</v>
      </c>
      <c r="AA293" s="290">
        <v>0</v>
      </c>
      <c r="AB293" s="290">
        <v>461</v>
      </c>
      <c r="AC293" s="290">
        <v>3329</v>
      </c>
      <c r="AD293" s="290"/>
      <c r="AE293" s="290">
        <v>0</v>
      </c>
      <c r="AF293" s="290">
        <v>0</v>
      </c>
      <c r="AG293" s="290">
        <v>17031</v>
      </c>
      <c r="AH293" s="290">
        <v>3310</v>
      </c>
      <c r="AI293" s="290">
        <v>4720</v>
      </c>
      <c r="AJ293" s="290">
        <v>0</v>
      </c>
      <c r="AK293" s="290">
        <v>0</v>
      </c>
      <c r="AL293" s="290">
        <v>0</v>
      </c>
      <c r="AM293" s="957">
        <v>0.22833186999999999</v>
      </c>
      <c r="AN293" s="290">
        <v>0</v>
      </c>
      <c r="AO293" s="290">
        <v>3380.4382701899999</v>
      </c>
      <c r="AP293" s="290">
        <v>0</v>
      </c>
      <c r="AQ293" s="290">
        <v>0</v>
      </c>
      <c r="AR293" s="290">
        <v>-821.58637750000003</v>
      </c>
      <c r="AS293" s="290">
        <v>4474</v>
      </c>
      <c r="AT293" s="290">
        <v>784</v>
      </c>
      <c r="AU293" s="290">
        <v>144</v>
      </c>
      <c r="AV293" s="766">
        <v>460359</v>
      </c>
      <c r="AW293" s="290"/>
      <c r="AX293" s="766">
        <v>155.70830000000001</v>
      </c>
      <c r="AY293" s="290">
        <v>3261</v>
      </c>
      <c r="AZ293" s="290">
        <v>581</v>
      </c>
      <c r="BA293" s="290">
        <v>327</v>
      </c>
      <c r="BB293" s="290">
        <v>0</v>
      </c>
      <c r="BC293" s="290">
        <v>28169</v>
      </c>
      <c r="BD293" s="290"/>
      <c r="BE293" s="290">
        <v>477179.33244974999</v>
      </c>
      <c r="BF293" s="290">
        <v>0</v>
      </c>
      <c r="BG293" s="290">
        <v>15465.165788983773</v>
      </c>
      <c r="BH293" s="290">
        <v>833.22525883504409</v>
      </c>
      <c r="BI293" s="290">
        <v>6639</v>
      </c>
      <c r="BJ293" s="290"/>
      <c r="BK293" s="290"/>
      <c r="BL293" s="290"/>
      <c r="BM293" s="290">
        <v>0</v>
      </c>
      <c r="BN293" s="290">
        <v>6432.1548400000001</v>
      </c>
      <c r="BO293" s="290">
        <v>-7935.6563753916498</v>
      </c>
      <c r="BP293" s="290">
        <v>1039.3710000000001</v>
      </c>
      <c r="BQ293" s="290">
        <v>-557.40700000000004</v>
      </c>
      <c r="BR293" s="290">
        <v>-343.5682624210682</v>
      </c>
      <c r="BS293" s="290">
        <v>3.125</v>
      </c>
      <c r="BT293" s="290"/>
      <c r="BU293" s="290">
        <v>0</v>
      </c>
      <c r="BV293" s="290">
        <v>5500</v>
      </c>
      <c r="BW293" s="290">
        <v>-3911</v>
      </c>
      <c r="BX293" s="290">
        <v>2201</v>
      </c>
      <c r="BY293" s="290">
        <v>444</v>
      </c>
      <c r="BZ293" s="290">
        <v>-2973</v>
      </c>
      <c r="CA293" s="290">
        <v>-13.01920218728219</v>
      </c>
      <c r="CB293" s="290">
        <v>712</v>
      </c>
      <c r="CC293" s="290">
        <v>2215</v>
      </c>
      <c r="CD293" s="290">
        <v>26</v>
      </c>
      <c r="CE293" s="290">
        <v>631</v>
      </c>
      <c r="CF293" s="290">
        <v>26</v>
      </c>
      <c r="CG293" s="290">
        <v>4</v>
      </c>
      <c r="CH293" s="290">
        <v>-17</v>
      </c>
      <c r="CI293" s="290">
        <v>-7626</v>
      </c>
      <c r="CJ293" s="290">
        <v>-20250</v>
      </c>
      <c r="CK293" s="290">
        <f>+innut22!E299+innut22!S299</f>
        <v>534819.55133295327</v>
      </c>
      <c r="CL293" s="290">
        <v>0</v>
      </c>
      <c r="CM293" s="290">
        <v>0</v>
      </c>
      <c r="CN293" s="290">
        <v>0</v>
      </c>
      <c r="CP293" s="290">
        <f>+innut23!E299</f>
        <v>501384.32375427597</v>
      </c>
      <c r="CQ293" s="290"/>
      <c r="CV293" s="85">
        <f t="shared" si="5"/>
        <v>3.153</v>
      </c>
    </row>
    <row r="294" spans="1:100" ht="13">
      <c r="A294" s="1">
        <v>5029</v>
      </c>
      <c r="B294" s="2" t="s">
        <v>138</v>
      </c>
      <c r="C294" s="289">
        <v>8360</v>
      </c>
      <c r="D294" s="290">
        <v>181</v>
      </c>
      <c r="E294" s="290">
        <v>462</v>
      </c>
      <c r="F294" s="290">
        <v>1313</v>
      </c>
      <c r="G294" s="290">
        <v>633</v>
      </c>
      <c r="H294" s="290">
        <v>4618</v>
      </c>
      <c r="I294" s="290">
        <v>830</v>
      </c>
      <c r="J294" s="290">
        <v>234</v>
      </c>
      <c r="K294" s="290">
        <v>66</v>
      </c>
      <c r="L294" s="290">
        <v>63</v>
      </c>
      <c r="M294" s="290">
        <v>443</v>
      </c>
      <c r="N294" s="290">
        <v>69</v>
      </c>
      <c r="O294" s="290">
        <v>61</v>
      </c>
      <c r="P294" s="624">
        <v>32600.080666670001</v>
      </c>
      <c r="Q294" s="624">
        <v>17502.461666669999</v>
      </c>
      <c r="R294" s="624">
        <v>23</v>
      </c>
      <c r="S294" s="290">
        <v>75</v>
      </c>
      <c r="T294" s="290">
        <v>516</v>
      </c>
      <c r="U294" s="958">
        <v>2.8833360542400445E-3</v>
      </c>
      <c r="V294" s="290">
        <v>3873.3412097</v>
      </c>
      <c r="W294" s="765">
        <v>0.62311762999999998</v>
      </c>
      <c r="X294" s="290">
        <v>0</v>
      </c>
      <c r="Y294" s="290"/>
      <c r="Z294" s="290">
        <f>innut22!E300</f>
        <v>252372.80051190857</v>
      </c>
      <c r="AA294" s="290">
        <v>0</v>
      </c>
      <c r="AB294" s="290">
        <v>200</v>
      </c>
      <c r="AC294" s="290">
        <v>85</v>
      </c>
      <c r="AD294" s="290"/>
      <c r="AE294" s="290">
        <v>0</v>
      </c>
      <c r="AF294" s="290">
        <v>0</v>
      </c>
      <c r="AG294" s="290">
        <v>8337</v>
      </c>
      <c r="AH294" s="290">
        <v>1808</v>
      </c>
      <c r="AI294" s="290">
        <v>150</v>
      </c>
      <c r="AJ294" s="290">
        <v>0</v>
      </c>
      <c r="AK294" s="290">
        <v>0</v>
      </c>
      <c r="AL294" s="290">
        <v>0</v>
      </c>
      <c r="AM294" s="957">
        <v>0.10108913999999999</v>
      </c>
      <c r="AN294" s="290">
        <v>0</v>
      </c>
      <c r="AO294" s="290">
        <v>1717.30918911</v>
      </c>
      <c r="AP294" s="290">
        <v>0</v>
      </c>
      <c r="AQ294" s="290">
        <v>0</v>
      </c>
      <c r="AR294" s="290">
        <v>-402.18223411999998</v>
      </c>
      <c r="AS294" s="290">
        <v>2271</v>
      </c>
      <c r="AT294" s="290">
        <v>396</v>
      </c>
      <c r="AU294" s="290">
        <v>69</v>
      </c>
      <c r="AV294" s="766">
        <v>244207</v>
      </c>
      <c r="AW294" s="290"/>
      <c r="AX294" s="766">
        <v>75.083299999999994</v>
      </c>
      <c r="AY294" s="290">
        <v>1833</v>
      </c>
      <c r="AZ294" s="290">
        <v>259</v>
      </c>
      <c r="BA294" s="290">
        <v>186</v>
      </c>
      <c r="BB294" s="290">
        <v>0</v>
      </c>
      <c r="BC294" s="290">
        <v>14925</v>
      </c>
      <c r="BD294" s="290"/>
      <c r="BE294" s="290">
        <v>252502.30276953999</v>
      </c>
      <c r="BF294" s="290">
        <v>0</v>
      </c>
      <c r="BG294" s="290">
        <v>7550.5919521056094</v>
      </c>
      <c r="BH294" s="290">
        <v>406.80740313385326</v>
      </c>
      <c r="BI294" s="290">
        <v>1893</v>
      </c>
      <c r="BJ294" s="290"/>
      <c r="BK294" s="290"/>
      <c r="BL294" s="290"/>
      <c r="BM294" s="290">
        <v>0</v>
      </c>
      <c r="BN294" s="290">
        <v>3267.6232199999999</v>
      </c>
      <c r="BO294" s="290">
        <v>-3884.6554636627434</v>
      </c>
      <c r="BP294" s="290">
        <v>596.28800000000001</v>
      </c>
      <c r="BQ294" s="290">
        <v>-319.78500000000003</v>
      </c>
      <c r="BR294" s="290">
        <v>-200.67803339696925</v>
      </c>
      <c r="BS294" s="290">
        <v>1.5389999999999999</v>
      </c>
      <c r="BT294" s="290"/>
      <c r="BU294" s="290">
        <v>0</v>
      </c>
      <c r="BV294" s="290">
        <v>3000</v>
      </c>
      <c r="BW294" s="290">
        <v>-1915</v>
      </c>
      <c r="BX294" s="290">
        <v>1292</v>
      </c>
      <c r="BY294" s="290">
        <v>196</v>
      </c>
      <c r="BZ294" s="290">
        <v>-1455</v>
      </c>
      <c r="CA294" s="290">
        <v>-0.33172294028720728</v>
      </c>
      <c r="CB294" s="290">
        <v>314</v>
      </c>
      <c r="CC294" s="290">
        <v>1084</v>
      </c>
      <c r="CD294" s="290">
        <v>12</v>
      </c>
      <c r="CE294" s="290">
        <v>308</v>
      </c>
      <c r="CF294" s="290">
        <v>13</v>
      </c>
      <c r="CG294" s="290">
        <v>2</v>
      </c>
      <c r="CH294" s="290">
        <v>-8</v>
      </c>
      <c r="CI294" s="290">
        <v>-3723</v>
      </c>
      <c r="CJ294" s="290">
        <v>-9942</v>
      </c>
      <c r="CK294" s="290">
        <f>+innut22!E300+innut22!S300</f>
        <v>252372.80051190857</v>
      </c>
      <c r="CL294" s="290">
        <v>0</v>
      </c>
      <c r="CM294" s="290">
        <v>0</v>
      </c>
      <c r="CN294" s="290">
        <v>0</v>
      </c>
      <c r="CP294" s="290">
        <f>+innut23!E300</f>
        <v>238704.63099970305</v>
      </c>
      <c r="CQ294" s="290"/>
      <c r="CV294" s="85">
        <f t="shared" si="5"/>
        <v>1.5429999999999999</v>
      </c>
    </row>
    <row r="295" spans="1:100" ht="13">
      <c r="A295" s="1">
        <v>5031</v>
      </c>
      <c r="B295" s="2" t="s">
        <v>141</v>
      </c>
      <c r="C295" s="289">
        <v>14425</v>
      </c>
      <c r="D295" s="290">
        <v>315</v>
      </c>
      <c r="E295" s="290">
        <v>740</v>
      </c>
      <c r="F295" s="290">
        <v>2013</v>
      </c>
      <c r="G295" s="290">
        <v>1267</v>
      </c>
      <c r="H295" s="290">
        <v>8158</v>
      </c>
      <c r="I295" s="290">
        <v>1339</v>
      </c>
      <c r="J295" s="290">
        <v>403</v>
      </c>
      <c r="K295" s="290">
        <v>86</v>
      </c>
      <c r="L295" s="290">
        <v>93</v>
      </c>
      <c r="M295" s="290">
        <v>656</v>
      </c>
      <c r="N295" s="290">
        <v>211</v>
      </c>
      <c r="O295" s="290">
        <v>105</v>
      </c>
      <c r="P295" s="624">
        <v>26632.644</v>
      </c>
      <c r="Q295" s="624">
        <v>19607.740000000002</v>
      </c>
      <c r="R295" s="624">
        <v>55</v>
      </c>
      <c r="S295" s="290">
        <v>141</v>
      </c>
      <c r="T295" s="290">
        <v>957</v>
      </c>
      <c r="U295" s="958">
        <v>1.3560404592589898E-3</v>
      </c>
      <c r="V295" s="290">
        <v>2370.5134466999998</v>
      </c>
      <c r="W295" s="765">
        <v>0.55918517999999995</v>
      </c>
      <c r="X295" s="290">
        <v>0</v>
      </c>
      <c r="Y295" s="290"/>
      <c r="Z295" s="290">
        <f>innut22!E301</f>
        <v>522130.92439672112</v>
      </c>
      <c r="AA295" s="290">
        <v>0</v>
      </c>
      <c r="AB295" s="290">
        <v>340</v>
      </c>
      <c r="AC295" s="290">
        <v>1158</v>
      </c>
      <c r="AD295" s="290"/>
      <c r="AE295" s="290">
        <v>0</v>
      </c>
      <c r="AF295" s="290">
        <v>0</v>
      </c>
      <c r="AG295" s="290">
        <v>14321</v>
      </c>
      <c r="AH295" s="290">
        <v>2951</v>
      </c>
      <c r="AI295" s="290">
        <v>4000</v>
      </c>
      <c r="AJ295" s="290">
        <v>0</v>
      </c>
      <c r="AK295" s="290">
        <v>0</v>
      </c>
      <c r="AL295" s="290">
        <v>0</v>
      </c>
      <c r="AM295" s="957">
        <v>0.17998391999999999</v>
      </c>
      <c r="AN295" s="290">
        <v>0</v>
      </c>
      <c r="AO295" s="290">
        <v>2745.08417676</v>
      </c>
      <c r="AP295" s="290">
        <v>0</v>
      </c>
      <c r="AQ295" s="290">
        <v>0</v>
      </c>
      <c r="AR295" s="290">
        <v>-690.85423710999999</v>
      </c>
      <c r="AS295" s="290">
        <v>4039</v>
      </c>
      <c r="AT295" s="290">
        <v>652</v>
      </c>
      <c r="AU295" s="290">
        <v>137</v>
      </c>
      <c r="AV295" s="766">
        <v>362088</v>
      </c>
      <c r="AW295" s="290"/>
      <c r="AX295" s="766">
        <v>120.5</v>
      </c>
      <c r="AY295" s="290">
        <v>4064</v>
      </c>
      <c r="AZ295" s="290">
        <v>414</v>
      </c>
      <c r="BA295" s="290">
        <v>254</v>
      </c>
      <c r="BB295" s="290">
        <v>0</v>
      </c>
      <c r="BC295" s="290">
        <v>24271</v>
      </c>
      <c r="BD295" s="290"/>
      <c r="BE295" s="290">
        <v>368124.89015984</v>
      </c>
      <c r="BF295" s="290">
        <v>0</v>
      </c>
      <c r="BG295" s="290">
        <v>13028.383840804236</v>
      </c>
      <c r="BH295" s="290">
        <v>701.93741509639142</v>
      </c>
      <c r="BI295" s="290">
        <v>4109</v>
      </c>
      <c r="BJ295" s="290"/>
      <c r="BK295" s="290"/>
      <c r="BL295" s="290"/>
      <c r="BM295" s="290">
        <v>0</v>
      </c>
      <c r="BN295" s="290">
        <v>5223.2299599999997</v>
      </c>
      <c r="BO295" s="290">
        <v>-6672.9220217241391</v>
      </c>
      <c r="BP295" s="290">
        <v>982.40499999999997</v>
      </c>
      <c r="BQ295" s="290">
        <v>-526.85599999999999</v>
      </c>
      <c r="BR295" s="290">
        <v>-304.78240472509009</v>
      </c>
      <c r="BS295" s="290">
        <v>2.4550000000000001</v>
      </c>
      <c r="BT295" s="290"/>
      <c r="BU295" s="290">
        <v>0</v>
      </c>
      <c r="BV295" s="290">
        <v>3500</v>
      </c>
      <c r="BW295" s="290">
        <v>-3289</v>
      </c>
      <c r="BX295" s="290">
        <v>1952</v>
      </c>
      <c r="BY295" s="290">
        <v>366</v>
      </c>
      <c r="BZ295" s="290">
        <v>-2500</v>
      </c>
      <c r="CA295" s="290">
        <v>-4.5295335507703385</v>
      </c>
      <c r="CB295" s="290">
        <v>588</v>
      </c>
      <c r="CC295" s="290">
        <v>1862</v>
      </c>
      <c r="CD295" s="290">
        <v>22</v>
      </c>
      <c r="CE295" s="290">
        <v>532</v>
      </c>
      <c r="CF295" s="290">
        <v>20</v>
      </c>
      <c r="CG295" s="290">
        <v>3</v>
      </c>
      <c r="CH295" s="290">
        <v>-13</v>
      </c>
      <c r="CI295" s="290">
        <v>-6425</v>
      </c>
      <c r="CJ295" s="290">
        <v>-17338</v>
      </c>
      <c r="CK295" s="290">
        <f>+innut22!E301+innut22!S301</f>
        <v>522130.92439672112</v>
      </c>
      <c r="CL295" s="290">
        <v>0</v>
      </c>
      <c r="CM295" s="290">
        <v>0</v>
      </c>
      <c r="CN295" s="290">
        <v>0</v>
      </c>
      <c r="CP295" s="290">
        <f>+innut23!E301</f>
        <v>487057.30481925519</v>
      </c>
      <c r="CQ295" s="290"/>
      <c r="CV295" s="85">
        <f t="shared" si="5"/>
        <v>2.6509999999999998</v>
      </c>
    </row>
    <row r="296" spans="1:100" ht="13">
      <c r="A296" s="1">
        <v>5032</v>
      </c>
      <c r="B296" s="2" t="s">
        <v>142</v>
      </c>
      <c r="C296" s="289">
        <v>4090</v>
      </c>
      <c r="D296" s="290">
        <v>74</v>
      </c>
      <c r="E296" s="290">
        <v>169</v>
      </c>
      <c r="F296" s="290">
        <v>443</v>
      </c>
      <c r="G296" s="290">
        <v>349</v>
      </c>
      <c r="H296" s="290">
        <v>2179</v>
      </c>
      <c r="I296" s="290">
        <v>564</v>
      </c>
      <c r="J296" s="290">
        <v>232</v>
      </c>
      <c r="K296" s="290">
        <v>60</v>
      </c>
      <c r="L296" s="290">
        <v>28</v>
      </c>
      <c r="M296" s="290">
        <v>379</v>
      </c>
      <c r="N296" s="290">
        <v>20</v>
      </c>
      <c r="O296" s="290">
        <v>15</v>
      </c>
      <c r="P296" s="624">
        <v>31222.741999999998</v>
      </c>
      <c r="Q296" s="624">
        <v>15655.098</v>
      </c>
      <c r="R296" s="624">
        <v>21</v>
      </c>
      <c r="S296" s="290">
        <v>39</v>
      </c>
      <c r="T296" s="290">
        <v>326</v>
      </c>
      <c r="U296" s="958">
        <v>3.2974138810109195E-3</v>
      </c>
      <c r="V296" s="290">
        <v>2369.9824848799999</v>
      </c>
      <c r="W296" s="765">
        <v>0.79407759</v>
      </c>
      <c r="X296" s="290">
        <v>0</v>
      </c>
      <c r="Y296" s="290"/>
      <c r="Z296" s="290">
        <f>innut22!E302</f>
        <v>123801.48672100369</v>
      </c>
      <c r="AA296" s="290">
        <v>0</v>
      </c>
      <c r="AB296" s="290">
        <v>105</v>
      </c>
      <c r="AC296" s="290">
        <v>140</v>
      </c>
      <c r="AD296" s="290"/>
      <c r="AE296" s="290">
        <v>0</v>
      </c>
      <c r="AF296" s="290">
        <v>0</v>
      </c>
      <c r="AG296" s="290">
        <v>4070</v>
      </c>
      <c r="AH296" s="290">
        <v>694</v>
      </c>
      <c r="AI296" s="290">
        <v>150</v>
      </c>
      <c r="AJ296" s="290">
        <v>0</v>
      </c>
      <c r="AK296" s="290">
        <v>0</v>
      </c>
      <c r="AL296" s="290">
        <v>0</v>
      </c>
      <c r="AM296" s="957">
        <v>3.4593119999999998E-2</v>
      </c>
      <c r="AN296" s="290">
        <v>1226</v>
      </c>
      <c r="AO296" s="290">
        <v>884.79232967999997</v>
      </c>
      <c r="AP296" s="290">
        <v>0</v>
      </c>
      <c r="AQ296" s="290">
        <v>0</v>
      </c>
      <c r="AR296" s="290">
        <v>431.40767276999998</v>
      </c>
      <c r="AS296" s="290">
        <v>682</v>
      </c>
      <c r="AT296" s="290">
        <v>158</v>
      </c>
      <c r="AU296" s="290">
        <v>29</v>
      </c>
      <c r="AV296" s="766">
        <v>38601</v>
      </c>
      <c r="AW296" s="290"/>
      <c r="AX296" s="766">
        <v>22</v>
      </c>
      <c r="AY296" s="290">
        <v>765</v>
      </c>
      <c r="AZ296" s="290">
        <v>125</v>
      </c>
      <c r="BA296" s="290">
        <v>63</v>
      </c>
      <c r="BB296" s="290">
        <v>0</v>
      </c>
      <c r="BC296" s="290">
        <v>-96639</v>
      </c>
      <c r="BD296" s="290"/>
      <c r="BE296" s="290">
        <v>138977.49622981</v>
      </c>
      <c r="BF296" s="290">
        <v>0</v>
      </c>
      <c r="BG296" s="290">
        <v>3694.0096990564521</v>
      </c>
      <c r="BH296" s="290">
        <v>199.02419603079659</v>
      </c>
      <c r="BI296" s="290">
        <v>834</v>
      </c>
      <c r="BJ296" s="290"/>
      <c r="BK296" s="290"/>
      <c r="BL296" s="290"/>
      <c r="BM296" s="290">
        <v>0</v>
      </c>
      <c r="BN296" s="290">
        <v>1683.5453799999998</v>
      </c>
      <c r="BO296" s="290">
        <v>-1896.4312986814641</v>
      </c>
      <c r="BP296" s="290">
        <v>215.78200000000001</v>
      </c>
      <c r="BQ296" s="290">
        <v>-115.72199999999999</v>
      </c>
      <c r="BR296" s="290">
        <v>-73.554053158397096</v>
      </c>
      <c r="BS296" s="290">
        <v>0.92700000000000005</v>
      </c>
      <c r="BT296" s="290"/>
      <c r="BU296" s="290">
        <v>0</v>
      </c>
      <c r="BV296" s="290">
        <v>1500</v>
      </c>
      <c r="BW296" s="290">
        <v>-935</v>
      </c>
      <c r="BX296" s="290">
        <v>473</v>
      </c>
      <c r="BY296" s="290">
        <v>101</v>
      </c>
      <c r="BZ296" s="290">
        <v>-710</v>
      </c>
      <c r="CA296" s="290">
        <v>-0.54702816013858069</v>
      </c>
      <c r="CB296" s="290">
        <v>162</v>
      </c>
      <c r="CC296" s="290">
        <v>529</v>
      </c>
      <c r="CD296" s="290">
        <v>6</v>
      </c>
      <c r="CE296" s="290">
        <v>151</v>
      </c>
      <c r="CF296" s="290">
        <v>8</v>
      </c>
      <c r="CG296" s="290">
        <v>1</v>
      </c>
      <c r="CH296" s="290">
        <v>-5</v>
      </c>
      <c r="CI296" s="290">
        <v>-1822</v>
      </c>
      <c r="CJ296" s="290">
        <v>-4825</v>
      </c>
      <c r="CK296" s="290">
        <f>+innut22!E302+innut22!S302</f>
        <v>123801.48672100369</v>
      </c>
      <c r="CL296" s="290">
        <v>0</v>
      </c>
      <c r="CM296" s="290">
        <v>0</v>
      </c>
      <c r="CN296" s="290">
        <v>0</v>
      </c>
      <c r="CP296" s="290">
        <f>+innut23!E302</f>
        <v>116899.69387548757</v>
      </c>
      <c r="CQ296" s="290"/>
      <c r="CV296" s="85">
        <f t="shared" si="5"/>
        <v>0.753</v>
      </c>
    </row>
    <row r="297" spans="1:100" ht="13">
      <c r="A297" s="1">
        <v>5033</v>
      </c>
      <c r="B297" s="2" t="s">
        <v>143</v>
      </c>
      <c r="C297" s="289">
        <v>750</v>
      </c>
      <c r="D297" s="290">
        <v>15</v>
      </c>
      <c r="E297" s="290">
        <v>26</v>
      </c>
      <c r="F297" s="290">
        <v>68</v>
      </c>
      <c r="G297" s="290">
        <v>53</v>
      </c>
      <c r="H297" s="290">
        <v>408</v>
      </c>
      <c r="I297" s="290">
        <v>121</v>
      </c>
      <c r="J297" s="290">
        <v>63</v>
      </c>
      <c r="K297" s="290">
        <v>14</v>
      </c>
      <c r="L297" s="290">
        <v>6</v>
      </c>
      <c r="M297" s="290">
        <v>86</v>
      </c>
      <c r="N297" s="290">
        <v>1.5</v>
      </c>
      <c r="O297" s="290">
        <v>1.5</v>
      </c>
      <c r="P297" s="624">
        <v>4873.4543333299998</v>
      </c>
      <c r="Q297" s="624">
        <v>4201.5389999999998</v>
      </c>
      <c r="R297" s="624">
        <v>1</v>
      </c>
      <c r="S297" s="290">
        <v>6</v>
      </c>
      <c r="T297" s="290">
        <v>67</v>
      </c>
      <c r="U297" s="958">
        <v>9.5782739023530107E-4</v>
      </c>
      <c r="V297" s="290">
        <v>576.05085568000004</v>
      </c>
      <c r="W297" s="765">
        <v>1</v>
      </c>
      <c r="X297" s="290">
        <v>410</v>
      </c>
      <c r="Y297" s="290"/>
      <c r="Z297" s="290">
        <f>innut22!E303</f>
        <v>37276.790118774137</v>
      </c>
      <c r="AA297" s="290">
        <v>0</v>
      </c>
      <c r="AB297" s="290">
        <v>10</v>
      </c>
      <c r="AC297" s="290">
        <v>0</v>
      </c>
      <c r="AD297" s="290"/>
      <c r="AE297" s="290">
        <v>0</v>
      </c>
      <c r="AF297" s="290">
        <v>0</v>
      </c>
      <c r="AG297" s="290">
        <v>768</v>
      </c>
      <c r="AH297" s="290">
        <v>110</v>
      </c>
      <c r="AI297" s="290">
        <v>0</v>
      </c>
      <c r="AJ297" s="290">
        <v>0</v>
      </c>
      <c r="AK297" s="290">
        <v>0</v>
      </c>
      <c r="AL297" s="290">
        <v>0</v>
      </c>
      <c r="AM297" s="957">
        <v>9.9985999999999998E-4</v>
      </c>
      <c r="AN297" s="290">
        <v>0</v>
      </c>
      <c r="AO297" s="290">
        <v>215.05871113000001</v>
      </c>
      <c r="AP297" s="290">
        <v>0</v>
      </c>
      <c r="AQ297" s="290">
        <v>0</v>
      </c>
      <c r="AR297" s="290">
        <v>-37.04881322</v>
      </c>
      <c r="AS297" s="290">
        <v>131</v>
      </c>
      <c r="AT297" s="290">
        <v>16</v>
      </c>
      <c r="AU297" s="290">
        <v>3</v>
      </c>
      <c r="AV297" s="766">
        <v>40529</v>
      </c>
      <c r="AW297" s="290"/>
      <c r="AX297" s="766">
        <v>7.5833000000000004</v>
      </c>
      <c r="AY297" s="290">
        <v>125</v>
      </c>
      <c r="AZ297" s="290">
        <v>12</v>
      </c>
      <c r="BA297" s="290">
        <v>7</v>
      </c>
      <c r="BB297" s="290">
        <v>0</v>
      </c>
      <c r="BC297" s="290">
        <v>1708</v>
      </c>
      <c r="BD297" s="290"/>
      <c r="BE297" s="290">
        <v>41087.422147880003</v>
      </c>
      <c r="BF297" s="290">
        <v>0</v>
      </c>
      <c r="BG297" s="290">
        <v>677.38564163626882</v>
      </c>
      <c r="BH297" s="290">
        <v>36.495879467749994</v>
      </c>
      <c r="BI297" s="290">
        <v>110</v>
      </c>
      <c r="BJ297" s="290"/>
      <c r="BK297" s="290"/>
      <c r="BL297" s="290"/>
      <c r="BM297" s="290">
        <v>0</v>
      </c>
      <c r="BN297" s="290">
        <v>409.20461999999998</v>
      </c>
      <c r="BO297" s="290">
        <v>-357.85239247846795</v>
      </c>
      <c r="BP297" s="290">
        <v>36.914999999999999</v>
      </c>
      <c r="BQ297" s="290">
        <v>-19.797000000000001</v>
      </c>
      <c r="BR297" s="290">
        <v>-16.791227521532022</v>
      </c>
      <c r="BS297" s="290">
        <v>0.32100000000000001</v>
      </c>
      <c r="BT297" s="290"/>
      <c r="BU297" s="290">
        <v>0</v>
      </c>
      <c r="BV297" s="290">
        <v>500</v>
      </c>
      <c r="BW297" s="290">
        <v>-176</v>
      </c>
      <c r="BX297" s="290">
        <v>99</v>
      </c>
      <c r="BY297" s="290">
        <v>16</v>
      </c>
      <c r="BZ297" s="290">
        <v>-134</v>
      </c>
      <c r="CA297" s="290">
        <v>0</v>
      </c>
      <c r="CB297" s="290">
        <v>26</v>
      </c>
      <c r="CC297" s="290">
        <v>100</v>
      </c>
      <c r="CD297" s="290">
        <v>1</v>
      </c>
      <c r="CE297" s="290">
        <v>28</v>
      </c>
      <c r="CF297" s="290">
        <v>3</v>
      </c>
      <c r="CG297" s="290">
        <v>0</v>
      </c>
      <c r="CH297" s="290">
        <v>-2</v>
      </c>
      <c r="CI297" s="290">
        <v>-334</v>
      </c>
      <c r="CJ297" s="290">
        <v>-656</v>
      </c>
      <c r="CK297" s="290">
        <f>+innut22!E303+innut22!S303</f>
        <v>37276.790118774137</v>
      </c>
      <c r="CL297" s="290">
        <v>0</v>
      </c>
      <c r="CM297" s="290">
        <v>0</v>
      </c>
      <c r="CN297" s="290">
        <v>0</v>
      </c>
      <c r="CP297" s="290">
        <f>+innut23!E303</f>
        <v>35715.678718177813</v>
      </c>
      <c r="CQ297" s="290"/>
      <c r="CV297" s="85">
        <f t="shared" si="5"/>
        <v>0.14199999999999999</v>
      </c>
    </row>
    <row r="298" spans="1:100" ht="13">
      <c r="A298" s="1">
        <v>5034</v>
      </c>
      <c r="B298" s="2" t="s">
        <v>146</v>
      </c>
      <c r="C298" s="289">
        <v>2399</v>
      </c>
      <c r="D298" s="290">
        <v>46</v>
      </c>
      <c r="E298" s="290">
        <v>90</v>
      </c>
      <c r="F298" s="290">
        <v>256</v>
      </c>
      <c r="G298" s="290">
        <v>180</v>
      </c>
      <c r="H298" s="290">
        <v>1299</v>
      </c>
      <c r="I298" s="290">
        <v>381</v>
      </c>
      <c r="J298" s="290">
        <v>118</v>
      </c>
      <c r="K298" s="290">
        <v>38</v>
      </c>
      <c r="L298" s="290">
        <v>21</v>
      </c>
      <c r="M298" s="290">
        <v>257</v>
      </c>
      <c r="N298" s="290">
        <v>64</v>
      </c>
      <c r="O298" s="290">
        <v>23</v>
      </c>
      <c r="P298" s="624">
        <v>8106.2716666699998</v>
      </c>
      <c r="Q298" s="624">
        <v>9979.9013333300009</v>
      </c>
      <c r="R298" s="624">
        <v>8</v>
      </c>
      <c r="S298" s="290">
        <v>30</v>
      </c>
      <c r="T298" s="290">
        <v>217</v>
      </c>
      <c r="U298" s="958">
        <v>1.4054891594462234E-3</v>
      </c>
      <c r="V298" s="290">
        <v>1362.2114862400001</v>
      </c>
      <c r="W298" s="765">
        <v>1</v>
      </c>
      <c r="X298" s="290">
        <v>0</v>
      </c>
      <c r="Y298" s="290"/>
      <c r="Z298" s="290">
        <f>innut22!E304</f>
        <v>67727.139623412353</v>
      </c>
      <c r="AA298" s="290">
        <v>0</v>
      </c>
      <c r="AB298" s="290">
        <v>71</v>
      </c>
      <c r="AC298" s="290">
        <v>395</v>
      </c>
      <c r="AD298" s="290"/>
      <c r="AE298" s="290">
        <v>0</v>
      </c>
      <c r="AF298" s="290">
        <v>0</v>
      </c>
      <c r="AG298" s="290">
        <v>2408</v>
      </c>
      <c r="AH298" s="290">
        <v>383</v>
      </c>
      <c r="AI298" s="290">
        <v>2000</v>
      </c>
      <c r="AJ298" s="290">
        <v>0</v>
      </c>
      <c r="AK298" s="290">
        <v>0</v>
      </c>
      <c r="AL298" s="290">
        <v>0</v>
      </c>
      <c r="AM298" s="957">
        <v>4.4755160000000002E-2</v>
      </c>
      <c r="AN298" s="290">
        <v>0</v>
      </c>
      <c r="AO298" s="290">
        <v>547.31025504000002</v>
      </c>
      <c r="AP298" s="290">
        <v>0</v>
      </c>
      <c r="AQ298" s="290">
        <v>0</v>
      </c>
      <c r="AR298" s="290">
        <v>-116.16346643999999</v>
      </c>
      <c r="AS298" s="290">
        <v>406</v>
      </c>
      <c r="AT298" s="290">
        <v>115</v>
      </c>
      <c r="AU298" s="290">
        <v>22</v>
      </c>
      <c r="AV298" s="766">
        <v>94725</v>
      </c>
      <c r="AW298" s="290"/>
      <c r="AX298" s="766">
        <v>18.791699999999999</v>
      </c>
      <c r="AY298" s="290">
        <v>416</v>
      </c>
      <c r="AZ298" s="290">
        <v>103</v>
      </c>
      <c r="BA298" s="290">
        <v>33</v>
      </c>
      <c r="BB298" s="290">
        <v>6034</v>
      </c>
      <c r="BC298" s="290">
        <v>4270</v>
      </c>
      <c r="BD298" s="290"/>
      <c r="BE298" s="290">
        <v>95012.028815850004</v>
      </c>
      <c r="BF298" s="290">
        <v>0</v>
      </c>
      <c r="BG298" s="290">
        <v>2166.7308723805454</v>
      </c>
      <c r="BH298" s="290">
        <v>116.73815312417631</v>
      </c>
      <c r="BI298" s="290">
        <v>778</v>
      </c>
      <c r="BJ298" s="290"/>
      <c r="BK298" s="290"/>
      <c r="BL298" s="290"/>
      <c r="BM298" s="290">
        <v>0</v>
      </c>
      <c r="BN298" s="290">
        <v>1041.39878</v>
      </c>
      <c r="BO298" s="290">
        <v>-1122.0163555835297</v>
      </c>
      <c r="BP298" s="290">
        <v>121.09</v>
      </c>
      <c r="BQ298" s="290">
        <v>-64.94</v>
      </c>
      <c r="BR298" s="290">
        <v>-46.610094571697807</v>
      </c>
      <c r="BS298" s="290">
        <v>0.624</v>
      </c>
      <c r="BT298" s="290"/>
      <c r="BU298" s="290">
        <v>0</v>
      </c>
      <c r="BV298" s="290">
        <v>500</v>
      </c>
      <c r="BW298" s="290">
        <v>-553</v>
      </c>
      <c r="BX298" s="290">
        <v>289</v>
      </c>
      <c r="BY298" s="290">
        <v>77</v>
      </c>
      <c r="BZ298" s="290">
        <v>-420</v>
      </c>
      <c r="CA298" s="290">
        <v>-1.5463298447724583</v>
      </c>
      <c r="CB298" s="290">
        <v>124</v>
      </c>
      <c r="CC298" s="290">
        <v>313</v>
      </c>
      <c r="CD298" s="290">
        <v>5</v>
      </c>
      <c r="CE298" s="290">
        <v>88</v>
      </c>
      <c r="CF298" s="290">
        <v>5</v>
      </c>
      <c r="CG298" s="290">
        <v>0</v>
      </c>
      <c r="CH298" s="290">
        <v>-3</v>
      </c>
      <c r="CI298" s="290">
        <v>-1068</v>
      </c>
      <c r="CJ298" s="290">
        <v>-2875</v>
      </c>
      <c r="CK298" s="290">
        <f>+innut22!E304+innut22!S304</f>
        <v>67727.139623412353</v>
      </c>
      <c r="CL298" s="290">
        <v>0</v>
      </c>
      <c r="CM298" s="290">
        <v>0</v>
      </c>
      <c r="CN298" s="290">
        <v>0</v>
      </c>
      <c r="CP298" s="290">
        <f>+innut23!E304</f>
        <v>64424.394751840075</v>
      </c>
      <c r="CQ298" s="290"/>
      <c r="CV298" s="85">
        <f t="shared" si="5"/>
        <v>0.44600000000000001</v>
      </c>
    </row>
    <row r="299" spans="1:100" ht="13">
      <c r="A299" s="1">
        <v>5035</v>
      </c>
      <c r="B299" s="2" t="s">
        <v>147</v>
      </c>
      <c r="C299" s="289">
        <v>24287</v>
      </c>
      <c r="D299" s="290">
        <v>477</v>
      </c>
      <c r="E299" s="290">
        <v>1037</v>
      </c>
      <c r="F299" s="290">
        <v>3185</v>
      </c>
      <c r="G299" s="290">
        <v>2196</v>
      </c>
      <c r="H299" s="290">
        <v>13257</v>
      </c>
      <c r="I299" s="290">
        <v>3033</v>
      </c>
      <c r="J299" s="290">
        <v>913</v>
      </c>
      <c r="K299" s="290">
        <v>179</v>
      </c>
      <c r="L299" s="290">
        <v>178</v>
      </c>
      <c r="M299" s="290">
        <v>1672</v>
      </c>
      <c r="N299" s="290">
        <v>614</v>
      </c>
      <c r="O299" s="290">
        <v>209</v>
      </c>
      <c r="P299" s="624">
        <v>69396.684333330006</v>
      </c>
      <c r="Q299" s="624">
        <v>46826.61</v>
      </c>
      <c r="R299" s="624">
        <v>94</v>
      </c>
      <c r="S299" s="290">
        <v>268</v>
      </c>
      <c r="T299" s="290">
        <v>1799</v>
      </c>
      <c r="U299" s="958">
        <v>6.9976661853546219E-3</v>
      </c>
      <c r="V299" s="290">
        <v>-11570.113848249999</v>
      </c>
      <c r="W299" s="765">
        <v>0.58189035</v>
      </c>
      <c r="X299" s="290">
        <v>700</v>
      </c>
      <c r="Y299" s="290"/>
      <c r="Z299" s="290">
        <f>innut22!E305</f>
        <v>757170.9415781023</v>
      </c>
      <c r="AA299" s="290">
        <v>0</v>
      </c>
      <c r="AB299" s="290">
        <v>625</v>
      </c>
      <c r="AC299" s="290">
        <v>4916</v>
      </c>
      <c r="AD299" s="290"/>
      <c r="AE299" s="290">
        <v>0</v>
      </c>
      <c r="AF299" s="290">
        <v>0</v>
      </c>
      <c r="AG299" s="290">
        <v>24277</v>
      </c>
      <c r="AH299" s="290">
        <v>4602</v>
      </c>
      <c r="AI299" s="290">
        <v>1835</v>
      </c>
      <c r="AJ299" s="290">
        <v>0</v>
      </c>
      <c r="AK299" s="290">
        <v>0</v>
      </c>
      <c r="AL299" s="290">
        <v>0</v>
      </c>
      <c r="AM299" s="957">
        <v>0.35812021999999999</v>
      </c>
      <c r="AN299" s="290">
        <v>0</v>
      </c>
      <c r="AO299" s="290">
        <v>4748.4527583600002</v>
      </c>
      <c r="AP299" s="290">
        <v>0</v>
      </c>
      <c r="AQ299" s="290">
        <v>0</v>
      </c>
      <c r="AR299" s="290">
        <v>-1171.1380709699999</v>
      </c>
      <c r="AS299" s="290">
        <v>4131</v>
      </c>
      <c r="AT299" s="290">
        <v>1178</v>
      </c>
      <c r="AU299" s="290">
        <v>207</v>
      </c>
      <c r="AV299" s="766">
        <v>277937</v>
      </c>
      <c r="AW299" s="290"/>
      <c r="AX299" s="766">
        <v>205.58335</v>
      </c>
      <c r="AY299" s="290">
        <v>5535</v>
      </c>
      <c r="AZ299" s="290">
        <v>866</v>
      </c>
      <c r="BA299" s="290">
        <v>508</v>
      </c>
      <c r="BB299" s="290">
        <v>0</v>
      </c>
      <c r="BC299" s="290">
        <v>-307110</v>
      </c>
      <c r="BD299" s="290"/>
      <c r="BE299" s="290">
        <v>640544.14164149005</v>
      </c>
      <c r="BF299" s="290">
        <v>0</v>
      </c>
      <c r="BG299" s="290">
        <v>21935.553437893417</v>
      </c>
      <c r="BH299" s="290">
        <v>1181.8338995109923</v>
      </c>
      <c r="BI299" s="290">
        <v>9518</v>
      </c>
      <c r="BJ299" s="290"/>
      <c r="BK299" s="290"/>
      <c r="BL299" s="290"/>
      <c r="BM299" s="290">
        <v>0</v>
      </c>
      <c r="BN299" s="290">
        <v>9035.1548999999995</v>
      </c>
      <c r="BO299" s="290">
        <v>-11311.956422135112</v>
      </c>
      <c r="BP299" s="290">
        <v>1403.829</v>
      </c>
      <c r="BQ299" s="290">
        <v>-752.86300000000006</v>
      </c>
      <c r="BR299" s="290">
        <v>-487.31349026508656</v>
      </c>
      <c r="BS299" s="290">
        <v>4.375</v>
      </c>
      <c r="BT299" s="290"/>
      <c r="BU299" s="290">
        <v>0</v>
      </c>
      <c r="BV299" s="290">
        <v>6500</v>
      </c>
      <c r="BW299" s="290">
        <v>-5575</v>
      </c>
      <c r="BX299" s="290">
        <v>3129</v>
      </c>
      <c r="BY299" s="290">
        <v>698</v>
      </c>
      <c r="BZ299" s="290">
        <v>-4238</v>
      </c>
      <c r="CA299" s="290">
        <v>-19.225987599800646</v>
      </c>
      <c r="CB299" s="290">
        <v>1120</v>
      </c>
      <c r="CC299" s="290">
        <v>3157</v>
      </c>
      <c r="CD299" s="290">
        <v>41</v>
      </c>
      <c r="CE299" s="290">
        <v>895</v>
      </c>
      <c r="CF299" s="290">
        <v>36</v>
      </c>
      <c r="CG299" s="290">
        <v>5</v>
      </c>
      <c r="CH299" s="290">
        <v>-23</v>
      </c>
      <c r="CI299" s="290">
        <v>-10817</v>
      </c>
      <c r="CJ299" s="290">
        <v>-29057</v>
      </c>
      <c r="CK299" s="290">
        <f>+innut22!E305+innut22!S305</f>
        <v>757170.9415781023</v>
      </c>
      <c r="CL299" s="290">
        <v>0</v>
      </c>
      <c r="CM299" s="290">
        <v>0</v>
      </c>
      <c r="CN299" s="290">
        <v>0</v>
      </c>
      <c r="CP299" s="290">
        <f>+innut23!E305</f>
        <v>706766.09197995416</v>
      </c>
      <c r="CQ299" s="290"/>
      <c r="CV299" s="85">
        <f t="shared" si="5"/>
        <v>4.4939999999999998</v>
      </c>
    </row>
    <row r="300" spans="1:100" ht="13">
      <c r="A300" s="1">
        <v>5036</v>
      </c>
      <c r="B300" s="2" t="s">
        <v>148</v>
      </c>
      <c r="C300" s="289">
        <v>2608</v>
      </c>
      <c r="D300" s="290">
        <v>49</v>
      </c>
      <c r="E300" s="290">
        <v>93</v>
      </c>
      <c r="F300" s="290">
        <v>296</v>
      </c>
      <c r="G300" s="290">
        <v>236</v>
      </c>
      <c r="H300" s="290">
        <v>1414</v>
      </c>
      <c r="I300" s="290">
        <v>364</v>
      </c>
      <c r="J300" s="290">
        <v>149</v>
      </c>
      <c r="K300" s="290">
        <v>21</v>
      </c>
      <c r="L300" s="290">
        <v>19</v>
      </c>
      <c r="M300" s="290">
        <v>236</v>
      </c>
      <c r="N300" s="290">
        <v>17</v>
      </c>
      <c r="O300" s="290">
        <v>22</v>
      </c>
      <c r="P300" s="624">
        <v>10042.59133333</v>
      </c>
      <c r="Q300" s="624">
        <v>6101.8766666700003</v>
      </c>
      <c r="R300" s="624">
        <v>14</v>
      </c>
      <c r="S300" s="290">
        <v>25</v>
      </c>
      <c r="T300" s="290">
        <v>182</v>
      </c>
      <c r="U300" s="958">
        <v>2.1902751697168172E-3</v>
      </c>
      <c r="V300" s="290">
        <v>1409.06688573</v>
      </c>
      <c r="W300" s="765">
        <v>0.76545779999999997</v>
      </c>
      <c r="X300" s="290">
        <v>200</v>
      </c>
      <c r="Y300" s="290"/>
      <c r="Z300" s="290">
        <f>innut22!E306</f>
        <v>74340.203159450524</v>
      </c>
      <c r="AA300" s="290">
        <v>0</v>
      </c>
      <c r="AB300" s="290">
        <v>69</v>
      </c>
      <c r="AC300" s="290">
        <v>9</v>
      </c>
      <c r="AD300" s="290"/>
      <c r="AE300" s="290">
        <v>0</v>
      </c>
      <c r="AF300" s="290">
        <v>0</v>
      </c>
      <c r="AG300" s="290">
        <v>2622</v>
      </c>
      <c r="AH300" s="290">
        <v>432</v>
      </c>
      <c r="AI300" s="290">
        <v>300</v>
      </c>
      <c r="AJ300" s="290">
        <v>0</v>
      </c>
      <c r="AK300" s="290">
        <v>0</v>
      </c>
      <c r="AL300" s="290">
        <v>0</v>
      </c>
      <c r="AM300" s="957">
        <v>3.9356349999999998E-2</v>
      </c>
      <c r="AN300" s="290">
        <v>0</v>
      </c>
      <c r="AO300" s="290">
        <v>564.80291514999999</v>
      </c>
      <c r="AP300" s="290">
        <v>0</v>
      </c>
      <c r="AQ300" s="290">
        <v>0</v>
      </c>
      <c r="AR300" s="290">
        <v>2449.5393094199999</v>
      </c>
      <c r="AS300" s="290">
        <v>446</v>
      </c>
      <c r="AT300" s="290">
        <v>99</v>
      </c>
      <c r="AU300" s="290">
        <v>22</v>
      </c>
      <c r="AV300" s="766">
        <v>96184</v>
      </c>
      <c r="AW300" s="290"/>
      <c r="AX300" s="766">
        <v>17.958300000000001</v>
      </c>
      <c r="AY300" s="290">
        <v>449</v>
      </c>
      <c r="AZ300" s="290">
        <v>123</v>
      </c>
      <c r="BA300" s="290">
        <v>51</v>
      </c>
      <c r="BB300" s="290">
        <v>4827</v>
      </c>
      <c r="BC300" s="290">
        <v>4639</v>
      </c>
      <c r="BD300" s="290"/>
      <c r="BE300" s="290">
        <v>91976.420496179999</v>
      </c>
      <c r="BF300" s="290">
        <v>0</v>
      </c>
      <c r="BG300" s="290">
        <v>2355.4956711831856</v>
      </c>
      <c r="BH300" s="290">
        <v>126.90833820252266</v>
      </c>
      <c r="BI300" s="290">
        <v>441</v>
      </c>
      <c r="BJ300" s="290"/>
      <c r="BK300" s="290"/>
      <c r="BL300" s="290"/>
      <c r="BM300" s="290">
        <v>0</v>
      </c>
      <c r="BN300" s="290">
        <v>1074.68308</v>
      </c>
      <c r="BO300" s="290">
        <v>-1221.7304336960194</v>
      </c>
      <c r="BP300" s="290">
        <v>124.355</v>
      </c>
      <c r="BQ300" s="290">
        <v>-66.691000000000003</v>
      </c>
      <c r="BR300" s="290">
        <v>-50.188954100262762</v>
      </c>
      <c r="BS300" s="290">
        <v>0.60899999999999999</v>
      </c>
      <c r="BT300" s="290"/>
      <c r="BU300" s="290">
        <v>0</v>
      </c>
      <c r="BV300" s="290">
        <v>500</v>
      </c>
      <c r="BW300" s="290">
        <v>-602</v>
      </c>
      <c r="BX300" s="290">
        <v>316</v>
      </c>
      <c r="BY300" s="290">
        <v>66</v>
      </c>
      <c r="BZ300" s="290">
        <v>-458</v>
      </c>
      <c r="CA300" s="290">
        <v>-3.669220371784121E-2</v>
      </c>
      <c r="CB300" s="290">
        <v>105</v>
      </c>
      <c r="CC300" s="290">
        <v>341</v>
      </c>
      <c r="CD300" s="290">
        <v>4</v>
      </c>
      <c r="CE300" s="290">
        <v>96</v>
      </c>
      <c r="CF300" s="290">
        <v>5</v>
      </c>
      <c r="CG300" s="290">
        <v>0</v>
      </c>
      <c r="CH300" s="290">
        <v>-3</v>
      </c>
      <c r="CI300" s="290">
        <v>-1162</v>
      </c>
      <c r="CJ300" s="290">
        <v>-3132</v>
      </c>
      <c r="CK300" s="290">
        <f>+innut22!E306+innut22!S306</f>
        <v>74340.203159450524</v>
      </c>
      <c r="CL300" s="290">
        <v>0</v>
      </c>
      <c r="CM300" s="290">
        <v>0</v>
      </c>
      <c r="CN300" s="290">
        <v>0</v>
      </c>
      <c r="CP300" s="290">
        <f>+innut23!E306</f>
        <v>69826.172158476242</v>
      </c>
      <c r="CQ300" s="290"/>
      <c r="CV300" s="85">
        <f t="shared" si="5"/>
        <v>0.48499999999999999</v>
      </c>
    </row>
    <row r="301" spans="1:100" ht="13">
      <c r="A301" s="1">
        <v>5037</v>
      </c>
      <c r="B301" s="2" t="s">
        <v>150</v>
      </c>
      <c r="C301" s="289">
        <v>20171</v>
      </c>
      <c r="D301" s="290">
        <v>400</v>
      </c>
      <c r="E301" s="290">
        <v>930</v>
      </c>
      <c r="F301" s="290">
        <v>2529</v>
      </c>
      <c r="G301" s="290">
        <v>1788</v>
      </c>
      <c r="H301" s="290">
        <v>10932</v>
      </c>
      <c r="I301" s="290">
        <v>2521</v>
      </c>
      <c r="J301" s="290">
        <v>829</v>
      </c>
      <c r="K301" s="290">
        <v>174</v>
      </c>
      <c r="L301" s="290">
        <v>141</v>
      </c>
      <c r="M301" s="290">
        <v>1437</v>
      </c>
      <c r="N301" s="290">
        <v>367</v>
      </c>
      <c r="O301" s="290">
        <v>141</v>
      </c>
      <c r="P301" s="624">
        <v>92008.202666669997</v>
      </c>
      <c r="Q301" s="624">
        <v>38769.574000000001</v>
      </c>
      <c r="R301" s="624">
        <v>90</v>
      </c>
      <c r="S301" s="290">
        <v>210</v>
      </c>
      <c r="T301" s="290">
        <v>1489</v>
      </c>
      <c r="U301" s="958">
        <v>9.1433172420737497E-3</v>
      </c>
      <c r="V301" s="290">
        <v>-6499.1040005000004</v>
      </c>
      <c r="W301" s="765">
        <v>0.59926455999999995</v>
      </c>
      <c r="X301" s="290">
        <v>2940</v>
      </c>
      <c r="Y301" s="290"/>
      <c r="Z301" s="290">
        <f>innut22!E307</f>
        <v>634393.66123361432</v>
      </c>
      <c r="AA301" s="290">
        <v>0</v>
      </c>
      <c r="AB301" s="290">
        <v>465</v>
      </c>
      <c r="AC301" s="290">
        <v>3527</v>
      </c>
      <c r="AD301" s="290"/>
      <c r="AE301" s="290">
        <v>0</v>
      </c>
      <c r="AF301" s="290">
        <v>0</v>
      </c>
      <c r="AG301" s="290">
        <v>20103</v>
      </c>
      <c r="AH301" s="290">
        <v>3752</v>
      </c>
      <c r="AI301" s="290">
        <v>4130</v>
      </c>
      <c r="AJ301" s="290">
        <v>0</v>
      </c>
      <c r="AK301" s="290">
        <v>0</v>
      </c>
      <c r="AL301" s="290">
        <v>0</v>
      </c>
      <c r="AM301" s="957">
        <v>0.31761076999999999</v>
      </c>
      <c r="AN301" s="290">
        <v>0</v>
      </c>
      <c r="AO301" s="290">
        <v>4045.2466673499998</v>
      </c>
      <c r="AP301" s="290">
        <v>0</v>
      </c>
      <c r="AQ301" s="290">
        <v>0</v>
      </c>
      <c r="AR301" s="290">
        <v>-969.78163038000002</v>
      </c>
      <c r="AS301" s="290">
        <v>2878</v>
      </c>
      <c r="AT301" s="290">
        <v>904</v>
      </c>
      <c r="AU301" s="290">
        <v>195</v>
      </c>
      <c r="AV301" s="766">
        <v>562383</v>
      </c>
      <c r="AW301" s="290"/>
      <c r="AX301" s="766">
        <v>173.54169999999999</v>
      </c>
      <c r="AY301" s="290">
        <v>5652</v>
      </c>
      <c r="AZ301" s="290">
        <v>733</v>
      </c>
      <c r="BA301" s="290">
        <v>427</v>
      </c>
      <c r="BB301" s="290">
        <v>0</v>
      </c>
      <c r="BC301" s="290">
        <v>33315</v>
      </c>
      <c r="BD301" s="290"/>
      <c r="BE301" s="290">
        <v>569621.19150159997</v>
      </c>
      <c r="BF301" s="290">
        <v>0</v>
      </c>
      <c r="BG301" s="290">
        <v>18218.061036593568</v>
      </c>
      <c r="BH301" s="290">
        <v>981.5445129919799</v>
      </c>
      <c r="BI301" s="290">
        <v>7279</v>
      </c>
      <c r="BJ301" s="290"/>
      <c r="BK301" s="290"/>
      <c r="BL301" s="290"/>
      <c r="BM301" s="290">
        <v>0</v>
      </c>
      <c r="BN301" s="290">
        <v>7697.1241</v>
      </c>
      <c r="BO301" s="290">
        <v>-9367.0659453055214</v>
      </c>
      <c r="BP301" s="290">
        <v>1266.3800000000001</v>
      </c>
      <c r="BQ301" s="290">
        <v>-679.15099999999995</v>
      </c>
      <c r="BR301" s="290">
        <v>-390.20701362314583</v>
      </c>
      <c r="BS301" s="290">
        <v>3.714</v>
      </c>
      <c r="BT301" s="290"/>
      <c r="BU301" s="290">
        <v>0</v>
      </c>
      <c r="BV301" s="290">
        <v>4000</v>
      </c>
      <c r="BW301" s="290">
        <v>-4617</v>
      </c>
      <c r="BX301" s="290">
        <v>2501</v>
      </c>
      <c r="BY301" s="290">
        <v>548</v>
      </c>
      <c r="BZ301" s="290">
        <v>-3509</v>
      </c>
      <c r="CA301" s="290">
        <v>-13.794141071332888</v>
      </c>
      <c r="CB301" s="290">
        <v>879</v>
      </c>
      <c r="CC301" s="290">
        <v>2614</v>
      </c>
      <c r="CD301" s="290">
        <v>32</v>
      </c>
      <c r="CE301" s="290">
        <v>744</v>
      </c>
      <c r="CF301" s="290">
        <v>30</v>
      </c>
      <c r="CG301" s="290">
        <v>4</v>
      </c>
      <c r="CH301" s="290">
        <v>-20</v>
      </c>
      <c r="CI301" s="290">
        <v>-8984</v>
      </c>
      <c r="CJ301" s="290">
        <v>-24157</v>
      </c>
      <c r="CK301" s="290">
        <f>+innut22!E307+innut22!S307</f>
        <v>634393.66123361432</v>
      </c>
      <c r="CL301" s="290">
        <v>0</v>
      </c>
      <c r="CM301" s="290">
        <v>0</v>
      </c>
      <c r="CN301" s="290">
        <v>0</v>
      </c>
      <c r="CP301" s="290">
        <f>+innut23!E307</f>
        <v>592102.01377686323</v>
      </c>
      <c r="CQ301" s="290"/>
      <c r="CV301" s="85">
        <f t="shared" si="5"/>
        <v>3.722</v>
      </c>
    </row>
    <row r="302" spans="1:100" ht="13">
      <c r="A302" s="1">
        <v>5038</v>
      </c>
      <c r="B302" s="2" t="s">
        <v>151</v>
      </c>
      <c r="C302" s="289">
        <v>14955</v>
      </c>
      <c r="D302" s="290">
        <v>280</v>
      </c>
      <c r="E302" s="290">
        <v>589</v>
      </c>
      <c r="F302" s="290">
        <v>1787</v>
      </c>
      <c r="G302" s="290">
        <v>1343</v>
      </c>
      <c r="H302" s="290">
        <v>8220</v>
      </c>
      <c r="I302" s="290">
        <v>2150</v>
      </c>
      <c r="J302" s="290">
        <v>543</v>
      </c>
      <c r="K302" s="290">
        <v>124</v>
      </c>
      <c r="L302" s="290">
        <v>112</v>
      </c>
      <c r="M302" s="290">
        <v>1201</v>
      </c>
      <c r="N302" s="290">
        <v>218</v>
      </c>
      <c r="O302" s="290">
        <v>90</v>
      </c>
      <c r="P302" s="624">
        <v>60812.644999999997</v>
      </c>
      <c r="Q302" s="624">
        <v>31529.582999999999</v>
      </c>
      <c r="R302" s="624">
        <v>68</v>
      </c>
      <c r="S302" s="290">
        <v>169</v>
      </c>
      <c r="T302" s="290">
        <v>1221</v>
      </c>
      <c r="U302" s="958">
        <v>6.9177695531899642E-3</v>
      </c>
      <c r="V302" s="290">
        <v>3977.40895047</v>
      </c>
      <c r="W302" s="765">
        <v>0.58799953000000005</v>
      </c>
      <c r="X302" s="290">
        <v>230</v>
      </c>
      <c r="Y302" s="290"/>
      <c r="Z302" s="290">
        <f>innut22!E308</f>
        <v>431862.91094950848</v>
      </c>
      <c r="AA302" s="290">
        <v>0</v>
      </c>
      <c r="AB302" s="290">
        <v>488</v>
      </c>
      <c r="AC302" s="290">
        <v>3432</v>
      </c>
      <c r="AD302" s="290"/>
      <c r="AE302" s="290">
        <v>0</v>
      </c>
      <c r="AF302" s="290">
        <v>0</v>
      </c>
      <c r="AG302" s="290">
        <v>15036</v>
      </c>
      <c r="AH302" s="290">
        <v>2634</v>
      </c>
      <c r="AI302" s="290">
        <v>2770</v>
      </c>
      <c r="AJ302" s="290">
        <v>0</v>
      </c>
      <c r="AK302" s="290">
        <v>0</v>
      </c>
      <c r="AL302" s="290">
        <v>0</v>
      </c>
      <c r="AM302" s="957">
        <v>0.25269491999999999</v>
      </c>
      <c r="AN302" s="290">
        <v>7610</v>
      </c>
      <c r="AO302" s="290">
        <v>2918.7196094800001</v>
      </c>
      <c r="AP302" s="290">
        <v>0</v>
      </c>
      <c r="AQ302" s="290">
        <v>0</v>
      </c>
      <c r="AR302" s="290">
        <v>-725.34629629000005</v>
      </c>
      <c r="AS302" s="290">
        <v>2571</v>
      </c>
      <c r="AT302" s="290">
        <v>651</v>
      </c>
      <c r="AU302" s="290">
        <v>167</v>
      </c>
      <c r="AV302" s="766">
        <v>410192</v>
      </c>
      <c r="AW302" s="290"/>
      <c r="AX302" s="766">
        <v>102.66670000000001</v>
      </c>
      <c r="AY302" s="290">
        <v>2871</v>
      </c>
      <c r="AZ302" s="290">
        <v>522</v>
      </c>
      <c r="BA302" s="290">
        <v>348</v>
      </c>
      <c r="BB302" s="290">
        <v>0</v>
      </c>
      <c r="BC302" s="290">
        <v>24593</v>
      </c>
      <c r="BD302" s="290"/>
      <c r="BE302" s="290">
        <v>408690.43949899002</v>
      </c>
      <c r="BF302" s="290">
        <v>0</v>
      </c>
      <c r="BG302" s="290">
        <v>13507.069694227201</v>
      </c>
      <c r="BH302" s="290">
        <v>727.72783658693493</v>
      </c>
      <c r="BI302" s="290">
        <v>6066</v>
      </c>
      <c r="BJ302" s="290"/>
      <c r="BK302" s="290"/>
      <c r="BL302" s="290"/>
      <c r="BM302" s="290">
        <v>0</v>
      </c>
      <c r="BN302" s="290">
        <v>5553.6161199999997</v>
      </c>
      <c r="BO302" s="290">
        <v>-7006.0788714925047</v>
      </c>
      <c r="BP302" s="290">
        <v>778.89800000000002</v>
      </c>
      <c r="BQ302" s="290">
        <v>-417.71800000000002</v>
      </c>
      <c r="BR302" s="290">
        <v>-275.10546901007382</v>
      </c>
      <c r="BS302" s="290">
        <v>2.81</v>
      </c>
      <c r="BT302" s="290"/>
      <c r="BU302" s="290">
        <v>0</v>
      </c>
      <c r="BV302" s="290">
        <v>4000</v>
      </c>
      <c r="BW302" s="290">
        <v>-3453</v>
      </c>
      <c r="BX302" s="290">
        <v>1771</v>
      </c>
      <c r="BY302" s="290">
        <v>442</v>
      </c>
      <c r="BZ302" s="290">
        <v>-2625</v>
      </c>
      <c r="CA302" s="290">
        <v>-13.421779497421085</v>
      </c>
      <c r="CB302" s="290">
        <v>709</v>
      </c>
      <c r="CC302" s="290">
        <v>1955</v>
      </c>
      <c r="CD302" s="290">
        <v>26</v>
      </c>
      <c r="CE302" s="290">
        <v>551</v>
      </c>
      <c r="CF302" s="290">
        <v>23</v>
      </c>
      <c r="CG302" s="290">
        <v>3</v>
      </c>
      <c r="CH302" s="290">
        <v>-15</v>
      </c>
      <c r="CI302" s="290">
        <v>-6661</v>
      </c>
      <c r="CJ302" s="290">
        <v>-17953</v>
      </c>
      <c r="CK302" s="290">
        <f>+innut22!E308+innut22!S308</f>
        <v>431862.91094950848</v>
      </c>
      <c r="CL302" s="290">
        <v>0</v>
      </c>
      <c r="CM302" s="290">
        <v>0</v>
      </c>
      <c r="CN302" s="290">
        <v>0</v>
      </c>
      <c r="CP302" s="290">
        <f>+innut23!E308</f>
        <v>400191.19671105262</v>
      </c>
      <c r="CQ302" s="290"/>
      <c r="CV302" s="85">
        <f t="shared" si="5"/>
        <v>2.7839999999999998</v>
      </c>
    </row>
    <row r="303" spans="1:100" ht="13">
      <c r="A303" s="1">
        <v>5041</v>
      </c>
      <c r="B303" s="2" t="s">
        <v>156</v>
      </c>
      <c r="C303" s="289">
        <v>2033</v>
      </c>
      <c r="D303" s="290">
        <v>40</v>
      </c>
      <c r="E303" s="290">
        <v>76</v>
      </c>
      <c r="F303" s="290">
        <v>233</v>
      </c>
      <c r="G303" s="290">
        <v>187</v>
      </c>
      <c r="H303" s="290">
        <v>1027</v>
      </c>
      <c r="I303" s="290">
        <v>313</v>
      </c>
      <c r="J303" s="290">
        <v>128</v>
      </c>
      <c r="K303" s="290">
        <v>26</v>
      </c>
      <c r="L303" s="290">
        <v>16</v>
      </c>
      <c r="M303" s="290">
        <v>196</v>
      </c>
      <c r="N303" s="290">
        <v>11</v>
      </c>
      <c r="O303" s="290">
        <v>22</v>
      </c>
      <c r="P303" s="624">
        <v>11390.527333329999</v>
      </c>
      <c r="Q303" s="624">
        <v>6078.2593333300001</v>
      </c>
      <c r="R303" s="624">
        <v>17</v>
      </c>
      <c r="S303" s="290">
        <v>19</v>
      </c>
      <c r="T303" s="290">
        <v>154</v>
      </c>
      <c r="U303" s="958">
        <v>2.8109771937323766E-3</v>
      </c>
      <c r="V303" s="290">
        <v>-5704.80703902</v>
      </c>
      <c r="W303" s="765">
        <v>1</v>
      </c>
      <c r="X303" s="290">
        <v>0</v>
      </c>
      <c r="Y303" s="290"/>
      <c r="Z303" s="290">
        <f>innut22!E309</f>
        <v>53986.220735915114</v>
      </c>
      <c r="AA303" s="290">
        <v>-624</v>
      </c>
      <c r="AB303" s="290">
        <v>52</v>
      </c>
      <c r="AC303" s="290">
        <v>359</v>
      </c>
      <c r="AD303" s="290"/>
      <c r="AE303" s="290">
        <v>0</v>
      </c>
      <c r="AF303" s="290">
        <v>0</v>
      </c>
      <c r="AG303" s="290">
        <v>2030</v>
      </c>
      <c r="AH303" s="290">
        <v>347</v>
      </c>
      <c r="AI303" s="290">
        <v>200</v>
      </c>
      <c r="AJ303" s="290">
        <v>0</v>
      </c>
      <c r="AK303" s="290">
        <v>0</v>
      </c>
      <c r="AL303" s="290">
        <v>3822</v>
      </c>
      <c r="AM303" s="957">
        <v>1.8894899999999999E-2</v>
      </c>
      <c r="AN303" s="290">
        <v>0</v>
      </c>
      <c r="AO303" s="290">
        <v>505.34072594000003</v>
      </c>
      <c r="AP303" s="290">
        <v>0</v>
      </c>
      <c r="AQ303" s="290">
        <v>0</v>
      </c>
      <c r="AR303" s="290">
        <v>-97.928503689999999</v>
      </c>
      <c r="AS303" s="290">
        <v>658</v>
      </c>
      <c r="AT303" s="290">
        <v>73</v>
      </c>
      <c r="AU303" s="290">
        <v>14</v>
      </c>
      <c r="AV303" s="766">
        <v>91711</v>
      </c>
      <c r="AW303" s="290"/>
      <c r="AX303" s="766">
        <v>13.75</v>
      </c>
      <c r="AY303" s="290">
        <v>457</v>
      </c>
      <c r="AZ303" s="290">
        <v>78</v>
      </c>
      <c r="BA303" s="290">
        <v>31</v>
      </c>
      <c r="BB303" s="290">
        <v>6034</v>
      </c>
      <c r="BC303" s="290">
        <v>3781</v>
      </c>
      <c r="BD303" s="290"/>
      <c r="BE303" s="290">
        <v>90780.678845339993</v>
      </c>
      <c r="BF303" s="290">
        <v>0</v>
      </c>
      <c r="BG303" s="290">
        <v>1836.1666792620458</v>
      </c>
      <c r="BH303" s="290">
        <v>98.928163943914313</v>
      </c>
      <c r="BI303" s="290">
        <v>82</v>
      </c>
      <c r="BJ303" s="290"/>
      <c r="BK303" s="290"/>
      <c r="BL303" s="290"/>
      <c r="BM303" s="290">
        <v>0</v>
      </c>
      <c r="BN303" s="290">
        <v>961.54094000000009</v>
      </c>
      <c r="BO303" s="290">
        <v>-945.8858811605337</v>
      </c>
      <c r="BP303" s="290">
        <v>103.00700000000001</v>
      </c>
      <c r="BQ303" s="290">
        <v>-55.241999999999997</v>
      </c>
      <c r="BR303" s="290">
        <v>-40.578712679310897</v>
      </c>
      <c r="BS303" s="290">
        <v>0.56100000000000005</v>
      </c>
      <c r="BT303" s="290"/>
      <c r="BU303" s="290">
        <v>0</v>
      </c>
      <c r="BV303" s="290">
        <v>1000</v>
      </c>
      <c r="BW303" s="290">
        <v>-466</v>
      </c>
      <c r="BX303" s="290">
        <v>265</v>
      </c>
      <c r="BY303" s="290">
        <v>49</v>
      </c>
      <c r="BZ303" s="290">
        <v>-354</v>
      </c>
      <c r="CA303" s="290">
        <v>-1.4023461601555027</v>
      </c>
      <c r="CB303" s="290">
        <v>79</v>
      </c>
      <c r="CC303" s="290">
        <v>264</v>
      </c>
      <c r="CD303" s="290">
        <v>3</v>
      </c>
      <c r="CE303" s="290">
        <v>75</v>
      </c>
      <c r="CF303" s="290">
        <v>5</v>
      </c>
      <c r="CG303" s="290">
        <v>0</v>
      </c>
      <c r="CH303" s="290">
        <v>-3</v>
      </c>
      <c r="CI303" s="290">
        <v>-905</v>
      </c>
      <c r="CJ303" s="290">
        <v>-2425</v>
      </c>
      <c r="CK303" s="290">
        <f>+innut22!E309+innut22!S309</f>
        <v>53986.220735915114</v>
      </c>
      <c r="CL303" s="290">
        <v>0</v>
      </c>
      <c r="CM303" s="290">
        <v>0</v>
      </c>
      <c r="CN303" s="290">
        <v>0</v>
      </c>
      <c r="CP303" s="290">
        <f>+innut23!E309</f>
        <v>50485.857311700485</v>
      </c>
      <c r="CQ303" s="290"/>
      <c r="CV303" s="85">
        <f t="shared" si="5"/>
        <v>0.376</v>
      </c>
    </row>
    <row r="304" spans="1:100" ht="13">
      <c r="A304" s="1">
        <v>5042</v>
      </c>
      <c r="B304" s="2" t="s">
        <v>157</v>
      </c>
      <c r="C304" s="289">
        <v>1309</v>
      </c>
      <c r="D304" s="290">
        <v>19</v>
      </c>
      <c r="E304" s="290">
        <v>41</v>
      </c>
      <c r="F304" s="290">
        <v>138</v>
      </c>
      <c r="G304" s="290">
        <v>138</v>
      </c>
      <c r="H304" s="290">
        <v>671</v>
      </c>
      <c r="I304" s="290">
        <v>228</v>
      </c>
      <c r="J304" s="290">
        <v>75</v>
      </c>
      <c r="K304" s="290">
        <v>17</v>
      </c>
      <c r="L304" s="290">
        <v>12</v>
      </c>
      <c r="M304" s="290">
        <v>165</v>
      </c>
      <c r="N304" s="290">
        <v>9</v>
      </c>
      <c r="O304" s="290">
        <v>11</v>
      </c>
      <c r="P304" s="624">
        <v>33885.544333329999</v>
      </c>
      <c r="Q304" s="624">
        <v>16396.000666669999</v>
      </c>
      <c r="R304" s="624">
        <v>17</v>
      </c>
      <c r="S304" s="290">
        <v>12</v>
      </c>
      <c r="T304" s="290">
        <v>109</v>
      </c>
      <c r="U304" s="958">
        <v>1.7948450224494915E-3</v>
      </c>
      <c r="V304" s="290">
        <v>1026.90294569</v>
      </c>
      <c r="W304" s="765">
        <v>1</v>
      </c>
      <c r="X304" s="290">
        <v>620</v>
      </c>
      <c r="Y304" s="290"/>
      <c r="Z304" s="290">
        <f>innut22!E310</f>
        <v>39248.409785182987</v>
      </c>
      <c r="AA304" s="290">
        <v>0</v>
      </c>
      <c r="AB304" s="290">
        <v>21</v>
      </c>
      <c r="AC304" s="290">
        <v>148</v>
      </c>
      <c r="AD304" s="290"/>
      <c r="AE304" s="290">
        <v>0</v>
      </c>
      <c r="AF304" s="290">
        <v>0</v>
      </c>
      <c r="AG304" s="290">
        <v>1327</v>
      </c>
      <c r="AH304" s="290">
        <v>213</v>
      </c>
      <c r="AI304" s="290">
        <v>150</v>
      </c>
      <c r="AJ304" s="290">
        <v>0</v>
      </c>
      <c r="AK304" s="290">
        <v>0</v>
      </c>
      <c r="AL304" s="290">
        <v>2471</v>
      </c>
      <c r="AM304" s="957">
        <v>6.6257099999999999E-3</v>
      </c>
      <c r="AN304" s="290">
        <v>0</v>
      </c>
      <c r="AO304" s="290">
        <v>383.37660951999999</v>
      </c>
      <c r="AP304" s="290">
        <v>0</v>
      </c>
      <c r="AQ304" s="290">
        <v>0</v>
      </c>
      <c r="AR304" s="290">
        <v>-64.015332209999997</v>
      </c>
      <c r="AS304" s="290">
        <v>434</v>
      </c>
      <c r="AT304" s="290">
        <v>41</v>
      </c>
      <c r="AU304" s="290">
        <v>5</v>
      </c>
      <c r="AV304" s="766">
        <v>80994</v>
      </c>
      <c r="AW304" s="290"/>
      <c r="AX304" s="766">
        <v>5.875</v>
      </c>
      <c r="AY304" s="290">
        <v>238</v>
      </c>
      <c r="AZ304" s="290">
        <v>57</v>
      </c>
      <c r="BA304" s="290">
        <v>15</v>
      </c>
      <c r="BB304" s="290">
        <v>6034</v>
      </c>
      <c r="BC304" s="290">
        <v>2634</v>
      </c>
      <c r="BD304" s="290"/>
      <c r="BE304" s="290">
        <v>83190.10908219</v>
      </c>
      <c r="BF304" s="290">
        <v>0</v>
      </c>
      <c r="BG304" s="290">
        <v>1182.2637398691679</v>
      </c>
      <c r="BH304" s="290">
        <v>63.697474964379659</v>
      </c>
      <c r="BI304" s="290">
        <v>361</v>
      </c>
      <c r="BJ304" s="290"/>
      <c r="BK304" s="290"/>
      <c r="BL304" s="290"/>
      <c r="BM304" s="290">
        <v>0</v>
      </c>
      <c r="BN304" s="290">
        <v>729.47278000000006</v>
      </c>
      <c r="BO304" s="290">
        <v>-618.32047502464445</v>
      </c>
      <c r="BP304" s="290">
        <v>54.063000000000002</v>
      </c>
      <c r="BQ304" s="290">
        <v>-28.994</v>
      </c>
      <c r="BR304" s="290">
        <v>-32.138973722913093</v>
      </c>
      <c r="BS304" s="290">
        <v>0.497</v>
      </c>
      <c r="BT304" s="290"/>
      <c r="BU304" s="290">
        <v>0</v>
      </c>
      <c r="BV304" s="290">
        <v>1000</v>
      </c>
      <c r="BW304" s="290">
        <v>-305</v>
      </c>
      <c r="BX304" s="290">
        <v>197</v>
      </c>
      <c r="BY304" s="290">
        <v>30</v>
      </c>
      <c r="BZ304" s="290">
        <v>-232</v>
      </c>
      <c r="CA304" s="290">
        <v>-0.5793312524425005</v>
      </c>
      <c r="CB304" s="290">
        <v>49</v>
      </c>
      <c r="CC304" s="290">
        <v>173</v>
      </c>
      <c r="CD304" s="290">
        <v>2</v>
      </c>
      <c r="CE304" s="290">
        <v>48</v>
      </c>
      <c r="CF304" s="290">
        <v>4</v>
      </c>
      <c r="CG304" s="290">
        <v>0</v>
      </c>
      <c r="CH304" s="290">
        <v>-3</v>
      </c>
      <c r="CI304" s="290">
        <v>-583</v>
      </c>
      <c r="CJ304" s="290">
        <v>-1599</v>
      </c>
      <c r="CK304" s="290">
        <f>+innut22!E310+innut22!S310</f>
        <v>39248.409785182987</v>
      </c>
      <c r="CL304" s="290">
        <v>0</v>
      </c>
      <c r="CM304" s="290">
        <v>0</v>
      </c>
      <c r="CN304" s="290">
        <v>0</v>
      </c>
      <c r="CP304" s="290">
        <f>+innut23!E310</f>
        <v>35848.857934969419</v>
      </c>
      <c r="CQ304" s="290"/>
      <c r="CV304" s="85">
        <f t="shared" si="5"/>
        <v>0.246</v>
      </c>
    </row>
    <row r="305" spans="1:100" ht="13">
      <c r="A305" s="1">
        <v>5043</v>
      </c>
      <c r="B305" s="2" t="s">
        <v>164</v>
      </c>
      <c r="C305" s="289">
        <v>441</v>
      </c>
      <c r="D305" s="290">
        <v>9</v>
      </c>
      <c r="E305" s="290">
        <v>14</v>
      </c>
      <c r="F305" s="290">
        <v>48</v>
      </c>
      <c r="G305" s="290">
        <v>35</v>
      </c>
      <c r="H305" s="290">
        <v>226</v>
      </c>
      <c r="I305" s="290">
        <v>87</v>
      </c>
      <c r="J305" s="290">
        <v>24</v>
      </c>
      <c r="K305" s="290">
        <v>6</v>
      </c>
      <c r="L305" s="290">
        <v>3</v>
      </c>
      <c r="M305" s="290">
        <v>51</v>
      </c>
      <c r="N305" s="290">
        <v>0</v>
      </c>
      <c r="O305" s="290">
        <v>9</v>
      </c>
      <c r="P305" s="624">
        <v>3599.1179999999999</v>
      </c>
      <c r="Q305" s="624">
        <v>4838.4033333300004</v>
      </c>
      <c r="R305" s="624">
        <v>0</v>
      </c>
      <c r="S305" s="290">
        <v>3</v>
      </c>
      <c r="T305" s="290">
        <v>26</v>
      </c>
      <c r="U305" s="958">
        <v>7.2260054864522962E-4</v>
      </c>
      <c r="V305" s="290">
        <v>401.56929754999999</v>
      </c>
      <c r="W305" s="765">
        <v>1</v>
      </c>
      <c r="X305" s="290">
        <v>0</v>
      </c>
      <c r="Y305" s="290"/>
      <c r="Z305" s="290">
        <f>innut22!E311</f>
        <v>13304.819606085463</v>
      </c>
      <c r="AA305" s="290">
        <v>0</v>
      </c>
      <c r="AB305" s="290">
        <v>4</v>
      </c>
      <c r="AC305" s="290">
        <v>0</v>
      </c>
      <c r="AD305" s="290"/>
      <c r="AE305" s="290">
        <v>0</v>
      </c>
      <c r="AF305" s="290">
        <v>0</v>
      </c>
      <c r="AG305" s="290">
        <v>449</v>
      </c>
      <c r="AH305" s="290">
        <v>100</v>
      </c>
      <c r="AI305" s="290">
        <v>1235</v>
      </c>
      <c r="AJ305" s="290">
        <v>0</v>
      </c>
      <c r="AK305" s="290">
        <v>0</v>
      </c>
      <c r="AL305" s="290">
        <v>854</v>
      </c>
      <c r="AM305" s="957">
        <v>1.95794E-3</v>
      </c>
      <c r="AN305" s="290">
        <v>0</v>
      </c>
      <c r="AO305" s="290">
        <v>149.91901272999999</v>
      </c>
      <c r="AP305" s="290">
        <v>0</v>
      </c>
      <c r="AQ305" s="290">
        <v>0</v>
      </c>
      <c r="AR305" s="290">
        <v>1543.9835114699999</v>
      </c>
      <c r="AS305" s="290">
        <v>158</v>
      </c>
      <c r="AT305" s="290">
        <v>11</v>
      </c>
      <c r="AU305" s="290">
        <v>1.5</v>
      </c>
      <c r="AV305" s="766">
        <v>40283</v>
      </c>
      <c r="AW305" s="290"/>
      <c r="AX305" s="766">
        <v>3.5832999999999999</v>
      </c>
      <c r="AY305" s="290">
        <v>83</v>
      </c>
      <c r="AZ305" s="290">
        <v>25</v>
      </c>
      <c r="BA305" s="290">
        <v>2</v>
      </c>
      <c r="BB305" s="290">
        <v>6034</v>
      </c>
      <c r="BC305" s="290">
        <v>1294</v>
      </c>
      <c r="BD305" s="290"/>
      <c r="BE305" s="290">
        <v>38113.080979450002</v>
      </c>
      <c r="BF305" s="290">
        <v>0</v>
      </c>
      <c r="BG305" s="290">
        <v>398.30275728212604</v>
      </c>
      <c r="BH305" s="290">
        <v>21.459577127036994</v>
      </c>
      <c r="BI305" s="290">
        <v>100</v>
      </c>
      <c r="BJ305" s="290"/>
      <c r="BK305" s="290"/>
      <c r="BL305" s="290"/>
      <c r="BM305" s="290">
        <v>0</v>
      </c>
      <c r="BN305" s="290">
        <v>285.25956000000002</v>
      </c>
      <c r="BO305" s="290">
        <v>-209.21318258181262</v>
      </c>
      <c r="BP305" s="290">
        <v>19.832999999999998</v>
      </c>
      <c r="BQ305" s="290">
        <v>-10.635999999999999</v>
      </c>
      <c r="BR305" s="290">
        <v>-13.506377418187419</v>
      </c>
      <c r="BS305" s="290">
        <v>0.26300000000000001</v>
      </c>
      <c r="BT305" s="290"/>
      <c r="BU305" s="290">
        <v>0</v>
      </c>
      <c r="BV305" s="290">
        <v>500</v>
      </c>
      <c r="BW305" s="290">
        <v>-103</v>
      </c>
      <c r="BX305" s="290">
        <v>84</v>
      </c>
      <c r="BY305" s="290">
        <v>8</v>
      </c>
      <c r="BZ305" s="290">
        <v>-78</v>
      </c>
      <c r="CA305" s="290">
        <v>0</v>
      </c>
      <c r="CB305" s="290">
        <v>12</v>
      </c>
      <c r="CC305" s="290">
        <v>58</v>
      </c>
      <c r="CD305" s="290">
        <v>0</v>
      </c>
      <c r="CE305" s="290">
        <v>16</v>
      </c>
      <c r="CF305" s="290">
        <v>2</v>
      </c>
      <c r="CG305" s="290">
        <v>0</v>
      </c>
      <c r="CH305" s="290">
        <v>-1</v>
      </c>
      <c r="CI305" s="290">
        <v>-196</v>
      </c>
      <c r="CJ305" s="290">
        <v>-546</v>
      </c>
      <c r="CK305" s="290">
        <f>+innut22!E311+innut22!S311</f>
        <v>13304.819606085463</v>
      </c>
      <c r="CL305" s="290">
        <v>0</v>
      </c>
      <c r="CM305" s="290">
        <v>0</v>
      </c>
      <c r="CN305" s="290">
        <v>0</v>
      </c>
      <c r="CP305" s="290">
        <f>+innut23!E311</f>
        <v>12752.083957851992</v>
      </c>
      <c r="CQ305" s="290"/>
      <c r="CV305" s="85">
        <f t="shared" si="5"/>
        <v>8.3000000000000004E-2</v>
      </c>
    </row>
    <row r="306" spans="1:100" ht="13">
      <c r="A306" s="1">
        <v>5044</v>
      </c>
      <c r="B306" s="2" t="s">
        <v>165</v>
      </c>
      <c r="C306" s="289">
        <v>818</v>
      </c>
      <c r="D306" s="290">
        <v>14</v>
      </c>
      <c r="E306" s="290">
        <v>31</v>
      </c>
      <c r="F306" s="290">
        <v>87</v>
      </c>
      <c r="G306" s="290">
        <v>65</v>
      </c>
      <c r="H306" s="290">
        <v>418</v>
      </c>
      <c r="I306" s="290">
        <v>143</v>
      </c>
      <c r="J306" s="290">
        <v>63</v>
      </c>
      <c r="K306" s="290">
        <v>11</v>
      </c>
      <c r="L306" s="290">
        <v>8</v>
      </c>
      <c r="M306" s="290">
        <v>102</v>
      </c>
      <c r="N306" s="290">
        <v>6</v>
      </c>
      <c r="O306" s="290">
        <v>11</v>
      </c>
      <c r="P306" s="624">
        <v>12306.398999999999</v>
      </c>
      <c r="Q306" s="624">
        <v>9720.2786666699994</v>
      </c>
      <c r="R306" s="624">
        <v>8</v>
      </c>
      <c r="S306" s="290">
        <v>8</v>
      </c>
      <c r="T306" s="290">
        <v>72</v>
      </c>
      <c r="U306" s="958">
        <v>7.1547097531104108E-4</v>
      </c>
      <c r="V306" s="290">
        <v>706.93519194999999</v>
      </c>
      <c r="W306" s="765">
        <v>1</v>
      </c>
      <c r="X306" s="290">
        <v>300</v>
      </c>
      <c r="Y306" s="290"/>
      <c r="Z306" s="290">
        <f>innut22!E312</f>
        <v>33066.403237495586</v>
      </c>
      <c r="AA306" s="290">
        <v>0</v>
      </c>
      <c r="AB306" s="290">
        <v>23</v>
      </c>
      <c r="AC306" s="290">
        <v>189</v>
      </c>
      <c r="AD306" s="290"/>
      <c r="AE306" s="290">
        <v>0</v>
      </c>
      <c r="AF306" s="290">
        <v>0</v>
      </c>
      <c r="AG306" s="290">
        <v>832</v>
      </c>
      <c r="AH306" s="290">
        <v>126</v>
      </c>
      <c r="AI306" s="290">
        <v>620</v>
      </c>
      <c r="AJ306" s="290">
        <v>0</v>
      </c>
      <c r="AK306" s="290">
        <v>0</v>
      </c>
      <c r="AL306" s="290">
        <v>1574</v>
      </c>
      <c r="AM306" s="957">
        <v>9.9257200000000007E-3</v>
      </c>
      <c r="AN306" s="290">
        <v>0</v>
      </c>
      <c r="AO306" s="290">
        <v>263.92213420000002</v>
      </c>
      <c r="AP306" s="290">
        <v>0</v>
      </c>
      <c r="AQ306" s="290">
        <v>0</v>
      </c>
      <c r="AR306" s="290">
        <v>-40.136214320000001</v>
      </c>
      <c r="AS306" s="290">
        <v>276</v>
      </c>
      <c r="AT306" s="290">
        <v>37</v>
      </c>
      <c r="AU306" s="290">
        <v>4</v>
      </c>
      <c r="AV306" s="766">
        <v>59659</v>
      </c>
      <c r="AW306" s="290"/>
      <c r="AX306" s="766">
        <v>4.1666999999999996</v>
      </c>
      <c r="AY306" s="290">
        <v>111</v>
      </c>
      <c r="AZ306" s="290">
        <v>48</v>
      </c>
      <c r="BA306" s="290">
        <v>21</v>
      </c>
      <c r="BB306" s="290">
        <v>6034</v>
      </c>
      <c r="BC306" s="290">
        <v>1839</v>
      </c>
      <c r="BD306" s="290"/>
      <c r="BE306" s="290">
        <v>61647.410778409998</v>
      </c>
      <c r="BF306" s="290">
        <v>0</v>
      </c>
      <c r="BG306" s="290">
        <v>738.80193981129059</v>
      </c>
      <c r="BH306" s="290">
        <v>39.804839206159329</v>
      </c>
      <c r="BI306" s="290">
        <v>315</v>
      </c>
      <c r="BJ306" s="290"/>
      <c r="BK306" s="290"/>
      <c r="BL306" s="290"/>
      <c r="BM306" s="290">
        <v>0</v>
      </c>
      <c r="BN306" s="290">
        <v>502.17986000000002</v>
      </c>
      <c r="BO306" s="290">
        <v>-387.67342518500692</v>
      </c>
      <c r="BP306" s="290">
        <v>38.987000000000002</v>
      </c>
      <c r="BQ306" s="290">
        <v>-20.908999999999999</v>
      </c>
      <c r="BR306" s="290">
        <v>-21.206568966860672</v>
      </c>
      <c r="BS306" s="290">
        <v>0.36099999999999999</v>
      </c>
      <c r="BT306" s="290"/>
      <c r="BU306" s="290">
        <v>0</v>
      </c>
      <c r="BV306" s="290">
        <v>1000</v>
      </c>
      <c r="BW306" s="290">
        <v>-191</v>
      </c>
      <c r="BX306" s="290">
        <v>131</v>
      </c>
      <c r="BY306" s="290">
        <v>22</v>
      </c>
      <c r="BZ306" s="290">
        <v>-145</v>
      </c>
      <c r="CA306" s="290">
        <v>-0.73886584813243417</v>
      </c>
      <c r="CB306" s="290">
        <v>35</v>
      </c>
      <c r="CC306" s="290">
        <v>108</v>
      </c>
      <c r="CD306" s="290">
        <v>1</v>
      </c>
      <c r="CE306" s="290">
        <v>30</v>
      </c>
      <c r="CF306" s="290">
        <v>3</v>
      </c>
      <c r="CG306" s="290">
        <v>0</v>
      </c>
      <c r="CH306" s="290">
        <v>-2</v>
      </c>
      <c r="CI306" s="290">
        <v>-364</v>
      </c>
      <c r="CJ306" s="290">
        <v>-838</v>
      </c>
      <c r="CK306" s="290">
        <f>+innut22!E312+innut22!S312</f>
        <v>33066.403237495586</v>
      </c>
      <c r="CL306" s="290">
        <v>0</v>
      </c>
      <c r="CM306" s="290">
        <v>0</v>
      </c>
      <c r="CN306" s="290">
        <v>0</v>
      </c>
      <c r="CP306" s="290">
        <f>+innut23!E312</f>
        <v>31219.24497308629</v>
      </c>
      <c r="CQ306" s="290"/>
      <c r="CV306" s="85">
        <f t="shared" si="5"/>
        <v>0.154</v>
      </c>
    </row>
    <row r="307" spans="1:100" ht="13">
      <c r="A307" s="1">
        <v>5045</v>
      </c>
      <c r="B307" s="2" t="s">
        <v>166</v>
      </c>
      <c r="C307" s="289">
        <v>2287</v>
      </c>
      <c r="D307" s="290">
        <v>39</v>
      </c>
      <c r="E307" s="290">
        <v>99</v>
      </c>
      <c r="F307" s="290">
        <v>274</v>
      </c>
      <c r="G307" s="290">
        <v>193</v>
      </c>
      <c r="H307" s="290">
        <v>1217</v>
      </c>
      <c r="I307" s="290">
        <v>332</v>
      </c>
      <c r="J307" s="290">
        <v>135</v>
      </c>
      <c r="K307" s="290">
        <v>41</v>
      </c>
      <c r="L307" s="290">
        <v>16</v>
      </c>
      <c r="M307" s="290">
        <v>249</v>
      </c>
      <c r="N307" s="290">
        <v>61</v>
      </c>
      <c r="O307" s="290">
        <v>32</v>
      </c>
      <c r="P307" s="624">
        <v>14314.04833333</v>
      </c>
      <c r="Q307" s="624">
        <v>6199.04433333</v>
      </c>
      <c r="R307" s="624">
        <v>10</v>
      </c>
      <c r="S307" s="290">
        <v>27</v>
      </c>
      <c r="T307" s="290">
        <v>208</v>
      </c>
      <c r="U307" s="958">
        <v>1.4564113744949178E-3</v>
      </c>
      <c r="V307" s="290">
        <v>1061.6552153099999</v>
      </c>
      <c r="W307" s="765">
        <v>0.85878827999999996</v>
      </c>
      <c r="X307" s="290">
        <v>0</v>
      </c>
      <c r="Y307" s="290"/>
      <c r="Z307" s="290">
        <f>innut22!E313</f>
        <v>71993.094319875803</v>
      </c>
      <c r="AA307" s="290">
        <v>0</v>
      </c>
      <c r="AB307" s="290">
        <v>54</v>
      </c>
      <c r="AC307" s="290">
        <v>1863</v>
      </c>
      <c r="AD307" s="290"/>
      <c r="AE307" s="290">
        <v>0</v>
      </c>
      <c r="AF307" s="290">
        <v>0</v>
      </c>
      <c r="AG307" s="290">
        <v>2330</v>
      </c>
      <c r="AH307" s="290">
        <v>400</v>
      </c>
      <c r="AI307" s="290">
        <v>3350</v>
      </c>
      <c r="AJ307" s="290">
        <v>0</v>
      </c>
      <c r="AK307" s="290">
        <v>0</v>
      </c>
      <c r="AL307" s="290">
        <v>4368</v>
      </c>
      <c r="AM307" s="957">
        <v>3.104345E-2</v>
      </c>
      <c r="AN307" s="290">
        <v>0</v>
      </c>
      <c r="AO307" s="290">
        <v>551.35857539000006</v>
      </c>
      <c r="AP307" s="290">
        <v>0</v>
      </c>
      <c r="AQ307" s="290">
        <v>0</v>
      </c>
      <c r="AR307" s="290">
        <v>-112.40069635</v>
      </c>
      <c r="AS307" s="290">
        <v>746</v>
      </c>
      <c r="AT307" s="290">
        <v>95</v>
      </c>
      <c r="AU307" s="290">
        <v>15</v>
      </c>
      <c r="AV307" s="766">
        <v>101973</v>
      </c>
      <c r="AW307" s="290"/>
      <c r="AX307" s="766">
        <v>11.041650000000001</v>
      </c>
      <c r="AY307" s="290">
        <v>474</v>
      </c>
      <c r="AZ307" s="290">
        <v>120</v>
      </c>
      <c r="BA307" s="290">
        <v>47</v>
      </c>
      <c r="BB307" s="290">
        <v>6034</v>
      </c>
      <c r="BC307" s="290">
        <v>4247</v>
      </c>
      <c r="BD307" s="290"/>
      <c r="BE307" s="290">
        <v>104362.73514290999</v>
      </c>
      <c r="BF307" s="290">
        <v>0</v>
      </c>
      <c r="BG307" s="290">
        <v>2065.5746165628625</v>
      </c>
      <c r="BH307" s="290">
        <v>111.28810179032564</v>
      </c>
      <c r="BI307" s="290">
        <v>2263</v>
      </c>
      <c r="BJ307" s="290"/>
      <c r="BK307" s="290"/>
      <c r="BL307" s="290"/>
      <c r="BM307" s="290">
        <v>0</v>
      </c>
      <c r="BN307" s="290">
        <v>1049.10176</v>
      </c>
      <c r="BO307" s="290">
        <v>-1085.6719719724351</v>
      </c>
      <c r="BP307" s="290">
        <v>125.46899999999999</v>
      </c>
      <c r="BQ307" s="290">
        <v>-67.287999999999997</v>
      </c>
      <c r="BR307" s="290">
        <v>-47.912141447959144</v>
      </c>
      <c r="BS307" s="290">
        <v>0.58899999999999997</v>
      </c>
      <c r="BT307" s="290"/>
      <c r="BU307" s="290">
        <v>0</v>
      </c>
      <c r="BV307" s="290">
        <v>1000</v>
      </c>
      <c r="BW307" s="290">
        <v>-535</v>
      </c>
      <c r="BX307" s="290">
        <v>304</v>
      </c>
      <c r="BY307" s="290">
        <v>69</v>
      </c>
      <c r="BZ307" s="290">
        <v>-407</v>
      </c>
      <c r="CA307" s="290">
        <v>-7.2876465796057346</v>
      </c>
      <c r="CB307" s="290">
        <v>111</v>
      </c>
      <c r="CC307" s="290">
        <v>303</v>
      </c>
      <c r="CD307" s="290">
        <v>4</v>
      </c>
      <c r="CE307" s="290">
        <v>84</v>
      </c>
      <c r="CF307" s="290">
        <v>5</v>
      </c>
      <c r="CG307" s="290">
        <v>0</v>
      </c>
      <c r="CH307" s="290">
        <v>-3</v>
      </c>
      <c r="CI307" s="290">
        <v>-1019</v>
      </c>
      <c r="CJ307" s="290">
        <v>-2799</v>
      </c>
      <c r="CK307" s="290">
        <f>+innut22!E313+innut22!S313</f>
        <v>71993.094319875803</v>
      </c>
      <c r="CL307" s="290">
        <v>0</v>
      </c>
      <c r="CM307" s="290">
        <v>0</v>
      </c>
      <c r="CN307" s="290">
        <v>0</v>
      </c>
      <c r="CP307" s="290">
        <f>+innut23!E313</f>
        <v>68330.081053287533</v>
      </c>
      <c r="CQ307" s="290"/>
      <c r="CV307" s="85">
        <f t="shared" si="5"/>
        <v>0.43099999999999999</v>
      </c>
    </row>
    <row r="308" spans="1:100" ht="13">
      <c r="A308" s="1">
        <v>5046</v>
      </c>
      <c r="B308" s="2" t="s">
        <v>167</v>
      </c>
      <c r="C308" s="289">
        <v>1193</v>
      </c>
      <c r="D308" s="290">
        <v>20</v>
      </c>
      <c r="E308" s="290">
        <v>39</v>
      </c>
      <c r="F308" s="290">
        <v>168</v>
      </c>
      <c r="G308" s="290">
        <v>124</v>
      </c>
      <c r="H308" s="290">
        <v>565</v>
      </c>
      <c r="I308" s="290">
        <v>204</v>
      </c>
      <c r="J308" s="290">
        <v>71</v>
      </c>
      <c r="K308" s="290">
        <v>14</v>
      </c>
      <c r="L308" s="290">
        <v>8</v>
      </c>
      <c r="M308" s="290">
        <v>107</v>
      </c>
      <c r="N308" s="290">
        <v>8</v>
      </c>
      <c r="O308" s="290">
        <v>6</v>
      </c>
      <c r="P308" s="624">
        <v>8283.4723333300008</v>
      </c>
      <c r="Q308" s="624">
        <v>6360.1490000000003</v>
      </c>
      <c r="R308" s="624">
        <v>17</v>
      </c>
      <c r="S308" s="290">
        <v>9</v>
      </c>
      <c r="T308" s="290">
        <v>75</v>
      </c>
      <c r="U308" s="958">
        <v>1.5261142098707636E-3</v>
      </c>
      <c r="V308" s="290">
        <v>918.67883073999997</v>
      </c>
      <c r="W308" s="765">
        <v>1</v>
      </c>
      <c r="X308" s="290">
        <v>150</v>
      </c>
      <c r="Y308" s="290"/>
      <c r="Z308" s="290">
        <f>innut22!E314</f>
        <v>31909.971494418252</v>
      </c>
      <c r="AA308" s="290">
        <v>0</v>
      </c>
      <c r="AB308" s="290">
        <v>28</v>
      </c>
      <c r="AC308" s="290">
        <v>0</v>
      </c>
      <c r="AD308" s="290"/>
      <c r="AE308" s="290">
        <v>0</v>
      </c>
      <c r="AF308" s="290">
        <v>0</v>
      </c>
      <c r="AG308" s="290">
        <v>1205</v>
      </c>
      <c r="AH308" s="290">
        <v>237</v>
      </c>
      <c r="AI308" s="290">
        <v>0</v>
      </c>
      <c r="AJ308" s="290">
        <v>0</v>
      </c>
      <c r="AK308" s="290">
        <v>0</v>
      </c>
      <c r="AL308" s="290">
        <v>2261</v>
      </c>
      <c r="AM308" s="957">
        <v>2.37769E-3</v>
      </c>
      <c r="AN308" s="290">
        <v>0</v>
      </c>
      <c r="AO308" s="290">
        <v>342.9729916</v>
      </c>
      <c r="AP308" s="290">
        <v>0</v>
      </c>
      <c r="AQ308" s="290">
        <v>0</v>
      </c>
      <c r="AR308" s="290">
        <v>2698.61449404</v>
      </c>
      <c r="AS308" s="290">
        <v>408</v>
      </c>
      <c r="AT308" s="290">
        <v>45</v>
      </c>
      <c r="AU308" s="290">
        <v>3</v>
      </c>
      <c r="AV308" s="766">
        <v>76810</v>
      </c>
      <c r="AW308" s="290"/>
      <c r="AX308" s="766">
        <v>4.75</v>
      </c>
      <c r="AY308" s="290">
        <v>260</v>
      </c>
      <c r="AZ308" s="290">
        <v>26</v>
      </c>
      <c r="BA308" s="290">
        <v>9</v>
      </c>
      <c r="BB308" s="290">
        <v>5432</v>
      </c>
      <c r="BC308" s="290">
        <v>2519</v>
      </c>
      <c r="BD308" s="290"/>
      <c r="BE308" s="290">
        <v>73428.521751940003</v>
      </c>
      <c r="BF308" s="290">
        <v>0</v>
      </c>
      <c r="BG308" s="290">
        <v>1077.4947606294249</v>
      </c>
      <c r="BH308" s="290">
        <v>58.052778940034329</v>
      </c>
      <c r="BI308" s="290">
        <v>237</v>
      </c>
      <c r="BJ308" s="290"/>
      <c r="BK308" s="290"/>
      <c r="BL308" s="290"/>
      <c r="BM308" s="290">
        <v>0</v>
      </c>
      <c r="BN308" s="290">
        <v>652.59447999999998</v>
      </c>
      <c r="BO308" s="290">
        <v>-561.47413142780454</v>
      </c>
      <c r="BP308" s="290">
        <v>51.526000000000003</v>
      </c>
      <c r="BQ308" s="290">
        <v>-27.632999999999999</v>
      </c>
      <c r="BR308" s="290">
        <v>-30.427348572195456</v>
      </c>
      <c r="BS308" s="290">
        <v>0.41399999999999998</v>
      </c>
      <c r="BT308" s="290"/>
      <c r="BU308" s="290">
        <v>0</v>
      </c>
      <c r="BV308" s="290">
        <v>500</v>
      </c>
      <c r="BW308" s="290">
        <v>-277</v>
      </c>
      <c r="BX308" s="290">
        <v>198</v>
      </c>
      <c r="BY308" s="290">
        <v>25</v>
      </c>
      <c r="BZ308" s="290">
        <v>-210</v>
      </c>
      <c r="CA308" s="290">
        <v>0</v>
      </c>
      <c r="CB308" s="290">
        <v>40</v>
      </c>
      <c r="CC308" s="290">
        <v>157</v>
      </c>
      <c r="CD308" s="290">
        <v>1</v>
      </c>
      <c r="CE308" s="290">
        <v>44</v>
      </c>
      <c r="CF308" s="290">
        <v>3</v>
      </c>
      <c r="CG308" s="290">
        <v>0</v>
      </c>
      <c r="CH308" s="290">
        <v>-2</v>
      </c>
      <c r="CI308" s="290">
        <v>-531</v>
      </c>
      <c r="CJ308" s="290">
        <v>-1448</v>
      </c>
      <c r="CK308" s="290">
        <f>+innut22!E314+innut22!S314</f>
        <v>31909.971494418252</v>
      </c>
      <c r="CL308" s="290">
        <v>0</v>
      </c>
      <c r="CM308" s="290">
        <v>0</v>
      </c>
      <c r="CN308" s="290">
        <v>0</v>
      </c>
      <c r="CP308" s="290">
        <f>+innut23!E314</f>
        <v>29749.091779239378</v>
      </c>
      <c r="CQ308" s="290"/>
      <c r="CV308" s="85">
        <f t="shared" si="5"/>
        <v>0.223</v>
      </c>
    </row>
    <row r="309" spans="1:100" ht="13">
      <c r="A309" s="1">
        <v>5047</v>
      </c>
      <c r="B309" s="2" t="s">
        <v>168</v>
      </c>
      <c r="C309" s="289">
        <v>3817</v>
      </c>
      <c r="D309" s="290">
        <v>81</v>
      </c>
      <c r="E309" s="290">
        <v>201</v>
      </c>
      <c r="F309" s="290">
        <v>544</v>
      </c>
      <c r="G309" s="290">
        <v>318</v>
      </c>
      <c r="H309" s="290">
        <v>2068</v>
      </c>
      <c r="I309" s="290">
        <v>455</v>
      </c>
      <c r="J309" s="290">
        <v>161</v>
      </c>
      <c r="K309" s="290">
        <v>36</v>
      </c>
      <c r="L309" s="290">
        <v>29</v>
      </c>
      <c r="M309" s="290">
        <v>257</v>
      </c>
      <c r="N309" s="290">
        <v>41</v>
      </c>
      <c r="O309" s="290">
        <v>43</v>
      </c>
      <c r="P309" s="624">
        <v>35652.364000000001</v>
      </c>
      <c r="Q309" s="624">
        <v>16147.555666669999</v>
      </c>
      <c r="R309" s="624">
        <v>19</v>
      </c>
      <c r="S309" s="290">
        <v>33</v>
      </c>
      <c r="T309" s="290">
        <v>228</v>
      </c>
      <c r="U309" s="958">
        <v>2.6786839989104069E-3</v>
      </c>
      <c r="V309" s="290">
        <v>-3486.7169969000001</v>
      </c>
      <c r="W309" s="765">
        <v>0.73004785999999999</v>
      </c>
      <c r="X309" s="290">
        <v>0</v>
      </c>
      <c r="Y309" s="290"/>
      <c r="Z309" s="290">
        <f>innut22!E315</f>
        <v>112800.58424278154</v>
      </c>
      <c r="AA309" s="290">
        <v>0</v>
      </c>
      <c r="AB309" s="290">
        <v>85</v>
      </c>
      <c r="AC309" s="290">
        <v>1365</v>
      </c>
      <c r="AD309" s="290"/>
      <c r="AE309" s="290">
        <v>0</v>
      </c>
      <c r="AF309" s="290">
        <v>0</v>
      </c>
      <c r="AG309" s="290">
        <v>3864</v>
      </c>
      <c r="AH309" s="290">
        <v>783</v>
      </c>
      <c r="AI309" s="290">
        <v>1305</v>
      </c>
      <c r="AJ309" s="290">
        <v>0</v>
      </c>
      <c r="AK309" s="290">
        <v>0</v>
      </c>
      <c r="AL309" s="290">
        <v>7193</v>
      </c>
      <c r="AM309" s="957">
        <v>3.5817509999999997E-2</v>
      </c>
      <c r="AN309" s="290">
        <v>0</v>
      </c>
      <c r="AO309" s="290">
        <v>868.40321076999999</v>
      </c>
      <c r="AP309" s="290">
        <v>0</v>
      </c>
      <c r="AQ309" s="290">
        <v>0</v>
      </c>
      <c r="AR309" s="290">
        <v>-186.40184149999999</v>
      </c>
      <c r="AS309" s="290">
        <v>1013</v>
      </c>
      <c r="AT309" s="290">
        <v>150</v>
      </c>
      <c r="AU309" s="290">
        <v>29</v>
      </c>
      <c r="AV309" s="766">
        <v>135481</v>
      </c>
      <c r="AW309" s="290"/>
      <c r="AX309" s="766">
        <v>29.416650000000001</v>
      </c>
      <c r="AY309" s="290">
        <v>788</v>
      </c>
      <c r="AZ309" s="290">
        <v>123</v>
      </c>
      <c r="BA309" s="290">
        <v>93</v>
      </c>
      <c r="BB309" s="290">
        <v>0</v>
      </c>
      <c r="BC309" s="290">
        <v>7338</v>
      </c>
      <c r="BD309" s="290"/>
      <c r="BE309" s="290">
        <v>142211.76607906001</v>
      </c>
      <c r="BF309" s="290">
        <v>0</v>
      </c>
      <c r="BG309" s="290">
        <v>3447.4413255008508</v>
      </c>
      <c r="BH309" s="290">
        <v>185.73969590453564</v>
      </c>
      <c r="BI309" s="290">
        <v>2148</v>
      </c>
      <c r="BJ309" s="290"/>
      <c r="BK309" s="290"/>
      <c r="BL309" s="290"/>
      <c r="BM309" s="290">
        <v>0</v>
      </c>
      <c r="BN309" s="290">
        <v>1652.3608599999998</v>
      </c>
      <c r="BO309" s="290">
        <v>-1800.4448496572918</v>
      </c>
      <c r="BP309" s="290">
        <v>256.45400000000001</v>
      </c>
      <c r="BQ309" s="290">
        <v>-137.535</v>
      </c>
      <c r="BR309" s="290">
        <v>-90.361211911650912</v>
      </c>
      <c r="BS309" s="290">
        <v>0.86399999999999999</v>
      </c>
      <c r="BT309" s="290"/>
      <c r="BU309" s="290">
        <v>0</v>
      </c>
      <c r="BV309" s="290">
        <v>1000</v>
      </c>
      <c r="BW309" s="290">
        <v>-887</v>
      </c>
      <c r="BX309" s="290">
        <v>577</v>
      </c>
      <c r="BY309" s="290">
        <v>87</v>
      </c>
      <c r="BZ309" s="290">
        <v>-674</v>
      </c>
      <c r="CA309" s="290">
        <v>-5.337798431057081</v>
      </c>
      <c r="CB309" s="290">
        <v>139</v>
      </c>
      <c r="CC309" s="290">
        <v>502</v>
      </c>
      <c r="CD309" s="290">
        <v>5</v>
      </c>
      <c r="CE309" s="290">
        <v>141</v>
      </c>
      <c r="CF309" s="290">
        <v>7</v>
      </c>
      <c r="CG309" s="290">
        <v>1</v>
      </c>
      <c r="CH309" s="290">
        <v>-5</v>
      </c>
      <c r="CI309" s="290">
        <v>-1700</v>
      </c>
      <c r="CJ309" s="290">
        <v>-4642</v>
      </c>
      <c r="CK309" s="290">
        <f>+innut22!E315+innut22!S315</f>
        <v>112800.58424278154</v>
      </c>
      <c r="CL309" s="290">
        <v>0</v>
      </c>
      <c r="CM309" s="290">
        <v>0</v>
      </c>
      <c r="CN309" s="290">
        <v>0</v>
      </c>
      <c r="CP309" s="290">
        <f>+innut23!E315</f>
        <v>104834.94166032557</v>
      </c>
      <c r="CQ309" s="290"/>
      <c r="CV309" s="85">
        <f t="shared" si="5"/>
        <v>0.71499999999999997</v>
      </c>
    </row>
    <row r="310" spans="1:100" ht="13">
      <c r="A310" s="1">
        <v>5049</v>
      </c>
      <c r="B310" s="2" t="s">
        <v>170</v>
      </c>
      <c r="C310" s="289">
        <v>1101</v>
      </c>
      <c r="D310" s="290">
        <v>14</v>
      </c>
      <c r="E310" s="290">
        <v>41</v>
      </c>
      <c r="F310" s="290">
        <v>84</v>
      </c>
      <c r="G310" s="290">
        <v>95</v>
      </c>
      <c r="H310" s="290">
        <v>613</v>
      </c>
      <c r="I310" s="290">
        <v>189</v>
      </c>
      <c r="J310" s="290">
        <v>61</v>
      </c>
      <c r="K310" s="290">
        <v>8</v>
      </c>
      <c r="L310" s="290">
        <v>9</v>
      </c>
      <c r="M310" s="290">
        <v>96</v>
      </c>
      <c r="N310" s="290">
        <v>0</v>
      </c>
      <c r="O310" s="290">
        <v>5</v>
      </c>
      <c r="P310" s="624">
        <v>13664.490666670001</v>
      </c>
      <c r="Q310" s="624">
        <v>6331.259</v>
      </c>
      <c r="R310" s="624">
        <v>9</v>
      </c>
      <c r="S310" s="290">
        <v>10</v>
      </c>
      <c r="T310" s="290">
        <v>88</v>
      </c>
      <c r="U310" s="958">
        <v>1.119007099721704E-3</v>
      </c>
      <c r="V310" s="290">
        <v>748.12292392999996</v>
      </c>
      <c r="W310" s="765">
        <v>1</v>
      </c>
      <c r="X310" s="290">
        <v>170</v>
      </c>
      <c r="Y310" s="290"/>
      <c r="Z310" s="290">
        <f>innut22!E316</f>
        <v>50114.912833941416</v>
      </c>
      <c r="AA310" s="290">
        <v>0</v>
      </c>
      <c r="AB310" s="290">
        <v>19</v>
      </c>
      <c r="AC310" s="290">
        <v>117</v>
      </c>
      <c r="AD310" s="290"/>
      <c r="AE310" s="290">
        <v>0</v>
      </c>
      <c r="AF310" s="290">
        <v>0</v>
      </c>
      <c r="AG310" s="290">
        <v>1105</v>
      </c>
      <c r="AH310" s="290">
        <v>147</v>
      </c>
      <c r="AI310" s="290">
        <v>860</v>
      </c>
      <c r="AJ310" s="290">
        <v>0</v>
      </c>
      <c r="AK310" s="290">
        <v>0</v>
      </c>
      <c r="AL310" s="290">
        <v>2047</v>
      </c>
      <c r="AM310" s="957">
        <v>1.5954550000000001E-2</v>
      </c>
      <c r="AN310" s="290">
        <v>0</v>
      </c>
      <c r="AO310" s="290">
        <v>279.29886780999999</v>
      </c>
      <c r="AP310" s="290">
        <v>0</v>
      </c>
      <c r="AQ310" s="290">
        <v>0</v>
      </c>
      <c r="AR310" s="290">
        <v>-53.305909640000003</v>
      </c>
      <c r="AS310" s="290">
        <v>272</v>
      </c>
      <c r="AT310" s="290">
        <v>39</v>
      </c>
      <c r="AU310" s="290">
        <v>11</v>
      </c>
      <c r="AV310" s="766">
        <v>56755</v>
      </c>
      <c r="AW310" s="290"/>
      <c r="AX310" s="766">
        <v>5.5833000000000004</v>
      </c>
      <c r="AY310" s="290">
        <v>241</v>
      </c>
      <c r="AZ310" s="290">
        <v>45</v>
      </c>
      <c r="BA310" s="290">
        <v>12</v>
      </c>
      <c r="BB310" s="290">
        <v>6034</v>
      </c>
      <c r="BC310" s="290">
        <v>2217</v>
      </c>
      <c r="BD310" s="290"/>
      <c r="BE310" s="290">
        <v>57656.361853659997</v>
      </c>
      <c r="BF310" s="290">
        <v>0</v>
      </c>
      <c r="BG310" s="290">
        <v>994.40212192204262</v>
      </c>
      <c r="BH310" s="290">
        <v>53.57595105865699</v>
      </c>
      <c r="BI310" s="290">
        <v>264</v>
      </c>
      <c r="BJ310" s="290"/>
      <c r="BK310" s="290"/>
      <c r="BL310" s="290"/>
      <c r="BM310" s="290">
        <v>0</v>
      </c>
      <c r="BN310" s="290">
        <v>531.43806000000006</v>
      </c>
      <c r="BO310" s="290">
        <v>-514.87876782383728</v>
      </c>
      <c r="BP310" s="290">
        <v>53.889000000000003</v>
      </c>
      <c r="BQ310" s="290">
        <v>-28.9</v>
      </c>
      <c r="BR310" s="290">
        <v>-19.484337490158431</v>
      </c>
      <c r="BS310" s="290">
        <v>0.39300000000000002</v>
      </c>
      <c r="BT310" s="290"/>
      <c r="BU310" s="290">
        <v>0</v>
      </c>
      <c r="BV310" s="290">
        <v>1000</v>
      </c>
      <c r="BW310" s="290">
        <v>-254</v>
      </c>
      <c r="BX310" s="290">
        <v>123</v>
      </c>
      <c r="BY310" s="290">
        <v>26</v>
      </c>
      <c r="BZ310" s="290">
        <v>-193</v>
      </c>
      <c r="CA310" s="290">
        <v>-0.45695468600436584</v>
      </c>
      <c r="CB310" s="290">
        <v>42</v>
      </c>
      <c r="CC310" s="290">
        <v>144</v>
      </c>
      <c r="CD310" s="290">
        <v>2</v>
      </c>
      <c r="CE310" s="290">
        <v>41</v>
      </c>
      <c r="CF310" s="290">
        <v>3</v>
      </c>
      <c r="CG310" s="290">
        <v>0</v>
      </c>
      <c r="CH310" s="290">
        <v>-2</v>
      </c>
      <c r="CI310" s="290">
        <v>-490</v>
      </c>
      <c r="CJ310" s="290">
        <v>-2195</v>
      </c>
      <c r="CK310" s="290">
        <f>+innut22!E316+innut22!S316</f>
        <v>50114.912833941416</v>
      </c>
      <c r="CL310" s="290">
        <v>0</v>
      </c>
      <c r="CM310" s="290">
        <v>0</v>
      </c>
      <c r="CN310" s="290">
        <v>0</v>
      </c>
      <c r="CP310" s="290">
        <f>+innut23!E316</f>
        <v>42860.246688584732</v>
      </c>
      <c r="CQ310" s="290"/>
      <c r="CV310" s="85">
        <f t="shared" si="5"/>
        <v>0.20499999999999999</v>
      </c>
    </row>
    <row r="311" spans="1:100" ht="13">
      <c r="A311" s="1">
        <v>5052</v>
      </c>
      <c r="B311" s="2" t="s">
        <v>173</v>
      </c>
      <c r="C311" s="289">
        <v>570</v>
      </c>
      <c r="D311" s="290">
        <v>12</v>
      </c>
      <c r="E311" s="290">
        <v>19</v>
      </c>
      <c r="F311" s="290">
        <v>60</v>
      </c>
      <c r="G311" s="290">
        <v>38</v>
      </c>
      <c r="H311" s="290">
        <v>279</v>
      </c>
      <c r="I311" s="290">
        <v>107</v>
      </c>
      <c r="J311" s="290">
        <v>37</v>
      </c>
      <c r="K311" s="290">
        <v>10</v>
      </c>
      <c r="L311" s="290">
        <v>6</v>
      </c>
      <c r="M311" s="290">
        <v>68</v>
      </c>
      <c r="N311" s="290">
        <v>0</v>
      </c>
      <c r="O311" s="290">
        <v>5</v>
      </c>
      <c r="P311" s="624">
        <v>2697.3743333299999</v>
      </c>
      <c r="Q311" s="624">
        <v>2457.7809999999999</v>
      </c>
      <c r="R311" s="624">
        <v>1</v>
      </c>
      <c r="S311" s="290">
        <v>5</v>
      </c>
      <c r="T311" s="290">
        <v>49</v>
      </c>
      <c r="U311" s="958">
        <v>8.7248244173531635E-4</v>
      </c>
      <c r="V311" s="290">
        <v>484.37185529999999</v>
      </c>
      <c r="W311" s="765">
        <v>1</v>
      </c>
      <c r="X311" s="290">
        <v>0</v>
      </c>
      <c r="Y311" s="290"/>
      <c r="Z311" s="290">
        <f>innut22!E317</f>
        <v>17213.788952183353</v>
      </c>
      <c r="AA311" s="290">
        <v>0</v>
      </c>
      <c r="AB311" s="290">
        <v>13</v>
      </c>
      <c r="AC311" s="290">
        <v>0</v>
      </c>
      <c r="AD311" s="290"/>
      <c r="AE311" s="290">
        <v>0</v>
      </c>
      <c r="AF311" s="290">
        <v>0</v>
      </c>
      <c r="AG311" s="290">
        <v>562</v>
      </c>
      <c r="AH311" s="290">
        <v>100</v>
      </c>
      <c r="AI311" s="290">
        <v>0</v>
      </c>
      <c r="AJ311" s="290">
        <v>0</v>
      </c>
      <c r="AK311" s="290">
        <v>0</v>
      </c>
      <c r="AL311" s="290">
        <v>1048</v>
      </c>
      <c r="AM311" s="957">
        <v>3.9562199999999999E-3</v>
      </c>
      <c r="AN311" s="290">
        <v>0</v>
      </c>
      <c r="AO311" s="290">
        <v>180.83192808999999</v>
      </c>
      <c r="AP311" s="290">
        <v>0</v>
      </c>
      <c r="AQ311" s="290">
        <v>0</v>
      </c>
      <c r="AR311" s="290">
        <v>-27.11124092</v>
      </c>
      <c r="AS311" s="290">
        <v>156</v>
      </c>
      <c r="AT311" s="290">
        <v>22</v>
      </c>
      <c r="AU311" s="290">
        <v>3</v>
      </c>
      <c r="AV311" s="766">
        <v>42139</v>
      </c>
      <c r="AW311" s="290"/>
      <c r="AX311" s="766">
        <v>4.625</v>
      </c>
      <c r="AY311" s="290">
        <v>80</v>
      </c>
      <c r="AZ311" s="290">
        <v>19</v>
      </c>
      <c r="BA311" s="290">
        <v>18</v>
      </c>
      <c r="BB311" s="290">
        <v>6034</v>
      </c>
      <c r="BC311" s="290">
        <v>1418</v>
      </c>
      <c r="BD311" s="290"/>
      <c r="BE311" s="290">
        <v>44052.462734430002</v>
      </c>
      <c r="BF311" s="290">
        <v>0</v>
      </c>
      <c r="BG311" s="290">
        <v>514.81308764356424</v>
      </c>
      <c r="BH311" s="290">
        <v>27.736868395489989</v>
      </c>
      <c r="BI311" s="290">
        <v>100</v>
      </c>
      <c r="BJ311" s="290"/>
      <c r="BK311" s="290"/>
      <c r="BL311" s="290"/>
      <c r="BM311" s="290">
        <v>0</v>
      </c>
      <c r="BN311" s="290">
        <v>344.07934</v>
      </c>
      <c r="BO311" s="290">
        <v>-261.86594345429552</v>
      </c>
      <c r="BP311" s="290">
        <v>25.931000000000001</v>
      </c>
      <c r="BQ311" s="290">
        <v>-13.906000000000001</v>
      </c>
      <c r="BR311" s="290">
        <v>-14.516396545704485</v>
      </c>
      <c r="BS311" s="290">
        <v>0.27800000000000002</v>
      </c>
      <c r="BT311" s="290"/>
      <c r="BU311" s="290">
        <v>0</v>
      </c>
      <c r="BV311" s="290">
        <v>500</v>
      </c>
      <c r="BW311" s="290">
        <v>-129</v>
      </c>
      <c r="BX311" s="290">
        <v>90</v>
      </c>
      <c r="BY311" s="290">
        <v>13</v>
      </c>
      <c r="BZ311" s="290">
        <v>-98</v>
      </c>
      <c r="CA311" s="290">
        <v>0</v>
      </c>
      <c r="CB311" s="290">
        <v>21</v>
      </c>
      <c r="CC311" s="290">
        <v>73</v>
      </c>
      <c r="CD311" s="290">
        <v>1</v>
      </c>
      <c r="CE311" s="290">
        <v>21</v>
      </c>
      <c r="CF311" s="290">
        <v>2</v>
      </c>
      <c r="CG311" s="290">
        <v>0</v>
      </c>
      <c r="CH311" s="290">
        <v>-1</v>
      </c>
      <c r="CI311" s="290">
        <v>-254</v>
      </c>
      <c r="CJ311" s="290">
        <v>-658</v>
      </c>
      <c r="CK311" s="290">
        <f>+innut22!E317+innut22!S317</f>
        <v>17213.788952183353</v>
      </c>
      <c r="CL311" s="290">
        <v>0</v>
      </c>
      <c r="CM311" s="290">
        <v>0</v>
      </c>
      <c r="CN311" s="290">
        <v>0</v>
      </c>
      <c r="CP311" s="290">
        <f>+innut23!E317</f>
        <v>16625.609572759662</v>
      </c>
      <c r="CQ311" s="290"/>
      <c r="CV311" s="85">
        <f t="shared" si="5"/>
        <v>0.104</v>
      </c>
    </row>
    <row r="312" spans="1:100" ht="13">
      <c r="A312" s="1">
        <v>5053</v>
      </c>
      <c r="B312" s="2" t="s">
        <v>155</v>
      </c>
      <c r="C312" s="289">
        <v>6794</v>
      </c>
      <c r="D312" s="290">
        <v>128</v>
      </c>
      <c r="E312" s="290">
        <v>296</v>
      </c>
      <c r="F312" s="290">
        <v>854</v>
      </c>
      <c r="G312" s="290">
        <v>634</v>
      </c>
      <c r="H312" s="290">
        <v>3509</v>
      </c>
      <c r="I312" s="290">
        <v>1012</v>
      </c>
      <c r="J312" s="290">
        <v>276</v>
      </c>
      <c r="K312" s="290">
        <v>75</v>
      </c>
      <c r="L312" s="290">
        <v>48</v>
      </c>
      <c r="M312" s="290">
        <v>524</v>
      </c>
      <c r="N312" s="290">
        <v>64</v>
      </c>
      <c r="O312" s="290">
        <v>36</v>
      </c>
      <c r="P312" s="624">
        <v>55294.596333330002</v>
      </c>
      <c r="Q312" s="624">
        <v>20094.716333330001</v>
      </c>
      <c r="R312" s="624">
        <v>31</v>
      </c>
      <c r="S312" s="290">
        <v>59</v>
      </c>
      <c r="T312" s="290">
        <v>422</v>
      </c>
      <c r="U312" s="958">
        <v>4.7319368807467906E-3</v>
      </c>
      <c r="V312" s="290">
        <v>1622.1936266299999</v>
      </c>
      <c r="W312" s="765">
        <v>0.68294485999999999</v>
      </c>
      <c r="X312" s="290">
        <v>240</v>
      </c>
      <c r="Y312" s="290"/>
      <c r="Z312" s="290">
        <f>innut22!E318</f>
        <v>213244.21295569828</v>
      </c>
      <c r="AA312" s="290">
        <v>0</v>
      </c>
      <c r="AB312" s="290">
        <v>139</v>
      </c>
      <c r="AC312" s="290">
        <v>529</v>
      </c>
      <c r="AD312" s="290"/>
      <c r="AE312" s="290">
        <v>0</v>
      </c>
      <c r="AF312" s="290">
        <v>21393</v>
      </c>
      <c r="AG312" s="290">
        <v>6784</v>
      </c>
      <c r="AH312" s="290">
        <v>1274</v>
      </c>
      <c r="AI312" s="290">
        <v>150</v>
      </c>
      <c r="AJ312" s="290">
        <v>0</v>
      </c>
      <c r="AK312" s="290">
        <v>0</v>
      </c>
      <c r="AL312" s="290">
        <v>0</v>
      </c>
      <c r="AM312" s="957">
        <v>8.0708479999999999E-2</v>
      </c>
      <c r="AN312" s="290">
        <v>7453</v>
      </c>
      <c r="AO312" s="290">
        <v>1419.40913901</v>
      </c>
      <c r="AP312" s="290">
        <v>0</v>
      </c>
      <c r="AQ312" s="290">
        <v>0</v>
      </c>
      <c r="AR312" s="290">
        <v>-327.26451675999999</v>
      </c>
      <c r="AS312" s="290">
        <v>2271</v>
      </c>
      <c r="AT312" s="290">
        <v>309</v>
      </c>
      <c r="AU312" s="290">
        <v>50</v>
      </c>
      <c r="AV312" s="766">
        <v>233581</v>
      </c>
      <c r="AW312" s="290"/>
      <c r="AX312" s="766">
        <v>50.666649999999997</v>
      </c>
      <c r="AY312" s="290">
        <v>1683</v>
      </c>
      <c r="AZ312" s="290">
        <v>239</v>
      </c>
      <c r="BA312" s="290">
        <v>142</v>
      </c>
      <c r="BB312" s="290">
        <v>0</v>
      </c>
      <c r="BC312" s="290">
        <v>32782</v>
      </c>
      <c r="BD312" s="290"/>
      <c r="BE312" s="290">
        <v>239963.60722840001</v>
      </c>
      <c r="BF312" s="290">
        <v>0</v>
      </c>
      <c r="BG312" s="290">
        <v>6136.2107323690807</v>
      </c>
      <c r="BH312" s="290">
        <v>330.60400680519126</v>
      </c>
      <c r="BI312" s="290">
        <v>23196</v>
      </c>
      <c r="BJ312" s="290"/>
      <c r="BK312" s="290"/>
      <c r="BL312" s="290"/>
      <c r="BM312" s="290">
        <v>0</v>
      </c>
      <c r="BN312" s="290">
        <v>2700.79162</v>
      </c>
      <c r="BO312" s="290">
        <v>-3161.0294668931333</v>
      </c>
      <c r="BP312" s="290">
        <v>396.423</v>
      </c>
      <c r="BQ312" s="290">
        <v>-212.59899999999999</v>
      </c>
      <c r="BR312" s="290">
        <v>-136.94381115971683</v>
      </c>
      <c r="BS312" s="290">
        <v>1.425</v>
      </c>
      <c r="BT312" s="290"/>
      <c r="BU312" s="290">
        <v>0</v>
      </c>
      <c r="BV312" s="290">
        <v>3500</v>
      </c>
      <c r="BW312" s="290">
        <v>-1558</v>
      </c>
      <c r="BX312" s="290">
        <v>875</v>
      </c>
      <c r="BY312" s="290">
        <v>155</v>
      </c>
      <c r="BZ312" s="290">
        <v>-1184</v>
      </c>
      <c r="CA312" s="290">
        <v>-2.0673419471498846</v>
      </c>
      <c r="CB312" s="290">
        <v>249</v>
      </c>
      <c r="CC312" s="290">
        <v>882</v>
      </c>
      <c r="CD312" s="290">
        <v>9</v>
      </c>
      <c r="CE312" s="290">
        <v>250</v>
      </c>
      <c r="CF312" s="290">
        <v>12</v>
      </c>
      <c r="CG312" s="290">
        <v>1</v>
      </c>
      <c r="CH312" s="290">
        <v>-8</v>
      </c>
      <c r="CI312" s="290">
        <v>-3026</v>
      </c>
      <c r="CJ312" s="290">
        <v>-8297</v>
      </c>
      <c r="CK312" s="290">
        <f>+innut22!E318+innut22!S318</f>
        <v>213244.21295569828</v>
      </c>
      <c r="CL312" s="290">
        <v>0</v>
      </c>
      <c r="CM312" s="290">
        <v>0</v>
      </c>
      <c r="CN312" s="290">
        <v>0</v>
      </c>
      <c r="CP312" s="290">
        <f>+innut23!E318</f>
        <v>193913.27002919401</v>
      </c>
      <c r="CQ312" s="290"/>
      <c r="CV312" s="85">
        <f t="shared" si="5"/>
        <v>1.256</v>
      </c>
    </row>
    <row r="313" spans="1:100" ht="13">
      <c r="A313" s="1">
        <v>5054</v>
      </c>
      <c r="B313" s="2" t="s">
        <v>1234</v>
      </c>
      <c r="C313" s="289">
        <v>9899</v>
      </c>
      <c r="D313" s="290">
        <v>164</v>
      </c>
      <c r="E313" s="290">
        <v>377</v>
      </c>
      <c r="F313" s="290">
        <v>1207</v>
      </c>
      <c r="G313" s="290">
        <v>841</v>
      </c>
      <c r="H313" s="290">
        <v>5224</v>
      </c>
      <c r="I313" s="290">
        <v>1505</v>
      </c>
      <c r="J313" s="290">
        <v>490</v>
      </c>
      <c r="K313" s="290">
        <v>116</v>
      </c>
      <c r="L313" s="290">
        <v>77</v>
      </c>
      <c r="M313" s="290">
        <v>916</v>
      </c>
      <c r="N313" s="290">
        <v>50</v>
      </c>
      <c r="O313" s="290">
        <v>61</v>
      </c>
      <c r="P313" s="624">
        <v>95171.780666670005</v>
      </c>
      <c r="Q313" s="624">
        <v>34565.37966667</v>
      </c>
      <c r="R313" s="624">
        <v>49</v>
      </c>
      <c r="S313" s="290">
        <v>96</v>
      </c>
      <c r="T313" s="290">
        <v>778</v>
      </c>
      <c r="U313" s="958">
        <v>7.1212660248857031E-3</v>
      </c>
      <c r="V313" s="290">
        <v>2311.8090819099998</v>
      </c>
      <c r="W313" s="765">
        <v>0.81203548999999997</v>
      </c>
      <c r="X313" s="290">
        <v>1670</v>
      </c>
      <c r="Y313" s="290"/>
      <c r="Z313" s="290">
        <f>innut22!E319</f>
        <v>278819.59480205592</v>
      </c>
      <c r="AA313" s="290">
        <v>-13734</v>
      </c>
      <c r="AB313" s="290">
        <v>244</v>
      </c>
      <c r="AC313" s="290">
        <v>1720</v>
      </c>
      <c r="AD313" s="290"/>
      <c r="AE313" s="290">
        <v>0</v>
      </c>
      <c r="AF313" s="290">
        <v>16916</v>
      </c>
      <c r="AG313" s="290">
        <v>9924</v>
      </c>
      <c r="AH313" s="290">
        <v>1744</v>
      </c>
      <c r="AI313" s="290">
        <v>1800</v>
      </c>
      <c r="AJ313" s="290">
        <v>0</v>
      </c>
      <c r="AK313" s="290">
        <v>0</v>
      </c>
      <c r="AL313" s="290">
        <v>0</v>
      </c>
      <c r="AM313" s="957">
        <v>0.14497765000000001</v>
      </c>
      <c r="AN313" s="290">
        <v>7848</v>
      </c>
      <c r="AO313" s="290">
        <v>2103.1367014000002</v>
      </c>
      <c r="AP313" s="290">
        <v>0</v>
      </c>
      <c r="AQ313" s="290">
        <v>0</v>
      </c>
      <c r="AR313" s="290">
        <v>-478.74013330999998</v>
      </c>
      <c r="AS313" s="290">
        <v>2680</v>
      </c>
      <c r="AT313" s="290">
        <v>415</v>
      </c>
      <c r="AU313" s="290">
        <v>86</v>
      </c>
      <c r="AV313" s="766">
        <v>345171</v>
      </c>
      <c r="AW313" s="290"/>
      <c r="AX313" s="766">
        <v>61.708350000000003</v>
      </c>
      <c r="AY313" s="290">
        <v>1764</v>
      </c>
      <c r="AZ313" s="290">
        <v>402</v>
      </c>
      <c r="BA313" s="290">
        <v>221</v>
      </c>
      <c r="BB313" s="290">
        <v>0</v>
      </c>
      <c r="BC313" s="290">
        <v>33326</v>
      </c>
      <c r="BD313" s="290"/>
      <c r="BE313" s="290">
        <v>334108.85875423002</v>
      </c>
      <c r="BF313" s="290">
        <v>0</v>
      </c>
      <c r="BG313" s="290">
        <v>8940.5872887432342</v>
      </c>
      <c r="BH313" s="290">
        <v>481.69694780167629</v>
      </c>
      <c r="BI313" s="290">
        <v>6646</v>
      </c>
      <c r="BJ313" s="290"/>
      <c r="BK313" s="290"/>
      <c r="BL313" s="290"/>
      <c r="BM313" s="290">
        <v>4040</v>
      </c>
      <c r="BN313" s="290">
        <v>4001.7594799999997</v>
      </c>
      <c r="BO313" s="290">
        <v>-4624.1238840577025</v>
      </c>
      <c r="BP313" s="290">
        <v>493.399</v>
      </c>
      <c r="BQ313" s="290">
        <v>-264.60599999999999</v>
      </c>
      <c r="BR313" s="290">
        <v>-195.80119029741883</v>
      </c>
      <c r="BS313" s="290">
        <v>2.0990000000000002</v>
      </c>
      <c r="BT313" s="290"/>
      <c r="BU313" s="290">
        <v>0</v>
      </c>
      <c r="BV313" s="290">
        <v>3000</v>
      </c>
      <c r="BW313" s="290">
        <v>-2279</v>
      </c>
      <c r="BX313" s="290">
        <v>1253</v>
      </c>
      <c r="BY313" s="290">
        <v>252</v>
      </c>
      <c r="BZ313" s="290">
        <v>-1732</v>
      </c>
      <c r="CA313" s="290">
        <v>-6.7264056448784686</v>
      </c>
      <c r="CB313" s="290">
        <v>404</v>
      </c>
      <c r="CC313" s="290">
        <v>1291</v>
      </c>
      <c r="CD313" s="290">
        <v>15</v>
      </c>
      <c r="CE313" s="290">
        <v>365</v>
      </c>
      <c r="CF313" s="290">
        <v>17</v>
      </c>
      <c r="CG313" s="290">
        <v>2</v>
      </c>
      <c r="CH313" s="290">
        <v>-11</v>
      </c>
      <c r="CI313" s="290">
        <v>-4409</v>
      </c>
      <c r="CJ313" s="290">
        <v>-11861</v>
      </c>
      <c r="CK313" s="290">
        <f>+innut22!E319+innut22!S319</f>
        <v>278819.59480205592</v>
      </c>
      <c r="CL313" s="290">
        <v>0</v>
      </c>
      <c r="CM313" s="290">
        <v>0</v>
      </c>
      <c r="CN313" s="290">
        <v>0</v>
      </c>
      <c r="CP313" s="290">
        <f>+innut23!E319</f>
        <v>259487.78609124737</v>
      </c>
      <c r="CQ313" s="290"/>
      <c r="CV313" s="85">
        <f t="shared" si="5"/>
        <v>1.837</v>
      </c>
    </row>
    <row r="314" spans="1:100" ht="13">
      <c r="A314" s="1">
        <v>5055</v>
      </c>
      <c r="B314" s="2" t="s">
        <v>1642</v>
      </c>
      <c r="C314" s="289">
        <v>5884</v>
      </c>
      <c r="D314" s="290">
        <v>89</v>
      </c>
      <c r="E314" s="290">
        <v>234</v>
      </c>
      <c r="F314" s="290">
        <v>663</v>
      </c>
      <c r="G314" s="290">
        <v>484</v>
      </c>
      <c r="H314" s="290">
        <v>3123</v>
      </c>
      <c r="I314" s="290">
        <v>943</v>
      </c>
      <c r="J314" s="290">
        <v>315</v>
      </c>
      <c r="K314" s="290">
        <v>74</v>
      </c>
      <c r="L314" s="290">
        <v>44</v>
      </c>
      <c r="M314" s="290">
        <v>547</v>
      </c>
      <c r="N314" s="290">
        <v>56</v>
      </c>
      <c r="O314" s="290">
        <v>40</v>
      </c>
      <c r="P314" s="624">
        <v>109920.15166667</v>
      </c>
      <c r="Q314" s="624">
        <v>20371.421666670001</v>
      </c>
      <c r="R314" s="624">
        <v>23</v>
      </c>
      <c r="S314" s="290">
        <v>58</v>
      </c>
      <c r="T314" s="290">
        <v>473</v>
      </c>
      <c r="U314" s="958">
        <v>4.0600125655226409E-3</v>
      </c>
      <c r="V314" s="290">
        <v>3432.33227343</v>
      </c>
      <c r="W314" s="765">
        <v>0.86987820999999999</v>
      </c>
      <c r="X314" s="290">
        <v>0</v>
      </c>
      <c r="Y314" s="290"/>
      <c r="Z314" s="290">
        <f>innut22!E320</f>
        <v>196667.09050514281</v>
      </c>
      <c r="AA314" s="290">
        <v>0</v>
      </c>
      <c r="AB314" s="290">
        <v>160</v>
      </c>
      <c r="AC314" s="290">
        <v>612</v>
      </c>
      <c r="AD314" s="290"/>
      <c r="AE314" s="290">
        <v>0</v>
      </c>
      <c r="AF314" s="290">
        <v>26130</v>
      </c>
      <c r="AG314" s="290">
        <v>5925</v>
      </c>
      <c r="AH314" s="290">
        <v>959</v>
      </c>
      <c r="AI314" s="290">
        <v>550</v>
      </c>
      <c r="AJ314" s="290">
        <v>0</v>
      </c>
      <c r="AK314" s="290">
        <v>45</v>
      </c>
      <c r="AL314" s="290">
        <v>0</v>
      </c>
      <c r="AM314" s="957">
        <v>4.7444739999999999E-2</v>
      </c>
      <c r="AN314" s="290">
        <v>8335</v>
      </c>
      <c r="AO314" s="290">
        <v>1281.4024102799999</v>
      </c>
      <c r="AP314" s="290">
        <v>0</v>
      </c>
      <c r="AQ314" s="290">
        <v>0</v>
      </c>
      <c r="AR314" s="290">
        <v>-285.82580510000003</v>
      </c>
      <c r="AS314" s="290">
        <v>1110</v>
      </c>
      <c r="AT314" s="290">
        <v>255</v>
      </c>
      <c r="AU314" s="290">
        <v>33</v>
      </c>
      <c r="AV314" s="766">
        <v>225253</v>
      </c>
      <c r="AW314" s="290"/>
      <c r="AX314" s="766">
        <v>33.583300000000001</v>
      </c>
      <c r="AY314" s="290">
        <v>951</v>
      </c>
      <c r="AZ314" s="290">
        <v>199</v>
      </c>
      <c r="BA314" s="290">
        <v>142</v>
      </c>
      <c r="BB314" s="290">
        <v>0</v>
      </c>
      <c r="BC314" s="290">
        <v>36143</v>
      </c>
      <c r="BD314" s="290"/>
      <c r="BE314" s="290">
        <v>233363.67285007</v>
      </c>
      <c r="BF314" s="290">
        <v>0</v>
      </c>
      <c r="BG314" s="290">
        <v>5314.3161538504073</v>
      </c>
      <c r="BH314" s="290">
        <v>286.32233971765459</v>
      </c>
      <c r="BI314" s="290">
        <v>27746</v>
      </c>
      <c r="BJ314" s="290"/>
      <c r="BK314" s="290"/>
      <c r="BL314" s="290"/>
      <c r="BM314" s="290">
        <v>0</v>
      </c>
      <c r="BN314" s="290">
        <v>2438.1982600000001</v>
      </c>
      <c r="BO314" s="290">
        <v>-2760.7752935350554</v>
      </c>
      <c r="BP314" s="290">
        <v>298.80799999999999</v>
      </c>
      <c r="BQ314" s="290">
        <v>-160.24799999999999</v>
      </c>
      <c r="BR314" s="290">
        <v>-114.98532995368032</v>
      </c>
      <c r="BS314" s="290">
        <v>1.397</v>
      </c>
      <c r="BT314" s="290"/>
      <c r="BU314" s="290">
        <v>0</v>
      </c>
      <c r="BV314" s="290">
        <v>2500</v>
      </c>
      <c r="BW314" s="290">
        <v>-1361</v>
      </c>
      <c r="BX314" s="290">
        <v>735</v>
      </c>
      <c r="BY314" s="290">
        <v>151</v>
      </c>
      <c r="BZ314" s="290">
        <v>-1034</v>
      </c>
      <c r="CA314" s="290">
        <v>-2.3946365112643662</v>
      </c>
      <c r="CB314" s="290">
        <v>242</v>
      </c>
      <c r="CC314" s="290">
        <v>770</v>
      </c>
      <c r="CD314" s="290">
        <v>9</v>
      </c>
      <c r="CE314" s="290">
        <v>217</v>
      </c>
      <c r="CF314" s="290">
        <v>11</v>
      </c>
      <c r="CG314" s="290">
        <v>1</v>
      </c>
      <c r="CH314" s="290">
        <v>-7</v>
      </c>
      <c r="CI314" s="290">
        <v>-2621</v>
      </c>
      <c r="CJ314" s="290">
        <v>-7226</v>
      </c>
      <c r="CK314" s="290">
        <f>+innut22!E320+innut22!S320</f>
        <v>196667.09050514281</v>
      </c>
      <c r="CL314" s="290">
        <v>0</v>
      </c>
      <c r="CM314" s="290">
        <v>0</v>
      </c>
      <c r="CN314" s="290">
        <v>0</v>
      </c>
      <c r="CP314" s="290">
        <f>+innut23!E320</f>
        <v>179482.67958791932</v>
      </c>
      <c r="CQ314" s="290"/>
      <c r="CV314" s="85">
        <f t="shared" si="5"/>
        <v>1.097</v>
      </c>
    </row>
    <row r="315" spans="1:100" ht="13">
      <c r="A315" s="1">
        <v>5056</v>
      </c>
      <c r="B315" s="2" t="s">
        <v>1643</v>
      </c>
      <c r="C315" s="289">
        <v>5156</v>
      </c>
      <c r="D315" s="290">
        <v>109</v>
      </c>
      <c r="E315" s="290">
        <v>207</v>
      </c>
      <c r="F315" s="290">
        <v>498</v>
      </c>
      <c r="G315" s="290">
        <v>408</v>
      </c>
      <c r="H315" s="290">
        <v>2956</v>
      </c>
      <c r="I315" s="290">
        <v>706</v>
      </c>
      <c r="J315" s="290">
        <v>217</v>
      </c>
      <c r="K315" s="290">
        <v>38</v>
      </c>
      <c r="L315" s="290">
        <v>42</v>
      </c>
      <c r="M315" s="290">
        <v>458</v>
      </c>
      <c r="N315" s="290">
        <v>60</v>
      </c>
      <c r="O315" s="290">
        <v>55</v>
      </c>
      <c r="P315" s="624">
        <v>70351.039666669996</v>
      </c>
      <c r="Q315" s="624">
        <v>23726.286666669999</v>
      </c>
      <c r="R315" s="624">
        <v>20</v>
      </c>
      <c r="S315" s="290">
        <v>62</v>
      </c>
      <c r="T315" s="290">
        <v>533</v>
      </c>
      <c r="U315" s="958">
        <v>2.1879916382231842E-3</v>
      </c>
      <c r="V315" s="290">
        <v>2820.7204957499998</v>
      </c>
      <c r="W315" s="765">
        <v>0.91334293</v>
      </c>
      <c r="X315" s="290">
        <v>1020</v>
      </c>
      <c r="Y315" s="290"/>
      <c r="Z315" s="290">
        <f>innut22!E321</f>
        <v>176257.72651107205</v>
      </c>
      <c r="AA315" s="290">
        <v>6719</v>
      </c>
      <c r="AB315" s="290">
        <v>119</v>
      </c>
      <c r="AC315" s="290">
        <v>339</v>
      </c>
      <c r="AD315" s="290"/>
      <c r="AE315" s="290">
        <v>0</v>
      </c>
      <c r="AF315" s="290">
        <v>6381</v>
      </c>
      <c r="AG315" s="290">
        <v>5139</v>
      </c>
      <c r="AH315" s="290">
        <v>804</v>
      </c>
      <c r="AI315" s="290">
        <v>540</v>
      </c>
      <c r="AJ315" s="290">
        <v>0</v>
      </c>
      <c r="AK315" s="290">
        <v>147</v>
      </c>
      <c r="AL315" s="290">
        <v>0</v>
      </c>
      <c r="AM315" s="957">
        <v>0.118904</v>
      </c>
      <c r="AN315" s="290">
        <v>2953</v>
      </c>
      <c r="AO315" s="290">
        <v>1053.0676385700001</v>
      </c>
      <c r="AP315" s="290">
        <v>0</v>
      </c>
      <c r="AQ315" s="290">
        <v>0</v>
      </c>
      <c r="AR315" s="290">
        <v>-247.90866032</v>
      </c>
      <c r="AS315" s="290">
        <v>1053</v>
      </c>
      <c r="AT315" s="290">
        <v>261</v>
      </c>
      <c r="AU315" s="290">
        <v>51</v>
      </c>
      <c r="AV315" s="766">
        <v>167942</v>
      </c>
      <c r="AW315" s="290"/>
      <c r="AX315" s="766">
        <v>30.583300000000001</v>
      </c>
      <c r="AY315" s="290">
        <v>864</v>
      </c>
      <c r="AZ315" s="290">
        <v>236</v>
      </c>
      <c r="BA315" s="290">
        <v>127</v>
      </c>
      <c r="BB315" s="290">
        <v>0</v>
      </c>
      <c r="BC315" s="290">
        <v>15628</v>
      </c>
      <c r="BD315" s="290"/>
      <c r="BE315" s="290">
        <v>171605.17955803999</v>
      </c>
      <c r="BF315" s="290">
        <v>0</v>
      </c>
      <c r="BG315" s="290">
        <v>4656.8004910354693</v>
      </c>
      <c r="BH315" s="290">
        <v>250.8970060476253</v>
      </c>
      <c r="BI315" s="290">
        <v>14390</v>
      </c>
      <c r="BJ315" s="290"/>
      <c r="BK315" s="290"/>
      <c r="BL315" s="290"/>
      <c r="BM315" s="290">
        <v>0</v>
      </c>
      <c r="BN315" s="290">
        <v>2003.7325199999998</v>
      </c>
      <c r="BO315" s="290">
        <v>-2394.5357356078734</v>
      </c>
      <c r="BP315" s="290">
        <v>265.61500000000001</v>
      </c>
      <c r="BQ315" s="290">
        <v>-142.447</v>
      </c>
      <c r="BR315" s="290">
        <v>-88.208221302327317</v>
      </c>
      <c r="BS315" s="290">
        <v>1.169</v>
      </c>
      <c r="BT315" s="290"/>
      <c r="BU315" s="290">
        <v>0</v>
      </c>
      <c r="BV315" s="290">
        <v>3000</v>
      </c>
      <c r="BW315" s="290">
        <v>-1180</v>
      </c>
      <c r="BX315" s="290">
        <v>572</v>
      </c>
      <c r="BY315" s="290">
        <v>162</v>
      </c>
      <c r="BZ315" s="290">
        <v>-897</v>
      </c>
      <c r="CA315" s="290">
        <v>-1.3255630897990045</v>
      </c>
      <c r="CB315" s="290">
        <v>260</v>
      </c>
      <c r="CC315" s="290">
        <v>668</v>
      </c>
      <c r="CD315" s="290">
        <v>10</v>
      </c>
      <c r="CE315" s="290">
        <v>190</v>
      </c>
      <c r="CF315" s="290">
        <v>10</v>
      </c>
      <c r="CG315" s="290">
        <v>1</v>
      </c>
      <c r="CH315" s="290">
        <v>-6</v>
      </c>
      <c r="CI315" s="290">
        <v>-2296</v>
      </c>
      <c r="CJ315" s="290">
        <v>-6158</v>
      </c>
      <c r="CK315" s="290">
        <f>+innut22!E321+innut22!S321</f>
        <v>176257.72651107205</v>
      </c>
      <c r="CL315" s="290">
        <v>0</v>
      </c>
      <c r="CM315" s="290">
        <v>0</v>
      </c>
      <c r="CN315" s="290">
        <v>0</v>
      </c>
      <c r="CP315" s="290">
        <f>+innut23!E321</f>
        <v>167479.56555777186</v>
      </c>
      <c r="CQ315" s="290"/>
      <c r="CV315" s="85">
        <f t="shared" si="5"/>
        <v>0.95099999999999996</v>
      </c>
    </row>
    <row r="316" spans="1:100" ht="13">
      <c r="A316" s="1">
        <v>5057</v>
      </c>
      <c r="B316" s="2" t="s">
        <v>1644</v>
      </c>
      <c r="C316" s="289">
        <v>10371</v>
      </c>
      <c r="D316" s="290">
        <v>207</v>
      </c>
      <c r="E316" s="290">
        <v>449</v>
      </c>
      <c r="F316" s="290">
        <v>1221</v>
      </c>
      <c r="G316" s="290">
        <v>807</v>
      </c>
      <c r="H316" s="290">
        <v>5658</v>
      </c>
      <c r="I316" s="290">
        <v>1371</v>
      </c>
      <c r="J316" s="290">
        <v>507</v>
      </c>
      <c r="K316" s="290">
        <v>104</v>
      </c>
      <c r="L316" s="290">
        <v>77</v>
      </c>
      <c r="M316" s="290">
        <v>906</v>
      </c>
      <c r="N316" s="290">
        <v>47</v>
      </c>
      <c r="O316" s="290">
        <v>58</v>
      </c>
      <c r="P316" s="624">
        <v>55688.103999999999</v>
      </c>
      <c r="Q316" s="624">
        <v>25057.919000000002</v>
      </c>
      <c r="R316" s="624">
        <v>28</v>
      </c>
      <c r="S316" s="290">
        <v>108</v>
      </c>
      <c r="T316" s="290">
        <v>927</v>
      </c>
      <c r="U316" s="958">
        <v>5.1354546267540204E-3</v>
      </c>
      <c r="V316" s="290">
        <v>801.52638171000001</v>
      </c>
      <c r="W316" s="765">
        <v>0.67485116000000001</v>
      </c>
      <c r="X316" s="290">
        <v>0</v>
      </c>
      <c r="Y316" s="290"/>
      <c r="Z316" s="290">
        <f>innut22!E322</f>
        <v>320996.08227548294</v>
      </c>
      <c r="AA316" s="290">
        <v>0</v>
      </c>
      <c r="AB316" s="290">
        <v>306</v>
      </c>
      <c r="AC316" s="290">
        <v>1943</v>
      </c>
      <c r="AD316" s="290"/>
      <c r="AE316" s="290">
        <v>0</v>
      </c>
      <c r="AF316" s="290">
        <v>19579</v>
      </c>
      <c r="AG316" s="290">
        <v>10324</v>
      </c>
      <c r="AH316" s="290">
        <v>1803</v>
      </c>
      <c r="AI316" s="290">
        <v>3030</v>
      </c>
      <c r="AJ316" s="290">
        <v>0</v>
      </c>
      <c r="AK316" s="290">
        <v>600</v>
      </c>
      <c r="AL316" s="290">
        <v>0</v>
      </c>
      <c r="AM316" s="957">
        <v>0.11747191999999999</v>
      </c>
      <c r="AN316" s="290">
        <v>13499</v>
      </c>
      <c r="AO316" s="290">
        <v>2081.8258539100002</v>
      </c>
      <c r="AP316" s="290">
        <v>0</v>
      </c>
      <c r="AQ316" s="290">
        <v>0</v>
      </c>
      <c r="AR316" s="290">
        <v>-498.03639019000002</v>
      </c>
      <c r="AS316" s="290">
        <v>2736</v>
      </c>
      <c r="AT316" s="290">
        <v>480</v>
      </c>
      <c r="AU316" s="290">
        <v>82</v>
      </c>
      <c r="AV316" s="766">
        <v>331778</v>
      </c>
      <c r="AW316" s="290"/>
      <c r="AX316" s="766">
        <v>83.750050000000002</v>
      </c>
      <c r="AY316" s="290">
        <v>1877</v>
      </c>
      <c r="AZ316" s="290">
        <v>317</v>
      </c>
      <c r="BA316" s="290">
        <v>291</v>
      </c>
      <c r="BB316" s="290">
        <v>0</v>
      </c>
      <c r="BC316" s="290">
        <v>37231</v>
      </c>
      <c r="BD316" s="290"/>
      <c r="BE316" s="290">
        <v>334238.26456372999</v>
      </c>
      <c r="BF316" s="290">
        <v>0</v>
      </c>
      <c r="BG316" s="290">
        <v>9366.888652546324</v>
      </c>
      <c r="BH316" s="290">
        <v>504.66502128004686</v>
      </c>
      <c r="BI316" s="290">
        <v>23925</v>
      </c>
      <c r="BJ316" s="290"/>
      <c r="BK316" s="290"/>
      <c r="BL316" s="290"/>
      <c r="BM316" s="290">
        <v>4065</v>
      </c>
      <c r="BN316" s="290">
        <v>3961.2101000000002</v>
      </c>
      <c r="BO316" s="290">
        <v>-4810.5053384735711</v>
      </c>
      <c r="BP316" s="290">
        <v>590.90099999999995</v>
      </c>
      <c r="BQ316" s="290">
        <v>-316.89600000000002</v>
      </c>
      <c r="BR316" s="290">
        <v>-193.12428302525737</v>
      </c>
      <c r="BS316" s="290">
        <v>2.016</v>
      </c>
      <c r="BT316" s="290"/>
      <c r="BU316" s="290">
        <v>0</v>
      </c>
      <c r="BV316" s="290">
        <v>3000</v>
      </c>
      <c r="BW316" s="290">
        <v>-2371</v>
      </c>
      <c r="BX316" s="290">
        <v>1228</v>
      </c>
      <c r="BY316" s="290">
        <v>281</v>
      </c>
      <c r="BZ316" s="290">
        <v>-1802</v>
      </c>
      <c r="CA316" s="290">
        <v>-7.6014785011716413</v>
      </c>
      <c r="CB316" s="290">
        <v>450</v>
      </c>
      <c r="CC316" s="290">
        <v>1343</v>
      </c>
      <c r="CD316" s="290">
        <v>17</v>
      </c>
      <c r="CE316" s="290">
        <v>382</v>
      </c>
      <c r="CF316" s="290">
        <v>16</v>
      </c>
      <c r="CG316" s="290">
        <v>2</v>
      </c>
      <c r="CH316" s="290">
        <v>-11</v>
      </c>
      <c r="CI316" s="290">
        <v>-4619</v>
      </c>
      <c r="CJ316" s="290">
        <v>-12194</v>
      </c>
      <c r="CK316" s="290">
        <f>+innut22!E322+innut22!S322</f>
        <v>320996.08227548294</v>
      </c>
      <c r="CL316" s="290">
        <v>365.1853040817266</v>
      </c>
      <c r="CM316" s="290">
        <v>119.56662591624172</v>
      </c>
      <c r="CN316" s="290">
        <v>0</v>
      </c>
      <c r="CP316" s="290">
        <f>+innut23!E322</f>
        <v>303944.25686166855</v>
      </c>
      <c r="CQ316" s="290"/>
      <c r="CV316" s="85">
        <f t="shared" si="5"/>
        <v>1.911</v>
      </c>
    </row>
    <row r="317" spans="1:100" ht="13">
      <c r="A317" s="1">
        <v>5058</v>
      </c>
      <c r="B317" s="2" t="s">
        <v>1645</v>
      </c>
      <c r="C317" s="289">
        <v>4252</v>
      </c>
      <c r="D317" s="290">
        <v>79</v>
      </c>
      <c r="E317" s="290">
        <v>192</v>
      </c>
      <c r="F317" s="290">
        <v>401</v>
      </c>
      <c r="G317" s="290">
        <v>357</v>
      </c>
      <c r="H317" s="290">
        <v>2241</v>
      </c>
      <c r="I317" s="290">
        <v>687</v>
      </c>
      <c r="J317" s="290">
        <v>239</v>
      </c>
      <c r="K317" s="290">
        <v>49</v>
      </c>
      <c r="L317" s="290">
        <v>34</v>
      </c>
      <c r="M317" s="290">
        <v>459</v>
      </c>
      <c r="N317" s="290">
        <v>20</v>
      </c>
      <c r="O317" s="290">
        <v>38</v>
      </c>
      <c r="P317" s="624">
        <v>90865.867666670005</v>
      </c>
      <c r="Q317" s="624">
        <v>21605.310666670001</v>
      </c>
      <c r="R317" s="624">
        <v>20</v>
      </c>
      <c r="S317" s="290">
        <v>38</v>
      </c>
      <c r="T317" s="290">
        <v>316</v>
      </c>
      <c r="U317" s="958">
        <v>3.1460066364562985E-3</v>
      </c>
      <c r="V317" s="290">
        <v>2573.8057600699999</v>
      </c>
      <c r="W317" s="765">
        <v>1</v>
      </c>
      <c r="X317" s="290">
        <v>400</v>
      </c>
      <c r="Y317" s="290"/>
      <c r="Z317" s="290">
        <f>innut22!E323</f>
        <v>141910.26102931268</v>
      </c>
      <c r="AA317" s="290">
        <v>0</v>
      </c>
      <c r="AB317" s="290">
        <v>103</v>
      </c>
      <c r="AC317" s="290">
        <v>499</v>
      </c>
      <c r="AD317" s="290"/>
      <c r="AE317" s="290">
        <v>0</v>
      </c>
      <c r="AF317" s="290">
        <v>21117</v>
      </c>
      <c r="AG317" s="290">
        <v>4245</v>
      </c>
      <c r="AH317" s="290">
        <v>664</v>
      </c>
      <c r="AI317" s="290">
        <v>1950</v>
      </c>
      <c r="AJ317" s="290">
        <v>0</v>
      </c>
      <c r="AK317" s="290">
        <v>31</v>
      </c>
      <c r="AL317" s="290">
        <v>0</v>
      </c>
      <c r="AM317" s="957">
        <v>2.878588E-2</v>
      </c>
      <c r="AN317" s="290">
        <v>6360</v>
      </c>
      <c r="AO317" s="290">
        <v>960.88625511999999</v>
      </c>
      <c r="AP317" s="290">
        <v>0</v>
      </c>
      <c r="AQ317" s="290">
        <v>0</v>
      </c>
      <c r="AR317" s="290">
        <v>-204.78152618999999</v>
      </c>
      <c r="AS317" s="290">
        <v>1117</v>
      </c>
      <c r="AT317" s="290">
        <v>153</v>
      </c>
      <c r="AU317" s="290">
        <v>26</v>
      </c>
      <c r="AV317" s="766">
        <v>183966</v>
      </c>
      <c r="AW317" s="290"/>
      <c r="AX317" s="766">
        <v>34.125</v>
      </c>
      <c r="AY317" s="290">
        <v>689</v>
      </c>
      <c r="AZ317" s="290">
        <v>132</v>
      </c>
      <c r="BA317" s="290">
        <v>72</v>
      </c>
      <c r="BB317" s="290">
        <v>0</v>
      </c>
      <c r="BC317" s="290">
        <v>28416</v>
      </c>
      <c r="BD317" s="290"/>
      <c r="BE317" s="290">
        <v>183528.95541329001</v>
      </c>
      <c r="BF317" s="290">
        <v>0</v>
      </c>
      <c r="BG317" s="290">
        <v>3840.3249976498869</v>
      </c>
      <c r="BH317" s="290">
        <v>206.90730599583063</v>
      </c>
      <c r="BI317" s="290">
        <v>22311</v>
      </c>
      <c r="BJ317" s="290"/>
      <c r="BK317" s="290"/>
      <c r="BL317" s="290"/>
      <c r="BM317" s="290">
        <v>0</v>
      </c>
      <c r="BN317" s="290">
        <v>1828.3336800000002</v>
      </c>
      <c r="BO317" s="290">
        <v>-1977.9731849884067</v>
      </c>
      <c r="BP317" s="290">
        <v>248.524</v>
      </c>
      <c r="BQ317" s="290">
        <v>-133.28200000000001</v>
      </c>
      <c r="BR317" s="290">
        <v>-75.752254176463865</v>
      </c>
      <c r="BS317" s="290">
        <v>1.103</v>
      </c>
      <c r="BT317" s="290"/>
      <c r="BU317" s="290">
        <v>0</v>
      </c>
      <c r="BV317" s="290">
        <v>2000</v>
      </c>
      <c r="BW317" s="290">
        <v>-975</v>
      </c>
      <c r="BX317" s="290">
        <v>487</v>
      </c>
      <c r="BY317" s="290">
        <v>99</v>
      </c>
      <c r="BZ317" s="290">
        <v>-741</v>
      </c>
      <c r="CA317" s="290">
        <v>-1.9532408351295771</v>
      </c>
      <c r="CB317" s="290">
        <v>159</v>
      </c>
      <c r="CC317" s="290">
        <v>552</v>
      </c>
      <c r="CD317" s="290">
        <v>6</v>
      </c>
      <c r="CE317" s="290">
        <v>157</v>
      </c>
      <c r="CF317" s="290">
        <v>9</v>
      </c>
      <c r="CG317" s="290">
        <v>1</v>
      </c>
      <c r="CH317" s="290">
        <v>-6</v>
      </c>
      <c r="CI317" s="290">
        <v>-1894</v>
      </c>
      <c r="CJ317" s="290">
        <v>-5192</v>
      </c>
      <c r="CK317" s="290">
        <f>+innut22!E323+innut22!S323</f>
        <v>141910.26102931268</v>
      </c>
      <c r="CL317" s="290">
        <v>0</v>
      </c>
      <c r="CM317" s="290">
        <v>0</v>
      </c>
      <c r="CN317" s="290">
        <v>0</v>
      </c>
      <c r="CP317" s="290">
        <f>+innut23!E323</f>
        <v>130082.69719954063</v>
      </c>
      <c r="CQ317" s="290"/>
      <c r="CV317" s="85">
        <f t="shared" si="5"/>
        <v>0.78600000000000003</v>
      </c>
    </row>
    <row r="318" spans="1:100" ht="13">
      <c r="A318" s="1">
        <v>5059</v>
      </c>
      <c r="B318" s="2" t="s">
        <v>1646</v>
      </c>
      <c r="C318" s="289">
        <v>18502</v>
      </c>
      <c r="D318" s="290">
        <v>315</v>
      </c>
      <c r="E318" s="290">
        <v>717</v>
      </c>
      <c r="F318" s="290">
        <v>2254</v>
      </c>
      <c r="G318" s="290">
        <v>1485</v>
      </c>
      <c r="H318" s="290">
        <v>9998</v>
      </c>
      <c r="I318" s="290">
        <v>2554</v>
      </c>
      <c r="J318" s="290">
        <v>814</v>
      </c>
      <c r="K318" s="290">
        <v>215</v>
      </c>
      <c r="L318" s="290">
        <v>136</v>
      </c>
      <c r="M318" s="290">
        <v>1533</v>
      </c>
      <c r="N318" s="290">
        <v>309</v>
      </c>
      <c r="O318" s="290">
        <v>167</v>
      </c>
      <c r="P318" s="624">
        <v>110838.25533333</v>
      </c>
      <c r="Q318" s="624">
        <v>45825.115666669997</v>
      </c>
      <c r="R318" s="624">
        <v>76</v>
      </c>
      <c r="S318" s="290">
        <v>203</v>
      </c>
      <c r="T318" s="290">
        <v>1536</v>
      </c>
      <c r="U318" s="958">
        <v>8.0703481686974655E-3</v>
      </c>
      <c r="V318" s="290">
        <v>-3481.8284247000001</v>
      </c>
      <c r="W318" s="765">
        <v>0.66123195000000001</v>
      </c>
      <c r="X318" s="290">
        <v>2000</v>
      </c>
      <c r="Y318" s="290"/>
      <c r="Z318" s="290">
        <f>innut22!E324</f>
        <v>562353.28283040808</v>
      </c>
      <c r="AA318" s="290">
        <v>0</v>
      </c>
      <c r="AB318" s="290">
        <v>571</v>
      </c>
      <c r="AC318" s="290">
        <v>1372</v>
      </c>
      <c r="AD318" s="290"/>
      <c r="AE318" s="290">
        <v>0</v>
      </c>
      <c r="AF318" s="290">
        <v>50723</v>
      </c>
      <c r="AG318" s="290">
        <v>18352</v>
      </c>
      <c r="AH318" s="290">
        <v>3195</v>
      </c>
      <c r="AI318" s="290">
        <v>0</v>
      </c>
      <c r="AJ318" s="290">
        <v>0</v>
      </c>
      <c r="AK318" s="290">
        <v>0</v>
      </c>
      <c r="AL318" s="290">
        <v>0</v>
      </c>
      <c r="AM318" s="957">
        <v>0.22415418000000001</v>
      </c>
      <c r="AN318" s="290">
        <v>4599</v>
      </c>
      <c r="AO318" s="290">
        <v>3699.1206582200002</v>
      </c>
      <c r="AP318" s="290">
        <v>0</v>
      </c>
      <c r="AQ318" s="290">
        <v>0</v>
      </c>
      <c r="AR318" s="290">
        <v>-885.31226586000002</v>
      </c>
      <c r="AS318" s="290">
        <v>4169</v>
      </c>
      <c r="AT318" s="290">
        <v>872</v>
      </c>
      <c r="AU318" s="290">
        <v>143</v>
      </c>
      <c r="AV318" s="766">
        <v>584053</v>
      </c>
      <c r="AW318" s="290"/>
      <c r="AX318" s="766">
        <v>108.12495</v>
      </c>
      <c r="AY318" s="290">
        <v>3220</v>
      </c>
      <c r="AZ318" s="290">
        <v>602</v>
      </c>
      <c r="BA318" s="290">
        <v>423</v>
      </c>
      <c r="BB318" s="290">
        <v>0</v>
      </c>
      <c r="BC318" s="290">
        <v>79753</v>
      </c>
      <c r="BD318" s="290"/>
      <c r="BE318" s="290">
        <v>581531.18382296001</v>
      </c>
      <c r="BF318" s="290">
        <v>0</v>
      </c>
      <c r="BG318" s="290">
        <v>16710.652188738994</v>
      </c>
      <c r="BH318" s="290">
        <v>900.32901588308039</v>
      </c>
      <c r="BI318" s="290">
        <v>55290</v>
      </c>
      <c r="BJ318" s="290"/>
      <c r="BK318" s="290"/>
      <c r="BL318" s="290"/>
      <c r="BM318" s="290">
        <v>4625</v>
      </c>
      <c r="BN318" s="290">
        <v>7038.5302000000001</v>
      </c>
      <c r="BO318" s="290">
        <v>-8551.1811286000557</v>
      </c>
      <c r="BP318" s="290">
        <v>927.34</v>
      </c>
      <c r="BQ318" s="290">
        <v>-497.32499999999999</v>
      </c>
      <c r="BR318" s="290">
        <v>-354.5203278987035</v>
      </c>
      <c r="BS318" s="290">
        <v>3.524</v>
      </c>
      <c r="BT318" s="290"/>
      <c r="BU318" s="290">
        <v>0</v>
      </c>
      <c r="BV318" s="290">
        <v>5000</v>
      </c>
      <c r="BW318" s="290">
        <v>-4214</v>
      </c>
      <c r="BX318" s="290">
        <v>2276</v>
      </c>
      <c r="BY318" s="290">
        <v>530</v>
      </c>
      <c r="BZ318" s="290">
        <v>-3203</v>
      </c>
      <c r="CA318" s="290">
        <v>-5.367743501240966</v>
      </c>
      <c r="CB318" s="290">
        <v>850</v>
      </c>
      <c r="CC318" s="290">
        <v>2386</v>
      </c>
      <c r="CD318" s="290">
        <v>31</v>
      </c>
      <c r="CE318" s="290">
        <v>682</v>
      </c>
      <c r="CF318" s="290">
        <v>29</v>
      </c>
      <c r="CG318" s="290">
        <v>4</v>
      </c>
      <c r="CH318" s="290">
        <v>-19</v>
      </c>
      <c r="CI318" s="290">
        <v>-8241</v>
      </c>
      <c r="CJ318" s="290">
        <v>-21726</v>
      </c>
      <c r="CK318" s="290">
        <f>+innut22!E324+innut22!S324</f>
        <v>562353.28283040808</v>
      </c>
      <c r="CL318" s="290">
        <v>0</v>
      </c>
      <c r="CM318" s="290">
        <v>0</v>
      </c>
      <c r="CN318" s="290">
        <v>0</v>
      </c>
      <c r="CP318" s="290">
        <f>+innut23!E324</f>
        <v>529700.66683417524</v>
      </c>
      <c r="CQ318" s="290"/>
      <c r="CV318" s="85">
        <f t="shared" si="5"/>
        <v>3.3969999999999998</v>
      </c>
    </row>
    <row r="319" spans="1:100" ht="13">
      <c r="A319" s="1">
        <v>5060</v>
      </c>
      <c r="B319" s="2" t="s">
        <v>1647</v>
      </c>
      <c r="C319" s="289">
        <v>9732</v>
      </c>
      <c r="D319" s="290">
        <v>229</v>
      </c>
      <c r="E319" s="290">
        <v>404</v>
      </c>
      <c r="F319" s="290">
        <v>1202</v>
      </c>
      <c r="G319" s="290">
        <v>855</v>
      </c>
      <c r="H319" s="290">
        <v>5308</v>
      </c>
      <c r="I319" s="290">
        <v>1192</v>
      </c>
      <c r="J319" s="290">
        <v>421</v>
      </c>
      <c r="K319" s="290">
        <v>90</v>
      </c>
      <c r="L319" s="290">
        <v>79</v>
      </c>
      <c r="M319" s="290">
        <v>828</v>
      </c>
      <c r="N319" s="290">
        <v>108</v>
      </c>
      <c r="O319" s="290">
        <v>102</v>
      </c>
      <c r="P319" s="624">
        <v>84620.626000000004</v>
      </c>
      <c r="Q319" s="624">
        <v>35353.520666670003</v>
      </c>
      <c r="R319" s="624">
        <v>51</v>
      </c>
      <c r="S319" s="290">
        <v>100</v>
      </c>
      <c r="T319" s="290">
        <v>799</v>
      </c>
      <c r="U319" s="958">
        <v>4.5358248432930959E-3</v>
      </c>
      <c r="V319" s="290">
        <v>3909.9558286900001</v>
      </c>
      <c r="W319" s="765">
        <v>0.77127515000000002</v>
      </c>
      <c r="X319" s="290">
        <v>4500</v>
      </c>
      <c r="Y319" s="290"/>
      <c r="Z319" s="290">
        <f>innut22!E325</f>
        <v>375915.82106530562</v>
      </c>
      <c r="AA319" s="290">
        <v>0</v>
      </c>
      <c r="AB319" s="290">
        <v>231</v>
      </c>
      <c r="AC319" s="290">
        <v>2528</v>
      </c>
      <c r="AD319" s="290"/>
      <c r="AE319" s="290">
        <v>0</v>
      </c>
      <c r="AF319" s="290">
        <v>15488</v>
      </c>
      <c r="AG319" s="290">
        <v>9701</v>
      </c>
      <c r="AH319" s="290">
        <v>1781</v>
      </c>
      <c r="AI319" s="290">
        <v>650</v>
      </c>
      <c r="AJ319" s="290">
        <v>0</v>
      </c>
      <c r="AK319" s="290">
        <v>0</v>
      </c>
      <c r="AL319" s="290">
        <v>17830</v>
      </c>
      <c r="AM319" s="957">
        <v>0.13406143000000001</v>
      </c>
      <c r="AN319" s="290">
        <v>0</v>
      </c>
      <c r="AO319" s="290">
        <v>2040.99423299</v>
      </c>
      <c r="AP319" s="290">
        <v>0</v>
      </c>
      <c r="AQ319" s="290">
        <v>0</v>
      </c>
      <c r="AR319" s="290">
        <v>-467.98247008999999</v>
      </c>
      <c r="AS319" s="290">
        <v>2571</v>
      </c>
      <c r="AT319" s="290">
        <v>404</v>
      </c>
      <c r="AU319" s="290">
        <v>83</v>
      </c>
      <c r="AV319" s="766">
        <v>347771</v>
      </c>
      <c r="AW319" s="290"/>
      <c r="AX319" s="766">
        <v>95.708349999999996</v>
      </c>
      <c r="AY319" s="290">
        <v>1527</v>
      </c>
      <c r="AZ319" s="290">
        <v>367</v>
      </c>
      <c r="BA319" s="290">
        <v>193</v>
      </c>
      <c r="BB319" s="290">
        <v>0</v>
      </c>
      <c r="BC319" s="290">
        <v>31496</v>
      </c>
      <c r="BD319" s="290"/>
      <c r="BE319" s="290">
        <v>350124.90320126998</v>
      </c>
      <c r="BF319" s="290">
        <v>0</v>
      </c>
      <c r="BG319" s="290">
        <v>8789.7560858722245</v>
      </c>
      <c r="BH319" s="290">
        <v>473.57053197352388</v>
      </c>
      <c r="BI319" s="290">
        <v>19797</v>
      </c>
      <c r="BJ319" s="290"/>
      <c r="BK319" s="290"/>
      <c r="BL319" s="290"/>
      <c r="BM319" s="290">
        <v>4015</v>
      </c>
      <c r="BN319" s="290">
        <v>3883.5174200000001</v>
      </c>
      <c r="BO319" s="290">
        <v>-4520.2162232208557</v>
      </c>
      <c r="BP319" s="290">
        <v>544.96</v>
      </c>
      <c r="BQ319" s="290">
        <v>-292.25799999999998</v>
      </c>
      <c r="BR319" s="290">
        <v>-195.08758023721282</v>
      </c>
      <c r="BS319" s="290">
        <v>1.9730000000000001</v>
      </c>
      <c r="BT319" s="290"/>
      <c r="BU319" s="290">
        <v>0</v>
      </c>
      <c r="BV319" s="290">
        <v>3000</v>
      </c>
      <c r="BW319" s="290">
        <v>-2228</v>
      </c>
      <c r="BX319" s="290">
        <v>1257</v>
      </c>
      <c r="BY319" s="290">
        <v>261</v>
      </c>
      <c r="BZ319" s="290">
        <v>-1693</v>
      </c>
      <c r="CA319" s="290">
        <v>-9.8886165419316967</v>
      </c>
      <c r="CB319" s="290">
        <v>419</v>
      </c>
      <c r="CC319" s="290">
        <v>1262</v>
      </c>
      <c r="CD319" s="290">
        <v>15</v>
      </c>
      <c r="CE319" s="290">
        <v>359</v>
      </c>
      <c r="CF319" s="290">
        <v>16</v>
      </c>
      <c r="CG319" s="290">
        <v>2</v>
      </c>
      <c r="CH319" s="290">
        <v>-10</v>
      </c>
      <c r="CI319" s="290">
        <v>-4335</v>
      </c>
      <c r="CJ319" s="290">
        <v>-15365</v>
      </c>
      <c r="CK319" s="290">
        <f>+innut22!E325+innut22!S325</f>
        <v>375915.82106530562</v>
      </c>
      <c r="CL319" s="290">
        <v>0</v>
      </c>
      <c r="CM319" s="290">
        <v>0</v>
      </c>
      <c r="CN319" s="290">
        <v>0</v>
      </c>
      <c r="CP319" s="290">
        <f>+innut23!E325</f>
        <v>330482.55627872905</v>
      </c>
      <c r="CQ319" s="290"/>
      <c r="CV319" s="85">
        <f t="shared" si="5"/>
        <v>1.796</v>
      </c>
    </row>
    <row r="320" spans="1:100" ht="13">
      <c r="A320" s="1">
        <v>5061</v>
      </c>
      <c r="B320" s="2" t="s">
        <v>114</v>
      </c>
      <c r="C320" s="289">
        <v>1980</v>
      </c>
      <c r="D320" s="290">
        <v>36</v>
      </c>
      <c r="E320" s="290">
        <v>85</v>
      </c>
      <c r="F320" s="290">
        <v>208</v>
      </c>
      <c r="G320" s="290">
        <v>184</v>
      </c>
      <c r="H320" s="290">
        <v>1019</v>
      </c>
      <c r="I320" s="290">
        <v>317</v>
      </c>
      <c r="J320" s="290">
        <v>111</v>
      </c>
      <c r="K320" s="290">
        <v>31</v>
      </c>
      <c r="L320" s="290">
        <v>13</v>
      </c>
      <c r="M320" s="290">
        <v>175</v>
      </c>
      <c r="N320" s="290">
        <v>4</v>
      </c>
      <c r="O320" s="290">
        <v>1.5</v>
      </c>
      <c r="P320" s="624">
        <v>9757.3323333299995</v>
      </c>
      <c r="Q320" s="624">
        <v>6826.79466667</v>
      </c>
      <c r="R320" s="624">
        <v>6</v>
      </c>
      <c r="S320" s="290">
        <v>16</v>
      </c>
      <c r="T320" s="290">
        <v>121</v>
      </c>
      <c r="U320" s="958">
        <v>1.9326776243951405E-3</v>
      </c>
      <c r="V320" s="290">
        <v>1192.06815284</v>
      </c>
      <c r="W320" s="765">
        <v>0.88756371999999994</v>
      </c>
      <c r="X320" s="290">
        <v>0</v>
      </c>
      <c r="Y320" s="290"/>
      <c r="Z320" s="290">
        <f>innut22!E326</f>
        <v>58129.885878069828</v>
      </c>
      <c r="AA320" s="290">
        <v>0</v>
      </c>
      <c r="AB320" s="290">
        <v>40</v>
      </c>
      <c r="AC320" s="290">
        <v>0</v>
      </c>
      <c r="AD320" s="290"/>
      <c r="AE320" s="290">
        <v>0</v>
      </c>
      <c r="AF320" s="290">
        <v>0</v>
      </c>
      <c r="AG320" s="290">
        <v>1991</v>
      </c>
      <c r="AH320" s="290">
        <v>338</v>
      </c>
      <c r="AI320" s="290">
        <v>0</v>
      </c>
      <c r="AJ320" s="290">
        <v>0</v>
      </c>
      <c r="AK320" s="290">
        <v>0</v>
      </c>
      <c r="AL320" s="290">
        <v>0</v>
      </c>
      <c r="AM320" s="957">
        <v>1.4463159999999999E-2</v>
      </c>
      <c r="AN320" s="290">
        <v>0</v>
      </c>
      <c r="AO320" s="290">
        <v>445.03820801000001</v>
      </c>
      <c r="AP320" s="290">
        <v>0</v>
      </c>
      <c r="AQ320" s="290">
        <v>0</v>
      </c>
      <c r="AR320" s="290">
        <v>-96.047118639999994</v>
      </c>
      <c r="AS320" s="290">
        <v>277</v>
      </c>
      <c r="AT320" s="290">
        <v>67</v>
      </c>
      <c r="AU320" s="290">
        <v>14</v>
      </c>
      <c r="AV320" s="766">
        <v>78278</v>
      </c>
      <c r="AW320" s="290"/>
      <c r="AX320" s="766">
        <v>13.37505</v>
      </c>
      <c r="AY320" s="290">
        <v>356</v>
      </c>
      <c r="AZ320" s="290">
        <v>61</v>
      </c>
      <c r="BA320" s="290">
        <v>28</v>
      </c>
      <c r="BB320" s="290">
        <v>6034</v>
      </c>
      <c r="BC320" s="290">
        <v>3679</v>
      </c>
      <c r="BD320" s="290"/>
      <c r="BE320" s="290">
        <v>77089.232107510004</v>
      </c>
      <c r="BF320" s="290">
        <v>0</v>
      </c>
      <c r="BG320" s="290">
        <v>1788.2980939197496</v>
      </c>
      <c r="BH320" s="290">
        <v>96.349121794859968</v>
      </c>
      <c r="BI320" s="290">
        <v>338</v>
      </c>
      <c r="BJ320" s="290"/>
      <c r="BK320" s="290"/>
      <c r="BL320" s="290"/>
      <c r="BM320" s="290">
        <v>0</v>
      </c>
      <c r="BN320" s="290">
        <v>846.79985999999997</v>
      </c>
      <c r="BO320" s="290">
        <v>-927.71368935498651</v>
      </c>
      <c r="BP320" s="290">
        <v>109.78700000000001</v>
      </c>
      <c r="BQ320" s="290">
        <v>-58.878</v>
      </c>
      <c r="BR320" s="290">
        <v>-36.529170645013465</v>
      </c>
      <c r="BS320" s="290">
        <v>0.53400000000000003</v>
      </c>
      <c r="BT320" s="290"/>
      <c r="BU320" s="290">
        <v>0</v>
      </c>
      <c r="BV320" s="290">
        <v>500</v>
      </c>
      <c r="BW320" s="290">
        <v>-457</v>
      </c>
      <c r="BX320" s="290">
        <v>231</v>
      </c>
      <c r="BY320" s="290">
        <v>41</v>
      </c>
      <c r="BZ320" s="290">
        <v>-348</v>
      </c>
      <c r="CA320" s="290">
        <v>0</v>
      </c>
      <c r="CB320" s="290">
        <v>65</v>
      </c>
      <c r="CC320" s="290">
        <v>259</v>
      </c>
      <c r="CD320" s="290">
        <v>2</v>
      </c>
      <c r="CE320" s="290">
        <v>73</v>
      </c>
      <c r="CF320" s="290">
        <v>4</v>
      </c>
      <c r="CG320" s="290">
        <v>0</v>
      </c>
      <c r="CH320" s="290">
        <v>-3</v>
      </c>
      <c r="CI320" s="290">
        <v>-882</v>
      </c>
      <c r="CJ320" s="290">
        <v>-2356</v>
      </c>
      <c r="CK320" s="290">
        <f>+innut22!E326+innut22!S326</f>
        <v>58129.885878069828</v>
      </c>
      <c r="CL320" s="290">
        <v>0</v>
      </c>
      <c r="CM320" s="290">
        <v>0</v>
      </c>
      <c r="CN320" s="290">
        <v>0</v>
      </c>
      <c r="CP320" s="290">
        <f>+innut23!E326</f>
        <v>54255.164253809344</v>
      </c>
      <c r="CQ320" s="290"/>
      <c r="CV320" s="85">
        <f t="shared" si="5"/>
        <v>0.36899999999999999</v>
      </c>
    </row>
    <row r="321" spans="1:100" ht="13">
      <c r="A321" s="1">
        <v>5401</v>
      </c>
      <c r="B321" s="2" t="s">
        <v>217</v>
      </c>
      <c r="C321" s="289">
        <v>77544</v>
      </c>
      <c r="D321" s="290">
        <v>1630</v>
      </c>
      <c r="E321" s="290">
        <v>3235</v>
      </c>
      <c r="F321" s="290">
        <v>8733</v>
      </c>
      <c r="G321" s="290">
        <v>6556</v>
      </c>
      <c r="H321" s="290">
        <v>47158</v>
      </c>
      <c r="I321" s="290">
        <v>7405</v>
      </c>
      <c r="J321" s="290">
        <v>2024</v>
      </c>
      <c r="K321" s="290">
        <v>365</v>
      </c>
      <c r="L321" s="290">
        <v>575</v>
      </c>
      <c r="M321" s="290">
        <v>4538</v>
      </c>
      <c r="N321" s="290">
        <v>1442</v>
      </c>
      <c r="O321" s="290">
        <v>649</v>
      </c>
      <c r="P321" s="624">
        <v>323919.14866667002</v>
      </c>
      <c r="Q321" s="624">
        <v>124820.65733333</v>
      </c>
      <c r="R321" s="624">
        <v>198</v>
      </c>
      <c r="S321" s="290">
        <v>897</v>
      </c>
      <c r="T321" s="290">
        <v>7826</v>
      </c>
      <c r="U321" s="958">
        <v>3.4350020761425388E-3</v>
      </c>
      <c r="V321" s="290">
        <v>-9365.6471450000008</v>
      </c>
      <c r="W321" s="765">
        <v>0.57243473</v>
      </c>
      <c r="X321" s="290">
        <v>13704</v>
      </c>
      <c r="Y321" s="290"/>
      <c r="Z321" s="290">
        <f>innut22!E327</f>
        <v>2969902.3540833951</v>
      </c>
      <c r="AA321" s="290">
        <v>0</v>
      </c>
      <c r="AB321" s="290">
        <v>1332</v>
      </c>
      <c r="AC321" s="290">
        <v>10583</v>
      </c>
      <c r="AD321" s="290"/>
      <c r="AE321" s="290">
        <v>0</v>
      </c>
      <c r="AF321" s="290">
        <v>0</v>
      </c>
      <c r="AG321" s="290">
        <v>77106</v>
      </c>
      <c r="AH321" s="290">
        <v>13101</v>
      </c>
      <c r="AI321" s="290">
        <v>2415</v>
      </c>
      <c r="AJ321" s="290">
        <v>0</v>
      </c>
      <c r="AK321" s="290">
        <v>0</v>
      </c>
      <c r="AL321" s="290">
        <v>275229</v>
      </c>
      <c r="AM321" s="957">
        <v>1.1312112599999999</v>
      </c>
      <c r="AN321" s="290">
        <v>0</v>
      </c>
      <c r="AO321" s="290">
        <v>13554.35440122</v>
      </c>
      <c r="AP321" s="290">
        <v>0</v>
      </c>
      <c r="AQ321" s="290">
        <v>0</v>
      </c>
      <c r="AR321" s="290">
        <v>2461.8906254600001</v>
      </c>
      <c r="AS321" s="290">
        <v>24487</v>
      </c>
      <c r="AT321" s="290">
        <v>3447</v>
      </c>
      <c r="AU321" s="290">
        <v>590</v>
      </c>
      <c r="AV321" s="766">
        <v>1927628</v>
      </c>
      <c r="AW321" s="290"/>
      <c r="AX321" s="766">
        <v>642.37495000000001</v>
      </c>
      <c r="AY321" s="290">
        <v>26640</v>
      </c>
      <c r="AZ321" s="290">
        <v>3306</v>
      </c>
      <c r="BA321" s="290">
        <v>1584</v>
      </c>
      <c r="BB321" s="290">
        <v>0</v>
      </c>
      <c r="BC321" s="290">
        <v>140681</v>
      </c>
      <c r="BD321" s="290"/>
      <c r="BE321" s="290">
        <v>1878346.8006160001</v>
      </c>
      <c r="BF321" s="290">
        <v>0</v>
      </c>
      <c r="BG321" s="290">
        <v>70036.256260057111</v>
      </c>
      <c r="BH321" s="290">
        <v>3773.3819699296077</v>
      </c>
      <c r="BI321" s="290">
        <v>23684</v>
      </c>
      <c r="BJ321" s="290"/>
      <c r="BK321" s="290"/>
      <c r="BL321" s="290"/>
      <c r="BM321" s="290">
        <v>0</v>
      </c>
      <c r="BN321" s="290">
        <v>25790.651759999997</v>
      </c>
      <c r="BO321" s="290">
        <v>-35927.821060474933</v>
      </c>
      <c r="BP321" s="290">
        <v>4605.5140000000001</v>
      </c>
      <c r="BQ321" s="290">
        <v>-2469.9029999999998</v>
      </c>
      <c r="BR321" s="290">
        <v>-1345.837672725756</v>
      </c>
      <c r="BS321" s="290">
        <v>12.787000000000001</v>
      </c>
      <c r="BT321" s="290"/>
      <c r="BU321" s="290">
        <v>0</v>
      </c>
      <c r="BV321" s="290">
        <v>19000</v>
      </c>
      <c r="BW321" s="290">
        <v>-17707</v>
      </c>
      <c r="BX321" s="290">
        <v>8645</v>
      </c>
      <c r="BY321" s="290">
        <v>2339</v>
      </c>
      <c r="BZ321" s="290">
        <v>-13459</v>
      </c>
      <c r="CA321" s="290">
        <v>-41.391026799308747</v>
      </c>
      <c r="CB321" s="290">
        <v>3752</v>
      </c>
      <c r="CC321" s="290">
        <v>10027</v>
      </c>
      <c r="CD321" s="290">
        <v>138</v>
      </c>
      <c r="CE321" s="290">
        <v>2859</v>
      </c>
      <c r="CF321" s="290">
        <v>104</v>
      </c>
      <c r="CG321" s="290">
        <v>14</v>
      </c>
      <c r="CH321" s="290">
        <v>-68</v>
      </c>
      <c r="CI321" s="290">
        <v>-34538</v>
      </c>
      <c r="CJ321" s="290">
        <v>-78459</v>
      </c>
      <c r="CK321" s="290">
        <f>+innut22!E327+innut22!S327</f>
        <v>2969902.3540833951</v>
      </c>
      <c r="CL321" s="290">
        <v>0</v>
      </c>
      <c r="CM321" s="290">
        <v>0</v>
      </c>
      <c r="CN321" s="290">
        <v>0</v>
      </c>
      <c r="CP321" s="290">
        <f>+innut23!E327</f>
        <v>2791105.4192272392</v>
      </c>
      <c r="CQ321" s="290"/>
      <c r="CV321" s="85">
        <f t="shared" si="5"/>
        <v>14.273999999999999</v>
      </c>
    </row>
    <row r="322" spans="1:100" ht="13">
      <c r="A322" s="1">
        <v>5402</v>
      </c>
      <c r="B322" s="2" t="s">
        <v>216</v>
      </c>
      <c r="C322" s="289">
        <v>24804</v>
      </c>
      <c r="D322" s="290">
        <v>467</v>
      </c>
      <c r="E322" s="290">
        <v>954</v>
      </c>
      <c r="F322" s="290">
        <v>2831</v>
      </c>
      <c r="G322" s="290">
        <v>2091</v>
      </c>
      <c r="H322" s="290">
        <v>13911</v>
      </c>
      <c r="I322" s="290">
        <v>3312</v>
      </c>
      <c r="J322" s="290">
        <v>1011</v>
      </c>
      <c r="K322" s="290">
        <v>244</v>
      </c>
      <c r="L322" s="290">
        <v>185</v>
      </c>
      <c r="M322" s="290">
        <v>2014</v>
      </c>
      <c r="N322" s="290">
        <v>593</v>
      </c>
      <c r="O322" s="290">
        <v>185</v>
      </c>
      <c r="P322" s="624">
        <v>93390.418000000005</v>
      </c>
      <c r="Q322" s="624">
        <v>38373.104333329997</v>
      </c>
      <c r="R322" s="624">
        <v>89</v>
      </c>
      <c r="S322" s="290">
        <v>295</v>
      </c>
      <c r="T322" s="290">
        <v>2300</v>
      </c>
      <c r="U322" s="958">
        <v>2.9140291514542353E-3</v>
      </c>
      <c r="V322" s="290">
        <v>7738.1919772199999</v>
      </c>
      <c r="W322" s="765">
        <v>0.57231799000000005</v>
      </c>
      <c r="X322" s="290">
        <v>984</v>
      </c>
      <c r="Y322" s="290"/>
      <c r="Z322" s="290">
        <f>innut22!E328</f>
        <v>855120.85259790067</v>
      </c>
      <c r="AA322" s="290">
        <v>0</v>
      </c>
      <c r="AB322" s="290">
        <v>667</v>
      </c>
      <c r="AC322" s="290">
        <v>4274</v>
      </c>
      <c r="AD322" s="290"/>
      <c r="AE322" s="290">
        <v>0</v>
      </c>
      <c r="AF322" s="290">
        <v>21853</v>
      </c>
      <c r="AG322" s="290">
        <v>24821</v>
      </c>
      <c r="AH322" s="290">
        <v>4167</v>
      </c>
      <c r="AI322" s="290">
        <v>3400</v>
      </c>
      <c r="AJ322" s="290">
        <v>0</v>
      </c>
      <c r="AK322" s="290">
        <v>0</v>
      </c>
      <c r="AL322" s="290">
        <v>88315</v>
      </c>
      <c r="AM322" s="957">
        <v>0.34849785999999999</v>
      </c>
      <c r="AN322" s="290">
        <v>0</v>
      </c>
      <c r="AO322" s="290">
        <v>4749.0149324900003</v>
      </c>
      <c r="AP322" s="290">
        <v>0</v>
      </c>
      <c r="AQ322" s="290">
        <v>0</v>
      </c>
      <c r="AR322" s="290">
        <v>-1197.3809803300001</v>
      </c>
      <c r="AS322" s="290">
        <v>4101</v>
      </c>
      <c r="AT322" s="290">
        <v>1122</v>
      </c>
      <c r="AU322" s="290">
        <v>220</v>
      </c>
      <c r="AV322" s="766">
        <v>750502</v>
      </c>
      <c r="AW322" s="290"/>
      <c r="AX322" s="766">
        <v>181.45830000000001</v>
      </c>
      <c r="AY322" s="290">
        <v>6661</v>
      </c>
      <c r="AZ322" s="290">
        <v>864</v>
      </c>
      <c r="BA322" s="290">
        <v>565</v>
      </c>
      <c r="BB322" s="290">
        <v>0</v>
      </c>
      <c r="BC322" s="290">
        <v>61168</v>
      </c>
      <c r="BD322" s="290"/>
      <c r="BE322" s="290">
        <v>751479.22451964999</v>
      </c>
      <c r="BF322" s="290">
        <v>0</v>
      </c>
      <c r="BG322" s="290">
        <v>22402.497940194684</v>
      </c>
      <c r="BH322" s="290">
        <v>1206.9917257574277</v>
      </c>
      <c r="BI322" s="290">
        <v>30294</v>
      </c>
      <c r="BJ322" s="290"/>
      <c r="BK322" s="290"/>
      <c r="BL322" s="290"/>
      <c r="BM322" s="290">
        <v>0</v>
      </c>
      <c r="BN322" s="290">
        <v>9036.2245800000001</v>
      </c>
      <c r="BO322" s="290">
        <v>-11565.435200140693</v>
      </c>
      <c r="BP322" s="290">
        <v>1322.7080000000001</v>
      </c>
      <c r="BQ322" s="290">
        <v>-709.35799999999995</v>
      </c>
      <c r="BR322" s="290">
        <v>-435.91210494099442</v>
      </c>
      <c r="BS322" s="290">
        <v>4.4889999999999999</v>
      </c>
      <c r="BT322" s="290"/>
      <c r="BU322" s="290">
        <v>0</v>
      </c>
      <c r="BV322" s="290">
        <v>5500</v>
      </c>
      <c r="BW322" s="290">
        <v>-5700</v>
      </c>
      <c r="BX322" s="290">
        <v>2796</v>
      </c>
      <c r="BY322" s="290">
        <v>770</v>
      </c>
      <c r="BZ322" s="290">
        <v>-4333</v>
      </c>
      <c r="CA322" s="290">
        <v>-16.716274918312592</v>
      </c>
      <c r="CB322" s="290">
        <v>1235</v>
      </c>
      <c r="CC322" s="290">
        <v>3228</v>
      </c>
      <c r="CD322" s="290">
        <v>45</v>
      </c>
      <c r="CE322" s="290">
        <v>914</v>
      </c>
      <c r="CF322" s="290">
        <v>37</v>
      </c>
      <c r="CG322" s="290">
        <v>5</v>
      </c>
      <c r="CH322" s="290">
        <v>-24</v>
      </c>
      <c r="CI322" s="290">
        <v>-11048</v>
      </c>
      <c r="CJ322" s="290">
        <v>-30124</v>
      </c>
      <c r="CK322" s="290">
        <f>+innut22!E328+innut22!S328</f>
        <v>855120.85259790067</v>
      </c>
      <c r="CL322" s="290">
        <v>0</v>
      </c>
      <c r="CM322" s="290">
        <v>0</v>
      </c>
      <c r="CN322" s="290">
        <v>0</v>
      </c>
      <c r="CP322" s="290">
        <f>+innut23!E328</f>
        <v>782548.87565830036</v>
      </c>
      <c r="CQ322" s="290"/>
      <c r="CV322" s="85">
        <f t="shared" si="5"/>
        <v>4.5949999999999998</v>
      </c>
    </row>
    <row r="323" spans="1:100" ht="13">
      <c r="A323" s="1">
        <v>5403</v>
      </c>
      <c r="B323" s="2" t="s">
        <v>245</v>
      </c>
      <c r="C323" s="289">
        <v>21144</v>
      </c>
      <c r="D323" s="290">
        <v>513</v>
      </c>
      <c r="E323" s="290">
        <v>1002</v>
      </c>
      <c r="F323" s="290">
        <v>2693</v>
      </c>
      <c r="G323" s="290">
        <v>2066</v>
      </c>
      <c r="H323" s="290">
        <v>11868</v>
      </c>
      <c r="I323" s="290">
        <v>2068</v>
      </c>
      <c r="J323" s="290">
        <v>588</v>
      </c>
      <c r="K323" s="290">
        <v>114</v>
      </c>
      <c r="L323" s="290">
        <v>171</v>
      </c>
      <c r="M323" s="290">
        <v>1248</v>
      </c>
      <c r="N323" s="290">
        <v>257</v>
      </c>
      <c r="O323" s="290">
        <v>137</v>
      </c>
      <c r="P323" s="624">
        <v>111208.30033333</v>
      </c>
      <c r="Q323" s="624">
        <v>75601.674333329996</v>
      </c>
      <c r="R323" s="624">
        <v>102</v>
      </c>
      <c r="S323" s="290">
        <v>236</v>
      </c>
      <c r="T323" s="290">
        <v>1736</v>
      </c>
      <c r="U323" s="958">
        <v>3.3447803774746591E-3</v>
      </c>
      <c r="V323" s="290">
        <v>-4748.04591549</v>
      </c>
      <c r="W323" s="765">
        <v>0.60580177999999996</v>
      </c>
      <c r="X323" s="290">
        <v>588</v>
      </c>
      <c r="Y323" s="290"/>
      <c r="Z323" s="290">
        <f>innut22!E329</f>
        <v>712439.12575229653</v>
      </c>
      <c r="AA323" s="290">
        <v>0</v>
      </c>
      <c r="AB323" s="290">
        <v>584</v>
      </c>
      <c r="AC323" s="290">
        <v>1658</v>
      </c>
      <c r="AD323" s="290"/>
      <c r="AE323" s="290">
        <v>0</v>
      </c>
      <c r="AF323" s="290">
        <v>0</v>
      </c>
      <c r="AG323" s="290">
        <v>20912</v>
      </c>
      <c r="AH323" s="290">
        <v>4110</v>
      </c>
      <c r="AI323" s="290">
        <v>6404.5</v>
      </c>
      <c r="AJ323" s="290">
        <v>0</v>
      </c>
      <c r="AK323" s="290">
        <v>0</v>
      </c>
      <c r="AL323" s="290">
        <v>181702</v>
      </c>
      <c r="AM323" s="957">
        <v>0.41335358999999999</v>
      </c>
      <c r="AN323" s="290">
        <v>0</v>
      </c>
      <c r="AO323" s="290">
        <v>4156.4468768999996</v>
      </c>
      <c r="AP323" s="290">
        <v>0</v>
      </c>
      <c r="AQ323" s="290">
        <v>0</v>
      </c>
      <c r="AR323" s="290">
        <v>-1008.8083099200001</v>
      </c>
      <c r="AS323" s="290">
        <v>5723</v>
      </c>
      <c r="AT323" s="290">
        <v>1156</v>
      </c>
      <c r="AU323" s="290">
        <v>200</v>
      </c>
      <c r="AV323" s="766">
        <v>772718</v>
      </c>
      <c r="AW323" s="290"/>
      <c r="AX323" s="766">
        <v>195.08335</v>
      </c>
      <c r="AY323" s="290">
        <v>5239</v>
      </c>
      <c r="AZ323" s="290">
        <v>777</v>
      </c>
      <c r="BA323" s="290">
        <v>640</v>
      </c>
      <c r="BB323" s="290">
        <v>0</v>
      </c>
      <c r="BC323" s="290">
        <v>62395</v>
      </c>
      <c r="BD323" s="290"/>
      <c r="BE323" s="290">
        <v>765922.21862331999</v>
      </c>
      <c r="BF323" s="290">
        <v>0</v>
      </c>
      <c r="BG323" s="290">
        <v>19096.856009009691</v>
      </c>
      <c r="BH323" s="290">
        <v>1028.8918339548077</v>
      </c>
      <c r="BI323" s="290">
        <v>15368</v>
      </c>
      <c r="BJ323" s="290"/>
      <c r="BK323" s="290"/>
      <c r="BL323" s="290"/>
      <c r="BM323" s="290">
        <v>0</v>
      </c>
      <c r="BN323" s="290">
        <v>7908.7111599999998</v>
      </c>
      <c r="BO323" s="290">
        <v>-9744.0224368616164</v>
      </c>
      <c r="BP323" s="290">
        <v>1350.818</v>
      </c>
      <c r="BQ323" s="290">
        <v>-724.43399999999997</v>
      </c>
      <c r="BR323" s="290">
        <v>-421.3944604779536</v>
      </c>
      <c r="BS323" s="290">
        <v>3.806</v>
      </c>
      <c r="BT323" s="290"/>
      <c r="BU323" s="290">
        <v>9600</v>
      </c>
      <c r="BV323" s="290">
        <v>8000</v>
      </c>
      <c r="BW323" s="290">
        <v>-4802</v>
      </c>
      <c r="BX323" s="290">
        <v>2705</v>
      </c>
      <c r="BY323" s="290">
        <v>614</v>
      </c>
      <c r="BZ323" s="290">
        <v>-3650</v>
      </c>
      <c r="CA323" s="290">
        <v>-6.4842626604299767</v>
      </c>
      <c r="CB323" s="290">
        <v>986</v>
      </c>
      <c r="CC323" s="290">
        <v>2719</v>
      </c>
      <c r="CD323" s="290">
        <v>36</v>
      </c>
      <c r="CE323" s="290">
        <v>779</v>
      </c>
      <c r="CF323" s="290">
        <v>31</v>
      </c>
      <c r="CG323" s="290">
        <v>5</v>
      </c>
      <c r="CH323" s="290">
        <v>-20</v>
      </c>
      <c r="CI323" s="290">
        <v>-9417</v>
      </c>
      <c r="CJ323" s="290">
        <v>-24877</v>
      </c>
      <c r="CK323" s="290">
        <f>+innut22!E329+innut22!S329</f>
        <v>712439.12575229653</v>
      </c>
      <c r="CL323" s="290">
        <v>0</v>
      </c>
      <c r="CM323" s="290">
        <v>0</v>
      </c>
      <c r="CN323" s="290">
        <v>0</v>
      </c>
      <c r="CP323" s="290">
        <f>+innut23!E329</f>
        <v>668826.72165493644</v>
      </c>
      <c r="CQ323" s="290"/>
      <c r="CV323" s="85">
        <f t="shared" si="5"/>
        <v>3.871</v>
      </c>
    </row>
    <row r="324" spans="1:100" ht="13">
      <c r="A324" s="1">
        <v>5404</v>
      </c>
      <c r="B324" s="2" t="s">
        <v>241</v>
      </c>
      <c r="C324" s="289">
        <v>1897</v>
      </c>
      <c r="D324" s="290">
        <v>21</v>
      </c>
      <c r="E324" s="290">
        <v>48</v>
      </c>
      <c r="F324" s="290">
        <v>168</v>
      </c>
      <c r="G324" s="290">
        <v>138</v>
      </c>
      <c r="H324" s="290">
        <v>1112</v>
      </c>
      <c r="I324" s="290">
        <v>333</v>
      </c>
      <c r="J324" s="290">
        <v>89</v>
      </c>
      <c r="K324" s="290">
        <v>20</v>
      </c>
      <c r="L324" s="290">
        <v>23</v>
      </c>
      <c r="M324" s="290">
        <v>255</v>
      </c>
      <c r="N324" s="290">
        <v>8</v>
      </c>
      <c r="O324" s="290">
        <v>23</v>
      </c>
      <c r="P324" s="624">
        <v>4971.8540000000003</v>
      </c>
      <c r="Q324" s="624">
        <v>2383.2399999999998</v>
      </c>
      <c r="R324" s="624">
        <v>7</v>
      </c>
      <c r="S324" s="290">
        <v>35</v>
      </c>
      <c r="T324" s="290">
        <v>287</v>
      </c>
      <c r="U324" s="958">
        <v>1.9059924579877343E-4</v>
      </c>
      <c r="V324" s="290">
        <v>1159.6434857500001</v>
      </c>
      <c r="W324" s="765">
        <v>1</v>
      </c>
      <c r="X324" s="290">
        <v>1390</v>
      </c>
      <c r="Y324" s="290"/>
      <c r="Z324" s="290">
        <f>innut22!E330</f>
        <v>51757.70466955976</v>
      </c>
      <c r="AA324" s="290">
        <v>0</v>
      </c>
      <c r="AB324" s="290">
        <v>25</v>
      </c>
      <c r="AC324" s="290">
        <v>89</v>
      </c>
      <c r="AD324" s="290"/>
      <c r="AE324" s="290">
        <v>0</v>
      </c>
      <c r="AF324" s="290">
        <v>0</v>
      </c>
      <c r="AG324" s="290">
        <v>1929</v>
      </c>
      <c r="AH324" s="290">
        <v>234</v>
      </c>
      <c r="AI324" s="290">
        <v>200</v>
      </c>
      <c r="AJ324" s="290">
        <v>0</v>
      </c>
      <c r="AK324" s="290">
        <v>0</v>
      </c>
      <c r="AL324" s="290">
        <v>17075</v>
      </c>
      <c r="AM324" s="957">
        <v>0.18146063000000001</v>
      </c>
      <c r="AN324" s="290">
        <v>0</v>
      </c>
      <c r="AO324" s="290">
        <v>432.93301444000002</v>
      </c>
      <c r="AP324" s="290">
        <v>0</v>
      </c>
      <c r="AQ324" s="290">
        <v>0</v>
      </c>
      <c r="AR324" s="290">
        <v>195.49653215000001</v>
      </c>
      <c r="AS324" s="290">
        <v>885</v>
      </c>
      <c r="AT324" s="290">
        <v>98</v>
      </c>
      <c r="AU324" s="290">
        <v>38</v>
      </c>
      <c r="AV324" s="766">
        <v>101627</v>
      </c>
      <c r="AW324" s="290"/>
      <c r="AX324" s="766">
        <v>6.8333000000000004</v>
      </c>
      <c r="AY324" s="290">
        <v>337</v>
      </c>
      <c r="AZ324" s="290">
        <v>187</v>
      </c>
      <c r="BA324" s="290">
        <v>49</v>
      </c>
      <c r="BB324" s="290">
        <v>13068</v>
      </c>
      <c r="BC324" s="290">
        <v>3492</v>
      </c>
      <c r="BD324" s="290"/>
      <c r="BE324" s="290">
        <v>100908.0770779</v>
      </c>
      <c r="BF324" s="290">
        <v>0</v>
      </c>
      <c r="BG324" s="290">
        <v>1713.3340829120027</v>
      </c>
      <c r="BH324" s="290">
        <v>92.310244467095657</v>
      </c>
      <c r="BI324" s="290">
        <v>323</v>
      </c>
      <c r="BJ324" s="290"/>
      <c r="BK324" s="290"/>
      <c r="BL324" s="290"/>
      <c r="BM324" s="290">
        <v>0</v>
      </c>
      <c r="BN324" s="290">
        <v>823.76661999999999</v>
      </c>
      <c r="BO324" s="290">
        <v>-898.82456392052688</v>
      </c>
      <c r="BP324" s="290">
        <v>64.658000000000001</v>
      </c>
      <c r="BQ324" s="290">
        <v>-34.676000000000002</v>
      </c>
      <c r="BR324" s="290">
        <v>-31.081471402429163</v>
      </c>
      <c r="BS324" s="290">
        <v>0.50700000000000001</v>
      </c>
      <c r="BT324" s="290"/>
      <c r="BU324" s="290">
        <v>0</v>
      </c>
      <c r="BV324" s="290">
        <v>500</v>
      </c>
      <c r="BW324" s="290">
        <v>-443</v>
      </c>
      <c r="BX324" s="290">
        <v>197</v>
      </c>
      <c r="BY324" s="290">
        <v>91</v>
      </c>
      <c r="BZ324" s="290">
        <v>-337</v>
      </c>
      <c r="CA324" s="290">
        <v>-0.34958467704394991</v>
      </c>
      <c r="CB324" s="290">
        <v>146</v>
      </c>
      <c r="CC324" s="290">
        <v>251</v>
      </c>
      <c r="CD324" s="290">
        <v>5</v>
      </c>
      <c r="CE324" s="290">
        <v>70</v>
      </c>
      <c r="CF324" s="290">
        <v>4</v>
      </c>
      <c r="CG324" s="290">
        <v>0</v>
      </c>
      <c r="CH324" s="290">
        <v>-3</v>
      </c>
      <c r="CI324" s="290">
        <v>-845</v>
      </c>
      <c r="CJ324" s="290">
        <v>-2322</v>
      </c>
      <c r="CK324" s="290">
        <f>+innut22!E330+innut22!S330</f>
        <v>51757.70466955976</v>
      </c>
      <c r="CL324" s="290">
        <v>0</v>
      </c>
      <c r="CM324" s="290">
        <v>0</v>
      </c>
      <c r="CN324" s="290">
        <v>0</v>
      </c>
      <c r="CP324" s="290">
        <f>+innut23!E330</f>
        <v>49877.631336385159</v>
      </c>
      <c r="CQ324" s="290"/>
      <c r="CV324" s="85">
        <f t="shared" si="5"/>
        <v>0.35699999999999998</v>
      </c>
    </row>
    <row r="325" spans="1:100" ht="13">
      <c r="A325" s="1">
        <v>5405</v>
      </c>
      <c r="B325" s="2" t="s">
        <v>242</v>
      </c>
      <c r="C325" s="289">
        <v>5568</v>
      </c>
      <c r="D325" s="290">
        <v>99</v>
      </c>
      <c r="E325" s="290">
        <v>196</v>
      </c>
      <c r="F325" s="290">
        <v>574</v>
      </c>
      <c r="G325" s="290">
        <v>486</v>
      </c>
      <c r="H325" s="290">
        <v>3189</v>
      </c>
      <c r="I325" s="290">
        <v>753</v>
      </c>
      <c r="J325" s="290">
        <v>238</v>
      </c>
      <c r="K325" s="290">
        <v>46</v>
      </c>
      <c r="L325" s="290">
        <v>45</v>
      </c>
      <c r="M325" s="290">
        <v>498</v>
      </c>
      <c r="N325" s="290">
        <v>204</v>
      </c>
      <c r="O325" s="290">
        <v>71</v>
      </c>
      <c r="P325" s="624">
        <v>20765.284666669999</v>
      </c>
      <c r="Q325" s="624">
        <v>6094.4426666700001</v>
      </c>
      <c r="R325" s="624">
        <v>22</v>
      </c>
      <c r="S325" s="290">
        <v>85</v>
      </c>
      <c r="T325" s="290">
        <v>606</v>
      </c>
      <c r="U325" s="958">
        <v>7.7833643955561697E-4</v>
      </c>
      <c r="V325" s="290">
        <v>2946.4261321099998</v>
      </c>
      <c r="W325" s="765">
        <v>0.61004318999999996</v>
      </c>
      <c r="X325" s="290">
        <v>2258</v>
      </c>
      <c r="Y325" s="290"/>
      <c r="Z325" s="290">
        <f>innut22!E331</f>
        <v>178197.93239957368</v>
      </c>
      <c r="AA325" s="290">
        <v>0</v>
      </c>
      <c r="AB325" s="290">
        <v>110</v>
      </c>
      <c r="AC325" s="290">
        <v>2421</v>
      </c>
      <c r="AD325" s="290"/>
      <c r="AE325" s="290">
        <v>0</v>
      </c>
      <c r="AF325" s="290">
        <v>0</v>
      </c>
      <c r="AG325" s="290">
        <v>5581</v>
      </c>
      <c r="AH325" s="290">
        <v>874</v>
      </c>
      <c r="AI325" s="290">
        <v>3300</v>
      </c>
      <c r="AJ325" s="290">
        <v>0</v>
      </c>
      <c r="AK325" s="290">
        <v>0</v>
      </c>
      <c r="AL325" s="290">
        <v>49176</v>
      </c>
      <c r="AM325" s="957">
        <v>0.24459185</v>
      </c>
      <c r="AN325" s="290">
        <v>0</v>
      </c>
      <c r="AO325" s="290">
        <v>1099.99768281</v>
      </c>
      <c r="AP325" s="290">
        <v>0</v>
      </c>
      <c r="AQ325" s="290">
        <v>0</v>
      </c>
      <c r="AR325" s="290">
        <v>4549.51488634</v>
      </c>
      <c r="AS325" s="290">
        <v>1881</v>
      </c>
      <c r="AT325" s="290">
        <v>292</v>
      </c>
      <c r="AU325" s="290">
        <v>66</v>
      </c>
      <c r="AV325" s="766">
        <v>212313</v>
      </c>
      <c r="AW325" s="290"/>
      <c r="AX325" s="766">
        <v>45</v>
      </c>
      <c r="AY325" s="290">
        <v>1479</v>
      </c>
      <c r="AZ325" s="290">
        <v>404</v>
      </c>
      <c r="BA325" s="290">
        <v>121</v>
      </c>
      <c r="BB325" s="290">
        <v>0</v>
      </c>
      <c r="BC325" s="290">
        <v>9859</v>
      </c>
      <c r="BD325" s="290"/>
      <c r="BE325" s="290">
        <v>207785.05053316001</v>
      </c>
      <c r="BF325" s="290">
        <v>0</v>
      </c>
      <c r="BG325" s="290">
        <v>5028.9110035076592</v>
      </c>
      <c r="BH325" s="290">
        <v>270.94540916857591</v>
      </c>
      <c r="BI325" s="290">
        <v>3295</v>
      </c>
      <c r="BJ325" s="290"/>
      <c r="BK325" s="290"/>
      <c r="BL325" s="290"/>
      <c r="BM325" s="290">
        <v>0</v>
      </c>
      <c r="BN325" s="290">
        <v>2093.0290199999999</v>
      </c>
      <c r="BO325" s="290">
        <v>-2600.487242737408</v>
      </c>
      <c r="BP325" s="290">
        <v>280.92</v>
      </c>
      <c r="BQ325" s="290">
        <v>-150.655</v>
      </c>
      <c r="BR325" s="290">
        <v>-91.412575930503664</v>
      </c>
      <c r="BS325" s="290">
        <v>1.075</v>
      </c>
      <c r="BT325" s="290"/>
      <c r="BU325" s="290">
        <v>0</v>
      </c>
      <c r="BV325" s="290">
        <v>1500</v>
      </c>
      <c r="BW325" s="290">
        <v>-1282</v>
      </c>
      <c r="BX325" s="290">
        <v>592</v>
      </c>
      <c r="BY325" s="290">
        <v>220</v>
      </c>
      <c r="BZ325" s="290">
        <v>-974</v>
      </c>
      <c r="CA325" s="290">
        <v>-9.4692013320882324</v>
      </c>
      <c r="CB325" s="290">
        <v>354</v>
      </c>
      <c r="CC325" s="290">
        <v>726</v>
      </c>
      <c r="CD325" s="290">
        <v>13</v>
      </c>
      <c r="CE325" s="290">
        <v>205</v>
      </c>
      <c r="CF325" s="290">
        <v>9</v>
      </c>
      <c r="CG325" s="290">
        <v>1</v>
      </c>
      <c r="CH325" s="290">
        <v>-6</v>
      </c>
      <c r="CI325" s="290">
        <v>-2480</v>
      </c>
      <c r="CJ325" s="290">
        <v>-6696</v>
      </c>
      <c r="CK325" s="290">
        <f>+innut22!E331+innut22!S331</f>
        <v>178197.93239957368</v>
      </c>
      <c r="CL325" s="290">
        <v>0</v>
      </c>
      <c r="CM325" s="290">
        <v>0</v>
      </c>
      <c r="CN325" s="290">
        <v>0</v>
      </c>
      <c r="CP325" s="290">
        <f>+innut23!E331</f>
        <v>168392.14373063418</v>
      </c>
      <c r="CQ325" s="290"/>
      <c r="CV325" s="85">
        <f t="shared" ref="CV325:CV359" si="6">ROUND(1000*AG325/AG$361,3)</f>
        <v>1.0329999999999999</v>
      </c>
    </row>
    <row r="326" spans="1:100" ht="13">
      <c r="A326" s="1">
        <v>5406</v>
      </c>
      <c r="B326" s="2" t="s">
        <v>1648</v>
      </c>
      <c r="C326" s="289">
        <v>11274</v>
      </c>
      <c r="D326" s="290">
        <v>196</v>
      </c>
      <c r="E326" s="290">
        <v>509</v>
      </c>
      <c r="F326" s="290">
        <v>1307</v>
      </c>
      <c r="G326" s="290">
        <v>953</v>
      </c>
      <c r="H326" s="290">
        <v>6584</v>
      </c>
      <c r="I326" s="290">
        <v>1327</v>
      </c>
      <c r="J326" s="290">
        <v>364</v>
      </c>
      <c r="K326" s="290">
        <v>77</v>
      </c>
      <c r="L326" s="290">
        <v>97</v>
      </c>
      <c r="M326" s="290">
        <v>873</v>
      </c>
      <c r="N326" s="290">
        <v>371</v>
      </c>
      <c r="O326" s="290">
        <v>160</v>
      </c>
      <c r="P326" s="624">
        <v>67559.595666669993</v>
      </c>
      <c r="Q326" s="624">
        <v>31344.366333329999</v>
      </c>
      <c r="R326" s="624">
        <v>57</v>
      </c>
      <c r="S326" s="290">
        <v>157</v>
      </c>
      <c r="T326" s="290">
        <v>1230</v>
      </c>
      <c r="U326" s="958">
        <v>7.0798624655076859E-4</v>
      </c>
      <c r="V326" s="290">
        <v>6057.3601688700001</v>
      </c>
      <c r="W326" s="765">
        <v>0.62461573999999997</v>
      </c>
      <c r="X326" s="290">
        <v>1607</v>
      </c>
      <c r="Y326" s="290"/>
      <c r="Z326" s="290">
        <f>innut22!E332</f>
        <v>398638.93551450275</v>
      </c>
      <c r="AA326" s="290">
        <v>0</v>
      </c>
      <c r="AB326" s="290">
        <v>224</v>
      </c>
      <c r="AC326" s="290">
        <v>4332</v>
      </c>
      <c r="AD326" s="290"/>
      <c r="AE326" s="290">
        <v>0</v>
      </c>
      <c r="AF326" s="290">
        <v>29400</v>
      </c>
      <c r="AG326" s="290">
        <v>11317</v>
      </c>
      <c r="AH326" s="290">
        <v>1956</v>
      </c>
      <c r="AI326" s="290">
        <v>2200</v>
      </c>
      <c r="AJ326" s="290">
        <v>0</v>
      </c>
      <c r="AK326" s="290">
        <v>0</v>
      </c>
      <c r="AL326" s="290">
        <v>98761</v>
      </c>
      <c r="AM326" s="957">
        <v>0.32970092000000001</v>
      </c>
      <c r="AN326" s="290">
        <v>0</v>
      </c>
      <c r="AO326" s="290">
        <v>2261.41157148</v>
      </c>
      <c r="AP326" s="290">
        <v>0</v>
      </c>
      <c r="AQ326" s="290">
        <v>0</v>
      </c>
      <c r="AR326" s="290">
        <v>-545.93934791000004</v>
      </c>
      <c r="AS326" s="290">
        <v>2264</v>
      </c>
      <c r="AT326" s="290">
        <v>544</v>
      </c>
      <c r="AU326" s="290">
        <v>131</v>
      </c>
      <c r="AV326" s="766">
        <v>456171</v>
      </c>
      <c r="AW326" s="290"/>
      <c r="AX326" s="766">
        <v>76.375</v>
      </c>
      <c r="AY326" s="290">
        <v>2647</v>
      </c>
      <c r="AZ326" s="290">
        <v>594</v>
      </c>
      <c r="BA326" s="290">
        <v>227</v>
      </c>
      <c r="BB326" s="290">
        <v>0</v>
      </c>
      <c r="BC326" s="290">
        <v>47649</v>
      </c>
      <c r="BD326" s="290"/>
      <c r="BE326" s="290">
        <v>460009.09008902998</v>
      </c>
      <c r="BF326" s="290">
        <v>0</v>
      </c>
      <c r="BG326" s="290">
        <v>10182.460965076392</v>
      </c>
      <c r="BH326" s="290">
        <v>548.60606015921792</v>
      </c>
      <c r="BI326" s="290">
        <v>35688</v>
      </c>
      <c r="BJ326" s="290"/>
      <c r="BK326" s="290"/>
      <c r="BL326" s="290"/>
      <c r="BM326" s="290">
        <v>4137</v>
      </c>
      <c r="BN326" s="290">
        <v>4302.9181999999992</v>
      </c>
      <c r="BO326" s="290">
        <v>-5273.1972990609656</v>
      </c>
      <c r="BP326" s="290">
        <v>666.67700000000002</v>
      </c>
      <c r="BQ326" s="290">
        <v>-357.53399999999999</v>
      </c>
      <c r="BR326" s="290">
        <v>-212.03032500745607</v>
      </c>
      <c r="BS326" s="290">
        <v>2.11</v>
      </c>
      <c r="BT326" s="290"/>
      <c r="BU326" s="290">
        <v>0</v>
      </c>
      <c r="BV326" s="290">
        <v>4500</v>
      </c>
      <c r="BW326" s="290">
        <v>-2599</v>
      </c>
      <c r="BX326" s="290">
        <v>1357</v>
      </c>
      <c r="BY326" s="290">
        <v>411</v>
      </c>
      <c r="BZ326" s="290">
        <v>-1975</v>
      </c>
      <c r="CA326" s="290">
        <v>-16.94357593157747</v>
      </c>
      <c r="CB326" s="290">
        <v>659</v>
      </c>
      <c r="CC326" s="290">
        <v>1472</v>
      </c>
      <c r="CD326" s="290">
        <v>24</v>
      </c>
      <c r="CE326" s="290">
        <v>416</v>
      </c>
      <c r="CF326" s="290">
        <v>17</v>
      </c>
      <c r="CG326" s="290">
        <v>2</v>
      </c>
      <c r="CH326" s="290">
        <v>-11</v>
      </c>
      <c r="CI326" s="290">
        <v>-5021</v>
      </c>
      <c r="CJ326" s="290">
        <v>-12847</v>
      </c>
      <c r="CK326" s="290">
        <f>+innut22!E332+innut22!S332</f>
        <v>398638.93551450275</v>
      </c>
      <c r="CL326" s="290">
        <v>0</v>
      </c>
      <c r="CM326" s="290">
        <v>0</v>
      </c>
      <c r="CN326" s="290">
        <v>0</v>
      </c>
      <c r="CP326" s="290">
        <f>+innut23!E332</f>
        <v>380237.48298838263</v>
      </c>
      <c r="CQ326" s="290"/>
      <c r="CV326" s="85">
        <f t="shared" si="6"/>
        <v>2.0950000000000002</v>
      </c>
    </row>
    <row r="327" spans="1:100" ht="13">
      <c r="A327" s="1">
        <v>5411</v>
      </c>
      <c r="B327" s="2" t="s">
        <v>218</v>
      </c>
      <c r="C327" s="289">
        <v>2789</v>
      </c>
      <c r="D327" s="290">
        <v>56</v>
      </c>
      <c r="E327" s="290">
        <v>88</v>
      </c>
      <c r="F327" s="290">
        <v>297</v>
      </c>
      <c r="G327" s="290">
        <v>224</v>
      </c>
      <c r="H327" s="290">
        <v>1537</v>
      </c>
      <c r="I327" s="290">
        <v>448</v>
      </c>
      <c r="J327" s="290">
        <v>136</v>
      </c>
      <c r="K327" s="290">
        <v>25</v>
      </c>
      <c r="L327" s="290">
        <v>27</v>
      </c>
      <c r="M327" s="290">
        <v>266</v>
      </c>
      <c r="N327" s="290">
        <v>82</v>
      </c>
      <c r="O327" s="290">
        <v>22</v>
      </c>
      <c r="P327" s="624">
        <v>24427.50666667</v>
      </c>
      <c r="Q327" s="624">
        <v>11269.22833333</v>
      </c>
      <c r="R327" s="624">
        <v>29</v>
      </c>
      <c r="S327" s="290">
        <v>39</v>
      </c>
      <c r="T327" s="290">
        <v>261</v>
      </c>
      <c r="U327" s="958">
        <v>1.4527157962029109E-3</v>
      </c>
      <c r="V327" s="290">
        <v>1043.8971827800001</v>
      </c>
      <c r="W327" s="765">
        <v>0.80975912999999999</v>
      </c>
      <c r="X327" s="290">
        <v>842</v>
      </c>
      <c r="Y327" s="290"/>
      <c r="Z327" s="290">
        <f>innut22!E333</f>
        <v>76156.190480627149</v>
      </c>
      <c r="AA327" s="290">
        <v>0</v>
      </c>
      <c r="AB327" s="290">
        <v>97</v>
      </c>
      <c r="AC327" s="290">
        <v>0</v>
      </c>
      <c r="AD327" s="290"/>
      <c r="AE327" s="290">
        <v>0</v>
      </c>
      <c r="AF327" s="290">
        <v>0</v>
      </c>
      <c r="AG327" s="290">
        <v>2811</v>
      </c>
      <c r="AH327" s="290">
        <v>442</v>
      </c>
      <c r="AI327" s="290">
        <v>0</v>
      </c>
      <c r="AJ327" s="290">
        <v>0</v>
      </c>
      <c r="AK327" s="290">
        <v>0</v>
      </c>
      <c r="AL327" s="290">
        <v>10075</v>
      </c>
      <c r="AM327" s="957">
        <v>8.8647409999999996E-2</v>
      </c>
      <c r="AN327" s="290">
        <v>0</v>
      </c>
      <c r="AO327" s="290">
        <v>660.98476973000004</v>
      </c>
      <c r="AP327" s="290">
        <v>0</v>
      </c>
      <c r="AQ327" s="290">
        <v>0</v>
      </c>
      <c r="AR327" s="290">
        <v>-135.60444526000001</v>
      </c>
      <c r="AS327" s="290">
        <v>143</v>
      </c>
      <c r="AT327" s="290">
        <v>159</v>
      </c>
      <c r="AU327" s="290">
        <v>30</v>
      </c>
      <c r="AV327" s="766">
        <v>124730</v>
      </c>
      <c r="AW327" s="290"/>
      <c r="AX327" s="766">
        <v>26.833349999999999</v>
      </c>
      <c r="AY327" s="290">
        <v>611</v>
      </c>
      <c r="AZ327" s="290">
        <v>148</v>
      </c>
      <c r="BA327" s="290">
        <v>77</v>
      </c>
      <c r="BB327" s="290">
        <v>6034</v>
      </c>
      <c r="BC327" s="290">
        <v>4896</v>
      </c>
      <c r="BD327" s="290"/>
      <c r="BE327" s="290">
        <v>126510.13553755</v>
      </c>
      <c r="BF327" s="290">
        <v>0</v>
      </c>
      <c r="BG327" s="290">
        <v>2518.971406031405</v>
      </c>
      <c r="BH327" s="290">
        <v>135.71601044740632</v>
      </c>
      <c r="BI327" s="290">
        <v>442</v>
      </c>
      <c r="BJ327" s="290"/>
      <c r="BK327" s="290"/>
      <c r="BL327" s="290"/>
      <c r="BM327" s="290">
        <v>0</v>
      </c>
      <c r="BN327" s="290">
        <v>1257.6938399999999</v>
      </c>
      <c r="BO327" s="290">
        <v>-1309.7956709075174</v>
      </c>
      <c r="BP327" s="290">
        <v>130.446</v>
      </c>
      <c r="BQ327" s="290">
        <v>-69.956999999999994</v>
      </c>
      <c r="BR327" s="290">
        <v>-53.072169092482483</v>
      </c>
      <c r="BS327" s="290">
        <v>0.68500000000000005</v>
      </c>
      <c r="BT327" s="290"/>
      <c r="BU327" s="290">
        <v>0</v>
      </c>
      <c r="BV327" s="290">
        <v>1500</v>
      </c>
      <c r="BW327" s="290">
        <v>-646</v>
      </c>
      <c r="BX327" s="290">
        <v>332</v>
      </c>
      <c r="BY327" s="290">
        <v>102</v>
      </c>
      <c r="BZ327" s="290">
        <v>-491</v>
      </c>
      <c r="CA327" s="290">
        <v>0</v>
      </c>
      <c r="CB327" s="290">
        <v>163</v>
      </c>
      <c r="CC327" s="290">
        <v>366</v>
      </c>
      <c r="CD327" s="290">
        <v>6</v>
      </c>
      <c r="CE327" s="290">
        <v>103</v>
      </c>
      <c r="CF327" s="290">
        <v>6</v>
      </c>
      <c r="CG327" s="290">
        <v>0</v>
      </c>
      <c r="CH327" s="290">
        <v>-4</v>
      </c>
      <c r="CI327" s="290">
        <v>-1242</v>
      </c>
      <c r="CJ327" s="290">
        <v>-3354</v>
      </c>
      <c r="CK327" s="290">
        <f>+innut22!E333+innut22!S333</f>
        <v>76156.190480627149</v>
      </c>
      <c r="CL327" s="290">
        <v>0</v>
      </c>
      <c r="CM327" s="290">
        <v>0</v>
      </c>
      <c r="CN327" s="290">
        <v>0</v>
      </c>
      <c r="CP327" s="290">
        <f>+innut23!E333</f>
        <v>72363.340885465979</v>
      </c>
      <c r="CQ327" s="290"/>
      <c r="CV327" s="85">
        <f t="shared" si="6"/>
        <v>0.52</v>
      </c>
    </row>
    <row r="328" spans="1:100" ht="13">
      <c r="A328" s="1">
        <v>5412</v>
      </c>
      <c r="B328" s="2" t="s">
        <v>1649</v>
      </c>
      <c r="C328" s="289">
        <v>4201</v>
      </c>
      <c r="D328" s="290">
        <v>65</v>
      </c>
      <c r="E328" s="290">
        <v>133</v>
      </c>
      <c r="F328" s="290">
        <v>459</v>
      </c>
      <c r="G328" s="290">
        <v>282</v>
      </c>
      <c r="H328" s="290">
        <v>2218</v>
      </c>
      <c r="I328" s="290">
        <v>762</v>
      </c>
      <c r="J328" s="290">
        <v>233</v>
      </c>
      <c r="K328" s="290">
        <v>57</v>
      </c>
      <c r="L328" s="290">
        <v>33</v>
      </c>
      <c r="M328" s="290">
        <v>435</v>
      </c>
      <c r="N328" s="290">
        <v>14</v>
      </c>
      <c r="O328" s="290">
        <v>20</v>
      </c>
      <c r="P328" s="624">
        <v>68681.730333329993</v>
      </c>
      <c r="Q328" s="624">
        <v>15373.105333330001</v>
      </c>
      <c r="R328" s="624">
        <v>20</v>
      </c>
      <c r="S328" s="290">
        <v>41</v>
      </c>
      <c r="T328" s="290">
        <v>343</v>
      </c>
      <c r="U328" s="958">
        <v>2.1040224097352705E-3</v>
      </c>
      <c r="V328" s="290">
        <v>2486.6270675599999</v>
      </c>
      <c r="W328" s="765">
        <v>0.91766217000000005</v>
      </c>
      <c r="X328" s="290">
        <v>964</v>
      </c>
      <c r="Y328" s="290"/>
      <c r="Z328" s="290">
        <f>innut22!E334</f>
        <v>124701.38785920531</v>
      </c>
      <c r="AA328" s="290">
        <v>0</v>
      </c>
      <c r="AB328" s="290">
        <v>126</v>
      </c>
      <c r="AC328" s="290">
        <v>292</v>
      </c>
      <c r="AD328" s="290"/>
      <c r="AE328" s="290">
        <v>0</v>
      </c>
      <c r="AF328" s="290">
        <v>26008</v>
      </c>
      <c r="AG328" s="290">
        <v>4209</v>
      </c>
      <c r="AH328" s="290">
        <v>630</v>
      </c>
      <c r="AI328" s="290">
        <v>1250</v>
      </c>
      <c r="AJ328" s="290">
        <v>0</v>
      </c>
      <c r="AK328" s="290">
        <v>0</v>
      </c>
      <c r="AL328" s="290">
        <v>15026</v>
      </c>
      <c r="AM328" s="957">
        <v>4.4111940000000002E-2</v>
      </c>
      <c r="AN328" s="290">
        <v>0</v>
      </c>
      <c r="AO328" s="290">
        <v>928.33958485999995</v>
      </c>
      <c r="AP328" s="290">
        <v>0</v>
      </c>
      <c r="AQ328" s="290">
        <v>0</v>
      </c>
      <c r="AR328" s="290">
        <v>-203.04486306999999</v>
      </c>
      <c r="AS328" s="290">
        <v>1422</v>
      </c>
      <c r="AT328" s="290">
        <v>199</v>
      </c>
      <c r="AU328" s="290">
        <v>33</v>
      </c>
      <c r="AV328" s="766">
        <v>185031</v>
      </c>
      <c r="AW328" s="290"/>
      <c r="AX328" s="766">
        <v>29.333349999999999</v>
      </c>
      <c r="AY328" s="290">
        <v>831</v>
      </c>
      <c r="AZ328" s="290">
        <v>119</v>
      </c>
      <c r="BA328" s="290">
        <v>87</v>
      </c>
      <c r="BB328" s="290">
        <v>0</v>
      </c>
      <c r="BC328" s="290">
        <v>32896</v>
      </c>
      <c r="BD328" s="290"/>
      <c r="BE328" s="290">
        <v>188595.90025089</v>
      </c>
      <c r="BF328" s="290">
        <v>0</v>
      </c>
      <c r="BG328" s="290">
        <v>3794.2627740186203</v>
      </c>
      <c r="BH328" s="290">
        <v>204.42558619202364</v>
      </c>
      <c r="BI328" s="290">
        <v>26930</v>
      </c>
      <c r="BJ328" s="290"/>
      <c r="BK328" s="290"/>
      <c r="BL328" s="290"/>
      <c r="BM328" s="290">
        <v>0</v>
      </c>
      <c r="BN328" s="290">
        <v>1766.40526</v>
      </c>
      <c r="BO328" s="290">
        <v>-1961.1988540909786</v>
      </c>
      <c r="BP328" s="290">
        <v>185.46100000000001</v>
      </c>
      <c r="BQ328" s="290">
        <v>-99.460999999999999</v>
      </c>
      <c r="BR328" s="290">
        <v>-80.107097833219527</v>
      </c>
      <c r="BS328" s="290">
        <v>1.044</v>
      </c>
      <c r="BT328" s="290"/>
      <c r="BU328" s="290">
        <v>0</v>
      </c>
      <c r="BV328" s="290">
        <v>2500</v>
      </c>
      <c r="BW328" s="290">
        <v>-967</v>
      </c>
      <c r="BX328" s="290">
        <v>513</v>
      </c>
      <c r="BY328" s="290">
        <v>107</v>
      </c>
      <c r="BZ328" s="290">
        <v>-735</v>
      </c>
      <c r="CA328" s="290">
        <v>-1.14330807580194</v>
      </c>
      <c r="CB328" s="290">
        <v>172</v>
      </c>
      <c r="CC328" s="290">
        <v>547</v>
      </c>
      <c r="CD328" s="290">
        <v>6</v>
      </c>
      <c r="CE328" s="290">
        <v>155</v>
      </c>
      <c r="CF328" s="290">
        <v>9</v>
      </c>
      <c r="CG328" s="290">
        <v>1</v>
      </c>
      <c r="CH328" s="290">
        <v>-6</v>
      </c>
      <c r="CI328" s="290">
        <v>-1871</v>
      </c>
      <c r="CJ328" s="290">
        <v>-5072</v>
      </c>
      <c r="CK328" s="290">
        <f>+innut22!E334+innut22!S334</f>
        <v>124701.38785920531</v>
      </c>
      <c r="CL328" s="290">
        <v>0</v>
      </c>
      <c r="CM328" s="290">
        <v>0</v>
      </c>
      <c r="CN328" s="290">
        <v>0</v>
      </c>
      <c r="CP328" s="290">
        <f>+innut23!E334</f>
        <v>116544.07541029927</v>
      </c>
      <c r="CQ328" s="290"/>
      <c r="CV328" s="85">
        <f t="shared" si="6"/>
        <v>0.77900000000000003</v>
      </c>
    </row>
    <row r="329" spans="1:100" ht="13">
      <c r="A329" s="1">
        <v>5413</v>
      </c>
      <c r="B329" s="2" t="s">
        <v>221</v>
      </c>
      <c r="C329" s="289">
        <v>1289</v>
      </c>
      <c r="D329" s="290">
        <v>7</v>
      </c>
      <c r="E329" s="290">
        <v>31</v>
      </c>
      <c r="F329" s="290">
        <v>109</v>
      </c>
      <c r="G329" s="290">
        <v>108</v>
      </c>
      <c r="H329" s="290">
        <v>649</v>
      </c>
      <c r="I329" s="290">
        <v>263</v>
      </c>
      <c r="J329" s="290">
        <v>96</v>
      </c>
      <c r="K329" s="290">
        <v>33</v>
      </c>
      <c r="L329" s="290">
        <v>9</v>
      </c>
      <c r="M329" s="290">
        <v>194</v>
      </c>
      <c r="N329" s="290">
        <v>30</v>
      </c>
      <c r="O329" s="290">
        <v>10</v>
      </c>
      <c r="P329" s="624">
        <v>10773.098333329999</v>
      </c>
      <c r="Q329" s="624">
        <v>4527.71433333</v>
      </c>
      <c r="R329" s="624">
        <v>8</v>
      </c>
      <c r="S329" s="290">
        <v>16</v>
      </c>
      <c r="T329" s="290">
        <v>140</v>
      </c>
      <c r="U329" s="958">
        <v>1.0402204714615596E-3</v>
      </c>
      <c r="V329" s="290">
        <v>-1676.7124471</v>
      </c>
      <c r="W329" s="765">
        <v>1</v>
      </c>
      <c r="X329" s="290">
        <v>803</v>
      </c>
      <c r="Y329" s="290"/>
      <c r="Z329" s="290">
        <f>innut22!E335</f>
        <v>44867.84563795499</v>
      </c>
      <c r="AA329" s="290">
        <v>0</v>
      </c>
      <c r="AB329" s="290">
        <v>25</v>
      </c>
      <c r="AC329" s="290">
        <v>422</v>
      </c>
      <c r="AD329" s="290"/>
      <c r="AE329" s="290">
        <v>0</v>
      </c>
      <c r="AF329" s="290">
        <v>0</v>
      </c>
      <c r="AG329" s="290">
        <v>1296</v>
      </c>
      <c r="AH329" s="290">
        <v>161</v>
      </c>
      <c r="AI329" s="290">
        <v>0</v>
      </c>
      <c r="AJ329" s="290">
        <v>0</v>
      </c>
      <c r="AK329" s="290">
        <v>0</v>
      </c>
      <c r="AL329" s="290">
        <v>4712</v>
      </c>
      <c r="AM329" s="957">
        <v>2.1742419999999998E-2</v>
      </c>
      <c r="AN329" s="290">
        <v>0</v>
      </c>
      <c r="AO329" s="290">
        <v>342.82691471999999</v>
      </c>
      <c r="AP329" s="290">
        <v>0</v>
      </c>
      <c r="AQ329" s="290">
        <v>0</v>
      </c>
      <c r="AR329" s="290">
        <v>-62.519872309999997</v>
      </c>
      <c r="AS329" s="290">
        <v>866</v>
      </c>
      <c r="AT329" s="290">
        <v>66</v>
      </c>
      <c r="AU329" s="290">
        <v>14</v>
      </c>
      <c r="AV329" s="766">
        <v>71515</v>
      </c>
      <c r="AW329" s="290"/>
      <c r="AX329" s="766">
        <v>5.0833000000000004</v>
      </c>
      <c r="AY329" s="290">
        <v>206</v>
      </c>
      <c r="AZ329" s="290">
        <v>41</v>
      </c>
      <c r="BA329" s="290">
        <v>29</v>
      </c>
      <c r="BB329" s="290">
        <v>6034</v>
      </c>
      <c r="BC329" s="290">
        <v>2532</v>
      </c>
      <c r="BD329" s="290"/>
      <c r="BE329" s="290">
        <v>71843.322217540001</v>
      </c>
      <c r="BF329" s="290">
        <v>0</v>
      </c>
      <c r="BG329" s="290">
        <v>1164.2001227588673</v>
      </c>
      <c r="BH329" s="290">
        <v>62.724251511906324</v>
      </c>
      <c r="BI329" s="290">
        <v>583</v>
      </c>
      <c r="BJ329" s="290"/>
      <c r="BK329" s="290"/>
      <c r="BL329" s="290"/>
      <c r="BM329" s="290">
        <v>0</v>
      </c>
      <c r="BN329" s="290">
        <v>652.31653999999992</v>
      </c>
      <c r="BO329" s="290">
        <v>-603.87591230741464</v>
      </c>
      <c r="BP329" s="290">
        <v>42.043999999999997</v>
      </c>
      <c r="BQ329" s="290">
        <v>-22.547999999999998</v>
      </c>
      <c r="BR329" s="290">
        <v>-23.722416780698946</v>
      </c>
      <c r="BS329" s="290">
        <v>0.437</v>
      </c>
      <c r="BT329" s="290"/>
      <c r="BU329" s="290">
        <v>0</v>
      </c>
      <c r="BV329" s="290">
        <v>500</v>
      </c>
      <c r="BW329" s="290">
        <v>-298</v>
      </c>
      <c r="BX329" s="290">
        <v>144</v>
      </c>
      <c r="BY329" s="290">
        <v>40</v>
      </c>
      <c r="BZ329" s="290">
        <v>-226</v>
      </c>
      <c r="CA329" s="290">
        <v>-1.6512109118863236</v>
      </c>
      <c r="CB329" s="290">
        <v>65</v>
      </c>
      <c r="CC329" s="290">
        <v>169</v>
      </c>
      <c r="CD329" s="290">
        <v>2</v>
      </c>
      <c r="CE329" s="290">
        <v>48</v>
      </c>
      <c r="CF329" s="290">
        <v>4</v>
      </c>
      <c r="CG329" s="290">
        <v>0</v>
      </c>
      <c r="CH329" s="290">
        <v>-2</v>
      </c>
      <c r="CI329" s="290">
        <v>-574</v>
      </c>
      <c r="CJ329" s="290">
        <v>-1715</v>
      </c>
      <c r="CK329" s="290">
        <f>+innut22!E335+innut22!S335</f>
        <v>44867.84563795499</v>
      </c>
      <c r="CL329" s="290">
        <v>0</v>
      </c>
      <c r="CM329" s="290">
        <v>0</v>
      </c>
      <c r="CN329" s="290">
        <v>0</v>
      </c>
      <c r="CP329" s="290">
        <f>+innut23!E335</f>
        <v>38044.669172596645</v>
      </c>
      <c r="CQ329" s="290"/>
      <c r="CV329" s="85">
        <f t="shared" si="6"/>
        <v>0.24</v>
      </c>
    </row>
    <row r="330" spans="1:100" ht="13">
      <c r="A330" s="1">
        <v>5414</v>
      </c>
      <c r="B330" s="2" t="s">
        <v>222</v>
      </c>
      <c r="C330" s="289">
        <v>1070</v>
      </c>
      <c r="D330" s="290">
        <v>12</v>
      </c>
      <c r="E330" s="290">
        <v>32</v>
      </c>
      <c r="F330" s="290">
        <v>101</v>
      </c>
      <c r="G330" s="290">
        <v>108</v>
      </c>
      <c r="H330" s="290">
        <v>585</v>
      </c>
      <c r="I330" s="290">
        <v>157</v>
      </c>
      <c r="J330" s="290">
        <v>75</v>
      </c>
      <c r="K330" s="290">
        <v>20</v>
      </c>
      <c r="L330" s="290">
        <v>8</v>
      </c>
      <c r="M330" s="290">
        <v>135</v>
      </c>
      <c r="N330" s="290">
        <v>19</v>
      </c>
      <c r="O330" s="290">
        <v>12</v>
      </c>
      <c r="P330" s="624">
        <v>9050.2646666700002</v>
      </c>
      <c r="Q330" s="624">
        <v>5008.1130000000003</v>
      </c>
      <c r="R330" s="624">
        <v>7</v>
      </c>
      <c r="S330" s="290">
        <v>15</v>
      </c>
      <c r="T330" s="290">
        <v>132</v>
      </c>
      <c r="U330" s="958">
        <v>6.6677423402418834E-4</v>
      </c>
      <c r="V330" s="290">
        <v>-5031.0614171999996</v>
      </c>
      <c r="W330" s="765">
        <v>1</v>
      </c>
      <c r="X330" s="290">
        <v>632</v>
      </c>
      <c r="Y330" s="290"/>
      <c r="Z330" s="290">
        <f>innut22!E336</f>
        <v>34827.494051708796</v>
      </c>
      <c r="AA330" s="290">
        <v>0</v>
      </c>
      <c r="AB330" s="290">
        <v>36</v>
      </c>
      <c r="AC330" s="290">
        <v>0</v>
      </c>
      <c r="AD330" s="290"/>
      <c r="AE330" s="290">
        <v>0</v>
      </c>
      <c r="AF330" s="290">
        <v>0</v>
      </c>
      <c r="AG330" s="290">
        <v>1090</v>
      </c>
      <c r="AH330" s="290">
        <v>167</v>
      </c>
      <c r="AI330" s="290">
        <v>0</v>
      </c>
      <c r="AJ330" s="290">
        <v>0</v>
      </c>
      <c r="AK330" s="290">
        <v>0</v>
      </c>
      <c r="AL330" s="290">
        <v>3898</v>
      </c>
      <c r="AM330" s="957">
        <v>2.3950409999999998E-2</v>
      </c>
      <c r="AN330" s="290">
        <v>0</v>
      </c>
      <c r="AO330" s="290">
        <v>291.84869773999998</v>
      </c>
      <c r="AP330" s="290">
        <v>0</v>
      </c>
      <c r="AQ330" s="290">
        <v>0</v>
      </c>
      <c r="AR330" s="290">
        <v>1527.1758294700001</v>
      </c>
      <c r="AS330" s="290">
        <v>709</v>
      </c>
      <c r="AT330" s="290">
        <v>56</v>
      </c>
      <c r="AU330" s="290">
        <v>15</v>
      </c>
      <c r="AV330" s="766">
        <v>60481</v>
      </c>
      <c r="AW330" s="290"/>
      <c r="AX330" s="766">
        <v>2.1249500000000001</v>
      </c>
      <c r="AY330" s="290">
        <v>190</v>
      </c>
      <c r="AZ330" s="290">
        <v>34</v>
      </c>
      <c r="BA330" s="290">
        <v>20</v>
      </c>
      <c r="BB330" s="290">
        <v>6034</v>
      </c>
      <c r="BC330" s="290">
        <v>2210</v>
      </c>
      <c r="BD330" s="290"/>
      <c r="BE330" s="290">
        <v>58397.206434469997</v>
      </c>
      <c r="BF330" s="290">
        <v>0</v>
      </c>
      <c r="BG330" s="290">
        <v>966.40351540107679</v>
      </c>
      <c r="BH330" s="290">
        <v>52.067454707323321</v>
      </c>
      <c r="BI330" s="290">
        <v>167</v>
      </c>
      <c r="BJ330" s="290"/>
      <c r="BK330" s="290"/>
      <c r="BL330" s="290"/>
      <c r="BM330" s="290">
        <v>0</v>
      </c>
      <c r="BN330" s="290">
        <v>555.31733999999994</v>
      </c>
      <c r="BO330" s="290">
        <v>-507.88946328324226</v>
      </c>
      <c r="BP330" s="290">
        <v>40.220999999999997</v>
      </c>
      <c r="BQ330" s="290">
        <v>-21.57</v>
      </c>
      <c r="BR330" s="290">
        <v>-22.46187671675769</v>
      </c>
      <c r="BS330" s="290">
        <v>0.38300000000000001</v>
      </c>
      <c r="BT330" s="290"/>
      <c r="BU330" s="290">
        <v>0</v>
      </c>
      <c r="BV330" s="290">
        <v>500</v>
      </c>
      <c r="BW330" s="290">
        <v>-250</v>
      </c>
      <c r="BX330" s="290">
        <v>137</v>
      </c>
      <c r="BY330" s="290">
        <v>39</v>
      </c>
      <c r="BZ330" s="290">
        <v>-190</v>
      </c>
      <c r="CA330" s="290">
        <v>0</v>
      </c>
      <c r="CB330" s="290">
        <v>63</v>
      </c>
      <c r="CC330" s="290">
        <v>142</v>
      </c>
      <c r="CD330" s="290">
        <v>2</v>
      </c>
      <c r="CE330" s="290">
        <v>39</v>
      </c>
      <c r="CF330" s="290">
        <v>3</v>
      </c>
      <c r="CG330" s="290">
        <v>0</v>
      </c>
      <c r="CH330" s="290">
        <v>-2</v>
      </c>
      <c r="CI330" s="290">
        <v>-477</v>
      </c>
      <c r="CJ330" s="290">
        <v>-1339</v>
      </c>
      <c r="CK330" s="290">
        <f>+innut22!E336+innut22!S336</f>
        <v>34827.494051708796</v>
      </c>
      <c r="CL330" s="290">
        <v>0</v>
      </c>
      <c r="CM330" s="290">
        <v>0</v>
      </c>
      <c r="CN330" s="290">
        <v>0</v>
      </c>
      <c r="CP330" s="290">
        <f>+innut23!E336</f>
        <v>32065.233237860553</v>
      </c>
      <c r="CQ330" s="290"/>
      <c r="CV330" s="85">
        <f t="shared" si="6"/>
        <v>0.20200000000000001</v>
      </c>
    </row>
    <row r="331" spans="1:100" ht="13">
      <c r="A331" s="1">
        <v>5415</v>
      </c>
      <c r="B331" s="2" t="s">
        <v>223</v>
      </c>
      <c r="C331" s="289">
        <v>970</v>
      </c>
      <c r="D331" s="290">
        <v>14</v>
      </c>
      <c r="E331" s="290">
        <v>29</v>
      </c>
      <c r="F331" s="290">
        <v>134</v>
      </c>
      <c r="G331" s="290">
        <v>89</v>
      </c>
      <c r="H331" s="290">
        <v>505</v>
      </c>
      <c r="I331" s="290">
        <v>151</v>
      </c>
      <c r="J331" s="290">
        <v>66</v>
      </c>
      <c r="K331" s="290">
        <v>21</v>
      </c>
      <c r="L331" s="290">
        <v>6</v>
      </c>
      <c r="M331" s="290">
        <v>110</v>
      </c>
      <c r="N331" s="290">
        <v>31</v>
      </c>
      <c r="O331" s="290">
        <v>17</v>
      </c>
      <c r="P331" s="624">
        <v>3261.9110000000001</v>
      </c>
      <c r="Q331" s="624">
        <v>4092.4059999999999</v>
      </c>
      <c r="R331" s="624">
        <v>7</v>
      </c>
      <c r="S331" s="290">
        <v>12</v>
      </c>
      <c r="T331" s="290">
        <v>75</v>
      </c>
      <c r="U331" s="958">
        <v>6.5956206094018566E-4</v>
      </c>
      <c r="V331" s="290">
        <v>776.86434453000004</v>
      </c>
      <c r="W331" s="765">
        <v>0.99509709000000002</v>
      </c>
      <c r="X331" s="290">
        <v>448</v>
      </c>
      <c r="Y331" s="290"/>
      <c r="Z331" s="290">
        <f>innut22!E337</f>
        <v>24628.760642770343</v>
      </c>
      <c r="AA331" s="290">
        <v>0</v>
      </c>
      <c r="AB331" s="290">
        <v>34</v>
      </c>
      <c r="AC331" s="290">
        <v>194</v>
      </c>
      <c r="AD331" s="290"/>
      <c r="AE331" s="290">
        <v>0</v>
      </c>
      <c r="AF331" s="290">
        <v>0</v>
      </c>
      <c r="AG331" s="290">
        <v>1009</v>
      </c>
      <c r="AH331" s="290">
        <v>184</v>
      </c>
      <c r="AI331" s="290">
        <v>0</v>
      </c>
      <c r="AJ331" s="290">
        <v>0</v>
      </c>
      <c r="AK331" s="290">
        <v>0</v>
      </c>
      <c r="AL331" s="290">
        <v>3641</v>
      </c>
      <c r="AM331" s="957">
        <v>2.3644749999999999E-2</v>
      </c>
      <c r="AN331" s="290">
        <v>0</v>
      </c>
      <c r="AO331" s="290">
        <v>290.02898443999999</v>
      </c>
      <c r="AP331" s="290">
        <v>0</v>
      </c>
      <c r="AQ331" s="290">
        <v>0</v>
      </c>
      <c r="AR331" s="290">
        <v>-48.674807989999998</v>
      </c>
      <c r="AS331" s="290">
        <v>673</v>
      </c>
      <c r="AT331" s="290">
        <v>50</v>
      </c>
      <c r="AU331" s="290">
        <v>12</v>
      </c>
      <c r="AV331" s="766">
        <v>66086</v>
      </c>
      <c r="AW331" s="290"/>
      <c r="AX331" s="766">
        <v>5.5833000000000004</v>
      </c>
      <c r="AY331" s="290">
        <v>180</v>
      </c>
      <c r="AZ331" s="290">
        <v>41</v>
      </c>
      <c r="BA331" s="290">
        <v>32</v>
      </c>
      <c r="BB331" s="290">
        <v>6034</v>
      </c>
      <c r="BC331" s="290">
        <v>2150</v>
      </c>
      <c r="BD331" s="290"/>
      <c r="BE331" s="290">
        <v>66090.764398760002</v>
      </c>
      <c r="BF331" s="290">
        <v>0</v>
      </c>
      <c r="BG331" s="290">
        <v>876.08542984957421</v>
      </c>
      <c r="BH331" s="290">
        <v>47.20133744495665</v>
      </c>
      <c r="BI331" s="290">
        <v>378</v>
      </c>
      <c r="BJ331" s="290"/>
      <c r="BK331" s="290"/>
      <c r="BL331" s="290"/>
      <c r="BM331" s="290">
        <v>0</v>
      </c>
      <c r="BN331" s="290">
        <v>551.85487999999998</v>
      </c>
      <c r="BO331" s="290">
        <v>-470.14721876402882</v>
      </c>
      <c r="BP331" s="290">
        <v>39.723999999999997</v>
      </c>
      <c r="BQ331" s="290">
        <v>-21.303999999999998</v>
      </c>
      <c r="BR331" s="290">
        <v>-25.506319540802707</v>
      </c>
      <c r="BS331" s="290">
        <v>0.36099999999999999</v>
      </c>
      <c r="BT331" s="290"/>
      <c r="BU331" s="290">
        <v>0</v>
      </c>
      <c r="BV331" s="290">
        <v>500</v>
      </c>
      <c r="BW331" s="290">
        <v>-232</v>
      </c>
      <c r="BX331" s="290">
        <v>165</v>
      </c>
      <c r="BY331" s="290">
        <v>32</v>
      </c>
      <c r="BZ331" s="290">
        <v>-176</v>
      </c>
      <c r="CA331" s="290">
        <v>355.01765830483157</v>
      </c>
      <c r="CB331" s="290">
        <v>52</v>
      </c>
      <c r="CC331" s="290">
        <v>131</v>
      </c>
      <c r="CD331" s="290">
        <v>2</v>
      </c>
      <c r="CE331" s="290">
        <v>36</v>
      </c>
      <c r="CF331" s="290">
        <v>3</v>
      </c>
      <c r="CG331" s="290">
        <v>0</v>
      </c>
      <c r="CH331" s="290">
        <v>-2</v>
      </c>
      <c r="CI331" s="290">
        <v>-432</v>
      </c>
      <c r="CJ331" s="290">
        <v>-1225</v>
      </c>
      <c r="CK331" s="290">
        <f>+innut22!E337+innut22!S337</f>
        <v>24628.760642770343</v>
      </c>
      <c r="CL331" s="290">
        <v>0</v>
      </c>
      <c r="CM331" s="290">
        <v>0</v>
      </c>
      <c r="CN331" s="290">
        <v>0</v>
      </c>
      <c r="CP331" s="290">
        <f>+innut23!E337</f>
        <v>22883.518767420799</v>
      </c>
      <c r="CQ331" s="290"/>
      <c r="CV331" s="85">
        <f t="shared" si="6"/>
        <v>0.187</v>
      </c>
    </row>
    <row r="332" spans="1:100" ht="13">
      <c r="A332" s="1">
        <v>5416</v>
      </c>
      <c r="B332" s="2" t="s">
        <v>224</v>
      </c>
      <c r="C332" s="289">
        <v>3993</v>
      </c>
      <c r="D332" s="290">
        <v>79</v>
      </c>
      <c r="E332" s="290">
        <v>150</v>
      </c>
      <c r="F332" s="290">
        <v>457</v>
      </c>
      <c r="G332" s="290">
        <v>386</v>
      </c>
      <c r="H332" s="290">
        <v>2168</v>
      </c>
      <c r="I332" s="290">
        <v>545</v>
      </c>
      <c r="J332" s="290">
        <v>158</v>
      </c>
      <c r="K332" s="290">
        <v>36</v>
      </c>
      <c r="L332" s="290">
        <v>32</v>
      </c>
      <c r="M332" s="290">
        <v>322</v>
      </c>
      <c r="N332" s="290">
        <v>59</v>
      </c>
      <c r="O332" s="290">
        <v>29</v>
      </c>
      <c r="P332" s="624">
        <v>23051.26333333</v>
      </c>
      <c r="Q332" s="624">
        <v>11449.43</v>
      </c>
      <c r="R332" s="624">
        <v>18</v>
      </c>
      <c r="S332" s="290">
        <v>34</v>
      </c>
      <c r="T332" s="290">
        <v>271</v>
      </c>
      <c r="U332" s="958">
        <v>1.4833591427859006E-3</v>
      </c>
      <c r="V332" s="290">
        <v>1968.92144598</v>
      </c>
      <c r="W332" s="765">
        <v>0.79631503000000003</v>
      </c>
      <c r="X332" s="290">
        <v>803</v>
      </c>
      <c r="Y332" s="290"/>
      <c r="Z332" s="290">
        <f>innut22!E338</f>
        <v>145326.71190507311</v>
      </c>
      <c r="AA332" s="290">
        <v>0</v>
      </c>
      <c r="AB332" s="290">
        <v>56</v>
      </c>
      <c r="AC332" s="290">
        <v>310</v>
      </c>
      <c r="AD332" s="290"/>
      <c r="AE332" s="290">
        <v>0</v>
      </c>
      <c r="AF332" s="290">
        <v>0</v>
      </c>
      <c r="AG332" s="290">
        <v>3979</v>
      </c>
      <c r="AH332" s="290">
        <v>681</v>
      </c>
      <c r="AI332" s="290">
        <v>923</v>
      </c>
      <c r="AJ332" s="290">
        <v>0</v>
      </c>
      <c r="AK332" s="290">
        <v>0</v>
      </c>
      <c r="AL332" s="290">
        <v>14134</v>
      </c>
      <c r="AM332" s="957">
        <v>2.0315590000000001E-2</v>
      </c>
      <c r="AN332" s="290">
        <v>0</v>
      </c>
      <c r="AO332" s="290">
        <v>812.56696751000004</v>
      </c>
      <c r="AP332" s="290">
        <v>0</v>
      </c>
      <c r="AQ332" s="290">
        <v>0</v>
      </c>
      <c r="AR332" s="290">
        <v>1637.6041043</v>
      </c>
      <c r="AS332" s="290">
        <v>1019</v>
      </c>
      <c r="AT332" s="290">
        <v>122</v>
      </c>
      <c r="AU332" s="290">
        <v>15</v>
      </c>
      <c r="AV332" s="766">
        <v>137225</v>
      </c>
      <c r="AW332" s="290"/>
      <c r="AX332" s="766">
        <v>34.583300000000001</v>
      </c>
      <c r="AY332" s="290">
        <v>950</v>
      </c>
      <c r="AZ332" s="290">
        <v>174</v>
      </c>
      <c r="BA332" s="290">
        <v>62</v>
      </c>
      <c r="BB332" s="290">
        <v>0</v>
      </c>
      <c r="BC332" s="290">
        <v>7312</v>
      </c>
      <c r="BD332" s="290"/>
      <c r="BE332" s="290">
        <v>133515.35007416</v>
      </c>
      <c r="BF332" s="290">
        <v>0</v>
      </c>
      <c r="BG332" s="290">
        <v>3606.4011560714953</v>
      </c>
      <c r="BH332" s="290">
        <v>194.30406228630096</v>
      </c>
      <c r="BI332" s="290">
        <v>991</v>
      </c>
      <c r="BJ332" s="290"/>
      <c r="BK332" s="290"/>
      <c r="BL332" s="290"/>
      <c r="BM332" s="290">
        <v>0</v>
      </c>
      <c r="BN332" s="290">
        <v>1546.1180200000001</v>
      </c>
      <c r="BO332" s="290">
        <v>-1854.0295178018539</v>
      </c>
      <c r="BP332" s="290">
        <v>210.74</v>
      </c>
      <c r="BQ332" s="290">
        <v>-113.018</v>
      </c>
      <c r="BR332" s="290">
        <v>-74.466930274309135</v>
      </c>
      <c r="BS332" s="290">
        <v>0.86699999999999999</v>
      </c>
      <c r="BT332" s="290"/>
      <c r="BU332" s="290">
        <v>0</v>
      </c>
      <c r="BV332" s="290">
        <v>2000</v>
      </c>
      <c r="BW332" s="290">
        <v>-914</v>
      </c>
      <c r="BX332" s="290">
        <v>481</v>
      </c>
      <c r="BY332" s="290">
        <v>89</v>
      </c>
      <c r="BZ332" s="290">
        <v>-695</v>
      </c>
      <c r="CA332" s="290">
        <v>-1.210571923837108</v>
      </c>
      <c r="CB332" s="290">
        <v>144</v>
      </c>
      <c r="CC332" s="290">
        <v>517</v>
      </c>
      <c r="CD332" s="290">
        <v>5</v>
      </c>
      <c r="CE332" s="290">
        <v>147</v>
      </c>
      <c r="CF332" s="290">
        <v>7</v>
      </c>
      <c r="CG332" s="290">
        <v>1</v>
      </c>
      <c r="CH332" s="290">
        <v>-5</v>
      </c>
      <c r="CI332" s="290">
        <v>-1778</v>
      </c>
      <c r="CJ332" s="290">
        <v>-3923</v>
      </c>
      <c r="CK332" s="290">
        <f>+innut22!E338+innut22!S338</f>
        <v>145326.71190507311</v>
      </c>
      <c r="CL332" s="290">
        <v>0</v>
      </c>
      <c r="CM332" s="290">
        <v>0</v>
      </c>
      <c r="CN332" s="290">
        <v>0</v>
      </c>
      <c r="CP332" s="290">
        <f>+innut23!E338</f>
        <v>142233.58432614006</v>
      </c>
      <c r="CQ332" s="290"/>
      <c r="CV332" s="85">
        <f t="shared" si="6"/>
        <v>0.73699999999999999</v>
      </c>
    </row>
    <row r="333" spans="1:100" ht="13">
      <c r="A333" s="1">
        <v>5417</v>
      </c>
      <c r="B333" s="2" t="s">
        <v>225</v>
      </c>
      <c r="C333" s="289">
        <v>2087</v>
      </c>
      <c r="D333" s="290">
        <v>33</v>
      </c>
      <c r="E333" s="290">
        <v>68</v>
      </c>
      <c r="F333" s="290">
        <v>207</v>
      </c>
      <c r="G333" s="290">
        <v>191</v>
      </c>
      <c r="H333" s="290">
        <v>1111</v>
      </c>
      <c r="I333" s="290">
        <v>352</v>
      </c>
      <c r="J333" s="290">
        <v>103</v>
      </c>
      <c r="K333" s="290">
        <v>20</v>
      </c>
      <c r="L333" s="290">
        <v>17</v>
      </c>
      <c r="M333" s="290">
        <v>235</v>
      </c>
      <c r="N333" s="290">
        <v>52</v>
      </c>
      <c r="O333" s="290">
        <v>21</v>
      </c>
      <c r="P333" s="624">
        <v>10387.589333329999</v>
      </c>
      <c r="Q333" s="624">
        <v>6169.2483333299997</v>
      </c>
      <c r="R333" s="624">
        <v>12</v>
      </c>
      <c r="S333" s="290">
        <v>26</v>
      </c>
      <c r="T333" s="290">
        <v>199</v>
      </c>
      <c r="U333" s="958">
        <v>9.5299640105057449E-4</v>
      </c>
      <c r="V333" s="290">
        <v>1260.4989217899999</v>
      </c>
      <c r="W333" s="765">
        <v>0.89666913000000004</v>
      </c>
      <c r="X333" s="290">
        <v>1060</v>
      </c>
      <c r="Y333" s="290"/>
      <c r="Z333" s="290">
        <f>innut22!E339</f>
        <v>65430.127637025958</v>
      </c>
      <c r="AA333" s="290">
        <v>0</v>
      </c>
      <c r="AB333" s="290">
        <v>66</v>
      </c>
      <c r="AC333" s="290">
        <v>983</v>
      </c>
      <c r="AD333" s="290"/>
      <c r="AE333" s="290">
        <v>0</v>
      </c>
      <c r="AF333" s="290">
        <v>0</v>
      </c>
      <c r="AG333" s="290">
        <v>2085</v>
      </c>
      <c r="AH333" s="290">
        <v>319</v>
      </c>
      <c r="AI333" s="290">
        <v>1000</v>
      </c>
      <c r="AJ333" s="290">
        <v>0</v>
      </c>
      <c r="AK333" s="290">
        <v>0</v>
      </c>
      <c r="AL333" s="290">
        <v>7458</v>
      </c>
      <c r="AM333" s="957">
        <v>4.073997E-2</v>
      </c>
      <c r="AN333" s="290">
        <v>0</v>
      </c>
      <c r="AO333" s="290">
        <v>470.58566242000001</v>
      </c>
      <c r="AP333" s="290">
        <v>0</v>
      </c>
      <c r="AQ333" s="290">
        <v>0</v>
      </c>
      <c r="AR333" s="290">
        <v>-100.58173901000001</v>
      </c>
      <c r="AS333" s="290">
        <v>1348</v>
      </c>
      <c r="AT333" s="290">
        <v>83</v>
      </c>
      <c r="AU333" s="290">
        <v>17</v>
      </c>
      <c r="AV333" s="766">
        <v>88067</v>
      </c>
      <c r="AW333" s="290"/>
      <c r="AX333" s="766">
        <v>11.458349999999999</v>
      </c>
      <c r="AY333" s="290">
        <v>464</v>
      </c>
      <c r="AZ333" s="290">
        <v>126</v>
      </c>
      <c r="BA333" s="290">
        <v>38</v>
      </c>
      <c r="BB333" s="290">
        <v>6034</v>
      </c>
      <c r="BC333" s="290">
        <v>3790</v>
      </c>
      <c r="BD333" s="290"/>
      <c r="BE333" s="290">
        <v>91299.211470399998</v>
      </c>
      <c r="BF333" s="290">
        <v>0</v>
      </c>
      <c r="BG333" s="290">
        <v>1884.9384454598573</v>
      </c>
      <c r="BH333" s="290">
        <v>101.55586726559231</v>
      </c>
      <c r="BI333" s="290">
        <v>1302</v>
      </c>
      <c r="BJ333" s="290"/>
      <c r="BK333" s="290"/>
      <c r="BL333" s="290"/>
      <c r="BM333" s="290">
        <v>0</v>
      </c>
      <c r="BN333" s="290">
        <v>895.41048000000001</v>
      </c>
      <c r="BO333" s="290">
        <v>-971.51333114271563</v>
      </c>
      <c r="BP333" s="290">
        <v>92.777000000000001</v>
      </c>
      <c r="BQ333" s="290">
        <v>-49.755000000000003</v>
      </c>
      <c r="BR333" s="290">
        <v>-38.84526210639536</v>
      </c>
      <c r="BS333" s="290">
        <v>0.54500000000000004</v>
      </c>
      <c r="BT333" s="290"/>
      <c r="BU333" s="290">
        <v>0</v>
      </c>
      <c r="BV333" s="290">
        <v>500</v>
      </c>
      <c r="BW333" s="290">
        <v>-479</v>
      </c>
      <c r="BX333" s="290">
        <v>237</v>
      </c>
      <c r="BY333" s="290">
        <v>69</v>
      </c>
      <c r="BZ333" s="290">
        <v>-364</v>
      </c>
      <c r="CA333" s="290">
        <v>-359.61888675088903</v>
      </c>
      <c r="CB333" s="290">
        <v>111</v>
      </c>
      <c r="CC333" s="290">
        <v>271</v>
      </c>
      <c r="CD333" s="290">
        <v>4</v>
      </c>
      <c r="CE333" s="290">
        <v>77</v>
      </c>
      <c r="CF333" s="290">
        <v>4</v>
      </c>
      <c r="CG333" s="290">
        <v>0</v>
      </c>
      <c r="CH333" s="290">
        <v>-3</v>
      </c>
      <c r="CI333" s="290">
        <v>-930</v>
      </c>
      <c r="CJ333" s="290">
        <v>-2504</v>
      </c>
      <c r="CK333" s="290">
        <f>+innut22!E339+innut22!S339</f>
        <v>65430.127637025958</v>
      </c>
      <c r="CL333" s="290">
        <v>0</v>
      </c>
      <c r="CM333" s="290">
        <v>0</v>
      </c>
      <c r="CN333" s="290">
        <v>0</v>
      </c>
      <c r="CP333" s="290">
        <f>+innut23!E339</f>
        <v>61608.257518784711</v>
      </c>
      <c r="CQ333" s="290"/>
      <c r="CV333" s="85">
        <f t="shared" si="6"/>
        <v>0.38600000000000001</v>
      </c>
    </row>
    <row r="334" spans="1:100" ht="13">
      <c r="A334" s="1">
        <v>5418</v>
      </c>
      <c r="B334" s="2" t="s">
        <v>226</v>
      </c>
      <c r="C334" s="289">
        <v>6599</v>
      </c>
      <c r="D334" s="290">
        <v>118</v>
      </c>
      <c r="E334" s="290">
        <v>249</v>
      </c>
      <c r="F334" s="290">
        <v>720</v>
      </c>
      <c r="G334" s="290">
        <v>607</v>
      </c>
      <c r="H334" s="290">
        <v>3687</v>
      </c>
      <c r="I334" s="290">
        <v>846</v>
      </c>
      <c r="J334" s="290">
        <v>302</v>
      </c>
      <c r="K334" s="290">
        <v>73</v>
      </c>
      <c r="L334" s="290">
        <v>52</v>
      </c>
      <c r="M334" s="290">
        <v>550</v>
      </c>
      <c r="N334" s="290">
        <v>65</v>
      </c>
      <c r="O334" s="290">
        <v>36</v>
      </c>
      <c r="P334" s="624">
        <v>78647.98</v>
      </c>
      <c r="Q334" s="624">
        <v>33906.663</v>
      </c>
      <c r="R334" s="624">
        <v>31</v>
      </c>
      <c r="S334" s="290">
        <v>65</v>
      </c>
      <c r="T334" s="290">
        <v>557</v>
      </c>
      <c r="U334" s="958">
        <v>2.806582903794686E-3</v>
      </c>
      <c r="V334" s="290">
        <v>325.57657583999998</v>
      </c>
      <c r="W334" s="765">
        <v>0.82904003999999998</v>
      </c>
      <c r="X334" s="290">
        <v>1573</v>
      </c>
      <c r="Y334" s="290"/>
      <c r="Z334" s="290">
        <f>innut22!E340</f>
        <v>229214.1937602642</v>
      </c>
      <c r="AA334" s="290">
        <v>0</v>
      </c>
      <c r="AB334" s="290">
        <v>154</v>
      </c>
      <c r="AC334" s="290">
        <v>1242</v>
      </c>
      <c r="AD334" s="290"/>
      <c r="AE334" s="290">
        <v>0</v>
      </c>
      <c r="AF334" s="290">
        <v>0</v>
      </c>
      <c r="AG334" s="290">
        <v>6602</v>
      </c>
      <c r="AH334" s="290">
        <v>1072</v>
      </c>
      <c r="AI334" s="290">
        <v>3320.75</v>
      </c>
      <c r="AJ334" s="290">
        <v>0</v>
      </c>
      <c r="AK334" s="290">
        <v>0</v>
      </c>
      <c r="AL334" s="290">
        <v>23594</v>
      </c>
      <c r="AM334" s="957">
        <v>4.9402139999999997E-2</v>
      </c>
      <c r="AN334" s="290">
        <v>0</v>
      </c>
      <c r="AO334" s="290">
        <v>1361.6108472799999</v>
      </c>
      <c r="AP334" s="290">
        <v>0</v>
      </c>
      <c r="AQ334" s="290">
        <v>0</v>
      </c>
      <c r="AR334" s="290">
        <v>-318.48471988</v>
      </c>
      <c r="AS334" s="290">
        <v>1945</v>
      </c>
      <c r="AT334" s="290">
        <v>277</v>
      </c>
      <c r="AU334" s="290">
        <v>41</v>
      </c>
      <c r="AV334" s="766">
        <v>224303</v>
      </c>
      <c r="AW334" s="290"/>
      <c r="AX334" s="766">
        <v>38.875</v>
      </c>
      <c r="AY334" s="290">
        <v>1441</v>
      </c>
      <c r="AZ334" s="290">
        <v>190</v>
      </c>
      <c r="BA334" s="290">
        <v>130</v>
      </c>
      <c r="BB334" s="290">
        <v>0</v>
      </c>
      <c r="BC334" s="290">
        <v>11379</v>
      </c>
      <c r="BD334" s="290"/>
      <c r="BE334" s="290">
        <v>223707.21073306</v>
      </c>
      <c r="BF334" s="290">
        <v>0</v>
      </c>
      <c r="BG334" s="290">
        <v>5960.0904655436507</v>
      </c>
      <c r="BH334" s="290">
        <v>321.11507814357628</v>
      </c>
      <c r="BI334" s="290">
        <v>2314</v>
      </c>
      <c r="BJ334" s="290"/>
      <c r="BK334" s="290"/>
      <c r="BL334" s="290"/>
      <c r="BM334" s="290">
        <v>0</v>
      </c>
      <c r="BN334" s="290">
        <v>2590.8154800000002</v>
      </c>
      <c r="BO334" s="290">
        <v>-3076.2259051339129</v>
      </c>
      <c r="BP334" s="290">
        <v>330.923</v>
      </c>
      <c r="BQ334" s="290">
        <v>-177.471</v>
      </c>
      <c r="BR334" s="290">
        <v>-121.63379659878819</v>
      </c>
      <c r="BS334" s="290">
        <v>1.4510000000000001</v>
      </c>
      <c r="BT334" s="290"/>
      <c r="BU334" s="290">
        <v>0</v>
      </c>
      <c r="BV334" s="290">
        <v>3500</v>
      </c>
      <c r="BW334" s="290">
        <v>-1516</v>
      </c>
      <c r="BX334" s="290">
        <v>784</v>
      </c>
      <c r="BY334" s="290">
        <v>171</v>
      </c>
      <c r="BZ334" s="290">
        <v>-1152</v>
      </c>
      <c r="CA334" s="290">
        <v>-4.858778267299158</v>
      </c>
      <c r="CB334" s="290">
        <v>274</v>
      </c>
      <c r="CC334" s="290">
        <v>859</v>
      </c>
      <c r="CD334" s="290">
        <v>10</v>
      </c>
      <c r="CE334" s="290">
        <v>243</v>
      </c>
      <c r="CF334" s="290">
        <v>12</v>
      </c>
      <c r="CG334" s="290">
        <v>1</v>
      </c>
      <c r="CH334" s="290">
        <v>-8</v>
      </c>
      <c r="CI334" s="290">
        <v>-2939</v>
      </c>
      <c r="CJ334" s="290">
        <v>-7890</v>
      </c>
      <c r="CK334" s="290">
        <f>+innut22!E340+innut22!S340</f>
        <v>229214.1937602642</v>
      </c>
      <c r="CL334" s="290">
        <v>0</v>
      </c>
      <c r="CM334" s="290">
        <v>0</v>
      </c>
      <c r="CN334" s="290">
        <v>0</v>
      </c>
      <c r="CP334" s="290">
        <f>+innut23!E340</f>
        <v>218011.35604089085</v>
      </c>
      <c r="CQ334" s="290"/>
      <c r="CV334" s="85">
        <f t="shared" si="6"/>
        <v>1.222</v>
      </c>
    </row>
    <row r="335" spans="1:100" ht="13">
      <c r="A335" s="1">
        <v>5419</v>
      </c>
      <c r="B335" s="2" t="s">
        <v>227</v>
      </c>
      <c r="C335" s="289">
        <v>3414</v>
      </c>
      <c r="D335" s="290">
        <v>56</v>
      </c>
      <c r="E335" s="290">
        <v>124</v>
      </c>
      <c r="F335" s="290">
        <v>382</v>
      </c>
      <c r="G335" s="290">
        <v>320</v>
      </c>
      <c r="H335" s="290">
        <v>1886</v>
      </c>
      <c r="I335" s="290">
        <v>452</v>
      </c>
      <c r="J335" s="290">
        <v>166</v>
      </c>
      <c r="K335" s="290">
        <v>27</v>
      </c>
      <c r="L335" s="290">
        <v>27</v>
      </c>
      <c r="M335" s="290">
        <v>304</v>
      </c>
      <c r="N335" s="290">
        <v>35</v>
      </c>
      <c r="O335" s="290">
        <v>27</v>
      </c>
      <c r="P335" s="624">
        <v>14099.68366667</v>
      </c>
      <c r="Q335" s="624">
        <v>9963.0789999999997</v>
      </c>
      <c r="R335" s="624">
        <v>13</v>
      </c>
      <c r="S335" s="290">
        <v>37</v>
      </c>
      <c r="T335" s="290">
        <v>287</v>
      </c>
      <c r="U335" s="958">
        <v>9.251980511314667E-4</v>
      </c>
      <c r="V335" s="290">
        <v>1337.26947303</v>
      </c>
      <c r="W335" s="765">
        <v>0.71343243000000001</v>
      </c>
      <c r="X335" s="290">
        <v>373</v>
      </c>
      <c r="Y335" s="290"/>
      <c r="Z335" s="290">
        <f>innut22!E341</f>
        <v>109071.80812050533</v>
      </c>
      <c r="AA335" s="290">
        <v>0</v>
      </c>
      <c r="AB335" s="290">
        <v>86</v>
      </c>
      <c r="AC335" s="290">
        <v>134</v>
      </c>
      <c r="AD335" s="290"/>
      <c r="AE335" s="290">
        <v>0</v>
      </c>
      <c r="AF335" s="290">
        <v>0</v>
      </c>
      <c r="AG335" s="290">
        <v>3413</v>
      </c>
      <c r="AH335" s="290">
        <v>568</v>
      </c>
      <c r="AI335" s="290">
        <v>300</v>
      </c>
      <c r="AJ335" s="290">
        <v>0</v>
      </c>
      <c r="AK335" s="290">
        <v>0</v>
      </c>
      <c r="AL335" s="290">
        <v>12370</v>
      </c>
      <c r="AM335" s="957">
        <v>6.4731750000000005E-2</v>
      </c>
      <c r="AN335" s="290">
        <v>0</v>
      </c>
      <c r="AO335" s="290">
        <v>693.00638382</v>
      </c>
      <c r="AP335" s="290">
        <v>0</v>
      </c>
      <c r="AQ335" s="290">
        <v>0</v>
      </c>
      <c r="AR335" s="290">
        <v>-164.64531187</v>
      </c>
      <c r="AS335" s="290">
        <v>1404</v>
      </c>
      <c r="AT335" s="290">
        <v>149</v>
      </c>
      <c r="AU335" s="290">
        <v>32</v>
      </c>
      <c r="AV335" s="766">
        <v>113818</v>
      </c>
      <c r="AW335" s="290"/>
      <c r="AX335" s="766">
        <v>14.375</v>
      </c>
      <c r="AY335" s="290">
        <v>684</v>
      </c>
      <c r="AZ335" s="290">
        <v>163</v>
      </c>
      <c r="BA335" s="290">
        <v>63</v>
      </c>
      <c r="BB335" s="290">
        <v>0</v>
      </c>
      <c r="BC335" s="290">
        <v>6478</v>
      </c>
      <c r="BD335" s="290"/>
      <c r="BE335" s="290">
        <v>112747.43336996</v>
      </c>
      <c r="BF335" s="290">
        <v>0</v>
      </c>
      <c r="BG335" s="290">
        <v>3083.4594407282957</v>
      </c>
      <c r="BH335" s="290">
        <v>166.12924333719795</v>
      </c>
      <c r="BI335" s="290">
        <v>702</v>
      </c>
      <c r="BJ335" s="290"/>
      <c r="BK335" s="290"/>
      <c r="BL335" s="290"/>
      <c r="BM335" s="290">
        <v>0</v>
      </c>
      <c r="BN335" s="290">
        <v>1318.6232</v>
      </c>
      <c r="BO335" s="290">
        <v>-1590.2997598033999</v>
      </c>
      <c r="BP335" s="290">
        <v>159.78399999999999</v>
      </c>
      <c r="BQ335" s="290">
        <v>-85.691000000000003</v>
      </c>
      <c r="BR335" s="290">
        <v>-62.632955915119929</v>
      </c>
      <c r="BS335" s="290">
        <v>0.74099999999999999</v>
      </c>
      <c r="BT335" s="290"/>
      <c r="BU335" s="290">
        <v>0</v>
      </c>
      <c r="BV335" s="290">
        <v>1500</v>
      </c>
      <c r="BW335" s="290">
        <v>-784</v>
      </c>
      <c r="BX335" s="290">
        <v>402</v>
      </c>
      <c r="BY335" s="290">
        <v>97</v>
      </c>
      <c r="BZ335" s="290">
        <v>-596</v>
      </c>
      <c r="CA335" s="290">
        <v>-0.52448428148017001</v>
      </c>
      <c r="CB335" s="290">
        <v>155</v>
      </c>
      <c r="CC335" s="290">
        <v>444</v>
      </c>
      <c r="CD335" s="290">
        <v>6</v>
      </c>
      <c r="CE335" s="290">
        <v>126</v>
      </c>
      <c r="CF335" s="290">
        <v>6</v>
      </c>
      <c r="CG335" s="290">
        <v>1</v>
      </c>
      <c r="CH335" s="290">
        <v>-4</v>
      </c>
      <c r="CI335" s="290">
        <v>-1521</v>
      </c>
      <c r="CJ335" s="290">
        <v>-4178</v>
      </c>
      <c r="CK335" s="290">
        <f>+innut22!E341+innut22!S341</f>
        <v>109071.80812050533</v>
      </c>
      <c r="CL335" s="290">
        <v>0</v>
      </c>
      <c r="CM335" s="290">
        <v>0</v>
      </c>
      <c r="CN335" s="290">
        <v>0</v>
      </c>
      <c r="CP335" s="290">
        <f>+innut23!E341</f>
        <v>101676.13617586107</v>
      </c>
      <c r="CQ335" s="290"/>
      <c r="CV335" s="85">
        <f t="shared" si="6"/>
        <v>0.63200000000000001</v>
      </c>
    </row>
    <row r="336" spans="1:100" ht="13">
      <c r="A336" s="1">
        <v>5420</v>
      </c>
      <c r="B336" s="2" t="s">
        <v>228</v>
      </c>
      <c r="C336" s="289">
        <v>1068</v>
      </c>
      <c r="D336" s="290">
        <v>11</v>
      </c>
      <c r="E336" s="290">
        <v>23</v>
      </c>
      <c r="F336" s="290">
        <v>102</v>
      </c>
      <c r="G336" s="290">
        <v>91</v>
      </c>
      <c r="H336" s="290">
        <v>564</v>
      </c>
      <c r="I336" s="290">
        <v>217</v>
      </c>
      <c r="J336" s="290">
        <v>50</v>
      </c>
      <c r="K336" s="290">
        <v>11</v>
      </c>
      <c r="L336" s="290">
        <v>11</v>
      </c>
      <c r="M336" s="290">
        <v>152</v>
      </c>
      <c r="N336" s="290">
        <v>3</v>
      </c>
      <c r="O336" s="290">
        <v>8</v>
      </c>
      <c r="P336" s="624">
        <v>5437.5293333299996</v>
      </c>
      <c r="Q336" s="624">
        <v>6492.4570000000003</v>
      </c>
      <c r="R336" s="624">
        <v>7</v>
      </c>
      <c r="S336" s="290">
        <v>12</v>
      </c>
      <c r="T336" s="290">
        <v>95</v>
      </c>
      <c r="U336" s="958">
        <v>9.0018906180503019E-4</v>
      </c>
      <c r="V336" s="290">
        <v>739.70057872999996</v>
      </c>
      <c r="W336" s="765">
        <v>0.99657574000000004</v>
      </c>
      <c r="X336" s="290">
        <v>1075</v>
      </c>
      <c r="Y336" s="290"/>
      <c r="Z336" s="290">
        <f>innut22!E342</f>
        <v>29860.920484060669</v>
      </c>
      <c r="AA336" s="290">
        <v>0</v>
      </c>
      <c r="AB336" s="290">
        <v>38</v>
      </c>
      <c r="AC336" s="290">
        <v>0</v>
      </c>
      <c r="AD336" s="290"/>
      <c r="AE336" s="290">
        <v>0</v>
      </c>
      <c r="AF336" s="290">
        <v>0</v>
      </c>
      <c r="AG336" s="290">
        <v>1069</v>
      </c>
      <c r="AH336" s="290">
        <v>143</v>
      </c>
      <c r="AI336" s="290">
        <v>1100</v>
      </c>
      <c r="AJ336" s="290">
        <v>0</v>
      </c>
      <c r="AK336" s="290">
        <v>0</v>
      </c>
      <c r="AL336" s="290">
        <v>3795</v>
      </c>
      <c r="AM336" s="957">
        <v>1.538803E-2</v>
      </c>
      <c r="AN336" s="290">
        <v>0</v>
      </c>
      <c r="AO336" s="290">
        <v>276.15452962000001</v>
      </c>
      <c r="AP336" s="290">
        <v>0</v>
      </c>
      <c r="AQ336" s="290">
        <v>0</v>
      </c>
      <c r="AR336" s="290">
        <v>4977.3468320499996</v>
      </c>
      <c r="AS336" s="290">
        <v>444</v>
      </c>
      <c r="AT336" s="290">
        <v>42</v>
      </c>
      <c r="AU336" s="290">
        <v>9</v>
      </c>
      <c r="AV336" s="766">
        <v>66317</v>
      </c>
      <c r="AW336" s="290"/>
      <c r="AX336" s="766">
        <v>4.1666499999999997</v>
      </c>
      <c r="AY336" s="290">
        <v>185</v>
      </c>
      <c r="AZ336" s="290">
        <v>46</v>
      </c>
      <c r="BA336" s="290">
        <v>19</v>
      </c>
      <c r="BB336" s="290">
        <v>6034</v>
      </c>
      <c r="BC336" s="290">
        <v>2162</v>
      </c>
      <c r="BD336" s="290"/>
      <c r="BE336" s="290">
        <v>60411.174103329999</v>
      </c>
      <c r="BF336" s="290">
        <v>0</v>
      </c>
      <c r="BG336" s="290">
        <v>964.59715369004675</v>
      </c>
      <c r="BH336" s="290">
        <v>51.970132362075987</v>
      </c>
      <c r="BI336" s="290">
        <v>143</v>
      </c>
      <c r="BJ336" s="290"/>
      <c r="BK336" s="290"/>
      <c r="BL336" s="290"/>
      <c r="BM336" s="290">
        <v>0</v>
      </c>
      <c r="BN336" s="290">
        <v>525.45514000000003</v>
      </c>
      <c r="BO336" s="290">
        <v>-498.10443692640911</v>
      </c>
      <c r="BP336" s="290">
        <v>32.299999999999997</v>
      </c>
      <c r="BQ336" s="290">
        <v>-17.321999999999999</v>
      </c>
      <c r="BR336" s="290">
        <v>-21.709703073590916</v>
      </c>
      <c r="BS336" s="290">
        <v>0.38100000000000001</v>
      </c>
      <c r="BT336" s="290"/>
      <c r="BU336" s="290">
        <v>0</v>
      </c>
      <c r="BV336" s="290">
        <v>500</v>
      </c>
      <c r="BW336" s="290">
        <v>-245</v>
      </c>
      <c r="BX336" s="290">
        <v>136</v>
      </c>
      <c r="BY336" s="290">
        <v>30</v>
      </c>
      <c r="BZ336" s="290">
        <v>-187</v>
      </c>
      <c r="CA336" s="290">
        <v>0</v>
      </c>
      <c r="CB336" s="290">
        <v>48</v>
      </c>
      <c r="CC336" s="290">
        <v>139</v>
      </c>
      <c r="CD336" s="290">
        <v>2</v>
      </c>
      <c r="CE336" s="290">
        <v>39</v>
      </c>
      <c r="CF336" s="290">
        <v>3</v>
      </c>
      <c r="CG336" s="290">
        <v>0</v>
      </c>
      <c r="CH336" s="290">
        <v>-2</v>
      </c>
      <c r="CI336" s="290">
        <v>-476</v>
      </c>
      <c r="CJ336" s="290">
        <v>-1257</v>
      </c>
      <c r="CK336" s="290">
        <f>+innut22!E342+innut22!S342</f>
        <v>29860.920484060669</v>
      </c>
      <c r="CL336" s="290">
        <v>0</v>
      </c>
      <c r="CM336" s="290">
        <v>0</v>
      </c>
      <c r="CN336" s="290">
        <v>0</v>
      </c>
      <c r="CP336" s="290">
        <f>+innut23!E342</f>
        <v>28260.345588817461</v>
      </c>
      <c r="CQ336" s="290"/>
      <c r="CV336" s="85">
        <f t="shared" si="6"/>
        <v>0.19800000000000001</v>
      </c>
    </row>
    <row r="337" spans="1:100" ht="13">
      <c r="A337" s="1">
        <v>5421</v>
      </c>
      <c r="B337" s="2" t="s">
        <v>1650</v>
      </c>
      <c r="C337" s="289">
        <v>14738</v>
      </c>
      <c r="D337" s="290">
        <v>272</v>
      </c>
      <c r="E337" s="290">
        <v>538</v>
      </c>
      <c r="F337" s="290">
        <v>1770</v>
      </c>
      <c r="G337" s="290">
        <v>1319</v>
      </c>
      <c r="H337" s="290">
        <v>7974</v>
      </c>
      <c r="I337" s="290">
        <v>2059</v>
      </c>
      <c r="J337" s="290">
        <v>662</v>
      </c>
      <c r="K337" s="290">
        <v>136</v>
      </c>
      <c r="L337" s="290">
        <v>126</v>
      </c>
      <c r="M337" s="290">
        <v>1369</v>
      </c>
      <c r="N337" s="290">
        <v>301</v>
      </c>
      <c r="O337" s="290">
        <v>173</v>
      </c>
      <c r="P337" s="624">
        <v>259352.85933333001</v>
      </c>
      <c r="Q337" s="624">
        <v>62839.600333330003</v>
      </c>
      <c r="R337" s="624">
        <v>108</v>
      </c>
      <c r="S337" s="290">
        <v>174</v>
      </c>
      <c r="T337" s="290">
        <v>1315</v>
      </c>
      <c r="U337" s="958">
        <v>3.2467008660176854E-3</v>
      </c>
      <c r="V337" s="290">
        <v>-2844.63370244</v>
      </c>
      <c r="W337" s="765">
        <v>0.81874780999999996</v>
      </c>
      <c r="X337" s="290">
        <v>2988</v>
      </c>
      <c r="Y337" s="290"/>
      <c r="Z337" s="290">
        <f>innut22!E343</f>
        <v>491204.83845638845</v>
      </c>
      <c r="AA337" s="290">
        <v>0</v>
      </c>
      <c r="AB337" s="290">
        <v>414</v>
      </c>
      <c r="AC337" s="290">
        <v>4947</v>
      </c>
      <c r="AD337" s="290"/>
      <c r="AE337" s="290">
        <v>0</v>
      </c>
      <c r="AF337" s="290">
        <v>65735</v>
      </c>
      <c r="AG337" s="290">
        <v>14730</v>
      </c>
      <c r="AH337" s="290">
        <v>2575</v>
      </c>
      <c r="AI337" s="290">
        <v>4733</v>
      </c>
      <c r="AJ337" s="290">
        <v>0</v>
      </c>
      <c r="AK337" s="290">
        <v>231</v>
      </c>
      <c r="AL337" s="290">
        <v>52568</v>
      </c>
      <c r="AM337" s="957">
        <v>0.26610486999999999</v>
      </c>
      <c r="AN337" s="290">
        <v>0</v>
      </c>
      <c r="AO337" s="290">
        <v>3239.47127559</v>
      </c>
      <c r="AP337" s="290">
        <v>0</v>
      </c>
      <c r="AQ337" s="290">
        <v>0</v>
      </c>
      <c r="AR337" s="290">
        <v>-710.58465977000003</v>
      </c>
      <c r="AS337" s="290">
        <v>5503</v>
      </c>
      <c r="AT337" s="290">
        <v>727</v>
      </c>
      <c r="AU337" s="290">
        <v>111</v>
      </c>
      <c r="AV337" s="766">
        <v>618859</v>
      </c>
      <c r="AW337" s="290"/>
      <c r="AX337" s="766">
        <v>119.875</v>
      </c>
      <c r="AY337" s="290">
        <v>2672</v>
      </c>
      <c r="AZ337" s="290">
        <v>715</v>
      </c>
      <c r="BA337" s="290">
        <v>386</v>
      </c>
      <c r="BB337" s="290">
        <v>0</v>
      </c>
      <c r="BC337" s="290">
        <v>88734</v>
      </c>
      <c r="BD337" s="290"/>
      <c r="BE337" s="290">
        <v>628836.21194824995</v>
      </c>
      <c r="BF337" s="290">
        <v>0</v>
      </c>
      <c r="BG337" s="290">
        <v>13311.079448580438</v>
      </c>
      <c r="BH337" s="290">
        <v>717.16836212759915</v>
      </c>
      <c r="BI337" s="290">
        <v>73488</v>
      </c>
      <c r="BJ337" s="290"/>
      <c r="BK337" s="290"/>
      <c r="BL337" s="290"/>
      <c r="BM337" s="290">
        <v>4375</v>
      </c>
      <c r="BN337" s="290">
        <v>6163.9287999999997</v>
      </c>
      <c r="BO337" s="290">
        <v>-6863.4970588643655</v>
      </c>
      <c r="BP337" s="290">
        <v>734.66700000000003</v>
      </c>
      <c r="BQ337" s="290">
        <v>-393.99700000000001</v>
      </c>
      <c r="BR337" s="290">
        <v>-300.93506436996876</v>
      </c>
      <c r="BS337" s="290">
        <v>3.1840000000000002</v>
      </c>
      <c r="BT337" s="290"/>
      <c r="BU337" s="290">
        <v>0</v>
      </c>
      <c r="BV337" s="290">
        <v>7000</v>
      </c>
      <c r="BW337" s="290">
        <v>-3383</v>
      </c>
      <c r="BX337" s="290">
        <v>1935</v>
      </c>
      <c r="BY337" s="290">
        <v>454</v>
      </c>
      <c r="BZ337" s="290">
        <v>-2571</v>
      </c>
      <c r="CA337" s="290">
        <v>-19.350676765665412</v>
      </c>
      <c r="CB337" s="290">
        <v>728</v>
      </c>
      <c r="CC337" s="290">
        <v>1915</v>
      </c>
      <c r="CD337" s="290">
        <v>27</v>
      </c>
      <c r="CE337" s="290">
        <v>543</v>
      </c>
      <c r="CF337" s="290">
        <v>26</v>
      </c>
      <c r="CG337" s="290">
        <v>3</v>
      </c>
      <c r="CH337" s="290">
        <v>-17</v>
      </c>
      <c r="CI337" s="290">
        <v>-6564</v>
      </c>
      <c r="CJ337" s="290">
        <v>-18099</v>
      </c>
      <c r="CK337" s="290">
        <f>+innut22!E343+innut22!S343</f>
        <v>491204.83845638845</v>
      </c>
      <c r="CL337" s="290">
        <v>218.58711596477167</v>
      </c>
      <c r="CM337" s="290">
        <v>204.60341839592638</v>
      </c>
      <c r="CN337" s="290">
        <v>189.0800682653354</v>
      </c>
      <c r="CP337" s="290">
        <f>+innut23!E343</f>
        <v>445482.93222824129</v>
      </c>
      <c r="CQ337" s="290"/>
      <c r="CV337" s="85">
        <f t="shared" si="6"/>
        <v>2.7269999999999999</v>
      </c>
    </row>
    <row r="338" spans="1:100" ht="13">
      <c r="A338" s="1">
        <v>5422</v>
      </c>
      <c r="B338" s="2" t="s">
        <v>233</v>
      </c>
      <c r="C338" s="289">
        <v>5576</v>
      </c>
      <c r="D338" s="290">
        <v>104</v>
      </c>
      <c r="E338" s="290">
        <v>186</v>
      </c>
      <c r="F338" s="290">
        <v>577</v>
      </c>
      <c r="G338" s="290">
        <v>455</v>
      </c>
      <c r="H338" s="290">
        <v>3034</v>
      </c>
      <c r="I338" s="290">
        <v>851</v>
      </c>
      <c r="J338" s="290">
        <v>307</v>
      </c>
      <c r="K338" s="290">
        <v>64</v>
      </c>
      <c r="L338" s="290">
        <v>53</v>
      </c>
      <c r="M338" s="290">
        <v>620</v>
      </c>
      <c r="N338" s="290">
        <v>13</v>
      </c>
      <c r="O338" s="290">
        <v>45</v>
      </c>
      <c r="P338" s="624">
        <v>91891.687666669997</v>
      </c>
      <c r="Q338" s="624">
        <v>27778.72733333</v>
      </c>
      <c r="R338" s="624">
        <v>33</v>
      </c>
      <c r="S338" s="290">
        <v>58</v>
      </c>
      <c r="T338" s="290">
        <v>540</v>
      </c>
      <c r="U338" s="958">
        <v>4.3181881711435869E-3</v>
      </c>
      <c r="V338" s="290">
        <v>1236.8037603400001</v>
      </c>
      <c r="W338" s="765">
        <v>0.94235184000000005</v>
      </c>
      <c r="X338" s="290">
        <v>870</v>
      </c>
      <c r="Y338" s="290"/>
      <c r="Z338" s="290">
        <f>innut22!E344</f>
        <v>157646.55800312097</v>
      </c>
      <c r="AA338" s="290">
        <v>0</v>
      </c>
      <c r="AB338" s="290">
        <v>148</v>
      </c>
      <c r="AC338" s="290">
        <v>534</v>
      </c>
      <c r="AD338" s="290"/>
      <c r="AE338" s="290">
        <v>0</v>
      </c>
      <c r="AF338" s="290">
        <v>0</v>
      </c>
      <c r="AG338" s="290">
        <v>5578</v>
      </c>
      <c r="AH338" s="290">
        <v>853</v>
      </c>
      <c r="AI338" s="290">
        <v>1500</v>
      </c>
      <c r="AJ338" s="290">
        <v>0</v>
      </c>
      <c r="AK338" s="290">
        <v>0</v>
      </c>
      <c r="AL338" s="290">
        <v>19846</v>
      </c>
      <c r="AM338" s="957">
        <v>6.2831849999999995E-2</v>
      </c>
      <c r="AN338" s="290">
        <v>0</v>
      </c>
      <c r="AO338" s="290">
        <v>1236.77848911</v>
      </c>
      <c r="AP338" s="290">
        <v>0</v>
      </c>
      <c r="AQ338" s="290">
        <v>0</v>
      </c>
      <c r="AR338" s="290">
        <v>-269.08630226000002</v>
      </c>
      <c r="AS338" s="290">
        <v>2708</v>
      </c>
      <c r="AT338" s="290">
        <v>268</v>
      </c>
      <c r="AU338" s="290">
        <v>35</v>
      </c>
      <c r="AV338" s="766">
        <v>216103</v>
      </c>
      <c r="AW338" s="290"/>
      <c r="AX338" s="766">
        <v>40.583350000000003</v>
      </c>
      <c r="AY338" s="290">
        <v>844</v>
      </c>
      <c r="AZ338" s="290">
        <v>207</v>
      </c>
      <c r="BA338" s="290">
        <v>104</v>
      </c>
      <c r="BB338" s="290">
        <v>0</v>
      </c>
      <c r="BC338" s="290">
        <v>9670</v>
      </c>
      <c r="BD338" s="290"/>
      <c r="BE338" s="290">
        <v>215072.86565396999</v>
      </c>
      <c r="BF338" s="290">
        <v>0</v>
      </c>
      <c r="BG338" s="290">
        <v>5036.1364503517798</v>
      </c>
      <c r="BH338" s="290">
        <v>271.3346985495653</v>
      </c>
      <c r="BI338" s="290">
        <v>1387</v>
      </c>
      <c r="BJ338" s="290"/>
      <c r="BK338" s="290"/>
      <c r="BL338" s="290"/>
      <c r="BM338" s="290">
        <v>0</v>
      </c>
      <c r="BN338" s="290">
        <v>2353.2897599999997</v>
      </c>
      <c r="BO338" s="290">
        <v>-2599.0893818292893</v>
      </c>
      <c r="BP338" s="290">
        <v>251.34899999999999</v>
      </c>
      <c r="BQ338" s="290">
        <v>-134.797</v>
      </c>
      <c r="BR338" s="290">
        <v>-103.99746840160124</v>
      </c>
      <c r="BS338" s="290">
        <v>1.3320000000000001</v>
      </c>
      <c r="BT338" s="290"/>
      <c r="BU338" s="290">
        <v>0</v>
      </c>
      <c r="BV338" s="290">
        <v>2000</v>
      </c>
      <c r="BW338" s="290">
        <v>-1281</v>
      </c>
      <c r="BX338" s="290">
        <v>658</v>
      </c>
      <c r="BY338" s="290">
        <v>151</v>
      </c>
      <c r="BZ338" s="290">
        <v>-974</v>
      </c>
      <c r="CA338" s="290">
        <v>-2.0869097691090701</v>
      </c>
      <c r="CB338" s="290">
        <v>243</v>
      </c>
      <c r="CC338" s="290">
        <v>725</v>
      </c>
      <c r="CD338" s="290">
        <v>9</v>
      </c>
      <c r="CE338" s="290">
        <v>206</v>
      </c>
      <c r="CF338" s="290">
        <v>11</v>
      </c>
      <c r="CG338" s="290">
        <v>1</v>
      </c>
      <c r="CH338" s="290">
        <v>-7</v>
      </c>
      <c r="CI338" s="290">
        <v>-2484</v>
      </c>
      <c r="CJ338" s="290">
        <v>-6593</v>
      </c>
      <c r="CK338" s="290">
        <f>+innut22!E344+innut22!S344</f>
        <v>157646.55800312097</v>
      </c>
      <c r="CL338" s="290">
        <v>0</v>
      </c>
      <c r="CM338" s="290">
        <v>0</v>
      </c>
      <c r="CN338" s="290">
        <v>0</v>
      </c>
      <c r="CP338" s="290">
        <f>+innut23!E344</f>
        <v>148508.14749622811</v>
      </c>
      <c r="CQ338" s="290"/>
      <c r="CV338" s="85">
        <f t="shared" si="6"/>
        <v>1.0329999999999999</v>
      </c>
    </row>
    <row r="339" spans="1:100" ht="13">
      <c r="A339" s="1">
        <v>5423</v>
      </c>
      <c r="B339" s="2" t="s">
        <v>234</v>
      </c>
      <c r="C339" s="289">
        <v>2179</v>
      </c>
      <c r="D339" s="290">
        <v>24</v>
      </c>
      <c r="E339" s="290">
        <v>71</v>
      </c>
      <c r="F339" s="290">
        <v>185</v>
      </c>
      <c r="G339" s="290">
        <v>138</v>
      </c>
      <c r="H339" s="290">
        <v>1195</v>
      </c>
      <c r="I339" s="290">
        <v>402</v>
      </c>
      <c r="J339" s="290">
        <v>136</v>
      </c>
      <c r="K339" s="290">
        <v>25</v>
      </c>
      <c r="L339" s="290">
        <v>19</v>
      </c>
      <c r="M339" s="290">
        <v>284</v>
      </c>
      <c r="N339" s="290">
        <v>8</v>
      </c>
      <c r="O339" s="290">
        <v>20</v>
      </c>
      <c r="P339" s="624">
        <v>62920.252333329998</v>
      </c>
      <c r="Q339" s="624">
        <v>15307.12966667</v>
      </c>
      <c r="R339" s="624">
        <v>15</v>
      </c>
      <c r="S339" s="290">
        <v>23</v>
      </c>
      <c r="T339" s="290">
        <v>205</v>
      </c>
      <c r="U339" s="958">
        <v>1.0672113300438E-3</v>
      </c>
      <c r="V339" s="290">
        <v>-1985.59365445</v>
      </c>
      <c r="W339" s="765">
        <v>1</v>
      </c>
      <c r="X339" s="290">
        <v>751</v>
      </c>
      <c r="Y339" s="290"/>
      <c r="Z339" s="290">
        <f>innut22!E345</f>
        <v>70818.562017647782</v>
      </c>
      <c r="AA339" s="290">
        <v>0</v>
      </c>
      <c r="AB339" s="290">
        <v>54</v>
      </c>
      <c r="AC339" s="290">
        <v>0</v>
      </c>
      <c r="AD339" s="290"/>
      <c r="AE339" s="290">
        <v>0</v>
      </c>
      <c r="AF339" s="290">
        <v>0</v>
      </c>
      <c r="AG339" s="290">
        <v>2176</v>
      </c>
      <c r="AH339" s="290">
        <v>270</v>
      </c>
      <c r="AI339" s="290">
        <v>710</v>
      </c>
      <c r="AJ339" s="290">
        <v>0</v>
      </c>
      <c r="AK339" s="290">
        <v>0</v>
      </c>
      <c r="AL339" s="290">
        <v>9135</v>
      </c>
      <c r="AM339" s="957">
        <v>3.143982E-2</v>
      </c>
      <c r="AN339" s="290">
        <v>0</v>
      </c>
      <c r="AO339" s="290">
        <v>537.52701503000003</v>
      </c>
      <c r="AP339" s="290">
        <v>0</v>
      </c>
      <c r="AQ339" s="290">
        <v>0</v>
      </c>
      <c r="AR339" s="290">
        <v>-104.97163745</v>
      </c>
      <c r="AS339" s="290">
        <v>913</v>
      </c>
      <c r="AT339" s="290">
        <v>90</v>
      </c>
      <c r="AU339" s="290">
        <v>16</v>
      </c>
      <c r="AV339" s="766">
        <v>111602</v>
      </c>
      <c r="AW339" s="290"/>
      <c r="AX339" s="766">
        <v>9.4582999999999995</v>
      </c>
      <c r="AY339" s="290">
        <v>306</v>
      </c>
      <c r="AZ339" s="290">
        <v>103</v>
      </c>
      <c r="BA339" s="290">
        <v>39</v>
      </c>
      <c r="BB339" s="290">
        <v>13068</v>
      </c>
      <c r="BC339" s="290">
        <v>3842</v>
      </c>
      <c r="BD339" s="290"/>
      <c r="BE339" s="290">
        <v>112748.05723576</v>
      </c>
      <c r="BF339" s="290">
        <v>0</v>
      </c>
      <c r="BG339" s="290">
        <v>1968.0310841672394</v>
      </c>
      <c r="BH339" s="290">
        <v>106.03269514696963</v>
      </c>
      <c r="BI339" s="290">
        <v>270</v>
      </c>
      <c r="BJ339" s="290"/>
      <c r="BK339" s="290"/>
      <c r="BL339" s="290"/>
      <c r="BM339" s="290">
        <v>0</v>
      </c>
      <c r="BN339" s="290">
        <v>1022.7836400000001</v>
      </c>
      <c r="BO339" s="290">
        <v>-1013.9151120223258</v>
      </c>
      <c r="BP339" s="290">
        <v>90.465999999999994</v>
      </c>
      <c r="BQ339" s="290">
        <v>-48.515999999999998</v>
      </c>
      <c r="BR339" s="290">
        <v>-41.50052797767426</v>
      </c>
      <c r="BS339" s="290">
        <v>0.68200000000000005</v>
      </c>
      <c r="BT339" s="290"/>
      <c r="BU339" s="290">
        <v>0</v>
      </c>
      <c r="BV339" s="290">
        <v>1000</v>
      </c>
      <c r="BW339" s="290">
        <v>-500</v>
      </c>
      <c r="BX339" s="290">
        <v>258</v>
      </c>
      <c r="BY339" s="290">
        <v>59</v>
      </c>
      <c r="BZ339" s="290">
        <v>-380</v>
      </c>
      <c r="CA339" s="290">
        <v>0</v>
      </c>
      <c r="CB339" s="290">
        <v>95</v>
      </c>
      <c r="CC339" s="290">
        <v>283</v>
      </c>
      <c r="CD339" s="290">
        <v>3</v>
      </c>
      <c r="CE339" s="290">
        <v>80</v>
      </c>
      <c r="CF339" s="290">
        <v>6</v>
      </c>
      <c r="CG339" s="290">
        <v>0</v>
      </c>
      <c r="CH339" s="290">
        <v>-4</v>
      </c>
      <c r="CI339" s="290">
        <v>-971</v>
      </c>
      <c r="CJ339" s="290">
        <v>-2629</v>
      </c>
      <c r="CK339" s="290">
        <f>+innut22!E345+innut22!S345</f>
        <v>70818.562017647782</v>
      </c>
      <c r="CL339" s="290">
        <v>0</v>
      </c>
      <c r="CM339" s="290">
        <v>0</v>
      </c>
      <c r="CN339" s="290">
        <v>0</v>
      </c>
      <c r="CP339" s="290">
        <f>+innut23!E345</f>
        <v>66686.017947705244</v>
      </c>
      <c r="CQ339" s="290"/>
      <c r="CV339" s="85">
        <f t="shared" si="6"/>
        <v>0.40300000000000002</v>
      </c>
    </row>
    <row r="340" spans="1:100" ht="13">
      <c r="A340" s="1">
        <v>5424</v>
      </c>
      <c r="B340" s="2" t="s">
        <v>235</v>
      </c>
      <c r="C340" s="289">
        <v>2729</v>
      </c>
      <c r="D340" s="290">
        <v>32</v>
      </c>
      <c r="E340" s="290">
        <v>86</v>
      </c>
      <c r="F340" s="290">
        <v>260</v>
      </c>
      <c r="G340" s="290">
        <v>259</v>
      </c>
      <c r="H340" s="290">
        <v>1390</v>
      </c>
      <c r="I340" s="290">
        <v>507</v>
      </c>
      <c r="J340" s="290">
        <v>181</v>
      </c>
      <c r="K340" s="290">
        <v>40</v>
      </c>
      <c r="L340" s="290">
        <v>21</v>
      </c>
      <c r="M340" s="290">
        <v>335</v>
      </c>
      <c r="N340" s="290">
        <v>3</v>
      </c>
      <c r="O340" s="290">
        <v>8</v>
      </c>
      <c r="P340" s="624">
        <v>52194.103999999999</v>
      </c>
      <c r="Q340" s="624">
        <v>13284.34433333</v>
      </c>
      <c r="R340" s="624">
        <v>32</v>
      </c>
      <c r="S340" s="290">
        <v>27</v>
      </c>
      <c r="T340" s="290">
        <v>249</v>
      </c>
      <c r="U340" s="958">
        <v>1.5522841312853406E-3</v>
      </c>
      <c r="V340" s="290">
        <v>1730.4771060800001</v>
      </c>
      <c r="W340" s="765">
        <v>1</v>
      </c>
      <c r="X340" s="290">
        <v>883</v>
      </c>
      <c r="Y340" s="290"/>
      <c r="Z340" s="290">
        <f>innut22!E346</f>
        <v>77460.342752569748</v>
      </c>
      <c r="AA340" s="290">
        <v>0</v>
      </c>
      <c r="AB340" s="290">
        <v>81</v>
      </c>
      <c r="AC340" s="290">
        <v>12</v>
      </c>
      <c r="AD340" s="290"/>
      <c r="AE340" s="290">
        <v>0</v>
      </c>
      <c r="AF340" s="290">
        <v>0</v>
      </c>
      <c r="AG340" s="290">
        <v>2755</v>
      </c>
      <c r="AH340" s="290">
        <v>396</v>
      </c>
      <c r="AI340" s="290">
        <v>850</v>
      </c>
      <c r="AJ340" s="290">
        <v>0</v>
      </c>
      <c r="AK340" s="290">
        <v>0</v>
      </c>
      <c r="AL340" s="290">
        <v>11663</v>
      </c>
      <c r="AM340" s="957">
        <v>2.656704E-2</v>
      </c>
      <c r="AN340" s="290">
        <v>0</v>
      </c>
      <c r="AO340" s="290">
        <v>684.79591065</v>
      </c>
      <c r="AP340" s="290">
        <v>0</v>
      </c>
      <c r="AQ340" s="290">
        <v>0</v>
      </c>
      <c r="AR340" s="290">
        <v>-132.90296928999999</v>
      </c>
      <c r="AS340" s="290">
        <v>542</v>
      </c>
      <c r="AT340" s="290">
        <v>128</v>
      </c>
      <c r="AU340" s="290">
        <v>19</v>
      </c>
      <c r="AV340" s="766">
        <v>145976</v>
      </c>
      <c r="AW340" s="290"/>
      <c r="AX340" s="766">
        <v>4.2083500000000003</v>
      </c>
      <c r="AY340" s="290">
        <v>469</v>
      </c>
      <c r="AZ340" s="290">
        <v>84</v>
      </c>
      <c r="BA340" s="290">
        <v>57</v>
      </c>
      <c r="BB340" s="290">
        <v>13068</v>
      </c>
      <c r="BC340" s="290">
        <v>4771</v>
      </c>
      <c r="BD340" s="290"/>
      <c r="BE340" s="290">
        <v>144899.01566939999</v>
      </c>
      <c r="BF340" s="290">
        <v>0</v>
      </c>
      <c r="BG340" s="290">
        <v>2464.7805547005037</v>
      </c>
      <c r="BH340" s="290">
        <v>132.79634008998633</v>
      </c>
      <c r="BI340" s="290">
        <v>408</v>
      </c>
      <c r="BJ340" s="290"/>
      <c r="BK340" s="290"/>
      <c r="BL340" s="290"/>
      <c r="BM340" s="290">
        <v>0</v>
      </c>
      <c r="BN340" s="290">
        <v>1303.0006599999999</v>
      </c>
      <c r="BO340" s="290">
        <v>-1283.7022672892958</v>
      </c>
      <c r="BP340" s="290">
        <v>105.827</v>
      </c>
      <c r="BQ340" s="290">
        <v>-56.753999999999998</v>
      </c>
      <c r="BR340" s="290">
        <v>-50.104787164588586</v>
      </c>
      <c r="BS340" s="290">
        <v>0.78100000000000003</v>
      </c>
      <c r="BT340" s="290"/>
      <c r="BU340" s="290">
        <v>0</v>
      </c>
      <c r="BV340" s="290">
        <v>1500</v>
      </c>
      <c r="BW340" s="290">
        <v>-633</v>
      </c>
      <c r="BX340" s="290">
        <v>315</v>
      </c>
      <c r="BY340" s="290">
        <v>72</v>
      </c>
      <c r="BZ340" s="290">
        <v>-481</v>
      </c>
      <c r="CA340" s="290">
        <v>-4.7605546115516262E-2</v>
      </c>
      <c r="CB340" s="290">
        <v>115</v>
      </c>
      <c r="CC340" s="290">
        <v>358</v>
      </c>
      <c r="CD340" s="290">
        <v>4</v>
      </c>
      <c r="CE340" s="290">
        <v>101</v>
      </c>
      <c r="CF340" s="290">
        <v>6</v>
      </c>
      <c r="CG340" s="290">
        <v>0</v>
      </c>
      <c r="CH340" s="290">
        <v>-4</v>
      </c>
      <c r="CI340" s="290">
        <v>-1215</v>
      </c>
      <c r="CJ340" s="290">
        <v>-3320</v>
      </c>
      <c r="CK340" s="290">
        <f>+innut22!E346+innut22!S346</f>
        <v>77460.342752569748</v>
      </c>
      <c r="CL340" s="290">
        <v>0</v>
      </c>
      <c r="CM340" s="290">
        <v>0</v>
      </c>
      <c r="CN340" s="290">
        <v>0</v>
      </c>
      <c r="CP340" s="290">
        <f>+innut23!E346</f>
        <v>72162.000048013331</v>
      </c>
      <c r="CQ340" s="290"/>
      <c r="CV340" s="85">
        <f t="shared" si="6"/>
        <v>0.51</v>
      </c>
    </row>
    <row r="341" spans="1:100" ht="13">
      <c r="A341" s="1">
        <v>5425</v>
      </c>
      <c r="B341" s="2" t="s">
        <v>236</v>
      </c>
      <c r="C341" s="289">
        <v>1836</v>
      </c>
      <c r="D341" s="290">
        <v>23</v>
      </c>
      <c r="E341" s="290">
        <v>50</v>
      </c>
      <c r="F341" s="290">
        <v>182</v>
      </c>
      <c r="G341" s="290">
        <v>162</v>
      </c>
      <c r="H341" s="290">
        <v>963</v>
      </c>
      <c r="I341" s="290">
        <v>352</v>
      </c>
      <c r="J341" s="290">
        <v>75</v>
      </c>
      <c r="K341" s="290">
        <v>14</v>
      </c>
      <c r="L341" s="290">
        <v>15</v>
      </c>
      <c r="M341" s="290">
        <v>224</v>
      </c>
      <c r="N341" s="290">
        <v>9</v>
      </c>
      <c r="O341" s="290">
        <v>13</v>
      </c>
      <c r="P341" s="624">
        <v>33610.47633333</v>
      </c>
      <c r="Q341" s="624">
        <v>9934.2129999999997</v>
      </c>
      <c r="R341" s="624">
        <v>12</v>
      </c>
      <c r="S341" s="290">
        <v>19</v>
      </c>
      <c r="T341" s="290">
        <v>175</v>
      </c>
      <c r="U341" s="958">
        <v>9.2879497429923204E-4</v>
      </c>
      <c r="V341" s="290">
        <v>1046.070299</v>
      </c>
      <c r="W341" s="765">
        <v>1</v>
      </c>
      <c r="X341" s="290">
        <v>655</v>
      </c>
      <c r="Y341" s="290"/>
      <c r="Z341" s="290">
        <f>innut22!E347</f>
        <v>60674.772629522413</v>
      </c>
      <c r="AA341" s="290">
        <v>0</v>
      </c>
      <c r="AB341" s="290">
        <v>38</v>
      </c>
      <c r="AC341" s="290">
        <v>177</v>
      </c>
      <c r="AD341" s="290"/>
      <c r="AE341" s="290">
        <v>0</v>
      </c>
      <c r="AF341" s="290">
        <v>0</v>
      </c>
      <c r="AG341" s="290">
        <v>1821</v>
      </c>
      <c r="AH341" s="290">
        <v>264</v>
      </c>
      <c r="AI341" s="290">
        <v>1800</v>
      </c>
      <c r="AJ341" s="290">
        <v>0</v>
      </c>
      <c r="AK341" s="290">
        <v>0</v>
      </c>
      <c r="AL341" s="290">
        <v>7701</v>
      </c>
      <c r="AM341" s="957">
        <v>2.6308249999999998E-2</v>
      </c>
      <c r="AN341" s="290">
        <v>0</v>
      </c>
      <c r="AO341" s="290">
        <v>429.28436271999999</v>
      </c>
      <c r="AP341" s="290">
        <v>0</v>
      </c>
      <c r="AQ341" s="290">
        <v>0</v>
      </c>
      <c r="AR341" s="290">
        <v>2067.0967179099998</v>
      </c>
      <c r="AS341" s="290">
        <v>906</v>
      </c>
      <c r="AT341" s="290">
        <v>105</v>
      </c>
      <c r="AU341" s="290">
        <v>12</v>
      </c>
      <c r="AV341" s="766">
        <v>96120</v>
      </c>
      <c r="AW341" s="290"/>
      <c r="AX341" s="766">
        <v>6.2500499999999999</v>
      </c>
      <c r="AY341" s="290">
        <v>355</v>
      </c>
      <c r="AZ341" s="290">
        <v>70</v>
      </c>
      <c r="BA341" s="290">
        <v>37</v>
      </c>
      <c r="BB341" s="290">
        <v>13068</v>
      </c>
      <c r="BC341" s="290">
        <v>3464</v>
      </c>
      <c r="BD341" s="290"/>
      <c r="BE341" s="290">
        <v>93253.25427238</v>
      </c>
      <c r="BF341" s="290">
        <v>0</v>
      </c>
      <c r="BG341" s="290">
        <v>1658.2400507255861</v>
      </c>
      <c r="BH341" s="290">
        <v>89.341912937051987</v>
      </c>
      <c r="BI341" s="290">
        <v>441</v>
      </c>
      <c r="BJ341" s="290"/>
      <c r="BK341" s="290"/>
      <c r="BL341" s="290"/>
      <c r="BM341" s="290">
        <v>0</v>
      </c>
      <c r="BN341" s="290">
        <v>816.82411999999999</v>
      </c>
      <c r="BO341" s="290">
        <v>-848.50157122824226</v>
      </c>
      <c r="BP341" s="290">
        <v>66.715000000000003</v>
      </c>
      <c r="BQ341" s="290">
        <v>-35.779000000000003</v>
      </c>
      <c r="BR341" s="290">
        <v>-37.125982534344267</v>
      </c>
      <c r="BS341" s="290">
        <v>0.56000000000000005</v>
      </c>
      <c r="BT341" s="290"/>
      <c r="BU341" s="290">
        <v>0</v>
      </c>
      <c r="BV341" s="290">
        <v>1000</v>
      </c>
      <c r="BW341" s="290">
        <v>-418</v>
      </c>
      <c r="BX341" s="290">
        <v>231</v>
      </c>
      <c r="BY341" s="290">
        <v>49</v>
      </c>
      <c r="BZ341" s="290">
        <v>-318</v>
      </c>
      <c r="CA341" s="290">
        <v>-0.69256623741347312</v>
      </c>
      <c r="CB341" s="290">
        <v>79</v>
      </c>
      <c r="CC341" s="290">
        <v>237</v>
      </c>
      <c r="CD341" s="290">
        <v>3</v>
      </c>
      <c r="CE341" s="290">
        <v>68</v>
      </c>
      <c r="CF341" s="290">
        <v>5</v>
      </c>
      <c r="CG341" s="290">
        <v>0</v>
      </c>
      <c r="CH341" s="290">
        <v>-3</v>
      </c>
      <c r="CI341" s="290">
        <v>-818</v>
      </c>
      <c r="CJ341" s="290">
        <v>-2147</v>
      </c>
      <c r="CK341" s="290">
        <f>+innut22!E347+innut22!S347</f>
        <v>60674.772629522413</v>
      </c>
      <c r="CL341" s="290">
        <v>0</v>
      </c>
      <c r="CM341" s="290">
        <v>0</v>
      </c>
      <c r="CN341" s="290">
        <v>0</v>
      </c>
      <c r="CP341" s="290">
        <f>+innut23!E347</f>
        <v>58715.288809939935</v>
      </c>
      <c r="CQ341" s="290"/>
      <c r="CV341" s="85">
        <f t="shared" si="6"/>
        <v>0.33700000000000002</v>
      </c>
    </row>
    <row r="342" spans="1:100" ht="13">
      <c r="A342" s="1">
        <v>5426</v>
      </c>
      <c r="B342" s="2" t="s">
        <v>237</v>
      </c>
      <c r="C342" s="289">
        <v>2012</v>
      </c>
      <c r="D342" s="290">
        <v>29</v>
      </c>
      <c r="E342" s="290">
        <v>63</v>
      </c>
      <c r="F342" s="290">
        <v>201</v>
      </c>
      <c r="G342" s="290">
        <v>144</v>
      </c>
      <c r="H342" s="290">
        <v>1066</v>
      </c>
      <c r="I342" s="290">
        <v>372</v>
      </c>
      <c r="J342" s="290">
        <v>142</v>
      </c>
      <c r="K342" s="290">
        <v>25</v>
      </c>
      <c r="L342" s="290">
        <v>18</v>
      </c>
      <c r="M342" s="290">
        <v>250</v>
      </c>
      <c r="N342" s="290">
        <v>5</v>
      </c>
      <c r="O342" s="290">
        <v>7</v>
      </c>
      <c r="P342" s="624">
        <v>35573.881000000001</v>
      </c>
      <c r="Q342" s="624">
        <v>6092.7709999999997</v>
      </c>
      <c r="R342" s="624">
        <v>9</v>
      </c>
      <c r="S342" s="290">
        <v>22</v>
      </c>
      <c r="T342" s="290">
        <v>199</v>
      </c>
      <c r="U342" s="958">
        <v>1.459534885018922E-3</v>
      </c>
      <c r="V342" s="290">
        <v>-3981.0946048400001</v>
      </c>
      <c r="W342" s="765">
        <v>1</v>
      </c>
      <c r="X342" s="290">
        <v>636</v>
      </c>
      <c r="Y342" s="290"/>
      <c r="Z342" s="290">
        <f>innut22!E348</f>
        <v>54744.795631448607</v>
      </c>
      <c r="AA342" s="290">
        <v>0</v>
      </c>
      <c r="AB342" s="290">
        <v>52</v>
      </c>
      <c r="AC342" s="290">
        <v>0</v>
      </c>
      <c r="AD342" s="290"/>
      <c r="AE342" s="290">
        <v>0</v>
      </c>
      <c r="AF342" s="290">
        <v>0</v>
      </c>
      <c r="AG342" s="290">
        <v>2042</v>
      </c>
      <c r="AH342" s="290">
        <v>292</v>
      </c>
      <c r="AI342" s="290">
        <v>4444</v>
      </c>
      <c r="AJ342" s="290">
        <v>0</v>
      </c>
      <c r="AK342" s="290">
        <v>0</v>
      </c>
      <c r="AL342" s="290">
        <v>8715</v>
      </c>
      <c r="AM342" s="957">
        <v>3.8386429999999999E-2</v>
      </c>
      <c r="AN342" s="290">
        <v>0</v>
      </c>
      <c r="AO342" s="290">
        <v>490.07605422</v>
      </c>
      <c r="AP342" s="290">
        <v>0</v>
      </c>
      <c r="AQ342" s="290">
        <v>0</v>
      </c>
      <c r="AR342" s="290">
        <v>-98.507391400000003</v>
      </c>
      <c r="AS342" s="290">
        <v>1310</v>
      </c>
      <c r="AT342" s="290">
        <v>103</v>
      </c>
      <c r="AU342" s="290">
        <v>25</v>
      </c>
      <c r="AV342" s="766">
        <v>100226</v>
      </c>
      <c r="AW342" s="290"/>
      <c r="AX342" s="766">
        <v>8.7499500000000001</v>
      </c>
      <c r="AY342" s="290">
        <v>354</v>
      </c>
      <c r="AZ342" s="290">
        <v>64</v>
      </c>
      <c r="BA342" s="290">
        <v>51</v>
      </c>
      <c r="BB342" s="290">
        <v>13068</v>
      </c>
      <c r="BC342" s="290">
        <v>3699</v>
      </c>
      <c r="BD342" s="290"/>
      <c r="BE342" s="290">
        <v>100247.9941484</v>
      </c>
      <c r="BF342" s="290">
        <v>0</v>
      </c>
      <c r="BG342" s="290">
        <v>1817.1998812962304</v>
      </c>
      <c r="BH342" s="290">
        <v>97.906279318817312</v>
      </c>
      <c r="BI342" s="290">
        <v>292</v>
      </c>
      <c r="BJ342" s="290"/>
      <c r="BK342" s="290"/>
      <c r="BL342" s="290"/>
      <c r="BM342" s="290">
        <v>0</v>
      </c>
      <c r="BN342" s="290">
        <v>932.49595999999997</v>
      </c>
      <c r="BO342" s="290">
        <v>-951.47732479300976</v>
      </c>
      <c r="BP342" s="290">
        <v>82.557000000000002</v>
      </c>
      <c r="BQ342" s="290">
        <v>-44.274999999999999</v>
      </c>
      <c r="BR342" s="290">
        <v>-37.902635206990212</v>
      </c>
      <c r="BS342" s="290">
        <v>0.60199999999999998</v>
      </c>
      <c r="BT342" s="290"/>
      <c r="BU342" s="290">
        <v>0</v>
      </c>
      <c r="BV342" s="290">
        <v>1000</v>
      </c>
      <c r="BW342" s="290">
        <v>-469</v>
      </c>
      <c r="BX342" s="290">
        <v>243</v>
      </c>
      <c r="BY342" s="290">
        <v>57</v>
      </c>
      <c r="BZ342" s="290">
        <v>-356</v>
      </c>
      <c r="CA342" s="290">
        <v>0</v>
      </c>
      <c r="CB342" s="290">
        <v>92</v>
      </c>
      <c r="CC342" s="290">
        <v>266</v>
      </c>
      <c r="CD342" s="290">
        <v>3</v>
      </c>
      <c r="CE342" s="290">
        <v>74</v>
      </c>
      <c r="CF342" s="290">
        <v>5</v>
      </c>
      <c r="CG342" s="290">
        <v>0</v>
      </c>
      <c r="CH342" s="290">
        <v>-3</v>
      </c>
      <c r="CI342" s="290">
        <v>-896</v>
      </c>
      <c r="CJ342" s="290">
        <v>-2452</v>
      </c>
      <c r="CK342" s="290">
        <f>+innut22!E348+innut22!S348</f>
        <v>54744.795631448607</v>
      </c>
      <c r="CL342" s="290">
        <v>0</v>
      </c>
      <c r="CM342" s="290">
        <v>0</v>
      </c>
      <c r="CN342" s="290">
        <v>0</v>
      </c>
      <c r="CP342" s="290">
        <f>+innut23!E348</f>
        <v>52014.350170838014</v>
      </c>
      <c r="CQ342" s="290"/>
      <c r="CV342" s="85">
        <f t="shared" si="6"/>
        <v>0.378</v>
      </c>
    </row>
    <row r="343" spans="1:100" ht="13">
      <c r="A343" s="1">
        <v>5427</v>
      </c>
      <c r="B343" s="2" t="s">
        <v>238</v>
      </c>
      <c r="C343" s="289">
        <v>2804</v>
      </c>
      <c r="D343" s="290">
        <v>44</v>
      </c>
      <c r="E343" s="290">
        <v>123</v>
      </c>
      <c r="F343" s="290">
        <v>304</v>
      </c>
      <c r="G343" s="290">
        <v>234</v>
      </c>
      <c r="H343" s="290">
        <v>1572</v>
      </c>
      <c r="I343" s="290">
        <v>419</v>
      </c>
      <c r="J343" s="290">
        <v>124</v>
      </c>
      <c r="K343" s="290">
        <v>24</v>
      </c>
      <c r="L343" s="290">
        <v>27</v>
      </c>
      <c r="M343" s="290">
        <v>271</v>
      </c>
      <c r="N343" s="290">
        <v>65</v>
      </c>
      <c r="O343" s="290">
        <v>43</v>
      </c>
      <c r="P343" s="624">
        <v>18345.065999999999</v>
      </c>
      <c r="Q343" s="624">
        <v>10927.534666670001</v>
      </c>
      <c r="R343" s="624">
        <v>18</v>
      </c>
      <c r="S343" s="290">
        <v>34</v>
      </c>
      <c r="T343" s="290">
        <v>236</v>
      </c>
      <c r="U343" s="958">
        <v>3.3956052873330446E-4</v>
      </c>
      <c r="V343" s="290">
        <v>164.79875075999999</v>
      </c>
      <c r="W343" s="765">
        <v>1</v>
      </c>
      <c r="X343" s="290">
        <v>493</v>
      </c>
      <c r="Y343" s="290"/>
      <c r="Z343" s="290">
        <f>innut22!E349</f>
        <v>84461.767718893505</v>
      </c>
      <c r="AA343" s="290">
        <v>0</v>
      </c>
      <c r="AB343" s="290">
        <v>81</v>
      </c>
      <c r="AC343" s="290">
        <v>770</v>
      </c>
      <c r="AD343" s="290"/>
      <c r="AE343" s="290">
        <v>0</v>
      </c>
      <c r="AF343" s="290">
        <v>0</v>
      </c>
      <c r="AG343" s="290">
        <v>2844</v>
      </c>
      <c r="AH343" s="290">
        <v>461</v>
      </c>
      <c r="AI343" s="290">
        <v>1100</v>
      </c>
      <c r="AJ343" s="290">
        <v>0</v>
      </c>
      <c r="AK343" s="290">
        <v>0</v>
      </c>
      <c r="AL343" s="290">
        <v>12168</v>
      </c>
      <c r="AM343" s="957">
        <v>6.1172490000000003E-2</v>
      </c>
      <c r="AN343" s="290">
        <v>0</v>
      </c>
      <c r="AO343" s="290">
        <v>642.80404503</v>
      </c>
      <c r="AP343" s="290">
        <v>0</v>
      </c>
      <c r="AQ343" s="290">
        <v>0</v>
      </c>
      <c r="AR343" s="290">
        <v>-137.19638645000001</v>
      </c>
      <c r="AS343" s="290">
        <v>1762</v>
      </c>
      <c r="AT343" s="290">
        <v>161</v>
      </c>
      <c r="AU343" s="290">
        <v>30</v>
      </c>
      <c r="AV343" s="766">
        <v>127702</v>
      </c>
      <c r="AW343" s="290"/>
      <c r="AX343" s="766">
        <v>17.291650000000001</v>
      </c>
      <c r="AY343" s="290">
        <v>446</v>
      </c>
      <c r="AZ343" s="290">
        <v>106</v>
      </c>
      <c r="BA343" s="290">
        <v>57</v>
      </c>
      <c r="BB343" s="290">
        <v>13068</v>
      </c>
      <c r="BC343" s="290">
        <v>5100</v>
      </c>
      <c r="BD343" s="290"/>
      <c r="BE343" s="290">
        <v>128591.64774093</v>
      </c>
      <c r="BF343" s="290">
        <v>0</v>
      </c>
      <c r="BG343" s="290">
        <v>2532.5191188641302</v>
      </c>
      <c r="BH343" s="290">
        <v>136.4459280367613</v>
      </c>
      <c r="BI343" s="290">
        <v>1231</v>
      </c>
      <c r="BJ343" s="290"/>
      <c r="BK343" s="290"/>
      <c r="BL343" s="290"/>
      <c r="BM343" s="290">
        <v>0</v>
      </c>
      <c r="BN343" s="290">
        <v>1223.1003199999998</v>
      </c>
      <c r="BO343" s="290">
        <v>-1325.1721408968265</v>
      </c>
      <c r="BP343" s="290">
        <v>155.46600000000001</v>
      </c>
      <c r="BQ343" s="290">
        <v>-83.375</v>
      </c>
      <c r="BR343" s="290">
        <v>-54.710760820777551</v>
      </c>
      <c r="BS343" s="290">
        <v>0.70299999999999996</v>
      </c>
      <c r="BT343" s="290"/>
      <c r="BU343" s="290">
        <v>0</v>
      </c>
      <c r="BV343" s="290">
        <v>1500</v>
      </c>
      <c r="BW343" s="290">
        <v>-653</v>
      </c>
      <c r="BX343" s="290">
        <v>348</v>
      </c>
      <c r="BY343" s="290">
        <v>89</v>
      </c>
      <c r="BZ343" s="290">
        <v>-496</v>
      </c>
      <c r="CA343" s="290">
        <v>-3.0114182823957663</v>
      </c>
      <c r="CB343" s="290">
        <v>142</v>
      </c>
      <c r="CC343" s="290">
        <v>370</v>
      </c>
      <c r="CD343" s="290">
        <v>5</v>
      </c>
      <c r="CE343" s="290">
        <v>103</v>
      </c>
      <c r="CF343" s="290">
        <v>6</v>
      </c>
      <c r="CG343" s="290">
        <v>1</v>
      </c>
      <c r="CH343" s="290">
        <v>-4</v>
      </c>
      <c r="CI343" s="290">
        <v>-1249</v>
      </c>
      <c r="CJ343" s="290">
        <v>-3465</v>
      </c>
      <c r="CK343" s="290">
        <f>+innut22!E349+innut22!S349</f>
        <v>84461.767718893505</v>
      </c>
      <c r="CL343" s="290">
        <v>0</v>
      </c>
      <c r="CM343" s="290">
        <v>0</v>
      </c>
      <c r="CN343" s="290">
        <v>0</v>
      </c>
      <c r="CP343" s="290">
        <f>+innut23!E349</f>
        <v>79404.206787512376</v>
      </c>
      <c r="CQ343" s="290"/>
      <c r="CV343" s="85">
        <f t="shared" si="6"/>
        <v>0.52600000000000002</v>
      </c>
    </row>
    <row r="344" spans="1:100" ht="13">
      <c r="A344" s="1">
        <v>5428</v>
      </c>
      <c r="B344" s="2" t="s">
        <v>239</v>
      </c>
      <c r="C344" s="289">
        <v>4746</v>
      </c>
      <c r="D344" s="290">
        <v>78</v>
      </c>
      <c r="E344" s="290">
        <v>161</v>
      </c>
      <c r="F344" s="290">
        <v>581</v>
      </c>
      <c r="G344" s="290">
        <v>411</v>
      </c>
      <c r="H344" s="290">
        <v>2610</v>
      </c>
      <c r="I344" s="290">
        <v>701</v>
      </c>
      <c r="J344" s="290">
        <v>206</v>
      </c>
      <c r="K344" s="290">
        <v>44</v>
      </c>
      <c r="L344" s="290">
        <v>40</v>
      </c>
      <c r="M344" s="290">
        <v>519</v>
      </c>
      <c r="N344" s="290">
        <v>44</v>
      </c>
      <c r="O344" s="290">
        <v>47</v>
      </c>
      <c r="P344" s="624">
        <v>40518.544000000002</v>
      </c>
      <c r="Q344" s="624">
        <v>18371.338333330001</v>
      </c>
      <c r="R344" s="624">
        <v>30</v>
      </c>
      <c r="S344" s="290">
        <v>54</v>
      </c>
      <c r="T344" s="290">
        <v>433</v>
      </c>
      <c r="U344" s="958">
        <v>2.0722596565195526E-3</v>
      </c>
      <c r="V344" s="290">
        <v>-11821.284458349999</v>
      </c>
      <c r="W344" s="765">
        <v>0.85995564000000002</v>
      </c>
      <c r="X344" s="290">
        <v>898</v>
      </c>
      <c r="Y344" s="290"/>
      <c r="Z344" s="290">
        <f>innut22!E350</f>
        <v>145265.28797190075</v>
      </c>
      <c r="AA344" s="290">
        <v>0</v>
      </c>
      <c r="AB344" s="290">
        <v>116</v>
      </c>
      <c r="AC344" s="290">
        <v>584</v>
      </c>
      <c r="AD344" s="290"/>
      <c r="AE344" s="290">
        <v>0</v>
      </c>
      <c r="AF344" s="290">
        <v>0</v>
      </c>
      <c r="AG344" s="290">
        <v>4792</v>
      </c>
      <c r="AH344" s="290">
        <v>818</v>
      </c>
      <c r="AI344" s="290">
        <v>800</v>
      </c>
      <c r="AJ344" s="290">
        <v>0</v>
      </c>
      <c r="AK344" s="290">
        <v>0</v>
      </c>
      <c r="AL344" s="290">
        <v>20239</v>
      </c>
      <c r="AM344" s="957">
        <v>0.11926957000000001</v>
      </c>
      <c r="AN344" s="290">
        <v>0</v>
      </c>
      <c r="AO344" s="290">
        <v>1050.75112534</v>
      </c>
      <c r="AP344" s="290">
        <v>0</v>
      </c>
      <c r="AQ344" s="290">
        <v>0</v>
      </c>
      <c r="AR344" s="290">
        <v>3759.3850298399998</v>
      </c>
      <c r="AS344" s="290">
        <v>1883</v>
      </c>
      <c r="AT344" s="290">
        <v>256</v>
      </c>
      <c r="AU344" s="290">
        <v>62</v>
      </c>
      <c r="AV344" s="766">
        <v>177153</v>
      </c>
      <c r="AW344" s="290"/>
      <c r="AX344" s="766">
        <v>35.166649999999997</v>
      </c>
      <c r="AY344" s="290">
        <v>991</v>
      </c>
      <c r="AZ344" s="290">
        <v>174</v>
      </c>
      <c r="BA344" s="290">
        <v>137</v>
      </c>
      <c r="BB344" s="290">
        <v>0</v>
      </c>
      <c r="BC344" s="290">
        <v>8658</v>
      </c>
      <c r="BD344" s="290"/>
      <c r="BE344" s="290">
        <v>171865.79623243</v>
      </c>
      <c r="BF344" s="290">
        <v>0</v>
      </c>
      <c r="BG344" s="290">
        <v>4286.4963402743087</v>
      </c>
      <c r="BH344" s="290">
        <v>230.94592527192194</v>
      </c>
      <c r="BI344" s="290">
        <v>1402</v>
      </c>
      <c r="BJ344" s="290"/>
      <c r="BK344" s="290"/>
      <c r="BL344" s="290"/>
      <c r="BM344" s="290">
        <v>0</v>
      </c>
      <c r="BN344" s="290">
        <v>1999.32476</v>
      </c>
      <c r="BO344" s="290">
        <v>-2232.8498239021073</v>
      </c>
      <c r="BP344" s="290">
        <v>223.858</v>
      </c>
      <c r="BQ344" s="290">
        <v>-120.053</v>
      </c>
      <c r="BR344" s="290">
        <v>-97.062182177515922</v>
      </c>
      <c r="BS344" s="290">
        <v>1.0669999999999999</v>
      </c>
      <c r="BT344" s="290"/>
      <c r="BU344" s="290">
        <v>0</v>
      </c>
      <c r="BV344" s="290">
        <v>2000</v>
      </c>
      <c r="BW344" s="290">
        <v>-1100</v>
      </c>
      <c r="BX344" s="290">
        <v>622</v>
      </c>
      <c r="BY344" s="290">
        <v>142</v>
      </c>
      <c r="BZ344" s="290">
        <v>-836</v>
      </c>
      <c r="CA344" s="290">
        <v>-2.2847539203767155</v>
      </c>
      <c r="CB344" s="290">
        <v>228</v>
      </c>
      <c r="CC344" s="290">
        <v>623</v>
      </c>
      <c r="CD344" s="290">
        <v>8</v>
      </c>
      <c r="CE344" s="290">
        <v>175</v>
      </c>
      <c r="CF344" s="290">
        <v>9</v>
      </c>
      <c r="CG344" s="290">
        <v>1</v>
      </c>
      <c r="CH344" s="290">
        <v>-6</v>
      </c>
      <c r="CI344" s="290">
        <v>-2114</v>
      </c>
      <c r="CJ344" s="290">
        <v>-5733</v>
      </c>
      <c r="CK344" s="290">
        <f>+innut22!E350+innut22!S350</f>
        <v>145265.28797190075</v>
      </c>
      <c r="CL344" s="290">
        <v>0</v>
      </c>
      <c r="CM344" s="290">
        <v>0</v>
      </c>
      <c r="CN344" s="290">
        <v>0</v>
      </c>
      <c r="CP344" s="290">
        <f>+innut23!E350</f>
        <v>135980.69156481008</v>
      </c>
      <c r="CQ344" s="290"/>
      <c r="CV344" s="85">
        <f t="shared" si="6"/>
        <v>0.88700000000000001</v>
      </c>
    </row>
    <row r="345" spans="1:100" ht="13">
      <c r="A345" s="1">
        <v>5429</v>
      </c>
      <c r="B345" s="2" t="s">
        <v>240</v>
      </c>
      <c r="C345" s="289">
        <v>1159</v>
      </c>
      <c r="D345" s="290">
        <v>11</v>
      </c>
      <c r="E345" s="290">
        <v>38</v>
      </c>
      <c r="F345" s="290">
        <v>111</v>
      </c>
      <c r="G345" s="290">
        <v>83</v>
      </c>
      <c r="H345" s="290">
        <v>625</v>
      </c>
      <c r="I345" s="290">
        <v>206</v>
      </c>
      <c r="J345" s="290">
        <v>81</v>
      </c>
      <c r="K345" s="290">
        <v>14</v>
      </c>
      <c r="L345" s="290">
        <v>10</v>
      </c>
      <c r="M345" s="290">
        <v>156</v>
      </c>
      <c r="N345" s="290">
        <v>1.5</v>
      </c>
      <c r="O345" s="290">
        <v>6</v>
      </c>
      <c r="P345" s="624">
        <v>14115.641</v>
      </c>
      <c r="Q345" s="624">
        <v>9382.5473333299997</v>
      </c>
      <c r="R345" s="624">
        <v>17</v>
      </c>
      <c r="S345" s="290">
        <v>14</v>
      </c>
      <c r="T345" s="290">
        <v>126</v>
      </c>
      <c r="U345" s="958">
        <v>8.4006819997321715E-4</v>
      </c>
      <c r="V345" s="290">
        <v>913.21835783999995</v>
      </c>
      <c r="W345" s="765">
        <v>1</v>
      </c>
      <c r="X345" s="290">
        <v>897</v>
      </c>
      <c r="Y345" s="290"/>
      <c r="Z345" s="290">
        <f>innut22!E351</f>
        <v>36175.428724240068</v>
      </c>
      <c r="AA345" s="290">
        <v>0</v>
      </c>
      <c r="AB345" s="290">
        <v>33</v>
      </c>
      <c r="AC345" s="290">
        <v>0</v>
      </c>
      <c r="AD345" s="290"/>
      <c r="AE345" s="290">
        <v>0</v>
      </c>
      <c r="AF345" s="290">
        <v>0</v>
      </c>
      <c r="AG345" s="290">
        <v>1169</v>
      </c>
      <c r="AH345" s="290">
        <v>157</v>
      </c>
      <c r="AI345" s="290">
        <v>150</v>
      </c>
      <c r="AJ345" s="290">
        <v>0</v>
      </c>
      <c r="AK345" s="290">
        <v>0</v>
      </c>
      <c r="AL345" s="290">
        <v>4904</v>
      </c>
      <c r="AM345" s="957">
        <v>3.7607130000000003E-2</v>
      </c>
      <c r="AN345" s="290">
        <v>0</v>
      </c>
      <c r="AO345" s="290">
        <v>340.93441766000001</v>
      </c>
      <c r="AP345" s="290">
        <v>0</v>
      </c>
      <c r="AQ345" s="290">
        <v>0</v>
      </c>
      <c r="AR345" s="290">
        <v>-56.393310749999998</v>
      </c>
      <c r="AS345" s="290">
        <v>320</v>
      </c>
      <c r="AT345" s="290">
        <v>69</v>
      </c>
      <c r="AU345" s="290">
        <v>19</v>
      </c>
      <c r="AV345" s="766">
        <v>84814</v>
      </c>
      <c r="AW345" s="290"/>
      <c r="AX345" s="766">
        <v>5.0833000000000004</v>
      </c>
      <c r="AY345" s="290">
        <v>188</v>
      </c>
      <c r="AZ345" s="290">
        <v>39</v>
      </c>
      <c r="BA345" s="290">
        <v>22</v>
      </c>
      <c r="BB345" s="290">
        <v>13068</v>
      </c>
      <c r="BC345" s="290">
        <v>2340</v>
      </c>
      <c r="BD345" s="290"/>
      <c r="BE345" s="290">
        <v>84935.989466729996</v>
      </c>
      <c r="BF345" s="290">
        <v>0</v>
      </c>
      <c r="BG345" s="290">
        <v>1046.786611541914</v>
      </c>
      <c r="BH345" s="290">
        <v>56.398299070829651</v>
      </c>
      <c r="BI345" s="290">
        <v>157</v>
      </c>
      <c r="BJ345" s="290"/>
      <c r="BK345" s="290"/>
      <c r="BL345" s="290"/>
      <c r="BM345" s="290">
        <v>0</v>
      </c>
      <c r="BN345" s="290">
        <v>648.71557999999993</v>
      </c>
      <c r="BO345" s="290">
        <v>-544.69980053037636</v>
      </c>
      <c r="BP345" s="290">
        <v>49.018999999999998</v>
      </c>
      <c r="BQ345" s="290">
        <v>-26.288</v>
      </c>
      <c r="BR345" s="290">
        <v>-24.166779469623574</v>
      </c>
      <c r="BS345" s="290">
        <v>0.42</v>
      </c>
      <c r="BT345" s="290"/>
      <c r="BU345" s="290">
        <v>0</v>
      </c>
      <c r="BV345" s="290">
        <v>500</v>
      </c>
      <c r="BW345" s="290">
        <v>-268</v>
      </c>
      <c r="BX345" s="290">
        <v>152</v>
      </c>
      <c r="BY345" s="290">
        <v>38</v>
      </c>
      <c r="BZ345" s="290">
        <v>-204</v>
      </c>
      <c r="CA345" s="290">
        <v>0</v>
      </c>
      <c r="CB345" s="290">
        <v>60</v>
      </c>
      <c r="CC345" s="290">
        <v>152</v>
      </c>
      <c r="CD345" s="290">
        <v>2</v>
      </c>
      <c r="CE345" s="290">
        <v>43</v>
      </c>
      <c r="CF345" s="290">
        <v>3</v>
      </c>
      <c r="CG345" s="290">
        <v>0</v>
      </c>
      <c r="CH345" s="290">
        <v>-2</v>
      </c>
      <c r="CI345" s="290">
        <v>-516</v>
      </c>
      <c r="CJ345" s="290">
        <v>-1371</v>
      </c>
      <c r="CK345" s="290">
        <f>+innut22!E351+innut22!S351</f>
        <v>36175.428724240068</v>
      </c>
      <c r="CL345" s="290">
        <v>0</v>
      </c>
      <c r="CM345" s="290">
        <v>0</v>
      </c>
      <c r="CN345" s="290">
        <v>0</v>
      </c>
      <c r="CP345" s="290">
        <f>+innut23!E351</f>
        <v>34737.151585310567</v>
      </c>
      <c r="CQ345" s="290"/>
      <c r="CV345" s="85">
        <f t="shared" si="6"/>
        <v>0.216</v>
      </c>
    </row>
    <row r="346" spans="1:100" ht="13">
      <c r="A346" s="1">
        <v>5430</v>
      </c>
      <c r="B346" s="2" t="s">
        <v>244</v>
      </c>
      <c r="C346" s="289">
        <v>2877</v>
      </c>
      <c r="D346" s="290">
        <v>50</v>
      </c>
      <c r="E346" s="290">
        <v>133</v>
      </c>
      <c r="F346" s="290">
        <v>361</v>
      </c>
      <c r="G346" s="290">
        <v>231</v>
      </c>
      <c r="H346" s="290">
        <v>1648</v>
      </c>
      <c r="I346" s="290">
        <v>348</v>
      </c>
      <c r="J346" s="290">
        <v>100</v>
      </c>
      <c r="K346" s="290">
        <v>20</v>
      </c>
      <c r="L346" s="290">
        <v>24</v>
      </c>
      <c r="M346" s="290">
        <v>250</v>
      </c>
      <c r="N346" s="290">
        <v>0</v>
      </c>
      <c r="O346" s="290">
        <v>1.5</v>
      </c>
      <c r="P346" s="624">
        <v>30324.873666669999</v>
      </c>
      <c r="Q346" s="624">
        <v>20252.418333329999</v>
      </c>
      <c r="R346" s="624">
        <v>23</v>
      </c>
      <c r="S346" s="290">
        <v>32</v>
      </c>
      <c r="T346" s="290">
        <v>221</v>
      </c>
      <c r="U346" s="958">
        <v>1.6825602863171699E-3</v>
      </c>
      <c r="V346" s="290">
        <v>1844.3814432300001</v>
      </c>
      <c r="W346" s="765">
        <v>1</v>
      </c>
      <c r="X346" s="290">
        <v>879</v>
      </c>
      <c r="Y346" s="290"/>
      <c r="Z346" s="290">
        <f>innut22!E352</f>
        <v>67116.029487415013</v>
      </c>
      <c r="AA346" s="290">
        <v>0</v>
      </c>
      <c r="AB346" s="290">
        <v>57</v>
      </c>
      <c r="AC346" s="290">
        <v>348</v>
      </c>
      <c r="AD346" s="290"/>
      <c r="AE346" s="290">
        <v>0</v>
      </c>
      <c r="AF346" s="290">
        <v>0</v>
      </c>
      <c r="AG346" s="290">
        <v>2891</v>
      </c>
      <c r="AH346" s="290">
        <v>522</v>
      </c>
      <c r="AI346" s="290">
        <v>759.375</v>
      </c>
      <c r="AJ346" s="290">
        <v>0</v>
      </c>
      <c r="AK346" s="290">
        <v>127</v>
      </c>
      <c r="AL346" s="290">
        <v>25451</v>
      </c>
      <c r="AM346" s="957">
        <v>0.12710640000000001</v>
      </c>
      <c r="AN346" s="290">
        <v>0</v>
      </c>
      <c r="AO346" s="290">
        <v>688.56819170000006</v>
      </c>
      <c r="AP346" s="290">
        <v>0</v>
      </c>
      <c r="AQ346" s="290">
        <v>0</v>
      </c>
      <c r="AR346" s="290">
        <v>-139.46369662999999</v>
      </c>
      <c r="AS346" s="290">
        <v>1380</v>
      </c>
      <c r="AT346" s="290">
        <v>92</v>
      </c>
      <c r="AU346" s="290">
        <v>62</v>
      </c>
      <c r="AV346" s="766">
        <v>155887</v>
      </c>
      <c r="AW346" s="290"/>
      <c r="AX346" s="766">
        <v>20.083349999999999</v>
      </c>
      <c r="AY346" s="290">
        <v>709</v>
      </c>
      <c r="AZ346" s="290">
        <v>190</v>
      </c>
      <c r="BA346" s="290">
        <v>93</v>
      </c>
      <c r="BB346" s="290">
        <v>13068</v>
      </c>
      <c r="BC346" s="290">
        <v>5460</v>
      </c>
      <c r="BD346" s="290"/>
      <c r="BE346" s="290">
        <v>156051.40580712</v>
      </c>
      <c r="BF346" s="290">
        <v>0</v>
      </c>
      <c r="BG346" s="290">
        <v>2598.451321316727</v>
      </c>
      <c r="BH346" s="290">
        <v>139.99819363828897</v>
      </c>
      <c r="BI346" s="290">
        <v>997</v>
      </c>
      <c r="BJ346" s="290"/>
      <c r="BK346" s="290"/>
      <c r="BL346" s="290"/>
      <c r="BM346" s="290">
        <v>0</v>
      </c>
      <c r="BN346" s="290">
        <v>1310.1784000000002</v>
      </c>
      <c r="BO346" s="290">
        <v>-1347.0719617906911</v>
      </c>
      <c r="BP346" s="290">
        <v>174.72399999999999</v>
      </c>
      <c r="BQ346" s="290">
        <v>-93.703000000000003</v>
      </c>
      <c r="BR346" s="290">
        <v>-62.502741325130572</v>
      </c>
      <c r="BS346" s="290">
        <v>0.73499999999999999</v>
      </c>
      <c r="BT346" s="290"/>
      <c r="BU346" s="290">
        <v>0</v>
      </c>
      <c r="BV346" s="290">
        <v>1000</v>
      </c>
      <c r="BW346" s="290">
        <v>-664</v>
      </c>
      <c r="BX346" s="290">
        <v>403</v>
      </c>
      <c r="BY346" s="290">
        <v>85</v>
      </c>
      <c r="BZ346" s="290">
        <v>-505</v>
      </c>
      <c r="CA346" s="290">
        <v>-1.3596968841785042</v>
      </c>
      <c r="CB346" s="290">
        <v>136</v>
      </c>
      <c r="CC346" s="290">
        <v>376</v>
      </c>
      <c r="CD346" s="290">
        <v>5</v>
      </c>
      <c r="CE346" s="290">
        <v>106</v>
      </c>
      <c r="CF346" s="290">
        <v>6</v>
      </c>
      <c r="CG346" s="290">
        <v>1</v>
      </c>
      <c r="CH346" s="290">
        <v>-4</v>
      </c>
      <c r="CI346" s="290">
        <v>-1281</v>
      </c>
      <c r="CJ346" s="290">
        <v>-3439</v>
      </c>
      <c r="CK346" s="290">
        <f>+innut22!E352+innut22!S352</f>
        <v>67116.029487415013</v>
      </c>
      <c r="CL346" s="290">
        <v>0</v>
      </c>
      <c r="CM346" s="290">
        <v>0</v>
      </c>
      <c r="CN346" s="290">
        <v>0</v>
      </c>
      <c r="CP346" s="290">
        <f>+innut23!E352</f>
        <v>63676.3815055382</v>
      </c>
      <c r="CQ346" s="290"/>
      <c r="CV346" s="85">
        <f t="shared" si="6"/>
        <v>0.53500000000000003</v>
      </c>
    </row>
    <row r="347" spans="1:100" ht="13">
      <c r="A347" s="1">
        <v>5432</v>
      </c>
      <c r="B347" s="2" t="s">
        <v>246</v>
      </c>
      <c r="C347" s="289">
        <v>859</v>
      </c>
      <c r="D347" s="290">
        <v>9</v>
      </c>
      <c r="E347" s="290">
        <v>27</v>
      </c>
      <c r="F347" s="290">
        <v>54</v>
      </c>
      <c r="G347" s="290">
        <v>57</v>
      </c>
      <c r="H347" s="290">
        <v>478</v>
      </c>
      <c r="I347" s="290">
        <v>151</v>
      </c>
      <c r="J347" s="290">
        <v>71</v>
      </c>
      <c r="K347" s="290">
        <v>12</v>
      </c>
      <c r="L347" s="290">
        <v>10</v>
      </c>
      <c r="M347" s="290">
        <v>130</v>
      </c>
      <c r="N347" s="290">
        <v>1.5</v>
      </c>
      <c r="O347" s="290">
        <v>9</v>
      </c>
      <c r="P347" s="624">
        <v>22512.965666669999</v>
      </c>
      <c r="Q347" s="624">
        <v>12902.59533333</v>
      </c>
      <c r="R347" s="624">
        <v>5</v>
      </c>
      <c r="S347" s="290">
        <v>11</v>
      </c>
      <c r="T347" s="290">
        <v>98</v>
      </c>
      <c r="U347" s="958">
        <v>2.2700335519150726E-4</v>
      </c>
      <c r="V347" s="290">
        <v>690.86171483999999</v>
      </c>
      <c r="W347" s="765">
        <v>1</v>
      </c>
      <c r="X347" s="290">
        <v>1073</v>
      </c>
      <c r="Y347" s="290"/>
      <c r="Z347" s="290">
        <f>innut22!E353</f>
        <v>24704.050693506819</v>
      </c>
      <c r="AA347" s="290">
        <v>0</v>
      </c>
      <c r="AB347" s="290">
        <v>17</v>
      </c>
      <c r="AC347" s="290">
        <v>0</v>
      </c>
      <c r="AD347" s="290"/>
      <c r="AE347" s="290">
        <v>0</v>
      </c>
      <c r="AF347" s="290">
        <v>0</v>
      </c>
      <c r="AG347" s="290">
        <v>859</v>
      </c>
      <c r="AH347" s="290">
        <v>100</v>
      </c>
      <c r="AI347" s="290">
        <v>0</v>
      </c>
      <c r="AJ347" s="290">
        <v>0</v>
      </c>
      <c r="AK347" s="290">
        <v>0</v>
      </c>
      <c r="AL347" s="290">
        <v>7496</v>
      </c>
      <c r="AM347" s="957">
        <v>3.723634E-2</v>
      </c>
      <c r="AN347" s="290">
        <v>0</v>
      </c>
      <c r="AO347" s="290">
        <v>257.92137708000001</v>
      </c>
      <c r="AP347" s="290">
        <v>0</v>
      </c>
      <c r="AQ347" s="290">
        <v>0</v>
      </c>
      <c r="AR347" s="290">
        <v>-41.438711660000003</v>
      </c>
      <c r="AS347" s="290">
        <v>446</v>
      </c>
      <c r="AT347" s="290">
        <v>30</v>
      </c>
      <c r="AU347" s="290">
        <v>18</v>
      </c>
      <c r="AV347" s="766">
        <v>72030</v>
      </c>
      <c r="AW347" s="290"/>
      <c r="AX347" s="766">
        <v>0.91669999999999996</v>
      </c>
      <c r="AY347" s="290">
        <v>148</v>
      </c>
      <c r="AZ347" s="290">
        <v>51</v>
      </c>
      <c r="BA347" s="290">
        <v>8</v>
      </c>
      <c r="BB347" s="290">
        <v>13068</v>
      </c>
      <c r="BC347" s="290">
        <v>1824</v>
      </c>
      <c r="BD347" s="290"/>
      <c r="BE347" s="290">
        <v>72434.239914129997</v>
      </c>
      <c r="BF347" s="290">
        <v>0</v>
      </c>
      <c r="BG347" s="290">
        <v>775.8323548874065</v>
      </c>
      <c r="BH347" s="290">
        <v>41.799947283729658</v>
      </c>
      <c r="BI347" s="290">
        <v>100</v>
      </c>
      <c r="BJ347" s="290"/>
      <c r="BK347" s="290"/>
      <c r="BL347" s="290"/>
      <c r="BM347" s="290">
        <v>0</v>
      </c>
      <c r="BN347" s="290">
        <v>490.76188000000002</v>
      </c>
      <c r="BO347" s="290">
        <v>-400.25417335807805</v>
      </c>
      <c r="BP347" s="290">
        <v>32.902000000000001</v>
      </c>
      <c r="BQ347" s="290">
        <v>-17.645</v>
      </c>
      <c r="BR347" s="290">
        <v>-17.151706641921972</v>
      </c>
      <c r="BS347" s="290">
        <v>0.38700000000000001</v>
      </c>
      <c r="BT347" s="290"/>
      <c r="BU347" s="290">
        <v>0</v>
      </c>
      <c r="BV347" s="290">
        <v>1500</v>
      </c>
      <c r="BW347" s="290">
        <v>-197</v>
      </c>
      <c r="BX347" s="290">
        <v>109</v>
      </c>
      <c r="BY347" s="290">
        <v>29</v>
      </c>
      <c r="BZ347" s="290">
        <v>-150</v>
      </c>
      <c r="CA347" s="290">
        <v>0</v>
      </c>
      <c r="CB347" s="290">
        <v>47</v>
      </c>
      <c r="CC347" s="290">
        <v>112</v>
      </c>
      <c r="CD347" s="290">
        <v>2</v>
      </c>
      <c r="CE347" s="290">
        <v>32</v>
      </c>
      <c r="CF347" s="290">
        <v>3</v>
      </c>
      <c r="CG347" s="290">
        <v>0</v>
      </c>
      <c r="CH347" s="290">
        <v>-2</v>
      </c>
      <c r="CI347" s="290">
        <v>-383</v>
      </c>
      <c r="CJ347" s="290">
        <v>-1012</v>
      </c>
      <c r="CK347" s="290">
        <f>+innut22!E353+innut22!S353</f>
        <v>24704.050693506819</v>
      </c>
      <c r="CL347" s="290">
        <v>0</v>
      </c>
      <c r="CM347" s="290">
        <v>0</v>
      </c>
      <c r="CN347" s="290">
        <v>0</v>
      </c>
      <c r="CP347" s="290">
        <f>+innut23!E353</f>
        <v>24090.291512742842</v>
      </c>
      <c r="CQ347" s="290"/>
      <c r="CV347" s="85">
        <f t="shared" si="6"/>
        <v>0.159</v>
      </c>
    </row>
    <row r="348" spans="1:100" ht="13">
      <c r="A348" s="1">
        <v>5433</v>
      </c>
      <c r="B348" s="2" t="s">
        <v>247</v>
      </c>
      <c r="C348" s="289">
        <v>964</v>
      </c>
      <c r="D348" s="290">
        <v>9</v>
      </c>
      <c r="E348" s="290">
        <v>37</v>
      </c>
      <c r="F348" s="290">
        <v>99</v>
      </c>
      <c r="G348" s="290">
        <v>55</v>
      </c>
      <c r="H348" s="290">
        <v>578</v>
      </c>
      <c r="I348" s="290">
        <v>143</v>
      </c>
      <c r="J348" s="290">
        <v>47</v>
      </c>
      <c r="K348" s="290">
        <v>7</v>
      </c>
      <c r="L348" s="290">
        <v>9</v>
      </c>
      <c r="M348" s="290">
        <v>120</v>
      </c>
      <c r="N348" s="290">
        <v>1.5</v>
      </c>
      <c r="O348" s="290">
        <v>20</v>
      </c>
      <c r="P348" s="624">
        <v>13664.543</v>
      </c>
      <c r="Q348" s="624">
        <v>3159.3533333300002</v>
      </c>
      <c r="R348" s="624">
        <v>3</v>
      </c>
      <c r="S348" s="290">
        <v>20</v>
      </c>
      <c r="T348" s="290">
        <v>126</v>
      </c>
      <c r="U348" s="958">
        <v>1.5206897914244802E-4</v>
      </c>
      <c r="V348" s="290">
        <v>706.43765553000003</v>
      </c>
      <c r="W348" s="765">
        <v>1</v>
      </c>
      <c r="X348" s="290">
        <v>1032</v>
      </c>
      <c r="Y348" s="290"/>
      <c r="Z348" s="290">
        <f>innut22!E354</f>
        <v>26059.338399872588</v>
      </c>
      <c r="AA348" s="290">
        <v>0</v>
      </c>
      <c r="AB348" s="290">
        <v>32</v>
      </c>
      <c r="AC348" s="290">
        <v>388</v>
      </c>
      <c r="AD348" s="290"/>
      <c r="AE348" s="290">
        <v>0</v>
      </c>
      <c r="AF348" s="290">
        <v>0</v>
      </c>
      <c r="AG348" s="290">
        <v>975</v>
      </c>
      <c r="AH348" s="290">
        <v>135</v>
      </c>
      <c r="AI348" s="290">
        <v>0</v>
      </c>
      <c r="AJ348" s="290">
        <v>0</v>
      </c>
      <c r="AK348" s="290">
        <v>0</v>
      </c>
      <c r="AL348" s="290">
        <v>8568</v>
      </c>
      <c r="AM348" s="957">
        <v>0.12835911</v>
      </c>
      <c r="AN348" s="290">
        <v>0</v>
      </c>
      <c r="AO348" s="290">
        <v>263.73638749999998</v>
      </c>
      <c r="AP348" s="290">
        <v>0</v>
      </c>
      <c r="AQ348" s="290">
        <v>0</v>
      </c>
      <c r="AR348" s="290">
        <v>-47.034626160000002</v>
      </c>
      <c r="AS348" s="290">
        <v>462</v>
      </c>
      <c r="AT348" s="290">
        <v>51</v>
      </c>
      <c r="AU348" s="290">
        <v>32</v>
      </c>
      <c r="AV348" s="766">
        <v>71772</v>
      </c>
      <c r="AW348" s="290"/>
      <c r="AX348" s="766">
        <v>2.6667000000000001</v>
      </c>
      <c r="AY348" s="290">
        <v>148</v>
      </c>
      <c r="AZ348" s="290">
        <v>76</v>
      </c>
      <c r="BA348" s="290">
        <v>32</v>
      </c>
      <c r="BB348" s="290">
        <v>13068</v>
      </c>
      <c r="BC348" s="290">
        <v>2060</v>
      </c>
      <c r="BD348" s="290"/>
      <c r="BE348" s="290">
        <v>71848.226681019994</v>
      </c>
      <c r="BF348" s="290">
        <v>0</v>
      </c>
      <c r="BG348" s="290">
        <v>870.6663447164841</v>
      </c>
      <c r="BH348" s="290">
        <v>46.909370409214652</v>
      </c>
      <c r="BI348" s="290">
        <v>523</v>
      </c>
      <c r="BJ348" s="290"/>
      <c r="BK348" s="290"/>
      <c r="BL348" s="290"/>
      <c r="BM348" s="290">
        <v>0</v>
      </c>
      <c r="BN348" s="290">
        <v>501.82643999999999</v>
      </c>
      <c r="BO348" s="290">
        <v>-454.30479513867999</v>
      </c>
      <c r="BP348" s="290">
        <v>44.96</v>
      </c>
      <c r="BQ348" s="290">
        <v>-24.111999999999998</v>
      </c>
      <c r="BR348" s="290">
        <v>-22.205372958895868</v>
      </c>
      <c r="BS348" s="290">
        <v>0.35199999999999998</v>
      </c>
      <c r="BT348" s="290"/>
      <c r="BU348" s="290">
        <v>0</v>
      </c>
      <c r="BV348" s="290">
        <v>1500</v>
      </c>
      <c r="BW348" s="290">
        <v>-224</v>
      </c>
      <c r="BX348" s="290">
        <v>138</v>
      </c>
      <c r="BY348" s="290">
        <v>53</v>
      </c>
      <c r="BZ348" s="290">
        <v>-170</v>
      </c>
      <c r="CA348" s="290">
        <v>-1.5162719024241369</v>
      </c>
      <c r="CB348" s="290">
        <v>85</v>
      </c>
      <c r="CC348" s="290">
        <v>127</v>
      </c>
      <c r="CD348" s="290">
        <v>3</v>
      </c>
      <c r="CE348" s="290">
        <v>36</v>
      </c>
      <c r="CF348" s="290">
        <v>3</v>
      </c>
      <c r="CG348" s="290">
        <v>0</v>
      </c>
      <c r="CH348" s="290">
        <v>-2</v>
      </c>
      <c r="CI348" s="290">
        <v>-429</v>
      </c>
      <c r="CJ348" s="290">
        <v>-1160</v>
      </c>
      <c r="CK348" s="290">
        <f>+innut22!E354+innut22!S354</f>
        <v>26059.338399872588</v>
      </c>
      <c r="CL348" s="290">
        <v>0</v>
      </c>
      <c r="CM348" s="290">
        <v>0</v>
      </c>
      <c r="CN348" s="290">
        <v>0</v>
      </c>
      <c r="CP348" s="290">
        <f>+innut23!E354</f>
        <v>25106.102235210157</v>
      </c>
      <c r="CQ348" s="290"/>
      <c r="CV348" s="85">
        <f t="shared" si="6"/>
        <v>0.18</v>
      </c>
    </row>
    <row r="349" spans="1:100" ht="13">
      <c r="A349" s="1">
        <v>5434</v>
      </c>
      <c r="B349" s="2" t="s">
        <v>249</v>
      </c>
      <c r="C349" s="289">
        <v>1162</v>
      </c>
      <c r="D349" s="290">
        <v>17</v>
      </c>
      <c r="E349" s="290">
        <v>33</v>
      </c>
      <c r="F349" s="290">
        <v>106</v>
      </c>
      <c r="G349" s="290">
        <v>70</v>
      </c>
      <c r="H349" s="290">
        <v>650</v>
      </c>
      <c r="I349" s="290">
        <v>211</v>
      </c>
      <c r="J349" s="290">
        <v>72</v>
      </c>
      <c r="K349" s="290">
        <v>13</v>
      </c>
      <c r="L349" s="290">
        <v>11</v>
      </c>
      <c r="M349" s="290">
        <v>183</v>
      </c>
      <c r="N349" s="290">
        <v>4</v>
      </c>
      <c r="O349" s="290">
        <v>12</v>
      </c>
      <c r="P349" s="624">
        <v>13467.439</v>
      </c>
      <c r="Q349" s="624">
        <v>5613.8903333300004</v>
      </c>
      <c r="R349" s="624">
        <v>4</v>
      </c>
      <c r="S349" s="290">
        <v>16</v>
      </c>
      <c r="T349" s="290">
        <v>139</v>
      </c>
      <c r="U349" s="958">
        <v>2.4533751495793809E-4</v>
      </c>
      <c r="V349" s="290">
        <v>807.16500539000003</v>
      </c>
      <c r="W349" s="765">
        <v>1</v>
      </c>
      <c r="X349" s="290">
        <v>774</v>
      </c>
      <c r="Y349" s="290"/>
      <c r="Z349" s="290">
        <f>innut22!E355</f>
        <v>39710.072180878939</v>
      </c>
      <c r="AA349" s="290">
        <v>0</v>
      </c>
      <c r="AB349" s="290">
        <v>20</v>
      </c>
      <c r="AC349" s="290">
        <v>203</v>
      </c>
      <c r="AD349" s="290"/>
      <c r="AE349" s="290">
        <v>0</v>
      </c>
      <c r="AF349" s="290">
        <v>0</v>
      </c>
      <c r="AG349" s="290">
        <v>1172</v>
      </c>
      <c r="AH349" s="290">
        <v>145</v>
      </c>
      <c r="AI349" s="290">
        <v>0</v>
      </c>
      <c r="AJ349" s="290">
        <v>0</v>
      </c>
      <c r="AK349" s="290">
        <v>0</v>
      </c>
      <c r="AL349" s="290">
        <v>10433</v>
      </c>
      <c r="AM349" s="957">
        <v>6.3215679999999996E-2</v>
      </c>
      <c r="AN349" s="290">
        <v>0</v>
      </c>
      <c r="AO349" s="290">
        <v>301.34121670000002</v>
      </c>
      <c r="AP349" s="290">
        <v>0</v>
      </c>
      <c r="AQ349" s="290">
        <v>0</v>
      </c>
      <c r="AR349" s="290">
        <v>402.17335674999998</v>
      </c>
      <c r="AS349" s="290">
        <v>868</v>
      </c>
      <c r="AT349" s="290">
        <v>51</v>
      </c>
      <c r="AU349" s="290">
        <v>24</v>
      </c>
      <c r="AV349" s="766">
        <v>78837</v>
      </c>
      <c r="AW349" s="290"/>
      <c r="AX349" s="766">
        <v>6.6666999999999996</v>
      </c>
      <c r="AY349" s="290">
        <v>169</v>
      </c>
      <c r="AZ349" s="290">
        <v>74</v>
      </c>
      <c r="BA349" s="290">
        <v>21</v>
      </c>
      <c r="BB349" s="290">
        <v>13068</v>
      </c>
      <c r="BC349" s="290">
        <v>2356</v>
      </c>
      <c r="BD349" s="290"/>
      <c r="BE349" s="290">
        <v>78308.211290770007</v>
      </c>
      <c r="BF349" s="290">
        <v>0</v>
      </c>
      <c r="BG349" s="290">
        <v>1049.4961541084592</v>
      </c>
      <c r="BH349" s="290">
        <v>56.544282588700668</v>
      </c>
      <c r="BI349" s="290">
        <v>348</v>
      </c>
      <c r="BJ349" s="290"/>
      <c r="BK349" s="290"/>
      <c r="BL349" s="290"/>
      <c r="BM349" s="290">
        <v>0</v>
      </c>
      <c r="BN349" s="290">
        <v>573.37932000000012</v>
      </c>
      <c r="BO349" s="290">
        <v>-546.09766143849538</v>
      </c>
      <c r="BP349" s="290">
        <v>44.606999999999999</v>
      </c>
      <c r="BQ349" s="290">
        <v>-23.922000000000001</v>
      </c>
      <c r="BR349" s="290">
        <v>-23.576430994115412</v>
      </c>
      <c r="BS349" s="290">
        <v>0.40500000000000003</v>
      </c>
      <c r="BT349" s="290"/>
      <c r="BU349" s="290">
        <v>0</v>
      </c>
      <c r="BV349" s="290">
        <v>1000</v>
      </c>
      <c r="BW349" s="290">
        <v>-269</v>
      </c>
      <c r="BX349" s="290">
        <v>145</v>
      </c>
      <c r="BY349" s="290">
        <v>42</v>
      </c>
      <c r="BZ349" s="290">
        <v>-205</v>
      </c>
      <c r="CA349" s="290">
        <v>-0.79522756738933253</v>
      </c>
      <c r="CB349" s="290">
        <v>68</v>
      </c>
      <c r="CC349" s="290">
        <v>152</v>
      </c>
      <c r="CD349" s="290">
        <v>2</v>
      </c>
      <c r="CE349" s="290">
        <v>43</v>
      </c>
      <c r="CF349" s="290">
        <v>3</v>
      </c>
      <c r="CG349" s="290">
        <v>0</v>
      </c>
      <c r="CH349" s="290">
        <v>-2</v>
      </c>
      <c r="CI349" s="290">
        <v>-518</v>
      </c>
      <c r="CJ349" s="290">
        <v>-1430</v>
      </c>
      <c r="CK349" s="290">
        <f>+innut22!E355+innut22!S355</f>
        <v>39710.072180878939</v>
      </c>
      <c r="CL349" s="290">
        <v>0</v>
      </c>
      <c r="CM349" s="290">
        <v>0</v>
      </c>
      <c r="CN349" s="290">
        <v>0</v>
      </c>
      <c r="CP349" s="290">
        <f>+innut23!E355</f>
        <v>38202.970736034738</v>
      </c>
      <c r="CQ349" s="290"/>
      <c r="CV349" s="85">
        <f t="shared" si="6"/>
        <v>0.217</v>
      </c>
    </row>
    <row r="350" spans="1:100" ht="13">
      <c r="A350" s="1">
        <v>5435</v>
      </c>
      <c r="B350" s="2" t="s">
        <v>250</v>
      </c>
      <c r="C350" s="289">
        <v>2947</v>
      </c>
      <c r="D350" s="290">
        <v>38</v>
      </c>
      <c r="E350" s="290">
        <v>85</v>
      </c>
      <c r="F350" s="290">
        <v>281</v>
      </c>
      <c r="G350" s="290">
        <v>255</v>
      </c>
      <c r="H350" s="290">
        <v>1766</v>
      </c>
      <c r="I350" s="290">
        <v>443</v>
      </c>
      <c r="J350" s="290">
        <v>109</v>
      </c>
      <c r="K350" s="290">
        <v>32</v>
      </c>
      <c r="L350" s="290">
        <v>32</v>
      </c>
      <c r="M350" s="290">
        <v>347</v>
      </c>
      <c r="N350" s="290">
        <v>50</v>
      </c>
      <c r="O350" s="290">
        <v>34</v>
      </c>
      <c r="P350" s="624">
        <v>13782.80766667</v>
      </c>
      <c r="Q350" s="624">
        <v>7840.4096666699998</v>
      </c>
      <c r="R350" s="624">
        <v>17</v>
      </c>
      <c r="S350" s="290">
        <v>47</v>
      </c>
      <c r="T350" s="290">
        <v>353</v>
      </c>
      <c r="U350" s="958">
        <v>1.3877878738278001E-4</v>
      </c>
      <c r="V350" s="290">
        <v>1721.12593191</v>
      </c>
      <c r="W350" s="765">
        <v>1</v>
      </c>
      <c r="X350" s="290">
        <v>1182</v>
      </c>
      <c r="Y350" s="290"/>
      <c r="Z350" s="290">
        <f>innut22!E356</f>
        <v>96555.435684288037</v>
      </c>
      <c r="AA350" s="290">
        <v>0</v>
      </c>
      <c r="AB350" s="290">
        <v>64</v>
      </c>
      <c r="AC350" s="290">
        <v>388</v>
      </c>
      <c r="AD350" s="290"/>
      <c r="AE350" s="290">
        <v>0</v>
      </c>
      <c r="AF350" s="290">
        <v>0</v>
      </c>
      <c r="AG350" s="290">
        <v>3009</v>
      </c>
      <c r="AH350" s="290">
        <v>417</v>
      </c>
      <c r="AI350" s="290">
        <v>0</v>
      </c>
      <c r="AJ350" s="290">
        <v>0</v>
      </c>
      <c r="AK350" s="290">
        <v>0</v>
      </c>
      <c r="AL350" s="290">
        <v>26802</v>
      </c>
      <c r="AM350" s="957">
        <v>0.17613801000000001</v>
      </c>
      <c r="AN350" s="290">
        <v>0</v>
      </c>
      <c r="AO350" s="290">
        <v>642.55285963999995</v>
      </c>
      <c r="AP350" s="290">
        <v>0</v>
      </c>
      <c r="AQ350" s="290">
        <v>0</v>
      </c>
      <c r="AR350" s="290">
        <v>-145.15609241000001</v>
      </c>
      <c r="AS350" s="290">
        <v>544</v>
      </c>
      <c r="AT350" s="290">
        <v>169</v>
      </c>
      <c r="AU350" s="290">
        <v>45</v>
      </c>
      <c r="AV350" s="766">
        <v>139134</v>
      </c>
      <c r="AW350" s="290"/>
      <c r="AX350" s="766">
        <v>18.999949999999998</v>
      </c>
      <c r="AY350" s="290">
        <v>552</v>
      </c>
      <c r="AZ350" s="290">
        <v>219</v>
      </c>
      <c r="BA350" s="290">
        <v>58</v>
      </c>
      <c r="BB350" s="290">
        <v>13068</v>
      </c>
      <c r="BC350" s="290">
        <v>5754</v>
      </c>
      <c r="BD350" s="290"/>
      <c r="BE350" s="290">
        <v>139533.76112919001</v>
      </c>
      <c r="BF350" s="290">
        <v>0</v>
      </c>
      <c r="BG350" s="290">
        <v>2661.6739812027786</v>
      </c>
      <c r="BH350" s="290">
        <v>143.40447572194563</v>
      </c>
      <c r="BI350" s="290">
        <v>805</v>
      </c>
      <c r="BJ350" s="290"/>
      <c r="BK350" s="290"/>
      <c r="BL350" s="290"/>
      <c r="BM350" s="290">
        <v>0</v>
      </c>
      <c r="BN350" s="290">
        <v>1222.62238</v>
      </c>
      <c r="BO350" s="290">
        <v>-1402.0544908433724</v>
      </c>
      <c r="BP350" s="290">
        <v>119.244</v>
      </c>
      <c r="BQ350" s="290">
        <v>-63.95</v>
      </c>
      <c r="BR350" s="290">
        <v>-50.048617254203506</v>
      </c>
      <c r="BS350" s="290">
        <v>0.70299999999999996</v>
      </c>
      <c r="BT350" s="290"/>
      <c r="BU350" s="290">
        <v>0</v>
      </c>
      <c r="BV350" s="290">
        <v>500</v>
      </c>
      <c r="BW350" s="290">
        <v>-691</v>
      </c>
      <c r="BX350" s="290">
        <v>317</v>
      </c>
      <c r="BY350" s="290">
        <v>122</v>
      </c>
      <c r="BZ350" s="290">
        <v>-525</v>
      </c>
      <c r="CA350" s="290">
        <v>-1.5162719024241369</v>
      </c>
      <c r="CB350" s="290">
        <v>195</v>
      </c>
      <c r="CC350" s="290">
        <v>391</v>
      </c>
      <c r="CD350" s="290">
        <v>7</v>
      </c>
      <c r="CE350" s="290">
        <v>109</v>
      </c>
      <c r="CF350" s="290">
        <v>6</v>
      </c>
      <c r="CG350" s="290">
        <v>0</v>
      </c>
      <c r="CH350" s="290">
        <v>-4</v>
      </c>
      <c r="CI350" s="290">
        <v>-1313</v>
      </c>
      <c r="CJ350" s="290">
        <v>-3681</v>
      </c>
      <c r="CK350" s="290">
        <f>+innut22!E356+innut22!S356</f>
        <v>96555.435684288037</v>
      </c>
      <c r="CL350" s="290">
        <v>0</v>
      </c>
      <c r="CM350" s="290">
        <v>0</v>
      </c>
      <c r="CN350" s="290">
        <v>0</v>
      </c>
      <c r="CP350" s="290">
        <f>+innut23!E356</f>
        <v>90812.901561199455</v>
      </c>
      <c r="CQ350" s="290"/>
      <c r="CV350" s="85">
        <f t="shared" si="6"/>
        <v>0.55700000000000005</v>
      </c>
    </row>
    <row r="351" spans="1:100" ht="13">
      <c r="A351" s="1">
        <v>5436</v>
      </c>
      <c r="B351" s="2" t="s">
        <v>251</v>
      </c>
      <c r="C351" s="289">
        <v>3904</v>
      </c>
      <c r="D351" s="290">
        <v>58</v>
      </c>
      <c r="E351" s="290">
        <v>125</v>
      </c>
      <c r="F351" s="290">
        <v>384</v>
      </c>
      <c r="G351" s="290">
        <v>319</v>
      </c>
      <c r="H351" s="290">
        <v>2201</v>
      </c>
      <c r="I351" s="290">
        <v>624</v>
      </c>
      <c r="J351" s="290">
        <v>153</v>
      </c>
      <c r="K351" s="290">
        <v>25</v>
      </c>
      <c r="L351" s="290">
        <v>39</v>
      </c>
      <c r="M351" s="290">
        <v>419</v>
      </c>
      <c r="N351" s="290">
        <v>47</v>
      </c>
      <c r="O351" s="290">
        <v>31</v>
      </c>
      <c r="P351" s="624">
        <v>42700.805666669999</v>
      </c>
      <c r="Q351" s="624">
        <v>17060.062666670001</v>
      </c>
      <c r="R351" s="624">
        <v>10</v>
      </c>
      <c r="S351" s="290">
        <v>51</v>
      </c>
      <c r="T351" s="290">
        <v>444</v>
      </c>
      <c r="U351" s="958">
        <v>1.8722435682152689E-3</v>
      </c>
      <c r="V351" s="290">
        <v>2151.1080603700002</v>
      </c>
      <c r="W351" s="765">
        <v>1</v>
      </c>
      <c r="X351" s="290">
        <v>1225</v>
      </c>
      <c r="Y351" s="290"/>
      <c r="Z351" s="290">
        <f>innut22!E357</f>
        <v>119006.63293241114</v>
      </c>
      <c r="AA351" s="290">
        <v>0</v>
      </c>
      <c r="AB351" s="290">
        <v>92</v>
      </c>
      <c r="AC351" s="290">
        <v>589</v>
      </c>
      <c r="AD351" s="290"/>
      <c r="AE351" s="290">
        <v>0</v>
      </c>
      <c r="AF351" s="290">
        <v>0</v>
      </c>
      <c r="AG351" s="290">
        <v>3889</v>
      </c>
      <c r="AH351" s="290">
        <v>570</v>
      </c>
      <c r="AI351" s="290">
        <v>3839</v>
      </c>
      <c r="AJ351" s="290">
        <v>1500</v>
      </c>
      <c r="AK351" s="290">
        <v>0</v>
      </c>
      <c r="AL351" s="290">
        <v>34175</v>
      </c>
      <c r="AM351" s="957">
        <v>0.12093007</v>
      </c>
      <c r="AN351" s="290">
        <v>0</v>
      </c>
      <c r="AO351" s="290">
        <v>803.07931568000004</v>
      </c>
      <c r="AP351" s="290">
        <v>0</v>
      </c>
      <c r="AQ351" s="290">
        <v>0</v>
      </c>
      <c r="AR351" s="290">
        <v>-187.60785756000001</v>
      </c>
      <c r="AS351" s="290">
        <v>994</v>
      </c>
      <c r="AT351" s="290">
        <v>202</v>
      </c>
      <c r="AU351" s="290">
        <v>52</v>
      </c>
      <c r="AV351" s="766">
        <v>150626</v>
      </c>
      <c r="AW351" s="290"/>
      <c r="AX351" s="766">
        <v>30.000050000000002</v>
      </c>
      <c r="AY351" s="290">
        <v>855</v>
      </c>
      <c r="AZ351" s="290">
        <v>177</v>
      </c>
      <c r="BA351" s="290">
        <v>89</v>
      </c>
      <c r="BB351" s="290">
        <v>0</v>
      </c>
      <c r="BC351" s="290">
        <v>7086</v>
      </c>
      <c r="BD351" s="290"/>
      <c r="BE351" s="290">
        <v>154412.74894085</v>
      </c>
      <c r="BF351" s="290">
        <v>0</v>
      </c>
      <c r="BG351" s="290">
        <v>3526.0180599306577</v>
      </c>
      <c r="BH351" s="290">
        <v>189.97321792279462</v>
      </c>
      <c r="BI351" s="290">
        <v>1159</v>
      </c>
      <c r="BJ351" s="290"/>
      <c r="BK351" s="290"/>
      <c r="BL351" s="290"/>
      <c r="BM351" s="290">
        <v>0</v>
      </c>
      <c r="BN351" s="290">
        <v>1528.0653200000002</v>
      </c>
      <c r="BO351" s="290">
        <v>-1812.0936905582835</v>
      </c>
      <c r="BP351" s="290">
        <v>178.13499999999999</v>
      </c>
      <c r="BQ351" s="290">
        <v>-95.531999999999996</v>
      </c>
      <c r="BR351" s="290">
        <v>-68.20160859558753</v>
      </c>
      <c r="BS351" s="290">
        <v>0.92900000000000005</v>
      </c>
      <c r="BT351" s="290"/>
      <c r="BU351" s="290">
        <v>0</v>
      </c>
      <c r="BV351" s="290">
        <v>2000</v>
      </c>
      <c r="BW351" s="290">
        <v>-893</v>
      </c>
      <c r="BX351" s="290">
        <v>438</v>
      </c>
      <c r="BY351" s="290">
        <v>134</v>
      </c>
      <c r="BZ351" s="290">
        <v>-679</v>
      </c>
      <c r="CA351" s="290">
        <v>-2.3020208461291531</v>
      </c>
      <c r="CB351" s="290">
        <v>214</v>
      </c>
      <c r="CC351" s="290">
        <v>506</v>
      </c>
      <c r="CD351" s="290">
        <v>8</v>
      </c>
      <c r="CE351" s="290">
        <v>144</v>
      </c>
      <c r="CF351" s="290">
        <v>8</v>
      </c>
      <c r="CG351" s="290">
        <v>1</v>
      </c>
      <c r="CH351" s="290">
        <v>-5</v>
      </c>
      <c r="CI351" s="290">
        <v>-1739</v>
      </c>
      <c r="CJ351" s="290">
        <v>-4623</v>
      </c>
      <c r="CK351" s="290">
        <f>+innut22!E357+innut22!S357</f>
        <v>119006.63293241114</v>
      </c>
      <c r="CL351" s="290">
        <v>0</v>
      </c>
      <c r="CM351" s="290">
        <v>0</v>
      </c>
      <c r="CN351" s="290">
        <v>0</v>
      </c>
      <c r="CP351" s="290">
        <f>+innut23!E357</f>
        <v>112604.82057229101</v>
      </c>
      <c r="CQ351" s="290"/>
      <c r="CV351" s="85">
        <f t="shared" si="6"/>
        <v>0.72</v>
      </c>
    </row>
    <row r="352" spans="1:100" ht="13">
      <c r="A352" s="1">
        <v>5437</v>
      </c>
      <c r="B352" s="2" t="s">
        <v>252</v>
      </c>
      <c r="C352" s="289">
        <v>2584</v>
      </c>
      <c r="D352" s="290">
        <v>40</v>
      </c>
      <c r="E352" s="290">
        <v>100</v>
      </c>
      <c r="F352" s="290">
        <v>257</v>
      </c>
      <c r="G352" s="290">
        <v>253</v>
      </c>
      <c r="H352" s="290">
        <v>1496</v>
      </c>
      <c r="I352" s="290">
        <v>351</v>
      </c>
      <c r="J352" s="290">
        <v>98</v>
      </c>
      <c r="K352" s="290">
        <v>22</v>
      </c>
      <c r="L352" s="290">
        <v>20</v>
      </c>
      <c r="M352" s="290">
        <v>277</v>
      </c>
      <c r="N352" s="290">
        <v>4</v>
      </c>
      <c r="O352" s="290">
        <v>10</v>
      </c>
      <c r="P352" s="624">
        <v>10576.194333330001</v>
      </c>
      <c r="Q352" s="624">
        <v>12232.24333333</v>
      </c>
      <c r="R352" s="624">
        <v>16</v>
      </c>
      <c r="S352" s="290">
        <v>30</v>
      </c>
      <c r="T352" s="290">
        <v>227</v>
      </c>
      <c r="U352" s="958">
        <v>1.4980525988722918E-3</v>
      </c>
      <c r="V352" s="290">
        <v>1538.45405962</v>
      </c>
      <c r="W352" s="765">
        <v>1</v>
      </c>
      <c r="X352" s="290">
        <v>1121</v>
      </c>
      <c r="Y352" s="290"/>
      <c r="Z352" s="290">
        <f>innut22!E358</f>
        <v>72056.107592533022</v>
      </c>
      <c r="AA352" s="290">
        <v>0</v>
      </c>
      <c r="AB352" s="290">
        <v>68</v>
      </c>
      <c r="AC352" s="290">
        <v>703</v>
      </c>
      <c r="AD352" s="290"/>
      <c r="AE352" s="290">
        <v>0</v>
      </c>
      <c r="AF352" s="290">
        <v>0</v>
      </c>
      <c r="AG352" s="290">
        <v>2617</v>
      </c>
      <c r="AH352" s="290">
        <v>407</v>
      </c>
      <c r="AI352" s="290">
        <v>3781.375</v>
      </c>
      <c r="AJ352" s="290">
        <v>0</v>
      </c>
      <c r="AK352" s="290">
        <v>0</v>
      </c>
      <c r="AL352" s="290">
        <v>23019</v>
      </c>
      <c r="AM352" s="957">
        <v>8.4445889999999996E-2</v>
      </c>
      <c r="AN352" s="290">
        <v>0</v>
      </c>
      <c r="AO352" s="290">
        <v>574.35544786000003</v>
      </c>
      <c r="AP352" s="290">
        <v>0</v>
      </c>
      <c r="AQ352" s="290">
        <v>0</v>
      </c>
      <c r="AR352" s="290">
        <v>-126.24576067</v>
      </c>
      <c r="AS352" s="290">
        <v>1331</v>
      </c>
      <c r="AT352" s="290">
        <v>100</v>
      </c>
      <c r="AU352" s="290">
        <v>38</v>
      </c>
      <c r="AV352" s="766">
        <v>125742</v>
      </c>
      <c r="AW352" s="290"/>
      <c r="AX352" s="766">
        <v>12.333299999999999</v>
      </c>
      <c r="AY352" s="290">
        <v>721</v>
      </c>
      <c r="AZ352" s="290">
        <v>155</v>
      </c>
      <c r="BA352" s="290">
        <v>81</v>
      </c>
      <c r="BB352" s="290">
        <v>13068</v>
      </c>
      <c r="BC352" s="290">
        <v>4614</v>
      </c>
      <c r="BD352" s="290"/>
      <c r="BE352" s="290">
        <v>128020.51032366</v>
      </c>
      <c r="BF352" s="290">
        <v>0</v>
      </c>
      <c r="BG352" s="290">
        <v>2333.8193306508247</v>
      </c>
      <c r="BH352" s="290">
        <v>125.74047005955462</v>
      </c>
      <c r="BI352" s="290">
        <v>1110</v>
      </c>
      <c r="BJ352" s="290"/>
      <c r="BK352" s="290"/>
      <c r="BL352" s="290"/>
      <c r="BM352" s="290">
        <v>0</v>
      </c>
      <c r="BN352" s="290">
        <v>1092.85924</v>
      </c>
      <c r="BO352" s="290">
        <v>-1219.4006655158209</v>
      </c>
      <c r="BP352" s="290">
        <v>133.554</v>
      </c>
      <c r="BQ352" s="290">
        <v>-71.623999999999995</v>
      </c>
      <c r="BR352" s="290">
        <v>-45.285919664249015</v>
      </c>
      <c r="BS352" s="290">
        <v>0.64600000000000002</v>
      </c>
      <c r="BT352" s="290"/>
      <c r="BU352" s="290">
        <v>0</v>
      </c>
      <c r="BV352" s="290">
        <v>500</v>
      </c>
      <c r="BW352" s="290">
        <v>-601</v>
      </c>
      <c r="BX352" s="290">
        <v>290</v>
      </c>
      <c r="BY352" s="290">
        <v>79</v>
      </c>
      <c r="BZ352" s="290">
        <v>-457</v>
      </c>
      <c r="CA352" s="290">
        <v>-2.7486548199300387</v>
      </c>
      <c r="CB352" s="290">
        <v>126</v>
      </c>
      <c r="CC352" s="290">
        <v>340</v>
      </c>
      <c r="CD352" s="290">
        <v>5</v>
      </c>
      <c r="CE352" s="290">
        <v>95</v>
      </c>
      <c r="CF352" s="290">
        <v>5</v>
      </c>
      <c r="CG352" s="290">
        <v>0</v>
      </c>
      <c r="CH352" s="290">
        <v>-3</v>
      </c>
      <c r="CI352" s="290">
        <v>-1151</v>
      </c>
      <c r="CJ352" s="290">
        <v>-3124</v>
      </c>
      <c r="CK352" s="290">
        <f>+innut22!E358+innut22!S358</f>
        <v>72056.107592533022</v>
      </c>
      <c r="CL352" s="290">
        <v>0</v>
      </c>
      <c r="CM352" s="290">
        <v>0</v>
      </c>
      <c r="CN352" s="290">
        <v>0</v>
      </c>
      <c r="CP352" s="290">
        <f>+innut23!E358</f>
        <v>67931.73263005745</v>
      </c>
      <c r="CQ352" s="290"/>
      <c r="CV352" s="85">
        <f t="shared" si="6"/>
        <v>0.48399999999999999</v>
      </c>
    </row>
    <row r="353" spans="1:100" ht="13">
      <c r="A353" s="1">
        <v>5438</v>
      </c>
      <c r="B353" s="2" t="s">
        <v>253</v>
      </c>
      <c r="C353" s="289">
        <v>1221</v>
      </c>
      <c r="D353" s="290">
        <v>21</v>
      </c>
      <c r="E353" s="290">
        <v>30</v>
      </c>
      <c r="F353" s="290">
        <v>127</v>
      </c>
      <c r="G353" s="290">
        <v>99</v>
      </c>
      <c r="H353" s="290">
        <v>716</v>
      </c>
      <c r="I353" s="290">
        <v>184</v>
      </c>
      <c r="J353" s="290">
        <v>65</v>
      </c>
      <c r="K353" s="290">
        <v>13</v>
      </c>
      <c r="L353" s="290">
        <v>12</v>
      </c>
      <c r="M353" s="290">
        <v>159</v>
      </c>
      <c r="N353" s="290">
        <v>1.5</v>
      </c>
      <c r="O353" s="290">
        <v>23</v>
      </c>
      <c r="P353" s="624">
        <v>37952.230000000003</v>
      </c>
      <c r="Q353" s="624">
        <v>11629.64766667</v>
      </c>
      <c r="R353" s="624">
        <v>9</v>
      </c>
      <c r="S353" s="290">
        <v>19</v>
      </c>
      <c r="T353" s="290">
        <v>173</v>
      </c>
      <c r="U353" s="958">
        <v>6.8948811233956163E-4</v>
      </c>
      <c r="V353" s="290">
        <v>926.11483858999998</v>
      </c>
      <c r="W353" s="765">
        <v>1</v>
      </c>
      <c r="X353" s="290">
        <v>783</v>
      </c>
      <c r="Y353" s="290"/>
      <c r="Z353" s="290">
        <f>innut22!E359</f>
        <v>41980.837773836894</v>
      </c>
      <c r="AA353" s="290">
        <v>0</v>
      </c>
      <c r="AB353" s="290">
        <v>30</v>
      </c>
      <c r="AC353" s="290">
        <v>256</v>
      </c>
      <c r="AD353" s="290"/>
      <c r="AE353" s="290">
        <v>0</v>
      </c>
      <c r="AF353" s="290">
        <v>0</v>
      </c>
      <c r="AG353" s="290">
        <v>1255</v>
      </c>
      <c r="AH353" s="290">
        <v>176</v>
      </c>
      <c r="AI353" s="290">
        <v>0</v>
      </c>
      <c r="AJ353" s="290">
        <v>0</v>
      </c>
      <c r="AK353" s="290">
        <v>260</v>
      </c>
      <c r="AL353" s="290">
        <v>11078</v>
      </c>
      <c r="AM353" s="957">
        <v>6.9528999999999994E-2</v>
      </c>
      <c r="AN353" s="290">
        <v>0</v>
      </c>
      <c r="AO353" s="290">
        <v>345.74909765000001</v>
      </c>
      <c r="AP353" s="290">
        <v>0</v>
      </c>
      <c r="AQ353" s="290">
        <v>0</v>
      </c>
      <c r="AR353" s="290">
        <v>-60.542005979999999</v>
      </c>
      <c r="AS353" s="290">
        <v>267</v>
      </c>
      <c r="AT353" s="290">
        <v>72</v>
      </c>
      <c r="AU353" s="290">
        <v>13</v>
      </c>
      <c r="AV353" s="766">
        <v>89504</v>
      </c>
      <c r="AW353" s="290"/>
      <c r="AX353" s="766">
        <v>8.75</v>
      </c>
      <c r="AY353" s="290">
        <v>215</v>
      </c>
      <c r="AZ353" s="290">
        <v>120</v>
      </c>
      <c r="BA353" s="290">
        <v>24</v>
      </c>
      <c r="BB353" s="290">
        <v>13068</v>
      </c>
      <c r="BC353" s="290">
        <v>2792</v>
      </c>
      <c r="BD353" s="290"/>
      <c r="BE353" s="290">
        <v>90172.785438179999</v>
      </c>
      <c r="BF353" s="290">
        <v>0</v>
      </c>
      <c r="BG353" s="290">
        <v>1102.7838245838454</v>
      </c>
      <c r="BH353" s="290">
        <v>59.415291773496975</v>
      </c>
      <c r="BI353" s="290">
        <v>692</v>
      </c>
      <c r="BJ353" s="290"/>
      <c r="BK353" s="290"/>
      <c r="BL353" s="290"/>
      <c r="BM353" s="290">
        <v>0</v>
      </c>
      <c r="BN353" s="290">
        <v>657.87674000000004</v>
      </c>
      <c r="BO353" s="290">
        <v>-584.77181322978811</v>
      </c>
      <c r="BP353" s="290">
        <v>44.295999999999999</v>
      </c>
      <c r="BQ353" s="290">
        <v>-23.754999999999999</v>
      </c>
      <c r="BR353" s="290">
        <v>-30.107208988949864</v>
      </c>
      <c r="BS353" s="290">
        <v>0.46100000000000002</v>
      </c>
      <c r="BT353" s="290"/>
      <c r="BU353" s="290">
        <v>0</v>
      </c>
      <c r="BV353" s="290">
        <v>1000</v>
      </c>
      <c r="BW353" s="290">
        <v>-288</v>
      </c>
      <c r="BX353" s="290">
        <v>188</v>
      </c>
      <c r="BY353" s="290">
        <v>50</v>
      </c>
      <c r="BZ353" s="290">
        <v>-219</v>
      </c>
      <c r="CA353" s="290">
        <v>-0.99971778126206345</v>
      </c>
      <c r="CB353" s="290">
        <v>81</v>
      </c>
      <c r="CC353" s="290">
        <v>163</v>
      </c>
      <c r="CD353" s="290">
        <v>3</v>
      </c>
      <c r="CE353" s="290">
        <v>45</v>
      </c>
      <c r="CF353" s="290">
        <v>4</v>
      </c>
      <c r="CG353" s="290">
        <v>0</v>
      </c>
      <c r="CH353" s="290">
        <v>-2</v>
      </c>
      <c r="CI353" s="290">
        <v>-544</v>
      </c>
      <c r="CJ353" s="290">
        <v>-1540</v>
      </c>
      <c r="CK353" s="290">
        <f>+innut22!E359+innut22!S359</f>
        <v>41980.837773836894</v>
      </c>
      <c r="CL353" s="290">
        <v>220.28944069206079</v>
      </c>
      <c r="CM353" s="290">
        <v>178.05556264615996</v>
      </c>
      <c r="CN353" s="290">
        <v>133.51914112954046</v>
      </c>
      <c r="CP353" s="290">
        <f>+innut23!E359</f>
        <v>39475.508575940185</v>
      </c>
      <c r="CQ353" s="290"/>
      <c r="CV353" s="85">
        <f t="shared" si="6"/>
        <v>0.23200000000000001</v>
      </c>
    </row>
    <row r="354" spans="1:100" ht="13">
      <c r="A354" s="1">
        <v>5439</v>
      </c>
      <c r="B354" s="2" t="s">
        <v>254</v>
      </c>
      <c r="C354" s="289">
        <v>1057</v>
      </c>
      <c r="D354" s="290">
        <v>11</v>
      </c>
      <c r="E354" s="290">
        <v>39</v>
      </c>
      <c r="F354" s="290">
        <v>73</v>
      </c>
      <c r="G354" s="290">
        <v>73</v>
      </c>
      <c r="H354" s="290">
        <v>664</v>
      </c>
      <c r="I354" s="290">
        <v>162</v>
      </c>
      <c r="J354" s="290">
        <v>46</v>
      </c>
      <c r="K354" s="290">
        <v>8</v>
      </c>
      <c r="L354" s="290">
        <v>11</v>
      </c>
      <c r="M354" s="290">
        <v>118</v>
      </c>
      <c r="N354" s="290">
        <v>1.5</v>
      </c>
      <c r="O354" s="290">
        <v>14</v>
      </c>
      <c r="P354" s="624">
        <v>14307.031999999999</v>
      </c>
      <c r="Q354" s="624">
        <v>6667.7406666699999</v>
      </c>
      <c r="R354" s="624">
        <v>2</v>
      </c>
      <c r="S354" s="290">
        <v>26</v>
      </c>
      <c r="T354" s="290">
        <v>163</v>
      </c>
      <c r="U354" s="958">
        <v>3.2362058831574795E-4</v>
      </c>
      <c r="V354" s="290">
        <v>720.72934394000004</v>
      </c>
      <c r="W354" s="765">
        <v>1</v>
      </c>
      <c r="X354" s="290">
        <v>1001</v>
      </c>
      <c r="Y354" s="290"/>
      <c r="Z354" s="290">
        <f>innut22!E360</f>
        <v>31178.227012427375</v>
      </c>
      <c r="AA354" s="290">
        <v>0</v>
      </c>
      <c r="AB354" s="290">
        <v>23</v>
      </c>
      <c r="AC354" s="290">
        <v>222</v>
      </c>
      <c r="AD354" s="290"/>
      <c r="AE354" s="290">
        <v>0</v>
      </c>
      <c r="AF354" s="290">
        <v>0</v>
      </c>
      <c r="AG354" s="290">
        <v>1076</v>
      </c>
      <c r="AH354" s="290">
        <v>128</v>
      </c>
      <c r="AI354" s="290">
        <v>0</v>
      </c>
      <c r="AJ354" s="290">
        <v>0</v>
      </c>
      <c r="AK354" s="290">
        <v>0</v>
      </c>
      <c r="AL354" s="290">
        <v>9561</v>
      </c>
      <c r="AM354" s="957">
        <v>0.18883022999999999</v>
      </c>
      <c r="AN354" s="290">
        <v>0</v>
      </c>
      <c r="AO354" s="290">
        <v>269.07194435999997</v>
      </c>
      <c r="AP354" s="290">
        <v>0</v>
      </c>
      <c r="AQ354" s="290">
        <v>0</v>
      </c>
      <c r="AR354" s="290">
        <v>575.03279309000004</v>
      </c>
      <c r="AS354" s="290">
        <v>211</v>
      </c>
      <c r="AT354" s="290">
        <v>76</v>
      </c>
      <c r="AU354" s="290">
        <v>26</v>
      </c>
      <c r="AV354" s="766">
        <v>72331</v>
      </c>
      <c r="AW354" s="290"/>
      <c r="AX354" s="766">
        <v>9.5000499999999999</v>
      </c>
      <c r="AY354" s="290">
        <v>141</v>
      </c>
      <c r="AZ354" s="290">
        <v>115</v>
      </c>
      <c r="BA354" s="290">
        <v>13</v>
      </c>
      <c r="BB354" s="290">
        <v>13068</v>
      </c>
      <c r="BC354" s="290">
        <v>2212</v>
      </c>
      <c r="BD354" s="290"/>
      <c r="BE354" s="290">
        <v>70944.461277170005</v>
      </c>
      <c r="BF354" s="290">
        <v>0</v>
      </c>
      <c r="BG354" s="290">
        <v>954.6621642793815</v>
      </c>
      <c r="BH354" s="290">
        <v>51.434859463215659</v>
      </c>
      <c r="BI354" s="290">
        <v>350</v>
      </c>
      <c r="BJ354" s="290"/>
      <c r="BK354" s="290"/>
      <c r="BL354" s="290"/>
      <c r="BM354" s="290">
        <v>0</v>
      </c>
      <c r="BN354" s="290">
        <v>511.9787</v>
      </c>
      <c r="BO354" s="290">
        <v>-501.36611237868681</v>
      </c>
      <c r="BP354" s="290">
        <v>52.673999999999999</v>
      </c>
      <c r="BQ354" s="290">
        <v>-28.248000000000001</v>
      </c>
      <c r="BR354" s="290">
        <v>-17.546298099490773</v>
      </c>
      <c r="BS354" s="290">
        <v>0.377</v>
      </c>
      <c r="BT354" s="290"/>
      <c r="BU354" s="290">
        <v>0</v>
      </c>
      <c r="BV354" s="290">
        <v>1500</v>
      </c>
      <c r="BW354" s="290">
        <v>-247</v>
      </c>
      <c r="BX354" s="290">
        <v>116</v>
      </c>
      <c r="BY354" s="290">
        <v>69</v>
      </c>
      <c r="BZ354" s="290">
        <v>-188</v>
      </c>
      <c r="CA354" s="290">
        <v>-0.86928952182242369</v>
      </c>
      <c r="CB354" s="290">
        <v>110</v>
      </c>
      <c r="CC354" s="290">
        <v>140</v>
      </c>
      <c r="CD354" s="290">
        <v>4</v>
      </c>
      <c r="CE354" s="290">
        <v>39</v>
      </c>
      <c r="CF354" s="290">
        <v>3</v>
      </c>
      <c r="CG354" s="290">
        <v>0</v>
      </c>
      <c r="CH354" s="290">
        <v>-2</v>
      </c>
      <c r="CI354" s="290">
        <v>-471</v>
      </c>
      <c r="CJ354" s="290">
        <v>-1302</v>
      </c>
      <c r="CK354" s="290">
        <f>+innut22!E360+innut22!S360</f>
        <v>31178.227012427375</v>
      </c>
      <c r="CL354" s="290">
        <v>0</v>
      </c>
      <c r="CM354" s="290">
        <v>0</v>
      </c>
      <c r="CN354" s="290">
        <v>0</v>
      </c>
      <c r="CP354" s="290">
        <f>+innut23!E360</f>
        <v>30428.964167251339</v>
      </c>
      <c r="CQ354" s="290"/>
      <c r="CV354" s="85">
        <f t="shared" si="6"/>
        <v>0.19900000000000001</v>
      </c>
    </row>
    <row r="355" spans="1:100" ht="13">
      <c r="A355" s="1">
        <v>5440</v>
      </c>
      <c r="B355" s="2" t="s">
        <v>255</v>
      </c>
      <c r="C355" s="289">
        <v>906</v>
      </c>
      <c r="D355" s="290">
        <v>15</v>
      </c>
      <c r="E355" s="290">
        <v>24</v>
      </c>
      <c r="F355" s="290">
        <v>60</v>
      </c>
      <c r="G355" s="290">
        <v>61</v>
      </c>
      <c r="H355" s="290">
        <v>542</v>
      </c>
      <c r="I355" s="290">
        <v>155</v>
      </c>
      <c r="J355" s="290">
        <v>46</v>
      </c>
      <c r="K355" s="290">
        <v>15</v>
      </c>
      <c r="L355" s="290">
        <v>8</v>
      </c>
      <c r="M355" s="290">
        <v>124</v>
      </c>
      <c r="N355" s="290">
        <v>0</v>
      </c>
      <c r="O355" s="290">
        <v>8</v>
      </c>
      <c r="P355" s="624">
        <v>1811.9416666699999</v>
      </c>
      <c r="Q355" s="624">
        <v>1582.70666667</v>
      </c>
      <c r="R355" s="624">
        <v>2</v>
      </c>
      <c r="S355" s="290">
        <v>12</v>
      </c>
      <c r="T355" s="290">
        <v>110</v>
      </c>
      <c r="U355" s="958">
        <v>1.8656563185836633E-4</v>
      </c>
      <c r="V355" s="290">
        <v>603.08651768000004</v>
      </c>
      <c r="W355" s="765">
        <v>1</v>
      </c>
      <c r="X355" s="290">
        <v>1034</v>
      </c>
      <c r="Y355" s="290"/>
      <c r="Z355" s="290">
        <f>innut22!E361</f>
        <v>30007.497475918011</v>
      </c>
      <c r="AA355" s="290">
        <v>0</v>
      </c>
      <c r="AB355" s="290">
        <v>14</v>
      </c>
      <c r="AC355" s="290">
        <v>0</v>
      </c>
      <c r="AD355" s="290"/>
      <c r="AE355" s="290">
        <v>0</v>
      </c>
      <c r="AF355" s="290">
        <v>0</v>
      </c>
      <c r="AG355" s="290">
        <v>918</v>
      </c>
      <c r="AH355" s="290">
        <v>104</v>
      </c>
      <c r="AI355" s="290">
        <v>2000</v>
      </c>
      <c r="AJ355" s="290">
        <v>0</v>
      </c>
      <c r="AK355" s="290">
        <v>34</v>
      </c>
      <c r="AL355" s="290">
        <v>8088</v>
      </c>
      <c r="AM355" s="957">
        <v>4.2429960000000003E-2</v>
      </c>
      <c r="AN355" s="290">
        <v>0</v>
      </c>
      <c r="AO355" s="290">
        <v>225.15201203999999</v>
      </c>
      <c r="AP355" s="290">
        <v>0</v>
      </c>
      <c r="AQ355" s="290">
        <v>0</v>
      </c>
      <c r="AR355" s="290">
        <v>1763.2673575199999</v>
      </c>
      <c r="AS355" s="290">
        <v>181</v>
      </c>
      <c r="AT355" s="290">
        <v>45</v>
      </c>
      <c r="AU355" s="290">
        <v>14</v>
      </c>
      <c r="AV355" s="766">
        <v>63711</v>
      </c>
      <c r="AW355" s="290"/>
      <c r="AX355" s="766">
        <v>4.6666999999999996</v>
      </c>
      <c r="AY355" s="290">
        <v>141</v>
      </c>
      <c r="AZ355" s="290">
        <v>58</v>
      </c>
      <c r="BA355" s="290">
        <v>23</v>
      </c>
      <c r="BB355" s="290">
        <v>13068</v>
      </c>
      <c r="BC355" s="290">
        <v>2032</v>
      </c>
      <c r="BD355" s="290"/>
      <c r="BE355" s="290">
        <v>61045.76338276</v>
      </c>
      <c r="BF355" s="290">
        <v>0</v>
      </c>
      <c r="BG355" s="290">
        <v>818.28185509661273</v>
      </c>
      <c r="BH355" s="290">
        <v>44.087022397041991</v>
      </c>
      <c r="BI355" s="290">
        <v>138</v>
      </c>
      <c r="BJ355" s="290"/>
      <c r="BK355" s="290"/>
      <c r="BL355" s="290"/>
      <c r="BM355" s="290">
        <v>0</v>
      </c>
      <c r="BN355" s="290">
        <v>428.40971999999999</v>
      </c>
      <c r="BO355" s="290">
        <v>-427.74543788441866</v>
      </c>
      <c r="BP355" s="290">
        <v>32.722999999999999</v>
      </c>
      <c r="BQ355" s="290">
        <v>-17.548999999999999</v>
      </c>
      <c r="BR355" s="290">
        <v>-15.165282115581329</v>
      </c>
      <c r="BS355" s="290">
        <v>0.32700000000000001</v>
      </c>
      <c r="BT355" s="290"/>
      <c r="BU355" s="290">
        <v>0</v>
      </c>
      <c r="BV355" s="290">
        <v>500</v>
      </c>
      <c r="BW355" s="290">
        <v>-211</v>
      </c>
      <c r="BX355" s="290">
        <v>90</v>
      </c>
      <c r="BY355" s="290">
        <v>32</v>
      </c>
      <c r="BZ355" s="290">
        <v>-160</v>
      </c>
      <c r="CA355" s="290">
        <v>0</v>
      </c>
      <c r="CB355" s="290">
        <v>51</v>
      </c>
      <c r="CC355" s="290">
        <v>119</v>
      </c>
      <c r="CD355" s="290">
        <v>2</v>
      </c>
      <c r="CE355" s="290">
        <v>33</v>
      </c>
      <c r="CF355" s="290">
        <v>3</v>
      </c>
      <c r="CG355" s="290">
        <v>0</v>
      </c>
      <c r="CH355" s="290">
        <v>-2</v>
      </c>
      <c r="CI355" s="290">
        <v>-404</v>
      </c>
      <c r="CJ355" s="290">
        <v>-1099</v>
      </c>
      <c r="CK355" s="290">
        <f>+innut22!E361+innut22!S361</f>
        <v>30007.497475918011</v>
      </c>
      <c r="CL355" s="290">
        <v>0</v>
      </c>
      <c r="CM355" s="290">
        <v>0</v>
      </c>
      <c r="CN355" s="290">
        <v>0</v>
      </c>
      <c r="CP355" s="290">
        <f>+innut23!E361</f>
        <v>28645.21305118053</v>
      </c>
      <c r="CQ355" s="290"/>
      <c r="CV355" s="85">
        <f t="shared" si="6"/>
        <v>0.17</v>
      </c>
    </row>
    <row r="356" spans="1:100" ht="13">
      <c r="A356" s="1">
        <v>5441</v>
      </c>
      <c r="B356" s="2" t="s">
        <v>256</v>
      </c>
      <c r="C356" s="289">
        <v>2821</v>
      </c>
      <c r="D356" s="290">
        <v>56</v>
      </c>
      <c r="E356" s="290">
        <v>94</v>
      </c>
      <c r="F356" s="290">
        <v>252</v>
      </c>
      <c r="G356" s="290">
        <v>236</v>
      </c>
      <c r="H356" s="290">
        <v>1589</v>
      </c>
      <c r="I356" s="290">
        <v>463</v>
      </c>
      <c r="J356" s="290">
        <v>135</v>
      </c>
      <c r="K356" s="290">
        <v>19</v>
      </c>
      <c r="L356" s="290">
        <v>29</v>
      </c>
      <c r="M356" s="290">
        <v>339</v>
      </c>
      <c r="N356" s="290">
        <v>13</v>
      </c>
      <c r="O356" s="290">
        <v>9</v>
      </c>
      <c r="P356" s="624">
        <v>43081.09166667</v>
      </c>
      <c r="Q356" s="624">
        <v>25652.158666669999</v>
      </c>
      <c r="R356" s="624">
        <v>20</v>
      </c>
      <c r="S356" s="290">
        <v>35</v>
      </c>
      <c r="T356" s="290">
        <v>329</v>
      </c>
      <c r="U356" s="958">
        <v>2.423185237614576E-3</v>
      </c>
      <c r="V356" s="290">
        <v>-1148.7062708799999</v>
      </c>
      <c r="W356" s="765">
        <v>1</v>
      </c>
      <c r="X356" s="290">
        <v>1325</v>
      </c>
      <c r="Y356" s="290"/>
      <c r="Z356" s="290">
        <f>innut22!E362</f>
        <v>88229.788800529437</v>
      </c>
      <c r="AA356" s="290">
        <v>0</v>
      </c>
      <c r="AB356" s="290">
        <v>57</v>
      </c>
      <c r="AC356" s="290">
        <v>689</v>
      </c>
      <c r="AD356" s="290"/>
      <c r="AE356" s="290">
        <v>0</v>
      </c>
      <c r="AF356" s="290">
        <v>0</v>
      </c>
      <c r="AG356" s="290">
        <v>2844</v>
      </c>
      <c r="AH356" s="290">
        <v>397</v>
      </c>
      <c r="AI356" s="290">
        <v>2720</v>
      </c>
      <c r="AJ356" s="290">
        <v>0</v>
      </c>
      <c r="AK356" s="290">
        <v>0</v>
      </c>
      <c r="AL356" s="290">
        <v>24658</v>
      </c>
      <c r="AM356" s="957">
        <v>7.970621E-2</v>
      </c>
      <c r="AN356" s="290">
        <v>0</v>
      </c>
      <c r="AO356" s="290">
        <v>656.20481981</v>
      </c>
      <c r="AP356" s="290">
        <v>0</v>
      </c>
      <c r="AQ356" s="290">
        <v>0</v>
      </c>
      <c r="AR356" s="290">
        <v>275.56718332000003</v>
      </c>
      <c r="AS356" s="290">
        <v>1067</v>
      </c>
      <c r="AT356" s="290">
        <v>159</v>
      </c>
      <c r="AU356" s="290">
        <v>34</v>
      </c>
      <c r="AV356" s="766">
        <v>144857</v>
      </c>
      <c r="AW356" s="290"/>
      <c r="AX356" s="766">
        <v>20.291650000000001</v>
      </c>
      <c r="AY356" s="290">
        <v>596</v>
      </c>
      <c r="AZ356" s="290">
        <v>118</v>
      </c>
      <c r="BA356" s="290">
        <v>52</v>
      </c>
      <c r="BB356" s="290">
        <v>13068</v>
      </c>
      <c r="BC356" s="290">
        <v>4919</v>
      </c>
      <c r="BD356" s="290"/>
      <c r="BE356" s="290">
        <v>144523.41879455</v>
      </c>
      <c r="BF356" s="290">
        <v>0</v>
      </c>
      <c r="BG356" s="290">
        <v>2547.8731934078855</v>
      </c>
      <c r="BH356" s="290">
        <v>137.27316797136362</v>
      </c>
      <c r="BI356" s="290">
        <v>1086</v>
      </c>
      <c r="BJ356" s="290"/>
      <c r="BK356" s="290"/>
      <c r="BL356" s="290"/>
      <c r="BM356" s="290">
        <v>0</v>
      </c>
      <c r="BN356" s="290">
        <v>1248.5987600000001</v>
      </c>
      <c r="BO356" s="290">
        <v>-1325.1721408968265</v>
      </c>
      <c r="BP356" s="290">
        <v>130.91499999999999</v>
      </c>
      <c r="BQ356" s="290">
        <v>-70.209000000000003</v>
      </c>
      <c r="BR356" s="290">
        <v>-50.223024609975056</v>
      </c>
      <c r="BS356" s="290">
        <v>0.78600000000000003</v>
      </c>
      <c r="BT356" s="290"/>
      <c r="BU356" s="290">
        <v>0</v>
      </c>
      <c r="BV356" s="290">
        <v>2000</v>
      </c>
      <c r="BW356" s="290">
        <v>-653</v>
      </c>
      <c r="BX356" s="290">
        <v>318</v>
      </c>
      <c r="BY356" s="290">
        <v>91</v>
      </c>
      <c r="BZ356" s="290">
        <v>-496</v>
      </c>
      <c r="CA356" s="290">
        <v>-2.6955944931985414</v>
      </c>
      <c r="CB356" s="290">
        <v>146</v>
      </c>
      <c r="CC356" s="290">
        <v>370</v>
      </c>
      <c r="CD356" s="290">
        <v>5</v>
      </c>
      <c r="CE356" s="290">
        <v>104</v>
      </c>
      <c r="CF356" s="290">
        <v>6</v>
      </c>
      <c r="CG356" s="290">
        <v>0</v>
      </c>
      <c r="CH356" s="290">
        <v>-4</v>
      </c>
      <c r="CI356" s="290">
        <v>-1256</v>
      </c>
      <c r="CJ356" s="290">
        <v>-3368</v>
      </c>
      <c r="CK356" s="290">
        <f>+innut22!E362+innut22!S362</f>
        <v>88229.788800529437</v>
      </c>
      <c r="CL356" s="290">
        <v>0</v>
      </c>
      <c r="CM356" s="290">
        <v>0</v>
      </c>
      <c r="CN356" s="290">
        <v>0</v>
      </c>
      <c r="CP356" s="290">
        <f>+innut23!E362</f>
        <v>82918.602405646176</v>
      </c>
      <c r="CQ356" s="290"/>
      <c r="CV356" s="85">
        <f t="shared" si="6"/>
        <v>0.52600000000000002</v>
      </c>
    </row>
    <row r="357" spans="1:100" ht="13">
      <c r="A357" s="1">
        <v>5442</v>
      </c>
      <c r="B357" s="2" t="s">
        <v>257</v>
      </c>
      <c r="C357" s="289">
        <v>854</v>
      </c>
      <c r="D357" s="290">
        <v>9</v>
      </c>
      <c r="E357" s="290">
        <v>18</v>
      </c>
      <c r="F357" s="290">
        <v>93</v>
      </c>
      <c r="G357" s="290">
        <v>53</v>
      </c>
      <c r="H357" s="290">
        <v>468</v>
      </c>
      <c r="I357" s="290">
        <v>169</v>
      </c>
      <c r="J357" s="290">
        <v>57</v>
      </c>
      <c r="K357" s="290">
        <v>9</v>
      </c>
      <c r="L357" s="290">
        <v>9</v>
      </c>
      <c r="M357" s="290">
        <v>142</v>
      </c>
      <c r="N357" s="290">
        <v>1.5</v>
      </c>
      <c r="O357" s="290">
        <v>1.5</v>
      </c>
      <c r="P357" s="624">
        <v>6964.1083333300003</v>
      </c>
      <c r="Q357" s="624">
        <v>4233.8006666700003</v>
      </c>
      <c r="R357" s="624">
        <v>4</v>
      </c>
      <c r="S357" s="290">
        <v>10</v>
      </c>
      <c r="T357" s="290">
        <v>89</v>
      </c>
      <c r="U357" s="958">
        <v>8.3162676285797343E-4</v>
      </c>
      <c r="V357" s="290">
        <v>660.50956895000002</v>
      </c>
      <c r="W357" s="765">
        <v>1</v>
      </c>
      <c r="X357" s="290">
        <v>750</v>
      </c>
      <c r="Y357" s="290"/>
      <c r="Z357" s="290">
        <f>innut22!E363</f>
        <v>23310.917268421759</v>
      </c>
      <c r="AA357" s="290">
        <v>0</v>
      </c>
      <c r="AB357" s="290">
        <v>15</v>
      </c>
      <c r="AC357" s="290">
        <v>0</v>
      </c>
      <c r="AD357" s="290"/>
      <c r="AE357" s="290">
        <v>0</v>
      </c>
      <c r="AF357" s="290">
        <v>0</v>
      </c>
      <c r="AG357" s="290">
        <v>876</v>
      </c>
      <c r="AH357" s="290">
        <v>114</v>
      </c>
      <c r="AI357" s="290">
        <v>0</v>
      </c>
      <c r="AJ357" s="290">
        <v>0</v>
      </c>
      <c r="AK357" s="290">
        <v>0</v>
      </c>
      <c r="AL357" s="290">
        <v>7670</v>
      </c>
      <c r="AM357" s="957">
        <v>2.85124E-2</v>
      </c>
      <c r="AN357" s="290">
        <v>0</v>
      </c>
      <c r="AO357" s="290">
        <v>246.58992377000001</v>
      </c>
      <c r="AP357" s="290">
        <v>0</v>
      </c>
      <c r="AQ357" s="290">
        <v>0</v>
      </c>
      <c r="AR357" s="290">
        <v>401.27272341000003</v>
      </c>
      <c r="AS357" s="290">
        <v>338</v>
      </c>
      <c r="AT357" s="290">
        <v>46</v>
      </c>
      <c r="AU357" s="290">
        <v>6</v>
      </c>
      <c r="AV357" s="766">
        <v>69286</v>
      </c>
      <c r="AW357" s="290"/>
      <c r="AX357" s="766">
        <v>3.1250499999999999</v>
      </c>
      <c r="AY357" s="290">
        <v>192</v>
      </c>
      <c r="AZ357" s="290">
        <v>80</v>
      </c>
      <c r="BA357" s="290">
        <v>20</v>
      </c>
      <c r="BB357" s="290">
        <v>13068</v>
      </c>
      <c r="BC357" s="290">
        <v>1904</v>
      </c>
      <c r="BD357" s="290"/>
      <c r="BE357" s="290">
        <v>68268.861607700004</v>
      </c>
      <c r="BF357" s="290">
        <v>0</v>
      </c>
      <c r="BG357" s="290">
        <v>771.31645060983135</v>
      </c>
      <c r="BH357" s="290">
        <v>41.556641420611321</v>
      </c>
      <c r="BI357" s="290">
        <v>114</v>
      </c>
      <c r="BJ357" s="290"/>
      <c r="BK357" s="290"/>
      <c r="BL357" s="290"/>
      <c r="BM357" s="290">
        <v>0</v>
      </c>
      <c r="BN357" s="290">
        <v>469.20085999999998</v>
      </c>
      <c r="BO357" s="290">
        <v>-408.17538517075246</v>
      </c>
      <c r="BP357" s="290">
        <v>26.298999999999999</v>
      </c>
      <c r="BQ357" s="290">
        <v>-14.103999999999999</v>
      </c>
      <c r="BR357" s="290">
        <v>-19.563474829247525</v>
      </c>
      <c r="BS357" s="290">
        <v>0.34300000000000003</v>
      </c>
      <c r="BT357" s="290"/>
      <c r="BU357" s="290">
        <v>0</v>
      </c>
      <c r="BV357" s="290">
        <v>500</v>
      </c>
      <c r="BW357" s="290">
        <v>-201</v>
      </c>
      <c r="BX357" s="290">
        <v>124</v>
      </c>
      <c r="BY357" s="290">
        <v>26</v>
      </c>
      <c r="BZ357" s="290">
        <v>-153</v>
      </c>
      <c r="CA357" s="290">
        <v>0</v>
      </c>
      <c r="CB357" s="290">
        <v>41</v>
      </c>
      <c r="CC357" s="290">
        <v>114</v>
      </c>
      <c r="CD357" s="290">
        <v>2</v>
      </c>
      <c r="CE357" s="290">
        <v>31</v>
      </c>
      <c r="CF357" s="290">
        <v>3</v>
      </c>
      <c r="CG357" s="290">
        <v>0</v>
      </c>
      <c r="CH357" s="290">
        <v>-2</v>
      </c>
      <c r="CI357" s="290">
        <v>-380</v>
      </c>
      <c r="CJ357" s="290">
        <v>-1052</v>
      </c>
      <c r="CK357" s="290">
        <f>+innut22!E363+innut22!S363</f>
        <v>23310.917268421759</v>
      </c>
      <c r="CL357" s="290">
        <v>0</v>
      </c>
      <c r="CM357" s="290">
        <v>0</v>
      </c>
      <c r="CN357" s="290">
        <v>0</v>
      </c>
      <c r="CP357" s="290">
        <f>+innut23!E363</f>
        <v>21812.032176318946</v>
      </c>
      <c r="CQ357" s="290"/>
      <c r="CV357" s="85">
        <f t="shared" si="6"/>
        <v>0.16200000000000001</v>
      </c>
    </row>
    <row r="358" spans="1:100" ht="13">
      <c r="A358" s="1">
        <v>5443</v>
      </c>
      <c r="B358" s="2" t="s">
        <v>258</v>
      </c>
      <c r="C358" s="289">
        <v>2165</v>
      </c>
      <c r="D358" s="290">
        <v>49</v>
      </c>
      <c r="E358" s="290">
        <v>79</v>
      </c>
      <c r="F358" s="290">
        <v>211</v>
      </c>
      <c r="G358" s="290">
        <v>175</v>
      </c>
      <c r="H358" s="290">
        <v>1300</v>
      </c>
      <c r="I358" s="290">
        <v>271</v>
      </c>
      <c r="J358" s="290">
        <v>66</v>
      </c>
      <c r="K358" s="290">
        <v>14</v>
      </c>
      <c r="L358" s="290">
        <v>20</v>
      </c>
      <c r="M358" s="290">
        <v>161</v>
      </c>
      <c r="N358" s="290">
        <v>32</v>
      </c>
      <c r="O358" s="290">
        <v>48</v>
      </c>
      <c r="P358" s="624">
        <v>3124.0120000000002</v>
      </c>
      <c r="Q358" s="624">
        <v>2891.7266666700002</v>
      </c>
      <c r="R358" s="624">
        <v>9</v>
      </c>
      <c r="S358" s="290">
        <v>38</v>
      </c>
      <c r="T358" s="290">
        <v>235</v>
      </c>
      <c r="U358" s="958">
        <v>2.0905592199033408E-4</v>
      </c>
      <c r="V358" s="290">
        <v>1239.5227236000001</v>
      </c>
      <c r="W358" s="765">
        <v>1</v>
      </c>
      <c r="X358" s="290">
        <v>884</v>
      </c>
      <c r="Y358" s="290"/>
      <c r="Z358" s="290">
        <f>innut22!E364</f>
        <v>68429.646964603933</v>
      </c>
      <c r="AA358" s="290">
        <v>0</v>
      </c>
      <c r="AB358" s="290">
        <v>51</v>
      </c>
      <c r="AC358" s="290">
        <v>588</v>
      </c>
      <c r="AD358" s="290"/>
      <c r="AE358" s="290">
        <v>0</v>
      </c>
      <c r="AF358" s="290">
        <v>0</v>
      </c>
      <c r="AG358" s="290">
        <v>2165</v>
      </c>
      <c r="AH358" s="290">
        <v>342</v>
      </c>
      <c r="AI358" s="290">
        <v>0</v>
      </c>
      <c r="AJ358" s="290">
        <v>0</v>
      </c>
      <c r="AK358" s="290">
        <v>0</v>
      </c>
      <c r="AL358" s="290">
        <v>19175</v>
      </c>
      <c r="AM358" s="957">
        <v>0.20696281</v>
      </c>
      <c r="AN358" s="290">
        <v>0</v>
      </c>
      <c r="AO358" s="290">
        <v>462.75455843999998</v>
      </c>
      <c r="AP358" s="290">
        <v>0</v>
      </c>
      <c r="AQ358" s="290">
        <v>0</v>
      </c>
      <c r="AR358" s="290">
        <v>-104.44099039</v>
      </c>
      <c r="AS358" s="290">
        <v>429</v>
      </c>
      <c r="AT358" s="290">
        <v>106</v>
      </c>
      <c r="AU358" s="290">
        <v>50</v>
      </c>
      <c r="AV358" s="766">
        <v>100329</v>
      </c>
      <c r="AW358" s="290"/>
      <c r="AX358" s="766">
        <v>23.083300000000001</v>
      </c>
      <c r="AY358" s="290">
        <v>277</v>
      </c>
      <c r="AZ358" s="290">
        <v>189</v>
      </c>
      <c r="BA358" s="290">
        <v>56</v>
      </c>
      <c r="BB358" s="290">
        <v>10455</v>
      </c>
      <c r="BC358" s="290">
        <v>3914</v>
      </c>
      <c r="BD358" s="290"/>
      <c r="BE358" s="290">
        <v>101855.69750527</v>
      </c>
      <c r="BF358" s="290">
        <v>0</v>
      </c>
      <c r="BG358" s="290">
        <v>1955.3865521900293</v>
      </c>
      <c r="BH358" s="290">
        <v>105.35143873023831</v>
      </c>
      <c r="BI358" s="290">
        <v>930</v>
      </c>
      <c r="BJ358" s="290"/>
      <c r="BK358" s="290"/>
      <c r="BL358" s="290"/>
      <c r="BM358" s="290">
        <v>0</v>
      </c>
      <c r="BN358" s="290">
        <v>880.50977999999998</v>
      </c>
      <c r="BO358" s="290">
        <v>-1008.7896220258893</v>
      </c>
      <c r="BP358" s="290">
        <v>109.73</v>
      </c>
      <c r="BQ358" s="290">
        <v>-58.847999999999999</v>
      </c>
      <c r="BR358" s="290">
        <v>-37.822367687153573</v>
      </c>
      <c r="BS358" s="290">
        <v>0.52100000000000002</v>
      </c>
      <c r="BT358" s="290"/>
      <c r="BU358" s="290">
        <v>0</v>
      </c>
      <c r="BV358" s="290">
        <v>500</v>
      </c>
      <c r="BW358" s="290">
        <v>-497</v>
      </c>
      <c r="BX358" s="290">
        <v>246</v>
      </c>
      <c r="BY358" s="290">
        <v>100</v>
      </c>
      <c r="BZ358" s="290">
        <v>-378</v>
      </c>
      <c r="CA358" s="290">
        <v>-2.3007902869570671</v>
      </c>
      <c r="CB358" s="290">
        <v>161</v>
      </c>
      <c r="CC358" s="290">
        <v>282</v>
      </c>
      <c r="CD358" s="290">
        <v>6</v>
      </c>
      <c r="CE358" s="290">
        <v>80</v>
      </c>
      <c r="CF358" s="290">
        <v>4</v>
      </c>
      <c r="CG358" s="290">
        <v>0</v>
      </c>
      <c r="CH358" s="290">
        <v>-3</v>
      </c>
      <c r="CI358" s="290">
        <v>-964</v>
      </c>
      <c r="CJ358" s="290">
        <v>-2617</v>
      </c>
      <c r="CK358" s="290">
        <f>+innut22!E364+innut22!S364</f>
        <v>68429.646964603933</v>
      </c>
      <c r="CL358" s="290">
        <v>0</v>
      </c>
      <c r="CM358" s="290">
        <v>0</v>
      </c>
      <c r="CN358" s="290">
        <v>0</v>
      </c>
      <c r="CP358" s="290">
        <f>+innut23!E364</f>
        <v>65156.822175402282</v>
      </c>
      <c r="CQ358" s="290"/>
      <c r="CV358" s="85">
        <f t="shared" si="6"/>
        <v>0.40100000000000002</v>
      </c>
    </row>
    <row r="359" spans="1:100" ht="13">
      <c r="A359" s="1">
        <v>5444</v>
      </c>
      <c r="B359" s="2" t="s">
        <v>260</v>
      </c>
      <c r="C359" s="289">
        <v>9925</v>
      </c>
      <c r="D359" s="290">
        <v>175</v>
      </c>
      <c r="E359" s="290">
        <v>349</v>
      </c>
      <c r="F359" s="290">
        <v>1051</v>
      </c>
      <c r="G359" s="290">
        <v>877</v>
      </c>
      <c r="H359" s="290">
        <v>5849</v>
      </c>
      <c r="I359" s="290">
        <v>1220</v>
      </c>
      <c r="J359" s="290">
        <v>385</v>
      </c>
      <c r="K359" s="290">
        <v>75</v>
      </c>
      <c r="L359" s="290">
        <v>87</v>
      </c>
      <c r="M359" s="290">
        <v>816</v>
      </c>
      <c r="N359" s="290">
        <v>167</v>
      </c>
      <c r="O359" s="290">
        <v>114</v>
      </c>
      <c r="P359" s="624">
        <v>84589.715333329994</v>
      </c>
      <c r="Q359" s="624">
        <v>37374.838000000003</v>
      </c>
      <c r="R359" s="624">
        <v>26</v>
      </c>
      <c r="S359" s="290">
        <v>127</v>
      </c>
      <c r="T359" s="290">
        <v>1014</v>
      </c>
      <c r="U359" s="958">
        <v>1.3937339748166149E-3</v>
      </c>
      <c r="V359" s="290">
        <v>4979.3681853400003</v>
      </c>
      <c r="W359" s="765">
        <v>0.67364489000000005</v>
      </c>
      <c r="X359" s="290">
        <v>762</v>
      </c>
      <c r="Y359" s="290"/>
      <c r="Z359" s="290">
        <f>innut22!E365</f>
        <v>319708.8474111117</v>
      </c>
      <c r="AA359" s="290">
        <v>0</v>
      </c>
      <c r="AB359" s="290">
        <v>244</v>
      </c>
      <c r="AC359" s="290">
        <v>1650</v>
      </c>
      <c r="AD359" s="290"/>
      <c r="AE359" s="290">
        <v>0</v>
      </c>
      <c r="AF359" s="290">
        <v>0</v>
      </c>
      <c r="AG359" s="290">
        <v>9981</v>
      </c>
      <c r="AH359" s="290">
        <v>1571</v>
      </c>
      <c r="AI359" s="290">
        <v>1000</v>
      </c>
      <c r="AJ359" s="290">
        <v>0</v>
      </c>
      <c r="AK359" s="290">
        <v>0</v>
      </c>
      <c r="AL359" s="290">
        <v>88058</v>
      </c>
      <c r="AM359" s="957">
        <v>0.26677033</v>
      </c>
      <c r="AN359" s="290">
        <v>0</v>
      </c>
      <c r="AO359" s="290">
        <v>1897.7136960099999</v>
      </c>
      <c r="AP359" s="290">
        <v>0</v>
      </c>
      <c r="AQ359" s="290">
        <v>0</v>
      </c>
      <c r="AR359" s="290">
        <v>2992.07582877</v>
      </c>
      <c r="AS359" s="290">
        <v>3300</v>
      </c>
      <c r="AT359" s="290">
        <v>510</v>
      </c>
      <c r="AU359" s="290">
        <v>111</v>
      </c>
      <c r="AV359" s="766">
        <v>349768</v>
      </c>
      <c r="AW359" s="290"/>
      <c r="AX359" s="766">
        <v>64.75</v>
      </c>
      <c r="AY359" s="290">
        <v>2497</v>
      </c>
      <c r="AZ359" s="290">
        <v>481</v>
      </c>
      <c r="BA359" s="290">
        <v>227</v>
      </c>
      <c r="BB359" s="290">
        <v>0</v>
      </c>
      <c r="BC359" s="290">
        <v>16707</v>
      </c>
      <c r="BD359" s="290"/>
      <c r="BE359" s="290">
        <v>344372.51541246998</v>
      </c>
      <c r="BF359" s="290">
        <v>0</v>
      </c>
      <c r="BG359" s="290">
        <v>8964.0699909866235</v>
      </c>
      <c r="BH359" s="290">
        <v>482.96213828989153</v>
      </c>
      <c r="BI359" s="290">
        <v>3221</v>
      </c>
      <c r="BJ359" s="290"/>
      <c r="BK359" s="290"/>
      <c r="BL359" s="290"/>
      <c r="BM359" s="290">
        <v>0</v>
      </c>
      <c r="BN359" s="290">
        <v>3610.8892799999999</v>
      </c>
      <c r="BO359" s="290">
        <v>-4650.6832413119637</v>
      </c>
      <c r="BP359" s="290">
        <v>483.95400000000001</v>
      </c>
      <c r="BQ359" s="290">
        <v>-259.541</v>
      </c>
      <c r="BR359" s="290">
        <v>-175.12426141941512</v>
      </c>
      <c r="BS359" s="290">
        <v>1.958</v>
      </c>
      <c r="BT359" s="290"/>
      <c r="BU359" s="290">
        <v>0</v>
      </c>
      <c r="BV359" s="290">
        <v>3500</v>
      </c>
      <c r="BW359" s="290">
        <v>-2292</v>
      </c>
      <c r="BX359" s="290">
        <v>1121</v>
      </c>
      <c r="BY359" s="290">
        <v>331</v>
      </c>
      <c r="BZ359" s="290">
        <v>-1742</v>
      </c>
      <c r="CA359" s="290">
        <v>-6.4527772686210483</v>
      </c>
      <c r="CB359" s="290">
        <v>532</v>
      </c>
      <c r="CC359" s="290">
        <v>1298</v>
      </c>
      <c r="CD359" s="290">
        <v>19</v>
      </c>
      <c r="CE359" s="290">
        <v>366</v>
      </c>
      <c r="CF359" s="290">
        <v>16</v>
      </c>
      <c r="CG359" s="290">
        <v>2</v>
      </c>
      <c r="CH359" s="290">
        <v>-10</v>
      </c>
      <c r="CI359" s="290">
        <v>-4421</v>
      </c>
      <c r="CJ359" s="290">
        <v>-11999</v>
      </c>
      <c r="CK359" s="290">
        <f>+innut22!E365+innut22!S365</f>
        <v>319708.8474111117</v>
      </c>
      <c r="CL359" s="290">
        <v>0</v>
      </c>
      <c r="CM359" s="290">
        <v>0</v>
      </c>
      <c r="CN359" s="290">
        <v>0</v>
      </c>
      <c r="CP359" s="290">
        <f>+innut23!E365</f>
        <v>302811.26259231038</v>
      </c>
      <c r="CQ359" s="290"/>
      <c r="CV359" s="85">
        <f t="shared" si="6"/>
        <v>1.8480000000000001</v>
      </c>
    </row>
    <row r="360" spans="1:100"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89"/>
      <c r="CL360" s="289"/>
      <c r="CM360" s="289"/>
      <c r="CN360" s="289"/>
      <c r="CP360" s="290"/>
      <c r="CQ360" s="290"/>
    </row>
    <row r="361" spans="1:100" ht="13">
      <c r="A361" s="1"/>
      <c r="B361" s="2" t="s">
        <v>261</v>
      </c>
      <c r="C361" s="289">
        <f t="shared" ref="C361:AH361" si="7">SUM(C4:C359)</f>
        <v>5425270</v>
      </c>
      <c r="D361" s="289">
        <f t="shared" si="7"/>
        <v>108843</v>
      </c>
      <c r="E361" s="289">
        <f t="shared" si="7"/>
        <v>232622</v>
      </c>
      <c r="F361" s="289">
        <f t="shared" si="7"/>
        <v>639962</v>
      </c>
      <c r="G361" s="289">
        <f t="shared" si="7"/>
        <v>451409</v>
      </c>
      <c r="H361" s="289">
        <f t="shared" si="7"/>
        <v>3106418</v>
      </c>
      <c r="I361" s="289">
        <f t="shared" si="7"/>
        <v>623431</v>
      </c>
      <c r="J361" s="289">
        <f t="shared" si="7"/>
        <v>192104</v>
      </c>
      <c r="K361" s="289">
        <f t="shared" si="7"/>
        <v>47036</v>
      </c>
      <c r="L361" s="289">
        <f t="shared" si="7"/>
        <v>40469</v>
      </c>
      <c r="M361" s="289">
        <f t="shared" si="7"/>
        <v>377824</v>
      </c>
      <c r="N361" s="290">
        <f t="shared" si="7"/>
        <v>163697.5</v>
      </c>
      <c r="O361" s="289">
        <f t="shared" si="7"/>
        <v>49484</v>
      </c>
      <c r="P361" s="289">
        <f t="shared" si="7"/>
        <v>21146080.194666672</v>
      </c>
      <c r="Q361" s="289">
        <f t="shared" si="7"/>
        <v>9629998.8709999528</v>
      </c>
      <c r="R361" s="289">
        <f t="shared" si="7"/>
        <v>19939</v>
      </c>
      <c r="S361" s="289">
        <f t="shared" si="7"/>
        <v>71700</v>
      </c>
      <c r="T361" s="289">
        <f t="shared" si="7"/>
        <v>502421</v>
      </c>
      <c r="U361" s="958">
        <f t="shared" si="7"/>
        <v>0.99999999999999956</v>
      </c>
      <c r="V361" s="178">
        <f t="shared" si="7"/>
        <v>9.961695468518883E-9</v>
      </c>
      <c r="W361" s="801">
        <f t="shared" si="7"/>
        <v>274.62708669999978</v>
      </c>
      <c r="X361" s="289">
        <f t="shared" si="7"/>
        <v>439740</v>
      </c>
      <c r="Y361" s="289">
        <f t="shared" si="7"/>
        <v>0</v>
      </c>
      <c r="Z361" s="289">
        <f t="shared" si="7"/>
        <v>220000000.00000003</v>
      </c>
      <c r="AA361" s="289">
        <f t="shared" si="7"/>
        <v>-2597</v>
      </c>
      <c r="AB361" s="289">
        <f t="shared" si="7"/>
        <v>119344</v>
      </c>
      <c r="AC361" s="289">
        <f t="shared" si="7"/>
        <v>655000</v>
      </c>
      <c r="AD361" s="289">
        <f t="shared" si="7"/>
        <v>0</v>
      </c>
      <c r="AE361" s="289">
        <f t="shared" si="7"/>
        <v>145756</v>
      </c>
      <c r="AF361" s="289">
        <f t="shared" si="7"/>
        <v>1413402</v>
      </c>
      <c r="AG361" s="289">
        <f t="shared" si="7"/>
        <v>5401825</v>
      </c>
      <c r="AH361" s="289">
        <f t="shared" si="7"/>
        <v>952215</v>
      </c>
      <c r="AI361" s="289">
        <f t="shared" ref="AI361:CJ361" si="8">SUM(AI4:AI359)</f>
        <v>408691.6</v>
      </c>
      <c r="AJ361" s="289">
        <f t="shared" si="8"/>
        <v>5737.8440000000001</v>
      </c>
      <c r="AK361" s="289">
        <f t="shared" si="8"/>
        <v>205800</v>
      </c>
      <c r="AL361" s="289">
        <f t="shared" si="8"/>
        <v>1778977</v>
      </c>
      <c r="AM361" s="617">
        <f t="shared" si="8"/>
        <v>168.87335640000001</v>
      </c>
      <c r="AN361" s="289">
        <f t="shared" si="8"/>
        <v>457548</v>
      </c>
      <c r="AO361" s="289">
        <f t="shared" si="8"/>
        <v>1051105.9999999404</v>
      </c>
      <c r="AP361" s="289">
        <f t="shared" si="8"/>
        <v>608664.6449999999</v>
      </c>
      <c r="AQ361" s="289">
        <f t="shared" si="8"/>
        <v>-10723.292682930001</v>
      </c>
      <c r="AR361" s="289">
        <f t="shared" si="8"/>
        <v>-5.0002654461422935E-8</v>
      </c>
      <c r="AS361" s="176">
        <f t="shared" si="8"/>
        <v>1496806</v>
      </c>
      <c r="AT361" s="289">
        <f t="shared" si="8"/>
        <v>278698</v>
      </c>
      <c r="AU361" s="289">
        <f t="shared" si="8"/>
        <v>57174</v>
      </c>
      <c r="AV361" s="289">
        <f t="shared" si="8"/>
        <v>146455292</v>
      </c>
      <c r="AW361" s="289">
        <f t="shared" si="8"/>
        <v>0</v>
      </c>
      <c r="AX361" s="625">
        <f t="shared" si="8"/>
        <v>38895.041199999985</v>
      </c>
      <c r="AY361" s="289">
        <f t="shared" si="8"/>
        <v>1496396</v>
      </c>
      <c r="AZ361" s="289">
        <f t="shared" si="8"/>
        <v>286977</v>
      </c>
      <c r="BA361" s="289">
        <f t="shared" si="8"/>
        <v>110975</v>
      </c>
      <c r="BB361" s="289">
        <f>SUM(BB4:BB359)</f>
        <v>824949</v>
      </c>
      <c r="BC361" s="289">
        <f t="shared" si="8"/>
        <v>8779711</v>
      </c>
      <c r="BD361" s="289">
        <f t="shared" si="8"/>
        <v>0</v>
      </c>
      <c r="BE361" s="289">
        <f t="shared" si="8"/>
        <v>148727497.00000018</v>
      </c>
      <c r="BF361" s="289">
        <f t="shared" si="8"/>
        <v>-144439</v>
      </c>
      <c r="BG361" s="289">
        <f t="shared" si="8"/>
        <v>4900000</v>
      </c>
      <c r="BH361" s="289">
        <f t="shared" si="8"/>
        <v>263999.99999999994</v>
      </c>
      <c r="BI361" s="289">
        <f t="shared" si="8"/>
        <v>3099781</v>
      </c>
      <c r="BJ361" s="289">
        <f t="shared" si="8"/>
        <v>0</v>
      </c>
      <c r="BK361" s="289">
        <f t="shared" si="8"/>
        <v>0</v>
      </c>
      <c r="BL361" s="289">
        <f t="shared" si="8"/>
        <v>0</v>
      </c>
      <c r="BM361" s="289">
        <f t="shared" si="8"/>
        <v>203375</v>
      </c>
      <c r="BN361" s="289">
        <f t="shared" si="8"/>
        <v>1999999.9998000013</v>
      </c>
      <c r="BO361" s="289">
        <f t="shared" si="8"/>
        <v>-2517000.0000000005</v>
      </c>
      <c r="BP361" s="289">
        <f t="shared" si="8"/>
        <v>314940.01100000029</v>
      </c>
      <c r="BQ361" s="289">
        <f t="shared" si="8"/>
        <v>-168900.003</v>
      </c>
      <c r="BR361" s="289">
        <f t="shared" si="8"/>
        <v>-99800.011799999935</v>
      </c>
      <c r="BS361" s="289">
        <f t="shared" si="8"/>
        <v>980.00399999999888</v>
      </c>
      <c r="BT361" s="289">
        <f t="shared" si="8"/>
        <v>-2643</v>
      </c>
      <c r="BU361" s="289">
        <f t="shared" si="8"/>
        <v>20400</v>
      </c>
      <c r="BV361" s="289">
        <f t="shared" si="8"/>
        <v>1240500</v>
      </c>
      <c r="BW361" s="289">
        <f t="shared" si="8"/>
        <v>-1240500</v>
      </c>
      <c r="BX361" s="289">
        <f t="shared" si="8"/>
        <v>640000</v>
      </c>
      <c r="BY361" s="289">
        <f t="shared" si="8"/>
        <v>187000</v>
      </c>
      <c r="BZ361" s="289">
        <f t="shared" si="8"/>
        <v>-942915</v>
      </c>
      <c r="CA361" s="289">
        <f t="shared" si="8"/>
        <v>-4.5542236648543621E-11</v>
      </c>
      <c r="CB361" s="289">
        <f t="shared" si="8"/>
        <v>300000</v>
      </c>
      <c r="CC361" s="289">
        <f t="shared" si="8"/>
        <v>702450</v>
      </c>
      <c r="CD361" s="289">
        <f t="shared" si="8"/>
        <v>11000</v>
      </c>
      <c r="CE361" s="289">
        <f t="shared" si="8"/>
        <v>200000</v>
      </c>
      <c r="CF361" s="289">
        <f t="shared" si="8"/>
        <v>8000</v>
      </c>
      <c r="CG361" s="289">
        <f t="shared" si="8"/>
        <v>1050</v>
      </c>
      <c r="CH361" s="289">
        <f t="shared" si="8"/>
        <v>-5200</v>
      </c>
      <c r="CI361" s="289">
        <f t="shared" si="8"/>
        <v>-2416375</v>
      </c>
      <c r="CJ361" s="289">
        <f t="shared" si="8"/>
        <v>-7249125</v>
      </c>
      <c r="CK361" s="289">
        <f t="shared" ref="CK361:CQ361" si="9">SUM(CK4:CK360)</f>
        <v>220017000.00000003</v>
      </c>
      <c r="CL361" s="289">
        <f t="shared" si="9"/>
        <v>237199.99999999994</v>
      </c>
      <c r="CM361" s="289">
        <f t="shared" si="9"/>
        <v>268600.00000000012</v>
      </c>
      <c r="CN361" s="289">
        <f t="shared" si="9"/>
        <v>300000.00000000006</v>
      </c>
      <c r="CO361" s="289"/>
      <c r="CP361" s="289">
        <f t="shared" si="9"/>
        <v>200884999.99999997</v>
      </c>
      <c r="CQ361" s="289">
        <f t="shared" si="9"/>
        <v>0</v>
      </c>
      <c r="CR361" s="289"/>
      <c r="CS361" s="289"/>
      <c r="CT361" s="289"/>
      <c r="CU361" s="289"/>
      <c r="CV361" s="289">
        <f>SUM(CV4:CV360)</f>
        <v>999.99699999999928</v>
      </c>
    </row>
    <row r="362" spans="1:100" ht="13">
      <c r="BK362" s="290"/>
    </row>
    <row r="363" spans="1:100" ht="13">
      <c r="N363" s="5"/>
      <c r="O363" s="5"/>
      <c r="AC363" s="5"/>
      <c r="AG363" s="5"/>
      <c r="AJ363" s="5"/>
      <c r="AK363" s="5"/>
      <c r="BE363" s="5"/>
      <c r="BH363" s="5"/>
      <c r="BI363" s="5"/>
      <c r="BJ363" s="5"/>
      <c r="BK363" s="290"/>
      <c r="BL363" s="5"/>
      <c r="BM363" s="5"/>
      <c r="BP363" s="5"/>
      <c r="BS363" s="5"/>
      <c r="BT363" s="5"/>
      <c r="BU363" s="5"/>
      <c r="CK363" s="5"/>
      <c r="CL363" s="5"/>
      <c r="CM363" s="5"/>
      <c r="CN363" s="5"/>
    </row>
    <row r="364" spans="1:100" ht="13">
      <c r="C364" s="5"/>
      <c r="X364" s="5"/>
      <c r="AF364" s="289">
        <f>AF124+AF127</f>
        <v>-19350</v>
      </c>
      <c r="BI364" s="5"/>
      <c r="BL364" s="5"/>
      <c r="BN364" s="5"/>
      <c r="BO364" s="5"/>
      <c r="BP364" s="5"/>
      <c r="BQ364" s="5"/>
      <c r="BU364" s="5"/>
      <c r="CJ364" s="5"/>
      <c r="CK364" s="5"/>
      <c r="CL364" s="5"/>
      <c r="CM364" s="5"/>
      <c r="CN364" s="5"/>
    </row>
    <row r="365" spans="1:100" ht="13">
      <c r="AF365" s="289">
        <f>+AF361-AF364</f>
        <v>1432752</v>
      </c>
      <c r="AJ365" s="5">
        <f>+S361+AJ361</f>
        <v>77437.843999999997</v>
      </c>
      <c r="BE365" s="5"/>
      <c r="BL365" s="5"/>
      <c r="BU365" s="5"/>
      <c r="CK365" s="5"/>
      <c r="CL365" s="5"/>
      <c r="CM365" s="5"/>
      <c r="CN365" s="5"/>
    </row>
    <row r="366" spans="1:100">
      <c r="BJ366" s="5"/>
      <c r="BM366" s="5"/>
      <c r="CJ366" s="5"/>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BJ4" activePane="bottomRight" state="frozen"/>
      <selection activeCell="J9" sqref="J9"/>
      <selection pane="topRight" activeCell="J9" sqref="J9"/>
      <selection pane="bottomLeft" activeCell="J9" sqref="J9"/>
      <selection pane="bottomRight" activeCell="BJ4" sqref="BJ4:BJ359"/>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3" width="17" customWidth="1"/>
    <col min="94" max="95" width="19" customWidth="1"/>
  </cols>
  <sheetData>
    <row r="1" spans="1:106" s="85" customFormat="1">
      <c r="A1"/>
      <c r="B1" s="74" t="s">
        <v>719</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f>+AF28*4/5</f>
        <v>7456.8</v>
      </c>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c r="CP1" s="1181"/>
      <c r="CQ1" s="1181"/>
    </row>
    <row r="2" spans="1:106" s="85" customFormat="1" ht="80.25" customHeight="1">
      <c r="A2" s="120" t="s">
        <v>775</v>
      </c>
      <c r="B2" s="120" t="s">
        <v>776</v>
      </c>
      <c r="C2" s="122" t="s">
        <v>2542</v>
      </c>
      <c r="D2" s="120" t="s">
        <v>1004</v>
      </c>
      <c r="E2" s="120" t="s">
        <v>1005</v>
      </c>
      <c r="F2" s="120" t="s">
        <v>777</v>
      </c>
      <c r="G2" s="120" t="s">
        <v>163</v>
      </c>
      <c r="H2" s="120" t="s">
        <v>158</v>
      </c>
      <c r="I2" s="120" t="s">
        <v>723</v>
      </c>
      <c r="J2" s="120" t="s">
        <v>724</v>
      </c>
      <c r="K2" s="120" t="s">
        <v>265</v>
      </c>
      <c r="L2" s="120" t="s">
        <v>726</v>
      </c>
      <c r="M2" s="120" t="s">
        <v>727</v>
      </c>
      <c r="N2" s="122" t="s">
        <v>757</v>
      </c>
      <c r="O2" s="122" t="s">
        <v>2231</v>
      </c>
      <c r="P2" s="120" t="s">
        <v>348</v>
      </c>
      <c r="Q2" s="120" t="s">
        <v>347</v>
      </c>
      <c r="R2" s="120" t="s">
        <v>264</v>
      </c>
      <c r="S2" s="122"/>
      <c r="T2" s="122" t="s">
        <v>1120</v>
      </c>
      <c r="U2" s="122" t="s">
        <v>747</v>
      </c>
      <c r="V2" s="122" t="s">
        <v>768</v>
      </c>
      <c r="W2" s="122" t="s">
        <v>1938</v>
      </c>
      <c r="X2" s="122" t="s">
        <v>269</v>
      </c>
      <c r="Y2" s="122"/>
      <c r="Z2" s="122" t="s">
        <v>2543</v>
      </c>
      <c r="AA2" s="122" t="s">
        <v>2281</v>
      </c>
      <c r="AB2" s="122" t="s">
        <v>759</v>
      </c>
      <c r="AC2" s="120" t="s">
        <v>2282</v>
      </c>
      <c r="AD2" s="120"/>
      <c r="AE2" s="122" t="s">
        <v>917</v>
      </c>
      <c r="AF2" s="122" t="s">
        <v>1064</v>
      </c>
      <c r="AG2" s="122" t="s">
        <v>2544</v>
      </c>
      <c r="AH2" s="122" t="s">
        <v>1024</v>
      </c>
      <c r="AI2" s="122" t="s">
        <v>259</v>
      </c>
      <c r="AJ2" s="122" t="s">
        <v>2566</v>
      </c>
      <c r="AK2" s="122" t="s">
        <v>1940</v>
      </c>
      <c r="AL2" s="122" t="s">
        <v>2279</v>
      </c>
      <c r="AM2" s="120" t="s">
        <v>758</v>
      </c>
      <c r="AN2" s="122" t="s">
        <v>2280</v>
      </c>
      <c r="AO2" s="122" t="s">
        <v>1945</v>
      </c>
      <c r="AP2" s="122" t="s">
        <v>11</v>
      </c>
      <c r="AQ2" s="122" t="s">
        <v>1179</v>
      </c>
      <c r="AR2" s="122" t="s">
        <v>2636</v>
      </c>
      <c r="AS2" s="122" t="s">
        <v>1946</v>
      </c>
      <c r="AT2" s="122" t="s">
        <v>977</v>
      </c>
      <c r="AU2" s="122" t="s">
        <v>978</v>
      </c>
      <c r="AV2" s="122" t="s">
        <v>2633</v>
      </c>
      <c r="AW2" s="122" t="s">
        <v>2630</v>
      </c>
      <c r="AX2" s="120" t="s">
        <v>1002</v>
      </c>
      <c r="AY2" s="122" t="s">
        <v>161</v>
      </c>
      <c r="AZ2" s="122" t="s">
        <v>975</v>
      </c>
      <c r="BA2" s="122" t="s">
        <v>159</v>
      </c>
      <c r="BB2" s="122" t="s">
        <v>1428</v>
      </c>
      <c r="BC2" s="122" t="s">
        <v>2545</v>
      </c>
      <c r="BD2" s="122" t="s">
        <v>2632</v>
      </c>
      <c r="BE2" s="122" t="s">
        <v>2635</v>
      </c>
      <c r="BF2" s="122" t="s">
        <v>1169</v>
      </c>
      <c r="BG2" s="122" t="s">
        <v>2626</v>
      </c>
      <c r="BH2" s="122" t="s">
        <v>2634</v>
      </c>
      <c r="BI2" s="122" t="s">
        <v>2546</v>
      </c>
      <c r="BJ2" s="122" t="s">
        <v>2659</v>
      </c>
      <c r="BK2" s="122" t="s">
        <v>2661</v>
      </c>
      <c r="BL2" s="122"/>
      <c r="BM2" s="122" t="s">
        <v>2547</v>
      </c>
      <c r="BN2" s="122" t="s">
        <v>2333</v>
      </c>
      <c r="BO2" s="122"/>
      <c r="BP2" s="122"/>
      <c r="BQ2" s="122"/>
      <c r="BR2" s="122"/>
      <c r="BS2" s="122"/>
      <c r="BT2" s="122"/>
      <c r="BU2" s="122"/>
      <c r="BV2" s="122"/>
      <c r="BW2" s="122"/>
      <c r="BX2" s="122"/>
      <c r="BY2" s="122"/>
      <c r="BZ2" s="122"/>
      <c r="CA2" s="122"/>
      <c r="CB2" s="122"/>
      <c r="CC2" s="122"/>
      <c r="CD2" s="122"/>
      <c r="CE2" s="122"/>
      <c r="CF2" s="122"/>
      <c r="CG2" s="122"/>
      <c r="CH2" s="122"/>
      <c r="CI2" s="122"/>
      <c r="CJ2" s="122"/>
      <c r="CK2" s="122" t="s">
        <v>2383</v>
      </c>
      <c r="CL2" s="122"/>
      <c r="CM2" s="122" t="s">
        <v>2116</v>
      </c>
      <c r="CN2" s="122" t="s">
        <v>2155</v>
      </c>
      <c r="CO2" s="122"/>
      <c r="CP2" s="1160"/>
      <c r="CQ2" s="1160"/>
    </row>
    <row r="3" spans="1:106" s="85" customFormat="1" ht="13">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956">
        <v>56</v>
      </c>
      <c r="BE3" s="956">
        <v>57</v>
      </c>
      <c r="BF3" s="956">
        <v>58</v>
      </c>
      <c r="BG3" s="956">
        <v>59</v>
      </c>
      <c r="BH3" s="956">
        <v>60</v>
      </c>
      <c r="BI3" s="956">
        <v>61</v>
      </c>
      <c r="BJ3" s="1132">
        <v>62</v>
      </c>
      <c r="BK3" s="1132">
        <v>63</v>
      </c>
      <c r="BL3" s="956">
        <v>64</v>
      </c>
      <c r="BM3" s="956">
        <v>65</v>
      </c>
      <c r="BN3" s="956">
        <v>66</v>
      </c>
      <c r="BO3" s="956">
        <v>67</v>
      </c>
      <c r="BP3" s="956">
        <v>68</v>
      </c>
      <c r="BQ3" s="956">
        <v>69</v>
      </c>
      <c r="BR3" s="956">
        <v>70</v>
      </c>
      <c r="BS3" s="956">
        <v>71</v>
      </c>
      <c r="BT3" s="956">
        <v>72</v>
      </c>
      <c r="BU3" s="956">
        <v>73</v>
      </c>
      <c r="BV3" s="956">
        <v>74</v>
      </c>
      <c r="BW3" s="956">
        <v>75</v>
      </c>
      <c r="BX3" s="956">
        <v>76</v>
      </c>
      <c r="BY3" s="956">
        <v>77</v>
      </c>
      <c r="BZ3" s="956">
        <v>78</v>
      </c>
      <c r="CA3" s="956">
        <v>79</v>
      </c>
      <c r="CB3" s="956">
        <v>80</v>
      </c>
      <c r="CC3" s="956">
        <v>81</v>
      </c>
      <c r="CD3" s="956">
        <v>82</v>
      </c>
      <c r="CE3" s="956">
        <v>83</v>
      </c>
      <c r="CF3" s="956">
        <v>84</v>
      </c>
      <c r="CG3" s="956">
        <v>85</v>
      </c>
      <c r="CH3" s="956">
        <v>86</v>
      </c>
      <c r="CI3" s="956">
        <v>87</v>
      </c>
      <c r="CJ3" s="956">
        <v>88</v>
      </c>
      <c r="CK3" s="956">
        <v>89</v>
      </c>
      <c r="CL3" s="956">
        <v>90</v>
      </c>
      <c r="CM3" s="1077">
        <v>91</v>
      </c>
      <c r="CN3" s="1077">
        <f t="shared" ref="CN3" si="0">CM3+1</f>
        <v>92</v>
      </c>
      <c r="CO3" s="956"/>
      <c r="CP3" s="956"/>
      <c r="CQ3" s="956"/>
    </row>
    <row r="4" spans="1:106" s="85" customFormat="1" ht="13">
      <c r="A4" s="1">
        <v>301</v>
      </c>
      <c r="B4" s="2" t="s">
        <v>823</v>
      </c>
      <c r="C4" s="289"/>
      <c r="D4" s="290">
        <v>16942</v>
      </c>
      <c r="E4" s="290">
        <v>30009</v>
      </c>
      <c r="F4" s="290">
        <v>72059</v>
      </c>
      <c r="G4" s="290">
        <v>51520</v>
      </c>
      <c r="H4" s="290">
        <v>453175</v>
      </c>
      <c r="I4" s="290">
        <v>58367</v>
      </c>
      <c r="J4" s="290">
        <v>17102</v>
      </c>
      <c r="K4" s="290">
        <v>4828</v>
      </c>
      <c r="L4" s="290">
        <v>5189</v>
      </c>
      <c r="M4" s="290">
        <v>41611</v>
      </c>
      <c r="N4" s="290">
        <v>37005</v>
      </c>
      <c r="O4" s="290">
        <v>6353</v>
      </c>
      <c r="P4" s="624">
        <v>1476290.7433333001</v>
      </c>
      <c r="Q4" s="624">
        <v>580119.19099999999</v>
      </c>
      <c r="R4" s="624">
        <v>1725</v>
      </c>
      <c r="S4" s="290"/>
      <c r="T4" s="290">
        <v>93216</v>
      </c>
      <c r="U4" s="958">
        <v>8.3677470080074793E-4</v>
      </c>
      <c r="V4" s="290">
        <v>-61946.744567009999</v>
      </c>
      <c r="W4" s="765">
        <v>0.51885287000000002</v>
      </c>
      <c r="X4" s="290">
        <v>0</v>
      </c>
      <c r="Y4" s="290"/>
      <c r="Z4" s="290">
        <f>+innut23!E10</f>
        <v>35363742.188434847</v>
      </c>
      <c r="AA4" s="290">
        <v>0</v>
      </c>
      <c r="AB4" s="290">
        <v>10120</v>
      </c>
      <c r="AC4" s="290">
        <v>0</v>
      </c>
      <c r="AD4" s="290"/>
      <c r="AE4" s="290">
        <v>0</v>
      </c>
      <c r="AF4" s="290">
        <v>0</v>
      </c>
      <c r="AG4" s="290">
        <v>704002</v>
      </c>
      <c r="AH4" s="290">
        <v>116366</v>
      </c>
      <c r="AI4" s="290"/>
      <c r="AJ4" s="290"/>
      <c r="AK4" s="290">
        <v>0</v>
      </c>
      <c r="AL4" s="290">
        <v>0</v>
      </c>
      <c r="AM4" s="957">
        <v>73.697230989999994</v>
      </c>
      <c r="AN4" s="290">
        <v>0</v>
      </c>
      <c r="AO4" s="290">
        <v>290646.99152714002</v>
      </c>
      <c r="AP4" s="290">
        <v>285529</v>
      </c>
      <c r="AQ4" s="290">
        <v>0</v>
      </c>
      <c r="AR4" s="290">
        <v>-28891.260518229999</v>
      </c>
      <c r="AS4" s="290">
        <v>1541067</v>
      </c>
      <c r="AT4" s="290">
        <v>35308</v>
      </c>
      <c r="AU4" s="290">
        <v>16178</v>
      </c>
      <c r="AV4" s="766">
        <v>13432753</v>
      </c>
      <c r="AW4" s="290">
        <v>0</v>
      </c>
      <c r="AX4" s="766">
        <v>6420.9583000000002</v>
      </c>
      <c r="AY4" s="290">
        <v>296425</v>
      </c>
      <c r="AZ4" s="290">
        <v>63188</v>
      </c>
      <c r="BA4" s="290">
        <v>12889</v>
      </c>
      <c r="BB4" s="290">
        <v>0</v>
      </c>
      <c r="BC4" s="290">
        <v>40321</v>
      </c>
      <c r="BD4" s="290"/>
      <c r="BE4" s="290">
        <v>16493551.018812999</v>
      </c>
      <c r="BF4" s="290">
        <v>-192339</v>
      </c>
      <c r="BG4" s="290">
        <v>0</v>
      </c>
      <c r="BH4" s="290">
        <v>-118312</v>
      </c>
      <c r="BI4" s="290">
        <v>-790</v>
      </c>
      <c r="BJ4" s="290">
        <v>75570.93905164476</v>
      </c>
      <c r="BK4" s="290">
        <f>1865-4</f>
        <v>1861</v>
      </c>
      <c r="BL4" s="290"/>
      <c r="BM4" s="290">
        <v>0</v>
      </c>
      <c r="BN4" s="290">
        <v>75183</v>
      </c>
      <c r="BO4" s="290"/>
      <c r="BP4" s="290"/>
      <c r="BQ4" s="290"/>
      <c r="BR4" s="290"/>
      <c r="BS4" s="290"/>
      <c r="BT4" s="290"/>
      <c r="BU4" s="290"/>
      <c r="BV4" s="290"/>
      <c r="BW4" s="290"/>
      <c r="BX4" s="290"/>
      <c r="BY4" s="290"/>
      <c r="BZ4" s="290"/>
      <c r="CA4" s="290"/>
      <c r="CB4" s="290"/>
      <c r="CC4" s="290"/>
      <c r="CD4" s="290"/>
      <c r="CE4" s="290"/>
      <c r="CF4" s="290"/>
      <c r="CG4" s="290"/>
      <c r="CH4" s="290"/>
      <c r="CI4" s="290"/>
      <c r="CJ4" s="290"/>
      <c r="CK4" s="290">
        <f>+innut23!E10+innut23!S10</f>
        <v>35363742.188434847</v>
      </c>
      <c r="CL4" s="290"/>
      <c r="CM4" s="290">
        <v>0</v>
      </c>
      <c r="CN4" s="290">
        <v>0</v>
      </c>
      <c r="CO4" s="290"/>
      <c r="CP4" s="290"/>
      <c r="CQ4" s="290"/>
      <c r="CX4" s="517">
        <f>(BV4)*1.029</f>
        <v>0</v>
      </c>
      <c r="DB4" s="85">
        <f>ROUND(1000*AG4/AG$361,3)</f>
        <v>129.03800000000001</v>
      </c>
    </row>
    <row r="5" spans="1:106" s="85" customFormat="1" ht="13">
      <c r="A5" s="1">
        <v>1101</v>
      </c>
      <c r="B5" s="2" t="s">
        <v>958</v>
      </c>
      <c r="C5" s="289"/>
      <c r="D5" s="290">
        <v>310</v>
      </c>
      <c r="E5" s="290">
        <v>667</v>
      </c>
      <c r="F5" s="290">
        <v>1916</v>
      </c>
      <c r="G5" s="290">
        <v>1306</v>
      </c>
      <c r="H5" s="290">
        <v>8212</v>
      </c>
      <c r="I5" s="290">
        <v>1851</v>
      </c>
      <c r="J5" s="290">
        <v>567</v>
      </c>
      <c r="K5" s="290">
        <v>115</v>
      </c>
      <c r="L5" s="290">
        <v>115</v>
      </c>
      <c r="M5" s="290">
        <v>1027</v>
      </c>
      <c r="N5" s="290">
        <v>362</v>
      </c>
      <c r="O5" s="290">
        <v>127</v>
      </c>
      <c r="P5" s="624">
        <v>59002.710333329997</v>
      </c>
      <c r="Q5" s="624">
        <v>27733.982</v>
      </c>
      <c r="R5" s="624">
        <v>76</v>
      </c>
      <c r="S5" s="290"/>
      <c r="T5" s="290">
        <v>1175</v>
      </c>
      <c r="U5" s="958">
        <v>3.6755757749144897E-3</v>
      </c>
      <c r="V5" s="290">
        <v>-2780.47745485</v>
      </c>
      <c r="W5" s="765">
        <v>0.57576170000000004</v>
      </c>
      <c r="X5" s="290">
        <v>2500</v>
      </c>
      <c r="Y5" s="290"/>
      <c r="Z5" s="290">
        <f>+innut23!E11</f>
        <v>550337.21480567323</v>
      </c>
      <c r="AA5" s="290">
        <v>0</v>
      </c>
      <c r="AB5" s="290">
        <v>448</v>
      </c>
      <c r="AC5" s="290">
        <v>4186</v>
      </c>
      <c r="AD5" s="290"/>
      <c r="AE5" s="290">
        <v>0</v>
      </c>
      <c r="AF5" s="290">
        <v>0</v>
      </c>
      <c r="AG5" s="290">
        <v>14944</v>
      </c>
      <c r="AH5" s="290">
        <v>2891</v>
      </c>
      <c r="AI5" s="290"/>
      <c r="AJ5" s="290"/>
      <c r="AK5" s="290">
        <v>0</v>
      </c>
      <c r="AL5" s="290">
        <v>0</v>
      </c>
      <c r="AM5" s="957">
        <v>0.27497558999999999</v>
      </c>
      <c r="AN5" s="290">
        <v>0</v>
      </c>
      <c r="AO5" s="290">
        <v>6847.7479278399996</v>
      </c>
      <c r="AP5" s="290">
        <v>0</v>
      </c>
      <c r="AQ5" s="290">
        <v>0</v>
      </c>
      <c r="AR5" s="290">
        <v>-613.28092418000006</v>
      </c>
      <c r="AS5" s="290">
        <v>22859</v>
      </c>
      <c r="AT5" s="290">
        <v>759</v>
      </c>
      <c r="AU5" s="290">
        <v>160</v>
      </c>
      <c r="AV5" s="766">
        <v>384441</v>
      </c>
      <c r="AW5" s="290">
        <v>0</v>
      </c>
      <c r="AX5" s="766">
        <v>87.375</v>
      </c>
      <c r="AY5" s="290">
        <v>2884</v>
      </c>
      <c r="AZ5" s="290">
        <v>500</v>
      </c>
      <c r="BA5" s="290">
        <v>244</v>
      </c>
      <c r="BB5" s="290">
        <v>0</v>
      </c>
      <c r="BC5" s="290">
        <v>9714</v>
      </c>
      <c r="BD5" s="290"/>
      <c r="BE5" s="290">
        <v>451420.07886329002</v>
      </c>
      <c r="BF5" s="290">
        <v>0</v>
      </c>
      <c r="BG5" s="290">
        <v>0</v>
      </c>
      <c r="BH5" s="290">
        <v>-2497</v>
      </c>
      <c r="BI5" s="290">
        <v>11225</v>
      </c>
      <c r="BJ5" s="290">
        <v>2036.8210213449752</v>
      </c>
      <c r="BK5" s="290">
        <v>23</v>
      </c>
      <c r="BL5" s="290"/>
      <c r="BM5" s="290">
        <v>0</v>
      </c>
      <c r="BN5" s="290">
        <v>4148</v>
      </c>
      <c r="BO5" s="290"/>
      <c r="BP5" s="290"/>
      <c r="BQ5" s="290"/>
      <c r="BR5" s="290"/>
      <c r="BS5" s="290"/>
      <c r="BT5" s="290"/>
      <c r="BU5" s="290"/>
      <c r="BV5" s="290"/>
      <c r="BW5" s="290"/>
      <c r="BX5" s="290"/>
      <c r="BY5" s="290"/>
      <c r="BZ5" s="290"/>
      <c r="CA5" s="290"/>
      <c r="CB5" s="290"/>
      <c r="CC5" s="290"/>
      <c r="CD5" s="290"/>
      <c r="CE5" s="290"/>
      <c r="CF5" s="290"/>
      <c r="CG5" s="290"/>
      <c r="CH5" s="290"/>
      <c r="CI5" s="290"/>
      <c r="CJ5" s="290"/>
      <c r="CK5" s="290">
        <f>+innut23!E11+innut23!S11</f>
        <v>550337.21480567323</v>
      </c>
      <c r="CL5" s="290"/>
      <c r="CM5" s="290">
        <v>0</v>
      </c>
      <c r="CN5" s="290">
        <v>0</v>
      </c>
      <c r="CO5" s="290"/>
      <c r="CP5" s="290"/>
      <c r="CQ5" s="290"/>
      <c r="CX5" s="517">
        <f t="shared" ref="CX5:CX68" si="1">(BV5)*1.029</f>
        <v>0</v>
      </c>
      <c r="DB5" s="85">
        <f t="shared" ref="DB5:DB68" si="2">ROUND(1000*AG5/AG$361,3)</f>
        <v>2.7389999999999999</v>
      </c>
    </row>
    <row r="6" spans="1:106" s="85" customFormat="1" ht="13">
      <c r="A6" s="1">
        <v>1103</v>
      </c>
      <c r="B6" s="2" t="s">
        <v>960</v>
      </c>
      <c r="C6" s="289"/>
      <c r="D6" s="290">
        <v>3082</v>
      </c>
      <c r="E6" s="290">
        <v>6532</v>
      </c>
      <c r="F6" s="290">
        <v>18148</v>
      </c>
      <c r="G6" s="290">
        <v>12148</v>
      </c>
      <c r="H6" s="290">
        <v>85679</v>
      </c>
      <c r="I6" s="290">
        <v>14376</v>
      </c>
      <c r="J6" s="290">
        <v>4124</v>
      </c>
      <c r="K6" s="290">
        <v>1054</v>
      </c>
      <c r="L6" s="290">
        <v>1083</v>
      </c>
      <c r="M6" s="290">
        <v>7899</v>
      </c>
      <c r="N6" s="290">
        <v>4800</v>
      </c>
      <c r="O6" s="290">
        <v>1746</v>
      </c>
      <c r="P6" s="624">
        <v>272916.00533333002</v>
      </c>
      <c r="Q6" s="624">
        <v>189832.35133333001</v>
      </c>
      <c r="R6" s="624">
        <v>411</v>
      </c>
      <c r="S6" s="290"/>
      <c r="T6" s="290">
        <v>14334</v>
      </c>
      <c r="U6" s="958">
        <v>8.1011243060614725E-3</v>
      </c>
      <c r="V6" s="290">
        <v>-26993.44769954</v>
      </c>
      <c r="W6" s="765">
        <v>0.53947624000000005</v>
      </c>
      <c r="X6" s="290">
        <v>2800</v>
      </c>
      <c r="Y6" s="290"/>
      <c r="Z6" s="290">
        <f>+innut23!E12</f>
        <v>6530940.1276575858</v>
      </c>
      <c r="AA6" s="290">
        <v>457</v>
      </c>
      <c r="AB6" s="290">
        <v>2672</v>
      </c>
      <c r="AC6" s="290">
        <v>25569</v>
      </c>
      <c r="AD6" s="290"/>
      <c r="AE6" s="290">
        <v>0</v>
      </c>
      <c r="AF6" s="290">
        <v>38783</v>
      </c>
      <c r="AG6" s="290">
        <v>145143</v>
      </c>
      <c r="AH6" s="290">
        <v>27660</v>
      </c>
      <c r="AI6" s="290"/>
      <c r="AJ6" s="290"/>
      <c r="AK6" s="290">
        <v>0</v>
      </c>
      <c r="AL6" s="290">
        <v>0</v>
      </c>
      <c r="AM6" s="957">
        <v>7.0034080699999999</v>
      </c>
      <c r="AN6" s="290">
        <v>0</v>
      </c>
      <c r="AO6" s="290">
        <v>62642.493100920001</v>
      </c>
      <c r="AP6" s="290">
        <v>59037</v>
      </c>
      <c r="AQ6" s="290">
        <v>0</v>
      </c>
      <c r="AR6" s="290">
        <v>-5956.4663529299996</v>
      </c>
      <c r="AS6" s="290">
        <v>256297</v>
      </c>
      <c r="AT6" s="290">
        <v>7391</v>
      </c>
      <c r="AU6" s="290">
        <v>2300</v>
      </c>
      <c r="AV6" s="766">
        <v>3266569</v>
      </c>
      <c r="AW6" s="290">
        <v>0</v>
      </c>
      <c r="AX6" s="766">
        <v>1171.4583500000001</v>
      </c>
      <c r="AY6" s="290">
        <v>49696</v>
      </c>
      <c r="AZ6" s="290">
        <v>8626</v>
      </c>
      <c r="BA6" s="290">
        <v>2831</v>
      </c>
      <c r="BB6" s="290">
        <v>0</v>
      </c>
      <c r="BC6" s="290">
        <v>107179</v>
      </c>
      <c r="BD6" s="290"/>
      <c r="BE6" s="290">
        <v>3888696.1735512</v>
      </c>
      <c r="BF6" s="290">
        <v>0</v>
      </c>
      <c r="BG6" s="290">
        <v>0</v>
      </c>
      <c r="BH6" s="290">
        <v>-24361</v>
      </c>
      <c r="BI6" s="290">
        <v>117876</v>
      </c>
      <c r="BJ6" s="290">
        <v>19100.854722008298</v>
      </c>
      <c r="BK6" s="290">
        <v>273</v>
      </c>
      <c r="BL6" s="290"/>
      <c r="BM6" s="290">
        <v>0</v>
      </c>
      <c r="BN6" s="290">
        <v>25407</v>
      </c>
      <c r="BO6" s="290"/>
      <c r="BP6" s="290"/>
      <c r="BQ6" s="290"/>
      <c r="BR6" s="290"/>
      <c r="BS6" s="290"/>
      <c r="BT6" s="290"/>
      <c r="BU6" s="290"/>
      <c r="BV6" s="290"/>
      <c r="BW6" s="290"/>
      <c r="BX6" s="290"/>
      <c r="BY6" s="290"/>
      <c r="BZ6" s="290"/>
      <c r="CA6" s="290"/>
      <c r="CB6" s="290"/>
      <c r="CC6" s="290"/>
      <c r="CD6" s="290"/>
      <c r="CE6" s="290"/>
      <c r="CF6" s="290"/>
      <c r="CG6" s="290"/>
      <c r="CH6" s="290"/>
      <c r="CI6" s="290"/>
      <c r="CJ6" s="290"/>
      <c r="CK6" s="290">
        <f>+innut23!E12+innut23!S12</f>
        <v>6530940.1276575858</v>
      </c>
      <c r="CL6" s="290"/>
      <c r="CM6" s="290">
        <v>0</v>
      </c>
      <c r="CN6" s="290">
        <v>0</v>
      </c>
      <c r="CO6" s="290"/>
      <c r="CP6" s="290"/>
      <c r="CQ6" s="290"/>
      <c r="CX6" s="517">
        <f t="shared" si="1"/>
        <v>0</v>
      </c>
      <c r="DB6" s="85">
        <f t="shared" si="2"/>
        <v>26.603000000000002</v>
      </c>
    </row>
    <row r="7" spans="1:106" s="85" customFormat="1" ht="13">
      <c r="A7" s="1">
        <v>1106</v>
      </c>
      <c r="B7" s="2" t="s">
        <v>961</v>
      </c>
      <c r="C7" s="289"/>
      <c r="D7" s="290">
        <v>738</v>
      </c>
      <c r="E7" s="290">
        <v>1480</v>
      </c>
      <c r="F7" s="290">
        <v>4379</v>
      </c>
      <c r="G7" s="290">
        <v>3290</v>
      </c>
      <c r="H7" s="290">
        <v>21834</v>
      </c>
      <c r="I7" s="290">
        <v>4346</v>
      </c>
      <c r="J7" s="290">
        <v>1291</v>
      </c>
      <c r="K7" s="290">
        <v>328</v>
      </c>
      <c r="L7" s="290">
        <v>308</v>
      </c>
      <c r="M7" s="290">
        <v>2659</v>
      </c>
      <c r="N7" s="290">
        <v>1288</v>
      </c>
      <c r="O7" s="290">
        <v>349</v>
      </c>
      <c r="P7" s="624">
        <v>69572.094333329995</v>
      </c>
      <c r="Q7" s="624">
        <v>39778.216</v>
      </c>
      <c r="R7" s="624">
        <v>157</v>
      </c>
      <c r="S7" s="290"/>
      <c r="T7" s="290">
        <v>4343</v>
      </c>
      <c r="U7" s="958">
        <v>7.2432199287932703E-4</v>
      </c>
      <c r="V7" s="290">
        <v>-3176.9970315999999</v>
      </c>
      <c r="W7" s="765">
        <v>0.53225805999999998</v>
      </c>
      <c r="X7" s="290">
        <v>4100</v>
      </c>
      <c r="Y7" s="290"/>
      <c r="Z7" s="290">
        <f>+innut23!E13</f>
        <v>1318405.1262070213</v>
      </c>
      <c r="AA7" s="290">
        <v>0</v>
      </c>
      <c r="AB7" s="290">
        <v>1016</v>
      </c>
      <c r="AC7" s="290">
        <v>9331</v>
      </c>
      <c r="AD7" s="290"/>
      <c r="AE7" s="290">
        <v>0</v>
      </c>
      <c r="AF7" s="290">
        <v>0</v>
      </c>
      <c r="AG7" s="290">
        <v>37686</v>
      </c>
      <c r="AH7" s="290">
        <v>6745</v>
      </c>
      <c r="AI7" s="290"/>
      <c r="AJ7" s="290"/>
      <c r="AK7" s="290">
        <v>0</v>
      </c>
      <c r="AL7" s="290">
        <v>0</v>
      </c>
      <c r="AM7" s="957">
        <v>1.5204960999999999</v>
      </c>
      <c r="AN7" s="290">
        <v>0</v>
      </c>
      <c r="AO7" s="290">
        <v>16586.529736259999</v>
      </c>
      <c r="AP7" s="290">
        <v>0</v>
      </c>
      <c r="AQ7" s="290">
        <v>0</v>
      </c>
      <c r="AR7" s="290">
        <v>-1546.5808959200001</v>
      </c>
      <c r="AS7" s="290">
        <v>56888</v>
      </c>
      <c r="AT7" s="290">
        <v>2295</v>
      </c>
      <c r="AU7" s="290">
        <v>492</v>
      </c>
      <c r="AV7" s="766">
        <v>890009</v>
      </c>
      <c r="AW7" s="290">
        <v>0</v>
      </c>
      <c r="AX7" s="766">
        <v>314</v>
      </c>
      <c r="AY7" s="290">
        <v>10253</v>
      </c>
      <c r="AZ7" s="290">
        <v>1888</v>
      </c>
      <c r="BA7" s="290">
        <v>833</v>
      </c>
      <c r="BB7" s="290">
        <v>0</v>
      </c>
      <c r="BC7" s="290">
        <v>19603</v>
      </c>
      <c r="BD7" s="290"/>
      <c r="BE7" s="290">
        <v>1038870.1715513</v>
      </c>
      <c r="BF7" s="290">
        <v>0</v>
      </c>
      <c r="BG7" s="290">
        <v>0</v>
      </c>
      <c r="BH7" s="290">
        <v>-6333</v>
      </c>
      <c r="BI7" s="290">
        <v>22817</v>
      </c>
      <c r="BJ7" s="290">
        <v>4587.3705825647976</v>
      </c>
      <c r="BK7" s="290">
        <v>76</v>
      </c>
      <c r="BL7" s="290"/>
      <c r="BM7" s="290">
        <v>0</v>
      </c>
      <c r="BN7" s="290">
        <v>6741</v>
      </c>
      <c r="BO7" s="290"/>
      <c r="BP7" s="290"/>
      <c r="BQ7" s="290"/>
      <c r="BR7" s="290"/>
      <c r="BS7" s="290"/>
      <c r="BT7" s="290"/>
      <c r="BU7" s="290"/>
      <c r="BV7" s="290"/>
      <c r="BW7" s="290"/>
      <c r="BX7" s="290"/>
      <c r="BY7" s="290"/>
      <c r="BZ7" s="290"/>
      <c r="CA7" s="290"/>
      <c r="CB7" s="290"/>
      <c r="CC7" s="290"/>
      <c r="CD7" s="290"/>
      <c r="CE7" s="290"/>
      <c r="CF7" s="290"/>
      <c r="CG7" s="290"/>
      <c r="CH7" s="290"/>
      <c r="CI7" s="290"/>
      <c r="CJ7" s="290"/>
      <c r="CK7" s="290">
        <f>+innut23!E13+innut23!S13</f>
        <v>1318405.1262070213</v>
      </c>
      <c r="CL7" s="290"/>
      <c r="CM7" s="290">
        <v>0</v>
      </c>
      <c r="CN7" s="290">
        <v>0</v>
      </c>
      <c r="CO7" s="290"/>
      <c r="CP7" s="290"/>
      <c r="CQ7" s="290"/>
      <c r="CX7" s="517">
        <f t="shared" si="1"/>
        <v>0</v>
      </c>
      <c r="DB7" s="85">
        <f t="shared" si="2"/>
        <v>6.9080000000000004</v>
      </c>
    </row>
    <row r="8" spans="1:106" s="85" customFormat="1" ht="13">
      <c r="A8" s="1">
        <v>1108</v>
      </c>
      <c r="B8" s="2" t="s">
        <v>1610</v>
      </c>
      <c r="C8" s="289"/>
      <c r="D8" s="290">
        <v>1957</v>
      </c>
      <c r="E8" s="290">
        <v>4353</v>
      </c>
      <c r="F8" s="290">
        <v>11400</v>
      </c>
      <c r="G8" s="290">
        <v>7100</v>
      </c>
      <c r="H8" s="290">
        <v>47604</v>
      </c>
      <c r="I8" s="290">
        <v>7296</v>
      </c>
      <c r="J8" s="290">
        <v>2076</v>
      </c>
      <c r="K8" s="290">
        <v>461</v>
      </c>
      <c r="L8" s="290">
        <v>583</v>
      </c>
      <c r="M8" s="290">
        <v>3845</v>
      </c>
      <c r="N8" s="290">
        <v>2921</v>
      </c>
      <c r="O8" s="290">
        <v>997</v>
      </c>
      <c r="P8" s="624">
        <v>235158.12700000001</v>
      </c>
      <c r="Q8" s="624">
        <v>141935.69866667001</v>
      </c>
      <c r="R8" s="624">
        <v>246</v>
      </c>
      <c r="S8" s="290"/>
      <c r="T8" s="290">
        <v>6628</v>
      </c>
      <c r="U8" s="958">
        <v>7.2722173348991198E-3</v>
      </c>
      <c r="V8" s="290">
        <v>-27974.234787739999</v>
      </c>
      <c r="W8" s="765">
        <v>0.54007938</v>
      </c>
      <c r="X8" s="290">
        <v>1200</v>
      </c>
      <c r="Y8" s="290"/>
      <c r="Z8" s="290">
        <f>+innut23!E14</f>
        <v>2959761.6480656667</v>
      </c>
      <c r="AA8" s="290">
        <v>0</v>
      </c>
      <c r="AB8" s="290">
        <v>1713</v>
      </c>
      <c r="AC8" s="290">
        <v>14566</v>
      </c>
      <c r="AD8" s="290"/>
      <c r="AE8" s="290">
        <v>0</v>
      </c>
      <c r="AF8" s="290">
        <v>16061</v>
      </c>
      <c r="AG8" s="290">
        <v>82247</v>
      </c>
      <c r="AH8" s="290">
        <v>17478</v>
      </c>
      <c r="AI8" s="290"/>
      <c r="AJ8" s="290"/>
      <c r="AK8" s="290">
        <v>0</v>
      </c>
      <c r="AL8" s="290">
        <v>0</v>
      </c>
      <c r="AM8" s="957">
        <v>3.9536924600000001</v>
      </c>
      <c r="AN8" s="290">
        <v>0</v>
      </c>
      <c r="AO8" s="290">
        <v>36550.937653809997</v>
      </c>
      <c r="AP8" s="290">
        <v>0</v>
      </c>
      <c r="AQ8" s="290">
        <v>0</v>
      </c>
      <c r="AR8" s="290">
        <v>-3375.3022063100002</v>
      </c>
      <c r="AS8" s="290">
        <v>123359</v>
      </c>
      <c r="AT8" s="290">
        <v>4408</v>
      </c>
      <c r="AU8" s="290">
        <v>1253</v>
      </c>
      <c r="AV8" s="766">
        <v>1956758</v>
      </c>
      <c r="AW8" s="290">
        <v>0</v>
      </c>
      <c r="AX8" s="766">
        <v>621.45835</v>
      </c>
      <c r="AY8" s="290">
        <v>21539</v>
      </c>
      <c r="AZ8" s="290">
        <v>4732</v>
      </c>
      <c r="BA8" s="290">
        <v>1631</v>
      </c>
      <c r="BB8" s="290">
        <v>0</v>
      </c>
      <c r="BC8" s="290">
        <v>58036</v>
      </c>
      <c r="BD8" s="290"/>
      <c r="BE8" s="290">
        <v>2311620.6839403999</v>
      </c>
      <c r="BF8" s="290">
        <v>0</v>
      </c>
      <c r="BG8" s="290">
        <v>0</v>
      </c>
      <c r="BH8" s="290">
        <v>-13680</v>
      </c>
      <c r="BI8" s="290">
        <v>64179</v>
      </c>
      <c r="BJ8" s="290">
        <v>12030.27656138203</v>
      </c>
      <c r="BK8" s="290">
        <v>148</v>
      </c>
      <c r="BL8" s="290"/>
      <c r="BM8" s="290">
        <v>9403</v>
      </c>
      <c r="BN8" s="290">
        <v>16074</v>
      </c>
      <c r="BO8" s="290"/>
      <c r="BP8" s="290"/>
      <c r="BQ8" s="290"/>
      <c r="BR8" s="290"/>
      <c r="BS8" s="290"/>
      <c r="BT8" s="290"/>
      <c r="BU8" s="290"/>
      <c r="BV8" s="290"/>
      <c r="BW8" s="290"/>
      <c r="BX8" s="290"/>
      <c r="BY8" s="290"/>
      <c r="BZ8" s="290"/>
      <c r="CA8" s="290"/>
      <c r="CB8" s="290"/>
      <c r="CC8" s="290"/>
      <c r="CD8" s="290"/>
      <c r="CE8" s="290"/>
      <c r="CF8" s="290"/>
      <c r="CG8" s="290"/>
      <c r="CH8" s="290"/>
      <c r="CI8" s="290"/>
      <c r="CJ8" s="290"/>
      <c r="CK8" s="290">
        <f>+innut23!E14+innut23!S14</f>
        <v>2959761.6480656667</v>
      </c>
      <c r="CL8" s="290"/>
      <c r="CM8" s="290">
        <v>0</v>
      </c>
      <c r="CN8" s="290">
        <v>0</v>
      </c>
      <c r="CO8" s="290"/>
      <c r="CP8" s="290"/>
      <c r="CQ8" s="290"/>
      <c r="CX8" s="517">
        <f t="shared" si="1"/>
        <v>0</v>
      </c>
      <c r="DB8" s="85">
        <f t="shared" si="2"/>
        <v>15.074999999999999</v>
      </c>
    </row>
    <row r="9" spans="1:106" s="85" customFormat="1" ht="13">
      <c r="A9" s="1">
        <v>1111</v>
      </c>
      <c r="B9" s="2" t="s">
        <v>962</v>
      </c>
      <c r="C9" s="289"/>
      <c r="D9" s="290">
        <v>64</v>
      </c>
      <c r="E9" s="290">
        <v>140</v>
      </c>
      <c r="F9" s="290">
        <v>462</v>
      </c>
      <c r="G9" s="290">
        <v>260</v>
      </c>
      <c r="H9" s="290">
        <v>1729</v>
      </c>
      <c r="I9" s="290">
        <v>438</v>
      </c>
      <c r="J9" s="290">
        <v>142</v>
      </c>
      <c r="K9" s="290">
        <v>49</v>
      </c>
      <c r="L9" s="290">
        <v>24</v>
      </c>
      <c r="M9" s="290">
        <v>277</v>
      </c>
      <c r="N9" s="290">
        <v>21</v>
      </c>
      <c r="O9" s="290">
        <v>22</v>
      </c>
      <c r="P9" s="624">
        <v>10853.561</v>
      </c>
      <c r="Q9" s="624">
        <v>7273.5203333299996</v>
      </c>
      <c r="R9" s="624">
        <v>17</v>
      </c>
      <c r="S9" s="290"/>
      <c r="T9" s="290">
        <v>243</v>
      </c>
      <c r="U9" s="958">
        <v>1.917096378076337E-3</v>
      </c>
      <c r="V9" s="290">
        <v>2209.5112653900001</v>
      </c>
      <c r="W9" s="765">
        <v>0.76895988000000004</v>
      </c>
      <c r="X9" s="290">
        <v>1500</v>
      </c>
      <c r="Y9" s="290"/>
      <c r="Z9" s="290">
        <f>+innut23!E15</f>
        <v>98606.354431175292</v>
      </c>
      <c r="AA9" s="290">
        <v>0</v>
      </c>
      <c r="AB9" s="290">
        <v>97</v>
      </c>
      <c r="AC9" s="290">
        <v>1943</v>
      </c>
      <c r="AD9" s="290"/>
      <c r="AE9" s="290">
        <v>0</v>
      </c>
      <c r="AF9" s="290">
        <v>0</v>
      </c>
      <c r="AG9" s="290">
        <v>3284</v>
      </c>
      <c r="AH9" s="290">
        <v>663</v>
      </c>
      <c r="AI9" s="290"/>
      <c r="AJ9" s="290"/>
      <c r="AK9" s="290">
        <v>0</v>
      </c>
      <c r="AL9" s="290">
        <v>0</v>
      </c>
      <c r="AM9" s="957">
        <v>3.7790379999999998E-2</v>
      </c>
      <c r="AN9" s="290">
        <v>2152</v>
      </c>
      <c r="AO9" s="290">
        <v>1707.9796446800001</v>
      </c>
      <c r="AP9" s="290">
        <v>0</v>
      </c>
      <c r="AQ9" s="290">
        <v>0</v>
      </c>
      <c r="AR9" s="290">
        <v>-134.77078125</v>
      </c>
      <c r="AS9" s="290">
        <v>5219</v>
      </c>
      <c r="AT9" s="290">
        <v>167</v>
      </c>
      <c r="AU9" s="290">
        <v>21</v>
      </c>
      <c r="AV9" s="766">
        <v>120498</v>
      </c>
      <c r="AW9" s="290">
        <v>0</v>
      </c>
      <c r="AX9" s="766">
        <v>19.5</v>
      </c>
      <c r="AY9" s="290">
        <v>475</v>
      </c>
      <c r="AZ9" s="290">
        <v>116</v>
      </c>
      <c r="BA9" s="290">
        <v>92</v>
      </c>
      <c r="BB9" s="290">
        <v>0</v>
      </c>
      <c r="BC9" s="290">
        <v>2517</v>
      </c>
      <c r="BD9" s="290"/>
      <c r="BE9" s="290">
        <v>134271.86114379999</v>
      </c>
      <c r="BF9" s="290">
        <v>0</v>
      </c>
      <c r="BG9" s="290">
        <v>0</v>
      </c>
      <c r="BH9" s="290">
        <v>-552</v>
      </c>
      <c r="BI9" s="290">
        <v>3125</v>
      </c>
      <c r="BJ9" s="290">
        <v>505.87086934404726</v>
      </c>
      <c r="BK9" s="290">
        <v>4</v>
      </c>
      <c r="BL9" s="290"/>
      <c r="BM9" s="290">
        <v>0</v>
      </c>
      <c r="BN9" s="290">
        <v>519</v>
      </c>
      <c r="BO9" s="290"/>
      <c r="BP9" s="290"/>
      <c r="BQ9" s="290"/>
      <c r="BR9" s="290"/>
      <c r="BS9" s="290"/>
      <c r="BT9" s="290"/>
      <c r="BU9" s="290"/>
      <c r="BV9" s="290"/>
      <c r="BW9" s="290"/>
      <c r="BX9" s="290"/>
      <c r="BY9" s="290"/>
      <c r="BZ9" s="290"/>
      <c r="CA9" s="290"/>
      <c r="CB9" s="290"/>
      <c r="CC9" s="290"/>
      <c r="CD9" s="290"/>
      <c r="CE9" s="290"/>
      <c r="CF9" s="290"/>
      <c r="CG9" s="290"/>
      <c r="CH9" s="290"/>
      <c r="CI9" s="290"/>
      <c r="CJ9" s="290"/>
      <c r="CK9" s="290">
        <f>+innut23!E15+innut23!S15</f>
        <v>98606.354431175292</v>
      </c>
      <c r="CL9" s="290"/>
      <c r="CM9" s="290">
        <v>0</v>
      </c>
      <c r="CN9" s="290">
        <v>0</v>
      </c>
      <c r="CO9" s="290"/>
      <c r="CP9" s="290"/>
      <c r="CQ9" s="290"/>
      <c r="CX9" s="517">
        <f t="shared" si="1"/>
        <v>0</v>
      </c>
      <c r="DB9" s="85">
        <f t="shared" si="2"/>
        <v>0.60199999999999998</v>
      </c>
    </row>
    <row r="10" spans="1:106" s="85" customFormat="1" ht="13">
      <c r="A10" s="1">
        <v>1112</v>
      </c>
      <c r="B10" s="2" t="s">
        <v>963</v>
      </c>
      <c r="C10" s="289"/>
      <c r="D10" s="290">
        <v>75</v>
      </c>
      <c r="E10" s="290">
        <v>150</v>
      </c>
      <c r="F10" s="290">
        <v>430</v>
      </c>
      <c r="G10" s="290">
        <v>271</v>
      </c>
      <c r="H10" s="290">
        <v>1706</v>
      </c>
      <c r="I10" s="290">
        <v>383</v>
      </c>
      <c r="J10" s="290">
        <v>147</v>
      </c>
      <c r="K10" s="290">
        <v>28</v>
      </c>
      <c r="L10" s="290">
        <v>22</v>
      </c>
      <c r="M10" s="290">
        <v>192</v>
      </c>
      <c r="N10" s="290">
        <v>83</v>
      </c>
      <c r="O10" s="290">
        <v>25</v>
      </c>
      <c r="P10" s="624">
        <v>18773.40733333</v>
      </c>
      <c r="Q10" s="624">
        <v>7981.4023333300001</v>
      </c>
      <c r="R10" s="624">
        <v>13</v>
      </c>
      <c r="S10" s="290"/>
      <c r="T10" s="290">
        <v>247</v>
      </c>
      <c r="U10" s="958">
        <v>2.3732838741041319E-3</v>
      </c>
      <c r="V10" s="290">
        <v>2064.3367711199999</v>
      </c>
      <c r="W10" s="765">
        <v>0.79571190000000003</v>
      </c>
      <c r="X10" s="290">
        <v>1500</v>
      </c>
      <c r="Y10" s="290"/>
      <c r="Z10" s="290">
        <f>+innut23!E16</f>
        <v>92620.659064089748</v>
      </c>
      <c r="AA10" s="290">
        <v>0</v>
      </c>
      <c r="AB10" s="290">
        <v>101</v>
      </c>
      <c r="AC10" s="290">
        <v>1433</v>
      </c>
      <c r="AD10" s="290"/>
      <c r="AE10" s="290">
        <v>0</v>
      </c>
      <c r="AF10" s="290">
        <v>0</v>
      </c>
      <c r="AG10" s="290">
        <v>3190</v>
      </c>
      <c r="AH10" s="290">
        <v>649</v>
      </c>
      <c r="AI10" s="290"/>
      <c r="AJ10" s="290"/>
      <c r="AK10" s="290">
        <v>0</v>
      </c>
      <c r="AL10" s="290">
        <v>0</v>
      </c>
      <c r="AM10" s="957">
        <v>4.6793540000000002E-2</v>
      </c>
      <c r="AN10" s="290">
        <v>0</v>
      </c>
      <c r="AO10" s="290">
        <v>1595.7579579200001</v>
      </c>
      <c r="AP10" s="290">
        <v>0</v>
      </c>
      <c r="AQ10" s="290">
        <v>0</v>
      </c>
      <c r="AR10" s="290">
        <v>-130.91315230999999</v>
      </c>
      <c r="AS10" s="290">
        <v>5192</v>
      </c>
      <c r="AT10" s="290">
        <v>170</v>
      </c>
      <c r="AU10" s="290">
        <v>20</v>
      </c>
      <c r="AV10" s="766">
        <v>107435</v>
      </c>
      <c r="AW10" s="290">
        <v>0</v>
      </c>
      <c r="AX10" s="766">
        <v>21.916699999999999</v>
      </c>
      <c r="AY10" s="290">
        <v>501</v>
      </c>
      <c r="AZ10" s="290">
        <v>139</v>
      </c>
      <c r="BA10" s="290">
        <v>34</v>
      </c>
      <c r="BB10" s="290">
        <v>5006</v>
      </c>
      <c r="BC10" s="290">
        <v>3637</v>
      </c>
      <c r="BD10" s="290"/>
      <c r="BE10" s="290">
        <v>125544.40187745</v>
      </c>
      <c r="BF10" s="290">
        <v>0</v>
      </c>
      <c r="BG10" s="290">
        <v>0</v>
      </c>
      <c r="BH10" s="290">
        <v>-537</v>
      </c>
      <c r="BI10" s="290">
        <v>4156</v>
      </c>
      <c r="BJ10" s="290">
        <v>481.53192200271798</v>
      </c>
      <c r="BK10" s="290">
        <v>5</v>
      </c>
      <c r="BL10" s="290"/>
      <c r="BM10" s="290">
        <v>0</v>
      </c>
      <c r="BN10" s="290">
        <v>2074</v>
      </c>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f>+innut23!E16+innut23!S16</f>
        <v>92620.659064089748</v>
      </c>
      <c r="CL10" s="290"/>
      <c r="CM10" s="290">
        <v>0</v>
      </c>
      <c r="CN10" s="290">
        <v>0</v>
      </c>
      <c r="CO10" s="290"/>
      <c r="CP10" s="290"/>
      <c r="CQ10" s="290"/>
      <c r="CX10" s="517">
        <f t="shared" si="1"/>
        <v>0</v>
      </c>
      <c r="DB10" s="85">
        <f t="shared" si="2"/>
        <v>0.58499999999999996</v>
      </c>
    </row>
    <row r="11" spans="1:106" ht="13">
      <c r="A11" s="1">
        <v>1114</v>
      </c>
      <c r="B11" s="2" t="s">
        <v>0</v>
      </c>
      <c r="C11" s="289"/>
      <c r="D11" s="290">
        <v>54</v>
      </c>
      <c r="E11" s="290">
        <v>120</v>
      </c>
      <c r="F11" s="290">
        <v>427</v>
      </c>
      <c r="G11" s="290">
        <v>282</v>
      </c>
      <c r="H11" s="290">
        <v>1539</v>
      </c>
      <c r="I11" s="290">
        <v>310</v>
      </c>
      <c r="J11" s="290">
        <v>83</v>
      </c>
      <c r="K11" s="290">
        <v>16</v>
      </c>
      <c r="L11" s="290">
        <v>26</v>
      </c>
      <c r="M11" s="290">
        <v>117</v>
      </c>
      <c r="N11" s="290">
        <v>32</v>
      </c>
      <c r="O11" s="290">
        <v>20</v>
      </c>
      <c r="P11" s="624">
        <v>17934.448</v>
      </c>
      <c r="Q11" s="624">
        <v>10814.02266667</v>
      </c>
      <c r="R11" s="624">
        <v>7</v>
      </c>
      <c r="S11" s="290"/>
      <c r="T11" s="290">
        <v>154</v>
      </c>
      <c r="U11" s="958">
        <v>3.7367627339066505E-3</v>
      </c>
      <c r="V11" s="290">
        <v>870.41093469999998</v>
      </c>
      <c r="W11" s="765">
        <v>0.80468112000000003</v>
      </c>
      <c r="X11" s="290">
        <v>0</v>
      </c>
      <c r="Y11" s="290"/>
      <c r="Z11" s="290">
        <f>+innut23!E17</f>
        <v>86937.402946582632</v>
      </c>
      <c r="AA11" s="290">
        <v>0</v>
      </c>
      <c r="AB11" s="290">
        <v>58</v>
      </c>
      <c r="AC11" s="290">
        <v>0</v>
      </c>
      <c r="AD11" s="290"/>
      <c r="AE11" s="290">
        <v>0</v>
      </c>
      <c r="AF11" s="290">
        <v>0</v>
      </c>
      <c r="AG11" s="290">
        <v>2831</v>
      </c>
      <c r="AH11" s="290">
        <v>614</v>
      </c>
      <c r="AI11" s="290"/>
      <c r="AJ11" s="290"/>
      <c r="AK11" s="290">
        <v>0</v>
      </c>
      <c r="AL11" s="290">
        <v>0</v>
      </c>
      <c r="AM11" s="957">
        <v>3.739837E-2</v>
      </c>
      <c r="AN11" s="290">
        <v>0</v>
      </c>
      <c r="AO11" s="290">
        <v>1371.6416862200001</v>
      </c>
      <c r="AP11" s="290">
        <v>0</v>
      </c>
      <c r="AQ11" s="290">
        <v>0</v>
      </c>
      <c r="AR11" s="290">
        <v>885.99443601999997</v>
      </c>
      <c r="AS11" s="290">
        <v>4583</v>
      </c>
      <c r="AT11" s="290">
        <v>124</v>
      </c>
      <c r="AU11" s="290">
        <v>23</v>
      </c>
      <c r="AV11" s="766">
        <v>90144</v>
      </c>
      <c r="AW11" s="290">
        <v>0</v>
      </c>
      <c r="AX11" s="766">
        <v>16.083300000000001</v>
      </c>
      <c r="AY11" s="290">
        <v>462</v>
      </c>
      <c r="AZ11" s="290">
        <v>102</v>
      </c>
      <c r="BA11" s="290">
        <v>42</v>
      </c>
      <c r="BB11" s="290">
        <v>3129</v>
      </c>
      <c r="BC11" s="290">
        <v>1598</v>
      </c>
      <c r="BD11" s="290"/>
      <c r="BE11" s="290">
        <v>99527.47198047</v>
      </c>
      <c r="BF11" s="290">
        <v>0</v>
      </c>
      <c r="BG11" s="290">
        <v>0</v>
      </c>
      <c r="BH11" s="290">
        <v>-470</v>
      </c>
      <c r="BI11" s="290">
        <v>1651</v>
      </c>
      <c r="BJ11" s="290">
        <v>479.93692002101972</v>
      </c>
      <c r="BK11" s="290">
        <v>3</v>
      </c>
      <c r="BL11" s="290"/>
      <c r="BM11" s="290">
        <v>0</v>
      </c>
      <c r="BN11" s="290">
        <v>1037</v>
      </c>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f>+innut23!E17+innut23!S17</f>
        <v>86937.402946582632</v>
      </c>
      <c r="CL11" s="290"/>
      <c r="CM11" s="290">
        <v>0</v>
      </c>
      <c r="CN11" s="290">
        <v>0</v>
      </c>
      <c r="CO11" s="290"/>
      <c r="CP11" s="290"/>
      <c r="CQ11" s="290"/>
      <c r="CX11" s="517">
        <f t="shared" si="1"/>
        <v>0</v>
      </c>
      <c r="DB11" s="85">
        <f t="shared" si="2"/>
        <v>0.51900000000000002</v>
      </c>
    </row>
    <row r="12" spans="1:106" ht="13">
      <c r="A12" s="1">
        <v>1119</v>
      </c>
      <c r="B12" s="2" t="s">
        <v>1</v>
      </c>
      <c r="C12" s="289"/>
      <c r="D12" s="290">
        <v>507</v>
      </c>
      <c r="E12" s="290">
        <v>1040</v>
      </c>
      <c r="F12" s="290">
        <v>2968</v>
      </c>
      <c r="G12" s="290">
        <v>1778</v>
      </c>
      <c r="H12" s="290">
        <v>10663</v>
      </c>
      <c r="I12" s="290">
        <v>1922</v>
      </c>
      <c r="J12" s="290">
        <v>569</v>
      </c>
      <c r="K12" s="290">
        <v>132</v>
      </c>
      <c r="L12" s="290">
        <v>136</v>
      </c>
      <c r="M12" s="290">
        <v>922</v>
      </c>
      <c r="N12" s="290">
        <v>355</v>
      </c>
      <c r="O12" s="290">
        <v>187</v>
      </c>
      <c r="P12" s="624">
        <v>44056.65</v>
      </c>
      <c r="Q12" s="624">
        <v>30697.995666670002</v>
      </c>
      <c r="R12" s="624">
        <v>75</v>
      </c>
      <c r="S12" s="290"/>
      <c r="T12" s="290">
        <v>1376</v>
      </c>
      <c r="U12" s="958">
        <v>8.2483907484055506E-3</v>
      </c>
      <c r="V12" s="290">
        <v>-13933.81490028</v>
      </c>
      <c r="W12" s="765">
        <v>0.56718159999999995</v>
      </c>
      <c r="X12" s="290">
        <v>0</v>
      </c>
      <c r="Y12" s="290"/>
      <c r="Z12" s="290">
        <f>+innut23!E18</f>
        <v>589428.29601852852</v>
      </c>
      <c r="AA12" s="290">
        <v>0</v>
      </c>
      <c r="AB12" s="290">
        <v>452</v>
      </c>
      <c r="AC12" s="290">
        <v>4034</v>
      </c>
      <c r="AD12" s="290"/>
      <c r="AE12" s="290">
        <v>0</v>
      </c>
      <c r="AF12" s="290">
        <v>0</v>
      </c>
      <c r="AG12" s="290">
        <v>19579</v>
      </c>
      <c r="AH12" s="290">
        <v>4441</v>
      </c>
      <c r="AI12" s="290"/>
      <c r="AJ12" s="290"/>
      <c r="AK12" s="290">
        <v>0</v>
      </c>
      <c r="AL12" s="290">
        <v>0</v>
      </c>
      <c r="AM12" s="957">
        <v>0.53921436</v>
      </c>
      <c r="AN12" s="290">
        <v>0</v>
      </c>
      <c r="AO12" s="290">
        <v>9057.5295798799998</v>
      </c>
      <c r="AP12" s="290">
        <v>0</v>
      </c>
      <c r="AQ12" s="290">
        <v>0</v>
      </c>
      <c r="AR12" s="290">
        <v>-803.49486178999996</v>
      </c>
      <c r="AS12" s="290">
        <v>30974</v>
      </c>
      <c r="AT12" s="290">
        <v>1016</v>
      </c>
      <c r="AU12" s="290">
        <v>199</v>
      </c>
      <c r="AV12" s="766">
        <v>498574</v>
      </c>
      <c r="AW12" s="290">
        <v>0</v>
      </c>
      <c r="AX12" s="766">
        <v>133.12504999999999</v>
      </c>
      <c r="AY12" s="290">
        <v>3099</v>
      </c>
      <c r="AZ12" s="290">
        <v>993</v>
      </c>
      <c r="BA12" s="290">
        <v>408</v>
      </c>
      <c r="BB12" s="290">
        <v>0</v>
      </c>
      <c r="BC12" s="290">
        <v>11576</v>
      </c>
      <c r="BD12" s="290"/>
      <c r="BE12" s="290">
        <v>588346.20215274999</v>
      </c>
      <c r="BF12" s="290">
        <v>0</v>
      </c>
      <c r="BG12" s="290">
        <v>0</v>
      </c>
      <c r="BH12" s="290">
        <v>-3239</v>
      </c>
      <c r="BI12" s="290">
        <v>13142</v>
      </c>
      <c r="BJ12" s="290">
        <v>3098.987135582734</v>
      </c>
      <c r="BK12" s="290">
        <v>28</v>
      </c>
      <c r="BL12" s="290"/>
      <c r="BM12" s="290">
        <v>0</v>
      </c>
      <c r="BN12" s="290">
        <v>4667</v>
      </c>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f>+innut23!E18+innut23!S18</f>
        <v>589428.29601852852</v>
      </c>
      <c r="CL12" s="290"/>
      <c r="CM12" s="290">
        <v>0</v>
      </c>
      <c r="CN12" s="290">
        <v>0</v>
      </c>
      <c r="CO12" s="290"/>
      <c r="CP12" s="290"/>
      <c r="CQ12" s="290"/>
      <c r="CX12" s="517">
        <f t="shared" si="1"/>
        <v>0</v>
      </c>
      <c r="DB12" s="85">
        <f t="shared" si="2"/>
        <v>3.589</v>
      </c>
    </row>
    <row r="13" spans="1:106" ht="13">
      <c r="A13" s="1">
        <v>1120</v>
      </c>
      <c r="B13" s="2" t="s">
        <v>2</v>
      </c>
      <c r="C13" s="289"/>
      <c r="D13" s="290">
        <v>536</v>
      </c>
      <c r="E13" s="290">
        <v>1019</v>
      </c>
      <c r="F13" s="290">
        <v>2932</v>
      </c>
      <c r="G13" s="290">
        <v>1857</v>
      </c>
      <c r="H13" s="290">
        <v>11655</v>
      </c>
      <c r="I13" s="290">
        <v>1796</v>
      </c>
      <c r="J13" s="290">
        <v>549</v>
      </c>
      <c r="K13" s="290">
        <v>92</v>
      </c>
      <c r="L13" s="290">
        <v>140</v>
      </c>
      <c r="M13" s="290">
        <v>882</v>
      </c>
      <c r="N13" s="290">
        <v>455</v>
      </c>
      <c r="O13" s="290">
        <v>179</v>
      </c>
      <c r="P13" s="624">
        <v>39640.607666670003</v>
      </c>
      <c r="Q13" s="624">
        <v>28498.520333330001</v>
      </c>
      <c r="R13" s="624">
        <v>71</v>
      </c>
      <c r="S13" s="290"/>
      <c r="T13" s="290">
        <v>1365</v>
      </c>
      <c r="U13" s="958">
        <v>5.561962005189461E-3</v>
      </c>
      <c r="V13" s="290">
        <v>2404.3203043499998</v>
      </c>
      <c r="W13" s="765">
        <v>0.54430133000000003</v>
      </c>
      <c r="X13" s="290">
        <v>2400</v>
      </c>
      <c r="Y13" s="290"/>
      <c r="Z13" s="290">
        <f>+innut23!E19</f>
        <v>694588.66912354808</v>
      </c>
      <c r="AA13" s="290">
        <v>0</v>
      </c>
      <c r="AB13" s="290">
        <v>488</v>
      </c>
      <c r="AC13" s="290">
        <v>1893</v>
      </c>
      <c r="AD13" s="290"/>
      <c r="AE13" s="290">
        <v>0</v>
      </c>
      <c r="AF13" s="290">
        <v>0</v>
      </c>
      <c r="AG13" s="290">
        <v>20436</v>
      </c>
      <c r="AH13" s="290">
        <v>4449</v>
      </c>
      <c r="AI13" s="290"/>
      <c r="AJ13" s="290"/>
      <c r="AK13" s="290">
        <v>0</v>
      </c>
      <c r="AL13" s="290">
        <v>0</v>
      </c>
      <c r="AM13" s="957">
        <v>0.59894148999999997</v>
      </c>
      <c r="AN13" s="290">
        <v>0</v>
      </c>
      <c r="AO13" s="290">
        <v>9021.3025111099996</v>
      </c>
      <c r="AP13" s="290">
        <v>0</v>
      </c>
      <c r="AQ13" s="290">
        <v>0</v>
      </c>
      <c r="AR13" s="290">
        <v>-838.66494690000002</v>
      </c>
      <c r="AS13" s="290">
        <v>30440</v>
      </c>
      <c r="AT13" s="290">
        <v>1082</v>
      </c>
      <c r="AU13" s="290">
        <v>254</v>
      </c>
      <c r="AV13" s="766">
        <v>480906</v>
      </c>
      <c r="AW13" s="290">
        <v>0</v>
      </c>
      <c r="AX13" s="766">
        <v>203.66669999999999</v>
      </c>
      <c r="AY13" s="290">
        <v>3882</v>
      </c>
      <c r="AZ13" s="290">
        <v>886</v>
      </c>
      <c r="BA13" s="290">
        <v>444</v>
      </c>
      <c r="BB13" s="290">
        <v>0</v>
      </c>
      <c r="BC13" s="290">
        <v>10078</v>
      </c>
      <c r="BD13" s="290"/>
      <c r="BE13" s="290">
        <v>570063.19296441996</v>
      </c>
      <c r="BF13" s="290">
        <v>0</v>
      </c>
      <c r="BG13" s="290">
        <v>0</v>
      </c>
      <c r="BH13" s="290">
        <v>-3383</v>
      </c>
      <c r="BI13" s="290">
        <v>11009</v>
      </c>
      <c r="BJ13" s="290">
        <v>3054.1473516931364</v>
      </c>
      <c r="BK13" s="290">
        <v>30</v>
      </c>
      <c r="BL13" s="290"/>
      <c r="BM13" s="290">
        <v>0</v>
      </c>
      <c r="BN13" s="290">
        <v>4667</v>
      </c>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f>+innut23!E19+innut23!S19</f>
        <v>694588.66912354808</v>
      </c>
      <c r="CL13" s="290"/>
      <c r="CM13" s="290">
        <v>0</v>
      </c>
      <c r="CN13" s="290">
        <v>0</v>
      </c>
      <c r="CO13" s="290"/>
      <c r="CP13" s="290"/>
      <c r="CQ13" s="290"/>
      <c r="CX13" s="517">
        <f t="shared" si="1"/>
        <v>0</v>
      </c>
      <c r="DB13" s="85">
        <f t="shared" si="2"/>
        <v>3.746</v>
      </c>
    </row>
    <row r="14" spans="1:106" ht="13">
      <c r="A14" s="1">
        <v>1121</v>
      </c>
      <c r="B14" s="2" t="s">
        <v>3</v>
      </c>
      <c r="C14" s="289"/>
      <c r="D14" s="290">
        <v>452</v>
      </c>
      <c r="E14" s="290">
        <v>994</v>
      </c>
      <c r="F14" s="290">
        <v>2821</v>
      </c>
      <c r="G14" s="290">
        <v>1702</v>
      </c>
      <c r="H14" s="290">
        <v>10952</v>
      </c>
      <c r="I14" s="290">
        <v>1920</v>
      </c>
      <c r="J14" s="290">
        <v>571</v>
      </c>
      <c r="K14" s="290">
        <v>132</v>
      </c>
      <c r="L14" s="290">
        <v>122</v>
      </c>
      <c r="M14" s="290">
        <v>917</v>
      </c>
      <c r="N14" s="290">
        <v>500</v>
      </c>
      <c r="O14" s="290">
        <v>145</v>
      </c>
      <c r="P14" s="624">
        <v>40250.014000000003</v>
      </c>
      <c r="Q14" s="624">
        <v>23470.804333330001</v>
      </c>
      <c r="R14" s="624">
        <v>62</v>
      </c>
      <c r="S14" s="290"/>
      <c r="T14" s="290">
        <v>1539</v>
      </c>
      <c r="U14" s="958">
        <v>4.9328432736070633E-3</v>
      </c>
      <c r="V14" s="290">
        <v>911.37942679000002</v>
      </c>
      <c r="W14" s="765">
        <v>0.54585782000000005</v>
      </c>
      <c r="X14" s="290">
        <v>2000</v>
      </c>
      <c r="Y14" s="290"/>
      <c r="Z14" s="290">
        <f>+innut23!E20</f>
        <v>692241.37383604236</v>
      </c>
      <c r="AA14" s="290">
        <v>0</v>
      </c>
      <c r="AB14" s="290">
        <v>441</v>
      </c>
      <c r="AC14" s="290">
        <v>4152</v>
      </c>
      <c r="AD14" s="290"/>
      <c r="AE14" s="290">
        <v>0</v>
      </c>
      <c r="AF14" s="290">
        <v>0</v>
      </c>
      <c r="AG14" s="290">
        <v>19544</v>
      </c>
      <c r="AH14" s="290">
        <v>4187</v>
      </c>
      <c r="AI14" s="290"/>
      <c r="AJ14" s="290"/>
      <c r="AK14" s="290">
        <v>0</v>
      </c>
      <c r="AL14" s="290">
        <v>0</v>
      </c>
      <c r="AM14" s="957">
        <v>0.40133505000000003</v>
      </c>
      <c r="AN14" s="290">
        <v>0</v>
      </c>
      <c r="AO14" s="290">
        <v>8740.7447059499991</v>
      </c>
      <c r="AP14" s="290">
        <v>0</v>
      </c>
      <c r="AQ14" s="290">
        <v>0</v>
      </c>
      <c r="AR14" s="290">
        <v>-802.05851057999996</v>
      </c>
      <c r="AS14" s="290">
        <v>32052</v>
      </c>
      <c r="AT14" s="290">
        <v>974</v>
      </c>
      <c r="AU14" s="290">
        <v>191</v>
      </c>
      <c r="AV14" s="766">
        <v>472433</v>
      </c>
      <c r="AW14" s="290">
        <v>0</v>
      </c>
      <c r="AX14" s="766">
        <v>158.04165</v>
      </c>
      <c r="AY14" s="290">
        <v>4596</v>
      </c>
      <c r="AZ14" s="290">
        <v>808</v>
      </c>
      <c r="BA14" s="290">
        <v>403</v>
      </c>
      <c r="BB14" s="290">
        <v>0</v>
      </c>
      <c r="BC14" s="290">
        <v>11960</v>
      </c>
      <c r="BD14" s="290"/>
      <c r="BE14" s="290">
        <v>562368.21183032996</v>
      </c>
      <c r="BF14" s="290">
        <v>0</v>
      </c>
      <c r="BG14" s="290">
        <v>0</v>
      </c>
      <c r="BH14" s="290">
        <v>-3257</v>
      </c>
      <c r="BI14" s="290">
        <v>13524</v>
      </c>
      <c r="BJ14" s="290">
        <v>2924.7464975773732</v>
      </c>
      <c r="BK14" s="290">
        <v>30</v>
      </c>
      <c r="BL14" s="290"/>
      <c r="BM14" s="290">
        <v>0</v>
      </c>
      <c r="BN14" s="290">
        <v>5185</v>
      </c>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f>+innut23!E20+innut23!S20</f>
        <v>692241.37383604236</v>
      </c>
      <c r="CL14" s="290"/>
      <c r="CM14" s="290">
        <v>0</v>
      </c>
      <c r="CN14" s="290">
        <v>0</v>
      </c>
      <c r="CO14" s="290"/>
      <c r="CP14" s="290"/>
      <c r="CQ14" s="290"/>
      <c r="CX14" s="517">
        <f t="shared" si="1"/>
        <v>0</v>
      </c>
      <c r="DB14" s="85">
        <f t="shared" si="2"/>
        <v>3.5819999999999999</v>
      </c>
    </row>
    <row r="15" spans="1:106" ht="13">
      <c r="A15" s="1">
        <v>1122</v>
      </c>
      <c r="B15" s="2" t="s">
        <v>4</v>
      </c>
      <c r="C15" s="289"/>
      <c r="D15" s="290">
        <v>280</v>
      </c>
      <c r="E15" s="290">
        <v>676</v>
      </c>
      <c r="F15" s="290">
        <v>1941</v>
      </c>
      <c r="G15" s="290">
        <v>1054</v>
      </c>
      <c r="H15" s="290">
        <v>6963</v>
      </c>
      <c r="I15" s="290">
        <v>1035</v>
      </c>
      <c r="J15" s="290">
        <v>262</v>
      </c>
      <c r="K15" s="290">
        <v>50</v>
      </c>
      <c r="L15" s="290">
        <v>97</v>
      </c>
      <c r="M15" s="290">
        <v>462</v>
      </c>
      <c r="N15" s="290">
        <v>285</v>
      </c>
      <c r="O15" s="290">
        <v>142</v>
      </c>
      <c r="P15" s="624">
        <v>72829.767000000007</v>
      </c>
      <c r="Q15" s="624">
        <v>28420.835999999999</v>
      </c>
      <c r="R15" s="624">
        <v>44</v>
      </c>
      <c r="S15" s="290"/>
      <c r="T15" s="290">
        <v>816</v>
      </c>
      <c r="U15" s="958">
        <v>2.9420438955993561E-3</v>
      </c>
      <c r="V15" s="290">
        <v>1028.0057495599999</v>
      </c>
      <c r="W15" s="765">
        <v>0.59356394999999995</v>
      </c>
      <c r="X15" s="290">
        <v>3000</v>
      </c>
      <c r="Y15" s="290"/>
      <c r="Z15" s="290">
        <f>+innut23!E21</f>
        <v>385412.83274138503</v>
      </c>
      <c r="AA15" s="290">
        <v>0</v>
      </c>
      <c r="AB15" s="290">
        <v>261</v>
      </c>
      <c r="AC15" s="290">
        <v>2831</v>
      </c>
      <c r="AD15" s="290"/>
      <c r="AE15" s="290">
        <v>0</v>
      </c>
      <c r="AF15" s="290">
        <v>0</v>
      </c>
      <c r="AG15" s="290">
        <v>12261</v>
      </c>
      <c r="AH15" s="290">
        <v>2799</v>
      </c>
      <c r="AI15" s="290"/>
      <c r="AJ15" s="290"/>
      <c r="AK15" s="290">
        <v>0</v>
      </c>
      <c r="AL15" s="290">
        <v>0</v>
      </c>
      <c r="AM15" s="957">
        <v>0.33622350000000001</v>
      </c>
      <c r="AN15" s="290">
        <v>0</v>
      </c>
      <c r="AO15" s="290">
        <v>5686.2837873899998</v>
      </c>
      <c r="AP15" s="290">
        <v>0</v>
      </c>
      <c r="AQ15" s="290">
        <v>0</v>
      </c>
      <c r="AR15" s="290">
        <v>-503.17434498</v>
      </c>
      <c r="AS15" s="290">
        <v>19409</v>
      </c>
      <c r="AT15" s="290">
        <v>626</v>
      </c>
      <c r="AU15" s="290">
        <v>152</v>
      </c>
      <c r="AV15" s="766">
        <v>325390</v>
      </c>
      <c r="AW15" s="290">
        <v>0</v>
      </c>
      <c r="AX15" s="766">
        <v>80.916650000000004</v>
      </c>
      <c r="AY15" s="290">
        <v>2307</v>
      </c>
      <c r="AZ15" s="290">
        <v>520</v>
      </c>
      <c r="BA15" s="290">
        <v>235</v>
      </c>
      <c r="BB15" s="290">
        <v>0</v>
      </c>
      <c r="BC15" s="290">
        <v>7681</v>
      </c>
      <c r="BD15" s="290"/>
      <c r="BE15" s="290">
        <v>383692.85621639999</v>
      </c>
      <c r="BF15" s="290">
        <v>0</v>
      </c>
      <c r="BG15" s="290">
        <v>0</v>
      </c>
      <c r="BH15" s="290">
        <v>-2043</v>
      </c>
      <c r="BI15" s="290">
        <v>8741</v>
      </c>
      <c r="BJ15" s="290">
        <v>2076.8191450155036</v>
      </c>
      <c r="BK15" s="290">
        <v>18</v>
      </c>
      <c r="BL15" s="290"/>
      <c r="BM15" s="290">
        <v>0</v>
      </c>
      <c r="BN15" s="290">
        <v>3111</v>
      </c>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f>+innut23!E21+innut23!S21</f>
        <v>385412.83274138503</v>
      </c>
      <c r="CL15" s="290"/>
      <c r="CM15" s="290">
        <v>0</v>
      </c>
      <c r="CN15" s="290">
        <v>0</v>
      </c>
      <c r="CO15" s="290"/>
      <c r="CP15" s="290"/>
      <c r="CQ15" s="290"/>
      <c r="CX15" s="517">
        <f t="shared" si="1"/>
        <v>0</v>
      </c>
      <c r="DB15" s="85">
        <f t="shared" si="2"/>
        <v>2.2469999999999999</v>
      </c>
    </row>
    <row r="16" spans="1:106" ht="13">
      <c r="A16" s="1">
        <v>1124</v>
      </c>
      <c r="B16" s="2" t="s">
        <v>5</v>
      </c>
      <c r="C16" s="289"/>
      <c r="D16" s="290">
        <v>688</v>
      </c>
      <c r="E16" s="290">
        <v>1464</v>
      </c>
      <c r="F16" s="290">
        <v>3863</v>
      </c>
      <c r="G16" s="290">
        <v>2342</v>
      </c>
      <c r="H16" s="290">
        <v>16252</v>
      </c>
      <c r="I16" s="290">
        <v>2389</v>
      </c>
      <c r="J16" s="290">
        <v>792</v>
      </c>
      <c r="K16" s="290">
        <v>164</v>
      </c>
      <c r="L16" s="290">
        <v>188</v>
      </c>
      <c r="M16" s="290">
        <v>1228</v>
      </c>
      <c r="N16" s="290">
        <v>532</v>
      </c>
      <c r="O16" s="290">
        <v>384</v>
      </c>
      <c r="P16" s="624">
        <v>40105.400333329999</v>
      </c>
      <c r="Q16" s="624">
        <v>48655.363333330002</v>
      </c>
      <c r="R16" s="624">
        <v>93</v>
      </c>
      <c r="S16" s="290"/>
      <c r="T16" s="290">
        <v>2120</v>
      </c>
      <c r="U16" s="958">
        <v>3.0526591482308942E-3</v>
      </c>
      <c r="V16" s="290">
        <v>2877.9267115900002</v>
      </c>
      <c r="W16" s="765">
        <v>0.55537179999999997</v>
      </c>
      <c r="X16" s="290">
        <v>1400</v>
      </c>
      <c r="Y16" s="290"/>
      <c r="Z16" s="290">
        <f>+innut23!E22</f>
        <v>1258082.2765584805</v>
      </c>
      <c r="AA16" s="290">
        <v>0</v>
      </c>
      <c r="AB16" s="290">
        <v>455</v>
      </c>
      <c r="AC16" s="290">
        <v>3802</v>
      </c>
      <c r="AD16" s="290"/>
      <c r="AE16" s="290">
        <v>0</v>
      </c>
      <c r="AF16" s="290">
        <v>0</v>
      </c>
      <c r="AG16" s="290">
        <v>27954</v>
      </c>
      <c r="AH16" s="290">
        <v>5903</v>
      </c>
      <c r="AI16" s="290"/>
      <c r="AJ16" s="290"/>
      <c r="AK16" s="290">
        <v>0</v>
      </c>
      <c r="AL16" s="290">
        <v>0</v>
      </c>
      <c r="AM16" s="957">
        <v>0.89048463</v>
      </c>
      <c r="AN16" s="290">
        <v>0</v>
      </c>
      <c r="AO16" s="290">
        <v>12357.319852819999</v>
      </c>
      <c r="AP16" s="290">
        <v>0</v>
      </c>
      <c r="AQ16" s="290">
        <v>0</v>
      </c>
      <c r="AR16" s="290">
        <v>-1147.19318486</v>
      </c>
      <c r="AS16" s="290">
        <v>49086</v>
      </c>
      <c r="AT16" s="290">
        <v>1322</v>
      </c>
      <c r="AU16" s="290">
        <v>389</v>
      </c>
      <c r="AV16" s="766">
        <v>660119</v>
      </c>
      <c r="AW16" s="290">
        <v>0</v>
      </c>
      <c r="AX16" s="766">
        <v>250.08335</v>
      </c>
      <c r="AY16" s="290">
        <v>7832</v>
      </c>
      <c r="AZ16" s="290">
        <v>1316</v>
      </c>
      <c r="BA16" s="290">
        <v>467</v>
      </c>
      <c r="BB16" s="290">
        <v>0</v>
      </c>
      <c r="BC16" s="290">
        <v>14315</v>
      </c>
      <c r="BD16" s="290"/>
      <c r="BE16" s="290">
        <v>780772.53200567001</v>
      </c>
      <c r="BF16" s="290">
        <v>0</v>
      </c>
      <c r="BG16" s="290">
        <v>0</v>
      </c>
      <c r="BH16" s="290">
        <v>-4633</v>
      </c>
      <c r="BI16" s="290">
        <v>15927</v>
      </c>
      <c r="BJ16" s="290">
        <v>4084.2663663257631</v>
      </c>
      <c r="BK16" s="290">
        <v>41</v>
      </c>
      <c r="BL16" s="290"/>
      <c r="BM16" s="290">
        <v>0</v>
      </c>
      <c r="BN16" s="290">
        <v>6222</v>
      </c>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f>+innut23!E22+innut23!S22</f>
        <v>1258082.2765584805</v>
      </c>
      <c r="CL16" s="290"/>
      <c r="CM16" s="290">
        <v>0</v>
      </c>
      <c r="CN16" s="290">
        <v>0</v>
      </c>
      <c r="CO16" s="290"/>
      <c r="CP16" s="290"/>
      <c r="CQ16" s="290"/>
      <c r="CX16" s="517">
        <f t="shared" si="1"/>
        <v>0</v>
      </c>
      <c r="DB16" s="85">
        <f t="shared" si="2"/>
        <v>5.1239999999999997</v>
      </c>
    </row>
    <row r="17" spans="1:106" ht="13">
      <c r="A17" s="1">
        <v>1127</v>
      </c>
      <c r="B17" s="2" t="s">
        <v>6</v>
      </c>
      <c r="C17" s="289"/>
      <c r="D17" s="290">
        <v>265</v>
      </c>
      <c r="E17" s="290">
        <v>537</v>
      </c>
      <c r="F17" s="290">
        <v>1586</v>
      </c>
      <c r="G17" s="290">
        <v>1108</v>
      </c>
      <c r="H17" s="290">
        <v>6431</v>
      </c>
      <c r="I17" s="290">
        <v>1098</v>
      </c>
      <c r="J17" s="290">
        <v>435</v>
      </c>
      <c r="K17" s="290">
        <v>80</v>
      </c>
      <c r="L17" s="290">
        <v>69</v>
      </c>
      <c r="M17" s="290">
        <v>497</v>
      </c>
      <c r="N17" s="290">
        <v>273</v>
      </c>
      <c r="O17" s="290">
        <v>111</v>
      </c>
      <c r="P17" s="624">
        <v>6597.73</v>
      </c>
      <c r="Q17" s="624">
        <v>15566.973333329999</v>
      </c>
      <c r="R17" s="624">
        <v>37</v>
      </c>
      <c r="S17" s="290"/>
      <c r="T17" s="290">
        <v>741</v>
      </c>
      <c r="U17" s="958">
        <v>1.4913827486813527E-3</v>
      </c>
      <c r="V17" s="290">
        <v>2881.12021134</v>
      </c>
      <c r="W17" s="765">
        <v>0.54507958000000001</v>
      </c>
      <c r="X17" s="290">
        <v>4000</v>
      </c>
      <c r="Y17" s="290"/>
      <c r="Z17" s="290">
        <f>+innut23!E23</f>
        <v>460510.74804054195</v>
      </c>
      <c r="AA17" s="290">
        <v>0</v>
      </c>
      <c r="AB17" s="290">
        <v>230</v>
      </c>
      <c r="AC17" s="290">
        <v>2606</v>
      </c>
      <c r="AD17" s="290"/>
      <c r="AE17" s="290">
        <v>0</v>
      </c>
      <c r="AF17" s="290">
        <v>0</v>
      </c>
      <c r="AG17" s="290">
        <v>11540</v>
      </c>
      <c r="AH17" s="290">
        <v>2423</v>
      </c>
      <c r="AI17" s="290"/>
      <c r="AJ17" s="290"/>
      <c r="AK17" s="290">
        <v>0</v>
      </c>
      <c r="AL17" s="290">
        <v>0</v>
      </c>
      <c r="AM17" s="957">
        <v>0.28088888000000001</v>
      </c>
      <c r="AN17" s="290">
        <v>0</v>
      </c>
      <c r="AO17" s="290">
        <v>5109.7050043299996</v>
      </c>
      <c r="AP17" s="290">
        <v>0</v>
      </c>
      <c r="AQ17" s="290">
        <v>0</v>
      </c>
      <c r="AR17" s="290">
        <v>-473.58551024000002</v>
      </c>
      <c r="AS17" s="290">
        <v>19607</v>
      </c>
      <c r="AT17" s="290">
        <v>506</v>
      </c>
      <c r="AU17" s="290">
        <v>126</v>
      </c>
      <c r="AV17" s="766">
        <v>279361</v>
      </c>
      <c r="AW17" s="290">
        <v>0</v>
      </c>
      <c r="AX17" s="766">
        <v>101.95835</v>
      </c>
      <c r="AY17" s="290">
        <v>2880</v>
      </c>
      <c r="AZ17" s="290">
        <v>578</v>
      </c>
      <c r="BA17" s="290">
        <v>230</v>
      </c>
      <c r="BB17" s="290">
        <v>0</v>
      </c>
      <c r="BC17" s="290">
        <v>5662</v>
      </c>
      <c r="BD17" s="290"/>
      <c r="BE17" s="290">
        <v>328614.39331633999</v>
      </c>
      <c r="BF17" s="290">
        <v>0</v>
      </c>
      <c r="BG17" s="290">
        <v>0</v>
      </c>
      <c r="BH17" s="290">
        <v>-1921</v>
      </c>
      <c r="BI17" s="290">
        <v>6585</v>
      </c>
      <c r="BJ17" s="290">
        <v>1657.0531369229425</v>
      </c>
      <c r="BK17" s="290">
        <v>16</v>
      </c>
      <c r="BL17" s="290"/>
      <c r="BM17" s="290">
        <v>0</v>
      </c>
      <c r="BN17" s="290">
        <v>1556</v>
      </c>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f>+innut23!E23+innut23!S23</f>
        <v>460510.74804054195</v>
      </c>
      <c r="CL17" s="290"/>
      <c r="CM17" s="290">
        <v>0</v>
      </c>
      <c r="CN17" s="290">
        <v>0</v>
      </c>
      <c r="CO17" s="290"/>
      <c r="CP17" s="290"/>
      <c r="CQ17" s="290"/>
      <c r="CX17" s="517">
        <f t="shared" si="1"/>
        <v>0</v>
      </c>
      <c r="DB17" s="85">
        <f t="shared" si="2"/>
        <v>2.1150000000000002</v>
      </c>
    </row>
    <row r="18" spans="1:106" ht="13">
      <c r="A18" s="1">
        <v>1130</v>
      </c>
      <c r="B18" s="2" t="s">
        <v>12</v>
      </c>
      <c r="C18" s="289"/>
      <c r="D18" s="290">
        <v>344</v>
      </c>
      <c r="E18" s="290">
        <v>651</v>
      </c>
      <c r="F18" s="290">
        <v>1924</v>
      </c>
      <c r="G18" s="290">
        <v>1216</v>
      </c>
      <c r="H18" s="290">
        <v>7256</v>
      </c>
      <c r="I18" s="290">
        <v>1397</v>
      </c>
      <c r="J18" s="290">
        <v>459</v>
      </c>
      <c r="K18" s="290">
        <v>110</v>
      </c>
      <c r="L18" s="290">
        <v>90</v>
      </c>
      <c r="M18" s="290">
        <v>733</v>
      </c>
      <c r="N18" s="290">
        <v>297</v>
      </c>
      <c r="O18" s="290">
        <v>125</v>
      </c>
      <c r="P18" s="624">
        <v>31603.899333329999</v>
      </c>
      <c r="Q18" s="624">
        <v>22502.706666670001</v>
      </c>
      <c r="R18" s="624">
        <v>62</v>
      </c>
      <c r="S18" s="290"/>
      <c r="T18" s="290">
        <v>972</v>
      </c>
      <c r="U18" s="958">
        <v>3.2921450846198643E-3</v>
      </c>
      <c r="V18" s="290">
        <v>-17775.172882760002</v>
      </c>
      <c r="W18" s="765">
        <v>0.57908868000000002</v>
      </c>
      <c r="X18" s="290">
        <v>4000</v>
      </c>
      <c r="Y18" s="290"/>
      <c r="Z18" s="290">
        <f>+innut23!E24</f>
        <v>429182.68057767284</v>
      </c>
      <c r="AA18" s="290">
        <v>0</v>
      </c>
      <c r="AB18" s="290">
        <v>318</v>
      </c>
      <c r="AC18" s="290">
        <v>2984</v>
      </c>
      <c r="AD18" s="290"/>
      <c r="AE18" s="290">
        <v>0</v>
      </c>
      <c r="AF18" s="290">
        <v>0</v>
      </c>
      <c r="AG18" s="290">
        <v>13357</v>
      </c>
      <c r="AH18" s="290">
        <v>2907</v>
      </c>
      <c r="AI18" s="290"/>
      <c r="AJ18" s="290"/>
      <c r="AK18" s="290">
        <v>0</v>
      </c>
      <c r="AL18" s="290">
        <v>0</v>
      </c>
      <c r="AM18" s="957">
        <v>0.31918445000000001</v>
      </c>
      <c r="AN18" s="290">
        <v>0</v>
      </c>
      <c r="AO18" s="290">
        <v>6262.8129658199996</v>
      </c>
      <c r="AP18" s="290">
        <v>0</v>
      </c>
      <c r="AQ18" s="290">
        <v>0</v>
      </c>
      <c r="AR18" s="290">
        <v>-548.15265686999999</v>
      </c>
      <c r="AS18" s="290">
        <v>21180</v>
      </c>
      <c r="AT18" s="290">
        <v>665</v>
      </c>
      <c r="AU18" s="290">
        <v>129</v>
      </c>
      <c r="AV18" s="766">
        <v>348903</v>
      </c>
      <c r="AW18" s="290">
        <v>0</v>
      </c>
      <c r="AX18" s="766">
        <v>99.708299999999994</v>
      </c>
      <c r="AY18" s="290">
        <v>2616</v>
      </c>
      <c r="AZ18" s="290">
        <v>655</v>
      </c>
      <c r="BA18" s="290">
        <v>307</v>
      </c>
      <c r="BB18" s="290">
        <v>0</v>
      </c>
      <c r="BC18" s="290">
        <v>7866</v>
      </c>
      <c r="BD18" s="290"/>
      <c r="BE18" s="290">
        <v>408876.10551243002</v>
      </c>
      <c r="BF18" s="290">
        <v>0</v>
      </c>
      <c r="BG18" s="290">
        <v>0</v>
      </c>
      <c r="BH18" s="290">
        <v>-2227</v>
      </c>
      <c r="BI18" s="290">
        <v>9002</v>
      </c>
      <c r="BJ18" s="290">
        <v>2021.8805753275096</v>
      </c>
      <c r="BK18" s="290">
        <v>20</v>
      </c>
      <c r="BL18" s="290"/>
      <c r="BM18" s="290">
        <v>0</v>
      </c>
      <c r="BN18" s="290">
        <v>3111</v>
      </c>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f>+innut23!E24+innut23!S24</f>
        <v>429182.68057767284</v>
      </c>
      <c r="CL18" s="290"/>
      <c r="CM18" s="290">
        <v>0</v>
      </c>
      <c r="CN18" s="290">
        <v>0</v>
      </c>
      <c r="CO18" s="290"/>
      <c r="CP18" s="290"/>
      <c r="CQ18" s="290"/>
      <c r="CX18" s="517">
        <f t="shared" si="1"/>
        <v>0</v>
      </c>
      <c r="DB18" s="85">
        <f t="shared" si="2"/>
        <v>2.448</v>
      </c>
    </row>
    <row r="19" spans="1:106" ht="13">
      <c r="A19" s="1">
        <v>1133</v>
      </c>
      <c r="B19" s="2" t="s">
        <v>13</v>
      </c>
      <c r="C19" s="289"/>
      <c r="D19" s="290">
        <v>46</v>
      </c>
      <c r="E19" s="290">
        <v>108</v>
      </c>
      <c r="F19" s="290">
        <v>357</v>
      </c>
      <c r="G19" s="290">
        <v>233</v>
      </c>
      <c r="H19" s="290">
        <v>1324</v>
      </c>
      <c r="I19" s="290">
        <v>378</v>
      </c>
      <c r="J19" s="290">
        <v>118</v>
      </c>
      <c r="K19" s="290">
        <v>26</v>
      </c>
      <c r="L19" s="290">
        <v>18</v>
      </c>
      <c r="M19" s="290">
        <v>210</v>
      </c>
      <c r="N19" s="290">
        <v>49</v>
      </c>
      <c r="O19" s="290">
        <v>46</v>
      </c>
      <c r="P19" s="624">
        <v>27617.583999999999</v>
      </c>
      <c r="Q19" s="624">
        <v>12416.95866667</v>
      </c>
      <c r="R19" s="624">
        <v>5</v>
      </c>
      <c r="S19" s="290"/>
      <c r="T19" s="290">
        <v>182</v>
      </c>
      <c r="U19" s="958">
        <v>4.0402064916987765E-3</v>
      </c>
      <c r="V19" s="290">
        <v>870.83881364000001</v>
      </c>
      <c r="W19" s="765">
        <v>1</v>
      </c>
      <c r="X19" s="290">
        <v>1500</v>
      </c>
      <c r="Y19" s="290"/>
      <c r="Z19" s="290">
        <f>+innut23!E25</f>
        <v>104479.72657756608</v>
      </c>
      <c r="AA19" s="290">
        <v>0</v>
      </c>
      <c r="AB19" s="290">
        <v>49</v>
      </c>
      <c r="AC19" s="290">
        <v>547</v>
      </c>
      <c r="AD19" s="290"/>
      <c r="AE19" s="290">
        <v>0</v>
      </c>
      <c r="AF19" s="290">
        <v>0</v>
      </c>
      <c r="AG19" s="290">
        <v>2590</v>
      </c>
      <c r="AH19" s="290">
        <v>510</v>
      </c>
      <c r="AI19" s="290"/>
      <c r="AJ19" s="290"/>
      <c r="AK19" s="290">
        <v>0</v>
      </c>
      <c r="AL19" s="290">
        <v>0</v>
      </c>
      <c r="AM19" s="957">
        <v>3.1637289999999998E-2</v>
      </c>
      <c r="AN19" s="290">
        <v>0</v>
      </c>
      <c r="AO19" s="290">
        <v>1371.9724419500001</v>
      </c>
      <c r="AP19" s="290">
        <v>0</v>
      </c>
      <c r="AQ19" s="290">
        <v>0</v>
      </c>
      <c r="AR19" s="290">
        <v>1496.27483302</v>
      </c>
      <c r="AS19" s="290">
        <v>3394</v>
      </c>
      <c r="AT19" s="290">
        <v>99</v>
      </c>
      <c r="AU19" s="290">
        <v>18</v>
      </c>
      <c r="AV19" s="766">
        <v>105952</v>
      </c>
      <c r="AW19" s="290">
        <v>0</v>
      </c>
      <c r="AX19" s="766">
        <v>15.24995</v>
      </c>
      <c r="AY19" s="290">
        <v>523</v>
      </c>
      <c r="AZ19" s="290">
        <v>114</v>
      </c>
      <c r="BA19" s="290">
        <v>26</v>
      </c>
      <c r="BB19" s="290">
        <v>6257</v>
      </c>
      <c r="BC19" s="290">
        <v>2387</v>
      </c>
      <c r="BD19" s="290"/>
      <c r="BE19" s="290">
        <v>113546.70716436001</v>
      </c>
      <c r="BF19" s="290">
        <v>0</v>
      </c>
      <c r="BG19" s="290">
        <v>0</v>
      </c>
      <c r="BH19" s="290">
        <v>-430</v>
      </c>
      <c r="BI19" s="290">
        <v>2613</v>
      </c>
      <c r="BJ19" s="290">
        <v>434.24408369623575</v>
      </c>
      <c r="BK19" s="290">
        <v>3</v>
      </c>
      <c r="BL19" s="290"/>
      <c r="BM19" s="290">
        <v>0</v>
      </c>
      <c r="BN19" s="290">
        <v>1556</v>
      </c>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f>+innut23!E25+innut23!S25</f>
        <v>104479.72657756608</v>
      </c>
      <c r="CL19" s="290"/>
      <c r="CM19" s="290">
        <v>0</v>
      </c>
      <c r="CN19" s="290">
        <v>0</v>
      </c>
      <c r="CO19" s="290"/>
      <c r="CP19" s="290"/>
      <c r="CQ19" s="290"/>
      <c r="CX19" s="517">
        <f t="shared" si="1"/>
        <v>0</v>
      </c>
      <c r="DB19" s="85">
        <f t="shared" si="2"/>
        <v>0.47499999999999998</v>
      </c>
    </row>
    <row r="20" spans="1:106" ht="13">
      <c r="A20" s="1">
        <v>1134</v>
      </c>
      <c r="B20" s="2" t="s">
        <v>14</v>
      </c>
      <c r="C20" s="289"/>
      <c r="D20" s="290">
        <v>66</v>
      </c>
      <c r="E20" s="290">
        <v>167</v>
      </c>
      <c r="F20" s="290">
        <v>503</v>
      </c>
      <c r="G20" s="290">
        <v>322</v>
      </c>
      <c r="H20" s="290">
        <v>1928</v>
      </c>
      <c r="I20" s="290">
        <v>566</v>
      </c>
      <c r="J20" s="290">
        <v>181</v>
      </c>
      <c r="K20" s="290">
        <v>37</v>
      </c>
      <c r="L20" s="290">
        <v>29</v>
      </c>
      <c r="M20" s="290">
        <v>282</v>
      </c>
      <c r="N20" s="290">
        <v>86</v>
      </c>
      <c r="O20" s="290">
        <v>37</v>
      </c>
      <c r="P20" s="624">
        <v>70868.235666670007</v>
      </c>
      <c r="Q20" s="624">
        <v>23612.146333330002</v>
      </c>
      <c r="R20" s="624">
        <v>12</v>
      </c>
      <c r="S20" s="290"/>
      <c r="T20" s="290">
        <v>265</v>
      </c>
      <c r="U20" s="958">
        <v>4.6267866483772173E-3</v>
      </c>
      <c r="V20" s="290">
        <v>2474.1519054300002</v>
      </c>
      <c r="W20" s="765">
        <v>1</v>
      </c>
      <c r="X20" s="290">
        <v>0</v>
      </c>
      <c r="Y20" s="290"/>
      <c r="Z20" s="290">
        <f>+innut23!E26</f>
        <v>165382.86139418001</v>
      </c>
      <c r="AA20" s="290">
        <v>0</v>
      </c>
      <c r="AB20" s="290">
        <v>68</v>
      </c>
      <c r="AC20" s="290">
        <v>69</v>
      </c>
      <c r="AD20" s="290"/>
      <c r="AE20" s="290">
        <v>0</v>
      </c>
      <c r="AF20" s="290">
        <v>0</v>
      </c>
      <c r="AG20" s="290">
        <v>3770</v>
      </c>
      <c r="AH20" s="290">
        <v>740</v>
      </c>
      <c r="AI20" s="290"/>
      <c r="AJ20" s="290"/>
      <c r="AK20" s="290">
        <v>726</v>
      </c>
      <c r="AL20" s="290">
        <v>0</v>
      </c>
      <c r="AM20" s="957">
        <v>2.4706229999999999E-2</v>
      </c>
      <c r="AN20" s="290">
        <v>0</v>
      </c>
      <c r="AO20" s="290">
        <v>1999.90054878</v>
      </c>
      <c r="AP20" s="290">
        <v>0</v>
      </c>
      <c r="AQ20" s="290">
        <v>0</v>
      </c>
      <c r="AR20" s="290">
        <v>-154.71554363999999</v>
      </c>
      <c r="AS20" s="290">
        <v>4768</v>
      </c>
      <c r="AT20" s="290">
        <v>134</v>
      </c>
      <c r="AU20" s="290">
        <v>20</v>
      </c>
      <c r="AV20" s="766">
        <v>143884</v>
      </c>
      <c r="AW20" s="290">
        <v>0</v>
      </c>
      <c r="AX20" s="766">
        <v>23.541650000000001</v>
      </c>
      <c r="AY20" s="290">
        <v>750</v>
      </c>
      <c r="AZ20" s="290">
        <v>132</v>
      </c>
      <c r="BA20" s="290">
        <v>48</v>
      </c>
      <c r="BB20" s="290">
        <v>0</v>
      </c>
      <c r="BC20" s="290">
        <v>5098</v>
      </c>
      <c r="BD20" s="290"/>
      <c r="BE20" s="290">
        <v>156956.41319356</v>
      </c>
      <c r="BF20" s="290">
        <v>0</v>
      </c>
      <c r="BG20" s="290">
        <v>0</v>
      </c>
      <c r="BH20" s="290">
        <v>-639</v>
      </c>
      <c r="BI20" s="290">
        <v>5165</v>
      </c>
      <c r="BJ20" s="290">
        <v>614.25784736382718</v>
      </c>
      <c r="BK20" s="290">
        <v>5</v>
      </c>
      <c r="BL20" s="290"/>
      <c r="BM20" s="290">
        <v>0</v>
      </c>
      <c r="BN20" s="290">
        <v>3630</v>
      </c>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f>+innut23!E26+innut23!S26</f>
        <v>165382.86139418001</v>
      </c>
      <c r="CL20" s="290"/>
      <c r="CM20" s="290">
        <v>624.47848092133381</v>
      </c>
      <c r="CN20" s="290">
        <v>516.53891246998728</v>
      </c>
      <c r="CO20" s="290"/>
      <c r="CP20" s="290"/>
      <c r="CQ20" s="290"/>
      <c r="CX20" s="517">
        <f t="shared" si="1"/>
        <v>0</v>
      </c>
      <c r="DB20" s="85">
        <f t="shared" si="2"/>
        <v>0.69099999999999995</v>
      </c>
    </row>
    <row r="21" spans="1:106" ht="13">
      <c r="A21" s="1">
        <v>1135</v>
      </c>
      <c r="B21" s="2" t="s">
        <v>15</v>
      </c>
      <c r="C21" s="289"/>
      <c r="D21" s="290">
        <v>84</v>
      </c>
      <c r="E21" s="290">
        <v>171</v>
      </c>
      <c r="F21" s="290">
        <v>581</v>
      </c>
      <c r="G21" s="290">
        <v>363</v>
      </c>
      <c r="H21" s="290">
        <v>2433</v>
      </c>
      <c r="I21" s="290">
        <v>585</v>
      </c>
      <c r="J21" s="290">
        <v>236</v>
      </c>
      <c r="K21" s="290">
        <v>73</v>
      </c>
      <c r="L21" s="290">
        <v>38</v>
      </c>
      <c r="M21" s="290">
        <v>401</v>
      </c>
      <c r="N21" s="290">
        <v>78</v>
      </c>
      <c r="O21" s="290">
        <v>47</v>
      </c>
      <c r="P21" s="624">
        <v>10381.77333333</v>
      </c>
      <c r="Q21" s="624">
        <v>5626.7373333300002</v>
      </c>
      <c r="R21" s="624">
        <v>23</v>
      </c>
      <c r="S21" s="290"/>
      <c r="T21" s="290">
        <v>398</v>
      </c>
      <c r="U21" s="958">
        <v>1.3642980118813612E-3</v>
      </c>
      <c r="V21" s="290">
        <v>2928.5434052000001</v>
      </c>
      <c r="W21" s="765">
        <v>0.69296471000000004</v>
      </c>
      <c r="X21" s="290">
        <v>700</v>
      </c>
      <c r="Y21" s="290"/>
      <c r="Z21" s="290">
        <f>+innut23!E27</f>
        <v>163103.62435919614</v>
      </c>
      <c r="AA21" s="290">
        <v>0</v>
      </c>
      <c r="AB21" s="290">
        <v>95</v>
      </c>
      <c r="AC21" s="290">
        <v>1100</v>
      </c>
      <c r="AD21" s="290"/>
      <c r="AE21" s="290">
        <v>0</v>
      </c>
      <c r="AF21" s="290">
        <v>0</v>
      </c>
      <c r="AG21" s="290">
        <v>4526</v>
      </c>
      <c r="AH21" s="290">
        <v>842</v>
      </c>
      <c r="AI21" s="290"/>
      <c r="AJ21" s="290"/>
      <c r="AK21" s="290">
        <v>0</v>
      </c>
      <c r="AL21" s="290">
        <v>0</v>
      </c>
      <c r="AM21" s="957">
        <v>4.1316829999999999E-2</v>
      </c>
      <c r="AN21" s="290">
        <v>6907</v>
      </c>
      <c r="AO21" s="290">
        <v>2263.8004173200002</v>
      </c>
      <c r="AP21" s="290">
        <v>0</v>
      </c>
      <c r="AQ21" s="290">
        <v>0</v>
      </c>
      <c r="AR21" s="290">
        <v>737.45868006000001</v>
      </c>
      <c r="AS21" s="290">
        <v>5785</v>
      </c>
      <c r="AT21" s="290">
        <v>187</v>
      </c>
      <c r="AU21" s="290">
        <v>26</v>
      </c>
      <c r="AV21" s="766">
        <v>160614</v>
      </c>
      <c r="AW21" s="290">
        <v>0</v>
      </c>
      <c r="AX21" s="766">
        <v>31.624949999999998</v>
      </c>
      <c r="AY21" s="290">
        <v>872</v>
      </c>
      <c r="AZ21" s="290">
        <v>174</v>
      </c>
      <c r="BA21" s="290">
        <v>87</v>
      </c>
      <c r="BB21" s="290">
        <v>0</v>
      </c>
      <c r="BC21" s="290">
        <v>3712</v>
      </c>
      <c r="BD21" s="290"/>
      <c r="BE21" s="290">
        <v>174580.24414955999</v>
      </c>
      <c r="BF21" s="290">
        <v>0</v>
      </c>
      <c r="BG21" s="290">
        <v>0</v>
      </c>
      <c r="BH21" s="290">
        <v>-764</v>
      </c>
      <c r="BI21" s="290">
        <v>4016</v>
      </c>
      <c r="BJ21" s="290">
        <v>629.09521781044282</v>
      </c>
      <c r="BK21" s="290">
        <v>6</v>
      </c>
      <c r="BL21" s="290"/>
      <c r="BM21" s="290">
        <v>0</v>
      </c>
      <c r="BN21" s="290">
        <v>2074</v>
      </c>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f>+innut23!E27+innut23!S27</f>
        <v>163103.62435919614</v>
      </c>
      <c r="CL21" s="290"/>
      <c r="CM21" s="290">
        <v>0</v>
      </c>
      <c r="CN21" s="290">
        <v>0</v>
      </c>
      <c r="CO21" s="290"/>
      <c r="CP21" s="290"/>
      <c r="CQ21" s="290"/>
      <c r="CX21" s="517">
        <f t="shared" si="1"/>
        <v>0</v>
      </c>
      <c r="DB21" s="85">
        <f t="shared" si="2"/>
        <v>0.83</v>
      </c>
    </row>
    <row r="22" spans="1:106" ht="13">
      <c r="A22" s="1">
        <v>1144</v>
      </c>
      <c r="B22" s="2" t="s">
        <v>18</v>
      </c>
      <c r="C22" s="289"/>
      <c r="D22" s="290">
        <v>9</v>
      </c>
      <c r="E22" s="290">
        <v>18</v>
      </c>
      <c r="F22" s="290">
        <v>59</v>
      </c>
      <c r="G22" s="290">
        <v>52</v>
      </c>
      <c r="H22" s="290">
        <v>262</v>
      </c>
      <c r="I22" s="290">
        <v>72</v>
      </c>
      <c r="J22" s="290">
        <v>40</v>
      </c>
      <c r="K22" s="290">
        <v>8</v>
      </c>
      <c r="L22" s="290">
        <v>2</v>
      </c>
      <c r="M22" s="290">
        <v>46</v>
      </c>
      <c r="N22" s="290">
        <v>3</v>
      </c>
      <c r="O22" s="290">
        <v>1.5</v>
      </c>
      <c r="P22" s="624">
        <v>408.92533333</v>
      </c>
      <c r="Q22" s="624">
        <v>498.73466667000002</v>
      </c>
      <c r="R22" s="624">
        <v>1</v>
      </c>
      <c r="S22" s="290"/>
      <c r="T22" s="290">
        <v>34</v>
      </c>
      <c r="U22" s="958">
        <v>2.4261989845050439E-4</v>
      </c>
      <c r="V22" s="290">
        <v>479.48638334999998</v>
      </c>
      <c r="W22" s="765">
        <v>1</v>
      </c>
      <c r="X22" s="290">
        <v>800</v>
      </c>
      <c r="Y22" s="290"/>
      <c r="Z22" s="290">
        <f>+innut23!E28</f>
        <v>16406.469307238709</v>
      </c>
      <c r="AA22" s="290">
        <v>696</v>
      </c>
      <c r="AB22" s="290">
        <v>5</v>
      </c>
      <c r="AC22" s="290">
        <v>581</v>
      </c>
      <c r="AD22" s="290"/>
      <c r="AE22" s="290">
        <v>0</v>
      </c>
      <c r="AF22" s="290">
        <v>0</v>
      </c>
      <c r="AG22" s="290">
        <v>520</v>
      </c>
      <c r="AH22" s="290">
        <v>100</v>
      </c>
      <c r="AI22" s="290"/>
      <c r="AJ22" s="290"/>
      <c r="AK22" s="290">
        <v>0</v>
      </c>
      <c r="AL22" s="290">
        <v>0</v>
      </c>
      <c r="AM22" s="957">
        <v>2.8954900000000001E-3</v>
      </c>
      <c r="AN22" s="290">
        <v>0</v>
      </c>
      <c r="AO22" s="290">
        <v>370.64892834</v>
      </c>
      <c r="AP22" s="290">
        <v>0</v>
      </c>
      <c r="AQ22" s="290">
        <v>0</v>
      </c>
      <c r="AR22" s="290">
        <v>-21.340074980000001</v>
      </c>
      <c r="AS22" s="290">
        <v>820</v>
      </c>
      <c r="AT22" s="290">
        <v>22</v>
      </c>
      <c r="AU22" s="290">
        <v>4</v>
      </c>
      <c r="AV22" s="766">
        <v>36101</v>
      </c>
      <c r="AW22" s="290">
        <v>0</v>
      </c>
      <c r="AX22" s="766">
        <v>5.2916999999999996</v>
      </c>
      <c r="AY22" s="290">
        <v>98</v>
      </c>
      <c r="AZ22" s="290">
        <v>9</v>
      </c>
      <c r="BA22" s="290">
        <v>7</v>
      </c>
      <c r="BB22" s="290">
        <v>3129</v>
      </c>
      <c r="BC22" s="290">
        <v>1815</v>
      </c>
      <c r="BD22" s="290"/>
      <c r="BE22" s="290">
        <v>40193.797673640001</v>
      </c>
      <c r="BF22" s="290">
        <v>0</v>
      </c>
      <c r="BG22" s="290">
        <v>0</v>
      </c>
      <c r="BH22" s="290">
        <v>-89</v>
      </c>
      <c r="BI22" s="290">
        <v>1896</v>
      </c>
      <c r="BJ22" s="290">
        <v>90.639707210924144</v>
      </c>
      <c r="BK22" s="290">
        <v>1</v>
      </c>
      <c r="BL22" s="290"/>
      <c r="BM22" s="290">
        <v>0</v>
      </c>
      <c r="BN22" s="290">
        <v>519</v>
      </c>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f>+innut23!E28+innut23!S28</f>
        <v>16406.469307238709</v>
      </c>
      <c r="CL22" s="290"/>
      <c r="CM22" s="290">
        <v>0</v>
      </c>
      <c r="CN22" s="290">
        <v>0</v>
      </c>
      <c r="CO22" s="290"/>
      <c r="CP22" s="290"/>
      <c r="CQ22" s="290"/>
      <c r="CX22" s="517">
        <f t="shared" si="1"/>
        <v>0</v>
      </c>
      <c r="DB22" s="85">
        <f t="shared" si="2"/>
        <v>9.5000000000000001E-2</v>
      </c>
    </row>
    <row r="23" spans="1:106" ht="13">
      <c r="A23" s="1">
        <v>1145</v>
      </c>
      <c r="B23" s="2" t="s">
        <v>19</v>
      </c>
      <c r="C23" s="289"/>
      <c r="D23" s="290">
        <v>14</v>
      </c>
      <c r="E23" s="290">
        <v>28</v>
      </c>
      <c r="F23" s="290">
        <v>88</v>
      </c>
      <c r="G23" s="290">
        <v>84</v>
      </c>
      <c r="H23" s="290">
        <v>470</v>
      </c>
      <c r="I23" s="290">
        <v>111</v>
      </c>
      <c r="J23" s="290">
        <v>41</v>
      </c>
      <c r="K23" s="290">
        <v>17</v>
      </c>
      <c r="L23" s="290">
        <v>4</v>
      </c>
      <c r="M23" s="290">
        <v>69</v>
      </c>
      <c r="N23" s="290">
        <v>0</v>
      </c>
      <c r="O23" s="290">
        <v>3</v>
      </c>
      <c r="P23" s="624">
        <v>2293.2576666700002</v>
      </c>
      <c r="Q23" s="624">
        <v>2485.2646666700002</v>
      </c>
      <c r="R23" s="624">
        <v>3</v>
      </c>
      <c r="S23" s="290"/>
      <c r="T23" s="290">
        <v>61</v>
      </c>
      <c r="U23" s="958">
        <v>8.3760855472876921E-4</v>
      </c>
      <c r="V23" s="290">
        <v>523.39493680999999</v>
      </c>
      <c r="W23" s="765">
        <v>0.90283669</v>
      </c>
      <c r="X23" s="290">
        <v>1000</v>
      </c>
      <c r="Y23" s="290"/>
      <c r="Z23" s="290">
        <f>+innut23!E29</f>
        <v>27326.288347378995</v>
      </c>
      <c r="AA23" s="290">
        <v>0</v>
      </c>
      <c r="AB23" s="290">
        <v>21</v>
      </c>
      <c r="AC23" s="290">
        <v>0</v>
      </c>
      <c r="AD23" s="290"/>
      <c r="AE23" s="290">
        <v>0</v>
      </c>
      <c r="AF23" s="290">
        <v>0</v>
      </c>
      <c r="AG23" s="290">
        <v>853</v>
      </c>
      <c r="AH23" s="290">
        <v>146</v>
      </c>
      <c r="AI23" s="290"/>
      <c r="AJ23" s="290"/>
      <c r="AK23" s="290">
        <v>19</v>
      </c>
      <c r="AL23" s="290">
        <v>0</v>
      </c>
      <c r="AM23" s="957">
        <v>4.7276100000000001E-3</v>
      </c>
      <c r="AN23" s="290">
        <v>0</v>
      </c>
      <c r="AO23" s="290">
        <v>491.94118857000001</v>
      </c>
      <c r="AP23" s="290">
        <v>0</v>
      </c>
      <c r="AQ23" s="290">
        <v>0</v>
      </c>
      <c r="AR23" s="290">
        <v>1526.58286357</v>
      </c>
      <c r="AS23" s="290">
        <v>1363</v>
      </c>
      <c r="AT23" s="290">
        <v>36</v>
      </c>
      <c r="AU23" s="290">
        <v>4</v>
      </c>
      <c r="AV23" s="766">
        <v>43274</v>
      </c>
      <c r="AW23" s="290">
        <v>0</v>
      </c>
      <c r="AX23" s="766">
        <v>2.4583499999999998</v>
      </c>
      <c r="AY23" s="290">
        <v>128</v>
      </c>
      <c r="AZ23" s="290">
        <v>24</v>
      </c>
      <c r="BA23" s="290">
        <v>15</v>
      </c>
      <c r="BB23" s="290">
        <v>3129</v>
      </c>
      <c r="BC23" s="290">
        <v>715</v>
      </c>
      <c r="BD23" s="290"/>
      <c r="BE23" s="290">
        <v>44652.09004345</v>
      </c>
      <c r="BF23" s="290">
        <v>0</v>
      </c>
      <c r="BG23" s="290">
        <v>0</v>
      </c>
      <c r="BH23" s="290">
        <v>-145</v>
      </c>
      <c r="BI23" s="290">
        <v>684</v>
      </c>
      <c r="BJ23" s="290">
        <v>120.58618941732013</v>
      </c>
      <c r="BK23" s="290">
        <v>1</v>
      </c>
      <c r="BL23" s="290"/>
      <c r="BM23" s="290">
        <v>0</v>
      </c>
      <c r="BN23" s="290">
        <v>519</v>
      </c>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f>+innut23!E29+innut23!S29</f>
        <v>27326.288347378995</v>
      </c>
      <c r="CL23" s="290"/>
      <c r="CM23" s="290">
        <v>0</v>
      </c>
      <c r="CN23" s="290">
        <v>0</v>
      </c>
      <c r="CO23" s="290"/>
      <c r="CP23" s="290"/>
      <c r="CQ23" s="290"/>
      <c r="CX23" s="517">
        <f t="shared" si="1"/>
        <v>0</v>
      </c>
      <c r="DB23" s="85">
        <f t="shared" si="2"/>
        <v>0.156</v>
      </c>
    </row>
    <row r="24" spans="1:106" ht="13">
      <c r="A24" s="1">
        <v>1146</v>
      </c>
      <c r="B24" s="2" t="s">
        <v>20</v>
      </c>
      <c r="C24" s="289"/>
      <c r="D24" s="290">
        <v>287</v>
      </c>
      <c r="E24" s="290">
        <v>565</v>
      </c>
      <c r="F24" s="290">
        <v>1674</v>
      </c>
      <c r="G24" s="290">
        <v>1057</v>
      </c>
      <c r="H24" s="290">
        <v>6041</v>
      </c>
      <c r="I24" s="290">
        <v>1262</v>
      </c>
      <c r="J24" s="290">
        <v>390</v>
      </c>
      <c r="K24" s="290">
        <v>62</v>
      </c>
      <c r="L24" s="290">
        <v>76</v>
      </c>
      <c r="M24" s="290">
        <v>585</v>
      </c>
      <c r="N24" s="290">
        <v>184</v>
      </c>
      <c r="O24" s="290">
        <v>88</v>
      </c>
      <c r="P24" s="624">
        <v>101482.26433332999</v>
      </c>
      <c r="Q24" s="624">
        <v>30164.204333329999</v>
      </c>
      <c r="R24" s="624">
        <v>42</v>
      </c>
      <c r="S24" s="290"/>
      <c r="T24" s="290">
        <v>673</v>
      </c>
      <c r="U24" s="958">
        <v>5.6531311025735291E-3</v>
      </c>
      <c r="V24" s="290">
        <v>1244.9011043800001</v>
      </c>
      <c r="W24" s="765">
        <v>0.65961711000000001</v>
      </c>
      <c r="X24" s="290">
        <v>1400</v>
      </c>
      <c r="Y24" s="290"/>
      <c r="Z24" s="290">
        <f>+innut23!E30</f>
        <v>360603.23699827457</v>
      </c>
      <c r="AA24" s="290">
        <v>0</v>
      </c>
      <c r="AB24" s="290">
        <v>240</v>
      </c>
      <c r="AC24" s="290">
        <v>1179</v>
      </c>
      <c r="AD24" s="290"/>
      <c r="AE24" s="290">
        <v>0</v>
      </c>
      <c r="AF24" s="290">
        <v>0</v>
      </c>
      <c r="AG24" s="290">
        <v>11338</v>
      </c>
      <c r="AH24" s="290">
        <v>2521</v>
      </c>
      <c r="AI24" s="290"/>
      <c r="AJ24" s="290"/>
      <c r="AK24" s="290">
        <v>35356</v>
      </c>
      <c r="AL24" s="290">
        <v>0</v>
      </c>
      <c r="AM24" s="957">
        <v>0.13656062999999999</v>
      </c>
      <c r="AN24" s="290">
        <v>0</v>
      </c>
      <c r="AO24" s="290">
        <v>5329.8441709099998</v>
      </c>
      <c r="AP24" s="290">
        <v>0</v>
      </c>
      <c r="AQ24" s="290">
        <v>0</v>
      </c>
      <c r="AR24" s="290">
        <v>-465.29571188</v>
      </c>
      <c r="AS24" s="290">
        <v>17982</v>
      </c>
      <c r="AT24" s="290">
        <v>500</v>
      </c>
      <c r="AU24" s="290">
        <v>95</v>
      </c>
      <c r="AV24" s="766">
        <v>340767</v>
      </c>
      <c r="AW24" s="290">
        <v>0</v>
      </c>
      <c r="AX24" s="766">
        <v>112.875</v>
      </c>
      <c r="AY24" s="290">
        <v>2212</v>
      </c>
      <c r="AZ24" s="290">
        <v>366</v>
      </c>
      <c r="BA24" s="290">
        <v>187</v>
      </c>
      <c r="BB24" s="290">
        <v>0</v>
      </c>
      <c r="BC24" s="290">
        <v>36243</v>
      </c>
      <c r="BD24" s="290"/>
      <c r="BE24" s="290">
        <v>398893.08858618001</v>
      </c>
      <c r="BF24" s="290">
        <v>0</v>
      </c>
      <c r="BG24" s="290">
        <v>0</v>
      </c>
      <c r="BH24" s="290">
        <v>-1898</v>
      </c>
      <c r="BI24" s="290">
        <v>43204</v>
      </c>
      <c r="BJ24" s="290">
        <v>1811.2587327640006</v>
      </c>
      <c r="BK24" s="290">
        <v>14</v>
      </c>
      <c r="BL24" s="290"/>
      <c r="BM24" s="290">
        <v>0</v>
      </c>
      <c r="BN24" s="290">
        <v>4148</v>
      </c>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f>+innut23!E30+innut23!S30</f>
        <v>360603.23699827457</v>
      </c>
      <c r="CL24" s="290"/>
      <c r="CM24" s="290">
        <v>41711.588880889947</v>
      </c>
      <c r="CN24" s="290">
        <v>48047.244923817692</v>
      </c>
      <c r="CO24" s="290"/>
      <c r="CP24" s="290"/>
      <c r="CQ24" s="290"/>
      <c r="CX24" s="517">
        <f t="shared" si="1"/>
        <v>0</v>
      </c>
      <c r="DB24" s="85">
        <f t="shared" si="2"/>
        <v>2.0779999999999998</v>
      </c>
    </row>
    <row r="25" spans="1:106" ht="13">
      <c r="A25" s="1">
        <v>1149</v>
      </c>
      <c r="B25" s="2" t="s">
        <v>21</v>
      </c>
      <c r="C25" s="289"/>
      <c r="D25" s="290">
        <v>907</v>
      </c>
      <c r="E25" s="290">
        <v>1898</v>
      </c>
      <c r="F25" s="290">
        <v>5803</v>
      </c>
      <c r="G25" s="290">
        <v>3734</v>
      </c>
      <c r="H25" s="290">
        <v>23649</v>
      </c>
      <c r="I25" s="290">
        <v>4917</v>
      </c>
      <c r="J25" s="290">
        <v>1582</v>
      </c>
      <c r="K25" s="290">
        <v>322</v>
      </c>
      <c r="L25" s="290">
        <v>323</v>
      </c>
      <c r="M25" s="290">
        <v>2495</v>
      </c>
      <c r="N25" s="290">
        <v>540</v>
      </c>
      <c r="O25" s="290">
        <v>271</v>
      </c>
      <c r="P25" s="624">
        <v>105728.37033333001</v>
      </c>
      <c r="Q25" s="624">
        <v>60313.59</v>
      </c>
      <c r="R25" s="624">
        <v>188</v>
      </c>
      <c r="S25" s="290"/>
      <c r="T25" s="290">
        <v>3147</v>
      </c>
      <c r="U25" s="958">
        <v>5.5298681349983097E-3</v>
      </c>
      <c r="V25" s="290">
        <v>-22046.516631769999</v>
      </c>
      <c r="W25" s="765">
        <v>0.56027472</v>
      </c>
      <c r="X25" s="290">
        <v>1900</v>
      </c>
      <c r="Y25" s="290"/>
      <c r="Z25" s="290">
        <f>+innut23!E31</f>
        <v>1322809.1761158961</v>
      </c>
      <c r="AA25" s="290">
        <v>0</v>
      </c>
      <c r="AB25" s="290">
        <v>1174</v>
      </c>
      <c r="AC25" s="290">
        <v>9294</v>
      </c>
      <c r="AD25" s="290"/>
      <c r="AE25" s="290">
        <v>0</v>
      </c>
      <c r="AF25" s="290">
        <v>0</v>
      </c>
      <c r="AG25" s="290">
        <v>42812</v>
      </c>
      <c r="AH25" s="290">
        <v>8626</v>
      </c>
      <c r="AI25" s="290"/>
      <c r="AJ25" s="290"/>
      <c r="AK25" s="290">
        <v>7302</v>
      </c>
      <c r="AL25" s="290">
        <v>0</v>
      </c>
      <c r="AM25" s="957">
        <v>0.76235238000000005</v>
      </c>
      <c r="AN25" s="290">
        <v>0</v>
      </c>
      <c r="AO25" s="290">
        <v>19208.186198930001</v>
      </c>
      <c r="AP25" s="290">
        <v>0</v>
      </c>
      <c r="AQ25" s="290">
        <v>0</v>
      </c>
      <c r="AR25" s="290">
        <v>-1756.9447889400001</v>
      </c>
      <c r="AS25" s="290">
        <v>68306</v>
      </c>
      <c r="AT25" s="290">
        <v>2126</v>
      </c>
      <c r="AU25" s="290">
        <v>437</v>
      </c>
      <c r="AV25" s="766">
        <v>1051210</v>
      </c>
      <c r="AW25" s="290">
        <v>0</v>
      </c>
      <c r="AX25" s="766">
        <v>326.70830000000001</v>
      </c>
      <c r="AY25" s="290">
        <v>8105</v>
      </c>
      <c r="AZ25" s="290">
        <v>1485</v>
      </c>
      <c r="BA25" s="290">
        <v>918</v>
      </c>
      <c r="BB25" s="290">
        <v>0</v>
      </c>
      <c r="BC25" s="290">
        <v>34375</v>
      </c>
      <c r="BD25" s="290"/>
      <c r="BE25" s="290">
        <v>1220954.1778926</v>
      </c>
      <c r="BF25" s="290">
        <v>0</v>
      </c>
      <c r="BG25" s="290">
        <v>0</v>
      </c>
      <c r="BH25" s="290">
        <v>-7166</v>
      </c>
      <c r="BI25" s="290">
        <v>36629</v>
      </c>
      <c r="BJ25" s="290">
        <v>6016.6063249448807</v>
      </c>
      <c r="BK25" s="290">
        <v>59</v>
      </c>
      <c r="BL25" s="290"/>
      <c r="BM25" s="290">
        <v>0</v>
      </c>
      <c r="BN25" s="290">
        <v>11407</v>
      </c>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f>+innut23!E31+innut23!S31</f>
        <v>1322809.1761158961</v>
      </c>
      <c r="CL25" s="290"/>
      <c r="CM25" s="290">
        <v>6021.597280304788</v>
      </c>
      <c r="CN25" s="290">
        <v>4669.1224065782371</v>
      </c>
      <c r="CO25" s="290"/>
      <c r="CP25" s="290"/>
      <c r="CQ25" s="290"/>
      <c r="CX25" s="517">
        <f t="shared" si="1"/>
        <v>0</v>
      </c>
      <c r="DB25" s="85">
        <f t="shared" si="2"/>
        <v>7.8470000000000004</v>
      </c>
    </row>
    <row r="26" spans="1:106" ht="13">
      <c r="A26" s="1">
        <v>1151</v>
      </c>
      <c r="B26" s="2" t="s">
        <v>22</v>
      </c>
      <c r="C26" s="289"/>
      <c r="D26" s="290">
        <v>1</v>
      </c>
      <c r="E26" s="290">
        <v>5</v>
      </c>
      <c r="F26" s="290">
        <v>22</v>
      </c>
      <c r="G26" s="290">
        <v>16</v>
      </c>
      <c r="H26" s="290">
        <v>116</v>
      </c>
      <c r="I26" s="290">
        <v>29</v>
      </c>
      <c r="J26" s="290">
        <v>9</v>
      </c>
      <c r="K26" s="290">
        <v>3</v>
      </c>
      <c r="L26" s="290">
        <v>1</v>
      </c>
      <c r="M26" s="290">
        <v>16</v>
      </c>
      <c r="N26" s="290">
        <v>1.5</v>
      </c>
      <c r="O26" s="290">
        <v>1.5</v>
      </c>
      <c r="P26" s="624">
        <v>0</v>
      </c>
      <c r="Q26" s="624">
        <v>0</v>
      </c>
      <c r="R26" s="624">
        <v>1</v>
      </c>
      <c r="S26" s="290"/>
      <c r="T26" s="290">
        <v>20</v>
      </c>
      <c r="U26" s="958">
        <v>1.8066621639204513E-4</v>
      </c>
      <c r="V26" s="290">
        <v>290.49570333999998</v>
      </c>
      <c r="W26" s="765">
        <v>1</v>
      </c>
      <c r="X26" s="290">
        <v>0</v>
      </c>
      <c r="Y26" s="290"/>
      <c r="Z26" s="290">
        <f>+innut23!E32</f>
        <v>6542.6184173718793</v>
      </c>
      <c r="AA26" s="290">
        <v>292</v>
      </c>
      <c r="AB26" s="290">
        <v>2</v>
      </c>
      <c r="AC26" s="290">
        <v>0</v>
      </c>
      <c r="AD26" s="290"/>
      <c r="AE26" s="290">
        <v>0</v>
      </c>
      <c r="AF26" s="290">
        <v>0</v>
      </c>
      <c r="AG26" s="290">
        <v>201</v>
      </c>
      <c r="AH26" s="290">
        <v>100</v>
      </c>
      <c r="AI26" s="290"/>
      <c r="AJ26" s="290"/>
      <c r="AK26" s="290">
        <v>0</v>
      </c>
      <c r="AL26" s="290">
        <v>0</v>
      </c>
      <c r="AM26" s="957">
        <v>2.6737200000000001E-3</v>
      </c>
      <c r="AN26" s="290">
        <v>0</v>
      </c>
      <c r="AO26" s="290">
        <v>224.55678591</v>
      </c>
      <c r="AP26" s="290">
        <v>0</v>
      </c>
      <c r="AQ26" s="290">
        <v>0</v>
      </c>
      <c r="AR26" s="290">
        <v>-8.2487597499999996</v>
      </c>
      <c r="AS26" s="290">
        <v>300</v>
      </c>
      <c r="AT26" s="290">
        <v>7</v>
      </c>
      <c r="AU26" s="290">
        <v>1.5</v>
      </c>
      <c r="AV26" s="766">
        <v>30259</v>
      </c>
      <c r="AW26" s="290">
        <v>0</v>
      </c>
      <c r="AX26" s="766">
        <v>0.70835000000000004</v>
      </c>
      <c r="AY26" s="290">
        <v>44</v>
      </c>
      <c r="AZ26" s="290">
        <v>9</v>
      </c>
      <c r="BA26" s="290">
        <v>2</v>
      </c>
      <c r="BB26" s="290">
        <v>6257</v>
      </c>
      <c r="BC26" s="290">
        <v>938</v>
      </c>
      <c r="BD26" s="290"/>
      <c r="BE26" s="290">
        <v>31956.804957650002</v>
      </c>
      <c r="BF26" s="290">
        <v>0</v>
      </c>
      <c r="BG26" s="290">
        <v>0</v>
      </c>
      <c r="BH26" s="290">
        <v>-31</v>
      </c>
      <c r="BI26" s="290">
        <v>911</v>
      </c>
      <c r="BJ26" s="290">
        <v>53.075136832316502</v>
      </c>
      <c r="BK26" s="290">
        <v>0</v>
      </c>
      <c r="BL26" s="290"/>
      <c r="BM26" s="290">
        <v>0</v>
      </c>
      <c r="BN26" s="290">
        <v>519</v>
      </c>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f>+innut23!E32+innut23!S32</f>
        <v>6542.6184173718793</v>
      </c>
      <c r="CL26" s="290"/>
      <c r="CM26" s="290">
        <v>0</v>
      </c>
      <c r="CN26" s="290">
        <v>0</v>
      </c>
      <c r="CO26" s="290"/>
      <c r="CP26" s="290"/>
      <c r="CQ26" s="290"/>
      <c r="CX26" s="517">
        <f t="shared" si="1"/>
        <v>0</v>
      </c>
      <c r="DB26" s="85">
        <f t="shared" si="2"/>
        <v>3.6999999999999998E-2</v>
      </c>
    </row>
    <row r="27" spans="1:106" ht="13">
      <c r="A27" s="1">
        <v>1160</v>
      </c>
      <c r="B27" s="2" t="s">
        <v>1543</v>
      </c>
      <c r="C27" s="289"/>
      <c r="D27" s="290">
        <v>180</v>
      </c>
      <c r="E27" s="290">
        <v>403</v>
      </c>
      <c r="F27" s="290">
        <v>1147</v>
      </c>
      <c r="G27" s="290">
        <v>783</v>
      </c>
      <c r="H27" s="290">
        <v>4820</v>
      </c>
      <c r="I27" s="290">
        <v>1044</v>
      </c>
      <c r="J27" s="290">
        <v>352</v>
      </c>
      <c r="K27" s="290">
        <v>116</v>
      </c>
      <c r="L27" s="290">
        <v>65</v>
      </c>
      <c r="M27" s="290">
        <v>580</v>
      </c>
      <c r="N27" s="290">
        <v>108</v>
      </c>
      <c r="O27" s="290">
        <v>93</v>
      </c>
      <c r="P27" s="624">
        <v>59121.603666670002</v>
      </c>
      <c r="Q27" s="624">
        <v>24751.260999999999</v>
      </c>
      <c r="R27" s="624">
        <v>26</v>
      </c>
      <c r="S27" s="290"/>
      <c r="T27" s="290">
        <v>671</v>
      </c>
      <c r="U27" s="958">
        <v>8.1710695146314655E-3</v>
      </c>
      <c r="V27" s="290">
        <v>5138.19226144</v>
      </c>
      <c r="W27" s="765">
        <v>0.74094322999999995</v>
      </c>
      <c r="X27" s="290">
        <v>800</v>
      </c>
      <c r="Y27" s="290"/>
      <c r="Z27" s="290">
        <f>+innut23!E33</f>
        <v>355516.81561209843</v>
      </c>
      <c r="AA27" s="290">
        <v>3572</v>
      </c>
      <c r="AB27" s="290">
        <v>145</v>
      </c>
      <c r="AC27" s="290">
        <v>1338</v>
      </c>
      <c r="AD27" s="290"/>
      <c r="AE27" s="290">
        <v>0</v>
      </c>
      <c r="AF27" s="290">
        <v>4683</v>
      </c>
      <c r="AG27" s="290">
        <v>8845</v>
      </c>
      <c r="AH27" s="290">
        <v>1726</v>
      </c>
      <c r="AI27" s="290"/>
      <c r="AJ27" s="290"/>
      <c r="AK27" s="290">
        <v>0</v>
      </c>
      <c r="AL27" s="290">
        <v>0</v>
      </c>
      <c r="AM27" s="957">
        <v>0.11573806</v>
      </c>
      <c r="AN27" s="290">
        <v>0</v>
      </c>
      <c r="AO27" s="290">
        <v>4146.5872277899998</v>
      </c>
      <c r="AP27" s="290">
        <v>0</v>
      </c>
      <c r="AQ27" s="290">
        <v>-2258.0887174499999</v>
      </c>
      <c r="AR27" s="290">
        <v>-362.98646776999999</v>
      </c>
      <c r="AS27" s="290">
        <v>18785</v>
      </c>
      <c r="AT27" s="290">
        <v>307</v>
      </c>
      <c r="AU27" s="290">
        <v>77</v>
      </c>
      <c r="AV27" s="766">
        <v>251104</v>
      </c>
      <c r="AW27" s="290">
        <v>0</v>
      </c>
      <c r="AX27" s="766">
        <v>35.666699999999999</v>
      </c>
      <c r="AY27" s="290">
        <v>1646</v>
      </c>
      <c r="AZ27" s="290">
        <v>377</v>
      </c>
      <c r="BA27" s="290">
        <v>143</v>
      </c>
      <c r="BB27" s="290">
        <v>0</v>
      </c>
      <c r="BC27" s="290">
        <v>18015</v>
      </c>
      <c r="BD27" s="290"/>
      <c r="BE27" s="290">
        <v>295752.13115758001</v>
      </c>
      <c r="BF27" s="290">
        <v>0</v>
      </c>
      <c r="BG27" s="290">
        <v>0</v>
      </c>
      <c r="BH27" s="290">
        <v>-1471</v>
      </c>
      <c r="BI27" s="290">
        <v>15986</v>
      </c>
      <c r="BJ27" s="290">
        <v>1261.9511403253521</v>
      </c>
      <c r="BK27" s="290">
        <v>11</v>
      </c>
      <c r="BL27" s="290"/>
      <c r="BM27" s="290">
        <v>0</v>
      </c>
      <c r="BN27" s="290">
        <v>4667</v>
      </c>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f>+innut23!E33+innut23!S33</f>
        <v>355516.81561209843</v>
      </c>
      <c r="CL27" s="290"/>
      <c r="CM27" s="290">
        <v>0</v>
      </c>
      <c r="CN27" s="290">
        <v>0</v>
      </c>
      <c r="CO27" s="290"/>
      <c r="CP27" s="290"/>
      <c r="CQ27" s="290"/>
      <c r="CX27" s="517">
        <f t="shared" si="1"/>
        <v>0</v>
      </c>
      <c r="DB27" s="85">
        <f t="shared" si="2"/>
        <v>1.621</v>
      </c>
    </row>
    <row r="28" spans="1:106" ht="13">
      <c r="A28" s="1">
        <v>1505</v>
      </c>
      <c r="B28" s="2" t="s">
        <v>1654</v>
      </c>
      <c r="C28" s="289"/>
      <c r="D28" s="290">
        <v>392</v>
      </c>
      <c r="E28" s="290">
        <v>863</v>
      </c>
      <c r="F28" s="290">
        <v>2684</v>
      </c>
      <c r="G28" s="290">
        <v>2045</v>
      </c>
      <c r="H28" s="290">
        <v>13502</v>
      </c>
      <c r="I28" s="290">
        <v>3497</v>
      </c>
      <c r="J28" s="290">
        <v>939</v>
      </c>
      <c r="K28" s="290">
        <v>218</v>
      </c>
      <c r="L28" s="290">
        <v>196</v>
      </c>
      <c r="M28" s="290">
        <v>1989</v>
      </c>
      <c r="N28" s="290">
        <v>542</v>
      </c>
      <c r="O28" s="290">
        <v>240</v>
      </c>
      <c r="P28" s="624">
        <v>36502.132666669997</v>
      </c>
      <c r="Q28" s="624">
        <v>25988.897000000001</v>
      </c>
      <c r="R28" s="624">
        <v>111</v>
      </c>
      <c r="S28" s="290"/>
      <c r="T28" s="290">
        <v>2578</v>
      </c>
      <c r="U28" s="958">
        <v>5.3525450431199839E-4</v>
      </c>
      <c r="V28" s="290">
        <v>13765.25557924</v>
      </c>
      <c r="W28" s="765">
        <v>0.55185026999999998</v>
      </c>
      <c r="X28" s="290">
        <v>4300</v>
      </c>
      <c r="Y28" s="290"/>
      <c r="Z28" s="290">
        <f>+innut23!E34</f>
        <v>752720.69268032839</v>
      </c>
      <c r="AA28" s="290">
        <v>0</v>
      </c>
      <c r="AB28" s="290">
        <v>777</v>
      </c>
      <c r="AC28" s="290">
        <v>4241</v>
      </c>
      <c r="AD28" s="290"/>
      <c r="AE28" s="290">
        <v>0</v>
      </c>
      <c r="AF28" s="290">
        <v>9321</v>
      </c>
      <c r="AG28" s="290">
        <v>24140</v>
      </c>
      <c r="AH28" s="290">
        <v>4076</v>
      </c>
      <c r="AI28" s="290"/>
      <c r="AJ28" s="290"/>
      <c r="AK28" s="290">
        <v>0</v>
      </c>
      <c r="AL28" s="290">
        <v>0</v>
      </c>
      <c r="AM28" s="957">
        <v>0.68832632999999999</v>
      </c>
      <c r="AN28" s="290">
        <v>0</v>
      </c>
      <c r="AO28" s="290">
        <v>10640.7134924</v>
      </c>
      <c r="AP28" s="290">
        <v>0</v>
      </c>
      <c r="AQ28" s="290">
        <v>-2247.5718418500001</v>
      </c>
      <c r="AR28" s="290">
        <v>-990.67194257000006</v>
      </c>
      <c r="AS28" s="290">
        <v>38320</v>
      </c>
      <c r="AT28" s="290">
        <v>1222</v>
      </c>
      <c r="AU28" s="290">
        <v>290</v>
      </c>
      <c r="AV28" s="766">
        <v>605300</v>
      </c>
      <c r="AW28" s="290">
        <v>0</v>
      </c>
      <c r="AX28" s="766">
        <v>157.54165</v>
      </c>
      <c r="AY28" s="290">
        <v>5489</v>
      </c>
      <c r="AZ28" s="290">
        <v>1120</v>
      </c>
      <c r="BA28" s="290">
        <v>582</v>
      </c>
      <c r="BB28" s="290">
        <v>0</v>
      </c>
      <c r="BC28" s="290">
        <v>24203</v>
      </c>
      <c r="BD28" s="290"/>
      <c r="BE28" s="290">
        <v>694432.17193378997</v>
      </c>
      <c r="BF28" s="290">
        <v>0</v>
      </c>
      <c r="BG28" s="290">
        <v>0</v>
      </c>
      <c r="BH28" s="290">
        <v>-4064</v>
      </c>
      <c r="BI28" s="290">
        <v>23860</v>
      </c>
      <c r="BJ28" s="290">
        <v>2827.4080745394044</v>
      </c>
      <c r="BK28" s="290">
        <v>44</v>
      </c>
      <c r="BL28" s="290"/>
      <c r="BM28" s="290">
        <v>0</v>
      </c>
      <c r="BN28" s="290">
        <v>6222</v>
      </c>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f>+innut23!E34+innut23!S34</f>
        <v>752720.69268032839</v>
      </c>
      <c r="CL28" s="290"/>
      <c r="CM28" s="290">
        <v>0</v>
      </c>
      <c r="CN28" s="290">
        <v>0</v>
      </c>
      <c r="CO28" s="290"/>
      <c r="CP28" s="290"/>
      <c r="CQ28" s="290"/>
      <c r="CX28" s="517">
        <f t="shared" si="1"/>
        <v>0</v>
      </c>
      <c r="DB28" s="85">
        <f t="shared" si="2"/>
        <v>4.4249999999999998</v>
      </c>
    </row>
    <row r="29" spans="1:106" ht="13">
      <c r="A29" s="1">
        <v>1506</v>
      </c>
      <c r="B29" s="2" t="s">
        <v>1611</v>
      </c>
      <c r="C29" s="289"/>
      <c r="D29" s="290">
        <v>606</v>
      </c>
      <c r="E29" s="290">
        <v>1324</v>
      </c>
      <c r="F29" s="290">
        <v>3702</v>
      </c>
      <c r="G29" s="290">
        <v>2663</v>
      </c>
      <c r="H29" s="290">
        <v>17663</v>
      </c>
      <c r="I29" s="290">
        <v>4390</v>
      </c>
      <c r="J29" s="290">
        <v>1347</v>
      </c>
      <c r="K29" s="290">
        <v>362</v>
      </c>
      <c r="L29" s="290">
        <v>229</v>
      </c>
      <c r="M29" s="290">
        <v>2506</v>
      </c>
      <c r="N29" s="290">
        <v>757</v>
      </c>
      <c r="O29" s="290">
        <v>302</v>
      </c>
      <c r="P29" s="624">
        <v>140664.946</v>
      </c>
      <c r="Q29" s="624">
        <v>74209.346999999994</v>
      </c>
      <c r="R29" s="624">
        <v>137</v>
      </c>
      <c r="S29" s="290"/>
      <c r="T29" s="290">
        <v>3007</v>
      </c>
      <c r="U29" s="958">
        <v>4.8556899946254894E-3</v>
      </c>
      <c r="V29" s="290">
        <v>9171.32853823</v>
      </c>
      <c r="W29" s="765">
        <v>0.63407135999999997</v>
      </c>
      <c r="X29" s="290">
        <v>2480</v>
      </c>
      <c r="Y29" s="290"/>
      <c r="Z29" s="290">
        <f>+innut23!E35</f>
        <v>1094020.1738882915</v>
      </c>
      <c r="AA29" s="290">
        <v>-3272</v>
      </c>
      <c r="AB29" s="290">
        <v>630</v>
      </c>
      <c r="AC29" s="290">
        <v>5703</v>
      </c>
      <c r="AD29" s="290"/>
      <c r="AE29" s="290">
        <v>0</v>
      </c>
      <c r="AF29" s="290">
        <v>45445</v>
      </c>
      <c r="AG29" s="290">
        <v>32057</v>
      </c>
      <c r="AH29" s="290">
        <v>5724</v>
      </c>
      <c r="AI29" s="290"/>
      <c r="AJ29" s="290"/>
      <c r="AK29" s="290">
        <v>0</v>
      </c>
      <c r="AL29" s="290">
        <v>0</v>
      </c>
      <c r="AM29" s="957">
        <v>0.66311233999999997</v>
      </c>
      <c r="AN29" s="290">
        <v>0</v>
      </c>
      <c r="AO29" s="290">
        <v>14601.68551772</v>
      </c>
      <c r="AP29" s="290">
        <v>0</v>
      </c>
      <c r="AQ29" s="290">
        <v>0</v>
      </c>
      <c r="AR29" s="290">
        <v>-1315.57458421</v>
      </c>
      <c r="AS29" s="290">
        <v>49010</v>
      </c>
      <c r="AT29" s="290">
        <v>1473</v>
      </c>
      <c r="AU29" s="290">
        <v>339</v>
      </c>
      <c r="AV29" s="766">
        <v>874991</v>
      </c>
      <c r="AW29" s="290">
        <v>0</v>
      </c>
      <c r="AX29" s="766">
        <v>240.54165</v>
      </c>
      <c r="AY29" s="290">
        <v>9351</v>
      </c>
      <c r="AZ29" s="290">
        <v>1360</v>
      </c>
      <c r="BA29" s="290">
        <v>577</v>
      </c>
      <c r="BB29" s="290">
        <v>0</v>
      </c>
      <c r="BC29" s="290">
        <v>58111</v>
      </c>
      <c r="BD29" s="290"/>
      <c r="BE29" s="290">
        <v>1012454.0332808</v>
      </c>
      <c r="BF29" s="290">
        <v>0</v>
      </c>
      <c r="BG29" s="290">
        <v>0</v>
      </c>
      <c r="BH29" s="290">
        <v>-5380</v>
      </c>
      <c r="BI29" s="290">
        <v>62415</v>
      </c>
      <c r="BJ29" s="290">
        <v>3984.1196738935114</v>
      </c>
      <c r="BK29" s="290">
        <v>50</v>
      </c>
      <c r="BL29" s="290"/>
      <c r="BM29" s="290">
        <v>5804</v>
      </c>
      <c r="BN29" s="290">
        <v>8815</v>
      </c>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f>+innut23!E35+innut23!S35</f>
        <v>1094020.1738882915</v>
      </c>
      <c r="CL29" s="290"/>
      <c r="CM29" s="290">
        <v>0</v>
      </c>
      <c r="CN29" s="290">
        <v>0</v>
      </c>
      <c r="CO29" s="290"/>
      <c r="CP29" s="290"/>
      <c r="CQ29" s="290"/>
      <c r="CX29" s="517">
        <f t="shared" si="1"/>
        <v>0</v>
      </c>
      <c r="DB29" s="85">
        <f t="shared" si="2"/>
        <v>5.8760000000000003</v>
      </c>
    </row>
    <row r="30" spans="1:106" ht="13">
      <c r="A30" s="1">
        <v>1507</v>
      </c>
      <c r="B30" s="2" t="s">
        <v>1612</v>
      </c>
      <c r="C30" s="289"/>
      <c r="D30" s="290">
        <v>1472</v>
      </c>
      <c r="E30" s="290">
        <v>2838</v>
      </c>
      <c r="F30" s="290">
        <v>8026</v>
      </c>
      <c r="G30" s="290">
        <v>5929</v>
      </c>
      <c r="H30" s="290">
        <v>38266</v>
      </c>
      <c r="I30" s="290">
        <v>7801</v>
      </c>
      <c r="J30" s="290">
        <v>2369</v>
      </c>
      <c r="K30" s="290">
        <v>681</v>
      </c>
      <c r="L30" s="290">
        <v>482</v>
      </c>
      <c r="M30" s="290">
        <v>4482</v>
      </c>
      <c r="N30" s="290">
        <v>1468</v>
      </c>
      <c r="O30" s="290">
        <v>627</v>
      </c>
      <c r="P30" s="624">
        <v>268497.74566666997</v>
      </c>
      <c r="Q30" s="624">
        <v>124237.48566667001</v>
      </c>
      <c r="R30" s="624">
        <v>207</v>
      </c>
      <c r="S30" s="290"/>
      <c r="T30" s="290">
        <v>6025</v>
      </c>
      <c r="U30" s="958">
        <v>4.7249673722451575E-3</v>
      </c>
      <c r="V30" s="290">
        <v>-15368.34578023</v>
      </c>
      <c r="W30" s="765">
        <v>0.59671582999999995</v>
      </c>
      <c r="X30" s="290">
        <v>6300</v>
      </c>
      <c r="Y30" s="290"/>
      <c r="Z30" s="290">
        <f>+innut23!E36</f>
        <v>2411055.9497229662</v>
      </c>
      <c r="AA30" s="290">
        <v>0</v>
      </c>
      <c r="AB30" s="290">
        <v>1123</v>
      </c>
      <c r="AC30" s="290">
        <v>6855</v>
      </c>
      <c r="AD30" s="290"/>
      <c r="AE30" s="290">
        <v>0</v>
      </c>
      <c r="AF30" s="290">
        <v>77567</v>
      </c>
      <c r="AG30" s="290">
        <v>67382</v>
      </c>
      <c r="AH30" s="290">
        <v>12421</v>
      </c>
      <c r="AI30" s="290"/>
      <c r="AJ30" s="290"/>
      <c r="AK30" s="290">
        <v>0</v>
      </c>
      <c r="AL30" s="290">
        <v>0</v>
      </c>
      <c r="AM30" s="957">
        <v>1.51440014</v>
      </c>
      <c r="AN30" s="290">
        <v>0</v>
      </c>
      <c r="AO30" s="290">
        <v>29262.117770910001</v>
      </c>
      <c r="AP30" s="290">
        <v>0</v>
      </c>
      <c r="AQ30" s="290">
        <v>0</v>
      </c>
      <c r="AR30" s="290">
        <v>-2765.2633319800002</v>
      </c>
      <c r="AS30" s="290">
        <v>115565</v>
      </c>
      <c r="AT30" s="290">
        <v>2713</v>
      </c>
      <c r="AU30" s="290">
        <v>850</v>
      </c>
      <c r="AV30" s="766">
        <v>1613288</v>
      </c>
      <c r="AW30" s="290">
        <v>0</v>
      </c>
      <c r="AX30" s="766">
        <v>561.50004999999999</v>
      </c>
      <c r="AY30" s="290">
        <v>18097</v>
      </c>
      <c r="AZ30" s="290">
        <v>2958</v>
      </c>
      <c r="BA30" s="290">
        <v>1159</v>
      </c>
      <c r="BB30" s="290">
        <v>0</v>
      </c>
      <c r="BC30" s="290">
        <v>107140</v>
      </c>
      <c r="BD30" s="290"/>
      <c r="BE30" s="290">
        <v>1871953.9997151999</v>
      </c>
      <c r="BF30" s="290">
        <v>0</v>
      </c>
      <c r="BG30" s="290">
        <v>0</v>
      </c>
      <c r="BH30" s="290">
        <v>-11263</v>
      </c>
      <c r="BI30" s="290">
        <v>112917</v>
      </c>
      <c r="BJ30" s="290">
        <v>8536.1158067939159</v>
      </c>
      <c r="BK30" s="290">
        <v>102</v>
      </c>
      <c r="BL30" s="290"/>
      <c r="BM30" s="290">
        <v>8367</v>
      </c>
      <c r="BN30" s="290">
        <v>16074</v>
      </c>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f>+innut23!E36+innut23!S36</f>
        <v>2411055.9497229662</v>
      </c>
      <c r="CL30" s="290"/>
      <c r="CM30" s="290">
        <v>0</v>
      </c>
      <c r="CN30" s="290">
        <v>0</v>
      </c>
      <c r="CO30" s="290"/>
      <c r="CP30" s="290"/>
      <c r="CQ30" s="290"/>
      <c r="CX30" s="517">
        <f t="shared" si="1"/>
        <v>0</v>
      </c>
      <c r="DB30" s="85">
        <f t="shared" si="2"/>
        <v>12.351000000000001</v>
      </c>
    </row>
    <row r="31" spans="1:106" ht="13">
      <c r="A31" s="1">
        <v>1511</v>
      </c>
      <c r="B31" s="2" t="s">
        <v>86</v>
      </c>
      <c r="C31" s="289"/>
      <c r="D31" s="290">
        <v>47</v>
      </c>
      <c r="E31" s="290">
        <v>99</v>
      </c>
      <c r="F31" s="290">
        <v>265</v>
      </c>
      <c r="G31" s="290">
        <v>233</v>
      </c>
      <c r="H31" s="290">
        <v>1552</v>
      </c>
      <c r="I31" s="290">
        <v>594</v>
      </c>
      <c r="J31" s="290">
        <v>193</v>
      </c>
      <c r="K31" s="290">
        <v>47</v>
      </c>
      <c r="L31" s="290">
        <v>23</v>
      </c>
      <c r="M31" s="290">
        <v>349</v>
      </c>
      <c r="N31" s="290">
        <v>4</v>
      </c>
      <c r="O31" s="290">
        <v>13</v>
      </c>
      <c r="P31" s="624">
        <v>37222.806333330002</v>
      </c>
      <c r="Q31" s="624">
        <v>11255.91366667</v>
      </c>
      <c r="R31" s="624">
        <v>24</v>
      </c>
      <c r="S31" s="290"/>
      <c r="T31" s="290">
        <v>208</v>
      </c>
      <c r="U31" s="958">
        <v>2.5200291222818982E-3</v>
      </c>
      <c r="V31" s="290">
        <v>1718.1070380399999</v>
      </c>
      <c r="W31" s="765">
        <v>0.93213743999999998</v>
      </c>
      <c r="X31" s="290">
        <v>791</v>
      </c>
      <c r="Y31" s="290"/>
      <c r="Z31" s="290">
        <f>+innut23!E37</f>
        <v>93636.883861548427</v>
      </c>
      <c r="AA31" s="290">
        <v>0</v>
      </c>
      <c r="AB31" s="290">
        <v>73</v>
      </c>
      <c r="AC31" s="290">
        <v>655</v>
      </c>
      <c r="AD31" s="290"/>
      <c r="AE31" s="290">
        <v>0</v>
      </c>
      <c r="AF31" s="290">
        <v>0</v>
      </c>
      <c r="AG31" s="290">
        <v>3030</v>
      </c>
      <c r="AH31" s="290">
        <v>432</v>
      </c>
      <c r="AI31" s="290"/>
      <c r="AJ31" s="290"/>
      <c r="AK31" s="290">
        <v>0</v>
      </c>
      <c r="AL31" s="290">
        <v>0</v>
      </c>
      <c r="AM31" s="957">
        <v>1.9584069999999999E-2</v>
      </c>
      <c r="AN31" s="290">
        <v>0</v>
      </c>
      <c r="AO31" s="290">
        <v>1590.1692844700001</v>
      </c>
      <c r="AP31" s="290">
        <v>0</v>
      </c>
      <c r="AQ31" s="290">
        <v>0</v>
      </c>
      <c r="AR31" s="290">
        <v>-124.34697539</v>
      </c>
      <c r="AS31" s="290">
        <v>4984</v>
      </c>
      <c r="AT31" s="290">
        <v>97</v>
      </c>
      <c r="AU31" s="290">
        <v>24</v>
      </c>
      <c r="AV31" s="766">
        <v>116389</v>
      </c>
      <c r="AW31" s="290">
        <v>0</v>
      </c>
      <c r="AX31" s="766">
        <v>18.625</v>
      </c>
      <c r="AY31" s="290">
        <v>533</v>
      </c>
      <c r="AZ31" s="290">
        <v>78</v>
      </c>
      <c r="BA31" s="290">
        <v>28</v>
      </c>
      <c r="BB31" s="290">
        <v>6257</v>
      </c>
      <c r="BC31" s="290">
        <v>2386</v>
      </c>
      <c r="BD31" s="290"/>
      <c r="BE31" s="290">
        <v>129008.57173489001</v>
      </c>
      <c r="BF31" s="290">
        <v>0</v>
      </c>
      <c r="BG31" s="290">
        <v>0</v>
      </c>
      <c r="BH31" s="290">
        <v>-515</v>
      </c>
      <c r="BI31" s="290">
        <v>2643</v>
      </c>
      <c r="BJ31" s="290">
        <v>331.93815424160391</v>
      </c>
      <c r="BK31" s="290">
        <v>3</v>
      </c>
      <c r="BL31" s="290"/>
      <c r="BM31" s="290">
        <v>0</v>
      </c>
      <c r="BN31" s="290">
        <v>1556</v>
      </c>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f>+innut23!E37+innut23!S37</f>
        <v>93636.883861548427</v>
      </c>
      <c r="CL31" s="290"/>
      <c r="CM31" s="290">
        <v>0</v>
      </c>
      <c r="CN31" s="290">
        <v>0</v>
      </c>
      <c r="CO31" s="290"/>
      <c r="CP31" s="290"/>
      <c r="CQ31" s="290"/>
      <c r="CX31" s="517">
        <f t="shared" si="1"/>
        <v>0</v>
      </c>
      <c r="DB31" s="85">
        <f t="shared" si="2"/>
        <v>0.55500000000000005</v>
      </c>
    </row>
    <row r="32" spans="1:106" ht="13">
      <c r="A32" s="1">
        <v>1514</v>
      </c>
      <c r="B32" s="2" t="s">
        <v>897</v>
      </c>
      <c r="C32" s="289"/>
      <c r="D32" s="290">
        <v>58</v>
      </c>
      <c r="E32" s="290">
        <v>89</v>
      </c>
      <c r="F32" s="290">
        <v>230</v>
      </c>
      <c r="G32" s="290">
        <v>204</v>
      </c>
      <c r="H32" s="290">
        <v>1324</v>
      </c>
      <c r="I32" s="290">
        <v>353</v>
      </c>
      <c r="J32" s="290">
        <v>127</v>
      </c>
      <c r="K32" s="290">
        <v>35</v>
      </c>
      <c r="L32" s="290">
        <v>17</v>
      </c>
      <c r="M32" s="290">
        <v>229</v>
      </c>
      <c r="N32" s="290">
        <v>5</v>
      </c>
      <c r="O32" s="290">
        <v>36</v>
      </c>
      <c r="P32" s="624">
        <v>27423.165000000001</v>
      </c>
      <c r="Q32" s="624">
        <v>13010.50533333</v>
      </c>
      <c r="R32" s="624">
        <v>12</v>
      </c>
      <c r="S32" s="290"/>
      <c r="T32" s="290">
        <v>192</v>
      </c>
      <c r="U32" s="958">
        <v>1.0037036009897245E-3</v>
      </c>
      <c r="V32" s="290">
        <v>388.52262976999998</v>
      </c>
      <c r="W32" s="765">
        <v>0.88497607</v>
      </c>
      <c r="X32" s="290">
        <v>830</v>
      </c>
      <c r="Y32" s="290"/>
      <c r="Z32" s="290">
        <f>+innut23!E38</f>
        <v>84458.929190024297</v>
      </c>
      <c r="AA32" s="290">
        <v>0</v>
      </c>
      <c r="AB32" s="290">
        <v>37</v>
      </c>
      <c r="AC32" s="290">
        <v>581</v>
      </c>
      <c r="AD32" s="290"/>
      <c r="AE32" s="290">
        <v>0</v>
      </c>
      <c r="AF32" s="290">
        <v>0</v>
      </c>
      <c r="AG32" s="290">
        <v>2420</v>
      </c>
      <c r="AH32" s="290">
        <v>396</v>
      </c>
      <c r="AI32" s="290"/>
      <c r="AJ32" s="290"/>
      <c r="AK32" s="290">
        <v>0</v>
      </c>
      <c r="AL32" s="290">
        <v>0</v>
      </c>
      <c r="AM32" s="957">
        <v>6.5920300000000001E-2</v>
      </c>
      <c r="AN32" s="290">
        <v>0</v>
      </c>
      <c r="AO32" s="290">
        <v>1261.1872522000001</v>
      </c>
      <c r="AP32" s="290">
        <v>0</v>
      </c>
      <c r="AQ32" s="290">
        <v>0</v>
      </c>
      <c r="AR32" s="290">
        <v>-99.313425890000005</v>
      </c>
      <c r="AS32" s="290">
        <v>3956</v>
      </c>
      <c r="AT32" s="290">
        <v>99</v>
      </c>
      <c r="AU32" s="290">
        <v>31</v>
      </c>
      <c r="AV32" s="766">
        <v>91102</v>
      </c>
      <c r="AW32" s="290">
        <v>0</v>
      </c>
      <c r="AX32" s="766">
        <v>23.916650000000001</v>
      </c>
      <c r="AY32" s="290">
        <v>390</v>
      </c>
      <c r="AZ32" s="290">
        <v>126</v>
      </c>
      <c r="BA32" s="290">
        <v>54</v>
      </c>
      <c r="BB32" s="290">
        <v>5006</v>
      </c>
      <c r="BC32" s="290">
        <v>2298</v>
      </c>
      <c r="BD32" s="290"/>
      <c r="BE32" s="290">
        <v>101440.9658377</v>
      </c>
      <c r="BF32" s="290">
        <v>0</v>
      </c>
      <c r="BG32" s="290">
        <v>0</v>
      </c>
      <c r="BH32" s="290">
        <v>-409</v>
      </c>
      <c r="BI32" s="290">
        <v>2533</v>
      </c>
      <c r="BJ32" s="290">
        <v>301.42649969682549</v>
      </c>
      <c r="BK32" s="290">
        <v>3</v>
      </c>
      <c r="BL32" s="290"/>
      <c r="BM32" s="290">
        <v>0</v>
      </c>
      <c r="BN32" s="290">
        <v>1556</v>
      </c>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f>+innut23!E38+innut23!S38</f>
        <v>84458.929190024297</v>
      </c>
      <c r="CL32" s="290"/>
      <c r="CM32" s="290">
        <v>0</v>
      </c>
      <c r="CN32" s="290">
        <v>0</v>
      </c>
      <c r="CO32" s="290"/>
      <c r="CP32" s="290"/>
      <c r="CQ32" s="290"/>
      <c r="CX32" s="517">
        <f t="shared" si="1"/>
        <v>0</v>
      </c>
      <c r="DB32" s="85">
        <f t="shared" si="2"/>
        <v>0.44400000000000001</v>
      </c>
    </row>
    <row r="33" spans="1:106" ht="13">
      <c r="A33" s="1">
        <v>1515</v>
      </c>
      <c r="B33" s="2" t="s">
        <v>87</v>
      </c>
      <c r="C33" s="289"/>
      <c r="D33" s="290">
        <v>177</v>
      </c>
      <c r="E33" s="290">
        <v>346</v>
      </c>
      <c r="F33" s="290">
        <v>1065</v>
      </c>
      <c r="G33" s="290">
        <v>747</v>
      </c>
      <c r="H33" s="290">
        <v>4833</v>
      </c>
      <c r="I33" s="290">
        <v>1149</v>
      </c>
      <c r="J33" s="290">
        <v>387</v>
      </c>
      <c r="K33" s="290">
        <v>105</v>
      </c>
      <c r="L33" s="290">
        <v>65</v>
      </c>
      <c r="M33" s="290">
        <v>660</v>
      </c>
      <c r="N33" s="290">
        <v>111</v>
      </c>
      <c r="O33" s="290">
        <v>86</v>
      </c>
      <c r="P33" s="624">
        <v>39069.036666669999</v>
      </c>
      <c r="Q33" s="624">
        <v>16781.107</v>
      </c>
      <c r="R33" s="624">
        <v>31</v>
      </c>
      <c r="S33" s="290"/>
      <c r="T33" s="290">
        <v>689</v>
      </c>
      <c r="U33" s="958">
        <v>1.7427039037961245E-3</v>
      </c>
      <c r="V33" s="290">
        <v>-7216.9516637200004</v>
      </c>
      <c r="W33" s="765">
        <v>0.61800069999999996</v>
      </c>
      <c r="X33" s="290">
        <v>1235</v>
      </c>
      <c r="Y33" s="290"/>
      <c r="Z33" s="290">
        <f>+innut23!E39</f>
        <v>333238.10949291574</v>
      </c>
      <c r="AA33" s="290">
        <v>3309</v>
      </c>
      <c r="AB33" s="290">
        <v>161</v>
      </c>
      <c r="AC33" s="290">
        <v>1029</v>
      </c>
      <c r="AD33" s="290"/>
      <c r="AE33" s="290">
        <v>0</v>
      </c>
      <c r="AF33" s="290">
        <v>0</v>
      </c>
      <c r="AG33" s="290">
        <v>8809</v>
      </c>
      <c r="AH33" s="290">
        <v>1643</v>
      </c>
      <c r="AI33" s="290"/>
      <c r="AJ33" s="290"/>
      <c r="AK33" s="290">
        <v>0</v>
      </c>
      <c r="AL33" s="290">
        <v>0</v>
      </c>
      <c r="AM33" s="957">
        <v>0.24065689000000001</v>
      </c>
      <c r="AN33" s="290">
        <v>0</v>
      </c>
      <c r="AO33" s="290">
        <v>4029.75109681</v>
      </c>
      <c r="AP33" s="290">
        <v>0</v>
      </c>
      <c r="AQ33" s="290">
        <v>0</v>
      </c>
      <c r="AR33" s="290">
        <v>-361.50907796000001</v>
      </c>
      <c r="AS33" s="290">
        <v>14867</v>
      </c>
      <c r="AT33" s="290">
        <v>323</v>
      </c>
      <c r="AU33" s="290">
        <v>135</v>
      </c>
      <c r="AV33" s="766">
        <v>225199</v>
      </c>
      <c r="AW33" s="290">
        <v>0</v>
      </c>
      <c r="AX33" s="766">
        <v>73.666650000000004</v>
      </c>
      <c r="AY33" s="290">
        <v>1607</v>
      </c>
      <c r="AZ33" s="290">
        <v>424</v>
      </c>
      <c r="BA33" s="290">
        <v>154</v>
      </c>
      <c r="BB33" s="290">
        <v>0</v>
      </c>
      <c r="BC33" s="290">
        <v>9653</v>
      </c>
      <c r="BD33" s="290"/>
      <c r="BE33" s="290">
        <v>262325.27452068002</v>
      </c>
      <c r="BF33" s="290">
        <v>0</v>
      </c>
      <c r="BG33" s="290">
        <v>0</v>
      </c>
      <c r="BH33" s="290">
        <v>-1483</v>
      </c>
      <c r="BI33" s="290">
        <v>9611</v>
      </c>
      <c r="BJ33" s="290">
        <v>1152.6451726219755</v>
      </c>
      <c r="BK33" s="290">
        <v>12</v>
      </c>
      <c r="BL33" s="290"/>
      <c r="BM33" s="290">
        <v>0</v>
      </c>
      <c r="BN33" s="290">
        <v>3630</v>
      </c>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f>+innut23!E39+innut23!S39</f>
        <v>333238.10949291574</v>
      </c>
      <c r="CL33" s="290"/>
      <c r="CM33" s="290">
        <v>0</v>
      </c>
      <c r="CN33" s="290">
        <v>0</v>
      </c>
      <c r="CO33" s="290"/>
      <c r="CP33" s="290"/>
      <c r="CQ33" s="290"/>
      <c r="CX33" s="517">
        <f t="shared" si="1"/>
        <v>0</v>
      </c>
      <c r="DB33" s="85">
        <f t="shared" si="2"/>
        <v>1.615</v>
      </c>
    </row>
    <row r="34" spans="1:106" ht="13">
      <c r="A34" s="1">
        <v>1516</v>
      </c>
      <c r="B34" s="2" t="s">
        <v>88</v>
      </c>
      <c r="C34" s="289"/>
      <c r="D34" s="290">
        <v>197</v>
      </c>
      <c r="E34" s="290">
        <v>391</v>
      </c>
      <c r="F34" s="290">
        <v>1105</v>
      </c>
      <c r="G34" s="290">
        <v>853</v>
      </c>
      <c r="H34" s="290">
        <v>4818</v>
      </c>
      <c r="I34" s="290">
        <v>996</v>
      </c>
      <c r="J34" s="290">
        <v>317</v>
      </c>
      <c r="K34" s="290">
        <v>68</v>
      </c>
      <c r="L34" s="290">
        <v>56</v>
      </c>
      <c r="M34" s="290">
        <v>536</v>
      </c>
      <c r="N34" s="290">
        <v>192</v>
      </c>
      <c r="O34" s="290">
        <v>72</v>
      </c>
      <c r="P34" s="624">
        <v>22816.134666670001</v>
      </c>
      <c r="Q34" s="624">
        <v>14666.143</v>
      </c>
      <c r="R34" s="624">
        <v>50</v>
      </c>
      <c r="S34" s="290"/>
      <c r="T34" s="290">
        <v>658</v>
      </c>
      <c r="U34" s="958">
        <v>9.7838259779129333E-4</v>
      </c>
      <c r="V34" s="290">
        <v>2899.1803549000001</v>
      </c>
      <c r="W34" s="765">
        <v>0.56949687000000004</v>
      </c>
      <c r="X34" s="290">
        <v>2208</v>
      </c>
      <c r="Y34" s="290"/>
      <c r="Z34" s="290">
        <f>+innut23!E40</f>
        <v>318972.91177455033</v>
      </c>
      <c r="AA34" s="290">
        <v>0</v>
      </c>
      <c r="AB34" s="290">
        <v>142</v>
      </c>
      <c r="AC34" s="290">
        <v>599</v>
      </c>
      <c r="AD34" s="290"/>
      <c r="AE34" s="290">
        <v>0</v>
      </c>
      <c r="AF34" s="290">
        <v>0</v>
      </c>
      <c r="AG34" s="290">
        <v>8745</v>
      </c>
      <c r="AH34" s="290">
        <v>1765</v>
      </c>
      <c r="AI34" s="290"/>
      <c r="AJ34" s="290"/>
      <c r="AK34" s="290">
        <v>0</v>
      </c>
      <c r="AL34" s="290">
        <v>0</v>
      </c>
      <c r="AM34" s="957">
        <v>0.22177258999999999</v>
      </c>
      <c r="AN34" s="290">
        <v>0</v>
      </c>
      <c r="AO34" s="290">
        <v>3988.1104783000001</v>
      </c>
      <c r="AP34" s="290">
        <v>0</v>
      </c>
      <c r="AQ34" s="290">
        <v>0</v>
      </c>
      <c r="AR34" s="290">
        <v>-358.8826072</v>
      </c>
      <c r="AS34" s="290">
        <v>11988</v>
      </c>
      <c r="AT34" s="290">
        <v>376</v>
      </c>
      <c r="AU34" s="290">
        <v>122</v>
      </c>
      <c r="AV34" s="766">
        <v>224026</v>
      </c>
      <c r="AW34" s="290">
        <v>0</v>
      </c>
      <c r="AX34" s="766">
        <v>67.416650000000004</v>
      </c>
      <c r="AY34" s="290">
        <v>2248</v>
      </c>
      <c r="AZ34" s="290">
        <v>354</v>
      </c>
      <c r="BA34" s="290">
        <v>137</v>
      </c>
      <c r="BB34" s="290">
        <v>0</v>
      </c>
      <c r="BC34" s="290">
        <v>4599</v>
      </c>
      <c r="BD34" s="290"/>
      <c r="BE34" s="290">
        <v>265147.20638257999</v>
      </c>
      <c r="BF34" s="290">
        <v>0</v>
      </c>
      <c r="BG34" s="290">
        <v>0</v>
      </c>
      <c r="BH34" s="290">
        <v>-1444</v>
      </c>
      <c r="BI34" s="290">
        <v>4957</v>
      </c>
      <c r="BJ34" s="290">
        <v>1173.4077211565918</v>
      </c>
      <c r="BK34" s="290">
        <v>13</v>
      </c>
      <c r="BL34" s="290"/>
      <c r="BM34" s="290">
        <v>0</v>
      </c>
      <c r="BN34" s="290">
        <v>2593</v>
      </c>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f>+innut23!E40+innut23!S40</f>
        <v>318972.91177455033</v>
      </c>
      <c r="CL34" s="290"/>
      <c r="CM34" s="290">
        <v>0</v>
      </c>
      <c r="CN34" s="290">
        <v>0</v>
      </c>
      <c r="CO34" s="290"/>
      <c r="CP34" s="290"/>
      <c r="CQ34" s="290"/>
      <c r="CX34" s="517">
        <f t="shared" si="1"/>
        <v>0</v>
      </c>
      <c r="DB34" s="85">
        <f t="shared" si="2"/>
        <v>1.603</v>
      </c>
    </row>
    <row r="35" spans="1:106" ht="13">
      <c r="A35" s="1">
        <v>1517</v>
      </c>
      <c r="B35" s="2" t="s">
        <v>89</v>
      </c>
      <c r="C35" s="289"/>
      <c r="D35" s="290">
        <v>101</v>
      </c>
      <c r="E35" s="290">
        <v>241</v>
      </c>
      <c r="F35" s="290">
        <v>688</v>
      </c>
      <c r="G35" s="290">
        <v>429</v>
      </c>
      <c r="H35" s="290">
        <v>2855</v>
      </c>
      <c r="I35" s="290">
        <v>627</v>
      </c>
      <c r="J35" s="290">
        <v>199</v>
      </c>
      <c r="K35" s="290">
        <v>63</v>
      </c>
      <c r="L35" s="290">
        <v>40</v>
      </c>
      <c r="M35" s="290">
        <v>380</v>
      </c>
      <c r="N35" s="290">
        <v>138</v>
      </c>
      <c r="O35" s="290">
        <v>67</v>
      </c>
      <c r="P35" s="624">
        <v>13333.518333329999</v>
      </c>
      <c r="Q35" s="624">
        <v>6385.3180000000002</v>
      </c>
      <c r="R35" s="624">
        <v>22</v>
      </c>
      <c r="S35" s="290"/>
      <c r="T35" s="290">
        <v>414</v>
      </c>
      <c r="U35" s="958">
        <v>6.9807912710651563E-4</v>
      </c>
      <c r="V35" s="290">
        <v>-1486.32346355</v>
      </c>
      <c r="W35" s="765">
        <v>0.58969221000000005</v>
      </c>
      <c r="X35" s="290">
        <v>1284</v>
      </c>
      <c r="Y35" s="290"/>
      <c r="Z35" s="290">
        <f>+innut23!E41</f>
        <v>149432.27071713377</v>
      </c>
      <c r="AA35" s="290">
        <v>0</v>
      </c>
      <c r="AB35" s="290">
        <v>129</v>
      </c>
      <c r="AC35" s="290">
        <v>1741</v>
      </c>
      <c r="AD35" s="290"/>
      <c r="AE35" s="290">
        <v>0</v>
      </c>
      <c r="AF35" s="290">
        <v>0</v>
      </c>
      <c r="AG35" s="290">
        <v>5203</v>
      </c>
      <c r="AH35" s="290">
        <v>1034</v>
      </c>
      <c r="AI35" s="290"/>
      <c r="AJ35" s="290"/>
      <c r="AK35" s="290">
        <v>0</v>
      </c>
      <c r="AL35" s="290">
        <v>0</v>
      </c>
      <c r="AM35" s="957">
        <v>0.15144537999999999</v>
      </c>
      <c r="AN35" s="290">
        <v>0</v>
      </c>
      <c r="AO35" s="290">
        <v>2519.7704396099998</v>
      </c>
      <c r="AP35" s="290">
        <v>0</v>
      </c>
      <c r="AQ35" s="290">
        <v>0</v>
      </c>
      <c r="AR35" s="290">
        <v>-213.52386566999999</v>
      </c>
      <c r="AS35" s="290">
        <v>8226</v>
      </c>
      <c r="AT35" s="290">
        <v>209</v>
      </c>
      <c r="AU35" s="290">
        <v>85</v>
      </c>
      <c r="AV35" s="766">
        <v>151682</v>
      </c>
      <c r="AW35" s="290">
        <v>0</v>
      </c>
      <c r="AX35" s="766">
        <v>44.041649999999997</v>
      </c>
      <c r="AY35" s="290">
        <v>1003</v>
      </c>
      <c r="AZ35" s="290">
        <v>224</v>
      </c>
      <c r="BA35" s="290">
        <v>122</v>
      </c>
      <c r="BB35" s="290">
        <v>0</v>
      </c>
      <c r="BC35" s="290">
        <v>4204</v>
      </c>
      <c r="BD35" s="290"/>
      <c r="BE35" s="290">
        <v>177022.58531947999</v>
      </c>
      <c r="BF35" s="290">
        <v>0</v>
      </c>
      <c r="BG35" s="290">
        <v>0</v>
      </c>
      <c r="BH35" s="290">
        <v>-863</v>
      </c>
      <c r="BI35" s="290">
        <v>4849</v>
      </c>
      <c r="BJ35" s="290">
        <v>742.58111255135361</v>
      </c>
      <c r="BK35" s="290">
        <v>8</v>
      </c>
      <c r="BL35" s="290"/>
      <c r="BM35" s="290">
        <v>0</v>
      </c>
      <c r="BN35" s="290">
        <v>2074</v>
      </c>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f>+innut23!E41+innut23!S41</f>
        <v>149432.27071713377</v>
      </c>
      <c r="CL35" s="290"/>
      <c r="CM35" s="290">
        <v>0</v>
      </c>
      <c r="CN35" s="290">
        <v>0</v>
      </c>
      <c r="CO35" s="290"/>
      <c r="CP35" s="290"/>
      <c r="CQ35" s="290"/>
      <c r="CX35" s="517">
        <f t="shared" si="1"/>
        <v>0</v>
      </c>
      <c r="DB35" s="85">
        <f t="shared" si="2"/>
        <v>0.95399999999999996</v>
      </c>
    </row>
    <row r="36" spans="1:106" ht="13">
      <c r="A36" s="1">
        <v>1520</v>
      </c>
      <c r="B36" s="2" t="s">
        <v>91</v>
      </c>
      <c r="C36" s="289"/>
      <c r="D36" s="290">
        <v>227</v>
      </c>
      <c r="E36" s="290">
        <v>498</v>
      </c>
      <c r="F36" s="290">
        <v>1382</v>
      </c>
      <c r="G36" s="290">
        <v>932</v>
      </c>
      <c r="H36" s="290">
        <v>5801</v>
      </c>
      <c r="I36" s="290">
        <v>1436</v>
      </c>
      <c r="J36" s="290">
        <v>468</v>
      </c>
      <c r="K36" s="290">
        <v>149</v>
      </c>
      <c r="L36" s="290">
        <v>76</v>
      </c>
      <c r="M36" s="290">
        <v>851</v>
      </c>
      <c r="N36" s="290">
        <v>185</v>
      </c>
      <c r="O36" s="290">
        <v>89</v>
      </c>
      <c r="P36" s="624">
        <v>82395.841666670007</v>
      </c>
      <c r="Q36" s="624">
        <v>20828.03</v>
      </c>
      <c r="R36" s="624">
        <v>33</v>
      </c>
      <c r="S36" s="290"/>
      <c r="T36" s="290">
        <v>859</v>
      </c>
      <c r="U36" s="958">
        <v>4.004103521610642E-3</v>
      </c>
      <c r="V36" s="290">
        <v>1113.3866648600001</v>
      </c>
      <c r="W36" s="765">
        <v>0.61587999999999998</v>
      </c>
      <c r="X36" s="290">
        <v>1420</v>
      </c>
      <c r="Y36" s="290"/>
      <c r="Z36" s="290">
        <f>+innut23!E42</f>
        <v>320429.56172677671</v>
      </c>
      <c r="AA36" s="290">
        <v>0</v>
      </c>
      <c r="AB36" s="290">
        <v>220</v>
      </c>
      <c r="AC36" s="290">
        <v>495</v>
      </c>
      <c r="AD36" s="290"/>
      <c r="AE36" s="290">
        <v>0</v>
      </c>
      <c r="AF36" s="290">
        <v>0</v>
      </c>
      <c r="AG36" s="290">
        <v>10893</v>
      </c>
      <c r="AH36" s="290">
        <v>2097</v>
      </c>
      <c r="AI36" s="290"/>
      <c r="AJ36" s="290"/>
      <c r="AK36" s="290">
        <v>0</v>
      </c>
      <c r="AL36" s="290">
        <v>0</v>
      </c>
      <c r="AM36" s="957">
        <v>0.14937647000000001</v>
      </c>
      <c r="AN36" s="290">
        <v>0</v>
      </c>
      <c r="AO36" s="290">
        <v>5140.8314729100002</v>
      </c>
      <c r="AP36" s="290">
        <v>0</v>
      </c>
      <c r="AQ36" s="290">
        <v>0</v>
      </c>
      <c r="AR36" s="290">
        <v>-447.03353233000001</v>
      </c>
      <c r="AS36" s="290">
        <v>17524</v>
      </c>
      <c r="AT36" s="290">
        <v>398</v>
      </c>
      <c r="AU36" s="290">
        <v>115</v>
      </c>
      <c r="AV36" s="766">
        <v>301020</v>
      </c>
      <c r="AW36" s="290">
        <v>0</v>
      </c>
      <c r="AX36" s="766">
        <v>83.250050000000002</v>
      </c>
      <c r="AY36" s="290">
        <v>2377</v>
      </c>
      <c r="AZ36" s="290">
        <v>383</v>
      </c>
      <c r="BA36" s="290">
        <v>188</v>
      </c>
      <c r="BB36" s="290">
        <v>0</v>
      </c>
      <c r="BC36" s="290">
        <v>5879</v>
      </c>
      <c r="BD36" s="290"/>
      <c r="BE36" s="290">
        <v>350772.3618054</v>
      </c>
      <c r="BF36" s="290">
        <v>0</v>
      </c>
      <c r="BG36" s="290">
        <v>0</v>
      </c>
      <c r="BH36" s="290">
        <v>-1825</v>
      </c>
      <c r="BI36" s="290">
        <v>6222</v>
      </c>
      <c r="BJ36" s="290">
        <v>1498.0357611141353</v>
      </c>
      <c r="BK36" s="290">
        <v>15</v>
      </c>
      <c r="BL36" s="290"/>
      <c r="BM36" s="290">
        <v>0</v>
      </c>
      <c r="BN36" s="290">
        <v>3630</v>
      </c>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f>+innut23!E42+innut23!S42</f>
        <v>320429.56172677671</v>
      </c>
      <c r="CL36" s="290"/>
      <c r="CM36" s="290">
        <v>0</v>
      </c>
      <c r="CN36" s="290">
        <v>0</v>
      </c>
      <c r="CO36" s="290"/>
      <c r="CP36" s="290"/>
      <c r="CQ36" s="290"/>
      <c r="CX36" s="517">
        <f t="shared" si="1"/>
        <v>0</v>
      </c>
      <c r="DB36" s="85">
        <f t="shared" si="2"/>
        <v>1.9970000000000001</v>
      </c>
    </row>
    <row r="37" spans="1:106" ht="13">
      <c r="A37" s="1">
        <v>1525</v>
      </c>
      <c r="B37" s="2" t="s">
        <v>94</v>
      </c>
      <c r="C37" s="289"/>
      <c r="D37" s="290">
        <v>68</v>
      </c>
      <c r="E37" s="290">
        <v>166</v>
      </c>
      <c r="F37" s="290">
        <v>450</v>
      </c>
      <c r="G37" s="290">
        <v>384</v>
      </c>
      <c r="H37" s="290">
        <v>2456</v>
      </c>
      <c r="I37" s="290">
        <v>603</v>
      </c>
      <c r="J37" s="290">
        <v>254</v>
      </c>
      <c r="K37" s="290">
        <v>82</v>
      </c>
      <c r="L37" s="290">
        <v>28</v>
      </c>
      <c r="M37" s="290">
        <v>360</v>
      </c>
      <c r="N37" s="290">
        <v>59</v>
      </c>
      <c r="O37" s="290">
        <v>44</v>
      </c>
      <c r="P37" s="624">
        <v>47920.903666669998</v>
      </c>
      <c r="Q37" s="624">
        <v>29866.596333329999</v>
      </c>
      <c r="R37" s="624">
        <v>10</v>
      </c>
      <c r="S37" s="290"/>
      <c r="T37" s="290">
        <v>370</v>
      </c>
      <c r="U37" s="958">
        <v>2.2282234403203571E-3</v>
      </c>
      <c r="V37" s="290">
        <v>2662.0811643500001</v>
      </c>
      <c r="W37" s="765">
        <v>0.81454530999999997</v>
      </c>
      <c r="X37" s="290">
        <v>800</v>
      </c>
      <c r="Y37" s="290"/>
      <c r="Z37" s="290">
        <f>+innut23!E43</f>
        <v>148334.57114410633</v>
      </c>
      <c r="AA37" s="290">
        <v>0</v>
      </c>
      <c r="AB37" s="290">
        <v>65</v>
      </c>
      <c r="AC37" s="290">
        <v>932</v>
      </c>
      <c r="AD37" s="290"/>
      <c r="AE37" s="290">
        <v>0</v>
      </c>
      <c r="AF37" s="290">
        <v>0</v>
      </c>
      <c r="AG37" s="290">
        <v>4463</v>
      </c>
      <c r="AH37" s="290">
        <v>713</v>
      </c>
      <c r="AI37" s="290"/>
      <c r="AJ37" s="290"/>
      <c r="AK37" s="290">
        <v>0</v>
      </c>
      <c r="AL37" s="290">
        <v>0</v>
      </c>
      <c r="AM37" s="957">
        <v>4.0032699999999997E-2</v>
      </c>
      <c r="AN37" s="290">
        <v>2734</v>
      </c>
      <c r="AO37" s="290">
        <v>2145.1721995299999</v>
      </c>
      <c r="AP37" s="290">
        <v>0</v>
      </c>
      <c r="AQ37" s="290">
        <v>0</v>
      </c>
      <c r="AR37" s="290">
        <v>-183.15529742000001</v>
      </c>
      <c r="AS37" s="290">
        <v>7282</v>
      </c>
      <c r="AT37" s="290">
        <v>159</v>
      </c>
      <c r="AU37" s="290">
        <v>32</v>
      </c>
      <c r="AV37" s="766">
        <v>137420</v>
      </c>
      <c r="AW37" s="290">
        <v>0</v>
      </c>
      <c r="AX37" s="766">
        <v>24.708300000000001</v>
      </c>
      <c r="AY37" s="290">
        <v>846</v>
      </c>
      <c r="AZ37" s="290">
        <v>157</v>
      </c>
      <c r="BA37" s="290">
        <v>59</v>
      </c>
      <c r="BB37" s="290">
        <v>0</v>
      </c>
      <c r="BC37" s="290">
        <v>3363</v>
      </c>
      <c r="BD37" s="290"/>
      <c r="BE37" s="290">
        <v>155499.8758825</v>
      </c>
      <c r="BF37" s="290">
        <v>0</v>
      </c>
      <c r="BG37" s="290">
        <v>0</v>
      </c>
      <c r="BH37" s="290">
        <v>-751</v>
      </c>
      <c r="BI37" s="290">
        <v>3719</v>
      </c>
      <c r="BJ37" s="290">
        <v>553.49579933463031</v>
      </c>
      <c r="BK37" s="290">
        <v>6</v>
      </c>
      <c r="BL37" s="290"/>
      <c r="BM37" s="290">
        <v>0</v>
      </c>
      <c r="BN37" s="290">
        <v>2074</v>
      </c>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f>+innut23!E43+innut23!S43</f>
        <v>148334.57114410633</v>
      </c>
      <c r="CL37" s="290"/>
      <c r="CM37" s="290">
        <v>0</v>
      </c>
      <c r="CN37" s="290">
        <v>0</v>
      </c>
      <c r="CO37" s="290"/>
      <c r="CP37" s="290"/>
      <c r="CQ37" s="290"/>
      <c r="CX37" s="517">
        <f t="shared" si="1"/>
        <v>0</v>
      </c>
      <c r="DB37" s="85">
        <f t="shared" si="2"/>
        <v>0.81799999999999995</v>
      </c>
    </row>
    <row r="38" spans="1:106" ht="13">
      <c r="A38" s="1">
        <v>1528</v>
      </c>
      <c r="B38" s="2" t="s">
        <v>96</v>
      </c>
      <c r="C38" s="289"/>
      <c r="D38" s="290">
        <v>113</v>
      </c>
      <c r="E38" s="290">
        <v>283</v>
      </c>
      <c r="F38" s="290">
        <v>952</v>
      </c>
      <c r="G38" s="290">
        <v>694</v>
      </c>
      <c r="H38" s="290">
        <v>4104</v>
      </c>
      <c r="I38" s="290">
        <v>1050</v>
      </c>
      <c r="J38" s="290">
        <v>326</v>
      </c>
      <c r="K38" s="290">
        <v>77</v>
      </c>
      <c r="L38" s="290">
        <v>55</v>
      </c>
      <c r="M38" s="290">
        <v>539</v>
      </c>
      <c r="N38" s="290">
        <v>149</v>
      </c>
      <c r="O38" s="290">
        <v>63</v>
      </c>
      <c r="P38" s="624">
        <v>30912.299666669998</v>
      </c>
      <c r="Q38" s="624">
        <v>17587.82666667</v>
      </c>
      <c r="R38" s="624">
        <v>34</v>
      </c>
      <c r="S38" s="290"/>
      <c r="T38" s="290">
        <v>604</v>
      </c>
      <c r="U38" s="958">
        <v>1.9737729162628008E-3</v>
      </c>
      <c r="V38" s="290">
        <v>-7483.1650512699998</v>
      </c>
      <c r="W38" s="765">
        <v>0.59833066999999995</v>
      </c>
      <c r="X38" s="290">
        <v>400</v>
      </c>
      <c r="Y38" s="290"/>
      <c r="Z38" s="290">
        <f>+innut23!E44</f>
        <v>227113.37800523447</v>
      </c>
      <c r="AA38" s="290">
        <v>-7359</v>
      </c>
      <c r="AB38" s="290">
        <v>141</v>
      </c>
      <c r="AC38" s="290">
        <v>1162</v>
      </c>
      <c r="AD38" s="290"/>
      <c r="AE38" s="290">
        <v>0</v>
      </c>
      <c r="AF38" s="290">
        <v>0</v>
      </c>
      <c r="AG38" s="290">
        <v>7599</v>
      </c>
      <c r="AH38" s="290">
        <v>1380</v>
      </c>
      <c r="AI38" s="290"/>
      <c r="AJ38" s="290"/>
      <c r="AK38" s="290">
        <v>0</v>
      </c>
      <c r="AL38" s="290">
        <v>0</v>
      </c>
      <c r="AM38" s="957">
        <v>7.8252530000000001E-2</v>
      </c>
      <c r="AN38" s="290">
        <v>2131</v>
      </c>
      <c r="AO38" s="290">
        <v>3474.56322985</v>
      </c>
      <c r="AP38" s="290">
        <v>0</v>
      </c>
      <c r="AQ38" s="290">
        <v>0</v>
      </c>
      <c r="AR38" s="290">
        <v>518.33390769000005</v>
      </c>
      <c r="AS38" s="290">
        <v>12150</v>
      </c>
      <c r="AT38" s="290">
        <v>332</v>
      </c>
      <c r="AU38" s="290">
        <v>44</v>
      </c>
      <c r="AV38" s="766">
        <v>187211</v>
      </c>
      <c r="AW38" s="290">
        <v>0</v>
      </c>
      <c r="AX38" s="766">
        <v>38.75</v>
      </c>
      <c r="AY38" s="290">
        <v>1597</v>
      </c>
      <c r="AZ38" s="290">
        <v>306</v>
      </c>
      <c r="BA38" s="290">
        <v>133</v>
      </c>
      <c r="BB38" s="290">
        <v>0</v>
      </c>
      <c r="BC38" s="290">
        <v>-3834</v>
      </c>
      <c r="BD38" s="290"/>
      <c r="BE38" s="290">
        <v>215752.44307184999</v>
      </c>
      <c r="BF38" s="290">
        <v>0</v>
      </c>
      <c r="BG38" s="290">
        <v>0</v>
      </c>
      <c r="BH38" s="290">
        <v>-1276</v>
      </c>
      <c r="BI38" s="290">
        <v>-2224</v>
      </c>
      <c r="BJ38" s="290">
        <v>1027.2503035830669</v>
      </c>
      <c r="BK38" s="290">
        <v>10</v>
      </c>
      <c r="BL38" s="290"/>
      <c r="BM38" s="290">
        <v>0</v>
      </c>
      <c r="BN38" s="290">
        <v>2593</v>
      </c>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f>+innut23!E44+innut23!S44</f>
        <v>227113.37800523447</v>
      </c>
      <c r="CL38" s="290"/>
      <c r="CM38" s="290">
        <v>0</v>
      </c>
      <c r="CN38" s="290">
        <v>0</v>
      </c>
      <c r="CO38" s="290"/>
      <c r="CP38" s="290"/>
      <c r="CQ38" s="290"/>
      <c r="CX38" s="517">
        <f t="shared" si="1"/>
        <v>0</v>
      </c>
      <c r="DB38" s="85">
        <f t="shared" si="2"/>
        <v>1.393</v>
      </c>
    </row>
    <row r="39" spans="1:106" ht="13">
      <c r="A39" s="1">
        <v>1531</v>
      </c>
      <c r="B39" s="2" t="s">
        <v>98</v>
      </c>
      <c r="C39" s="289"/>
      <c r="D39" s="290">
        <v>208</v>
      </c>
      <c r="E39" s="290">
        <v>496</v>
      </c>
      <c r="F39" s="290">
        <v>1391</v>
      </c>
      <c r="G39" s="290">
        <v>815</v>
      </c>
      <c r="H39" s="290">
        <v>5270</v>
      </c>
      <c r="I39" s="290">
        <v>1012</v>
      </c>
      <c r="J39" s="290">
        <v>301</v>
      </c>
      <c r="K39" s="290">
        <v>108</v>
      </c>
      <c r="L39" s="290">
        <v>61</v>
      </c>
      <c r="M39" s="290">
        <v>522</v>
      </c>
      <c r="N39" s="290">
        <v>85</v>
      </c>
      <c r="O39" s="290">
        <v>81</v>
      </c>
      <c r="P39" s="624">
        <v>21945.097666670001</v>
      </c>
      <c r="Q39" s="624">
        <v>15366.012000000001</v>
      </c>
      <c r="R39" s="624">
        <v>48</v>
      </c>
      <c r="S39" s="290"/>
      <c r="T39" s="290">
        <v>646</v>
      </c>
      <c r="U39" s="958">
        <v>4.0183328563904355E-4</v>
      </c>
      <c r="V39" s="290">
        <v>2918.1564456999999</v>
      </c>
      <c r="W39" s="765">
        <v>0.56188956999999995</v>
      </c>
      <c r="X39" s="290">
        <v>1200</v>
      </c>
      <c r="Y39" s="290"/>
      <c r="Z39" s="290">
        <f>+innut23!E45</f>
        <v>287017.7173877607</v>
      </c>
      <c r="AA39" s="290">
        <v>0</v>
      </c>
      <c r="AB39" s="290">
        <v>174</v>
      </c>
      <c r="AC39" s="290">
        <v>2063</v>
      </c>
      <c r="AD39" s="290"/>
      <c r="AE39" s="290">
        <v>0</v>
      </c>
      <c r="AF39" s="290">
        <v>0</v>
      </c>
      <c r="AG39" s="290">
        <v>9601</v>
      </c>
      <c r="AH39" s="290">
        <v>2057</v>
      </c>
      <c r="AI39" s="290"/>
      <c r="AJ39" s="290"/>
      <c r="AK39" s="290">
        <v>0</v>
      </c>
      <c r="AL39" s="290">
        <v>0</v>
      </c>
      <c r="AM39" s="957">
        <v>9.8256060000000006E-2</v>
      </c>
      <c r="AN39" s="290">
        <v>0</v>
      </c>
      <c r="AO39" s="290">
        <v>4526.8816511699997</v>
      </c>
      <c r="AP39" s="290">
        <v>0</v>
      </c>
      <c r="AQ39" s="290">
        <v>0</v>
      </c>
      <c r="AR39" s="290">
        <v>-394.01165371000002</v>
      </c>
      <c r="AS39" s="290">
        <v>15196</v>
      </c>
      <c r="AT39" s="290">
        <v>371</v>
      </c>
      <c r="AU39" s="290">
        <v>101</v>
      </c>
      <c r="AV39" s="766">
        <v>272810</v>
      </c>
      <c r="AW39" s="290">
        <v>0</v>
      </c>
      <c r="AX39" s="766">
        <v>84.583349999999996</v>
      </c>
      <c r="AY39" s="290">
        <v>2080</v>
      </c>
      <c r="AZ39" s="290">
        <v>239</v>
      </c>
      <c r="BA39" s="290">
        <v>181</v>
      </c>
      <c r="BB39" s="290">
        <v>0</v>
      </c>
      <c r="BC39" s="290">
        <v>5918</v>
      </c>
      <c r="BD39" s="290"/>
      <c r="BE39" s="290">
        <v>311692.47212658997</v>
      </c>
      <c r="BF39" s="290">
        <v>0</v>
      </c>
      <c r="BG39" s="290">
        <v>0</v>
      </c>
      <c r="BH39" s="290">
        <v>-1592</v>
      </c>
      <c r="BI39" s="290">
        <v>6713</v>
      </c>
      <c r="BJ39" s="290">
        <v>1460.8221221006406</v>
      </c>
      <c r="BK39" s="290">
        <v>11</v>
      </c>
      <c r="BL39" s="290"/>
      <c r="BM39" s="290">
        <v>0</v>
      </c>
      <c r="BN39" s="290">
        <v>2593</v>
      </c>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f>+innut23!E45+innut23!S45</f>
        <v>287017.7173877607</v>
      </c>
      <c r="CL39" s="290"/>
      <c r="CM39" s="290">
        <v>0</v>
      </c>
      <c r="CN39" s="290">
        <v>0</v>
      </c>
      <c r="CO39" s="290"/>
      <c r="CP39" s="290"/>
      <c r="CQ39" s="290"/>
      <c r="CX39" s="517">
        <f t="shared" si="1"/>
        <v>0</v>
      </c>
      <c r="DB39" s="85">
        <f t="shared" si="2"/>
        <v>1.76</v>
      </c>
    </row>
    <row r="40" spans="1:106" ht="13">
      <c r="A40" s="1">
        <v>1532</v>
      </c>
      <c r="B40" s="2" t="s">
        <v>99</v>
      </c>
      <c r="C40" s="289"/>
      <c r="D40" s="290">
        <v>217</v>
      </c>
      <c r="E40" s="290">
        <v>466</v>
      </c>
      <c r="F40" s="290">
        <v>1226</v>
      </c>
      <c r="G40" s="290">
        <v>762</v>
      </c>
      <c r="H40" s="290">
        <v>4660</v>
      </c>
      <c r="I40" s="290">
        <v>922</v>
      </c>
      <c r="J40" s="290">
        <v>320</v>
      </c>
      <c r="K40" s="290">
        <v>72</v>
      </c>
      <c r="L40" s="290">
        <v>54</v>
      </c>
      <c r="M40" s="290">
        <v>485</v>
      </c>
      <c r="N40" s="290">
        <v>79</v>
      </c>
      <c r="O40" s="290">
        <v>95</v>
      </c>
      <c r="P40" s="624">
        <v>30080.26433333</v>
      </c>
      <c r="Q40" s="624">
        <v>14538.526</v>
      </c>
      <c r="R40" s="624">
        <v>24</v>
      </c>
      <c r="S40" s="290"/>
      <c r="T40" s="290">
        <v>539</v>
      </c>
      <c r="U40" s="958">
        <v>8.9792329467209024E-4</v>
      </c>
      <c r="V40" s="290">
        <v>3825.2215934000001</v>
      </c>
      <c r="W40" s="765">
        <v>0.61586054000000001</v>
      </c>
      <c r="X40" s="290">
        <v>800</v>
      </c>
      <c r="Y40" s="290"/>
      <c r="Z40" s="290">
        <f>+innut23!E46</f>
        <v>290427.23087434017</v>
      </c>
      <c r="AA40" s="290">
        <v>0</v>
      </c>
      <c r="AB40" s="290">
        <v>138</v>
      </c>
      <c r="AC40" s="290">
        <v>582</v>
      </c>
      <c r="AD40" s="290"/>
      <c r="AE40" s="290">
        <v>0</v>
      </c>
      <c r="AF40" s="290">
        <v>0</v>
      </c>
      <c r="AG40" s="290">
        <v>8645</v>
      </c>
      <c r="AH40" s="290">
        <v>1898</v>
      </c>
      <c r="AI40" s="290"/>
      <c r="AJ40" s="290"/>
      <c r="AK40" s="290">
        <v>0</v>
      </c>
      <c r="AL40" s="290">
        <v>0</v>
      </c>
      <c r="AM40" s="957">
        <v>9.3970629999999999E-2</v>
      </c>
      <c r="AN40" s="290">
        <v>0</v>
      </c>
      <c r="AO40" s="290">
        <v>4005.1486293600001</v>
      </c>
      <c r="AP40" s="290">
        <v>0</v>
      </c>
      <c r="AQ40" s="290">
        <v>0</v>
      </c>
      <c r="AR40" s="290">
        <v>-354.77874661999999</v>
      </c>
      <c r="AS40" s="290">
        <v>12376</v>
      </c>
      <c r="AT40" s="290">
        <v>365</v>
      </c>
      <c r="AU40" s="290">
        <v>71</v>
      </c>
      <c r="AV40" s="766">
        <v>234407</v>
      </c>
      <c r="AW40" s="290">
        <v>0</v>
      </c>
      <c r="AX40" s="766">
        <v>73.041650000000004</v>
      </c>
      <c r="AY40" s="290">
        <v>1903</v>
      </c>
      <c r="AZ40" s="290">
        <v>268</v>
      </c>
      <c r="BA40" s="290">
        <v>171</v>
      </c>
      <c r="BB40" s="290">
        <v>0</v>
      </c>
      <c r="BC40" s="290">
        <v>4745</v>
      </c>
      <c r="BD40" s="290"/>
      <c r="BE40" s="290">
        <v>270648.68204592</v>
      </c>
      <c r="BF40" s="290">
        <v>0</v>
      </c>
      <c r="BG40" s="290">
        <v>0</v>
      </c>
      <c r="BH40" s="290">
        <v>-1439</v>
      </c>
      <c r="BI40" s="290">
        <v>5073</v>
      </c>
      <c r="BJ40" s="290">
        <v>1307.8996247898708</v>
      </c>
      <c r="BK40" s="290">
        <v>10</v>
      </c>
      <c r="BL40" s="290"/>
      <c r="BM40" s="290">
        <v>0</v>
      </c>
      <c r="BN40" s="290">
        <v>2593</v>
      </c>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f>+innut23!E46+innut23!S46</f>
        <v>290427.23087434017</v>
      </c>
      <c r="CL40" s="290"/>
      <c r="CM40" s="290">
        <v>0</v>
      </c>
      <c r="CN40" s="290">
        <v>0</v>
      </c>
      <c r="CO40" s="290"/>
      <c r="CP40" s="290"/>
      <c r="CQ40" s="290"/>
      <c r="CX40" s="517">
        <f t="shared" si="1"/>
        <v>0</v>
      </c>
      <c r="DB40" s="85">
        <f t="shared" si="2"/>
        <v>1.585</v>
      </c>
    </row>
    <row r="41" spans="1:106" ht="13">
      <c r="A41" s="1">
        <v>1535</v>
      </c>
      <c r="B41" s="2" t="s">
        <v>101</v>
      </c>
      <c r="C41" s="289"/>
      <c r="D41" s="290">
        <v>109</v>
      </c>
      <c r="E41" s="290">
        <v>275</v>
      </c>
      <c r="F41" s="290">
        <v>788</v>
      </c>
      <c r="G41" s="290">
        <v>585</v>
      </c>
      <c r="H41" s="290">
        <v>3795</v>
      </c>
      <c r="I41" s="290">
        <v>1066</v>
      </c>
      <c r="J41" s="290">
        <v>286</v>
      </c>
      <c r="K41" s="290">
        <v>74</v>
      </c>
      <c r="L41" s="290">
        <v>52</v>
      </c>
      <c r="M41" s="290">
        <v>611</v>
      </c>
      <c r="N41" s="290">
        <v>56</v>
      </c>
      <c r="O41" s="290">
        <v>64</v>
      </c>
      <c r="P41" s="624">
        <v>50222.321333330001</v>
      </c>
      <c r="Q41" s="624">
        <v>17756.527999999998</v>
      </c>
      <c r="R41" s="624">
        <v>37</v>
      </c>
      <c r="S41" s="290"/>
      <c r="T41" s="290">
        <v>616</v>
      </c>
      <c r="U41" s="958">
        <v>2.6561257608200524E-3</v>
      </c>
      <c r="V41" s="290">
        <v>-3446.5240220800001</v>
      </c>
      <c r="W41" s="765">
        <v>0.67290556000000001</v>
      </c>
      <c r="X41" s="290">
        <v>1900</v>
      </c>
      <c r="Y41" s="290"/>
      <c r="Z41" s="290">
        <f>+innut23!E47</f>
        <v>228049.07362136539</v>
      </c>
      <c r="AA41" s="290">
        <v>0</v>
      </c>
      <c r="AB41" s="290">
        <v>167</v>
      </c>
      <c r="AC41" s="290">
        <v>1016</v>
      </c>
      <c r="AD41" s="290"/>
      <c r="AE41" s="290">
        <v>0</v>
      </c>
      <c r="AF41" s="290">
        <v>0</v>
      </c>
      <c r="AG41" s="290">
        <v>6978</v>
      </c>
      <c r="AH41" s="290">
        <v>1221</v>
      </c>
      <c r="AI41" s="290"/>
      <c r="AJ41" s="290"/>
      <c r="AK41" s="290">
        <v>0</v>
      </c>
      <c r="AL41" s="290">
        <v>0</v>
      </c>
      <c r="AM41" s="957">
        <v>0.13434982000000001</v>
      </c>
      <c r="AN41" s="290">
        <v>5919</v>
      </c>
      <c r="AO41" s="290">
        <v>3275.6215496599998</v>
      </c>
      <c r="AP41" s="290">
        <v>0</v>
      </c>
      <c r="AQ41" s="290">
        <v>0</v>
      </c>
      <c r="AR41" s="290">
        <v>-286.36739084999999</v>
      </c>
      <c r="AS41" s="290">
        <v>11302</v>
      </c>
      <c r="AT41" s="290">
        <v>286</v>
      </c>
      <c r="AU41" s="290">
        <v>81</v>
      </c>
      <c r="AV41" s="766">
        <v>196736</v>
      </c>
      <c r="AW41" s="290">
        <v>0</v>
      </c>
      <c r="AX41" s="766">
        <v>47.124949999999998</v>
      </c>
      <c r="AY41" s="290">
        <v>1209</v>
      </c>
      <c r="AZ41" s="290">
        <v>279</v>
      </c>
      <c r="BA41" s="290">
        <v>127</v>
      </c>
      <c r="BB41" s="290">
        <v>0</v>
      </c>
      <c r="BC41" s="290">
        <v>3916</v>
      </c>
      <c r="BD41" s="290"/>
      <c r="BE41" s="290">
        <v>225314.14209276999</v>
      </c>
      <c r="BF41" s="290">
        <v>0</v>
      </c>
      <c r="BG41" s="290">
        <v>0</v>
      </c>
      <c r="BH41" s="290">
        <v>-1176</v>
      </c>
      <c r="BI41" s="290">
        <v>4311</v>
      </c>
      <c r="BJ41" s="290">
        <v>878.46286005556669</v>
      </c>
      <c r="BK41" s="290">
        <v>10</v>
      </c>
      <c r="BL41" s="290"/>
      <c r="BM41" s="290">
        <v>0</v>
      </c>
      <c r="BN41" s="290">
        <v>2074</v>
      </c>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f>+innut23!E47+innut23!S47</f>
        <v>228049.07362136539</v>
      </c>
      <c r="CL41" s="290"/>
      <c r="CM41" s="290">
        <v>0</v>
      </c>
      <c r="CN41" s="290">
        <v>0</v>
      </c>
      <c r="CO41" s="290"/>
      <c r="CP41" s="290"/>
      <c r="CQ41" s="290"/>
      <c r="CX41" s="517">
        <f t="shared" si="1"/>
        <v>0</v>
      </c>
      <c r="DB41" s="85">
        <f t="shared" si="2"/>
        <v>1.2789999999999999</v>
      </c>
    </row>
    <row r="42" spans="1:106" ht="13">
      <c r="A42" s="1">
        <v>1539</v>
      </c>
      <c r="B42" s="2" t="s">
        <v>102</v>
      </c>
      <c r="C42" s="289"/>
      <c r="D42" s="290">
        <v>126</v>
      </c>
      <c r="E42" s="290">
        <v>295</v>
      </c>
      <c r="F42" s="290">
        <v>859</v>
      </c>
      <c r="G42" s="290">
        <v>549</v>
      </c>
      <c r="H42" s="290">
        <v>3751</v>
      </c>
      <c r="I42" s="290">
        <v>1080</v>
      </c>
      <c r="J42" s="290">
        <v>337</v>
      </c>
      <c r="K42" s="290">
        <v>96</v>
      </c>
      <c r="L42" s="290">
        <v>55</v>
      </c>
      <c r="M42" s="290">
        <v>675</v>
      </c>
      <c r="N42" s="290">
        <v>39</v>
      </c>
      <c r="O42" s="290">
        <v>56</v>
      </c>
      <c r="P42" s="624">
        <v>60501.978666670002</v>
      </c>
      <c r="Q42" s="624">
        <v>18836.581333329999</v>
      </c>
      <c r="R42" s="624">
        <v>35</v>
      </c>
      <c r="S42" s="290"/>
      <c r="T42" s="290">
        <v>607</v>
      </c>
      <c r="U42" s="958">
        <v>3.5799342664587859E-3</v>
      </c>
      <c r="V42" s="290">
        <v>-796.18968357000006</v>
      </c>
      <c r="W42" s="765">
        <v>0.72971710999999995</v>
      </c>
      <c r="X42" s="290">
        <v>1030</v>
      </c>
      <c r="Y42" s="290"/>
      <c r="Z42" s="290">
        <f>+innut23!E48</f>
        <v>227953.42592261473</v>
      </c>
      <c r="AA42" s="290">
        <v>0</v>
      </c>
      <c r="AB42" s="290">
        <v>130</v>
      </c>
      <c r="AC42" s="290">
        <v>478</v>
      </c>
      <c r="AD42" s="290"/>
      <c r="AE42" s="290">
        <v>0</v>
      </c>
      <c r="AF42" s="290">
        <v>0</v>
      </c>
      <c r="AG42" s="290">
        <v>7093</v>
      </c>
      <c r="AH42" s="290">
        <v>1287</v>
      </c>
      <c r="AI42" s="290"/>
      <c r="AJ42" s="290"/>
      <c r="AK42" s="290">
        <v>0</v>
      </c>
      <c r="AL42" s="290">
        <v>0</v>
      </c>
      <c r="AM42" s="957">
        <v>8.1250959999999997E-2</v>
      </c>
      <c r="AN42" s="290">
        <v>5980</v>
      </c>
      <c r="AO42" s="290">
        <v>3490.0044371200001</v>
      </c>
      <c r="AP42" s="290">
        <v>0</v>
      </c>
      <c r="AQ42" s="290">
        <v>0</v>
      </c>
      <c r="AR42" s="290">
        <v>-291.08683051000003</v>
      </c>
      <c r="AS42" s="290">
        <v>11489</v>
      </c>
      <c r="AT42" s="290">
        <v>289</v>
      </c>
      <c r="AU42" s="290">
        <v>57</v>
      </c>
      <c r="AV42" s="766">
        <v>224247</v>
      </c>
      <c r="AW42" s="290">
        <v>0</v>
      </c>
      <c r="AX42" s="766">
        <v>43.291649999999997</v>
      </c>
      <c r="AY42" s="290">
        <v>1406</v>
      </c>
      <c r="AZ42" s="290">
        <v>243</v>
      </c>
      <c r="BA42" s="290">
        <v>125</v>
      </c>
      <c r="BB42" s="290">
        <v>0</v>
      </c>
      <c r="BC42" s="290">
        <v>4074</v>
      </c>
      <c r="BD42" s="290"/>
      <c r="BE42" s="290">
        <v>253265.34514225001</v>
      </c>
      <c r="BF42" s="290">
        <v>0</v>
      </c>
      <c r="BG42" s="290">
        <v>0</v>
      </c>
      <c r="BH42" s="290">
        <v>-1185</v>
      </c>
      <c r="BI42" s="290">
        <v>4358</v>
      </c>
      <c r="BJ42" s="290">
        <v>954.71288945126537</v>
      </c>
      <c r="BK42" s="290">
        <v>9</v>
      </c>
      <c r="BL42" s="290"/>
      <c r="BM42" s="290">
        <v>0</v>
      </c>
      <c r="BN42" s="290">
        <v>2593</v>
      </c>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f>+innut23!E48+innut23!S48</f>
        <v>227953.42592261473</v>
      </c>
      <c r="CL42" s="290"/>
      <c r="CM42" s="290">
        <v>0</v>
      </c>
      <c r="CN42" s="290">
        <v>0</v>
      </c>
      <c r="CO42" s="290"/>
      <c r="CP42" s="290"/>
      <c r="CQ42" s="290"/>
      <c r="CX42" s="517">
        <f t="shared" si="1"/>
        <v>0</v>
      </c>
      <c r="DB42" s="85">
        <f t="shared" si="2"/>
        <v>1.3</v>
      </c>
    </row>
    <row r="43" spans="1:106" ht="13">
      <c r="A43" s="1">
        <v>1547</v>
      </c>
      <c r="B43" s="2" t="s">
        <v>106</v>
      </c>
      <c r="C43" s="289"/>
      <c r="D43" s="290">
        <v>58</v>
      </c>
      <c r="E43" s="290">
        <v>156</v>
      </c>
      <c r="F43" s="290">
        <v>477</v>
      </c>
      <c r="G43" s="290">
        <v>344</v>
      </c>
      <c r="H43" s="290">
        <v>1886</v>
      </c>
      <c r="I43" s="290">
        <v>463</v>
      </c>
      <c r="J43" s="290">
        <v>163</v>
      </c>
      <c r="K43" s="290">
        <v>43</v>
      </c>
      <c r="L43" s="290">
        <v>25</v>
      </c>
      <c r="M43" s="290">
        <v>240</v>
      </c>
      <c r="N43" s="290">
        <v>69</v>
      </c>
      <c r="O43" s="290">
        <v>49</v>
      </c>
      <c r="P43" s="624">
        <v>45334.211666670002</v>
      </c>
      <c r="Q43" s="624">
        <v>8463.5443333300009</v>
      </c>
      <c r="R43" s="624">
        <v>8</v>
      </c>
      <c r="S43" s="290"/>
      <c r="T43" s="290">
        <v>253</v>
      </c>
      <c r="U43" s="958">
        <v>7.0708835656030453E-4</v>
      </c>
      <c r="V43" s="290">
        <v>1848.00357779</v>
      </c>
      <c r="W43" s="765">
        <v>0.75812288000000005</v>
      </c>
      <c r="X43" s="290">
        <v>0</v>
      </c>
      <c r="Y43" s="290"/>
      <c r="Z43" s="290">
        <f>+innut23!E49</f>
        <v>117399.85213461758</v>
      </c>
      <c r="AA43" s="290">
        <v>0</v>
      </c>
      <c r="AB43" s="290">
        <v>59</v>
      </c>
      <c r="AC43" s="290">
        <v>27</v>
      </c>
      <c r="AD43" s="290"/>
      <c r="AE43" s="290">
        <v>0</v>
      </c>
      <c r="AF43" s="290">
        <v>0</v>
      </c>
      <c r="AG43" s="290">
        <v>3590</v>
      </c>
      <c r="AH43" s="290">
        <v>715</v>
      </c>
      <c r="AI43" s="290"/>
      <c r="AJ43" s="290"/>
      <c r="AK43" s="290">
        <v>3698</v>
      </c>
      <c r="AL43" s="290">
        <v>0</v>
      </c>
      <c r="AM43" s="957">
        <v>6.172366E-2</v>
      </c>
      <c r="AN43" s="290">
        <v>0</v>
      </c>
      <c r="AO43" s="290">
        <v>1777.93132586</v>
      </c>
      <c r="AP43" s="290">
        <v>0</v>
      </c>
      <c r="AQ43" s="290">
        <v>0</v>
      </c>
      <c r="AR43" s="290">
        <v>-147.32859461000001</v>
      </c>
      <c r="AS43" s="290">
        <v>5664</v>
      </c>
      <c r="AT43" s="290">
        <v>164</v>
      </c>
      <c r="AU43" s="290">
        <v>34</v>
      </c>
      <c r="AV43" s="766">
        <v>112798</v>
      </c>
      <c r="AW43" s="290">
        <v>0</v>
      </c>
      <c r="AX43" s="766">
        <v>20.916650000000001</v>
      </c>
      <c r="AY43" s="290">
        <v>757</v>
      </c>
      <c r="AZ43" s="290">
        <v>137</v>
      </c>
      <c r="BA43" s="290">
        <v>84</v>
      </c>
      <c r="BB43" s="290">
        <v>0</v>
      </c>
      <c r="BC43" s="290">
        <v>4884</v>
      </c>
      <c r="BD43" s="290"/>
      <c r="BE43" s="290">
        <v>131776.38915787</v>
      </c>
      <c r="BF43" s="290">
        <v>0</v>
      </c>
      <c r="BG43" s="290">
        <v>0</v>
      </c>
      <c r="BH43" s="290">
        <v>-592</v>
      </c>
      <c r="BI43" s="290">
        <v>5477</v>
      </c>
      <c r="BJ43" s="290">
        <v>552.20599936910082</v>
      </c>
      <c r="BK43" s="290">
        <v>5</v>
      </c>
      <c r="BL43" s="290"/>
      <c r="BM43" s="290">
        <v>0</v>
      </c>
      <c r="BN43" s="290">
        <v>1037</v>
      </c>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f>+innut23!E49+innut23!S49</f>
        <v>117399.85213461758</v>
      </c>
      <c r="CL43" s="290"/>
      <c r="CM43" s="290">
        <v>4208.1525875035841</v>
      </c>
      <c r="CN43" s="290">
        <v>4711.742148938838</v>
      </c>
      <c r="CO43" s="290"/>
      <c r="CP43" s="290"/>
      <c r="CQ43" s="290"/>
      <c r="CX43" s="517">
        <f t="shared" si="1"/>
        <v>0</v>
      </c>
      <c r="DB43" s="85">
        <f t="shared" si="2"/>
        <v>0.65800000000000003</v>
      </c>
    </row>
    <row r="44" spans="1:106" ht="13">
      <c r="A44" s="1">
        <v>1554</v>
      </c>
      <c r="B44" s="3" t="s">
        <v>109</v>
      </c>
      <c r="C44" s="289"/>
      <c r="D44" s="290">
        <v>102</v>
      </c>
      <c r="E44" s="290">
        <v>211</v>
      </c>
      <c r="F44" s="290">
        <v>710</v>
      </c>
      <c r="G44" s="290">
        <v>481</v>
      </c>
      <c r="H44" s="290">
        <v>3163</v>
      </c>
      <c r="I44" s="290">
        <v>855</v>
      </c>
      <c r="J44" s="290">
        <v>257</v>
      </c>
      <c r="K44" s="290">
        <v>60</v>
      </c>
      <c r="L44" s="290">
        <v>40</v>
      </c>
      <c r="M44" s="290">
        <v>490</v>
      </c>
      <c r="N44" s="290">
        <v>40</v>
      </c>
      <c r="O44" s="290">
        <v>54</v>
      </c>
      <c r="P44" s="624">
        <v>40774.54066667</v>
      </c>
      <c r="Q44" s="624">
        <v>18653.921999999999</v>
      </c>
      <c r="R44" s="624">
        <v>23</v>
      </c>
      <c r="S44" s="290"/>
      <c r="T44" s="290">
        <v>452</v>
      </c>
      <c r="U44" s="958">
        <v>2.3674280343835823E-3</v>
      </c>
      <c r="V44" s="290">
        <v>-1794.2954083</v>
      </c>
      <c r="W44" s="765">
        <v>0.72600100999999995</v>
      </c>
      <c r="X44" s="290">
        <v>700</v>
      </c>
      <c r="Y44" s="290"/>
      <c r="Z44" s="290">
        <f>+innut23!E50</f>
        <v>191566.85371985816</v>
      </c>
      <c r="AA44" s="290">
        <v>0</v>
      </c>
      <c r="AB44" s="290">
        <v>112</v>
      </c>
      <c r="AC44" s="290">
        <v>809</v>
      </c>
      <c r="AD44" s="290"/>
      <c r="AE44" s="290">
        <v>0</v>
      </c>
      <c r="AF44" s="290">
        <v>0</v>
      </c>
      <c r="AG44" s="290">
        <v>5839</v>
      </c>
      <c r="AH44" s="290">
        <v>1054</v>
      </c>
      <c r="AI44" s="290"/>
      <c r="AJ44" s="290"/>
      <c r="AK44" s="290">
        <v>0</v>
      </c>
      <c r="AL44" s="290">
        <v>0</v>
      </c>
      <c r="AM44" s="957">
        <v>8.5362289999999993E-2</v>
      </c>
      <c r="AN44" s="290">
        <v>0</v>
      </c>
      <c r="AO44" s="290">
        <v>2718.45631796</v>
      </c>
      <c r="AP44" s="290">
        <v>0</v>
      </c>
      <c r="AQ44" s="290">
        <v>0</v>
      </c>
      <c r="AR44" s="290">
        <v>-239.62441892000001</v>
      </c>
      <c r="AS44" s="290">
        <v>9432</v>
      </c>
      <c r="AT44" s="290">
        <v>253</v>
      </c>
      <c r="AU44" s="290">
        <v>60</v>
      </c>
      <c r="AV44" s="766">
        <v>155746</v>
      </c>
      <c r="AW44" s="290">
        <v>0</v>
      </c>
      <c r="AX44" s="766">
        <v>33.249949999999998</v>
      </c>
      <c r="AY44" s="290">
        <v>1111</v>
      </c>
      <c r="AZ44" s="290">
        <v>191</v>
      </c>
      <c r="BA44" s="290">
        <v>109</v>
      </c>
      <c r="BB44" s="290">
        <v>0</v>
      </c>
      <c r="BC44" s="290">
        <v>3075</v>
      </c>
      <c r="BD44" s="290"/>
      <c r="BE44" s="290">
        <v>180440.95671123001</v>
      </c>
      <c r="BF44" s="290">
        <v>0</v>
      </c>
      <c r="BG44" s="290">
        <v>0</v>
      </c>
      <c r="BH44" s="290">
        <v>-974</v>
      </c>
      <c r="BI44" s="290">
        <v>3419</v>
      </c>
      <c r="BJ44" s="290">
        <v>794.51164867864145</v>
      </c>
      <c r="BK44" s="290">
        <v>7</v>
      </c>
      <c r="BL44" s="290"/>
      <c r="BM44" s="290">
        <v>0</v>
      </c>
      <c r="BN44" s="290">
        <v>1556</v>
      </c>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f>+innut23!E50+innut23!S50</f>
        <v>191566.85371985816</v>
      </c>
      <c r="CL44" s="290"/>
      <c r="CM44" s="290">
        <v>0</v>
      </c>
      <c r="CN44" s="290">
        <v>0</v>
      </c>
      <c r="CO44" s="290"/>
      <c r="CP44" s="290"/>
      <c r="CQ44" s="290"/>
      <c r="CX44" s="517">
        <f t="shared" si="1"/>
        <v>0</v>
      </c>
      <c r="DB44" s="85">
        <f t="shared" si="2"/>
        <v>1.07</v>
      </c>
    </row>
    <row r="45" spans="1:106" ht="13">
      <c r="A45" s="1">
        <v>1557</v>
      </c>
      <c r="B45" s="2" t="s">
        <v>110</v>
      </c>
      <c r="C45" s="289"/>
      <c r="D45" s="290">
        <v>49</v>
      </c>
      <c r="E45" s="290">
        <v>106</v>
      </c>
      <c r="F45" s="290">
        <v>326</v>
      </c>
      <c r="G45" s="290">
        <v>251</v>
      </c>
      <c r="H45" s="290">
        <v>1366</v>
      </c>
      <c r="I45" s="290">
        <v>439</v>
      </c>
      <c r="J45" s="290">
        <v>101</v>
      </c>
      <c r="K45" s="290">
        <v>24</v>
      </c>
      <c r="L45" s="290">
        <v>21</v>
      </c>
      <c r="M45" s="290">
        <v>214</v>
      </c>
      <c r="N45" s="290">
        <v>12</v>
      </c>
      <c r="O45" s="290">
        <v>20</v>
      </c>
      <c r="P45" s="624">
        <v>34086.29833333</v>
      </c>
      <c r="Q45" s="624">
        <v>14660.218999999999</v>
      </c>
      <c r="R45" s="624">
        <v>11</v>
      </c>
      <c r="S45" s="290"/>
      <c r="T45" s="290">
        <v>191</v>
      </c>
      <c r="U45" s="958">
        <v>2.7678855364807083E-3</v>
      </c>
      <c r="V45" s="290">
        <v>-2983.9059289699999</v>
      </c>
      <c r="W45" s="765">
        <v>0.84804855999999995</v>
      </c>
      <c r="X45" s="290">
        <v>700</v>
      </c>
      <c r="Y45" s="290"/>
      <c r="Z45" s="290">
        <f>+innut23!E51</f>
        <v>75476.848675578643</v>
      </c>
      <c r="AA45" s="290">
        <v>0</v>
      </c>
      <c r="AB45" s="290">
        <v>54</v>
      </c>
      <c r="AC45" s="290">
        <v>27</v>
      </c>
      <c r="AD45" s="290"/>
      <c r="AE45" s="290">
        <v>0</v>
      </c>
      <c r="AF45" s="290">
        <v>0</v>
      </c>
      <c r="AG45" s="290">
        <v>2662</v>
      </c>
      <c r="AH45" s="290">
        <v>505</v>
      </c>
      <c r="AI45" s="290"/>
      <c r="AJ45" s="290"/>
      <c r="AK45" s="290">
        <v>0</v>
      </c>
      <c r="AL45" s="290">
        <v>0</v>
      </c>
      <c r="AM45" s="957">
        <v>4.1116510000000002E-2</v>
      </c>
      <c r="AN45" s="290">
        <v>0</v>
      </c>
      <c r="AO45" s="290">
        <v>1362.1205976599999</v>
      </c>
      <c r="AP45" s="290">
        <v>0</v>
      </c>
      <c r="AQ45" s="290">
        <v>0</v>
      </c>
      <c r="AR45" s="290">
        <v>873.32209608000005</v>
      </c>
      <c r="AS45" s="290">
        <v>4242</v>
      </c>
      <c r="AT45" s="290">
        <v>113</v>
      </c>
      <c r="AU45" s="290">
        <v>24</v>
      </c>
      <c r="AV45" s="766">
        <v>92987</v>
      </c>
      <c r="AW45" s="290">
        <v>0</v>
      </c>
      <c r="AX45" s="766">
        <v>13.99995</v>
      </c>
      <c r="AY45" s="290">
        <v>519</v>
      </c>
      <c r="AZ45" s="290">
        <v>108</v>
      </c>
      <c r="BA45" s="290">
        <v>46</v>
      </c>
      <c r="BB45" s="290">
        <v>4381</v>
      </c>
      <c r="BC45" s="290">
        <v>1503</v>
      </c>
      <c r="BD45" s="290"/>
      <c r="BE45" s="290">
        <v>102086.15117978</v>
      </c>
      <c r="BF45" s="290">
        <v>0</v>
      </c>
      <c r="BG45" s="290">
        <v>0</v>
      </c>
      <c r="BH45" s="290">
        <v>-447</v>
      </c>
      <c r="BI45" s="290">
        <v>1569</v>
      </c>
      <c r="BJ45" s="290">
        <v>395.10763191071726</v>
      </c>
      <c r="BK45" s="290">
        <v>3</v>
      </c>
      <c r="BL45" s="290"/>
      <c r="BM45" s="290">
        <v>0</v>
      </c>
      <c r="BN45" s="290">
        <v>1037</v>
      </c>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f>+innut23!E51+innut23!S51</f>
        <v>75476.848675578643</v>
      </c>
      <c r="CL45" s="290"/>
      <c r="CM45" s="290">
        <v>0</v>
      </c>
      <c r="CN45" s="290">
        <v>0</v>
      </c>
      <c r="CO45" s="290"/>
      <c r="CP45" s="290"/>
      <c r="CQ45" s="290"/>
      <c r="CX45" s="517">
        <f t="shared" si="1"/>
        <v>0</v>
      </c>
      <c r="DB45" s="85">
        <f t="shared" si="2"/>
        <v>0.48799999999999999</v>
      </c>
    </row>
    <row r="46" spans="1:106" ht="13">
      <c r="A46" s="1">
        <v>1560</v>
      </c>
      <c r="B46" s="2" t="s">
        <v>111</v>
      </c>
      <c r="C46" s="289"/>
      <c r="D46" s="290">
        <v>48</v>
      </c>
      <c r="E46" s="290">
        <v>93</v>
      </c>
      <c r="F46" s="290">
        <v>320</v>
      </c>
      <c r="G46" s="290">
        <v>243</v>
      </c>
      <c r="H46" s="290">
        <v>1572</v>
      </c>
      <c r="I46" s="290">
        <v>482</v>
      </c>
      <c r="J46" s="290">
        <v>169</v>
      </c>
      <c r="K46" s="290">
        <v>41</v>
      </c>
      <c r="L46" s="290">
        <v>23</v>
      </c>
      <c r="M46" s="290">
        <v>302</v>
      </c>
      <c r="N46" s="290">
        <v>38</v>
      </c>
      <c r="O46" s="290">
        <v>21</v>
      </c>
      <c r="P46" s="624">
        <v>35608.601000000002</v>
      </c>
      <c r="Q46" s="624">
        <v>10616.766</v>
      </c>
      <c r="R46" s="624">
        <v>19</v>
      </c>
      <c r="S46" s="290"/>
      <c r="T46" s="290">
        <v>255</v>
      </c>
      <c r="U46" s="958">
        <v>1.9561291720978651E-3</v>
      </c>
      <c r="V46" s="290">
        <v>2029.4653368199999</v>
      </c>
      <c r="W46" s="765">
        <v>0.97616639000000005</v>
      </c>
      <c r="X46" s="290">
        <v>300</v>
      </c>
      <c r="Y46" s="290"/>
      <c r="Z46" s="290">
        <f>+innut23!E52</f>
        <v>84565.103671332836</v>
      </c>
      <c r="AA46" s="290">
        <v>0</v>
      </c>
      <c r="AB46" s="290">
        <v>72</v>
      </c>
      <c r="AC46" s="290">
        <v>655</v>
      </c>
      <c r="AD46" s="290"/>
      <c r="AE46" s="290">
        <v>0</v>
      </c>
      <c r="AF46" s="290">
        <v>0</v>
      </c>
      <c r="AG46" s="290">
        <v>2968</v>
      </c>
      <c r="AH46" s="290">
        <v>484</v>
      </c>
      <c r="AI46" s="290"/>
      <c r="AJ46" s="290"/>
      <c r="AK46" s="290">
        <v>0</v>
      </c>
      <c r="AL46" s="290">
        <v>0</v>
      </c>
      <c r="AM46" s="957">
        <v>2.2649969999999998E-2</v>
      </c>
      <c r="AN46" s="290">
        <v>0</v>
      </c>
      <c r="AO46" s="290">
        <v>1568.8019061800001</v>
      </c>
      <c r="AP46" s="290">
        <v>0</v>
      </c>
      <c r="AQ46" s="290">
        <v>0</v>
      </c>
      <c r="AR46" s="290">
        <v>529.54258439</v>
      </c>
      <c r="AS46" s="290">
        <v>4759</v>
      </c>
      <c r="AT46" s="290">
        <v>135</v>
      </c>
      <c r="AU46" s="290">
        <v>15</v>
      </c>
      <c r="AV46" s="766">
        <v>117328</v>
      </c>
      <c r="AW46" s="290">
        <v>0</v>
      </c>
      <c r="AX46" s="766">
        <v>19.958300000000001</v>
      </c>
      <c r="AY46" s="290">
        <v>624</v>
      </c>
      <c r="AZ46" s="290">
        <v>98</v>
      </c>
      <c r="BA46" s="290">
        <v>61</v>
      </c>
      <c r="BB46" s="290">
        <v>6257</v>
      </c>
      <c r="BC46" s="290">
        <v>2440</v>
      </c>
      <c r="BD46" s="290"/>
      <c r="BE46" s="290">
        <v>128041.0702718</v>
      </c>
      <c r="BF46" s="290">
        <v>0</v>
      </c>
      <c r="BG46" s="290">
        <v>0</v>
      </c>
      <c r="BH46" s="290">
        <v>-501</v>
      </c>
      <c r="BI46" s="290">
        <v>2695</v>
      </c>
      <c r="BJ46" s="290">
        <v>389.27546195368791</v>
      </c>
      <c r="BK46" s="290">
        <v>4</v>
      </c>
      <c r="BL46" s="290"/>
      <c r="BM46" s="290">
        <v>0</v>
      </c>
      <c r="BN46" s="290">
        <v>1556</v>
      </c>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f>+innut23!E52+innut23!S52</f>
        <v>84565.103671332836</v>
      </c>
      <c r="CL46" s="290"/>
      <c r="CM46" s="290">
        <v>0</v>
      </c>
      <c r="CN46" s="290">
        <v>0</v>
      </c>
      <c r="CO46" s="290"/>
      <c r="CP46" s="290"/>
      <c r="CQ46" s="290"/>
      <c r="CX46" s="517">
        <f t="shared" si="1"/>
        <v>0</v>
      </c>
      <c r="DB46" s="85">
        <f t="shared" si="2"/>
        <v>0.54400000000000004</v>
      </c>
    </row>
    <row r="47" spans="1:106" ht="13">
      <c r="A47" s="1">
        <v>1563</v>
      </c>
      <c r="B47" s="2" t="s">
        <v>112</v>
      </c>
      <c r="C47" s="289"/>
      <c r="D47" s="290">
        <v>112</v>
      </c>
      <c r="E47" s="290">
        <v>284</v>
      </c>
      <c r="F47" s="290">
        <v>757</v>
      </c>
      <c r="G47" s="290">
        <v>577</v>
      </c>
      <c r="H47" s="290">
        <v>3885</v>
      </c>
      <c r="I47" s="290">
        <v>992</v>
      </c>
      <c r="J47" s="290">
        <v>337</v>
      </c>
      <c r="K47" s="290">
        <v>108</v>
      </c>
      <c r="L47" s="290">
        <v>54</v>
      </c>
      <c r="M47" s="290">
        <v>646</v>
      </c>
      <c r="N47" s="290">
        <v>210</v>
      </c>
      <c r="O47" s="290">
        <v>78</v>
      </c>
      <c r="P47" s="624">
        <v>60631.230333330001</v>
      </c>
      <c r="Q47" s="624">
        <v>16935.46966667</v>
      </c>
      <c r="R47" s="624">
        <v>35</v>
      </c>
      <c r="S47" s="290"/>
      <c r="T47" s="290">
        <v>707</v>
      </c>
      <c r="U47" s="958">
        <v>2.2399398062904374E-3</v>
      </c>
      <c r="V47" s="290">
        <v>4386.1033241699997</v>
      </c>
      <c r="W47" s="765">
        <v>0.65132884999999996</v>
      </c>
      <c r="X47" s="290">
        <v>330</v>
      </c>
      <c r="Y47" s="290"/>
      <c r="Z47" s="290">
        <f>+innut23!E53</f>
        <v>231679.00298555216</v>
      </c>
      <c r="AA47" s="290">
        <v>0</v>
      </c>
      <c r="AB47" s="290">
        <v>142</v>
      </c>
      <c r="AC47" s="290">
        <v>1425</v>
      </c>
      <c r="AD47" s="290"/>
      <c r="AE47" s="290">
        <v>0</v>
      </c>
      <c r="AF47" s="290">
        <v>0</v>
      </c>
      <c r="AG47" s="290">
        <v>7052</v>
      </c>
      <c r="AH47" s="290">
        <v>1200</v>
      </c>
      <c r="AI47" s="290"/>
      <c r="AJ47" s="290"/>
      <c r="AK47" s="290">
        <v>5801</v>
      </c>
      <c r="AL47" s="290">
        <v>0</v>
      </c>
      <c r="AM47" s="957">
        <v>6.9337319999999994E-2</v>
      </c>
      <c r="AN47" s="290">
        <v>9861</v>
      </c>
      <c r="AO47" s="290">
        <v>3390.5123338899998</v>
      </c>
      <c r="AP47" s="290">
        <v>0</v>
      </c>
      <c r="AQ47" s="290">
        <v>0</v>
      </c>
      <c r="AR47" s="290">
        <v>-289.40424768000003</v>
      </c>
      <c r="AS47" s="290">
        <v>9720</v>
      </c>
      <c r="AT47" s="290">
        <v>304</v>
      </c>
      <c r="AU47" s="290">
        <v>40</v>
      </c>
      <c r="AV47" s="766">
        <v>221222</v>
      </c>
      <c r="AW47" s="290">
        <v>0</v>
      </c>
      <c r="AX47" s="766">
        <v>38.625</v>
      </c>
      <c r="AY47" s="290">
        <v>1447</v>
      </c>
      <c r="AZ47" s="290">
        <v>274</v>
      </c>
      <c r="BA47" s="290">
        <v>120</v>
      </c>
      <c r="BB47" s="290">
        <v>0</v>
      </c>
      <c r="BC47" s="290">
        <v>10207</v>
      </c>
      <c r="BD47" s="290"/>
      <c r="BE47" s="290">
        <v>256281.97709947001</v>
      </c>
      <c r="BF47" s="290">
        <v>0</v>
      </c>
      <c r="BG47" s="290">
        <v>0</v>
      </c>
      <c r="BH47" s="290">
        <v>-1170</v>
      </c>
      <c r="BI47" s="290">
        <v>11537</v>
      </c>
      <c r="BJ47" s="290">
        <v>857.46438468938982</v>
      </c>
      <c r="BK47" s="290">
        <v>11</v>
      </c>
      <c r="BL47" s="290"/>
      <c r="BM47" s="290">
        <v>0</v>
      </c>
      <c r="BN47" s="290">
        <v>3111</v>
      </c>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f>+innut23!E53+innut23!S53</f>
        <v>231679.00298555216</v>
      </c>
      <c r="CL47" s="290"/>
      <c r="CM47" s="290">
        <v>6498.2521296412742</v>
      </c>
      <c r="CN47" s="290">
        <v>7184.1910267569137</v>
      </c>
      <c r="CO47" s="290"/>
      <c r="CP47" s="290"/>
      <c r="CQ47" s="290"/>
      <c r="CX47" s="517">
        <f t="shared" si="1"/>
        <v>0</v>
      </c>
      <c r="DB47" s="85">
        <f t="shared" si="2"/>
        <v>1.2929999999999999</v>
      </c>
    </row>
    <row r="48" spans="1:106" ht="13">
      <c r="A48" s="1">
        <v>1566</v>
      </c>
      <c r="B48" s="2" t="s">
        <v>113</v>
      </c>
      <c r="C48" s="289"/>
      <c r="D48" s="290">
        <v>110</v>
      </c>
      <c r="E48" s="290">
        <v>232</v>
      </c>
      <c r="F48" s="290">
        <v>629</v>
      </c>
      <c r="G48" s="290">
        <v>478</v>
      </c>
      <c r="H48" s="290">
        <v>3128</v>
      </c>
      <c r="I48" s="290">
        <v>914</v>
      </c>
      <c r="J48" s="290">
        <v>313</v>
      </c>
      <c r="K48" s="290">
        <v>61</v>
      </c>
      <c r="L48" s="290">
        <v>48</v>
      </c>
      <c r="M48" s="290">
        <v>558</v>
      </c>
      <c r="N48" s="290">
        <v>39</v>
      </c>
      <c r="O48" s="290">
        <v>37</v>
      </c>
      <c r="P48" s="624">
        <v>45514.058333330002</v>
      </c>
      <c r="Q48" s="624">
        <v>16238.578666670001</v>
      </c>
      <c r="R48" s="624">
        <v>29</v>
      </c>
      <c r="S48" s="290"/>
      <c r="T48" s="290">
        <v>466</v>
      </c>
      <c r="U48" s="958">
        <v>3.7287946943646501E-3</v>
      </c>
      <c r="V48" s="290">
        <v>3630.72156249</v>
      </c>
      <c r="W48" s="765">
        <v>0.74070975999999999</v>
      </c>
      <c r="X48" s="290">
        <v>930</v>
      </c>
      <c r="Y48" s="290"/>
      <c r="Z48" s="290">
        <f>+innut23!E54</f>
        <v>165719.93755231038</v>
      </c>
      <c r="AA48" s="290">
        <v>0</v>
      </c>
      <c r="AB48" s="290">
        <v>139</v>
      </c>
      <c r="AC48" s="290">
        <v>934</v>
      </c>
      <c r="AD48" s="290"/>
      <c r="AE48" s="290">
        <v>0</v>
      </c>
      <c r="AF48" s="290">
        <v>0</v>
      </c>
      <c r="AG48" s="290">
        <v>5865</v>
      </c>
      <c r="AH48" s="290">
        <v>979</v>
      </c>
      <c r="AI48" s="290"/>
      <c r="AJ48" s="290"/>
      <c r="AK48" s="290">
        <v>0</v>
      </c>
      <c r="AL48" s="290">
        <v>0</v>
      </c>
      <c r="AM48" s="957">
        <v>4.8212489999999997E-2</v>
      </c>
      <c r="AN48" s="290">
        <v>8532</v>
      </c>
      <c r="AO48" s="290">
        <v>2806.5928521800001</v>
      </c>
      <c r="AP48" s="290">
        <v>0</v>
      </c>
      <c r="AQ48" s="290">
        <v>0</v>
      </c>
      <c r="AR48" s="290">
        <v>-240.69142267000001</v>
      </c>
      <c r="AS48" s="290">
        <v>9391</v>
      </c>
      <c r="AT48" s="290">
        <v>218</v>
      </c>
      <c r="AU48" s="290">
        <v>39</v>
      </c>
      <c r="AV48" s="766">
        <v>184457</v>
      </c>
      <c r="AW48" s="290">
        <v>0</v>
      </c>
      <c r="AX48" s="766">
        <v>31.541650000000001</v>
      </c>
      <c r="AY48" s="290">
        <v>1143</v>
      </c>
      <c r="AZ48" s="290">
        <v>194</v>
      </c>
      <c r="BA48" s="290">
        <v>94</v>
      </c>
      <c r="BB48" s="290">
        <v>0</v>
      </c>
      <c r="BC48" s="290">
        <v>3586</v>
      </c>
      <c r="BD48" s="290"/>
      <c r="BE48" s="290">
        <v>206650.97796232</v>
      </c>
      <c r="BF48" s="290">
        <v>0</v>
      </c>
      <c r="BG48" s="290">
        <v>0</v>
      </c>
      <c r="BH48" s="290">
        <v>-987</v>
      </c>
      <c r="BI48" s="290">
        <v>3987</v>
      </c>
      <c r="BJ48" s="290">
        <v>707.59489924564116</v>
      </c>
      <c r="BK48" s="290">
        <v>7</v>
      </c>
      <c r="BL48" s="290"/>
      <c r="BM48" s="290">
        <v>0</v>
      </c>
      <c r="BN48" s="290">
        <v>2074</v>
      </c>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f>+innut23!E54+innut23!S54</f>
        <v>165719.93755231038</v>
      </c>
      <c r="CL48" s="290"/>
      <c r="CM48" s="290">
        <v>0</v>
      </c>
      <c r="CN48" s="290">
        <v>0</v>
      </c>
      <c r="CO48" s="290"/>
      <c r="CP48" s="290"/>
      <c r="CQ48" s="290"/>
      <c r="CX48" s="517">
        <f t="shared" si="1"/>
        <v>0</v>
      </c>
      <c r="DB48" s="85">
        <f t="shared" si="2"/>
        <v>1.075</v>
      </c>
    </row>
    <row r="49" spans="1:106" ht="13">
      <c r="A49" s="1">
        <v>1573</v>
      </c>
      <c r="B49" s="2" t="s">
        <v>116</v>
      </c>
      <c r="C49" s="289"/>
      <c r="D49" s="290">
        <v>44</v>
      </c>
      <c r="E49" s="290">
        <v>82</v>
      </c>
      <c r="F49" s="290">
        <v>204</v>
      </c>
      <c r="G49" s="290">
        <v>150</v>
      </c>
      <c r="H49" s="290">
        <v>1159</v>
      </c>
      <c r="I49" s="290">
        <v>361</v>
      </c>
      <c r="J49" s="290">
        <v>108</v>
      </c>
      <c r="K49" s="290">
        <v>29</v>
      </c>
      <c r="L49" s="290">
        <v>19</v>
      </c>
      <c r="M49" s="290">
        <v>211</v>
      </c>
      <c r="N49" s="290">
        <v>16</v>
      </c>
      <c r="O49" s="290">
        <v>18</v>
      </c>
      <c r="P49" s="624">
        <v>35550.401333330003</v>
      </c>
      <c r="Q49" s="624">
        <v>9054.0876666700005</v>
      </c>
      <c r="R49" s="624">
        <v>11</v>
      </c>
      <c r="S49" s="290"/>
      <c r="T49" s="290">
        <v>223</v>
      </c>
      <c r="U49" s="958">
        <v>1.6071921613604353E-3</v>
      </c>
      <c r="V49" s="290">
        <v>1498.56730971</v>
      </c>
      <c r="W49" s="765">
        <v>1</v>
      </c>
      <c r="X49" s="290">
        <v>1200</v>
      </c>
      <c r="Y49" s="290"/>
      <c r="Z49" s="290">
        <f>+innut23!E55</f>
        <v>66395.537610215673</v>
      </c>
      <c r="AA49" s="290">
        <v>0</v>
      </c>
      <c r="AB49" s="290">
        <v>59</v>
      </c>
      <c r="AC49" s="290">
        <v>550</v>
      </c>
      <c r="AD49" s="290"/>
      <c r="AE49" s="290">
        <v>0</v>
      </c>
      <c r="AF49" s="290">
        <v>0</v>
      </c>
      <c r="AG49" s="290">
        <v>2137</v>
      </c>
      <c r="AH49" s="290">
        <v>331</v>
      </c>
      <c r="AI49" s="290"/>
      <c r="AJ49" s="290"/>
      <c r="AK49" s="290">
        <v>0</v>
      </c>
      <c r="AL49" s="290">
        <v>0</v>
      </c>
      <c r="AM49" s="957">
        <v>1.6620679999999999E-2</v>
      </c>
      <c r="AN49" s="290">
        <v>0</v>
      </c>
      <c r="AO49" s="290">
        <v>1158.4111388199999</v>
      </c>
      <c r="AP49" s="290">
        <v>0</v>
      </c>
      <c r="AQ49" s="290">
        <v>0</v>
      </c>
      <c r="AR49" s="290">
        <v>-87.699500470000004</v>
      </c>
      <c r="AS49" s="290">
        <v>3380</v>
      </c>
      <c r="AT49" s="290">
        <v>83</v>
      </c>
      <c r="AU49" s="290">
        <v>12</v>
      </c>
      <c r="AV49" s="766">
        <v>87236</v>
      </c>
      <c r="AW49" s="290">
        <v>0</v>
      </c>
      <c r="AX49" s="766">
        <v>18.541699999999999</v>
      </c>
      <c r="AY49" s="290">
        <v>333</v>
      </c>
      <c r="AZ49" s="290">
        <v>75</v>
      </c>
      <c r="BA49" s="290">
        <v>25</v>
      </c>
      <c r="BB49" s="290">
        <v>6257</v>
      </c>
      <c r="BC49" s="290">
        <v>1704</v>
      </c>
      <c r="BD49" s="290"/>
      <c r="BE49" s="290">
        <v>98988.042209120002</v>
      </c>
      <c r="BF49" s="290">
        <v>0</v>
      </c>
      <c r="BG49" s="290">
        <v>0</v>
      </c>
      <c r="BH49" s="290">
        <v>-357</v>
      </c>
      <c r="BI49" s="290">
        <v>1918</v>
      </c>
      <c r="BJ49" s="290">
        <v>271.75552498886668</v>
      </c>
      <c r="BK49" s="290">
        <v>3</v>
      </c>
      <c r="BL49" s="290"/>
      <c r="BM49" s="290">
        <v>0</v>
      </c>
      <c r="BN49" s="290">
        <v>1037</v>
      </c>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f>+innut23!E55+innut23!S55</f>
        <v>66395.537610215673</v>
      </c>
      <c r="CL49" s="290"/>
      <c r="CM49" s="290">
        <v>0</v>
      </c>
      <c r="CN49" s="290">
        <v>0</v>
      </c>
      <c r="CO49" s="290"/>
      <c r="CP49" s="290"/>
      <c r="CQ49" s="290"/>
      <c r="CX49" s="517">
        <f t="shared" si="1"/>
        <v>0</v>
      </c>
      <c r="DB49" s="85">
        <f t="shared" si="2"/>
        <v>0.39200000000000002</v>
      </c>
    </row>
    <row r="50" spans="1:106" ht="13">
      <c r="A50" s="1">
        <v>1576</v>
      </c>
      <c r="B50" s="2" t="s">
        <v>1498</v>
      </c>
      <c r="C50" s="289"/>
      <c r="D50" s="290">
        <v>49</v>
      </c>
      <c r="E50" s="290">
        <v>122</v>
      </c>
      <c r="F50" s="290">
        <v>349</v>
      </c>
      <c r="G50" s="290">
        <v>254</v>
      </c>
      <c r="H50" s="290">
        <v>1806</v>
      </c>
      <c r="I50" s="290">
        <v>580</v>
      </c>
      <c r="J50" s="290">
        <v>165</v>
      </c>
      <c r="K50" s="290">
        <v>43</v>
      </c>
      <c r="L50" s="290">
        <v>27</v>
      </c>
      <c r="M50" s="290">
        <v>339</v>
      </c>
      <c r="N50" s="290">
        <v>51</v>
      </c>
      <c r="O50" s="290">
        <v>32</v>
      </c>
      <c r="P50" s="624">
        <v>65496.127333329998</v>
      </c>
      <c r="Q50" s="624">
        <v>25175.324333330002</v>
      </c>
      <c r="R50" s="624">
        <v>15</v>
      </c>
      <c r="S50" s="290"/>
      <c r="T50" s="290">
        <v>313</v>
      </c>
      <c r="U50" s="958">
        <v>2.8229530200361373E-3</v>
      </c>
      <c r="V50" s="290">
        <v>2279.78376424</v>
      </c>
      <c r="W50" s="765">
        <v>1</v>
      </c>
      <c r="X50" s="290">
        <v>600</v>
      </c>
      <c r="Y50" s="290"/>
      <c r="Z50" s="290">
        <f>+innut23!E56</f>
        <v>104652.62407836856</v>
      </c>
      <c r="AA50" s="290">
        <v>0</v>
      </c>
      <c r="AB50" s="290">
        <v>67</v>
      </c>
      <c r="AC50" s="290">
        <v>136</v>
      </c>
      <c r="AD50" s="290"/>
      <c r="AE50" s="290">
        <v>0</v>
      </c>
      <c r="AF50" s="290">
        <v>11318</v>
      </c>
      <c r="AG50" s="290">
        <v>3368</v>
      </c>
      <c r="AH50" s="290">
        <v>527</v>
      </c>
      <c r="AI50" s="290"/>
      <c r="AJ50" s="290"/>
      <c r="AK50" s="290">
        <v>13232</v>
      </c>
      <c r="AL50" s="290">
        <v>0</v>
      </c>
      <c r="AM50" s="957">
        <v>2.6960499999999998E-2</v>
      </c>
      <c r="AN50" s="290">
        <v>5507</v>
      </c>
      <c r="AO50" s="290">
        <v>1762.3011589</v>
      </c>
      <c r="AP50" s="290">
        <v>0</v>
      </c>
      <c r="AQ50" s="290">
        <v>-5457.8244937299996</v>
      </c>
      <c r="AR50" s="290">
        <v>975.92944236999995</v>
      </c>
      <c r="AS50" s="290">
        <v>5523</v>
      </c>
      <c r="AT50" s="290">
        <v>127</v>
      </c>
      <c r="AU50" s="290">
        <v>17</v>
      </c>
      <c r="AV50" s="766">
        <v>156119</v>
      </c>
      <c r="AW50" s="290">
        <v>0</v>
      </c>
      <c r="AX50" s="766">
        <v>15.541650000000001</v>
      </c>
      <c r="AY50" s="290">
        <v>611</v>
      </c>
      <c r="AZ50" s="290">
        <v>143</v>
      </c>
      <c r="BA50" s="290">
        <v>45</v>
      </c>
      <c r="BB50" s="290">
        <v>0</v>
      </c>
      <c r="BC50" s="290">
        <v>29309</v>
      </c>
      <c r="BD50" s="290"/>
      <c r="BE50" s="290">
        <v>165136.93107711</v>
      </c>
      <c r="BF50" s="290">
        <v>0</v>
      </c>
      <c r="BG50" s="290">
        <v>0</v>
      </c>
      <c r="BH50" s="290">
        <v>-577</v>
      </c>
      <c r="BI50" s="290">
        <v>26769</v>
      </c>
      <c r="BJ50" s="290">
        <v>458.40988595584531</v>
      </c>
      <c r="BK50" s="290">
        <v>5</v>
      </c>
      <c r="BL50" s="290"/>
      <c r="BM50" s="290">
        <v>0</v>
      </c>
      <c r="BN50" s="290">
        <v>1556</v>
      </c>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f>+innut23!E56+innut23!S56</f>
        <v>104652.62407836856</v>
      </c>
      <c r="CL50" s="290"/>
      <c r="CM50" s="290">
        <v>15648.126064820637</v>
      </c>
      <c r="CN50" s="290">
        <v>18057.595513378459</v>
      </c>
      <c r="CO50" s="290"/>
      <c r="CP50" s="290"/>
      <c r="CQ50" s="290"/>
      <c r="CX50" s="517">
        <f t="shared" si="1"/>
        <v>0</v>
      </c>
      <c r="DB50" s="85">
        <f t="shared" si="2"/>
        <v>0.61699999999999999</v>
      </c>
    </row>
    <row r="51" spans="1:106" ht="13">
      <c r="A51" s="1">
        <v>1577</v>
      </c>
      <c r="B51" s="2" t="s">
        <v>1613</v>
      </c>
      <c r="C51" s="289"/>
      <c r="D51" s="290">
        <v>214</v>
      </c>
      <c r="E51" s="290">
        <v>457</v>
      </c>
      <c r="F51" s="290">
        <v>1228</v>
      </c>
      <c r="G51" s="290">
        <v>1127</v>
      </c>
      <c r="H51" s="290">
        <v>5760</v>
      </c>
      <c r="I51" s="290">
        <v>1363</v>
      </c>
      <c r="J51" s="290">
        <v>480</v>
      </c>
      <c r="K51" s="290">
        <v>113</v>
      </c>
      <c r="L51" s="290">
        <v>72</v>
      </c>
      <c r="M51" s="290">
        <v>766</v>
      </c>
      <c r="N51" s="290">
        <v>217</v>
      </c>
      <c r="O51" s="290">
        <v>83</v>
      </c>
      <c r="P51" s="624">
        <v>102997.054</v>
      </c>
      <c r="Q51" s="624">
        <v>26554.245999999999</v>
      </c>
      <c r="R51" s="624">
        <v>42</v>
      </c>
      <c r="S51" s="290"/>
      <c r="T51" s="290">
        <v>738</v>
      </c>
      <c r="U51" s="958">
        <v>4.572228996834406E-3</v>
      </c>
      <c r="V51" s="290">
        <v>4369.7024671299996</v>
      </c>
      <c r="W51" s="765">
        <v>0.64346862000000005</v>
      </c>
      <c r="X51" s="290">
        <v>1416</v>
      </c>
      <c r="Y51" s="290"/>
      <c r="Z51" s="290">
        <f>+innut23!E57</f>
        <v>307688.32642814511</v>
      </c>
      <c r="AA51" s="290">
        <v>0</v>
      </c>
      <c r="AB51" s="290">
        <v>202</v>
      </c>
      <c r="AC51" s="290">
        <v>2910</v>
      </c>
      <c r="AD51" s="290"/>
      <c r="AE51" s="290">
        <v>0</v>
      </c>
      <c r="AF51" s="290">
        <v>22723</v>
      </c>
      <c r="AG51" s="290">
        <v>10742</v>
      </c>
      <c r="AH51" s="290">
        <v>1944</v>
      </c>
      <c r="AI51" s="290"/>
      <c r="AJ51" s="290"/>
      <c r="AK51" s="290">
        <v>0</v>
      </c>
      <c r="AL51" s="290">
        <v>0</v>
      </c>
      <c r="AM51" s="957">
        <v>0.15257941</v>
      </c>
      <c r="AN51" s="290">
        <v>0</v>
      </c>
      <c r="AO51" s="290">
        <v>4950.1415248699996</v>
      </c>
      <c r="AP51" s="290">
        <v>0</v>
      </c>
      <c r="AQ51" s="290">
        <v>0</v>
      </c>
      <c r="AR51" s="290">
        <v>-440.83670286</v>
      </c>
      <c r="AS51" s="290">
        <v>17226</v>
      </c>
      <c r="AT51" s="290">
        <v>364</v>
      </c>
      <c r="AU51" s="290">
        <v>94</v>
      </c>
      <c r="AV51" s="766">
        <v>315364</v>
      </c>
      <c r="AW51" s="290">
        <v>0</v>
      </c>
      <c r="AX51" s="766">
        <v>77</v>
      </c>
      <c r="AY51" s="290">
        <v>3485</v>
      </c>
      <c r="AZ51" s="290">
        <v>521</v>
      </c>
      <c r="BA51" s="290">
        <v>166</v>
      </c>
      <c r="BB51" s="290">
        <v>0</v>
      </c>
      <c r="BC51" s="290">
        <v>29349</v>
      </c>
      <c r="BD51" s="290"/>
      <c r="BE51" s="290">
        <v>361778.40188604</v>
      </c>
      <c r="BF51" s="290">
        <v>0</v>
      </c>
      <c r="BG51" s="290">
        <v>0</v>
      </c>
      <c r="BH51" s="290">
        <v>-1801</v>
      </c>
      <c r="BI51" s="290">
        <v>31207</v>
      </c>
      <c r="BJ51" s="290">
        <v>1362.6796671267107</v>
      </c>
      <c r="BK51" s="290">
        <v>14</v>
      </c>
      <c r="BL51" s="290"/>
      <c r="BM51" s="290">
        <v>4257</v>
      </c>
      <c r="BN51" s="290">
        <v>3630</v>
      </c>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f>+innut23!E57+innut23!S57</f>
        <v>307688.32642814511</v>
      </c>
      <c r="CL51" s="290"/>
      <c r="CM51" s="290">
        <v>0</v>
      </c>
      <c r="CN51" s="290">
        <v>0</v>
      </c>
      <c r="CO51" s="290"/>
      <c r="CP51" s="290"/>
      <c r="CQ51" s="290"/>
      <c r="CX51" s="517">
        <f t="shared" si="1"/>
        <v>0</v>
      </c>
      <c r="DB51" s="85">
        <f t="shared" si="2"/>
        <v>1.9690000000000001</v>
      </c>
    </row>
    <row r="52" spans="1:106" ht="13">
      <c r="A52" s="1">
        <v>1578</v>
      </c>
      <c r="B52" s="2" t="s">
        <v>1614</v>
      </c>
      <c r="C52" s="289"/>
      <c r="D52" s="290">
        <v>40</v>
      </c>
      <c r="E52" s="290">
        <v>64</v>
      </c>
      <c r="F52" s="290">
        <v>283</v>
      </c>
      <c r="G52" s="290">
        <v>251</v>
      </c>
      <c r="H52" s="290">
        <v>1272</v>
      </c>
      <c r="I52" s="290">
        <v>384</v>
      </c>
      <c r="J52" s="290">
        <v>167</v>
      </c>
      <c r="K52" s="290">
        <v>45</v>
      </c>
      <c r="L52" s="290">
        <v>17</v>
      </c>
      <c r="M52" s="290">
        <v>239</v>
      </c>
      <c r="N52" s="290">
        <v>15</v>
      </c>
      <c r="O52" s="290">
        <v>17</v>
      </c>
      <c r="P52" s="624">
        <v>54433.04266667</v>
      </c>
      <c r="Q52" s="624">
        <v>9754.3783333299998</v>
      </c>
      <c r="R52" s="624">
        <v>10</v>
      </c>
      <c r="S52" s="290"/>
      <c r="T52" s="290">
        <v>204</v>
      </c>
      <c r="U52" s="958">
        <v>2.4963818454788482E-3</v>
      </c>
      <c r="V52" s="290">
        <v>1760.0434007199999</v>
      </c>
      <c r="W52" s="765">
        <v>0.98791781999999995</v>
      </c>
      <c r="X52" s="290">
        <v>1580</v>
      </c>
      <c r="Y52" s="290"/>
      <c r="Z52" s="290">
        <f>+innut23!E58</f>
        <v>76596.065141737417</v>
      </c>
      <c r="AA52" s="290">
        <v>0</v>
      </c>
      <c r="AB52" s="290">
        <v>36</v>
      </c>
      <c r="AC52" s="290">
        <v>0</v>
      </c>
      <c r="AD52" s="290"/>
      <c r="AE52" s="290">
        <v>0</v>
      </c>
      <c r="AF52" s="290">
        <v>22723</v>
      </c>
      <c r="AG52" s="290">
        <v>2506</v>
      </c>
      <c r="AH52" s="290">
        <v>424</v>
      </c>
      <c r="AI52" s="290"/>
      <c r="AJ52" s="290"/>
      <c r="AK52" s="290">
        <v>0</v>
      </c>
      <c r="AL52" s="290">
        <v>0</v>
      </c>
      <c r="AM52" s="957">
        <v>1.7260049999999999E-2</v>
      </c>
      <c r="AN52" s="290">
        <v>0</v>
      </c>
      <c r="AO52" s="290">
        <v>1360.53540404</v>
      </c>
      <c r="AP52" s="290">
        <v>0</v>
      </c>
      <c r="AQ52" s="290">
        <v>0</v>
      </c>
      <c r="AR52" s="290">
        <v>-102.84274598</v>
      </c>
      <c r="AS52" s="290">
        <v>4006</v>
      </c>
      <c r="AT52" s="290">
        <v>85</v>
      </c>
      <c r="AU52" s="290">
        <v>18</v>
      </c>
      <c r="AV52" s="766">
        <v>124571</v>
      </c>
      <c r="AW52" s="290">
        <v>0</v>
      </c>
      <c r="AX52" s="766">
        <v>16.666650000000001</v>
      </c>
      <c r="AY52" s="290">
        <v>492</v>
      </c>
      <c r="AZ52" s="290">
        <v>70</v>
      </c>
      <c r="BA52" s="290">
        <v>57</v>
      </c>
      <c r="BB52" s="290">
        <v>6257</v>
      </c>
      <c r="BC52" s="290">
        <v>23827</v>
      </c>
      <c r="BD52" s="290"/>
      <c r="BE52" s="290">
        <v>137923.77823493001</v>
      </c>
      <c r="BF52" s="290">
        <v>0</v>
      </c>
      <c r="BG52" s="290">
        <v>0</v>
      </c>
      <c r="BH52" s="290">
        <v>-422</v>
      </c>
      <c r="BI52" s="290">
        <v>24703</v>
      </c>
      <c r="BJ52" s="290">
        <v>361.01568560064408</v>
      </c>
      <c r="BK52" s="290">
        <v>3</v>
      </c>
      <c r="BL52" s="290"/>
      <c r="BM52" s="290">
        <v>0</v>
      </c>
      <c r="BN52" s="290">
        <v>1556</v>
      </c>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f>+innut23!E58+innut23!S58</f>
        <v>76596.065141737417</v>
      </c>
      <c r="CL52" s="290"/>
      <c r="CM52" s="290">
        <v>0</v>
      </c>
      <c r="CN52" s="290">
        <v>0</v>
      </c>
      <c r="CO52" s="290"/>
      <c r="CP52" s="290"/>
      <c r="CQ52" s="290"/>
      <c r="CX52" s="517">
        <f t="shared" si="1"/>
        <v>0</v>
      </c>
      <c r="DB52" s="85">
        <f t="shared" si="2"/>
        <v>0.45900000000000002</v>
      </c>
    </row>
    <row r="53" spans="1:106" ht="13">
      <c r="A53" s="1">
        <v>1579</v>
      </c>
      <c r="B53" s="2" t="s">
        <v>1615</v>
      </c>
      <c r="C53" s="289"/>
      <c r="D53" s="290">
        <v>273</v>
      </c>
      <c r="E53" s="290">
        <v>571</v>
      </c>
      <c r="F53" s="290">
        <v>1709</v>
      </c>
      <c r="G53" s="290">
        <v>1189</v>
      </c>
      <c r="H53" s="290">
        <v>7213</v>
      </c>
      <c r="I53" s="290">
        <v>1776</v>
      </c>
      <c r="J53" s="290">
        <v>518</v>
      </c>
      <c r="K53" s="290">
        <v>109</v>
      </c>
      <c r="L53" s="290">
        <v>102</v>
      </c>
      <c r="M53" s="290">
        <v>968</v>
      </c>
      <c r="N53" s="290">
        <v>79</v>
      </c>
      <c r="O53" s="290">
        <v>109</v>
      </c>
      <c r="P53" s="624">
        <v>87205.339333330005</v>
      </c>
      <c r="Q53" s="624">
        <v>37865.494333330003</v>
      </c>
      <c r="R53" s="624">
        <v>63</v>
      </c>
      <c r="S53" s="290"/>
      <c r="T53" s="290">
        <v>1107</v>
      </c>
      <c r="U53" s="958">
        <v>6.0692434720387165E-3</v>
      </c>
      <c r="V53" s="290">
        <v>7387.5098620899998</v>
      </c>
      <c r="W53" s="765">
        <v>0.68798397</v>
      </c>
      <c r="X53" s="290">
        <v>1300</v>
      </c>
      <c r="Y53" s="290"/>
      <c r="Z53" s="290">
        <f>+innut23!E59</f>
        <v>396875.17348354292</v>
      </c>
      <c r="AA53" s="290">
        <v>0</v>
      </c>
      <c r="AB53" s="290">
        <v>260</v>
      </c>
      <c r="AC53" s="290">
        <v>2565</v>
      </c>
      <c r="AD53" s="290"/>
      <c r="AE53" s="290">
        <v>0</v>
      </c>
      <c r="AF53" s="290">
        <v>16061</v>
      </c>
      <c r="AG53" s="290">
        <v>13358</v>
      </c>
      <c r="AH53" s="290">
        <v>2599</v>
      </c>
      <c r="AI53" s="290"/>
      <c r="AJ53" s="290"/>
      <c r="AK53" s="290">
        <v>5788</v>
      </c>
      <c r="AL53" s="290">
        <v>0</v>
      </c>
      <c r="AM53" s="957">
        <v>0.25035383999999999</v>
      </c>
      <c r="AN53" s="290">
        <v>0</v>
      </c>
      <c r="AO53" s="290">
        <v>6234.7392766200001</v>
      </c>
      <c r="AP53" s="290">
        <v>0</v>
      </c>
      <c r="AQ53" s="290">
        <v>0</v>
      </c>
      <c r="AR53" s="290">
        <v>-548.19369547999997</v>
      </c>
      <c r="AS53" s="290">
        <v>21211</v>
      </c>
      <c r="AT53" s="290">
        <v>665</v>
      </c>
      <c r="AU53" s="290">
        <v>134</v>
      </c>
      <c r="AV53" s="766">
        <v>397458</v>
      </c>
      <c r="AW53" s="290">
        <v>0</v>
      </c>
      <c r="AX53" s="766">
        <v>101.87505</v>
      </c>
      <c r="AY53" s="290">
        <v>2287</v>
      </c>
      <c r="AZ53" s="290">
        <v>496</v>
      </c>
      <c r="BA53" s="290">
        <v>314</v>
      </c>
      <c r="BB53" s="290">
        <v>0</v>
      </c>
      <c r="BC53" s="290">
        <v>30072</v>
      </c>
      <c r="BD53" s="290"/>
      <c r="BE53" s="290">
        <v>455001.25011938001</v>
      </c>
      <c r="BF53" s="290">
        <v>0</v>
      </c>
      <c r="BG53" s="290">
        <v>0</v>
      </c>
      <c r="BH53" s="290">
        <v>-2239</v>
      </c>
      <c r="BI53" s="290">
        <v>32198</v>
      </c>
      <c r="BJ53" s="290">
        <v>1856.6213327504825</v>
      </c>
      <c r="BK53" s="290">
        <v>18</v>
      </c>
      <c r="BL53" s="290"/>
      <c r="BM53" s="290">
        <v>4438</v>
      </c>
      <c r="BN53" s="290">
        <v>5185</v>
      </c>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f>+innut23!E59+innut23!S59</f>
        <v>396875.17348354292</v>
      </c>
      <c r="CL53" s="290"/>
      <c r="CM53" s="290">
        <v>6309.4341219370244</v>
      </c>
      <c r="CN53" s="290">
        <v>6813.3551077330549</v>
      </c>
      <c r="CO53" s="290"/>
      <c r="CP53" s="290"/>
      <c r="CQ53" s="290"/>
      <c r="CX53" s="517">
        <f t="shared" si="1"/>
        <v>0</v>
      </c>
      <c r="DB53" s="85">
        <f t="shared" si="2"/>
        <v>2.448</v>
      </c>
    </row>
    <row r="54" spans="1:106" ht="13">
      <c r="A54" s="1">
        <v>1804</v>
      </c>
      <c r="B54" s="2" t="s">
        <v>174</v>
      </c>
      <c r="C54" s="289"/>
      <c r="D54" s="290">
        <v>1087</v>
      </c>
      <c r="E54" s="290">
        <v>2106</v>
      </c>
      <c r="F54" s="290">
        <v>6282</v>
      </c>
      <c r="G54" s="290">
        <v>4508</v>
      </c>
      <c r="H54" s="290">
        <v>31079</v>
      </c>
      <c r="I54" s="290">
        <v>5831</v>
      </c>
      <c r="J54" s="290">
        <v>1874</v>
      </c>
      <c r="K54" s="290">
        <v>371</v>
      </c>
      <c r="L54" s="290">
        <v>384</v>
      </c>
      <c r="M54" s="290">
        <v>3437</v>
      </c>
      <c r="N54" s="290">
        <v>1137</v>
      </c>
      <c r="O54" s="290">
        <v>357</v>
      </c>
      <c r="P54" s="624">
        <v>178209.51300000001</v>
      </c>
      <c r="Q54" s="624">
        <v>62944.652666670001</v>
      </c>
      <c r="R54" s="624">
        <v>191</v>
      </c>
      <c r="S54" s="290"/>
      <c r="T54" s="290">
        <v>4958</v>
      </c>
      <c r="U54" s="958">
        <v>3.578076459384068E-3</v>
      </c>
      <c r="V54" s="290">
        <v>11093.491598480001</v>
      </c>
      <c r="W54" s="765">
        <v>0.56107242000000002</v>
      </c>
      <c r="X54" s="290">
        <v>0</v>
      </c>
      <c r="Y54" s="290"/>
      <c r="Z54" s="290">
        <f>+innut23!E60</f>
        <v>1879909.3948167902</v>
      </c>
      <c r="AA54" s="290">
        <v>0</v>
      </c>
      <c r="AB54" s="290">
        <v>1238</v>
      </c>
      <c r="AC54" s="290">
        <v>12839</v>
      </c>
      <c r="AD54" s="290"/>
      <c r="AE54" s="290">
        <v>0</v>
      </c>
      <c r="AF54" s="290">
        <v>3396</v>
      </c>
      <c r="AG54" s="290">
        <v>53138</v>
      </c>
      <c r="AH54" s="290">
        <v>9540</v>
      </c>
      <c r="AI54" s="290"/>
      <c r="AJ54" s="290"/>
      <c r="AK54" s="290">
        <v>0</v>
      </c>
      <c r="AL54" s="290">
        <v>101910</v>
      </c>
      <c r="AM54" s="957">
        <v>0.90456029000000004</v>
      </c>
      <c r="AN54" s="290">
        <v>0</v>
      </c>
      <c r="AO54" s="290">
        <v>22638.821669749999</v>
      </c>
      <c r="AP54" s="290">
        <v>0</v>
      </c>
      <c r="AQ54" s="290">
        <v>-3275.1687560300002</v>
      </c>
      <c r="AR54" s="290">
        <v>-2180.7094318200002</v>
      </c>
      <c r="AS54" s="290">
        <v>83228</v>
      </c>
      <c r="AT54" s="290">
        <v>2324</v>
      </c>
      <c r="AU54" s="290">
        <v>562</v>
      </c>
      <c r="AV54" s="766">
        <v>1252092</v>
      </c>
      <c r="AW54" s="290">
        <v>0</v>
      </c>
      <c r="AX54" s="766">
        <v>481.625</v>
      </c>
      <c r="AY54" s="290">
        <v>16371</v>
      </c>
      <c r="AZ54" s="290">
        <v>1931</v>
      </c>
      <c r="BA54" s="290">
        <v>1114</v>
      </c>
      <c r="BB54" s="290">
        <v>0</v>
      </c>
      <c r="BC54" s="290">
        <v>35785</v>
      </c>
      <c r="BD54" s="290"/>
      <c r="BE54" s="290">
        <v>1476575.7289664999</v>
      </c>
      <c r="BF54" s="290">
        <v>0</v>
      </c>
      <c r="BG54" s="290">
        <v>0</v>
      </c>
      <c r="BH54" s="290">
        <v>-8888</v>
      </c>
      <c r="BI54" s="290">
        <v>37182</v>
      </c>
      <c r="BJ54" s="290">
        <v>6570.3076164018848</v>
      </c>
      <c r="BK54" s="290">
        <v>83</v>
      </c>
      <c r="BL54" s="290"/>
      <c r="BM54" s="290">
        <v>0</v>
      </c>
      <c r="BN54" s="290">
        <v>11407</v>
      </c>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f>+innut23!E60+innut23!S60</f>
        <v>1879909.3948167902</v>
      </c>
      <c r="CL54" s="290"/>
      <c r="CM54" s="290">
        <v>0</v>
      </c>
      <c r="CN54" s="290">
        <v>0</v>
      </c>
      <c r="CO54" s="290"/>
      <c r="CP54" s="290"/>
      <c r="CQ54" s="290"/>
      <c r="CX54" s="517">
        <f t="shared" si="1"/>
        <v>0</v>
      </c>
      <c r="DB54" s="85">
        <f t="shared" si="2"/>
        <v>9.74</v>
      </c>
    </row>
    <row r="55" spans="1:106" ht="13">
      <c r="A55" s="1">
        <v>1806</v>
      </c>
      <c r="B55" s="2" t="s">
        <v>1616</v>
      </c>
      <c r="C55" s="289"/>
      <c r="D55" s="290">
        <v>399</v>
      </c>
      <c r="E55" s="290">
        <v>805</v>
      </c>
      <c r="F55" s="290">
        <v>2319</v>
      </c>
      <c r="G55" s="290">
        <v>1654</v>
      </c>
      <c r="H55" s="290">
        <v>12068</v>
      </c>
      <c r="I55" s="290">
        <v>3060</v>
      </c>
      <c r="J55" s="290">
        <v>1028</v>
      </c>
      <c r="K55" s="290">
        <v>240</v>
      </c>
      <c r="L55" s="290">
        <v>177</v>
      </c>
      <c r="M55" s="290">
        <v>2020</v>
      </c>
      <c r="N55" s="290">
        <v>286</v>
      </c>
      <c r="O55" s="290">
        <v>130</v>
      </c>
      <c r="P55" s="624">
        <v>145566.49466667001</v>
      </c>
      <c r="Q55" s="624">
        <v>29443.212666669999</v>
      </c>
      <c r="R55" s="624">
        <v>100</v>
      </c>
      <c r="S55" s="290"/>
      <c r="T55" s="290">
        <v>2106</v>
      </c>
      <c r="U55" s="958">
        <v>2.9771818687920368E-3</v>
      </c>
      <c r="V55" s="290">
        <v>3150.5927216099999</v>
      </c>
      <c r="W55" s="765">
        <v>0.66368340999999997</v>
      </c>
      <c r="X55" s="290">
        <v>0</v>
      </c>
      <c r="Y55" s="290"/>
      <c r="Z55" s="290">
        <f>+innut23!E61</f>
        <v>677554.99724408111</v>
      </c>
      <c r="AA55" s="290">
        <v>0</v>
      </c>
      <c r="AB55" s="290">
        <v>581</v>
      </c>
      <c r="AC55" s="290">
        <v>3711</v>
      </c>
      <c r="AD55" s="290"/>
      <c r="AE55" s="290">
        <v>0</v>
      </c>
      <c r="AF55" s="290">
        <v>33482</v>
      </c>
      <c r="AG55" s="290">
        <v>21573</v>
      </c>
      <c r="AH55" s="290">
        <v>3562</v>
      </c>
      <c r="AI55" s="290"/>
      <c r="AJ55" s="290"/>
      <c r="AK55" s="290">
        <v>13944</v>
      </c>
      <c r="AL55" s="290">
        <v>41553</v>
      </c>
      <c r="AM55" s="957">
        <v>0.32711955999999998</v>
      </c>
      <c r="AN55" s="290">
        <v>0</v>
      </c>
      <c r="AO55" s="290">
        <v>9860.2315659899996</v>
      </c>
      <c r="AP55" s="290">
        <v>0</v>
      </c>
      <c r="AQ55" s="290">
        <v>0</v>
      </c>
      <c r="AR55" s="290">
        <v>-885.32584163000001</v>
      </c>
      <c r="AS55" s="290">
        <v>34538</v>
      </c>
      <c r="AT55" s="290">
        <v>973</v>
      </c>
      <c r="AU55" s="290">
        <v>181</v>
      </c>
      <c r="AV55" s="766">
        <v>658157</v>
      </c>
      <c r="AW55" s="290">
        <v>0</v>
      </c>
      <c r="AX55" s="766">
        <v>174.08335</v>
      </c>
      <c r="AY55" s="290">
        <v>5275</v>
      </c>
      <c r="AZ55" s="290">
        <v>861</v>
      </c>
      <c r="BA55" s="290">
        <v>438</v>
      </c>
      <c r="BB55" s="290">
        <v>0</v>
      </c>
      <c r="BC55" s="290">
        <v>55803</v>
      </c>
      <c r="BD55" s="290"/>
      <c r="BE55" s="290">
        <v>741973.01188933</v>
      </c>
      <c r="BF55" s="290">
        <v>0</v>
      </c>
      <c r="BG55" s="290">
        <v>0</v>
      </c>
      <c r="BH55" s="290">
        <v>-3638</v>
      </c>
      <c r="BI55" s="290">
        <v>59884</v>
      </c>
      <c r="BJ55" s="290">
        <v>2492.0272606546901</v>
      </c>
      <c r="BK55" s="290">
        <v>33</v>
      </c>
      <c r="BL55" s="290"/>
      <c r="BM55" s="290">
        <v>5040</v>
      </c>
      <c r="BN55" s="290">
        <v>5185</v>
      </c>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f>+innut23!E61+innut23!S61</f>
        <v>677554.99724408111</v>
      </c>
      <c r="CL55" s="290"/>
      <c r="CM55" s="290">
        <v>15634.159184919461</v>
      </c>
      <c r="CN55" s="290">
        <v>17149.020270096858</v>
      </c>
      <c r="CO55" s="290"/>
      <c r="CP55" s="290"/>
      <c r="CQ55" s="290"/>
      <c r="CX55" s="517">
        <f t="shared" si="1"/>
        <v>0</v>
      </c>
      <c r="DB55" s="85">
        <f t="shared" si="2"/>
        <v>3.9540000000000002</v>
      </c>
    </row>
    <row r="56" spans="1:106" ht="13">
      <c r="A56" s="1">
        <v>1811</v>
      </c>
      <c r="B56" s="2" t="s">
        <v>176</v>
      </c>
      <c r="C56" s="289"/>
      <c r="D56" s="290">
        <v>21</v>
      </c>
      <c r="E56" s="290">
        <v>48</v>
      </c>
      <c r="F56" s="290">
        <v>152</v>
      </c>
      <c r="G56" s="290">
        <v>97</v>
      </c>
      <c r="H56" s="290">
        <v>683</v>
      </c>
      <c r="I56" s="290">
        <v>279</v>
      </c>
      <c r="J56" s="290">
        <v>89</v>
      </c>
      <c r="K56" s="290">
        <v>20</v>
      </c>
      <c r="L56" s="290">
        <v>13</v>
      </c>
      <c r="M56" s="290">
        <v>199</v>
      </c>
      <c r="N56" s="290">
        <v>10</v>
      </c>
      <c r="O56" s="290">
        <v>9</v>
      </c>
      <c r="P56" s="624">
        <v>27970.745666670002</v>
      </c>
      <c r="Q56" s="624">
        <v>12079.306</v>
      </c>
      <c r="R56" s="624">
        <v>10</v>
      </c>
      <c r="S56" s="290"/>
      <c r="T56" s="290">
        <v>114</v>
      </c>
      <c r="U56" s="958">
        <v>1.2886095703622405E-3</v>
      </c>
      <c r="V56" s="290">
        <v>-5741.4262013899997</v>
      </c>
      <c r="W56" s="765">
        <v>1</v>
      </c>
      <c r="X56" s="290">
        <v>0</v>
      </c>
      <c r="Y56" s="290"/>
      <c r="Z56" s="290">
        <f>+innut23!E62</f>
        <v>43840.150567998608</v>
      </c>
      <c r="AA56" s="290">
        <v>0</v>
      </c>
      <c r="AB56" s="290">
        <v>30</v>
      </c>
      <c r="AC56" s="290">
        <v>208</v>
      </c>
      <c r="AD56" s="290"/>
      <c r="AE56" s="290">
        <v>0</v>
      </c>
      <c r="AF56" s="290">
        <v>0</v>
      </c>
      <c r="AG56" s="290">
        <v>1389</v>
      </c>
      <c r="AH56" s="290">
        <v>229</v>
      </c>
      <c r="AI56" s="290"/>
      <c r="AJ56" s="290"/>
      <c r="AK56" s="290">
        <v>0</v>
      </c>
      <c r="AL56" s="290">
        <v>2714</v>
      </c>
      <c r="AM56" s="957">
        <v>8.3997900000000007E-3</v>
      </c>
      <c r="AN56" s="290">
        <v>0</v>
      </c>
      <c r="AO56" s="290">
        <v>890.18084596000006</v>
      </c>
      <c r="AP56" s="290">
        <v>0</v>
      </c>
      <c r="AQ56" s="290">
        <v>0</v>
      </c>
      <c r="AR56" s="290">
        <v>-57.002623370000002</v>
      </c>
      <c r="AS56" s="290">
        <v>2472</v>
      </c>
      <c r="AT56" s="290">
        <v>45</v>
      </c>
      <c r="AU56" s="290">
        <v>9</v>
      </c>
      <c r="AV56" s="766">
        <v>72635</v>
      </c>
      <c r="AW56" s="290">
        <v>0</v>
      </c>
      <c r="AX56" s="766">
        <v>7.3333500000000003</v>
      </c>
      <c r="AY56" s="290">
        <v>235</v>
      </c>
      <c r="AZ56" s="290">
        <v>41</v>
      </c>
      <c r="BA56" s="290">
        <v>26</v>
      </c>
      <c r="BB56" s="290">
        <v>0</v>
      </c>
      <c r="BC56" s="290">
        <v>876</v>
      </c>
      <c r="BD56" s="290"/>
      <c r="BE56" s="290">
        <v>80703.101691909993</v>
      </c>
      <c r="BF56" s="290">
        <v>0</v>
      </c>
      <c r="BG56" s="290">
        <v>0</v>
      </c>
      <c r="BH56" s="290">
        <v>-236</v>
      </c>
      <c r="BI56" s="290">
        <v>956</v>
      </c>
      <c r="BJ56" s="290">
        <v>216.0969869405605</v>
      </c>
      <c r="BK56" s="290">
        <v>2</v>
      </c>
      <c r="BL56" s="290"/>
      <c r="BM56" s="290">
        <v>0</v>
      </c>
      <c r="BN56" s="290">
        <v>519</v>
      </c>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f>+innut23!E62+innut23!S62</f>
        <v>43840.150567998608</v>
      </c>
      <c r="CL56" s="290"/>
      <c r="CM56" s="290">
        <v>0</v>
      </c>
      <c r="CN56" s="290">
        <v>0</v>
      </c>
      <c r="CO56" s="290"/>
      <c r="CP56" s="290"/>
      <c r="CQ56" s="290"/>
      <c r="CX56" s="517">
        <f t="shared" si="1"/>
        <v>0</v>
      </c>
      <c r="DB56" s="85">
        <f t="shared" si="2"/>
        <v>0.255</v>
      </c>
    </row>
    <row r="57" spans="1:106" ht="13">
      <c r="A57" s="1">
        <v>1812</v>
      </c>
      <c r="B57" s="2" t="s">
        <v>177</v>
      </c>
      <c r="C57" s="289"/>
      <c r="D57" s="290">
        <v>30</v>
      </c>
      <c r="E57" s="290">
        <v>59</v>
      </c>
      <c r="F57" s="290">
        <v>219</v>
      </c>
      <c r="G57" s="290">
        <v>195</v>
      </c>
      <c r="H57" s="290">
        <v>1050</v>
      </c>
      <c r="I57" s="290">
        <v>296</v>
      </c>
      <c r="J57" s="290">
        <v>112</v>
      </c>
      <c r="K57" s="290">
        <v>22</v>
      </c>
      <c r="L57" s="290">
        <v>15</v>
      </c>
      <c r="M57" s="290">
        <v>223</v>
      </c>
      <c r="N57" s="290">
        <v>28</v>
      </c>
      <c r="O57" s="290">
        <v>17</v>
      </c>
      <c r="P57" s="624">
        <v>12917.329666670001</v>
      </c>
      <c r="Q57" s="624">
        <v>4498.2513333300003</v>
      </c>
      <c r="R57" s="624">
        <v>14</v>
      </c>
      <c r="S57" s="290"/>
      <c r="T57" s="290">
        <v>182</v>
      </c>
      <c r="U57" s="958">
        <v>1.7974801384616111E-3</v>
      </c>
      <c r="V57" s="290">
        <v>1385.23127516</v>
      </c>
      <c r="W57" s="765">
        <v>0.93221525999999999</v>
      </c>
      <c r="X57" s="290">
        <v>0</v>
      </c>
      <c r="Y57" s="290"/>
      <c r="Z57" s="290">
        <f>+innut23!E63</f>
        <v>53105.604652364527</v>
      </c>
      <c r="AA57" s="290">
        <v>0</v>
      </c>
      <c r="AB57" s="290">
        <v>64</v>
      </c>
      <c r="AC57" s="290">
        <v>273</v>
      </c>
      <c r="AD57" s="290"/>
      <c r="AE57" s="290">
        <v>0</v>
      </c>
      <c r="AF57" s="290">
        <v>0</v>
      </c>
      <c r="AG57" s="290">
        <v>1983</v>
      </c>
      <c r="AH57" s="290">
        <v>337</v>
      </c>
      <c r="AI57" s="290"/>
      <c r="AJ57" s="290"/>
      <c r="AK57" s="290">
        <v>0</v>
      </c>
      <c r="AL57" s="290">
        <v>3823</v>
      </c>
      <c r="AM57" s="957">
        <v>2.3973330000000001E-2</v>
      </c>
      <c r="AN57" s="290">
        <v>0</v>
      </c>
      <c r="AO57" s="290">
        <v>1070.80097677</v>
      </c>
      <c r="AP57" s="290">
        <v>0</v>
      </c>
      <c r="AQ57" s="290">
        <v>0</v>
      </c>
      <c r="AR57" s="290">
        <v>662.65972497999996</v>
      </c>
      <c r="AS57" s="290">
        <v>3162</v>
      </c>
      <c r="AT57" s="290">
        <v>98</v>
      </c>
      <c r="AU57" s="290">
        <v>15</v>
      </c>
      <c r="AV57" s="766">
        <v>87625</v>
      </c>
      <c r="AW57" s="290">
        <v>0</v>
      </c>
      <c r="AX57" s="766">
        <v>8.9166500000000006</v>
      </c>
      <c r="AY57" s="290">
        <v>368</v>
      </c>
      <c r="AZ57" s="290">
        <v>64</v>
      </c>
      <c r="BA57" s="290">
        <v>41</v>
      </c>
      <c r="BB57" s="290">
        <v>0</v>
      </c>
      <c r="BC57" s="290">
        <v>1525</v>
      </c>
      <c r="BD57" s="290"/>
      <c r="BE57" s="290">
        <v>94297.59142492</v>
      </c>
      <c r="BF57" s="290">
        <v>0</v>
      </c>
      <c r="BG57" s="290">
        <v>0</v>
      </c>
      <c r="BH57" s="290">
        <v>-334</v>
      </c>
      <c r="BI57" s="290">
        <v>1647</v>
      </c>
      <c r="BJ57" s="290">
        <v>265.53861257133281</v>
      </c>
      <c r="BK57" s="290">
        <v>3</v>
      </c>
      <c r="BL57" s="290"/>
      <c r="BM57" s="290">
        <v>0</v>
      </c>
      <c r="BN57" s="290">
        <v>1037</v>
      </c>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f>+innut23!E63+innut23!S63</f>
        <v>53105.604652364527</v>
      </c>
      <c r="CL57" s="290"/>
      <c r="CM57" s="290">
        <v>0</v>
      </c>
      <c r="CN57" s="290">
        <v>0</v>
      </c>
      <c r="CO57" s="290"/>
      <c r="CP57" s="290"/>
      <c r="CQ57" s="290"/>
      <c r="CX57" s="517">
        <f t="shared" si="1"/>
        <v>0</v>
      </c>
      <c r="DB57" s="85">
        <f t="shared" si="2"/>
        <v>0.36299999999999999</v>
      </c>
    </row>
    <row r="58" spans="1:106" ht="13">
      <c r="A58" s="1">
        <v>1813</v>
      </c>
      <c r="B58" s="2" t="s">
        <v>178</v>
      </c>
      <c r="C58" s="289"/>
      <c r="D58" s="290">
        <v>132</v>
      </c>
      <c r="E58" s="290">
        <v>261</v>
      </c>
      <c r="F58" s="290">
        <v>984</v>
      </c>
      <c r="G58" s="290">
        <v>648</v>
      </c>
      <c r="H58" s="290">
        <v>4342</v>
      </c>
      <c r="I58" s="290">
        <v>1018</v>
      </c>
      <c r="J58" s="290">
        <v>316</v>
      </c>
      <c r="K58" s="290">
        <v>75</v>
      </c>
      <c r="L58" s="290">
        <v>56</v>
      </c>
      <c r="M58" s="290">
        <v>639</v>
      </c>
      <c r="N58" s="290">
        <v>105</v>
      </c>
      <c r="O58" s="290">
        <v>74</v>
      </c>
      <c r="P58" s="624">
        <v>82181.742333329996</v>
      </c>
      <c r="Q58" s="624">
        <v>17491.204333329999</v>
      </c>
      <c r="R58" s="624">
        <v>48</v>
      </c>
      <c r="S58" s="290"/>
      <c r="T58" s="290">
        <v>779</v>
      </c>
      <c r="U58" s="958">
        <v>2.990463653460714E-3</v>
      </c>
      <c r="V58" s="290">
        <v>4833.7806717599997</v>
      </c>
      <c r="W58" s="765">
        <v>0.64407175000000005</v>
      </c>
      <c r="X58" s="290">
        <v>0</v>
      </c>
      <c r="Y58" s="290"/>
      <c r="Z58" s="290">
        <f>+innut23!E64</f>
        <v>229842.8962845428</v>
      </c>
      <c r="AA58" s="290">
        <v>0</v>
      </c>
      <c r="AB58" s="290">
        <v>247</v>
      </c>
      <c r="AC58" s="290">
        <v>273</v>
      </c>
      <c r="AD58" s="290"/>
      <c r="AE58" s="290">
        <v>0</v>
      </c>
      <c r="AF58" s="290">
        <v>0</v>
      </c>
      <c r="AG58" s="290">
        <v>7776</v>
      </c>
      <c r="AH58" s="290">
        <v>1407</v>
      </c>
      <c r="AI58" s="290"/>
      <c r="AJ58" s="290"/>
      <c r="AK58" s="290">
        <v>0</v>
      </c>
      <c r="AL58" s="290">
        <v>15010</v>
      </c>
      <c r="AM58" s="957">
        <v>0.11262178</v>
      </c>
      <c r="AN58" s="290">
        <v>0</v>
      </c>
      <c r="AO58" s="290">
        <v>3736.5724826000001</v>
      </c>
      <c r="AP58" s="290">
        <v>0</v>
      </c>
      <c r="AQ58" s="290">
        <v>0</v>
      </c>
      <c r="AR58" s="290">
        <v>340.23076653999999</v>
      </c>
      <c r="AS58" s="290">
        <v>12726</v>
      </c>
      <c r="AT58" s="290">
        <v>340</v>
      </c>
      <c r="AU58" s="290">
        <v>63</v>
      </c>
      <c r="AV58" s="766">
        <v>249122</v>
      </c>
      <c r="AW58" s="290">
        <v>0</v>
      </c>
      <c r="AX58" s="766">
        <v>58.583300000000001</v>
      </c>
      <c r="AY58" s="290">
        <v>1589</v>
      </c>
      <c r="AZ58" s="290">
        <v>318</v>
      </c>
      <c r="BA58" s="290">
        <v>203</v>
      </c>
      <c r="BB58" s="290">
        <v>0</v>
      </c>
      <c r="BC58" s="290">
        <v>3569</v>
      </c>
      <c r="BD58" s="290"/>
      <c r="BE58" s="290">
        <v>277111.39897590998</v>
      </c>
      <c r="BF58" s="290">
        <v>0</v>
      </c>
      <c r="BG58" s="290">
        <v>0</v>
      </c>
      <c r="BH58" s="290">
        <v>-1315</v>
      </c>
      <c r="BI58" s="290">
        <v>3754</v>
      </c>
      <c r="BJ58" s="290">
        <v>1093.8569793577929</v>
      </c>
      <c r="BK58" s="290">
        <v>12</v>
      </c>
      <c r="BL58" s="290"/>
      <c r="BM58" s="290">
        <v>0</v>
      </c>
      <c r="BN58" s="290">
        <v>2074</v>
      </c>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f>+innut23!E64+innut23!S64</f>
        <v>229842.8962845428</v>
      </c>
      <c r="CL58" s="290"/>
      <c r="CM58" s="290">
        <v>0</v>
      </c>
      <c r="CN58" s="290">
        <v>0</v>
      </c>
      <c r="CO58" s="290"/>
      <c r="CP58" s="290"/>
      <c r="CQ58" s="290"/>
      <c r="CX58" s="517">
        <f t="shared" si="1"/>
        <v>0</v>
      </c>
      <c r="DB58" s="85">
        <f t="shared" si="2"/>
        <v>1.425</v>
      </c>
    </row>
    <row r="59" spans="1:106" ht="13">
      <c r="A59" s="1">
        <v>1815</v>
      </c>
      <c r="B59" s="2" t="s">
        <v>179</v>
      </c>
      <c r="C59" s="289"/>
      <c r="D59" s="290">
        <v>21</v>
      </c>
      <c r="E59" s="290">
        <v>37</v>
      </c>
      <c r="F59" s="290">
        <v>127</v>
      </c>
      <c r="G59" s="290">
        <v>98</v>
      </c>
      <c r="H59" s="290">
        <v>616</v>
      </c>
      <c r="I59" s="290">
        <v>206</v>
      </c>
      <c r="J59" s="290">
        <v>67</v>
      </c>
      <c r="K59" s="290">
        <v>14</v>
      </c>
      <c r="L59" s="290">
        <v>11</v>
      </c>
      <c r="M59" s="290">
        <v>158</v>
      </c>
      <c r="N59" s="290">
        <v>14</v>
      </c>
      <c r="O59" s="290">
        <v>1.5</v>
      </c>
      <c r="P59" s="624">
        <v>5699.5076666699997</v>
      </c>
      <c r="Q59" s="624">
        <v>5731.3469999999998</v>
      </c>
      <c r="R59" s="624">
        <v>4</v>
      </c>
      <c r="S59" s="290"/>
      <c r="T59" s="290">
        <v>107</v>
      </c>
      <c r="U59" s="958">
        <v>1.2935830053912932E-3</v>
      </c>
      <c r="V59" s="290">
        <v>902.62660892999997</v>
      </c>
      <c r="W59" s="765">
        <v>1</v>
      </c>
      <c r="X59" s="290">
        <v>0</v>
      </c>
      <c r="Y59" s="290"/>
      <c r="Z59" s="290">
        <f>+innut23!E65</f>
        <v>31389.000151124234</v>
      </c>
      <c r="AA59" s="290">
        <v>0</v>
      </c>
      <c r="AB59" s="290">
        <v>24</v>
      </c>
      <c r="AC59" s="290">
        <v>0</v>
      </c>
      <c r="AD59" s="290"/>
      <c r="AE59" s="290">
        <v>0</v>
      </c>
      <c r="AF59" s="290">
        <v>0</v>
      </c>
      <c r="AG59" s="290">
        <v>1186</v>
      </c>
      <c r="AH59" s="290">
        <v>196</v>
      </c>
      <c r="AI59" s="290"/>
      <c r="AJ59" s="290"/>
      <c r="AK59" s="290">
        <v>0</v>
      </c>
      <c r="AL59" s="290">
        <v>2268</v>
      </c>
      <c r="AM59" s="957">
        <v>2.17206E-2</v>
      </c>
      <c r="AN59" s="290">
        <v>0</v>
      </c>
      <c r="AO59" s="290">
        <v>697.74157705000005</v>
      </c>
      <c r="AP59" s="290">
        <v>0</v>
      </c>
      <c r="AQ59" s="290">
        <v>0</v>
      </c>
      <c r="AR59" s="290">
        <v>-48.671786410000003</v>
      </c>
      <c r="AS59" s="290">
        <v>1932</v>
      </c>
      <c r="AT59" s="290">
        <v>51</v>
      </c>
      <c r="AU59" s="290">
        <v>12</v>
      </c>
      <c r="AV59" s="766">
        <v>61968</v>
      </c>
      <c r="AW59" s="290">
        <v>0</v>
      </c>
      <c r="AX59" s="766">
        <v>6.4166999999999996</v>
      </c>
      <c r="AY59" s="290">
        <v>213</v>
      </c>
      <c r="AZ59" s="290">
        <v>49</v>
      </c>
      <c r="BA59" s="290">
        <v>26</v>
      </c>
      <c r="BB59" s="290">
        <v>0</v>
      </c>
      <c r="BC59" s="290">
        <v>682</v>
      </c>
      <c r="BD59" s="290"/>
      <c r="BE59" s="290">
        <v>66735.228735960001</v>
      </c>
      <c r="BF59" s="290">
        <v>0</v>
      </c>
      <c r="BG59" s="290">
        <v>0</v>
      </c>
      <c r="BH59" s="290">
        <v>-199</v>
      </c>
      <c r="BI59" s="290">
        <v>715</v>
      </c>
      <c r="BJ59" s="290">
        <v>167.67877472818458</v>
      </c>
      <c r="BK59" s="290">
        <v>2</v>
      </c>
      <c r="BL59" s="290"/>
      <c r="BM59" s="290">
        <v>0</v>
      </c>
      <c r="BN59" s="290">
        <v>519</v>
      </c>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f>+innut23!E65+innut23!S65</f>
        <v>31389.000151124234</v>
      </c>
      <c r="CL59" s="290"/>
      <c r="CM59" s="290">
        <v>0</v>
      </c>
      <c r="CN59" s="290">
        <v>0</v>
      </c>
      <c r="CO59" s="290"/>
      <c r="CP59" s="290"/>
      <c r="CQ59" s="290"/>
      <c r="CX59" s="517">
        <f t="shared" si="1"/>
        <v>0</v>
      </c>
      <c r="DB59" s="85">
        <f t="shared" si="2"/>
        <v>0.217</v>
      </c>
    </row>
    <row r="60" spans="1:106" ht="13">
      <c r="A60" s="1">
        <v>1816</v>
      </c>
      <c r="B60" s="2" t="s">
        <v>180</v>
      </c>
      <c r="C60" s="289"/>
      <c r="D60" s="290">
        <v>9</v>
      </c>
      <c r="E60" s="290">
        <v>13</v>
      </c>
      <c r="F60" s="290">
        <v>44</v>
      </c>
      <c r="G60" s="290">
        <v>31</v>
      </c>
      <c r="H60" s="290">
        <v>235</v>
      </c>
      <c r="I60" s="290">
        <v>93</v>
      </c>
      <c r="J60" s="290">
        <v>23</v>
      </c>
      <c r="K60" s="290">
        <v>9</v>
      </c>
      <c r="L60" s="290">
        <v>3</v>
      </c>
      <c r="M60" s="290">
        <v>54</v>
      </c>
      <c r="N60" s="290">
        <v>9</v>
      </c>
      <c r="O60" s="290">
        <v>6</v>
      </c>
      <c r="P60" s="624">
        <v>3420.5583333300001</v>
      </c>
      <c r="Q60" s="624">
        <v>5858.6683333299998</v>
      </c>
      <c r="R60" s="624">
        <v>0</v>
      </c>
      <c r="S60" s="290"/>
      <c r="T60" s="290">
        <v>52</v>
      </c>
      <c r="U60" s="958">
        <v>8.5492109424511564E-4</v>
      </c>
      <c r="V60" s="290">
        <v>462.43430481000001</v>
      </c>
      <c r="W60" s="765">
        <v>1</v>
      </c>
      <c r="X60" s="290">
        <v>0</v>
      </c>
      <c r="Y60" s="290"/>
      <c r="Z60" s="290">
        <f>+innut23!E66</f>
        <v>13343.353642725635</v>
      </c>
      <c r="AA60" s="290">
        <v>0</v>
      </c>
      <c r="AB60" s="290">
        <v>13</v>
      </c>
      <c r="AC60" s="290">
        <v>0</v>
      </c>
      <c r="AD60" s="290"/>
      <c r="AE60" s="290">
        <v>0</v>
      </c>
      <c r="AF60" s="290">
        <v>0</v>
      </c>
      <c r="AG60" s="290">
        <v>457</v>
      </c>
      <c r="AH60" s="290">
        <v>100</v>
      </c>
      <c r="AI60" s="290"/>
      <c r="AJ60" s="290"/>
      <c r="AK60" s="290">
        <v>0</v>
      </c>
      <c r="AL60" s="290">
        <v>892</v>
      </c>
      <c r="AM60" s="957">
        <v>1.3774099999999999E-3</v>
      </c>
      <c r="AN60" s="290">
        <v>0</v>
      </c>
      <c r="AO60" s="290">
        <v>357.46745987999998</v>
      </c>
      <c r="AP60" s="290">
        <v>0</v>
      </c>
      <c r="AQ60" s="290">
        <v>0</v>
      </c>
      <c r="AR60" s="290">
        <v>-18.754642820000001</v>
      </c>
      <c r="AS60" s="290">
        <v>739</v>
      </c>
      <c r="AT60" s="290">
        <v>14</v>
      </c>
      <c r="AU60" s="290">
        <v>1.5</v>
      </c>
      <c r="AV60" s="766">
        <v>39412</v>
      </c>
      <c r="AW60" s="290">
        <v>0</v>
      </c>
      <c r="AX60" s="766">
        <v>4.9583000000000004</v>
      </c>
      <c r="AY60" s="290">
        <v>81</v>
      </c>
      <c r="AZ60" s="290">
        <v>14</v>
      </c>
      <c r="BA60" s="290">
        <v>7</v>
      </c>
      <c r="BB60" s="290">
        <v>0</v>
      </c>
      <c r="BC60" s="290">
        <v>600</v>
      </c>
      <c r="BD60" s="290"/>
      <c r="BE60" s="290">
        <v>42462.572818120003</v>
      </c>
      <c r="BF60" s="290">
        <v>0</v>
      </c>
      <c r="BG60" s="290">
        <v>0</v>
      </c>
      <c r="BH60" s="290">
        <v>-78</v>
      </c>
      <c r="BI60" s="290">
        <v>619</v>
      </c>
      <c r="BJ60" s="290">
        <v>85.967993864090403</v>
      </c>
      <c r="BK60" s="290">
        <v>1</v>
      </c>
      <c r="BL60" s="290"/>
      <c r="BM60" s="290">
        <v>0</v>
      </c>
      <c r="BN60" s="290">
        <v>519</v>
      </c>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f>+innut23!E66+innut23!S66</f>
        <v>13343.353642725635</v>
      </c>
      <c r="CL60" s="290"/>
      <c r="CM60" s="290">
        <v>0</v>
      </c>
      <c r="CN60" s="290">
        <v>0</v>
      </c>
      <c r="CO60" s="290"/>
      <c r="CP60" s="290"/>
      <c r="CQ60" s="290"/>
      <c r="CX60" s="517">
        <f t="shared" si="1"/>
        <v>0</v>
      </c>
      <c r="DB60" s="85">
        <f t="shared" si="2"/>
        <v>8.4000000000000005E-2</v>
      </c>
    </row>
    <row r="61" spans="1:106" ht="13">
      <c r="A61" s="1">
        <v>1818</v>
      </c>
      <c r="B61" s="2" t="s">
        <v>87</v>
      </c>
      <c r="C61" s="289"/>
      <c r="D61" s="290">
        <v>34</v>
      </c>
      <c r="E61" s="290">
        <v>91</v>
      </c>
      <c r="F61" s="290">
        <v>202</v>
      </c>
      <c r="G61" s="290">
        <v>112</v>
      </c>
      <c r="H61" s="290">
        <v>1012</v>
      </c>
      <c r="I61" s="290">
        <v>259</v>
      </c>
      <c r="J61" s="290">
        <v>96</v>
      </c>
      <c r="K61" s="290">
        <v>13</v>
      </c>
      <c r="L61" s="290">
        <v>15</v>
      </c>
      <c r="M61" s="290">
        <v>190</v>
      </c>
      <c r="N61" s="290">
        <v>55</v>
      </c>
      <c r="O61" s="290">
        <v>44</v>
      </c>
      <c r="P61" s="624">
        <v>8378.4346666700003</v>
      </c>
      <c r="Q61" s="624">
        <v>4032.8153333300002</v>
      </c>
      <c r="R61" s="624">
        <v>7</v>
      </c>
      <c r="S61" s="290"/>
      <c r="T61" s="290">
        <v>154</v>
      </c>
      <c r="U61" s="958">
        <v>7.161377630707748E-4</v>
      </c>
      <c r="V61" s="290">
        <v>1299.30975089</v>
      </c>
      <c r="W61" s="765">
        <v>1</v>
      </c>
      <c r="X61" s="290">
        <v>0</v>
      </c>
      <c r="Y61" s="290"/>
      <c r="Z61" s="290">
        <f>+innut23!E67</f>
        <v>61415.731669165179</v>
      </c>
      <c r="AA61" s="290">
        <v>0</v>
      </c>
      <c r="AB61" s="290">
        <v>48</v>
      </c>
      <c r="AC61" s="290">
        <v>6</v>
      </c>
      <c r="AD61" s="290"/>
      <c r="AE61" s="290">
        <v>0</v>
      </c>
      <c r="AF61" s="290">
        <v>0</v>
      </c>
      <c r="AG61" s="290">
        <v>1819</v>
      </c>
      <c r="AH61" s="290">
        <v>321</v>
      </c>
      <c r="AI61" s="290"/>
      <c r="AJ61" s="290"/>
      <c r="AK61" s="290">
        <v>0</v>
      </c>
      <c r="AL61" s="290">
        <v>3522</v>
      </c>
      <c r="AM61" s="957">
        <v>4.2168659999999997E-2</v>
      </c>
      <c r="AN61" s="290">
        <v>0</v>
      </c>
      <c r="AO61" s="290">
        <v>1004.38257158</v>
      </c>
      <c r="AP61" s="290">
        <v>0</v>
      </c>
      <c r="AQ61" s="290">
        <v>0</v>
      </c>
      <c r="AR61" s="290">
        <v>-74.649223840000005</v>
      </c>
      <c r="AS61" s="290">
        <v>2948</v>
      </c>
      <c r="AT61" s="290">
        <v>57</v>
      </c>
      <c r="AU61" s="290">
        <v>22</v>
      </c>
      <c r="AV61" s="766">
        <v>78110</v>
      </c>
      <c r="AW61" s="290">
        <v>0</v>
      </c>
      <c r="AX61" s="766">
        <v>11.291650000000001</v>
      </c>
      <c r="AY61" s="290">
        <v>271</v>
      </c>
      <c r="AZ61" s="290">
        <v>112</v>
      </c>
      <c r="BA61" s="290">
        <v>35</v>
      </c>
      <c r="BB61" s="290">
        <v>0</v>
      </c>
      <c r="BC61" s="290">
        <v>809</v>
      </c>
      <c r="BD61" s="290"/>
      <c r="BE61" s="290">
        <v>89500.080762309997</v>
      </c>
      <c r="BF61" s="290">
        <v>0</v>
      </c>
      <c r="BG61" s="290">
        <v>0</v>
      </c>
      <c r="BH61" s="290">
        <v>-305</v>
      </c>
      <c r="BI61" s="290">
        <v>846</v>
      </c>
      <c r="BJ61" s="290">
        <v>258.19962918515608</v>
      </c>
      <c r="BK61" s="290">
        <v>3</v>
      </c>
      <c r="BL61" s="290"/>
      <c r="BM61" s="290">
        <v>0</v>
      </c>
      <c r="BN61" s="290">
        <v>519</v>
      </c>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f>+innut23!E67+innut23!S67</f>
        <v>61415.731669165179</v>
      </c>
      <c r="CL61" s="290"/>
      <c r="CM61" s="290">
        <v>0</v>
      </c>
      <c r="CN61" s="290">
        <v>0</v>
      </c>
      <c r="CO61" s="290"/>
      <c r="CP61" s="290"/>
      <c r="CQ61" s="290"/>
      <c r="CX61" s="517">
        <f t="shared" si="1"/>
        <v>0</v>
      </c>
      <c r="DB61" s="85">
        <f t="shared" si="2"/>
        <v>0.33300000000000002</v>
      </c>
    </row>
    <row r="62" spans="1:106" ht="13">
      <c r="A62" s="1">
        <v>1820</v>
      </c>
      <c r="B62" s="2" t="s">
        <v>181</v>
      </c>
      <c r="C62" s="289"/>
      <c r="D62" s="290">
        <v>132</v>
      </c>
      <c r="E62" s="290">
        <v>284</v>
      </c>
      <c r="F62" s="290">
        <v>814</v>
      </c>
      <c r="G62" s="290">
        <v>591</v>
      </c>
      <c r="H62" s="290">
        <v>4056</v>
      </c>
      <c r="I62" s="290">
        <v>1081</v>
      </c>
      <c r="J62" s="290">
        <v>321</v>
      </c>
      <c r="K62" s="290">
        <v>59</v>
      </c>
      <c r="L62" s="290">
        <v>57</v>
      </c>
      <c r="M62" s="290">
        <v>634</v>
      </c>
      <c r="N62" s="290">
        <v>181</v>
      </c>
      <c r="O62" s="290">
        <v>78</v>
      </c>
      <c r="P62" s="624">
        <v>40830.477333330004</v>
      </c>
      <c r="Q62" s="624">
        <v>13633.704</v>
      </c>
      <c r="R62" s="624">
        <v>41</v>
      </c>
      <c r="S62" s="290"/>
      <c r="T62" s="290">
        <v>674</v>
      </c>
      <c r="U62" s="958">
        <v>1.6704348305480426E-3</v>
      </c>
      <c r="V62" s="290">
        <v>4435.9603080300003</v>
      </c>
      <c r="W62" s="765">
        <v>0.60634655000000004</v>
      </c>
      <c r="X62" s="290">
        <v>0</v>
      </c>
      <c r="Y62" s="290"/>
      <c r="Z62" s="290">
        <f>+innut23!E68</f>
        <v>220097.28292145001</v>
      </c>
      <c r="AA62" s="290">
        <v>0</v>
      </c>
      <c r="AB62" s="290">
        <v>214</v>
      </c>
      <c r="AC62" s="290">
        <v>526</v>
      </c>
      <c r="AD62" s="290"/>
      <c r="AE62" s="290">
        <v>0</v>
      </c>
      <c r="AF62" s="290">
        <v>0</v>
      </c>
      <c r="AG62" s="290">
        <v>7338</v>
      </c>
      <c r="AH62" s="290">
        <v>1268</v>
      </c>
      <c r="AI62" s="290"/>
      <c r="AJ62" s="290"/>
      <c r="AK62" s="290">
        <v>0</v>
      </c>
      <c r="AL62" s="290">
        <v>14153</v>
      </c>
      <c r="AM62" s="957">
        <v>9.0948429999999997E-2</v>
      </c>
      <c r="AN62" s="290">
        <v>0</v>
      </c>
      <c r="AO62" s="290">
        <v>3429.05240151</v>
      </c>
      <c r="AP62" s="290">
        <v>0</v>
      </c>
      <c r="AQ62" s="290">
        <v>0</v>
      </c>
      <c r="AR62" s="290">
        <v>-301.14128892000002</v>
      </c>
      <c r="AS62" s="290">
        <v>11787</v>
      </c>
      <c r="AT62" s="290">
        <v>310</v>
      </c>
      <c r="AU62" s="290">
        <v>58</v>
      </c>
      <c r="AV62" s="766">
        <v>216155</v>
      </c>
      <c r="AW62" s="290">
        <v>0</v>
      </c>
      <c r="AX62" s="766">
        <v>58.374949999999998</v>
      </c>
      <c r="AY62" s="290">
        <v>1747</v>
      </c>
      <c r="AZ62" s="290">
        <v>272</v>
      </c>
      <c r="BA62" s="290">
        <v>179</v>
      </c>
      <c r="BB62" s="290">
        <v>0</v>
      </c>
      <c r="BC62" s="290">
        <v>4615</v>
      </c>
      <c r="BD62" s="290"/>
      <c r="BE62" s="290">
        <v>249118.67538490001</v>
      </c>
      <c r="BF62" s="290">
        <v>0</v>
      </c>
      <c r="BG62" s="290">
        <v>0</v>
      </c>
      <c r="BH62" s="290">
        <v>-1243</v>
      </c>
      <c r="BI62" s="290">
        <v>4905</v>
      </c>
      <c r="BJ62" s="290">
        <v>897.19457738010067</v>
      </c>
      <c r="BK62" s="290">
        <v>12</v>
      </c>
      <c r="BL62" s="290"/>
      <c r="BM62" s="290">
        <v>0</v>
      </c>
      <c r="BN62" s="290">
        <v>3111</v>
      </c>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f>+innut23!E68+innut23!S68</f>
        <v>220097.28292145001</v>
      </c>
      <c r="CL62" s="290"/>
      <c r="CM62" s="290">
        <v>0</v>
      </c>
      <c r="CN62" s="290">
        <v>0</v>
      </c>
      <c r="CO62" s="290"/>
      <c r="CP62" s="290"/>
      <c r="CQ62" s="290"/>
      <c r="CX62" s="517">
        <f t="shared" si="1"/>
        <v>0</v>
      </c>
      <c r="DB62" s="85">
        <f t="shared" si="2"/>
        <v>1.345</v>
      </c>
    </row>
    <row r="63" spans="1:106" ht="13">
      <c r="A63" s="1">
        <v>1822</v>
      </c>
      <c r="B63" s="2" t="s">
        <v>182</v>
      </c>
      <c r="C63" s="289"/>
      <c r="D63" s="290">
        <v>52</v>
      </c>
      <c r="E63" s="290">
        <v>120</v>
      </c>
      <c r="F63" s="290">
        <v>298</v>
      </c>
      <c r="G63" s="290">
        <v>142</v>
      </c>
      <c r="H63" s="290">
        <v>1204</v>
      </c>
      <c r="I63" s="290">
        <v>322</v>
      </c>
      <c r="J63" s="290">
        <v>87</v>
      </c>
      <c r="K63" s="290">
        <v>34</v>
      </c>
      <c r="L63" s="290">
        <v>17</v>
      </c>
      <c r="M63" s="290">
        <v>213</v>
      </c>
      <c r="N63" s="290">
        <v>51</v>
      </c>
      <c r="O63" s="290">
        <v>45</v>
      </c>
      <c r="P63" s="624">
        <v>17679.819666669999</v>
      </c>
      <c r="Q63" s="624">
        <v>9139.6733333299999</v>
      </c>
      <c r="R63" s="624">
        <v>11</v>
      </c>
      <c r="S63" s="290"/>
      <c r="T63" s="290">
        <v>180</v>
      </c>
      <c r="U63" s="958">
        <v>1.7962291095797633E-3</v>
      </c>
      <c r="V63" s="290">
        <v>1649.8591843300001</v>
      </c>
      <c r="W63" s="765">
        <v>0.84388498000000001</v>
      </c>
      <c r="X63" s="290">
        <v>0</v>
      </c>
      <c r="Y63" s="290"/>
      <c r="Z63" s="290">
        <f>+innut23!E69</f>
        <v>56871.338237154254</v>
      </c>
      <c r="AA63" s="290">
        <v>0</v>
      </c>
      <c r="AB63" s="290">
        <v>69</v>
      </c>
      <c r="AC63" s="290">
        <v>296</v>
      </c>
      <c r="AD63" s="290"/>
      <c r="AE63" s="290">
        <v>0</v>
      </c>
      <c r="AF63" s="290">
        <v>0</v>
      </c>
      <c r="AG63" s="290">
        <v>2259</v>
      </c>
      <c r="AH63" s="290">
        <v>439</v>
      </c>
      <c r="AI63" s="290"/>
      <c r="AJ63" s="290"/>
      <c r="AK63" s="290">
        <v>0</v>
      </c>
      <c r="AL63" s="290">
        <v>4356</v>
      </c>
      <c r="AM63" s="957">
        <v>5.5201670000000001E-2</v>
      </c>
      <c r="AN63" s="290">
        <v>0</v>
      </c>
      <c r="AO63" s="290">
        <v>1275.3616365600001</v>
      </c>
      <c r="AP63" s="290">
        <v>0</v>
      </c>
      <c r="AQ63" s="290">
        <v>0</v>
      </c>
      <c r="AR63" s="290">
        <v>-92.706210369999994</v>
      </c>
      <c r="AS63" s="290">
        <v>3618</v>
      </c>
      <c r="AT63" s="290">
        <v>100</v>
      </c>
      <c r="AU63" s="290">
        <v>19</v>
      </c>
      <c r="AV63" s="766">
        <v>104045</v>
      </c>
      <c r="AW63" s="290">
        <v>0</v>
      </c>
      <c r="AX63" s="766">
        <v>12.416650000000001</v>
      </c>
      <c r="AY63" s="290">
        <v>426</v>
      </c>
      <c r="AZ63" s="290">
        <v>148</v>
      </c>
      <c r="BA63" s="290">
        <v>46</v>
      </c>
      <c r="BB63" s="290">
        <v>0</v>
      </c>
      <c r="BC63" s="290">
        <v>2136</v>
      </c>
      <c r="BD63" s="290"/>
      <c r="BE63" s="290">
        <v>114824.84535626</v>
      </c>
      <c r="BF63" s="290">
        <v>0</v>
      </c>
      <c r="BG63" s="290">
        <v>0</v>
      </c>
      <c r="BH63" s="290">
        <v>-382</v>
      </c>
      <c r="BI63" s="290">
        <v>2291</v>
      </c>
      <c r="BJ63" s="290">
        <v>360.75378854303131</v>
      </c>
      <c r="BK63" s="290">
        <v>4</v>
      </c>
      <c r="BL63" s="290"/>
      <c r="BM63" s="290">
        <v>0</v>
      </c>
      <c r="BN63" s="290">
        <v>1556</v>
      </c>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f>+innut23!E69+innut23!S69</f>
        <v>56871.338237154254</v>
      </c>
      <c r="CL63" s="290"/>
      <c r="CM63" s="290">
        <v>0</v>
      </c>
      <c r="CN63" s="290">
        <v>0</v>
      </c>
      <c r="CO63" s="290"/>
      <c r="CP63" s="290"/>
      <c r="CQ63" s="290"/>
      <c r="CX63" s="517">
        <f t="shared" si="1"/>
        <v>0</v>
      </c>
      <c r="DB63" s="85">
        <f t="shared" si="2"/>
        <v>0.41399999999999998</v>
      </c>
    </row>
    <row r="64" spans="1:106" ht="13">
      <c r="A64" s="1">
        <v>1824</v>
      </c>
      <c r="B64" s="2" t="s">
        <v>183</v>
      </c>
      <c r="C64" s="289"/>
      <c r="D64" s="290">
        <v>234</v>
      </c>
      <c r="E64" s="290">
        <v>507</v>
      </c>
      <c r="F64" s="290">
        <v>1413</v>
      </c>
      <c r="G64" s="290">
        <v>1113</v>
      </c>
      <c r="H64" s="290">
        <v>7405</v>
      </c>
      <c r="I64" s="290">
        <v>1827</v>
      </c>
      <c r="J64" s="290">
        <v>664</v>
      </c>
      <c r="K64" s="290">
        <v>152</v>
      </c>
      <c r="L64" s="290">
        <v>104</v>
      </c>
      <c r="M64" s="290">
        <v>1235</v>
      </c>
      <c r="N64" s="290">
        <v>207</v>
      </c>
      <c r="O64" s="290">
        <v>81</v>
      </c>
      <c r="P64" s="624">
        <v>50166.199333329998</v>
      </c>
      <c r="Q64" s="624">
        <v>26316.962666669999</v>
      </c>
      <c r="R64" s="624">
        <v>75</v>
      </c>
      <c r="S64" s="290"/>
      <c r="T64" s="290">
        <v>1308</v>
      </c>
      <c r="U64" s="958">
        <v>2.6262340695070584E-3</v>
      </c>
      <c r="V64" s="290">
        <v>6572.2303922499996</v>
      </c>
      <c r="W64" s="765">
        <v>0.59272734000000005</v>
      </c>
      <c r="X64" s="290">
        <v>0</v>
      </c>
      <c r="Y64" s="290"/>
      <c r="Z64" s="290">
        <f>+innut23!E70</f>
        <v>399986.84567051748</v>
      </c>
      <c r="AA64" s="290">
        <v>0</v>
      </c>
      <c r="AB64" s="290">
        <v>436</v>
      </c>
      <c r="AC64" s="290">
        <v>1621</v>
      </c>
      <c r="AD64" s="290"/>
      <c r="AE64" s="290">
        <v>0</v>
      </c>
      <c r="AF64" s="290">
        <v>0</v>
      </c>
      <c r="AG64" s="290">
        <v>13315</v>
      </c>
      <c r="AH64" s="290">
        <v>2220</v>
      </c>
      <c r="AI64" s="290"/>
      <c r="AJ64" s="290"/>
      <c r="AK64" s="290">
        <v>9065</v>
      </c>
      <c r="AL64" s="290">
        <v>25540</v>
      </c>
      <c r="AM64" s="957">
        <v>9.588663E-2</v>
      </c>
      <c r="AN64" s="290">
        <v>0</v>
      </c>
      <c r="AO64" s="290">
        <v>6128.6205417700003</v>
      </c>
      <c r="AP64" s="290">
        <v>0</v>
      </c>
      <c r="AQ64" s="290">
        <v>0</v>
      </c>
      <c r="AR64" s="290">
        <v>-546.42903543</v>
      </c>
      <c r="AS64" s="290">
        <v>21250</v>
      </c>
      <c r="AT64" s="290">
        <v>649</v>
      </c>
      <c r="AU64" s="290">
        <v>84</v>
      </c>
      <c r="AV64" s="766">
        <v>393756</v>
      </c>
      <c r="AW64" s="290">
        <v>0</v>
      </c>
      <c r="AX64" s="766">
        <v>105.87495</v>
      </c>
      <c r="AY64" s="290">
        <v>2769</v>
      </c>
      <c r="AZ64" s="290">
        <v>308</v>
      </c>
      <c r="BA64" s="290">
        <v>237</v>
      </c>
      <c r="BB64" s="290">
        <v>0</v>
      </c>
      <c r="BC64" s="290">
        <v>13897</v>
      </c>
      <c r="BD64" s="290"/>
      <c r="BE64" s="290">
        <v>443903.62479308998</v>
      </c>
      <c r="BF64" s="290">
        <v>0</v>
      </c>
      <c r="BG64" s="290">
        <v>0</v>
      </c>
      <c r="BH64" s="290">
        <v>-2236</v>
      </c>
      <c r="BI64" s="290">
        <v>15499</v>
      </c>
      <c r="BJ64" s="290">
        <v>1513.4256641774075</v>
      </c>
      <c r="BK64" s="290">
        <v>21</v>
      </c>
      <c r="BL64" s="290"/>
      <c r="BM64" s="290">
        <v>0</v>
      </c>
      <c r="BN64" s="290">
        <v>2593</v>
      </c>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f>+innut23!E70+innut23!S70</f>
        <v>399986.84567051748</v>
      </c>
      <c r="CL64" s="290"/>
      <c r="CM64" s="290">
        <v>10007.179748604285</v>
      </c>
      <c r="CN64" s="290">
        <v>10926.045970300627</v>
      </c>
      <c r="CO64" s="290"/>
      <c r="CP64" s="290"/>
      <c r="CQ64" s="290"/>
      <c r="CX64" s="517">
        <f t="shared" si="1"/>
        <v>0</v>
      </c>
      <c r="DB64" s="85">
        <f t="shared" si="2"/>
        <v>2.4409999999999998</v>
      </c>
    </row>
    <row r="65" spans="1:106" ht="13">
      <c r="A65" s="1">
        <v>1825</v>
      </c>
      <c r="B65" s="2" t="s">
        <v>184</v>
      </c>
      <c r="C65" s="289"/>
      <c r="D65" s="290">
        <v>23</v>
      </c>
      <c r="E65" s="290">
        <v>47</v>
      </c>
      <c r="F65" s="290">
        <v>150</v>
      </c>
      <c r="G65" s="290">
        <v>124</v>
      </c>
      <c r="H65" s="290">
        <v>754</v>
      </c>
      <c r="I65" s="290">
        <v>223</v>
      </c>
      <c r="J65" s="290">
        <v>99</v>
      </c>
      <c r="K65" s="290">
        <v>21</v>
      </c>
      <c r="L65" s="290">
        <v>10</v>
      </c>
      <c r="M65" s="290">
        <v>158</v>
      </c>
      <c r="N65" s="290">
        <v>25</v>
      </c>
      <c r="O65" s="290">
        <v>17</v>
      </c>
      <c r="P65" s="624">
        <v>10756.63033333</v>
      </c>
      <c r="Q65" s="624">
        <v>8599.9126666699995</v>
      </c>
      <c r="R65" s="624">
        <v>8</v>
      </c>
      <c r="S65" s="290"/>
      <c r="T65" s="290">
        <v>141</v>
      </c>
      <c r="U65" s="958">
        <v>1.1133886410613775E-3</v>
      </c>
      <c r="V65" s="290">
        <v>1094.13806636</v>
      </c>
      <c r="W65" s="765">
        <v>1</v>
      </c>
      <c r="X65" s="290">
        <v>0</v>
      </c>
      <c r="Y65" s="290"/>
      <c r="Z65" s="290">
        <f>+innut23!E71</f>
        <v>39476.725288169502</v>
      </c>
      <c r="AA65" s="290">
        <v>0</v>
      </c>
      <c r="AB65" s="290">
        <v>37</v>
      </c>
      <c r="AC65" s="290">
        <v>266</v>
      </c>
      <c r="AD65" s="290"/>
      <c r="AE65" s="290">
        <v>0</v>
      </c>
      <c r="AF65" s="290">
        <v>0</v>
      </c>
      <c r="AG65" s="290">
        <v>1441</v>
      </c>
      <c r="AH65" s="290">
        <v>229</v>
      </c>
      <c r="AI65" s="290"/>
      <c r="AJ65" s="290"/>
      <c r="AK65" s="290">
        <v>0</v>
      </c>
      <c r="AL65" s="290">
        <v>2820</v>
      </c>
      <c r="AM65" s="957">
        <v>1.7304119999999999E-2</v>
      </c>
      <c r="AN65" s="290">
        <v>0</v>
      </c>
      <c r="AO65" s="290">
        <v>845.78231172999995</v>
      </c>
      <c r="AP65" s="290">
        <v>0</v>
      </c>
      <c r="AQ65" s="290">
        <v>0</v>
      </c>
      <c r="AR65" s="290">
        <v>-59.136630869999998</v>
      </c>
      <c r="AS65" s="290">
        <v>2320</v>
      </c>
      <c r="AT65" s="290">
        <v>76</v>
      </c>
      <c r="AU65" s="290">
        <v>9</v>
      </c>
      <c r="AV65" s="766">
        <v>71058</v>
      </c>
      <c r="AW65" s="290">
        <v>0</v>
      </c>
      <c r="AX65" s="766">
        <v>9.2499500000000001</v>
      </c>
      <c r="AY65" s="290">
        <v>205</v>
      </c>
      <c r="AZ65" s="290">
        <v>54</v>
      </c>
      <c r="BA65" s="290">
        <v>26</v>
      </c>
      <c r="BB65" s="290">
        <v>0</v>
      </c>
      <c r="BC65" s="290">
        <v>915</v>
      </c>
      <c r="BD65" s="290"/>
      <c r="BE65" s="290">
        <v>79668.030472130005</v>
      </c>
      <c r="BF65" s="290">
        <v>0</v>
      </c>
      <c r="BG65" s="290">
        <v>0</v>
      </c>
      <c r="BH65" s="290">
        <v>-244</v>
      </c>
      <c r="BI65" s="290">
        <v>1014</v>
      </c>
      <c r="BJ65" s="290">
        <v>203.07536667715135</v>
      </c>
      <c r="BK65" s="290">
        <v>2</v>
      </c>
      <c r="BL65" s="290"/>
      <c r="BM65" s="290">
        <v>0</v>
      </c>
      <c r="BN65" s="290">
        <v>519</v>
      </c>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f>+innut23!E71+innut23!S71</f>
        <v>39476.725288169502</v>
      </c>
      <c r="CL65" s="290"/>
      <c r="CM65" s="290">
        <v>0</v>
      </c>
      <c r="CN65" s="290">
        <v>0</v>
      </c>
      <c r="CO65" s="290"/>
      <c r="CP65" s="290"/>
      <c r="CQ65" s="290"/>
      <c r="CX65" s="517">
        <f t="shared" si="1"/>
        <v>0</v>
      </c>
      <c r="DB65" s="85">
        <f t="shared" si="2"/>
        <v>0.26400000000000001</v>
      </c>
    </row>
    <row r="66" spans="1:106" ht="13">
      <c r="A66" s="1">
        <v>1826</v>
      </c>
      <c r="B66" s="2" t="s">
        <v>185</v>
      </c>
      <c r="C66" s="289"/>
      <c r="D66" s="290">
        <v>28</v>
      </c>
      <c r="E66" s="290">
        <v>31</v>
      </c>
      <c r="F66" s="290">
        <v>128</v>
      </c>
      <c r="G66" s="290">
        <v>110</v>
      </c>
      <c r="H66" s="290">
        <v>646</v>
      </c>
      <c r="I66" s="290">
        <v>231</v>
      </c>
      <c r="J66" s="290">
        <v>88</v>
      </c>
      <c r="K66" s="290">
        <v>19</v>
      </c>
      <c r="L66" s="290">
        <v>10</v>
      </c>
      <c r="M66" s="290">
        <v>144</v>
      </c>
      <c r="N66" s="290">
        <v>13</v>
      </c>
      <c r="O66" s="290">
        <v>8</v>
      </c>
      <c r="P66" s="624">
        <v>14025.508666670001</v>
      </c>
      <c r="Q66" s="624">
        <v>9749.0716666699991</v>
      </c>
      <c r="R66" s="624">
        <v>11</v>
      </c>
      <c r="S66" s="290"/>
      <c r="T66" s="290">
        <v>102</v>
      </c>
      <c r="U66" s="958">
        <v>2.048152695093891E-3</v>
      </c>
      <c r="V66" s="290">
        <v>1022.28768963</v>
      </c>
      <c r="W66" s="765">
        <v>1</v>
      </c>
      <c r="X66" s="290">
        <v>0</v>
      </c>
      <c r="Y66" s="290"/>
      <c r="Z66" s="290">
        <f>+innut23!E72</f>
        <v>32377.595544578639</v>
      </c>
      <c r="AA66" s="290">
        <v>0</v>
      </c>
      <c r="AB66" s="290">
        <v>24</v>
      </c>
      <c r="AC66" s="290">
        <v>0</v>
      </c>
      <c r="AD66" s="290"/>
      <c r="AE66" s="290">
        <v>0</v>
      </c>
      <c r="AF66" s="290">
        <v>0</v>
      </c>
      <c r="AG66" s="290">
        <v>1281</v>
      </c>
      <c r="AH66" s="290">
        <v>200</v>
      </c>
      <c r="AI66" s="290"/>
      <c r="AJ66" s="290"/>
      <c r="AK66" s="290">
        <v>0</v>
      </c>
      <c r="AL66" s="290">
        <v>2457</v>
      </c>
      <c r="AM66" s="957">
        <v>6.9606900000000003E-3</v>
      </c>
      <c r="AN66" s="290">
        <v>0</v>
      </c>
      <c r="AO66" s="290">
        <v>790.24107831000003</v>
      </c>
      <c r="AP66" s="290">
        <v>0</v>
      </c>
      <c r="AQ66" s="290">
        <v>0</v>
      </c>
      <c r="AR66" s="290">
        <v>-52.570453950000001</v>
      </c>
      <c r="AS66" s="290">
        <v>2012</v>
      </c>
      <c r="AT66" s="290">
        <v>48</v>
      </c>
      <c r="AU66" s="290">
        <v>5</v>
      </c>
      <c r="AV66" s="766">
        <v>70728</v>
      </c>
      <c r="AW66" s="290">
        <v>0</v>
      </c>
      <c r="AX66" s="766">
        <v>12</v>
      </c>
      <c r="AY66" s="290">
        <v>200</v>
      </c>
      <c r="AZ66" s="290">
        <v>47</v>
      </c>
      <c r="BA66" s="290">
        <v>18</v>
      </c>
      <c r="BB66" s="290">
        <v>0</v>
      </c>
      <c r="BC66" s="290">
        <v>1688</v>
      </c>
      <c r="BD66" s="290"/>
      <c r="BE66" s="290">
        <v>77751.762713539996</v>
      </c>
      <c r="BF66" s="290">
        <v>0</v>
      </c>
      <c r="BG66" s="290">
        <v>0</v>
      </c>
      <c r="BH66" s="290">
        <v>-214</v>
      </c>
      <c r="BI66" s="290">
        <v>1756</v>
      </c>
      <c r="BJ66" s="290">
        <v>181.01590346730413</v>
      </c>
      <c r="BK66" s="290">
        <v>2</v>
      </c>
      <c r="BL66" s="290"/>
      <c r="BM66" s="290">
        <v>0</v>
      </c>
      <c r="BN66" s="290">
        <v>1556</v>
      </c>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f>+innut23!E72+innut23!S72</f>
        <v>32377.595544578639</v>
      </c>
      <c r="CL66" s="290"/>
      <c r="CM66" s="290">
        <v>0</v>
      </c>
      <c r="CN66" s="290">
        <v>0</v>
      </c>
      <c r="CO66" s="290"/>
      <c r="CP66" s="290"/>
      <c r="CQ66" s="290"/>
      <c r="CX66" s="517">
        <f t="shared" si="1"/>
        <v>0</v>
      </c>
      <c r="DB66" s="85">
        <f t="shared" si="2"/>
        <v>0.23499999999999999</v>
      </c>
    </row>
    <row r="67" spans="1:106" ht="13">
      <c r="A67" s="1">
        <v>1827</v>
      </c>
      <c r="B67" s="2" t="s">
        <v>186</v>
      </c>
      <c r="C67" s="289"/>
      <c r="D67" s="290">
        <v>24</v>
      </c>
      <c r="E67" s="290">
        <v>37</v>
      </c>
      <c r="F67" s="290">
        <v>149</v>
      </c>
      <c r="G67" s="290">
        <v>117</v>
      </c>
      <c r="H67" s="290">
        <v>736</v>
      </c>
      <c r="I67" s="290">
        <v>244</v>
      </c>
      <c r="J67" s="290">
        <v>67</v>
      </c>
      <c r="K67" s="290">
        <v>15</v>
      </c>
      <c r="L67" s="290">
        <v>11</v>
      </c>
      <c r="M67" s="290">
        <v>155</v>
      </c>
      <c r="N67" s="290">
        <v>21</v>
      </c>
      <c r="O67" s="290">
        <v>17</v>
      </c>
      <c r="P67" s="624">
        <v>16876.365000000002</v>
      </c>
      <c r="Q67" s="624">
        <v>13329.269333329999</v>
      </c>
      <c r="R67" s="624">
        <v>14</v>
      </c>
      <c r="S67" s="290"/>
      <c r="T67" s="290">
        <v>136</v>
      </c>
      <c r="U67" s="958">
        <v>1.4735729600385905E-3</v>
      </c>
      <c r="V67" s="290">
        <v>-2178.8795487000002</v>
      </c>
      <c r="W67" s="765">
        <v>1</v>
      </c>
      <c r="X67" s="290">
        <v>0</v>
      </c>
      <c r="Y67" s="290"/>
      <c r="Z67" s="290">
        <f>+innut23!E73</f>
        <v>45901.030997471542</v>
      </c>
      <c r="AA67" s="290">
        <v>0</v>
      </c>
      <c r="AB67" s="290">
        <v>30</v>
      </c>
      <c r="AC67" s="290">
        <v>581</v>
      </c>
      <c r="AD67" s="290"/>
      <c r="AE67" s="290">
        <v>0</v>
      </c>
      <c r="AF67" s="290">
        <v>0</v>
      </c>
      <c r="AG67" s="290">
        <v>1389</v>
      </c>
      <c r="AH67" s="290">
        <v>226</v>
      </c>
      <c r="AI67" s="290"/>
      <c r="AJ67" s="290"/>
      <c r="AK67" s="290">
        <v>0</v>
      </c>
      <c r="AL67" s="290">
        <v>2642</v>
      </c>
      <c r="AM67" s="957">
        <v>1.469458E-2</v>
      </c>
      <c r="AN67" s="290">
        <v>0</v>
      </c>
      <c r="AO67" s="290">
        <v>848.86074472999996</v>
      </c>
      <c r="AP67" s="290">
        <v>0</v>
      </c>
      <c r="AQ67" s="290">
        <v>0</v>
      </c>
      <c r="AR67" s="290">
        <v>-57.002623370000002</v>
      </c>
      <c r="AS67" s="290">
        <v>2284</v>
      </c>
      <c r="AT67" s="290">
        <v>51</v>
      </c>
      <c r="AU67" s="290">
        <v>9</v>
      </c>
      <c r="AV67" s="766">
        <v>72570</v>
      </c>
      <c r="AW67" s="290">
        <v>0</v>
      </c>
      <c r="AX67" s="766">
        <v>7.4583000000000004</v>
      </c>
      <c r="AY67" s="290">
        <v>262</v>
      </c>
      <c r="AZ67" s="290">
        <v>60</v>
      </c>
      <c r="BA67" s="290">
        <v>32</v>
      </c>
      <c r="BB67" s="290">
        <v>0</v>
      </c>
      <c r="BC67" s="290">
        <v>1630</v>
      </c>
      <c r="BD67" s="290"/>
      <c r="BE67" s="290">
        <v>79287.355789699999</v>
      </c>
      <c r="BF67" s="290">
        <v>0</v>
      </c>
      <c r="BG67" s="290">
        <v>0</v>
      </c>
      <c r="BH67" s="290">
        <v>-231</v>
      </c>
      <c r="BI67" s="290">
        <v>1844</v>
      </c>
      <c r="BJ67" s="290">
        <v>211.50495360840776</v>
      </c>
      <c r="BK67" s="290">
        <v>2</v>
      </c>
      <c r="BL67" s="290"/>
      <c r="BM67" s="290">
        <v>0</v>
      </c>
      <c r="BN67" s="290">
        <v>1037</v>
      </c>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f>+innut23!E73+innut23!S73</f>
        <v>45901.030997471542</v>
      </c>
      <c r="CL67" s="290"/>
      <c r="CM67" s="290">
        <v>0</v>
      </c>
      <c r="CN67" s="290">
        <v>0</v>
      </c>
      <c r="CO67" s="290"/>
      <c r="CP67" s="290"/>
      <c r="CQ67" s="290"/>
      <c r="CX67" s="517">
        <f t="shared" si="1"/>
        <v>0</v>
      </c>
      <c r="DB67" s="85">
        <f t="shared" si="2"/>
        <v>0.255</v>
      </c>
    </row>
    <row r="68" spans="1:106" ht="13">
      <c r="A68" s="1">
        <v>1828</v>
      </c>
      <c r="B68" s="2" t="s">
        <v>187</v>
      </c>
      <c r="C68" s="289"/>
      <c r="D68" s="290">
        <v>29</v>
      </c>
      <c r="E68" s="290">
        <v>59</v>
      </c>
      <c r="F68" s="290">
        <v>187</v>
      </c>
      <c r="G68" s="290">
        <v>164</v>
      </c>
      <c r="H68" s="290">
        <v>941</v>
      </c>
      <c r="I68" s="290">
        <v>249</v>
      </c>
      <c r="J68" s="290">
        <v>86</v>
      </c>
      <c r="K68" s="290">
        <v>12</v>
      </c>
      <c r="L68" s="290">
        <v>13</v>
      </c>
      <c r="M68" s="290">
        <v>146</v>
      </c>
      <c r="N68" s="290">
        <v>43</v>
      </c>
      <c r="O68" s="290">
        <v>24</v>
      </c>
      <c r="P68" s="624">
        <v>7968.7579999999998</v>
      </c>
      <c r="Q68" s="624">
        <v>4396.7166666700004</v>
      </c>
      <c r="R68" s="624">
        <v>8</v>
      </c>
      <c r="S68" s="290"/>
      <c r="T68" s="290">
        <v>163</v>
      </c>
      <c r="U68" s="958">
        <v>1.0979117929687766E-3</v>
      </c>
      <c r="V68" s="290">
        <v>1162.3277399399999</v>
      </c>
      <c r="W68" s="765">
        <v>1</v>
      </c>
      <c r="X68" s="290">
        <v>0</v>
      </c>
      <c r="Y68" s="290"/>
      <c r="Z68" s="290">
        <f>+innut23!E74</f>
        <v>48303.835814019534</v>
      </c>
      <c r="AA68" s="290">
        <v>0</v>
      </c>
      <c r="AB68" s="290">
        <v>48</v>
      </c>
      <c r="AC68" s="290">
        <v>614</v>
      </c>
      <c r="AD68" s="290"/>
      <c r="AE68" s="290">
        <v>0</v>
      </c>
      <c r="AF68" s="290">
        <v>0</v>
      </c>
      <c r="AG68" s="290">
        <v>1727</v>
      </c>
      <c r="AH68" s="290">
        <v>289</v>
      </c>
      <c r="AI68" s="290"/>
      <c r="AJ68" s="290"/>
      <c r="AK68" s="290">
        <v>0</v>
      </c>
      <c r="AL68" s="290">
        <v>3277</v>
      </c>
      <c r="AM68" s="957">
        <v>2.583792E-2</v>
      </c>
      <c r="AN68" s="290">
        <v>0</v>
      </c>
      <c r="AO68" s="290">
        <v>898.49377614000002</v>
      </c>
      <c r="AP68" s="290">
        <v>0</v>
      </c>
      <c r="AQ68" s="290">
        <v>0</v>
      </c>
      <c r="AR68" s="290">
        <v>2552.7495267999998</v>
      </c>
      <c r="AS68" s="290">
        <v>2726</v>
      </c>
      <c r="AT68" s="290">
        <v>64</v>
      </c>
      <c r="AU68" s="290">
        <v>12</v>
      </c>
      <c r="AV68" s="766">
        <v>74163</v>
      </c>
      <c r="AW68" s="290">
        <v>0</v>
      </c>
      <c r="AX68" s="766">
        <v>4.25</v>
      </c>
      <c r="AY68" s="290">
        <v>415</v>
      </c>
      <c r="AZ68" s="290">
        <v>97</v>
      </c>
      <c r="BA68" s="290">
        <v>18</v>
      </c>
      <c r="BB68" s="290">
        <v>0</v>
      </c>
      <c r="BC68" s="290">
        <v>1211</v>
      </c>
      <c r="BD68" s="290"/>
      <c r="BE68" s="290">
        <v>78045.307763720004</v>
      </c>
      <c r="BF68" s="290">
        <v>0</v>
      </c>
      <c r="BG68" s="290">
        <v>0</v>
      </c>
      <c r="BH68" s="290">
        <v>-287</v>
      </c>
      <c r="BI68" s="290">
        <v>1422</v>
      </c>
      <c r="BJ68" s="290">
        <v>235.6740113512146</v>
      </c>
      <c r="BK68" s="290">
        <v>3</v>
      </c>
      <c r="BL68" s="290"/>
      <c r="BM68" s="290">
        <v>0</v>
      </c>
      <c r="BN68" s="290">
        <v>519</v>
      </c>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f>+innut23!E74+innut23!S74</f>
        <v>48303.835814019534</v>
      </c>
      <c r="CL68" s="290"/>
      <c r="CM68" s="290">
        <v>0</v>
      </c>
      <c r="CN68" s="290">
        <v>0</v>
      </c>
      <c r="CO68" s="290"/>
      <c r="CP68" s="290"/>
      <c r="CQ68" s="290"/>
      <c r="CX68" s="517">
        <f t="shared" si="1"/>
        <v>0</v>
      </c>
      <c r="DB68" s="85">
        <f t="shared" si="2"/>
        <v>0.317</v>
      </c>
    </row>
    <row r="69" spans="1:106" ht="13">
      <c r="A69" s="1">
        <v>1832</v>
      </c>
      <c r="B69" s="2" t="s">
        <v>188</v>
      </c>
      <c r="C69" s="289"/>
      <c r="D69" s="290">
        <v>82</v>
      </c>
      <c r="E69" s="290">
        <v>179</v>
      </c>
      <c r="F69" s="290">
        <v>487</v>
      </c>
      <c r="G69" s="290">
        <v>328</v>
      </c>
      <c r="H69" s="290">
        <v>2369</v>
      </c>
      <c r="I69" s="290">
        <v>675</v>
      </c>
      <c r="J69" s="290">
        <v>248</v>
      </c>
      <c r="K69" s="290">
        <v>69</v>
      </c>
      <c r="L69" s="290">
        <v>34</v>
      </c>
      <c r="M69" s="290">
        <v>490</v>
      </c>
      <c r="N69" s="290">
        <v>40</v>
      </c>
      <c r="O69" s="290">
        <v>15</v>
      </c>
      <c r="P69" s="624">
        <v>66847.227333329996</v>
      </c>
      <c r="Q69" s="624">
        <v>17031.564999999999</v>
      </c>
      <c r="R69" s="624">
        <v>22</v>
      </c>
      <c r="S69" s="290"/>
      <c r="T69" s="290">
        <v>424</v>
      </c>
      <c r="U69" s="958">
        <v>2.033898641111294E-3</v>
      </c>
      <c r="V69" s="290">
        <v>2655.0708389599999</v>
      </c>
      <c r="W69" s="765">
        <v>0.90912097999999997</v>
      </c>
      <c r="X69" s="290">
        <v>0</v>
      </c>
      <c r="Y69" s="290"/>
      <c r="Z69" s="290">
        <f>+innut23!E75</f>
        <v>145191.42151723508</v>
      </c>
      <c r="AA69" s="290">
        <v>0</v>
      </c>
      <c r="AB69" s="290">
        <v>141</v>
      </c>
      <c r="AC69" s="290">
        <v>166</v>
      </c>
      <c r="AD69" s="290"/>
      <c r="AE69" s="290">
        <v>0</v>
      </c>
      <c r="AF69" s="290">
        <v>0</v>
      </c>
      <c r="AG69" s="290">
        <v>4437</v>
      </c>
      <c r="AH69" s="290">
        <v>750</v>
      </c>
      <c r="AI69" s="290"/>
      <c r="AJ69" s="290"/>
      <c r="AK69" s="290">
        <v>0</v>
      </c>
      <c r="AL69" s="290">
        <v>8531</v>
      </c>
      <c r="AM69" s="957">
        <v>2.66413E-2</v>
      </c>
      <c r="AN69" s="290">
        <v>0</v>
      </c>
      <c r="AO69" s="290">
        <v>2314.4539372999998</v>
      </c>
      <c r="AP69" s="290">
        <v>0</v>
      </c>
      <c r="AQ69" s="290">
        <v>0</v>
      </c>
      <c r="AR69" s="290">
        <v>-182.08829367000001</v>
      </c>
      <c r="AS69" s="290">
        <v>7029</v>
      </c>
      <c r="AT69" s="290">
        <v>191</v>
      </c>
      <c r="AU69" s="290">
        <v>25</v>
      </c>
      <c r="AV69" s="766">
        <v>165326</v>
      </c>
      <c r="AW69" s="290">
        <v>0</v>
      </c>
      <c r="AX69" s="766">
        <v>32.666649999999997</v>
      </c>
      <c r="AY69" s="290">
        <v>745</v>
      </c>
      <c r="AZ69" s="290">
        <v>109</v>
      </c>
      <c r="BA69" s="290">
        <v>94</v>
      </c>
      <c r="BB69" s="290">
        <v>0</v>
      </c>
      <c r="BC69" s="290">
        <v>3343</v>
      </c>
      <c r="BD69" s="290"/>
      <c r="BE69" s="290">
        <v>184922.46831828999</v>
      </c>
      <c r="BF69" s="290">
        <v>0</v>
      </c>
      <c r="BG69" s="290">
        <v>0</v>
      </c>
      <c r="BH69" s="290">
        <v>-743</v>
      </c>
      <c r="BI69" s="290">
        <v>3509</v>
      </c>
      <c r="BJ69" s="290">
        <v>576.39922964203606</v>
      </c>
      <c r="BK69" s="290">
        <v>6</v>
      </c>
      <c r="BL69" s="290"/>
      <c r="BM69" s="290">
        <v>0</v>
      </c>
      <c r="BN69" s="290">
        <v>2593</v>
      </c>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f>+innut23!E75+innut23!S75</f>
        <v>145191.42151723508</v>
      </c>
      <c r="CL69" s="290"/>
      <c r="CM69" s="290">
        <v>0</v>
      </c>
      <c r="CN69" s="290">
        <v>0</v>
      </c>
      <c r="CO69" s="290"/>
      <c r="CP69" s="290"/>
      <c r="CQ69" s="290"/>
      <c r="CX69" s="517">
        <f t="shared" ref="CX69:CX132" si="3">(BV69)*1.029</f>
        <v>0</v>
      </c>
      <c r="DB69" s="85">
        <f t="shared" ref="DB69:DB132" si="4">ROUND(1000*AG69/AG$361,3)</f>
        <v>0.81299999999999994</v>
      </c>
    </row>
    <row r="70" spans="1:106" ht="13">
      <c r="A70" s="1">
        <v>1833</v>
      </c>
      <c r="B70" s="2" t="s">
        <v>189</v>
      </c>
      <c r="C70" s="289"/>
      <c r="D70" s="290">
        <v>485</v>
      </c>
      <c r="E70" s="290">
        <v>955</v>
      </c>
      <c r="F70" s="290">
        <v>2958</v>
      </c>
      <c r="G70" s="290">
        <v>2112</v>
      </c>
      <c r="H70" s="290">
        <v>14738</v>
      </c>
      <c r="I70" s="290">
        <v>3444</v>
      </c>
      <c r="J70" s="290">
        <v>1125</v>
      </c>
      <c r="K70" s="290">
        <v>298</v>
      </c>
      <c r="L70" s="290">
        <v>199</v>
      </c>
      <c r="M70" s="290">
        <v>2179</v>
      </c>
      <c r="N70" s="290">
        <v>432</v>
      </c>
      <c r="O70" s="290">
        <v>171</v>
      </c>
      <c r="P70" s="624">
        <v>113699.55633332999</v>
      </c>
      <c r="Q70" s="624">
        <v>46562.758999999998</v>
      </c>
      <c r="R70" s="624">
        <v>120</v>
      </c>
      <c r="S70" s="290"/>
      <c r="T70" s="290">
        <v>2344</v>
      </c>
      <c r="U70" s="958">
        <v>3.732855882267354E-3</v>
      </c>
      <c r="V70" s="290">
        <v>8739.3736172699992</v>
      </c>
      <c r="W70" s="765">
        <v>0.59251332999999995</v>
      </c>
      <c r="X70" s="290">
        <v>0</v>
      </c>
      <c r="Y70" s="290"/>
      <c r="Z70" s="290">
        <f>+innut23!E76</f>
        <v>816758.71950292483</v>
      </c>
      <c r="AA70" s="290">
        <v>0</v>
      </c>
      <c r="AB70" s="290">
        <v>698</v>
      </c>
      <c r="AC70" s="290">
        <v>4567</v>
      </c>
      <c r="AD70" s="290"/>
      <c r="AE70" s="290">
        <v>0</v>
      </c>
      <c r="AF70" s="290">
        <v>0</v>
      </c>
      <c r="AG70" s="290">
        <v>26115</v>
      </c>
      <c r="AH70" s="290">
        <v>4484</v>
      </c>
      <c r="AI70" s="290"/>
      <c r="AJ70" s="290"/>
      <c r="AK70" s="290">
        <v>0</v>
      </c>
      <c r="AL70" s="290">
        <v>50358</v>
      </c>
      <c r="AM70" s="957">
        <v>0.31096151</v>
      </c>
      <c r="AN70" s="290">
        <v>0</v>
      </c>
      <c r="AO70" s="290">
        <v>11647.266904800001</v>
      </c>
      <c r="AP70" s="290">
        <v>0</v>
      </c>
      <c r="AQ70" s="290">
        <v>0</v>
      </c>
      <c r="AR70" s="290">
        <v>-1071.7231889</v>
      </c>
      <c r="AS70" s="290">
        <v>41385</v>
      </c>
      <c r="AT70" s="290">
        <v>1191</v>
      </c>
      <c r="AU70" s="290">
        <v>237</v>
      </c>
      <c r="AV70" s="766">
        <v>693304</v>
      </c>
      <c r="AW70" s="290">
        <v>0</v>
      </c>
      <c r="AX70" s="766">
        <v>198.91669999999999</v>
      </c>
      <c r="AY70" s="290">
        <v>5858</v>
      </c>
      <c r="AZ70" s="290">
        <v>750</v>
      </c>
      <c r="BA70" s="290">
        <v>495</v>
      </c>
      <c r="BB70" s="290">
        <v>0</v>
      </c>
      <c r="BC70" s="290">
        <v>12601</v>
      </c>
      <c r="BD70" s="290"/>
      <c r="BE70" s="290">
        <v>798294.50820806995</v>
      </c>
      <c r="BF70" s="290">
        <v>0</v>
      </c>
      <c r="BG70" s="290">
        <v>0</v>
      </c>
      <c r="BH70" s="290">
        <v>-4408</v>
      </c>
      <c r="BI70" s="290">
        <v>14236</v>
      </c>
      <c r="BJ70" s="290">
        <v>3143.1774500730721</v>
      </c>
      <c r="BK70" s="290">
        <v>39</v>
      </c>
      <c r="BL70" s="290"/>
      <c r="BM70" s="290">
        <v>0</v>
      </c>
      <c r="BN70" s="290">
        <v>5185</v>
      </c>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f>+innut23!E76+innut23!S76</f>
        <v>816758.71950292483</v>
      </c>
      <c r="CL70" s="290"/>
      <c r="CM70" s="290">
        <v>0</v>
      </c>
      <c r="CN70" s="290">
        <v>0</v>
      </c>
      <c r="CO70" s="290"/>
      <c r="CP70" s="290"/>
      <c r="CQ70" s="290"/>
      <c r="CX70" s="517">
        <f t="shared" si="3"/>
        <v>0</v>
      </c>
      <c r="DB70" s="85">
        <f t="shared" si="4"/>
        <v>4.7869999999999999</v>
      </c>
    </row>
    <row r="71" spans="1:106" ht="13">
      <c r="A71" s="1">
        <v>1834</v>
      </c>
      <c r="B71" s="2" t="s">
        <v>190</v>
      </c>
      <c r="C71" s="289"/>
      <c r="D71" s="290">
        <v>24</v>
      </c>
      <c r="E71" s="290">
        <v>72</v>
      </c>
      <c r="F71" s="290">
        <v>210</v>
      </c>
      <c r="G71" s="290">
        <v>125</v>
      </c>
      <c r="H71" s="290">
        <v>992</v>
      </c>
      <c r="I71" s="290">
        <v>301</v>
      </c>
      <c r="J71" s="290">
        <v>126</v>
      </c>
      <c r="K71" s="290">
        <v>20</v>
      </c>
      <c r="L71" s="290">
        <v>15</v>
      </c>
      <c r="M71" s="290">
        <v>215</v>
      </c>
      <c r="N71" s="290">
        <v>7</v>
      </c>
      <c r="O71" s="290">
        <v>3</v>
      </c>
      <c r="P71" s="624">
        <v>166934.61166667001</v>
      </c>
      <c r="Q71" s="624">
        <v>65189.58633333</v>
      </c>
      <c r="R71" s="624">
        <v>13</v>
      </c>
      <c r="S71" s="290"/>
      <c r="T71" s="290">
        <v>171</v>
      </c>
      <c r="U71" s="958">
        <v>1.1332216347603149E-3</v>
      </c>
      <c r="V71" s="290">
        <v>1789.8353385600001</v>
      </c>
      <c r="W71" s="765">
        <v>1</v>
      </c>
      <c r="X71" s="290">
        <v>0</v>
      </c>
      <c r="Y71" s="290"/>
      <c r="Z71" s="290">
        <f>+innut23!E77</f>
        <v>93095.050190377195</v>
      </c>
      <c r="AA71" s="290">
        <v>0</v>
      </c>
      <c r="AB71" s="290">
        <v>46</v>
      </c>
      <c r="AC71" s="290">
        <v>48</v>
      </c>
      <c r="AD71" s="290"/>
      <c r="AE71" s="290">
        <v>0</v>
      </c>
      <c r="AF71" s="290">
        <v>0</v>
      </c>
      <c r="AG71" s="290">
        <v>1870</v>
      </c>
      <c r="AH71" s="290">
        <v>298</v>
      </c>
      <c r="AI71" s="290"/>
      <c r="AJ71" s="290"/>
      <c r="AK71" s="290">
        <v>0</v>
      </c>
      <c r="AL71" s="290">
        <v>3607</v>
      </c>
      <c r="AM71" s="957">
        <v>1.12205E-2</v>
      </c>
      <c r="AN71" s="290">
        <v>0</v>
      </c>
      <c r="AO71" s="290">
        <v>1383.5649419399999</v>
      </c>
      <c r="AP71" s="290">
        <v>0</v>
      </c>
      <c r="AQ71" s="290">
        <v>0</v>
      </c>
      <c r="AR71" s="290">
        <v>-76.742192729999999</v>
      </c>
      <c r="AS71" s="290">
        <v>4886</v>
      </c>
      <c r="AT71" s="290">
        <v>67</v>
      </c>
      <c r="AU71" s="290">
        <v>13</v>
      </c>
      <c r="AV71" s="766">
        <v>127514</v>
      </c>
      <c r="AW71" s="290">
        <v>0</v>
      </c>
      <c r="AX71" s="766">
        <v>10.833349999999999</v>
      </c>
      <c r="AY71" s="290">
        <v>321</v>
      </c>
      <c r="AZ71" s="290">
        <v>45</v>
      </c>
      <c r="BA71" s="290">
        <v>27</v>
      </c>
      <c r="BB71" s="290">
        <v>0</v>
      </c>
      <c r="BC71" s="290">
        <v>3329</v>
      </c>
      <c r="BD71" s="290"/>
      <c r="BE71" s="290">
        <v>137828.2442245</v>
      </c>
      <c r="BF71" s="290">
        <v>0</v>
      </c>
      <c r="BG71" s="290">
        <v>0</v>
      </c>
      <c r="BH71" s="290">
        <v>-316</v>
      </c>
      <c r="BI71" s="290">
        <v>3457</v>
      </c>
      <c r="BJ71" s="290">
        <v>417.15647951886831</v>
      </c>
      <c r="BK71" s="290">
        <v>2</v>
      </c>
      <c r="BL71" s="290"/>
      <c r="BM71" s="290">
        <v>0</v>
      </c>
      <c r="BN71" s="290">
        <v>3111</v>
      </c>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f>+innut23!E77+innut23!S77</f>
        <v>93095.050190377195</v>
      </c>
      <c r="CL71" s="290"/>
      <c r="CM71" s="290">
        <v>0</v>
      </c>
      <c r="CN71" s="290">
        <v>0</v>
      </c>
      <c r="CO71" s="290"/>
      <c r="CP71" s="290"/>
      <c r="CQ71" s="290"/>
      <c r="CX71" s="517">
        <f t="shared" si="3"/>
        <v>0</v>
      </c>
      <c r="DB71" s="85">
        <f t="shared" si="4"/>
        <v>0.34300000000000003</v>
      </c>
    </row>
    <row r="72" spans="1:106" ht="13">
      <c r="A72" s="1">
        <v>1835</v>
      </c>
      <c r="B72" s="2" t="s">
        <v>191</v>
      </c>
      <c r="C72" s="289"/>
      <c r="D72" s="290">
        <v>11</v>
      </c>
      <c r="E72" s="290">
        <v>10</v>
      </c>
      <c r="F72" s="290">
        <v>42</v>
      </c>
      <c r="G72" s="290">
        <v>38</v>
      </c>
      <c r="H72" s="290">
        <v>284</v>
      </c>
      <c r="I72" s="290">
        <v>51</v>
      </c>
      <c r="J72" s="290">
        <v>14</v>
      </c>
      <c r="K72" s="290">
        <v>3</v>
      </c>
      <c r="L72" s="290">
        <v>4</v>
      </c>
      <c r="M72" s="290">
        <v>34</v>
      </c>
      <c r="N72" s="290">
        <v>0</v>
      </c>
      <c r="O72" s="290">
        <v>6</v>
      </c>
      <c r="P72" s="624">
        <v>1916.68</v>
      </c>
      <c r="Q72" s="624">
        <v>6639.8936666700001</v>
      </c>
      <c r="R72" s="624">
        <v>2</v>
      </c>
      <c r="S72" s="290"/>
      <c r="T72" s="290">
        <v>44</v>
      </c>
      <c r="U72" s="958">
        <v>4.3721110740266035E-5</v>
      </c>
      <c r="V72" s="290">
        <v>432.25661423999998</v>
      </c>
      <c r="W72" s="765">
        <v>1</v>
      </c>
      <c r="X72" s="290">
        <v>0</v>
      </c>
      <c r="Y72" s="290"/>
      <c r="Z72" s="290">
        <f>+innut23!E78</f>
        <v>16811.425625005355</v>
      </c>
      <c r="AA72" s="290">
        <v>0</v>
      </c>
      <c r="AB72" s="290">
        <v>9</v>
      </c>
      <c r="AC72" s="290">
        <v>364</v>
      </c>
      <c r="AD72" s="290"/>
      <c r="AE72" s="290">
        <v>0</v>
      </c>
      <c r="AF72" s="290">
        <v>0</v>
      </c>
      <c r="AG72" s="290">
        <v>453</v>
      </c>
      <c r="AH72" s="290">
        <v>100</v>
      </c>
      <c r="AI72" s="290"/>
      <c r="AJ72" s="290"/>
      <c r="AK72" s="290">
        <v>0</v>
      </c>
      <c r="AL72" s="290">
        <v>869</v>
      </c>
      <c r="AM72" s="957">
        <v>8.2962999999999995E-3</v>
      </c>
      <c r="AN72" s="290">
        <v>0</v>
      </c>
      <c r="AO72" s="290">
        <v>334.13973034000003</v>
      </c>
      <c r="AP72" s="290">
        <v>0</v>
      </c>
      <c r="AQ72" s="290">
        <v>0</v>
      </c>
      <c r="AR72" s="290">
        <v>-18.590488400000002</v>
      </c>
      <c r="AS72" s="290">
        <v>683</v>
      </c>
      <c r="AT72" s="290">
        <v>21</v>
      </c>
      <c r="AU72" s="290">
        <v>5</v>
      </c>
      <c r="AV72" s="766">
        <v>36503</v>
      </c>
      <c r="AW72" s="290">
        <v>0</v>
      </c>
      <c r="AX72" s="766">
        <v>6.9999500000000001</v>
      </c>
      <c r="AY72" s="290">
        <v>70</v>
      </c>
      <c r="AZ72" s="290">
        <v>16</v>
      </c>
      <c r="BA72" s="290">
        <v>13</v>
      </c>
      <c r="BB72" s="290">
        <v>0</v>
      </c>
      <c r="BC72" s="290">
        <v>857</v>
      </c>
      <c r="BD72" s="290"/>
      <c r="BE72" s="290">
        <v>39641.289259960002</v>
      </c>
      <c r="BF72" s="290">
        <v>0</v>
      </c>
      <c r="BG72" s="290">
        <v>0</v>
      </c>
      <c r="BH72" s="290">
        <v>-77</v>
      </c>
      <c r="BI72" s="290">
        <v>983</v>
      </c>
      <c r="BJ72" s="290">
        <v>84.105362207587746</v>
      </c>
      <c r="BK72" s="290">
        <v>1</v>
      </c>
      <c r="BL72" s="290"/>
      <c r="BM72" s="290">
        <v>0</v>
      </c>
      <c r="BN72" s="290">
        <v>519</v>
      </c>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f>+innut23!E78+innut23!S78</f>
        <v>16811.425625005355</v>
      </c>
      <c r="CL72" s="290"/>
      <c r="CM72" s="290">
        <v>0</v>
      </c>
      <c r="CN72" s="290">
        <v>0</v>
      </c>
      <c r="CO72" s="290"/>
      <c r="CP72" s="290"/>
      <c r="CQ72" s="290"/>
      <c r="CX72" s="517">
        <f t="shared" si="3"/>
        <v>0</v>
      </c>
      <c r="DB72" s="85">
        <f t="shared" si="4"/>
        <v>8.3000000000000004E-2</v>
      </c>
    </row>
    <row r="73" spans="1:106" ht="13">
      <c r="A73" s="1">
        <v>1836</v>
      </c>
      <c r="B73" s="2" t="s">
        <v>192</v>
      </c>
      <c r="C73" s="289"/>
      <c r="D73" s="290">
        <v>14</v>
      </c>
      <c r="E73" s="290">
        <v>42</v>
      </c>
      <c r="F73" s="290">
        <v>135</v>
      </c>
      <c r="G73" s="290">
        <v>116</v>
      </c>
      <c r="H73" s="290">
        <v>571</v>
      </c>
      <c r="I73" s="290">
        <v>190</v>
      </c>
      <c r="J73" s="290">
        <v>55</v>
      </c>
      <c r="K73" s="290">
        <v>13</v>
      </c>
      <c r="L73" s="290">
        <v>9</v>
      </c>
      <c r="M73" s="290">
        <v>122</v>
      </c>
      <c r="N73" s="290">
        <v>1.5</v>
      </c>
      <c r="O73" s="290">
        <v>4</v>
      </c>
      <c r="P73" s="624">
        <v>55204.826999999997</v>
      </c>
      <c r="Q73" s="624">
        <v>20485.149000000001</v>
      </c>
      <c r="R73" s="624">
        <v>0</v>
      </c>
      <c r="S73" s="290"/>
      <c r="T73" s="290">
        <v>91</v>
      </c>
      <c r="U73" s="958">
        <v>1.3325898364740189E-3</v>
      </c>
      <c r="V73" s="290">
        <v>953.57603343999995</v>
      </c>
      <c r="W73" s="765">
        <v>1</v>
      </c>
      <c r="X73" s="290">
        <v>0</v>
      </c>
      <c r="Y73" s="290"/>
      <c r="Z73" s="290">
        <f>+innut23!E79</f>
        <v>33167.938435068827</v>
      </c>
      <c r="AA73" s="290">
        <v>0</v>
      </c>
      <c r="AB73" s="290">
        <v>20</v>
      </c>
      <c r="AC73" s="290">
        <v>0</v>
      </c>
      <c r="AD73" s="290"/>
      <c r="AE73" s="290">
        <v>0</v>
      </c>
      <c r="AF73" s="290">
        <v>0</v>
      </c>
      <c r="AG73" s="290">
        <v>1136</v>
      </c>
      <c r="AH73" s="290">
        <v>206</v>
      </c>
      <c r="AI73" s="290"/>
      <c r="AJ73" s="290"/>
      <c r="AK73" s="290">
        <v>356</v>
      </c>
      <c r="AL73" s="290">
        <v>2225</v>
      </c>
      <c r="AM73" s="957">
        <v>5.9214300000000001E-3</v>
      </c>
      <c r="AN73" s="290">
        <v>0</v>
      </c>
      <c r="AO73" s="290">
        <v>737.12611485000002</v>
      </c>
      <c r="AP73" s="290">
        <v>0</v>
      </c>
      <c r="AQ73" s="290">
        <v>0</v>
      </c>
      <c r="AR73" s="290">
        <v>4427.7328687400004</v>
      </c>
      <c r="AS73" s="290">
        <v>1928</v>
      </c>
      <c r="AT73" s="290">
        <v>32</v>
      </c>
      <c r="AU73" s="290">
        <v>6</v>
      </c>
      <c r="AV73" s="766">
        <v>76928</v>
      </c>
      <c r="AW73" s="290">
        <v>0</v>
      </c>
      <c r="AX73" s="766">
        <v>3.3333499999999998</v>
      </c>
      <c r="AY73" s="290">
        <v>160</v>
      </c>
      <c r="AZ73" s="290">
        <v>41</v>
      </c>
      <c r="BA73" s="290">
        <v>22</v>
      </c>
      <c r="BB73" s="290">
        <v>0</v>
      </c>
      <c r="BC73" s="290">
        <v>3576</v>
      </c>
      <c r="BD73" s="290"/>
      <c r="BE73" s="290">
        <v>76963.140294369994</v>
      </c>
      <c r="BF73" s="290">
        <v>0</v>
      </c>
      <c r="BG73" s="290">
        <v>0</v>
      </c>
      <c r="BH73" s="290">
        <v>-198</v>
      </c>
      <c r="BI73" s="290">
        <v>3673</v>
      </c>
      <c r="BJ73" s="290">
        <v>223.34382945461385</v>
      </c>
      <c r="BK73" s="290">
        <v>1</v>
      </c>
      <c r="BL73" s="290"/>
      <c r="BM73" s="290">
        <v>0</v>
      </c>
      <c r="BN73" s="290">
        <v>3111</v>
      </c>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f>+innut23!E79+innut23!S79</f>
        <v>33167.938435068827</v>
      </c>
      <c r="CL73" s="290"/>
      <c r="CM73" s="290">
        <v>345.9403513222486</v>
      </c>
      <c r="CN73" s="290">
        <v>334.41417925580163</v>
      </c>
      <c r="CO73" s="290"/>
      <c r="CP73" s="290"/>
      <c r="CQ73" s="290"/>
      <c r="CX73" s="517">
        <f t="shared" si="3"/>
        <v>0</v>
      </c>
      <c r="DB73" s="85">
        <f t="shared" si="4"/>
        <v>0.20799999999999999</v>
      </c>
    </row>
    <row r="74" spans="1:106" ht="13">
      <c r="A74" s="1">
        <v>1837</v>
      </c>
      <c r="B74" s="2" t="s">
        <v>193</v>
      </c>
      <c r="C74" s="289"/>
      <c r="D74" s="290">
        <v>91</v>
      </c>
      <c r="E74" s="290">
        <v>235</v>
      </c>
      <c r="F74" s="290">
        <v>762</v>
      </c>
      <c r="G74" s="290">
        <v>514</v>
      </c>
      <c r="H74" s="290">
        <v>3330</v>
      </c>
      <c r="I74" s="290">
        <v>898</v>
      </c>
      <c r="J74" s="290">
        <v>298</v>
      </c>
      <c r="K74" s="290">
        <v>83</v>
      </c>
      <c r="L74" s="290">
        <v>46</v>
      </c>
      <c r="M74" s="290">
        <v>588</v>
      </c>
      <c r="N74" s="290">
        <v>87</v>
      </c>
      <c r="O74" s="290">
        <v>73</v>
      </c>
      <c r="P74" s="624">
        <v>93305.255000000005</v>
      </c>
      <c r="Q74" s="624">
        <v>29696.61366667</v>
      </c>
      <c r="R74" s="624">
        <v>34</v>
      </c>
      <c r="S74" s="290"/>
      <c r="T74" s="290">
        <v>523</v>
      </c>
      <c r="U74" s="958">
        <v>2.0291896607506463E-3</v>
      </c>
      <c r="V74" s="290">
        <v>-4679.63691629</v>
      </c>
      <c r="W74" s="765">
        <v>0.94735203999999995</v>
      </c>
      <c r="X74" s="290">
        <v>0</v>
      </c>
      <c r="Y74" s="290"/>
      <c r="Z74" s="290">
        <f>+innut23!E80</f>
        <v>204031.09211382162</v>
      </c>
      <c r="AA74" s="290">
        <v>0</v>
      </c>
      <c r="AB74" s="290">
        <v>177</v>
      </c>
      <c r="AC74" s="290">
        <v>179</v>
      </c>
      <c r="AD74" s="290"/>
      <c r="AE74" s="290">
        <v>0</v>
      </c>
      <c r="AF74" s="290">
        <v>0</v>
      </c>
      <c r="AG74" s="290">
        <v>6211</v>
      </c>
      <c r="AH74" s="290">
        <v>1109</v>
      </c>
      <c r="AI74" s="290"/>
      <c r="AJ74" s="290"/>
      <c r="AK74" s="290">
        <v>2852</v>
      </c>
      <c r="AL74" s="290">
        <v>11993</v>
      </c>
      <c r="AM74" s="957">
        <v>7.7487539999999994E-2</v>
      </c>
      <c r="AN74" s="290">
        <v>0</v>
      </c>
      <c r="AO74" s="290">
        <v>3195.91400204</v>
      </c>
      <c r="AP74" s="290">
        <v>0</v>
      </c>
      <c r="AQ74" s="290">
        <v>0</v>
      </c>
      <c r="AR74" s="290">
        <v>3807.8130401399999</v>
      </c>
      <c r="AS74" s="290">
        <v>9866</v>
      </c>
      <c r="AT74" s="290">
        <v>281</v>
      </c>
      <c r="AU74" s="290">
        <v>44</v>
      </c>
      <c r="AV74" s="766">
        <v>228750</v>
      </c>
      <c r="AW74" s="290">
        <v>0</v>
      </c>
      <c r="AX74" s="766">
        <v>40.333300000000001</v>
      </c>
      <c r="AY74" s="290">
        <v>1005</v>
      </c>
      <c r="AZ74" s="290">
        <v>242</v>
      </c>
      <c r="BA74" s="290">
        <v>148</v>
      </c>
      <c r="BB74" s="290">
        <v>0</v>
      </c>
      <c r="BC74" s="290">
        <v>7893</v>
      </c>
      <c r="BD74" s="290"/>
      <c r="BE74" s="290">
        <v>247732.36673362</v>
      </c>
      <c r="BF74" s="290">
        <v>0</v>
      </c>
      <c r="BG74" s="290">
        <v>0</v>
      </c>
      <c r="BH74" s="290">
        <v>-1048</v>
      </c>
      <c r="BI74" s="290">
        <v>8288</v>
      </c>
      <c r="BJ74" s="290">
        <v>904.17718504581808</v>
      </c>
      <c r="BK74" s="290">
        <v>9</v>
      </c>
      <c r="BL74" s="290"/>
      <c r="BM74" s="290">
        <v>0</v>
      </c>
      <c r="BN74" s="290">
        <v>4148</v>
      </c>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f>+innut23!E80+innut23!S80</f>
        <v>204031.09211382162</v>
      </c>
      <c r="CL74" s="290"/>
      <c r="CM74" s="290">
        <v>3011.1489210187056</v>
      </c>
      <c r="CN74" s="290">
        <v>3159.2131143256438</v>
      </c>
      <c r="CO74" s="290"/>
      <c r="CP74" s="290"/>
      <c r="CQ74" s="290"/>
      <c r="CX74" s="517">
        <f t="shared" si="3"/>
        <v>0</v>
      </c>
      <c r="DB74" s="85">
        <f t="shared" si="4"/>
        <v>1.1379999999999999</v>
      </c>
    </row>
    <row r="75" spans="1:106" ht="13">
      <c r="A75" s="1">
        <v>1838</v>
      </c>
      <c r="B75" s="2" t="s">
        <v>194</v>
      </c>
      <c r="C75" s="289"/>
      <c r="D75" s="290">
        <v>28</v>
      </c>
      <c r="E75" s="290">
        <v>43</v>
      </c>
      <c r="F75" s="290">
        <v>201</v>
      </c>
      <c r="G75" s="290">
        <v>120</v>
      </c>
      <c r="H75" s="290">
        <v>987</v>
      </c>
      <c r="I75" s="290">
        <v>363</v>
      </c>
      <c r="J75" s="290">
        <v>106</v>
      </c>
      <c r="K75" s="290">
        <v>23</v>
      </c>
      <c r="L75" s="290">
        <v>17</v>
      </c>
      <c r="M75" s="290">
        <v>243</v>
      </c>
      <c r="N75" s="290">
        <v>49</v>
      </c>
      <c r="O75" s="290">
        <v>24</v>
      </c>
      <c r="P75" s="624">
        <v>35178.693333329997</v>
      </c>
      <c r="Q75" s="624">
        <v>5944.6453333299996</v>
      </c>
      <c r="R75" s="624">
        <v>10</v>
      </c>
      <c r="S75" s="290"/>
      <c r="T75" s="290">
        <v>201</v>
      </c>
      <c r="U75" s="958">
        <v>1.334414139072289E-3</v>
      </c>
      <c r="V75" s="290">
        <v>918.35745433</v>
      </c>
      <c r="W75" s="765">
        <v>1</v>
      </c>
      <c r="X75" s="290">
        <v>0</v>
      </c>
      <c r="Y75" s="290"/>
      <c r="Z75" s="290">
        <f>+innut23!E81</f>
        <v>60430.718384119144</v>
      </c>
      <c r="AA75" s="290">
        <v>0</v>
      </c>
      <c r="AB75" s="290">
        <v>57</v>
      </c>
      <c r="AC75" s="290">
        <v>947</v>
      </c>
      <c r="AD75" s="290"/>
      <c r="AE75" s="290">
        <v>0</v>
      </c>
      <c r="AF75" s="290">
        <v>0</v>
      </c>
      <c r="AG75" s="290">
        <v>1871</v>
      </c>
      <c r="AH75" s="290">
        <v>270</v>
      </c>
      <c r="AI75" s="290"/>
      <c r="AJ75" s="290"/>
      <c r="AK75" s="290">
        <v>364</v>
      </c>
      <c r="AL75" s="290">
        <v>3655</v>
      </c>
      <c r="AM75" s="957">
        <v>3.1340010000000001E-2</v>
      </c>
      <c r="AN75" s="290">
        <v>0</v>
      </c>
      <c r="AO75" s="290">
        <v>1059.3033285700001</v>
      </c>
      <c r="AP75" s="290">
        <v>0</v>
      </c>
      <c r="AQ75" s="290">
        <v>0</v>
      </c>
      <c r="AR75" s="290">
        <v>2744.5765699399999</v>
      </c>
      <c r="AS75" s="290">
        <v>2974</v>
      </c>
      <c r="AT75" s="290">
        <v>104</v>
      </c>
      <c r="AU75" s="290">
        <v>23</v>
      </c>
      <c r="AV75" s="766">
        <v>93551</v>
      </c>
      <c r="AW75" s="290">
        <v>0</v>
      </c>
      <c r="AX75" s="766">
        <v>13.083349999999999</v>
      </c>
      <c r="AY75" s="290">
        <v>382</v>
      </c>
      <c r="AZ75" s="290">
        <v>47</v>
      </c>
      <c r="BA75" s="290">
        <v>43</v>
      </c>
      <c r="BB75" s="290">
        <v>0</v>
      </c>
      <c r="BC75" s="290">
        <v>3348</v>
      </c>
      <c r="BD75" s="290"/>
      <c r="BE75" s="290">
        <v>97953.97651855</v>
      </c>
      <c r="BF75" s="290">
        <v>0</v>
      </c>
      <c r="BG75" s="290">
        <v>0</v>
      </c>
      <c r="BH75" s="290">
        <v>-320</v>
      </c>
      <c r="BI75" s="290">
        <v>3655</v>
      </c>
      <c r="BJ75" s="290">
        <v>267.02871462297315</v>
      </c>
      <c r="BK75" s="290">
        <v>3</v>
      </c>
      <c r="BL75" s="290"/>
      <c r="BM75" s="290">
        <v>0</v>
      </c>
      <c r="BN75" s="290">
        <v>2074</v>
      </c>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f>+innut23!E81+innut23!S81</f>
        <v>60430.718384119144</v>
      </c>
      <c r="CL75" s="290"/>
      <c r="CM75" s="290">
        <v>309.10986665218729</v>
      </c>
      <c r="CN75" s="290">
        <v>250.09201392135878</v>
      </c>
      <c r="CO75" s="290"/>
      <c r="CP75" s="290"/>
      <c r="CQ75" s="290"/>
      <c r="CX75" s="517">
        <f t="shared" si="3"/>
        <v>0</v>
      </c>
      <c r="DB75" s="85">
        <f t="shared" si="4"/>
        <v>0.34300000000000003</v>
      </c>
    </row>
    <row r="76" spans="1:106" ht="13">
      <c r="A76" s="1">
        <v>1839</v>
      </c>
      <c r="B76" s="2" t="s">
        <v>195</v>
      </c>
      <c r="C76" s="289"/>
      <c r="D76" s="290">
        <v>21</v>
      </c>
      <c r="E76" s="290">
        <v>33</v>
      </c>
      <c r="F76" s="290">
        <v>79</v>
      </c>
      <c r="G76" s="290">
        <v>60</v>
      </c>
      <c r="H76" s="290">
        <v>505</v>
      </c>
      <c r="I76" s="290">
        <v>205</v>
      </c>
      <c r="J76" s="290">
        <v>81</v>
      </c>
      <c r="K76" s="290">
        <v>18</v>
      </c>
      <c r="L76" s="290">
        <v>7</v>
      </c>
      <c r="M76" s="290">
        <v>132</v>
      </c>
      <c r="N76" s="290">
        <v>16</v>
      </c>
      <c r="O76" s="290">
        <v>10</v>
      </c>
      <c r="P76" s="624">
        <v>11502.73666667</v>
      </c>
      <c r="Q76" s="624">
        <v>5265.1753333300003</v>
      </c>
      <c r="R76" s="624">
        <v>7</v>
      </c>
      <c r="S76" s="290"/>
      <c r="T76" s="290">
        <v>90</v>
      </c>
      <c r="U76" s="958">
        <v>1.2381207860861043E-3</v>
      </c>
      <c r="V76" s="290">
        <v>844.10658806000004</v>
      </c>
      <c r="W76" s="765">
        <v>1</v>
      </c>
      <c r="X76" s="290">
        <v>0</v>
      </c>
      <c r="Y76" s="290"/>
      <c r="Z76" s="290">
        <f>+innut23!E82</f>
        <v>30925.755519239214</v>
      </c>
      <c r="AA76" s="290">
        <v>0</v>
      </c>
      <c r="AB76" s="290">
        <v>33</v>
      </c>
      <c r="AC76" s="290">
        <v>392</v>
      </c>
      <c r="AD76" s="290"/>
      <c r="AE76" s="290">
        <v>0</v>
      </c>
      <c r="AF76" s="290">
        <v>0</v>
      </c>
      <c r="AG76" s="290">
        <v>1002</v>
      </c>
      <c r="AH76" s="290">
        <v>133</v>
      </c>
      <c r="AI76" s="290"/>
      <c r="AJ76" s="290"/>
      <c r="AK76" s="290">
        <v>0</v>
      </c>
      <c r="AL76" s="290">
        <v>1953</v>
      </c>
      <c r="AM76" s="957">
        <v>1.406052E-2</v>
      </c>
      <c r="AN76" s="290">
        <v>0</v>
      </c>
      <c r="AO76" s="290">
        <v>652.50487424000005</v>
      </c>
      <c r="AP76" s="290">
        <v>0</v>
      </c>
      <c r="AQ76" s="290">
        <v>0</v>
      </c>
      <c r="AR76" s="290">
        <v>-41.120682950000003</v>
      </c>
      <c r="AS76" s="290">
        <v>1573</v>
      </c>
      <c r="AT76" s="290">
        <v>40</v>
      </c>
      <c r="AU76" s="290">
        <v>9</v>
      </c>
      <c r="AV76" s="766">
        <v>58880</v>
      </c>
      <c r="AW76" s="290">
        <v>0</v>
      </c>
      <c r="AX76" s="766">
        <v>11.49995</v>
      </c>
      <c r="AY76" s="290">
        <v>133</v>
      </c>
      <c r="AZ76" s="290">
        <v>40</v>
      </c>
      <c r="BA76" s="290">
        <v>10</v>
      </c>
      <c r="BB76" s="290">
        <v>0</v>
      </c>
      <c r="BC76" s="290">
        <v>903</v>
      </c>
      <c r="BD76" s="290"/>
      <c r="BE76" s="290">
        <v>66747.053745290003</v>
      </c>
      <c r="BF76" s="290">
        <v>0</v>
      </c>
      <c r="BG76" s="290">
        <v>0</v>
      </c>
      <c r="BH76" s="290">
        <v>-169</v>
      </c>
      <c r="BI76" s="290">
        <v>1044</v>
      </c>
      <c r="BJ76" s="290">
        <v>126.13055819976988</v>
      </c>
      <c r="BK76" s="290">
        <v>1</v>
      </c>
      <c r="BL76" s="290"/>
      <c r="BM76" s="290">
        <v>0</v>
      </c>
      <c r="BN76" s="290">
        <v>519</v>
      </c>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f>+innut23!E82+innut23!S82</f>
        <v>30925.755519239214</v>
      </c>
      <c r="CL76" s="290"/>
      <c r="CM76" s="290">
        <v>0</v>
      </c>
      <c r="CN76" s="290">
        <v>0</v>
      </c>
      <c r="CO76" s="290"/>
      <c r="CP76" s="290"/>
      <c r="CQ76" s="290"/>
      <c r="CX76" s="517">
        <f t="shared" si="3"/>
        <v>0</v>
      </c>
      <c r="DB76" s="85">
        <f t="shared" si="4"/>
        <v>0.184</v>
      </c>
    </row>
    <row r="77" spans="1:106" ht="13">
      <c r="A77" s="1">
        <v>1840</v>
      </c>
      <c r="B77" s="2" t="s">
        <v>196</v>
      </c>
      <c r="C77" s="289"/>
      <c r="D77" s="290">
        <v>65</v>
      </c>
      <c r="E77" s="290">
        <v>195</v>
      </c>
      <c r="F77" s="290">
        <v>526</v>
      </c>
      <c r="G77" s="290">
        <v>349</v>
      </c>
      <c r="H77" s="290">
        <v>2450</v>
      </c>
      <c r="I77" s="290">
        <v>783</v>
      </c>
      <c r="J77" s="290">
        <v>228</v>
      </c>
      <c r="K77" s="290">
        <v>47</v>
      </c>
      <c r="L77" s="290">
        <v>39</v>
      </c>
      <c r="M77" s="290">
        <v>455</v>
      </c>
      <c r="N77" s="290">
        <v>93</v>
      </c>
      <c r="O77" s="290">
        <v>41</v>
      </c>
      <c r="P77" s="624">
        <v>32017.47833333</v>
      </c>
      <c r="Q77" s="624">
        <v>11371.564666669999</v>
      </c>
      <c r="R77" s="624">
        <v>40</v>
      </c>
      <c r="S77" s="290"/>
      <c r="T77" s="290">
        <v>429</v>
      </c>
      <c r="U77" s="958">
        <v>1.9442642619124807E-3</v>
      </c>
      <c r="V77" s="290">
        <v>3097.3982137600001</v>
      </c>
      <c r="W77" s="765">
        <v>0.75695551999999999</v>
      </c>
      <c r="X77" s="290">
        <v>0</v>
      </c>
      <c r="Y77" s="290"/>
      <c r="Z77" s="290">
        <f>+innut23!E83</f>
        <v>127159.38000368561</v>
      </c>
      <c r="AA77" s="290">
        <v>0</v>
      </c>
      <c r="AB77" s="290">
        <v>133</v>
      </c>
      <c r="AC77" s="290">
        <v>45</v>
      </c>
      <c r="AD77" s="290"/>
      <c r="AE77" s="290">
        <v>0</v>
      </c>
      <c r="AF77" s="290">
        <v>0</v>
      </c>
      <c r="AG77" s="290">
        <v>4643</v>
      </c>
      <c r="AH77" s="290">
        <v>801</v>
      </c>
      <c r="AI77" s="290"/>
      <c r="AJ77" s="290"/>
      <c r="AK77" s="290">
        <v>0</v>
      </c>
      <c r="AL77" s="290">
        <v>8911</v>
      </c>
      <c r="AM77" s="957">
        <v>7.4512320000000007E-2</v>
      </c>
      <c r="AN77" s="290">
        <v>0</v>
      </c>
      <c r="AO77" s="290">
        <v>2394.3272810799999</v>
      </c>
      <c r="AP77" s="290">
        <v>0</v>
      </c>
      <c r="AQ77" s="290">
        <v>0</v>
      </c>
      <c r="AR77" s="290">
        <v>-190.54224644999999</v>
      </c>
      <c r="AS77" s="290">
        <v>7316</v>
      </c>
      <c r="AT77" s="290">
        <v>198</v>
      </c>
      <c r="AU77" s="290">
        <v>42</v>
      </c>
      <c r="AV77" s="766">
        <v>168696</v>
      </c>
      <c r="AW77" s="290">
        <v>0</v>
      </c>
      <c r="AX77" s="766">
        <v>23.166699999999999</v>
      </c>
      <c r="AY77" s="290">
        <v>885</v>
      </c>
      <c r="AZ77" s="290">
        <v>191</v>
      </c>
      <c r="BA77" s="290">
        <v>80</v>
      </c>
      <c r="BB77" s="290">
        <v>0</v>
      </c>
      <c r="BC77" s="290">
        <v>2293</v>
      </c>
      <c r="BD77" s="290"/>
      <c r="BE77" s="290">
        <v>188673.32499021999</v>
      </c>
      <c r="BF77" s="290">
        <v>0</v>
      </c>
      <c r="BG77" s="290">
        <v>0</v>
      </c>
      <c r="BH77" s="290">
        <v>-779</v>
      </c>
      <c r="BI77" s="290">
        <v>2402</v>
      </c>
      <c r="BJ77" s="290">
        <v>593.68191551932148</v>
      </c>
      <c r="BK77" s="290">
        <v>7</v>
      </c>
      <c r="BL77" s="290"/>
      <c r="BM77" s="290">
        <v>0</v>
      </c>
      <c r="BN77" s="290">
        <v>1556</v>
      </c>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f>+innut23!E83+innut23!S83</f>
        <v>127159.38000368561</v>
      </c>
      <c r="CL77" s="290"/>
      <c r="CM77" s="290">
        <v>0</v>
      </c>
      <c r="CN77" s="290">
        <v>0</v>
      </c>
      <c r="CO77" s="290"/>
      <c r="CP77" s="290"/>
      <c r="CQ77" s="290"/>
      <c r="CX77" s="517">
        <f t="shared" si="3"/>
        <v>0</v>
      </c>
      <c r="DB77" s="85">
        <f t="shared" si="4"/>
        <v>0.85099999999999998</v>
      </c>
    </row>
    <row r="78" spans="1:106" ht="13">
      <c r="A78" s="1">
        <v>1841</v>
      </c>
      <c r="B78" s="2" t="s">
        <v>197</v>
      </c>
      <c r="C78" s="289"/>
      <c r="D78" s="290">
        <v>160</v>
      </c>
      <c r="E78" s="290">
        <v>368</v>
      </c>
      <c r="F78" s="290">
        <v>985</v>
      </c>
      <c r="G78" s="290">
        <v>762</v>
      </c>
      <c r="H78" s="290">
        <v>5371</v>
      </c>
      <c r="I78" s="290">
        <v>1433</v>
      </c>
      <c r="J78" s="290">
        <v>454</v>
      </c>
      <c r="K78" s="290">
        <v>92</v>
      </c>
      <c r="L78" s="290">
        <v>84</v>
      </c>
      <c r="M78" s="290">
        <v>862</v>
      </c>
      <c r="N78" s="290">
        <v>172</v>
      </c>
      <c r="O78" s="290">
        <v>70</v>
      </c>
      <c r="P78" s="624">
        <v>68696.194000000003</v>
      </c>
      <c r="Q78" s="624">
        <v>15704.894</v>
      </c>
      <c r="R78" s="624">
        <v>30</v>
      </c>
      <c r="S78" s="290"/>
      <c r="T78" s="290">
        <v>912</v>
      </c>
      <c r="U78" s="958">
        <v>1.9017381686647114E-3</v>
      </c>
      <c r="V78" s="290">
        <v>5207.8279891100001</v>
      </c>
      <c r="W78" s="765">
        <v>0.62198918000000003</v>
      </c>
      <c r="X78" s="290">
        <v>0</v>
      </c>
      <c r="Y78" s="290"/>
      <c r="Z78" s="290">
        <f>+innut23!E84</f>
        <v>297891.68096200051</v>
      </c>
      <c r="AA78" s="290">
        <v>0</v>
      </c>
      <c r="AB78" s="290">
        <v>311</v>
      </c>
      <c r="AC78" s="290">
        <v>2348</v>
      </c>
      <c r="AD78" s="290"/>
      <c r="AE78" s="290">
        <v>0</v>
      </c>
      <c r="AF78" s="290">
        <v>0</v>
      </c>
      <c r="AG78" s="290">
        <v>9625</v>
      </c>
      <c r="AH78" s="290">
        <v>1563</v>
      </c>
      <c r="AI78" s="290"/>
      <c r="AJ78" s="290"/>
      <c r="AK78" s="290">
        <v>0</v>
      </c>
      <c r="AL78" s="290">
        <v>18534</v>
      </c>
      <c r="AM78" s="957">
        <v>0.10936912999999999</v>
      </c>
      <c r="AN78" s="290">
        <v>0</v>
      </c>
      <c r="AO78" s="290">
        <v>4287.7669131499997</v>
      </c>
      <c r="AP78" s="290">
        <v>0</v>
      </c>
      <c r="AQ78" s="290">
        <v>0</v>
      </c>
      <c r="AR78" s="290">
        <v>-394.99658025000002</v>
      </c>
      <c r="AS78" s="290">
        <v>15398</v>
      </c>
      <c r="AT78" s="290">
        <v>412</v>
      </c>
      <c r="AU78" s="290">
        <v>80</v>
      </c>
      <c r="AV78" s="766">
        <v>257356</v>
      </c>
      <c r="AW78" s="290">
        <v>0</v>
      </c>
      <c r="AX78" s="766">
        <v>59.666699999999999</v>
      </c>
      <c r="AY78" s="290">
        <v>1986</v>
      </c>
      <c r="AZ78" s="290">
        <v>306</v>
      </c>
      <c r="BA78" s="290">
        <v>187</v>
      </c>
      <c r="BB78" s="290">
        <v>0</v>
      </c>
      <c r="BC78" s="290">
        <v>5166</v>
      </c>
      <c r="BD78" s="290"/>
      <c r="BE78" s="290">
        <v>296222.46563832997</v>
      </c>
      <c r="BF78" s="290">
        <v>0</v>
      </c>
      <c r="BG78" s="290">
        <v>0</v>
      </c>
      <c r="BH78" s="290">
        <v>-1622</v>
      </c>
      <c r="BI78" s="290">
        <v>5985</v>
      </c>
      <c r="BJ78" s="290">
        <v>1082.6643163628016</v>
      </c>
      <c r="BK78" s="290">
        <v>15</v>
      </c>
      <c r="BL78" s="290"/>
      <c r="BM78" s="290">
        <v>0</v>
      </c>
      <c r="BN78" s="290">
        <v>2074</v>
      </c>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f>+innut23!E84+innut23!S84</f>
        <v>297891.68096200051</v>
      </c>
      <c r="CL78" s="290"/>
      <c r="CM78" s="290">
        <v>0</v>
      </c>
      <c r="CN78" s="290">
        <v>0</v>
      </c>
      <c r="CO78" s="290"/>
      <c r="CP78" s="290"/>
      <c r="CQ78" s="290"/>
      <c r="CX78" s="517">
        <f t="shared" si="3"/>
        <v>0</v>
      </c>
      <c r="DB78" s="85">
        <f t="shared" si="4"/>
        <v>1.764</v>
      </c>
    </row>
    <row r="79" spans="1:106" ht="13">
      <c r="A79" s="1">
        <v>1845</v>
      </c>
      <c r="B79" s="2" t="s">
        <v>198</v>
      </c>
      <c r="C79" s="289"/>
      <c r="D79" s="290">
        <v>26</v>
      </c>
      <c r="E79" s="290">
        <v>59</v>
      </c>
      <c r="F79" s="290">
        <v>178</v>
      </c>
      <c r="G79" s="290">
        <v>159</v>
      </c>
      <c r="H79" s="290">
        <v>955</v>
      </c>
      <c r="I79" s="290">
        <v>347</v>
      </c>
      <c r="J79" s="290">
        <v>101</v>
      </c>
      <c r="K79" s="290">
        <v>23</v>
      </c>
      <c r="L79" s="290">
        <v>18</v>
      </c>
      <c r="M79" s="290">
        <v>219</v>
      </c>
      <c r="N79" s="290">
        <v>14</v>
      </c>
      <c r="O79" s="290">
        <v>17</v>
      </c>
      <c r="P79" s="624">
        <v>27270.00666667</v>
      </c>
      <c r="Q79" s="624">
        <v>14914.383666670001</v>
      </c>
      <c r="R79" s="624">
        <v>6</v>
      </c>
      <c r="S79" s="290"/>
      <c r="T79" s="290">
        <v>156</v>
      </c>
      <c r="U79" s="958">
        <v>1.2501875321858508E-3</v>
      </c>
      <c r="V79" s="290">
        <v>1312.6963258000001</v>
      </c>
      <c r="W79" s="765">
        <v>0.97439589000000004</v>
      </c>
      <c r="X79" s="290">
        <v>0</v>
      </c>
      <c r="Y79" s="290"/>
      <c r="Z79" s="290">
        <f>+innut23!E85</f>
        <v>64690.86683159251</v>
      </c>
      <c r="AA79" s="290">
        <v>0</v>
      </c>
      <c r="AB79" s="290">
        <v>51</v>
      </c>
      <c r="AC79" s="290">
        <v>565</v>
      </c>
      <c r="AD79" s="290"/>
      <c r="AE79" s="290">
        <v>0</v>
      </c>
      <c r="AF79" s="290">
        <v>0</v>
      </c>
      <c r="AG79" s="290">
        <v>1848</v>
      </c>
      <c r="AH79" s="290">
        <v>284</v>
      </c>
      <c r="AI79" s="290"/>
      <c r="AJ79" s="290"/>
      <c r="AK79" s="290">
        <v>3738</v>
      </c>
      <c r="AL79" s="290">
        <v>3607</v>
      </c>
      <c r="AM79" s="957">
        <v>1.615958E-2</v>
      </c>
      <c r="AN79" s="290">
        <v>0</v>
      </c>
      <c r="AO79" s="290">
        <v>1014.73056021</v>
      </c>
      <c r="AP79" s="290">
        <v>0</v>
      </c>
      <c r="AQ79" s="290">
        <v>0</v>
      </c>
      <c r="AR79" s="290">
        <v>2753.6515394899998</v>
      </c>
      <c r="AS79" s="290">
        <v>2307</v>
      </c>
      <c r="AT79" s="290">
        <v>84</v>
      </c>
      <c r="AU79" s="290">
        <v>14</v>
      </c>
      <c r="AV79" s="766">
        <v>91172</v>
      </c>
      <c r="AW79" s="290">
        <v>0</v>
      </c>
      <c r="AX79" s="766">
        <v>10.666650000000001</v>
      </c>
      <c r="AY79" s="290">
        <v>281</v>
      </c>
      <c r="AZ79" s="290">
        <v>48</v>
      </c>
      <c r="BA79" s="290">
        <v>38</v>
      </c>
      <c r="BB79" s="290">
        <v>0</v>
      </c>
      <c r="BC79" s="290">
        <v>5315</v>
      </c>
      <c r="BD79" s="290"/>
      <c r="BE79" s="290">
        <v>95337.885838650007</v>
      </c>
      <c r="BF79" s="290">
        <v>0</v>
      </c>
      <c r="BG79" s="290">
        <v>0</v>
      </c>
      <c r="BH79" s="290">
        <v>-319</v>
      </c>
      <c r="BI79" s="290">
        <v>6143</v>
      </c>
      <c r="BJ79" s="290">
        <v>247.40720437466194</v>
      </c>
      <c r="BK79" s="290">
        <v>2</v>
      </c>
      <c r="BL79" s="290"/>
      <c r="BM79" s="290">
        <v>0</v>
      </c>
      <c r="BN79" s="290">
        <v>1556</v>
      </c>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f>+innut23!E85+innut23!S85</f>
        <v>64690.86683159251</v>
      </c>
      <c r="CL79" s="290"/>
      <c r="CM79" s="290">
        <v>4355.9726929413901</v>
      </c>
      <c r="CN79" s="290">
        <v>4971.5996263033448</v>
      </c>
      <c r="CO79" s="290"/>
      <c r="CP79" s="290"/>
      <c r="CQ79" s="290"/>
      <c r="CX79" s="517">
        <f t="shared" si="3"/>
        <v>0</v>
      </c>
      <c r="DB79" s="85">
        <f t="shared" si="4"/>
        <v>0.33900000000000002</v>
      </c>
    </row>
    <row r="80" spans="1:106" ht="13">
      <c r="A80" s="1">
        <v>1848</v>
      </c>
      <c r="B80" s="2" t="s">
        <v>199</v>
      </c>
      <c r="C80" s="289"/>
      <c r="D80" s="290">
        <v>45</v>
      </c>
      <c r="E80" s="290">
        <v>99</v>
      </c>
      <c r="F80" s="290">
        <v>270</v>
      </c>
      <c r="G80" s="290">
        <v>176</v>
      </c>
      <c r="H80" s="290">
        <v>1401</v>
      </c>
      <c r="I80" s="290">
        <v>459</v>
      </c>
      <c r="J80" s="290">
        <v>144</v>
      </c>
      <c r="K80" s="290">
        <v>21</v>
      </c>
      <c r="L80" s="290">
        <v>23</v>
      </c>
      <c r="M80" s="290">
        <v>310</v>
      </c>
      <c r="N80" s="290">
        <v>39</v>
      </c>
      <c r="O80" s="290">
        <v>30</v>
      </c>
      <c r="P80" s="624">
        <v>46015.228666670002</v>
      </c>
      <c r="Q80" s="624">
        <v>15327.114666670001</v>
      </c>
      <c r="R80" s="624">
        <v>11</v>
      </c>
      <c r="S80" s="290"/>
      <c r="T80" s="290">
        <v>245</v>
      </c>
      <c r="U80" s="958">
        <v>2.3639307461136281E-3</v>
      </c>
      <c r="V80" s="290">
        <v>1830.99301072</v>
      </c>
      <c r="W80" s="765">
        <v>1</v>
      </c>
      <c r="X80" s="290">
        <v>0</v>
      </c>
      <c r="Y80" s="290"/>
      <c r="Z80" s="290">
        <f>+innut23!E86</f>
        <v>79496.366661815016</v>
      </c>
      <c r="AA80" s="290">
        <v>0</v>
      </c>
      <c r="AB80" s="290">
        <v>81</v>
      </c>
      <c r="AC80" s="290">
        <v>1397</v>
      </c>
      <c r="AD80" s="290"/>
      <c r="AE80" s="290">
        <v>0</v>
      </c>
      <c r="AF80" s="290">
        <v>0</v>
      </c>
      <c r="AG80" s="290">
        <v>2615</v>
      </c>
      <c r="AH80" s="290">
        <v>418</v>
      </c>
      <c r="AI80" s="290"/>
      <c r="AJ80" s="290"/>
      <c r="AK80" s="290">
        <v>0</v>
      </c>
      <c r="AL80" s="290">
        <v>5001</v>
      </c>
      <c r="AM80" s="957">
        <v>4.1451710000000003E-2</v>
      </c>
      <c r="AN80" s="290">
        <v>0</v>
      </c>
      <c r="AO80" s="290">
        <v>1415.3803335800001</v>
      </c>
      <c r="AP80" s="290">
        <v>0</v>
      </c>
      <c r="AQ80" s="290">
        <v>0</v>
      </c>
      <c r="AR80" s="290">
        <v>-107.31595401</v>
      </c>
      <c r="AS80" s="290">
        <v>4174</v>
      </c>
      <c r="AT80" s="290">
        <v>109</v>
      </c>
      <c r="AU80" s="290">
        <v>23</v>
      </c>
      <c r="AV80" s="766">
        <v>111484</v>
      </c>
      <c r="AW80" s="290">
        <v>0</v>
      </c>
      <c r="AX80" s="766">
        <v>14.99995</v>
      </c>
      <c r="AY80" s="290">
        <v>497</v>
      </c>
      <c r="AZ80" s="290">
        <v>111</v>
      </c>
      <c r="BA80" s="290">
        <v>56</v>
      </c>
      <c r="BB80" s="290">
        <v>0</v>
      </c>
      <c r="BC80" s="290">
        <v>3381</v>
      </c>
      <c r="BD80" s="290"/>
      <c r="BE80" s="290">
        <v>124501.37726281999</v>
      </c>
      <c r="BF80" s="290">
        <v>0</v>
      </c>
      <c r="BG80" s="290">
        <v>0</v>
      </c>
      <c r="BH80" s="290">
        <v>-437</v>
      </c>
      <c r="BI80" s="290">
        <v>3889</v>
      </c>
      <c r="BJ80" s="290">
        <v>355.78769819413066</v>
      </c>
      <c r="BK80" s="290">
        <v>4</v>
      </c>
      <c r="BL80" s="290"/>
      <c r="BM80" s="290">
        <v>0</v>
      </c>
      <c r="BN80" s="290">
        <v>2074</v>
      </c>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f>+innut23!E86+innut23!S86</f>
        <v>79496.366661815016</v>
      </c>
      <c r="CL80" s="290"/>
      <c r="CM80" s="290">
        <v>0</v>
      </c>
      <c r="CN80" s="290">
        <v>0</v>
      </c>
      <c r="CO80" s="290"/>
      <c r="CP80" s="290"/>
      <c r="CQ80" s="290"/>
      <c r="CX80" s="517">
        <f t="shared" si="3"/>
        <v>0</v>
      </c>
      <c r="DB80" s="85">
        <f t="shared" si="4"/>
        <v>0.47899999999999998</v>
      </c>
    </row>
    <row r="81" spans="1:106" ht="13">
      <c r="A81" s="1">
        <v>1851</v>
      </c>
      <c r="B81" s="2" t="s">
        <v>202</v>
      </c>
      <c r="C81" s="289"/>
      <c r="D81" s="290">
        <v>28</v>
      </c>
      <c r="E81" s="290">
        <v>46</v>
      </c>
      <c r="F81" s="290">
        <v>187</v>
      </c>
      <c r="G81" s="290">
        <v>140</v>
      </c>
      <c r="H81" s="290">
        <v>1009</v>
      </c>
      <c r="I81" s="290">
        <v>388</v>
      </c>
      <c r="J81" s="290">
        <v>139</v>
      </c>
      <c r="K81" s="290">
        <v>35</v>
      </c>
      <c r="L81" s="290">
        <v>14</v>
      </c>
      <c r="M81" s="290">
        <v>261</v>
      </c>
      <c r="N81" s="290">
        <v>44</v>
      </c>
      <c r="O81" s="290">
        <v>23</v>
      </c>
      <c r="P81" s="624">
        <v>14967.001333329999</v>
      </c>
      <c r="Q81" s="624">
        <v>6695.41</v>
      </c>
      <c r="R81" s="624">
        <v>19</v>
      </c>
      <c r="S81" s="290"/>
      <c r="T81" s="290">
        <v>178</v>
      </c>
      <c r="U81" s="958">
        <v>7.0956529918059198E-4</v>
      </c>
      <c r="V81" s="290">
        <v>1489.7821610000001</v>
      </c>
      <c r="W81" s="765">
        <v>1</v>
      </c>
      <c r="X81" s="290">
        <v>0</v>
      </c>
      <c r="Y81" s="290"/>
      <c r="Z81" s="290">
        <f>+innut23!E87</f>
        <v>59298.902528220162</v>
      </c>
      <c r="AA81" s="290">
        <v>0</v>
      </c>
      <c r="AB81" s="290">
        <v>57</v>
      </c>
      <c r="AC81" s="290">
        <v>555</v>
      </c>
      <c r="AD81" s="290"/>
      <c r="AE81" s="290">
        <v>0</v>
      </c>
      <c r="AF81" s="290">
        <v>0</v>
      </c>
      <c r="AG81" s="290">
        <v>1972</v>
      </c>
      <c r="AH81" s="290">
        <v>270</v>
      </c>
      <c r="AI81" s="290"/>
      <c r="AJ81" s="290"/>
      <c r="AK81" s="290">
        <v>0</v>
      </c>
      <c r="AL81" s="290">
        <v>3814</v>
      </c>
      <c r="AM81" s="957">
        <v>4.3356819999999997E-2</v>
      </c>
      <c r="AN81" s="290">
        <v>0</v>
      </c>
      <c r="AO81" s="290">
        <v>1151.6201097799999</v>
      </c>
      <c r="AP81" s="290">
        <v>0</v>
      </c>
      <c r="AQ81" s="290">
        <v>0</v>
      </c>
      <c r="AR81" s="290">
        <v>-80.928130519999996</v>
      </c>
      <c r="AS81" s="290">
        <v>3229</v>
      </c>
      <c r="AT81" s="290">
        <v>95</v>
      </c>
      <c r="AU81" s="290">
        <v>18</v>
      </c>
      <c r="AV81" s="766">
        <v>97689</v>
      </c>
      <c r="AW81" s="290">
        <v>0</v>
      </c>
      <c r="AX81" s="766">
        <v>11.333299999999999</v>
      </c>
      <c r="AY81" s="290">
        <v>388</v>
      </c>
      <c r="AZ81" s="290">
        <v>99</v>
      </c>
      <c r="BA81" s="290">
        <v>64</v>
      </c>
      <c r="BB81" s="290">
        <v>0</v>
      </c>
      <c r="BC81" s="290">
        <v>1659</v>
      </c>
      <c r="BD81" s="290"/>
      <c r="BE81" s="290">
        <v>106323.96030624</v>
      </c>
      <c r="BF81" s="290">
        <v>0</v>
      </c>
      <c r="BG81" s="290">
        <v>0</v>
      </c>
      <c r="BH81" s="290">
        <v>-335</v>
      </c>
      <c r="BI81" s="290">
        <v>1862</v>
      </c>
      <c r="BJ81" s="290">
        <v>242.15583200640984</v>
      </c>
      <c r="BK81" s="290">
        <v>3</v>
      </c>
      <c r="BL81" s="290"/>
      <c r="BM81" s="290">
        <v>0</v>
      </c>
      <c r="BN81" s="290">
        <v>1037</v>
      </c>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f>+innut23!E87+innut23!S87</f>
        <v>59298.902528220162</v>
      </c>
      <c r="CL81" s="290"/>
      <c r="CM81" s="290">
        <v>0</v>
      </c>
      <c r="CN81" s="290">
        <v>0</v>
      </c>
      <c r="CO81" s="290"/>
      <c r="CP81" s="290"/>
      <c r="CQ81" s="290"/>
      <c r="CX81" s="517">
        <f t="shared" si="3"/>
        <v>0</v>
      </c>
      <c r="DB81" s="85">
        <f t="shared" si="4"/>
        <v>0.36099999999999999</v>
      </c>
    </row>
    <row r="82" spans="1:106" ht="13">
      <c r="A82" s="1">
        <v>1853</v>
      </c>
      <c r="B82" s="2" t="s">
        <v>204</v>
      </c>
      <c r="C82" s="289"/>
      <c r="D82" s="290">
        <v>24</v>
      </c>
      <c r="E82" s="290">
        <v>31</v>
      </c>
      <c r="F82" s="290">
        <v>122</v>
      </c>
      <c r="G82" s="290">
        <v>108</v>
      </c>
      <c r="H82" s="290">
        <v>669</v>
      </c>
      <c r="I82" s="290">
        <v>276</v>
      </c>
      <c r="J82" s="290">
        <v>70</v>
      </c>
      <c r="K82" s="290">
        <v>21</v>
      </c>
      <c r="L82" s="290">
        <v>9</v>
      </c>
      <c r="M82" s="290">
        <v>168</v>
      </c>
      <c r="N82" s="290">
        <v>28</v>
      </c>
      <c r="O82" s="290">
        <v>13</v>
      </c>
      <c r="P82" s="624">
        <v>10702.46933333</v>
      </c>
      <c r="Q82" s="624">
        <v>5735.28566667</v>
      </c>
      <c r="R82" s="624">
        <v>9</v>
      </c>
      <c r="S82" s="290"/>
      <c r="T82" s="290">
        <v>114</v>
      </c>
      <c r="U82" s="958">
        <v>8.1836940490928579E-4</v>
      </c>
      <c r="V82" s="290">
        <v>980.76661643</v>
      </c>
      <c r="W82" s="765">
        <v>0.93719600000000003</v>
      </c>
      <c r="X82" s="290">
        <v>0</v>
      </c>
      <c r="Y82" s="290"/>
      <c r="Z82" s="290">
        <f>+innut23!E88</f>
        <v>35500.095902719171</v>
      </c>
      <c r="AA82" s="290">
        <v>0</v>
      </c>
      <c r="AB82" s="290">
        <v>45</v>
      </c>
      <c r="AC82" s="290">
        <v>669</v>
      </c>
      <c r="AD82" s="290"/>
      <c r="AE82" s="290">
        <v>0</v>
      </c>
      <c r="AF82" s="290">
        <v>0</v>
      </c>
      <c r="AG82" s="290">
        <v>1321</v>
      </c>
      <c r="AH82" s="290">
        <v>185</v>
      </c>
      <c r="AI82" s="290"/>
      <c r="AJ82" s="290"/>
      <c r="AK82" s="290">
        <v>0</v>
      </c>
      <c r="AL82" s="290">
        <v>2575</v>
      </c>
      <c r="AM82" s="957">
        <v>3.2676129999999998E-2</v>
      </c>
      <c r="AN82" s="290">
        <v>0</v>
      </c>
      <c r="AO82" s="290">
        <v>758.14477313999998</v>
      </c>
      <c r="AP82" s="290">
        <v>0</v>
      </c>
      <c r="AQ82" s="290">
        <v>0</v>
      </c>
      <c r="AR82" s="290">
        <v>146.98438053999999</v>
      </c>
      <c r="AS82" s="290">
        <v>2089</v>
      </c>
      <c r="AT82" s="290">
        <v>63</v>
      </c>
      <c r="AU82" s="290">
        <v>13</v>
      </c>
      <c r="AV82" s="766">
        <v>66644</v>
      </c>
      <c r="AW82" s="290">
        <v>0</v>
      </c>
      <c r="AX82" s="766">
        <v>12.37505</v>
      </c>
      <c r="AY82" s="290">
        <v>252</v>
      </c>
      <c r="AZ82" s="290">
        <v>71</v>
      </c>
      <c r="BA82" s="290">
        <v>15</v>
      </c>
      <c r="BB82" s="290">
        <v>0</v>
      </c>
      <c r="BC82" s="290">
        <v>1151</v>
      </c>
      <c r="BD82" s="290"/>
      <c r="BE82" s="290">
        <v>71553.122409100004</v>
      </c>
      <c r="BF82" s="290">
        <v>0</v>
      </c>
      <c r="BG82" s="290">
        <v>0</v>
      </c>
      <c r="BH82" s="290">
        <v>-221</v>
      </c>
      <c r="BI82" s="290">
        <v>1373</v>
      </c>
      <c r="BJ82" s="290">
        <v>168.17616050344026</v>
      </c>
      <c r="BK82" s="290">
        <v>2</v>
      </c>
      <c r="BL82" s="290"/>
      <c r="BM82" s="290">
        <v>0</v>
      </c>
      <c r="BN82" s="290">
        <v>519</v>
      </c>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f>+innut23!E88+innut23!S88</f>
        <v>35500.095902719171</v>
      </c>
      <c r="CL82" s="290"/>
      <c r="CM82" s="290">
        <v>0</v>
      </c>
      <c r="CN82" s="290">
        <v>0</v>
      </c>
      <c r="CO82" s="290"/>
      <c r="CP82" s="290"/>
      <c r="CQ82" s="290"/>
      <c r="CX82" s="517">
        <f t="shared" si="3"/>
        <v>0</v>
      </c>
      <c r="DB82" s="85">
        <f t="shared" si="4"/>
        <v>0.24199999999999999</v>
      </c>
    </row>
    <row r="83" spans="1:106" ht="13">
      <c r="A83" s="1">
        <v>1856</v>
      </c>
      <c r="B83" s="2" t="s">
        <v>206</v>
      </c>
      <c r="C83" s="289"/>
      <c r="D83" s="290">
        <v>5</v>
      </c>
      <c r="E83" s="290">
        <v>14</v>
      </c>
      <c r="F83" s="290">
        <v>38</v>
      </c>
      <c r="G83" s="290">
        <v>36</v>
      </c>
      <c r="H83" s="290">
        <v>270</v>
      </c>
      <c r="I83" s="290">
        <v>73</v>
      </c>
      <c r="J83" s="290">
        <v>24</v>
      </c>
      <c r="K83" s="290">
        <v>7</v>
      </c>
      <c r="L83" s="290">
        <v>5</v>
      </c>
      <c r="M83" s="290">
        <v>63</v>
      </c>
      <c r="N83" s="290">
        <v>0</v>
      </c>
      <c r="O83" s="290">
        <v>1.5</v>
      </c>
      <c r="P83" s="624">
        <v>329.71266666999998</v>
      </c>
      <c r="Q83" s="624">
        <v>694.79399999999998</v>
      </c>
      <c r="R83" s="624">
        <v>0</v>
      </c>
      <c r="S83" s="290"/>
      <c r="T83" s="290">
        <v>75</v>
      </c>
      <c r="U83" s="958">
        <v>1.0542125887893224E-4</v>
      </c>
      <c r="V83" s="290">
        <v>430.14030630000002</v>
      </c>
      <c r="W83" s="765">
        <v>1</v>
      </c>
      <c r="X83" s="290">
        <v>0</v>
      </c>
      <c r="Y83" s="290"/>
      <c r="Z83" s="290">
        <f>+innut23!E89</f>
        <v>19257.390437164104</v>
      </c>
      <c r="AA83" s="290">
        <v>0</v>
      </c>
      <c r="AB83" s="290">
        <v>13</v>
      </c>
      <c r="AC83" s="290">
        <v>0</v>
      </c>
      <c r="AD83" s="290"/>
      <c r="AE83" s="290">
        <v>0</v>
      </c>
      <c r="AF83" s="290">
        <v>0</v>
      </c>
      <c r="AG83" s="290">
        <v>467</v>
      </c>
      <c r="AH83" s="290">
        <v>100</v>
      </c>
      <c r="AI83" s="290"/>
      <c r="AJ83" s="290"/>
      <c r="AK83" s="290">
        <v>0</v>
      </c>
      <c r="AL83" s="290">
        <v>905</v>
      </c>
      <c r="AM83" s="957">
        <v>5.1236399999999996E-3</v>
      </c>
      <c r="AN83" s="290">
        <v>0</v>
      </c>
      <c r="AO83" s="290">
        <v>332.50379801999998</v>
      </c>
      <c r="AP83" s="290">
        <v>0</v>
      </c>
      <c r="AQ83" s="290">
        <v>0</v>
      </c>
      <c r="AR83" s="290">
        <v>-19.165028880000001</v>
      </c>
      <c r="AS83" s="290">
        <v>781</v>
      </c>
      <c r="AT83" s="290">
        <v>23</v>
      </c>
      <c r="AU83" s="290">
        <v>7</v>
      </c>
      <c r="AV83" s="766">
        <v>36488</v>
      </c>
      <c r="AW83" s="290">
        <v>0</v>
      </c>
      <c r="AX83" s="766">
        <v>0.58330000000000004</v>
      </c>
      <c r="AY83" s="290">
        <v>61</v>
      </c>
      <c r="AZ83" s="290">
        <v>7</v>
      </c>
      <c r="BA83" s="290">
        <v>12</v>
      </c>
      <c r="BB83" s="290">
        <v>0</v>
      </c>
      <c r="BC83" s="290">
        <v>600</v>
      </c>
      <c r="BD83" s="290"/>
      <c r="BE83" s="290">
        <v>38594.82127452</v>
      </c>
      <c r="BF83" s="290">
        <v>0</v>
      </c>
      <c r="BG83" s="290">
        <v>0</v>
      </c>
      <c r="BH83" s="290">
        <v>-80</v>
      </c>
      <c r="BI83" s="290">
        <v>619</v>
      </c>
      <c r="BJ83" s="290">
        <v>70.007252370165176</v>
      </c>
      <c r="BK83" s="290">
        <v>1</v>
      </c>
      <c r="BL83" s="290"/>
      <c r="BM83" s="290">
        <v>0</v>
      </c>
      <c r="BN83" s="290">
        <v>519</v>
      </c>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f>+innut23!E89+innut23!S89</f>
        <v>19257.390437164104</v>
      </c>
      <c r="CL83" s="290"/>
      <c r="CM83" s="290">
        <v>0</v>
      </c>
      <c r="CN83" s="290">
        <v>0</v>
      </c>
      <c r="CO83" s="290"/>
      <c r="CP83" s="290"/>
      <c r="CQ83" s="290"/>
      <c r="CX83" s="517">
        <f t="shared" si="3"/>
        <v>0</v>
      </c>
      <c r="DB83" s="85">
        <f t="shared" si="4"/>
        <v>8.5999999999999993E-2</v>
      </c>
    </row>
    <row r="84" spans="1:106" ht="13">
      <c r="A84" s="1">
        <v>1857</v>
      </c>
      <c r="B84" s="2" t="s">
        <v>207</v>
      </c>
      <c r="C84" s="289"/>
      <c r="D84" s="290">
        <v>8</v>
      </c>
      <c r="E84" s="290">
        <v>21</v>
      </c>
      <c r="F84" s="290">
        <v>67</v>
      </c>
      <c r="G84" s="290">
        <v>47</v>
      </c>
      <c r="H84" s="290">
        <v>383</v>
      </c>
      <c r="I84" s="290">
        <v>98</v>
      </c>
      <c r="J84" s="290">
        <v>43</v>
      </c>
      <c r="K84" s="290">
        <v>9</v>
      </c>
      <c r="L84" s="290">
        <v>7</v>
      </c>
      <c r="M84" s="290">
        <v>76</v>
      </c>
      <c r="N84" s="290">
        <v>0</v>
      </c>
      <c r="O84" s="290">
        <v>6</v>
      </c>
      <c r="P84" s="624">
        <v>194.61666667</v>
      </c>
      <c r="Q84" s="624">
        <v>3871.61833333</v>
      </c>
      <c r="R84" s="624">
        <v>6</v>
      </c>
      <c r="S84" s="290"/>
      <c r="T84" s="290">
        <v>75</v>
      </c>
      <c r="U84" s="958">
        <v>7.9312480644860882E-5</v>
      </c>
      <c r="V84" s="290">
        <v>614.65948648000006</v>
      </c>
      <c r="W84" s="765">
        <v>1</v>
      </c>
      <c r="X84" s="290">
        <v>0</v>
      </c>
      <c r="Y84" s="290"/>
      <c r="Z84" s="290">
        <f>+innut23!E90</f>
        <v>25528.29147352853</v>
      </c>
      <c r="AA84" s="290">
        <v>0</v>
      </c>
      <c r="AB84" s="290">
        <v>13</v>
      </c>
      <c r="AC84" s="290">
        <v>94</v>
      </c>
      <c r="AD84" s="290"/>
      <c r="AE84" s="290">
        <v>0</v>
      </c>
      <c r="AF84" s="290">
        <v>0</v>
      </c>
      <c r="AG84" s="290">
        <v>676</v>
      </c>
      <c r="AH84" s="290">
        <v>100</v>
      </c>
      <c r="AI84" s="290"/>
      <c r="AJ84" s="290"/>
      <c r="AK84" s="290">
        <v>0</v>
      </c>
      <c r="AL84" s="290">
        <v>1309</v>
      </c>
      <c r="AM84" s="957">
        <v>5.1256950000000003E-2</v>
      </c>
      <c r="AN84" s="290">
        <v>0</v>
      </c>
      <c r="AO84" s="290">
        <v>475.13941555999997</v>
      </c>
      <c r="AP84" s="290">
        <v>0</v>
      </c>
      <c r="AQ84" s="290">
        <v>0</v>
      </c>
      <c r="AR84" s="290">
        <v>-27.742097480000002</v>
      </c>
      <c r="AS84" s="290">
        <v>998</v>
      </c>
      <c r="AT84" s="290">
        <v>22</v>
      </c>
      <c r="AU84" s="290">
        <v>21</v>
      </c>
      <c r="AV84" s="766">
        <v>49091</v>
      </c>
      <c r="AW84" s="290">
        <v>0</v>
      </c>
      <c r="AX84" s="766">
        <v>1.25</v>
      </c>
      <c r="AY84" s="290">
        <v>85</v>
      </c>
      <c r="AZ84" s="290">
        <v>51</v>
      </c>
      <c r="BA84" s="290">
        <v>13</v>
      </c>
      <c r="BB84" s="290">
        <v>0</v>
      </c>
      <c r="BC84" s="290">
        <v>669</v>
      </c>
      <c r="BD84" s="290"/>
      <c r="BE84" s="290">
        <v>52009.639516360003</v>
      </c>
      <c r="BF84" s="290">
        <v>0</v>
      </c>
      <c r="BG84" s="290">
        <v>0</v>
      </c>
      <c r="BH84" s="290">
        <v>-115</v>
      </c>
      <c r="BI84" s="290">
        <v>713</v>
      </c>
      <c r="BJ84" s="290">
        <v>104.45310154272416</v>
      </c>
      <c r="BK84" s="290">
        <v>1</v>
      </c>
      <c r="BL84" s="290"/>
      <c r="BM84" s="290">
        <v>0</v>
      </c>
      <c r="BN84" s="290">
        <v>519</v>
      </c>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f>+innut23!E90+innut23!S90</f>
        <v>25528.29147352853</v>
      </c>
      <c r="CL84" s="290"/>
      <c r="CM84" s="290">
        <v>0</v>
      </c>
      <c r="CN84" s="290">
        <v>0</v>
      </c>
      <c r="CO84" s="290"/>
      <c r="CP84" s="290"/>
      <c r="CQ84" s="290"/>
      <c r="CX84" s="517">
        <f t="shared" si="3"/>
        <v>0</v>
      </c>
      <c r="DB84" s="85">
        <f t="shared" si="4"/>
        <v>0.124</v>
      </c>
    </row>
    <row r="85" spans="1:106" ht="13">
      <c r="A85" s="1">
        <v>1859</v>
      </c>
      <c r="B85" s="2" t="s">
        <v>208</v>
      </c>
      <c r="C85" s="289"/>
      <c r="D85" s="290">
        <v>20</v>
      </c>
      <c r="E85" s="290">
        <v>31</v>
      </c>
      <c r="F85" s="290">
        <v>104</v>
      </c>
      <c r="G85" s="290">
        <v>95</v>
      </c>
      <c r="H85" s="290">
        <v>656</v>
      </c>
      <c r="I85" s="290">
        <v>208</v>
      </c>
      <c r="J85" s="290">
        <v>78</v>
      </c>
      <c r="K85" s="290">
        <v>19</v>
      </c>
      <c r="L85" s="290">
        <v>9</v>
      </c>
      <c r="M85" s="290">
        <v>156</v>
      </c>
      <c r="N85" s="290">
        <v>0</v>
      </c>
      <c r="O85" s="290">
        <v>5</v>
      </c>
      <c r="P85" s="624">
        <v>12391.40466667</v>
      </c>
      <c r="Q85" s="624">
        <v>5326.4679999999998</v>
      </c>
      <c r="R85" s="624">
        <v>7</v>
      </c>
      <c r="S85" s="290"/>
      <c r="T85" s="290">
        <v>110</v>
      </c>
      <c r="U85" s="958">
        <v>5.8004702563452812E-4</v>
      </c>
      <c r="V85" s="290">
        <v>-3064.7972507600002</v>
      </c>
      <c r="W85" s="765">
        <v>0.93624266</v>
      </c>
      <c r="X85" s="290">
        <v>0</v>
      </c>
      <c r="Y85" s="290"/>
      <c r="Z85" s="290">
        <f>+innut23!E91</f>
        <v>43052.463107878029</v>
      </c>
      <c r="AA85" s="290">
        <v>0</v>
      </c>
      <c r="AB85" s="290">
        <v>33</v>
      </c>
      <c r="AC85" s="290">
        <v>150</v>
      </c>
      <c r="AD85" s="290"/>
      <c r="AE85" s="290">
        <v>0</v>
      </c>
      <c r="AF85" s="290">
        <v>0</v>
      </c>
      <c r="AG85" s="290">
        <v>1211</v>
      </c>
      <c r="AH85" s="290">
        <v>167</v>
      </c>
      <c r="AI85" s="290"/>
      <c r="AJ85" s="290"/>
      <c r="AK85" s="290">
        <v>0</v>
      </c>
      <c r="AL85" s="290">
        <v>2347</v>
      </c>
      <c r="AM85" s="957">
        <v>1.471742E-2</v>
      </c>
      <c r="AN85" s="290">
        <v>0</v>
      </c>
      <c r="AO85" s="290">
        <v>688.13777922999998</v>
      </c>
      <c r="AP85" s="290">
        <v>0</v>
      </c>
      <c r="AQ85" s="290">
        <v>0</v>
      </c>
      <c r="AR85" s="290">
        <v>3565.7182996900001</v>
      </c>
      <c r="AS85" s="290">
        <v>1963</v>
      </c>
      <c r="AT85" s="290">
        <v>39</v>
      </c>
      <c r="AU85" s="290">
        <v>18</v>
      </c>
      <c r="AV85" s="766">
        <v>59793</v>
      </c>
      <c r="AW85" s="290">
        <v>0</v>
      </c>
      <c r="AX85" s="766">
        <v>5.5833000000000004</v>
      </c>
      <c r="AY85" s="290">
        <v>193</v>
      </c>
      <c r="AZ85" s="290">
        <v>31</v>
      </c>
      <c r="BA85" s="290">
        <v>16</v>
      </c>
      <c r="BB85" s="290">
        <v>0</v>
      </c>
      <c r="BC85" s="290">
        <v>779</v>
      </c>
      <c r="BD85" s="290"/>
      <c r="BE85" s="290">
        <v>60751.523947349997</v>
      </c>
      <c r="BF85" s="290">
        <v>0</v>
      </c>
      <c r="BG85" s="290">
        <v>0</v>
      </c>
      <c r="BH85" s="290">
        <v>-208</v>
      </c>
      <c r="BI85" s="290">
        <v>836</v>
      </c>
      <c r="BJ85" s="290">
        <v>147.59410577398725</v>
      </c>
      <c r="BK85" s="290">
        <v>2</v>
      </c>
      <c r="BL85" s="290"/>
      <c r="BM85" s="290">
        <v>0</v>
      </c>
      <c r="BN85" s="290">
        <v>519</v>
      </c>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f>+innut23!E91+innut23!S91</f>
        <v>43052.463107878029</v>
      </c>
      <c r="CL85" s="290"/>
      <c r="CM85" s="290">
        <v>0</v>
      </c>
      <c r="CN85" s="290">
        <v>0</v>
      </c>
      <c r="CO85" s="290"/>
      <c r="CP85" s="290"/>
      <c r="CQ85" s="290"/>
      <c r="CX85" s="517">
        <f t="shared" si="3"/>
        <v>0</v>
      </c>
      <c r="DB85" s="85">
        <f t="shared" si="4"/>
        <v>0.222</v>
      </c>
    </row>
    <row r="86" spans="1:106" ht="13">
      <c r="A86" s="1">
        <v>1860</v>
      </c>
      <c r="B86" s="2" t="s">
        <v>209</v>
      </c>
      <c r="C86" s="289"/>
      <c r="D86" s="290">
        <v>240</v>
      </c>
      <c r="E86" s="290">
        <v>465</v>
      </c>
      <c r="F86" s="290">
        <v>1394</v>
      </c>
      <c r="G86" s="290">
        <v>994</v>
      </c>
      <c r="H86" s="290">
        <v>6332</v>
      </c>
      <c r="I86" s="290">
        <v>1513</v>
      </c>
      <c r="J86" s="290">
        <v>468</v>
      </c>
      <c r="K86" s="290">
        <v>120</v>
      </c>
      <c r="L86" s="290">
        <v>90</v>
      </c>
      <c r="M86" s="290">
        <v>1007</v>
      </c>
      <c r="N86" s="290">
        <v>271</v>
      </c>
      <c r="O86" s="290">
        <v>115</v>
      </c>
      <c r="P86" s="624">
        <v>56672.46</v>
      </c>
      <c r="Q86" s="624">
        <v>25057.87</v>
      </c>
      <c r="R86" s="624">
        <v>62</v>
      </c>
      <c r="S86" s="290"/>
      <c r="T86" s="290">
        <v>1042</v>
      </c>
      <c r="U86" s="958">
        <v>3.5373096459568988E-3</v>
      </c>
      <c r="V86" s="290">
        <v>-10459.27072511</v>
      </c>
      <c r="W86" s="765">
        <v>0.63607533000000005</v>
      </c>
      <c r="X86" s="290">
        <v>0</v>
      </c>
      <c r="Y86" s="290"/>
      <c r="Z86" s="290">
        <f>+innut23!E92</f>
        <v>342940.11296989676</v>
      </c>
      <c r="AA86" s="290">
        <v>0</v>
      </c>
      <c r="AB86" s="290">
        <v>268</v>
      </c>
      <c r="AC86" s="290">
        <v>2457</v>
      </c>
      <c r="AD86" s="290"/>
      <c r="AE86" s="290">
        <v>0</v>
      </c>
      <c r="AF86" s="290">
        <v>0</v>
      </c>
      <c r="AG86" s="290">
        <v>11526</v>
      </c>
      <c r="AH86" s="290">
        <v>2141</v>
      </c>
      <c r="AI86" s="290"/>
      <c r="AJ86" s="290"/>
      <c r="AK86" s="290">
        <v>0</v>
      </c>
      <c r="AL86" s="290">
        <v>22322</v>
      </c>
      <c r="AM86" s="957">
        <v>0.32224747999999998</v>
      </c>
      <c r="AN86" s="290">
        <v>0</v>
      </c>
      <c r="AO86" s="290">
        <v>5454.1663437999996</v>
      </c>
      <c r="AP86" s="290">
        <v>0</v>
      </c>
      <c r="AQ86" s="290">
        <v>0</v>
      </c>
      <c r="AR86" s="290">
        <v>3018.5430899600001</v>
      </c>
      <c r="AS86" s="290">
        <v>18489</v>
      </c>
      <c r="AT86" s="290">
        <v>526</v>
      </c>
      <c r="AU86" s="290">
        <v>157</v>
      </c>
      <c r="AV86" s="766">
        <v>344444</v>
      </c>
      <c r="AW86" s="290">
        <v>0</v>
      </c>
      <c r="AX86" s="766">
        <v>92.916650000000004</v>
      </c>
      <c r="AY86" s="290">
        <v>2398</v>
      </c>
      <c r="AZ86" s="290">
        <v>522</v>
      </c>
      <c r="BA86" s="290">
        <v>233</v>
      </c>
      <c r="BB86" s="290">
        <v>0</v>
      </c>
      <c r="BC86" s="290">
        <v>6879</v>
      </c>
      <c r="BD86" s="290"/>
      <c r="BE86" s="290">
        <v>383510.55149162002</v>
      </c>
      <c r="BF86" s="290">
        <v>0</v>
      </c>
      <c r="BG86" s="290">
        <v>0</v>
      </c>
      <c r="BH86" s="290">
        <v>-1953</v>
      </c>
      <c r="BI86" s="290">
        <v>7709</v>
      </c>
      <c r="BJ86" s="290">
        <v>1511.4138175484159</v>
      </c>
      <c r="BK86" s="290">
        <v>19</v>
      </c>
      <c r="BL86" s="290"/>
      <c r="BM86" s="290">
        <v>0</v>
      </c>
      <c r="BN86" s="290">
        <v>3111</v>
      </c>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f>+innut23!E92+innut23!S92</f>
        <v>342940.11296989676</v>
      </c>
      <c r="CL86" s="290"/>
      <c r="CM86" s="290">
        <v>0</v>
      </c>
      <c r="CN86" s="290">
        <v>0</v>
      </c>
      <c r="CO86" s="290"/>
      <c r="CP86" s="290"/>
      <c r="CQ86" s="290"/>
      <c r="CX86" s="517">
        <f t="shared" si="3"/>
        <v>0</v>
      </c>
      <c r="DB86" s="85">
        <f t="shared" si="4"/>
        <v>2.113</v>
      </c>
    </row>
    <row r="87" spans="1:106" ht="13">
      <c r="A87" s="1">
        <v>1865</v>
      </c>
      <c r="B87" s="2" t="s">
        <v>210</v>
      </c>
      <c r="C87" s="289"/>
      <c r="D87" s="290">
        <v>169</v>
      </c>
      <c r="E87" s="290">
        <v>385</v>
      </c>
      <c r="F87" s="290">
        <v>1062</v>
      </c>
      <c r="G87" s="290">
        <v>799</v>
      </c>
      <c r="H87" s="290">
        <v>5509</v>
      </c>
      <c r="I87" s="290">
        <v>1375</v>
      </c>
      <c r="J87" s="290">
        <v>369</v>
      </c>
      <c r="K87" s="290">
        <v>83</v>
      </c>
      <c r="L87" s="290">
        <v>84</v>
      </c>
      <c r="M87" s="290">
        <v>818</v>
      </c>
      <c r="N87" s="290">
        <v>270</v>
      </c>
      <c r="O87" s="290">
        <v>124</v>
      </c>
      <c r="P87" s="624">
        <v>79068.02</v>
      </c>
      <c r="Q87" s="624">
        <v>33481.427000000003</v>
      </c>
      <c r="R87" s="624">
        <v>48</v>
      </c>
      <c r="S87" s="290"/>
      <c r="T87" s="290">
        <v>1003</v>
      </c>
      <c r="U87" s="958">
        <v>1.1892537383571807E-3</v>
      </c>
      <c r="V87" s="290">
        <v>443.20404717999998</v>
      </c>
      <c r="W87" s="765">
        <v>0.66973422999999999</v>
      </c>
      <c r="X87" s="290">
        <v>0</v>
      </c>
      <c r="Y87" s="290"/>
      <c r="Z87" s="290">
        <f>+innut23!E93</f>
        <v>323772.00758154341</v>
      </c>
      <c r="AA87" s="290">
        <v>0</v>
      </c>
      <c r="AB87" s="290">
        <v>213</v>
      </c>
      <c r="AC87" s="290">
        <v>1236</v>
      </c>
      <c r="AD87" s="290"/>
      <c r="AE87" s="290">
        <v>0</v>
      </c>
      <c r="AF87" s="290">
        <v>0</v>
      </c>
      <c r="AG87" s="290">
        <v>9751</v>
      </c>
      <c r="AH87" s="290">
        <v>1660</v>
      </c>
      <c r="AI87" s="290"/>
      <c r="AJ87" s="290"/>
      <c r="AK87" s="290">
        <v>0</v>
      </c>
      <c r="AL87" s="290">
        <v>18767</v>
      </c>
      <c r="AM87" s="957">
        <v>0.33733279999999999</v>
      </c>
      <c r="AN87" s="290">
        <v>0</v>
      </c>
      <c r="AO87" s="290">
        <v>4535.4215843000002</v>
      </c>
      <c r="AP87" s="290">
        <v>0</v>
      </c>
      <c r="AQ87" s="290">
        <v>0</v>
      </c>
      <c r="AR87" s="290">
        <v>-400.16744456999999</v>
      </c>
      <c r="AS87" s="290">
        <v>16469</v>
      </c>
      <c r="AT87" s="290">
        <v>427</v>
      </c>
      <c r="AU87" s="290">
        <v>150</v>
      </c>
      <c r="AV87" s="766">
        <v>278680</v>
      </c>
      <c r="AW87" s="290">
        <v>0</v>
      </c>
      <c r="AX87" s="766">
        <v>68.083349999999996</v>
      </c>
      <c r="AY87" s="290">
        <v>2144</v>
      </c>
      <c r="AZ87" s="290">
        <v>498</v>
      </c>
      <c r="BA87" s="290">
        <v>200</v>
      </c>
      <c r="BB87" s="290">
        <v>0</v>
      </c>
      <c r="BC87" s="290">
        <v>7004</v>
      </c>
      <c r="BD87" s="290"/>
      <c r="BE87" s="290">
        <v>323614.79197020998</v>
      </c>
      <c r="BF87" s="290">
        <v>0</v>
      </c>
      <c r="BG87" s="290">
        <v>0</v>
      </c>
      <c r="BH87" s="290">
        <v>-1644</v>
      </c>
      <c r="BI87" s="290">
        <v>7563</v>
      </c>
      <c r="BJ87" s="290">
        <v>1209.9650292199328</v>
      </c>
      <c r="BK87" s="290">
        <v>17</v>
      </c>
      <c r="BL87" s="290"/>
      <c r="BM87" s="290">
        <v>0</v>
      </c>
      <c r="BN87" s="290">
        <v>4667</v>
      </c>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f>+innut23!E93+innut23!S93</f>
        <v>323772.00758154341</v>
      </c>
      <c r="CL87" s="290"/>
      <c r="CM87" s="290">
        <v>0</v>
      </c>
      <c r="CN87" s="290">
        <v>0</v>
      </c>
      <c r="CO87" s="290"/>
      <c r="CP87" s="290"/>
      <c r="CQ87" s="290"/>
      <c r="CX87" s="517">
        <f t="shared" si="3"/>
        <v>0</v>
      </c>
      <c r="DB87" s="85">
        <f t="shared" si="4"/>
        <v>1.7869999999999999</v>
      </c>
    </row>
    <row r="88" spans="1:106" ht="13">
      <c r="A88" s="1">
        <v>1866</v>
      </c>
      <c r="B88" s="2" t="s">
        <v>211</v>
      </c>
      <c r="C88" s="289"/>
      <c r="D88" s="290">
        <v>169</v>
      </c>
      <c r="E88" s="290">
        <v>320</v>
      </c>
      <c r="F88" s="290">
        <v>898</v>
      </c>
      <c r="G88" s="290">
        <v>615</v>
      </c>
      <c r="H88" s="290">
        <v>4413</v>
      </c>
      <c r="I88" s="290">
        <v>1248</v>
      </c>
      <c r="J88" s="290">
        <v>390</v>
      </c>
      <c r="K88" s="290">
        <v>79</v>
      </c>
      <c r="L88" s="290">
        <v>70</v>
      </c>
      <c r="M88" s="290">
        <v>785</v>
      </c>
      <c r="N88" s="290">
        <v>279</v>
      </c>
      <c r="O88" s="290">
        <v>85</v>
      </c>
      <c r="P88" s="624">
        <v>66694.749666670003</v>
      </c>
      <c r="Q88" s="624">
        <v>16688.06633333</v>
      </c>
      <c r="R88" s="624">
        <v>36</v>
      </c>
      <c r="S88" s="290"/>
      <c r="T88" s="290">
        <v>801</v>
      </c>
      <c r="U88" s="958">
        <v>2.6420148707594552E-3</v>
      </c>
      <c r="V88" s="290">
        <v>5059.7188299500003</v>
      </c>
      <c r="W88" s="765">
        <v>0.71111716000000003</v>
      </c>
      <c r="X88" s="290">
        <v>0</v>
      </c>
      <c r="Y88" s="290"/>
      <c r="Z88" s="290">
        <f>+innut23!E94</f>
        <v>257455.58476063784</v>
      </c>
      <c r="AA88" s="290">
        <v>0</v>
      </c>
      <c r="AB88" s="290">
        <v>195</v>
      </c>
      <c r="AC88" s="290">
        <v>873</v>
      </c>
      <c r="AD88" s="290"/>
      <c r="AE88" s="290">
        <v>0</v>
      </c>
      <c r="AF88" s="290">
        <v>0</v>
      </c>
      <c r="AG88" s="290">
        <v>8132</v>
      </c>
      <c r="AH88" s="290">
        <v>1385</v>
      </c>
      <c r="AI88" s="290"/>
      <c r="AJ88" s="290"/>
      <c r="AK88" s="290">
        <v>0</v>
      </c>
      <c r="AL88" s="290">
        <v>15647</v>
      </c>
      <c r="AM88" s="957">
        <v>0.168295</v>
      </c>
      <c r="AN88" s="290">
        <v>0</v>
      </c>
      <c r="AO88" s="290">
        <v>3911.2254844600002</v>
      </c>
      <c r="AP88" s="290">
        <v>0</v>
      </c>
      <c r="AQ88" s="290">
        <v>0</v>
      </c>
      <c r="AR88" s="290">
        <v>-333.72594187999999</v>
      </c>
      <c r="AS88" s="290">
        <v>18071</v>
      </c>
      <c r="AT88" s="290">
        <v>346</v>
      </c>
      <c r="AU88" s="290">
        <v>96</v>
      </c>
      <c r="AV88" s="766">
        <v>247038</v>
      </c>
      <c r="AW88" s="290">
        <v>0</v>
      </c>
      <c r="AX88" s="766">
        <v>80.458299999999994</v>
      </c>
      <c r="AY88" s="290">
        <v>1811</v>
      </c>
      <c r="AZ88" s="290">
        <v>333</v>
      </c>
      <c r="BA88" s="290">
        <v>177</v>
      </c>
      <c r="BB88" s="290">
        <v>0</v>
      </c>
      <c r="BC88" s="290">
        <v>4458</v>
      </c>
      <c r="BD88" s="290"/>
      <c r="BE88" s="290">
        <v>291180.48262586002</v>
      </c>
      <c r="BF88" s="290">
        <v>0</v>
      </c>
      <c r="BG88" s="290">
        <v>0</v>
      </c>
      <c r="BH88" s="290">
        <v>-1376</v>
      </c>
      <c r="BI88" s="290">
        <v>4851</v>
      </c>
      <c r="BJ88" s="290">
        <v>1005.079800924282</v>
      </c>
      <c r="BK88" s="290">
        <v>14</v>
      </c>
      <c r="BL88" s="290"/>
      <c r="BM88" s="290">
        <v>0</v>
      </c>
      <c r="BN88" s="290">
        <v>2593</v>
      </c>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f>+innut23!E94+innut23!S94</f>
        <v>257455.58476063784</v>
      </c>
      <c r="CL88" s="290"/>
      <c r="CM88" s="290">
        <v>0</v>
      </c>
      <c r="CN88" s="290">
        <v>0</v>
      </c>
      <c r="CO88" s="290"/>
      <c r="CP88" s="290"/>
      <c r="CQ88" s="290"/>
      <c r="CX88" s="517">
        <f t="shared" si="3"/>
        <v>0</v>
      </c>
      <c r="DB88" s="85">
        <f t="shared" si="4"/>
        <v>1.4910000000000001</v>
      </c>
    </row>
    <row r="89" spans="1:106" ht="13">
      <c r="A89" s="1">
        <v>1867</v>
      </c>
      <c r="B89" s="2" t="s">
        <v>913</v>
      </c>
      <c r="C89" s="289"/>
      <c r="D89" s="290">
        <v>36</v>
      </c>
      <c r="E89" s="290">
        <v>82</v>
      </c>
      <c r="F89" s="290">
        <v>210</v>
      </c>
      <c r="G89" s="290">
        <v>178</v>
      </c>
      <c r="H89" s="290">
        <v>1337</v>
      </c>
      <c r="I89" s="290">
        <v>440</v>
      </c>
      <c r="J89" s="290">
        <v>200</v>
      </c>
      <c r="K89" s="290">
        <v>49</v>
      </c>
      <c r="L89" s="290">
        <v>23</v>
      </c>
      <c r="M89" s="290">
        <v>387</v>
      </c>
      <c r="N89" s="290">
        <v>54</v>
      </c>
      <c r="O89" s="290">
        <v>25</v>
      </c>
      <c r="P89" s="624">
        <v>19292.197</v>
      </c>
      <c r="Q89" s="624">
        <v>6254.2553333300002</v>
      </c>
      <c r="R89" s="624">
        <v>13</v>
      </c>
      <c r="S89" s="290"/>
      <c r="T89" s="290">
        <v>260</v>
      </c>
      <c r="U89" s="958">
        <v>1.498573365721135E-3</v>
      </c>
      <c r="V89" s="290">
        <v>1821.43122554</v>
      </c>
      <c r="W89" s="765">
        <v>1</v>
      </c>
      <c r="X89" s="290">
        <v>0</v>
      </c>
      <c r="Y89" s="290"/>
      <c r="Z89" s="290">
        <f>+innut23!E95</f>
        <v>81131.465896519119</v>
      </c>
      <c r="AA89" s="290">
        <v>0</v>
      </c>
      <c r="AB89" s="290">
        <v>73</v>
      </c>
      <c r="AC89" s="290">
        <v>741</v>
      </c>
      <c r="AD89" s="290"/>
      <c r="AE89" s="290">
        <v>0</v>
      </c>
      <c r="AF89" s="290">
        <v>0</v>
      </c>
      <c r="AG89" s="290">
        <v>2532</v>
      </c>
      <c r="AH89" s="290">
        <v>336</v>
      </c>
      <c r="AI89" s="290"/>
      <c r="AJ89" s="290"/>
      <c r="AK89" s="290">
        <v>0</v>
      </c>
      <c r="AL89" s="290">
        <v>4950</v>
      </c>
      <c r="AM89" s="957">
        <v>6.0691040000000002E-2</v>
      </c>
      <c r="AN89" s="290">
        <v>0</v>
      </c>
      <c r="AO89" s="290">
        <v>1407.9889549100001</v>
      </c>
      <c r="AP89" s="290">
        <v>0</v>
      </c>
      <c r="AQ89" s="290">
        <v>0</v>
      </c>
      <c r="AR89" s="290">
        <v>-103.90974973</v>
      </c>
      <c r="AS89" s="290">
        <v>7423</v>
      </c>
      <c r="AT89" s="290">
        <v>121</v>
      </c>
      <c r="AU89" s="290">
        <v>25</v>
      </c>
      <c r="AV89" s="766">
        <v>108982</v>
      </c>
      <c r="AW89" s="290">
        <v>0</v>
      </c>
      <c r="AX89" s="766">
        <v>19.458300000000001</v>
      </c>
      <c r="AY89" s="290">
        <v>406</v>
      </c>
      <c r="AZ89" s="290">
        <v>132</v>
      </c>
      <c r="BA89" s="290">
        <v>46</v>
      </c>
      <c r="BB89" s="290">
        <v>0</v>
      </c>
      <c r="BC89" s="290">
        <v>2869</v>
      </c>
      <c r="BD89" s="290"/>
      <c r="BE89" s="290">
        <v>125553.22043525</v>
      </c>
      <c r="BF89" s="290">
        <v>0</v>
      </c>
      <c r="BG89" s="290">
        <v>0</v>
      </c>
      <c r="BH89" s="290">
        <v>-438</v>
      </c>
      <c r="BI89" s="290">
        <v>3151</v>
      </c>
      <c r="BJ89" s="290">
        <v>267.6744335613613</v>
      </c>
      <c r="BK89" s="290">
        <v>4</v>
      </c>
      <c r="BL89" s="290"/>
      <c r="BM89" s="290">
        <v>0</v>
      </c>
      <c r="BN89" s="290">
        <v>2074</v>
      </c>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f>+innut23!E95+innut23!S95</f>
        <v>98131.465896519119</v>
      </c>
      <c r="CL89" s="290"/>
      <c r="CM89" s="290">
        <v>0</v>
      </c>
      <c r="CN89" s="290">
        <v>0</v>
      </c>
      <c r="CO89" s="290"/>
      <c r="CP89" s="290"/>
      <c r="CQ89" s="290"/>
      <c r="CX89" s="517">
        <f t="shared" si="3"/>
        <v>0</v>
      </c>
      <c r="DB89" s="85">
        <f t="shared" si="4"/>
        <v>0.46400000000000002</v>
      </c>
    </row>
    <row r="90" spans="1:106" ht="13">
      <c r="A90" s="1">
        <v>1868</v>
      </c>
      <c r="B90" s="2" t="s">
        <v>212</v>
      </c>
      <c r="C90" s="289"/>
      <c r="D90" s="290">
        <v>87</v>
      </c>
      <c r="E90" s="290">
        <v>154</v>
      </c>
      <c r="F90" s="290">
        <v>464</v>
      </c>
      <c r="G90" s="290">
        <v>365</v>
      </c>
      <c r="H90" s="290">
        <v>2537</v>
      </c>
      <c r="I90" s="290">
        <v>633</v>
      </c>
      <c r="J90" s="290">
        <v>210</v>
      </c>
      <c r="K90" s="290">
        <v>53</v>
      </c>
      <c r="L90" s="290">
        <v>35</v>
      </c>
      <c r="M90" s="290">
        <v>447</v>
      </c>
      <c r="N90" s="290">
        <v>18</v>
      </c>
      <c r="O90" s="290">
        <v>39</v>
      </c>
      <c r="P90" s="624">
        <v>22242.199333330002</v>
      </c>
      <c r="Q90" s="624">
        <v>13379.96133333</v>
      </c>
      <c r="R90" s="624">
        <v>36</v>
      </c>
      <c r="S90" s="290"/>
      <c r="T90" s="290">
        <v>455</v>
      </c>
      <c r="U90" s="958">
        <v>1.0608769580517032E-3</v>
      </c>
      <c r="V90" s="290">
        <v>2768.2639319700002</v>
      </c>
      <c r="W90" s="765">
        <v>0.79977819999999999</v>
      </c>
      <c r="X90" s="290">
        <v>0</v>
      </c>
      <c r="Y90" s="290"/>
      <c r="Z90" s="290">
        <f>+innut23!E96</f>
        <v>143599.41841448774</v>
      </c>
      <c r="AA90" s="290">
        <v>0</v>
      </c>
      <c r="AB90" s="290">
        <v>181</v>
      </c>
      <c r="AC90" s="290">
        <v>0</v>
      </c>
      <c r="AD90" s="290"/>
      <c r="AE90" s="290">
        <v>0</v>
      </c>
      <c r="AF90" s="290">
        <v>0</v>
      </c>
      <c r="AG90" s="290">
        <v>4503</v>
      </c>
      <c r="AH90" s="290">
        <v>722</v>
      </c>
      <c r="AI90" s="290"/>
      <c r="AJ90" s="290"/>
      <c r="AK90" s="290">
        <v>0</v>
      </c>
      <c r="AL90" s="290">
        <v>8604</v>
      </c>
      <c r="AM90" s="957">
        <v>0.15044075000000001</v>
      </c>
      <c r="AN90" s="290">
        <v>0</v>
      </c>
      <c r="AO90" s="290">
        <v>2227.2527974200002</v>
      </c>
      <c r="AP90" s="290">
        <v>0</v>
      </c>
      <c r="AQ90" s="290">
        <v>0</v>
      </c>
      <c r="AR90" s="290">
        <v>-184.79684165</v>
      </c>
      <c r="AS90" s="290">
        <v>7081</v>
      </c>
      <c r="AT90" s="290">
        <v>229</v>
      </c>
      <c r="AU90" s="290">
        <v>64</v>
      </c>
      <c r="AV90" s="766">
        <v>144274</v>
      </c>
      <c r="AW90" s="290">
        <v>0</v>
      </c>
      <c r="AX90" s="766">
        <v>42.833350000000003</v>
      </c>
      <c r="AY90" s="290">
        <v>669</v>
      </c>
      <c r="AZ90" s="290">
        <v>204</v>
      </c>
      <c r="BA90" s="290">
        <v>82</v>
      </c>
      <c r="BB90" s="290">
        <v>0</v>
      </c>
      <c r="BC90" s="290">
        <v>1692</v>
      </c>
      <c r="BD90" s="290"/>
      <c r="BE90" s="290">
        <v>168834.89679103001</v>
      </c>
      <c r="BF90" s="290">
        <v>0</v>
      </c>
      <c r="BG90" s="290">
        <v>0</v>
      </c>
      <c r="BH90" s="290">
        <v>-750</v>
      </c>
      <c r="BI90" s="290">
        <v>1759</v>
      </c>
      <c r="BJ90" s="290">
        <v>529.64168792469081</v>
      </c>
      <c r="BK90" s="290">
        <v>8</v>
      </c>
      <c r="BL90" s="290"/>
      <c r="BM90" s="290">
        <v>0</v>
      </c>
      <c r="BN90" s="290">
        <v>1037</v>
      </c>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f>+innut23!E96+innut23!S96</f>
        <v>143599.41841448774</v>
      </c>
      <c r="CL90" s="290"/>
      <c r="CM90" s="290">
        <v>0</v>
      </c>
      <c r="CN90" s="290">
        <v>0</v>
      </c>
      <c r="CO90" s="290"/>
      <c r="CP90" s="290"/>
      <c r="CQ90" s="290"/>
      <c r="CX90" s="517">
        <f t="shared" si="3"/>
        <v>0</v>
      </c>
      <c r="DB90" s="85">
        <f t="shared" si="4"/>
        <v>0.82499999999999996</v>
      </c>
    </row>
    <row r="91" spans="1:106" ht="13">
      <c r="A91" s="1">
        <v>1870</v>
      </c>
      <c r="B91" s="2" t="s">
        <v>213</v>
      </c>
      <c r="C91" s="289"/>
      <c r="D91" s="290">
        <v>194</v>
      </c>
      <c r="E91" s="290">
        <v>475</v>
      </c>
      <c r="F91" s="290">
        <v>1276</v>
      </c>
      <c r="G91" s="290">
        <v>903</v>
      </c>
      <c r="H91" s="290">
        <v>5786</v>
      </c>
      <c r="I91" s="290">
        <v>1405</v>
      </c>
      <c r="J91" s="290">
        <v>380</v>
      </c>
      <c r="K91" s="290">
        <v>86</v>
      </c>
      <c r="L91" s="290">
        <v>81</v>
      </c>
      <c r="M91" s="290">
        <v>894</v>
      </c>
      <c r="N91" s="290">
        <v>210</v>
      </c>
      <c r="O91" s="290">
        <v>90</v>
      </c>
      <c r="P91" s="624">
        <v>50512.262999999999</v>
      </c>
      <c r="Q91" s="624">
        <v>24050.106</v>
      </c>
      <c r="R91" s="624">
        <v>44</v>
      </c>
      <c r="S91" s="290"/>
      <c r="T91" s="290">
        <v>916</v>
      </c>
      <c r="U91" s="958">
        <v>2.3458158157461154E-3</v>
      </c>
      <c r="V91" s="290">
        <v>557.35378518000005</v>
      </c>
      <c r="W91" s="765">
        <v>0.61031557999999997</v>
      </c>
      <c r="X91" s="290">
        <v>0</v>
      </c>
      <c r="Y91" s="290"/>
      <c r="Z91" s="290">
        <f>+innut23!E97</f>
        <v>326951.1694623435</v>
      </c>
      <c r="AA91" s="290">
        <v>0</v>
      </c>
      <c r="AB91" s="290">
        <v>271</v>
      </c>
      <c r="AC91" s="290">
        <v>1526</v>
      </c>
      <c r="AD91" s="290"/>
      <c r="AE91" s="290">
        <v>0</v>
      </c>
      <c r="AF91" s="290">
        <v>0</v>
      </c>
      <c r="AG91" s="290">
        <v>10505</v>
      </c>
      <c r="AH91" s="290">
        <v>1949</v>
      </c>
      <c r="AI91" s="290"/>
      <c r="AJ91" s="290"/>
      <c r="AK91" s="290">
        <v>0</v>
      </c>
      <c r="AL91" s="290">
        <v>20203</v>
      </c>
      <c r="AM91" s="957">
        <v>0.16092002999999999</v>
      </c>
      <c r="AN91" s="290">
        <v>0</v>
      </c>
      <c r="AO91" s="290">
        <v>4885.7119587400002</v>
      </c>
      <c r="AP91" s="290">
        <v>0</v>
      </c>
      <c r="AQ91" s="290">
        <v>0</v>
      </c>
      <c r="AR91" s="290">
        <v>-431.11055329999999</v>
      </c>
      <c r="AS91" s="290">
        <v>17315</v>
      </c>
      <c r="AT91" s="290">
        <v>481</v>
      </c>
      <c r="AU91" s="290">
        <v>94</v>
      </c>
      <c r="AV91" s="766">
        <v>296824</v>
      </c>
      <c r="AW91" s="290">
        <v>0</v>
      </c>
      <c r="AX91" s="766">
        <v>78.916650000000004</v>
      </c>
      <c r="AY91" s="290">
        <v>2250</v>
      </c>
      <c r="AZ91" s="290">
        <v>390</v>
      </c>
      <c r="BA91" s="290">
        <v>305</v>
      </c>
      <c r="BB91" s="290">
        <v>0</v>
      </c>
      <c r="BC91" s="290">
        <v>6442</v>
      </c>
      <c r="BD91" s="290"/>
      <c r="BE91" s="290">
        <v>347602.43273573002</v>
      </c>
      <c r="BF91" s="290">
        <v>0</v>
      </c>
      <c r="BG91" s="290">
        <v>0</v>
      </c>
      <c r="BH91" s="290">
        <v>-1765</v>
      </c>
      <c r="BI91" s="290">
        <v>7105</v>
      </c>
      <c r="BJ91" s="290">
        <v>1378.9493083443876</v>
      </c>
      <c r="BK91" s="290">
        <v>16</v>
      </c>
      <c r="BL91" s="290"/>
      <c r="BM91" s="290">
        <v>0</v>
      </c>
      <c r="BN91" s="290">
        <v>3630</v>
      </c>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f>+innut23!E97+innut23!S97</f>
        <v>326951.1694623435</v>
      </c>
      <c r="CL91" s="290"/>
      <c r="CM91" s="290">
        <v>0</v>
      </c>
      <c r="CN91" s="290">
        <v>0</v>
      </c>
      <c r="CO91" s="290"/>
      <c r="CP91" s="290"/>
      <c r="CQ91" s="290"/>
      <c r="CX91" s="517">
        <f t="shared" si="3"/>
        <v>0</v>
      </c>
      <c r="DB91" s="85">
        <f t="shared" si="4"/>
        <v>1.925</v>
      </c>
    </row>
    <row r="92" spans="1:106" ht="13">
      <c r="A92" s="1">
        <v>1871</v>
      </c>
      <c r="B92" s="2" t="s">
        <v>214</v>
      </c>
      <c r="C92" s="289"/>
      <c r="D92" s="290">
        <v>85</v>
      </c>
      <c r="E92" s="290">
        <v>141</v>
      </c>
      <c r="F92" s="290">
        <v>438</v>
      </c>
      <c r="G92" s="290">
        <v>351</v>
      </c>
      <c r="H92" s="290">
        <v>2403</v>
      </c>
      <c r="I92" s="290">
        <v>789</v>
      </c>
      <c r="J92" s="290">
        <v>278</v>
      </c>
      <c r="K92" s="290">
        <v>53</v>
      </c>
      <c r="L92" s="290">
        <v>38</v>
      </c>
      <c r="M92" s="290">
        <v>513</v>
      </c>
      <c r="N92" s="290">
        <v>68</v>
      </c>
      <c r="O92" s="290">
        <v>40</v>
      </c>
      <c r="P92" s="624">
        <v>83243.766000000003</v>
      </c>
      <c r="Q92" s="624">
        <v>15263.787666669999</v>
      </c>
      <c r="R92" s="624">
        <v>25</v>
      </c>
      <c r="S92" s="290"/>
      <c r="T92" s="290">
        <v>443</v>
      </c>
      <c r="U92" s="958">
        <v>1.7838862599903829E-3</v>
      </c>
      <c r="V92" s="290">
        <v>-8521.9394488300004</v>
      </c>
      <c r="W92" s="765">
        <v>1</v>
      </c>
      <c r="X92" s="290">
        <v>0</v>
      </c>
      <c r="Y92" s="290"/>
      <c r="Z92" s="290">
        <f>+innut23!E98</f>
        <v>140823.88883003523</v>
      </c>
      <c r="AA92" s="290">
        <v>0</v>
      </c>
      <c r="AB92" s="290">
        <v>89</v>
      </c>
      <c r="AC92" s="290">
        <v>662</v>
      </c>
      <c r="AD92" s="290"/>
      <c r="AE92" s="290">
        <v>0</v>
      </c>
      <c r="AF92" s="290">
        <v>0</v>
      </c>
      <c r="AG92" s="290">
        <v>4538</v>
      </c>
      <c r="AH92" s="290">
        <v>678</v>
      </c>
      <c r="AI92" s="290"/>
      <c r="AJ92" s="290"/>
      <c r="AK92" s="290">
        <v>0</v>
      </c>
      <c r="AL92" s="290">
        <v>8824</v>
      </c>
      <c r="AM92" s="957">
        <v>7.6041139999999993E-2</v>
      </c>
      <c r="AN92" s="290">
        <v>0</v>
      </c>
      <c r="AO92" s="290">
        <v>2322.1761088899998</v>
      </c>
      <c r="AP92" s="290">
        <v>0</v>
      </c>
      <c r="AQ92" s="290">
        <v>0</v>
      </c>
      <c r="AR92" s="290">
        <v>6511.7690315199998</v>
      </c>
      <c r="AS92" s="290">
        <v>7320</v>
      </c>
      <c r="AT92" s="290">
        <v>191</v>
      </c>
      <c r="AU92" s="290">
        <v>38</v>
      </c>
      <c r="AV92" s="766">
        <v>160293</v>
      </c>
      <c r="AW92" s="290">
        <v>0</v>
      </c>
      <c r="AX92" s="766">
        <v>42.208300000000001</v>
      </c>
      <c r="AY92" s="290">
        <v>857</v>
      </c>
      <c r="AZ92" s="290">
        <v>219</v>
      </c>
      <c r="BA92" s="290">
        <v>67</v>
      </c>
      <c r="BB92" s="290">
        <v>0</v>
      </c>
      <c r="BC92" s="290">
        <v>2136</v>
      </c>
      <c r="BD92" s="290"/>
      <c r="BE92" s="290">
        <v>170476.36667680001</v>
      </c>
      <c r="BF92" s="290">
        <v>0</v>
      </c>
      <c r="BG92" s="290">
        <v>0</v>
      </c>
      <c r="BH92" s="290">
        <v>-773</v>
      </c>
      <c r="BI92" s="290">
        <v>2377</v>
      </c>
      <c r="BJ92" s="290">
        <v>547.54807117484484</v>
      </c>
      <c r="BK92" s="290">
        <v>7</v>
      </c>
      <c r="BL92" s="290"/>
      <c r="BM92" s="290">
        <v>0</v>
      </c>
      <c r="BN92" s="290">
        <v>1037</v>
      </c>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f>+innut23!E98+innut23!S98</f>
        <v>140823.88883003523</v>
      </c>
      <c r="CL92" s="290"/>
      <c r="CM92" s="290">
        <v>0</v>
      </c>
      <c r="CN92" s="290">
        <v>0</v>
      </c>
      <c r="CO92" s="290"/>
      <c r="CP92" s="290"/>
      <c r="CQ92" s="290"/>
      <c r="CX92" s="517">
        <f t="shared" si="3"/>
        <v>0</v>
      </c>
      <c r="DB92" s="85">
        <f t="shared" si="4"/>
        <v>0.83199999999999996</v>
      </c>
    </row>
    <row r="93" spans="1:106" ht="13">
      <c r="A93" s="1">
        <v>1874</v>
      </c>
      <c r="B93" s="2" t="s">
        <v>215</v>
      </c>
      <c r="C93" s="289"/>
      <c r="D93" s="290">
        <v>10</v>
      </c>
      <c r="E93" s="290">
        <v>23</v>
      </c>
      <c r="F93" s="290">
        <v>66</v>
      </c>
      <c r="G93" s="290">
        <v>62</v>
      </c>
      <c r="H93" s="290">
        <v>591</v>
      </c>
      <c r="I93" s="290">
        <v>145</v>
      </c>
      <c r="J93" s="290">
        <v>76</v>
      </c>
      <c r="K93" s="290">
        <v>19</v>
      </c>
      <c r="L93" s="290">
        <v>8</v>
      </c>
      <c r="M93" s="290">
        <v>112</v>
      </c>
      <c r="N93" s="290">
        <v>1.5</v>
      </c>
      <c r="O93" s="290">
        <v>6</v>
      </c>
      <c r="P93" s="624">
        <v>3677.4810000000002</v>
      </c>
      <c r="Q93" s="624">
        <v>4067.48433333</v>
      </c>
      <c r="R93" s="624">
        <v>0</v>
      </c>
      <c r="S93" s="290"/>
      <c r="T93" s="290">
        <v>122</v>
      </c>
      <c r="U93" s="958">
        <v>6.0908437304910694E-5</v>
      </c>
      <c r="V93" s="290">
        <v>708.48271717</v>
      </c>
      <c r="W93" s="765">
        <v>1</v>
      </c>
      <c r="X93" s="290">
        <v>0</v>
      </c>
      <c r="Y93" s="290"/>
      <c r="Z93" s="290">
        <f>+innut23!E99</f>
        <v>36848.564231202465</v>
      </c>
      <c r="AA93" s="290">
        <v>0</v>
      </c>
      <c r="AB93" s="290">
        <v>19</v>
      </c>
      <c r="AC93" s="290">
        <v>40</v>
      </c>
      <c r="AD93" s="290"/>
      <c r="AE93" s="290">
        <v>0</v>
      </c>
      <c r="AF93" s="290">
        <v>0</v>
      </c>
      <c r="AG93" s="290">
        <v>992</v>
      </c>
      <c r="AH93" s="290">
        <v>108</v>
      </c>
      <c r="AI93" s="290"/>
      <c r="AJ93" s="290"/>
      <c r="AK93" s="290">
        <v>0</v>
      </c>
      <c r="AL93" s="290">
        <v>1895</v>
      </c>
      <c r="AM93" s="957">
        <v>7.0631860000000005E-2</v>
      </c>
      <c r="AN93" s="290">
        <v>0</v>
      </c>
      <c r="AO93" s="290">
        <v>547.66593794000005</v>
      </c>
      <c r="AP93" s="290">
        <v>0</v>
      </c>
      <c r="AQ93" s="290">
        <v>0</v>
      </c>
      <c r="AR93" s="290">
        <v>2121.9783745200002</v>
      </c>
      <c r="AS93" s="290">
        <v>1641</v>
      </c>
      <c r="AT93" s="290">
        <v>44</v>
      </c>
      <c r="AU93" s="290">
        <v>36</v>
      </c>
      <c r="AV93" s="766">
        <v>50235</v>
      </c>
      <c r="AW93" s="290">
        <v>0</v>
      </c>
      <c r="AX93" s="766">
        <v>3.8332999999999999</v>
      </c>
      <c r="AY93" s="290">
        <v>157</v>
      </c>
      <c r="AZ93" s="290">
        <v>43</v>
      </c>
      <c r="BA93" s="290">
        <v>5</v>
      </c>
      <c r="BB93" s="290">
        <v>0</v>
      </c>
      <c r="BC93" s="290">
        <v>636</v>
      </c>
      <c r="BD93" s="290"/>
      <c r="BE93" s="290">
        <v>51822.748366109998</v>
      </c>
      <c r="BF93" s="290">
        <v>0</v>
      </c>
      <c r="BG93" s="290">
        <v>0</v>
      </c>
      <c r="BH93" s="290">
        <v>-168</v>
      </c>
      <c r="BI93" s="290">
        <v>667</v>
      </c>
      <c r="BJ93" s="290">
        <v>105.69384232929313</v>
      </c>
      <c r="BK93" s="290">
        <v>2</v>
      </c>
      <c r="BL93" s="290"/>
      <c r="BM93" s="290">
        <v>0</v>
      </c>
      <c r="BN93" s="290">
        <v>519</v>
      </c>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f>+innut23!E99+innut23!S99</f>
        <v>36848.564231202465</v>
      </c>
      <c r="CL93" s="290"/>
      <c r="CM93" s="290">
        <v>0</v>
      </c>
      <c r="CN93" s="290">
        <v>0</v>
      </c>
      <c r="CO93" s="290"/>
      <c r="CP93" s="290"/>
      <c r="CQ93" s="290"/>
      <c r="CX93" s="517">
        <f t="shared" si="3"/>
        <v>0</v>
      </c>
      <c r="DB93" s="85">
        <f t="shared" si="4"/>
        <v>0.182</v>
      </c>
    </row>
    <row r="94" spans="1:106" ht="13">
      <c r="A94" s="1">
        <v>1875</v>
      </c>
      <c r="B94" s="2" t="s">
        <v>1617</v>
      </c>
      <c r="C94" s="289"/>
      <c r="D94" s="290">
        <v>42</v>
      </c>
      <c r="E94" s="290">
        <v>77</v>
      </c>
      <c r="F94" s="290">
        <v>250</v>
      </c>
      <c r="G94" s="290">
        <v>213</v>
      </c>
      <c r="H94" s="290">
        <v>1445</v>
      </c>
      <c r="I94" s="290">
        <v>467</v>
      </c>
      <c r="J94" s="290">
        <v>154</v>
      </c>
      <c r="K94" s="290">
        <v>43</v>
      </c>
      <c r="L94" s="290">
        <v>19</v>
      </c>
      <c r="M94" s="290">
        <v>344</v>
      </c>
      <c r="N94" s="290">
        <v>30</v>
      </c>
      <c r="O94" s="290">
        <v>24</v>
      </c>
      <c r="P94" s="624">
        <v>65070.44233333</v>
      </c>
      <c r="Q94" s="624">
        <v>16511.064666670001</v>
      </c>
      <c r="R94" s="624">
        <v>27</v>
      </c>
      <c r="S94" s="290"/>
      <c r="T94" s="290">
        <v>262</v>
      </c>
      <c r="U94" s="958">
        <v>1.7814530686232305E-3</v>
      </c>
      <c r="V94" s="290">
        <v>-833.91767184000003</v>
      </c>
      <c r="W94" s="765">
        <v>1</v>
      </c>
      <c r="X94" s="290">
        <v>0</v>
      </c>
      <c r="Y94" s="290"/>
      <c r="Z94" s="290">
        <f>+innut23!E100</f>
        <v>86131.303831645331</v>
      </c>
      <c r="AA94" s="290">
        <v>0</v>
      </c>
      <c r="AB94" s="290">
        <v>75</v>
      </c>
      <c r="AC94" s="290">
        <v>425</v>
      </c>
      <c r="AD94" s="290"/>
      <c r="AE94" s="290">
        <v>0</v>
      </c>
      <c r="AF94" s="290">
        <v>11963</v>
      </c>
      <c r="AG94" s="290">
        <v>2691</v>
      </c>
      <c r="AH94" s="290">
        <v>400</v>
      </c>
      <c r="AI94" s="290"/>
      <c r="AJ94" s="290"/>
      <c r="AK94" s="290">
        <v>936</v>
      </c>
      <c r="AL94" s="290">
        <v>5226</v>
      </c>
      <c r="AM94" s="957">
        <v>4.4161779999999998E-2</v>
      </c>
      <c r="AN94" s="290">
        <v>0</v>
      </c>
      <c r="AO94" s="290">
        <v>1539.1313638700001</v>
      </c>
      <c r="AP94" s="290">
        <v>0</v>
      </c>
      <c r="AQ94" s="290">
        <v>0</v>
      </c>
      <c r="AR94" s="290">
        <v>-110.43488805</v>
      </c>
      <c r="AS94" s="290">
        <v>4277</v>
      </c>
      <c r="AT94" s="290">
        <v>102</v>
      </c>
      <c r="AU94" s="290">
        <v>25</v>
      </c>
      <c r="AV94" s="766">
        <v>135402</v>
      </c>
      <c r="AW94" s="290">
        <v>0</v>
      </c>
      <c r="AX94" s="766">
        <v>17.5</v>
      </c>
      <c r="AY94" s="290">
        <v>599</v>
      </c>
      <c r="AZ94" s="290">
        <v>127</v>
      </c>
      <c r="BA94" s="290">
        <v>38</v>
      </c>
      <c r="BB94" s="290">
        <v>0</v>
      </c>
      <c r="BC94" s="290">
        <v>14610</v>
      </c>
      <c r="BD94" s="290"/>
      <c r="BE94" s="290">
        <v>148162.57743529999</v>
      </c>
      <c r="BF94" s="290">
        <v>0</v>
      </c>
      <c r="BG94" s="290">
        <v>0</v>
      </c>
      <c r="BH94" s="290">
        <v>-459</v>
      </c>
      <c r="BI94" s="290">
        <v>15280</v>
      </c>
      <c r="BJ94" s="290">
        <v>345.94324121942077</v>
      </c>
      <c r="BK94" s="290">
        <v>4</v>
      </c>
      <c r="BL94" s="290"/>
      <c r="BM94" s="290">
        <v>0</v>
      </c>
      <c r="BN94" s="290">
        <v>1556</v>
      </c>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f>+innut23!E100+innut23!S100</f>
        <v>86131.303831645331</v>
      </c>
      <c r="CL94" s="290"/>
      <c r="CM94" s="290">
        <v>771.87242114579612</v>
      </c>
      <c r="CN94" s="290">
        <v>745.0518955489822</v>
      </c>
      <c r="CO94" s="290"/>
      <c r="CP94" s="290"/>
      <c r="CQ94" s="290"/>
      <c r="CX94" s="517">
        <f t="shared" si="3"/>
        <v>0</v>
      </c>
      <c r="DB94" s="85">
        <f t="shared" si="4"/>
        <v>0.49299999999999999</v>
      </c>
    </row>
    <row r="95" spans="1:106" ht="13">
      <c r="A95" s="1">
        <v>3001</v>
      </c>
      <c r="B95" s="2" t="s">
        <v>783</v>
      </c>
      <c r="C95" s="289"/>
      <c r="D95" s="290">
        <v>548</v>
      </c>
      <c r="E95" s="290">
        <v>1162</v>
      </c>
      <c r="F95" s="290">
        <v>3634</v>
      </c>
      <c r="G95" s="290">
        <v>2569</v>
      </c>
      <c r="H95" s="290">
        <v>17705</v>
      </c>
      <c r="I95" s="290">
        <v>4411</v>
      </c>
      <c r="J95" s="290">
        <v>1290</v>
      </c>
      <c r="K95" s="290">
        <v>314</v>
      </c>
      <c r="L95" s="290">
        <v>255</v>
      </c>
      <c r="M95" s="290">
        <v>2649</v>
      </c>
      <c r="N95" s="290">
        <v>1215</v>
      </c>
      <c r="O95" s="290">
        <v>227</v>
      </c>
      <c r="P95" s="624">
        <v>86326.128333329994</v>
      </c>
      <c r="Q95" s="624">
        <v>65633.264666670002</v>
      </c>
      <c r="R95" s="624">
        <v>136</v>
      </c>
      <c r="S95" s="290"/>
      <c r="T95" s="290">
        <v>3141</v>
      </c>
      <c r="U95" s="958">
        <v>4.2430125079836309E-3</v>
      </c>
      <c r="V95" s="290">
        <v>9896.5925485099997</v>
      </c>
      <c r="W95" s="765">
        <v>0.55801782</v>
      </c>
      <c r="X95" s="290">
        <v>2500</v>
      </c>
      <c r="Y95" s="290"/>
      <c r="Z95" s="290">
        <f>+innut23!E101</f>
        <v>894102.12977896642</v>
      </c>
      <c r="AA95" s="290">
        <v>0</v>
      </c>
      <c r="AB95" s="290">
        <v>1033</v>
      </c>
      <c r="AC95" s="290">
        <v>9542</v>
      </c>
      <c r="AD95" s="290"/>
      <c r="AE95" s="290">
        <v>0</v>
      </c>
      <c r="AF95" s="290">
        <v>0</v>
      </c>
      <c r="AG95" s="290">
        <v>31633</v>
      </c>
      <c r="AH95" s="290">
        <v>5442</v>
      </c>
      <c r="AI95" s="290"/>
      <c r="AJ95" s="290"/>
      <c r="AK95" s="290">
        <v>0</v>
      </c>
      <c r="AL95" s="290">
        <v>0</v>
      </c>
      <c r="AM95" s="957">
        <v>1.74042377</v>
      </c>
      <c r="AN95" s="290">
        <v>0</v>
      </c>
      <c r="AO95" s="290">
        <v>14376.16997504</v>
      </c>
      <c r="AP95" s="290">
        <v>0</v>
      </c>
      <c r="AQ95" s="290">
        <v>0</v>
      </c>
      <c r="AR95" s="290">
        <v>-1298.1742153800001</v>
      </c>
      <c r="AS95" s="290">
        <v>49543</v>
      </c>
      <c r="AT95" s="290">
        <v>2004</v>
      </c>
      <c r="AU95" s="290">
        <v>509</v>
      </c>
      <c r="AV95" s="766">
        <v>805447</v>
      </c>
      <c r="AW95" s="290">
        <v>0</v>
      </c>
      <c r="AX95" s="766">
        <v>210.91665</v>
      </c>
      <c r="AY95" s="290">
        <v>7340</v>
      </c>
      <c r="AZ95" s="290">
        <v>1687</v>
      </c>
      <c r="BA95" s="290">
        <v>787</v>
      </c>
      <c r="BB95" s="290">
        <v>0</v>
      </c>
      <c r="BC95" s="290">
        <v>17485</v>
      </c>
      <c r="BD95" s="290"/>
      <c r="BE95" s="290">
        <v>948791.89450725995</v>
      </c>
      <c r="BF95" s="290">
        <v>0</v>
      </c>
      <c r="BG95" s="290">
        <v>0</v>
      </c>
      <c r="BH95" s="290">
        <v>-5312</v>
      </c>
      <c r="BI95" s="290">
        <v>20688</v>
      </c>
      <c r="BJ95" s="290">
        <v>3843.0685883151723</v>
      </c>
      <c r="BK95" s="290">
        <v>66</v>
      </c>
      <c r="BL95" s="290"/>
      <c r="BM95" s="290">
        <v>0</v>
      </c>
      <c r="BN95" s="290">
        <v>5704</v>
      </c>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f>+innut23!E101+innut23!S101</f>
        <v>894102.12977896642</v>
      </c>
      <c r="CL95" s="290"/>
      <c r="CM95" s="290">
        <v>0</v>
      </c>
      <c r="CN95" s="290">
        <v>0</v>
      </c>
      <c r="CO95" s="290"/>
      <c r="CP95" s="290"/>
      <c r="CQ95" s="290"/>
      <c r="CX95" s="517">
        <f t="shared" si="3"/>
        <v>0</v>
      </c>
      <c r="DB95" s="85">
        <f t="shared" si="4"/>
        <v>5.798</v>
      </c>
    </row>
    <row r="96" spans="1:106" ht="13">
      <c r="A96" s="1">
        <v>3002</v>
      </c>
      <c r="B96" s="2" t="s">
        <v>1618</v>
      </c>
      <c r="C96" s="289"/>
      <c r="D96" s="290">
        <v>924</v>
      </c>
      <c r="E96" s="290">
        <v>1881</v>
      </c>
      <c r="F96" s="290">
        <v>5811</v>
      </c>
      <c r="G96" s="290">
        <v>4075</v>
      </c>
      <c r="H96" s="290">
        <v>28728</v>
      </c>
      <c r="I96" s="290">
        <v>6846</v>
      </c>
      <c r="J96" s="290">
        <v>2104</v>
      </c>
      <c r="K96" s="290">
        <v>446</v>
      </c>
      <c r="L96" s="290">
        <v>397</v>
      </c>
      <c r="M96" s="290">
        <v>4328</v>
      </c>
      <c r="N96" s="290">
        <v>1970</v>
      </c>
      <c r="O96" s="290">
        <v>510</v>
      </c>
      <c r="P96" s="624">
        <v>89588.108333330005</v>
      </c>
      <c r="Q96" s="624">
        <v>39826.241999999998</v>
      </c>
      <c r="R96" s="624">
        <v>181</v>
      </c>
      <c r="S96" s="290"/>
      <c r="T96" s="290">
        <v>5024</v>
      </c>
      <c r="U96" s="958">
        <v>2.0383533862746183E-3</v>
      </c>
      <c r="V96" s="290">
        <v>-22111.177026270001</v>
      </c>
      <c r="W96" s="765">
        <v>0.53574069000000002</v>
      </c>
      <c r="X96" s="290">
        <v>3300</v>
      </c>
      <c r="Y96" s="290"/>
      <c r="Z96" s="290">
        <f>+innut23!E102</f>
        <v>1660309.2609549679</v>
      </c>
      <c r="AA96" s="290">
        <v>0</v>
      </c>
      <c r="AB96" s="290">
        <v>1558</v>
      </c>
      <c r="AC96" s="290">
        <v>10929</v>
      </c>
      <c r="AD96" s="290"/>
      <c r="AE96" s="290">
        <v>0</v>
      </c>
      <c r="AF96" s="290">
        <v>16061</v>
      </c>
      <c r="AG96" s="290">
        <v>50815</v>
      </c>
      <c r="AH96" s="290">
        <v>8821</v>
      </c>
      <c r="AI96" s="290"/>
      <c r="AJ96" s="290"/>
      <c r="AK96" s="290">
        <v>0</v>
      </c>
      <c r="AL96" s="290">
        <v>0</v>
      </c>
      <c r="AM96" s="957">
        <v>3.18331834</v>
      </c>
      <c r="AN96" s="290">
        <v>0</v>
      </c>
      <c r="AO96" s="290">
        <v>22477.518231679998</v>
      </c>
      <c r="AP96" s="290">
        <v>0</v>
      </c>
      <c r="AQ96" s="290">
        <v>0</v>
      </c>
      <c r="AR96" s="290">
        <v>-2085.37675068</v>
      </c>
      <c r="AS96" s="290">
        <v>83057</v>
      </c>
      <c r="AT96" s="290">
        <v>3235</v>
      </c>
      <c r="AU96" s="290">
        <v>892</v>
      </c>
      <c r="AV96" s="766">
        <v>1216260</v>
      </c>
      <c r="AW96" s="290">
        <v>0</v>
      </c>
      <c r="AX96" s="766">
        <v>318.16665</v>
      </c>
      <c r="AY96" s="290">
        <v>12839</v>
      </c>
      <c r="AZ96" s="290">
        <v>2790</v>
      </c>
      <c r="BA96" s="290">
        <v>1131</v>
      </c>
      <c r="BB96" s="290">
        <v>0</v>
      </c>
      <c r="BC96" s="290">
        <v>40120</v>
      </c>
      <c r="BD96" s="290"/>
      <c r="BE96" s="290">
        <v>1417522.8131825</v>
      </c>
      <c r="BF96" s="290">
        <v>0</v>
      </c>
      <c r="BG96" s="290">
        <v>0</v>
      </c>
      <c r="BH96" s="290">
        <v>-8469</v>
      </c>
      <c r="BI96" s="290">
        <v>44626</v>
      </c>
      <c r="BJ96" s="290">
        <v>6082.9084442291096</v>
      </c>
      <c r="BK96" s="290">
        <v>108</v>
      </c>
      <c r="BL96" s="290"/>
      <c r="BM96" s="290">
        <v>7139</v>
      </c>
      <c r="BN96" s="290">
        <v>8815</v>
      </c>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f>+innut23!E102+innut23!S102</f>
        <v>1660309.2609549679</v>
      </c>
      <c r="CL96" s="290"/>
      <c r="CM96" s="290">
        <v>0</v>
      </c>
      <c r="CN96" s="290">
        <v>0</v>
      </c>
      <c r="CO96" s="290"/>
      <c r="CP96" s="290"/>
      <c r="CQ96" s="290"/>
      <c r="CX96" s="517">
        <f t="shared" si="3"/>
        <v>0</v>
      </c>
      <c r="DB96" s="85">
        <f t="shared" si="4"/>
        <v>9.3140000000000001</v>
      </c>
    </row>
    <row r="97" spans="1:106" ht="13">
      <c r="A97" s="1">
        <v>3003</v>
      </c>
      <c r="B97" s="2" t="s">
        <v>785</v>
      </c>
      <c r="C97" s="289"/>
      <c r="D97" s="290">
        <v>1126</v>
      </c>
      <c r="E97" s="290">
        <v>2430</v>
      </c>
      <c r="F97" s="290">
        <v>7076</v>
      </c>
      <c r="G97" s="290">
        <v>4875</v>
      </c>
      <c r="H97" s="290">
        <v>33153</v>
      </c>
      <c r="I97" s="290">
        <v>7267</v>
      </c>
      <c r="J97" s="290">
        <v>2209</v>
      </c>
      <c r="K97" s="290">
        <v>473</v>
      </c>
      <c r="L97" s="290">
        <v>472</v>
      </c>
      <c r="M97" s="290">
        <v>4545</v>
      </c>
      <c r="N97" s="290">
        <v>4114</v>
      </c>
      <c r="O97" s="290">
        <v>584</v>
      </c>
      <c r="P97" s="624">
        <v>134247.20833333</v>
      </c>
      <c r="Q97" s="624">
        <v>76838.994333330003</v>
      </c>
      <c r="R97" s="624">
        <v>261</v>
      </c>
      <c r="S97" s="290"/>
      <c r="T97" s="290">
        <v>5184</v>
      </c>
      <c r="U97" s="958">
        <v>5.5601769968770401E-3</v>
      </c>
      <c r="V97" s="290">
        <v>-3377.6691076699999</v>
      </c>
      <c r="W97" s="765">
        <v>0.54593564000000006</v>
      </c>
      <c r="X97" s="290">
        <v>3500</v>
      </c>
      <c r="Y97" s="290"/>
      <c r="Z97" s="290">
        <f>+innut23!E103</f>
        <v>1714019.0301113019</v>
      </c>
      <c r="AA97" s="290">
        <v>0</v>
      </c>
      <c r="AB97" s="290">
        <v>1846</v>
      </c>
      <c r="AC97" s="290">
        <v>26565</v>
      </c>
      <c r="AD97" s="290"/>
      <c r="AE97" s="290">
        <v>0</v>
      </c>
      <c r="AF97" s="290">
        <v>0</v>
      </c>
      <c r="AG97" s="290">
        <v>58609</v>
      </c>
      <c r="AH97" s="290">
        <v>10736</v>
      </c>
      <c r="AI97" s="290"/>
      <c r="AJ97" s="290"/>
      <c r="AK97" s="290">
        <v>0</v>
      </c>
      <c r="AL97" s="290">
        <v>0</v>
      </c>
      <c r="AM97" s="957">
        <v>4.2296105400000004</v>
      </c>
      <c r="AN97" s="290">
        <v>0</v>
      </c>
      <c r="AO97" s="290">
        <v>26826.10570733</v>
      </c>
      <c r="AP97" s="290">
        <v>0</v>
      </c>
      <c r="AQ97" s="290">
        <v>0</v>
      </c>
      <c r="AR97" s="290">
        <v>-2405.23164382</v>
      </c>
      <c r="AS97" s="290">
        <v>91205</v>
      </c>
      <c r="AT97" s="290">
        <v>3778</v>
      </c>
      <c r="AU97" s="290">
        <v>1095</v>
      </c>
      <c r="AV97" s="766">
        <v>1529813</v>
      </c>
      <c r="AW97" s="290">
        <v>0</v>
      </c>
      <c r="AX97" s="766">
        <v>335.54165</v>
      </c>
      <c r="AY97" s="290">
        <v>12116</v>
      </c>
      <c r="AZ97" s="290">
        <v>3461</v>
      </c>
      <c r="BA97" s="290">
        <v>1468</v>
      </c>
      <c r="BB97" s="290">
        <v>0</v>
      </c>
      <c r="BC97" s="290">
        <v>39544</v>
      </c>
      <c r="BD97" s="290"/>
      <c r="BE97" s="290">
        <v>1771591.3547586</v>
      </c>
      <c r="BF97" s="290">
        <v>0</v>
      </c>
      <c r="BG97" s="290">
        <v>0</v>
      </c>
      <c r="BH97" s="290">
        <v>-9816</v>
      </c>
      <c r="BI97" s="290">
        <v>48190</v>
      </c>
      <c r="BJ97" s="290">
        <v>7439.1652295780686</v>
      </c>
      <c r="BK97" s="290">
        <v>140</v>
      </c>
      <c r="BL97" s="290"/>
      <c r="BM97" s="290">
        <v>0</v>
      </c>
      <c r="BN97" s="290">
        <v>10889</v>
      </c>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f>+innut23!E103+innut23!S103</f>
        <v>1714019.0301113019</v>
      </c>
      <c r="CL97" s="290"/>
      <c r="CM97" s="290">
        <v>0</v>
      </c>
      <c r="CN97" s="290">
        <v>0</v>
      </c>
      <c r="CO97" s="290"/>
      <c r="CP97" s="290"/>
      <c r="CQ97" s="290"/>
      <c r="CX97" s="517">
        <f t="shared" si="3"/>
        <v>0</v>
      </c>
      <c r="DB97" s="85">
        <f t="shared" si="4"/>
        <v>10.743</v>
      </c>
    </row>
    <row r="98" spans="1:106" ht="13">
      <c r="A98" s="1">
        <v>3004</v>
      </c>
      <c r="B98" s="2" t="s">
        <v>786</v>
      </c>
      <c r="C98" s="289"/>
      <c r="D98" s="290">
        <v>1477</v>
      </c>
      <c r="E98" s="290">
        <v>3233</v>
      </c>
      <c r="F98" s="290">
        <v>9610</v>
      </c>
      <c r="G98" s="290">
        <v>7125</v>
      </c>
      <c r="H98" s="290">
        <v>47919</v>
      </c>
      <c r="I98" s="290">
        <v>10870</v>
      </c>
      <c r="J98" s="290">
        <v>3304</v>
      </c>
      <c r="K98" s="290">
        <v>679</v>
      </c>
      <c r="L98" s="290">
        <v>667</v>
      </c>
      <c r="M98" s="290">
        <v>6394</v>
      </c>
      <c r="N98" s="290">
        <v>5547</v>
      </c>
      <c r="O98" s="290">
        <v>743</v>
      </c>
      <c r="P98" s="624">
        <v>157825.01733333</v>
      </c>
      <c r="Q98" s="624">
        <v>85989.004333329998</v>
      </c>
      <c r="R98" s="624">
        <v>298</v>
      </c>
      <c r="S98" s="290"/>
      <c r="T98" s="290">
        <v>7596</v>
      </c>
      <c r="U98" s="958">
        <v>4.9068600100373033E-3</v>
      </c>
      <c r="V98" s="290">
        <v>-8699.1247444300006</v>
      </c>
      <c r="W98" s="765">
        <v>0.54260865999999996</v>
      </c>
      <c r="X98" s="290">
        <v>5200</v>
      </c>
      <c r="Y98" s="290"/>
      <c r="Z98" s="290">
        <f>+innut23!E104</f>
        <v>2617453.3684428693</v>
      </c>
      <c r="AA98" s="290">
        <v>0</v>
      </c>
      <c r="AB98" s="290">
        <v>2421</v>
      </c>
      <c r="AC98" s="290">
        <v>16186</v>
      </c>
      <c r="AD98" s="290"/>
      <c r="AE98" s="290">
        <v>0</v>
      </c>
      <c r="AF98" s="290">
        <v>0</v>
      </c>
      <c r="AG98" s="290">
        <v>84217</v>
      </c>
      <c r="AH98" s="290">
        <v>14737</v>
      </c>
      <c r="AI98" s="290"/>
      <c r="AJ98" s="290"/>
      <c r="AK98" s="290">
        <v>0</v>
      </c>
      <c r="AL98" s="290">
        <v>0</v>
      </c>
      <c r="AM98" s="957">
        <v>5.4317395199999998</v>
      </c>
      <c r="AN98" s="290">
        <v>0</v>
      </c>
      <c r="AO98" s="290">
        <v>37038.020541650003</v>
      </c>
      <c r="AP98" s="290">
        <v>0</v>
      </c>
      <c r="AQ98" s="290">
        <v>0</v>
      </c>
      <c r="AR98" s="290">
        <v>-2905.8558685100002</v>
      </c>
      <c r="AS98" s="290">
        <v>133035</v>
      </c>
      <c r="AT98" s="290">
        <v>5324</v>
      </c>
      <c r="AU98" s="290">
        <v>1530</v>
      </c>
      <c r="AV98" s="766">
        <v>2002193</v>
      </c>
      <c r="AW98" s="290">
        <v>0</v>
      </c>
      <c r="AX98" s="766">
        <v>512.83335</v>
      </c>
      <c r="AY98" s="290">
        <v>21064</v>
      </c>
      <c r="AZ98" s="290">
        <v>4693</v>
      </c>
      <c r="BA98" s="290">
        <v>1920</v>
      </c>
      <c r="BB98" s="290">
        <v>0</v>
      </c>
      <c r="BC98" s="290">
        <v>40672</v>
      </c>
      <c r="BD98" s="290"/>
      <c r="BE98" s="290">
        <v>2307574.8871165002</v>
      </c>
      <c r="BF98" s="290">
        <v>0</v>
      </c>
      <c r="BG98" s="290">
        <v>0</v>
      </c>
      <c r="BH98" s="290">
        <v>-14166</v>
      </c>
      <c r="BI98" s="290">
        <v>46478</v>
      </c>
      <c r="BJ98" s="290">
        <v>10040.393305029831</v>
      </c>
      <c r="BK98" s="290">
        <v>193</v>
      </c>
      <c r="BL98" s="290"/>
      <c r="BM98" s="290">
        <v>0</v>
      </c>
      <c r="BN98" s="290">
        <v>15555</v>
      </c>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f>+innut23!E104+innut23!S104</f>
        <v>2617453.3684428693</v>
      </c>
      <c r="CL98" s="290"/>
      <c r="CM98" s="290">
        <v>0</v>
      </c>
      <c r="CN98" s="290">
        <v>0</v>
      </c>
      <c r="CO98" s="290"/>
      <c r="CP98" s="290"/>
      <c r="CQ98" s="290"/>
      <c r="CX98" s="517">
        <f t="shared" si="3"/>
        <v>0</v>
      </c>
      <c r="DB98" s="85">
        <f t="shared" si="4"/>
        <v>15.436</v>
      </c>
    </row>
    <row r="99" spans="1:106" ht="13">
      <c r="A99" s="1">
        <v>3005</v>
      </c>
      <c r="B99" s="2" t="s">
        <v>1619</v>
      </c>
      <c r="C99" s="289"/>
      <c r="D99" s="290">
        <v>1960</v>
      </c>
      <c r="E99" s="290">
        <v>4260</v>
      </c>
      <c r="F99" s="290">
        <v>11950</v>
      </c>
      <c r="G99" s="290">
        <v>8591</v>
      </c>
      <c r="H99" s="290">
        <v>59458</v>
      </c>
      <c r="I99" s="290">
        <v>11955</v>
      </c>
      <c r="J99" s="290">
        <v>3740</v>
      </c>
      <c r="K99" s="290">
        <v>800</v>
      </c>
      <c r="L99" s="290">
        <v>807</v>
      </c>
      <c r="M99" s="290">
        <v>7598</v>
      </c>
      <c r="N99" s="290">
        <v>6662</v>
      </c>
      <c r="O99" s="290">
        <v>1184</v>
      </c>
      <c r="P99" s="624">
        <v>209944.06866667001</v>
      </c>
      <c r="Q99" s="624">
        <v>95918.023000000001</v>
      </c>
      <c r="R99" s="624">
        <v>378</v>
      </c>
      <c r="S99" s="290"/>
      <c r="T99" s="290">
        <v>9827</v>
      </c>
      <c r="U99" s="958">
        <v>2.3238111743822754E-3</v>
      </c>
      <c r="V99" s="290">
        <v>29241.752622339998</v>
      </c>
      <c r="W99" s="765">
        <v>0.53373672000000005</v>
      </c>
      <c r="X99" s="290">
        <v>5000</v>
      </c>
      <c r="Y99" s="290"/>
      <c r="Z99" s="290">
        <f>+innut23!E105</f>
        <v>3508215.3790989113</v>
      </c>
      <c r="AA99" s="290">
        <v>0</v>
      </c>
      <c r="AB99" s="290">
        <v>2620</v>
      </c>
      <c r="AC99" s="290">
        <v>19387</v>
      </c>
      <c r="AD99" s="290"/>
      <c r="AE99" s="290">
        <v>0</v>
      </c>
      <c r="AF99" s="290">
        <v>32122</v>
      </c>
      <c r="AG99" s="290">
        <v>102714</v>
      </c>
      <c r="AH99" s="290">
        <v>18527</v>
      </c>
      <c r="AI99" s="290"/>
      <c r="AJ99" s="290"/>
      <c r="AK99" s="290">
        <v>0</v>
      </c>
      <c r="AL99" s="290">
        <v>0</v>
      </c>
      <c r="AM99" s="957">
        <v>7.5744176799999998</v>
      </c>
      <c r="AN99" s="290">
        <v>0</v>
      </c>
      <c r="AO99" s="290">
        <v>45664.744323600004</v>
      </c>
      <c r="AP99" s="290">
        <v>41727</v>
      </c>
      <c r="AQ99" s="290">
        <v>0</v>
      </c>
      <c r="AR99" s="290">
        <v>-4215.2393499899999</v>
      </c>
      <c r="AS99" s="290">
        <v>165174</v>
      </c>
      <c r="AT99" s="290">
        <v>6331</v>
      </c>
      <c r="AU99" s="290">
        <v>1860</v>
      </c>
      <c r="AV99" s="766">
        <v>2603762</v>
      </c>
      <c r="AW99" s="290">
        <v>0</v>
      </c>
      <c r="AX99" s="766">
        <v>714.37495000000001</v>
      </c>
      <c r="AY99" s="290">
        <v>26321</v>
      </c>
      <c r="AZ99" s="290">
        <v>6728</v>
      </c>
      <c r="BA99" s="290">
        <v>2238</v>
      </c>
      <c r="BB99" s="290">
        <v>0</v>
      </c>
      <c r="BC99" s="290">
        <v>78697</v>
      </c>
      <c r="BD99" s="290"/>
      <c r="BE99" s="290">
        <v>2993553.1083570002</v>
      </c>
      <c r="BF99" s="290">
        <v>0</v>
      </c>
      <c r="BG99" s="290">
        <v>0</v>
      </c>
      <c r="BH99" s="290">
        <v>-17326</v>
      </c>
      <c r="BI99" s="290">
        <v>86628</v>
      </c>
      <c r="BJ99" s="290">
        <v>12577.184807993475</v>
      </c>
      <c r="BK99" s="290">
        <v>242</v>
      </c>
      <c r="BL99" s="290"/>
      <c r="BM99" s="290">
        <v>0</v>
      </c>
      <c r="BN99" s="290">
        <v>16592</v>
      </c>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f>+innut23!E105+innut23!S105</f>
        <v>3508215.3790989113</v>
      </c>
      <c r="CL99" s="290"/>
      <c r="CM99" s="290">
        <v>0</v>
      </c>
      <c r="CN99" s="290">
        <v>0</v>
      </c>
      <c r="CO99" s="290"/>
      <c r="CP99" s="290"/>
      <c r="CQ99" s="290"/>
      <c r="CX99" s="517">
        <f t="shared" si="3"/>
        <v>0</v>
      </c>
      <c r="DB99" s="85">
        <f t="shared" si="4"/>
        <v>18.827000000000002</v>
      </c>
    </row>
    <row r="100" spans="1:106" ht="13">
      <c r="A100" s="1">
        <v>3006</v>
      </c>
      <c r="B100" s="2" t="s">
        <v>872</v>
      </c>
      <c r="C100" s="289"/>
      <c r="D100" s="290">
        <v>458</v>
      </c>
      <c r="E100" s="290">
        <v>1046</v>
      </c>
      <c r="F100" s="290">
        <v>3491</v>
      </c>
      <c r="G100" s="290">
        <v>2282</v>
      </c>
      <c r="H100" s="290">
        <v>15909</v>
      </c>
      <c r="I100" s="290">
        <v>3721</v>
      </c>
      <c r="J100" s="290">
        <v>1107</v>
      </c>
      <c r="K100" s="290">
        <v>235</v>
      </c>
      <c r="L100" s="290">
        <v>200</v>
      </c>
      <c r="M100" s="290">
        <v>2065</v>
      </c>
      <c r="N100" s="290">
        <v>858</v>
      </c>
      <c r="O100" s="290">
        <v>303</v>
      </c>
      <c r="P100" s="624">
        <v>85205.623666669999</v>
      </c>
      <c r="Q100" s="624">
        <v>37613.136666669998</v>
      </c>
      <c r="R100" s="624">
        <v>107</v>
      </c>
      <c r="S100" s="290"/>
      <c r="T100" s="290">
        <v>2870</v>
      </c>
      <c r="U100" s="958">
        <v>3.7118399953819082E-3</v>
      </c>
      <c r="V100" s="290">
        <v>-5712.2244186400003</v>
      </c>
      <c r="W100" s="765">
        <v>0.56329039999999997</v>
      </c>
      <c r="X100" s="290">
        <v>1900</v>
      </c>
      <c r="Y100" s="290"/>
      <c r="Z100" s="290">
        <f>+innut23!E106</f>
        <v>1048807.4278502199</v>
      </c>
      <c r="AA100" s="290">
        <v>0</v>
      </c>
      <c r="AB100" s="290">
        <v>720</v>
      </c>
      <c r="AC100" s="290">
        <v>2888</v>
      </c>
      <c r="AD100" s="290"/>
      <c r="AE100" s="290">
        <v>0</v>
      </c>
      <c r="AF100" s="290">
        <v>0</v>
      </c>
      <c r="AG100" s="290">
        <v>28249</v>
      </c>
      <c r="AH100" s="290">
        <v>5045</v>
      </c>
      <c r="AI100" s="290"/>
      <c r="AJ100" s="290"/>
      <c r="AK100" s="290">
        <v>0</v>
      </c>
      <c r="AL100" s="290">
        <v>0</v>
      </c>
      <c r="AM100" s="957">
        <v>0.84411594000000001</v>
      </c>
      <c r="AN100" s="290">
        <v>0</v>
      </c>
      <c r="AO100" s="290">
        <v>12530.35780879</v>
      </c>
      <c r="AP100" s="290">
        <v>0</v>
      </c>
      <c r="AQ100" s="290">
        <v>0</v>
      </c>
      <c r="AR100" s="290">
        <v>-1159.2995735500001</v>
      </c>
      <c r="AS100" s="290">
        <v>40594</v>
      </c>
      <c r="AT100" s="290">
        <v>1508</v>
      </c>
      <c r="AU100" s="290">
        <v>354</v>
      </c>
      <c r="AV100" s="766">
        <v>674865</v>
      </c>
      <c r="AW100" s="290">
        <v>0</v>
      </c>
      <c r="AX100" s="766">
        <v>171.75</v>
      </c>
      <c r="AY100" s="290">
        <v>8673</v>
      </c>
      <c r="AZ100" s="290">
        <v>1229</v>
      </c>
      <c r="BA100" s="290">
        <v>606</v>
      </c>
      <c r="BB100" s="290">
        <v>0</v>
      </c>
      <c r="BC100" s="290">
        <v>13303</v>
      </c>
      <c r="BD100" s="290"/>
      <c r="BE100" s="290">
        <v>785433.74226264004</v>
      </c>
      <c r="BF100" s="290">
        <v>0</v>
      </c>
      <c r="BG100" s="290">
        <v>0</v>
      </c>
      <c r="BH100" s="290">
        <v>-4700</v>
      </c>
      <c r="BI100" s="290">
        <v>14674</v>
      </c>
      <c r="BJ100" s="290">
        <v>3695.4904754465438</v>
      </c>
      <c r="BK100" s="290">
        <v>51</v>
      </c>
      <c r="BL100" s="290"/>
      <c r="BM100" s="290">
        <v>0</v>
      </c>
      <c r="BN100" s="290">
        <v>6741</v>
      </c>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f>+innut23!E106+innut23!S106</f>
        <v>1048807.4278502199</v>
      </c>
      <c r="CL100" s="290"/>
      <c r="CM100" s="290">
        <v>0</v>
      </c>
      <c r="CN100" s="290">
        <v>0</v>
      </c>
      <c r="CO100" s="290"/>
      <c r="CP100" s="290"/>
      <c r="CQ100" s="290"/>
      <c r="CX100" s="517">
        <f t="shared" si="3"/>
        <v>0</v>
      </c>
      <c r="DB100" s="85">
        <f t="shared" si="4"/>
        <v>5.1779999999999999</v>
      </c>
    </row>
    <row r="101" spans="1:106" ht="13">
      <c r="A101" s="1">
        <v>3007</v>
      </c>
      <c r="B101" s="2" t="s">
        <v>873</v>
      </c>
      <c r="C101" s="289"/>
      <c r="D101" s="290">
        <v>535</v>
      </c>
      <c r="E101" s="290">
        <v>1109</v>
      </c>
      <c r="F101" s="290">
        <v>3379</v>
      </c>
      <c r="G101" s="290">
        <v>2455</v>
      </c>
      <c r="H101" s="290">
        <v>17775</v>
      </c>
      <c r="I101" s="290">
        <v>4406</v>
      </c>
      <c r="J101" s="290">
        <v>1285</v>
      </c>
      <c r="K101" s="290">
        <v>297</v>
      </c>
      <c r="L101" s="290">
        <v>252</v>
      </c>
      <c r="M101" s="290">
        <v>2776</v>
      </c>
      <c r="N101" s="290">
        <v>1065</v>
      </c>
      <c r="O101" s="290">
        <v>312</v>
      </c>
      <c r="P101" s="624">
        <v>134586.60733333</v>
      </c>
      <c r="Q101" s="624">
        <v>80704.051666669999</v>
      </c>
      <c r="R101" s="624">
        <v>100</v>
      </c>
      <c r="S101" s="290"/>
      <c r="T101" s="290">
        <v>3226</v>
      </c>
      <c r="U101" s="958">
        <v>6.2601921915508216E-3</v>
      </c>
      <c r="V101" s="290">
        <v>-6475.0054750299996</v>
      </c>
      <c r="W101" s="765">
        <v>0.60768902000000002</v>
      </c>
      <c r="X101" s="290">
        <v>2500</v>
      </c>
      <c r="Y101" s="290"/>
      <c r="Z101" s="290">
        <f>+innut23!E107</f>
        <v>1007306.1294585143</v>
      </c>
      <c r="AA101" s="290">
        <v>0</v>
      </c>
      <c r="AB101" s="290">
        <v>883</v>
      </c>
      <c r="AC101" s="290">
        <v>5621</v>
      </c>
      <c r="AD101" s="290"/>
      <c r="AE101" s="290">
        <v>0</v>
      </c>
      <c r="AF101" s="290">
        <v>0</v>
      </c>
      <c r="AG101" s="290">
        <v>31241</v>
      </c>
      <c r="AH101" s="290">
        <v>5143</v>
      </c>
      <c r="AI101" s="290"/>
      <c r="AJ101" s="290"/>
      <c r="AK101" s="290">
        <v>0</v>
      </c>
      <c r="AL101" s="290">
        <v>0</v>
      </c>
      <c r="AM101" s="957">
        <v>1.19810745</v>
      </c>
      <c r="AN101" s="290">
        <v>0</v>
      </c>
      <c r="AO101" s="290">
        <v>13776.85497561</v>
      </c>
      <c r="AP101" s="290">
        <v>0</v>
      </c>
      <c r="AQ101" s="290">
        <v>0</v>
      </c>
      <c r="AR101" s="290">
        <v>-1282.0870819300001</v>
      </c>
      <c r="AS101" s="290">
        <v>50005</v>
      </c>
      <c r="AT101" s="290">
        <v>1867</v>
      </c>
      <c r="AU101" s="290">
        <v>401</v>
      </c>
      <c r="AV101" s="766">
        <v>730026</v>
      </c>
      <c r="AW101" s="290">
        <v>0</v>
      </c>
      <c r="AX101" s="766">
        <v>222.24995000000001</v>
      </c>
      <c r="AY101" s="290">
        <v>7120</v>
      </c>
      <c r="AZ101" s="290">
        <v>1539</v>
      </c>
      <c r="BA101" s="290">
        <v>604</v>
      </c>
      <c r="BB101" s="290">
        <v>0</v>
      </c>
      <c r="BC101" s="290">
        <v>14891</v>
      </c>
      <c r="BD101" s="290"/>
      <c r="BE101" s="290">
        <v>858311.20503645996</v>
      </c>
      <c r="BF101" s="290">
        <v>0</v>
      </c>
      <c r="BG101" s="290">
        <v>0</v>
      </c>
      <c r="BH101" s="290">
        <v>-5225</v>
      </c>
      <c r="BI101" s="290">
        <v>16986</v>
      </c>
      <c r="BJ101" s="290">
        <v>3671.4870766333534</v>
      </c>
      <c r="BK101" s="290">
        <v>60</v>
      </c>
      <c r="BL101" s="290"/>
      <c r="BM101" s="290">
        <v>0</v>
      </c>
      <c r="BN101" s="290">
        <v>6222</v>
      </c>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f>+innut23!E107+innut23!S107</f>
        <v>1007306.1294585143</v>
      </c>
      <c r="CL101" s="290"/>
      <c r="CM101" s="290">
        <v>0</v>
      </c>
      <c r="CN101" s="290">
        <v>0</v>
      </c>
      <c r="CO101" s="290"/>
      <c r="CP101" s="290"/>
      <c r="CQ101" s="290"/>
      <c r="CX101" s="517">
        <f t="shared" si="3"/>
        <v>0</v>
      </c>
      <c r="DB101" s="85">
        <f t="shared" si="4"/>
        <v>5.726</v>
      </c>
    </row>
    <row r="102" spans="1:106" ht="13">
      <c r="A102" s="1">
        <v>3011</v>
      </c>
      <c r="B102" s="2" t="s">
        <v>787</v>
      </c>
      <c r="C102" s="289"/>
      <c r="D102" s="290">
        <v>59</v>
      </c>
      <c r="E102" s="290">
        <v>130</v>
      </c>
      <c r="F102" s="290">
        <v>441</v>
      </c>
      <c r="G102" s="290">
        <v>347</v>
      </c>
      <c r="H102" s="290">
        <v>2559</v>
      </c>
      <c r="I102" s="290">
        <v>1024</v>
      </c>
      <c r="J102" s="290">
        <v>186</v>
      </c>
      <c r="K102" s="290">
        <v>35</v>
      </c>
      <c r="L102" s="290">
        <v>35</v>
      </c>
      <c r="M102" s="290">
        <v>446</v>
      </c>
      <c r="N102" s="290">
        <v>46</v>
      </c>
      <c r="O102" s="290">
        <v>15</v>
      </c>
      <c r="P102" s="624">
        <v>33338.221333330002</v>
      </c>
      <c r="Q102" s="624">
        <v>13852.597</v>
      </c>
      <c r="R102" s="624">
        <v>24</v>
      </c>
      <c r="S102" s="290"/>
      <c r="T102" s="290">
        <v>404</v>
      </c>
      <c r="U102" s="958">
        <v>6.5869058384684963E-4</v>
      </c>
      <c r="V102" s="290">
        <v>1558.3800754599999</v>
      </c>
      <c r="W102" s="765">
        <v>0.71284875000000003</v>
      </c>
      <c r="X102" s="290">
        <v>500</v>
      </c>
      <c r="Y102" s="290"/>
      <c r="Z102" s="290">
        <f>+innut23!E108</f>
        <v>192305.91128527906</v>
      </c>
      <c r="AA102" s="290">
        <v>0</v>
      </c>
      <c r="AB102" s="290">
        <v>125</v>
      </c>
      <c r="AC102" s="290">
        <v>888</v>
      </c>
      <c r="AD102" s="290"/>
      <c r="AE102" s="290">
        <v>0</v>
      </c>
      <c r="AF102" s="290">
        <v>0</v>
      </c>
      <c r="AG102" s="290">
        <v>4781</v>
      </c>
      <c r="AH102" s="290">
        <v>673</v>
      </c>
      <c r="AI102" s="290"/>
      <c r="AJ102" s="290"/>
      <c r="AK102" s="290">
        <v>0</v>
      </c>
      <c r="AL102" s="290">
        <v>0</v>
      </c>
      <c r="AM102" s="957">
        <v>6.423645E-2</v>
      </c>
      <c r="AN102" s="290">
        <v>0</v>
      </c>
      <c r="AO102" s="290">
        <v>2078.1511812099998</v>
      </c>
      <c r="AP102" s="290">
        <v>0</v>
      </c>
      <c r="AQ102" s="290">
        <v>0</v>
      </c>
      <c r="AR102" s="290">
        <v>734.03849676000004</v>
      </c>
      <c r="AS102" s="290">
        <v>8699</v>
      </c>
      <c r="AT102" s="290">
        <v>236</v>
      </c>
      <c r="AU102" s="290">
        <v>46</v>
      </c>
      <c r="AV102" s="766">
        <v>111725</v>
      </c>
      <c r="AW102" s="290">
        <v>0</v>
      </c>
      <c r="AX102" s="766">
        <v>19.500050000000002</v>
      </c>
      <c r="AY102" s="290">
        <v>1250</v>
      </c>
      <c r="AZ102" s="290">
        <v>133</v>
      </c>
      <c r="BA102" s="290">
        <v>78</v>
      </c>
      <c r="BB102" s="290">
        <v>0</v>
      </c>
      <c r="BC102" s="290">
        <v>1776</v>
      </c>
      <c r="BD102" s="290"/>
      <c r="BE102" s="290">
        <v>129264.23032325</v>
      </c>
      <c r="BF102" s="290">
        <v>0</v>
      </c>
      <c r="BG102" s="290">
        <v>0</v>
      </c>
      <c r="BH102" s="290">
        <v>-799</v>
      </c>
      <c r="BI102" s="290">
        <v>2080</v>
      </c>
      <c r="BJ102" s="290">
        <v>501.64204399345374</v>
      </c>
      <c r="BK102" s="290">
        <v>7</v>
      </c>
      <c r="BL102" s="290"/>
      <c r="BM102" s="290">
        <v>0</v>
      </c>
      <c r="BN102" s="290">
        <v>519</v>
      </c>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f>+innut23!E108+innut23!S108</f>
        <v>192305.91128527906</v>
      </c>
      <c r="CL102" s="290"/>
      <c r="CM102" s="290">
        <v>0</v>
      </c>
      <c r="CN102" s="290">
        <v>0</v>
      </c>
      <c r="CO102" s="290"/>
      <c r="CP102" s="290"/>
      <c r="CQ102" s="290"/>
      <c r="CX102" s="517">
        <f t="shared" si="3"/>
        <v>0</v>
      </c>
      <c r="DB102" s="85">
        <f t="shared" si="4"/>
        <v>0.876</v>
      </c>
    </row>
    <row r="103" spans="1:106" ht="13">
      <c r="A103" s="1">
        <v>3012</v>
      </c>
      <c r="B103" s="2" t="s">
        <v>788</v>
      </c>
      <c r="C103" s="289"/>
      <c r="D103" s="290">
        <v>20</v>
      </c>
      <c r="E103" s="290">
        <v>39</v>
      </c>
      <c r="F103" s="290">
        <v>131</v>
      </c>
      <c r="G103" s="290">
        <v>104</v>
      </c>
      <c r="H103" s="290">
        <v>722</v>
      </c>
      <c r="I103" s="290">
        <v>203</v>
      </c>
      <c r="J103" s="290">
        <v>79</v>
      </c>
      <c r="K103" s="290">
        <v>20</v>
      </c>
      <c r="L103" s="290">
        <v>11</v>
      </c>
      <c r="M103" s="290">
        <v>135</v>
      </c>
      <c r="N103" s="290">
        <v>1.5</v>
      </c>
      <c r="O103" s="290">
        <v>3</v>
      </c>
      <c r="P103" s="624">
        <v>7031.9636666699998</v>
      </c>
      <c r="Q103" s="624">
        <v>8211.1796666699993</v>
      </c>
      <c r="R103" s="624">
        <v>5</v>
      </c>
      <c r="S103" s="290"/>
      <c r="T103" s="290">
        <v>109</v>
      </c>
      <c r="U103" s="958">
        <v>1.3182013246594813E-3</v>
      </c>
      <c r="V103" s="290">
        <v>942.37052481000001</v>
      </c>
      <c r="W103" s="765">
        <v>0.89663022000000003</v>
      </c>
      <c r="X103" s="290">
        <v>400</v>
      </c>
      <c r="Y103" s="290"/>
      <c r="Z103" s="290">
        <f>+innut23!E109</f>
        <v>40250.467865798651</v>
      </c>
      <c r="AA103" s="290">
        <v>0</v>
      </c>
      <c r="AB103" s="290">
        <v>37</v>
      </c>
      <c r="AC103" s="290">
        <v>173</v>
      </c>
      <c r="AD103" s="290"/>
      <c r="AE103" s="290">
        <v>0</v>
      </c>
      <c r="AF103" s="290">
        <v>0</v>
      </c>
      <c r="AG103" s="290">
        <v>1318</v>
      </c>
      <c r="AH103" s="290">
        <v>195</v>
      </c>
      <c r="AI103" s="290"/>
      <c r="AJ103" s="290"/>
      <c r="AK103" s="290">
        <v>0</v>
      </c>
      <c r="AL103" s="290">
        <v>0</v>
      </c>
      <c r="AM103" s="957">
        <v>9.1601700000000005E-3</v>
      </c>
      <c r="AN103" s="290">
        <v>0</v>
      </c>
      <c r="AO103" s="290">
        <v>728.46411752999995</v>
      </c>
      <c r="AP103" s="290">
        <v>0</v>
      </c>
      <c r="AQ103" s="290">
        <v>0</v>
      </c>
      <c r="AR103" s="290">
        <v>-54.08888237</v>
      </c>
      <c r="AS103" s="290">
        <v>2139</v>
      </c>
      <c r="AT103" s="290">
        <v>72</v>
      </c>
      <c r="AU103" s="290">
        <v>10</v>
      </c>
      <c r="AV103" s="766">
        <v>57338</v>
      </c>
      <c r="AW103" s="290">
        <v>0</v>
      </c>
      <c r="AX103" s="766">
        <v>10.25</v>
      </c>
      <c r="AY103" s="290">
        <v>227</v>
      </c>
      <c r="AZ103" s="290">
        <v>22</v>
      </c>
      <c r="BA103" s="290">
        <v>21</v>
      </c>
      <c r="BB103" s="290">
        <v>6257</v>
      </c>
      <c r="BC103" s="290">
        <v>816</v>
      </c>
      <c r="BD103" s="290"/>
      <c r="BE103" s="290">
        <v>64795.971658690003</v>
      </c>
      <c r="BF103" s="290">
        <v>0</v>
      </c>
      <c r="BG103" s="290">
        <v>0</v>
      </c>
      <c r="BH103" s="290">
        <v>-221</v>
      </c>
      <c r="BI103" s="290">
        <v>887</v>
      </c>
      <c r="BJ103" s="290">
        <v>172.93732059238266</v>
      </c>
      <c r="BK103" s="290">
        <v>2</v>
      </c>
      <c r="BL103" s="290"/>
      <c r="BM103" s="290">
        <v>0</v>
      </c>
      <c r="BN103" s="290">
        <v>519</v>
      </c>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f>+innut23!E109+innut23!S109</f>
        <v>40250.467865798651</v>
      </c>
      <c r="CL103" s="290"/>
      <c r="CM103" s="290">
        <v>0</v>
      </c>
      <c r="CN103" s="290">
        <v>0</v>
      </c>
      <c r="CO103" s="290"/>
      <c r="CP103" s="290"/>
      <c r="CQ103" s="290"/>
      <c r="CX103" s="517">
        <f t="shared" si="3"/>
        <v>0</v>
      </c>
      <c r="DB103" s="85">
        <f t="shared" si="4"/>
        <v>0.24199999999999999</v>
      </c>
    </row>
    <row r="104" spans="1:106" ht="13">
      <c r="A104" s="1">
        <v>3013</v>
      </c>
      <c r="B104" s="2" t="s">
        <v>789</v>
      </c>
      <c r="C104" s="289"/>
      <c r="D104" s="290">
        <v>54</v>
      </c>
      <c r="E104" s="290">
        <v>138</v>
      </c>
      <c r="F104" s="290">
        <v>363</v>
      </c>
      <c r="G104" s="290">
        <v>274</v>
      </c>
      <c r="H104" s="290">
        <v>1932</v>
      </c>
      <c r="I104" s="290">
        <v>609</v>
      </c>
      <c r="J104" s="290">
        <v>204</v>
      </c>
      <c r="K104" s="290">
        <v>48</v>
      </c>
      <c r="L104" s="290">
        <v>29</v>
      </c>
      <c r="M104" s="290">
        <v>372</v>
      </c>
      <c r="N104" s="290">
        <v>59</v>
      </c>
      <c r="O104" s="290">
        <v>19</v>
      </c>
      <c r="P104" s="624">
        <v>18373.706333329999</v>
      </c>
      <c r="Q104" s="624">
        <v>11969.78233333</v>
      </c>
      <c r="R104" s="624">
        <v>11</v>
      </c>
      <c r="S104" s="290"/>
      <c r="T104" s="290">
        <v>351</v>
      </c>
      <c r="U104" s="958">
        <v>2.7641869855481536E-3</v>
      </c>
      <c r="V104" s="290">
        <v>2039.6901847300001</v>
      </c>
      <c r="W104" s="765">
        <v>0.74705241</v>
      </c>
      <c r="X104" s="290">
        <v>500</v>
      </c>
      <c r="Y104" s="290"/>
      <c r="Z104" s="290">
        <f>+innut23!E110</f>
        <v>106604.22957113388</v>
      </c>
      <c r="AA104" s="290">
        <v>0</v>
      </c>
      <c r="AB104" s="290">
        <v>128</v>
      </c>
      <c r="AC104" s="290">
        <v>972</v>
      </c>
      <c r="AD104" s="290"/>
      <c r="AE104" s="290">
        <v>0</v>
      </c>
      <c r="AF104" s="290">
        <v>0</v>
      </c>
      <c r="AG104" s="290">
        <v>3622</v>
      </c>
      <c r="AH104" s="290">
        <v>560</v>
      </c>
      <c r="AI104" s="290"/>
      <c r="AJ104" s="290"/>
      <c r="AK104" s="290">
        <v>0</v>
      </c>
      <c r="AL104" s="290">
        <v>0</v>
      </c>
      <c r="AM104" s="957">
        <v>5.1691580000000001E-2</v>
      </c>
      <c r="AN104" s="290">
        <v>5745</v>
      </c>
      <c r="AO104" s="290">
        <v>1751.40664694</v>
      </c>
      <c r="AP104" s="290">
        <v>0</v>
      </c>
      <c r="AQ104" s="290">
        <v>0</v>
      </c>
      <c r="AR104" s="290">
        <v>-148.64182998999999</v>
      </c>
      <c r="AS104" s="290">
        <v>5832</v>
      </c>
      <c r="AT104" s="290">
        <v>188</v>
      </c>
      <c r="AU104" s="290">
        <v>32</v>
      </c>
      <c r="AV104" s="766">
        <v>110686</v>
      </c>
      <c r="AW104" s="290">
        <v>0</v>
      </c>
      <c r="AX104" s="766">
        <v>19.749949999999998</v>
      </c>
      <c r="AY104" s="290">
        <v>613</v>
      </c>
      <c r="AZ104" s="290">
        <v>110</v>
      </c>
      <c r="BA104" s="290">
        <v>58</v>
      </c>
      <c r="BB104" s="290">
        <v>0</v>
      </c>
      <c r="BC104" s="290">
        <v>1735</v>
      </c>
      <c r="BD104" s="290"/>
      <c r="BE104" s="290">
        <v>129954.51707072</v>
      </c>
      <c r="BF104" s="290">
        <v>0</v>
      </c>
      <c r="BG104" s="290">
        <v>0</v>
      </c>
      <c r="BH104" s="290">
        <v>-609</v>
      </c>
      <c r="BI104" s="290">
        <v>2051</v>
      </c>
      <c r="BJ104" s="290">
        <v>415.98512642253576</v>
      </c>
      <c r="BK104" s="290">
        <v>6</v>
      </c>
      <c r="BL104" s="290"/>
      <c r="BM104" s="290">
        <v>0</v>
      </c>
      <c r="BN104" s="290">
        <v>519</v>
      </c>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f>+innut23!E110+innut23!S110</f>
        <v>106604.22957113388</v>
      </c>
      <c r="CL104" s="290"/>
      <c r="CM104" s="290">
        <v>0</v>
      </c>
      <c r="CN104" s="290">
        <v>0</v>
      </c>
      <c r="CO104" s="290"/>
      <c r="CP104" s="290"/>
      <c r="CQ104" s="290"/>
      <c r="CX104" s="517">
        <f t="shared" si="3"/>
        <v>0</v>
      </c>
      <c r="DB104" s="85">
        <f t="shared" si="4"/>
        <v>0.66400000000000003</v>
      </c>
    </row>
    <row r="105" spans="1:106" ht="13">
      <c r="A105" s="1">
        <v>3014</v>
      </c>
      <c r="B105" s="2" t="s">
        <v>1620</v>
      </c>
      <c r="C105" s="289"/>
      <c r="D105" s="290">
        <v>882</v>
      </c>
      <c r="E105" s="290">
        <v>1924</v>
      </c>
      <c r="F105" s="290">
        <v>5438</v>
      </c>
      <c r="G105" s="290">
        <v>3676</v>
      </c>
      <c r="H105" s="290">
        <v>26195</v>
      </c>
      <c r="I105" s="290">
        <v>5915</v>
      </c>
      <c r="J105" s="290">
        <v>1650</v>
      </c>
      <c r="K105" s="290">
        <v>414</v>
      </c>
      <c r="L105" s="290">
        <v>358</v>
      </c>
      <c r="M105" s="290">
        <v>3533</v>
      </c>
      <c r="N105" s="290">
        <v>1842</v>
      </c>
      <c r="O105" s="290">
        <v>463</v>
      </c>
      <c r="P105" s="624">
        <v>143386.033</v>
      </c>
      <c r="Q105" s="624">
        <v>83546.889333329993</v>
      </c>
      <c r="R105" s="624">
        <v>187</v>
      </c>
      <c r="S105" s="290"/>
      <c r="T105" s="290">
        <v>4306</v>
      </c>
      <c r="U105" s="958">
        <v>1.3029121596566856E-2</v>
      </c>
      <c r="V105" s="290">
        <v>14202.500133</v>
      </c>
      <c r="W105" s="765">
        <v>0.57066422999999999</v>
      </c>
      <c r="X105" s="290">
        <v>3000</v>
      </c>
      <c r="Y105" s="290"/>
      <c r="Z105" s="290">
        <f>+innut23!E111</f>
        <v>1415948.7235594317</v>
      </c>
      <c r="AA105" s="290">
        <v>0</v>
      </c>
      <c r="AB105" s="290">
        <v>1388</v>
      </c>
      <c r="AC105" s="290">
        <v>14231</v>
      </c>
      <c r="AD105" s="290"/>
      <c r="AE105" s="290">
        <v>0</v>
      </c>
      <c r="AF105" s="290">
        <v>64244</v>
      </c>
      <c r="AG105" s="290">
        <v>46094</v>
      </c>
      <c r="AH105" s="290">
        <v>8318</v>
      </c>
      <c r="AI105" s="290"/>
      <c r="AJ105" s="290"/>
      <c r="AK105" s="290">
        <v>0</v>
      </c>
      <c r="AL105" s="290">
        <v>0</v>
      </c>
      <c r="AM105" s="957">
        <v>2.0363229399999998</v>
      </c>
      <c r="AN105" s="290">
        <v>0</v>
      </c>
      <c r="AO105" s="290">
        <v>20674.603714249999</v>
      </c>
      <c r="AP105" s="290">
        <v>0</v>
      </c>
      <c r="AQ105" s="290">
        <v>0</v>
      </c>
      <c r="AR105" s="290">
        <v>-1891.63349298</v>
      </c>
      <c r="AS105" s="290">
        <v>72139</v>
      </c>
      <c r="AT105" s="290">
        <v>2859</v>
      </c>
      <c r="AU105" s="290">
        <v>722</v>
      </c>
      <c r="AV105" s="766">
        <v>1217392</v>
      </c>
      <c r="AW105" s="290">
        <v>0</v>
      </c>
      <c r="AX105" s="766">
        <v>307.54165</v>
      </c>
      <c r="AY105" s="290">
        <v>8480</v>
      </c>
      <c r="AZ105" s="290">
        <v>2052</v>
      </c>
      <c r="BA105" s="290">
        <v>1089</v>
      </c>
      <c r="BB105" s="290">
        <v>0</v>
      </c>
      <c r="BC105" s="290">
        <v>91451</v>
      </c>
      <c r="BD105" s="290"/>
      <c r="BE105" s="290">
        <v>1418670.9983866999</v>
      </c>
      <c r="BF105" s="290">
        <v>0</v>
      </c>
      <c r="BG105" s="290">
        <v>0</v>
      </c>
      <c r="BH105" s="290">
        <v>-7688</v>
      </c>
      <c r="BI105" s="290">
        <v>98719</v>
      </c>
      <c r="BJ105" s="290">
        <v>5780.9701542353423</v>
      </c>
      <c r="BK105" s="290">
        <v>90</v>
      </c>
      <c r="BL105" s="290"/>
      <c r="BM105" s="290">
        <v>6797</v>
      </c>
      <c r="BN105" s="290">
        <v>11926</v>
      </c>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f>+innut23!E111+innut23!S111</f>
        <v>1415948.7235594317</v>
      </c>
      <c r="CL105" s="290"/>
      <c r="CM105" s="290">
        <v>0</v>
      </c>
      <c r="CN105" s="290">
        <v>0</v>
      </c>
      <c r="CO105" s="290"/>
      <c r="CP105" s="290"/>
      <c r="CQ105" s="290"/>
      <c r="CX105" s="517">
        <f t="shared" si="3"/>
        <v>0</v>
      </c>
      <c r="DB105" s="85">
        <f t="shared" si="4"/>
        <v>8.4489999999999998</v>
      </c>
    </row>
    <row r="106" spans="1:106" ht="13">
      <c r="A106" s="1">
        <v>3015</v>
      </c>
      <c r="B106" s="2" t="s">
        <v>2369</v>
      </c>
      <c r="C106" s="289"/>
      <c r="D106" s="290">
        <v>60</v>
      </c>
      <c r="E106" s="290">
        <v>155</v>
      </c>
      <c r="F106" s="290">
        <v>510</v>
      </c>
      <c r="G106" s="290">
        <v>319</v>
      </c>
      <c r="H106" s="290">
        <v>2162</v>
      </c>
      <c r="I106" s="290">
        <v>492</v>
      </c>
      <c r="J106" s="290">
        <v>115</v>
      </c>
      <c r="K106" s="290">
        <v>41</v>
      </c>
      <c r="L106" s="290">
        <v>29</v>
      </c>
      <c r="M106" s="290">
        <v>292</v>
      </c>
      <c r="N106" s="290">
        <v>53</v>
      </c>
      <c r="O106" s="290">
        <v>39</v>
      </c>
      <c r="P106" s="624">
        <v>11702.891666670001</v>
      </c>
      <c r="Q106" s="624">
        <v>9911.1533333299994</v>
      </c>
      <c r="R106" s="624">
        <v>11</v>
      </c>
      <c r="S106" s="290"/>
      <c r="T106" s="290">
        <v>282</v>
      </c>
      <c r="U106" s="958">
        <v>2.2265679685733301E-3</v>
      </c>
      <c r="V106" s="290">
        <v>1748.08136709</v>
      </c>
      <c r="W106" s="765">
        <v>0.64615354999999997</v>
      </c>
      <c r="X106" s="290">
        <v>500</v>
      </c>
      <c r="Y106" s="290"/>
      <c r="Z106" s="290">
        <f>+innut23!E112</f>
        <v>115856.96290127463</v>
      </c>
      <c r="AA106" s="290">
        <v>0</v>
      </c>
      <c r="AB106" s="290">
        <v>102</v>
      </c>
      <c r="AC106" s="290">
        <v>581</v>
      </c>
      <c r="AD106" s="290"/>
      <c r="AE106" s="290">
        <v>0</v>
      </c>
      <c r="AF106" s="290">
        <v>0</v>
      </c>
      <c r="AG106" s="290">
        <v>3854</v>
      </c>
      <c r="AH106" s="290">
        <v>730</v>
      </c>
      <c r="AI106" s="290"/>
      <c r="AJ106" s="290"/>
      <c r="AK106" s="290">
        <v>0</v>
      </c>
      <c r="AL106" s="290">
        <v>0</v>
      </c>
      <c r="AM106" s="957">
        <v>6.8203849999999996E-2</v>
      </c>
      <c r="AN106" s="290">
        <v>0</v>
      </c>
      <c r="AO106" s="290">
        <v>1788.04061938</v>
      </c>
      <c r="AP106" s="290">
        <v>0</v>
      </c>
      <c r="AQ106" s="290">
        <v>0</v>
      </c>
      <c r="AR106" s="290">
        <v>-158.16278652</v>
      </c>
      <c r="AS106" s="290">
        <v>6166</v>
      </c>
      <c r="AT106" s="290">
        <v>223</v>
      </c>
      <c r="AU106" s="290">
        <v>39</v>
      </c>
      <c r="AV106" s="766">
        <v>106729</v>
      </c>
      <c r="AW106" s="290">
        <v>0</v>
      </c>
      <c r="AX106" s="766">
        <v>23.125050000000002</v>
      </c>
      <c r="AY106" s="290">
        <v>603</v>
      </c>
      <c r="AZ106" s="290">
        <v>116</v>
      </c>
      <c r="BA106" s="290">
        <v>90</v>
      </c>
      <c r="BB106" s="290">
        <v>0</v>
      </c>
      <c r="BC106" s="290">
        <v>2119</v>
      </c>
      <c r="BD106" s="290"/>
      <c r="BE106" s="290">
        <v>121282.6788425</v>
      </c>
      <c r="BF106" s="290">
        <v>0</v>
      </c>
      <c r="BG106" s="290">
        <v>0</v>
      </c>
      <c r="BH106" s="290">
        <v>-646</v>
      </c>
      <c r="BI106" s="290">
        <v>2348</v>
      </c>
      <c r="BJ106" s="290">
        <v>560.20318060090142</v>
      </c>
      <c r="BK106" s="290">
        <v>5</v>
      </c>
      <c r="BL106" s="290"/>
      <c r="BM106" s="290">
        <v>0</v>
      </c>
      <c r="BN106" s="290">
        <v>1037</v>
      </c>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f>+innut23!E112+innut23!S112</f>
        <v>115856.96290127463</v>
      </c>
      <c r="CL106" s="290"/>
      <c r="CM106" s="290">
        <v>0</v>
      </c>
      <c r="CN106" s="290">
        <v>0</v>
      </c>
      <c r="CO106" s="290"/>
      <c r="CP106" s="290"/>
      <c r="CQ106" s="290"/>
      <c r="CX106" s="517">
        <f t="shared" si="3"/>
        <v>0</v>
      </c>
      <c r="DB106" s="85">
        <f t="shared" si="4"/>
        <v>0.70599999999999996</v>
      </c>
    </row>
    <row r="107" spans="1:106" ht="13">
      <c r="A107" s="1">
        <v>3016</v>
      </c>
      <c r="B107" s="2" t="s">
        <v>796</v>
      </c>
      <c r="C107" s="289"/>
      <c r="D107" s="290">
        <v>163</v>
      </c>
      <c r="E107" s="290">
        <v>330</v>
      </c>
      <c r="F107" s="290">
        <v>925</v>
      </c>
      <c r="G107" s="290">
        <v>700</v>
      </c>
      <c r="H107" s="290">
        <v>4706</v>
      </c>
      <c r="I107" s="290">
        <v>1146</v>
      </c>
      <c r="J107" s="290">
        <v>299</v>
      </c>
      <c r="K107" s="290">
        <v>70</v>
      </c>
      <c r="L107" s="290">
        <v>71</v>
      </c>
      <c r="M107" s="290">
        <v>646</v>
      </c>
      <c r="N107" s="290">
        <v>315</v>
      </c>
      <c r="O107" s="290">
        <v>49</v>
      </c>
      <c r="P107" s="624">
        <v>32190.178</v>
      </c>
      <c r="Q107" s="624">
        <v>18249.173666670002</v>
      </c>
      <c r="R107" s="624">
        <v>67</v>
      </c>
      <c r="S107" s="290"/>
      <c r="T107" s="290">
        <v>740</v>
      </c>
      <c r="U107" s="958">
        <v>5.9598952664536688E-3</v>
      </c>
      <c r="V107" s="290">
        <v>4498.7126378499997</v>
      </c>
      <c r="W107" s="765">
        <v>0.59829175999999995</v>
      </c>
      <c r="X107" s="290">
        <v>800</v>
      </c>
      <c r="Y107" s="290"/>
      <c r="Z107" s="290">
        <f>+innut23!E113</f>
        <v>251818.85761779308</v>
      </c>
      <c r="AA107" s="290">
        <v>0</v>
      </c>
      <c r="AB107" s="290">
        <v>280</v>
      </c>
      <c r="AC107" s="290">
        <v>1486</v>
      </c>
      <c r="AD107" s="290"/>
      <c r="AE107" s="290">
        <v>0</v>
      </c>
      <c r="AF107" s="290">
        <v>0</v>
      </c>
      <c r="AG107" s="290">
        <v>8339</v>
      </c>
      <c r="AH107" s="290">
        <v>1466</v>
      </c>
      <c r="AI107" s="290"/>
      <c r="AJ107" s="290"/>
      <c r="AK107" s="290">
        <v>0</v>
      </c>
      <c r="AL107" s="290">
        <v>0</v>
      </c>
      <c r="AM107" s="957">
        <v>0.25194298999999998</v>
      </c>
      <c r="AN107" s="290">
        <v>0</v>
      </c>
      <c r="AO107" s="290">
        <v>3914.3127475599999</v>
      </c>
      <c r="AP107" s="290">
        <v>0</v>
      </c>
      <c r="AQ107" s="290">
        <v>0</v>
      </c>
      <c r="AR107" s="290">
        <v>6500.8276791099997</v>
      </c>
      <c r="AS107" s="290">
        <v>13145</v>
      </c>
      <c r="AT107" s="290">
        <v>444</v>
      </c>
      <c r="AU107" s="290">
        <v>121</v>
      </c>
      <c r="AV107" s="766">
        <v>245312</v>
      </c>
      <c r="AW107" s="290">
        <v>0</v>
      </c>
      <c r="AX107" s="766">
        <v>54.083350000000003</v>
      </c>
      <c r="AY107" s="290">
        <v>1337</v>
      </c>
      <c r="AZ107" s="290">
        <v>324</v>
      </c>
      <c r="BA107" s="290">
        <v>127</v>
      </c>
      <c r="BB107" s="290">
        <v>0</v>
      </c>
      <c r="BC107" s="290">
        <v>4458</v>
      </c>
      <c r="BD107" s="290"/>
      <c r="BE107" s="290">
        <v>269180.55869112001</v>
      </c>
      <c r="BF107" s="290">
        <v>0</v>
      </c>
      <c r="BG107" s="290">
        <v>0</v>
      </c>
      <c r="BH107" s="290">
        <v>-1396</v>
      </c>
      <c r="BI107" s="290">
        <v>5026</v>
      </c>
      <c r="BJ107" s="290">
        <v>996.51490059472144</v>
      </c>
      <c r="BK107" s="290">
        <v>15</v>
      </c>
      <c r="BL107" s="290"/>
      <c r="BM107" s="290">
        <v>0</v>
      </c>
      <c r="BN107" s="290">
        <v>2074</v>
      </c>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f>+innut23!E113+innut23!S113</f>
        <v>251818.85761779308</v>
      </c>
      <c r="CL107" s="290"/>
      <c r="CM107" s="290">
        <v>0</v>
      </c>
      <c r="CN107" s="290">
        <v>0</v>
      </c>
      <c r="CO107" s="290"/>
      <c r="CP107" s="290"/>
      <c r="CQ107" s="290"/>
      <c r="CX107" s="517">
        <f t="shared" si="3"/>
        <v>0</v>
      </c>
      <c r="DB107" s="85">
        <f t="shared" si="4"/>
        <v>1.528</v>
      </c>
    </row>
    <row r="108" spans="1:106" ht="13">
      <c r="A108" s="1">
        <v>3017</v>
      </c>
      <c r="B108" s="2" t="s">
        <v>797</v>
      </c>
      <c r="C108" s="289"/>
      <c r="D108" s="290">
        <v>131</v>
      </c>
      <c r="E108" s="290">
        <v>385</v>
      </c>
      <c r="F108" s="290">
        <v>1045</v>
      </c>
      <c r="G108" s="290">
        <v>668</v>
      </c>
      <c r="H108" s="290">
        <v>4580</v>
      </c>
      <c r="I108" s="290">
        <v>1078</v>
      </c>
      <c r="J108" s="290">
        <v>319</v>
      </c>
      <c r="K108" s="290">
        <v>91</v>
      </c>
      <c r="L108" s="290">
        <v>56</v>
      </c>
      <c r="M108" s="290">
        <v>573</v>
      </c>
      <c r="N108" s="290">
        <v>146</v>
      </c>
      <c r="O108" s="290">
        <v>65</v>
      </c>
      <c r="P108" s="624">
        <v>29640.384666670001</v>
      </c>
      <c r="Q108" s="624">
        <v>16072.928666670001</v>
      </c>
      <c r="R108" s="624">
        <v>32</v>
      </c>
      <c r="S108" s="290"/>
      <c r="T108" s="290">
        <v>496</v>
      </c>
      <c r="U108" s="958">
        <v>2.3884936998390177E-3</v>
      </c>
      <c r="V108" s="290">
        <v>1391.7226553200001</v>
      </c>
      <c r="W108" s="765">
        <v>0.58237675</v>
      </c>
      <c r="X108" s="290">
        <v>700</v>
      </c>
      <c r="Y108" s="290"/>
      <c r="Z108" s="290">
        <f>+innut23!E114</f>
        <v>249652.99187329999</v>
      </c>
      <c r="AA108" s="290">
        <v>0</v>
      </c>
      <c r="AB108" s="290">
        <v>169</v>
      </c>
      <c r="AC108" s="290">
        <v>3422</v>
      </c>
      <c r="AD108" s="290"/>
      <c r="AE108" s="290">
        <v>0</v>
      </c>
      <c r="AF108" s="290">
        <v>0</v>
      </c>
      <c r="AG108" s="290">
        <v>8297</v>
      </c>
      <c r="AH108" s="290">
        <v>1556</v>
      </c>
      <c r="AI108" s="290"/>
      <c r="AJ108" s="290"/>
      <c r="AK108" s="290">
        <v>0</v>
      </c>
      <c r="AL108" s="290">
        <v>0</v>
      </c>
      <c r="AM108" s="957">
        <v>0.20826346000000001</v>
      </c>
      <c r="AN108" s="290">
        <v>0</v>
      </c>
      <c r="AO108" s="290">
        <v>3783.6813926300001</v>
      </c>
      <c r="AP108" s="290">
        <v>0</v>
      </c>
      <c r="AQ108" s="290">
        <v>0</v>
      </c>
      <c r="AR108" s="290">
        <v>-340.49731183</v>
      </c>
      <c r="AS108" s="290">
        <v>12218</v>
      </c>
      <c r="AT108" s="290">
        <v>399</v>
      </c>
      <c r="AU108" s="290">
        <v>109</v>
      </c>
      <c r="AV108" s="766">
        <v>201012</v>
      </c>
      <c r="AW108" s="290">
        <v>-17041</v>
      </c>
      <c r="AX108" s="766">
        <v>29.499949999999998</v>
      </c>
      <c r="AY108" s="290">
        <v>1648</v>
      </c>
      <c r="AZ108" s="290">
        <v>279</v>
      </c>
      <c r="BA108" s="290">
        <v>155</v>
      </c>
      <c r="BB108" s="290">
        <v>0</v>
      </c>
      <c r="BC108" s="290">
        <v>5210</v>
      </c>
      <c r="BD108" s="290"/>
      <c r="BE108" s="290">
        <v>233583.05126268</v>
      </c>
      <c r="BF108" s="290">
        <v>0</v>
      </c>
      <c r="BG108" s="290">
        <v>0</v>
      </c>
      <c r="BH108" s="290">
        <v>-1281</v>
      </c>
      <c r="BI108" s="290">
        <v>-10507</v>
      </c>
      <c r="BJ108" s="290">
        <v>1117.1835312902017</v>
      </c>
      <c r="BK108" s="290">
        <v>11</v>
      </c>
      <c r="BL108" s="290"/>
      <c r="BM108" s="290">
        <v>0</v>
      </c>
      <c r="BN108" s="290">
        <v>1556</v>
      </c>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f>+innut23!E114+innut23!S114</f>
        <v>249652.99187329999</v>
      </c>
      <c r="CL108" s="290"/>
      <c r="CM108" s="290">
        <v>0</v>
      </c>
      <c r="CN108" s="290">
        <v>0</v>
      </c>
      <c r="CO108" s="290"/>
      <c r="CP108" s="290"/>
      <c r="CQ108" s="290"/>
      <c r="CX108" s="517">
        <f t="shared" si="3"/>
        <v>0</v>
      </c>
      <c r="DB108" s="85">
        <f t="shared" si="4"/>
        <v>1.5209999999999999</v>
      </c>
    </row>
    <row r="109" spans="1:106" ht="13">
      <c r="A109" s="1">
        <v>3018</v>
      </c>
      <c r="B109" s="2" t="s">
        <v>799</v>
      </c>
      <c r="C109" s="289"/>
      <c r="D109" s="290">
        <v>154</v>
      </c>
      <c r="E109" s="290">
        <v>337</v>
      </c>
      <c r="F109" s="290">
        <v>849</v>
      </c>
      <c r="G109" s="290">
        <v>400</v>
      </c>
      <c r="H109" s="290">
        <v>3474</v>
      </c>
      <c r="I109" s="290">
        <v>612</v>
      </c>
      <c r="J109" s="290">
        <v>152</v>
      </c>
      <c r="K109" s="290">
        <v>16</v>
      </c>
      <c r="L109" s="290">
        <v>48</v>
      </c>
      <c r="M109" s="290">
        <v>291</v>
      </c>
      <c r="N109" s="290">
        <v>100</v>
      </c>
      <c r="O109" s="290">
        <v>65</v>
      </c>
      <c r="P109" s="624">
        <v>43440.141666670002</v>
      </c>
      <c r="Q109" s="624">
        <v>16426.054</v>
      </c>
      <c r="R109" s="624">
        <v>14</v>
      </c>
      <c r="S109" s="290"/>
      <c r="T109" s="290">
        <v>421</v>
      </c>
      <c r="U109" s="958">
        <v>2.2091350509642845E-3</v>
      </c>
      <c r="V109" s="290">
        <v>-1609.90293507</v>
      </c>
      <c r="W109" s="765">
        <v>0.64362427</v>
      </c>
      <c r="X109" s="290">
        <v>600</v>
      </c>
      <c r="Y109" s="290"/>
      <c r="Z109" s="290">
        <f>+innut23!E115</f>
        <v>188766.33267704074</v>
      </c>
      <c r="AA109" s="290">
        <v>0</v>
      </c>
      <c r="AB109" s="290">
        <v>159</v>
      </c>
      <c r="AC109" s="290">
        <v>3218</v>
      </c>
      <c r="AD109" s="290"/>
      <c r="AE109" s="290">
        <v>1801</v>
      </c>
      <c r="AF109" s="290">
        <v>0</v>
      </c>
      <c r="AG109" s="290">
        <v>5994</v>
      </c>
      <c r="AH109" s="290">
        <v>1268</v>
      </c>
      <c r="AI109" s="290"/>
      <c r="AJ109" s="290"/>
      <c r="AK109" s="290">
        <v>0</v>
      </c>
      <c r="AL109" s="290">
        <v>0</v>
      </c>
      <c r="AM109" s="957">
        <v>0.17031199</v>
      </c>
      <c r="AN109" s="290">
        <v>0</v>
      </c>
      <c r="AO109" s="290">
        <v>2775.4215148399999</v>
      </c>
      <c r="AP109" s="290">
        <v>0</v>
      </c>
      <c r="AQ109" s="290">
        <v>0</v>
      </c>
      <c r="AR109" s="290">
        <v>-245.98540281000001</v>
      </c>
      <c r="AS109" s="290">
        <v>9290</v>
      </c>
      <c r="AT109" s="290">
        <v>377</v>
      </c>
      <c r="AU109" s="290">
        <v>81</v>
      </c>
      <c r="AV109" s="766">
        <v>158889</v>
      </c>
      <c r="AW109" s="290">
        <v>-2055</v>
      </c>
      <c r="AX109" s="766">
        <v>54.916699999999999</v>
      </c>
      <c r="AY109" s="290">
        <v>1153</v>
      </c>
      <c r="AZ109" s="290">
        <v>195</v>
      </c>
      <c r="BA109" s="290">
        <v>136</v>
      </c>
      <c r="BB109" s="290">
        <v>0</v>
      </c>
      <c r="BC109" s="290">
        <v>5451</v>
      </c>
      <c r="BD109" s="290"/>
      <c r="BE109" s="290">
        <v>186009.35733828001</v>
      </c>
      <c r="BF109" s="290">
        <v>0</v>
      </c>
      <c r="BG109" s="290">
        <v>0</v>
      </c>
      <c r="BH109" s="290">
        <v>-993</v>
      </c>
      <c r="BI109" s="290">
        <v>4505</v>
      </c>
      <c r="BJ109" s="290">
        <v>932.93570945944623</v>
      </c>
      <c r="BK109" s="290">
        <v>9</v>
      </c>
      <c r="BL109" s="290"/>
      <c r="BM109" s="290">
        <v>0</v>
      </c>
      <c r="BN109" s="290">
        <v>2074</v>
      </c>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f>+innut23!E115+innut23!S115</f>
        <v>188766.33267704074</v>
      </c>
      <c r="CL109" s="290"/>
      <c r="CM109" s="290">
        <v>0</v>
      </c>
      <c r="CN109" s="290">
        <v>0</v>
      </c>
      <c r="CO109" s="290"/>
      <c r="CP109" s="290"/>
      <c r="CQ109" s="290"/>
      <c r="CX109" s="517">
        <f t="shared" si="3"/>
        <v>0</v>
      </c>
      <c r="DB109" s="85">
        <f t="shared" si="4"/>
        <v>1.099</v>
      </c>
    </row>
    <row r="110" spans="1:106" ht="13">
      <c r="A110" s="1">
        <v>3019</v>
      </c>
      <c r="B110" s="2" t="s">
        <v>801</v>
      </c>
      <c r="C110" s="289"/>
      <c r="D110" s="290">
        <v>402</v>
      </c>
      <c r="E110" s="290">
        <v>898</v>
      </c>
      <c r="F110" s="290">
        <v>2592</v>
      </c>
      <c r="G110" s="290">
        <v>1546</v>
      </c>
      <c r="H110" s="290">
        <v>10423</v>
      </c>
      <c r="I110" s="290">
        <v>2327</v>
      </c>
      <c r="J110" s="290">
        <v>567</v>
      </c>
      <c r="K110" s="290">
        <v>93</v>
      </c>
      <c r="L110" s="290">
        <v>120</v>
      </c>
      <c r="M110" s="290">
        <v>1112</v>
      </c>
      <c r="N110" s="290">
        <v>652</v>
      </c>
      <c r="O110" s="290">
        <v>147</v>
      </c>
      <c r="P110" s="624">
        <v>58757.536333329997</v>
      </c>
      <c r="Q110" s="624">
        <v>22567.814999999999</v>
      </c>
      <c r="R110" s="624">
        <v>44</v>
      </c>
      <c r="S110" s="290"/>
      <c r="T110" s="290">
        <v>1384</v>
      </c>
      <c r="U110" s="958">
        <v>1.8071647364396076E-3</v>
      </c>
      <c r="V110" s="290">
        <v>3276.2206351700002</v>
      </c>
      <c r="W110" s="765">
        <v>0.55650025000000003</v>
      </c>
      <c r="X110" s="290">
        <v>1600</v>
      </c>
      <c r="Y110" s="290"/>
      <c r="Z110" s="290">
        <f>+innut23!E116</f>
        <v>679316.539128487</v>
      </c>
      <c r="AA110" s="290">
        <v>0</v>
      </c>
      <c r="AB110" s="290">
        <v>405</v>
      </c>
      <c r="AC110" s="290">
        <v>1448</v>
      </c>
      <c r="AD110" s="290"/>
      <c r="AE110" s="290">
        <v>2539</v>
      </c>
      <c r="AF110" s="290">
        <v>0</v>
      </c>
      <c r="AG110" s="290">
        <v>18848</v>
      </c>
      <c r="AH110" s="290">
        <v>3895</v>
      </c>
      <c r="AI110" s="290"/>
      <c r="AJ110" s="290"/>
      <c r="AK110" s="290">
        <v>0</v>
      </c>
      <c r="AL110" s="290">
        <v>0</v>
      </c>
      <c r="AM110" s="957">
        <v>0.64558075999999998</v>
      </c>
      <c r="AN110" s="290">
        <v>0</v>
      </c>
      <c r="AO110" s="290">
        <v>8301.2416999699999</v>
      </c>
      <c r="AP110" s="290">
        <v>0</v>
      </c>
      <c r="AQ110" s="290">
        <v>0</v>
      </c>
      <c r="AR110" s="290">
        <v>-773.49564098999997</v>
      </c>
      <c r="AS110" s="290">
        <v>27865</v>
      </c>
      <c r="AT110" s="290">
        <v>1091</v>
      </c>
      <c r="AU110" s="290">
        <v>237</v>
      </c>
      <c r="AV110" s="766">
        <v>437681</v>
      </c>
      <c r="AW110" s="290">
        <v>0</v>
      </c>
      <c r="AX110" s="766">
        <v>172.83330000000001</v>
      </c>
      <c r="AY110" s="290">
        <v>5070</v>
      </c>
      <c r="AZ110" s="290">
        <v>873</v>
      </c>
      <c r="BA110" s="290">
        <v>374</v>
      </c>
      <c r="BB110" s="290">
        <v>0</v>
      </c>
      <c r="BC110" s="290">
        <v>8227</v>
      </c>
      <c r="BD110" s="290"/>
      <c r="BE110" s="290">
        <v>524897.98193744</v>
      </c>
      <c r="BF110" s="290">
        <v>0</v>
      </c>
      <c r="BG110" s="290">
        <v>0</v>
      </c>
      <c r="BH110" s="290">
        <v>-3131</v>
      </c>
      <c r="BI110" s="290">
        <v>8973</v>
      </c>
      <c r="BJ110" s="290">
        <v>2708.1072826863401</v>
      </c>
      <c r="BK110" s="290">
        <v>31</v>
      </c>
      <c r="BL110" s="290"/>
      <c r="BM110" s="290">
        <v>0</v>
      </c>
      <c r="BN110" s="290">
        <v>3630</v>
      </c>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f>+innut23!E116+innut23!S116</f>
        <v>679316.539128487</v>
      </c>
      <c r="CL110" s="290"/>
      <c r="CM110" s="290">
        <v>0</v>
      </c>
      <c r="CN110" s="290">
        <v>0</v>
      </c>
      <c r="CO110" s="290"/>
      <c r="CP110" s="290"/>
      <c r="CQ110" s="290"/>
      <c r="CX110" s="517">
        <f t="shared" si="3"/>
        <v>0</v>
      </c>
      <c r="DB110" s="85">
        <f t="shared" si="4"/>
        <v>3.4550000000000001</v>
      </c>
    </row>
    <row r="111" spans="1:106" ht="13">
      <c r="A111" s="1">
        <v>3020</v>
      </c>
      <c r="B111" s="2" t="s">
        <v>1621</v>
      </c>
      <c r="C111" s="289"/>
      <c r="D111" s="290">
        <v>1245</v>
      </c>
      <c r="E111" s="290">
        <v>2907</v>
      </c>
      <c r="F111" s="290">
        <v>8416</v>
      </c>
      <c r="G111" s="290">
        <v>5406</v>
      </c>
      <c r="H111" s="290">
        <v>34180</v>
      </c>
      <c r="I111" s="290">
        <v>6720</v>
      </c>
      <c r="J111" s="290">
        <v>2242</v>
      </c>
      <c r="K111" s="290">
        <v>483</v>
      </c>
      <c r="L111" s="290">
        <v>416</v>
      </c>
      <c r="M111" s="290">
        <v>3856</v>
      </c>
      <c r="N111" s="290">
        <v>2264</v>
      </c>
      <c r="O111" s="290">
        <v>504</v>
      </c>
      <c r="P111" s="624">
        <v>110549.1</v>
      </c>
      <c r="Q111" s="624">
        <v>66172.667000000001</v>
      </c>
      <c r="R111" s="624">
        <v>172</v>
      </c>
      <c r="S111" s="290"/>
      <c r="T111" s="290">
        <v>4270</v>
      </c>
      <c r="U111" s="958">
        <v>1.8928060644381043E-3</v>
      </c>
      <c r="V111" s="290">
        <v>21323.43884807</v>
      </c>
      <c r="W111" s="765">
        <v>0.53898984000000005</v>
      </c>
      <c r="X111" s="290">
        <v>0</v>
      </c>
      <c r="Y111" s="290"/>
      <c r="Z111" s="290">
        <f>+innut23!E117</f>
        <v>2548320.6235703048</v>
      </c>
      <c r="AA111" s="290">
        <v>0</v>
      </c>
      <c r="AB111" s="290">
        <v>931</v>
      </c>
      <c r="AC111" s="290">
        <v>12298</v>
      </c>
      <c r="AD111" s="290"/>
      <c r="AE111" s="290">
        <v>2387</v>
      </c>
      <c r="AF111" s="290">
        <v>16061</v>
      </c>
      <c r="AG111" s="290">
        <v>61599</v>
      </c>
      <c r="AH111" s="290">
        <v>12653</v>
      </c>
      <c r="AI111" s="290"/>
      <c r="AJ111" s="290"/>
      <c r="AK111" s="290">
        <v>0</v>
      </c>
      <c r="AL111" s="290">
        <v>0</v>
      </c>
      <c r="AM111" s="957">
        <v>1.9952707999999999</v>
      </c>
      <c r="AN111" s="290">
        <v>0</v>
      </c>
      <c r="AO111" s="290">
        <v>27494.76759833</v>
      </c>
      <c r="AP111" s="290">
        <v>0</v>
      </c>
      <c r="AQ111" s="290">
        <v>0</v>
      </c>
      <c r="AR111" s="290">
        <v>-2527.93707498</v>
      </c>
      <c r="AS111" s="290">
        <v>100664</v>
      </c>
      <c r="AT111" s="290">
        <v>3074</v>
      </c>
      <c r="AU111" s="290">
        <v>876</v>
      </c>
      <c r="AV111" s="766">
        <v>1510316</v>
      </c>
      <c r="AW111" s="290">
        <v>0</v>
      </c>
      <c r="AX111" s="766">
        <v>483.66665</v>
      </c>
      <c r="AY111" s="290">
        <v>19921</v>
      </c>
      <c r="AZ111" s="290">
        <v>2760</v>
      </c>
      <c r="BA111" s="290">
        <v>1098</v>
      </c>
      <c r="BB111" s="290">
        <v>0</v>
      </c>
      <c r="BC111" s="290">
        <v>47747</v>
      </c>
      <c r="BD111" s="290"/>
      <c r="BE111" s="290">
        <v>1797618.7824750999</v>
      </c>
      <c r="BF111" s="290">
        <v>0</v>
      </c>
      <c r="BG111" s="290">
        <v>0</v>
      </c>
      <c r="BH111" s="290">
        <v>-10233</v>
      </c>
      <c r="BI111" s="290">
        <v>52938</v>
      </c>
      <c r="BJ111" s="290">
        <v>8709.9366592474362</v>
      </c>
      <c r="BK111" s="290">
        <v>96</v>
      </c>
      <c r="BL111" s="290"/>
      <c r="BM111" s="290">
        <v>7923</v>
      </c>
      <c r="BN111" s="290">
        <v>11926</v>
      </c>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f>+innut23!E117+innut23!S117</f>
        <v>2548320.6235703048</v>
      </c>
      <c r="CL111" s="290"/>
      <c r="CM111" s="290">
        <v>0</v>
      </c>
      <c r="CN111" s="290">
        <v>0</v>
      </c>
      <c r="CO111" s="290"/>
      <c r="CP111" s="290"/>
      <c r="CQ111" s="290"/>
      <c r="CX111" s="517">
        <f t="shared" si="3"/>
        <v>0</v>
      </c>
      <c r="DB111" s="85">
        <f t="shared" si="4"/>
        <v>11.291</v>
      </c>
    </row>
    <row r="112" spans="1:106" ht="13">
      <c r="A112" s="1">
        <v>3021</v>
      </c>
      <c r="B112" s="2" t="s">
        <v>803</v>
      </c>
      <c r="C112" s="289"/>
      <c r="D112" s="290">
        <v>422</v>
      </c>
      <c r="E112" s="290">
        <v>946</v>
      </c>
      <c r="F112" s="290">
        <v>2611</v>
      </c>
      <c r="G112" s="290">
        <v>1858</v>
      </c>
      <c r="H112" s="290">
        <v>12306</v>
      </c>
      <c r="I112" s="290">
        <v>1884</v>
      </c>
      <c r="J112" s="290">
        <v>669</v>
      </c>
      <c r="K112" s="290">
        <v>162</v>
      </c>
      <c r="L112" s="290">
        <v>135</v>
      </c>
      <c r="M112" s="290">
        <v>1057</v>
      </c>
      <c r="N112" s="290">
        <v>667</v>
      </c>
      <c r="O112" s="290">
        <v>163</v>
      </c>
      <c r="P112" s="624">
        <v>66273.798666670002</v>
      </c>
      <c r="Q112" s="624">
        <v>28482.11833333</v>
      </c>
      <c r="R112" s="624">
        <v>52</v>
      </c>
      <c r="S112" s="290"/>
      <c r="T112" s="290">
        <v>1517</v>
      </c>
      <c r="U112" s="958">
        <v>1.8539988209527131E-3</v>
      </c>
      <c r="V112" s="290">
        <v>3425.5650193299998</v>
      </c>
      <c r="W112" s="765">
        <v>0.55323164000000002</v>
      </c>
      <c r="X112" s="290">
        <v>1800</v>
      </c>
      <c r="Y112" s="290"/>
      <c r="Z112" s="290">
        <f>+innut23!E118</f>
        <v>732377.50594284071</v>
      </c>
      <c r="AA112" s="290">
        <v>0</v>
      </c>
      <c r="AB112" s="290">
        <v>271</v>
      </c>
      <c r="AC112" s="290">
        <v>2504</v>
      </c>
      <c r="AD112" s="290"/>
      <c r="AE112" s="290">
        <v>0</v>
      </c>
      <c r="AF112" s="290">
        <v>0</v>
      </c>
      <c r="AG112" s="290">
        <v>20858</v>
      </c>
      <c r="AH112" s="290">
        <v>3929</v>
      </c>
      <c r="AI112" s="290"/>
      <c r="AJ112" s="290"/>
      <c r="AK112" s="290">
        <v>0</v>
      </c>
      <c r="AL112" s="290">
        <v>0</v>
      </c>
      <c r="AM112" s="957">
        <v>1.0103941599999999</v>
      </c>
      <c r="AN112" s="290">
        <v>0</v>
      </c>
      <c r="AO112" s="290">
        <v>8951.45675381</v>
      </c>
      <c r="AP112" s="290">
        <v>0</v>
      </c>
      <c r="AQ112" s="290">
        <v>0</v>
      </c>
      <c r="AR112" s="290">
        <v>-855.98323852999999</v>
      </c>
      <c r="AS112" s="290">
        <v>29980</v>
      </c>
      <c r="AT112" s="290">
        <v>983</v>
      </c>
      <c r="AU112" s="290">
        <v>343</v>
      </c>
      <c r="AV112" s="766">
        <v>459759</v>
      </c>
      <c r="AW112" s="290">
        <v>0</v>
      </c>
      <c r="AX112" s="766">
        <v>172.25004999999999</v>
      </c>
      <c r="AY112" s="290">
        <v>7307</v>
      </c>
      <c r="AZ112" s="290">
        <v>1294</v>
      </c>
      <c r="BA112" s="290">
        <v>335</v>
      </c>
      <c r="BB112" s="290">
        <v>0</v>
      </c>
      <c r="BC112" s="290">
        <v>9998</v>
      </c>
      <c r="BD112" s="290"/>
      <c r="BE112" s="290">
        <v>546103.06948147004</v>
      </c>
      <c r="BF112" s="290">
        <v>0</v>
      </c>
      <c r="BG112" s="290">
        <v>0</v>
      </c>
      <c r="BH112" s="290">
        <v>-3450</v>
      </c>
      <c r="BI112" s="290">
        <v>11100</v>
      </c>
      <c r="BJ112" s="290">
        <v>2744.8541408084916</v>
      </c>
      <c r="BK112" s="290">
        <v>35</v>
      </c>
      <c r="BL112" s="290"/>
      <c r="BM112" s="290">
        <v>0</v>
      </c>
      <c r="BN112" s="290">
        <v>4667</v>
      </c>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f>+innut23!E118+innut23!S118</f>
        <v>732377.50594284071</v>
      </c>
      <c r="CL112" s="290"/>
      <c r="CM112" s="290">
        <v>0</v>
      </c>
      <c r="CN112" s="290">
        <v>0</v>
      </c>
      <c r="CO112" s="290"/>
      <c r="CP112" s="290"/>
      <c r="CQ112" s="290"/>
      <c r="CX112" s="517">
        <f t="shared" si="3"/>
        <v>0</v>
      </c>
      <c r="DB112" s="85">
        <f t="shared" si="4"/>
        <v>3.823</v>
      </c>
    </row>
    <row r="113" spans="1:106" ht="13">
      <c r="A113" s="1">
        <v>3022</v>
      </c>
      <c r="B113" s="2" t="s">
        <v>804</v>
      </c>
      <c r="C113" s="289"/>
      <c r="D113" s="290">
        <v>215</v>
      </c>
      <c r="E113" s="290">
        <v>561</v>
      </c>
      <c r="F113" s="290">
        <v>1884</v>
      </c>
      <c r="G113" s="290">
        <v>1344</v>
      </c>
      <c r="H113" s="290">
        <v>8998</v>
      </c>
      <c r="I113" s="290">
        <v>2272</v>
      </c>
      <c r="J113" s="290">
        <v>708</v>
      </c>
      <c r="K113" s="290">
        <v>120</v>
      </c>
      <c r="L113" s="290">
        <v>120</v>
      </c>
      <c r="M113" s="290">
        <v>1281</v>
      </c>
      <c r="N113" s="290">
        <v>256</v>
      </c>
      <c r="O113" s="290">
        <v>103</v>
      </c>
      <c r="P113" s="624">
        <v>33864.152000000002</v>
      </c>
      <c r="Q113" s="624">
        <v>22064.316999999999</v>
      </c>
      <c r="R113" s="624">
        <v>53</v>
      </c>
      <c r="S113" s="290"/>
      <c r="T113" s="290">
        <v>1337</v>
      </c>
      <c r="U113" s="958">
        <v>8.2826340050624881E-4</v>
      </c>
      <c r="V113" s="290">
        <v>-8755.0791477099992</v>
      </c>
      <c r="W113" s="765">
        <v>0.54624693999999996</v>
      </c>
      <c r="X113" s="290">
        <v>1200</v>
      </c>
      <c r="Y113" s="290"/>
      <c r="Z113" s="290">
        <f>+innut23!E119</f>
        <v>715456.84761533409</v>
      </c>
      <c r="AA113" s="290">
        <v>0</v>
      </c>
      <c r="AB113" s="290">
        <v>244</v>
      </c>
      <c r="AC113" s="290">
        <v>5692</v>
      </c>
      <c r="AD113" s="290"/>
      <c r="AE113" s="290">
        <v>0</v>
      </c>
      <c r="AF113" s="290">
        <v>0</v>
      </c>
      <c r="AG113" s="290">
        <v>16102</v>
      </c>
      <c r="AH113" s="290">
        <v>2797</v>
      </c>
      <c r="AI113" s="290"/>
      <c r="AJ113" s="290"/>
      <c r="AK113" s="290">
        <v>0</v>
      </c>
      <c r="AL113" s="290">
        <v>0</v>
      </c>
      <c r="AM113" s="957">
        <v>0.53213410000000005</v>
      </c>
      <c r="AN113" s="290">
        <v>0</v>
      </c>
      <c r="AO113" s="290">
        <v>6948.0063297799998</v>
      </c>
      <c r="AP113" s="290">
        <v>0</v>
      </c>
      <c r="AQ113" s="290">
        <v>0</v>
      </c>
      <c r="AR113" s="290">
        <v>-660.80362963000005</v>
      </c>
      <c r="AS113" s="290">
        <v>31205</v>
      </c>
      <c r="AT113" s="290">
        <v>930</v>
      </c>
      <c r="AU113" s="290">
        <v>194</v>
      </c>
      <c r="AV113" s="766">
        <v>348480</v>
      </c>
      <c r="AW113" s="290">
        <v>0</v>
      </c>
      <c r="AX113" s="766">
        <v>79.083299999999994</v>
      </c>
      <c r="AY113" s="290">
        <v>5082</v>
      </c>
      <c r="AZ113" s="290">
        <v>763</v>
      </c>
      <c r="BA113" s="290">
        <v>314</v>
      </c>
      <c r="BB113" s="290">
        <v>0</v>
      </c>
      <c r="BC113" s="290">
        <v>9732</v>
      </c>
      <c r="BD113" s="290"/>
      <c r="BE113" s="290">
        <v>418302.27038994001</v>
      </c>
      <c r="BF113" s="290">
        <v>0</v>
      </c>
      <c r="BG113" s="290">
        <v>0</v>
      </c>
      <c r="BH113" s="290">
        <v>-2699</v>
      </c>
      <c r="BI113" s="290">
        <v>11600</v>
      </c>
      <c r="BJ113" s="290">
        <v>1973.2774242446119</v>
      </c>
      <c r="BK113" s="290">
        <v>24</v>
      </c>
      <c r="BL113" s="290"/>
      <c r="BM113" s="290">
        <v>0</v>
      </c>
      <c r="BN113" s="290">
        <v>3111</v>
      </c>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f>+innut23!E119+innut23!S119</f>
        <v>715456.84761533409</v>
      </c>
      <c r="CL113" s="290"/>
      <c r="CM113" s="290">
        <v>0</v>
      </c>
      <c r="CN113" s="290">
        <v>0</v>
      </c>
      <c r="CO113" s="290"/>
      <c r="CP113" s="290"/>
      <c r="CQ113" s="290"/>
      <c r="CX113" s="517">
        <f t="shared" si="3"/>
        <v>0</v>
      </c>
      <c r="DB113" s="85">
        <f t="shared" si="4"/>
        <v>2.9510000000000001</v>
      </c>
    </row>
    <row r="114" spans="1:106" ht="13">
      <c r="A114" s="1">
        <v>3023</v>
      </c>
      <c r="B114" s="4" t="s">
        <v>805</v>
      </c>
      <c r="C114" s="289"/>
      <c r="D114" s="290">
        <v>363</v>
      </c>
      <c r="E114" s="290">
        <v>914</v>
      </c>
      <c r="F114" s="290">
        <v>2834</v>
      </c>
      <c r="G114" s="290">
        <v>1627</v>
      </c>
      <c r="H114" s="290">
        <v>11200</v>
      </c>
      <c r="I114" s="290">
        <v>2375</v>
      </c>
      <c r="J114" s="290">
        <v>623</v>
      </c>
      <c r="K114" s="290">
        <v>138</v>
      </c>
      <c r="L114" s="290">
        <v>136</v>
      </c>
      <c r="M114" s="290">
        <v>1311</v>
      </c>
      <c r="N114" s="290">
        <v>339</v>
      </c>
      <c r="O114" s="290">
        <v>123</v>
      </c>
      <c r="P114" s="624">
        <v>32013.535666669999</v>
      </c>
      <c r="Q114" s="624">
        <v>26029.972666670001</v>
      </c>
      <c r="R114" s="624">
        <v>48</v>
      </c>
      <c r="S114" s="290"/>
      <c r="T114" s="290">
        <v>1602</v>
      </c>
      <c r="U114" s="958">
        <v>4.8499871198664466E-4</v>
      </c>
      <c r="V114" s="290">
        <v>-23026.425862889999</v>
      </c>
      <c r="W114" s="765">
        <v>0.55397096999999995</v>
      </c>
      <c r="X114" s="290">
        <v>1500</v>
      </c>
      <c r="Y114" s="290"/>
      <c r="Z114" s="290">
        <f>+innut23!E120</f>
        <v>771410.02339219418</v>
      </c>
      <c r="AA114" s="290">
        <v>0</v>
      </c>
      <c r="AB114" s="290">
        <v>327</v>
      </c>
      <c r="AC114" s="290">
        <v>4991</v>
      </c>
      <c r="AD114" s="290"/>
      <c r="AE114" s="290">
        <v>0</v>
      </c>
      <c r="AF114" s="290">
        <v>0</v>
      </c>
      <c r="AG114" s="290">
        <v>20074</v>
      </c>
      <c r="AH114" s="290">
        <v>4078</v>
      </c>
      <c r="AI114" s="290"/>
      <c r="AJ114" s="290"/>
      <c r="AK114" s="290">
        <v>0</v>
      </c>
      <c r="AL114" s="290">
        <v>0</v>
      </c>
      <c r="AM114" s="957">
        <v>0.73862337</v>
      </c>
      <c r="AN114" s="290">
        <v>0</v>
      </c>
      <c r="AO114" s="290">
        <v>8929.5102493100003</v>
      </c>
      <c r="AP114" s="290">
        <v>0</v>
      </c>
      <c r="AQ114" s="290">
        <v>0</v>
      </c>
      <c r="AR114" s="290">
        <v>-823.80897162999997</v>
      </c>
      <c r="AS114" s="290">
        <v>34311</v>
      </c>
      <c r="AT114" s="290">
        <v>1046</v>
      </c>
      <c r="AU114" s="290">
        <v>283</v>
      </c>
      <c r="AV114" s="766">
        <v>462768</v>
      </c>
      <c r="AW114" s="290">
        <v>0</v>
      </c>
      <c r="AX114" s="766">
        <v>143.58330000000001</v>
      </c>
      <c r="AY114" s="290">
        <v>7480</v>
      </c>
      <c r="AZ114" s="290">
        <v>992</v>
      </c>
      <c r="BA114" s="290">
        <v>410</v>
      </c>
      <c r="BB114" s="290">
        <v>0</v>
      </c>
      <c r="BC114" s="290">
        <v>11970</v>
      </c>
      <c r="BD114" s="290"/>
      <c r="BE114" s="290">
        <v>546178.50336421002</v>
      </c>
      <c r="BF114" s="290">
        <v>0</v>
      </c>
      <c r="BG114" s="290">
        <v>0</v>
      </c>
      <c r="BH114" s="290">
        <v>-3351</v>
      </c>
      <c r="BI114" s="290">
        <v>13736</v>
      </c>
      <c r="BJ114" s="290">
        <v>2927.747157011614</v>
      </c>
      <c r="BK114" s="290">
        <v>30</v>
      </c>
      <c r="BL114" s="290"/>
      <c r="BM114" s="290">
        <v>0</v>
      </c>
      <c r="BN114" s="290">
        <v>4667</v>
      </c>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f>+innut23!E120+innut23!S120</f>
        <v>771410.02339219418</v>
      </c>
      <c r="CL114" s="290"/>
      <c r="CM114" s="290">
        <v>0</v>
      </c>
      <c r="CN114" s="290">
        <v>0</v>
      </c>
      <c r="CO114" s="290"/>
      <c r="CP114" s="290"/>
      <c r="CQ114" s="290"/>
      <c r="CX114" s="517">
        <f t="shared" si="3"/>
        <v>0</v>
      </c>
      <c r="DB114" s="85">
        <f t="shared" si="4"/>
        <v>3.6789999999999998</v>
      </c>
    </row>
    <row r="115" spans="1:106" ht="13">
      <c r="A115" s="1">
        <v>3024</v>
      </c>
      <c r="B115" s="2" t="s">
        <v>807</v>
      </c>
      <c r="C115" s="289"/>
      <c r="D115" s="290">
        <v>2702</v>
      </c>
      <c r="E115" s="290">
        <v>6189</v>
      </c>
      <c r="F115" s="290">
        <v>17143</v>
      </c>
      <c r="G115" s="290">
        <v>10949</v>
      </c>
      <c r="H115" s="290">
        <v>72442</v>
      </c>
      <c r="I115" s="290">
        <v>13819</v>
      </c>
      <c r="J115" s="290">
        <v>4779</v>
      </c>
      <c r="K115" s="290">
        <v>1418</v>
      </c>
      <c r="L115" s="290">
        <v>814</v>
      </c>
      <c r="M115" s="290">
        <v>8549</v>
      </c>
      <c r="N115" s="290">
        <v>4335</v>
      </c>
      <c r="O115" s="290">
        <v>1196</v>
      </c>
      <c r="P115" s="624">
        <v>288878.41133332998</v>
      </c>
      <c r="Q115" s="624">
        <v>120836.31933333</v>
      </c>
      <c r="R115" s="624">
        <v>376</v>
      </c>
      <c r="S115" s="290"/>
      <c r="T115" s="290">
        <v>10106</v>
      </c>
      <c r="U115" s="958">
        <v>1.0681890810589848E-3</v>
      </c>
      <c r="V115" s="290">
        <v>-9840.6301867500006</v>
      </c>
      <c r="W115" s="765">
        <v>0.52811392999999995</v>
      </c>
      <c r="X115" s="290">
        <v>0</v>
      </c>
      <c r="Y115" s="290"/>
      <c r="Z115" s="290">
        <f>+innut23!E121</f>
        <v>7910554.4180557812</v>
      </c>
      <c r="AA115" s="290">
        <v>0</v>
      </c>
      <c r="AB115" s="290">
        <v>1381</v>
      </c>
      <c r="AC115" s="290">
        <v>10847</v>
      </c>
      <c r="AD115" s="290"/>
      <c r="AE115" s="290">
        <v>0</v>
      </c>
      <c r="AF115" s="290">
        <v>0</v>
      </c>
      <c r="AG115" s="290">
        <v>129441</v>
      </c>
      <c r="AH115" s="290">
        <v>26238</v>
      </c>
      <c r="AI115" s="290"/>
      <c r="AJ115" s="290"/>
      <c r="AK115" s="290">
        <v>0</v>
      </c>
      <c r="AL115" s="290">
        <v>0</v>
      </c>
      <c r="AM115" s="957">
        <v>4.3829336300000001</v>
      </c>
      <c r="AN115" s="290">
        <v>0</v>
      </c>
      <c r="AO115" s="290">
        <v>58608.232132990001</v>
      </c>
      <c r="AP115" s="290">
        <v>0</v>
      </c>
      <c r="AQ115" s="290">
        <v>0</v>
      </c>
      <c r="AR115" s="290">
        <v>-5312.0781655999999</v>
      </c>
      <c r="AS115" s="290">
        <v>329297</v>
      </c>
      <c r="AT115" s="290">
        <v>5745</v>
      </c>
      <c r="AU115" s="290">
        <v>1724</v>
      </c>
      <c r="AV115" s="766">
        <v>3130975</v>
      </c>
      <c r="AW115" s="290">
        <v>0</v>
      </c>
      <c r="AX115" s="766">
        <v>1112.5000500000001</v>
      </c>
      <c r="AY115" s="290">
        <v>53882</v>
      </c>
      <c r="AZ115" s="290">
        <v>7362</v>
      </c>
      <c r="BA115" s="290">
        <v>1885</v>
      </c>
      <c r="BB115" s="290">
        <v>0</v>
      </c>
      <c r="BC115" s="290">
        <v>55026</v>
      </c>
      <c r="BD115" s="290"/>
      <c r="BE115" s="290">
        <v>3766457.6341725001</v>
      </c>
      <c r="BF115" s="290">
        <v>0</v>
      </c>
      <c r="BG115" s="290">
        <v>0</v>
      </c>
      <c r="BH115" s="290">
        <v>-21726</v>
      </c>
      <c r="BI115" s="290">
        <v>59899</v>
      </c>
      <c r="BJ115" s="290">
        <v>17809.738468756863</v>
      </c>
      <c r="BK115" s="290">
        <v>201</v>
      </c>
      <c r="BL115" s="290"/>
      <c r="BM115" s="290">
        <v>0</v>
      </c>
      <c r="BN115" s="290">
        <v>22814</v>
      </c>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f>+innut23!E121+innut23!S121</f>
        <v>7910554.4180557812</v>
      </c>
      <c r="CL115" s="290"/>
      <c r="CM115" s="290">
        <v>0</v>
      </c>
      <c r="CN115" s="290">
        <v>0</v>
      </c>
      <c r="CO115" s="290"/>
      <c r="CP115" s="290"/>
      <c r="CQ115" s="290"/>
      <c r="CX115" s="517">
        <f t="shared" si="3"/>
        <v>0</v>
      </c>
      <c r="DB115" s="85">
        <f t="shared" si="4"/>
        <v>23.725000000000001</v>
      </c>
    </row>
    <row r="116" spans="1:106" s="657" customFormat="1" ht="13">
      <c r="A116" s="755">
        <v>3025</v>
      </c>
      <c r="B116" s="756" t="s">
        <v>1622</v>
      </c>
      <c r="C116" s="290"/>
      <c r="D116" s="290">
        <v>1869</v>
      </c>
      <c r="E116" s="290">
        <v>4504</v>
      </c>
      <c r="F116" s="290">
        <v>12876</v>
      </c>
      <c r="G116" s="290">
        <v>8313</v>
      </c>
      <c r="H116" s="290">
        <v>54562</v>
      </c>
      <c r="I116" s="290">
        <v>10759</v>
      </c>
      <c r="J116" s="290">
        <v>3534</v>
      </c>
      <c r="K116" s="290">
        <v>720</v>
      </c>
      <c r="L116" s="290">
        <v>641</v>
      </c>
      <c r="M116" s="290">
        <v>5858</v>
      </c>
      <c r="N116" s="290">
        <v>2769</v>
      </c>
      <c r="O116" s="290">
        <v>1013</v>
      </c>
      <c r="P116" s="624">
        <v>172838.44666667</v>
      </c>
      <c r="Q116" s="624">
        <v>148706.09400000001</v>
      </c>
      <c r="R116" s="624">
        <v>313</v>
      </c>
      <c r="S116" s="290"/>
      <c r="T116" s="290">
        <v>7135</v>
      </c>
      <c r="U116" s="958">
        <v>3.378771090261223E-3</v>
      </c>
      <c r="V116" s="290">
        <v>-32001.0594962</v>
      </c>
      <c r="W116" s="765">
        <v>0.55255067999999996</v>
      </c>
      <c r="X116" s="290">
        <v>0</v>
      </c>
      <c r="Y116" s="290"/>
      <c r="Z116" s="290">
        <f>+innut23!E122</f>
        <v>4842482.0971346749</v>
      </c>
      <c r="AA116" s="290">
        <v>0</v>
      </c>
      <c r="AB116" s="290">
        <v>1460</v>
      </c>
      <c r="AC116" s="290">
        <v>18035</v>
      </c>
      <c r="AD116" s="290"/>
      <c r="AE116" s="290">
        <v>0</v>
      </c>
      <c r="AF116" s="290">
        <v>32122</v>
      </c>
      <c r="AG116" s="290">
        <v>97137</v>
      </c>
      <c r="AH116" s="290">
        <v>19392</v>
      </c>
      <c r="AI116" s="290"/>
      <c r="AJ116" s="290"/>
      <c r="AK116" s="290">
        <v>0</v>
      </c>
      <c r="AL116" s="290">
        <v>0</v>
      </c>
      <c r="AM116" s="957">
        <v>4.1540660100000002</v>
      </c>
      <c r="AN116" s="290">
        <v>0</v>
      </c>
      <c r="AO116" s="290">
        <v>43312.303566980001</v>
      </c>
      <c r="AP116" s="290">
        <v>0</v>
      </c>
      <c r="AQ116" s="290">
        <v>0</v>
      </c>
      <c r="AR116" s="290">
        <v>-3986.3670457799999</v>
      </c>
      <c r="AS116" s="290">
        <v>211878</v>
      </c>
      <c r="AT116" s="290">
        <v>5014</v>
      </c>
      <c r="AU116" s="290">
        <v>1342</v>
      </c>
      <c r="AV116" s="766">
        <v>2276803</v>
      </c>
      <c r="AW116" s="290">
        <v>0</v>
      </c>
      <c r="AX116" s="766">
        <v>753.91665</v>
      </c>
      <c r="AY116" s="290">
        <v>34223</v>
      </c>
      <c r="AZ116" s="290">
        <v>5700</v>
      </c>
      <c r="BA116" s="290">
        <v>1647</v>
      </c>
      <c r="BB116" s="290">
        <v>0</v>
      </c>
      <c r="BC116" s="290">
        <v>82786</v>
      </c>
      <c r="BD116" s="290"/>
      <c r="BE116" s="290">
        <v>2764342.3382504</v>
      </c>
      <c r="BF116" s="290">
        <v>0</v>
      </c>
      <c r="BG116" s="290">
        <v>0</v>
      </c>
      <c r="BH116" s="290">
        <v>-16136</v>
      </c>
      <c r="BI116" s="290">
        <v>90808</v>
      </c>
      <c r="BJ116" s="290">
        <v>13474.15258235757</v>
      </c>
      <c r="BK116" s="290">
        <v>154</v>
      </c>
      <c r="BL116" s="290"/>
      <c r="BM116" s="290">
        <v>10482</v>
      </c>
      <c r="BN116" s="290">
        <v>21259</v>
      </c>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f>+innut23!E122+innut23!S122</f>
        <v>4842482.0971346749</v>
      </c>
      <c r="CL116" s="290"/>
      <c r="CM116" s="290">
        <v>0</v>
      </c>
      <c r="CN116" s="290">
        <v>0</v>
      </c>
      <c r="CO116" s="290"/>
      <c r="CP116" s="290"/>
      <c r="CQ116" s="290"/>
      <c r="CX116" s="517">
        <f t="shared" si="3"/>
        <v>0</v>
      </c>
      <c r="DB116" s="85">
        <f t="shared" si="4"/>
        <v>17.803999999999998</v>
      </c>
    </row>
    <row r="117" spans="1:106" ht="13">
      <c r="A117" s="1">
        <v>3026</v>
      </c>
      <c r="B117" s="2" t="s">
        <v>1623</v>
      </c>
      <c r="C117" s="289"/>
      <c r="D117" s="290">
        <v>310</v>
      </c>
      <c r="E117" s="290">
        <v>736</v>
      </c>
      <c r="F117" s="290">
        <v>2087</v>
      </c>
      <c r="G117" s="290">
        <v>1379</v>
      </c>
      <c r="H117" s="290">
        <v>10122</v>
      </c>
      <c r="I117" s="290">
        <v>2366</v>
      </c>
      <c r="J117" s="290">
        <v>680</v>
      </c>
      <c r="K117" s="290">
        <v>164</v>
      </c>
      <c r="L117" s="290">
        <v>134</v>
      </c>
      <c r="M117" s="290">
        <v>1421</v>
      </c>
      <c r="N117" s="290">
        <v>319</v>
      </c>
      <c r="O117" s="290">
        <v>174</v>
      </c>
      <c r="P117" s="624">
        <v>76440.511333329996</v>
      </c>
      <c r="Q117" s="624">
        <v>47872.888666669998</v>
      </c>
      <c r="R117" s="624">
        <v>53</v>
      </c>
      <c r="S117" s="290"/>
      <c r="T117" s="290">
        <v>1560</v>
      </c>
      <c r="U117" s="958">
        <v>6.1859820884312038E-3</v>
      </c>
      <c r="V117" s="290">
        <v>9457.50847823</v>
      </c>
      <c r="W117" s="765">
        <v>0.64255417999999997</v>
      </c>
      <c r="X117" s="290">
        <v>1800</v>
      </c>
      <c r="Y117" s="290"/>
      <c r="Z117" s="290">
        <f>+innut23!E123</f>
        <v>518870.46484503383</v>
      </c>
      <c r="AA117" s="290">
        <v>0</v>
      </c>
      <c r="AB117" s="290">
        <v>410</v>
      </c>
      <c r="AC117" s="290">
        <v>4248</v>
      </c>
      <c r="AD117" s="290"/>
      <c r="AE117" s="290">
        <v>0</v>
      </c>
      <c r="AF117" s="290">
        <v>22723</v>
      </c>
      <c r="AG117" s="290">
        <v>17844</v>
      </c>
      <c r="AH117" s="290">
        <v>3202</v>
      </c>
      <c r="AI117" s="290"/>
      <c r="AJ117" s="290"/>
      <c r="AK117" s="290">
        <v>0</v>
      </c>
      <c r="AL117" s="290">
        <v>0</v>
      </c>
      <c r="AM117" s="957">
        <v>0.83360449000000003</v>
      </c>
      <c r="AN117" s="290">
        <v>0</v>
      </c>
      <c r="AO117" s="290">
        <v>7922.2243142200005</v>
      </c>
      <c r="AP117" s="290">
        <v>0</v>
      </c>
      <c r="AQ117" s="290">
        <v>0</v>
      </c>
      <c r="AR117" s="290">
        <v>-732.29288082999994</v>
      </c>
      <c r="AS117" s="290">
        <v>28127</v>
      </c>
      <c r="AT117" s="290">
        <v>1100</v>
      </c>
      <c r="AU117" s="290">
        <v>243</v>
      </c>
      <c r="AV117" s="766">
        <v>466339</v>
      </c>
      <c r="AW117" s="290">
        <v>0</v>
      </c>
      <c r="AX117" s="766">
        <v>106.33335</v>
      </c>
      <c r="AY117" s="290">
        <v>2933</v>
      </c>
      <c r="AZ117" s="290">
        <v>983</v>
      </c>
      <c r="BA117" s="290">
        <v>313</v>
      </c>
      <c r="BB117" s="290">
        <v>0</v>
      </c>
      <c r="BC117" s="290">
        <v>31487</v>
      </c>
      <c r="BD117" s="290"/>
      <c r="BE117" s="290">
        <v>540105.86977742997</v>
      </c>
      <c r="BF117" s="290">
        <v>0</v>
      </c>
      <c r="BG117" s="290">
        <v>0</v>
      </c>
      <c r="BH117" s="290">
        <v>-2987</v>
      </c>
      <c r="BI117" s="290">
        <v>33803</v>
      </c>
      <c r="BJ117" s="290">
        <v>2262.1986886220934</v>
      </c>
      <c r="BK117" s="290">
        <v>30</v>
      </c>
      <c r="BL117" s="290"/>
      <c r="BM117" s="290">
        <v>4764</v>
      </c>
      <c r="BN117" s="290">
        <v>3630</v>
      </c>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f>+innut23!E123+innut23!S123</f>
        <v>518870.46484503383</v>
      </c>
      <c r="CL117" s="290"/>
      <c r="CM117" s="290">
        <v>0</v>
      </c>
      <c r="CN117" s="290">
        <v>0</v>
      </c>
      <c r="CO117" s="290"/>
      <c r="CP117" s="290"/>
      <c r="CQ117" s="290"/>
      <c r="CX117" s="517">
        <f t="shared" si="3"/>
        <v>0</v>
      </c>
      <c r="DB117" s="85">
        <f t="shared" si="4"/>
        <v>3.2709999999999999</v>
      </c>
    </row>
    <row r="118" spans="1:106" ht="13">
      <c r="A118" s="1">
        <v>3027</v>
      </c>
      <c r="B118" s="2" t="s">
        <v>812</v>
      </c>
      <c r="C118" s="289"/>
      <c r="D118" s="290">
        <v>474</v>
      </c>
      <c r="E118" s="290">
        <v>998</v>
      </c>
      <c r="F118" s="290">
        <v>2585</v>
      </c>
      <c r="G118" s="290">
        <v>1559</v>
      </c>
      <c r="H118" s="290">
        <v>11315</v>
      </c>
      <c r="I118" s="290">
        <v>1807</v>
      </c>
      <c r="J118" s="290">
        <v>500</v>
      </c>
      <c r="K118" s="290">
        <v>73</v>
      </c>
      <c r="L118" s="290">
        <v>142</v>
      </c>
      <c r="M118" s="290">
        <v>1040</v>
      </c>
      <c r="N118" s="290">
        <v>952</v>
      </c>
      <c r="O118" s="290">
        <v>168</v>
      </c>
      <c r="P118" s="624">
        <v>21095.287</v>
      </c>
      <c r="Q118" s="624">
        <v>19819.633000000002</v>
      </c>
      <c r="R118" s="624">
        <v>50</v>
      </c>
      <c r="S118" s="290"/>
      <c r="T118" s="290">
        <v>1568</v>
      </c>
      <c r="U118" s="958">
        <v>4.4064771045935385E-4</v>
      </c>
      <c r="V118" s="290">
        <v>4557.2425635500003</v>
      </c>
      <c r="W118" s="765">
        <v>0.54124673999999995</v>
      </c>
      <c r="X118" s="290">
        <v>1700</v>
      </c>
      <c r="Y118" s="290"/>
      <c r="Z118" s="290">
        <f>+innut23!E124</f>
        <v>717968.75286991347</v>
      </c>
      <c r="AA118" s="290">
        <v>0</v>
      </c>
      <c r="AB118" s="290">
        <v>282</v>
      </c>
      <c r="AC118" s="290">
        <v>2434</v>
      </c>
      <c r="AD118" s="290"/>
      <c r="AE118" s="290">
        <v>1959</v>
      </c>
      <c r="AF118" s="290">
        <v>0</v>
      </c>
      <c r="AG118" s="290">
        <v>19311</v>
      </c>
      <c r="AH118" s="290">
        <v>3983</v>
      </c>
      <c r="AI118" s="290"/>
      <c r="AJ118" s="290"/>
      <c r="AK118" s="290">
        <v>0</v>
      </c>
      <c r="AL118" s="290">
        <v>0</v>
      </c>
      <c r="AM118" s="957">
        <v>0.93006807000000002</v>
      </c>
      <c r="AN118" s="290">
        <v>0</v>
      </c>
      <c r="AO118" s="290">
        <v>8416.20559736</v>
      </c>
      <c r="AP118" s="290">
        <v>0</v>
      </c>
      <c r="AQ118" s="290">
        <v>0</v>
      </c>
      <c r="AR118" s="290">
        <v>-792.49651544999995</v>
      </c>
      <c r="AS118" s="290">
        <v>29521</v>
      </c>
      <c r="AT118" s="290">
        <v>1054</v>
      </c>
      <c r="AU118" s="290">
        <v>346</v>
      </c>
      <c r="AV118" s="766">
        <v>443679</v>
      </c>
      <c r="AW118" s="290">
        <v>0</v>
      </c>
      <c r="AX118" s="766">
        <v>197.20830000000001</v>
      </c>
      <c r="AY118" s="290">
        <v>4902</v>
      </c>
      <c r="AZ118" s="290">
        <v>923</v>
      </c>
      <c r="BA118" s="290">
        <v>370</v>
      </c>
      <c r="BB118" s="290">
        <v>0</v>
      </c>
      <c r="BC118" s="290">
        <v>9495</v>
      </c>
      <c r="BD118" s="290"/>
      <c r="BE118" s="290">
        <v>527308.32484540995</v>
      </c>
      <c r="BF118" s="290">
        <v>0</v>
      </c>
      <c r="BG118" s="290">
        <v>0</v>
      </c>
      <c r="BH118" s="290">
        <v>-3193</v>
      </c>
      <c r="BI118" s="290">
        <v>10565</v>
      </c>
      <c r="BJ118" s="290">
        <v>2684.0213139080556</v>
      </c>
      <c r="BK118" s="290">
        <v>36</v>
      </c>
      <c r="BL118" s="290"/>
      <c r="BM118" s="290">
        <v>0</v>
      </c>
      <c r="BN118" s="290">
        <v>4148</v>
      </c>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f>+innut23!E124+innut23!S124</f>
        <v>717968.75286991347</v>
      </c>
      <c r="CL118" s="290"/>
      <c r="CM118" s="290">
        <v>0</v>
      </c>
      <c r="CN118" s="290">
        <v>0</v>
      </c>
      <c r="CO118" s="290"/>
      <c r="CP118" s="290"/>
      <c r="CQ118" s="290"/>
      <c r="CX118" s="517">
        <f t="shared" si="3"/>
        <v>0</v>
      </c>
      <c r="DB118" s="85">
        <f t="shared" si="4"/>
        <v>3.54</v>
      </c>
    </row>
    <row r="119" spans="1:106" ht="13">
      <c r="A119" s="1">
        <v>3028</v>
      </c>
      <c r="B119" s="2" t="s">
        <v>813</v>
      </c>
      <c r="C119" s="289"/>
      <c r="D119" s="290">
        <v>214</v>
      </c>
      <c r="E119" s="290">
        <v>448</v>
      </c>
      <c r="F119" s="290">
        <v>1597</v>
      </c>
      <c r="G119" s="290">
        <v>932</v>
      </c>
      <c r="H119" s="290">
        <v>6520</v>
      </c>
      <c r="I119" s="290">
        <v>1220</v>
      </c>
      <c r="J119" s="290">
        <v>299</v>
      </c>
      <c r="K119" s="290">
        <v>39</v>
      </c>
      <c r="L119" s="290">
        <v>82</v>
      </c>
      <c r="M119" s="290">
        <v>641</v>
      </c>
      <c r="N119" s="290">
        <v>269</v>
      </c>
      <c r="O119" s="290">
        <v>102</v>
      </c>
      <c r="P119" s="624">
        <v>39958.954333330003</v>
      </c>
      <c r="Q119" s="624">
        <v>17044.752</v>
      </c>
      <c r="R119" s="624">
        <v>39</v>
      </c>
      <c r="S119" s="290"/>
      <c r="T119" s="290">
        <v>856</v>
      </c>
      <c r="U119" s="958">
        <v>1.7780850117050523E-3</v>
      </c>
      <c r="V119" s="290">
        <v>4127.8645265699997</v>
      </c>
      <c r="W119" s="765">
        <v>0.58319390000000004</v>
      </c>
      <c r="X119" s="290">
        <v>1600</v>
      </c>
      <c r="Y119" s="290"/>
      <c r="Z119" s="290">
        <f>+innut23!E125</f>
        <v>353220.74199725076</v>
      </c>
      <c r="AA119" s="290">
        <v>0</v>
      </c>
      <c r="AB119" s="290">
        <v>218</v>
      </c>
      <c r="AC119" s="290">
        <v>1962</v>
      </c>
      <c r="AD119" s="290"/>
      <c r="AE119" s="290">
        <v>0</v>
      </c>
      <c r="AF119" s="290">
        <v>0</v>
      </c>
      <c r="AG119" s="290">
        <v>11269</v>
      </c>
      <c r="AH119" s="290">
        <v>2268</v>
      </c>
      <c r="AI119" s="290"/>
      <c r="AJ119" s="290"/>
      <c r="AK119" s="290">
        <v>0</v>
      </c>
      <c r="AL119" s="290">
        <v>0</v>
      </c>
      <c r="AM119" s="957">
        <v>0.53067686000000003</v>
      </c>
      <c r="AN119" s="290">
        <v>0</v>
      </c>
      <c r="AO119" s="290">
        <v>4937.8986001599997</v>
      </c>
      <c r="AP119" s="290">
        <v>0</v>
      </c>
      <c r="AQ119" s="290">
        <v>0</v>
      </c>
      <c r="AR119" s="290">
        <v>-462.46404809000001</v>
      </c>
      <c r="AS119" s="290">
        <v>17754</v>
      </c>
      <c r="AT119" s="290">
        <v>615</v>
      </c>
      <c r="AU119" s="290">
        <v>179</v>
      </c>
      <c r="AV119" s="766">
        <v>265969</v>
      </c>
      <c r="AW119" s="290">
        <v>0</v>
      </c>
      <c r="AX119" s="766">
        <v>90.541700000000006</v>
      </c>
      <c r="AY119" s="290">
        <v>2165</v>
      </c>
      <c r="AZ119" s="290">
        <v>610</v>
      </c>
      <c r="BA119" s="290">
        <v>267</v>
      </c>
      <c r="BB119" s="290">
        <v>0</v>
      </c>
      <c r="BC119" s="290">
        <v>6073</v>
      </c>
      <c r="BD119" s="290"/>
      <c r="BE119" s="290">
        <v>313032.71162155998</v>
      </c>
      <c r="BF119" s="290">
        <v>0</v>
      </c>
      <c r="BG119" s="290">
        <v>0</v>
      </c>
      <c r="BH119" s="290">
        <v>-1882</v>
      </c>
      <c r="BI119" s="290">
        <v>6823</v>
      </c>
      <c r="BJ119" s="290">
        <v>1686.4817270053197</v>
      </c>
      <c r="BK119" s="290">
        <v>19</v>
      </c>
      <c r="BL119" s="290"/>
      <c r="BM119" s="290">
        <v>0</v>
      </c>
      <c r="BN119" s="290">
        <v>2593</v>
      </c>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f>+innut23!E125+innut23!S125</f>
        <v>353220.74199725076</v>
      </c>
      <c r="CL119" s="290"/>
      <c r="CM119" s="290">
        <v>0</v>
      </c>
      <c r="CN119" s="290">
        <v>0</v>
      </c>
      <c r="CO119" s="290"/>
      <c r="CP119" s="290"/>
      <c r="CQ119" s="290"/>
      <c r="CX119" s="517">
        <f t="shared" si="3"/>
        <v>0</v>
      </c>
      <c r="DB119" s="85">
        <f t="shared" si="4"/>
        <v>2.0659999999999998</v>
      </c>
    </row>
    <row r="120" spans="1:106" ht="13">
      <c r="A120" s="1">
        <v>3029</v>
      </c>
      <c r="B120" s="2" t="s">
        <v>814</v>
      </c>
      <c r="C120" s="289"/>
      <c r="D120" s="290">
        <v>1151</v>
      </c>
      <c r="E120" s="290">
        <v>2232</v>
      </c>
      <c r="F120" s="290">
        <v>5432</v>
      </c>
      <c r="G120" s="290">
        <v>3834</v>
      </c>
      <c r="H120" s="290">
        <v>27093</v>
      </c>
      <c r="I120" s="290">
        <v>4676</v>
      </c>
      <c r="J120" s="290">
        <v>1293</v>
      </c>
      <c r="K120" s="290">
        <v>242</v>
      </c>
      <c r="L120" s="290">
        <v>307</v>
      </c>
      <c r="M120" s="290">
        <v>2496</v>
      </c>
      <c r="N120" s="290">
        <v>2643</v>
      </c>
      <c r="O120" s="290">
        <v>385</v>
      </c>
      <c r="P120" s="624">
        <v>70017.142333330004</v>
      </c>
      <c r="Q120" s="624">
        <v>40534.064333330003</v>
      </c>
      <c r="R120" s="624">
        <v>102</v>
      </c>
      <c r="S120" s="290"/>
      <c r="T120" s="290">
        <v>3986</v>
      </c>
      <c r="U120" s="958">
        <v>5.0614492378836973E-4</v>
      </c>
      <c r="V120" s="290">
        <v>2289.4790101899998</v>
      </c>
      <c r="W120" s="765">
        <v>0.52288027000000004</v>
      </c>
      <c r="X120" s="290">
        <v>0</v>
      </c>
      <c r="Y120" s="290"/>
      <c r="Z120" s="290">
        <f>+innut23!E126</f>
        <v>1749169.4147155124</v>
      </c>
      <c r="AA120" s="290">
        <v>0</v>
      </c>
      <c r="AB120" s="290">
        <v>649</v>
      </c>
      <c r="AC120" s="290">
        <v>5726</v>
      </c>
      <c r="AD120" s="290"/>
      <c r="AE120" s="290">
        <v>65656</v>
      </c>
      <c r="AF120" s="290">
        <v>0</v>
      </c>
      <c r="AG120" s="290">
        <v>45953</v>
      </c>
      <c r="AH120" s="290">
        <v>8782</v>
      </c>
      <c r="AI120" s="290"/>
      <c r="AJ120" s="290"/>
      <c r="AK120" s="290">
        <v>0</v>
      </c>
      <c r="AL120" s="290">
        <v>0</v>
      </c>
      <c r="AM120" s="957">
        <v>2.9468055899999999</v>
      </c>
      <c r="AN120" s="290">
        <v>0</v>
      </c>
      <c r="AO120" s="290">
        <v>19327.226742399998</v>
      </c>
      <c r="AP120" s="290">
        <v>0</v>
      </c>
      <c r="AQ120" s="290">
        <v>0</v>
      </c>
      <c r="AR120" s="290">
        <v>-1885.8470495700001</v>
      </c>
      <c r="AS120" s="290">
        <v>66556</v>
      </c>
      <c r="AT120" s="290">
        <v>2609</v>
      </c>
      <c r="AU120" s="290">
        <v>958</v>
      </c>
      <c r="AV120" s="766">
        <v>957281</v>
      </c>
      <c r="AW120" s="290">
        <v>0</v>
      </c>
      <c r="AX120" s="766">
        <v>448.95835</v>
      </c>
      <c r="AY120" s="290">
        <v>12529</v>
      </c>
      <c r="AZ120" s="290">
        <v>2355</v>
      </c>
      <c r="BA120" s="290">
        <v>907</v>
      </c>
      <c r="BB120" s="290">
        <v>0</v>
      </c>
      <c r="BC120" s="290">
        <v>18161</v>
      </c>
      <c r="BD120" s="290"/>
      <c r="BE120" s="290">
        <v>1200590.3682456999</v>
      </c>
      <c r="BF120" s="290">
        <v>0</v>
      </c>
      <c r="BG120" s="290">
        <v>0</v>
      </c>
      <c r="BH120" s="290">
        <v>-7416</v>
      </c>
      <c r="BI120" s="290">
        <v>20730</v>
      </c>
      <c r="BJ120" s="290">
        <v>5647.0764100153547</v>
      </c>
      <c r="BK120" s="290">
        <v>95</v>
      </c>
      <c r="BL120" s="290"/>
      <c r="BM120" s="290">
        <v>0</v>
      </c>
      <c r="BN120" s="290">
        <v>6222</v>
      </c>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f>+innut23!E126+innut23!S126</f>
        <v>1749169.4147155124</v>
      </c>
      <c r="CL120" s="290"/>
      <c r="CM120" s="290">
        <v>0</v>
      </c>
      <c r="CN120" s="290">
        <v>0</v>
      </c>
      <c r="CO120" s="290"/>
      <c r="CP120" s="290"/>
      <c r="CQ120" s="290"/>
      <c r="CX120" s="517">
        <f t="shared" si="3"/>
        <v>0</v>
      </c>
      <c r="DB120" s="85">
        <f t="shared" si="4"/>
        <v>8.423</v>
      </c>
    </row>
    <row r="121" spans="1:106" ht="13">
      <c r="A121" s="1">
        <v>3030</v>
      </c>
      <c r="B121" s="4" t="s">
        <v>1624</v>
      </c>
      <c r="C121" s="289"/>
      <c r="D121" s="290">
        <v>1841</v>
      </c>
      <c r="E121" s="290">
        <v>4035</v>
      </c>
      <c r="F121" s="290">
        <v>11530</v>
      </c>
      <c r="G121" s="290">
        <v>7678</v>
      </c>
      <c r="H121" s="290">
        <v>52918</v>
      </c>
      <c r="I121" s="290">
        <v>8762</v>
      </c>
      <c r="J121" s="290">
        <v>2973</v>
      </c>
      <c r="K121" s="290">
        <v>583</v>
      </c>
      <c r="L121" s="290">
        <v>650</v>
      </c>
      <c r="M121" s="290">
        <v>5302</v>
      </c>
      <c r="N121" s="290">
        <v>4806</v>
      </c>
      <c r="O121" s="290">
        <v>887</v>
      </c>
      <c r="P121" s="624">
        <v>184827.48566666999</v>
      </c>
      <c r="Q121" s="624">
        <v>111342.258</v>
      </c>
      <c r="R121" s="624">
        <v>249</v>
      </c>
      <c r="S121" s="290"/>
      <c r="T121" s="290">
        <v>7376</v>
      </c>
      <c r="U121" s="958">
        <v>6.4797174180829279E-3</v>
      </c>
      <c r="V121" s="290">
        <v>24903.93102294</v>
      </c>
      <c r="W121" s="765">
        <v>0.54389275999999998</v>
      </c>
      <c r="X121" s="290">
        <v>3200</v>
      </c>
      <c r="Y121" s="290"/>
      <c r="Z121" s="290">
        <f>+innut23!E127</f>
        <v>3341836.090555633</v>
      </c>
      <c r="AA121" s="290">
        <v>0</v>
      </c>
      <c r="AB121" s="290">
        <v>1471</v>
      </c>
      <c r="AC121" s="290">
        <v>16132</v>
      </c>
      <c r="AD121" s="290"/>
      <c r="AE121" s="290">
        <v>8428</v>
      </c>
      <c r="AF121" s="290">
        <v>32122</v>
      </c>
      <c r="AG121" s="290">
        <v>90320</v>
      </c>
      <c r="AH121" s="290">
        <v>17471</v>
      </c>
      <c r="AI121" s="290"/>
      <c r="AJ121" s="290"/>
      <c r="AK121" s="290">
        <v>0</v>
      </c>
      <c r="AL121" s="290">
        <v>0</v>
      </c>
      <c r="AM121" s="957">
        <v>5.32534872</v>
      </c>
      <c r="AN121" s="290">
        <v>0</v>
      </c>
      <c r="AO121" s="290">
        <v>39079.589445060003</v>
      </c>
      <c r="AP121" s="290">
        <v>0</v>
      </c>
      <c r="AQ121" s="290">
        <v>0</v>
      </c>
      <c r="AR121" s="290">
        <v>-3706.60687044</v>
      </c>
      <c r="AS121" s="290">
        <v>128216</v>
      </c>
      <c r="AT121" s="290">
        <v>5255</v>
      </c>
      <c r="AU121" s="290">
        <v>1724</v>
      </c>
      <c r="AV121" s="766">
        <v>2093867</v>
      </c>
      <c r="AW121" s="290">
        <v>0</v>
      </c>
      <c r="AX121" s="766">
        <v>656.66669999999999</v>
      </c>
      <c r="AY121" s="290">
        <v>22832</v>
      </c>
      <c r="AZ121" s="290">
        <v>4666</v>
      </c>
      <c r="BA121" s="290">
        <v>1749</v>
      </c>
      <c r="BB121" s="290">
        <v>0</v>
      </c>
      <c r="BC121" s="290">
        <v>72999</v>
      </c>
      <c r="BD121" s="290"/>
      <c r="BE121" s="290">
        <v>2465357.278167</v>
      </c>
      <c r="BF121" s="290">
        <v>0</v>
      </c>
      <c r="BG121" s="290">
        <v>0</v>
      </c>
      <c r="BH121" s="290">
        <v>-14915</v>
      </c>
      <c r="BI121" s="290">
        <v>80243</v>
      </c>
      <c r="BJ121" s="290">
        <v>12049.012957779394</v>
      </c>
      <c r="BK121" s="290">
        <v>179</v>
      </c>
      <c r="BL121" s="290"/>
      <c r="BM121" s="290">
        <v>9972</v>
      </c>
      <c r="BN121" s="290">
        <v>14518</v>
      </c>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f>+innut23!E127+innut23!S127</f>
        <v>3341836.090555633</v>
      </c>
      <c r="CL121" s="290"/>
      <c r="CM121" s="290">
        <v>0</v>
      </c>
      <c r="CN121" s="290">
        <v>0</v>
      </c>
      <c r="CO121" s="290"/>
      <c r="CP121" s="290"/>
      <c r="CQ121" s="290"/>
      <c r="CX121" s="517">
        <f t="shared" si="3"/>
        <v>0</v>
      </c>
      <c r="DB121" s="85">
        <f t="shared" si="4"/>
        <v>16.555</v>
      </c>
    </row>
    <row r="122" spans="1:106" ht="13">
      <c r="A122" s="1">
        <v>3031</v>
      </c>
      <c r="B122" s="2" t="s">
        <v>816</v>
      </c>
      <c r="C122" s="289"/>
      <c r="D122" s="290">
        <v>515</v>
      </c>
      <c r="E122" s="290">
        <v>1160</v>
      </c>
      <c r="F122" s="290">
        <v>3571</v>
      </c>
      <c r="G122" s="290">
        <v>2156</v>
      </c>
      <c r="H122" s="290">
        <v>14367</v>
      </c>
      <c r="I122" s="290">
        <v>2453</v>
      </c>
      <c r="J122" s="290">
        <v>746</v>
      </c>
      <c r="K122" s="290">
        <v>127</v>
      </c>
      <c r="L122" s="290">
        <v>174</v>
      </c>
      <c r="M122" s="290">
        <v>1401</v>
      </c>
      <c r="N122" s="290">
        <v>663</v>
      </c>
      <c r="O122" s="290">
        <v>174</v>
      </c>
      <c r="P122" s="624">
        <v>66031.302333329993</v>
      </c>
      <c r="Q122" s="624">
        <v>28799.81633333</v>
      </c>
      <c r="R122" s="624">
        <v>85</v>
      </c>
      <c r="S122" s="290"/>
      <c r="T122" s="290">
        <v>1834</v>
      </c>
      <c r="U122" s="958">
        <v>1.1756371382491537E-3</v>
      </c>
      <c r="V122" s="290">
        <v>7020.3670360899996</v>
      </c>
      <c r="W122" s="765">
        <v>0.54821198999999998</v>
      </c>
      <c r="X122" s="290">
        <v>1800</v>
      </c>
      <c r="Y122" s="290"/>
      <c r="Z122" s="290">
        <f>+innut23!E128</f>
        <v>975849.47382401815</v>
      </c>
      <c r="AA122" s="290">
        <v>0</v>
      </c>
      <c r="AB122" s="290">
        <v>368</v>
      </c>
      <c r="AC122" s="290">
        <v>3822</v>
      </c>
      <c r="AD122" s="290"/>
      <c r="AE122" s="290">
        <v>0</v>
      </c>
      <c r="AF122" s="290">
        <v>0</v>
      </c>
      <c r="AG122" s="290">
        <v>25095</v>
      </c>
      <c r="AH122" s="290">
        <v>5238</v>
      </c>
      <c r="AI122" s="290"/>
      <c r="AJ122" s="290"/>
      <c r="AK122" s="290">
        <v>0</v>
      </c>
      <c r="AL122" s="290">
        <v>0</v>
      </c>
      <c r="AM122" s="957">
        <v>0.70153065000000003</v>
      </c>
      <c r="AN122" s="290">
        <v>0</v>
      </c>
      <c r="AO122" s="290">
        <v>11017.256697229999</v>
      </c>
      <c r="AP122" s="290">
        <v>0</v>
      </c>
      <c r="AQ122" s="290">
        <v>0</v>
      </c>
      <c r="AR122" s="290">
        <v>-1029.8638110500001</v>
      </c>
      <c r="AS122" s="290">
        <v>37573</v>
      </c>
      <c r="AT122" s="290">
        <v>1342</v>
      </c>
      <c r="AU122" s="290">
        <v>345</v>
      </c>
      <c r="AV122" s="766">
        <v>589773</v>
      </c>
      <c r="AW122" s="290">
        <v>0</v>
      </c>
      <c r="AX122" s="766">
        <v>210.29165</v>
      </c>
      <c r="AY122" s="290">
        <v>7259</v>
      </c>
      <c r="AZ122" s="290">
        <v>943</v>
      </c>
      <c r="BA122" s="290">
        <v>414</v>
      </c>
      <c r="BB122" s="290">
        <v>0</v>
      </c>
      <c r="BC122" s="290">
        <v>12252</v>
      </c>
      <c r="BD122" s="290"/>
      <c r="BE122" s="290">
        <v>694640.04112030996</v>
      </c>
      <c r="BF122" s="290">
        <v>0</v>
      </c>
      <c r="BG122" s="290">
        <v>0</v>
      </c>
      <c r="BH122" s="290">
        <v>-4176</v>
      </c>
      <c r="BI122" s="290">
        <v>13727</v>
      </c>
      <c r="BJ122" s="290">
        <v>3701.6569009957307</v>
      </c>
      <c r="BK122" s="290">
        <v>37</v>
      </c>
      <c r="BL122" s="290"/>
      <c r="BM122" s="290">
        <v>0</v>
      </c>
      <c r="BN122" s="290">
        <v>4667</v>
      </c>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f>+innut23!E128+innut23!S128</f>
        <v>975849.47382401815</v>
      </c>
      <c r="CL122" s="290"/>
      <c r="CM122" s="290">
        <v>0</v>
      </c>
      <c r="CN122" s="290">
        <v>0</v>
      </c>
      <c r="CO122" s="290"/>
      <c r="CP122" s="290"/>
      <c r="CQ122" s="290"/>
      <c r="CX122" s="517">
        <f t="shared" si="3"/>
        <v>0</v>
      </c>
      <c r="DB122" s="85">
        <f t="shared" si="4"/>
        <v>4.5999999999999996</v>
      </c>
    </row>
    <row r="123" spans="1:106" ht="13">
      <c r="A123" s="1">
        <v>3032</v>
      </c>
      <c r="B123" s="2" t="s">
        <v>817</v>
      </c>
      <c r="C123" s="289"/>
      <c r="D123" s="290">
        <v>145</v>
      </c>
      <c r="E123" s="290">
        <v>291</v>
      </c>
      <c r="F123" s="290">
        <v>900</v>
      </c>
      <c r="G123" s="290">
        <v>635</v>
      </c>
      <c r="H123" s="290">
        <v>4108</v>
      </c>
      <c r="I123" s="290">
        <v>797</v>
      </c>
      <c r="J123" s="290">
        <v>225</v>
      </c>
      <c r="K123" s="290">
        <v>35</v>
      </c>
      <c r="L123" s="290">
        <v>48</v>
      </c>
      <c r="M123" s="290">
        <v>393</v>
      </c>
      <c r="N123" s="290">
        <v>145</v>
      </c>
      <c r="O123" s="290">
        <v>62</v>
      </c>
      <c r="P123" s="624">
        <v>22307.721000000001</v>
      </c>
      <c r="Q123" s="624">
        <v>10951.776666670001</v>
      </c>
      <c r="R123" s="624">
        <v>22</v>
      </c>
      <c r="S123" s="290"/>
      <c r="T123" s="290">
        <v>489</v>
      </c>
      <c r="U123" s="958">
        <v>1.3543360703466879E-3</v>
      </c>
      <c r="V123" s="290">
        <v>2566.4951337299999</v>
      </c>
      <c r="W123" s="765">
        <v>0.56050818999999996</v>
      </c>
      <c r="X123" s="290">
        <v>600</v>
      </c>
      <c r="Y123" s="290"/>
      <c r="Z123" s="290">
        <f>+innut23!E129</f>
        <v>284927.20238344761</v>
      </c>
      <c r="AA123" s="290">
        <v>0</v>
      </c>
      <c r="AB123" s="290">
        <v>112</v>
      </c>
      <c r="AC123" s="290">
        <v>1087</v>
      </c>
      <c r="AD123" s="290"/>
      <c r="AE123" s="290">
        <v>0</v>
      </c>
      <c r="AF123" s="290">
        <v>0</v>
      </c>
      <c r="AG123" s="290">
        <v>7136</v>
      </c>
      <c r="AH123" s="290">
        <v>1378</v>
      </c>
      <c r="AI123" s="290"/>
      <c r="AJ123" s="290"/>
      <c r="AK123" s="290">
        <v>0</v>
      </c>
      <c r="AL123" s="290">
        <v>0</v>
      </c>
      <c r="AM123" s="957">
        <v>0.20897626999999999</v>
      </c>
      <c r="AN123" s="290">
        <v>0</v>
      </c>
      <c r="AO123" s="290">
        <v>3033.9153744</v>
      </c>
      <c r="AP123" s="290">
        <v>0</v>
      </c>
      <c r="AQ123" s="290">
        <v>0</v>
      </c>
      <c r="AR123" s="290">
        <v>2100.9362101000002</v>
      </c>
      <c r="AS123" s="290">
        <v>11696</v>
      </c>
      <c r="AT123" s="290">
        <v>372</v>
      </c>
      <c r="AU123" s="290">
        <v>98</v>
      </c>
      <c r="AV123" s="766">
        <v>161889</v>
      </c>
      <c r="AW123" s="290">
        <v>0</v>
      </c>
      <c r="AX123" s="766">
        <v>60.666699999999999</v>
      </c>
      <c r="AY123" s="290">
        <v>1726</v>
      </c>
      <c r="AZ123" s="290">
        <v>280</v>
      </c>
      <c r="BA123" s="290">
        <v>99</v>
      </c>
      <c r="BB123" s="290">
        <v>0</v>
      </c>
      <c r="BC123" s="290">
        <v>3628</v>
      </c>
      <c r="BD123" s="290"/>
      <c r="BE123" s="290">
        <v>184428.31977723999</v>
      </c>
      <c r="BF123" s="290">
        <v>0</v>
      </c>
      <c r="BG123" s="290">
        <v>0</v>
      </c>
      <c r="BH123" s="290">
        <v>-1179</v>
      </c>
      <c r="BI123" s="290">
        <v>4021</v>
      </c>
      <c r="BJ123" s="290">
        <v>960.88049468426971</v>
      </c>
      <c r="BK123" s="290">
        <v>10</v>
      </c>
      <c r="BL123" s="290"/>
      <c r="BM123" s="290">
        <v>0</v>
      </c>
      <c r="BN123" s="290">
        <v>1556</v>
      </c>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f>+innut23!E129+innut23!S129</f>
        <v>284927.20238344761</v>
      </c>
      <c r="CL123" s="290"/>
      <c r="CM123" s="290">
        <v>0</v>
      </c>
      <c r="CN123" s="290">
        <v>0</v>
      </c>
      <c r="CO123" s="290"/>
      <c r="CP123" s="290"/>
      <c r="CQ123" s="290"/>
      <c r="CX123" s="517">
        <f t="shared" si="3"/>
        <v>0</v>
      </c>
      <c r="DB123" s="85">
        <f t="shared" si="4"/>
        <v>1.3080000000000001</v>
      </c>
    </row>
    <row r="124" spans="1:106" ht="13">
      <c r="A124" s="1">
        <v>3033</v>
      </c>
      <c r="B124" s="2" t="s">
        <v>818</v>
      </c>
      <c r="C124" s="289"/>
      <c r="D124" s="290">
        <v>934</v>
      </c>
      <c r="E124" s="290">
        <v>1963</v>
      </c>
      <c r="F124" s="290">
        <v>5728</v>
      </c>
      <c r="G124" s="290">
        <v>3633</v>
      </c>
      <c r="H124" s="290">
        <v>24941</v>
      </c>
      <c r="I124" s="290">
        <v>3638</v>
      </c>
      <c r="J124" s="290">
        <v>1096</v>
      </c>
      <c r="K124" s="290">
        <v>198</v>
      </c>
      <c r="L124" s="290">
        <v>314</v>
      </c>
      <c r="M124" s="290">
        <v>2271</v>
      </c>
      <c r="N124" s="290">
        <v>2549</v>
      </c>
      <c r="O124" s="290">
        <v>524</v>
      </c>
      <c r="P124" s="624">
        <v>97064.572666670007</v>
      </c>
      <c r="Q124" s="624">
        <v>56504.18466667</v>
      </c>
      <c r="R124" s="624">
        <v>90</v>
      </c>
      <c r="S124" s="290"/>
      <c r="T124" s="290">
        <v>3776</v>
      </c>
      <c r="U124" s="958">
        <v>4.2532536609550115E-3</v>
      </c>
      <c r="V124" s="290">
        <v>500.11143167</v>
      </c>
      <c r="W124" s="765">
        <v>0.54408732000000004</v>
      </c>
      <c r="X124" s="290">
        <v>3300</v>
      </c>
      <c r="Y124" s="290"/>
      <c r="Z124" s="290">
        <f>+innut23!E130</f>
        <v>1442870.2395534478</v>
      </c>
      <c r="AA124" s="290">
        <v>0</v>
      </c>
      <c r="AB124" s="290">
        <v>655</v>
      </c>
      <c r="AC124" s="290">
        <v>6637</v>
      </c>
      <c r="AD124" s="290"/>
      <c r="AE124" s="290">
        <v>38198</v>
      </c>
      <c r="AF124" s="290">
        <v>-11920</v>
      </c>
      <c r="AG124" s="290">
        <v>42131</v>
      </c>
      <c r="AH124" s="290">
        <v>8583</v>
      </c>
      <c r="AI124" s="290"/>
      <c r="AJ124" s="290"/>
      <c r="AK124" s="290">
        <v>0</v>
      </c>
      <c r="AL124" s="290">
        <v>0</v>
      </c>
      <c r="AM124" s="957">
        <v>4.0524163399999997</v>
      </c>
      <c r="AN124" s="290">
        <v>0</v>
      </c>
      <c r="AO124" s="290">
        <v>18468.125803840001</v>
      </c>
      <c r="AP124" s="290">
        <v>0</v>
      </c>
      <c r="AQ124" s="290">
        <v>0</v>
      </c>
      <c r="AR124" s="290">
        <v>-1728.9974984400001</v>
      </c>
      <c r="AS124" s="290">
        <v>63425</v>
      </c>
      <c r="AT124" s="290">
        <v>2566</v>
      </c>
      <c r="AU124" s="290">
        <v>1251</v>
      </c>
      <c r="AV124" s="766">
        <v>989631</v>
      </c>
      <c r="AW124" s="290">
        <v>0</v>
      </c>
      <c r="AX124" s="766">
        <v>355.20830000000001</v>
      </c>
      <c r="AY124" s="290">
        <v>8958</v>
      </c>
      <c r="AZ124" s="290">
        <v>2181</v>
      </c>
      <c r="BA124" s="290">
        <v>1074</v>
      </c>
      <c r="BB124" s="290">
        <v>0</v>
      </c>
      <c r="BC124" s="290">
        <v>8462</v>
      </c>
      <c r="BD124" s="290"/>
      <c r="BE124" s="290">
        <v>1177456.028034</v>
      </c>
      <c r="BF124" s="290">
        <v>0</v>
      </c>
      <c r="BG124" s="290">
        <v>0</v>
      </c>
      <c r="BH124" s="290">
        <v>-6952</v>
      </c>
      <c r="BI124" s="290">
        <v>11078</v>
      </c>
      <c r="BJ124" s="290">
        <v>6031.5087161988404</v>
      </c>
      <c r="BK124" s="290">
        <v>99</v>
      </c>
      <c r="BL124" s="290"/>
      <c r="BM124" s="290">
        <v>0</v>
      </c>
      <c r="BN124" s="290">
        <v>7778</v>
      </c>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f>+innut23!E130+innut23!S130</f>
        <v>1442870.2395534478</v>
      </c>
      <c r="CL124" s="290"/>
      <c r="CM124" s="290">
        <v>0</v>
      </c>
      <c r="CN124" s="290">
        <v>0</v>
      </c>
      <c r="CO124" s="290"/>
      <c r="CP124" s="290"/>
      <c r="CQ124" s="290"/>
      <c r="CX124" s="517">
        <f t="shared" si="3"/>
        <v>0</v>
      </c>
      <c r="DB124" s="85">
        <f t="shared" si="4"/>
        <v>7.7220000000000004</v>
      </c>
    </row>
    <row r="125" spans="1:106" ht="13">
      <c r="A125" s="1">
        <v>3034</v>
      </c>
      <c r="B125" s="2" t="s">
        <v>819</v>
      </c>
      <c r="C125" s="289"/>
      <c r="D125" s="290">
        <v>485</v>
      </c>
      <c r="E125" s="290">
        <v>1127</v>
      </c>
      <c r="F125" s="290">
        <v>2941</v>
      </c>
      <c r="G125" s="290">
        <v>1867</v>
      </c>
      <c r="H125" s="290">
        <v>14031</v>
      </c>
      <c r="I125" s="290">
        <v>2784</v>
      </c>
      <c r="J125" s="290">
        <v>703</v>
      </c>
      <c r="K125" s="290">
        <v>149</v>
      </c>
      <c r="L125" s="290">
        <v>192</v>
      </c>
      <c r="M125" s="290">
        <v>1554</v>
      </c>
      <c r="N125" s="290">
        <v>577</v>
      </c>
      <c r="O125" s="290">
        <v>188</v>
      </c>
      <c r="P125" s="624">
        <v>95962.020333330001</v>
      </c>
      <c r="Q125" s="624">
        <v>47738.959000000003</v>
      </c>
      <c r="R125" s="624">
        <v>77</v>
      </c>
      <c r="S125" s="290"/>
      <c r="T125" s="290">
        <v>1966</v>
      </c>
      <c r="U125" s="958">
        <v>7.1574679642124311E-3</v>
      </c>
      <c r="V125" s="290">
        <v>-8092.5971868799998</v>
      </c>
      <c r="W125" s="765">
        <v>0.6040702</v>
      </c>
      <c r="X125" s="290">
        <v>2200</v>
      </c>
      <c r="Y125" s="290"/>
      <c r="Z125" s="290">
        <f>+innut23!E131</f>
        <v>750913.72039773921</v>
      </c>
      <c r="AA125" s="290">
        <v>0</v>
      </c>
      <c r="AB125" s="290">
        <v>622</v>
      </c>
      <c r="AC125" s="290">
        <v>2057</v>
      </c>
      <c r="AD125" s="290"/>
      <c r="AE125" s="290">
        <v>8410</v>
      </c>
      <c r="AF125" s="290">
        <v>0</v>
      </c>
      <c r="AG125" s="290">
        <v>24087</v>
      </c>
      <c r="AH125" s="290">
        <v>4528</v>
      </c>
      <c r="AI125" s="290"/>
      <c r="AJ125" s="290"/>
      <c r="AK125" s="290">
        <v>0</v>
      </c>
      <c r="AL125" s="290">
        <v>0</v>
      </c>
      <c r="AM125" s="957">
        <v>0.96480330999999997</v>
      </c>
      <c r="AN125" s="290">
        <v>0</v>
      </c>
      <c r="AO125" s="290">
        <v>10515.59929439</v>
      </c>
      <c r="AP125" s="290">
        <v>0</v>
      </c>
      <c r="AQ125" s="290">
        <v>0</v>
      </c>
      <c r="AR125" s="290">
        <v>-988.49689646000002</v>
      </c>
      <c r="AS125" s="290">
        <v>37395</v>
      </c>
      <c r="AT125" s="290">
        <v>1434</v>
      </c>
      <c r="AU125" s="290">
        <v>367</v>
      </c>
      <c r="AV125" s="766">
        <v>547262</v>
      </c>
      <c r="AW125" s="290">
        <v>0</v>
      </c>
      <c r="AX125" s="766">
        <v>196</v>
      </c>
      <c r="AY125" s="290">
        <v>4421</v>
      </c>
      <c r="AZ125" s="290">
        <v>1047</v>
      </c>
      <c r="BA125" s="290">
        <v>475</v>
      </c>
      <c r="BB125" s="290">
        <v>0</v>
      </c>
      <c r="BC125" s="290">
        <v>10754</v>
      </c>
      <c r="BD125" s="290"/>
      <c r="BE125" s="290">
        <v>651093.06960572</v>
      </c>
      <c r="BF125" s="290">
        <v>0</v>
      </c>
      <c r="BG125" s="290">
        <v>0</v>
      </c>
      <c r="BH125" s="290">
        <v>-3993</v>
      </c>
      <c r="BI125" s="290">
        <v>11770</v>
      </c>
      <c r="BJ125" s="290">
        <v>3124.70848653346</v>
      </c>
      <c r="BK125" s="290">
        <v>41</v>
      </c>
      <c r="BL125" s="290"/>
      <c r="BM125" s="290">
        <v>0</v>
      </c>
      <c r="BN125" s="290">
        <v>5185</v>
      </c>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f>+innut23!E131+innut23!S131</f>
        <v>750913.72039773921</v>
      </c>
      <c r="CL125" s="290"/>
      <c r="CM125" s="290">
        <v>0</v>
      </c>
      <c r="CN125" s="290">
        <v>0</v>
      </c>
      <c r="CO125" s="290"/>
      <c r="CP125" s="290"/>
      <c r="CQ125" s="290"/>
      <c r="CX125" s="517">
        <f t="shared" si="3"/>
        <v>0</v>
      </c>
      <c r="DB125" s="85">
        <f t="shared" si="4"/>
        <v>4.415</v>
      </c>
    </row>
    <row r="126" spans="1:106" ht="13">
      <c r="A126" s="1">
        <v>3035</v>
      </c>
      <c r="B126" s="2" t="s">
        <v>820</v>
      </c>
      <c r="C126" s="289"/>
      <c r="D126" s="290">
        <v>578</v>
      </c>
      <c r="E126" s="290">
        <v>1240</v>
      </c>
      <c r="F126" s="290">
        <v>3450</v>
      </c>
      <c r="G126" s="290">
        <v>2120</v>
      </c>
      <c r="H126" s="290">
        <v>15658</v>
      </c>
      <c r="I126" s="290">
        <v>3005</v>
      </c>
      <c r="J126" s="290">
        <v>768</v>
      </c>
      <c r="K126" s="290">
        <v>128</v>
      </c>
      <c r="L126" s="290">
        <v>219</v>
      </c>
      <c r="M126" s="290">
        <v>1736</v>
      </c>
      <c r="N126" s="290">
        <v>814</v>
      </c>
      <c r="O126" s="290">
        <v>268</v>
      </c>
      <c r="P126" s="624">
        <v>63983.018333330001</v>
      </c>
      <c r="Q126" s="624">
        <v>36874.38166667</v>
      </c>
      <c r="R126" s="624">
        <v>111</v>
      </c>
      <c r="S126" s="290"/>
      <c r="T126" s="290">
        <v>2405</v>
      </c>
      <c r="U126" s="958">
        <v>3.9353185230967891E-3</v>
      </c>
      <c r="V126" s="290">
        <v>6180.0695176600002</v>
      </c>
      <c r="W126" s="765">
        <v>0.56706487000000005</v>
      </c>
      <c r="X126" s="290">
        <v>2200</v>
      </c>
      <c r="Y126" s="290"/>
      <c r="Z126" s="290">
        <f>+innut23!E132</f>
        <v>805562.23742699414</v>
      </c>
      <c r="AA126" s="290">
        <v>0</v>
      </c>
      <c r="AB126" s="290">
        <v>646</v>
      </c>
      <c r="AC126" s="290">
        <v>8461</v>
      </c>
      <c r="AD126" s="290"/>
      <c r="AE126" s="290">
        <v>16353</v>
      </c>
      <c r="AF126" s="290">
        <v>0</v>
      </c>
      <c r="AG126" s="290">
        <v>26947</v>
      </c>
      <c r="AH126" s="290">
        <v>5224</v>
      </c>
      <c r="AI126" s="290"/>
      <c r="AJ126" s="290"/>
      <c r="AK126" s="290">
        <v>0</v>
      </c>
      <c r="AL126" s="290">
        <v>0</v>
      </c>
      <c r="AM126" s="957">
        <v>1.3938560200000001</v>
      </c>
      <c r="AN126" s="290">
        <v>0</v>
      </c>
      <c r="AO126" s="290">
        <v>11940.003538249999</v>
      </c>
      <c r="AP126" s="290">
        <v>0</v>
      </c>
      <c r="AQ126" s="290">
        <v>0</v>
      </c>
      <c r="AR126" s="290">
        <v>-1105.8673088800001</v>
      </c>
      <c r="AS126" s="290">
        <v>41267</v>
      </c>
      <c r="AT126" s="290">
        <v>1637</v>
      </c>
      <c r="AU126" s="290">
        <v>548</v>
      </c>
      <c r="AV126" s="766">
        <v>656398</v>
      </c>
      <c r="AW126" s="290">
        <v>0</v>
      </c>
      <c r="AX126" s="766">
        <v>199.66669999999999</v>
      </c>
      <c r="AY126" s="290">
        <v>5622</v>
      </c>
      <c r="AZ126" s="290">
        <v>1109</v>
      </c>
      <c r="BA126" s="290">
        <v>653</v>
      </c>
      <c r="BB126" s="290">
        <v>0</v>
      </c>
      <c r="BC126" s="290">
        <v>15918</v>
      </c>
      <c r="BD126" s="290"/>
      <c r="BE126" s="290">
        <v>780675.98496231996</v>
      </c>
      <c r="BF126" s="290">
        <v>0</v>
      </c>
      <c r="BG126" s="290">
        <v>0</v>
      </c>
      <c r="BH126" s="290">
        <v>-4475</v>
      </c>
      <c r="BI126" s="290">
        <v>18870</v>
      </c>
      <c r="BJ126" s="290">
        <v>3628.128952419494</v>
      </c>
      <c r="BK126" s="290">
        <v>50</v>
      </c>
      <c r="BL126" s="290"/>
      <c r="BM126" s="290">
        <v>0</v>
      </c>
      <c r="BN126" s="290">
        <v>5185</v>
      </c>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f>+innut23!E132+innut23!S132</f>
        <v>805562.23742699414</v>
      </c>
      <c r="CL126" s="290"/>
      <c r="CM126" s="290">
        <v>0</v>
      </c>
      <c r="CN126" s="290">
        <v>0</v>
      </c>
      <c r="CO126" s="290"/>
      <c r="CP126" s="290"/>
      <c r="CQ126" s="290"/>
      <c r="CX126" s="517">
        <f t="shared" si="3"/>
        <v>0</v>
      </c>
      <c r="DB126" s="85">
        <f t="shared" si="4"/>
        <v>4.9390000000000001</v>
      </c>
    </row>
    <row r="127" spans="1:106" ht="13">
      <c r="A127" s="1">
        <v>3036</v>
      </c>
      <c r="B127" s="2" t="s">
        <v>821</v>
      </c>
      <c r="C127" s="289"/>
      <c r="D127" s="290">
        <v>391</v>
      </c>
      <c r="E127" s="290">
        <v>767</v>
      </c>
      <c r="F127" s="290">
        <v>1911</v>
      </c>
      <c r="G127" s="290">
        <v>1275</v>
      </c>
      <c r="H127" s="290">
        <v>9193</v>
      </c>
      <c r="I127" s="290">
        <v>1401</v>
      </c>
      <c r="J127" s="290">
        <v>346</v>
      </c>
      <c r="K127" s="290">
        <v>74</v>
      </c>
      <c r="L127" s="290">
        <v>111</v>
      </c>
      <c r="M127" s="290">
        <v>779</v>
      </c>
      <c r="N127" s="290">
        <v>452</v>
      </c>
      <c r="O127" s="290">
        <v>193</v>
      </c>
      <c r="P127" s="624">
        <v>37963.283666670002</v>
      </c>
      <c r="Q127" s="624">
        <v>30043.653333329999</v>
      </c>
      <c r="R127" s="624">
        <v>58</v>
      </c>
      <c r="S127" s="290"/>
      <c r="T127" s="290">
        <v>1253</v>
      </c>
      <c r="U127" s="958">
        <v>3.0248287870288356E-3</v>
      </c>
      <c r="V127" s="290">
        <v>6787.70872229</v>
      </c>
      <c r="W127" s="765">
        <v>0.57762948000000003</v>
      </c>
      <c r="X127" s="290">
        <v>2600</v>
      </c>
      <c r="Y127" s="290"/>
      <c r="Z127" s="290">
        <f>+innut23!E133</f>
        <v>475284.40559270204</v>
      </c>
      <c r="AA127" s="290">
        <v>0</v>
      </c>
      <c r="AB127" s="290">
        <v>244</v>
      </c>
      <c r="AC127" s="290">
        <v>4629</v>
      </c>
      <c r="AD127" s="290"/>
      <c r="AE127" s="290">
        <v>18318</v>
      </c>
      <c r="AF127" s="290">
        <v>-7430</v>
      </c>
      <c r="AG127" s="290">
        <v>15358</v>
      </c>
      <c r="AH127" s="290">
        <v>3063</v>
      </c>
      <c r="AI127" s="290"/>
      <c r="AJ127" s="290"/>
      <c r="AK127" s="290">
        <v>0</v>
      </c>
      <c r="AL127" s="290">
        <v>0</v>
      </c>
      <c r="AM127" s="957">
        <v>1.01971744</v>
      </c>
      <c r="AN127" s="290">
        <v>0</v>
      </c>
      <c r="AO127" s="290">
        <v>6644.5895792900001</v>
      </c>
      <c r="AP127" s="290">
        <v>0</v>
      </c>
      <c r="AQ127" s="290">
        <v>0</v>
      </c>
      <c r="AR127" s="290">
        <v>-630.27090696000005</v>
      </c>
      <c r="AS127" s="290">
        <v>23242</v>
      </c>
      <c r="AT127" s="290">
        <v>930</v>
      </c>
      <c r="AU127" s="290">
        <v>359</v>
      </c>
      <c r="AV127" s="766">
        <v>344856</v>
      </c>
      <c r="AW127" s="290">
        <v>0</v>
      </c>
      <c r="AX127" s="766">
        <v>142.125</v>
      </c>
      <c r="AY127" s="290">
        <v>2752</v>
      </c>
      <c r="AZ127" s="290">
        <v>694</v>
      </c>
      <c r="BA127" s="290">
        <v>271</v>
      </c>
      <c r="BB127" s="290">
        <v>0</v>
      </c>
      <c r="BC127" s="290">
        <v>1222</v>
      </c>
      <c r="BD127" s="290"/>
      <c r="BE127" s="290">
        <v>428147.80839646002</v>
      </c>
      <c r="BF127" s="290">
        <v>0</v>
      </c>
      <c r="BG127" s="290">
        <v>0</v>
      </c>
      <c r="BH127" s="290">
        <v>-2506</v>
      </c>
      <c r="BI127" s="290">
        <v>2855</v>
      </c>
      <c r="BJ127" s="290">
        <v>2048.7719244887189</v>
      </c>
      <c r="BK127" s="290">
        <v>28</v>
      </c>
      <c r="BL127" s="290"/>
      <c r="BM127" s="290">
        <v>0</v>
      </c>
      <c r="BN127" s="290">
        <v>2593</v>
      </c>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f>+innut23!E133+innut23!S133</f>
        <v>475284.40559270204</v>
      </c>
      <c r="CL127" s="290"/>
      <c r="CM127" s="290">
        <v>0</v>
      </c>
      <c r="CN127" s="290">
        <v>0</v>
      </c>
      <c r="CO127" s="290"/>
      <c r="CP127" s="290"/>
      <c r="CQ127" s="290"/>
      <c r="CX127" s="517">
        <f t="shared" si="3"/>
        <v>0</v>
      </c>
      <c r="DB127" s="85">
        <f t="shared" si="4"/>
        <v>2.8149999999999999</v>
      </c>
    </row>
    <row r="128" spans="1:106" ht="13">
      <c r="A128" s="1">
        <v>3037</v>
      </c>
      <c r="B128" s="2" t="s">
        <v>822</v>
      </c>
      <c r="C128" s="289"/>
      <c r="D128" s="290">
        <v>55</v>
      </c>
      <c r="E128" s="290">
        <v>111</v>
      </c>
      <c r="F128" s="290">
        <v>347</v>
      </c>
      <c r="G128" s="290">
        <v>203</v>
      </c>
      <c r="H128" s="290">
        <v>1631</v>
      </c>
      <c r="I128" s="290">
        <v>417</v>
      </c>
      <c r="J128" s="290">
        <v>131</v>
      </c>
      <c r="K128" s="290">
        <v>38</v>
      </c>
      <c r="L128" s="290">
        <v>22</v>
      </c>
      <c r="M128" s="290">
        <v>269</v>
      </c>
      <c r="N128" s="290">
        <v>15</v>
      </c>
      <c r="O128" s="290">
        <v>15</v>
      </c>
      <c r="P128" s="624">
        <v>19153.907666669998</v>
      </c>
      <c r="Q128" s="624">
        <v>11319.71966667</v>
      </c>
      <c r="R128" s="624">
        <v>8</v>
      </c>
      <c r="S128" s="290"/>
      <c r="T128" s="290">
        <v>288</v>
      </c>
      <c r="U128" s="958">
        <v>1.2718006933445712E-3</v>
      </c>
      <c r="V128" s="290">
        <v>-1844.06515638</v>
      </c>
      <c r="W128" s="765">
        <v>0.75580762000000001</v>
      </c>
      <c r="X128" s="290">
        <v>700</v>
      </c>
      <c r="Y128" s="290"/>
      <c r="Z128" s="290">
        <f>+innut23!E134</f>
        <v>82341.866239911382</v>
      </c>
      <c r="AA128" s="290">
        <v>0</v>
      </c>
      <c r="AB128" s="290">
        <v>81</v>
      </c>
      <c r="AC128" s="290">
        <v>99</v>
      </c>
      <c r="AD128" s="290"/>
      <c r="AE128" s="290">
        <v>0</v>
      </c>
      <c r="AF128" s="290">
        <v>0</v>
      </c>
      <c r="AG128" s="290">
        <v>2933</v>
      </c>
      <c r="AH128" s="290">
        <v>506</v>
      </c>
      <c r="AI128" s="290"/>
      <c r="AJ128" s="290"/>
      <c r="AK128" s="290">
        <v>0</v>
      </c>
      <c r="AL128" s="290">
        <v>0</v>
      </c>
      <c r="AM128" s="957">
        <v>0.15250577000000001</v>
      </c>
      <c r="AN128" s="290">
        <v>0</v>
      </c>
      <c r="AO128" s="290">
        <v>1457.0780402400001</v>
      </c>
      <c r="AP128" s="290">
        <v>0</v>
      </c>
      <c r="AQ128" s="290">
        <v>0</v>
      </c>
      <c r="AR128" s="290">
        <v>-120.36623064</v>
      </c>
      <c r="AS128" s="290">
        <v>4536</v>
      </c>
      <c r="AT128" s="290">
        <v>165</v>
      </c>
      <c r="AU128" s="290">
        <v>60</v>
      </c>
      <c r="AV128" s="766">
        <v>93678</v>
      </c>
      <c r="AW128" s="290">
        <v>0</v>
      </c>
      <c r="AX128" s="766">
        <v>20.208349999999999</v>
      </c>
      <c r="AY128" s="290">
        <v>530</v>
      </c>
      <c r="AZ128" s="290">
        <v>130</v>
      </c>
      <c r="BA128" s="290">
        <v>76</v>
      </c>
      <c r="BB128" s="290">
        <v>3129</v>
      </c>
      <c r="BC128" s="290">
        <v>1048</v>
      </c>
      <c r="BD128" s="290"/>
      <c r="BE128" s="290">
        <v>105418.93501943001</v>
      </c>
      <c r="BF128" s="290">
        <v>0</v>
      </c>
      <c r="BG128" s="290">
        <v>0</v>
      </c>
      <c r="BH128" s="290">
        <v>-485</v>
      </c>
      <c r="BI128" s="290">
        <v>1124</v>
      </c>
      <c r="BJ128" s="290">
        <v>398.43733830319337</v>
      </c>
      <c r="BK128" s="290">
        <v>5</v>
      </c>
      <c r="BL128" s="290"/>
      <c r="BM128" s="290">
        <v>0</v>
      </c>
      <c r="BN128" s="290">
        <v>519</v>
      </c>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f>+innut23!E134+innut23!S134</f>
        <v>82341.866239911382</v>
      </c>
      <c r="CL128" s="290"/>
      <c r="CM128" s="290">
        <v>0</v>
      </c>
      <c r="CN128" s="290">
        <v>0</v>
      </c>
      <c r="CO128" s="290"/>
      <c r="CP128" s="290"/>
      <c r="CQ128" s="290"/>
      <c r="CX128" s="517">
        <f t="shared" si="3"/>
        <v>0</v>
      </c>
      <c r="DB128" s="85">
        <f t="shared" si="4"/>
        <v>0.53800000000000003</v>
      </c>
    </row>
    <row r="129" spans="1:106" ht="13">
      <c r="A129" s="1">
        <v>3038</v>
      </c>
      <c r="B129" s="2" t="s">
        <v>874</v>
      </c>
      <c r="C129" s="289"/>
      <c r="D129" s="290">
        <v>134</v>
      </c>
      <c r="E129" s="290">
        <v>282</v>
      </c>
      <c r="F129" s="290">
        <v>958</v>
      </c>
      <c r="G129" s="290">
        <v>504</v>
      </c>
      <c r="H129" s="290">
        <v>3800</v>
      </c>
      <c r="I129" s="290">
        <v>865</v>
      </c>
      <c r="J129" s="290">
        <v>241</v>
      </c>
      <c r="K129" s="290">
        <v>69</v>
      </c>
      <c r="L129" s="290">
        <v>50</v>
      </c>
      <c r="M129" s="290">
        <v>521</v>
      </c>
      <c r="N129" s="290">
        <v>117</v>
      </c>
      <c r="O129" s="290">
        <v>45</v>
      </c>
      <c r="P129" s="624">
        <v>30698.353999999999</v>
      </c>
      <c r="Q129" s="624">
        <v>20738.975999999999</v>
      </c>
      <c r="R129" s="624">
        <v>19</v>
      </c>
      <c r="S129" s="290"/>
      <c r="T129" s="290">
        <v>530</v>
      </c>
      <c r="U129" s="958">
        <v>1.6391695160817108E-3</v>
      </c>
      <c r="V129" s="290">
        <v>-2966.7781606799999</v>
      </c>
      <c r="W129" s="765">
        <v>0.61586054000000001</v>
      </c>
      <c r="X129" s="290">
        <v>700</v>
      </c>
      <c r="Y129" s="290"/>
      <c r="Z129" s="290">
        <f>+innut23!E135</f>
        <v>290984.20273886941</v>
      </c>
      <c r="AA129" s="290">
        <v>0</v>
      </c>
      <c r="AB129" s="290">
        <v>99</v>
      </c>
      <c r="AC129" s="290">
        <v>265</v>
      </c>
      <c r="AD129" s="290"/>
      <c r="AE129" s="290">
        <v>0</v>
      </c>
      <c r="AF129" s="290">
        <v>0</v>
      </c>
      <c r="AG129" s="290">
        <v>6853</v>
      </c>
      <c r="AH129" s="290">
        <v>1348</v>
      </c>
      <c r="AI129" s="290"/>
      <c r="AJ129" s="290"/>
      <c r="AK129" s="290">
        <v>0</v>
      </c>
      <c r="AL129" s="290">
        <v>0</v>
      </c>
      <c r="AM129" s="957">
        <v>0.15296319</v>
      </c>
      <c r="AN129" s="290">
        <v>0</v>
      </c>
      <c r="AO129" s="290">
        <v>3209.7190418800001</v>
      </c>
      <c r="AP129" s="290">
        <v>0</v>
      </c>
      <c r="AQ129" s="290">
        <v>0</v>
      </c>
      <c r="AR129" s="290">
        <v>-281.23756514000002</v>
      </c>
      <c r="AS129" s="290">
        <v>12871</v>
      </c>
      <c r="AT129" s="290">
        <v>352</v>
      </c>
      <c r="AU129" s="290">
        <v>76</v>
      </c>
      <c r="AV129" s="766">
        <v>179154</v>
      </c>
      <c r="AW129" s="290">
        <v>0</v>
      </c>
      <c r="AX129" s="766">
        <v>61.25</v>
      </c>
      <c r="AY129" s="290">
        <v>2137</v>
      </c>
      <c r="AZ129" s="290">
        <v>269</v>
      </c>
      <c r="BA129" s="290">
        <v>119</v>
      </c>
      <c r="BB129" s="290">
        <v>0</v>
      </c>
      <c r="BC129" s="290">
        <v>3478</v>
      </c>
      <c r="BD129" s="290"/>
      <c r="BE129" s="290">
        <v>213157.15067984999</v>
      </c>
      <c r="BF129" s="290">
        <v>0</v>
      </c>
      <c r="BG129" s="290">
        <v>0</v>
      </c>
      <c r="BH129" s="290">
        <v>-1153</v>
      </c>
      <c r="BI129" s="290">
        <v>3687</v>
      </c>
      <c r="BJ129" s="290">
        <v>1030.4884424252155</v>
      </c>
      <c r="BK129" s="290">
        <v>9</v>
      </c>
      <c r="BL129" s="290"/>
      <c r="BM129" s="290">
        <v>0</v>
      </c>
      <c r="BN129" s="290">
        <v>2074</v>
      </c>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f>+innut23!E135+innut23!S135</f>
        <v>290984.20273886941</v>
      </c>
      <c r="CL129" s="290"/>
      <c r="CM129" s="290">
        <v>0</v>
      </c>
      <c r="CN129" s="290">
        <v>0</v>
      </c>
      <c r="CO129" s="290"/>
      <c r="CP129" s="290"/>
      <c r="CQ129" s="290"/>
      <c r="CX129" s="517">
        <f t="shared" si="3"/>
        <v>0</v>
      </c>
      <c r="DB129" s="85">
        <f t="shared" si="4"/>
        <v>1.256</v>
      </c>
    </row>
    <row r="130" spans="1:106" ht="13">
      <c r="A130" s="1">
        <v>3039</v>
      </c>
      <c r="B130" s="2" t="s">
        <v>875</v>
      </c>
      <c r="C130" s="289"/>
      <c r="D130" s="290">
        <v>24</v>
      </c>
      <c r="E130" s="290">
        <v>34</v>
      </c>
      <c r="F130" s="290">
        <v>107</v>
      </c>
      <c r="G130" s="290">
        <v>85</v>
      </c>
      <c r="H130" s="290">
        <v>602</v>
      </c>
      <c r="I130" s="290">
        <v>157</v>
      </c>
      <c r="J130" s="290">
        <v>66</v>
      </c>
      <c r="K130" s="290">
        <v>17</v>
      </c>
      <c r="L130" s="290">
        <v>10</v>
      </c>
      <c r="M130" s="290">
        <v>129</v>
      </c>
      <c r="N130" s="290">
        <v>28</v>
      </c>
      <c r="O130" s="290">
        <v>13</v>
      </c>
      <c r="P130" s="624">
        <v>5603.9523333300003</v>
      </c>
      <c r="Q130" s="624">
        <v>4068.3843333300001</v>
      </c>
      <c r="R130" s="624">
        <v>2</v>
      </c>
      <c r="S130" s="290"/>
      <c r="T130" s="290">
        <v>123</v>
      </c>
      <c r="U130" s="958">
        <v>8.5143432400175097E-4</v>
      </c>
      <c r="V130" s="290">
        <v>837.85407453000005</v>
      </c>
      <c r="W130" s="765">
        <v>1</v>
      </c>
      <c r="X130" s="290">
        <v>0</v>
      </c>
      <c r="Y130" s="290"/>
      <c r="Z130" s="290">
        <f>+innut23!E136</f>
        <v>40558.741756694348</v>
      </c>
      <c r="AA130" s="290">
        <v>0</v>
      </c>
      <c r="AB130" s="290">
        <v>33</v>
      </c>
      <c r="AC130" s="290">
        <v>694</v>
      </c>
      <c r="AD130" s="290"/>
      <c r="AE130" s="290">
        <v>0</v>
      </c>
      <c r="AF130" s="290">
        <v>0</v>
      </c>
      <c r="AG130" s="290">
        <v>1092</v>
      </c>
      <c r="AH130" s="290">
        <v>172</v>
      </c>
      <c r="AI130" s="290"/>
      <c r="AJ130" s="290"/>
      <c r="AK130" s="290">
        <v>0</v>
      </c>
      <c r="AL130" s="290">
        <v>0</v>
      </c>
      <c r="AM130" s="957">
        <v>2.5691680000000001E-2</v>
      </c>
      <c r="AN130" s="290">
        <v>0</v>
      </c>
      <c r="AO130" s="290">
        <v>647.67160363999994</v>
      </c>
      <c r="AP130" s="290">
        <v>0</v>
      </c>
      <c r="AQ130" s="290">
        <v>0</v>
      </c>
      <c r="AR130" s="290">
        <v>-44.814157469999998</v>
      </c>
      <c r="AS130" s="290">
        <v>1692</v>
      </c>
      <c r="AT130" s="290">
        <v>52</v>
      </c>
      <c r="AU130" s="290">
        <v>8</v>
      </c>
      <c r="AV130" s="766">
        <v>51547</v>
      </c>
      <c r="AW130" s="290">
        <v>0</v>
      </c>
      <c r="AX130" s="766">
        <v>9.4167000000000005</v>
      </c>
      <c r="AY130" s="290">
        <v>188</v>
      </c>
      <c r="AZ130" s="290">
        <v>69</v>
      </c>
      <c r="BA130" s="290">
        <v>23</v>
      </c>
      <c r="BB130" s="290">
        <v>3129</v>
      </c>
      <c r="BC130" s="290">
        <v>1149</v>
      </c>
      <c r="BD130" s="290"/>
      <c r="BE130" s="290">
        <v>58192.668229670002</v>
      </c>
      <c r="BF130" s="290">
        <v>0</v>
      </c>
      <c r="BG130" s="290">
        <v>0</v>
      </c>
      <c r="BH130" s="290">
        <v>-179</v>
      </c>
      <c r="BI130" s="290">
        <v>1385</v>
      </c>
      <c r="BJ130" s="290">
        <v>150.22185696273135</v>
      </c>
      <c r="BK130" s="290">
        <v>2</v>
      </c>
      <c r="BL130" s="290"/>
      <c r="BM130" s="290">
        <v>0</v>
      </c>
      <c r="BN130" s="290">
        <v>519</v>
      </c>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f>+innut23!E136+innut23!S136</f>
        <v>40558.741756694348</v>
      </c>
      <c r="CL130" s="290"/>
      <c r="CM130" s="290">
        <v>0</v>
      </c>
      <c r="CN130" s="290">
        <v>0</v>
      </c>
      <c r="CO130" s="290"/>
      <c r="CP130" s="290"/>
      <c r="CQ130" s="290"/>
      <c r="CX130" s="517">
        <f t="shared" si="3"/>
        <v>0</v>
      </c>
      <c r="DB130" s="85">
        <f t="shared" si="4"/>
        <v>0.2</v>
      </c>
    </row>
    <row r="131" spans="1:106" ht="13">
      <c r="A131" s="1">
        <v>3040</v>
      </c>
      <c r="B131" s="2" t="s">
        <v>1966</v>
      </c>
      <c r="C131" s="289"/>
      <c r="D131" s="290">
        <v>56</v>
      </c>
      <c r="E131" s="290">
        <v>89</v>
      </c>
      <c r="F131" s="290">
        <v>311</v>
      </c>
      <c r="G131" s="290">
        <v>252</v>
      </c>
      <c r="H131" s="290">
        <v>1797</v>
      </c>
      <c r="I131" s="290">
        <v>562</v>
      </c>
      <c r="J131" s="290">
        <v>171</v>
      </c>
      <c r="K131" s="290">
        <v>57</v>
      </c>
      <c r="L131" s="290">
        <v>24</v>
      </c>
      <c r="M131" s="290">
        <v>320</v>
      </c>
      <c r="N131" s="290">
        <v>61</v>
      </c>
      <c r="O131" s="290">
        <v>26</v>
      </c>
      <c r="P131" s="624">
        <v>14425.78066667</v>
      </c>
      <c r="Q131" s="624">
        <v>11689.21066667</v>
      </c>
      <c r="R131" s="624">
        <v>21</v>
      </c>
      <c r="S131" s="290"/>
      <c r="T131" s="290">
        <v>343</v>
      </c>
      <c r="U131" s="958">
        <v>2.4104280253432002E-3</v>
      </c>
      <c r="V131" s="290">
        <v>2068.77524743</v>
      </c>
      <c r="W131" s="765">
        <v>0.74808357999999997</v>
      </c>
      <c r="X131" s="290">
        <v>900</v>
      </c>
      <c r="Y131" s="290"/>
      <c r="Z131" s="290">
        <f>+innut23!E137</f>
        <v>117493.02787615545</v>
      </c>
      <c r="AA131" s="290">
        <v>0</v>
      </c>
      <c r="AB131" s="290">
        <v>89</v>
      </c>
      <c r="AC131" s="290">
        <v>547</v>
      </c>
      <c r="AD131" s="290"/>
      <c r="AE131" s="290">
        <v>0</v>
      </c>
      <c r="AF131" s="290">
        <v>0</v>
      </c>
      <c r="AG131" s="290">
        <v>3295</v>
      </c>
      <c r="AH131" s="290">
        <v>488</v>
      </c>
      <c r="AI131" s="290"/>
      <c r="AJ131" s="290"/>
      <c r="AK131" s="290">
        <v>0</v>
      </c>
      <c r="AL131" s="290">
        <v>0</v>
      </c>
      <c r="AM131" s="957">
        <v>4.1566659999999998E-2</v>
      </c>
      <c r="AN131" s="290">
        <v>5371</v>
      </c>
      <c r="AO131" s="290">
        <v>1599.18895522</v>
      </c>
      <c r="AP131" s="290">
        <v>0</v>
      </c>
      <c r="AQ131" s="290">
        <v>0</v>
      </c>
      <c r="AR131" s="290">
        <v>2371.6853992699998</v>
      </c>
      <c r="AS131" s="290">
        <v>6560</v>
      </c>
      <c r="AT131" s="290">
        <v>133</v>
      </c>
      <c r="AU131" s="290">
        <v>31</v>
      </c>
      <c r="AV131" s="766">
        <v>109092</v>
      </c>
      <c r="AW131" s="290">
        <v>0</v>
      </c>
      <c r="AX131" s="766">
        <v>12.87505</v>
      </c>
      <c r="AY131" s="290">
        <v>661</v>
      </c>
      <c r="AZ131" s="290">
        <v>108</v>
      </c>
      <c r="BA131" s="290">
        <v>45</v>
      </c>
      <c r="BB131" s="290">
        <v>0</v>
      </c>
      <c r="BC131" s="290">
        <v>1848</v>
      </c>
      <c r="BD131" s="290"/>
      <c r="BE131" s="290">
        <v>120058.87285523</v>
      </c>
      <c r="BF131" s="290">
        <v>0</v>
      </c>
      <c r="BG131" s="290">
        <v>0</v>
      </c>
      <c r="BH131" s="290">
        <v>-552</v>
      </c>
      <c r="BI131" s="290">
        <v>2072</v>
      </c>
      <c r="BJ131" s="290">
        <v>364.57928280824774</v>
      </c>
      <c r="BK131" s="290">
        <v>5</v>
      </c>
      <c r="BL131" s="290"/>
      <c r="BM131" s="290">
        <v>0</v>
      </c>
      <c r="BN131" s="290">
        <v>1037</v>
      </c>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f>+innut23!E137+innut23!S137</f>
        <v>117493.02787615545</v>
      </c>
      <c r="CL131" s="290"/>
      <c r="CM131" s="290">
        <v>0</v>
      </c>
      <c r="CN131" s="290">
        <v>0</v>
      </c>
      <c r="CO131" s="290"/>
      <c r="CP131" s="290"/>
      <c r="CQ131" s="290"/>
      <c r="CX131" s="517">
        <f t="shared" si="3"/>
        <v>0</v>
      </c>
      <c r="DB131" s="85">
        <f t="shared" si="4"/>
        <v>0.60399999999999998</v>
      </c>
    </row>
    <row r="132" spans="1:106" ht="13">
      <c r="A132" s="1">
        <v>3041</v>
      </c>
      <c r="B132" s="2" t="s">
        <v>876</v>
      </c>
      <c r="C132" s="289"/>
      <c r="D132" s="290">
        <v>91</v>
      </c>
      <c r="E132" s="290">
        <v>154</v>
      </c>
      <c r="F132" s="290">
        <v>487</v>
      </c>
      <c r="G132" s="290">
        <v>401</v>
      </c>
      <c r="H132" s="290">
        <v>2663</v>
      </c>
      <c r="I132" s="290">
        <v>635</v>
      </c>
      <c r="J132" s="290">
        <v>247</v>
      </c>
      <c r="K132" s="290">
        <v>57</v>
      </c>
      <c r="L132" s="290">
        <v>35</v>
      </c>
      <c r="M132" s="290">
        <v>453</v>
      </c>
      <c r="N132" s="290">
        <v>157</v>
      </c>
      <c r="O132" s="290">
        <v>57</v>
      </c>
      <c r="P132" s="624">
        <v>12515.53366667</v>
      </c>
      <c r="Q132" s="624">
        <v>13226.244000000001</v>
      </c>
      <c r="R132" s="624">
        <v>33</v>
      </c>
      <c r="S132" s="290"/>
      <c r="T132" s="290">
        <v>516</v>
      </c>
      <c r="U132" s="958">
        <v>2.5270706103118837E-3</v>
      </c>
      <c r="V132" s="290">
        <v>2954.8241181799999</v>
      </c>
      <c r="W132" s="765">
        <v>0.66014242000000001</v>
      </c>
      <c r="X132" s="290">
        <v>1000</v>
      </c>
      <c r="Y132" s="290"/>
      <c r="Z132" s="290">
        <f>+innut23!E138</f>
        <v>170391.95224142383</v>
      </c>
      <c r="AA132" s="290">
        <v>0</v>
      </c>
      <c r="AB132" s="290">
        <v>106</v>
      </c>
      <c r="AC132" s="290">
        <v>1102</v>
      </c>
      <c r="AD132" s="290"/>
      <c r="AE132" s="290">
        <v>0</v>
      </c>
      <c r="AF132" s="290">
        <v>0</v>
      </c>
      <c r="AG132" s="290">
        <v>4735</v>
      </c>
      <c r="AH132" s="290">
        <v>784</v>
      </c>
      <c r="AI132" s="290"/>
      <c r="AJ132" s="290"/>
      <c r="AK132" s="290">
        <v>0</v>
      </c>
      <c r="AL132" s="290">
        <v>0</v>
      </c>
      <c r="AM132" s="957">
        <v>0.14069673999999999</v>
      </c>
      <c r="AN132" s="290">
        <v>2832</v>
      </c>
      <c r="AO132" s="290">
        <v>2284.1157347899998</v>
      </c>
      <c r="AP132" s="290">
        <v>0</v>
      </c>
      <c r="AQ132" s="290">
        <v>0</v>
      </c>
      <c r="AR132" s="290">
        <v>-194.31779818000001</v>
      </c>
      <c r="AS132" s="290">
        <v>7809</v>
      </c>
      <c r="AT132" s="290">
        <v>225</v>
      </c>
      <c r="AU132" s="290">
        <v>60</v>
      </c>
      <c r="AV132" s="766">
        <v>146825</v>
      </c>
      <c r="AW132" s="290">
        <v>0</v>
      </c>
      <c r="AX132" s="766">
        <v>33</v>
      </c>
      <c r="AY132" s="290">
        <v>871</v>
      </c>
      <c r="AZ132" s="290">
        <v>227</v>
      </c>
      <c r="BA132" s="290">
        <v>78</v>
      </c>
      <c r="BB132" s="290">
        <v>0</v>
      </c>
      <c r="BC132" s="290">
        <v>2012</v>
      </c>
      <c r="BD132" s="290"/>
      <c r="BE132" s="290">
        <v>164799.92296267999</v>
      </c>
      <c r="BF132" s="290">
        <v>0</v>
      </c>
      <c r="BG132" s="290">
        <v>0</v>
      </c>
      <c r="BH132" s="290">
        <v>-783</v>
      </c>
      <c r="BI132" s="290">
        <v>2405</v>
      </c>
      <c r="BJ132" s="290">
        <v>549.51582375843418</v>
      </c>
      <c r="BK132" s="290">
        <v>9</v>
      </c>
      <c r="BL132" s="290"/>
      <c r="BM132" s="290">
        <v>0</v>
      </c>
      <c r="BN132" s="290">
        <v>519</v>
      </c>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f>+innut23!E138+innut23!S138</f>
        <v>170391.95224142383</v>
      </c>
      <c r="CL132" s="290"/>
      <c r="CM132" s="290">
        <v>0</v>
      </c>
      <c r="CN132" s="290">
        <v>0</v>
      </c>
      <c r="CO132" s="290"/>
      <c r="CP132" s="290"/>
      <c r="CQ132" s="290"/>
      <c r="CX132" s="517">
        <f t="shared" si="3"/>
        <v>0</v>
      </c>
      <c r="DB132" s="85">
        <f t="shared" si="4"/>
        <v>0.86799999999999999</v>
      </c>
    </row>
    <row r="133" spans="1:106" ht="13">
      <c r="A133" s="1">
        <v>3042</v>
      </c>
      <c r="B133" s="2" t="s">
        <v>877</v>
      </c>
      <c r="C133" s="289"/>
      <c r="D133" s="290">
        <v>60</v>
      </c>
      <c r="E133" s="290">
        <v>114</v>
      </c>
      <c r="F133" s="290">
        <v>316</v>
      </c>
      <c r="G133" s="290">
        <v>170</v>
      </c>
      <c r="H133" s="290">
        <v>1578</v>
      </c>
      <c r="I133" s="290">
        <v>263</v>
      </c>
      <c r="J133" s="290">
        <v>87</v>
      </c>
      <c r="K133" s="290">
        <v>22</v>
      </c>
      <c r="L133" s="290">
        <v>17</v>
      </c>
      <c r="M133" s="290">
        <v>170</v>
      </c>
      <c r="N133" s="290">
        <v>28</v>
      </c>
      <c r="O133" s="290">
        <v>34</v>
      </c>
      <c r="P133" s="624">
        <v>9917.0439999999999</v>
      </c>
      <c r="Q133" s="624">
        <v>11474.18266667</v>
      </c>
      <c r="R133" s="624">
        <v>6</v>
      </c>
      <c r="S133" s="290"/>
      <c r="T133" s="290">
        <v>327</v>
      </c>
      <c r="U133" s="958">
        <v>1.629107225128619E-3</v>
      </c>
      <c r="V133" s="290">
        <v>1634.08817264</v>
      </c>
      <c r="W133" s="765">
        <v>0.90966575000000005</v>
      </c>
      <c r="X133" s="290">
        <v>0</v>
      </c>
      <c r="Y133" s="290"/>
      <c r="Z133" s="290">
        <f>+innut23!E139</f>
        <v>117736.21055028772</v>
      </c>
      <c r="AA133" s="290">
        <v>0</v>
      </c>
      <c r="AB133" s="290">
        <v>40</v>
      </c>
      <c r="AC133" s="290">
        <v>2755</v>
      </c>
      <c r="AD133" s="290"/>
      <c r="AE133" s="290">
        <v>534</v>
      </c>
      <c r="AF133" s="290">
        <v>0</v>
      </c>
      <c r="AG133" s="290">
        <v>2610</v>
      </c>
      <c r="AH133" s="290">
        <v>469</v>
      </c>
      <c r="AI133" s="290"/>
      <c r="AJ133" s="290"/>
      <c r="AK133" s="290">
        <v>0</v>
      </c>
      <c r="AL133" s="290">
        <v>0</v>
      </c>
      <c r="AM133" s="957">
        <v>0.11652451</v>
      </c>
      <c r="AN133" s="290">
        <v>0</v>
      </c>
      <c r="AO133" s="290">
        <v>1263.1704487</v>
      </c>
      <c r="AP133" s="290">
        <v>0</v>
      </c>
      <c r="AQ133" s="290">
        <v>0</v>
      </c>
      <c r="AR133" s="290">
        <v>-107.11076097999999</v>
      </c>
      <c r="AS133" s="290">
        <v>5330</v>
      </c>
      <c r="AT133" s="290">
        <v>127</v>
      </c>
      <c r="AU133" s="290">
        <v>45</v>
      </c>
      <c r="AV133" s="766">
        <v>81483</v>
      </c>
      <c r="AW133" s="290">
        <v>0</v>
      </c>
      <c r="AX133" s="766">
        <v>17.999949999999998</v>
      </c>
      <c r="AY133" s="290">
        <v>632</v>
      </c>
      <c r="AZ133" s="290">
        <v>139</v>
      </c>
      <c r="BA133" s="290">
        <v>39</v>
      </c>
      <c r="BB133" s="290">
        <v>3129</v>
      </c>
      <c r="BC133" s="290">
        <v>3895</v>
      </c>
      <c r="BD133" s="290"/>
      <c r="BE133" s="290">
        <v>96430.082487120002</v>
      </c>
      <c r="BF133" s="290">
        <v>0</v>
      </c>
      <c r="BG133" s="290">
        <v>0</v>
      </c>
      <c r="BH133" s="290">
        <v>-435</v>
      </c>
      <c r="BI133" s="290">
        <v>4780</v>
      </c>
      <c r="BJ133" s="290">
        <v>374.79843836065066</v>
      </c>
      <c r="BK133" s="290">
        <v>5</v>
      </c>
      <c r="BL133" s="290"/>
      <c r="BM133" s="290">
        <v>0</v>
      </c>
      <c r="BN133" s="290">
        <v>1556</v>
      </c>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f>+innut23!E139+innut23!S139</f>
        <v>117736.21055028772</v>
      </c>
      <c r="CL133" s="290"/>
      <c r="CM133" s="290">
        <v>0</v>
      </c>
      <c r="CN133" s="290">
        <v>0</v>
      </c>
      <c r="CO133" s="290"/>
      <c r="CP133" s="290"/>
      <c r="CQ133" s="290"/>
      <c r="CX133" s="517">
        <f t="shared" ref="CX133:CX196" si="5">(BV133)*1.029</f>
        <v>0</v>
      </c>
      <c r="DB133" s="85">
        <f t="shared" ref="DB133:DB196" si="6">ROUND(1000*AG133/AG$361,3)</f>
        <v>0.47799999999999998</v>
      </c>
    </row>
    <row r="134" spans="1:106" ht="13">
      <c r="A134" s="1">
        <v>3043</v>
      </c>
      <c r="B134" s="2" t="s">
        <v>878</v>
      </c>
      <c r="C134" s="289"/>
      <c r="D134" s="290">
        <v>67</v>
      </c>
      <c r="E134" s="290">
        <v>161</v>
      </c>
      <c r="F134" s="290">
        <v>527</v>
      </c>
      <c r="G134" s="290">
        <v>421</v>
      </c>
      <c r="H134" s="290">
        <v>2521</v>
      </c>
      <c r="I134" s="290">
        <v>703</v>
      </c>
      <c r="J134" s="290">
        <v>232</v>
      </c>
      <c r="K134" s="290">
        <v>77</v>
      </c>
      <c r="L134" s="290">
        <v>35</v>
      </c>
      <c r="M134" s="290">
        <v>448</v>
      </c>
      <c r="N134" s="290">
        <v>71</v>
      </c>
      <c r="O134" s="290">
        <v>39</v>
      </c>
      <c r="P134" s="624">
        <v>30073.98</v>
      </c>
      <c r="Q134" s="624">
        <v>15259.579666670001</v>
      </c>
      <c r="R134" s="624">
        <v>19</v>
      </c>
      <c r="S134" s="290"/>
      <c r="T134" s="290">
        <v>462</v>
      </c>
      <c r="U134" s="958">
        <v>3.5143265019305942E-3</v>
      </c>
      <c r="V134" s="290">
        <v>2933.5833366900001</v>
      </c>
      <c r="W134" s="765">
        <v>0.71637028999999997</v>
      </c>
      <c r="X134" s="290">
        <v>1000</v>
      </c>
      <c r="Y134" s="290"/>
      <c r="Z134" s="290">
        <f>+innut23!E140</f>
        <v>165653.20790114882</v>
      </c>
      <c r="AA134" s="290">
        <v>0</v>
      </c>
      <c r="AB134" s="290">
        <v>79</v>
      </c>
      <c r="AC134" s="290">
        <v>563</v>
      </c>
      <c r="AD134" s="290"/>
      <c r="AE134" s="290">
        <v>0</v>
      </c>
      <c r="AF134" s="290">
        <v>0</v>
      </c>
      <c r="AG134" s="290">
        <v>4709</v>
      </c>
      <c r="AH134" s="290">
        <v>801</v>
      </c>
      <c r="AI134" s="290"/>
      <c r="AJ134" s="290"/>
      <c r="AK134" s="290">
        <v>0</v>
      </c>
      <c r="AL134" s="290">
        <v>0</v>
      </c>
      <c r="AM134" s="957">
        <v>4.7372369999999997E-2</v>
      </c>
      <c r="AN134" s="290">
        <v>4236</v>
      </c>
      <c r="AO134" s="290">
        <v>2267.6963469399998</v>
      </c>
      <c r="AP134" s="290">
        <v>0</v>
      </c>
      <c r="AQ134" s="290">
        <v>0</v>
      </c>
      <c r="AR134" s="290">
        <v>1153.9413341899999</v>
      </c>
      <c r="AS134" s="290">
        <v>7200</v>
      </c>
      <c r="AT134" s="290">
        <v>209</v>
      </c>
      <c r="AU134" s="290">
        <v>29</v>
      </c>
      <c r="AV134" s="766">
        <v>150764</v>
      </c>
      <c r="AW134" s="290">
        <v>0</v>
      </c>
      <c r="AX134" s="766">
        <v>19.416650000000001</v>
      </c>
      <c r="AY134" s="290">
        <v>1034</v>
      </c>
      <c r="AZ134" s="290">
        <v>169</v>
      </c>
      <c r="BA134" s="290">
        <v>75</v>
      </c>
      <c r="BB134" s="290">
        <v>0</v>
      </c>
      <c r="BC134" s="290">
        <v>3685</v>
      </c>
      <c r="BD134" s="290"/>
      <c r="BE134" s="290">
        <v>166336.52952877001</v>
      </c>
      <c r="BF134" s="290">
        <v>0</v>
      </c>
      <c r="BG134" s="290">
        <v>0</v>
      </c>
      <c r="BH134" s="290">
        <v>-784</v>
      </c>
      <c r="BI134" s="290">
        <v>3957</v>
      </c>
      <c r="BJ134" s="290">
        <v>596.40898770611602</v>
      </c>
      <c r="BK134" s="290">
        <v>7</v>
      </c>
      <c r="BL134" s="290"/>
      <c r="BM134" s="290">
        <v>0</v>
      </c>
      <c r="BN134" s="290">
        <v>2593</v>
      </c>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f>+innut23!E140+innut23!S140</f>
        <v>165653.20790114882</v>
      </c>
      <c r="CL134" s="290"/>
      <c r="CM134" s="290">
        <v>0</v>
      </c>
      <c r="CN134" s="290">
        <v>0</v>
      </c>
      <c r="CO134" s="290"/>
      <c r="CP134" s="290"/>
      <c r="CQ134" s="290"/>
      <c r="CX134" s="517">
        <f t="shared" si="5"/>
        <v>0</v>
      </c>
      <c r="DB134" s="85">
        <f t="shared" si="6"/>
        <v>0.86299999999999999</v>
      </c>
    </row>
    <row r="135" spans="1:106" ht="13">
      <c r="A135" s="1">
        <v>3044</v>
      </c>
      <c r="B135" s="2" t="s">
        <v>880</v>
      </c>
      <c r="C135" s="289"/>
      <c r="D135" s="290">
        <v>68</v>
      </c>
      <c r="E135" s="290">
        <v>162</v>
      </c>
      <c r="F135" s="290">
        <v>391</v>
      </c>
      <c r="G135" s="290">
        <v>369</v>
      </c>
      <c r="H135" s="290">
        <v>2526</v>
      </c>
      <c r="I135" s="290">
        <v>717</v>
      </c>
      <c r="J135" s="290">
        <v>198</v>
      </c>
      <c r="K135" s="290">
        <v>44</v>
      </c>
      <c r="L135" s="290">
        <v>34</v>
      </c>
      <c r="M135" s="290">
        <v>428</v>
      </c>
      <c r="N135" s="290">
        <v>53</v>
      </c>
      <c r="O135" s="290">
        <v>41</v>
      </c>
      <c r="P135" s="624">
        <v>31207.173666670002</v>
      </c>
      <c r="Q135" s="624">
        <v>11817.419</v>
      </c>
      <c r="R135" s="624">
        <v>11</v>
      </c>
      <c r="S135" s="290"/>
      <c r="T135" s="290">
        <v>519</v>
      </c>
      <c r="U135" s="958">
        <v>2.1490431083456291E-3</v>
      </c>
      <c r="V135" s="290">
        <v>2002.3952509200001</v>
      </c>
      <c r="W135" s="765">
        <v>0.77226740000000005</v>
      </c>
      <c r="X135" s="290">
        <v>0</v>
      </c>
      <c r="Y135" s="290"/>
      <c r="Z135" s="290">
        <f>+innut23!E141</f>
        <v>228577.79447540021</v>
      </c>
      <c r="AA135" s="290">
        <v>0</v>
      </c>
      <c r="AB135" s="290">
        <v>71</v>
      </c>
      <c r="AC135" s="290">
        <v>910</v>
      </c>
      <c r="AD135" s="290"/>
      <c r="AE135" s="290">
        <v>0</v>
      </c>
      <c r="AF135" s="290">
        <v>0</v>
      </c>
      <c r="AG135" s="290">
        <v>4475</v>
      </c>
      <c r="AH135" s="290">
        <v>683</v>
      </c>
      <c r="AI135" s="290"/>
      <c r="AJ135" s="290"/>
      <c r="AK135" s="290">
        <v>0</v>
      </c>
      <c r="AL135" s="290">
        <v>0</v>
      </c>
      <c r="AM135" s="957">
        <v>0.15537165999999999</v>
      </c>
      <c r="AN135" s="290">
        <v>0</v>
      </c>
      <c r="AO135" s="290">
        <v>1984.6284095200001</v>
      </c>
      <c r="AP135" s="290">
        <v>0</v>
      </c>
      <c r="AQ135" s="290">
        <v>0</v>
      </c>
      <c r="AR135" s="290">
        <v>3761.4376046500001</v>
      </c>
      <c r="AS135" s="290">
        <v>7253</v>
      </c>
      <c r="AT135" s="290">
        <v>216</v>
      </c>
      <c r="AU135" s="290">
        <v>76</v>
      </c>
      <c r="AV135" s="766">
        <v>115252</v>
      </c>
      <c r="AW135" s="290">
        <v>0</v>
      </c>
      <c r="AX135" s="766">
        <v>22.916699999999999</v>
      </c>
      <c r="AY135" s="290">
        <v>986</v>
      </c>
      <c r="AZ135" s="290">
        <v>192</v>
      </c>
      <c r="BA135" s="290">
        <v>72</v>
      </c>
      <c r="BB135" s="290">
        <v>0</v>
      </c>
      <c r="BC135" s="290">
        <v>2799</v>
      </c>
      <c r="BD135" s="290"/>
      <c r="BE135" s="290">
        <v>127805.85017187</v>
      </c>
      <c r="BF135" s="290">
        <v>0</v>
      </c>
      <c r="BG135" s="290">
        <v>0</v>
      </c>
      <c r="BH135" s="290">
        <v>-752</v>
      </c>
      <c r="BI135" s="290">
        <v>3149</v>
      </c>
      <c r="BJ135" s="290">
        <v>460.32110267067702</v>
      </c>
      <c r="BK135" s="290">
        <v>8</v>
      </c>
      <c r="BL135" s="290"/>
      <c r="BM135" s="290">
        <v>0</v>
      </c>
      <c r="BN135" s="290">
        <v>1556</v>
      </c>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f>+innut23!E141+innut23!S141</f>
        <v>228577.79447540021</v>
      </c>
      <c r="CL135" s="290"/>
      <c r="CM135" s="290">
        <v>0</v>
      </c>
      <c r="CN135" s="290">
        <v>0</v>
      </c>
      <c r="CO135" s="290"/>
      <c r="CP135" s="290"/>
      <c r="CQ135" s="290"/>
      <c r="CX135" s="517">
        <f t="shared" si="5"/>
        <v>0</v>
      </c>
      <c r="DB135" s="85">
        <f t="shared" si="6"/>
        <v>0.82</v>
      </c>
    </row>
    <row r="136" spans="1:106" ht="13">
      <c r="A136" s="1">
        <v>3045</v>
      </c>
      <c r="B136" s="2" t="s">
        <v>881</v>
      </c>
      <c r="C136" s="289"/>
      <c r="D136" s="290">
        <v>49</v>
      </c>
      <c r="E136" s="290">
        <v>116</v>
      </c>
      <c r="F136" s="290">
        <v>360</v>
      </c>
      <c r="G136" s="290">
        <v>295</v>
      </c>
      <c r="H136" s="290">
        <v>1846</v>
      </c>
      <c r="I136" s="290">
        <v>582</v>
      </c>
      <c r="J136" s="290">
        <v>185</v>
      </c>
      <c r="K136" s="290">
        <v>43</v>
      </c>
      <c r="L136" s="290">
        <v>23</v>
      </c>
      <c r="M136" s="290">
        <v>399</v>
      </c>
      <c r="N136" s="290">
        <v>48</v>
      </c>
      <c r="O136" s="290">
        <v>37</v>
      </c>
      <c r="P136" s="624">
        <v>48255.87966667</v>
      </c>
      <c r="Q136" s="624">
        <v>12452.59366667</v>
      </c>
      <c r="R136" s="624">
        <v>17</v>
      </c>
      <c r="S136" s="290"/>
      <c r="T136" s="290">
        <v>323</v>
      </c>
      <c r="U136" s="958">
        <v>3.6052286962905081E-3</v>
      </c>
      <c r="V136" s="290">
        <v>2251.1502638299999</v>
      </c>
      <c r="W136" s="765">
        <v>0.86316588000000005</v>
      </c>
      <c r="X136" s="290">
        <v>500</v>
      </c>
      <c r="Y136" s="290"/>
      <c r="Z136" s="290">
        <f>+innut23!E142</f>
        <v>121614.80370255213</v>
      </c>
      <c r="AA136" s="290">
        <v>0</v>
      </c>
      <c r="AB136" s="290">
        <v>67</v>
      </c>
      <c r="AC136" s="290">
        <v>180</v>
      </c>
      <c r="AD136" s="290"/>
      <c r="AE136" s="290">
        <v>0</v>
      </c>
      <c r="AF136" s="290">
        <v>0</v>
      </c>
      <c r="AG136" s="290">
        <v>3476</v>
      </c>
      <c r="AH136" s="290">
        <v>551</v>
      </c>
      <c r="AI136" s="290"/>
      <c r="AJ136" s="290"/>
      <c r="AK136" s="290">
        <v>0</v>
      </c>
      <c r="AL136" s="290">
        <v>0</v>
      </c>
      <c r="AM136" s="957">
        <v>4.4417680000000001E-2</v>
      </c>
      <c r="AN136" s="290">
        <v>0</v>
      </c>
      <c r="AO136" s="290">
        <v>1740.1671075300001</v>
      </c>
      <c r="AP136" s="290">
        <v>0</v>
      </c>
      <c r="AQ136" s="290">
        <v>0</v>
      </c>
      <c r="AR136" s="290">
        <v>1452.0522743399999</v>
      </c>
      <c r="AS136" s="290">
        <v>5404</v>
      </c>
      <c r="AT136" s="290">
        <v>182</v>
      </c>
      <c r="AU136" s="290">
        <v>24</v>
      </c>
      <c r="AV136" s="766">
        <v>117629</v>
      </c>
      <c r="AW136" s="290">
        <v>0</v>
      </c>
      <c r="AX136" s="766">
        <v>10</v>
      </c>
      <c r="AY136" s="290">
        <v>515</v>
      </c>
      <c r="AZ136" s="290">
        <v>124</v>
      </c>
      <c r="BA136" s="290">
        <v>51</v>
      </c>
      <c r="BB136" s="290">
        <v>0</v>
      </c>
      <c r="BC136" s="290">
        <v>2673</v>
      </c>
      <c r="BD136" s="290"/>
      <c r="BE136" s="290">
        <v>128677.01337166999</v>
      </c>
      <c r="BF136" s="290">
        <v>0</v>
      </c>
      <c r="BG136" s="290">
        <v>0</v>
      </c>
      <c r="BH136" s="290">
        <v>-586</v>
      </c>
      <c r="BI136" s="290">
        <v>2805</v>
      </c>
      <c r="BJ136" s="290">
        <v>441.30482176138315</v>
      </c>
      <c r="BK136" s="290">
        <v>5</v>
      </c>
      <c r="BL136" s="290"/>
      <c r="BM136" s="290">
        <v>0</v>
      </c>
      <c r="BN136" s="290">
        <v>2074</v>
      </c>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f>+innut23!E142+innut23!S142</f>
        <v>121614.80370255213</v>
      </c>
      <c r="CL136" s="290"/>
      <c r="CM136" s="290">
        <v>0</v>
      </c>
      <c r="CN136" s="290">
        <v>0</v>
      </c>
      <c r="CO136" s="290"/>
      <c r="CP136" s="290"/>
      <c r="CQ136" s="290"/>
      <c r="CX136" s="517">
        <f t="shared" si="5"/>
        <v>0</v>
      </c>
      <c r="DB136" s="85">
        <f t="shared" si="6"/>
        <v>0.63700000000000001</v>
      </c>
    </row>
    <row r="137" spans="1:106" ht="13">
      <c r="A137" s="1">
        <v>3046</v>
      </c>
      <c r="B137" s="2" t="s">
        <v>882</v>
      </c>
      <c r="C137" s="289"/>
      <c r="D137" s="290">
        <v>27</v>
      </c>
      <c r="E137" s="290">
        <v>79</v>
      </c>
      <c r="F137" s="290">
        <v>268</v>
      </c>
      <c r="G137" s="290">
        <v>144</v>
      </c>
      <c r="H137" s="290">
        <v>1227</v>
      </c>
      <c r="I137" s="290">
        <v>334</v>
      </c>
      <c r="J137" s="290">
        <v>95</v>
      </c>
      <c r="K137" s="290">
        <v>26</v>
      </c>
      <c r="L137" s="290">
        <v>20</v>
      </c>
      <c r="M137" s="290">
        <v>230</v>
      </c>
      <c r="N137" s="290">
        <v>26</v>
      </c>
      <c r="O137" s="290">
        <v>21</v>
      </c>
      <c r="P137" s="624">
        <v>18939.073</v>
      </c>
      <c r="Q137" s="624">
        <v>8659.7943333300009</v>
      </c>
      <c r="R137" s="624">
        <v>13</v>
      </c>
      <c r="S137" s="290"/>
      <c r="T137" s="290">
        <v>244</v>
      </c>
      <c r="U137" s="958">
        <v>1.2979728480655697E-3</v>
      </c>
      <c r="V137" s="290">
        <v>1523.40211064</v>
      </c>
      <c r="W137" s="765">
        <v>0.83125802999999998</v>
      </c>
      <c r="X137" s="290">
        <v>700</v>
      </c>
      <c r="Y137" s="290"/>
      <c r="Z137" s="290">
        <f>+innut23!E143</f>
        <v>86520.767578955594</v>
      </c>
      <c r="AA137" s="290">
        <v>0</v>
      </c>
      <c r="AB137" s="290">
        <v>42</v>
      </c>
      <c r="AC137" s="290">
        <v>0</v>
      </c>
      <c r="AD137" s="290"/>
      <c r="AE137" s="290">
        <v>0</v>
      </c>
      <c r="AF137" s="290">
        <v>0</v>
      </c>
      <c r="AG137" s="290">
        <v>2200</v>
      </c>
      <c r="AH137" s="290">
        <v>367</v>
      </c>
      <c r="AI137" s="290"/>
      <c r="AJ137" s="290"/>
      <c r="AK137" s="290">
        <v>0</v>
      </c>
      <c r="AL137" s="290">
        <v>0</v>
      </c>
      <c r="AM137" s="957">
        <v>6.3583420000000002E-2</v>
      </c>
      <c r="AN137" s="290">
        <v>0</v>
      </c>
      <c r="AO137" s="290">
        <v>1177.6087483199999</v>
      </c>
      <c r="AP137" s="290">
        <v>0</v>
      </c>
      <c r="AQ137" s="290">
        <v>0</v>
      </c>
      <c r="AR137" s="290">
        <v>2470.0701502000002</v>
      </c>
      <c r="AS137" s="290">
        <v>6271</v>
      </c>
      <c r="AT137" s="290">
        <v>103</v>
      </c>
      <c r="AU137" s="290">
        <v>29</v>
      </c>
      <c r="AV137" s="766">
        <v>87154</v>
      </c>
      <c r="AW137" s="290">
        <v>0</v>
      </c>
      <c r="AX137" s="766">
        <v>6.1250499999999999</v>
      </c>
      <c r="AY137" s="290">
        <v>400</v>
      </c>
      <c r="AZ137" s="290">
        <v>102</v>
      </c>
      <c r="BA137" s="290">
        <v>42</v>
      </c>
      <c r="BB137" s="290">
        <v>3129</v>
      </c>
      <c r="BC137" s="290">
        <v>1370</v>
      </c>
      <c r="BD137" s="290"/>
      <c r="BE137" s="290">
        <v>95371.689571850002</v>
      </c>
      <c r="BF137" s="290">
        <v>0</v>
      </c>
      <c r="BG137" s="290">
        <v>0</v>
      </c>
      <c r="BH137" s="290">
        <v>-372</v>
      </c>
      <c r="BI137" s="290">
        <v>1404</v>
      </c>
      <c r="BJ137" s="290">
        <v>321.28104379765284</v>
      </c>
      <c r="BK137" s="290">
        <v>4</v>
      </c>
      <c r="BL137" s="290"/>
      <c r="BM137" s="290">
        <v>0</v>
      </c>
      <c r="BN137" s="290">
        <v>1037</v>
      </c>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f>+innut23!E143+innut23!S143</f>
        <v>86520.767578955594</v>
      </c>
      <c r="CL137" s="290"/>
      <c r="CM137" s="290">
        <v>0</v>
      </c>
      <c r="CN137" s="290">
        <v>0</v>
      </c>
      <c r="CO137" s="290"/>
      <c r="CP137" s="290"/>
      <c r="CQ137" s="290"/>
      <c r="CX137" s="517">
        <f t="shared" si="5"/>
        <v>0</v>
      </c>
      <c r="DB137" s="85">
        <f t="shared" si="6"/>
        <v>0.40300000000000002</v>
      </c>
    </row>
    <row r="138" spans="1:106" ht="13">
      <c r="A138" s="1">
        <v>3047</v>
      </c>
      <c r="B138" s="2" t="s">
        <v>883</v>
      </c>
      <c r="C138" s="289"/>
      <c r="D138" s="290">
        <v>228</v>
      </c>
      <c r="E138" s="290">
        <v>543</v>
      </c>
      <c r="F138" s="290">
        <v>1605</v>
      </c>
      <c r="G138" s="290">
        <v>1113</v>
      </c>
      <c r="H138" s="290">
        <v>8050</v>
      </c>
      <c r="I138" s="290">
        <v>2100</v>
      </c>
      <c r="J138" s="290">
        <v>565</v>
      </c>
      <c r="K138" s="290">
        <v>144</v>
      </c>
      <c r="L138" s="290">
        <v>112</v>
      </c>
      <c r="M138" s="290">
        <v>1271</v>
      </c>
      <c r="N138" s="290">
        <v>333</v>
      </c>
      <c r="O138" s="290">
        <v>137</v>
      </c>
      <c r="P138" s="624">
        <v>48897.951999999997</v>
      </c>
      <c r="Q138" s="624">
        <v>27655.553333330001</v>
      </c>
      <c r="R138" s="624">
        <v>61</v>
      </c>
      <c r="S138" s="290"/>
      <c r="T138" s="290">
        <v>1431</v>
      </c>
      <c r="U138" s="958">
        <v>5.0327479489660019E-3</v>
      </c>
      <c r="V138" s="290">
        <v>7783.1464446500004</v>
      </c>
      <c r="W138" s="765">
        <v>0.58307715999999998</v>
      </c>
      <c r="X138" s="290">
        <v>1600</v>
      </c>
      <c r="Y138" s="290"/>
      <c r="Z138" s="290">
        <f>+innut23!E144</f>
        <v>439612.42788878671</v>
      </c>
      <c r="AA138" s="290">
        <v>0</v>
      </c>
      <c r="AB138" s="290">
        <v>478</v>
      </c>
      <c r="AC138" s="290">
        <v>4560</v>
      </c>
      <c r="AD138" s="290"/>
      <c r="AE138" s="290">
        <v>0</v>
      </c>
      <c r="AF138" s="290">
        <v>0</v>
      </c>
      <c r="AG138" s="290">
        <v>14348</v>
      </c>
      <c r="AH138" s="290">
        <v>2426</v>
      </c>
      <c r="AI138" s="290"/>
      <c r="AJ138" s="290"/>
      <c r="AK138" s="290">
        <v>0</v>
      </c>
      <c r="AL138" s="290">
        <v>0</v>
      </c>
      <c r="AM138" s="957">
        <v>0.53800632000000004</v>
      </c>
      <c r="AN138" s="290">
        <v>0</v>
      </c>
      <c r="AO138" s="290">
        <v>6453.2208645700002</v>
      </c>
      <c r="AP138" s="290">
        <v>0</v>
      </c>
      <c r="AQ138" s="290">
        <v>0</v>
      </c>
      <c r="AR138" s="290">
        <v>-588.82191516</v>
      </c>
      <c r="AS138" s="290">
        <v>22747</v>
      </c>
      <c r="AT138" s="290">
        <v>861</v>
      </c>
      <c r="AU138" s="290">
        <v>192</v>
      </c>
      <c r="AV138" s="766">
        <v>367961</v>
      </c>
      <c r="AW138" s="290">
        <v>0</v>
      </c>
      <c r="AX138" s="766">
        <v>75.875</v>
      </c>
      <c r="AY138" s="290">
        <v>2671</v>
      </c>
      <c r="AZ138" s="290">
        <v>663</v>
      </c>
      <c r="BA138" s="290">
        <v>277</v>
      </c>
      <c r="BB138" s="290">
        <v>0</v>
      </c>
      <c r="BC138" s="290">
        <v>9053</v>
      </c>
      <c r="BD138" s="290"/>
      <c r="BE138" s="290">
        <v>425880.39572750003</v>
      </c>
      <c r="BF138" s="290">
        <v>0</v>
      </c>
      <c r="BG138" s="290">
        <v>0</v>
      </c>
      <c r="BH138" s="290">
        <v>-2411</v>
      </c>
      <c r="BI138" s="290">
        <v>10616</v>
      </c>
      <c r="BJ138" s="290">
        <v>1726.5871331713795</v>
      </c>
      <c r="BK138" s="290">
        <v>26</v>
      </c>
      <c r="BL138" s="290"/>
      <c r="BM138" s="290">
        <v>0</v>
      </c>
      <c r="BN138" s="290">
        <v>3630</v>
      </c>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f>+innut23!E144+innut23!S144</f>
        <v>439612.42788878671</v>
      </c>
      <c r="CL138" s="290"/>
      <c r="CM138" s="290">
        <v>0</v>
      </c>
      <c r="CN138" s="290">
        <v>0</v>
      </c>
      <c r="CO138" s="290"/>
      <c r="CP138" s="290"/>
      <c r="CQ138" s="290"/>
      <c r="CX138" s="517">
        <f t="shared" si="5"/>
        <v>0</v>
      </c>
      <c r="DB138" s="85">
        <f t="shared" si="6"/>
        <v>2.63</v>
      </c>
    </row>
    <row r="139" spans="1:106" ht="13">
      <c r="A139" s="1">
        <v>3048</v>
      </c>
      <c r="B139" s="2" t="s">
        <v>884</v>
      </c>
      <c r="C139" s="289"/>
      <c r="D139" s="290">
        <v>405</v>
      </c>
      <c r="E139" s="290">
        <v>866</v>
      </c>
      <c r="F139" s="290">
        <v>2399</v>
      </c>
      <c r="G139" s="290">
        <v>1599</v>
      </c>
      <c r="H139" s="290">
        <v>11647</v>
      </c>
      <c r="I139" s="290">
        <v>2429</v>
      </c>
      <c r="J139" s="290">
        <v>738</v>
      </c>
      <c r="K139" s="290">
        <v>175</v>
      </c>
      <c r="L139" s="290">
        <v>147</v>
      </c>
      <c r="M139" s="290">
        <v>1471</v>
      </c>
      <c r="N139" s="290">
        <v>479</v>
      </c>
      <c r="O139" s="290">
        <v>149</v>
      </c>
      <c r="P139" s="624">
        <v>70408.277333329999</v>
      </c>
      <c r="Q139" s="624">
        <v>46406.036</v>
      </c>
      <c r="R139" s="624">
        <v>77</v>
      </c>
      <c r="S139" s="290"/>
      <c r="T139" s="290">
        <v>1709</v>
      </c>
      <c r="U139" s="958">
        <v>4.3804284919251287E-3</v>
      </c>
      <c r="V139" s="290">
        <v>7845.3297599199996</v>
      </c>
      <c r="W139" s="765">
        <v>0.57194831999999995</v>
      </c>
      <c r="X139" s="290">
        <v>2200</v>
      </c>
      <c r="Y139" s="290"/>
      <c r="Z139" s="290">
        <f>+innut23!E145</f>
        <v>686808.33139062859</v>
      </c>
      <c r="AA139" s="290">
        <v>0</v>
      </c>
      <c r="AB139" s="290">
        <v>539</v>
      </c>
      <c r="AC139" s="290">
        <v>11496</v>
      </c>
      <c r="AD139" s="290"/>
      <c r="AE139" s="290">
        <v>1693</v>
      </c>
      <c r="AF139" s="290">
        <v>0</v>
      </c>
      <c r="AG139" s="290">
        <v>20258</v>
      </c>
      <c r="AH139" s="290">
        <v>3666</v>
      </c>
      <c r="AI139" s="290"/>
      <c r="AJ139" s="290"/>
      <c r="AK139" s="290">
        <v>0</v>
      </c>
      <c r="AL139" s="290">
        <v>0</v>
      </c>
      <c r="AM139" s="957">
        <v>0.52201898999999996</v>
      </c>
      <c r="AN139" s="290">
        <v>0</v>
      </c>
      <c r="AO139" s="290">
        <v>8947.1006283099996</v>
      </c>
      <c r="AP139" s="290">
        <v>0</v>
      </c>
      <c r="AQ139" s="290">
        <v>0</v>
      </c>
      <c r="AR139" s="290">
        <v>-831.36007508</v>
      </c>
      <c r="AS139" s="290">
        <v>37221</v>
      </c>
      <c r="AT139" s="290">
        <v>1060</v>
      </c>
      <c r="AU139" s="290">
        <v>229</v>
      </c>
      <c r="AV139" s="766">
        <v>491109</v>
      </c>
      <c r="AW139" s="290">
        <v>0</v>
      </c>
      <c r="AX139" s="766">
        <v>136.12495000000001</v>
      </c>
      <c r="AY139" s="290">
        <v>4214</v>
      </c>
      <c r="AZ139" s="290">
        <v>864</v>
      </c>
      <c r="BA139" s="290">
        <v>409</v>
      </c>
      <c r="BB139" s="290">
        <v>0</v>
      </c>
      <c r="BC139" s="290">
        <v>15635</v>
      </c>
      <c r="BD139" s="290"/>
      <c r="BE139" s="290">
        <v>581084.08685716998</v>
      </c>
      <c r="BF139" s="290">
        <v>0</v>
      </c>
      <c r="BG139" s="290">
        <v>0</v>
      </c>
      <c r="BH139" s="290">
        <v>-3361</v>
      </c>
      <c r="BI139" s="290">
        <v>19310</v>
      </c>
      <c r="BJ139" s="290">
        <v>2554.4388104066379</v>
      </c>
      <c r="BK139" s="290">
        <v>33</v>
      </c>
      <c r="BL139" s="290"/>
      <c r="BM139" s="290">
        <v>0</v>
      </c>
      <c r="BN139" s="290">
        <v>4148</v>
      </c>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f>+innut23!E145+innut23!S145</f>
        <v>686808.33139062859</v>
      </c>
      <c r="CL139" s="290"/>
      <c r="CM139" s="290">
        <v>0</v>
      </c>
      <c r="CN139" s="290">
        <v>0</v>
      </c>
      <c r="CO139" s="290"/>
      <c r="CP139" s="290"/>
      <c r="CQ139" s="290"/>
      <c r="CX139" s="517">
        <f t="shared" si="5"/>
        <v>0</v>
      </c>
      <c r="DB139" s="85">
        <f t="shared" si="6"/>
        <v>3.7130000000000001</v>
      </c>
    </row>
    <row r="140" spans="1:106" ht="13">
      <c r="A140" s="1">
        <v>3049</v>
      </c>
      <c r="B140" s="2" t="s">
        <v>886</v>
      </c>
      <c r="C140" s="289"/>
      <c r="D140" s="290">
        <v>612</v>
      </c>
      <c r="E140" s="290">
        <v>1264</v>
      </c>
      <c r="F140" s="290">
        <v>3606</v>
      </c>
      <c r="G140" s="290">
        <v>2209</v>
      </c>
      <c r="H140" s="290">
        <v>16058</v>
      </c>
      <c r="I140" s="290">
        <v>3104</v>
      </c>
      <c r="J140" s="290">
        <v>882</v>
      </c>
      <c r="K140" s="290">
        <v>185</v>
      </c>
      <c r="L140" s="290">
        <v>202</v>
      </c>
      <c r="M140" s="290">
        <v>1675</v>
      </c>
      <c r="N140" s="290">
        <v>995</v>
      </c>
      <c r="O140" s="290">
        <v>260</v>
      </c>
      <c r="P140" s="624">
        <v>80921.022666670004</v>
      </c>
      <c r="Q140" s="624">
        <v>47040.40833333</v>
      </c>
      <c r="R140" s="624">
        <v>116</v>
      </c>
      <c r="S140" s="290"/>
      <c r="T140" s="290">
        <v>2176</v>
      </c>
      <c r="U140" s="958">
        <v>3.7398248655811581E-3</v>
      </c>
      <c r="V140" s="290">
        <v>12004.05592418</v>
      </c>
      <c r="W140" s="765">
        <v>0.56578077000000004</v>
      </c>
      <c r="X140" s="290">
        <v>1800</v>
      </c>
      <c r="Y140" s="290"/>
      <c r="Z140" s="290">
        <f>+innut23!E146</f>
        <v>1142065.1700893526</v>
      </c>
      <c r="AA140" s="290">
        <v>0</v>
      </c>
      <c r="AB140" s="290">
        <v>500</v>
      </c>
      <c r="AC140" s="290">
        <v>4164</v>
      </c>
      <c r="AD140" s="290"/>
      <c r="AE140" s="290">
        <v>1919</v>
      </c>
      <c r="AF140" s="290">
        <v>0</v>
      </c>
      <c r="AG140" s="290">
        <v>27920</v>
      </c>
      <c r="AH140" s="290">
        <v>5458</v>
      </c>
      <c r="AI140" s="290"/>
      <c r="AJ140" s="290"/>
      <c r="AK140" s="290">
        <v>0</v>
      </c>
      <c r="AL140" s="290">
        <v>0</v>
      </c>
      <c r="AM140" s="957">
        <v>0.89289783</v>
      </c>
      <c r="AN140" s="290">
        <v>0</v>
      </c>
      <c r="AO140" s="290">
        <v>12423.89880366</v>
      </c>
      <c r="AP140" s="290">
        <v>0</v>
      </c>
      <c r="AQ140" s="290">
        <v>0</v>
      </c>
      <c r="AR140" s="290">
        <v>-1145.7978722600001</v>
      </c>
      <c r="AS140" s="290">
        <v>49213</v>
      </c>
      <c r="AT140" s="290">
        <v>1528</v>
      </c>
      <c r="AU140" s="290">
        <v>354</v>
      </c>
      <c r="AV140" s="766">
        <v>658244</v>
      </c>
      <c r="AW140" s="290">
        <v>0</v>
      </c>
      <c r="AX140" s="766">
        <v>241.45835</v>
      </c>
      <c r="AY140" s="290">
        <v>7950</v>
      </c>
      <c r="AZ140" s="290">
        <v>1256</v>
      </c>
      <c r="BA140" s="290">
        <v>506</v>
      </c>
      <c r="BB140" s="290">
        <v>0</v>
      </c>
      <c r="BC140" s="290">
        <v>14112</v>
      </c>
      <c r="BD140" s="290"/>
      <c r="BE140" s="290">
        <v>802653.56969476002</v>
      </c>
      <c r="BF140" s="290">
        <v>0</v>
      </c>
      <c r="BG140" s="290">
        <v>0</v>
      </c>
      <c r="BH140" s="290">
        <v>-4621</v>
      </c>
      <c r="BI140" s="290">
        <v>15844</v>
      </c>
      <c r="BJ140" s="290">
        <v>3802.1136651724128</v>
      </c>
      <c r="BK140" s="290">
        <v>46</v>
      </c>
      <c r="BL140" s="290"/>
      <c r="BM140" s="290">
        <v>0</v>
      </c>
      <c r="BN140" s="290">
        <v>6222</v>
      </c>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f>+innut23!E146+innut23!S146</f>
        <v>1142065.1700893526</v>
      </c>
      <c r="CL140" s="290"/>
      <c r="CM140" s="290">
        <v>0</v>
      </c>
      <c r="CN140" s="290">
        <v>0</v>
      </c>
      <c r="CO140" s="290"/>
      <c r="CP140" s="290"/>
      <c r="CQ140" s="290"/>
      <c r="CX140" s="517">
        <f t="shared" si="5"/>
        <v>0</v>
      </c>
      <c r="DB140" s="85">
        <f t="shared" si="6"/>
        <v>5.117</v>
      </c>
    </row>
    <row r="141" spans="1:106" ht="13">
      <c r="A141" s="1">
        <v>3050</v>
      </c>
      <c r="B141" s="2" t="s">
        <v>889</v>
      </c>
      <c r="C141" s="289"/>
      <c r="D141" s="290">
        <v>58</v>
      </c>
      <c r="E141" s="290">
        <v>118</v>
      </c>
      <c r="F141" s="290">
        <v>298</v>
      </c>
      <c r="G141" s="290">
        <v>205</v>
      </c>
      <c r="H141" s="290">
        <v>1476</v>
      </c>
      <c r="I141" s="290">
        <v>401</v>
      </c>
      <c r="J141" s="290">
        <v>117</v>
      </c>
      <c r="K141" s="290">
        <v>35</v>
      </c>
      <c r="L141" s="290">
        <v>18</v>
      </c>
      <c r="M141" s="290">
        <v>227</v>
      </c>
      <c r="N141" s="290">
        <v>30</v>
      </c>
      <c r="O141" s="290">
        <v>31</v>
      </c>
      <c r="P141" s="624">
        <v>20720.759333329999</v>
      </c>
      <c r="Q141" s="624">
        <v>13585.760333329999</v>
      </c>
      <c r="R141" s="624">
        <v>10</v>
      </c>
      <c r="S141" s="290"/>
      <c r="T141" s="290">
        <v>208</v>
      </c>
      <c r="U141" s="958">
        <v>1.7111195986584823E-3</v>
      </c>
      <c r="V141" s="290">
        <v>1659.2874709099999</v>
      </c>
      <c r="W141" s="765">
        <v>0.80285225000000005</v>
      </c>
      <c r="X141" s="290">
        <v>900</v>
      </c>
      <c r="Y141" s="290"/>
      <c r="Z141" s="290">
        <f>+innut23!E147</f>
        <v>97240.194505253865</v>
      </c>
      <c r="AA141" s="290">
        <v>0</v>
      </c>
      <c r="AB141" s="290">
        <v>66</v>
      </c>
      <c r="AC141" s="290">
        <v>149</v>
      </c>
      <c r="AD141" s="290"/>
      <c r="AE141" s="290">
        <v>0</v>
      </c>
      <c r="AF141" s="290">
        <v>0</v>
      </c>
      <c r="AG141" s="290">
        <v>2708</v>
      </c>
      <c r="AH141" s="290">
        <v>463</v>
      </c>
      <c r="AI141" s="290"/>
      <c r="AJ141" s="290"/>
      <c r="AK141" s="290">
        <v>0</v>
      </c>
      <c r="AL141" s="290">
        <v>0</v>
      </c>
      <c r="AM141" s="957">
        <v>6.6873920000000003E-2</v>
      </c>
      <c r="AN141" s="290">
        <v>0</v>
      </c>
      <c r="AO141" s="290">
        <v>1370.0002223399999</v>
      </c>
      <c r="AP141" s="290">
        <v>0</v>
      </c>
      <c r="AQ141" s="290">
        <v>0</v>
      </c>
      <c r="AR141" s="290">
        <v>-111.13254434</v>
      </c>
      <c r="AS141" s="290">
        <v>3540</v>
      </c>
      <c r="AT141" s="290">
        <v>124</v>
      </c>
      <c r="AU141" s="290">
        <v>21</v>
      </c>
      <c r="AV141" s="766">
        <v>93770</v>
      </c>
      <c r="AW141" s="290">
        <v>0</v>
      </c>
      <c r="AX141" s="766">
        <v>18.583349999999999</v>
      </c>
      <c r="AY141" s="290">
        <v>483</v>
      </c>
      <c r="AZ141" s="290">
        <v>190</v>
      </c>
      <c r="BA141" s="290">
        <v>50</v>
      </c>
      <c r="BB141" s="290">
        <v>3129</v>
      </c>
      <c r="BC141" s="290">
        <v>1063</v>
      </c>
      <c r="BD141" s="290"/>
      <c r="BE141" s="290">
        <v>104744.33447728</v>
      </c>
      <c r="BF141" s="290">
        <v>0</v>
      </c>
      <c r="BG141" s="290">
        <v>0</v>
      </c>
      <c r="BH141" s="290">
        <v>-456</v>
      </c>
      <c r="BI141" s="290">
        <v>1131</v>
      </c>
      <c r="BJ141" s="290">
        <v>361.29836149261581</v>
      </c>
      <c r="BK141" s="290">
        <v>4</v>
      </c>
      <c r="BL141" s="290"/>
      <c r="BM141" s="290">
        <v>0</v>
      </c>
      <c r="BN141" s="290">
        <v>519</v>
      </c>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f>+innut23!E147+innut23!S147</f>
        <v>97240.194505253865</v>
      </c>
      <c r="CL141" s="290"/>
      <c r="CM141" s="290">
        <v>0</v>
      </c>
      <c r="CN141" s="290">
        <v>0</v>
      </c>
      <c r="CO141" s="290"/>
      <c r="CP141" s="290"/>
      <c r="CQ141" s="290"/>
      <c r="CX141" s="517">
        <f t="shared" si="5"/>
        <v>0</v>
      </c>
      <c r="DB141" s="85">
        <f t="shared" si="6"/>
        <v>0.496</v>
      </c>
    </row>
    <row r="142" spans="1:106" ht="13">
      <c r="A142" s="1">
        <v>3051</v>
      </c>
      <c r="B142" s="2" t="s">
        <v>890</v>
      </c>
      <c r="C142" s="289"/>
      <c r="D142" s="290">
        <v>17</v>
      </c>
      <c r="E142" s="290">
        <v>47</v>
      </c>
      <c r="F142" s="290">
        <v>126</v>
      </c>
      <c r="G142" s="290">
        <v>107</v>
      </c>
      <c r="H142" s="290">
        <v>724</v>
      </c>
      <c r="I142" s="290">
        <v>221</v>
      </c>
      <c r="J142" s="290">
        <v>83</v>
      </c>
      <c r="K142" s="290">
        <v>37</v>
      </c>
      <c r="L142" s="290">
        <v>7</v>
      </c>
      <c r="M142" s="290">
        <v>158</v>
      </c>
      <c r="N142" s="290">
        <v>19</v>
      </c>
      <c r="O142" s="290">
        <v>7</v>
      </c>
      <c r="P142" s="624">
        <v>9695.0380000000005</v>
      </c>
      <c r="Q142" s="624">
        <v>3912.223</v>
      </c>
      <c r="R142" s="624">
        <v>13</v>
      </c>
      <c r="S142" s="290"/>
      <c r="T142" s="290">
        <v>122</v>
      </c>
      <c r="U142" s="958">
        <v>1.2665761146219258E-3</v>
      </c>
      <c r="V142" s="290">
        <v>1081.2024429999999</v>
      </c>
      <c r="W142" s="765">
        <v>1</v>
      </c>
      <c r="X142" s="290">
        <v>500</v>
      </c>
      <c r="Y142" s="290"/>
      <c r="Z142" s="290">
        <f>+innut23!E148</f>
        <v>45377.362530589162</v>
      </c>
      <c r="AA142" s="290">
        <v>0</v>
      </c>
      <c r="AB142" s="290">
        <v>45</v>
      </c>
      <c r="AC142" s="290">
        <v>547</v>
      </c>
      <c r="AD142" s="290"/>
      <c r="AE142" s="290">
        <v>0</v>
      </c>
      <c r="AF142" s="290">
        <v>0</v>
      </c>
      <c r="AG142" s="290">
        <v>1362</v>
      </c>
      <c r="AH142" s="290">
        <v>198</v>
      </c>
      <c r="AI142" s="290"/>
      <c r="AJ142" s="290"/>
      <c r="AK142" s="290">
        <v>0</v>
      </c>
      <c r="AL142" s="290">
        <v>0</v>
      </c>
      <c r="AM142" s="957">
        <v>1.1815229999999999E-2</v>
      </c>
      <c r="AN142" s="290">
        <v>0</v>
      </c>
      <c r="AO142" s="290">
        <v>835.78291423999997</v>
      </c>
      <c r="AP142" s="290">
        <v>0</v>
      </c>
      <c r="AQ142" s="290">
        <v>0</v>
      </c>
      <c r="AR142" s="290">
        <v>-55.894581019999997</v>
      </c>
      <c r="AS142" s="290">
        <v>1737</v>
      </c>
      <c r="AT142" s="290">
        <v>48</v>
      </c>
      <c r="AU142" s="290">
        <v>6</v>
      </c>
      <c r="AV142" s="766">
        <v>69968</v>
      </c>
      <c r="AW142" s="290">
        <v>0</v>
      </c>
      <c r="AX142" s="766">
        <v>7.7083500000000003</v>
      </c>
      <c r="AY142" s="290">
        <v>267</v>
      </c>
      <c r="AZ142" s="290">
        <v>77</v>
      </c>
      <c r="BA142" s="290">
        <v>18</v>
      </c>
      <c r="BB142" s="290">
        <v>3754</v>
      </c>
      <c r="BC142" s="290">
        <v>1092</v>
      </c>
      <c r="BD142" s="290"/>
      <c r="BE142" s="290">
        <v>76427.651524949993</v>
      </c>
      <c r="BF142" s="290">
        <v>0</v>
      </c>
      <c r="BG142" s="290">
        <v>0</v>
      </c>
      <c r="BH142" s="290">
        <v>-232</v>
      </c>
      <c r="BI142" s="290">
        <v>1264</v>
      </c>
      <c r="BJ142" s="290">
        <v>168.8490649389982</v>
      </c>
      <c r="BK142" s="290">
        <v>2</v>
      </c>
      <c r="BL142" s="290"/>
      <c r="BM142" s="290">
        <v>0</v>
      </c>
      <c r="BN142" s="290">
        <v>519</v>
      </c>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f>+innut23!E148+innut23!S148</f>
        <v>45377.362530589162</v>
      </c>
      <c r="CL142" s="290"/>
      <c r="CM142" s="290">
        <v>0</v>
      </c>
      <c r="CN142" s="290">
        <v>0</v>
      </c>
      <c r="CO142" s="290"/>
      <c r="CP142" s="290"/>
      <c r="CQ142" s="290"/>
      <c r="CX142" s="517">
        <f t="shared" si="5"/>
        <v>0</v>
      </c>
      <c r="DB142" s="85">
        <f t="shared" si="6"/>
        <v>0.25</v>
      </c>
    </row>
    <row r="143" spans="1:106" ht="13">
      <c r="A143" s="1">
        <v>3052</v>
      </c>
      <c r="B143" s="2" t="s">
        <v>891</v>
      </c>
      <c r="C143" s="289"/>
      <c r="D143" s="290">
        <v>33</v>
      </c>
      <c r="E143" s="290">
        <v>70</v>
      </c>
      <c r="F143" s="290">
        <v>241</v>
      </c>
      <c r="G143" s="290">
        <v>202</v>
      </c>
      <c r="H143" s="290">
        <v>1324</v>
      </c>
      <c r="I143" s="290">
        <v>391</v>
      </c>
      <c r="J143" s="290">
        <v>147</v>
      </c>
      <c r="K143" s="290">
        <v>35</v>
      </c>
      <c r="L143" s="290">
        <v>17</v>
      </c>
      <c r="M143" s="290">
        <v>269</v>
      </c>
      <c r="N143" s="290">
        <v>47</v>
      </c>
      <c r="O143" s="290">
        <v>34</v>
      </c>
      <c r="P143" s="624">
        <v>28128.790333329998</v>
      </c>
      <c r="Q143" s="624">
        <v>14610.19966667</v>
      </c>
      <c r="R143" s="624">
        <v>13</v>
      </c>
      <c r="S143" s="290"/>
      <c r="T143" s="290">
        <v>210</v>
      </c>
      <c r="U143" s="958">
        <v>3.267808057702124E-3</v>
      </c>
      <c r="V143" s="290">
        <v>1691.2108793100001</v>
      </c>
      <c r="W143" s="765">
        <v>1</v>
      </c>
      <c r="X143" s="290">
        <v>0</v>
      </c>
      <c r="Y143" s="290"/>
      <c r="Z143" s="290">
        <f>+innut23!E149</f>
        <v>103467.60005730047</v>
      </c>
      <c r="AA143" s="290">
        <v>0</v>
      </c>
      <c r="AB143" s="290">
        <v>39</v>
      </c>
      <c r="AC143" s="290">
        <v>122</v>
      </c>
      <c r="AD143" s="290"/>
      <c r="AE143" s="290">
        <v>0</v>
      </c>
      <c r="AF143" s="290">
        <v>0</v>
      </c>
      <c r="AG143" s="290">
        <v>2443</v>
      </c>
      <c r="AH143" s="290">
        <v>366</v>
      </c>
      <c r="AI143" s="290"/>
      <c r="AJ143" s="290"/>
      <c r="AK143" s="290">
        <v>0</v>
      </c>
      <c r="AL143" s="290">
        <v>0</v>
      </c>
      <c r="AM143" s="957">
        <v>3.6961519999999998E-2</v>
      </c>
      <c r="AN143" s="290">
        <v>0</v>
      </c>
      <c r="AO143" s="290">
        <v>1307.3270102700001</v>
      </c>
      <c r="AP143" s="290">
        <v>0</v>
      </c>
      <c r="AQ143" s="290">
        <v>0</v>
      </c>
      <c r="AR143" s="290">
        <v>-100.25731381999999</v>
      </c>
      <c r="AS143" s="290">
        <v>3288</v>
      </c>
      <c r="AT143" s="290">
        <v>119</v>
      </c>
      <c r="AU143" s="290">
        <v>12</v>
      </c>
      <c r="AV143" s="766">
        <v>97797</v>
      </c>
      <c r="AW143" s="290">
        <v>0</v>
      </c>
      <c r="AX143" s="766">
        <v>16.416699999999999</v>
      </c>
      <c r="AY143" s="290">
        <v>399</v>
      </c>
      <c r="AZ143" s="290">
        <v>156</v>
      </c>
      <c r="BA143" s="290">
        <v>30</v>
      </c>
      <c r="BB143" s="290">
        <v>6257</v>
      </c>
      <c r="BC143" s="290">
        <v>1446</v>
      </c>
      <c r="BD143" s="290"/>
      <c r="BE143" s="290">
        <v>107826.82164839</v>
      </c>
      <c r="BF143" s="290">
        <v>0</v>
      </c>
      <c r="BG143" s="290">
        <v>0</v>
      </c>
      <c r="BH143" s="290">
        <v>-414</v>
      </c>
      <c r="BI143" s="290">
        <v>1525</v>
      </c>
      <c r="BJ143" s="290">
        <v>317.48734238691782</v>
      </c>
      <c r="BK143" s="290">
        <v>3</v>
      </c>
      <c r="BL143" s="290"/>
      <c r="BM143" s="290">
        <v>0</v>
      </c>
      <c r="BN143" s="290">
        <v>1037</v>
      </c>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f>+innut23!E149+innut23!S149</f>
        <v>103467.60005730047</v>
      </c>
      <c r="CL143" s="290"/>
      <c r="CM143" s="290">
        <v>0</v>
      </c>
      <c r="CN143" s="290">
        <v>0</v>
      </c>
      <c r="CO143" s="290"/>
      <c r="CP143" s="290"/>
      <c r="CQ143" s="290"/>
      <c r="CX143" s="517">
        <f t="shared" si="5"/>
        <v>0</v>
      </c>
      <c r="DB143" s="85">
        <f t="shared" si="6"/>
        <v>0.44800000000000001</v>
      </c>
    </row>
    <row r="144" spans="1:106" ht="13">
      <c r="A144" s="1">
        <v>3053</v>
      </c>
      <c r="B144" s="2" t="s">
        <v>860</v>
      </c>
      <c r="C144" s="289"/>
      <c r="D144" s="290">
        <v>136</v>
      </c>
      <c r="E144" s="290">
        <v>299</v>
      </c>
      <c r="F144" s="290">
        <v>755</v>
      </c>
      <c r="G144" s="290">
        <v>537</v>
      </c>
      <c r="H144" s="290">
        <v>3920</v>
      </c>
      <c r="I144" s="290">
        <v>967</v>
      </c>
      <c r="J144" s="290">
        <v>278</v>
      </c>
      <c r="K144" s="290">
        <v>57</v>
      </c>
      <c r="L144" s="290">
        <v>58</v>
      </c>
      <c r="M144" s="290">
        <v>613</v>
      </c>
      <c r="N144" s="290">
        <v>138</v>
      </c>
      <c r="O144" s="290">
        <v>59</v>
      </c>
      <c r="P144" s="624">
        <v>19402.524000000001</v>
      </c>
      <c r="Q144" s="624">
        <v>10403.580333329999</v>
      </c>
      <c r="R144" s="624">
        <v>20</v>
      </c>
      <c r="S144" s="290"/>
      <c r="T144" s="290">
        <v>590</v>
      </c>
      <c r="U144" s="958">
        <v>1.3976590803835231E-3</v>
      </c>
      <c r="V144" s="290">
        <v>278.18742277000001</v>
      </c>
      <c r="W144" s="765">
        <v>0.58866103999999997</v>
      </c>
      <c r="X144" s="290">
        <v>700</v>
      </c>
      <c r="Y144" s="290"/>
      <c r="Z144" s="290">
        <f>+innut23!E150</f>
        <v>209137.56445793316</v>
      </c>
      <c r="AA144" s="290">
        <v>0</v>
      </c>
      <c r="AB144" s="290">
        <v>166</v>
      </c>
      <c r="AC144" s="290">
        <v>149</v>
      </c>
      <c r="AD144" s="290"/>
      <c r="AE144" s="290">
        <v>0</v>
      </c>
      <c r="AF144" s="290">
        <v>0</v>
      </c>
      <c r="AG144" s="290">
        <v>6949</v>
      </c>
      <c r="AH144" s="290">
        <v>1214</v>
      </c>
      <c r="AI144" s="290"/>
      <c r="AJ144" s="290"/>
      <c r="AK144" s="290">
        <v>0</v>
      </c>
      <c r="AL144" s="290">
        <v>0</v>
      </c>
      <c r="AM144" s="957">
        <v>0.18790586000000001</v>
      </c>
      <c r="AN144" s="290">
        <v>0</v>
      </c>
      <c r="AO144" s="290">
        <v>3097.6056369299999</v>
      </c>
      <c r="AP144" s="290">
        <v>0</v>
      </c>
      <c r="AQ144" s="290">
        <v>0</v>
      </c>
      <c r="AR144" s="290">
        <v>-285.17727129000002</v>
      </c>
      <c r="AS144" s="290">
        <v>11052</v>
      </c>
      <c r="AT144" s="290">
        <v>431</v>
      </c>
      <c r="AU144" s="290">
        <v>73</v>
      </c>
      <c r="AV144" s="766">
        <v>170979</v>
      </c>
      <c r="AW144" s="290">
        <v>0</v>
      </c>
      <c r="AX144" s="766">
        <v>46.541649999999997</v>
      </c>
      <c r="AY144" s="290">
        <v>1390</v>
      </c>
      <c r="AZ144" s="290">
        <v>285</v>
      </c>
      <c r="BA144" s="290">
        <v>164</v>
      </c>
      <c r="BB144" s="290">
        <v>0</v>
      </c>
      <c r="BC144" s="290">
        <v>2771</v>
      </c>
      <c r="BD144" s="290"/>
      <c r="BE144" s="290">
        <v>196573.46445673</v>
      </c>
      <c r="BF144" s="290">
        <v>0</v>
      </c>
      <c r="BG144" s="290">
        <v>0</v>
      </c>
      <c r="BH144" s="290">
        <v>-1160</v>
      </c>
      <c r="BI144" s="290">
        <v>2919</v>
      </c>
      <c r="BJ144" s="290">
        <v>814.37109109851428</v>
      </c>
      <c r="BK144" s="290">
        <v>11</v>
      </c>
      <c r="BL144" s="290"/>
      <c r="BM144" s="290">
        <v>0</v>
      </c>
      <c r="BN144" s="290">
        <v>1556</v>
      </c>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f>+innut23!E150+innut23!S150</f>
        <v>209137.56445793316</v>
      </c>
      <c r="CL144" s="290"/>
      <c r="CM144" s="290">
        <v>0</v>
      </c>
      <c r="CN144" s="290">
        <v>0</v>
      </c>
      <c r="CO144" s="290"/>
      <c r="CP144" s="290"/>
      <c r="CQ144" s="290"/>
      <c r="CX144" s="517">
        <f t="shared" si="5"/>
        <v>0</v>
      </c>
      <c r="DB144" s="85">
        <f t="shared" si="6"/>
        <v>1.274</v>
      </c>
    </row>
    <row r="145" spans="1:106" ht="13">
      <c r="A145" s="1">
        <v>3054</v>
      </c>
      <c r="B145" s="4" t="s">
        <v>861</v>
      </c>
      <c r="C145" s="289"/>
      <c r="D145" s="290">
        <v>187</v>
      </c>
      <c r="E145" s="290">
        <v>354</v>
      </c>
      <c r="F145" s="290">
        <v>1105</v>
      </c>
      <c r="G145" s="290">
        <v>734</v>
      </c>
      <c r="H145" s="290">
        <v>5220</v>
      </c>
      <c r="I145" s="290">
        <v>1233</v>
      </c>
      <c r="J145" s="290">
        <v>317</v>
      </c>
      <c r="K145" s="290">
        <v>70</v>
      </c>
      <c r="L145" s="290">
        <v>71</v>
      </c>
      <c r="M145" s="290">
        <v>692</v>
      </c>
      <c r="N145" s="290">
        <v>214</v>
      </c>
      <c r="O145" s="290">
        <v>89</v>
      </c>
      <c r="P145" s="624">
        <v>27011.508999999998</v>
      </c>
      <c r="Q145" s="624">
        <v>24547.902333329999</v>
      </c>
      <c r="R145" s="624">
        <v>43</v>
      </c>
      <c r="S145" s="290"/>
      <c r="T145" s="290">
        <v>805</v>
      </c>
      <c r="U145" s="958">
        <v>2.5806451649951138E-3</v>
      </c>
      <c r="V145" s="290">
        <v>4688.01101311</v>
      </c>
      <c r="W145" s="765">
        <v>0.63006342999999998</v>
      </c>
      <c r="X145" s="290">
        <v>800</v>
      </c>
      <c r="Y145" s="290"/>
      <c r="Z145" s="290">
        <f>+innut23!E151</f>
        <v>292824.3839356582</v>
      </c>
      <c r="AA145" s="290">
        <v>0</v>
      </c>
      <c r="AB145" s="290">
        <v>213</v>
      </c>
      <c r="AC145" s="290">
        <v>429</v>
      </c>
      <c r="AD145" s="290"/>
      <c r="AE145" s="290">
        <v>0</v>
      </c>
      <c r="AF145" s="290">
        <v>0</v>
      </c>
      <c r="AG145" s="290">
        <v>9220</v>
      </c>
      <c r="AH145" s="290">
        <v>1674</v>
      </c>
      <c r="AI145" s="290"/>
      <c r="AJ145" s="290"/>
      <c r="AK145" s="290">
        <v>0</v>
      </c>
      <c r="AL145" s="290">
        <v>0</v>
      </c>
      <c r="AM145" s="957">
        <v>0.26895595999999999</v>
      </c>
      <c r="AN145" s="290">
        <v>0</v>
      </c>
      <c r="AO145" s="290">
        <v>4147.9931454099997</v>
      </c>
      <c r="AP145" s="290">
        <v>0</v>
      </c>
      <c r="AQ145" s="290">
        <v>0</v>
      </c>
      <c r="AR145" s="290">
        <v>-378.37594491999999</v>
      </c>
      <c r="AS145" s="290">
        <v>14424</v>
      </c>
      <c r="AT145" s="290">
        <v>508</v>
      </c>
      <c r="AU145" s="290">
        <v>119</v>
      </c>
      <c r="AV145" s="766">
        <v>230087</v>
      </c>
      <c r="AW145" s="290">
        <v>0</v>
      </c>
      <c r="AX145" s="766">
        <v>73.250050000000002</v>
      </c>
      <c r="AY145" s="290">
        <v>1952</v>
      </c>
      <c r="AZ145" s="290">
        <v>372</v>
      </c>
      <c r="BA145" s="290">
        <v>175</v>
      </c>
      <c r="BB145" s="290">
        <v>0</v>
      </c>
      <c r="BC145" s="290">
        <v>3912</v>
      </c>
      <c r="BD145" s="290"/>
      <c r="BE145" s="290">
        <v>270646.90747118002</v>
      </c>
      <c r="BF145" s="290">
        <v>0</v>
      </c>
      <c r="BG145" s="290">
        <v>0</v>
      </c>
      <c r="BH145" s="290">
        <v>-1541</v>
      </c>
      <c r="BI145" s="290">
        <v>4177</v>
      </c>
      <c r="BJ145" s="290">
        <v>1196.7359567119042</v>
      </c>
      <c r="BK145" s="290">
        <v>15</v>
      </c>
      <c r="BL145" s="290"/>
      <c r="BM145" s="290">
        <v>0</v>
      </c>
      <c r="BN145" s="290">
        <v>2074</v>
      </c>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f>+innut23!E151+innut23!S151</f>
        <v>292824.3839356582</v>
      </c>
      <c r="CL145" s="290"/>
      <c r="CM145" s="290">
        <v>0</v>
      </c>
      <c r="CN145" s="290">
        <v>0</v>
      </c>
      <c r="CO145" s="290"/>
      <c r="CP145" s="290"/>
      <c r="CQ145" s="290"/>
      <c r="CX145" s="517">
        <f t="shared" si="5"/>
        <v>0</v>
      </c>
      <c r="DB145" s="85">
        <f t="shared" si="6"/>
        <v>1.69</v>
      </c>
    </row>
    <row r="146" spans="1:106" ht="13">
      <c r="A146" s="1">
        <v>3401</v>
      </c>
      <c r="B146" s="2" t="s">
        <v>824</v>
      </c>
      <c r="C146" s="289"/>
      <c r="D146" s="290">
        <v>272</v>
      </c>
      <c r="E146" s="290">
        <v>580</v>
      </c>
      <c r="F146" s="290">
        <v>1941</v>
      </c>
      <c r="G146" s="290">
        <v>1416</v>
      </c>
      <c r="H146" s="290">
        <v>9771</v>
      </c>
      <c r="I146" s="290">
        <v>2950</v>
      </c>
      <c r="J146" s="290">
        <v>866</v>
      </c>
      <c r="K146" s="290">
        <v>168</v>
      </c>
      <c r="L146" s="290">
        <v>150</v>
      </c>
      <c r="M146" s="290">
        <v>2027</v>
      </c>
      <c r="N146" s="290">
        <v>649</v>
      </c>
      <c r="O146" s="290">
        <v>130</v>
      </c>
      <c r="P146" s="624">
        <v>97505.571333329994</v>
      </c>
      <c r="Q146" s="624">
        <v>34687.852666669998</v>
      </c>
      <c r="R146" s="624">
        <v>93</v>
      </c>
      <c r="S146" s="290"/>
      <c r="T146" s="290">
        <v>1869</v>
      </c>
      <c r="U146" s="958">
        <v>4.139931278312004E-3</v>
      </c>
      <c r="V146" s="290">
        <v>-7938.4167362600001</v>
      </c>
      <c r="W146" s="765">
        <v>0.59973151000000002</v>
      </c>
      <c r="X146" s="290">
        <v>2500</v>
      </c>
      <c r="Y146" s="290"/>
      <c r="Z146" s="290">
        <f>+innut23!E152</f>
        <v>561570.37326507852</v>
      </c>
      <c r="AA146" s="290">
        <v>0</v>
      </c>
      <c r="AB146" s="290">
        <v>567</v>
      </c>
      <c r="AC146" s="290">
        <v>2468</v>
      </c>
      <c r="AD146" s="290"/>
      <c r="AE146" s="290">
        <v>0</v>
      </c>
      <c r="AF146" s="290">
        <v>0</v>
      </c>
      <c r="AG146" s="290">
        <v>17964</v>
      </c>
      <c r="AH146" s="290">
        <v>2889</v>
      </c>
      <c r="AI146" s="290"/>
      <c r="AJ146" s="290"/>
      <c r="AK146" s="290">
        <v>0</v>
      </c>
      <c r="AL146" s="290">
        <v>0</v>
      </c>
      <c r="AM146" s="957">
        <v>0.52485943000000002</v>
      </c>
      <c r="AN146" s="290">
        <v>18712</v>
      </c>
      <c r="AO146" s="290">
        <v>8363.6722147199998</v>
      </c>
      <c r="AP146" s="290">
        <v>0</v>
      </c>
      <c r="AQ146" s="290">
        <v>0</v>
      </c>
      <c r="AR146" s="290">
        <v>-737.21751351</v>
      </c>
      <c r="AS146" s="290">
        <v>29144</v>
      </c>
      <c r="AT146" s="290">
        <v>1065</v>
      </c>
      <c r="AU146" s="290">
        <v>202</v>
      </c>
      <c r="AV146" s="766">
        <v>492459</v>
      </c>
      <c r="AW146" s="290">
        <v>0</v>
      </c>
      <c r="AX146" s="766">
        <v>115.79170000000001</v>
      </c>
      <c r="AY146" s="290">
        <v>3714</v>
      </c>
      <c r="AZ146" s="290">
        <v>786</v>
      </c>
      <c r="BA146" s="290">
        <v>436</v>
      </c>
      <c r="BB146" s="290">
        <v>0</v>
      </c>
      <c r="BC146" s="290">
        <v>8045</v>
      </c>
      <c r="BD146" s="290"/>
      <c r="BE146" s="290">
        <v>570272.09210930998</v>
      </c>
      <c r="BF146" s="290">
        <v>0</v>
      </c>
      <c r="BG146" s="290">
        <v>0</v>
      </c>
      <c r="BH146" s="290">
        <v>-3030</v>
      </c>
      <c r="BI146" s="290">
        <v>8987</v>
      </c>
      <c r="BJ146" s="290">
        <v>2094.2249437161422</v>
      </c>
      <c r="BK146" s="290">
        <v>34</v>
      </c>
      <c r="BL146" s="290"/>
      <c r="BM146" s="290">
        <v>0</v>
      </c>
      <c r="BN146" s="290">
        <v>3630</v>
      </c>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f>+innut23!E152+innut23!S152</f>
        <v>561570.37326507852</v>
      </c>
      <c r="CL146" s="290"/>
      <c r="CM146" s="290">
        <v>0</v>
      </c>
      <c r="CN146" s="290">
        <v>0</v>
      </c>
      <c r="CO146" s="290"/>
      <c r="CP146" s="290"/>
      <c r="CQ146" s="290"/>
      <c r="CX146" s="517">
        <f t="shared" si="5"/>
        <v>0</v>
      </c>
      <c r="DB146" s="85">
        <f t="shared" si="6"/>
        <v>3.2930000000000001</v>
      </c>
    </row>
    <row r="147" spans="1:106" ht="13">
      <c r="A147" s="1">
        <v>3403</v>
      </c>
      <c r="B147" s="2" t="s">
        <v>825</v>
      </c>
      <c r="C147" s="289"/>
      <c r="D147" s="290">
        <v>578</v>
      </c>
      <c r="E147" s="290">
        <v>1181</v>
      </c>
      <c r="F147" s="290">
        <v>3464</v>
      </c>
      <c r="G147" s="290">
        <v>2647</v>
      </c>
      <c r="H147" s="290">
        <v>17803</v>
      </c>
      <c r="I147" s="290">
        <v>4714</v>
      </c>
      <c r="J147" s="290">
        <v>1430</v>
      </c>
      <c r="K147" s="290">
        <v>410</v>
      </c>
      <c r="L147" s="290">
        <v>232</v>
      </c>
      <c r="M147" s="290">
        <v>3053</v>
      </c>
      <c r="N147" s="290">
        <v>1382</v>
      </c>
      <c r="O147" s="290">
        <v>272</v>
      </c>
      <c r="P147" s="624">
        <v>46921.048666670002</v>
      </c>
      <c r="Q147" s="624">
        <v>26210.008333329999</v>
      </c>
      <c r="R147" s="624">
        <v>119</v>
      </c>
      <c r="S147" s="290"/>
      <c r="T147" s="290">
        <v>3248</v>
      </c>
      <c r="U147" s="958">
        <v>2.5528762777850813E-3</v>
      </c>
      <c r="V147" s="290">
        <v>-7403.8553918999996</v>
      </c>
      <c r="W147" s="765">
        <v>0.53519592000000005</v>
      </c>
      <c r="X147" s="290">
        <v>975</v>
      </c>
      <c r="Y147" s="290"/>
      <c r="Z147" s="290">
        <f>+innut23!E153</f>
        <v>1101809.4693468702</v>
      </c>
      <c r="AA147" s="290">
        <v>0</v>
      </c>
      <c r="AB147" s="290">
        <v>736</v>
      </c>
      <c r="AC147" s="290">
        <v>7295</v>
      </c>
      <c r="AD147" s="290"/>
      <c r="AE147" s="290">
        <v>0</v>
      </c>
      <c r="AF147" s="290">
        <v>0</v>
      </c>
      <c r="AG147" s="290">
        <v>32227</v>
      </c>
      <c r="AH147" s="290">
        <v>5344</v>
      </c>
      <c r="AI147" s="290"/>
      <c r="AJ147" s="290"/>
      <c r="AK147" s="290">
        <v>0</v>
      </c>
      <c r="AL147" s="290">
        <v>0</v>
      </c>
      <c r="AM147" s="957">
        <v>0.83448876000000005</v>
      </c>
      <c r="AN147" s="290">
        <v>0</v>
      </c>
      <c r="AO147" s="290">
        <v>14377.988146309999</v>
      </c>
      <c r="AP147" s="290">
        <v>0</v>
      </c>
      <c r="AQ147" s="290">
        <v>0</v>
      </c>
      <c r="AR147" s="290">
        <v>-1322.5511471899999</v>
      </c>
      <c r="AS147" s="290">
        <v>49608</v>
      </c>
      <c r="AT147" s="290">
        <v>1570</v>
      </c>
      <c r="AU147" s="290">
        <v>359</v>
      </c>
      <c r="AV147" s="766">
        <v>781842</v>
      </c>
      <c r="AW147" s="290">
        <v>0</v>
      </c>
      <c r="AX147" s="766">
        <v>232.79169999999999</v>
      </c>
      <c r="AY147" s="290">
        <v>10617</v>
      </c>
      <c r="AZ147" s="290">
        <v>1516</v>
      </c>
      <c r="BA147" s="290">
        <v>594</v>
      </c>
      <c r="BB147" s="290">
        <v>0</v>
      </c>
      <c r="BC147" s="290">
        <v>16225</v>
      </c>
      <c r="BD147" s="290"/>
      <c r="BE147" s="290">
        <v>907733.98925442004</v>
      </c>
      <c r="BF147" s="290">
        <v>0</v>
      </c>
      <c r="BG147" s="290">
        <v>0</v>
      </c>
      <c r="BH147" s="290">
        <v>-5368</v>
      </c>
      <c r="BI147" s="290">
        <v>18861</v>
      </c>
      <c r="BJ147" s="290">
        <v>3619.5074996235585</v>
      </c>
      <c r="BK147" s="290">
        <v>59</v>
      </c>
      <c r="BL147" s="290"/>
      <c r="BM147" s="290">
        <v>0</v>
      </c>
      <c r="BN147" s="290">
        <v>6222</v>
      </c>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f>+innut23!E153+innut23!S153</f>
        <v>1101809.4693468702</v>
      </c>
      <c r="CL147" s="290"/>
      <c r="CM147" s="290">
        <v>0</v>
      </c>
      <c r="CN147" s="290">
        <v>0</v>
      </c>
      <c r="CO147" s="290"/>
      <c r="CP147" s="290"/>
      <c r="CQ147" s="290"/>
      <c r="CX147" s="517">
        <f t="shared" si="5"/>
        <v>0</v>
      </c>
      <c r="DB147" s="85">
        <f t="shared" si="6"/>
        <v>5.907</v>
      </c>
    </row>
    <row r="148" spans="1:106" ht="13">
      <c r="A148" s="1">
        <v>3405</v>
      </c>
      <c r="B148" s="2" t="s">
        <v>845</v>
      </c>
      <c r="C148" s="289"/>
      <c r="D148" s="290">
        <v>489</v>
      </c>
      <c r="E148" s="290">
        <v>1087</v>
      </c>
      <c r="F148" s="290">
        <v>3031</v>
      </c>
      <c r="G148" s="290">
        <v>2628</v>
      </c>
      <c r="H148" s="290">
        <v>15699</v>
      </c>
      <c r="I148" s="290">
        <v>3809</v>
      </c>
      <c r="J148" s="290">
        <v>1311</v>
      </c>
      <c r="K148" s="290">
        <v>311</v>
      </c>
      <c r="L148" s="290">
        <v>203</v>
      </c>
      <c r="M148" s="290">
        <v>2484</v>
      </c>
      <c r="N148" s="290">
        <v>1040</v>
      </c>
      <c r="O148" s="290">
        <v>230</v>
      </c>
      <c r="P148" s="624">
        <v>82548.92</v>
      </c>
      <c r="Q148" s="624">
        <v>42219.873333329997</v>
      </c>
      <c r="R148" s="624">
        <v>117</v>
      </c>
      <c r="S148" s="290"/>
      <c r="T148" s="290">
        <v>2500</v>
      </c>
      <c r="U148" s="958">
        <v>3.3843998858036893E-3</v>
      </c>
      <c r="V148" s="290">
        <v>-5274.7156084899998</v>
      </c>
      <c r="W148" s="765">
        <v>0.55628624000000004</v>
      </c>
      <c r="X148" s="290">
        <v>200</v>
      </c>
      <c r="Y148" s="290"/>
      <c r="Z148" s="290">
        <f>+innut23!E154</f>
        <v>972885.03667477251</v>
      </c>
      <c r="AA148" s="290">
        <v>0</v>
      </c>
      <c r="AB148" s="290">
        <v>581</v>
      </c>
      <c r="AC148" s="290">
        <v>4804</v>
      </c>
      <c r="AD148" s="290"/>
      <c r="AE148" s="290">
        <v>0</v>
      </c>
      <c r="AF148" s="290">
        <v>0</v>
      </c>
      <c r="AG148" s="290">
        <v>28365</v>
      </c>
      <c r="AH148" s="290">
        <v>4738</v>
      </c>
      <c r="AI148" s="290"/>
      <c r="AJ148" s="290"/>
      <c r="AK148" s="290">
        <v>0</v>
      </c>
      <c r="AL148" s="290">
        <v>0</v>
      </c>
      <c r="AM148" s="957">
        <v>0.43267794999999998</v>
      </c>
      <c r="AN148" s="290">
        <v>0</v>
      </c>
      <c r="AO148" s="290">
        <v>12606.50634226</v>
      </c>
      <c r="AP148" s="290">
        <v>0</v>
      </c>
      <c r="AQ148" s="290">
        <v>0</v>
      </c>
      <c r="AR148" s="290">
        <v>-1164.0600518199999</v>
      </c>
      <c r="AS148" s="290">
        <v>42207</v>
      </c>
      <c r="AT148" s="290">
        <v>1176</v>
      </c>
      <c r="AU148" s="290">
        <v>253</v>
      </c>
      <c r="AV148" s="766">
        <v>685413</v>
      </c>
      <c r="AW148" s="290">
        <v>0</v>
      </c>
      <c r="AX148" s="766">
        <v>199.37504999999999</v>
      </c>
      <c r="AY148" s="290">
        <v>9871</v>
      </c>
      <c r="AZ148" s="290">
        <v>1175</v>
      </c>
      <c r="BA148" s="290">
        <v>441</v>
      </c>
      <c r="BB148" s="290">
        <v>0</v>
      </c>
      <c r="BC148" s="290">
        <v>13006</v>
      </c>
      <c r="BD148" s="290"/>
      <c r="BE148" s="290">
        <v>790867.81891412998</v>
      </c>
      <c r="BF148" s="290">
        <v>0</v>
      </c>
      <c r="BG148" s="290">
        <v>0</v>
      </c>
      <c r="BH148" s="290">
        <v>-4782</v>
      </c>
      <c r="BI148" s="290">
        <v>14727</v>
      </c>
      <c r="BJ148" s="290">
        <v>3214.4763725167145</v>
      </c>
      <c r="BK148" s="290">
        <v>46</v>
      </c>
      <c r="BL148" s="290"/>
      <c r="BM148" s="290">
        <v>0</v>
      </c>
      <c r="BN148" s="290">
        <v>5185</v>
      </c>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f>+innut23!E154+innut23!S154</f>
        <v>972885.03667477251</v>
      </c>
      <c r="CL148" s="290"/>
      <c r="CM148" s="290">
        <v>0</v>
      </c>
      <c r="CN148" s="290">
        <v>0</v>
      </c>
      <c r="CO148" s="290"/>
      <c r="CP148" s="290"/>
      <c r="CQ148" s="290"/>
      <c r="CX148" s="517">
        <f t="shared" si="5"/>
        <v>0</v>
      </c>
      <c r="DB148" s="85">
        <f t="shared" si="6"/>
        <v>5.1989999999999998</v>
      </c>
    </row>
    <row r="149" spans="1:106" ht="13">
      <c r="A149" s="1">
        <v>3407</v>
      </c>
      <c r="B149" s="2" t="s">
        <v>846</v>
      </c>
      <c r="C149" s="289"/>
      <c r="D149" s="290">
        <v>499</v>
      </c>
      <c r="E149" s="290">
        <v>1078</v>
      </c>
      <c r="F149" s="290">
        <v>3326</v>
      </c>
      <c r="G149" s="290">
        <v>2680</v>
      </c>
      <c r="H149" s="290">
        <v>17047</v>
      </c>
      <c r="I149" s="290">
        <v>4099</v>
      </c>
      <c r="J149" s="290">
        <v>1272</v>
      </c>
      <c r="K149" s="290">
        <v>301</v>
      </c>
      <c r="L149" s="290">
        <v>258</v>
      </c>
      <c r="M149" s="290">
        <v>2575</v>
      </c>
      <c r="N149" s="290">
        <v>1443</v>
      </c>
      <c r="O149" s="290">
        <v>263</v>
      </c>
      <c r="P149" s="624">
        <v>105986.682</v>
      </c>
      <c r="Q149" s="624">
        <v>48540.83633333</v>
      </c>
      <c r="R149" s="624">
        <v>122</v>
      </c>
      <c r="S149" s="290"/>
      <c r="T149" s="290">
        <v>2897</v>
      </c>
      <c r="U149" s="958">
        <v>6.2001050745191279E-3</v>
      </c>
      <c r="V149" s="290">
        <v>-6083.7418912100002</v>
      </c>
      <c r="W149" s="765">
        <v>0.57264873999999999</v>
      </c>
      <c r="X149" s="290">
        <v>1750</v>
      </c>
      <c r="Y149" s="290"/>
      <c r="Z149" s="290">
        <f>+innut23!E155</f>
        <v>936770.61680744565</v>
      </c>
      <c r="AA149" s="290">
        <v>0</v>
      </c>
      <c r="AB149" s="290">
        <v>902</v>
      </c>
      <c r="AC149" s="290">
        <v>7635</v>
      </c>
      <c r="AD149" s="290"/>
      <c r="AE149" s="290">
        <v>0</v>
      </c>
      <c r="AF149" s="290">
        <v>0</v>
      </c>
      <c r="AG149" s="290">
        <v>30302</v>
      </c>
      <c r="AH149" s="290">
        <v>5028</v>
      </c>
      <c r="AI149" s="290"/>
      <c r="AJ149" s="290"/>
      <c r="AK149" s="290">
        <v>0</v>
      </c>
      <c r="AL149" s="290">
        <v>0</v>
      </c>
      <c r="AM149" s="957">
        <v>0.87259346999999998</v>
      </c>
      <c r="AN149" s="290">
        <v>0</v>
      </c>
      <c r="AO149" s="290">
        <v>13467.853762180001</v>
      </c>
      <c r="AP149" s="290">
        <v>0</v>
      </c>
      <c r="AQ149" s="290">
        <v>0</v>
      </c>
      <c r="AR149" s="290">
        <v>-1243.5518311400001</v>
      </c>
      <c r="AS149" s="290">
        <v>48644</v>
      </c>
      <c r="AT149" s="290">
        <v>1599</v>
      </c>
      <c r="AU149" s="290">
        <v>362</v>
      </c>
      <c r="AV149" s="766">
        <v>731291</v>
      </c>
      <c r="AW149" s="290">
        <v>0</v>
      </c>
      <c r="AX149" s="766">
        <v>186.75004999999999</v>
      </c>
      <c r="AY149" s="290">
        <v>7854</v>
      </c>
      <c r="AZ149" s="290">
        <v>1381</v>
      </c>
      <c r="BA149" s="290">
        <v>579</v>
      </c>
      <c r="BB149" s="290">
        <v>0</v>
      </c>
      <c r="BC149" s="290">
        <v>17306</v>
      </c>
      <c r="BD149" s="290"/>
      <c r="BE149" s="290">
        <v>850217.57350353</v>
      </c>
      <c r="BF149" s="290">
        <v>0</v>
      </c>
      <c r="BG149" s="290">
        <v>0</v>
      </c>
      <c r="BH149" s="290">
        <v>-5117</v>
      </c>
      <c r="BI149" s="290">
        <v>19922</v>
      </c>
      <c r="BJ149" s="290">
        <v>3541.9128423635411</v>
      </c>
      <c r="BK149" s="290">
        <v>58</v>
      </c>
      <c r="BL149" s="290"/>
      <c r="BM149" s="290">
        <v>0</v>
      </c>
      <c r="BN149" s="290">
        <v>7259</v>
      </c>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f>+innut23!E155+innut23!S155</f>
        <v>936770.61680744565</v>
      </c>
      <c r="CL149" s="290"/>
      <c r="CM149" s="290">
        <v>0</v>
      </c>
      <c r="CN149" s="290">
        <v>0</v>
      </c>
      <c r="CO149" s="290"/>
      <c r="CP149" s="290"/>
      <c r="CQ149" s="290"/>
      <c r="CX149" s="517">
        <f t="shared" si="5"/>
        <v>0</v>
      </c>
      <c r="DB149" s="85">
        <f t="shared" si="6"/>
        <v>5.5540000000000003</v>
      </c>
    </row>
    <row r="150" spans="1:106" ht="13">
      <c r="A150" s="1">
        <v>3411</v>
      </c>
      <c r="B150" s="2" t="s">
        <v>826</v>
      </c>
      <c r="C150" s="289"/>
      <c r="D150" s="290">
        <v>648</v>
      </c>
      <c r="E150" s="290">
        <v>1413</v>
      </c>
      <c r="F150" s="290">
        <v>3944</v>
      </c>
      <c r="G150" s="290">
        <v>2818</v>
      </c>
      <c r="H150" s="290">
        <v>20105</v>
      </c>
      <c r="I150" s="290">
        <v>4678</v>
      </c>
      <c r="J150" s="290">
        <v>1423</v>
      </c>
      <c r="K150" s="290">
        <v>301</v>
      </c>
      <c r="L150" s="290">
        <v>301</v>
      </c>
      <c r="M150" s="290">
        <v>2760</v>
      </c>
      <c r="N150" s="290">
        <v>661</v>
      </c>
      <c r="O150" s="290">
        <v>263</v>
      </c>
      <c r="P150" s="624">
        <v>170172.77333333</v>
      </c>
      <c r="Q150" s="624">
        <v>63479.972333329999</v>
      </c>
      <c r="R150" s="624">
        <v>146</v>
      </c>
      <c r="S150" s="290"/>
      <c r="T150" s="290">
        <v>3146</v>
      </c>
      <c r="U150" s="958">
        <v>1.1473096197772831E-2</v>
      </c>
      <c r="V150" s="290">
        <v>11062.2995022</v>
      </c>
      <c r="W150" s="765">
        <v>0.58864158</v>
      </c>
      <c r="X150" s="290">
        <v>0</v>
      </c>
      <c r="Y150" s="290"/>
      <c r="Z150" s="290">
        <f>+innut23!E156</f>
        <v>1041131.58297166</v>
      </c>
      <c r="AA150" s="290">
        <v>0</v>
      </c>
      <c r="AB150" s="290">
        <v>949</v>
      </c>
      <c r="AC150" s="290">
        <v>5708</v>
      </c>
      <c r="AD150" s="290"/>
      <c r="AE150" s="290">
        <v>0</v>
      </c>
      <c r="AF150" s="290">
        <v>0</v>
      </c>
      <c r="AG150" s="290">
        <v>35330</v>
      </c>
      <c r="AH150" s="290">
        <v>6064</v>
      </c>
      <c r="AI150" s="290"/>
      <c r="AJ150" s="290"/>
      <c r="AK150" s="290">
        <v>0</v>
      </c>
      <c r="AL150" s="290">
        <v>0</v>
      </c>
      <c r="AM150" s="957">
        <v>0.77605210999999996</v>
      </c>
      <c r="AN150" s="290">
        <v>0</v>
      </c>
      <c r="AO150" s="290">
        <v>15632.011323750001</v>
      </c>
      <c r="AP150" s="290">
        <v>0</v>
      </c>
      <c r="AQ150" s="290">
        <v>0</v>
      </c>
      <c r="AR150" s="290">
        <v>-1449.8939408000001</v>
      </c>
      <c r="AS150" s="290">
        <v>55796</v>
      </c>
      <c r="AT150" s="290">
        <v>1905</v>
      </c>
      <c r="AU150" s="290">
        <v>348</v>
      </c>
      <c r="AV150" s="766">
        <v>854271</v>
      </c>
      <c r="AW150" s="290">
        <v>0</v>
      </c>
      <c r="AX150" s="766">
        <v>269.95830000000001</v>
      </c>
      <c r="AY150" s="290">
        <v>7286</v>
      </c>
      <c r="AZ150" s="290">
        <v>1440</v>
      </c>
      <c r="BA150" s="290">
        <v>688</v>
      </c>
      <c r="BB150" s="290">
        <v>0</v>
      </c>
      <c r="BC150" s="290">
        <v>19888</v>
      </c>
      <c r="BD150" s="290"/>
      <c r="BE150" s="290">
        <v>996428.97060243995</v>
      </c>
      <c r="BF150" s="290">
        <v>0</v>
      </c>
      <c r="BG150" s="290">
        <v>0</v>
      </c>
      <c r="BH150" s="290">
        <v>-5913</v>
      </c>
      <c r="BI150" s="290">
        <v>22142</v>
      </c>
      <c r="BJ150" s="290">
        <v>4210.8450998818762</v>
      </c>
      <c r="BK150" s="290">
        <v>56</v>
      </c>
      <c r="BL150" s="290"/>
      <c r="BM150" s="290">
        <v>0</v>
      </c>
      <c r="BN150" s="290">
        <v>10370</v>
      </c>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f>+innut23!E156+innut23!S156</f>
        <v>1041131.58297166</v>
      </c>
      <c r="CL150" s="290"/>
      <c r="CM150" s="290">
        <v>0</v>
      </c>
      <c r="CN150" s="290">
        <v>0</v>
      </c>
      <c r="CO150" s="290"/>
      <c r="CP150" s="290"/>
      <c r="CQ150" s="290"/>
      <c r="CX150" s="517">
        <f t="shared" si="5"/>
        <v>0</v>
      </c>
      <c r="DB150" s="85">
        <f t="shared" si="6"/>
        <v>6.476</v>
      </c>
    </row>
    <row r="151" spans="1:106" ht="13">
      <c r="A151" s="1">
        <v>3412</v>
      </c>
      <c r="B151" s="2" t="s">
        <v>827</v>
      </c>
      <c r="C151" s="289"/>
      <c r="D151" s="290">
        <v>153</v>
      </c>
      <c r="E151" s="290">
        <v>306</v>
      </c>
      <c r="F151" s="290">
        <v>903</v>
      </c>
      <c r="G151" s="290">
        <v>590</v>
      </c>
      <c r="H151" s="290">
        <v>4345</v>
      </c>
      <c r="I151" s="290">
        <v>1134</v>
      </c>
      <c r="J151" s="290">
        <v>318</v>
      </c>
      <c r="K151" s="290">
        <v>54</v>
      </c>
      <c r="L151" s="290">
        <v>71</v>
      </c>
      <c r="M151" s="290">
        <v>682</v>
      </c>
      <c r="N151" s="290">
        <v>130</v>
      </c>
      <c r="O151" s="290">
        <v>82</v>
      </c>
      <c r="P151" s="624">
        <v>28704.116000000002</v>
      </c>
      <c r="Q151" s="624">
        <v>13393.92666667</v>
      </c>
      <c r="R151" s="624">
        <v>27</v>
      </c>
      <c r="S151" s="290"/>
      <c r="T151" s="290">
        <v>681</v>
      </c>
      <c r="U151" s="958">
        <v>2.9755609768997771E-3</v>
      </c>
      <c r="V151" s="290">
        <v>-2196.09486836</v>
      </c>
      <c r="W151" s="765">
        <v>0.58772714999999998</v>
      </c>
      <c r="X151" s="290">
        <v>0</v>
      </c>
      <c r="Y151" s="290"/>
      <c r="Z151" s="290">
        <f>+innut23!E157</f>
        <v>205331.29176276733</v>
      </c>
      <c r="AA151" s="290">
        <v>0</v>
      </c>
      <c r="AB151" s="290">
        <v>271</v>
      </c>
      <c r="AC151" s="290">
        <v>452</v>
      </c>
      <c r="AD151" s="290"/>
      <c r="AE151" s="290">
        <v>0</v>
      </c>
      <c r="AF151" s="290">
        <v>0</v>
      </c>
      <c r="AG151" s="290">
        <v>7803</v>
      </c>
      <c r="AH151" s="290">
        <v>1361</v>
      </c>
      <c r="AI151" s="290"/>
      <c r="AJ151" s="290"/>
      <c r="AK151" s="290">
        <v>0</v>
      </c>
      <c r="AL151" s="290">
        <v>0</v>
      </c>
      <c r="AM151" s="957">
        <v>0.18930699000000001</v>
      </c>
      <c r="AN151" s="290">
        <v>0</v>
      </c>
      <c r="AO151" s="290">
        <v>3545.1935158199999</v>
      </c>
      <c r="AP151" s="290">
        <v>0</v>
      </c>
      <c r="AQ151" s="290">
        <v>0</v>
      </c>
      <c r="AR151" s="290">
        <v>-320.22424059000002</v>
      </c>
      <c r="AS151" s="290">
        <v>12075</v>
      </c>
      <c r="AT151" s="290">
        <v>396</v>
      </c>
      <c r="AU151" s="290">
        <v>82</v>
      </c>
      <c r="AV151" s="766">
        <v>188144</v>
      </c>
      <c r="AW151" s="290">
        <v>0</v>
      </c>
      <c r="AX151" s="766">
        <v>66.875</v>
      </c>
      <c r="AY151" s="290">
        <v>1457</v>
      </c>
      <c r="AZ151" s="290">
        <v>347</v>
      </c>
      <c r="BA151" s="290">
        <v>156</v>
      </c>
      <c r="BB151" s="290">
        <v>0</v>
      </c>
      <c r="BC151" s="290">
        <v>4107</v>
      </c>
      <c r="BD151" s="290"/>
      <c r="BE151" s="290">
        <v>227947.45790022999</v>
      </c>
      <c r="BF151" s="290">
        <v>0</v>
      </c>
      <c r="BG151" s="290">
        <v>0</v>
      </c>
      <c r="BH151" s="290">
        <v>-1298</v>
      </c>
      <c r="BI151" s="290">
        <v>4406</v>
      </c>
      <c r="BJ151" s="290">
        <v>979.27023106515583</v>
      </c>
      <c r="BK151" s="290">
        <v>13</v>
      </c>
      <c r="BL151" s="290"/>
      <c r="BM151" s="290">
        <v>0</v>
      </c>
      <c r="BN151" s="290">
        <v>2593</v>
      </c>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f>+innut23!E157+innut23!S157</f>
        <v>205331.29176276733</v>
      </c>
      <c r="CL151" s="290"/>
      <c r="CM151" s="290">
        <v>0</v>
      </c>
      <c r="CN151" s="290">
        <v>0</v>
      </c>
      <c r="CO151" s="290"/>
      <c r="CP151" s="290"/>
      <c r="CQ151" s="290"/>
      <c r="CX151" s="517">
        <f t="shared" si="5"/>
        <v>0</v>
      </c>
      <c r="DB151" s="85">
        <f t="shared" si="6"/>
        <v>1.43</v>
      </c>
    </row>
    <row r="152" spans="1:106" ht="13">
      <c r="A152" s="1">
        <v>3413</v>
      </c>
      <c r="B152" s="4" t="s">
        <v>828</v>
      </c>
      <c r="C152" s="289"/>
      <c r="D152" s="290">
        <v>396</v>
      </c>
      <c r="E152" s="290">
        <v>923</v>
      </c>
      <c r="F152" s="290">
        <v>2501</v>
      </c>
      <c r="G152" s="290">
        <v>1638</v>
      </c>
      <c r="H152" s="290">
        <v>11838</v>
      </c>
      <c r="I152" s="290">
        <v>2926</v>
      </c>
      <c r="J152" s="290">
        <v>874</v>
      </c>
      <c r="K152" s="290">
        <v>201</v>
      </c>
      <c r="L152" s="290">
        <v>164</v>
      </c>
      <c r="M152" s="290">
        <v>1693</v>
      </c>
      <c r="N152" s="290">
        <v>610</v>
      </c>
      <c r="O152" s="290">
        <v>178</v>
      </c>
      <c r="P152" s="624">
        <v>83562.486666669996</v>
      </c>
      <c r="Q152" s="624">
        <v>34388.578999999998</v>
      </c>
      <c r="R152" s="624">
        <v>109</v>
      </c>
      <c r="S152" s="290"/>
      <c r="T152" s="290">
        <v>1946</v>
      </c>
      <c r="U152" s="958">
        <v>5.9192008446933408E-3</v>
      </c>
      <c r="V152" s="290">
        <v>-18533.715688730001</v>
      </c>
      <c r="W152" s="765">
        <v>0.58490602999999997</v>
      </c>
      <c r="X152" s="290">
        <v>0</v>
      </c>
      <c r="Y152" s="290"/>
      <c r="Z152" s="290">
        <f>+innut23!E158</f>
        <v>612719.17867647076</v>
      </c>
      <c r="AA152" s="290">
        <v>0</v>
      </c>
      <c r="AB152" s="290">
        <v>543</v>
      </c>
      <c r="AC152" s="290">
        <v>2133</v>
      </c>
      <c r="AD152" s="290"/>
      <c r="AE152" s="290">
        <v>0</v>
      </c>
      <c r="AF152" s="290">
        <v>0</v>
      </c>
      <c r="AG152" s="290">
        <v>21297</v>
      </c>
      <c r="AH152" s="290">
        <v>3802</v>
      </c>
      <c r="AI152" s="290"/>
      <c r="AJ152" s="290"/>
      <c r="AK152" s="290">
        <v>0</v>
      </c>
      <c r="AL152" s="290">
        <v>0</v>
      </c>
      <c r="AM152" s="957">
        <v>0.50229893999999997</v>
      </c>
      <c r="AN152" s="290">
        <v>0</v>
      </c>
      <c r="AO152" s="290">
        <v>9797.9202638499992</v>
      </c>
      <c r="AP152" s="290">
        <v>0</v>
      </c>
      <c r="AQ152" s="290">
        <v>0</v>
      </c>
      <c r="AR152" s="290">
        <v>-873.99918645000002</v>
      </c>
      <c r="AS152" s="290">
        <v>33399</v>
      </c>
      <c r="AT152" s="290">
        <v>996</v>
      </c>
      <c r="AU152" s="290">
        <v>220</v>
      </c>
      <c r="AV152" s="766">
        <v>538098</v>
      </c>
      <c r="AW152" s="290">
        <v>0</v>
      </c>
      <c r="AX152" s="766">
        <v>120.45835</v>
      </c>
      <c r="AY152" s="290">
        <v>5218</v>
      </c>
      <c r="AZ152" s="290">
        <v>1026</v>
      </c>
      <c r="BA152" s="290">
        <v>378</v>
      </c>
      <c r="BB152" s="290">
        <v>0</v>
      </c>
      <c r="BC152" s="290">
        <v>11633</v>
      </c>
      <c r="BD152" s="290"/>
      <c r="BE152" s="290">
        <v>627349.61798907002</v>
      </c>
      <c r="BF152" s="290">
        <v>0</v>
      </c>
      <c r="BG152" s="290">
        <v>0</v>
      </c>
      <c r="BH152" s="290">
        <v>-3558</v>
      </c>
      <c r="BI152" s="290">
        <v>12676</v>
      </c>
      <c r="BJ152" s="290">
        <v>2659.8703190667966</v>
      </c>
      <c r="BK152" s="290">
        <v>35</v>
      </c>
      <c r="BL152" s="290"/>
      <c r="BM152" s="290">
        <v>0</v>
      </c>
      <c r="BN152" s="290">
        <v>6741</v>
      </c>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f>+innut23!E158+innut23!S158</f>
        <v>612719.17867647076</v>
      </c>
      <c r="CL152" s="290"/>
      <c r="CM152" s="290">
        <v>0</v>
      </c>
      <c r="CN152" s="290">
        <v>0</v>
      </c>
      <c r="CO152" s="290"/>
      <c r="CP152" s="290"/>
      <c r="CQ152" s="290"/>
      <c r="CX152" s="517">
        <f t="shared" si="5"/>
        <v>0</v>
      </c>
      <c r="DB152" s="85">
        <f t="shared" si="6"/>
        <v>3.9039999999999999</v>
      </c>
    </row>
    <row r="153" spans="1:106" ht="13">
      <c r="A153" s="1">
        <v>3414</v>
      </c>
      <c r="B153" s="2" t="s">
        <v>829</v>
      </c>
      <c r="C153" s="289"/>
      <c r="D153" s="290">
        <v>61</v>
      </c>
      <c r="E153" s="290">
        <v>132</v>
      </c>
      <c r="F153" s="290">
        <v>471</v>
      </c>
      <c r="G153" s="290">
        <v>403</v>
      </c>
      <c r="H153" s="290">
        <v>2746</v>
      </c>
      <c r="I153" s="290">
        <v>889</v>
      </c>
      <c r="J153" s="290">
        <v>256</v>
      </c>
      <c r="K153" s="290">
        <v>61</v>
      </c>
      <c r="L153" s="290">
        <v>49</v>
      </c>
      <c r="M153" s="290">
        <v>552</v>
      </c>
      <c r="N153" s="290">
        <v>29</v>
      </c>
      <c r="O153" s="290">
        <v>9</v>
      </c>
      <c r="P153" s="624">
        <v>22432.328666670001</v>
      </c>
      <c r="Q153" s="624">
        <v>13995.315000000001</v>
      </c>
      <c r="R153" s="624">
        <v>32</v>
      </c>
      <c r="S153" s="290"/>
      <c r="T153" s="290">
        <v>510</v>
      </c>
      <c r="U153" s="958">
        <v>2.6300655532944779E-3</v>
      </c>
      <c r="V153" s="290">
        <v>1791.9076247600001</v>
      </c>
      <c r="W153" s="765">
        <v>0.69977431000000001</v>
      </c>
      <c r="X153" s="290">
        <v>2000</v>
      </c>
      <c r="Y153" s="290"/>
      <c r="Z153" s="290">
        <f>+innut23!E159</f>
        <v>128046.17336718134</v>
      </c>
      <c r="AA153" s="290">
        <v>0</v>
      </c>
      <c r="AB153" s="290">
        <v>173</v>
      </c>
      <c r="AC153" s="290">
        <v>115</v>
      </c>
      <c r="AD153" s="290"/>
      <c r="AE153" s="290">
        <v>0</v>
      </c>
      <c r="AF153" s="290">
        <v>0</v>
      </c>
      <c r="AG153" s="290">
        <v>5019</v>
      </c>
      <c r="AH153" s="290">
        <v>718</v>
      </c>
      <c r="AI153" s="290"/>
      <c r="AJ153" s="290"/>
      <c r="AK153" s="290">
        <v>0</v>
      </c>
      <c r="AL153" s="290">
        <v>0</v>
      </c>
      <c r="AM153" s="957">
        <v>0.11067455</v>
      </c>
      <c r="AN153" s="290">
        <v>6012</v>
      </c>
      <c r="AO153" s="290">
        <v>2346.0212798100001</v>
      </c>
      <c r="AP153" s="290">
        <v>0</v>
      </c>
      <c r="AQ153" s="290">
        <v>0</v>
      </c>
      <c r="AR153" s="290">
        <v>7627.0017039000004</v>
      </c>
      <c r="AS153" s="290">
        <v>7972</v>
      </c>
      <c r="AT153" s="290">
        <v>273</v>
      </c>
      <c r="AU153" s="290">
        <v>60</v>
      </c>
      <c r="AV153" s="766">
        <v>156276</v>
      </c>
      <c r="AW153" s="290">
        <v>0</v>
      </c>
      <c r="AX153" s="766">
        <v>26.541699999999999</v>
      </c>
      <c r="AY153" s="290">
        <v>769</v>
      </c>
      <c r="AZ153" s="290">
        <v>170</v>
      </c>
      <c r="BA153" s="290">
        <v>71</v>
      </c>
      <c r="BB153" s="290">
        <v>0</v>
      </c>
      <c r="BC153" s="290">
        <v>2291</v>
      </c>
      <c r="BD153" s="290"/>
      <c r="BE153" s="290">
        <v>166603.93809278001</v>
      </c>
      <c r="BF153" s="290">
        <v>0</v>
      </c>
      <c r="BG153" s="290">
        <v>0</v>
      </c>
      <c r="BH153" s="290">
        <v>-850</v>
      </c>
      <c r="BI153" s="290">
        <v>2389</v>
      </c>
      <c r="BJ153" s="290">
        <v>522.59891407246607</v>
      </c>
      <c r="BK153" s="290">
        <v>8</v>
      </c>
      <c r="BL153" s="290"/>
      <c r="BM153" s="290">
        <v>0</v>
      </c>
      <c r="BN153" s="290">
        <v>1556</v>
      </c>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f>+innut23!E159+innut23!S159</f>
        <v>128046.17336718134</v>
      </c>
      <c r="CL153" s="290"/>
      <c r="CM153" s="290">
        <v>0</v>
      </c>
      <c r="CN153" s="290">
        <v>0</v>
      </c>
      <c r="CO153" s="290"/>
      <c r="CP153" s="290"/>
      <c r="CQ153" s="290"/>
      <c r="CX153" s="517">
        <f t="shared" si="5"/>
        <v>0</v>
      </c>
      <c r="DB153" s="85">
        <f t="shared" si="6"/>
        <v>0.92</v>
      </c>
    </row>
    <row r="154" spans="1:106" ht="13">
      <c r="A154" s="1">
        <v>3415</v>
      </c>
      <c r="B154" s="2" t="s">
        <v>830</v>
      </c>
      <c r="C154" s="289"/>
      <c r="D154" s="290">
        <v>133</v>
      </c>
      <c r="E154" s="290">
        <v>296</v>
      </c>
      <c r="F154" s="290">
        <v>798</v>
      </c>
      <c r="G154" s="290">
        <v>584</v>
      </c>
      <c r="H154" s="290">
        <v>4633</v>
      </c>
      <c r="I154" s="290">
        <v>1170</v>
      </c>
      <c r="J154" s="290">
        <v>317</v>
      </c>
      <c r="K154" s="290">
        <v>79</v>
      </c>
      <c r="L154" s="290">
        <v>69</v>
      </c>
      <c r="M154" s="290">
        <v>692</v>
      </c>
      <c r="N154" s="290">
        <v>84</v>
      </c>
      <c r="O154" s="290">
        <v>65</v>
      </c>
      <c r="P154" s="624">
        <v>44927.311333329999</v>
      </c>
      <c r="Q154" s="624">
        <v>25116.538</v>
      </c>
      <c r="R154" s="624">
        <v>28</v>
      </c>
      <c r="S154" s="290"/>
      <c r="T154" s="290">
        <v>734</v>
      </c>
      <c r="U154" s="958">
        <v>3.5844488189498247E-3</v>
      </c>
      <c r="V154" s="290">
        <v>2730.19549951</v>
      </c>
      <c r="W154" s="765">
        <v>0.64169812000000004</v>
      </c>
      <c r="X154" s="290">
        <v>1000</v>
      </c>
      <c r="Y154" s="290"/>
      <c r="Z154" s="290">
        <f>+innut23!E160</f>
        <v>232755.67407903686</v>
      </c>
      <c r="AA154" s="290">
        <v>0</v>
      </c>
      <c r="AB154" s="290">
        <v>234</v>
      </c>
      <c r="AC154" s="290">
        <v>884</v>
      </c>
      <c r="AD154" s="290"/>
      <c r="AE154" s="290">
        <v>0</v>
      </c>
      <c r="AF154" s="290">
        <v>0</v>
      </c>
      <c r="AG154" s="290">
        <v>8010</v>
      </c>
      <c r="AH154" s="290">
        <v>1244</v>
      </c>
      <c r="AI154" s="290"/>
      <c r="AJ154" s="290"/>
      <c r="AK154" s="290">
        <v>0</v>
      </c>
      <c r="AL154" s="290">
        <v>0</v>
      </c>
      <c r="AM154" s="957">
        <v>0.15240313999999999</v>
      </c>
      <c r="AN154" s="290">
        <v>4458</v>
      </c>
      <c r="AO154" s="290">
        <v>3508.0814740199999</v>
      </c>
      <c r="AP154" s="290">
        <v>0</v>
      </c>
      <c r="AQ154" s="290">
        <v>0</v>
      </c>
      <c r="AR154" s="290">
        <v>1914.54732835</v>
      </c>
      <c r="AS154" s="290">
        <v>12636</v>
      </c>
      <c r="AT154" s="290">
        <v>479</v>
      </c>
      <c r="AU154" s="290">
        <v>77</v>
      </c>
      <c r="AV154" s="766">
        <v>196593</v>
      </c>
      <c r="AW154" s="290">
        <v>0</v>
      </c>
      <c r="AX154" s="766">
        <v>43.708300000000001</v>
      </c>
      <c r="AY154" s="290">
        <v>1406</v>
      </c>
      <c r="AZ154" s="290">
        <v>263</v>
      </c>
      <c r="BA154" s="290">
        <v>135</v>
      </c>
      <c r="BB154" s="290">
        <v>0</v>
      </c>
      <c r="BC154" s="290">
        <v>2344</v>
      </c>
      <c r="BD154" s="290"/>
      <c r="BE154" s="290">
        <v>224168.70655454</v>
      </c>
      <c r="BF154" s="290">
        <v>0</v>
      </c>
      <c r="BG154" s="290">
        <v>0</v>
      </c>
      <c r="BH154" s="290">
        <v>-1345</v>
      </c>
      <c r="BI154" s="290">
        <v>2647</v>
      </c>
      <c r="BJ154" s="290">
        <v>894.02712993170337</v>
      </c>
      <c r="BK154" s="290">
        <v>12</v>
      </c>
      <c r="BL154" s="290"/>
      <c r="BM154" s="290">
        <v>0</v>
      </c>
      <c r="BN154" s="290">
        <v>519</v>
      </c>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f>+innut23!E160+innut23!S160</f>
        <v>232755.67407903686</v>
      </c>
      <c r="CL154" s="290"/>
      <c r="CM154" s="290">
        <v>0</v>
      </c>
      <c r="CN154" s="290">
        <v>0</v>
      </c>
      <c r="CO154" s="290"/>
      <c r="CP154" s="290"/>
      <c r="CQ154" s="290"/>
      <c r="CX154" s="517">
        <f t="shared" si="5"/>
        <v>0</v>
      </c>
      <c r="DB154" s="85">
        <f t="shared" si="6"/>
        <v>1.468</v>
      </c>
    </row>
    <row r="155" spans="1:106" ht="13">
      <c r="A155" s="1">
        <v>3416</v>
      </c>
      <c r="B155" s="2" t="s">
        <v>831</v>
      </c>
      <c r="C155" s="289"/>
      <c r="D155" s="290">
        <v>95</v>
      </c>
      <c r="E155" s="290">
        <v>164</v>
      </c>
      <c r="F155" s="290">
        <v>541</v>
      </c>
      <c r="G155" s="290">
        <v>422</v>
      </c>
      <c r="H155" s="290">
        <v>3362</v>
      </c>
      <c r="I155" s="290">
        <v>1058</v>
      </c>
      <c r="J155" s="290">
        <v>303</v>
      </c>
      <c r="K155" s="290">
        <v>81</v>
      </c>
      <c r="L155" s="290">
        <v>53</v>
      </c>
      <c r="M155" s="290">
        <v>710</v>
      </c>
      <c r="N155" s="290">
        <v>101</v>
      </c>
      <c r="O155" s="290">
        <v>22</v>
      </c>
      <c r="P155" s="624">
        <v>34513.066666669998</v>
      </c>
      <c r="Q155" s="624">
        <v>12127.178</v>
      </c>
      <c r="R155" s="624">
        <v>55</v>
      </c>
      <c r="S155" s="290"/>
      <c r="T155" s="290">
        <v>666</v>
      </c>
      <c r="U155" s="958">
        <v>3.4935773590669696E-3</v>
      </c>
      <c r="V155" s="290">
        <v>-1419.6062306199999</v>
      </c>
      <c r="W155" s="765">
        <v>0.65420833</v>
      </c>
      <c r="X155" s="290">
        <v>2000</v>
      </c>
      <c r="Y155" s="290"/>
      <c r="Z155" s="290">
        <f>+innut23!E161</f>
        <v>152796.72912791092</v>
      </c>
      <c r="AA155" s="290">
        <v>0</v>
      </c>
      <c r="AB155" s="290">
        <v>247</v>
      </c>
      <c r="AC155" s="290">
        <v>687</v>
      </c>
      <c r="AD155" s="290"/>
      <c r="AE155" s="290">
        <v>0</v>
      </c>
      <c r="AF155" s="290">
        <v>0</v>
      </c>
      <c r="AG155" s="290">
        <v>6026</v>
      </c>
      <c r="AH155" s="290">
        <v>829</v>
      </c>
      <c r="AI155" s="290"/>
      <c r="AJ155" s="290"/>
      <c r="AK155" s="290">
        <v>0</v>
      </c>
      <c r="AL155" s="290">
        <v>0</v>
      </c>
      <c r="AM155" s="957">
        <v>0.19066130000000001</v>
      </c>
      <c r="AN155" s="290">
        <v>8756</v>
      </c>
      <c r="AO155" s="290">
        <v>2920.7453018199999</v>
      </c>
      <c r="AP155" s="290">
        <v>0</v>
      </c>
      <c r="AQ155" s="290">
        <v>0</v>
      </c>
      <c r="AR155" s="290">
        <v>7910.49535363</v>
      </c>
      <c r="AS155" s="290">
        <v>9722</v>
      </c>
      <c r="AT155" s="290">
        <v>379</v>
      </c>
      <c r="AU155" s="290">
        <v>64</v>
      </c>
      <c r="AV155" s="766">
        <v>197821</v>
      </c>
      <c r="AW155" s="290">
        <v>0</v>
      </c>
      <c r="AX155" s="766">
        <v>30.416699999999999</v>
      </c>
      <c r="AY155" s="290">
        <v>894</v>
      </c>
      <c r="AZ155" s="290">
        <v>286</v>
      </c>
      <c r="BA155" s="290">
        <v>108</v>
      </c>
      <c r="BB155" s="290">
        <v>0</v>
      </c>
      <c r="BC155" s="290">
        <v>2787</v>
      </c>
      <c r="BD155" s="290"/>
      <c r="BE155" s="290">
        <v>212387.30075167</v>
      </c>
      <c r="BF155" s="290">
        <v>0</v>
      </c>
      <c r="BG155" s="290">
        <v>0</v>
      </c>
      <c r="BH155" s="290">
        <v>-1023</v>
      </c>
      <c r="BI155" s="290">
        <v>3072</v>
      </c>
      <c r="BJ155" s="290">
        <v>600.30979137604618</v>
      </c>
      <c r="BK155" s="290">
        <v>11</v>
      </c>
      <c r="BL155" s="290"/>
      <c r="BM155" s="290">
        <v>0</v>
      </c>
      <c r="BN155" s="290">
        <v>1556</v>
      </c>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f>+innut23!E161+innut23!S161</f>
        <v>152796.72912791092</v>
      </c>
      <c r="CL155" s="290"/>
      <c r="CM155" s="290">
        <v>0</v>
      </c>
      <c r="CN155" s="290">
        <v>0</v>
      </c>
      <c r="CO155" s="290"/>
      <c r="CP155" s="290"/>
      <c r="CQ155" s="290"/>
      <c r="CX155" s="517">
        <f t="shared" si="5"/>
        <v>0</v>
      </c>
      <c r="DB155" s="85">
        <f t="shared" si="6"/>
        <v>1.105</v>
      </c>
    </row>
    <row r="156" spans="1:106" ht="13">
      <c r="A156" s="1">
        <v>3417</v>
      </c>
      <c r="B156" s="2" t="s">
        <v>832</v>
      </c>
      <c r="C156" s="289"/>
      <c r="D156" s="290">
        <v>59</v>
      </c>
      <c r="E156" s="290">
        <v>105</v>
      </c>
      <c r="F156" s="290">
        <v>354</v>
      </c>
      <c r="G156" s="290">
        <v>346</v>
      </c>
      <c r="H156" s="290">
        <v>2485</v>
      </c>
      <c r="I156" s="290">
        <v>851</v>
      </c>
      <c r="J156" s="290">
        <v>270</v>
      </c>
      <c r="K156" s="290">
        <v>80</v>
      </c>
      <c r="L156" s="290">
        <v>39</v>
      </c>
      <c r="M156" s="290">
        <v>573</v>
      </c>
      <c r="N156" s="290">
        <v>86</v>
      </c>
      <c r="O156" s="290">
        <v>40</v>
      </c>
      <c r="P156" s="624">
        <v>31366.911333330001</v>
      </c>
      <c r="Q156" s="624">
        <v>13648.177666670001</v>
      </c>
      <c r="R156" s="624">
        <v>22</v>
      </c>
      <c r="S156" s="290"/>
      <c r="T156" s="290">
        <v>499</v>
      </c>
      <c r="U156" s="958">
        <v>3.6664274813757226E-3</v>
      </c>
      <c r="V156" s="290">
        <v>2125.0679565999999</v>
      </c>
      <c r="W156" s="765">
        <v>0.70304292000000002</v>
      </c>
      <c r="X156" s="290">
        <v>1500</v>
      </c>
      <c r="Y156" s="290"/>
      <c r="Z156" s="290">
        <f>+innut23!E162</f>
        <v>134985.3788388363</v>
      </c>
      <c r="AA156" s="290">
        <v>0</v>
      </c>
      <c r="AB156" s="290">
        <v>155</v>
      </c>
      <c r="AC156" s="290">
        <v>128</v>
      </c>
      <c r="AD156" s="290"/>
      <c r="AE156" s="290">
        <v>0</v>
      </c>
      <c r="AF156" s="290">
        <v>0</v>
      </c>
      <c r="AG156" s="290">
        <v>4550</v>
      </c>
      <c r="AH156" s="290">
        <v>580</v>
      </c>
      <c r="AI156" s="290"/>
      <c r="AJ156" s="290"/>
      <c r="AK156" s="290">
        <v>0</v>
      </c>
      <c r="AL156" s="290">
        <v>0</v>
      </c>
      <c r="AM156" s="957">
        <v>0.16831429000000001</v>
      </c>
      <c r="AN156" s="290">
        <v>6935</v>
      </c>
      <c r="AO156" s="290">
        <v>2166.8063374600001</v>
      </c>
      <c r="AP156" s="290">
        <v>0</v>
      </c>
      <c r="AQ156" s="290">
        <v>0</v>
      </c>
      <c r="AR156" s="290">
        <v>10558.239372530001</v>
      </c>
      <c r="AS156" s="290">
        <v>9856</v>
      </c>
      <c r="AT156" s="290">
        <v>276</v>
      </c>
      <c r="AU156" s="290">
        <v>53</v>
      </c>
      <c r="AV156" s="766">
        <v>149002</v>
      </c>
      <c r="AW156" s="290">
        <v>0</v>
      </c>
      <c r="AX156" s="766">
        <v>28.208349999999999</v>
      </c>
      <c r="AY156" s="290">
        <v>754</v>
      </c>
      <c r="AZ156" s="290">
        <v>238</v>
      </c>
      <c r="BA156" s="290">
        <v>71</v>
      </c>
      <c r="BB156" s="290">
        <v>0</v>
      </c>
      <c r="BC156" s="290">
        <v>1152</v>
      </c>
      <c r="BD156" s="290"/>
      <c r="BE156" s="290">
        <v>157379.5837515</v>
      </c>
      <c r="BF156" s="290">
        <v>0</v>
      </c>
      <c r="BG156" s="290">
        <v>0</v>
      </c>
      <c r="BH156" s="290">
        <v>-767</v>
      </c>
      <c r="BI156" s="290">
        <v>1227</v>
      </c>
      <c r="BJ156" s="290">
        <v>423.48604406365348</v>
      </c>
      <c r="BK156" s="290">
        <v>8</v>
      </c>
      <c r="BL156" s="290"/>
      <c r="BM156" s="290">
        <v>0</v>
      </c>
      <c r="BN156" s="290">
        <v>519</v>
      </c>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f>+innut23!E162+innut23!S162</f>
        <v>134985.3788388363</v>
      </c>
      <c r="CL156" s="290"/>
      <c r="CM156" s="290">
        <v>0</v>
      </c>
      <c r="CN156" s="290">
        <v>0</v>
      </c>
      <c r="CO156" s="290"/>
      <c r="CP156" s="290"/>
      <c r="CQ156" s="290"/>
      <c r="CX156" s="517">
        <f t="shared" si="5"/>
        <v>0</v>
      </c>
      <c r="DB156" s="85">
        <f t="shared" si="6"/>
        <v>0.83399999999999996</v>
      </c>
    </row>
    <row r="157" spans="1:106" ht="13">
      <c r="A157" s="1">
        <v>3418</v>
      </c>
      <c r="B157" s="2" t="s">
        <v>833</v>
      </c>
      <c r="C157" s="289"/>
      <c r="D157" s="290">
        <v>95</v>
      </c>
      <c r="E157" s="290">
        <v>201</v>
      </c>
      <c r="F157" s="290">
        <v>663</v>
      </c>
      <c r="G157" s="290">
        <v>539</v>
      </c>
      <c r="H157" s="290">
        <v>3907</v>
      </c>
      <c r="I157" s="290">
        <v>1292</v>
      </c>
      <c r="J157" s="290">
        <v>419</v>
      </c>
      <c r="K157" s="290">
        <v>83</v>
      </c>
      <c r="L157" s="290">
        <v>72</v>
      </c>
      <c r="M157" s="290">
        <v>910</v>
      </c>
      <c r="N157" s="290">
        <v>81</v>
      </c>
      <c r="O157" s="290">
        <v>40</v>
      </c>
      <c r="P157" s="624">
        <v>35594.551666669999</v>
      </c>
      <c r="Q157" s="624">
        <v>25955.697333330001</v>
      </c>
      <c r="R157" s="624">
        <v>41</v>
      </c>
      <c r="S157" s="290"/>
      <c r="T157" s="290">
        <v>830</v>
      </c>
      <c r="U157" s="958">
        <v>5.9744615177401887E-3</v>
      </c>
      <c r="V157" s="290">
        <v>2200.4647395799998</v>
      </c>
      <c r="W157" s="765">
        <v>0.65809954000000004</v>
      </c>
      <c r="X157" s="290">
        <v>1500</v>
      </c>
      <c r="Y157" s="290"/>
      <c r="Z157" s="290">
        <f>+innut23!E163</f>
        <v>188997.24128043567</v>
      </c>
      <c r="AA157" s="290">
        <v>0</v>
      </c>
      <c r="AB157" s="290">
        <v>271</v>
      </c>
      <c r="AC157" s="290">
        <v>351</v>
      </c>
      <c r="AD157" s="290"/>
      <c r="AE157" s="290">
        <v>0</v>
      </c>
      <c r="AF157" s="290">
        <v>0</v>
      </c>
      <c r="AG157" s="290">
        <v>7199</v>
      </c>
      <c r="AH157" s="290">
        <v>1005</v>
      </c>
      <c r="AI157" s="290"/>
      <c r="AJ157" s="290"/>
      <c r="AK157" s="290">
        <v>0</v>
      </c>
      <c r="AL157" s="290">
        <v>0</v>
      </c>
      <c r="AM157" s="957">
        <v>0.18278038999999999</v>
      </c>
      <c r="AN157" s="290">
        <v>10203</v>
      </c>
      <c r="AO157" s="290">
        <v>3447.9946313800001</v>
      </c>
      <c r="AP157" s="290">
        <v>0</v>
      </c>
      <c r="AQ157" s="290">
        <v>0</v>
      </c>
      <c r="AR157" s="290">
        <v>9106.5213123100002</v>
      </c>
      <c r="AS157" s="290">
        <v>11353</v>
      </c>
      <c r="AT157" s="290">
        <v>445</v>
      </c>
      <c r="AU157" s="290">
        <v>59</v>
      </c>
      <c r="AV157" s="766">
        <v>233238</v>
      </c>
      <c r="AW157" s="290">
        <v>0</v>
      </c>
      <c r="AX157" s="766">
        <v>31.166650000000001</v>
      </c>
      <c r="AY157" s="290">
        <v>1228</v>
      </c>
      <c r="AZ157" s="290">
        <v>362</v>
      </c>
      <c r="BA157" s="290">
        <v>133</v>
      </c>
      <c r="BB157" s="290">
        <v>0</v>
      </c>
      <c r="BC157" s="290">
        <v>3228</v>
      </c>
      <c r="BD157" s="290"/>
      <c r="BE157" s="290">
        <v>250449.11416443999</v>
      </c>
      <c r="BF157" s="290">
        <v>0</v>
      </c>
      <c r="BG157" s="290">
        <v>0</v>
      </c>
      <c r="BH157" s="290">
        <v>-1218</v>
      </c>
      <c r="BI157" s="290">
        <v>3430</v>
      </c>
      <c r="BJ157" s="290">
        <v>746.49600532298359</v>
      </c>
      <c r="BK157" s="290">
        <v>13</v>
      </c>
      <c r="BL157" s="290"/>
      <c r="BM157" s="290">
        <v>0</v>
      </c>
      <c r="BN157" s="290">
        <v>2074</v>
      </c>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f>+innut23!E163+innut23!S163</f>
        <v>188997.24128043567</v>
      </c>
      <c r="CL157" s="290"/>
      <c r="CM157" s="290">
        <v>0</v>
      </c>
      <c r="CN157" s="290">
        <v>0</v>
      </c>
      <c r="CO157" s="290"/>
      <c r="CP157" s="290"/>
      <c r="CQ157" s="290"/>
      <c r="CX157" s="517">
        <f t="shared" si="5"/>
        <v>0</v>
      </c>
      <c r="DB157" s="85">
        <f t="shared" si="6"/>
        <v>1.32</v>
      </c>
    </row>
    <row r="158" spans="1:106" ht="13">
      <c r="A158" s="1">
        <v>3419</v>
      </c>
      <c r="B158" s="2" t="s">
        <v>799</v>
      </c>
      <c r="C158" s="289"/>
      <c r="D158" s="290">
        <v>42</v>
      </c>
      <c r="E158" s="290">
        <v>132</v>
      </c>
      <c r="F158" s="290">
        <v>345</v>
      </c>
      <c r="G158" s="290">
        <v>286</v>
      </c>
      <c r="H158" s="290">
        <v>2033</v>
      </c>
      <c r="I158" s="290">
        <v>682</v>
      </c>
      <c r="J158" s="290">
        <v>210</v>
      </c>
      <c r="K158" s="290">
        <v>36</v>
      </c>
      <c r="L158" s="290">
        <v>34</v>
      </c>
      <c r="M158" s="290">
        <v>418</v>
      </c>
      <c r="N158" s="290">
        <v>16</v>
      </c>
      <c r="O158" s="290">
        <v>34</v>
      </c>
      <c r="P158" s="624">
        <v>20705.153999999999</v>
      </c>
      <c r="Q158" s="624">
        <v>16648.376666669999</v>
      </c>
      <c r="R158" s="624">
        <v>19</v>
      </c>
      <c r="S158" s="290"/>
      <c r="T158" s="290">
        <v>403</v>
      </c>
      <c r="U158" s="958">
        <v>2.9596820329977477E-3</v>
      </c>
      <c r="V158" s="290">
        <v>2365.9079314999999</v>
      </c>
      <c r="W158" s="765">
        <v>0.71203159999999999</v>
      </c>
      <c r="X158" s="290">
        <v>1000</v>
      </c>
      <c r="Y158" s="290"/>
      <c r="Z158" s="290">
        <f>+innut23!E164</f>
        <v>95179.3295973575</v>
      </c>
      <c r="AA158" s="290">
        <v>0</v>
      </c>
      <c r="AB158" s="290">
        <v>121</v>
      </c>
      <c r="AC158" s="290">
        <v>1077</v>
      </c>
      <c r="AD158" s="290"/>
      <c r="AE158" s="290">
        <v>0</v>
      </c>
      <c r="AF158" s="290">
        <v>0</v>
      </c>
      <c r="AG158" s="290">
        <v>3766</v>
      </c>
      <c r="AH158" s="290">
        <v>553</v>
      </c>
      <c r="AI158" s="290"/>
      <c r="AJ158" s="290"/>
      <c r="AK158" s="290">
        <v>0</v>
      </c>
      <c r="AL158" s="290">
        <v>0</v>
      </c>
      <c r="AM158" s="957">
        <v>9.8738800000000002E-2</v>
      </c>
      <c r="AN158" s="290">
        <v>5769</v>
      </c>
      <c r="AO158" s="290">
        <v>1828.8762096400001</v>
      </c>
      <c r="AP158" s="290">
        <v>0</v>
      </c>
      <c r="AQ158" s="290">
        <v>0</v>
      </c>
      <c r="AR158" s="290">
        <v>-154.55138922</v>
      </c>
      <c r="AS158" s="290">
        <v>5705</v>
      </c>
      <c r="AT158" s="290">
        <v>179</v>
      </c>
      <c r="AU158" s="290">
        <v>39</v>
      </c>
      <c r="AV158" s="766">
        <v>120492</v>
      </c>
      <c r="AW158" s="290">
        <v>0</v>
      </c>
      <c r="AX158" s="766">
        <v>14.75005</v>
      </c>
      <c r="AY158" s="290">
        <v>583</v>
      </c>
      <c r="AZ158" s="290">
        <v>183</v>
      </c>
      <c r="BA158" s="290">
        <v>67</v>
      </c>
      <c r="BB158" s="290">
        <v>0</v>
      </c>
      <c r="BC158" s="290">
        <v>1749</v>
      </c>
      <c r="BD158" s="290"/>
      <c r="BE158" s="290">
        <v>136757.65800614</v>
      </c>
      <c r="BF158" s="290">
        <v>0</v>
      </c>
      <c r="BG158" s="290">
        <v>0</v>
      </c>
      <c r="BH158" s="290">
        <v>-608</v>
      </c>
      <c r="BI158" s="290">
        <v>2149</v>
      </c>
      <c r="BJ158" s="290">
        <v>410.15150364851081</v>
      </c>
      <c r="BK158" s="290">
        <v>6</v>
      </c>
      <c r="BL158" s="290"/>
      <c r="BM158" s="290">
        <v>0</v>
      </c>
      <c r="BN158" s="290">
        <v>519</v>
      </c>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f>+innut23!E164+innut23!S164</f>
        <v>95179.3295973575</v>
      </c>
      <c r="CL158" s="290"/>
      <c r="CM158" s="290">
        <v>0</v>
      </c>
      <c r="CN158" s="290">
        <v>0</v>
      </c>
      <c r="CO158" s="290"/>
      <c r="CP158" s="290"/>
      <c r="CQ158" s="290"/>
      <c r="CX158" s="517">
        <f t="shared" si="5"/>
        <v>0</v>
      </c>
      <c r="DB158" s="85">
        <f t="shared" si="6"/>
        <v>0.69</v>
      </c>
    </row>
    <row r="159" spans="1:106" ht="13">
      <c r="A159" s="1">
        <v>3420</v>
      </c>
      <c r="B159" s="2" t="s">
        <v>834</v>
      </c>
      <c r="C159" s="289"/>
      <c r="D159" s="290">
        <v>384</v>
      </c>
      <c r="E159" s="290">
        <v>842</v>
      </c>
      <c r="F159" s="290">
        <v>2419</v>
      </c>
      <c r="G159" s="290">
        <v>1898</v>
      </c>
      <c r="H159" s="290">
        <v>11887</v>
      </c>
      <c r="I159" s="290">
        <v>2992</v>
      </c>
      <c r="J159" s="290">
        <v>855</v>
      </c>
      <c r="K159" s="290">
        <v>207</v>
      </c>
      <c r="L159" s="290">
        <v>181</v>
      </c>
      <c r="M159" s="290">
        <v>1875</v>
      </c>
      <c r="N159" s="290">
        <v>742</v>
      </c>
      <c r="O159" s="290">
        <v>208</v>
      </c>
      <c r="P159" s="624">
        <v>75689.775333330006</v>
      </c>
      <c r="Q159" s="624">
        <v>43780.96866667</v>
      </c>
      <c r="R159" s="624">
        <v>65</v>
      </c>
      <c r="S159" s="290"/>
      <c r="T159" s="290">
        <v>2021</v>
      </c>
      <c r="U159" s="958">
        <v>4.009615430808861E-3</v>
      </c>
      <c r="V159" s="290">
        <v>12432.43910315</v>
      </c>
      <c r="W159" s="765">
        <v>0.57669559000000004</v>
      </c>
      <c r="X159" s="290">
        <v>1500</v>
      </c>
      <c r="Y159" s="290"/>
      <c r="Z159" s="290">
        <f>+innut23!E165</f>
        <v>628149.95123300783</v>
      </c>
      <c r="AA159" s="290">
        <v>0</v>
      </c>
      <c r="AB159" s="290">
        <v>572</v>
      </c>
      <c r="AC159" s="290">
        <v>3041</v>
      </c>
      <c r="AD159" s="290"/>
      <c r="AE159" s="290">
        <v>0</v>
      </c>
      <c r="AF159" s="290">
        <v>0</v>
      </c>
      <c r="AG159" s="290">
        <v>21484</v>
      </c>
      <c r="AH159" s="290">
        <v>3794</v>
      </c>
      <c r="AI159" s="290"/>
      <c r="AJ159" s="290"/>
      <c r="AK159" s="290">
        <v>0</v>
      </c>
      <c r="AL159" s="290">
        <v>0</v>
      </c>
      <c r="AM159" s="957">
        <v>0.55998484000000004</v>
      </c>
      <c r="AN159" s="290">
        <v>0</v>
      </c>
      <c r="AO159" s="290">
        <v>9610.42980618</v>
      </c>
      <c r="AP159" s="290">
        <v>0</v>
      </c>
      <c r="AQ159" s="290">
        <v>0</v>
      </c>
      <c r="AR159" s="290">
        <v>729.58584940000003</v>
      </c>
      <c r="AS159" s="290">
        <v>33991</v>
      </c>
      <c r="AT159" s="290">
        <v>1094</v>
      </c>
      <c r="AU159" s="290">
        <v>229</v>
      </c>
      <c r="AV159" s="766">
        <v>549470</v>
      </c>
      <c r="AW159" s="290">
        <v>0</v>
      </c>
      <c r="AX159" s="766">
        <v>151.79169999999999</v>
      </c>
      <c r="AY159" s="290">
        <v>5488</v>
      </c>
      <c r="AZ159" s="290">
        <v>1027</v>
      </c>
      <c r="BA159" s="290">
        <v>484</v>
      </c>
      <c r="BB159" s="290">
        <v>0</v>
      </c>
      <c r="BC159" s="290">
        <v>10308</v>
      </c>
      <c r="BD159" s="290"/>
      <c r="BE159" s="290">
        <v>625845.89464744006</v>
      </c>
      <c r="BF159" s="290">
        <v>0</v>
      </c>
      <c r="BG159" s="290">
        <v>0</v>
      </c>
      <c r="BH159" s="290">
        <v>-3599</v>
      </c>
      <c r="BI159" s="290">
        <v>11502</v>
      </c>
      <c r="BJ159" s="290">
        <v>2597.3561572608464</v>
      </c>
      <c r="BK159" s="290">
        <v>38</v>
      </c>
      <c r="BL159" s="290"/>
      <c r="BM159" s="290">
        <v>0</v>
      </c>
      <c r="BN159" s="290">
        <v>4667</v>
      </c>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f>+innut23!E165+innut23!S165</f>
        <v>628149.95123300783</v>
      </c>
      <c r="CL159" s="290"/>
      <c r="CM159" s="290">
        <v>0</v>
      </c>
      <c r="CN159" s="290">
        <v>0</v>
      </c>
      <c r="CO159" s="290"/>
      <c r="CP159" s="290"/>
      <c r="CQ159" s="290"/>
      <c r="CX159" s="517">
        <f t="shared" si="5"/>
        <v>0</v>
      </c>
      <c r="DB159" s="85">
        <f t="shared" si="6"/>
        <v>3.9380000000000002</v>
      </c>
    </row>
    <row r="160" spans="1:106" ht="13">
      <c r="A160" s="1">
        <v>3421</v>
      </c>
      <c r="B160" s="2" t="s">
        <v>835</v>
      </c>
      <c r="C160" s="289"/>
      <c r="D160" s="290">
        <v>99</v>
      </c>
      <c r="E160" s="290">
        <v>232</v>
      </c>
      <c r="F160" s="290">
        <v>631</v>
      </c>
      <c r="G160" s="290">
        <v>463</v>
      </c>
      <c r="H160" s="290">
        <v>3603</v>
      </c>
      <c r="I160" s="290">
        <v>1109</v>
      </c>
      <c r="J160" s="290">
        <v>359</v>
      </c>
      <c r="K160" s="290">
        <v>75</v>
      </c>
      <c r="L160" s="290">
        <v>55</v>
      </c>
      <c r="M160" s="290">
        <v>751</v>
      </c>
      <c r="N160" s="290">
        <v>78</v>
      </c>
      <c r="O160" s="290">
        <v>44</v>
      </c>
      <c r="P160" s="624">
        <v>75924.108333330005</v>
      </c>
      <c r="Q160" s="624">
        <v>29673.786</v>
      </c>
      <c r="R160" s="624">
        <v>35</v>
      </c>
      <c r="S160" s="290"/>
      <c r="T160" s="290">
        <v>667</v>
      </c>
      <c r="U160" s="958">
        <v>3.1566571166236823E-3</v>
      </c>
      <c r="V160" s="290">
        <v>2563.6546693999999</v>
      </c>
      <c r="W160" s="765">
        <v>0.82542121999999996</v>
      </c>
      <c r="X160" s="290">
        <v>1000</v>
      </c>
      <c r="Y160" s="290"/>
      <c r="Z160" s="290">
        <f>+innut23!E166</f>
        <v>199587.83084896306</v>
      </c>
      <c r="AA160" s="290">
        <v>0</v>
      </c>
      <c r="AB160" s="290">
        <v>133</v>
      </c>
      <c r="AC160" s="290">
        <v>856</v>
      </c>
      <c r="AD160" s="290"/>
      <c r="AE160" s="290">
        <v>0</v>
      </c>
      <c r="AF160" s="290">
        <v>0</v>
      </c>
      <c r="AG160" s="290">
        <v>6571</v>
      </c>
      <c r="AH160" s="290">
        <v>978</v>
      </c>
      <c r="AI160" s="290"/>
      <c r="AJ160" s="290"/>
      <c r="AK160" s="290">
        <v>0</v>
      </c>
      <c r="AL160" s="290">
        <v>0</v>
      </c>
      <c r="AM160" s="957">
        <v>0.26128968000000002</v>
      </c>
      <c r="AN160" s="290">
        <v>9457</v>
      </c>
      <c r="AO160" s="290">
        <v>3204.6425379799998</v>
      </c>
      <c r="AP160" s="290">
        <v>0</v>
      </c>
      <c r="AQ160" s="290">
        <v>0</v>
      </c>
      <c r="AR160" s="290">
        <v>4158.4340117700003</v>
      </c>
      <c r="AS160" s="290">
        <v>10810</v>
      </c>
      <c r="AT160" s="290">
        <v>319</v>
      </c>
      <c r="AU160" s="290">
        <v>128</v>
      </c>
      <c r="AV160" s="766">
        <v>217693</v>
      </c>
      <c r="AW160" s="290">
        <v>0</v>
      </c>
      <c r="AX160" s="766">
        <v>33.958300000000001</v>
      </c>
      <c r="AY160" s="290">
        <v>1226</v>
      </c>
      <c r="AZ160" s="290">
        <v>279</v>
      </c>
      <c r="BA160" s="290">
        <v>93</v>
      </c>
      <c r="BB160" s="290">
        <v>0</v>
      </c>
      <c r="BC160" s="290">
        <v>3563</v>
      </c>
      <c r="BD160" s="290"/>
      <c r="BE160" s="290">
        <v>237762.18991181999</v>
      </c>
      <c r="BF160" s="290">
        <v>0</v>
      </c>
      <c r="BG160" s="290">
        <v>0</v>
      </c>
      <c r="BH160" s="290">
        <v>-1115</v>
      </c>
      <c r="BI160" s="290">
        <v>3908</v>
      </c>
      <c r="BJ160" s="290">
        <v>749.12658263583046</v>
      </c>
      <c r="BK160" s="290">
        <v>11</v>
      </c>
      <c r="BL160" s="290"/>
      <c r="BM160" s="290">
        <v>0</v>
      </c>
      <c r="BN160" s="290">
        <v>2074</v>
      </c>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f>+innut23!E166+innut23!S166</f>
        <v>199587.83084896306</v>
      </c>
      <c r="CL160" s="290"/>
      <c r="CM160" s="290">
        <v>0</v>
      </c>
      <c r="CN160" s="290">
        <v>0</v>
      </c>
      <c r="CO160" s="290"/>
      <c r="CP160" s="290"/>
      <c r="CQ160" s="290"/>
      <c r="CX160" s="517">
        <f t="shared" si="5"/>
        <v>0</v>
      </c>
      <c r="DB160" s="85">
        <f t="shared" si="6"/>
        <v>1.204</v>
      </c>
    </row>
    <row r="161" spans="1:106" ht="13">
      <c r="A161" s="1">
        <v>3422</v>
      </c>
      <c r="B161" s="2" t="s">
        <v>836</v>
      </c>
      <c r="C161" s="289"/>
      <c r="D161" s="290">
        <v>56</v>
      </c>
      <c r="E161" s="290">
        <v>123</v>
      </c>
      <c r="F161" s="290">
        <v>415</v>
      </c>
      <c r="G161" s="290">
        <v>391</v>
      </c>
      <c r="H161" s="290">
        <v>2312</v>
      </c>
      <c r="I161" s="290">
        <v>632</v>
      </c>
      <c r="J161" s="290">
        <v>193</v>
      </c>
      <c r="K161" s="290">
        <v>42</v>
      </c>
      <c r="L161" s="290">
        <v>42</v>
      </c>
      <c r="M161" s="290">
        <v>447</v>
      </c>
      <c r="N161" s="290">
        <v>61</v>
      </c>
      <c r="O161" s="290">
        <v>13</v>
      </c>
      <c r="P161" s="624">
        <v>33093.39866667</v>
      </c>
      <c r="Q161" s="624">
        <v>11916.482</v>
      </c>
      <c r="R161" s="624">
        <v>20</v>
      </c>
      <c r="S161" s="290"/>
      <c r="T161" s="290">
        <v>443</v>
      </c>
      <c r="U161" s="958">
        <v>1.7026214567579792E-3</v>
      </c>
      <c r="V161" s="290">
        <v>-723.62174743000003</v>
      </c>
      <c r="W161" s="765">
        <v>0.79098407999999998</v>
      </c>
      <c r="X161" s="290">
        <v>2000</v>
      </c>
      <c r="Y161" s="290"/>
      <c r="Z161" s="290">
        <f>+innut23!E167</f>
        <v>119855.71810993973</v>
      </c>
      <c r="AA161" s="290">
        <v>0</v>
      </c>
      <c r="AB161" s="290">
        <v>110</v>
      </c>
      <c r="AC161" s="290">
        <v>1826</v>
      </c>
      <c r="AD161" s="290"/>
      <c r="AE161" s="290">
        <v>0</v>
      </c>
      <c r="AF161" s="290">
        <v>0</v>
      </c>
      <c r="AG161" s="290">
        <v>4164</v>
      </c>
      <c r="AH161" s="290">
        <v>622</v>
      </c>
      <c r="AI161" s="290"/>
      <c r="AJ161" s="290"/>
      <c r="AK161" s="290">
        <v>0</v>
      </c>
      <c r="AL161" s="290">
        <v>0</v>
      </c>
      <c r="AM161" s="957">
        <v>8.6949760000000001E-2</v>
      </c>
      <c r="AN161" s="290">
        <v>2601</v>
      </c>
      <c r="AO161" s="290">
        <v>1973.79309573</v>
      </c>
      <c r="AP161" s="290">
        <v>0</v>
      </c>
      <c r="AQ161" s="290">
        <v>0</v>
      </c>
      <c r="AR161" s="290">
        <v>19291.078222970002</v>
      </c>
      <c r="AS161" s="290">
        <v>6862</v>
      </c>
      <c r="AT161" s="290">
        <v>189</v>
      </c>
      <c r="AU161" s="290">
        <v>46</v>
      </c>
      <c r="AV161" s="766">
        <v>142460</v>
      </c>
      <c r="AW161" s="290">
        <v>0</v>
      </c>
      <c r="AX161" s="766">
        <v>22.791650000000001</v>
      </c>
      <c r="AY161" s="290">
        <v>839</v>
      </c>
      <c r="AZ161" s="290">
        <v>176</v>
      </c>
      <c r="BA161" s="290">
        <v>86</v>
      </c>
      <c r="BB161" s="290">
        <v>0</v>
      </c>
      <c r="BC161" s="290">
        <v>3421</v>
      </c>
      <c r="BD161" s="290"/>
      <c r="BE161" s="290">
        <v>139833.55880666</v>
      </c>
      <c r="BF161" s="290">
        <v>0</v>
      </c>
      <c r="BG161" s="290">
        <v>0</v>
      </c>
      <c r="BH161" s="290">
        <v>-714</v>
      </c>
      <c r="BI161" s="290">
        <v>4004</v>
      </c>
      <c r="BJ161" s="290">
        <v>474.89030034732622</v>
      </c>
      <c r="BK161" s="290">
        <v>7</v>
      </c>
      <c r="BL161" s="290"/>
      <c r="BM161" s="290">
        <v>0</v>
      </c>
      <c r="BN161" s="290">
        <v>1556</v>
      </c>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f>+innut23!E167+innut23!S167</f>
        <v>119855.71810993973</v>
      </c>
      <c r="CL161" s="290"/>
      <c r="CM161" s="290">
        <v>0</v>
      </c>
      <c r="CN161" s="290">
        <v>0</v>
      </c>
      <c r="CO161" s="290"/>
      <c r="CP161" s="290"/>
      <c r="CQ161" s="290"/>
      <c r="CX161" s="517">
        <f t="shared" si="5"/>
        <v>0</v>
      </c>
      <c r="DB161" s="85">
        <f t="shared" si="6"/>
        <v>0.76300000000000001</v>
      </c>
    </row>
    <row r="162" spans="1:106" ht="13">
      <c r="A162" s="1">
        <v>3423</v>
      </c>
      <c r="B162" s="2" t="s">
        <v>837</v>
      </c>
      <c r="C162" s="289"/>
      <c r="D162" s="290">
        <v>23</v>
      </c>
      <c r="E162" s="290">
        <v>64</v>
      </c>
      <c r="F162" s="290">
        <v>196</v>
      </c>
      <c r="G162" s="290">
        <v>135</v>
      </c>
      <c r="H162" s="290">
        <v>1282</v>
      </c>
      <c r="I162" s="290">
        <v>409</v>
      </c>
      <c r="J162" s="290">
        <v>182</v>
      </c>
      <c r="K162" s="290">
        <v>19</v>
      </c>
      <c r="L162" s="290">
        <v>23</v>
      </c>
      <c r="M162" s="290">
        <v>307</v>
      </c>
      <c r="N162" s="290">
        <v>41</v>
      </c>
      <c r="O162" s="290">
        <v>26</v>
      </c>
      <c r="P162" s="624">
        <v>31218.234333330001</v>
      </c>
      <c r="Q162" s="624">
        <v>8241.9903333300008</v>
      </c>
      <c r="R162" s="624">
        <v>12</v>
      </c>
      <c r="S162" s="290"/>
      <c r="T162" s="290">
        <v>305</v>
      </c>
      <c r="U162" s="958">
        <v>1.9294545457138336E-3</v>
      </c>
      <c r="V162" s="290">
        <v>1515.45319283</v>
      </c>
      <c r="W162" s="765">
        <v>1</v>
      </c>
      <c r="X162" s="290">
        <v>2500</v>
      </c>
      <c r="Y162" s="290"/>
      <c r="Z162" s="290">
        <f>+innut23!E168</f>
        <v>58933.389798056291</v>
      </c>
      <c r="AA162" s="290">
        <v>0</v>
      </c>
      <c r="AB162" s="290">
        <v>68</v>
      </c>
      <c r="AC162" s="290">
        <v>448</v>
      </c>
      <c r="AD162" s="290"/>
      <c r="AE162" s="290">
        <v>0</v>
      </c>
      <c r="AF162" s="290">
        <v>0</v>
      </c>
      <c r="AG162" s="290">
        <v>2310</v>
      </c>
      <c r="AH162" s="290">
        <v>289</v>
      </c>
      <c r="AI162" s="290"/>
      <c r="AJ162" s="290"/>
      <c r="AK162" s="290">
        <v>0</v>
      </c>
      <c r="AL162" s="290">
        <v>0</v>
      </c>
      <c r="AM162" s="957">
        <v>6.9561020000000001E-2</v>
      </c>
      <c r="AN162" s="290">
        <v>0</v>
      </c>
      <c r="AO162" s="290">
        <v>1258.81453932</v>
      </c>
      <c r="AP162" s="290">
        <v>0</v>
      </c>
      <c r="AQ162" s="290">
        <v>0</v>
      </c>
      <c r="AR162" s="290">
        <v>1448.6473382900001</v>
      </c>
      <c r="AS162" s="290">
        <v>3790</v>
      </c>
      <c r="AT162" s="290">
        <v>128</v>
      </c>
      <c r="AU162" s="290">
        <v>20</v>
      </c>
      <c r="AV162" s="766">
        <v>99802</v>
      </c>
      <c r="AW162" s="290">
        <v>0</v>
      </c>
      <c r="AX162" s="766">
        <v>14.625</v>
      </c>
      <c r="AY162" s="290">
        <v>473</v>
      </c>
      <c r="AZ162" s="290">
        <v>146</v>
      </c>
      <c r="BA162" s="290">
        <v>31</v>
      </c>
      <c r="BB162" s="290">
        <v>6257</v>
      </c>
      <c r="BC162" s="290">
        <v>2118</v>
      </c>
      <c r="BD162" s="290"/>
      <c r="BE162" s="290">
        <v>108742.17572344</v>
      </c>
      <c r="BF162" s="290">
        <v>0</v>
      </c>
      <c r="BG162" s="290">
        <v>0</v>
      </c>
      <c r="BH162" s="290">
        <v>-396</v>
      </c>
      <c r="BI162" s="290">
        <v>2293</v>
      </c>
      <c r="BJ162" s="290">
        <v>263.47601677498704</v>
      </c>
      <c r="BK162" s="290">
        <v>4</v>
      </c>
      <c r="BL162" s="290"/>
      <c r="BM162" s="290">
        <v>0</v>
      </c>
      <c r="BN162" s="290">
        <v>1556</v>
      </c>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f>+innut23!E168+innut23!S168</f>
        <v>58933.389798056291</v>
      </c>
      <c r="CL162" s="290"/>
      <c r="CM162" s="290">
        <v>0</v>
      </c>
      <c r="CN162" s="290">
        <v>0</v>
      </c>
      <c r="CO162" s="290"/>
      <c r="CP162" s="290"/>
      <c r="CQ162" s="290"/>
      <c r="CX162" s="517">
        <f t="shared" si="5"/>
        <v>0</v>
      </c>
      <c r="DB162" s="85">
        <f t="shared" si="6"/>
        <v>0.42299999999999999</v>
      </c>
    </row>
    <row r="163" spans="1:106" ht="13">
      <c r="A163" s="1">
        <v>3424</v>
      </c>
      <c r="B163" s="2" t="s">
        <v>838</v>
      </c>
      <c r="C163" s="289"/>
      <c r="D163" s="290">
        <v>15</v>
      </c>
      <c r="E163" s="290">
        <v>46</v>
      </c>
      <c r="F163" s="290">
        <v>155</v>
      </c>
      <c r="G163" s="290">
        <v>117</v>
      </c>
      <c r="H163" s="290">
        <v>905</v>
      </c>
      <c r="I163" s="290">
        <v>372</v>
      </c>
      <c r="J163" s="290">
        <v>104</v>
      </c>
      <c r="K163" s="290">
        <v>25</v>
      </c>
      <c r="L163" s="290">
        <v>15</v>
      </c>
      <c r="M163" s="290">
        <v>235</v>
      </c>
      <c r="N163" s="290">
        <v>24</v>
      </c>
      <c r="O163" s="290">
        <v>9</v>
      </c>
      <c r="P163" s="624">
        <v>23279.769333330001</v>
      </c>
      <c r="Q163" s="624">
        <v>10792.602999999999</v>
      </c>
      <c r="R163" s="624">
        <v>8</v>
      </c>
      <c r="S163" s="290"/>
      <c r="T163" s="290">
        <v>218</v>
      </c>
      <c r="U163" s="958">
        <v>2.5094755553858989E-3</v>
      </c>
      <c r="V163" s="290">
        <v>1261.76757475</v>
      </c>
      <c r="W163" s="765">
        <v>1</v>
      </c>
      <c r="X163" s="290">
        <v>0</v>
      </c>
      <c r="Y163" s="290"/>
      <c r="Z163" s="290">
        <f>+innut23!E169</f>
        <v>46710.892350868533</v>
      </c>
      <c r="AA163" s="290">
        <v>0</v>
      </c>
      <c r="AB163" s="290">
        <v>36</v>
      </c>
      <c r="AC163" s="290">
        <v>27</v>
      </c>
      <c r="AD163" s="290"/>
      <c r="AE163" s="290">
        <v>0</v>
      </c>
      <c r="AF163" s="290">
        <v>0</v>
      </c>
      <c r="AG163" s="290">
        <v>1739</v>
      </c>
      <c r="AH163" s="290">
        <v>226</v>
      </c>
      <c r="AI163" s="290"/>
      <c r="AJ163" s="290"/>
      <c r="AK163" s="290">
        <v>0</v>
      </c>
      <c r="AL163" s="290">
        <v>0</v>
      </c>
      <c r="AM163" s="957">
        <v>2.7872540000000001E-2</v>
      </c>
      <c r="AN163" s="290">
        <v>0</v>
      </c>
      <c r="AO163" s="290">
        <v>975.36200324000004</v>
      </c>
      <c r="AP163" s="290">
        <v>0</v>
      </c>
      <c r="AQ163" s="290">
        <v>0</v>
      </c>
      <c r="AR163" s="290">
        <v>3216.4327632200002</v>
      </c>
      <c r="AS163" s="290">
        <v>2742</v>
      </c>
      <c r="AT163" s="290">
        <v>95</v>
      </c>
      <c r="AU163" s="290">
        <v>10</v>
      </c>
      <c r="AV163" s="766">
        <v>81937</v>
      </c>
      <c r="AW163" s="290">
        <v>0</v>
      </c>
      <c r="AX163" s="766">
        <v>3.0832999999999999</v>
      </c>
      <c r="AY163" s="290">
        <v>305</v>
      </c>
      <c r="AZ163" s="290">
        <v>87</v>
      </c>
      <c r="BA163" s="290">
        <v>32</v>
      </c>
      <c r="BB163" s="290">
        <v>6257</v>
      </c>
      <c r="BC163" s="290">
        <v>1245</v>
      </c>
      <c r="BD163" s="290"/>
      <c r="BE163" s="290">
        <v>85097.549941520003</v>
      </c>
      <c r="BF163" s="290">
        <v>0</v>
      </c>
      <c r="BG163" s="290">
        <v>0</v>
      </c>
      <c r="BH163" s="290">
        <v>-292</v>
      </c>
      <c r="BI163" s="290">
        <v>1290</v>
      </c>
      <c r="BJ163" s="290">
        <v>214.78328304696876</v>
      </c>
      <c r="BK163" s="290">
        <v>3</v>
      </c>
      <c r="BL163" s="290"/>
      <c r="BM163" s="290">
        <v>0</v>
      </c>
      <c r="BN163" s="290">
        <v>1037</v>
      </c>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f>+innut23!E169+innut23!S169</f>
        <v>46710.892350868533</v>
      </c>
      <c r="CL163" s="290"/>
      <c r="CM163" s="290">
        <v>0</v>
      </c>
      <c r="CN163" s="290">
        <v>0</v>
      </c>
      <c r="CO163" s="290"/>
      <c r="CP163" s="290"/>
      <c r="CQ163" s="290"/>
      <c r="CX163" s="517">
        <f t="shared" si="5"/>
        <v>0</v>
      </c>
      <c r="DB163" s="85">
        <f t="shared" si="6"/>
        <v>0.31900000000000001</v>
      </c>
    </row>
    <row r="164" spans="1:106" ht="13">
      <c r="A164" s="1">
        <v>3425</v>
      </c>
      <c r="B164" s="2" t="s">
        <v>839</v>
      </c>
      <c r="C164" s="289"/>
      <c r="D164" s="290">
        <v>23</v>
      </c>
      <c r="E164" s="290">
        <v>40</v>
      </c>
      <c r="F164" s="290">
        <v>108</v>
      </c>
      <c r="G164" s="290">
        <v>105</v>
      </c>
      <c r="H164" s="290">
        <v>692</v>
      </c>
      <c r="I164" s="290">
        <v>247</v>
      </c>
      <c r="J164" s="290">
        <v>83</v>
      </c>
      <c r="K164" s="290">
        <v>22</v>
      </c>
      <c r="L164" s="290">
        <v>8</v>
      </c>
      <c r="M164" s="290">
        <v>155</v>
      </c>
      <c r="N164" s="290">
        <v>12</v>
      </c>
      <c r="O164" s="290">
        <v>10</v>
      </c>
      <c r="P164" s="624">
        <v>29024.742333329999</v>
      </c>
      <c r="Q164" s="624">
        <v>14510.138999999999</v>
      </c>
      <c r="R164" s="624">
        <v>5</v>
      </c>
      <c r="S164" s="290"/>
      <c r="T164" s="290">
        <v>101</v>
      </c>
      <c r="U164" s="958">
        <v>1.2599462220861629E-3</v>
      </c>
      <c r="V164" s="290">
        <v>1005.56533124</v>
      </c>
      <c r="W164" s="765">
        <v>1</v>
      </c>
      <c r="X164" s="290">
        <v>1500</v>
      </c>
      <c r="Y164" s="290"/>
      <c r="Z164" s="290">
        <f>+innut23!E170</f>
        <v>32395.648876633768</v>
      </c>
      <c r="AA164" s="290">
        <v>0</v>
      </c>
      <c r="AB164" s="290">
        <v>25</v>
      </c>
      <c r="AC164" s="290">
        <v>714</v>
      </c>
      <c r="AD164" s="290"/>
      <c r="AE164" s="290">
        <v>0</v>
      </c>
      <c r="AF164" s="290">
        <v>0</v>
      </c>
      <c r="AG164" s="290">
        <v>1320</v>
      </c>
      <c r="AH164" s="290">
        <v>183</v>
      </c>
      <c r="AI164" s="290"/>
      <c r="AJ164" s="290"/>
      <c r="AK164" s="290">
        <v>0</v>
      </c>
      <c r="AL164" s="290">
        <v>0</v>
      </c>
      <c r="AM164" s="957">
        <v>1.95018E-2</v>
      </c>
      <c r="AN164" s="290">
        <v>0</v>
      </c>
      <c r="AO164" s="290">
        <v>777.31448762000002</v>
      </c>
      <c r="AP164" s="290">
        <v>0</v>
      </c>
      <c r="AQ164" s="290">
        <v>0</v>
      </c>
      <c r="AR164" s="290">
        <v>346.74474667999999</v>
      </c>
      <c r="AS164" s="290">
        <v>1987</v>
      </c>
      <c r="AT164" s="290">
        <v>54</v>
      </c>
      <c r="AU164" s="290">
        <v>9</v>
      </c>
      <c r="AV164" s="766">
        <v>69624</v>
      </c>
      <c r="AW164" s="290">
        <v>0</v>
      </c>
      <c r="AX164" s="766">
        <v>10.708349999999999</v>
      </c>
      <c r="AY164" s="290">
        <v>223</v>
      </c>
      <c r="AZ164" s="290">
        <v>63</v>
      </c>
      <c r="BA164" s="290">
        <v>10</v>
      </c>
      <c r="BB164" s="290">
        <v>6257</v>
      </c>
      <c r="BC164" s="290">
        <v>1181</v>
      </c>
      <c r="BD164" s="290"/>
      <c r="BE164" s="290">
        <v>73268.860325179994</v>
      </c>
      <c r="BF164" s="290">
        <v>0</v>
      </c>
      <c r="BG164" s="290">
        <v>0</v>
      </c>
      <c r="BH164" s="290">
        <v>-214</v>
      </c>
      <c r="BI164" s="290">
        <v>1416</v>
      </c>
      <c r="BJ164" s="290">
        <v>176.48936123877277</v>
      </c>
      <c r="BK164" s="290">
        <v>2</v>
      </c>
      <c r="BL164" s="290"/>
      <c r="BM164" s="290">
        <v>0</v>
      </c>
      <c r="BN164" s="290">
        <v>519</v>
      </c>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f>+innut23!E170+innut23!S170</f>
        <v>32395.648876633768</v>
      </c>
      <c r="CL164" s="290"/>
      <c r="CM164" s="290">
        <v>0</v>
      </c>
      <c r="CN164" s="290">
        <v>0</v>
      </c>
      <c r="CO164" s="290"/>
      <c r="CP164" s="290"/>
      <c r="CQ164" s="290"/>
      <c r="CX164" s="517">
        <f t="shared" si="5"/>
        <v>0</v>
      </c>
      <c r="DB164" s="85">
        <f t="shared" si="6"/>
        <v>0.24199999999999999</v>
      </c>
    </row>
    <row r="165" spans="1:106" ht="13">
      <c r="A165" s="1">
        <v>3426</v>
      </c>
      <c r="B165" s="2" t="s">
        <v>840</v>
      </c>
      <c r="C165" s="289"/>
      <c r="D165" s="290">
        <v>30</v>
      </c>
      <c r="E165" s="290">
        <v>68</v>
      </c>
      <c r="F165" s="290">
        <v>191</v>
      </c>
      <c r="G165" s="290">
        <v>114</v>
      </c>
      <c r="H165" s="290">
        <v>815</v>
      </c>
      <c r="I165" s="290">
        <v>221</v>
      </c>
      <c r="J165" s="290">
        <v>78</v>
      </c>
      <c r="K165" s="290">
        <v>13</v>
      </c>
      <c r="L165" s="290">
        <v>15</v>
      </c>
      <c r="M165" s="290">
        <v>148</v>
      </c>
      <c r="N165" s="290">
        <v>65</v>
      </c>
      <c r="O165" s="290">
        <v>30</v>
      </c>
      <c r="P165" s="624">
        <v>10035.820666670001</v>
      </c>
      <c r="Q165" s="624">
        <v>4329.3923333299999</v>
      </c>
      <c r="R165" s="624">
        <v>3</v>
      </c>
      <c r="S165" s="290"/>
      <c r="T165" s="290">
        <v>137</v>
      </c>
      <c r="U165" s="958">
        <v>2.4120776195036653E-3</v>
      </c>
      <c r="V165" s="290">
        <v>1120.9499285700001</v>
      </c>
      <c r="W165" s="765">
        <v>0.86946962999999999</v>
      </c>
      <c r="X165" s="290">
        <v>1600</v>
      </c>
      <c r="Y165" s="290"/>
      <c r="Z165" s="290">
        <f>+innut23!E171</f>
        <v>36926.628432652695</v>
      </c>
      <c r="AA165" s="290">
        <v>0</v>
      </c>
      <c r="AB165" s="290">
        <v>18</v>
      </c>
      <c r="AC165" s="290">
        <v>96</v>
      </c>
      <c r="AD165" s="290"/>
      <c r="AE165" s="290">
        <v>0</v>
      </c>
      <c r="AF165" s="290">
        <v>0</v>
      </c>
      <c r="AG165" s="290">
        <v>1530</v>
      </c>
      <c r="AH165" s="290">
        <v>281</v>
      </c>
      <c r="AI165" s="290"/>
      <c r="AJ165" s="290"/>
      <c r="AK165" s="290">
        <v>0</v>
      </c>
      <c r="AL165" s="290">
        <v>0</v>
      </c>
      <c r="AM165" s="957">
        <v>2.0225300000000002E-2</v>
      </c>
      <c r="AN165" s="290">
        <v>0</v>
      </c>
      <c r="AO165" s="290">
        <v>866.50821414999996</v>
      </c>
      <c r="AP165" s="290">
        <v>0</v>
      </c>
      <c r="AQ165" s="290">
        <v>0</v>
      </c>
      <c r="AR165" s="290">
        <v>-62.789066779999999</v>
      </c>
      <c r="AS165" s="290">
        <v>2475</v>
      </c>
      <c r="AT165" s="290">
        <v>53</v>
      </c>
      <c r="AU165" s="290">
        <v>9</v>
      </c>
      <c r="AV165" s="766">
        <v>70548</v>
      </c>
      <c r="AW165" s="290">
        <v>0</v>
      </c>
      <c r="AX165" s="766">
        <v>13.583349999999999</v>
      </c>
      <c r="AY165" s="290">
        <v>408</v>
      </c>
      <c r="AZ165" s="290">
        <v>102</v>
      </c>
      <c r="BA165" s="290">
        <v>29</v>
      </c>
      <c r="BB165" s="290">
        <v>6257</v>
      </c>
      <c r="BC165" s="290">
        <v>1348</v>
      </c>
      <c r="BD165" s="290"/>
      <c r="BE165" s="290">
        <v>78685.638402290002</v>
      </c>
      <c r="BF165" s="290">
        <v>0</v>
      </c>
      <c r="BG165" s="290">
        <v>0</v>
      </c>
      <c r="BH165" s="290">
        <v>-263</v>
      </c>
      <c r="BI165" s="290">
        <v>1414</v>
      </c>
      <c r="BJ165" s="290">
        <v>239.09535684048657</v>
      </c>
      <c r="BK165" s="290">
        <v>2</v>
      </c>
      <c r="BL165" s="290"/>
      <c r="BM165" s="290">
        <v>0</v>
      </c>
      <c r="BN165" s="290">
        <v>1037</v>
      </c>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f>+innut23!E171+innut23!S171</f>
        <v>36926.628432652695</v>
      </c>
      <c r="CL165" s="290"/>
      <c r="CM165" s="290">
        <v>0</v>
      </c>
      <c r="CN165" s="290">
        <v>0</v>
      </c>
      <c r="CO165" s="290"/>
      <c r="CP165" s="290"/>
      <c r="CQ165" s="290"/>
      <c r="CX165" s="517">
        <f t="shared" si="5"/>
        <v>0</v>
      </c>
      <c r="DB165" s="85">
        <f t="shared" si="6"/>
        <v>0.28000000000000003</v>
      </c>
    </row>
    <row r="166" spans="1:106" ht="13">
      <c r="A166" s="1">
        <v>3427</v>
      </c>
      <c r="B166" s="2" t="s">
        <v>841</v>
      </c>
      <c r="C166" s="289"/>
      <c r="D166" s="290">
        <v>99</v>
      </c>
      <c r="E166" s="290">
        <v>204</v>
      </c>
      <c r="F166" s="290">
        <v>677</v>
      </c>
      <c r="G166" s="290">
        <v>514</v>
      </c>
      <c r="H166" s="290">
        <v>2996</v>
      </c>
      <c r="I166" s="290">
        <v>803</v>
      </c>
      <c r="J166" s="290">
        <v>260</v>
      </c>
      <c r="K166" s="290">
        <v>58</v>
      </c>
      <c r="L166" s="290">
        <v>46</v>
      </c>
      <c r="M166" s="290">
        <v>505</v>
      </c>
      <c r="N166" s="290">
        <v>128</v>
      </c>
      <c r="O166" s="290">
        <v>63</v>
      </c>
      <c r="P166" s="624">
        <v>48561.042000000001</v>
      </c>
      <c r="Q166" s="624">
        <v>14902.394666669999</v>
      </c>
      <c r="R166" s="624">
        <v>42</v>
      </c>
      <c r="S166" s="290"/>
      <c r="T166" s="290">
        <v>491</v>
      </c>
      <c r="U166" s="958">
        <v>4.9613101772069835E-3</v>
      </c>
      <c r="V166" s="290">
        <v>3633.9833631900001</v>
      </c>
      <c r="W166" s="765">
        <v>0.71440523</v>
      </c>
      <c r="X166" s="290">
        <v>0</v>
      </c>
      <c r="Y166" s="290"/>
      <c r="Z166" s="290">
        <f>+innut23!E172</f>
        <v>160604.92275564163</v>
      </c>
      <c r="AA166" s="290">
        <v>0</v>
      </c>
      <c r="AB166" s="290">
        <v>100</v>
      </c>
      <c r="AC166" s="290">
        <v>1151</v>
      </c>
      <c r="AD166" s="290"/>
      <c r="AE166" s="290">
        <v>0</v>
      </c>
      <c r="AF166" s="290">
        <v>0</v>
      </c>
      <c r="AG166" s="290">
        <v>5611</v>
      </c>
      <c r="AH166" s="290">
        <v>1021</v>
      </c>
      <c r="AI166" s="290"/>
      <c r="AJ166" s="290"/>
      <c r="AK166" s="290">
        <v>0</v>
      </c>
      <c r="AL166" s="290">
        <v>0</v>
      </c>
      <c r="AM166" s="957">
        <v>5.1971969999999999E-2</v>
      </c>
      <c r="AN166" s="290">
        <v>6567</v>
      </c>
      <c r="AO166" s="290">
        <v>2809.1142646200001</v>
      </c>
      <c r="AP166" s="290">
        <v>0</v>
      </c>
      <c r="AQ166" s="290">
        <v>0</v>
      </c>
      <c r="AR166" s="290">
        <v>-230.26761680999999</v>
      </c>
      <c r="AS166" s="290">
        <v>8838</v>
      </c>
      <c r="AT166" s="290">
        <v>200</v>
      </c>
      <c r="AU166" s="290">
        <v>38</v>
      </c>
      <c r="AV166" s="766">
        <v>184587</v>
      </c>
      <c r="AW166" s="290">
        <v>0</v>
      </c>
      <c r="AX166" s="766">
        <v>38.833300000000001</v>
      </c>
      <c r="AY166" s="290">
        <v>1404</v>
      </c>
      <c r="AZ166" s="290">
        <v>213</v>
      </c>
      <c r="BA166" s="290">
        <v>72</v>
      </c>
      <c r="BB166" s="290">
        <v>0</v>
      </c>
      <c r="BC166" s="290">
        <v>4293</v>
      </c>
      <c r="BD166" s="290"/>
      <c r="BE166" s="290">
        <v>213725.40555832</v>
      </c>
      <c r="BF166" s="290">
        <v>0</v>
      </c>
      <c r="BG166" s="290">
        <v>0</v>
      </c>
      <c r="BH166" s="290">
        <v>-943</v>
      </c>
      <c r="BI166" s="290">
        <v>4765</v>
      </c>
      <c r="BJ166" s="290">
        <v>764.697604258365</v>
      </c>
      <c r="BK166" s="290">
        <v>8</v>
      </c>
      <c r="BL166" s="290"/>
      <c r="BM166" s="290">
        <v>0</v>
      </c>
      <c r="BN166" s="290">
        <v>2593</v>
      </c>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f>+innut23!E172+innut23!S172</f>
        <v>160604.92275564163</v>
      </c>
      <c r="CL166" s="290"/>
      <c r="CM166" s="290">
        <v>0</v>
      </c>
      <c r="CN166" s="290">
        <v>0</v>
      </c>
      <c r="CO166" s="290"/>
      <c r="CP166" s="290"/>
      <c r="CQ166" s="290"/>
      <c r="CX166" s="517">
        <f t="shared" si="5"/>
        <v>0</v>
      </c>
      <c r="DB166" s="85">
        <f t="shared" si="6"/>
        <v>1.028</v>
      </c>
    </row>
    <row r="167" spans="1:106" ht="13">
      <c r="A167" s="1">
        <v>3428</v>
      </c>
      <c r="B167" s="2" t="s">
        <v>842</v>
      </c>
      <c r="C167" s="289"/>
      <c r="D167" s="290">
        <v>38</v>
      </c>
      <c r="E167" s="290">
        <v>110</v>
      </c>
      <c r="F167" s="290">
        <v>319</v>
      </c>
      <c r="G167" s="290">
        <v>224</v>
      </c>
      <c r="H167" s="290">
        <v>1302</v>
      </c>
      <c r="I167" s="290">
        <v>320</v>
      </c>
      <c r="J167" s="290">
        <v>110</v>
      </c>
      <c r="K167" s="290">
        <v>28</v>
      </c>
      <c r="L167" s="290">
        <v>19</v>
      </c>
      <c r="M167" s="290">
        <v>215</v>
      </c>
      <c r="N167" s="290">
        <v>38</v>
      </c>
      <c r="O167" s="290">
        <v>26</v>
      </c>
      <c r="P167" s="624">
        <v>10904.11966667</v>
      </c>
      <c r="Q167" s="624">
        <v>6499.7666666699997</v>
      </c>
      <c r="R167" s="624">
        <v>13</v>
      </c>
      <c r="S167" s="290"/>
      <c r="T167" s="290">
        <v>180</v>
      </c>
      <c r="U167" s="958">
        <v>2.9335362201169859E-3</v>
      </c>
      <c r="V167" s="290">
        <v>1661.21987367</v>
      </c>
      <c r="W167" s="765">
        <v>0.80851395000000004</v>
      </c>
      <c r="X167" s="290">
        <v>1000</v>
      </c>
      <c r="Y167" s="290"/>
      <c r="Z167" s="290">
        <f>+innut23!E173</f>
        <v>69738.279576532383</v>
      </c>
      <c r="AA167" s="290">
        <v>0</v>
      </c>
      <c r="AB167" s="290">
        <v>49</v>
      </c>
      <c r="AC167" s="290">
        <v>0</v>
      </c>
      <c r="AD167" s="290"/>
      <c r="AE167" s="290">
        <v>0</v>
      </c>
      <c r="AF167" s="290">
        <v>0</v>
      </c>
      <c r="AG167" s="290">
        <v>2451</v>
      </c>
      <c r="AH167" s="290">
        <v>484</v>
      </c>
      <c r="AI167" s="290"/>
      <c r="AJ167" s="290"/>
      <c r="AK167" s="290">
        <v>0</v>
      </c>
      <c r="AL167" s="290">
        <v>0</v>
      </c>
      <c r="AM167" s="957">
        <v>1.9081890000000001E-2</v>
      </c>
      <c r="AN167" s="290">
        <v>0</v>
      </c>
      <c r="AO167" s="290">
        <v>1284.1435905000001</v>
      </c>
      <c r="AP167" s="290">
        <v>0</v>
      </c>
      <c r="AQ167" s="290">
        <v>0</v>
      </c>
      <c r="AR167" s="290">
        <v>1243.2450045800001</v>
      </c>
      <c r="AS167" s="290">
        <v>3863</v>
      </c>
      <c r="AT167" s="290">
        <v>98</v>
      </c>
      <c r="AU167" s="290">
        <v>12</v>
      </c>
      <c r="AV167" s="766">
        <v>96355</v>
      </c>
      <c r="AW167" s="290">
        <v>0</v>
      </c>
      <c r="AX167" s="766">
        <v>7.4999500000000001</v>
      </c>
      <c r="AY167" s="290">
        <v>465</v>
      </c>
      <c r="AZ167" s="290">
        <v>97</v>
      </c>
      <c r="BA167" s="290">
        <v>35</v>
      </c>
      <c r="BB167" s="290">
        <v>5006</v>
      </c>
      <c r="BC167" s="290">
        <v>1457</v>
      </c>
      <c r="BD167" s="290"/>
      <c r="BE167" s="290">
        <v>104012.5790571</v>
      </c>
      <c r="BF167" s="290">
        <v>0</v>
      </c>
      <c r="BG167" s="290">
        <v>0</v>
      </c>
      <c r="BH167" s="290">
        <v>-407</v>
      </c>
      <c r="BI167" s="290">
        <v>1521</v>
      </c>
      <c r="BJ167" s="290">
        <v>365.85234915087642</v>
      </c>
      <c r="BK167" s="290">
        <v>3</v>
      </c>
      <c r="BL167" s="290"/>
      <c r="BM167" s="290">
        <v>0</v>
      </c>
      <c r="BN167" s="290">
        <v>1037</v>
      </c>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f>+innut23!E173+innut23!S173</f>
        <v>69738.279576532383</v>
      </c>
      <c r="CL167" s="290"/>
      <c r="CM167" s="290">
        <v>0</v>
      </c>
      <c r="CN167" s="290">
        <v>0</v>
      </c>
      <c r="CO167" s="290"/>
      <c r="CP167" s="290"/>
      <c r="CQ167" s="290"/>
      <c r="CX167" s="517">
        <f t="shared" si="5"/>
        <v>0</v>
      </c>
      <c r="DB167" s="85">
        <f t="shared" si="6"/>
        <v>0.44900000000000001</v>
      </c>
    </row>
    <row r="168" spans="1:106" ht="13">
      <c r="A168" s="1">
        <v>3429</v>
      </c>
      <c r="B168" s="2" t="s">
        <v>843</v>
      </c>
      <c r="C168" s="289"/>
      <c r="D168" s="290">
        <v>17</v>
      </c>
      <c r="E168" s="290">
        <v>32</v>
      </c>
      <c r="F168" s="290">
        <v>150</v>
      </c>
      <c r="G168" s="290">
        <v>113</v>
      </c>
      <c r="H168" s="290">
        <v>775</v>
      </c>
      <c r="I168" s="290">
        <v>299</v>
      </c>
      <c r="J168" s="290">
        <v>102</v>
      </c>
      <c r="K168" s="290">
        <v>18</v>
      </c>
      <c r="L168" s="290">
        <v>11</v>
      </c>
      <c r="M168" s="290">
        <v>187</v>
      </c>
      <c r="N168" s="290">
        <v>5</v>
      </c>
      <c r="O168" s="290">
        <v>7</v>
      </c>
      <c r="P168" s="624">
        <v>9523.58</v>
      </c>
      <c r="Q168" s="624">
        <v>5492.8873333299998</v>
      </c>
      <c r="R168" s="624">
        <v>7</v>
      </c>
      <c r="S168" s="290"/>
      <c r="T168" s="290">
        <v>148</v>
      </c>
      <c r="U168" s="958">
        <v>2.5705028075372637E-3</v>
      </c>
      <c r="V168" s="290">
        <v>1077.45300086</v>
      </c>
      <c r="W168" s="765">
        <v>1</v>
      </c>
      <c r="X168" s="290">
        <v>1300</v>
      </c>
      <c r="Y168" s="290"/>
      <c r="Z168" s="290">
        <f>+innut23!E174</f>
        <v>39976.135093176068</v>
      </c>
      <c r="AA168" s="290">
        <v>0</v>
      </c>
      <c r="AB168" s="290">
        <v>34</v>
      </c>
      <c r="AC168" s="290">
        <v>106</v>
      </c>
      <c r="AD168" s="290"/>
      <c r="AE168" s="290">
        <v>0</v>
      </c>
      <c r="AF168" s="290">
        <v>0</v>
      </c>
      <c r="AG168" s="290">
        <v>1506</v>
      </c>
      <c r="AH168" s="290">
        <v>208</v>
      </c>
      <c r="AI168" s="290"/>
      <c r="AJ168" s="290"/>
      <c r="AK168" s="290">
        <v>0</v>
      </c>
      <c r="AL168" s="290">
        <v>0</v>
      </c>
      <c r="AM168" s="957">
        <v>6.49323E-3</v>
      </c>
      <c r="AN168" s="290">
        <v>0</v>
      </c>
      <c r="AO168" s="290">
        <v>832.88454891000003</v>
      </c>
      <c r="AP168" s="290">
        <v>0</v>
      </c>
      <c r="AQ168" s="290">
        <v>0</v>
      </c>
      <c r="AR168" s="290">
        <v>862.18171940000002</v>
      </c>
      <c r="AS168" s="290">
        <v>2448</v>
      </c>
      <c r="AT168" s="290">
        <v>50</v>
      </c>
      <c r="AU168" s="290">
        <v>8</v>
      </c>
      <c r="AV168" s="766">
        <v>68653</v>
      </c>
      <c r="AW168" s="290">
        <v>0</v>
      </c>
      <c r="AX168" s="766">
        <v>8.0832999999999995</v>
      </c>
      <c r="AY168" s="290">
        <v>341</v>
      </c>
      <c r="AZ168" s="290">
        <v>38</v>
      </c>
      <c r="BA168" s="290">
        <v>22</v>
      </c>
      <c r="BB168" s="290">
        <v>6257</v>
      </c>
      <c r="BC168" s="290">
        <v>783</v>
      </c>
      <c r="BD168" s="290"/>
      <c r="BE168" s="290">
        <v>73880.879814250002</v>
      </c>
      <c r="BF168" s="290">
        <v>0</v>
      </c>
      <c r="BG168" s="290">
        <v>0</v>
      </c>
      <c r="BH168" s="290">
        <v>-258</v>
      </c>
      <c r="BI168" s="290">
        <v>833</v>
      </c>
      <c r="BJ168" s="290">
        <v>194.54239662041715</v>
      </c>
      <c r="BK168" s="290">
        <v>2</v>
      </c>
      <c r="BL168" s="290"/>
      <c r="BM168" s="290">
        <v>0</v>
      </c>
      <c r="BN168" s="290">
        <v>519</v>
      </c>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f>+innut23!E174+innut23!S174</f>
        <v>39976.135093176068</v>
      </c>
      <c r="CL168" s="290"/>
      <c r="CM168" s="290">
        <v>0</v>
      </c>
      <c r="CN168" s="290">
        <v>0</v>
      </c>
      <c r="CO168" s="290"/>
      <c r="CP168" s="290"/>
      <c r="CQ168" s="290"/>
      <c r="CX168" s="517">
        <f t="shared" si="5"/>
        <v>0</v>
      </c>
      <c r="DB168" s="85">
        <f t="shared" si="6"/>
        <v>0.27600000000000002</v>
      </c>
    </row>
    <row r="169" spans="1:106" ht="13">
      <c r="A169" s="1">
        <v>3430</v>
      </c>
      <c r="B169" s="2" t="s">
        <v>844</v>
      </c>
      <c r="C169" s="289"/>
      <c r="D169" s="290">
        <v>34</v>
      </c>
      <c r="E169" s="290">
        <v>59</v>
      </c>
      <c r="F169" s="290">
        <v>149</v>
      </c>
      <c r="G169" s="290">
        <v>162</v>
      </c>
      <c r="H169" s="290">
        <v>1046</v>
      </c>
      <c r="I169" s="290">
        <v>298</v>
      </c>
      <c r="J169" s="290">
        <v>93</v>
      </c>
      <c r="K169" s="290">
        <v>21</v>
      </c>
      <c r="L169" s="290">
        <v>17</v>
      </c>
      <c r="M169" s="290">
        <v>158</v>
      </c>
      <c r="N169" s="290">
        <v>47</v>
      </c>
      <c r="O169" s="290">
        <v>19</v>
      </c>
      <c r="P169" s="624">
        <v>14346.70866667</v>
      </c>
      <c r="Q169" s="624">
        <v>8184.4693333300002</v>
      </c>
      <c r="R169" s="624">
        <v>17</v>
      </c>
      <c r="S169" s="290"/>
      <c r="T169" s="290">
        <v>180</v>
      </c>
      <c r="U169" s="958">
        <v>2.6050683524709143E-3</v>
      </c>
      <c r="V169" s="290">
        <v>1259.5524717999999</v>
      </c>
      <c r="W169" s="765">
        <v>0.82830071000000005</v>
      </c>
      <c r="X169" s="290">
        <v>800</v>
      </c>
      <c r="Y169" s="290"/>
      <c r="Z169" s="290">
        <f>+innut23!E175</f>
        <v>62196.359816701734</v>
      </c>
      <c r="AA169" s="290">
        <v>0</v>
      </c>
      <c r="AB169" s="290">
        <v>43</v>
      </c>
      <c r="AC169" s="290">
        <v>1580</v>
      </c>
      <c r="AD169" s="290"/>
      <c r="AE169" s="290">
        <v>0</v>
      </c>
      <c r="AF169" s="290">
        <v>0</v>
      </c>
      <c r="AG169" s="290">
        <v>1862</v>
      </c>
      <c r="AH169" s="290">
        <v>268</v>
      </c>
      <c r="AI169" s="290"/>
      <c r="AJ169" s="290"/>
      <c r="AK169" s="290">
        <v>0</v>
      </c>
      <c r="AL169" s="290">
        <v>0</v>
      </c>
      <c r="AM169" s="957">
        <v>1.6516010000000001E-2</v>
      </c>
      <c r="AN169" s="290">
        <v>0</v>
      </c>
      <c r="AO169" s="290">
        <v>973.64970115999995</v>
      </c>
      <c r="AP169" s="290">
        <v>0</v>
      </c>
      <c r="AQ169" s="290">
        <v>0</v>
      </c>
      <c r="AR169" s="290">
        <v>689.80424467</v>
      </c>
      <c r="AS169" s="290">
        <v>2991</v>
      </c>
      <c r="AT169" s="290">
        <v>74</v>
      </c>
      <c r="AU169" s="290">
        <v>12</v>
      </c>
      <c r="AV169" s="766">
        <v>76187</v>
      </c>
      <c r="AW169" s="290">
        <v>0</v>
      </c>
      <c r="AX169" s="766">
        <v>11.041700000000001</v>
      </c>
      <c r="AY169" s="290">
        <v>432</v>
      </c>
      <c r="AZ169" s="290">
        <v>64</v>
      </c>
      <c r="BA169" s="290">
        <v>15</v>
      </c>
      <c r="BB169" s="290">
        <v>6257</v>
      </c>
      <c r="BC169" s="290">
        <v>2374</v>
      </c>
      <c r="BD169" s="290"/>
      <c r="BE169" s="290">
        <v>82972.052326060002</v>
      </c>
      <c r="BF169" s="290">
        <v>0</v>
      </c>
      <c r="BG169" s="290">
        <v>0</v>
      </c>
      <c r="BH169" s="290">
        <v>-313</v>
      </c>
      <c r="BI169" s="290">
        <v>2885</v>
      </c>
      <c r="BJ169" s="290">
        <v>199.13324153869976</v>
      </c>
      <c r="BK169" s="290">
        <v>3</v>
      </c>
      <c r="BL169" s="290"/>
      <c r="BM169" s="290">
        <v>0</v>
      </c>
      <c r="BN169" s="290">
        <v>1037</v>
      </c>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f>+innut23!E175+innut23!S175</f>
        <v>62196.359816701734</v>
      </c>
      <c r="CL169" s="290"/>
      <c r="CM169" s="290">
        <v>0</v>
      </c>
      <c r="CN169" s="290">
        <v>0</v>
      </c>
      <c r="CO169" s="290"/>
      <c r="CP169" s="290"/>
      <c r="CQ169" s="290"/>
      <c r="CX169" s="517">
        <f t="shared" si="5"/>
        <v>0</v>
      </c>
      <c r="DB169" s="85">
        <f t="shared" si="6"/>
        <v>0.34100000000000003</v>
      </c>
    </row>
    <row r="170" spans="1:106" ht="13">
      <c r="A170" s="1">
        <v>3431</v>
      </c>
      <c r="B170" s="2" t="s">
        <v>847</v>
      </c>
      <c r="C170" s="289"/>
      <c r="D170" s="290">
        <v>44</v>
      </c>
      <c r="E170" s="290">
        <v>90</v>
      </c>
      <c r="F170" s="290">
        <v>214</v>
      </c>
      <c r="G170" s="290">
        <v>182</v>
      </c>
      <c r="H170" s="290">
        <v>1291</v>
      </c>
      <c r="I170" s="290">
        <v>458</v>
      </c>
      <c r="J170" s="290">
        <v>162</v>
      </c>
      <c r="K170" s="290">
        <v>30</v>
      </c>
      <c r="L170" s="290">
        <v>20</v>
      </c>
      <c r="M170" s="290">
        <v>301</v>
      </c>
      <c r="N170" s="290">
        <v>37</v>
      </c>
      <c r="O170" s="290">
        <v>13</v>
      </c>
      <c r="P170" s="624">
        <v>19670.392666669999</v>
      </c>
      <c r="Q170" s="624">
        <v>5079.5023333299996</v>
      </c>
      <c r="R170" s="624">
        <v>15</v>
      </c>
      <c r="S170" s="290"/>
      <c r="T170" s="290">
        <v>240</v>
      </c>
      <c r="U170" s="958">
        <v>2.4218035119774263E-3</v>
      </c>
      <c r="V170" s="290">
        <v>1659.2134919600001</v>
      </c>
      <c r="W170" s="765">
        <v>0.87320518000000003</v>
      </c>
      <c r="X170" s="290">
        <v>1600</v>
      </c>
      <c r="Y170" s="290"/>
      <c r="Z170" s="290">
        <f>+innut23!E176</f>
        <v>66694.049804484908</v>
      </c>
      <c r="AA170" s="290">
        <v>0</v>
      </c>
      <c r="AB170" s="290">
        <v>53</v>
      </c>
      <c r="AC170" s="290">
        <v>0</v>
      </c>
      <c r="AD170" s="290"/>
      <c r="AE170" s="290">
        <v>0</v>
      </c>
      <c r="AF170" s="290">
        <v>0</v>
      </c>
      <c r="AG170" s="290">
        <v>2471</v>
      </c>
      <c r="AH170" s="290">
        <v>357</v>
      </c>
      <c r="AI170" s="290"/>
      <c r="AJ170" s="290"/>
      <c r="AK170" s="290">
        <v>0</v>
      </c>
      <c r="AL170" s="290">
        <v>0</v>
      </c>
      <c r="AM170" s="957">
        <v>2.7346140000000001E-2</v>
      </c>
      <c r="AN170" s="290">
        <v>0</v>
      </c>
      <c r="AO170" s="290">
        <v>1282.5926325200001</v>
      </c>
      <c r="AP170" s="290">
        <v>0</v>
      </c>
      <c r="AQ170" s="290">
        <v>0</v>
      </c>
      <c r="AR170" s="290">
        <v>15.25594568</v>
      </c>
      <c r="AS170" s="290">
        <v>4001</v>
      </c>
      <c r="AT170" s="290">
        <v>108</v>
      </c>
      <c r="AU170" s="290">
        <v>20</v>
      </c>
      <c r="AV170" s="766">
        <v>95195</v>
      </c>
      <c r="AW170" s="290">
        <v>0</v>
      </c>
      <c r="AX170" s="766">
        <v>11.041650000000001</v>
      </c>
      <c r="AY170" s="290">
        <v>441</v>
      </c>
      <c r="AZ170" s="290">
        <v>79</v>
      </c>
      <c r="BA170" s="290">
        <v>35</v>
      </c>
      <c r="BB170" s="290">
        <v>6257</v>
      </c>
      <c r="BC170" s="290">
        <v>1345</v>
      </c>
      <c r="BD170" s="290"/>
      <c r="BE170" s="290">
        <v>104821.44580323</v>
      </c>
      <c r="BF170" s="290">
        <v>0</v>
      </c>
      <c r="BG170" s="290">
        <v>0</v>
      </c>
      <c r="BH170" s="290">
        <v>-421</v>
      </c>
      <c r="BI170" s="290">
        <v>1394</v>
      </c>
      <c r="BJ170" s="290">
        <v>261.7775123980885</v>
      </c>
      <c r="BK170" s="290">
        <v>4</v>
      </c>
      <c r="BL170" s="290"/>
      <c r="BM170" s="290">
        <v>0</v>
      </c>
      <c r="BN170" s="290">
        <v>1037</v>
      </c>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f>+innut23!E176+innut23!S176</f>
        <v>66694.049804484908</v>
      </c>
      <c r="CL170" s="290"/>
      <c r="CM170" s="290">
        <v>0</v>
      </c>
      <c r="CN170" s="290">
        <v>0</v>
      </c>
      <c r="CO170" s="290"/>
      <c r="CP170" s="290"/>
      <c r="CQ170" s="290"/>
      <c r="CX170" s="517">
        <f t="shared" si="5"/>
        <v>0</v>
      </c>
      <c r="DB170" s="85">
        <f t="shared" si="6"/>
        <v>0.45300000000000001</v>
      </c>
    </row>
    <row r="171" spans="1:106" ht="13">
      <c r="A171" s="1">
        <v>3432</v>
      </c>
      <c r="B171" s="2" t="s">
        <v>848</v>
      </c>
      <c r="C171" s="289"/>
      <c r="D171" s="290">
        <v>31</v>
      </c>
      <c r="E171" s="290">
        <v>76</v>
      </c>
      <c r="F171" s="290">
        <v>224</v>
      </c>
      <c r="G171" s="290">
        <v>173</v>
      </c>
      <c r="H171" s="290">
        <v>1033</v>
      </c>
      <c r="I171" s="290">
        <v>312</v>
      </c>
      <c r="J171" s="290">
        <v>107</v>
      </c>
      <c r="K171" s="290">
        <v>28</v>
      </c>
      <c r="L171" s="290">
        <v>18</v>
      </c>
      <c r="M171" s="290">
        <v>210</v>
      </c>
      <c r="N171" s="290">
        <v>6</v>
      </c>
      <c r="O171" s="290">
        <v>12</v>
      </c>
      <c r="P171" s="624">
        <v>25163.329666670001</v>
      </c>
      <c r="Q171" s="624">
        <v>8661.0173333300008</v>
      </c>
      <c r="R171" s="624">
        <v>8</v>
      </c>
      <c r="S171" s="290"/>
      <c r="T171" s="290">
        <v>161</v>
      </c>
      <c r="U171" s="958">
        <v>3.7789090955476176E-3</v>
      </c>
      <c r="V171" s="290">
        <v>1426.3758394199999</v>
      </c>
      <c r="W171" s="765">
        <v>1</v>
      </c>
      <c r="X171" s="290">
        <v>0</v>
      </c>
      <c r="Y171" s="290"/>
      <c r="Z171" s="290">
        <f>+innut23!E177</f>
        <v>54918.664346500984</v>
      </c>
      <c r="AA171" s="290">
        <v>0</v>
      </c>
      <c r="AB171" s="290">
        <v>21</v>
      </c>
      <c r="AC171" s="290">
        <v>581</v>
      </c>
      <c r="AD171" s="290"/>
      <c r="AE171" s="290">
        <v>0</v>
      </c>
      <c r="AF171" s="290">
        <v>0</v>
      </c>
      <c r="AG171" s="290">
        <v>1984</v>
      </c>
      <c r="AH171" s="290">
        <v>351</v>
      </c>
      <c r="AI171" s="290"/>
      <c r="AJ171" s="290"/>
      <c r="AK171" s="290">
        <v>0</v>
      </c>
      <c r="AL171" s="290">
        <v>0</v>
      </c>
      <c r="AM171" s="957">
        <v>1.287867E-2</v>
      </c>
      <c r="AN171" s="290">
        <v>0</v>
      </c>
      <c r="AO171" s="290">
        <v>1102.6062358500001</v>
      </c>
      <c r="AP171" s="290">
        <v>0</v>
      </c>
      <c r="AQ171" s="290">
        <v>0</v>
      </c>
      <c r="AR171" s="290">
        <v>-81.420593789999998</v>
      </c>
      <c r="AS171" s="290">
        <v>3175</v>
      </c>
      <c r="AT171" s="290">
        <v>83</v>
      </c>
      <c r="AU171" s="290">
        <v>9</v>
      </c>
      <c r="AV171" s="766">
        <v>86879</v>
      </c>
      <c r="AW171" s="290">
        <v>0</v>
      </c>
      <c r="AX171" s="766">
        <v>8.8333499999999994</v>
      </c>
      <c r="AY171" s="290">
        <v>400</v>
      </c>
      <c r="AZ171" s="290">
        <v>68</v>
      </c>
      <c r="BA171" s="290">
        <v>26</v>
      </c>
      <c r="BB171" s="290">
        <v>6257</v>
      </c>
      <c r="BC171" s="290">
        <v>1752</v>
      </c>
      <c r="BD171" s="290"/>
      <c r="BE171" s="290">
        <v>95262.986194180005</v>
      </c>
      <c r="BF171" s="290">
        <v>0</v>
      </c>
      <c r="BG171" s="290">
        <v>0</v>
      </c>
      <c r="BH171" s="290">
        <v>-331</v>
      </c>
      <c r="BI171" s="290">
        <v>1969</v>
      </c>
      <c r="BJ171" s="290">
        <v>282.81696669649398</v>
      </c>
      <c r="BK171" s="290">
        <v>2</v>
      </c>
      <c r="BL171" s="290"/>
      <c r="BM171" s="290">
        <v>0</v>
      </c>
      <c r="BN171" s="290">
        <v>1037</v>
      </c>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f>+innut23!E177+innut23!S177</f>
        <v>54918.664346500984</v>
      </c>
      <c r="CL171" s="290"/>
      <c r="CM171" s="290">
        <v>0</v>
      </c>
      <c r="CN171" s="290">
        <v>0</v>
      </c>
      <c r="CO171" s="290"/>
      <c r="CP171" s="290"/>
      <c r="CQ171" s="290"/>
      <c r="CX171" s="517">
        <f t="shared" si="5"/>
        <v>0</v>
      </c>
      <c r="DB171" s="85">
        <f t="shared" si="6"/>
        <v>0.36399999999999999</v>
      </c>
    </row>
    <row r="172" spans="1:106" ht="13">
      <c r="A172" s="1">
        <v>3433</v>
      </c>
      <c r="B172" s="2" t="s">
        <v>849</v>
      </c>
      <c r="C172" s="289"/>
      <c r="D172" s="290">
        <v>37</v>
      </c>
      <c r="E172" s="290">
        <v>68</v>
      </c>
      <c r="F172" s="290">
        <v>194</v>
      </c>
      <c r="G172" s="290">
        <v>186</v>
      </c>
      <c r="H172" s="290">
        <v>1129</v>
      </c>
      <c r="I172" s="290">
        <v>383</v>
      </c>
      <c r="J172" s="290">
        <v>134</v>
      </c>
      <c r="K172" s="290">
        <v>21</v>
      </c>
      <c r="L172" s="290">
        <v>17</v>
      </c>
      <c r="M172" s="290">
        <v>235</v>
      </c>
      <c r="N172" s="290">
        <v>19</v>
      </c>
      <c r="O172" s="290">
        <v>6</v>
      </c>
      <c r="P172" s="624">
        <v>12205.11133333</v>
      </c>
      <c r="Q172" s="624">
        <v>6407.5613333299998</v>
      </c>
      <c r="R172" s="624">
        <v>8</v>
      </c>
      <c r="S172" s="290"/>
      <c r="T172" s="290">
        <v>212</v>
      </c>
      <c r="U172" s="958">
        <v>3.2402826493556024E-3</v>
      </c>
      <c r="V172" s="290">
        <v>1295.1082988400001</v>
      </c>
      <c r="W172" s="765">
        <v>0.94945329000000001</v>
      </c>
      <c r="X172" s="290">
        <v>0</v>
      </c>
      <c r="Y172" s="290"/>
      <c r="Z172" s="290">
        <f>+innut23!E178</f>
        <v>67167.740513942801</v>
      </c>
      <c r="AA172" s="290">
        <v>0</v>
      </c>
      <c r="AB172" s="290">
        <v>53</v>
      </c>
      <c r="AC172" s="290">
        <v>35</v>
      </c>
      <c r="AD172" s="290"/>
      <c r="AE172" s="290">
        <v>0</v>
      </c>
      <c r="AF172" s="290">
        <v>0</v>
      </c>
      <c r="AG172" s="290">
        <v>2152</v>
      </c>
      <c r="AH172" s="290">
        <v>322</v>
      </c>
      <c r="AI172" s="290"/>
      <c r="AJ172" s="290"/>
      <c r="AK172" s="290">
        <v>0</v>
      </c>
      <c r="AL172" s="290">
        <v>0</v>
      </c>
      <c r="AM172" s="957">
        <v>1.6521129999999998E-2</v>
      </c>
      <c r="AN172" s="290">
        <v>0</v>
      </c>
      <c r="AO172" s="290">
        <v>1088.48520014</v>
      </c>
      <c r="AP172" s="290">
        <v>0</v>
      </c>
      <c r="AQ172" s="290">
        <v>0</v>
      </c>
      <c r="AR172" s="290">
        <v>-88.315079549999993</v>
      </c>
      <c r="AS172" s="290">
        <v>3483</v>
      </c>
      <c r="AT172" s="290">
        <v>98</v>
      </c>
      <c r="AU172" s="290">
        <v>15</v>
      </c>
      <c r="AV172" s="766">
        <v>76517</v>
      </c>
      <c r="AW172" s="290">
        <v>0</v>
      </c>
      <c r="AX172" s="766">
        <v>13.74995</v>
      </c>
      <c r="AY172" s="290">
        <v>401</v>
      </c>
      <c r="AZ172" s="290">
        <v>52</v>
      </c>
      <c r="BA172" s="290">
        <v>37</v>
      </c>
      <c r="BB172" s="290">
        <v>6257</v>
      </c>
      <c r="BC172" s="290">
        <v>851</v>
      </c>
      <c r="BD172" s="290"/>
      <c r="BE172" s="290">
        <v>86215.183794569995</v>
      </c>
      <c r="BF172" s="290">
        <v>0</v>
      </c>
      <c r="BG172" s="290">
        <v>0</v>
      </c>
      <c r="BH172" s="290">
        <v>-365</v>
      </c>
      <c r="BI172" s="290">
        <v>876</v>
      </c>
      <c r="BJ172" s="290">
        <v>238.92640075953929</v>
      </c>
      <c r="BK172" s="290">
        <v>3</v>
      </c>
      <c r="BL172" s="290"/>
      <c r="BM172" s="290">
        <v>0</v>
      </c>
      <c r="BN172" s="290">
        <v>519</v>
      </c>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f>+innut23!E178+innut23!S178</f>
        <v>67167.740513942801</v>
      </c>
      <c r="CL172" s="290"/>
      <c r="CM172" s="290">
        <v>0</v>
      </c>
      <c r="CN172" s="290">
        <v>0</v>
      </c>
      <c r="CO172" s="290"/>
      <c r="CP172" s="290"/>
      <c r="CQ172" s="290"/>
      <c r="CX172" s="517">
        <f t="shared" si="5"/>
        <v>0</v>
      </c>
      <c r="DB172" s="85">
        <f t="shared" si="6"/>
        <v>0.39400000000000002</v>
      </c>
    </row>
    <row r="173" spans="1:106" ht="13">
      <c r="A173" s="1">
        <v>3434</v>
      </c>
      <c r="B173" s="2" t="s">
        <v>850</v>
      </c>
      <c r="C173" s="289"/>
      <c r="D173" s="290">
        <v>42</v>
      </c>
      <c r="E173" s="290">
        <v>62</v>
      </c>
      <c r="F173" s="290">
        <v>219</v>
      </c>
      <c r="G173" s="290">
        <v>190</v>
      </c>
      <c r="H173" s="290">
        <v>1191</v>
      </c>
      <c r="I173" s="290">
        <v>362</v>
      </c>
      <c r="J173" s="290">
        <v>123</v>
      </c>
      <c r="K173" s="290">
        <v>25</v>
      </c>
      <c r="L173" s="290">
        <v>17</v>
      </c>
      <c r="M173" s="290">
        <v>234</v>
      </c>
      <c r="N173" s="290">
        <v>18</v>
      </c>
      <c r="O173" s="290">
        <v>7</v>
      </c>
      <c r="P173" s="624">
        <v>15929.395</v>
      </c>
      <c r="Q173" s="624">
        <v>6561.8370000000004</v>
      </c>
      <c r="R173" s="624">
        <v>10</v>
      </c>
      <c r="S173" s="290"/>
      <c r="T173" s="290">
        <v>200</v>
      </c>
      <c r="U173" s="958">
        <v>3.1239936789531969E-3</v>
      </c>
      <c r="V173" s="290">
        <v>1313.46489376</v>
      </c>
      <c r="W173" s="765">
        <v>0.86641504000000003</v>
      </c>
      <c r="X173" s="290">
        <v>0</v>
      </c>
      <c r="Y173" s="290"/>
      <c r="Z173" s="290">
        <f>+innut23!E179</f>
        <v>60417.319249286047</v>
      </c>
      <c r="AA173" s="290">
        <v>0</v>
      </c>
      <c r="AB173" s="290">
        <v>31</v>
      </c>
      <c r="AC173" s="290">
        <v>0</v>
      </c>
      <c r="AD173" s="290"/>
      <c r="AE173" s="290">
        <v>0</v>
      </c>
      <c r="AF173" s="290">
        <v>0</v>
      </c>
      <c r="AG173" s="290">
        <v>2214</v>
      </c>
      <c r="AH173" s="290">
        <v>350</v>
      </c>
      <c r="AI173" s="290"/>
      <c r="AJ173" s="290"/>
      <c r="AK173" s="290">
        <v>0</v>
      </c>
      <c r="AL173" s="290">
        <v>0</v>
      </c>
      <c r="AM173" s="957">
        <v>1.5667319999999998E-2</v>
      </c>
      <c r="AN173" s="290">
        <v>0</v>
      </c>
      <c r="AO173" s="290">
        <v>1102.67507596</v>
      </c>
      <c r="AP173" s="290">
        <v>0</v>
      </c>
      <c r="AQ173" s="290">
        <v>0</v>
      </c>
      <c r="AR173" s="290">
        <v>3669.3227366800002</v>
      </c>
      <c r="AS173" s="290">
        <v>3491</v>
      </c>
      <c r="AT173" s="290">
        <v>74</v>
      </c>
      <c r="AU173" s="290">
        <v>15</v>
      </c>
      <c r="AV173" s="766">
        <v>82272</v>
      </c>
      <c r="AW173" s="290">
        <v>0</v>
      </c>
      <c r="AX173" s="766">
        <v>12.5</v>
      </c>
      <c r="AY173" s="290">
        <v>435</v>
      </c>
      <c r="AZ173" s="290">
        <v>69</v>
      </c>
      <c r="BA173" s="290">
        <v>30</v>
      </c>
      <c r="BB173" s="290">
        <v>6257</v>
      </c>
      <c r="BC173" s="290">
        <v>1333</v>
      </c>
      <c r="BD173" s="290"/>
      <c r="BE173" s="290">
        <v>86577.90336466</v>
      </c>
      <c r="BF173" s="290">
        <v>0</v>
      </c>
      <c r="BG173" s="290">
        <v>0</v>
      </c>
      <c r="BH173" s="290">
        <v>-373</v>
      </c>
      <c r="BI173" s="290">
        <v>1387</v>
      </c>
      <c r="BJ173" s="290">
        <v>263.89350859897615</v>
      </c>
      <c r="BK173" s="290">
        <v>3</v>
      </c>
      <c r="BL173" s="290"/>
      <c r="BM173" s="290">
        <v>0</v>
      </c>
      <c r="BN173" s="290">
        <v>1037</v>
      </c>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f>+innut23!E179+innut23!S179</f>
        <v>60417.319249286047</v>
      </c>
      <c r="CL173" s="290"/>
      <c r="CM173" s="290">
        <v>0</v>
      </c>
      <c r="CN173" s="290">
        <v>0</v>
      </c>
      <c r="CO173" s="290"/>
      <c r="CP173" s="290"/>
      <c r="CQ173" s="290"/>
      <c r="CX173" s="517">
        <f t="shared" si="5"/>
        <v>0</v>
      </c>
      <c r="DB173" s="85">
        <f t="shared" si="6"/>
        <v>0.40600000000000003</v>
      </c>
    </row>
    <row r="174" spans="1:106" ht="13">
      <c r="A174" s="1">
        <v>3435</v>
      </c>
      <c r="B174" s="2" t="s">
        <v>851</v>
      </c>
      <c r="C174" s="289"/>
      <c r="D174" s="290">
        <v>63</v>
      </c>
      <c r="E174" s="290">
        <v>126</v>
      </c>
      <c r="F174" s="290">
        <v>375</v>
      </c>
      <c r="G174" s="290">
        <v>309</v>
      </c>
      <c r="H174" s="290">
        <v>1897</v>
      </c>
      <c r="I174" s="290">
        <v>555</v>
      </c>
      <c r="J174" s="290">
        <v>208</v>
      </c>
      <c r="K174" s="290">
        <v>45</v>
      </c>
      <c r="L174" s="290">
        <v>32</v>
      </c>
      <c r="M174" s="290">
        <v>370</v>
      </c>
      <c r="N174" s="290">
        <v>37</v>
      </c>
      <c r="O174" s="290">
        <v>23</v>
      </c>
      <c r="P174" s="624">
        <v>20912.178333330001</v>
      </c>
      <c r="Q174" s="624">
        <v>12405.231333330001</v>
      </c>
      <c r="R174" s="624">
        <v>23</v>
      </c>
      <c r="S174" s="290"/>
      <c r="T174" s="290">
        <v>285</v>
      </c>
      <c r="U174" s="958">
        <v>3.9252065730612266E-3</v>
      </c>
      <c r="V174" s="290">
        <v>2331.4976266899998</v>
      </c>
      <c r="W174" s="765">
        <v>0.76765633</v>
      </c>
      <c r="X174" s="290">
        <v>0</v>
      </c>
      <c r="Y174" s="290"/>
      <c r="Z174" s="290">
        <f>+innut23!E180</f>
        <v>98928.123028813148</v>
      </c>
      <c r="AA174" s="290">
        <v>0</v>
      </c>
      <c r="AB174" s="290">
        <v>79</v>
      </c>
      <c r="AC174" s="290">
        <v>88</v>
      </c>
      <c r="AD174" s="290"/>
      <c r="AE174" s="290">
        <v>0</v>
      </c>
      <c r="AF174" s="290">
        <v>0</v>
      </c>
      <c r="AG174" s="290">
        <v>3578</v>
      </c>
      <c r="AH174" s="290">
        <v>587</v>
      </c>
      <c r="AI174" s="290"/>
      <c r="AJ174" s="290"/>
      <c r="AK174" s="290">
        <v>0</v>
      </c>
      <c r="AL174" s="290">
        <v>0</v>
      </c>
      <c r="AM174" s="957">
        <v>3.5039479999999998E-2</v>
      </c>
      <c r="AN174" s="290">
        <v>5761</v>
      </c>
      <c r="AO174" s="290">
        <v>1802.2766167299999</v>
      </c>
      <c r="AP174" s="290">
        <v>0</v>
      </c>
      <c r="AQ174" s="290">
        <v>0</v>
      </c>
      <c r="AR174" s="290">
        <v>-146.83613134000001</v>
      </c>
      <c r="AS174" s="290">
        <v>5669</v>
      </c>
      <c r="AT174" s="290">
        <v>142</v>
      </c>
      <c r="AU174" s="290">
        <v>37</v>
      </c>
      <c r="AV174" s="766">
        <v>124988</v>
      </c>
      <c r="AW174" s="290">
        <v>0</v>
      </c>
      <c r="AX174" s="766">
        <v>15.37505</v>
      </c>
      <c r="AY174" s="290">
        <v>651</v>
      </c>
      <c r="AZ174" s="290">
        <v>86</v>
      </c>
      <c r="BA174" s="290">
        <v>51</v>
      </c>
      <c r="BB174" s="290">
        <v>0</v>
      </c>
      <c r="BC174" s="290">
        <v>2141</v>
      </c>
      <c r="BD174" s="290"/>
      <c r="BE174" s="290">
        <v>138606.19066376</v>
      </c>
      <c r="BF174" s="290">
        <v>0</v>
      </c>
      <c r="BG174" s="290">
        <v>0</v>
      </c>
      <c r="BH174" s="290">
        <v>-603</v>
      </c>
      <c r="BI174" s="290">
        <v>2231</v>
      </c>
      <c r="BJ174" s="290">
        <v>432.0892976611791</v>
      </c>
      <c r="BK174" s="290">
        <v>5</v>
      </c>
      <c r="BL174" s="290"/>
      <c r="BM174" s="290">
        <v>0</v>
      </c>
      <c r="BN174" s="290">
        <v>1556</v>
      </c>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f>+innut23!E180+innut23!S180</f>
        <v>98928.123028813148</v>
      </c>
      <c r="CL174" s="290"/>
      <c r="CM174" s="290">
        <v>0</v>
      </c>
      <c r="CN174" s="290">
        <v>0</v>
      </c>
      <c r="CO174" s="290"/>
      <c r="CP174" s="290"/>
      <c r="CQ174" s="290"/>
      <c r="CX174" s="517">
        <f t="shared" si="5"/>
        <v>0</v>
      </c>
      <c r="DB174" s="85">
        <f t="shared" si="6"/>
        <v>0.65600000000000003</v>
      </c>
    </row>
    <row r="175" spans="1:106" ht="13">
      <c r="A175" s="1">
        <v>3436</v>
      </c>
      <c r="B175" s="2" t="s">
        <v>852</v>
      </c>
      <c r="C175" s="289"/>
      <c r="D175" s="290">
        <v>78</v>
      </c>
      <c r="E175" s="290">
        <v>200</v>
      </c>
      <c r="F175" s="290">
        <v>569</v>
      </c>
      <c r="G175" s="290">
        <v>477</v>
      </c>
      <c r="H175" s="290">
        <v>2990</v>
      </c>
      <c r="I175" s="290">
        <v>916</v>
      </c>
      <c r="J175" s="290">
        <v>315</v>
      </c>
      <c r="K175" s="290">
        <v>58</v>
      </c>
      <c r="L175" s="290">
        <v>44</v>
      </c>
      <c r="M175" s="290">
        <v>656</v>
      </c>
      <c r="N175" s="290">
        <v>107</v>
      </c>
      <c r="O175" s="290">
        <v>58</v>
      </c>
      <c r="P175" s="624">
        <v>44602.946333330001</v>
      </c>
      <c r="Q175" s="624">
        <v>12454.085999999999</v>
      </c>
      <c r="R175" s="624">
        <v>40</v>
      </c>
      <c r="S175" s="290"/>
      <c r="T175" s="290">
        <v>555</v>
      </c>
      <c r="U175" s="958">
        <v>4.3686849232391209E-3</v>
      </c>
      <c r="V175" s="290">
        <v>3354.97971805</v>
      </c>
      <c r="W175" s="765">
        <v>0.66646561999999998</v>
      </c>
      <c r="X175" s="290">
        <v>800</v>
      </c>
      <c r="Y175" s="290"/>
      <c r="Z175" s="290">
        <f>+innut23!E181</f>
        <v>179159.9685417343</v>
      </c>
      <c r="AA175" s="290">
        <v>0</v>
      </c>
      <c r="AB175" s="290">
        <v>142</v>
      </c>
      <c r="AC175" s="290">
        <v>295</v>
      </c>
      <c r="AD175" s="290"/>
      <c r="AE175" s="290">
        <v>0</v>
      </c>
      <c r="AF175" s="290">
        <v>0</v>
      </c>
      <c r="AG175" s="290">
        <v>5603</v>
      </c>
      <c r="AH175" s="290">
        <v>891</v>
      </c>
      <c r="AI175" s="290"/>
      <c r="AJ175" s="290"/>
      <c r="AK175" s="290">
        <v>0</v>
      </c>
      <c r="AL175" s="290">
        <v>0</v>
      </c>
      <c r="AM175" s="957">
        <v>0.10143048</v>
      </c>
      <c r="AN175" s="290">
        <v>8261</v>
      </c>
      <c r="AO175" s="290">
        <v>2768.1417887600001</v>
      </c>
      <c r="AP175" s="290">
        <v>0</v>
      </c>
      <c r="AQ175" s="290">
        <v>0</v>
      </c>
      <c r="AR175" s="290">
        <v>-229.93930796000001</v>
      </c>
      <c r="AS175" s="290">
        <v>9206</v>
      </c>
      <c r="AT175" s="290">
        <v>252</v>
      </c>
      <c r="AU175" s="290">
        <v>61</v>
      </c>
      <c r="AV175" s="766">
        <v>184796</v>
      </c>
      <c r="AW175" s="290">
        <v>0</v>
      </c>
      <c r="AX175" s="766">
        <v>27.708349999999999</v>
      </c>
      <c r="AY175" s="290">
        <v>1007</v>
      </c>
      <c r="AZ175" s="290">
        <v>209</v>
      </c>
      <c r="BA175" s="290">
        <v>95</v>
      </c>
      <c r="BB175" s="290">
        <v>0</v>
      </c>
      <c r="BC175" s="290">
        <v>3594</v>
      </c>
      <c r="BD175" s="290"/>
      <c r="BE175" s="290">
        <v>209487.11144301001</v>
      </c>
      <c r="BF175" s="290">
        <v>0</v>
      </c>
      <c r="BG175" s="290">
        <v>0</v>
      </c>
      <c r="BH175" s="290">
        <v>-954</v>
      </c>
      <c r="BI175" s="290">
        <v>3779</v>
      </c>
      <c r="BJ175" s="290">
        <v>648.7911763351301</v>
      </c>
      <c r="BK175" s="290">
        <v>9</v>
      </c>
      <c r="BL175" s="290"/>
      <c r="BM175" s="290">
        <v>0</v>
      </c>
      <c r="BN175" s="290">
        <v>2593</v>
      </c>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f>+innut23!E181+innut23!S181</f>
        <v>179159.9685417343</v>
      </c>
      <c r="CL175" s="290"/>
      <c r="CM175" s="290">
        <v>0</v>
      </c>
      <c r="CN175" s="290">
        <v>0</v>
      </c>
      <c r="CO175" s="290"/>
      <c r="CP175" s="290"/>
      <c r="CQ175" s="290"/>
      <c r="CX175" s="517">
        <f t="shared" si="5"/>
        <v>0</v>
      </c>
      <c r="DB175" s="85">
        <f t="shared" si="6"/>
        <v>1.0269999999999999</v>
      </c>
    </row>
    <row r="176" spans="1:106" ht="13">
      <c r="A176" s="1">
        <v>3437</v>
      </c>
      <c r="B176" s="2" t="s">
        <v>853</v>
      </c>
      <c r="C176" s="289"/>
      <c r="D176" s="290">
        <v>69</v>
      </c>
      <c r="E176" s="290">
        <v>172</v>
      </c>
      <c r="F176" s="290">
        <v>572</v>
      </c>
      <c r="G176" s="290">
        <v>456</v>
      </c>
      <c r="H176" s="290">
        <v>2956</v>
      </c>
      <c r="I176" s="290">
        <v>915</v>
      </c>
      <c r="J176" s="290">
        <v>319</v>
      </c>
      <c r="K176" s="290">
        <v>79</v>
      </c>
      <c r="L176" s="290">
        <v>45</v>
      </c>
      <c r="M176" s="290">
        <v>596</v>
      </c>
      <c r="N176" s="290">
        <v>81</v>
      </c>
      <c r="O176" s="290">
        <v>36</v>
      </c>
      <c r="P176" s="624">
        <v>67751.929000000004</v>
      </c>
      <c r="Q176" s="624">
        <v>15804.101000000001</v>
      </c>
      <c r="R176" s="624">
        <v>41</v>
      </c>
      <c r="S176" s="290"/>
      <c r="T176" s="290">
        <v>508</v>
      </c>
      <c r="U176" s="958">
        <v>3.5672740957829155E-3</v>
      </c>
      <c r="V176" s="290">
        <v>3601.4343490800002</v>
      </c>
      <c r="W176" s="765">
        <v>0.73940620000000001</v>
      </c>
      <c r="X176" s="290">
        <v>2000</v>
      </c>
      <c r="Y176" s="290"/>
      <c r="Z176" s="290">
        <f>+innut23!E182</f>
        <v>134433.02435989139</v>
      </c>
      <c r="AA176" s="290">
        <v>0</v>
      </c>
      <c r="AB176" s="290">
        <v>162</v>
      </c>
      <c r="AC176" s="290">
        <v>581</v>
      </c>
      <c r="AD176" s="290"/>
      <c r="AE176" s="290">
        <v>0</v>
      </c>
      <c r="AF176" s="290">
        <v>0</v>
      </c>
      <c r="AG176" s="290">
        <v>5538</v>
      </c>
      <c r="AH176" s="290">
        <v>846</v>
      </c>
      <c r="AI176" s="290"/>
      <c r="AJ176" s="290"/>
      <c r="AK176" s="290">
        <v>0</v>
      </c>
      <c r="AL176" s="290">
        <v>0</v>
      </c>
      <c r="AM176" s="957">
        <v>0.11828466999999999</v>
      </c>
      <c r="AN176" s="290">
        <v>8142</v>
      </c>
      <c r="AO176" s="290">
        <v>2783.9534725399999</v>
      </c>
      <c r="AP176" s="290">
        <v>0</v>
      </c>
      <c r="AQ176" s="290">
        <v>0</v>
      </c>
      <c r="AR176" s="290">
        <v>-227.27179859</v>
      </c>
      <c r="AS176" s="290">
        <v>8816</v>
      </c>
      <c r="AT176" s="290">
        <v>257</v>
      </c>
      <c r="AU176" s="290">
        <v>64</v>
      </c>
      <c r="AV176" s="766">
        <v>187689</v>
      </c>
      <c r="AW176" s="290">
        <v>0</v>
      </c>
      <c r="AX176" s="766">
        <v>19.208300000000001</v>
      </c>
      <c r="AY176" s="290">
        <v>981</v>
      </c>
      <c r="AZ176" s="290">
        <v>220</v>
      </c>
      <c r="BA176" s="290">
        <v>96</v>
      </c>
      <c r="BB176" s="290">
        <v>0</v>
      </c>
      <c r="BC176" s="290">
        <v>2749</v>
      </c>
      <c r="BD176" s="290"/>
      <c r="BE176" s="290">
        <v>214496.64902295999</v>
      </c>
      <c r="BF176" s="290">
        <v>0</v>
      </c>
      <c r="BG176" s="290">
        <v>0</v>
      </c>
      <c r="BH176" s="290">
        <v>-936</v>
      </c>
      <c r="BI176" s="290">
        <v>2983</v>
      </c>
      <c r="BJ176" s="290">
        <v>662.75805533370749</v>
      </c>
      <c r="BK176" s="290">
        <v>9</v>
      </c>
      <c r="BL176" s="290"/>
      <c r="BM176" s="290">
        <v>0</v>
      </c>
      <c r="BN176" s="290">
        <v>1556</v>
      </c>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f>+innut23!E182+innut23!S182</f>
        <v>134433.02435989139</v>
      </c>
      <c r="CL176" s="290"/>
      <c r="CM176" s="290">
        <v>0</v>
      </c>
      <c r="CN176" s="290">
        <v>0</v>
      </c>
      <c r="CO176" s="290"/>
      <c r="CP176" s="290"/>
      <c r="CQ176" s="290"/>
      <c r="CX176" s="517">
        <f t="shared" si="5"/>
        <v>0</v>
      </c>
      <c r="DB176" s="85">
        <f t="shared" si="6"/>
        <v>1.0149999999999999</v>
      </c>
    </row>
    <row r="177" spans="1:106" ht="13">
      <c r="A177" s="1">
        <v>3438</v>
      </c>
      <c r="B177" s="2" t="s">
        <v>854</v>
      </c>
      <c r="C177" s="289"/>
      <c r="D177" s="290">
        <v>53</v>
      </c>
      <c r="E177" s="290">
        <v>98</v>
      </c>
      <c r="F177" s="290">
        <v>377</v>
      </c>
      <c r="G177" s="290">
        <v>241</v>
      </c>
      <c r="H177" s="290">
        <v>1725</v>
      </c>
      <c r="I177" s="290">
        <v>456</v>
      </c>
      <c r="J177" s="290">
        <v>156</v>
      </c>
      <c r="K177" s="290">
        <v>40</v>
      </c>
      <c r="L177" s="290">
        <v>27</v>
      </c>
      <c r="M177" s="290">
        <v>279</v>
      </c>
      <c r="N177" s="290">
        <v>39</v>
      </c>
      <c r="O177" s="290">
        <v>32</v>
      </c>
      <c r="P177" s="624">
        <v>15997.112999999999</v>
      </c>
      <c r="Q177" s="624">
        <v>10855.67633333</v>
      </c>
      <c r="R177" s="624">
        <v>9</v>
      </c>
      <c r="S177" s="290"/>
      <c r="T177" s="290">
        <v>310</v>
      </c>
      <c r="U177" s="958">
        <v>3.4449744217052297E-3</v>
      </c>
      <c r="V177" s="290">
        <v>1406.6947915400001</v>
      </c>
      <c r="W177" s="765">
        <v>0.67308066</v>
      </c>
      <c r="X177" s="290">
        <v>0</v>
      </c>
      <c r="Y177" s="290"/>
      <c r="Z177" s="290">
        <f>+innut23!E183</f>
        <v>94635.689568996517</v>
      </c>
      <c r="AA177" s="290">
        <v>0</v>
      </c>
      <c r="AB177" s="290">
        <v>77</v>
      </c>
      <c r="AC177" s="290">
        <v>190</v>
      </c>
      <c r="AD177" s="290"/>
      <c r="AE177" s="290">
        <v>0</v>
      </c>
      <c r="AF177" s="290">
        <v>0</v>
      </c>
      <c r="AG177" s="290">
        <v>3146</v>
      </c>
      <c r="AH177" s="290">
        <v>533</v>
      </c>
      <c r="AI177" s="290"/>
      <c r="AJ177" s="290"/>
      <c r="AK177" s="290">
        <v>0</v>
      </c>
      <c r="AL177" s="290">
        <v>0</v>
      </c>
      <c r="AM177" s="957">
        <v>4.8578219999999998E-2</v>
      </c>
      <c r="AN177" s="290">
        <v>0</v>
      </c>
      <c r="AO177" s="290">
        <v>1524.1445573200001</v>
      </c>
      <c r="AP177" s="290">
        <v>0</v>
      </c>
      <c r="AQ177" s="290">
        <v>0</v>
      </c>
      <c r="AR177" s="290">
        <v>-129.10745366</v>
      </c>
      <c r="AS177" s="290">
        <v>4955</v>
      </c>
      <c r="AT177" s="290">
        <v>127</v>
      </c>
      <c r="AU177" s="290">
        <v>27</v>
      </c>
      <c r="AV177" s="766">
        <v>98460</v>
      </c>
      <c r="AW177" s="290">
        <v>0</v>
      </c>
      <c r="AX177" s="766">
        <v>20.833300000000001</v>
      </c>
      <c r="AY177" s="290">
        <v>528</v>
      </c>
      <c r="AZ177" s="290">
        <v>133</v>
      </c>
      <c r="BA177" s="290">
        <v>51</v>
      </c>
      <c r="BB177" s="290">
        <v>5633</v>
      </c>
      <c r="BC177" s="290">
        <v>2141</v>
      </c>
      <c r="BD177" s="290"/>
      <c r="BE177" s="290">
        <v>113624.85783623</v>
      </c>
      <c r="BF177" s="290">
        <v>0</v>
      </c>
      <c r="BG177" s="290">
        <v>0</v>
      </c>
      <c r="BH177" s="290">
        <v>-518</v>
      </c>
      <c r="BI177" s="290">
        <v>2279</v>
      </c>
      <c r="BJ177" s="290">
        <v>429.9667477997067</v>
      </c>
      <c r="BK177" s="290">
        <v>5</v>
      </c>
      <c r="BL177" s="290"/>
      <c r="BM177" s="290">
        <v>0</v>
      </c>
      <c r="BN177" s="290">
        <v>1556</v>
      </c>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f>+innut23!E183+innut23!S183</f>
        <v>94635.689568996517</v>
      </c>
      <c r="CL177" s="290"/>
      <c r="CM177" s="290">
        <v>0</v>
      </c>
      <c r="CN177" s="290">
        <v>0</v>
      </c>
      <c r="CO177" s="290"/>
      <c r="CP177" s="290"/>
      <c r="CQ177" s="290"/>
      <c r="CX177" s="517">
        <f t="shared" si="5"/>
        <v>0</v>
      </c>
      <c r="DB177" s="85">
        <f t="shared" si="6"/>
        <v>0.57699999999999996</v>
      </c>
    </row>
    <row r="178" spans="1:106" ht="13">
      <c r="A178" s="1">
        <v>3439</v>
      </c>
      <c r="B178" s="2" t="s">
        <v>855</v>
      </c>
      <c r="C178" s="289"/>
      <c r="D178" s="290">
        <v>85</v>
      </c>
      <c r="E178" s="290">
        <v>155</v>
      </c>
      <c r="F178" s="290">
        <v>427</v>
      </c>
      <c r="G178" s="290">
        <v>321</v>
      </c>
      <c r="H178" s="290">
        <v>2397</v>
      </c>
      <c r="I178" s="290">
        <v>688</v>
      </c>
      <c r="J178" s="290">
        <v>258</v>
      </c>
      <c r="K178" s="290">
        <v>65</v>
      </c>
      <c r="L178" s="290">
        <v>33</v>
      </c>
      <c r="M178" s="290">
        <v>465</v>
      </c>
      <c r="N178" s="290">
        <v>61</v>
      </c>
      <c r="O178" s="290">
        <v>27</v>
      </c>
      <c r="P178" s="624">
        <v>19588.416000000001</v>
      </c>
      <c r="Q178" s="624">
        <v>12158.813666669999</v>
      </c>
      <c r="R178" s="624">
        <v>19</v>
      </c>
      <c r="S178" s="290"/>
      <c r="T178" s="290">
        <v>416</v>
      </c>
      <c r="U178" s="958">
        <v>4.7348055518821311E-3</v>
      </c>
      <c r="V178" s="290">
        <v>-1116.1501591399999</v>
      </c>
      <c r="W178" s="765">
        <v>0.70315965999999996</v>
      </c>
      <c r="X178" s="290">
        <v>1000</v>
      </c>
      <c r="Y178" s="290"/>
      <c r="Z178" s="290">
        <f>+innut23!E184</f>
        <v>135454.61855564592</v>
      </c>
      <c r="AA178" s="290">
        <v>0</v>
      </c>
      <c r="AB178" s="290">
        <v>107</v>
      </c>
      <c r="AC178" s="290">
        <v>2341</v>
      </c>
      <c r="AD178" s="290"/>
      <c r="AE178" s="290">
        <v>0</v>
      </c>
      <c r="AF178" s="290">
        <v>0</v>
      </c>
      <c r="AG178" s="290">
        <v>4396</v>
      </c>
      <c r="AH178" s="290">
        <v>671</v>
      </c>
      <c r="AI178" s="290"/>
      <c r="AJ178" s="290"/>
      <c r="AK178" s="290">
        <v>0</v>
      </c>
      <c r="AL178" s="290">
        <v>0</v>
      </c>
      <c r="AM178" s="957">
        <v>6.1225309999999998E-2</v>
      </c>
      <c r="AN178" s="290">
        <v>6735</v>
      </c>
      <c r="AO178" s="290">
        <v>2107.1157751400001</v>
      </c>
      <c r="AP178" s="290">
        <v>0</v>
      </c>
      <c r="AQ178" s="290">
        <v>0</v>
      </c>
      <c r="AR178" s="290">
        <v>1296.3326917500001</v>
      </c>
      <c r="AS178" s="290">
        <v>7038</v>
      </c>
      <c r="AT178" s="290">
        <v>162</v>
      </c>
      <c r="AU178" s="290">
        <v>43</v>
      </c>
      <c r="AV178" s="766">
        <v>138551</v>
      </c>
      <c r="AW178" s="290">
        <v>0</v>
      </c>
      <c r="AX178" s="766">
        <v>29.166650000000001</v>
      </c>
      <c r="AY178" s="290">
        <v>778</v>
      </c>
      <c r="AZ178" s="290">
        <v>169</v>
      </c>
      <c r="BA178" s="290">
        <v>53</v>
      </c>
      <c r="BB178" s="290">
        <v>0</v>
      </c>
      <c r="BC178" s="290">
        <v>3809</v>
      </c>
      <c r="BD178" s="290"/>
      <c r="BE178" s="290">
        <v>153765.39930178999</v>
      </c>
      <c r="BF178" s="290">
        <v>0</v>
      </c>
      <c r="BG178" s="290">
        <v>0</v>
      </c>
      <c r="BH178" s="290">
        <v>-741</v>
      </c>
      <c r="BI178" s="290">
        <v>4568</v>
      </c>
      <c r="BJ178" s="290">
        <v>482.20772702728749</v>
      </c>
      <c r="BK178" s="290">
        <v>6</v>
      </c>
      <c r="BL178" s="290"/>
      <c r="BM178" s="290">
        <v>0</v>
      </c>
      <c r="BN178" s="290">
        <v>1556</v>
      </c>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f>+innut23!E184+innut23!S184</f>
        <v>135454.61855564592</v>
      </c>
      <c r="CL178" s="290"/>
      <c r="CM178" s="290">
        <v>0</v>
      </c>
      <c r="CN178" s="290">
        <v>0</v>
      </c>
      <c r="CO178" s="290"/>
      <c r="CP178" s="290"/>
      <c r="CQ178" s="290"/>
      <c r="CX178" s="517">
        <f t="shared" si="5"/>
        <v>0</v>
      </c>
      <c r="DB178" s="85">
        <f t="shared" si="6"/>
        <v>0.80600000000000005</v>
      </c>
    </row>
    <row r="179" spans="1:106" ht="13">
      <c r="A179" s="1">
        <v>3440</v>
      </c>
      <c r="B179" s="2" t="s">
        <v>856</v>
      </c>
      <c r="C179" s="289"/>
      <c r="D179" s="290">
        <v>96</v>
      </c>
      <c r="E179" s="290">
        <v>208</v>
      </c>
      <c r="F179" s="290">
        <v>568</v>
      </c>
      <c r="G179" s="290">
        <v>391</v>
      </c>
      <c r="H179" s="290">
        <v>2885</v>
      </c>
      <c r="I179" s="290">
        <v>710</v>
      </c>
      <c r="J179" s="290">
        <v>236</v>
      </c>
      <c r="K179" s="290">
        <v>55</v>
      </c>
      <c r="L179" s="290">
        <v>36</v>
      </c>
      <c r="M179" s="290">
        <v>436</v>
      </c>
      <c r="N179" s="290">
        <v>169</v>
      </c>
      <c r="O179" s="290">
        <v>51</v>
      </c>
      <c r="P179" s="624">
        <v>35437.105000000003</v>
      </c>
      <c r="Q179" s="624">
        <v>10279.064</v>
      </c>
      <c r="R179" s="624">
        <v>25</v>
      </c>
      <c r="S179" s="290"/>
      <c r="T179" s="290">
        <v>480</v>
      </c>
      <c r="U179" s="958">
        <v>3.1753209743999571E-3</v>
      </c>
      <c r="V179" s="290">
        <v>2821.8113545199999</v>
      </c>
      <c r="W179" s="765">
        <v>0.65492821000000001</v>
      </c>
      <c r="X179" s="290">
        <v>0</v>
      </c>
      <c r="Y179" s="290"/>
      <c r="Z179" s="290">
        <f>+innut23!E185</f>
        <v>177003.31245149305</v>
      </c>
      <c r="AA179" s="290">
        <v>0</v>
      </c>
      <c r="AB179" s="290">
        <v>123</v>
      </c>
      <c r="AC179" s="290">
        <v>1090</v>
      </c>
      <c r="AD179" s="290"/>
      <c r="AE179" s="290">
        <v>0</v>
      </c>
      <c r="AF179" s="290">
        <v>0</v>
      </c>
      <c r="AG179" s="290">
        <v>5149</v>
      </c>
      <c r="AH179" s="290">
        <v>884</v>
      </c>
      <c r="AI179" s="290"/>
      <c r="AJ179" s="290"/>
      <c r="AK179" s="290">
        <v>0</v>
      </c>
      <c r="AL179" s="290">
        <v>0</v>
      </c>
      <c r="AM179" s="957">
        <v>0.13031269000000001</v>
      </c>
      <c r="AN179" s="290">
        <v>1522</v>
      </c>
      <c r="AO179" s="290">
        <v>2443.3464263300002</v>
      </c>
      <c r="AP179" s="290">
        <v>0</v>
      </c>
      <c r="AQ179" s="290">
        <v>0</v>
      </c>
      <c r="AR179" s="290">
        <v>491.50384980000001</v>
      </c>
      <c r="AS179" s="290">
        <v>6918</v>
      </c>
      <c r="AT179" s="290">
        <v>225</v>
      </c>
      <c r="AU179" s="290">
        <v>54</v>
      </c>
      <c r="AV179" s="766">
        <v>154343</v>
      </c>
      <c r="AW179" s="290">
        <v>0</v>
      </c>
      <c r="AX179" s="766">
        <v>23.958300000000001</v>
      </c>
      <c r="AY179" s="290">
        <v>1078</v>
      </c>
      <c r="AZ179" s="290">
        <v>277</v>
      </c>
      <c r="BA179" s="290">
        <v>98</v>
      </c>
      <c r="BB179" s="290">
        <v>0</v>
      </c>
      <c r="BC179" s="290">
        <v>3082</v>
      </c>
      <c r="BD179" s="290"/>
      <c r="BE179" s="290">
        <v>171411.0472873</v>
      </c>
      <c r="BF179" s="290">
        <v>0</v>
      </c>
      <c r="BG179" s="290">
        <v>0</v>
      </c>
      <c r="BH179" s="290">
        <v>-856</v>
      </c>
      <c r="BI179" s="290">
        <v>3530</v>
      </c>
      <c r="BJ179" s="290">
        <v>636.73491604217133</v>
      </c>
      <c r="BK179" s="290">
        <v>9</v>
      </c>
      <c r="BL179" s="290"/>
      <c r="BM179" s="290">
        <v>0</v>
      </c>
      <c r="BN179" s="290">
        <v>1556</v>
      </c>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f>+innut23!E185+innut23!S185</f>
        <v>177003.31245149305</v>
      </c>
      <c r="CL179" s="290"/>
      <c r="CM179" s="290">
        <v>0</v>
      </c>
      <c r="CN179" s="290">
        <v>0</v>
      </c>
      <c r="CO179" s="290"/>
      <c r="CP179" s="290"/>
      <c r="CQ179" s="290"/>
      <c r="CX179" s="517">
        <f t="shared" si="5"/>
        <v>0</v>
      </c>
      <c r="DB179" s="85">
        <f t="shared" si="6"/>
        <v>0.94399999999999995</v>
      </c>
    </row>
    <row r="180" spans="1:106" ht="13">
      <c r="A180" s="1">
        <v>3441</v>
      </c>
      <c r="B180" s="2" t="s">
        <v>857</v>
      </c>
      <c r="C180" s="289"/>
      <c r="D180" s="290">
        <v>96</v>
      </c>
      <c r="E180" s="290">
        <v>182</v>
      </c>
      <c r="F180" s="290">
        <v>650</v>
      </c>
      <c r="G180" s="290">
        <v>460</v>
      </c>
      <c r="H180" s="290">
        <v>3406</v>
      </c>
      <c r="I180" s="290">
        <v>899</v>
      </c>
      <c r="J180" s="290">
        <v>323</v>
      </c>
      <c r="K180" s="290">
        <v>75</v>
      </c>
      <c r="L180" s="290">
        <v>47</v>
      </c>
      <c r="M180" s="290">
        <v>581</v>
      </c>
      <c r="N180" s="290">
        <v>69</v>
      </c>
      <c r="O180" s="290">
        <v>21</v>
      </c>
      <c r="P180" s="624">
        <v>49981.833666669998</v>
      </c>
      <c r="Q180" s="624">
        <v>15297.05766667</v>
      </c>
      <c r="R180" s="624">
        <v>18</v>
      </c>
      <c r="S180" s="290"/>
      <c r="T180" s="290">
        <v>543</v>
      </c>
      <c r="U180" s="958">
        <v>5.8826833905511562E-3</v>
      </c>
      <c r="V180" s="290">
        <v>1877.6926599599999</v>
      </c>
      <c r="W180" s="765">
        <v>0.67033737000000004</v>
      </c>
      <c r="X180" s="290">
        <v>1000</v>
      </c>
      <c r="Y180" s="290"/>
      <c r="Z180" s="290">
        <f>+innut23!E186</f>
        <v>183675.2852534251</v>
      </c>
      <c r="AA180" s="290">
        <v>0</v>
      </c>
      <c r="AB180" s="290">
        <v>143</v>
      </c>
      <c r="AC180" s="290">
        <v>404</v>
      </c>
      <c r="AD180" s="290"/>
      <c r="AE180" s="290">
        <v>0</v>
      </c>
      <c r="AF180" s="290">
        <v>0</v>
      </c>
      <c r="AG180" s="290">
        <v>6091</v>
      </c>
      <c r="AH180" s="290">
        <v>947</v>
      </c>
      <c r="AI180" s="290"/>
      <c r="AJ180" s="290"/>
      <c r="AK180" s="290">
        <v>0</v>
      </c>
      <c r="AL180" s="290">
        <v>0</v>
      </c>
      <c r="AM180" s="957">
        <v>5.8628449999999999E-2</v>
      </c>
      <c r="AN180" s="290">
        <v>3526</v>
      </c>
      <c r="AO180" s="290">
        <v>2761.7357899499998</v>
      </c>
      <c r="AP180" s="290">
        <v>0</v>
      </c>
      <c r="AQ180" s="290">
        <v>0</v>
      </c>
      <c r="AR180" s="290">
        <v>849.45696041999997</v>
      </c>
      <c r="AS180" s="290">
        <v>9622</v>
      </c>
      <c r="AT180" s="290">
        <v>285</v>
      </c>
      <c r="AU180" s="290">
        <v>42</v>
      </c>
      <c r="AV180" s="766">
        <v>164832</v>
      </c>
      <c r="AW180" s="290">
        <v>0</v>
      </c>
      <c r="AX180" s="766">
        <v>33.749949999999998</v>
      </c>
      <c r="AY180" s="290">
        <v>1147</v>
      </c>
      <c r="AZ180" s="290">
        <v>181</v>
      </c>
      <c r="BA180" s="290">
        <v>102</v>
      </c>
      <c r="BB180" s="290">
        <v>0</v>
      </c>
      <c r="BC180" s="290">
        <v>3203</v>
      </c>
      <c r="BD180" s="290"/>
      <c r="BE180" s="290">
        <v>185248.97272995999</v>
      </c>
      <c r="BF180" s="290">
        <v>0</v>
      </c>
      <c r="BG180" s="290">
        <v>0</v>
      </c>
      <c r="BH180" s="290">
        <v>-1020</v>
      </c>
      <c r="BI180" s="290">
        <v>3425</v>
      </c>
      <c r="BJ180" s="290">
        <v>721.34510804672152</v>
      </c>
      <c r="BK180" s="290">
        <v>8</v>
      </c>
      <c r="BL180" s="290"/>
      <c r="BM180" s="290">
        <v>0</v>
      </c>
      <c r="BN180" s="290">
        <v>2074</v>
      </c>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f>+innut23!E186+innut23!S186</f>
        <v>183675.2852534251</v>
      </c>
      <c r="CL180" s="290"/>
      <c r="CM180" s="290">
        <v>0</v>
      </c>
      <c r="CN180" s="290">
        <v>0</v>
      </c>
      <c r="CO180" s="290"/>
      <c r="CP180" s="290"/>
      <c r="CQ180" s="290"/>
      <c r="CX180" s="517">
        <f t="shared" si="5"/>
        <v>0</v>
      </c>
      <c r="DB180" s="85">
        <f t="shared" si="6"/>
        <v>1.1160000000000001</v>
      </c>
    </row>
    <row r="181" spans="1:106" ht="13">
      <c r="A181" s="1">
        <v>3442</v>
      </c>
      <c r="B181" s="2" t="s">
        <v>858</v>
      </c>
      <c r="C181" s="289"/>
      <c r="D181" s="290">
        <v>241</v>
      </c>
      <c r="E181" s="290">
        <v>539</v>
      </c>
      <c r="F181" s="290">
        <v>1619</v>
      </c>
      <c r="G181" s="290">
        <v>1163</v>
      </c>
      <c r="H181" s="290">
        <v>8273</v>
      </c>
      <c r="I181" s="290">
        <v>2178</v>
      </c>
      <c r="J181" s="290">
        <v>702</v>
      </c>
      <c r="K181" s="290">
        <v>153</v>
      </c>
      <c r="L181" s="290">
        <v>128</v>
      </c>
      <c r="M181" s="290">
        <v>1348</v>
      </c>
      <c r="N181" s="290">
        <v>239</v>
      </c>
      <c r="O181" s="290">
        <v>115</v>
      </c>
      <c r="P181" s="624">
        <v>53734.31533333</v>
      </c>
      <c r="Q181" s="624">
        <v>31144.735000000001</v>
      </c>
      <c r="R181" s="624">
        <v>59</v>
      </c>
      <c r="S181" s="290"/>
      <c r="T181" s="290">
        <v>1336</v>
      </c>
      <c r="U181" s="958">
        <v>7.4110428660669548E-3</v>
      </c>
      <c r="V181" s="290">
        <v>2319.90955674</v>
      </c>
      <c r="W181" s="765">
        <v>0.60235806999999997</v>
      </c>
      <c r="X181" s="290">
        <v>1000</v>
      </c>
      <c r="Y181" s="290"/>
      <c r="Z181" s="290">
        <f>+innut23!E187</f>
        <v>438302.73184615484</v>
      </c>
      <c r="AA181" s="290">
        <v>0</v>
      </c>
      <c r="AB181" s="290">
        <v>442</v>
      </c>
      <c r="AC181" s="290">
        <v>4673</v>
      </c>
      <c r="AD181" s="290"/>
      <c r="AE181" s="290">
        <v>0</v>
      </c>
      <c r="AF181" s="290">
        <v>0</v>
      </c>
      <c r="AG181" s="290">
        <v>14868</v>
      </c>
      <c r="AH181" s="290">
        <v>2437</v>
      </c>
      <c r="AI181" s="290"/>
      <c r="AJ181" s="290"/>
      <c r="AK181" s="290">
        <v>0</v>
      </c>
      <c r="AL181" s="290">
        <v>0</v>
      </c>
      <c r="AM181" s="957">
        <v>0.28766636000000001</v>
      </c>
      <c r="AN181" s="290">
        <v>0</v>
      </c>
      <c r="AO181" s="290">
        <v>6684.9414725200004</v>
      </c>
      <c r="AP181" s="290">
        <v>0</v>
      </c>
      <c r="AQ181" s="290">
        <v>0</v>
      </c>
      <c r="AR181" s="290">
        <v>-610.16199013999994</v>
      </c>
      <c r="AS181" s="290">
        <v>23869</v>
      </c>
      <c r="AT181" s="290">
        <v>852</v>
      </c>
      <c r="AU181" s="290">
        <v>139</v>
      </c>
      <c r="AV181" s="766">
        <v>378481</v>
      </c>
      <c r="AW181" s="290">
        <v>0</v>
      </c>
      <c r="AX181" s="766">
        <v>91.708349999999996</v>
      </c>
      <c r="AY181" s="290">
        <v>3010</v>
      </c>
      <c r="AZ181" s="290">
        <v>534</v>
      </c>
      <c r="BA181" s="290">
        <v>261</v>
      </c>
      <c r="BB181" s="290">
        <v>0</v>
      </c>
      <c r="BC181" s="290">
        <v>10158</v>
      </c>
      <c r="BD181" s="290"/>
      <c r="BE181" s="290">
        <v>435385.63662392</v>
      </c>
      <c r="BF181" s="290">
        <v>0</v>
      </c>
      <c r="BG181" s="290">
        <v>0</v>
      </c>
      <c r="BH181" s="290">
        <v>-2503</v>
      </c>
      <c r="BI181" s="290">
        <v>11777</v>
      </c>
      <c r="BJ181" s="290">
        <v>1739.5472906734449</v>
      </c>
      <c r="BK181" s="290">
        <v>23</v>
      </c>
      <c r="BL181" s="290"/>
      <c r="BM181" s="290">
        <v>0</v>
      </c>
      <c r="BN181" s="290">
        <v>4667</v>
      </c>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f>+innut23!E187+innut23!S187</f>
        <v>438302.73184615484</v>
      </c>
      <c r="CL181" s="290"/>
      <c r="CM181" s="290">
        <v>0</v>
      </c>
      <c r="CN181" s="290">
        <v>0</v>
      </c>
      <c r="CO181" s="290"/>
      <c r="CP181" s="290"/>
      <c r="CQ181" s="290"/>
      <c r="CX181" s="517">
        <f t="shared" si="5"/>
        <v>0</v>
      </c>
      <c r="DB181" s="85">
        <f t="shared" si="6"/>
        <v>2.7250000000000001</v>
      </c>
    </row>
    <row r="182" spans="1:106" ht="13">
      <c r="A182" s="1">
        <v>3443</v>
      </c>
      <c r="B182" s="2" t="s">
        <v>859</v>
      </c>
      <c r="C182" s="289"/>
      <c r="D182" s="290">
        <v>233</v>
      </c>
      <c r="E182" s="290">
        <v>475</v>
      </c>
      <c r="F182" s="290">
        <v>1443</v>
      </c>
      <c r="G182" s="290">
        <v>1127</v>
      </c>
      <c r="H182" s="290">
        <v>7677</v>
      </c>
      <c r="I182" s="290">
        <v>1946</v>
      </c>
      <c r="J182" s="290">
        <v>600</v>
      </c>
      <c r="K182" s="290">
        <v>129</v>
      </c>
      <c r="L182" s="290">
        <v>103</v>
      </c>
      <c r="M182" s="290">
        <v>1160</v>
      </c>
      <c r="N182" s="290">
        <v>341</v>
      </c>
      <c r="O182" s="290">
        <v>112</v>
      </c>
      <c r="P182" s="624">
        <v>43251.698666670003</v>
      </c>
      <c r="Q182" s="624">
        <v>17815.077000000001</v>
      </c>
      <c r="R182" s="624">
        <v>56</v>
      </c>
      <c r="S182" s="290"/>
      <c r="T182" s="290">
        <v>1347</v>
      </c>
      <c r="U182" s="958">
        <v>4.4125635567796298E-3</v>
      </c>
      <c r="V182" s="290">
        <v>5227.07900204</v>
      </c>
      <c r="W182" s="765">
        <v>0.56984707999999995</v>
      </c>
      <c r="X182" s="290">
        <v>2500</v>
      </c>
      <c r="Y182" s="290"/>
      <c r="Z182" s="290">
        <f>+innut23!E188</f>
        <v>383609.50185554335</v>
      </c>
      <c r="AA182" s="290">
        <v>0</v>
      </c>
      <c r="AB182" s="290">
        <v>480</v>
      </c>
      <c r="AC182" s="290">
        <v>5199</v>
      </c>
      <c r="AD182" s="290"/>
      <c r="AE182" s="290">
        <v>0</v>
      </c>
      <c r="AF182" s="290">
        <v>0</v>
      </c>
      <c r="AG182" s="290">
        <v>13630</v>
      </c>
      <c r="AH182" s="290">
        <v>2197</v>
      </c>
      <c r="AI182" s="290"/>
      <c r="AJ182" s="290"/>
      <c r="AK182" s="290">
        <v>0</v>
      </c>
      <c r="AL182" s="290">
        <v>0</v>
      </c>
      <c r="AM182" s="957">
        <v>0.25303408999999999</v>
      </c>
      <c r="AN182" s="290">
        <v>0</v>
      </c>
      <c r="AO182" s="290">
        <v>5962.3058455</v>
      </c>
      <c r="AP182" s="290">
        <v>0</v>
      </c>
      <c r="AQ182" s="290">
        <v>0</v>
      </c>
      <c r="AR182" s="290">
        <v>-559.35619624000003</v>
      </c>
      <c r="AS182" s="290">
        <v>21252</v>
      </c>
      <c r="AT182" s="290">
        <v>808</v>
      </c>
      <c r="AU182" s="290">
        <v>138</v>
      </c>
      <c r="AV182" s="766">
        <v>329111</v>
      </c>
      <c r="AW182" s="290">
        <v>0</v>
      </c>
      <c r="AX182" s="766">
        <v>89.458299999999994</v>
      </c>
      <c r="AY182" s="290">
        <v>2551</v>
      </c>
      <c r="AZ182" s="290">
        <v>418</v>
      </c>
      <c r="BA182" s="290">
        <v>301</v>
      </c>
      <c r="BB182" s="290">
        <v>0</v>
      </c>
      <c r="BC182" s="290">
        <v>8824</v>
      </c>
      <c r="BD182" s="290"/>
      <c r="BE182" s="290">
        <v>380247.98267363</v>
      </c>
      <c r="BF182" s="290">
        <v>0</v>
      </c>
      <c r="BG182" s="290">
        <v>0</v>
      </c>
      <c r="BH182" s="290">
        <v>-2289</v>
      </c>
      <c r="BI182" s="290">
        <v>10507</v>
      </c>
      <c r="BJ182" s="290">
        <v>1540.0748472958028</v>
      </c>
      <c r="BK182" s="290">
        <v>24</v>
      </c>
      <c r="BL182" s="290"/>
      <c r="BM182" s="290">
        <v>0</v>
      </c>
      <c r="BN182" s="290">
        <v>3111</v>
      </c>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f>+innut23!E188+innut23!S188</f>
        <v>383609.50185554335</v>
      </c>
      <c r="CL182" s="290"/>
      <c r="CM182" s="290">
        <v>0</v>
      </c>
      <c r="CN182" s="290">
        <v>0</v>
      </c>
      <c r="CO182" s="290"/>
      <c r="CP182" s="290"/>
      <c r="CQ182" s="290"/>
      <c r="CX182" s="517">
        <f t="shared" si="5"/>
        <v>0</v>
      </c>
      <c r="DB182" s="85">
        <f t="shared" si="6"/>
        <v>2.4980000000000002</v>
      </c>
    </row>
    <row r="183" spans="1:106" ht="13">
      <c r="A183" s="1">
        <v>3446</v>
      </c>
      <c r="B183" s="2" t="s">
        <v>862</v>
      </c>
      <c r="C183" s="289"/>
      <c r="D183" s="290">
        <v>201</v>
      </c>
      <c r="E183" s="290">
        <v>440</v>
      </c>
      <c r="F183" s="290">
        <v>1492</v>
      </c>
      <c r="G183" s="290">
        <v>1158</v>
      </c>
      <c r="H183" s="290">
        <v>7562</v>
      </c>
      <c r="I183" s="290">
        <v>1954</v>
      </c>
      <c r="J183" s="290">
        <v>636</v>
      </c>
      <c r="K183" s="290">
        <v>126</v>
      </c>
      <c r="L183" s="290">
        <v>119</v>
      </c>
      <c r="M183" s="290">
        <v>1298</v>
      </c>
      <c r="N183" s="290">
        <v>398</v>
      </c>
      <c r="O183" s="290">
        <v>99</v>
      </c>
      <c r="P183" s="624">
        <v>57671.015333329997</v>
      </c>
      <c r="Q183" s="624">
        <v>28217.5</v>
      </c>
      <c r="R183" s="624">
        <v>71</v>
      </c>
      <c r="S183" s="290"/>
      <c r="T183" s="290">
        <v>1253</v>
      </c>
      <c r="U183" s="958">
        <v>6.4669089252242474E-3</v>
      </c>
      <c r="V183" s="290">
        <v>7667.5210033900003</v>
      </c>
      <c r="W183" s="765">
        <v>0.60171602000000002</v>
      </c>
      <c r="X183" s="290">
        <v>1000</v>
      </c>
      <c r="Y183" s="290"/>
      <c r="Z183" s="290">
        <f>+innut23!E189</f>
        <v>421086.21833609411</v>
      </c>
      <c r="AA183" s="290">
        <v>0</v>
      </c>
      <c r="AB183" s="290">
        <v>429</v>
      </c>
      <c r="AC183" s="290">
        <v>1853</v>
      </c>
      <c r="AD183" s="290"/>
      <c r="AE183" s="290">
        <v>0</v>
      </c>
      <c r="AF183" s="290">
        <v>0</v>
      </c>
      <c r="AG183" s="290">
        <v>13569</v>
      </c>
      <c r="AH183" s="290">
        <v>2255</v>
      </c>
      <c r="AI183" s="290"/>
      <c r="AJ183" s="290"/>
      <c r="AK183" s="290">
        <v>0</v>
      </c>
      <c r="AL183" s="290">
        <v>0</v>
      </c>
      <c r="AM183" s="957">
        <v>0.35846040000000001</v>
      </c>
      <c r="AN183" s="290">
        <v>0</v>
      </c>
      <c r="AO183" s="290">
        <v>6189.1401563500003</v>
      </c>
      <c r="AP183" s="290">
        <v>0</v>
      </c>
      <c r="AQ183" s="290">
        <v>0</v>
      </c>
      <c r="AR183" s="290">
        <v>4939.8501810500002</v>
      </c>
      <c r="AS183" s="290">
        <v>21738</v>
      </c>
      <c r="AT183" s="290">
        <v>732</v>
      </c>
      <c r="AU183" s="290">
        <v>167</v>
      </c>
      <c r="AV183" s="766">
        <v>368782</v>
      </c>
      <c r="AW183" s="290">
        <v>0</v>
      </c>
      <c r="AX183" s="766">
        <v>64.791650000000004</v>
      </c>
      <c r="AY183" s="290">
        <v>2590</v>
      </c>
      <c r="AZ183" s="290">
        <v>545</v>
      </c>
      <c r="BA183" s="290">
        <v>282</v>
      </c>
      <c r="BB183" s="290">
        <v>0</v>
      </c>
      <c r="BC183" s="290">
        <v>8536</v>
      </c>
      <c r="BD183" s="290"/>
      <c r="BE183" s="290">
        <v>413904.95432187</v>
      </c>
      <c r="BF183" s="290">
        <v>0</v>
      </c>
      <c r="BG183" s="290">
        <v>0</v>
      </c>
      <c r="BH183" s="290">
        <v>-2301</v>
      </c>
      <c r="BI183" s="290">
        <v>9293</v>
      </c>
      <c r="BJ183" s="290">
        <v>1605.8189765998284</v>
      </c>
      <c r="BK183" s="290">
        <v>24</v>
      </c>
      <c r="BL183" s="290"/>
      <c r="BM183" s="290">
        <v>0</v>
      </c>
      <c r="BN183" s="290">
        <v>5185</v>
      </c>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f>+innut23!E189+innut23!S189</f>
        <v>421086.21833609411</v>
      </c>
      <c r="CL183" s="290"/>
      <c r="CM183" s="290">
        <v>0</v>
      </c>
      <c r="CN183" s="290">
        <v>0</v>
      </c>
      <c r="CO183" s="290"/>
      <c r="CP183" s="290"/>
      <c r="CQ183" s="290"/>
      <c r="CX183" s="517">
        <f t="shared" si="5"/>
        <v>0</v>
      </c>
      <c r="DB183" s="85">
        <f t="shared" si="6"/>
        <v>2.4870000000000001</v>
      </c>
    </row>
    <row r="184" spans="1:106" ht="13">
      <c r="A184" s="1">
        <v>3447</v>
      </c>
      <c r="B184" s="2" t="s">
        <v>863</v>
      </c>
      <c r="C184" s="289"/>
      <c r="D184" s="290">
        <v>71</v>
      </c>
      <c r="E184" s="290">
        <v>186</v>
      </c>
      <c r="F184" s="290">
        <v>540</v>
      </c>
      <c r="G184" s="290">
        <v>409</v>
      </c>
      <c r="H184" s="290">
        <v>3123</v>
      </c>
      <c r="I184" s="290">
        <v>887</v>
      </c>
      <c r="J184" s="290">
        <v>272</v>
      </c>
      <c r="K184" s="290">
        <v>50</v>
      </c>
      <c r="L184" s="290">
        <v>49</v>
      </c>
      <c r="M184" s="290">
        <v>595</v>
      </c>
      <c r="N184" s="290">
        <v>100</v>
      </c>
      <c r="O184" s="290">
        <v>40</v>
      </c>
      <c r="P184" s="624">
        <v>34334.607333330001</v>
      </c>
      <c r="Q184" s="624">
        <v>24350.541000000001</v>
      </c>
      <c r="R184" s="624">
        <v>31</v>
      </c>
      <c r="S184" s="290"/>
      <c r="T184" s="290">
        <v>534</v>
      </c>
      <c r="U184" s="958">
        <v>2.9324527643443399E-3</v>
      </c>
      <c r="V184" s="290">
        <v>1036.06846165</v>
      </c>
      <c r="W184" s="765">
        <v>0.75213043000000002</v>
      </c>
      <c r="X184" s="290">
        <v>1500</v>
      </c>
      <c r="Y184" s="290"/>
      <c r="Z184" s="290">
        <f>+innut23!E190</f>
        <v>139993.0295167208</v>
      </c>
      <c r="AA184" s="290">
        <v>0</v>
      </c>
      <c r="AB184" s="290">
        <v>243</v>
      </c>
      <c r="AC184" s="290">
        <v>1287</v>
      </c>
      <c r="AD184" s="290"/>
      <c r="AE184" s="290">
        <v>0</v>
      </c>
      <c r="AF184" s="290">
        <v>0</v>
      </c>
      <c r="AG184" s="290">
        <v>5538</v>
      </c>
      <c r="AH184" s="290">
        <v>826</v>
      </c>
      <c r="AI184" s="290"/>
      <c r="AJ184" s="290"/>
      <c r="AK184" s="290">
        <v>0</v>
      </c>
      <c r="AL184" s="290">
        <v>0</v>
      </c>
      <c r="AM184" s="957">
        <v>0.16437175000000001</v>
      </c>
      <c r="AN184" s="290">
        <v>8146</v>
      </c>
      <c r="AO184" s="290">
        <v>2635.2522528600002</v>
      </c>
      <c r="AP184" s="290">
        <v>0</v>
      </c>
      <c r="AQ184" s="290">
        <v>0</v>
      </c>
      <c r="AR184" s="290">
        <v>891.64218165</v>
      </c>
      <c r="AS184" s="290">
        <v>8872</v>
      </c>
      <c r="AT184" s="290">
        <v>301</v>
      </c>
      <c r="AU184" s="290">
        <v>70</v>
      </c>
      <c r="AV184" s="766">
        <v>171397</v>
      </c>
      <c r="AW184" s="290">
        <v>0</v>
      </c>
      <c r="AX184" s="766">
        <v>19.124949999999998</v>
      </c>
      <c r="AY184" s="290">
        <v>963</v>
      </c>
      <c r="AZ184" s="290">
        <v>239</v>
      </c>
      <c r="BA184" s="290">
        <v>117</v>
      </c>
      <c r="BB184" s="290">
        <v>0</v>
      </c>
      <c r="BC184" s="290">
        <v>3230</v>
      </c>
      <c r="BD184" s="290"/>
      <c r="BE184" s="290">
        <v>191269.00193142999</v>
      </c>
      <c r="BF184" s="290">
        <v>0</v>
      </c>
      <c r="BG184" s="290">
        <v>0</v>
      </c>
      <c r="BH184" s="290">
        <v>-939</v>
      </c>
      <c r="BI184" s="290">
        <v>3669</v>
      </c>
      <c r="BJ184" s="290">
        <v>624.62511920476106</v>
      </c>
      <c r="BK184" s="290">
        <v>10</v>
      </c>
      <c r="BL184" s="290"/>
      <c r="BM184" s="290">
        <v>0</v>
      </c>
      <c r="BN184" s="290">
        <v>1556</v>
      </c>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f>+innut23!E190+innut23!S190</f>
        <v>139993.0295167208</v>
      </c>
      <c r="CL184" s="290"/>
      <c r="CM184" s="290">
        <v>0</v>
      </c>
      <c r="CN184" s="290">
        <v>0</v>
      </c>
      <c r="CO184" s="290"/>
      <c r="CP184" s="290"/>
      <c r="CQ184" s="290"/>
      <c r="CX184" s="517">
        <f t="shared" si="5"/>
        <v>0</v>
      </c>
      <c r="DB184" s="85">
        <f t="shared" si="6"/>
        <v>1.0149999999999999</v>
      </c>
    </row>
    <row r="185" spans="1:106" ht="13">
      <c r="A185" s="1">
        <v>3448</v>
      </c>
      <c r="B185" s="2" t="s">
        <v>864</v>
      </c>
      <c r="C185" s="289"/>
      <c r="D185" s="290">
        <v>102</v>
      </c>
      <c r="E185" s="290">
        <v>236</v>
      </c>
      <c r="F185" s="290">
        <v>717</v>
      </c>
      <c r="G185" s="290">
        <v>472</v>
      </c>
      <c r="H185" s="290">
        <v>3622</v>
      </c>
      <c r="I185" s="290">
        <v>998</v>
      </c>
      <c r="J185" s="290">
        <v>332</v>
      </c>
      <c r="K185" s="290">
        <v>65</v>
      </c>
      <c r="L185" s="290">
        <v>66</v>
      </c>
      <c r="M185" s="290">
        <v>707</v>
      </c>
      <c r="N185" s="290">
        <v>108</v>
      </c>
      <c r="O185" s="290">
        <v>52</v>
      </c>
      <c r="P185" s="624">
        <v>51127.661</v>
      </c>
      <c r="Q185" s="624">
        <v>24003.546999999999</v>
      </c>
      <c r="R185" s="624">
        <v>35</v>
      </c>
      <c r="S185" s="290"/>
      <c r="T185" s="290">
        <v>624</v>
      </c>
      <c r="U185" s="958">
        <v>5.0828821940508747E-3</v>
      </c>
      <c r="V185" s="290">
        <v>3342.42652159</v>
      </c>
      <c r="W185" s="765">
        <v>0.68775050000000004</v>
      </c>
      <c r="X185" s="290">
        <v>2700</v>
      </c>
      <c r="Y185" s="290"/>
      <c r="Z185" s="290">
        <f>+innut23!E191</f>
        <v>171019.59658615338</v>
      </c>
      <c r="AA185" s="290">
        <v>0</v>
      </c>
      <c r="AB185" s="290">
        <v>241</v>
      </c>
      <c r="AC185" s="290">
        <v>887</v>
      </c>
      <c r="AD185" s="290"/>
      <c r="AE185" s="290">
        <v>0</v>
      </c>
      <c r="AF185" s="290">
        <v>0</v>
      </c>
      <c r="AG185" s="290">
        <v>6544</v>
      </c>
      <c r="AH185" s="290">
        <v>1074</v>
      </c>
      <c r="AI185" s="290"/>
      <c r="AJ185" s="290"/>
      <c r="AK185" s="290">
        <v>0</v>
      </c>
      <c r="AL185" s="290">
        <v>0</v>
      </c>
      <c r="AM185" s="957">
        <v>0.10777006</v>
      </c>
      <c r="AN185" s="290">
        <v>5655</v>
      </c>
      <c r="AO185" s="290">
        <v>3195.1900278799999</v>
      </c>
      <c r="AP185" s="290">
        <v>0</v>
      </c>
      <c r="AQ185" s="290">
        <v>0</v>
      </c>
      <c r="AR185" s="290">
        <v>-268.55663595999999</v>
      </c>
      <c r="AS185" s="290">
        <v>10403</v>
      </c>
      <c r="AT185" s="290">
        <v>317</v>
      </c>
      <c r="AU185" s="290">
        <v>57</v>
      </c>
      <c r="AV185" s="766">
        <v>205099</v>
      </c>
      <c r="AW185" s="290">
        <v>0</v>
      </c>
      <c r="AX185" s="766">
        <v>31.208300000000001</v>
      </c>
      <c r="AY185" s="290">
        <v>1045</v>
      </c>
      <c r="AZ185" s="290">
        <v>258</v>
      </c>
      <c r="BA185" s="290">
        <v>114</v>
      </c>
      <c r="BB185" s="290">
        <v>0</v>
      </c>
      <c r="BC185" s="290">
        <v>3154</v>
      </c>
      <c r="BD185" s="290"/>
      <c r="BE185" s="290">
        <v>235661.55197209999</v>
      </c>
      <c r="BF185" s="290">
        <v>0</v>
      </c>
      <c r="BG185" s="290">
        <v>0</v>
      </c>
      <c r="BH185" s="290">
        <v>-1107</v>
      </c>
      <c r="BI185" s="290">
        <v>3517</v>
      </c>
      <c r="BJ185" s="290">
        <v>812.11130749452252</v>
      </c>
      <c r="BK185" s="290">
        <v>11</v>
      </c>
      <c r="BL185" s="290"/>
      <c r="BM185" s="290">
        <v>0</v>
      </c>
      <c r="BN185" s="290">
        <v>1556</v>
      </c>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f>+innut23!E191+innut23!S191</f>
        <v>171019.59658615338</v>
      </c>
      <c r="CL185" s="290"/>
      <c r="CM185" s="290">
        <v>0</v>
      </c>
      <c r="CN185" s="290">
        <v>0</v>
      </c>
      <c r="CO185" s="290"/>
      <c r="CP185" s="290"/>
      <c r="CQ185" s="290"/>
      <c r="CX185" s="517">
        <f t="shared" si="5"/>
        <v>0</v>
      </c>
      <c r="DB185" s="85">
        <f t="shared" si="6"/>
        <v>1.1990000000000001</v>
      </c>
    </row>
    <row r="186" spans="1:106" ht="13">
      <c r="A186" s="1">
        <v>3449</v>
      </c>
      <c r="B186" s="2" t="s">
        <v>865</v>
      </c>
      <c r="C186" s="289"/>
      <c r="D186" s="290">
        <v>29</v>
      </c>
      <c r="E186" s="290">
        <v>83</v>
      </c>
      <c r="F186" s="290">
        <v>301</v>
      </c>
      <c r="G186" s="290">
        <v>220</v>
      </c>
      <c r="H186" s="290">
        <v>1558</v>
      </c>
      <c r="I186" s="290">
        <v>482</v>
      </c>
      <c r="J186" s="290">
        <v>168</v>
      </c>
      <c r="K186" s="290">
        <v>35</v>
      </c>
      <c r="L186" s="290">
        <v>25</v>
      </c>
      <c r="M186" s="290">
        <v>320</v>
      </c>
      <c r="N186" s="290">
        <v>41</v>
      </c>
      <c r="O186" s="290">
        <v>18</v>
      </c>
      <c r="P186" s="624">
        <v>46536.218333329998</v>
      </c>
      <c r="Q186" s="624">
        <v>10093.91</v>
      </c>
      <c r="R186" s="624">
        <v>30</v>
      </c>
      <c r="S186" s="290"/>
      <c r="T186" s="290">
        <v>317</v>
      </c>
      <c r="U186" s="958">
        <v>3.1308702944356824E-3</v>
      </c>
      <c r="V186" s="290">
        <v>2061.4861125000002</v>
      </c>
      <c r="W186" s="765">
        <v>0.93842172999999995</v>
      </c>
      <c r="X186" s="290">
        <v>1000</v>
      </c>
      <c r="Y186" s="290"/>
      <c r="Z186" s="290">
        <f>+innut23!E192</f>
        <v>85851.126895935929</v>
      </c>
      <c r="AA186" s="290">
        <v>0</v>
      </c>
      <c r="AB186" s="290">
        <v>88</v>
      </c>
      <c r="AC186" s="290">
        <v>1737</v>
      </c>
      <c r="AD186" s="290"/>
      <c r="AE186" s="290">
        <v>0</v>
      </c>
      <c r="AF186" s="290">
        <v>0</v>
      </c>
      <c r="AG186" s="290">
        <v>2876</v>
      </c>
      <c r="AH186" s="290">
        <v>424</v>
      </c>
      <c r="AI186" s="290"/>
      <c r="AJ186" s="290"/>
      <c r="AK186" s="290">
        <v>0</v>
      </c>
      <c r="AL186" s="290">
        <v>0</v>
      </c>
      <c r="AM186" s="957">
        <v>3.778815E-2</v>
      </c>
      <c r="AN186" s="290">
        <v>0</v>
      </c>
      <c r="AO186" s="290">
        <v>1593.5543634000001</v>
      </c>
      <c r="AP186" s="290">
        <v>0</v>
      </c>
      <c r="AQ186" s="290">
        <v>0</v>
      </c>
      <c r="AR186" s="290">
        <v>4426.5504256599997</v>
      </c>
      <c r="AS186" s="290">
        <v>4624</v>
      </c>
      <c r="AT186" s="290">
        <v>154</v>
      </c>
      <c r="AU186" s="290">
        <v>16</v>
      </c>
      <c r="AV186" s="766">
        <v>130299</v>
      </c>
      <c r="AW186" s="290">
        <v>0</v>
      </c>
      <c r="AX186" s="766">
        <v>7.6249500000000001</v>
      </c>
      <c r="AY186" s="290">
        <v>514</v>
      </c>
      <c r="AZ186" s="290">
        <v>128</v>
      </c>
      <c r="BA186" s="290">
        <v>48</v>
      </c>
      <c r="BB186" s="290">
        <v>6257</v>
      </c>
      <c r="BC186" s="290">
        <v>3656</v>
      </c>
      <c r="BD186" s="290"/>
      <c r="BE186" s="290">
        <v>136984.04311976</v>
      </c>
      <c r="BF186" s="290">
        <v>0</v>
      </c>
      <c r="BG186" s="290">
        <v>0</v>
      </c>
      <c r="BH186" s="290">
        <v>-492</v>
      </c>
      <c r="BI186" s="290">
        <v>4235</v>
      </c>
      <c r="BJ186" s="290">
        <v>373.66848949887498</v>
      </c>
      <c r="BK186" s="290">
        <v>5</v>
      </c>
      <c r="BL186" s="290"/>
      <c r="BM186" s="290">
        <v>0</v>
      </c>
      <c r="BN186" s="290">
        <v>2074</v>
      </c>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f>+innut23!E192+innut23!S192</f>
        <v>85851.126895935929</v>
      </c>
      <c r="CL186" s="290"/>
      <c r="CM186" s="290">
        <v>0</v>
      </c>
      <c r="CN186" s="290">
        <v>0</v>
      </c>
      <c r="CO186" s="290"/>
      <c r="CP186" s="290"/>
      <c r="CQ186" s="290"/>
      <c r="CX186" s="517">
        <f t="shared" si="5"/>
        <v>0</v>
      </c>
      <c r="DB186" s="85">
        <f t="shared" si="6"/>
        <v>0.52700000000000002</v>
      </c>
    </row>
    <row r="187" spans="1:106" ht="13">
      <c r="A187" s="1">
        <v>3450</v>
      </c>
      <c r="B187" s="2" t="s">
        <v>866</v>
      </c>
      <c r="C187" s="289"/>
      <c r="D187" s="290">
        <v>14</v>
      </c>
      <c r="E187" s="290">
        <v>24</v>
      </c>
      <c r="F187" s="290">
        <v>125</v>
      </c>
      <c r="G187" s="290">
        <v>92</v>
      </c>
      <c r="H187" s="290">
        <v>668</v>
      </c>
      <c r="I187" s="290">
        <v>207</v>
      </c>
      <c r="J187" s="290">
        <v>83</v>
      </c>
      <c r="K187" s="290">
        <v>19</v>
      </c>
      <c r="L187" s="290">
        <v>11</v>
      </c>
      <c r="M187" s="290">
        <v>174</v>
      </c>
      <c r="N187" s="290">
        <v>27</v>
      </c>
      <c r="O187" s="290">
        <v>9</v>
      </c>
      <c r="P187" s="624">
        <v>11493.09333333</v>
      </c>
      <c r="Q187" s="624">
        <v>7864.1146666699997</v>
      </c>
      <c r="R187" s="624">
        <v>5</v>
      </c>
      <c r="S187" s="290"/>
      <c r="T187" s="290">
        <v>133</v>
      </c>
      <c r="U187" s="958">
        <v>1.615933132914184E-3</v>
      </c>
      <c r="V187" s="290">
        <v>932.08085832999996</v>
      </c>
      <c r="W187" s="765">
        <v>0.90711701</v>
      </c>
      <c r="X187" s="290">
        <v>1000</v>
      </c>
      <c r="Y187" s="290"/>
      <c r="Z187" s="290">
        <f>+innut23!E193</f>
        <v>35174.58212769121</v>
      </c>
      <c r="AA187" s="290">
        <v>0</v>
      </c>
      <c r="AB187" s="290">
        <v>33</v>
      </c>
      <c r="AC187" s="290">
        <v>581</v>
      </c>
      <c r="AD187" s="290"/>
      <c r="AE187" s="290">
        <v>0</v>
      </c>
      <c r="AF187" s="290">
        <v>0</v>
      </c>
      <c r="AG187" s="290">
        <v>1232</v>
      </c>
      <c r="AH187" s="290">
        <v>172</v>
      </c>
      <c r="AI187" s="290"/>
      <c r="AJ187" s="290"/>
      <c r="AK187" s="290">
        <v>0</v>
      </c>
      <c r="AL187" s="290">
        <v>0</v>
      </c>
      <c r="AM187" s="957">
        <v>3.8089779999999997E-2</v>
      </c>
      <c r="AN187" s="290">
        <v>0</v>
      </c>
      <c r="AO187" s="290">
        <v>720.51007757000002</v>
      </c>
      <c r="AP187" s="290">
        <v>0</v>
      </c>
      <c r="AQ187" s="290">
        <v>0</v>
      </c>
      <c r="AR187" s="290">
        <v>4503.1837743100004</v>
      </c>
      <c r="AS187" s="290">
        <v>1990</v>
      </c>
      <c r="AT187" s="290">
        <v>58</v>
      </c>
      <c r="AU187" s="290">
        <v>14</v>
      </c>
      <c r="AV187" s="766">
        <v>67413</v>
      </c>
      <c r="AW187" s="290">
        <v>0</v>
      </c>
      <c r="AX187" s="766">
        <v>1.45835</v>
      </c>
      <c r="AY187" s="290">
        <v>233</v>
      </c>
      <c r="AZ187" s="290">
        <v>74</v>
      </c>
      <c r="BA187" s="290">
        <v>19</v>
      </c>
      <c r="BB187" s="290">
        <v>6257</v>
      </c>
      <c r="BC187" s="290">
        <v>1094</v>
      </c>
      <c r="BD187" s="290"/>
      <c r="BE187" s="290">
        <v>67646.530848549999</v>
      </c>
      <c r="BF187" s="290">
        <v>0</v>
      </c>
      <c r="BG187" s="290">
        <v>0</v>
      </c>
      <c r="BH187" s="290">
        <v>-211</v>
      </c>
      <c r="BI187" s="290">
        <v>1272</v>
      </c>
      <c r="BJ187" s="290">
        <v>171.77695938936401</v>
      </c>
      <c r="BK187" s="290">
        <v>2</v>
      </c>
      <c r="BL187" s="290"/>
      <c r="BM187" s="290">
        <v>0</v>
      </c>
      <c r="BN187" s="290">
        <v>519</v>
      </c>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f>+innut23!E193+innut23!S193</f>
        <v>35174.58212769121</v>
      </c>
      <c r="CL187" s="290"/>
      <c r="CM187" s="290">
        <v>0</v>
      </c>
      <c r="CN187" s="290">
        <v>0</v>
      </c>
      <c r="CO187" s="290"/>
      <c r="CP187" s="290"/>
      <c r="CQ187" s="290"/>
      <c r="CX187" s="517">
        <f t="shared" si="5"/>
        <v>0</v>
      </c>
      <c r="DB187" s="85">
        <f t="shared" si="6"/>
        <v>0.22600000000000001</v>
      </c>
    </row>
    <row r="188" spans="1:106" ht="13">
      <c r="A188" s="1">
        <v>3451</v>
      </c>
      <c r="B188" s="2" t="s">
        <v>867</v>
      </c>
      <c r="C188" s="289"/>
      <c r="D188" s="290">
        <v>107</v>
      </c>
      <c r="E188" s="290">
        <v>222</v>
      </c>
      <c r="F188" s="290">
        <v>669</v>
      </c>
      <c r="G188" s="290">
        <v>508</v>
      </c>
      <c r="H188" s="290">
        <v>3479</v>
      </c>
      <c r="I188" s="290">
        <v>1062</v>
      </c>
      <c r="J188" s="290">
        <v>301</v>
      </c>
      <c r="K188" s="290">
        <v>69</v>
      </c>
      <c r="L188" s="290">
        <v>54</v>
      </c>
      <c r="M188" s="290">
        <v>671</v>
      </c>
      <c r="N188" s="290">
        <v>134</v>
      </c>
      <c r="O188" s="290">
        <v>67</v>
      </c>
      <c r="P188" s="624">
        <v>44760.188333329999</v>
      </c>
      <c r="Q188" s="624">
        <v>15281.96066667</v>
      </c>
      <c r="R188" s="624">
        <v>33</v>
      </c>
      <c r="S188" s="290"/>
      <c r="T188" s="290">
        <v>673</v>
      </c>
      <c r="U188" s="958">
        <v>4.5592709398297408E-3</v>
      </c>
      <c r="V188" s="290">
        <v>69.53313249</v>
      </c>
      <c r="W188" s="765">
        <v>0.65774933000000002</v>
      </c>
      <c r="X188" s="290">
        <v>1000</v>
      </c>
      <c r="Y188" s="290"/>
      <c r="Z188" s="290">
        <f>+innut23!E194</f>
        <v>200420.48987232373</v>
      </c>
      <c r="AA188" s="290">
        <v>0</v>
      </c>
      <c r="AB188" s="290">
        <v>137</v>
      </c>
      <c r="AC188" s="290">
        <v>667</v>
      </c>
      <c r="AD188" s="290"/>
      <c r="AE188" s="290">
        <v>0</v>
      </c>
      <c r="AF188" s="290">
        <v>0</v>
      </c>
      <c r="AG188" s="290">
        <v>6417</v>
      </c>
      <c r="AH188" s="290">
        <v>1021</v>
      </c>
      <c r="AI188" s="290"/>
      <c r="AJ188" s="290"/>
      <c r="AK188" s="290">
        <v>0</v>
      </c>
      <c r="AL188" s="290">
        <v>0</v>
      </c>
      <c r="AM188" s="957">
        <v>0.11856495</v>
      </c>
      <c r="AN188" s="290">
        <v>9151</v>
      </c>
      <c r="AO188" s="290">
        <v>3023.66368276</v>
      </c>
      <c r="AP188" s="290">
        <v>0</v>
      </c>
      <c r="AQ188" s="290">
        <v>0</v>
      </c>
      <c r="AR188" s="290">
        <v>254.32568577000001</v>
      </c>
      <c r="AS188" s="290">
        <v>10161</v>
      </c>
      <c r="AT188" s="290">
        <v>340</v>
      </c>
      <c r="AU188" s="290">
        <v>57</v>
      </c>
      <c r="AV188" s="766">
        <v>190899</v>
      </c>
      <c r="AW188" s="290">
        <v>0</v>
      </c>
      <c r="AX188" s="766">
        <v>32.499949999999998</v>
      </c>
      <c r="AY188" s="290">
        <v>1300</v>
      </c>
      <c r="AZ188" s="290">
        <v>247</v>
      </c>
      <c r="BA188" s="290">
        <v>100</v>
      </c>
      <c r="BB188" s="290">
        <v>0</v>
      </c>
      <c r="BC188" s="290">
        <v>2450</v>
      </c>
      <c r="BD188" s="290"/>
      <c r="BE188" s="290">
        <v>213756.91881443001</v>
      </c>
      <c r="BF188" s="290">
        <v>0</v>
      </c>
      <c r="BG188" s="290">
        <v>0</v>
      </c>
      <c r="BH188" s="290">
        <v>-1073</v>
      </c>
      <c r="BI188" s="290">
        <v>2725</v>
      </c>
      <c r="BJ188" s="290">
        <v>754.90487025051607</v>
      </c>
      <c r="BK188" s="290">
        <v>10</v>
      </c>
      <c r="BL188" s="290"/>
      <c r="BM188" s="290">
        <v>0</v>
      </c>
      <c r="BN188" s="290">
        <v>1037</v>
      </c>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f>+innut23!E194+innut23!S194</f>
        <v>200420.48987232373</v>
      </c>
      <c r="CL188" s="290"/>
      <c r="CM188" s="290">
        <v>0</v>
      </c>
      <c r="CN188" s="290">
        <v>0</v>
      </c>
      <c r="CO188" s="290"/>
      <c r="CP188" s="290"/>
      <c r="CQ188" s="290"/>
      <c r="CX188" s="517">
        <f t="shared" si="5"/>
        <v>0</v>
      </c>
      <c r="DB188" s="85">
        <f t="shared" si="6"/>
        <v>1.1759999999999999</v>
      </c>
    </row>
    <row r="189" spans="1:106" ht="13">
      <c r="A189" s="1">
        <v>3452</v>
      </c>
      <c r="B189" s="2" t="s">
        <v>868</v>
      </c>
      <c r="C189" s="289"/>
      <c r="D189" s="290">
        <v>31</v>
      </c>
      <c r="E189" s="290">
        <v>72</v>
      </c>
      <c r="F189" s="290">
        <v>220</v>
      </c>
      <c r="G189" s="290">
        <v>167</v>
      </c>
      <c r="H189" s="290">
        <v>1209</v>
      </c>
      <c r="I189" s="290">
        <v>302</v>
      </c>
      <c r="J189" s="290">
        <v>101</v>
      </c>
      <c r="K189" s="290">
        <v>16</v>
      </c>
      <c r="L189" s="290">
        <v>19</v>
      </c>
      <c r="M189" s="290">
        <v>211</v>
      </c>
      <c r="N189" s="290">
        <v>34</v>
      </c>
      <c r="O189" s="290">
        <v>18</v>
      </c>
      <c r="P189" s="624">
        <v>18144.988333329999</v>
      </c>
      <c r="Q189" s="624">
        <v>10305.949000000001</v>
      </c>
      <c r="R189" s="624">
        <v>5</v>
      </c>
      <c r="S189" s="290"/>
      <c r="T189" s="290">
        <v>217</v>
      </c>
      <c r="U189" s="958">
        <v>3.4126717467873185E-3</v>
      </c>
      <c r="V189" s="290">
        <v>896.46094774000005</v>
      </c>
      <c r="W189" s="765">
        <v>0.76983539999999995</v>
      </c>
      <c r="X189" s="290">
        <v>0</v>
      </c>
      <c r="Y189" s="290"/>
      <c r="Z189" s="290">
        <f>+innut23!E195</f>
        <v>76238.206953294808</v>
      </c>
      <c r="AA189" s="290">
        <v>0</v>
      </c>
      <c r="AB189" s="290">
        <v>56</v>
      </c>
      <c r="AC189" s="290">
        <v>609</v>
      </c>
      <c r="AD189" s="290"/>
      <c r="AE189" s="290">
        <v>0</v>
      </c>
      <c r="AF189" s="290">
        <v>0</v>
      </c>
      <c r="AG189" s="290">
        <v>2118</v>
      </c>
      <c r="AH189" s="290">
        <v>337</v>
      </c>
      <c r="AI189" s="290"/>
      <c r="AJ189" s="290"/>
      <c r="AK189" s="290">
        <v>0</v>
      </c>
      <c r="AL189" s="290">
        <v>0</v>
      </c>
      <c r="AM189" s="957">
        <v>3.443827E-2</v>
      </c>
      <c r="AN189" s="290">
        <v>0</v>
      </c>
      <c r="AO189" s="290">
        <v>1042.37705708</v>
      </c>
      <c r="AP189" s="290">
        <v>0</v>
      </c>
      <c r="AQ189" s="290">
        <v>0</v>
      </c>
      <c r="AR189" s="290">
        <v>955.06801063</v>
      </c>
      <c r="AS189" s="290">
        <v>3492</v>
      </c>
      <c r="AT189" s="290">
        <v>98</v>
      </c>
      <c r="AU189" s="290">
        <v>18</v>
      </c>
      <c r="AV189" s="766">
        <v>74153</v>
      </c>
      <c r="AW189" s="290">
        <v>0</v>
      </c>
      <c r="AX189" s="766">
        <v>6.0416499999999997</v>
      </c>
      <c r="AY189" s="290">
        <v>407</v>
      </c>
      <c r="AZ189" s="290">
        <v>87</v>
      </c>
      <c r="BA189" s="290">
        <v>37</v>
      </c>
      <c r="BB189" s="290">
        <v>6257</v>
      </c>
      <c r="BC189" s="290">
        <v>1259</v>
      </c>
      <c r="BD189" s="290"/>
      <c r="BE189" s="290">
        <v>81122.402574780004</v>
      </c>
      <c r="BF189" s="290">
        <v>0</v>
      </c>
      <c r="BG189" s="290">
        <v>0</v>
      </c>
      <c r="BH189" s="290">
        <v>-356</v>
      </c>
      <c r="BI189" s="290">
        <v>1465</v>
      </c>
      <c r="BJ189" s="290">
        <v>272.21019542835285</v>
      </c>
      <c r="BK189" s="290">
        <v>3</v>
      </c>
      <c r="BL189" s="290"/>
      <c r="BM189" s="290">
        <v>0</v>
      </c>
      <c r="BN189" s="290">
        <v>519</v>
      </c>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f>+innut23!E195+innut23!S195</f>
        <v>76238.206953294808</v>
      </c>
      <c r="CL189" s="290"/>
      <c r="CM189" s="290">
        <v>0</v>
      </c>
      <c r="CN189" s="290">
        <v>0</v>
      </c>
      <c r="CO189" s="290"/>
      <c r="CP189" s="290"/>
      <c r="CQ189" s="290"/>
      <c r="CX189" s="517">
        <f t="shared" si="5"/>
        <v>0</v>
      </c>
      <c r="DB189" s="85">
        <f t="shared" si="6"/>
        <v>0.38800000000000001</v>
      </c>
    </row>
    <row r="190" spans="1:106" ht="13">
      <c r="A190" s="1">
        <v>3453</v>
      </c>
      <c r="B190" s="2" t="s">
        <v>869</v>
      </c>
      <c r="C190" s="289"/>
      <c r="D190" s="290">
        <v>51</v>
      </c>
      <c r="E190" s="290">
        <v>124</v>
      </c>
      <c r="F190" s="290">
        <v>336</v>
      </c>
      <c r="G190" s="290">
        <v>242</v>
      </c>
      <c r="H190" s="290">
        <v>1819</v>
      </c>
      <c r="I190" s="290">
        <v>500</v>
      </c>
      <c r="J190" s="290">
        <v>154</v>
      </c>
      <c r="K190" s="290">
        <v>19</v>
      </c>
      <c r="L190" s="290">
        <v>28</v>
      </c>
      <c r="M190" s="290">
        <v>300</v>
      </c>
      <c r="N190" s="290">
        <v>32</v>
      </c>
      <c r="O190" s="290">
        <v>30</v>
      </c>
      <c r="P190" s="624">
        <v>49004.200666670004</v>
      </c>
      <c r="Q190" s="624">
        <v>16607.898333329998</v>
      </c>
      <c r="R190" s="624">
        <v>12</v>
      </c>
      <c r="S190" s="290"/>
      <c r="T190" s="290">
        <v>305</v>
      </c>
      <c r="U190" s="958">
        <v>3.3548426565100718E-3</v>
      </c>
      <c r="V190" s="290">
        <v>2049.6211021300001</v>
      </c>
      <c r="W190" s="765">
        <v>0.79431105999999996</v>
      </c>
      <c r="X190" s="290">
        <v>0</v>
      </c>
      <c r="Y190" s="290"/>
      <c r="Z190" s="290">
        <f>+innut23!E196</f>
        <v>117658.4767232751</v>
      </c>
      <c r="AA190" s="290">
        <v>0</v>
      </c>
      <c r="AB190" s="290">
        <v>48</v>
      </c>
      <c r="AC190" s="290">
        <v>0</v>
      </c>
      <c r="AD190" s="290"/>
      <c r="AE190" s="290">
        <v>0</v>
      </c>
      <c r="AF190" s="290">
        <v>0</v>
      </c>
      <c r="AG190" s="290">
        <v>3245</v>
      </c>
      <c r="AH190" s="290">
        <v>517</v>
      </c>
      <c r="AI190" s="290"/>
      <c r="AJ190" s="290"/>
      <c r="AK190" s="290">
        <v>0</v>
      </c>
      <c r="AL190" s="290">
        <v>0</v>
      </c>
      <c r="AM190" s="957">
        <v>6.113524E-2</v>
      </c>
      <c r="AN190" s="290">
        <v>4279</v>
      </c>
      <c r="AO190" s="290">
        <v>1584.3825630599999</v>
      </c>
      <c r="AP190" s="290">
        <v>0</v>
      </c>
      <c r="AQ190" s="290">
        <v>0</v>
      </c>
      <c r="AR190" s="290">
        <v>-133.17027562999999</v>
      </c>
      <c r="AS190" s="290">
        <v>4720</v>
      </c>
      <c r="AT190" s="290">
        <v>158</v>
      </c>
      <c r="AU190" s="290">
        <v>31</v>
      </c>
      <c r="AV190" s="766">
        <v>105328</v>
      </c>
      <c r="AW190" s="290">
        <v>0</v>
      </c>
      <c r="AX190" s="766">
        <v>15.791650000000001</v>
      </c>
      <c r="AY190" s="290">
        <v>693</v>
      </c>
      <c r="AZ190" s="290">
        <v>132</v>
      </c>
      <c r="BA190" s="290">
        <v>52</v>
      </c>
      <c r="BB190" s="290">
        <v>0</v>
      </c>
      <c r="BC190" s="290">
        <v>2012</v>
      </c>
      <c r="BD190" s="290"/>
      <c r="BE190" s="290">
        <v>117711.51983547</v>
      </c>
      <c r="BF190" s="290">
        <v>0</v>
      </c>
      <c r="BG190" s="290">
        <v>0</v>
      </c>
      <c r="BH190" s="290">
        <v>-547</v>
      </c>
      <c r="BI190" s="290">
        <v>2073</v>
      </c>
      <c r="BJ190" s="290">
        <v>418.26802054408722</v>
      </c>
      <c r="BK190" s="290">
        <v>5</v>
      </c>
      <c r="BL190" s="290"/>
      <c r="BM190" s="290">
        <v>0</v>
      </c>
      <c r="BN190" s="290">
        <v>1556</v>
      </c>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f>+innut23!E196+innut23!S196</f>
        <v>117658.4767232751</v>
      </c>
      <c r="CL190" s="290"/>
      <c r="CM190" s="290">
        <v>0</v>
      </c>
      <c r="CN190" s="290">
        <v>0</v>
      </c>
      <c r="CO190" s="290"/>
      <c r="CP190" s="290"/>
      <c r="CQ190" s="290"/>
      <c r="CX190" s="517">
        <f t="shared" si="5"/>
        <v>0</v>
      </c>
      <c r="DB190" s="85">
        <f t="shared" si="6"/>
        <v>0.59499999999999997</v>
      </c>
    </row>
    <row r="191" spans="1:106" ht="13">
      <c r="A191" s="1">
        <v>3454</v>
      </c>
      <c r="B191" s="2" t="s">
        <v>870</v>
      </c>
      <c r="C191" s="289"/>
      <c r="D191" s="290">
        <v>27</v>
      </c>
      <c r="E191" s="290">
        <v>63</v>
      </c>
      <c r="F191" s="290">
        <v>203</v>
      </c>
      <c r="G191" s="290">
        <v>139</v>
      </c>
      <c r="H191" s="290">
        <v>880</v>
      </c>
      <c r="I191" s="290">
        <v>248</v>
      </c>
      <c r="J191" s="290">
        <v>67</v>
      </c>
      <c r="K191" s="290">
        <v>25</v>
      </c>
      <c r="L191" s="290">
        <v>12</v>
      </c>
      <c r="M191" s="290">
        <v>139</v>
      </c>
      <c r="N191" s="290">
        <v>20</v>
      </c>
      <c r="O191" s="290">
        <v>32</v>
      </c>
      <c r="P191" s="624">
        <v>16582.261999999999</v>
      </c>
      <c r="Q191" s="624">
        <v>6764.4186666699998</v>
      </c>
      <c r="R191" s="624">
        <v>8</v>
      </c>
      <c r="S191" s="290"/>
      <c r="T191" s="290">
        <v>137</v>
      </c>
      <c r="U191" s="958">
        <v>2.4096754126867979E-3</v>
      </c>
      <c r="V191" s="290">
        <v>1213.02132689</v>
      </c>
      <c r="W191" s="765">
        <v>0.99036928000000002</v>
      </c>
      <c r="X191" s="290">
        <v>0</v>
      </c>
      <c r="Y191" s="290"/>
      <c r="Z191" s="290">
        <f>+innut23!E197</f>
        <v>54472.024756178507</v>
      </c>
      <c r="AA191" s="290">
        <v>0</v>
      </c>
      <c r="AB191" s="290">
        <v>32</v>
      </c>
      <c r="AC191" s="290">
        <v>0</v>
      </c>
      <c r="AD191" s="290"/>
      <c r="AE191" s="290">
        <v>0</v>
      </c>
      <c r="AF191" s="290">
        <v>0</v>
      </c>
      <c r="AG191" s="290">
        <v>1652</v>
      </c>
      <c r="AH191" s="290">
        <v>297</v>
      </c>
      <c r="AI191" s="290"/>
      <c r="AJ191" s="290"/>
      <c r="AK191" s="290">
        <v>0</v>
      </c>
      <c r="AL191" s="290">
        <v>0</v>
      </c>
      <c r="AM191" s="957">
        <v>2.6139840000000001E-2</v>
      </c>
      <c r="AN191" s="290">
        <v>0</v>
      </c>
      <c r="AO191" s="290">
        <v>937.68054833999997</v>
      </c>
      <c r="AP191" s="290">
        <v>0</v>
      </c>
      <c r="AQ191" s="290">
        <v>0</v>
      </c>
      <c r="AR191" s="290">
        <v>-67.795776680000003</v>
      </c>
      <c r="AS191" s="290">
        <v>2505</v>
      </c>
      <c r="AT191" s="290">
        <v>63</v>
      </c>
      <c r="AU191" s="290">
        <v>11</v>
      </c>
      <c r="AV191" s="766">
        <v>73836</v>
      </c>
      <c r="AW191" s="290">
        <v>0</v>
      </c>
      <c r="AX191" s="766">
        <v>9.7499500000000001</v>
      </c>
      <c r="AY191" s="290">
        <v>334</v>
      </c>
      <c r="AZ191" s="290">
        <v>95</v>
      </c>
      <c r="BA191" s="290">
        <v>24</v>
      </c>
      <c r="BB191" s="290">
        <v>6257</v>
      </c>
      <c r="BC191" s="290">
        <v>762</v>
      </c>
      <c r="BD191" s="290"/>
      <c r="BE191" s="290">
        <v>82316.777161570004</v>
      </c>
      <c r="BF191" s="290">
        <v>0</v>
      </c>
      <c r="BG191" s="290">
        <v>0</v>
      </c>
      <c r="BH191" s="290">
        <v>-269</v>
      </c>
      <c r="BI191" s="290">
        <v>816</v>
      </c>
      <c r="BJ191" s="290">
        <v>262.28184467415133</v>
      </c>
      <c r="BK191" s="290">
        <v>2</v>
      </c>
      <c r="BL191" s="290"/>
      <c r="BM191" s="290">
        <v>0</v>
      </c>
      <c r="BN191" s="290">
        <v>519</v>
      </c>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f>+innut23!E197+innut23!S197</f>
        <v>54472.024756178507</v>
      </c>
      <c r="CL191" s="290"/>
      <c r="CM191" s="290">
        <v>0</v>
      </c>
      <c r="CN191" s="290">
        <v>0</v>
      </c>
      <c r="CO191" s="290"/>
      <c r="CP191" s="290"/>
      <c r="CQ191" s="290"/>
      <c r="CX191" s="517">
        <f t="shared" si="5"/>
        <v>0</v>
      </c>
      <c r="DB191" s="85">
        <f t="shared" si="6"/>
        <v>0.30299999999999999</v>
      </c>
    </row>
    <row r="192" spans="1:106" ht="13">
      <c r="A192" s="1">
        <v>3801</v>
      </c>
      <c r="B192" s="2" t="s">
        <v>346</v>
      </c>
      <c r="C192" s="289"/>
      <c r="D192" s="290">
        <v>450</v>
      </c>
      <c r="E192" s="290">
        <v>976</v>
      </c>
      <c r="F192" s="290">
        <v>3160</v>
      </c>
      <c r="G192" s="290">
        <v>2318</v>
      </c>
      <c r="H192" s="290">
        <v>15475</v>
      </c>
      <c r="I192" s="290">
        <v>3797</v>
      </c>
      <c r="J192" s="290">
        <v>1177</v>
      </c>
      <c r="K192" s="290">
        <v>253</v>
      </c>
      <c r="L192" s="290">
        <v>221</v>
      </c>
      <c r="M192" s="290">
        <v>2310</v>
      </c>
      <c r="N192" s="290">
        <v>1103</v>
      </c>
      <c r="O192" s="290">
        <v>250</v>
      </c>
      <c r="P192" s="624">
        <v>34207.168333330002</v>
      </c>
      <c r="Q192" s="624">
        <v>27254.132666670001</v>
      </c>
      <c r="R192" s="624">
        <v>106</v>
      </c>
      <c r="S192" s="290"/>
      <c r="T192" s="290">
        <v>2661</v>
      </c>
      <c r="U192" s="958">
        <v>1.1060072750121511E-3</v>
      </c>
      <c r="V192" s="290">
        <v>7081.9512052700002</v>
      </c>
      <c r="W192" s="765">
        <v>0.53677185999999999</v>
      </c>
      <c r="X192" s="290">
        <v>2400</v>
      </c>
      <c r="Y192" s="290"/>
      <c r="Z192" s="290">
        <f>+innut23!E198</f>
        <v>810705.557980048</v>
      </c>
      <c r="AA192" s="290">
        <v>0</v>
      </c>
      <c r="AB192" s="290">
        <v>706</v>
      </c>
      <c r="AC192" s="290">
        <v>7022</v>
      </c>
      <c r="AD192" s="290"/>
      <c r="AE192" s="290">
        <v>0</v>
      </c>
      <c r="AF192" s="290">
        <v>0</v>
      </c>
      <c r="AG192" s="290">
        <v>27606</v>
      </c>
      <c r="AH192" s="290">
        <v>4717</v>
      </c>
      <c r="AI192" s="290"/>
      <c r="AJ192" s="290"/>
      <c r="AK192" s="290">
        <v>0</v>
      </c>
      <c r="AL192" s="290">
        <v>0</v>
      </c>
      <c r="AM192" s="957">
        <v>1.82689064</v>
      </c>
      <c r="AN192" s="290">
        <v>0</v>
      </c>
      <c r="AO192" s="290">
        <v>12287.76766917</v>
      </c>
      <c r="AP192" s="290">
        <v>0</v>
      </c>
      <c r="AQ192" s="290">
        <v>0</v>
      </c>
      <c r="AR192" s="290">
        <v>-1132.91175006</v>
      </c>
      <c r="AS192" s="290">
        <v>43333</v>
      </c>
      <c r="AT192" s="290">
        <v>1813</v>
      </c>
      <c r="AU192" s="290">
        <v>487</v>
      </c>
      <c r="AV192" s="766">
        <v>684518</v>
      </c>
      <c r="AW192" s="290">
        <v>0</v>
      </c>
      <c r="AX192" s="766">
        <v>173.91665</v>
      </c>
      <c r="AY192" s="290">
        <v>7555</v>
      </c>
      <c r="AZ192" s="290">
        <v>1565</v>
      </c>
      <c r="BA192" s="290">
        <v>593</v>
      </c>
      <c r="BB192" s="290">
        <v>0</v>
      </c>
      <c r="BC192" s="290">
        <v>15041</v>
      </c>
      <c r="BD192" s="290"/>
      <c r="BE192" s="290">
        <v>789843.37975357997</v>
      </c>
      <c r="BF192" s="290">
        <v>0</v>
      </c>
      <c r="BG192" s="290">
        <v>0</v>
      </c>
      <c r="BH192" s="290">
        <v>-4661</v>
      </c>
      <c r="BI192" s="290">
        <v>17443</v>
      </c>
      <c r="BJ192" s="290">
        <v>3303.3730387420419</v>
      </c>
      <c r="BK192" s="290">
        <v>58</v>
      </c>
      <c r="BL192" s="290"/>
      <c r="BM192" s="290">
        <v>0</v>
      </c>
      <c r="BN192" s="290">
        <v>5704</v>
      </c>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f>+innut23!E198+innut23!S198</f>
        <v>810705.557980048</v>
      </c>
      <c r="CL192" s="290"/>
      <c r="CM192" s="290">
        <v>0</v>
      </c>
      <c r="CN192" s="290">
        <v>0</v>
      </c>
      <c r="CO192" s="290"/>
      <c r="CP192" s="290"/>
      <c r="CQ192" s="290"/>
      <c r="CX192" s="517">
        <f t="shared" si="5"/>
        <v>0</v>
      </c>
      <c r="DB192" s="85">
        <f t="shared" si="6"/>
        <v>5.0599999999999996</v>
      </c>
    </row>
    <row r="193" spans="1:106" ht="13">
      <c r="A193" s="1">
        <v>3802</v>
      </c>
      <c r="B193" s="2" t="s">
        <v>1625</v>
      </c>
      <c r="C193" s="289"/>
      <c r="D193" s="290">
        <v>482</v>
      </c>
      <c r="E193" s="290">
        <v>1072</v>
      </c>
      <c r="F193" s="290">
        <v>3021</v>
      </c>
      <c r="G193" s="290">
        <v>2025</v>
      </c>
      <c r="H193" s="290">
        <v>14718</v>
      </c>
      <c r="I193" s="290">
        <v>3494</v>
      </c>
      <c r="J193" s="290">
        <v>943</v>
      </c>
      <c r="K193" s="290">
        <v>199</v>
      </c>
      <c r="L193" s="290">
        <v>195</v>
      </c>
      <c r="M193" s="290">
        <v>1960</v>
      </c>
      <c r="N193" s="290">
        <v>513</v>
      </c>
      <c r="O193" s="290">
        <v>216</v>
      </c>
      <c r="P193" s="624">
        <v>61489.687666669997</v>
      </c>
      <c r="Q193" s="624">
        <v>54007.070333329997</v>
      </c>
      <c r="R193" s="624">
        <v>90</v>
      </c>
      <c r="S193" s="290"/>
      <c r="T193" s="290">
        <v>2274</v>
      </c>
      <c r="U193" s="958">
        <v>4.7672232218328864E-3</v>
      </c>
      <c r="V193" s="290">
        <v>2230.4475068500001</v>
      </c>
      <c r="W193" s="765">
        <v>0.57644266</v>
      </c>
      <c r="X193" s="290">
        <v>2200</v>
      </c>
      <c r="Y193" s="290"/>
      <c r="Z193" s="290">
        <f>+innut23!E199</f>
        <v>851240.52998027462</v>
      </c>
      <c r="AA193" s="290">
        <v>0</v>
      </c>
      <c r="AB193" s="290">
        <v>737</v>
      </c>
      <c r="AC193" s="290">
        <v>1866</v>
      </c>
      <c r="AD193" s="290"/>
      <c r="AE193" s="290">
        <v>5332</v>
      </c>
      <c r="AF193" s="290">
        <v>38783</v>
      </c>
      <c r="AG193" s="290">
        <v>25954</v>
      </c>
      <c r="AH193" s="290">
        <v>4621</v>
      </c>
      <c r="AI193" s="290"/>
      <c r="AJ193" s="290"/>
      <c r="AK193" s="290">
        <v>0</v>
      </c>
      <c r="AL193" s="290">
        <v>0</v>
      </c>
      <c r="AM193" s="957">
        <v>0.82346973000000001</v>
      </c>
      <c r="AN193" s="290">
        <v>0</v>
      </c>
      <c r="AO193" s="290">
        <v>11332.707968459999</v>
      </c>
      <c r="AP193" s="290">
        <v>0</v>
      </c>
      <c r="AQ193" s="290">
        <v>0</v>
      </c>
      <c r="AR193" s="290">
        <v>-1065.11597338</v>
      </c>
      <c r="AS193" s="290">
        <v>40300</v>
      </c>
      <c r="AT193" s="290">
        <v>1523</v>
      </c>
      <c r="AU193" s="290">
        <v>368</v>
      </c>
      <c r="AV193" s="766">
        <v>636526</v>
      </c>
      <c r="AW193" s="290">
        <v>0</v>
      </c>
      <c r="AX193" s="766">
        <v>193.875</v>
      </c>
      <c r="AY193" s="290">
        <v>5907</v>
      </c>
      <c r="AZ193" s="290">
        <v>969</v>
      </c>
      <c r="BA193" s="290">
        <v>548</v>
      </c>
      <c r="BB193" s="290">
        <v>0</v>
      </c>
      <c r="BC193" s="290">
        <v>48083</v>
      </c>
      <c r="BD193" s="290"/>
      <c r="BE193" s="290">
        <v>752011.05230006005</v>
      </c>
      <c r="BF193" s="290">
        <v>0</v>
      </c>
      <c r="BG193" s="290">
        <v>0</v>
      </c>
      <c r="BH193" s="290">
        <v>-4282</v>
      </c>
      <c r="BI193" s="290">
        <v>50455</v>
      </c>
      <c r="BJ193" s="290">
        <v>3202.4303653685188</v>
      </c>
      <c r="BK193" s="290">
        <v>43</v>
      </c>
      <c r="BL193" s="290"/>
      <c r="BM193" s="290">
        <v>5343</v>
      </c>
      <c r="BN193" s="290">
        <v>5185</v>
      </c>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f>+innut23!E199+innut23!S199</f>
        <v>851240.52998027462</v>
      </c>
      <c r="CL193" s="290"/>
      <c r="CM193" s="290">
        <v>0</v>
      </c>
      <c r="CN193" s="290">
        <v>0</v>
      </c>
      <c r="CO193" s="290"/>
      <c r="CP193" s="290"/>
      <c r="CQ193" s="290"/>
      <c r="CX193" s="517">
        <f t="shared" si="5"/>
        <v>0</v>
      </c>
      <c r="DB193" s="85">
        <f t="shared" si="6"/>
        <v>4.7569999999999997</v>
      </c>
    </row>
    <row r="194" spans="1:106" ht="13">
      <c r="A194" s="1">
        <v>3803</v>
      </c>
      <c r="B194" s="2" t="s">
        <v>1626</v>
      </c>
      <c r="C194" s="289"/>
      <c r="D194" s="290">
        <v>1090</v>
      </c>
      <c r="E194" s="290">
        <v>2382</v>
      </c>
      <c r="F194" s="290">
        <v>6756</v>
      </c>
      <c r="G194" s="290">
        <v>4667</v>
      </c>
      <c r="H194" s="290">
        <v>33567</v>
      </c>
      <c r="I194" s="290">
        <v>6942</v>
      </c>
      <c r="J194" s="290">
        <v>2216</v>
      </c>
      <c r="K194" s="290">
        <v>512</v>
      </c>
      <c r="L194" s="290">
        <v>415</v>
      </c>
      <c r="M194" s="290">
        <v>4315</v>
      </c>
      <c r="N194" s="290">
        <v>1690</v>
      </c>
      <c r="O194" s="290">
        <v>425</v>
      </c>
      <c r="P194" s="624">
        <v>129432.03966667</v>
      </c>
      <c r="Q194" s="624">
        <v>104193.32333333</v>
      </c>
      <c r="R194" s="624">
        <v>224</v>
      </c>
      <c r="S194" s="290"/>
      <c r="T194" s="290">
        <v>5905</v>
      </c>
      <c r="U194" s="958">
        <v>6.9670074509646613E-3</v>
      </c>
      <c r="V194" s="290">
        <v>-19348.664309979999</v>
      </c>
      <c r="W194" s="765">
        <v>0.55153896999999996</v>
      </c>
      <c r="X194" s="290">
        <v>4000</v>
      </c>
      <c r="Y194" s="290"/>
      <c r="Z194" s="290">
        <f>+innut23!E200</f>
        <v>2052119.9376504277</v>
      </c>
      <c r="AA194" s="290">
        <v>0</v>
      </c>
      <c r="AB194" s="290">
        <v>1359</v>
      </c>
      <c r="AC194" s="290">
        <v>15142</v>
      </c>
      <c r="AD194" s="290"/>
      <c r="AE194" s="290">
        <v>0</v>
      </c>
      <c r="AF194" s="290">
        <v>16061</v>
      </c>
      <c r="AG194" s="290">
        <v>58132</v>
      </c>
      <c r="AH194" s="290">
        <v>10281</v>
      </c>
      <c r="AI194" s="290"/>
      <c r="AJ194" s="290"/>
      <c r="AK194" s="290">
        <v>0</v>
      </c>
      <c r="AL194" s="290">
        <v>0</v>
      </c>
      <c r="AM194" s="957">
        <v>2.8075406200000002</v>
      </c>
      <c r="AN194" s="290">
        <v>0</v>
      </c>
      <c r="AO194" s="290">
        <v>25668.29141713</v>
      </c>
      <c r="AP194" s="290">
        <v>0</v>
      </c>
      <c r="AQ194" s="290">
        <v>0</v>
      </c>
      <c r="AR194" s="290">
        <v>-2385.6562288800001</v>
      </c>
      <c r="AS194" s="290">
        <v>96713</v>
      </c>
      <c r="AT194" s="290">
        <v>3510</v>
      </c>
      <c r="AU194" s="290">
        <v>960</v>
      </c>
      <c r="AV194" s="766">
        <v>1389290</v>
      </c>
      <c r="AW194" s="290">
        <v>0</v>
      </c>
      <c r="AX194" s="766">
        <v>401.20830000000001</v>
      </c>
      <c r="AY194" s="290">
        <v>17097</v>
      </c>
      <c r="AZ194" s="290">
        <v>2783</v>
      </c>
      <c r="BA194" s="290">
        <v>1282</v>
      </c>
      <c r="BB194" s="290">
        <v>0</v>
      </c>
      <c r="BC194" s="290">
        <v>45587</v>
      </c>
      <c r="BD194" s="290"/>
      <c r="BE194" s="290">
        <v>1621184.7108867001</v>
      </c>
      <c r="BF194" s="290">
        <v>0</v>
      </c>
      <c r="BG194" s="290">
        <v>0</v>
      </c>
      <c r="BH194" s="290">
        <v>-9727</v>
      </c>
      <c r="BI194" s="290">
        <v>51336</v>
      </c>
      <c r="BJ194" s="290">
        <v>7090.8857456532369</v>
      </c>
      <c r="BK194" s="290">
        <v>110</v>
      </c>
      <c r="BL194" s="290"/>
      <c r="BM194" s="290">
        <v>7687</v>
      </c>
      <c r="BN194" s="290">
        <v>9852</v>
      </c>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f>+innut23!E200+innut23!S200</f>
        <v>2052119.9376504277</v>
      </c>
      <c r="CL194" s="290"/>
      <c r="CM194" s="290">
        <v>0</v>
      </c>
      <c r="CN194" s="290">
        <v>0</v>
      </c>
      <c r="CO194" s="290"/>
      <c r="CP194" s="290"/>
      <c r="CQ194" s="290"/>
      <c r="CX194" s="517">
        <f t="shared" si="5"/>
        <v>0</v>
      </c>
      <c r="DB194" s="85">
        <f t="shared" si="6"/>
        <v>10.654999999999999</v>
      </c>
    </row>
    <row r="195" spans="1:106" ht="13">
      <c r="A195" s="1">
        <v>3804</v>
      </c>
      <c r="B195" s="2" t="s">
        <v>1153</v>
      </c>
      <c r="C195" s="289"/>
      <c r="D195" s="290">
        <v>1126</v>
      </c>
      <c r="E195" s="290">
        <v>2787</v>
      </c>
      <c r="F195" s="290">
        <v>7695</v>
      </c>
      <c r="G195" s="290">
        <v>5434</v>
      </c>
      <c r="H195" s="290">
        <v>36783</v>
      </c>
      <c r="I195" s="290">
        <v>8426</v>
      </c>
      <c r="J195" s="290">
        <v>2568</v>
      </c>
      <c r="K195" s="290">
        <v>591</v>
      </c>
      <c r="L195" s="290">
        <v>491</v>
      </c>
      <c r="M195" s="290">
        <v>5027</v>
      </c>
      <c r="N195" s="290">
        <v>2391</v>
      </c>
      <c r="O195" s="290">
        <v>716</v>
      </c>
      <c r="P195" s="624">
        <v>162610.93266667001</v>
      </c>
      <c r="Q195" s="624">
        <v>88567.907333330004</v>
      </c>
      <c r="R195" s="624">
        <v>263</v>
      </c>
      <c r="S195" s="290"/>
      <c r="T195" s="290">
        <v>6073</v>
      </c>
      <c r="U195" s="958">
        <v>7.4987705108501522E-3</v>
      </c>
      <c r="V195" s="290">
        <v>-30367.936435200001</v>
      </c>
      <c r="W195" s="765">
        <v>0.55079964000000003</v>
      </c>
      <c r="X195" s="290">
        <v>4500</v>
      </c>
      <c r="Y195" s="290"/>
      <c r="Z195" s="290">
        <f>+innut23!E201</f>
        <v>2129463.7023192397</v>
      </c>
      <c r="AA195" s="290">
        <v>0</v>
      </c>
      <c r="AB195" s="290">
        <v>1926</v>
      </c>
      <c r="AC195" s="290">
        <v>9868</v>
      </c>
      <c r="AD195" s="290"/>
      <c r="AE195" s="290">
        <v>0</v>
      </c>
      <c r="AF195" s="290">
        <v>32072</v>
      </c>
      <c r="AG195" s="290">
        <v>65410</v>
      </c>
      <c r="AH195" s="290">
        <v>11842</v>
      </c>
      <c r="AI195" s="290"/>
      <c r="AJ195" s="290"/>
      <c r="AK195" s="290">
        <v>0</v>
      </c>
      <c r="AL195" s="290">
        <v>0</v>
      </c>
      <c r="AM195" s="957">
        <v>3.4473247300000001</v>
      </c>
      <c r="AN195" s="290">
        <v>0</v>
      </c>
      <c r="AO195" s="290">
        <v>29382.86953434</v>
      </c>
      <c r="AP195" s="290">
        <v>0</v>
      </c>
      <c r="AQ195" s="290">
        <v>0</v>
      </c>
      <c r="AR195" s="290">
        <v>-2684.33520146</v>
      </c>
      <c r="AS195" s="290">
        <v>104512</v>
      </c>
      <c r="AT195" s="290">
        <v>4088</v>
      </c>
      <c r="AU195" s="290">
        <v>1056</v>
      </c>
      <c r="AV195" s="766">
        <v>1611329</v>
      </c>
      <c r="AW195" s="290">
        <v>0</v>
      </c>
      <c r="AX195" s="766">
        <v>355.54165</v>
      </c>
      <c r="AY195" s="290">
        <v>15309</v>
      </c>
      <c r="AZ195" s="290">
        <v>3368</v>
      </c>
      <c r="BA195" s="290">
        <v>1412</v>
      </c>
      <c r="BB195" s="290">
        <v>0</v>
      </c>
      <c r="BC195" s="290">
        <v>62757</v>
      </c>
      <c r="BD195" s="290"/>
      <c r="BE195" s="290">
        <v>1895384.1614884001</v>
      </c>
      <c r="BF195" s="290">
        <v>0</v>
      </c>
      <c r="BG195" s="290">
        <v>0</v>
      </c>
      <c r="BH195" s="290">
        <v>-10942</v>
      </c>
      <c r="BI195" s="290">
        <v>67782</v>
      </c>
      <c r="BJ195" s="290">
        <v>8136.2087680983359</v>
      </c>
      <c r="BK195" s="290">
        <v>130</v>
      </c>
      <c r="BL195" s="290"/>
      <c r="BM195" s="290">
        <v>8209</v>
      </c>
      <c r="BN195" s="290">
        <v>14000</v>
      </c>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f>+innut23!E201+innut23!S201</f>
        <v>2129463.7023192397</v>
      </c>
      <c r="CL195" s="290"/>
      <c r="CM195" s="290">
        <v>0</v>
      </c>
      <c r="CN195" s="290">
        <v>0</v>
      </c>
      <c r="CO195" s="290"/>
      <c r="CP195" s="290"/>
      <c r="CQ195" s="290"/>
      <c r="CX195" s="517">
        <f t="shared" si="5"/>
        <v>0</v>
      </c>
      <c r="DB195" s="85">
        <f t="shared" si="6"/>
        <v>11.989000000000001</v>
      </c>
    </row>
    <row r="196" spans="1:106" ht="13">
      <c r="A196" s="1">
        <v>3805</v>
      </c>
      <c r="B196" s="4" t="s">
        <v>1235</v>
      </c>
      <c r="C196" s="289"/>
      <c r="D196" s="290">
        <v>788</v>
      </c>
      <c r="E196" s="290">
        <v>1911</v>
      </c>
      <c r="F196" s="290">
        <v>5411</v>
      </c>
      <c r="G196" s="290">
        <v>3758</v>
      </c>
      <c r="H196" s="290">
        <v>26525</v>
      </c>
      <c r="I196" s="290">
        <v>7019</v>
      </c>
      <c r="J196" s="290">
        <v>2096</v>
      </c>
      <c r="K196" s="290">
        <v>512</v>
      </c>
      <c r="L196" s="290">
        <v>356</v>
      </c>
      <c r="M196" s="290">
        <v>4154</v>
      </c>
      <c r="N196" s="290">
        <v>1352</v>
      </c>
      <c r="O196" s="290">
        <v>347</v>
      </c>
      <c r="P196" s="624">
        <v>122442.989</v>
      </c>
      <c r="Q196" s="624">
        <v>86642.963666669995</v>
      </c>
      <c r="R196" s="624">
        <v>228</v>
      </c>
      <c r="S196" s="290"/>
      <c r="T196" s="290">
        <v>4445</v>
      </c>
      <c r="U196" s="958">
        <v>7.7601698683015452E-3</v>
      </c>
      <c r="V196" s="290">
        <v>14855.15588719</v>
      </c>
      <c r="W196" s="765">
        <v>0.57070314</v>
      </c>
      <c r="X196" s="290">
        <v>4000</v>
      </c>
      <c r="Y196" s="290"/>
      <c r="Z196" s="290">
        <f>+innut23!E202</f>
        <v>1519709.498378678</v>
      </c>
      <c r="AA196" s="290">
        <v>0</v>
      </c>
      <c r="AB196" s="290">
        <v>1586</v>
      </c>
      <c r="AC196" s="290">
        <v>5600</v>
      </c>
      <c r="AD196" s="290"/>
      <c r="AE196" s="290">
        <v>0</v>
      </c>
      <c r="AF196" s="290">
        <v>22723</v>
      </c>
      <c r="AG196" s="290">
        <v>48020</v>
      </c>
      <c r="AH196" s="290">
        <v>8236</v>
      </c>
      <c r="AI196" s="290"/>
      <c r="AJ196" s="290"/>
      <c r="AK196" s="290">
        <v>0</v>
      </c>
      <c r="AL196" s="290">
        <v>0</v>
      </c>
      <c r="AM196" s="957">
        <v>1.54882019</v>
      </c>
      <c r="AN196" s="290">
        <v>0</v>
      </c>
      <c r="AO196" s="290">
        <v>21790.567538790001</v>
      </c>
      <c r="AP196" s="290">
        <v>0</v>
      </c>
      <c r="AQ196" s="290">
        <v>0</v>
      </c>
      <c r="AR196" s="290">
        <v>-1970.6738476400001</v>
      </c>
      <c r="AS196" s="290">
        <v>76888</v>
      </c>
      <c r="AT196" s="290">
        <v>2822</v>
      </c>
      <c r="AU196" s="290">
        <v>576</v>
      </c>
      <c r="AV196" s="766">
        <v>1265764</v>
      </c>
      <c r="AW196" s="290">
        <v>0</v>
      </c>
      <c r="AX196" s="766">
        <v>249.66665</v>
      </c>
      <c r="AY196" s="290">
        <v>11143</v>
      </c>
      <c r="AZ196" s="290">
        <v>2175</v>
      </c>
      <c r="BA196" s="290">
        <v>1040</v>
      </c>
      <c r="BB196" s="290">
        <v>0</v>
      </c>
      <c r="BC196" s="290">
        <v>43302</v>
      </c>
      <c r="BD196" s="290"/>
      <c r="BE196" s="290">
        <v>1457675.7382453999</v>
      </c>
      <c r="BF196" s="290">
        <v>0</v>
      </c>
      <c r="BG196" s="290">
        <v>0</v>
      </c>
      <c r="BH196" s="290">
        <v>-8044</v>
      </c>
      <c r="BI196" s="290">
        <v>46411</v>
      </c>
      <c r="BJ196" s="290">
        <v>5700.4877737921415</v>
      </c>
      <c r="BK196" s="290">
        <v>86</v>
      </c>
      <c r="BL196" s="290"/>
      <c r="BM196" s="290">
        <v>6956</v>
      </c>
      <c r="BN196" s="290">
        <v>9852</v>
      </c>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f>+innut23!E202+innut23!S202</f>
        <v>1519709.498378678</v>
      </c>
      <c r="CL196" s="290"/>
      <c r="CM196" s="290">
        <v>0</v>
      </c>
      <c r="CN196" s="290">
        <v>0</v>
      </c>
      <c r="CO196" s="290"/>
      <c r="CP196" s="290"/>
      <c r="CQ196" s="290"/>
      <c r="CX196" s="517">
        <f t="shared" si="5"/>
        <v>0</v>
      </c>
      <c r="DB196" s="85">
        <f t="shared" si="6"/>
        <v>8.8019999999999996</v>
      </c>
    </row>
    <row r="197" spans="1:106" ht="13">
      <c r="A197" s="1">
        <v>3806</v>
      </c>
      <c r="B197" s="2" t="s">
        <v>904</v>
      </c>
      <c r="C197" s="289"/>
      <c r="D197" s="290">
        <v>616</v>
      </c>
      <c r="E197" s="290">
        <v>1416</v>
      </c>
      <c r="F197" s="290">
        <v>4129</v>
      </c>
      <c r="G197" s="290">
        <v>3017</v>
      </c>
      <c r="H197" s="290">
        <v>20754</v>
      </c>
      <c r="I197" s="290">
        <v>4935</v>
      </c>
      <c r="J197" s="290">
        <v>1507</v>
      </c>
      <c r="K197" s="290">
        <v>323</v>
      </c>
      <c r="L197" s="290">
        <v>312</v>
      </c>
      <c r="M197" s="290">
        <v>3008</v>
      </c>
      <c r="N197" s="290">
        <v>1355</v>
      </c>
      <c r="O197" s="290">
        <v>300</v>
      </c>
      <c r="P197" s="624">
        <v>85495.936666669993</v>
      </c>
      <c r="Q197" s="624">
        <v>34660.112333329998</v>
      </c>
      <c r="R197" s="624">
        <v>149</v>
      </c>
      <c r="S197" s="290"/>
      <c r="T197" s="290">
        <v>3662</v>
      </c>
      <c r="U197" s="958">
        <v>9.5947353919484781E-4</v>
      </c>
      <c r="V197" s="290">
        <v>-11096.92906909</v>
      </c>
      <c r="W197" s="765">
        <v>0.53959298</v>
      </c>
      <c r="X197" s="290">
        <v>3000</v>
      </c>
      <c r="Y197" s="290"/>
      <c r="Z197" s="290">
        <f>+innut23!E203</f>
        <v>1189177.2774663491</v>
      </c>
      <c r="AA197" s="290">
        <v>0</v>
      </c>
      <c r="AB197" s="290">
        <v>1105</v>
      </c>
      <c r="AC197" s="290">
        <v>9954</v>
      </c>
      <c r="AD197" s="290"/>
      <c r="AE197" s="290">
        <v>0</v>
      </c>
      <c r="AF197" s="290">
        <v>0</v>
      </c>
      <c r="AG197" s="290">
        <v>36697</v>
      </c>
      <c r="AH197" s="290">
        <v>6289</v>
      </c>
      <c r="AI197" s="290"/>
      <c r="AJ197" s="290"/>
      <c r="AK197" s="290">
        <v>3572</v>
      </c>
      <c r="AL197" s="290">
        <v>0</v>
      </c>
      <c r="AM197" s="957">
        <v>1.51571703</v>
      </c>
      <c r="AN197" s="290">
        <v>0</v>
      </c>
      <c r="AO197" s="290">
        <v>16316.80093842</v>
      </c>
      <c r="AP197" s="290">
        <v>0</v>
      </c>
      <c r="AQ197" s="290">
        <v>0</v>
      </c>
      <c r="AR197" s="290">
        <v>-1505.9937148399999</v>
      </c>
      <c r="AS197" s="290">
        <v>58397</v>
      </c>
      <c r="AT197" s="290">
        <v>2307</v>
      </c>
      <c r="AU197" s="290">
        <v>584</v>
      </c>
      <c r="AV197" s="766">
        <v>884910</v>
      </c>
      <c r="AW197" s="290">
        <v>0</v>
      </c>
      <c r="AX197" s="766">
        <v>233.08335</v>
      </c>
      <c r="AY197" s="290">
        <v>9161</v>
      </c>
      <c r="AZ197" s="290">
        <v>1509</v>
      </c>
      <c r="BA197" s="290">
        <v>902</v>
      </c>
      <c r="BB197" s="290">
        <v>0</v>
      </c>
      <c r="BC197" s="290">
        <v>25729</v>
      </c>
      <c r="BD197" s="290"/>
      <c r="BE197" s="290">
        <v>1031201.583701</v>
      </c>
      <c r="BF197" s="290">
        <v>0</v>
      </c>
      <c r="BG197" s="290">
        <v>0</v>
      </c>
      <c r="BH197" s="290">
        <v>-6183</v>
      </c>
      <c r="BI197" s="290">
        <v>27593</v>
      </c>
      <c r="BJ197" s="290">
        <v>4322.9757717216544</v>
      </c>
      <c r="BK197" s="290">
        <v>72</v>
      </c>
      <c r="BL197" s="290"/>
      <c r="BM197" s="290">
        <v>0</v>
      </c>
      <c r="BN197" s="290">
        <v>7778</v>
      </c>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f>+innut23!E203+innut23!S203</f>
        <v>1189177.2774663491</v>
      </c>
      <c r="CL197" s="290"/>
      <c r="CM197" s="290">
        <v>1933.6601666374263</v>
      </c>
      <c r="CN197" s="290">
        <v>231.63858052947762</v>
      </c>
      <c r="CO197" s="290"/>
      <c r="CP197" s="290"/>
      <c r="CQ197" s="290"/>
      <c r="CX197" s="517">
        <f t="shared" ref="CX197:CX260" si="7">(BV197)*1.029</f>
        <v>0</v>
      </c>
      <c r="DB197" s="85">
        <f t="shared" ref="DB197:DB260" si="8">ROUND(1000*AG197/AG$361,3)</f>
        <v>6.726</v>
      </c>
    </row>
    <row r="198" spans="1:106" ht="13">
      <c r="A198" s="1">
        <v>3807</v>
      </c>
      <c r="B198" s="2" t="s">
        <v>905</v>
      </c>
      <c r="C198" s="289"/>
      <c r="D198" s="290">
        <v>1092</v>
      </c>
      <c r="E198" s="290">
        <v>2236</v>
      </c>
      <c r="F198" s="290">
        <v>6419</v>
      </c>
      <c r="G198" s="290">
        <v>4576</v>
      </c>
      <c r="H198" s="290">
        <v>31309</v>
      </c>
      <c r="I198" s="290">
        <v>7432</v>
      </c>
      <c r="J198" s="290">
        <v>2203</v>
      </c>
      <c r="K198" s="290">
        <v>478</v>
      </c>
      <c r="L198" s="290">
        <v>437</v>
      </c>
      <c r="M198" s="290">
        <v>4368</v>
      </c>
      <c r="N198" s="290">
        <v>2980</v>
      </c>
      <c r="O198" s="290">
        <v>495</v>
      </c>
      <c r="P198" s="624">
        <v>129405.38066667</v>
      </c>
      <c r="Q198" s="624">
        <v>76805.794999999998</v>
      </c>
      <c r="R198" s="624">
        <v>196</v>
      </c>
      <c r="S198" s="290"/>
      <c r="T198" s="290">
        <v>5551</v>
      </c>
      <c r="U198" s="958">
        <v>4.7014828021352392E-3</v>
      </c>
      <c r="V198" s="290">
        <v>-15207.52264116</v>
      </c>
      <c r="W198" s="765">
        <v>0.54134402000000004</v>
      </c>
      <c r="X198" s="290">
        <v>4000</v>
      </c>
      <c r="Y198" s="290"/>
      <c r="Z198" s="290">
        <f>+innut23!E204</f>
        <v>1681398.3848895733</v>
      </c>
      <c r="AA198" s="290">
        <v>0</v>
      </c>
      <c r="AB198" s="290">
        <v>1632</v>
      </c>
      <c r="AC198" s="290">
        <v>13311</v>
      </c>
      <c r="AD198" s="290"/>
      <c r="AE198" s="290">
        <v>0</v>
      </c>
      <c r="AF198" s="290">
        <v>0</v>
      </c>
      <c r="AG198" s="290">
        <v>55745</v>
      </c>
      <c r="AH198" s="290">
        <v>9941</v>
      </c>
      <c r="AI198" s="290"/>
      <c r="AJ198" s="290"/>
      <c r="AK198" s="290">
        <v>0</v>
      </c>
      <c r="AL198" s="290">
        <v>0</v>
      </c>
      <c r="AM198" s="957">
        <v>3.6076292799999998</v>
      </c>
      <c r="AN198" s="290">
        <v>0</v>
      </c>
      <c r="AO198" s="290">
        <v>25018.915895720002</v>
      </c>
      <c r="AP198" s="290">
        <v>0</v>
      </c>
      <c r="AQ198" s="290">
        <v>0</v>
      </c>
      <c r="AR198" s="290">
        <v>-2287.69707698</v>
      </c>
      <c r="AS198" s="290">
        <v>87491</v>
      </c>
      <c r="AT198" s="290">
        <v>3575</v>
      </c>
      <c r="AU198" s="290">
        <v>916</v>
      </c>
      <c r="AV198" s="766">
        <v>1379200</v>
      </c>
      <c r="AW198" s="290">
        <v>0</v>
      </c>
      <c r="AX198" s="766">
        <v>393</v>
      </c>
      <c r="AY198" s="290">
        <v>13504</v>
      </c>
      <c r="AZ198" s="290">
        <v>3395</v>
      </c>
      <c r="BA198" s="290">
        <v>1371</v>
      </c>
      <c r="BB198" s="290">
        <v>0</v>
      </c>
      <c r="BC198" s="290">
        <v>29420</v>
      </c>
      <c r="BD198" s="290"/>
      <c r="BE198" s="290">
        <v>1592406.5936226</v>
      </c>
      <c r="BF198" s="290">
        <v>0</v>
      </c>
      <c r="BG198" s="290">
        <v>0</v>
      </c>
      <c r="BH198" s="290">
        <v>-9392</v>
      </c>
      <c r="BI198" s="290">
        <v>34141</v>
      </c>
      <c r="BJ198" s="290">
        <v>6749.4324590823207</v>
      </c>
      <c r="BK198" s="290">
        <v>125</v>
      </c>
      <c r="BL198" s="290"/>
      <c r="BM198" s="290">
        <v>0</v>
      </c>
      <c r="BN198" s="290">
        <v>10889</v>
      </c>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f>+innut23!E204+innut23!S204</f>
        <v>1681398.3848895733</v>
      </c>
      <c r="CL198" s="290"/>
      <c r="CM198" s="290">
        <v>0</v>
      </c>
      <c r="CN198" s="290">
        <v>0</v>
      </c>
      <c r="CO198" s="290"/>
      <c r="CP198" s="290"/>
      <c r="CQ198" s="290"/>
      <c r="CX198" s="517">
        <f t="shared" si="7"/>
        <v>0</v>
      </c>
      <c r="DB198" s="85">
        <f t="shared" si="8"/>
        <v>10.218</v>
      </c>
    </row>
    <row r="199" spans="1:106" ht="13">
      <c r="A199" s="1">
        <v>3808</v>
      </c>
      <c r="B199" s="2" t="s">
        <v>906</v>
      </c>
      <c r="C199" s="289"/>
      <c r="D199" s="290">
        <v>175</v>
      </c>
      <c r="E199" s="290">
        <v>488</v>
      </c>
      <c r="F199" s="290">
        <v>1469</v>
      </c>
      <c r="G199" s="290">
        <v>1047</v>
      </c>
      <c r="H199" s="290">
        <v>7241</v>
      </c>
      <c r="I199" s="290">
        <v>1832</v>
      </c>
      <c r="J199" s="290">
        <v>595</v>
      </c>
      <c r="K199" s="290">
        <v>177</v>
      </c>
      <c r="L199" s="290">
        <v>109</v>
      </c>
      <c r="M199" s="290">
        <v>1193</v>
      </c>
      <c r="N199" s="290">
        <v>387</v>
      </c>
      <c r="O199" s="290">
        <v>140</v>
      </c>
      <c r="P199" s="624">
        <v>54866.564333330003</v>
      </c>
      <c r="Q199" s="624">
        <v>19183.662</v>
      </c>
      <c r="R199" s="624">
        <v>67</v>
      </c>
      <c r="S199" s="290"/>
      <c r="T199" s="290">
        <v>1378</v>
      </c>
      <c r="U199" s="958">
        <v>3.0594730898189436E-3</v>
      </c>
      <c r="V199" s="290">
        <v>-2625.5992879099999</v>
      </c>
      <c r="W199" s="765">
        <v>0.58556752999999995</v>
      </c>
      <c r="X199" s="290">
        <v>2500</v>
      </c>
      <c r="Y199" s="290"/>
      <c r="Z199" s="290">
        <f>+innut23!E205</f>
        <v>392310.92565602408</v>
      </c>
      <c r="AA199" s="290">
        <v>0</v>
      </c>
      <c r="AB199" s="290">
        <v>503</v>
      </c>
      <c r="AC199" s="290">
        <v>2432</v>
      </c>
      <c r="AD199" s="290"/>
      <c r="AE199" s="290">
        <v>0</v>
      </c>
      <c r="AF199" s="290">
        <v>0</v>
      </c>
      <c r="AG199" s="290">
        <v>13024</v>
      </c>
      <c r="AH199" s="290">
        <v>2156</v>
      </c>
      <c r="AI199" s="290"/>
      <c r="AJ199" s="290"/>
      <c r="AK199" s="290">
        <v>0</v>
      </c>
      <c r="AL199" s="290">
        <v>0</v>
      </c>
      <c r="AM199" s="957">
        <v>0.45148084999999999</v>
      </c>
      <c r="AN199" s="290">
        <v>6938</v>
      </c>
      <c r="AO199" s="290">
        <v>6181.3170455099998</v>
      </c>
      <c r="AP199" s="290">
        <v>0</v>
      </c>
      <c r="AQ199" s="290">
        <v>0</v>
      </c>
      <c r="AR199" s="290">
        <v>-534.48680116000003</v>
      </c>
      <c r="AS199" s="290">
        <v>20773</v>
      </c>
      <c r="AT199" s="290">
        <v>690</v>
      </c>
      <c r="AU199" s="290">
        <v>158</v>
      </c>
      <c r="AV199" s="766">
        <v>380586</v>
      </c>
      <c r="AW199" s="290">
        <v>0</v>
      </c>
      <c r="AX199" s="766">
        <v>59.875050000000002</v>
      </c>
      <c r="AY199" s="290">
        <v>2974</v>
      </c>
      <c r="AZ199" s="290">
        <v>703</v>
      </c>
      <c r="BA199" s="290">
        <v>310</v>
      </c>
      <c r="BB199" s="290">
        <v>0</v>
      </c>
      <c r="BC199" s="290">
        <v>7834</v>
      </c>
      <c r="BD199" s="290"/>
      <c r="BE199" s="290">
        <v>429351.91172850999</v>
      </c>
      <c r="BF199" s="290">
        <v>0</v>
      </c>
      <c r="BG199" s="290">
        <v>0</v>
      </c>
      <c r="BH199" s="290">
        <v>-2198</v>
      </c>
      <c r="BI199" s="290">
        <v>8736</v>
      </c>
      <c r="BJ199" s="290">
        <v>1585.7075718583174</v>
      </c>
      <c r="BK199" s="290">
        <v>26</v>
      </c>
      <c r="BL199" s="290"/>
      <c r="BM199" s="290">
        <v>0</v>
      </c>
      <c r="BN199" s="290">
        <v>4148</v>
      </c>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f>+innut23!E205+innut23!S205</f>
        <v>392310.92565602408</v>
      </c>
      <c r="CL199" s="290"/>
      <c r="CM199" s="290">
        <v>0</v>
      </c>
      <c r="CN199" s="290">
        <v>0</v>
      </c>
      <c r="CO199" s="290"/>
      <c r="CP199" s="290"/>
      <c r="CQ199" s="290"/>
      <c r="CX199" s="517">
        <f t="shared" si="7"/>
        <v>0</v>
      </c>
      <c r="DB199" s="85">
        <f t="shared" si="8"/>
        <v>2.387</v>
      </c>
    </row>
    <row r="200" spans="1:106" ht="13">
      <c r="A200" s="1">
        <v>3811</v>
      </c>
      <c r="B200" s="2" t="s">
        <v>1241</v>
      </c>
      <c r="C200" s="289"/>
      <c r="D200" s="290">
        <v>445</v>
      </c>
      <c r="E200" s="290">
        <v>1060</v>
      </c>
      <c r="F200" s="290">
        <v>3225</v>
      </c>
      <c r="G200" s="290">
        <v>2200</v>
      </c>
      <c r="H200" s="290">
        <v>14726</v>
      </c>
      <c r="I200" s="290">
        <v>4006</v>
      </c>
      <c r="J200" s="290">
        <v>1228</v>
      </c>
      <c r="K200" s="290">
        <v>280</v>
      </c>
      <c r="L200" s="290">
        <v>194</v>
      </c>
      <c r="M200" s="290">
        <v>2314</v>
      </c>
      <c r="N200" s="290">
        <v>845</v>
      </c>
      <c r="O200" s="290">
        <v>223</v>
      </c>
      <c r="P200" s="624">
        <v>63162.140333329997</v>
      </c>
      <c r="Q200" s="624">
        <v>44655.043333330002</v>
      </c>
      <c r="R200" s="624">
        <v>91</v>
      </c>
      <c r="S200" s="290"/>
      <c r="T200" s="290">
        <v>2266</v>
      </c>
      <c r="U200" s="958">
        <v>1.4052573517915883E-3</v>
      </c>
      <c r="V200" s="290">
        <v>-18534.137917339998</v>
      </c>
      <c r="W200" s="765">
        <v>0.55478812</v>
      </c>
      <c r="X200" s="290">
        <v>2000</v>
      </c>
      <c r="Y200" s="290"/>
      <c r="Z200" s="290">
        <f>+innut23!E206</f>
        <v>1024059.286711027</v>
      </c>
      <c r="AA200" s="290">
        <v>0</v>
      </c>
      <c r="AB200" s="290">
        <v>651</v>
      </c>
      <c r="AC200" s="290">
        <v>4169</v>
      </c>
      <c r="AD200" s="290"/>
      <c r="AE200" s="290">
        <v>0</v>
      </c>
      <c r="AF200" s="290">
        <v>16061</v>
      </c>
      <c r="AG200" s="290">
        <v>27170</v>
      </c>
      <c r="AH200" s="290">
        <v>4833</v>
      </c>
      <c r="AI200" s="290"/>
      <c r="AJ200" s="290"/>
      <c r="AK200" s="290">
        <v>0</v>
      </c>
      <c r="AL200" s="290">
        <v>0</v>
      </c>
      <c r="AM200" s="957">
        <v>1.10004682</v>
      </c>
      <c r="AN200" s="290">
        <v>0</v>
      </c>
      <c r="AO200" s="290">
        <v>12318.31006801</v>
      </c>
      <c r="AP200" s="290">
        <v>0</v>
      </c>
      <c r="AQ200" s="290">
        <v>0</v>
      </c>
      <c r="AR200" s="290">
        <v>-1115.01891796</v>
      </c>
      <c r="AS200" s="290">
        <v>36510</v>
      </c>
      <c r="AT200" s="290">
        <v>1565</v>
      </c>
      <c r="AU200" s="290">
        <v>399</v>
      </c>
      <c r="AV200" s="766">
        <v>696736</v>
      </c>
      <c r="AW200" s="290">
        <v>0</v>
      </c>
      <c r="AX200" s="766">
        <v>166.58335</v>
      </c>
      <c r="AY200" s="290">
        <v>8475</v>
      </c>
      <c r="AZ200" s="290">
        <v>1300</v>
      </c>
      <c r="BA200" s="290">
        <v>625</v>
      </c>
      <c r="BB200" s="290">
        <v>0</v>
      </c>
      <c r="BC200" s="290">
        <v>38919</v>
      </c>
      <c r="BD200" s="290"/>
      <c r="BE200" s="290">
        <v>801531.11876735999</v>
      </c>
      <c r="BF200" s="290">
        <v>0</v>
      </c>
      <c r="BG200" s="290">
        <v>0</v>
      </c>
      <c r="BH200" s="290">
        <v>-4577</v>
      </c>
      <c r="BI200" s="290">
        <v>30248</v>
      </c>
      <c r="BJ200" s="290">
        <v>3396.126752492828</v>
      </c>
      <c r="BK200" s="290">
        <v>47</v>
      </c>
      <c r="BL200" s="290"/>
      <c r="BM200" s="290">
        <v>5451</v>
      </c>
      <c r="BN200" s="290">
        <v>5185</v>
      </c>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f>+innut23!E206+innut23!S206</f>
        <v>1024059.286711027</v>
      </c>
      <c r="CL200" s="290"/>
      <c r="CM200" s="290">
        <v>0</v>
      </c>
      <c r="CN200" s="290">
        <v>0</v>
      </c>
      <c r="CO200" s="290"/>
      <c r="CP200" s="290"/>
      <c r="CQ200" s="290"/>
      <c r="CX200" s="517">
        <f t="shared" si="7"/>
        <v>0</v>
      </c>
      <c r="DB200" s="85">
        <f t="shared" si="8"/>
        <v>4.9800000000000004</v>
      </c>
    </row>
    <row r="201" spans="1:106" ht="13">
      <c r="A201" s="1">
        <v>3812</v>
      </c>
      <c r="B201" s="2" t="s">
        <v>907</v>
      </c>
      <c r="C201" s="289"/>
      <c r="D201" s="290">
        <v>49</v>
      </c>
      <c r="E201" s="290">
        <v>89</v>
      </c>
      <c r="F201" s="290">
        <v>291</v>
      </c>
      <c r="G201" s="290">
        <v>181</v>
      </c>
      <c r="H201" s="290">
        <v>1302</v>
      </c>
      <c r="I201" s="290">
        <v>315</v>
      </c>
      <c r="J201" s="290">
        <v>108</v>
      </c>
      <c r="K201" s="290">
        <v>32</v>
      </c>
      <c r="L201" s="290">
        <v>13</v>
      </c>
      <c r="M201" s="290">
        <v>158</v>
      </c>
      <c r="N201" s="290">
        <v>50</v>
      </c>
      <c r="O201" s="290">
        <v>15</v>
      </c>
      <c r="P201" s="624">
        <v>8742.7909999999993</v>
      </c>
      <c r="Q201" s="624">
        <v>6726.5290000000005</v>
      </c>
      <c r="R201" s="624">
        <v>3</v>
      </c>
      <c r="S201" s="290"/>
      <c r="T201" s="290">
        <v>144</v>
      </c>
      <c r="U201" s="958">
        <v>7.9531956918563499E-4</v>
      </c>
      <c r="V201" s="290">
        <v>1098.0732991899999</v>
      </c>
      <c r="W201" s="765">
        <v>0.68510448000000002</v>
      </c>
      <c r="X201" s="290">
        <v>500</v>
      </c>
      <c r="Y201" s="290"/>
      <c r="Z201" s="290">
        <f>+innut23!E207</f>
        <v>70141.206503338966</v>
      </c>
      <c r="AA201" s="290">
        <v>0</v>
      </c>
      <c r="AB201" s="290">
        <v>64</v>
      </c>
      <c r="AC201" s="290">
        <v>463</v>
      </c>
      <c r="AD201" s="290"/>
      <c r="AE201" s="290">
        <v>0</v>
      </c>
      <c r="AF201" s="290">
        <v>0</v>
      </c>
      <c r="AG201" s="290">
        <v>2367</v>
      </c>
      <c r="AH201" s="290">
        <v>422</v>
      </c>
      <c r="AI201" s="290"/>
      <c r="AJ201" s="290"/>
      <c r="AK201" s="290">
        <v>0</v>
      </c>
      <c r="AL201" s="290">
        <v>0</v>
      </c>
      <c r="AM201" s="957">
        <v>3.5415380000000003E-2</v>
      </c>
      <c r="AN201" s="290">
        <v>0</v>
      </c>
      <c r="AO201" s="290">
        <v>1110.8755050899999</v>
      </c>
      <c r="AP201" s="290">
        <v>0</v>
      </c>
      <c r="AQ201" s="290">
        <v>0</v>
      </c>
      <c r="AR201" s="290">
        <v>-97.138379790000002</v>
      </c>
      <c r="AS201" s="290">
        <v>3742</v>
      </c>
      <c r="AT201" s="290">
        <v>121</v>
      </c>
      <c r="AU201" s="290">
        <v>19</v>
      </c>
      <c r="AV201" s="766">
        <v>70254</v>
      </c>
      <c r="AW201" s="290">
        <v>0</v>
      </c>
      <c r="AX201" s="766">
        <v>15.916650000000001</v>
      </c>
      <c r="AY201" s="290">
        <v>479</v>
      </c>
      <c r="AZ201" s="290">
        <v>85</v>
      </c>
      <c r="BA201" s="290">
        <v>38</v>
      </c>
      <c r="BB201" s="290">
        <v>3129</v>
      </c>
      <c r="BC201" s="290">
        <v>1737</v>
      </c>
      <c r="BD201" s="290"/>
      <c r="BE201" s="290">
        <v>80097.830026729993</v>
      </c>
      <c r="BF201" s="290">
        <v>0</v>
      </c>
      <c r="BG201" s="290">
        <v>0</v>
      </c>
      <c r="BH201" s="290">
        <v>-396</v>
      </c>
      <c r="BI201" s="290">
        <v>1922</v>
      </c>
      <c r="BJ201" s="290">
        <v>329.01526100522074</v>
      </c>
      <c r="BK201" s="290">
        <v>3</v>
      </c>
      <c r="BL201" s="290"/>
      <c r="BM201" s="290">
        <v>0</v>
      </c>
      <c r="BN201" s="290">
        <v>1037</v>
      </c>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f>+innut23!E207+innut23!S207</f>
        <v>70141.206503338966</v>
      </c>
      <c r="CL201" s="290"/>
      <c r="CM201" s="290">
        <v>0</v>
      </c>
      <c r="CN201" s="290">
        <v>0</v>
      </c>
      <c r="CO201" s="290"/>
      <c r="CP201" s="290"/>
      <c r="CQ201" s="290"/>
      <c r="CX201" s="517">
        <f t="shared" si="7"/>
        <v>0</v>
      </c>
      <c r="DB201" s="85">
        <f t="shared" si="8"/>
        <v>0.434</v>
      </c>
    </row>
    <row r="202" spans="1:106" ht="13">
      <c r="A202" s="1">
        <v>3813</v>
      </c>
      <c r="B202" s="2" t="s">
        <v>908</v>
      </c>
      <c r="C202" s="289"/>
      <c r="D202" s="290">
        <v>224</v>
      </c>
      <c r="E202" s="290">
        <v>537</v>
      </c>
      <c r="F202" s="290">
        <v>1596</v>
      </c>
      <c r="G202" s="290">
        <v>1185</v>
      </c>
      <c r="H202" s="290">
        <v>7704</v>
      </c>
      <c r="I202" s="290">
        <v>2198</v>
      </c>
      <c r="J202" s="290">
        <v>573</v>
      </c>
      <c r="K202" s="290">
        <v>92</v>
      </c>
      <c r="L202" s="290">
        <v>118</v>
      </c>
      <c r="M202" s="290">
        <v>1063</v>
      </c>
      <c r="N202" s="290">
        <v>421</v>
      </c>
      <c r="O202" s="290">
        <v>118</v>
      </c>
      <c r="P202" s="624">
        <v>88385.059333330006</v>
      </c>
      <c r="Q202" s="624">
        <v>39430.038999999997</v>
      </c>
      <c r="R202" s="624">
        <v>54</v>
      </c>
      <c r="S202" s="290"/>
      <c r="T202" s="290">
        <v>1119</v>
      </c>
      <c r="U202" s="958">
        <v>1.3126315996652477E-3</v>
      </c>
      <c r="V202" s="290">
        <v>5083.9551966400004</v>
      </c>
      <c r="W202" s="765">
        <v>0.59068445999999997</v>
      </c>
      <c r="X202" s="290">
        <v>1200</v>
      </c>
      <c r="Y202" s="290"/>
      <c r="Z202" s="290">
        <f>+innut23!E208</f>
        <v>461349.52000644983</v>
      </c>
      <c r="AA202" s="290">
        <v>0</v>
      </c>
      <c r="AB202" s="290">
        <v>425</v>
      </c>
      <c r="AC202" s="290">
        <v>1499</v>
      </c>
      <c r="AD202" s="290"/>
      <c r="AE202" s="290">
        <v>0</v>
      </c>
      <c r="AF202" s="290">
        <v>0</v>
      </c>
      <c r="AG202" s="290">
        <v>14109</v>
      </c>
      <c r="AH202" s="290">
        <v>2424</v>
      </c>
      <c r="AI202" s="290"/>
      <c r="AJ202" s="290"/>
      <c r="AK202" s="290">
        <v>16746</v>
      </c>
      <c r="AL202" s="290">
        <v>0</v>
      </c>
      <c r="AM202" s="957">
        <v>0.43469591000000002</v>
      </c>
      <c r="AN202" s="290">
        <v>7442</v>
      </c>
      <c r="AO202" s="290">
        <v>6288.42138256</v>
      </c>
      <c r="AP202" s="290">
        <v>0</v>
      </c>
      <c r="AQ202" s="290">
        <v>0</v>
      </c>
      <c r="AR202" s="290">
        <v>-579.01368838999997</v>
      </c>
      <c r="AS202" s="290">
        <v>22363</v>
      </c>
      <c r="AT202" s="290">
        <v>777</v>
      </c>
      <c r="AU202" s="290">
        <v>183</v>
      </c>
      <c r="AV202" s="766">
        <v>371765</v>
      </c>
      <c r="AW202" s="290">
        <v>0</v>
      </c>
      <c r="AX202" s="766">
        <v>88.291650000000004</v>
      </c>
      <c r="AY202" s="290">
        <v>2851</v>
      </c>
      <c r="AZ202" s="290">
        <v>604</v>
      </c>
      <c r="BA202" s="290">
        <v>295</v>
      </c>
      <c r="BB202" s="290">
        <v>0</v>
      </c>
      <c r="BC202" s="290">
        <v>20701</v>
      </c>
      <c r="BD202" s="290"/>
      <c r="BE202" s="290">
        <v>428590.33571488998</v>
      </c>
      <c r="BF202" s="290">
        <v>0</v>
      </c>
      <c r="BG202" s="290">
        <v>0</v>
      </c>
      <c r="BH202" s="290">
        <v>-2367</v>
      </c>
      <c r="BI202" s="290">
        <v>23780</v>
      </c>
      <c r="BJ202" s="290">
        <v>1747.7114337678577</v>
      </c>
      <c r="BK202" s="290">
        <v>24</v>
      </c>
      <c r="BL202" s="290"/>
      <c r="BM202" s="290">
        <v>0</v>
      </c>
      <c r="BN202" s="290">
        <v>3111</v>
      </c>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f>+innut23!E208+innut23!S208</f>
        <v>461349.52000644983</v>
      </c>
      <c r="CL202" s="290"/>
      <c r="CM202" s="290">
        <v>19179.880137139866</v>
      </c>
      <c r="CN202" s="290">
        <v>21589.19416117527</v>
      </c>
      <c r="CO202" s="290"/>
      <c r="CP202" s="290"/>
      <c r="CQ202" s="290"/>
      <c r="CX202" s="517">
        <f t="shared" si="7"/>
        <v>0</v>
      </c>
      <c r="DB202" s="85">
        <f t="shared" si="8"/>
        <v>2.5859999999999999</v>
      </c>
    </row>
    <row r="203" spans="1:106" ht="13">
      <c r="A203" s="1">
        <v>3814</v>
      </c>
      <c r="B203" s="2" t="s">
        <v>910</v>
      </c>
      <c r="C203" s="289"/>
      <c r="D203" s="290">
        <v>151</v>
      </c>
      <c r="E203" s="290">
        <v>340</v>
      </c>
      <c r="F203" s="290">
        <v>1083</v>
      </c>
      <c r="G203" s="290">
        <v>767</v>
      </c>
      <c r="H203" s="290">
        <v>5603</v>
      </c>
      <c r="I203" s="290">
        <v>1840</v>
      </c>
      <c r="J203" s="290">
        <v>509</v>
      </c>
      <c r="K203" s="290">
        <v>109</v>
      </c>
      <c r="L203" s="290">
        <v>85</v>
      </c>
      <c r="M203" s="290">
        <v>1080</v>
      </c>
      <c r="N203" s="290">
        <v>330</v>
      </c>
      <c r="O203" s="290">
        <v>118</v>
      </c>
      <c r="P203" s="624">
        <v>44288.196000000004</v>
      </c>
      <c r="Q203" s="624">
        <v>28591.516</v>
      </c>
      <c r="R203" s="624">
        <v>41</v>
      </c>
      <c r="S203" s="290"/>
      <c r="T203" s="290">
        <v>1061</v>
      </c>
      <c r="U203" s="958">
        <v>1.0020798284407269E-3</v>
      </c>
      <c r="V203" s="290">
        <v>756.37299232999999</v>
      </c>
      <c r="W203" s="765">
        <v>0.58510059000000003</v>
      </c>
      <c r="X203" s="290">
        <v>1500</v>
      </c>
      <c r="Y203" s="290"/>
      <c r="Z203" s="290">
        <f>+innut23!E209</f>
        <v>309214.74655896152</v>
      </c>
      <c r="AA203" s="290">
        <v>0</v>
      </c>
      <c r="AB203" s="290">
        <v>315</v>
      </c>
      <c r="AC203" s="290">
        <v>2288</v>
      </c>
      <c r="AD203" s="290"/>
      <c r="AE203" s="290">
        <v>0</v>
      </c>
      <c r="AF203" s="290">
        <v>0</v>
      </c>
      <c r="AG203" s="290">
        <v>10402</v>
      </c>
      <c r="AH203" s="290">
        <v>1614</v>
      </c>
      <c r="AI203" s="290"/>
      <c r="AJ203" s="290"/>
      <c r="AK203" s="290">
        <v>0</v>
      </c>
      <c r="AL203" s="290">
        <v>0</v>
      </c>
      <c r="AM203" s="957">
        <v>0.3352483</v>
      </c>
      <c r="AN203" s="290">
        <v>14056</v>
      </c>
      <c r="AO203" s="290">
        <v>4777.5050676600003</v>
      </c>
      <c r="AP203" s="290">
        <v>0</v>
      </c>
      <c r="AQ203" s="290">
        <v>0</v>
      </c>
      <c r="AR203" s="290">
        <v>-426.88357690999999</v>
      </c>
      <c r="AS203" s="290">
        <v>17457</v>
      </c>
      <c r="AT203" s="290">
        <v>589</v>
      </c>
      <c r="AU203" s="290">
        <v>126</v>
      </c>
      <c r="AV203" s="766">
        <v>291734</v>
      </c>
      <c r="AW203" s="290">
        <v>0</v>
      </c>
      <c r="AX203" s="766">
        <v>58.416649999999997</v>
      </c>
      <c r="AY203" s="290">
        <v>2284</v>
      </c>
      <c r="AZ203" s="290">
        <v>484</v>
      </c>
      <c r="BA203" s="290">
        <v>225</v>
      </c>
      <c r="BB203" s="290">
        <v>0</v>
      </c>
      <c r="BC203" s="290">
        <v>5686</v>
      </c>
      <c r="BD203" s="290"/>
      <c r="BE203" s="290">
        <v>330953.19615897001</v>
      </c>
      <c r="BF203" s="290">
        <v>0</v>
      </c>
      <c r="BG203" s="290">
        <v>0</v>
      </c>
      <c r="BH203" s="290">
        <v>-1752</v>
      </c>
      <c r="BI203" s="290">
        <v>6495</v>
      </c>
      <c r="BJ203" s="290">
        <v>1199.8675686017978</v>
      </c>
      <c r="BK203" s="290">
        <v>19</v>
      </c>
      <c r="BL203" s="290"/>
      <c r="BM203" s="290">
        <v>0</v>
      </c>
      <c r="BN203" s="290">
        <v>2593</v>
      </c>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f>+innut23!E209+innut23!S209</f>
        <v>309214.74655896152</v>
      </c>
      <c r="CL203" s="290"/>
      <c r="CM203" s="290">
        <v>0</v>
      </c>
      <c r="CN203" s="290">
        <v>0</v>
      </c>
      <c r="CO203" s="290"/>
      <c r="CP203" s="290"/>
      <c r="CQ203" s="290"/>
      <c r="CX203" s="517">
        <f t="shared" si="7"/>
        <v>0</v>
      </c>
      <c r="DB203" s="85">
        <f t="shared" si="8"/>
        <v>1.907</v>
      </c>
    </row>
    <row r="204" spans="1:106" ht="13">
      <c r="A204" s="1">
        <v>3815</v>
      </c>
      <c r="B204" s="2" t="s">
        <v>911</v>
      </c>
      <c r="C204" s="289"/>
      <c r="D204" s="290">
        <v>78</v>
      </c>
      <c r="E204" s="290">
        <v>138</v>
      </c>
      <c r="F204" s="290">
        <v>461</v>
      </c>
      <c r="G204" s="290">
        <v>357</v>
      </c>
      <c r="H204" s="290">
        <v>2229</v>
      </c>
      <c r="I204" s="290">
        <v>617</v>
      </c>
      <c r="J204" s="290">
        <v>161</v>
      </c>
      <c r="K204" s="290">
        <v>54</v>
      </c>
      <c r="L204" s="290">
        <v>41</v>
      </c>
      <c r="M204" s="290">
        <v>394</v>
      </c>
      <c r="N204" s="290">
        <v>75</v>
      </c>
      <c r="O204" s="290">
        <v>62</v>
      </c>
      <c r="P204" s="624">
        <v>51566.394333329998</v>
      </c>
      <c r="Q204" s="624">
        <v>18826.034</v>
      </c>
      <c r="R204" s="624">
        <v>18</v>
      </c>
      <c r="S204" s="290"/>
      <c r="T204" s="290">
        <v>359</v>
      </c>
      <c r="U204" s="958">
        <v>2.1724804502077835E-3</v>
      </c>
      <c r="V204" s="290">
        <v>2682.40349044</v>
      </c>
      <c r="W204" s="765">
        <v>0.92844079999999996</v>
      </c>
      <c r="X204" s="290">
        <v>800</v>
      </c>
      <c r="Y204" s="290"/>
      <c r="Z204" s="290">
        <f>+innut23!E210</f>
        <v>108001.64864530695</v>
      </c>
      <c r="AA204" s="290">
        <v>0</v>
      </c>
      <c r="AB204" s="290">
        <v>122</v>
      </c>
      <c r="AC204" s="290">
        <v>1743</v>
      </c>
      <c r="AD204" s="290"/>
      <c r="AE204" s="290">
        <v>0</v>
      </c>
      <c r="AF204" s="290">
        <v>0</v>
      </c>
      <c r="AG204" s="290">
        <v>4095</v>
      </c>
      <c r="AH204" s="290">
        <v>703</v>
      </c>
      <c r="AI204" s="290"/>
      <c r="AJ204" s="290"/>
      <c r="AK204" s="290">
        <v>0</v>
      </c>
      <c r="AL204" s="290">
        <v>0</v>
      </c>
      <c r="AM204" s="957">
        <v>0.13872487</v>
      </c>
      <c r="AN204" s="290">
        <v>5105</v>
      </c>
      <c r="AO204" s="290">
        <v>2073.5312067700002</v>
      </c>
      <c r="AP204" s="290">
        <v>0</v>
      </c>
      <c r="AQ204" s="290">
        <v>0</v>
      </c>
      <c r="AR204" s="290">
        <v>-168.05309051</v>
      </c>
      <c r="AS204" s="290">
        <v>6434</v>
      </c>
      <c r="AT204" s="290">
        <v>197</v>
      </c>
      <c r="AU204" s="290">
        <v>47</v>
      </c>
      <c r="AV204" s="766">
        <v>143429</v>
      </c>
      <c r="AW204" s="290">
        <v>0</v>
      </c>
      <c r="AX204" s="766">
        <v>32.166649999999997</v>
      </c>
      <c r="AY204" s="290">
        <v>648</v>
      </c>
      <c r="AZ204" s="290">
        <v>251</v>
      </c>
      <c r="BA204" s="290">
        <v>61</v>
      </c>
      <c r="BB204" s="290">
        <v>0</v>
      </c>
      <c r="BC204" s="290">
        <v>3419</v>
      </c>
      <c r="BD204" s="290"/>
      <c r="BE204" s="290">
        <v>160927.74601952999</v>
      </c>
      <c r="BF204" s="290">
        <v>0</v>
      </c>
      <c r="BG204" s="290">
        <v>0</v>
      </c>
      <c r="BH204" s="290">
        <v>-690</v>
      </c>
      <c r="BI204" s="290">
        <v>4002</v>
      </c>
      <c r="BJ204" s="290">
        <v>563.21781030032037</v>
      </c>
      <c r="BK204" s="290">
        <v>7</v>
      </c>
      <c r="BL204" s="290"/>
      <c r="BM204" s="290">
        <v>0</v>
      </c>
      <c r="BN204" s="290">
        <v>1556</v>
      </c>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f>+innut23!E210+innut23!S210</f>
        <v>108001.64864530695</v>
      </c>
      <c r="CL204" s="290"/>
      <c r="CM204" s="290">
        <v>0</v>
      </c>
      <c r="CN204" s="290">
        <v>0</v>
      </c>
      <c r="CO204" s="290"/>
      <c r="CP204" s="290"/>
      <c r="CQ204" s="290"/>
      <c r="CX204" s="517">
        <f t="shared" si="7"/>
        <v>0</v>
      </c>
      <c r="DB204" s="85">
        <f t="shared" si="8"/>
        <v>0.751</v>
      </c>
    </row>
    <row r="205" spans="1:106" ht="13">
      <c r="A205" s="1">
        <v>3816</v>
      </c>
      <c r="B205" s="2" t="s">
        <v>912</v>
      </c>
      <c r="C205" s="289"/>
      <c r="D205" s="290">
        <v>109</v>
      </c>
      <c r="E205" s="290">
        <v>251</v>
      </c>
      <c r="F205" s="290">
        <v>695</v>
      </c>
      <c r="G205" s="290">
        <v>541</v>
      </c>
      <c r="H205" s="290">
        <v>3599</v>
      </c>
      <c r="I205" s="290">
        <v>952</v>
      </c>
      <c r="J205" s="290">
        <v>284</v>
      </c>
      <c r="K205" s="290">
        <v>97</v>
      </c>
      <c r="L205" s="290">
        <v>53</v>
      </c>
      <c r="M205" s="290">
        <v>609</v>
      </c>
      <c r="N205" s="290">
        <v>206</v>
      </c>
      <c r="O205" s="290">
        <v>76</v>
      </c>
      <c r="P205" s="624">
        <v>16437.04733333</v>
      </c>
      <c r="Q205" s="624">
        <v>16176.012000000001</v>
      </c>
      <c r="R205" s="624">
        <v>32</v>
      </c>
      <c r="S205" s="290"/>
      <c r="T205" s="290">
        <v>650</v>
      </c>
      <c r="U205" s="958">
        <v>2.9399937310504139E-3</v>
      </c>
      <c r="V205" s="290">
        <v>-246.772111</v>
      </c>
      <c r="W205" s="765">
        <v>0.66446165000000001</v>
      </c>
      <c r="X205" s="290">
        <v>2500</v>
      </c>
      <c r="Y205" s="290"/>
      <c r="Z205" s="290">
        <f>+innut23!E211</f>
        <v>182244.05674047783</v>
      </c>
      <c r="AA205" s="290">
        <v>0</v>
      </c>
      <c r="AB205" s="290">
        <v>204</v>
      </c>
      <c r="AC205" s="290">
        <v>2114</v>
      </c>
      <c r="AD205" s="290"/>
      <c r="AE205" s="290">
        <v>0</v>
      </c>
      <c r="AF205" s="290">
        <v>0</v>
      </c>
      <c r="AG205" s="290">
        <v>6528</v>
      </c>
      <c r="AH205" s="290">
        <v>1093</v>
      </c>
      <c r="AI205" s="290"/>
      <c r="AJ205" s="290"/>
      <c r="AK205" s="290">
        <v>0</v>
      </c>
      <c r="AL205" s="290">
        <v>0</v>
      </c>
      <c r="AM205" s="957">
        <v>0.25659675999999998</v>
      </c>
      <c r="AN205" s="290">
        <v>7463</v>
      </c>
      <c r="AO205" s="290">
        <v>3128.5574145300002</v>
      </c>
      <c r="AP205" s="290">
        <v>0</v>
      </c>
      <c r="AQ205" s="290">
        <v>0</v>
      </c>
      <c r="AR205" s="290">
        <v>-267.90001826999998</v>
      </c>
      <c r="AS205" s="290">
        <v>10383</v>
      </c>
      <c r="AT205" s="290">
        <v>344</v>
      </c>
      <c r="AU205" s="290">
        <v>83</v>
      </c>
      <c r="AV205" s="766">
        <v>200703</v>
      </c>
      <c r="AW205" s="290">
        <v>0</v>
      </c>
      <c r="AX205" s="766">
        <v>43.666649999999997</v>
      </c>
      <c r="AY205" s="290">
        <v>1314</v>
      </c>
      <c r="AZ205" s="290">
        <v>379</v>
      </c>
      <c r="BA205" s="290">
        <v>130</v>
      </c>
      <c r="BB205" s="290">
        <v>0</v>
      </c>
      <c r="BC205" s="290">
        <v>3556</v>
      </c>
      <c r="BD205" s="290"/>
      <c r="BE205" s="290">
        <v>225620.01225539</v>
      </c>
      <c r="BF205" s="290">
        <v>0</v>
      </c>
      <c r="BG205" s="290">
        <v>0</v>
      </c>
      <c r="BH205" s="290">
        <v>-1098</v>
      </c>
      <c r="BI205" s="290">
        <v>4244</v>
      </c>
      <c r="BJ205" s="290">
        <v>769.40506676612983</v>
      </c>
      <c r="BK205" s="290">
        <v>12</v>
      </c>
      <c r="BL205" s="290"/>
      <c r="BM205" s="290">
        <v>0</v>
      </c>
      <c r="BN205" s="290">
        <v>1037</v>
      </c>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f>+innut23!E211+innut23!S211</f>
        <v>182244.05674047783</v>
      </c>
      <c r="CL205" s="290"/>
      <c r="CM205" s="290">
        <v>0</v>
      </c>
      <c r="CN205" s="290">
        <v>0</v>
      </c>
      <c r="CO205" s="290"/>
      <c r="CP205" s="290"/>
      <c r="CQ205" s="290"/>
      <c r="CX205" s="517">
        <f t="shared" si="7"/>
        <v>0</v>
      </c>
      <c r="DB205" s="85">
        <f t="shared" si="8"/>
        <v>1.1970000000000001</v>
      </c>
    </row>
    <row r="206" spans="1:106" ht="13">
      <c r="A206" s="1">
        <v>3817</v>
      </c>
      <c r="B206" s="2" t="s">
        <v>1627</v>
      </c>
      <c r="C206" s="289"/>
      <c r="D206" s="290">
        <v>187</v>
      </c>
      <c r="E206" s="290">
        <v>423</v>
      </c>
      <c r="F206" s="290">
        <v>1231</v>
      </c>
      <c r="G206" s="290">
        <v>934</v>
      </c>
      <c r="H206" s="290">
        <v>5816</v>
      </c>
      <c r="I206" s="290">
        <v>1407</v>
      </c>
      <c r="J206" s="290">
        <v>436</v>
      </c>
      <c r="K206" s="290">
        <v>101</v>
      </c>
      <c r="L206" s="290">
        <v>79</v>
      </c>
      <c r="M206" s="290">
        <v>834</v>
      </c>
      <c r="N206" s="290">
        <v>409</v>
      </c>
      <c r="O206" s="290">
        <v>109</v>
      </c>
      <c r="P206" s="624">
        <v>43971.420666669997</v>
      </c>
      <c r="Q206" s="624">
        <v>25069.433000000001</v>
      </c>
      <c r="R206" s="624">
        <v>42</v>
      </c>
      <c r="S206" s="290"/>
      <c r="T206" s="290">
        <v>942</v>
      </c>
      <c r="U206" s="958">
        <v>5.7220284489560768E-3</v>
      </c>
      <c r="V206" s="290">
        <v>-1263.52183571</v>
      </c>
      <c r="W206" s="765">
        <v>0.60691077000000004</v>
      </c>
      <c r="X206" s="290">
        <v>3000</v>
      </c>
      <c r="Y206" s="290"/>
      <c r="Z206" s="290">
        <f>+innut23!E212</f>
        <v>296683.64641840575</v>
      </c>
      <c r="AA206" s="290">
        <v>0</v>
      </c>
      <c r="AB206" s="290">
        <v>323</v>
      </c>
      <c r="AC206" s="290">
        <v>3610</v>
      </c>
      <c r="AD206" s="290"/>
      <c r="AE206" s="290">
        <v>0</v>
      </c>
      <c r="AF206" s="290">
        <v>20423</v>
      </c>
      <c r="AG206" s="290">
        <v>10535</v>
      </c>
      <c r="AH206" s="290">
        <v>1880</v>
      </c>
      <c r="AI206" s="290"/>
      <c r="AJ206" s="290"/>
      <c r="AK206" s="290">
        <v>0</v>
      </c>
      <c r="AL206" s="290">
        <v>0</v>
      </c>
      <c r="AM206" s="957">
        <v>0.30804443999999997</v>
      </c>
      <c r="AN206" s="290">
        <v>0</v>
      </c>
      <c r="AO206" s="290">
        <v>4875.7589439100002</v>
      </c>
      <c r="AP206" s="290">
        <v>0</v>
      </c>
      <c r="AQ206" s="290">
        <v>0</v>
      </c>
      <c r="AR206" s="290">
        <v>-432.34171147000001</v>
      </c>
      <c r="AS206" s="290">
        <v>16710</v>
      </c>
      <c r="AT206" s="290">
        <v>448</v>
      </c>
      <c r="AU206" s="290">
        <v>122</v>
      </c>
      <c r="AV206" s="766">
        <v>307300</v>
      </c>
      <c r="AW206" s="290">
        <v>0</v>
      </c>
      <c r="AX206" s="766">
        <v>72.083299999999994</v>
      </c>
      <c r="AY206" s="290">
        <v>2835</v>
      </c>
      <c r="AZ206" s="290">
        <v>626</v>
      </c>
      <c r="BA206" s="290">
        <v>203</v>
      </c>
      <c r="BB206" s="290">
        <v>0</v>
      </c>
      <c r="BC206" s="290">
        <v>26045</v>
      </c>
      <c r="BD206" s="290"/>
      <c r="BE206" s="290">
        <v>351258.39645195002</v>
      </c>
      <c r="BF206" s="290">
        <v>0</v>
      </c>
      <c r="BG206" s="290">
        <v>0</v>
      </c>
      <c r="BH206" s="290">
        <v>-1762</v>
      </c>
      <c r="BI206" s="290">
        <v>27987</v>
      </c>
      <c r="BJ206" s="290">
        <v>1339.2226855388701</v>
      </c>
      <c r="BK206" s="290">
        <v>19</v>
      </c>
      <c r="BL206" s="290"/>
      <c r="BM206" s="290">
        <v>4237</v>
      </c>
      <c r="BN206" s="290">
        <v>2074</v>
      </c>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f>+innut23!E212+innut23!S212</f>
        <v>296683.64641840575</v>
      </c>
      <c r="CL206" s="290"/>
      <c r="CM206" s="290">
        <v>0</v>
      </c>
      <c r="CN206" s="290">
        <v>0</v>
      </c>
      <c r="CO206" s="290"/>
      <c r="CP206" s="290"/>
      <c r="CQ206" s="290"/>
      <c r="CX206" s="517">
        <f t="shared" si="7"/>
        <v>0</v>
      </c>
      <c r="DB206" s="85">
        <f t="shared" si="8"/>
        <v>1.931</v>
      </c>
    </row>
    <row r="207" spans="1:106" ht="13">
      <c r="A207" s="1">
        <v>3818</v>
      </c>
      <c r="B207" s="2" t="s">
        <v>920</v>
      </c>
      <c r="C207" s="289"/>
      <c r="D207" s="290">
        <v>65</v>
      </c>
      <c r="E207" s="290">
        <v>133</v>
      </c>
      <c r="F207" s="290">
        <v>558</v>
      </c>
      <c r="G207" s="290">
        <v>456</v>
      </c>
      <c r="H207" s="290">
        <v>3027</v>
      </c>
      <c r="I207" s="290">
        <v>963</v>
      </c>
      <c r="J207" s="290">
        <v>243</v>
      </c>
      <c r="K207" s="290">
        <v>85</v>
      </c>
      <c r="L207" s="290">
        <v>50</v>
      </c>
      <c r="M207" s="290">
        <v>618</v>
      </c>
      <c r="N207" s="290">
        <v>119</v>
      </c>
      <c r="O207" s="290">
        <v>65</v>
      </c>
      <c r="P207" s="624">
        <v>32724.67333333</v>
      </c>
      <c r="Q207" s="624">
        <v>13989.623333330001</v>
      </c>
      <c r="R207" s="624">
        <v>31</v>
      </c>
      <c r="S207" s="290"/>
      <c r="T207" s="290">
        <v>628</v>
      </c>
      <c r="U207" s="958">
        <v>2.3021738586356329E-3</v>
      </c>
      <c r="V207" s="290">
        <v>-2785.3478131699999</v>
      </c>
      <c r="W207" s="765">
        <v>0.81935095000000002</v>
      </c>
      <c r="X207" s="290">
        <v>0</v>
      </c>
      <c r="Y207" s="290"/>
      <c r="Z207" s="290">
        <f>+innut23!E213</f>
        <v>220426.23999350163</v>
      </c>
      <c r="AA207" s="290">
        <v>0</v>
      </c>
      <c r="AB207" s="290">
        <v>167</v>
      </c>
      <c r="AC207" s="290">
        <v>1176</v>
      </c>
      <c r="AD207" s="290"/>
      <c r="AE207" s="290">
        <v>0</v>
      </c>
      <c r="AF207" s="290">
        <v>0</v>
      </c>
      <c r="AG207" s="290">
        <v>5530</v>
      </c>
      <c r="AH207" s="290">
        <v>818</v>
      </c>
      <c r="AI207" s="290"/>
      <c r="AJ207" s="290"/>
      <c r="AK207" s="290">
        <v>0</v>
      </c>
      <c r="AL207" s="290">
        <v>0</v>
      </c>
      <c r="AM207" s="957">
        <v>0.18340872</v>
      </c>
      <c r="AN207" s="290">
        <v>8118</v>
      </c>
      <c r="AO207" s="290">
        <v>2651.1637280199998</v>
      </c>
      <c r="AP207" s="290">
        <v>0</v>
      </c>
      <c r="AQ207" s="290">
        <v>0</v>
      </c>
      <c r="AR207" s="290">
        <v>12195.087238440001</v>
      </c>
      <c r="AS207" s="290">
        <v>7380</v>
      </c>
      <c r="AT207" s="290">
        <v>290</v>
      </c>
      <c r="AU207" s="290">
        <v>63</v>
      </c>
      <c r="AV207" s="766">
        <v>182244</v>
      </c>
      <c r="AW207" s="290">
        <v>0</v>
      </c>
      <c r="AX207" s="766">
        <v>27.708349999999999</v>
      </c>
      <c r="AY207" s="290">
        <v>1026</v>
      </c>
      <c r="AZ207" s="290">
        <v>305</v>
      </c>
      <c r="BA207" s="290">
        <v>120</v>
      </c>
      <c r="BB207" s="290">
        <v>0</v>
      </c>
      <c r="BC207" s="290">
        <v>3628</v>
      </c>
      <c r="BD207" s="290"/>
      <c r="BE207" s="290">
        <v>188828.09689171001</v>
      </c>
      <c r="BF207" s="290">
        <v>0</v>
      </c>
      <c r="BG207" s="290">
        <v>0</v>
      </c>
      <c r="BH207" s="290">
        <v>-935</v>
      </c>
      <c r="BI207" s="290">
        <v>4068</v>
      </c>
      <c r="BJ207" s="290">
        <v>640.46761783738975</v>
      </c>
      <c r="BK207" s="290">
        <v>10</v>
      </c>
      <c r="BL207" s="290"/>
      <c r="BM207" s="290">
        <v>0</v>
      </c>
      <c r="BN207" s="290">
        <v>2074</v>
      </c>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f>+innut23!E213+innut23!S213</f>
        <v>220426.23999350163</v>
      </c>
      <c r="CL207" s="290"/>
      <c r="CM207" s="290">
        <v>0</v>
      </c>
      <c r="CN207" s="290">
        <v>0</v>
      </c>
      <c r="CO207" s="290"/>
      <c r="CP207" s="290"/>
      <c r="CQ207" s="290"/>
      <c r="CX207" s="517">
        <f t="shared" si="7"/>
        <v>0</v>
      </c>
      <c r="DB207" s="85">
        <f t="shared" si="8"/>
        <v>1.014</v>
      </c>
    </row>
    <row r="208" spans="1:106" ht="13">
      <c r="A208" s="1">
        <v>3819</v>
      </c>
      <c r="B208" s="2" t="s">
        <v>921</v>
      </c>
      <c r="C208" s="289"/>
      <c r="D208" s="290">
        <v>29</v>
      </c>
      <c r="E208" s="290">
        <v>57</v>
      </c>
      <c r="F208" s="290">
        <v>164</v>
      </c>
      <c r="G208" s="290">
        <v>135</v>
      </c>
      <c r="H208" s="290">
        <v>816</v>
      </c>
      <c r="I208" s="290">
        <v>248</v>
      </c>
      <c r="J208" s="290">
        <v>93</v>
      </c>
      <c r="K208" s="290">
        <v>22</v>
      </c>
      <c r="L208" s="290">
        <v>10</v>
      </c>
      <c r="M208" s="290">
        <v>169</v>
      </c>
      <c r="N208" s="290">
        <v>31</v>
      </c>
      <c r="O208" s="290">
        <v>21</v>
      </c>
      <c r="P208" s="624">
        <v>16174.757</v>
      </c>
      <c r="Q208" s="624">
        <v>7662.1436666700001</v>
      </c>
      <c r="R208" s="624">
        <v>5</v>
      </c>
      <c r="S208" s="290"/>
      <c r="T208" s="290">
        <v>122</v>
      </c>
      <c r="U208" s="958">
        <v>2.1041729726816775E-3</v>
      </c>
      <c r="V208" s="290">
        <v>-5323.9010082799996</v>
      </c>
      <c r="W208" s="765">
        <v>0.87472274999999999</v>
      </c>
      <c r="X208" s="290">
        <v>0</v>
      </c>
      <c r="Y208" s="290"/>
      <c r="Z208" s="290">
        <f>+innut23!E214</f>
        <v>54517.139236855219</v>
      </c>
      <c r="AA208" s="290">
        <v>0</v>
      </c>
      <c r="AB208" s="290">
        <v>40</v>
      </c>
      <c r="AC208" s="290">
        <v>378</v>
      </c>
      <c r="AD208" s="290"/>
      <c r="AE208" s="290">
        <v>0</v>
      </c>
      <c r="AF208" s="290">
        <v>0</v>
      </c>
      <c r="AG208" s="290">
        <v>1564</v>
      </c>
      <c r="AH208" s="290">
        <v>266</v>
      </c>
      <c r="AI208" s="290"/>
      <c r="AJ208" s="290"/>
      <c r="AK208" s="290">
        <v>0</v>
      </c>
      <c r="AL208" s="290">
        <v>0</v>
      </c>
      <c r="AM208" s="957">
        <v>2.3534289999999999E-2</v>
      </c>
      <c r="AN208" s="290">
        <v>0</v>
      </c>
      <c r="AO208" s="290">
        <v>863.53139213999998</v>
      </c>
      <c r="AP208" s="290">
        <v>0</v>
      </c>
      <c r="AQ208" s="290">
        <v>0</v>
      </c>
      <c r="AR208" s="290">
        <v>8317.8847830199993</v>
      </c>
      <c r="AS208" s="290">
        <v>2568</v>
      </c>
      <c r="AT208" s="290">
        <v>55</v>
      </c>
      <c r="AU208" s="290">
        <v>12</v>
      </c>
      <c r="AV208" s="766">
        <v>68684</v>
      </c>
      <c r="AW208" s="290">
        <v>0</v>
      </c>
      <c r="AX208" s="766">
        <v>9.7916500000000006</v>
      </c>
      <c r="AY208" s="290">
        <v>263</v>
      </c>
      <c r="AZ208" s="290">
        <v>87</v>
      </c>
      <c r="BA208" s="290">
        <v>18</v>
      </c>
      <c r="BB208" s="290">
        <v>3754</v>
      </c>
      <c r="BC208" s="290">
        <v>1026</v>
      </c>
      <c r="BD208" s="290"/>
      <c r="BE208" s="290">
        <v>66286.766664990006</v>
      </c>
      <c r="BF208" s="290">
        <v>0</v>
      </c>
      <c r="BG208" s="290">
        <v>0</v>
      </c>
      <c r="BH208" s="290">
        <v>-262</v>
      </c>
      <c r="BI208" s="290">
        <v>1163</v>
      </c>
      <c r="BJ208" s="290">
        <v>216.61215861814125</v>
      </c>
      <c r="BK208" s="290">
        <v>2</v>
      </c>
      <c r="BL208" s="290"/>
      <c r="BM208" s="290">
        <v>0</v>
      </c>
      <c r="BN208" s="290">
        <v>519</v>
      </c>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f>+innut23!E214+innut23!S214</f>
        <v>54517.139236855219</v>
      </c>
      <c r="CL208" s="290"/>
      <c r="CM208" s="290">
        <v>0</v>
      </c>
      <c r="CN208" s="290">
        <v>0</v>
      </c>
      <c r="CO208" s="290"/>
      <c r="CP208" s="290"/>
      <c r="CQ208" s="290"/>
      <c r="CX208" s="517">
        <f t="shared" si="7"/>
        <v>0</v>
      </c>
      <c r="DB208" s="85">
        <f t="shared" si="8"/>
        <v>0.28699999999999998</v>
      </c>
    </row>
    <row r="209" spans="1:106" ht="13">
      <c r="A209" s="1">
        <v>3820</v>
      </c>
      <c r="B209" s="2" t="s">
        <v>922</v>
      </c>
      <c r="C209" s="289"/>
      <c r="D209" s="290">
        <v>46</v>
      </c>
      <c r="E209" s="290">
        <v>92</v>
      </c>
      <c r="F209" s="290">
        <v>336</v>
      </c>
      <c r="G209" s="290">
        <v>248</v>
      </c>
      <c r="H209" s="290">
        <v>1524</v>
      </c>
      <c r="I209" s="290">
        <v>501</v>
      </c>
      <c r="J209" s="290">
        <v>125</v>
      </c>
      <c r="K209" s="290">
        <v>33</v>
      </c>
      <c r="L209" s="290">
        <v>28</v>
      </c>
      <c r="M209" s="290">
        <v>287</v>
      </c>
      <c r="N209" s="290">
        <v>52</v>
      </c>
      <c r="O209" s="290">
        <v>41</v>
      </c>
      <c r="P209" s="624">
        <v>23119.793666670001</v>
      </c>
      <c r="Q209" s="624">
        <v>13215.47033333</v>
      </c>
      <c r="R209" s="624">
        <v>12</v>
      </c>
      <c r="S209" s="290"/>
      <c r="T209" s="290">
        <v>263</v>
      </c>
      <c r="U209" s="958">
        <v>1.8323689433409757E-3</v>
      </c>
      <c r="V209" s="290">
        <v>1781.3067772700001</v>
      </c>
      <c r="W209" s="765">
        <v>0.82808669999999995</v>
      </c>
      <c r="X209" s="290">
        <v>1000</v>
      </c>
      <c r="Y209" s="290"/>
      <c r="Z209" s="290">
        <f>+innut23!E215</f>
        <v>92154.43853713735</v>
      </c>
      <c r="AA209" s="290">
        <v>0</v>
      </c>
      <c r="AB209" s="290">
        <v>70</v>
      </c>
      <c r="AC209" s="290">
        <v>290</v>
      </c>
      <c r="AD209" s="290"/>
      <c r="AE209" s="290">
        <v>0</v>
      </c>
      <c r="AF209" s="290">
        <v>0</v>
      </c>
      <c r="AG209" s="290">
        <v>2905</v>
      </c>
      <c r="AH209" s="290">
        <v>510</v>
      </c>
      <c r="AI209" s="290"/>
      <c r="AJ209" s="290"/>
      <c r="AK209" s="290">
        <v>0</v>
      </c>
      <c r="AL209" s="290">
        <v>0</v>
      </c>
      <c r="AM209" s="957">
        <v>3.6011559999999998E-2</v>
      </c>
      <c r="AN209" s="290">
        <v>0</v>
      </c>
      <c r="AO209" s="290">
        <v>1464.3226613300001</v>
      </c>
      <c r="AP209" s="290">
        <v>0</v>
      </c>
      <c r="AQ209" s="290">
        <v>0</v>
      </c>
      <c r="AR209" s="290">
        <v>658.72586134999995</v>
      </c>
      <c r="AS209" s="290">
        <v>4723</v>
      </c>
      <c r="AT209" s="290">
        <v>121</v>
      </c>
      <c r="AU209" s="290">
        <v>18</v>
      </c>
      <c r="AV209" s="766">
        <v>105339</v>
      </c>
      <c r="AW209" s="290">
        <v>0</v>
      </c>
      <c r="AX209" s="766">
        <v>8.6250499999999999</v>
      </c>
      <c r="AY209" s="290">
        <v>628</v>
      </c>
      <c r="AZ209" s="290">
        <v>138</v>
      </c>
      <c r="BA209" s="290">
        <v>52</v>
      </c>
      <c r="BB209" s="290">
        <v>6257</v>
      </c>
      <c r="BC209" s="290">
        <v>1695</v>
      </c>
      <c r="BD209" s="290"/>
      <c r="BE209" s="290">
        <v>115175.10751755</v>
      </c>
      <c r="BF209" s="290">
        <v>0</v>
      </c>
      <c r="BG209" s="290">
        <v>0</v>
      </c>
      <c r="BH209" s="290">
        <v>-490</v>
      </c>
      <c r="BI209" s="290">
        <v>1837</v>
      </c>
      <c r="BJ209" s="290">
        <v>404.60822670080927</v>
      </c>
      <c r="BK209" s="290">
        <v>4</v>
      </c>
      <c r="BL209" s="290"/>
      <c r="BM209" s="290">
        <v>0</v>
      </c>
      <c r="BN209" s="290">
        <v>1037</v>
      </c>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f>+innut23!E215+innut23!S215</f>
        <v>92154.43853713735</v>
      </c>
      <c r="CL209" s="290"/>
      <c r="CM209" s="290">
        <v>0</v>
      </c>
      <c r="CN209" s="290">
        <v>0</v>
      </c>
      <c r="CO209" s="290"/>
      <c r="CP209" s="290"/>
      <c r="CQ209" s="290"/>
      <c r="CX209" s="517">
        <f t="shared" si="7"/>
        <v>0</v>
      </c>
      <c r="DB209" s="85">
        <f t="shared" si="8"/>
        <v>0.53200000000000003</v>
      </c>
    </row>
    <row r="210" spans="1:106" ht="13">
      <c r="A210" s="1">
        <v>3821</v>
      </c>
      <c r="B210" s="2" t="s">
        <v>923</v>
      </c>
      <c r="C210" s="289"/>
      <c r="D210" s="290">
        <v>41</v>
      </c>
      <c r="E210" s="290">
        <v>76</v>
      </c>
      <c r="F210" s="290">
        <v>225</v>
      </c>
      <c r="G210" s="290">
        <v>172</v>
      </c>
      <c r="H210" s="290">
        <v>1369</v>
      </c>
      <c r="I210" s="290">
        <v>368</v>
      </c>
      <c r="J210" s="290">
        <v>135</v>
      </c>
      <c r="K210" s="290">
        <v>29</v>
      </c>
      <c r="L210" s="290">
        <v>19</v>
      </c>
      <c r="M210" s="290">
        <v>245</v>
      </c>
      <c r="N210" s="290">
        <v>22</v>
      </c>
      <c r="O210" s="290">
        <v>11</v>
      </c>
      <c r="P210" s="624">
        <v>19325.350999999999</v>
      </c>
      <c r="Q210" s="624">
        <v>9155.5949999999993</v>
      </c>
      <c r="R210" s="624">
        <v>20</v>
      </c>
      <c r="S210" s="290"/>
      <c r="T210" s="290">
        <v>269</v>
      </c>
      <c r="U210" s="958">
        <v>1.7142463235102457E-3</v>
      </c>
      <c r="V210" s="290">
        <v>1630.0172020800001</v>
      </c>
      <c r="W210" s="765">
        <v>0.87435309000000005</v>
      </c>
      <c r="X210" s="290">
        <v>800</v>
      </c>
      <c r="Y210" s="290"/>
      <c r="Z210" s="290">
        <f>+innut23!E216</f>
        <v>78406.492709641272</v>
      </c>
      <c r="AA210" s="290">
        <v>0</v>
      </c>
      <c r="AB210" s="290">
        <v>69</v>
      </c>
      <c r="AC210" s="290">
        <v>0</v>
      </c>
      <c r="AD210" s="290"/>
      <c r="AE210" s="290">
        <v>0</v>
      </c>
      <c r="AF210" s="290">
        <v>0</v>
      </c>
      <c r="AG210" s="290">
        <v>2415</v>
      </c>
      <c r="AH210" s="290">
        <v>346</v>
      </c>
      <c r="AI210" s="290"/>
      <c r="AJ210" s="290"/>
      <c r="AK210" s="290">
        <v>0</v>
      </c>
      <c r="AL210" s="290">
        <v>0</v>
      </c>
      <c r="AM210" s="957">
        <v>3.1575249999999999E-2</v>
      </c>
      <c r="AN210" s="290">
        <v>0</v>
      </c>
      <c r="AO210" s="290">
        <v>1260.0235379000001</v>
      </c>
      <c r="AP210" s="290">
        <v>0</v>
      </c>
      <c r="AQ210" s="290">
        <v>0</v>
      </c>
      <c r="AR210" s="290">
        <v>-99.108232860000001</v>
      </c>
      <c r="AS210" s="290">
        <v>3899</v>
      </c>
      <c r="AT210" s="290">
        <v>113</v>
      </c>
      <c r="AU210" s="290">
        <v>20</v>
      </c>
      <c r="AV210" s="766">
        <v>89287</v>
      </c>
      <c r="AW210" s="290">
        <v>0</v>
      </c>
      <c r="AX210" s="766">
        <v>22.583300000000001</v>
      </c>
      <c r="AY210" s="290">
        <v>597</v>
      </c>
      <c r="AZ210" s="290">
        <v>84</v>
      </c>
      <c r="BA210" s="290">
        <v>19</v>
      </c>
      <c r="BB210" s="290">
        <v>6257</v>
      </c>
      <c r="BC210" s="290">
        <v>1345</v>
      </c>
      <c r="BD210" s="290"/>
      <c r="BE210" s="290">
        <v>102764.18270949001</v>
      </c>
      <c r="BF210" s="290">
        <v>0</v>
      </c>
      <c r="BG210" s="290">
        <v>0</v>
      </c>
      <c r="BH210" s="290">
        <v>-412</v>
      </c>
      <c r="BI210" s="290">
        <v>1383</v>
      </c>
      <c r="BJ210" s="290">
        <v>276.85248401546806</v>
      </c>
      <c r="BK210" s="290">
        <v>4</v>
      </c>
      <c r="BL210" s="290"/>
      <c r="BM210" s="290">
        <v>0</v>
      </c>
      <c r="BN210" s="290">
        <v>1037</v>
      </c>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f>+innut23!E216+innut23!S216</f>
        <v>78406.492709641272</v>
      </c>
      <c r="CL210" s="290"/>
      <c r="CM210" s="290">
        <v>0</v>
      </c>
      <c r="CN210" s="290">
        <v>0</v>
      </c>
      <c r="CO210" s="290"/>
      <c r="CP210" s="290"/>
      <c r="CQ210" s="290"/>
      <c r="CX210" s="517">
        <f t="shared" si="7"/>
        <v>0</v>
      </c>
      <c r="DB210" s="85">
        <f t="shared" si="8"/>
        <v>0.443</v>
      </c>
    </row>
    <row r="211" spans="1:106" ht="13">
      <c r="A211" s="1">
        <v>3822</v>
      </c>
      <c r="B211" s="2" t="s">
        <v>924</v>
      </c>
      <c r="C211" s="289"/>
      <c r="D211" s="290">
        <v>17</v>
      </c>
      <c r="E211" s="290">
        <v>53</v>
      </c>
      <c r="F211" s="290">
        <v>180</v>
      </c>
      <c r="G211" s="290">
        <v>93</v>
      </c>
      <c r="H211" s="290">
        <v>756</v>
      </c>
      <c r="I211" s="290">
        <v>246</v>
      </c>
      <c r="J211" s="290">
        <v>58</v>
      </c>
      <c r="K211" s="290">
        <v>20</v>
      </c>
      <c r="L211" s="290">
        <v>9</v>
      </c>
      <c r="M211" s="290">
        <v>131</v>
      </c>
      <c r="N211" s="290">
        <v>16</v>
      </c>
      <c r="O211" s="290">
        <v>16</v>
      </c>
      <c r="P211" s="624">
        <v>15238.921</v>
      </c>
      <c r="Q211" s="624">
        <v>10685.48</v>
      </c>
      <c r="R211" s="624">
        <v>11</v>
      </c>
      <c r="S211" s="290"/>
      <c r="T211" s="290">
        <v>136</v>
      </c>
      <c r="U211" s="958">
        <v>9.40879367196555E-4</v>
      </c>
      <c r="V211" s="290">
        <v>1109.04179718</v>
      </c>
      <c r="W211" s="765">
        <v>1</v>
      </c>
      <c r="X211" s="290">
        <v>0</v>
      </c>
      <c r="Y211" s="290"/>
      <c r="Z211" s="290">
        <f>+innut23!E217</f>
        <v>47966.663328987415</v>
      </c>
      <c r="AA211" s="290">
        <v>0</v>
      </c>
      <c r="AB211" s="290">
        <v>35</v>
      </c>
      <c r="AC211" s="290">
        <v>337</v>
      </c>
      <c r="AD211" s="290"/>
      <c r="AE211" s="290">
        <v>0</v>
      </c>
      <c r="AF211" s="290">
        <v>0</v>
      </c>
      <c r="AG211" s="290">
        <v>1423</v>
      </c>
      <c r="AH211" s="290">
        <v>246</v>
      </c>
      <c r="AI211" s="290"/>
      <c r="AJ211" s="290"/>
      <c r="AK211" s="290">
        <v>0</v>
      </c>
      <c r="AL211" s="290">
        <v>0</v>
      </c>
      <c r="AM211" s="957">
        <v>1.7400249999999999E-2</v>
      </c>
      <c r="AN211" s="290">
        <v>0</v>
      </c>
      <c r="AO211" s="290">
        <v>857.30308072000003</v>
      </c>
      <c r="AP211" s="290">
        <v>0</v>
      </c>
      <c r="AQ211" s="290">
        <v>0</v>
      </c>
      <c r="AR211" s="290">
        <v>-58.397935969999999</v>
      </c>
      <c r="AS211" s="290">
        <v>2052</v>
      </c>
      <c r="AT211" s="290">
        <v>70</v>
      </c>
      <c r="AU211" s="290">
        <v>7</v>
      </c>
      <c r="AV211" s="766">
        <v>72075</v>
      </c>
      <c r="AW211" s="290">
        <v>0</v>
      </c>
      <c r="AX211" s="766">
        <v>2.9166500000000002</v>
      </c>
      <c r="AY211" s="290">
        <v>284</v>
      </c>
      <c r="AZ211" s="290">
        <v>71</v>
      </c>
      <c r="BA211" s="290">
        <v>28</v>
      </c>
      <c r="BB211" s="290">
        <v>5633</v>
      </c>
      <c r="BC211" s="290">
        <v>1479</v>
      </c>
      <c r="BD211" s="290"/>
      <c r="BE211" s="290">
        <v>79086.557884659996</v>
      </c>
      <c r="BF211" s="290">
        <v>0</v>
      </c>
      <c r="BG211" s="290">
        <v>0</v>
      </c>
      <c r="BH211" s="290">
        <v>-239</v>
      </c>
      <c r="BI211" s="290">
        <v>1620</v>
      </c>
      <c r="BJ211" s="290">
        <v>237.6159960263918</v>
      </c>
      <c r="BK211" s="290">
        <v>2</v>
      </c>
      <c r="BL211" s="290"/>
      <c r="BM211" s="290">
        <v>0</v>
      </c>
      <c r="BN211" s="290">
        <v>1037</v>
      </c>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f>+innut23!E217+innut23!S217</f>
        <v>47966.663328987415</v>
      </c>
      <c r="CL211" s="290"/>
      <c r="CM211" s="290">
        <v>0</v>
      </c>
      <c r="CN211" s="290">
        <v>0</v>
      </c>
      <c r="CO211" s="290"/>
      <c r="CP211" s="290"/>
      <c r="CQ211" s="290"/>
      <c r="CX211" s="517">
        <f t="shared" si="7"/>
        <v>0</v>
      </c>
      <c r="DB211" s="85">
        <f t="shared" si="8"/>
        <v>0.26100000000000001</v>
      </c>
    </row>
    <row r="212" spans="1:106" ht="13">
      <c r="A212" s="1">
        <v>3823</v>
      </c>
      <c r="B212" s="2" t="s">
        <v>925</v>
      </c>
      <c r="C212" s="289"/>
      <c r="D212" s="290">
        <v>12</v>
      </c>
      <c r="E212" s="290">
        <v>38</v>
      </c>
      <c r="F212" s="290">
        <v>142</v>
      </c>
      <c r="G212" s="290">
        <v>93</v>
      </c>
      <c r="H212" s="290">
        <v>656</v>
      </c>
      <c r="I212" s="290">
        <v>191</v>
      </c>
      <c r="J212" s="290">
        <v>52</v>
      </c>
      <c r="K212" s="290">
        <v>16</v>
      </c>
      <c r="L212" s="290">
        <v>12</v>
      </c>
      <c r="M212" s="290">
        <v>128</v>
      </c>
      <c r="N212" s="290">
        <v>21</v>
      </c>
      <c r="O212" s="290">
        <v>13</v>
      </c>
      <c r="P212" s="624">
        <v>8862.3133333299993</v>
      </c>
      <c r="Q212" s="624">
        <v>6540.3176666700001</v>
      </c>
      <c r="R212" s="624">
        <v>7</v>
      </c>
      <c r="S212" s="290"/>
      <c r="T212" s="290">
        <v>131</v>
      </c>
      <c r="U212" s="958">
        <v>1.4614062768057417E-3</v>
      </c>
      <c r="V212" s="290">
        <v>943.49472120999997</v>
      </c>
      <c r="W212" s="765">
        <v>1</v>
      </c>
      <c r="X212" s="290">
        <v>0</v>
      </c>
      <c r="Y212" s="290"/>
      <c r="Z212" s="290">
        <f>+innut23!E218</f>
        <v>38338.253599883596</v>
      </c>
      <c r="AA212" s="290">
        <v>0</v>
      </c>
      <c r="AB212" s="290">
        <v>23</v>
      </c>
      <c r="AC212" s="290">
        <v>276</v>
      </c>
      <c r="AD212" s="290"/>
      <c r="AE212" s="290">
        <v>0</v>
      </c>
      <c r="AF212" s="290">
        <v>0</v>
      </c>
      <c r="AG212" s="290">
        <v>1200</v>
      </c>
      <c r="AH212" s="290">
        <v>203</v>
      </c>
      <c r="AI212" s="290"/>
      <c r="AJ212" s="290"/>
      <c r="AK212" s="290">
        <v>0</v>
      </c>
      <c r="AL212" s="290">
        <v>0</v>
      </c>
      <c r="AM212" s="957">
        <v>1.923072E-2</v>
      </c>
      <c r="AN212" s="290">
        <v>0</v>
      </c>
      <c r="AO212" s="290">
        <v>729.33313530999999</v>
      </c>
      <c r="AP212" s="290">
        <v>0</v>
      </c>
      <c r="AQ212" s="290">
        <v>0</v>
      </c>
      <c r="AR212" s="290">
        <v>-49.246326889999999</v>
      </c>
      <c r="AS212" s="290">
        <v>1937</v>
      </c>
      <c r="AT212" s="290">
        <v>46</v>
      </c>
      <c r="AU212" s="290">
        <v>8</v>
      </c>
      <c r="AV212" s="766">
        <v>61552</v>
      </c>
      <c r="AW212" s="290">
        <v>0</v>
      </c>
      <c r="AX212" s="766">
        <v>4.3750499999999999</v>
      </c>
      <c r="AY212" s="290">
        <v>274</v>
      </c>
      <c r="AZ212" s="290">
        <v>75</v>
      </c>
      <c r="BA212" s="290">
        <v>25</v>
      </c>
      <c r="BB212" s="290">
        <v>6257</v>
      </c>
      <c r="BC212" s="290">
        <v>894</v>
      </c>
      <c r="BD212" s="290"/>
      <c r="BE212" s="290">
        <v>68734.215879790005</v>
      </c>
      <c r="BF212" s="290">
        <v>0</v>
      </c>
      <c r="BG212" s="290">
        <v>0</v>
      </c>
      <c r="BH212" s="290">
        <v>-204</v>
      </c>
      <c r="BI212" s="290">
        <v>998</v>
      </c>
      <c r="BJ212" s="290">
        <v>189.90221401264591</v>
      </c>
      <c r="BK212" s="290">
        <v>2</v>
      </c>
      <c r="BL212" s="290"/>
      <c r="BM212" s="290">
        <v>0</v>
      </c>
      <c r="BN212" s="290">
        <v>519</v>
      </c>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f>+innut23!E218+innut23!S218</f>
        <v>38338.253599883596</v>
      </c>
      <c r="CL212" s="290"/>
      <c r="CM212" s="290">
        <v>0</v>
      </c>
      <c r="CN212" s="290">
        <v>0</v>
      </c>
      <c r="CO212" s="290"/>
      <c r="CP212" s="290"/>
      <c r="CQ212" s="290"/>
      <c r="CX212" s="517">
        <f t="shared" si="7"/>
        <v>0</v>
      </c>
      <c r="DB212" s="85">
        <f t="shared" si="8"/>
        <v>0.22</v>
      </c>
    </row>
    <row r="213" spans="1:106" ht="13">
      <c r="A213" s="1">
        <v>3824</v>
      </c>
      <c r="B213" s="2" t="s">
        <v>926</v>
      </c>
      <c r="C213" s="289"/>
      <c r="D213" s="290">
        <v>30</v>
      </c>
      <c r="E213" s="290">
        <v>61</v>
      </c>
      <c r="F213" s="290">
        <v>239</v>
      </c>
      <c r="G213" s="290">
        <v>157</v>
      </c>
      <c r="H213" s="290">
        <v>1183</v>
      </c>
      <c r="I213" s="290">
        <v>323</v>
      </c>
      <c r="J213" s="290">
        <v>104</v>
      </c>
      <c r="K213" s="290">
        <v>35</v>
      </c>
      <c r="L213" s="290">
        <v>17</v>
      </c>
      <c r="M213" s="290">
        <v>230</v>
      </c>
      <c r="N213" s="290">
        <v>29</v>
      </c>
      <c r="O213" s="290">
        <v>23</v>
      </c>
      <c r="P213" s="624">
        <v>21889.35</v>
      </c>
      <c r="Q213" s="624">
        <v>9286.4466666699991</v>
      </c>
      <c r="R213" s="624">
        <v>7</v>
      </c>
      <c r="S213" s="290"/>
      <c r="T213" s="290">
        <v>226</v>
      </c>
      <c r="U213" s="958">
        <v>1.9799561427144611E-3</v>
      </c>
      <c r="V213" s="290">
        <v>1450.87913254</v>
      </c>
      <c r="W213" s="765">
        <v>0.991595</v>
      </c>
      <c r="X213" s="290">
        <v>0</v>
      </c>
      <c r="Y213" s="290"/>
      <c r="Z213" s="290">
        <f>+innut23!E219</f>
        <v>91569.011840336767</v>
      </c>
      <c r="AA213" s="290">
        <v>0</v>
      </c>
      <c r="AB213" s="290">
        <v>44</v>
      </c>
      <c r="AC213" s="290">
        <v>115</v>
      </c>
      <c r="AD213" s="290"/>
      <c r="AE213" s="290">
        <v>0</v>
      </c>
      <c r="AF213" s="290">
        <v>0</v>
      </c>
      <c r="AG213" s="290">
        <v>2132</v>
      </c>
      <c r="AH213" s="290">
        <v>335</v>
      </c>
      <c r="AI213" s="290"/>
      <c r="AJ213" s="290"/>
      <c r="AK213" s="290">
        <v>0</v>
      </c>
      <c r="AL213" s="290">
        <v>0</v>
      </c>
      <c r="AM213" s="957">
        <v>2.2220279999999999E-2</v>
      </c>
      <c r="AN213" s="290">
        <v>0</v>
      </c>
      <c r="AO213" s="290">
        <v>1121.5475856999999</v>
      </c>
      <c r="AP213" s="290">
        <v>0</v>
      </c>
      <c r="AQ213" s="290">
        <v>0</v>
      </c>
      <c r="AR213" s="290">
        <v>-87.49430744</v>
      </c>
      <c r="AS213" s="290">
        <v>2657</v>
      </c>
      <c r="AT213" s="290">
        <v>106</v>
      </c>
      <c r="AU213" s="290">
        <v>12</v>
      </c>
      <c r="AV213" s="766">
        <v>84882</v>
      </c>
      <c r="AW213" s="290">
        <v>0</v>
      </c>
      <c r="AX213" s="766">
        <v>6.9583500000000003</v>
      </c>
      <c r="AY213" s="290">
        <v>470</v>
      </c>
      <c r="AZ213" s="290">
        <v>80</v>
      </c>
      <c r="BA213" s="290">
        <v>25</v>
      </c>
      <c r="BB213" s="290">
        <v>6257</v>
      </c>
      <c r="BC213" s="290">
        <v>1413</v>
      </c>
      <c r="BD213" s="290"/>
      <c r="BE213" s="290">
        <v>92313.909741070005</v>
      </c>
      <c r="BF213" s="290">
        <v>0</v>
      </c>
      <c r="BG213" s="290">
        <v>0</v>
      </c>
      <c r="BH213" s="290">
        <v>-362</v>
      </c>
      <c r="BI213" s="290">
        <v>1487</v>
      </c>
      <c r="BJ213" s="290">
        <v>300.68326622423336</v>
      </c>
      <c r="BK213" s="290">
        <v>3</v>
      </c>
      <c r="BL213" s="290"/>
      <c r="BM213" s="290">
        <v>0</v>
      </c>
      <c r="BN213" s="290">
        <v>1037</v>
      </c>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f>+innut23!E219+innut23!S219</f>
        <v>91569.011840336767</v>
      </c>
      <c r="CL213" s="290"/>
      <c r="CM213" s="290">
        <v>0</v>
      </c>
      <c r="CN213" s="290">
        <v>0</v>
      </c>
      <c r="CO213" s="290"/>
      <c r="CP213" s="290"/>
      <c r="CQ213" s="290"/>
      <c r="CX213" s="517">
        <f t="shared" si="7"/>
        <v>0</v>
      </c>
      <c r="DB213" s="85">
        <f t="shared" si="8"/>
        <v>0.39100000000000001</v>
      </c>
    </row>
    <row r="214" spans="1:106" ht="13">
      <c r="A214" s="1">
        <v>3825</v>
      </c>
      <c r="B214" s="2" t="s">
        <v>927</v>
      </c>
      <c r="C214" s="289"/>
      <c r="D214" s="290">
        <v>74</v>
      </c>
      <c r="E214" s="290">
        <v>137</v>
      </c>
      <c r="F214" s="290">
        <v>436</v>
      </c>
      <c r="G214" s="290">
        <v>292</v>
      </c>
      <c r="H214" s="290">
        <v>2071</v>
      </c>
      <c r="I214" s="290">
        <v>567</v>
      </c>
      <c r="J214" s="290">
        <v>170</v>
      </c>
      <c r="K214" s="290">
        <v>35</v>
      </c>
      <c r="L214" s="290">
        <v>27</v>
      </c>
      <c r="M214" s="290">
        <v>358</v>
      </c>
      <c r="N214" s="290">
        <v>73</v>
      </c>
      <c r="O214" s="290">
        <v>31</v>
      </c>
      <c r="P214" s="624">
        <v>72818.148666669993</v>
      </c>
      <c r="Q214" s="624">
        <v>20040.405999999999</v>
      </c>
      <c r="R214" s="624">
        <v>12</v>
      </c>
      <c r="S214" s="290"/>
      <c r="T214" s="290">
        <v>349</v>
      </c>
      <c r="U214" s="958">
        <v>2.7735103231870629E-3</v>
      </c>
      <c r="V214" s="290">
        <v>2456.9300455500002</v>
      </c>
      <c r="W214" s="765">
        <v>1</v>
      </c>
      <c r="X214" s="290">
        <v>0</v>
      </c>
      <c r="Y214" s="290"/>
      <c r="Z214" s="290">
        <f>+innut23!E220</f>
        <v>173462.61248571609</v>
      </c>
      <c r="AA214" s="290">
        <v>0</v>
      </c>
      <c r="AB214" s="290">
        <v>64</v>
      </c>
      <c r="AC214" s="290">
        <v>500</v>
      </c>
      <c r="AD214" s="290"/>
      <c r="AE214" s="290">
        <v>0</v>
      </c>
      <c r="AF214" s="290">
        <v>0</v>
      </c>
      <c r="AG214" s="290">
        <v>3782</v>
      </c>
      <c r="AH214" s="290">
        <v>652</v>
      </c>
      <c r="AI214" s="290"/>
      <c r="AJ214" s="290"/>
      <c r="AK214" s="290">
        <v>0</v>
      </c>
      <c r="AL214" s="290">
        <v>0</v>
      </c>
      <c r="AM214" s="957">
        <v>2.4252719999999998E-2</v>
      </c>
      <c r="AN214" s="290">
        <v>0</v>
      </c>
      <c r="AO214" s="290">
        <v>1899.2374340599999</v>
      </c>
      <c r="AP214" s="290">
        <v>0</v>
      </c>
      <c r="AQ214" s="290">
        <v>0</v>
      </c>
      <c r="AR214" s="290">
        <v>-155.20800690999999</v>
      </c>
      <c r="AS214" s="290">
        <v>5770</v>
      </c>
      <c r="AT214" s="290">
        <v>118</v>
      </c>
      <c r="AU214" s="290">
        <v>23</v>
      </c>
      <c r="AV214" s="766">
        <v>124113</v>
      </c>
      <c r="AW214" s="290">
        <v>0</v>
      </c>
      <c r="AX214" s="766">
        <v>26.458349999999999</v>
      </c>
      <c r="AY214" s="290">
        <v>876</v>
      </c>
      <c r="AZ214" s="290">
        <v>126</v>
      </c>
      <c r="BA214" s="290">
        <v>63</v>
      </c>
      <c r="BB214" s="290">
        <v>0</v>
      </c>
      <c r="BC214" s="290">
        <v>2972</v>
      </c>
      <c r="BD214" s="290"/>
      <c r="BE214" s="290">
        <v>140466.88205608999</v>
      </c>
      <c r="BF214" s="290">
        <v>0</v>
      </c>
      <c r="BG214" s="290">
        <v>0</v>
      </c>
      <c r="BH214" s="290">
        <v>-631</v>
      </c>
      <c r="BI214" s="290">
        <v>3226</v>
      </c>
      <c r="BJ214" s="290">
        <v>542.06429977048117</v>
      </c>
      <c r="BK214" s="290">
        <v>5</v>
      </c>
      <c r="BL214" s="290"/>
      <c r="BM214" s="290">
        <v>0</v>
      </c>
      <c r="BN214" s="290">
        <v>2074</v>
      </c>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f>+innut23!E220+innut23!S220</f>
        <v>173462.61248571609</v>
      </c>
      <c r="CL214" s="290"/>
      <c r="CM214" s="290">
        <v>0</v>
      </c>
      <c r="CN214" s="290">
        <v>0</v>
      </c>
      <c r="CO214" s="290"/>
      <c r="CP214" s="290"/>
      <c r="CQ214" s="290"/>
      <c r="CX214" s="517">
        <f t="shared" si="7"/>
        <v>0</v>
      </c>
      <c r="DB214" s="85">
        <f t="shared" si="8"/>
        <v>0.69299999999999995</v>
      </c>
    </row>
    <row r="215" spans="1:106" ht="13">
      <c r="A215" s="1">
        <v>4201</v>
      </c>
      <c r="B215" s="2" t="s">
        <v>928</v>
      </c>
      <c r="C215" s="289"/>
      <c r="D215" s="290">
        <v>99</v>
      </c>
      <c r="E215" s="290">
        <v>202</v>
      </c>
      <c r="F215" s="290">
        <v>724</v>
      </c>
      <c r="G215" s="290">
        <v>546</v>
      </c>
      <c r="H215" s="290">
        <v>3646</v>
      </c>
      <c r="I215" s="290">
        <v>1196</v>
      </c>
      <c r="J215" s="290">
        <v>306</v>
      </c>
      <c r="K215" s="290">
        <v>85</v>
      </c>
      <c r="L215" s="290">
        <v>58</v>
      </c>
      <c r="M215" s="290">
        <v>701</v>
      </c>
      <c r="N215" s="290">
        <v>225</v>
      </c>
      <c r="O215" s="290">
        <v>69</v>
      </c>
      <c r="P215" s="624">
        <v>43460.40833333</v>
      </c>
      <c r="Q215" s="624">
        <v>10882.10466667</v>
      </c>
      <c r="R215" s="624">
        <v>37</v>
      </c>
      <c r="S215" s="290"/>
      <c r="T215" s="290">
        <v>696</v>
      </c>
      <c r="U215" s="958">
        <v>8.2762007802724086E-4</v>
      </c>
      <c r="V215" s="290">
        <v>4153.1318449500004</v>
      </c>
      <c r="W215" s="765">
        <v>0.62072453999999999</v>
      </c>
      <c r="X215" s="290">
        <v>700</v>
      </c>
      <c r="Y215" s="290"/>
      <c r="Z215" s="290">
        <f>+innut23!E221</f>
        <v>202285.17036892948</v>
      </c>
      <c r="AA215" s="290">
        <v>0</v>
      </c>
      <c r="AB215" s="290">
        <v>249</v>
      </c>
      <c r="AC215" s="290">
        <v>282</v>
      </c>
      <c r="AD215" s="290"/>
      <c r="AE215" s="290">
        <v>0</v>
      </c>
      <c r="AF215" s="290">
        <v>0</v>
      </c>
      <c r="AG215" s="290">
        <v>6804</v>
      </c>
      <c r="AH215" s="290">
        <v>1070</v>
      </c>
      <c r="AI215" s="290"/>
      <c r="AJ215" s="290"/>
      <c r="AK215" s="290">
        <v>0</v>
      </c>
      <c r="AL215" s="290">
        <v>0</v>
      </c>
      <c r="AM215" s="957">
        <v>0.20469982</v>
      </c>
      <c r="AN215" s="290">
        <v>9619</v>
      </c>
      <c r="AO215" s="290">
        <v>3210.42248754</v>
      </c>
      <c r="AP215" s="290">
        <v>0</v>
      </c>
      <c r="AQ215" s="290">
        <v>0</v>
      </c>
      <c r="AR215" s="290">
        <v>-279.22667345999997</v>
      </c>
      <c r="AS215" s="290">
        <v>10994</v>
      </c>
      <c r="AT215" s="290">
        <v>386</v>
      </c>
      <c r="AU215" s="290">
        <v>85</v>
      </c>
      <c r="AV215" s="766">
        <v>205511</v>
      </c>
      <c r="AW215" s="290">
        <v>0</v>
      </c>
      <c r="AX215" s="766">
        <v>37.916649999999997</v>
      </c>
      <c r="AY215" s="290">
        <v>1541</v>
      </c>
      <c r="AZ215" s="290">
        <v>283</v>
      </c>
      <c r="BA215" s="290">
        <v>143</v>
      </c>
      <c r="BB215" s="290">
        <v>0</v>
      </c>
      <c r="BC215" s="290">
        <v>3230</v>
      </c>
      <c r="BD215" s="290"/>
      <c r="BE215" s="290">
        <v>231438.01504488001</v>
      </c>
      <c r="BF215" s="290">
        <v>0</v>
      </c>
      <c r="BG215" s="290">
        <v>0</v>
      </c>
      <c r="BH215" s="290">
        <v>-1143</v>
      </c>
      <c r="BI215" s="290">
        <v>3426</v>
      </c>
      <c r="BJ215" s="290">
        <v>802.86089400992614</v>
      </c>
      <c r="BK215" s="290">
        <v>13</v>
      </c>
      <c r="BL215" s="290"/>
      <c r="BM215" s="290">
        <v>0</v>
      </c>
      <c r="BN215" s="290">
        <v>2074</v>
      </c>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f>+innut23!E221+innut23!S221</f>
        <v>202285.17036892948</v>
      </c>
      <c r="CL215" s="290"/>
      <c r="CM215" s="290">
        <v>0</v>
      </c>
      <c r="CN215" s="290">
        <v>0</v>
      </c>
      <c r="CO215" s="290"/>
      <c r="CP215" s="290"/>
      <c r="CQ215" s="290"/>
      <c r="CX215" s="517">
        <f t="shared" si="7"/>
        <v>0</v>
      </c>
      <c r="DB215" s="85">
        <f t="shared" si="8"/>
        <v>1.2470000000000001</v>
      </c>
    </row>
    <row r="216" spans="1:106" ht="13">
      <c r="A216" s="1">
        <v>4202</v>
      </c>
      <c r="B216" s="2" t="s">
        <v>929</v>
      </c>
      <c r="C216" s="289"/>
      <c r="D216" s="290">
        <v>504</v>
      </c>
      <c r="E216" s="290">
        <v>1066</v>
      </c>
      <c r="F216" s="290">
        <v>3103</v>
      </c>
      <c r="G216" s="290">
        <v>2302</v>
      </c>
      <c r="H216" s="290">
        <v>13571</v>
      </c>
      <c r="I216" s="290">
        <v>2703</v>
      </c>
      <c r="J216" s="290">
        <v>833</v>
      </c>
      <c r="K216" s="290">
        <v>167</v>
      </c>
      <c r="L216" s="290">
        <v>171</v>
      </c>
      <c r="M216" s="290">
        <v>1467</v>
      </c>
      <c r="N216" s="290">
        <v>892</v>
      </c>
      <c r="O216" s="290">
        <v>244</v>
      </c>
      <c r="P216" s="624">
        <v>69196.779666670001</v>
      </c>
      <c r="Q216" s="624">
        <v>38569.775666670001</v>
      </c>
      <c r="R216" s="624">
        <v>86</v>
      </c>
      <c r="S216" s="290"/>
      <c r="T216" s="290">
        <v>1919</v>
      </c>
      <c r="U216" s="958">
        <v>2.9156004798469091E-3</v>
      </c>
      <c r="V216" s="290">
        <v>-10973.56688939</v>
      </c>
      <c r="W216" s="765">
        <v>0.55655862</v>
      </c>
      <c r="X216" s="290">
        <v>580</v>
      </c>
      <c r="Y216" s="290"/>
      <c r="Z216" s="290">
        <f>+innut23!E222</f>
        <v>725602.88176312635</v>
      </c>
      <c r="AA216" s="290">
        <v>0</v>
      </c>
      <c r="AB216" s="290">
        <v>707</v>
      </c>
      <c r="AC216" s="290">
        <v>1883</v>
      </c>
      <c r="AD216" s="290"/>
      <c r="AE216" s="290">
        <v>0</v>
      </c>
      <c r="AF216" s="290">
        <v>0</v>
      </c>
      <c r="AG216" s="290">
        <v>24249</v>
      </c>
      <c r="AH216" s="290">
        <v>4760</v>
      </c>
      <c r="AI216" s="290"/>
      <c r="AJ216" s="290"/>
      <c r="AK216" s="290">
        <v>0</v>
      </c>
      <c r="AL216" s="290">
        <v>0</v>
      </c>
      <c r="AM216" s="957">
        <v>0.63369054999999996</v>
      </c>
      <c r="AN216" s="290">
        <v>0</v>
      </c>
      <c r="AO216" s="290">
        <v>10734.38522887</v>
      </c>
      <c r="AP216" s="290">
        <v>0</v>
      </c>
      <c r="AQ216" s="290">
        <v>0</v>
      </c>
      <c r="AR216" s="290">
        <v>-995.14515058999996</v>
      </c>
      <c r="AS216" s="290">
        <v>38831</v>
      </c>
      <c r="AT216" s="290">
        <v>1257</v>
      </c>
      <c r="AU216" s="290">
        <v>270</v>
      </c>
      <c r="AV216" s="766">
        <v>573030</v>
      </c>
      <c r="AW216" s="290">
        <v>0</v>
      </c>
      <c r="AX216" s="766">
        <v>171.83335</v>
      </c>
      <c r="AY216" s="290">
        <v>6749</v>
      </c>
      <c r="AZ216" s="290">
        <v>1077</v>
      </c>
      <c r="BA216" s="290">
        <v>513</v>
      </c>
      <c r="BB216" s="290">
        <v>0</v>
      </c>
      <c r="BC216" s="290">
        <v>10881</v>
      </c>
      <c r="BD216" s="290"/>
      <c r="BE216" s="290">
        <v>663285.65830146999</v>
      </c>
      <c r="BF216" s="290">
        <v>0</v>
      </c>
      <c r="BG216" s="290">
        <v>0</v>
      </c>
      <c r="BH216" s="290">
        <v>-4039</v>
      </c>
      <c r="BI216" s="290">
        <v>11828</v>
      </c>
      <c r="BJ216" s="290">
        <v>3279.2246237463905</v>
      </c>
      <c r="BK216" s="290">
        <v>41</v>
      </c>
      <c r="BL216" s="290"/>
      <c r="BM216" s="290">
        <v>0</v>
      </c>
      <c r="BN216" s="290">
        <v>5185</v>
      </c>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f>+innut23!E222+innut23!S222</f>
        <v>725602.88176312635</v>
      </c>
      <c r="CL216" s="290"/>
      <c r="CM216" s="290">
        <v>0</v>
      </c>
      <c r="CN216" s="290">
        <v>0</v>
      </c>
      <c r="CO216" s="290"/>
      <c r="CP216" s="290"/>
      <c r="CQ216" s="290"/>
      <c r="CX216" s="517">
        <f t="shared" si="7"/>
        <v>0</v>
      </c>
      <c r="DB216" s="85">
        <f t="shared" si="8"/>
        <v>4.4450000000000003</v>
      </c>
    </row>
    <row r="217" spans="1:106" ht="13">
      <c r="A217" s="1">
        <v>4203</v>
      </c>
      <c r="B217" s="2" t="s">
        <v>930</v>
      </c>
      <c r="C217" s="289"/>
      <c r="D217" s="290">
        <v>783</v>
      </c>
      <c r="E217" s="290">
        <v>1762</v>
      </c>
      <c r="F217" s="290">
        <v>5571</v>
      </c>
      <c r="G217" s="290">
        <v>3690</v>
      </c>
      <c r="H217" s="290">
        <v>25718</v>
      </c>
      <c r="I217" s="290">
        <v>6064</v>
      </c>
      <c r="J217" s="290">
        <v>1821</v>
      </c>
      <c r="K217" s="290">
        <v>380</v>
      </c>
      <c r="L217" s="290">
        <v>358</v>
      </c>
      <c r="M217" s="290">
        <v>3506</v>
      </c>
      <c r="N217" s="290">
        <v>1573</v>
      </c>
      <c r="O217" s="290">
        <v>431</v>
      </c>
      <c r="P217" s="624">
        <v>101829.53133333</v>
      </c>
      <c r="Q217" s="624">
        <v>82167.273666669993</v>
      </c>
      <c r="R217" s="624">
        <v>192</v>
      </c>
      <c r="S217" s="290"/>
      <c r="T217" s="290">
        <v>4579</v>
      </c>
      <c r="U217" s="958">
        <v>3.2633041422959769E-3</v>
      </c>
      <c r="V217" s="290">
        <v>-33157.62748992</v>
      </c>
      <c r="W217" s="765">
        <v>0.56132534000000001</v>
      </c>
      <c r="X217" s="290">
        <v>4400</v>
      </c>
      <c r="Y217" s="290"/>
      <c r="Z217" s="290">
        <f>+innut23!E223</f>
        <v>1389132.4331632908</v>
      </c>
      <c r="AA217" s="290">
        <v>0</v>
      </c>
      <c r="AB217" s="290">
        <v>1775</v>
      </c>
      <c r="AC217" s="290">
        <v>13582</v>
      </c>
      <c r="AD217" s="290"/>
      <c r="AE217" s="290">
        <v>0</v>
      </c>
      <c r="AF217" s="290">
        <v>0</v>
      </c>
      <c r="AG217" s="290">
        <v>45789</v>
      </c>
      <c r="AH217" s="290">
        <v>8201</v>
      </c>
      <c r="AI217" s="290"/>
      <c r="AJ217" s="290"/>
      <c r="AK217" s="290">
        <v>0</v>
      </c>
      <c r="AL217" s="290">
        <v>0</v>
      </c>
      <c r="AM217" s="957">
        <v>1.6796712199999999</v>
      </c>
      <c r="AN217" s="290">
        <v>0</v>
      </c>
      <c r="AO217" s="290">
        <v>20664.45589872</v>
      </c>
      <c r="AP217" s="290">
        <v>0</v>
      </c>
      <c r="AQ217" s="290">
        <v>0</v>
      </c>
      <c r="AR217" s="290">
        <v>-1879.1167182300001</v>
      </c>
      <c r="AS217" s="290">
        <v>71923</v>
      </c>
      <c r="AT217" s="290">
        <v>2886</v>
      </c>
      <c r="AU217" s="290">
        <v>584</v>
      </c>
      <c r="AV217" s="766">
        <v>1127706</v>
      </c>
      <c r="AW217" s="290">
        <v>0</v>
      </c>
      <c r="AX217" s="766">
        <v>285.70835</v>
      </c>
      <c r="AY217" s="290">
        <v>11799</v>
      </c>
      <c r="AZ217" s="290">
        <v>2064</v>
      </c>
      <c r="BA217" s="290">
        <v>1145</v>
      </c>
      <c r="BB217" s="290">
        <v>0</v>
      </c>
      <c r="BC217" s="290">
        <v>25486</v>
      </c>
      <c r="BD217" s="290"/>
      <c r="BE217" s="290">
        <v>1306459.3127631</v>
      </c>
      <c r="BF217" s="290">
        <v>0</v>
      </c>
      <c r="BG217" s="290">
        <v>0</v>
      </c>
      <c r="BH217" s="290">
        <v>-7668</v>
      </c>
      <c r="BI217" s="290">
        <v>30079</v>
      </c>
      <c r="BJ217" s="290">
        <v>5874.598263907571</v>
      </c>
      <c r="BK217" s="290">
        <v>91</v>
      </c>
      <c r="BL217" s="290"/>
      <c r="BM217" s="290">
        <v>0</v>
      </c>
      <c r="BN217" s="290">
        <v>8296</v>
      </c>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f>+innut23!E223+innut23!S223</f>
        <v>1389132.4331632908</v>
      </c>
      <c r="CL217" s="290"/>
      <c r="CM217" s="290">
        <v>0</v>
      </c>
      <c r="CN217" s="290">
        <v>0</v>
      </c>
      <c r="CO217" s="290"/>
      <c r="CP217" s="290"/>
      <c r="CQ217" s="290"/>
      <c r="CX217" s="517">
        <f t="shared" si="7"/>
        <v>0</v>
      </c>
      <c r="DB217" s="85">
        <f t="shared" si="8"/>
        <v>8.3930000000000007</v>
      </c>
    </row>
    <row r="218" spans="1:106" ht="13">
      <c r="A218" s="1">
        <v>4204</v>
      </c>
      <c r="B218" s="2" t="s">
        <v>1628</v>
      </c>
      <c r="C218" s="289"/>
      <c r="D218" s="290">
        <v>2415</v>
      </c>
      <c r="E218" s="290">
        <v>5070</v>
      </c>
      <c r="F218" s="290">
        <v>14333</v>
      </c>
      <c r="G218" s="290">
        <v>10629</v>
      </c>
      <c r="H218" s="290">
        <v>65307</v>
      </c>
      <c r="I218" s="290">
        <v>11944</v>
      </c>
      <c r="J218" s="290">
        <v>3783</v>
      </c>
      <c r="K218" s="290">
        <v>867</v>
      </c>
      <c r="L218" s="290">
        <v>851</v>
      </c>
      <c r="M218" s="290">
        <v>6855</v>
      </c>
      <c r="N218" s="290">
        <v>5736</v>
      </c>
      <c r="O218" s="290">
        <v>1040</v>
      </c>
      <c r="P218" s="624">
        <v>247281.01266666999</v>
      </c>
      <c r="Q218" s="624">
        <v>147928.48666667001</v>
      </c>
      <c r="R218" s="624">
        <v>425</v>
      </c>
      <c r="S218" s="290"/>
      <c r="T218" s="290">
        <v>10134</v>
      </c>
      <c r="U218" s="958">
        <v>4.2380119011458991E-3</v>
      </c>
      <c r="V218" s="290">
        <v>-11555.51275876</v>
      </c>
      <c r="W218" s="765">
        <v>0.54712245999999998</v>
      </c>
      <c r="X218" s="290">
        <v>6640</v>
      </c>
      <c r="Y218" s="290"/>
      <c r="Z218" s="290">
        <f>+innut23!E224</f>
        <v>3652123.8416874614</v>
      </c>
      <c r="AA218" s="290">
        <v>0</v>
      </c>
      <c r="AB218" s="290">
        <v>3317</v>
      </c>
      <c r="AC218" s="290">
        <v>16107</v>
      </c>
      <c r="AD218" s="290"/>
      <c r="AE218" s="290">
        <v>0</v>
      </c>
      <c r="AF218" s="290">
        <v>32122</v>
      </c>
      <c r="AG218" s="290">
        <v>114348</v>
      </c>
      <c r="AH218" s="290">
        <v>21885</v>
      </c>
      <c r="AI218" s="290"/>
      <c r="AJ218" s="290"/>
      <c r="AK218" s="290">
        <v>0</v>
      </c>
      <c r="AL218" s="290">
        <v>0</v>
      </c>
      <c r="AM218" s="957">
        <v>4.57877315</v>
      </c>
      <c r="AN218" s="290">
        <v>0</v>
      </c>
      <c r="AO218" s="290">
        <v>50643.975969090003</v>
      </c>
      <c r="AP218" s="290">
        <v>46405</v>
      </c>
      <c r="AQ218" s="290">
        <v>0</v>
      </c>
      <c r="AR218" s="290">
        <v>-4692.6824891699998</v>
      </c>
      <c r="AS218" s="290">
        <v>181680</v>
      </c>
      <c r="AT218" s="290">
        <v>6386</v>
      </c>
      <c r="AU218" s="290">
        <v>1610</v>
      </c>
      <c r="AV218" s="766">
        <v>2801425</v>
      </c>
      <c r="AW218" s="290">
        <v>0</v>
      </c>
      <c r="AX218" s="766">
        <v>844.58335</v>
      </c>
      <c r="AY218" s="290">
        <v>33410</v>
      </c>
      <c r="AZ218" s="290">
        <v>5761</v>
      </c>
      <c r="BA218" s="290">
        <v>2628</v>
      </c>
      <c r="BB218" s="290">
        <v>0</v>
      </c>
      <c r="BC218" s="290">
        <v>87293</v>
      </c>
      <c r="BD218" s="290"/>
      <c r="BE218" s="290">
        <v>3261030.4228531001</v>
      </c>
      <c r="BF218" s="290">
        <v>0</v>
      </c>
      <c r="BG218" s="290">
        <v>0</v>
      </c>
      <c r="BH218" s="290">
        <v>-19083</v>
      </c>
      <c r="BI218" s="290">
        <v>95002</v>
      </c>
      <c r="BJ218" s="290">
        <v>14971.525936986369</v>
      </c>
      <c r="BK218" s="290">
        <v>227</v>
      </c>
      <c r="BL218" s="290"/>
      <c r="BM218" s="290">
        <v>0</v>
      </c>
      <c r="BN218" s="290">
        <v>24888</v>
      </c>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f>+innut23!E224+innut23!S224</f>
        <v>3652123.8416874614</v>
      </c>
      <c r="CL218" s="290"/>
      <c r="CM218" s="290">
        <v>0</v>
      </c>
      <c r="CN218" s="290">
        <v>0</v>
      </c>
      <c r="CO218" s="290"/>
      <c r="CP218" s="290"/>
      <c r="CQ218" s="290"/>
      <c r="CX218" s="517">
        <f t="shared" si="7"/>
        <v>0</v>
      </c>
      <c r="DB218" s="85">
        <f t="shared" si="8"/>
        <v>20.959</v>
      </c>
    </row>
    <row r="219" spans="1:106" ht="13">
      <c r="A219" s="1">
        <v>4205</v>
      </c>
      <c r="B219" s="2" t="s">
        <v>1629</v>
      </c>
      <c r="C219" s="289"/>
      <c r="D219" s="290">
        <v>426</v>
      </c>
      <c r="E219" s="290">
        <v>964</v>
      </c>
      <c r="F219" s="290">
        <v>3072</v>
      </c>
      <c r="G219" s="290">
        <v>2020</v>
      </c>
      <c r="H219" s="290">
        <v>12766</v>
      </c>
      <c r="I219" s="290">
        <v>3043</v>
      </c>
      <c r="J219" s="290">
        <v>892</v>
      </c>
      <c r="K219" s="290">
        <v>208</v>
      </c>
      <c r="L219" s="290">
        <v>186</v>
      </c>
      <c r="M219" s="290">
        <v>1664</v>
      </c>
      <c r="N219" s="290">
        <v>621</v>
      </c>
      <c r="O219" s="290">
        <v>220</v>
      </c>
      <c r="P219" s="624">
        <v>120340.63499999999</v>
      </c>
      <c r="Q219" s="624">
        <v>57676.810333330002</v>
      </c>
      <c r="R219" s="624">
        <v>113</v>
      </c>
      <c r="S219" s="290"/>
      <c r="T219" s="290">
        <v>2080</v>
      </c>
      <c r="U219" s="958">
        <v>7.0623417797277144E-3</v>
      </c>
      <c r="V219" s="290">
        <v>-1553.4705947099999</v>
      </c>
      <c r="W219" s="765">
        <v>0.61599672999999999</v>
      </c>
      <c r="X219" s="290">
        <v>2120</v>
      </c>
      <c r="Y219" s="290"/>
      <c r="Z219" s="290">
        <f>+innut23!E225</f>
        <v>685471.56850973319</v>
      </c>
      <c r="AA219" s="290">
        <v>0</v>
      </c>
      <c r="AB219" s="290">
        <v>861</v>
      </c>
      <c r="AC219" s="290">
        <v>9301</v>
      </c>
      <c r="AD219" s="290"/>
      <c r="AE219" s="290">
        <v>0</v>
      </c>
      <c r="AF219" s="290">
        <v>40336</v>
      </c>
      <c r="AG219" s="290">
        <v>23391</v>
      </c>
      <c r="AH219" s="290">
        <v>4517</v>
      </c>
      <c r="AI219" s="290"/>
      <c r="AJ219" s="290"/>
      <c r="AK219" s="290">
        <v>1303</v>
      </c>
      <c r="AL219" s="290">
        <v>0</v>
      </c>
      <c r="AM219" s="957">
        <v>0.64205173999999998</v>
      </c>
      <c r="AN219" s="290">
        <v>0</v>
      </c>
      <c r="AO219" s="290">
        <v>10940.85398132</v>
      </c>
      <c r="AP219" s="290">
        <v>0</v>
      </c>
      <c r="AQ219" s="290">
        <v>0</v>
      </c>
      <c r="AR219" s="290">
        <v>-959.93402687000003</v>
      </c>
      <c r="AS219" s="290">
        <v>37026</v>
      </c>
      <c r="AT219" s="290">
        <v>1364</v>
      </c>
      <c r="AU219" s="290">
        <v>260</v>
      </c>
      <c r="AV219" s="766">
        <v>692782</v>
      </c>
      <c r="AW219" s="290">
        <v>0</v>
      </c>
      <c r="AX219" s="766">
        <v>124.20835</v>
      </c>
      <c r="AY219" s="290">
        <v>5170</v>
      </c>
      <c r="AZ219" s="290">
        <v>970</v>
      </c>
      <c r="BA219" s="290">
        <v>513</v>
      </c>
      <c r="BB219" s="290">
        <v>0</v>
      </c>
      <c r="BC219" s="290">
        <v>57665</v>
      </c>
      <c r="BD219" s="290"/>
      <c r="BE219" s="290">
        <v>788569.56815163</v>
      </c>
      <c r="BF219" s="290">
        <v>0</v>
      </c>
      <c r="BG219" s="290">
        <v>0</v>
      </c>
      <c r="BH219" s="290">
        <v>-3898</v>
      </c>
      <c r="BI219" s="290">
        <v>62198</v>
      </c>
      <c r="BJ219" s="290">
        <v>3293.9909625011269</v>
      </c>
      <c r="BK219" s="290">
        <v>41</v>
      </c>
      <c r="BL219" s="290"/>
      <c r="BM219" s="290">
        <v>5158</v>
      </c>
      <c r="BN219" s="290">
        <v>6741</v>
      </c>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f>+innut23!E225+innut23!S225</f>
        <v>685471.56850973319</v>
      </c>
      <c r="CL219" s="290"/>
      <c r="CM219" s="290">
        <v>1241.4737965259274</v>
      </c>
      <c r="CN219" s="290">
        <v>1171.5986240069888</v>
      </c>
      <c r="CO219" s="290"/>
      <c r="CP219" s="290"/>
      <c r="CQ219" s="290"/>
      <c r="CX219" s="517">
        <f t="shared" si="7"/>
        <v>0</v>
      </c>
      <c r="DB219" s="85">
        <f t="shared" si="8"/>
        <v>4.2869999999999999</v>
      </c>
    </row>
    <row r="220" spans="1:106" ht="13">
      <c r="A220" s="1">
        <v>4206</v>
      </c>
      <c r="B220" s="2" t="s">
        <v>944</v>
      </c>
      <c r="C220" s="289"/>
      <c r="D220" s="290">
        <v>180</v>
      </c>
      <c r="E220" s="290">
        <v>394</v>
      </c>
      <c r="F220" s="290">
        <v>1235</v>
      </c>
      <c r="G220" s="290">
        <v>830</v>
      </c>
      <c r="H220" s="290">
        <v>5201</v>
      </c>
      <c r="I220" s="290">
        <v>1399</v>
      </c>
      <c r="J220" s="290">
        <v>424</v>
      </c>
      <c r="K220" s="290">
        <v>81</v>
      </c>
      <c r="L220" s="290">
        <v>83</v>
      </c>
      <c r="M220" s="290">
        <v>762</v>
      </c>
      <c r="N220" s="290">
        <v>204</v>
      </c>
      <c r="O220" s="290">
        <v>99</v>
      </c>
      <c r="P220" s="624">
        <v>31498.542333329999</v>
      </c>
      <c r="Q220" s="624">
        <v>18149.134666670001</v>
      </c>
      <c r="R220" s="624">
        <v>47</v>
      </c>
      <c r="S220" s="290"/>
      <c r="T220" s="290">
        <v>827</v>
      </c>
      <c r="U220" s="958">
        <v>3.9417480042663556E-3</v>
      </c>
      <c r="V220" s="290">
        <v>5575.1145818900004</v>
      </c>
      <c r="W220" s="765">
        <v>0.60130744000000003</v>
      </c>
      <c r="X220" s="290">
        <v>710</v>
      </c>
      <c r="Y220" s="290"/>
      <c r="Z220" s="290">
        <f>+innut23!E226</f>
        <v>286099.15855350444</v>
      </c>
      <c r="AA220" s="290">
        <v>0</v>
      </c>
      <c r="AB220" s="290">
        <v>282</v>
      </c>
      <c r="AC220" s="290">
        <v>1246</v>
      </c>
      <c r="AD220" s="290"/>
      <c r="AE220" s="290">
        <v>0</v>
      </c>
      <c r="AF220" s="290">
        <v>0</v>
      </c>
      <c r="AG220" s="290">
        <v>9744</v>
      </c>
      <c r="AH220" s="290">
        <v>1828</v>
      </c>
      <c r="AI220" s="290"/>
      <c r="AJ220" s="290"/>
      <c r="AK220" s="290">
        <v>860</v>
      </c>
      <c r="AL220" s="290">
        <v>0</v>
      </c>
      <c r="AM220" s="957">
        <v>0.17883331</v>
      </c>
      <c r="AN220" s="290">
        <v>2639</v>
      </c>
      <c r="AO220" s="290">
        <v>4571.6840101400003</v>
      </c>
      <c r="AP220" s="290">
        <v>0</v>
      </c>
      <c r="AQ220" s="290">
        <v>0</v>
      </c>
      <c r="AR220" s="290">
        <v>-399.88017432999999</v>
      </c>
      <c r="AS220" s="290">
        <v>15394</v>
      </c>
      <c r="AT220" s="290">
        <v>504</v>
      </c>
      <c r="AU220" s="290">
        <v>91</v>
      </c>
      <c r="AV220" s="766">
        <v>271356</v>
      </c>
      <c r="AW220" s="290">
        <v>0</v>
      </c>
      <c r="AX220" s="766">
        <v>66.750050000000002</v>
      </c>
      <c r="AY220" s="290">
        <v>1802</v>
      </c>
      <c r="AZ220" s="290">
        <v>361</v>
      </c>
      <c r="BA220" s="290">
        <v>184</v>
      </c>
      <c r="BB220" s="290">
        <v>0</v>
      </c>
      <c r="BC220" s="290">
        <v>6422</v>
      </c>
      <c r="BD220" s="290"/>
      <c r="BE220" s="290">
        <v>317621.23327397002</v>
      </c>
      <c r="BF220" s="290">
        <v>0</v>
      </c>
      <c r="BG220" s="290">
        <v>0</v>
      </c>
      <c r="BH220" s="290">
        <v>-1621</v>
      </c>
      <c r="BI220" s="290">
        <v>6527</v>
      </c>
      <c r="BJ220" s="290">
        <v>1323.291759999996</v>
      </c>
      <c r="BK220" s="290">
        <v>15</v>
      </c>
      <c r="BL220" s="290"/>
      <c r="BM220" s="290">
        <v>0</v>
      </c>
      <c r="BN220" s="290">
        <v>2593</v>
      </c>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f>+innut23!E226+innut23!S226</f>
        <v>286099.15855350444</v>
      </c>
      <c r="CL220" s="290"/>
      <c r="CM220" s="290">
        <v>401.63304205912755</v>
      </c>
      <c r="CN220" s="290">
        <v>0</v>
      </c>
      <c r="CO220" s="290"/>
      <c r="CP220" s="290"/>
      <c r="CQ220" s="290"/>
      <c r="CX220" s="517">
        <f t="shared" si="7"/>
        <v>0</v>
      </c>
      <c r="DB220" s="85">
        <f t="shared" si="8"/>
        <v>1.786</v>
      </c>
    </row>
    <row r="221" spans="1:106" ht="13">
      <c r="A221" s="1">
        <v>4207</v>
      </c>
      <c r="B221" s="2" t="s">
        <v>946</v>
      </c>
      <c r="C221" s="289"/>
      <c r="D221" s="290">
        <v>195</v>
      </c>
      <c r="E221" s="290">
        <v>371</v>
      </c>
      <c r="F221" s="290">
        <v>1126</v>
      </c>
      <c r="G221" s="290">
        <v>778</v>
      </c>
      <c r="H221" s="290">
        <v>4877</v>
      </c>
      <c r="I221" s="290">
        <v>1247</v>
      </c>
      <c r="J221" s="290">
        <v>406</v>
      </c>
      <c r="K221" s="290">
        <v>107</v>
      </c>
      <c r="L221" s="290">
        <v>74</v>
      </c>
      <c r="M221" s="290">
        <v>717</v>
      </c>
      <c r="N221" s="290">
        <v>270</v>
      </c>
      <c r="O221" s="290">
        <v>113</v>
      </c>
      <c r="P221" s="624">
        <v>58185.307999999997</v>
      </c>
      <c r="Q221" s="624">
        <v>18458.627333330001</v>
      </c>
      <c r="R221" s="624">
        <v>56</v>
      </c>
      <c r="S221" s="290"/>
      <c r="T221" s="290">
        <v>770</v>
      </c>
      <c r="U221" s="958">
        <v>2.6251950861421189E-3</v>
      </c>
      <c r="V221" s="290">
        <v>5411.87669938</v>
      </c>
      <c r="W221" s="765">
        <v>0.61671659999999995</v>
      </c>
      <c r="X221" s="290">
        <v>510</v>
      </c>
      <c r="Y221" s="290"/>
      <c r="Z221" s="290">
        <f>+innut23!E227</f>
        <v>281949.71191666496</v>
      </c>
      <c r="AA221" s="290">
        <v>0</v>
      </c>
      <c r="AB221" s="290">
        <v>278</v>
      </c>
      <c r="AC221" s="290">
        <v>367</v>
      </c>
      <c r="AD221" s="290"/>
      <c r="AE221" s="290">
        <v>0</v>
      </c>
      <c r="AF221" s="290">
        <v>0</v>
      </c>
      <c r="AG221" s="290">
        <v>9107</v>
      </c>
      <c r="AH221" s="290">
        <v>1723</v>
      </c>
      <c r="AI221" s="290"/>
      <c r="AJ221" s="290"/>
      <c r="AK221" s="290">
        <v>0</v>
      </c>
      <c r="AL221" s="290">
        <v>0</v>
      </c>
      <c r="AM221" s="957">
        <v>0.12188839</v>
      </c>
      <c r="AN221" s="290">
        <v>7473</v>
      </c>
      <c r="AO221" s="290">
        <v>4445.4990999600004</v>
      </c>
      <c r="AP221" s="290">
        <v>0</v>
      </c>
      <c r="AQ221" s="290">
        <v>0</v>
      </c>
      <c r="AR221" s="290">
        <v>-373.73858246999998</v>
      </c>
      <c r="AS221" s="290">
        <v>14476</v>
      </c>
      <c r="AT221" s="290">
        <v>486</v>
      </c>
      <c r="AU221" s="290">
        <v>58</v>
      </c>
      <c r="AV221" s="766">
        <v>288000</v>
      </c>
      <c r="AW221" s="290">
        <v>0</v>
      </c>
      <c r="AX221" s="766">
        <v>70.916700000000006</v>
      </c>
      <c r="AY221" s="290">
        <v>1945</v>
      </c>
      <c r="AZ221" s="290">
        <v>354</v>
      </c>
      <c r="BA221" s="290">
        <v>171</v>
      </c>
      <c r="BB221" s="290">
        <v>0</v>
      </c>
      <c r="BC221" s="290">
        <v>4923</v>
      </c>
      <c r="BD221" s="290"/>
      <c r="BE221" s="290">
        <v>325227.20038410003</v>
      </c>
      <c r="BF221" s="290">
        <v>0</v>
      </c>
      <c r="BG221" s="290">
        <v>0</v>
      </c>
      <c r="BH221" s="290">
        <v>-1526</v>
      </c>
      <c r="BI221" s="290">
        <v>5201</v>
      </c>
      <c r="BJ221" s="290">
        <v>1236.752400570706</v>
      </c>
      <c r="BK221" s="290">
        <v>14</v>
      </c>
      <c r="BL221" s="290"/>
      <c r="BM221" s="290">
        <v>0</v>
      </c>
      <c r="BN221" s="290">
        <v>3111</v>
      </c>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f>+innut23!E227+innut23!S227</f>
        <v>281949.71191666496</v>
      </c>
      <c r="CL221" s="290"/>
      <c r="CM221" s="290">
        <v>0</v>
      </c>
      <c r="CN221" s="290">
        <v>0</v>
      </c>
      <c r="CO221" s="290"/>
      <c r="CP221" s="290"/>
      <c r="CQ221" s="290"/>
      <c r="CX221" s="517">
        <f t="shared" si="7"/>
        <v>0</v>
      </c>
      <c r="DB221" s="85">
        <f t="shared" si="8"/>
        <v>1.669</v>
      </c>
    </row>
    <row r="222" spans="1:106" ht="13">
      <c r="A222" s="1">
        <v>4211</v>
      </c>
      <c r="B222" s="2" t="s">
        <v>931</v>
      </c>
      <c r="C222" s="289"/>
      <c r="D222" s="290">
        <v>38</v>
      </c>
      <c r="E222" s="290">
        <v>77</v>
      </c>
      <c r="F222" s="290">
        <v>261</v>
      </c>
      <c r="G222" s="290">
        <v>193</v>
      </c>
      <c r="H222" s="290">
        <v>1358</v>
      </c>
      <c r="I222" s="290">
        <v>368</v>
      </c>
      <c r="J222" s="290">
        <v>112</v>
      </c>
      <c r="K222" s="290">
        <v>23</v>
      </c>
      <c r="L222" s="290">
        <v>21</v>
      </c>
      <c r="M222" s="290">
        <v>231</v>
      </c>
      <c r="N222" s="290">
        <v>69</v>
      </c>
      <c r="O222" s="290">
        <v>34</v>
      </c>
      <c r="P222" s="624">
        <v>18511.774000000001</v>
      </c>
      <c r="Q222" s="624">
        <v>6440.4053333299998</v>
      </c>
      <c r="R222" s="624">
        <v>16</v>
      </c>
      <c r="S222" s="290"/>
      <c r="T222" s="290">
        <v>240</v>
      </c>
      <c r="U222" s="958">
        <v>9.0217610875131869E-4</v>
      </c>
      <c r="V222" s="290">
        <v>1588.35907604</v>
      </c>
      <c r="W222" s="765">
        <v>0.76246157000000003</v>
      </c>
      <c r="X222" s="290">
        <v>860</v>
      </c>
      <c r="Y222" s="290"/>
      <c r="Z222" s="290">
        <f>+innut23!E228</f>
        <v>60653.448843375707</v>
      </c>
      <c r="AA222" s="290">
        <v>0</v>
      </c>
      <c r="AB222" s="290">
        <v>110</v>
      </c>
      <c r="AC222" s="290">
        <v>461</v>
      </c>
      <c r="AD222" s="290"/>
      <c r="AE222" s="290">
        <v>0</v>
      </c>
      <c r="AF222" s="290">
        <v>0</v>
      </c>
      <c r="AG222" s="290">
        <v>2430</v>
      </c>
      <c r="AH222" s="290">
        <v>381</v>
      </c>
      <c r="AI222" s="290"/>
      <c r="AJ222" s="290"/>
      <c r="AK222" s="290">
        <v>0</v>
      </c>
      <c r="AL222" s="290">
        <v>0</v>
      </c>
      <c r="AM222" s="957">
        <v>6.9873009999999999E-2</v>
      </c>
      <c r="AN222" s="290">
        <v>0</v>
      </c>
      <c r="AO222" s="290">
        <v>1227.8212891799999</v>
      </c>
      <c r="AP222" s="290">
        <v>0</v>
      </c>
      <c r="AQ222" s="290">
        <v>0</v>
      </c>
      <c r="AR222" s="290">
        <v>389.30650272000003</v>
      </c>
      <c r="AS222" s="290">
        <v>3830</v>
      </c>
      <c r="AT222" s="290">
        <v>163</v>
      </c>
      <c r="AU222" s="290">
        <v>25</v>
      </c>
      <c r="AV222" s="766">
        <v>89524</v>
      </c>
      <c r="AW222" s="290">
        <v>0</v>
      </c>
      <c r="AX222" s="766">
        <v>6.7083500000000003</v>
      </c>
      <c r="AY222" s="290">
        <v>348</v>
      </c>
      <c r="AZ222" s="290">
        <v>101</v>
      </c>
      <c r="BA222" s="290">
        <v>51</v>
      </c>
      <c r="BB222" s="290">
        <v>6257</v>
      </c>
      <c r="BC222" s="290">
        <v>1201</v>
      </c>
      <c r="BD222" s="290"/>
      <c r="BE222" s="290">
        <v>97723.095180160002</v>
      </c>
      <c r="BF222" s="290">
        <v>0</v>
      </c>
      <c r="BG222" s="290">
        <v>0</v>
      </c>
      <c r="BH222" s="290">
        <v>-411</v>
      </c>
      <c r="BI222" s="290">
        <v>1361</v>
      </c>
      <c r="BJ222" s="290">
        <v>314.31459070995794</v>
      </c>
      <c r="BK222" s="290">
        <v>5</v>
      </c>
      <c r="BL222" s="290"/>
      <c r="BM222" s="290">
        <v>0</v>
      </c>
      <c r="BN222" s="290">
        <v>519</v>
      </c>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f>+innut23!E228+innut23!S228</f>
        <v>60653.448843375707</v>
      </c>
      <c r="CL222" s="290"/>
      <c r="CM222" s="290">
        <v>0</v>
      </c>
      <c r="CN222" s="290">
        <v>0</v>
      </c>
      <c r="CO222" s="290"/>
      <c r="CP222" s="290"/>
      <c r="CQ222" s="290"/>
      <c r="CX222" s="517">
        <f t="shared" si="7"/>
        <v>0</v>
      </c>
      <c r="DB222" s="85">
        <f t="shared" si="8"/>
        <v>0.44500000000000001</v>
      </c>
    </row>
    <row r="223" spans="1:106" ht="13">
      <c r="A223" s="1">
        <v>4212</v>
      </c>
      <c r="B223" s="2" t="s">
        <v>706</v>
      </c>
      <c r="C223" s="289"/>
      <c r="D223" s="290">
        <v>36</v>
      </c>
      <c r="E223" s="290">
        <v>87</v>
      </c>
      <c r="F223" s="290">
        <v>288</v>
      </c>
      <c r="G223" s="290">
        <v>186</v>
      </c>
      <c r="H223" s="290">
        <v>1192</v>
      </c>
      <c r="I223" s="290">
        <v>236</v>
      </c>
      <c r="J223" s="290">
        <v>83</v>
      </c>
      <c r="K223" s="290">
        <v>14</v>
      </c>
      <c r="L223" s="290">
        <v>21</v>
      </c>
      <c r="M223" s="290">
        <v>141</v>
      </c>
      <c r="N223" s="290">
        <v>61</v>
      </c>
      <c r="O223" s="290">
        <v>34</v>
      </c>
      <c r="P223" s="624">
        <v>13562.987999999999</v>
      </c>
      <c r="Q223" s="624">
        <v>10732.52366667</v>
      </c>
      <c r="R223" s="624">
        <v>6</v>
      </c>
      <c r="S223" s="290"/>
      <c r="T223" s="290">
        <v>204</v>
      </c>
      <c r="U223" s="958">
        <v>6.8830002165741564E-4</v>
      </c>
      <c r="V223" s="290">
        <v>1411.93642845</v>
      </c>
      <c r="W223" s="765">
        <v>0.81730807000000005</v>
      </c>
      <c r="X223" s="290">
        <v>1000</v>
      </c>
      <c r="Y223" s="290"/>
      <c r="Z223" s="290">
        <f>+innut23!E229</f>
        <v>55346.115704702235</v>
      </c>
      <c r="AA223" s="290">
        <v>1187</v>
      </c>
      <c r="AB223" s="290">
        <v>65</v>
      </c>
      <c r="AC223" s="290">
        <v>120</v>
      </c>
      <c r="AD223" s="290"/>
      <c r="AE223" s="290">
        <v>0</v>
      </c>
      <c r="AF223" s="290">
        <v>0</v>
      </c>
      <c r="AG223" s="290">
        <v>2122</v>
      </c>
      <c r="AH223" s="290">
        <v>423</v>
      </c>
      <c r="AI223" s="290"/>
      <c r="AJ223" s="290"/>
      <c r="AK223" s="290">
        <v>0</v>
      </c>
      <c r="AL223" s="290">
        <v>0</v>
      </c>
      <c r="AM223" s="957">
        <v>3.7504950000000002E-2</v>
      </c>
      <c r="AN223" s="290">
        <v>0</v>
      </c>
      <c r="AO223" s="290">
        <v>1091.4443918699999</v>
      </c>
      <c r="AP223" s="290">
        <v>0</v>
      </c>
      <c r="AQ223" s="290">
        <v>0</v>
      </c>
      <c r="AR223" s="290">
        <v>-87.083921380000007</v>
      </c>
      <c r="AS223" s="290">
        <v>3359</v>
      </c>
      <c r="AT223" s="290">
        <v>108</v>
      </c>
      <c r="AU223" s="290">
        <v>19</v>
      </c>
      <c r="AV223" s="766">
        <v>80133</v>
      </c>
      <c r="AW223" s="290">
        <v>0</v>
      </c>
      <c r="AX223" s="766">
        <v>10.083349999999999</v>
      </c>
      <c r="AY223" s="290">
        <v>425</v>
      </c>
      <c r="AZ223" s="290">
        <v>83</v>
      </c>
      <c r="BA223" s="290">
        <v>36</v>
      </c>
      <c r="BB223" s="290">
        <v>4381</v>
      </c>
      <c r="BC223" s="290">
        <v>2366</v>
      </c>
      <c r="BD223" s="290"/>
      <c r="BE223" s="290">
        <v>88287.433045219994</v>
      </c>
      <c r="BF223" s="290">
        <v>0</v>
      </c>
      <c r="BG223" s="290">
        <v>0</v>
      </c>
      <c r="BH223" s="290">
        <v>-359</v>
      </c>
      <c r="BI223" s="290">
        <v>2249</v>
      </c>
      <c r="BJ223" s="290">
        <v>345.33964213022057</v>
      </c>
      <c r="BK223" s="290">
        <v>4</v>
      </c>
      <c r="BL223" s="290"/>
      <c r="BM223" s="290">
        <v>0</v>
      </c>
      <c r="BN223" s="290">
        <v>519</v>
      </c>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f>+innut23!E229+innut23!S229</f>
        <v>55346.115704702235</v>
      </c>
      <c r="CL223" s="290"/>
      <c r="CM223" s="290">
        <v>0</v>
      </c>
      <c r="CN223" s="290">
        <v>0</v>
      </c>
      <c r="CO223" s="290"/>
      <c r="CP223" s="290"/>
      <c r="CQ223" s="290"/>
      <c r="CX223" s="517">
        <f t="shared" si="7"/>
        <v>0</v>
      </c>
      <c r="DB223" s="85">
        <f t="shared" si="8"/>
        <v>0.38900000000000001</v>
      </c>
    </row>
    <row r="224" spans="1:106" ht="13">
      <c r="A224" s="1">
        <v>4213</v>
      </c>
      <c r="B224" s="2" t="s">
        <v>932</v>
      </c>
      <c r="C224" s="289"/>
      <c r="D224" s="290">
        <v>105</v>
      </c>
      <c r="E224" s="290">
        <v>205</v>
      </c>
      <c r="F224" s="290">
        <v>690</v>
      </c>
      <c r="G224" s="290">
        <v>474</v>
      </c>
      <c r="H224" s="290">
        <v>3389</v>
      </c>
      <c r="I224" s="290">
        <v>971</v>
      </c>
      <c r="J224" s="290">
        <v>238</v>
      </c>
      <c r="K224" s="290">
        <v>65</v>
      </c>
      <c r="L224" s="290">
        <v>55</v>
      </c>
      <c r="M224" s="290">
        <v>553</v>
      </c>
      <c r="N224" s="290">
        <v>161</v>
      </c>
      <c r="O224" s="290">
        <v>53</v>
      </c>
      <c r="P224" s="624">
        <v>49098.56533333</v>
      </c>
      <c r="Q224" s="624">
        <v>23078.326000000001</v>
      </c>
      <c r="R224" s="624">
        <v>34</v>
      </c>
      <c r="S224" s="290"/>
      <c r="T224" s="290">
        <v>592</v>
      </c>
      <c r="U224" s="958">
        <v>1.3457732490140077E-3</v>
      </c>
      <c r="V224" s="290">
        <v>3006.6047607700002</v>
      </c>
      <c r="W224" s="765">
        <v>0.66057045000000003</v>
      </c>
      <c r="X224" s="290">
        <v>1100</v>
      </c>
      <c r="Y224" s="290"/>
      <c r="Z224" s="290">
        <f>+innut23!E230</f>
        <v>186175.45316591821</v>
      </c>
      <c r="AA224" s="290">
        <v>0</v>
      </c>
      <c r="AB224" s="290">
        <v>233</v>
      </c>
      <c r="AC224" s="290">
        <v>228</v>
      </c>
      <c r="AD224" s="290"/>
      <c r="AE224" s="290">
        <v>0</v>
      </c>
      <c r="AF224" s="290">
        <v>0</v>
      </c>
      <c r="AG224" s="290">
        <v>6137</v>
      </c>
      <c r="AH224" s="290">
        <v>1019</v>
      </c>
      <c r="AI224" s="290"/>
      <c r="AJ224" s="290"/>
      <c r="AK224" s="290">
        <v>0</v>
      </c>
      <c r="AL224" s="290">
        <v>0</v>
      </c>
      <c r="AM224" s="957">
        <v>0.19915811</v>
      </c>
      <c r="AN224" s="290">
        <v>5315</v>
      </c>
      <c r="AO224" s="290">
        <v>2935.5956367200001</v>
      </c>
      <c r="AP224" s="290">
        <v>0</v>
      </c>
      <c r="AQ224" s="290">
        <v>0</v>
      </c>
      <c r="AR224" s="290">
        <v>-251.85392343000001</v>
      </c>
      <c r="AS224" s="290">
        <v>9629</v>
      </c>
      <c r="AT224" s="290">
        <v>367</v>
      </c>
      <c r="AU224" s="290">
        <v>76</v>
      </c>
      <c r="AV224" s="766">
        <v>182137</v>
      </c>
      <c r="AW224" s="290">
        <v>0</v>
      </c>
      <c r="AX224" s="766">
        <v>36.291649999999997</v>
      </c>
      <c r="AY224" s="290">
        <v>1368</v>
      </c>
      <c r="AZ224" s="290">
        <v>267</v>
      </c>
      <c r="BA224" s="290">
        <v>131</v>
      </c>
      <c r="BB224" s="290">
        <v>0</v>
      </c>
      <c r="BC224" s="290">
        <v>4145</v>
      </c>
      <c r="BD224" s="290"/>
      <c r="BE224" s="290">
        <v>211980.17988586999</v>
      </c>
      <c r="BF224" s="290">
        <v>0</v>
      </c>
      <c r="BG224" s="290">
        <v>0</v>
      </c>
      <c r="BH224" s="290">
        <v>-1034</v>
      </c>
      <c r="BI224" s="290">
        <v>4358</v>
      </c>
      <c r="BJ224" s="290">
        <v>782.56811427715832</v>
      </c>
      <c r="BK224" s="290">
        <v>11</v>
      </c>
      <c r="BL224" s="290"/>
      <c r="BM224" s="290">
        <v>0</v>
      </c>
      <c r="BN224" s="290">
        <v>3111</v>
      </c>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f>+innut23!E230+innut23!S230</f>
        <v>186175.45316591821</v>
      </c>
      <c r="CL224" s="290"/>
      <c r="CM224" s="290">
        <v>0</v>
      </c>
      <c r="CN224" s="290">
        <v>0</v>
      </c>
      <c r="CO224" s="290"/>
      <c r="CP224" s="290"/>
      <c r="CQ224" s="290"/>
      <c r="CX224" s="517">
        <f t="shared" si="7"/>
        <v>0</v>
      </c>
      <c r="DB224" s="85">
        <f t="shared" si="8"/>
        <v>1.125</v>
      </c>
    </row>
    <row r="225" spans="1:106" ht="13">
      <c r="A225" s="1">
        <v>4214</v>
      </c>
      <c r="B225" s="2" t="s">
        <v>933</v>
      </c>
      <c r="C225" s="289"/>
      <c r="D225" s="290">
        <v>140</v>
      </c>
      <c r="E225" s="290">
        <v>296</v>
      </c>
      <c r="F225" s="290">
        <v>827</v>
      </c>
      <c r="G225" s="290">
        <v>511</v>
      </c>
      <c r="H225" s="290">
        <v>3459</v>
      </c>
      <c r="I225" s="290">
        <v>684</v>
      </c>
      <c r="J225" s="290">
        <v>187</v>
      </c>
      <c r="K225" s="290">
        <v>29</v>
      </c>
      <c r="L225" s="290">
        <v>51</v>
      </c>
      <c r="M225" s="290">
        <v>364</v>
      </c>
      <c r="N225" s="290">
        <v>108</v>
      </c>
      <c r="O225" s="290">
        <v>30</v>
      </c>
      <c r="P225" s="624">
        <v>36395.74733333</v>
      </c>
      <c r="Q225" s="624">
        <v>22143.114333329999</v>
      </c>
      <c r="R225" s="624">
        <v>19</v>
      </c>
      <c r="S225" s="290"/>
      <c r="T225" s="290">
        <v>464</v>
      </c>
      <c r="U225" s="958">
        <v>1.6486340620560775E-3</v>
      </c>
      <c r="V225" s="290">
        <v>963.42980157</v>
      </c>
      <c r="W225" s="765">
        <v>0.64276820000000001</v>
      </c>
      <c r="X225" s="290">
        <v>0</v>
      </c>
      <c r="Y225" s="290"/>
      <c r="Z225" s="290">
        <f>+innut23!E231</f>
        <v>168360.35890010436</v>
      </c>
      <c r="AA225" s="290">
        <v>0</v>
      </c>
      <c r="AB225" s="290">
        <v>275</v>
      </c>
      <c r="AC225" s="290">
        <v>594</v>
      </c>
      <c r="AD225" s="290"/>
      <c r="AE225" s="290">
        <v>89</v>
      </c>
      <c r="AF225" s="290">
        <v>0</v>
      </c>
      <c r="AG225" s="290">
        <v>6133</v>
      </c>
      <c r="AH225" s="290">
        <v>1232</v>
      </c>
      <c r="AI225" s="290"/>
      <c r="AJ225" s="290"/>
      <c r="AK225" s="290">
        <v>0</v>
      </c>
      <c r="AL225" s="290">
        <v>0</v>
      </c>
      <c r="AM225" s="957">
        <v>0.16885567000000001</v>
      </c>
      <c r="AN225" s="290">
        <v>0</v>
      </c>
      <c r="AO225" s="290">
        <v>2841.1528761499999</v>
      </c>
      <c r="AP225" s="290">
        <v>0</v>
      </c>
      <c r="AQ225" s="290">
        <v>0</v>
      </c>
      <c r="AR225" s="290">
        <v>-251.68976900000001</v>
      </c>
      <c r="AS225" s="290">
        <v>9543</v>
      </c>
      <c r="AT225" s="290">
        <v>345</v>
      </c>
      <c r="AU225" s="290">
        <v>65</v>
      </c>
      <c r="AV225" s="766">
        <v>166598</v>
      </c>
      <c r="AW225" s="290">
        <v>0</v>
      </c>
      <c r="AX225" s="766">
        <v>37.750050000000002</v>
      </c>
      <c r="AY225" s="290">
        <v>1035</v>
      </c>
      <c r="AZ225" s="290">
        <v>280</v>
      </c>
      <c r="BA225" s="290">
        <v>145</v>
      </c>
      <c r="BB225" s="290">
        <v>0</v>
      </c>
      <c r="BC225" s="290">
        <v>3625</v>
      </c>
      <c r="BD225" s="290"/>
      <c r="BE225" s="290">
        <v>190048.48169684</v>
      </c>
      <c r="BF225" s="290">
        <v>0</v>
      </c>
      <c r="BG225" s="290">
        <v>0</v>
      </c>
      <c r="BH225" s="290">
        <v>-1028</v>
      </c>
      <c r="BI225" s="290">
        <v>3900</v>
      </c>
      <c r="BJ225" s="290">
        <v>900.46545906754523</v>
      </c>
      <c r="BK225" s="290">
        <v>10</v>
      </c>
      <c r="BL225" s="290"/>
      <c r="BM225" s="290">
        <v>0</v>
      </c>
      <c r="BN225" s="290">
        <v>2074</v>
      </c>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f>+innut23!E231+innut23!S231</f>
        <v>168360.35890010436</v>
      </c>
      <c r="CL225" s="290"/>
      <c r="CM225" s="290">
        <v>0</v>
      </c>
      <c r="CN225" s="290">
        <v>0</v>
      </c>
      <c r="CO225" s="290"/>
      <c r="CP225" s="290"/>
      <c r="CQ225" s="290"/>
      <c r="CX225" s="517">
        <f t="shared" si="7"/>
        <v>0</v>
      </c>
      <c r="DB225" s="85">
        <f t="shared" si="8"/>
        <v>1.1240000000000001</v>
      </c>
    </row>
    <row r="226" spans="1:106" ht="13">
      <c r="A226" s="1">
        <v>4215</v>
      </c>
      <c r="B226" s="2" t="s">
        <v>934</v>
      </c>
      <c r="C226" s="289"/>
      <c r="D226" s="290">
        <v>199</v>
      </c>
      <c r="E226" s="290">
        <v>462</v>
      </c>
      <c r="F226" s="290">
        <v>1554</v>
      </c>
      <c r="G226" s="290">
        <v>952</v>
      </c>
      <c r="H226" s="290">
        <v>6218</v>
      </c>
      <c r="I226" s="290">
        <v>1431</v>
      </c>
      <c r="J226" s="290">
        <v>429</v>
      </c>
      <c r="K226" s="290">
        <v>85</v>
      </c>
      <c r="L226" s="290">
        <v>81</v>
      </c>
      <c r="M226" s="290">
        <v>733</v>
      </c>
      <c r="N226" s="290">
        <v>322</v>
      </c>
      <c r="O226" s="290">
        <v>72</v>
      </c>
      <c r="P226" s="624">
        <v>66339.069333330001</v>
      </c>
      <c r="Q226" s="624">
        <v>16640.518</v>
      </c>
      <c r="R226" s="624">
        <v>33</v>
      </c>
      <c r="S226" s="290"/>
      <c r="T226" s="290">
        <v>886</v>
      </c>
      <c r="U226" s="958">
        <v>1.2241822167150807E-3</v>
      </c>
      <c r="V226" s="290">
        <v>-402.99962638</v>
      </c>
      <c r="W226" s="765">
        <v>0.57692905999999999</v>
      </c>
      <c r="X226" s="290">
        <v>1330</v>
      </c>
      <c r="Y226" s="290"/>
      <c r="Z226" s="290">
        <f>+innut23!E232</f>
        <v>371669.15007896803</v>
      </c>
      <c r="AA226" s="290">
        <v>0</v>
      </c>
      <c r="AB226" s="290">
        <v>331</v>
      </c>
      <c r="AC226" s="290">
        <v>1535</v>
      </c>
      <c r="AD226" s="290"/>
      <c r="AE226" s="290">
        <v>0</v>
      </c>
      <c r="AF226" s="290">
        <v>0</v>
      </c>
      <c r="AG226" s="290">
        <v>11330</v>
      </c>
      <c r="AH226" s="290">
        <v>2203</v>
      </c>
      <c r="AI226" s="290"/>
      <c r="AJ226" s="290"/>
      <c r="AK226" s="290">
        <v>0</v>
      </c>
      <c r="AL226" s="290">
        <v>0</v>
      </c>
      <c r="AM226" s="957">
        <v>0.16767203999999999</v>
      </c>
      <c r="AN226" s="290">
        <v>0</v>
      </c>
      <c r="AO226" s="290">
        <v>5104.2012813700003</v>
      </c>
      <c r="AP226" s="290">
        <v>0</v>
      </c>
      <c r="AQ226" s="290">
        <v>0</v>
      </c>
      <c r="AR226" s="290">
        <v>1320.8507189300001</v>
      </c>
      <c r="AS226" s="290">
        <v>18930</v>
      </c>
      <c r="AT226" s="290">
        <v>630</v>
      </c>
      <c r="AU226" s="290">
        <v>114</v>
      </c>
      <c r="AV226" s="766">
        <v>288181</v>
      </c>
      <c r="AW226" s="290">
        <v>0</v>
      </c>
      <c r="AX226" s="766">
        <v>73.583349999999996</v>
      </c>
      <c r="AY226" s="290">
        <v>3055</v>
      </c>
      <c r="AZ226" s="290">
        <v>297</v>
      </c>
      <c r="BA226" s="290">
        <v>227</v>
      </c>
      <c r="BB226" s="290">
        <v>0</v>
      </c>
      <c r="BC226" s="290">
        <v>5722</v>
      </c>
      <c r="BD226" s="290"/>
      <c r="BE226" s="290">
        <v>328938.67807710997</v>
      </c>
      <c r="BF226" s="290">
        <v>0</v>
      </c>
      <c r="BG226" s="290">
        <v>0</v>
      </c>
      <c r="BH226" s="290">
        <v>-1902</v>
      </c>
      <c r="BI226" s="290">
        <v>6331</v>
      </c>
      <c r="BJ226" s="290">
        <v>1646.3751514588378</v>
      </c>
      <c r="BK226" s="290">
        <v>17</v>
      </c>
      <c r="BL226" s="290"/>
      <c r="BM226" s="290">
        <v>0</v>
      </c>
      <c r="BN226" s="290">
        <v>2593</v>
      </c>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f>+innut23!E232+innut23!S232</f>
        <v>371669.15007896803</v>
      </c>
      <c r="CL226" s="290"/>
      <c r="CM226" s="290">
        <v>0</v>
      </c>
      <c r="CN226" s="290">
        <v>0</v>
      </c>
      <c r="CO226" s="290"/>
      <c r="CP226" s="290"/>
      <c r="CQ226" s="290"/>
      <c r="CX226" s="517">
        <f t="shared" si="7"/>
        <v>0</v>
      </c>
      <c r="DB226" s="85">
        <f t="shared" si="8"/>
        <v>2.077</v>
      </c>
    </row>
    <row r="227" spans="1:106" ht="13">
      <c r="A227" s="1">
        <v>4216</v>
      </c>
      <c r="B227" s="2" t="s">
        <v>935</v>
      </c>
      <c r="C227" s="289"/>
      <c r="D227" s="290">
        <v>111</v>
      </c>
      <c r="E227" s="290">
        <v>252</v>
      </c>
      <c r="F227" s="290">
        <v>796</v>
      </c>
      <c r="G227" s="290">
        <v>470</v>
      </c>
      <c r="H227" s="290">
        <v>2916</v>
      </c>
      <c r="I227" s="290">
        <v>595</v>
      </c>
      <c r="J227" s="290">
        <v>174</v>
      </c>
      <c r="K227" s="290">
        <v>42</v>
      </c>
      <c r="L227" s="290">
        <v>32</v>
      </c>
      <c r="M227" s="290">
        <v>322</v>
      </c>
      <c r="N227" s="290">
        <v>125</v>
      </c>
      <c r="O227" s="290">
        <v>48</v>
      </c>
      <c r="P227" s="624">
        <v>39461.424666669998</v>
      </c>
      <c r="Q227" s="624">
        <v>20835.91466667</v>
      </c>
      <c r="R227" s="624">
        <v>25</v>
      </c>
      <c r="S227" s="290"/>
      <c r="T227" s="290">
        <v>388</v>
      </c>
      <c r="U227" s="958">
        <v>1.8786482400219007E-3</v>
      </c>
      <c r="V227" s="290">
        <v>2723.5079938899999</v>
      </c>
      <c r="W227" s="765">
        <v>0.67006498000000003</v>
      </c>
      <c r="X227" s="290">
        <v>1250</v>
      </c>
      <c r="Y227" s="290"/>
      <c r="Z227" s="290">
        <f>+innut23!E233</f>
        <v>141987.53100546208</v>
      </c>
      <c r="AA227" s="290">
        <v>0</v>
      </c>
      <c r="AB227" s="290">
        <v>216</v>
      </c>
      <c r="AC227" s="290">
        <v>273</v>
      </c>
      <c r="AD227" s="290"/>
      <c r="AE227" s="290">
        <v>0</v>
      </c>
      <c r="AF227" s="290">
        <v>0</v>
      </c>
      <c r="AG227" s="290">
        <v>5356</v>
      </c>
      <c r="AH227" s="290">
        <v>1151</v>
      </c>
      <c r="AI227" s="290"/>
      <c r="AJ227" s="290"/>
      <c r="AK227" s="290">
        <v>0</v>
      </c>
      <c r="AL227" s="290">
        <v>0</v>
      </c>
      <c r="AM227" s="957">
        <v>7.6076770000000002E-2</v>
      </c>
      <c r="AN227" s="290">
        <v>0</v>
      </c>
      <c r="AO227" s="290">
        <v>2629.4079173999999</v>
      </c>
      <c r="AP227" s="290">
        <v>0</v>
      </c>
      <c r="AQ227" s="290">
        <v>0</v>
      </c>
      <c r="AR227" s="290">
        <v>-219.80277233999999</v>
      </c>
      <c r="AS227" s="290">
        <v>8424</v>
      </c>
      <c r="AT227" s="290">
        <v>260</v>
      </c>
      <c r="AU227" s="290">
        <v>50</v>
      </c>
      <c r="AV227" s="766">
        <v>166836</v>
      </c>
      <c r="AW227" s="290">
        <v>0</v>
      </c>
      <c r="AX227" s="766">
        <v>41.166649999999997</v>
      </c>
      <c r="AY227" s="290">
        <v>1002</v>
      </c>
      <c r="AZ227" s="290">
        <v>167</v>
      </c>
      <c r="BA227" s="290">
        <v>121</v>
      </c>
      <c r="BB227" s="290">
        <v>0</v>
      </c>
      <c r="BC227" s="290">
        <v>3309</v>
      </c>
      <c r="BD227" s="290"/>
      <c r="BE227" s="290">
        <v>189900.19040620999</v>
      </c>
      <c r="BF227" s="290">
        <v>0</v>
      </c>
      <c r="BG227" s="290">
        <v>0</v>
      </c>
      <c r="BH227" s="290">
        <v>-896</v>
      </c>
      <c r="BI227" s="290">
        <v>3498</v>
      </c>
      <c r="BJ227" s="290">
        <v>877.73955677985725</v>
      </c>
      <c r="BK227" s="290">
        <v>8</v>
      </c>
      <c r="BL227" s="290"/>
      <c r="BM227" s="290">
        <v>0</v>
      </c>
      <c r="BN227" s="290">
        <v>2074</v>
      </c>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f>+innut23!E233+innut23!S233</f>
        <v>141987.53100546208</v>
      </c>
      <c r="CL227" s="290"/>
      <c r="CM227" s="290">
        <v>0</v>
      </c>
      <c r="CN227" s="290">
        <v>0</v>
      </c>
      <c r="CO227" s="290"/>
      <c r="CP227" s="290"/>
      <c r="CQ227" s="290"/>
      <c r="CX227" s="517">
        <f t="shared" si="7"/>
        <v>0</v>
      </c>
      <c r="DB227" s="85">
        <f t="shared" si="8"/>
        <v>0.98199999999999998</v>
      </c>
    </row>
    <row r="228" spans="1:106" ht="13">
      <c r="A228" s="1">
        <v>4217</v>
      </c>
      <c r="B228" s="2" t="s">
        <v>936</v>
      </c>
      <c r="C228" s="289"/>
      <c r="D228" s="290">
        <v>36</v>
      </c>
      <c r="E228" s="290">
        <v>85</v>
      </c>
      <c r="F228" s="290">
        <v>206</v>
      </c>
      <c r="G228" s="290">
        <v>129</v>
      </c>
      <c r="H228" s="290">
        <v>974</v>
      </c>
      <c r="I228" s="290">
        <v>267</v>
      </c>
      <c r="J228" s="290">
        <v>96</v>
      </c>
      <c r="K228" s="290">
        <v>11</v>
      </c>
      <c r="L228" s="290">
        <v>16</v>
      </c>
      <c r="M228" s="290">
        <v>185</v>
      </c>
      <c r="N228" s="290">
        <v>80</v>
      </c>
      <c r="O228" s="290">
        <v>15</v>
      </c>
      <c r="P228" s="624">
        <v>19528.232</v>
      </c>
      <c r="Q228" s="624">
        <v>11106.435666670001</v>
      </c>
      <c r="R228" s="624">
        <v>25</v>
      </c>
      <c r="S228" s="290"/>
      <c r="T228" s="290">
        <v>175</v>
      </c>
      <c r="U228" s="958">
        <v>1.5073419364139548E-3</v>
      </c>
      <c r="V228" s="290">
        <v>1241.55945896</v>
      </c>
      <c r="W228" s="765">
        <v>1</v>
      </c>
      <c r="X228" s="290">
        <v>0</v>
      </c>
      <c r="Y228" s="290"/>
      <c r="Z228" s="290">
        <f>+innut23!E234</f>
        <v>50680.687873814932</v>
      </c>
      <c r="AA228" s="290">
        <v>0</v>
      </c>
      <c r="AB228" s="290">
        <v>83</v>
      </c>
      <c r="AC228" s="290">
        <v>334</v>
      </c>
      <c r="AD228" s="290"/>
      <c r="AE228" s="290">
        <v>0</v>
      </c>
      <c r="AF228" s="290">
        <v>0</v>
      </c>
      <c r="AG228" s="290">
        <v>1804</v>
      </c>
      <c r="AH228" s="290">
        <v>320</v>
      </c>
      <c r="AI228" s="290"/>
      <c r="AJ228" s="290"/>
      <c r="AK228" s="290">
        <v>0</v>
      </c>
      <c r="AL228" s="290">
        <v>0</v>
      </c>
      <c r="AM228" s="957">
        <v>4.5754700000000002E-2</v>
      </c>
      <c r="AN228" s="290">
        <v>0</v>
      </c>
      <c r="AO228" s="290">
        <v>1134.44168515</v>
      </c>
      <c r="AP228" s="290">
        <v>0</v>
      </c>
      <c r="AQ228" s="290">
        <v>0</v>
      </c>
      <c r="AR228" s="290">
        <v>-74.033644760000001</v>
      </c>
      <c r="AS228" s="290">
        <v>2897</v>
      </c>
      <c r="AT228" s="290">
        <v>97</v>
      </c>
      <c r="AU228" s="290">
        <v>17</v>
      </c>
      <c r="AV228" s="766">
        <v>97834</v>
      </c>
      <c r="AW228" s="290">
        <v>0</v>
      </c>
      <c r="AX228" s="766">
        <v>7.0416499999999997</v>
      </c>
      <c r="AY228" s="290">
        <v>339</v>
      </c>
      <c r="AZ228" s="290">
        <v>90</v>
      </c>
      <c r="BA228" s="290">
        <v>37</v>
      </c>
      <c r="BB228" s="290">
        <v>5006</v>
      </c>
      <c r="BC228" s="290">
        <v>1558</v>
      </c>
      <c r="BD228" s="290"/>
      <c r="BE228" s="290">
        <v>104274.16825826</v>
      </c>
      <c r="BF228" s="290">
        <v>0</v>
      </c>
      <c r="BG228" s="290">
        <v>0</v>
      </c>
      <c r="BH228" s="290">
        <v>-307</v>
      </c>
      <c r="BI228" s="290">
        <v>1691</v>
      </c>
      <c r="BJ228" s="290">
        <v>265.99112885654154</v>
      </c>
      <c r="BK228" s="290">
        <v>4</v>
      </c>
      <c r="BL228" s="290"/>
      <c r="BM228" s="290">
        <v>0</v>
      </c>
      <c r="BN228" s="290">
        <v>1037</v>
      </c>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f>+innut23!E234+innut23!S234</f>
        <v>50680.687873814932</v>
      </c>
      <c r="CL228" s="290"/>
      <c r="CM228" s="290">
        <v>0</v>
      </c>
      <c r="CN228" s="290">
        <v>0</v>
      </c>
      <c r="CO228" s="290"/>
      <c r="CP228" s="290"/>
      <c r="CQ228" s="290"/>
      <c r="CX228" s="517">
        <f t="shared" si="7"/>
        <v>0</v>
      </c>
      <c r="DB228" s="85">
        <f t="shared" si="8"/>
        <v>0.33100000000000002</v>
      </c>
    </row>
    <row r="229" spans="1:106" ht="13">
      <c r="A229" s="1">
        <v>4218</v>
      </c>
      <c r="B229" s="2" t="s">
        <v>937</v>
      </c>
      <c r="C229" s="289"/>
      <c r="D229" s="290">
        <v>27</v>
      </c>
      <c r="E229" s="290">
        <v>67</v>
      </c>
      <c r="F229" s="290">
        <v>204</v>
      </c>
      <c r="G229" s="290">
        <v>90</v>
      </c>
      <c r="H229" s="290">
        <v>762</v>
      </c>
      <c r="I229" s="290">
        <v>145</v>
      </c>
      <c r="J229" s="290">
        <v>31</v>
      </c>
      <c r="K229" s="290">
        <v>10</v>
      </c>
      <c r="L229" s="290">
        <v>13</v>
      </c>
      <c r="M229" s="290">
        <v>76</v>
      </c>
      <c r="N229" s="290">
        <v>39</v>
      </c>
      <c r="O229" s="290">
        <v>27</v>
      </c>
      <c r="P229" s="624">
        <v>13462.103999999999</v>
      </c>
      <c r="Q229" s="624">
        <v>10626.866333329999</v>
      </c>
      <c r="R229" s="624">
        <v>5</v>
      </c>
      <c r="S229" s="290"/>
      <c r="T229" s="290">
        <v>100</v>
      </c>
      <c r="U229" s="958">
        <v>7.2067533305621699E-4</v>
      </c>
      <c r="V229" s="290">
        <v>668.57857907000005</v>
      </c>
      <c r="W229" s="765">
        <v>0.82927351000000005</v>
      </c>
      <c r="X229" s="290">
        <v>430</v>
      </c>
      <c r="Y229" s="290"/>
      <c r="Z229" s="290">
        <f>+innut23!E235</f>
        <v>36489.970131896356</v>
      </c>
      <c r="AA229" s="290">
        <v>0</v>
      </c>
      <c r="AB229" s="290">
        <v>71</v>
      </c>
      <c r="AC229" s="290">
        <v>0</v>
      </c>
      <c r="AD229" s="290"/>
      <c r="AE229" s="290">
        <v>0</v>
      </c>
      <c r="AF229" s="290">
        <v>0</v>
      </c>
      <c r="AG229" s="290">
        <v>1336</v>
      </c>
      <c r="AH229" s="290">
        <v>278</v>
      </c>
      <c r="AI229" s="290"/>
      <c r="AJ229" s="290"/>
      <c r="AK229" s="290">
        <v>244</v>
      </c>
      <c r="AL229" s="290">
        <v>0</v>
      </c>
      <c r="AM229" s="957">
        <v>5.3653909999999999E-2</v>
      </c>
      <c r="AN229" s="290">
        <v>0</v>
      </c>
      <c r="AO229" s="290">
        <v>778.87075319999997</v>
      </c>
      <c r="AP229" s="290">
        <v>0</v>
      </c>
      <c r="AQ229" s="290">
        <v>0</v>
      </c>
      <c r="AR229" s="290">
        <v>-54.827577269999999</v>
      </c>
      <c r="AS229" s="290">
        <v>2088</v>
      </c>
      <c r="AT229" s="290">
        <v>91</v>
      </c>
      <c r="AU229" s="290">
        <v>12</v>
      </c>
      <c r="AV229" s="766">
        <v>61470</v>
      </c>
      <c r="AW229" s="290">
        <v>0</v>
      </c>
      <c r="AX229" s="766">
        <v>0</v>
      </c>
      <c r="AY229" s="290">
        <v>173</v>
      </c>
      <c r="AZ229" s="290">
        <v>86</v>
      </c>
      <c r="BA229" s="290">
        <v>38</v>
      </c>
      <c r="BB229" s="290">
        <v>3129</v>
      </c>
      <c r="BC229" s="290">
        <v>1548</v>
      </c>
      <c r="BD229" s="290"/>
      <c r="BE229" s="290">
        <v>68538.598158890003</v>
      </c>
      <c r="BF229" s="290">
        <v>0</v>
      </c>
      <c r="BG229" s="290">
        <v>0</v>
      </c>
      <c r="BH229" s="290">
        <v>-223</v>
      </c>
      <c r="BI229" s="290">
        <v>1559</v>
      </c>
      <c r="BJ229" s="290">
        <v>259.43053585938424</v>
      </c>
      <c r="BK229" s="290">
        <v>3</v>
      </c>
      <c r="BL229" s="290"/>
      <c r="BM229" s="290">
        <v>0</v>
      </c>
      <c r="BN229" s="290">
        <v>1037</v>
      </c>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f>+innut23!E235+innut23!S235</f>
        <v>36489.970131896356</v>
      </c>
      <c r="CL229" s="290"/>
      <c r="CM229" s="290">
        <v>206.63078017229543</v>
      </c>
      <c r="CN229" s="290">
        <v>166.96866049530934</v>
      </c>
      <c r="CO229" s="290"/>
      <c r="CP229" s="290"/>
      <c r="CQ229" s="290"/>
      <c r="CX229" s="517">
        <f t="shared" si="7"/>
        <v>0</v>
      </c>
      <c r="DB229" s="85">
        <f t="shared" si="8"/>
        <v>0.245</v>
      </c>
    </row>
    <row r="230" spans="1:106" ht="13">
      <c r="A230" s="1">
        <v>4219</v>
      </c>
      <c r="B230" s="2" t="s">
        <v>938</v>
      </c>
      <c r="C230" s="289"/>
      <c r="D230" s="290">
        <v>73</v>
      </c>
      <c r="E230" s="290">
        <v>145</v>
      </c>
      <c r="F230" s="290">
        <v>492</v>
      </c>
      <c r="G230" s="290">
        <v>309</v>
      </c>
      <c r="H230" s="290">
        <v>1982</v>
      </c>
      <c r="I230" s="290">
        <v>508</v>
      </c>
      <c r="J230" s="290">
        <v>153</v>
      </c>
      <c r="K230" s="290">
        <v>31</v>
      </c>
      <c r="L230" s="290">
        <v>33</v>
      </c>
      <c r="M230" s="290">
        <v>287</v>
      </c>
      <c r="N230" s="290">
        <v>142</v>
      </c>
      <c r="O230" s="290">
        <v>36</v>
      </c>
      <c r="P230" s="624">
        <v>13826.439333329999</v>
      </c>
      <c r="Q230" s="624">
        <v>10000.65</v>
      </c>
      <c r="R230" s="624">
        <v>11</v>
      </c>
      <c r="S230" s="290"/>
      <c r="T230" s="290">
        <v>359</v>
      </c>
      <c r="U230" s="958">
        <v>1.6887845827671165E-3</v>
      </c>
      <c r="V230" s="290">
        <v>2358.2436679900002</v>
      </c>
      <c r="W230" s="765">
        <v>0.74572941000000004</v>
      </c>
      <c r="X230" s="290">
        <v>750</v>
      </c>
      <c r="Y230" s="290"/>
      <c r="Z230" s="290">
        <f>+innut23!E236</f>
        <v>99784.641849458509</v>
      </c>
      <c r="AA230" s="290">
        <v>0</v>
      </c>
      <c r="AB230" s="290">
        <v>139</v>
      </c>
      <c r="AC230" s="290">
        <v>724</v>
      </c>
      <c r="AD230" s="290"/>
      <c r="AE230" s="290">
        <v>0</v>
      </c>
      <c r="AF230" s="290">
        <v>0</v>
      </c>
      <c r="AG230" s="290">
        <v>3693</v>
      </c>
      <c r="AH230" s="290">
        <v>718</v>
      </c>
      <c r="AI230" s="290"/>
      <c r="AJ230" s="290"/>
      <c r="AK230" s="290">
        <v>0</v>
      </c>
      <c r="AL230" s="290">
        <v>0</v>
      </c>
      <c r="AM230" s="957">
        <v>7.2996859999999997E-2</v>
      </c>
      <c r="AN230" s="290">
        <v>0</v>
      </c>
      <c r="AO230" s="290">
        <v>1822.9516387799999</v>
      </c>
      <c r="AP230" s="290">
        <v>0</v>
      </c>
      <c r="AQ230" s="290">
        <v>0</v>
      </c>
      <c r="AR230" s="290">
        <v>-151.55557099999999</v>
      </c>
      <c r="AS230" s="290">
        <v>5777</v>
      </c>
      <c r="AT230" s="290">
        <v>204</v>
      </c>
      <c r="AU230" s="290">
        <v>25</v>
      </c>
      <c r="AV230" s="766">
        <v>118915</v>
      </c>
      <c r="AW230" s="290">
        <v>0</v>
      </c>
      <c r="AX230" s="766">
        <v>21.083349999999999</v>
      </c>
      <c r="AY230" s="290">
        <v>705</v>
      </c>
      <c r="AZ230" s="290">
        <v>191</v>
      </c>
      <c r="BA230" s="290">
        <v>111</v>
      </c>
      <c r="BB230" s="290">
        <v>0</v>
      </c>
      <c r="BC230" s="290">
        <v>2697</v>
      </c>
      <c r="BD230" s="290"/>
      <c r="BE230" s="290">
        <v>133288.26977270999</v>
      </c>
      <c r="BF230" s="290">
        <v>0</v>
      </c>
      <c r="BG230" s="290">
        <v>0</v>
      </c>
      <c r="BH230" s="290">
        <v>-617</v>
      </c>
      <c r="BI230" s="290">
        <v>2998</v>
      </c>
      <c r="BJ230" s="290">
        <v>545.54298036668933</v>
      </c>
      <c r="BK230" s="290">
        <v>7</v>
      </c>
      <c r="BL230" s="290"/>
      <c r="BM230" s="290">
        <v>0</v>
      </c>
      <c r="BN230" s="290">
        <v>1556</v>
      </c>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f>+innut23!E236+innut23!S236</f>
        <v>99784.641849458509</v>
      </c>
      <c r="CL230" s="290"/>
      <c r="CM230" s="290">
        <v>0</v>
      </c>
      <c r="CN230" s="290">
        <v>0</v>
      </c>
      <c r="CO230" s="290"/>
      <c r="CP230" s="290"/>
      <c r="CQ230" s="290"/>
      <c r="CX230" s="517">
        <f t="shared" si="7"/>
        <v>0</v>
      </c>
      <c r="DB230" s="85">
        <f t="shared" si="8"/>
        <v>0.67700000000000005</v>
      </c>
    </row>
    <row r="231" spans="1:106" ht="13">
      <c r="A231" s="1">
        <v>4220</v>
      </c>
      <c r="B231" s="2" t="s">
        <v>939</v>
      </c>
      <c r="C231" s="289"/>
      <c r="D231" s="290">
        <v>10</v>
      </c>
      <c r="E231" s="290">
        <v>42</v>
      </c>
      <c r="F231" s="290">
        <v>104</v>
      </c>
      <c r="G231" s="290">
        <v>101</v>
      </c>
      <c r="H231" s="290">
        <v>604</v>
      </c>
      <c r="I231" s="290">
        <v>209</v>
      </c>
      <c r="J231" s="290">
        <v>49</v>
      </c>
      <c r="K231" s="290">
        <v>9</v>
      </c>
      <c r="L231" s="290">
        <v>10</v>
      </c>
      <c r="M231" s="290">
        <v>119</v>
      </c>
      <c r="N231" s="290">
        <v>6</v>
      </c>
      <c r="O231" s="290">
        <v>11</v>
      </c>
      <c r="P231" s="624">
        <v>19302.678666669999</v>
      </c>
      <c r="Q231" s="624">
        <v>5912.0996666700003</v>
      </c>
      <c r="R231" s="624">
        <v>5</v>
      </c>
      <c r="S231" s="290"/>
      <c r="T231" s="290">
        <v>129</v>
      </c>
      <c r="U231" s="958">
        <v>1.2807624655840626E-3</v>
      </c>
      <c r="V231" s="290">
        <v>864.92278338999995</v>
      </c>
      <c r="W231" s="765">
        <v>1</v>
      </c>
      <c r="X231" s="290">
        <v>810</v>
      </c>
      <c r="Y231" s="290"/>
      <c r="Z231" s="290">
        <f>+innut23!E237</f>
        <v>34886.584403721805</v>
      </c>
      <c r="AA231" s="290">
        <v>0</v>
      </c>
      <c r="AB231" s="290">
        <v>46</v>
      </c>
      <c r="AC231" s="290">
        <v>74</v>
      </c>
      <c r="AD231" s="290"/>
      <c r="AE231" s="290">
        <v>0</v>
      </c>
      <c r="AF231" s="290">
        <v>0</v>
      </c>
      <c r="AG231" s="290">
        <v>1128</v>
      </c>
      <c r="AH231" s="290">
        <v>171</v>
      </c>
      <c r="AI231" s="290"/>
      <c r="AJ231" s="290"/>
      <c r="AK231" s="290">
        <v>0</v>
      </c>
      <c r="AL231" s="290">
        <v>0</v>
      </c>
      <c r="AM231" s="957">
        <v>1.6460909999999999E-2</v>
      </c>
      <c r="AN231" s="290">
        <v>0</v>
      </c>
      <c r="AO231" s="290">
        <v>668.59605170999998</v>
      </c>
      <c r="AP231" s="290">
        <v>0</v>
      </c>
      <c r="AQ231" s="290">
        <v>0</v>
      </c>
      <c r="AR231" s="290">
        <v>245.15869900000001</v>
      </c>
      <c r="AS231" s="290">
        <v>1813</v>
      </c>
      <c r="AT231" s="290">
        <v>56</v>
      </c>
      <c r="AU231" s="290">
        <v>7</v>
      </c>
      <c r="AV231" s="766">
        <v>59707</v>
      </c>
      <c r="AW231" s="290">
        <v>0</v>
      </c>
      <c r="AX231" s="766">
        <v>2.25</v>
      </c>
      <c r="AY231" s="290">
        <v>269</v>
      </c>
      <c r="AZ231" s="290">
        <v>54</v>
      </c>
      <c r="BA231" s="290">
        <v>32</v>
      </c>
      <c r="BB231" s="290">
        <v>6257</v>
      </c>
      <c r="BC231" s="290">
        <v>1222</v>
      </c>
      <c r="BD231" s="290"/>
      <c r="BE231" s="290">
        <v>63736.812942869998</v>
      </c>
      <c r="BF231" s="290">
        <v>0</v>
      </c>
      <c r="BG231" s="290">
        <v>0</v>
      </c>
      <c r="BH231" s="290">
        <v>-192</v>
      </c>
      <c r="BI231" s="290">
        <v>1282</v>
      </c>
      <c r="BJ231" s="290">
        <v>156.58676042281999</v>
      </c>
      <c r="BK231" s="290">
        <v>2</v>
      </c>
      <c r="BL231" s="290"/>
      <c r="BM231" s="290">
        <v>0</v>
      </c>
      <c r="BN231" s="290">
        <v>1037</v>
      </c>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f>+innut23!E237+innut23!S237</f>
        <v>34886.584403721805</v>
      </c>
      <c r="CL231" s="290"/>
      <c r="CM231" s="290">
        <v>0</v>
      </c>
      <c r="CN231" s="290">
        <v>0</v>
      </c>
      <c r="CO231" s="290"/>
      <c r="CP231" s="290"/>
      <c r="CQ231" s="290"/>
      <c r="CX231" s="517">
        <f t="shared" si="7"/>
        <v>0</v>
      </c>
      <c r="DB231" s="85">
        <f t="shared" si="8"/>
        <v>0.20699999999999999</v>
      </c>
    </row>
    <row r="232" spans="1:106" ht="13">
      <c r="A232" s="1">
        <v>4221</v>
      </c>
      <c r="B232" s="2" t="s">
        <v>940</v>
      </c>
      <c r="C232" s="289"/>
      <c r="D232" s="290">
        <v>26</v>
      </c>
      <c r="E232" s="290">
        <v>44</v>
      </c>
      <c r="F232" s="290">
        <v>113</v>
      </c>
      <c r="G232" s="290">
        <v>101</v>
      </c>
      <c r="H232" s="290">
        <v>637</v>
      </c>
      <c r="I232" s="290">
        <v>194</v>
      </c>
      <c r="J232" s="290">
        <v>55</v>
      </c>
      <c r="K232" s="290">
        <v>10</v>
      </c>
      <c r="L232" s="290">
        <v>11</v>
      </c>
      <c r="M232" s="290">
        <v>118</v>
      </c>
      <c r="N232" s="290">
        <v>20</v>
      </c>
      <c r="O232" s="290">
        <v>13</v>
      </c>
      <c r="P232" s="624">
        <v>9318.5949999999993</v>
      </c>
      <c r="Q232" s="624">
        <v>3559.46466667</v>
      </c>
      <c r="R232" s="624">
        <v>6</v>
      </c>
      <c r="S232" s="290"/>
      <c r="T232" s="290">
        <v>131</v>
      </c>
      <c r="U232" s="958">
        <v>1.550144890678299E-3</v>
      </c>
      <c r="V232" s="290">
        <v>876.18431855999995</v>
      </c>
      <c r="W232" s="765">
        <v>1</v>
      </c>
      <c r="X232" s="290">
        <v>0</v>
      </c>
      <c r="Y232" s="290"/>
      <c r="Z232" s="290">
        <f>+innut23!E238</f>
        <v>53580.290313153513</v>
      </c>
      <c r="AA232" s="290">
        <v>0</v>
      </c>
      <c r="AB232" s="290">
        <v>28</v>
      </c>
      <c r="AC232" s="290">
        <v>0</v>
      </c>
      <c r="AD232" s="290"/>
      <c r="AE232" s="290">
        <v>0</v>
      </c>
      <c r="AF232" s="290">
        <v>0</v>
      </c>
      <c r="AG232" s="290">
        <v>1180</v>
      </c>
      <c r="AH232" s="290">
        <v>189</v>
      </c>
      <c r="AI232" s="290"/>
      <c r="AJ232" s="290"/>
      <c r="AK232" s="290">
        <v>0</v>
      </c>
      <c r="AL232" s="290">
        <v>0</v>
      </c>
      <c r="AM232" s="957">
        <v>9.0555800000000006E-3</v>
      </c>
      <c r="AN232" s="290">
        <v>0</v>
      </c>
      <c r="AO232" s="290">
        <v>677.30135824000001</v>
      </c>
      <c r="AP232" s="290">
        <v>0</v>
      </c>
      <c r="AQ232" s="290">
        <v>0</v>
      </c>
      <c r="AR232" s="290">
        <v>-48.425554769999998</v>
      </c>
      <c r="AS232" s="290">
        <v>1501</v>
      </c>
      <c r="AT232" s="290">
        <v>55</v>
      </c>
      <c r="AU232" s="290">
        <v>5</v>
      </c>
      <c r="AV232" s="766">
        <v>49864</v>
      </c>
      <c r="AW232" s="290">
        <v>0</v>
      </c>
      <c r="AX232" s="766">
        <v>6.3333500000000003</v>
      </c>
      <c r="AY232" s="290">
        <v>248</v>
      </c>
      <c r="AZ232" s="290">
        <v>45</v>
      </c>
      <c r="BA232" s="290">
        <v>16</v>
      </c>
      <c r="BB232" s="290">
        <v>0</v>
      </c>
      <c r="BC232" s="290">
        <v>676</v>
      </c>
      <c r="BD232" s="290"/>
      <c r="BE232" s="290">
        <v>55519.158143039997</v>
      </c>
      <c r="BF232" s="290">
        <v>0</v>
      </c>
      <c r="BG232" s="290">
        <v>0</v>
      </c>
      <c r="BH232" s="290">
        <v>-196</v>
      </c>
      <c r="BI232" s="290">
        <v>708</v>
      </c>
      <c r="BJ232" s="290">
        <v>157.65551493111911</v>
      </c>
      <c r="BK232" s="290">
        <v>2</v>
      </c>
      <c r="BL232" s="290"/>
      <c r="BM232" s="290">
        <v>0</v>
      </c>
      <c r="BN232" s="290">
        <v>519</v>
      </c>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f>+innut23!E238+innut23!S238</f>
        <v>53580.290313153513</v>
      </c>
      <c r="CL232" s="290"/>
      <c r="CM232" s="290">
        <v>0</v>
      </c>
      <c r="CN232" s="290">
        <v>0</v>
      </c>
      <c r="CO232" s="290"/>
      <c r="CP232" s="290"/>
      <c r="CQ232" s="290"/>
      <c r="CX232" s="517">
        <f t="shared" si="7"/>
        <v>0</v>
      </c>
      <c r="DB232" s="85">
        <f t="shared" si="8"/>
        <v>0.216</v>
      </c>
    </row>
    <row r="233" spans="1:106" ht="13">
      <c r="A233" s="1">
        <v>4222</v>
      </c>
      <c r="B233" s="2" t="s">
        <v>941</v>
      </c>
      <c r="C233" s="289"/>
      <c r="D233" s="290">
        <v>18</v>
      </c>
      <c r="E233" s="290">
        <v>29</v>
      </c>
      <c r="F233" s="290">
        <v>98</v>
      </c>
      <c r="G233" s="290">
        <v>71</v>
      </c>
      <c r="H233" s="290">
        <v>588</v>
      </c>
      <c r="I233" s="290">
        <v>107</v>
      </c>
      <c r="J233" s="290">
        <v>22</v>
      </c>
      <c r="K233" s="290">
        <v>7</v>
      </c>
      <c r="L233" s="290">
        <v>7</v>
      </c>
      <c r="M233" s="290">
        <v>59</v>
      </c>
      <c r="N233" s="290">
        <v>20</v>
      </c>
      <c r="O233" s="290">
        <v>9</v>
      </c>
      <c r="P233" s="624">
        <v>10243.045666669999</v>
      </c>
      <c r="Q233" s="624">
        <v>11415.609</v>
      </c>
      <c r="R233" s="624">
        <v>2</v>
      </c>
      <c r="S233" s="290"/>
      <c r="T233" s="290">
        <v>131</v>
      </c>
      <c r="U233" s="958">
        <v>5.8882899179824662E-4</v>
      </c>
      <c r="V233" s="290">
        <v>698.06800137000005</v>
      </c>
      <c r="W233" s="765">
        <v>1</v>
      </c>
      <c r="X233" s="290">
        <v>0</v>
      </c>
      <c r="Y233" s="290"/>
      <c r="Z233" s="290">
        <f>+innut23!E239</f>
        <v>87415.75426033065</v>
      </c>
      <c r="AA233" s="290">
        <v>0</v>
      </c>
      <c r="AB233" s="290">
        <v>7</v>
      </c>
      <c r="AC233" s="290">
        <v>0</v>
      </c>
      <c r="AD233" s="290"/>
      <c r="AE233" s="290">
        <v>0</v>
      </c>
      <c r="AF233" s="290">
        <v>0</v>
      </c>
      <c r="AG233" s="290">
        <v>940</v>
      </c>
      <c r="AH233" s="290">
        <v>144</v>
      </c>
      <c r="AI233" s="290"/>
      <c r="AJ233" s="290"/>
      <c r="AK233" s="290">
        <v>0</v>
      </c>
      <c r="AL233" s="290">
        <v>0</v>
      </c>
      <c r="AM233" s="957">
        <v>3.4945240000000002E-2</v>
      </c>
      <c r="AN233" s="290">
        <v>0</v>
      </c>
      <c r="AO233" s="290">
        <v>539.6152333</v>
      </c>
      <c r="AP233" s="290">
        <v>0</v>
      </c>
      <c r="AQ233" s="290">
        <v>0</v>
      </c>
      <c r="AR233" s="290">
        <v>-38.5762894</v>
      </c>
      <c r="AS233" s="290">
        <v>1664</v>
      </c>
      <c r="AT233" s="290">
        <v>47</v>
      </c>
      <c r="AU233" s="290">
        <v>13</v>
      </c>
      <c r="AV233" s="766">
        <v>39971</v>
      </c>
      <c r="AW233" s="290">
        <v>0</v>
      </c>
      <c r="AX233" s="766">
        <v>7.9999500000000001</v>
      </c>
      <c r="AY233" s="290">
        <v>243</v>
      </c>
      <c r="AZ233" s="290">
        <v>50</v>
      </c>
      <c r="BA233" s="290">
        <v>15</v>
      </c>
      <c r="BB233" s="290">
        <v>0</v>
      </c>
      <c r="BC233" s="290">
        <v>1140</v>
      </c>
      <c r="BD233" s="290"/>
      <c r="BE233" s="290">
        <v>44854.044408920003</v>
      </c>
      <c r="BF233" s="290">
        <v>0</v>
      </c>
      <c r="BG233" s="290">
        <v>0</v>
      </c>
      <c r="BH233" s="290">
        <v>-157</v>
      </c>
      <c r="BI233" s="290">
        <v>1181</v>
      </c>
      <c r="BJ233" s="290">
        <v>151.57916272080814</v>
      </c>
      <c r="BK233" s="290">
        <v>2</v>
      </c>
      <c r="BL233" s="290"/>
      <c r="BM233" s="290">
        <v>0</v>
      </c>
      <c r="BN233" s="290">
        <v>1037</v>
      </c>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f>+innut23!E239+innut23!S239</f>
        <v>87415.75426033065</v>
      </c>
      <c r="CL233" s="290"/>
      <c r="CM233" s="290">
        <v>0</v>
      </c>
      <c r="CN233" s="290">
        <v>0</v>
      </c>
      <c r="CO233" s="290"/>
      <c r="CP233" s="290"/>
      <c r="CQ233" s="290"/>
      <c r="CX233" s="517">
        <f t="shared" si="7"/>
        <v>0</v>
      </c>
      <c r="DB233" s="85">
        <f t="shared" si="8"/>
        <v>0.17199999999999999</v>
      </c>
    </row>
    <row r="234" spans="1:106" ht="13">
      <c r="A234" s="1">
        <v>4223</v>
      </c>
      <c r="B234" s="2" t="s">
        <v>947</v>
      </c>
      <c r="C234" s="289"/>
      <c r="D234" s="290">
        <v>370</v>
      </c>
      <c r="E234" s="290">
        <v>703</v>
      </c>
      <c r="F234" s="290">
        <v>2019</v>
      </c>
      <c r="G234" s="290">
        <v>1267</v>
      </c>
      <c r="H234" s="290">
        <v>8696</v>
      </c>
      <c r="I234" s="290">
        <v>1569</v>
      </c>
      <c r="J234" s="290">
        <v>496</v>
      </c>
      <c r="K234" s="290">
        <v>93</v>
      </c>
      <c r="L234" s="290">
        <v>118</v>
      </c>
      <c r="M234" s="290">
        <v>859</v>
      </c>
      <c r="N234" s="290">
        <v>402</v>
      </c>
      <c r="O234" s="290">
        <v>141</v>
      </c>
      <c r="P234" s="624">
        <v>37309.373333329997</v>
      </c>
      <c r="Q234" s="624">
        <v>55303.932333329998</v>
      </c>
      <c r="R234" s="624">
        <v>70</v>
      </c>
      <c r="S234" s="290"/>
      <c r="T234" s="290">
        <v>1230</v>
      </c>
      <c r="U234" s="958">
        <v>1.9664064863564434E-3</v>
      </c>
      <c r="V234" s="290">
        <v>2051.3055208300002</v>
      </c>
      <c r="W234" s="765">
        <v>0.59214365999999996</v>
      </c>
      <c r="X234" s="290">
        <v>2480</v>
      </c>
      <c r="Y234" s="290"/>
      <c r="Z234" s="290">
        <f>+innut23!E240</f>
        <v>402518.3307100269</v>
      </c>
      <c r="AA234" s="290">
        <v>0</v>
      </c>
      <c r="AB234" s="290">
        <v>626</v>
      </c>
      <c r="AC234" s="290">
        <v>1733</v>
      </c>
      <c r="AD234" s="290"/>
      <c r="AE234" s="290">
        <v>0</v>
      </c>
      <c r="AF234" s="290">
        <v>0</v>
      </c>
      <c r="AG234" s="290">
        <v>15213</v>
      </c>
      <c r="AH234" s="290">
        <v>3049</v>
      </c>
      <c r="AI234" s="290"/>
      <c r="AJ234" s="290"/>
      <c r="AK234" s="290">
        <v>0</v>
      </c>
      <c r="AL234" s="290">
        <v>0</v>
      </c>
      <c r="AM234" s="957">
        <v>0.48388141000000001</v>
      </c>
      <c r="AN234" s="290">
        <v>0</v>
      </c>
      <c r="AO234" s="290">
        <v>7001.4096364200004</v>
      </c>
      <c r="AP234" s="290">
        <v>0</v>
      </c>
      <c r="AQ234" s="290">
        <v>0</v>
      </c>
      <c r="AR234" s="290">
        <v>-624.32030912000005</v>
      </c>
      <c r="AS234" s="290">
        <v>23655</v>
      </c>
      <c r="AT234" s="290">
        <v>942</v>
      </c>
      <c r="AU234" s="290">
        <v>178</v>
      </c>
      <c r="AV234" s="766">
        <v>400530</v>
      </c>
      <c r="AW234" s="290">
        <v>0</v>
      </c>
      <c r="AX234" s="766">
        <v>125.66665</v>
      </c>
      <c r="AY234" s="290">
        <v>2524</v>
      </c>
      <c r="AZ234" s="290">
        <v>660</v>
      </c>
      <c r="BA234" s="290">
        <v>394</v>
      </c>
      <c r="BB234" s="290">
        <v>0</v>
      </c>
      <c r="BC234" s="290">
        <v>8114</v>
      </c>
      <c r="BD234" s="290"/>
      <c r="BE234" s="290">
        <v>466128.43196746998</v>
      </c>
      <c r="BF234" s="290">
        <v>0</v>
      </c>
      <c r="BG234" s="290">
        <v>0</v>
      </c>
      <c r="BH234" s="290">
        <v>-2547</v>
      </c>
      <c r="BI234" s="290">
        <v>8930</v>
      </c>
      <c r="BJ234" s="290">
        <v>2167.2028736938187</v>
      </c>
      <c r="BK234" s="290">
        <v>27</v>
      </c>
      <c r="BL234" s="290"/>
      <c r="BM234" s="290">
        <v>0</v>
      </c>
      <c r="BN234" s="290">
        <v>4148</v>
      </c>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f>+innut23!E240+innut23!S240</f>
        <v>402518.3307100269</v>
      </c>
      <c r="CL234" s="290"/>
      <c r="CM234" s="290">
        <v>0</v>
      </c>
      <c r="CN234" s="290">
        <v>0</v>
      </c>
      <c r="CO234" s="290"/>
      <c r="CP234" s="290"/>
      <c r="CQ234" s="290"/>
      <c r="CX234" s="517">
        <f t="shared" si="7"/>
        <v>0</v>
      </c>
      <c r="DB234" s="85">
        <f t="shared" si="8"/>
        <v>2.7879999999999998</v>
      </c>
    </row>
    <row r="235" spans="1:106" ht="13">
      <c r="A235" s="1">
        <v>4224</v>
      </c>
      <c r="B235" s="2" t="s">
        <v>951</v>
      </c>
      <c r="C235" s="289"/>
      <c r="D235" s="290">
        <v>15</v>
      </c>
      <c r="E235" s="290">
        <v>34</v>
      </c>
      <c r="F235" s="290">
        <v>106</v>
      </c>
      <c r="G235" s="290">
        <v>96</v>
      </c>
      <c r="H235" s="290">
        <v>506</v>
      </c>
      <c r="I235" s="290">
        <v>98</v>
      </c>
      <c r="J235" s="290">
        <v>35</v>
      </c>
      <c r="K235" s="290">
        <v>12</v>
      </c>
      <c r="L235" s="290">
        <v>6</v>
      </c>
      <c r="M235" s="290">
        <v>75</v>
      </c>
      <c r="N235" s="290">
        <v>12</v>
      </c>
      <c r="O235" s="290">
        <v>3</v>
      </c>
      <c r="P235" s="624">
        <v>7830.1483333300002</v>
      </c>
      <c r="Q235" s="624">
        <v>5368.3476666699999</v>
      </c>
      <c r="R235" s="624">
        <v>4</v>
      </c>
      <c r="S235" s="290"/>
      <c r="T235" s="290">
        <v>75</v>
      </c>
      <c r="U235" s="958">
        <v>1.217533511102341E-3</v>
      </c>
      <c r="V235" s="290">
        <v>714.39213834999998</v>
      </c>
      <c r="W235" s="765">
        <v>1</v>
      </c>
      <c r="X235" s="290">
        <v>0</v>
      </c>
      <c r="Y235" s="290"/>
      <c r="Z235" s="290">
        <f>+innut23!E241</f>
        <v>43333.782271730233</v>
      </c>
      <c r="AA235" s="290">
        <v>-1627</v>
      </c>
      <c r="AB235" s="290">
        <v>17</v>
      </c>
      <c r="AC235" s="290">
        <v>0</v>
      </c>
      <c r="AD235" s="290"/>
      <c r="AE235" s="290">
        <v>0</v>
      </c>
      <c r="AF235" s="290">
        <v>0</v>
      </c>
      <c r="AG235" s="290">
        <v>902</v>
      </c>
      <c r="AH235" s="290">
        <v>167</v>
      </c>
      <c r="AI235" s="290"/>
      <c r="AJ235" s="290"/>
      <c r="AK235" s="290">
        <v>0</v>
      </c>
      <c r="AL235" s="290">
        <v>0</v>
      </c>
      <c r="AM235" s="957">
        <v>3.4409629999999997E-2</v>
      </c>
      <c r="AN235" s="290">
        <v>0</v>
      </c>
      <c r="AO235" s="290">
        <v>552.23399387999996</v>
      </c>
      <c r="AP235" s="290">
        <v>0</v>
      </c>
      <c r="AQ235" s="290">
        <v>0</v>
      </c>
      <c r="AR235" s="290">
        <v>1554.2659926399999</v>
      </c>
      <c r="AS235" s="290">
        <v>1237</v>
      </c>
      <c r="AT235" s="290">
        <v>45</v>
      </c>
      <c r="AU235" s="290">
        <v>12</v>
      </c>
      <c r="AV235" s="766">
        <v>43985</v>
      </c>
      <c r="AW235" s="290">
        <v>0</v>
      </c>
      <c r="AX235" s="766">
        <v>0</v>
      </c>
      <c r="AY235" s="290">
        <v>142</v>
      </c>
      <c r="AZ235" s="290">
        <v>53</v>
      </c>
      <c r="BA235" s="290">
        <v>13</v>
      </c>
      <c r="BB235" s="290">
        <v>0</v>
      </c>
      <c r="BC235" s="290">
        <v>-1209</v>
      </c>
      <c r="BD235" s="290"/>
      <c r="BE235" s="290">
        <v>45839.599900469999</v>
      </c>
      <c r="BF235" s="290">
        <v>0</v>
      </c>
      <c r="BG235" s="290">
        <v>0</v>
      </c>
      <c r="BH235" s="290">
        <v>-156</v>
      </c>
      <c r="BI235" s="290">
        <v>-941</v>
      </c>
      <c r="BJ235" s="290">
        <v>148.19627009950042</v>
      </c>
      <c r="BK235" s="290">
        <v>1</v>
      </c>
      <c r="BL235" s="290"/>
      <c r="BM235" s="290">
        <v>0</v>
      </c>
      <c r="BN235" s="290">
        <v>519</v>
      </c>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f>+innut23!E241+innut23!S241</f>
        <v>43333.782271730233</v>
      </c>
      <c r="CL235" s="290"/>
      <c r="CM235" s="290">
        <v>0</v>
      </c>
      <c r="CN235" s="290">
        <v>0</v>
      </c>
      <c r="CO235" s="290"/>
      <c r="CP235" s="290"/>
      <c r="CQ235" s="290"/>
      <c r="CX235" s="517">
        <f t="shared" si="7"/>
        <v>0</v>
      </c>
      <c r="DB235" s="85">
        <f t="shared" si="8"/>
        <v>0.16500000000000001</v>
      </c>
    </row>
    <row r="236" spans="1:106" ht="13">
      <c r="A236" s="1">
        <v>4225</v>
      </c>
      <c r="B236" s="2" t="s">
        <v>1630</v>
      </c>
      <c r="C236" s="289"/>
      <c r="D236" s="290">
        <v>206</v>
      </c>
      <c r="E236" s="290">
        <v>521</v>
      </c>
      <c r="F236" s="290">
        <v>1575</v>
      </c>
      <c r="G236" s="290">
        <v>1076</v>
      </c>
      <c r="H236" s="290">
        <v>5647</v>
      </c>
      <c r="I236" s="290">
        <v>1257</v>
      </c>
      <c r="J236" s="290">
        <v>372</v>
      </c>
      <c r="K236" s="290">
        <v>82</v>
      </c>
      <c r="L236" s="290">
        <v>84</v>
      </c>
      <c r="M236" s="290">
        <v>641</v>
      </c>
      <c r="N236" s="290">
        <v>364</v>
      </c>
      <c r="O236" s="290">
        <v>129</v>
      </c>
      <c r="P236" s="624">
        <v>96943.499333329994</v>
      </c>
      <c r="Q236" s="624">
        <v>51221.955666670001</v>
      </c>
      <c r="R236" s="624">
        <v>45</v>
      </c>
      <c r="S236" s="290"/>
      <c r="T236" s="290">
        <v>773</v>
      </c>
      <c r="U236" s="958">
        <v>3.8784562786877046E-3</v>
      </c>
      <c r="V236" s="290">
        <v>-10807.47225931</v>
      </c>
      <c r="W236" s="765">
        <v>0.66060936000000003</v>
      </c>
      <c r="X236" s="290">
        <v>1600</v>
      </c>
      <c r="Y236" s="290"/>
      <c r="Z236" s="290">
        <f>+innut23!E242</f>
        <v>283307.89134183008</v>
      </c>
      <c r="AA236" s="290">
        <v>0</v>
      </c>
      <c r="AB236" s="290">
        <v>338</v>
      </c>
      <c r="AC236" s="290">
        <v>1695</v>
      </c>
      <c r="AD236" s="290"/>
      <c r="AE236" s="290">
        <v>0</v>
      </c>
      <c r="AF236" s="290">
        <v>22723</v>
      </c>
      <c r="AG236" s="290">
        <v>10736</v>
      </c>
      <c r="AH236" s="290">
        <v>2331</v>
      </c>
      <c r="AI236" s="290"/>
      <c r="AJ236" s="290"/>
      <c r="AK236" s="290">
        <v>0</v>
      </c>
      <c r="AL236" s="290">
        <v>0</v>
      </c>
      <c r="AM236" s="957">
        <v>0.29018769</v>
      </c>
      <c r="AN236" s="290">
        <v>0</v>
      </c>
      <c r="AO236" s="290">
        <v>5272.35263725</v>
      </c>
      <c r="AP236" s="290">
        <v>0</v>
      </c>
      <c r="AQ236" s="290">
        <v>0</v>
      </c>
      <c r="AR236" s="290">
        <v>-440.59047122999999</v>
      </c>
      <c r="AS236" s="290">
        <v>16773</v>
      </c>
      <c r="AT236" s="290">
        <v>563</v>
      </c>
      <c r="AU236" s="290">
        <v>111</v>
      </c>
      <c r="AV236" s="766">
        <v>339851</v>
      </c>
      <c r="AW236" s="290">
        <v>0</v>
      </c>
      <c r="AX236" s="766">
        <v>38.375</v>
      </c>
      <c r="AY236" s="290">
        <v>1901</v>
      </c>
      <c r="AZ236" s="290">
        <v>510</v>
      </c>
      <c r="BA236" s="290">
        <v>245</v>
      </c>
      <c r="BB236" s="290">
        <v>0</v>
      </c>
      <c r="BC236" s="290">
        <v>29331</v>
      </c>
      <c r="BD236" s="290"/>
      <c r="BE236" s="290">
        <v>391843.38572586002</v>
      </c>
      <c r="BF236" s="290">
        <v>0</v>
      </c>
      <c r="BG236" s="290">
        <v>0</v>
      </c>
      <c r="BH236" s="290">
        <v>-1772</v>
      </c>
      <c r="BI236" s="290">
        <v>30897</v>
      </c>
      <c r="BJ236" s="290">
        <v>1753.0177760207596</v>
      </c>
      <c r="BK236" s="290">
        <v>18</v>
      </c>
      <c r="BL236" s="290"/>
      <c r="BM236" s="290">
        <v>4233</v>
      </c>
      <c r="BN236" s="290">
        <v>4148</v>
      </c>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f>+innut23!E242+innut23!S242</f>
        <v>283307.89134183008</v>
      </c>
      <c r="CL236" s="290"/>
      <c r="CM236" s="290">
        <v>0</v>
      </c>
      <c r="CN236" s="290">
        <v>0</v>
      </c>
      <c r="CO236" s="290"/>
      <c r="CP236" s="290"/>
      <c r="CQ236" s="290"/>
      <c r="CX236" s="517">
        <f t="shared" si="7"/>
        <v>0</v>
      </c>
      <c r="DB236" s="85">
        <f t="shared" si="8"/>
        <v>1.968</v>
      </c>
    </row>
    <row r="237" spans="1:106" ht="13">
      <c r="A237" s="1">
        <v>4226</v>
      </c>
      <c r="B237" s="2" t="s">
        <v>955</v>
      </c>
      <c r="C237" s="289"/>
      <c r="D237" s="290">
        <v>37</v>
      </c>
      <c r="E237" s="290">
        <v>85</v>
      </c>
      <c r="F237" s="290">
        <v>225</v>
      </c>
      <c r="G237" s="290">
        <v>158</v>
      </c>
      <c r="H237" s="290">
        <v>923</v>
      </c>
      <c r="I237" s="290">
        <v>194</v>
      </c>
      <c r="J237" s="290">
        <v>77</v>
      </c>
      <c r="K237" s="290">
        <v>18</v>
      </c>
      <c r="L237" s="290">
        <v>13</v>
      </c>
      <c r="M237" s="290">
        <v>118</v>
      </c>
      <c r="N237" s="290">
        <v>22</v>
      </c>
      <c r="O237" s="290">
        <v>22</v>
      </c>
      <c r="P237" s="624">
        <v>13496.811</v>
      </c>
      <c r="Q237" s="624">
        <v>6238.5150000000003</v>
      </c>
      <c r="R237" s="624">
        <v>15</v>
      </c>
      <c r="S237" s="290"/>
      <c r="T237" s="290">
        <v>122</v>
      </c>
      <c r="U237" s="958">
        <v>1.687059362571847E-3</v>
      </c>
      <c r="V237" s="290">
        <v>1284.6346208800001</v>
      </c>
      <c r="W237" s="765">
        <v>0.88604614999999998</v>
      </c>
      <c r="X237" s="290">
        <v>1630</v>
      </c>
      <c r="Y237" s="290"/>
      <c r="Z237" s="290">
        <f>+innut23!E243</f>
        <v>47680.67189191081</v>
      </c>
      <c r="AA237" s="290">
        <v>0</v>
      </c>
      <c r="AB237" s="290">
        <v>65</v>
      </c>
      <c r="AC237" s="290">
        <v>0</v>
      </c>
      <c r="AD237" s="290"/>
      <c r="AE237" s="290">
        <v>0</v>
      </c>
      <c r="AF237" s="290">
        <v>0</v>
      </c>
      <c r="AG237" s="290">
        <v>1717</v>
      </c>
      <c r="AH237" s="290">
        <v>350</v>
      </c>
      <c r="AI237" s="290"/>
      <c r="AJ237" s="290"/>
      <c r="AK237" s="290">
        <v>0</v>
      </c>
      <c r="AL237" s="290">
        <v>0</v>
      </c>
      <c r="AM237" s="957">
        <v>1.418232E-2</v>
      </c>
      <c r="AN237" s="290">
        <v>0</v>
      </c>
      <c r="AO237" s="290">
        <v>993.03851385999997</v>
      </c>
      <c r="AP237" s="290">
        <v>0</v>
      </c>
      <c r="AQ237" s="290">
        <v>0</v>
      </c>
      <c r="AR237" s="290">
        <v>-70.463286060000001</v>
      </c>
      <c r="AS237" s="290">
        <v>2716</v>
      </c>
      <c r="AT237" s="290">
        <v>58</v>
      </c>
      <c r="AU237" s="290">
        <v>10</v>
      </c>
      <c r="AV237" s="766">
        <v>76979</v>
      </c>
      <c r="AW237" s="290">
        <v>0</v>
      </c>
      <c r="AX237" s="766">
        <v>9.1667000000000005</v>
      </c>
      <c r="AY237" s="290">
        <v>316</v>
      </c>
      <c r="AZ237" s="290">
        <v>71</v>
      </c>
      <c r="BA237" s="290">
        <v>26</v>
      </c>
      <c r="BB237" s="290">
        <v>3129</v>
      </c>
      <c r="BC237" s="290">
        <v>1338</v>
      </c>
      <c r="BD237" s="290"/>
      <c r="BE237" s="290">
        <v>86963.383953950004</v>
      </c>
      <c r="BF237" s="290">
        <v>0</v>
      </c>
      <c r="BG237" s="290">
        <v>0</v>
      </c>
      <c r="BH237" s="290">
        <v>-285</v>
      </c>
      <c r="BI237" s="290">
        <v>1387</v>
      </c>
      <c r="BJ237" s="290">
        <v>274.55488515740524</v>
      </c>
      <c r="BK237" s="290">
        <v>2</v>
      </c>
      <c r="BL237" s="290"/>
      <c r="BM237" s="290">
        <v>0</v>
      </c>
      <c r="BN237" s="290">
        <v>1037</v>
      </c>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f>+innut23!E243+innut23!S243</f>
        <v>47680.67189191081</v>
      </c>
      <c r="CL237" s="290"/>
      <c r="CM237" s="290">
        <v>0</v>
      </c>
      <c r="CN237" s="290">
        <v>0</v>
      </c>
      <c r="CO237" s="290"/>
      <c r="CP237" s="290"/>
      <c r="CQ237" s="290"/>
      <c r="CX237" s="517">
        <f t="shared" si="7"/>
        <v>0</v>
      </c>
      <c r="DB237" s="85">
        <f t="shared" si="8"/>
        <v>0.315</v>
      </c>
    </row>
    <row r="238" spans="1:106" ht="13">
      <c r="A238" s="1">
        <v>4227</v>
      </c>
      <c r="B238" s="2" t="s">
        <v>956</v>
      </c>
      <c r="C238" s="289"/>
      <c r="D238" s="290">
        <v>108</v>
      </c>
      <c r="E238" s="290">
        <v>263</v>
      </c>
      <c r="F238" s="290">
        <v>797</v>
      </c>
      <c r="G238" s="290">
        <v>505</v>
      </c>
      <c r="H238" s="290">
        <v>3310</v>
      </c>
      <c r="I238" s="290">
        <v>731</v>
      </c>
      <c r="J238" s="290">
        <v>260</v>
      </c>
      <c r="K238" s="290">
        <v>54</v>
      </c>
      <c r="L238" s="290">
        <v>51</v>
      </c>
      <c r="M238" s="290">
        <v>466</v>
      </c>
      <c r="N238" s="290">
        <v>159</v>
      </c>
      <c r="O238" s="290">
        <v>54</v>
      </c>
      <c r="P238" s="624">
        <v>57507.391000000003</v>
      </c>
      <c r="Q238" s="624">
        <v>15992.65466667</v>
      </c>
      <c r="R238" s="624">
        <v>34</v>
      </c>
      <c r="S238" s="290"/>
      <c r="T238" s="290">
        <v>557</v>
      </c>
      <c r="U238" s="958">
        <v>3.5875356743671795E-3</v>
      </c>
      <c r="V238" s="290">
        <v>3908.4518716900002</v>
      </c>
      <c r="W238" s="765">
        <v>0.71030000999999998</v>
      </c>
      <c r="X238" s="290">
        <v>0</v>
      </c>
      <c r="Y238" s="290"/>
      <c r="Z238" s="290">
        <f>+innut23!E244</f>
        <v>190517.04752243435</v>
      </c>
      <c r="AA238" s="290">
        <v>0</v>
      </c>
      <c r="AB238" s="290">
        <v>175</v>
      </c>
      <c r="AC238" s="290">
        <v>30</v>
      </c>
      <c r="AD238" s="290"/>
      <c r="AE238" s="290">
        <v>0</v>
      </c>
      <c r="AF238" s="290">
        <v>0</v>
      </c>
      <c r="AG238" s="290">
        <v>6028</v>
      </c>
      <c r="AH238" s="290">
        <v>1163</v>
      </c>
      <c r="AI238" s="290"/>
      <c r="AJ238" s="290"/>
      <c r="AK238" s="290">
        <v>781</v>
      </c>
      <c r="AL238" s="290">
        <v>0</v>
      </c>
      <c r="AM238" s="957">
        <v>0.14169488999999999</v>
      </c>
      <c r="AN238" s="290">
        <v>6863</v>
      </c>
      <c r="AO238" s="290">
        <v>3021.2818299</v>
      </c>
      <c r="AP238" s="290">
        <v>0</v>
      </c>
      <c r="AQ238" s="290">
        <v>0</v>
      </c>
      <c r="AR238" s="290">
        <v>-247.38071540000001</v>
      </c>
      <c r="AS238" s="290">
        <v>9430</v>
      </c>
      <c r="AT238" s="290">
        <v>348</v>
      </c>
      <c r="AU238" s="290">
        <v>52</v>
      </c>
      <c r="AV238" s="766">
        <v>197287</v>
      </c>
      <c r="AW238" s="290">
        <v>0</v>
      </c>
      <c r="AX238" s="766">
        <v>29.5</v>
      </c>
      <c r="AY238" s="290">
        <v>955</v>
      </c>
      <c r="AZ238" s="290">
        <v>271</v>
      </c>
      <c r="BA238" s="290">
        <v>152</v>
      </c>
      <c r="BB238" s="290">
        <v>0</v>
      </c>
      <c r="BC238" s="290">
        <v>5113</v>
      </c>
      <c r="BD238" s="290"/>
      <c r="BE238" s="290">
        <v>229863.97107679999</v>
      </c>
      <c r="BF238" s="290">
        <v>0</v>
      </c>
      <c r="BG238" s="290">
        <v>0</v>
      </c>
      <c r="BH238" s="290">
        <v>-1001</v>
      </c>
      <c r="BI238" s="290">
        <v>5085</v>
      </c>
      <c r="BJ238" s="290">
        <v>886.54914261656222</v>
      </c>
      <c r="BK238" s="290">
        <v>10</v>
      </c>
      <c r="BL238" s="290"/>
      <c r="BM238" s="290">
        <v>0</v>
      </c>
      <c r="BN238" s="290">
        <v>3111</v>
      </c>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f>+innut23!E244+innut23!S244</f>
        <v>190517.04752243435</v>
      </c>
      <c r="CL238" s="290"/>
      <c r="CM238" s="290">
        <v>544.54220096684958</v>
      </c>
      <c r="CN238" s="290">
        <v>297.32010458192326</v>
      </c>
      <c r="CO238" s="290"/>
      <c r="CP238" s="290"/>
      <c r="CQ238" s="290"/>
      <c r="CX238" s="517">
        <f t="shared" si="7"/>
        <v>0</v>
      </c>
      <c r="DB238" s="85">
        <f t="shared" si="8"/>
        <v>1.105</v>
      </c>
    </row>
    <row r="239" spans="1:106" ht="13">
      <c r="A239" s="1">
        <v>4228</v>
      </c>
      <c r="B239" s="2" t="s">
        <v>957</v>
      </c>
      <c r="C239" s="289"/>
      <c r="D239" s="290">
        <v>30</v>
      </c>
      <c r="E239" s="290">
        <v>68</v>
      </c>
      <c r="F239" s="290">
        <v>252</v>
      </c>
      <c r="G239" s="290">
        <v>162</v>
      </c>
      <c r="H239" s="290">
        <v>979</v>
      </c>
      <c r="I239" s="290">
        <v>233</v>
      </c>
      <c r="J239" s="290">
        <v>73</v>
      </c>
      <c r="K239" s="290">
        <v>22</v>
      </c>
      <c r="L239" s="290">
        <v>12</v>
      </c>
      <c r="M239" s="290">
        <v>138</v>
      </c>
      <c r="N239" s="290">
        <v>13</v>
      </c>
      <c r="O239" s="290">
        <v>7</v>
      </c>
      <c r="P239" s="624">
        <v>19268.377</v>
      </c>
      <c r="Q239" s="624">
        <v>7371.0376666700004</v>
      </c>
      <c r="R239" s="624">
        <v>7</v>
      </c>
      <c r="S239" s="290"/>
      <c r="T239" s="290">
        <v>171</v>
      </c>
      <c r="U239" s="958">
        <v>1.8560065279197256E-3</v>
      </c>
      <c r="V239" s="290">
        <v>1279.6655283800001</v>
      </c>
      <c r="W239" s="765">
        <v>1</v>
      </c>
      <c r="X239" s="290">
        <v>0</v>
      </c>
      <c r="Y239" s="290"/>
      <c r="Z239" s="290">
        <f>+innut23!E245</f>
        <v>117373.54052772591</v>
      </c>
      <c r="AA239" s="290">
        <v>0</v>
      </c>
      <c r="AB239" s="290">
        <v>33</v>
      </c>
      <c r="AC239" s="290">
        <v>273</v>
      </c>
      <c r="AD239" s="290"/>
      <c r="AE239" s="290">
        <v>0</v>
      </c>
      <c r="AF239" s="290">
        <v>0</v>
      </c>
      <c r="AG239" s="290">
        <v>1819</v>
      </c>
      <c r="AH239" s="290">
        <v>346</v>
      </c>
      <c r="AI239" s="290"/>
      <c r="AJ239" s="290"/>
      <c r="AK239" s="290">
        <v>0</v>
      </c>
      <c r="AL239" s="290">
        <v>0</v>
      </c>
      <c r="AM239" s="957">
        <v>9.9630699999999992E-3</v>
      </c>
      <c r="AN239" s="290">
        <v>0</v>
      </c>
      <c r="AO239" s="290">
        <v>989.19734363999999</v>
      </c>
      <c r="AP239" s="290">
        <v>0</v>
      </c>
      <c r="AQ239" s="290">
        <v>0</v>
      </c>
      <c r="AR239" s="290">
        <v>-74.649223840000005</v>
      </c>
      <c r="AS239" s="290">
        <v>2364</v>
      </c>
      <c r="AT239" s="290">
        <v>85</v>
      </c>
      <c r="AU239" s="290">
        <v>8</v>
      </c>
      <c r="AV239" s="766">
        <v>71541</v>
      </c>
      <c r="AW239" s="290">
        <v>0</v>
      </c>
      <c r="AX239" s="766">
        <v>13.041650000000001</v>
      </c>
      <c r="AY239" s="290">
        <v>374</v>
      </c>
      <c r="AZ239" s="290">
        <v>48</v>
      </c>
      <c r="BA239" s="290">
        <v>21</v>
      </c>
      <c r="BB239" s="290">
        <v>0</v>
      </c>
      <c r="BC239" s="290">
        <v>1534</v>
      </c>
      <c r="BD239" s="290"/>
      <c r="BE239" s="290">
        <v>78382.021301860004</v>
      </c>
      <c r="BF239" s="290">
        <v>0</v>
      </c>
      <c r="BG239" s="290">
        <v>0</v>
      </c>
      <c r="BH239" s="290">
        <v>-303</v>
      </c>
      <c r="BI239" s="290">
        <v>1656</v>
      </c>
      <c r="BJ239" s="290">
        <v>303.64665595872373</v>
      </c>
      <c r="BK239" s="290">
        <v>2</v>
      </c>
      <c r="BL239" s="290"/>
      <c r="BM239" s="290">
        <v>0</v>
      </c>
      <c r="BN239" s="290">
        <v>1037</v>
      </c>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f>+innut23!E245+innut23!S245</f>
        <v>117373.54052772591</v>
      </c>
      <c r="CL239" s="290"/>
      <c r="CM239" s="290">
        <v>0</v>
      </c>
      <c r="CN239" s="290">
        <v>0</v>
      </c>
      <c r="CO239" s="290"/>
      <c r="CP239" s="290"/>
      <c r="CQ239" s="290"/>
      <c r="CX239" s="517">
        <f t="shared" si="7"/>
        <v>0</v>
      </c>
      <c r="DB239" s="85">
        <f t="shared" si="8"/>
        <v>0.33300000000000002</v>
      </c>
    </row>
    <row r="240" spans="1:106" ht="13">
      <c r="A240" s="1">
        <v>4601</v>
      </c>
      <c r="B240" s="2" t="s">
        <v>23</v>
      </c>
      <c r="C240" s="289"/>
      <c r="D240" s="290">
        <v>6111</v>
      </c>
      <c r="E240" s="290">
        <v>12041</v>
      </c>
      <c r="F240" s="290">
        <v>31429</v>
      </c>
      <c r="G240" s="290">
        <v>24706</v>
      </c>
      <c r="H240" s="290">
        <v>172538</v>
      </c>
      <c r="I240" s="290">
        <v>28867</v>
      </c>
      <c r="J240" s="290">
        <v>9846</v>
      </c>
      <c r="K240" s="290">
        <v>2602</v>
      </c>
      <c r="L240" s="290">
        <v>2067</v>
      </c>
      <c r="M240" s="290">
        <v>18947</v>
      </c>
      <c r="N240" s="290">
        <v>8733</v>
      </c>
      <c r="O240" s="290">
        <v>2029</v>
      </c>
      <c r="P240" s="624">
        <v>1046614.6806667</v>
      </c>
      <c r="Q240" s="624">
        <v>352556.47233333002</v>
      </c>
      <c r="R240" s="624">
        <v>1043</v>
      </c>
      <c r="S240" s="290"/>
      <c r="T240" s="290">
        <v>29305</v>
      </c>
      <c r="U240" s="958">
        <v>3.4993362759699908E-3</v>
      </c>
      <c r="V240" s="290">
        <v>-35307.98845099</v>
      </c>
      <c r="W240" s="765">
        <v>0.53712207000000001</v>
      </c>
      <c r="X240" s="290">
        <v>13300</v>
      </c>
      <c r="Y240" s="290"/>
      <c r="Z240" s="290">
        <f>+innut23!E246</f>
        <v>11235659.973589228</v>
      </c>
      <c r="AA240" s="290">
        <v>0</v>
      </c>
      <c r="AB240" s="290">
        <v>5211</v>
      </c>
      <c r="AC240" s="290">
        <v>76288</v>
      </c>
      <c r="AD240" s="290"/>
      <c r="AE240" s="290">
        <v>0</v>
      </c>
      <c r="AF240" s="290">
        <v>0</v>
      </c>
      <c r="AG240" s="290">
        <v>288140</v>
      </c>
      <c r="AH240" s="290">
        <v>49577</v>
      </c>
      <c r="AI240" s="290"/>
      <c r="AJ240" s="290"/>
      <c r="AK240" s="290">
        <v>0</v>
      </c>
      <c r="AL240" s="290">
        <v>0</v>
      </c>
      <c r="AM240" s="957">
        <v>12.307932729999999</v>
      </c>
      <c r="AN240" s="290">
        <v>0</v>
      </c>
      <c r="AO240" s="290">
        <v>122815.37150147</v>
      </c>
      <c r="AP240" s="290">
        <v>117067</v>
      </c>
      <c r="AQ240" s="290">
        <v>0</v>
      </c>
      <c r="AR240" s="290">
        <v>-11824.86385795</v>
      </c>
      <c r="AS240" s="290">
        <v>495816</v>
      </c>
      <c r="AT240" s="290">
        <v>12852</v>
      </c>
      <c r="AU240" s="290">
        <v>4872</v>
      </c>
      <c r="AV240" s="766">
        <v>6344955</v>
      </c>
      <c r="AW240" s="290">
        <v>0</v>
      </c>
      <c r="AX240" s="766">
        <v>2306.6249499999999</v>
      </c>
      <c r="AY240" s="290">
        <v>101282</v>
      </c>
      <c r="AZ240" s="290">
        <v>16183</v>
      </c>
      <c r="BA240" s="290">
        <v>5123</v>
      </c>
      <c r="BB240" s="290">
        <v>0</v>
      </c>
      <c r="BC240" s="290">
        <v>143129</v>
      </c>
      <c r="BD240" s="290"/>
      <c r="BE240" s="290">
        <v>7464242.5412833998</v>
      </c>
      <c r="BF240" s="290">
        <v>0</v>
      </c>
      <c r="BG240" s="290">
        <v>0</v>
      </c>
      <c r="BH240" s="290">
        <v>-48257</v>
      </c>
      <c r="BI240" s="290">
        <v>168901</v>
      </c>
      <c r="BJ240" s="290">
        <v>33033.023733257942</v>
      </c>
      <c r="BK240" s="290">
        <v>530</v>
      </c>
      <c r="BL240" s="290"/>
      <c r="BM240" s="290">
        <v>0</v>
      </c>
      <c r="BN240" s="290">
        <v>43036</v>
      </c>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f>+innut23!E246+innut23!S246</f>
        <v>11235659.973589228</v>
      </c>
      <c r="CL240" s="290"/>
      <c r="CM240" s="290">
        <v>0</v>
      </c>
      <c r="CN240" s="290">
        <v>0</v>
      </c>
      <c r="CO240" s="290"/>
      <c r="CP240" s="290"/>
      <c r="CQ240" s="290"/>
      <c r="CX240" s="517">
        <f t="shared" si="7"/>
        <v>0</v>
      </c>
      <c r="DB240" s="85">
        <f t="shared" si="8"/>
        <v>52.814</v>
      </c>
    </row>
    <row r="241" spans="1:106" ht="13">
      <c r="A241" s="1">
        <v>4602</v>
      </c>
      <c r="B241" s="2" t="s">
        <v>1631</v>
      </c>
      <c r="C241" s="289"/>
      <c r="D241" s="290">
        <v>301</v>
      </c>
      <c r="E241" s="290">
        <v>666</v>
      </c>
      <c r="F241" s="290">
        <v>2240</v>
      </c>
      <c r="G241" s="290">
        <v>1585</v>
      </c>
      <c r="H241" s="290">
        <v>9492</v>
      </c>
      <c r="I241" s="290">
        <v>2129</v>
      </c>
      <c r="J241" s="290">
        <v>650</v>
      </c>
      <c r="K241" s="290">
        <v>179</v>
      </c>
      <c r="L241" s="290">
        <v>135</v>
      </c>
      <c r="M241" s="290">
        <v>1288</v>
      </c>
      <c r="N241" s="290">
        <v>456</v>
      </c>
      <c r="O241" s="290">
        <v>216</v>
      </c>
      <c r="P241" s="624">
        <v>125507.223</v>
      </c>
      <c r="Q241" s="624">
        <v>48612.757666669997</v>
      </c>
      <c r="R241" s="624">
        <v>82</v>
      </c>
      <c r="S241" s="290"/>
      <c r="T241" s="290">
        <v>1399</v>
      </c>
      <c r="U241" s="958">
        <v>3.9405447365667787E-3</v>
      </c>
      <c r="V241" s="290">
        <v>10416.91913824</v>
      </c>
      <c r="W241" s="765">
        <v>0.62768979000000003</v>
      </c>
      <c r="X241" s="290">
        <v>11400</v>
      </c>
      <c r="Y241" s="290"/>
      <c r="Z241" s="290">
        <f>+innut23!E247</f>
        <v>611718.68299116229</v>
      </c>
      <c r="AA241" s="290">
        <v>0</v>
      </c>
      <c r="AB241" s="290">
        <v>361</v>
      </c>
      <c r="AC241" s="290">
        <v>4414</v>
      </c>
      <c r="AD241" s="290"/>
      <c r="AE241" s="290">
        <v>0</v>
      </c>
      <c r="AF241" s="290">
        <v>17899</v>
      </c>
      <c r="AG241" s="290">
        <v>17242</v>
      </c>
      <c r="AH241" s="290">
        <v>3290</v>
      </c>
      <c r="AI241" s="290"/>
      <c r="AJ241" s="290"/>
      <c r="AK241" s="290">
        <v>0</v>
      </c>
      <c r="AL241" s="290">
        <v>0</v>
      </c>
      <c r="AM241" s="957">
        <v>0.26742400999999999</v>
      </c>
      <c r="AN241" s="290">
        <v>0</v>
      </c>
      <c r="AO241" s="290">
        <v>8052.4078456400002</v>
      </c>
      <c r="AP241" s="290">
        <v>0</v>
      </c>
      <c r="AQ241" s="290">
        <v>0</v>
      </c>
      <c r="AR241" s="290">
        <v>-707.58764016999999</v>
      </c>
      <c r="AS241" s="290">
        <v>28122</v>
      </c>
      <c r="AT241" s="290">
        <v>674</v>
      </c>
      <c r="AU241" s="290">
        <v>169</v>
      </c>
      <c r="AV241" s="766">
        <v>507343</v>
      </c>
      <c r="AW241" s="290">
        <v>0</v>
      </c>
      <c r="AX241" s="766">
        <v>124.45829999999999</v>
      </c>
      <c r="AY241" s="290">
        <v>3630</v>
      </c>
      <c r="AZ241" s="290">
        <v>689</v>
      </c>
      <c r="BA241" s="290">
        <v>342</v>
      </c>
      <c r="BB241" s="290">
        <v>0</v>
      </c>
      <c r="BC241" s="290">
        <v>29547</v>
      </c>
      <c r="BD241" s="290"/>
      <c r="BE241" s="290">
        <v>587836.51067961997</v>
      </c>
      <c r="BF241" s="290">
        <v>0</v>
      </c>
      <c r="BG241" s="290">
        <v>0</v>
      </c>
      <c r="BH241" s="290">
        <v>-2894</v>
      </c>
      <c r="BI241" s="290">
        <v>31825</v>
      </c>
      <c r="BJ241" s="290">
        <v>2458.9719137637098</v>
      </c>
      <c r="BK241" s="290">
        <v>26</v>
      </c>
      <c r="BL241" s="290"/>
      <c r="BM241" s="290">
        <v>4719</v>
      </c>
      <c r="BN241" s="290">
        <v>6222</v>
      </c>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f>+innut23!E247+innut23!S247</f>
        <v>611718.68299116229</v>
      </c>
      <c r="CL241" s="290"/>
      <c r="CM241" s="290">
        <v>0</v>
      </c>
      <c r="CN241" s="290">
        <v>0</v>
      </c>
      <c r="CO241" s="290"/>
      <c r="CP241" s="290"/>
      <c r="CQ241" s="290"/>
      <c r="CX241" s="517">
        <f t="shared" si="7"/>
        <v>0</v>
      </c>
      <c r="DB241" s="85">
        <f t="shared" si="8"/>
        <v>3.16</v>
      </c>
    </row>
    <row r="242" spans="1:106" ht="13">
      <c r="A242" s="1">
        <v>4611</v>
      </c>
      <c r="B242" s="2" t="s">
        <v>24</v>
      </c>
      <c r="C242" s="289"/>
      <c r="D242" s="290">
        <v>77</v>
      </c>
      <c r="E242" s="290">
        <v>187</v>
      </c>
      <c r="F242" s="290">
        <v>506</v>
      </c>
      <c r="G242" s="290">
        <v>348</v>
      </c>
      <c r="H242" s="290">
        <v>2108</v>
      </c>
      <c r="I242" s="290">
        <v>554</v>
      </c>
      <c r="J242" s="290">
        <v>191</v>
      </c>
      <c r="K242" s="290">
        <v>64</v>
      </c>
      <c r="L242" s="290">
        <v>28</v>
      </c>
      <c r="M242" s="290">
        <v>315</v>
      </c>
      <c r="N242" s="290">
        <v>43</v>
      </c>
      <c r="O242" s="290">
        <v>31</v>
      </c>
      <c r="P242" s="624">
        <v>39544.002333329998</v>
      </c>
      <c r="Q242" s="624">
        <v>11497.72566667</v>
      </c>
      <c r="R242" s="624">
        <v>18</v>
      </c>
      <c r="S242" s="290"/>
      <c r="T242" s="290">
        <v>321</v>
      </c>
      <c r="U242" s="958">
        <v>3.3443147084889165E-3</v>
      </c>
      <c r="V242" s="290">
        <v>2652.3325289600002</v>
      </c>
      <c r="W242" s="765">
        <v>0.76962138999999996</v>
      </c>
      <c r="X242" s="290">
        <v>2100</v>
      </c>
      <c r="Y242" s="290"/>
      <c r="Z242" s="290">
        <f>+innut23!E248</f>
        <v>130811.8111288721</v>
      </c>
      <c r="AA242" s="290">
        <v>0</v>
      </c>
      <c r="AB242" s="290">
        <v>72</v>
      </c>
      <c r="AC242" s="290">
        <v>536</v>
      </c>
      <c r="AD242" s="290"/>
      <c r="AE242" s="290">
        <v>0</v>
      </c>
      <c r="AF242" s="290">
        <v>0</v>
      </c>
      <c r="AG242" s="290">
        <v>4035</v>
      </c>
      <c r="AH242" s="290">
        <v>775</v>
      </c>
      <c r="AI242" s="290"/>
      <c r="AJ242" s="290"/>
      <c r="AK242" s="290">
        <v>0</v>
      </c>
      <c r="AL242" s="290">
        <v>0</v>
      </c>
      <c r="AM242" s="957">
        <v>4.4637629999999998E-2</v>
      </c>
      <c r="AN242" s="290">
        <v>1267</v>
      </c>
      <c r="AO242" s="290">
        <v>2050.2859801499999</v>
      </c>
      <c r="AP242" s="290">
        <v>0</v>
      </c>
      <c r="AQ242" s="290">
        <v>0</v>
      </c>
      <c r="AR242" s="290">
        <v>-165.59077416</v>
      </c>
      <c r="AS242" s="290">
        <v>5999</v>
      </c>
      <c r="AT242" s="290">
        <v>136</v>
      </c>
      <c r="AU242" s="290">
        <v>37</v>
      </c>
      <c r="AV242" s="766">
        <v>138789</v>
      </c>
      <c r="AW242" s="290">
        <v>0</v>
      </c>
      <c r="AX242" s="766">
        <v>18.791650000000001</v>
      </c>
      <c r="AY242" s="290">
        <v>762</v>
      </c>
      <c r="AZ242" s="290">
        <v>145</v>
      </c>
      <c r="BA242" s="290">
        <v>55</v>
      </c>
      <c r="BB242" s="290">
        <v>0</v>
      </c>
      <c r="BC242" s="290">
        <v>2139</v>
      </c>
      <c r="BD242" s="290"/>
      <c r="BE242" s="290">
        <v>155532.92207251</v>
      </c>
      <c r="BF242" s="290">
        <v>0</v>
      </c>
      <c r="BG242" s="290">
        <v>0</v>
      </c>
      <c r="BH242" s="290">
        <v>-682</v>
      </c>
      <c r="BI242" s="290">
        <v>2348</v>
      </c>
      <c r="BJ242" s="290">
        <v>574.74810787913873</v>
      </c>
      <c r="BK242" s="290">
        <v>5</v>
      </c>
      <c r="BL242" s="290"/>
      <c r="BM242" s="290">
        <v>0</v>
      </c>
      <c r="BN242" s="290">
        <v>1037</v>
      </c>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f>+innut23!E248+innut23!S248</f>
        <v>130811.8111288721</v>
      </c>
      <c r="CL242" s="290"/>
      <c r="CM242" s="290">
        <v>0</v>
      </c>
      <c r="CN242" s="290">
        <v>0</v>
      </c>
      <c r="CO242" s="290"/>
      <c r="CP242" s="290"/>
      <c r="CQ242" s="290"/>
      <c r="CX242" s="517">
        <f t="shared" si="7"/>
        <v>0</v>
      </c>
      <c r="DB242" s="85">
        <f t="shared" si="8"/>
        <v>0.74</v>
      </c>
    </row>
    <row r="243" spans="1:106" ht="13">
      <c r="A243" s="1">
        <v>4612</v>
      </c>
      <c r="B243" s="2" t="s">
        <v>25</v>
      </c>
      <c r="C243" s="289"/>
      <c r="D243" s="290">
        <v>117</v>
      </c>
      <c r="E243" s="290">
        <v>267</v>
      </c>
      <c r="F243" s="290">
        <v>846</v>
      </c>
      <c r="G243" s="290">
        <v>490</v>
      </c>
      <c r="H243" s="290">
        <v>3061</v>
      </c>
      <c r="I243" s="290">
        <v>730</v>
      </c>
      <c r="J243" s="290">
        <v>192</v>
      </c>
      <c r="K243" s="290">
        <v>43</v>
      </c>
      <c r="L243" s="290">
        <v>43</v>
      </c>
      <c r="M243" s="290">
        <v>318</v>
      </c>
      <c r="N243" s="290">
        <v>87</v>
      </c>
      <c r="O243" s="290">
        <v>55</v>
      </c>
      <c r="P243" s="624">
        <v>45653.472333329999</v>
      </c>
      <c r="Q243" s="624">
        <v>19453.93166667</v>
      </c>
      <c r="R243" s="624">
        <v>24</v>
      </c>
      <c r="S243" s="290"/>
      <c r="T243" s="290">
        <v>383</v>
      </c>
      <c r="U243" s="958">
        <v>3.4103197348386216E-3</v>
      </c>
      <c r="V243" s="290">
        <v>694.22516957000005</v>
      </c>
      <c r="W243" s="765">
        <v>0.71312112999999999</v>
      </c>
      <c r="X243" s="290">
        <v>2800</v>
      </c>
      <c r="Y243" s="290"/>
      <c r="Z243" s="290">
        <f>+innut23!E249</f>
        <v>176644.91743044765</v>
      </c>
      <c r="AA243" s="290">
        <v>0</v>
      </c>
      <c r="AB243" s="290">
        <v>141</v>
      </c>
      <c r="AC243" s="290">
        <v>1366</v>
      </c>
      <c r="AD243" s="290"/>
      <c r="AE243" s="290">
        <v>0</v>
      </c>
      <c r="AF243" s="290">
        <v>0</v>
      </c>
      <c r="AG243" s="290">
        <v>5746</v>
      </c>
      <c r="AH243" s="290">
        <v>1203</v>
      </c>
      <c r="AI243" s="290"/>
      <c r="AJ243" s="290"/>
      <c r="AK243" s="290">
        <v>0</v>
      </c>
      <c r="AL243" s="290">
        <v>0</v>
      </c>
      <c r="AM243" s="957">
        <v>0.1033168</v>
      </c>
      <c r="AN243" s="290">
        <v>0</v>
      </c>
      <c r="AO243" s="290">
        <v>2807.7551591299998</v>
      </c>
      <c r="AP243" s="290">
        <v>0</v>
      </c>
      <c r="AQ243" s="290">
        <v>0</v>
      </c>
      <c r="AR243" s="290">
        <v>-235.80782858000001</v>
      </c>
      <c r="AS243" s="290">
        <v>8789</v>
      </c>
      <c r="AT243" s="290">
        <v>245</v>
      </c>
      <c r="AU243" s="290">
        <v>48</v>
      </c>
      <c r="AV243" s="766">
        <v>177769</v>
      </c>
      <c r="AW243" s="290">
        <v>0</v>
      </c>
      <c r="AX243" s="766">
        <v>43.958350000000003</v>
      </c>
      <c r="AY243" s="290">
        <v>1156</v>
      </c>
      <c r="AZ243" s="290">
        <v>293</v>
      </c>
      <c r="BA243" s="290">
        <v>101</v>
      </c>
      <c r="BB243" s="290">
        <v>0</v>
      </c>
      <c r="BC243" s="290">
        <v>4657</v>
      </c>
      <c r="BD243" s="290"/>
      <c r="BE243" s="290">
        <v>202529.51120425001</v>
      </c>
      <c r="BF243" s="290">
        <v>0</v>
      </c>
      <c r="BG243" s="290">
        <v>0</v>
      </c>
      <c r="BH243" s="290">
        <v>-973</v>
      </c>
      <c r="BI243" s="290">
        <v>5162</v>
      </c>
      <c r="BJ243" s="290">
        <v>933.21599979159112</v>
      </c>
      <c r="BK243" s="290">
        <v>8</v>
      </c>
      <c r="BL243" s="290"/>
      <c r="BM243" s="290">
        <v>0</v>
      </c>
      <c r="BN243" s="290">
        <v>2593</v>
      </c>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f>+innut23!E249+innut23!S249</f>
        <v>176644.91743044765</v>
      </c>
      <c r="CL243" s="290"/>
      <c r="CM243" s="290">
        <v>0</v>
      </c>
      <c r="CN243" s="290">
        <v>0</v>
      </c>
      <c r="CO243" s="290"/>
      <c r="CP243" s="290"/>
      <c r="CQ243" s="290"/>
      <c r="CX243" s="517">
        <f t="shared" si="7"/>
        <v>0</v>
      </c>
      <c r="DB243" s="85">
        <f t="shared" si="8"/>
        <v>1.0529999999999999</v>
      </c>
    </row>
    <row r="244" spans="1:106" ht="13">
      <c r="A244" s="1">
        <v>4613</v>
      </c>
      <c r="B244" s="2" t="s">
        <v>26</v>
      </c>
      <c r="C244" s="289"/>
      <c r="D244" s="290">
        <v>238</v>
      </c>
      <c r="E244" s="290">
        <v>559</v>
      </c>
      <c r="F244" s="290">
        <v>1723</v>
      </c>
      <c r="G244" s="290">
        <v>1135</v>
      </c>
      <c r="H244" s="290">
        <v>6399</v>
      </c>
      <c r="I244" s="290">
        <v>1541</v>
      </c>
      <c r="J244" s="290">
        <v>395</v>
      </c>
      <c r="K244" s="290">
        <v>126</v>
      </c>
      <c r="L244" s="290">
        <v>86</v>
      </c>
      <c r="M244" s="290">
        <v>726</v>
      </c>
      <c r="N244" s="290">
        <v>236</v>
      </c>
      <c r="O244" s="290">
        <v>115</v>
      </c>
      <c r="P244" s="624">
        <v>48933.644</v>
      </c>
      <c r="Q244" s="624">
        <v>28801.521000000001</v>
      </c>
      <c r="R244" s="624">
        <v>56</v>
      </c>
      <c r="S244" s="290"/>
      <c r="T244" s="290">
        <v>774</v>
      </c>
      <c r="U244" s="958">
        <v>2.8515084519306834E-3</v>
      </c>
      <c r="V244" s="290">
        <v>6905.9340905999998</v>
      </c>
      <c r="W244" s="765">
        <v>0.66817775000000001</v>
      </c>
      <c r="X244" s="290">
        <v>5000</v>
      </c>
      <c r="Y244" s="290"/>
      <c r="Z244" s="290">
        <f>+innut23!E250</f>
        <v>394366.84691253811</v>
      </c>
      <c r="AA244" s="290">
        <v>0</v>
      </c>
      <c r="AB244" s="290">
        <v>243</v>
      </c>
      <c r="AC244" s="290">
        <v>3477</v>
      </c>
      <c r="AD244" s="290"/>
      <c r="AE244" s="290">
        <v>0</v>
      </c>
      <c r="AF244" s="290">
        <v>0</v>
      </c>
      <c r="AG244" s="290">
        <v>12116</v>
      </c>
      <c r="AH244" s="290">
        <v>2530</v>
      </c>
      <c r="AI244" s="290"/>
      <c r="AJ244" s="290"/>
      <c r="AK244" s="290">
        <v>0</v>
      </c>
      <c r="AL244" s="290">
        <v>0</v>
      </c>
      <c r="AM244" s="957">
        <v>0.14767631000000001</v>
      </c>
      <c r="AN244" s="290">
        <v>0</v>
      </c>
      <c r="AO244" s="290">
        <v>5687.7744189599998</v>
      </c>
      <c r="AP244" s="290">
        <v>0</v>
      </c>
      <c r="AQ244" s="290">
        <v>0</v>
      </c>
      <c r="AR244" s="290">
        <v>-497.22374715000001</v>
      </c>
      <c r="AS244" s="290">
        <v>18311</v>
      </c>
      <c r="AT244" s="290">
        <v>472</v>
      </c>
      <c r="AU244" s="290">
        <v>117</v>
      </c>
      <c r="AV244" s="766">
        <v>351940</v>
      </c>
      <c r="AW244" s="290">
        <v>0</v>
      </c>
      <c r="AX244" s="766">
        <v>87.708349999999996</v>
      </c>
      <c r="AY244" s="290">
        <v>2341</v>
      </c>
      <c r="AZ244" s="290">
        <v>389</v>
      </c>
      <c r="BA244" s="290">
        <v>206</v>
      </c>
      <c r="BB244" s="290">
        <v>0</v>
      </c>
      <c r="BC244" s="290">
        <v>9415</v>
      </c>
      <c r="BD244" s="290"/>
      <c r="BE244" s="290">
        <v>398756.18302986998</v>
      </c>
      <c r="BF244" s="290">
        <v>0</v>
      </c>
      <c r="BG244" s="290">
        <v>0</v>
      </c>
      <c r="BH244" s="290">
        <v>-2029</v>
      </c>
      <c r="BI244" s="290">
        <v>10674</v>
      </c>
      <c r="BJ244" s="290">
        <v>1839.0615409554816</v>
      </c>
      <c r="BK244" s="290">
        <v>15</v>
      </c>
      <c r="BL244" s="290"/>
      <c r="BM244" s="290">
        <v>0</v>
      </c>
      <c r="BN244" s="290">
        <v>4667</v>
      </c>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f>+innut23!E250+innut23!S250</f>
        <v>394366.84691253811</v>
      </c>
      <c r="CL244" s="290"/>
      <c r="CM244" s="290">
        <v>0</v>
      </c>
      <c r="CN244" s="290">
        <v>0</v>
      </c>
      <c r="CO244" s="290"/>
      <c r="CP244" s="290"/>
      <c r="CQ244" s="290"/>
      <c r="CX244" s="517">
        <f t="shared" si="7"/>
        <v>0</v>
      </c>
      <c r="DB244" s="85">
        <f t="shared" si="8"/>
        <v>2.2210000000000001</v>
      </c>
    </row>
    <row r="245" spans="1:106" ht="13">
      <c r="A245" s="1">
        <v>4614</v>
      </c>
      <c r="B245" s="2" t="s">
        <v>27</v>
      </c>
      <c r="C245" s="289"/>
      <c r="D245" s="290">
        <v>358</v>
      </c>
      <c r="E245" s="290">
        <v>917</v>
      </c>
      <c r="F245" s="290">
        <v>2539</v>
      </c>
      <c r="G245" s="290">
        <v>1719</v>
      </c>
      <c r="H245" s="290">
        <v>10417</v>
      </c>
      <c r="I245" s="290">
        <v>2178</v>
      </c>
      <c r="J245" s="290">
        <v>698</v>
      </c>
      <c r="K245" s="290">
        <v>177</v>
      </c>
      <c r="L245" s="290">
        <v>122</v>
      </c>
      <c r="M245" s="290">
        <v>1085</v>
      </c>
      <c r="N245" s="290">
        <v>348</v>
      </c>
      <c r="O245" s="290">
        <v>156</v>
      </c>
      <c r="P245" s="624">
        <v>39676.573666670003</v>
      </c>
      <c r="Q245" s="624">
        <v>21929.340666669999</v>
      </c>
      <c r="R245" s="624">
        <v>81</v>
      </c>
      <c r="S245" s="290"/>
      <c r="T245" s="290">
        <v>1482</v>
      </c>
      <c r="U245" s="958">
        <v>1.5163915111994677E-3</v>
      </c>
      <c r="V245" s="290">
        <v>9820.7958509599994</v>
      </c>
      <c r="W245" s="765">
        <v>0.55019651000000003</v>
      </c>
      <c r="X245" s="290">
        <v>2600</v>
      </c>
      <c r="Y245" s="290"/>
      <c r="Z245" s="290">
        <f>+innut23!E251</f>
        <v>635041.82614571776</v>
      </c>
      <c r="AA245" s="290">
        <v>0</v>
      </c>
      <c r="AB245" s="290">
        <v>445</v>
      </c>
      <c r="AC245" s="290">
        <v>4840</v>
      </c>
      <c r="AD245" s="290"/>
      <c r="AE245" s="290">
        <v>0</v>
      </c>
      <c r="AF245" s="290">
        <v>0</v>
      </c>
      <c r="AG245" s="290">
        <v>19003</v>
      </c>
      <c r="AH245" s="290">
        <v>3828</v>
      </c>
      <c r="AI245" s="290"/>
      <c r="AJ245" s="290"/>
      <c r="AK245" s="290">
        <v>0</v>
      </c>
      <c r="AL245" s="290">
        <v>0</v>
      </c>
      <c r="AM245" s="957">
        <v>0.29348657</v>
      </c>
      <c r="AN245" s="290">
        <v>0</v>
      </c>
      <c r="AO245" s="290">
        <v>8641.5799088799995</v>
      </c>
      <c r="AP245" s="290">
        <v>0</v>
      </c>
      <c r="AQ245" s="290">
        <v>0</v>
      </c>
      <c r="AR245" s="290">
        <v>-779.85662488000003</v>
      </c>
      <c r="AS245" s="290">
        <v>28635</v>
      </c>
      <c r="AT245" s="290">
        <v>872</v>
      </c>
      <c r="AU245" s="290">
        <v>179</v>
      </c>
      <c r="AV245" s="766">
        <v>482216</v>
      </c>
      <c r="AW245" s="290">
        <v>0</v>
      </c>
      <c r="AX245" s="766">
        <v>142.875</v>
      </c>
      <c r="AY245" s="290">
        <v>4690</v>
      </c>
      <c r="AZ245" s="290">
        <v>673</v>
      </c>
      <c r="BA245" s="290">
        <v>399</v>
      </c>
      <c r="BB245" s="290">
        <v>0</v>
      </c>
      <c r="BC245" s="290">
        <v>12092</v>
      </c>
      <c r="BD245" s="290"/>
      <c r="BE245" s="290">
        <v>577117.78969054006</v>
      </c>
      <c r="BF245" s="290">
        <v>0</v>
      </c>
      <c r="BG245" s="290">
        <v>0</v>
      </c>
      <c r="BH245" s="290">
        <v>-3179</v>
      </c>
      <c r="BI245" s="290">
        <v>13853</v>
      </c>
      <c r="BJ245" s="290">
        <v>2647.1880515988623</v>
      </c>
      <c r="BK245" s="290">
        <v>27</v>
      </c>
      <c r="BL245" s="290"/>
      <c r="BM245" s="290">
        <v>0</v>
      </c>
      <c r="BN245" s="290">
        <v>5185</v>
      </c>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f>+innut23!E251+innut23!S251</f>
        <v>635041.82614571776</v>
      </c>
      <c r="CL245" s="290"/>
      <c r="CM245" s="290">
        <v>0</v>
      </c>
      <c r="CN245" s="290">
        <v>0</v>
      </c>
      <c r="CO245" s="290"/>
      <c r="CP245" s="290"/>
      <c r="CQ245" s="290"/>
      <c r="CX245" s="517">
        <f t="shared" si="7"/>
        <v>0</v>
      </c>
      <c r="DB245" s="85">
        <f t="shared" si="8"/>
        <v>3.4830000000000001</v>
      </c>
    </row>
    <row r="246" spans="1:106" ht="13">
      <c r="A246" s="1">
        <v>4615</v>
      </c>
      <c r="B246" s="2" t="s">
        <v>28</v>
      </c>
      <c r="C246" s="289"/>
      <c r="D246" s="290">
        <v>46</v>
      </c>
      <c r="E246" s="290">
        <v>142</v>
      </c>
      <c r="F246" s="290">
        <v>411</v>
      </c>
      <c r="G246" s="290">
        <v>308</v>
      </c>
      <c r="H246" s="290">
        <v>1687</v>
      </c>
      <c r="I246" s="290">
        <v>429</v>
      </c>
      <c r="J246" s="290">
        <v>103</v>
      </c>
      <c r="K246" s="290">
        <v>32</v>
      </c>
      <c r="L246" s="290">
        <v>23</v>
      </c>
      <c r="M246" s="290">
        <v>199</v>
      </c>
      <c r="N246" s="290">
        <v>21</v>
      </c>
      <c r="O246" s="290">
        <v>21</v>
      </c>
      <c r="P246" s="624">
        <v>14733.79933333</v>
      </c>
      <c r="Q246" s="624">
        <v>9654.4650000000001</v>
      </c>
      <c r="R246" s="624">
        <v>11</v>
      </c>
      <c r="S246" s="290"/>
      <c r="T246" s="290">
        <v>217</v>
      </c>
      <c r="U246" s="958">
        <v>1.6183657927997534E-3</v>
      </c>
      <c r="V246" s="290">
        <v>1940.4945876899999</v>
      </c>
      <c r="W246" s="765">
        <v>0.73660453999999997</v>
      </c>
      <c r="X246" s="290">
        <v>2900</v>
      </c>
      <c r="Y246" s="290"/>
      <c r="Z246" s="290">
        <f>+innut23!E252</f>
        <v>100096.72087654447</v>
      </c>
      <c r="AA246" s="290">
        <v>0</v>
      </c>
      <c r="AB246" s="290">
        <v>87</v>
      </c>
      <c r="AC246" s="290">
        <v>989</v>
      </c>
      <c r="AD246" s="290"/>
      <c r="AE246" s="290">
        <v>0</v>
      </c>
      <c r="AF246" s="290">
        <v>0</v>
      </c>
      <c r="AG246" s="290">
        <v>3158</v>
      </c>
      <c r="AH246" s="290">
        <v>629</v>
      </c>
      <c r="AI246" s="290"/>
      <c r="AJ246" s="290"/>
      <c r="AK246" s="290">
        <v>0</v>
      </c>
      <c r="AL246" s="290">
        <v>0</v>
      </c>
      <c r="AM246" s="957">
        <v>6.5583000000000002E-2</v>
      </c>
      <c r="AN246" s="290">
        <v>0</v>
      </c>
      <c r="AO246" s="290">
        <v>1500.02641232</v>
      </c>
      <c r="AP246" s="290">
        <v>0</v>
      </c>
      <c r="AQ246" s="290">
        <v>0</v>
      </c>
      <c r="AR246" s="290">
        <v>2061.20679075</v>
      </c>
      <c r="AS246" s="290">
        <v>5099</v>
      </c>
      <c r="AT246" s="290">
        <v>131</v>
      </c>
      <c r="AU246" s="290">
        <v>32</v>
      </c>
      <c r="AV246" s="766">
        <v>102111</v>
      </c>
      <c r="AW246" s="290">
        <v>0</v>
      </c>
      <c r="AX246" s="766">
        <v>3.8333499999999998</v>
      </c>
      <c r="AY246" s="290">
        <v>576</v>
      </c>
      <c r="AZ246" s="290">
        <v>152</v>
      </c>
      <c r="BA246" s="290">
        <v>45</v>
      </c>
      <c r="BB246" s="290">
        <v>3129</v>
      </c>
      <c r="BC246" s="290">
        <v>2822</v>
      </c>
      <c r="BD246" s="290"/>
      <c r="BE246" s="290">
        <v>111650.20270112</v>
      </c>
      <c r="BF246" s="290">
        <v>0</v>
      </c>
      <c r="BG246" s="290">
        <v>0</v>
      </c>
      <c r="BH246" s="290">
        <v>-529</v>
      </c>
      <c r="BI246" s="290">
        <v>3174</v>
      </c>
      <c r="BJ246" s="290">
        <v>459.09013539037704</v>
      </c>
      <c r="BK246" s="290">
        <v>4</v>
      </c>
      <c r="BL246" s="290"/>
      <c r="BM246" s="290">
        <v>0</v>
      </c>
      <c r="BN246" s="290">
        <v>1556</v>
      </c>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f>+innut23!E252+innut23!S252</f>
        <v>100096.72087654447</v>
      </c>
      <c r="CL246" s="290"/>
      <c r="CM246" s="290">
        <v>0</v>
      </c>
      <c r="CN246" s="290">
        <v>0</v>
      </c>
      <c r="CO246" s="290"/>
      <c r="CP246" s="290"/>
      <c r="CQ246" s="290"/>
      <c r="CX246" s="517">
        <f t="shared" si="7"/>
        <v>0</v>
      </c>
      <c r="DB246" s="85">
        <f t="shared" si="8"/>
        <v>0.57899999999999996</v>
      </c>
    </row>
    <row r="247" spans="1:106" ht="13">
      <c r="A247" s="1">
        <v>4616</v>
      </c>
      <c r="B247" s="2" t="s">
        <v>29</v>
      </c>
      <c r="C247" s="289"/>
      <c r="D247" s="290">
        <v>53</v>
      </c>
      <c r="E247" s="290">
        <v>144</v>
      </c>
      <c r="F247" s="290">
        <v>324</v>
      </c>
      <c r="G247" s="290">
        <v>203</v>
      </c>
      <c r="H247" s="290">
        <v>1458</v>
      </c>
      <c r="I247" s="290">
        <v>521</v>
      </c>
      <c r="J247" s="290">
        <v>171</v>
      </c>
      <c r="K247" s="290">
        <v>39</v>
      </c>
      <c r="L247" s="290">
        <v>23</v>
      </c>
      <c r="M247" s="290">
        <v>287</v>
      </c>
      <c r="N247" s="290">
        <v>12</v>
      </c>
      <c r="O247" s="290">
        <v>24</v>
      </c>
      <c r="P247" s="624">
        <v>25240.399333329999</v>
      </c>
      <c r="Q247" s="624">
        <v>10239.671333329999</v>
      </c>
      <c r="R247" s="624">
        <v>16</v>
      </c>
      <c r="S247" s="290"/>
      <c r="T247" s="290">
        <v>233</v>
      </c>
      <c r="U247" s="958">
        <v>2.6121901177160239E-3</v>
      </c>
      <c r="V247" s="290">
        <v>2047.22843921</v>
      </c>
      <c r="W247" s="765">
        <v>0.95879217000000005</v>
      </c>
      <c r="X247" s="290">
        <v>1800</v>
      </c>
      <c r="Y247" s="290"/>
      <c r="Z247" s="290">
        <f>+innut23!E253</f>
        <v>118474.26503794064</v>
      </c>
      <c r="AA247" s="290">
        <v>0</v>
      </c>
      <c r="AB247" s="290">
        <v>63</v>
      </c>
      <c r="AC247" s="290">
        <v>0</v>
      </c>
      <c r="AD247" s="290"/>
      <c r="AE247" s="290">
        <v>0</v>
      </c>
      <c r="AF247" s="290">
        <v>0</v>
      </c>
      <c r="AG247" s="290">
        <v>2913</v>
      </c>
      <c r="AH247" s="290">
        <v>508</v>
      </c>
      <c r="AI247" s="290"/>
      <c r="AJ247" s="290"/>
      <c r="AK247" s="290">
        <v>0</v>
      </c>
      <c r="AL247" s="290">
        <v>0</v>
      </c>
      <c r="AM247" s="957">
        <v>3.0670659999999999E-2</v>
      </c>
      <c r="AN247" s="290">
        <v>0</v>
      </c>
      <c r="AO247" s="290">
        <v>1582.53300491</v>
      </c>
      <c r="AP247" s="290">
        <v>0</v>
      </c>
      <c r="AQ247" s="290">
        <v>0</v>
      </c>
      <c r="AR247" s="290">
        <v>-119.54545852</v>
      </c>
      <c r="AS247" s="290">
        <v>7898</v>
      </c>
      <c r="AT247" s="290">
        <v>99</v>
      </c>
      <c r="AU247" s="290">
        <v>25</v>
      </c>
      <c r="AV247" s="766">
        <v>114350</v>
      </c>
      <c r="AW247" s="290">
        <v>0</v>
      </c>
      <c r="AX247" s="766">
        <v>9.875</v>
      </c>
      <c r="AY247" s="290">
        <v>562</v>
      </c>
      <c r="AZ247" s="290">
        <v>103</v>
      </c>
      <c r="BA247" s="290">
        <v>43</v>
      </c>
      <c r="BB247" s="290">
        <v>3129</v>
      </c>
      <c r="BC247" s="290">
        <v>2004</v>
      </c>
      <c r="BD247" s="290"/>
      <c r="BE247" s="290">
        <v>129638.33866030999</v>
      </c>
      <c r="BF247" s="290">
        <v>0</v>
      </c>
      <c r="BG247" s="290">
        <v>0</v>
      </c>
      <c r="BH247" s="290">
        <v>-489</v>
      </c>
      <c r="BI247" s="290">
        <v>2064</v>
      </c>
      <c r="BJ247" s="290">
        <v>387.50249901776778</v>
      </c>
      <c r="BK247" s="290">
        <v>4</v>
      </c>
      <c r="BL247" s="290"/>
      <c r="BM247" s="290">
        <v>0</v>
      </c>
      <c r="BN247" s="290">
        <v>1556</v>
      </c>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f>+innut23!E253+innut23!S253</f>
        <v>118474.26503794064</v>
      </c>
      <c r="CL247" s="290"/>
      <c r="CM247" s="290">
        <v>0</v>
      </c>
      <c r="CN247" s="290">
        <v>0</v>
      </c>
      <c r="CO247" s="290"/>
      <c r="CP247" s="290"/>
      <c r="CQ247" s="290"/>
      <c r="CX247" s="517">
        <f t="shared" si="7"/>
        <v>0</v>
      </c>
      <c r="DB247" s="85">
        <f t="shared" si="8"/>
        <v>0.53400000000000003</v>
      </c>
    </row>
    <row r="248" spans="1:106" ht="13">
      <c r="A248" s="1">
        <v>4617</v>
      </c>
      <c r="B248" s="2" t="s">
        <v>30</v>
      </c>
      <c r="C248" s="289"/>
      <c r="D248" s="290">
        <v>258</v>
      </c>
      <c r="E248" s="290">
        <v>487</v>
      </c>
      <c r="F248" s="290">
        <v>1574</v>
      </c>
      <c r="G248" s="290">
        <v>1172</v>
      </c>
      <c r="H248" s="290">
        <v>6861</v>
      </c>
      <c r="I248" s="290">
        <v>1867</v>
      </c>
      <c r="J248" s="290">
        <v>682</v>
      </c>
      <c r="K248" s="290">
        <v>129</v>
      </c>
      <c r="L248" s="290">
        <v>93</v>
      </c>
      <c r="M248" s="290">
        <v>1129</v>
      </c>
      <c r="N248" s="290">
        <v>139</v>
      </c>
      <c r="O248" s="290">
        <v>83</v>
      </c>
      <c r="P248" s="624">
        <v>111688.114</v>
      </c>
      <c r="Q248" s="624">
        <v>29176.12133333</v>
      </c>
      <c r="R248" s="624">
        <v>54</v>
      </c>
      <c r="S248" s="290"/>
      <c r="T248" s="290">
        <v>1046</v>
      </c>
      <c r="U248" s="958">
        <v>5.9071467190844901E-3</v>
      </c>
      <c r="V248" s="290">
        <v>5822.3931724399999</v>
      </c>
      <c r="W248" s="765">
        <v>0.69868476999999996</v>
      </c>
      <c r="X248" s="290">
        <v>0</v>
      </c>
      <c r="Y248" s="290"/>
      <c r="Z248" s="290">
        <f>+innut23!E254</f>
        <v>425905.04078123777</v>
      </c>
      <c r="AA248" s="290">
        <v>0</v>
      </c>
      <c r="AB248" s="290">
        <v>313</v>
      </c>
      <c r="AC248" s="290">
        <v>2269</v>
      </c>
      <c r="AD248" s="290"/>
      <c r="AE248" s="290">
        <v>0</v>
      </c>
      <c r="AF248" s="290">
        <v>0</v>
      </c>
      <c r="AG248" s="290">
        <v>13030</v>
      </c>
      <c r="AH248" s="290">
        <v>2384</v>
      </c>
      <c r="AI248" s="290"/>
      <c r="AJ248" s="290"/>
      <c r="AK248" s="290">
        <v>0</v>
      </c>
      <c r="AL248" s="290">
        <v>0</v>
      </c>
      <c r="AM248" s="957">
        <v>0.13610502999999999</v>
      </c>
      <c r="AN248" s="290">
        <v>17327</v>
      </c>
      <c r="AO248" s="290">
        <v>6073.0894788200003</v>
      </c>
      <c r="AP248" s="290">
        <v>0</v>
      </c>
      <c r="AQ248" s="290">
        <v>0</v>
      </c>
      <c r="AR248" s="290">
        <v>4295.3243098299999</v>
      </c>
      <c r="AS248" s="290">
        <v>23487</v>
      </c>
      <c r="AT248" s="290">
        <v>588</v>
      </c>
      <c r="AU248" s="290">
        <v>91</v>
      </c>
      <c r="AV248" s="766">
        <v>388143</v>
      </c>
      <c r="AW248" s="290">
        <v>0</v>
      </c>
      <c r="AX248" s="766">
        <v>87.791650000000004</v>
      </c>
      <c r="AY248" s="290">
        <v>2587</v>
      </c>
      <c r="AZ248" s="290">
        <v>431</v>
      </c>
      <c r="BA248" s="290">
        <v>225</v>
      </c>
      <c r="BB248" s="290">
        <v>0</v>
      </c>
      <c r="BC248" s="290">
        <v>11427</v>
      </c>
      <c r="BD248" s="290"/>
      <c r="BE248" s="290">
        <v>433998.52752698999</v>
      </c>
      <c r="BF248" s="290">
        <v>0</v>
      </c>
      <c r="BG248" s="290">
        <v>0</v>
      </c>
      <c r="BH248" s="290">
        <v>-2192</v>
      </c>
      <c r="BI248" s="290">
        <v>12431</v>
      </c>
      <c r="BJ248" s="290">
        <v>1715.8687574087141</v>
      </c>
      <c r="BK248" s="290">
        <v>17</v>
      </c>
      <c r="BL248" s="290"/>
      <c r="BM248" s="290">
        <v>0</v>
      </c>
      <c r="BN248" s="290">
        <v>7778</v>
      </c>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f>+innut23!E254+innut23!S254</f>
        <v>425905.04078123777</v>
      </c>
      <c r="CL248" s="290"/>
      <c r="CM248" s="290">
        <v>0</v>
      </c>
      <c r="CN248" s="290">
        <v>0</v>
      </c>
      <c r="CO248" s="290"/>
      <c r="CP248" s="290"/>
      <c r="CQ248" s="290"/>
      <c r="CX248" s="517">
        <f t="shared" si="7"/>
        <v>0</v>
      </c>
      <c r="DB248" s="85">
        <f t="shared" si="8"/>
        <v>2.3879999999999999</v>
      </c>
    </row>
    <row r="249" spans="1:106" ht="13">
      <c r="A249" s="1">
        <v>4618</v>
      </c>
      <c r="B249" s="2" t="s">
        <v>1632</v>
      </c>
      <c r="C249" s="289"/>
      <c r="D249" s="290">
        <v>194</v>
      </c>
      <c r="E249" s="290">
        <v>358</v>
      </c>
      <c r="F249" s="290">
        <v>1223</v>
      </c>
      <c r="G249" s="290">
        <v>876</v>
      </c>
      <c r="H249" s="290">
        <v>5888</v>
      </c>
      <c r="I249" s="290">
        <v>1611</v>
      </c>
      <c r="J249" s="290">
        <v>628</v>
      </c>
      <c r="K249" s="290">
        <v>171</v>
      </c>
      <c r="L249" s="290">
        <v>83</v>
      </c>
      <c r="M249" s="290">
        <v>1078</v>
      </c>
      <c r="N249" s="290">
        <v>160</v>
      </c>
      <c r="O249" s="290">
        <v>129</v>
      </c>
      <c r="P249" s="624">
        <v>133241.06200000001</v>
      </c>
      <c r="Q249" s="624">
        <v>28920.572</v>
      </c>
      <c r="R249" s="624">
        <v>47</v>
      </c>
      <c r="S249" s="290"/>
      <c r="T249" s="290">
        <v>1025</v>
      </c>
      <c r="U249" s="958">
        <v>7.9736952472552833E-3</v>
      </c>
      <c r="V249" s="290">
        <v>6781.6461818300004</v>
      </c>
      <c r="W249" s="765">
        <v>0.78238452999999997</v>
      </c>
      <c r="X249" s="290">
        <v>3400</v>
      </c>
      <c r="Y249" s="290"/>
      <c r="Z249" s="290">
        <f>+innut23!E255</f>
        <v>387887.67145340727</v>
      </c>
      <c r="AA249" s="290">
        <v>0</v>
      </c>
      <c r="AB249" s="290">
        <v>201</v>
      </c>
      <c r="AC249" s="290">
        <v>717</v>
      </c>
      <c r="AD249" s="290"/>
      <c r="AE249" s="290">
        <v>0</v>
      </c>
      <c r="AF249" s="290">
        <v>42099</v>
      </c>
      <c r="AG249" s="290">
        <v>10949</v>
      </c>
      <c r="AH249" s="290">
        <v>1814</v>
      </c>
      <c r="AI249" s="290"/>
      <c r="AJ249" s="290"/>
      <c r="AK249" s="290">
        <v>0</v>
      </c>
      <c r="AL249" s="290">
        <v>0</v>
      </c>
      <c r="AM249" s="957">
        <v>0.16687666000000001</v>
      </c>
      <c r="AN249" s="290">
        <v>14706</v>
      </c>
      <c r="AO249" s="290">
        <v>5329.6471126200004</v>
      </c>
      <c r="AP249" s="290">
        <v>0</v>
      </c>
      <c r="AQ249" s="290">
        <v>0</v>
      </c>
      <c r="AR249" s="290">
        <v>-449.33169425</v>
      </c>
      <c r="AS249" s="290">
        <v>14381</v>
      </c>
      <c r="AT249" s="290">
        <v>444</v>
      </c>
      <c r="AU249" s="290">
        <v>91</v>
      </c>
      <c r="AV249" s="766">
        <v>404280</v>
      </c>
      <c r="AW249" s="290">
        <v>0</v>
      </c>
      <c r="AX249" s="766">
        <v>79.500050000000002</v>
      </c>
      <c r="AY249" s="290">
        <v>2273</v>
      </c>
      <c r="AZ249" s="290">
        <v>489</v>
      </c>
      <c r="BA249" s="290">
        <v>195</v>
      </c>
      <c r="BB249" s="290">
        <v>0</v>
      </c>
      <c r="BC249" s="290">
        <v>47857</v>
      </c>
      <c r="BD249" s="290"/>
      <c r="BE249" s="290">
        <v>445511.33959441999</v>
      </c>
      <c r="BF249" s="290">
        <v>0</v>
      </c>
      <c r="BG249" s="290">
        <v>0</v>
      </c>
      <c r="BH249" s="290">
        <v>-1845</v>
      </c>
      <c r="BI249" s="290">
        <v>49815</v>
      </c>
      <c r="BJ249" s="290">
        <v>1400.2968042864547</v>
      </c>
      <c r="BK249" s="290">
        <v>16</v>
      </c>
      <c r="BL249" s="290"/>
      <c r="BM249" s="290">
        <v>4262</v>
      </c>
      <c r="BN249" s="290">
        <v>5185</v>
      </c>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f>+innut23!E255+innut23!S255</f>
        <v>387887.67145340727</v>
      </c>
      <c r="CL249" s="290"/>
      <c r="CM249" s="290">
        <v>0</v>
      </c>
      <c r="CN249" s="290">
        <v>0</v>
      </c>
      <c r="CO249" s="290"/>
      <c r="CP249" s="290"/>
      <c r="CQ249" s="290"/>
      <c r="CX249" s="517">
        <f t="shared" si="7"/>
        <v>0</v>
      </c>
      <c r="DB249" s="85">
        <f t="shared" si="8"/>
        <v>2.0070000000000001</v>
      </c>
    </row>
    <row r="250" spans="1:106" ht="13">
      <c r="A250" s="1">
        <v>4619</v>
      </c>
      <c r="B250" s="2" t="s">
        <v>34</v>
      </c>
      <c r="C250" s="289"/>
      <c r="D250" s="290">
        <v>25</v>
      </c>
      <c r="E250" s="290">
        <v>51</v>
      </c>
      <c r="F250" s="290">
        <v>91</v>
      </c>
      <c r="G250" s="290">
        <v>67</v>
      </c>
      <c r="H250" s="290">
        <v>529</v>
      </c>
      <c r="I250" s="290">
        <v>134</v>
      </c>
      <c r="J250" s="290">
        <v>42</v>
      </c>
      <c r="K250" s="290">
        <v>17</v>
      </c>
      <c r="L250" s="290">
        <v>8</v>
      </c>
      <c r="M250" s="290">
        <v>118</v>
      </c>
      <c r="N250" s="290">
        <v>6</v>
      </c>
      <c r="O250" s="290">
        <v>5</v>
      </c>
      <c r="P250" s="624">
        <v>3367.0183333300001</v>
      </c>
      <c r="Q250" s="624">
        <v>2471.5143333300002</v>
      </c>
      <c r="R250" s="624">
        <v>1</v>
      </c>
      <c r="S250" s="290"/>
      <c r="T250" s="290">
        <v>75</v>
      </c>
      <c r="U250" s="958">
        <v>6.8424783351499132E-4</v>
      </c>
      <c r="V250" s="290">
        <v>735.85914158000003</v>
      </c>
      <c r="W250" s="765">
        <v>1</v>
      </c>
      <c r="X250" s="290">
        <v>0</v>
      </c>
      <c r="Y250" s="290"/>
      <c r="Z250" s="290">
        <f>+innut23!E256</f>
        <v>60410.661217718138</v>
      </c>
      <c r="AA250" s="290">
        <v>0</v>
      </c>
      <c r="AB250" s="290">
        <v>4</v>
      </c>
      <c r="AC250" s="290">
        <v>0</v>
      </c>
      <c r="AD250" s="290"/>
      <c r="AE250" s="290">
        <v>0</v>
      </c>
      <c r="AF250" s="290">
        <v>0</v>
      </c>
      <c r="AG250" s="290">
        <v>956</v>
      </c>
      <c r="AH250" s="290">
        <v>167</v>
      </c>
      <c r="AI250" s="290"/>
      <c r="AJ250" s="290"/>
      <c r="AK250" s="290">
        <v>0</v>
      </c>
      <c r="AL250" s="290">
        <v>0</v>
      </c>
      <c r="AM250" s="957">
        <v>1.1815910000000001E-2</v>
      </c>
      <c r="AN250" s="290">
        <v>0</v>
      </c>
      <c r="AO250" s="290">
        <v>568.82825394999998</v>
      </c>
      <c r="AP250" s="290">
        <v>0</v>
      </c>
      <c r="AQ250" s="290">
        <v>0</v>
      </c>
      <c r="AR250" s="290">
        <v>-39.232907089999998</v>
      </c>
      <c r="AS250" s="290">
        <v>1277</v>
      </c>
      <c r="AT250" s="290">
        <v>38</v>
      </c>
      <c r="AU250" s="290">
        <v>13</v>
      </c>
      <c r="AV250" s="766">
        <v>43194</v>
      </c>
      <c r="AW250" s="290">
        <v>0</v>
      </c>
      <c r="AX250" s="766">
        <v>7.1666999999999996</v>
      </c>
      <c r="AY250" s="290">
        <v>191</v>
      </c>
      <c r="AZ250" s="290">
        <v>21</v>
      </c>
      <c r="BA250" s="290">
        <v>5</v>
      </c>
      <c r="BB250" s="290">
        <v>0</v>
      </c>
      <c r="BC250" s="290">
        <v>650</v>
      </c>
      <c r="BD250" s="290"/>
      <c r="BE250" s="290">
        <v>47936.850005519998</v>
      </c>
      <c r="BF250" s="290">
        <v>0</v>
      </c>
      <c r="BG250" s="290">
        <v>0</v>
      </c>
      <c r="BH250" s="290">
        <v>-157</v>
      </c>
      <c r="BI250" s="290">
        <v>686</v>
      </c>
      <c r="BJ250" s="290">
        <v>127.92351725266604</v>
      </c>
      <c r="BK250" s="290">
        <v>1</v>
      </c>
      <c r="BL250" s="290"/>
      <c r="BM250" s="290">
        <v>0</v>
      </c>
      <c r="BN250" s="290">
        <v>519</v>
      </c>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f>+innut23!E256+innut23!S256</f>
        <v>60410.661217718138</v>
      </c>
      <c r="CL250" s="290"/>
      <c r="CM250" s="290">
        <v>0</v>
      </c>
      <c r="CN250" s="290">
        <v>0</v>
      </c>
      <c r="CO250" s="290"/>
      <c r="CP250" s="290"/>
      <c r="CQ250" s="290"/>
      <c r="CX250" s="517">
        <f t="shared" si="7"/>
        <v>0</v>
      </c>
      <c r="DB250" s="85">
        <f t="shared" si="8"/>
        <v>0.17499999999999999</v>
      </c>
    </row>
    <row r="251" spans="1:106" ht="13">
      <c r="A251" s="1">
        <v>4620</v>
      </c>
      <c r="B251" s="2" t="s">
        <v>35</v>
      </c>
      <c r="C251" s="289"/>
      <c r="D251" s="290">
        <v>15</v>
      </c>
      <c r="E251" s="290">
        <v>39</v>
      </c>
      <c r="F251" s="290">
        <v>126</v>
      </c>
      <c r="G251" s="290">
        <v>85</v>
      </c>
      <c r="H251" s="290">
        <v>541</v>
      </c>
      <c r="I251" s="290">
        <v>175</v>
      </c>
      <c r="J251" s="290">
        <v>57</v>
      </c>
      <c r="K251" s="290">
        <v>14</v>
      </c>
      <c r="L251" s="290">
        <v>10</v>
      </c>
      <c r="M251" s="290">
        <v>107</v>
      </c>
      <c r="N251" s="290">
        <v>27</v>
      </c>
      <c r="O251" s="290">
        <v>19</v>
      </c>
      <c r="P251" s="624">
        <v>3651.9613333299999</v>
      </c>
      <c r="Q251" s="624">
        <v>4318.7736666700002</v>
      </c>
      <c r="R251" s="624">
        <v>5</v>
      </c>
      <c r="S251" s="290"/>
      <c r="T251" s="290">
        <v>67</v>
      </c>
      <c r="U251" s="958">
        <v>1.3596386643746103E-3</v>
      </c>
      <c r="V251" s="290">
        <v>857.00166996999997</v>
      </c>
      <c r="W251" s="765">
        <v>1</v>
      </c>
      <c r="X251" s="290">
        <v>0</v>
      </c>
      <c r="Y251" s="290"/>
      <c r="Z251" s="290">
        <f>+innut23!E257</f>
        <v>38332.239331622564</v>
      </c>
      <c r="AA251" s="290">
        <v>0</v>
      </c>
      <c r="AB251" s="290">
        <v>13</v>
      </c>
      <c r="AC251" s="290">
        <v>11</v>
      </c>
      <c r="AD251" s="290"/>
      <c r="AE251" s="290">
        <v>0</v>
      </c>
      <c r="AF251" s="290">
        <v>0</v>
      </c>
      <c r="AG251" s="290">
        <v>1052</v>
      </c>
      <c r="AH251" s="290">
        <v>180</v>
      </c>
      <c r="AI251" s="290"/>
      <c r="AJ251" s="290"/>
      <c r="AK251" s="290">
        <v>0</v>
      </c>
      <c r="AL251" s="290">
        <v>0</v>
      </c>
      <c r="AM251" s="957">
        <v>3.806623E-2</v>
      </c>
      <c r="AN251" s="290">
        <v>0</v>
      </c>
      <c r="AO251" s="290">
        <v>662.47293267999999</v>
      </c>
      <c r="AP251" s="290">
        <v>0</v>
      </c>
      <c r="AQ251" s="290">
        <v>0</v>
      </c>
      <c r="AR251" s="290">
        <v>-43.172613239999997</v>
      </c>
      <c r="AS251" s="290">
        <v>1308</v>
      </c>
      <c r="AT251" s="290">
        <v>36</v>
      </c>
      <c r="AU251" s="290">
        <v>16</v>
      </c>
      <c r="AV251" s="766">
        <v>58892</v>
      </c>
      <c r="AW251" s="290">
        <v>0</v>
      </c>
      <c r="AX251" s="766">
        <v>7.4166499999999997</v>
      </c>
      <c r="AY251" s="290">
        <v>253</v>
      </c>
      <c r="AZ251" s="290">
        <v>73</v>
      </c>
      <c r="BA251" s="290">
        <v>16</v>
      </c>
      <c r="BB251" s="290">
        <v>6257</v>
      </c>
      <c r="BC251" s="290">
        <v>682</v>
      </c>
      <c r="BD251" s="290"/>
      <c r="BE251" s="290">
        <v>64131.671118819999</v>
      </c>
      <c r="BF251" s="290">
        <v>0</v>
      </c>
      <c r="BG251" s="290">
        <v>0</v>
      </c>
      <c r="BH251" s="290">
        <v>-179</v>
      </c>
      <c r="BI251" s="290">
        <v>710</v>
      </c>
      <c r="BJ251" s="290">
        <v>170.63125745560356</v>
      </c>
      <c r="BK251" s="290">
        <v>1</v>
      </c>
      <c r="BL251" s="290"/>
      <c r="BM251" s="290">
        <v>0</v>
      </c>
      <c r="BN251" s="290">
        <v>519</v>
      </c>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f>+innut23!E257+innut23!S257</f>
        <v>38332.239331622564</v>
      </c>
      <c r="CL251" s="290"/>
      <c r="CM251" s="290">
        <v>0</v>
      </c>
      <c r="CN251" s="290">
        <v>0</v>
      </c>
      <c r="CO251" s="290"/>
      <c r="CP251" s="290"/>
      <c r="CQ251" s="290"/>
      <c r="CX251" s="517">
        <f t="shared" si="7"/>
        <v>0</v>
      </c>
      <c r="DB251" s="85">
        <f t="shared" si="8"/>
        <v>0.193</v>
      </c>
    </row>
    <row r="252" spans="1:106" ht="13">
      <c r="A252" s="1">
        <v>4621</v>
      </c>
      <c r="B252" s="2" t="s">
        <v>1633</v>
      </c>
      <c r="C252" s="289"/>
      <c r="D252" s="290">
        <v>328</v>
      </c>
      <c r="E252" s="290">
        <v>705</v>
      </c>
      <c r="F252" s="290">
        <v>1915</v>
      </c>
      <c r="G252" s="290">
        <v>1349</v>
      </c>
      <c r="H252" s="290">
        <v>8452</v>
      </c>
      <c r="I252" s="290">
        <v>2151</v>
      </c>
      <c r="J252" s="290">
        <v>777</v>
      </c>
      <c r="K252" s="290">
        <v>256</v>
      </c>
      <c r="L252" s="290">
        <v>106</v>
      </c>
      <c r="M252" s="290">
        <v>1344</v>
      </c>
      <c r="N252" s="290">
        <v>331</v>
      </c>
      <c r="O252" s="290">
        <v>137</v>
      </c>
      <c r="P252" s="624">
        <v>103115.37833332999</v>
      </c>
      <c r="Q252" s="624">
        <v>38373.61</v>
      </c>
      <c r="R252" s="624">
        <v>66</v>
      </c>
      <c r="S252" s="290"/>
      <c r="T252" s="290">
        <v>1297</v>
      </c>
      <c r="U252" s="958">
        <v>8.8972921308472595E-3</v>
      </c>
      <c r="V252" s="290">
        <v>9802.1941458700003</v>
      </c>
      <c r="W252" s="765">
        <v>0.63198957</v>
      </c>
      <c r="X252" s="290">
        <v>6300</v>
      </c>
      <c r="Y252" s="290"/>
      <c r="Z252" s="290">
        <f>+innut23!E258</f>
        <v>515914.11129063973</v>
      </c>
      <c r="AA252" s="290">
        <v>0</v>
      </c>
      <c r="AB252" s="290">
        <v>289</v>
      </c>
      <c r="AC252" s="290">
        <v>3848</v>
      </c>
      <c r="AD252" s="290"/>
      <c r="AE252" s="290">
        <v>0</v>
      </c>
      <c r="AF252" s="290">
        <v>19263</v>
      </c>
      <c r="AG252" s="290">
        <v>15933</v>
      </c>
      <c r="AH252" s="290">
        <v>2970</v>
      </c>
      <c r="AI252" s="290"/>
      <c r="AJ252" s="290"/>
      <c r="AK252" s="290">
        <v>0</v>
      </c>
      <c r="AL252" s="290">
        <v>0</v>
      </c>
      <c r="AM252" s="957">
        <v>0.25950131999999998</v>
      </c>
      <c r="AN252" s="290">
        <v>0</v>
      </c>
      <c r="AO252" s="290">
        <v>7664.5681963799998</v>
      </c>
      <c r="AP252" s="290">
        <v>0</v>
      </c>
      <c r="AQ252" s="290">
        <v>0</v>
      </c>
      <c r="AR252" s="290">
        <v>-653.86810525999999</v>
      </c>
      <c r="AS252" s="290">
        <v>25444</v>
      </c>
      <c r="AT252" s="290">
        <v>556</v>
      </c>
      <c r="AU252" s="290">
        <v>187</v>
      </c>
      <c r="AV252" s="766">
        <v>501138</v>
      </c>
      <c r="AW252" s="290">
        <v>0</v>
      </c>
      <c r="AX252" s="766">
        <v>106.37505</v>
      </c>
      <c r="AY252" s="290">
        <v>3869</v>
      </c>
      <c r="AZ252" s="290">
        <v>629</v>
      </c>
      <c r="BA252" s="290">
        <v>281</v>
      </c>
      <c r="BB252" s="290">
        <v>0</v>
      </c>
      <c r="BC252" s="290">
        <v>29670</v>
      </c>
      <c r="BD252" s="290"/>
      <c r="BE252" s="290">
        <v>573132.70903272997</v>
      </c>
      <c r="BF252" s="290">
        <v>0</v>
      </c>
      <c r="BG252" s="290">
        <v>0</v>
      </c>
      <c r="BH252" s="290">
        <v>-2671</v>
      </c>
      <c r="BI252" s="290">
        <v>31785</v>
      </c>
      <c r="BJ252" s="290">
        <v>2079.9963827005231</v>
      </c>
      <c r="BK252" s="290">
        <v>22</v>
      </c>
      <c r="BL252" s="290"/>
      <c r="BM252" s="290">
        <v>4627</v>
      </c>
      <c r="BN252" s="290">
        <v>5704</v>
      </c>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f>+innut23!E258+innut23!S258</f>
        <v>515914.11129063973</v>
      </c>
      <c r="CL252" s="290"/>
      <c r="CM252" s="290">
        <v>0</v>
      </c>
      <c r="CN252" s="290">
        <v>0</v>
      </c>
      <c r="CO252" s="290"/>
      <c r="CP252" s="290"/>
      <c r="CQ252" s="290"/>
      <c r="CX252" s="517">
        <f t="shared" si="7"/>
        <v>0</v>
      </c>
      <c r="DB252" s="85">
        <f t="shared" si="8"/>
        <v>2.92</v>
      </c>
    </row>
    <row r="253" spans="1:106" ht="13">
      <c r="A253" s="1">
        <v>4622</v>
      </c>
      <c r="B253" s="2" t="s">
        <v>38</v>
      </c>
      <c r="C253" s="289"/>
      <c r="D253" s="290">
        <v>172</v>
      </c>
      <c r="E253" s="290">
        <v>362</v>
      </c>
      <c r="F253" s="290">
        <v>1049</v>
      </c>
      <c r="G253" s="290">
        <v>727</v>
      </c>
      <c r="H253" s="290">
        <v>4384</v>
      </c>
      <c r="I253" s="290">
        <v>1229</v>
      </c>
      <c r="J253" s="290">
        <v>461</v>
      </c>
      <c r="K253" s="290">
        <v>116</v>
      </c>
      <c r="L253" s="290">
        <v>56</v>
      </c>
      <c r="M253" s="290">
        <v>733</v>
      </c>
      <c r="N253" s="290">
        <v>180</v>
      </c>
      <c r="O253" s="290">
        <v>77</v>
      </c>
      <c r="P253" s="624">
        <v>69652.421000000002</v>
      </c>
      <c r="Q253" s="624">
        <v>17460.093000000001</v>
      </c>
      <c r="R253" s="624">
        <v>51</v>
      </c>
      <c r="S253" s="290"/>
      <c r="T253" s="290">
        <v>605</v>
      </c>
      <c r="U253" s="958">
        <v>4.2266656887853266E-3</v>
      </c>
      <c r="V253" s="290">
        <v>1065.4319607100001</v>
      </c>
      <c r="W253" s="765">
        <v>0.67650491999999995</v>
      </c>
      <c r="X253" s="290">
        <v>4000</v>
      </c>
      <c r="Y253" s="290"/>
      <c r="Z253" s="290">
        <f>+innut23!E259</f>
        <v>270150.52702434763</v>
      </c>
      <c r="AA253" s="290">
        <v>0</v>
      </c>
      <c r="AB253" s="290">
        <v>189</v>
      </c>
      <c r="AC253" s="290">
        <v>842</v>
      </c>
      <c r="AD253" s="290"/>
      <c r="AE253" s="290">
        <v>0</v>
      </c>
      <c r="AF253" s="290">
        <v>0</v>
      </c>
      <c r="AG253" s="290">
        <v>8500</v>
      </c>
      <c r="AH253" s="290">
        <v>1592</v>
      </c>
      <c r="AI253" s="290"/>
      <c r="AJ253" s="290"/>
      <c r="AK253" s="290">
        <v>0</v>
      </c>
      <c r="AL253" s="290">
        <v>0</v>
      </c>
      <c r="AM253" s="957">
        <v>9.3891089999999996E-2</v>
      </c>
      <c r="AN253" s="290">
        <v>7068</v>
      </c>
      <c r="AO253" s="290">
        <v>4230.2578593899998</v>
      </c>
      <c r="AP253" s="290">
        <v>0</v>
      </c>
      <c r="AQ253" s="290">
        <v>0</v>
      </c>
      <c r="AR253" s="290">
        <v>-348.82814879</v>
      </c>
      <c r="AS253" s="290">
        <v>13583</v>
      </c>
      <c r="AT253" s="290">
        <v>281</v>
      </c>
      <c r="AU253" s="290">
        <v>74</v>
      </c>
      <c r="AV253" s="766">
        <v>279859</v>
      </c>
      <c r="AW253" s="290">
        <v>0</v>
      </c>
      <c r="AX253" s="766">
        <v>47.958300000000001</v>
      </c>
      <c r="AY253" s="290">
        <v>1894</v>
      </c>
      <c r="AZ253" s="290">
        <v>326</v>
      </c>
      <c r="BA253" s="290">
        <v>135</v>
      </c>
      <c r="BB253" s="290">
        <v>0</v>
      </c>
      <c r="BC253" s="290">
        <v>5133</v>
      </c>
      <c r="BD253" s="290"/>
      <c r="BE253" s="290">
        <v>315239.19035344</v>
      </c>
      <c r="BF253" s="290">
        <v>0</v>
      </c>
      <c r="BG253" s="290">
        <v>0</v>
      </c>
      <c r="BH253" s="290">
        <v>-1428</v>
      </c>
      <c r="BI253" s="290">
        <v>5545</v>
      </c>
      <c r="BJ253" s="290">
        <v>1153.3270030762892</v>
      </c>
      <c r="BK253" s="290">
        <v>11</v>
      </c>
      <c r="BL253" s="290"/>
      <c r="BM253" s="290">
        <v>0</v>
      </c>
      <c r="BN253" s="290">
        <v>3111</v>
      </c>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f>+innut23!E259+innut23!S259</f>
        <v>270150.52702434763</v>
      </c>
      <c r="CL253" s="290"/>
      <c r="CM253" s="290">
        <v>0</v>
      </c>
      <c r="CN253" s="290">
        <v>0</v>
      </c>
      <c r="CO253" s="290"/>
      <c r="CP253" s="290"/>
      <c r="CQ253" s="290"/>
      <c r="CX253" s="517">
        <f t="shared" si="7"/>
        <v>0</v>
      </c>
      <c r="DB253" s="85">
        <f t="shared" si="8"/>
        <v>1.5580000000000001</v>
      </c>
    </row>
    <row r="254" spans="1:106" ht="13">
      <c r="A254" s="1">
        <v>4623</v>
      </c>
      <c r="B254" s="2" t="s">
        <v>40</v>
      </c>
      <c r="C254" s="289"/>
      <c r="D254" s="290">
        <v>48</v>
      </c>
      <c r="E254" s="290">
        <v>98</v>
      </c>
      <c r="F254" s="290">
        <v>305</v>
      </c>
      <c r="G254" s="290">
        <v>192</v>
      </c>
      <c r="H254" s="290">
        <v>1341</v>
      </c>
      <c r="I254" s="290">
        <v>389</v>
      </c>
      <c r="J254" s="290">
        <v>98</v>
      </c>
      <c r="K254" s="290">
        <v>35</v>
      </c>
      <c r="L254" s="290">
        <v>15</v>
      </c>
      <c r="M254" s="290">
        <v>184</v>
      </c>
      <c r="N254" s="290">
        <v>25</v>
      </c>
      <c r="O254" s="290">
        <v>7</v>
      </c>
      <c r="P254" s="624">
        <v>9975.3909999999996</v>
      </c>
      <c r="Q254" s="624">
        <v>7625.1469999999999</v>
      </c>
      <c r="R254" s="624">
        <v>13</v>
      </c>
      <c r="S254" s="290"/>
      <c r="T254" s="290">
        <v>192</v>
      </c>
      <c r="U254" s="958">
        <v>9.7726844398394216E-4</v>
      </c>
      <c r="V254" s="290">
        <v>1490.76916099</v>
      </c>
      <c r="W254" s="765">
        <v>0.77824040000000005</v>
      </c>
      <c r="X254" s="290">
        <v>1600</v>
      </c>
      <c r="Y254" s="290"/>
      <c r="Z254" s="290">
        <f>+innut23!E260</f>
        <v>77611.029265090649</v>
      </c>
      <c r="AA254" s="290">
        <v>0</v>
      </c>
      <c r="AB254" s="290">
        <v>67</v>
      </c>
      <c r="AC254" s="290">
        <v>1367</v>
      </c>
      <c r="AD254" s="290"/>
      <c r="AE254" s="290">
        <v>0</v>
      </c>
      <c r="AF254" s="290">
        <v>0</v>
      </c>
      <c r="AG254" s="290">
        <v>2506</v>
      </c>
      <c r="AH254" s="290">
        <v>446</v>
      </c>
      <c r="AI254" s="290"/>
      <c r="AJ254" s="290"/>
      <c r="AK254" s="290">
        <v>0</v>
      </c>
      <c r="AL254" s="290">
        <v>0</v>
      </c>
      <c r="AM254" s="957">
        <v>1.7525180000000001E-2</v>
      </c>
      <c r="AN254" s="290">
        <v>0</v>
      </c>
      <c r="AO254" s="290">
        <v>1239.7334762</v>
      </c>
      <c r="AP254" s="290">
        <v>0</v>
      </c>
      <c r="AQ254" s="290">
        <v>0</v>
      </c>
      <c r="AR254" s="290">
        <v>-102.84274598</v>
      </c>
      <c r="AS254" s="290">
        <v>3982</v>
      </c>
      <c r="AT254" s="290">
        <v>87</v>
      </c>
      <c r="AU254" s="290">
        <v>20</v>
      </c>
      <c r="AV254" s="766">
        <v>86030</v>
      </c>
      <c r="AW254" s="290">
        <v>0</v>
      </c>
      <c r="AX254" s="766">
        <v>20.249949999999998</v>
      </c>
      <c r="AY254" s="290">
        <v>491</v>
      </c>
      <c r="AZ254" s="290">
        <v>63</v>
      </c>
      <c r="BA254" s="290">
        <v>27</v>
      </c>
      <c r="BB254" s="290">
        <v>3129</v>
      </c>
      <c r="BC254" s="290">
        <v>2400</v>
      </c>
      <c r="BD254" s="290"/>
      <c r="BE254" s="290">
        <v>95753.523443259997</v>
      </c>
      <c r="BF254" s="290">
        <v>0</v>
      </c>
      <c r="BG254" s="290">
        <v>0</v>
      </c>
      <c r="BH254" s="290">
        <v>-422</v>
      </c>
      <c r="BI254" s="290">
        <v>2850</v>
      </c>
      <c r="BJ254" s="290">
        <v>344.4425918541387</v>
      </c>
      <c r="BK254" s="290">
        <v>3</v>
      </c>
      <c r="BL254" s="290"/>
      <c r="BM254" s="290">
        <v>0</v>
      </c>
      <c r="BN254" s="290">
        <v>1037</v>
      </c>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f>+innut23!E260+innut23!S260</f>
        <v>77611.029265090649</v>
      </c>
      <c r="CL254" s="290"/>
      <c r="CM254" s="290">
        <v>0</v>
      </c>
      <c r="CN254" s="290">
        <v>0</v>
      </c>
      <c r="CO254" s="290"/>
      <c r="CP254" s="290"/>
      <c r="CQ254" s="290"/>
      <c r="CX254" s="517">
        <f t="shared" si="7"/>
        <v>0</v>
      </c>
      <c r="DB254" s="85">
        <f t="shared" si="8"/>
        <v>0.45900000000000002</v>
      </c>
    </row>
    <row r="255" spans="1:106" ht="13">
      <c r="A255" s="1">
        <v>4624</v>
      </c>
      <c r="B255" s="2" t="s">
        <v>1634</v>
      </c>
      <c r="C255" s="289"/>
      <c r="D255" s="290">
        <v>545</v>
      </c>
      <c r="E255" s="290">
        <v>1173</v>
      </c>
      <c r="F255" s="290">
        <v>3571</v>
      </c>
      <c r="G255" s="290">
        <v>2245</v>
      </c>
      <c r="H255" s="290">
        <v>13879</v>
      </c>
      <c r="I255" s="290">
        <v>2965</v>
      </c>
      <c r="J255" s="290">
        <v>865</v>
      </c>
      <c r="K255" s="290">
        <v>174</v>
      </c>
      <c r="L255" s="290">
        <v>161</v>
      </c>
      <c r="M255" s="290">
        <v>1443</v>
      </c>
      <c r="N255" s="290">
        <v>288</v>
      </c>
      <c r="O255" s="290">
        <v>217</v>
      </c>
      <c r="P255" s="624">
        <v>180717.11799999999</v>
      </c>
      <c r="Q255" s="624">
        <v>67414.034666670006</v>
      </c>
      <c r="R255" s="624">
        <v>102</v>
      </c>
      <c r="S255" s="290"/>
      <c r="T255" s="290">
        <v>1861</v>
      </c>
      <c r="U255" s="958">
        <v>3.891825821126408E-3</v>
      </c>
      <c r="V255" s="290">
        <v>-1369.8705534200001</v>
      </c>
      <c r="W255" s="765">
        <v>0.62101638000000003</v>
      </c>
      <c r="X255" s="290">
        <v>5500</v>
      </c>
      <c r="Y255" s="290"/>
      <c r="Z255" s="290">
        <f>+innut23!E261</f>
        <v>831212.16272590123</v>
      </c>
      <c r="AA255" s="290">
        <v>0</v>
      </c>
      <c r="AB255" s="290">
        <v>506</v>
      </c>
      <c r="AC255" s="290">
        <v>5040</v>
      </c>
      <c r="AD255" s="290"/>
      <c r="AE255" s="290">
        <v>0</v>
      </c>
      <c r="AF255" s="290">
        <v>16061</v>
      </c>
      <c r="AG255" s="290">
        <v>25417</v>
      </c>
      <c r="AH255" s="290">
        <v>5310</v>
      </c>
      <c r="AI255" s="290"/>
      <c r="AJ255" s="290"/>
      <c r="AK255" s="290">
        <v>0</v>
      </c>
      <c r="AL255" s="290">
        <v>0</v>
      </c>
      <c r="AM255" s="957">
        <v>0.61257501000000003</v>
      </c>
      <c r="AN255" s="290">
        <v>0</v>
      </c>
      <c r="AO255" s="290">
        <v>11696.00984386</v>
      </c>
      <c r="AP255" s="290">
        <v>0</v>
      </c>
      <c r="AQ255" s="290">
        <v>0</v>
      </c>
      <c r="AR255" s="290">
        <v>-1043.0782420999999</v>
      </c>
      <c r="AS255" s="290">
        <v>40494</v>
      </c>
      <c r="AT255" s="290">
        <v>1203</v>
      </c>
      <c r="AU255" s="290">
        <v>332</v>
      </c>
      <c r="AV255" s="766">
        <v>694099</v>
      </c>
      <c r="AW255" s="290">
        <v>0</v>
      </c>
      <c r="AX255" s="766">
        <v>245.33335</v>
      </c>
      <c r="AY255" s="290">
        <v>5991</v>
      </c>
      <c r="AZ255" s="290">
        <v>975</v>
      </c>
      <c r="BA255" s="290">
        <v>534</v>
      </c>
      <c r="BB255" s="290">
        <v>0</v>
      </c>
      <c r="BC255" s="290">
        <v>32698</v>
      </c>
      <c r="BD255" s="290"/>
      <c r="BE255" s="290">
        <v>800739.18727102003</v>
      </c>
      <c r="BF255" s="290">
        <v>0</v>
      </c>
      <c r="BG255" s="290">
        <v>0</v>
      </c>
      <c r="BH255" s="290">
        <v>-4239</v>
      </c>
      <c r="BI255" s="290">
        <v>35226</v>
      </c>
      <c r="BJ255" s="290">
        <v>3834.656460687077</v>
      </c>
      <c r="BK255" s="290">
        <v>34</v>
      </c>
      <c r="BL255" s="290"/>
      <c r="BM255" s="290">
        <v>5309</v>
      </c>
      <c r="BN255" s="290">
        <v>8815</v>
      </c>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f>+innut23!E261+innut23!S261</f>
        <v>831212.16272590123</v>
      </c>
      <c r="CL255" s="290"/>
      <c r="CM255" s="290">
        <v>0</v>
      </c>
      <c r="CN255" s="290">
        <v>0</v>
      </c>
      <c r="CO255" s="290"/>
      <c r="CP255" s="290"/>
      <c r="CQ255" s="290"/>
      <c r="CX255" s="517">
        <f t="shared" si="7"/>
        <v>0</v>
      </c>
      <c r="DB255" s="85">
        <f t="shared" si="8"/>
        <v>4.6589999999999998</v>
      </c>
    </row>
    <row r="256" spans="1:106" ht="13">
      <c r="A256" s="1">
        <v>4625</v>
      </c>
      <c r="B256" s="2" t="s">
        <v>41</v>
      </c>
      <c r="C256" s="289"/>
      <c r="D256" s="290">
        <v>105</v>
      </c>
      <c r="E256" s="290">
        <v>284</v>
      </c>
      <c r="F256" s="290">
        <v>789</v>
      </c>
      <c r="G256" s="290">
        <v>454</v>
      </c>
      <c r="H256" s="290">
        <v>2779</v>
      </c>
      <c r="I256" s="290">
        <v>670</v>
      </c>
      <c r="J256" s="290">
        <v>171</v>
      </c>
      <c r="K256" s="290">
        <v>50</v>
      </c>
      <c r="L256" s="290">
        <v>41</v>
      </c>
      <c r="M256" s="290">
        <v>340</v>
      </c>
      <c r="N256" s="290">
        <v>31</v>
      </c>
      <c r="O256" s="290">
        <v>50</v>
      </c>
      <c r="P256" s="624">
        <v>42624.464666669999</v>
      </c>
      <c r="Q256" s="624">
        <v>27917.084666670002</v>
      </c>
      <c r="R256" s="624">
        <v>24</v>
      </c>
      <c r="S256" s="290"/>
      <c r="T256" s="290">
        <v>339</v>
      </c>
      <c r="U256" s="958">
        <v>1.5494053484181283E-3</v>
      </c>
      <c r="V256" s="290">
        <v>-2269.8618085399999</v>
      </c>
      <c r="W256" s="765">
        <v>0.84240632000000004</v>
      </c>
      <c r="X256" s="290">
        <v>500</v>
      </c>
      <c r="Y256" s="290"/>
      <c r="Z256" s="290">
        <f>+innut23!E262</f>
        <v>300612.84401917597</v>
      </c>
      <c r="AA256" s="290">
        <v>0</v>
      </c>
      <c r="AB256" s="290">
        <v>89</v>
      </c>
      <c r="AC256" s="290">
        <v>290</v>
      </c>
      <c r="AD256" s="290"/>
      <c r="AE256" s="290">
        <v>0</v>
      </c>
      <c r="AF256" s="290">
        <v>0</v>
      </c>
      <c r="AG256" s="290">
        <v>5302</v>
      </c>
      <c r="AH256" s="290">
        <v>1140</v>
      </c>
      <c r="AI256" s="290"/>
      <c r="AJ256" s="290"/>
      <c r="AK256" s="290">
        <v>0</v>
      </c>
      <c r="AL256" s="290">
        <v>0</v>
      </c>
      <c r="AM256" s="957">
        <v>5.620849E-2</v>
      </c>
      <c r="AN256" s="290">
        <v>0</v>
      </c>
      <c r="AO256" s="290">
        <v>2700.2391979399999</v>
      </c>
      <c r="AP256" s="290">
        <v>0</v>
      </c>
      <c r="AQ256" s="290">
        <v>0</v>
      </c>
      <c r="AR256" s="290">
        <v>-217.58668763</v>
      </c>
      <c r="AS256" s="290">
        <v>13678</v>
      </c>
      <c r="AT256" s="290">
        <v>203</v>
      </c>
      <c r="AU256" s="290">
        <v>46</v>
      </c>
      <c r="AV256" s="766">
        <v>167760</v>
      </c>
      <c r="AW256" s="290">
        <v>0</v>
      </c>
      <c r="AX256" s="766">
        <v>36.583300000000001</v>
      </c>
      <c r="AY256" s="290">
        <v>976</v>
      </c>
      <c r="AZ256" s="290">
        <v>168</v>
      </c>
      <c r="BA256" s="290">
        <v>88</v>
      </c>
      <c r="BB256" s="290">
        <v>0</v>
      </c>
      <c r="BC256" s="290">
        <v>2807</v>
      </c>
      <c r="BD256" s="290"/>
      <c r="BE256" s="290">
        <v>195455.66765797001</v>
      </c>
      <c r="BF256" s="290">
        <v>0</v>
      </c>
      <c r="BG256" s="290">
        <v>0</v>
      </c>
      <c r="BH256" s="290">
        <v>-886</v>
      </c>
      <c r="BI256" s="290">
        <v>2986</v>
      </c>
      <c r="BJ256" s="290">
        <v>887.54937141873597</v>
      </c>
      <c r="BK256" s="290">
        <v>6</v>
      </c>
      <c r="BL256" s="290"/>
      <c r="BM256" s="290">
        <v>0</v>
      </c>
      <c r="BN256" s="290">
        <v>1556</v>
      </c>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f>+innut23!E262+innut23!S262</f>
        <v>300612.84401917597</v>
      </c>
      <c r="CL256" s="290"/>
      <c r="CM256" s="290">
        <v>0</v>
      </c>
      <c r="CN256" s="290">
        <v>0</v>
      </c>
      <c r="CO256" s="290"/>
      <c r="CP256" s="290"/>
      <c r="CQ256" s="290"/>
      <c r="CX256" s="517">
        <f t="shared" si="7"/>
        <v>0</v>
      </c>
      <c r="DB256" s="85">
        <f t="shared" si="8"/>
        <v>0.97199999999999998</v>
      </c>
    </row>
    <row r="257" spans="1:106" ht="13">
      <c r="A257" s="1">
        <v>4626</v>
      </c>
      <c r="B257" s="2" t="s">
        <v>1635</v>
      </c>
      <c r="C257" s="289"/>
      <c r="D257" s="290">
        <v>916</v>
      </c>
      <c r="E257" s="290">
        <v>1930</v>
      </c>
      <c r="F257" s="290">
        <v>5450</v>
      </c>
      <c r="G257" s="290">
        <v>3522</v>
      </c>
      <c r="H257" s="290">
        <v>21930</v>
      </c>
      <c r="I257" s="290">
        <v>4247</v>
      </c>
      <c r="J257" s="290">
        <v>1047</v>
      </c>
      <c r="K257" s="290">
        <v>234</v>
      </c>
      <c r="L257" s="290">
        <v>278</v>
      </c>
      <c r="M257" s="290">
        <v>1976</v>
      </c>
      <c r="N257" s="290">
        <v>715</v>
      </c>
      <c r="O257" s="290">
        <v>314</v>
      </c>
      <c r="P257" s="624">
        <v>170780.399</v>
      </c>
      <c r="Q257" s="624">
        <v>114633.41033333</v>
      </c>
      <c r="R257" s="624">
        <v>130</v>
      </c>
      <c r="S257" s="290"/>
      <c r="T257" s="290">
        <v>2723</v>
      </c>
      <c r="U257" s="958">
        <v>2.8791970306737687E-3</v>
      </c>
      <c r="V257" s="290">
        <v>-20278.921705690002</v>
      </c>
      <c r="W257" s="765">
        <v>0.60490681000000002</v>
      </c>
      <c r="X257" s="290">
        <v>3500</v>
      </c>
      <c r="Y257" s="290"/>
      <c r="Z257" s="290">
        <f>+innut23!E263</f>
        <v>1280447.8375771819</v>
      </c>
      <c r="AA257" s="290">
        <v>0</v>
      </c>
      <c r="AB257" s="290">
        <v>961</v>
      </c>
      <c r="AC257" s="290">
        <v>8785</v>
      </c>
      <c r="AD257" s="290"/>
      <c r="AE257" s="290">
        <v>0</v>
      </c>
      <c r="AF257" s="290">
        <v>32122</v>
      </c>
      <c r="AG257" s="290">
        <v>39276</v>
      </c>
      <c r="AH257" s="290">
        <v>8284</v>
      </c>
      <c r="AI257" s="290"/>
      <c r="AJ257" s="290"/>
      <c r="AK257" s="290">
        <v>5993</v>
      </c>
      <c r="AL257" s="290">
        <v>0</v>
      </c>
      <c r="AM257" s="957">
        <v>1.38147109</v>
      </c>
      <c r="AN257" s="290">
        <v>0</v>
      </c>
      <c r="AO257" s="290">
        <v>17519.072843319998</v>
      </c>
      <c r="AP257" s="290">
        <v>0</v>
      </c>
      <c r="AQ257" s="290">
        <v>0</v>
      </c>
      <c r="AR257" s="290">
        <v>-1611.8322790499999</v>
      </c>
      <c r="AS257" s="290">
        <v>62373</v>
      </c>
      <c r="AT257" s="290">
        <v>1919</v>
      </c>
      <c r="AU257" s="290">
        <v>626</v>
      </c>
      <c r="AV257" s="766">
        <v>980888</v>
      </c>
      <c r="AW257" s="290">
        <v>0</v>
      </c>
      <c r="AX257" s="766">
        <v>371.5</v>
      </c>
      <c r="AY257" s="290">
        <v>7737</v>
      </c>
      <c r="AZ257" s="290">
        <v>1752</v>
      </c>
      <c r="BA257" s="290">
        <v>772</v>
      </c>
      <c r="BB257" s="290">
        <v>0</v>
      </c>
      <c r="BC257" s="290">
        <v>60783</v>
      </c>
      <c r="BD257" s="290"/>
      <c r="BE257" s="290">
        <v>1146208.0571023</v>
      </c>
      <c r="BF257" s="290">
        <v>0</v>
      </c>
      <c r="BG257" s="290">
        <v>0</v>
      </c>
      <c r="BH257" s="290">
        <v>-6555</v>
      </c>
      <c r="BI257" s="290">
        <v>66073</v>
      </c>
      <c r="BJ257" s="290">
        <v>5789.9209349701714</v>
      </c>
      <c r="BK257" s="290">
        <v>59</v>
      </c>
      <c r="BL257" s="290"/>
      <c r="BM257" s="290">
        <v>6317</v>
      </c>
      <c r="BN257" s="290">
        <v>10889</v>
      </c>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f>+innut23!E263+innut23!S263</f>
        <v>1280447.8375771819</v>
      </c>
      <c r="CL257" s="290"/>
      <c r="CM257" s="290">
        <v>6873.8807573622562</v>
      </c>
      <c r="CN257" s="290">
        <v>7746.3165770449223</v>
      </c>
      <c r="CO257" s="290"/>
      <c r="CP257" s="290"/>
      <c r="CQ257" s="290"/>
      <c r="CX257" s="517">
        <f t="shared" si="7"/>
        <v>0</v>
      </c>
      <c r="DB257" s="85">
        <f t="shared" si="8"/>
        <v>7.1989999999999998</v>
      </c>
    </row>
    <row r="258" spans="1:106" ht="13">
      <c r="A258" s="1">
        <v>4627</v>
      </c>
      <c r="B258" s="4" t="s">
        <v>44</v>
      </c>
      <c r="C258" s="289"/>
      <c r="D258" s="290">
        <v>673</v>
      </c>
      <c r="E258" s="290">
        <v>1468</v>
      </c>
      <c r="F258" s="290">
        <v>4547</v>
      </c>
      <c r="G258" s="290">
        <v>2700</v>
      </c>
      <c r="H258" s="290">
        <v>16430</v>
      </c>
      <c r="I258" s="290">
        <v>3125</v>
      </c>
      <c r="J258" s="290">
        <v>809</v>
      </c>
      <c r="K258" s="290">
        <v>175</v>
      </c>
      <c r="L258" s="290">
        <v>208</v>
      </c>
      <c r="M258" s="290">
        <v>1543</v>
      </c>
      <c r="N258" s="290">
        <v>410</v>
      </c>
      <c r="O258" s="290">
        <v>243</v>
      </c>
      <c r="P258" s="624">
        <v>61712.284333329997</v>
      </c>
      <c r="Q258" s="624">
        <v>54755.13733333</v>
      </c>
      <c r="R258" s="624">
        <v>106</v>
      </c>
      <c r="S258" s="290"/>
      <c r="T258" s="290">
        <v>1735</v>
      </c>
      <c r="U258" s="958">
        <v>1.0523048013490611E-3</v>
      </c>
      <c r="V258" s="290">
        <v>10573.24740744</v>
      </c>
      <c r="W258" s="765">
        <v>0.57568388000000004</v>
      </c>
      <c r="X258" s="290">
        <v>1900</v>
      </c>
      <c r="Y258" s="290"/>
      <c r="Z258" s="290">
        <f>+innut23!E264</f>
        <v>904548.80433479068</v>
      </c>
      <c r="AA258" s="290">
        <v>0</v>
      </c>
      <c r="AB258" s="290">
        <v>691</v>
      </c>
      <c r="AC258" s="290">
        <v>8157</v>
      </c>
      <c r="AD258" s="290"/>
      <c r="AE258" s="290">
        <v>0</v>
      </c>
      <c r="AF258" s="290">
        <v>0</v>
      </c>
      <c r="AG258" s="290">
        <v>29927</v>
      </c>
      <c r="AH258" s="290">
        <v>6653</v>
      </c>
      <c r="AI258" s="290"/>
      <c r="AJ258" s="290"/>
      <c r="AK258" s="290">
        <v>0</v>
      </c>
      <c r="AL258" s="290">
        <v>0</v>
      </c>
      <c r="AM258" s="957">
        <v>0.60324096000000005</v>
      </c>
      <c r="AN258" s="290">
        <v>0</v>
      </c>
      <c r="AO258" s="290">
        <v>13501.62613255</v>
      </c>
      <c r="AP258" s="290">
        <v>0</v>
      </c>
      <c r="AQ258" s="290">
        <v>0</v>
      </c>
      <c r="AR258" s="290">
        <v>-1228.16235398</v>
      </c>
      <c r="AS258" s="290">
        <v>47587</v>
      </c>
      <c r="AT258" s="290">
        <v>1335</v>
      </c>
      <c r="AU258" s="290">
        <v>387</v>
      </c>
      <c r="AV258" s="766">
        <v>775426</v>
      </c>
      <c r="AW258" s="290">
        <v>0</v>
      </c>
      <c r="AX258" s="766">
        <v>257.91665</v>
      </c>
      <c r="AY258" s="290">
        <v>6877</v>
      </c>
      <c r="AZ258" s="290">
        <v>1038</v>
      </c>
      <c r="BA258" s="290">
        <v>668</v>
      </c>
      <c r="BB258" s="290">
        <v>0</v>
      </c>
      <c r="BC258" s="290">
        <v>20683</v>
      </c>
      <c r="BD258" s="290"/>
      <c r="BE258" s="290">
        <v>888506.63507810002</v>
      </c>
      <c r="BF258" s="290">
        <v>0</v>
      </c>
      <c r="BG258" s="290">
        <v>0</v>
      </c>
      <c r="BH258" s="290">
        <v>-5001</v>
      </c>
      <c r="BI258" s="290">
        <v>23625</v>
      </c>
      <c r="BJ258" s="290">
        <v>4727.9638955516339</v>
      </c>
      <c r="BK258" s="290">
        <v>38</v>
      </c>
      <c r="BL258" s="290"/>
      <c r="BM258" s="290">
        <v>0</v>
      </c>
      <c r="BN258" s="290">
        <v>8815</v>
      </c>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f>+innut23!E264+innut23!S264</f>
        <v>904548.80433479068</v>
      </c>
      <c r="CL258" s="290"/>
      <c r="CM258" s="290">
        <v>0</v>
      </c>
      <c r="CN258" s="290">
        <v>0</v>
      </c>
      <c r="CO258" s="290"/>
      <c r="CP258" s="290"/>
      <c r="CQ258" s="290"/>
      <c r="CX258" s="517">
        <f t="shared" si="7"/>
        <v>0</v>
      </c>
      <c r="DB258" s="85">
        <f t="shared" si="8"/>
        <v>5.4850000000000003</v>
      </c>
    </row>
    <row r="259" spans="1:106" ht="13">
      <c r="A259" s="1">
        <v>4628</v>
      </c>
      <c r="B259" s="2" t="s">
        <v>45</v>
      </c>
      <c r="C259" s="289"/>
      <c r="D259" s="290">
        <v>62</v>
      </c>
      <c r="E259" s="290">
        <v>151</v>
      </c>
      <c r="F259" s="290">
        <v>463</v>
      </c>
      <c r="G259" s="290">
        <v>311</v>
      </c>
      <c r="H259" s="290">
        <v>2072</v>
      </c>
      <c r="I259" s="290">
        <v>544</v>
      </c>
      <c r="J259" s="290">
        <v>199</v>
      </c>
      <c r="K259" s="290">
        <v>71</v>
      </c>
      <c r="L259" s="290">
        <v>33</v>
      </c>
      <c r="M259" s="290">
        <v>394</v>
      </c>
      <c r="N259" s="290">
        <v>74</v>
      </c>
      <c r="O259" s="290">
        <v>38</v>
      </c>
      <c r="P259" s="624">
        <v>54211.959000000003</v>
      </c>
      <c r="Q259" s="624">
        <v>9731.6219999999994</v>
      </c>
      <c r="R259" s="624">
        <v>16</v>
      </c>
      <c r="S259" s="290"/>
      <c r="T259" s="290">
        <v>325</v>
      </c>
      <c r="U259" s="958">
        <v>1.217704173016703E-3</v>
      </c>
      <c r="V259" s="290">
        <v>2057.55545084</v>
      </c>
      <c r="W259" s="765">
        <v>0.83532432999999995</v>
      </c>
      <c r="X259" s="290">
        <v>500</v>
      </c>
      <c r="Y259" s="290"/>
      <c r="Z259" s="290">
        <f>+innut23!E265</f>
        <v>117989.52118165948</v>
      </c>
      <c r="AA259" s="290">
        <v>0</v>
      </c>
      <c r="AB259" s="290">
        <v>120</v>
      </c>
      <c r="AC259" s="290">
        <v>890</v>
      </c>
      <c r="AD259" s="290"/>
      <c r="AE259" s="290">
        <v>0</v>
      </c>
      <c r="AF259" s="290">
        <v>0</v>
      </c>
      <c r="AG259" s="290">
        <v>3873</v>
      </c>
      <c r="AH259" s="290">
        <v>679</v>
      </c>
      <c r="AI259" s="290"/>
      <c r="AJ259" s="290"/>
      <c r="AK259" s="290">
        <v>0</v>
      </c>
      <c r="AL259" s="290">
        <v>0</v>
      </c>
      <c r="AM259" s="957">
        <v>6.7600709999999994E-2</v>
      </c>
      <c r="AN259" s="290">
        <v>4883</v>
      </c>
      <c r="AO259" s="290">
        <v>2027.2679290000001</v>
      </c>
      <c r="AP259" s="290">
        <v>0</v>
      </c>
      <c r="AQ259" s="290">
        <v>0</v>
      </c>
      <c r="AR259" s="290">
        <v>4993.7277808899998</v>
      </c>
      <c r="AS259" s="290">
        <v>6182</v>
      </c>
      <c r="AT259" s="290">
        <v>144</v>
      </c>
      <c r="AU259" s="290">
        <v>36</v>
      </c>
      <c r="AV259" s="766">
        <v>151388</v>
      </c>
      <c r="AW259" s="290">
        <v>0</v>
      </c>
      <c r="AX259" s="766">
        <v>16.291650000000001</v>
      </c>
      <c r="AY259" s="290">
        <v>705</v>
      </c>
      <c r="AZ259" s="290">
        <v>195</v>
      </c>
      <c r="BA259" s="290">
        <v>82</v>
      </c>
      <c r="BB259" s="290">
        <v>0</v>
      </c>
      <c r="BC259" s="290">
        <v>3306</v>
      </c>
      <c r="BD259" s="290"/>
      <c r="BE259" s="290">
        <v>160655.99729412</v>
      </c>
      <c r="BF259" s="290">
        <v>0</v>
      </c>
      <c r="BG259" s="290">
        <v>0</v>
      </c>
      <c r="BH259" s="290">
        <v>-658</v>
      </c>
      <c r="BI259" s="290">
        <v>3643</v>
      </c>
      <c r="BJ259" s="290">
        <v>543.0125507030051</v>
      </c>
      <c r="BK259" s="290">
        <v>6</v>
      </c>
      <c r="BL259" s="290"/>
      <c r="BM259" s="290">
        <v>0</v>
      </c>
      <c r="BN259" s="290">
        <v>2074</v>
      </c>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f>+innut23!E265+innut23!S265</f>
        <v>117989.52118165948</v>
      </c>
      <c r="CL259" s="290"/>
      <c r="CM259" s="290">
        <v>0</v>
      </c>
      <c r="CN259" s="290">
        <v>0</v>
      </c>
      <c r="CO259" s="290"/>
      <c r="CP259" s="290"/>
      <c r="CQ259" s="290"/>
      <c r="CX259" s="517">
        <f t="shared" si="7"/>
        <v>0</v>
      </c>
      <c r="DB259" s="85">
        <f t="shared" si="8"/>
        <v>0.71</v>
      </c>
    </row>
    <row r="260" spans="1:106" ht="13">
      <c r="A260" s="1">
        <v>4629</v>
      </c>
      <c r="B260" s="2" t="s">
        <v>46</v>
      </c>
      <c r="C260" s="289"/>
      <c r="D260" s="290">
        <v>7</v>
      </c>
      <c r="E260" s="290">
        <v>17</v>
      </c>
      <c r="F260" s="290">
        <v>53</v>
      </c>
      <c r="G260" s="290">
        <v>33</v>
      </c>
      <c r="H260" s="290">
        <v>191</v>
      </c>
      <c r="I260" s="290">
        <v>48</v>
      </c>
      <c r="J260" s="290">
        <v>22</v>
      </c>
      <c r="K260" s="290">
        <v>4</v>
      </c>
      <c r="L260" s="290">
        <v>3</v>
      </c>
      <c r="M260" s="290">
        <v>37</v>
      </c>
      <c r="N260" s="290">
        <v>8</v>
      </c>
      <c r="O260" s="290">
        <v>6</v>
      </c>
      <c r="P260" s="624">
        <v>2136.5636666700002</v>
      </c>
      <c r="Q260" s="624">
        <v>6157.0870000000004</v>
      </c>
      <c r="R260" s="624">
        <v>1</v>
      </c>
      <c r="S260" s="290"/>
      <c r="T260" s="290">
        <v>30</v>
      </c>
      <c r="U260" s="958">
        <v>3.0294826793781374E-4</v>
      </c>
      <c r="V260" s="290">
        <v>442.12098277000001</v>
      </c>
      <c r="W260" s="765">
        <v>1</v>
      </c>
      <c r="X260" s="290">
        <v>0</v>
      </c>
      <c r="Y260" s="290"/>
      <c r="Z260" s="290">
        <f>+innut23!E266</f>
        <v>29300.449755860089</v>
      </c>
      <c r="AA260" s="290">
        <v>-663</v>
      </c>
      <c r="AB260" s="290">
        <v>8</v>
      </c>
      <c r="AC260" s="290">
        <v>0</v>
      </c>
      <c r="AD260" s="290"/>
      <c r="AE260" s="290">
        <v>0</v>
      </c>
      <c r="AF260" s="290">
        <v>0</v>
      </c>
      <c r="AG260" s="290">
        <v>375</v>
      </c>
      <c r="AH260" s="290">
        <v>100</v>
      </c>
      <c r="AI260" s="290"/>
      <c r="AJ260" s="290"/>
      <c r="AK260" s="290">
        <v>0</v>
      </c>
      <c r="AL260" s="290">
        <v>0</v>
      </c>
      <c r="AM260" s="957">
        <v>3.8632699999999998E-3</v>
      </c>
      <c r="AN260" s="290">
        <v>0</v>
      </c>
      <c r="AO260" s="290">
        <v>341.76500971000002</v>
      </c>
      <c r="AP260" s="290">
        <v>0</v>
      </c>
      <c r="AQ260" s="290">
        <v>0</v>
      </c>
      <c r="AR260" s="290">
        <v>-15.389477149999999</v>
      </c>
      <c r="AS260" s="290">
        <v>1417</v>
      </c>
      <c r="AT260" s="290">
        <v>16</v>
      </c>
      <c r="AU260" s="290">
        <v>1.5</v>
      </c>
      <c r="AV260" s="766">
        <v>31382</v>
      </c>
      <c r="AW260" s="290">
        <v>0</v>
      </c>
      <c r="AX260" s="766">
        <v>2.75</v>
      </c>
      <c r="AY260" s="290">
        <v>72</v>
      </c>
      <c r="AZ260" s="290">
        <v>23</v>
      </c>
      <c r="BA260" s="290">
        <v>8</v>
      </c>
      <c r="BB260" s="290">
        <v>0</v>
      </c>
      <c r="BC260" s="290">
        <v>-167</v>
      </c>
      <c r="BD260" s="290"/>
      <c r="BE260" s="290">
        <v>35280.426124750004</v>
      </c>
      <c r="BF260" s="290">
        <v>0</v>
      </c>
      <c r="BG260" s="290">
        <v>0</v>
      </c>
      <c r="BH260" s="290">
        <v>-65</v>
      </c>
      <c r="BI260" s="290">
        <v>-44</v>
      </c>
      <c r="BJ260" s="290">
        <v>94.53802346162179</v>
      </c>
      <c r="BK260" s="290">
        <v>1</v>
      </c>
      <c r="BL260" s="290"/>
      <c r="BM260" s="290">
        <v>0</v>
      </c>
      <c r="BN260" s="290">
        <v>519</v>
      </c>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f>+innut23!E266+innut23!S266</f>
        <v>29300.449755860089</v>
      </c>
      <c r="CL260" s="290"/>
      <c r="CM260" s="290">
        <v>0</v>
      </c>
      <c r="CN260" s="290">
        <v>0</v>
      </c>
      <c r="CO260" s="290"/>
      <c r="CP260" s="290"/>
      <c r="CQ260" s="290"/>
      <c r="CX260" s="517">
        <f t="shared" si="7"/>
        <v>0</v>
      </c>
      <c r="DB260" s="85">
        <f t="shared" si="8"/>
        <v>6.9000000000000006E-2</v>
      </c>
    </row>
    <row r="261" spans="1:106" ht="13">
      <c r="A261" s="1">
        <v>4630</v>
      </c>
      <c r="B261" s="2" t="s">
        <v>47</v>
      </c>
      <c r="C261" s="289"/>
      <c r="D261" s="290">
        <v>186</v>
      </c>
      <c r="E261" s="290">
        <v>363</v>
      </c>
      <c r="F261" s="290">
        <v>1050</v>
      </c>
      <c r="G261" s="290">
        <v>693</v>
      </c>
      <c r="H261" s="290">
        <v>4422</v>
      </c>
      <c r="I261" s="290">
        <v>1022</v>
      </c>
      <c r="J261" s="290">
        <v>328</v>
      </c>
      <c r="K261" s="290">
        <v>99</v>
      </c>
      <c r="L261" s="290">
        <v>50</v>
      </c>
      <c r="M261" s="290">
        <v>529</v>
      </c>
      <c r="N261" s="290">
        <v>48</v>
      </c>
      <c r="O261" s="290">
        <v>81</v>
      </c>
      <c r="P261" s="624">
        <v>61796.150999999998</v>
      </c>
      <c r="Q261" s="624">
        <v>19910.272333329998</v>
      </c>
      <c r="R261" s="624">
        <v>25</v>
      </c>
      <c r="S261" s="290"/>
      <c r="T261" s="290">
        <v>601</v>
      </c>
      <c r="U261" s="958">
        <v>3.1082520307439548E-3</v>
      </c>
      <c r="V261" s="290">
        <v>-17917.557817090001</v>
      </c>
      <c r="W261" s="765">
        <v>0.67732207</v>
      </c>
      <c r="X261" s="290">
        <v>3900</v>
      </c>
      <c r="Y261" s="290"/>
      <c r="Z261" s="290">
        <f>+innut23!E267</f>
        <v>234651.33201789547</v>
      </c>
      <c r="AA261" s="290">
        <v>0</v>
      </c>
      <c r="AB261" s="290">
        <v>154</v>
      </c>
      <c r="AC261" s="290">
        <v>2291</v>
      </c>
      <c r="AD261" s="290"/>
      <c r="AE261" s="290">
        <v>0</v>
      </c>
      <c r="AF261" s="290">
        <v>0</v>
      </c>
      <c r="AG261" s="290">
        <v>8163</v>
      </c>
      <c r="AH261" s="290">
        <v>1605</v>
      </c>
      <c r="AI261" s="290"/>
      <c r="AJ261" s="290"/>
      <c r="AK261" s="290">
        <v>0</v>
      </c>
      <c r="AL261" s="290">
        <v>0</v>
      </c>
      <c r="AM261" s="957">
        <v>0.14963293</v>
      </c>
      <c r="AN261" s="290">
        <v>0</v>
      </c>
      <c r="AO261" s="290">
        <v>3794.2867578199998</v>
      </c>
      <c r="AP261" s="290">
        <v>0</v>
      </c>
      <c r="AQ261" s="290">
        <v>0</v>
      </c>
      <c r="AR261" s="290">
        <v>-334.99813866</v>
      </c>
      <c r="AS261" s="290">
        <v>13129</v>
      </c>
      <c r="AT261" s="290">
        <v>373</v>
      </c>
      <c r="AU261" s="290">
        <v>89</v>
      </c>
      <c r="AV261" s="766">
        <v>208560</v>
      </c>
      <c r="AW261" s="290">
        <v>0</v>
      </c>
      <c r="AX261" s="766">
        <v>74.916650000000004</v>
      </c>
      <c r="AY261" s="290">
        <v>1403</v>
      </c>
      <c r="AZ261" s="290">
        <v>298</v>
      </c>
      <c r="BA261" s="290">
        <v>152</v>
      </c>
      <c r="BB261" s="290">
        <v>0</v>
      </c>
      <c r="BC261" s="290">
        <v>5682</v>
      </c>
      <c r="BD261" s="290"/>
      <c r="BE261" s="290">
        <v>240617.72245043999</v>
      </c>
      <c r="BF261" s="290">
        <v>0</v>
      </c>
      <c r="BG261" s="290">
        <v>0</v>
      </c>
      <c r="BH261" s="290">
        <v>-1371</v>
      </c>
      <c r="BI261" s="290">
        <v>6489</v>
      </c>
      <c r="BJ261" s="290">
        <v>1154.5072149894559</v>
      </c>
      <c r="BK261" s="290">
        <v>10</v>
      </c>
      <c r="BL261" s="290"/>
      <c r="BM261" s="290">
        <v>0</v>
      </c>
      <c r="BN261" s="290">
        <v>2593</v>
      </c>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f>+innut23!E267+innut23!S267</f>
        <v>234651.33201789547</v>
      </c>
      <c r="CL261" s="290"/>
      <c r="CM261" s="290">
        <v>0</v>
      </c>
      <c r="CN261" s="290">
        <v>0</v>
      </c>
      <c r="CO261" s="290"/>
      <c r="CP261" s="290"/>
      <c r="CQ261" s="290"/>
      <c r="CX261" s="517">
        <f t="shared" ref="CX261:CX324" si="9">(BV261)*1.029</f>
        <v>0</v>
      </c>
      <c r="DB261" s="85">
        <f t="shared" ref="DB261:DB324" si="10">ROUND(1000*AG261/AG$361,3)</f>
        <v>1.496</v>
      </c>
    </row>
    <row r="262" spans="1:106" ht="13">
      <c r="A262" s="1">
        <v>4631</v>
      </c>
      <c r="B262" s="2" t="s">
        <v>1636</v>
      </c>
      <c r="C262" s="289"/>
      <c r="D262" s="290">
        <v>582</v>
      </c>
      <c r="E262" s="290">
        <v>1312</v>
      </c>
      <c r="F262" s="290">
        <v>4144</v>
      </c>
      <c r="G262" s="290">
        <v>2664</v>
      </c>
      <c r="H262" s="290">
        <v>16031</v>
      </c>
      <c r="I262" s="290">
        <v>3782</v>
      </c>
      <c r="J262" s="290">
        <v>1013</v>
      </c>
      <c r="K262" s="290">
        <v>263</v>
      </c>
      <c r="L262" s="290">
        <v>191</v>
      </c>
      <c r="M262" s="290">
        <v>1767</v>
      </c>
      <c r="N262" s="290">
        <v>387</v>
      </c>
      <c r="O262" s="290">
        <v>247</v>
      </c>
      <c r="P262" s="624">
        <v>147876.23366667001</v>
      </c>
      <c r="Q262" s="624">
        <v>78214.677666670003</v>
      </c>
      <c r="R262" s="624">
        <v>119</v>
      </c>
      <c r="S262" s="290"/>
      <c r="T262" s="290">
        <v>2100</v>
      </c>
      <c r="U262" s="958">
        <v>1.106354462701656E-2</v>
      </c>
      <c r="V262" s="290">
        <v>-18034.158854969999</v>
      </c>
      <c r="W262" s="765">
        <v>0.63965523999999996</v>
      </c>
      <c r="X262" s="290">
        <v>6600</v>
      </c>
      <c r="Y262" s="290"/>
      <c r="Z262" s="290">
        <f>+innut23!E268</f>
        <v>922507.21509287588</v>
      </c>
      <c r="AA262" s="290">
        <v>0</v>
      </c>
      <c r="AB262" s="290">
        <v>722</v>
      </c>
      <c r="AC262" s="290">
        <v>10694</v>
      </c>
      <c r="AD262" s="290"/>
      <c r="AE262" s="290">
        <v>0</v>
      </c>
      <c r="AF262" s="290">
        <v>32122</v>
      </c>
      <c r="AG262" s="290">
        <v>29791</v>
      </c>
      <c r="AH262" s="290">
        <v>6068</v>
      </c>
      <c r="AI262" s="290"/>
      <c r="AJ262" s="290"/>
      <c r="AK262" s="290">
        <v>87113</v>
      </c>
      <c r="AL262" s="290">
        <v>0</v>
      </c>
      <c r="AM262" s="957">
        <v>0.48528540999999997</v>
      </c>
      <c r="AN262" s="290">
        <v>0</v>
      </c>
      <c r="AO262" s="290">
        <v>13574.748266320001</v>
      </c>
      <c r="AP262" s="290">
        <v>0</v>
      </c>
      <c r="AQ262" s="290">
        <v>0</v>
      </c>
      <c r="AR262" s="290">
        <v>-1222.5811036</v>
      </c>
      <c r="AS262" s="290">
        <v>47119</v>
      </c>
      <c r="AT262" s="290">
        <v>1332</v>
      </c>
      <c r="AU262" s="290">
        <v>303</v>
      </c>
      <c r="AV262" s="766">
        <v>875167</v>
      </c>
      <c r="AW262" s="290">
        <v>0</v>
      </c>
      <c r="AX262" s="766">
        <v>205.625</v>
      </c>
      <c r="AY262" s="290">
        <v>5916</v>
      </c>
      <c r="AZ262" s="290">
        <v>1053</v>
      </c>
      <c r="BA262" s="290">
        <v>622</v>
      </c>
      <c r="BB262" s="290">
        <v>0</v>
      </c>
      <c r="BC262" s="290">
        <v>126049</v>
      </c>
      <c r="BD262" s="290"/>
      <c r="BE262" s="290">
        <v>1008990.4324447</v>
      </c>
      <c r="BF262" s="290">
        <v>0</v>
      </c>
      <c r="BG262" s="290">
        <v>0</v>
      </c>
      <c r="BH262" s="290">
        <v>-4960</v>
      </c>
      <c r="BI262" s="290">
        <v>147404</v>
      </c>
      <c r="BJ262" s="290">
        <v>4410.2790533686484</v>
      </c>
      <c r="BK262" s="290">
        <v>39</v>
      </c>
      <c r="BL262" s="290"/>
      <c r="BM262" s="290">
        <v>5628</v>
      </c>
      <c r="BN262" s="290">
        <v>11407</v>
      </c>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f>+innut23!E268+innut23!S268</f>
        <v>922507.21509287588</v>
      </c>
      <c r="CL262" s="290"/>
      <c r="CM262" s="290">
        <v>103512.3302383743</v>
      </c>
      <c r="CN262" s="290">
        <v>119880.76656089882</v>
      </c>
      <c r="CO262" s="290"/>
      <c r="CP262" s="290"/>
      <c r="CQ262" s="290"/>
      <c r="CX262" s="517">
        <f t="shared" si="9"/>
        <v>0</v>
      </c>
      <c r="DB262" s="85">
        <f t="shared" si="10"/>
        <v>5.46</v>
      </c>
    </row>
    <row r="263" spans="1:106" ht="13">
      <c r="A263" s="1">
        <v>4632</v>
      </c>
      <c r="B263" s="2" t="s">
        <v>55</v>
      </c>
      <c r="C263" s="289"/>
      <c r="D263" s="290">
        <v>33</v>
      </c>
      <c r="E263" s="290">
        <v>118</v>
      </c>
      <c r="F263" s="290">
        <v>346</v>
      </c>
      <c r="G263" s="290">
        <v>253</v>
      </c>
      <c r="H263" s="290">
        <v>1504</v>
      </c>
      <c r="I263" s="290">
        <v>452</v>
      </c>
      <c r="J263" s="290">
        <v>148</v>
      </c>
      <c r="K263" s="290">
        <v>22</v>
      </c>
      <c r="L263" s="290">
        <v>19</v>
      </c>
      <c r="M263" s="290">
        <v>232</v>
      </c>
      <c r="N263" s="290">
        <v>42</v>
      </c>
      <c r="O263" s="290">
        <v>19</v>
      </c>
      <c r="P263" s="624">
        <v>15167.11133333</v>
      </c>
      <c r="Q263" s="624">
        <v>6438.9326666699999</v>
      </c>
      <c r="R263" s="624">
        <v>13</v>
      </c>
      <c r="S263" s="290"/>
      <c r="T263" s="290">
        <v>231</v>
      </c>
      <c r="U263" s="958">
        <v>8.8764911588946319E-4</v>
      </c>
      <c r="V263" s="290">
        <v>1466.6227992399999</v>
      </c>
      <c r="W263" s="765">
        <v>0.71249854000000001</v>
      </c>
      <c r="X263" s="290">
        <v>1800</v>
      </c>
      <c r="Y263" s="290"/>
      <c r="Z263" s="290">
        <f>+innut23!E269</f>
        <v>113220.73564844146</v>
      </c>
      <c r="AA263" s="290">
        <v>0</v>
      </c>
      <c r="AB263" s="290">
        <v>45</v>
      </c>
      <c r="AC263" s="290">
        <v>3178</v>
      </c>
      <c r="AD263" s="290"/>
      <c r="AE263" s="290">
        <v>0</v>
      </c>
      <c r="AF263" s="290">
        <v>0</v>
      </c>
      <c r="AG263" s="290">
        <v>2876</v>
      </c>
      <c r="AH263" s="290">
        <v>511</v>
      </c>
      <c r="AI263" s="290"/>
      <c r="AJ263" s="290"/>
      <c r="AK263" s="290">
        <v>1560</v>
      </c>
      <c r="AL263" s="290">
        <v>0</v>
      </c>
      <c r="AM263" s="957">
        <v>8.5687570000000005E-2</v>
      </c>
      <c r="AN263" s="290">
        <v>0</v>
      </c>
      <c r="AO263" s="290">
        <v>1395.7688450799999</v>
      </c>
      <c r="AP263" s="290">
        <v>0</v>
      </c>
      <c r="AQ263" s="290">
        <v>0</v>
      </c>
      <c r="AR263" s="290">
        <v>449.97064122</v>
      </c>
      <c r="AS263" s="290">
        <v>3958</v>
      </c>
      <c r="AT263" s="290">
        <v>154</v>
      </c>
      <c r="AU263" s="290">
        <v>36</v>
      </c>
      <c r="AV263" s="766">
        <v>98137</v>
      </c>
      <c r="AW263" s="290">
        <v>0</v>
      </c>
      <c r="AX263" s="766">
        <v>3.2499500000000001</v>
      </c>
      <c r="AY263" s="290">
        <v>451</v>
      </c>
      <c r="AZ263" s="290">
        <v>129</v>
      </c>
      <c r="BA263" s="290">
        <v>53</v>
      </c>
      <c r="BB263" s="290">
        <v>3129</v>
      </c>
      <c r="BC263" s="290">
        <v>5171</v>
      </c>
      <c r="BD263" s="290"/>
      <c r="BE263" s="290">
        <v>108376.83738587001</v>
      </c>
      <c r="BF263" s="290">
        <v>0</v>
      </c>
      <c r="BG263" s="290">
        <v>0</v>
      </c>
      <c r="BH263" s="290">
        <v>-486</v>
      </c>
      <c r="BI263" s="290">
        <v>6286</v>
      </c>
      <c r="BJ263" s="290">
        <v>389.29638950313529</v>
      </c>
      <c r="BK263" s="290">
        <v>4</v>
      </c>
      <c r="BL263" s="290"/>
      <c r="BM263" s="290">
        <v>0</v>
      </c>
      <c r="BN263" s="290">
        <v>1037</v>
      </c>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f>+innut23!E269+innut23!S269</f>
        <v>113220.73564844146</v>
      </c>
      <c r="CL263" s="290"/>
      <c r="CM263" s="290">
        <v>1683.6735010236926</v>
      </c>
      <c r="CN263" s="290">
        <v>1802.9521288461219</v>
      </c>
      <c r="CO263" s="290"/>
      <c r="CP263" s="290"/>
      <c r="CQ263" s="290"/>
      <c r="CX263" s="517">
        <f t="shared" si="9"/>
        <v>0</v>
      </c>
      <c r="DB263" s="85">
        <f t="shared" si="10"/>
        <v>0.52700000000000002</v>
      </c>
    </row>
    <row r="264" spans="1:106" ht="13">
      <c r="A264" s="1">
        <v>4633</v>
      </c>
      <c r="B264" s="2" t="s">
        <v>56</v>
      </c>
      <c r="C264" s="289"/>
      <c r="D264" s="290">
        <v>5</v>
      </c>
      <c r="E264" s="290">
        <v>12</v>
      </c>
      <c r="F264" s="290">
        <v>56</v>
      </c>
      <c r="G264" s="290">
        <v>49</v>
      </c>
      <c r="H264" s="290">
        <v>235</v>
      </c>
      <c r="I264" s="290">
        <v>97</v>
      </c>
      <c r="J264" s="290">
        <v>31</v>
      </c>
      <c r="K264" s="290">
        <v>11</v>
      </c>
      <c r="L264" s="290">
        <v>3</v>
      </c>
      <c r="M264" s="290">
        <v>61</v>
      </c>
      <c r="N264" s="290">
        <v>0</v>
      </c>
      <c r="O264" s="290">
        <v>4</v>
      </c>
      <c r="P264" s="624">
        <v>477.05266667000001</v>
      </c>
      <c r="Q264" s="624">
        <v>625.529</v>
      </c>
      <c r="R264" s="624">
        <v>2</v>
      </c>
      <c r="S264" s="290"/>
      <c r="T264" s="290">
        <v>42</v>
      </c>
      <c r="U264" s="958">
        <v>1.2707273177490995E-4</v>
      </c>
      <c r="V264" s="290">
        <v>480.17996993000003</v>
      </c>
      <c r="W264" s="765">
        <v>1</v>
      </c>
      <c r="X264" s="290">
        <v>1100</v>
      </c>
      <c r="Y264" s="290"/>
      <c r="Z264" s="290">
        <f>+innut23!E270</f>
        <v>15793.794500131049</v>
      </c>
      <c r="AA264" s="290">
        <v>0</v>
      </c>
      <c r="AB264" s="290">
        <v>7</v>
      </c>
      <c r="AC264" s="290">
        <v>0</v>
      </c>
      <c r="AD264" s="290"/>
      <c r="AE264" s="290">
        <v>0</v>
      </c>
      <c r="AF264" s="290">
        <v>0</v>
      </c>
      <c r="AG264" s="290">
        <v>496</v>
      </c>
      <c r="AH264" s="290">
        <v>100</v>
      </c>
      <c r="AI264" s="290"/>
      <c r="AJ264" s="290"/>
      <c r="AK264" s="290">
        <v>0</v>
      </c>
      <c r="AL264" s="290">
        <v>0</v>
      </c>
      <c r="AM264" s="957">
        <v>2.3749600000000002E-3</v>
      </c>
      <c r="AN264" s="290">
        <v>0</v>
      </c>
      <c r="AO264" s="290">
        <v>371.18507937999999</v>
      </c>
      <c r="AP264" s="290">
        <v>0</v>
      </c>
      <c r="AQ264" s="290">
        <v>0</v>
      </c>
      <c r="AR264" s="290">
        <v>526.77570964999995</v>
      </c>
      <c r="AS264" s="290">
        <v>859</v>
      </c>
      <c r="AT264" s="290">
        <v>19</v>
      </c>
      <c r="AU264" s="290">
        <v>1.5</v>
      </c>
      <c r="AV264" s="766">
        <v>41892</v>
      </c>
      <c r="AW264" s="290">
        <v>0</v>
      </c>
      <c r="AX264" s="766">
        <v>0.91669999999999996</v>
      </c>
      <c r="AY264" s="290">
        <v>100</v>
      </c>
      <c r="AZ264" s="290">
        <v>21</v>
      </c>
      <c r="BA264" s="290">
        <v>10</v>
      </c>
      <c r="BB264" s="290">
        <v>6257</v>
      </c>
      <c r="BC264" s="290">
        <v>600</v>
      </c>
      <c r="BD264" s="290"/>
      <c r="BE264" s="290">
        <v>43255.439771079997</v>
      </c>
      <c r="BF264" s="290">
        <v>0</v>
      </c>
      <c r="BG264" s="290">
        <v>0</v>
      </c>
      <c r="BH264" s="290">
        <v>-88</v>
      </c>
      <c r="BI264" s="290">
        <v>619</v>
      </c>
      <c r="BJ264" s="290">
        <v>88.844831059928325</v>
      </c>
      <c r="BK264" s="290">
        <v>1</v>
      </c>
      <c r="BL264" s="290"/>
      <c r="BM264" s="290">
        <v>0</v>
      </c>
      <c r="BN264" s="290">
        <v>519</v>
      </c>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f>+innut23!E270+innut23!S270</f>
        <v>15793.794500131049</v>
      </c>
      <c r="CL264" s="290"/>
      <c r="CM264" s="290">
        <v>0</v>
      </c>
      <c r="CN264" s="290">
        <v>0</v>
      </c>
      <c r="CO264" s="290"/>
      <c r="CP264" s="290"/>
      <c r="CQ264" s="290"/>
      <c r="CX264" s="517">
        <f t="shared" si="9"/>
        <v>0</v>
      </c>
      <c r="DB264" s="85">
        <f t="shared" si="10"/>
        <v>9.0999999999999998E-2</v>
      </c>
    </row>
    <row r="265" spans="1:106" ht="13">
      <c r="A265" s="1">
        <v>4634</v>
      </c>
      <c r="B265" s="2" t="s">
        <v>57</v>
      </c>
      <c r="C265" s="289"/>
      <c r="D265" s="290">
        <v>33</v>
      </c>
      <c r="E265" s="290">
        <v>63</v>
      </c>
      <c r="F265" s="290">
        <v>199</v>
      </c>
      <c r="G265" s="290">
        <v>124</v>
      </c>
      <c r="H265" s="290">
        <v>825</v>
      </c>
      <c r="I265" s="290">
        <v>263</v>
      </c>
      <c r="J265" s="290">
        <v>100</v>
      </c>
      <c r="K265" s="290">
        <v>33</v>
      </c>
      <c r="L265" s="290">
        <v>10</v>
      </c>
      <c r="M265" s="290">
        <v>165</v>
      </c>
      <c r="N265" s="290">
        <v>4</v>
      </c>
      <c r="O265" s="290">
        <v>12</v>
      </c>
      <c r="P265" s="624">
        <v>27566.829666670001</v>
      </c>
      <c r="Q265" s="624">
        <v>12392.031000000001</v>
      </c>
      <c r="R265" s="624">
        <v>8</v>
      </c>
      <c r="S265" s="290"/>
      <c r="T265" s="290">
        <v>115</v>
      </c>
      <c r="U265" s="958">
        <v>1.6773395611628995E-3</v>
      </c>
      <c r="V265" s="290">
        <v>1282.0229634100001</v>
      </c>
      <c r="W265" s="765">
        <v>1</v>
      </c>
      <c r="X265" s="290">
        <v>0</v>
      </c>
      <c r="Y265" s="290"/>
      <c r="Z265" s="290">
        <f>+innut23!E271</f>
        <v>62715.805503666117</v>
      </c>
      <c r="AA265" s="290">
        <v>0</v>
      </c>
      <c r="AB265" s="290">
        <v>34</v>
      </c>
      <c r="AC265" s="290">
        <v>34</v>
      </c>
      <c r="AD265" s="290"/>
      <c r="AE265" s="290">
        <v>0</v>
      </c>
      <c r="AF265" s="290">
        <v>0</v>
      </c>
      <c r="AG265" s="290">
        <v>1640</v>
      </c>
      <c r="AH265" s="290">
        <v>290</v>
      </c>
      <c r="AI265" s="290"/>
      <c r="AJ265" s="290"/>
      <c r="AK265" s="290">
        <v>0</v>
      </c>
      <c r="AL265" s="290">
        <v>0</v>
      </c>
      <c r="AM265" s="957">
        <v>1.132444E-2</v>
      </c>
      <c r="AN265" s="290">
        <v>0</v>
      </c>
      <c r="AO265" s="290">
        <v>991.01967019999995</v>
      </c>
      <c r="AP265" s="290">
        <v>0</v>
      </c>
      <c r="AQ265" s="290">
        <v>0</v>
      </c>
      <c r="AR265" s="290">
        <v>593.29511485</v>
      </c>
      <c r="AS265" s="290">
        <v>2908</v>
      </c>
      <c r="AT265" s="290">
        <v>63</v>
      </c>
      <c r="AU265" s="290">
        <v>9</v>
      </c>
      <c r="AV265" s="766">
        <v>82380</v>
      </c>
      <c r="AW265" s="290">
        <v>0</v>
      </c>
      <c r="AX265" s="766">
        <v>13.49995</v>
      </c>
      <c r="AY265" s="290">
        <v>257</v>
      </c>
      <c r="AZ265" s="290">
        <v>53</v>
      </c>
      <c r="BA265" s="290">
        <v>26</v>
      </c>
      <c r="BB265" s="290">
        <v>3129</v>
      </c>
      <c r="BC265" s="290">
        <v>1811</v>
      </c>
      <c r="BD265" s="290"/>
      <c r="BE265" s="290">
        <v>88218.873463030002</v>
      </c>
      <c r="BF265" s="290">
        <v>0</v>
      </c>
      <c r="BG265" s="290">
        <v>0</v>
      </c>
      <c r="BH265" s="290">
        <v>-277</v>
      </c>
      <c r="BI265" s="290">
        <v>1880</v>
      </c>
      <c r="BJ265" s="290">
        <v>264.06516915049184</v>
      </c>
      <c r="BK265" s="290">
        <v>2</v>
      </c>
      <c r="BL265" s="290"/>
      <c r="BM265" s="290">
        <v>0</v>
      </c>
      <c r="BN265" s="290">
        <v>1556</v>
      </c>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f>+innut23!E271+innut23!S271</f>
        <v>62715.805503666117</v>
      </c>
      <c r="CL265" s="290"/>
      <c r="CM265" s="290">
        <v>0</v>
      </c>
      <c r="CN265" s="290">
        <v>0</v>
      </c>
      <c r="CO265" s="290"/>
      <c r="CP265" s="290"/>
      <c r="CQ265" s="290"/>
      <c r="CX265" s="517">
        <f t="shared" si="9"/>
        <v>0</v>
      </c>
      <c r="DB265" s="85">
        <f t="shared" si="10"/>
        <v>0.30099999999999999</v>
      </c>
    </row>
    <row r="266" spans="1:106" ht="13">
      <c r="A266" s="1">
        <v>4635</v>
      </c>
      <c r="B266" s="2" t="s">
        <v>59</v>
      </c>
      <c r="C266" s="289"/>
      <c r="D266" s="290">
        <v>37</v>
      </c>
      <c r="E266" s="290">
        <v>75</v>
      </c>
      <c r="F266" s="290">
        <v>237</v>
      </c>
      <c r="G266" s="290">
        <v>183</v>
      </c>
      <c r="H266" s="290">
        <v>1217</v>
      </c>
      <c r="I266" s="290">
        <v>331</v>
      </c>
      <c r="J266" s="290">
        <v>114</v>
      </c>
      <c r="K266" s="290">
        <v>41</v>
      </c>
      <c r="L266" s="290">
        <v>17</v>
      </c>
      <c r="M266" s="290">
        <v>208</v>
      </c>
      <c r="N266" s="290">
        <v>12</v>
      </c>
      <c r="O266" s="290">
        <v>18</v>
      </c>
      <c r="P266" s="624">
        <v>69965.066000000006</v>
      </c>
      <c r="Q266" s="624">
        <v>21093.01</v>
      </c>
      <c r="R266" s="624">
        <v>12</v>
      </c>
      <c r="S266" s="290"/>
      <c r="T266" s="290">
        <v>208</v>
      </c>
      <c r="U266" s="958">
        <v>2.396760439692106E-3</v>
      </c>
      <c r="V266" s="290">
        <v>1658.93155284</v>
      </c>
      <c r="W266" s="765">
        <v>1</v>
      </c>
      <c r="X266" s="290">
        <v>0</v>
      </c>
      <c r="Y266" s="290"/>
      <c r="Z266" s="290">
        <f>+innut23!E272</f>
        <v>87682.848526276895</v>
      </c>
      <c r="AA266" s="290">
        <v>0</v>
      </c>
      <c r="AB266" s="290">
        <v>32</v>
      </c>
      <c r="AC266" s="290">
        <v>394</v>
      </c>
      <c r="AD266" s="290"/>
      <c r="AE266" s="290">
        <v>0</v>
      </c>
      <c r="AF266" s="290">
        <v>0</v>
      </c>
      <c r="AG266" s="290">
        <v>2235</v>
      </c>
      <c r="AH266" s="290">
        <v>376</v>
      </c>
      <c r="AI266" s="290"/>
      <c r="AJ266" s="290"/>
      <c r="AK266" s="290">
        <v>822</v>
      </c>
      <c r="AL266" s="290">
        <v>0</v>
      </c>
      <c r="AM266" s="957">
        <v>1.9545940000000001E-2</v>
      </c>
      <c r="AN266" s="290">
        <v>0</v>
      </c>
      <c r="AO266" s="290">
        <v>1282.3746900799999</v>
      </c>
      <c r="AP266" s="290">
        <v>0</v>
      </c>
      <c r="AQ266" s="290">
        <v>0</v>
      </c>
      <c r="AR266" s="290">
        <v>-91.721283830000004</v>
      </c>
      <c r="AS266" s="290">
        <v>3658</v>
      </c>
      <c r="AT266" s="290">
        <v>100</v>
      </c>
      <c r="AU266" s="290">
        <v>12</v>
      </c>
      <c r="AV266" s="766">
        <v>104481</v>
      </c>
      <c r="AW266" s="290">
        <v>0</v>
      </c>
      <c r="AX266" s="766">
        <v>12.833349999999999</v>
      </c>
      <c r="AY266" s="290">
        <v>430</v>
      </c>
      <c r="AZ266" s="290">
        <v>81</v>
      </c>
      <c r="BA266" s="290">
        <v>33</v>
      </c>
      <c r="BB266" s="290">
        <v>6257</v>
      </c>
      <c r="BC266" s="290">
        <v>3457</v>
      </c>
      <c r="BD266" s="290"/>
      <c r="BE266" s="290">
        <v>113671.11831391</v>
      </c>
      <c r="BF266" s="290">
        <v>0</v>
      </c>
      <c r="BG266" s="290">
        <v>0</v>
      </c>
      <c r="BH266" s="290">
        <v>-376</v>
      </c>
      <c r="BI266" s="290">
        <v>3666</v>
      </c>
      <c r="BJ266" s="290">
        <v>339.22414991606666</v>
      </c>
      <c r="BK266" s="290">
        <v>3</v>
      </c>
      <c r="BL266" s="290"/>
      <c r="BM266" s="290">
        <v>0</v>
      </c>
      <c r="BN266" s="290">
        <v>2074</v>
      </c>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f>+innut23!E272+innut23!S272</f>
        <v>87682.848526276895</v>
      </c>
      <c r="CL266" s="290"/>
      <c r="CM266" s="290">
        <v>836.1724521569156</v>
      </c>
      <c r="CN266" s="290">
        <v>845.77468300913165</v>
      </c>
      <c r="CO266" s="290"/>
      <c r="CP266" s="290"/>
      <c r="CQ266" s="290"/>
      <c r="CX266" s="517">
        <f t="shared" si="9"/>
        <v>0</v>
      </c>
      <c r="DB266" s="85">
        <f t="shared" si="10"/>
        <v>0.41</v>
      </c>
    </row>
    <row r="267" spans="1:106" ht="13">
      <c r="A267" s="1">
        <v>4636</v>
      </c>
      <c r="B267" s="2" t="s">
        <v>60</v>
      </c>
      <c r="C267" s="289"/>
      <c r="D267" s="290">
        <v>12</v>
      </c>
      <c r="E267" s="290">
        <v>23</v>
      </c>
      <c r="F267" s="290">
        <v>66</v>
      </c>
      <c r="G267" s="290">
        <v>59</v>
      </c>
      <c r="H267" s="290">
        <v>404</v>
      </c>
      <c r="I267" s="290">
        <v>139</v>
      </c>
      <c r="J267" s="290">
        <v>46</v>
      </c>
      <c r="K267" s="290">
        <v>9</v>
      </c>
      <c r="L267" s="290">
        <v>6</v>
      </c>
      <c r="M267" s="290">
        <v>82</v>
      </c>
      <c r="N267" s="290">
        <v>9</v>
      </c>
      <c r="O267" s="290">
        <v>10</v>
      </c>
      <c r="P267" s="624">
        <v>9763.6756666700003</v>
      </c>
      <c r="Q267" s="624">
        <v>8747.5446666700009</v>
      </c>
      <c r="R267" s="624">
        <v>1</v>
      </c>
      <c r="S267" s="290"/>
      <c r="T267" s="290">
        <v>58</v>
      </c>
      <c r="U267" s="958">
        <v>8.9949160724301432E-4</v>
      </c>
      <c r="V267" s="290">
        <v>636.32812879000005</v>
      </c>
      <c r="W267" s="765">
        <v>1</v>
      </c>
      <c r="X267" s="290">
        <v>1300</v>
      </c>
      <c r="Y267" s="290"/>
      <c r="Z267" s="290">
        <f>+innut23!E273</f>
        <v>26200.148367040289</v>
      </c>
      <c r="AA267" s="290">
        <v>0</v>
      </c>
      <c r="AB267" s="290">
        <v>6</v>
      </c>
      <c r="AC267" s="290">
        <v>6</v>
      </c>
      <c r="AD267" s="290"/>
      <c r="AE267" s="290">
        <v>0</v>
      </c>
      <c r="AF267" s="290">
        <v>0</v>
      </c>
      <c r="AG267" s="290">
        <v>758</v>
      </c>
      <c r="AH267" s="290">
        <v>111</v>
      </c>
      <c r="AI267" s="290"/>
      <c r="AJ267" s="290"/>
      <c r="AK267" s="290">
        <v>0</v>
      </c>
      <c r="AL267" s="290">
        <v>0</v>
      </c>
      <c r="AM267" s="957">
        <v>5.5541999999999996E-3</v>
      </c>
      <c r="AN267" s="290">
        <v>0</v>
      </c>
      <c r="AO267" s="290">
        <v>491.88954514</v>
      </c>
      <c r="AP267" s="290">
        <v>0</v>
      </c>
      <c r="AQ267" s="290">
        <v>0</v>
      </c>
      <c r="AR267" s="290">
        <v>174.77822631000001</v>
      </c>
      <c r="AS267" s="290">
        <v>1267</v>
      </c>
      <c r="AT267" s="290">
        <v>21</v>
      </c>
      <c r="AU267" s="290">
        <v>6</v>
      </c>
      <c r="AV267" s="766">
        <v>48800</v>
      </c>
      <c r="AW267" s="290">
        <v>0</v>
      </c>
      <c r="AX267" s="766">
        <v>8</v>
      </c>
      <c r="AY267" s="290">
        <v>140</v>
      </c>
      <c r="AZ267" s="290">
        <v>26</v>
      </c>
      <c r="BA267" s="290">
        <v>16</v>
      </c>
      <c r="BB267" s="290">
        <v>6257</v>
      </c>
      <c r="BC267" s="290">
        <v>616</v>
      </c>
      <c r="BD267" s="290"/>
      <c r="BE267" s="290">
        <v>51442.056972500002</v>
      </c>
      <c r="BF267" s="290">
        <v>0</v>
      </c>
      <c r="BG267" s="290">
        <v>0</v>
      </c>
      <c r="BH267" s="290">
        <v>-129</v>
      </c>
      <c r="BI267" s="290">
        <v>636</v>
      </c>
      <c r="BJ267" s="290">
        <v>116.60801055330853</v>
      </c>
      <c r="BK267" s="290">
        <v>1</v>
      </c>
      <c r="BL267" s="290"/>
      <c r="BM267" s="290">
        <v>0</v>
      </c>
      <c r="BN267" s="290">
        <v>519</v>
      </c>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f>+innut23!E273+innut23!S273</f>
        <v>26200.148367040289</v>
      </c>
      <c r="CL267" s="290"/>
      <c r="CM267" s="290">
        <v>0</v>
      </c>
      <c r="CN267" s="290">
        <v>0</v>
      </c>
      <c r="CO267" s="290"/>
      <c r="CP267" s="290"/>
      <c r="CQ267" s="290"/>
      <c r="CX267" s="517">
        <f t="shared" si="9"/>
        <v>0</v>
      </c>
      <c r="DB267" s="85">
        <f t="shared" si="10"/>
        <v>0.13900000000000001</v>
      </c>
    </row>
    <row r="268" spans="1:106" ht="13">
      <c r="A268" s="1">
        <v>4637</v>
      </c>
      <c r="B268" s="2" t="s">
        <v>61</v>
      </c>
      <c r="C268" s="289"/>
      <c r="D268" s="290">
        <v>15</v>
      </c>
      <c r="E268" s="290">
        <v>35</v>
      </c>
      <c r="F268" s="290">
        <v>109</v>
      </c>
      <c r="G268" s="290">
        <v>115</v>
      </c>
      <c r="H268" s="290">
        <v>663</v>
      </c>
      <c r="I268" s="290">
        <v>227</v>
      </c>
      <c r="J268" s="290">
        <v>93</v>
      </c>
      <c r="K268" s="290">
        <v>13</v>
      </c>
      <c r="L268" s="290">
        <v>10</v>
      </c>
      <c r="M268" s="290">
        <v>153</v>
      </c>
      <c r="N268" s="290">
        <v>11</v>
      </c>
      <c r="O268" s="290">
        <v>13</v>
      </c>
      <c r="P268" s="624">
        <v>17197.177333330001</v>
      </c>
      <c r="Q268" s="624">
        <v>8443.6</v>
      </c>
      <c r="R268" s="624">
        <v>9</v>
      </c>
      <c r="S268" s="290"/>
      <c r="T268" s="290">
        <v>115</v>
      </c>
      <c r="U268" s="958">
        <v>1.3685915991345607E-3</v>
      </c>
      <c r="V268" s="290">
        <v>527.93418747999999</v>
      </c>
      <c r="W268" s="765">
        <v>1</v>
      </c>
      <c r="X268" s="290">
        <v>1200</v>
      </c>
      <c r="Y268" s="290"/>
      <c r="Z268" s="290">
        <f>+innut23!E274</f>
        <v>45695.655279597537</v>
      </c>
      <c r="AA268" s="290">
        <v>0</v>
      </c>
      <c r="AB268" s="290">
        <v>22</v>
      </c>
      <c r="AC268" s="290">
        <v>0</v>
      </c>
      <c r="AD268" s="290"/>
      <c r="AE268" s="290">
        <v>0</v>
      </c>
      <c r="AF268" s="290">
        <v>0</v>
      </c>
      <c r="AG268" s="290">
        <v>1270</v>
      </c>
      <c r="AH268" s="290">
        <v>178</v>
      </c>
      <c r="AI268" s="290"/>
      <c r="AJ268" s="290"/>
      <c r="AK268" s="290">
        <v>0</v>
      </c>
      <c r="AL268" s="290">
        <v>0</v>
      </c>
      <c r="AM268" s="957">
        <v>2.7848089999999999E-2</v>
      </c>
      <c r="AN268" s="290">
        <v>0</v>
      </c>
      <c r="AO268" s="290">
        <v>757.50129521999997</v>
      </c>
      <c r="AP268" s="290">
        <v>0</v>
      </c>
      <c r="AQ268" s="290">
        <v>0</v>
      </c>
      <c r="AR268" s="290">
        <v>-52.11902929</v>
      </c>
      <c r="AS268" s="290">
        <v>1659</v>
      </c>
      <c r="AT268" s="290">
        <v>58</v>
      </c>
      <c r="AU268" s="290">
        <v>17</v>
      </c>
      <c r="AV268" s="766">
        <v>65076</v>
      </c>
      <c r="AW268" s="290">
        <v>0</v>
      </c>
      <c r="AX268" s="766">
        <v>4.9166999999999996</v>
      </c>
      <c r="AY268" s="290">
        <v>222</v>
      </c>
      <c r="AZ268" s="290">
        <v>47</v>
      </c>
      <c r="BA268" s="290">
        <v>24</v>
      </c>
      <c r="BB268" s="290">
        <v>6257</v>
      </c>
      <c r="BC268" s="290">
        <v>688</v>
      </c>
      <c r="BD268" s="290"/>
      <c r="BE268" s="290">
        <v>70732.929767930007</v>
      </c>
      <c r="BF268" s="290">
        <v>0</v>
      </c>
      <c r="BG268" s="290">
        <v>0</v>
      </c>
      <c r="BH268" s="290">
        <v>-218</v>
      </c>
      <c r="BI268" s="290">
        <v>697</v>
      </c>
      <c r="BJ268" s="290">
        <v>164.3065538584747</v>
      </c>
      <c r="BK268" s="290">
        <v>2</v>
      </c>
      <c r="BL268" s="290"/>
      <c r="BM268" s="290">
        <v>0</v>
      </c>
      <c r="BN268" s="290">
        <v>519</v>
      </c>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f>+innut23!E274+innut23!S274</f>
        <v>45695.655279597537</v>
      </c>
      <c r="CL268" s="290"/>
      <c r="CM268" s="290">
        <v>0</v>
      </c>
      <c r="CN268" s="290">
        <v>0</v>
      </c>
      <c r="CO268" s="290"/>
      <c r="CP268" s="290"/>
      <c r="CQ268" s="290"/>
      <c r="CX268" s="517">
        <f t="shared" si="9"/>
        <v>0</v>
      </c>
      <c r="DB268" s="85">
        <f t="shared" si="10"/>
        <v>0.23300000000000001</v>
      </c>
    </row>
    <row r="269" spans="1:106" ht="13">
      <c r="A269" s="1">
        <v>4638</v>
      </c>
      <c r="B269" s="2" t="s">
        <v>62</v>
      </c>
      <c r="C269" s="289"/>
      <c r="D269" s="290">
        <v>43</v>
      </c>
      <c r="E269" s="290">
        <v>110</v>
      </c>
      <c r="F269" s="290">
        <v>421</v>
      </c>
      <c r="G269" s="290">
        <v>368</v>
      </c>
      <c r="H269" s="290">
        <v>2102</v>
      </c>
      <c r="I269" s="290">
        <v>616</v>
      </c>
      <c r="J269" s="290">
        <v>222</v>
      </c>
      <c r="K269" s="290">
        <v>65</v>
      </c>
      <c r="L269" s="290">
        <v>27</v>
      </c>
      <c r="M269" s="290">
        <v>411</v>
      </c>
      <c r="N269" s="290">
        <v>58</v>
      </c>
      <c r="O269" s="290">
        <v>24</v>
      </c>
      <c r="P269" s="624">
        <v>79375.286666669999</v>
      </c>
      <c r="Q269" s="624">
        <v>27423.422999999999</v>
      </c>
      <c r="R269" s="624">
        <v>9</v>
      </c>
      <c r="S269" s="290"/>
      <c r="T269" s="290">
        <v>380</v>
      </c>
      <c r="U269" s="958">
        <v>1.8781322116309396E-3</v>
      </c>
      <c r="V269" s="290">
        <v>2480.2303664299998</v>
      </c>
      <c r="W269" s="765">
        <v>1</v>
      </c>
      <c r="X269" s="290">
        <v>0</v>
      </c>
      <c r="Y269" s="290"/>
      <c r="Z269" s="290">
        <f>+innut23!E275</f>
        <v>136906.66884795314</v>
      </c>
      <c r="AA269" s="290">
        <v>0</v>
      </c>
      <c r="AB269" s="290">
        <v>83</v>
      </c>
      <c r="AC269" s="290">
        <v>167</v>
      </c>
      <c r="AD269" s="290"/>
      <c r="AE269" s="290">
        <v>0</v>
      </c>
      <c r="AF269" s="290">
        <v>0</v>
      </c>
      <c r="AG269" s="290">
        <v>3947</v>
      </c>
      <c r="AH269" s="290">
        <v>616</v>
      </c>
      <c r="AI269" s="290"/>
      <c r="AJ269" s="290"/>
      <c r="AK269" s="290">
        <v>2705</v>
      </c>
      <c r="AL269" s="290">
        <v>0</v>
      </c>
      <c r="AM269" s="957">
        <v>9.5116759999999995E-2</v>
      </c>
      <c r="AN269" s="290">
        <v>6220</v>
      </c>
      <c r="AO269" s="290">
        <v>2004.5992746100001</v>
      </c>
      <c r="AP269" s="290">
        <v>0</v>
      </c>
      <c r="AQ269" s="290">
        <v>0</v>
      </c>
      <c r="AR269" s="290">
        <v>-161.97937686</v>
      </c>
      <c r="AS269" s="290">
        <v>5327</v>
      </c>
      <c r="AT269" s="290">
        <v>194</v>
      </c>
      <c r="AU269" s="290">
        <v>47</v>
      </c>
      <c r="AV269" s="766">
        <v>144780</v>
      </c>
      <c r="AW269" s="290">
        <v>0</v>
      </c>
      <c r="AX269" s="766">
        <v>19.541650000000001</v>
      </c>
      <c r="AY269" s="290">
        <v>746</v>
      </c>
      <c r="AZ269" s="290">
        <v>164</v>
      </c>
      <c r="BA269" s="290">
        <v>87</v>
      </c>
      <c r="BB269" s="290">
        <v>0</v>
      </c>
      <c r="BC269" s="290">
        <v>5678</v>
      </c>
      <c r="BD269" s="290"/>
      <c r="BE269" s="290">
        <v>158601.00381853999</v>
      </c>
      <c r="BF269" s="290">
        <v>0</v>
      </c>
      <c r="BG269" s="290">
        <v>0</v>
      </c>
      <c r="BH269" s="290">
        <v>-676</v>
      </c>
      <c r="BI269" s="290">
        <v>6081</v>
      </c>
      <c r="BJ269" s="290">
        <v>537.42843564875943</v>
      </c>
      <c r="BK269" s="290">
        <v>6</v>
      </c>
      <c r="BL269" s="290"/>
      <c r="BM269" s="290">
        <v>0</v>
      </c>
      <c r="BN269" s="290">
        <v>2593</v>
      </c>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f>+innut23!E275+innut23!S275</f>
        <v>136906.66884795314</v>
      </c>
      <c r="CL269" s="290"/>
      <c r="CM269" s="290">
        <v>2979.3925502902412</v>
      </c>
      <c r="CN269" s="290">
        <v>3247.3414706533254</v>
      </c>
      <c r="CO269" s="290"/>
      <c r="CP269" s="290"/>
      <c r="CQ269" s="290"/>
      <c r="CX269" s="517">
        <f t="shared" si="9"/>
        <v>0</v>
      </c>
      <c r="DB269" s="85">
        <f t="shared" si="10"/>
        <v>0.72299999999999998</v>
      </c>
    </row>
    <row r="270" spans="1:106" ht="13">
      <c r="A270" s="1">
        <v>4639</v>
      </c>
      <c r="B270" s="2" t="s">
        <v>63</v>
      </c>
      <c r="C270" s="289"/>
      <c r="D270" s="290">
        <v>47</v>
      </c>
      <c r="E270" s="290">
        <v>98</v>
      </c>
      <c r="F270" s="290">
        <v>283</v>
      </c>
      <c r="G270" s="290">
        <v>210</v>
      </c>
      <c r="H270" s="290">
        <v>1286</v>
      </c>
      <c r="I270" s="290">
        <v>424</v>
      </c>
      <c r="J270" s="290">
        <v>182</v>
      </c>
      <c r="K270" s="290">
        <v>42</v>
      </c>
      <c r="L270" s="290">
        <v>19</v>
      </c>
      <c r="M270" s="290">
        <v>261</v>
      </c>
      <c r="N270" s="290">
        <v>48</v>
      </c>
      <c r="O270" s="290">
        <v>25</v>
      </c>
      <c r="P270" s="624">
        <v>21478.340333330001</v>
      </c>
      <c r="Q270" s="624">
        <v>8658.4143333299999</v>
      </c>
      <c r="R270" s="624">
        <v>13</v>
      </c>
      <c r="S270" s="290"/>
      <c r="T270" s="290">
        <v>210</v>
      </c>
      <c r="U270" s="958">
        <v>3.5179608364699273E-3</v>
      </c>
      <c r="V270" s="290">
        <v>141.88061101</v>
      </c>
      <c r="W270" s="765">
        <v>1</v>
      </c>
      <c r="X270" s="290">
        <v>0</v>
      </c>
      <c r="Y270" s="290"/>
      <c r="Z270" s="290">
        <f>+innut23!E276</f>
        <v>89633.448696577092</v>
      </c>
      <c r="AA270" s="290">
        <v>0</v>
      </c>
      <c r="AB270" s="290">
        <v>32</v>
      </c>
      <c r="AC270" s="290">
        <v>186</v>
      </c>
      <c r="AD270" s="290"/>
      <c r="AE270" s="290">
        <v>0</v>
      </c>
      <c r="AF270" s="290">
        <v>0</v>
      </c>
      <c r="AG270" s="290">
        <v>2572</v>
      </c>
      <c r="AH270" s="290">
        <v>447</v>
      </c>
      <c r="AI270" s="290"/>
      <c r="AJ270" s="290"/>
      <c r="AK270" s="290">
        <v>0</v>
      </c>
      <c r="AL270" s="290">
        <v>0</v>
      </c>
      <c r="AM270" s="957">
        <v>1.670746E-2</v>
      </c>
      <c r="AN270" s="290">
        <v>0</v>
      </c>
      <c r="AO270" s="290">
        <v>1419.9315217200001</v>
      </c>
      <c r="AP270" s="290">
        <v>0</v>
      </c>
      <c r="AQ270" s="290">
        <v>0</v>
      </c>
      <c r="AR270" s="290">
        <v>-105.55129396</v>
      </c>
      <c r="AS270" s="290">
        <v>4193</v>
      </c>
      <c r="AT270" s="290">
        <v>79</v>
      </c>
      <c r="AU270" s="290">
        <v>14</v>
      </c>
      <c r="AV270" s="766">
        <v>107869</v>
      </c>
      <c r="AW270" s="290">
        <v>0</v>
      </c>
      <c r="AX270" s="766">
        <v>18.000050000000002</v>
      </c>
      <c r="AY270" s="290">
        <v>521</v>
      </c>
      <c r="AZ270" s="290">
        <v>99</v>
      </c>
      <c r="BA270" s="290">
        <v>30</v>
      </c>
      <c r="BB270" s="290">
        <v>6257</v>
      </c>
      <c r="BC270" s="290">
        <v>1577</v>
      </c>
      <c r="BD270" s="290"/>
      <c r="BE270" s="290">
        <v>117726.09470645001</v>
      </c>
      <c r="BF270" s="290">
        <v>0</v>
      </c>
      <c r="BG270" s="290">
        <v>0</v>
      </c>
      <c r="BH270" s="290">
        <v>-436</v>
      </c>
      <c r="BI270" s="290">
        <v>1670</v>
      </c>
      <c r="BJ270" s="290">
        <v>344.35600949447741</v>
      </c>
      <c r="BK270" s="290">
        <v>3</v>
      </c>
      <c r="BL270" s="290"/>
      <c r="BM270" s="290">
        <v>0</v>
      </c>
      <c r="BN270" s="290">
        <v>1037</v>
      </c>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f>+innut23!E276+innut23!S276</f>
        <v>89633.448696577092</v>
      </c>
      <c r="CL270" s="290"/>
      <c r="CM270" s="290">
        <v>0</v>
      </c>
      <c r="CN270" s="290">
        <v>0</v>
      </c>
      <c r="CO270" s="290"/>
      <c r="CP270" s="290"/>
      <c r="CQ270" s="290"/>
      <c r="CX270" s="517">
        <f t="shared" si="9"/>
        <v>0</v>
      </c>
      <c r="DB270" s="85">
        <f t="shared" si="10"/>
        <v>0.47099999999999997</v>
      </c>
    </row>
    <row r="271" spans="1:106" ht="13">
      <c r="A271" s="1">
        <v>4640</v>
      </c>
      <c r="B271" s="2" t="s">
        <v>1637</v>
      </c>
      <c r="C271" s="289"/>
      <c r="D271" s="290">
        <v>281</v>
      </c>
      <c r="E271" s="290">
        <v>606</v>
      </c>
      <c r="F271" s="290">
        <v>1407</v>
      </c>
      <c r="G271" s="290">
        <v>1100</v>
      </c>
      <c r="H271" s="290">
        <v>6681</v>
      </c>
      <c r="I271" s="290">
        <v>1444</v>
      </c>
      <c r="J271" s="290">
        <v>437</v>
      </c>
      <c r="K271" s="290">
        <v>113</v>
      </c>
      <c r="L271" s="290">
        <v>84</v>
      </c>
      <c r="M271" s="290">
        <v>766</v>
      </c>
      <c r="N271" s="290">
        <v>302</v>
      </c>
      <c r="O271" s="290">
        <v>137</v>
      </c>
      <c r="P271" s="624">
        <v>88674.890333329997</v>
      </c>
      <c r="Q271" s="624">
        <v>28275.115000000002</v>
      </c>
      <c r="R271" s="624">
        <v>54</v>
      </c>
      <c r="S271" s="290"/>
      <c r="T271" s="290">
        <v>851</v>
      </c>
      <c r="U271" s="958">
        <v>6.0477525356620607E-3</v>
      </c>
      <c r="V271" s="290">
        <v>7215.22264576</v>
      </c>
      <c r="W271" s="765">
        <v>0.69919063000000004</v>
      </c>
      <c r="X271" s="290">
        <v>5400</v>
      </c>
      <c r="Y271" s="290"/>
      <c r="Z271" s="290">
        <f>+innut23!E277</f>
        <v>386057.18062809051</v>
      </c>
      <c r="AA271" s="290">
        <v>0</v>
      </c>
      <c r="AB271" s="290">
        <v>164</v>
      </c>
      <c r="AC271" s="290">
        <v>993</v>
      </c>
      <c r="AD271" s="290"/>
      <c r="AE271" s="290">
        <v>0</v>
      </c>
      <c r="AF271" s="290">
        <v>45445</v>
      </c>
      <c r="AG271" s="290">
        <v>12069</v>
      </c>
      <c r="AH271" s="290">
        <v>2301</v>
      </c>
      <c r="AI271" s="290"/>
      <c r="AJ271" s="290"/>
      <c r="AK271" s="290">
        <v>0</v>
      </c>
      <c r="AL271" s="290">
        <v>0</v>
      </c>
      <c r="AM271" s="957">
        <v>0.14137206999999999</v>
      </c>
      <c r="AN271" s="290">
        <v>0</v>
      </c>
      <c r="AO271" s="290">
        <v>5577.4566999799999</v>
      </c>
      <c r="AP271" s="290">
        <v>0</v>
      </c>
      <c r="AQ271" s="290">
        <v>0</v>
      </c>
      <c r="AR271" s="290">
        <v>-495.29493267999999</v>
      </c>
      <c r="AS271" s="290">
        <v>19263</v>
      </c>
      <c r="AT271" s="290">
        <v>349</v>
      </c>
      <c r="AU271" s="290">
        <v>107</v>
      </c>
      <c r="AV271" s="766">
        <v>374328</v>
      </c>
      <c r="AW271" s="290">
        <v>0</v>
      </c>
      <c r="AX271" s="766">
        <v>98.000050000000002</v>
      </c>
      <c r="AY271" s="290">
        <v>3924</v>
      </c>
      <c r="AZ271" s="290">
        <v>554</v>
      </c>
      <c r="BA271" s="290">
        <v>157</v>
      </c>
      <c r="BB271" s="290">
        <v>0</v>
      </c>
      <c r="BC271" s="290">
        <v>51249</v>
      </c>
      <c r="BD271" s="290"/>
      <c r="BE271" s="290">
        <v>432713.43214554002</v>
      </c>
      <c r="BF271" s="290">
        <v>0</v>
      </c>
      <c r="BG271" s="290">
        <v>0</v>
      </c>
      <c r="BH271" s="290">
        <v>-2014</v>
      </c>
      <c r="BI271" s="290">
        <v>53406</v>
      </c>
      <c r="BJ271" s="290">
        <v>1557.1932139916821</v>
      </c>
      <c r="BK271" s="290">
        <v>16</v>
      </c>
      <c r="BL271" s="290"/>
      <c r="BM271" s="290">
        <v>4351</v>
      </c>
      <c r="BN271" s="290">
        <v>4667</v>
      </c>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f>+innut23!E277+innut23!S277</f>
        <v>386057.18062809051</v>
      </c>
      <c r="CL271" s="290"/>
      <c r="CM271" s="290">
        <v>0</v>
      </c>
      <c r="CN271" s="290">
        <v>0</v>
      </c>
      <c r="CO271" s="290"/>
      <c r="CP271" s="290"/>
      <c r="CQ271" s="290"/>
      <c r="CX271" s="517">
        <f t="shared" si="9"/>
        <v>0</v>
      </c>
      <c r="DB271" s="85">
        <f t="shared" si="10"/>
        <v>2.2120000000000002</v>
      </c>
    </row>
    <row r="272" spans="1:106" ht="13">
      <c r="A272" s="1">
        <v>4641</v>
      </c>
      <c r="B272" s="2" t="s">
        <v>67</v>
      </c>
      <c r="C272" s="289"/>
      <c r="D272" s="290">
        <v>39</v>
      </c>
      <c r="E272" s="290">
        <v>60</v>
      </c>
      <c r="F272" s="290">
        <v>162</v>
      </c>
      <c r="G272" s="290">
        <v>124</v>
      </c>
      <c r="H272" s="290">
        <v>1037</v>
      </c>
      <c r="I272" s="290">
        <v>228</v>
      </c>
      <c r="J272" s="290">
        <v>78</v>
      </c>
      <c r="K272" s="290">
        <v>26</v>
      </c>
      <c r="L272" s="290">
        <v>16</v>
      </c>
      <c r="M272" s="290">
        <v>149</v>
      </c>
      <c r="N272" s="290">
        <v>1.5</v>
      </c>
      <c r="O272" s="290">
        <v>15</v>
      </c>
      <c r="P272" s="624">
        <v>11448.039000000001</v>
      </c>
      <c r="Q272" s="624">
        <v>9548.2093333299999</v>
      </c>
      <c r="R272" s="624">
        <v>7</v>
      </c>
      <c r="S272" s="290"/>
      <c r="T272" s="290">
        <v>166</v>
      </c>
      <c r="U272" s="958">
        <v>1.6181578445599281E-3</v>
      </c>
      <c r="V272" s="290">
        <v>1198.0038264</v>
      </c>
      <c r="W272" s="765">
        <v>1</v>
      </c>
      <c r="X272" s="290">
        <v>0</v>
      </c>
      <c r="Y272" s="290"/>
      <c r="Z272" s="290">
        <f>+innut23!E278</f>
        <v>91333.896629162758</v>
      </c>
      <c r="AA272" s="290">
        <v>0</v>
      </c>
      <c r="AB272" s="290">
        <v>31</v>
      </c>
      <c r="AC272" s="290">
        <v>0</v>
      </c>
      <c r="AD272" s="290"/>
      <c r="AE272" s="290">
        <v>0</v>
      </c>
      <c r="AF272" s="290">
        <v>0</v>
      </c>
      <c r="AG272" s="290">
        <v>1754</v>
      </c>
      <c r="AH272" s="290">
        <v>266</v>
      </c>
      <c r="AI272" s="290"/>
      <c r="AJ272" s="290"/>
      <c r="AK272" s="290">
        <v>0</v>
      </c>
      <c r="AL272" s="290">
        <v>0</v>
      </c>
      <c r="AM272" s="957">
        <v>3.7033999999999997E-2</v>
      </c>
      <c r="AN272" s="290">
        <v>0</v>
      </c>
      <c r="AO272" s="290">
        <v>926.07183397999995</v>
      </c>
      <c r="AP272" s="290">
        <v>0</v>
      </c>
      <c r="AQ272" s="290">
        <v>0</v>
      </c>
      <c r="AR272" s="290">
        <v>-71.98171447</v>
      </c>
      <c r="AS272" s="290">
        <v>2628</v>
      </c>
      <c r="AT272" s="290">
        <v>50</v>
      </c>
      <c r="AU272" s="290">
        <v>30</v>
      </c>
      <c r="AV272" s="766">
        <v>61831</v>
      </c>
      <c r="AW272" s="290">
        <v>0</v>
      </c>
      <c r="AX272" s="766">
        <v>22.916699999999999</v>
      </c>
      <c r="AY272" s="290">
        <v>413</v>
      </c>
      <c r="AZ272" s="290">
        <v>77</v>
      </c>
      <c r="BA272" s="290">
        <v>20</v>
      </c>
      <c r="BB272" s="290">
        <v>0</v>
      </c>
      <c r="BC272" s="290">
        <v>1255</v>
      </c>
      <c r="BD272" s="290"/>
      <c r="BE272" s="290">
        <v>71356.128129830002</v>
      </c>
      <c r="BF272" s="290">
        <v>0</v>
      </c>
      <c r="BG272" s="290">
        <v>0</v>
      </c>
      <c r="BH272" s="290">
        <v>-298</v>
      </c>
      <c r="BI272" s="290">
        <v>1303</v>
      </c>
      <c r="BJ272" s="290">
        <v>215.77676679349631</v>
      </c>
      <c r="BK272" s="290">
        <v>2</v>
      </c>
      <c r="BL272" s="290"/>
      <c r="BM272" s="290">
        <v>0</v>
      </c>
      <c r="BN272" s="290">
        <v>1037</v>
      </c>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f>+innut23!E278+innut23!S278</f>
        <v>91333.896629162758</v>
      </c>
      <c r="CL272" s="290"/>
      <c r="CM272" s="290">
        <v>0</v>
      </c>
      <c r="CN272" s="290">
        <v>0</v>
      </c>
      <c r="CO272" s="290"/>
      <c r="CP272" s="290"/>
      <c r="CQ272" s="290"/>
      <c r="CX272" s="517">
        <f t="shared" si="9"/>
        <v>0</v>
      </c>
      <c r="DB272" s="85">
        <f t="shared" si="10"/>
        <v>0.32100000000000001</v>
      </c>
    </row>
    <row r="273" spans="1:106" ht="13">
      <c r="A273" s="1">
        <v>4642</v>
      </c>
      <c r="B273" s="2" t="s">
        <v>68</v>
      </c>
      <c r="C273" s="289"/>
      <c r="D273" s="290">
        <v>41</v>
      </c>
      <c r="E273" s="290">
        <v>85</v>
      </c>
      <c r="F273" s="290">
        <v>225</v>
      </c>
      <c r="G273" s="290">
        <v>175</v>
      </c>
      <c r="H273" s="290">
        <v>1141</v>
      </c>
      <c r="I273" s="290">
        <v>347</v>
      </c>
      <c r="J273" s="290">
        <v>93</v>
      </c>
      <c r="K273" s="290">
        <v>25</v>
      </c>
      <c r="L273" s="290">
        <v>18</v>
      </c>
      <c r="M273" s="290">
        <v>196</v>
      </c>
      <c r="N273" s="290">
        <v>37</v>
      </c>
      <c r="O273" s="290">
        <v>33</v>
      </c>
      <c r="P273" s="624">
        <v>14828.95166667</v>
      </c>
      <c r="Q273" s="624">
        <v>7983.8559999999998</v>
      </c>
      <c r="R273" s="624">
        <v>7</v>
      </c>
      <c r="S273" s="290"/>
      <c r="T273" s="290">
        <v>199</v>
      </c>
      <c r="U273" s="958">
        <v>2.3521656122328645E-3</v>
      </c>
      <c r="V273" s="290">
        <v>1449.1173155500001</v>
      </c>
      <c r="W273" s="765">
        <v>1</v>
      </c>
      <c r="X273" s="290">
        <v>0</v>
      </c>
      <c r="Y273" s="290"/>
      <c r="Z273" s="290">
        <f>+innut23!E279</f>
        <v>81606.718431921574</v>
      </c>
      <c r="AA273" s="290">
        <v>0</v>
      </c>
      <c r="AB273" s="290">
        <v>30</v>
      </c>
      <c r="AC273" s="290">
        <v>432</v>
      </c>
      <c r="AD273" s="290"/>
      <c r="AE273" s="290">
        <v>0</v>
      </c>
      <c r="AF273" s="290">
        <v>0</v>
      </c>
      <c r="AG273" s="290">
        <v>2132</v>
      </c>
      <c r="AH273" s="290">
        <v>360</v>
      </c>
      <c r="AI273" s="290"/>
      <c r="AJ273" s="290"/>
      <c r="AK273" s="290">
        <v>0</v>
      </c>
      <c r="AL273" s="290">
        <v>0</v>
      </c>
      <c r="AM273" s="957">
        <v>2.7220089999999999E-2</v>
      </c>
      <c r="AN273" s="290">
        <v>0</v>
      </c>
      <c r="AO273" s="290">
        <v>1120.1856792900001</v>
      </c>
      <c r="AP273" s="290">
        <v>0</v>
      </c>
      <c r="AQ273" s="290">
        <v>0</v>
      </c>
      <c r="AR273" s="290">
        <v>-87.49430744</v>
      </c>
      <c r="AS273" s="290">
        <v>3046</v>
      </c>
      <c r="AT273" s="290">
        <v>92</v>
      </c>
      <c r="AU273" s="290">
        <v>13</v>
      </c>
      <c r="AV273" s="766">
        <v>78857</v>
      </c>
      <c r="AW273" s="290">
        <v>0</v>
      </c>
      <c r="AX273" s="766">
        <v>18.083300000000001</v>
      </c>
      <c r="AY273" s="290">
        <v>488</v>
      </c>
      <c r="AZ273" s="290">
        <v>102</v>
      </c>
      <c r="BA273" s="290">
        <v>34</v>
      </c>
      <c r="BB273" s="290">
        <v>6257</v>
      </c>
      <c r="BC273" s="290">
        <v>1643</v>
      </c>
      <c r="BD273" s="290"/>
      <c r="BE273" s="290">
        <v>92463.168619880002</v>
      </c>
      <c r="BF273" s="290">
        <v>0</v>
      </c>
      <c r="BG273" s="290">
        <v>0</v>
      </c>
      <c r="BH273" s="290">
        <v>-355</v>
      </c>
      <c r="BI273" s="290">
        <v>1829</v>
      </c>
      <c r="BJ273" s="290">
        <v>285.3242356362536</v>
      </c>
      <c r="BK273" s="290">
        <v>3</v>
      </c>
      <c r="BL273" s="290"/>
      <c r="BM273" s="290">
        <v>0</v>
      </c>
      <c r="BN273" s="290">
        <v>1037</v>
      </c>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f>+innut23!E279+innut23!S279</f>
        <v>81606.718431921574</v>
      </c>
      <c r="CL273" s="290"/>
      <c r="CM273" s="290">
        <v>0</v>
      </c>
      <c r="CN273" s="290">
        <v>0</v>
      </c>
      <c r="CO273" s="290"/>
      <c r="CP273" s="290"/>
      <c r="CQ273" s="290"/>
      <c r="CX273" s="517">
        <f t="shared" si="9"/>
        <v>0</v>
      </c>
      <c r="DB273" s="85">
        <f t="shared" si="10"/>
        <v>0.39100000000000001</v>
      </c>
    </row>
    <row r="274" spans="1:106" ht="13">
      <c r="A274" s="1">
        <v>4643</v>
      </c>
      <c r="B274" s="2" t="s">
        <v>69</v>
      </c>
      <c r="C274" s="289"/>
      <c r="D274" s="290">
        <v>76</v>
      </c>
      <c r="E274" s="290">
        <v>184</v>
      </c>
      <c r="F274" s="290">
        <v>543</v>
      </c>
      <c r="G274" s="290">
        <v>405</v>
      </c>
      <c r="H274" s="290">
        <v>2854</v>
      </c>
      <c r="I274" s="290">
        <v>730</v>
      </c>
      <c r="J274" s="290">
        <v>297</v>
      </c>
      <c r="K274" s="290">
        <v>87</v>
      </c>
      <c r="L274" s="290">
        <v>39</v>
      </c>
      <c r="M274" s="290">
        <v>496</v>
      </c>
      <c r="N274" s="290">
        <v>85</v>
      </c>
      <c r="O274" s="290">
        <v>48</v>
      </c>
      <c r="P274" s="624">
        <v>40692.084000000003</v>
      </c>
      <c r="Q274" s="624">
        <v>6577.3456666700004</v>
      </c>
      <c r="R274" s="624">
        <v>35</v>
      </c>
      <c r="S274" s="290"/>
      <c r="T274" s="290">
        <v>516</v>
      </c>
      <c r="U274" s="958">
        <v>3.6741189943851509E-4</v>
      </c>
      <c r="V274" s="290">
        <v>3282.24394467</v>
      </c>
      <c r="W274" s="765">
        <v>0.69191407999999999</v>
      </c>
      <c r="X274" s="290">
        <v>0</v>
      </c>
      <c r="Y274" s="290"/>
      <c r="Z274" s="290">
        <f>+innut23!E280</f>
        <v>202345.82638075325</v>
      </c>
      <c r="AA274" s="290">
        <v>0</v>
      </c>
      <c r="AB274" s="290">
        <v>89</v>
      </c>
      <c r="AC274" s="290">
        <v>1050</v>
      </c>
      <c r="AD274" s="290"/>
      <c r="AE274" s="290">
        <v>0</v>
      </c>
      <c r="AF274" s="290">
        <v>0</v>
      </c>
      <c r="AG274" s="290">
        <v>5176</v>
      </c>
      <c r="AH274" s="290">
        <v>817</v>
      </c>
      <c r="AI274" s="290"/>
      <c r="AJ274" s="290"/>
      <c r="AK274" s="290">
        <v>11324</v>
      </c>
      <c r="AL274" s="290">
        <v>0</v>
      </c>
      <c r="AM274" s="957">
        <v>1.933356E-2</v>
      </c>
      <c r="AN274" s="290">
        <v>7740</v>
      </c>
      <c r="AO274" s="290">
        <v>2537.2153263999999</v>
      </c>
      <c r="AP274" s="290">
        <v>0</v>
      </c>
      <c r="AQ274" s="290">
        <v>0</v>
      </c>
      <c r="AR274" s="290">
        <v>-212.41582331000001</v>
      </c>
      <c r="AS274" s="290">
        <v>6711</v>
      </c>
      <c r="AT274" s="290">
        <v>192</v>
      </c>
      <c r="AU274" s="290">
        <v>27</v>
      </c>
      <c r="AV274" s="766">
        <v>172885</v>
      </c>
      <c r="AW274" s="290">
        <v>0</v>
      </c>
      <c r="AX274" s="766">
        <v>27.291650000000001</v>
      </c>
      <c r="AY274" s="290">
        <v>983</v>
      </c>
      <c r="AZ274" s="290">
        <v>101</v>
      </c>
      <c r="BA274" s="290">
        <v>94</v>
      </c>
      <c r="BB274" s="290">
        <v>0</v>
      </c>
      <c r="BC274" s="290">
        <v>11914</v>
      </c>
      <c r="BD274" s="290"/>
      <c r="BE274" s="290">
        <v>201011.54847067001</v>
      </c>
      <c r="BF274" s="290">
        <v>0</v>
      </c>
      <c r="BG274" s="290">
        <v>0</v>
      </c>
      <c r="BH274" s="290">
        <v>-872</v>
      </c>
      <c r="BI274" s="290">
        <v>14228</v>
      </c>
      <c r="BJ274" s="290">
        <v>610.24442009453173</v>
      </c>
      <c r="BK274" s="290">
        <v>7</v>
      </c>
      <c r="BL274" s="290"/>
      <c r="BM274" s="290">
        <v>0</v>
      </c>
      <c r="BN274" s="290">
        <v>1037</v>
      </c>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f>+innut23!E280+innut23!S280</f>
        <v>202345.82638075325</v>
      </c>
      <c r="CL274" s="290"/>
      <c r="CM274" s="290">
        <v>13247.492037710173</v>
      </c>
      <c r="CN274" s="290">
        <v>15162.30212993808</v>
      </c>
      <c r="CO274" s="290"/>
      <c r="CP274" s="290"/>
      <c r="CQ274" s="290"/>
      <c r="CX274" s="517">
        <f t="shared" si="9"/>
        <v>0</v>
      </c>
      <c r="DB274" s="85">
        <f t="shared" si="10"/>
        <v>0.94899999999999995</v>
      </c>
    </row>
    <row r="275" spans="1:106" ht="13">
      <c r="A275" s="1">
        <v>4644</v>
      </c>
      <c r="B275" s="2" t="s">
        <v>70</v>
      </c>
      <c r="C275" s="289"/>
      <c r="D275" s="290">
        <v>105</v>
      </c>
      <c r="E275" s="290">
        <v>261</v>
      </c>
      <c r="F275" s="290">
        <v>622</v>
      </c>
      <c r="G275" s="290">
        <v>473</v>
      </c>
      <c r="H275" s="290">
        <v>2730</v>
      </c>
      <c r="I275" s="290">
        <v>711</v>
      </c>
      <c r="J275" s="290">
        <v>273</v>
      </c>
      <c r="K275" s="290">
        <v>73</v>
      </c>
      <c r="L275" s="290">
        <v>36</v>
      </c>
      <c r="M275" s="290">
        <v>465</v>
      </c>
      <c r="N275" s="290">
        <v>59</v>
      </c>
      <c r="O275" s="290">
        <v>38</v>
      </c>
      <c r="P275" s="624">
        <v>47125.593333329998</v>
      </c>
      <c r="Q275" s="624">
        <v>17852.453666670001</v>
      </c>
      <c r="R275" s="624">
        <v>35</v>
      </c>
      <c r="S275" s="290"/>
      <c r="T275" s="290">
        <v>406</v>
      </c>
      <c r="U275" s="958">
        <v>5.5769152409867809E-3</v>
      </c>
      <c r="V275" s="290">
        <v>3550.0170012499998</v>
      </c>
      <c r="W275" s="765">
        <v>0.85197867999999999</v>
      </c>
      <c r="X275" s="290">
        <v>0</v>
      </c>
      <c r="Y275" s="290"/>
      <c r="Z275" s="290">
        <f>+innut23!E281</f>
        <v>181260.96690863231</v>
      </c>
      <c r="AA275" s="290">
        <v>0</v>
      </c>
      <c r="AB275" s="290">
        <v>105</v>
      </c>
      <c r="AC275" s="290">
        <v>547</v>
      </c>
      <c r="AD275" s="290"/>
      <c r="AE275" s="290">
        <v>0</v>
      </c>
      <c r="AF275" s="290">
        <v>0</v>
      </c>
      <c r="AG275" s="290">
        <v>5248</v>
      </c>
      <c r="AH275" s="290">
        <v>1013</v>
      </c>
      <c r="AI275" s="290"/>
      <c r="AJ275" s="290"/>
      <c r="AK275" s="290">
        <v>0</v>
      </c>
      <c r="AL275" s="290">
        <v>0</v>
      </c>
      <c r="AM275" s="957">
        <v>4.4645020000000001E-2</v>
      </c>
      <c r="AN275" s="290">
        <v>3117</v>
      </c>
      <c r="AO275" s="290">
        <v>2744.20722419</v>
      </c>
      <c r="AP275" s="290">
        <v>0</v>
      </c>
      <c r="AQ275" s="290">
        <v>0</v>
      </c>
      <c r="AR275" s="290">
        <v>-215.37060292000001</v>
      </c>
      <c r="AS275" s="290">
        <v>6876</v>
      </c>
      <c r="AT275" s="290">
        <v>149</v>
      </c>
      <c r="AU275" s="290">
        <v>38</v>
      </c>
      <c r="AV275" s="766">
        <v>188370</v>
      </c>
      <c r="AW275" s="290">
        <v>0</v>
      </c>
      <c r="AX275" s="766">
        <v>35.375050000000002</v>
      </c>
      <c r="AY275" s="290">
        <v>1212</v>
      </c>
      <c r="AZ275" s="290">
        <v>217</v>
      </c>
      <c r="BA275" s="290">
        <v>62</v>
      </c>
      <c r="BB275" s="290">
        <v>0</v>
      </c>
      <c r="BC275" s="290">
        <v>5859</v>
      </c>
      <c r="BD275" s="290"/>
      <c r="BE275" s="290">
        <v>215177.37578314001</v>
      </c>
      <c r="BF275" s="290">
        <v>0</v>
      </c>
      <c r="BG275" s="290">
        <v>0</v>
      </c>
      <c r="BH275" s="290">
        <v>-881</v>
      </c>
      <c r="BI275" s="290">
        <v>6227</v>
      </c>
      <c r="BJ275" s="290">
        <v>707.39844918365191</v>
      </c>
      <c r="BK275" s="290">
        <v>7</v>
      </c>
      <c r="BL275" s="290"/>
      <c r="BM275" s="290">
        <v>0</v>
      </c>
      <c r="BN275" s="290">
        <v>4667</v>
      </c>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f>+innut23!E281+innut23!S281</f>
        <v>181260.96690863231</v>
      </c>
      <c r="CL275" s="290"/>
      <c r="CM275" s="290">
        <v>0</v>
      </c>
      <c r="CN275" s="290">
        <v>0</v>
      </c>
      <c r="CO275" s="290"/>
      <c r="CP275" s="290"/>
      <c r="CQ275" s="290"/>
      <c r="CX275" s="517">
        <f t="shared" si="9"/>
        <v>0</v>
      </c>
      <c r="DB275" s="85">
        <f t="shared" si="10"/>
        <v>0.96199999999999997</v>
      </c>
    </row>
    <row r="276" spans="1:106" ht="13">
      <c r="A276" s="1">
        <v>4645</v>
      </c>
      <c r="B276" s="2" t="s">
        <v>71</v>
      </c>
      <c r="C276" s="289"/>
      <c r="D276" s="290">
        <v>49</v>
      </c>
      <c r="E276" s="290">
        <v>120</v>
      </c>
      <c r="F276" s="290">
        <v>353</v>
      </c>
      <c r="G276" s="290">
        <v>242</v>
      </c>
      <c r="H276" s="290">
        <v>1472</v>
      </c>
      <c r="I276" s="290">
        <v>485</v>
      </c>
      <c r="J276" s="290">
        <v>176</v>
      </c>
      <c r="K276" s="290">
        <v>54</v>
      </c>
      <c r="L276" s="290">
        <v>26</v>
      </c>
      <c r="M276" s="290">
        <v>316</v>
      </c>
      <c r="N276" s="290">
        <v>26</v>
      </c>
      <c r="O276" s="290">
        <v>21</v>
      </c>
      <c r="P276" s="624">
        <v>57540.682999999997</v>
      </c>
      <c r="Q276" s="624">
        <v>14022.16533333</v>
      </c>
      <c r="R276" s="624">
        <v>11</v>
      </c>
      <c r="S276" s="290"/>
      <c r="T276" s="290">
        <v>203</v>
      </c>
      <c r="U276" s="958">
        <v>2.6838439527255456E-3</v>
      </c>
      <c r="V276" s="290">
        <v>-2039.9366411599999</v>
      </c>
      <c r="W276" s="765">
        <v>1</v>
      </c>
      <c r="X276" s="290">
        <v>900</v>
      </c>
      <c r="Y276" s="290"/>
      <c r="Z276" s="290">
        <f>+innut23!E282</f>
        <v>90229.382953553286</v>
      </c>
      <c r="AA276" s="290">
        <v>0</v>
      </c>
      <c r="AB276" s="290">
        <v>52</v>
      </c>
      <c r="AC276" s="290">
        <v>793</v>
      </c>
      <c r="AD276" s="290"/>
      <c r="AE276" s="290">
        <v>0</v>
      </c>
      <c r="AF276" s="290">
        <v>0</v>
      </c>
      <c r="AG276" s="290">
        <v>2951</v>
      </c>
      <c r="AH276" s="290">
        <v>526</v>
      </c>
      <c r="AI276" s="290"/>
      <c r="AJ276" s="290"/>
      <c r="AK276" s="290">
        <v>0</v>
      </c>
      <c r="AL276" s="290">
        <v>0</v>
      </c>
      <c r="AM276" s="957">
        <v>1.4713149999999999E-2</v>
      </c>
      <c r="AN276" s="290">
        <v>0</v>
      </c>
      <c r="AO276" s="290">
        <v>1655.06856298</v>
      </c>
      <c r="AP276" s="290">
        <v>0</v>
      </c>
      <c r="AQ276" s="290">
        <v>0</v>
      </c>
      <c r="AR276" s="290">
        <v>-121.10492554</v>
      </c>
      <c r="AS276" s="290">
        <v>5525</v>
      </c>
      <c r="AT276" s="290">
        <v>88</v>
      </c>
      <c r="AU276" s="290">
        <v>14</v>
      </c>
      <c r="AV276" s="766">
        <v>123142</v>
      </c>
      <c r="AW276" s="290">
        <v>0</v>
      </c>
      <c r="AX276" s="766">
        <v>16.916650000000001</v>
      </c>
      <c r="AY276" s="290">
        <v>595</v>
      </c>
      <c r="AZ276" s="290">
        <v>104</v>
      </c>
      <c r="BA276" s="290">
        <v>50</v>
      </c>
      <c r="BB276" s="290">
        <v>6257</v>
      </c>
      <c r="BC276" s="290">
        <v>3071</v>
      </c>
      <c r="BD276" s="290"/>
      <c r="BE276" s="290">
        <v>137958.08031565</v>
      </c>
      <c r="BF276" s="290">
        <v>0</v>
      </c>
      <c r="BG276" s="290">
        <v>0</v>
      </c>
      <c r="BH276" s="290">
        <v>-498</v>
      </c>
      <c r="BI276" s="290">
        <v>3393</v>
      </c>
      <c r="BJ276" s="290">
        <v>439.52750539103062</v>
      </c>
      <c r="BK276" s="290">
        <v>3</v>
      </c>
      <c r="BL276" s="290"/>
      <c r="BM276" s="290">
        <v>0</v>
      </c>
      <c r="BN276" s="290">
        <v>2074</v>
      </c>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f>+innut23!E282+innut23!S282</f>
        <v>90229.382953553286</v>
      </c>
      <c r="CL276" s="290"/>
      <c r="CM276" s="290">
        <v>0</v>
      </c>
      <c r="CN276" s="290">
        <v>0</v>
      </c>
      <c r="CO276" s="290"/>
      <c r="CP276" s="290"/>
      <c r="CQ276" s="290"/>
      <c r="CX276" s="517">
        <f t="shared" si="9"/>
        <v>0</v>
      </c>
      <c r="DB276" s="85">
        <f t="shared" si="10"/>
        <v>0.54100000000000004</v>
      </c>
    </row>
    <row r="277" spans="1:106" ht="13">
      <c r="A277" s="1">
        <v>4646</v>
      </c>
      <c r="B277" s="2" t="s">
        <v>72</v>
      </c>
      <c r="C277" s="289"/>
      <c r="D277" s="290">
        <v>61</v>
      </c>
      <c r="E277" s="290">
        <v>112</v>
      </c>
      <c r="F277" s="290">
        <v>355</v>
      </c>
      <c r="G277" s="290">
        <v>390</v>
      </c>
      <c r="H277" s="290">
        <v>1335</v>
      </c>
      <c r="I277" s="290">
        <v>423</v>
      </c>
      <c r="J277" s="290">
        <v>149</v>
      </c>
      <c r="K277" s="290">
        <v>21</v>
      </c>
      <c r="L277" s="290">
        <v>23</v>
      </c>
      <c r="M277" s="290">
        <v>259</v>
      </c>
      <c r="N277" s="290">
        <v>19</v>
      </c>
      <c r="O277" s="290">
        <v>30</v>
      </c>
      <c r="P277" s="624">
        <v>30391.41366667</v>
      </c>
      <c r="Q277" s="624">
        <v>10451.504000000001</v>
      </c>
      <c r="R277" s="624">
        <v>32</v>
      </c>
      <c r="S277" s="290"/>
      <c r="T277" s="290">
        <v>197</v>
      </c>
      <c r="U277" s="958">
        <v>2.6490818414435058E-3</v>
      </c>
      <c r="V277" s="290">
        <v>2084.6759069099999</v>
      </c>
      <c r="W277" s="765">
        <v>0.90077434999999995</v>
      </c>
      <c r="X277" s="290">
        <v>1400</v>
      </c>
      <c r="Y277" s="290"/>
      <c r="Z277" s="290">
        <f>+innut23!E283</f>
        <v>83728.257014121031</v>
      </c>
      <c r="AA277" s="290">
        <v>0</v>
      </c>
      <c r="AB277" s="290">
        <v>53</v>
      </c>
      <c r="AC277" s="290">
        <v>422</v>
      </c>
      <c r="AD277" s="290"/>
      <c r="AE277" s="290">
        <v>285</v>
      </c>
      <c r="AF277" s="290">
        <v>0</v>
      </c>
      <c r="AG277" s="290">
        <v>2846</v>
      </c>
      <c r="AH277" s="290">
        <v>642</v>
      </c>
      <c r="AI277" s="290"/>
      <c r="AJ277" s="290"/>
      <c r="AK277" s="290">
        <v>0</v>
      </c>
      <c r="AL277" s="290">
        <v>0</v>
      </c>
      <c r="AM277" s="957">
        <v>2.943142E-2</v>
      </c>
      <c r="AN277" s="290">
        <v>0</v>
      </c>
      <c r="AO277" s="290">
        <v>1611.48036245</v>
      </c>
      <c r="AP277" s="290">
        <v>0</v>
      </c>
      <c r="AQ277" s="290">
        <v>0</v>
      </c>
      <c r="AR277" s="290">
        <v>-116.79587194</v>
      </c>
      <c r="AS277" s="290">
        <v>6803</v>
      </c>
      <c r="AT277" s="290">
        <v>87</v>
      </c>
      <c r="AU277" s="290">
        <v>13</v>
      </c>
      <c r="AV277" s="766">
        <v>124450</v>
      </c>
      <c r="AW277" s="290">
        <v>0</v>
      </c>
      <c r="AX277" s="766">
        <v>20.708349999999999</v>
      </c>
      <c r="AY277" s="290">
        <v>647</v>
      </c>
      <c r="AZ277" s="290">
        <v>219</v>
      </c>
      <c r="BA277" s="290">
        <v>44</v>
      </c>
      <c r="BB277" s="290">
        <v>4381</v>
      </c>
      <c r="BC277" s="290">
        <v>2908</v>
      </c>
      <c r="BD277" s="290"/>
      <c r="BE277" s="290">
        <v>138276.44028261001</v>
      </c>
      <c r="BF277" s="290">
        <v>0</v>
      </c>
      <c r="BG277" s="290">
        <v>0</v>
      </c>
      <c r="BH277" s="290">
        <v>-481</v>
      </c>
      <c r="BI277" s="290">
        <v>3138</v>
      </c>
      <c r="BJ277" s="290">
        <v>422.04209740150839</v>
      </c>
      <c r="BK277" s="290">
        <v>3</v>
      </c>
      <c r="BL277" s="290"/>
      <c r="BM277" s="290">
        <v>0</v>
      </c>
      <c r="BN277" s="290">
        <v>2074</v>
      </c>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f>+innut23!E283+innut23!S283</f>
        <v>83728.257014121031</v>
      </c>
      <c r="CL277" s="290"/>
      <c r="CM277" s="290">
        <v>0</v>
      </c>
      <c r="CN277" s="290">
        <v>0</v>
      </c>
      <c r="CO277" s="290"/>
      <c r="CP277" s="290"/>
      <c r="CQ277" s="290"/>
      <c r="CX277" s="517">
        <f t="shared" si="9"/>
        <v>0</v>
      </c>
      <c r="DB277" s="85">
        <f t="shared" si="10"/>
        <v>0.52200000000000002</v>
      </c>
    </row>
    <row r="278" spans="1:106" ht="13">
      <c r="A278" s="1">
        <v>4647</v>
      </c>
      <c r="B278" s="2" t="s">
        <v>1638</v>
      </c>
      <c r="C278" s="289"/>
      <c r="D278" s="290">
        <v>488</v>
      </c>
      <c r="E278" s="290">
        <v>1035</v>
      </c>
      <c r="F278" s="290">
        <v>2938</v>
      </c>
      <c r="G278" s="290">
        <v>2083</v>
      </c>
      <c r="H278" s="290">
        <v>12125</v>
      </c>
      <c r="I278" s="290">
        <v>2527</v>
      </c>
      <c r="J278" s="290">
        <v>754</v>
      </c>
      <c r="K278" s="290">
        <v>211</v>
      </c>
      <c r="L278" s="290">
        <v>142</v>
      </c>
      <c r="M278" s="290">
        <v>1385</v>
      </c>
      <c r="N278" s="290">
        <v>444</v>
      </c>
      <c r="O278" s="290">
        <v>191</v>
      </c>
      <c r="P278" s="624">
        <v>136472.18100000001</v>
      </c>
      <c r="Q278" s="624">
        <v>61470.336000000003</v>
      </c>
      <c r="R278" s="624">
        <v>103</v>
      </c>
      <c r="S278" s="290"/>
      <c r="T278" s="290">
        <v>1852</v>
      </c>
      <c r="U278" s="958">
        <v>1.1644926617801171E-2</v>
      </c>
      <c r="V278" s="290">
        <v>13321.270653830001</v>
      </c>
      <c r="W278" s="765">
        <v>0.67345032999999999</v>
      </c>
      <c r="X278" s="290">
        <v>11600</v>
      </c>
      <c r="Y278" s="290"/>
      <c r="Z278" s="290">
        <f>+innut23!E284</f>
        <v>743335.39592644142</v>
      </c>
      <c r="AA278" s="290">
        <v>0</v>
      </c>
      <c r="AB278" s="290">
        <v>402</v>
      </c>
      <c r="AC278" s="290">
        <v>5427</v>
      </c>
      <c r="AD278" s="290"/>
      <c r="AE278" s="290">
        <v>0</v>
      </c>
      <c r="AF278" s="290">
        <v>68168</v>
      </c>
      <c r="AG278" s="290">
        <v>22161</v>
      </c>
      <c r="AH278" s="290">
        <v>4553</v>
      </c>
      <c r="AI278" s="290"/>
      <c r="AJ278" s="290"/>
      <c r="AK278" s="290">
        <v>0</v>
      </c>
      <c r="AL278" s="290">
        <v>0</v>
      </c>
      <c r="AM278" s="957">
        <v>0.14933587000000001</v>
      </c>
      <c r="AN278" s="290">
        <v>0</v>
      </c>
      <c r="AO278" s="290">
        <v>10297.507631889999</v>
      </c>
      <c r="AP278" s="290">
        <v>0</v>
      </c>
      <c r="AQ278" s="290">
        <v>0</v>
      </c>
      <c r="AR278" s="290">
        <v>-909.45654180999998</v>
      </c>
      <c r="AS278" s="290">
        <v>35167</v>
      </c>
      <c r="AT278" s="290">
        <v>772</v>
      </c>
      <c r="AU278" s="290">
        <v>127</v>
      </c>
      <c r="AV278" s="766">
        <v>702657</v>
      </c>
      <c r="AW278" s="290">
        <v>0</v>
      </c>
      <c r="AX278" s="766">
        <v>193.54165</v>
      </c>
      <c r="AY278" s="290">
        <v>5932</v>
      </c>
      <c r="AZ278" s="290">
        <v>745</v>
      </c>
      <c r="BA278" s="290">
        <v>404</v>
      </c>
      <c r="BB278" s="290">
        <v>0</v>
      </c>
      <c r="BC278" s="290">
        <v>81480</v>
      </c>
      <c r="BD278" s="290"/>
      <c r="BE278" s="290">
        <v>789141.91817512002</v>
      </c>
      <c r="BF278" s="290">
        <v>0</v>
      </c>
      <c r="BG278" s="290">
        <v>0</v>
      </c>
      <c r="BH278" s="290">
        <v>-3719</v>
      </c>
      <c r="BI278" s="290">
        <v>85926</v>
      </c>
      <c r="BJ278" s="290">
        <v>3165.3705325971591</v>
      </c>
      <c r="BK278" s="290">
        <v>30</v>
      </c>
      <c r="BL278" s="290"/>
      <c r="BM278" s="290">
        <v>5082</v>
      </c>
      <c r="BN278" s="290">
        <v>7778</v>
      </c>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f>+innut23!E284+innut23!S284</f>
        <v>743335.39592644142</v>
      </c>
      <c r="CL278" s="290"/>
      <c r="CM278" s="290">
        <v>0</v>
      </c>
      <c r="CN278" s="290">
        <v>0</v>
      </c>
      <c r="CO278" s="290"/>
      <c r="CP278" s="290"/>
      <c r="CQ278" s="290"/>
      <c r="CX278" s="517">
        <f t="shared" si="9"/>
        <v>0</v>
      </c>
      <c r="DB278" s="85">
        <f t="shared" si="10"/>
        <v>4.0620000000000003</v>
      </c>
    </row>
    <row r="279" spans="1:106" ht="13">
      <c r="A279" s="1">
        <v>4648</v>
      </c>
      <c r="B279" s="2" t="s">
        <v>77</v>
      </c>
      <c r="C279" s="289"/>
      <c r="D279" s="290">
        <v>51</v>
      </c>
      <c r="E279" s="290">
        <v>124</v>
      </c>
      <c r="F279" s="290">
        <v>367</v>
      </c>
      <c r="G279" s="290">
        <v>319</v>
      </c>
      <c r="H279" s="290">
        <v>1785</v>
      </c>
      <c r="I279" s="290">
        <v>541</v>
      </c>
      <c r="J279" s="290">
        <v>229</v>
      </c>
      <c r="K279" s="290">
        <v>73</v>
      </c>
      <c r="L279" s="290">
        <v>27</v>
      </c>
      <c r="M279" s="290">
        <v>378</v>
      </c>
      <c r="N279" s="290">
        <v>71</v>
      </c>
      <c r="O279" s="290">
        <v>41</v>
      </c>
      <c r="P279" s="624">
        <v>106327.281</v>
      </c>
      <c r="Q279" s="624">
        <v>13671.66633333</v>
      </c>
      <c r="R279" s="624">
        <v>19</v>
      </c>
      <c r="S279" s="290"/>
      <c r="T279" s="290">
        <v>231</v>
      </c>
      <c r="U279" s="958">
        <v>2.380937401063459E-3</v>
      </c>
      <c r="V279" s="290">
        <v>2533.5564331199998</v>
      </c>
      <c r="W279" s="765">
        <v>1</v>
      </c>
      <c r="X279" s="290">
        <v>0</v>
      </c>
      <c r="Y279" s="290"/>
      <c r="Z279" s="290">
        <f>+innut23!E285</f>
        <v>119626.96474676191</v>
      </c>
      <c r="AA279" s="290">
        <v>0</v>
      </c>
      <c r="AB279" s="290">
        <v>68</v>
      </c>
      <c r="AC279" s="290">
        <v>767</v>
      </c>
      <c r="AD279" s="290"/>
      <c r="AE279" s="290">
        <v>0</v>
      </c>
      <c r="AF279" s="290">
        <v>0</v>
      </c>
      <c r="AG279" s="290">
        <v>3489</v>
      </c>
      <c r="AH279" s="290">
        <v>591</v>
      </c>
      <c r="AI279" s="290"/>
      <c r="AJ279" s="290"/>
      <c r="AK279" s="290">
        <v>195</v>
      </c>
      <c r="AL279" s="290">
        <v>0</v>
      </c>
      <c r="AM279" s="957">
        <v>3.7457730000000002E-2</v>
      </c>
      <c r="AN279" s="290">
        <v>5675</v>
      </c>
      <c r="AO279" s="290">
        <v>1958.4705831599999</v>
      </c>
      <c r="AP279" s="290">
        <v>0</v>
      </c>
      <c r="AQ279" s="290">
        <v>0</v>
      </c>
      <c r="AR279" s="290">
        <v>-143.18369543</v>
      </c>
      <c r="AS279" s="290">
        <v>5102</v>
      </c>
      <c r="AT279" s="290">
        <v>107</v>
      </c>
      <c r="AU279" s="290">
        <v>35</v>
      </c>
      <c r="AV279" s="766">
        <v>151672</v>
      </c>
      <c r="AW279" s="290">
        <v>0</v>
      </c>
      <c r="AX279" s="766">
        <v>20.749949999999998</v>
      </c>
      <c r="AY279" s="290">
        <v>590</v>
      </c>
      <c r="AZ279" s="290">
        <v>124</v>
      </c>
      <c r="BA279" s="290">
        <v>52</v>
      </c>
      <c r="BB279" s="290">
        <v>0</v>
      </c>
      <c r="BC279" s="290">
        <v>4027</v>
      </c>
      <c r="BD279" s="290"/>
      <c r="BE279" s="290">
        <v>165635.81854308001</v>
      </c>
      <c r="BF279" s="290">
        <v>0</v>
      </c>
      <c r="BG279" s="290">
        <v>0</v>
      </c>
      <c r="BH279" s="290">
        <v>-602</v>
      </c>
      <c r="BI279" s="290">
        <v>4146</v>
      </c>
      <c r="BJ279" s="290">
        <v>488.68019444866059</v>
      </c>
      <c r="BK279" s="290">
        <v>4</v>
      </c>
      <c r="BL279" s="290"/>
      <c r="BM279" s="290">
        <v>0</v>
      </c>
      <c r="BN279" s="290">
        <v>2593</v>
      </c>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f>+innut23!E285+innut23!S285</f>
        <v>119626.96474676191</v>
      </c>
      <c r="CL279" s="290"/>
      <c r="CM279" s="290">
        <v>0</v>
      </c>
      <c r="CN279" s="290">
        <v>0</v>
      </c>
      <c r="CO279" s="290"/>
      <c r="CP279" s="290"/>
      <c r="CQ279" s="290"/>
      <c r="CX279" s="517">
        <f t="shared" si="9"/>
        <v>0</v>
      </c>
      <c r="DB279" s="85">
        <f t="shared" si="10"/>
        <v>0.64</v>
      </c>
    </row>
    <row r="280" spans="1:106" ht="13">
      <c r="A280" s="1">
        <v>4649</v>
      </c>
      <c r="B280" s="2" t="s">
        <v>1639</v>
      </c>
      <c r="C280" s="289"/>
      <c r="D280" s="290">
        <v>210</v>
      </c>
      <c r="E280" s="290">
        <v>413</v>
      </c>
      <c r="F280" s="290">
        <v>1176</v>
      </c>
      <c r="G280" s="290">
        <v>814</v>
      </c>
      <c r="H280" s="290">
        <v>5074</v>
      </c>
      <c r="I280" s="290">
        <v>1280</v>
      </c>
      <c r="J280" s="290">
        <v>457</v>
      </c>
      <c r="K280" s="290">
        <v>115</v>
      </c>
      <c r="L280" s="290">
        <v>66</v>
      </c>
      <c r="M280" s="290">
        <v>791</v>
      </c>
      <c r="N280" s="290">
        <v>146</v>
      </c>
      <c r="O280" s="290">
        <v>90</v>
      </c>
      <c r="P280" s="624">
        <v>85684.171666669994</v>
      </c>
      <c r="Q280" s="624">
        <v>29088.004333329998</v>
      </c>
      <c r="R280" s="624">
        <v>41</v>
      </c>
      <c r="S280" s="290"/>
      <c r="T280" s="290">
        <v>704</v>
      </c>
      <c r="U280" s="958">
        <v>5.5744085785762619E-3</v>
      </c>
      <c r="V280" s="290">
        <v>-3286.7291912000001</v>
      </c>
      <c r="W280" s="765">
        <v>0.76594419999999996</v>
      </c>
      <c r="X280" s="290">
        <v>2700</v>
      </c>
      <c r="Y280" s="290"/>
      <c r="Z280" s="290">
        <f>+innut23!E286</f>
        <v>283261.84345102089</v>
      </c>
      <c r="AA280" s="290">
        <v>0</v>
      </c>
      <c r="AB280" s="290">
        <v>184</v>
      </c>
      <c r="AC280" s="290">
        <v>14</v>
      </c>
      <c r="AD280" s="290"/>
      <c r="AE280" s="290">
        <v>0</v>
      </c>
      <c r="AF280" s="290">
        <v>17879</v>
      </c>
      <c r="AG280" s="290">
        <v>9539</v>
      </c>
      <c r="AH280" s="290">
        <v>1816</v>
      </c>
      <c r="AI280" s="290"/>
      <c r="AJ280" s="290"/>
      <c r="AK280" s="290">
        <v>0</v>
      </c>
      <c r="AL280" s="290">
        <v>0</v>
      </c>
      <c r="AM280" s="957">
        <v>9.2348929999999996E-2</v>
      </c>
      <c r="AN280" s="290">
        <v>10442</v>
      </c>
      <c r="AO280" s="290">
        <v>4622.0505826099998</v>
      </c>
      <c r="AP280" s="290">
        <v>0</v>
      </c>
      <c r="AQ280" s="290">
        <v>0</v>
      </c>
      <c r="AR280" s="290">
        <v>-391.46726015000002</v>
      </c>
      <c r="AS280" s="290">
        <v>15346</v>
      </c>
      <c r="AT280" s="290">
        <v>349</v>
      </c>
      <c r="AU280" s="290">
        <v>73</v>
      </c>
      <c r="AV280" s="766">
        <v>319073</v>
      </c>
      <c r="AW280" s="290">
        <v>0</v>
      </c>
      <c r="AX280" s="766">
        <v>85.374949999999998</v>
      </c>
      <c r="AY280" s="290">
        <v>2073</v>
      </c>
      <c r="AZ280" s="290">
        <v>329</v>
      </c>
      <c r="BA280" s="290">
        <v>156</v>
      </c>
      <c r="BB280" s="290">
        <v>0</v>
      </c>
      <c r="BC280" s="290">
        <v>23005</v>
      </c>
      <c r="BD280" s="290"/>
      <c r="BE280" s="290">
        <v>354238.54225683998</v>
      </c>
      <c r="BF280" s="290">
        <v>0</v>
      </c>
      <c r="BG280" s="290">
        <v>0</v>
      </c>
      <c r="BH280" s="290">
        <v>-1604</v>
      </c>
      <c r="BI280" s="290">
        <v>23857</v>
      </c>
      <c r="BJ280" s="290">
        <v>1310.9004450457032</v>
      </c>
      <c r="BK280" s="290">
        <v>12</v>
      </c>
      <c r="BL280" s="290"/>
      <c r="BM280" s="290">
        <v>4163</v>
      </c>
      <c r="BN280" s="290">
        <v>4148</v>
      </c>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f>+innut23!E286+innut23!S286</f>
        <v>283261.84345102089</v>
      </c>
      <c r="CL280" s="290"/>
      <c r="CM280" s="290">
        <v>0</v>
      </c>
      <c r="CN280" s="290">
        <v>0</v>
      </c>
      <c r="CO280" s="290"/>
      <c r="CP280" s="290"/>
      <c r="CQ280" s="290"/>
      <c r="CX280" s="517">
        <f t="shared" si="9"/>
        <v>0</v>
      </c>
      <c r="DB280" s="85">
        <f t="shared" si="10"/>
        <v>1.748</v>
      </c>
    </row>
    <row r="281" spans="1:106" ht="13">
      <c r="A281" s="1">
        <v>4650</v>
      </c>
      <c r="B281" s="2" t="s">
        <v>82</v>
      </c>
      <c r="C281" s="289"/>
      <c r="D281" s="290">
        <v>127</v>
      </c>
      <c r="E281" s="290">
        <v>258</v>
      </c>
      <c r="F281" s="290">
        <v>717</v>
      </c>
      <c r="G281" s="290">
        <v>595</v>
      </c>
      <c r="H281" s="290">
        <v>2969</v>
      </c>
      <c r="I281" s="290">
        <v>865</v>
      </c>
      <c r="J281" s="290">
        <v>284</v>
      </c>
      <c r="K281" s="290">
        <v>84</v>
      </c>
      <c r="L281" s="290">
        <v>41</v>
      </c>
      <c r="M281" s="290">
        <v>499</v>
      </c>
      <c r="N281" s="290">
        <v>134</v>
      </c>
      <c r="O281" s="290">
        <v>79</v>
      </c>
      <c r="P281" s="624">
        <v>59902.192000000003</v>
      </c>
      <c r="Q281" s="624">
        <v>22310.198333330001</v>
      </c>
      <c r="R281" s="624">
        <v>49</v>
      </c>
      <c r="S281" s="290"/>
      <c r="T281" s="290">
        <v>450</v>
      </c>
      <c r="U281" s="958">
        <v>5.4647113777576027E-3</v>
      </c>
      <c r="V281" s="290">
        <v>4002.9027681100001</v>
      </c>
      <c r="W281" s="765">
        <v>0.74629363000000004</v>
      </c>
      <c r="X281" s="290">
        <v>1400</v>
      </c>
      <c r="Y281" s="290"/>
      <c r="Z281" s="290">
        <f>+innut23!E287</f>
        <v>173577.0703294265</v>
      </c>
      <c r="AA281" s="290">
        <v>0</v>
      </c>
      <c r="AB281" s="290">
        <v>78</v>
      </c>
      <c r="AC281" s="290">
        <v>612</v>
      </c>
      <c r="AD281" s="290"/>
      <c r="AE281" s="290">
        <v>0</v>
      </c>
      <c r="AF281" s="290">
        <v>0</v>
      </c>
      <c r="AG281" s="290">
        <v>5899</v>
      </c>
      <c r="AH281" s="290">
        <v>1155</v>
      </c>
      <c r="AI281" s="290"/>
      <c r="AJ281" s="290"/>
      <c r="AK281" s="290">
        <v>0</v>
      </c>
      <c r="AL281" s="290">
        <v>0</v>
      </c>
      <c r="AM281" s="957">
        <v>3.9867340000000001E-2</v>
      </c>
      <c r="AN281" s="290">
        <v>6855</v>
      </c>
      <c r="AO281" s="290">
        <v>3094.2935456800001</v>
      </c>
      <c r="AP281" s="290">
        <v>0</v>
      </c>
      <c r="AQ281" s="290">
        <v>0</v>
      </c>
      <c r="AR281" s="290">
        <v>-242.08673526000001</v>
      </c>
      <c r="AS281" s="290">
        <v>9521</v>
      </c>
      <c r="AT281" s="290">
        <v>163</v>
      </c>
      <c r="AU281" s="290">
        <v>42</v>
      </c>
      <c r="AV281" s="766">
        <v>215983</v>
      </c>
      <c r="AW281" s="290">
        <v>0</v>
      </c>
      <c r="AX281" s="766">
        <v>39.166649999999997</v>
      </c>
      <c r="AY281" s="290">
        <v>1503</v>
      </c>
      <c r="AZ281" s="290">
        <v>201</v>
      </c>
      <c r="BA281" s="290">
        <v>73</v>
      </c>
      <c r="BB281" s="290">
        <v>0</v>
      </c>
      <c r="BC281" s="290">
        <v>4042</v>
      </c>
      <c r="BD281" s="290"/>
      <c r="BE281" s="290">
        <v>245350.66881115999</v>
      </c>
      <c r="BF281" s="290">
        <v>0</v>
      </c>
      <c r="BG281" s="290">
        <v>0</v>
      </c>
      <c r="BH281" s="290">
        <v>-993</v>
      </c>
      <c r="BI281" s="290">
        <v>4360</v>
      </c>
      <c r="BJ281" s="290">
        <v>827.41044400037856</v>
      </c>
      <c r="BK281" s="290">
        <v>7</v>
      </c>
      <c r="BL281" s="290"/>
      <c r="BM281" s="290">
        <v>0</v>
      </c>
      <c r="BN281" s="290">
        <v>2593</v>
      </c>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f>+innut23!E287+innut23!S287</f>
        <v>173577.0703294265</v>
      </c>
      <c r="CL281" s="290"/>
      <c r="CM281" s="290">
        <v>0</v>
      </c>
      <c r="CN281" s="290">
        <v>0</v>
      </c>
      <c r="CO281" s="290"/>
      <c r="CP281" s="290"/>
      <c r="CQ281" s="290"/>
      <c r="CX281" s="517">
        <f t="shared" si="9"/>
        <v>0</v>
      </c>
      <c r="DB281" s="85">
        <f t="shared" si="10"/>
        <v>1.081</v>
      </c>
    </row>
    <row r="282" spans="1:106" ht="13">
      <c r="A282" s="1">
        <v>4651</v>
      </c>
      <c r="B282" s="2" t="s">
        <v>83</v>
      </c>
      <c r="C282" s="289"/>
      <c r="D282" s="290">
        <v>128</v>
      </c>
      <c r="E282" s="290">
        <v>310</v>
      </c>
      <c r="F282" s="290">
        <v>907</v>
      </c>
      <c r="G282" s="290">
        <v>672</v>
      </c>
      <c r="H282" s="290">
        <v>3869</v>
      </c>
      <c r="I282" s="290">
        <v>972</v>
      </c>
      <c r="J282" s="290">
        <v>312</v>
      </c>
      <c r="K282" s="290">
        <v>81</v>
      </c>
      <c r="L282" s="290">
        <v>51</v>
      </c>
      <c r="M282" s="290">
        <v>585</v>
      </c>
      <c r="N282" s="290">
        <v>130</v>
      </c>
      <c r="O282" s="290">
        <v>100</v>
      </c>
      <c r="P282" s="624">
        <v>71901.746666670006</v>
      </c>
      <c r="Q282" s="624">
        <v>24171.459666670002</v>
      </c>
      <c r="R282" s="624">
        <v>36</v>
      </c>
      <c r="S282" s="290"/>
      <c r="T282" s="290">
        <v>592</v>
      </c>
      <c r="U282" s="958">
        <v>5.731456725325902E-3</v>
      </c>
      <c r="V282" s="290">
        <v>4610.5292521499996</v>
      </c>
      <c r="W282" s="765">
        <v>0.78069186000000002</v>
      </c>
      <c r="X282" s="290">
        <v>700</v>
      </c>
      <c r="Y282" s="290"/>
      <c r="Z282" s="290">
        <f>+innut23!E288</f>
        <v>222914.94927938457</v>
      </c>
      <c r="AA282" s="290">
        <v>0</v>
      </c>
      <c r="AB282" s="290">
        <v>95</v>
      </c>
      <c r="AC282" s="290">
        <v>378</v>
      </c>
      <c r="AD282" s="290"/>
      <c r="AE282" s="290">
        <v>0</v>
      </c>
      <c r="AF282" s="290">
        <v>0</v>
      </c>
      <c r="AG282" s="290">
        <v>7251</v>
      </c>
      <c r="AH282" s="290">
        <v>1380</v>
      </c>
      <c r="AI282" s="290"/>
      <c r="AJ282" s="290"/>
      <c r="AK282" s="290">
        <v>0</v>
      </c>
      <c r="AL282" s="290">
        <v>0</v>
      </c>
      <c r="AM282" s="957">
        <v>0.10134335999999999</v>
      </c>
      <c r="AN282" s="290">
        <v>0</v>
      </c>
      <c r="AO282" s="290">
        <v>3563.99636302</v>
      </c>
      <c r="AP282" s="290">
        <v>0</v>
      </c>
      <c r="AQ282" s="290">
        <v>0</v>
      </c>
      <c r="AR282" s="290">
        <v>-297.57093021999998</v>
      </c>
      <c r="AS282" s="290">
        <v>11826</v>
      </c>
      <c r="AT282" s="290">
        <v>249</v>
      </c>
      <c r="AU282" s="290">
        <v>70</v>
      </c>
      <c r="AV282" s="766">
        <v>225475</v>
      </c>
      <c r="AW282" s="290">
        <v>0</v>
      </c>
      <c r="AX282" s="766">
        <v>55.458350000000003</v>
      </c>
      <c r="AY282" s="290">
        <v>1479</v>
      </c>
      <c r="AZ282" s="290">
        <v>302</v>
      </c>
      <c r="BA282" s="290">
        <v>124</v>
      </c>
      <c r="BB282" s="290">
        <v>0</v>
      </c>
      <c r="BC282" s="290">
        <v>5613</v>
      </c>
      <c r="BD282" s="290"/>
      <c r="BE282" s="290">
        <v>258790.37449438</v>
      </c>
      <c r="BF282" s="290">
        <v>0</v>
      </c>
      <c r="BG282" s="290">
        <v>0</v>
      </c>
      <c r="BH282" s="290">
        <v>-1206</v>
      </c>
      <c r="BI282" s="290">
        <v>5906</v>
      </c>
      <c r="BJ282" s="290">
        <v>1034.3959647007453</v>
      </c>
      <c r="BK282" s="290">
        <v>10</v>
      </c>
      <c r="BL282" s="290"/>
      <c r="BM282" s="290">
        <v>0</v>
      </c>
      <c r="BN282" s="290">
        <v>4148</v>
      </c>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f>+innut23!E288+innut23!S288</f>
        <v>222914.94927938457</v>
      </c>
      <c r="CL282" s="290"/>
      <c r="CM282" s="290">
        <v>0</v>
      </c>
      <c r="CN282" s="290">
        <v>0</v>
      </c>
      <c r="CO282" s="290"/>
      <c r="CP282" s="290"/>
      <c r="CQ282" s="290"/>
      <c r="CX282" s="517">
        <f t="shared" si="9"/>
        <v>0</v>
      </c>
      <c r="DB282" s="85">
        <f t="shared" si="10"/>
        <v>1.329</v>
      </c>
    </row>
    <row r="283" spans="1:106" ht="13">
      <c r="A283" s="1">
        <v>5001</v>
      </c>
      <c r="B283" s="2" t="s">
        <v>118</v>
      </c>
      <c r="C283" s="289"/>
      <c r="D283" s="290">
        <v>4376</v>
      </c>
      <c r="E283" s="290">
        <v>8569</v>
      </c>
      <c r="F283" s="290">
        <v>23186</v>
      </c>
      <c r="G283" s="290">
        <v>18827</v>
      </c>
      <c r="H283" s="290">
        <v>127887</v>
      </c>
      <c r="I283" s="290">
        <v>20784</v>
      </c>
      <c r="J283" s="290">
        <v>6090</v>
      </c>
      <c r="K283" s="290">
        <v>1396</v>
      </c>
      <c r="L283" s="290">
        <v>1511</v>
      </c>
      <c r="M283" s="290">
        <v>12721</v>
      </c>
      <c r="N283" s="290">
        <v>6364</v>
      </c>
      <c r="O283" s="290">
        <v>1509</v>
      </c>
      <c r="P283" s="624">
        <v>468814.86</v>
      </c>
      <c r="Q283" s="624">
        <v>176416.38033332999</v>
      </c>
      <c r="R283" s="624">
        <v>659</v>
      </c>
      <c r="S283" s="290"/>
      <c r="T283" s="290">
        <v>20647</v>
      </c>
      <c r="U283" s="958">
        <v>5.6796444874910841E-3</v>
      </c>
      <c r="V283" s="290">
        <v>-30173.022318589999</v>
      </c>
      <c r="W283" s="765">
        <v>0.53044866000000002</v>
      </c>
      <c r="X283" s="290">
        <v>1290</v>
      </c>
      <c r="Y283" s="290"/>
      <c r="Z283" s="290">
        <f>+innut23!E289</f>
        <v>7810621.661834769</v>
      </c>
      <c r="AA283" s="290">
        <v>0</v>
      </c>
      <c r="AB283" s="290">
        <v>4789</v>
      </c>
      <c r="AC283" s="290">
        <v>29004</v>
      </c>
      <c r="AD283" s="290"/>
      <c r="AE283" s="290">
        <v>0</v>
      </c>
      <c r="AF283" s="290">
        <v>16061</v>
      </c>
      <c r="AG283" s="290">
        <v>211115</v>
      </c>
      <c r="AH283" s="290">
        <v>36057</v>
      </c>
      <c r="AI283" s="290"/>
      <c r="AJ283" s="290"/>
      <c r="AK283" s="290">
        <v>0</v>
      </c>
      <c r="AL283" s="290">
        <v>0</v>
      </c>
      <c r="AM283" s="957">
        <v>5.2638022500000003</v>
      </c>
      <c r="AN283" s="290">
        <v>0</v>
      </c>
      <c r="AO283" s="290">
        <v>85972.568588640002</v>
      </c>
      <c r="AP283" s="290">
        <v>85882</v>
      </c>
      <c r="AQ283" s="290">
        <v>0</v>
      </c>
      <c r="AR283" s="290">
        <v>-8663.8652508199993</v>
      </c>
      <c r="AS283" s="290">
        <v>342047</v>
      </c>
      <c r="AT283" s="290">
        <v>8816</v>
      </c>
      <c r="AU283" s="290">
        <v>2577</v>
      </c>
      <c r="AV283" s="766">
        <v>4112835</v>
      </c>
      <c r="AW283" s="290">
        <v>0</v>
      </c>
      <c r="AX283" s="766">
        <v>1718.3750500000001</v>
      </c>
      <c r="AY283" s="290">
        <v>77251</v>
      </c>
      <c r="AZ283" s="290">
        <v>10266</v>
      </c>
      <c r="BA283" s="290">
        <v>3800</v>
      </c>
      <c r="BB283" s="290">
        <v>0</v>
      </c>
      <c r="BC283" s="290">
        <v>98245</v>
      </c>
      <c r="BD283" s="290"/>
      <c r="BE283" s="290">
        <v>4879549.6857575998</v>
      </c>
      <c r="BF283" s="290">
        <v>0</v>
      </c>
      <c r="BG283" s="290">
        <v>0</v>
      </c>
      <c r="BH283" s="290">
        <v>-35133</v>
      </c>
      <c r="BI283" s="290">
        <v>109640</v>
      </c>
      <c r="BJ283" s="290">
        <v>24100.257871305319</v>
      </c>
      <c r="BK283" s="290">
        <v>367</v>
      </c>
      <c r="BL283" s="290"/>
      <c r="BM283" s="290">
        <v>0</v>
      </c>
      <c r="BN283" s="290">
        <v>28518</v>
      </c>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f>+innut23!E289+innut23!S289</f>
        <v>7810621.661834769</v>
      </c>
      <c r="CL283" s="290"/>
      <c r="CM283" s="290">
        <v>0</v>
      </c>
      <c r="CN283" s="290">
        <v>0</v>
      </c>
      <c r="CO283" s="290"/>
      <c r="CP283" s="290"/>
      <c r="CQ283" s="290"/>
      <c r="CX283" s="517">
        <f t="shared" si="9"/>
        <v>0</v>
      </c>
      <c r="DB283" s="85">
        <f t="shared" si="10"/>
        <v>38.695999999999998</v>
      </c>
    </row>
    <row r="284" spans="1:106" ht="13">
      <c r="A284" s="1">
        <v>5006</v>
      </c>
      <c r="B284" s="2" t="s">
        <v>1640</v>
      </c>
      <c r="C284" s="289"/>
      <c r="D284" s="290">
        <v>420</v>
      </c>
      <c r="E284" s="290">
        <v>932</v>
      </c>
      <c r="F284" s="290">
        <v>2810</v>
      </c>
      <c r="G284" s="290">
        <v>1984</v>
      </c>
      <c r="H284" s="290">
        <v>12812</v>
      </c>
      <c r="I284" s="290">
        <v>3493</v>
      </c>
      <c r="J284" s="290">
        <v>1176</v>
      </c>
      <c r="K284" s="290">
        <v>292</v>
      </c>
      <c r="L284" s="290">
        <v>183</v>
      </c>
      <c r="M284" s="290">
        <v>2167</v>
      </c>
      <c r="N284" s="290">
        <v>508</v>
      </c>
      <c r="O284" s="290">
        <v>185</v>
      </c>
      <c r="P284" s="624">
        <v>127974.70699999999</v>
      </c>
      <c r="Q284" s="624">
        <v>59608.829333330003</v>
      </c>
      <c r="R284" s="624">
        <v>97</v>
      </c>
      <c r="S284" s="290"/>
      <c r="T284" s="290">
        <v>2121</v>
      </c>
      <c r="U284" s="958">
        <v>1.1561300938330785E-2</v>
      </c>
      <c r="V284" s="290">
        <v>2426.6884971899999</v>
      </c>
      <c r="W284" s="765">
        <v>0.62418770999999995</v>
      </c>
      <c r="X284" s="290">
        <v>2780</v>
      </c>
      <c r="Y284" s="290"/>
      <c r="Z284" s="290">
        <f>+innut23!E290</f>
        <v>652529.94663150946</v>
      </c>
      <c r="AA284" s="290">
        <v>0</v>
      </c>
      <c r="AB284" s="290">
        <v>685</v>
      </c>
      <c r="AC284" s="290">
        <v>7448</v>
      </c>
      <c r="AD284" s="290"/>
      <c r="AE284" s="290">
        <v>0</v>
      </c>
      <c r="AF284" s="290">
        <v>16594</v>
      </c>
      <c r="AG284" s="290">
        <v>23919</v>
      </c>
      <c r="AH284" s="290">
        <v>4232</v>
      </c>
      <c r="AI284" s="290"/>
      <c r="AJ284" s="290"/>
      <c r="AK284" s="290">
        <v>0</v>
      </c>
      <c r="AL284" s="290">
        <v>0</v>
      </c>
      <c r="AM284" s="957">
        <v>0.50157006999999998</v>
      </c>
      <c r="AN284" s="290">
        <v>18481</v>
      </c>
      <c r="AO284" s="290">
        <v>11222.353481280001</v>
      </c>
      <c r="AP284" s="290">
        <v>0</v>
      </c>
      <c r="AQ284" s="290">
        <v>0</v>
      </c>
      <c r="AR284" s="290">
        <v>-981.60241069999995</v>
      </c>
      <c r="AS284" s="290">
        <v>38525</v>
      </c>
      <c r="AT284" s="290">
        <v>1136</v>
      </c>
      <c r="AU284" s="290">
        <v>262</v>
      </c>
      <c r="AV284" s="766">
        <v>699676</v>
      </c>
      <c r="AW284" s="290">
        <v>0</v>
      </c>
      <c r="AX284" s="766">
        <v>142.66669999999999</v>
      </c>
      <c r="AY284" s="290">
        <v>5512</v>
      </c>
      <c r="AZ284" s="290">
        <v>971</v>
      </c>
      <c r="BA284" s="290">
        <v>527</v>
      </c>
      <c r="BB284" s="290">
        <v>0</v>
      </c>
      <c r="BC284" s="290">
        <v>32402</v>
      </c>
      <c r="BD284" s="290"/>
      <c r="BE284" s="290">
        <v>806197.41385627002</v>
      </c>
      <c r="BF284" s="290">
        <v>0</v>
      </c>
      <c r="BG284" s="290">
        <v>0</v>
      </c>
      <c r="BH284" s="290">
        <v>-4061</v>
      </c>
      <c r="BI284" s="290">
        <v>35533</v>
      </c>
      <c r="BJ284" s="290">
        <v>3027.3348766724157</v>
      </c>
      <c r="BK284" s="290">
        <v>38</v>
      </c>
      <c r="BL284" s="290"/>
      <c r="BM284" s="290">
        <v>5220</v>
      </c>
      <c r="BN284" s="290">
        <v>7259</v>
      </c>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f>+innut23!E290+innut23!S290</f>
        <v>652529.94663150946</v>
      </c>
      <c r="CL284" s="290"/>
      <c r="CM284" s="290">
        <v>0</v>
      </c>
      <c r="CN284" s="290">
        <v>0</v>
      </c>
      <c r="CO284" s="290"/>
      <c r="CP284" s="290"/>
      <c r="CQ284" s="290"/>
      <c r="CX284" s="517">
        <f t="shared" si="9"/>
        <v>0</v>
      </c>
      <c r="DB284" s="85">
        <f t="shared" si="10"/>
        <v>4.3840000000000003</v>
      </c>
    </row>
    <row r="285" spans="1:106" ht="13">
      <c r="A285" s="1">
        <v>5007</v>
      </c>
      <c r="B285" s="2" t="s">
        <v>1641</v>
      </c>
      <c r="C285" s="289"/>
      <c r="D285" s="290">
        <v>269</v>
      </c>
      <c r="E285" s="290">
        <v>547</v>
      </c>
      <c r="F285" s="290">
        <v>1765</v>
      </c>
      <c r="G285" s="290">
        <v>1414</v>
      </c>
      <c r="H285" s="290">
        <v>8029</v>
      </c>
      <c r="I285" s="290">
        <v>2117</v>
      </c>
      <c r="J285" s="290">
        <v>648</v>
      </c>
      <c r="K285" s="290">
        <v>147</v>
      </c>
      <c r="L285" s="290">
        <v>126</v>
      </c>
      <c r="M285" s="290">
        <v>1349</v>
      </c>
      <c r="N285" s="290">
        <v>357</v>
      </c>
      <c r="O285" s="290">
        <v>122</v>
      </c>
      <c r="P285" s="624">
        <v>108350.595</v>
      </c>
      <c r="Q285" s="624">
        <v>37134.107666670003</v>
      </c>
      <c r="R285" s="624">
        <v>84</v>
      </c>
      <c r="S285" s="290"/>
      <c r="T285" s="290">
        <v>1250</v>
      </c>
      <c r="U285" s="958">
        <v>4.2163417355995311E-3</v>
      </c>
      <c r="V285" s="290">
        <v>4410.0493289100004</v>
      </c>
      <c r="W285" s="765">
        <v>0.64959725999999995</v>
      </c>
      <c r="X285" s="290">
        <v>900</v>
      </c>
      <c r="Y285" s="290"/>
      <c r="Z285" s="290">
        <f>+innut23!E291</f>
        <v>428681.60413464432</v>
      </c>
      <c r="AA285" s="290">
        <v>0</v>
      </c>
      <c r="AB285" s="290">
        <v>451</v>
      </c>
      <c r="AC285" s="290">
        <v>3174</v>
      </c>
      <c r="AD285" s="290"/>
      <c r="AE285" s="290">
        <v>0</v>
      </c>
      <c r="AF285" s="290">
        <v>45445</v>
      </c>
      <c r="AG285" s="290">
        <v>14936</v>
      </c>
      <c r="AH285" s="290">
        <v>2695</v>
      </c>
      <c r="AI285" s="290"/>
      <c r="AJ285" s="290"/>
      <c r="AK285" s="290">
        <v>0</v>
      </c>
      <c r="AL285" s="290">
        <v>28952</v>
      </c>
      <c r="AM285" s="957">
        <v>0.25044200999999999</v>
      </c>
      <c r="AN285" s="290">
        <v>0</v>
      </c>
      <c r="AO285" s="290">
        <v>7077.7398262099996</v>
      </c>
      <c r="AP285" s="290">
        <v>0</v>
      </c>
      <c r="AQ285" s="290">
        <v>0</v>
      </c>
      <c r="AR285" s="290">
        <v>-612.95261532999996</v>
      </c>
      <c r="AS285" s="290">
        <v>24139</v>
      </c>
      <c r="AT285" s="290">
        <v>721</v>
      </c>
      <c r="AU285" s="290">
        <v>135</v>
      </c>
      <c r="AV285" s="766">
        <v>509114</v>
      </c>
      <c r="AW285" s="290">
        <v>0</v>
      </c>
      <c r="AX285" s="766">
        <v>121</v>
      </c>
      <c r="AY285" s="290">
        <v>3547</v>
      </c>
      <c r="AZ285" s="290">
        <v>579</v>
      </c>
      <c r="BA285" s="290">
        <v>333</v>
      </c>
      <c r="BB285" s="290">
        <v>0</v>
      </c>
      <c r="BC285" s="290">
        <v>54222</v>
      </c>
      <c r="BD285" s="290"/>
      <c r="BE285" s="290">
        <v>568848.48386235</v>
      </c>
      <c r="BF285" s="290">
        <v>0</v>
      </c>
      <c r="BG285" s="290">
        <v>0</v>
      </c>
      <c r="BH285" s="290">
        <v>-2536</v>
      </c>
      <c r="BI285" s="290">
        <v>57018</v>
      </c>
      <c r="BJ285" s="290">
        <v>1927.2608378923853</v>
      </c>
      <c r="BK285" s="290">
        <v>23</v>
      </c>
      <c r="BL285" s="290"/>
      <c r="BM285" s="290">
        <v>4563</v>
      </c>
      <c r="BN285" s="290">
        <v>5704</v>
      </c>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f>+innut23!E291+innut23!S291</f>
        <v>428681.60413464432</v>
      </c>
      <c r="CL285" s="290"/>
      <c r="CM285" s="290">
        <v>0</v>
      </c>
      <c r="CN285" s="290">
        <v>0</v>
      </c>
      <c r="CO285" s="290"/>
      <c r="CP285" s="290"/>
      <c r="CQ285" s="290"/>
      <c r="CX285" s="517">
        <f t="shared" si="9"/>
        <v>0</v>
      </c>
      <c r="DB285" s="85">
        <f t="shared" si="10"/>
        <v>2.738</v>
      </c>
    </row>
    <row r="286" spans="1:106" ht="13">
      <c r="A286" s="1">
        <v>5014</v>
      </c>
      <c r="B286" s="2" t="s">
        <v>122</v>
      </c>
      <c r="C286" s="289"/>
      <c r="D286" s="290">
        <v>141</v>
      </c>
      <c r="E286" s="290">
        <v>242</v>
      </c>
      <c r="F286" s="290">
        <v>584</v>
      </c>
      <c r="G286" s="290">
        <v>351</v>
      </c>
      <c r="H286" s="290">
        <v>3224</v>
      </c>
      <c r="I286" s="290">
        <v>570</v>
      </c>
      <c r="J286" s="290">
        <v>177</v>
      </c>
      <c r="K286" s="290">
        <v>41</v>
      </c>
      <c r="L286" s="290">
        <v>43</v>
      </c>
      <c r="M286" s="290">
        <v>352</v>
      </c>
      <c r="N286" s="290">
        <v>48</v>
      </c>
      <c r="O286" s="290">
        <v>83</v>
      </c>
      <c r="P286" s="624">
        <v>58210.046000000002</v>
      </c>
      <c r="Q286" s="624">
        <v>22051.062333329999</v>
      </c>
      <c r="R286" s="624">
        <v>22</v>
      </c>
      <c r="S286" s="290"/>
      <c r="T286" s="290">
        <v>483</v>
      </c>
      <c r="U286" s="958">
        <v>1.4834343922127762E-3</v>
      </c>
      <c r="V286" s="290">
        <v>3225.85341685</v>
      </c>
      <c r="W286" s="765">
        <v>0.82279466000000001</v>
      </c>
      <c r="X286" s="290">
        <v>0</v>
      </c>
      <c r="Y286" s="290"/>
      <c r="Z286" s="290">
        <f>+innut23!E292</f>
        <v>407238.24820271163</v>
      </c>
      <c r="AA286" s="290">
        <v>5481</v>
      </c>
      <c r="AB286" s="290">
        <v>120</v>
      </c>
      <c r="AC286" s="290">
        <v>1343</v>
      </c>
      <c r="AD286" s="290"/>
      <c r="AE286" s="290">
        <v>0</v>
      </c>
      <c r="AF286" s="290">
        <v>0</v>
      </c>
      <c r="AG286" s="290">
        <v>5330</v>
      </c>
      <c r="AH286" s="290">
        <v>907</v>
      </c>
      <c r="AI286" s="290"/>
      <c r="AJ286" s="290"/>
      <c r="AK286" s="290">
        <v>0</v>
      </c>
      <c r="AL286" s="290">
        <v>0</v>
      </c>
      <c r="AM286" s="957">
        <v>0.11853587</v>
      </c>
      <c r="AN286" s="290">
        <v>0</v>
      </c>
      <c r="AO286" s="290">
        <v>2493.6247481599999</v>
      </c>
      <c r="AP286" s="290">
        <v>0</v>
      </c>
      <c r="AQ286" s="290">
        <v>0</v>
      </c>
      <c r="AR286" s="290">
        <v>-218.73576858999999</v>
      </c>
      <c r="AS286" s="290">
        <v>37637</v>
      </c>
      <c r="AT286" s="290">
        <v>251</v>
      </c>
      <c r="AU286" s="290">
        <v>53</v>
      </c>
      <c r="AV286" s="766">
        <v>125402</v>
      </c>
      <c r="AW286" s="290">
        <v>0</v>
      </c>
      <c r="AX286" s="766">
        <v>55.416649999999997</v>
      </c>
      <c r="AY286" s="290">
        <v>857</v>
      </c>
      <c r="AZ286" s="290">
        <v>247</v>
      </c>
      <c r="BA286" s="290">
        <v>111</v>
      </c>
      <c r="BB286" s="290">
        <v>0</v>
      </c>
      <c r="BC286" s="290">
        <v>11647</v>
      </c>
      <c r="BD286" s="290"/>
      <c r="BE286" s="290">
        <v>178879.07302362999</v>
      </c>
      <c r="BF286" s="290">
        <v>0</v>
      </c>
      <c r="BG286" s="290">
        <v>0</v>
      </c>
      <c r="BH286" s="290">
        <v>-882</v>
      </c>
      <c r="BI286" s="290">
        <v>11361</v>
      </c>
      <c r="BJ286" s="290">
        <v>698.09616246141854</v>
      </c>
      <c r="BK286" s="290">
        <v>8</v>
      </c>
      <c r="BL286" s="290"/>
      <c r="BM286" s="290">
        <v>0</v>
      </c>
      <c r="BN286" s="290">
        <v>3630</v>
      </c>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f>+innut23!E292+innut23!S292</f>
        <v>407238.24820271163</v>
      </c>
      <c r="CL286" s="290"/>
      <c r="CM286" s="290">
        <v>0</v>
      </c>
      <c r="CN286" s="290">
        <v>0</v>
      </c>
      <c r="CO286" s="290"/>
      <c r="CP286" s="290"/>
      <c r="CQ286" s="290"/>
      <c r="CX286" s="517">
        <f t="shared" si="9"/>
        <v>0</v>
      </c>
      <c r="DB286" s="85">
        <f t="shared" si="10"/>
        <v>0.97699999999999998</v>
      </c>
    </row>
    <row r="287" spans="1:106" ht="13">
      <c r="A287" s="1">
        <v>5020</v>
      </c>
      <c r="B287" s="2" t="s">
        <v>129</v>
      </c>
      <c r="C287" s="289"/>
      <c r="D287" s="290">
        <v>14</v>
      </c>
      <c r="E287" s="290">
        <v>31</v>
      </c>
      <c r="F287" s="290">
        <v>83</v>
      </c>
      <c r="G287" s="290">
        <v>57</v>
      </c>
      <c r="H287" s="290">
        <v>449</v>
      </c>
      <c r="I287" s="290">
        <v>190</v>
      </c>
      <c r="J287" s="290">
        <v>58</v>
      </c>
      <c r="K287" s="290">
        <v>14</v>
      </c>
      <c r="L287" s="290">
        <v>6</v>
      </c>
      <c r="M287" s="290">
        <v>123</v>
      </c>
      <c r="N287" s="290">
        <v>8</v>
      </c>
      <c r="O287" s="290">
        <v>1.5</v>
      </c>
      <c r="P287" s="624">
        <v>11541.696</v>
      </c>
      <c r="Q287" s="624">
        <v>10947.655000000001</v>
      </c>
      <c r="R287" s="624">
        <v>2</v>
      </c>
      <c r="S287" s="290"/>
      <c r="T287" s="290">
        <v>78</v>
      </c>
      <c r="U287" s="958">
        <v>6.8763091459046386E-4</v>
      </c>
      <c r="V287" s="290">
        <v>749.80561596999996</v>
      </c>
      <c r="W287" s="765">
        <v>1</v>
      </c>
      <c r="X287" s="290">
        <v>0</v>
      </c>
      <c r="Y287" s="290"/>
      <c r="Z287" s="290">
        <f>+innut23!E293</f>
        <v>24198.506412069521</v>
      </c>
      <c r="AA287" s="290">
        <v>0</v>
      </c>
      <c r="AB287" s="290">
        <v>16</v>
      </c>
      <c r="AC287" s="290">
        <v>44</v>
      </c>
      <c r="AD287" s="290"/>
      <c r="AE287" s="290">
        <v>0</v>
      </c>
      <c r="AF287" s="290">
        <v>0</v>
      </c>
      <c r="AG287" s="290">
        <v>896</v>
      </c>
      <c r="AH287" s="290">
        <v>131</v>
      </c>
      <c r="AI287" s="290"/>
      <c r="AJ287" s="290"/>
      <c r="AK287" s="290">
        <v>0</v>
      </c>
      <c r="AL287" s="290">
        <v>0</v>
      </c>
      <c r="AM287" s="957">
        <v>3.61226E-3</v>
      </c>
      <c r="AN287" s="290">
        <v>0</v>
      </c>
      <c r="AO287" s="290">
        <v>579.60905183</v>
      </c>
      <c r="AP287" s="290">
        <v>0</v>
      </c>
      <c r="AQ287" s="290">
        <v>0</v>
      </c>
      <c r="AR287" s="290">
        <v>-36.770590740000003</v>
      </c>
      <c r="AS287" s="290">
        <v>1472</v>
      </c>
      <c r="AT287" s="290">
        <v>41</v>
      </c>
      <c r="AU287" s="290">
        <v>3</v>
      </c>
      <c r="AV287" s="766">
        <v>53442</v>
      </c>
      <c r="AW287" s="290">
        <v>0</v>
      </c>
      <c r="AX287" s="766">
        <v>8.5833499999999994</v>
      </c>
      <c r="AY287" s="290">
        <v>130</v>
      </c>
      <c r="AZ287" s="290">
        <v>24</v>
      </c>
      <c r="BA287" s="290">
        <v>13</v>
      </c>
      <c r="BB287" s="290">
        <v>6257</v>
      </c>
      <c r="BC287" s="290">
        <v>662</v>
      </c>
      <c r="BD287" s="290"/>
      <c r="BE287" s="290">
        <v>57814.49212735</v>
      </c>
      <c r="BF287" s="290">
        <v>0</v>
      </c>
      <c r="BG287" s="290">
        <v>0</v>
      </c>
      <c r="BH287" s="290">
        <v>-154</v>
      </c>
      <c r="BI287" s="290">
        <v>694</v>
      </c>
      <c r="BJ287" s="290">
        <v>133.90233990948701</v>
      </c>
      <c r="BK287" s="290">
        <v>1</v>
      </c>
      <c r="BL287" s="290"/>
      <c r="BM287" s="290">
        <v>0</v>
      </c>
      <c r="BN287" s="290">
        <v>519</v>
      </c>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f>+innut23!E293+innut23!S293</f>
        <v>24198.506412069521</v>
      </c>
      <c r="CL287" s="290"/>
      <c r="CM287" s="290">
        <v>0</v>
      </c>
      <c r="CN287" s="290">
        <v>0</v>
      </c>
      <c r="CO287" s="290"/>
      <c r="CP287" s="290"/>
      <c r="CQ287" s="290"/>
      <c r="CX287" s="517">
        <f t="shared" si="9"/>
        <v>0</v>
      </c>
      <c r="DB287" s="85">
        <f t="shared" si="10"/>
        <v>0.16400000000000001</v>
      </c>
    </row>
    <row r="288" spans="1:106" ht="13">
      <c r="A288" s="1">
        <v>5021</v>
      </c>
      <c r="B288" s="2" t="s">
        <v>130</v>
      </c>
      <c r="C288" s="289"/>
      <c r="D288" s="290">
        <v>134</v>
      </c>
      <c r="E288" s="290">
        <v>301</v>
      </c>
      <c r="F288" s="290">
        <v>836</v>
      </c>
      <c r="G288" s="290">
        <v>609</v>
      </c>
      <c r="H288" s="290">
        <v>3787</v>
      </c>
      <c r="I288" s="290">
        <v>1050</v>
      </c>
      <c r="J288" s="290">
        <v>329</v>
      </c>
      <c r="K288" s="290">
        <v>82</v>
      </c>
      <c r="L288" s="290">
        <v>54</v>
      </c>
      <c r="M288" s="290">
        <v>618</v>
      </c>
      <c r="N288" s="290">
        <v>132</v>
      </c>
      <c r="O288" s="290">
        <v>65</v>
      </c>
      <c r="P288" s="624">
        <v>27298.17</v>
      </c>
      <c r="Q288" s="624">
        <v>16275.28333333</v>
      </c>
      <c r="R288" s="624">
        <v>19</v>
      </c>
      <c r="S288" s="290"/>
      <c r="T288" s="290">
        <v>599</v>
      </c>
      <c r="U288" s="958">
        <v>4.4523003018841151E-3</v>
      </c>
      <c r="V288" s="290">
        <v>889.84434450000003</v>
      </c>
      <c r="W288" s="765">
        <v>0.59977042000000003</v>
      </c>
      <c r="X288" s="290">
        <v>330</v>
      </c>
      <c r="Y288" s="290"/>
      <c r="Z288" s="290">
        <f>+innut23!E294</f>
        <v>218560.30860199328</v>
      </c>
      <c r="AA288" s="290">
        <v>0</v>
      </c>
      <c r="AB288" s="290">
        <v>173</v>
      </c>
      <c r="AC288" s="290">
        <v>0</v>
      </c>
      <c r="AD288" s="290"/>
      <c r="AE288" s="290">
        <v>0</v>
      </c>
      <c r="AF288" s="290">
        <v>0</v>
      </c>
      <c r="AG288" s="290">
        <v>7128</v>
      </c>
      <c r="AH288" s="290">
        <v>1289</v>
      </c>
      <c r="AI288" s="290"/>
      <c r="AJ288" s="290"/>
      <c r="AK288" s="290">
        <v>0</v>
      </c>
      <c r="AL288" s="290">
        <v>0</v>
      </c>
      <c r="AM288" s="957">
        <v>6.4251749999999996E-2</v>
      </c>
      <c r="AN288" s="290">
        <v>10025</v>
      </c>
      <c r="AO288" s="290">
        <v>3308.37282314</v>
      </c>
      <c r="AP288" s="290">
        <v>0</v>
      </c>
      <c r="AQ288" s="290">
        <v>0</v>
      </c>
      <c r="AR288" s="290">
        <v>-292.52318172000003</v>
      </c>
      <c r="AS288" s="290">
        <v>11212</v>
      </c>
      <c r="AT288" s="290">
        <v>291</v>
      </c>
      <c r="AU288" s="290">
        <v>53</v>
      </c>
      <c r="AV288" s="766">
        <v>195415</v>
      </c>
      <c r="AW288" s="290">
        <v>0</v>
      </c>
      <c r="AX288" s="766">
        <v>52.583350000000003</v>
      </c>
      <c r="AY288" s="290">
        <v>1474</v>
      </c>
      <c r="AZ288" s="290">
        <v>208</v>
      </c>
      <c r="BA288" s="290">
        <v>150</v>
      </c>
      <c r="BB288" s="290">
        <v>0</v>
      </c>
      <c r="BC288" s="290">
        <v>3227</v>
      </c>
      <c r="BD288" s="290"/>
      <c r="BE288" s="290">
        <v>230613.92416980001</v>
      </c>
      <c r="BF288" s="290">
        <v>0</v>
      </c>
      <c r="BG288" s="290">
        <v>0</v>
      </c>
      <c r="BH288" s="290">
        <v>-1184</v>
      </c>
      <c r="BI288" s="290">
        <v>3363</v>
      </c>
      <c r="BJ288" s="290">
        <v>909.29534857509509</v>
      </c>
      <c r="BK288" s="290">
        <v>10</v>
      </c>
      <c r="BL288" s="290"/>
      <c r="BM288" s="290">
        <v>0</v>
      </c>
      <c r="BN288" s="290">
        <v>2074</v>
      </c>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f>+innut23!E294+innut23!S294</f>
        <v>218560.30860199328</v>
      </c>
      <c r="CL288" s="290"/>
      <c r="CM288" s="290">
        <v>0</v>
      </c>
      <c r="CN288" s="290">
        <v>0</v>
      </c>
      <c r="CO288" s="290"/>
      <c r="CP288" s="290"/>
      <c r="CQ288" s="290"/>
      <c r="CX288" s="517">
        <f t="shared" si="9"/>
        <v>0</v>
      </c>
      <c r="DB288" s="85">
        <f t="shared" si="10"/>
        <v>1.3069999999999999</v>
      </c>
    </row>
    <row r="289" spans="1:106" ht="13">
      <c r="A289" s="1">
        <v>5022</v>
      </c>
      <c r="B289" s="2" t="s">
        <v>131</v>
      </c>
      <c r="C289" s="289"/>
      <c r="D289" s="290">
        <v>43</v>
      </c>
      <c r="E289" s="290">
        <v>101</v>
      </c>
      <c r="F289" s="290">
        <v>249</v>
      </c>
      <c r="G289" s="290">
        <v>201</v>
      </c>
      <c r="H289" s="290">
        <v>1251</v>
      </c>
      <c r="I289" s="290">
        <v>436</v>
      </c>
      <c r="J289" s="290">
        <v>125</v>
      </c>
      <c r="K289" s="290">
        <v>26</v>
      </c>
      <c r="L289" s="290">
        <v>21</v>
      </c>
      <c r="M289" s="290">
        <v>245</v>
      </c>
      <c r="N289" s="290">
        <v>29</v>
      </c>
      <c r="O289" s="290">
        <v>22</v>
      </c>
      <c r="P289" s="624">
        <v>21190.53133333</v>
      </c>
      <c r="Q289" s="624">
        <v>14117.106333330001</v>
      </c>
      <c r="R289" s="624">
        <v>8</v>
      </c>
      <c r="S289" s="290"/>
      <c r="T289" s="290">
        <v>211</v>
      </c>
      <c r="U289" s="958">
        <v>3.0684918963836149E-3</v>
      </c>
      <c r="V289" s="290">
        <v>-3537.8193172699998</v>
      </c>
      <c r="W289" s="765">
        <v>0.93178722999999997</v>
      </c>
      <c r="X289" s="290">
        <v>0</v>
      </c>
      <c r="Y289" s="290"/>
      <c r="Z289" s="290">
        <f>+innut23!E295</f>
        <v>66770.142700043245</v>
      </c>
      <c r="AA289" s="290">
        <v>0</v>
      </c>
      <c r="AB289" s="290">
        <v>68</v>
      </c>
      <c r="AC289" s="290">
        <v>0</v>
      </c>
      <c r="AD289" s="290"/>
      <c r="AE289" s="290">
        <v>0</v>
      </c>
      <c r="AF289" s="290">
        <v>0</v>
      </c>
      <c r="AG289" s="290">
        <v>2432</v>
      </c>
      <c r="AH289" s="290">
        <v>404</v>
      </c>
      <c r="AI289" s="290"/>
      <c r="AJ289" s="290"/>
      <c r="AK289" s="290">
        <v>0</v>
      </c>
      <c r="AL289" s="290">
        <v>0</v>
      </c>
      <c r="AM289" s="957">
        <v>3.102015E-2</v>
      </c>
      <c r="AN289" s="290">
        <v>0</v>
      </c>
      <c r="AO289" s="290">
        <v>1283.3402829900001</v>
      </c>
      <c r="AP289" s="290">
        <v>0</v>
      </c>
      <c r="AQ289" s="290">
        <v>0</v>
      </c>
      <c r="AR289" s="290">
        <v>51.515863320000001</v>
      </c>
      <c r="AS289" s="290">
        <v>3886</v>
      </c>
      <c r="AT289" s="290">
        <v>114</v>
      </c>
      <c r="AU289" s="290">
        <v>14</v>
      </c>
      <c r="AV289" s="766">
        <v>90217</v>
      </c>
      <c r="AW289" s="290">
        <v>0</v>
      </c>
      <c r="AX289" s="766">
        <v>15.625</v>
      </c>
      <c r="AY289" s="290">
        <v>386</v>
      </c>
      <c r="AZ289" s="290">
        <v>116</v>
      </c>
      <c r="BA289" s="290">
        <v>55</v>
      </c>
      <c r="BB289" s="290">
        <v>6257</v>
      </c>
      <c r="BC289" s="290">
        <v>896</v>
      </c>
      <c r="BD289" s="290"/>
      <c r="BE289" s="290">
        <v>99014.747677890002</v>
      </c>
      <c r="BF289" s="290">
        <v>0</v>
      </c>
      <c r="BG289" s="290">
        <v>0</v>
      </c>
      <c r="BH289" s="290">
        <v>-412</v>
      </c>
      <c r="BI289" s="290">
        <v>923</v>
      </c>
      <c r="BJ289" s="290">
        <v>314.03491517196181</v>
      </c>
      <c r="BK289" s="290">
        <v>3</v>
      </c>
      <c r="BL289" s="290"/>
      <c r="BM289" s="290">
        <v>0</v>
      </c>
      <c r="BN289" s="290">
        <v>519</v>
      </c>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f>+innut23!E295+innut23!S295</f>
        <v>66770.142700043245</v>
      </c>
      <c r="CL289" s="290"/>
      <c r="CM289" s="290">
        <v>0</v>
      </c>
      <c r="CN289" s="290">
        <v>0</v>
      </c>
      <c r="CO289" s="290"/>
      <c r="CP289" s="290"/>
      <c r="CQ289" s="290"/>
      <c r="CX289" s="517">
        <f t="shared" si="9"/>
        <v>0</v>
      </c>
      <c r="DB289" s="85">
        <f t="shared" si="10"/>
        <v>0.44600000000000001</v>
      </c>
    </row>
    <row r="290" spans="1:106" ht="13">
      <c r="A290" s="1">
        <v>5025</v>
      </c>
      <c r="B290" s="4" t="s">
        <v>134</v>
      </c>
      <c r="C290" s="289"/>
      <c r="D290" s="290">
        <v>99</v>
      </c>
      <c r="E290" s="290">
        <v>205</v>
      </c>
      <c r="F290" s="290">
        <v>539</v>
      </c>
      <c r="G290" s="290">
        <v>423</v>
      </c>
      <c r="H290" s="290">
        <v>3010</v>
      </c>
      <c r="I290" s="290">
        <v>980</v>
      </c>
      <c r="J290" s="290">
        <v>260</v>
      </c>
      <c r="K290" s="290">
        <v>57</v>
      </c>
      <c r="L290" s="290">
        <v>48</v>
      </c>
      <c r="M290" s="290">
        <v>592</v>
      </c>
      <c r="N290" s="290">
        <v>104</v>
      </c>
      <c r="O290" s="290">
        <v>39</v>
      </c>
      <c r="P290" s="624">
        <v>33797.815666670002</v>
      </c>
      <c r="Q290" s="624">
        <v>17402.499666669999</v>
      </c>
      <c r="R290" s="624">
        <v>21</v>
      </c>
      <c r="S290" s="290"/>
      <c r="T290" s="290">
        <v>562</v>
      </c>
      <c r="U290" s="958">
        <v>2.1976944539818374E-3</v>
      </c>
      <c r="V290" s="290">
        <v>3339.54586144</v>
      </c>
      <c r="W290" s="765">
        <v>0.68189423999999998</v>
      </c>
      <c r="X290" s="290">
        <v>750</v>
      </c>
      <c r="Y290" s="290"/>
      <c r="Z290" s="290">
        <f>+innut23!E296</f>
        <v>174279.64337059195</v>
      </c>
      <c r="AA290" s="290">
        <v>0</v>
      </c>
      <c r="AB290" s="290">
        <v>110</v>
      </c>
      <c r="AC290" s="290">
        <v>956</v>
      </c>
      <c r="AD290" s="290"/>
      <c r="AE290" s="290">
        <v>0</v>
      </c>
      <c r="AF290" s="290">
        <v>0</v>
      </c>
      <c r="AG290" s="290">
        <v>5573</v>
      </c>
      <c r="AH290" s="290">
        <v>864</v>
      </c>
      <c r="AI290" s="290"/>
      <c r="AJ290" s="290"/>
      <c r="AK290" s="290">
        <v>0</v>
      </c>
      <c r="AL290" s="290">
        <v>0</v>
      </c>
      <c r="AM290" s="957">
        <v>4.0713260000000001E-2</v>
      </c>
      <c r="AN290" s="290">
        <v>8192</v>
      </c>
      <c r="AO290" s="290">
        <v>2581.5104196000002</v>
      </c>
      <c r="AP290" s="290">
        <v>0</v>
      </c>
      <c r="AQ290" s="290">
        <v>0</v>
      </c>
      <c r="AR290" s="290">
        <v>-228.70814978999999</v>
      </c>
      <c r="AS290" s="290">
        <v>8928</v>
      </c>
      <c r="AT290" s="290">
        <v>198</v>
      </c>
      <c r="AU290" s="290">
        <v>42</v>
      </c>
      <c r="AV290" s="766">
        <v>162786</v>
      </c>
      <c r="AW290" s="290">
        <v>0</v>
      </c>
      <c r="AX290" s="766">
        <v>45.458350000000003</v>
      </c>
      <c r="AY290" s="290">
        <v>1372</v>
      </c>
      <c r="AZ290" s="290">
        <v>152</v>
      </c>
      <c r="BA290" s="290">
        <v>100</v>
      </c>
      <c r="BB290" s="290">
        <v>0</v>
      </c>
      <c r="BC290" s="290">
        <v>3020</v>
      </c>
      <c r="BD290" s="290"/>
      <c r="BE290" s="290">
        <v>183821.93016267</v>
      </c>
      <c r="BF290" s="290">
        <v>0</v>
      </c>
      <c r="BG290" s="290">
        <v>0</v>
      </c>
      <c r="BH290" s="290">
        <v>-938</v>
      </c>
      <c r="BI290" s="290">
        <v>3376</v>
      </c>
      <c r="BJ290" s="290">
        <v>612.06817260956791</v>
      </c>
      <c r="BK290" s="290">
        <v>8</v>
      </c>
      <c r="BL290" s="290"/>
      <c r="BM290" s="290">
        <v>0</v>
      </c>
      <c r="BN290" s="290">
        <v>1556</v>
      </c>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f>+innut23!E296+innut23!S296</f>
        <v>174279.64337059195</v>
      </c>
      <c r="CL290" s="290"/>
      <c r="CM290" s="290">
        <v>0</v>
      </c>
      <c r="CN290" s="290">
        <v>0</v>
      </c>
      <c r="CO290" s="290"/>
      <c r="CP290" s="290"/>
      <c r="CQ290" s="290"/>
      <c r="CX290" s="517">
        <f t="shared" si="9"/>
        <v>0</v>
      </c>
      <c r="DB290" s="85">
        <f t="shared" si="10"/>
        <v>1.0209999999999999</v>
      </c>
    </row>
    <row r="291" spans="1:106" ht="13">
      <c r="A291" s="1">
        <v>5026</v>
      </c>
      <c r="B291" s="2" t="s">
        <v>135</v>
      </c>
      <c r="C291" s="289"/>
      <c r="D291" s="290">
        <v>34</v>
      </c>
      <c r="E291" s="290">
        <v>59</v>
      </c>
      <c r="F291" s="290">
        <v>199</v>
      </c>
      <c r="G291" s="290">
        <v>133</v>
      </c>
      <c r="H291" s="290">
        <v>1044</v>
      </c>
      <c r="I291" s="290">
        <v>348</v>
      </c>
      <c r="J291" s="290">
        <v>138</v>
      </c>
      <c r="K291" s="290">
        <v>14</v>
      </c>
      <c r="L291" s="290">
        <v>18</v>
      </c>
      <c r="M291" s="290">
        <v>198</v>
      </c>
      <c r="N291" s="290">
        <v>10</v>
      </c>
      <c r="O291" s="290">
        <v>5</v>
      </c>
      <c r="P291" s="624">
        <v>14231.383333330001</v>
      </c>
      <c r="Q291" s="624">
        <v>4316.49533333</v>
      </c>
      <c r="R291" s="624">
        <v>9</v>
      </c>
      <c r="S291" s="290"/>
      <c r="T291" s="290">
        <v>154</v>
      </c>
      <c r="U291" s="958">
        <v>2.1690299523368455E-3</v>
      </c>
      <c r="V291" s="290">
        <v>1329.4359822399999</v>
      </c>
      <c r="W291" s="765">
        <v>1</v>
      </c>
      <c r="X291" s="290">
        <v>210</v>
      </c>
      <c r="Y291" s="290"/>
      <c r="Z291" s="290">
        <f>+innut23!E297</f>
        <v>50433.215210665803</v>
      </c>
      <c r="AA291" s="290">
        <v>0</v>
      </c>
      <c r="AB291" s="290">
        <v>54</v>
      </c>
      <c r="AC291" s="290">
        <v>0</v>
      </c>
      <c r="AD291" s="290"/>
      <c r="AE291" s="290">
        <v>0</v>
      </c>
      <c r="AF291" s="290">
        <v>0</v>
      </c>
      <c r="AG291" s="290">
        <v>1969</v>
      </c>
      <c r="AH291" s="290">
        <v>302</v>
      </c>
      <c r="AI291" s="290"/>
      <c r="AJ291" s="290"/>
      <c r="AK291" s="290">
        <v>0</v>
      </c>
      <c r="AL291" s="290">
        <v>0</v>
      </c>
      <c r="AM291" s="957">
        <v>8.5653399999999994E-3</v>
      </c>
      <c r="AN291" s="290">
        <v>0</v>
      </c>
      <c r="AO291" s="290">
        <v>1027.6705225000001</v>
      </c>
      <c r="AP291" s="290">
        <v>0</v>
      </c>
      <c r="AQ291" s="290">
        <v>0</v>
      </c>
      <c r="AR291" s="290">
        <v>433.13588035999999</v>
      </c>
      <c r="AS291" s="290">
        <v>3143</v>
      </c>
      <c r="AT291" s="290">
        <v>66</v>
      </c>
      <c r="AU291" s="290">
        <v>11</v>
      </c>
      <c r="AV291" s="766">
        <v>77808</v>
      </c>
      <c r="AW291" s="290">
        <v>0</v>
      </c>
      <c r="AX291" s="766">
        <v>9.1249500000000001</v>
      </c>
      <c r="AY291" s="290">
        <v>353</v>
      </c>
      <c r="AZ291" s="290">
        <v>45</v>
      </c>
      <c r="BA291" s="290">
        <v>29</v>
      </c>
      <c r="BB291" s="290">
        <v>6257</v>
      </c>
      <c r="BC291" s="290">
        <v>1295</v>
      </c>
      <c r="BD291" s="290"/>
      <c r="BE291" s="290">
        <v>84759.584763630002</v>
      </c>
      <c r="BF291" s="290">
        <v>0</v>
      </c>
      <c r="BG291" s="290">
        <v>0</v>
      </c>
      <c r="BH291" s="290">
        <v>-331</v>
      </c>
      <c r="BI291" s="290">
        <v>1339</v>
      </c>
      <c r="BJ291" s="290">
        <v>243.57729229190122</v>
      </c>
      <c r="BK291" s="290">
        <v>2</v>
      </c>
      <c r="BL291" s="290"/>
      <c r="BM291" s="290">
        <v>0</v>
      </c>
      <c r="BN291" s="290">
        <v>1037</v>
      </c>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f>+innut23!E297+innut23!S297</f>
        <v>50433.215210665803</v>
      </c>
      <c r="CL291" s="290"/>
      <c r="CM291" s="290">
        <v>0</v>
      </c>
      <c r="CN291" s="290">
        <v>0</v>
      </c>
      <c r="CO291" s="290"/>
      <c r="CP291" s="290"/>
      <c r="CQ291" s="290"/>
      <c r="CX291" s="517">
        <f t="shared" si="9"/>
        <v>0</v>
      </c>
      <c r="DB291" s="85">
        <f t="shared" si="10"/>
        <v>0.36099999999999999</v>
      </c>
    </row>
    <row r="292" spans="1:106" ht="13">
      <c r="A292" s="1">
        <v>5027</v>
      </c>
      <c r="B292" s="2" t="s">
        <v>136</v>
      </c>
      <c r="C292" s="289"/>
      <c r="D292" s="290">
        <v>139</v>
      </c>
      <c r="E292" s="290">
        <v>263</v>
      </c>
      <c r="F292" s="290">
        <v>700</v>
      </c>
      <c r="G292" s="290">
        <v>461</v>
      </c>
      <c r="H292" s="290">
        <v>3348</v>
      </c>
      <c r="I292" s="290">
        <v>810</v>
      </c>
      <c r="J292" s="290">
        <v>278</v>
      </c>
      <c r="K292" s="290">
        <v>75</v>
      </c>
      <c r="L292" s="290">
        <v>47</v>
      </c>
      <c r="M292" s="290">
        <v>509</v>
      </c>
      <c r="N292" s="290">
        <v>70</v>
      </c>
      <c r="O292" s="290">
        <v>47</v>
      </c>
      <c r="P292" s="624">
        <v>103245.54</v>
      </c>
      <c r="Q292" s="624">
        <v>19496.52266667</v>
      </c>
      <c r="R292" s="624">
        <v>29</v>
      </c>
      <c r="S292" s="290"/>
      <c r="T292" s="290">
        <v>449</v>
      </c>
      <c r="U292" s="958">
        <v>6.2025161032586056E-3</v>
      </c>
      <c r="V292" s="290">
        <v>3925.1359171700001</v>
      </c>
      <c r="W292" s="765">
        <v>0.78942760000000001</v>
      </c>
      <c r="X292" s="290">
        <v>0</v>
      </c>
      <c r="Y292" s="290"/>
      <c r="Z292" s="290">
        <f>+innut23!E298</f>
        <v>162143.83024456326</v>
      </c>
      <c r="AA292" s="290">
        <v>0</v>
      </c>
      <c r="AB292" s="290">
        <v>136</v>
      </c>
      <c r="AC292" s="290">
        <v>1274</v>
      </c>
      <c r="AD292" s="290"/>
      <c r="AE292" s="290">
        <v>0</v>
      </c>
      <c r="AF292" s="290">
        <v>0</v>
      </c>
      <c r="AG292" s="290">
        <v>6074</v>
      </c>
      <c r="AH292" s="290">
        <v>1073</v>
      </c>
      <c r="AI292" s="290"/>
      <c r="AJ292" s="290"/>
      <c r="AK292" s="290">
        <v>0</v>
      </c>
      <c r="AL292" s="290">
        <v>0</v>
      </c>
      <c r="AM292" s="957">
        <v>7.6658660000000003E-2</v>
      </c>
      <c r="AN292" s="290">
        <v>0</v>
      </c>
      <c r="AO292" s="290">
        <v>3034.17880423</v>
      </c>
      <c r="AP292" s="290">
        <v>0</v>
      </c>
      <c r="AQ292" s="290">
        <v>0</v>
      </c>
      <c r="AR292" s="290">
        <v>-249.26849127</v>
      </c>
      <c r="AS292" s="290">
        <v>9941</v>
      </c>
      <c r="AT292" s="290">
        <v>257</v>
      </c>
      <c r="AU292" s="290">
        <v>49</v>
      </c>
      <c r="AV292" s="766">
        <v>195746</v>
      </c>
      <c r="AW292" s="290">
        <v>0</v>
      </c>
      <c r="AX292" s="766">
        <v>64.458349999999996</v>
      </c>
      <c r="AY292" s="290">
        <v>916</v>
      </c>
      <c r="AZ292" s="290">
        <v>228</v>
      </c>
      <c r="BA292" s="290">
        <v>105</v>
      </c>
      <c r="BB292" s="290">
        <v>0</v>
      </c>
      <c r="BC292" s="290">
        <v>4466</v>
      </c>
      <c r="BD292" s="290"/>
      <c r="BE292" s="290">
        <v>223081.22489727999</v>
      </c>
      <c r="BF292" s="290">
        <v>0</v>
      </c>
      <c r="BG292" s="290">
        <v>0</v>
      </c>
      <c r="BH292" s="290">
        <v>-1044</v>
      </c>
      <c r="BI292" s="290">
        <v>4940</v>
      </c>
      <c r="BJ292" s="290">
        <v>820.48264429541848</v>
      </c>
      <c r="BK292" s="290">
        <v>8</v>
      </c>
      <c r="BL292" s="290"/>
      <c r="BM292" s="290">
        <v>0</v>
      </c>
      <c r="BN292" s="290">
        <v>2593</v>
      </c>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f>+innut23!E298+innut23!S298</f>
        <v>162143.83024456326</v>
      </c>
      <c r="CL292" s="290"/>
      <c r="CM292" s="290">
        <v>0</v>
      </c>
      <c r="CN292" s="290">
        <v>0</v>
      </c>
      <c r="CO292" s="290"/>
      <c r="CP292" s="290"/>
      <c r="CQ292" s="290"/>
      <c r="CX292" s="517">
        <f t="shared" si="9"/>
        <v>0</v>
      </c>
      <c r="DB292" s="85">
        <f t="shared" si="10"/>
        <v>1.113</v>
      </c>
    </row>
    <row r="293" spans="1:106" ht="13">
      <c r="A293" s="1">
        <v>5028</v>
      </c>
      <c r="B293" s="2" t="s">
        <v>137</v>
      </c>
      <c r="C293" s="289"/>
      <c r="D293" s="290">
        <v>383</v>
      </c>
      <c r="E293" s="290">
        <v>779</v>
      </c>
      <c r="F293" s="290">
        <v>2220</v>
      </c>
      <c r="G293" s="290">
        <v>1539</v>
      </c>
      <c r="H293" s="290">
        <v>9549</v>
      </c>
      <c r="I293" s="290">
        <v>1957</v>
      </c>
      <c r="J293" s="290">
        <v>659</v>
      </c>
      <c r="K293" s="290">
        <v>143</v>
      </c>
      <c r="L293" s="290">
        <v>117</v>
      </c>
      <c r="M293" s="290">
        <v>1094</v>
      </c>
      <c r="N293" s="290">
        <v>286</v>
      </c>
      <c r="O293" s="290">
        <v>135</v>
      </c>
      <c r="P293" s="624">
        <v>88213.694000000003</v>
      </c>
      <c r="Q293" s="624">
        <v>34822.951333329998</v>
      </c>
      <c r="R293" s="624">
        <v>76</v>
      </c>
      <c r="S293" s="290"/>
      <c r="T293" s="290">
        <v>1169</v>
      </c>
      <c r="U293" s="958">
        <v>5.6872437589694505E-3</v>
      </c>
      <c r="V293" s="290">
        <v>1423.6828964199999</v>
      </c>
      <c r="W293" s="765">
        <v>0.61305887000000003</v>
      </c>
      <c r="X293" s="290">
        <v>3350</v>
      </c>
      <c r="Y293" s="290"/>
      <c r="Z293" s="290">
        <f>+innut23!E299</f>
        <v>501384.32375427597</v>
      </c>
      <c r="AA293" s="290">
        <v>0</v>
      </c>
      <c r="AB293" s="290">
        <v>462</v>
      </c>
      <c r="AC293" s="290">
        <v>4699</v>
      </c>
      <c r="AD293" s="290"/>
      <c r="AE293" s="290">
        <v>0</v>
      </c>
      <c r="AF293" s="290">
        <v>0</v>
      </c>
      <c r="AG293" s="290">
        <v>17229</v>
      </c>
      <c r="AH293" s="290">
        <v>3431</v>
      </c>
      <c r="AI293" s="290"/>
      <c r="AJ293" s="290"/>
      <c r="AK293" s="290">
        <v>0</v>
      </c>
      <c r="AL293" s="290">
        <v>0</v>
      </c>
      <c r="AM293" s="957">
        <v>0.28823684999999999</v>
      </c>
      <c r="AN293" s="290">
        <v>0</v>
      </c>
      <c r="AO293" s="290">
        <v>7826.5056018699997</v>
      </c>
      <c r="AP293" s="290">
        <v>0</v>
      </c>
      <c r="AQ293" s="290">
        <v>0</v>
      </c>
      <c r="AR293" s="290">
        <v>-707.05413829999998</v>
      </c>
      <c r="AS293" s="290">
        <v>27164</v>
      </c>
      <c r="AT293" s="290">
        <v>756</v>
      </c>
      <c r="AU293" s="290">
        <v>186</v>
      </c>
      <c r="AV293" s="766">
        <v>452135</v>
      </c>
      <c r="AW293" s="290">
        <v>0</v>
      </c>
      <c r="AX293" s="766">
        <v>144.45835</v>
      </c>
      <c r="AY293" s="290">
        <v>3374</v>
      </c>
      <c r="AZ293" s="290">
        <v>601</v>
      </c>
      <c r="BA293" s="290">
        <v>304</v>
      </c>
      <c r="BB293" s="290">
        <v>0</v>
      </c>
      <c r="BC293" s="290">
        <v>12126</v>
      </c>
      <c r="BD293" s="290"/>
      <c r="BE293" s="290">
        <v>516857.30482100003</v>
      </c>
      <c r="BF293" s="290">
        <v>0</v>
      </c>
      <c r="BG293" s="290">
        <v>0</v>
      </c>
      <c r="BH293" s="290">
        <v>-2872</v>
      </c>
      <c r="BI293" s="290">
        <v>13834</v>
      </c>
      <c r="BJ293" s="290">
        <v>2368.2505721730195</v>
      </c>
      <c r="BK293" s="290">
        <v>24</v>
      </c>
      <c r="BL293" s="290"/>
      <c r="BM293" s="290">
        <v>0</v>
      </c>
      <c r="BN293" s="290">
        <v>5704</v>
      </c>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f>+innut23!E299+innut23!S299</f>
        <v>501384.32375427597</v>
      </c>
      <c r="CL293" s="290"/>
      <c r="CM293" s="290">
        <v>0</v>
      </c>
      <c r="CN293" s="290">
        <v>0</v>
      </c>
      <c r="CO293" s="290"/>
      <c r="CP293" s="290"/>
      <c r="CQ293" s="290"/>
      <c r="CX293" s="517">
        <f t="shared" si="9"/>
        <v>0</v>
      </c>
      <c r="DB293" s="85">
        <f t="shared" si="10"/>
        <v>3.1579999999999999</v>
      </c>
    </row>
    <row r="294" spans="1:106" ht="13">
      <c r="A294" s="1">
        <v>5029</v>
      </c>
      <c r="B294" s="2" t="s">
        <v>138</v>
      </c>
      <c r="C294" s="289"/>
      <c r="D294" s="290">
        <v>178</v>
      </c>
      <c r="E294" s="290">
        <v>410</v>
      </c>
      <c r="F294" s="290">
        <v>1320</v>
      </c>
      <c r="G294" s="290">
        <v>674</v>
      </c>
      <c r="H294" s="290">
        <v>4614</v>
      </c>
      <c r="I294" s="290">
        <v>867</v>
      </c>
      <c r="J294" s="290">
        <v>235</v>
      </c>
      <c r="K294" s="290">
        <v>71</v>
      </c>
      <c r="L294" s="290">
        <v>58</v>
      </c>
      <c r="M294" s="290">
        <v>461</v>
      </c>
      <c r="N294" s="290">
        <v>100</v>
      </c>
      <c r="O294" s="290">
        <v>64</v>
      </c>
      <c r="P294" s="624">
        <v>32415.683000000001</v>
      </c>
      <c r="Q294" s="624">
        <v>17651.541000000001</v>
      </c>
      <c r="R294" s="624">
        <v>26</v>
      </c>
      <c r="S294" s="290"/>
      <c r="T294" s="290">
        <v>545</v>
      </c>
      <c r="U294" s="958">
        <v>2.9307765190325144E-3</v>
      </c>
      <c r="V294" s="290">
        <v>3735.3398536300001</v>
      </c>
      <c r="W294" s="765">
        <v>0.62354566</v>
      </c>
      <c r="X294" s="290">
        <v>380</v>
      </c>
      <c r="Y294" s="290"/>
      <c r="Z294" s="290">
        <f>+innut23!E300</f>
        <v>238704.63099970305</v>
      </c>
      <c r="AA294" s="290">
        <v>0</v>
      </c>
      <c r="AB294" s="290">
        <v>198</v>
      </c>
      <c r="AC294" s="290">
        <v>120</v>
      </c>
      <c r="AD294" s="290"/>
      <c r="AE294" s="290">
        <v>0</v>
      </c>
      <c r="AF294" s="290">
        <v>0</v>
      </c>
      <c r="AG294" s="290">
        <v>8369</v>
      </c>
      <c r="AH294" s="290">
        <v>1859</v>
      </c>
      <c r="AI294" s="290"/>
      <c r="AJ294" s="290"/>
      <c r="AK294" s="290">
        <v>0</v>
      </c>
      <c r="AL294" s="290">
        <v>0</v>
      </c>
      <c r="AM294" s="957">
        <v>0.10116053999999999</v>
      </c>
      <c r="AN294" s="290">
        <v>0</v>
      </c>
      <c r="AO294" s="290">
        <v>3937.4468569700002</v>
      </c>
      <c r="AP294" s="290">
        <v>0</v>
      </c>
      <c r="AQ294" s="290">
        <v>0</v>
      </c>
      <c r="AR294" s="290">
        <v>1000.85098111</v>
      </c>
      <c r="AS294" s="290">
        <v>13351</v>
      </c>
      <c r="AT294" s="290">
        <v>393</v>
      </c>
      <c r="AU294" s="290">
        <v>70</v>
      </c>
      <c r="AV294" s="766">
        <v>240813</v>
      </c>
      <c r="AW294" s="290">
        <v>0</v>
      </c>
      <c r="AX294" s="766">
        <v>62.125</v>
      </c>
      <c r="AY294" s="290">
        <v>1862</v>
      </c>
      <c r="AZ294" s="290">
        <v>257</v>
      </c>
      <c r="BA294" s="290">
        <v>192</v>
      </c>
      <c r="BB294" s="290">
        <v>0</v>
      </c>
      <c r="BC294" s="290">
        <v>4893</v>
      </c>
      <c r="BD294" s="290"/>
      <c r="BE294" s="290">
        <v>270261.81246634998</v>
      </c>
      <c r="BF294" s="290">
        <v>0</v>
      </c>
      <c r="BG294" s="290">
        <v>0</v>
      </c>
      <c r="BH294" s="290">
        <v>-1404</v>
      </c>
      <c r="BI294" s="290">
        <v>5090</v>
      </c>
      <c r="BJ294" s="290">
        <v>1394.4294495104039</v>
      </c>
      <c r="BK294" s="290">
        <v>10</v>
      </c>
      <c r="BL294" s="290"/>
      <c r="BM294" s="290">
        <v>0</v>
      </c>
      <c r="BN294" s="290">
        <v>3111</v>
      </c>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f>+innut23!E300+innut23!S300</f>
        <v>238704.63099970305</v>
      </c>
      <c r="CL294" s="290"/>
      <c r="CM294" s="290">
        <v>0</v>
      </c>
      <c r="CN294" s="290">
        <v>0</v>
      </c>
      <c r="CO294" s="290"/>
      <c r="CP294" s="290"/>
      <c r="CQ294" s="290"/>
      <c r="CX294" s="517">
        <f t="shared" si="9"/>
        <v>0</v>
      </c>
      <c r="DB294" s="85">
        <f t="shared" si="10"/>
        <v>1.534</v>
      </c>
    </row>
    <row r="295" spans="1:106" ht="13">
      <c r="A295" s="1">
        <v>5031</v>
      </c>
      <c r="B295" s="2" t="s">
        <v>141</v>
      </c>
      <c r="C295" s="289"/>
      <c r="D295" s="290">
        <v>321</v>
      </c>
      <c r="E295" s="290">
        <v>731</v>
      </c>
      <c r="F295" s="290">
        <v>2050</v>
      </c>
      <c r="G295" s="290">
        <v>1286</v>
      </c>
      <c r="H295" s="290">
        <v>8184</v>
      </c>
      <c r="I295" s="290">
        <v>1402</v>
      </c>
      <c r="J295" s="290">
        <v>428</v>
      </c>
      <c r="K295" s="290">
        <v>85</v>
      </c>
      <c r="L295" s="290">
        <v>91</v>
      </c>
      <c r="M295" s="290">
        <v>669</v>
      </c>
      <c r="N295" s="290">
        <v>249</v>
      </c>
      <c r="O295" s="290">
        <v>101</v>
      </c>
      <c r="P295" s="624">
        <v>27015.497666669999</v>
      </c>
      <c r="Q295" s="624">
        <v>20068.218333330002</v>
      </c>
      <c r="R295" s="624">
        <v>59</v>
      </c>
      <c r="S295" s="290"/>
      <c r="T295" s="290">
        <v>980</v>
      </c>
      <c r="U295" s="958">
        <v>1.3363161792910945E-3</v>
      </c>
      <c r="V295" s="290">
        <v>3153.39960539</v>
      </c>
      <c r="W295" s="765">
        <v>0.55920464000000003</v>
      </c>
      <c r="X295" s="290">
        <v>0</v>
      </c>
      <c r="Y295" s="290"/>
      <c r="Z295" s="290">
        <f>+innut23!E301</f>
        <v>487057.30481925519</v>
      </c>
      <c r="AA295" s="290">
        <v>0</v>
      </c>
      <c r="AB295" s="290">
        <v>340</v>
      </c>
      <c r="AC295" s="290">
        <v>1634</v>
      </c>
      <c r="AD295" s="290"/>
      <c r="AE295" s="290">
        <v>0</v>
      </c>
      <c r="AF295" s="290">
        <v>0</v>
      </c>
      <c r="AG295" s="290">
        <v>14487</v>
      </c>
      <c r="AH295" s="290">
        <v>3078</v>
      </c>
      <c r="AI295" s="290"/>
      <c r="AJ295" s="290"/>
      <c r="AK295" s="290">
        <v>0</v>
      </c>
      <c r="AL295" s="290">
        <v>0</v>
      </c>
      <c r="AM295" s="957">
        <v>0.23038676</v>
      </c>
      <c r="AN295" s="290">
        <v>0</v>
      </c>
      <c r="AO295" s="290">
        <v>6455.7355982199997</v>
      </c>
      <c r="AP295" s="290">
        <v>0</v>
      </c>
      <c r="AQ295" s="290">
        <v>0</v>
      </c>
      <c r="AR295" s="290">
        <v>-594.52628135999998</v>
      </c>
      <c r="AS295" s="290">
        <v>23175</v>
      </c>
      <c r="AT295" s="290">
        <v>620</v>
      </c>
      <c r="AU295" s="290">
        <v>167</v>
      </c>
      <c r="AV295" s="766">
        <v>345554</v>
      </c>
      <c r="AW295" s="290">
        <v>0</v>
      </c>
      <c r="AX295" s="766">
        <v>121.08335</v>
      </c>
      <c r="AY295" s="290">
        <v>4128</v>
      </c>
      <c r="AZ295" s="290">
        <v>463</v>
      </c>
      <c r="BA295" s="290">
        <v>257</v>
      </c>
      <c r="BB295" s="290">
        <v>0</v>
      </c>
      <c r="BC295" s="290">
        <v>7604</v>
      </c>
      <c r="BD295" s="290"/>
      <c r="BE295" s="290">
        <v>412894.61142889003</v>
      </c>
      <c r="BF295" s="290">
        <v>0</v>
      </c>
      <c r="BG295" s="290">
        <v>0</v>
      </c>
      <c r="BH295" s="290">
        <v>-2416</v>
      </c>
      <c r="BI295" s="290">
        <v>8342</v>
      </c>
      <c r="BJ295" s="290">
        <v>2131.1581187157626</v>
      </c>
      <c r="BK295" s="290">
        <v>20</v>
      </c>
      <c r="BL295" s="290"/>
      <c r="BM295" s="290">
        <v>0</v>
      </c>
      <c r="BN295" s="290">
        <v>3630</v>
      </c>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f>+innut23!E301+innut23!S301</f>
        <v>487057.30481925519</v>
      </c>
      <c r="CL295" s="290"/>
      <c r="CM295" s="290">
        <v>0</v>
      </c>
      <c r="CN295" s="290">
        <v>0</v>
      </c>
      <c r="CO295" s="290"/>
      <c r="CP295" s="290"/>
      <c r="CQ295" s="290"/>
      <c r="CX295" s="517">
        <f t="shared" si="9"/>
        <v>0</v>
      </c>
      <c r="DB295" s="85">
        <f t="shared" si="10"/>
        <v>2.6549999999999998</v>
      </c>
    </row>
    <row r="296" spans="1:106" ht="13">
      <c r="A296" s="1">
        <v>5032</v>
      </c>
      <c r="B296" s="2" t="s">
        <v>142</v>
      </c>
      <c r="C296" s="289"/>
      <c r="D296" s="290">
        <v>83</v>
      </c>
      <c r="E296" s="290">
        <v>163</v>
      </c>
      <c r="F296" s="290">
        <v>441</v>
      </c>
      <c r="G296" s="290">
        <v>362</v>
      </c>
      <c r="H296" s="290">
        <v>2175</v>
      </c>
      <c r="I296" s="290">
        <v>581</v>
      </c>
      <c r="J296" s="290">
        <v>228</v>
      </c>
      <c r="K296" s="290">
        <v>61</v>
      </c>
      <c r="L296" s="290">
        <v>28</v>
      </c>
      <c r="M296" s="290">
        <v>388</v>
      </c>
      <c r="N296" s="290">
        <v>27</v>
      </c>
      <c r="O296" s="290">
        <v>16</v>
      </c>
      <c r="P296" s="624">
        <v>31153.311000000002</v>
      </c>
      <c r="Q296" s="624">
        <v>15486.11933333</v>
      </c>
      <c r="R296" s="624">
        <v>21</v>
      </c>
      <c r="S296" s="290"/>
      <c r="T296" s="290">
        <v>328</v>
      </c>
      <c r="U296" s="958">
        <v>3.256745923928119E-3</v>
      </c>
      <c r="V296" s="290">
        <v>2664.4246742999999</v>
      </c>
      <c r="W296" s="765">
        <v>0.79244329000000002</v>
      </c>
      <c r="X296" s="290">
        <v>0</v>
      </c>
      <c r="Y296" s="290"/>
      <c r="Z296" s="290">
        <f>+innut23!E302</f>
        <v>116899.69387548757</v>
      </c>
      <c r="AA296" s="290">
        <v>0</v>
      </c>
      <c r="AB296" s="290">
        <v>113</v>
      </c>
      <c r="AC296" s="290">
        <v>197</v>
      </c>
      <c r="AD296" s="290"/>
      <c r="AE296" s="290">
        <v>0</v>
      </c>
      <c r="AF296" s="290">
        <v>0</v>
      </c>
      <c r="AG296" s="290">
        <v>4094</v>
      </c>
      <c r="AH296" s="290">
        <v>709</v>
      </c>
      <c r="AI296" s="290"/>
      <c r="AJ296" s="290"/>
      <c r="AK296" s="290">
        <v>0</v>
      </c>
      <c r="AL296" s="290">
        <v>0</v>
      </c>
      <c r="AM296" s="957">
        <v>3.7956610000000002E-2</v>
      </c>
      <c r="AN296" s="290">
        <v>1278</v>
      </c>
      <c r="AO296" s="290">
        <v>2059.63335865</v>
      </c>
      <c r="AP296" s="290">
        <v>0</v>
      </c>
      <c r="AQ296" s="290">
        <v>0</v>
      </c>
      <c r="AR296" s="290">
        <v>-168.01205189999999</v>
      </c>
      <c r="AS296" s="290">
        <v>6485</v>
      </c>
      <c r="AT296" s="290">
        <v>154</v>
      </c>
      <c r="AU296" s="290">
        <v>31</v>
      </c>
      <c r="AV296" s="766">
        <v>133896</v>
      </c>
      <c r="AW296" s="290">
        <v>0</v>
      </c>
      <c r="AX296" s="766">
        <v>43.875</v>
      </c>
      <c r="AY296" s="290">
        <v>774</v>
      </c>
      <c r="AZ296" s="290">
        <v>133</v>
      </c>
      <c r="BA296" s="290">
        <v>62</v>
      </c>
      <c r="BB296" s="290">
        <v>0</v>
      </c>
      <c r="BC296" s="290">
        <v>2333</v>
      </c>
      <c r="BD296" s="290"/>
      <c r="BE296" s="290">
        <v>152828.66229871</v>
      </c>
      <c r="BF296" s="290">
        <v>0</v>
      </c>
      <c r="BG296" s="290">
        <v>0</v>
      </c>
      <c r="BH296" s="290">
        <v>-686</v>
      </c>
      <c r="BI296" s="290">
        <v>2462</v>
      </c>
      <c r="BJ296" s="290">
        <v>505.2773340078781</v>
      </c>
      <c r="BK296" s="290">
        <v>5</v>
      </c>
      <c r="BL296" s="290"/>
      <c r="BM296" s="290">
        <v>0</v>
      </c>
      <c r="BN296" s="290">
        <v>1556</v>
      </c>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f>+innut23!E302+innut23!S302</f>
        <v>116899.69387548757</v>
      </c>
      <c r="CL296" s="290"/>
      <c r="CM296" s="290">
        <v>0</v>
      </c>
      <c r="CN296" s="290">
        <v>0</v>
      </c>
      <c r="CO296" s="290"/>
      <c r="CP296" s="290"/>
      <c r="CQ296" s="290"/>
      <c r="CX296" s="517">
        <f t="shared" si="9"/>
        <v>0</v>
      </c>
      <c r="DB296" s="85">
        <f t="shared" si="10"/>
        <v>0.75</v>
      </c>
    </row>
    <row r="297" spans="1:106" ht="13">
      <c r="A297" s="1">
        <v>5033</v>
      </c>
      <c r="B297" s="2" t="s">
        <v>143</v>
      </c>
      <c r="C297" s="289"/>
      <c r="D297" s="290">
        <v>9</v>
      </c>
      <c r="E297" s="290">
        <v>26</v>
      </c>
      <c r="F297" s="290">
        <v>71</v>
      </c>
      <c r="G297" s="290">
        <v>50</v>
      </c>
      <c r="H297" s="290">
        <v>398</v>
      </c>
      <c r="I297" s="290">
        <v>128</v>
      </c>
      <c r="J297" s="290">
        <v>62</v>
      </c>
      <c r="K297" s="290">
        <v>15</v>
      </c>
      <c r="L297" s="290">
        <v>6</v>
      </c>
      <c r="M297" s="290">
        <v>94</v>
      </c>
      <c r="N297" s="290">
        <v>1.5</v>
      </c>
      <c r="O297" s="290">
        <v>1.5</v>
      </c>
      <c r="P297" s="624">
        <v>4762.8990000000003</v>
      </c>
      <c r="Q297" s="624">
        <v>4094.59166667</v>
      </c>
      <c r="R297" s="624">
        <v>1</v>
      </c>
      <c r="S297" s="290"/>
      <c r="T297" s="290">
        <v>72</v>
      </c>
      <c r="U297" s="958">
        <v>9.6147681496528336E-4</v>
      </c>
      <c r="V297" s="290">
        <v>649.29391981000003</v>
      </c>
      <c r="W297" s="765">
        <v>1</v>
      </c>
      <c r="X297" s="290">
        <v>120</v>
      </c>
      <c r="Y297" s="290"/>
      <c r="Z297" s="290">
        <f>+innut23!E303</f>
        <v>35715.678718177813</v>
      </c>
      <c r="AA297" s="290">
        <v>0</v>
      </c>
      <c r="AB297" s="290">
        <v>16</v>
      </c>
      <c r="AC297" s="290">
        <v>0</v>
      </c>
      <c r="AD297" s="290"/>
      <c r="AE297" s="290">
        <v>0</v>
      </c>
      <c r="AF297" s="290">
        <v>0</v>
      </c>
      <c r="AG297" s="290">
        <v>759</v>
      </c>
      <c r="AH297" s="290">
        <v>107</v>
      </c>
      <c r="AI297" s="290"/>
      <c r="AJ297" s="290"/>
      <c r="AK297" s="290">
        <v>0</v>
      </c>
      <c r="AL297" s="290">
        <v>0</v>
      </c>
      <c r="AM297" s="957">
        <v>2.1333300000000001E-3</v>
      </c>
      <c r="AN297" s="290">
        <v>0</v>
      </c>
      <c r="AO297" s="290">
        <v>501.91226260000002</v>
      </c>
      <c r="AP297" s="290">
        <v>0</v>
      </c>
      <c r="AQ297" s="290">
        <v>0</v>
      </c>
      <c r="AR297" s="290">
        <v>-31.148301759999999</v>
      </c>
      <c r="AS297" s="290">
        <v>964</v>
      </c>
      <c r="AT297" s="290">
        <v>12</v>
      </c>
      <c r="AU297" s="290">
        <v>5</v>
      </c>
      <c r="AV297" s="766">
        <v>40579</v>
      </c>
      <c r="AW297" s="290">
        <v>0</v>
      </c>
      <c r="AX297" s="766">
        <v>5.5833000000000004</v>
      </c>
      <c r="AY297" s="290">
        <v>133</v>
      </c>
      <c r="AZ297" s="290">
        <v>20</v>
      </c>
      <c r="BA297" s="290">
        <v>7</v>
      </c>
      <c r="BB297" s="290">
        <v>0</v>
      </c>
      <c r="BC297" s="290">
        <v>610</v>
      </c>
      <c r="BD297" s="290"/>
      <c r="BE297" s="290">
        <v>45378.720462090001</v>
      </c>
      <c r="BF297" s="290">
        <v>0</v>
      </c>
      <c r="BG297" s="290">
        <v>0</v>
      </c>
      <c r="BH297" s="290">
        <v>-129</v>
      </c>
      <c r="BI297" s="290">
        <v>626</v>
      </c>
      <c r="BJ297" s="290">
        <v>109.53723913774586</v>
      </c>
      <c r="BK297" s="290">
        <v>1</v>
      </c>
      <c r="BL297" s="290"/>
      <c r="BM297" s="290">
        <v>0</v>
      </c>
      <c r="BN297" s="290">
        <v>519</v>
      </c>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f>+innut23!E303+innut23!S303</f>
        <v>35715.678718177813</v>
      </c>
      <c r="CL297" s="290"/>
      <c r="CM297" s="290">
        <v>0</v>
      </c>
      <c r="CN297" s="290">
        <v>0</v>
      </c>
      <c r="CO297" s="290"/>
      <c r="CP297" s="290"/>
      <c r="CQ297" s="290"/>
      <c r="CX297" s="517">
        <f t="shared" si="9"/>
        <v>0</v>
      </c>
      <c r="DB297" s="85">
        <f t="shared" si="10"/>
        <v>0.13900000000000001</v>
      </c>
    </row>
    <row r="298" spans="1:106" ht="13">
      <c r="A298" s="1">
        <v>5034</v>
      </c>
      <c r="B298" s="2" t="s">
        <v>146</v>
      </c>
      <c r="C298" s="289"/>
      <c r="D298" s="290">
        <v>37</v>
      </c>
      <c r="E298" s="290">
        <v>89</v>
      </c>
      <c r="F298" s="290">
        <v>255</v>
      </c>
      <c r="G298" s="290">
        <v>162</v>
      </c>
      <c r="H298" s="290">
        <v>1300</v>
      </c>
      <c r="I298" s="290">
        <v>397</v>
      </c>
      <c r="J298" s="290">
        <v>120</v>
      </c>
      <c r="K298" s="290">
        <v>36</v>
      </c>
      <c r="L298" s="290">
        <v>20</v>
      </c>
      <c r="M298" s="290">
        <v>263</v>
      </c>
      <c r="N298" s="290">
        <v>63</v>
      </c>
      <c r="O298" s="290">
        <v>26</v>
      </c>
      <c r="P298" s="624">
        <v>8204.12066667</v>
      </c>
      <c r="Q298" s="624">
        <v>9815.8686666699996</v>
      </c>
      <c r="R298" s="624">
        <v>7</v>
      </c>
      <c r="S298" s="290"/>
      <c r="T298" s="290">
        <v>224</v>
      </c>
      <c r="U298" s="958">
        <v>1.4212288619567758E-3</v>
      </c>
      <c r="V298" s="290">
        <v>1629.3361020899999</v>
      </c>
      <c r="W298" s="765">
        <v>1</v>
      </c>
      <c r="X298" s="290">
        <v>0</v>
      </c>
      <c r="Y298" s="290"/>
      <c r="Z298" s="290">
        <f>+innut23!E304</f>
        <v>64424.394751840075</v>
      </c>
      <c r="AA298" s="290">
        <v>0</v>
      </c>
      <c r="AB298" s="290">
        <v>79</v>
      </c>
      <c r="AC298" s="290">
        <v>557</v>
      </c>
      <c r="AD298" s="290"/>
      <c r="AE298" s="290">
        <v>0</v>
      </c>
      <c r="AF298" s="290">
        <v>0</v>
      </c>
      <c r="AG298" s="290">
        <v>2396</v>
      </c>
      <c r="AH298" s="290">
        <v>380</v>
      </c>
      <c r="AI298" s="290"/>
      <c r="AJ298" s="290"/>
      <c r="AK298" s="290">
        <v>0</v>
      </c>
      <c r="AL298" s="290">
        <v>0</v>
      </c>
      <c r="AM298" s="957">
        <v>8.6340689999999998E-2</v>
      </c>
      <c r="AN298" s="290">
        <v>0</v>
      </c>
      <c r="AO298" s="290">
        <v>1259.4970391500001</v>
      </c>
      <c r="AP298" s="290">
        <v>0</v>
      </c>
      <c r="AQ298" s="290">
        <v>0</v>
      </c>
      <c r="AR298" s="290">
        <v>-98.328499350000001</v>
      </c>
      <c r="AS298" s="290">
        <v>3819</v>
      </c>
      <c r="AT298" s="290">
        <v>107</v>
      </c>
      <c r="AU298" s="290">
        <v>43</v>
      </c>
      <c r="AV298" s="766">
        <v>91336</v>
      </c>
      <c r="AW298" s="290">
        <v>0</v>
      </c>
      <c r="AX298" s="766">
        <v>18.125050000000002</v>
      </c>
      <c r="AY298" s="290">
        <v>423</v>
      </c>
      <c r="AZ298" s="290">
        <v>108</v>
      </c>
      <c r="BA298" s="290">
        <v>41</v>
      </c>
      <c r="BB298" s="290">
        <v>6257</v>
      </c>
      <c r="BC298" s="290">
        <v>1276</v>
      </c>
      <c r="BD298" s="290"/>
      <c r="BE298" s="290">
        <v>102623.52614464</v>
      </c>
      <c r="BF298" s="290">
        <v>0</v>
      </c>
      <c r="BG298" s="290">
        <v>0</v>
      </c>
      <c r="BH298" s="290">
        <v>-406</v>
      </c>
      <c r="BI298" s="290">
        <v>1456</v>
      </c>
      <c r="BJ298" s="290">
        <v>310.84936042526908</v>
      </c>
      <c r="BK298" s="290">
        <v>4</v>
      </c>
      <c r="BL298" s="290"/>
      <c r="BM298" s="290">
        <v>0</v>
      </c>
      <c r="BN298" s="290">
        <v>519</v>
      </c>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f>+innut23!E304+innut23!S304</f>
        <v>64424.394751840075</v>
      </c>
      <c r="CL298" s="290"/>
      <c r="CM298" s="290">
        <v>0</v>
      </c>
      <c r="CN298" s="290">
        <v>0</v>
      </c>
      <c r="CO298" s="290"/>
      <c r="CP298" s="290"/>
      <c r="CQ298" s="290"/>
      <c r="CX298" s="517">
        <f t="shared" si="9"/>
        <v>0</v>
      </c>
      <c r="DB298" s="85">
        <f t="shared" si="10"/>
        <v>0.439</v>
      </c>
    </row>
    <row r="299" spans="1:106" ht="13">
      <c r="A299" s="1">
        <v>5035</v>
      </c>
      <c r="B299" s="2" t="s">
        <v>147</v>
      </c>
      <c r="C299" s="289"/>
      <c r="D299" s="290">
        <v>458</v>
      </c>
      <c r="E299" s="290">
        <v>1029</v>
      </c>
      <c r="F299" s="290">
        <v>3177</v>
      </c>
      <c r="G299" s="290">
        <v>2162</v>
      </c>
      <c r="H299" s="290">
        <v>13364</v>
      </c>
      <c r="I299" s="290">
        <v>3106</v>
      </c>
      <c r="J299" s="290">
        <v>957</v>
      </c>
      <c r="K299" s="290">
        <v>169</v>
      </c>
      <c r="L299" s="290">
        <v>176</v>
      </c>
      <c r="M299" s="290">
        <v>1717</v>
      </c>
      <c r="N299" s="290">
        <v>675</v>
      </c>
      <c r="O299" s="290">
        <v>225</v>
      </c>
      <c r="P299" s="624">
        <v>69340.776333329995</v>
      </c>
      <c r="Q299" s="624">
        <v>46859.439333330003</v>
      </c>
      <c r="R299" s="624">
        <v>97</v>
      </c>
      <c r="S299" s="290"/>
      <c r="T299" s="290">
        <v>1838</v>
      </c>
      <c r="U299" s="958">
        <v>7.0766606875491325E-3</v>
      </c>
      <c r="V299" s="290">
        <v>-12552.23362838</v>
      </c>
      <c r="W299" s="765">
        <v>0.58196817000000001</v>
      </c>
      <c r="X299" s="290">
        <v>400</v>
      </c>
      <c r="Y299" s="290"/>
      <c r="Z299" s="290">
        <f>+innut23!E305</f>
        <v>706766.09197995416</v>
      </c>
      <c r="AA299" s="290">
        <v>0</v>
      </c>
      <c r="AB299" s="290">
        <v>635</v>
      </c>
      <c r="AC299" s="290">
        <v>6939</v>
      </c>
      <c r="AD299" s="290"/>
      <c r="AE299" s="290">
        <v>0</v>
      </c>
      <c r="AF299" s="290">
        <v>0</v>
      </c>
      <c r="AG299" s="290">
        <v>24422</v>
      </c>
      <c r="AH299" s="290">
        <v>4745</v>
      </c>
      <c r="AI299" s="290"/>
      <c r="AJ299" s="290"/>
      <c r="AK299" s="290">
        <v>0</v>
      </c>
      <c r="AL299" s="290">
        <v>0</v>
      </c>
      <c r="AM299" s="957">
        <v>0.48279857999999998</v>
      </c>
      <c r="AN299" s="290">
        <v>0</v>
      </c>
      <c r="AO299" s="290">
        <v>10999.01309054</v>
      </c>
      <c r="AP299" s="290">
        <v>0</v>
      </c>
      <c r="AQ299" s="290">
        <v>0</v>
      </c>
      <c r="AR299" s="290">
        <v>-1002.2448293800001</v>
      </c>
      <c r="AS299" s="290">
        <v>38754</v>
      </c>
      <c r="AT299" s="290">
        <v>1184</v>
      </c>
      <c r="AU299" s="290">
        <v>286</v>
      </c>
      <c r="AV299" s="766">
        <v>603384</v>
      </c>
      <c r="AW299" s="290">
        <v>0</v>
      </c>
      <c r="AX299" s="766">
        <v>164.29169999999999</v>
      </c>
      <c r="AY299" s="290">
        <v>5626</v>
      </c>
      <c r="AZ299" s="290">
        <v>841</v>
      </c>
      <c r="BA299" s="290">
        <v>528</v>
      </c>
      <c r="BB299" s="290">
        <v>0</v>
      </c>
      <c r="BC299" s="290">
        <v>15999</v>
      </c>
      <c r="BD299" s="290"/>
      <c r="BE299" s="290">
        <v>699215.33506871003</v>
      </c>
      <c r="BF299" s="290">
        <v>0</v>
      </c>
      <c r="BG299" s="290">
        <v>0</v>
      </c>
      <c r="BH299" s="290">
        <v>-4093</v>
      </c>
      <c r="BI299" s="290">
        <v>18425</v>
      </c>
      <c r="BJ299" s="290">
        <v>3356.4176647308987</v>
      </c>
      <c r="BK299" s="290">
        <v>37</v>
      </c>
      <c r="BL299" s="290"/>
      <c r="BM299" s="290">
        <v>0</v>
      </c>
      <c r="BN299" s="290">
        <v>6741</v>
      </c>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f>+innut23!E305+innut23!S305</f>
        <v>706766.09197995416</v>
      </c>
      <c r="CL299" s="290"/>
      <c r="CM299" s="290">
        <v>0</v>
      </c>
      <c r="CN299" s="290">
        <v>0</v>
      </c>
      <c r="CO299" s="290"/>
      <c r="CP299" s="290"/>
      <c r="CQ299" s="290"/>
      <c r="CX299" s="517">
        <f t="shared" si="9"/>
        <v>0</v>
      </c>
      <c r="DB299" s="85">
        <f t="shared" si="10"/>
        <v>4.476</v>
      </c>
    </row>
    <row r="300" spans="1:106" ht="13">
      <c r="A300" s="1">
        <v>5036</v>
      </c>
      <c r="B300" s="2" t="s">
        <v>148</v>
      </c>
      <c r="C300" s="289"/>
      <c r="D300" s="290">
        <v>55</v>
      </c>
      <c r="E300" s="290">
        <v>94</v>
      </c>
      <c r="F300" s="290">
        <v>292</v>
      </c>
      <c r="G300" s="290">
        <v>226</v>
      </c>
      <c r="H300" s="290">
        <v>1421</v>
      </c>
      <c r="I300" s="290">
        <v>369</v>
      </c>
      <c r="J300" s="290">
        <v>148</v>
      </c>
      <c r="K300" s="290">
        <v>23</v>
      </c>
      <c r="L300" s="290">
        <v>20</v>
      </c>
      <c r="M300" s="290">
        <v>231</v>
      </c>
      <c r="N300" s="290">
        <v>22</v>
      </c>
      <c r="O300" s="290">
        <v>20</v>
      </c>
      <c r="P300" s="624">
        <v>9886.2240000000002</v>
      </c>
      <c r="Q300" s="624">
        <v>5992.47</v>
      </c>
      <c r="R300" s="624">
        <v>9</v>
      </c>
      <c r="S300" s="290"/>
      <c r="T300" s="290">
        <v>191</v>
      </c>
      <c r="U300" s="958">
        <v>2.1654995585755291E-3</v>
      </c>
      <c r="V300" s="290">
        <v>1098.8187929999999</v>
      </c>
      <c r="W300" s="765">
        <v>0.76477684000000001</v>
      </c>
      <c r="X300" s="290">
        <v>200</v>
      </c>
      <c r="Y300" s="290"/>
      <c r="Z300" s="290">
        <f>+innut23!E306</f>
        <v>69826.172158476242</v>
      </c>
      <c r="AA300" s="290">
        <v>0</v>
      </c>
      <c r="AB300" s="290">
        <v>73</v>
      </c>
      <c r="AC300" s="290">
        <v>13</v>
      </c>
      <c r="AD300" s="290"/>
      <c r="AE300" s="290">
        <v>0</v>
      </c>
      <c r="AF300" s="290">
        <v>0</v>
      </c>
      <c r="AG300" s="290">
        <v>2628</v>
      </c>
      <c r="AH300" s="290">
        <v>457</v>
      </c>
      <c r="AI300" s="290"/>
      <c r="AJ300" s="290"/>
      <c r="AK300" s="290">
        <v>0</v>
      </c>
      <c r="AL300" s="290">
        <v>0</v>
      </c>
      <c r="AM300" s="957">
        <v>3.7190899999999999E-2</v>
      </c>
      <c r="AN300" s="290">
        <v>0</v>
      </c>
      <c r="AO300" s="290">
        <v>1286.15258741</v>
      </c>
      <c r="AP300" s="290">
        <v>0</v>
      </c>
      <c r="AQ300" s="290">
        <v>0</v>
      </c>
      <c r="AR300" s="290">
        <v>3619.1654715599998</v>
      </c>
      <c r="AS300" s="290">
        <v>4189</v>
      </c>
      <c r="AT300" s="290">
        <v>102</v>
      </c>
      <c r="AU300" s="290">
        <v>20</v>
      </c>
      <c r="AV300" s="766">
        <v>90388</v>
      </c>
      <c r="AW300" s="290">
        <v>0</v>
      </c>
      <c r="AX300" s="766">
        <v>20.333349999999999</v>
      </c>
      <c r="AY300" s="290">
        <v>459</v>
      </c>
      <c r="AZ300" s="290">
        <v>124</v>
      </c>
      <c r="BA300" s="290">
        <v>71</v>
      </c>
      <c r="BB300" s="290">
        <v>5006</v>
      </c>
      <c r="BC300" s="290">
        <v>941</v>
      </c>
      <c r="BD300" s="290"/>
      <c r="BE300" s="290">
        <v>96243.511097180002</v>
      </c>
      <c r="BF300" s="290">
        <v>0</v>
      </c>
      <c r="BG300" s="290">
        <v>0</v>
      </c>
      <c r="BH300" s="290">
        <v>-441</v>
      </c>
      <c r="BI300" s="290">
        <v>989</v>
      </c>
      <c r="BJ300" s="290">
        <v>334.1489138117314</v>
      </c>
      <c r="BK300" s="290">
        <v>3</v>
      </c>
      <c r="BL300" s="290"/>
      <c r="BM300" s="290">
        <v>0</v>
      </c>
      <c r="BN300" s="290">
        <v>519</v>
      </c>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f>+innut23!E306+innut23!S306</f>
        <v>69826.172158476242</v>
      </c>
      <c r="CL300" s="290"/>
      <c r="CM300" s="290">
        <v>0</v>
      </c>
      <c r="CN300" s="290">
        <v>0</v>
      </c>
      <c r="CO300" s="290"/>
      <c r="CP300" s="290"/>
      <c r="CQ300" s="290"/>
      <c r="CX300" s="517">
        <f t="shared" si="9"/>
        <v>0</v>
      </c>
      <c r="DB300" s="85">
        <f t="shared" si="10"/>
        <v>0.48199999999999998</v>
      </c>
    </row>
    <row r="301" spans="1:106" ht="13">
      <c r="A301" s="1">
        <v>5037</v>
      </c>
      <c r="B301" s="2" t="s">
        <v>150</v>
      </c>
      <c r="C301" s="289"/>
      <c r="D301" s="290">
        <v>406</v>
      </c>
      <c r="E301" s="290">
        <v>941</v>
      </c>
      <c r="F301" s="290">
        <v>2490</v>
      </c>
      <c r="G301" s="290">
        <v>1871</v>
      </c>
      <c r="H301" s="290">
        <v>10938</v>
      </c>
      <c r="I301" s="290">
        <v>2594</v>
      </c>
      <c r="J301" s="290">
        <v>855</v>
      </c>
      <c r="K301" s="290">
        <v>180</v>
      </c>
      <c r="L301" s="290">
        <v>144</v>
      </c>
      <c r="M301" s="290">
        <v>1492</v>
      </c>
      <c r="N301" s="290">
        <v>416</v>
      </c>
      <c r="O301" s="290">
        <v>129</v>
      </c>
      <c r="P301" s="624">
        <v>92060.885666670001</v>
      </c>
      <c r="Q301" s="624">
        <v>38986.813333329999</v>
      </c>
      <c r="R301" s="624">
        <v>90</v>
      </c>
      <c r="S301" s="290"/>
      <c r="T301" s="290">
        <v>1514</v>
      </c>
      <c r="U301" s="958">
        <v>8.8992421998579305E-3</v>
      </c>
      <c r="V301" s="290">
        <v>-7565.1909881399997</v>
      </c>
      <c r="W301" s="765">
        <v>0.59815556999999997</v>
      </c>
      <c r="X301" s="290">
        <v>2500</v>
      </c>
      <c r="Y301" s="290"/>
      <c r="Z301" s="290">
        <f>+innut23!E307</f>
        <v>592102.01377686323</v>
      </c>
      <c r="AA301" s="290">
        <v>0</v>
      </c>
      <c r="AB301" s="290">
        <v>470</v>
      </c>
      <c r="AC301" s="290">
        <v>4978</v>
      </c>
      <c r="AD301" s="290"/>
      <c r="AE301" s="290">
        <v>0</v>
      </c>
      <c r="AF301" s="290">
        <v>0</v>
      </c>
      <c r="AG301" s="290">
        <v>20275</v>
      </c>
      <c r="AH301" s="290">
        <v>3889</v>
      </c>
      <c r="AI301" s="290"/>
      <c r="AJ301" s="290"/>
      <c r="AK301" s="290">
        <v>0</v>
      </c>
      <c r="AL301" s="290">
        <v>0</v>
      </c>
      <c r="AM301" s="957">
        <v>0.25476378</v>
      </c>
      <c r="AN301" s="290">
        <v>0</v>
      </c>
      <c r="AO301" s="290">
        <v>9350.9835779299992</v>
      </c>
      <c r="AP301" s="290">
        <v>0</v>
      </c>
      <c r="AQ301" s="290">
        <v>0</v>
      </c>
      <c r="AR301" s="290">
        <v>-832.05773137999995</v>
      </c>
      <c r="AS301" s="290">
        <v>32262</v>
      </c>
      <c r="AT301" s="290">
        <v>901</v>
      </c>
      <c r="AU301" s="290">
        <v>173</v>
      </c>
      <c r="AV301" s="766">
        <v>537443</v>
      </c>
      <c r="AW301" s="290">
        <v>0</v>
      </c>
      <c r="AX301" s="766">
        <v>142.45835</v>
      </c>
      <c r="AY301" s="290">
        <v>5705</v>
      </c>
      <c r="AZ301" s="290">
        <v>665</v>
      </c>
      <c r="BA301" s="290">
        <v>409</v>
      </c>
      <c r="BB301" s="290">
        <v>0</v>
      </c>
      <c r="BC301" s="290">
        <v>11265</v>
      </c>
      <c r="BD301" s="290"/>
      <c r="BE301" s="290">
        <v>614030.53399443999</v>
      </c>
      <c r="BF301" s="290">
        <v>0</v>
      </c>
      <c r="BG301" s="290">
        <v>0</v>
      </c>
      <c r="BH301" s="290">
        <v>-3390</v>
      </c>
      <c r="BI301" s="290">
        <v>13015</v>
      </c>
      <c r="BJ301" s="290">
        <v>2640.7033265969249</v>
      </c>
      <c r="BK301" s="290">
        <v>28</v>
      </c>
      <c r="BL301" s="290"/>
      <c r="BM301" s="290">
        <v>0</v>
      </c>
      <c r="BN301" s="290">
        <v>4148</v>
      </c>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f>+innut23!E307+innut23!S307</f>
        <v>592102.01377686323</v>
      </c>
      <c r="CL301" s="290"/>
      <c r="CM301" s="290">
        <v>0</v>
      </c>
      <c r="CN301" s="290">
        <v>0</v>
      </c>
      <c r="CO301" s="290"/>
      <c r="CP301" s="290"/>
      <c r="CQ301" s="290"/>
      <c r="CX301" s="517">
        <f t="shared" si="9"/>
        <v>0</v>
      </c>
      <c r="DB301" s="85">
        <f t="shared" si="10"/>
        <v>3.7160000000000002</v>
      </c>
    </row>
    <row r="302" spans="1:106" ht="13">
      <c r="A302" s="1">
        <v>5038</v>
      </c>
      <c r="B302" s="2" t="s">
        <v>151</v>
      </c>
      <c r="C302" s="289"/>
      <c r="D302" s="290">
        <v>292</v>
      </c>
      <c r="E302" s="290">
        <v>586</v>
      </c>
      <c r="F302" s="290">
        <v>1733</v>
      </c>
      <c r="G302" s="290">
        <v>1317</v>
      </c>
      <c r="H302" s="290">
        <v>8173</v>
      </c>
      <c r="I302" s="290">
        <v>2202</v>
      </c>
      <c r="J302" s="290">
        <v>573</v>
      </c>
      <c r="K302" s="290">
        <v>123</v>
      </c>
      <c r="L302" s="290">
        <v>119</v>
      </c>
      <c r="M302" s="290">
        <v>1270</v>
      </c>
      <c r="N302" s="290">
        <v>242</v>
      </c>
      <c r="O302" s="290">
        <v>72</v>
      </c>
      <c r="P302" s="624">
        <v>59985.40633333</v>
      </c>
      <c r="Q302" s="624">
        <v>31168.517</v>
      </c>
      <c r="R302" s="624">
        <v>68</v>
      </c>
      <c r="S302" s="290"/>
      <c r="T302" s="290">
        <v>1228</v>
      </c>
      <c r="U302" s="958">
        <v>6.8431058716738923E-3</v>
      </c>
      <c r="V302" s="290">
        <v>4105.44059294</v>
      </c>
      <c r="W302" s="765">
        <v>0.58766878</v>
      </c>
      <c r="X302" s="290">
        <v>0</v>
      </c>
      <c r="Y302" s="290"/>
      <c r="Z302" s="290">
        <f>+innut23!E308</f>
        <v>400191.19671105262</v>
      </c>
      <c r="AA302" s="290">
        <v>0</v>
      </c>
      <c r="AB302" s="290">
        <v>489</v>
      </c>
      <c r="AC302" s="290">
        <v>4845</v>
      </c>
      <c r="AD302" s="290"/>
      <c r="AE302" s="290">
        <v>0</v>
      </c>
      <c r="AF302" s="290">
        <v>0</v>
      </c>
      <c r="AG302" s="290">
        <v>14999</v>
      </c>
      <c r="AH302" s="290">
        <v>2699</v>
      </c>
      <c r="AI302" s="290"/>
      <c r="AJ302" s="290"/>
      <c r="AK302" s="290">
        <v>0</v>
      </c>
      <c r="AL302" s="290">
        <v>0</v>
      </c>
      <c r="AM302" s="957">
        <v>0.26828955999999998</v>
      </c>
      <c r="AN302" s="290">
        <v>7884</v>
      </c>
      <c r="AO302" s="290">
        <v>6754.9230876700003</v>
      </c>
      <c r="AP302" s="290">
        <v>0</v>
      </c>
      <c r="AQ302" s="290">
        <v>0</v>
      </c>
      <c r="AR302" s="290">
        <v>-615.53804749999995</v>
      </c>
      <c r="AS302" s="290">
        <v>23905</v>
      </c>
      <c r="AT302" s="290">
        <v>648</v>
      </c>
      <c r="AU302" s="290">
        <v>183</v>
      </c>
      <c r="AV302" s="766">
        <v>385530</v>
      </c>
      <c r="AW302" s="290">
        <v>0</v>
      </c>
      <c r="AX302" s="766">
        <v>121.5</v>
      </c>
      <c r="AY302" s="290">
        <v>2915</v>
      </c>
      <c r="AZ302" s="290">
        <v>506</v>
      </c>
      <c r="BA302" s="290">
        <v>345</v>
      </c>
      <c r="BB302" s="290">
        <v>0</v>
      </c>
      <c r="BC302" s="290">
        <v>10053</v>
      </c>
      <c r="BD302" s="290"/>
      <c r="BE302" s="290">
        <v>449227.22457487998</v>
      </c>
      <c r="BF302" s="290">
        <v>0</v>
      </c>
      <c r="BG302" s="290">
        <v>0</v>
      </c>
      <c r="BH302" s="290">
        <v>-2532</v>
      </c>
      <c r="BI302" s="290">
        <v>11692</v>
      </c>
      <c r="BJ302" s="290">
        <v>1838.8724451010419</v>
      </c>
      <c r="BK302" s="290">
        <v>23</v>
      </c>
      <c r="BL302" s="290"/>
      <c r="BM302" s="290">
        <v>0</v>
      </c>
      <c r="BN302" s="290">
        <v>4148</v>
      </c>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f>+innut23!E308+innut23!S308</f>
        <v>400191.19671105262</v>
      </c>
      <c r="CL302" s="290"/>
      <c r="CM302" s="290">
        <v>0</v>
      </c>
      <c r="CN302" s="290">
        <v>0</v>
      </c>
      <c r="CO302" s="290"/>
      <c r="CP302" s="290"/>
      <c r="CQ302" s="290"/>
      <c r="CX302" s="517">
        <f t="shared" si="9"/>
        <v>0</v>
      </c>
      <c r="DB302" s="85">
        <f t="shared" si="10"/>
        <v>2.7490000000000001</v>
      </c>
    </row>
    <row r="303" spans="1:106" ht="13">
      <c r="A303" s="1">
        <v>5041</v>
      </c>
      <c r="B303" s="2" t="s">
        <v>156</v>
      </c>
      <c r="C303" s="289"/>
      <c r="D303" s="290">
        <v>48</v>
      </c>
      <c r="E303" s="290">
        <v>75</v>
      </c>
      <c r="F303" s="290">
        <v>224</v>
      </c>
      <c r="G303" s="290">
        <v>173</v>
      </c>
      <c r="H303" s="290">
        <v>1035</v>
      </c>
      <c r="I303" s="290">
        <v>302</v>
      </c>
      <c r="J303" s="290">
        <v>135</v>
      </c>
      <c r="K303" s="290">
        <v>28</v>
      </c>
      <c r="L303" s="290">
        <v>16</v>
      </c>
      <c r="M303" s="290">
        <v>195</v>
      </c>
      <c r="N303" s="290">
        <v>18</v>
      </c>
      <c r="O303" s="290">
        <v>17</v>
      </c>
      <c r="P303" s="624">
        <v>11142.65633333</v>
      </c>
      <c r="Q303" s="624">
        <v>5786.6289999999999</v>
      </c>
      <c r="R303" s="624">
        <v>17</v>
      </c>
      <c r="S303" s="290"/>
      <c r="T303" s="290">
        <v>154</v>
      </c>
      <c r="U303" s="958">
        <v>2.7982594810941411E-3</v>
      </c>
      <c r="V303" s="290">
        <v>-6052.3610231399998</v>
      </c>
      <c r="W303" s="765">
        <v>1</v>
      </c>
      <c r="X303" s="290">
        <v>200</v>
      </c>
      <c r="Y303" s="290"/>
      <c r="Z303" s="290">
        <f>+innut23!E309</f>
        <v>50485.857311700485</v>
      </c>
      <c r="AA303" s="290">
        <v>-539</v>
      </c>
      <c r="AB303" s="290">
        <v>51</v>
      </c>
      <c r="AC303" s="290">
        <v>507</v>
      </c>
      <c r="AD303" s="290"/>
      <c r="AE303" s="290">
        <v>0</v>
      </c>
      <c r="AF303" s="290">
        <v>0</v>
      </c>
      <c r="AG303" s="290">
        <v>2020</v>
      </c>
      <c r="AH303" s="290">
        <v>362</v>
      </c>
      <c r="AI303" s="290"/>
      <c r="AJ303" s="290"/>
      <c r="AK303" s="290">
        <v>0</v>
      </c>
      <c r="AL303" s="290">
        <v>3924</v>
      </c>
      <c r="AM303" s="957">
        <v>1.9290660000000001E-2</v>
      </c>
      <c r="AN303" s="290">
        <v>0</v>
      </c>
      <c r="AO303" s="290">
        <v>1173.92678677</v>
      </c>
      <c r="AP303" s="290">
        <v>0</v>
      </c>
      <c r="AQ303" s="290">
        <v>0</v>
      </c>
      <c r="AR303" s="290">
        <v>-82.897983589999996</v>
      </c>
      <c r="AS303" s="290">
        <v>3251</v>
      </c>
      <c r="AT303" s="290">
        <v>67</v>
      </c>
      <c r="AU303" s="290">
        <v>14</v>
      </c>
      <c r="AV303" s="766">
        <v>88311</v>
      </c>
      <c r="AW303" s="290">
        <v>0</v>
      </c>
      <c r="AX303" s="766">
        <v>24.041650000000001</v>
      </c>
      <c r="AY303" s="290">
        <v>470</v>
      </c>
      <c r="AZ303" s="290">
        <v>85</v>
      </c>
      <c r="BA303" s="290">
        <v>38</v>
      </c>
      <c r="BB303" s="290">
        <v>6257</v>
      </c>
      <c r="BC303" s="290">
        <v>1081</v>
      </c>
      <c r="BD303" s="290"/>
      <c r="BE303" s="290">
        <v>100055.34005445</v>
      </c>
      <c r="BF303" s="290">
        <v>0</v>
      </c>
      <c r="BG303" s="290">
        <v>0</v>
      </c>
      <c r="BH303" s="290">
        <v>-342</v>
      </c>
      <c r="BI303" s="290">
        <v>1367</v>
      </c>
      <c r="BJ303" s="290">
        <v>273.18000779215481</v>
      </c>
      <c r="BK303" s="290">
        <v>3</v>
      </c>
      <c r="BL303" s="290"/>
      <c r="BM303" s="290">
        <v>0</v>
      </c>
      <c r="BN303" s="290">
        <v>1037</v>
      </c>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f>+innut23!E309+innut23!S309</f>
        <v>50485.857311700485</v>
      </c>
      <c r="CL303" s="290"/>
      <c r="CM303" s="290">
        <v>0</v>
      </c>
      <c r="CN303" s="290">
        <v>0</v>
      </c>
      <c r="CO303" s="290"/>
      <c r="CP303" s="290"/>
      <c r="CQ303" s="290"/>
      <c r="CX303" s="517">
        <f t="shared" si="9"/>
        <v>0</v>
      </c>
      <c r="DB303" s="85">
        <f t="shared" si="10"/>
        <v>0.37</v>
      </c>
    </row>
    <row r="304" spans="1:106" ht="13">
      <c r="A304" s="1">
        <v>5042</v>
      </c>
      <c r="B304" s="2" t="s">
        <v>157</v>
      </c>
      <c r="C304" s="289"/>
      <c r="D304" s="290">
        <v>16</v>
      </c>
      <c r="E304" s="290">
        <v>40</v>
      </c>
      <c r="F304" s="290">
        <v>128</v>
      </c>
      <c r="G304" s="290">
        <v>127</v>
      </c>
      <c r="H304" s="290">
        <v>652</v>
      </c>
      <c r="I304" s="290">
        <v>239</v>
      </c>
      <c r="J304" s="290">
        <v>78</v>
      </c>
      <c r="K304" s="290">
        <v>22</v>
      </c>
      <c r="L304" s="290">
        <v>11</v>
      </c>
      <c r="M304" s="290">
        <v>170</v>
      </c>
      <c r="N304" s="290">
        <v>11</v>
      </c>
      <c r="O304" s="290">
        <v>10</v>
      </c>
      <c r="P304" s="624">
        <v>33160.129333329998</v>
      </c>
      <c r="Q304" s="624">
        <v>15689.456333329999</v>
      </c>
      <c r="R304" s="624">
        <v>16</v>
      </c>
      <c r="S304" s="290"/>
      <c r="T304" s="290">
        <v>108</v>
      </c>
      <c r="U304" s="958">
        <v>1.7901854909558599E-3</v>
      </c>
      <c r="V304" s="290">
        <v>1125.8589446999999</v>
      </c>
      <c r="W304" s="765">
        <v>1</v>
      </c>
      <c r="X304" s="290">
        <v>560</v>
      </c>
      <c r="Y304" s="290"/>
      <c r="Z304" s="290">
        <f>+innut23!E310</f>
        <v>35848.857934969419</v>
      </c>
      <c r="AA304" s="290">
        <v>0</v>
      </c>
      <c r="AB304" s="290">
        <v>21</v>
      </c>
      <c r="AC304" s="290">
        <v>208</v>
      </c>
      <c r="AD304" s="290"/>
      <c r="AE304" s="290">
        <v>0</v>
      </c>
      <c r="AF304" s="290">
        <v>0</v>
      </c>
      <c r="AG304" s="290">
        <v>1302</v>
      </c>
      <c r="AH304" s="290">
        <v>203</v>
      </c>
      <c r="AI304" s="290"/>
      <c r="AJ304" s="290"/>
      <c r="AK304" s="290">
        <v>0</v>
      </c>
      <c r="AL304" s="290">
        <v>2526</v>
      </c>
      <c r="AM304" s="957">
        <v>4.0198899999999999E-3</v>
      </c>
      <c r="AN304" s="290">
        <v>0</v>
      </c>
      <c r="AO304" s="290">
        <v>870.30294457000002</v>
      </c>
      <c r="AP304" s="290">
        <v>0</v>
      </c>
      <c r="AQ304" s="290">
        <v>0</v>
      </c>
      <c r="AR304" s="290">
        <v>-53.432264670000002</v>
      </c>
      <c r="AS304" s="290">
        <v>2133</v>
      </c>
      <c r="AT304" s="290">
        <v>41</v>
      </c>
      <c r="AU304" s="290">
        <v>4</v>
      </c>
      <c r="AV304" s="766">
        <v>82023</v>
      </c>
      <c r="AW304" s="290">
        <v>0</v>
      </c>
      <c r="AX304" s="766">
        <v>4.4583500000000003</v>
      </c>
      <c r="AY304" s="290">
        <v>244</v>
      </c>
      <c r="AZ304" s="290">
        <v>42</v>
      </c>
      <c r="BA304" s="290">
        <v>15</v>
      </c>
      <c r="BB304" s="290">
        <v>6257</v>
      </c>
      <c r="BC304" s="290">
        <v>1360</v>
      </c>
      <c r="BD304" s="290"/>
      <c r="BE304" s="290">
        <v>88672.941739300004</v>
      </c>
      <c r="BF304" s="290">
        <v>0</v>
      </c>
      <c r="BG304" s="290">
        <v>0</v>
      </c>
      <c r="BH304" s="290">
        <v>-223</v>
      </c>
      <c r="BI304" s="290">
        <v>1448</v>
      </c>
      <c r="BJ304" s="290">
        <v>200.16859930877771</v>
      </c>
      <c r="BK304" s="290">
        <v>2</v>
      </c>
      <c r="BL304" s="290"/>
      <c r="BM304" s="290">
        <v>0</v>
      </c>
      <c r="BN304" s="290">
        <v>1037</v>
      </c>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f>+innut23!E310+innut23!S310</f>
        <v>35848.857934969419</v>
      </c>
      <c r="CL304" s="290"/>
      <c r="CM304" s="290">
        <v>0</v>
      </c>
      <c r="CN304" s="290">
        <v>0</v>
      </c>
      <c r="CO304" s="290"/>
      <c r="CP304" s="290"/>
      <c r="CQ304" s="290"/>
      <c r="CX304" s="517">
        <f t="shared" si="9"/>
        <v>0</v>
      </c>
      <c r="DB304" s="85">
        <f t="shared" si="10"/>
        <v>0.23899999999999999</v>
      </c>
    </row>
    <row r="305" spans="1:106" ht="13">
      <c r="A305" s="1">
        <v>5043</v>
      </c>
      <c r="B305" s="2" t="s">
        <v>164</v>
      </c>
      <c r="C305" s="289"/>
      <c r="D305" s="290">
        <v>4</v>
      </c>
      <c r="E305" s="290">
        <v>15</v>
      </c>
      <c r="F305" s="290">
        <v>43</v>
      </c>
      <c r="G305" s="290">
        <v>37</v>
      </c>
      <c r="H305" s="290">
        <v>214</v>
      </c>
      <c r="I305" s="290">
        <v>87</v>
      </c>
      <c r="J305" s="290">
        <v>29</v>
      </c>
      <c r="K305" s="290">
        <v>6</v>
      </c>
      <c r="L305" s="290">
        <v>3</v>
      </c>
      <c r="M305" s="290">
        <v>50</v>
      </c>
      <c r="N305" s="290">
        <v>7</v>
      </c>
      <c r="O305" s="290">
        <v>9</v>
      </c>
      <c r="P305" s="624">
        <v>3576.0776666699999</v>
      </c>
      <c r="Q305" s="624">
        <v>4938.6216666700002</v>
      </c>
      <c r="R305" s="624">
        <v>0</v>
      </c>
      <c r="S305" s="290"/>
      <c r="T305" s="290">
        <v>31</v>
      </c>
      <c r="U305" s="958">
        <v>7.2807790664408938E-4</v>
      </c>
      <c r="V305" s="290">
        <v>447.85307011999998</v>
      </c>
      <c r="W305" s="765">
        <v>1</v>
      </c>
      <c r="X305" s="290">
        <v>530</v>
      </c>
      <c r="Y305" s="290"/>
      <c r="Z305" s="290">
        <f>+innut23!E311</f>
        <v>12752.083957851992</v>
      </c>
      <c r="AA305" s="290">
        <v>0</v>
      </c>
      <c r="AB305" s="290">
        <v>4</v>
      </c>
      <c r="AC305" s="290">
        <v>0</v>
      </c>
      <c r="AD305" s="290"/>
      <c r="AE305" s="290">
        <v>0</v>
      </c>
      <c r="AF305" s="290">
        <v>0</v>
      </c>
      <c r="AG305" s="290">
        <v>435</v>
      </c>
      <c r="AH305" s="290">
        <v>100</v>
      </c>
      <c r="AI305" s="290"/>
      <c r="AJ305" s="290"/>
      <c r="AK305" s="290">
        <v>0</v>
      </c>
      <c r="AL305" s="290">
        <v>851</v>
      </c>
      <c r="AM305" s="957">
        <v>6.6638899999999996E-3</v>
      </c>
      <c r="AN305" s="290">
        <v>0</v>
      </c>
      <c r="AO305" s="290">
        <v>346.19598440999999</v>
      </c>
      <c r="AP305" s="290">
        <v>0</v>
      </c>
      <c r="AQ305" s="290">
        <v>0</v>
      </c>
      <c r="AR305" s="290">
        <v>-17.851793499999999</v>
      </c>
      <c r="AS305" s="290">
        <v>730</v>
      </c>
      <c r="AT305" s="290">
        <v>12</v>
      </c>
      <c r="AU305" s="290">
        <v>3</v>
      </c>
      <c r="AV305" s="766">
        <v>39488</v>
      </c>
      <c r="AW305" s="290">
        <v>0</v>
      </c>
      <c r="AX305" s="766">
        <v>0.58335000000000004</v>
      </c>
      <c r="AY305" s="290">
        <v>79</v>
      </c>
      <c r="AZ305" s="290">
        <v>36</v>
      </c>
      <c r="BA305" s="290">
        <v>2</v>
      </c>
      <c r="BB305" s="290">
        <v>6257</v>
      </c>
      <c r="BC305" s="290">
        <v>600</v>
      </c>
      <c r="BD305" s="290"/>
      <c r="BE305" s="290">
        <v>42121.600142509997</v>
      </c>
      <c r="BF305" s="290">
        <v>0</v>
      </c>
      <c r="BG305" s="290">
        <v>0</v>
      </c>
      <c r="BH305" s="290">
        <v>-74</v>
      </c>
      <c r="BI305" s="290">
        <v>619</v>
      </c>
      <c r="BJ305" s="290">
        <v>85.091182722237036</v>
      </c>
      <c r="BK305" s="290">
        <v>1</v>
      </c>
      <c r="BL305" s="290"/>
      <c r="BM305" s="290">
        <v>0</v>
      </c>
      <c r="BN305" s="290">
        <v>519</v>
      </c>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f>+innut23!E311+innut23!S311</f>
        <v>12752.083957851992</v>
      </c>
      <c r="CL305" s="290"/>
      <c r="CM305" s="290">
        <v>0</v>
      </c>
      <c r="CN305" s="290">
        <v>0</v>
      </c>
      <c r="CO305" s="290"/>
      <c r="CP305" s="290"/>
      <c r="CQ305" s="290"/>
      <c r="CX305" s="517">
        <f t="shared" si="9"/>
        <v>0</v>
      </c>
      <c r="DB305" s="85">
        <f t="shared" si="10"/>
        <v>0.08</v>
      </c>
    </row>
    <row r="306" spans="1:106" ht="13">
      <c r="A306" s="1">
        <v>5044</v>
      </c>
      <c r="B306" s="2" t="s">
        <v>165</v>
      </c>
      <c r="C306" s="289"/>
      <c r="D306" s="290">
        <v>11</v>
      </c>
      <c r="E306" s="290">
        <v>23</v>
      </c>
      <c r="F306" s="290">
        <v>89</v>
      </c>
      <c r="G306" s="290">
        <v>56</v>
      </c>
      <c r="H306" s="290">
        <v>414</v>
      </c>
      <c r="I306" s="290">
        <v>138</v>
      </c>
      <c r="J306" s="290">
        <v>64</v>
      </c>
      <c r="K306" s="290">
        <v>12</v>
      </c>
      <c r="L306" s="290">
        <v>9</v>
      </c>
      <c r="M306" s="290">
        <v>109</v>
      </c>
      <c r="N306" s="290">
        <v>13</v>
      </c>
      <c r="O306" s="290">
        <v>12</v>
      </c>
      <c r="P306" s="624">
        <v>12695.78266667</v>
      </c>
      <c r="Q306" s="624">
        <v>10213.64866667</v>
      </c>
      <c r="R306" s="624">
        <v>8</v>
      </c>
      <c r="S306" s="290"/>
      <c r="T306" s="290">
        <v>73</v>
      </c>
      <c r="U306" s="958">
        <v>7.1045646554708259E-4</v>
      </c>
      <c r="V306" s="290">
        <v>781.74470871000005</v>
      </c>
      <c r="W306" s="765">
        <v>1</v>
      </c>
      <c r="X306" s="290">
        <v>280</v>
      </c>
      <c r="Y306" s="290"/>
      <c r="Z306" s="290">
        <f>+innut23!E312</f>
        <v>31219.24497308629</v>
      </c>
      <c r="AA306" s="290">
        <v>0</v>
      </c>
      <c r="AB306" s="290">
        <v>28</v>
      </c>
      <c r="AC306" s="290">
        <v>266</v>
      </c>
      <c r="AD306" s="290"/>
      <c r="AE306" s="290">
        <v>0</v>
      </c>
      <c r="AF306" s="290">
        <v>0</v>
      </c>
      <c r="AG306" s="290">
        <v>807</v>
      </c>
      <c r="AH306" s="290">
        <v>121</v>
      </c>
      <c r="AI306" s="290"/>
      <c r="AJ306" s="290"/>
      <c r="AK306" s="290">
        <v>0</v>
      </c>
      <c r="AL306" s="290">
        <v>1579</v>
      </c>
      <c r="AM306" s="957">
        <v>1.28048E-2</v>
      </c>
      <c r="AN306" s="290">
        <v>0</v>
      </c>
      <c r="AO306" s="290">
        <v>604.29836711999997</v>
      </c>
      <c r="AP306" s="290">
        <v>0</v>
      </c>
      <c r="AQ306" s="290">
        <v>0</v>
      </c>
      <c r="AR306" s="290">
        <v>-33.118154830000002</v>
      </c>
      <c r="AS306" s="290">
        <v>1167</v>
      </c>
      <c r="AT306" s="290">
        <v>34</v>
      </c>
      <c r="AU306" s="290">
        <v>7</v>
      </c>
      <c r="AV306" s="766">
        <v>61516</v>
      </c>
      <c r="AW306" s="290">
        <v>0</v>
      </c>
      <c r="AX306" s="766">
        <v>4.9166999999999996</v>
      </c>
      <c r="AY306" s="290">
        <v>107</v>
      </c>
      <c r="AZ306" s="290">
        <v>36</v>
      </c>
      <c r="BA306" s="290">
        <v>15</v>
      </c>
      <c r="BB306" s="290">
        <v>6257</v>
      </c>
      <c r="BC306" s="290">
        <v>1314</v>
      </c>
      <c r="BD306" s="290"/>
      <c r="BE306" s="290">
        <v>66993.183391069993</v>
      </c>
      <c r="BF306" s="290">
        <v>0</v>
      </c>
      <c r="BG306" s="290">
        <v>0</v>
      </c>
      <c r="BH306" s="290">
        <v>-139</v>
      </c>
      <c r="BI306" s="290">
        <v>1424</v>
      </c>
      <c r="BJ306" s="290">
        <v>143.7231790896233</v>
      </c>
      <c r="BK306" s="290">
        <v>1</v>
      </c>
      <c r="BL306" s="290"/>
      <c r="BM306" s="290">
        <v>0</v>
      </c>
      <c r="BN306" s="290">
        <v>1037</v>
      </c>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f>+innut23!E312+innut23!S312</f>
        <v>31219.24497308629</v>
      </c>
      <c r="CL306" s="290"/>
      <c r="CM306" s="290">
        <v>0</v>
      </c>
      <c r="CN306" s="290">
        <v>0</v>
      </c>
      <c r="CO306" s="290"/>
      <c r="CP306" s="290"/>
      <c r="CQ306" s="290"/>
      <c r="CX306" s="517">
        <f t="shared" si="9"/>
        <v>0</v>
      </c>
      <c r="DB306" s="85">
        <f t="shared" si="10"/>
        <v>0.14799999999999999</v>
      </c>
    </row>
    <row r="307" spans="1:106" ht="13">
      <c r="A307" s="1">
        <v>5045</v>
      </c>
      <c r="B307" s="2" t="s">
        <v>166</v>
      </c>
      <c r="C307" s="289"/>
      <c r="D307" s="290">
        <v>41</v>
      </c>
      <c r="E307" s="290">
        <v>80</v>
      </c>
      <c r="F307" s="290">
        <v>280</v>
      </c>
      <c r="G307" s="290">
        <v>190</v>
      </c>
      <c r="H307" s="290">
        <v>1182</v>
      </c>
      <c r="I307" s="290">
        <v>345</v>
      </c>
      <c r="J307" s="290">
        <v>135</v>
      </c>
      <c r="K307" s="290">
        <v>33</v>
      </c>
      <c r="L307" s="290">
        <v>18</v>
      </c>
      <c r="M307" s="290">
        <v>253</v>
      </c>
      <c r="N307" s="290">
        <v>76</v>
      </c>
      <c r="O307" s="290">
        <v>31</v>
      </c>
      <c r="P307" s="624">
        <v>13384.034</v>
      </c>
      <c r="Q307" s="624">
        <v>6265.3486666700001</v>
      </c>
      <c r="R307" s="624">
        <v>10</v>
      </c>
      <c r="S307" s="290"/>
      <c r="T307" s="290">
        <v>205</v>
      </c>
      <c r="U307" s="958">
        <v>1.4181247678088829E-3</v>
      </c>
      <c r="V307" s="290">
        <v>829.28421156000002</v>
      </c>
      <c r="W307" s="765">
        <v>0.86382738999999997</v>
      </c>
      <c r="X307" s="290">
        <v>0</v>
      </c>
      <c r="Y307" s="290"/>
      <c r="Z307" s="290">
        <f>+innut23!E313</f>
        <v>68330.081053287533</v>
      </c>
      <c r="AA307" s="290">
        <v>0</v>
      </c>
      <c r="AB307" s="290">
        <v>49</v>
      </c>
      <c r="AC307" s="290">
        <v>2630</v>
      </c>
      <c r="AD307" s="290"/>
      <c r="AE307" s="290">
        <v>0</v>
      </c>
      <c r="AF307" s="290">
        <v>0</v>
      </c>
      <c r="AG307" s="290">
        <v>2286</v>
      </c>
      <c r="AH307" s="290">
        <v>405</v>
      </c>
      <c r="AI307" s="290"/>
      <c r="AJ307" s="290"/>
      <c r="AK307" s="290">
        <v>0</v>
      </c>
      <c r="AL307" s="290">
        <v>4414</v>
      </c>
      <c r="AM307" s="957">
        <v>3.9653029999999999E-2</v>
      </c>
      <c r="AN307" s="290">
        <v>0</v>
      </c>
      <c r="AO307" s="290">
        <v>1252.4998153700001</v>
      </c>
      <c r="AP307" s="290">
        <v>0</v>
      </c>
      <c r="AQ307" s="290">
        <v>0</v>
      </c>
      <c r="AR307" s="290">
        <v>-93.814252719999999</v>
      </c>
      <c r="AS307" s="290">
        <v>3707</v>
      </c>
      <c r="AT307" s="290">
        <v>85</v>
      </c>
      <c r="AU307" s="290">
        <v>20</v>
      </c>
      <c r="AV307" s="766">
        <v>101361</v>
      </c>
      <c r="AW307" s="290">
        <v>0</v>
      </c>
      <c r="AX307" s="766">
        <v>21.333300000000001</v>
      </c>
      <c r="AY307" s="290">
        <v>474</v>
      </c>
      <c r="AZ307" s="290">
        <v>122</v>
      </c>
      <c r="BA307" s="290">
        <v>49</v>
      </c>
      <c r="BB307" s="290">
        <v>6257</v>
      </c>
      <c r="BC307" s="290">
        <v>3256</v>
      </c>
      <c r="BD307" s="290"/>
      <c r="BE307" s="290">
        <v>111698.26123716</v>
      </c>
      <c r="BF307" s="290">
        <v>0</v>
      </c>
      <c r="BG307" s="290">
        <v>0</v>
      </c>
      <c r="BH307" s="290">
        <v>-391</v>
      </c>
      <c r="BI307" s="290">
        <v>4072</v>
      </c>
      <c r="BJ307" s="290">
        <v>331.94611709672739</v>
      </c>
      <c r="BK307" s="290">
        <v>4</v>
      </c>
      <c r="BL307" s="290"/>
      <c r="BM307" s="290">
        <v>0</v>
      </c>
      <c r="BN307" s="290">
        <v>1037</v>
      </c>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f>+innut23!E313+innut23!S313</f>
        <v>68330.081053287533</v>
      </c>
      <c r="CL307" s="290"/>
      <c r="CM307" s="290">
        <v>0</v>
      </c>
      <c r="CN307" s="290">
        <v>0</v>
      </c>
      <c r="CO307" s="290"/>
      <c r="CP307" s="290"/>
      <c r="CQ307" s="290"/>
      <c r="CX307" s="517">
        <f t="shared" si="9"/>
        <v>0</v>
      </c>
      <c r="DB307" s="85">
        <f t="shared" si="10"/>
        <v>0.41899999999999998</v>
      </c>
    </row>
    <row r="308" spans="1:106" ht="13">
      <c r="A308" s="1">
        <v>5046</v>
      </c>
      <c r="B308" s="2" t="s">
        <v>167</v>
      </c>
      <c r="C308" s="289"/>
      <c r="D308" s="290">
        <v>20</v>
      </c>
      <c r="E308" s="290">
        <v>31</v>
      </c>
      <c r="F308" s="290">
        <v>161</v>
      </c>
      <c r="G308" s="290">
        <v>129</v>
      </c>
      <c r="H308" s="290">
        <v>558</v>
      </c>
      <c r="I308" s="290">
        <v>212</v>
      </c>
      <c r="J308" s="290">
        <v>68</v>
      </c>
      <c r="K308" s="290">
        <v>15</v>
      </c>
      <c r="L308" s="290">
        <v>9</v>
      </c>
      <c r="M308" s="290">
        <v>115</v>
      </c>
      <c r="N308" s="290">
        <v>11</v>
      </c>
      <c r="O308" s="290">
        <v>8</v>
      </c>
      <c r="P308" s="624">
        <v>7875.9423333300001</v>
      </c>
      <c r="Q308" s="624">
        <v>6041.1306666700002</v>
      </c>
      <c r="R308" s="624">
        <v>17</v>
      </c>
      <c r="S308" s="290"/>
      <c r="T308" s="290">
        <v>83</v>
      </c>
      <c r="U308" s="958">
        <v>1.4417982627305175E-3</v>
      </c>
      <c r="V308" s="290">
        <v>1018.4843077</v>
      </c>
      <c r="W308" s="765">
        <v>1</v>
      </c>
      <c r="X308" s="290">
        <v>190</v>
      </c>
      <c r="Y308" s="290"/>
      <c r="Z308" s="290">
        <f>+innut23!E314</f>
        <v>29749.091779239378</v>
      </c>
      <c r="AA308" s="290">
        <v>0</v>
      </c>
      <c r="AB308" s="290">
        <v>28</v>
      </c>
      <c r="AC308" s="290">
        <v>0</v>
      </c>
      <c r="AD308" s="290"/>
      <c r="AE308" s="290">
        <v>0</v>
      </c>
      <c r="AF308" s="290">
        <v>0</v>
      </c>
      <c r="AG308" s="290">
        <v>1194</v>
      </c>
      <c r="AH308" s="290">
        <v>230</v>
      </c>
      <c r="AI308" s="290"/>
      <c r="AJ308" s="290"/>
      <c r="AK308" s="290">
        <v>0</v>
      </c>
      <c r="AL308" s="290">
        <v>2302</v>
      </c>
      <c r="AM308" s="957">
        <v>7.3072199999999997E-3</v>
      </c>
      <c r="AN308" s="290">
        <v>0</v>
      </c>
      <c r="AO308" s="290">
        <v>787.30101685</v>
      </c>
      <c r="AP308" s="290">
        <v>0</v>
      </c>
      <c r="AQ308" s="290">
        <v>0</v>
      </c>
      <c r="AR308" s="290">
        <v>527.29395661000001</v>
      </c>
      <c r="AS308" s="290">
        <v>1939</v>
      </c>
      <c r="AT308" s="290">
        <v>52</v>
      </c>
      <c r="AU308" s="290">
        <v>5</v>
      </c>
      <c r="AV308" s="766">
        <v>74721</v>
      </c>
      <c r="AW308" s="290">
        <v>0</v>
      </c>
      <c r="AX308" s="766">
        <v>11.74995</v>
      </c>
      <c r="AY308" s="290">
        <v>263</v>
      </c>
      <c r="AZ308" s="290">
        <v>40</v>
      </c>
      <c r="BA308" s="290">
        <v>10</v>
      </c>
      <c r="BB308" s="290">
        <v>5633</v>
      </c>
      <c r="BC308" s="290">
        <v>737</v>
      </c>
      <c r="BD308" s="290"/>
      <c r="BE308" s="290">
        <v>78765.697179609997</v>
      </c>
      <c r="BF308" s="290">
        <v>0</v>
      </c>
      <c r="BG308" s="290">
        <v>0</v>
      </c>
      <c r="BH308" s="290">
        <v>-202</v>
      </c>
      <c r="BI308" s="290">
        <v>749</v>
      </c>
      <c r="BJ308" s="290">
        <v>205.59566224609324</v>
      </c>
      <c r="BK308" s="290">
        <v>1</v>
      </c>
      <c r="BL308" s="290"/>
      <c r="BM308" s="290">
        <v>0</v>
      </c>
      <c r="BN308" s="290">
        <v>519</v>
      </c>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f>+innut23!E314+innut23!S314</f>
        <v>29749.091779239378</v>
      </c>
      <c r="CL308" s="290"/>
      <c r="CM308" s="290">
        <v>0</v>
      </c>
      <c r="CN308" s="290">
        <v>0</v>
      </c>
      <c r="CO308" s="290"/>
      <c r="CP308" s="290"/>
      <c r="CQ308" s="290"/>
      <c r="CX308" s="517">
        <f t="shared" si="9"/>
        <v>0</v>
      </c>
      <c r="DB308" s="85">
        <f t="shared" si="10"/>
        <v>0.219</v>
      </c>
    </row>
    <row r="309" spans="1:106" ht="13">
      <c r="A309" s="1">
        <v>5047</v>
      </c>
      <c r="B309" s="2" t="s">
        <v>168</v>
      </c>
      <c r="C309" s="289"/>
      <c r="D309" s="290">
        <v>72</v>
      </c>
      <c r="E309" s="290">
        <v>176</v>
      </c>
      <c r="F309" s="290">
        <v>559</v>
      </c>
      <c r="G309" s="290">
        <v>312</v>
      </c>
      <c r="H309" s="290">
        <v>2058</v>
      </c>
      <c r="I309" s="290">
        <v>462</v>
      </c>
      <c r="J309" s="290">
        <v>150</v>
      </c>
      <c r="K309" s="290">
        <v>36</v>
      </c>
      <c r="L309" s="290">
        <v>31</v>
      </c>
      <c r="M309" s="290">
        <v>271</v>
      </c>
      <c r="N309" s="290">
        <v>58</v>
      </c>
      <c r="O309" s="290">
        <v>41</v>
      </c>
      <c r="P309" s="624">
        <v>35642.322</v>
      </c>
      <c r="Q309" s="624">
        <v>16429.267</v>
      </c>
      <c r="R309" s="624">
        <v>16</v>
      </c>
      <c r="S309" s="290"/>
      <c r="T309" s="290">
        <v>228</v>
      </c>
      <c r="U309" s="958">
        <v>2.6602854513691726E-3</v>
      </c>
      <c r="V309" s="290">
        <v>-3438.1968905499998</v>
      </c>
      <c r="W309" s="765">
        <v>0.73212964999999997</v>
      </c>
      <c r="X309" s="290">
        <v>0</v>
      </c>
      <c r="Y309" s="290"/>
      <c r="Z309" s="290">
        <f>+innut23!E315</f>
        <v>104834.94166032557</v>
      </c>
      <c r="AA309" s="290">
        <v>0</v>
      </c>
      <c r="AB309" s="290">
        <v>95</v>
      </c>
      <c r="AC309" s="290">
        <v>1927</v>
      </c>
      <c r="AD309" s="290"/>
      <c r="AE309" s="290">
        <v>0</v>
      </c>
      <c r="AF309" s="290">
        <v>0</v>
      </c>
      <c r="AG309" s="290">
        <v>3825</v>
      </c>
      <c r="AH309" s="290">
        <v>790</v>
      </c>
      <c r="AI309" s="290"/>
      <c r="AJ309" s="290"/>
      <c r="AK309" s="290">
        <v>0</v>
      </c>
      <c r="AL309" s="290">
        <v>7367</v>
      </c>
      <c r="AM309" s="957">
        <v>4.1005689999999997E-2</v>
      </c>
      <c r="AN309" s="290">
        <v>0</v>
      </c>
      <c r="AO309" s="290">
        <v>1971.8024781199999</v>
      </c>
      <c r="AP309" s="290">
        <v>0</v>
      </c>
      <c r="AQ309" s="290">
        <v>0</v>
      </c>
      <c r="AR309" s="290">
        <v>-130.85653739</v>
      </c>
      <c r="AS309" s="290">
        <v>6203</v>
      </c>
      <c r="AT309" s="290">
        <v>146</v>
      </c>
      <c r="AU309" s="290">
        <v>31</v>
      </c>
      <c r="AV309" s="766">
        <v>136485</v>
      </c>
      <c r="AW309" s="290">
        <v>0</v>
      </c>
      <c r="AX309" s="766">
        <v>29.291699999999999</v>
      </c>
      <c r="AY309" s="290">
        <v>791</v>
      </c>
      <c r="AZ309" s="290">
        <v>132</v>
      </c>
      <c r="BA309" s="290">
        <v>95</v>
      </c>
      <c r="BB309" s="290">
        <v>0</v>
      </c>
      <c r="BC309" s="290">
        <v>3143</v>
      </c>
      <c r="BD309" s="290"/>
      <c r="BE309" s="290">
        <v>151146.88741299999</v>
      </c>
      <c r="BF309" s="290">
        <v>0</v>
      </c>
      <c r="BG309" s="290">
        <v>0</v>
      </c>
      <c r="BH309" s="290">
        <v>-648</v>
      </c>
      <c r="BI309" s="290">
        <v>3754</v>
      </c>
      <c r="BJ309" s="290">
        <v>634.06828984569302</v>
      </c>
      <c r="BK309" s="290">
        <v>5</v>
      </c>
      <c r="BL309" s="290"/>
      <c r="BM309" s="290">
        <v>0</v>
      </c>
      <c r="BN309" s="290">
        <v>1037</v>
      </c>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f>+innut23!E315+innut23!S315</f>
        <v>104834.94166032557</v>
      </c>
      <c r="CL309" s="290"/>
      <c r="CM309" s="290">
        <v>0</v>
      </c>
      <c r="CN309" s="290">
        <v>0</v>
      </c>
      <c r="CO309" s="290"/>
      <c r="CP309" s="290"/>
      <c r="CQ309" s="290"/>
      <c r="CX309" s="517">
        <f t="shared" si="9"/>
        <v>0</v>
      </c>
      <c r="DB309" s="85">
        <f t="shared" si="10"/>
        <v>0.70099999999999996</v>
      </c>
    </row>
    <row r="310" spans="1:106" ht="13">
      <c r="A310" s="1">
        <v>5049</v>
      </c>
      <c r="B310" s="2" t="s">
        <v>170</v>
      </c>
      <c r="C310" s="289"/>
      <c r="D310" s="290">
        <v>24</v>
      </c>
      <c r="E310" s="290">
        <v>38</v>
      </c>
      <c r="F310" s="290">
        <v>89</v>
      </c>
      <c r="G310" s="290">
        <v>89</v>
      </c>
      <c r="H310" s="290">
        <v>593</v>
      </c>
      <c r="I310" s="290">
        <v>198</v>
      </c>
      <c r="J310" s="290">
        <v>58</v>
      </c>
      <c r="K310" s="290">
        <v>11</v>
      </c>
      <c r="L310" s="290">
        <v>8</v>
      </c>
      <c r="M310" s="290">
        <v>104</v>
      </c>
      <c r="N310" s="290">
        <v>7</v>
      </c>
      <c r="O310" s="290">
        <v>6</v>
      </c>
      <c r="P310" s="624">
        <v>13345.064666669999</v>
      </c>
      <c r="Q310" s="624">
        <v>6179.78533333</v>
      </c>
      <c r="R310" s="624">
        <v>9</v>
      </c>
      <c r="S310" s="290"/>
      <c r="T310" s="290">
        <v>93</v>
      </c>
      <c r="U310" s="958">
        <v>1.1561824413104317E-3</v>
      </c>
      <c r="V310" s="290">
        <v>845.93829963999997</v>
      </c>
      <c r="W310" s="765">
        <v>1</v>
      </c>
      <c r="X310" s="290">
        <v>170</v>
      </c>
      <c r="Y310" s="290"/>
      <c r="Z310" s="290">
        <f>+innut23!E316</f>
        <v>42860.246688584732</v>
      </c>
      <c r="AA310" s="290">
        <v>0</v>
      </c>
      <c r="AB310" s="290">
        <v>19</v>
      </c>
      <c r="AC310" s="290">
        <v>166</v>
      </c>
      <c r="AD310" s="290"/>
      <c r="AE310" s="290">
        <v>0</v>
      </c>
      <c r="AF310" s="290">
        <v>0</v>
      </c>
      <c r="AG310" s="290">
        <v>1100</v>
      </c>
      <c r="AH310" s="290">
        <v>152</v>
      </c>
      <c r="AI310" s="290"/>
      <c r="AJ310" s="290"/>
      <c r="AK310" s="290">
        <v>0</v>
      </c>
      <c r="AL310" s="290">
        <v>2125</v>
      </c>
      <c r="AM310" s="957">
        <v>2.1070760000000001E-2</v>
      </c>
      <c r="AN310" s="290">
        <v>0</v>
      </c>
      <c r="AO310" s="290">
        <v>653.92081003999999</v>
      </c>
      <c r="AP310" s="290">
        <v>0</v>
      </c>
      <c r="AQ310" s="290">
        <v>0</v>
      </c>
      <c r="AR310" s="290">
        <v>-45.142466310000003</v>
      </c>
      <c r="AS310" s="290">
        <v>2643</v>
      </c>
      <c r="AT310" s="290">
        <v>43</v>
      </c>
      <c r="AU310" s="290">
        <v>11</v>
      </c>
      <c r="AV310" s="766">
        <v>55882</v>
      </c>
      <c r="AW310" s="290">
        <v>0</v>
      </c>
      <c r="AX310" s="766">
        <v>7.0000499999999999</v>
      </c>
      <c r="AY310" s="290">
        <v>245</v>
      </c>
      <c r="AZ310" s="290">
        <v>54</v>
      </c>
      <c r="BA310" s="290">
        <v>17</v>
      </c>
      <c r="BB310" s="290">
        <v>6257</v>
      </c>
      <c r="BC310" s="290">
        <v>1264</v>
      </c>
      <c r="BD310" s="290"/>
      <c r="BE310" s="290">
        <v>64191.820057769997</v>
      </c>
      <c r="BF310" s="290">
        <v>0</v>
      </c>
      <c r="BG310" s="290">
        <v>0</v>
      </c>
      <c r="BH310" s="290">
        <v>-187</v>
      </c>
      <c r="BI310" s="290">
        <v>1355</v>
      </c>
      <c r="BJ310" s="290">
        <v>136.67555713688836</v>
      </c>
      <c r="BK310" s="290">
        <v>1</v>
      </c>
      <c r="BL310" s="290"/>
      <c r="BM310" s="290">
        <v>0</v>
      </c>
      <c r="BN310" s="290">
        <v>1037</v>
      </c>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f>+innut23!E316+innut23!S316</f>
        <v>42860.246688584732</v>
      </c>
      <c r="CL310" s="290"/>
      <c r="CM310" s="290">
        <v>0</v>
      </c>
      <c r="CN310" s="290">
        <v>0</v>
      </c>
      <c r="CO310" s="290"/>
      <c r="CP310" s="290"/>
      <c r="CQ310" s="290"/>
      <c r="CX310" s="517">
        <f t="shared" si="9"/>
        <v>0</v>
      </c>
      <c r="DB310" s="85">
        <f t="shared" si="10"/>
        <v>0.20200000000000001</v>
      </c>
    </row>
    <row r="311" spans="1:106" ht="13">
      <c r="A311" s="1">
        <v>5052</v>
      </c>
      <c r="B311" s="2" t="s">
        <v>173</v>
      </c>
      <c r="C311" s="289"/>
      <c r="D311" s="290">
        <v>9</v>
      </c>
      <c r="E311" s="290">
        <v>25</v>
      </c>
      <c r="F311" s="290">
        <v>59</v>
      </c>
      <c r="G311" s="290">
        <v>36</v>
      </c>
      <c r="H311" s="290">
        <v>287</v>
      </c>
      <c r="I311" s="290">
        <v>112</v>
      </c>
      <c r="J311" s="290">
        <v>36</v>
      </c>
      <c r="K311" s="290">
        <v>9</v>
      </c>
      <c r="L311" s="290">
        <v>6</v>
      </c>
      <c r="M311" s="290">
        <v>69</v>
      </c>
      <c r="N311" s="290">
        <v>1.5</v>
      </c>
      <c r="O311" s="290">
        <v>4</v>
      </c>
      <c r="P311" s="624">
        <v>2716.5176666699999</v>
      </c>
      <c r="Q311" s="624">
        <v>2440.7323333300001</v>
      </c>
      <c r="R311" s="624">
        <v>1</v>
      </c>
      <c r="S311" s="290"/>
      <c r="T311" s="290">
        <v>47</v>
      </c>
      <c r="U311" s="958">
        <v>8.7210662144167252E-4</v>
      </c>
      <c r="V311" s="290">
        <v>545.78355967000005</v>
      </c>
      <c r="W311" s="765">
        <v>1</v>
      </c>
      <c r="X311" s="290">
        <v>0</v>
      </c>
      <c r="Y311" s="290"/>
      <c r="Z311" s="290">
        <f>+innut23!E317</f>
        <v>16625.609572759662</v>
      </c>
      <c r="AA311" s="290">
        <v>0</v>
      </c>
      <c r="AB311" s="290">
        <v>11</v>
      </c>
      <c r="AC311" s="290">
        <v>0</v>
      </c>
      <c r="AD311" s="290"/>
      <c r="AE311" s="290">
        <v>0</v>
      </c>
      <c r="AF311" s="290">
        <v>0</v>
      </c>
      <c r="AG311" s="290">
        <v>573</v>
      </c>
      <c r="AH311" s="290">
        <v>100</v>
      </c>
      <c r="AI311" s="290"/>
      <c r="AJ311" s="290"/>
      <c r="AK311" s="290">
        <v>0</v>
      </c>
      <c r="AL311" s="290">
        <v>1100</v>
      </c>
      <c r="AM311" s="957">
        <v>3.6842099999999998E-3</v>
      </c>
      <c r="AN311" s="290">
        <v>0</v>
      </c>
      <c r="AO311" s="290">
        <v>421.89746887000001</v>
      </c>
      <c r="AP311" s="290">
        <v>0</v>
      </c>
      <c r="AQ311" s="290">
        <v>0</v>
      </c>
      <c r="AR311" s="290">
        <v>-23.515121090000001</v>
      </c>
      <c r="AS311" s="290">
        <v>891</v>
      </c>
      <c r="AT311" s="290">
        <v>21</v>
      </c>
      <c r="AU311" s="290">
        <v>3</v>
      </c>
      <c r="AV311" s="766">
        <v>43691</v>
      </c>
      <c r="AW311" s="290">
        <v>0</v>
      </c>
      <c r="AX311" s="766">
        <v>3.5833499999999998</v>
      </c>
      <c r="AY311" s="290">
        <v>82</v>
      </c>
      <c r="AZ311" s="290">
        <v>19</v>
      </c>
      <c r="BA311" s="290">
        <v>17</v>
      </c>
      <c r="BB311" s="290">
        <v>6257</v>
      </c>
      <c r="BC311" s="290">
        <v>600</v>
      </c>
      <c r="BD311" s="290"/>
      <c r="BE311" s="290">
        <v>47754.208383470002</v>
      </c>
      <c r="BF311" s="290">
        <v>0</v>
      </c>
      <c r="BG311" s="290">
        <v>0</v>
      </c>
      <c r="BH311" s="290">
        <v>-95</v>
      </c>
      <c r="BI311" s="290">
        <v>619</v>
      </c>
      <c r="BJ311" s="290">
        <v>95.374746764628554</v>
      </c>
      <c r="BK311" s="290">
        <v>1</v>
      </c>
      <c r="BL311" s="290"/>
      <c r="BM311" s="290">
        <v>0</v>
      </c>
      <c r="BN311" s="290">
        <v>519</v>
      </c>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f>+innut23!E317+innut23!S317</f>
        <v>16625.609572759662</v>
      </c>
      <c r="CL311" s="290"/>
      <c r="CM311" s="290">
        <v>0</v>
      </c>
      <c r="CN311" s="290">
        <v>0</v>
      </c>
      <c r="CO311" s="290"/>
      <c r="CP311" s="290"/>
      <c r="CQ311" s="290"/>
      <c r="CX311" s="517">
        <f t="shared" si="9"/>
        <v>0</v>
      </c>
      <c r="DB311" s="85">
        <f t="shared" si="10"/>
        <v>0.105</v>
      </c>
    </row>
    <row r="312" spans="1:106" ht="13">
      <c r="A312" s="1">
        <v>5053</v>
      </c>
      <c r="B312" s="2" t="s">
        <v>155</v>
      </c>
      <c r="C312" s="289"/>
      <c r="D312" s="290">
        <v>126</v>
      </c>
      <c r="E312" s="290">
        <v>301</v>
      </c>
      <c r="F312" s="290">
        <v>846</v>
      </c>
      <c r="G312" s="290">
        <v>622</v>
      </c>
      <c r="H312" s="290">
        <v>3552</v>
      </c>
      <c r="I312" s="290">
        <v>1038</v>
      </c>
      <c r="J312" s="290">
        <v>284</v>
      </c>
      <c r="K312" s="290">
        <v>62</v>
      </c>
      <c r="L312" s="290">
        <v>46</v>
      </c>
      <c r="M312" s="290">
        <v>529</v>
      </c>
      <c r="N312" s="290">
        <v>62</v>
      </c>
      <c r="O312" s="290">
        <v>38</v>
      </c>
      <c r="P312" s="624">
        <v>51248.12766667</v>
      </c>
      <c r="Q312" s="624">
        <v>19701.831666670001</v>
      </c>
      <c r="R312" s="624">
        <v>33</v>
      </c>
      <c r="S312" s="290"/>
      <c r="T312" s="290">
        <v>445</v>
      </c>
      <c r="U312" s="958">
        <v>4.6993539217912716E-3</v>
      </c>
      <c r="V312" s="290">
        <v>2289.5064136599999</v>
      </c>
      <c r="W312" s="765">
        <v>0.68226390000000003</v>
      </c>
      <c r="X312" s="290">
        <v>0</v>
      </c>
      <c r="Y312" s="290"/>
      <c r="Z312" s="290">
        <f>+innut23!E318</f>
        <v>193913.27002919401</v>
      </c>
      <c r="AA312" s="290">
        <v>0</v>
      </c>
      <c r="AB312" s="290">
        <v>147</v>
      </c>
      <c r="AC312" s="290">
        <v>747</v>
      </c>
      <c r="AD312" s="290"/>
      <c r="AE312" s="290">
        <v>0</v>
      </c>
      <c r="AF312" s="290">
        <v>22185</v>
      </c>
      <c r="AG312" s="290">
        <v>6831</v>
      </c>
      <c r="AH312" s="290">
        <v>1312</v>
      </c>
      <c r="AI312" s="290"/>
      <c r="AJ312" s="290"/>
      <c r="AK312" s="290">
        <v>0</v>
      </c>
      <c r="AL312" s="290">
        <v>0</v>
      </c>
      <c r="AM312" s="957">
        <v>7.9612530000000001E-2</v>
      </c>
      <c r="AN312" s="290">
        <v>7758</v>
      </c>
      <c r="AO312" s="290">
        <v>3254.7737416</v>
      </c>
      <c r="AP312" s="290">
        <v>0</v>
      </c>
      <c r="AQ312" s="290">
        <v>0</v>
      </c>
      <c r="AR312" s="290">
        <v>-280.33471580999998</v>
      </c>
      <c r="AS312" s="290">
        <v>11074</v>
      </c>
      <c r="AT312" s="290">
        <v>307</v>
      </c>
      <c r="AU312" s="290">
        <v>57</v>
      </c>
      <c r="AV312" s="766">
        <v>231141</v>
      </c>
      <c r="AW312" s="290">
        <v>0</v>
      </c>
      <c r="AX312" s="766">
        <v>45.374949999999998</v>
      </c>
      <c r="AY312" s="290">
        <v>1735</v>
      </c>
      <c r="AZ312" s="290">
        <v>210</v>
      </c>
      <c r="BA312" s="290">
        <v>126</v>
      </c>
      <c r="BB312" s="290">
        <v>0</v>
      </c>
      <c r="BC312" s="290">
        <v>26694</v>
      </c>
      <c r="BD312" s="290"/>
      <c r="BE312" s="290">
        <v>256741.62895399</v>
      </c>
      <c r="BF312" s="290">
        <v>0</v>
      </c>
      <c r="BG312" s="290">
        <v>0</v>
      </c>
      <c r="BH312" s="290">
        <v>-1141</v>
      </c>
      <c r="BI312" s="290">
        <v>27874</v>
      </c>
      <c r="BJ312" s="290">
        <v>929.08561235147215</v>
      </c>
      <c r="BK312" s="290">
        <v>8</v>
      </c>
      <c r="BL312" s="290"/>
      <c r="BM312" s="290">
        <v>0</v>
      </c>
      <c r="BN312" s="290">
        <v>3630</v>
      </c>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f>+innut23!E318+innut23!S318</f>
        <v>193913.27002919401</v>
      </c>
      <c r="CL312" s="290"/>
      <c r="CM312" s="290">
        <v>0</v>
      </c>
      <c r="CN312" s="290">
        <v>0</v>
      </c>
      <c r="CO312" s="290"/>
      <c r="CP312" s="290"/>
      <c r="CQ312" s="290"/>
      <c r="CX312" s="517">
        <f t="shared" si="9"/>
        <v>0</v>
      </c>
      <c r="DB312" s="85">
        <f t="shared" si="10"/>
        <v>1.252</v>
      </c>
    </row>
    <row r="313" spans="1:106" ht="13">
      <c r="A313" s="1">
        <v>5054</v>
      </c>
      <c r="B313" s="2" t="s">
        <v>1234</v>
      </c>
      <c r="C313" s="289"/>
      <c r="D313" s="290">
        <v>164</v>
      </c>
      <c r="E313" s="290">
        <v>355</v>
      </c>
      <c r="F313" s="290">
        <v>1179</v>
      </c>
      <c r="G313" s="290">
        <v>860</v>
      </c>
      <c r="H313" s="290">
        <v>5157</v>
      </c>
      <c r="I313" s="290">
        <v>1547</v>
      </c>
      <c r="J313" s="290">
        <v>512</v>
      </c>
      <c r="K313" s="290">
        <v>105</v>
      </c>
      <c r="L313" s="290">
        <v>77</v>
      </c>
      <c r="M313" s="290">
        <v>949</v>
      </c>
      <c r="N313" s="290">
        <v>64</v>
      </c>
      <c r="O313" s="290">
        <v>65</v>
      </c>
      <c r="P313" s="624">
        <v>94705.629333329998</v>
      </c>
      <c r="Q313" s="624">
        <v>34764.280333330003</v>
      </c>
      <c r="R313" s="624">
        <v>50</v>
      </c>
      <c r="S313" s="290"/>
      <c r="T313" s="290">
        <v>772</v>
      </c>
      <c r="U313" s="958">
        <v>7.1160589690387466E-3</v>
      </c>
      <c r="V313" s="290">
        <v>2494.4863923399998</v>
      </c>
      <c r="W313" s="765">
        <v>0.81240515000000002</v>
      </c>
      <c r="X313" s="290">
        <v>1150</v>
      </c>
      <c r="Y313" s="290"/>
      <c r="Z313" s="290">
        <f>+innut23!E319</f>
        <v>259487.78609124737</v>
      </c>
      <c r="AA313" s="290">
        <v>-11868</v>
      </c>
      <c r="AB313" s="290">
        <v>258</v>
      </c>
      <c r="AC313" s="290">
        <v>2427</v>
      </c>
      <c r="AD313" s="290"/>
      <c r="AE313" s="290">
        <v>0</v>
      </c>
      <c r="AF313" s="290">
        <v>17542</v>
      </c>
      <c r="AG313" s="290">
        <v>9879</v>
      </c>
      <c r="AH313" s="290">
        <v>1763</v>
      </c>
      <c r="AI313" s="290"/>
      <c r="AJ313" s="290"/>
      <c r="AK313" s="290">
        <v>0</v>
      </c>
      <c r="AL313" s="290">
        <v>0</v>
      </c>
      <c r="AM313" s="957">
        <v>0.13819268000000001</v>
      </c>
      <c r="AN313" s="290">
        <v>8100</v>
      </c>
      <c r="AO313" s="290">
        <v>4810.8322612299999</v>
      </c>
      <c r="AP313" s="290">
        <v>0</v>
      </c>
      <c r="AQ313" s="290">
        <v>0</v>
      </c>
      <c r="AR313" s="290">
        <v>-405.42038610999998</v>
      </c>
      <c r="AS313" s="290">
        <v>15866</v>
      </c>
      <c r="AT313" s="290">
        <v>418</v>
      </c>
      <c r="AU313" s="290">
        <v>89</v>
      </c>
      <c r="AV313" s="766">
        <v>319439</v>
      </c>
      <c r="AW313" s="290">
        <v>0</v>
      </c>
      <c r="AX313" s="766">
        <v>68.666650000000004</v>
      </c>
      <c r="AY313" s="290">
        <v>1789</v>
      </c>
      <c r="AZ313" s="290">
        <v>364</v>
      </c>
      <c r="BA313" s="290">
        <v>215</v>
      </c>
      <c r="BB313" s="290">
        <v>0</v>
      </c>
      <c r="BC313" s="290">
        <v>9639</v>
      </c>
      <c r="BD313" s="290"/>
      <c r="BE313" s="290">
        <v>359920.66862898</v>
      </c>
      <c r="BF313" s="290">
        <v>0</v>
      </c>
      <c r="BG313" s="290">
        <v>0</v>
      </c>
      <c r="BH313" s="290">
        <v>-1671</v>
      </c>
      <c r="BI313" s="290">
        <v>12975</v>
      </c>
      <c r="BJ313" s="290">
        <v>1317.7314314038961</v>
      </c>
      <c r="BK313" s="290">
        <v>13</v>
      </c>
      <c r="BL313" s="290"/>
      <c r="BM313" s="290">
        <v>4191</v>
      </c>
      <c r="BN313" s="290">
        <v>3111</v>
      </c>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f>+innut23!E319+innut23!S319</f>
        <v>259487.78609124737</v>
      </c>
      <c r="CL313" s="290"/>
      <c r="CM313" s="290">
        <v>0</v>
      </c>
      <c r="CN313" s="290">
        <v>0</v>
      </c>
      <c r="CO313" s="290"/>
      <c r="CP313" s="290"/>
      <c r="CQ313" s="290"/>
      <c r="CX313" s="517">
        <f t="shared" si="9"/>
        <v>0</v>
      </c>
      <c r="DB313" s="85">
        <f t="shared" si="10"/>
        <v>1.8109999999999999</v>
      </c>
    </row>
    <row r="314" spans="1:106" ht="13">
      <c r="A314" s="1">
        <v>5055</v>
      </c>
      <c r="B314" s="2" t="s">
        <v>1642</v>
      </c>
      <c r="C314" s="289"/>
      <c r="D314" s="290">
        <v>100</v>
      </c>
      <c r="E314" s="290">
        <v>216</v>
      </c>
      <c r="F314" s="290">
        <v>662</v>
      </c>
      <c r="G314" s="290">
        <v>485</v>
      </c>
      <c r="H314" s="290">
        <v>3070</v>
      </c>
      <c r="I314" s="290">
        <v>960</v>
      </c>
      <c r="J314" s="290">
        <v>316</v>
      </c>
      <c r="K314" s="290">
        <v>76</v>
      </c>
      <c r="L314" s="290">
        <v>42</v>
      </c>
      <c r="M314" s="290">
        <v>572</v>
      </c>
      <c r="N314" s="290">
        <v>70</v>
      </c>
      <c r="O314" s="290">
        <v>43</v>
      </c>
      <c r="P314" s="624">
        <v>108674.414</v>
      </c>
      <c r="Q314" s="624">
        <v>20309.210666669998</v>
      </c>
      <c r="R314" s="624">
        <v>24</v>
      </c>
      <c r="S314" s="290"/>
      <c r="T314" s="290">
        <v>488</v>
      </c>
      <c r="U314" s="958">
        <v>3.9778098558009307E-3</v>
      </c>
      <c r="V314" s="290">
        <v>3791.8511677800002</v>
      </c>
      <c r="W314" s="765">
        <v>0.87415852999999999</v>
      </c>
      <c r="X314" s="290">
        <v>0</v>
      </c>
      <c r="Y314" s="290"/>
      <c r="Z314" s="290">
        <f>+innut23!E320</f>
        <v>179482.67958791932</v>
      </c>
      <c r="AA314" s="290">
        <v>0</v>
      </c>
      <c r="AB314" s="290">
        <v>161</v>
      </c>
      <c r="AC314" s="290">
        <v>864</v>
      </c>
      <c r="AD314" s="290"/>
      <c r="AE314" s="290">
        <v>0</v>
      </c>
      <c r="AF314" s="290">
        <v>27097</v>
      </c>
      <c r="AG314" s="290">
        <v>5885</v>
      </c>
      <c r="AH314" s="290">
        <v>986</v>
      </c>
      <c r="AI314" s="290"/>
      <c r="AJ314" s="290"/>
      <c r="AK314" s="290">
        <v>0</v>
      </c>
      <c r="AL314" s="290">
        <v>0</v>
      </c>
      <c r="AM314" s="957">
        <v>4.7872770000000002E-2</v>
      </c>
      <c r="AN314" s="290">
        <v>8575</v>
      </c>
      <c r="AO314" s="290">
        <v>2931.1480378900001</v>
      </c>
      <c r="AP314" s="290">
        <v>0</v>
      </c>
      <c r="AQ314" s="290">
        <v>0</v>
      </c>
      <c r="AR314" s="290">
        <v>-241.51219477999999</v>
      </c>
      <c r="AS314" s="290">
        <v>9605</v>
      </c>
      <c r="AT314" s="290">
        <v>231</v>
      </c>
      <c r="AU314" s="290">
        <v>35</v>
      </c>
      <c r="AV314" s="766">
        <v>225223</v>
      </c>
      <c r="AW314" s="290">
        <v>0</v>
      </c>
      <c r="AX314" s="766">
        <v>27.875</v>
      </c>
      <c r="AY314" s="290">
        <v>938</v>
      </c>
      <c r="AZ314" s="290">
        <v>205</v>
      </c>
      <c r="BA314" s="290">
        <v>126</v>
      </c>
      <c r="BB314" s="290">
        <v>0</v>
      </c>
      <c r="BC314" s="290">
        <v>30244</v>
      </c>
      <c r="BD314" s="290"/>
      <c r="BE314" s="290">
        <v>250248.76819574999</v>
      </c>
      <c r="BF314" s="290">
        <v>0</v>
      </c>
      <c r="BG314" s="290">
        <v>0</v>
      </c>
      <c r="BH314" s="290">
        <v>-996</v>
      </c>
      <c r="BI314" s="290">
        <v>31540</v>
      </c>
      <c r="BJ314" s="290">
        <v>787.92557704791977</v>
      </c>
      <c r="BK314" s="290">
        <v>8</v>
      </c>
      <c r="BL314" s="290"/>
      <c r="BM314" s="290">
        <v>0</v>
      </c>
      <c r="BN314" s="290">
        <v>2593</v>
      </c>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f>+innut23!E320+innut23!S320</f>
        <v>179482.67958791932</v>
      </c>
      <c r="CL314" s="290"/>
      <c r="CM314" s="290">
        <v>0</v>
      </c>
      <c r="CN314" s="290">
        <v>0</v>
      </c>
      <c r="CO314" s="290"/>
      <c r="CP314" s="290"/>
      <c r="CQ314" s="290"/>
      <c r="CX314" s="517">
        <f t="shared" si="9"/>
        <v>0</v>
      </c>
      <c r="DB314" s="85">
        <f t="shared" si="10"/>
        <v>1.079</v>
      </c>
    </row>
    <row r="315" spans="1:106" ht="13">
      <c r="A315" s="1">
        <v>5056</v>
      </c>
      <c r="B315" s="2" t="s">
        <v>1643</v>
      </c>
      <c r="C315" s="289"/>
      <c r="D315" s="290">
        <v>125</v>
      </c>
      <c r="E315" s="290">
        <v>195</v>
      </c>
      <c r="F315" s="290">
        <v>522</v>
      </c>
      <c r="G315" s="290">
        <v>388</v>
      </c>
      <c r="H315" s="290">
        <v>3049</v>
      </c>
      <c r="I315" s="290">
        <v>702</v>
      </c>
      <c r="J315" s="290">
        <v>221</v>
      </c>
      <c r="K315" s="290">
        <v>50</v>
      </c>
      <c r="L315" s="290">
        <v>42</v>
      </c>
      <c r="M315" s="290">
        <v>467</v>
      </c>
      <c r="N315" s="290">
        <v>79</v>
      </c>
      <c r="O315" s="290">
        <v>53</v>
      </c>
      <c r="P315" s="624">
        <v>70536.822666670007</v>
      </c>
      <c r="Q315" s="624">
        <v>23683.816999999999</v>
      </c>
      <c r="R315" s="624">
        <v>19</v>
      </c>
      <c r="S315" s="290"/>
      <c r="T315" s="290">
        <v>564</v>
      </c>
      <c r="U315" s="958">
        <v>2.1430202486166748E-3</v>
      </c>
      <c r="V315" s="290">
        <v>3208.3151504699999</v>
      </c>
      <c r="W315" s="765">
        <v>0.91268143000000002</v>
      </c>
      <c r="X315" s="290">
        <v>3380</v>
      </c>
      <c r="Y315" s="290"/>
      <c r="Z315" s="290">
        <f>+innut23!E321</f>
        <v>167479.56555777186</v>
      </c>
      <c r="AA315" s="290">
        <v>5806</v>
      </c>
      <c r="AB315" s="290">
        <v>123</v>
      </c>
      <c r="AC315" s="290">
        <v>479</v>
      </c>
      <c r="AD315" s="290"/>
      <c r="AE315" s="290">
        <v>0</v>
      </c>
      <c r="AF315" s="290">
        <v>6617</v>
      </c>
      <c r="AG315" s="290">
        <v>5252</v>
      </c>
      <c r="AH315" s="290">
        <v>851</v>
      </c>
      <c r="AI315" s="290"/>
      <c r="AJ315" s="290"/>
      <c r="AK315" s="290">
        <v>0</v>
      </c>
      <c r="AL315" s="290">
        <v>0</v>
      </c>
      <c r="AM315" s="957">
        <v>7.1522379999999997E-2</v>
      </c>
      <c r="AN315" s="290">
        <v>3073</v>
      </c>
      <c r="AO315" s="290">
        <v>2480.06745047</v>
      </c>
      <c r="AP315" s="290">
        <v>0</v>
      </c>
      <c r="AQ315" s="290">
        <v>0</v>
      </c>
      <c r="AR315" s="290">
        <v>-215.53475735000001</v>
      </c>
      <c r="AS315" s="290">
        <v>8194</v>
      </c>
      <c r="AT315" s="290">
        <v>265</v>
      </c>
      <c r="AU315" s="290">
        <v>35</v>
      </c>
      <c r="AV315" s="766">
        <v>165399</v>
      </c>
      <c r="AW315" s="290">
        <v>0</v>
      </c>
      <c r="AX315" s="766">
        <v>53.291649999999997</v>
      </c>
      <c r="AY315" s="290">
        <v>880</v>
      </c>
      <c r="AZ315" s="290">
        <v>205</v>
      </c>
      <c r="BA315" s="290">
        <v>118</v>
      </c>
      <c r="BB315" s="290">
        <v>0</v>
      </c>
      <c r="BC315" s="290">
        <v>17389</v>
      </c>
      <c r="BD315" s="290"/>
      <c r="BE315" s="290">
        <v>191629.38741184</v>
      </c>
      <c r="BF315" s="290">
        <v>0</v>
      </c>
      <c r="BG315" s="290">
        <v>0</v>
      </c>
      <c r="BH315" s="290">
        <v>-868</v>
      </c>
      <c r="BI315" s="290">
        <v>16864</v>
      </c>
      <c r="BJ315" s="290">
        <v>636.62431554767284</v>
      </c>
      <c r="BK315" s="290">
        <v>8</v>
      </c>
      <c r="BL315" s="290"/>
      <c r="BM315" s="290">
        <v>0</v>
      </c>
      <c r="BN315" s="290">
        <v>3111</v>
      </c>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f>+innut23!E321+innut23!S321</f>
        <v>167479.56555777186</v>
      </c>
      <c r="CL315" s="290"/>
      <c r="CM315" s="290">
        <v>0</v>
      </c>
      <c r="CN315" s="290">
        <v>0</v>
      </c>
      <c r="CO315" s="290"/>
      <c r="CP315" s="290"/>
      <c r="CQ315" s="290"/>
      <c r="CX315" s="517">
        <f t="shared" si="9"/>
        <v>0</v>
      </c>
      <c r="DB315" s="85">
        <f t="shared" si="10"/>
        <v>0.96299999999999997</v>
      </c>
    </row>
    <row r="316" spans="1:106" ht="13">
      <c r="A316" s="1">
        <v>5057</v>
      </c>
      <c r="B316" s="2" t="s">
        <v>1644</v>
      </c>
      <c r="C316" s="289"/>
      <c r="D316" s="290">
        <v>205</v>
      </c>
      <c r="E316" s="290">
        <v>452</v>
      </c>
      <c r="F316" s="290">
        <v>1255</v>
      </c>
      <c r="G316" s="290">
        <v>815</v>
      </c>
      <c r="H316" s="290">
        <v>5685</v>
      </c>
      <c r="I316" s="290">
        <v>1414</v>
      </c>
      <c r="J316" s="290">
        <v>523</v>
      </c>
      <c r="K316" s="290">
        <v>105</v>
      </c>
      <c r="L316" s="290">
        <v>75</v>
      </c>
      <c r="M316" s="290">
        <v>934</v>
      </c>
      <c r="N316" s="290">
        <v>57</v>
      </c>
      <c r="O316" s="290">
        <v>63</v>
      </c>
      <c r="P316" s="624">
        <v>54884.04266667</v>
      </c>
      <c r="Q316" s="624">
        <v>24691.564666670001</v>
      </c>
      <c r="R316" s="624">
        <v>30</v>
      </c>
      <c r="S316" s="290"/>
      <c r="T316" s="290">
        <v>937</v>
      </c>
      <c r="U316" s="958">
        <v>4.9479953418980881E-3</v>
      </c>
      <c r="V316" s="290">
        <v>1355.96685488</v>
      </c>
      <c r="W316" s="765">
        <v>0.67397563999999999</v>
      </c>
      <c r="X316" s="290">
        <v>0</v>
      </c>
      <c r="Y316" s="290"/>
      <c r="Z316" s="290">
        <f>+innut23!E322</f>
        <v>303944.25686166855</v>
      </c>
      <c r="AA316" s="290">
        <v>0</v>
      </c>
      <c r="AB316" s="290">
        <v>304</v>
      </c>
      <c r="AC316" s="290">
        <v>2742</v>
      </c>
      <c r="AD316" s="290"/>
      <c r="AE316" s="290">
        <v>0</v>
      </c>
      <c r="AF316" s="290">
        <v>20304</v>
      </c>
      <c r="AG316" s="290">
        <v>10454</v>
      </c>
      <c r="AH316" s="290">
        <v>1877</v>
      </c>
      <c r="AI316" s="290"/>
      <c r="AJ316" s="290"/>
      <c r="AK316" s="290">
        <v>365</v>
      </c>
      <c r="AL316" s="290">
        <v>0</v>
      </c>
      <c r="AM316" s="957">
        <v>0.16842467</v>
      </c>
      <c r="AN316" s="290">
        <v>14080</v>
      </c>
      <c r="AO316" s="290">
        <v>4891.5969561600004</v>
      </c>
      <c r="AP316" s="290">
        <v>0</v>
      </c>
      <c r="AQ316" s="290">
        <v>0</v>
      </c>
      <c r="AR316" s="290">
        <v>-429.01758440999998</v>
      </c>
      <c r="AS316" s="290">
        <v>16363</v>
      </c>
      <c r="AT316" s="290">
        <v>472</v>
      </c>
      <c r="AU316" s="290">
        <v>101</v>
      </c>
      <c r="AV316" s="766">
        <v>318796</v>
      </c>
      <c r="AW316" s="290">
        <v>0</v>
      </c>
      <c r="AX316" s="766">
        <v>73.125</v>
      </c>
      <c r="AY316" s="290">
        <v>1926</v>
      </c>
      <c r="AZ316" s="290">
        <v>380</v>
      </c>
      <c r="BA316" s="290">
        <v>298</v>
      </c>
      <c r="BB316" s="290">
        <v>0</v>
      </c>
      <c r="BC316" s="290">
        <v>26917</v>
      </c>
      <c r="BD316" s="290"/>
      <c r="BE316" s="290">
        <v>370396.16970192001</v>
      </c>
      <c r="BF316" s="290">
        <v>0</v>
      </c>
      <c r="BG316" s="290">
        <v>0</v>
      </c>
      <c r="BH316" s="290">
        <v>-1742</v>
      </c>
      <c r="BI316" s="290">
        <v>28399</v>
      </c>
      <c r="BJ316" s="290">
        <v>1352.7457745830588</v>
      </c>
      <c r="BK316" s="290">
        <v>15</v>
      </c>
      <c r="BL316" s="290"/>
      <c r="BM316" s="290">
        <v>4225</v>
      </c>
      <c r="BN316" s="290">
        <v>3111</v>
      </c>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f>+innut23!E322+innut23!S322</f>
        <v>303944.25686166855</v>
      </c>
      <c r="CL316" s="290"/>
      <c r="CM316" s="290">
        <v>119.56662591624172</v>
      </c>
      <c r="CN316" s="290">
        <v>0</v>
      </c>
      <c r="CO316" s="290"/>
      <c r="CP316" s="290"/>
      <c r="CQ316" s="290"/>
      <c r="CX316" s="517">
        <f t="shared" si="9"/>
        <v>0</v>
      </c>
      <c r="DB316" s="85">
        <f t="shared" si="10"/>
        <v>1.9159999999999999</v>
      </c>
    </row>
    <row r="317" spans="1:106" ht="13">
      <c r="A317" s="1">
        <v>5058</v>
      </c>
      <c r="B317" s="2" t="s">
        <v>1645</v>
      </c>
      <c r="C317" s="289"/>
      <c r="D317" s="290">
        <v>83</v>
      </c>
      <c r="E317" s="290">
        <v>191</v>
      </c>
      <c r="F317" s="290">
        <v>416</v>
      </c>
      <c r="G317" s="290">
        <v>321</v>
      </c>
      <c r="H317" s="290">
        <v>2263</v>
      </c>
      <c r="I317" s="290">
        <v>697</v>
      </c>
      <c r="J317" s="290">
        <v>245</v>
      </c>
      <c r="K317" s="290">
        <v>51</v>
      </c>
      <c r="L317" s="290">
        <v>33</v>
      </c>
      <c r="M317" s="290">
        <v>450</v>
      </c>
      <c r="N317" s="290">
        <v>29</v>
      </c>
      <c r="O317" s="290">
        <v>31</v>
      </c>
      <c r="P317" s="624">
        <v>89842.775666670001</v>
      </c>
      <c r="Q317" s="624">
        <v>22210.116999999998</v>
      </c>
      <c r="R317" s="624">
        <v>22</v>
      </c>
      <c r="S317" s="290"/>
      <c r="T317" s="290">
        <v>343</v>
      </c>
      <c r="U317" s="958">
        <v>3.0302083487491888E-3</v>
      </c>
      <c r="V317" s="290">
        <v>2894.20114526</v>
      </c>
      <c r="W317" s="765">
        <v>1</v>
      </c>
      <c r="X317" s="290">
        <v>820</v>
      </c>
      <c r="Y317" s="290"/>
      <c r="Z317" s="290">
        <f>+innut23!E323</f>
        <v>130082.69719954063</v>
      </c>
      <c r="AA317" s="290">
        <v>0</v>
      </c>
      <c r="AB317" s="290">
        <v>106</v>
      </c>
      <c r="AC317" s="290">
        <v>704</v>
      </c>
      <c r="AD317" s="290"/>
      <c r="AE317" s="290">
        <v>0</v>
      </c>
      <c r="AF317" s="290">
        <v>21899</v>
      </c>
      <c r="AG317" s="290">
        <v>4267</v>
      </c>
      <c r="AH317" s="290">
        <v>698</v>
      </c>
      <c r="AI317" s="290"/>
      <c r="AJ317" s="290"/>
      <c r="AK317" s="290">
        <v>0</v>
      </c>
      <c r="AL317" s="290">
        <v>0</v>
      </c>
      <c r="AM317" s="957">
        <v>2.862081E-2</v>
      </c>
      <c r="AN317" s="290">
        <v>6572</v>
      </c>
      <c r="AO317" s="290">
        <v>2237.2534239400002</v>
      </c>
      <c r="AP317" s="290">
        <v>0</v>
      </c>
      <c r="AQ317" s="290">
        <v>0</v>
      </c>
      <c r="AR317" s="290">
        <v>-175.11173069</v>
      </c>
      <c r="AS317" s="290">
        <v>6927</v>
      </c>
      <c r="AT317" s="290">
        <v>158</v>
      </c>
      <c r="AU317" s="290">
        <v>25</v>
      </c>
      <c r="AV317" s="766">
        <v>177913</v>
      </c>
      <c r="AW317" s="290">
        <v>0</v>
      </c>
      <c r="AX317" s="766">
        <v>26.291650000000001</v>
      </c>
      <c r="AY317" s="290">
        <v>704</v>
      </c>
      <c r="AZ317" s="290">
        <v>131</v>
      </c>
      <c r="BA317" s="290">
        <v>71</v>
      </c>
      <c r="BB317" s="290">
        <v>0</v>
      </c>
      <c r="BC317" s="290">
        <v>24309</v>
      </c>
      <c r="BD317" s="290"/>
      <c r="BE317" s="290">
        <v>200975.73213794001</v>
      </c>
      <c r="BF317" s="290">
        <v>0</v>
      </c>
      <c r="BG317" s="290">
        <v>0</v>
      </c>
      <c r="BH317" s="290">
        <v>-715</v>
      </c>
      <c r="BI317" s="290">
        <v>25375</v>
      </c>
      <c r="BJ317" s="290">
        <v>534.6574645699543</v>
      </c>
      <c r="BK317" s="290">
        <v>5</v>
      </c>
      <c r="BL317" s="290"/>
      <c r="BM317" s="290">
        <v>0</v>
      </c>
      <c r="BN317" s="290">
        <v>2074</v>
      </c>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f>+innut23!E323+innut23!S323</f>
        <v>130082.69719954063</v>
      </c>
      <c r="CL317" s="290"/>
      <c r="CM317" s="290">
        <v>0</v>
      </c>
      <c r="CN317" s="290">
        <v>0</v>
      </c>
      <c r="CO317" s="290"/>
      <c r="CP317" s="290"/>
      <c r="CQ317" s="290"/>
      <c r="CX317" s="517">
        <f t="shared" si="9"/>
        <v>0</v>
      </c>
      <c r="DB317" s="85">
        <f t="shared" si="10"/>
        <v>0.78200000000000003</v>
      </c>
    </row>
    <row r="318" spans="1:106" ht="13">
      <c r="A318" s="1">
        <v>5059</v>
      </c>
      <c r="B318" s="2" t="s">
        <v>1646</v>
      </c>
      <c r="C318" s="289"/>
      <c r="D318" s="290">
        <v>342</v>
      </c>
      <c r="E318" s="290">
        <v>721</v>
      </c>
      <c r="F318" s="290">
        <v>2232</v>
      </c>
      <c r="G318" s="290">
        <v>1507</v>
      </c>
      <c r="H318" s="290">
        <v>10175</v>
      </c>
      <c r="I318" s="290">
        <v>2580</v>
      </c>
      <c r="J318" s="290">
        <v>837</v>
      </c>
      <c r="K318" s="290">
        <v>208</v>
      </c>
      <c r="L318" s="290">
        <v>135</v>
      </c>
      <c r="M318" s="290">
        <v>1566</v>
      </c>
      <c r="N318" s="290">
        <v>397</v>
      </c>
      <c r="O318" s="290">
        <v>164</v>
      </c>
      <c r="P318" s="624">
        <v>109534.47933333</v>
      </c>
      <c r="Q318" s="624">
        <v>44883.442666670002</v>
      </c>
      <c r="R318" s="624">
        <v>78</v>
      </c>
      <c r="S318" s="290"/>
      <c r="T318" s="290">
        <v>1583</v>
      </c>
      <c r="U318" s="958">
        <v>7.9544832214953221E-3</v>
      </c>
      <c r="V318" s="290">
        <v>-5350.3487690299999</v>
      </c>
      <c r="W318" s="765">
        <v>0.65843028999999997</v>
      </c>
      <c r="X318" s="290">
        <v>0</v>
      </c>
      <c r="Y318" s="290"/>
      <c r="Z318" s="290">
        <f>+innut23!E324</f>
        <v>529700.66683417524</v>
      </c>
      <c r="AA318" s="290">
        <v>0</v>
      </c>
      <c r="AB318" s="290">
        <v>592</v>
      </c>
      <c r="AC318" s="290">
        <v>1937</v>
      </c>
      <c r="AD318" s="290"/>
      <c r="AE318" s="290">
        <v>0</v>
      </c>
      <c r="AF318" s="290">
        <v>52599</v>
      </c>
      <c r="AG318" s="290">
        <v>18602</v>
      </c>
      <c r="AH318" s="290">
        <v>3331</v>
      </c>
      <c r="AI318" s="290"/>
      <c r="AJ318" s="290"/>
      <c r="AK318" s="290">
        <v>0</v>
      </c>
      <c r="AL318" s="290">
        <v>0</v>
      </c>
      <c r="AM318" s="957">
        <v>0.30658045</v>
      </c>
      <c r="AN318" s="290">
        <v>4823</v>
      </c>
      <c r="AO318" s="290">
        <v>8617.2728271600008</v>
      </c>
      <c r="AP318" s="290">
        <v>0</v>
      </c>
      <c r="AQ318" s="290">
        <v>0</v>
      </c>
      <c r="AR318" s="290">
        <v>-763.40014398000005</v>
      </c>
      <c r="AS318" s="290">
        <v>29117</v>
      </c>
      <c r="AT318" s="290">
        <v>883</v>
      </c>
      <c r="AU318" s="290">
        <v>179</v>
      </c>
      <c r="AV318" s="766">
        <v>553795</v>
      </c>
      <c r="AW318" s="290">
        <v>0</v>
      </c>
      <c r="AX318" s="766">
        <v>129.75</v>
      </c>
      <c r="AY318" s="290">
        <v>3313</v>
      </c>
      <c r="AZ318" s="290">
        <v>664</v>
      </c>
      <c r="BA318" s="290">
        <v>424</v>
      </c>
      <c r="BB318" s="290">
        <v>0</v>
      </c>
      <c r="BC318" s="290">
        <v>60285</v>
      </c>
      <c r="BD318" s="290"/>
      <c r="BE318" s="290">
        <v>628726.59933335998</v>
      </c>
      <c r="BF318" s="290">
        <v>0</v>
      </c>
      <c r="BG318" s="290">
        <v>0</v>
      </c>
      <c r="BH318" s="290">
        <v>-3099</v>
      </c>
      <c r="BI318" s="290">
        <v>63052</v>
      </c>
      <c r="BJ318" s="290">
        <v>2417.7332837454483</v>
      </c>
      <c r="BK318" s="290">
        <v>29</v>
      </c>
      <c r="BL318" s="290"/>
      <c r="BM318" s="290">
        <v>4819</v>
      </c>
      <c r="BN318" s="290">
        <v>5185</v>
      </c>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f>+innut23!E324+innut23!S324</f>
        <v>529700.66683417524</v>
      </c>
      <c r="CL318" s="290"/>
      <c r="CM318" s="290">
        <v>0</v>
      </c>
      <c r="CN318" s="290">
        <v>0</v>
      </c>
      <c r="CO318" s="290"/>
      <c r="CP318" s="290"/>
      <c r="CQ318" s="290"/>
      <c r="CX318" s="517">
        <f t="shared" si="9"/>
        <v>0</v>
      </c>
      <c r="DB318" s="85">
        <f t="shared" si="10"/>
        <v>3.41</v>
      </c>
    </row>
    <row r="319" spans="1:106" ht="13">
      <c r="A319" s="1">
        <v>5060</v>
      </c>
      <c r="B319" s="2" t="s">
        <v>1647</v>
      </c>
      <c r="C319" s="289"/>
      <c r="D319" s="290">
        <v>217</v>
      </c>
      <c r="E319" s="290">
        <v>444</v>
      </c>
      <c r="F319" s="290">
        <v>1202</v>
      </c>
      <c r="G319" s="290">
        <v>843</v>
      </c>
      <c r="H319" s="290">
        <v>5385</v>
      </c>
      <c r="I319" s="290">
        <v>1198</v>
      </c>
      <c r="J319" s="290">
        <v>429</v>
      </c>
      <c r="K319" s="290">
        <v>86</v>
      </c>
      <c r="L319" s="290">
        <v>80</v>
      </c>
      <c r="M319" s="290">
        <v>846</v>
      </c>
      <c r="N319" s="290">
        <v>151</v>
      </c>
      <c r="O319" s="290">
        <v>113</v>
      </c>
      <c r="P319" s="624">
        <v>83472.807000000001</v>
      </c>
      <c r="Q319" s="624">
        <v>34701.055666669999</v>
      </c>
      <c r="R319" s="624">
        <v>47</v>
      </c>
      <c r="S319" s="290"/>
      <c r="T319" s="290">
        <v>816</v>
      </c>
      <c r="U319" s="958">
        <v>4.4245454149544772E-3</v>
      </c>
      <c r="V319" s="290">
        <v>3237.1865962799998</v>
      </c>
      <c r="W319" s="765">
        <v>0.76596366000000005</v>
      </c>
      <c r="X319" s="290">
        <v>0</v>
      </c>
      <c r="Y319" s="290"/>
      <c r="Z319" s="290">
        <f>+innut23!E325</f>
        <v>330482.55627872905</v>
      </c>
      <c r="AA319" s="290">
        <v>0</v>
      </c>
      <c r="AB319" s="290">
        <v>251</v>
      </c>
      <c r="AC319" s="290">
        <v>3568</v>
      </c>
      <c r="AD319" s="290"/>
      <c r="AE319" s="290">
        <v>0</v>
      </c>
      <c r="AF319" s="290">
        <v>16061</v>
      </c>
      <c r="AG319" s="290">
        <v>9804</v>
      </c>
      <c r="AH319" s="290">
        <v>1857</v>
      </c>
      <c r="AI319" s="290"/>
      <c r="AJ319" s="290"/>
      <c r="AK319" s="290">
        <v>0</v>
      </c>
      <c r="AL319" s="290">
        <v>18783</v>
      </c>
      <c r="AM319" s="957">
        <v>0.13902170999999999</v>
      </c>
      <c r="AN319" s="290">
        <v>0</v>
      </c>
      <c r="AO319" s="290">
        <v>4773.4959191199996</v>
      </c>
      <c r="AP319" s="290">
        <v>0</v>
      </c>
      <c r="AQ319" s="290">
        <v>0</v>
      </c>
      <c r="AR319" s="290">
        <v>-402.34249068000003</v>
      </c>
      <c r="AS319" s="290">
        <v>19281</v>
      </c>
      <c r="AT319" s="290">
        <v>418</v>
      </c>
      <c r="AU319" s="290">
        <v>90</v>
      </c>
      <c r="AV319" s="766">
        <v>332130</v>
      </c>
      <c r="AW319" s="290">
        <v>0</v>
      </c>
      <c r="AX319" s="766">
        <v>96.791700000000006</v>
      </c>
      <c r="AY319" s="290">
        <v>1563</v>
      </c>
      <c r="AZ319" s="290">
        <v>350</v>
      </c>
      <c r="BA319" s="290">
        <v>220</v>
      </c>
      <c r="BB319" s="290">
        <v>0</v>
      </c>
      <c r="BC319" s="290">
        <v>22787</v>
      </c>
      <c r="BD319" s="290"/>
      <c r="BE319" s="290">
        <v>379178.35506567999</v>
      </c>
      <c r="BF319" s="290">
        <v>0</v>
      </c>
      <c r="BG319" s="290">
        <v>0</v>
      </c>
      <c r="BH319" s="290">
        <v>-1636</v>
      </c>
      <c r="BI319" s="290">
        <v>24597</v>
      </c>
      <c r="BJ319" s="290">
        <v>1351.5180633413574</v>
      </c>
      <c r="BK319" s="290">
        <v>14</v>
      </c>
      <c r="BL319" s="290"/>
      <c r="BM319" s="290">
        <v>4178</v>
      </c>
      <c r="BN319" s="290">
        <v>3111</v>
      </c>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f>+innut23!E325+innut23!S325</f>
        <v>330482.55627872905</v>
      </c>
      <c r="CL319" s="290"/>
      <c r="CM319" s="290">
        <v>0</v>
      </c>
      <c r="CN319" s="290">
        <v>0</v>
      </c>
      <c r="CO319" s="290"/>
      <c r="CP319" s="290"/>
      <c r="CQ319" s="290"/>
      <c r="CX319" s="517">
        <f t="shared" si="9"/>
        <v>0</v>
      </c>
      <c r="DB319" s="85">
        <f t="shared" si="10"/>
        <v>1.7969999999999999</v>
      </c>
    </row>
    <row r="320" spans="1:106" ht="13">
      <c r="A320" s="1">
        <v>5061</v>
      </c>
      <c r="B320" s="2" t="s">
        <v>114</v>
      </c>
      <c r="C320" s="289"/>
      <c r="D320" s="290">
        <v>34</v>
      </c>
      <c r="E320" s="290">
        <v>85</v>
      </c>
      <c r="F320" s="290">
        <v>208</v>
      </c>
      <c r="G320" s="290">
        <v>188</v>
      </c>
      <c r="H320" s="290">
        <v>993</v>
      </c>
      <c r="I320" s="290">
        <v>322</v>
      </c>
      <c r="J320" s="290">
        <v>111</v>
      </c>
      <c r="K320" s="290">
        <v>33</v>
      </c>
      <c r="L320" s="290">
        <v>13</v>
      </c>
      <c r="M320" s="290">
        <v>179</v>
      </c>
      <c r="N320" s="290">
        <v>6</v>
      </c>
      <c r="O320" s="290">
        <v>5</v>
      </c>
      <c r="P320" s="624">
        <v>9649.6720000000005</v>
      </c>
      <c r="Q320" s="624">
        <v>6780.7416666700001</v>
      </c>
      <c r="R320" s="624">
        <v>6</v>
      </c>
      <c r="S320" s="290"/>
      <c r="T320" s="290">
        <v>118</v>
      </c>
      <c r="U320" s="958">
        <v>1.845553367342042E-3</v>
      </c>
      <c r="V320" s="290">
        <v>1327.1775724199999</v>
      </c>
      <c r="W320" s="765">
        <v>0.88859489000000003</v>
      </c>
      <c r="X320" s="290">
        <v>0</v>
      </c>
      <c r="Y320" s="290"/>
      <c r="Z320" s="290">
        <f>+innut23!E326</f>
        <v>54255.164253809344</v>
      </c>
      <c r="AA320" s="290">
        <v>0</v>
      </c>
      <c r="AB320" s="290">
        <v>40</v>
      </c>
      <c r="AC320" s="290">
        <v>0</v>
      </c>
      <c r="AD320" s="290"/>
      <c r="AE320" s="290">
        <v>0</v>
      </c>
      <c r="AF320" s="290">
        <v>0</v>
      </c>
      <c r="AG320" s="290">
        <v>1974</v>
      </c>
      <c r="AH320" s="290">
        <v>340</v>
      </c>
      <c r="AI320" s="290"/>
      <c r="AJ320" s="290"/>
      <c r="AK320" s="290">
        <v>0</v>
      </c>
      <c r="AL320" s="290">
        <v>0</v>
      </c>
      <c r="AM320" s="957">
        <v>7.4775500000000003E-3</v>
      </c>
      <c r="AN320" s="290">
        <v>0</v>
      </c>
      <c r="AO320" s="290">
        <v>1025.92474367</v>
      </c>
      <c r="AP320" s="290">
        <v>0</v>
      </c>
      <c r="AQ320" s="290">
        <v>0</v>
      </c>
      <c r="AR320" s="290">
        <v>-81.010207730000005</v>
      </c>
      <c r="AS320" s="290">
        <v>3173</v>
      </c>
      <c r="AT320" s="290">
        <v>65</v>
      </c>
      <c r="AU320" s="290">
        <v>11</v>
      </c>
      <c r="AV320" s="766">
        <v>74072</v>
      </c>
      <c r="AW320" s="290">
        <v>0</v>
      </c>
      <c r="AX320" s="766">
        <v>9.0000499999999999</v>
      </c>
      <c r="AY320" s="290">
        <v>351</v>
      </c>
      <c r="AZ320" s="290">
        <v>41</v>
      </c>
      <c r="BA320" s="290">
        <v>31</v>
      </c>
      <c r="BB320" s="290">
        <v>6257</v>
      </c>
      <c r="BC320" s="290">
        <v>838</v>
      </c>
      <c r="BD320" s="290"/>
      <c r="BE320" s="290">
        <v>83648.607608470003</v>
      </c>
      <c r="BF320" s="290">
        <v>0</v>
      </c>
      <c r="BG320" s="290">
        <v>0</v>
      </c>
      <c r="BH320" s="290">
        <v>-334</v>
      </c>
      <c r="BI320" s="290">
        <v>859</v>
      </c>
      <c r="BJ320" s="290">
        <v>249.56569963169929</v>
      </c>
      <c r="BK320" s="290">
        <v>2</v>
      </c>
      <c r="BL320" s="290"/>
      <c r="BM320" s="290">
        <v>0</v>
      </c>
      <c r="BN320" s="290">
        <v>519</v>
      </c>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f>+innut23!E326+innut23!S326</f>
        <v>54255.164253809344</v>
      </c>
      <c r="CL320" s="290"/>
      <c r="CM320" s="290">
        <v>0</v>
      </c>
      <c r="CN320" s="290">
        <v>0</v>
      </c>
      <c r="CO320" s="290"/>
      <c r="CP320" s="290"/>
      <c r="CQ320" s="290"/>
      <c r="CX320" s="517">
        <f t="shared" si="9"/>
        <v>0</v>
      </c>
      <c r="DB320" s="85">
        <f t="shared" si="10"/>
        <v>0.36199999999999999</v>
      </c>
    </row>
    <row r="321" spans="1:106" ht="13">
      <c r="A321" s="1">
        <v>5401</v>
      </c>
      <c r="B321" s="2" t="s">
        <v>217</v>
      </c>
      <c r="C321" s="289"/>
      <c r="D321" s="290">
        <v>1683</v>
      </c>
      <c r="E321" s="290">
        <v>3096</v>
      </c>
      <c r="F321" s="290">
        <v>8707</v>
      </c>
      <c r="G321" s="290">
        <v>6543</v>
      </c>
      <c r="H321" s="290">
        <v>47611</v>
      </c>
      <c r="I321" s="290">
        <v>7619</v>
      </c>
      <c r="J321" s="290">
        <v>2099</v>
      </c>
      <c r="K321" s="290">
        <v>376</v>
      </c>
      <c r="L321" s="290">
        <v>578</v>
      </c>
      <c r="M321" s="290">
        <v>4731</v>
      </c>
      <c r="N321" s="290">
        <v>1614</v>
      </c>
      <c r="O321" s="290">
        <v>650</v>
      </c>
      <c r="P321" s="624">
        <v>317695.78499999997</v>
      </c>
      <c r="Q321" s="624">
        <v>124049.47900000001</v>
      </c>
      <c r="R321" s="624">
        <v>195</v>
      </c>
      <c r="S321" s="290"/>
      <c r="T321" s="290">
        <v>8195</v>
      </c>
      <c r="U321" s="958">
        <v>3.5526940328086177E-3</v>
      </c>
      <c r="V321" s="290">
        <v>-8931.8649976600009</v>
      </c>
      <c r="W321" s="765">
        <v>0.57173430999999997</v>
      </c>
      <c r="X321" s="290">
        <v>810</v>
      </c>
      <c r="Y321" s="290"/>
      <c r="Z321" s="290">
        <f>+innut23!E327</f>
        <v>2791105.4192272392</v>
      </c>
      <c r="AA321" s="290">
        <v>0</v>
      </c>
      <c r="AB321" s="290">
        <v>1385</v>
      </c>
      <c r="AC321" s="290">
        <v>14938</v>
      </c>
      <c r="AD321" s="290"/>
      <c r="AE321" s="290">
        <v>0</v>
      </c>
      <c r="AF321" s="290">
        <v>0</v>
      </c>
      <c r="AG321" s="290">
        <v>77734</v>
      </c>
      <c r="AH321" s="290">
        <v>13486</v>
      </c>
      <c r="AI321" s="290"/>
      <c r="AJ321" s="290"/>
      <c r="AK321" s="290">
        <v>0</v>
      </c>
      <c r="AL321" s="290">
        <v>287068</v>
      </c>
      <c r="AM321" s="957">
        <v>1.5501343299999999</v>
      </c>
      <c r="AN321" s="290">
        <v>0</v>
      </c>
      <c r="AO321" s="290">
        <v>31442.38443907</v>
      </c>
      <c r="AP321" s="290">
        <v>0</v>
      </c>
      <c r="AQ321" s="290">
        <v>0</v>
      </c>
      <c r="AR321" s="290">
        <v>-3190.0949786000001</v>
      </c>
      <c r="AS321" s="290">
        <v>109245</v>
      </c>
      <c r="AT321" s="290">
        <v>3419</v>
      </c>
      <c r="AU321" s="290">
        <v>816</v>
      </c>
      <c r="AV321" s="766">
        <v>1774977</v>
      </c>
      <c r="AW321" s="290">
        <v>0</v>
      </c>
      <c r="AX321" s="766">
        <v>713.79169999999999</v>
      </c>
      <c r="AY321" s="290">
        <v>27244</v>
      </c>
      <c r="AZ321" s="290">
        <v>3341</v>
      </c>
      <c r="BA321" s="290">
        <v>1493</v>
      </c>
      <c r="BB321" s="290">
        <v>0</v>
      </c>
      <c r="BC321" s="290">
        <v>42643</v>
      </c>
      <c r="BD321" s="290"/>
      <c r="BE321" s="290">
        <v>2032487.2418356</v>
      </c>
      <c r="BF321" s="290">
        <v>0</v>
      </c>
      <c r="BG321" s="290">
        <v>0</v>
      </c>
      <c r="BH321" s="290">
        <v>-13024</v>
      </c>
      <c r="BI321" s="290">
        <v>48127</v>
      </c>
      <c r="BJ321" s="290">
        <v>9247.8196364587711</v>
      </c>
      <c r="BK321" s="290">
        <v>127</v>
      </c>
      <c r="BL321" s="290"/>
      <c r="BM321" s="290">
        <v>0</v>
      </c>
      <c r="BN321" s="290">
        <v>19703</v>
      </c>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f>+innut23!E327+innut23!S327</f>
        <v>2791105.4192272392</v>
      </c>
      <c r="CL321" s="290"/>
      <c r="CM321" s="290">
        <v>0</v>
      </c>
      <c r="CN321" s="290">
        <v>0</v>
      </c>
      <c r="CO321" s="290"/>
      <c r="CP321" s="290"/>
      <c r="CQ321" s="290"/>
      <c r="CX321" s="517">
        <f t="shared" si="9"/>
        <v>0</v>
      </c>
      <c r="DB321" s="85">
        <f t="shared" si="10"/>
        <v>14.247999999999999</v>
      </c>
    </row>
    <row r="322" spans="1:106" ht="13">
      <c r="A322" s="1">
        <v>5402</v>
      </c>
      <c r="B322" s="2" t="s">
        <v>216</v>
      </c>
      <c r="C322" s="289"/>
      <c r="D322" s="290">
        <v>474</v>
      </c>
      <c r="E322" s="290">
        <v>933</v>
      </c>
      <c r="F322" s="290">
        <v>2816</v>
      </c>
      <c r="G322" s="290">
        <v>2015</v>
      </c>
      <c r="H322" s="290">
        <v>13878</v>
      </c>
      <c r="I322" s="290">
        <v>3428</v>
      </c>
      <c r="J322" s="290">
        <v>1051</v>
      </c>
      <c r="K322" s="290">
        <v>240</v>
      </c>
      <c r="L322" s="290">
        <v>186</v>
      </c>
      <c r="M322" s="290">
        <v>2090</v>
      </c>
      <c r="N322" s="290">
        <v>608</v>
      </c>
      <c r="O322" s="290">
        <v>173</v>
      </c>
      <c r="P322" s="624">
        <v>91751.304333330001</v>
      </c>
      <c r="Q322" s="624">
        <v>38166.195333329997</v>
      </c>
      <c r="R322" s="624">
        <v>89</v>
      </c>
      <c r="S322" s="290"/>
      <c r="T322" s="290">
        <v>2329</v>
      </c>
      <c r="U322" s="958">
        <v>2.7629947287963271E-3</v>
      </c>
      <c r="V322" s="290">
        <v>8732.97517849</v>
      </c>
      <c r="W322" s="765">
        <v>0.57185103999999998</v>
      </c>
      <c r="X322" s="290">
        <v>660</v>
      </c>
      <c r="Y322" s="290"/>
      <c r="Z322" s="290">
        <f>+innut23!E328</f>
        <v>782548.87565830036</v>
      </c>
      <c r="AA322" s="290">
        <v>0</v>
      </c>
      <c r="AB322" s="290">
        <v>676</v>
      </c>
      <c r="AC322" s="290">
        <v>6032</v>
      </c>
      <c r="AD322" s="290"/>
      <c r="AE322" s="290">
        <v>0</v>
      </c>
      <c r="AF322" s="290">
        <v>22661</v>
      </c>
      <c r="AG322" s="290">
        <v>24835</v>
      </c>
      <c r="AH322" s="290">
        <v>4268</v>
      </c>
      <c r="AI322" s="290"/>
      <c r="AJ322" s="290"/>
      <c r="AK322" s="290">
        <v>0</v>
      </c>
      <c r="AL322" s="290">
        <v>91824</v>
      </c>
      <c r="AM322" s="957">
        <v>0.36921074999999998</v>
      </c>
      <c r="AN322" s="290">
        <v>0</v>
      </c>
      <c r="AO322" s="290">
        <v>10943.517606789999</v>
      </c>
      <c r="AP322" s="290">
        <v>0</v>
      </c>
      <c r="AQ322" s="290">
        <v>0</v>
      </c>
      <c r="AR322" s="290">
        <v>-1019.19377356</v>
      </c>
      <c r="AS322" s="290">
        <v>39937</v>
      </c>
      <c r="AT322" s="290">
        <v>1105</v>
      </c>
      <c r="AU322" s="290">
        <v>256</v>
      </c>
      <c r="AV322" s="766">
        <v>711514</v>
      </c>
      <c r="AW322" s="290">
        <v>0</v>
      </c>
      <c r="AX322" s="766">
        <v>184.45830000000001</v>
      </c>
      <c r="AY322" s="290">
        <v>6713</v>
      </c>
      <c r="AZ322" s="290">
        <v>803</v>
      </c>
      <c r="BA322" s="290">
        <v>509</v>
      </c>
      <c r="BB322" s="290">
        <v>0</v>
      </c>
      <c r="BC322" s="290">
        <v>35777</v>
      </c>
      <c r="BD322" s="290"/>
      <c r="BE322" s="290">
        <v>810677.54241421004</v>
      </c>
      <c r="BF322" s="290">
        <v>0</v>
      </c>
      <c r="BG322" s="290">
        <v>0</v>
      </c>
      <c r="BH322" s="290">
        <v>-4187</v>
      </c>
      <c r="BI322" s="290">
        <v>38665</v>
      </c>
      <c r="BJ322" s="290">
        <v>2979.4083338081964</v>
      </c>
      <c r="BK322" s="290">
        <v>40</v>
      </c>
      <c r="BL322" s="290"/>
      <c r="BM322" s="290">
        <v>0</v>
      </c>
      <c r="BN322" s="290">
        <v>5704</v>
      </c>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f>+innut23!E328+innut23!S328</f>
        <v>782548.87565830036</v>
      </c>
      <c r="CL322" s="290"/>
      <c r="CM322" s="290">
        <v>0</v>
      </c>
      <c r="CN322" s="290">
        <v>0</v>
      </c>
      <c r="CO322" s="290"/>
      <c r="CP322" s="290"/>
      <c r="CQ322" s="290"/>
      <c r="CX322" s="517">
        <f t="shared" si="9"/>
        <v>0</v>
      </c>
      <c r="DB322" s="85">
        <f t="shared" si="10"/>
        <v>4.5519999999999996</v>
      </c>
    </row>
    <row r="323" spans="1:106" ht="13">
      <c r="A323" s="1">
        <v>5403</v>
      </c>
      <c r="B323" s="2" t="s">
        <v>245</v>
      </c>
      <c r="C323" s="289"/>
      <c r="D323" s="290">
        <v>511</v>
      </c>
      <c r="E323" s="290">
        <v>1008</v>
      </c>
      <c r="F323" s="290">
        <v>2705</v>
      </c>
      <c r="G323" s="290">
        <v>2068</v>
      </c>
      <c r="H323" s="290">
        <v>11982</v>
      </c>
      <c r="I323" s="290">
        <v>2121</v>
      </c>
      <c r="J323" s="290">
        <v>626</v>
      </c>
      <c r="K323" s="290">
        <v>108</v>
      </c>
      <c r="L323" s="290">
        <v>176</v>
      </c>
      <c r="M323" s="290">
        <v>1317</v>
      </c>
      <c r="N323" s="290">
        <v>301</v>
      </c>
      <c r="O323" s="290">
        <v>141</v>
      </c>
      <c r="P323" s="624">
        <v>111205.76033333001</v>
      </c>
      <c r="Q323" s="624">
        <v>75726.350000000006</v>
      </c>
      <c r="R323" s="624">
        <v>103</v>
      </c>
      <c r="S323" s="290"/>
      <c r="T323" s="290">
        <v>1763</v>
      </c>
      <c r="U323" s="958">
        <v>3.3433842620772107E-3</v>
      </c>
      <c r="V323" s="290">
        <v>-4512.5614214099996</v>
      </c>
      <c r="W323" s="765">
        <v>0.60480953000000004</v>
      </c>
      <c r="X323" s="290">
        <v>390</v>
      </c>
      <c r="Y323" s="290"/>
      <c r="Z323" s="290">
        <f>+innut23!E329</f>
        <v>668826.72165493644</v>
      </c>
      <c r="AA323" s="290">
        <v>0</v>
      </c>
      <c r="AB323" s="290">
        <v>585</v>
      </c>
      <c r="AC323" s="290">
        <v>2341</v>
      </c>
      <c r="AD323" s="290"/>
      <c r="AE323" s="290">
        <v>0</v>
      </c>
      <c r="AF323" s="290">
        <v>0</v>
      </c>
      <c r="AG323" s="290">
        <v>21129</v>
      </c>
      <c r="AH323" s="290">
        <v>4244</v>
      </c>
      <c r="AI323" s="290"/>
      <c r="AJ323" s="290"/>
      <c r="AK323" s="290">
        <v>0</v>
      </c>
      <c r="AL323" s="290">
        <v>191099</v>
      </c>
      <c r="AM323" s="957">
        <v>0.48255967999999999</v>
      </c>
      <c r="AN323" s="290">
        <v>0</v>
      </c>
      <c r="AO323" s="290">
        <v>9701.6448659399994</v>
      </c>
      <c r="AP323" s="290">
        <v>0</v>
      </c>
      <c r="AQ323" s="290">
        <v>0</v>
      </c>
      <c r="AR323" s="290">
        <v>-867.10470067999995</v>
      </c>
      <c r="AS323" s="290">
        <v>23708</v>
      </c>
      <c r="AT323" s="290">
        <v>1156</v>
      </c>
      <c r="AU323" s="290">
        <v>243</v>
      </c>
      <c r="AV323" s="766">
        <v>736625</v>
      </c>
      <c r="AW323" s="290">
        <v>0</v>
      </c>
      <c r="AX323" s="766">
        <v>177.91665</v>
      </c>
      <c r="AY323" s="290">
        <v>5379</v>
      </c>
      <c r="AZ323" s="290">
        <v>768</v>
      </c>
      <c r="BA323" s="290">
        <v>624</v>
      </c>
      <c r="BB323" s="290">
        <v>0</v>
      </c>
      <c r="BC323" s="290">
        <v>23362</v>
      </c>
      <c r="BD323" s="290"/>
      <c r="BE323" s="290">
        <v>849924.48266298999</v>
      </c>
      <c r="BF323" s="290">
        <v>0</v>
      </c>
      <c r="BG323" s="290">
        <v>22517</v>
      </c>
      <c r="BH323" s="290">
        <v>-3534</v>
      </c>
      <c r="BI323" s="290">
        <v>37398</v>
      </c>
      <c r="BJ323" s="290">
        <v>2915.9082419620072</v>
      </c>
      <c r="BK323" s="290">
        <v>32</v>
      </c>
      <c r="BL323" s="290"/>
      <c r="BM323" s="290">
        <v>0</v>
      </c>
      <c r="BN323" s="290">
        <v>8296</v>
      </c>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f>+innut23!E329+innut23!S329</f>
        <v>668826.72165493644</v>
      </c>
      <c r="CL323" s="290"/>
      <c r="CM323" s="290">
        <v>0</v>
      </c>
      <c r="CN323" s="290">
        <v>0</v>
      </c>
      <c r="CO323" s="290"/>
      <c r="CP323" s="290"/>
      <c r="CQ323" s="290"/>
      <c r="CX323" s="517">
        <f t="shared" si="9"/>
        <v>0</v>
      </c>
      <c r="DB323" s="85">
        <f t="shared" si="10"/>
        <v>3.8730000000000002</v>
      </c>
    </row>
    <row r="324" spans="1:106" ht="13">
      <c r="A324" s="1">
        <v>5404</v>
      </c>
      <c r="B324" s="2" t="s">
        <v>241</v>
      </c>
      <c r="C324" s="289"/>
      <c r="D324" s="290">
        <v>20</v>
      </c>
      <c r="E324" s="290">
        <v>44</v>
      </c>
      <c r="F324" s="290">
        <v>171</v>
      </c>
      <c r="G324" s="290">
        <v>131</v>
      </c>
      <c r="H324" s="290">
        <v>1072</v>
      </c>
      <c r="I324" s="290">
        <v>349</v>
      </c>
      <c r="J324" s="290">
        <v>81</v>
      </c>
      <c r="K324" s="290">
        <v>25</v>
      </c>
      <c r="L324" s="290">
        <v>22</v>
      </c>
      <c r="M324" s="290">
        <v>264</v>
      </c>
      <c r="N324" s="290">
        <v>15</v>
      </c>
      <c r="O324" s="290">
        <v>24</v>
      </c>
      <c r="P324" s="624">
        <v>4813.62933333</v>
      </c>
      <c r="Q324" s="624">
        <v>2346.81033333</v>
      </c>
      <c r="R324" s="624">
        <v>7</v>
      </c>
      <c r="S324" s="290"/>
      <c r="T324" s="290">
        <v>274</v>
      </c>
      <c r="U324" s="958">
        <v>2.08423216236364E-4</v>
      </c>
      <c r="V324" s="290">
        <v>1276.9494980699999</v>
      </c>
      <c r="W324" s="765">
        <v>1</v>
      </c>
      <c r="X324" s="290">
        <v>840</v>
      </c>
      <c r="Y324" s="290"/>
      <c r="Z324" s="290">
        <f>+innut23!E330</f>
        <v>49877.631336385159</v>
      </c>
      <c r="AA324" s="290">
        <v>0</v>
      </c>
      <c r="AB324" s="290">
        <v>22</v>
      </c>
      <c r="AC324" s="290">
        <v>126</v>
      </c>
      <c r="AD324" s="290"/>
      <c r="AE324" s="290">
        <v>0</v>
      </c>
      <c r="AF324" s="290">
        <v>0</v>
      </c>
      <c r="AG324" s="290">
        <v>1893</v>
      </c>
      <c r="AH324" s="290">
        <v>240</v>
      </c>
      <c r="AI324" s="290"/>
      <c r="AJ324" s="290"/>
      <c r="AK324" s="290">
        <v>0</v>
      </c>
      <c r="AL324" s="290">
        <v>17145</v>
      </c>
      <c r="AM324" s="957">
        <v>0.117601</v>
      </c>
      <c r="AN324" s="290">
        <v>0</v>
      </c>
      <c r="AO324" s="290">
        <v>987.09781849000001</v>
      </c>
      <c r="AP324" s="290">
        <v>0</v>
      </c>
      <c r="AQ324" s="290">
        <v>0</v>
      </c>
      <c r="AR324" s="290">
        <v>-77.686080669999996</v>
      </c>
      <c r="AS324" s="290">
        <v>3021</v>
      </c>
      <c r="AT324" s="290">
        <v>92</v>
      </c>
      <c r="AU324" s="290">
        <v>25</v>
      </c>
      <c r="AV324" s="766">
        <v>98377</v>
      </c>
      <c r="AW324" s="290">
        <v>0</v>
      </c>
      <c r="AX324" s="766">
        <v>7.6666999999999996</v>
      </c>
      <c r="AY324" s="290">
        <v>334</v>
      </c>
      <c r="AZ324" s="290">
        <v>184</v>
      </c>
      <c r="BA324" s="290">
        <v>56</v>
      </c>
      <c r="BB324" s="290">
        <v>13552</v>
      </c>
      <c r="BC324" s="290">
        <v>823</v>
      </c>
      <c r="BD324" s="290"/>
      <c r="BE324" s="290">
        <v>107297.03330924</v>
      </c>
      <c r="BF324" s="290">
        <v>0</v>
      </c>
      <c r="BG324" s="290">
        <v>1020</v>
      </c>
      <c r="BH324" s="290">
        <v>-326</v>
      </c>
      <c r="BI324" s="290">
        <v>1905</v>
      </c>
      <c r="BJ324" s="290">
        <v>215.43069101314771</v>
      </c>
      <c r="BK324" s="290">
        <v>4</v>
      </c>
      <c r="BL324" s="290"/>
      <c r="BM324" s="290">
        <v>0</v>
      </c>
      <c r="BN324" s="290">
        <v>519</v>
      </c>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f>+innut23!E330+innut23!S330</f>
        <v>49877.631336385159</v>
      </c>
      <c r="CL324" s="290"/>
      <c r="CM324" s="290">
        <v>0</v>
      </c>
      <c r="CN324" s="290">
        <v>0</v>
      </c>
      <c r="CO324" s="290"/>
      <c r="CP324" s="290"/>
      <c r="CQ324" s="290"/>
      <c r="CX324" s="517">
        <f t="shared" si="9"/>
        <v>0</v>
      </c>
      <c r="DB324" s="85">
        <f t="shared" si="10"/>
        <v>0.34699999999999998</v>
      </c>
    </row>
    <row r="325" spans="1:106" ht="13">
      <c r="A325" s="1">
        <v>5405</v>
      </c>
      <c r="B325" s="2" t="s">
        <v>242</v>
      </c>
      <c r="C325" s="289"/>
      <c r="D325" s="290">
        <v>102</v>
      </c>
      <c r="E325" s="290">
        <v>199</v>
      </c>
      <c r="F325" s="290">
        <v>547</v>
      </c>
      <c r="G325" s="290">
        <v>493</v>
      </c>
      <c r="H325" s="290">
        <v>3184</v>
      </c>
      <c r="I325" s="290">
        <v>752</v>
      </c>
      <c r="J325" s="290">
        <v>245</v>
      </c>
      <c r="K325" s="290">
        <v>50</v>
      </c>
      <c r="L325" s="290">
        <v>43</v>
      </c>
      <c r="M325" s="290">
        <v>513</v>
      </c>
      <c r="N325" s="290">
        <v>207</v>
      </c>
      <c r="O325" s="290">
        <v>70</v>
      </c>
      <c r="P325" s="624">
        <v>20405.332666670001</v>
      </c>
      <c r="Q325" s="624">
        <v>5956.9430000000002</v>
      </c>
      <c r="R325" s="624">
        <v>22</v>
      </c>
      <c r="S325" s="290"/>
      <c r="T325" s="290">
        <v>636</v>
      </c>
      <c r="U325" s="958">
        <v>8.588854814470646E-4</v>
      </c>
      <c r="V325" s="290">
        <v>3250.0577324699998</v>
      </c>
      <c r="W325" s="765">
        <v>0.61387603000000002</v>
      </c>
      <c r="X325" s="290">
        <v>950</v>
      </c>
      <c r="Y325" s="290"/>
      <c r="Z325" s="290">
        <f>+innut23!E331</f>
        <v>168392.14373063418</v>
      </c>
      <c r="AA325" s="290">
        <v>0</v>
      </c>
      <c r="AB325" s="290">
        <v>116</v>
      </c>
      <c r="AC325" s="290">
        <v>3418</v>
      </c>
      <c r="AD325" s="290"/>
      <c r="AE325" s="290">
        <v>0</v>
      </c>
      <c r="AF325" s="290">
        <v>0</v>
      </c>
      <c r="AG325" s="290">
        <v>5572</v>
      </c>
      <c r="AH325" s="290">
        <v>893</v>
      </c>
      <c r="AI325" s="290"/>
      <c r="AJ325" s="290"/>
      <c r="AK325" s="290">
        <v>0</v>
      </c>
      <c r="AL325" s="290">
        <v>50324</v>
      </c>
      <c r="AM325" s="957">
        <v>0.23316542000000001</v>
      </c>
      <c r="AN325" s="290">
        <v>0</v>
      </c>
      <c r="AO325" s="290">
        <v>2512.3349846900001</v>
      </c>
      <c r="AP325" s="290">
        <v>0</v>
      </c>
      <c r="AQ325" s="290">
        <v>0</v>
      </c>
      <c r="AR325" s="290">
        <v>4711.7606419800004</v>
      </c>
      <c r="AS325" s="290">
        <v>8822</v>
      </c>
      <c r="AT325" s="290">
        <v>285</v>
      </c>
      <c r="AU325" s="290">
        <v>68</v>
      </c>
      <c r="AV325" s="766">
        <v>204125</v>
      </c>
      <c r="AW325" s="290">
        <v>0</v>
      </c>
      <c r="AX325" s="766">
        <v>39.416649999999997</v>
      </c>
      <c r="AY325" s="290">
        <v>1476</v>
      </c>
      <c r="AZ325" s="290">
        <v>373</v>
      </c>
      <c r="BA325" s="290">
        <v>118</v>
      </c>
      <c r="BB325" s="290">
        <v>0</v>
      </c>
      <c r="BC325" s="290">
        <v>4786</v>
      </c>
      <c r="BD325" s="290"/>
      <c r="BE325" s="290">
        <v>223553.79489980001</v>
      </c>
      <c r="BF325" s="290">
        <v>0</v>
      </c>
      <c r="BG325" s="290">
        <v>4664</v>
      </c>
      <c r="BH325" s="290">
        <v>-944</v>
      </c>
      <c r="BI325" s="290">
        <v>10531</v>
      </c>
      <c r="BJ325" s="290">
        <v>608.12123500404414</v>
      </c>
      <c r="BK325" s="290">
        <v>11</v>
      </c>
      <c r="BL325" s="290"/>
      <c r="BM325" s="290">
        <v>0</v>
      </c>
      <c r="BN325" s="290">
        <v>1556</v>
      </c>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f>+innut23!E331+innut23!S331</f>
        <v>168392.14373063418</v>
      </c>
      <c r="CL325" s="290"/>
      <c r="CM325" s="290">
        <v>0</v>
      </c>
      <c r="CN325" s="290">
        <v>0</v>
      </c>
      <c r="CO325" s="290"/>
      <c r="CP325" s="290"/>
      <c r="CQ325" s="290"/>
      <c r="CX325" s="517">
        <f t="shared" ref="CX325:CX359" si="11">(BV325)*1.029</f>
        <v>0</v>
      </c>
      <c r="DB325" s="85">
        <f t="shared" ref="DB325:DB359" si="12">ROUND(1000*AG325/AG$361,3)</f>
        <v>1.0209999999999999</v>
      </c>
    </row>
    <row r="326" spans="1:106" ht="13">
      <c r="A326" s="1">
        <v>5406</v>
      </c>
      <c r="B326" s="2" t="s">
        <v>1648</v>
      </c>
      <c r="C326" s="289"/>
      <c r="D326" s="290">
        <v>205</v>
      </c>
      <c r="E326" s="290">
        <v>446</v>
      </c>
      <c r="F326" s="290">
        <v>1308</v>
      </c>
      <c r="G326" s="290">
        <v>916</v>
      </c>
      <c r="H326" s="290">
        <v>6601</v>
      </c>
      <c r="I326" s="290">
        <v>1324</v>
      </c>
      <c r="J326" s="290">
        <v>371</v>
      </c>
      <c r="K326" s="290">
        <v>77</v>
      </c>
      <c r="L326" s="290">
        <v>102</v>
      </c>
      <c r="M326" s="290">
        <v>886</v>
      </c>
      <c r="N326" s="290">
        <v>437</v>
      </c>
      <c r="O326" s="290">
        <v>161</v>
      </c>
      <c r="P326" s="624">
        <v>67013.269666670007</v>
      </c>
      <c r="Q326" s="624">
        <v>31224.62133333</v>
      </c>
      <c r="R326" s="624">
        <v>58</v>
      </c>
      <c r="S326" s="290"/>
      <c r="T326" s="290">
        <v>1258</v>
      </c>
      <c r="U326" s="958">
        <v>8.1246675096913093E-4</v>
      </c>
      <c r="V326" s="290">
        <v>6227.5201852500004</v>
      </c>
      <c r="W326" s="765">
        <v>0.62580256000000001</v>
      </c>
      <c r="X326" s="290">
        <v>940</v>
      </c>
      <c r="Y326" s="290"/>
      <c r="Z326" s="290">
        <f>+innut23!E332</f>
        <v>380237.48298838263</v>
      </c>
      <c r="AA326" s="290">
        <v>0</v>
      </c>
      <c r="AB326" s="290">
        <v>222</v>
      </c>
      <c r="AC326" s="290">
        <v>6114</v>
      </c>
      <c r="AD326" s="290"/>
      <c r="AE326" s="290">
        <v>0</v>
      </c>
      <c r="AF326" s="290">
        <v>30488</v>
      </c>
      <c r="AG326" s="290">
        <v>11248</v>
      </c>
      <c r="AH326" s="290">
        <v>1967</v>
      </c>
      <c r="AI326" s="290"/>
      <c r="AJ326" s="290"/>
      <c r="AK326" s="290">
        <v>0</v>
      </c>
      <c r="AL326" s="290">
        <v>101894</v>
      </c>
      <c r="AM326" s="957">
        <v>0.29994048000000001</v>
      </c>
      <c r="AN326" s="290">
        <v>0</v>
      </c>
      <c r="AO326" s="290">
        <v>5163.3520459399997</v>
      </c>
      <c r="AP326" s="290">
        <v>0</v>
      </c>
      <c r="AQ326" s="290">
        <v>0</v>
      </c>
      <c r="AR326" s="290">
        <v>-461.60223736</v>
      </c>
      <c r="AS326" s="290">
        <v>17209</v>
      </c>
      <c r="AT326" s="290">
        <v>546</v>
      </c>
      <c r="AU326" s="290">
        <v>131</v>
      </c>
      <c r="AV326" s="766">
        <v>445137</v>
      </c>
      <c r="AW326" s="290">
        <v>0</v>
      </c>
      <c r="AX326" s="766">
        <v>82.333299999999994</v>
      </c>
      <c r="AY326" s="290">
        <v>2661</v>
      </c>
      <c r="AZ326" s="290">
        <v>533</v>
      </c>
      <c r="BA326" s="290">
        <v>243</v>
      </c>
      <c r="BB326" s="290">
        <v>0</v>
      </c>
      <c r="BC326" s="290">
        <v>40171</v>
      </c>
      <c r="BD326" s="290"/>
      <c r="BE326" s="290">
        <v>499536.98509887001</v>
      </c>
      <c r="BF326" s="290">
        <v>0</v>
      </c>
      <c r="BG326" s="290">
        <v>10121</v>
      </c>
      <c r="BH326" s="290">
        <v>-1912</v>
      </c>
      <c r="BI326" s="290">
        <v>53357</v>
      </c>
      <c r="BJ326" s="290">
        <v>1457.5096895466718</v>
      </c>
      <c r="BK326" s="290">
        <v>21</v>
      </c>
      <c r="BL326" s="290"/>
      <c r="BM326" s="290">
        <v>4291</v>
      </c>
      <c r="BN326" s="290">
        <v>4667</v>
      </c>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f>+innut23!E332+innut23!S332</f>
        <v>380237.48298838263</v>
      </c>
      <c r="CL326" s="290"/>
      <c r="CM326" s="290">
        <v>0</v>
      </c>
      <c r="CN326" s="290">
        <v>0</v>
      </c>
      <c r="CO326" s="290"/>
      <c r="CP326" s="290"/>
      <c r="CQ326" s="290"/>
      <c r="CX326" s="517">
        <f t="shared" si="11"/>
        <v>0</v>
      </c>
      <c r="DB326" s="85">
        <f t="shared" si="12"/>
        <v>2.0619999999999998</v>
      </c>
    </row>
    <row r="327" spans="1:106" ht="13">
      <c r="A327" s="1">
        <v>5411</v>
      </c>
      <c r="B327" s="2" t="s">
        <v>218</v>
      </c>
      <c r="C327" s="289"/>
      <c r="D327" s="290">
        <v>55</v>
      </c>
      <c r="E327" s="290">
        <v>100</v>
      </c>
      <c r="F327" s="290">
        <v>295</v>
      </c>
      <c r="G327" s="290">
        <v>225</v>
      </c>
      <c r="H327" s="290">
        <v>1557</v>
      </c>
      <c r="I327" s="290">
        <v>467</v>
      </c>
      <c r="J327" s="290">
        <v>132</v>
      </c>
      <c r="K327" s="290">
        <v>30</v>
      </c>
      <c r="L327" s="290">
        <v>24</v>
      </c>
      <c r="M327" s="290">
        <v>271</v>
      </c>
      <c r="N327" s="290">
        <v>79</v>
      </c>
      <c r="O327" s="290">
        <v>14</v>
      </c>
      <c r="P327" s="624">
        <v>24655.167000000001</v>
      </c>
      <c r="Q327" s="624">
        <v>11263.097333330001</v>
      </c>
      <c r="R327" s="624">
        <v>29</v>
      </c>
      <c r="S327" s="290"/>
      <c r="T327" s="290">
        <v>268</v>
      </c>
      <c r="U327" s="958">
        <v>1.5021270183585428E-3</v>
      </c>
      <c r="V327" s="290">
        <v>1519.2851609500001</v>
      </c>
      <c r="W327" s="765">
        <v>0.81084867000000005</v>
      </c>
      <c r="X327" s="290">
        <v>620</v>
      </c>
      <c r="Y327" s="290"/>
      <c r="Z327" s="290">
        <f>+innut23!E333</f>
        <v>72363.340885465979</v>
      </c>
      <c r="AA327" s="290">
        <v>0</v>
      </c>
      <c r="AB327" s="290">
        <v>98</v>
      </c>
      <c r="AC327" s="290">
        <v>0</v>
      </c>
      <c r="AD327" s="290"/>
      <c r="AE327" s="290">
        <v>0</v>
      </c>
      <c r="AF327" s="290">
        <v>0</v>
      </c>
      <c r="AG327" s="290">
        <v>2861</v>
      </c>
      <c r="AH327" s="290">
        <v>468</v>
      </c>
      <c r="AI327" s="290"/>
      <c r="AJ327" s="290"/>
      <c r="AK327" s="290">
        <v>0</v>
      </c>
      <c r="AL327" s="290">
        <v>10325</v>
      </c>
      <c r="AM327" s="957">
        <v>5.2536979999999997E-2</v>
      </c>
      <c r="AN327" s="290">
        <v>0</v>
      </c>
      <c r="AO327" s="290">
        <v>1523.8279077899999</v>
      </c>
      <c r="AP327" s="290">
        <v>0</v>
      </c>
      <c r="AQ327" s="290">
        <v>0</v>
      </c>
      <c r="AR327" s="290">
        <v>-117.41145102</v>
      </c>
      <c r="AS327" s="290">
        <v>4433</v>
      </c>
      <c r="AT327" s="290">
        <v>139</v>
      </c>
      <c r="AU327" s="290">
        <v>21</v>
      </c>
      <c r="AV327" s="766">
        <v>123211</v>
      </c>
      <c r="AW327" s="290">
        <v>0</v>
      </c>
      <c r="AX327" s="766">
        <v>18.5</v>
      </c>
      <c r="AY327" s="290">
        <v>620</v>
      </c>
      <c r="AZ327" s="290">
        <v>140</v>
      </c>
      <c r="BA327" s="290">
        <v>72</v>
      </c>
      <c r="BB327" s="290">
        <v>6257</v>
      </c>
      <c r="BC327" s="290">
        <v>1942</v>
      </c>
      <c r="BD327" s="290"/>
      <c r="BE327" s="290">
        <v>134919.87162475</v>
      </c>
      <c r="BF327" s="290">
        <v>0</v>
      </c>
      <c r="BG327" s="290">
        <v>0</v>
      </c>
      <c r="BH327" s="290">
        <v>-475</v>
      </c>
      <c r="BI327" s="290">
        <v>2024</v>
      </c>
      <c r="BJ327" s="290">
        <v>351.21267917170451</v>
      </c>
      <c r="BK327" s="290">
        <v>5</v>
      </c>
      <c r="BL327" s="290"/>
      <c r="BM327" s="290">
        <v>0</v>
      </c>
      <c r="BN327" s="290">
        <v>1556</v>
      </c>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f>+innut23!E333+innut23!S333</f>
        <v>72363.340885465979</v>
      </c>
      <c r="CL327" s="290"/>
      <c r="CM327" s="290">
        <v>0</v>
      </c>
      <c r="CN327" s="290">
        <v>0</v>
      </c>
      <c r="CO327" s="290"/>
      <c r="CP327" s="290"/>
      <c r="CQ327" s="290"/>
      <c r="CX327" s="517">
        <f t="shared" si="11"/>
        <v>0</v>
      </c>
      <c r="DB327" s="85">
        <f t="shared" si="12"/>
        <v>0.52400000000000002</v>
      </c>
    </row>
    <row r="328" spans="1:106" ht="13">
      <c r="A328" s="1">
        <v>5412</v>
      </c>
      <c r="B328" s="2" t="s">
        <v>1649</v>
      </c>
      <c r="C328" s="289"/>
      <c r="D328" s="290">
        <v>58</v>
      </c>
      <c r="E328" s="290">
        <v>132</v>
      </c>
      <c r="F328" s="290">
        <v>451</v>
      </c>
      <c r="G328" s="290">
        <v>292</v>
      </c>
      <c r="H328" s="290">
        <v>2203</v>
      </c>
      <c r="I328" s="290">
        <v>754</v>
      </c>
      <c r="J328" s="290">
        <v>237</v>
      </c>
      <c r="K328" s="290">
        <v>52</v>
      </c>
      <c r="L328" s="290">
        <v>34</v>
      </c>
      <c r="M328" s="290">
        <v>461</v>
      </c>
      <c r="N328" s="290">
        <v>11</v>
      </c>
      <c r="O328" s="290">
        <v>19</v>
      </c>
      <c r="P328" s="624">
        <v>68690.301666669999</v>
      </c>
      <c r="Q328" s="624">
        <v>14967.80933333</v>
      </c>
      <c r="R328" s="624">
        <v>21</v>
      </c>
      <c r="S328" s="290"/>
      <c r="T328" s="290">
        <v>361</v>
      </c>
      <c r="U328" s="958">
        <v>2.1980058142999732E-3</v>
      </c>
      <c r="V328" s="290">
        <v>2752.4610082600002</v>
      </c>
      <c r="W328" s="765">
        <v>0.92040546000000001</v>
      </c>
      <c r="X328" s="290">
        <v>650</v>
      </c>
      <c r="Y328" s="290"/>
      <c r="Z328" s="290">
        <f>+innut23!E334</f>
        <v>116544.07541029927</v>
      </c>
      <c r="AA328" s="290">
        <v>0</v>
      </c>
      <c r="AB328" s="290">
        <v>120</v>
      </c>
      <c r="AC328" s="290">
        <v>412</v>
      </c>
      <c r="AD328" s="290"/>
      <c r="AE328" s="290">
        <v>0</v>
      </c>
      <c r="AF328" s="290">
        <v>26970</v>
      </c>
      <c r="AG328" s="290">
        <v>4179</v>
      </c>
      <c r="AH328" s="290">
        <v>639</v>
      </c>
      <c r="AI328" s="290"/>
      <c r="AJ328" s="290"/>
      <c r="AK328" s="290">
        <v>0</v>
      </c>
      <c r="AL328" s="290">
        <v>15552</v>
      </c>
      <c r="AM328" s="957">
        <v>3.3507849999999999E-2</v>
      </c>
      <c r="AN328" s="290">
        <v>0</v>
      </c>
      <c r="AO328" s="290">
        <v>2127.68653799</v>
      </c>
      <c r="AP328" s="290">
        <v>0</v>
      </c>
      <c r="AQ328" s="290">
        <v>0</v>
      </c>
      <c r="AR328" s="290">
        <v>-171.50033339000001</v>
      </c>
      <c r="AS328" s="290">
        <v>6771</v>
      </c>
      <c r="AT328" s="290">
        <v>192</v>
      </c>
      <c r="AU328" s="290">
        <v>28</v>
      </c>
      <c r="AV328" s="766">
        <v>183604</v>
      </c>
      <c r="AW328" s="290">
        <v>0</v>
      </c>
      <c r="AX328" s="766">
        <v>22.333349999999999</v>
      </c>
      <c r="AY328" s="290">
        <v>827</v>
      </c>
      <c r="AZ328" s="290">
        <v>110</v>
      </c>
      <c r="BA328" s="290">
        <v>92</v>
      </c>
      <c r="BB328" s="290">
        <v>0</v>
      </c>
      <c r="BC328" s="290">
        <v>29429</v>
      </c>
      <c r="BD328" s="290"/>
      <c r="BE328" s="290">
        <v>202579.29723026001</v>
      </c>
      <c r="BF328" s="290">
        <v>0</v>
      </c>
      <c r="BG328" s="290">
        <v>0</v>
      </c>
      <c r="BH328" s="290">
        <v>-708</v>
      </c>
      <c r="BI328" s="290">
        <v>30614</v>
      </c>
      <c r="BJ328" s="290">
        <v>541.06878335048941</v>
      </c>
      <c r="BK328" s="290">
        <v>5</v>
      </c>
      <c r="BL328" s="290"/>
      <c r="BM328" s="290">
        <v>0</v>
      </c>
      <c r="BN328" s="290">
        <v>2593</v>
      </c>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f>+innut23!E334+innut23!S334</f>
        <v>116544.07541029927</v>
      </c>
      <c r="CL328" s="290"/>
      <c r="CM328" s="290">
        <v>0</v>
      </c>
      <c r="CN328" s="290">
        <v>0</v>
      </c>
      <c r="CO328" s="290"/>
      <c r="CP328" s="290"/>
      <c r="CQ328" s="290"/>
      <c r="CX328" s="517">
        <f t="shared" si="11"/>
        <v>0</v>
      </c>
      <c r="DB328" s="85">
        <f t="shared" si="12"/>
        <v>0.76600000000000001</v>
      </c>
    </row>
    <row r="329" spans="1:106" ht="13">
      <c r="A329" s="1">
        <v>5413</v>
      </c>
      <c r="B329" s="2" t="s">
        <v>221</v>
      </c>
      <c r="C329" s="289"/>
      <c r="D329" s="290">
        <v>10</v>
      </c>
      <c r="E329" s="290">
        <v>33</v>
      </c>
      <c r="F329" s="290">
        <v>97</v>
      </c>
      <c r="G329" s="290">
        <v>104</v>
      </c>
      <c r="H329" s="290">
        <v>630</v>
      </c>
      <c r="I329" s="290">
        <v>261</v>
      </c>
      <c r="J329" s="290">
        <v>106</v>
      </c>
      <c r="K329" s="290">
        <v>28</v>
      </c>
      <c r="L329" s="290">
        <v>9</v>
      </c>
      <c r="M329" s="290">
        <v>188</v>
      </c>
      <c r="N329" s="290">
        <v>32</v>
      </c>
      <c r="O329" s="290">
        <v>7</v>
      </c>
      <c r="P329" s="624">
        <v>10162.644</v>
      </c>
      <c r="Q329" s="624">
        <v>4232.5166666699997</v>
      </c>
      <c r="R329" s="624">
        <v>9</v>
      </c>
      <c r="S329" s="290"/>
      <c r="T329" s="290">
        <v>151</v>
      </c>
      <c r="U329" s="958">
        <v>1.12610287192748E-3</v>
      </c>
      <c r="V329" s="290">
        <v>-1595.0213976099999</v>
      </c>
      <c r="W329" s="765">
        <v>1</v>
      </c>
      <c r="X329" s="290">
        <v>450</v>
      </c>
      <c r="Y329" s="290"/>
      <c r="Z329" s="290">
        <f>+innut23!E335</f>
        <v>38044.669172596645</v>
      </c>
      <c r="AA329" s="290">
        <v>0</v>
      </c>
      <c r="AB329" s="290">
        <v>28</v>
      </c>
      <c r="AC329" s="290">
        <v>595</v>
      </c>
      <c r="AD329" s="290"/>
      <c r="AE329" s="290">
        <v>0</v>
      </c>
      <c r="AF329" s="290">
        <v>0</v>
      </c>
      <c r="AG329" s="290">
        <v>1269</v>
      </c>
      <c r="AH329" s="290">
        <v>152</v>
      </c>
      <c r="AI329" s="290"/>
      <c r="AJ329" s="290"/>
      <c r="AK329" s="290">
        <v>0</v>
      </c>
      <c r="AL329" s="290">
        <v>4772</v>
      </c>
      <c r="AM329" s="957">
        <v>2.431026E-2</v>
      </c>
      <c r="AN329" s="290">
        <v>0</v>
      </c>
      <c r="AO329" s="290">
        <v>776.08792652</v>
      </c>
      <c r="AP329" s="290">
        <v>0</v>
      </c>
      <c r="AQ329" s="290">
        <v>0</v>
      </c>
      <c r="AR329" s="290">
        <v>-52.077990679999999</v>
      </c>
      <c r="AS329" s="290">
        <v>2224</v>
      </c>
      <c r="AT329" s="290">
        <v>68</v>
      </c>
      <c r="AU329" s="290">
        <v>11</v>
      </c>
      <c r="AV329" s="766">
        <v>69997</v>
      </c>
      <c r="AW329" s="290">
        <v>0</v>
      </c>
      <c r="AX329" s="766">
        <v>0.33329999999999999</v>
      </c>
      <c r="AY329" s="290">
        <v>210</v>
      </c>
      <c r="AZ329" s="290">
        <v>54</v>
      </c>
      <c r="BA329" s="290">
        <v>26</v>
      </c>
      <c r="BB329" s="290">
        <v>6257</v>
      </c>
      <c r="BC329" s="290">
        <v>1081</v>
      </c>
      <c r="BD329" s="290"/>
      <c r="BE329" s="290">
        <v>75842.147985410003</v>
      </c>
      <c r="BF329" s="290">
        <v>0</v>
      </c>
      <c r="BG329" s="290">
        <v>0</v>
      </c>
      <c r="BH329" s="290">
        <v>-219</v>
      </c>
      <c r="BI329" s="290">
        <v>1266</v>
      </c>
      <c r="BJ329" s="290">
        <v>140.74796424712389</v>
      </c>
      <c r="BK329" s="290">
        <v>2</v>
      </c>
      <c r="BL329" s="290"/>
      <c r="BM329" s="290">
        <v>0</v>
      </c>
      <c r="BN329" s="290">
        <v>519</v>
      </c>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f>+innut23!E335+innut23!S335</f>
        <v>38044.669172596645</v>
      </c>
      <c r="CL329" s="290"/>
      <c r="CM329" s="290">
        <v>0</v>
      </c>
      <c r="CN329" s="290">
        <v>0</v>
      </c>
      <c r="CO329" s="290"/>
      <c r="CP329" s="290"/>
      <c r="CQ329" s="290"/>
      <c r="CX329" s="517">
        <f t="shared" si="11"/>
        <v>0</v>
      </c>
      <c r="DB329" s="85">
        <f t="shared" si="12"/>
        <v>0.23300000000000001</v>
      </c>
    </row>
    <row r="330" spans="1:106" ht="13">
      <c r="A330" s="1">
        <v>5414</v>
      </c>
      <c r="B330" s="2" t="s">
        <v>222</v>
      </c>
      <c r="C330" s="289"/>
      <c r="D330" s="290">
        <v>13</v>
      </c>
      <c r="E330" s="290">
        <v>31</v>
      </c>
      <c r="F330" s="290">
        <v>103</v>
      </c>
      <c r="G330" s="290">
        <v>97</v>
      </c>
      <c r="H330" s="290">
        <v>574</v>
      </c>
      <c r="I330" s="290">
        <v>161</v>
      </c>
      <c r="J330" s="290">
        <v>72</v>
      </c>
      <c r="K330" s="290">
        <v>20</v>
      </c>
      <c r="L330" s="290">
        <v>8</v>
      </c>
      <c r="M330" s="290">
        <v>136</v>
      </c>
      <c r="N330" s="290">
        <v>29</v>
      </c>
      <c r="O330" s="290">
        <v>11</v>
      </c>
      <c r="P330" s="624">
        <v>9078.3293333300007</v>
      </c>
      <c r="Q330" s="624">
        <v>5088.58066667</v>
      </c>
      <c r="R330" s="624">
        <v>7</v>
      </c>
      <c r="S330" s="290"/>
      <c r="T330" s="290">
        <v>137</v>
      </c>
      <c r="U330" s="958">
        <v>7.4843046597623331E-4</v>
      </c>
      <c r="V330" s="290">
        <v>-5457.0273390499997</v>
      </c>
      <c r="W330" s="765">
        <v>1</v>
      </c>
      <c r="X330" s="290">
        <v>520</v>
      </c>
      <c r="Y330" s="290"/>
      <c r="Z330" s="290">
        <f>+innut23!E336</f>
        <v>32065.233237860553</v>
      </c>
      <c r="AA330" s="290">
        <v>0</v>
      </c>
      <c r="AB330" s="290">
        <v>37</v>
      </c>
      <c r="AC330" s="290">
        <v>0</v>
      </c>
      <c r="AD330" s="290"/>
      <c r="AE330" s="290">
        <v>0</v>
      </c>
      <c r="AF330" s="290">
        <v>0</v>
      </c>
      <c r="AG330" s="290">
        <v>1071</v>
      </c>
      <c r="AH330" s="290">
        <v>163</v>
      </c>
      <c r="AI330" s="290"/>
      <c r="AJ330" s="290"/>
      <c r="AK330" s="290">
        <v>0</v>
      </c>
      <c r="AL330" s="290">
        <v>3961</v>
      </c>
      <c r="AM330" s="957">
        <v>3.9619179999999997E-2</v>
      </c>
      <c r="AN330" s="290">
        <v>0</v>
      </c>
      <c r="AO330" s="290">
        <v>673.27268218999995</v>
      </c>
      <c r="AP330" s="290">
        <v>0</v>
      </c>
      <c r="AQ330" s="290">
        <v>0</v>
      </c>
      <c r="AR330" s="290">
        <v>-43.952346749999997</v>
      </c>
      <c r="AS330" s="290">
        <v>1753</v>
      </c>
      <c r="AT330" s="290">
        <v>54</v>
      </c>
      <c r="AU330" s="290">
        <v>14</v>
      </c>
      <c r="AV330" s="766">
        <v>58650</v>
      </c>
      <c r="AW330" s="290">
        <v>0</v>
      </c>
      <c r="AX330" s="766">
        <v>3</v>
      </c>
      <c r="AY330" s="290">
        <v>186</v>
      </c>
      <c r="AZ330" s="290">
        <v>60</v>
      </c>
      <c r="BA330" s="290">
        <v>14</v>
      </c>
      <c r="BB330" s="290">
        <v>6257</v>
      </c>
      <c r="BC330" s="290">
        <v>667</v>
      </c>
      <c r="BD330" s="290"/>
      <c r="BE330" s="290">
        <v>63124.229254350001</v>
      </c>
      <c r="BF330" s="290">
        <v>0</v>
      </c>
      <c r="BG330" s="290">
        <v>0</v>
      </c>
      <c r="BH330" s="290">
        <v>-183</v>
      </c>
      <c r="BI330" s="290">
        <v>682</v>
      </c>
      <c r="BJ330" s="290">
        <v>148.72845540720945</v>
      </c>
      <c r="BK330" s="290">
        <v>2</v>
      </c>
      <c r="BL330" s="290"/>
      <c r="BM330" s="290">
        <v>0</v>
      </c>
      <c r="BN330" s="290">
        <v>519</v>
      </c>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f>+innut23!E336+innut23!S336</f>
        <v>32065.233237860553</v>
      </c>
      <c r="CL330" s="290"/>
      <c r="CM330" s="290">
        <v>0</v>
      </c>
      <c r="CN330" s="290">
        <v>0</v>
      </c>
      <c r="CO330" s="290"/>
      <c r="CP330" s="290"/>
      <c r="CQ330" s="290"/>
      <c r="CX330" s="517">
        <f t="shared" si="11"/>
        <v>0</v>
      </c>
      <c r="DB330" s="85">
        <f t="shared" si="12"/>
        <v>0.19600000000000001</v>
      </c>
    </row>
    <row r="331" spans="1:106" ht="13">
      <c r="A331" s="1">
        <v>5415</v>
      </c>
      <c r="B331" s="2" t="s">
        <v>223</v>
      </c>
      <c r="C331" s="289"/>
      <c r="D331" s="290">
        <v>14</v>
      </c>
      <c r="E331" s="290">
        <v>29</v>
      </c>
      <c r="F331" s="290">
        <v>132</v>
      </c>
      <c r="G331" s="290">
        <v>81</v>
      </c>
      <c r="H331" s="290">
        <v>491</v>
      </c>
      <c r="I331" s="290">
        <v>146</v>
      </c>
      <c r="J331" s="290">
        <v>64</v>
      </c>
      <c r="K331" s="290">
        <v>18</v>
      </c>
      <c r="L331" s="290">
        <v>7</v>
      </c>
      <c r="M331" s="290">
        <v>109</v>
      </c>
      <c r="N331" s="290">
        <v>31</v>
      </c>
      <c r="O331" s="290">
        <v>16</v>
      </c>
      <c r="P331" s="624">
        <v>3217.1869999999999</v>
      </c>
      <c r="Q331" s="624">
        <v>4023.5430000000001</v>
      </c>
      <c r="R331" s="624">
        <v>7</v>
      </c>
      <c r="S331" s="290"/>
      <c r="T331" s="290">
        <v>75</v>
      </c>
      <c r="U331" s="958">
        <v>6.7657701758400916E-4</v>
      </c>
      <c r="V331" s="290">
        <v>746.03498405000005</v>
      </c>
      <c r="W331" s="765">
        <v>1</v>
      </c>
      <c r="X331" s="290">
        <v>550</v>
      </c>
      <c r="Y331" s="290"/>
      <c r="Z331" s="290">
        <f>+innut23!E337</f>
        <v>22883.518767420799</v>
      </c>
      <c r="AA331" s="290">
        <v>0</v>
      </c>
      <c r="AB331" s="290">
        <v>30</v>
      </c>
      <c r="AC331" s="290">
        <v>778</v>
      </c>
      <c r="AD331" s="290"/>
      <c r="AE331" s="290">
        <v>0</v>
      </c>
      <c r="AF331" s="290">
        <v>0</v>
      </c>
      <c r="AG331" s="290">
        <v>975</v>
      </c>
      <c r="AH331" s="290">
        <v>179</v>
      </c>
      <c r="AI331" s="290"/>
      <c r="AJ331" s="290"/>
      <c r="AK331" s="290">
        <v>0</v>
      </c>
      <c r="AL331" s="290">
        <v>3591</v>
      </c>
      <c r="AM331" s="957">
        <v>2.6715909999999999E-2</v>
      </c>
      <c r="AN331" s="290">
        <v>0</v>
      </c>
      <c r="AO331" s="290">
        <v>664.04470971000001</v>
      </c>
      <c r="AP331" s="290">
        <v>0</v>
      </c>
      <c r="AQ331" s="290">
        <v>0</v>
      </c>
      <c r="AR331" s="290">
        <v>-40.012640599999997</v>
      </c>
      <c r="AS331" s="290">
        <v>1605</v>
      </c>
      <c r="AT331" s="290">
        <v>49</v>
      </c>
      <c r="AU331" s="290">
        <v>9</v>
      </c>
      <c r="AV331" s="766">
        <v>65338</v>
      </c>
      <c r="AW331" s="290">
        <v>0</v>
      </c>
      <c r="AX331" s="766">
        <v>7.6666999999999996</v>
      </c>
      <c r="AY331" s="290">
        <v>172</v>
      </c>
      <c r="AZ331" s="290">
        <v>57</v>
      </c>
      <c r="BA331" s="290">
        <v>38</v>
      </c>
      <c r="BB331" s="290">
        <v>6257</v>
      </c>
      <c r="BC331" s="290">
        <v>1233</v>
      </c>
      <c r="BD331" s="290"/>
      <c r="BE331" s="290">
        <v>71826.316145510005</v>
      </c>
      <c r="BF331" s="290">
        <v>0</v>
      </c>
      <c r="BG331" s="290">
        <v>0</v>
      </c>
      <c r="BH331" s="290">
        <v>-169</v>
      </c>
      <c r="BI331" s="290">
        <v>1476</v>
      </c>
      <c r="BJ331" s="290">
        <v>174.78521892493896</v>
      </c>
      <c r="BK331" s="290">
        <v>2</v>
      </c>
      <c r="BL331" s="290"/>
      <c r="BM331" s="290">
        <v>0</v>
      </c>
      <c r="BN331" s="290">
        <v>519</v>
      </c>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f>+innut23!E337+innut23!S337</f>
        <v>22883.518767420799</v>
      </c>
      <c r="CL331" s="290"/>
      <c r="CM331" s="290">
        <v>0</v>
      </c>
      <c r="CN331" s="290">
        <v>0</v>
      </c>
      <c r="CO331" s="290"/>
      <c r="CP331" s="290"/>
      <c r="CQ331" s="290"/>
      <c r="CX331" s="517">
        <f t="shared" si="11"/>
        <v>0</v>
      </c>
      <c r="DB331" s="85">
        <f t="shared" si="12"/>
        <v>0.17899999999999999</v>
      </c>
    </row>
    <row r="332" spans="1:106" ht="13">
      <c r="A332" s="1">
        <v>5416</v>
      </c>
      <c r="B332" s="2" t="s">
        <v>224</v>
      </c>
      <c r="C332" s="289"/>
      <c r="D332" s="290">
        <v>70</v>
      </c>
      <c r="E332" s="290">
        <v>158</v>
      </c>
      <c r="F332" s="290">
        <v>448</v>
      </c>
      <c r="G332" s="290">
        <v>403</v>
      </c>
      <c r="H332" s="290">
        <v>2140</v>
      </c>
      <c r="I332" s="290">
        <v>545</v>
      </c>
      <c r="J332" s="290">
        <v>179</v>
      </c>
      <c r="K332" s="290">
        <v>38</v>
      </c>
      <c r="L332" s="290">
        <v>32</v>
      </c>
      <c r="M332" s="290">
        <v>322</v>
      </c>
      <c r="N332" s="290">
        <v>66</v>
      </c>
      <c r="O332" s="290">
        <v>27</v>
      </c>
      <c r="P332" s="624">
        <v>22953.17333333</v>
      </c>
      <c r="Q332" s="624">
        <v>11363.86933333</v>
      </c>
      <c r="R332" s="624">
        <v>16</v>
      </c>
      <c r="S332" s="290"/>
      <c r="T332" s="290">
        <v>285</v>
      </c>
      <c r="U332" s="958">
        <v>1.4610032809110498E-3</v>
      </c>
      <c r="V332" s="290">
        <v>2424.8577989300002</v>
      </c>
      <c r="W332" s="765">
        <v>0.79014748000000001</v>
      </c>
      <c r="X332" s="290">
        <v>400</v>
      </c>
      <c r="Y332" s="290"/>
      <c r="Z332" s="290">
        <f>+innut23!E338</f>
        <v>142233.58432614006</v>
      </c>
      <c r="AA332" s="290">
        <v>0</v>
      </c>
      <c r="AB332" s="290">
        <v>50</v>
      </c>
      <c r="AC332" s="290">
        <v>438</v>
      </c>
      <c r="AD332" s="290"/>
      <c r="AE332" s="290">
        <v>0</v>
      </c>
      <c r="AF332" s="290">
        <v>0</v>
      </c>
      <c r="AG332" s="290">
        <v>3981</v>
      </c>
      <c r="AH332" s="290">
        <v>687</v>
      </c>
      <c r="AI332" s="290"/>
      <c r="AJ332" s="290"/>
      <c r="AK332" s="290">
        <v>0</v>
      </c>
      <c r="AL332" s="290">
        <v>14782</v>
      </c>
      <c r="AM332" s="957">
        <v>1.7604439999999999E-2</v>
      </c>
      <c r="AN332" s="290">
        <v>0</v>
      </c>
      <c r="AO332" s="290">
        <v>1874.44518917</v>
      </c>
      <c r="AP332" s="290">
        <v>0</v>
      </c>
      <c r="AQ332" s="290">
        <v>0</v>
      </c>
      <c r="AR332" s="290">
        <v>-163.37468945000001</v>
      </c>
      <c r="AS332" s="290">
        <v>5557</v>
      </c>
      <c r="AT332" s="290">
        <v>123</v>
      </c>
      <c r="AU332" s="290">
        <v>14</v>
      </c>
      <c r="AV332" s="766">
        <v>130978</v>
      </c>
      <c r="AW332" s="290">
        <v>0</v>
      </c>
      <c r="AX332" s="766">
        <v>26.166699999999999</v>
      </c>
      <c r="AY332" s="290">
        <v>968</v>
      </c>
      <c r="AZ332" s="290">
        <v>163</v>
      </c>
      <c r="BA332" s="290">
        <v>54</v>
      </c>
      <c r="BB332" s="290">
        <v>0</v>
      </c>
      <c r="BC332" s="290">
        <v>2990</v>
      </c>
      <c r="BD332" s="290"/>
      <c r="BE332" s="290">
        <v>145191.62048391</v>
      </c>
      <c r="BF332" s="290">
        <v>0</v>
      </c>
      <c r="BG332" s="290">
        <v>0</v>
      </c>
      <c r="BH332" s="290">
        <v>-669</v>
      </c>
      <c r="BI332" s="290">
        <v>3199</v>
      </c>
      <c r="BJ332" s="290">
        <v>506.63093398372672</v>
      </c>
      <c r="BK332" s="290">
        <v>5</v>
      </c>
      <c r="BL332" s="290"/>
      <c r="BM332" s="290">
        <v>0</v>
      </c>
      <c r="BN332" s="290">
        <v>2074</v>
      </c>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f>+innut23!E338+innut23!S338</f>
        <v>142233.58432614006</v>
      </c>
      <c r="CL332" s="290"/>
      <c r="CM332" s="290">
        <v>0</v>
      </c>
      <c r="CN332" s="290">
        <v>0</v>
      </c>
      <c r="CO332" s="290"/>
      <c r="CP332" s="290"/>
      <c r="CQ332" s="290"/>
      <c r="CX332" s="517">
        <f t="shared" si="11"/>
        <v>0</v>
      </c>
      <c r="DB332" s="85">
        <f t="shared" si="12"/>
        <v>0.73</v>
      </c>
    </row>
    <row r="333" spans="1:106" ht="13">
      <c r="A333" s="1">
        <v>5417</v>
      </c>
      <c r="B333" s="2" t="s">
        <v>225</v>
      </c>
      <c r="C333" s="289"/>
      <c r="D333" s="290">
        <v>26</v>
      </c>
      <c r="E333" s="290">
        <v>66</v>
      </c>
      <c r="F333" s="290">
        <v>219</v>
      </c>
      <c r="G333" s="290">
        <v>191</v>
      </c>
      <c r="H333" s="290">
        <v>1102</v>
      </c>
      <c r="I333" s="290">
        <v>356</v>
      </c>
      <c r="J333" s="290">
        <v>105</v>
      </c>
      <c r="K333" s="290">
        <v>20</v>
      </c>
      <c r="L333" s="290">
        <v>16</v>
      </c>
      <c r="M333" s="290">
        <v>243</v>
      </c>
      <c r="N333" s="290">
        <v>50</v>
      </c>
      <c r="O333" s="290">
        <v>30</v>
      </c>
      <c r="P333" s="624">
        <v>10262.564333329999</v>
      </c>
      <c r="Q333" s="624">
        <v>6096.61</v>
      </c>
      <c r="R333" s="624">
        <v>12</v>
      </c>
      <c r="S333" s="290"/>
      <c r="T333" s="290">
        <v>202</v>
      </c>
      <c r="U333" s="958">
        <v>1.0320128029273558E-3</v>
      </c>
      <c r="V333" s="290">
        <v>1419.6936410999999</v>
      </c>
      <c r="W333" s="765">
        <v>0.89696096999999997</v>
      </c>
      <c r="X333" s="290">
        <v>390</v>
      </c>
      <c r="Y333" s="290"/>
      <c r="Z333" s="290">
        <f>+innut23!E339</f>
        <v>61608.257518784711</v>
      </c>
      <c r="AA333" s="290">
        <v>0</v>
      </c>
      <c r="AB333" s="290">
        <v>69</v>
      </c>
      <c r="AC333" s="290">
        <v>883</v>
      </c>
      <c r="AD333" s="290"/>
      <c r="AE333" s="290">
        <v>0</v>
      </c>
      <c r="AF333" s="290">
        <v>0</v>
      </c>
      <c r="AG333" s="290">
        <v>2085</v>
      </c>
      <c r="AH333" s="290">
        <v>333</v>
      </c>
      <c r="AI333" s="290"/>
      <c r="AJ333" s="290"/>
      <c r="AK333" s="290">
        <v>0</v>
      </c>
      <c r="AL333" s="290">
        <v>7726</v>
      </c>
      <c r="AM333" s="957">
        <v>3.8798600000000003E-2</v>
      </c>
      <c r="AN333" s="290">
        <v>0</v>
      </c>
      <c r="AO333" s="290">
        <v>1097.44081357</v>
      </c>
      <c r="AP333" s="290">
        <v>0</v>
      </c>
      <c r="AQ333" s="290">
        <v>0</v>
      </c>
      <c r="AR333" s="290">
        <v>-85.565492969999994</v>
      </c>
      <c r="AS333" s="290">
        <v>3323</v>
      </c>
      <c r="AT333" s="290">
        <v>86</v>
      </c>
      <c r="AU333" s="290">
        <v>15</v>
      </c>
      <c r="AV333" s="766">
        <v>87787</v>
      </c>
      <c r="AW333" s="290">
        <v>0</v>
      </c>
      <c r="AX333" s="766">
        <v>14.666650000000001</v>
      </c>
      <c r="AY333" s="290">
        <v>469</v>
      </c>
      <c r="AZ333" s="290">
        <v>131</v>
      </c>
      <c r="BA333" s="290">
        <v>31</v>
      </c>
      <c r="BB333" s="290">
        <v>6257</v>
      </c>
      <c r="BC333" s="290">
        <v>1442</v>
      </c>
      <c r="BD333" s="290"/>
      <c r="BE333" s="290">
        <v>98900.993226470004</v>
      </c>
      <c r="BF333" s="290">
        <v>0</v>
      </c>
      <c r="BG333" s="290">
        <v>0</v>
      </c>
      <c r="BH333" s="290">
        <v>-352</v>
      </c>
      <c r="BI333" s="290">
        <v>1735</v>
      </c>
      <c r="BJ333" s="290">
        <v>270.06088683520301</v>
      </c>
      <c r="BK333" s="290">
        <v>4</v>
      </c>
      <c r="BL333" s="290"/>
      <c r="BM333" s="290">
        <v>0</v>
      </c>
      <c r="BN333" s="290">
        <v>519</v>
      </c>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f>+innut23!E339+innut23!S339</f>
        <v>61608.257518784711</v>
      </c>
      <c r="CL333" s="290"/>
      <c r="CM333" s="290">
        <v>0</v>
      </c>
      <c r="CN333" s="290">
        <v>0</v>
      </c>
      <c r="CO333" s="290"/>
      <c r="CP333" s="290"/>
      <c r="CQ333" s="290"/>
      <c r="CX333" s="517">
        <f t="shared" si="11"/>
        <v>0</v>
      </c>
      <c r="DB333" s="85">
        <f t="shared" si="12"/>
        <v>0.38200000000000001</v>
      </c>
    </row>
    <row r="334" spans="1:106" ht="13">
      <c r="A334" s="1">
        <v>5418</v>
      </c>
      <c r="B334" s="2" t="s">
        <v>226</v>
      </c>
      <c r="C334" s="289"/>
      <c r="D334" s="290">
        <v>124</v>
      </c>
      <c r="E334" s="290">
        <v>232</v>
      </c>
      <c r="F334" s="290">
        <v>764</v>
      </c>
      <c r="G334" s="290">
        <v>622</v>
      </c>
      <c r="H334" s="290">
        <v>3760</v>
      </c>
      <c r="I334" s="290">
        <v>862</v>
      </c>
      <c r="J334" s="290">
        <v>312</v>
      </c>
      <c r="K334" s="290">
        <v>71</v>
      </c>
      <c r="L334" s="290">
        <v>51</v>
      </c>
      <c r="M334" s="290">
        <v>568</v>
      </c>
      <c r="N334" s="290">
        <v>76</v>
      </c>
      <c r="O334" s="290">
        <v>39</v>
      </c>
      <c r="P334" s="624">
        <v>77481.047333330003</v>
      </c>
      <c r="Q334" s="624">
        <v>34386.778666669998</v>
      </c>
      <c r="R334" s="624">
        <v>33</v>
      </c>
      <c r="S334" s="290"/>
      <c r="T334" s="290">
        <v>544</v>
      </c>
      <c r="U334" s="958">
        <v>2.8499114604542785E-3</v>
      </c>
      <c r="V334" s="290">
        <v>72.694345190000007</v>
      </c>
      <c r="W334" s="765">
        <v>0.82765865999999999</v>
      </c>
      <c r="X334" s="290">
        <v>1010</v>
      </c>
      <c r="Y334" s="290"/>
      <c r="Z334" s="290">
        <f>+innut23!E340</f>
        <v>218011.35604089085</v>
      </c>
      <c r="AA334" s="290">
        <v>0</v>
      </c>
      <c r="AB334" s="290">
        <v>160</v>
      </c>
      <c r="AC334" s="290">
        <v>1753</v>
      </c>
      <c r="AD334" s="290"/>
      <c r="AE334" s="290">
        <v>0</v>
      </c>
      <c r="AF334" s="290">
        <v>0</v>
      </c>
      <c r="AG334" s="290">
        <v>6747</v>
      </c>
      <c r="AH334" s="290">
        <v>1149</v>
      </c>
      <c r="AI334" s="290"/>
      <c r="AJ334" s="290"/>
      <c r="AK334" s="290">
        <v>0</v>
      </c>
      <c r="AL334" s="290">
        <v>24429</v>
      </c>
      <c r="AM334" s="957">
        <v>5.8490449999999999E-2</v>
      </c>
      <c r="AN334" s="290">
        <v>0</v>
      </c>
      <c r="AO334" s="290">
        <v>3200.8081457799999</v>
      </c>
      <c r="AP334" s="290">
        <v>0</v>
      </c>
      <c r="AQ334" s="290">
        <v>0</v>
      </c>
      <c r="AR334" s="290">
        <v>-276.88747293</v>
      </c>
      <c r="AS334" s="290">
        <v>10555</v>
      </c>
      <c r="AT334" s="290">
        <v>264</v>
      </c>
      <c r="AU334" s="290">
        <v>48</v>
      </c>
      <c r="AV334" s="766">
        <v>215346</v>
      </c>
      <c r="AW334" s="290">
        <v>0</v>
      </c>
      <c r="AX334" s="766">
        <v>49.749949999999998</v>
      </c>
      <c r="AY334" s="290">
        <v>1436</v>
      </c>
      <c r="AZ334" s="290">
        <v>201</v>
      </c>
      <c r="BA334" s="290">
        <v>120</v>
      </c>
      <c r="BB334" s="290">
        <v>0</v>
      </c>
      <c r="BC334" s="290">
        <v>5809</v>
      </c>
      <c r="BD334" s="290"/>
      <c r="BE334" s="290">
        <v>246217.92967106</v>
      </c>
      <c r="BF334" s="290">
        <v>0</v>
      </c>
      <c r="BG334" s="290">
        <v>0</v>
      </c>
      <c r="BH334" s="290">
        <v>-1112</v>
      </c>
      <c r="BI334" s="290">
        <v>6532</v>
      </c>
      <c r="BJ334" s="290">
        <v>885.96894196918583</v>
      </c>
      <c r="BK334" s="290">
        <v>9</v>
      </c>
      <c r="BL334" s="290"/>
      <c r="BM334" s="290">
        <v>0</v>
      </c>
      <c r="BN334" s="290">
        <v>3630</v>
      </c>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f>+innut23!E340+innut23!S340</f>
        <v>218011.35604089085</v>
      </c>
      <c r="CL334" s="290"/>
      <c r="CM334" s="290">
        <v>0</v>
      </c>
      <c r="CN334" s="290">
        <v>0</v>
      </c>
      <c r="CO334" s="290"/>
      <c r="CP334" s="290"/>
      <c r="CQ334" s="290"/>
      <c r="CX334" s="517">
        <f t="shared" si="11"/>
        <v>0</v>
      </c>
      <c r="DB334" s="85">
        <f t="shared" si="12"/>
        <v>1.2370000000000001</v>
      </c>
    </row>
    <row r="335" spans="1:106" ht="13">
      <c r="A335" s="1">
        <v>5419</v>
      </c>
      <c r="B335" s="2" t="s">
        <v>227</v>
      </c>
      <c r="C335" s="289"/>
      <c r="D335" s="290">
        <v>50</v>
      </c>
      <c r="E335" s="290">
        <v>118</v>
      </c>
      <c r="F335" s="290">
        <v>382</v>
      </c>
      <c r="G335" s="290">
        <v>305</v>
      </c>
      <c r="H335" s="290">
        <v>1870</v>
      </c>
      <c r="I335" s="290">
        <v>472</v>
      </c>
      <c r="J335" s="290">
        <v>162</v>
      </c>
      <c r="K335" s="290">
        <v>32</v>
      </c>
      <c r="L335" s="290">
        <v>26</v>
      </c>
      <c r="M335" s="290">
        <v>319</v>
      </c>
      <c r="N335" s="290">
        <v>32</v>
      </c>
      <c r="O335" s="290">
        <v>22</v>
      </c>
      <c r="P335" s="624">
        <v>14070.185333330001</v>
      </c>
      <c r="Q335" s="624">
        <v>9833.6406666700004</v>
      </c>
      <c r="R335" s="624">
        <v>11</v>
      </c>
      <c r="S335" s="290"/>
      <c r="T335" s="290">
        <v>283</v>
      </c>
      <c r="U335" s="958">
        <v>9.2197091581759183E-4</v>
      </c>
      <c r="V335" s="290">
        <v>921.18835039999999</v>
      </c>
      <c r="W335" s="765">
        <v>0.71456087999999995</v>
      </c>
      <c r="X335" s="290">
        <v>440</v>
      </c>
      <c r="Y335" s="290"/>
      <c r="Z335" s="290">
        <f>+innut23!E341</f>
        <v>101676.13617586107</v>
      </c>
      <c r="AA335" s="290">
        <v>0</v>
      </c>
      <c r="AB335" s="290">
        <v>81</v>
      </c>
      <c r="AC335" s="290">
        <v>188</v>
      </c>
      <c r="AD335" s="290"/>
      <c r="AE335" s="290">
        <v>0</v>
      </c>
      <c r="AF335" s="290">
        <v>0</v>
      </c>
      <c r="AG335" s="290">
        <v>3391</v>
      </c>
      <c r="AH335" s="290">
        <v>573</v>
      </c>
      <c r="AI335" s="290"/>
      <c r="AJ335" s="290"/>
      <c r="AK335" s="290">
        <v>0</v>
      </c>
      <c r="AL335" s="290">
        <v>12639</v>
      </c>
      <c r="AM335" s="957">
        <v>6.137861E-2</v>
      </c>
      <c r="AN335" s="290">
        <v>0</v>
      </c>
      <c r="AO335" s="290">
        <v>1585.59406543</v>
      </c>
      <c r="AP335" s="290">
        <v>0</v>
      </c>
      <c r="AQ335" s="290">
        <v>0</v>
      </c>
      <c r="AR335" s="290">
        <v>-139.16191205999999</v>
      </c>
      <c r="AS335" s="290">
        <v>5544</v>
      </c>
      <c r="AT335" s="290">
        <v>138</v>
      </c>
      <c r="AU335" s="290">
        <v>36</v>
      </c>
      <c r="AV335" s="766">
        <v>108014</v>
      </c>
      <c r="AW335" s="290">
        <v>0</v>
      </c>
      <c r="AX335" s="766">
        <v>22.25</v>
      </c>
      <c r="AY335" s="290">
        <v>692</v>
      </c>
      <c r="AZ335" s="290">
        <v>144</v>
      </c>
      <c r="BA335" s="290">
        <v>60</v>
      </c>
      <c r="BB335" s="290">
        <v>0</v>
      </c>
      <c r="BC335" s="290">
        <v>2201</v>
      </c>
      <c r="BD335" s="290"/>
      <c r="BE335" s="290">
        <v>120718.82535427999</v>
      </c>
      <c r="BF335" s="290">
        <v>0</v>
      </c>
      <c r="BG335" s="290">
        <v>0</v>
      </c>
      <c r="BH335" s="290">
        <v>-576</v>
      </c>
      <c r="BI335" s="290">
        <v>2317</v>
      </c>
      <c r="BJ335" s="290">
        <v>429.88417340684811</v>
      </c>
      <c r="BK335" s="290">
        <v>5</v>
      </c>
      <c r="BL335" s="290"/>
      <c r="BM335" s="290">
        <v>0</v>
      </c>
      <c r="BN335" s="290">
        <v>1556</v>
      </c>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f>+innut23!E341+innut23!S341</f>
        <v>101676.13617586107</v>
      </c>
      <c r="CL335" s="290"/>
      <c r="CM335" s="290">
        <v>0</v>
      </c>
      <c r="CN335" s="290">
        <v>0</v>
      </c>
      <c r="CO335" s="290"/>
      <c r="CP335" s="290"/>
      <c r="CQ335" s="290"/>
      <c r="CX335" s="517">
        <f t="shared" si="11"/>
        <v>0</v>
      </c>
      <c r="DB335" s="85">
        <f t="shared" si="12"/>
        <v>0.622</v>
      </c>
    </row>
    <row r="336" spans="1:106" ht="13">
      <c r="A336" s="1">
        <v>5420</v>
      </c>
      <c r="B336" s="2" t="s">
        <v>228</v>
      </c>
      <c r="C336" s="289"/>
      <c r="D336" s="290">
        <v>12</v>
      </c>
      <c r="E336" s="290">
        <v>22</v>
      </c>
      <c r="F336" s="290">
        <v>99</v>
      </c>
      <c r="G336" s="290">
        <v>93</v>
      </c>
      <c r="H336" s="290">
        <v>553</v>
      </c>
      <c r="I336" s="290">
        <v>215</v>
      </c>
      <c r="J336" s="290">
        <v>55</v>
      </c>
      <c r="K336" s="290">
        <v>10</v>
      </c>
      <c r="L336" s="290">
        <v>10</v>
      </c>
      <c r="M336" s="290">
        <v>157</v>
      </c>
      <c r="N336" s="290">
        <v>7</v>
      </c>
      <c r="O336" s="290">
        <v>10</v>
      </c>
      <c r="P336" s="624">
        <v>5328.9586666699997</v>
      </c>
      <c r="Q336" s="624">
        <v>6410.3149999999996</v>
      </c>
      <c r="R336" s="624">
        <v>8</v>
      </c>
      <c r="S336" s="290"/>
      <c r="T336" s="290">
        <v>90</v>
      </c>
      <c r="U336" s="958">
        <v>9.0835598128018451E-4</v>
      </c>
      <c r="V336" s="290">
        <v>822.71492847000002</v>
      </c>
      <c r="W336" s="765">
        <v>0.99782093000000005</v>
      </c>
      <c r="X336" s="290">
        <v>620</v>
      </c>
      <c r="Y336" s="290"/>
      <c r="Z336" s="290">
        <f>+innut23!E342</f>
        <v>28260.345588817461</v>
      </c>
      <c r="AA336" s="290">
        <v>0</v>
      </c>
      <c r="AB336" s="290">
        <v>33</v>
      </c>
      <c r="AC336" s="290">
        <v>0</v>
      </c>
      <c r="AD336" s="290"/>
      <c r="AE336" s="290">
        <v>0</v>
      </c>
      <c r="AF336" s="290">
        <v>0</v>
      </c>
      <c r="AG336" s="290">
        <v>1059</v>
      </c>
      <c r="AH336" s="290">
        <v>145</v>
      </c>
      <c r="AI336" s="290"/>
      <c r="AJ336" s="290"/>
      <c r="AK336" s="290">
        <v>0</v>
      </c>
      <c r="AL336" s="290">
        <v>3954</v>
      </c>
      <c r="AM336" s="957">
        <v>2.0093389999999999E-2</v>
      </c>
      <c r="AN336" s="290">
        <v>0</v>
      </c>
      <c r="AO336" s="290">
        <v>635.96885573999998</v>
      </c>
      <c r="AP336" s="290">
        <v>0</v>
      </c>
      <c r="AQ336" s="290">
        <v>0</v>
      </c>
      <c r="AR336" s="290">
        <v>2963.7547057500001</v>
      </c>
      <c r="AS336" s="290">
        <v>1685</v>
      </c>
      <c r="AT336" s="290">
        <v>43</v>
      </c>
      <c r="AU336" s="290">
        <v>13</v>
      </c>
      <c r="AV336" s="766">
        <v>64152</v>
      </c>
      <c r="AW336" s="290">
        <v>0</v>
      </c>
      <c r="AX336" s="766">
        <v>3.6667000000000001</v>
      </c>
      <c r="AY336" s="290">
        <v>189</v>
      </c>
      <c r="AZ336" s="290">
        <v>41</v>
      </c>
      <c r="BA336" s="290">
        <v>16</v>
      </c>
      <c r="BB336" s="290">
        <v>6257</v>
      </c>
      <c r="BC336" s="290">
        <v>643</v>
      </c>
      <c r="BD336" s="290"/>
      <c r="BE336" s="290">
        <v>64665.260914159997</v>
      </c>
      <c r="BF336" s="290">
        <v>0</v>
      </c>
      <c r="BG336" s="290">
        <v>0</v>
      </c>
      <c r="BH336" s="290">
        <v>-180</v>
      </c>
      <c r="BI336" s="290">
        <v>664</v>
      </c>
      <c r="BJ336" s="290">
        <v>143.81805611078468</v>
      </c>
      <c r="BK336" s="290">
        <v>2</v>
      </c>
      <c r="BL336" s="290"/>
      <c r="BM336" s="290">
        <v>0</v>
      </c>
      <c r="BN336" s="290">
        <v>519</v>
      </c>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f>+innut23!E342+innut23!S342</f>
        <v>28260.345588817461</v>
      </c>
      <c r="CL336" s="290"/>
      <c r="CM336" s="290">
        <v>0</v>
      </c>
      <c r="CN336" s="290">
        <v>0</v>
      </c>
      <c r="CO336" s="290"/>
      <c r="CP336" s="290"/>
      <c r="CQ336" s="290"/>
      <c r="CX336" s="517">
        <f t="shared" si="11"/>
        <v>0</v>
      </c>
      <c r="DB336" s="85">
        <f t="shared" si="12"/>
        <v>0.19400000000000001</v>
      </c>
    </row>
    <row r="337" spans="1:106" ht="13">
      <c r="A337" s="1">
        <v>5421</v>
      </c>
      <c r="B337" s="2" t="s">
        <v>1650</v>
      </c>
      <c r="C337" s="289"/>
      <c r="D337" s="290">
        <v>279</v>
      </c>
      <c r="E337" s="290">
        <v>556</v>
      </c>
      <c r="F337" s="290">
        <v>1731</v>
      </c>
      <c r="G337" s="290">
        <v>1324</v>
      </c>
      <c r="H337" s="290">
        <v>7980</v>
      </c>
      <c r="I337" s="290">
        <v>2099</v>
      </c>
      <c r="J337" s="290">
        <v>690</v>
      </c>
      <c r="K337" s="290">
        <v>140</v>
      </c>
      <c r="L337" s="290">
        <v>124</v>
      </c>
      <c r="M337" s="290">
        <v>1395</v>
      </c>
      <c r="N337" s="290">
        <v>337</v>
      </c>
      <c r="O337" s="290">
        <v>156</v>
      </c>
      <c r="P337" s="624">
        <v>256092.81433333</v>
      </c>
      <c r="Q337" s="624">
        <v>62382.08633333</v>
      </c>
      <c r="R337" s="624">
        <v>108</v>
      </c>
      <c r="S337" s="290"/>
      <c r="T337" s="290">
        <v>1366</v>
      </c>
      <c r="U337" s="958">
        <v>3.8937667109995603E-3</v>
      </c>
      <c r="V337" s="290">
        <v>-2429.2383589400001</v>
      </c>
      <c r="W337" s="765">
        <v>0.81460368000000005</v>
      </c>
      <c r="X337" s="290">
        <v>1730</v>
      </c>
      <c r="Y337" s="290"/>
      <c r="Z337" s="290">
        <f>+innut23!E343</f>
        <v>445482.93222824129</v>
      </c>
      <c r="AA337" s="290">
        <v>0</v>
      </c>
      <c r="AB337" s="290">
        <v>409</v>
      </c>
      <c r="AC337" s="290">
        <v>6983</v>
      </c>
      <c r="AD337" s="290"/>
      <c r="AE337" s="290">
        <v>0</v>
      </c>
      <c r="AF337" s="290">
        <v>68168</v>
      </c>
      <c r="AG337" s="290">
        <v>14799</v>
      </c>
      <c r="AH337" s="290">
        <v>2650</v>
      </c>
      <c r="AI337" s="290"/>
      <c r="AJ337" s="290"/>
      <c r="AK337" s="290">
        <v>219</v>
      </c>
      <c r="AL337" s="290">
        <v>54560</v>
      </c>
      <c r="AM337" s="957">
        <v>0.28493764999999999</v>
      </c>
      <c r="AN337" s="290">
        <v>0</v>
      </c>
      <c r="AO337" s="290">
        <v>7468.6617231800001</v>
      </c>
      <c r="AP337" s="290">
        <v>0</v>
      </c>
      <c r="AQ337" s="290">
        <v>0</v>
      </c>
      <c r="AR337" s="290">
        <v>-607.33032634999995</v>
      </c>
      <c r="AS337" s="290">
        <v>23935</v>
      </c>
      <c r="AT337" s="290">
        <v>686</v>
      </c>
      <c r="AU337" s="290">
        <v>130</v>
      </c>
      <c r="AV337" s="766">
        <v>609621</v>
      </c>
      <c r="AW337" s="290">
        <v>0</v>
      </c>
      <c r="AX337" s="766">
        <v>105.83335</v>
      </c>
      <c r="AY337" s="290">
        <v>2717</v>
      </c>
      <c r="AZ337" s="290">
        <v>694</v>
      </c>
      <c r="BA337" s="290">
        <v>356</v>
      </c>
      <c r="BB337" s="290">
        <v>0</v>
      </c>
      <c r="BC337" s="290">
        <v>80469</v>
      </c>
      <c r="BD337" s="290"/>
      <c r="BE337" s="290">
        <v>676273.04832281999</v>
      </c>
      <c r="BF337" s="290">
        <v>0</v>
      </c>
      <c r="BG337" s="290">
        <v>0</v>
      </c>
      <c r="BH337" s="290">
        <v>-2485</v>
      </c>
      <c r="BI337" s="290">
        <v>85279</v>
      </c>
      <c r="BJ337" s="290">
        <v>2027.9188816323872</v>
      </c>
      <c r="BK337" s="290">
        <v>24</v>
      </c>
      <c r="BL337" s="290"/>
      <c r="BM337" s="290">
        <v>4544</v>
      </c>
      <c r="BN337" s="290">
        <v>7259</v>
      </c>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f>+innut23!E343+innut23!S343</f>
        <v>445482.93222824129</v>
      </c>
      <c r="CL337" s="290"/>
      <c r="CM337" s="290">
        <v>204.60341839592638</v>
      </c>
      <c r="CN337" s="290">
        <v>189.0800682653354</v>
      </c>
      <c r="CO337" s="290"/>
      <c r="CP337" s="290"/>
      <c r="CQ337" s="290"/>
      <c r="CX337" s="517">
        <f t="shared" si="11"/>
        <v>0</v>
      </c>
      <c r="DB337" s="85">
        <f t="shared" si="12"/>
        <v>2.7130000000000001</v>
      </c>
    </row>
    <row r="338" spans="1:106" ht="13">
      <c r="A338" s="1">
        <v>5422</v>
      </c>
      <c r="B338" s="2" t="s">
        <v>233</v>
      </c>
      <c r="C338" s="289"/>
      <c r="D338" s="290">
        <v>86</v>
      </c>
      <c r="E338" s="290">
        <v>174</v>
      </c>
      <c r="F338" s="290">
        <v>554</v>
      </c>
      <c r="G338" s="290">
        <v>430</v>
      </c>
      <c r="H338" s="290">
        <v>3039</v>
      </c>
      <c r="I338" s="290">
        <v>851</v>
      </c>
      <c r="J338" s="290">
        <v>323</v>
      </c>
      <c r="K338" s="290">
        <v>59</v>
      </c>
      <c r="L338" s="290">
        <v>52</v>
      </c>
      <c r="M338" s="290">
        <v>636</v>
      </c>
      <c r="N338" s="290">
        <v>27</v>
      </c>
      <c r="O338" s="290">
        <v>41</v>
      </c>
      <c r="P338" s="624">
        <v>91616.217666669996</v>
      </c>
      <c r="Q338" s="624">
        <v>27658.902999999998</v>
      </c>
      <c r="R338" s="624">
        <v>34</v>
      </c>
      <c r="S338" s="290"/>
      <c r="T338" s="290">
        <v>567</v>
      </c>
      <c r="U338" s="958">
        <v>4.3328755628274634E-3</v>
      </c>
      <c r="V338" s="290">
        <v>2397.3796408200001</v>
      </c>
      <c r="W338" s="765">
        <v>0.94316898999999998</v>
      </c>
      <c r="X338" s="290">
        <v>580</v>
      </c>
      <c r="Y338" s="290"/>
      <c r="Z338" s="290">
        <f>+innut23!E344</f>
        <v>148508.14749622811</v>
      </c>
      <c r="AA338" s="290">
        <v>0</v>
      </c>
      <c r="AB338" s="290">
        <v>152</v>
      </c>
      <c r="AC338" s="290">
        <v>754</v>
      </c>
      <c r="AD338" s="290"/>
      <c r="AE338" s="290">
        <v>0</v>
      </c>
      <c r="AF338" s="290">
        <v>0</v>
      </c>
      <c r="AG338" s="290">
        <v>5516</v>
      </c>
      <c r="AH338" s="290">
        <v>848</v>
      </c>
      <c r="AI338" s="290"/>
      <c r="AJ338" s="290"/>
      <c r="AK338" s="290">
        <v>0</v>
      </c>
      <c r="AL338" s="290">
        <v>20642</v>
      </c>
      <c r="AM338" s="957">
        <v>8.2102099999999997E-2</v>
      </c>
      <c r="AN338" s="290">
        <v>0</v>
      </c>
      <c r="AO338" s="290">
        <v>2814.0586666600002</v>
      </c>
      <c r="AP338" s="290">
        <v>0</v>
      </c>
      <c r="AQ338" s="290">
        <v>0</v>
      </c>
      <c r="AR338" s="290">
        <v>-226.36894925999999</v>
      </c>
      <c r="AS338" s="290">
        <v>8834</v>
      </c>
      <c r="AT338" s="290">
        <v>254</v>
      </c>
      <c r="AU338" s="290">
        <v>50</v>
      </c>
      <c r="AV338" s="766">
        <v>207293</v>
      </c>
      <c r="AW338" s="290">
        <v>0</v>
      </c>
      <c r="AX338" s="766">
        <v>33.499949999999998</v>
      </c>
      <c r="AY338" s="290">
        <v>848</v>
      </c>
      <c r="AZ338" s="290">
        <v>201</v>
      </c>
      <c r="BA338" s="290">
        <v>112</v>
      </c>
      <c r="BB338" s="290">
        <v>0</v>
      </c>
      <c r="BC338" s="290">
        <v>3385</v>
      </c>
      <c r="BD338" s="290"/>
      <c r="BE338" s="290">
        <v>230052.42797645999</v>
      </c>
      <c r="BF338" s="290">
        <v>0</v>
      </c>
      <c r="BG338" s="290">
        <v>0</v>
      </c>
      <c r="BH338" s="290">
        <v>-940</v>
      </c>
      <c r="BI338" s="290">
        <v>3676</v>
      </c>
      <c r="BJ338" s="290">
        <v>681.59568229505896</v>
      </c>
      <c r="BK338" s="290">
        <v>8</v>
      </c>
      <c r="BL338" s="290"/>
      <c r="BM338" s="290">
        <v>0</v>
      </c>
      <c r="BN338" s="290">
        <v>2074</v>
      </c>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f>+innut23!E344+innut23!S344</f>
        <v>148508.14749622811</v>
      </c>
      <c r="CL338" s="290"/>
      <c r="CM338" s="290">
        <v>0</v>
      </c>
      <c r="CN338" s="290">
        <v>0</v>
      </c>
      <c r="CO338" s="290"/>
      <c r="CP338" s="290"/>
      <c r="CQ338" s="290"/>
      <c r="CX338" s="517">
        <f t="shared" si="11"/>
        <v>0</v>
      </c>
      <c r="DB338" s="85">
        <f t="shared" si="12"/>
        <v>1.0109999999999999</v>
      </c>
    </row>
    <row r="339" spans="1:106" ht="13">
      <c r="A339" s="1">
        <v>5423</v>
      </c>
      <c r="B339" s="2" t="s">
        <v>234</v>
      </c>
      <c r="C339" s="289"/>
      <c r="D339" s="290">
        <v>25</v>
      </c>
      <c r="E339" s="290">
        <v>63</v>
      </c>
      <c r="F339" s="290">
        <v>186</v>
      </c>
      <c r="G339" s="290">
        <v>138</v>
      </c>
      <c r="H339" s="290">
        <v>1182</v>
      </c>
      <c r="I339" s="290">
        <v>406</v>
      </c>
      <c r="J339" s="290">
        <v>141</v>
      </c>
      <c r="K339" s="290">
        <v>24</v>
      </c>
      <c r="L339" s="290">
        <v>20</v>
      </c>
      <c r="M339" s="290">
        <v>296</v>
      </c>
      <c r="N339" s="290">
        <v>11</v>
      </c>
      <c r="O339" s="290">
        <v>21</v>
      </c>
      <c r="P339" s="624">
        <v>61872.480000000003</v>
      </c>
      <c r="Q339" s="624">
        <v>15292.30866667</v>
      </c>
      <c r="R339" s="624">
        <v>14</v>
      </c>
      <c r="S339" s="290"/>
      <c r="T339" s="290">
        <v>236</v>
      </c>
      <c r="U339" s="958">
        <v>1.1701710551708508E-3</v>
      </c>
      <c r="V339" s="290">
        <v>-1343.99667206</v>
      </c>
      <c r="W339" s="765">
        <v>1</v>
      </c>
      <c r="X339" s="290">
        <v>410</v>
      </c>
      <c r="Y339" s="290"/>
      <c r="Z339" s="290">
        <f>+innut23!E345</f>
        <v>66686.017947705244</v>
      </c>
      <c r="AA339" s="290">
        <v>0</v>
      </c>
      <c r="AB339" s="290">
        <v>54</v>
      </c>
      <c r="AC339" s="290">
        <v>0</v>
      </c>
      <c r="AD339" s="290"/>
      <c r="AE339" s="290">
        <v>0</v>
      </c>
      <c r="AF339" s="290">
        <v>0</v>
      </c>
      <c r="AG339" s="290">
        <v>2165</v>
      </c>
      <c r="AH339" s="290">
        <v>276</v>
      </c>
      <c r="AI339" s="290"/>
      <c r="AJ339" s="290"/>
      <c r="AK339" s="290">
        <v>0</v>
      </c>
      <c r="AL339" s="290">
        <v>9505</v>
      </c>
      <c r="AM339" s="957">
        <v>3.5609210000000002E-2</v>
      </c>
      <c r="AN339" s="290">
        <v>0</v>
      </c>
      <c r="AO339" s="290">
        <v>1232.1843659900001</v>
      </c>
      <c r="AP339" s="290">
        <v>0</v>
      </c>
      <c r="AQ339" s="290">
        <v>0</v>
      </c>
      <c r="AR339" s="290">
        <v>-88.848581429999996</v>
      </c>
      <c r="AS339" s="290">
        <v>3505</v>
      </c>
      <c r="AT339" s="290">
        <v>93</v>
      </c>
      <c r="AU339" s="290">
        <v>18</v>
      </c>
      <c r="AV339" s="766">
        <v>109976</v>
      </c>
      <c r="AW339" s="290">
        <v>0</v>
      </c>
      <c r="AX339" s="766">
        <v>10.083299999999999</v>
      </c>
      <c r="AY339" s="290">
        <v>316</v>
      </c>
      <c r="AZ339" s="290">
        <v>101</v>
      </c>
      <c r="BA339" s="290">
        <v>38</v>
      </c>
      <c r="BB339" s="290">
        <v>13552</v>
      </c>
      <c r="BC339" s="290">
        <v>1270</v>
      </c>
      <c r="BD339" s="290"/>
      <c r="BE339" s="290">
        <v>122307.76103600999</v>
      </c>
      <c r="BF339" s="290">
        <v>0</v>
      </c>
      <c r="BG339" s="290">
        <v>1386</v>
      </c>
      <c r="BH339" s="290">
        <v>-366</v>
      </c>
      <c r="BI339" s="290">
        <v>2699</v>
      </c>
      <c r="BJ339" s="290">
        <v>277.91903403513504</v>
      </c>
      <c r="BK339" s="290">
        <v>3</v>
      </c>
      <c r="BL339" s="290"/>
      <c r="BM339" s="290">
        <v>0</v>
      </c>
      <c r="BN339" s="290">
        <v>1037</v>
      </c>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f>+innut23!E345+innut23!S345</f>
        <v>66686.017947705244</v>
      </c>
      <c r="CL339" s="290"/>
      <c r="CM339" s="290">
        <v>0</v>
      </c>
      <c r="CN339" s="290">
        <v>0</v>
      </c>
      <c r="CO339" s="290"/>
      <c r="CP339" s="290"/>
      <c r="CQ339" s="290"/>
      <c r="CX339" s="517">
        <f t="shared" si="11"/>
        <v>0</v>
      </c>
      <c r="DB339" s="85">
        <f t="shared" si="12"/>
        <v>0.39700000000000002</v>
      </c>
    </row>
    <row r="340" spans="1:106" ht="13">
      <c r="A340" s="1">
        <v>5424</v>
      </c>
      <c r="B340" s="2" t="s">
        <v>235</v>
      </c>
      <c r="C340" s="289"/>
      <c r="D340" s="290">
        <v>34</v>
      </c>
      <c r="E340" s="290">
        <v>73</v>
      </c>
      <c r="F340" s="290">
        <v>253</v>
      </c>
      <c r="G340" s="290">
        <v>229</v>
      </c>
      <c r="H340" s="290">
        <v>1377</v>
      </c>
      <c r="I340" s="290">
        <v>520</v>
      </c>
      <c r="J340" s="290">
        <v>178</v>
      </c>
      <c r="K340" s="290">
        <v>43</v>
      </c>
      <c r="L340" s="290">
        <v>20</v>
      </c>
      <c r="M340" s="290">
        <v>339</v>
      </c>
      <c r="N340" s="290">
        <v>3</v>
      </c>
      <c r="O340" s="290">
        <v>8</v>
      </c>
      <c r="P340" s="624">
        <v>52035.851999999999</v>
      </c>
      <c r="Q340" s="624">
        <v>13170.10366667</v>
      </c>
      <c r="R340" s="624">
        <v>32</v>
      </c>
      <c r="S340" s="290"/>
      <c r="T340" s="290">
        <v>252</v>
      </c>
      <c r="U340" s="958">
        <v>1.5660661498938522E-3</v>
      </c>
      <c r="V340" s="290">
        <v>2021.43214126</v>
      </c>
      <c r="W340" s="765">
        <v>1</v>
      </c>
      <c r="X340" s="290">
        <v>720</v>
      </c>
      <c r="Y340" s="290"/>
      <c r="Z340" s="290">
        <f>+innut23!E346</f>
        <v>72162.000048013331</v>
      </c>
      <c r="AA340" s="290">
        <v>0</v>
      </c>
      <c r="AB340" s="290">
        <v>77</v>
      </c>
      <c r="AC340" s="290">
        <v>17</v>
      </c>
      <c r="AD340" s="290"/>
      <c r="AE340" s="290">
        <v>0</v>
      </c>
      <c r="AF340" s="290">
        <v>0</v>
      </c>
      <c r="AG340" s="290">
        <v>2707</v>
      </c>
      <c r="AH340" s="290">
        <v>378</v>
      </c>
      <c r="AI340" s="290"/>
      <c r="AJ340" s="290"/>
      <c r="AK340" s="290">
        <v>0</v>
      </c>
      <c r="AL340" s="290">
        <v>11904</v>
      </c>
      <c r="AM340" s="957">
        <v>2.6022360000000001E-2</v>
      </c>
      <c r="AN340" s="290">
        <v>0</v>
      </c>
      <c r="AO340" s="290">
        <v>1562.5921462700001</v>
      </c>
      <c r="AP340" s="290">
        <v>0</v>
      </c>
      <c r="AQ340" s="290">
        <v>0</v>
      </c>
      <c r="AR340" s="290">
        <v>-111.09150574</v>
      </c>
      <c r="AS340" s="290">
        <v>4420</v>
      </c>
      <c r="AT340" s="290">
        <v>120</v>
      </c>
      <c r="AU340" s="290">
        <v>17</v>
      </c>
      <c r="AV340" s="766">
        <v>141630</v>
      </c>
      <c r="AW340" s="290">
        <v>0</v>
      </c>
      <c r="AX340" s="766">
        <v>19.499949999999998</v>
      </c>
      <c r="AY340" s="290">
        <v>482</v>
      </c>
      <c r="AZ340" s="290">
        <v>95</v>
      </c>
      <c r="BA340" s="290">
        <v>52</v>
      </c>
      <c r="BB340" s="290">
        <v>13552</v>
      </c>
      <c r="BC340" s="290">
        <v>1908</v>
      </c>
      <c r="BD340" s="290"/>
      <c r="BE340" s="290">
        <v>156870.30884849001</v>
      </c>
      <c r="BF340" s="290">
        <v>0</v>
      </c>
      <c r="BG340" s="290">
        <v>1755</v>
      </c>
      <c r="BH340" s="290">
        <v>-463</v>
      </c>
      <c r="BI340" s="290">
        <v>3706</v>
      </c>
      <c r="BJ340" s="290">
        <v>330.99930784217844</v>
      </c>
      <c r="BK340" s="290">
        <v>4</v>
      </c>
      <c r="BL340" s="290"/>
      <c r="BM340" s="290">
        <v>0</v>
      </c>
      <c r="BN340" s="290">
        <v>1556</v>
      </c>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f>+innut23!E346+innut23!S346</f>
        <v>72162.000048013331</v>
      </c>
      <c r="CL340" s="290"/>
      <c r="CM340" s="290">
        <v>0</v>
      </c>
      <c r="CN340" s="290">
        <v>0</v>
      </c>
      <c r="CO340" s="290"/>
      <c r="CP340" s="290"/>
      <c r="CQ340" s="290"/>
      <c r="CX340" s="517">
        <f t="shared" si="11"/>
        <v>0</v>
      </c>
      <c r="DB340" s="85">
        <f t="shared" si="12"/>
        <v>0.496</v>
      </c>
    </row>
    <row r="341" spans="1:106" ht="13">
      <c r="A341" s="1">
        <v>5425</v>
      </c>
      <c r="B341" s="2" t="s">
        <v>236</v>
      </c>
      <c r="C341" s="289"/>
      <c r="D341" s="290">
        <v>29</v>
      </c>
      <c r="E341" s="290">
        <v>59</v>
      </c>
      <c r="F341" s="290">
        <v>162</v>
      </c>
      <c r="G341" s="290">
        <v>163</v>
      </c>
      <c r="H341" s="290">
        <v>966</v>
      </c>
      <c r="I341" s="290">
        <v>363</v>
      </c>
      <c r="J341" s="290">
        <v>86</v>
      </c>
      <c r="K341" s="290">
        <v>16</v>
      </c>
      <c r="L341" s="290">
        <v>14</v>
      </c>
      <c r="M341" s="290">
        <v>235</v>
      </c>
      <c r="N341" s="290">
        <v>16</v>
      </c>
      <c r="O341" s="290">
        <v>13</v>
      </c>
      <c r="P341" s="624">
        <v>33014.101999999999</v>
      </c>
      <c r="Q341" s="624">
        <v>9490.5666666699999</v>
      </c>
      <c r="R341" s="624">
        <v>13</v>
      </c>
      <c r="S341" s="290"/>
      <c r="T341" s="290">
        <v>177</v>
      </c>
      <c r="U341" s="958">
        <v>9.5158634499851926E-4</v>
      </c>
      <c r="V341" s="290">
        <v>1308.55699278</v>
      </c>
      <c r="W341" s="765">
        <v>1</v>
      </c>
      <c r="X341" s="290">
        <v>440</v>
      </c>
      <c r="Y341" s="290"/>
      <c r="Z341" s="290">
        <f>+innut23!E347</f>
        <v>58715.288809939935</v>
      </c>
      <c r="AA341" s="290">
        <v>0</v>
      </c>
      <c r="AB341" s="290">
        <v>39</v>
      </c>
      <c r="AC341" s="290">
        <v>249</v>
      </c>
      <c r="AD341" s="290"/>
      <c r="AE341" s="290">
        <v>0</v>
      </c>
      <c r="AF341" s="290">
        <v>0</v>
      </c>
      <c r="AG341" s="290">
        <v>1844</v>
      </c>
      <c r="AH341" s="290">
        <v>270</v>
      </c>
      <c r="AI341" s="290"/>
      <c r="AJ341" s="290"/>
      <c r="AK341" s="290">
        <v>0</v>
      </c>
      <c r="AL341" s="290">
        <v>8009</v>
      </c>
      <c r="AM341" s="957">
        <v>2.8600110000000002E-2</v>
      </c>
      <c r="AN341" s="290">
        <v>0</v>
      </c>
      <c r="AO341" s="290">
        <v>1011.53080439</v>
      </c>
      <c r="AP341" s="290">
        <v>0</v>
      </c>
      <c r="AQ341" s="290">
        <v>0</v>
      </c>
      <c r="AR341" s="290">
        <v>-75.675188980000001</v>
      </c>
      <c r="AS341" s="290">
        <v>2886</v>
      </c>
      <c r="AT341" s="290">
        <v>103</v>
      </c>
      <c r="AU341" s="290">
        <v>13</v>
      </c>
      <c r="AV341" s="766">
        <v>93269</v>
      </c>
      <c r="AW341" s="290">
        <v>0</v>
      </c>
      <c r="AX341" s="766">
        <v>11.041650000000001</v>
      </c>
      <c r="AY341" s="290">
        <v>366</v>
      </c>
      <c r="AZ341" s="290">
        <v>72</v>
      </c>
      <c r="BA341" s="290">
        <v>39</v>
      </c>
      <c r="BB341" s="290">
        <v>13552</v>
      </c>
      <c r="BC341" s="290">
        <v>1440</v>
      </c>
      <c r="BD341" s="290"/>
      <c r="BE341" s="290">
        <v>103920.17409705999</v>
      </c>
      <c r="BF341" s="290">
        <v>0</v>
      </c>
      <c r="BG341" s="290">
        <v>1346</v>
      </c>
      <c r="BH341" s="290">
        <v>-308</v>
      </c>
      <c r="BI341" s="290">
        <v>2902</v>
      </c>
      <c r="BJ341" s="290">
        <v>227.22265527593729</v>
      </c>
      <c r="BK341" s="290">
        <v>3</v>
      </c>
      <c r="BL341" s="290"/>
      <c r="BM341" s="290">
        <v>0</v>
      </c>
      <c r="BN341" s="290">
        <v>1037</v>
      </c>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f>+innut23!E347+innut23!S347</f>
        <v>58715.288809939935</v>
      </c>
      <c r="CL341" s="290"/>
      <c r="CM341" s="290">
        <v>0</v>
      </c>
      <c r="CN341" s="290">
        <v>0</v>
      </c>
      <c r="CO341" s="290"/>
      <c r="CP341" s="290"/>
      <c r="CQ341" s="290"/>
      <c r="CX341" s="517">
        <f t="shared" si="11"/>
        <v>0</v>
      </c>
      <c r="DB341" s="85">
        <f t="shared" si="12"/>
        <v>0.33800000000000002</v>
      </c>
    </row>
    <row r="342" spans="1:106" ht="13">
      <c r="A342" s="1">
        <v>5426</v>
      </c>
      <c r="B342" s="2" t="s">
        <v>237</v>
      </c>
      <c r="C342" s="289"/>
      <c r="D342" s="290">
        <v>26</v>
      </c>
      <c r="E342" s="290">
        <v>60</v>
      </c>
      <c r="F342" s="290">
        <v>190</v>
      </c>
      <c r="G342" s="290">
        <v>148</v>
      </c>
      <c r="H342" s="290">
        <v>1032</v>
      </c>
      <c r="I342" s="290">
        <v>370</v>
      </c>
      <c r="J342" s="290">
        <v>139</v>
      </c>
      <c r="K342" s="290">
        <v>27</v>
      </c>
      <c r="L342" s="290">
        <v>19</v>
      </c>
      <c r="M342" s="290">
        <v>252</v>
      </c>
      <c r="N342" s="290">
        <v>11</v>
      </c>
      <c r="O342" s="290">
        <v>8</v>
      </c>
      <c r="P342" s="624">
        <v>30433.63733333</v>
      </c>
      <c r="Q342" s="624">
        <v>6066.1186666699996</v>
      </c>
      <c r="R342" s="624">
        <v>10</v>
      </c>
      <c r="S342" s="290"/>
      <c r="T342" s="290">
        <v>203</v>
      </c>
      <c r="U342" s="958">
        <v>1.467348031843089E-3</v>
      </c>
      <c r="V342" s="290">
        <v>-4441.2305682899996</v>
      </c>
      <c r="W342" s="765">
        <v>1</v>
      </c>
      <c r="X342" s="290">
        <v>750</v>
      </c>
      <c r="Y342" s="290"/>
      <c r="Z342" s="290">
        <f>+innut23!E348</f>
        <v>52014.350170838014</v>
      </c>
      <c r="AA342" s="290">
        <v>0</v>
      </c>
      <c r="AB342" s="290">
        <v>46</v>
      </c>
      <c r="AC342" s="290">
        <v>0</v>
      </c>
      <c r="AD342" s="290"/>
      <c r="AE342" s="290">
        <v>0</v>
      </c>
      <c r="AF342" s="290">
        <v>0</v>
      </c>
      <c r="AG342" s="290">
        <v>1992</v>
      </c>
      <c r="AH342" s="290">
        <v>292</v>
      </c>
      <c r="AI342" s="290"/>
      <c r="AJ342" s="290"/>
      <c r="AK342" s="290">
        <v>0</v>
      </c>
      <c r="AL342" s="290">
        <v>8776</v>
      </c>
      <c r="AM342" s="957">
        <v>4.7498310000000002E-2</v>
      </c>
      <c r="AN342" s="290">
        <v>0</v>
      </c>
      <c r="AO342" s="290">
        <v>1109.09458692</v>
      </c>
      <c r="AP342" s="290">
        <v>0</v>
      </c>
      <c r="AQ342" s="290">
        <v>0</v>
      </c>
      <c r="AR342" s="290">
        <v>-81.748902630000003</v>
      </c>
      <c r="AS342" s="290">
        <v>3256</v>
      </c>
      <c r="AT342" s="290">
        <v>95</v>
      </c>
      <c r="AU342" s="290">
        <v>23</v>
      </c>
      <c r="AV342" s="766">
        <v>97717</v>
      </c>
      <c r="AW342" s="290">
        <v>0</v>
      </c>
      <c r="AX342" s="766">
        <v>3.9999500000000001</v>
      </c>
      <c r="AY342" s="290">
        <v>362</v>
      </c>
      <c r="AZ342" s="290">
        <v>88</v>
      </c>
      <c r="BA342" s="290">
        <v>42</v>
      </c>
      <c r="BB342" s="290">
        <v>13552</v>
      </c>
      <c r="BC342" s="290">
        <v>1292</v>
      </c>
      <c r="BD342" s="290"/>
      <c r="BE342" s="290">
        <v>107476.98250049</v>
      </c>
      <c r="BF342" s="290">
        <v>0</v>
      </c>
      <c r="BG342" s="290">
        <v>1269</v>
      </c>
      <c r="BH342" s="290">
        <v>-343</v>
      </c>
      <c r="BI342" s="290">
        <v>2598</v>
      </c>
      <c r="BJ342" s="290">
        <v>247.26718356302172</v>
      </c>
      <c r="BK342" s="290">
        <v>3</v>
      </c>
      <c r="BL342" s="290"/>
      <c r="BM342" s="290">
        <v>0</v>
      </c>
      <c r="BN342" s="290">
        <v>1037</v>
      </c>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f>+innut23!E348+innut23!S348</f>
        <v>52014.350170838014</v>
      </c>
      <c r="CL342" s="290"/>
      <c r="CM342" s="290">
        <v>0</v>
      </c>
      <c r="CN342" s="290">
        <v>0</v>
      </c>
      <c r="CO342" s="290"/>
      <c r="CP342" s="290"/>
      <c r="CQ342" s="290"/>
      <c r="CX342" s="517">
        <f t="shared" si="11"/>
        <v>0</v>
      </c>
      <c r="DB342" s="85">
        <f t="shared" si="12"/>
        <v>0.36499999999999999</v>
      </c>
    </row>
    <row r="343" spans="1:106" ht="13">
      <c r="A343" s="1">
        <v>5427</v>
      </c>
      <c r="B343" s="2" t="s">
        <v>238</v>
      </c>
      <c r="C343" s="289"/>
      <c r="D343" s="290">
        <v>40</v>
      </c>
      <c r="E343" s="290">
        <v>107</v>
      </c>
      <c r="F343" s="290">
        <v>304</v>
      </c>
      <c r="G343" s="290">
        <v>227</v>
      </c>
      <c r="H343" s="290">
        <v>1551</v>
      </c>
      <c r="I343" s="290">
        <v>413</v>
      </c>
      <c r="J343" s="290">
        <v>123</v>
      </c>
      <c r="K343" s="290">
        <v>23</v>
      </c>
      <c r="L343" s="290">
        <v>29</v>
      </c>
      <c r="M343" s="290">
        <v>266</v>
      </c>
      <c r="N343" s="290">
        <v>80</v>
      </c>
      <c r="O343" s="290">
        <v>40</v>
      </c>
      <c r="P343" s="624">
        <v>17934.093333330002</v>
      </c>
      <c r="Q343" s="624">
        <v>10683.67433333</v>
      </c>
      <c r="R343" s="624">
        <v>18</v>
      </c>
      <c r="S343" s="290"/>
      <c r="T343" s="290">
        <v>241</v>
      </c>
      <c r="U343" s="958">
        <v>4.0733937428789267E-4</v>
      </c>
      <c r="V343" s="290">
        <v>1883.40040838</v>
      </c>
      <c r="W343" s="765">
        <v>1</v>
      </c>
      <c r="X343" s="290">
        <v>710</v>
      </c>
      <c r="Y343" s="290"/>
      <c r="Z343" s="290">
        <f>+innut23!E349</f>
        <v>79404.206787512376</v>
      </c>
      <c r="AA343" s="290">
        <v>0</v>
      </c>
      <c r="AB343" s="290">
        <v>82</v>
      </c>
      <c r="AC343" s="290">
        <v>1087</v>
      </c>
      <c r="AD343" s="290"/>
      <c r="AE343" s="290">
        <v>0</v>
      </c>
      <c r="AF343" s="290">
        <v>0</v>
      </c>
      <c r="AG343" s="290">
        <v>2788</v>
      </c>
      <c r="AH343" s="290">
        <v>458</v>
      </c>
      <c r="AI343" s="290"/>
      <c r="AJ343" s="290"/>
      <c r="AK343" s="290">
        <v>0</v>
      </c>
      <c r="AL343" s="290">
        <v>12231</v>
      </c>
      <c r="AM343" s="957">
        <v>6.2420509999999998E-2</v>
      </c>
      <c r="AN343" s="290">
        <v>0</v>
      </c>
      <c r="AO343" s="290">
        <v>1455.8919027500001</v>
      </c>
      <c r="AP343" s="290">
        <v>0</v>
      </c>
      <c r="AQ343" s="290">
        <v>0</v>
      </c>
      <c r="AR343" s="290">
        <v>-114.4156328</v>
      </c>
      <c r="AS343" s="290">
        <v>4572</v>
      </c>
      <c r="AT343" s="290">
        <v>156</v>
      </c>
      <c r="AU343" s="290">
        <v>22</v>
      </c>
      <c r="AV343" s="766">
        <v>125098</v>
      </c>
      <c r="AW343" s="290">
        <v>0</v>
      </c>
      <c r="AX343" s="766">
        <v>12</v>
      </c>
      <c r="AY343" s="290">
        <v>448</v>
      </c>
      <c r="AZ343" s="290">
        <v>143</v>
      </c>
      <c r="BA343" s="290">
        <v>61</v>
      </c>
      <c r="BB343" s="290">
        <v>13552</v>
      </c>
      <c r="BC343" s="290">
        <v>2728</v>
      </c>
      <c r="BD343" s="290"/>
      <c r="BE343" s="290">
        <v>140915.43736611999</v>
      </c>
      <c r="BF343" s="290">
        <v>0</v>
      </c>
      <c r="BG343" s="290">
        <v>2251</v>
      </c>
      <c r="BH343" s="290">
        <v>-478</v>
      </c>
      <c r="BI343" s="290">
        <v>5352</v>
      </c>
      <c r="BJ343" s="290">
        <v>371.60676626500634</v>
      </c>
      <c r="BK343" s="290">
        <v>5</v>
      </c>
      <c r="BL343" s="290"/>
      <c r="BM343" s="290">
        <v>0</v>
      </c>
      <c r="BN343" s="290">
        <v>1556</v>
      </c>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f>+innut23!E349+innut23!S349</f>
        <v>79404.206787512376</v>
      </c>
      <c r="CL343" s="290"/>
      <c r="CM343" s="290">
        <v>0</v>
      </c>
      <c r="CN343" s="290">
        <v>0</v>
      </c>
      <c r="CO343" s="290"/>
      <c r="CP343" s="290"/>
      <c r="CQ343" s="290"/>
      <c r="CX343" s="517">
        <f t="shared" si="11"/>
        <v>0</v>
      </c>
      <c r="DB343" s="85">
        <f t="shared" si="12"/>
        <v>0.51100000000000001</v>
      </c>
    </row>
    <row r="344" spans="1:106" ht="13">
      <c r="A344" s="1">
        <v>5428</v>
      </c>
      <c r="B344" s="2" t="s">
        <v>239</v>
      </c>
      <c r="C344" s="289"/>
      <c r="D344" s="290">
        <v>65</v>
      </c>
      <c r="E344" s="290">
        <v>172</v>
      </c>
      <c r="F344" s="290">
        <v>569</v>
      </c>
      <c r="G344" s="290">
        <v>413</v>
      </c>
      <c r="H344" s="290">
        <v>2586</v>
      </c>
      <c r="I344" s="290">
        <v>705</v>
      </c>
      <c r="J344" s="290">
        <v>202</v>
      </c>
      <c r="K344" s="290">
        <v>49</v>
      </c>
      <c r="L344" s="290">
        <v>42</v>
      </c>
      <c r="M344" s="290">
        <v>519</v>
      </c>
      <c r="N344" s="290">
        <v>58</v>
      </c>
      <c r="O344" s="290">
        <v>42</v>
      </c>
      <c r="P344" s="624">
        <v>39271.550000000003</v>
      </c>
      <c r="Q344" s="624">
        <v>17727.323</v>
      </c>
      <c r="R344" s="624">
        <v>30</v>
      </c>
      <c r="S344" s="290"/>
      <c r="T344" s="290">
        <v>445</v>
      </c>
      <c r="U344" s="958">
        <v>2.3261193283647045E-3</v>
      </c>
      <c r="V344" s="290">
        <v>-12823.723018930001</v>
      </c>
      <c r="W344" s="765">
        <v>0.86450835000000004</v>
      </c>
      <c r="X344" s="290">
        <v>730</v>
      </c>
      <c r="Y344" s="290"/>
      <c r="Z344" s="290">
        <f>+innut23!E350</f>
        <v>135980.69156481008</v>
      </c>
      <c r="AA344" s="290">
        <v>0</v>
      </c>
      <c r="AB344" s="290">
        <v>119</v>
      </c>
      <c r="AC344" s="290">
        <v>825</v>
      </c>
      <c r="AD344" s="290"/>
      <c r="AE344" s="290">
        <v>0</v>
      </c>
      <c r="AF344" s="290">
        <v>0</v>
      </c>
      <c r="AG344" s="290">
        <v>4761</v>
      </c>
      <c r="AH344" s="290">
        <v>840</v>
      </c>
      <c r="AI344" s="290"/>
      <c r="AJ344" s="290"/>
      <c r="AK344" s="290">
        <v>0</v>
      </c>
      <c r="AL344" s="290">
        <v>20702</v>
      </c>
      <c r="AM344" s="957">
        <v>8.5247110000000001E-2</v>
      </c>
      <c r="AN344" s="290">
        <v>0</v>
      </c>
      <c r="AO344" s="290">
        <v>2403.5097157199998</v>
      </c>
      <c r="AP344" s="290">
        <v>0</v>
      </c>
      <c r="AQ344" s="290">
        <v>0</v>
      </c>
      <c r="AR344" s="290">
        <v>3021.60594429</v>
      </c>
      <c r="AS344" s="290">
        <v>7619</v>
      </c>
      <c r="AT344" s="290">
        <v>251</v>
      </c>
      <c r="AU344" s="290">
        <v>51</v>
      </c>
      <c r="AV344" s="766">
        <v>169470</v>
      </c>
      <c r="AW344" s="290">
        <v>0</v>
      </c>
      <c r="AX344" s="766">
        <v>19.208300000000001</v>
      </c>
      <c r="AY344" s="290">
        <v>1009</v>
      </c>
      <c r="AZ344" s="290">
        <v>150</v>
      </c>
      <c r="BA344" s="290">
        <v>118</v>
      </c>
      <c r="BB344" s="290">
        <v>0</v>
      </c>
      <c r="BC344" s="290">
        <v>3400</v>
      </c>
      <c r="BD344" s="290"/>
      <c r="BE344" s="290">
        <v>187523.59276502</v>
      </c>
      <c r="BF344" s="290">
        <v>0</v>
      </c>
      <c r="BG344" s="290">
        <v>3730</v>
      </c>
      <c r="BH344" s="290">
        <v>-806</v>
      </c>
      <c r="BI344" s="290">
        <v>7469</v>
      </c>
      <c r="BJ344" s="290">
        <v>652.13918715217312</v>
      </c>
      <c r="BK344" s="290">
        <v>7</v>
      </c>
      <c r="BL344" s="290"/>
      <c r="BM344" s="290">
        <v>0</v>
      </c>
      <c r="BN344" s="290">
        <v>2074</v>
      </c>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f>+innut23!E350+innut23!S350</f>
        <v>135980.69156481008</v>
      </c>
      <c r="CL344" s="290"/>
      <c r="CM344" s="290">
        <v>0</v>
      </c>
      <c r="CN344" s="290">
        <v>0</v>
      </c>
      <c r="CO344" s="290"/>
      <c r="CP344" s="290"/>
      <c r="CQ344" s="290"/>
      <c r="CX344" s="517">
        <f t="shared" si="11"/>
        <v>0</v>
      </c>
      <c r="DB344" s="85">
        <f t="shared" si="12"/>
        <v>0.873</v>
      </c>
    </row>
    <row r="345" spans="1:106" ht="13">
      <c r="A345" s="1">
        <v>5429</v>
      </c>
      <c r="B345" s="2" t="s">
        <v>240</v>
      </c>
      <c r="C345" s="289"/>
      <c r="D345" s="290">
        <v>11</v>
      </c>
      <c r="E345" s="290">
        <v>32</v>
      </c>
      <c r="F345" s="290">
        <v>117</v>
      </c>
      <c r="G345" s="290">
        <v>80</v>
      </c>
      <c r="H345" s="290">
        <v>608</v>
      </c>
      <c r="I345" s="290">
        <v>203</v>
      </c>
      <c r="J345" s="290">
        <v>75</v>
      </c>
      <c r="K345" s="290">
        <v>18</v>
      </c>
      <c r="L345" s="290">
        <v>10</v>
      </c>
      <c r="M345" s="290">
        <v>158</v>
      </c>
      <c r="N345" s="290">
        <v>13</v>
      </c>
      <c r="O345" s="290">
        <v>7</v>
      </c>
      <c r="P345" s="624">
        <v>13891.258</v>
      </c>
      <c r="Q345" s="624">
        <v>9324.8966666699998</v>
      </c>
      <c r="R345" s="624">
        <v>16</v>
      </c>
      <c r="S345" s="290"/>
      <c r="T345" s="290">
        <v>124</v>
      </c>
      <c r="U345" s="958">
        <v>9.2708608933272972E-4</v>
      </c>
      <c r="V345" s="290">
        <v>997.84700629999998</v>
      </c>
      <c r="W345" s="765">
        <v>1</v>
      </c>
      <c r="X345" s="290">
        <v>490</v>
      </c>
      <c r="Y345" s="290"/>
      <c r="Z345" s="290">
        <f>+innut23!E351</f>
        <v>34737.151585310567</v>
      </c>
      <c r="AA345" s="290">
        <v>0</v>
      </c>
      <c r="AB345" s="290">
        <v>26</v>
      </c>
      <c r="AC345" s="290">
        <v>0</v>
      </c>
      <c r="AD345" s="290"/>
      <c r="AE345" s="290">
        <v>0</v>
      </c>
      <c r="AF345" s="290">
        <v>0</v>
      </c>
      <c r="AG345" s="290">
        <v>1144</v>
      </c>
      <c r="AH345" s="290">
        <v>163</v>
      </c>
      <c r="AI345" s="290"/>
      <c r="AJ345" s="290"/>
      <c r="AK345" s="290">
        <v>0</v>
      </c>
      <c r="AL345" s="290">
        <v>5056</v>
      </c>
      <c r="AM345" s="957">
        <v>2.9565669999999999E-2</v>
      </c>
      <c r="AN345" s="290">
        <v>0</v>
      </c>
      <c r="AO345" s="290">
        <v>771.3481266</v>
      </c>
      <c r="AP345" s="290">
        <v>0</v>
      </c>
      <c r="AQ345" s="290">
        <v>0</v>
      </c>
      <c r="AR345" s="290">
        <v>-46.948164970000001</v>
      </c>
      <c r="AS345" s="290">
        <v>1827</v>
      </c>
      <c r="AT345" s="290">
        <v>65</v>
      </c>
      <c r="AU345" s="290">
        <v>13</v>
      </c>
      <c r="AV345" s="766">
        <v>83586</v>
      </c>
      <c r="AW345" s="290">
        <v>0</v>
      </c>
      <c r="AX345" s="766">
        <v>0.66669999999999996</v>
      </c>
      <c r="AY345" s="290">
        <v>196</v>
      </c>
      <c r="AZ345" s="290">
        <v>47</v>
      </c>
      <c r="BA345" s="290">
        <v>20</v>
      </c>
      <c r="BB345" s="290">
        <v>13552</v>
      </c>
      <c r="BC345" s="290">
        <v>657</v>
      </c>
      <c r="BD345" s="290"/>
      <c r="BE345" s="290">
        <v>89811.088278330004</v>
      </c>
      <c r="BF345" s="290">
        <v>0</v>
      </c>
      <c r="BG345" s="290">
        <v>658</v>
      </c>
      <c r="BH345" s="290">
        <v>-197</v>
      </c>
      <c r="BI345" s="290">
        <v>1340</v>
      </c>
      <c r="BJ345" s="290">
        <v>169.10151299175652</v>
      </c>
      <c r="BK345" s="290">
        <v>2</v>
      </c>
      <c r="BL345" s="290"/>
      <c r="BM345" s="290">
        <v>0</v>
      </c>
      <c r="BN345" s="290">
        <v>519</v>
      </c>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f>+innut23!E351+innut23!S351</f>
        <v>34737.151585310567</v>
      </c>
      <c r="CL345" s="290"/>
      <c r="CM345" s="290">
        <v>0</v>
      </c>
      <c r="CN345" s="290">
        <v>0</v>
      </c>
      <c r="CO345" s="290"/>
      <c r="CP345" s="290"/>
      <c r="CQ345" s="290"/>
      <c r="CX345" s="517">
        <f t="shared" si="11"/>
        <v>0</v>
      </c>
      <c r="DB345" s="85">
        <f t="shared" si="12"/>
        <v>0.21</v>
      </c>
    </row>
    <row r="346" spans="1:106" ht="13">
      <c r="A346" s="1">
        <v>5430</v>
      </c>
      <c r="B346" s="2" t="s">
        <v>244</v>
      </c>
      <c r="C346" s="289"/>
      <c r="D346" s="290">
        <v>43</v>
      </c>
      <c r="E346" s="290">
        <v>129</v>
      </c>
      <c r="F346" s="290">
        <v>370</v>
      </c>
      <c r="G346" s="290">
        <v>233</v>
      </c>
      <c r="H346" s="290">
        <v>1625</v>
      </c>
      <c r="I346" s="290">
        <v>364</v>
      </c>
      <c r="J346" s="290">
        <v>98</v>
      </c>
      <c r="K346" s="290">
        <v>22</v>
      </c>
      <c r="L346" s="290">
        <v>27</v>
      </c>
      <c r="M346" s="290">
        <v>264</v>
      </c>
      <c r="N346" s="290">
        <v>0</v>
      </c>
      <c r="O346" s="290">
        <v>1.5</v>
      </c>
      <c r="P346" s="624">
        <v>29886.920999999998</v>
      </c>
      <c r="Q346" s="624">
        <v>19078.590666669999</v>
      </c>
      <c r="R346" s="624">
        <v>22</v>
      </c>
      <c r="S346" s="290"/>
      <c r="T346" s="290">
        <v>217</v>
      </c>
      <c r="U346" s="958">
        <v>1.6545517691859799E-3</v>
      </c>
      <c r="V346" s="290">
        <v>2046.5211542</v>
      </c>
      <c r="W346" s="765">
        <v>1</v>
      </c>
      <c r="X346" s="290">
        <v>750</v>
      </c>
      <c r="Y346" s="290"/>
      <c r="Z346" s="290">
        <f>+innut23!E352</f>
        <v>63676.3815055382</v>
      </c>
      <c r="AA346" s="290">
        <v>0</v>
      </c>
      <c r="AB346" s="290">
        <v>57</v>
      </c>
      <c r="AC346" s="290">
        <v>492</v>
      </c>
      <c r="AD346" s="290"/>
      <c r="AE346" s="290">
        <v>0</v>
      </c>
      <c r="AF346" s="290">
        <v>0</v>
      </c>
      <c r="AG346" s="290">
        <v>2884</v>
      </c>
      <c r="AH346" s="290">
        <v>541</v>
      </c>
      <c r="AI346" s="290"/>
      <c r="AJ346" s="290"/>
      <c r="AK346" s="290">
        <v>0</v>
      </c>
      <c r="AL346" s="290">
        <v>26002</v>
      </c>
      <c r="AM346" s="957">
        <v>0.12857452999999999</v>
      </c>
      <c r="AN346" s="290">
        <v>0</v>
      </c>
      <c r="AO346" s="290">
        <v>1581.98626481</v>
      </c>
      <c r="AP346" s="290">
        <v>0</v>
      </c>
      <c r="AQ346" s="290">
        <v>0</v>
      </c>
      <c r="AR346" s="290">
        <v>-118.35533895</v>
      </c>
      <c r="AS346" s="290">
        <v>4584</v>
      </c>
      <c r="AT346" s="290">
        <v>76</v>
      </c>
      <c r="AU346" s="290">
        <v>67</v>
      </c>
      <c r="AV346" s="766">
        <v>152150</v>
      </c>
      <c r="AW346" s="290">
        <v>0</v>
      </c>
      <c r="AX346" s="766">
        <v>4.4166999999999996</v>
      </c>
      <c r="AY346" s="290">
        <v>711</v>
      </c>
      <c r="AZ346" s="290">
        <v>209</v>
      </c>
      <c r="BA346" s="290">
        <v>92</v>
      </c>
      <c r="BB346" s="290">
        <v>13552</v>
      </c>
      <c r="BC346" s="290">
        <v>1996</v>
      </c>
      <c r="BD346" s="290"/>
      <c r="BE346" s="290">
        <v>168596.63596876999</v>
      </c>
      <c r="BF346" s="290">
        <v>0</v>
      </c>
      <c r="BG346" s="290">
        <v>2646</v>
      </c>
      <c r="BH346" s="290">
        <v>-487</v>
      </c>
      <c r="BI346" s="290">
        <v>4716</v>
      </c>
      <c r="BJ346" s="290">
        <v>439.28335927946279</v>
      </c>
      <c r="BK346" s="290">
        <v>4</v>
      </c>
      <c r="BL346" s="290"/>
      <c r="BM346" s="290">
        <v>0</v>
      </c>
      <c r="BN346" s="290">
        <v>1037</v>
      </c>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f>+innut23!E352+innut23!S352</f>
        <v>63676.3815055382</v>
      </c>
      <c r="CL346" s="290"/>
      <c r="CM346" s="290">
        <v>0</v>
      </c>
      <c r="CN346" s="290">
        <v>0</v>
      </c>
      <c r="CO346" s="290"/>
      <c r="CP346" s="290"/>
      <c r="CQ346" s="290"/>
      <c r="CX346" s="517">
        <f t="shared" si="11"/>
        <v>0</v>
      </c>
      <c r="DB346" s="85">
        <f t="shared" si="12"/>
        <v>0.52900000000000003</v>
      </c>
    </row>
    <row r="347" spans="1:106" ht="13">
      <c r="A347" s="1">
        <v>5432</v>
      </c>
      <c r="B347" s="2" t="s">
        <v>246</v>
      </c>
      <c r="C347" s="289"/>
      <c r="D347" s="290">
        <v>10</v>
      </c>
      <c r="E347" s="290">
        <v>22</v>
      </c>
      <c r="F347" s="290">
        <v>53</v>
      </c>
      <c r="G347" s="290">
        <v>60</v>
      </c>
      <c r="H347" s="290">
        <v>477</v>
      </c>
      <c r="I347" s="290">
        <v>145</v>
      </c>
      <c r="J347" s="290">
        <v>66</v>
      </c>
      <c r="K347" s="290">
        <v>12</v>
      </c>
      <c r="L347" s="290">
        <v>9</v>
      </c>
      <c r="M347" s="290">
        <v>131</v>
      </c>
      <c r="N347" s="290">
        <v>14</v>
      </c>
      <c r="O347" s="290">
        <v>12</v>
      </c>
      <c r="P347" s="624">
        <v>21023.61833333</v>
      </c>
      <c r="Q347" s="624">
        <v>16178.63166667</v>
      </c>
      <c r="R347" s="624">
        <v>5</v>
      </c>
      <c r="S347" s="290"/>
      <c r="T347" s="290">
        <v>110</v>
      </c>
      <c r="U347" s="958">
        <v>2.6545566192884013E-4</v>
      </c>
      <c r="V347" s="290">
        <v>760.86202844000002</v>
      </c>
      <c r="W347" s="765">
        <v>1</v>
      </c>
      <c r="X347" s="290">
        <v>550</v>
      </c>
      <c r="Y347" s="290"/>
      <c r="Z347" s="290">
        <f>+innut23!E353</f>
        <v>24090.291512742842</v>
      </c>
      <c r="AA347" s="290">
        <v>0</v>
      </c>
      <c r="AB347" s="290">
        <v>15</v>
      </c>
      <c r="AC347" s="290">
        <v>0</v>
      </c>
      <c r="AD347" s="290"/>
      <c r="AE347" s="290">
        <v>0</v>
      </c>
      <c r="AF347" s="290">
        <v>0</v>
      </c>
      <c r="AG347" s="290">
        <v>845</v>
      </c>
      <c r="AH347" s="290">
        <v>100</v>
      </c>
      <c r="AI347" s="290"/>
      <c r="AJ347" s="290"/>
      <c r="AK347" s="290">
        <v>0</v>
      </c>
      <c r="AL347" s="290">
        <v>7764</v>
      </c>
      <c r="AM347" s="957">
        <v>1.8917679999999999E-2</v>
      </c>
      <c r="AN347" s="290">
        <v>0</v>
      </c>
      <c r="AO347" s="290">
        <v>588.15579596999999</v>
      </c>
      <c r="AP347" s="290">
        <v>0</v>
      </c>
      <c r="AQ347" s="290">
        <v>0</v>
      </c>
      <c r="AR347" s="290">
        <v>-34.677621850000001</v>
      </c>
      <c r="AS347" s="290">
        <v>1348</v>
      </c>
      <c r="AT347" s="290">
        <v>27</v>
      </c>
      <c r="AU347" s="290">
        <v>11</v>
      </c>
      <c r="AV347" s="766">
        <v>72583</v>
      </c>
      <c r="AW347" s="290">
        <v>0</v>
      </c>
      <c r="AX347" s="766">
        <v>4.3333000000000004</v>
      </c>
      <c r="AY347" s="290">
        <v>154</v>
      </c>
      <c r="AZ347" s="290">
        <v>47</v>
      </c>
      <c r="BA347" s="290">
        <v>9</v>
      </c>
      <c r="BB347" s="290">
        <v>13552</v>
      </c>
      <c r="BC347" s="290">
        <v>1600</v>
      </c>
      <c r="BD347" s="290"/>
      <c r="BE347" s="290">
        <v>77880.927552649999</v>
      </c>
      <c r="BF347" s="290">
        <v>0</v>
      </c>
      <c r="BG347" s="290">
        <v>512</v>
      </c>
      <c r="BH347" s="290">
        <v>-146</v>
      </c>
      <c r="BI347" s="290">
        <v>2168</v>
      </c>
      <c r="BJ347" s="290">
        <v>120.24011171177291</v>
      </c>
      <c r="BK347" s="290">
        <v>1</v>
      </c>
      <c r="BL347" s="290"/>
      <c r="BM347" s="290">
        <v>0</v>
      </c>
      <c r="BN347" s="290">
        <v>1556</v>
      </c>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f>+innut23!E353+innut23!S353</f>
        <v>24090.291512742842</v>
      </c>
      <c r="CL347" s="290"/>
      <c r="CM347" s="290">
        <v>0</v>
      </c>
      <c r="CN347" s="290">
        <v>0</v>
      </c>
      <c r="CO347" s="290"/>
      <c r="CP347" s="290"/>
      <c r="CQ347" s="290"/>
      <c r="CX347" s="517">
        <f t="shared" si="11"/>
        <v>0</v>
      </c>
      <c r="DB347" s="85">
        <f t="shared" si="12"/>
        <v>0.155</v>
      </c>
    </row>
    <row r="348" spans="1:106" ht="13">
      <c r="A348" s="1">
        <v>5433</v>
      </c>
      <c r="B348" s="2" t="s">
        <v>247</v>
      </c>
      <c r="C348" s="289"/>
      <c r="D348" s="290">
        <v>14</v>
      </c>
      <c r="E348" s="290">
        <v>31</v>
      </c>
      <c r="F348" s="290">
        <v>95</v>
      </c>
      <c r="G348" s="290">
        <v>59</v>
      </c>
      <c r="H348" s="290">
        <v>574</v>
      </c>
      <c r="I348" s="290">
        <v>138</v>
      </c>
      <c r="J348" s="290">
        <v>40</v>
      </c>
      <c r="K348" s="290">
        <v>11</v>
      </c>
      <c r="L348" s="290">
        <v>10</v>
      </c>
      <c r="M348" s="290">
        <v>118</v>
      </c>
      <c r="N348" s="290">
        <v>8</v>
      </c>
      <c r="O348" s="290">
        <v>15</v>
      </c>
      <c r="P348" s="624">
        <v>13378.41766667</v>
      </c>
      <c r="Q348" s="624">
        <v>3064.297</v>
      </c>
      <c r="R348" s="624">
        <v>3</v>
      </c>
      <c r="S348" s="290"/>
      <c r="T348" s="290">
        <v>126</v>
      </c>
      <c r="U348" s="958">
        <v>1.7492356589940861E-4</v>
      </c>
      <c r="V348" s="290">
        <v>764.78959282000005</v>
      </c>
      <c r="W348" s="765">
        <v>1</v>
      </c>
      <c r="X348" s="290">
        <v>660</v>
      </c>
      <c r="Y348" s="290"/>
      <c r="Z348" s="290">
        <f>+innut23!E354</f>
        <v>25106.102235210157</v>
      </c>
      <c r="AA348" s="290">
        <v>0</v>
      </c>
      <c r="AB348" s="290">
        <v>31</v>
      </c>
      <c r="AC348" s="290">
        <v>547</v>
      </c>
      <c r="AD348" s="290"/>
      <c r="AE348" s="290">
        <v>0</v>
      </c>
      <c r="AF348" s="290">
        <v>0</v>
      </c>
      <c r="AG348" s="290">
        <v>962</v>
      </c>
      <c r="AH348" s="290">
        <v>136</v>
      </c>
      <c r="AI348" s="290"/>
      <c r="AJ348" s="290"/>
      <c r="AK348" s="290">
        <v>0</v>
      </c>
      <c r="AL348" s="290">
        <v>8713</v>
      </c>
      <c r="AM348" s="957">
        <v>0.11476429</v>
      </c>
      <c r="AN348" s="290">
        <v>0</v>
      </c>
      <c r="AO348" s="290">
        <v>591.19185200000004</v>
      </c>
      <c r="AP348" s="290">
        <v>0</v>
      </c>
      <c r="AQ348" s="290">
        <v>0</v>
      </c>
      <c r="AR348" s="290">
        <v>-39.479138720000002</v>
      </c>
      <c r="AS348" s="290">
        <v>1504</v>
      </c>
      <c r="AT348" s="290">
        <v>50</v>
      </c>
      <c r="AU348" s="290">
        <v>27</v>
      </c>
      <c r="AV348" s="766">
        <v>71826</v>
      </c>
      <c r="AW348" s="290">
        <v>0</v>
      </c>
      <c r="AX348" s="766">
        <v>1.9167000000000001</v>
      </c>
      <c r="AY348" s="290">
        <v>145</v>
      </c>
      <c r="AZ348" s="290">
        <v>79</v>
      </c>
      <c r="BA348" s="290">
        <v>29</v>
      </c>
      <c r="BB348" s="290">
        <v>13552</v>
      </c>
      <c r="BC348" s="290">
        <v>2021</v>
      </c>
      <c r="BD348" s="290"/>
      <c r="BE348" s="290">
        <v>76008.123056349999</v>
      </c>
      <c r="BF348" s="290">
        <v>0</v>
      </c>
      <c r="BG348" s="290">
        <v>637</v>
      </c>
      <c r="BH348" s="290">
        <v>-166</v>
      </c>
      <c r="BI348" s="290">
        <v>2876</v>
      </c>
      <c r="BJ348" s="290">
        <v>142.28085588851317</v>
      </c>
      <c r="BK348" s="290">
        <v>2</v>
      </c>
      <c r="BL348" s="290"/>
      <c r="BM348" s="290">
        <v>0</v>
      </c>
      <c r="BN348" s="290">
        <v>1556</v>
      </c>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f>+innut23!E354+innut23!S354</f>
        <v>25106.102235210157</v>
      </c>
      <c r="CL348" s="290"/>
      <c r="CM348" s="290">
        <v>0</v>
      </c>
      <c r="CN348" s="290">
        <v>0</v>
      </c>
      <c r="CO348" s="290"/>
      <c r="CP348" s="290"/>
      <c r="CQ348" s="290"/>
      <c r="CX348" s="517">
        <f t="shared" si="11"/>
        <v>0</v>
      </c>
      <c r="DB348" s="85">
        <f t="shared" si="12"/>
        <v>0.17599999999999999</v>
      </c>
    </row>
    <row r="349" spans="1:106" ht="13">
      <c r="A349" s="1">
        <v>5434</v>
      </c>
      <c r="B349" s="2" t="s">
        <v>249</v>
      </c>
      <c r="C349" s="289"/>
      <c r="D349" s="290">
        <v>16</v>
      </c>
      <c r="E349" s="290">
        <v>28</v>
      </c>
      <c r="F349" s="290">
        <v>104</v>
      </c>
      <c r="G349" s="290">
        <v>62</v>
      </c>
      <c r="H349" s="290">
        <v>640</v>
      </c>
      <c r="I349" s="290">
        <v>197</v>
      </c>
      <c r="J349" s="290">
        <v>72</v>
      </c>
      <c r="K349" s="290">
        <v>12</v>
      </c>
      <c r="L349" s="290">
        <v>10</v>
      </c>
      <c r="M349" s="290">
        <v>183</v>
      </c>
      <c r="N349" s="290">
        <v>5</v>
      </c>
      <c r="O349" s="290">
        <v>13</v>
      </c>
      <c r="P349" s="624">
        <v>13361.013000000001</v>
      </c>
      <c r="Q349" s="624">
        <v>5467.82133333</v>
      </c>
      <c r="R349" s="624">
        <v>4</v>
      </c>
      <c r="S349" s="290"/>
      <c r="T349" s="290">
        <v>137</v>
      </c>
      <c r="U349" s="958">
        <v>2.7355833662859541E-4</v>
      </c>
      <c r="V349" s="290">
        <v>873.50297502000001</v>
      </c>
      <c r="W349" s="765">
        <v>1</v>
      </c>
      <c r="X349" s="290">
        <v>560</v>
      </c>
      <c r="Y349" s="290"/>
      <c r="Z349" s="290">
        <f>+innut23!E355</f>
        <v>38202.970736034738</v>
      </c>
      <c r="AA349" s="290">
        <v>0</v>
      </c>
      <c r="AB349" s="290">
        <v>18</v>
      </c>
      <c r="AC349" s="290">
        <v>286</v>
      </c>
      <c r="AD349" s="290"/>
      <c r="AE349" s="290">
        <v>0</v>
      </c>
      <c r="AF349" s="290">
        <v>0</v>
      </c>
      <c r="AG349" s="290">
        <v>1131</v>
      </c>
      <c r="AH349" s="290">
        <v>145</v>
      </c>
      <c r="AI349" s="290"/>
      <c r="AJ349" s="290"/>
      <c r="AK349" s="290">
        <v>0</v>
      </c>
      <c r="AL349" s="290">
        <v>10502</v>
      </c>
      <c r="AM349" s="957">
        <v>4.7591399999999999E-2</v>
      </c>
      <c r="AN349" s="290">
        <v>0</v>
      </c>
      <c r="AO349" s="290">
        <v>675.22864637999999</v>
      </c>
      <c r="AP349" s="290">
        <v>0</v>
      </c>
      <c r="AQ349" s="290">
        <v>0</v>
      </c>
      <c r="AR349" s="290">
        <v>-46.414663089999998</v>
      </c>
      <c r="AS349" s="290">
        <v>1880</v>
      </c>
      <c r="AT349" s="290">
        <v>51</v>
      </c>
      <c r="AU349" s="290">
        <v>18</v>
      </c>
      <c r="AV349" s="766">
        <v>77781</v>
      </c>
      <c r="AW349" s="290">
        <v>0</v>
      </c>
      <c r="AX349" s="766">
        <v>7.75</v>
      </c>
      <c r="AY349" s="290">
        <v>165</v>
      </c>
      <c r="AZ349" s="290">
        <v>70</v>
      </c>
      <c r="BA349" s="290">
        <v>29</v>
      </c>
      <c r="BB349" s="290">
        <v>13552</v>
      </c>
      <c r="BC349" s="290">
        <v>1347</v>
      </c>
      <c r="BD349" s="290"/>
      <c r="BE349" s="290">
        <v>82973.132286909997</v>
      </c>
      <c r="BF349" s="290">
        <v>0</v>
      </c>
      <c r="BG349" s="290">
        <v>669</v>
      </c>
      <c r="BH349" s="290">
        <v>-197</v>
      </c>
      <c r="BI349" s="290">
        <v>2137</v>
      </c>
      <c r="BJ349" s="290">
        <v>153.42631246605202</v>
      </c>
      <c r="BK349" s="290">
        <v>2</v>
      </c>
      <c r="BL349" s="290"/>
      <c r="BM349" s="290">
        <v>0</v>
      </c>
      <c r="BN349" s="290">
        <v>1037</v>
      </c>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f>+innut23!E355+innut23!S355</f>
        <v>38202.970736034738</v>
      </c>
      <c r="CL349" s="290"/>
      <c r="CM349" s="290">
        <v>0</v>
      </c>
      <c r="CN349" s="290">
        <v>0</v>
      </c>
      <c r="CO349" s="290"/>
      <c r="CP349" s="290"/>
      <c r="CQ349" s="290"/>
      <c r="CX349" s="517">
        <f t="shared" si="11"/>
        <v>0</v>
      </c>
      <c r="DB349" s="85">
        <f t="shared" si="12"/>
        <v>0.20699999999999999</v>
      </c>
    </row>
    <row r="350" spans="1:106" ht="13">
      <c r="A350" s="1">
        <v>5435</v>
      </c>
      <c r="B350" s="2" t="s">
        <v>250</v>
      </c>
      <c r="C350" s="289"/>
      <c r="D350" s="290">
        <v>41</v>
      </c>
      <c r="E350" s="290">
        <v>74</v>
      </c>
      <c r="F350" s="290">
        <v>256</v>
      </c>
      <c r="G350" s="290">
        <v>223</v>
      </c>
      <c r="H350" s="290">
        <v>1721</v>
      </c>
      <c r="I350" s="290">
        <v>452</v>
      </c>
      <c r="J350" s="290">
        <v>108</v>
      </c>
      <c r="K350" s="290">
        <v>31</v>
      </c>
      <c r="L350" s="290">
        <v>34</v>
      </c>
      <c r="M350" s="290">
        <v>355</v>
      </c>
      <c r="N350" s="290">
        <v>44</v>
      </c>
      <c r="O350" s="290">
        <v>27</v>
      </c>
      <c r="P350" s="624">
        <v>13226.552333330001</v>
      </c>
      <c r="Q350" s="624">
        <v>7496.7179999999998</v>
      </c>
      <c r="R350" s="624">
        <v>16</v>
      </c>
      <c r="S350" s="290"/>
      <c r="T350" s="290">
        <v>393</v>
      </c>
      <c r="U350" s="958">
        <v>1.7692667464111488E-4</v>
      </c>
      <c r="V350" s="290">
        <v>1858.2025616200001</v>
      </c>
      <c r="W350" s="765">
        <v>1</v>
      </c>
      <c r="X350" s="290">
        <v>1030</v>
      </c>
      <c r="Y350" s="290"/>
      <c r="Z350" s="290">
        <f>+innut23!E356</f>
        <v>90812.901561199455</v>
      </c>
      <c r="AA350" s="290">
        <v>0</v>
      </c>
      <c r="AB350" s="290">
        <v>58</v>
      </c>
      <c r="AC350" s="290">
        <v>547</v>
      </c>
      <c r="AD350" s="290"/>
      <c r="AE350" s="290">
        <v>0</v>
      </c>
      <c r="AF350" s="290">
        <v>0</v>
      </c>
      <c r="AG350" s="290">
        <v>2906</v>
      </c>
      <c r="AH350" s="290">
        <v>390</v>
      </c>
      <c r="AI350" s="290"/>
      <c r="AJ350" s="290"/>
      <c r="AK350" s="290">
        <v>0</v>
      </c>
      <c r="AL350" s="290">
        <v>26635</v>
      </c>
      <c r="AM350" s="957">
        <v>0.31124967999999997</v>
      </c>
      <c r="AN350" s="290">
        <v>0</v>
      </c>
      <c r="AO350" s="290">
        <v>1436.4136543</v>
      </c>
      <c r="AP350" s="290">
        <v>0</v>
      </c>
      <c r="AQ350" s="290">
        <v>0</v>
      </c>
      <c r="AR350" s="290">
        <v>398.03735813999998</v>
      </c>
      <c r="AS350" s="290">
        <v>4799</v>
      </c>
      <c r="AT350" s="290">
        <v>166</v>
      </c>
      <c r="AU350" s="290">
        <v>69</v>
      </c>
      <c r="AV350" s="766">
        <v>134694</v>
      </c>
      <c r="AW350" s="290">
        <v>0</v>
      </c>
      <c r="AX350" s="766">
        <v>13.833299999999999</v>
      </c>
      <c r="AY350" s="290">
        <v>556</v>
      </c>
      <c r="AZ350" s="290">
        <v>236</v>
      </c>
      <c r="BA350" s="290">
        <v>59</v>
      </c>
      <c r="BB350" s="290">
        <v>13552</v>
      </c>
      <c r="BC350" s="290">
        <v>1303</v>
      </c>
      <c r="BD350" s="290"/>
      <c r="BE350" s="290">
        <v>146608.55844600001</v>
      </c>
      <c r="BF350" s="290">
        <v>0</v>
      </c>
      <c r="BG350" s="290">
        <v>1726</v>
      </c>
      <c r="BH350" s="290">
        <v>-507</v>
      </c>
      <c r="BI350" s="290">
        <v>3182</v>
      </c>
      <c r="BJ350" s="290">
        <v>312.19255022699173</v>
      </c>
      <c r="BK350" s="290">
        <v>7</v>
      </c>
      <c r="BL350" s="290"/>
      <c r="BM350" s="290">
        <v>0</v>
      </c>
      <c r="BN350" s="290">
        <v>519</v>
      </c>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f>+innut23!E356+innut23!S356</f>
        <v>90812.901561199455</v>
      </c>
      <c r="CL350" s="290"/>
      <c r="CM350" s="290">
        <v>0</v>
      </c>
      <c r="CN350" s="290">
        <v>0</v>
      </c>
      <c r="CO350" s="290"/>
      <c r="CP350" s="290"/>
      <c r="CQ350" s="290"/>
      <c r="CX350" s="517">
        <f t="shared" si="11"/>
        <v>0</v>
      </c>
      <c r="DB350" s="85">
        <f t="shared" si="12"/>
        <v>0.53300000000000003</v>
      </c>
    </row>
    <row r="351" spans="1:106" ht="13">
      <c r="A351" s="1">
        <v>5436</v>
      </c>
      <c r="B351" s="2" t="s">
        <v>251</v>
      </c>
      <c r="C351" s="289"/>
      <c r="D351" s="290">
        <v>58</v>
      </c>
      <c r="E351" s="290">
        <v>135</v>
      </c>
      <c r="F351" s="290">
        <v>367</v>
      </c>
      <c r="G351" s="290">
        <v>331</v>
      </c>
      <c r="H351" s="290">
        <v>2165</v>
      </c>
      <c r="I351" s="290">
        <v>635</v>
      </c>
      <c r="J351" s="290">
        <v>155</v>
      </c>
      <c r="K351" s="290">
        <v>24</v>
      </c>
      <c r="L351" s="290">
        <v>40</v>
      </c>
      <c r="M351" s="290">
        <v>462</v>
      </c>
      <c r="N351" s="290">
        <v>52</v>
      </c>
      <c r="O351" s="290">
        <v>22</v>
      </c>
      <c r="P351" s="624">
        <v>42282.686333329999</v>
      </c>
      <c r="Q351" s="624">
        <v>17244.179333330001</v>
      </c>
      <c r="R351" s="624">
        <v>12</v>
      </c>
      <c r="S351" s="290"/>
      <c r="T351" s="290">
        <v>449</v>
      </c>
      <c r="U351" s="958">
        <v>1.9059131538845652E-3</v>
      </c>
      <c r="V351" s="290">
        <v>2408.8192108799999</v>
      </c>
      <c r="W351" s="765">
        <v>1</v>
      </c>
      <c r="X351" s="290">
        <v>480</v>
      </c>
      <c r="Y351" s="290"/>
      <c r="Z351" s="290">
        <f>+innut23!E357</f>
        <v>112604.82057229101</v>
      </c>
      <c r="AA351" s="290">
        <v>0</v>
      </c>
      <c r="AB351" s="290">
        <v>99</v>
      </c>
      <c r="AC351" s="290">
        <v>832</v>
      </c>
      <c r="AD351" s="290"/>
      <c r="AE351" s="290">
        <v>0</v>
      </c>
      <c r="AF351" s="290">
        <v>0</v>
      </c>
      <c r="AG351" s="290">
        <v>3870</v>
      </c>
      <c r="AH351" s="290">
        <v>587</v>
      </c>
      <c r="AI351" s="290"/>
      <c r="AJ351" s="290"/>
      <c r="AK351" s="290">
        <v>0</v>
      </c>
      <c r="AL351" s="290">
        <v>35284</v>
      </c>
      <c r="AM351" s="957">
        <v>9.6770629999999996E-2</v>
      </c>
      <c r="AN351" s="290">
        <v>0</v>
      </c>
      <c r="AO351" s="290">
        <v>1862.04716145</v>
      </c>
      <c r="AP351" s="290">
        <v>0</v>
      </c>
      <c r="AQ351" s="290">
        <v>0</v>
      </c>
      <c r="AR351" s="290">
        <v>-158.81940420999999</v>
      </c>
      <c r="AS351" s="290">
        <v>6148</v>
      </c>
      <c r="AT351" s="290">
        <v>191</v>
      </c>
      <c r="AU351" s="290">
        <v>39</v>
      </c>
      <c r="AV351" s="766">
        <v>149519</v>
      </c>
      <c r="AW351" s="290">
        <v>0</v>
      </c>
      <c r="AX351" s="766">
        <v>19.791650000000001</v>
      </c>
      <c r="AY351" s="290">
        <v>860</v>
      </c>
      <c r="AZ351" s="290">
        <v>198</v>
      </c>
      <c r="BA351" s="290">
        <v>91</v>
      </c>
      <c r="BB351" s="290">
        <v>0</v>
      </c>
      <c r="BC351" s="290">
        <v>3157</v>
      </c>
      <c r="BD351" s="290"/>
      <c r="BE351" s="290">
        <v>171190.7992905</v>
      </c>
      <c r="BF351" s="290">
        <v>0</v>
      </c>
      <c r="BG351" s="290">
        <v>3017</v>
      </c>
      <c r="BH351" s="290">
        <v>-658</v>
      </c>
      <c r="BI351" s="290">
        <v>6510</v>
      </c>
      <c r="BJ351" s="290">
        <v>449.14380501825269</v>
      </c>
      <c r="BK351" s="290">
        <v>7</v>
      </c>
      <c r="BL351" s="290"/>
      <c r="BM351" s="290">
        <v>0</v>
      </c>
      <c r="BN351" s="290">
        <v>2074</v>
      </c>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f>+innut23!E357+innut23!S357</f>
        <v>112604.82057229101</v>
      </c>
      <c r="CL351" s="290"/>
      <c r="CM351" s="290">
        <v>0</v>
      </c>
      <c r="CN351" s="290">
        <v>0</v>
      </c>
      <c r="CO351" s="290"/>
      <c r="CP351" s="290"/>
      <c r="CQ351" s="290"/>
      <c r="CX351" s="517">
        <f t="shared" si="11"/>
        <v>0</v>
      </c>
      <c r="DB351" s="85">
        <f t="shared" si="12"/>
        <v>0.70899999999999996</v>
      </c>
    </row>
    <row r="352" spans="1:106" ht="13">
      <c r="A352" s="1">
        <v>5437</v>
      </c>
      <c r="B352" s="2" t="s">
        <v>252</v>
      </c>
      <c r="C352" s="289"/>
      <c r="D352" s="290">
        <v>42</v>
      </c>
      <c r="E352" s="290">
        <v>85</v>
      </c>
      <c r="F352" s="290">
        <v>240</v>
      </c>
      <c r="G352" s="290">
        <v>224</v>
      </c>
      <c r="H352" s="290">
        <v>1487</v>
      </c>
      <c r="I352" s="290">
        <v>350</v>
      </c>
      <c r="J352" s="290">
        <v>94</v>
      </c>
      <c r="K352" s="290">
        <v>25</v>
      </c>
      <c r="L352" s="290">
        <v>21</v>
      </c>
      <c r="M352" s="290">
        <v>284</v>
      </c>
      <c r="N352" s="290">
        <v>18</v>
      </c>
      <c r="O352" s="290">
        <v>10</v>
      </c>
      <c r="P352" s="624">
        <v>11658.19033333</v>
      </c>
      <c r="Q352" s="624">
        <v>12657.704333330001</v>
      </c>
      <c r="R352" s="624">
        <v>13</v>
      </c>
      <c r="S352" s="290"/>
      <c r="T352" s="290">
        <v>237</v>
      </c>
      <c r="U352" s="958">
        <v>1.4735146346554671E-3</v>
      </c>
      <c r="V352" s="290">
        <v>1644.4141264100001</v>
      </c>
      <c r="W352" s="765">
        <v>1</v>
      </c>
      <c r="X352" s="290">
        <v>1020</v>
      </c>
      <c r="Y352" s="290"/>
      <c r="Z352" s="290">
        <f>+innut23!E358</f>
        <v>67931.73263005745</v>
      </c>
      <c r="AA352" s="290">
        <v>0</v>
      </c>
      <c r="AB352" s="290">
        <v>60</v>
      </c>
      <c r="AC352" s="290">
        <v>992</v>
      </c>
      <c r="AD352" s="290"/>
      <c r="AE352" s="290">
        <v>0</v>
      </c>
      <c r="AF352" s="290">
        <v>0</v>
      </c>
      <c r="AG352" s="290">
        <v>2547</v>
      </c>
      <c r="AH352" s="290">
        <v>393</v>
      </c>
      <c r="AI352" s="290"/>
      <c r="AJ352" s="290"/>
      <c r="AK352" s="290">
        <v>0</v>
      </c>
      <c r="AL352" s="290">
        <v>23354</v>
      </c>
      <c r="AM352" s="957">
        <v>7.7968490000000001E-2</v>
      </c>
      <c r="AN352" s="290">
        <v>0</v>
      </c>
      <c r="AO352" s="290">
        <v>1271.15253917</v>
      </c>
      <c r="AP352" s="290">
        <v>0</v>
      </c>
      <c r="AQ352" s="290">
        <v>0</v>
      </c>
      <c r="AR352" s="290">
        <v>2211.3019017800002</v>
      </c>
      <c r="AS352" s="290">
        <v>4149</v>
      </c>
      <c r="AT352" s="290">
        <v>100</v>
      </c>
      <c r="AU352" s="290">
        <v>38</v>
      </c>
      <c r="AV352" s="766">
        <v>123916</v>
      </c>
      <c r="AW352" s="290">
        <v>0</v>
      </c>
      <c r="AX352" s="766">
        <v>14.166700000000001</v>
      </c>
      <c r="AY352" s="290">
        <v>737</v>
      </c>
      <c r="AZ352" s="290">
        <v>137</v>
      </c>
      <c r="BA352" s="290">
        <v>77</v>
      </c>
      <c r="BB352" s="290">
        <v>13552</v>
      </c>
      <c r="BC352" s="290">
        <v>1607</v>
      </c>
      <c r="BD352" s="290"/>
      <c r="BE352" s="290">
        <v>133135.9886056</v>
      </c>
      <c r="BF352" s="290">
        <v>0</v>
      </c>
      <c r="BG352" s="290">
        <v>1998</v>
      </c>
      <c r="BH352" s="290">
        <v>-440</v>
      </c>
      <c r="BI352" s="290">
        <v>3902</v>
      </c>
      <c r="BJ352" s="290">
        <v>295.20870761361937</v>
      </c>
      <c r="BK352" s="290">
        <v>4</v>
      </c>
      <c r="BL352" s="290"/>
      <c r="BM352" s="290">
        <v>0</v>
      </c>
      <c r="BN352" s="290">
        <v>519</v>
      </c>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f>+innut23!E358+innut23!S358</f>
        <v>67931.73263005745</v>
      </c>
      <c r="CL352" s="290"/>
      <c r="CM352" s="290">
        <v>0</v>
      </c>
      <c r="CN352" s="290">
        <v>0</v>
      </c>
      <c r="CO352" s="290"/>
      <c r="CP352" s="290"/>
      <c r="CQ352" s="290"/>
      <c r="CX352" s="517">
        <f t="shared" si="11"/>
        <v>0</v>
      </c>
      <c r="DB352" s="85">
        <f t="shared" si="12"/>
        <v>0.46700000000000003</v>
      </c>
    </row>
    <row r="353" spans="1:106" ht="13">
      <c r="A353" s="1">
        <v>5438</v>
      </c>
      <c r="B353" s="2" t="s">
        <v>253</v>
      </c>
      <c r="C353" s="289"/>
      <c r="D353" s="290">
        <v>18</v>
      </c>
      <c r="E353" s="290">
        <v>37</v>
      </c>
      <c r="F353" s="290">
        <v>112</v>
      </c>
      <c r="G353" s="290">
        <v>97</v>
      </c>
      <c r="H353" s="290">
        <v>704</v>
      </c>
      <c r="I353" s="290">
        <v>181</v>
      </c>
      <c r="J353" s="290">
        <v>63</v>
      </c>
      <c r="K353" s="290">
        <v>11</v>
      </c>
      <c r="L353" s="290">
        <v>11</v>
      </c>
      <c r="M353" s="290">
        <v>166</v>
      </c>
      <c r="N353" s="290">
        <v>1.5</v>
      </c>
      <c r="O353" s="290">
        <v>17</v>
      </c>
      <c r="P353" s="624">
        <v>35837.471333330002</v>
      </c>
      <c r="Q353" s="624">
        <v>10721.741666669999</v>
      </c>
      <c r="R353" s="624">
        <v>9</v>
      </c>
      <c r="S353" s="290"/>
      <c r="T353" s="290">
        <v>169</v>
      </c>
      <c r="U353" s="958">
        <v>7.138482744004763E-4</v>
      </c>
      <c r="V353" s="290">
        <v>993.11196184999994</v>
      </c>
      <c r="W353" s="765">
        <v>1</v>
      </c>
      <c r="X353" s="290">
        <v>740</v>
      </c>
      <c r="Y353" s="290"/>
      <c r="Z353" s="290">
        <f>+innut23!E359</f>
        <v>39475.508575940185</v>
      </c>
      <c r="AA353" s="290">
        <v>0</v>
      </c>
      <c r="AB353" s="290">
        <v>27</v>
      </c>
      <c r="AC353" s="290">
        <v>361</v>
      </c>
      <c r="AD353" s="290"/>
      <c r="AE353" s="290">
        <v>0</v>
      </c>
      <c r="AF353" s="290">
        <v>0</v>
      </c>
      <c r="AG353" s="290">
        <v>1223</v>
      </c>
      <c r="AH353" s="290">
        <v>168</v>
      </c>
      <c r="AI353" s="290"/>
      <c r="AJ353" s="290"/>
      <c r="AK353" s="290">
        <v>221</v>
      </c>
      <c r="AL353" s="290">
        <v>11035</v>
      </c>
      <c r="AM353" s="957">
        <v>9.2168109999999998E-2</v>
      </c>
      <c r="AN353" s="290">
        <v>0</v>
      </c>
      <c r="AO353" s="290">
        <v>767.68787844999997</v>
      </c>
      <c r="AP353" s="290">
        <v>0</v>
      </c>
      <c r="AQ353" s="290">
        <v>0</v>
      </c>
      <c r="AR353" s="290">
        <v>570.53674045000002</v>
      </c>
      <c r="AS353" s="290">
        <v>2003</v>
      </c>
      <c r="AT353" s="290">
        <v>76</v>
      </c>
      <c r="AU353" s="290">
        <v>16</v>
      </c>
      <c r="AV353" s="766">
        <v>89135</v>
      </c>
      <c r="AW353" s="290">
        <v>0</v>
      </c>
      <c r="AX353" s="766">
        <v>1.91665</v>
      </c>
      <c r="AY353" s="290">
        <v>212</v>
      </c>
      <c r="AZ353" s="290">
        <v>113</v>
      </c>
      <c r="BA353" s="290">
        <v>23</v>
      </c>
      <c r="BB353" s="290">
        <v>13552</v>
      </c>
      <c r="BC353" s="290">
        <v>1691</v>
      </c>
      <c r="BD353" s="290"/>
      <c r="BE353" s="290">
        <v>93992.312792940007</v>
      </c>
      <c r="BF353" s="290">
        <v>0</v>
      </c>
      <c r="BG353" s="290">
        <v>771</v>
      </c>
      <c r="BH353" s="290">
        <v>-211</v>
      </c>
      <c r="BI353" s="290">
        <v>2558</v>
      </c>
      <c r="BJ353" s="290">
        <v>182.34818569184927</v>
      </c>
      <c r="BK353" s="290">
        <v>3</v>
      </c>
      <c r="BL353" s="290"/>
      <c r="BM353" s="290">
        <v>0</v>
      </c>
      <c r="BN353" s="290">
        <v>1037</v>
      </c>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f>+innut23!E359+innut23!S359</f>
        <v>39475.508575940185</v>
      </c>
      <c r="CL353" s="290"/>
      <c r="CM353" s="290">
        <v>178.05556264615996</v>
      </c>
      <c r="CN353" s="290">
        <v>133.51914112954046</v>
      </c>
      <c r="CO353" s="290"/>
      <c r="CP353" s="290"/>
      <c r="CQ353" s="290"/>
      <c r="CX353" s="517">
        <f t="shared" si="11"/>
        <v>0</v>
      </c>
      <c r="DB353" s="85">
        <f t="shared" si="12"/>
        <v>0.224</v>
      </c>
    </row>
    <row r="354" spans="1:106" ht="13">
      <c r="A354" s="1">
        <v>5439</v>
      </c>
      <c r="B354" s="2" t="s">
        <v>254</v>
      </c>
      <c r="C354" s="289"/>
      <c r="D354" s="290">
        <v>8</v>
      </c>
      <c r="E354" s="290">
        <v>42</v>
      </c>
      <c r="F354" s="290">
        <v>80</v>
      </c>
      <c r="G354" s="290">
        <v>61</v>
      </c>
      <c r="H354" s="290">
        <v>639</v>
      </c>
      <c r="I354" s="290">
        <v>164</v>
      </c>
      <c r="J354" s="290">
        <v>49</v>
      </c>
      <c r="K354" s="290">
        <v>8</v>
      </c>
      <c r="L354" s="290">
        <v>10</v>
      </c>
      <c r="M354" s="290">
        <v>125</v>
      </c>
      <c r="N354" s="290">
        <v>7</v>
      </c>
      <c r="O354" s="290">
        <v>15</v>
      </c>
      <c r="P354" s="624">
        <v>13948.43266667</v>
      </c>
      <c r="Q354" s="624">
        <v>8429.4673333299997</v>
      </c>
      <c r="R354" s="624">
        <v>4</v>
      </c>
      <c r="S354" s="290"/>
      <c r="T354" s="290">
        <v>169</v>
      </c>
      <c r="U354" s="958">
        <v>3.3177053960441552E-4</v>
      </c>
      <c r="V354" s="290">
        <v>829.04818792000003</v>
      </c>
      <c r="W354" s="765">
        <v>1</v>
      </c>
      <c r="X354" s="290">
        <v>690</v>
      </c>
      <c r="Y354" s="290"/>
      <c r="Z354" s="290">
        <f>+innut23!E360</f>
        <v>30428.964167251339</v>
      </c>
      <c r="AA354" s="290">
        <v>0</v>
      </c>
      <c r="AB354" s="290">
        <v>22</v>
      </c>
      <c r="AC354" s="290">
        <v>313</v>
      </c>
      <c r="AD354" s="290"/>
      <c r="AE354" s="290">
        <v>0</v>
      </c>
      <c r="AF354" s="290">
        <v>0</v>
      </c>
      <c r="AG354" s="290">
        <v>1051</v>
      </c>
      <c r="AH354" s="290">
        <v>132</v>
      </c>
      <c r="AI354" s="290"/>
      <c r="AJ354" s="290"/>
      <c r="AK354" s="290">
        <v>0</v>
      </c>
      <c r="AL354" s="290">
        <v>9553</v>
      </c>
      <c r="AM354" s="957">
        <v>0.23171916000000001</v>
      </c>
      <c r="AN354" s="290">
        <v>0</v>
      </c>
      <c r="AO354" s="290">
        <v>640.86454393999998</v>
      </c>
      <c r="AP354" s="290">
        <v>0</v>
      </c>
      <c r="AQ354" s="290">
        <v>0</v>
      </c>
      <c r="AR354" s="290">
        <v>-43.131574630000003</v>
      </c>
      <c r="AS354" s="290">
        <v>1663</v>
      </c>
      <c r="AT354" s="290">
        <v>67</v>
      </c>
      <c r="AU354" s="290">
        <v>28</v>
      </c>
      <c r="AV354" s="766">
        <v>71333</v>
      </c>
      <c r="AW354" s="290">
        <v>0</v>
      </c>
      <c r="AX354" s="766">
        <v>0</v>
      </c>
      <c r="AY354" s="290">
        <v>136</v>
      </c>
      <c r="AZ354" s="290">
        <v>138</v>
      </c>
      <c r="BA354" s="290">
        <v>17</v>
      </c>
      <c r="BB354" s="290">
        <v>13552</v>
      </c>
      <c r="BC354" s="290">
        <v>1849</v>
      </c>
      <c r="BD354" s="290"/>
      <c r="BE354" s="290">
        <v>80742.368332219994</v>
      </c>
      <c r="BF354" s="290">
        <v>0</v>
      </c>
      <c r="BG354" s="290">
        <v>805</v>
      </c>
      <c r="BH354" s="290">
        <v>-183</v>
      </c>
      <c r="BI354" s="290">
        <v>2806</v>
      </c>
      <c r="BJ354" s="290">
        <v>134.4524406388982</v>
      </c>
      <c r="BK354" s="290">
        <v>3</v>
      </c>
      <c r="BL354" s="290"/>
      <c r="BM354" s="290">
        <v>0</v>
      </c>
      <c r="BN354" s="290">
        <v>1556</v>
      </c>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f>+innut23!E360+innut23!S360</f>
        <v>30428.964167251339</v>
      </c>
      <c r="CL354" s="290"/>
      <c r="CM354" s="290">
        <v>0</v>
      </c>
      <c r="CN354" s="290">
        <v>0</v>
      </c>
      <c r="CO354" s="290"/>
      <c r="CP354" s="290"/>
      <c r="CQ354" s="290"/>
      <c r="CX354" s="517">
        <f t="shared" si="11"/>
        <v>0</v>
      </c>
      <c r="DB354" s="85">
        <f t="shared" si="12"/>
        <v>0.193</v>
      </c>
    </row>
    <row r="355" spans="1:106" ht="13">
      <c r="A355" s="1">
        <v>5440</v>
      </c>
      <c r="B355" s="2" t="s">
        <v>255</v>
      </c>
      <c r="C355" s="289"/>
      <c r="D355" s="290">
        <v>12</v>
      </c>
      <c r="E355" s="290">
        <v>27</v>
      </c>
      <c r="F355" s="290">
        <v>53</v>
      </c>
      <c r="G355" s="290">
        <v>56</v>
      </c>
      <c r="H355" s="290">
        <v>536</v>
      </c>
      <c r="I355" s="290">
        <v>154</v>
      </c>
      <c r="J355" s="290">
        <v>41</v>
      </c>
      <c r="K355" s="290">
        <v>14</v>
      </c>
      <c r="L355" s="290">
        <v>9</v>
      </c>
      <c r="M355" s="290">
        <v>125</v>
      </c>
      <c r="N355" s="290">
        <v>1.5</v>
      </c>
      <c r="O355" s="290">
        <v>6</v>
      </c>
      <c r="P355" s="624">
        <v>1693.3566666700001</v>
      </c>
      <c r="Q355" s="624">
        <v>1518.8636666699999</v>
      </c>
      <c r="R355" s="624">
        <v>2</v>
      </c>
      <c r="S355" s="290"/>
      <c r="T355" s="290">
        <v>119</v>
      </c>
      <c r="U355" s="958">
        <v>2.0089852675028242E-4</v>
      </c>
      <c r="V355" s="290">
        <v>658.28251587</v>
      </c>
      <c r="W355" s="765">
        <v>1</v>
      </c>
      <c r="X355" s="290">
        <v>630</v>
      </c>
      <c r="Y355" s="290"/>
      <c r="Z355" s="290">
        <f>+innut23!E361</f>
        <v>28645.21305118053</v>
      </c>
      <c r="AA355" s="290">
        <v>0</v>
      </c>
      <c r="AB355" s="290">
        <v>13</v>
      </c>
      <c r="AC355" s="290">
        <v>0</v>
      </c>
      <c r="AD355" s="290"/>
      <c r="AE355" s="290">
        <v>0</v>
      </c>
      <c r="AF355" s="290">
        <v>0</v>
      </c>
      <c r="AG355" s="290">
        <v>893</v>
      </c>
      <c r="AH355" s="290">
        <v>100</v>
      </c>
      <c r="AI355" s="290"/>
      <c r="AJ355" s="290"/>
      <c r="AK355" s="290">
        <v>0</v>
      </c>
      <c r="AL355" s="290">
        <v>8188</v>
      </c>
      <c r="AM355" s="957">
        <v>4.2980570000000003E-2</v>
      </c>
      <c r="AN355" s="290">
        <v>0</v>
      </c>
      <c r="AO355" s="290">
        <v>508.86055897</v>
      </c>
      <c r="AP355" s="290">
        <v>0</v>
      </c>
      <c r="AQ355" s="290">
        <v>0</v>
      </c>
      <c r="AR355" s="290">
        <v>708.15293186999997</v>
      </c>
      <c r="AS355" s="290">
        <v>1452</v>
      </c>
      <c r="AT355" s="290">
        <v>40</v>
      </c>
      <c r="AU355" s="290">
        <v>14</v>
      </c>
      <c r="AV355" s="766">
        <v>61776</v>
      </c>
      <c r="AW355" s="290">
        <v>0</v>
      </c>
      <c r="AX355" s="766">
        <v>5.5833000000000004</v>
      </c>
      <c r="AY355" s="290">
        <v>142</v>
      </c>
      <c r="AZ355" s="290">
        <v>63</v>
      </c>
      <c r="BA355" s="290">
        <v>17</v>
      </c>
      <c r="BB355" s="290">
        <v>13552</v>
      </c>
      <c r="BC355" s="290">
        <v>638</v>
      </c>
      <c r="BD355" s="290"/>
      <c r="BE355" s="290">
        <v>64557.296635979998</v>
      </c>
      <c r="BF355" s="290">
        <v>0</v>
      </c>
      <c r="BG355" s="290">
        <v>613</v>
      </c>
      <c r="BH355" s="290">
        <v>-154</v>
      </c>
      <c r="BI355" s="290">
        <v>1232</v>
      </c>
      <c r="BJ355" s="290">
        <v>88.469502973053807</v>
      </c>
      <c r="BK355" s="290">
        <v>2</v>
      </c>
      <c r="BL355" s="290"/>
      <c r="BM355" s="290">
        <v>0</v>
      </c>
      <c r="BN355" s="290">
        <v>519</v>
      </c>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f>+innut23!E361+innut23!S361</f>
        <v>28645.21305118053</v>
      </c>
      <c r="CL355" s="290"/>
      <c r="CM355" s="290">
        <v>0</v>
      </c>
      <c r="CN355" s="290">
        <v>0</v>
      </c>
      <c r="CO355" s="290"/>
      <c r="CP355" s="290"/>
      <c r="CQ355" s="290"/>
      <c r="CX355" s="517">
        <f t="shared" si="11"/>
        <v>0</v>
      </c>
      <c r="DB355" s="85">
        <f t="shared" si="12"/>
        <v>0.16400000000000001</v>
      </c>
    </row>
    <row r="356" spans="1:106" ht="13">
      <c r="A356" s="1">
        <v>5441</v>
      </c>
      <c r="B356" s="2" t="s">
        <v>256</v>
      </c>
      <c r="C356" s="289"/>
      <c r="D356" s="290">
        <v>57</v>
      </c>
      <c r="E356" s="290">
        <v>94</v>
      </c>
      <c r="F356" s="290">
        <v>258</v>
      </c>
      <c r="G356" s="290">
        <v>217</v>
      </c>
      <c r="H356" s="290">
        <v>1577</v>
      </c>
      <c r="I356" s="290">
        <v>453</v>
      </c>
      <c r="J356" s="290">
        <v>140</v>
      </c>
      <c r="K356" s="290">
        <v>20</v>
      </c>
      <c r="L356" s="290">
        <v>28</v>
      </c>
      <c r="M356" s="290">
        <v>342</v>
      </c>
      <c r="N356" s="290">
        <v>13</v>
      </c>
      <c r="O356" s="290">
        <v>9</v>
      </c>
      <c r="P356" s="624">
        <v>42069.324333329998</v>
      </c>
      <c r="Q356" s="624">
        <v>23967.528666670001</v>
      </c>
      <c r="R356" s="624">
        <v>21</v>
      </c>
      <c r="S356" s="290"/>
      <c r="T356" s="290">
        <v>326</v>
      </c>
      <c r="U356" s="958">
        <v>2.4236580664280119E-3</v>
      </c>
      <c r="V356" s="290">
        <v>-1870.8793189099999</v>
      </c>
      <c r="W356" s="765">
        <v>1</v>
      </c>
      <c r="X356" s="290">
        <v>370</v>
      </c>
      <c r="Y356" s="290"/>
      <c r="Z356" s="290">
        <f>+innut23!E362</f>
        <v>82918.602405646176</v>
      </c>
      <c r="AA356" s="290">
        <v>0</v>
      </c>
      <c r="AB356" s="290">
        <v>57</v>
      </c>
      <c r="AC356" s="290">
        <v>972</v>
      </c>
      <c r="AD356" s="290"/>
      <c r="AE356" s="290">
        <v>0</v>
      </c>
      <c r="AF356" s="290">
        <v>0</v>
      </c>
      <c r="AG356" s="290">
        <v>2816</v>
      </c>
      <c r="AH356" s="290">
        <v>417</v>
      </c>
      <c r="AI356" s="290"/>
      <c r="AJ356" s="290"/>
      <c r="AK356" s="290">
        <v>0</v>
      </c>
      <c r="AL356" s="290">
        <v>25496</v>
      </c>
      <c r="AM356" s="957">
        <v>9.6744410000000003E-2</v>
      </c>
      <c r="AN356" s="290">
        <v>0</v>
      </c>
      <c r="AO356" s="290">
        <v>1523.70076281</v>
      </c>
      <c r="AP356" s="290">
        <v>0</v>
      </c>
      <c r="AQ356" s="290">
        <v>0</v>
      </c>
      <c r="AR356" s="290">
        <v>-115.56471376</v>
      </c>
      <c r="AS356" s="290">
        <v>4478</v>
      </c>
      <c r="AT356" s="290">
        <v>153</v>
      </c>
      <c r="AU356" s="290">
        <v>37</v>
      </c>
      <c r="AV356" s="766">
        <v>142029</v>
      </c>
      <c r="AW356" s="290">
        <v>0</v>
      </c>
      <c r="AX356" s="766">
        <v>22.999949999999998</v>
      </c>
      <c r="AY356" s="290">
        <v>585</v>
      </c>
      <c r="AZ356" s="290">
        <v>136</v>
      </c>
      <c r="BA356" s="290">
        <v>61</v>
      </c>
      <c r="BB356" s="290">
        <v>13552</v>
      </c>
      <c r="BC356" s="290">
        <v>3083</v>
      </c>
      <c r="BD356" s="290"/>
      <c r="BE356" s="290">
        <v>158950.06089180001</v>
      </c>
      <c r="BF356" s="290">
        <v>0</v>
      </c>
      <c r="BG356" s="290">
        <v>2218</v>
      </c>
      <c r="BH356" s="290">
        <v>-479</v>
      </c>
      <c r="BI356" s="290">
        <v>5681</v>
      </c>
      <c r="BJ356" s="290">
        <v>344.20472415370466</v>
      </c>
      <c r="BK356" s="290">
        <v>5</v>
      </c>
      <c r="BL356" s="290"/>
      <c r="BM356" s="290">
        <v>0</v>
      </c>
      <c r="BN356" s="290">
        <v>2074</v>
      </c>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f>+innut23!E362+innut23!S362</f>
        <v>82918.602405646176</v>
      </c>
      <c r="CL356" s="290"/>
      <c r="CM356" s="290">
        <v>0</v>
      </c>
      <c r="CN356" s="290">
        <v>0</v>
      </c>
      <c r="CO356" s="290"/>
      <c r="CP356" s="290"/>
      <c r="CQ356" s="290"/>
      <c r="CX356" s="517">
        <f t="shared" si="11"/>
        <v>0</v>
      </c>
      <c r="DB356" s="85">
        <f t="shared" si="12"/>
        <v>0.51600000000000001</v>
      </c>
    </row>
    <row r="357" spans="1:106" ht="13">
      <c r="A357" s="1">
        <v>5442</v>
      </c>
      <c r="B357" s="2" t="s">
        <v>257</v>
      </c>
      <c r="C357" s="289"/>
      <c r="D357" s="290">
        <v>10</v>
      </c>
      <c r="E357" s="290">
        <v>19</v>
      </c>
      <c r="F357" s="290">
        <v>91</v>
      </c>
      <c r="G357" s="290">
        <v>45</v>
      </c>
      <c r="H357" s="290">
        <v>458</v>
      </c>
      <c r="I357" s="290">
        <v>165</v>
      </c>
      <c r="J357" s="290">
        <v>60</v>
      </c>
      <c r="K357" s="290">
        <v>9</v>
      </c>
      <c r="L357" s="290">
        <v>8</v>
      </c>
      <c r="M357" s="290">
        <v>147</v>
      </c>
      <c r="N357" s="290">
        <v>8</v>
      </c>
      <c r="O357" s="290">
        <v>1.5</v>
      </c>
      <c r="P357" s="624">
        <v>6740.2913333300003</v>
      </c>
      <c r="Q357" s="624">
        <v>4045.3069999999998</v>
      </c>
      <c r="R357" s="624">
        <v>4</v>
      </c>
      <c r="S357" s="290"/>
      <c r="T357" s="290">
        <v>97</v>
      </c>
      <c r="U357" s="958">
        <v>8.2898124903337271E-4</v>
      </c>
      <c r="V357" s="290">
        <v>731.06331569999998</v>
      </c>
      <c r="W357" s="765">
        <v>1</v>
      </c>
      <c r="X357" s="290">
        <v>330</v>
      </c>
      <c r="Y357" s="290"/>
      <c r="Z357" s="290">
        <f>+innut23!E363</f>
        <v>21812.032176318946</v>
      </c>
      <c r="AA357" s="290">
        <v>0</v>
      </c>
      <c r="AB357" s="290">
        <v>14</v>
      </c>
      <c r="AC357" s="290">
        <v>0</v>
      </c>
      <c r="AD357" s="290"/>
      <c r="AE357" s="290">
        <v>0</v>
      </c>
      <c r="AF357" s="290">
        <v>0</v>
      </c>
      <c r="AG357" s="290">
        <v>857</v>
      </c>
      <c r="AH357" s="290">
        <v>117</v>
      </c>
      <c r="AI357" s="290"/>
      <c r="AJ357" s="290"/>
      <c r="AK357" s="290">
        <v>0</v>
      </c>
      <c r="AL357" s="290">
        <v>7718</v>
      </c>
      <c r="AM357" s="957">
        <v>3.6095460000000003E-2</v>
      </c>
      <c r="AN357" s="290">
        <v>0</v>
      </c>
      <c r="AO357" s="290">
        <v>565.12102099000003</v>
      </c>
      <c r="AP357" s="290">
        <v>0</v>
      </c>
      <c r="AQ357" s="290">
        <v>0</v>
      </c>
      <c r="AR357" s="290">
        <v>-35.170085120000003</v>
      </c>
      <c r="AS357" s="290">
        <v>1391</v>
      </c>
      <c r="AT357" s="290">
        <v>45</v>
      </c>
      <c r="AU357" s="290">
        <v>9</v>
      </c>
      <c r="AV357" s="766">
        <v>67787</v>
      </c>
      <c r="AW357" s="290">
        <v>0</v>
      </c>
      <c r="AX357" s="766">
        <v>4.0416999999999996</v>
      </c>
      <c r="AY357" s="290">
        <v>191</v>
      </c>
      <c r="AZ357" s="290">
        <v>65</v>
      </c>
      <c r="BA357" s="290">
        <v>17</v>
      </c>
      <c r="BB357" s="290">
        <v>13552</v>
      </c>
      <c r="BC357" s="290">
        <v>614</v>
      </c>
      <c r="BD357" s="290"/>
      <c r="BE357" s="290">
        <v>72874.594226340007</v>
      </c>
      <c r="BF357" s="290">
        <v>0</v>
      </c>
      <c r="BG357" s="290">
        <v>469</v>
      </c>
      <c r="BH357" s="290">
        <v>-147</v>
      </c>
      <c r="BI357" s="290">
        <v>1105</v>
      </c>
      <c r="BJ357" s="290">
        <v>130.44471234107047</v>
      </c>
      <c r="BK357" s="290">
        <v>1</v>
      </c>
      <c r="BL357" s="290"/>
      <c r="BM357" s="290">
        <v>0</v>
      </c>
      <c r="BN357" s="290">
        <v>519</v>
      </c>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f>+innut23!E363+innut23!S363</f>
        <v>21812.032176318946</v>
      </c>
      <c r="CL357" s="290"/>
      <c r="CM357" s="290">
        <v>0</v>
      </c>
      <c r="CN357" s="290">
        <v>0</v>
      </c>
      <c r="CO357" s="290"/>
      <c r="CP357" s="290"/>
      <c r="CQ357" s="290"/>
      <c r="CX357" s="517">
        <f t="shared" si="11"/>
        <v>0</v>
      </c>
      <c r="DB357" s="85">
        <f t="shared" si="12"/>
        <v>0.157</v>
      </c>
    </row>
    <row r="358" spans="1:106" ht="13">
      <c r="A358" s="1">
        <v>5443</v>
      </c>
      <c r="B358" s="2" t="s">
        <v>258</v>
      </c>
      <c r="C358" s="289"/>
      <c r="D358" s="290">
        <v>41</v>
      </c>
      <c r="E358" s="290">
        <v>85</v>
      </c>
      <c r="F358" s="290">
        <v>197</v>
      </c>
      <c r="G358" s="290">
        <v>181</v>
      </c>
      <c r="H358" s="290">
        <v>1287</v>
      </c>
      <c r="I358" s="290">
        <v>268</v>
      </c>
      <c r="J358" s="290">
        <v>78</v>
      </c>
      <c r="K358" s="290">
        <v>14</v>
      </c>
      <c r="L358" s="290">
        <v>21</v>
      </c>
      <c r="M358" s="290">
        <v>161</v>
      </c>
      <c r="N358" s="290">
        <v>38</v>
      </c>
      <c r="O358" s="290">
        <v>39</v>
      </c>
      <c r="P358" s="624">
        <v>3102.16766667</v>
      </c>
      <c r="Q358" s="624">
        <v>2866.8826666700002</v>
      </c>
      <c r="R358" s="624">
        <v>9</v>
      </c>
      <c r="S358" s="290"/>
      <c r="T358" s="290">
        <v>246</v>
      </c>
      <c r="U358" s="958">
        <v>2.1494532750235626E-4</v>
      </c>
      <c r="V358" s="290">
        <v>1360.9808430200001</v>
      </c>
      <c r="W358" s="765">
        <v>1</v>
      </c>
      <c r="X358" s="290">
        <v>690</v>
      </c>
      <c r="Y358" s="290"/>
      <c r="Z358" s="290">
        <f>+innut23!E364</f>
        <v>65156.822175402282</v>
      </c>
      <c r="AA358" s="290">
        <v>0</v>
      </c>
      <c r="AB358" s="290">
        <v>52</v>
      </c>
      <c r="AC358" s="290">
        <v>830</v>
      </c>
      <c r="AD358" s="290"/>
      <c r="AE358" s="290">
        <v>0</v>
      </c>
      <c r="AF358" s="290">
        <v>0</v>
      </c>
      <c r="AG358" s="290">
        <v>2151</v>
      </c>
      <c r="AH358" s="290">
        <v>336</v>
      </c>
      <c r="AI358" s="290"/>
      <c r="AJ358" s="290"/>
      <c r="AK358" s="290">
        <v>0</v>
      </c>
      <c r="AL358" s="290">
        <v>19567</v>
      </c>
      <c r="AM358" s="957">
        <v>0.13165572</v>
      </c>
      <c r="AN358" s="290">
        <v>0</v>
      </c>
      <c r="AO358" s="290">
        <v>1052.0550915900001</v>
      </c>
      <c r="AP358" s="290">
        <v>0</v>
      </c>
      <c r="AQ358" s="290">
        <v>0</v>
      </c>
      <c r="AR358" s="290">
        <v>-88.27404095</v>
      </c>
      <c r="AS358" s="290">
        <v>3420</v>
      </c>
      <c r="AT358" s="290">
        <v>110</v>
      </c>
      <c r="AU358" s="290">
        <v>33</v>
      </c>
      <c r="AV358" s="766">
        <v>98592</v>
      </c>
      <c r="AW358" s="290">
        <v>0</v>
      </c>
      <c r="AX358" s="766">
        <v>20.083300000000001</v>
      </c>
      <c r="AY358" s="290">
        <v>284</v>
      </c>
      <c r="AZ358" s="290">
        <v>170</v>
      </c>
      <c r="BA358" s="290">
        <v>47</v>
      </c>
      <c r="BB358" s="290">
        <v>10842</v>
      </c>
      <c r="BC358" s="290">
        <v>1428</v>
      </c>
      <c r="BD358" s="290"/>
      <c r="BE358" s="290">
        <v>108758.26631820999</v>
      </c>
      <c r="BF358" s="290">
        <v>0</v>
      </c>
      <c r="BG358" s="290">
        <v>1900</v>
      </c>
      <c r="BH358" s="290">
        <v>-368</v>
      </c>
      <c r="BI358" s="290">
        <v>3585</v>
      </c>
      <c r="BJ358" s="290">
        <v>246.80015253417227</v>
      </c>
      <c r="BK358" s="290">
        <v>4</v>
      </c>
      <c r="BL358" s="290"/>
      <c r="BM358" s="290">
        <v>0</v>
      </c>
      <c r="BN358" s="290">
        <v>519</v>
      </c>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f>+innut23!E364+innut23!S364</f>
        <v>65156.822175402282</v>
      </c>
      <c r="CL358" s="290"/>
      <c r="CM358" s="290">
        <v>0</v>
      </c>
      <c r="CN358" s="290">
        <v>0</v>
      </c>
      <c r="CO358" s="290"/>
      <c r="CP358" s="290"/>
      <c r="CQ358" s="290"/>
      <c r="CX358" s="517">
        <f t="shared" si="11"/>
        <v>0</v>
      </c>
      <c r="DB358" s="85">
        <f t="shared" si="12"/>
        <v>0.39400000000000002</v>
      </c>
    </row>
    <row r="359" spans="1:106" ht="13">
      <c r="A359" s="1">
        <v>5444</v>
      </c>
      <c r="B359" s="2" t="s">
        <v>260</v>
      </c>
      <c r="C359" s="289"/>
      <c r="D359" s="290">
        <v>173</v>
      </c>
      <c r="E359" s="290">
        <v>365</v>
      </c>
      <c r="F359" s="290">
        <v>999</v>
      </c>
      <c r="G359" s="290">
        <v>840</v>
      </c>
      <c r="H359" s="290">
        <v>5793</v>
      </c>
      <c r="I359" s="290">
        <v>1247</v>
      </c>
      <c r="J359" s="290">
        <v>402</v>
      </c>
      <c r="K359" s="290">
        <v>77</v>
      </c>
      <c r="L359" s="290">
        <v>88</v>
      </c>
      <c r="M359" s="290">
        <v>820</v>
      </c>
      <c r="N359" s="290">
        <v>180</v>
      </c>
      <c r="O359" s="290">
        <v>104</v>
      </c>
      <c r="P359" s="624">
        <v>84798.217333330002</v>
      </c>
      <c r="Q359" s="624">
        <v>37978.760666670001</v>
      </c>
      <c r="R359" s="624">
        <v>26</v>
      </c>
      <c r="S359" s="290"/>
      <c r="T359" s="290">
        <v>1028</v>
      </c>
      <c r="U359" s="958">
        <v>1.518261062193829E-3</v>
      </c>
      <c r="V359" s="290">
        <v>5641.7640505999998</v>
      </c>
      <c r="W359" s="765">
        <v>0.67417020000000005</v>
      </c>
      <c r="X359" s="290">
        <v>1150</v>
      </c>
      <c r="Y359" s="290"/>
      <c r="Z359" s="290">
        <f>+innut23!E365</f>
        <v>302811.26259231038</v>
      </c>
      <c r="AA359" s="290">
        <v>0</v>
      </c>
      <c r="AB359" s="290">
        <v>246</v>
      </c>
      <c r="AC359" s="290">
        <v>2329</v>
      </c>
      <c r="AD359" s="290"/>
      <c r="AE359" s="290">
        <v>0</v>
      </c>
      <c r="AF359" s="290">
        <v>0</v>
      </c>
      <c r="AG359" s="290">
        <v>9896</v>
      </c>
      <c r="AH359" s="290">
        <v>1580</v>
      </c>
      <c r="AI359" s="290"/>
      <c r="AJ359" s="290"/>
      <c r="AK359" s="290">
        <v>0</v>
      </c>
      <c r="AL359" s="290">
        <v>89702</v>
      </c>
      <c r="AM359" s="957">
        <v>0.26918969999999998</v>
      </c>
      <c r="AN359" s="290">
        <v>0</v>
      </c>
      <c r="AO359" s="290">
        <v>4361.1536675500001</v>
      </c>
      <c r="AP359" s="290">
        <v>0</v>
      </c>
      <c r="AQ359" s="290">
        <v>0</v>
      </c>
      <c r="AR359" s="290">
        <v>-406.11804239999998</v>
      </c>
      <c r="AS359" s="290">
        <v>15888</v>
      </c>
      <c r="AT359" s="290">
        <v>483</v>
      </c>
      <c r="AU359" s="290">
        <v>122</v>
      </c>
      <c r="AV359" s="766">
        <v>333218</v>
      </c>
      <c r="AW359" s="290">
        <v>0</v>
      </c>
      <c r="AX359" s="766">
        <v>74</v>
      </c>
      <c r="AY359" s="290">
        <v>2513</v>
      </c>
      <c r="AZ359" s="290">
        <v>450</v>
      </c>
      <c r="BA359" s="290">
        <v>205</v>
      </c>
      <c r="BB359" s="290">
        <v>0</v>
      </c>
      <c r="BC359" s="290">
        <v>6715</v>
      </c>
      <c r="BD359" s="290"/>
      <c r="BE359" s="290">
        <v>379895.50033933</v>
      </c>
      <c r="BF359" s="290">
        <v>0</v>
      </c>
      <c r="BG359" s="290">
        <v>8502</v>
      </c>
      <c r="BH359" s="290">
        <v>-1683</v>
      </c>
      <c r="BI359" s="290">
        <v>16041</v>
      </c>
      <c r="BJ359" s="290">
        <v>1148.642860149555</v>
      </c>
      <c r="BK359" s="290">
        <v>17</v>
      </c>
      <c r="BL359" s="290"/>
      <c r="BM359" s="290">
        <v>0</v>
      </c>
      <c r="BN359" s="290">
        <v>3630</v>
      </c>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f>+innut23!E365+innut23!S365</f>
        <v>302811.26259231038</v>
      </c>
      <c r="CL359" s="290"/>
      <c r="CM359" s="290">
        <v>0</v>
      </c>
      <c r="CN359" s="290">
        <v>0</v>
      </c>
      <c r="CO359" s="290"/>
      <c r="CP359" s="290"/>
      <c r="CQ359" s="290"/>
      <c r="CX359" s="517">
        <f t="shared" si="11"/>
        <v>0</v>
      </c>
      <c r="DB359" s="85">
        <f t="shared" si="12"/>
        <v>1.8140000000000001</v>
      </c>
    </row>
    <row r="360" spans="1:106"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v>0</v>
      </c>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P360" s="290"/>
      <c r="BQ360" s="290"/>
      <c r="BU360" s="289"/>
      <c r="CK360" s="290"/>
      <c r="CL360" s="289"/>
      <c r="CM360" s="289"/>
      <c r="CN360" s="289"/>
      <c r="CO360" s="289"/>
      <c r="CP360" s="290"/>
      <c r="CQ360" s="290"/>
    </row>
    <row r="361" spans="1:106" ht="13">
      <c r="A361" s="1"/>
      <c r="B361" s="2" t="s">
        <v>261</v>
      </c>
      <c r="C361" s="289">
        <f t="shared" ref="C361:AH361" si="13">SUM(C4:C359)</f>
        <v>0</v>
      </c>
      <c r="D361" s="289">
        <f t="shared" si="13"/>
        <v>109740</v>
      </c>
      <c r="E361" s="289">
        <f t="shared" si="13"/>
        <v>228507</v>
      </c>
      <c r="F361" s="289">
        <f t="shared" si="13"/>
        <v>643155</v>
      </c>
      <c r="G361" s="289">
        <f t="shared" si="13"/>
        <v>453296</v>
      </c>
      <c r="H361" s="289">
        <f t="shared" si="13"/>
        <v>3138464</v>
      </c>
      <c r="I361" s="289">
        <f t="shared" si="13"/>
        <v>639203</v>
      </c>
      <c r="J361" s="289">
        <f t="shared" si="13"/>
        <v>196967</v>
      </c>
      <c r="K361" s="289">
        <f t="shared" si="13"/>
        <v>46460</v>
      </c>
      <c r="L361" s="289">
        <f t="shared" si="13"/>
        <v>40709</v>
      </c>
      <c r="M361" s="289">
        <f t="shared" si="13"/>
        <v>388016</v>
      </c>
      <c r="N361" s="290">
        <f t="shared" si="13"/>
        <v>177205.5</v>
      </c>
      <c r="O361" s="289">
        <f t="shared" si="13"/>
        <v>48588</v>
      </c>
      <c r="P361" s="289">
        <f t="shared" si="13"/>
        <v>21404993.032999922</v>
      </c>
      <c r="Q361" s="289">
        <f t="shared" si="13"/>
        <v>9740388.0300000217</v>
      </c>
      <c r="R361" s="289">
        <f t="shared" si="13"/>
        <v>20146</v>
      </c>
      <c r="S361" s="289">
        <f t="shared" si="13"/>
        <v>0</v>
      </c>
      <c r="T361" s="289">
        <f t="shared" si="13"/>
        <v>515435</v>
      </c>
      <c r="U361" s="958">
        <f t="shared" si="13"/>
        <v>1.0000000000000004</v>
      </c>
      <c r="V361" s="178">
        <f t="shared" si="13"/>
        <v>-2.9970578907523304E-8</v>
      </c>
      <c r="W361" s="801">
        <f t="shared" si="13"/>
        <v>274.56015800000011</v>
      </c>
      <c r="X361" s="289">
        <f t="shared" si="13"/>
        <v>417099</v>
      </c>
      <c r="Y361" s="289">
        <f t="shared" si="13"/>
        <v>0</v>
      </c>
      <c r="Z361" s="289">
        <f t="shared" si="13"/>
        <v>200884999.99999997</v>
      </c>
      <c r="AA361" s="289">
        <f t="shared" si="13"/>
        <v>-4528</v>
      </c>
      <c r="AB361" s="289">
        <f t="shared" si="13"/>
        <v>121768</v>
      </c>
      <c r="AC361" s="289">
        <f t="shared" si="13"/>
        <v>928113</v>
      </c>
      <c r="AD361" s="289">
        <f t="shared" si="13"/>
        <v>0</v>
      </c>
      <c r="AE361" s="289">
        <f t="shared" si="13"/>
        <v>173901</v>
      </c>
      <c r="AF361" s="289">
        <f t="shared" si="13"/>
        <v>1452684</v>
      </c>
      <c r="AG361" s="289">
        <f t="shared" si="13"/>
        <v>5455792</v>
      </c>
      <c r="AH361" s="289">
        <f t="shared" si="13"/>
        <v>987447</v>
      </c>
      <c r="AI361" s="289">
        <f t="shared" ref="AI361:CJ361" si="14">SUM(AI4:AI359)</f>
        <v>0</v>
      </c>
      <c r="AJ361" s="289">
        <f t="shared" si="14"/>
        <v>0</v>
      </c>
      <c r="AK361" s="289">
        <f t="shared" si="14"/>
        <v>237200</v>
      </c>
      <c r="AL361" s="289">
        <f t="shared" si="14"/>
        <v>1839475</v>
      </c>
      <c r="AM361" s="617">
        <f t="shared" si="14"/>
        <v>233.69029071</v>
      </c>
      <c r="AN361" s="289">
        <f t="shared" si="14"/>
        <v>473727</v>
      </c>
      <c r="AO361" s="289">
        <f t="shared" si="14"/>
        <v>2445595.0000000014</v>
      </c>
      <c r="AP361" s="289">
        <f t="shared" si="14"/>
        <v>635647</v>
      </c>
      <c r="AQ361" s="289">
        <f t="shared" si="14"/>
        <v>-13238.653809059999</v>
      </c>
      <c r="AR361" s="289">
        <f t="shared" si="14"/>
        <v>-1.0018368357123109E-8</v>
      </c>
      <c r="AS361" s="176">
        <f t="shared" si="14"/>
        <v>9345100</v>
      </c>
      <c r="AT361" s="289">
        <f t="shared" si="14"/>
        <v>275059</v>
      </c>
      <c r="AU361" s="289">
        <f t="shared" si="14"/>
        <v>78467</v>
      </c>
      <c r="AV361" s="289">
        <f t="shared" si="14"/>
        <v>139762659</v>
      </c>
      <c r="AW361" s="289">
        <f t="shared" si="14"/>
        <v>-19096</v>
      </c>
      <c r="AX361" s="625">
        <f t="shared" si="14"/>
        <v>41007.707449999973</v>
      </c>
      <c r="AY361" s="289">
        <f t="shared" si="14"/>
        <v>1533254</v>
      </c>
      <c r="AZ361" s="289">
        <f t="shared" si="14"/>
        <v>285349</v>
      </c>
      <c r="BA361" s="289">
        <f t="shared" si="14"/>
        <v>107249</v>
      </c>
      <c r="BB361" s="289">
        <f>SUM(BB4:BB359)</f>
        <v>705300</v>
      </c>
      <c r="BC361" s="289">
        <f t="shared" si="14"/>
        <v>4337638</v>
      </c>
      <c r="BD361" s="289">
        <f t="shared" si="14"/>
        <v>0</v>
      </c>
      <c r="BE361" s="289">
        <f t="shared" si="14"/>
        <v>162542403.99999982</v>
      </c>
      <c r="BF361" s="289">
        <f t="shared" si="14"/>
        <v>-192339</v>
      </c>
      <c r="BG361" s="289">
        <f t="shared" si="14"/>
        <v>77200</v>
      </c>
      <c r="BH361" s="289">
        <f t="shared" si="14"/>
        <v>-913450</v>
      </c>
      <c r="BI361" s="289">
        <f t="shared" si="14"/>
        <v>4753179</v>
      </c>
      <c r="BJ361" s="289">
        <f t="shared" si="14"/>
        <v>689999.99997482612</v>
      </c>
      <c r="BK361" s="289">
        <f t="shared" si="14"/>
        <v>10000</v>
      </c>
      <c r="BL361" s="289">
        <f t="shared" si="14"/>
        <v>0</v>
      </c>
      <c r="BM361" s="289">
        <f t="shared" si="14"/>
        <v>212149</v>
      </c>
      <c r="BN361" s="289">
        <f t="shared" si="14"/>
        <v>1286498</v>
      </c>
      <c r="BO361" s="289">
        <f t="shared" si="14"/>
        <v>0</v>
      </c>
      <c r="BP361" s="289">
        <f t="shared" si="14"/>
        <v>0</v>
      </c>
      <c r="BQ361" s="289">
        <f t="shared" si="14"/>
        <v>0</v>
      </c>
      <c r="BR361" s="289">
        <f t="shared" si="14"/>
        <v>0</v>
      </c>
      <c r="BS361" s="289">
        <f t="shared" si="14"/>
        <v>0</v>
      </c>
      <c r="BT361" s="289">
        <f t="shared" si="14"/>
        <v>0</v>
      </c>
      <c r="BU361" s="289">
        <f t="shared" si="14"/>
        <v>0</v>
      </c>
      <c r="BV361" s="289">
        <f t="shared" si="14"/>
        <v>0</v>
      </c>
      <c r="BW361" s="289">
        <f t="shared" si="14"/>
        <v>0</v>
      </c>
      <c r="BX361" s="289">
        <f t="shared" si="14"/>
        <v>0</v>
      </c>
      <c r="BY361" s="289">
        <f t="shared" si="14"/>
        <v>0</v>
      </c>
      <c r="BZ361" s="289">
        <f t="shared" si="14"/>
        <v>0</v>
      </c>
      <c r="CA361" s="289">
        <f t="shared" si="14"/>
        <v>0</v>
      </c>
      <c r="CB361" s="289">
        <f t="shared" si="14"/>
        <v>0</v>
      </c>
      <c r="CC361" s="289">
        <f t="shared" si="14"/>
        <v>0</v>
      </c>
      <c r="CD361" s="289">
        <f t="shared" si="14"/>
        <v>0</v>
      </c>
      <c r="CE361" s="289">
        <f t="shared" si="14"/>
        <v>0</v>
      </c>
      <c r="CF361" s="289">
        <f t="shared" si="14"/>
        <v>0</v>
      </c>
      <c r="CG361" s="289">
        <f t="shared" si="14"/>
        <v>0</v>
      </c>
      <c r="CH361" s="289">
        <f t="shared" si="14"/>
        <v>0</v>
      </c>
      <c r="CI361" s="289">
        <f t="shared" si="14"/>
        <v>0</v>
      </c>
      <c r="CJ361" s="289">
        <f t="shared" si="14"/>
        <v>0</v>
      </c>
      <c r="CK361" s="289">
        <f t="shared" ref="CK361:CN361" si="15">SUM(CK4:CK360)</f>
        <v>200901999.99999997</v>
      </c>
      <c r="CL361" s="289">
        <f t="shared" si="15"/>
        <v>0</v>
      </c>
      <c r="CM361" s="289">
        <f t="shared" si="15"/>
        <v>268600.00000000012</v>
      </c>
      <c r="CN361" s="289">
        <f t="shared" si="15"/>
        <v>300000.00000000006</v>
      </c>
      <c r="CO361" s="289"/>
      <c r="CP361" s="289"/>
      <c r="CQ361" s="289"/>
      <c r="CR361" s="289"/>
      <c r="CS361" s="289"/>
      <c r="CT361" s="289"/>
      <c r="CU361" s="289"/>
      <c r="CV361" s="289"/>
      <c r="CW361" s="289"/>
      <c r="CX361" s="289"/>
      <c r="CY361" s="289"/>
      <c r="CZ361" s="289"/>
      <c r="DA361" s="289"/>
      <c r="DB361" s="289">
        <f>SUM(DB4:DB360)</f>
        <v>1000.0089999999996</v>
      </c>
    </row>
    <row r="362" spans="1:106" ht="13">
      <c r="BK362" s="290"/>
    </row>
    <row r="363" spans="1:106" ht="13">
      <c r="N363" s="5"/>
      <c r="O363" s="5"/>
      <c r="AC363" s="5"/>
      <c r="AG363" s="5"/>
      <c r="AJ363" s="5"/>
      <c r="AK363" s="5"/>
      <c r="BE363" s="5"/>
      <c r="BH363" s="5"/>
      <c r="BI363" s="5"/>
      <c r="BJ363" s="5"/>
      <c r="BK363" s="290"/>
      <c r="BL363" s="5"/>
      <c r="BM363" s="5"/>
      <c r="BP363" s="5"/>
      <c r="BS363" s="5"/>
      <c r="BT363" s="5"/>
      <c r="BU363" s="5"/>
      <c r="CK363" s="5"/>
      <c r="CL363" s="5"/>
      <c r="CM363" s="5"/>
      <c r="CN363" s="5"/>
      <c r="CO363" s="5"/>
    </row>
    <row r="364" spans="1:106" ht="13">
      <c r="C364" s="5"/>
      <c r="X364" s="5"/>
      <c r="AF364" s="289">
        <f>AF124+AF127</f>
        <v>-19350</v>
      </c>
      <c r="BI364" s="5"/>
      <c r="BL364" s="5"/>
      <c r="BN364" s="5"/>
      <c r="BO364" s="5"/>
      <c r="BP364" s="5"/>
      <c r="BQ364" s="5"/>
      <c r="BU364" s="5"/>
      <c r="CJ364" s="5">
        <f>+CI361+CJ361</f>
        <v>0</v>
      </c>
      <c r="CK364" s="5"/>
      <c r="CL364" s="5"/>
      <c r="CM364" s="5"/>
      <c r="CN364" s="5"/>
      <c r="CO364" s="5"/>
      <c r="CP364" s="5">
        <f>+CP363-CP361</f>
        <v>0</v>
      </c>
    </row>
    <row r="365" spans="1:106" ht="13">
      <c r="AF365" s="289">
        <f>+AF361-AF364</f>
        <v>1472034</v>
      </c>
      <c r="AJ365" s="5">
        <f>+S361+AJ361</f>
        <v>0</v>
      </c>
      <c r="BE365" s="5"/>
      <c r="BL365" s="5"/>
      <c r="BU365" s="5"/>
      <c r="CK365" s="5"/>
      <c r="CL365" s="5"/>
      <c r="CM365" s="5"/>
      <c r="CN365" s="5"/>
      <c r="CO365" s="5"/>
    </row>
    <row r="366" spans="1:106">
      <c r="BJ366" s="5"/>
      <c r="BM366" s="5"/>
    </row>
    <row r="367" spans="1:106">
      <c r="CQ367" s="5"/>
    </row>
    <row r="368" spans="1:106">
      <c r="CQ368" s="5"/>
    </row>
    <row r="369" spans="95:95">
      <c r="CQ369" s="5"/>
    </row>
    <row r="370" spans="95:95">
      <c r="CQ370" s="5"/>
    </row>
    <row r="371" spans="95:95">
      <c r="CQ371" s="5"/>
    </row>
    <row r="372" spans="95:95">
      <c r="CQ372" s="5"/>
    </row>
    <row r="373" spans="95:95">
      <c r="CQ373" s="5"/>
    </row>
    <row r="374" spans="95:95">
      <c r="CQ374" s="5"/>
    </row>
    <row r="375" spans="95:95">
      <c r="CQ375" s="5"/>
    </row>
    <row r="376" spans="95:95">
      <c r="CQ376" s="5"/>
    </row>
    <row r="377" spans="95:95">
      <c r="CQ377" s="5"/>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B6" sqref="B6"/>
    </sheetView>
  </sheetViews>
  <sheetFormatPr baseColWidth="10" defaultRowHeight="12.5"/>
  <cols>
    <col min="1" max="1" width="6.26953125" customWidth="1"/>
    <col min="2" max="2" width="23.81640625" customWidth="1"/>
    <col min="3" max="8" width="17" hidden="1" customWidth="1"/>
    <col min="9" max="10" width="19" hidden="1" customWidth="1"/>
  </cols>
  <sheetData>
    <row r="1" spans="1:10">
      <c r="B1" s="74" t="s">
        <v>719</v>
      </c>
      <c r="C1" s="85"/>
      <c r="D1" s="85"/>
      <c r="E1" s="85"/>
      <c r="F1" s="85"/>
      <c r="G1" s="85"/>
      <c r="H1" s="85"/>
      <c r="I1" s="1181"/>
      <c r="J1" s="1181"/>
    </row>
    <row r="2" spans="1:10" ht="39">
      <c r="A2" s="120" t="s">
        <v>775</v>
      </c>
      <c r="B2" s="120" t="s">
        <v>776</v>
      </c>
      <c r="C2" s="122" t="s">
        <v>2576</v>
      </c>
      <c r="D2" s="122" t="s">
        <v>2575</v>
      </c>
      <c r="E2" s="122" t="s">
        <v>2574</v>
      </c>
      <c r="F2" s="122" t="s">
        <v>2573</v>
      </c>
      <c r="G2" s="122" t="s">
        <v>2577</v>
      </c>
      <c r="H2" s="122" t="s">
        <v>2579</v>
      </c>
      <c r="I2" s="1160" t="s">
        <v>2578</v>
      </c>
      <c r="J2" s="1160" t="s">
        <v>2580</v>
      </c>
    </row>
    <row r="3" spans="1:10" ht="13">
      <c r="A3" s="121">
        <v>1</v>
      </c>
      <c r="B3" s="121">
        <v>2</v>
      </c>
      <c r="C3" s="956">
        <f>B3+1</f>
        <v>3</v>
      </c>
      <c r="D3" s="956">
        <f t="shared" ref="D3:J3" si="0">C3+1</f>
        <v>4</v>
      </c>
      <c r="E3" s="956">
        <f t="shared" si="0"/>
        <v>5</v>
      </c>
      <c r="F3" s="956">
        <f t="shared" si="0"/>
        <v>6</v>
      </c>
      <c r="G3" s="956">
        <f t="shared" si="0"/>
        <v>7</v>
      </c>
      <c r="H3" s="956">
        <f t="shared" si="0"/>
        <v>8</v>
      </c>
      <c r="I3" s="956">
        <f t="shared" si="0"/>
        <v>9</v>
      </c>
      <c r="J3" s="956">
        <f t="shared" si="0"/>
        <v>10</v>
      </c>
    </row>
    <row r="4" spans="1:10" ht="13">
      <c r="A4" s="1">
        <v>301</v>
      </c>
      <c r="B4" s="2" t="s">
        <v>823</v>
      </c>
      <c r="C4" s="290">
        <v>0</v>
      </c>
      <c r="D4" s="290"/>
      <c r="E4" s="290"/>
      <c r="F4" s="290"/>
      <c r="G4" s="290">
        <v>0</v>
      </c>
      <c r="H4" s="290">
        <v>0</v>
      </c>
      <c r="I4" s="290"/>
      <c r="J4" s="290"/>
    </row>
    <row r="5" spans="1:10" ht="13">
      <c r="A5" s="1">
        <v>1101</v>
      </c>
      <c r="B5" s="2" t="s">
        <v>958</v>
      </c>
      <c r="C5" s="290">
        <v>779</v>
      </c>
      <c r="D5" s="290">
        <v>763</v>
      </c>
      <c r="E5" s="290">
        <v>753.44500000000005</v>
      </c>
      <c r="F5" s="290">
        <v>783.21100000000001</v>
      </c>
      <c r="G5" s="290">
        <v>766.55200000000002</v>
      </c>
      <c r="H5" s="290">
        <v>766.55200000000002</v>
      </c>
      <c r="I5" s="290">
        <v>5129.3</v>
      </c>
      <c r="J5" s="290"/>
    </row>
    <row r="6" spans="1:10" ht="13">
      <c r="A6" s="1">
        <v>1103</v>
      </c>
      <c r="B6" s="2" t="s">
        <v>960</v>
      </c>
      <c r="C6" s="290">
        <v>0</v>
      </c>
      <c r="D6" s="290"/>
      <c r="E6" s="290"/>
      <c r="F6" s="290"/>
      <c r="G6" s="290">
        <v>0</v>
      </c>
      <c r="H6" s="290">
        <v>0</v>
      </c>
      <c r="I6" s="290"/>
      <c r="J6" s="290">
        <v>13529.241619136958</v>
      </c>
    </row>
    <row r="7" spans="1:10" ht="13">
      <c r="A7" s="1">
        <v>1106</v>
      </c>
      <c r="B7" s="2" t="s">
        <v>961</v>
      </c>
      <c r="C7" s="290">
        <v>0</v>
      </c>
      <c r="D7" s="290"/>
      <c r="E7" s="290"/>
      <c r="F7" s="290"/>
      <c r="G7" s="290">
        <v>0</v>
      </c>
      <c r="H7" s="290">
        <v>0</v>
      </c>
      <c r="I7" s="290"/>
      <c r="J7" s="290">
        <v>1736.0047205741223</v>
      </c>
    </row>
    <row r="8" spans="1:10" ht="13">
      <c r="A8" s="1">
        <v>1108</v>
      </c>
      <c r="B8" s="2" t="s">
        <v>1610</v>
      </c>
      <c r="C8" s="290">
        <v>19423</v>
      </c>
      <c r="D8" s="290">
        <v>20843</v>
      </c>
      <c r="E8" s="290">
        <v>19841.624</v>
      </c>
      <c r="F8" s="290">
        <v>20299.466</v>
      </c>
      <c r="G8" s="290">
        <v>20328.03</v>
      </c>
      <c r="H8" s="290">
        <v>20328.03</v>
      </c>
      <c r="I8" s="290">
        <v>930.6</v>
      </c>
      <c r="J8" s="290">
        <v>1712.3484717612673</v>
      </c>
    </row>
    <row r="9" spans="1:10" ht="13">
      <c r="A9" s="1">
        <v>1111</v>
      </c>
      <c r="B9" s="2" t="s">
        <v>962</v>
      </c>
      <c r="C9" s="290">
        <v>391</v>
      </c>
      <c r="D9" s="290">
        <v>395</v>
      </c>
      <c r="E9" s="290">
        <v>386.1</v>
      </c>
      <c r="F9" s="290">
        <v>393.43700000000001</v>
      </c>
      <c r="G9" s="290">
        <v>391.51233333333334</v>
      </c>
      <c r="H9" s="290">
        <v>391.51233333333334</v>
      </c>
      <c r="I9" s="290">
        <v>6050</v>
      </c>
      <c r="J9" s="290"/>
    </row>
    <row r="10" spans="1:10" ht="13">
      <c r="A10" s="1">
        <v>1112</v>
      </c>
      <c r="B10" s="2" t="s">
        <v>963</v>
      </c>
      <c r="C10" s="290">
        <v>1303</v>
      </c>
      <c r="D10" s="290">
        <v>1323</v>
      </c>
      <c r="E10" s="290">
        <v>1277.7049999999999</v>
      </c>
      <c r="F10" s="290">
        <v>1299.54</v>
      </c>
      <c r="G10" s="290">
        <v>1300.0816666666667</v>
      </c>
      <c r="H10" s="290">
        <v>1300.0816666666667</v>
      </c>
      <c r="I10" s="290"/>
      <c r="J10" s="290"/>
    </row>
    <row r="11" spans="1:10" ht="13">
      <c r="A11" s="1">
        <v>1114</v>
      </c>
      <c r="B11" s="2" t="s">
        <v>0</v>
      </c>
      <c r="C11" s="290">
        <v>0</v>
      </c>
      <c r="D11" s="290"/>
      <c r="E11" s="290">
        <v>0.45100000000000001</v>
      </c>
      <c r="F11" s="290">
        <v>0.46200000000000002</v>
      </c>
      <c r="G11" s="290">
        <v>0.30433333333333334</v>
      </c>
      <c r="H11" s="290">
        <v>0.30433333333333334</v>
      </c>
      <c r="I11" s="290">
        <v>11426.03</v>
      </c>
      <c r="J11" s="290"/>
    </row>
    <row r="12" spans="1:10" ht="13">
      <c r="A12" s="1">
        <v>1119</v>
      </c>
      <c r="B12" s="2" t="s">
        <v>1</v>
      </c>
      <c r="C12" s="290">
        <v>0</v>
      </c>
      <c r="D12" s="290"/>
      <c r="E12" s="290"/>
      <c r="F12" s="290"/>
      <c r="G12" s="290">
        <v>0</v>
      </c>
      <c r="H12" s="290">
        <v>0</v>
      </c>
      <c r="I12" s="290">
        <v>6062.232</v>
      </c>
      <c r="J12" s="290"/>
    </row>
    <row r="13" spans="1:10" ht="13">
      <c r="A13" s="1">
        <v>1120</v>
      </c>
      <c r="B13" s="2" t="s">
        <v>2</v>
      </c>
      <c r="C13" s="290">
        <v>0</v>
      </c>
      <c r="D13" s="290"/>
      <c r="E13" s="290"/>
      <c r="F13" s="290"/>
      <c r="G13" s="290">
        <v>0</v>
      </c>
      <c r="H13" s="290">
        <v>0</v>
      </c>
      <c r="I13" s="290"/>
      <c r="J13" s="290"/>
    </row>
    <row r="14" spans="1:10" ht="13">
      <c r="A14" s="1">
        <v>1121</v>
      </c>
      <c r="B14" s="2" t="s">
        <v>3</v>
      </c>
      <c r="C14" s="290">
        <v>0</v>
      </c>
      <c r="D14" s="290"/>
      <c r="E14" s="290"/>
      <c r="F14" s="290"/>
      <c r="G14" s="290">
        <v>0</v>
      </c>
      <c r="H14" s="290">
        <v>0</v>
      </c>
      <c r="I14" s="290">
        <v>2496.7910000000002</v>
      </c>
      <c r="J14" s="290"/>
    </row>
    <row r="15" spans="1:10" ht="13">
      <c r="A15" s="1">
        <v>1122</v>
      </c>
      <c r="B15" s="2" t="s">
        <v>4</v>
      </c>
      <c r="C15" s="290">
        <v>3414</v>
      </c>
      <c r="D15" s="290">
        <v>3501</v>
      </c>
      <c r="E15" s="290">
        <v>3329.634</v>
      </c>
      <c r="F15" s="290">
        <v>3473.2060000000001</v>
      </c>
      <c r="G15" s="290">
        <v>3434.6133333333332</v>
      </c>
      <c r="H15" s="290">
        <v>3434.6133333333332</v>
      </c>
      <c r="I15" s="290">
        <v>649</v>
      </c>
      <c r="J15" s="290">
        <v>165.5937416899844</v>
      </c>
    </row>
    <row r="16" spans="1:10" ht="13">
      <c r="A16" s="1">
        <v>1124</v>
      </c>
      <c r="B16" s="2" t="s">
        <v>5</v>
      </c>
      <c r="C16" s="290">
        <v>0</v>
      </c>
      <c r="D16" s="290"/>
      <c r="E16" s="290"/>
      <c r="F16" s="290"/>
      <c r="G16" s="290">
        <v>0</v>
      </c>
      <c r="H16" s="290">
        <v>0</v>
      </c>
      <c r="I16" s="290"/>
      <c r="J16" s="290"/>
    </row>
    <row r="17" spans="1:10" ht="13">
      <c r="A17" s="1">
        <v>1127</v>
      </c>
      <c r="B17" s="2" t="s">
        <v>6</v>
      </c>
      <c r="C17" s="290">
        <v>0</v>
      </c>
      <c r="D17" s="290"/>
      <c r="E17" s="290"/>
      <c r="F17" s="290"/>
      <c r="G17" s="290">
        <v>0</v>
      </c>
      <c r="H17" s="290">
        <v>0</v>
      </c>
      <c r="I17" s="290"/>
      <c r="J17" s="290"/>
    </row>
    <row r="18" spans="1:10" ht="13">
      <c r="A18" s="1">
        <v>1130</v>
      </c>
      <c r="B18" s="2" t="s">
        <v>12</v>
      </c>
      <c r="C18" s="290">
        <v>1040</v>
      </c>
      <c r="D18" s="290">
        <v>1025</v>
      </c>
      <c r="E18" s="290">
        <v>963.6</v>
      </c>
      <c r="F18" s="290">
        <v>1017.181</v>
      </c>
      <c r="G18" s="290">
        <v>1001.927</v>
      </c>
      <c r="H18" s="290">
        <v>1001.927</v>
      </c>
      <c r="I18" s="290"/>
      <c r="J18" s="290">
        <v>1363.2768642787803</v>
      </c>
    </row>
    <row r="19" spans="1:10" ht="13">
      <c r="A19" s="1">
        <v>1133</v>
      </c>
      <c r="B19" s="2" t="s">
        <v>13</v>
      </c>
      <c r="C19" s="290">
        <v>21013</v>
      </c>
      <c r="D19" s="290">
        <v>22538</v>
      </c>
      <c r="E19" s="290">
        <v>21595.782999999999</v>
      </c>
      <c r="F19" s="290">
        <v>21954.976999999999</v>
      </c>
      <c r="G19" s="290">
        <v>22029.586666666666</v>
      </c>
      <c r="H19" s="290">
        <v>22029.586666666666</v>
      </c>
      <c r="I19" s="290"/>
      <c r="J19" s="290">
        <v>2391.1008415454889</v>
      </c>
    </row>
    <row r="20" spans="1:10" ht="13">
      <c r="A20" s="1">
        <v>1134</v>
      </c>
      <c r="B20" s="2" t="s">
        <v>14</v>
      </c>
      <c r="C20" s="290">
        <v>50750</v>
      </c>
      <c r="D20" s="290">
        <v>53051</v>
      </c>
      <c r="E20" s="290">
        <v>51040.396000000001</v>
      </c>
      <c r="F20" s="290">
        <v>50429.489000000001</v>
      </c>
      <c r="G20" s="290">
        <v>51506.96166666667</v>
      </c>
      <c r="H20" s="290">
        <v>51506.96166666667</v>
      </c>
      <c r="I20" s="290"/>
      <c r="J20" s="290">
        <v>2431.1344933826281</v>
      </c>
    </row>
    <row r="21" spans="1:10" ht="13">
      <c r="A21" s="1">
        <v>1135</v>
      </c>
      <c r="B21" s="2" t="s">
        <v>15</v>
      </c>
      <c r="C21" s="290">
        <v>18897</v>
      </c>
      <c r="D21" s="290">
        <v>18782</v>
      </c>
      <c r="E21" s="290">
        <v>18210.203000000001</v>
      </c>
      <c r="F21" s="290">
        <v>19227.23</v>
      </c>
      <c r="G21" s="290">
        <v>18739.811000000002</v>
      </c>
      <c r="H21" s="290">
        <v>18739.811000000002</v>
      </c>
      <c r="I21" s="290"/>
      <c r="J21" s="290"/>
    </row>
    <row r="22" spans="1:10" ht="13">
      <c r="A22" s="1">
        <v>1144</v>
      </c>
      <c r="B22" s="2" t="s">
        <v>18</v>
      </c>
      <c r="C22" s="290">
        <v>0</v>
      </c>
      <c r="D22" s="290"/>
      <c r="E22" s="290"/>
      <c r="F22" s="290"/>
      <c r="G22" s="290">
        <v>0</v>
      </c>
      <c r="H22" s="290">
        <v>0</v>
      </c>
      <c r="I22" s="290"/>
      <c r="J22" s="290">
        <v>1506.7210782341435</v>
      </c>
    </row>
    <row r="23" spans="1:10" ht="13">
      <c r="A23" s="1">
        <v>1145</v>
      </c>
      <c r="B23" s="2" t="s">
        <v>19</v>
      </c>
      <c r="C23" s="290">
        <v>0</v>
      </c>
      <c r="D23" s="290"/>
      <c r="E23" s="290"/>
      <c r="F23" s="290"/>
      <c r="G23" s="290">
        <v>0</v>
      </c>
      <c r="H23" s="290">
        <v>0</v>
      </c>
      <c r="I23" s="290"/>
      <c r="J23" s="290">
        <v>2343.788343919779</v>
      </c>
    </row>
    <row r="24" spans="1:10" ht="13">
      <c r="A24" s="1">
        <v>1146</v>
      </c>
      <c r="B24" s="2" t="s">
        <v>20</v>
      </c>
      <c r="C24" s="290">
        <v>0</v>
      </c>
      <c r="D24" s="290"/>
      <c r="E24" s="290"/>
      <c r="F24" s="290"/>
      <c r="G24" s="290">
        <v>0</v>
      </c>
      <c r="H24" s="290">
        <v>0</v>
      </c>
      <c r="I24" s="290">
        <v>2126.7399999999998</v>
      </c>
      <c r="J24" s="290">
        <v>4203.5334428996039</v>
      </c>
    </row>
    <row r="25" spans="1:10" ht="13">
      <c r="A25" s="1">
        <v>1149</v>
      </c>
      <c r="B25" s="2" t="s">
        <v>21</v>
      </c>
      <c r="C25" s="290">
        <v>0</v>
      </c>
      <c r="D25" s="290"/>
      <c r="E25" s="290"/>
      <c r="F25" s="290"/>
      <c r="G25" s="290">
        <v>0</v>
      </c>
      <c r="H25" s="290">
        <v>0</v>
      </c>
      <c r="I25" s="290">
        <v>363</v>
      </c>
      <c r="J25" s="290">
        <v>1561.3124216484243</v>
      </c>
    </row>
    <row r="26" spans="1:10" ht="13">
      <c r="A26" s="1">
        <v>1151</v>
      </c>
      <c r="B26" s="2" t="s">
        <v>22</v>
      </c>
      <c r="C26" s="290">
        <v>0</v>
      </c>
      <c r="D26" s="290"/>
      <c r="E26" s="290"/>
      <c r="F26" s="290"/>
      <c r="G26" s="290">
        <v>0</v>
      </c>
      <c r="H26" s="290">
        <v>0</v>
      </c>
      <c r="I26" s="290">
        <v>38.5</v>
      </c>
      <c r="J26" s="290"/>
    </row>
    <row r="27" spans="1:10" ht="13">
      <c r="A27" s="1">
        <v>1160</v>
      </c>
      <c r="B27" s="2" t="s">
        <v>1543</v>
      </c>
      <c r="C27" s="290">
        <v>0</v>
      </c>
      <c r="D27" s="290"/>
      <c r="E27" s="290"/>
      <c r="F27" s="290"/>
      <c r="G27" s="290">
        <v>0</v>
      </c>
      <c r="H27" s="290">
        <v>0</v>
      </c>
      <c r="I27" s="290"/>
      <c r="J27" s="290">
        <v>2795.9866385347364</v>
      </c>
    </row>
    <row r="28" spans="1:10" ht="13">
      <c r="A28" s="1">
        <v>1505</v>
      </c>
      <c r="B28" s="2" t="s">
        <v>1654</v>
      </c>
      <c r="C28" s="290">
        <v>0</v>
      </c>
      <c r="D28" s="290"/>
      <c r="E28" s="290"/>
      <c r="F28" s="290"/>
      <c r="G28" s="290">
        <v>0</v>
      </c>
      <c r="H28" s="290">
        <v>0</v>
      </c>
      <c r="I28" s="290"/>
      <c r="J28" s="290">
        <v>3264.5623361739781</v>
      </c>
    </row>
    <row r="29" spans="1:10" ht="13">
      <c r="A29" s="1">
        <v>1506</v>
      </c>
      <c r="B29" s="2" t="s">
        <v>1611</v>
      </c>
      <c r="C29" s="290">
        <v>11172</v>
      </c>
      <c r="D29" s="290">
        <v>11263</v>
      </c>
      <c r="E29" s="290">
        <v>11211.321</v>
      </c>
      <c r="F29" s="290">
        <v>11463.749</v>
      </c>
      <c r="G29" s="290">
        <v>11312.69</v>
      </c>
      <c r="H29" s="290">
        <v>11312.69</v>
      </c>
      <c r="I29" s="290"/>
      <c r="J29" s="290">
        <v>3725.859188024649</v>
      </c>
    </row>
    <row r="30" spans="1:10" ht="13">
      <c r="A30" s="1">
        <v>1507</v>
      </c>
      <c r="B30" s="2" t="s">
        <v>1612</v>
      </c>
      <c r="C30" s="290">
        <v>0</v>
      </c>
      <c r="D30" s="290"/>
      <c r="E30" s="290"/>
      <c r="F30" s="290"/>
      <c r="G30" s="290">
        <v>0</v>
      </c>
      <c r="H30" s="290">
        <v>0</v>
      </c>
      <c r="I30" s="290">
        <v>1508.98</v>
      </c>
      <c r="J30" s="290">
        <v>3392.3060797633948</v>
      </c>
    </row>
    <row r="31" spans="1:10" ht="13">
      <c r="A31" s="1">
        <v>1511</v>
      </c>
      <c r="B31" s="2" t="s">
        <v>86</v>
      </c>
      <c r="C31" s="290">
        <v>397</v>
      </c>
      <c r="D31" s="290">
        <v>390</v>
      </c>
      <c r="E31" s="290">
        <v>374.89100000000002</v>
      </c>
      <c r="F31" s="290">
        <v>405.31700000000001</v>
      </c>
      <c r="G31" s="290">
        <v>390.06933333333336</v>
      </c>
      <c r="H31" s="290">
        <v>390.06933333333336</v>
      </c>
      <c r="I31" s="290"/>
      <c r="J31" s="290">
        <v>1987.1249002798129</v>
      </c>
    </row>
    <row r="32" spans="1:10" ht="13">
      <c r="A32" s="1">
        <v>1514</v>
      </c>
      <c r="B32" s="2" t="s">
        <v>897</v>
      </c>
      <c r="C32" s="290">
        <v>0</v>
      </c>
      <c r="D32" s="290"/>
      <c r="E32" s="290"/>
      <c r="F32" s="290"/>
      <c r="G32" s="290">
        <v>0</v>
      </c>
      <c r="H32" s="290">
        <v>0</v>
      </c>
      <c r="I32" s="290"/>
      <c r="J32" s="290">
        <v>387.48935555456342</v>
      </c>
    </row>
    <row r="33" spans="1:10" ht="13">
      <c r="A33" s="1">
        <v>1515</v>
      </c>
      <c r="B33" s="2" t="s">
        <v>87</v>
      </c>
      <c r="C33" s="290">
        <v>0</v>
      </c>
      <c r="D33" s="290"/>
      <c r="E33" s="290"/>
      <c r="F33" s="290"/>
      <c r="G33" s="290">
        <v>0</v>
      </c>
      <c r="H33" s="290">
        <v>0</v>
      </c>
      <c r="I33" s="290"/>
      <c r="J33" s="290">
        <v>748.01058746247236</v>
      </c>
    </row>
    <row r="34" spans="1:10" ht="13">
      <c r="A34" s="1">
        <v>1516</v>
      </c>
      <c r="B34" s="2" t="s">
        <v>88</v>
      </c>
      <c r="C34" s="290">
        <v>0</v>
      </c>
      <c r="D34" s="290"/>
      <c r="E34" s="290"/>
      <c r="F34" s="290"/>
      <c r="G34" s="290">
        <v>0</v>
      </c>
      <c r="H34" s="290">
        <v>0</v>
      </c>
      <c r="I34" s="290"/>
      <c r="J34" s="290">
        <v>425.8124786313885</v>
      </c>
    </row>
    <row r="35" spans="1:10" ht="13">
      <c r="A35" s="1">
        <v>1517</v>
      </c>
      <c r="B35" s="2" t="s">
        <v>89</v>
      </c>
      <c r="C35" s="290">
        <v>0</v>
      </c>
      <c r="D35" s="290"/>
      <c r="E35" s="290"/>
      <c r="F35" s="290"/>
      <c r="G35" s="290">
        <v>0</v>
      </c>
      <c r="H35" s="290">
        <v>0</v>
      </c>
      <c r="I35" s="290"/>
      <c r="J35" s="290"/>
    </row>
    <row r="36" spans="1:10" ht="13">
      <c r="A36" s="1">
        <v>1520</v>
      </c>
      <c r="B36" s="2" t="s">
        <v>91</v>
      </c>
      <c r="C36" s="290">
        <v>2319</v>
      </c>
      <c r="D36" s="290">
        <v>2247</v>
      </c>
      <c r="E36" s="290">
        <v>2205.7860000000001</v>
      </c>
      <c r="F36" s="290"/>
      <c r="G36" s="290">
        <v>1484.2619999999999</v>
      </c>
      <c r="H36" s="290">
        <v>1484.2619999999999</v>
      </c>
      <c r="I36" s="290"/>
      <c r="J36" s="290">
        <v>2183.6537365712225</v>
      </c>
    </row>
    <row r="37" spans="1:10" ht="13">
      <c r="A37" s="1">
        <v>1525</v>
      </c>
      <c r="B37" s="2" t="s">
        <v>94</v>
      </c>
      <c r="C37" s="290">
        <v>84</v>
      </c>
      <c r="D37" s="290">
        <v>80</v>
      </c>
      <c r="E37" s="290">
        <v>81.95</v>
      </c>
      <c r="F37" s="290">
        <v>85.239000000000004</v>
      </c>
      <c r="G37" s="290">
        <v>82.396333333333331</v>
      </c>
      <c r="H37" s="290">
        <v>82.396333333333331</v>
      </c>
      <c r="I37" s="290"/>
      <c r="J37" s="290">
        <v>2129.0623931569421</v>
      </c>
    </row>
    <row r="38" spans="1:10" ht="13">
      <c r="A38" s="1">
        <v>1528</v>
      </c>
      <c r="B38" s="2" t="s">
        <v>96</v>
      </c>
      <c r="C38" s="290">
        <v>0</v>
      </c>
      <c r="D38" s="290"/>
      <c r="E38" s="290"/>
      <c r="F38" s="290"/>
      <c r="G38" s="290">
        <v>0</v>
      </c>
      <c r="H38" s="290">
        <v>0</v>
      </c>
      <c r="I38" s="290"/>
      <c r="J38" s="290"/>
    </row>
    <row r="39" spans="1:10" ht="13">
      <c r="A39" s="1">
        <v>1531</v>
      </c>
      <c r="B39" s="2" t="s">
        <v>98</v>
      </c>
      <c r="C39" s="290">
        <v>0</v>
      </c>
      <c r="D39" s="290"/>
      <c r="E39" s="290"/>
      <c r="F39" s="290"/>
      <c r="G39" s="290">
        <v>0</v>
      </c>
      <c r="H39" s="290">
        <v>0</v>
      </c>
      <c r="I39" s="290"/>
      <c r="J39" s="290"/>
    </row>
    <row r="40" spans="1:10" ht="13">
      <c r="A40" s="1">
        <v>1532</v>
      </c>
      <c r="B40" s="2" t="s">
        <v>99</v>
      </c>
      <c r="C40" s="290">
        <v>0</v>
      </c>
      <c r="D40" s="290"/>
      <c r="E40" s="290"/>
      <c r="F40" s="290"/>
      <c r="G40" s="290">
        <v>0</v>
      </c>
      <c r="H40" s="290">
        <v>0</v>
      </c>
      <c r="I40" s="290"/>
      <c r="J40" s="290">
        <v>1007.7561994276194</v>
      </c>
    </row>
    <row r="41" spans="1:10" ht="13">
      <c r="A41" s="1">
        <v>1535</v>
      </c>
      <c r="B41" s="2" t="s">
        <v>101</v>
      </c>
      <c r="C41" s="290">
        <v>0</v>
      </c>
      <c r="D41" s="290"/>
      <c r="E41" s="290"/>
      <c r="F41" s="290"/>
      <c r="G41" s="290">
        <v>0</v>
      </c>
      <c r="H41" s="290">
        <v>0</v>
      </c>
      <c r="I41" s="290"/>
      <c r="J41" s="290">
        <v>1987.1249002798129</v>
      </c>
    </row>
    <row r="42" spans="1:10" ht="13">
      <c r="A42" s="1">
        <v>1539</v>
      </c>
      <c r="B42" s="2" t="s">
        <v>102</v>
      </c>
      <c r="C42" s="290">
        <v>2926</v>
      </c>
      <c r="D42" s="290">
        <v>2917</v>
      </c>
      <c r="E42" s="290">
        <v>3044.9650000000001</v>
      </c>
      <c r="F42" s="290">
        <v>2879.5140000000001</v>
      </c>
      <c r="G42" s="290">
        <v>2947.1596666666665</v>
      </c>
      <c r="H42" s="290">
        <v>2947.1596666666665</v>
      </c>
      <c r="I42" s="290"/>
      <c r="J42" s="290">
        <v>1277.4374358941652</v>
      </c>
    </row>
    <row r="43" spans="1:10" ht="13">
      <c r="A43" s="1">
        <v>1547</v>
      </c>
      <c r="B43" s="2" t="s">
        <v>106</v>
      </c>
      <c r="C43" s="290">
        <v>0</v>
      </c>
      <c r="D43" s="290"/>
      <c r="E43" s="290"/>
      <c r="F43" s="290"/>
      <c r="G43" s="290">
        <v>0</v>
      </c>
      <c r="H43" s="290">
        <v>0</v>
      </c>
      <c r="I43" s="290"/>
      <c r="J43" s="290">
        <v>3162.6584951339873</v>
      </c>
    </row>
    <row r="44" spans="1:10" ht="13">
      <c r="A44" s="1">
        <v>1554</v>
      </c>
      <c r="B44" s="3" t="s">
        <v>109</v>
      </c>
      <c r="C44" s="290">
        <v>0</v>
      </c>
      <c r="D44" s="290"/>
      <c r="E44" s="290"/>
      <c r="F44" s="290"/>
      <c r="G44" s="290">
        <v>0</v>
      </c>
      <c r="H44" s="290">
        <v>0</v>
      </c>
      <c r="I44" s="290"/>
      <c r="J44" s="290">
        <v>2491.1849711383366</v>
      </c>
    </row>
    <row r="45" spans="1:10" ht="13">
      <c r="A45" s="1">
        <v>1557</v>
      </c>
      <c r="B45" s="2" t="s">
        <v>110</v>
      </c>
      <c r="C45" s="290">
        <v>0</v>
      </c>
      <c r="D45" s="290"/>
      <c r="E45" s="290"/>
      <c r="F45" s="290"/>
      <c r="G45" s="290">
        <v>0</v>
      </c>
      <c r="H45" s="290">
        <v>0</v>
      </c>
      <c r="I45" s="290"/>
      <c r="J45" s="290">
        <v>1277.4374358941652</v>
      </c>
    </row>
    <row r="46" spans="1:10" ht="13">
      <c r="A46" s="1">
        <v>1560</v>
      </c>
      <c r="B46" s="2" t="s">
        <v>111</v>
      </c>
      <c r="C46" s="290">
        <v>0</v>
      </c>
      <c r="D46" s="290"/>
      <c r="E46" s="290"/>
      <c r="F46" s="290"/>
      <c r="G46" s="290">
        <v>0</v>
      </c>
      <c r="H46" s="290">
        <v>0</v>
      </c>
      <c r="I46" s="290"/>
      <c r="J46" s="290">
        <v>1490.3436752098596</v>
      </c>
    </row>
    <row r="47" spans="1:10" ht="13">
      <c r="A47" s="1">
        <v>1563</v>
      </c>
      <c r="B47" s="2" t="s">
        <v>112</v>
      </c>
      <c r="C47" s="290">
        <v>13858</v>
      </c>
      <c r="D47" s="290">
        <v>13858</v>
      </c>
      <c r="E47" s="290">
        <v>13616.228999999999</v>
      </c>
      <c r="F47" s="290">
        <v>13825.647000000001</v>
      </c>
      <c r="G47" s="290">
        <v>13766.625333333335</v>
      </c>
      <c r="H47" s="290">
        <v>13766.625333333335</v>
      </c>
      <c r="I47" s="290"/>
      <c r="J47" s="290"/>
    </row>
    <row r="48" spans="1:10" ht="13">
      <c r="A48" s="1">
        <v>1566</v>
      </c>
      <c r="B48" s="2" t="s">
        <v>113</v>
      </c>
      <c r="C48" s="290">
        <v>7199</v>
      </c>
      <c r="D48" s="290">
        <v>7048</v>
      </c>
      <c r="E48" s="290">
        <v>7082.3059999999996</v>
      </c>
      <c r="F48" s="290">
        <v>7243.5659999999998</v>
      </c>
      <c r="G48" s="290">
        <v>7124.6239999999998</v>
      </c>
      <c r="H48" s="290">
        <v>7124.6239999999998</v>
      </c>
      <c r="I48" s="290"/>
      <c r="J48" s="290">
        <v>141.9374928771295</v>
      </c>
    </row>
    <row r="49" spans="1:10" ht="13">
      <c r="A49" s="1">
        <v>1573</v>
      </c>
      <c r="B49" s="2" t="s">
        <v>116</v>
      </c>
      <c r="C49" s="290">
        <v>0</v>
      </c>
      <c r="D49" s="290"/>
      <c r="E49" s="290"/>
      <c r="F49" s="290"/>
      <c r="G49" s="290">
        <v>0</v>
      </c>
      <c r="H49" s="290">
        <v>0</v>
      </c>
      <c r="I49" s="290">
        <v>3916</v>
      </c>
      <c r="J49" s="290">
        <v>11729.859988281751</v>
      </c>
    </row>
    <row r="50" spans="1:10" ht="13">
      <c r="A50" s="1">
        <v>1576</v>
      </c>
      <c r="B50" s="2" t="s">
        <v>1498</v>
      </c>
      <c r="C50" s="290">
        <v>0</v>
      </c>
      <c r="D50" s="290"/>
      <c r="E50" s="290"/>
      <c r="F50" s="290"/>
      <c r="G50" s="290">
        <v>0</v>
      </c>
      <c r="H50" s="290">
        <v>0</v>
      </c>
      <c r="I50" s="290"/>
      <c r="J50" s="290">
        <v>3974.2498005596258</v>
      </c>
    </row>
    <row r="51" spans="1:10" ht="13">
      <c r="A51" s="1">
        <v>1577</v>
      </c>
      <c r="B51" s="2" t="s">
        <v>1613</v>
      </c>
      <c r="C51" s="290">
        <v>1754</v>
      </c>
      <c r="D51" s="290">
        <v>1713</v>
      </c>
      <c r="E51" s="290">
        <v>1661.528</v>
      </c>
      <c r="F51" s="290">
        <v>4084.7179999999998</v>
      </c>
      <c r="G51" s="290">
        <v>2486.4153333333334</v>
      </c>
      <c r="H51" s="290">
        <v>2486.4153333333334</v>
      </c>
      <c r="I51" s="290"/>
      <c r="J51" s="290">
        <v>1998.0431689626687</v>
      </c>
    </row>
    <row r="52" spans="1:10" ht="13">
      <c r="A52" s="1">
        <v>1578</v>
      </c>
      <c r="B52" s="2" t="s">
        <v>1614</v>
      </c>
      <c r="C52" s="290">
        <v>9656</v>
      </c>
      <c r="D52" s="290">
        <v>9686</v>
      </c>
      <c r="E52" s="290">
        <v>9361.3850000000002</v>
      </c>
      <c r="F52" s="290">
        <v>9609.8420000000006</v>
      </c>
      <c r="G52" s="290">
        <v>9552.4090000000015</v>
      </c>
      <c r="H52" s="290">
        <v>9552.4090000000015</v>
      </c>
      <c r="I52" s="290"/>
      <c r="J52" s="290">
        <v>1135.499943017036</v>
      </c>
    </row>
    <row r="53" spans="1:10" ht="13">
      <c r="A53" s="1">
        <v>1579</v>
      </c>
      <c r="B53" s="2" t="s">
        <v>1615</v>
      </c>
      <c r="C53" s="290">
        <v>0</v>
      </c>
      <c r="D53" s="290"/>
      <c r="E53" s="290"/>
      <c r="F53" s="290"/>
      <c r="G53" s="290">
        <v>0</v>
      </c>
      <c r="H53" s="290">
        <v>0</v>
      </c>
      <c r="I53" s="290"/>
      <c r="J53" s="290">
        <v>1277.4374358941652</v>
      </c>
    </row>
    <row r="54" spans="1:10" ht="13">
      <c r="A54" s="1">
        <v>1804</v>
      </c>
      <c r="B54" s="2" t="s">
        <v>174</v>
      </c>
      <c r="C54" s="290">
        <v>1292</v>
      </c>
      <c r="D54" s="290">
        <v>1283</v>
      </c>
      <c r="E54" s="290">
        <v>1326.204</v>
      </c>
      <c r="F54" s="290">
        <v>1417.6469999999999</v>
      </c>
      <c r="G54" s="290">
        <v>1342.2836666666665</v>
      </c>
      <c r="H54" s="290">
        <v>1342.2836666666665</v>
      </c>
      <c r="I54" s="290"/>
      <c r="J54" s="290">
        <v>4080.8848913621864</v>
      </c>
    </row>
    <row r="55" spans="1:10" ht="13">
      <c r="A55" s="1">
        <v>1806</v>
      </c>
      <c r="B55" s="2" t="s">
        <v>1616</v>
      </c>
      <c r="C55" s="290">
        <v>19300</v>
      </c>
      <c r="D55" s="290">
        <v>19551</v>
      </c>
      <c r="E55" s="290">
        <v>19797.150999999998</v>
      </c>
      <c r="F55" s="290">
        <v>20672.982</v>
      </c>
      <c r="G55" s="290">
        <v>20007.044333333335</v>
      </c>
      <c r="H55" s="290">
        <v>20007.044333333335</v>
      </c>
      <c r="I55" s="290">
        <v>1144</v>
      </c>
      <c r="J55" s="290">
        <v>5218.2045458263647</v>
      </c>
    </row>
    <row r="56" spans="1:10" ht="13">
      <c r="A56" s="1">
        <v>1811</v>
      </c>
      <c r="B56" s="2" t="s">
        <v>176</v>
      </c>
      <c r="C56" s="290">
        <v>6512</v>
      </c>
      <c r="D56" s="290">
        <v>6404</v>
      </c>
      <c r="E56" s="290">
        <v>6255.4470000000001</v>
      </c>
      <c r="F56" s="290">
        <v>6293.6279999999997</v>
      </c>
      <c r="G56" s="290">
        <v>6317.6916666666666</v>
      </c>
      <c r="H56" s="290">
        <v>6317.6916666666666</v>
      </c>
      <c r="I56" s="290"/>
      <c r="J56" s="290">
        <v>6154.2641142365619</v>
      </c>
    </row>
    <row r="57" spans="1:10" ht="13">
      <c r="A57" s="1">
        <v>1812</v>
      </c>
      <c r="B57" s="2" t="s">
        <v>177</v>
      </c>
      <c r="C57" s="290">
        <v>0</v>
      </c>
      <c r="D57" s="290"/>
      <c r="E57" s="290"/>
      <c r="F57" s="290"/>
      <c r="G57" s="290">
        <v>0</v>
      </c>
      <c r="H57" s="290">
        <v>0</v>
      </c>
      <c r="I57" s="290"/>
      <c r="J57" s="290">
        <v>1478.3335796587178</v>
      </c>
    </row>
    <row r="58" spans="1:10" ht="13">
      <c r="A58" s="1">
        <v>1813</v>
      </c>
      <c r="B58" s="2" t="s">
        <v>178</v>
      </c>
      <c r="C58" s="290">
        <v>51</v>
      </c>
      <c r="D58" s="290">
        <v>98</v>
      </c>
      <c r="E58" s="290">
        <v>151.71199999999999</v>
      </c>
      <c r="F58" s="290">
        <v>198.18700000000001</v>
      </c>
      <c r="G58" s="290">
        <v>149.29966666666667</v>
      </c>
      <c r="H58" s="290">
        <v>149.29966666666667</v>
      </c>
      <c r="I58" s="290"/>
      <c r="J58" s="290">
        <v>4854.2622563978284</v>
      </c>
    </row>
    <row r="59" spans="1:10" ht="13">
      <c r="A59" s="1">
        <v>1815</v>
      </c>
      <c r="B59" s="2" t="s">
        <v>179</v>
      </c>
      <c r="C59" s="290">
        <v>0</v>
      </c>
      <c r="D59" s="290"/>
      <c r="E59" s="290"/>
      <c r="F59" s="290"/>
      <c r="G59" s="290">
        <v>0</v>
      </c>
      <c r="H59" s="290">
        <v>0</v>
      </c>
      <c r="I59" s="290"/>
      <c r="J59" s="290">
        <v>2238.2450799855033</v>
      </c>
    </row>
    <row r="60" spans="1:10" ht="13">
      <c r="A60" s="1">
        <v>1816</v>
      </c>
      <c r="B60" s="2" t="s">
        <v>180</v>
      </c>
      <c r="C60" s="290">
        <v>0</v>
      </c>
      <c r="D60" s="290"/>
      <c r="E60" s="290"/>
      <c r="F60" s="290"/>
      <c r="G60" s="290">
        <v>0</v>
      </c>
      <c r="H60" s="290">
        <v>0</v>
      </c>
      <c r="I60" s="290"/>
      <c r="J60" s="290">
        <v>2412.9373789112014</v>
      </c>
    </row>
    <row r="61" spans="1:10" ht="13">
      <c r="A61" s="1">
        <v>1818</v>
      </c>
      <c r="B61" s="2" t="s">
        <v>87</v>
      </c>
      <c r="C61" s="290">
        <v>0</v>
      </c>
      <c r="D61" s="290"/>
      <c r="E61" s="290"/>
      <c r="F61" s="290"/>
      <c r="G61" s="290">
        <v>0</v>
      </c>
      <c r="H61" s="290">
        <v>0</v>
      </c>
      <c r="I61" s="290"/>
      <c r="J61" s="290">
        <v>6834.6178300942711</v>
      </c>
    </row>
    <row r="62" spans="1:10" ht="13">
      <c r="A62" s="1">
        <v>1820</v>
      </c>
      <c r="B62" s="2" t="s">
        <v>181</v>
      </c>
      <c r="C62" s="290">
        <v>0</v>
      </c>
      <c r="D62" s="290"/>
      <c r="E62" s="290"/>
      <c r="F62" s="290"/>
      <c r="G62" s="290">
        <v>0</v>
      </c>
      <c r="H62" s="290">
        <v>0</v>
      </c>
      <c r="I62" s="290"/>
      <c r="J62" s="290">
        <v>3916.0554284800019</v>
      </c>
    </row>
    <row r="63" spans="1:10" ht="13">
      <c r="A63" s="1">
        <v>1822</v>
      </c>
      <c r="B63" s="2" t="s">
        <v>182</v>
      </c>
      <c r="C63" s="290">
        <v>0</v>
      </c>
      <c r="D63" s="290"/>
      <c r="E63" s="290"/>
      <c r="F63" s="290"/>
      <c r="G63" s="290">
        <v>0</v>
      </c>
      <c r="H63" s="290">
        <v>0</v>
      </c>
      <c r="I63" s="290"/>
      <c r="J63" s="290">
        <v>851.624957262777</v>
      </c>
    </row>
    <row r="64" spans="1:10" ht="13">
      <c r="A64" s="1">
        <v>1824</v>
      </c>
      <c r="B64" s="2" t="s">
        <v>183</v>
      </c>
      <c r="C64" s="290">
        <v>3683</v>
      </c>
      <c r="D64" s="290">
        <v>3571</v>
      </c>
      <c r="E64" s="290">
        <v>3504.9630000000002</v>
      </c>
      <c r="F64" s="290">
        <v>3578.8939999999998</v>
      </c>
      <c r="G64" s="290">
        <v>3551.6190000000001</v>
      </c>
      <c r="H64" s="290">
        <v>3551.6190000000001</v>
      </c>
      <c r="I64" s="290">
        <v>14270.41</v>
      </c>
      <c r="J64" s="290">
        <v>567.749971508518</v>
      </c>
    </row>
    <row r="65" spans="1:10" ht="13">
      <c r="A65" s="1">
        <v>1825</v>
      </c>
      <c r="B65" s="2" t="s">
        <v>184</v>
      </c>
      <c r="C65" s="290">
        <v>2359</v>
      </c>
      <c r="D65" s="290">
        <v>2448</v>
      </c>
      <c r="E65" s="290">
        <v>2488.7280000000001</v>
      </c>
      <c r="F65" s="290">
        <v>2561.4270000000001</v>
      </c>
      <c r="G65" s="290">
        <v>2499.3850000000002</v>
      </c>
      <c r="H65" s="290">
        <v>2499.3850000000002</v>
      </c>
      <c r="I65" s="290"/>
      <c r="J65" s="290"/>
    </row>
    <row r="66" spans="1:10" ht="13">
      <c r="A66" s="1">
        <v>1826</v>
      </c>
      <c r="B66" s="2" t="s">
        <v>185</v>
      </c>
      <c r="C66" s="290">
        <v>2583</v>
      </c>
      <c r="D66" s="290">
        <v>2680</v>
      </c>
      <c r="E66" s="290">
        <v>2725.261</v>
      </c>
      <c r="F66" s="290">
        <v>2804.7910000000002</v>
      </c>
      <c r="G66" s="290">
        <v>2736.6839999999997</v>
      </c>
      <c r="H66" s="290">
        <v>2736.6839999999997</v>
      </c>
      <c r="I66" s="290"/>
      <c r="J66" s="290"/>
    </row>
    <row r="67" spans="1:10" ht="13">
      <c r="A67" s="1">
        <v>1827</v>
      </c>
      <c r="B67" s="2" t="s">
        <v>186</v>
      </c>
      <c r="C67" s="290">
        <v>0</v>
      </c>
      <c r="D67" s="290"/>
      <c r="E67" s="290"/>
      <c r="F67" s="290"/>
      <c r="G67" s="290">
        <v>0</v>
      </c>
      <c r="H67" s="290">
        <v>0</v>
      </c>
      <c r="I67" s="290"/>
      <c r="J67" s="290">
        <v>5339.0333859166394</v>
      </c>
    </row>
    <row r="68" spans="1:10" ht="13">
      <c r="A68" s="1">
        <v>1828</v>
      </c>
      <c r="B68" s="2" t="s">
        <v>187</v>
      </c>
      <c r="C68" s="290">
        <v>0</v>
      </c>
      <c r="D68" s="290"/>
      <c r="E68" s="290"/>
      <c r="F68" s="290"/>
      <c r="G68" s="290">
        <v>0</v>
      </c>
      <c r="H68" s="290">
        <v>0</v>
      </c>
      <c r="I68" s="290"/>
      <c r="J68" s="290">
        <v>1135.499943017036</v>
      </c>
    </row>
    <row r="69" spans="1:10" ht="13">
      <c r="A69" s="1">
        <v>1832</v>
      </c>
      <c r="B69" s="2" t="s">
        <v>188</v>
      </c>
      <c r="C69" s="290">
        <v>31100</v>
      </c>
      <c r="D69" s="290">
        <v>32401</v>
      </c>
      <c r="E69" s="290">
        <v>33080.498</v>
      </c>
      <c r="F69" s="290">
        <v>33946.165000000001</v>
      </c>
      <c r="G69" s="290">
        <v>33142.554333333333</v>
      </c>
      <c r="H69" s="290">
        <v>33142.554333333333</v>
      </c>
      <c r="I69" s="290"/>
      <c r="J69" s="290"/>
    </row>
    <row r="70" spans="1:10" ht="13">
      <c r="A70" s="1">
        <v>1833</v>
      </c>
      <c r="B70" s="2" t="s">
        <v>189</v>
      </c>
      <c r="C70" s="290">
        <v>28353</v>
      </c>
      <c r="D70" s="290">
        <v>29260</v>
      </c>
      <c r="E70" s="290">
        <v>29981.039000000001</v>
      </c>
      <c r="F70" s="290">
        <v>29272.232</v>
      </c>
      <c r="G70" s="290">
        <v>29504.423666666669</v>
      </c>
      <c r="H70" s="290">
        <v>29504.423666666669</v>
      </c>
      <c r="I70" s="290"/>
      <c r="J70" s="290">
        <v>1135.499943017036</v>
      </c>
    </row>
    <row r="71" spans="1:10" ht="13">
      <c r="A71" s="1">
        <v>1834</v>
      </c>
      <c r="B71" s="2" t="s">
        <v>190</v>
      </c>
      <c r="C71" s="290">
        <v>0</v>
      </c>
      <c r="D71" s="290"/>
      <c r="E71" s="290"/>
      <c r="F71" s="290"/>
      <c r="G71" s="290">
        <v>0</v>
      </c>
      <c r="H71" s="290">
        <v>0</v>
      </c>
      <c r="I71" s="290"/>
      <c r="J71" s="290">
        <v>8951.8884930737277</v>
      </c>
    </row>
    <row r="72" spans="1:10" ht="13">
      <c r="A72" s="1">
        <v>1835</v>
      </c>
      <c r="B72" s="2" t="s">
        <v>191</v>
      </c>
      <c r="C72" s="290">
        <v>0</v>
      </c>
      <c r="D72" s="290"/>
      <c r="E72" s="290"/>
      <c r="F72" s="290"/>
      <c r="G72" s="290">
        <v>0</v>
      </c>
      <c r="H72" s="290">
        <v>0</v>
      </c>
      <c r="I72" s="290"/>
      <c r="J72" s="290">
        <v>655.09612097136687</v>
      </c>
    </row>
    <row r="73" spans="1:10" ht="13">
      <c r="A73" s="1">
        <v>1836</v>
      </c>
      <c r="B73" s="2" t="s">
        <v>192</v>
      </c>
      <c r="C73" s="290">
        <v>1072</v>
      </c>
      <c r="D73" s="290">
        <v>1090</v>
      </c>
      <c r="E73" s="290">
        <v>1089.396</v>
      </c>
      <c r="F73" s="290">
        <v>1053.877</v>
      </c>
      <c r="G73" s="290">
        <v>1077.7576666666666</v>
      </c>
      <c r="H73" s="290">
        <v>1077.7576666666666</v>
      </c>
      <c r="I73" s="290"/>
      <c r="J73" s="290">
        <v>9123.3053113945698</v>
      </c>
    </row>
    <row r="74" spans="1:10" ht="13">
      <c r="A74" s="1">
        <v>1837</v>
      </c>
      <c r="B74" s="2" t="s">
        <v>193</v>
      </c>
      <c r="C74" s="290">
        <v>20652</v>
      </c>
      <c r="D74" s="290">
        <v>22588</v>
      </c>
      <c r="E74" s="290">
        <v>21977.516</v>
      </c>
      <c r="F74" s="290">
        <v>18210.489000000001</v>
      </c>
      <c r="G74" s="290">
        <v>20925.335000000003</v>
      </c>
      <c r="H74" s="290">
        <v>20925.335000000003</v>
      </c>
      <c r="I74" s="290"/>
      <c r="J74" s="290">
        <v>4148.9420994853235</v>
      </c>
    </row>
    <row r="75" spans="1:10" ht="13">
      <c r="A75" s="1">
        <v>1838</v>
      </c>
      <c r="B75" s="2" t="s">
        <v>194</v>
      </c>
      <c r="C75" s="290">
        <v>3520</v>
      </c>
      <c r="D75" s="290">
        <v>3547</v>
      </c>
      <c r="E75" s="290">
        <v>3498.7809999999999</v>
      </c>
      <c r="F75" s="290">
        <v>3625.3470000000002</v>
      </c>
      <c r="G75" s="290">
        <v>3557.0426666666667</v>
      </c>
      <c r="H75" s="290">
        <v>3557.0426666666667</v>
      </c>
      <c r="I75" s="290"/>
      <c r="J75" s="290">
        <v>7966.6967155906759</v>
      </c>
    </row>
    <row r="76" spans="1:10" ht="13">
      <c r="A76" s="1">
        <v>1839</v>
      </c>
      <c r="B76" s="2" t="s">
        <v>195</v>
      </c>
      <c r="C76" s="290">
        <v>6752</v>
      </c>
      <c r="D76" s="290">
        <v>7233</v>
      </c>
      <c r="E76" s="290">
        <v>7123.402</v>
      </c>
      <c r="F76" s="290">
        <v>6584.732</v>
      </c>
      <c r="G76" s="290">
        <v>6980.3779999999997</v>
      </c>
      <c r="H76" s="290">
        <v>6980.3779999999997</v>
      </c>
      <c r="I76" s="290"/>
      <c r="J76" s="290"/>
    </row>
    <row r="77" spans="1:10" ht="13">
      <c r="A77" s="1">
        <v>1840</v>
      </c>
      <c r="B77" s="2" t="s">
        <v>196</v>
      </c>
      <c r="C77" s="290">
        <v>639</v>
      </c>
      <c r="D77" s="290">
        <v>647</v>
      </c>
      <c r="E77" s="290">
        <v>640.55200000000002</v>
      </c>
      <c r="F77" s="290">
        <v>659.05399999999997</v>
      </c>
      <c r="G77" s="290">
        <v>648.86866666666674</v>
      </c>
      <c r="H77" s="290">
        <v>648.86866666666674</v>
      </c>
      <c r="I77" s="290"/>
      <c r="J77" s="290">
        <v>1447.7624273467206</v>
      </c>
    </row>
    <row r="78" spans="1:10" ht="13">
      <c r="A78" s="1">
        <v>1841</v>
      </c>
      <c r="B78" s="2" t="s">
        <v>197</v>
      </c>
      <c r="C78" s="290">
        <v>12456</v>
      </c>
      <c r="D78" s="290">
        <v>12974</v>
      </c>
      <c r="E78" s="290">
        <v>12552.287</v>
      </c>
      <c r="F78" s="290">
        <v>12474.902</v>
      </c>
      <c r="G78" s="290">
        <v>12667.063</v>
      </c>
      <c r="H78" s="290">
        <v>12667.063</v>
      </c>
      <c r="I78" s="290"/>
      <c r="J78" s="290">
        <v>1564.2239599638524</v>
      </c>
    </row>
    <row r="79" spans="1:10" ht="13">
      <c r="A79" s="1">
        <v>1845</v>
      </c>
      <c r="B79" s="2" t="s">
        <v>198</v>
      </c>
      <c r="C79" s="290">
        <v>14766</v>
      </c>
      <c r="D79" s="290">
        <v>15541</v>
      </c>
      <c r="E79" s="290">
        <v>15938.483</v>
      </c>
      <c r="F79" s="290">
        <v>14885.717000000001</v>
      </c>
      <c r="G79" s="290">
        <v>15455.066666666666</v>
      </c>
      <c r="H79" s="290">
        <v>15455.066666666666</v>
      </c>
      <c r="I79" s="290"/>
      <c r="J79" s="290">
        <v>4389.1440105081574</v>
      </c>
    </row>
    <row r="80" spans="1:10" ht="13">
      <c r="A80" s="1">
        <v>1848</v>
      </c>
      <c r="B80" s="2" t="s">
        <v>199</v>
      </c>
      <c r="C80" s="290">
        <v>186</v>
      </c>
      <c r="D80" s="290">
        <v>193</v>
      </c>
      <c r="E80" s="290"/>
      <c r="F80" s="290"/>
      <c r="G80" s="290">
        <v>64.333333333333329</v>
      </c>
      <c r="H80" s="290">
        <v>64.333333333333329</v>
      </c>
      <c r="I80" s="290"/>
      <c r="J80" s="290">
        <v>9888.3120037733534</v>
      </c>
    </row>
    <row r="81" spans="1:10" ht="13">
      <c r="A81" s="1">
        <v>1851</v>
      </c>
      <c r="B81" s="2" t="s">
        <v>202</v>
      </c>
      <c r="C81" s="290">
        <v>0</v>
      </c>
      <c r="D81" s="290"/>
      <c r="E81" s="290"/>
      <c r="F81" s="290"/>
      <c r="G81" s="290">
        <v>0</v>
      </c>
      <c r="H81" s="290">
        <v>0</v>
      </c>
      <c r="I81" s="290"/>
      <c r="J81" s="290">
        <v>3679.4565461225106</v>
      </c>
    </row>
    <row r="82" spans="1:10" ht="13">
      <c r="A82" s="1">
        <v>1853</v>
      </c>
      <c r="B82" s="2" t="s">
        <v>204</v>
      </c>
      <c r="C82" s="290">
        <v>767</v>
      </c>
      <c r="D82" s="290">
        <v>763</v>
      </c>
      <c r="E82" s="290">
        <v>757.91099999999994</v>
      </c>
      <c r="F82" s="290">
        <v>789.83299999999997</v>
      </c>
      <c r="G82" s="290">
        <v>770.24800000000005</v>
      </c>
      <c r="H82" s="290">
        <v>770.24800000000005</v>
      </c>
      <c r="I82" s="290"/>
      <c r="J82" s="290">
        <v>567.749971508518</v>
      </c>
    </row>
    <row r="83" spans="1:10" ht="13">
      <c r="A83" s="1">
        <v>1856</v>
      </c>
      <c r="B83" s="2" t="s">
        <v>206</v>
      </c>
      <c r="C83" s="290">
        <v>0</v>
      </c>
      <c r="D83" s="290"/>
      <c r="E83" s="290"/>
      <c r="F83" s="290"/>
      <c r="G83" s="290">
        <v>0</v>
      </c>
      <c r="H83" s="290">
        <v>0</v>
      </c>
      <c r="I83" s="290"/>
      <c r="J83" s="290"/>
    </row>
    <row r="84" spans="1:10" ht="13">
      <c r="A84" s="1">
        <v>1857</v>
      </c>
      <c r="B84" s="2" t="s">
        <v>207</v>
      </c>
      <c r="C84" s="290">
        <v>0</v>
      </c>
      <c r="D84" s="290"/>
      <c r="E84" s="290"/>
      <c r="F84" s="290"/>
      <c r="G84" s="290">
        <v>0</v>
      </c>
      <c r="H84" s="290">
        <v>0</v>
      </c>
      <c r="I84" s="290"/>
      <c r="J84" s="290"/>
    </row>
    <row r="85" spans="1:10" ht="13">
      <c r="A85" s="1">
        <v>1859</v>
      </c>
      <c r="B85" s="2" t="s">
        <v>208</v>
      </c>
      <c r="C85" s="290">
        <v>0</v>
      </c>
      <c r="D85" s="290"/>
      <c r="E85" s="290"/>
      <c r="F85" s="290"/>
      <c r="G85" s="290">
        <v>0</v>
      </c>
      <c r="H85" s="290">
        <v>0</v>
      </c>
      <c r="I85" s="290"/>
      <c r="J85" s="290">
        <v>567.749971508518</v>
      </c>
    </row>
    <row r="86" spans="1:10" ht="13">
      <c r="A86" s="1">
        <v>1860</v>
      </c>
      <c r="B86" s="2" t="s">
        <v>209</v>
      </c>
      <c r="C86" s="290">
        <v>0</v>
      </c>
      <c r="D86" s="290"/>
      <c r="E86" s="290"/>
      <c r="F86" s="290"/>
      <c r="G86" s="290">
        <v>0</v>
      </c>
      <c r="H86" s="290">
        <v>0</v>
      </c>
      <c r="I86" s="290"/>
      <c r="J86" s="290">
        <v>2328.5027677637804</v>
      </c>
    </row>
    <row r="87" spans="1:10" ht="13">
      <c r="A87" s="1">
        <v>1865</v>
      </c>
      <c r="B87" s="2" t="s">
        <v>210</v>
      </c>
      <c r="C87" s="290">
        <v>0</v>
      </c>
      <c r="D87" s="290"/>
      <c r="E87" s="290"/>
      <c r="F87" s="290"/>
      <c r="G87" s="290">
        <v>0</v>
      </c>
      <c r="H87" s="290">
        <v>0</v>
      </c>
      <c r="I87" s="290"/>
      <c r="J87" s="290">
        <v>3764.1823111014733</v>
      </c>
    </row>
    <row r="88" spans="1:10" ht="13">
      <c r="A88" s="1">
        <v>1866</v>
      </c>
      <c r="B88" s="2" t="s">
        <v>211</v>
      </c>
      <c r="C88" s="290">
        <v>0</v>
      </c>
      <c r="D88" s="290"/>
      <c r="E88" s="290"/>
      <c r="F88" s="290"/>
      <c r="G88" s="290">
        <v>0</v>
      </c>
      <c r="H88" s="290">
        <v>0</v>
      </c>
      <c r="I88" s="290"/>
      <c r="J88" s="290">
        <v>9169.962712899307</v>
      </c>
    </row>
    <row r="89" spans="1:10" ht="13">
      <c r="A89" s="1">
        <v>1867</v>
      </c>
      <c r="B89" s="2" t="s">
        <v>913</v>
      </c>
      <c r="C89" s="290">
        <v>0</v>
      </c>
      <c r="D89" s="290"/>
      <c r="E89" s="290"/>
      <c r="F89" s="290"/>
      <c r="G89" s="290">
        <v>0</v>
      </c>
      <c r="H89" s="290">
        <v>0</v>
      </c>
      <c r="I89" s="290"/>
      <c r="J89" s="290">
        <v>3211.4267619174116</v>
      </c>
    </row>
    <row r="90" spans="1:10" ht="13">
      <c r="A90" s="1">
        <v>1868</v>
      </c>
      <c r="B90" s="2" t="s">
        <v>212</v>
      </c>
      <c r="C90" s="290">
        <v>0</v>
      </c>
      <c r="D90" s="290"/>
      <c r="E90" s="290"/>
      <c r="F90" s="290"/>
      <c r="G90" s="290">
        <v>0</v>
      </c>
      <c r="H90" s="290">
        <v>0</v>
      </c>
      <c r="I90" s="290"/>
      <c r="J90" s="290">
        <v>5469.2519370741702</v>
      </c>
    </row>
    <row r="91" spans="1:10" ht="13">
      <c r="A91" s="1">
        <v>1870</v>
      </c>
      <c r="B91" s="2" t="s">
        <v>213</v>
      </c>
      <c r="C91" s="290">
        <v>0</v>
      </c>
      <c r="D91" s="290"/>
      <c r="E91" s="290"/>
      <c r="F91" s="290"/>
      <c r="G91" s="290">
        <v>0</v>
      </c>
      <c r="H91" s="290">
        <v>0</v>
      </c>
      <c r="I91" s="290">
        <v>1694</v>
      </c>
      <c r="J91" s="290">
        <v>4785.0040387195777</v>
      </c>
    </row>
    <row r="92" spans="1:10" ht="13">
      <c r="A92" s="1">
        <v>1871</v>
      </c>
      <c r="B92" s="2" t="s">
        <v>214</v>
      </c>
      <c r="C92" s="290">
        <v>0</v>
      </c>
      <c r="D92" s="290"/>
      <c r="E92" s="290"/>
      <c r="F92" s="290"/>
      <c r="G92" s="290">
        <v>0</v>
      </c>
      <c r="H92" s="290">
        <v>0</v>
      </c>
      <c r="I92" s="290"/>
      <c r="J92" s="290">
        <v>579.39612477023115</v>
      </c>
    </row>
    <row r="93" spans="1:10" ht="13">
      <c r="A93" s="1">
        <v>1874</v>
      </c>
      <c r="B93" s="2" t="s">
        <v>215</v>
      </c>
      <c r="C93" s="290">
        <v>0</v>
      </c>
      <c r="D93" s="290"/>
      <c r="E93" s="290"/>
      <c r="F93" s="290"/>
      <c r="G93" s="290">
        <v>0</v>
      </c>
      <c r="H93" s="290">
        <v>0</v>
      </c>
      <c r="I93" s="290"/>
      <c r="J93" s="290"/>
    </row>
    <row r="94" spans="1:10" ht="13">
      <c r="A94" s="1">
        <v>1875</v>
      </c>
      <c r="B94" s="2" t="s">
        <v>1617</v>
      </c>
      <c r="C94" s="290">
        <v>8091</v>
      </c>
      <c r="D94" s="290">
        <v>8402</v>
      </c>
      <c r="E94" s="290">
        <v>8499.7549999999992</v>
      </c>
      <c r="F94" s="290">
        <v>7147.4589999999998</v>
      </c>
      <c r="G94" s="290">
        <v>8016.4046666666654</v>
      </c>
      <c r="H94" s="290">
        <v>8016.4046666666654</v>
      </c>
      <c r="I94" s="290">
        <v>4178.8999999999996</v>
      </c>
      <c r="J94" s="290">
        <v>8075.6974312745251</v>
      </c>
    </row>
    <row r="95" spans="1:10" ht="13">
      <c r="A95" s="1">
        <v>3001</v>
      </c>
      <c r="B95" s="2" t="s">
        <v>783</v>
      </c>
      <c r="C95" s="290">
        <v>1135</v>
      </c>
      <c r="D95" s="290">
        <v>1085</v>
      </c>
      <c r="E95" s="290">
        <v>1064.8879999999999</v>
      </c>
      <c r="F95" s="290">
        <v>1072.5</v>
      </c>
      <c r="G95" s="290">
        <v>1074.1293333333333</v>
      </c>
      <c r="H95" s="290">
        <v>1074.1293333333333</v>
      </c>
      <c r="I95" s="290"/>
      <c r="J95" s="290"/>
    </row>
    <row r="96" spans="1:10" ht="13">
      <c r="A96" s="1">
        <v>3002</v>
      </c>
      <c r="B96" s="2" t="s">
        <v>1618</v>
      </c>
      <c r="C96" s="290">
        <v>0</v>
      </c>
      <c r="D96" s="290"/>
      <c r="E96" s="290"/>
      <c r="F96" s="290"/>
      <c r="G96" s="290">
        <v>0</v>
      </c>
      <c r="H96" s="290">
        <v>0</v>
      </c>
      <c r="I96" s="290"/>
      <c r="J96" s="290"/>
    </row>
    <row r="97" spans="1:10" ht="13">
      <c r="A97" s="1">
        <v>3003</v>
      </c>
      <c r="B97" s="2" t="s">
        <v>785</v>
      </c>
      <c r="C97" s="290">
        <v>8996</v>
      </c>
      <c r="D97" s="290">
        <v>8841</v>
      </c>
      <c r="E97" s="290">
        <v>8723.3410000000003</v>
      </c>
      <c r="F97" s="290">
        <v>8886.1080000000002</v>
      </c>
      <c r="G97" s="290">
        <v>8816.8163333333341</v>
      </c>
      <c r="H97" s="290">
        <v>8816.8163333333341</v>
      </c>
      <c r="I97" s="290"/>
      <c r="J97" s="290"/>
    </row>
    <row r="98" spans="1:10" ht="13">
      <c r="A98" s="1">
        <v>3004</v>
      </c>
      <c r="B98" s="2" t="s">
        <v>786</v>
      </c>
      <c r="C98" s="290">
        <v>0</v>
      </c>
      <c r="D98" s="290"/>
      <c r="E98" s="290"/>
      <c r="F98" s="290"/>
      <c r="G98" s="290">
        <v>0</v>
      </c>
      <c r="H98" s="290">
        <v>0</v>
      </c>
      <c r="I98" s="290"/>
      <c r="J98" s="290"/>
    </row>
    <row r="99" spans="1:10" ht="13">
      <c r="A99" s="1">
        <v>3005</v>
      </c>
      <c r="B99" s="2" t="s">
        <v>1619</v>
      </c>
      <c r="C99" s="290">
        <v>0</v>
      </c>
      <c r="D99" s="290"/>
      <c r="E99" s="290"/>
      <c r="F99" s="290"/>
      <c r="G99" s="290">
        <v>0</v>
      </c>
      <c r="H99" s="290">
        <v>0</v>
      </c>
      <c r="I99" s="290"/>
      <c r="J99" s="290"/>
    </row>
    <row r="100" spans="1:10" ht="13">
      <c r="A100" s="1">
        <v>3006</v>
      </c>
      <c r="B100" s="2" t="s">
        <v>872</v>
      </c>
      <c r="C100" s="290">
        <v>6790</v>
      </c>
      <c r="D100" s="290">
        <v>6683</v>
      </c>
      <c r="E100" s="290">
        <v>6573.16</v>
      </c>
      <c r="F100" s="290">
        <v>6877.6840000000002</v>
      </c>
      <c r="G100" s="290">
        <v>6711.2813333333334</v>
      </c>
      <c r="H100" s="290">
        <v>6711.2813333333334</v>
      </c>
      <c r="I100" s="290"/>
      <c r="J100" s="290"/>
    </row>
    <row r="101" spans="1:10" ht="13">
      <c r="A101" s="1">
        <v>3007</v>
      </c>
      <c r="B101" s="2" t="s">
        <v>873</v>
      </c>
      <c r="C101" s="290">
        <v>5616</v>
      </c>
      <c r="D101" s="290">
        <v>5574</v>
      </c>
      <c r="E101" s="290">
        <v>5458.53</v>
      </c>
      <c r="F101" s="290">
        <v>5609.6589999999997</v>
      </c>
      <c r="G101" s="290">
        <v>5547.3963333333331</v>
      </c>
      <c r="H101" s="290">
        <v>5547.3963333333331</v>
      </c>
      <c r="I101" s="290"/>
      <c r="J101" s="290"/>
    </row>
    <row r="102" spans="1:10" ht="13">
      <c r="A102" s="1">
        <v>3011</v>
      </c>
      <c r="B102" s="2" t="s">
        <v>787</v>
      </c>
      <c r="C102" s="290">
        <v>0</v>
      </c>
      <c r="D102" s="290"/>
      <c r="E102" s="290"/>
      <c r="F102" s="290"/>
      <c r="G102" s="290">
        <v>0</v>
      </c>
      <c r="H102" s="290">
        <v>0</v>
      </c>
      <c r="I102" s="290"/>
      <c r="J102" s="290"/>
    </row>
    <row r="103" spans="1:10" ht="13">
      <c r="A103" s="1">
        <v>3012</v>
      </c>
      <c r="B103" s="2" t="s">
        <v>788</v>
      </c>
      <c r="C103" s="290">
        <v>0</v>
      </c>
      <c r="D103" s="290"/>
      <c r="E103" s="290"/>
      <c r="F103" s="290"/>
      <c r="G103" s="290">
        <v>0</v>
      </c>
      <c r="H103" s="290">
        <v>0</v>
      </c>
      <c r="I103" s="290"/>
      <c r="J103" s="290"/>
    </row>
    <row r="104" spans="1:10" ht="13">
      <c r="A104" s="1">
        <v>3013</v>
      </c>
      <c r="B104" s="2" t="s">
        <v>789</v>
      </c>
      <c r="C104" s="290">
        <v>0</v>
      </c>
      <c r="D104" s="290"/>
      <c r="E104" s="290"/>
      <c r="F104" s="290"/>
      <c r="G104" s="290">
        <v>0</v>
      </c>
      <c r="H104" s="290">
        <v>0</v>
      </c>
      <c r="I104" s="290">
        <v>2112</v>
      </c>
      <c r="J104" s="290"/>
    </row>
    <row r="105" spans="1:10" ht="13">
      <c r="A105" s="1">
        <v>3014</v>
      </c>
      <c r="B105" s="2" t="s">
        <v>1620</v>
      </c>
      <c r="C105" s="290">
        <v>37792</v>
      </c>
      <c r="D105" s="290">
        <v>34388</v>
      </c>
      <c r="E105" s="290">
        <v>34331.593999999997</v>
      </c>
      <c r="F105" s="290">
        <v>34970.341999999997</v>
      </c>
      <c r="G105" s="290">
        <v>34563.311999999998</v>
      </c>
      <c r="H105" s="290">
        <v>34563.311999999998</v>
      </c>
      <c r="I105" s="290"/>
      <c r="J105" s="290"/>
    </row>
    <row r="106" spans="1:10" ht="13">
      <c r="A106" s="1">
        <v>3015</v>
      </c>
      <c r="B106" s="2" t="s">
        <v>2369</v>
      </c>
      <c r="C106" s="290">
        <v>0</v>
      </c>
      <c r="D106" s="290">
        <v>2821</v>
      </c>
      <c r="E106" s="290">
        <v>2859.8789999999999</v>
      </c>
      <c r="F106" s="290">
        <v>2986.6979999999999</v>
      </c>
      <c r="G106" s="290">
        <v>2889.192333333333</v>
      </c>
      <c r="H106" s="290">
        <v>2889.192333333333</v>
      </c>
      <c r="I106" s="290"/>
      <c r="J106" s="290"/>
    </row>
    <row r="107" spans="1:10" ht="13">
      <c r="A107" s="1">
        <v>3016</v>
      </c>
      <c r="B107" s="2" t="s">
        <v>796</v>
      </c>
      <c r="C107" s="290">
        <v>0</v>
      </c>
      <c r="D107" s="290"/>
      <c r="E107" s="290"/>
      <c r="F107" s="290"/>
      <c r="G107" s="290">
        <v>0</v>
      </c>
      <c r="H107" s="290">
        <v>0</v>
      </c>
      <c r="I107" s="290"/>
      <c r="J107" s="290"/>
    </row>
    <row r="108" spans="1:10" ht="13">
      <c r="A108" s="1">
        <v>3017</v>
      </c>
      <c r="B108" s="2" t="s">
        <v>797</v>
      </c>
      <c r="C108" s="290">
        <v>0</v>
      </c>
      <c r="D108" s="290"/>
      <c r="E108" s="290"/>
      <c r="F108" s="290"/>
      <c r="G108" s="290">
        <v>0</v>
      </c>
      <c r="H108" s="290">
        <v>0</v>
      </c>
      <c r="I108" s="290"/>
      <c r="J108" s="290"/>
    </row>
    <row r="109" spans="1:10" ht="13">
      <c r="A109" s="1">
        <v>3018</v>
      </c>
      <c r="B109" s="2" t="s">
        <v>799</v>
      </c>
      <c r="C109" s="290">
        <v>0</v>
      </c>
      <c r="D109" s="290"/>
      <c r="E109" s="290"/>
      <c r="F109" s="290">
        <v>547.54700000000003</v>
      </c>
      <c r="G109" s="290">
        <v>182.51566666666668</v>
      </c>
      <c r="H109" s="290">
        <v>182.51566666666668</v>
      </c>
      <c r="I109" s="290"/>
      <c r="J109" s="290"/>
    </row>
    <row r="110" spans="1:10" ht="13">
      <c r="A110" s="1">
        <v>3019</v>
      </c>
      <c r="B110" s="2" t="s">
        <v>801</v>
      </c>
      <c r="C110" s="290">
        <v>0</v>
      </c>
      <c r="D110" s="290"/>
      <c r="E110" s="290"/>
      <c r="F110" s="290"/>
      <c r="G110" s="290">
        <v>0</v>
      </c>
      <c r="H110" s="290">
        <v>0</v>
      </c>
      <c r="I110" s="290"/>
      <c r="J110" s="290"/>
    </row>
    <row r="111" spans="1:10" ht="13">
      <c r="A111" s="1">
        <v>3020</v>
      </c>
      <c r="B111" s="2" t="s">
        <v>1621</v>
      </c>
      <c r="C111" s="290">
        <v>0</v>
      </c>
      <c r="D111" s="290"/>
      <c r="E111" s="290"/>
      <c r="F111" s="290"/>
      <c r="G111" s="290">
        <v>0</v>
      </c>
      <c r="H111" s="290">
        <v>0</v>
      </c>
      <c r="I111" s="290"/>
      <c r="J111" s="290"/>
    </row>
    <row r="112" spans="1:10" ht="13">
      <c r="A112" s="1">
        <v>3021</v>
      </c>
      <c r="B112" s="2" t="s">
        <v>803</v>
      </c>
      <c r="C112" s="290">
        <v>0</v>
      </c>
      <c r="D112" s="290"/>
      <c r="E112" s="290"/>
      <c r="F112" s="290"/>
      <c r="G112" s="290">
        <v>0</v>
      </c>
      <c r="H112" s="290">
        <v>0</v>
      </c>
      <c r="I112" s="290"/>
      <c r="J112" s="290"/>
    </row>
    <row r="113" spans="1:10" ht="13">
      <c r="A113" s="1">
        <v>3022</v>
      </c>
      <c r="B113" s="2" t="s">
        <v>804</v>
      </c>
      <c r="C113" s="290">
        <v>0</v>
      </c>
      <c r="D113" s="290"/>
      <c r="E113" s="290"/>
      <c r="F113" s="290"/>
      <c r="G113" s="290">
        <v>0</v>
      </c>
      <c r="H113" s="290">
        <v>0</v>
      </c>
      <c r="I113" s="290"/>
      <c r="J113" s="290"/>
    </row>
    <row r="114" spans="1:10" ht="13">
      <c r="A114" s="1">
        <v>3023</v>
      </c>
      <c r="B114" s="4" t="s">
        <v>805</v>
      </c>
      <c r="C114" s="290">
        <v>0</v>
      </c>
      <c r="D114" s="290"/>
      <c r="E114" s="290"/>
      <c r="F114" s="290"/>
      <c r="G114" s="290">
        <v>0</v>
      </c>
      <c r="H114" s="290">
        <v>0</v>
      </c>
      <c r="I114" s="290"/>
      <c r="J114" s="290"/>
    </row>
    <row r="115" spans="1:10" ht="13">
      <c r="A115" s="1">
        <v>3024</v>
      </c>
      <c r="B115" s="2" t="s">
        <v>807</v>
      </c>
      <c r="C115" s="290">
        <v>0</v>
      </c>
      <c r="D115" s="290"/>
      <c r="E115" s="290"/>
      <c r="F115" s="290"/>
      <c r="G115" s="290">
        <v>0</v>
      </c>
      <c r="H115" s="290">
        <v>0</v>
      </c>
      <c r="I115" s="290"/>
      <c r="J115" s="290"/>
    </row>
    <row r="116" spans="1:10" ht="13">
      <c r="A116" s="755">
        <v>3025</v>
      </c>
      <c r="B116" s="756" t="s">
        <v>1622</v>
      </c>
      <c r="C116" s="290">
        <v>0</v>
      </c>
      <c r="D116" s="290"/>
      <c r="E116" s="290"/>
      <c r="F116" s="290"/>
      <c r="G116" s="290">
        <v>0</v>
      </c>
      <c r="H116" s="290">
        <v>0</v>
      </c>
      <c r="I116" s="290"/>
      <c r="J116" s="290"/>
    </row>
    <row r="117" spans="1:10" ht="13">
      <c r="A117" s="1">
        <v>3026</v>
      </c>
      <c r="B117" s="2" t="s">
        <v>1623</v>
      </c>
      <c r="C117" s="290">
        <v>0</v>
      </c>
      <c r="D117" s="290"/>
      <c r="E117" s="290"/>
      <c r="F117" s="290"/>
      <c r="G117" s="290">
        <v>0</v>
      </c>
      <c r="H117" s="290">
        <v>0</v>
      </c>
      <c r="I117" s="290"/>
      <c r="J117" s="290"/>
    </row>
    <row r="118" spans="1:10" ht="13">
      <c r="A118" s="1">
        <v>3027</v>
      </c>
      <c r="B118" s="2" t="s">
        <v>812</v>
      </c>
      <c r="C118" s="290">
        <v>12</v>
      </c>
      <c r="D118" s="290">
        <v>12</v>
      </c>
      <c r="E118" s="290">
        <v>12.111000000000001</v>
      </c>
      <c r="F118" s="290">
        <v>12.518000000000001</v>
      </c>
      <c r="G118" s="290">
        <v>12.209666666666669</v>
      </c>
      <c r="H118" s="290">
        <v>12.209666666666669</v>
      </c>
      <c r="I118" s="290"/>
      <c r="J118" s="290"/>
    </row>
    <row r="119" spans="1:10" ht="13">
      <c r="A119" s="1">
        <v>3028</v>
      </c>
      <c r="B119" s="2" t="s">
        <v>813</v>
      </c>
      <c r="C119" s="290">
        <v>9</v>
      </c>
      <c r="D119" s="290">
        <v>9</v>
      </c>
      <c r="E119" s="290">
        <v>9.1959999999999997</v>
      </c>
      <c r="F119" s="290">
        <v>9.4930000000000003</v>
      </c>
      <c r="G119" s="290">
        <v>9.2296666666666667</v>
      </c>
      <c r="H119" s="290">
        <v>9.2296666666666667</v>
      </c>
      <c r="I119" s="290"/>
      <c r="J119" s="290"/>
    </row>
    <row r="120" spans="1:10" ht="13">
      <c r="A120" s="1">
        <v>3029</v>
      </c>
      <c r="B120" s="2" t="s">
        <v>814</v>
      </c>
      <c r="C120" s="290">
        <v>0</v>
      </c>
      <c r="D120" s="290"/>
      <c r="E120" s="290"/>
      <c r="F120" s="290"/>
      <c r="G120" s="290">
        <v>0</v>
      </c>
      <c r="H120" s="290">
        <v>0</v>
      </c>
      <c r="I120" s="290"/>
      <c r="J120" s="290"/>
    </row>
    <row r="121" spans="1:10" ht="13">
      <c r="A121" s="1">
        <v>3030</v>
      </c>
      <c r="B121" s="4" t="s">
        <v>1624</v>
      </c>
      <c r="C121" s="290">
        <v>1892</v>
      </c>
      <c r="D121" s="290">
        <v>1883.5</v>
      </c>
      <c r="E121" s="290">
        <v>1883.0350000000001</v>
      </c>
      <c r="F121" s="290">
        <v>3042.6109999999999</v>
      </c>
      <c r="G121" s="290">
        <v>2269.7153333333331</v>
      </c>
      <c r="H121" s="290">
        <v>2269.7153333333331</v>
      </c>
      <c r="I121" s="290"/>
      <c r="J121" s="290"/>
    </row>
    <row r="122" spans="1:10" ht="13">
      <c r="A122" s="1">
        <v>3031</v>
      </c>
      <c r="B122" s="2" t="s">
        <v>816</v>
      </c>
      <c r="C122" s="290">
        <v>0</v>
      </c>
      <c r="D122" s="290"/>
      <c r="E122" s="290"/>
      <c r="F122" s="290"/>
      <c r="G122" s="290">
        <v>0</v>
      </c>
      <c r="H122" s="290">
        <v>0</v>
      </c>
      <c r="I122" s="290"/>
      <c r="J122" s="290"/>
    </row>
    <row r="123" spans="1:10" ht="13">
      <c r="A123" s="1">
        <v>3032</v>
      </c>
      <c r="B123" s="2" t="s">
        <v>817</v>
      </c>
      <c r="C123" s="290">
        <v>0</v>
      </c>
      <c r="D123" s="290"/>
      <c r="E123" s="290"/>
      <c r="F123" s="290"/>
      <c r="G123" s="290">
        <v>0</v>
      </c>
      <c r="H123" s="290">
        <v>0</v>
      </c>
      <c r="I123" s="290"/>
      <c r="J123" s="290"/>
    </row>
    <row r="124" spans="1:10" ht="13">
      <c r="A124" s="1">
        <v>3033</v>
      </c>
      <c r="B124" s="2" t="s">
        <v>818</v>
      </c>
      <c r="C124" s="290">
        <v>0</v>
      </c>
      <c r="D124" s="290"/>
      <c r="E124" s="290"/>
      <c r="F124" s="290"/>
      <c r="G124" s="290">
        <v>0</v>
      </c>
      <c r="H124" s="290">
        <v>0</v>
      </c>
      <c r="I124" s="290"/>
      <c r="J124" s="290"/>
    </row>
    <row r="125" spans="1:10" ht="13">
      <c r="A125" s="1">
        <v>3034</v>
      </c>
      <c r="B125" s="2" t="s">
        <v>819</v>
      </c>
      <c r="C125" s="290">
        <v>8050</v>
      </c>
      <c r="D125" s="290">
        <v>8009.5</v>
      </c>
      <c r="E125" s="290">
        <v>8005.5910000000003</v>
      </c>
      <c r="F125" s="290">
        <v>7144.0050000000001</v>
      </c>
      <c r="G125" s="290">
        <v>7719.6986666666671</v>
      </c>
      <c r="H125" s="290">
        <v>7719.6986666666671</v>
      </c>
      <c r="I125" s="290"/>
      <c r="J125" s="290"/>
    </row>
    <row r="126" spans="1:10" ht="13">
      <c r="A126" s="1">
        <v>3035</v>
      </c>
      <c r="B126" s="2" t="s">
        <v>820</v>
      </c>
      <c r="C126" s="290">
        <v>763</v>
      </c>
      <c r="D126" s="290">
        <v>753</v>
      </c>
      <c r="E126" s="290">
        <v>745.56899999999996</v>
      </c>
      <c r="F126" s="290">
        <v>767.66800000000001</v>
      </c>
      <c r="G126" s="290">
        <v>755.41233333333332</v>
      </c>
      <c r="H126" s="290">
        <v>755.41233333333332</v>
      </c>
      <c r="I126" s="290"/>
      <c r="J126" s="290"/>
    </row>
    <row r="127" spans="1:10" ht="13">
      <c r="A127" s="1">
        <v>3036</v>
      </c>
      <c r="B127" s="2" t="s">
        <v>821</v>
      </c>
      <c r="C127" s="290">
        <v>26</v>
      </c>
      <c r="D127" s="290">
        <v>26</v>
      </c>
      <c r="E127" s="290">
        <v>25.971</v>
      </c>
      <c r="F127" s="290">
        <v>26.785</v>
      </c>
      <c r="G127" s="290">
        <v>26.251999999999999</v>
      </c>
      <c r="H127" s="290">
        <v>26.251999999999999</v>
      </c>
      <c r="I127" s="290"/>
      <c r="J127" s="290"/>
    </row>
    <row r="128" spans="1:10" ht="13">
      <c r="A128" s="1">
        <v>3037</v>
      </c>
      <c r="B128" s="2" t="s">
        <v>822</v>
      </c>
      <c r="C128" s="290">
        <v>58</v>
      </c>
      <c r="D128" s="290">
        <v>57</v>
      </c>
      <c r="E128" s="290">
        <v>56.87</v>
      </c>
      <c r="F128" s="290">
        <v>58.673999999999999</v>
      </c>
      <c r="G128" s="290">
        <v>57.51466666666667</v>
      </c>
      <c r="H128" s="290">
        <v>57.51466666666667</v>
      </c>
      <c r="I128" s="290"/>
      <c r="J128" s="290"/>
    </row>
    <row r="129" spans="1:10" ht="13">
      <c r="A129" s="1">
        <v>3038</v>
      </c>
      <c r="B129" s="2" t="s">
        <v>874</v>
      </c>
      <c r="C129" s="290">
        <v>166</v>
      </c>
      <c r="D129" s="290">
        <v>164</v>
      </c>
      <c r="E129" s="290">
        <v>161.18299999999999</v>
      </c>
      <c r="F129" s="290">
        <v>159.62100000000001</v>
      </c>
      <c r="G129" s="290">
        <v>161.60133333333332</v>
      </c>
      <c r="H129" s="290">
        <v>161.60133333333332</v>
      </c>
      <c r="I129" s="290"/>
      <c r="J129" s="290"/>
    </row>
    <row r="130" spans="1:10" ht="13">
      <c r="A130" s="1">
        <v>3039</v>
      </c>
      <c r="B130" s="2" t="s">
        <v>875</v>
      </c>
      <c r="C130" s="290">
        <v>88</v>
      </c>
      <c r="D130" s="290">
        <v>89</v>
      </c>
      <c r="E130" s="290">
        <v>88.846999999999994</v>
      </c>
      <c r="F130" s="290">
        <v>89.968999999999994</v>
      </c>
      <c r="G130" s="290">
        <v>89.271999999999991</v>
      </c>
      <c r="H130" s="290">
        <v>89.271999999999991</v>
      </c>
      <c r="I130" s="290"/>
      <c r="J130" s="290"/>
    </row>
    <row r="131" spans="1:10" ht="13">
      <c r="A131" s="1">
        <v>3040</v>
      </c>
      <c r="B131" s="2" t="s">
        <v>1966</v>
      </c>
      <c r="C131" s="290">
        <v>4053</v>
      </c>
      <c r="D131" s="290">
        <v>4023</v>
      </c>
      <c r="E131" s="290">
        <v>3938.8690000000001</v>
      </c>
      <c r="F131" s="290">
        <v>3980.922</v>
      </c>
      <c r="G131" s="290">
        <v>3980.9303333333337</v>
      </c>
      <c r="H131" s="290">
        <v>3980.9303333333337</v>
      </c>
      <c r="I131" s="290"/>
      <c r="J131" s="290"/>
    </row>
    <row r="132" spans="1:10" ht="13">
      <c r="A132" s="1">
        <v>3041</v>
      </c>
      <c r="B132" s="2" t="s">
        <v>876</v>
      </c>
      <c r="C132" s="290">
        <v>8065</v>
      </c>
      <c r="D132" s="290">
        <v>7974</v>
      </c>
      <c r="E132" s="290">
        <v>7834.3429999999998</v>
      </c>
      <c r="F132" s="290">
        <v>7841.8890000000001</v>
      </c>
      <c r="G132" s="290">
        <v>7883.4106666666667</v>
      </c>
      <c r="H132" s="290">
        <v>7883.4106666666667</v>
      </c>
      <c r="I132" s="290"/>
      <c r="J132" s="290"/>
    </row>
    <row r="133" spans="1:10" ht="13">
      <c r="A133" s="1">
        <v>3042</v>
      </c>
      <c r="B133" s="2" t="s">
        <v>877</v>
      </c>
      <c r="C133" s="290">
        <v>4618</v>
      </c>
      <c r="D133" s="290">
        <v>4582</v>
      </c>
      <c r="E133" s="290">
        <v>4522.8590000000004</v>
      </c>
      <c r="F133" s="290">
        <v>4426.4880000000003</v>
      </c>
      <c r="G133" s="290">
        <v>4510.4490000000005</v>
      </c>
      <c r="H133" s="290">
        <v>4510.4490000000005</v>
      </c>
      <c r="I133" s="290"/>
      <c r="J133" s="290"/>
    </row>
    <row r="134" spans="1:10" ht="13">
      <c r="A134" s="1">
        <v>3043</v>
      </c>
      <c r="B134" s="2" t="s">
        <v>878</v>
      </c>
      <c r="C134" s="290">
        <v>12826</v>
      </c>
      <c r="D134" s="290">
        <v>12833</v>
      </c>
      <c r="E134" s="290">
        <v>12558.513000000001</v>
      </c>
      <c r="F134" s="290">
        <v>12629.991</v>
      </c>
      <c r="G134" s="290">
        <v>12673.834666666668</v>
      </c>
      <c r="H134" s="290">
        <v>12673.834666666668</v>
      </c>
      <c r="I134" s="290"/>
      <c r="J134" s="290"/>
    </row>
    <row r="135" spans="1:10" ht="13">
      <c r="A135" s="1">
        <v>3044</v>
      </c>
      <c r="B135" s="2" t="s">
        <v>880</v>
      </c>
      <c r="C135" s="290">
        <v>24083</v>
      </c>
      <c r="D135" s="290">
        <v>24431</v>
      </c>
      <c r="E135" s="290">
        <v>23885.080999999998</v>
      </c>
      <c r="F135" s="290">
        <v>23871.661</v>
      </c>
      <c r="G135" s="290">
        <v>24062.580666666665</v>
      </c>
      <c r="H135" s="290">
        <v>24062.580666666665</v>
      </c>
      <c r="I135" s="290"/>
      <c r="J135" s="290"/>
    </row>
    <row r="136" spans="1:10" ht="13">
      <c r="A136" s="1">
        <v>3045</v>
      </c>
      <c r="B136" s="2" t="s">
        <v>881</v>
      </c>
      <c r="C136" s="290">
        <v>220</v>
      </c>
      <c r="D136" s="290">
        <v>213</v>
      </c>
      <c r="E136" s="290">
        <v>217.173</v>
      </c>
      <c r="F136" s="290">
        <v>221.60599999999999</v>
      </c>
      <c r="G136" s="290">
        <v>217.25966666666667</v>
      </c>
      <c r="H136" s="290">
        <v>217.25966666666667</v>
      </c>
      <c r="I136" s="290"/>
      <c r="J136" s="290"/>
    </row>
    <row r="137" spans="1:10" ht="13">
      <c r="A137" s="1">
        <v>3046</v>
      </c>
      <c r="B137" s="2" t="s">
        <v>882</v>
      </c>
      <c r="C137" s="290">
        <v>479</v>
      </c>
      <c r="D137" s="290">
        <v>480</v>
      </c>
      <c r="E137" s="290">
        <v>476.839</v>
      </c>
      <c r="F137" s="290">
        <v>483.505</v>
      </c>
      <c r="G137" s="290">
        <v>480.11466666666666</v>
      </c>
      <c r="H137" s="290">
        <v>480.11466666666666</v>
      </c>
      <c r="I137" s="290"/>
      <c r="J137" s="290"/>
    </row>
    <row r="138" spans="1:10" ht="13">
      <c r="A138" s="1">
        <v>3047</v>
      </c>
      <c r="B138" s="2" t="s">
        <v>883</v>
      </c>
      <c r="C138" s="290">
        <v>13325</v>
      </c>
      <c r="D138" s="290">
        <v>13549</v>
      </c>
      <c r="E138" s="290">
        <v>13734.204</v>
      </c>
      <c r="F138" s="290">
        <v>13919.697</v>
      </c>
      <c r="G138" s="290">
        <v>13734.300333333333</v>
      </c>
      <c r="H138" s="290">
        <v>13734.300333333333</v>
      </c>
      <c r="I138" s="290"/>
      <c r="J138" s="290"/>
    </row>
    <row r="139" spans="1:10" ht="13">
      <c r="A139" s="1">
        <v>3048</v>
      </c>
      <c r="B139" s="2" t="s">
        <v>884</v>
      </c>
      <c r="C139" s="290">
        <v>673</v>
      </c>
      <c r="D139" s="290">
        <v>668</v>
      </c>
      <c r="E139" s="290">
        <v>668.29399999999998</v>
      </c>
      <c r="F139" s="290">
        <v>651.41999999999996</v>
      </c>
      <c r="G139" s="290">
        <v>662.57133333333331</v>
      </c>
      <c r="H139" s="290">
        <v>662.57133333333331</v>
      </c>
      <c r="I139" s="290"/>
      <c r="J139" s="290"/>
    </row>
    <row r="140" spans="1:10" ht="13">
      <c r="A140" s="1">
        <v>3049</v>
      </c>
      <c r="B140" s="2" t="s">
        <v>886</v>
      </c>
      <c r="C140" s="290">
        <v>0</v>
      </c>
      <c r="D140" s="290"/>
      <c r="E140" s="290">
        <v>0.24199999999999999</v>
      </c>
      <c r="F140" s="290">
        <v>0.24199999999999999</v>
      </c>
      <c r="G140" s="290">
        <v>0.16133333333333333</v>
      </c>
      <c r="H140" s="290">
        <v>0.16133333333333333</v>
      </c>
      <c r="I140" s="290"/>
      <c r="J140" s="290"/>
    </row>
    <row r="141" spans="1:10" ht="13">
      <c r="A141" s="1">
        <v>3050</v>
      </c>
      <c r="B141" s="2" t="s">
        <v>889</v>
      </c>
      <c r="C141" s="290">
        <v>1437</v>
      </c>
      <c r="D141" s="290">
        <v>1402</v>
      </c>
      <c r="E141" s="290">
        <v>1385.252</v>
      </c>
      <c r="F141" s="290">
        <v>1402.5550000000001</v>
      </c>
      <c r="G141" s="290">
        <v>1396.6023333333333</v>
      </c>
      <c r="H141" s="290">
        <v>1396.6023333333333</v>
      </c>
      <c r="I141" s="290"/>
      <c r="J141" s="290"/>
    </row>
    <row r="142" spans="1:10" ht="13">
      <c r="A142" s="1">
        <v>3051</v>
      </c>
      <c r="B142" s="2" t="s">
        <v>890</v>
      </c>
      <c r="C142" s="290">
        <v>3782</v>
      </c>
      <c r="D142" s="290">
        <v>3755</v>
      </c>
      <c r="E142" s="290">
        <v>3631.529</v>
      </c>
      <c r="F142" s="290">
        <v>3722.114</v>
      </c>
      <c r="G142" s="290">
        <v>3702.8809999999999</v>
      </c>
      <c r="H142" s="290">
        <v>3702.8809999999999</v>
      </c>
      <c r="I142" s="290"/>
      <c r="J142" s="290"/>
    </row>
    <row r="143" spans="1:10" ht="13">
      <c r="A143" s="1">
        <v>3052</v>
      </c>
      <c r="B143" s="2" t="s">
        <v>891</v>
      </c>
      <c r="C143" s="290">
        <v>24509</v>
      </c>
      <c r="D143" s="290">
        <v>24439</v>
      </c>
      <c r="E143" s="290">
        <v>23587.244999999999</v>
      </c>
      <c r="F143" s="290">
        <v>24014.232</v>
      </c>
      <c r="G143" s="290">
        <v>24013.492333333332</v>
      </c>
      <c r="H143" s="290">
        <v>24013.492333333332</v>
      </c>
      <c r="I143" s="290"/>
      <c r="J143" s="290"/>
    </row>
    <row r="144" spans="1:10" ht="13">
      <c r="A144" s="1">
        <v>3053</v>
      </c>
      <c r="B144" s="2" t="s">
        <v>860</v>
      </c>
      <c r="C144" s="290">
        <v>225</v>
      </c>
      <c r="D144" s="290">
        <v>227</v>
      </c>
      <c r="E144" s="290">
        <v>229.60300000000001</v>
      </c>
      <c r="F144" s="290">
        <v>155.91399999999999</v>
      </c>
      <c r="G144" s="290">
        <v>204.17233333333334</v>
      </c>
      <c r="H144" s="290">
        <v>204.17233333333334</v>
      </c>
      <c r="I144" s="290"/>
      <c r="J144" s="290"/>
    </row>
    <row r="145" spans="1:10" ht="13">
      <c r="A145" s="1">
        <v>3054</v>
      </c>
      <c r="B145" s="4" t="s">
        <v>861</v>
      </c>
      <c r="C145" s="290">
        <v>0</v>
      </c>
      <c r="D145" s="290"/>
      <c r="E145" s="290"/>
      <c r="F145" s="290"/>
      <c r="G145" s="290">
        <v>0</v>
      </c>
      <c r="H145" s="290">
        <v>0</v>
      </c>
      <c r="I145" s="290"/>
      <c r="J145" s="290"/>
    </row>
    <row r="146" spans="1:10" ht="13">
      <c r="A146" s="1">
        <v>3401</v>
      </c>
      <c r="B146" s="2" t="s">
        <v>824</v>
      </c>
      <c r="C146" s="290">
        <v>971</v>
      </c>
      <c r="D146" s="290">
        <v>959</v>
      </c>
      <c r="E146" s="290">
        <v>934.34</v>
      </c>
      <c r="F146" s="290">
        <v>965.96500000000003</v>
      </c>
      <c r="G146" s="290">
        <v>953.1016666666668</v>
      </c>
      <c r="H146" s="290">
        <v>953.1016666666668</v>
      </c>
      <c r="I146" s="290"/>
      <c r="J146" s="290"/>
    </row>
    <row r="147" spans="1:10" ht="13">
      <c r="A147" s="1">
        <v>3403</v>
      </c>
      <c r="B147" s="2" t="s">
        <v>825</v>
      </c>
      <c r="C147" s="290">
        <v>148</v>
      </c>
      <c r="D147" s="290">
        <v>146</v>
      </c>
      <c r="E147" s="290">
        <v>145.816</v>
      </c>
      <c r="F147" s="290">
        <v>150.46899999999999</v>
      </c>
      <c r="G147" s="290">
        <v>147.42833333333334</v>
      </c>
      <c r="H147" s="290">
        <v>147.42833333333334</v>
      </c>
      <c r="I147" s="290"/>
      <c r="J147" s="290"/>
    </row>
    <row r="148" spans="1:10" ht="13">
      <c r="A148" s="1">
        <v>3405</v>
      </c>
      <c r="B148" s="2" t="s">
        <v>845</v>
      </c>
      <c r="C148" s="290">
        <v>4241</v>
      </c>
      <c r="D148" s="290">
        <v>4165</v>
      </c>
      <c r="E148" s="290">
        <v>4144.8770000000004</v>
      </c>
      <c r="F148" s="290">
        <v>4139.982</v>
      </c>
      <c r="G148" s="290">
        <v>4149.9530000000004</v>
      </c>
      <c r="H148" s="290">
        <v>4149.9530000000004</v>
      </c>
      <c r="I148" s="290"/>
      <c r="J148" s="290"/>
    </row>
    <row r="149" spans="1:10" ht="13">
      <c r="A149" s="1">
        <v>3407</v>
      </c>
      <c r="B149" s="2" t="s">
        <v>846</v>
      </c>
      <c r="C149" s="290">
        <v>269</v>
      </c>
      <c r="D149" s="290">
        <v>265</v>
      </c>
      <c r="E149" s="290">
        <v>263.93400000000003</v>
      </c>
      <c r="F149" s="290">
        <v>272.30500000000001</v>
      </c>
      <c r="G149" s="290">
        <v>267.0796666666667</v>
      </c>
      <c r="H149" s="290">
        <v>267.0796666666667</v>
      </c>
      <c r="I149" s="290"/>
      <c r="J149" s="290"/>
    </row>
    <row r="150" spans="1:10" ht="13">
      <c r="A150" s="1">
        <v>3411</v>
      </c>
      <c r="B150" s="2" t="s">
        <v>826</v>
      </c>
      <c r="C150" s="290">
        <v>835</v>
      </c>
      <c r="D150" s="290">
        <v>815</v>
      </c>
      <c r="E150" s="290">
        <v>815.67200000000003</v>
      </c>
      <c r="F150" s="290">
        <v>824.13099999999997</v>
      </c>
      <c r="G150" s="290">
        <v>818.26766666666663</v>
      </c>
      <c r="H150" s="290">
        <v>818.26766666666663</v>
      </c>
      <c r="I150" s="290"/>
      <c r="J150" s="290"/>
    </row>
    <row r="151" spans="1:10" ht="13">
      <c r="A151" s="1">
        <v>3412</v>
      </c>
      <c r="B151" s="2" t="s">
        <v>827</v>
      </c>
      <c r="C151" s="290">
        <v>21</v>
      </c>
      <c r="D151" s="290">
        <v>21</v>
      </c>
      <c r="E151" s="290">
        <v>20.614000000000001</v>
      </c>
      <c r="F151" s="290">
        <v>21.241</v>
      </c>
      <c r="G151" s="290">
        <v>20.951666666666668</v>
      </c>
      <c r="H151" s="290">
        <v>20.951666666666668</v>
      </c>
      <c r="I151" s="290"/>
      <c r="J151" s="290"/>
    </row>
    <row r="152" spans="1:10" ht="13">
      <c r="A152" s="1">
        <v>3413</v>
      </c>
      <c r="B152" s="4" t="s">
        <v>828</v>
      </c>
      <c r="C152" s="290">
        <v>123</v>
      </c>
      <c r="D152" s="290">
        <v>123</v>
      </c>
      <c r="E152" s="290">
        <v>122.386</v>
      </c>
      <c r="F152" s="290">
        <v>126.33499999999999</v>
      </c>
      <c r="G152" s="290">
        <v>123.907</v>
      </c>
      <c r="H152" s="290">
        <v>123.907</v>
      </c>
      <c r="I152" s="290"/>
      <c r="J152" s="290"/>
    </row>
    <row r="153" spans="1:10" ht="13">
      <c r="A153" s="1">
        <v>3414</v>
      </c>
      <c r="B153" s="2" t="s">
        <v>829</v>
      </c>
      <c r="C153" s="290">
        <v>0</v>
      </c>
      <c r="D153" s="290"/>
      <c r="E153" s="290"/>
      <c r="F153" s="290"/>
      <c r="G153" s="290">
        <v>0</v>
      </c>
      <c r="H153" s="290">
        <v>0</v>
      </c>
      <c r="I153" s="290">
        <v>5832.2</v>
      </c>
      <c r="J153" s="290"/>
    </row>
    <row r="154" spans="1:10" ht="13">
      <c r="A154" s="1">
        <v>3415</v>
      </c>
      <c r="B154" s="2" t="s">
        <v>830</v>
      </c>
      <c r="C154" s="290">
        <v>971</v>
      </c>
      <c r="D154" s="290">
        <v>959</v>
      </c>
      <c r="E154" s="290">
        <v>934.34</v>
      </c>
      <c r="F154" s="290">
        <v>965.96500000000003</v>
      </c>
      <c r="G154" s="290">
        <v>953.1016666666668</v>
      </c>
      <c r="H154" s="290">
        <v>953.1016666666668</v>
      </c>
      <c r="I154" s="290"/>
      <c r="J154" s="290"/>
    </row>
    <row r="155" spans="1:10" ht="13">
      <c r="A155" s="1">
        <v>3416</v>
      </c>
      <c r="B155" s="2" t="s">
        <v>831</v>
      </c>
      <c r="C155" s="290">
        <v>0</v>
      </c>
      <c r="D155" s="290"/>
      <c r="E155" s="290"/>
      <c r="F155" s="290"/>
      <c r="G155" s="290">
        <v>0</v>
      </c>
      <c r="H155" s="290">
        <v>0</v>
      </c>
      <c r="I155" s="290"/>
      <c r="J155" s="290"/>
    </row>
    <row r="156" spans="1:10" ht="13">
      <c r="A156" s="1">
        <v>3417</v>
      </c>
      <c r="B156" s="2" t="s">
        <v>832</v>
      </c>
      <c r="C156" s="290">
        <v>0</v>
      </c>
      <c r="D156" s="290"/>
      <c r="E156" s="290"/>
      <c r="F156" s="290"/>
      <c r="G156" s="290">
        <v>0</v>
      </c>
      <c r="H156" s="290">
        <v>0</v>
      </c>
      <c r="I156" s="290"/>
      <c r="J156" s="290"/>
    </row>
    <row r="157" spans="1:10" ht="13">
      <c r="A157" s="1">
        <v>3418</v>
      </c>
      <c r="B157" s="2" t="s">
        <v>833</v>
      </c>
      <c r="C157" s="290">
        <v>0</v>
      </c>
      <c r="D157" s="290"/>
      <c r="E157" s="290"/>
      <c r="F157" s="290"/>
      <c r="G157" s="290">
        <v>0</v>
      </c>
      <c r="H157" s="290">
        <v>0</v>
      </c>
      <c r="I157" s="290"/>
      <c r="J157" s="290"/>
    </row>
    <row r="158" spans="1:10" ht="13">
      <c r="A158" s="1">
        <v>3419</v>
      </c>
      <c r="B158" s="2" t="s">
        <v>799</v>
      </c>
      <c r="C158" s="290">
        <v>1307</v>
      </c>
      <c r="D158" s="290">
        <v>1293</v>
      </c>
      <c r="E158" s="290">
        <v>1295.789</v>
      </c>
      <c r="F158" s="290">
        <v>1370.0940000000001</v>
      </c>
      <c r="G158" s="290">
        <v>1319.6276666666665</v>
      </c>
      <c r="H158" s="290">
        <v>1319.6276666666665</v>
      </c>
      <c r="I158" s="290">
        <v>2142.69</v>
      </c>
      <c r="J158" s="290"/>
    </row>
    <row r="159" spans="1:10" ht="13">
      <c r="A159" s="1">
        <v>3420</v>
      </c>
      <c r="B159" s="2" t="s">
        <v>834</v>
      </c>
      <c r="C159" s="290">
        <v>3049</v>
      </c>
      <c r="D159" s="290">
        <v>2988</v>
      </c>
      <c r="E159" s="290">
        <v>2955.326</v>
      </c>
      <c r="F159" s="290">
        <v>3040.5540000000001</v>
      </c>
      <c r="G159" s="290">
        <v>2994.626666666667</v>
      </c>
      <c r="H159" s="290">
        <v>2994.626666666667</v>
      </c>
      <c r="I159" s="290"/>
      <c r="J159" s="290"/>
    </row>
    <row r="160" spans="1:10" ht="13">
      <c r="A160" s="1">
        <v>3421</v>
      </c>
      <c r="B160" s="2" t="s">
        <v>835</v>
      </c>
      <c r="C160" s="290">
        <v>1057</v>
      </c>
      <c r="D160" s="290">
        <v>1012</v>
      </c>
      <c r="E160" s="290">
        <v>986.68899999999996</v>
      </c>
      <c r="F160" s="290">
        <v>1022.516</v>
      </c>
      <c r="G160" s="290">
        <v>1007.0683333333333</v>
      </c>
      <c r="H160" s="290">
        <v>1007.0683333333333</v>
      </c>
      <c r="I160" s="290"/>
      <c r="J160" s="290"/>
    </row>
    <row r="161" spans="1:10" ht="13">
      <c r="A161" s="1">
        <v>3422</v>
      </c>
      <c r="B161" s="2" t="s">
        <v>836</v>
      </c>
      <c r="C161" s="290">
        <v>5549</v>
      </c>
      <c r="D161" s="290">
        <v>5398</v>
      </c>
      <c r="E161" s="290">
        <v>5371.4319999999998</v>
      </c>
      <c r="F161" s="290">
        <v>5602.0469999999996</v>
      </c>
      <c r="G161" s="290">
        <v>5457.1596666666665</v>
      </c>
      <c r="H161" s="290">
        <v>5457.1596666666665</v>
      </c>
      <c r="I161" s="290">
        <v>4053.4999999999995</v>
      </c>
      <c r="J161" s="290"/>
    </row>
    <row r="162" spans="1:10" ht="13">
      <c r="A162" s="1">
        <v>3423</v>
      </c>
      <c r="B162" s="2" t="s">
        <v>837</v>
      </c>
      <c r="C162" s="290">
        <v>1002</v>
      </c>
      <c r="D162" s="290">
        <v>1001</v>
      </c>
      <c r="E162" s="290">
        <v>1004.6079999999999</v>
      </c>
      <c r="F162" s="290">
        <v>1023.5170000000001</v>
      </c>
      <c r="G162" s="290">
        <v>1009.7083333333334</v>
      </c>
      <c r="H162" s="290">
        <v>1009.7083333333334</v>
      </c>
      <c r="I162" s="290"/>
      <c r="J162" s="290"/>
    </row>
    <row r="163" spans="1:10" ht="13">
      <c r="A163" s="1">
        <v>3424</v>
      </c>
      <c r="B163" s="2" t="s">
        <v>838</v>
      </c>
      <c r="C163" s="290">
        <v>5439</v>
      </c>
      <c r="D163" s="290">
        <v>5435</v>
      </c>
      <c r="E163" s="290">
        <v>5399.46</v>
      </c>
      <c r="F163" s="290">
        <v>5484.6549999999997</v>
      </c>
      <c r="G163" s="290">
        <v>5439.704999999999</v>
      </c>
      <c r="H163" s="290">
        <v>5439.704999999999</v>
      </c>
      <c r="I163" s="290"/>
      <c r="J163" s="290"/>
    </row>
    <row r="164" spans="1:10" ht="13">
      <c r="A164" s="1">
        <v>3425</v>
      </c>
      <c r="B164" s="2" t="s">
        <v>839</v>
      </c>
      <c r="C164" s="290">
        <v>0</v>
      </c>
      <c r="D164" s="290"/>
      <c r="E164" s="290"/>
      <c r="F164" s="290"/>
      <c r="G164" s="290">
        <v>0</v>
      </c>
      <c r="H164" s="290">
        <v>0</v>
      </c>
      <c r="I164" s="290"/>
      <c r="J164" s="290"/>
    </row>
    <row r="165" spans="1:10" ht="13">
      <c r="A165" s="1">
        <v>3426</v>
      </c>
      <c r="B165" s="2" t="s">
        <v>840</v>
      </c>
      <c r="C165" s="290">
        <v>0</v>
      </c>
      <c r="D165" s="290"/>
      <c r="E165" s="290"/>
      <c r="F165" s="290"/>
      <c r="G165" s="290">
        <v>0</v>
      </c>
      <c r="H165" s="290">
        <v>0</v>
      </c>
      <c r="I165" s="290"/>
      <c r="J165" s="290"/>
    </row>
    <row r="166" spans="1:10" ht="13">
      <c r="A166" s="1">
        <v>3427</v>
      </c>
      <c r="B166" s="2" t="s">
        <v>841</v>
      </c>
      <c r="C166" s="290">
        <v>3897</v>
      </c>
      <c r="D166" s="290">
        <v>3710</v>
      </c>
      <c r="E166" s="290">
        <v>3408.2510000000002</v>
      </c>
      <c r="F166" s="290">
        <v>3589.6190000000001</v>
      </c>
      <c r="G166" s="290">
        <v>3569.2900000000004</v>
      </c>
      <c r="H166" s="290">
        <v>3569.2900000000004</v>
      </c>
      <c r="I166" s="290"/>
      <c r="J166" s="290"/>
    </row>
    <row r="167" spans="1:10" ht="13">
      <c r="A167" s="1">
        <v>3428</v>
      </c>
      <c r="B167" s="2" t="s">
        <v>842</v>
      </c>
      <c r="C167" s="290">
        <v>3459</v>
      </c>
      <c r="D167" s="290">
        <v>3403</v>
      </c>
      <c r="E167" s="290">
        <v>3299.5709999999999</v>
      </c>
      <c r="F167" s="290">
        <v>3239.3789999999999</v>
      </c>
      <c r="G167" s="290">
        <v>3313.9833333333336</v>
      </c>
      <c r="H167" s="290">
        <v>3313.9833333333336</v>
      </c>
      <c r="I167" s="290"/>
      <c r="J167" s="290"/>
    </row>
    <row r="168" spans="1:10" ht="13">
      <c r="A168" s="1">
        <v>3429</v>
      </c>
      <c r="B168" s="2" t="s">
        <v>843</v>
      </c>
      <c r="C168" s="290">
        <v>933</v>
      </c>
      <c r="D168" s="290">
        <v>912</v>
      </c>
      <c r="E168" s="290">
        <v>848.81500000000005</v>
      </c>
      <c r="F168" s="290">
        <v>529.70500000000004</v>
      </c>
      <c r="G168" s="290">
        <v>763.50666666666666</v>
      </c>
      <c r="H168" s="290">
        <v>763.50666666666666</v>
      </c>
      <c r="I168" s="290"/>
      <c r="J168" s="290"/>
    </row>
    <row r="169" spans="1:10" ht="13">
      <c r="A169" s="1">
        <v>3430</v>
      </c>
      <c r="B169" s="2" t="s">
        <v>844</v>
      </c>
      <c r="C169" s="290">
        <v>0</v>
      </c>
      <c r="D169" s="290"/>
      <c r="E169" s="290"/>
      <c r="F169" s="290"/>
      <c r="G169" s="290">
        <v>0</v>
      </c>
      <c r="H169" s="290">
        <v>0</v>
      </c>
      <c r="I169" s="290"/>
      <c r="J169" s="290"/>
    </row>
    <row r="170" spans="1:10" ht="13">
      <c r="A170" s="1">
        <v>3431</v>
      </c>
      <c r="B170" s="2" t="s">
        <v>847</v>
      </c>
      <c r="C170" s="290">
        <v>0</v>
      </c>
      <c r="D170" s="290">
        <v>12</v>
      </c>
      <c r="E170" s="290">
        <v>26.344999999999999</v>
      </c>
      <c r="F170" s="290">
        <v>41.722999999999999</v>
      </c>
      <c r="G170" s="290">
        <v>26.689333333333334</v>
      </c>
      <c r="H170" s="290">
        <v>26.689333333333334</v>
      </c>
      <c r="I170" s="290"/>
      <c r="J170" s="290"/>
    </row>
    <row r="171" spans="1:10" ht="13">
      <c r="A171" s="1">
        <v>3432</v>
      </c>
      <c r="B171" s="2" t="s">
        <v>848</v>
      </c>
      <c r="C171" s="290">
        <v>1525</v>
      </c>
      <c r="D171" s="290">
        <v>1541</v>
      </c>
      <c r="E171" s="290">
        <v>1524.864</v>
      </c>
      <c r="F171" s="290">
        <v>1538.471</v>
      </c>
      <c r="G171" s="290">
        <v>1534.7783333333334</v>
      </c>
      <c r="H171" s="290">
        <v>1534.7783333333334</v>
      </c>
      <c r="I171" s="290"/>
      <c r="J171" s="290"/>
    </row>
    <row r="172" spans="1:10" ht="13">
      <c r="A172" s="1">
        <v>3433</v>
      </c>
      <c r="B172" s="2" t="s">
        <v>849</v>
      </c>
      <c r="C172" s="290">
        <v>12117</v>
      </c>
      <c r="D172" s="290">
        <v>12094</v>
      </c>
      <c r="E172" s="290">
        <v>11883.377</v>
      </c>
      <c r="F172" s="290">
        <v>12060.213</v>
      </c>
      <c r="G172" s="290">
        <v>12012.529999999999</v>
      </c>
      <c r="H172" s="290">
        <v>12012.529999999999</v>
      </c>
      <c r="I172" s="290"/>
      <c r="J172" s="290"/>
    </row>
    <row r="173" spans="1:10" ht="13">
      <c r="A173" s="1">
        <v>3434</v>
      </c>
      <c r="B173" s="2" t="s">
        <v>850</v>
      </c>
      <c r="C173" s="290">
        <v>2232</v>
      </c>
      <c r="D173" s="290">
        <v>2008</v>
      </c>
      <c r="E173" s="290">
        <v>2058.056</v>
      </c>
      <c r="F173" s="290">
        <v>2120.6239999999998</v>
      </c>
      <c r="G173" s="290">
        <v>2062.2266666666669</v>
      </c>
      <c r="H173" s="290">
        <v>2062.2266666666669</v>
      </c>
      <c r="I173" s="290"/>
      <c r="J173" s="290"/>
    </row>
    <row r="174" spans="1:10" ht="13">
      <c r="A174" s="1">
        <v>3435</v>
      </c>
      <c r="B174" s="2" t="s">
        <v>851</v>
      </c>
      <c r="C174" s="290">
        <v>2658</v>
      </c>
      <c r="D174" s="290">
        <v>3284</v>
      </c>
      <c r="E174" s="290">
        <v>3203.9920000000002</v>
      </c>
      <c r="F174" s="290">
        <v>3255.4389999999999</v>
      </c>
      <c r="G174" s="290">
        <v>3247.8103333333333</v>
      </c>
      <c r="H174" s="290">
        <v>3247.8103333333333</v>
      </c>
      <c r="I174" s="290"/>
      <c r="J174" s="290"/>
    </row>
    <row r="175" spans="1:10" ht="13">
      <c r="A175" s="1">
        <v>3436</v>
      </c>
      <c r="B175" s="2" t="s">
        <v>852</v>
      </c>
      <c r="C175" s="290">
        <v>18823</v>
      </c>
      <c r="D175" s="290">
        <v>18504</v>
      </c>
      <c r="E175" s="290">
        <v>17853.165000000001</v>
      </c>
      <c r="F175" s="290">
        <v>17742.295999999998</v>
      </c>
      <c r="G175" s="290">
        <v>18033.153666666665</v>
      </c>
      <c r="H175" s="290">
        <v>18033.153666666665</v>
      </c>
      <c r="I175" s="290"/>
      <c r="J175" s="290"/>
    </row>
    <row r="176" spans="1:10" ht="13">
      <c r="A176" s="1">
        <v>3437</v>
      </c>
      <c r="B176" s="2" t="s">
        <v>853</v>
      </c>
      <c r="C176" s="290">
        <v>237</v>
      </c>
      <c r="D176" s="290">
        <v>219</v>
      </c>
      <c r="E176" s="290">
        <v>481.26100000000002</v>
      </c>
      <c r="F176" s="290">
        <v>954.327</v>
      </c>
      <c r="G176" s="290">
        <v>551.52933333333328</v>
      </c>
      <c r="H176" s="290">
        <v>551.52933333333328</v>
      </c>
      <c r="I176" s="290"/>
      <c r="J176" s="290"/>
    </row>
    <row r="177" spans="1:10" ht="13">
      <c r="A177" s="1">
        <v>3438</v>
      </c>
      <c r="B177" s="2" t="s">
        <v>854</v>
      </c>
      <c r="C177" s="290">
        <v>6248</v>
      </c>
      <c r="D177" s="290">
        <v>6183</v>
      </c>
      <c r="E177" s="290">
        <v>6051.0780000000004</v>
      </c>
      <c r="F177" s="290">
        <v>6036.5249999999996</v>
      </c>
      <c r="G177" s="290">
        <v>6090.2010000000009</v>
      </c>
      <c r="H177" s="290">
        <v>6090.2010000000009</v>
      </c>
      <c r="I177" s="290"/>
      <c r="J177" s="290"/>
    </row>
    <row r="178" spans="1:10" ht="13">
      <c r="A178" s="1">
        <v>3439</v>
      </c>
      <c r="B178" s="2" t="s">
        <v>855</v>
      </c>
      <c r="C178" s="290">
        <v>0</v>
      </c>
      <c r="D178" s="290"/>
      <c r="E178" s="290"/>
      <c r="F178" s="290"/>
      <c r="G178" s="290">
        <v>0</v>
      </c>
      <c r="H178" s="290">
        <v>0</v>
      </c>
      <c r="I178" s="290"/>
      <c r="J178" s="290"/>
    </row>
    <row r="179" spans="1:10" ht="13">
      <c r="A179" s="1">
        <v>3440</v>
      </c>
      <c r="B179" s="2" t="s">
        <v>856</v>
      </c>
      <c r="C179" s="290">
        <v>3499</v>
      </c>
      <c r="D179" s="290">
        <v>3444</v>
      </c>
      <c r="E179" s="290">
        <v>3404.181</v>
      </c>
      <c r="F179" s="290">
        <v>3410.154</v>
      </c>
      <c r="G179" s="290">
        <v>3419.4450000000002</v>
      </c>
      <c r="H179" s="290">
        <v>3419.4450000000002</v>
      </c>
      <c r="I179" s="290"/>
      <c r="J179" s="290"/>
    </row>
    <row r="180" spans="1:10" ht="13">
      <c r="A180" s="1">
        <v>3441</v>
      </c>
      <c r="B180" s="2" t="s">
        <v>857</v>
      </c>
      <c r="C180" s="290">
        <v>1037</v>
      </c>
      <c r="D180" s="290">
        <v>1025</v>
      </c>
      <c r="E180" s="290">
        <v>1014.101</v>
      </c>
      <c r="F180" s="290">
        <v>1000.648</v>
      </c>
      <c r="G180" s="290">
        <v>1013.2496666666667</v>
      </c>
      <c r="H180" s="290">
        <v>1013.2496666666667</v>
      </c>
      <c r="I180" s="290"/>
      <c r="J180" s="290"/>
    </row>
    <row r="181" spans="1:10" ht="13">
      <c r="A181" s="1">
        <v>3442</v>
      </c>
      <c r="B181" s="2" t="s">
        <v>858</v>
      </c>
      <c r="C181" s="290">
        <v>79</v>
      </c>
      <c r="D181" s="290">
        <v>78</v>
      </c>
      <c r="E181" s="290">
        <v>77.671000000000006</v>
      </c>
      <c r="F181" s="290">
        <v>80.19</v>
      </c>
      <c r="G181" s="290">
        <v>78.620333333333335</v>
      </c>
      <c r="H181" s="290">
        <v>78.620333333333335</v>
      </c>
      <c r="I181" s="290"/>
      <c r="J181" s="290"/>
    </row>
    <row r="182" spans="1:10" ht="13">
      <c r="A182" s="1">
        <v>3443</v>
      </c>
      <c r="B182" s="2" t="s">
        <v>859</v>
      </c>
      <c r="C182" s="290">
        <v>42</v>
      </c>
      <c r="D182" s="290">
        <v>41</v>
      </c>
      <c r="E182" s="290">
        <v>41.173000000000002</v>
      </c>
      <c r="F182" s="290">
        <v>42.448999999999998</v>
      </c>
      <c r="G182" s="290">
        <v>41.540666666666667</v>
      </c>
      <c r="H182" s="290">
        <v>41.540666666666667</v>
      </c>
      <c r="I182" s="290"/>
      <c r="J182" s="290"/>
    </row>
    <row r="183" spans="1:10" ht="13">
      <c r="A183" s="1">
        <v>3446</v>
      </c>
      <c r="B183" s="2" t="s">
        <v>862</v>
      </c>
      <c r="C183" s="290">
        <v>64</v>
      </c>
      <c r="D183" s="290">
        <v>65</v>
      </c>
      <c r="E183" s="290">
        <v>65.317999999999998</v>
      </c>
      <c r="F183" s="290">
        <v>42.691000000000003</v>
      </c>
      <c r="G183" s="290">
        <v>57.669666666666664</v>
      </c>
      <c r="H183" s="290">
        <v>57.669666666666664</v>
      </c>
      <c r="I183" s="290"/>
      <c r="J183" s="290"/>
    </row>
    <row r="184" spans="1:10" ht="13">
      <c r="A184" s="1">
        <v>3447</v>
      </c>
      <c r="B184" s="2" t="s">
        <v>863</v>
      </c>
      <c r="C184" s="290">
        <v>165</v>
      </c>
      <c r="D184" s="290">
        <v>166</v>
      </c>
      <c r="E184" s="290">
        <v>167.98099999999999</v>
      </c>
      <c r="F184" s="290">
        <v>118.976</v>
      </c>
      <c r="G184" s="290">
        <v>150.98566666666667</v>
      </c>
      <c r="H184" s="290">
        <v>150.98566666666667</v>
      </c>
      <c r="I184" s="290"/>
      <c r="J184" s="290"/>
    </row>
    <row r="185" spans="1:10" ht="13">
      <c r="A185" s="1">
        <v>3448</v>
      </c>
      <c r="B185" s="2" t="s">
        <v>864</v>
      </c>
      <c r="C185" s="290">
        <v>7466</v>
      </c>
      <c r="D185" s="290">
        <v>7281</v>
      </c>
      <c r="E185" s="290">
        <v>7168.1940000000004</v>
      </c>
      <c r="F185" s="290">
        <v>7123.116</v>
      </c>
      <c r="G185" s="290">
        <v>7190.7699999999995</v>
      </c>
      <c r="H185" s="290">
        <v>7190.7699999999995</v>
      </c>
      <c r="I185" s="290"/>
      <c r="J185" s="290"/>
    </row>
    <row r="186" spans="1:10" ht="13">
      <c r="A186" s="1">
        <v>3449</v>
      </c>
      <c r="B186" s="2" t="s">
        <v>865</v>
      </c>
      <c r="C186" s="290">
        <v>4027</v>
      </c>
      <c r="D186" s="290">
        <v>4108</v>
      </c>
      <c r="E186" s="290">
        <v>4220.4690000000001</v>
      </c>
      <c r="F186" s="290">
        <v>4358.3320000000003</v>
      </c>
      <c r="G186" s="290">
        <v>4228.9336666666668</v>
      </c>
      <c r="H186" s="290">
        <v>4228.9336666666668</v>
      </c>
      <c r="I186" s="290"/>
      <c r="J186" s="290"/>
    </row>
    <row r="187" spans="1:10" ht="13">
      <c r="A187" s="1">
        <v>3450</v>
      </c>
      <c r="B187" s="2" t="s">
        <v>866</v>
      </c>
      <c r="C187" s="290">
        <v>0</v>
      </c>
      <c r="D187" s="290"/>
      <c r="E187" s="290"/>
      <c r="F187" s="290"/>
      <c r="G187" s="290">
        <v>0</v>
      </c>
      <c r="H187" s="290">
        <v>0</v>
      </c>
      <c r="I187" s="290"/>
      <c r="J187" s="290"/>
    </row>
    <row r="188" spans="1:10" ht="13">
      <c r="A188" s="1">
        <v>3451</v>
      </c>
      <c r="B188" s="2" t="s">
        <v>867</v>
      </c>
      <c r="C188" s="290">
        <v>6535</v>
      </c>
      <c r="D188" s="290">
        <v>6747</v>
      </c>
      <c r="E188" s="290">
        <v>6582.598</v>
      </c>
      <c r="F188" s="290">
        <v>6734.7830000000004</v>
      </c>
      <c r="G188" s="290">
        <v>6688.1270000000004</v>
      </c>
      <c r="H188" s="290">
        <v>6688.1270000000004</v>
      </c>
      <c r="I188" s="290"/>
      <c r="J188" s="290"/>
    </row>
    <row r="189" spans="1:10" ht="13">
      <c r="A189" s="1">
        <v>3452</v>
      </c>
      <c r="B189" s="2" t="s">
        <v>868</v>
      </c>
      <c r="C189" s="290">
        <v>1400</v>
      </c>
      <c r="D189" s="290">
        <v>1389</v>
      </c>
      <c r="E189" s="290">
        <v>1359.7539999999999</v>
      </c>
      <c r="F189" s="290">
        <v>1376.4739999999999</v>
      </c>
      <c r="G189" s="290">
        <v>1375.076</v>
      </c>
      <c r="H189" s="290">
        <v>1375.076</v>
      </c>
      <c r="I189" s="290"/>
      <c r="J189" s="290"/>
    </row>
    <row r="190" spans="1:10" ht="13">
      <c r="A190" s="1">
        <v>3453</v>
      </c>
      <c r="B190" s="2" t="s">
        <v>869</v>
      </c>
      <c r="C190" s="290">
        <v>1472</v>
      </c>
      <c r="D190" s="290">
        <v>1441</v>
      </c>
      <c r="E190" s="290">
        <v>1403.16</v>
      </c>
      <c r="F190" s="290">
        <v>1411.5309999999999</v>
      </c>
      <c r="G190" s="290">
        <v>1418.5636666666667</v>
      </c>
      <c r="H190" s="290">
        <v>1418.5636666666667</v>
      </c>
      <c r="I190" s="290"/>
      <c r="J190" s="290"/>
    </row>
    <row r="191" spans="1:10" ht="13">
      <c r="A191" s="1">
        <v>3454</v>
      </c>
      <c r="B191" s="2" t="s">
        <v>870</v>
      </c>
      <c r="C191" s="290">
        <v>6404</v>
      </c>
      <c r="D191" s="290">
        <v>6556</v>
      </c>
      <c r="E191" s="290">
        <v>6403.4629999999997</v>
      </c>
      <c r="F191" s="290">
        <v>6240.817</v>
      </c>
      <c r="G191" s="290">
        <v>6400.0933333333332</v>
      </c>
      <c r="H191" s="290">
        <v>6400.0933333333332</v>
      </c>
      <c r="I191" s="290"/>
      <c r="J191" s="290"/>
    </row>
    <row r="192" spans="1:10" ht="13">
      <c r="A192" s="1">
        <v>3801</v>
      </c>
      <c r="B192" s="2" t="s">
        <v>346</v>
      </c>
      <c r="C192" s="290">
        <v>0</v>
      </c>
      <c r="D192" s="290"/>
      <c r="E192" s="290"/>
      <c r="F192" s="290"/>
      <c r="G192" s="290">
        <v>0</v>
      </c>
      <c r="H192" s="290">
        <v>0</v>
      </c>
      <c r="I192" s="290"/>
      <c r="J192" s="290"/>
    </row>
    <row r="193" spans="1:10" ht="13">
      <c r="A193" s="1">
        <v>3802</v>
      </c>
      <c r="B193" s="2" t="s">
        <v>1625</v>
      </c>
      <c r="C193" s="290">
        <v>0</v>
      </c>
      <c r="D193" s="290"/>
      <c r="E193" s="290"/>
      <c r="F193" s="290"/>
      <c r="G193" s="290">
        <v>0</v>
      </c>
      <c r="H193" s="290">
        <v>0</v>
      </c>
      <c r="I193" s="290"/>
      <c r="J193" s="290"/>
    </row>
    <row r="194" spans="1:10" ht="13">
      <c r="A194" s="1">
        <v>3803</v>
      </c>
      <c r="B194" s="2" t="s">
        <v>1626</v>
      </c>
      <c r="C194" s="290">
        <v>0</v>
      </c>
      <c r="D194" s="290"/>
      <c r="E194" s="290"/>
      <c r="F194" s="290"/>
      <c r="G194" s="290">
        <v>0</v>
      </c>
      <c r="H194" s="290">
        <v>0</v>
      </c>
      <c r="I194" s="290"/>
      <c r="J194" s="290"/>
    </row>
    <row r="195" spans="1:10" ht="13">
      <c r="A195" s="1">
        <v>3804</v>
      </c>
      <c r="B195" s="2" t="s">
        <v>1153</v>
      </c>
      <c r="C195" s="290">
        <v>0</v>
      </c>
      <c r="D195" s="290"/>
      <c r="E195" s="290"/>
      <c r="F195" s="290"/>
      <c r="G195" s="290">
        <v>0</v>
      </c>
      <c r="H195" s="290">
        <v>0</v>
      </c>
      <c r="I195" s="290"/>
      <c r="J195" s="290"/>
    </row>
    <row r="196" spans="1:10" ht="13">
      <c r="A196" s="1">
        <v>3805</v>
      </c>
      <c r="B196" s="4" t="s">
        <v>1235</v>
      </c>
      <c r="C196" s="290">
        <v>18</v>
      </c>
      <c r="D196" s="290">
        <v>18</v>
      </c>
      <c r="E196" s="290">
        <v>17.984999999999999</v>
      </c>
      <c r="F196" s="290">
        <v>18.161000000000001</v>
      </c>
      <c r="G196" s="290">
        <v>18.048666666666666</v>
      </c>
      <c r="H196" s="290">
        <v>18.048666666666666</v>
      </c>
      <c r="I196" s="290"/>
      <c r="J196" s="290"/>
    </row>
    <row r="197" spans="1:10" ht="13">
      <c r="A197" s="1">
        <v>3806</v>
      </c>
      <c r="B197" s="2" t="s">
        <v>904</v>
      </c>
      <c r="C197" s="290">
        <v>0</v>
      </c>
      <c r="D197" s="290"/>
      <c r="E197" s="290"/>
      <c r="F197" s="290"/>
      <c r="G197" s="290">
        <v>0</v>
      </c>
      <c r="H197" s="290">
        <v>0</v>
      </c>
      <c r="I197" s="290"/>
      <c r="J197" s="290"/>
    </row>
    <row r="198" spans="1:10" ht="13">
      <c r="A198" s="1">
        <v>3807</v>
      </c>
      <c r="B198" s="2" t="s">
        <v>905</v>
      </c>
      <c r="C198" s="290">
        <v>2259</v>
      </c>
      <c r="D198" s="290">
        <v>2246</v>
      </c>
      <c r="E198" s="290">
        <v>2225.5859999999998</v>
      </c>
      <c r="F198" s="290">
        <v>2204.0039999999999</v>
      </c>
      <c r="G198" s="290">
        <v>2225.1966666666663</v>
      </c>
      <c r="H198" s="290">
        <v>2225.1966666666663</v>
      </c>
      <c r="I198" s="290"/>
      <c r="J198" s="290"/>
    </row>
    <row r="199" spans="1:10" ht="13">
      <c r="A199" s="1">
        <v>3808</v>
      </c>
      <c r="B199" s="2" t="s">
        <v>906</v>
      </c>
      <c r="C199" s="290">
        <v>11703</v>
      </c>
      <c r="D199" s="290">
        <v>11577</v>
      </c>
      <c r="E199" s="290">
        <v>11473.055</v>
      </c>
      <c r="F199" s="290">
        <v>11578.852999999999</v>
      </c>
      <c r="G199" s="290">
        <v>11542.969333333333</v>
      </c>
      <c r="H199" s="290">
        <v>11542.969333333333</v>
      </c>
      <c r="I199" s="290"/>
      <c r="J199" s="290"/>
    </row>
    <row r="200" spans="1:10" ht="13">
      <c r="A200" s="1">
        <v>3811</v>
      </c>
      <c r="B200" s="2" t="s">
        <v>1241</v>
      </c>
      <c r="C200" s="290">
        <v>0</v>
      </c>
      <c r="D200" s="290"/>
      <c r="E200" s="290"/>
      <c r="F200" s="290"/>
      <c r="G200" s="290">
        <v>0</v>
      </c>
      <c r="H200" s="290">
        <v>0</v>
      </c>
      <c r="I200" s="290"/>
      <c r="J200" s="290"/>
    </row>
    <row r="201" spans="1:10" ht="13">
      <c r="A201" s="1">
        <v>3812</v>
      </c>
      <c r="B201" s="2" t="s">
        <v>907</v>
      </c>
      <c r="C201" s="290">
        <v>412</v>
      </c>
      <c r="D201" s="290">
        <v>402</v>
      </c>
      <c r="E201" s="290">
        <v>404.69</v>
      </c>
      <c r="F201" s="290"/>
      <c r="G201" s="290">
        <v>268.8966666666667</v>
      </c>
      <c r="H201" s="290">
        <v>268.8966666666667</v>
      </c>
      <c r="I201" s="290"/>
      <c r="J201" s="290"/>
    </row>
    <row r="202" spans="1:10" ht="13">
      <c r="A202" s="1">
        <v>3813</v>
      </c>
      <c r="B202" s="2" t="s">
        <v>908</v>
      </c>
      <c r="C202" s="290">
        <v>0</v>
      </c>
      <c r="D202" s="290"/>
      <c r="E202" s="290"/>
      <c r="F202" s="290"/>
      <c r="G202" s="290">
        <v>0</v>
      </c>
      <c r="H202" s="290">
        <v>0</v>
      </c>
      <c r="I202" s="290"/>
      <c r="J202" s="290"/>
    </row>
    <row r="203" spans="1:10" ht="13">
      <c r="A203" s="1">
        <v>3814</v>
      </c>
      <c r="B203" s="2" t="s">
        <v>910</v>
      </c>
      <c r="C203" s="290">
        <v>0</v>
      </c>
      <c r="D203" s="290"/>
      <c r="E203" s="290"/>
      <c r="F203" s="290"/>
      <c r="G203" s="290">
        <v>0</v>
      </c>
      <c r="H203" s="290">
        <v>0</v>
      </c>
      <c r="I203" s="290"/>
      <c r="J203" s="290"/>
    </row>
    <row r="204" spans="1:10" ht="13">
      <c r="A204" s="1">
        <v>3815</v>
      </c>
      <c r="B204" s="2" t="s">
        <v>911</v>
      </c>
      <c r="C204" s="290">
        <v>0</v>
      </c>
      <c r="D204" s="290"/>
      <c r="E204" s="290"/>
      <c r="F204" s="290"/>
      <c r="G204" s="290">
        <v>0</v>
      </c>
      <c r="H204" s="290">
        <v>0</v>
      </c>
      <c r="I204" s="290"/>
      <c r="J204" s="290"/>
    </row>
    <row r="205" spans="1:10" ht="13">
      <c r="A205" s="1">
        <v>3816</v>
      </c>
      <c r="B205" s="2" t="s">
        <v>912</v>
      </c>
      <c r="C205" s="290">
        <v>3507</v>
      </c>
      <c r="D205" s="290">
        <v>3545</v>
      </c>
      <c r="E205" s="290">
        <v>3517.9540000000002</v>
      </c>
      <c r="F205" s="290">
        <v>3586.451</v>
      </c>
      <c r="G205" s="290">
        <v>3549.8016666666663</v>
      </c>
      <c r="H205" s="290">
        <v>3549.8016666666663</v>
      </c>
      <c r="I205" s="290"/>
      <c r="J205" s="290"/>
    </row>
    <row r="206" spans="1:10" ht="13">
      <c r="A206" s="1">
        <v>3817</v>
      </c>
      <c r="B206" s="2" t="s">
        <v>1627</v>
      </c>
      <c r="C206" s="290">
        <v>0</v>
      </c>
      <c r="D206" s="290"/>
      <c r="E206" s="290"/>
      <c r="F206" s="290"/>
      <c r="G206" s="290">
        <v>0</v>
      </c>
      <c r="H206" s="290">
        <v>0</v>
      </c>
      <c r="I206" s="290"/>
      <c r="J206" s="290"/>
    </row>
    <row r="207" spans="1:10" ht="13">
      <c r="A207" s="1">
        <v>3818</v>
      </c>
      <c r="B207" s="2" t="s">
        <v>920</v>
      </c>
      <c r="C207" s="290">
        <v>46623</v>
      </c>
      <c r="D207" s="290">
        <v>47720</v>
      </c>
      <c r="E207" s="290">
        <v>47372.27</v>
      </c>
      <c r="F207" s="290">
        <v>47403.004000000001</v>
      </c>
      <c r="G207" s="290">
        <v>47498.424666666659</v>
      </c>
      <c r="H207" s="290">
        <v>47498.424666666659</v>
      </c>
      <c r="I207" s="290"/>
      <c r="J207" s="290"/>
    </row>
    <row r="208" spans="1:10" ht="13">
      <c r="A208" s="1">
        <v>3819</v>
      </c>
      <c r="B208" s="2" t="s">
        <v>921</v>
      </c>
      <c r="C208" s="290">
        <v>5477</v>
      </c>
      <c r="D208" s="290">
        <v>5410</v>
      </c>
      <c r="E208" s="290">
        <v>5329.973</v>
      </c>
      <c r="F208" s="290">
        <v>5420.4480000000003</v>
      </c>
      <c r="G208" s="290">
        <v>5386.8069999999998</v>
      </c>
      <c r="H208" s="290">
        <v>5386.8069999999998</v>
      </c>
      <c r="I208" s="290"/>
      <c r="J208" s="290"/>
    </row>
    <row r="209" spans="1:10" ht="13">
      <c r="A209" s="1">
        <v>3820</v>
      </c>
      <c r="B209" s="2" t="s">
        <v>922</v>
      </c>
      <c r="C209" s="290">
        <v>4631</v>
      </c>
      <c r="D209" s="290">
        <v>4491</v>
      </c>
      <c r="E209" s="290">
        <v>4412.7820000000002</v>
      </c>
      <c r="F209" s="290">
        <v>4669.0159999999996</v>
      </c>
      <c r="G209" s="290">
        <v>4524.2659999999996</v>
      </c>
      <c r="H209" s="290">
        <v>4524.2659999999996</v>
      </c>
      <c r="I209" s="290"/>
      <c r="J209" s="290"/>
    </row>
    <row r="210" spans="1:10" ht="13">
      <c r="A210" s="1">
        <v>3821</v>
      </c>
      <c r="B210" s="2" t="s">
        <v>923</v>
      </c>
      <c r="C210" s="290">
        <v>1366</v>
      </c>
      <c r="D210" s="290">
        <v>1335</v>
      </c>
      <c r="E210" s="290">
        <v>1334.9490000000001</v>
      </c>
      <c r="F210" s="290">
        <v>1392.8309999999999</v>
      </c>
      <c r="G210" s="290">
        <v>1354.26</v>
      </c>
      <c r="H210" s="290">
        <v>1354.26</v>
      </c>
      <c r="I210" s="290"/>
      <c r="J210" s="290"/>
    </row>
    <row r="211" spans="1:10" ht="13">
      <c r="A211" s="1">
        <v>3822</v>
      </c>
      <c r="B211" s="2" t="s">
        <v>924</v>
      </c>
      <c r="C211" s="290">
        <v>6132</v>
      </c>
      <c r="D211" s="290">
        <v>6213</v>
      </c>
      <c r="E211" s="290">
        <v>6154.1149999999998</v>
      </c>
      <c r="F211" s="290">
        <v>6110.5990000000002</v>
      </c>
      <c r="G211" s="290">
        <v>6159.2380000000003</v>
      </c>
      <c r="H211" s="290">
        <v>6159.2380000000003</v>
      </c>
      <c r="I211" s="290"/>
      <c r="J211" s="290"/>
    </row>
    <row r="212" spans="1:10" ht="13">
      <c r="A212" s="1">
        <v>3823</v>
      </c>
      <c r="B212" s="2" t="s">
        <v>925</v>
      </c>
      <c r="C212" s="290">
        <v>5379</v>
      </c>
      <c r="D212" s="290">
        <v>5489</v>
      </c>
      <c r="E212" s="290">
        <v>5511.1319999999996</v>
      </c>
      <c r="F212" s="290">
        <v>5679.223</v>
      </c>
      <c r="G212" s="290">
        <v>5559.7849999999999</v>
      </c>
      <c r="H212" s="290">
        <v>5559.7849999999999</v>
      </c>
      <c r="I212" s="290"/>
      <c r="J212" s="290"/>
    </row>
    <row r="213" spans="1:10" ht="13">
      <c r="A213" s="1">
        <v>3824</v>
      </c>
      <c r="B213" s="2" t="s">
        <v>926</v>
      </c>
      <c r="C213" s="290">
        <v>22457</v>
      </c>
      <c r="D213" s="290">
        <v>23171</v>
      </c>
      <c r="E213" s="290">
        <v>23111.319</v>
      </c>
      <c r="F213" s="290">
        <v>23032.294999999998</v>
      </c>
      <c r="G213" s="290">
        <v>23104.871333333333</v>
      </c>
      <c r="H213" s="290">
        <v>23104.871333333333</v>
      </c>
      <c r="I213" s="290"/>
      <c r="J213" s="290"/>
    </row>
    <row r="214" spans="1:10" ht="13">
      <c r="A214" s="1">
        <v>3825</v>
      </c>
      <c r="B214" s="2" t="s">
        <v>927</v>
      </c>
      <c r="C214" s="290">
        <v>38306</v>
      </c>
      <c r="D214" s="290">
        <v>39788</v>
      </c>
      <c r="E214" s="290">
        <v>38941.32</v>
      </c>
      <c r="F214" s="290">
        <v>39195.375999999997</v>
      </c>
      <c r="G214" s="290">
        <v>39308.231999999996</v>
      </c>
      <c r="H214" s="290">
        <v>39308.231999999996</v>
      </c>
      <c r="I214" s="290"/>
      <c r="J214" s="290"/>
    </row>
    <row r="215" spans="1:10" ht="13">
      <c r="A215" s="1">
        <v>4201</v>
      </c>
      <c r="B215" s="2" t="s">
        <v>928</v>
      </c>
      <c r="C215" s="290">
        <v>0</v>
      </c>
      <c r="D215" s="290"/>
      <c r="E215" s="290"/>
      <c r="F215" s="290"/>
      <c r="G215" s="290">
        <v>0</v>
      </c>
      <c r="H215" s="290">
        <v>0</v>
      </c>
      <c r="I215" s="290"/>
      <c r="J215" s="290"/>
    </row>
    <row r="216" spans="1:10" ht="13">
      <c r="A216" s="1">
        <v>4202</v>
      </c>
      <c r="B216" s="2" t="s">
        <v>929</v>
      </c>
      <c r="C216" s="290">
        <v>1813</v>
      </c>
      <c r="D216" s="290">
        <v>1876</v>
      </c>
      <c r="E216" s="290">
        <v>1964.0940000000001</v>
      </c>
      <c r="F216" s="290">
        <v>1671.2080000000001</v>
      </c>
      <c r="G216" s="290">
        <v>1837.1006666666665</v>
      </c>
      <c r="H216" s="290">
        <v>1837.1006666666665</v>
      </c>
      <c r="I216" s="290"/>
      <c r="J216" s="290"/>
    </row>
    <row r="217" spans="1:10" ht="13">
      <c r="A217" s="1">
        <v>4203</v>
      </c>
      <c r="B217" s="2" t="s">
        <v>930</v>
      </c>
      <c r="C217" s="290">
        <v>1222</v>
      </c>
      <c r="D217" s="290">
        <v>1260</v>
      </c>
      <c r="E217" s="290">
        <v>1315.05</v>
      </c>
      <c r="F217" s="290">
        <v>1138.2249999999999</v>
      </c>
      <c r="G217" s="290">
        <v>1237.7583333333334</v>
      </c>
      <c r="H217" s="290">
        <v>1237.7583333333334</v>
      </c>
      <c r="I217" s="290"/>
      <c r="J217" s="290"/>
    </row>
    <row r="218" spans="1:10" ht="13">
      <c r="A218" s="1">
        <v>4204</v>
      </c>
      <c r="B218" s="2" t="s">
        <v>1628</v>
      </c>
      <c r="C218" s="290">
        <v>0</v>
      </c>
      <c r="D218" s="290"/>
      <c r="E218" s="290"/>
      <c r="F218" s="290"/>
      <c r="G218" s="290">
        <v>0</v>
      </c>
      <c r="H218" s="290">
        <v>0</v>
      </c>
      <c r="I218" s="290"/>
      <c r="J218" s="290"/>
    </row>
    <row r="219" spans="1:10" ht="13">
      <c r="A219" s="1">
        <v>4205</v>
      </c>
      <c r="B219" s="2" t="s">
        <v>1629</v>
      </c>
      <c r="C219" s="290">
        <v>4003</v>
      </c>
      <c r="D219" s="290">
        <v>4002</v>
      </c>
      <c r="E219" s="290">
        <v>3975.1030000000001</v>
      </c>
      <c r="F219" s="290">
        <v>4046.163</v>
      </c>
      <c r="G219" s="290">
        <v>4007.7553333333331</v>
      </c>
      <c r="H219" s="290">
        <v>4007.7553333333331</v>
      </c>
      <c r="I219" s="290">
        <v>286</v>
      </c>
      <c r="J219" s="290"/>
    </row>
    <row r="220" spans="1:10" ht="13">
      <c r="A220" s="1">
        <v>4206</v>
      </c>
      <c r="B220" s="2" t="s">
        <v>944</v>
      </c>
      <c r="C220" s="290">
        <v>0</v>
      </c>
      <c r="D220" s="290"/>
      <c r="E220" s="290"/>
      <c r="F220" s="290"/>
      <c r="G220" s="290">
        <v>0</v>
      </c>
      <c r="H220" s="290">
        <v>0</v>
      </c>
      <c r="I220" s="290">
        <v>2420</v>
      </c>
      <c r="J220" s="290">
        <v>425.8124786313885</v>
      </c>
    </row>
    <row r="221" spans="1:10" ht="13">
      <c r="A221" s="1">
        <v>4207</v>
      </c>
      <c r="B221" s="2" t="s">
        <v>946</v>
      </c>
      <c r="C221" s="290">
        <v>2324</v>
      </c>
      <c r="D221" s="290">
        <v>2360</v>
      </c>
      <c r="E221" s="290">
        <v>2279.2550000000001</v>
      </c>
      <c r="F221" s="290">
        <v>2318.1509999999998</v>
      </c>
      <c r="G221" s="290">
        <v>2319.1353333333332</v>
      </c>
      <c r="H221" s="290">
        <v>2319.1353333333332</v>
      </c>
      <c r="I221" s="290"/>
      <c r="J221" s="290">
        <v>4825.8747578224029</v>
      </c>
    </row>
    <row r="222" spans="1:10" ht="13">
      <c r="A222" s="1">
        <v>4211</v>
      </c>
      <c r="B222" s="2" t="s">
        <v>931</v>
      </c>
      <c r="C222" s="290">
        <v>0</v>
      </c>
      <c r="D222" s="290"/>
      <c r="E222" s="290"/>
      <c r="F222" s="290"/>
      <c r="G222" s="290">
        <v>0</v>
      </c>
      <c r="H222" s="290">
        <v>0</v>
      </c>
      <c r="I222" s="290"/>
      <c r="J222" s="290"/>
    </row>
    <row r="223" spans="1:10" ht="13">
      <c r="A223" s="1">
        <v>4212</v>
      </c>
      <c r="B223" s="2" t="s">
        <v>706</v>
      </c>
      <c r="C223" s="290">
        <v>0</v>
      </c>
      <c r="D223" s="290"/>
      <c r="E223" s="290"/>
      <c r="F223" s="290"/>
      <c r="G223" s="290">
        <v>0</v>
      </c>
      <c r="H223" s="290">
        <v>0</v>
      </c>
      <c r="I223" s="290"/>
      <c r="J223" s="290"/>
    </row>
    <row r="224" spans="1:10" ht="13">
      <c r="A224" s="1">
        <v>4213</v>
      </c>
      <c r="B224" s="2" t="s">
        <v>932</v>
      </c>
      <c r="C224" s="290">
        <v>0</v>
      </c>
      <c r="D224" s="290"/>
      <c r="E224" s="290"/>
      <c r="F224" s="290"/>
      <c r="G224" s="290">
        <v>0</v>
      </c>
      <c r="H224" s="290">
        <v>0</v>
      </c>
      <c r="I224" s="290"/>
      <c r="J224" s="290"/>
    </row>
    <row r="225" spans="1:10" ht="13">
      <c r="A225" s="1">
        <v>4214</v>
      </c>
      <c r="B225" s="2" t="s">
        <v>933</v>
      </c>
      <c r="C225" s="290">
        <v>5610</v>
      </c>
      <c r="D225" s="290">
        <v>5623</v>
      </c>
      <c r="E225" s="290">
        <v>5726.0940000000001</v>
      </c>
      <c r="F225" s="290">
        <v>5699.0119999999997</v>
      </c>
      <c r="G225" s="290">
        <v>5682.7020000000002</v>
      </c>
      <c r="H225" s="290">
        <v>5682.7020000000002</v>
      </c>
      <c r="I225" s="290"/>
      <c r="J225" s="290"/>
    </row>
    <row r="226" spans="1:10" ht="13">
      <c r="A226" s="1">
        <v>4215</v>
      </c>
      <c r="B226" s="2" t="s">
        <v>934</v>
      </c>
      <c r="C226" s="290">
        <v>0</v>
      </c>
      <c r="D226" s="290"/>
      <c r="E226" s="290"/>
      <c r="F226" s="290"/>
      <c r="G226" s="290">
        <v>0</v>
      </c>
      <c r="H226" s="290">
        <v>0</v>
      </c>
      <c r="I226" s="290"/>
      <c r="J226" s="290">
        <v>272.04686134783151</v>
      </c>
    </row>
    <row r="227" spans="1:10" ht="13">
      <c r="A227" s="1">
        <v>4216</v>
      </c>
      <c r="B227" s="2" t="s">
        <v>935</v>
      </c>
      <c r="C227" s="290">
        <v>856</v>
      </c>
      <c r="D227" s="290">
        <v>837</v>
      </c>
      <c r="E227" s="290">
        <v>866.50300000000004</v>
      </c>
      <c r="F227" s="290">
        <v>868.65899999999999</v>
      </c>
      <c r="G227" s="290">
        <v>857.38733333333346</v>
      </c>
      <c r="H227" s="290">
        <v>857.38733333333346</v>
      </c>
      <c r="I227" s="290"/>
      <c r="J227" s="290"/>
    </row>
    <row r="228" spans="1:10" ht="13">
      <c r="A228" s="1">
        <v>4217</v>
      </c>
      <c r="B228" s="2" t="s">
        <v>936</v>
      </c>
      <c r="C228" s="290">
        <v>3203</v>
      </c>
      <c r="D228" s="290">
        <v>3290</v>
      </c>
      <c r="E228" s="290">
        <v>3248.3</v>
      </c>
      <c r="F228" s="290">
        <v>3350.7649999999999</v>
      </c>
      <c r="G228" s="290">
        <v>3296.355</v>
      </c>
      <c r="H228" s="290">
        <v>3296.355</v>
      </c>
      <c r="I228" s="290"/>
      <c r="J228" s="290"/>
    </row>
    <row r="229" spans="1:10" ht="13">
      <c r="A229" s="1">
        <v>4218</v>
      </c>
      <c r="B229" s="2" t="s">
        <v>937</v>
      </c>
      <c r="C229" s="290">
        <v>4806</v>
      </c>
      <c r="D229" s="290">
        <v>4944</v>
      </c>
      <c r="E229" s="290">
        <v>4992.8670000000002</v>
      </c>
      <c r="F229" s="290">
        <v>5166.9970000000003</v>
      </c>
      <c r="G229" s="290">
        <v>5034.6213333333335</v>
      </c>
      <c r="H229" s="290">
        <v>5034.6213333333335</v>
      </c>
      <c r="I229" s="290"/>
      <c r="J229" s="290"/>
    </row>
    <row r="230" spans="1:10" ht="13">
      <c r="A230" s="1">
        <v>4219</v>
      </c>
      <c r="B230" s="2" t="s">
        <v>938</v>
      </c>
      <c r="C230" s="290">
        <v>1011</v>
      </c>
      <c r="D230" s="290">
        <v>1012</v>
      </c>
      <c r="E230" s="290">
        <v>1022.0650000000001</v>
      </c>
      <c r="F230" s="290">
        <v>1052.7</v>
      </c>
      <c r="G230" s="290">
        <v>1028.9216666666669</v>
      </c>
      <c r="H230" s="290">
        <v>1028.9216666666669</v>
      </c>
      <c r="I230" s="290"/>
      <c r="J230" s="290"/>
    </row>
    <row r="231" spans="1:10" ht="13">
      <c r="A231" s="1">
        <v>4220</v>
      </c>
      <c r="B231" s="2" t="s">
        <v>939</v>
      </c>
      <c r="C231" s="290">
        <v>3590</v>
      </c>
      <c r="D231" s="290">
        <v>3751</v>
      </c>
      <c r="E231" s="290">
        <v>3627.2829999999999</v>
      </c>
      <c r="F231" s="290">
        <v>3761.989</v>
      </c>
      <c r="G231" s="290">
        <v>3713.4239999999995</v>
      </c>
      <c r="H231" s="290">
        <v>3713.4239999999995</v>
      </c>
      <c r="I231" s="290"/>
      <c r="J231" s="290"/>
    </row>
    <row r="232" spans="1:10" ht="13">
      <c r="A232" s="1">
        <v>4221</v>
      </c>
      <c r="B232" s="2" t="s">
        <v>940</v>
      </c>
      <c r="C232" s="290">
        <v>14399</v>
      </c>
      <c r="D232" s="290">
        <v>15207</v>
      </c>
      <c r="E232" s="290">
        <v>14641.791999999999</v>
      </c>
      <c r="F232" s="290">
        <v>14898.014999999999</v>
      </c>
      <c r="G232" s="290">
        <v>14915.602333333334</v>
      </c>
      <c r="H232" s="290">
        <v>14915.602333333334</v>
      </c>
      <c r="I232" s="290"/>
      <c r="J232" s="290"/>
    </row>
    <row r="233" spans="1:10" ht="13">
      <c r="A233" s="1">
        <v>4222</v>
      </c>
      <c r="B233" s="2" t="s">
        <v>941</v>
      </c>
      <c r="C233" s="290">
        <v>37216</v>
      </c>
      <c r="D233" s="290">
        <v>39863</v>
      </c>
      <c r="E233" s="290">
        <v>38512.550999999999</v>
      </c>
      <c r="F233" s="290">
        <v>40155.038</v>
      </c>
      <c r="G233" s="290">
        <v>39510.196333333333</v>
      </c>
      <c r="H233" s="290">
        <v>39510.196333333333</v>
      </c>
      <c r="I233" s="290"/>
      <c r="J233" s="290"/>
    </row>
    <row r="234" spans="1:10" ht="13">
      <c r="A234" s="1">
        <v>4223</v>
      </c>
      <c r="B234" s="2" t="s">
        <v>947</v>
      </c>
      <c r="C234" s="290">
        <v>8796</v>
      </c>
      <c r="D234" s="290">
        <v>8914</v>
      </c>
      <c r="E234" s="290">
        <v>8870.8510000000006</v>
      </c>
      <c r="F234" s="290">
        <v>9105.0300000000007</v>
      </c>
      <c r="G234" s="290">
        <v>8963.2936666666665</v>
      </c>
      <c r="H234" s="290">
        <v>8963.2936666666665</v>
      </c>
      <c r="I234" s="290"/>
      <c r="J234" s="290"/>
    </row>
    <row r="235" spans="1:10" ht="13">
      <c r="A235" s="1">
        <v>4224</v>
      </c>
      <c r="B235" s="2" t="s">
        <v>951</v>
      </c>
      <c r="C235" s="290">
        <v>14819</v>
      </c>
      <c r="D235" s="290">
        <v>15031</v>
      </c>
      <c r="E235" s="290">
        <v>14933.522999999999</v>
      </c>
      <c r="F235" s="290">
        <v>15121.535</v>
      </c>
      <c r="G235" s="290">
        <v>15028.686000000002</v>
      </c>
      <c r="H235" s="290">
        <v>15028.686000000002</v>
      </c>
      <c r="I235" s="290"/>
      <c r="J235" s="290"/>
    </row>
    <row r="236" spans="1:10" ht="13">
      <c r="A236" s="1">
        <v>4225</v>
      </c>
      <c r="B236" s="2" t="s">
        <v>1630</v>
      </c>
      <c r="C236" s="290">
        <v>509</v>
      </c>
      <c r="D236" s="290">
        <v>517</v>
      </c>
      <c r="E236" s="290">
        <v>518.82600000000002</v>
      </c>
      <c r="F236" s="290">
        <v>526.15200000000004</v>
      </c>
      <c r="G236" s="290">
        <v>520.65933333333339</v>
      </c>
      <c r="H236" s="290">
        <v>520.65933333333339</v>
      </c>
      <c r="I236" s="290"/>
      <c r="J236" s="290">
        <v>425.8124786313885</v>
      </c>
    </row>
    <row r="237" spans="1:10" ht="13">
      <c r="A237" s="1">
        <v>4226</v>
      </c>
      <c r="B237" s="2" t="s">
        <v>955</v>
      </c>
      <c r="C237" s="290">
        <v>0</v>
      </c>
      <c r="D237" s="290"/>
      <c r="E237" s="290"/>
      <c r="F237" s="290"/>
      <c r="G237" s="290">
        <v>0</v>
      </c>
      <c r="H237" s="290">
        <v>0</v>
      </c>
      <c r="I237" s="290"/>
      <c r="J237" s="290"/>
    </row>
    <row r="238" spans="1:10" ht="13">
      <c r="A238" s="1">
        <v>4227</v>
      </c>
      <c r="B238" s="2" t="s">
        <v>956</v>
      </c>
      <c r="C238" s="290">
        <v>24844</v>
      </c>
      <c r="D238" s="290">
        <v>25929</v>
      </c>
      <c r="E238" s="290">
        <v>24935.151999999998</v>
      </c>
      <c r="F238" s="290">
        <v>25095.993999999999</v>
      </c>
      <c r="G238" s="290">
        <v>25320.048666666669</v>
      </c>
      <c r="H238" s="290">
        <v>25320.048666666669</v>
      </c>
      <c r="I238" s="290">
        <v>3431.78</v>
      </c>
      <c r="J238" s="290"/>
    </row>
    <row r="239" spans="1:10" ht="13">
      <c r="A239" s="1">
        <v>4228</v>
      </c>
      <c r="B239" s="2" t="s">
        <v>957</v>
      </c>
      <c r="C239" s="290">
        <v>38649</v>
      </c>
      <c r="D239" s="290">
        <v>40913</v>
      </c>
      <c r="E239" s="290">
        <v>39274.311999999998</v>
      </c>
      <c r="F239" s="290">
        <v>39162.760999999999</v>
      </c>
      <c r="G239" s="290">
        <v>39783.35766666667</v>
      </c>
      <c r="H239" s="290">
        <v>39783.35766666667</v>
      </c>
      <c r="I239" s="290">
        <v>7370</v>
      </c>
      <c r="J239" s="290"/>
    </row>
    <row r="240" spans="1:10" ht="13">
      <c r="A240" s="1">
        <v>4601</v>
      </c>
      <c r="B240" s="2" t="s">
        <v>23</v>
      </c>
      <c r="C240" s="290">
        <v>0</v>
      </c>
      <c r="D240" s="290"/>
      <c r="E240" s="290"/>
      <c r="F240" s="290"/>
      <c r="G240" s="290">
        <v>0</v>
      </c>
      <c r="H240" s="290">
        <v>0</v>
      </c>
      <c r="I240" s="290"/>
      <c r="J240" s="290"/>
    </row>
    <row r="241" spans="1:10" ht="13">
      <c r="A241" s="1">
        <v>4602</v>
      </c>
      <c r="B241" s="2" t="s">
        <v>1631</v>
      </c>
      <c r="C241" s="290">
        <v>925</v>
      </c>
      <c r="D241" s="290">
        <v>928</v>
      </c>
      <c r="E241" s="290">
        <v>690.48099999999999</v>
      </c>
      <c r="F241" s="290">
        <v>716.04499999999996</v>
      </c>
      <c r="G241" s="290">
        <v>778.17533333333324</v>
      </c>
      <c r="H241" s="290">
        <v>778.17533333333324</v>
      </c>
      <c r="I241" s="290">
        <v>8645.34</v>
      </c>
      <c r="J241" s="290">
        <v>12632.436866064525</v>
      </c>
    </row>
    <row r="242" spans="1:10" ht="13">
      <c r="A242" s="1">
        <v>4611</v>
      </c>
      <c r="B242" s="2" t="s">
        <v>24</v>
      </c>
      <c r="C242" s="290">
        <v>3159</v>
      </c>
      <c r="D242" s="290">
        <v>3208</v>
      </c>
      <c r="E242" s="290">
        <v>3113.3409999999999</v>
      </c>
      <c r="F242" s="290">
        <v>3192.53</v>
      </c>
      <c r="G242" s="290">
        <v>3171.2903333333338</v>
      </c>
      <c r="H242" s="290">
        <v>3171.2903333333338</v>
      </c>
      <c r="I242" s="290"/>
      <c r="J242" s="290">
        <v>1781.4975067526889</v>
      </c>
    </row>
    <row r="243" spans="1:10" ht="13">
      <c r="A243" s="1">
        <v>4612</v>
      </c>
      <c r="B243" s="2" t="s">
        <v>25</v>
      </c>
      <c r="C243" s="290">
        <v>0</v>
      </c>
      <c r="D243" s="290"/>
      <c r="E243" s="290"/>
      <c r="F243" s="290"/>
      <c r="G243" s="290">
        <v>0</v>
      </c>
      <c r="H243" s="290">
        <v>0</v>
      </c>
      <c r="I243" s="290"/>
      <c r="J243" s="290">
        <v>3406.499829051108</v>
      </c>
    </row>
    <row r="244" spans="1:10" ht="13">
      <c r="A244" s="1">
        <v>4613</v>
      </c>
      <c r="B244" s="2" t="s">
        <v>26</v>
      </c>
      <c r="C244" s="290">
        <v>0</v>
      </c>
      <c r="D244" s="290"/>
      <c r="E244" s="290"/>
      <c r="F244" s="290"/>
      <c r="G244" s="290">
        <v>0</v>
      </c>
      <c r="H244" s="290">
        <v>0</v>
      </c>
      <c r="I244" s="290"/>
      <c r="J244" s="290">
        <v>8472.5764978963434</v>
      </c>
    </row>
    <row r="245" spans="1:10" ht="13">
      <c r="A245" s="1">
        <v>4614</v>
      </c>
      <c r="B245" s="2" t="s">
        <v>27</v>
      </c>
      <c r="C245" s="290">
        <v>0</v>
      </c>
      <c r="D245" s="290"/>
      <c r="E245" s="290"/>
      <c r="F245" s="290"/>
      <c r="G245" s="290">
        <v>0</v>
      </c>
      <c r="H245" s="290">
        <v>0</v>
      </c>
      <c r="I245" s="290"/>
      <c r="J245" s="290">
        <v>851.624957262777</v>
      </c>
    </row>
    <row r="246" spans="1:10" ht="13">
      <c r="A246" s="1">
        <v>4615</v>
      </c>
      <c r="B246" s="2" t="s">
        <v>28</v>
      </c>
      <c r="C246" s="290">
        <v>0</v>
      </c>
      <c r="D246" s="290"/>
      <c r="E246" s="290"/>
      <c r="F246" s="290"/>
      <c r="G246" s="290">
        <v>0</v>
      </c>
      <c r="H246" s="290">
        <v>0</v>
      </c>
      <c r="I246" s="290">
        <v>4770.7</v>
      </c>
      <c r="J246" s="290">
        <v>3126.2642661911341</v>
      </c>
    </row>
    <row r="247" spans="1:10" ht="13">
      <c r="A247" s="1">
        <v>4616</v>
      </c>
      <c r="B247" s="2" t="s">
        <v>29</v>
      </c>
      <c r="C247" s="290">
        <v>0</v>
      </c>
      <c r="D247" s="290"/>
      <c r="E247" s="290"/>
      <c r="F247" s="290"/>
      <c r="G247" s="290">
        <v>0</v>
      </c>
      <c r="H247" s="290">
        <v>0</v>
      </c>
      <c r="I247" s="290"/>
      <c r="J247" s="290">
        <v>6092.3939250337116</v>
      </c>
    </row>
    <row r="248" spans="1:10" ht="13">
      <c r="A248" s="1">
        <v>4617</v>
      </c>
      <c r="B248" s="2" t="s">
        <v>30</v>
      </c>
      <c r="C248" s="290">
        <v>26119</v>
      </c>
      <c r="D248" s="290">
        <v>26620</v>
      </c>
      <c r="E248" s="290">
        <v>26556.178</v>
      </c>
      <c r="F248" s="290">
        <v>26850.098000000002</v>
      </c>
      <c r="G248" s="290">
        <v>26675.425333333333</v>
      </c>
      <c r="H248" s="290">
        <v>26675.425333333333</v>
      </c>
      <c r="I248" s="290"/>
      <c r="J248" s="290">
        <v>9952.0019044233468</v>
      </c>
    </row>
    <row r="249" spans="1:10" ht="13">
      <c r="A249" s="1">
        <v>4618</v>
      </c>
      <c r="B249" s="2" t="s">
        <v>1632</v>
      </c>
      <c r="C249" s="290">
        <v>47752</v>
      </c>
      <c r="D249" s="290">
        <v>49602</v>
      </c>
      <c r="E249" s="290">
        <v>48419.217000000004</v>
      </c>
      <c r="F249" s="290">
        <v>48642.726000000002</v>
      </c>
      <c r="G249" s="290">
        <v>48887.981</v>
      </c>
      <c r="H249" s="290">
        <v>48887.981</v>
      </c>
      <c r="I249" s="290"/>
      <c r="J249" s="290">
        <v>3122.6248432968487</v>
      </c>
    </row>
    <row r="250" spans="1:10" ht="13">
      <c r="A250" s="1">
        <v>4619</v>
      </c>
      <c r="B250" s="2" t="s">
        <v>34</v>
      </c>
      <c r="C250" s="290">
        <v>25518</v>
      </c>
      <c r="D250" s="290">
        <v>26302</v>
      </c>
      <c r="E250" s="290">
        <v>25357.012999999999</v>
      </c>
      <c r="F250" s="290">
        <v>25852.376</v>
      </c>
      <c r="G250" s="290">
        <v>25837.129666666664</v>
      </c>
      <c r="H250" s="290">
        <v>25837.129666666664</v>
      </c>
      <c r="I250" s="290"/>
      <c r="J250" s="290"/>
    </row>
    <row r="251" spans="1:10" ht="13">
      <c r="A251" s="1">
        <v>4620</v>
      </c>
      <c r="B251" s="2" t="s">
        <v>35</v>
      </c>
      <c r="C251" s="290">
        <v>10128</v>
      </c>
      <c r="D251" s="290">
        <v>10412</v>
      </c>
      <c r="E251" s="290">
        <v>10043.297</v>
      </c>
      <c r="F251" s="290">
        <v>10123.135</v>
      </c>
      <c r="G251" s="290">
        <v>10192.810666666666</v>
      </c>
      <c r="H251" s="290">
        <v>10192.810666666666</v>
      </c>
      <c r="I251" s="290"/>
      <c r="J251" s="290"/>
    </row>
    <row r="252" spans="1:10" ht="13">
      <c r="A252" s="1">
        <v>4621</v>
      </c>
      <c r="B252" s="2" t="s">
        <v>1633</v>
      </c>
      <c r="C252" s="290">
        <v>12252</v>
      </c>
      <c r="D252" s="290">
        <v>12616</v>
      </c>
      <c r="E252" s="290">
        <v>12030.986000000001</v>
      </c>
      <c r="F252" s="290">
        <v>12509.134</v>
      </c>
      <c r="G252" s="290">
        <v>12385.373333333335</v>
      </c>
      <c r="H252" s="290">
        <v>12385.373333333335</v>
      </c>
      <c r="I252" s="290"/>
      <c r="J252" s="290"/>
    </row>
    <row r="253" spans="1:10" ht="13">
      <c r="A253" s="1">
        <v>4622</v>
      </c>
      <c r="B253" s="2" t="s">
        <v>38</v>
      </c>
      <c r="C253" s="290">
        <v>6701</v>
      </c>
      <c r="D253" s="290">
        <v>6901</v>
      </c>
      <c r="E253" s="290">
        <v>6542.2719999999999</v>
      </c>
      <c r="F253" s="290">
        <v>6765.7150000000001</v>
      </c>
      <c r="G253" s="290">
        <v>6736.3290000000006</v>
      </c>
      <c r="H253" s="290">
        <v>6736.3290000000006</v>
      </c>
      <c r="I253" s="290"/>
      <c r="J253" s="290">
        <v>4008.8243180553363</v>
      </c>
    </row>
    <row r="254" spans="1:10" ht="13">
      <c r="A254" s="1">
        <v>4623</v>
      </c>
      <c r="B254" s="2" t="s">
        <v>40</v>
      </c>
      <c r="C254" s="290">
        <v>4593</v>
      </c>
      <c r="D254" s="290">
        <v>4646</v>
      </c>
      <c r="E254" s="290">
        <v>4396.2269999999999</v>
      </c>
      <c r="F254" s="290">
        <v>4619.1310000000003</v>
      </c>
      <c r="G254" s="290">
        <v>4553.7860000000001</v>
      </c>
      <c r="H254" s="290">
        <v>4553.7860000000001</v>
      </c>
      <c r="I254" s="290"/>
      <c r="J254" s="290">
        <v>567.749971508518</v>
      </c>
    </row>
    <row r="255" spans="1:10" ht="13">
      <c r="A255" s="1">
        <v>4624</v>
      </c>
      <c r="B255" s="2" t="s">
        <v>1634</v>
      </c>
      <c r="C255" s="290">
        <v>1098</v>
      </c>
      <c r="D255" s="290">
        <v>1106</v>
      </c>
      <c r="E255" s="290">
        <v>1047.442</v>
      </c>
      <c r="F255" s="290">
        <v>1102.1010000000001</v>
      </c>
      <c r="G255" s="290">
        <v>1085.181</v>
      </c>
      <c r="H255" s="290">
        <v>1085.181</v>
      </c>
      <c r="I255" s="290"/>
      <c r="J255" s="290">
        <v>7222.4347337093186</v>
      </c>
    </row>
    <row r="256" spans="1:10" ht="13">
      <c r="A256" s="1">
        <v>4625</v>
      </c>
      <c r="B256" s="2" t="s">
        <v>41</v>
      </c>
      <c r="C256" s="290">
        <v>0</v>
      </c>
      <c r="D256" s="290"/>
      <c r="E256" s="290"/>
      <c r="F256" s="290"/>
      <c r="G256" s="290">
        <v>0</v>
      </c>
      <c r="H256" s="290">
        <v>0</v>
      </c>
      <c r="I256" s="290"/>
      <c r="J256" s="290">
        <v>10248.614870307607</v>
      </c>
    </row>
    <row r="257" spans="1:10" ht="13">
      <c r="A257" s="1">
        <v>4626</v>
      </c>
      <c r="B257" s="2" t="s">
        <v>1635</v>
      </c>
      <c r="C257" s="290">
        <v>0</v>
      </c>
      <c r="D257" s="290"/>
      <c r="E257" s="290"/>
      <c r="F257" s="290"/>
      <c r="G257" s="290">
        <v>0</v>
      </c>
      <c r="H257" s="290">
        <v>0</v>
      </c>
      <c r="I257" s="290"/>
      <c r="J257" s="290">
        <v>10355.977845689024</v>
      </c>
    </row>
    <row r="258" spans="1:10" ht="13">
      <c r="A258" s="1">
        <v>4627</v>
      </c>
      <c r="B258" s="4" t="s">
        <v>44</v>
      </c>
      <c r="C258" s="290">
        <v>0</v>
      </c>
      <c r="D258" s="290"/>
      <c r="E258" s="290"/>
      <c r="F258" s="290"/>
      <c r="G258" s="290">
        <v>0</v>
      </c>
      <c r="H258" s="290">
        <v>0</v>
      </c>
      <c r="I258" s="290"/>
      <c r="J258" s="290">
        <v>1135.499943017036</v>
      </c>
    </row>
    <row r="259" spans="1:10" ht="13">
      <c r="A259" s="1">
        <v>4628</v>
      </c>
      <c r="B259" s="2" t="s">
        <v>45</v>
      </c>
      <c r="C259" s="290">
        <v>16496</v>
      </c>
      <c r="D259" s="290">
        <v>16607</v>
      </c>
      <c r="E259" s="290">
        <v>15808.793</v>
      </c>
      <c r="F259" s="290">
        <v>16432.745999999999</v>
      </c>
      <c r="G259" s="290">
        <v>16282.846333333333</v>
      </c>
      <c r="H259" s="290">
        <v>16282.846333333333</v>
      </c>
      <c r="I259" s="290"/>
      <c r="J259" s="290">
        <v>425.8124786313885</v>
      </c>
    </row>
    <row r="260" spans="1:10" ht="13">
      <c r="A260" s="1">
        <v>4629</v>
      </c>
      <c r="B260" s="2" t="s">
        <v>46</v>
      </c>
      <c r="C260" s="290">
        <v>15577</v>
      </c>
      <c r="D260" s="290">
        <v>15968</v>
      </c>
      <c r="E260" s="290">
        <v>15194.41</v>
      </c>
      <c r="F260" s="290">
        <v>15976.972</v>
      </c>
      <c r="G260" s="290">
        <v>15713.127333333332</v>
      </c>
      <c r="H260" s="290">
        <v>15713.127333333332</v>
      </c>
      <c r="I260" s="290"/>
      <c r="J260" s="290"/>
    </row>
    <row r="261" spans="1:10" ht="13">
      <c r="A261" s="1">
        <v>4630</v>
      </c>
      <c r="B261" s="2" t="s">
        <v>47</v>
      </c>
      <c r="C261" s="290">
        <v>564</v>
      </c>
      <c r="D261" s="290">
        <v>569</v>
      </c>
      <c r="E261" s="290">
        <v>547.47</v>
      </c>
      <c r="F261" s="290">
        <v>569.61300000000006</v>
      </c>
      <c r="G261" s="290">
        <v>562.02766666666673</v>
      </c>
      <c r="H261" s="290">
        <v>562.02766666666673</v>
      </c>
      <c r="I261" s="290"/>
      <c r="J261" s="290">
        <v>3264.5623361739781</v>
      </c>
    </row>
    <row r="262" spans="1:10" ht="13">
      <c r="A262" s="1">
        <v>4631</v>
      </c>
      <c r="B262" s="2" t="s">
        <v>1636</v>
      </c>
      <c r="C262" s="290">
        <v>84</v>
      </c>
      <c r="D262" s="290">
        <v>87</v>
      </c>
      <c r="E262" s="290">
        <v>83.501000000000005</v>
      </c>
      <c r="F262" s="290">
        <v>88.286000000000001</v>
      </c>
      <c r="G262" s="290">
        <v>86.262333333333345</v>
      </c>
      <c r="H262" s="290">
        <v>86.262333333333345</v>
      </c>
      <c r="I262" s="290"/>
      <c r="J262" s="290">
        <v>8905.6678223163035</v>
      </c>
    </row>
    <row r="263" spans="1:10" ht="13">
      <c r="A263" s="1">
        <v>4632</v>
      </c>
      <c r="B263" s="2" t="s">
        <v>55</v>
      </c>
      <c r="C263" s="290">
        <v>0</v>
      </c>
      <c r="D263" s="290"/>
      <c r="E263" s="290"/>
      <c r="F263" s="290"/>
      <c r="G263" s="290">
        <v>0</v>
      </c>
      <c r="H263" s="290">
        <v>0</v>
      </c>
      <c r="I263" s="290"/>
      <c r="J263" s="290">
        <v>1277.4374358941652</v>
      </c>
    </row>
    <row r="264" spans="1:10" ht="13">
      <c r="A264" s="1">
        <v>4633</v>
      </c>
      <c r="B264" s="2" t="s">
        <v>56</v>
      </c>
      <c r="C264" s="290">
        <v>0</v>
      </c>
      <c r="D264" s="290"/>
      <c r="E264" s="290"/>
      <c r="F264" s="290"/>
      <c r="G264" s="290">
        <v>0</v>
      </c>
      <c r="H264" s="290">
        <v>0</v>
      </c>
      <c r="I264" s="290"/>
      <c r="J264" s="290">
        <v>567.749971508518</v>
      </c>
    </row>
    <row r="265" spans="1:10" ht="13">
      <c r="A265" s="1">
        <v>4634</v>
      </c>
      <c r="B265" s="2" t="s">
        <v>57</v>
      </c>
      <c r="C265" s="290">
        <v>11715</v>
      </c>
      <c r="D265" s="290">
        <v>12036</v>
      </c>
      <c r="E265" s="290">
        <v>11530.540999999999</v>
      </c>
      <c r="F265" s="290">
        <v>12137.785</v>
      </c>
      <c r="G265" s="290">
        <v>11901.442000000001</v>
      </c>
      <c r="H265" s="290">
        <v>11901.442000000001</v>
      </c>
      <c r="I265" s="290"/>
      <c r="J265" s="290">
        <v>2005.3220147512397</v>
      </c>
    </row>
    <row r="266" spans="1:10" ht="13">
      <c r="A266" s="1">
        <v>4635</v>
      </c>
      <c r="B266" s="2" t="s">
        <v>59</v>
      </c>
      <c r="C266" s="290">
        <v>223</v>
      </c>
      <c r="D266" s="290">
        <v>227</v>
      </c>
      <c r="E266" s="290">
        <v>214.53299999999999</v>
      </c>
      <c r="F266" s="290">
        <v>223.52</v>
      </c>
      <c r="G266" s="290">
        <v>221.68433333333334</v>
      </c>
      <c r="H266" s="290">
        <v>221.68433333333334</v>
      </c>
      <c r="I266" s="290"/>
      <c r="J266" s="290">
        <v>8962.0788771777279</v>
      </c>
    </row>
    <row r="267" spans="1:10" ht="13">
      <c r="A267" s="1">
        <v>4636</v>
      </c>
      <c r="B267" s="2" t="s">
        <v>60</v>
      </c>
      <c r="C267" s="290">
        <v>0</v>
      </c>
      <c r="D267" s="290">
        <v>0</v>
      </c>
      <c r="E267" s="290"/>
      <c r="F267" s="290"/>
      <c r="G267" s="290">
        <v>0</v>
      </c>
      <c r="H267" s="290">
        <v>0</v>
      </c>
      <c r="I267" s="290"/>
      <c r="J267" s="290">
        <v>6703.8169712736535</v>
      </c>
    </row>
    <row r="268" spans="1:10" ht="13">
      <c r="A268" s="1">
        <v>4637</v>
      </c>
      <c r="B268" s="2" t="s">
        <v>61</v>
      </c>
      <c r="C268" s="290">
        <v>430</v>
      </c>
      <c r="D268" s="290">
        <v>413</v>
      </c>
      <c r="E268" s="290">
        <v>396.16500000000002</v>
      </c>
      <c r="F268" s="290">
        <v>406.483</v>
      </c>
      <c r="G268" s="290">
        <v>405.21599999999995</v>
      </c>
      <c r="H268" s="290">
        <v>405.21599999999995</v>
      </c>
      <c r="I268" s="290"/>
      <c r="J268" s="290">
        <v>4825.8747578224029</v>
      </c>
    </row>
    <row r="269" spans="1:10" ht="13">
      <c r="A269" s="1">
        <v>4638</v>
      </c>
      <c r="B269" s="2" t="s">
        <v>62</v>
      </c>
      <c r="C269" s="290">
        <v>15441</v>
      </c>
      <c r="D269" s="290">
        <v>15803</v>
      </c>
      <c r="E269" s="290">
        <v>15383.83</v>
      </c>
      <c r="F269" s="290">
        <v>16070.329</v>
      </c>
      <c r="G269" s="290">
        <v>15752.386333333334</v>
      </c>
      <c r="H269" s="290">
        <v>15752.386333333334</v>
      </c>
      <c r="I269" s="290"/>
      <c r="J269" s="290">
        <v>3832.3123076824963</v>
      </c>
    </row>
    <row r="270" spans="1:10" ht="13">
      <c r="A270" s="1">
        <v>4639</v>
      </c>
      <c r="B270" s="2" t="s">
        <v>63</v>
      </c>
      <c r="C270" s="290">
        <v>11126</v>
      </c>
      <c r="D270" s="290">
        <v>11386</v>
      </c>
      <c r="E270" s="290">
        <v>10950.94</v>
      </c>
      <c r="F270" s="290">
        <v>10988.603999999999</v>
      </c>
      <c r="G270" s="290">
        <v>11108.514666666668</v>
      </c>
      <c r="H270" s="290">
        <v>11108.514666666668</v>
      </c>
      <c r="I270" s="290"/>
      <c r="J270" s="290"/>
    </row>
    <row r="271" spans="1:10" ht="13">
      <c r="A271" s="1">
        <v>4640</v>
      </c>
      <c r="B271" s="2" t="s">
        <v>1637</v>
      </c>
      <c r="C271" s="290">
        <v>5741</v>
      </c>
      <c r="D271" s="290">
        <v>5826</v>
      </c>
      <c r="E271" s="290">
        <v>5828.68</v>
      </c>
      <c r="F271" s="290">
        <v>6041.53</v>
      </c>
      <c r="G271" s="290">
        <v>5898.7366666666667</v>
      </c>
      <c r="H271" s="290">
        <v>5898.7366666666667</v>
      </c>
      <c r="I271" s="290"/>
      <c r="J271" s="290"/>
    </row>
    <row r="272" spans="1:10" ht="13">
      <c r="A272" s="1">
        <v>4641</v>
      </c>
      <c r="B272" s="2" t="s">
        <v>67</v>
      </c>
      <c r="C272" s="290">
        <v>30966</v>
      </c>
      <c r="D272" s="290">
        <v>32606</v>
      </c>
      <c r="E272" s="290">
        <v>31025.038</v>
      </c>
      <c r="F272" s="290">
        <v>31691.241999999998</v>
      </c>
      <c r="G272" s="290">
        <v>31774.093333333334</v>
      </c>
      <c r="H272" s="290">
        <v>31774.093333333334</v>
      </c>
      <c r="I272" s="290"/>
      <c r="J272" s="290"/>
    </row>
    <row r="273" spans="1:10" ht="13">
      <c r="A273" s="1">
        <v>4642</v>
      </c>
      <c r="B273" s="2" t="s">
        <v>68</v>
      </c>
      <c r="C273" s="290">
        <v>13762</v>
      </c>
      <c r="D273" s="290">
        <v>13943</v>
      </c>
      <c r="E273" s="290">
        <v>13502.412</v>
      </c>
      <c r="F273" s="290">
        <v>13667.258</v>
      </c>
      <c r="G273" s="290">
        <v>13704.223333333333</v>
      </c>
      <c r="H273" s="290">
        <v>13704.223333333333</v>
      </c>
      <c r="I273" s="290"/>
      <c r="J273" s="290"/>
    </row>
    <row r="274" spans="1:10" ht="13">
      <c r="A274" s="1">
        <v>4643</v>
      </c>
      <c r="B274" s="2" t="s">
        <v>69</v>
      </c>
      <c r="C274" s="290">
        <v>21473</v>
      </c>
      <c r="D274" s="290">
        <v>22012</v>
      </c>
      <c r="E274" s="290">
        <v>21355.268</v>
      </c>
      <c r="F274" s="290">
        <v>22027.951000000001</v>
      </c>
      <c r="G274" s="290">
        <v>21798.406333333332</v>
      </c>
      <c r="H274" s="290">
        <v>21798.406333333332</v>
      </c>
      <c r="I274" s="290"/>
      <c r="J274" s="290"/>
    </row>
    <row r="275" spans="1:10" ht="13">
      <c r="A275" s="1">
        <v>4644</v>
      </c>
      <c r="B275" s="2" t="s">
        <v>70</v>
      </c>
      <c r="C275" s="290">
        <v>33633</v>
      </c>
      <c r="D275" s="290">
        <v>34341</v>
      </c>
      <c r="E275" s="290">
        <v>34713.921000000002</v>
      </c>
      <c r="F275" s="290">
        <v>34114.421000000002</v>
      </c>
      <c r="G275" s="290">
        <v>34389.780666666666</v>
      </c>
      <c r="H275" s="290">
        <v>34389.780666666666</v>
      </c>
      <c r="I275" s="290"/>
      <c r="J275" s="290"/>
    </row>
    <row r="276" spans="1:10" ht="13">
      <c r="A276" s="1">
        <v>4645</v>
      </c>
      <c r="B276" s="2" t="s">
        <v>71</v>
      </c>
      <c r="C276" s="290">
        <v>0</v>
      </c>
      <c r="D276" s="290"/>
      <c r="E276" s="290"/>
      <c r="F276" s="290"/>
      <c r="G276" s="290">
        <v>0</v>
      </c>
      <c r="H276" s="290">
        <v>0</v>
      </c>
      <c r="I276" s="290"/>
      <c r="J276" s="290">
        <v>5109.7497435766609</v>
      </c>
    </row>
    <row r="277" spans="1:10" ht="13">
      <c r="A277" s="1">
        <v>4646</v>
      </c>
      <c r="B277" s="2" t="s">
        <v>72</v>
      </c>
      <c r="C277" s="290">
        <v>0</v>
      </c>
      <c r="D277" s="290"/>
      <c r="E277" s="290"/>
      <c r="F277" s="290"/>
      <c r="G277" s="290">
        <v>0</v>
      </c>
      <c r="H277" s="290">
        <v>0</v>
      </c>
      <c r="I277" s="290">
        <v>1634.27</v>
      </c>
      <c r="J277" s="290">
        <v>2412.9373789112014</v>
      </c>
    </row>
    <row r="278" spans="1:10" ht="13">
      <c r="A278" s="1">
        <v>4647</v>
      </c>
      <c r="B278" s="2" t="s">
        <v>1638</v>
      </c>
      <c r="C278" s="290">
        <v>4772</v>
      </c>
      <c r="D278" s="290">
        <v>5376</v>
      </c>
      <c r="E278" s="290">
        <v>4682.9530000000004</v>
      </c>
      <c r="F278" s="290">
        <v>4797.7489999999998</v>
      </c>
      <c r="G278" s="290">
        <v>4952.2340000000004</v>
      </c>
      <c r="H278" s="290">
        <v>4952.2340000000004</v>
      </c>
      <c r="I278" s="290"/>
      <c r="J278" s="290"/>
    </row>
    <row r="279" spans="1:10" ht="13">
      <c r="A279" s="1">
        <v>4648</v>
      </c>
      <c r="B279" s="2" t="s">
        <v>77</v>
      </c>
      <c r="C279" s="290">
        <v>15010</v>
      </c>
      <c r="D279" s="290">
        <v>14904</v>
      </c>
      <c r="E279" s="290">
        <v>14709.717000000001</v>
      </c>
      <c r="F279" s="290">
        <v>15022.81</v>
      </c>
      <c r="G279" s="290">
        <v>14878.842333333334</v>
      </c>
      <c r="H279" s="290">
        <v>14878.842333333334</v>
      </c>
      <c r="I279" s="290">
        <v>1877.7</v>
      </c>
      <c r="J279" s="290">
        <v>5535.5622222080501</v>
      </c>
    </row>
    <row r="280" spans="1:10" ht="13">
      <c r="A280" s="1">
        <v>4649</v>
      </c>
      <c r="B280" s="2" t="s">
        <v>1639</v>
      </c>
      <c r="C280" s="290">
        <v>47</v>
      </c>
      <c r="D280" s="290">
        <v>46</v>
      </c>
      <c r="E280" s="290">
        <v>44.374000000000002</v>
      </c>
      <c r="F280" s="290">
        <v>47.970999999999997</v>
      </c>
      <c r="G280" s="290">
        <v>46.115000000000002</v>
      </c>
      <c r="H280" s="290">
        <v>46.115000000000002</v>
      </c>
      <c r="I280" s="290">
        <v>825</v>
      </c>
      <c r="J280" s="290">
        <v>2270.999886034072</v>
      </c>
    </row>
    <row r="281" spans="1:10" ht="13">
      <c r="A281" s="1">
        <v>4650</v>
      </c>
      <c r="B281" s="2" t="s">
        <v>82</v>
      </c>
      <c r="C281" s="290">
        <v>496</v>
      </c>
      <c r="D281" s="290">
        <v>475</v>
      </c>
      <c r="E281" s="290">
        <v>507.77100000000002</v>
      </c>
      <c r="F281" s="290">
        <v>508.27699999999999</v>
      </c>
      <c r="G281" s="290">
        <v>497.01600000000002</v>
      </c>
      <c r="H281" s="290">
        <v>497.01600000000002</v>
      </c>
      <c r="I281" s="290"/>
      <c r="J281" s="290">
        <v>709.68746438564744</v>
      </c>
    </row>
    <row r="282" spans="1:10" ht="13">
      <c r="A282" s="1">
        <v>4651</v>
      </c>
      <c r="B282" s="2" t="s">
        <v>83</v>
      </c>
      <c r="C282" s="290">
        <v>498</v>
      </c>
      <c r="D282" s="290">
        <v>482</v>
      </c>
      <c r="E282" s="290">
        <v>474.67200000000003</v>
      </c>
      <c r="F282" s="290">
        <v>491.733</v>
      </c>
      <c r="G282" s="290">
        <v>482.80166666666668</v>
      </c>
      <c r="H282" s="290">
        <v>482.80166666666668</v>
      </c>
      <c r="I282" s="290"/>
      <c r="J282" s="290"/>
    </row>
    <row r="283" spans="1:10" ht="13">
      <c r="A283" s="1">
        <v>5001</v>
      </c>
      <c r="B283" s="2" t="s">
        <v>118</v>
      </c>
      <c r="C283" s="290">
        <v>9718</v>
      </c>
      <c r="D283" s="290">
        <v>9407</v>
      </c>
      <c r="E283" s="290">
        <v>9260.2510000000002</v>
      </c>
      <c r="F283" s="290">
        <v>9115.7219999999998</v>
      </c>
      <c r="G283" s="290">
        <v>9260.991</v>
      </c>
      <c r="H283" s="290">
        <v>9260.991</v>
      </c>
      <c r="I283" s="290">
        <v>3.3</v>
      </c>
      <c r="J283" s="290"/>
    </row>
    <row r="284" spans="1:10" ht="13">
      <c r="A284" s="1">
        <v>5006</v>
      </c>
      <c r="B284" s="2" t="s">
        <v>1640</v>
      </c>
      <c r="C284" s="290">
        <v>3738</v>
      </c>
      <c r="D284" s="290">
        <v>3673</v>
      </c>
      <c r="E284" s="290">
        <v>3573.3609999999999</v>
      </c>
      <c r="F284" s="290">
        <v>3718.4839999999999</v>
      </c>
      <c r="G284" s="290">
        <v>3654.9483333333333</v>
      </c>
      <c r="H284" s="290">
        <v>3654.9483333333333</v>
      </c>
      <c r="I284" s="290"/>
      <c r="J284" s="290"/>
    </row>
    <row r="285" spans="1:10" ht="13">
      <c r="A285" s="1">
        <v>5007</v>
      </c>
      <c r="B285" s="2" t="s">
        <v>1641</v>
      </c>
      <c r="C285" s="290">
        <v>468</v>
      </c>
      <c r="D285" s="290">
        <v>478</v>
      </c>
      <c r="E285" s="290">
        <v>448.52499999999998</v>
      </c>
      <c r="F285" s="290">
        <v>464.32100000000003</v>
      </c>
      <c r="G285" s="290">
        <v>463.61533333333335</v>
      </c>
      <c r="H285" s="290">
        <v>463.61533333333335</v>
      </c>
      <c r="I285" s="290"/>
      <c r="J285" s="290">
        <v>6765.6871604765056</v>
      </c>
    </row>
    <row r="286" spans="1:10" ht="13">
      <c r="A286" s="1">
        <v>5014</v>
      </c>
      <c r="B286" s="2" t="s">
        <v>122</v>
      </c>
      <c r="C286" s="290">
        <v>0</v>
      </c>
      <c r="D286" s="290"/>
      <c r="E286" s="290"/>
      <c r="F286" s="290"/>
      <c r="G286" s="290">
        <v>0</v>
      </c>
      <c r="H286" s="290">
        <v>0</v>
      </c>
      <c r="I286" s="290">
        <v>2170.19</v>
      </c>
      <c r="J286" s="290">
        <v>28460.287033311597</v>
      </c>
    </row>
    <row r="287" spans="1:10" ht="13">
      <c r="A287" s="1">
        <v>5020</v>
      </c>
      <c r="B287" s="2" t="s">
        <v>129</v>
      </c>
      <c r="C287" s="290">
        <v>0</v>
      </c>
      <c r="D287" s="290"/>
      <c r="E287" s="290"/>
      <c r="F287" s="290"/>
      <c r="G287" s="290">
        <v>0</v>
      </c>
      <c r="H287" s="290">
        <v>0</v>
      </c>
      <c r="I287" s="290"/>
      <c r="J287" s="290">
        <v>3406.499829051108</v>
      </c>
    </row>
    <row r="288" spans="1:10" ht="13">
      <c r="A288" s="1">
        <v>5021</v>
      </c>
      <c r="B288" s="2" t="s">
        <v>130</v>
      </c>
      <c r="C288" s="290">
        <v>3705</v>
      </c>
      <c r="D288" s="290">
        <v>3633</v>
      </c>
      <c r="E288" s="290">
        <v>3434.5410000000002</v>
      </c>
      <c r="F288" s="290">
        <v>3421.44</v>
      </c>
      <c r="G288" s="290">
        <v>3496.3269999999998</v>
      </c>
      <c r="H288" s="290">
        <v>3496.3269999999998</v>
      </c>
      <c r="I288" s="290"/>
      <c r="J288" s="290"/>
    </row>
    <row r="289" spans="1:10" ht="13">
      <c r="A289" s="1">
        <v>5022</v>
      </c>
      <c r="B289" s="2" t="s">
        <v>131</v>
      </c>
      <c r="C289" s="290">
        <v>6518</v>
      </c>
      <c r="D289" s="290">
        <v>6364</v>
      </c>
      <c r="E289" s="290">
        <v>5913.259</v>
      </c>
      <c r="F289" s="290">
        <v>6265.8530000000001</v>
      </c>
      <c r="G289" s="290">
        <v>6181.0373333333337</v>
      </c>
      <c r="H289" s="290">
        <v>6181.0373333333337</v>
      </c>
      <c r="I289" s="290"/>
      <c r="J289" s="290"/>
    </row>
    <row r="290" spans="1:10" ht="13">
      <c r="A290" s="1">
        <v>5025</v>
      </c>
      <c r="B290" s="4" t="s">
        <v>134</v>
      </c>
      <c r="C290" s="290">
        <v>1476</v>
      </c>
      <c r="D290" s="290">
        <v>1441</v>
      </c>
      <c r="E290" s="290">
        <v>1409.375</v>
      </c>
      <c r="F290" s="290">
        <v>1442.5070000000001</v>
      </c>
      <c r="G290" s="290">
        <v>1430.9606666666666</v>
      </c>
      <c r="H290" s="290">
        <v>1430.9606666666666</v>
      </c>
      <c r="I290" s="290"/>
      <c r="J290" s="290"/>
    </row>
    <row r="291" spans="1:10" ht="13">
      <c r="A291" s="1">
        <v>5026</v>
      </c>
      <c r="B291" s="2" t="s">
        <v>135</v>
      </c>
      <c r="C291" s="290">
        <v>0</v>
      </c>
      <c r="D291" s="290"/>
      <c r="E291" s="290"/>
      <c r="F291" s="290"/>
      <c r="G291" s="290">
        <v>0</v>
      </c>
      <c r="H291" s="290">
        <v>0</v>
      </c>
      <c r="I291" s="290"/>
      <c r="J291" s="290"/>
    </row>
    <row r="292" spans="1:10" ht="13">
      <c r="A292" s="1">
        <v>5027</v>
      </c>
      <c r="B292" s="2" t="s">
        <v>136</v>
      </c>
      <c r="C292" s="290">
        <v>1258</v>
      </c>
      <c r="D292" s="290">
        <v>1215</v>
      </c>
      <c r="E292" s="290">
        <v>1178.7159999999999</v>
      </c>
      <c r="F292" s="290">
        <v>1225.114</v>
      </c>
      <c r="G292" s="290">
        <v>1206.2766666666666</v>
      </c>
      <c r="H292" s="290">
        <v>1206.2766666666666</v>
      </c>
      <c r="I292" s="290"/>
      <c r="J292" s="290"/>
    </row>
    <row r="293" spans="1:10" ht="13">
      <c r="A293" s="1">
        <v>5028</v>
      </c>
      <c r="B293" s="2" t="s">
        <v>137</v>
      </c>
      <c r="C293" s="290">
        <v>1854</v>
      </c>
      <c r="D293" s="290">
        <v>1789</v>
      </c>
      <c r="E293" s="290">
        <v>1737.0650000000001</v>
      </c>
      <c r="F293" s="290">
        <v>1805.2539999999999</v>
      </c>
      <c r="G293" s="290">
        <v>1777.1063333333332</v>
      </c>
      <c r="H293" s="290">
        <v>1777.1063333333332</v>
      </c>
      <c r="I293" s="290"/>
      <c r="J293" s="290"/>
    </row>
    <row r="294" spans="1:10" ht="13">
      <c r="A294" s="1">
        <v>5029</v>
      </c>
      <c r="B294" s="2" t="s">
        <v>138</v>
      </c>
      <c r="C294" s="290">
        <v>0</v>
      </c>
      <c r="D294" s="290"/>
      <c r="E294" s="290"/>
      <c r="F294" s="290"/>
      <c r="G294" s="290">
        <v>0</v>
      </c>
      <c r="H294" s="290">
        <v>0</v>
      </c>
      <c r="I294" s="290"/>
      <c r="J294" s="290"/>
    </row>
    <row r="295" spans="1:10" ht="13">
      <c r="A295" s="1">
        <v>5031</v>
      </c>
      <c r="B295" s="2" t="s">
        <v>141</v>
      </c>
      <c r="C295" s="290">
        <v>6</v>
      </c>
      <c r="D295" s="290">
        <v>6</v>
      </c>
      <c r="E295" s="290">
        <v>5.6539999999999999</v>
      </c>
      <c r="F295" s="290">
        <v>5.5110000000000001</v>
      </c>
      <c r="G295" s="290">
        <v>5.7216666666666667</v>
      </c>
      <c r="H295" s="290">
        <v>5.7216666666666667</v>
      </c>
      <c r="I295" s="290"/>
      <c r="J295" s="290"/>
    </row>
    <row r="296" spans="1:10" ht="13">
      <c r="A296" s="1">
        <v>5032</v>
      </c>
      <c r="B296" s="2" t="s">
        <v>142</v>
      </c>
      <c r="C296" s="290">
        <v>4162</v>
      </c>
      <c r="D296" s="290">
        <v>4035</v>
      </c>
      <c r="E296" s="290">
        <v>3903.0859999999998</v>
      </c>
      <c r="F296" s="290">
        <v>4064.8409999999999</v>
      </c>
      <c r="G296" s="290">
        <v>4000.9756666666667</v>
      </c>
      <c r="H296" s="290">
        <v>4000.9756666666667</v>
      </c>
      <c r="I296" s="290">
        <v>3425.29</v>
      </c>
      <c r="J296" s="290"/>
    </row>
    <row r="297" spans="1:10" ht="13">
      <c r="A297" s="1">
        <v>5033</v>
      </c>
      <c r="B297" s="2" t="s">
        <v>143</v>
      </c>
      <c r="C297" s="290">
        <v>14000</v>
      </c>
      <c r="D297" s="290">
        <v>13814</v>
      </c>
      <c r="E297" s="290">
        <v>13373.525</v>
      </c>
      <c r="F297" s="290">
        <v>13650.043</v>
      </c>
      <c r="G297" s="290">
        <v>13612.522666666666</v>
      </c>
      <c r="H297" s="290">
        <v>13612.522666666666</v>
      </c>
      <c r="I297" s="290"/>
      <c r="J297" s="290"/>
    </row>
    <row r="298" spans="1:10" ht="13">
      <c r="A298" s="1">
        <v>5034</v>
      </c>
      <c r="B298" s="2" t="s">
        <v>146</v>
      </c>
      <c r="C298" s="290">
        <v>6958</v>
      </c>
      <c r="D298" s="290">
        <v>6707</v>
      </c>
      <c r="E298" s="290">
        <v>6506.06</v>
      </c>
      <c r="F298" s="290">
        <v>6868.3339999999998</v>
      </c>
      <c r="G298" s="290">
        <v>6693.7979999999998</v>
      </c>
      <c r="H298" s="290">
        <v>6693.7979999999998</v>
      </c>
      <c r="I298" s="290"/>
      <c r="J298" s="290"/>
    </row>
    <row r="299" spans="1:10" ht="13">
      <c r="A299" s="1">
        <v>5035</v>
      </c>
      <c r="B299" s="2" t="s">
        <v>147</v>
      </c>
      <c r="C299" s="290">
        <v>0</v>
      </c>
      <c r="D299" s="290"/>
      <c r="E299" s="290"/>
      <c r="F299" s="290"/>
      <c r="G299" s="290">
        <v>0</v>
      </c>
      <c r="H299" s="290">
        <v>0</v>
      </c>
      <c r="I299" s="290"/>
      <c r="J299" s="290"/>
    </row>
    <row r="300" spans="1:10" ht="13">
      <c r="A300" s="1">
        <v>5036</v>
      </c>
      <c r="B300" s="2" t="s">
        <v>148</v>
      </c>
      <c r="C300" s="290">
        <v>0</v>
      </c>
      <c r="D300" s="290"/>
      <c r="E300" s="290"/>
      <c r="F300" s="290"/>
      <c r="G300" s="290">
        <v>0</v>
      </c>
      <c r="H300" s="290">
        <v>0</v>
      </c>
      <c r="I300" s="290"/>
      <c r="J300" s="290"/>
    </row>
    <row r="301" spans="1:10" ht="13">
      <c r="A301" s="1">
        <v>5037</v>
      </c>
      <c r="B301" s="2" t="s">
        <v>150</v>
      </c>
      <c r="C301" s="290">
        <v>0</v>
      </c>
      <c r="D301" s="290"/>
      <c r="E301" s="290"/>
      <c r="F301" s="290"/>
      <c r="G301" s="290">
        <v>0</v>
      </c>
      <c r="H301" s="290">
        <v>0</v>
      </c>
      <c r="I301" s="290"/>
      <c r="J301" s="290"/>
    </row>
    <row r="302" spans="1:10" ht="13">
      <c r="A302" s="1">
        <v>5038</v>
      </c>
      <c r="B302" s="2" t="s">
        <v>151</v>
      </c>
      <c r="C302" s="290">
        <v>0</v>
      </c>
      <c r="D302" s="290"/>
      <c r="E302" s="290"/>
      <c r="F302" s="290"/>
      <c r="G302" s="290">
        <v>0</v>
      </c>
      <c r="H302" s="290">
        <v>0</v>
      </c>
      <c r="I302" s="290"/>
      <c r="J302" s="290"/>
    </row>
    <row r="303" spans="1:10" ht="13">
      <c r="A303" s="1">
        <v>5041</v>
      </c>
      <c r="B303" s="2" t="s">
        <v>156</v>
      </c>
      <c r="C303" s="290">
        <v>622</v>
      </c>
      <c r="D303" s="290">
        <v>690</v>
      </c>
      <c r="E303" s="290">
        <v>739.48599999999999</v>
      </c>
      <c r="F303" s="290">
        <v>859.80399999999997</v>
      </c>
      <c r="G303" s="290">
        <v>763.09666666666669</v>
      </c>
      <c r="H303" s="290">
        <v>763.09666666666669</v>
      </c>
      <c r="I303" s="290"/>
      <c r="J303" s="290"/>
    </row>
    <row r="304" spans="1:10" ht="13">
      <c r="A304" s="1">
        <v>5042</v>
      </c>
      <c r="B304" s="2" t="s">
        <v>157</v>
      </c>
      <c r="C304" s="290">
        <v>1886</v>
      </c>
      <c r="D304" s="290">
        <v>1831</v>
      </c>
      <c r="E304" s="290">
        <v>1829.7840000000001</v>
      </c>
      <c r="F304" s="290">
        <v>1899.931</v>
      </c>
      <c r="G304" s="290">
        <v>1853.5716666666667</v>
      </c>
      <c r="H304" s="290">
        <v>1853.5716666666667</v>
      </c>
      <c r="I304" s="290"/>
      <c r="J304" s="290"/>
    </row>
    <row r="305" spans="1:10" ht="13">
      <c r="A305" s="1">
        <v>5043</v>
      </c>
      <c r="B305" s="2" t="s">
        <v>164</v>
      </c>
      <c r="C305" s="290">
        <v>3062</v>
      </c>
      <c r="D305" s="290">
        <v>3045</v>
      </c>
      <c r="E305" s="290">
        <v>3048.2979999999998</v>
      </c>
      <c r="F305" s="290">
        <v>3216.576</v>
      </c>
      <c r="G305" s="290">
        <v>3103.2913333333331</v>
      </c>
      <c r="H305" s="290">
        <v>3103.2913333333331</v>
      </c>
      <c r="I305" s="290"/>
      <c r="J305" s="290"/>
    </row>
    <row r="306" spans="1:10" ht="13">
      <c r="A306" s="1">
        <v>5044</v>
      </c>
      <c r="B306" s="2" t="s">
        <v>165</v>
      </c>
      <c r="C306" s="290">
        <v>9221</v>
      </c>
      <c r="D306" s="290">
        <v>9094</v>
      </c>
      <c r="E306" s="290">
        <v>9057.7849999999999</v>
      </c>
      <c r="F306" s="290">
        <v>9567.5470000000005</v>
      </c>
      <c r="G306" s="290">
        <v>9239.7773333333334</v>
      </c>
      <c r="H306" s="290">
        <v>9239.7773333333334</v>
      </c>
      <c r="I306" s="290"/>
      <c r="J306" s="290"/>
    </row>
    <row r="307" spans="1:10" ht="13">
      <c r="A307" s="1">
        <v>5045</v>
      </c>
      <c r="B307" s="2" t="s">
        <v>166</v>
      </c>
      <c r="C307" s="290">
        <v>5268</v>
      </c>
      <c r="D307" s="290">
        <v>5232</v>
      </c>
      <c r="E307" s="290">
        <v>5274.1480000000001</v>
      </c>
      <c r="F307" s="290">
        <v>5239.3</v>
      </c>
      <c r="G307" s="290">
        <v>5248.4826666666668</v>
      </c>
      <c r="H307" s="290">
        <v>5248.4826666666668</v>
      </c>
      <c r="I307" s="290"/>
      <c r="J307" s="290"/>
    </row>
    <row r="308" spans="1:10" ht="13">
      <c r="A308" s="1">
        <v>5046</v>
      </c>
      <c r="B308" s="2" t="s">
        <v>167</v>
      </c>
      <c r="C308" s="290">
        <v>0</v>
      </c>
      <c r="D308" s="290"/>
      <c r="E308" s="290"/>
      <c r="F308" s="290"/>
      <c r="G308" s="290">
        <v>0</v>
      </c>
      <c r="H308" s="290">
        <v>0</v>
      </c>
      <c r="I308" s="290"/>
      <c r="J308" s="290"/>
    </row>
    <row r="309" spans="1:10" ht="13">
      <c r="A309" s="1">
        <v>5047</v>
      </c>
      <c r="B309" s="2" t="s">
        <v>168</v>
      </c>
      <c r="C309" s="290">
        <v>103</v>
      </c>
      <c r="D309" s="290">
        <v>105</v>
      </c>
      <c r="E309" s="290">
        <v>98.45</v>
      </c>
      <c r="F309" s="290">
        <v>101.83799999999999</v>
      </c>
      <c r="G309" s="290">
        <v>101.76266666666668</v>
      </c>
      <c r="H309" s="290">
        <v>101.76266666666668</v>
      </c>
      <c r="I309" s="290"/>
      <c r="J309" s="290"/>
    </row>
    <row r="310" spans="1:10" ht="13">
      <c r="A310" s="1">
        <v>5049</v>
      </c>
      <c r="B310" s="2" t="s">
        <v>170</v>
      </c>
      <c r="C310" s="290">
        <v>0</v>
      </c>
      <c r="D310" s="290"/>
      <c r="E310" s="290"/>
      <c r="F310" s="290"/>
      <c r="G310" s="290">
        <v>0</v>
      </c>
      <c r="H310" s="290">
        <v>0</v>
      </c>
      <c r="I310" s="290">
        <v>5338.19</v>
      </c>
      <c r="J310" s="290">
        <v>9320.5620322648374</v>
      </c>
    </row>
    <row r="311" spans="1:10" ht="13">
      <c r="A311" s="1">
        <v>5052</v>
      </c>
      <c r="B311" s="2" t="s">
        <v>173</v>
      </c>
      <c r="C311" s="290">
        <v>0</v>
      </c>
      <c r="D311" s="290"/>
      <c r="E311" s="290"/>
      <c r="F311" s="290"/>
      <c r="G311" s="290">
        <v>0</v>
      </c>
      <c r="H311" s="290">
        <v>0</v>
      </c>
      <c r="I311" s="290"/>
      <c r="J311" s="290">
        <v>5819.437207962309</v>
      </c>
    </row>
    <row r="312" spans="1:10" ht="13">
      <c r="A312" s="1">
        <v>5053</v>
      </c>
      <c r="B312" s="2" t="s">
        <v>155</v>
      </c>
      <c r="C312" s="290">
        <v>735</v>
      </c>
      <c r="D312" s="290">
        <v>761</v>
      </c>
      <c r="E312" s="290">
        <v>721.77599999999995</v>
      </c>
      <c r="F312" s="290">
        <v>780.61500000000001</v>
      </c>
      <c r="G312" s="290">
        <v>754.46366666666654</v>
      </c>
      <c r="H312" s="290">
        <v>754.46366666666654</v>
      </c>
      <c r="I312" s="290"/>
      <c r="J312" s="290"/>
    </row>
    <row r="313" spans="1:10" ht="13">
      <c r="A313" s="1">
        <v>5054</v>
      </c>
      <c r="B313" s="2" t="s">
        <v>1234</v>
      </c>
      <c r="C313" s="290">
        <v>598</v>
      </c>
      <c r="D313" s="290">
        <v>586</v>
      </c>
      <c r="E313" s="290">
        <v>570.15200000000004</v>
      </c>
      <c r="F313" s="290">
        <v>605.66</v>
      </c>
      <c r="G313" s="290">
        <v>587.27066666666667</v>
      </c>
      <c r="H313" s="290">
        <v>587.27066666666667</v>
      </c>
      <c r="I313" s="290"/>
      <c r="J313" s="290"/>
    </row>
    <row r="314" spans="1:10" ht="13">
      <c r="A314" s="1">
        <v>5055</v>
      </c>
      <c r="B314" s="2" t="s">
        <v>1642</v>
      </c>
      <c r="C314" s="290">
        <v>1913</v>
      </c>
      <c r="D314" s="290">
        <v>1823</v>
      </c>
      <c r="E314" s="290">
        <v>1810.5119999999999</v>
      </c>
      <c r="F314" s="290">
        <v>1860.0340000000001</v>
      </c>
      <c r="G314" s="290">
        <v>1831.182</v>
      </c>
      <c r="H314" s="290">
        <v>1831.182</v>
      </c>
      <c r="I314" s="290"/>
      <c r="J314" s="290">
        <v>8840.158210219166</v>
      </c>
    </row>
    <row r="315" spans="1:10" ht="13">
      <c r="A315" s="1">
        <v>5056</v>
      </c>
      <c r="B315" s="2" t="s">
        <v>1643</v>
      </c>
      <c r="C315" s="290">
        <v>0</v>
      </c>
      <c r="D315" s="290"/>
      <c r="E315" s="290"/>
      <c r="F315" s="290"/>
      <c r="G315" s="290">
        <v>0</v>
      </c>
      <c r="H315" s="290">
        <v>0</v>
      </c>
      <c r="I315" s="290">
        <v>4706.8999999999996</v>
      </c>
      <c r="J315" s="290">
        <v>18450.054362579689</v>
      </c>
    </row>
    <row r="316" spans="1:10" ht="13">
      <c r="A316" s="1">
        <v>5057</v>
      </c>
      <c r="B316" s="2" t="s">
        <v>1644</v>
      </c>
      <c r="C316" s="290">
        <v>0</v>
      </c>
      <c r="D316" s="290"/>
      <c r="E316" s="290"/>
      <c r="F316" s="290"/>
      <c r="G316" s="290">
        <v>0</v>
      </c>
      <c r="H316" s="290">
        <v>0</v>
      </c>
      <c r="I316" s="290">
        <v>880</v>
      </c>
      <c r="J316" s="290">
        <v>3679.0198153751953</v>
      </c>
    </row>
    <row r="317" spans="1:10" ht="13">
      <c r="A317" s="1">
        <v>5058</v>
      </c>
      <c r="B317" s="2" t="s">
        <v>1645</v>
      </c>
      <c r="C317" s="290">
        <v>607</v>
      </c>
      <c r="D317" s="290">
        <v>578</v>
      </c>
      <c r="E317" s="290">
        <v>575.04700000000003</v>
      </c>
      <c r="F317" s="290">
        <v>592.11900000000003</v>
      </c>
      <c r="G317" s="290">
        <v>581.72200000000009</v>
      </c>
      <c r="H317" s="290">
        <v>581.72200000000009</v>
      </c>
      <c r="I317" s="290">
        <v>32590.799999999996</v>
      </c>
      <c r="J317" s="290">
        <v>11333.599623551961</v>
      </c>
    </row>
    <row r="318" spans="1:10" ht="13">
      <c r="A318" s="1">
        <v>5059</v>
      </c>
      <c r="B318" s="2" t="s">
        <v>1646</v>
      </c>
      <c r="C318" s="290">
        <v>2487</v>
      </c>
      <c r="D318" s="290">
        <v>2362</v>
      </c>
      <c r="E318" s="290">
        <v>2240.2930000000001</v>
      </c>
      <c r="F318" s="290">
        <v>2418.9989999999998</v>
      </c>
      <c r="G318" s="290">
        <v>2340.4306666666666</v>
      </c>
      <c r="H318" s="290">
        <v>2340.4306666666666</v>
      </c>
      <c r="I318" s="290">
        <v>6007.1</v>
      </c>
      <c r="J318" s="290">
        <v>4220.2747882133172</v>
      </c>
    </row>
    <row r="319" spans="1:10" ht="13">
      <c r="A319" s="1">
        <v>5060</v>
      </c>
      <c r="B319" s="2" t="s">
        <v>1647</v>
      </c>
      <c r="C319" s="290">
        <v>0</v>
      </c>
      <c r="D319" s="290"/>
      <c r="E319" s="290"/>
      <c r="F319" s="290"/>
      <c r="G319" s="290">
        <v>0</v>
      </c>
      <c r="H319" s="290">
        <v>0</v>
      </c>
      <c r="I319" s="290">
        <v>3454.7150000000001</v>
      </c>
      <c r="J319" s="290">
        <v>25631.545588728302</v>
      </c>
    </row>
    <row r="320" spans="1:10" ht="13">
      <c r="A320" s="1">
        <v>5061</v>
      </c>
      <c r="B320" s="2" t="s">
        <v>114</v>
      </c>
      <c r="C320" s="290">
        <v>3557</v>
      </c>
      <c r="D320" s="290">
        <v>3472</v>
      </c>
      <c r="E320" s="290">
        <v>3522.09</v>
      </c>
      <c r="F320" s="290">
        <v>3577.761</v>
      </c>
      <c r="G320" s="290">
        <v>3523.9503333333337</v>
      </c>
      <c r="H320" s="290">
        <v>3523.9503333333337</v>
      </c>
      <c r="I320" s="290"/>
      <c r="J320" s="290"/>
    </row>
    <row r="321" spans="1:10" ht="13">
      <c r="A321" s="1">
        <v>5401</v>
      </c>
      <c r="B321" s="2" t="s">
        <v>217</v>
      </c>
      <c r="C321" s="290">
        <v>0</v>
      </c>
      <c r="D321" s="290"/>
      <c r="E321" s="290"/>
      <c r="F321" s="290"/>
      <c r="G321" s="290">
        <v>0</v>
      </c>
      <c r="H321" s="290">
        <v>0</v>
      </c>
      <c r="I321" s="290">
        <v>8451.85</v>
      </c>
      <c r="J321" s="290">
        <v>9234.1257385255576</v>
      </c>
    </row>
    <row r="322" spans="1:10" ht="13">
      <c r="A322" s="1">
        <v>5402</v>
      </c>
      <c r="B322" s="2" t="s">
        <v>216</v>
      </c>
      <c r="C322" s="290">
        <v>3</v>
      </c>
      <c r="D322" s="290">
        <v>3</v>
      </c>
      <c r="E322" s="290">
        <v>3.4209999999999998</v>
      </c>
      <c r="F322" s="290">
        <v>3.5640000000000001</v>
      </c>
      <c r="G322" s="290">
        <v>3.3283333333333331</v>
      </c>
      <c r="H322" s="290">
        <v>3.3283333333333331</v>
      </c>
      <c r="I322" s="290"/>
      <c r="J322" s="290">
        <v>10637.123264272568</v>
      </c>
    </row>
    <row r="323" spans="1:10" ht="13">
      <c r="A323" s="1">
        <v>5403</v>
      </c>
      <c r="B323" s="2" t="s">
        <v>245</v>
      </c>
      <c r="C323" s="290">
        <v>6782</v>
      </c>
      <c r="D323" s="290">
        <v>6711</v>
      </c>
      <c r="E323" s="290">
        <v>6594.6540000000005</v>
      </c>
      <c r="F323" s="290">
        <v>6755.0010000000002</v>
      </c>
      <c r="G323" s="290">
        <v>6686.8849999999993</v>
      </c>
      <c r="H323" s="290">
        <v>6686.8849999999993</v>
      </c>
      <c r="I323" s="290"/>
      <c r="J323" s="290">
        <v>12418.802742169972</v>
      </c>
    </row>
    <row r="324" spans="1:10" ht="13">
      <c r="A324" s="1">
        <v>5404</v>
      </c>
      <c r="B324" s="2" t="s">
        <v>241</v>
      </c>
      <c r="C324" s="290">
        <v>0</v>
      </c>
      <c r="D324" s="290"/>
      <c r="E324" s="290"/>
      <c r="F324" s="290"/>
      <c r="G324" s="290">
        <v>0</v>
      </c>
      <c r="H324" s="290">
        <v>0</v>
      </c>
      <c r="I324" s="290"/>
      <c r="J324" s="290"/>
    </row>
    <row r="325" spans="1:10" ht="13">
      <c r="A325" s="1">
        <v>5405</v>
      </c>
      <c r="B325" s="2" t="s">
        <v>242</v>
      </c>
      <c r="C325" s="290">
        <v>0</v>
      </c>
      <c r="D325" s="290"/>
      <c r="E325" s="290"/>
      <c r="F325" s="290"/>
      <c r="G325" s="290">
        <v>0</v>
      </c>
      <c r="H325" s="290">
        <v>0</v>
      </c>
      <c r="I325" s="290"/>
      <c r="J325" s="290"/>
    </row>
    <row r="326" spans="1:10" ht="13">
      <c r="A326" s="1">
        <v>5406</v>
      </c>
      <c r="B326" s="2" t="s">
        <v>1648</v>
      </c>
      <c r="C326" s="290">
        <v>554</v>
      </c>
      <c r="D326" s="290">
        <v>547</v>
      </c>
      <c r="E326" s="290">
        <v>560.428</v>
      </c>
      <c r="F326" s="290">
        <v>567.17100000000005</v>
      </c>
      <c r="G326" s="290">
        <v>558.19966666666664</v>
      </c>
      <c r="H326" s="290">
        <v>558.19966666666664</v>
      </c>
      <c r="I326" s="290"/>
      <c r="J326" s="290">
        <v>18921.541598534361</v>
      </c>
    </row>
    <row r="327" spans="1:10" ht="13">
      <c r="A327" s="1">
        <v>5411</v>
      </c>
      <c r="B327" s="2" t="s">
        <v>218</v>
      </c>
      <c r="C327" s="290">
        <v>0</v>
      </c>
      <c r="D327" s="290"/>
      <c r="E327" s="290"/>
      <c r="F327" s="290"/>
      <c r="G327" s="290">
        <v>0</v>
      </c>
      <c r="H327" s="290">
        <v>0</v>
      </c>
      <c r="I327" s="290"/>
      <c r="J327" s="290">
        <v>3564.8147249525209</v>
      </c>
    </row>
    <row r="328" spans="1:10" ht="13">
      <c r="A328" s="1">
        <v>5412</v>
      </c>
      <c r="B328" s="2" t="s">
        <v>1649</v>
      </c>
      <c r="C328" s="290">
        <v>95</v>
      </c>
      <c r="D328" s="290">
        <v>95</v>
      </c>
      <c r="E328" s="290">
        <v>94.105000000000004</v>
      </c>
      <c r="F328" s="290">
        <v>98.054000000000002</v>
      </c>
      <c r="G328" s="290">
        <v>95.719666666666669</v>
      </c>
      <c r="H328" s="290">
        <v>95.719666666666669</v>
      </c>
      <c r="I328" s="290"/>
      <c r="J328" s="290">
        <v>4229.0094031596018</v>
      </c>
    </row>
    <row r="329" spans="1:10" ht="13">
      <c r="A329" s="1">
        <v>5413</v>
      </c>
      <c r="B329" s="2" t="s">
        <v>221</v>
      </c>
      <c r="C329" s="290">
        <v>0</v>
      </c>
      <c r="D329" s="290"/>
      <c r="E329" s="290"/>
      <c r="F329" s="290"/>
      <c r="G329" s="290">
        <v>0</v>
      </c>
      <c r="H329" s="290">
        <v>0</v>
      </c>
      <c r="I329" s="290"/>
      <c r="J329" s="290">
        <v>8219.6366067435119</v>
      </c>
    </row>
    <row r="330" spans="1:10" ht="13">
      <c r="A330" s="1">
        <v>5414</v>
      </c>
      <c r="B330" s="2" t="s">
        <v>222</v>
      </c>
      <c r="C330" s="290">
        <v>0</v>
      </c>
      <c r="D330" s="290"/>
      <c r="E330" s="290"/>
      <c r="F330" s="290"/>
      <c r="G330" s="290">
        <v>0</v>
      </c>
      <c r="H330" s="290">
        <v>0</v>
      </c>
      <c r="I330" s="290"/>
      <c r="J330" s="290">
        <v>3297.3171422225464</v>
      </c>
    </row>
    <row r="331" spans="1:10" ht="13">
      <c r="A331" s="1">
        <v>5415</v>
      </c>
      <c r="B331" s="2" t="s">
        <v>223</v>
      </c>
      <c r="C331" s="290">
        <v>0</v>
      </c>
      <c r="D331" s="290"/>
      <c r="E331" s="290"/>
      <c r="F331" s="290"/>
      <c r="G331" s="290">
        <v>0</v>
      </c>
      <c r="H331" s="290">
        <v>0</v>
      </c>
      <c r="I331" s="290"/>
      <c r="J331" s="290">
        <v>1637.7403024284172</v>
      </c>
    </row>
    <row r="332" spans="1:10" ht="13">
      <c r="A332" s="1">
        <v>5416</v>
      </c>
      <c r="B332" s="2" t="s">
        <v>224</v>
      </c>
      <c r="C332" s="290">
        <v>12066</v>
      </c>
      <c r="D332" s="290">
        <v>12332</v>
      </c>
      <c r="E332" s="290">
        <v>12245.210999999999</v>
      </c>
      <c r="F332" s="290">
        <v>12141.129000000001</v>
      </c>
      <c r="G332" s="290">
        <v>12239.446666666665</v>
      </c>
      <c r="H332" s="290">
        <v>12239.446666666665</v>
      </c>
      <c r="I332" s="290"/>
      <c r="J332" s="290"/>
    </row>
    <row r="333" spans="1:10" ht="13">
      <c r="A333" s="1">
        <v>5417</v>
      </c>
      <c r="B333" s="2" t="s">
        <v>225</v>
      </c>
      <c r="C333" s="290">
        <v>0</v>
      </c>
      <c r="D333" s="290"/>
      <c r="E333" s="290"/>
      <c r="F333" s="290"/>
      <c r="G333" s="290">
        <v>0</v>
      </c>
      <c r="H333" s="290">
        <v>0</v>
      </c>
      <c r="I333" s="290"/>
      <c r="J333" s="290">
        <v>1746.9229892569781</v>
      </c>
    </row>
    <row r="334" spans="1:10" ht="13">
      <c r="A334" s="1">
        <v>5418</v>
      </c>
      <c r="B334" s="2" t="s">
        <v>226</v>
      </c>
      <c r="C334" s="290">
        <v>4368</v>
      </c>
      <c r="D334" s="290">
        <v>4363</v>
      </c>
      <c r="E334" s="290">
        <v>4302.683</v>
      </c>
      <c r="F334" s="290">
        <v>4327.0150000000003</v>
      </c>
      <c r="G334" s="290">
        <v>4330.8993333333337</v>
      </c>
      <c r="H334" s="290">
        <v>4330.8993333333337</v>
      </c>
      <c r="I334" s="290"/>
      <c r="J334" s="290"/>
    </row>
    <row r="335" spans="1:10" ht="13">
      <c r="A335" s="1">
        <v>5419</v>
      </c>
      <c r="B335" s="2" t="s">
        <v>227</v>
      </c>
      <c r="C335" s="290">
        <v>0</v>
      </c>
      <c r="D335" s="290"/>
      <c r="E335" s="290"/>
      <c r="F335" s="290"/>
      <c r="G335" s="290">
        <v>0</v>
      </c>
      <c r="H335" s="290">
        <v>0</v>
      </c>
      <c r="I335" s="290"/>
      <c r="J335" s="290">
        <v>655.09612097136687</v>
      </c>
    </row>
    <row r="336" spans="1:10" ht="13">
      <c r="A336" s="1">
        <v>5420</v>
      </c>
      <c r="B336" s="2" t="s">
        <v>228</v>
      </c>
      <c r="C336" s="290">
        <v>0</v>
      </c>
      <c r="D336" s="290"/>
      <c r="E336" s="290"/>
      <c r="F336" s="290"/>
      <c r="G336" s="290">
        <v>0</v>
      </c>
      <c r="H336" s="290">
        <v>0</v>
      </c>
      <c r="I336" s="290"/>
      <c r="J336" s="290">
        <v>4038.8495569331908</v>
      </c>
    </row>
    <row r="337" spans="1:10" ht="13">
      <c r="A337" s="1">
        <v>5421</v>
      </c>
      <c r="B337" s="2" t="s">
        <v>1650</v>
      </c>
      <c r="C337" s="290">
        <v>282</v>
      </c>
      <c r="D337" s="290">
        <v>291</v>
      </c>
      <c r="E337" s="290">
        <v>288.73899999999998</v>
      </c>
      <c r="F337" s="290">
        <v>306.43799999999999</v>
      </c>
      <c r="G337" s="290">
        <v>295.39233333333334</v>
      </c>
      <c r="H337" s="290">
        <v>295.39233333333334</v>
      </c>
      <c r="I337" s="290"/>
      <c r="J337" s="290">
        <v>21910.235679321504</v>
      </c>
    </row>
    <row r="338" spans="1:10" ht="13">
      <c r="A338" s="1">
        <v>5422</v>
      </c>
      <c r="B338" s="2" t="s">
        <v>233</v>
      </c>
      <c r="C338" s="290">
        <v>0</v>
      </c>
      <c r="D338" s="290"/>
      <c r="E338" s="290"/>
      <c r="F338" s="290"/>
      <c r="G338" s="290">
        <v>0</v>
      </c>
      <c r="H338" s="290">
        <v>0</v>
      </c>
      <c r="I338" s="290"/>
      <c r="J338" s="290"/>
    </row>
    <row r="339" spans="1:10" ht="13">
      <c r="A339" s="1">
        <v>5423</v>
      </c>
      <c r="B339" s="2" t="s">
        <v>234</v>
      </c>
      <c r="C339" s="290">
        <v>0</v>
      </c>
      <c r="D339" s="290"/>
      <c r="E339" s="290"/>
      <c r="F339" s="290"/>
      <c r="G339" s="290">
        <v>0</v>
      </c>
      <c r="H339" s="290">
        <v>0</v>
      </c>
      <c r="I339" s="290">
        <v>1529</v>
      </c>
      <c r="J339" s="290">
        <v>10694.444174857565</v>
      </c>
    </row>
    <row r="340" spans="1:10" ht="13">
      <c r="A340" s="1">
        <v>5424</v>
      </c>
      <c r="B340" s="2" t="s">
        <v>235</v>
      </c>
      <c r="C340" s="290">
        <v>0</v>
      </c>
      <c r="D340" s="290"/>
      <c r="E340" s="290"/>
      <c r="F340" s="290"/>
      <c r="G340" s="290">
        <v>0</v>
      </c>
      <c r="H340" s="290">
        <v>0</v>
      </c>
      <c r="I340" s="290"/>
      <c r="J340" s="290">
        <v>982.64418145705031</v>
      </c>
    </row>
    <row r="341" spans="1:10" ht="13">
      <c r="A341" s="1">
        <v>5425</v>
      </c>
      <c r="B341" s="2" t="s">
        <v>236</v>
      </c>
      <c r="C341" s="290">
        <v>4592</v>
      </c>
      <c r="D341" s="290">
        <v>4487</v>
      </c>
      <c r="E341" s="290">
        <v>4350.9179999999997</v>
      </c>
      <c r="F341" s="290">
        <v>4418.9859999999999</v>
      </c>
      <c r="G341" s="290">
        <v>4418.9679999999998</v>
      </c>
      <c r="H341" s="290">
        <v>4418.9679999999998</v>
      </c>
      <c r="I341" s="290"/>
      <c r="J341" s="290"/>
    </row>
    <row r="342" spans="1:10" ht="13">
      <c r="A342" s="1">
        <v>5426</v>
      </c>
      <c r="B342" s="2" t="s">
        <v>237</v>
      </c>
      <c r="C342" s="290">
        <v>3565</v>
      </c>
      <c r="D342" s="290">
        <v>3513</v>
      </c>
      <c r="E342" s="290">
        <v>3424.6080000000002</v>
      </c>
      <c r="F342" s="290">
        <v>3503.973</v>
      </c>
      <c r="G342" s="290">
        <v>3480.527</v>
      </c>
      <c r="H342" s="290">
        <v>3480.527</v>
      </c>
      <c r="I342" s="290"/>
      <c r="J342" s="290">
        <v>655.09612097136687</v>
      </c>
    </row>
    <row r="343" spans="1:10" ht="13">
      <c r="A343" s="1">
        <v>5427</v>
      </c>
      <c r="B343" s="2" t="s">
        <v>238</v>
      </c>
      <c r="C343" s="290">
        <v>0</v>
      </c>
      <c r="D343" s="290"/>
      <c r="E343" s="290"/>
      <c r="F343" s="290"/>
      <c r="G343" s="290">
        <v>0</v>
      </c>
      <c r="H343" s="290">
        <v>0</v>
      </c>
      <c r="I343" s="290"/>
      <c r="J343" s="290">
        <v>10330.501885429025</v>
      </c>
    </row>
    <row r="344" spans="1:10" ht="13">
      <c r="A344" s="1">
        <v>5428</v>
      </c>
      <c r="B344" s="2" t="s">
        <v>239</v>
      </c>
      <c r="C344" s="290">
        <v>166</v>
      </c>
      <c r="D344" s="290">
        <v>270</v>
      </c>
      <c r="E344" s="290">
        <v>157.00299999999999</v>
      </c>
      <c r="F344" s="290">
        <v>159.566</v>
      </c>
      <c r="G344" s="290">
        <v>195.523</v>
      </c>
      <c r="H344" s="290">
        <v>195.523</v>
      </c>
      <c r="I344" s="290"/>
      <c r="J344" s="290">
        <v>1947.0912484426735</v>
      </c>
    </row>
    <row r="345" spans="1:10" ht="13">
      <c r="A345" s="1">
        <v>5429</v>
      </c>
      <c r="B345" s="2" t="s">
        <v>240</v>
      </c>
      <c r="C345" s="290">
        <v>2946</v>
      </c>
      <c r="D345" s="290">
        <v>2734</v>
      </c>
      <c r="E345" s="290">
        <v>2812.4250000000002</v>
      </c>
      <c r="F345" s="290">
        <v>2867.491</v>
      </c>
      <c r="G345" s="290">
        <v>2804.6386666666672</v>
      </c>
      <c r="H345" s="290">
        <v>2804.6386666666672</v>
      </c>
      <c r="I345" s="290"/>
      <c r="J345" s="290">
        <v>5002.3867681952433</v>
      </c>
    </row>
    <row r="346" spans="1:10" ht="13">
      <c r="A346" s="1">
        <v>5430</v>
      </c>
      <c r="B346" s="2" t="s">
        <v>244</v>
      </c>
      <c r="C346" s="290">
        <v>1618</v>
      </c>
      <c r="D346" s="290">
        <v>1601</v>
      </c>
      <c r="E346" s="290">
        <v>1573.11</v>
      </c>
      <c r="F346" s="290">
        <v>1611.357</v>
      </c>
      <c r="G346" s="290">
        <v>1595.1556666666665</v>
      </c>
      <c r="H346" s="290">
        <v>1595.1556666666665</v>
      </c>
      <c r="I346" s="290"/>
      <c r="J346" s="290"/>
    </row>
    <row r="347" spans="1:10" ht="13">
      <c r="A347" s="1">
        <v>5432</v>
      </c>
      <c r="B347" s="2" t="s">
        <v>246</v>
      </c>
      <c r="C347" s="290">
        <v>0</v>
      </c>
      <c r="D347" s="290"/>
      <c r="E347" s="290"/>
      <c r="F347" s="290"/>
      <c r="G347" s="290">
        <v>0</v>
      </c>
      <c r="H347" s="290">
        <v>0</v>
      </c>
      <c r="I347" s="290"/>
      <c r="J347" s="290">
        <v>6430.6782830575366</v>
      </c>
    </row>
    <row r="348" spans="1:10" ht="13">
      <c r="A348" s="1">
        <v>5433</v>
      </c>
      <c r="B348" s="2" t="s">
        <v>247</v>
      </c>
      <c r="C348" s="290">
        <v>0</v>
      </c>
      <c r="D348" s="290"/>
      <c r="E348" s="290"/>
      <c r="F348" s="290"/>
      <c r="G348" s="290">
        <v>0</v>
      </c>
      <c r="H348" s="290">
        <v>0</v>
      </c>
      <c r="I348" s="290"/>
      <c r="J348" s="290">
        <v>1826.9902929312564</v>
      </c>
    </row>
    <row r="349" spans="1:10" ht="13">
      <c r="A349" s="1">
        <v>5434</v>
      </c>
      <c r="B349" s="2" t="s">
        <v>249</v>
      </c>
      <c r="C349" s="290">
        <v>0</v>
      </c>
      <c r="D349" s="290"/>
      <c r="E349" s="290"/>
      <c r="F349" s="290"/>
      <c r="G349" s="290">
        <v>0</v>
      </c>
      <c r="H349" s="290">
        <v>0</v>
      </c>
      <c r="I349" s="290">
        <v>1507</v>
      </c>
      <c r="J349" s="290">
        <v>7565.268370351002</v>
      </c>
    </row>
    <row r="350" spans="1:10" ht="13">
      <c r="A350" s="1">
        <v>5435</v>
      </c>
      <c r="B350" s="2" t="s">
        <v>250</v>
      </c>
      <c r="C350" s="290">
        <v>0</v>
      </c>
      <c r="D350" s="290"/>
      <c r="E350" s="290"/>
      <c r="F350" s="290"/>
      <c r="G350" s="290">
        <v>0</v>
      </c>
      <c r="H350" s="290">
        <v>0</v>
      </c>
      <c r="I350" s="290"/>
      <c r="J350" s="290">
        <v>5556.4889038501906</v>
      </c>
    </row>
    <row r="351" spans="1:10" ht="13">
      <c r="A351" s="1">
        <v>5436</v>
      </c>
      <c r="B351" s="2" t="s">
        <v>251</v>
      </c>
      <c r="C351" s="290">
        <v>0</v>
      </c>
      <c r="D351" s="290"/>
      <c r="E351" s="290"/>
      <c r="F351" s="290"/>
      <c r="G351" s="290">
        <v>0</v>
      </c>
      <c r="H351" s="290">
        <v>0</v>
      </c>
      <c r="I351" s="290"/>
      <c r="J351" s="290"/>
    </row>
    <row r="352" spans="1:10" ht="13">
      <c r="A352" s="1">
        <v>5437</v>
      </c>
      <c r="B352" s="2" t="s">
        <v>252</v>
      </c>
      <c r="C352" s="290">
        <v>0</v>
      </c>
      <c r="D352" s="290"/>
      <c r="E352" s="290"/>
      <c r="F352" s="290"/>
      <c r="G352" s="290">
        <v>0</v>
      </c>
      <c r="H352" s="290">
        <v>0</v>
      </c>
      <c r="I352" s="290"/>
      <c r="J352" s="290"/>
    </row>
    <row r="353" spans="1:10" ht="13">
      <c r="A353" s="1">
        <v>5438</v>
      </c>
      <c r="B353" s="2" t="s">
        <v>253</v>
      </c>
      <c r="C353" s="290">
        <v>2033</v>
      </c>
      <c r="D353" s="290">
        <v>2125</v>
      </c>
      <c r="E353" s="290">
        <v>2133.2080000000001</v>
      </c>
      <c r="F353" s="290">
        <v>2087.723</v>
      </c>
      <c r="G353" s="290">
        <v>2115.3103333333333</v>
      </c>
      <c r="H353" s="290">
        <v>2115.3103333333333</v>
      </c>
      <c r="I353" s="290">
        <v>1309</v>
      </c>
      <c r="J353" s="290">
        <v>3643.9721729032281</v>
      </c>
    </row>
    <row r="354" spans="1:10" ht="13">
      <c r="A354" s="1">
        <v>5439</v>
      </c>
      <c r="B354" s="2" t="s">
        <v>254</v>
      </c>
      <c r="C354" s="290">
        <v>0</v>
      </c>
      <c r="D354" s="290"/>
      <c r="E354" s="290"/>
      <c r="F354" s="290"/>
      <c r="G354" s="290">
        <v>0</v>
      </c>
      <c r="H354" s="290">
        <v>0</v>
      </c>
      <c r="I354" s="290"/>
      <c r="J354" s="290"/>
    </row>
    <row r="355" spans="1:10" ht="13">
      <c r="A355" s="1">
        <v>5440</v>
      </c>
      <c r="B355" s="2" t="s">
        <v>255</v>
      </c>
      <c r="C355" s="290">
        <v>0</v>
      </c>
      <c r="D355" s="290"/>
      <c r="E355" s="290"/>
      <c r="F355" s="290"/>
      <c r="G355" s="290">
        <v>0</v>
      </c>
      <c r="H355" s="290">
        <v>0</v>
      </c>
      <c r="I355" s="290">
        <v>3861</v>
      </c>
      <c r="J355" s="290"/>
    </row>
    <row r="356" spans="1:10" ht="13">
      <c r="A356" s="1">
        <v>5441</v>
      </c>
      <c r="B356" s="2" t="s">
        <v>256</v>
      </c>
      <c r="C356" s="290">
        <v>0</v>
      </c>
      <c r="D356" s="290"/>
      <c r="E356" s="290"/>
      <c r="F356" s="290"/>
      <c r="G356" s="290">
        <v>0</v>
      </c>
      <c r="H356" s="290">
        <v>0</v>
      </c>
      <c r="I356" s="290"/>
      <c r="J356" s="290"/>
    </row>
    <row r="357" spans="1:10" ht="13">
      <c r="A357" s="1">
        <v>5442</v>
      </c>
      <c r="B357" s="2" t="s">
        <v>257</v>
      </c>
      <c r="C357" s="290">
        <v>0</v>
      </c>
      <c r="D357" s="290"/>
      <c r="E357" s="290"/>
      <c r="F357" s="290"/>
      <c r="G357" s="290">
        <v>0</v>
      </c>
      <c r="H357" s="290">
        <v>0</v>
      </c>
      <c r="I357" s="290"/>
      <c r="J357" s="290">
        <v>1921.6152881826758</v>
      </c>
    </row>
    <row r="358" spans="1:10" ht="13">
      <c r="A358" s="1">
        <v>5443</v>
      </c>
      <c r="B358" s="2" t="s">
        <v>258</v>
      </c>
      <c r="C358" s="290">
        <v>0</v>
      </c>
      <c r="D358" s="290"/>
      <c r="E358" s="290"/>
      <c r="F358" s="290"/>
      <c r="G358" s="290">
        <v>0</v>
      </c>
      <c r="H358" s="290">
        <v>0</v>
      </c>
      <c r="I358" s="290">
        <v>2045.9999999999998</v>
      </c>
      <c r="J358" s="290">
        <v>1073.6297538141848</v>
      </c>
    </row>
    <row r="359" spans="1:10" ht="13">
      <c r="A359" s="1">
        <v>5444</v>
      </c>
      <c r="B359" s="2" t="s">
        <v>260</v>
      </c>
      <c r="C359" s="290">
        <v>4431</v>
      </c>
      <c r="D359" s="290">
        <v>4478</v>
      </c>
      <c r="E359" s="290">
        <v>4422.1540000000005</v>
      </c>
      <c r="F359" s="290">
        <v>4478.9250000000002</v>
      </c>
      <c r="G359" s="290">
        <v>4459.6930000000002</v>
      </c>
      <c r="H359" s="290">
        <v>4459.6930000000002</v>
      </c>
      <c r="I359" s="290"/>
      <c r="J359" s="290">
        <v>2958.8508130540063</v>
      </c>
    </row>
    <row r="360" spans="1:10" ht="13">
      <c r="A360" s="1"/>
      <c r="B360" s="2"/>
      <c r="C360" s="289"/>
      <c r="D360" s="289"/>
      <c r="E360" s="289"/>
      <c r="F360" s="289"/>
      <c r="G360" s="289"/>
      <c r="H360" s="289"/>
      <c r="I360" s="290"/>
      <c r="J360" s="290"/>
    </row>
    <row r="361" spans="1:10" ht="13">
      <c r="A361" s="1"/>
      <c r="B361" s="2" t="s">
        <v>261</v>
      </c>
      <c r="C361" s="289">
        <v>1389158</v>
      </c>
      <c r="D361" s="289">
        <v>1417732</v>
      </c>
      <c r="E361" s="289">
        <v>1389896.4200000009</v>
      </c>
      <c r="F361" s="289">
        <v>1403496.4570000002</v>
      </c>
      <c r="G361" s="289">
        <v>1403708.2923333335</v>
      </c>
      <c r="H361" s="289">
        <f t="shared" ref="H361:J361" si="1">SUM(H4:H360)</f>
        <v>1403708.2923333335</v>
      </c>
      <c r="I361" s="289">
        <f t="shared" si="1"/>
        <v>184665.99799999999</v>
      </c>
      <c r="J361" s="289">
        <f t="shared" si="1"/>
        <v>656249.99999999977</v>
      </c>
    </row>
    <row r="363" spans="1:10">
      <c r="C363" s="5"/>
      <c r="D363" s="5"/>
      <c r="E363" s="5"/>
      <c r="F363" s="5"/>
      <c r="G363" s="5"/>
      <c r="H363" s="5"/>
      <c r="I363">
        <v>183615.38461538462</v>
      </c>
    </row>
    <row r="364" spans="1:10">
      <c r="C364" s="5"/>
      <c r="D364" s="5"/>
      <c r="E364" s="5"/>
      <c r="F364" s="5"/>
      <c r="G364" s="5"/>
      <c r="H364" s="5"/>
      <c r="I364" s="5">
        <f>+I363-I361</f>
        <v>-1050.613384615368</v>
      </c>
    </row>
    <row r="365" spans="1:10">
      <c r="C365" s="5"/>
      <c r="D365" s="5"/>
      <c r="E365" s="5"/>
      <c r="F365" s="5"/>
      <c r="G365" s="5"/>
      <c r="H365" s="5"/>
    </row>
    <row r="367" spans="1:10">
      <c r="J367" s="5"/>
    </row>
    <row r="368" spans="1:10">
      <c r="J368" s="5"/>
    </row>
    <row r="369" spans="10:10">
      <c r="J369" s="5"/>
    </row>
    <row r="370" spans="10:10">
      <c r="J370" s="5"/>
    </row>
    <row r="371" spans="10:10">
      <c r="J371" s="5"/>
    </row>
    <row r="372" spans="10:10">
      <c r="J372" s="5"/>
    </row>
    <row r="373" spans="10:10">
      <c r="J373" s="5"/>
    </row>
    <row r="374" spans="10:10">
      <c r="J374" s="5"/>
    </row>
    <row r="375" spans="10:10">
      <c r="J375" s="5"/>
    </row>
    <row r="376" spans="10:10">
      <c r="J376" s="5"/>
    </row>
    <row r="377" spans="10:10">
      <c r="J377" s="5"/>
    </row>
  </sheetData>
  <sheetProtection algorithmName="SHA-512" hashValue="AxweiYhTlvNxRKqgf6wORwlaYS99stBuwm09vG0KWMQfyea+rFOW0A1LOVDEswMucH+Y6fCqE0fl2jwpaTviQA==" saltValue="4UF1AMi75YidvHqIPQzr0g=="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2.5"/>
  <cols>
    <col min="1" max="1" width="5" bestFit="1" customWidth="1"/>
    <col min="2" max="2" width="17.81640625" bestFit="1" customWidth="1"/>
    <col min="3" max="3" width="12.7265625" customWidth="1"/>
    <col min="11" max="12" width="12.81640625" bestFit="1" customWidth="1"/>
    <col min="13" max="14" width="11.54296875" bestFit="1" customWidth="1"/>
    <col min="15" max="15" width="15" bestFit="1" customWidth="1"/>
    <col min="16" max="16" width="14.81640625" bestFit="1" customWidth="1"/>
    <col min="17" max="17" width="13.81640625" bestFit="1" customWidth="1"/>
    <col min="20" max="20" width="16.54296875" customWidth="1"/>
  </cols>
  <sheetData>
    <row r="1" spans="1:22" s="85" customFormat="1" ht="13">
      <c r="A1"/>
      <c r="B1" s="74" t="s">
        <v>719</v>
      </c>
      <c r="C1" s="1280"/>
      <c r="D1" s="1280"/>
      <c r="E1" s="1280"/>
      <c r="F1" s="1280"/>
      <c r="G1" s="1280"/>
      <c r="H1" s="1280"/>
      <c r="I1" s="1280"/>
      <c r="J1"/>
      <c r="K1"/>
      <c r="L1"/>
      <c r="M1"/>
      <c r="N1"/>
      <c r="O1"/>
      <c r="P1" s="1281" t="s">
        <v>972</v>
      </c>
      <c r="Q1" s="1281"/>
      <c r="R1" s="1281"/>
      <c r="S1" s="1281"/>
      <c r="T1" s="1281"/>
      <c r="U1" s="1281"/>
      <c r="V1" s="1281"/>
    </row>
    <row r="2" spans="1:22" s="85" customFormat="1" ht="52">
      <c r="A2" s="120" t="s">
        <v>775</v>
      </c>
      <c r="B2" s="120" t="s">
        <v>776</v>
      </c>
      <c r="C2" s="122"/>
      <c r="D2" s="122" t="s">
        <v>353</v>
      </c>
      <c r="E2" s="122" t="s">
        <v>348</v>
      </c>
      <c r="F2" s="122" t="s">
        <v>286</v>
      </c>
      <c r="G2" s="122" t="s">
        <v>288</v>
      </c>
      <c r="H2" s="122" t="s">
        <v>916</v>
      </c>
      <c r="I2" s="122" t="s">
        <v>918</v>
      </c>
      <c r="J2" s="122" t="s">
        <v>919</v>
      </c>
      <c r="K2" s="122" t="s">
        <v>739</v>
      </c>
      <c r="L2" s="122" t="s">
        <v>740</v>
      </c>
      <c r="M2" s="122" t="s">
        <v>741</v>
      </c>
      <c r="N2" s="122" t="s">
        <v>742</v>
      </c>
      <c r="O2" s="122" t="s">
        <v>743</v>
      </c>
      <c r="P2" s="120" t="s">
        <v>966</v>
      </c>
      <c r="Q2" s="120" t="s">
        <v>967</v>
      </c>
      <c r="R2" s="120" t="s">
        <v>968</v>
      </c>
      <c r="S2" s="120" t="s">
        <v>969</v>
      </c>
      <c r="T2" s="122" t="s">
        <v>970</v>
      </c>
      <c r="U2" s="122" t="s">
        <v>971</v>
      </c>
      <c r="V2" s="120" t="s">
        <v>973</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4">
      <c r="A4" s="1">
        <v>101</v>
      </c>
      <c r="B4" s="2" t="s">
        <v>783</v>
      </c>
      <c r="C4" s="139"/>
      <c r="D4" s="139">
        <v>28.234999999999999</v>
      </c>
      <c r="E4" s="109">
        <v>1</v>
      </c>
      <c r="F4" s="109">
        <v>57</v>
      </c>
      <c r="G4" s="86">
        <f>IF(E4=3,IF(F4&lt;36,35,IF(F4&lt;39,34,IF(F4&lt;42,33,IF(F4&lt;45,32,IF(F4&lt;47,31,30))))),IF(E4=4,4,0))</f>
        <v>0</v>
      </c>
      <c r="H4">
        <v>3200</v>
      </c>
      <c r="I4" s="86">
        <v>27582</v>
      </c>
      <c r="J4">
        <v>28092</v>
      </c>
      <c r="K4" s="62">
        <v>330934</v>
      </c>
      <c r="L4" s="71">
        <v>130251</v>
      </c>
      <c r="M4" s="71">
        <v>1775</v>
      </c>
      <c r="N4" s="71">
        <v>5872.55908129</v>
      </c>
      <c r="O4" s="62">
        <v>3717.59561128</v>
      </c>
      <c r="P4" s="62">
        <v>6288</v>
      </c>
      <c r="Q4" s="62">
        <v>12062</v>
      </c>
      <c r="R4" s="62">
        <v>6520</v>
      </c>
      <c r="S4">
        <v>2739</v>
      </c>
      <c r="T4" s="126">
        <v>1349</v>
      </c>
      <c r="U4">
        <v>262</v>
      </c>
      <c r="V4" s="62">
        <f>P4+Q4+R4+S4+T4+U4</f>
        <v>29220</v>
      </c>
    </row>
    <row r="5" spans="1:22" s="85" customFormat="1" ht="14">
      <c r="A5" s="1">
        <v>104</v>
      </c>
      <c r="B5" s="2" t="s">
        <v>784</v>
      </c>
      <c r="C5" s="139"/>
      <c r="D5" s="139">
        <v>-56.292000000000002</v>
      </c>
      <c r="E5" s="109">
        <v>1</v>
      </c>
      <c r="F5" s="109">
        <v>80</v>
      </c>
      <c r="G5" s="86">
        <f t="shared" ref="G5:G68" si="0">IF(E5=3,IF(F5&lt;36,35,IF(F5&lt;39,34,IF(F5&lt;42,33,IF(F5&lt;45,32,IF(F5&lt;47,31,30))))),IF(E5=4,4,0))</f>
        <v>0</v>
      </c>
      <c r="H5">
        <v>3300</v>
      </c>
      <c r="I5" s="86">
        <v>28040</v>
      </c>
      <c r="J5">
        <v>29073</v>
      </c>
      <c r="K5" s="62">
        <v>270502</v>
      </c>
      <c r="L5" s="71">
        <v>158235</v>
      </c>
      <c r="M5" s="71">
        <v>6022</v>
      </c>
      <c r="N5" s="71">
        <v>8432.1910264899998</v>
      </c>
      <c r="O5" s="62">
        <v>3811.8880208599999</v>
      </c>
      <c r="P5" s="62">
        <v>6462</v>
      </c>
      <c r="Q5" s="62">
        <v>12797</v>
      </c>
      <c r="R5" s="62">
        <v>6630</v>
      </c>
      <c r="S5">
        <v>2971</v>
      </c>
      <c r="T5" s="126">
        <v>1196</v>
      </c>
      <c r="U5">
        <v>209</v>
      </c>
      <c r="V5" s="62">
        <f t="shared" ref="V5:V68" si="1">P5+Q5+R5+S5+T5+U5</f>
        <v>30265</v>
      </c>
    </row>
    <row r="6" spans="1:22" s="85" customFormat="1" ht="14">
      <c r="A6" s="1">
        <v>105</v>
      </c>
      <c r="B6" s="2" t="s">
        <v>785</v>
      </c>
      <c r="C6" s="139"/>
      <c r="D6" s="139">
        <v>-35.21</v>
      </c>
      <c r="E6" s="109">
        <v>1</v>
      </c>
      <c r="F6" s="109">
        <v>71</v>
      </c>
      <c r="G6" s="86">
        <f t="shared" si="0"/>
        <v>0</v>
      </c>
      <c r="H6">
        <v>5500</v>
      </c>
      <c r="I6" s="86">
        <v>49753</v>
      </c>
      <c r="J6">
        <v>51053</v>
      </c>
      <c r="K6" s="62">
        <v>570631</v>
      </c>
      <c r="L6" s="71">
        <v>263760</v>
      </c>
      <c r="M6" s="71">
        <v>5324</v>
      </c>
      <c r="N6" s="71">
        <v>12697.1216229</v>
      </c>
      <c r="O6" s="62">
        <v>6729.6404040899997</v>
      </c>
      <c r="P6" s="62">
        <v>11766</v>
      </c>
      <c r="Q6" s="62">
        <v>22242</v>
      </c>
      <c r="R6" s="62">
        <v>11372</v>
      </c>
      <c r="S6">
        <v>4877</v>
      </c>
      <c r="T6" s="126">
        <v>2132</v>
      </c>
      <c r="U6">
        <v>416</v>
      </c>
      <c r="V6" s="62">
        <f t="shared" si="1"/>
        <v>52805</v>
      </c>
    </row>
    <row r="7" spans="1:22" s="85" customFormat="1" ht="14">
      <c r="A7" s="1">
        <v>106</v>
      </c>
      <c r="B7" s="2" t="s">
        <v>786</v>
      </c>
      <c r="C7" s="139"/>
      <c r="D7" s="139">
        <v>-46.472999999999999</v>
      </c>
      <c r="E7" s="109">
        <v>1</v>
      </c>
      <c r="F7" s="109">
        <v>77</v>
      </c>
      <c r="G7" s="86">
        <f t="shared" si="0"/>
        <v>0</v>
      </c>
      <c r="H7">
        <v>7300</v>
      </c>
      <c r="I7" s="86">
        <v>70418</v>
      </c>
      <c r="J7">
        <v>71976</v>
      </c>
      <c r="K7" s="62">
        <v>768849</v>
      </c>
      <c r="L7" s="71">
        <v>363436</v>
      </c>
      <c r="M7" s="71">
        <v>5028</v>
      </c>
      <c r="N7" s="71">
        <v>16180.69088867</v>
      </c>
      <c r="O7" s="62">
        <v>9419.4298597600009</v>
      </c>
      <c r="P7" s="62">
        <v>16513</v>
      </c>
      <c r="Q7" s="62">
        <v>31192</v>
      </c>
      <c r="R7" s="62">
        <v>16271</v>
      </c>
      <c r="S7">
        <v>7046</v>
      </c>
      <c r="T7" s="126">
        <v>2982</v>
      </c>
      <c r="U7">
        <v>575</v>
      </c>
      <c r="V7" s="62">
        <f t="shared" si="1"/>
        <v>74579</v>
      </c>
    </row>
    <row r="8" spans="1:22" s="85" customFormat="1" ht="14">
      <c r="A8" s="1">
        <v>111</v>
      </c>
      <c r="B8" s="2" t="s">
        <v>787</v>
      </c>
      <c r="C8" s="139"/>
      <c r="D8" s="139">
        <v>-75.998000000000005</v>
      </c>
      <c r="E8" s="109">
        <v>1</v>
      </c>
      <c r="F8" s="109">
        <v>72</v>
      </c>
      <c r="G8" s="86">
        <f t="shared" si="0"/>
        <v>0</v>
      </c>
      <c r="H8">
        <v>1100</v>
      </c>
      <c r="I8" s="86">
        <v>3773</v>
      </c>
      <c r="J8">
        <v>3961</v>
      </c>
      <c r="K8" s="62">
        <v>52250</v>
      </c>
      <c r="L8" s="71">
        <v>17956</v>
      </c>
      <c r="M8" s="71">
        <v>0</v>
      </c>
      <c r="N8" s="71">
        <v>0</v>
      </c>
      <c r="O8" s="62">
        <v>520.87858313000004</v>
      </c>
      <c r="P8" s="62">
        <v>823</v>
      </c>
      <c r="Q8" s="62">
        <v>1447</v>
      </c>
      <c r="R8" s="62">
        <v>1301</v>
      </c>
      <c r="S8">
        <v>417</v>
      </c>
      <c r="T8" s="126">
        <v>148</v>
      </c>
      <c r="U8">
        <v>24</v>
      </c>
      <c r="V8" s="62">
        <f t="shared" si="1"/>
        <v>4160</v>
      </c>
    </row>
    <row r="9" spans="1:22" s="85" customFormat="1" ht="14">
      <c r="A9" s="1">
        <v>118</v>
      </c>
      <c r="B9" s="2" t="s">
        <v>788</v>
      </c>
      <c r="C9" s="139"/>
      <c r="D9" s="139">
        <v>28.334</v>
      </c>
      <c r="E9" s="109">
        <v>3</v>
      </c>
      <c r="F9" s="109">
        <v>42</v>
      </c>
      <c r="G9" s="86">
        <f t="shared" si="0"/>
        <v>32</v>
      </c>
      <c r="H9">
        <v>1300</v>
      </c>
      <c r="I9" s="86">
        <v>1425</v>
      </c>
      <c r="J9">
        <v>1429</v>
      </c>
      <c r="K9" s="62">
        <v>37025</v>
      </c>
      <c r="L9" s="71">
        <v>4524</v>
      </c>
      <c r="M9" s="71">
        <v>0</v>
      </c>
      <c r="N9" s="71">
        <v>263.82171364999999</v>
      </c>
      <c r="O9" s="62">
        <v>226.90099609999999</v>
      </c>
      <c r="P9" s="62">
        <v>335</v>
      </c>
      <c r="Q9" s="62">
        <v>521</v>
      </c>
      <c r="R9" s="62">
        <v>317</v>
      </c>
      <c r="S9">
        <v>153</v>
      </c>
      <c r="T9" s="126">
        <v>73</v>
      </c>
      <c r="U9">
        <v>15</v>
      </c>
      <c r="V9" s="62">
        <f t="shared" si="1"/>
        <v>1414</v>
      </c>
    </row>
    <row r="10" spans="1:22" s="85" customFormat="1" ht="14">
      <c r="A10" s="1">
        <v>119</v>
      </c>
      <c r="B10" s="2" t="s">
        <v>789</v>
      </c>
      <c r="C10" s="139"/>
      <c r="D10" s="139">
        <v>-121.703</v>
      </c>
      <c r="E10" s="109">
        <v>3</v>
      </c>
      <c r="F10" s="109">
        <v>52</v>
      </c>
      <c r="G10" s="86">
        <f t="shared" si="0"/>
        <v>30</v>
      </c>
      <c r="H10">
        <v>1200</v>
      </c>
      <c r="I10" s="86">
        <v>3439</v>
      </c>
      <c r="J10">
        <v>3463</v>
      </c>
      <c r="K10" s="62">
        <v>56048</v>
      </c>
      <c r="L10" s="71">
        <v>10086</v>
      </c>
      <c r="M10" s="71">
        <v>0</v>
      </c>
      <c r="N10" s="71">
        <v>352.51071525999998</v>
      </c>
      <c r="O10" s="62">
        <v>476.96604919999999</v>
      </c>
      <c r="P10" s="62">
        <v>705</v>
      </c>
      <c r="Q10" s="62">
        <v>1310</v>
      </c>
      <c r="R10" s="62">
        <v>838</v>
      </c>
      <c r="S10">
        <v>414</v>
      </c>
      <c r="T10" s="126">
        <v>179</v>
      </c>
      <c r="U10">
        <v>30</v>
      </c>
      <c r="V10" s="62">
        <f t="shared" si="1"/>
        <v>3476</v>
      </c>
    </row>
    <row r="11" spans="1:22" ht="14">
      <c r="A11" s="1">
        <v>121</v>
      </c>
      <c r="B11" s="2" t="s">
        <v>790</v>
      </c>
      <c r="C11" s="139"/>
      <c r="D11" s="139">
        <v>-216.68799999999999</v>
      </c>
      <c r="E11" s="109">
        <v>3</v>
      </c>
      <c r="F11" s="109">
        <v>44</v>
      </c>
      <c r="G11" s="86">
        <f t="shared" si="0"/>
        <v>32</v>
      </c>
      <c r="H11">
        <v>300</v>
      </c>
      <c r="I11" s="86">
        <v>667</v>
      </c>
      <c r="J11">
        <v>649</v>
      </c>
      <c r="K11" s="62">
        <v>26361</v>
      </c>
      <c r="L11" s="71">
        <v>2757</v>
      </c>
      <c r="M11" s="71">
        <v>0</v>
      </c>
      <c r="N11" s="71">
        <v>0</v>
      </c>
      <c r="O11" s="62">
        <v>127.41025719</v>
      </c>
      <c r="P11" s="62">
        <v>140</v>
      </c>
      <c r="Q11" s="62">
        <v>243</v>
      </c>
      <c r="R11" s="62">
        <v>157</v>
      </c>
      <c r="S11">
        <v>80</v>
      </c>
      <c r="T11" s="126">
        <v>47</v>
      </c>
      <c r="U11">
        <v>11</v>
      </c>
      <c r="V11" s="62">
        <f t="shared" si="1"/>
        <v>678</v>
      </c>
    </row>
    <row r="12" spans="1:22" ht="14">
      <c r="A12" s="1">
        <v>122</v>
      </c>
      <c r="B12" s="2" t="s">
        <v>791</v>
      </c>
      <c r="C12" s="139"/>
      <c r="D12" s="139">
        <v>24.501999999999999</v>
      </c>
      <c r="E12" s="109">
        <v>1</v>
      </c>
      <c r="F12" s="109">
        <v>64</v>
      </c>
      <c r="G12" s="86">
        <f t="shared" si="0"/>
        <v>0</v>
      </c>
      <c r="H12">
        <v>1200</v>
      </c>
      <c r="I12" s="86">
        <v>4962</v>
      </c>
      <c r="J12">
        <v>5039</v>
      </c>
      <c r="K12" s="62">
        <v>71852</v>
      </c>
      <c r="L12" s="71">
        <v>25039</v>
      </c>
      <c r="M12" s="71">
        <v>0</v>
      </c>
      <c r="N12" s="71">
        <v>881.27678815000002</v>
      </c>
      <c r="O12" s="62">
        <v>692.69538065999996</v>
      </c>
      <c r="P12" s="62">
        <v>1106</v>
      </c>
      <c r="Q12" s="62">
        <v>2148</v>
      </c>
      <c r="R12" s="62">
        <v>1178</v>
      </c>
      <c r="S12">
        <v>448</v>
      </c>
      <c r="T12" s="126">
        <v>224</v>
      </c>
      <c r="U12">
        <v>38</v>
      </c>
      <c r="V12" s="62">
        <f t="shared" si="1"/>
        <v>5142</v>
      </c>
    </row>
    <row r="13" spans="1:22" ht="14">
      <c r="A13" s="1">
        <v>123</v>
      </c>
      <c r="B13" s="2" t="s">
        <v>792</v>
      </c>
      <c r="C13" s="139"/>
      <c r="D13" s="139">
        <v>-96.055000000000007</v>
      </c>
      <c r="E13" s="109">
        <v>1</v>
      </c>
      <c r="F13" s="109">
        <v>78</v>
      </c>
      <c r="G13" s="86">
        <f t="shared" si="0"/>
        <v>0</v>
      </c>
      <c r="H13">
        <v>1000</v>
      </c>
      <c r="I13" s="86">
        <v>4798</v>
      </c>
      <c r="J13">
        <v>5073</v>
      </c>
      <c r="K13" s="62">
        <v>53731</v>
      </c>
      <c r="L13" s="71">
        <v>34119</v>
      </c>
      <c r="M13" s="71">
        <v>0</v>
      </c>
      <c r="N13" s="71">
        <v>281.78404309000001</v>
      </c>
      <c r="O13" s="62">
        <v>699.19606014999999</v>
      </c>
      <c r="P13" s="62">
        <v>1202</v>
      </c>
      <c r="Q13" s="62">
        <v>2146</v>
      </c>
      <c r="R13" s="62">
        <v>1221</v>
      </c>
      <c r="S13">
        <v>462</v>
      </c>
      <c r="T13" s="126">
        <v>193</v>
      </c>
      <c r="U13">
        <v>41</v>
      </c>
      <c r="V13" s="62">
        <f t="shared" si="1"/>
        <v>5265</v>
      </c>
    </row>
    <row r="14" spans="1:22" ht="14">
      <c r="A14" s="1">
        <v>124</v>
      </c>
      <c r="B14" s="2" t="s">
        <v>793</v>
      </c>
      <c r="C14" s="139"/>
      <c r="D14" s="139">
        <v>-47.185000000000002</v>
      </c>
      <c r="E14" s="109">
        <v>1</v>
      </c>
      <c r="F14" s="109">
        <v>75</v>
      </c>
      <c r="G14" s="86">
        <f t="shared" si="0"/>
        <v>0</v>
      </c>
      <c r="H14">
        <v>1700</v>
      </c>
      <c r="I14" s="86">
        <v>14089</v>
      </c>
      <c r="J14">
        <v>14472</v>
      </c>
      <c r="K14" s="62">
        <v>132459</v>
      </c>
      <c r="L14" s="71">
        <v>74422</v>
      </c>
      <c r="M14" s="71">
        <v>0</v>
      </c>
      <c r="N14" s="71">
        <v>5997.1727417800003</v>
      </c>
      <c r="O14" s="62">
        <v>1887.87448825</v>
      </c>
      <c r="P14" s="62">
        <v>3348</v>
      </c>
      <c r="Q14" s="62">
        <v>6255</v>
      </c>
      <c r="R14" s="62">
        <v>3386</v>
      </c>
      <c r="S14">
        <v>1260</v>
      </c>
      <c r="T14" s="126">
        <v>546</v>
      </c>
      <c r="U14">
        <v>114</v>
      </c>
      <c r="V14" s="62">
        <f t="shared" si="1"/>
        <v>14909</v>
      </c>
    </row>
    <row r="15" spans="1:22" ht="14">
      <c r="A15" s="1">
        <v>125</v>
      </c>
      <c r="B15" s="2" t="s">
        <v>794</v>
      </c>
      <c r="C15" s="139"/>
      <c r="D15" s="139">
        <v>11.789</v>
      </c>
      <c r="E15" s="109">
        <v>1</v>
      </c>
      <c r="F15" s="109">
        <v>73</v>
      </c>
      <c r="G15" s="86">
        <f t="shared" si="0"/>
        <v>0</v>
      </c>
      <c r="H15">
        <v>1200</v>
      </c>
      <c r="I15" s="86">
        <v>10203</v>
      </c>
      <c r="J15">
        <v>10509</v>
      </c>
      <c r="K15" s="62">
        <v>132599</v>
      </c>
      <c r="L15" s="71">
        <v>49785</v>
      </c>
      <c r="M15" s="71">
        <v>5730</v>
      </c>
      <c r="N15" s="71">
        <v>2349.69721987</v>
      </c>
      <c r="O15" s="62">
        <v>1440.67263682</v>
      </c>
      <c r="P15" s="62">
        <v>2470</v>
      </c>
      <c r="Q15" s="62">
        <v>4573</v>
      </c>
      <c r="R15" s="62">
        <v>2365</v>
      </c>
      <c r="S15">
        <v>1016</v>
      </c>
      <c r="T15" s="126">
        <v>439</v>
      </c>
      <c r="U15">
        <v>77</v>
      </c>
      <c r="V15" s="62">
        <f t="shared" si="1"/>
        <v>10940</v>
      </c>
    </row>
    <row r="16" spans="1:22" ht="14">
      <c r="A16" s="1">
        <v>127</v>
      </c>
      <c r="B16" s="2" t="s">
        <v>2369</v>
      </c>
      <c r="C16" s="139"/>
      <c r="D16" s="139">
        <v>-66.971999999999994</v>
      </c>
      <c r="E16" s="109">
        <v>1</v>
      </c>
      <c r="F16" s="109">
        <v>70</v>
      </c>
      <c r="G16" s="86">
        <f t="shared" si="0"/>
        <v>0</v>
      </c>
      <c r="H16">
        <v>500</v>
      </c>
      <c r="I16" s="86">
        <v>3355</v>
      </c>
      <c r="J16">
        <v>3525</v>
      </c>
      <c r="K16" s="62">
        <v>43238</v>
      </c>
      <c r="L16" s="71">
        <v>19342</v>
      </c>
      <c r="M16" s="71">
        <v>0</v>
      </c>
      <c r="N16" s="71">
        <v>681.44587313</v>
      </c>
      <c r="O16" s="62">
        <v>487.61246913000002</v>
      </c>
      <c r="P16" s="62">
        <v>893</v>
      </c>
      <c r="Q16" s="62">
        <v>1473</v>
      </c>
      <c r="R16" s="62">
        <v>770</v>
      </c>
      <c r="S16">
        <v>263</v>
      </c>
      <c r="T16" s="126">
        <v>148</v>
      </c>
      <c r="U16">
        <v>29</v>
      </c>
      <c r="V16" s="62">
        <f t="shared" si="1"/>
        <v>3576</v>
      </c>
    </row>
    <row r="17" spans="1:22" ht="14">
      <c r="A17" s="1">
        <v>128</v>
      </c>
      <c r="B17" s="2" t="s">
        <v>796</v>
      </c>
      <c r="C17" s="139"/>
      <c r="D17" s="139">
        <v>-73.875</v>
      </c>
      <c r="E17" s="109">
        <v>1</v>
      </c>
      <c r="F17" s="109">
        <v>63</v>
      </c>
      <c r="G17" s="86">
        <f t="shared" si="0"/>
        <v>0</v>
      </c>
      <c r="H17">
        <v>1600</v>
      </c>
      <c r="I17" s="86">
        <v>7284</v>
      </c>
      <c r="J17">
        <v>7515</v>
      </c>
      <c r="K17" s="62">
        <v>117557</v>
      </c>
      <c r="L17" s="71">
        <v>36405</v>
      </c>
      <c r="M17" s="71">
        <v>0</v>
      </c>
      <c r="N17" s="71">
        <v>1253.9951240299999</v>
      </c>
      <c r="O17" s="62">
        <v>1093.5402512600001</v>
      </c>
      <c r="P17" s="62">
        <v>1693</v>
      </c>
      <c r="Q17" s="62">
        <v>3029</v>
      </c>
      <c r="R17" s="62">
        <v>1763</v>
      </c>
      <c r="S17">
        <v>710</v>
      </c>
      <c r="T17" s="126">
        <v>338</v>
      </c>
      <c r="U17">
        <v>68</v>
      </c>
      <c r="V17" s="62">
        <f t="shared" si="1"/>
        <v>7601</v>
      </c>
    </row>
    <row r="18" spans="1:22" ht="14">
      <c r="A18" s="1">
        <v>135</v>
      </c>
      <c r="B18" s="2" t="s">
        <v>797</v>
      </c>
      <c r="C18" s="139"/>
      <c r="D18" s="139">
        <v>-82.807000000000002</v>
      </c>
      <c r="E18" s="109">
        <v>1</v>
      </c>
      <c r="F18" s="109">
        <v>80</v>
      </c>
      <c r="G18" s="86">
        <f t="shared" si="0"/>
        <v>0</v>
      </c>
      <c r="H18">
        <v>1500</v>
      </c>
      <c r="I18" s="86">
        <v>6465</v>
      </c>
      <c r="J18">
        <v>6825</v>
      </c>
      <c r="K18" s="62">
        <v>70230</v>
      </c>
      <c r="L18" s="71">
        <v>37227</v>
      </c>
      <c r="M18" s="71">
        <v>0</v>
      </c>
      <c r="N18" s="71">
        <v>719.61582319000001</v>
      </c>
      <c r="O18" s="62">
        <v>871.77036192000003</v>
      </c>
      <c r="P18" s="62">
        <v>1532</v>
      </c>
      <c r="Q18" s="62">
        <v>2765</v>
      </c>
      <c r="R18" s="62">
        <v>1611</v>
      </c>
      <c r="S18">
        <v>700</v>
      </c>
      <c r="T18" s="126">
        <v>288</v>
      </c>
      <c r="U18">
        <v>50</v>
      </c>
      <c r="V18" s="62">
        <f t="shared" si="1"/>
        <v>6946</v>
      </c>
    </row>
    <row r="19" spans="1:22" ht="14">
      <c r="A19" s="1">
        <v>136</v>
      </c>
      <c r="B19" s="2" t="s">
        <v>798</v>
      </c>
      <c r="C19" s="139"/>
      <c r="D19" s="139">
        <v>-129.37100000000001</v>
      </c>
      <c r="E19" s="109">
        <v>1</v>
      </c>
      <c r="F19" s="109">
        <v>86</v>
      </c>
      <c r="G19" s="86">
        <f t="shared" si="0"/>
        <v>0</v>
      </c>
      <c r="H19">
        <v>2500</v>
      </c>
      <c r="I19" s="86">
        <v>13712</v>
      </c>
      <c r="J19">
        <v>13914</v>
      </c>
      <c r="K19" s="62">
        <v>148016</v>
      </c>
      <c r="L19" s="71">
        <v>73678</v>
      </c>
      <c r="M19" s="71">
        <v>0</v>
      </c>
      <c r="N19" s="71">
        <v>1371.8729109799999</v>
      </c>
      <c r="O19" s="62">
        <v>1831.2948395000001</v>
      </c>
      <c r="P19" s="62">
        <v>3399</v>
      </c>
      <c r="Q19" s="62">
        <v>5885</v>
      </c>
      <c r="R19" s="62">
        <v>3126</v>
      </c>
      <c r="S19">
        <v>1395</v>
      </c>
      <c r="T19" s="126">
        <v>525</v>
      </c>
      <c r="U19">
        <v>96</v>
      </c>
      <c r="V19" s="62">
        <f t="shared" si="1"/>
        <v>14426</v>
      </c>
    </row>
    <row r="20" spans="1:22" ht="14">
      <c r="A20" s="1">
        <v>137</v>
      </c>
      <c r="B20" s="2" t="s">
        <v>799</v>
      </c>
      <c r="C20" s="139"/>
      <c r="D20" s="139">
        <v>-10.827</v>
      </c>
      <c r="E20" s="109">
        <v>1</v>
      </c>
      <c r="F20" s="109">
        <v>69</v>
      </c>
      <c r="G20" s="86">
        <f t="shared" si="0"/>
        <v>0</v>
      </c>
      <c r="H20">
        <v>1100</v>
      </c>
      <c r="I20" s="86">
        <v>4020</v>
      </c>
      <c r="J20">
        <v>4268</v>
      </c>
      <c r="K20" s="62">
        <v>46868</v>
      </c>
      <c r="L20" s="71">
        <v>28215</v>
      </c>
      <c r="M20" s="71">
        <v>0</v>
      </c>
      <c r="N20" s="71">
        <v>559.07750381999995</v>
      </c>
      <c r="O20" s="62">
        <v>592.36052204999999</v>
      </c>
      <c r="P20" s="62">
        <v>1093</v>
      </c>
      <c r="Q20" s="62">
        <v>1977</v>
      </c>
      <c r="R20" s="62">
        <v>1005</v>
      </c>
      <c r="S20">
        <v>357</v>
      </c>
      <c r="T20" s="126">
        <v>118</v>
      </c>
      <c r="U20">
        <v>23</v>
      </c>
      <c r="V20" s="62">
        <f t="shared" si="1"/>
        <v>4573</v>
      </c>
    </row>
    <row r="21" spans="1:22" ht="14">
      <c r="A21" s="1">
        <v>138</v>
      </c>
      <c r="B21" s="2" t="s">
        <v>800</v>
      </c>
      <c r="C21" s="139"/>
      <c r="D21" s="139">
        <v>-59.637</v>
      </c>
      <c r="E21" s="109">
        <v>1</v>
      </c>
      <c r="F21" s="109">
        <v>86</v>
      </c>
      <c r="G21" s="86">
        <f t="shared" si="0"/>
        <v>0</v>
      </c>
      <c r="H21">
        <v>2500</v>
      </c>
      <c r="I21" s="86">
        <v>4557</v>
      </c>
      <c r="J21">
        <v>4622</v>
      </c>
      <c r="K21" s="62">
        <v>53342</v>
      </c>
      <c r="L21" s="71">
        <v>27163</v>
      </c>
      <c r="M21" s="71">
        <v>0</v>
      </c>
      <c r="N21" s="71">
        <v>746.55931735000001</v>
      </c>
      <c r="O21" s="62">
        <v>610.76177886000005</v>
      </c>
      <c r="P21" s="62">
        <v>1110</v>
      </c>
      <c r="Q21" s="62">
        <v>2147</v>
      </c>
      <c r="R21" s="62">
        <v>1068</v>
      </c>
      <c r="S21">
        <v>378</v>
      </c>
      <c r="T21" s="126">
        <v>117</v>
      </c>
      <c r="U21">
        <v>32</v>
      </c>
      <c r="V21" s="62">
        <f t="shared" si="1"/>
        <v>4852</v>
      </c>
    </row>
    <row r="22" spans="1:22" ht="14">
      <c r="A22" s="1">
        <v>211</v>
      </c>
      <c r="B22" s="2" t="s">
        <v>801</v>
      </c>
      <c r="C22" s="139"/>
      <c r="D22" s="139">
        <v>-55.134</v>
      </c>
      <c r="E22" s="109">
        <v>1</v>
      </c>
      <c r="F22" s="109">
        <v>94</v>
      </c>
      <c r="G22" s="86">
        <f t="shared" si="0"/>
        <v>0</v>
      </c>
      <c r="H22">
        <v>2300</v>
      </c>
      <c r="I22" s="86">
        <v>12990</v>
      </c>
      <c r="J22">
        <v>13825</v>
      </c>
      <c r="K22" s="62">
        <v>107053</v>
      </c>
      <c r="L22" s="71">
        <v>100968</v>
      </c>
      <c r="M22" s="71">
        <v>0</v>
      </c>
      <c r="N22" s="71">
        <v>3328.64417435</v>
      </c>
      <c r="O22" s="62">
        <v>1810.6249512700001</v>
      </c>
      <c r="P22" s="62">
        <v>3749</v>
      </c>
      <c r="Q22" s="62">
        <v>6171</v>
      </c>
      <c r="R22" s="62">
        <v>3288</v>
      </c>
      <c r="S22">
        <v>1123</v>
      </c>
      <c r="T22" s="126">
        <v>318</v>
      </c>
      <c r="U22">
        <v>59</v>
      </c>
      <c r="V22" s="62">
        <f t="shared" si="1"/>
        <v>14708</v>
      </c>
    </row>
    <row r="23" spans="1:22" ht="14">
      <c r="A23" s="1">
        <v>213</v>
      </c>
      <c r="B23" s="2" t="s">
        <v>802</v>
      </c>
      <c r="C23" s="139"/>
      <c r="D23" s="139">
        <v>-46.978999999999999</v>
      </c>
      <c r="E23" s="109">
        <v>1</v>
      </c>
      <c r="F23" s="109">
        <v>96</v>
      </c>
      <c r="G23" s="86">
        <f t="shared" si="0"/>
        <v>0</v>
      </c>
      <c r="H23">
        <v>0</v>
      </c>
      <c r="I23" s="86">
        <v>26800</v>
      </c>
      <c r="J23">
        <v>27479</v>
      </c>
      <c r="K23" s="62">
        <v>213816</v>
      </c>
      <c r="L23" s="71">
        <v>178902</v>
      </c>
      <c r="M23" s="71">
        <v>0</v>
      </c>
      <c r="N23" s="71">
        <v>5017.1031417100003</v>
      </c>
      <c r="O23" s="62">
        <v>3549.0133777000001</v>
      </c>
      <c r="P23" s="62">
        <v>7265</v>
      </c>
      <c r="Q23" s="62">
        <v>12283</v>
      </c>
      <c r="R23" s="62">
        <v>5731</v>
      </c>
      <c r="S23">
        <v>2345</v>
      </c>
      <c r="T23" s="126">
        <v>855</v>
      </c>
      <c r="U23">
        <v>108</v>
      </c>
      <c r="V23" s="62">
        <f t="shared" si="1"/>
        <v>28587</v>
      </c>
    </row>
    <row r="24" spans="1:22" ht="14">
      <c r="A24" s="1">
        <v>214</v>
      </c>
      <c r="B24" s="2" t="s">
        <v>803</v>
      </c>
      <c r="C24" s="139"/>
      <c r="D24" s="139">
        <v>-28.177</v>
      </c>
      <c r="E24" s="109">
        <v>1</v>
      </c>
      <c r="F24" s="109">
        <v>93</v>
      </c>
      <c r="G24" s="86">
        <f t="shared" si="0"/>
        <v>0</v>
      </c>
      <c r="H24">
        <v>2200</v>
      </c>
      <c r="I24" s="86">
        <v>14472</v>
      </c>
      <c r="J24">
        <v>15324</v>
      </c>
      <c r="K24" s="62">
        <v>130041</v>
      </c>
      <c r="L24" s="71">
        <v>106696</v>
      </c>
      <c r="M24" s="71">
        <v>8808</v>
      </c>
      <c r="N24" s="71">
        <v>2968.2749399600002</v>
      </c>
      <c r="O24" s="62">
        <v>2053.4624191500002</v>
      </c>
      <c r="P24" s="62">
        <v>4051</v>
      </c>
      <c r="Q24" s="62">
        <v>7616</v>
      </c>
      <c r="R24" s="62">
        <v>3160</v>
      </c>
      <c r="S24">
        <v>1347</v>
      </c>
      <c r="T24" s="126">
        <v>480</v>
      </c>
      <c r="U24">
        <v>79</v>
      </c>
      <c r="V24" s="62">
        <f t="shared" si="1"/>
        <v>16733</v>
      </c>
    </row>
    <row r="25" spans="1:22" ht="14">
      <c r="A25" s="1">
        <v>215</v>
      </c>
      <c r="B25" s="2" t="s">
        <v>804</v>
      </c>
      <c r="C25" s="139"/>
      <c r="D25" s="139">
        <v>-41.305999999999997</v>
      </c>
      <c r="E25" s="109">
        <v>1</v>
      </c>
      <c r="F25" s="109">
        <v>95</v>
      </c>
      <c r="G25" s="86">
        <f t="shared" si="0"/>
        <v>0</v>
      </c>
      <c r="H25">
        <v>2100</v>
      </c>
      <c r="I25" s="86">
        <v>13358</v>
      </c>
      <c r="J25">
        <v>14245</v>
      </c>
      <c r="K25" s="62">
        <v>118846</v>
      </c>
      <c r="L25" s="71">
        <v>87574</v>
      </c>
      <c r="M25" s="71">
        <v>0</v>
      </c>
      <c r="N25" s="71">
        <v>1716.5251071099999</v>
      </c>
      <c r="O25" s="62">
        <v>1839.62522803</v>
      </c>
      <c r="P25" s="62">
        <v>3527</v>
      </c>
      <c r="Q25" s="62">
        <v>6065</v>
      </c>
      <c r="R25" s="62">
        <v>3309</v>
      </c>
      <c r="S25">
        <v>1412</v>
      </c>
      <c r="T25" s="126">
        <v>435</v>
      </c>
      <c r="U25">
        <v>66</v>
      </c>
      <c r="V25" s="62">
        <f t="shared" si="1"/>
        <v>14814</v>
      </c>
    </row>
    <row r="26" spans="1:22" ht="14">
      <c r="A26" s="1">
        <v>216</v>
      </c>
      <c r="B26" s="2" t="s">
        <v>805</v>
      </c>
      <c r="C26" s="139"/>
      <c r="D26" s="139">
        <v>-12.346</v>
      </c>
      <c r="E26" s="109">
        <v>1</v>
      </c>
      <c r="F26" s="109">
        <v>95</v>
      </c>
      <c r="G26" s="86">
        <f t="shared" si="0"/>
        <v>0</v>
      </c>
      <c r="H26">
        <v>2500</v>
      </c>
      <c r="I26" s="86">
        <v>16231</v>
      </c>
      <c r="J26">
        <v>16868</v>
      </c>
      <c r="K26" s="62">
        <v>129625</v>
      </c>
      <c r="L26" s="71">
        <v>103187</v>
      </c>
      <c r="M26" s="71">
        <v>0</v>
      </c>
      <c r="N26" s="71">
        <v>4069.5902637499998</v>
      </c>
      <c r="O26" s="62">
        <v>2170.6136645699999</v>
      </c>
      <c r="P26" s="62">
        <v>4405</v>
      </c>
      <c r="Q26" s="62">
        <v>7305</v>
      </c>
      <c r="R26" s="62">
        <v>3959</v>
      </c>
      <c r="S26">
        <v>1294</v>
      </c>
      <c r="T26" s="126">
        <v>467</v>
      </c>
      <c r="U26">
        <v>85</v>
      </c>
      <c r="V26" s="62">
        <f t="shared" si="1"/>
        <v>17515</v>
      </c>
    </row>
    <row r="27" spans="1:22" ht="14">
      <c r="A27" s="1">
        <v>217</v>
      </c>
      <c r="B27" s="2" t="s">
        <v>806</v>
      </c>
      <c r="C27" s="139"/>
      <c r="D27" s="139">
        <v>-68.587000000000003</v>
      </c>
      <c r="E27" s="109">
        <v>1</v>
      </c>
      <c r="F27" s="109">
        <v>92</v>
      </c>
      <c r="G27" s="86">
        <f t="shared" si="0"/>
        <v>0</v>
      </c>
      <c r="H27">
        <v>0</v>
      </c>
      <c r="I27" s="86">
        <v>23586</v>
      </c>
      <c r="J27">
        <v>24201</v>
      </c>
      <c r="K27" s="62">
        <v>190689</v>
      </c>
      <c r="L27" s="71">
        <v>135097</v>
      </c>
      <c r="M27" s="71">
        <v>0</v>
      </c>
      <c r="N27" s="71">
        <v>4946.3764695399996</v>
      </c>
      <c r="O27" s="62">
        <v>3094.2094461199999</v>
      </c>
      <c r="P27" s="62">
        <v>6118</v>
      </c>
      <c r="Q27" s="62">
        <v>10245</v>
      </c>
      <c r="R27" s="62">
        <v>5544</v>
      </c>
      <c r="S27">
        <v>2188</v>
      </c>
      <c r="T27" s="126">
        <v>857</v>
      </c>
      <c r="U27">
        <v>120</v>
      </c>
      <c r="V27" s="62">
        <f t="shared" si="1"/>
        <v>25072</v>
      </c>
    </row>
    <row r="28" spans="1:22" ht="14">
      <c r="A28" s="1">
        <v>219</v>
      </c>
      <c r="B28" s="2" t="s">
        <v>807</v>
      </c>
      <c r="C28" s="139"/>
      <c r="D28" s="139">
        <v>-46.072000000000003</v>
      </c>
      <c r="E28" s="109">
        <v>1</v>
      </c>
      <c r="F28" s="109">
        <v>92</v>
      </c>
      <c r="G28" s="86">
        <f t="shared" si="0"/>
        <v>0</v>
      </c>
      <c r="H28">
        <v>0</v>
      </c>
      <c r="I28" s="86">
        <v>104690</v>
      </c>
      <c r="J28">
        <v>108144</v>
      </c>
      <c r="K28" s="62">
        <v>1065627</v>
      </c>
      <c r="L28" s="71">
        <v>673436</v>
      </c>
      <c r="M28" s="71">
        <v>7146</v>
      </c>
      <c r="N28" s="71">
        <v>20243.545278879999</v>
      </c>
      <c r="O28" s="62">
        <v>14616.999583819999</v>
      </c>
      <c r="P28" s="62">
        <v>27962</v>
      </c>
      <c r="Q28" s="62">
        <v>46994</v>
      </c>
      <c r="R28" s="62">
        <v>23088</v>
      </c>
      <c r="S28">
        <v>8991</v>
      </c>
      <c r="T28" s="126">
        <v>4869</v>
      </c>
      <c r="U28">
        <v>885</v>
      </c>
      <c r="V28" s="62">
        <f t="shared" si="1"/>
        <v>112789</v>
      </c>
    </row>
    <row r="29" spans="1:22" ht="14">
      <c r="A29" s="1">
        <v>220</v>
      </c>
      <c r="B29" s="2" t="s">
        <v>808</v>
      </c>
      <c r="C29" s="139"/>
      <c r="D29" s="139">
        <v>-96.623999999999995</v>
      </c>
      <c r="E29" s="109">
        <v>1</v>
      </c>
      <c r="F29" s="109">
        <v>94</v>
      </c>
      <c r="G29" s="86">
        <f t="shared" si="0"/>
        <v>0</v>
      </c>
      <c r="H29">
        <v>0</v>
      </c>
      <c r="I29" s="86">
        <v>50858</v>
      </c>
      <c r="J29">
        <v>52922</v>
      </c>
      <c r="K29" s="62">
        <v>452245</v>
      </c>
      <c r="L29" s="71">
        <v>311342</v>
      </c>
      <c r="M29" s="71">
        <v>0</v>
      </c>
      <c r="N29" s="71">
        <v>9128.2312922900001</v>
      </c>
      <c r="O29" s="62">
        <v>6983.5854263000001</v>
      </c>
      <c r="P29" s="62">
        <v>14061</v>
      </c>
      <c r="Q29" s="62">
        <v>23130</v>
      </c>
      <c r="R29" s="62">
        <v>11396</v>
      </c>
      <c r="S29">
        <v>4558</v>
      </c>
      <c r="T29" s="126">
        <v>1858</v>
      </c>
      <c r="U29">
        <v>281</v>
      </c>
      <c r="V29" s="62">
        <f t="shared" si="1"/>
        <v>55284</v>
      </c>
    </row>
    <row r="30" spans="1:22" ht="14">
      <c r="A30" s="1">
        <v>221</v>
      </c>
      <c r="B30" s="2" t="s">
        <v>809</v>
      </c>
      <c r="C30" s="139"/>
      <c r="D30" s="139">
        <v>-49.256999999999998</v>
      </c>
      <c r="E30" s="109">
        <v>1</v>
      </c>
      <c r="F30" s="109">
        <v>67</v>
      </c>
      <c r="G30" s="86">
        <f t="shared" si="0"/>
        <v>0</v>
      </c>
      <c r="H30">
        <v>2000</v>
      </c>
      <c r="I30" s="86">
        <v>13275</v>
      </c>
      <c r="J30">
        <v>13995</v>
      </c>
      <c r="K30" s="62">
        <v>147262</v>
      </c>
      <c r="L30" s="71">
        <v>74787</v>
      </c>
      <c r="M30" s="71">
        <v>0</v>
      </c>
      <c r="N30" s="71">
        <v>352.51071525999998</v>
      </c>
      <c r="O30" s="62">
        <v>1831.3760827000001</v>
      </c>
      <c r="P30" s="62">
        <v>3231</v>
      </c>
      <c r="Q30" s="62">
        <v>6257</v>
      </c>
      <c r="R30" s="62">
        <v>3104</v>
      </c>
      <c r="S30">
        <v>1376</v>
      </c>
      <c r="T30" s="126">
        <v>571</v>
      </c>
      <c r="U30">
        <v>93</v>
      </c>
      <c r="V30" s="62">
        <f t="shared" si="1"/>
        <v>14632</v>
      </c>
    </row>
    <row r="31" spans="1:22" ht="14">
      <c r="A31" s="1">
        <v>226</v>
      </c>
      <c r="B31" s="2" t="s">
        <v>810</v>
      </c>
      <c r="C31" s="139"/>
      <c r="D31" s="139">
        <v>-34.942</v>
      </c>
      <c r="E31" s="109">
        <v>1</v>
      </c>
      <c r="F31" s="109">
        <v>92</v>
      </c>
      <c r="G31" s="86">
        <f t="shared" si="0"/>
        <v>0</v>
      </c>
      <c r="H31">
        <v>1800</v>
      </c>
      <c r="I31" s="86">
        <v>12925</v>
      </c>
      <c r="J31">
        <v>14279</v>
      </c>
      <c r="K31" s="62">
        <v>131441</v>
      </c>
      <c r="L31" s="71">
        <v>113250</v>
      </c>
      <c r="M31" s="71">
        <v>0</v>
      </c>
      <c r="N31" s="71">
        <v>416.50151389000001</v>
      </c>
      <c r="O31" s="62">
        <v>1982.31558909</v>
      </c>
      <c r="P31" s="62">
        <v>3999</v>
      </c>
      <c r="Q31" s="62">
        <v>7077</v>
      </c>
      <c r="R31" s="62">
        <v>2957</v>
      </c>
      <c r="S31">
        <v>1153</v>
      </c>
      <c r="T31" s="126">
        <v>440</v>
      </c>
      <c r="U31">
        <v>60</v>
      </c>
      <c r="V31" s="62">
        <f t="shared" si="1"/>
        <v>15686</v>
      </c>
    </row>
    <row r="32" spans="1:22" ht="14">
      <c r="A32" s="1">
        <v>227</v>
      </c>
      <c r="B32" s="2" t="s">
        <v>811</v>
      </c>
      <c r="C32" s="139"/>
      <c r="D32" s="139">
        <v>-35.094000000000001</v>
      </c>
      <c r="E32" s="109">
        <v>1</v>
      </c>
      <c r="F32" s="109">
        <v>88</v>
      </c>
      <c r="G32" s="86">
        <f t="shared" si="0"/>
        <v>0</v>
      </c>
      <c r="H32">
        <v>2300</v>
      </c>
      <c r="I32" s="86">
        <v>9567</v>
      </c>
      <c r="J32">
        <v>9963</v>
      </c>
      <c r="K32" s="62">
        <v>78013</v>
      </c>
      <c r="L32" s="71">
        <v>62526</v>
      </c>
      <c r="M32" s="71">
        <v>0</v>
      </c>
      <c r="N32" s="71">
        <v>1809.70469108</v>
      </c>
      <c r="O32" s="62">
        <v>1247.66386713</v>
      </c>
      <c r="P32" s="62">
        <v>2481</v>
      </c>
      <c r="Q32" s="62">
        <v>4488</v>
      </c>
      <c r="R32" s="62">
        <v>2250</v>
      </c>
      <c r="S32">
        <v>889</v>
      </c>
      <c r="T32" s="126">
        <v>273</v>
      </c>
      <c r="U32">
        <v>50</v>
      </c>
      <c r="V32" s="62">
        <f t="shared" si="1"/>
        <v>10431</v>
      </c>
    </row>
    <row r="33" spans="1:22" ht="14">
      <c r="A33" s="1">
        <v>228</v>
      </c>
      <c r="B33" s="2" t="s">
        <v>812</v>
      </c>
      <c r="C33" s="139"/>
      <c r="D33" s="139">
        <v>6.9420000000000002</v>
      </c>
      <c r="E33" s="109">
        <v>1</v>
      </c>
      <c r="F33" s="109">
        <v>87</v>
      </c>
      <c r="G33" s="86">
        <f t="shared" si="0"/>
        <v>0</v>
      </c>
      <c r="H33">
        <v>3000</v>
      </c>
      <c r="I33" s="86">
        <v>14797</v>
      </c>
      <c r="J33">
        <v>15112</v>
      </c>
      <c r="K33" s="62">
        <v>91991</v>
      </c>
      <c r="L33" s="71">
        <v>97768</v>
      </c>
      <c r="M33" s="71">
        <v>0</v>
      </c>
      <c r="N33" s="71">
        <v>3242.2004639199999</v>
      </c>
      <c r="O33" s="62">
        <v>1839.6518718699999</v>
      </c>
      <c r="P33" s="62">
        <v>3700</v>
      </c>
      <c r="Q33" s="62">
        <v>7310</v>
      </c>
      <c r="R33" s="62">
        <v>3294</v>
      </c>
      <c r="S33">
        <v>1204</v>
      </c>
      <c r="T33" s="126">
        <v>370</v>
      </c>
      <c r="U33">
        <v>42</v>
      </c>
      <c r="V33" s="62">
        <f t="shared" si="1"/>
        <v>15920</v>
      </c>
    </row>
    <row r="34" spans="1:22" ht="14">
      <c r="A34" s="1">
        <v>229</v>
      </c>
      <c r="B34" s="2" t="s">
        <v>813</v>
      </c>
      <c r="C34" s="139"/>
      <c r="D34" s="139">
        <v>-58.902000000000001</v>
      </c>
      <c r="E34" s="109">
        <v>1</v>
      </c>
      <c r="F34" s="109">
        <v>89</v>
      </c>
      <c r="G34" s="86">
        <f t="shared" si="0"/>
        <v>0</v>
      </c>
      <c r="H34">
        <v>2500</v>
      </c>
      <c r="I34" s="86">
        <v>9297</v>
      </c>
      <c r="J34">
        <v>9893</v>
      </c>
      <c r="K34" s="62">
        <v>86816</v>
      </c>
      <c r="L34" s="71">
        <v>76116</v>
      </c>
      <c r="M34" s="71">
        <v>0</v>
      </c>
      <c r="N34" s="71">
        <v>1076.61712081</v>
      </c>
      <c r="O34" s="62">
        <v>1313.07120057</v>
      </c>
      <c r="P34" s="62">
        <v>2613</v>
      </c>
      <c r="Q34" s="62">
        <v>4585</v>
      </c>
      <c r="R34" s="62">
        <v>2144</v>
      </c>
      <c r="S34">
        <v>686</v>
      </c>
      <c r="T34" s="126">
        <v>197</v>
      </c>
      <c r="U34">
        <v>37</v>
      </c>
      <c r="V34" s="62">
        <f t="shared" si="1"/>
        <v>10262</v>
      </c>
    </row>
    <row r="35" spans="1:22" ht="14">
      <c r="A35" s="1">
        <v>230</v>
      </c>
      <c r="B35" s="2" t="s">
        <v>814</v>
      </c>
      <c r="C35" s="139"/>
      <c r="D35" s="139">
        <v>-90.564999999999998</v>
      </c>
      <c r="E35" s="109">
        <v>1</v>
      </c>
      <c r="F35" s="109">
        <v>95</v>
      </c>
      <c r="G35" s="86">
        <f t="shared" si="0"/>
        <v>0</v>
      </c>
      <c r="H35">
        <v>0</v>
      </c>
      <c r="I35" s="86">
        <v>30675</v>
      </c>
      <c r="J35">
        <v>31853</v>
      </c>
      <c r="K35" s="62">
        <v>217964</v>
      </c>
      <c r="L35" s="71">
        <v>198677</v>
      </c>
      <c r="M35" s="71">
        <v>0</v>
      </c>
      <c r="N35" s="71">
        <v>6339.5796467299997</v>
      </c>
      <c r="O35" s="62">
        <v>3982.6358380199999</v>
      </c>
      <c r="P35" s="62">
        <v>7989</v>
      </c>
      <c r="Q35" s="62">
        <v>14539</v>
      </c>
      <c r="R35" s="62">
        <v>7162</v>
      </c>
      <c r="S35">
        <v>2602</v>
      </c>
      <c r="T35" s="126">
        <v>893</v>
      </c>
      <c r="U35">
        <v>123</v>
      </c>
      <c r="V35" s="62">
        <f t="shared" si="1"/>
        <v>33308</v>
      </c>
    </row>
    <row r="36" spans="1:22" ht="14">
      <c r="A36" s="1">
        <v>231</v>
      </c>
      <c r="B36" s="2" t="s">
        <v>815</v>
      </c>
      <c r="C36" s="139"/>
      <c r="D36" s="139">
        <v>-94.031999999999996</v>
      </c>
      <c r="E36" s="109">
        <v>1</v>
      </c>
      <c r="F36" s="109">
        <v>95</v>
      </c>
      <c r="G36" s="86">
        <f t="shared" si="0"/>
        <v>0</v>
      </c>
      <c r="H36">
        <v>0</v>
      </c>
      <c r="I36" s="86">
        <v>42094</v>
      </c>
      <c r="J36">
        <v>46146</v>
      </c>
      <c r="K36" s="62">
        <v>365363</v>
      </c>
      <c r="L36" s="71">
        <v>283276</v>
      </c>
      <c r="M36" s="71">
        <v>6417</v>
      </c>
      <c r="N36" s="71">
        <v>7345.4700953700003</v>
      </c>
      <c r="O36" s="62">
        <v>5920.72536485</v>
      </c>
      <c r="P36" s="62">
        <v>11393</v>
      </c>
      <c r="Q36" s="62">
        <v>22298</v>
      </c>
      <c r="R36" s="62">
        <v>9287</v>
      </c>
      <c r="S36">
        <v>4013</v>
      </c>
      <c r="T36" s="126">
        <v>1507</v>
      </c>
      <c r="U36">
        <v>254</v>
      </c>
      <c r="V36" s="62">
        <f t="shared" si="1"/>
        <v>48752</v>
      </c>
    </row>
    <row r="37" spans="1:22" ht="14">
      <c r="A37" s="1">
        <v>233</v>
      </c>
      <c r="B37" s="2" t="s">
        <v>816</v>
      </c>
      <c r="C37" s="139"/>
      <c r="D37" s="139">
        <v>-73.418999999999997</v>
      </c>
      <c r="E37" s="109">
        <v>1</v>
      </c>
      <c r="F37" s="109">
        <v>96</v>
      </c>
      <c r="G37" s="86">
        <f t="shared" si="0"/>
        <v>0</v>
      </c>
      <c r="H37">
        <v>3200</v>
      </c>
      <c r="I37" s="86">
        <v>19578</v>
      </c>
      <c r="J37">
        <v>20256</v>
      </c>
      <c r="K37" s="62">
        <v>177546</v>
      </c>
      <c r="L37" s="71">
        <v>139993</v>
      </c>
      <c r="M37" s="71">
        <v>0</v>
      </c>
      <c r="N37" s="71">
        <v>3811.3817780499999</v>
      </c>
      <c r="O37" s="62">
        <v>2697.2764775800001</v>
      </c>
      <c r="P37" s="62">
        <v>5564</v>
      </c>
      <c r="Q37" s="62">
        <v>9251</v>
      </c>
      <c r="R37" s="62">
        <v>4187</v>
      </c>
      <c r="S37">
        <v>1644</v>
      </c>
      <c r="T37" s="126">
        <v>443</v>
      </c>
      <c r="U37">
        <v>76</v>
      </c>
      <c r="V37" s="62">
        <f t="shared" si="1"/>
        <v>21165</v>
      </c>
    </row>
    <row r="38" spans="1:22" ht="14">
      <c r="A38" s="1">
        <v>234</v>
      </c>
      <c r="B38" s="2" t="s">
        <v>817</v>
      </c>
      <c r="C38" s="139"/>
      <c r="D38" s="139">
        <v>-171.31700000000001</v>
      </c>
      <c r="E38" s="109">
        <v>1</v>
      </c>
      <c r="F38" s="109">
        <v>93</v>
      </c>
      <c r="G38" s="86">
        <f t="shared" si="0"/>
        <v>0</v>
      </c>
      <c r="H38">
        <v>1200</v>
      </c>
      <c r="I38" s="86">
        <v>5064</v>
      </c>
      <c r="J38">
        <v>5464</v>
      </c>
      <c r="K38" s="62">
        <v>54611</v>
      </c>
      <c r="L38" s="71">
        <v>39929</v>
      </c>
      <c r="M38" s="71">
        <v>0</v>
      </c>
      <c r="N38" s="71">
        <v>875.66356020000001</v>
      </c>
      <c r="O38" s="62">
        <v>784.41214371000001</v>
      </c>
      <c r="P38" s="62">
        <v>1602</v>
      </c>
      <c r="Q38" s="62">
        <v>2692</v>
      </c>
      <c r="R38" s="62">
        <v>1116</v>
      </c>
      <c r="S38">
        <v>421</v>
      </c>
      <c r="T38" s="126">
        <v>129</v>
      </c>
      <c r="U38">
        <v>30</v>
      </c>
      <c r="V38" s="62">
        <f t="shared" si="1"/>
        <v>5990</v>
      </c>
    </row>
    <row r="39" spans="1:22" ht="14">
      <c r="A39" s="1">
        <v>235</v>
      </c>
      <c r="B39" s="2" t="s">
        <v>818</v>
      </c>
      <c r="C39" s="139"/>
      <c r="D39" s="139">
        <v>-103.819</v>
      </c>
      <c r="E39" s="109">
        <v>1</v>
      </c>
      <c r="F39" s="109">
        <v>89</v>
      </c>
      <c r="G39" s="86">
        <f t="shared" si="0"/>
        <v>0</v>
      </c>
      <c r="H39">
        <v>8500</v>
      </c>
      <c r="I39" s="86">
        <v>24556</v>
      </c>
      <c r="J39">
        <v>26934</v>
      </c>
      <c r="K39" s="62">
        <v>208334</v>
      </c>
      <c r="L39" s="71">
        <v>232930</v>
      </c>
      <c r="M39" s="71">
        <v>0</v>
      </c>
      <c r="N39" s="71">
        <v>3013.1807635599998</v>
      </c>
      <c r="O39" s="62">
        <v>3657.8962159100001</v>
      </c>
      <c r="P39" s="62">
        <v>7708</v>
      </c>
      <c r="Q39" s="62">
        <v>14018</v>
      </c>
      <c r="R39" s="62">
        <v>5378</v>
      </c>
      <c r="S39">
        <v>2199</v>
      </c>
      <c r="T39" s="126">
        <v>686</v>
      </c>
      <c r="U39">
        <v>92</v>
      </c>
      <c r="V39" s="62">
        <f t="shared" si="1"/>
        <v>30081</v>
      </c>
    </row>
    <row r="40" spans="1:22" ht="14">
      <c r="A40" s="1">
        <v>236</v>
      </c>
      <c r="B40" s="2" t="s">
        <v>819</v>
      </c>
      <c r="C40" s="139"/>
      <c r="D40" s="139">
        <v>-48.92</v>
      </c>
      <c r="E40" s="109">
        <v>1</v>
      </c>
      <c r="F40" s="109">
        <v>76</v>
      </c>
      <c r="G40" s="86">
        <f t="shared" si="0"/>
        <v>0</v>
      </c>
      <c r="H40">
        <v>2300</v>
      </c>
      <c r="I40" s="86">
        <v>18025</v>
      </c>
      <c r="J40">
        <v>18510</v>
      </c>
      <c r="K40" s="62">
        <v>190561</v>
      </c>
      <c r="L40" s="71">
        <v>100781</v>
      </c>
      <c r="M40" s="71">
        <v>0</v>
      </c>
      <c r="N40" s="71">
        <v>3376.9179347200002</v>
      </c>
      <c r="O40" s="62">
        <v>2374.0997937299999</v>
      </c>
      <c r="P40" s="62">
        <v>4369</v>
      </c>
      <c r="Q40" s="62">
        <v>8120</v>
      </c>
      <c r="R40" s="62">
        <v>4268</v>
      </c>
      <c r="S40">
        <v>1525</v>
      </c>
      <c r="T40" s="126">
        <v>649</v>
      </c>
      <c r="U40">
        <v>118</v>
      </c>
      <c r="V40" s="62">
        <f t="shared" si="1"/>
        <v>19049</v>
      </c>
    </row>
    <row r="41" spans="1:22" ht="14">
      <c r="A41" s="1">
        <v>237</v>
      </c>
      <c r="B41" s="2" t="s">
        <v>820</v>
      </c>
      <c r="C41" s="139"/>
      <c r="D41" s="139">
        <v>-32.844000000000001</v>
      </c>
      <c r="E41" s="109">
        <v>1</v>
      </c>
      <c r="F41" s="109">
        <v>71</v>
      </c>
      <c r="G41" s="86">
        <f t="shared" si="0"/>
        <v>0</v>
      </c>
      <c r="H41">
        <v>2100</v>
      </c>
      <c r="I41" s="86">
        <v>18637</v>
      </c>
      <c r="J41">
        <v>19916</v>
      </c>
      <c r="K41" s="62">
        <v>199130</v>
      </c>
      <c r="L41" s="71">
        <v>117866</v>
      </c>
      <c r="M41" s="71">
        <v>0</v>
      </c>
      <c r="N41" s="71">
        <v>2463.0844244599998</v>
      </c>
      <c r="O41" s="62">
        <v>2613.5985973299998</v>
      </c>
      <c r="P41" s="62">
        <v>4929</v>
      </c>
      <c r="Q41" s="62">
        <v>9176</v>
      </c>
      <c r="R41" s="62">
        <v>4542</v>
      </c>
      <c r="S41">
        <v>1665</v>
      </c>
      <c r="T41" s="126">
        <v>686</v>
      </c>
      <c r="U41">
        <v>130</v>
      </c>
      <c r="V41" s="62">
        <f t="shared" si="1"/>
        <v>21128</v>
      </c>
    </row>
    <row r="42" spans="1:22" ht="14">
      <c r="A42" s="1">
        <v>238</v>
      </c>
      <c r="B42" s="2" t="s">
        <v>821</v>
      </c>
      <c r="C42" s="139"/>
      <c r="D42" s="139">
        <v>-42.113999999999997</v>
      </c>
      <c r="E42" s="109">
        <v>1</v>
      </c>
      <c r="F42" s="109">
        <v>81</v>
      </c>
      <c r="G42" s="86">
        <f t="shared" si="0"/>
        <v>0</v>
      </c>
      <c r="H42">
        <v>8900</v>
      </c>
      <c r="I42" s="86">
        <v>10141</v>
      </c>
      <c r="J42">
        <v>10657</v>
      </c>
      <c r="K42" s="62">
        <v>104575</v>
      </c>
      <c r="L42" s="71">
        <v>72219</v>
      </c>
      <c r="M42" s="71">
        <v>0</v>
      </c>
      <c r="N42" s="71">
        <v>1512.2036097299999</v>
      </c>
      <c r="O42" s="62">
        <v>1425.5265615000001</v>
      </c>
      <c r="P42" s="62">
        <v>2809</v>
      </c>
      <c r="Q42" s="62">
        <v>5009</v>
      </c>
      <c r="R42" s="62">
        <v>2174</v>
      </c>
      <c r="S42">
        <v>797</v>
      </c>
      <c r="T42" s="126">
        <v>280</v>
      </c>
      <c r="U42">
        <v>59</v>
      </c>
      <c r="V42" s="62">
        <f t="shared" si="1"/>
        <v>11128</v>
      </c>
    </row>
    <row r="43" spans="1:22" ht="14">
      <c r="A43" s="1">
        <v>239</v>
      </c>
      <c r="B43" s="2" t="s">
        <v>822</v>
      </c>
      <c r="C43" s="139"/>
      <c r="D43" s="139">
        <v>54.712000000000003</v>
      </c>
      <c r="E43" s="109">
        <v>1</v>
      </c>
      <c r="F43" s="109">
        <v>56</v>
      </c>
      <c r="G43" s="86">
        <f t="shared" si="0"/>
        <v>0</v>
      </c>
      <c r="H43">
        <v>1800</v>
      </c>
      <c r="I43" s="86">
        <v>2602</v>
      </c>
      <c r="J43">
        <v>2581</v>
      </c>
      <c r="K43" s="62">
        <v>48608</v>
      </c>
      <c r="L43" s="71">
        <v>11257</v>
      </c>
      <c r="M43" s="71">
        <v>0</v>
      </c>
      <c r="N43" s="71">
        <v>272.80287836999997</v>
      </c>
      <c r="O43" s="62">
        <v>383.08423606999997</v>
      </c>
      <c r="P43" s="62">
        <v>550</v>
      </c>
      <c r="Q43" s="62">
        <v>1003</v>
      </c>
      <c r="R43" s="62">
        <v>623</v>
      </c>
      <c r="S43">
        <v>275</v>
      </c>
      <c r="T43" s="126">
        <v>120</v>
      </c>
      <c r="U43">
        <v>48</v>
      </c>
      <c r="V43" s="62">
        <f t="shared" si="1"/>
        <v>2619</v>
      </c>
    </row>
    <row r="44" spans="1:22" ht="14">
      <c r="A44" s="1">
        <v>301</v>
      </c>
      <c r="B44" s="3" t="s">
        <v>823</v>
      </c>
      <c r="C44" s="139"/>
      <c r="D44" s="139">
        <v>58.728999999999999</v>
      </c>
      <c r="E44" s="109">
        <v>1</v>
      </c>
      <c r="F44" s="109">
        <v>86</v>
      </c>
      <c r="G44" s="86">
        <f t="shared" si="0"/>
        <v>0</v>
      </c>
      <c r="H44">
        <v>0</v>
      </c>
      <c r="I44" s="86">
        <v>529846</v>
      </c>
      <c r="J44">
        <v>560484</v>
      </c>
      <c r="K44" s="62">
        <v>3829749</v>
      </c>
      <c r="L44" s="71">
        <v>3282944</v>
      </c>
      <c r="M44" s="71">
        <v>22471</v>
      </c>
      <c r="N44" s="71">
        <v>194460.17851744001</v>
      </c>
      <c r="O44" s="62">
        <v>424833.74724219</v>
      </c>
      <c r="P44" s="62">
        <v>119845</v>
      </c>
      <c r="Q44" s="62">
        <v>313875</v>
      </c>
      <c r="R44" s="62">
        <v>104869</v>
      </c>
      <c r="S44">
        <v>37705</v>
      </c>
      <c r="T44" s="126">
        <v>18265</v>
      </c>
      <c r="U44">
        <v>4671</v>
      </c>
      <c r="V44" s="62">
        <f t="shared" si="1"/>
        <v>599230</v>
      </c>
    </row>
    <row r="45" spans="1:22" ht="14">
      <c r="A45" s="1">
        <v>402</v>
      </c>
      <c r="B45" s="2" t="s">
        <v>824</v>
      </c>
      <c r="C45" s="139"/>
      <c r="D45" s="139">
        <v>-54.962000000000003</v>
      </c>
      <c r="E45" s="109">
        <v>3</v>
      </c>
      <c r="F45" s="109">
        <v>49</v>
      </c>
      <c r="G45" s="86">
        <f t="shared" si="0"/>
        <v>30</v>
      </c>
      <c r="H45">
        <v>2000</v>
      </c>
      <c r="I45" s="86">
        <v>17279</v>
      </c>
      <c r="J45">
        <v>17361</v>
      </c>
      <c r="K45" s="62">
        <v>200278</v>
      </c>
      <c r="L45" s="71">
        <v>73719</v>
      </c>
      <c r="M45" s="71">
        <v>3766</v>
      </c>
      <c r="N45" s="71">
        <v>3204.0305138600002</v>
      </c>
      <c r="O45" s="62">
        <v>2262.2023939000001</v>
      </c>
      <c r="P45" s="62">
        <v>3531</v>
      </c>
      <c r="Q45" s="62">
        <v>6859</v>
      </c>
      <c r="R45" s="62">
        <v>4284</v>
      </c>
      <c r="S45">
        <v>1916</v>
      </c>
      <c r="T45" s="126">
        <v>734</v>
      </c>
      <c r="U45">
        <v>112</v>
      </c>
      <c r="V45" s="62">
        <f t="shared" si="1"/>
        <v>17436</v>
      </c>
    </row>
    <row r="46" spans="1:22" ht="14">
      <c r="A46" s="1">
        <v>403</v>
      </c>
      <c r="B46" s="2" t="s">
        <v>825</v>
      </c>
      <c r="C46" s="139"/>
      <c r="D46" s="139">
        <v>-12.194000000000001</v>
      </c>
      <c r="E46" s="109">
        <v>1</v>
      </c>
      <c r="F46" s="109">
        <v>69</v>
      </c>
      <c r="G46" s="86">
        <f t="shared" si="0"/>
        <v>0</v>
      </c>
      <c r="H46">
        <v>0</v>
      </c>
      <c r="I46" s="86">
        <v>27439</v>
      </c>
      <c r="J46">
        <v>27976</v>
      </c>
      <c r="K46" s="62">
        <v>308797</v>
      </c>
      <c r="L46" s="71">
        <v>128068</v>
      </c>
      <c r="M46" s="71">
        <v>7090</v>
      </c>
      <c r="N46" s="71">
        <v>3371.3047067699999</v>
      </c>
      <c r="O46" s="62">
        <v>3605.64363374</v>
      </c>
      <c r="P46" s="62">
        <v>5713</v>
      </c>
      <c r="Q46" s="62">
        <v>11453</v>
      </c>
      <c r="R46" s="62">
        <v>6741</v>
      </c>
      <c r="S46">
        <v>2897</v>
      </c>
      <c r="T46" s="126">
        <v>1571</v>
      </c>
      <c r="U46">
        <v>287</v>
      </c>
      <c r="V46" s="62">
        <f t="shared" si="1"/>
        <v>28662</v>
      </c>
    </row>
    <row r="47" spans="1:22" ht="14">
      <c r="A47" s="1">
        <v>412</v>
      </c>
      <c r="B47" s="2" t="s">
        <v>826</v>
      </c>
      <c r="C47" s="139"/>
      <c r="D47" s="139">
        <v>-46.914000000000001</v>
      </c>
      <c r="E47" s="109">
        <v>1</v>
      </c>
      <c r="F47" s="109">
        <v>53</v>
      </c>
      <c r="G47" s="86">
        <f t="shared" si="0"/>
        <v>0</v>
      </c>
      <c r="H47">
        <v>3200</v>
      </c>
      <c r="I47" s="86">
        <v>31824</v>
      </c>
      <c r="J47">
        <v>32144</v>
      </c>
      <c r="K47" s="62">
        <v>360710</v>
      </c>
      <c r="L47" s="71">
        <v>145964</v>
      </c>
      <c r="M47" s="71">
        <v>0</v>
      </c>
      <c r="N47" s="71">
        <v>4885.7536076799997</v>
      </c>
      <c r="O47" s="62">
        <v>4153.3146830699998</v>
      </c>
      <c r="P47" s="62">
        <v>7355</v>
      </c>
      <c r="Q47" s="62">
        <v>13455</v>
      </c>
      <c r="R47" s="62">
        <v>7213</v>
      </c>
      <c r="S47">
        <v>3243</v>
      </c>
      <c r="T47" s="126">
        <v>1352</v>
      </c>
      <c r="U47">
        <v>224</v>
      </c>
      <c r="V47" s="62">
        <f t="shared" si="1"/>
        <v>32842</v>
      </c>
    </row>
    <row r="48" spans="1:22" ht="14">
      <c r="A48" s="1">
        <v>415</v>
      </c>
      <c r="B48" s="2" t="s">
        <v>827</v>
      </c>
      <c r="C48" s="139"/>
      <c r="D48" s="139">
        <v>20.373000000000001</v>
      </c>
      <c r="E48" s="109">
        <v>1</v>
      </c>
      <c r="F48" s="109">
        <v>51</v>
      </c>
      <c r="G48" s="86">
        <f t="shared" si="0"/>
        <v>0</v>
      </c>
      <c r="H48">
        <v>2000</v>
      </c>
      <c r="I48" s="86">
        <v>7271</v>
      </c>
      <c r="J48">
        <v>7251</v>
      </c>
      <c r="K48" s="62">
        <v>88285</v>
      </c>
      <c r="L48" s="71">
        <v>29651</v>
      </c>
      <c r="M48" s="71">
        <v>0</v>
      </c>
      <c r="N48" s="71">
        <v>1183.2684518599999</v>
      </c>
      <c r="O48" s="62">
        <v>932.05134548000001</v>
      </c>
      <c r="P48" s="62">
        <v>1504</v>
      </c>
      <c r="Q48" s="62">
        <v>2938</v>
      </c>
      <c r="R48" s="62">
        <v>1800</v>
      </c>
      <c r="S48">
        <v>736</v>
      </c>
      <c r="T48" s="126">
        <v>314</v>
      </c>
      <c r="U48">
        <v>61</v>
      </c>
      <c r="V48" s="62">
        <f t="shared" si="1"/>
        <v>7353</v>
      </c>
    </row>
    <row r="49" spans="1:22" ht="14">
      <c r="A49" s="1">
        <v>417</v>
      </c>
      <c r="B49" s="2" t="s">
        <v>828</v>
      </c>
      <c r="C49" s="139"/>
      <c r="D49" s="139">
        <v>-25.835000000000001</v>
      </c>
      <c r="E49" s="109">
        <v>1</v>
      </c>
      <c r="F49" s="109">
        <v>59</v>
      </c>
      <c r="G49" s="86">
        <f t="shared" si="0"/>
        <v>0</v>
      </c>
      <c r="H49">
        <v>2400</v>
      </c>
      <c r="I49" s="86">
        <v>18427</v>
      </c>
      <c r="J49">
        <v>18821</v>
      </c>
      <c r="K49" s="62">
        <v>212991</v>
      </c>
      <c r="L49" s="71">
        <v>93299</v>
      </c>
      <c r="M49" s="71">
        <v>0</v>
      </c>
      <c r="N49" s="71">
        <v>3219.7475521199999</v>
      </c>
      <c r="O49" s="62">
        <v>2468.5576787800001</v>
      </c>
      <c r="P49" s="62">
        <v>4091</v>
      </c>
      <c r="Q49" s="62">
        <v>7631</v>
      </c>
      <c r="R49" s="62">
        <v>4517</v>
      </c>
      <c r="S49">
        <v>1893</v>
      </c>
      <c r="T49" s="126">
        <v>881</v>
      </c>
      <c r="U49">
        <v>141</v>
      </c>
      <c r="V49" s="62">
        <f t="shared" si="1"/>
        <v>19154</v>
      </c>
    </row>
    <row r="50" spans="1:22" ht="14">
      <c r="A50" s="1">
        <v>418</v>
      </c>
      <c r="B50" s="2" t="s">
        <v>829</v>
      </c>
      <c r="C50" s="139"/>
      <c r="D50" s="139">
        <v>-26.303000000000001</v>
      </c>
      <c r="E50" s="109">
        <v>2</v>
      </c>
      <c r="F50" s="109">
        <v>46</v>
      </c>
      <c r="G50" s="86">
        <f t="shared" si="0"/>
        <v>0</v>
      </c>
      <c r="H50">
        <v>6174</v>
      </c>
      <c r="I50" s="86">
        <v>5073</v>
      </c>
      <c r="J50">
        <v>5091</v>
      </c>
      <c r="K50" s="62">
        <v>93714</v>
      </c>
      <c r="L50" s="71">
        <v>18967</v>
      </c>
      <c r="M50" s="71">
        <v>0</v>
      </c>
      <c r="N50" s="71">
        <v>709.51201288000004</v>
      </c>
      <c r="O50" s="62">
        <v>734.96448806000001</v>
      </c>
      <c r="P50" s="62">
        <v>1003</v>
      </c>
      <c r="Q50" s="62">
        <v>1892</v>
      </c>
      <c r="R50" s="62">
        <v>1289</v>
      </c>
      <c r="S50">
        <v>597</v>
      </c>
      <c r="T50" s="126">
        <v>280</v>
      </c>
      <c r="U50">
        <v>52</v>
      </c>
      <c r="V50" s="62">
        <f t="shared" si="1"/>
        <v>5113</v>
      </c>
    </row>
    <row r="51" spans="1:22" ht="14">
      <c r="A51" s="1">
        <v>419</v>
      </c>
      <c r="B51" s="2" t="s">
        <v>830</v>
      </c>
      <c r="C51" s="139"/>
      <c r="D51" s="139">
        <v>-50.911999999999999</v>
      </c>
      <c r="E51" s="109">
        <v>1</v>
      </c>
      <c r="F51" s="109">
        <v>59</v>
      </c>
      <c r="G51" s="86">
        <f t="shared" si="0"/>
        <v>0</v>
      </c>
      <c r="H51">
        <v>1500</v>
      </c>
      <c r="I51" s="86">
        <v>7623</v>
      </c>
      <c r="J51">
        <v>7787</v>
      </c>
      <c r="K51" s="62">
        <v>101203</v>
      </c>
      <c r="L51" s="71">
        <v>35644</v>
      </c>
      <c r="M51" s="71">
        <v>0</v>
      </c>
      <c r="N51" s="71">
        <v>1083.35299435</v>
      </c>
      <c r="O51" s="62">
        <v>1031.2982146300001</v>
      </c>
      <c r="P51" s="62">
        <v>1614</v>
      </c>
      <c r="Q51" s="62">
        <v>3148</v>
      </c>
      <c r="R51" s="62">
        <v>1876</v>
      </c>
      <c r="S51">
        <v>768</v>
      </c>
      <c r="T51" s="126">
        <v>366</v>
      </c>
      <c r="U51">
        <v>59</v>
      </c>
      <c r="V51" s="62">
        <f t="shared" si="1"/>
        <v>7831</v>
      </c>
    </row>
    <row r="52" spans="1:22" ht="14">
      <c r="A52" s="1">
        <v>420</v>
      </c>
      <c r="B52" s="2" t="s">
        <v>831</v>
      </c>
      <c r="C52" s="139"/>
      <c r="D52" s="139">
        <v>-98.39</v>
      </c>
      <c r="E52" s="109">
        <v>3</v>
      </c>
      <c r="F52" s="109">
        <v>41</v>
      </c>
      <c r="G52" s="86">
        <f t="shared" si="0"/>
        <v>33</v>
      </c>
      <c r="H52">
        <v>6691</v>
      </c>
      <c r="I52" s="86">
        <v>6499</v>
      </c>
      <c r="J52">
        <v>6397</v>
      </c>
      <c r="K52" s="62">
        <v>125441</v>
      </c>
      <c r="L52" s="71">
        <v>18664</v>
      </c>
      <c r="M52" s="71">
        <v>0</v>
      </c>
      <c r="N52" s="71">
        <v>1401.06169632</v>
      </c>
      <c r="O52" s="62">
        <v>923.70996088000004</v>
      </c>
      <c r="P52" s="62">
        <v>1267</v>
      </c>
      <c r="Q52" s="62">
        <v>2332</v>
      </c>
      <c r="R52" s="62">
        <v>1556</v>
      </c>
      <c r="S52">
        <v>723</v>
      </c>
      <c r="T52" s="126">
        <v>363</v>
      </c>
      <c r="U52">
        <v>58</v>
      </c>
      <c r="V52" s="62">
        <f t="shared" si="1"/>
        <v>6299</v>
      </c>
    </row>
    <row r="53" spans="1:22" ht="14">
      <c r="A53" s="1">
        <v>423</v>
      </c>
      <c r="B53" s="2" t="s">
        <v>832</v>
      </c>
      <c r="C53" s="139"/>
      <c r="D53" s="139">
        <v>3.61</v>
      </c>
      <c r="E53" s="109">
        <v>3</v>
      </c>
      <c r="F53" s="109">
        <v>33</v>
      </c>
      <c r="G53" s="86">
        <f t="shared" si="0"/>
        <v>35</v>
      </c>
      <c r="H53">
        <v>9300</v>
      </c>
      <c r="I53" s="86">
        <v>5275</v>
      </c>
      <c r="J53">
        <v>5078</v>
      </c>
      <c r="K53" s="62">
        <v>108175</v>
      </c>
      <c r="L53" s="71">
        <v>13885</v>
      </c>
      <c r="M53" s="71">
        <v>0</v>
      </c>
      <c r="N53" s="71">
        <v>729.71963349999999</v>
      </c>
      <c r="O53" s="62">
        <v>747.44440030999999</v>
      </c>
      <c r="P53" s="62">
        <v>931</v>
      </c>
      <c r="Q53" s="62">
        <v>1734</v>
      </c>
      <c r="R53" s="62">
        <v>1349</v>
      </c>
      <c r="S53">
        <v>595</v>
      </c>
      <c r="T53" s="126">
        <v>343</v>
      </c>
      <c r="U53">
        <v>72</v>
      </c>
      <c r="V53" s="62">
        <f t="shared" si="1"/>
        <v>5024</v>
      </c>
    </row>
    <row r="54" spans="1:22" ht="14">
      <c r="A54" s="1">
        <v>425</v>
      </c>
      <c r="B54" s="2" t="s">
        <v>833</v>
      </c>
      <c r="C54" s="139"/>
      <c r="D54" s="139">
        <v>139.17500000000001</v>
      </c>
      <c r="E54" s="109">
        <v>3</v>
      </c>
      <c r="F54" s="109">
        <v>29</v>
      </c>
      <c r="G54" s="86">
        <f t="shared" si="0"/>
        <v>35</v>
      </c>
      <c r="H54">
        <v>10356</v>
      </c>
      <c r="I54" s="86">
        <v>7779</v>
      </c>
      <c r="J54">
        <v>7581</v>
      </c>
      <c r="K54" s="62">
        <v>148903</v>
      </c>
      <c r="L54" s="71">
        <v>26495</v>
      </c>
      <c r="M54" s="71">
        <v>0</v>
      </c>
      <c r="N54" s="71">
        <v>738.70079822000002</v>
      </c>
      <c r="O54" s="62">
        <v>1084.6320631999999</v>
      </c>
      <c r="P54" s="62">
        <v>1351</v>
      </c>
      <c r="Q54" s="62">
        <v>2743</v>
      </c>
      <c r="R54" s="62">
        <v>1883</v>
      </c>
      <c r="S54">
        <v>992</v>
      </c>
      <c r="T54" s="126">
        <v>542</v>
      </c>
      <c r="U54">
        <v>86</v>
      </c>
      <c r="V54" s="62">
        <f t="shared" si="1"/>
        <v>7597</v>
      </c>
    </row>
    <row r="55" spans="1:22" ht="14">
      <c r="A55" s="1">
        <v>426</v>
      </c>
      <c r="B55" s="2" t="s">
        <v>799</v>
      </c>
      <c r="C55" s="139"/>
      <c r="D55" s="139">
        <v>-69.296999999999997</v>
      </c>
      <c r="E55" s="109">
        <v>3</v>
      </c>
      <c r="F55" s="109">
        <v>29</v>
      </c>
      <c r="G55" s="86">
        <f t="shared" si="0"/>
        <v>35</v>
      </c>
      <c r="H55">
        <v>5404</v>
      </c>
      <c r="I55" s="86">
        <v>3924</v>
      </c>
      <c r="J55">
        <v>3869</v>
      </c>
      <c r="K55" s="62">
        <v>76410</v>
      </c>
      <c r="L55" s="71">
        <v>13126</v>
      </c>
      <c r="M55" s="71">
        <v>0</v>
      </c>
      <c r="N55" s="71">
        <v>419.86945065999998</v>
      </c>
      <c r="O55" s="62">
        <v>555.25057113000003</v>
      </c>
      <c r="P55" s="62">
        <v>679</v>
      </c>
      <c r="Q55" s="62">
        <v>1452</v>
      </c>
      <c r="R55" s="62">
        <v>994</v>
      </c>
      <c r="S55">
        <v>473</v>
      </c>
      <c r="T55" s="126">
        <v>235</v>
      </c>
      <c r="U55">
        <v>49</v>
      </c>
      <c r="V55" s="62">
        <f t="shared" si="1"/>
        <v>3882</v>
      </c>
    </row>
    <row r="56" spans="1:22" ht="14">
      <c r="A56" s="1">
        <v>427</v>
      </c>
      <c r="B56" s="2" t="s">
        <v>834</v>
      </c>
      <c r="C56" s="139"/>
      <c r="D56" s="139">
        <v>-11.422000000000001</v>
      </c>
      <c r="E56" s="109">
        <v>1</v>
      </c>
      <c r="F56" s="109">
        <v>60</v>
      </c>
      <c r="G56" s="86">
        <f t="shared" si="0"/>
        <v>0</v>
      </c>
      <c r="H56">
        <v>3500</v>
      </c>
      <c r="I56" s="86">
        <v>18844</v>
      </c>
      <c r="J56">
        <v>19465</v>
      </c>
      <c r="K56" s="62">
        <v>214586</v>
      </c>
      <c r="L56" s="71">
        <v>112683</v>
      </c>
      <c r="M56" s="71">
        <v>0</v>
      </c>
      <c r="N56" s="71">
        <v>2427.1597655800001</v>
      </c>
      <c r="O56" s="62">
        <v>2584.70494994</v>
      </c>
      <c r="P56" s="62">
        <v>4285</v>
      </c>
      <c r="Q56" s="62">
        <v>8285</v>
      </c>
      <c r="R56" s="62">
        <v>4422</v>
      </c>
      <c r="S56">
        <v>1887</v>
      </c>
      <c r="T56" s="126">
        <v>902</v>
      </c>
      <c r="U56">
        <v>198</v>
      </c>
      <c r="V56" s="62">
        <f t="shared" si="1"/>
        <v>19979</v>
      </c>
    </row>
    <row r="57" spans="1:22" ht="14">
      <c r="A57" s="1">
        <v>428</v>
      </c>
      <c r="B57" s="2" t="s">
        <v>835</v>
      </c>
      <c r="C57" s="139"/>
      <c r="D57" s="139">
        <v>172.09700000000001</v>
      </c>
      <c r="E57" s="109">
        <v>4</v>
      </c>
      <c r="F57" s="109">
        <v>24</v>
      </c>
      <c r="G57" s="86">
        <f t="shared" si="0"/>
        <v>4</v>
      </c>
      <c r="H57">
        <v>1800</v>
      </c>
      <c r="I57" s="86">
        <v>6882</v>
      </c>
      <c r="J57">
        <v>6741</v>
      </c>
      <c r="K57" s="62">
        <v>136133</v>
      </c>
      <c r="L57" s="71">
        <v>24482</v>
      </c>
      <c r="M57" s="71">
        <v>0</v>
      </c>
      <c r="N57" s="71">
        <v>734.21021585999995</v>
      </c>
      <c r="O57" s="62">
        <v>992.82669012999997</v>
      </c>
      <c r="P57" s="62">
        <v>1305</v>
      </c>
      <c r="Q57" s="62">
        <v>2531</v>
      </c>
      <c r="R57" s="62">
        <v>1594</v>
      </c>
      <c r="S57">
        <v>814</v>
      </c>
      <c r="T57" s="126">
        <v>416</v>
      </c>
      <c r="U57">
        <v>94</v>
      </c>
      <c r="V57" s="62">
        <f t="shared" si="1"/>
        <v>6754</v>
      </c>
    </row>
    <row r="58" spans="1:22" ht="14">
      <c r="A58" s="1">
        <v>429</v>
      </c>
      <c r="B58" s="2" t="s">
        <v>836</v>
      </c>
      <c r="C58" s="139"/>
      <c r="D58" s="139">
        <v>31.326000000000001</v>
      </c>
      <c r="E58" s="109">
        <v>4</v>
      </c>
      <c r="F58" s="109">
        <v>42</v>
      </c>
      <c r="G58" s="86">
        <f t="shared" si="0"/>
        <v>4</v>
      </c>
      <c r="H58">
        <v>11115</v>
      </c>
      <c r="I58" s="86">
        <v>4398</v>
      </c>
      <c r="J58">
        <v>4329</v>
      </c>
      <c r="K58" s="62">
        <v>83382</v>
      </c>
      <c r="L58" s="71">
        <v>20626</v>
      </c>
      <c r="M58" s="71">
        <v>0</v>
      </c>
      <c r="N58" s="71">
        <v>414.25622270999997</v>
      </c>
      <c r="O58" s="62">
        <v>634.74691118999999</v>
      </c>
      <c r="P58" s="62">
        <v>902</v>
      </c>
      <c r="Q58" s="62">
        <v>1711</v>
      </c>
      <c r="R58" s="62">
        <v>950</v>
      </c>
      <c r="S58">
        <v>457</v>
      </c>
      <c r="T58" s="126">
        <v>252</v>
      </c>
      <c r="U58">
        <v>45</v>
      </c>
      <c r="V58" s="62">
        <f t="shared" si="1"/>
        <v>4317</v>
      </c>
    </row>
    <row r="59" spans="1:22" ht="14">
      <c r="A59" s="1">
        <v>430</v>
      </c>
      <c r="B59" s="2" t="s">
        <v>837</v>
      </c>
      <c r="C59" s="139"/>
      <c r="D59" s="139">
        <v>6.556</v>
      </c>
      <c r="E59" s="109">
        <v>4</v>
      </c>
      <c r="F59" s="109">
        <v>10</v>
      </c>
      <c r="G59" s="86">
        <f t="shared" si="0"/>
        <v>4</v>
      </c>
      <c r="H59">
        <v>3285</v>
      </c>
      <c r="I59" s="86">
        <v>2832</v>
      </c>
      <c r="J59">
        <v>2680</v>
      </c>
      <c r="K59" s="62">
        <v>60754</v>
      </c>
      <c r="L59" s="71">
        <v>10645</v>
      </c>
      <c r="M59" s="71">
        <v>0</v>
      </c>
      <c r="N59" s="71">
        <v>816.16334393</v>
      </c>
      <c r="O59" s="62">
        <v>406.41983499999998</v>
      </c>
      <c r="P59" s="62">
        <v>464</v>
      </c>
      <c r="Q59" s="62">
        <v>999</v>
      </c>
      <c r="R59" s="62">
        <v>661</v>
      </c>
      <c r="S59">
        <v>358</v>
      </c>
      <c r="T59" s="126">
        <v>149</v>
      </c>
      <c r="U59">
        <v>34</v>
      </c>
      <c r="V59" s="62">
        <f t="shared" si="1"/>
        <v>2665</v>
      </c>
    </row>
    <row r="60" spans="1:22" ht="14">
      <c r="A60" s="1">
        <v>432</v>
      </c>
      <c r="B60" s="2" t="s">
        <v>838</v>
      </c>
      <c r="C60" s="139"/>
      <c r="D60" s="139">
        <v>186.249</v>
      </c>
      <c r="E60" s="109">
        <v>4</v>
      </c>
      <c r="F60" s="109">
        <v>12</v>
      </c>
      <c r="G60" s="86">
        <f t="shared" si="0"/>
        <v>4</v>
      </c>
      <c r="H60">
        <v>600</v>
      </c>
      <c r="I60" s="86">
        <v>2105</v>
      </c>
      <c r="J60">
        <v>2029</v>
      </c>
      <c r="K60" s="62">
        <v>53478</v>
      </c>
      <c r="L60" s="71">
        <v>6554</v>
      </c>
      <c r="M60" s="71">
        <v>0</v>
      </c>
      <c r="N60" s="71">
        <v>223.40647240999999</v>
      </c>
      <c r="O60" s="62">
        <v>322.52418506999999</v>
      </c>
      <c r="P60" s="62">
        <v>368</v>
      </c>
      <c r="Q60" s="62">
        <v>638</v>
      </c>
      <c r="R60" s="62">
        <v>539</v>
      </c>
      <c r="S60">
        <v>249</v>
      </c>
      <c r="T60" s="126">
        <v>154</v>
      </c>
      <c r="U60">
        <v>26</v>
      </c>
      <c r="V60" s="62">
        <f t="shared" si="1"/>
        <v>1974</v>
      </c>
    </row>
    <row r="61" spans="1:22" ht="14">
      <c r="A61" s="1">
        <v>434</v>
      </c>
      <c r="B61" s="2" t="s">
        <v>839</v>
      </c>
      <c r="C61" s="139"/>
      <c r="D61" s="139">
        <v>-100.175</v>
      </c>
      <c r="E61" s="109">
        <v>4</v>
      </c>
      <c r="F61" s="109">
        <v>19</v>
      </c>
      <c r="G61" s="86">
        <f t="shared" si="0"/>
        <v>4</v>
      </c>
      <c r="H61">
        <v>2496</v>
      </c>
      <c r="I61" s="86">
        <v>1499</v>
      </c>
      <c r="J61">
        <v>1458</v>
      </c>
      <c r="K61" s="62">
        <v>42066</v>
      </c>
      <c r="L61" s="71">
        <v>6611</v>
      </c>
      <c r="M61" s="71">
        <v>0</v>
      </c>
      <c r="N61" s="71">
        <v>272.80287836999997</v>
      </c>
      <c r="O61" s="62">
        <v>245.38618274999999</v>
      </c>
      <c r="P61" s="62">
        <v>282</v>
      </c>
      <c r="Q61" s="62">
        <v>507</v>
      </c>
      <c r="R61" s="62">
        <v>340</v>
      </c>
      <c r="S61">
        <v>172</v>
      </c>
      <c r="T61" s="126">
        <v>94</v>
      </c>
      <c r="U61">
        <v>14</v>
      </c>
      <c r="V61" s="62">
        <f t="shared" si="1"/>
        <v>1409</v>
      </c>
    </row>
    <row r="62" spans="1:22" ht="14">
      <c r="A62" s="1">
        <v>436</v>
      </c>
      <c r="B62" s="2" t="s">
        <v>840</v>
      </c>
      <c r="C62" s="139"/>
      <c r="D62" s="139">
        <v>262.81099999999998</v>
      </c>
      <c r="E62" s="109">
        <v>4</v>
      </c>
      <c r="F62" s="109">
        <v>27</v>
      </c>
      <c r="G62" s="86">
        <f t="shared" si="0"/>
        <v>4</v>
      </c>
      <c r="H62">
        <v>1281</v>
      </c>
      <c r="I62" s="86">
        <v>1778</v>
      </c>
      <c r="J62">
        <v>1697</v>
      </c>
      <c r="K62" s="62">
        <v>41220</v>
      </c>
      <c r="L62" s="71">
        <v>6317</v>
      </c>
      <c r="M62" s="71">
        <v>0</v>
      </c>
      <c r="N62" s="71">
        <v>711.75730406000002</v>
      </c>
      <c r="O62" s="62">
        <v>275.63717611999999</v>
      </c>
      <c r="P62" s="62">
        <v>389</v>
      </c>
      <c r="Q62" s="62">
        <v>640</v>
      </c>
      <c r="R62" s="62">
        <v>372</v>
      </c>
      <c r="S62">
        <v>171</v>
      </c>
      <c r="T62" s="126">
        <v>87</v>
      </c>
      <c r="U62">
        <v>25</v>
      </c>
      <c r="V62" s="62">
        <f t="shared" si="1"/>
        <v>1684</v>
      </c>
    </row>
    <row r="63" spans="1:22" ht="14">
      <c r="A63" s="1">
        <v>437</v>
      </c>
      <c r="B63" s="2" t="s">
        <v>841</v>
      </c>
      <c r="C63" s="139"/>
      <c r="D63" s="139">
        <v>-18.596</v>
      </c>
      <c r="E63" s="109">
        <v>4</v>
      </c>
      <c r="F63" s="109">
        <v>41</v>
      </c>
      <c r="G63" s="86">
        <f t="shared" si="0"/>
        <v>4</v>
      </c>
      <c r="H63">
        <v>1300</v>
      </c>
      <c r="I63" s="86">
        <v>5405</v>
      </c>
      <c r="J63">
        <v>5400</v>
      </c>
      <c r="K63" s="62">
        <v>103848</v>
      </c>
      <c r="L63" s="71">
        <v>25498</v>
      </c>
      <c r="M63" s="71">
        <v>1507</v>
      </c>
      <c r="N63" s="71">
        <v>681.44587313</v>
      </c>
      <c r="O63" s="62">
        <v>821.50678459000005</v>
      </c>
      <c r="P63" s="62">
        <v>1261</v>
      </c>
      <c r="Q63" s="62">
        <v>2098</v>
      </c>
      <c r="R63" s="62">
        <v>1271</v>
      </c>
      <c r="S63">
        <v>566</v>
      </c>
      <c r="T63" s="126">
        <v>257</v>
      </c>
      <c r="U63">
        <v>42</v>
      </c>
      <c r="V63" s="62">
        <f t="shared" si="1"/>
        <v>5495</v>
      </c>
    </row>
    <row r="64" spans="1:22" ht="14">
      <c r="A64" s="1">
        <v>438</v>
      </c>
      <c r="B64" s="2" t="s">
        <v>842</v>
      </c>
      <c r="C64" s="139"/>
      <c r="D64" s="139">
        <v>-17.408000000000001</v>
      </c>
      <c r="E64" s="109">
        <v>4</v>
      </c>
      <c r="F64" s="109">
        <v>37</v>
      </c>
      <c r="G64" s="86">
        <f t="shared" si="0"/>
        <v>4</v>
      </c>
      <c r="H64">
        <v>700</v>
      </c>
      <c r="I64" s="86">
        <v>2416</v>
      </c>
      <c r="J64">
        <v>2413</v>
      </c>
      <c r="K64" s="62">
        <v>51330</v>
      </c>
      <c r="L64" s="71">
        <v>9785</v>
      </c>
      <c r="M64" s="71">
        <v>0</v>
      </c>
      <c r="N64" s="71">
        <v>413.13357711999998</v>
      </c>
      <c r="O64" s="62">
        <v>365.22846224</v>
      </c>
      <c r="P64" s="62">
        <v>561</v>
      </c>
      <c r="Q64" s="62">
        <v>949</v>
      </c>
      <c r="R64" s="62">
        <v>509</v>
      </c>
      <c r="S64">
        <v>247</v>
      </c>
      <c r="T64" s="126">
        <v>156</v>
      </c>
      <c r="U64">
        <v>25</v>
      </c>
      <c r="V64" s="62">
        <f t="shared" si="1"/>
        <v>2447</v>
      </c>
    </row>
    <row r="65" spans="1:22" ht="14">
      <c r="A65" s="1">
        <v>439</v>
      </c>
      <c r="B65" s="2" t="s">
        <v>843</v>
      </c>
      <c r="C65" s="139"/>
      <c r="D65" s="139">
        <v>41.872</v>
      </c>
      <c r="E65" s="109">
        <v>4</v>
      </c>
      <c r="F65" s="109">
        <v>16</v>
      </c>
      <c r="G65" s="86">
        <f t="shared" si="0"/>
        <v>4</v>
      </c>
      <c r="H65">
        <v>2098</v>
      </c>
      <c r="I65" s="86">
        <v>1717</v>
      </c>
      <c r="J65">
        <v>1674</v>
      </c>
      <c r="K65" s="62">
        <v>40746</v>
      </c>
      <c r="L65" s="71">
        <v>6391</v>
      </c>
      <c r="M65" s="71">
        <v>0</v>
      </c>
      <c r="N65" s="71">
        <v>720.73846877999995</v>
      </c>
      <c r="O65" s="62">
        <v>261.72861282999997</v>
      </c>
      <c r="P65" s="62">
        <v>335</v>
      </c>
      <c r="Q65" s="62">
        <v>593</v>
      </c>
      <c r="R65" s="62">
        <v>412</v>
      </c>
      <c r="S65">
        <v>202</v>
      </c>
      <c r="T65" s="126">
        <v>96</v>
      </c>
      <c r="U65">
        <v>22</v>
      </c>
      <c r="V65" s="62">
        <f t="shared" si="1"/>
        <v>1660</v>
      </c>
    </row>
    <row r="66" spans="1:22" ht="14">
      <c r="A66" s="1">
        <v>441</v>
      </c>
      <c r="B66" s="2" t="s">
        <v>844</v>
      </c>
      <c r="C66" s="139"/>
      <c r="D66" s="139">
        <v>-46.768000000000001</v>
      </c>
      <c r="E66" s="109">
        <v>4</v>
      </c>
      <c r="F66" s="109">
        <v>34</v>
      </c>
      <c r="G66" s="86">
        <f t="shared" si="0"/>
        <v>4</v>
      </c>
      <c r="H66">
        <v>2500</v>
      </c>
      <c r="I66" s="86">
        <v>2087</v>
      </c>
      <c r="J66">
        <v>2047</v>
      </c>
      <c r="K66" s="62">
        <v>54162</v>
      </c>
      <c r="L66" s="71">
        <v>7275</v>
      </c>
      <c r="M66" s="71">
        <v>0</v>
      </c>
      <c r="N66" s="71">
        <v>599.49274505999995</v>
      </c>
      <c r="O66" s="62">
        <v>328.25543654000001</v>
      </c>
      <c r="P66" s="62">
        <v>458</v>
      </c>
      <c r="Q66" s="62">
        <v>791</v>
      </c>
      <c r="R66" s="62">
        <v>461</v>
      </c>
      <c r="S66">
        <v>208</v>
      </c>
      <c r="T66" s="126">
        <v>105</v>
      </c>
      <c r="U66">
        <v>22</v>
      </c>
      <c r="V66" s="62">
        <f t="shared" si="1"/>
        <v>2045</v>
      </c>
    </row>
    <row r="67" spans="1:22" ht="14">
      <c r="A67" s="1">
        <v>501</v>
      </c>
      <c r="B67" s="2" t="s">
        <v>845</v>
      </c>
      <c r="C67" s="139"/>
      <c r="D67" s="139">
        <v>-1.1479999999999999</v>
      </c>
      <c r="E67" s="109">
        <v>1</v>
      </c>
      <c r="F67" s="109">
        <v>64</v>
      </c>
      <c r="G67" s="86">
        <f t="shared" si="0"/>
        <v>0</v>
      </c>
      <c r="H67">
        <v>1500</v>
      </c>
      <c r="I67" s="86">
        <v>25075</v>
      </c>
      <c r="J67">
        <v>25776</v>
      </c>
      <c r="K67" s="62">
        <v>271931</v>
      </c>
      <c r="L67" s="71">
        <v>146903</v>
      </c>
      <c r="M67" s="71">
        <v>3987</v>
      </c>
      <c r="N67" s="71">
        <v>4452.4124099399996</v>
      </c>
      <c r="O67" s="62">
        <v>3350.5170681</v>
      </c>
      <c r="P67" s="62">
        <v>5500</v>
      </c>
      <c r="Q67" s="62">
        <v>11061</v>
      </c>
      <c r="R67" s="62">
        <v>5943</v>
      </c>
      <c r="S67">
        <v>2663</v>
      </c>
      <c r="T67" s="126">
        <v>1176</v>
      </c>
      <c r="U67">
        <v>228</v>
      </c>
      <c r="V67" s="62">
        <f t="shared" si="1"/>
        <v>26571</v>
      </c>
    </row>
    <row r="68" spans="1:22" ht="14">
      <c r="A68" s="1">
        <v>502</v>
      </c>
      <c r="B68" s="2" t="s">
        <v>846</v>
      </c>
      <c r="C68" s="139"/>
      <c r="D68" s="139">
        <v>-54.896000000000001</v>
      </c>
      <c r="E68" s="109">
        <v>1</v>
      </c>
      <c r="F68" s="109">
        <v>61</v>
      </c>
      <c r="G68" s="86">
        <f t="shared" si="0"/>
        <v>0</v>
      </c>
      <c r="H68">
        <v>5700</v>
      </c>
      <c r="I68" s="86">
        <v>27648</v>
      </c>
      <c r="J68">
        <v>28301</v>
      </c>
      <c r="K68" s="62">
        <v>304780</v>
      </c>
      <c r="L68" s="71">
        <v>139377</v>
      </c>
      <c r="M68" s="71">
        <v>4058</v>
      </c>
      <c r="N68" s="71">
        <v>5058.6410285399998</v>
      </c>
      <c r="O68" s="62">
        <v>3651.9789394600002</v>
      </c>
      <c r="P68" s="62">
        <v>6064</v>
      </c>
      <c r="Q68" s="62">
        <v>12131</v>
      </c>
      <c r="R68" s="62">
        <v>6373</v>
      </c>
      <c r="S68">
        <v>2858</v>
      </c>
      <c r="T68" s="126">
        <v>1319</v>
      </c>
      <c r="U68">
        <v>229</v>
      </c>
      <c r="V68" s="62">
        <f t="shared" si="1"/>
        <v>28974</v>
      </c>
    </row>
    <row r="69" spans="1:22" ht="14">
      <c r="A69" s="1">
        <v>511</v>
      </c>
      <c r="B69" s="2" t="s">
        <v>847</v>
      </c>
      <c r="C69" s="139"/>
      <c r="D69" s="139">
        <v>-82.697000000000003</v>
      </c>
      <c r="E69" s="109">
        <v>4</v>
      </c>
      <c r="F69" s="109">
        <v>22</v>
      </c>
      <c r="G69" s="86">
        <f t="shared" ref="G69:G132" si="2">IF(E69=3,IF(F69&lt;36,35,IF(F69&lt;39,34,IF(F69&lt;42,33,IF(F69&lt;45,32,IF(F69&lt;47,31,30))))),IF(E69=4,4,0))</f>
        <v>4</v>
      </c>
      <c r="H69">
        <v>600</v>
      </c>
      <c r="I69" s="86">
        <v>2875</v>
      </c>
      <c r="J69">
        <v>2778</v>
      </c>
      <c r="K69" s="62">
        <v>55509</v>
      </c>
      <c r="L69" s="71">
        <v>8648</v>
      </c>
      <c r="M69" s="71">
        <v>0</v>
      </c>
      <c r="N69" s="71">
        <v>321.07663874000002</v>
      </c>
      <c r="O69" s="62">
        <v>390.57961354999998</v>
      </c>
      <c r="P69" s="62">
        <v>545</v>
      </c>
      <c r="Q69" s="62">
        <v>996</v>
      </c>
      <c r="R69" s="62">
        <v>672</v>
      </c>
      <c r="S69">
        <v>341</v>
      </c>
      <c r="T69" s="126">
        <v>167</v>
      </c>
      <c r="U69">
        <v>27</v>
      </c>
      <c r="V69" s="62">
        <f t="shared" ref="V69:V132" si="3">P69+Q69+R69+S69+T69+U69</f>
        <v>2748</v>
      </c>
    </row>
    <row r="70" spans="1:22" ht="14">
      <c r="A70" s="1">
        <v>512</v>
      </c>
      <c r="B70" s="2" t="s">
        <v>848</v>
      </c>
      <c r="C70" s="139"/>
      <c r="D70" s="139">
        <v>191.33</v>
      </c>
      <c r="E70" s="109">
        <v>4</v>
      </c>
      <c r="F70" s="109">
        <v>20</v>
      </c>
      <c r="G70" s="86">
        <f t="shared" si="2"/>
        <v>4</v>
      </c>
      <c r="H70">
        <v>200</v>
      </c>
      <c r="I70" s="86">
        <v>2184</v>
      </c>
      <c r="J70">
        <v>2168</v>
      </c>
      <c r="K70" s="62">
        <v>50360</v>
      </c>
      <c r="L70" s="71">
        <v>9798</v>
      </c>
      <c r="M70" s="71">
        <v>0</v>
      </c>
      <c r="N70" s="71">
        <v>215.54795328</v>
      </c>
      <c r="O70" s="62">
        <v>345.56874574</v>
      </c>
      <c r="P70" s="62">
        <v>485</v>
      </c>
      <c r="Q70" s="62">
        <v>815</v>
      </c>
      <c r="R70" s="62">
        <v>503</v>
      </c>
      <c r="S70">
        <v>244</v>
      </c>
      <c r="T70" s="126">
        <v>122</v>
      </c>
      <c r="U70">
        <v>28</v>
      </c>
      <c r="V70" s="62">
        <f t="shared" si="3"/>
        <v>2197</v>
      </c>
    </row>
    <row r="71" spans="1:22" ht="14">
      <c r="A71" s="1">
        <v>513</v>
      </c>
      <c r="B71" s="2" t="s">
        <v>849</v>
      </c>
      <c r="C71" s="139"/>
      <c r="D71" s="139">
        <v>-11.680999999999999</v>
      </c>
      <c r="E71" s="109">
        <v>4</v>
      </c>
      <c r="F71" s="109">
        <v>23</v>
      </c>
      <c r="G71" s="86">
        <f t="shared" si="2"/>
        <v>4</v>
      </c>
      <c r="H71">
        <v>400</v>
      </c>
      <c r="I71" s="86">
        <v>2394</v>
      </c>
      <c r="J71">
        <v>2331</v>
      </c>
      <c r="K71" s="62">
        <v>43868</v>
      </c>
      <c r="L71" s="71">
        <v>7509</v>
      </c>
      <c r="M71" s="71">
        <v>0</v>
      </c>
      <c r="N71" s="71">
        <v>99.915457509999996</v>
      </c>
      <c r="O71" s="62">
        <v>327.38760044000003</v>
      </c>
      <c r="P71" s="62">
        <v>467</v>
      </c>
      <c r="Q71" s="62">
        <v>839</v>
      </c>
      <c r="R71" s="62">
        <v>563</v>
      </c>
      <c r="S71">
        <v>286</v>
      </c>
      <c r="T71" s="126">
        <v>117</v>
      </c>
      <c r="U71">
        <v>27</v>
      </c>
      <c r="V71" s="62">
        <f t="shared" si="3"/>
        <v>2299</v>
      </c>
    </row>
    <row r="72" spans="1:22" ht="14">
      <c r="A72" s="1">
        <v>514</v>
      </c>
      <c r="B72" s="2" t="s">
        <v>850</v>
      </c>
      <c r="C72" s="139"/>
      <c r="D72" s="139">
        <v>35.511000000000003</v>
      </c>
      <c r="E72" s="109">
        <v>4</v>
      </c>
      <c r="F72" s="109">
        <v>28</v>
      </c>
      <c r="G72" s="86">
        <f t="shared" si="2"/>
        <v>4</v>
      </c>
      <c r="H72">
        <v>700</v>
      </c>
      <c r="I72" s="86">
        <v>2467</v>
      </c>
      <c r="J72">
        <v>2407</v>
      </c>
      <c r="K72" s="62">
        <v>45421</v>
      </c>
      <c r="L72" s="71">
        <v>8012</v>
      </c>
      <c r="M72" s="71">
        <v>0</v>
      </c>
      <c r="N72" s="71">
        <v>0</v>
      </c>
      <c r="O72" s="62">
        <v>353.82067897000002</v>
      </c>
      <c r="P72" s="62">
        <v>493</v>
      </c>
      <c r="Q72" s="62">
        <v>895</v>
      </c>
      <c r="R72" s="62">
        <v>599</v>
      </c>
      <c r="S72">
        <v>259</v>
      </c>
      <c r="T72" s="126">
        <v>130</v>
      </c>
      <c r="U72">
        <v>25</v>
      </c>
      <c r="V72" s="62">
        <f t="shared" si="3"/>
        <v>2401</v>
      </c>
    </row>
    <row r="73" spans="1:22" ht="14">
      <c r="A73" s="1">
        <v>515</v>
      </c>
      <c r="B73" s="2" t="s">
        <v>851</v>
      </c>
      <c r="C73" s="139"/>
      <c r="D73" s="139">
        <v>-95.911000000000001</v>
      </c>
      <c r="E73" s="109">
        <v>4</v>
      </c>
      <c r="F73" s="109">
        <v>22</v>
      </c>
      <c r="G73" s="86">
        <f t="shared" si="2"/>
        <v>4</v>
      </c>
      <c r="H73">
        <v>2000</v>
      </c>
      <c r="I73" s="86">
        <v>3773</v>
      </c>
      <c r="J73">
        <v>3717</v>
      </c>
      <c r="K73" s="62">
        <v>79728</v>
      </c>
      <c r="L73" s="71">
        <v>13318</v>
      </c>
      <c r="M73" s="71">
        <v>0</v>
      </c>
      <c r="N73" s="71">
        <v>397.41653886</v>
      </c>
      <c r="O73" s="62">
        <v>547.78655345000004</v>
      </c>
      <c r="P73" s="62">
        <v>766</v>
      </c>
      <c r="Q73" s="62">
        <v>1347</v>
      </c>
      <c r="R73" s="62">
        <v>886</v>
      </c>
      <c r="S73">
        <v>449</v>
      </c>
      <c r="T73" s="126">
        <v>222</v>
      </c>
      <c r="U73">
        <v>48</v>
      </c>
      <c r="V73" s="62">
        <f t="shared" si="3"/>
        <v>3718</v>
      </c>
    </row>
    <row r="74" spans="1:22" ht="14">
      <c r="A74" s="1">
        <v>516</v>
      </c>
      <c r="B74" s="2" t="s">
        <v>852</v>
      </c>
      <c r="C74" s="139"/>
      <c r="D74" s="139">
        <v>-71.441000000000003</v>
      </c>
      <c r="E74" s="109">
        <v>4</v>
      </c>
      <c r="F74" s="109">
        <v>35</v>
      </c>
      <c r="G74" s="86">
        <f t="shared" si="2"/>
        <v>4</v>
      </c>
      <c r="H74">
        <v>1450</v>
      </c>
      <c r="I74" s="86">
        <v>5896</v>
      </c>
      <c r="J74">
        <v>5793</v>
      </c>
      <c r="K74" s="62">
        <v>91503</v>
      </c>
      <c r="L74" s="71">
        <v>20107</v>
      </c>
      <c r="M74" s="71">
        <v>0</v>
      </c>
      <c r="N74" s="71">
        <v>1224.8063386900001</v>
      </c>
      <c r="O74" s="62">
        <v>785.26532314999997</v>
      </c>
      <c r="P74" s="62">
        <v>1216</v>
      </c>
      <c r="Q74" s="62">
        <v>2237</v>
      </c>
      <c r="R74" s="62">
        <v>1415</v>
      </c>
      <c r="S74">
        <v>650</v>
      </c>
      <c r="T74" s="126">
        <v>271</v>
      </c>
      <c r="U74">
        <v>45</v>
      </c>
      <c r="V74" s="62">
        <f t="shared" si="3"/>
        <v>5834</v>
      </c>
    </row>
    <row r="75" spans="1:22" ht="14">
      <c r="A75" s="1">
        <v>517</v>
      </c>
      <c r="B75" s="2" t="s">
        <v>853</v>
      </c>
      <c r="C75" s="139"/>
      <c r="D75" s="139">
        <v>-132.06899999999999</v>
      </c>
      <c r="E75" s="109">
        <v>4</v>
      </c>
      <c r="F75" s="109">
        <v>29</v>
      </c>
      <c r="G75" s="86">
        <f t="shared" si="2"/>
        <v>4</v>
      </c>
      <c r="H75">
        <v>2100</v>
      </c>
      <c r="I75" s="86">
        <v>6059</v>
      </c>
      <c r="J75">
        <v>6005</v>
      </c>
      <c r="K75" s="62">
        <v>107740</v>
      </c>
      <c r="L75" s="71">
        <v>21875</v>
      </c>
      <c r="M75" s="71">
        <v>0</v>
      </c>
      <c r="N75" s="71">
        <v>784.72926741000003</v>
      </c>
      <c r="O75" s="62">
        <v>837.80187666999996</v>
      </c>
      <c r="P75" s="62">
        <v>1247</v>
      </c>
      <c r="Q75" s="62">
        <v>2249</v>
      </c>
      <c r="R75" s="62">
        <v>1421</v>
      </c>
      <c r="S75">
        <v>697</v>
      </c>
      <c r="T75" s="126">
        <v>337</v>
      </c>
      <c r="U75">
        <v>53</v>
      </c>
      <c r="V75" s="62">
        <f t="shared" si="3"/>
        <v>6004</v>
      </c>
    </row>
    <row r="76" spans="1:22" ht="14">
      <c r="A76" s="1">
        <v>519</v>
      </c>
      <c r="B76" s="2" t="s">
        <v>854</v>
      </c>
      <c r="C76" s="139"/>
      <c r="D76" s="139">
        <v>-54.551000000000002</v>
      </c>
      <c r="E76" s="109">
        <v>4</v>
      </c>
      <c r="F76" s="109">
        <v>29</v>
      </c>
      <c r="G76" s="86">
        <f t="shared" si="2"/>
        <v>4</v>
      </c>
      <c r="H76">
        <v>1050</v>
      </c>
      <c r="I76" s="86">
        <v>3271</v>
      </c>
      <c r="J76">
        <v>3170</v>
      </c>
      <c r="K76" s="62">
        <v>58575</v>
      </c>
      <c r="L76" s="71">
        <v>10103</v>
      </c>
      <c r="M76" s="71">
        <v>0</v>
      </c>
      <c r="N76" s="71">
        <v>217.79324446000001</v>
      </c>
      <c r="O76" s="62">
        <v>460.62751379999997</v>
      </c>
      <c r="P76" s="62">
        <v>675</v>
      </c>
      <c r="Q76" s="62">
        <v>1238</v>
      </c>
      <c r="R76" s="62">
        <v>707</v>
      </c>
      <c r="S76">
        <v>352</v>
      </c>
      <c r="T76" s="126">
        <v>188</v>
      </c>
      <c r="U76">
        <v>52</v>
      </c>
      <c r="V76" s="62">
        <f t="shared" si="3"/>
        <v>3212</v>
      </c>
    </row>
    <row r="77" spans="1:22" ht="14">
      <c r="A77" s="1">
        <v>520</v>
      </c>
      <c r="B77" s="2" t="s">
        <v>855</v>
      </c>
      <c r="C77" s="139"/>
      <c r="D77" s="139">
        <v>110.221</v>
      </c>
      <c r="E77" s="109">
        <v>4</v>
      </c>
      <c r="F77" s="109">
        <v>41</v>
      </c>
      <c r="G77" s="86">
        <f t="shared" si="2"/>
        <v>4</v>
      </c>
      <c r="H77">
        <v>850</v>
      </c>
      <c r="I77" s="86">
        <v>4586</v>
      </c>
      <c r="J77">
        <v>4532</v>
      </c>
      <c r="K77" s="62">
        <v>81605</v>
      </c>
      <c r="L77" s="71">
        <v>15102</v>
      </c>
      <c r="M77" s="71">
        <v>0</v>
      </c>
      <c r="N77" s="71">
        <v>1802.9688175399999</v>
      </c>
      <c r="O77" s="62">
        <v>676.76073014999997</v>
      </c>
      <c r="P77" s="62">
        <v>922</v>
      </c>
      <c r="Q77" s="62">
        <v>1798</v>
      </c>
      <c r="R77" s="62">
        <v>1006</v>
      </c>
      <c r="S77">
        <v>526</v>
      </c>
      <c r="T77" s="126">
        <v>254</v>
      </c>
      <c r="U77">
        <v>50</v>
      </c>
      <c r="V77" s="62">
        <f t="shared" si="3"/>
        <v>4556</v>
      </c>
    </row>
    <row r="78" spans="1:22" ht="14">
      <c r="A78" s="1">
        <v>521</v>
      </c>
      <c r="B78" s="2" t="s">
        <v>856</v>
      </c>
      <c r="C78" s="139"/>
      <c r="D78" s="139">
        <v>-6.5919999999999996</v>
      </c>
      <c r="E78" s="109">
        <v>2</v>
      </c>
      <c r="F78" s="109">
        <v>56</v>
      </c>
      <c r="G78" s="86">
        <f t="shared" si="2"/>
        <v>0</v>
      </c>
      <c r="H78">
        <v>850</v>
      </c>
      <c r="I78" s="86">
        <v>4840</v>
      </c>
      <c r="J78">
        <v>4929</v>
      </c>
      <c r="K78" s="62">
        <v>64018</v>
      </c>
      <c r="L78" s="71">
        <v>20253</v>
      </c>
      <c r="M78" s="71">
        <v>0</v>
      </c>
      <c r="N78" s="71">
        <v>487.22818605999998</v>
      </c>
      <c r="O78" s="62">
        <v>660.54910448999999</v>
      </c>
      <c r="P78" s="62">
        <v>1091</v>
      </c>
      <c r="Q78" s="62">
        <v>2134</v>
      </c>
      <c r="R78" s="62">
        <v>1119</v>
      </c>
      <c r="S78">
        <v>493</v>
      </c>
      <c r="T78" s="126">
        <v>220</v>
      </c>
      <c r="U78">
        <v>35</v>
      </c>
      <c r="V78" s="62">
        <f t="shared" si="3"/>
        <v>5092</v>
      </c>
    </row>
    <row r="79" spans="1:22" ht="14">
      <c r="A79" s="1">
        <v>522</v>
      </c>
      <c r="B79" s="2" t="s">
        <v>857</v>
      </c>
      <c r="C79" s="139"/>
      <c r="D79" s="139">
        <v>-85.698999999999998</v>
      </c>
      <c r="E79" s="109">
        <v>3</v>
      </c>
      <c r="F79" s="109">
        <v>43</v>
      </c>
      <c r="G79" s="86">
        <f t="shared" si="2"/>
        <v>32</v>
      </c>
      <c r="H79">
        <v>6650</v>
      </c>
      <c r="I79" s="86">
        <v>6175</v>
      </c>
      <c r="J79">
        <v>6129</v>
      </c>
      <c r="K79" s="62">
        <v>97404</v>
      </c>
      <c r="L79" s="71">
        <v>26852</v>
      </c>
      <c r="M79" s="71">
        <v>0</v>
      </c>
      <c r="N79" s="71">
        <v>1326.9670873800001</v>
      </c>
      <c r="O79" s="62">
        <v>844.00937263000003</v>
      </c>
      <c r="P79" s="62">
        <v>1296</v>
      </c>
      <c r="Q79" s="62">
        <v>2403</v>
      </c>
      <c r="R79" s="62">
        <v>1349</v>
      </c>
      <c r="S79">
        <v>690</v>
      </c>
      <c r="T79" s="126">
        <v>338</v>
      </c>
      <c r="U79">
        <v>65</v>
      </c>
      <c r="V79" s="62">
        <f t="shared" si="3"/>
        <v>6141</v>
      </c>
    </row>
    <row r="80" spans="1:22" ht="14">
      <c r="A80" s="1">
        <v>528</v>
      </c>
      <c r="B80" s="2" t="s">
        <v>858</v>
      </c>
      <c r="C80" s="139"/>
      <c r="D80" s="139">
        <v>-2.2999999999999998</v>
      </c>
      <c r="E80" s="109">
        <v>1</v>
      </c>
      <c r="F80" s="109">
        <v>57</v>
      </c>
      <c r="G80" s="86">
        <f t="shared" si="2"/>
        <v>0</v>
      </c>
      <c r="H80">
        <v>2300</v>
      </c>
      <c r="I80" s="86">
        <v>14604</v>
      </c>
      <c r="J80">
        <v>14459</v>
      </c>
      <c r="K80" s="62">
        <v>196898</v>
      </c>
      <c r="L80" s="71">
        <v>60274</v>
      </c>
      <c r="M80" s="71">
        <v>0</v>
      </c>
      <c r="N80" s="71">
        <v>3620.53202775</v>
      </c>
      <c r="O80" s="62">
        <v>1937.4466167800001</v>
      </c>
      <c r="P80" s="62">
        <v>3043</v>
      </c>
      <c r="Q80" s="62">
        <v>5687</v>
      </c>
      <c r="R80" s="62">
        <v>3448</v>
      </c>
      <c r="S80">
        <v>1547</v>
      </c>
      <c r="T80" s="126">
        <v>756</v>
      </c>
      <c r="U80">
        <v>123</v>
      </c>
      <c r="V80" s="62">
        <f t="shared" si="3"/>
        <v>14604</v>
      </c>
    </row>
    <row r="81" spans="1:22" ht="14">
      <c r="A81" s="1">
        <v>529</v>
      </c>
      <c r="B81" s="2" t="s">
        <v>859</v>
      </c>
      <c r="C81" s="139"/>
      <c r="D81" s="139">
        <v>-21</v>
      </c>
      <c r="E81" s="109">
        <v>1</v>
      </c>
      <c r="F81" s="109">
        <v>54</v>
      </c>
      <c r="G81" s="86">
        <f t="shared" si="2"/>
        <v>0</v>
      </c>
      <c r="H81">
        <v>4300</v>
      </c>
      <c r="I81" s="86">
        <v>12546</v>
      </c>
      <c r="J81">
        <v>12635</v>
      </c>
      <c r="K81" s="62">
        <v>143999</v>
      </c>
      <c r="L81" s="71">
        <v>60787</v>
      </c>
      <c r="M81" s="71">
        <v>0</v>
      </c>
      <c r="N81" s="71">
        <v>1853.48786909</v>
      </c>
      <c r="O81" s="62">
        <v>1641.3659770300001</v>
      </c>
      <c r="P81" s="62">
        <v>2684</v>
      </c>
      <c r="Q81" s="62">
        <v>5167</v>
      </c>
      <c r="R81" s="62">
        <v>2999</v>
      </c>
      <c r="S81">
        <v>1313</v>
      </c>
      <c r="T81" s="126">
        <v>539</v>
      </c>
      <c r="U81">
        <v>101</v>
      </c>
      <c r="V81" s="62">
        <f t="shared" si="3"/>
        <v>12803</v>
      </c>
    </row>
    <row r="82" spans="1:22" ht="14">
      <c r="A82" s="1">
        <v>532</v>
      </c>
      <c r="B82" s="2" t="s">
        <v>860</v>
      </c>
      <c r="C82" s="139"/>
      <c r="D82" s="139">
        <v>73.37</v>
      </c>
      <c r="E82" s="109">
        <v>1</v>
      </c>
      <c r="F82" s="109">
        <v>64</v>
      </c>
      <c r="G82" s="86">
        <f t="shared" si="2"/>
        <v>0</v>
      </c>
      <c r="H82">
        <v>2000</v>
      </c>
      <c r="I82" s="86">
        <v>6335</v>
      </c>
      <c r="J82">
        <v>6256</v>
      </c>
      <c r="K82" s="62">
        <v>75460</v>
      </c>
      <c r="L82" s="71">
        <v>27315</v>
      </c>
      <c r="M82" s="71">
        <v>0</v>
      </c>
      <c r="N82" s="71">
        <v>669.09677164000004</v>
      </c>
      <c r="O82" s="62">
        <v>823.69369764999999</v>
      </c>
      <c r="P82" s="62">
        <v>1439</v>
      </c>
      <c r="Q82" s="62">
        <v>2590</v>
      </c>
      <c r="R82" s="62">
        <v>1420</v>
      </c>
      <c r="S82">
        <v>598</v>
      </c>
      <c r="T82" s="126">
        <v>244</v>
      </c>
      <c r="U82">
        <v>68</v>
      </c>
      <c r="V82" s="62">
        <f t="shared" si="3"/>
        <v>6359</v>
      </c>
    </row>
    <row r="83" spans="1:22" ht="14">
      <c r="A83" s="1">
        <v>533</v>
      </c>
      <c r="B83" s="2" t="s">
        <v>861</v>
      </c>
      <c r="C83" s="139"/>
      <c r="D83" s="139">
        <v>11.752000000000001</v>
      </c>
      <c r="E83" s="109">
        <v>1</v>
      </c>
      <c r="F83" s="109">
        <v>70</v>
      </c>
      <c r="G83" s="86">
        <f t="shared" si="2"/>
        <v>0</v>
      </c>
      <c r="H83">
        <v>900</v>
      </c>
      <c r="I83" s="86">
        <v>8505</v>
      </c>
      <c r="J83">
        <v>8598</v>
      </c>
      <c r="K83" s="62">
        <v>87956</v>
      </c>
      <c r="L83" s="71">
        <v>43513</v>
      </c>
      <c r="M83" s="71">
        <v>0</v>
      </c>
      <c r="N83" s="71">
        <v>964.35256181</v>
      </c>
      <c r="O83" s="62">
        <v>1098.97091198</v>
      </c>
      <c r="P83" s="62">
        <v>1970</v>
      </c>
      <c r="Q83" s="62">
        <v>3574</v>
      </c>
      <c r="R83" s="62">
        <v>2046</v>
      </c>
      <c r="S83">
        <v>715</v>
      </c>
      <c r="T83" s="126">
        <v>292</v>
      </c>
      <c r="U83">
        <v>57</v>
      </c>
      <c r="V83" s="62">
        <f t="shared" si="3"/>
        <v>8654</v>
      </c>
    </row>
    <row r="84" spans="1:22" ht="14">
      <c r="A84" s="1">
        <v>534</v>
      </c>
      <c r="B84" s="2" t="s">
        <v>862</v>
      </c>
      <c r="C84" s="139"/>
      <c r="D84" s="139">
        <v>16.701000000000001</v>
      </c>
      <c r="E84" s="109">
        <v>1</v>
      </c>
      <c r="F84" s="109">
        <v>61</v>
      </c>
      <c r="G84" s="86">
        <f t="shared" si="2"/>
        <v>0</v>
      </c>
      <c r="H84">
        <v>2100</v>
      </c>
      <c r="I84" s="86">
        <v>13010</v>
      </c>
      <c r="J84">
        <v>13189</v>
      </c>
      <c r="K84" s="62">
        <v>175581</v>
      </c>
      <c r="L84" s="71">
        <v>61992</v>
      </c>
      <c r="M84" s="71">
        <v>0</v>
      </c>
      <c r="N84" s="71">
        <v>1798.47823518</v>
      </c>
      <c r="O84" s="62">
        <v>1778.7631394299999</v>
      </c>
      <c r="P84" s="62">
        <v>2886</v>
      </c>
      <c r="Q84" s="62">
        <v>5385</v>
      </c>
      <c r="R84" s="62">
        <v>3050</v>
      </c>
      <c r="S84">
        <v>1341</v>
      </c>
      <c r="T84" s="126">
        <v>663</v>
      </c>
      <c r="U84">
        <v>109</v>
      </c>
      <c r="V84" s="62">
        <f t="shared" si="3"/>
        <v>13434</v>
      </c>
    </row>
    <row r="85" spans="1:22" ht="14">
      <c r="A85" s="1">
        <v>536</v>
      </c>
      <c r="B85" s="2" t="s">
        <v>863</v>
      </c>
      <c r="C85" s="139"/>
      <c r="D85" s="139">
        <v>-14.962</v>
      </c>
      <c r="E85" s="109">
        <v>3</v>
      </c>
      <c r="F85" s="109">
        <v>36</v>
      </c>
      <c r="G85" s="86">
        <f t="shared" si="2"/>
        <v>34</v>
      </c>
      <c r="H85">
        <v>10450</v>
      </c>
      <c r="I85" s="86">
        <v>6008</v>
      </c>
      <c r="J85">
        <v>5853</v>
      </c>
      <c r="K85" s="62">
        <v>101230</v>
      </c>
      <c r="L85" s="71">
        <v>19150</v>
      </c>
      <c r="M85" s="71">
        <v>0</v>
      </c>
      <c r="N85" s="71">
        <v>1366.2596830299999</v>
      </c>
      <c r="O85" s="62">
        <v>811.57034968999994</v>
      </c>
      <c r="P85" s="62">
        <v>1208</v>
      </c>
      <c r="Q85" s="62">
        <v>2234</v>
      </c>
      <c r="R85" s="62">
        <v>1415</v>
      </c>
      <c r="S85">
        <v>652</v>
      </c>
      <c r="T85" s="126">
        <v>269</v>
      </c>
      <c r="U85">
        <v>59</v>
      </c>
      <c r="V85" s="62">
        <f t="shared" si="3"/>
        <v>5837</v>
      </c>
    </row>
    <row r="86" spans="1:22" ht="14">
      <c r="A86" s="1">
        <v>538</v>
      </c>
      <c r="B86" s="2" t="s">
        <v>864</v>
      </c>
      <c r="C86" s="139"/>
      <c r="D86" s="139">
        <v>19.216000000000001</v>
      </c>
      <c r="E86" s="109">
        <v>3</v>
      </c>
      <c r="F86" s="109">
        <v>38</v>
      </c>
      <c r="G86" s="86">
        <f t="shared" si="2"/>
        <v>34</v>
      </c>
      <c r="H86">
        <v>7150</v>
      </c>
      <c r="I86" s="86">
        <v>6847</v>
      </c>
      <c r="J86">
        <v>6636</v>
      </c>
      <c r="K86" s="62">
        <v>110284</v>
      </c>
      <c r="L86" s="71">
        <v>24170</v>
      </c>
      <c r="M86" s="71">
        <v>0</v>
      </c>
      <c r="N86" s="71">
        <v>407.52034916999997</v>
      </c>
      <c r="O86" s="62">
        <v>920.32550136999998</v>
      </c>
      <c r="P86" s="62">
        <v>1362</v>
      </c>
      <c r="Q86" s="62">
        <v>2551</v>
      </c>
      <c r="R86" s="62">
        <v>1596</v>
      </c>
      <c r="S86">
        <v>810</v>
      </c>
      <c r="T86" s="126">
        <v>337</v>
      </c>
      <c r="U86">
        <v>60</v>
      </c>
      <c r="V86" s="62">
        <f t="shared" si="3"/>
        <v>6716</v>
      </c>
    </row>
    <row r="87" spans="1:22" ht="14">
      <c r="A87" s="1">
        <v>540</v>
      </c>
      <c r="B87" s="2" t="s">
        <v>865</v>
      </c>
      <c r="C87" s="139"/>
      <c r="D87" s="139">
        <v>40.381999999999998</v>
      </c>
      <c r="E87" s="109">
        <v>3</v>
      </c>
      <c r="F87" s="109">
        <v>23</v>
      </c>
      <c r="G87" s="86">
        <f t="shared" si="2"/>
        <v>35</v>
      </c>
      <c r="H87">
        <v>400</v>
      </c>
      <c r="I87" s="86">
        <v>3265</v>
      </c>
      <c r="J87">
        <v>3176</v>
      </c>
      <c r="K87" s="62">
        <v>76674</v>
      </c>
      <c r="L87" s="71">
        <v>10813</v>
      </c>
      <c r="M87" s="71">
        <v>0</v>
      </c>
      <c r="N87" s="71">
        <v>644.39856866000002</v>
      </c>
      <c r="O87" s="62">
        <v>520.18498778000003</v>
      </c>
      <c r="P87" s="62">
        <v>670</v>
      </c>
      <c r="Q87" s="62">
        <v>1177</v>
      </c>
      <c r="R87" s="62">
        <v>716</v>
      </c>
      <c r="S87">
        <v>376</v>
      </c>
      <c r="T87" s="126">
        <v>176</v>
      </c>
      <c r="U87">
        <v>49</v>
      </c>
      <c r="V87" s="62">
        <f t="shared" si="3"/>
        <v>3164</v>
      </c>
    </row>
    <row r="88" spans="1:22" ht="14">
      <c r="A88" s="1">
        <v>541</v>
      </c>
      <c r="B88" s="2" t="s">
        <v>866</v>
      </c>
      <c r="C88" s="139"/>
      <c r="D88" s="139">
        <v>-42.889000000000003</v>
      </c>
      <c r="E88" s="109">
        <v>3</v>
      </c>
      <c r="F88" s="109">
        <v>22</v>
      </c>
      <c r="G88" s="86">
        <f t="shared" si="2"/>
        <v>35</v>
      </c>
      <c r="H88">
        <v>2250</v>
      </c>
      <c r="I88" s="86">
        <v>1397</v>
      </c>
      <c r="J88">
        <v>1388</v>
      </c>
      <c r="K88" s="62">
        <v>41826</v>
      </c>
      <c r="L88" s="71">
        <v>5199</v>
      </c>
      <c r="M88" s="71">
        <v>0</v>
      </c>
      <c r="N88" s="71">
        <v>214.42530769000001</v>
      </c>
      <c r="O88" s="62">
        <v>242.11289853</v>
      </c>
      <c r="P88" s="62">
        <v>287</v>
      </c>
      <c r="Q88" s="62">
        <v>505</v>
      </c>
      <c r="R88" s="62">
        <v>297</v>
      </c>
      <c r="S88">
        <v>195</v>
      </c>
      <c r="T88" s="126">
        <v>85</v>
      </c>
      <c r="U88">
        <v>19</v>
      </c>
      <c r="V88" s="62">
        <f t="shared" si="3"/>
        <v>1388</v>
      </c>
    </row>
    <row r="89" spans="1:22" ht="14">
      <c r="A89" s="1">
        <v>542</v>
      </c>
      <c r="B89" s="2" t="s">
        <v>867</v>
      </c>
      <c r="C89" s="139"/>
      <c r="D89" s="139">
        <v>-10.433</v>
      </c>
      <c r="E89" s="109">
        <v>3</v>
      </c>
      <c r="F89" s="109">
        <v>48</v>
      </c>
      <c r="G89" s="86">
        <f t="shared" si="2"/>
        <v>30</v>
      </c>
      <c r="H89">
        <v>1650</v>
      </c>
      <c r="I89" s="86">
        <v>6442</v>
      </c>
      <c r="J89">
        <v>6436</v>
      </c>
      <c r="K89" s="62">
        <v>89186</v>
      </c>
      <c r="L89" s="71">
        <v>25652</v>
      </c>
      <c r="M89" s="71">
        <v>0</v>
      </c>
      <c r="N89" s="71">
        <v>653.37973337999995</v>
      </c>
      <c r="O89" s="62">
        <v>861.71797930000002</v>
      </c>
      <c r="P89" s="62">
        <v>1325</v>
      </c>
      <c r="Q89" s="62">
        <v>2492</v>
      </c>
      <c r="R89" s="62">
        <v>1575</v>
      </c>
      <c r="S89">
        <v>651</v>
      </c>
      <c r="T89" s="126">
        <v>299</v>
      </c>
      <c r="U89">
        <v>60</v>
      </c>
      <c r="V89" s="62">
        <f t="shared" si="3"/>
        <v>6402</v>
      </c>
    </row>
    <row r="90" spans="1:22" ht="14">
      <c r="A90" s="1">
        <v>543</v>
      </c>
      <c r="B90" s="2" t="s">
        <v>868</v>
      </c>
      <c r="C90" s="139"/>
      <c r="D90" s="139">
        <v>-19.399000000000001</v>
      </c>
      <c r="E90" s="109">
        <v>3</v>
      </c>
      <c r="F90" s="109">
        <v>31</v>
      </c>
      <c r="G90" s="86">
        <f t="shared" si="2"/>
        <v>35</v>
      </c>
      <c r="H90">
        <v>400</v>
      </c>
      <c r="I90" s="86">
        <v>2245</v>
      </c>
      <c r="J90">
        <v>2217</v>
      </c>
      <c r="K90" s="62">
        <v>40207</v>
      </c>
      <c r="L90" s="71">
        <v>9477</v>
      </c>
      <c r="M90" s="71">
        <v>0</v>
      </c>
      <c r="N90" s="71">
        <v>655.62502456000004</v>
      </c>
      <c r="O90" s="62">
        <v>320.85412650000001</v>
      </c>
      <c r="P90" s="62">
        <v>456</v>
      </c>
      <c r="Q90" s="62">
        <v>857</v>
      </c>
      <c r="R90" s="62">
        <v>523</v>
      </c>
      <c r="S90">
        <v>244</v>
      </c>
      <c r="T90" s="126">
        <v>114</v>
      </c>
      <c r="U90">
        <v>23</v>
      </c>
      <c r="V90" s="62">
        <f t="shared" si="3"/>
        <v>2217</v>
      </c>
    </row>
    <row r="91" spans="1:22" ht="14">
      <c r="A91" s="1">
        <v>544</v>
      </c>
      <c r="B91" s="2" t="s">
        <v>869</v>
      </c>
      <c r="C91" s="139"/>
      <c r="D91" s="139">
        <v>126.569</v>
      </c>
      <c r="E91" s="109">
        <v>3</v>
      </c>
      <c r="F91" s="109">
        <v>47</v>
      </c>
      <c r="G91" s="86">
        <f t="shared" si="2"/>
        <v>30</v>
      </c>
      <c r="H91">
        <v>300</v>
      </c>
      <c r="I91" s="86">
        <v>3114</v>
      </c>
      <c r="J91">
        <v>3176</v>
      </c>
      <c r="K91" s="62">
        <v>59069</v>
      </c>
      <c r="L91" s="71">
        <v>12042</v>
      </c>
      <c r="M91" s="71">
        <v>0</v>
      </c>
      <c r="N91" s="71">
        <v>262.69906806</v>
      </c>
      <c r="O91" s="62">
        <v>477.48719670999998</v>
      </c>
      <c r="P91" s="62">
        <v>655</v>
      </c>
      <c r="Q91" s="62">
        <v>1300</v>
      </c>
      <c r="R91" s="62">
        <v>723</v>
      </c>
      <c r="S91">
        <v>316</v>
      </c>
      <c r="T91" s="126">
        <v>130</v>
      </c>
      <c r="U91">
        <v>47</v>
      </c>
      <c r="V91" s="62">
        <f t="shared" si="3"/>
        <v>3171</v>
      </c>
    </row>
    <row r="92" spans="1:22" ht="14">
      <c r="A92" s="1">
        <v>545</v>
      </c>
      <c r="B92" s="2" t="s">
        <v>870</v>
      </c>
      <c r="C92" s="139"/>
      <c r="D92" s="139">
        <v>117.79600000000001</v>
      </c>
      <c r="E92" s="109">
        <v>3</v>
      </c>
      <c r="F92" s="109">
        <v>20</v>
      </c>
      <c r="G92" s="86">
        <f t="shared" si="2"/>
        <v>35</v>
      </c>
      <c r="H92">
        <v>0</v>
      </c>
      <c r="I92" s="86">
        <v>1613</v>
      </c>
      <c r="J92">
        <v>1582</v>
      </c>
      <c r="K92" s="62">
        <v>40634</v>
      </c>
      <c r="L92" s="71">
        <v>7235</v>
      </c>
      <c r="M92" s="71">
        <v>0</v>
      </c>
      <c r="N92" s="71">
        <v>385.06743736999999</v>
      </c>
      <c r="O92" s="62">
        <v>265.67615352000001</v>
      </c>
      <c r="P92" s="62">
        <v>330</v>
      </c>
      <c r="Q92" s="62">
        <v>605</v>
      </c>
      <c r="R92" s="62">
        <v>380</v>
      </c>
      <c r="S92">
        <v>168</v>
      </c>
      <c r="T92" s="126">
        <v>90</v>
      </c>
      <c r="U92">
        <v>18</v>
      </c>
      <c r="V92" s="62">
        <f t="shared" si="3"/>
        <v>1591</v>
      </c>
    </row>
    <row r="93" spans="1:22" ht="14">
      <c r="A93" s="1">
        <v>602</v>
      </c>
      <c r="B93" s="2" t="s">
        <v>871</v>
      </c>
      <c r="C93" s="139"/>
      <c r="D93" s="139">
        <v>-21.869</v>
      </c>
      <c r="E93" s="109">
        <v>1</v>
      </c>
      <c r="F93" s="109">
        <v>78</v>
      </c>
      <c r="G93" s="86">
        <f t="shared" si="2"/>
        <v>0</v>
      </c>
      <c r="H93">
        <v>1500</v>
      </c>
      <c r="I93" s="86">
        <v>57148</v>
      </c>
      <c r="J93">
        <v>60145</v>
      </c>
      <c r="K93" s="62">
        <v>569341</v>
      </c>
      <c r="L93" s="71">
        <v>333246</v>
      </c>
      <c r="M93" s="71">
        <v>6750</v>
      </c>
      <c r="N93" s="71">
        <v>28077.366205900002</v>
      </c>
      <c r="O93" s="62">
        <v>7880.7880067400001</v>
      </c>
      <c r="P93" s="62">
        <v>13644</v>
      </c>
      <c r="Q93" s="62">
        <v>28371</v>
      </c>
      <c r="R93" s="62">
        <v>13059</v>
      </c>
      <c r="S93">
        <v>5565</v>
      </c>
      <c r="T93" s="126">
        <v>2433</v>
      </c>
      <c r="U93">
        <v>510</v>
      </c>
      <c r="V93" s="62">
        <f t="shared" si="3"/>
        <v>63582</v>
      </c>
    </row>
    <row r="94" spans="1:22" ht="14">
      <c r="A94" s="1">
        <v>604</v>
      </c>
      <c r="B94" s="2" t="s">
        <v>872</v>
      </c>
      <c r="C94" s="139"/>
      <c r="D94" s="139">
        <v>-51.795000000000002</v>
      </c>
      <c r="E94" s="109">
        <v>1</v>
      </c>
      <c r="F94" s="109">
        <v>75</v>
      </c>
      <c r="G94" s="86">
        <f t="shared" si="2"/>
        <v>0</v>
      </c>
      <c r="H94">
        <v>3000</v>
      </c>
      <c r="I94" s="86">
        <v>23244</v>
      </c>
      <c r="J94">
        <v>23997</v>
      </c>
      <c r="K94" s="62">
        <v>260718</v>
      </c>
      <c r="L94" s="71">
        <v>139723</v>
      </c>
      <c r="M94" s="71">
        <v>3891</v>
      </c>
      <c r="N94" s="71">
        <v>2494.5185009800002</v>
      </c>
      <c r="O94" s="62">
        <v>3125.6962426</v>
      </c>
      <c r="P94" s="62">
        <v>5464</v>
      </c>
      <c r="Q94" s="62">
        <v>10758</v>
      </c>
      <c r="R94" s="62">
        <v>5519</v>
      </c>
      <c r="S94">
        <v>2240</v>
      </c>
      <c r="T94" s="126">
        <v>894</v>
      </c>
      <c r="U94">
        <v>215</v>
      </c>
      <c r="V94" s="62">
        <f t="shared" si="3"/>
        <v>25090</v>
      </c>
    </row>
    <row r="95" spans="1:22" ht="14">
      <c r="A95" s="1">
        <v>605</v>
      </c>
      <c r="B95" s="2" t="s">
        <v>873</v>
      </c>
      <c r="C95" s="139"/>
      <c r="D95" s="139">
        <v>32.746000000000002</v>
      </c>
      <c r="E95" s="109">
        <v>1</v>
      </c>
      <c r="F95" s="109">
        <v>60</v>
      </c>
      <c r="G95" s="86">
        <f t="shared" si="2"/>
        <v>0</v>
      </c>
      <c r="H95">
        <v>2000</v>
      </c>
      <c r="I95" s="86">
        <v>28079</v>
      </c>
      <c r="J95">
        <v>28523</v>
      </c>
      <c r="K95" s="62">
        <v>311780</v>
      </c>
      <c r="L95" s="71">
        <v>127375</v>
      </c>
      <c r="M95" s="71">
        <v>6840</v>
      </c>
      <c r="N95" s="71">
        <v>3988.7597812700001</v>
      </c>
      <c r="O95" s="62">
        <v>3644.38022886</v>
      </c>
      <c r="P95" s="62">
        <v>5822</v>
      </c>
      <c r="Q95" s="62">
        <v>12012</v>
      </c>
      <c r="R95" s="62">
        <v>6712</v>
      </c>
      <c r="S95">
        <v>2800</v>
      </c>
      <c r="T95" s="126">
        <v>1360</v>
      </c>
      <c r="U95">
        <v>240</v>
      </c>
      <c r="V95" s="62">
        <f t="shared" si="3"/>
        <v>28946</v>
      </c>
    </row>
    <row r="96" spans="1:22" ht="14">
      <c r="A96" s="1">
        <v>612</v>
      </c>
      <c r="B96" s="2" t="s">
        <v>874</v>
      </c>
      <c r="C96" s="139"/>
      <c r="D96" s="139">
        <v>13.56</v>
      </c>
      <c r="E96" s="109">
        <v>1</v>
      </c>
      <c r="F96" s="109">
        <v>79</v>
      </c>
      <c r="G96" s="86">
        <f t="shared" si="2"/>
        <v>0</v>
      </c>
      <c r="H96">
        <v>1000</v>
      </c>
      <c r="I96" s="86">
        <v>5229</v>
      </c>
      <c r="J96">
        <v>5622</v>
      </c>
      <c r="K96" s="62">
        <v>54501</v>
      </c>
      <c r="L96" s="71">
        <v>33538</v>
      </c>
      <c r="M96" s="71">
        <v>0</v>
      </c>
      <c r="N96" s="71">
        <v>987.92811919999997</v>
      </c>
      <c r="O96" s="62">
        <v>777.42666575999999</v>
      </c>
      <c r="P96" s="62">
        <v>1409</v>
      </c>
      <c r="Q96" s="62">
        <v>2590</v>
      </c>
      <c r="R96" s="62">
        <v>1372</v>
      </c>
      <c r="S96">
        <v>530</v>
      </c>
      <c r="T96" s="126">
        <v>207</v>
      </c>
      <c r="U96">
        <v>32</v>
      </c>
      <c r="V96" s="62">
        <f t="shared" si="3"/>
        <v>6140</v>
      </c>
    </row>
    <row r="97" spans="1:22" ht="14">
      <c r="A97" s="1">
        <v>615</v>
      </c>
      <c r="B97" s="2" t="s">
        <v>875</v>
      </c>
      <c r="C97" s="139"/>
      <c r="D97" s="139">
        <v>132.66499999999999</v>
      </c>
      <c r="E97" s="109">
        <v>3</v>
      </c>
      <c r="F97" s="109">
        <v>19</v>
      </c>
      <c r="G97" s="86">
        <f t="shared" si="2"/>
        <v>35</v>
      </c>
      <c r="H97">
        <v>2200</v>
      </c>
      <c r="I97" s="86">
        <v>1014</v>
      </c>
      <c r="J97">
        <v>974</v>
      </c>
      <c r="K97" s="62">
        <v>33282</v>
      </c>
      <c r="L97" s="71">
        <v>4090</v>
      </c>
      <c r="M97" s="71">
        <v>0</v>
      </c>
      <c r="N97" s="71">
        <v>407.52034916999997</v>
      </c>
      <c r="O97" s="62">
        <v>172.52340670999999</v>
      </c>
      <c r="P97" s="62">
        <v>205</v>
      </c>
      <c r="Q97" s="62">
        <v>337</v>
      </c>
      <c r="R97" s="62">
        <v>235</v>
      </c>
      <c r="S97">
        <v>140</v>
      </c>
      <c r="T97" s="126">
        <v>71</v>
      </c>
      <c r="U97">
        <v>12</v>
      </c>
      <c r="V97" s="62">
        <f t="shared" si="3"/>
        <v>1000</v>
      </c>
    </row>
    <row r="98" spans="1:22" ht="14">
      <c r="A98" s="1">
        <v>616</v>
      </c>
      <c r="B98" s="2" t="s">
        <v>819</v>
      </c>
      <c r="C98" s="139"/>
      <c r="D98" s="139">
        <v>-32.387999999999998</v>
      </c>
      <c r="E98" s="109">
        <v>3</v>
      </c>
      <c r="F98" s="109">
        <v>53</v>
      </c>
      <c r="G98" s="86">
        <f t="shared" si="2"/>
        <v>30</v>
      </c>
      <c r="H98">
        <v>926</v>
      </c>
      <c r="I98" s="86">
        <v>3485</v>
      </c>
      <c r="J98">
        <v>3459</v>
      </c>
      <c r="K98" s="62">
        <v>56067</v>
      </c>
      <c r="L98" s="71">
        <v>12515</v>
      </c>
      <c r="M98" s="71">
        <v>0</v>
      </c>
      <c r="N98" s="71">
        <v>654.50237897</v>
      </c>
      <c r="O98" s="62">
        <v>488.49972069</v>
      </c>
      <c r="P98" s="62">
        <v>697</v>
      </c>
      <c r="Q98" s="62">
        <v>1322</v>
      </c>
      <c r="R98" s="62">
        <v>823</v>
      </c>
      <c r="S98">
        <v>358</v>
      </c>
      <c r="T98" s="126">
        <v>187</v>
      </c>
      <c r="U98">
        <v>58</v>
      </c>
      <c r="V98" s="62">
        <f t="shared" si="3"/>
        <v>3445</v>
      </c>
    </row>
    <row r="99" spans="1:22" ht="14">
      <c r="A99" s="1">
        <v>617</v>
      </c>
      <c r="B99" s="2" t="s">
        <v>876</v>
      </c>
      <c r="C99" s="139"/>
      <c r="D99" s="139">
        <v>9.44</v>
      </c>
      <c r="E99" s="109">
        <v>3</v>
      </c>
      <c r="F99" s="109">
        <v>55</v>
      </c>
      <c r="G99" s="86">
        <f t="shared" si="2"/>
        <v>30</v>
      </c>
      <c r="H99">
        <v>3319</v>
      </c>
      <c r="I99" s="86">
        <v>4375</v>
      </c>
      <c r="J99">
        <v>4439</v>
      </c>
      <c r="K99" s="62">
        <v>68794</v>
      </c>
      <c r="L99" s="71">
        <v>22436</v>
      </c>
      <c r="M99" s="71">
        <v>3199</v>
      </c>
      <c r="N99" s="71">
        <v>1015.99425895</v>
      </c>
      <c r="O99" s="62">
        <v>646.89311018000001</v>
      </c>
      <c r="P99" s="62">
        <v>1005</v>
      </c>
      <c r="Q99" s="62">
        <v>1846</v>
      </c>
      <c r="R99" s="62">
        <v>986</v>
      </c>
      <c r="S99">
        <v>471</v>
      </c>
      <c r="T99" s="126">
        <v>209</v>
      </c>
      <c r="U99">
        <v>55</v>
      </c>
      <c r="V99" s="62">
        <f t="shared" si="3"/>
        <v>4572</v>
      </c>
    </row>
    <row r="100" spans="1:22" ht="14">
      <c r="A100" s="1">
        <v>618</v>
      </c>
      <c r="B100" s="2" t="s">
        <v>877</v>
      </c>
      <c r="C100" s="139"/>
      <c r="D100" s="139">
        <v>-115.724</v>
      </c>
      <c r="E100" s="109">
        <v>3</v>
      </c>
      <c r="F100" s="109">
        <v>60</v>
      </c>
      <c r="G100" s="86">
        <f t="shared" si="2"/>
        <v>30</v>
      </c>
      <c r="H100">
        <v>0</v>
      </c>
      <c r="I100" s="86">
        <v>1909</v>
      </c>
      <c r="J100">
        <v>1968</v>
      </c>
      <c r="K100" s="62">
        <v>28093</v>
      </c>
      <c r="L100" s="71">
        <v>11622</v>
      </c>
      <c r="M100" s="71">
        <v>0</v>
      </c>
      <c r="N100" s="71">
        <v>262.69906806</v>
      </c>
      <c r="O100" s="62">
        <v>302.23412614</v>
      </c>
      <c r="P100" s="62">
        <v>506</v>
      </c>
      <c r="Q100" s="62">
        <v>987</v>
      </c>
      <c r="R100" s="62">
        <v>390</v>
      </c>
      <c r="S100">
        <v>166</v>
      </c>
      <c r="T100" s="126">
        <v>76</v>
      </c>
      <c r="U100">
        <v>15</v>
      </c>
      <c r="V100" s="62">
        <f t="shared" si="3"/>
        <v>2140</v>
      </c>
    </row>
    <row r="101" spans="1:22" ht="14">
      <c r="A101" s="1">
        <v>619</v>
      </c>
      <c r="B101" s="2" t="s">
        <v>878</v>
      </c>
      <c r="C101" s="139"/>
      <c r="D101" s="139">
        <v>36.744</v>
      </c>
      <c r="E101" s="109">
        <v>3</v>
      </c>
      <c r="F101" s="109">
        <v>41</v>
      </c>
      <c r="G101" s="86">
        <f t="shared" si="2"/>
        <v>33</v>
      </c>
      <c r="H101">
        <v>0</v>
      </c>
      <c r="I101" s="86">
        <v>4670</v>
      </c>
      <c r="J101">
        <v>4686</v>
      </c>
      <c r="K101" s="62">
        <v>81202</v>
      </c>
      <c r="L101" s="71">
        <v>20800</v>
      </c>
      <c r="M101" s="71">
        <v>0</v>
      </c>
      <c r="N101" s="71">
        <v>716.24788641999999</v>
      </c>
      <c r="O101" s="62">
        <v>685.92792957999995</v>
      </c>
      <c r="P101" s="62">
        <v>1062</v>
      </c>
      <c r="Q101" s="62">
        <v>1781</v>
      </c>
      <c r="R101" s="62">
        <v>1100</v>
      </c>
      <c r="S101">
        <v>457</v>
      </c>
      <c r="T101" s="126">
        <v>251</v>
      </c>
      <c r="U101">
        <v>62</v>
      </c>
      <c r="V101" s="62">
        <f t="shared" si="3"/>
        <v>4713</v>
      </c>
    </row>
    <row r="102" spans="1:22" ht="14">
      <c r="A102" s="1">
        <v>620</v>
      </c>
      <c r="B102" s="2" t="s">
        <v>880</v>
      </c>
      <c r="C102" s="139"/>
      <c r="D102" s="139">
        <v>-32.732999999999997</v>
      </c>
      <c r="E102" s="109">
        <v>3</v>
      </c>
      <c r="F102" s="109">
        <v>43</v>
      </c>
      <c r="G102" s="86">
        <f t="shared" si="2"/>
        <v>32</v>
      </c>
      <c r="H102">
        <v>0</v>
      </c>
      <c r="I102" s="86">
        <v>4557</v>
      </c>
      <c r="J102">
        <v>4438</v>
      </c>
      <c r="K102" s="62">
        <v>57866</v>
      </c>
      <c r="L102" s="71">
        <v>18450</v>
      </c>
      <c r="M102" s="71">
        <v>0</v>
      </c>
      <c r="N102" s="71">
        <v>940.77700442000003</v>
      </c>
      <c r="O102" s="62">
        <v>585.93589038000005</v>
      </c>
      <c r="P102" s="62">
        <v>894</v>
      </c>
      <c r="Q102" s="62">
        <v>1812</v>
      </c>
      <c r="R102" s="62">
        <v>1063</v>
      </c>
      <c r="S102">
        <v>431</v>
      </c>
      <c r="T102" s="126">
        <v>214</v>
      </c>
      <c r="U102">
        <v>39</v>
      </c>
      <c r="V102" s="62">
        <f t="shared" si="3"/>
        <v>4453</v>
      </c>
    </row>
    <row r="103" spans="1:22" ht="14">
      <c r="A103" s="1">
        <v>621</v>
      </c>
      <c r="B103" s="2" t="s">
        <v>881</v>
      </c>
      <c r="C103" s="139"/>
      <c r="D103" s="139">
        <v>-36.746000000000002</v>
      </c>
      <c r="E103" s="109">
        <v>3</v>
      </c>
      <c r="F103" s="109">
        <v>38</v>
      </c>
      <c r="G103" s="86">
        <f t="shared" si="2"/>
        <v>34</v>
      </c>
      <c r="H103">
        <v>3207</v>
      </c>
      <c r="I103" s="86">
        <v>3537</v>
      </c>
      <c r="J103">
        <v>3524</v>
      </c>
      <c r="K103" s="62">
        <v>71040</v>
      </c>
      <c r="L103" s="71">
        <v>15301</v>
      </c>
      <c r="M103" s="71">
        <v>0</v>
      </c>
      <c r="N103" s="71">
        <v>231.26499154000001</v>
      </c>
      <c r="O103" s="62">
        <v>516.37839736000001</v>
      </c>
      <c r="P103" s="62">
        <v>733</v>
      </c>
      <c r="Q103" s="62">
        <v>1322</v>
      </c>
      <c r="R103" s="62">
        <v>851</v>
      </c>
      <c r="S103">
        <v>356</v>
      </c>
      <c r="T103" s="126">
        <v>217</v>
      </c>
      <c r="U103">
        <v>45</v>
      </c>
      <c r="V103" s="62">
        <f t="shared" si="3"/>
        <v>3524</v>
      </c>
    </row>
    <row r="104" spans="1:22" ht="14">
      <c r="A104" s="1">
        <v>622</v>
      </c>
      <c r="B104" s="2" t="s">
        <v>882</v>
      </c>
      <c r="C104" s="139"/>
      <c r="D104" s="139">
        <v>282.464</v>
      </c>
      <c r="E104" s="109">
        <v>3</v>
      </c>
      <c r="F104" s="109">
        <v>49</v>
      </c>
      <c r="G104" s="86">
        <f t="shared" si="2"/>
        <v>30</v>
      </c>
      <c r="H104">
        <v>400</v>
      </c>
      <c r="I104" s="86">
        <v>2151</v>
      </c>
      <c r="J104">
        <v>2098</v>
      </c>
      <c r="K104" s="62">
        <v>39699</v>
      </c>
      <c r="L104" s="71">
        <v>8977</v>
      </c>
      <c r="M104" s="71">
        <v>0</v>
      </c>
      <c r="N104" s="71">
        <v>46.028469190000003</v>
      </c>
      <c r="O104" s="62">
        <v>298.29980628999999</v>
      </c>
      <c r="P104" s="62">
        <v>405</v>
      </c>
      <c r="Q104" s="62">
        <v>874</v>
      </c>
      <c r="R104" s="62">
        <v>554</v>
      </c>
      <c r="S104">
        <v>204</v>
      </c>
      <c r="T104" s="126">
        <v>108</v>
      </c>
      <c r="U104">
        <v>19</v>
      </c>
      <c r="V104" s="62">
        <f t="shared" si="3"/>
        <v>2164</v>
      </c>
    </row>
    <row r="105" spans="1:22" ht="14">
      <c r="A105" s="1">
        <v>623</v>
      </c>
      <c r="B105" s="2" t="s">
        <v>883</v>
      </c>
      <c r="C105" s="139"/>
      <c r="D105" s="139">
        <v>59.552</v>
      </c>
      <c r="E105" s="109">
        <v>1</v>
      </c>
      <c r="F105" s="109">
        <v>60</v>
      </c>
      <c r="G105" s="86">
        <f t="shared" si="2"/>
        <v>0</v>
      </c>
      <c r="H105">
        <v>1000</v>
      </c>
      <c r="I105" s="86">
        <v>12541</v>
      </c>
      <c r="J105">
        <v>12695</v>
      </c>
      <c r="K105" s="62">
        <v>149283</v>
      </c>
      <c r="L105" s="71">
        <v>65831</v>
      </c>
      <c r="M105" s="71">
        <v>0</v>
      </c>
      <c r="N105" s="71">
        <v>1997.1865046099999</v>
      </c>
      <c r="O105" s="62">
        <v>1658.86438049</v>
      </c>
      <c r="P105" s="62">
        <v>2618</v>
      </c>
      <c r="Q105" s="62">
        <v>5278</v>
      </c>
      <c r="R105" s="62">
        <v>3159</v>
      </c>
      <c r="S105">
        <v>1211</v>
      </c>
      <c r="T105" s="126">
        <v>562</v>
      </c>
      <c r="U105">
        <v>112</v>
      </c>
      <c r="V105" s="62">
        <f t="shared" si="3"/>
        <v>12940</v>
      </c>
    </row>
    <row r="106" spans="1:22" ht="14">
      <c r="A106" s="1">
        <v>624</v>
      </c>
      <c r="B106" s="2" t="s">
        <v>884</v>
      </c>
      <c r="C106" s="139"/>
      <c r="D106" s="139">
        <v>6.9980000000000002</v>
      </c>
      <c r="E106" s="109">
        <v>1</v>
      </c>
      <c r="F106" s="109">
        <v>66</v>
      </c>
      <c r="G106" s="86">
        <f t="shared" si="2"/>
        <v>0</v>
      </c>
      <c r="H106">
        <v>2500</v>
      </c>
      <c r="I106" s="86">
        <v>15633</v>
      </c>
      <c r="J106">
        <v>16132</v>
      </c>
      <c r="K106" s="62">
        <v>175935</v>
      </c>
      <c r="L106" s="71">
        <v>86939</v>
      </c>
      <c r="M106" s="71">
        <v>0</v>
      </c>
      <c r="N106" s="71">
        <v>2335.1028271999999</v>
      </c>
      <c r="O106" s="62">
        <v>2171.200711</v>
      </c>
      <c r="P106" s="62">
        <v>3831</v>
      </c>
      <c r="Q106" s="62">
        <v>7158</v>
      </c>
      <c r="R106" s="62">
        <v>3742</v>
      </c>
      <c r="S106">
        <v>1448</v>
      </c>
      <c r="T106" s="126">
        <v>672</v>
      </c>
      <c r="U106">
        <v>136</v>
      </c>
      <c r="V106" s="62">
        <f t="shared" si="3"/>
        <v>16987</v>
      </c>
    </row>
    <row r="107" spans="1:22" ht="14">
      <c r="A107" s="1">
        <v>625</v>
      </c>
      <c r="B107" s="2" t="s">
        <v>885</v>
      </c>
      <c r="C107" s="139"/>
      <c r="D107" s="139">
        <v>9.7439999999999998</v>
      </c>
      <c r="E107" s="109">
        <v>1</v>
      </c>
      <c r="F107" s="109">
        <v>84</v>
      </c>
      <c r="G107" s="86">
        <f t="shared" si="2"/>
        <v>0</v>
      </c>
      <c r="H107">
        <v>3500</v>
      </c>
      <c r="I107" s="86">
        <v>21522</v>
      </c>
      <c r="J107">
        <v>22092</v>
      </c>
      <c r="K107" s="62">
        <v>199020</v>
      </c>
      <c r="L107" s="71">
        <v>129415</v>
      </c>
      <c r="M107" s="71">
        <v>0</v>
      </c>
      <c r="N107" s="71">
        <v>3671.0510792999999</v>
      </c>
      <c r="O107" s="62">
        <v>2885.8677821900001</v>
      </c>
      <c r="P107" s="62">
        <v>5524</v>
      </c>
      <c r="Q107" s="62">
        <v>10153</v>
      </c>
      <c r="R107" s="62">
        <v>4672</v>
      </c>
      <c r="S107">
        <v>1726</v>
      </c>
      <c r="T107" s="126">
        <v>740</v>
      </c>
      <c r="U107">
        <v>102</v>
      </c>
      <c r="V107" s="62">
        <f t="shared" si="3"/>
        <v>22917</v>
      </c>
    </row>
    <row r="108" spans="1:22" ht="14">
      <c r="A108" s="1">
        <v>626</v>
      </c>
      <c r="B108" s="2" t="s">
        <v>886</v>
      </c>
      <c r="C108" s="139"/>
      <c r="D108" s="139">
        <v>-35.573999999999998</v>
      </c>
      <c r="E108" s="109">
        <v>1</v>
      </c>
      <c r="F108" s="109">
        <v>87</v>
      </c>
      <c r="G108" s="86">
        <f t="shared" si="2"/>
        <v>0</v>
      </c>
      <c r="H108">
        <v>0</v>
      </c>
      <c r="I108" s="86">
        <v>21725</v>
      </c>
      <c r="J108">
        <v>22700</v>
      </c>
      <c r="K108" s="62">
        <v>204690</v>
      </c>
      <c r="L108" s="71">
        <v>148480</v>
      </c>
      <c r="M108" s="71">
        <v>0</v>
      </c>
      <c r="N108" s="71">
        <v>5523.4163028000003</v>
      </c>
      <c r="O108" s="62">
        <v>2951.5257309899998</v>
      </c>
      <c r="P108" s="62">
        <v>5675</v>
      </c>
      <c r="Q108" s="62">
        <v>10038</v>
      </c>
      <c r="R108" s="62">
        <v>5084</v>
      </c>
      <c r="S108">
        <v>1941</v>
      </c>
      <c r="T108" s="126">
        <v>720</v>
      </c>
      <c r="U108">
        <v>122</v>
      </c>
      <c r="V108" s="62">
        <f t="shared" si="3"/>
        <v>23580</v>
      </c>
    </row>
    <row r="109" spans="1:22" ht="14">
      <c r="A109" s="1">
        <v>627</v>
      </c>
      <c r="B109" s="2" t="s">
        <v>887</v>
      </c>
      <c r="C109" s="139"/>
      <c r="D109" s="139">
        <v>-108.96299999999999</v>
      </c>
      <c r="E109" s="109">
        <v>1</v>
      </c>
      <c r="F109" s="109">
        <v>96</v>
      </c>
      <c r="G109" s="86">
        <f t="shared" si="2"/>
        <v>0</v>
      </c>
      <c r="H109">
        <v>2000</v>
      </c>
      <c r="I109" s="86">
        <v>17280</v>
      </c>
      <c r="J109">
        <v>18231</v>
      </c>
      <c r="K109" s="62">
        <v>157608</v>
      </c>
      <c r="L109" s="71">
        <v>123522</v>
      </c>
      <c r="M109" s="71">
        <v>0</v>
      </c>
      <c r="N109" s="71">
        <v>1778.27061456</v>
      </c>
      <c r="O109" s="62">
        <v>2404.6299538899998</v>
      </c>
      <c r="P109" s="62">
        <v>4892</v>
      </c>
      <c r="Q109" s="62">
        <v>8347</v>
      </c>
      <c r="R109" s="62">
        <v>3994</v>
      </c>
      <c r="S109">
        <v>1522</v>
      </c>
      <c r="T109" s="126">
        <v>413</v>
      </c>
      <c r="U109">
        <v>96</v>
      </c>
      <c r="V109" s="62">
        <f t="shared" si="3"/>
        <v>19264</v>
      </c>
    </row>
    <row r="110" spans="1:22" ht="14">
      <c r="A110" s="1">
        <v>628</v>
      </c>
      <c r="B110" s="2" t="s">
        <v>888</v>
      </c>
      <c r="C110" s="139"/>
      <c r="D110" s="139">
        <v>-62.609000000000002</v>
      </c>
      <c r="E110" s="109">
        <v>1</v>
      </c>
      <c r="F110" s="109">
        <v>79</v>
      </c>
      <c r="G110" s="86">
        <f t="shared" si="2"/>
        <v>0</v>
      </c>
      <c r="H110">
        <v>1250</v>
      </c>
      <c r="I110" s="86">
        <v>8799</v>
      </c>
      <c r="J110">
        <v>9023</v>
      </c>
      <c r="K110" s="62">
        <v>107493</v>
      </c>
      <c r="L110" s="71">
        <v>44952</v>
      </c>
      <c r="M110" s="71">
        <v>0</v>
      </c>
      <c r="N110" s="71">
        <v>2072.4037591400001</v>
      </c>
      <c r="O110" s="62">
        <v>1201.3200169199999</v>
      </c>
      <c r="P110" s="62">
        <v>2082</v>
      </c>
      <c r="Q110" s="62">
        <v>3600</v>
      </c>
      <c r="R110" s="62">
        <v>2223</v>
      </c>
      <c r="S110">
        <v>866</v>
      </c>
      <c r="T110" s="126">
        <v>312</v>
      </c>
      <c r="U110">
        <v>72</v>
      </c>
      <c r="V110" s="62">
        <f t="shared" si="3"/>
        <v>9155</v>
      </c>
    </row>
    <row r="111" spans="1:22" ht="14">
      <c r="A111" s="1">
        <v>631</v>
      </c>
      <c r="B111" s="2" t="s">
        <v>889</v>
      </c>
      <c r="C111" s="139"/>
      <c r="D111" s="139">
        <v>-218.3</v>
      </c>
      <c r="E111" s="109">
        <v>3</v>
      </c>
      <c r="F111" s="109">
        <v>53</v>
      </c>
      <c r="G111" s="86">
        <f t="shared" si="2"/>
        <v>30</v>
      </c>
      <c r="H111">
        <v>800</v>
      </c>
      <c r="I111" s="86">
        <v>2517</v>
      </c>
      <c r="J111">
        <v>2521</v>
      </c>
      <c r="K111" s="62">
        <v>48763</v>
      </c>
      <c r="L111" s="71">
        <v>10532</v>
      </c>
      <c r="M111" s="71">
        <v>0</v>
      </c>
      <c r="N111" s="71">
        <v>360.36923438999997</v>
      </c>
      <c r="O111" s="62">
        <v>386.79984803000002</v>
      </c>
      <c r="P111" s="62">
        <v>579</v>
      </c>
      <c r="Q111" s="62">
        <v>975</v>
      </c>
      <c r="R111" s="62">
        <v>636</v>
      </c>
      <c r="S111">
        <v>248</v>
      </c>
      <c r="T111" s="126">
        <v>123</v>
      </c>
      <c r="U111">
        <v>31</v>
      </c>
      <c r="V111" s="62">
        <f t="shared" si="3"/>
        <v>2592</v>
      </c>
    </row>
    <row r="112" spans="1:22" ht="14">
      <c r="A112" s="1">
        <v>632</v>
      </c>
      <c r="B112" s="2" t="s">
        <v>890</v>
      </c>
      <c r="C112" s="139"/>
      <c r="D112" s="139">
        <v>7.7149999999999999</v>
      </c>
      <c r="E112" s="109">
        <v>3</v>
      </c>
      <c r="F112" s="109">
        <v>41</v>
      </c>
      <c r="G112" s="86">
        <f t="shared" si="2"/>
        <v>33</v>
      </c>
      <c r="H112">
        <v>1768</v>
      </c>
      <c r="I112" s="86">
        <v>1441</v>
      </c>
      <c r="J112">
        <v>1419</v>
      </c>
      <c r="K112" s="62">
        <v>45196</v>
      </c>
      <c r="L112" s="71">
        <v>5481</v>
      </c>
      <c r="M112" s="71">
        <v>0</v>
      </c>
      <c r="N112" s="71">
        <v>59.500216270000003</v>
      </c>
      <c r="O112" s="62">
        <v>241.70165724</v>
      </c>
      <c r="P112" s="62">
        <v>284</v>
      </c>
      <c r="Q112" s="62">
        <v>468</v>
      </c>
      <c r="R112" s="62">
        <v>361</v>
      </c>
      <c r="S112">
        <v>158</v>
      </c>
      <c r="T112" s="126">
        <v>84</v>
      </c>
      <c r="U112">
        <v>27</v>
      </c>
      <c r="V112" s="62">
        <f t="shared" si="3"/>
        <v>1382</v>
      </c>
    </row>
    <row r="113" spans="1:22" ht="14">
      <c r="A113" s="1">
        <v>633</v>
      </c>
      <c r="B113" s="2" t="s">
        <v>891</v>
      </c>
      <c r="C113" s="139"/>
      <c r="D113" s="139">
        <v>86.188000000000002</v>
      </c>
      <c r="E113" s="109">
        <v>4</v>
      </c>
      <c r="F113" s="109">
        <v>24</v>
      </c>
      <c r="G113" s="86">
        <f>IF(E113=3,IF(F113&lt;36,35,IF(F113&lt;39,34,IF(F113&lt;42,33,IF(F113&lt;45,32,IF(F113&lt;47,31,30))))),IF(E113=4,4,0))</f>
        <v>4</v>
      </c>
      <c r="H113">
        <v>0</v>
      </c>
      <c r="I113" s="86">
        <v>2635</v>
      </c>
      <c r="J113">
        <v>2534</v>
      </c>
      <c r="K113" s="62">
        <v>50822</v>
      </c>
      <c r="L113" s="71">
        <v>8886</v>
      </c>
      <c r="M113" s="71">
        <v>0</v>
      </c>
      <c r="N113" s="71">
        <v>345.77484171999998</v>
      </c>
      <c r="O113" s="62">
        <v>388.32472151000002</v>
      </c>
      <c r="P113" s="62">
        <v>529</v>
      </c>
      <c r="Q113" s="62">
        <v>940</v>
      </c>
      <c r="R113" s="62">
        <v>594</v>
      </c>
      <c r="S113">
        <v>276</v>
      </c>
      <c r="T113" s="126">
        <v>149</v>
      </c>
      <c r="U113">
        <v>36</v>
      </c>
      <c r="V113" s="62">
        <f t="shared" si="3"/>
        <v>2524</v>
      </c>
    </row>
    <row r="114" spans="1:22" ht="14">
      <c r="A114" s="1">
        <v>701</v>
      </c>
      <c r="B114" s="4" t="s">
        <v>346</v>
      </c>
      <c r="C114" s="139"/>
      <c r="D114" s="139">
        <v>30.408999999999999</v>
      </c>
      <c r="E114" s="109">
        <v>1</v>
      </c>
      <c r="F114" s="109">
        <v>74</v>
      </c>
      <c r="G114" s="86">
        <f t="shared" si="2"/>
        <v>0</v>
      </c>
      <c r="H114">
        <v>1790</v>
      </c>
      <c r="I114" s="86">
        <v>24768</v>
      </c>
      <c r="J114">
        <v>25098</v>
      </c>
      <c r="K114" s="62">
        <v>267605</v>
      </c>
      <c r="L114" s="71">
        <v>122787</v>
      </c>
      <c r="M114" s="71">
        <v>0</v>
      </c>
      <c r="N114" s="71">
        <v>2330.6122448400001</v>
      </c>
      <c r="O114" s="62">
        <v>3353.0829621900002</v>
      </c>
      <c r="P114" s="62">
        <v>5782</v>
      </c>
      <c r="Q114" s="62">
        <v>10853</v>
      </c>
      <c r="R114" s="62">
        <v>5716</v>
      </c>
      <c r="S114">
        <v>2490</v>
      </c>
      <c r="T114" s="126">
        <v>977</v>
      </c>
      <c r="U114">
        <v>218</v>
      </c>
      <c r="V114" s="62">
        <f t="shared" si="3"/>
        <v>26036</v>
      </c>
    </row>
    <row r="115" spans="1:22" ht="14">
      <c r="A115" s="1">
        <v>702</v>
      </c>
      <c r="B115" s="2" t="s">
        <v>892</v>
      </c>
      <c r="C115" s="139"/>
      <c r="D115" s="139">
        <v>-55.107999999999997</v>
      </c>
      <c r="E115" s="109">
        <v>1</v>
      </c>
      <c r="F115" s="109">
        <v>74</v>
      </c>
      <c r="G115" s="86">
        <f t="shared" si="2"/>
        <v>0</v>
      </c>
      <c r="H115">
        <v>2340</v>
      </c>
      <c r="I115" s="86">
        <v>9604</v>
      </c>
      <c r="J115">
        <v>9860</v>
      </c>
      <c r="K115" s="62">
        <v>104878</v>
      </c>
      <c r="L115" s="71">
        <v>51019</v>
      </c>
      <c r="M115" s="71">
        <v>0</v>
      </c>
      <c r="N115" s="71">
        <v>2039.8470370299999</v>
      </c>
      <c r="O115" s="62">
        <v>1273.6857178099999</v>
      </c>
      <c r="P115" s="62">
        <v>2160</v>
      </c>
      <c r="Q115" s="62">
        <v>4118</v>
      </c>
      <c r="R115" s="62">
        <v>2386</v>
      </c>
      <c r="S115">
        <v>1012</v>
      </c>
      <c r="T115" s="126">
        <v>404</v>
      </c>
      <c r="U115">
        <v>72</v>
      </c>
      <c r="V115" s="62">
        <f t="shared" si="3"/>
        <v>10152</v>
      </c>
    </row>
    <row r="116" spans="1:22" ht="14">
      <c r="A116" s="1">
        <v>704</v>
      </c>
      <c r="B116" s="2" t="s">
        <v>893</v>
      </c>
      <c r="C116" s="139"/>
      <c r="D116" s="139">
        <v>1.8120000000000001</v>
      </c>
      <c r="E116" s="109">
        <v>1</v>
      </c>
      <c r="F116" s="109">
        <v>84</v>
      </c>
      <c r="G116" s="86">
        <f t="shared" si="2"/>
        <v>0</v>
      </c>
      <c r="H116">
        <v>1140</v>
      </c>
      <c r="I116" s="86">
        <v>36452</v>
      </c>
      <c r="J116">
        <v>38393</v>
      </c>
      <c r="K116" s="62">
        <v>386409</v>
      </c>
      <c r="L116" s="71">
        <v>232274</v>
      </c>
      <c r="M116" s="71">
        <v>7062</v>
      </c>
      <c r="N116" s="71">
        <v>5891.6440563200003</v>
      </c>
      <c r="O116" s="62">
        <v>5021.1269671099999</v>
      </c>
      <c r="P116" s="62">
        <v>8495</v>
      </c>
      <c r="Q116" s="62">
        <v>17215</v>
      </c>
      <c r="R116" s="62">
        <v>8364</v>
      </c>
      <c r="S116">
        <v>3667</v>
      </c>
      <c r="T116" s="126">
        <v>1692</v>
      </c>
      <c r="U116">
        <v>325</v>
      </c>
      <c r="V116" s="62">
        <f t="shared" si="3"/>
        <v>39758</v>
      </c>
    </row>
    <row r="117" spans="1:22" ht="14">
      <c r="A117" s="1">
        <v>706</v>
      </c>
      <c r="B117" s="2" t="s">
        <v>894</v>
      </c>
      <c r="C117" s="139"/>
      <c r="D117" s="139">
        <v>-27.251999999999999</v>
      </c>
      <c r="E117" s="109">
        <v>1</v>
      </c>
      <c r="F117" s="109">
        <v>82</v>
      </c>
      <c r="G117" s="86">
        <f t="shared" si="2"/>
        <v>0</v>
      </c>
      <c r="H117">
        <v>2790</v>
      </c>
      <c r="I117" s="86">
        <v>41289</v>
      </c>
      <c r="J117">
        <v>42333</v>
      </c>
      <c r="K117" s="62">
        <v>472256</v>
      </c>
      <c r="L117" s="71">
        <v>227988</v>
      </c>
      <c r="M117" s="71">
        <v>0</v>
      </c>
      <c r="N117" s="71">
        <v>10003.894852490001</v>
      </c>
      <c r="O117" s="62">
        <v>5596.3567684899999</v>
      </c>
      <c r="P117" s="62">
        <v>9714</v>
      </c>
      <c r="Q117" s="62">
        <v>18073</v>
      </c>
      <c r="R117" s="62">
        <v>9576</v>
      </c>
      <c r="S117">
        <v>4252</v>
      </c>
      <c r="T117" s="126">
        <v>1664</v>
      </c>
      <c r="U117">
        <v>369</v>
      </c>
      <c r="V117" s="62">
        <f t="shared" si="3"/>
        <v>43648</v>
      </c>
    </row>
    <row r="118" spans="1:22" ht="14">
      <c r="A118" s="1">
        <v>709</v>
      </c>
      <c r="B118" s="2" t="s">
        <v>895</v>
      </c>
      <c r="C118" s="139"/>
      <c r="D118" s="139">
        <v>9.2010000000000005</v>
      </c>
      <c r="E118" s="109">
        <v>1</v>
      </c>
      <c r="F118" s="109">
        <v>70</v>
      </c>
      <c r="G118" s="86">
        <f t="shared" si="2"/>
        <v>0</v>
      </c>
      <c r="H118">
        <v>3130</v>
      </c>
      <c r="I118" s="86">
        <v>41142</v>
      </c>
      <c r="J118">
        <v>41723</v>
      </c>
      <c r="K118" s="62">
        <v>484225</v>
      </c>
      <c r="L118" s="71">
        <v>226917</v>
      </c>
      <c r="M118" s="71">
        <v>0</v>
      </c>
      <c r="N118" s="71">
        <v>10548.37796364</v>
      </c>
      <c r="O118" s="62">
        <v>5509.5642025200004</v>
      </c>
      <c r="P118" s="62">
        <v>9205</v>
      </c>
      <c r="Q118" s="62">
        <v>17222</v>
      </c>
      <c r="R118" s="62">
        <v>9847</v>
      </c>
      <c r="S118">
        <v>4093</v>
      </c>
      <c r="T118" s="126">
        <v>1854</v>
      </c>
      <c r="U118">
        <v>417</v>
      </c>
      <c r="V118" s="62">
        <f t="shared" si="3"/>
        <v>42638</v>
      </c>
    </row>
    <row r="119" spans="1:22" ht="14">
      <c r="A119" s="1">
        <v>711</v>
      </c>
      <c r="B119" s="2" t="s">
        <v>896</v>
      </c>
      <c r="C119" s="139"/>
      <c r="D119" s="139">
        <v>76.355000000000004</v>
      </c>
      <c r="E119" s="109">
        <v>1</v>
      </c>
      <c r="F119" s="109">
        <v>73</v>
      </c>
      <c r="G119" s="86">
        <f t="shared" si="2"/>
        <v>0</v>
      </c>
      <c r="H119">
        <v>1700</v>
      </c>
      <c r="I119" s="86">
        <v>6441</v>
      </c>
      <c r="J119">
        <v>6463</v>
      </c>
      <c r="K119" s="62">
        <v>74269</v>
      </c>
      <c r="L119" s="71">
        <v>29306</v>
      </c>
      <c r="M119" s="71">
        <v>0</v>
      </c>
      <c r="N119" s="71">
        <v>1387.5899492399999</v>
      </c>
      <c r="O119" s="62">
        <v>844.56343068000001</v>
      </c>
      <c r="P119" s="62">
        <v>1430</v>
      </c>
      <c r="Q119" s="62">
        <v>2664</v>
      </c>
      <c r="R119" s="62">
        <v>1552</v>
      </c>
      <c r="S119">
        <v>622</v>
      </c>
      <c r="T119" s="126">
        <v>189</v>
      </c>
      <c r="U119">
        <v>37</v>
      </c>
      <c r="V119" s="62">
        <f t="shared" si="3"/>
        <v>6494</v>
      </c>
    </row>
    <row r="120" spans="1:22" ht="14">
      <c r="A120" s="1">
        <v>713</v>
      </c>
      <c r="B120" s="2" t="s">
        <v>897</v>
      </c>
      <c r="C120" s="139"/>
      <c r="D120" s="139">
        <v>-56.997</v>
      </c>
      <c r="E120" s="109">
        <v>1</v>
      </c>
      <c r="F120" s="109">
        <v>76</v>
      </c>
      <c r="G120" s="86">
        <f t="shared" si="2"/>
        <v>0</v>
      </c>
      <c r="H120">
        <v>1640</v>
      </c>
      <c r="I120" s="86">
        <v>7690</v>
      </c>
      <c r="J120">
        <v>7999</v>
      </c>
      <c r="K120" s="62">
        <v>97885</v>
      </c>
      <c r="L120" s="71">
        <v>49550</v>
      </c>
      <c r="M120" s="71">
        <v>0</v>
      </c>
      <c r="N120" s="71">
        <v>468.14321102999997</v>
      </c>
      <c r="O120" s="62">
        <v>1150.5029767599999</v>
      </c>
      <c r="P120" s="62">
        <v>2086</v>
      </c>
      <c r="Q120" s="62">
        <v>3556</v>
      </c>
      <c r="R120" s="62">
        <v>1805</v>
      </c>
      <c r="S120">
        <v>730</v>
      </c>
      <c r="T120" s="126">
        <v>297</v>
      </c>
      <c r="U120">
        <v>55</v>
      </c>
      <c r="V120" s="62">
        <f t="shared" si="3"/>
        <v>8529</v>
      </c>
    </row>
    <row r="121" spans="1:22" ht="14">
      <c r="A121" s="1">
        <v>714</v>
      </c>
      <c r="B121" s="2" t="s">
        <v>898</v>
      </c>
      <c r="C121" s="139"/>
      <c r="D121" s="139">
        <v>-18.617000000000001</v>
      </c>
      <c r="E121" s="109">
        <v>1</v>
      </c>
      <c r="F121" s="109">
        <v>69</v>
      </c>
      <c r="G121" s="86">
        <f t="shared" si="2"/>
        <v>0</v>
      </c>
      <c r="H121">
        <v>930</v>
      </c>
      <c r="I121" s="86">
        <v>3048</v>
      </c>
      <c r="J121">
        <v>3066</v>
      </c>
      <c r="K121" s="62">
        <v>53014</v>
      </c>
      <c r="L121" s="71">
        <v>13632</v>
      </c>
      <c r="M121" s="71">
        <v>0</v>
      </c>
      <c r="N121" s="71">
        <v>235.7555739</v>
      </c>
      <c r="O121" s="62">
        <v>441.46666140000002</v>
      </c>
      <c r="P121" s="62">
        <v>724</v>
      </c>
      <c r="Q121" s="62">
        <v>1234</v>
      </c>
      <c r="R121" s="62">
        <v>723</v>
      </c>
      <c r="S121">
        <v>242</v>
      </c>
      <c r="T121" s="126">
        <v>113</v>
      </c>
      <c r="U121">
        <v>37</v>
      </c>
      <c r="V121" s="62">
        <f t="shared" si="3"/>
        <v>3073</v>
      </c>
    </row>
    <row r="122" spans="1:22" ht="14">
      <c r="A122" s="1">
        <v>716</v>
      </c>
      <c r="B122" s="4" t="s">
        <v>350</v>
      </c>
      <c r="C122" s="139"/>
      <c r="D122" s="139">
        <v>11.847</v>
      </c>
      <c r="E122" s="109">
        <v>1</v>
      </c>
      <c r="F122" s="109">
        <v>77</v>
      </c>
      <c r="G122" s="86">
        <f t="shared" si="2"/>
        <v>0</v>
      </c>
      <c r="H122">
        <v>2580</v>
      </c>
      <c r="I122" s="86">
        <v>8182</v>
      </c>
      <c r="J122">
        <v>8443</v>
      </c>
      <c r="K122" s="62">
        <v>113239</v>
      </c>
      <c r="L122" s="71">
        <v>50746</v>
      </c>
      <c r="M122" s="71">
        <v>0</v>
      </c>
      <c r="N122" s="71">
        <v>1343.8067712300001</v>
      </c>
      <c r="O122" s="62">
        <v>1193.2309207799999</v>
      </c>
      <c r="P122" s="62">
        <v>2163</v>
      </c>
      <c r="Q122" s="62">
        <v>3885</v>
      </c>
      <c r="R122" s="62">
        <v>1804</v>
      </c>
      <c r="S122">
        <v>641</v>
      </c>
      <c r="T122" s="126">
        <v>265</v>
      </c>
      <c r="U122">
        <v>63</v>
      </c>
      <c r="V122" s="62">
        <f t="shared" si="3"/>
        <v>8821</v>
      </c>
    </row>
    <row r="123" spans="1:22" ht="14">
      <c r="A123" s="1">
        <v>719</v>
      </c>
      <c r="B123" s="2" t="s">
        <v>899</v>
      </c>
      <c r="C123" s="139"/>
      <c r="D123" s="139">
        <v>-27.047000000000001</v>
      </c>
      <c r="E123" s="109">
        <v>1</v>
      </c>
      <c r="F123" s="109">
        <v>73</v>
      </c>
      <c r="G123" s="86">
        <f t="shared" si="2"/>
        <v>0</v>
      </c>
      <c r="H123">
        <v>2070</v>
      </c>
      <c r="I123" s="86">
        <v>5083</v>
      </c>
      <c r="J123">
        <v>5177</v>
      </c>
      <c r="K123" s="62">
        <v>65962</v>
      </c>
      <c r="L123" s="71">
        <v>31339</v>
      </c>
      <c r="M123" s="71">
        <v>0</v>
      </c>
      <c r="N123" s="71">
        <v>962.10727063000002</v>
      </c>
      <c r="O123" s="62">
        <v>731.98528135000004</v>
      </c>
      <c r="P123" s="62">
        <v>1288</v>
      </c>
      <c r="Q123" s="62">
        <v>2339</v>
      </c>
      <c r="R123" s="62">
        <v>1121</v>
      </c>
      <c r="S123">
        <v>392</v>
      </c>
      <c r="T123" s="126">
        <v>189</v>
      </c>
      <c r="U123">
        <v>43</v>
      </c>
      <c r="V123" s="62">
        <f t="shared" si="3"/>
        <v>5372</v>
      </c>
    </row>
    <row r="124" spans="1:22" ht="14">
      <c r="A124" s="1">
        <v>720</v>
      </c>
      <c r="B124" s="2" t="s">
        <v>900</v>
      </c>
      <c r="C124" s="139"/>
      <c r="D124" s="139">
        <v>-52.863</v>
      </c>
      <c r="E124" s="109">
        <v>1</v>
      </c>
      <c r="F124" s="109">
        <v>82</v>
      </c>
      <c r="G124" s="86">
        <f t="shared" si="2"/>
        <v>0</v>
      </c>
      <c r="H124">
        <v>1200</v>
      </c>
      <c r="I124" s="86">
        <v>10014</v>
      </c>
      <c r="J124">
        <v>10540</v>
      </c>
      <c r="K124" s="62">
        <v>103013</v>
      </c>
      <c r="L124" s="71">
        <v>63666</v>
      </c>
      <c r="M124" s="71">
        <v>0</v>
      </c>
      <c r="N124" s="71">
        <v>2726.90613811</v>
      </c>
      <c r="O124" s="62">
        <v>1390.4660226599999</v>
      </c>
      <c r="P124" s="62">
        <v>2620</v>
      </c>
      <c r="Q124" s="62">
        <v>4924</v>
      </c>
      <c r="R124" s="62">
        <v>2390</v>
      </c>
      <c r="S124">
        <v>826</v>
      </c>
      <c r="T124" s="126">
        <v>310</v>
      </c>
      <c r="U124">
        <v>59</v>
      </c>
      <c r="V124" s="62">
        <f t="shared" si="3"/>
        <v>11129</v>
      </c>
    </row>
    <row r="125" spans="1:22" ht="14">
      <c r="A125" s="1">
        <v>722</v>
      </c>
      <c r="B125" s="2" t="s">
        <v>901</v>
      </c>
      <c r="C125" s="139"/>
      <c r="D125" s="139">
        <v>-24.992000000000001</v>
      </c>
      <c r="E125" s="109">
        <v>1</v>
      </c>
      <c r="F125" s="109">
        <v>79</v>
      </c>
      <c r="G125" s="86">
        <f t="shared" si="2"/>
        <v>0</v>
      </c>
      <c r="H125">
        <v>1260</v>
      </c>
      <c r="I125" s="86">
        <v>20022</v>
      </c>
      <c r="J125">
        <v>20410</v>
      </c>
      <c r="K125" s="62">
        <v>212151</v>
      </c>
      <c r="L125" s="71">
        <v>107432</v>
      </c>
      <c r="M125" s="71">
        <v>0</v>
      </c>
      <c r="N125" s="71">
        <v>4327.7987494500003</v>
      </c>
      <c r="O125" s="62">
        <v>2679.34210755</v>
      </c>
      <c r="P125" s="62">
        <v>4729</v>
      </c>
      <c r="Q125" s="62">
        <v>8318</v>
      </c>
      <c r="R125" s="62">
        <v>4754</v>
      </c>
      <c r="S125">
        <v>2048</v>
      </c>
      <c r="T125" s="126">
        <v>862</v>
      </c>
      <c r="U125">
        <v>186</v>
      </c>
      <c r="V125" s="62">
        <f t="shared" si="3"/>
        <v>20897</v>
      </c>
    </row>
    <row r="126" spans="1:22" ht="14">
      <c r="A126" s="1">
        <v>723</v>
      </c>
      <c r="B126" s="2" t="s">
        <v>902</v>
      </c>
      <c r="C126" s="139"/>
      <c r="D126" s="139">
        <v>21.452999999999999</v>
      </c>
      <c r="E126" s="109">
        <v>1</v>
      </c>
      <c r="F126" s="109">
        <v>80</v>
      </c>
      <c r="G126" s="86">
        <f t="shared" si="2"/>
        <v>0</v>
      </c>
      <c r="H126">
        <v>1090</v>
      </c>
      <c r="I126" s="86">
        <v>4582</v>
      </c>
      <c r="J126">
        <v>4545</v>
      </c>
      <c r="K126" s="62">
        <v>55572</v>
      </c>
      <c r="L126" s="71">
        <v>18384</v>
      </c>
      <c r="M126" s="71">
        <v>0</v>
      </c>
      <c r="N126" s="71">
        <v>1136.11733708</v>
      </c>
      <c r="O126" s="62">
        <v>605.89557929</v>
      </c>
      <c r="P126" s="62">
        <v>978</v>
      </c>
      <c r="Q126" s="62">
        <v>1817</v>
      </c>
      <c r="R126" s="62">
        <v>1226</v>
      </c>
      <c r="S126">
        <v>500</v>
      </c>
      <c r="T126" s="126">
        <v>184</v>
      </c>
      <c r="U126">
        <v>33</v>
      </c>
      <c r="V126" s="62">
        <f t="shared" si="3"/>
        <v>4738</v>
      </c>
    </row>
    <row r="127" spans="1:22" ht="14">
      <c r="A127" s="1">
        <v>728</v>
      </c>
      <c r="B127" s="2" t="s">
        <v>903</v>
      </c>
      <c r="C127" s="139"/>
      <c r="D127" s="139">
        <v>-72.215000000000003</v>
      </c>
      <c r="E127" s="109">
        <v>1</v>
      </c>
      <c r="F127" s="109">
        <v>51</v>
      </c>
      <c r="G127" s="86">
        <f t="shared" si="2"/>
        <v>0</v>
      </c>
      <c r="H127">
        <v>1640</v>
      </c>
      <c r="I127" s="86">
        <v>2419</v>
      </c>
      <c r="J127">
        <v>2383</v>
      </c>
      <c r="K127" s="62">
        <v>43937</v>
      </c>
      <c r="L127" s="71">
        <v>10202</v>
      </c>
      <c r="M127" s="71">
        <v>0</v>
      </c>
      <c r="N127" s="71">
        <v>452.42617276999999</v>
      </c>
      <c r="O127" s="62">
        <v>341.60382726</v>
      </c>
      <c r="P127" s="62">
        <v>503</v>
      </c>
      <c r="Q127" s="62">
        <v>971</v>
      </c>
      <c r="R127" s="62">
        <v>581</v>
      </c>
      <c r="S127">
        <v>215</v>
      </c>
      <c r="T127" s="126">
        <v>129</v>
      </c>
      <c r="U127">
        <v>21</v>
      </c>
      <c r="V127" s="62">
        <f t="shared" si="3"/>
        <v>2420</v>
      </c>
    </row>
    <row r="128" spans="1:22" ht="14">
      <c r="A128" s="1">
        <v>805</v>
      </c>
      <c r="B128" s="2" t="s">
        <v>904</v>
      </c>
      <c r="C128" s="139"/>
      <c r="D128" s="139">
        <v>22.361999999999998</v>
      </c>
      <c r="E128" s="109">
        <v>1</v>
      </c>
      <c r="F128" s="109">
        <v>68</v>
      </c>
      <c r="G128" s="86">
        <f t="shared" si="2"/>
        <v>0</v>
      </c>
      <c r="H128">
        <v>0</v>
      </c>
      <c r="I128" s="86">
        <v>33407</v>
      </c>
      <c r="J128">
        <v>34186</v>
      </c>
      <c r="K128" s="62">
        <v>357572</v>
      </c>
      <c r="L128" s="71">
        <v>171064</v>
      </c>
      <c r="M128" s="71">
        <v>0</v>
      </c>
      <c r="N128" s="71">
        <v>6620.2410442299997</v>
      </c>
      <c r="O128" s="62">
        <v>4375.6626966599997</v>
      </c>
      <c r="P128" s="62">
        <v>7448</v>
      </c>
      <c r="Q128" s="62">
        <v>14886</v>
      </c>
      <c r="R128" s="62">
        <v>7655</v>
      </c>
      <c r="S128">
        <v>3252</v>
      </c>
      <c r="T128" s="126">
        <v>1513</v>
      </c>
      <c r="U128">
        <v>289</v>
      </c>
      <c r="V128" s="62">
        <f t="shared" si="3"/>
        <v>35043</v>
      </c>
    </row>
    <row r="129" spans="1:22" ht="14">
      <c r="A129" s="1">
        <v>806</v>
      </c>
      <c r="B129" s="2" t="s">
        <v>905</v>
      </c>
      <c r="C129" s="139"/>
      <c r="D129" s="139">
        <v>4.298</v>
      </c>
      <c r="E129" s="109">
        <v>1</v>
      </c>
      <c r="F129" s="109">
        <v>66</v>
      </c>
      <c r="G129" s="86">
        <f t="shared" si="2"/>
        <v>0</v>
      </c>
      <c r="H129">
        <v>0</v>
      </c>
      <c r="I129" s="86">
        <v>50676</v>
      </c>
      <c r="J129">
        <v>50864</v>
      </c>
      <c r="K129" s="62">
        <v>524830</v>
      </c>
      <c r="L129" s="71">
        <v>253906</v>
      </c>
      <c r="M129" s="71">
        <v>5123</v>
      </c>
      <c r="N129" s="71">
        <v>10348.547048619999</v>
      </c>
      <c r="O129" s="62">
        <v>6617.5308763399998</v>
      </c>
      <c r="P129" s="62">
        <v>11350</v>
      </c>
      <c r="Q129" s="62">
        <v>21934</v>
      </c>
      <c r="R129" s="62">
        <v>11530</v>
      </c>
      <c r="S129">
        <v>4684</v>
      </c>
      <c r="T129" s="126">
        <v>2165</v>
      </c>
      <c r="U129">
        <v>414</v>
      </c>
      <c r="V129" s="62">
        <f t="shared" si="3"/>
        <v>52077</v>
      </c>
    </row>
    <row r="130" spans="1:22" ht="14">
      <c r="A130" s="1">
        <v>807</v>
      </c>
      <c r="B130" s="2" t="s">
        <v>906</v>
      </c>
      <c r="C130" s="139"/>
      <c r="D130" s="139">
        <v>85.438999999999993</v>
      </c>
      <c r="E130" s="109">
        <v>3</v>
      </c>
      <c r="F130" s="109">
        <v>51</v>
      </c>
      <c r="G130" s="86">
        <f t="shared" si="2"/>
        <v>30</v>
      </c>
      <c r="H130">
        <v>3200</v>
      </c>
      <c r="I130" s="86">
        <v>12359</v>
      </c>
      <c r="J130">
        <v>12232</v>
      </c>
      <c r="K130" s="62">
        <v>185320</v>
      </c>
      <c r="L130" s="71">
        <v>55240</v>
      </c>
      <c r="M130" s="71">
        <v>0</v>
      </c>
      <c r="N130" s="71">
        <v>326.68986668999997</v>
      </c>
      <c r="O130" s="62">
        <v>1691.1572681</v>
      </c>
      <c r="P130" s="62">
        <v>2516</v>
      </c>
      <c r="Q130" s="62">
        <v>4951</v>
      </c>
      <c r="R130" s="62">
        <v>2779</v>
      </c>
      <c r="S130">
        <v>1271</v>
      </c>
      <c r="T130" s="126">
        <v>731</v>
      </c>
      <c r="U130">
        <v>148</v>
      </c>
      <c r="V130" s="62">
        <f t="shared" si="3"/>
        <v>12396</v>
      </c>
    </row>
    <row r="131" spans="1:22" ht="14">
      <c r="A131" s="1">
        <v>811</v>
      </c>
      <c r="B131" s="2" t="s">
        <v>907</v>
      </c>
      <c r="C131" s="139"/>
      <c r="D131" s="139">
        <v>-33.677</v>
      </c>
      <c r="E131" s="109">
        <v>1</v>
      </c>
      <c r="F131" s="109">
        <v>61</v>
      </c>
      <c r="G131" s="86">
        <f t="shared" si="2"/>
        <v>0</v>
      </c>
      <c r="H131">
        <v>1050</v>
      </c>
      <c r="I131" s="86">
        <v>2372</v>
      </c>
      <c r="J131">
        <v>2380</v>
      </c>
      <c r="K131" s="62">
        <v>38141</v>
      </c>
      <c r="L131" s="71">
        <v>11655</v>
      </c>
      <c r="M131" s="71">
        <v>0</v>
      </c>
      <c r="N131" s="71">
        <v>471.5111478</v>
      </c>
      <c r="O131" s="62">
        <v>337.19795905000001</v>
      </c>
      <c r="P131" s="62">
        <v>574</v>
      </c>
      <c r="Q131" s="62">
        <v>986</v>
      </c>
      <c r="R131" s="62">
        <v>557</v>
      </c>
      <c r="S131">
        <v>213</v>
      </c>
      <c r="T131" s="126">
        <v>72</v>
      </c>
      <c r="U131">
        <v>17</v>
      </c>
      <c r="V131" s="62">
        <f t="shared" si="3"/>
        <v>2419</v>
      </c>
    </row>
    <row r="132" spans="1:22" ht="14">
      <c r="A132" s="1">
        <v>814</v>
      </c>
      <c r="B132" s="2" t="s">
        <v>908</v>
      </c>
      <c r="C132" s="139"/>
      <c r="D132" s="139">
        <v>39.186999999999998</v>
      </c>
      <c r="E132" s="109">
        <v>1</v>
      </c>
      <c r="F132" s="109">
        <v>60</v>
      </c>
      <c r="G132" s="86">
        <f t="shared" si="2"/>
        <v>0</v>
      </c>
      <c r="H132">
        <v>0</v>
      </c>
      <c r="I132" s="86">
        <v>14154</v>
      </c>
      <c r="J132">
        <v>14109</v>
      </c>
      <c r="K132" s="62">
        <v>131000</v>
      </c>
      <c r="L132" s="71">
        <v>65661</v>
      </c>
      <c r="M132" s="71">
        <v>0</v>
      </c>
      <c r="N132" s="71">
        <v>2712.3117454399999</v>
      </c>
      <c r="O132" s="62">
        <v>1737.80194798</v>
      </c>
      <c r="P132" s="62">
        <v>3101</v>
      </c>
      <c r="Q132" s="62">
        <v>5663</v>
      </c>
      <c r="R132" s="62">
        <v>3486</v>
      </c>
      <c r="S132">
        <v>1248</v>
      </c>
      <c r="T132" s="126">
        <v>461</v>
      </c>
      <c r="U132">
        <v>71</v>
      </c>
      <c r="V132" s="62">
        <f t="shared" si="3"/>
        <v>14030</v>
      </c>
    </row>
    <row r="133" spans="1:22" ht="14">
      <c r="A133" s="1">
        <v>815</v>
      </c>
      <c r="B133" s="2" t="s">
        <v>910</v>
      </c>
      <c r="C133" s="139"/>
      <c r="D133" s="139">
        <v>79.701999999999998</v>
      </c>
      <c r="E133" s="109">
        <v>3</v>
      </c>
      <c r="F133" s="109">
        <v>44</v>
      </c>
      <c r="G133" s="86">
        <f t="shared" ref="G133:G196" si="4">IF(E133=3,IF(F133&lt;36,35,IF(F133&lt;39,34,IF(F133&lt;42,33,IF(F133&lt;45,32,IF(F133&lt;47,31,30))))),IF(E133=4,4,0))</f>
        <v>32</v>
      </c>
      <c r="H133">
        <v>2400</v>
      </c>
      <c r="I133" s="86">
        <v>10529</v>
      </c>
      <c r="J133">
        <v>10614</v>
      </c>
      <c r="K133" s="62">
        <v>140906</v>
      </c>
      <c r="L133" s="71">
        <v>46299</v>
      </c>
      <c r="M133" s="71">
        <v>0</v>
      </c>
      <c r="N133" s="71">
        <v>1908.4975030000001</v>
      </c>
      <c r="O133" s="62">
        <v>1405.65248531</v>
      </c>
      <c r="P133" s="62">
        <v>2171</v>
      </c>
      <c r="Q133" s="62">
        <v>4114</v>
      </c>
      <c r="R133" s="62">
        <v>2750</v>
      </c>
      <c r="S133">
        <v>1112</v>
      </c>
      <c r="T133" s="126">
        <v>448</v>
      </c>
      <c r="U133">
        <v>100</v>
      </c>
      <c r="V133" s="62">
        <f t="shared" ref="V133:V196" si="5">P133+Q133+R133+S133+T133+U133</f>
        <v>10695</v>
      </c>
    </row>
    <row r="134" spans="1:22" ht="14">
      <c r="A134" s="1">
        <v>817</v>
      </c>
      <c r="B134" s="2" t="s">
        <v>911</v>
      </c>
      <c r="C134" s="139"/>
      <c r="D134" s="139">
        <v>-75.519000000000005</v>
      </c>
      <c r="E134" s="109">
        <v>3</v>
      </c>
      <c r="F134" s="109">
        <v>34</v>
      </c>
      <c r="G134" s="86">
        <f t="shared" si="4"/>
        <v>35</v>
      </c>
      <c r="H134">
        <v>5605</v>
      </c>
      <c r="I134" s="86">
        <v>4143</v>
      </c>
      <c r="J134">
        <v>4111</v>
      </c>
      <c r="K134" s="62">
        <v>83805</v>
      </c>
      <c r="L134" s="71">
        <v>13885</v>
      </c>
      <c r="M134" s="71">
        <v>0</v>
      </c>
      <c r="N134" s="71">
        <v>791.46514094999998</v>
      </c>
      <c r="O134" s="62">
        <v>609.62589652999998</v>
      </c>
      <c r="P134" s="62">
        <v>864</v>
      </c>
      <c r="Q134" s="62">
        <v>1589</v>
      </c>
      <c r="R134" s="62">
        <v>960</v>
      </c>
      <c r="S134">
        <v>419</v>
      </c>
      <c r="T134" s="126">
        <v>233</v>
      </c>
      <c r="U134">
        <v>59</v>
      </c>
      <c r="V134" s="62">
        <f t="shared" si="5"/>
        <v>4124</v>
      </c>
    </row>
    <row r="135" spans="1:22" ht="14">
      <c r="A135" s="1">
        <v>819</v>
      </c>
      <c r="B135" s="2" t="s">
        <v>912</v>
      </c>
      <c r="C135" s="139"/>
      <c r="D135" s="139">
        <v>50.414000000000001</v>
      </c>
      <c r="E135" s="109">
        <v>3</v>
      </c>
      <c r="F135" s="109">
        <v>46</v>
      </c>
      <c r="G135" s="86">
        <f t="shared" si="4"/>
        <v>31</v>
      </c>
      <c r="H135">
        <v>8961</v>
      </c>
      <c r="I135" s="86">
        <v>6565</v>
      </c>
      <c r="J135">
        <v>6601</v>
      </c>
      <c r="K135" s="62">
        <v>108994</v>
      </c>
      <c r="L135" s="71">
        <v>29176</v>
      </c>
      <c r="M135" s="71">
        <v>0</v>
      </c>
      <c r="N135" s="71">
        <v>2616.8868702899999</v>
      </c>
      <c r="O135" s="62">
        <v>912.56634573999997</v>
      </c>
      <c r="P135" s="62">
        <v>1345</v>
      </c>
      <c r="Q135" s="62">
        <v>2524</v>
      </c>
      <c r="R135" s="62">
        <v>1611</v>
      </c>
      <c r="S135">
        <v>657</v>
      </c>
      <c r="T135" s="126">
        <v>357</v>
      </c>
      <c r="U135">
        <v>67</v>
      </c>
      <c r="V135" s="62">
        <f t="shared" si="5"/>
        <v>6561</v>
      </c>
    </row>
    <row r="136" spans="1:22" ht="14">
      <c r="A136" s="1">
        <v>821</v>
      </c>
      <c r="B136" s="2" t="s">
        <v>913</v>
      </c>
      <c r="C136" s="139"/>
      <c r="D136" s="139">
        <v>23.992999999999999</v>
      </c>
      <c r="E136" s="109">
        <v>3</v>
      </c>
      <c r="F136" s="109">
        <v>55</v>
      </c>
      <c r="G136" s="86">
        <f t="shared" si="4"/>
        <v>30</v>
      </c>
      <c r="H136">
        <v>2950</v>
      </c>
      <c r="I136" s="86">
        <v>5249</v>
      </c>
      <c r="J136">
        <v>5436</v>
      </c>
      <c r="K136" s="62">
        <v>75886</v>
      </c>
      <c r="L136" s="71">
        <v>30677</v>
      </c>
      <c r="M136" s="71">
        <v>0</v>
      </c>
      <c r="N136" s="71">
        <v>722.98375996000004</v>
      </c>
      <c r="O136" s="62">
        <v>762.92888991999996</v>
      </c>
      <c r="P136" s="62">
        <v>1235</v>
      </c>
      <c r="Q136" s="62">
        <v>2446</v>
      </c>
      <c r="R136" s="62">
        <v>1161</v>
      </c>
      <c r="S136">
        <v>512</v>
      </c>
      <c r="T136" s="126">
        <v>262</v>
      </c>
      <c r="U136">
        <v>43</v>
      </c>
      <c r="V136" s="62">
        <f t="shared" si="5"/>
        <v>5659</v>
      </c>
    </row>
    <row r="137" spans="1:22" ht="14">
      <c r="A137" s="1">
        <v>822</v>
      </c>
      <c r="B137" s="2" t="s">
        <v>914</v>
      </c>
      <c r="C137" s="139"/>
      <c r="D137" s="139">
        <v>34.862000000000002</v>
      </c>
      <c r="E137" s="109">
        <v>3</v>
      </c>
      <c r="F137" s="109">
        <v>43</v>
      </c>
      <c r="G137" s="86">
        <f t="shared" si="4"/>
        <v>32</v>
      </c>
      <c r="H137">
        <v>4400</v>
      </c>
      <c r="I137" s="86">
        <v>4323</v>
      </c>
      <c r="J137">
        <v>4266</v>
      </c>
      <c r="K137" s="62">
        <v>69315</v>
      </c>
      <c r="L137" s="71">
        <v>17850</v>
      </c>
      <c r="M137" s="71">
        <v>0</v>
      </c>
      <c r="N137" s="71">
        <v>1649.16637171</v>
      </c>
      <c r="O137" s="62">
        <v>600.90482380000003</v>
      </c>
      <c r="P137" s="62">
        <v>951</v>
      </c>
      <c r="Q137" s="62">
        <v>1758</v>
      </c>
      <c r="R137" s="62">
        <v>971</v>
      </c>
      <c r="S137">
        <v>447</v>
      </c>
      <c r="T137" s="126">
        <v>191</v>
      </c>
      <c r="U137">
        <v>40</v>
      </c>
      <c r="V137" s="62">
        <f t="shared" si="5"/>
        <v>4358</v>
      </c>
    </row>
    <row r="138" spans="1:22" ht="14">
      <c r="A138" s="1">
        <v>826</v>
      </c>
      <c r="B138" s="2" t="s">
        <v>920</v>
      </c>
      <c r="C138" s="139"/>
      <c r="D138" s="139">
        <v>-49.99</v>
      </c>
      <c r="E138" s="109">
        <v>4</v>
      </c>
      <c r="F138" s="109">
        <v>28</v>
      </c>
      <c r="G138" s="86">
        <f t="shared" si="4"/>
        <v>4</v>
      </c>
      <c r="H138">
        <v>0</v>
      </c>
      <c r="I138" s="86">
        <v>6380</v>
      </c>
      <c r="J138">
        <v>6066</v>
      </c>
      <c r="K138" s="62">
        <v>102714</v>
      </c>
      <c r="L138" s="71">
        <v>24840</v>
      </c>
      <c r="M138" s="71">
        <v>0</v>
      </c>
      <c r="N138" s="71">
        <v>606.2286186</v>
      </c>
      <c r="O138" s="62">
        <v>871.29483469000002</v>
      </c>
      <c r="P138" s="62">
        <v>1219</v>
      </c>
      <c r="Q138" s="62">
        <v>2294</v>
      </c>
      <c r="R138" s="62">
        <v>1455</v>
      </c>
      <c r="S138">
        <v>586</v>
      </c>
      <c r="T138" s="126">
        <v>383</v>
      </c>
      <c r="U138">
        <v>100</v>
      </c>
      <c r="V138" s="62">
        <f t="shared" si="5"/>
        <v>6037</v>
      </c>
    </row>
    <row r="139" spans="1:22" ht="14">
      <c r="A139" s="1">
        <v>827</v>
      </c>
      <c r="B139" s="2" t="s">
        <v>921</v>
      </c>
      <c r="C139" s="139"/>
      <c r="D139" s="139">
        <v>198.5</v>
      </c>
      <c r="E139" s="109">
        <v>3</v>
      </c>
      <c r="F139" s="109">
        <v>42</v>
      </c>
      <c r="G139" s="86">
        <f t="shared" si="4"/>
        <v>32</v>
      </c>
      <c r="H139">
        <v>2765</v>
      </c>
      <c r="I139" s="86">
        <v>1633</v>
      </c>
      <c r="J139">
        <v>1619</v>
      </c>
      <c r="K139" s="62">
        <v>46014</v>
      </c>
      <c r="L139" s="71">
        <v>6260</v>
      </c>
      <c r="M139" s="71">
        <v>0</v>
      </c>
      <c r="N139" s="71">
        <v>215.54795328</v>
      </c>
      <c r="O139" s="62">
        <v>269.55680483999998</v>
      </c>
      <c r="P139" s="62">
        <v>323</v>
      </c>
      <c r="Q139" s="62">
        <v>571</v>
      </c>
      <c r="R139" s="62">
        <v>395</v>
      </c>
      <c r="S139">
        <v>176</v>
      </c>
      <c r="T139" s="126">
        <v>107</v>
      </c>
      <c r="U139">
        <v>25</v>
      </c>
      <c r="V139" s="62">
        <f t="shared" si="5"/>
        <v>1597</v>
      </c>
    </row>
    <row r="140" spans="1:22" ht="14">
      <c r="A140" s="1">
        <v>828</v>
      </c>
      <c r="B140" s="2" t="s">
        <v>922</v>
      </c>
      <c r="C140" s="139"/>
      <c r="D140" s="139">
        <v>-119.04600000000001</v>
      </c>
      <c r="E140" s="109">
        <v>4</v>
      </c>
      <c r="F140" s="109">
        <v>35</v>
      </c>
      <c r="G140" s="86">
        <f t="shared" si="4"/>
        <v>4</v>
      </c>
      <c r="H140">
        <v>600</v>
      </c>
      <c r="I140" s="86">
        <v>2919</v>
      </c>
      <c r="J140">
        <v>2930</v>
      </c>
      <c r="K140" s="62">
        <v>47848</v>
      </c>
      <c r="L140" s="71">
        <v>15027</v>
      </c>
      <c r="M140" s="71">
        <v>0</v>
      </c>
      <c r="N140" s="71">
        <v>726.35169672999996</v>
      </c>
      <c r="O140" s="62">
        <v>414.69567396000002</v>
      </c>
      <c r="P140" s="62">
        <v>587</v>
      </c>
      <c r="Q140" s="62">
        <v>1132</v>
      </c>
      <c r="R140" s="62">
        <v>728</v>
      </c>
      <c r="S140">
        <v>317</v>
      </c>
      <c r="T140" s="126">
        <v>161</v>
      </c>
      <c r="U140">
        <v>30</v>
      </c>
      <c r="V140" s="62">
        <f t="shared" si="5"/>
        <v>2955</v>
      </c>
    </row>
    <row r="141" spans="1:22" ht="14">
      <c r="A141" s="1">
        <v>829</v>
      </c>
      <c r="B141" s="2" t="s">
        <v>923</v>
      </c>
      <c r="C141" s="139"/>
      <c r="D141" s="139">
        <v>133.75800000000001</v>
      </c>
      <c r="E141" s="109">
        <v>4</v>
      </c>
      <c r="F141" s="109">
        <v>29</v>
      </c>
      <c r="G141" s="86">
        <f t="shared" si="4"/>
        <v>4</v>
      </c>
      <c r="H141">
        <v>900</v>
      </c>
      <c r="I141" s="86">
        <v>2598</v>
      </c>
      <c r="J141">
        <v>2563</v>
      </c>
      <c r="K141" s="62">
        <v>57286</v>
      </c>
      <c r="L141" s="71">
        <v>7639</v>
      </c>
      <c r="M141" s="71">
        <v>0</v>
      </c>
      <c r="N141" s="71">
        <v>415.37886830000002</v>
      </c>
      <c r="O141" s="62">
        <v>386.38158354000001</v>
      </c>
      <c r="P141" s="62">
        <v>477</v>
      </c>
      <c r="Q141" s="62">
        <v>974</v>
      </c>
      <c r="R141" s="62">
        <v>585</v>
      </c>
      <c r="S141">
        <v>286</v>
      </c>
      <c r="T141" s="126">
        <v>142</v>
      </c>
      <c r="U141">
        <v>37</v>
      </c>
      <c r="V141" s="62">
        <f t="shared" si="5"/>
        <v>2501</v>
      </c>
    </row>
    <row r="142" spans="1:22" ht="14">
      <c r="A142" s="1">
        <v>830</v>
      </c>
      <c r="B142" s="2" t="s">
        <v>924</v>
      </c>
      <c r="C142" s="139"/>
      <c r="D142" s="139">
        <v>234.261</v>
      </c>
      <c r="E142" s="109">
        <v>4</v>
      </c>
      <c r="F142" s="109">
        <v>25</v>
      </c>
      <c r="G142" s="86">
        <f t="shared" si="4"/>
        <v>4</v>
      </c>
      <c r="H142">
        <v>500</v>
      </c>
      <c r="I142" s="86">
        <v>1408</v>
      </c>
      <c r="J142">
        <v>1378</v>
      </c>
      <c r="K142" s="62">
        <v>32985</v>
      </c>
      <c r="L142" s="71">
        <v>5894</v>
      </c>
      <c r="M142" s="71">
        <v>0</v>
      </c>
      <c r="N142" s="71">
        <v>233.51028271999999</v>
      </c>
      <c r="O142" s="62">
        <v>230.54676033999999</v>
      </c>
      <c r="P142" s="62">
        <v>299</v>
      </c>
      <c r="Q142" s="62">
        <v>548</v>
      </c>
      <c r="R142" s="62">
        <v>346</v>
      </c>
      <c r="S142">
        <v>126</v>
      </c>
      <c r="T142" s="126">
        <v>74</v>
      </c>
      <c r="U142">
        <v>12</v>
      </c>
      <c r="V142" s="62">
        <f t="shared" si="5"/>
        <v>1405</v>
      </c>
    </row>
    <row r="143" spans="1:22" ht="14">
      <c r="A143" s="1">
        <v>831</v>
      </c>
      <c r="B143" s="2" t="s">
        <v>925</v>
      </c>
      <c r="C143" s="139"/>
      <c r="D143" s="139">
        <v>-79.021000000000001</v>
      </c>
      <c r="E143" s="109">
        <v>4</v>
      </c>
      <c r="F143" s="109">
        <v>28</v>
      </c>
      <c r="G143" s="86">
        <f t="shared" si="4"/>
        <v>4</v>
      </c>
      <c r="H143">
        <v>500</v>
      </c>
      <c r="I143" s="86">
        <v>1353</v>
      </c>
      <c r="J143">
        <v>1375</v>
      </c>
      <c r="K143" s="62">
        <v>34277</v>
      </c>
      <c r="L143" s="71">
        <v>5622</v>
      </c>
      <c r="M143" s="71">
        <v>0</v>
      </c>
      <c r="N143" s="71">
        <v>454.67146394999997</v>
      </c>
      <c r="O143" s="62">
        <v>225.14543087999999</v>
      </c>
      <c r="P143" s="62">
        <v>305</v>
      </c>
      <c r="Q143" s="62">
        <v>518</v>
      </c>
      <c r="R143" s="62">
        <v>318</v>
      </c>
      <c r="S143">
        <v>126</v>
      </c>
      <c r="T143" s="126">
        <v>69</v>
      </c>
      <c r="U143">
        <v>15</v>
      </c>
      <c r="V143" s="62">
        <f t="shared" si="5"/>
        <v>1351</v>
      </c>
    </row>
    <row r="144" spans="1:22" ht="14">
      <c r="A144" s="1">
        <v>833</v>
      </c>
      <c r="B144" s="2" t="s">
        <v>926</v>
      </c>
      <c r="C144" s="139"/>
      <c r="D144" s="139">
        <v>-1.236</v>
      </c>
      <c r="E144" s="109">
        <v>4</v>
      </c>
      <c r="F144" s="109">
        <v>28</v>
      </c>
      <c r="G144" s="86">
        <f t="shared" si="4"/>
        <v>4</v>
      </c>
      <c r="H144">
        <v>0</v>
      </c>
      <c r="I144" s="86">
        <v>2463</v>
      </c>
      <c r="J144">
        <v>2366</v>
      </c>
      <c r="K144" s="62">
        <v>43656</v>
      </c>
      <c r="L144" s="71">
        <v>8052</v>
      </c>
      <c r="M144" s="71">
        <v>0</v>
      </c>
      <c r="N144" s="71">
        <v>312.09547401999998</v>
      </c>
      <c r="O144" s="62">
        <v>352.15967970999998</v>
      </c>
      <c r="P144" s="62">
        <v>478</v>
      </c>
      <c r="Q144" s="62">
        <v>837</v>
      </c>
      <c r="R144" s="62">
        <v>578</v>
      </c>
      <c r="S144">
        <v>247</v>
      </c>
      <c r="T144" s="126">
        <v>138</v>
      </c>
      <c r="U144">
        <v>38</v>
      </c>
      <c r="V144" s="62">
        <f t="shared" si="5"/>
        <v>2316</v>
      </c>
    </row>
    <row r="145" spans="1:22" ht="14">
      <c r="A145" s="1">
        <v>834</v>
      </c>
      <c r="B145" s="2" t="s">
        <v>927</v>
      </c>
      <c r="C145" s="139"/>
      <c r="D145" s="139">
        <v>130.345</v>
      </c>
      <c r="E145" s="109">
        <v>4</v>
      </c>
      <c r="F145" s="109">
        <v>32</v>
      </c>
      <c r="G145" s="86">
        <f t="shared" si="4"/>
        <v>4</v>
      </c>
      <c r="H145">
        <v>0</v>
      </c>
      <c r="I145" s="86">
        <v>3758</v>
      </c>
      <c r="J145">
        <v>3635</v>
      </c>
      <c r="K145" s="62">
        <v>61658</v>
      </c>
      <c r="L145" s="71">
        <v>13860</v>
      </c>
      <c r="M145" s="71">
        <v>0</v>
      </c>
      <c r="N145" s="71">
        <v>1200.1081357099999</v>
      </c>
      <c r="O145" s="62">
        <v>537.28963594000004</v>
      </c>
      <c r="P145" s="62">
        <v>786</v>
      </c>
      <c r="Q145" s="62">
        <v>1479</v>
      </c>
      <c r="R145" s="62">
        <v>824</v>
      </c>
      <c r="S145">
        <v>374</v>
      </c>
      <c r="T145" s="126">
        <v>170</v>
      </c>
      <c r="U145">
        <v>28</v>
      </c>
      <c r="V145" s="62">
        <f t="shared" si="5"/>
        <v>3661</v>
      </c>
    </row>
    <row r="146" spans="1:22" ht="14">
      <c r="A146" s="1">
        <v>901</v>
      </c>
      <c r="B146" s="2" t="s">
        <v>928</v>
      </c>
      <c r="C146" s="139"/>
      <c r="D146" s="139">
        <v>68.010000000000005</v>
      </c>
      <c r="E146" s="109">
        <v>3</v>
      </c>
      <c r="F146" s="109">
        <v>41</v>
      </c>
      <c r="G146" s="86">
        <f t="shared" si="4"/>
        <v>33</v>
      </c>
      <c r="H146">
        <v>2400</v>
      </c>
      <c r="I146" s="86">
        <v>6909</v>
      </c>
      <c r="J146">
        <v>6888</v>
      </c>
      <c r="K146" s="62">
        <v>104233</v>
      </c>
      <c r="L146" s="71">
        <v>26669</v>
      </c>
      <c r="M146" s="71">
        <v>0</v>
      </c>
      <c r="N146" s="71">
        <v>1816.44056462</v>
      </c>
      <c r="O146" s="62">
        <v>954.91041065000002</v>
      </c>
      <c r="P146" s="62">
        <v>1398</v>
      </c>
      <c r="Q146" s="62">
        <v>2691</v>
      </c>
      <c r="R146" s="62">
        <v>1658</v>
      </c>
      <c r="S146">
        <v>709</v>
      </c>
      <c r="T146" s="126">
        <v>326</v>
      </c>
      <c r="U146">
        <v>89</v>
      </c>
      <c r="V146" s="62">
        <f t="shared" si="5"/>
        <v>6871</v>
      </c>
    </row>
    <row r="147" spans="1:22" ht="14">
      <c r="A147" s="1">
        <v>904</v>
      </c>
      <c r="B147" s="2" t="s">
        <v>929</v>
      </c>
      <c r="C147" s="139"/>
      <c r="D147" s="139">
        <v>-49.914999999999999</v>
      </c>
      <c r="E147" s="109">
        <v>1</v>
      </c>
      <c r="F147" s="109">
        <v>71</v>
      </c>
      <c r="G147" s="86">
        <f t="shared" si="4"/>
        <v>0</v>
      </c>
      <c r="H147">
        <v>1500</v>
      </c>
      <c r="I147" s="86">
        <v>18885</v>
      </c>
      <c r="J147">
        <v>19809</v>
      </c>
      <c r="K147" s="62">
        <v>179733</v>
      </c>
      <c r="L147" s="71">
        <v>127160</v>
      </c>
      <c r="M147" s="71">
        <v>0</v>
      </c>
      <c r="N147" s="71">
        <v>2963.7843576</v>
      </c>
      <c r="O147" s="62">
        <v>2631.6379282900002</v>
      </c>
      <c r="P147" s="62">
        <v>5176</v>
      </c>
      <c r="Q147" s="62">
        <v>9090</v>
      </c>
      <c r="R147" s="62">
        <v>4141</v>
      </c>
      <c r="S147">
        <v>1686</v>
      </c>
      <c r="T147" s="126">
        <v>603</v>
      </c>
      <c r="U147">
        <v>127</v>
      </c>
      <c r="V147" s="62">
        <f t="shared" si="5"/>
        <v>20823</v>
      </c>
    </row>
    <row r="148" spans="1:22" ht="14">
      <c r="A148" s="1">
        <v>906</v>
      </c>
      <c r="B148" s="2" t="s">
        <v>930</v>
      </c>
      <c r="C148" s="139"/>
      <c r="D148" s="139">
        <v>17.289000000000001</v>
      </c>
      <c r="E148" s="109">
        <v>1</v>
      </c>
      <c r="F148" s="109">
        <v>62</v>
      </c>
      <c r="G148" s="86">
        <f t="shared" si="4"/>
        <v>0</v>
      </c>
      <c r="H148">
        <v>3750</v>
      </c>
      <c r="I148" s="86">
        <v>39676</v>
      </c>
      <c r="J148">
        <v>40701</v>
      </c>
      <c r="K148" s="62">
        <v>405739</v>
      </c>
      <c r="L148" s="71">
        <v>214331</v>
      </c>
      <c r="M148" s="71">
        <v>4825</v>
      </c>
      <c r="N148" s="71">
        <v>6039.8332742000002</v>
      </c>
      <c r="O148" s="62">
        <v>5306.7377363799997</v>
      </c>
      <c r="P148" s="62">
        <v>9418</v>
      </c>
      <c r="Q148" s="62">
        <v>17695</v>
      </c>
      <c r="R148" s="62">
        <v>9498</v>
      </c>
      <c r="S148">
        <v>3724</v>
      </c>
      <c r="T148" s="126">
        <v>1564</v>
      </c>
      <c r="U148">
        <v>330</v>
      </c>
      <c r="V148" s="62">
        <f t="shared" si="5"/>
        <v>42229</v>
      </c>
    </row>
    <row r="149" spans="1:22" ht="14">
      <c r="A149" s="1">
        <v>911</v>
      </c>
      <c r="B149" s="2" t="s">
        <v>931</v>
      </c>
      <c r="C149" s="139"/>
      <c r="D149" s="139">
        <v>-46.045999999999999</v>
      </c>
      <c r="E149" s="109">
        <v>3</v>
      </c>
      <c r="F149" s="109">
        <v>37</v>
      </c>
      <c r="G149" s="86">
        <f t="shared" si="4"/>
        <v>34</v>
      </c>
      <c r="H149">
        <v>2485</v>
      </c>
      <c r="I149" s="86">
        <v>2500</v>
      </c>
      <c r="J149">
        <v>2519</v>
      </c>
      <c r="K149" s="62">
        <v>54414</v>
      </c>
      <c r="L149" s="71">
        <v>11774</v>
      </c>
      <c r="M149" s="71">
        <v>0</v>
      </c>
      <c r="N149" s="71">
        <v>756.66312765999999</v>
      </c>
      <c r="O149" s="62">
        <v>374.57350596999999</v>
      </c>
      <c r="P149" s="62">
        <v>553</v>
      </c>
      <c r="Q149" s="62">
        <v>1026</v>
      </c>
      <c r="R149" s="62">
        <v>561</v>
      </c>
      <c r="S149">
        <v>221</v>
      </c>
      <c r="T149" s="126">
        <v>109</v>
      </c>
      <c r="U149">
        <v>27</v>
      </c>
      <c r="V149" s="62">
        <f t="shared" si="5"/>
        <v>2497</v>
      </c>
    </row>
    <row r="150" spans="1:22" ht="14">
      <c r="A150" s="1">
        <v>912</v>
      </c>
      <c r="B150" s="4" t="s">
        <v>706</v>
      </c>
      <c r="C150" s="139"/>
      <c r="D150" s="139">
        <v>-65.009</v>
      </c>
      <c r="E150" s="109">
        <v>3</v>
      </c>
      <c r="F150" s="109">
        <v>45</v>
      </c>
      <c r="G150" s="86">
        <f t="shared" si="4"/>
        <v>31</v>
      </c>
      <c r="H150">
        <v>2105</v>
      </c>
      <c r="I150" s="86">
        <v>1854</v>
      </c>
      <c r="J150">
        <v>1884</v>
      </c>
      <c r="K150" s="62">
        <v>41240</v>
      </c>
      <c r="L150" s="71">
        <v>10278</v>
      </c>
      <c r="M150" s="71">
        <v>0</v>
      </c>
      <c r="N150" s="71">
        <v>542.23781997000003</v>
      </c>
      <c r="O150" s="62">
        <v>291.27398299999999</v>
      </c>
      <c r="P150" s="62">
        <v>488</v>
      </c>
      <c r="Q150" s="62">
        <v>761</v>
      </c>
      <c r="R150" s="62">
        <v>394</v>
      </c>
      <c r="S150">
        <v>166</v>
      </c>
      <c r="T150" s="126">
        <v>87</v>
      </c>
      <c r="U150">
        <v>26</v>
      </c>
      <c r="V150" s="62">
        <f t="shared" si="5"/>
        <v>1922</v>
      </c>
    </row>
    <row r="151" spans="1:22" ht="14">
      <c r="A151" s="1">
        <v>914</v>
      </c>
      <c r="B151" s="2" t="s">
        <v>932</v>
      </c>
      <c r="C151" s="139"/>
      <c r="D151" s="139">
        <v>39.659999999999997</v>
      </c>
      <c r="E151" s="109">
        <v>3</v>
      </c>
      <c r="F151" s="109">
        <v>49</v>
      </c>
      <c r="G151" s="86">
        <f t="shared" si="4"/>
        <v>30</v>
      </c>
      <c r="H151">
        <v>1100</v>
      </c>
      <c r="I151" s="86">
        <v>5889</v>
      </c>
      <c r="J151">
        <v>5874</v>
      </c>
      <c r="K151" s="62">
        <v>77026</v>
      </c>
      <c r="L151" s="71">
        <v>27043</v>
      </c>
      <c r="M151" s="71">
        <v>0</v>
      </c>
      <c r="N151" s="71">
        <v>801.56895125999995</v>
      </c>
      <c r="O151" s="62">
        <v>806.88355895999996</v>
      </c>
      <c r="P151" s="62">
        <v>1273</v>
      </c>
      <c r="Q151" s="62">
        <v>2327</v>
      </c>
      <c r="R151" s="62">
        <v>1473</v>
      </c>
      <c r="S151">
        <v>569</v>
      </c>
      <c r="T151" s="126">
        <v>267</v>
      </c>
      <c r="U151">
        <v>60</v>
      </c>
      <c r="V151" s="62">
        <f t="shared" si="5"/>
        <v>5969</v>
      </c>
    </row>
    <row r="152" spans="1:22" ht="14">
      <c r="A152" s="1">
        <v>919</v>
      </c>
      <c r="B152" s="2" t="s">
        <v>933</v>
      </c>
      <c r="C152" s="139"/>
      <c r="D152" s="139">
        <v>46.694000000000003</v>
      </c>
      <c r="E152" s="109">
        <v>2</v>
      </c>
      <c r="F152" s="109">
        <v>53</v>
      </c>
      <c r="G152" s="86">
        <f t="shared" si="4"/>
        <v>0</v>
      </c>
      <c r="H152">
        <v>800</v>
      </c>
      <c r="I152" s="86">
        <v>4672</v>
      </c>
      <c r="J152">
        <v>4853</v>
      </c>
      <c r="K152" s="62">
        <v>54258</v>
      </c>
      <c r="L152" s="71">
        <v>25375</v>
      </c>
      <c r="M152" s="71">
        <v>0</v>
      </c>
      <c r="N152" s="71">
        <v>625.31359363000001</v>
      </c>
      <c r="O152" s="62">
        <v>682.85056148000001</v>
      </c>
      <c r="P152" s="62">
        <v>1320</v>
      </c>
      <c r="Q152" s="62">
        <v>2283</v>
      </c>
      <c r="R152" s="62">
        <v>974</v>
      </c>
      <c r="S152">
        <v>372</v>
      </c>
      <c r="T152" s="126">
        <v>143</v>
      </c>
      <c r="U152">
        <v>35</v>
      </c>
      <c r="V152" s="62">
        <f t="shared" si="5"/>
        <v>5127</v>
      </c>
    </row>
    <row r="153" spans="1:22" ht="14">
      <c r="A153" s="1">
        <v>926</v>
      </c>
      <c r="B153" s="2" t="s">
        <v>934</v>
      </c>
      <c r="C153" s="139"/>
      <c r="D153" s="139">
        <v>-17.734999999999999</v>
      </c>
      <c r="E153" s="109">
        <v>1</v>
      </c>
      <c r="F153" s="109">
        <v>70</v>
      </c>
      <c r="G153" s="86">
        <f t="shared" si="4"/>
        <v>0</v>
      </c>
      <c r="H153">
        <v>1300</v>
      </c>
      <c r="I153" s="86">
        <v>9043</v>
      </c>
      <c r="J153">
        <v>9238</v>
      </c>
      <c r="K153" s="62">
        <v>97786</v>
      </c>
      <c r="L153" s="71">
        <v>49807</v>
      </c>
      <c r="M153" s="71">
        <v>0</v>
      </c>
      <c r="N153" s="71">
        <v>1809.70469108</v>
      </c>
      <c r="O153" s="62">
        <v>1233.6657659800001</v>
      </c>
      <c r="P153" s="62">
        <v>2328</v>
      </c>
      <c r="Q153" s="62">
        <v>4000</v>
      </c>
      <c r="R153" s="62">
        <v>2169</v>
      </c>
      <c r="S153">
        <v>837</v>
      </c>
      <c r="T153" s="126">
        <v>316</v>
      </c>
      <c r="U153">
        <v>63</v>
      </c>
      <c r="V153" s="62">
        <f t="shared" si="5"/>
        <v>9713</v>
      </c>
    </row>
    <row r="154" spans="1:22" ht="14">
      <c r="A154" s="1">
        <v>928</v>
      </c>
      <c r="B154" s="2" t="s">
        <v>935</v>
      </c>
      <c r="C154" s="139"/>
      <c r="D154" s="139">
        <v>189.52</v>
      </c>
      <c r="E154" s="109">
        <v>2</v>
      </c>
      <c r="F154" s="109">
        <v>53</v>
      </c>
      <c r="G154" s="86">
        <f t="shared" si="4"/>
        <v>0</v>
      </c>
      <c r="H154">
        <v>1100</v>
      </c>
      <c r="I154" s="86">
        <v>4340</v>
      </c>
      <c r="J154">
        <v>4503</v>
      </c>
      <c r="K154" s="62">
        <v>56295</v>
      </c>
      <c r="L154" s="71">
        <v>25122</v>
      </c>
      <c r="M154" s="71">
        <v>0</v>
      </c>
      <c r="N154" s="71">
        <v>383.94479178</v>
      </c>
      <c r="O154" s="62">
        <v>648.67246996999995</v>
      </c>
      <c r="P154" s="62">
        <v>1260</v>
      </c>
      <c r="Q154" s="62">
        <v>2050</v>
      </c>
      <c r="R154" s="62">
        <v>925</v>
      </c>
      <c r="S154">
        <v>362</v>
      </c>
      <c r="T154" s="126">
        <v>144</v>
      </c>
      <c r="U154">
        <v>35</v>
      </c>
      <c r="V154" s="62">
        <f t="shared" si="5"/>
        <v>4776</v>
      </c>
    </row>
    <row r="155" spans="1:22" ht="14">
      <c r="A155" s="1">
        <v>929</v>
      </c>
      <c r="B155" s="2" t="s">
        <v>936</v>
      </c>
      <c r="C155" s="139"/>
      <c r="D155" s="139">
        <v>29.314</v>
      </c>
      <c r="E155" s="109">
        <v>4</v>
      </c>
      <c r="F155" s="109">
        <v>17</v>
      </c>
      <c r="G155" s="86">
        <f t="shared" si="4"/>
        <v>4</v>
      </c>
      <c r="H155">
        <v>2268</v>
      </c>
      <c r="I155" s="86">
        <v>1801</v>
      </c>
      <c r="J155">
        <v>1836</v>
      </c>
      <c r="K155" s="62">
        <v>52848</v>
      </c>
      <c r="L155" s="71">
        <v>7785</v>
      </c>
      <c r="M155" s="71">
        <v>0</v>
      </c>
      <c r="N155" s="71">
        <v>383.94479178</v>
      </c>
      <c r="O155" s="62">
        <v>313.57624291000002</v>
      </c>
      <c r="P155" s="62">
        <v>408</v>
      </c>
      <c r="Q155" s="62">
        <v>676</v>
      </c>
      <c r="R155" s="62">
        <v>449</v>
      </c>
      <c r="S155">
        <v>196</v>
      </c>
      <c r="T155" s="126">
        <v>79</v>
      </c>
      <c r="U155">
        <v>21</v>
      </c>
      <c r="V155" s="62">
        <f t="shared" si="5"/>
        <v>1829</v>
      </c>
    </row>
    <row r="156" spans="1:22" ht="14">
      <c r="A156" s="1">
        <v>935</v>
      </c>
      <c r="B156" s="2" t="s">
        <v>937</v>
      </c>
      <c r="C156" s="139"/>
      <c r="D156" s="139">
        <v>12.526999999999999</v>
      </c>
      <c r="E156" s="109">
        <v>2</v>
      </c>
      <c r="F156" s="109">
        <v>55</v>
      </c>
      <c r="G156" s="86">
        <f t="shared" si="4"/>
        <v>0</v>
      </c>
      <c r="H156">
        <v>1219</v>
      </c>
      <c r="I156" s="86">
        <v>1154</v>
      </c>
      <c r="J156">
        <v>1211</v>
      </c>
      <c r="K156" s="62">
        <v>32503</v>
      </c>
      <c r="L156" s="71">
        <v>6237</v>
      </c>
      <c r="M156" s="71">
        <v>0</v>
      </c>
      <c r="N156" s="71">
        <v>488.35083164999998</v>
      </c>
      <c r="O156" s="62">
        <v>208.56996932000001</v>
      </c>
      <c r="P156" s="62">
        <v>323</v>
      </c>
      <c r="Q156" s="62">
        <v>566</v>
      </c>
      <c r="R156" s="62">
        <v>285</v>
      </c>
      <c r="S156">
        <v>75</v>
      </c>
      <c r="T156" s="126">
        <v>48</v>
      </c>
      <c r="U156">
        <v>8</v>
      </c>
      <c r="V156" s="62">
        <f t="shared" si="5"/>
        <v>1305</v>
      </c>
    </row>
    <row r="157" spans="1:22" ht="14">
      <c r="A157" s="1">
        <v>937</v>
      </c>
      <c r="B157" s="4" t="s">
        <v>938</v>
      </c>
      <c r="C157" s="139"/>
      <c r="D157" s="139">
        <v>69.426000000000002</v>
      </c>
      <c r="E157" s="109">
        <v>3</v>
      </c>
      <c r="F157" s="109">
        <v>44</v>
      </c>
      <c r="G157" s="86">
        <f t="shared" si="4"/>
        <v>32</v>
      </c>
      <c r="H157">
        <v>700</v>
      </c>
      <c r="I157" s="86">
        <v>3305</v>
      </c>
      <c r="J157">
        <v>3327</v>
      </c>
      <c r="K157" s="62">
        <v>49704</v>
      </c>
      <c r="L157" s="71">
        <v>15506</v>
      </c>
      <c r="M157" s="71">
        <v>0</v>
      </c>
      <c r="N157" s="71">
        <v>1042.9377531099999</v>
      </c>
      <c r="O157" s="62">
        <v>483.44074836999999</v>
      </c>
      <c r="P157" s="62">
        <v>834</v>
      </c>
      <c r="Q157" s="62">
        <v>1354</v>
      </c>
      <c r="R157" s="62">
        <v>773</v>
      </c>
      <c r="S157">
        <v>340</v>
      </c>
      <c r="T157" s="126">
        <v>146</v>
      </c>
      <c r="U157">
        <v>28</v>
      </c>
      <c r="V157" s="62">
        <f t="shared" si="5"/>
        <v>3475</v>
      </c>
    </row>
    <row r="158" spans="1:22" ht="14">
      <c r="A158" s="1">
        <v>938</v>
      </c>
      <c r="B158" s="2" t="s">
        <v>939</v>
      </c>
      <c r="C158" s="139"/>
      <c r="D158" s="139">
        <v>143.07</v>
      </c>
      <c r="E158" s="109">
        <v>3</v>
      </c>
      <c r="F158" s="109">
        <v>25</v>
      </c>
      <c r="G158" s="86">
        <f t="shared" si="4"/>
        <v>35</v>
      </c>
      <c r="H158">
        <v>1000</v>
      </c>
      <c r="I158" s="86">
        <v>1327</v>
      </c>
      <c r="J158">
        <v>1242</v>
      </c>
      <c r="K158" s="62">
        <v>39477</v>
      </c>
      <c r="L158" s="71">
        <v>4632</v>
      </c>
      <c r="M158" s="71">
        <v>0</v>
      </c>
      <c r="N158" s="71">
        <v>681.44587313</v>
      </c>
      <c r="O158" s="62">
        <v>224.22050128999999</v>
      </c>
      <c r="P158" s="62">
        <v>245</v>
      </c>
      <c r="Q158" s="62">
        <v>449</v>
      </c>
      <c r="R158" s="62">
        <v>344</v>
      </c>
      <c r="S158">
        <v>137</v>
      </c>
      <c r="T158" s="126">
        <v>48</v>
      </c>
      <c r="U158">
        <v>16</v>
      </c>
      <c r="V158" s="62">
        <f t="shared" si="5"/>
        <v>1239</v>
      </c>
    </row>
    <row r="159" spans="1:22" ht="14">
      <c r="A159" s="1">
        <v>940</v>
      </c>
      <c r="B159" s="2" t="s">
        <v>940</v>
      </c>
      <c r="C159" s="139"/>
      <c r="D159" s="139">
        <v>-148.18</v>
      </c>
      <c r="E159" s="109">
        <v>3</v>
      </c>
      <c r="F159" s="109">
        <v>21</v>
      </c>
      <c r="G159" s="86">
        <f t="shared" si="4"/>
        <v>35</v>
      </c>
      <c r="H159">
        <v>0</v>
      </c>
      <c r="I159" s="86">
        <v>1384</v>
      </c>
      <c r="J159">
        <v>1326</v>
      </c>
      <c r="K159" s="62">
        <v>32005</v>
      </c>
      <c r="L159" s="71">
        <v>6659</v>
      </c>
      <c r="M159" s="71">
        <v>0</v>
      </c>
      <c r="N159" s="71">
        <v>331.18044904999999</v>
      </c>
      <c r="O159" s="62">
        <v>218.87793497000001</v>
      </c>
      <c r="P159" s="62">
        <v>283</v>
      </c>
      <c r="Q159" s="62">
        <v>478</v>
      </c>
      <c r="R159" s="62">
        <v>318</v>
      </c>
      <c r="S159">
        <v>123</v>
      </c>
      <c r="T159" s="126">
        <v>64</v>
      </c>
      <c r="U159">
        <v>18</v>
      </c>
      <c r="V159" s="62">
        <f t="shared" si="5"/>
        <v>1284</v>
      </c>
    </row>
    <row r="160" spans="1:22" ht="14">
      <c r="A160" s="1">
        <v>941</v>
      </c>
      <c r="B160" s="2" t="s">
        <v>941</v>
      </c>
      <c r="C160" s="139"/>
      <c r="D160" s="139">
        <v>-48.801000000000002</v>
      </c>
      <c r="E160" s="109">
        <v>3</v>
      </c>
      <c r="F160" s="109">
        <v>48</v>
      </c>
      <c r="G160" s="86">
        <f t="shared" si="4"/>
        <v>30</v>
      </c>
      <c r="H160">
        <v>0</v>
      </c>
      <c r="I160" s="86">
        <v>857</v>
      </c>
      <c r="J160">
        <v>919</v>
      </c>
      <c r="K160" s="62">
        <v>18474</v>
      </c>
      <c r="L160" s="71">
        <v>4718</v>
      </c>
      <c r="M160" s="71">
        <v>0</v>
      </c>
      <c r="N160" s="71">
        <v>455.79410954000002</v>
      </c>
      <c r="O160" s="62">
        <v>157.20628735</v>
      </c>
      <c r="P160" s="62">
        <v>219</v>
      </c>
      <c r="Q160" s="62">
        <v>481</v>
      </c>
      <c r="R160" s="62">
        <v>198</v>
      </c>
      <c r="S160">
        <v>64</v>
      </c>
      <c r="T160" s="126">
        <v>21</v>
      </c>
      <c r="U160">
        <v>6</v>
      </c>
      <c r="V160" s="62">
        <f t="shared" si="5"/>
        <v>989</v>
      </c>
    </row>
    <row r="161" spans="1:22" ht="14">
      <c r="A161" s="1">
        <v>1001</v>
      </c>
      <c r="B161" s="2" t="s">
        <v>942</v>
      </c>
      <c r="C161" s="139"/>
      <c r="D161" s="139">
        <v>-3.5550000000000002</v>
      </c>
      <c r="E161" s="109">
        <v>1</v>
      </c>
      <c r="F161" s="109">
        <v>81</v>
      </c>
      <c r="G161" s="86">
        <f t="shared" si="4"/>
        <v>0</v>
      </c>
      <c r="H161">
        <v>6800</v>
      </c>
      <c r="I161" s="86">
        <v>76066</v>
      </c>
      <c r="J161">
        <v>78919</v>
      </c>
      <c r="K161" s="62">
        <v>740428</v>
      </c>
      <c r="L161" s="71">
        <v>467462</v>
      </c>
      <c r="M161" s="71">
        <v>10900</v>
      </c>
      <c r="N161" s="71">
        <v>20278.347292170001</v>
      </c>
      <c r="O161" s="62">
        <v>10353.031286920001</v>
      </c>
      <c r="P161" s="62">
        <v>19256</v>
      </c>
      <c r="Q161" s="62">
        <v>37198</v>
      </c>
      <c r="R161" s="62">
        <v>15857</v>
      </c>
      <c r="S161">
        <v>6678</v>
      </c>
      <c r="T161" s="126">
        <v>2821</v>
      </c>
      <c r="U161">
        <v>584</v>
      </c>
      <c r="V161" s="62">
        <f t="shared" si="5"/>
        <v>82394</v>
      </c>
    </row>
    <row r="162" spans="1:22" ht="14">
      <c r="A162" s="1">
        <v>1002</v>
      </c>
      <c r="B162" s="2" t="s">
        <v>943</v>
      </c>
      <c r="C162" s="139"/>
      <c r="D162" s="139">
        <v>21.006</v>
      </c>
      <c r="E162" s="109">
        <v>1</v>
      </c>
      <c r="F162" s="109">
        <v>62</v>
      </c>
      <c r="G162" s="86">
        <f t="shared" si="4"/>
        <v>0</v>
      </c>
      <c r="H162">
        <v>600</v>
      </c>
      <c r="I162" s="86">
        <v>14010</v>
      </c>
      <c r="J162">
        <v>14400</v>
      </c>
      <c r="K162" s="62">
        <v>158442</v>
      </c>
      <c r="L162" s="71">
        <v>85478</v>
      </c>
      <c r="M162" s="71">
        <v>0</v>
      </c>
      <c r="N162" s="71">
        <v>949.75816913999995</v>
      </c>
      <c r="O162" s="62">
        <v>1938.07597895</v>
      </c>
      <c r="P162" s="62">
        <v>3631</v>
      </c>
      <c r="Q162" s="62">
        <v>6242</v>
      </c>
      <c r="R162" s="62">
        <v>3126</v>
      </c>
      <c r="S162">
        <v>1250</v>
      </c>
      <c r="T162" s="126">
        <v>580</v>
      </c>
      <c r="U162">
        <v>131</v>
      </c>
      <c r="V162" s="62">
        <f t="shared" si="5"/>
        <v>14960</v>
      </c>
    </row>
    <row r="163" spans="1:22" ht="14">
      <c r="A163" s="1">
        <v>1003</v>
      </c>
      <c r="B163" s="2" t="s">
        <v>944</v>
      </c>
      <c r="C163" s="139"/>
      <c r="D163" s="139">
        <v>-42.82</v>
      </c>
      <c r="E163" s="109">
        <v>3</v>
      </c>
      <c r="F163" s="109">
        <v>50</v>
      </c>
      <c r="G163" s="86">
        <f t="shared" si="4"/>
        <v>30</v>
      </c>
      <c r="H163">
        <v>700</v>
      </c>
      <c r="I163" s="86">
        <v>9479</v>
      </c>
      <c r="J163">
        <v>9392</v>
      </c>
      <c r="K163" s="62">
        <v>119210</v>
      </c>
      <c r="L163" s="71">
        <v>48910</v>
      </c>
      <c r="M163" s="71">
        <v>0</v>
      </c>
      <c r="N163" s="71">
        <v>1621.10023196</v>
      </c>
      <c r="O163" s="62">
        <v>1265.8784192600001</v>
      </c>
      <c r="P163" s="62">
        <v>2266</v>
      </c>
      <c r="Q163" s="62">
        <v>3684</v>
      </c>
      <c r="R163" s="62">
        <v>2051</v>
      </c>
      <c r="S163">
        <v>947</v>
      </c>
      <c r="T163" s="126">
        <v>372</v>
      </c>
      <c r="U163">
        <v>95</v>
      </c>
      <c r="V163" s="62">
        <f t="shared" si="5"/>
        <v>9415</v>
      </c>
    </row>
    <row r="164" spans="1:22" ht="14">
      <c r="A164" s="1">
        <v>1004</v>
      </c>
      <c r="B164" s="2" t="s">
        <v>946</v>
      </c>
      <c r="C164" s="139"/>
      <c r="D164" s="139">
        <v>16.856000000000002</v>
      </c>
      <c r="E164" s="109">
        <v>3</v>
      </c>
      <c r="F164" s="109">
        <v>44</v>
      </c>
      <c r="G164" s="86">
        <f t="shared" si="4"/>
        <v>32</v>
      </c>
      <c r="H164">
        <v>900</v>
      </c>
      <c r="I164" s="86">
        <v>8878</v>
      </c>
      <c r="J164">
        <v>8910</v>
      </c>
      <c r="K164" s="62">
        <v>135830</v>
      </c>
      <c r="L164" s="71">
        <v>42999</v>
      </c>
      <c r="M164" s="71">
        <v>0</v>
      </c>
      <c r="N164" s="71">
        <v>1512.2036097299999</v>
      </c>
      <c r="O164" s="62">
        <v>1271.46679997</v>
      </c>
      <c r="P164" s="62">
        <v>2052</v>
      </c>
      <c r="Q164" s="62">
        <v>3569</v>
      </c>
      <c r="R164" s="62">
        <v>1944</v>
      </c>
      <c r="S164">
        <v>896</v>
      </c>
      <c r="T164" s="126">
        <v>433</v>
      </c>
      <c r="U164">
        <v>119</v>
      </c>
      <c r="V164" s="62">
        <f t="shared" si="5"/>
        <v>9013</v>
      </c>
    </row>
    <row r="165" spans="1:22" ht="14">
      <c r="A165" s="1">
        <v>1014</v>
      </c>
      <c r="B165" s="2" t="s">
        <v>947</v>
      </c>
      <c r="C165" s="139"/>
      <c r="D165" s="139">
        <v>-5.883</v>
      </c>
      <c r="E165" s="109">
        <v>1</v>
      </c>
      <c r="F165" s="109">
        <v>57</v>
      </c>
      <c r="G165" s="86">
        <f t="shared" si="4"/>
        <v>0</v>
      </c>
      <c r="H165">
        <v>2000</v>
      </c>
      <c r="I165" s="86">
        <v>12427</v>
      </c>
      <c r="J165">
        <v>12776</v>
      </c>
      <c r="K165" s="62">
        <v>148475</v>
      </c>
      <c r="L165" s="71">
        <v>75896</v>
      </c>
      <c r="M165" s="71">
        <v>0</v>
      </c>
      <c r="N165" s="71">
        <v>2777.4251896599999</v>
      </c>
      <c r="O165" s="62">
        <v>1714.52969132</v>
      </c>
      <c r="P165" s="62">
        <v>3331</v>
      </c>
      <c r="Q165" s="62">
        <v>5937</v>
      </c>
      <c r="R165" s="62">
        <v>2461</v>
      </c>
      <c r="S165">
        <v>1063</v>
      </c>
      <c r="T165" s="126">
        <v>447</v>
      </c>
      <c r="U165">
        <v>95</v>
      </c>
      <c r="V165" s="62">
        <f t="shared" si="5"/>
        <v>13334</v>
      </c>
    </row>
    <row r="166" spans="1:22" ht="14">
      <c r="A166" s="1">
        <v>1017</v>
      </c>
      <c r="B166" s="2" t="s">
        <v>948</v>
      </c>
      <c r="C166" s="139"/>
      <c r="D166" s="139">
        <v>133.42500000000001</v>
      </c>
      <c r="E166" s="109">
        <v>1</v>
      </c>
      <c r="F166" s="109">
        <v>61</v>
      </c>
      <c r="G166" s="86">
        <f t="shared" si="4"/>
        <v>0</v>
      </c>
      <c r="H166">
        <v>700</v>
      </c>
      <c r="I166" s="86">
        <v>5556</v>
      </c>
      <c r="J166">
        <v>5728</v>
      </c>
      <c r="K166" s="62">
        <v>61297</v>
      </c>
      <c r="L166" s="71">
        <v>31973</v>
      </c>
      <c r="M166" s="71">
        <v>0</v>
      </c>
      <c r="N166" s="71">
        <v>1053.0415634200001</v>
      </c>
      <c r="O166" s="62">
        <v>792.29388572000005</v>
      </c>
      <c r="P166" s="62">
        <v>1577</v>
      </c>
      <c r="Q166" s="62">
        <v>2689</v>
      </c>
      <c r="R166" s="62">
        <v>1091</v>
      </c>
      <c r="S166">
        <v>467</v>
      </c>
      <c r="T166" s="126">
        <v>151</v>
      </c>
      <c r="U166">
        <v>24</v>
      </c>
      <c r="V166" s="62">
        <f t="shared" si="5"/>
        <v>5999</v>
      </c>
    </row>
    <row r="167" spans="1:22" ht="14">
      <c r="A167" s="1">
        <v>1018</v>
      </c>
      <c r="B167" s="2" t="s">
        <v>949</v>
      </c>
      <c r="C167" s="139"/>
      <c r="D167" s="139">
        <v>-67.433999999999997</v>
      </c>
      <c r="E167" s="109">
        <v>1</v>
      </c>
      <c r="F167" s="109">
        <v>77</v>
      </c>
      <c r="G167" s="86">
        <f t="shared" si="4"/>
        <v>0</v>
      </c>
      <c r="H167">
        <v>1200</v>
      </c>
      <c r="I167" s="86">
        <v>9547</v>
      </c>
      <c r="J167">
        <v>10050</v>
      </c>
      <c r="K167" s="62">
        <v>87861</v>
      </c>
      <c r="L167" s="71">
        <v>63259</v>
      </c>
      <c r="M167" s="71">
        <v>0</v>
      </c>
      <c r="N167" s="71">
        <v>1209.0893004300001</v>
      </c>
      <c r="O167" s="62">
        <v>1346.5013552600001</v>
      </c>
      <c r="P167" s="62">
        <v>2821</v>
      </c>
      <c r="Q167" s="62">
        <v>4609</v>
      </c>
      <c r="R167" s="62">
        <v>2106</v>
      </c>
      <c r="S167">
        <v>844</v>
      </c>
      <c r="T167" s="126">
        <v>278</v>
      </c>
      <c r="U167">
        <v>51</v>
      </c>
      <c r="V167" s="62">
        <f t="shared" si="5"/>
        <v>10709</v>
      </c>
    </row>
    <row r="168" spans="1:22" ht="14">
      <c r="A168" s="1">
        <v>1021</v>
      </c>
      <c r="B168" s="2" t="s">
        <v>950</v>
      </c>
      <c r="C168" s="139"/>
      <c r="D168" s="139">
        <v>3.7480000000000002</v>
      </c>
      <c r="E168" s="109">
        <v>3</v>
      </c>
      <c r="F168" s="109">
        <v>38</v>
      </c>
      <c r="G168" s="86">
        <f t="shared" si="4"/>
        <v>34</v>
      </c>
      <c r="H168">
        <v>300</v>
      </c>
      <c r="I168" s="86">
        <v>2167</v>
      </c>
      <c r="J168">
        <v>2178</v>
      </c>
      <c r="K168" s="62">
        <v>51901</v>
      </c>
      <c r="L168" s="71">
        <v>8457</v>
      </c>
      <c r="M168" s="71">
        <v>0</v>
      </c>
      <c r="N168" s="71">
        <v>816.16334393</v>
      </c>
      <c r="O168" s="62">
        <v>361.35320099</v>
      </c>
      <c r="P168" s="62">
        <v>561</v>
      </c>
      <c r="Q168" s="62">
        <v>912</v>
      </c>
      <c r="R168" s="62">
        <v>464</v>
      </c>
      <c r="S168">
        <v>170</v>
      </c>
      <c r="T168" s="126">
        <v>98</v>
      </c>
      <c r="U168">
        <v>22</v>
      </c>
      <c r="V168" s="62">
        <f t="shared" si="5"/>
        <v>2227</v>
      </c>
    </row>
    <row r="169" spans="1:22" ht="14">
      <c r="A169" s="1">
        <v>1026</v>
      </c>
      <c r="B169" s="2" t="s">
        <v>951</v>
      </c>
      <c r="C169" s="139"/>
      <c r="D169" s="139">
        <v>-61.023000000000003</v>
      </c>
      <c r="E169" s="109">
        <v>3</v>
      </c>
      <c r="F169" s="109">
        <v>43</v>
      </c>
      <c r="G169" s="86">
        <f t="shared" si="4"/>
        <v>32</v>
      </c>
      <c r="H169">
        <v>1531</v>
      </c>
      <c r="I169" s="86">
        <v>907</v>
      </c>
      <c r="J169">
        <v>905</v>
      </c>
      <c r="K169" s="62">
        <v>27236</v>
      </c>
      <c r="L169" s="71">
        <v>2939</v>
      </c>
      <c r="M169" s="71">
        <v>0</v>
      </c>
      <c r="N169" s="71">
        <v>221.16118123000001</v>
      </c>
      <c r="O169" s="62">
        <v>172.91446156000001</v>
      </c>
      <c r="P169" s="62">
        <v>252</v>
      </c>
      <c r="Q169" s="62">
        <v>374</v>
      </c>
      <c r="R169" s="62">
        <v>160</v>
      </c>
      <c r="S169">
        <v>79</v>
      </c>
      <c r="T169" s="126">
        <v>38</v>
      </c>
      <c r="U169">
        <v>9</v>
      </c>
      <c r="V169" s="62">
        <f t="shared" si="5"/>
        <v>912</v>
      </c>
    </row>
    <row r="170" spans="1:22" ht="14">
      <c r="A170" s="1">
        <v>1027</v>
      </c>
      <c r="B170" s="2" t="s">
        <v>952</v>
      </c>
      <c r="C170" s="139"/>
      <c r="D170" s="139">
        <v>-20.745999999999999</v>
      </c>
      <c r="E170" s="109">
        <v>3</v>
      </c>
      <c r="F170" s="109">
        <v>47</v>
      </c>
      <c r="G170" s="86">
        <f t="shared" si="4"/>
        <v>30</v>
      </c>
      <c r="H170">
        <v>1932</v>
      </c>
      <c r="I170" s="86">
        <v>1575</v>
      </c>
      <c r="J170">
        <v>1613</v>
      </c>
      <c r="K170" s="62">
        <v>40761</v>
      </c>
      <c r="L170" s="71">
        <v>9359</v>
      </c>
      <c r="M170" s="71">
        <v>0</v>
      </c>
      <c r="N170" s="71">
        <v>277.29346072999999</v>
      </c>
      <c r="O170" s="62">
        <v>272.65667931000002</v>
      </c>
      <c r="P170" s="62">
        <v>445</v>
      </c>
      <c r="Q170" s="62">
        <v>682</v>
      </c>
      <c r="R170" s="62">
        <v>300</v>
      </c>
      <c r="S170">
        <v>151</v>
      </c>
      <c r="T170" s="126">
        <v>67</v>
      </c>
      <c r="U170">
        <v>15</v>
      </c>
      <c r="V170" s="62">
        <f t="shared" si="5"/>
        <v>1660</v>
      </c>
    </row>
    <row r="171" spans="1:22" ht="14">
      <c r="A171" s="1">
        <v>1029</v>
      </c>
      <c r="B171" s="2" t="s">
        <v>953</v>
      </c>
      <c r="C171" s="139"/>
      <c r="D171" s="139">
        <v>117.27500000000001</v>
      </c>
      <c r="E171" s="109">
        <v>2</v>
      </c>
      <c r="F171" s="109">
        <v>55</v>
      </c>
      <c r="G171" s="86">
        <f t="shared" si="4"/>
        <v>0</v>
      </c>
      <c r="H171">
        <v>2940</v>
      </c>
      <c r="I171" s="86">
        <v>4484</v>
      </c>
      <c r="J171">
        <v>4557</v>
      </c>
      <c r="K171" s="62">
        <v>65547</v>
      </c>
      <c r="L171" s="71">
        <v>27671</v>
      </c>
      <c r="M171" s="71">
        <v>0</v>
      </c>
      <c r="N171" s="71">
        <v>1212.4572372</v>
      </c>
      <c r="O171" s="62">
        <v>668.11914304000004</v>
      </c>
      <c r="P171" s="62">
        <v>1126</v>
      </c>
      <c r="Q171" s="62">
        <v>1897</v>
      </c>
      <c r="R171" s="62">
        <v>1053</v>
      </c>
      <c r="S171">
        <v>420</v>
      </c>
      <c r="T171" s="126">
        <v>178</v>
      </c>
      <c r="U171">
        <v>50</v>
      </c>
      <c r="V171" s="62">
        <f t="shared" si="5"/>
        <v>4724</v>
      </c>
    </row>
    <row r="172" spans="1:22" ht="14">
      <c r="A172" s="1">
        <v>1032</v>
      </c>
      <c r="B172" s="2" t="s">
        <v>954</v>
      </c>
      <c r="C172" s="139"/>
      <c r="D172" s="139">
        <v>-81.358999999999995</v>
      </c>
      <c r="E172" s="109">
        <v>2</v>
      </c>
      <c r="F172" s="109">
        <v>57</v>
      </c>
      <c r="G172" s="86">
        <f t="shared" si="4"/>
        <v>0</v>
      </c>
      <c r="H172">
        <v>1000</v>
      </c>
      <c r="I172" s="86">
        <v>7244</v>
      </c>
      <c r="J172">
        <v>7533</v>
      </c>
      <c r="K172" s="62">
        <v>91573</v>
      </c>
      <c r="L172" s="71">
        <v>38488</v>
      </c>
      <c r="M172" s="71">
        <v>0</v>
      </c>
      <c r="N172" s="71">
        <v>1416.77873458</v>
      </c>
      <c r="O172" s="62">
        <v>1086.17936347</v>
      </c>
      <c r="P172" s="62">
        <v>2095</v>
      </c>
      <c r="Q172" s="62">
        <v>3228</v>
      </c>
      <c r="R172" s="62">
        <v>1552</v>
      </c>
      <c r="S172">
        <v>606</v>
      </c>
      <c r="T172" s="126">
        <v>275</v>
      </c>
      <c r="U172">
        <v>59</v>
      </c>
      <c r="V172" s="62">
        <f t="shared" si="5"/>
        <v>7815</v>
      </c>
    </row>
    <row r="173" spans="1:22" ht="14">
      <c r="A173" s="1">
        <v>1034</v>
      </c>
      <c r="B173" s="2" t="s">
        <v>955</v>
      </c>
      <c r="C173" s="139"/>
      <c r="D173" s="139">
        <v>-1.722</v>
      </c>
      <c r="E173" s="109">
        <v>3</v>
      </c>
      <c r="F173" s="109">
        <v>34</v>
      </c>
      <c r="G173" s="86">
        <f t="shared" si="4"/>
        <v>35</v>
      </c>
      <c r="H173">
        <v>2349</v>
      </c>
      <c r="I173" s="86">
        <v>1594</v>
      </c>
      <c r="J173">
        <v>1597</v>
      </c>
      <c r="K173" s="62">
        <v>38132</v>
      </c>
      <c r="L173" s="71">
        <v>8215</v>
      </c>
      <c r="M173" s="71">
        <v>0</v>
      </c>
      <c r="N173" s="71">
        <v>667.97412605</v>
      </c>
      <c r="O173" s="62">
        <v>256.93685325000001</v>
      </c>
      <c r="P173" s="62">
        <v>414</v>
      </c>
      <c r="Q173" s="62">
        <v>694</v>
      </c>
      <c r="R173" s="62">
        <v>304</v>
      </c>
      <c r="S173">
        <v>163</v>
      </c>
      <c r="T173" s="126">
        <v>52</v>
      </c>
      <c r="U173">
        <v>12</v>
      </c>
      <c r="V173" s="62">
        <f t="shared" si="5"/>
        <v>1639</v>
      </c>
    </row>
    <row r="174" spans="1:22" ht="14">
      <c r="A174" s="1">
        <v>1037</v>
      </c>
      <c r="B174" s="2" t="s">
        <v>956</v>
      </c>
      <c r="C174" s="139"/>
      <c r="D174" s="139">
        <v>18.533000000000001</v>
      </c>
      <c r="E174" s="109">
        <v>3</v>
      </c>
      <c r="F174" s="109">
        <v>37</v>
      </c>
      <c r="G174" s="86">
        <f t="shared" si="4"/>
        <v>34</v>
      </c>
      <c r="H174">
        <v>1106</v>
      </c>
      <c r="I174" s="86">
        <v>5582</v>
      </c>
      <c r="J174">
        <v>5629</v>
      </c>
      <c r="K174" s="62">
        <v>95368</v>
      </c>
      <c r="L174" s="71">
        <v>21658</v>
      </c>
      <c r="M174" s="71">
        <v>0</v>
      </c>
      <c r="N174" s="71">
        <v>1293.28771968</v>
      </c>
      <c r="O174" s="62">
        <v>831.27863332000004</v>
      </c>
      <c r="P174" s="62">
        <v>1390</v>
      </c>
      <c r="Q174" s="62">
        <v>2440</v>
      </c>
      <c r="R174" s="62">
        <v>1144</v>
      </c>
      <c r="S174">
        <v>544</v>
      </c>
      <c r="T174" s="126">
        <v>240</v>
      </c>
      <c r="U174">
        <v>58</v>
      </c>
      <c r="V174" s="62">
        <f t="shared" si="5"/>
        <v>5816</v>
      </c>
    </row>
    <row r="175" spans="1:22" ht="14">
      <c r="A175" s="1">
        <v>1046</v>
      </c>
      <c r="B175" s="2" t="s">
        <v>957</v>
      </c>
      <c r="C175" s="139"/>
      <c r="D175" s="139">
        <v>187.982</v>
      </c>
      <c r="E175" s="109">
        <v>3</v>
      </c>
      <c r="F175" s="109">
        <v>42</v>
      </c>
      <c r="G175" s="86">
        <f t="shared" si="4"/>
        <v>32</v>
      </c>
      <c r="H175">
        <v>3642</v>
      </c>
      <c r="I175" s="86">
        <v>1760</v>
      </c>
      <c r="J175">
        <v>1757</v>
      </c>
      <c r="K175" s="62">
        <v>39542</v>
      </c>
      <c r="L175" s="71">
        <v>6015</v>
      </c>
      <c r="M175" s="71">
        <v>0</v>
      </c>
      <c r="N175" s="71">
        <v>358.12394320999999</v>
      </c>
      <c r="O175" s="62">
        <v>305.08074282000001</v>
      </c>
      <c r="P175" s="62">
        <v>425</v>
      </c>
      <c r="Q175" s="62">
        <v>734</v>
      </c>
      <c r="R175" s="62">
        <v>371</v>
      </c>
      <c r="S175">
        <v>152</v>
      </c>
      <c r="T175" s="126">
        <v>75</v>
      </c>
      <c r="U175">
        <v>34</v>
      </c>
      <c r="V175" s="62">
        <f t="shared" si="5"/>
        <v>1791</v>
      </c>
    </row>
    <row r="176" spans="1:22" ht="14">
      <c r="A176" s="1">
        <v>1101</v>
      </c>
      <c r="B176" s="2" t="s">
        <v>958</v>
      </c>
      <c r="C176" s="139"/>
      <c r="D176" s="139">
        <v>-50.344999999999999</v>
      </c>
      <c r="E176" s="109">
        <v>1</v>
      </c>
      <c r="F176" s="109">
        <v>59</v>
      </c>
      <c r="G176" s="86">
        <f t="shared" si="4"/>
        <v>0</v>
      </c>
      <c r="H176">
        <v>1600</v>
      </c>
      <c r="I176" s="86">
        <v>13408</v>
      </c>
      <c r="J176">
        <v>13778</v>
      </c>
      <c r="K176" s="62">
        <v>148252</v>
      </c>
      <c r="L176" s="71">
        <v>69325</v>
      </c>
      <c r="M176" s="71">
        <v>0</v>
      </c>
      <c r="N176" s="71">
        <v>1837.77083083</v>
      </c>
      <c r="O176" s="62">
        <v>1862.39415113</v>
      </c>
      <c r="P176" s="62">
        <v>3528</v>
      </c>
      <c r="Q176" s="62">
        <v>6073</v>
      </c>
      <c r="R176" s="62">
        <v>2943</v>
      </c>
      <c r="S176">
        <v>1193</v>
      </c>
      <c r="T176" s="126">
        <v>532</v>
      </c>
      <c r="U176">
        <v>77</v>
      </c>
      <c r="V176" s="62">
        <f t="shared" si="5"/>
        <v>14346</v>
      </c>
    </row>
    <row r="177" spans="1:22" ht="14">
      <c r="A177" s="1">
        <v>1102</v>
      </c>
      <c r="B177" s="2" t="s">
        <v>959</v>
      </c>
      <c r="C177" s="139"/>
      <c r="D177" s="139">
        <v>-14.252000000000001</v>
      </c>
      <c r="E177" s="109">
        <v>1</v>
      </c>
      <c r="F177" s="109">
        <v>91</v>
      </c>
      <c r="G177" s="86">
        <f t="shared" si="4"/>
        <v>0</v>
      </c>
      <c r="H177">
        <v>0</v>
      </c>
      <c r="I177" s="86">
        <v>57618</v>
      </c>
      <c r="J177">
        <v>62037</v>
      </c>
      <c r="K177" s="62">
        <v>476397</v>
      </c>
      <c r="L177" s="71">
        <v>441470</v>
      </c>
      <c r="M177" s="71">
        <v>0</v>
      </c>
      <c r="N177" s="71">
        <v>15383.61251977</v>
      </c>
      <c r="O177" s="62">
        <v>8115.3319310400002</v>
      </c>
      <c r="P177" s="62">
        <v>17181</v>
      </c>
      <c r="Q177" s="62">
        <v>30823</v>
      </c>
      <c r="R177" s="62">
        <v>11966</v>
      </c>
      <c r="S177">
        <v>4223</v>
      </c>
      <c r="T177" s="126">
        <v>1706</v>
      </c>
      <c r="U177">
        <v>346</v>
      </c>
      <c r="V177" s="62">
        <f t="shared" si="5"/>
        <v>66245</v>
      </c>
    </row>
    <row r="178" spans="1:22" ht="14">
      <c r="A178" s="1">
        <v>1103</v>
      </c>
      <c r="B178" s="2" t="s">
        <v>960</v>
      </c>
      <c r="C178" s="139"/>
      <c r="D178" s="139">
        <v>27.547999999999998</v>
      </c>
      <c r="E178" s="138">
        <v>1</v>
      </c>
      <c r="F178" s="138">
        <v>82</v>
      </c>
      <c r="G178" s="86">
        <f t="shared" si="4"/>
        <v>0</v>
      </c>
      <c r="H178">
        <v>0</v>
      </c>
      <c r="I178" s="86">
        <v>113991</v>
      </c>
      <c r="J178">
        <v>119586</v>
      </c>
      <c r="K178" s="62">
        <v>866399</v>
      </c>
      <c r="L178" s="71">
        <v>850200</v>
      </c>
      <c r="M178" s="71">
        <v>8462</v>
      </c>
      <c r="N178" s="71">
        <v>23567.698870870001</v>
      </c>
      <c r="O178" s="62">
        <v>15005.510017099999</v>
      </c>
      <c r="P178" s="62">
        <v>29107</v>
      </c>
      <c r="Q178" s="62">
        <v>60556</v>
      </c>
      <c r="R178" s="62">
        <v>23431</v>
      </c>
      <c r="S178">
        <v>8212</v>
      </c>
      <c r="T178" s="126">
        <v>3784</v>
      </c>
      <c r="U178">
        <v>931</v>
      </c>
      <c r="V178" s="62">
        <f t="shared" si="5"/>
        <v>126021</v>
      </c>
    </row>
    <row r="179" spans="1:22" ht="14">
      <c r="A179" s="1">
        <v>1106</v>
      </c>
      <c r="B179" s="2" t="s">
        <v>961</v>
      </c>
      <c r="C179" s="139"/>
      <c r="D179" s="139">
        <v>44.838999999999999</v>
      </c>
      <c r="E179" s="109">
        <v>1</v>
      </c>
      <c r="F179" s="109">
        <v>75</v>
      </c>
      <c r="G179" s="86">
        <f t="shared" si="4"/>
        <v>0</v>
      </c>
      <c r="H179">
        <v>6000</v>
      </c>
      <c r="I179" s="86">
        <v>31530</v>
      </c>
      <c r="J179">
        <v>32956</v>
      </c>
      <c r="K179" s="62">
        <v>339285</v>
      </c>
      <c r="L179" s="71">
        <v>220276</v>
      </c>
      <c r="M179" s="71">
        <v>3461</v>
      </c>
      <c r="N179" s="71">
        <v>6252.0132907099996</v>
      </c>
      <c r="O179" s="62">
        <v>4384.4670075000004</v>
      </c>
      <c r="P179" s="62">
        <v>7799</v>
      </c>
      <c r="Q179" s="62">
        <v>15584</v>
      </c>
      <c r="R179" s="62">
        <v>6892</v>
      </c>
      <c r="S179">
        <v>2750</v>
      </c>
      <c r="T179" s="126">
        <v>1306</v>
      </c>
      <c r="U179">
        <v>288</v>
      </c>
      <c r="V179" s="62">
        <f t="shared" si="5"/>
        <v>34619</v>
      </c>
    </row>
    <row r="180" spans="1:22" ht="14">
      <c r="A180" s="1">
        <v>1111</v>
      </c>
      <c r="B180" s="2" t="s">
        <v>962</v>
      </c>
      <c r="C180" s="139"/>
      <c r="D180" s="139">
        <v>-27.795000000000002</v>
      </c>
      <c r="E180" s="109">
        <v>3</v>
      </c>
      <c r="F180" s="109">
        <v>28</v>
      </c>
      <c r="G180" s="86">
        <f t="shared" si="4"/>
        <v>35</v>
      </c>
      <c r="H180">
        <v>0</v>
      </c>
      <c r="I180" s="86">
        <v>3309</v>
      </c>
      <c r="J180">
        <v>3242</v>
      </c>
      <c r="K180" s="62">
        <v>56489</v>
      </c>
      <c r="L180" s="71">
        <v>16464</v>
      </c>
      <c r="M180" s="71">
        <v>0</v>
      </c>
      <c r="N180" s="71">
        <v>107.77397664</v>
      </c>
      <c r="O180" s="62">
        <v>473.24366461</v>
      </c>
      <c r="P180" s="62">
        <v>789</v>
      </c>
      <c r="Q180" s="62">
        <v>1253</v>
      </c>
      <c r="R180" s="62">
        <v>692</v>
      </c>
      <c r="S180">
        <v>322</v>
      </c>
      <c r="T180" s="126">
        <v>167</v>
      </c>
      <c r="U180">
        <v>42</v>
      </c>
      <c r="V180" s="62">
        <f t="shared" si="5"/>
        <v>3265</v>
      </c>
    </row>
    <row r="181" spans="1:22" ht="14">
      <c r="A181" s="1">
        <v>1112</v>
      </c>
      <c r="B181" s="2" t="s">
        <v>963</v>
      </c>
      <c r="C181" s="139"/>
      <c r="D181" s="139">
        <v>-98.260999999999996</v>
      </c>
      <c r="E181" s="109">
        <v>3</v>
      </c>
      <c r="F181" s="109">
        <v>54</v>
      </c>
      <c r="G181" s="86">
        <f t="shared" si="4"/>
        <v>30</v>
      </c>
      <c r="H181">
        <v>0</v>
      </c>
      <c r="I181" s="86">
        <v>3129</v>
      </c>
      <c r="J181">
        <v>3112</v>
      </c>
      <c r="K181" s="62">
        <v>50874</v>
      </c>
      <c r="L181" s="71">
        <v>23733</v>
      </c>
      <c r="M181" s="71">
        <v>0</v>
      </c>
      <c r="N181" s="71">
        <v>618.57772008999996</v>
      </c>
      <c r="O181" s="62">
        <v>449.16819097000001</v>
      </c>
      <c r="P181" s="62">
        <v>815</v>
      </c>
      <c r="Q181" s="62">
        <v>1290</v>
      </c>
      <c r="R181" s="62">
        <v>659</v>
      </c>
      <c r="S181">
        <v>260</v>
      </c>
      <c r="T181" s="126">
        <v>120</v>
      </c>
      <c r="U181">
        <v>42</v>
      </c>
      <c r="V181" s="62">
        <f t="shared" si="5"/>
        <v>3186</v>
      </c>
    </row>
    <row r="182" spans="1:22" ht="14">
      <c r="A182" s="1">
        <v>1114</v>
      </c>
      <c r="B182" s="2" t="s">
        <v>0</v>
      </c>
      <c r="C182" s="139"/>
      <c r="D182" s="139">
        <v>-20.596</v>
      </c>
      <c r="E182" s="109">
        <v>1</v>
      </c>
      <c r="F182" s="109">
        <v>58</v>
      </c>
      <c r="G182" s="86">
        <f t="shared" si="4"/>
        <v>0</v>
      </c>
      <c r="H182">
        <v>0</v>
      </c>
      <c r="I182" s="86">
        <v>2463</v>
      </c>
      <c r="J182">
        <v>2539</v>
      </c>
      <c r="K182" s="62">
        <v>42515</v>
      </c>
      <c r="L182" s="71">
        <v>16582</v>
      </c>
      <c r="M182" s="71">
        <v>0</v>
      </c>
      <c r="N182" s="71">
        <v>285.15197985999998</v>
      </c>
      <c r="O182" s="62">
        <v>394.01365105999997</v>
      </c>
      <c r="P182" s="62">
        <v>709</v>
      </c>
      <c r="Q182" s="62">
        <v>1138</v>
      </c>
      <c r="R182" s="62">
        <v>497</v>
      </c>
      <c r="S182">
        <v>183</v>
      </c>
      <c r="T182" s="126">
        <v>94</v>
      </c>
      <c r="U182">
        <v>30</v>
      </c>
      <c r="V182" s="62">
        <f t="shared" si="5"/>
        <v>2651</v>
      </c>
    </row>
    <row r="183" spans="1:22" ht="14">
      <c r="A183" s="1">
        <v>1119</v>
      </c>
      <c r="B183" s="2" t="s">
        <v>1</v>
      </c>
      <c r="C183" s="139"/>
      <c r="D183" s="139">
        <v>-27.289000000000001</v>
      </c>
      <c r="E183" s="109">
        <v>1</v>
      </c>
      <c r="F183" s="109">
        <v>79</v>
      </c>
      <c r="G183" s="86">
        <f t="shared" si="4"/>
        <v>0</v>
      </c>
      <c r="H183">
        <v>0</v>
      </c>
      <c r="I183" s="86">
        <v>14784</v>
      </c>
      <c r="J183">
        <v>15438</v>
      </c>
      <c r="K183" s="62">
        <v>146476</v>
      </c>
      <c r="L183" s="71">
        <v>98290</v>
      </c>
      <c r="M183" s="71">
        <v>0</v>
      </c>
      <c r="N183" s="71">
        <v>2153.2342416199999</v>
      </c>
      <c r="O183" s="62">
        <v>2145.0048627400001</v>
      </c>
      <c r="P183" s="62">
        <v>4680</v>
      </c>
      <c r="Q183" s="62">
        <v>7482</v>
      </c>
      <c r="R183" s="62">
        <v>2947</v>
      </c>
      <c r="S183">
        <v>1131</v>
      </c>
      <c r="T183" s="126">
        <v>474</v>
      </c>
      <c r="U183">
        <v>108</v>
      </c>
      <c r="V183" s="62">
        <f t="shared" si="5"/>
        <v>16822</v>
      </c>
    </row>
    <row r="184" spans="1:22" ht="14">
      <c r="A184" s="1">
        <v>1120</v>
      </c>
      <c r="B184" s="2" t="s">
        <v>2</v>
      </c>
      <c r="C184" s="139"/>
      <c r="D184" s="139">
        <v>-110.884</v>
      </c>
      <c r="E184" s="109">
        <v>1</v>
      </c>
      <c r="F184" s="109">
        <v>92</v>
      </c>
      <c r="G184" s="86">
        <f t="shared" si="4"/>
        <v>0</v>
      </c>
      <c r="H184">
        <v>4000</v>
      </c>
      <c r="I184" s="86">
        <v>14536</v>
      </c>
      <c r="J184">
        <v>15839</v>
      </c>
      <c r="K184" s="62">
        <v>143343</v>
      </c>
      <c r="L184" s="71">
        <v>109180</v>
      </c>
      <c r="M184" s="71">
        <v>0</v>
      </c>
      <c r="N184" s="71">
        <v>2875.0953559899999</v>
      </c>
      <c r="O184" s="62">
        <v>2171.4407988399998</v>
      </c>
      <c r="P184" s="62">
        <v>4901</v>
      </c>
      <c r="Q184" s="62">
        <v>8096</v>
      </c>
      <c r="R184" s="62">
        <v>2838</v>
      </c>
      <c r="S184">
        <v>1117</v>
      </c>
      <c r="T184" s="126">
        <v>368</v>
      </c>
      <c r="U184">
        <v>77</v>
      </c>
      <c r="V184" s="62">
        <f t="shared" si="5"/>
        <v>17397</v>
      </c>
    </row>
    <row r="185" spans="1:22" ht="14">
      <c r="A185" s="1">
        <v>1121</v>
      </c>
      <c r="B185" s="2" t="s">
        <v>3</v>
      </c>
      <c r="C185" s="139"/>
      <c r="D185" s="139">
        <v>-35.488999999999997</v>
      </c>
      <c r="E185" s="109">
        <v>1</v>
      </c>
      <c r="F185" s="109">
        <v>90</v>
      </c>
      <c r="G185" s="86">
        <f t="shared" si="4"/>
        <v>0</v>
      </c>
      <c r="H185">
        <v>0</v>
      </c>
      <c r="I185" s="86">
        <v>14461</v>
      </c>
      <c r="J185">
        <v>15459</v>
      </c>
      <c r="K185" s="62">
        <v>128720</v>
      </c>
      <c r="L185" s="71">
        <v>112704</v>
      </c>
      <c r="M185" s="71">
        <v>0</v>
      </c>
      <c r="N185" s="71">
        <v>3618.2867365699999</v>
      </c>
      <c r="O185" s="62">
        <v>2039.39147351</v>
      </c>
      <c r="P185" s="62">
        <v>4340</v>
      </c>
      <c r="Q185" s="62">
        <v>7405</v>
      </c>
      <c r="R185" s="62">
        <v>3057</v>
      </c>
      <c r="S185">
        <v>1140</v>
      </c>
      <c r="T185" s="126">
        <v>428</v>
      </c>
      <c r="U185">
        <v>80</v>
      </c>
      <c r="V185" s="62">
        <f t="shared" si="5"/>
        <v>16450</v>
      </c>
    </row>
    <row r="186" spans="1:22" ht="14">
      <c r="A186" s="1">
        <v>1122</v>
      </c>
      <c r="B186" s="2" t="s">
        <v>4</v>
      </c>
      <c r="C186" s="139"/>
      <c r="D186" s="139">
        <v>92.870999999999995</v>
      </c>
      <c r="E186" s="109">
        <v>1</v>
      </c>
      <c r="F186" s="109">
        <v>74</v>
      </c>
      <c r="G186" s="86">
        <f t="shared" si="4"/>
        <v>0</v>
      </c>
      <c r="H186">
        <v>800</v>
      </c>
      <c r="I186" s="86">
        <v>9273</v>
      </c>
      <c r="J186">
        <v>9729</v>
      </c>
      <c r="K186" s="62">
        <v>87953</v>
      </c>
      <c r="L186" s="71">
        <v>58864</v>
      </c>
      <c r="M186" s="71">
        <v>0</v>
      </c>
      <c r="N186" s="71">
        <v>1627.8361055</v>
      </c>
      <c r="O186" s="62">
        <v>1327.0762304499999</v>
      </c>
      <c r="P186" s="62">
        <v>2962</v>
      </c>
      <c r="Q186" s="62">
        <v>5006</v>
      </c>
      <c r="R186" s="62">
        <v>1779</v>
      </c>
      <c r="S186">
        <v>529</v>
      </c>
      <c r="T186" s="126">
        <v>168</v>
      </c>
      <c r="U186">
        <v>64</v>
      </c>
      <c r="V186" s="62">
        <f t="shared" si="5"/>
        <v>10508</v>
      </c>
    </row>
    <row r="187" spans="1:22" ht="14">
      <c r="A187" s="1">
        <v>1124</v>
      </c>
      <c r="B187" s="2" t="s">
        <v>5</v>
      </c>
      <c r="C187" s="139"/>
      <c r="D187" s="139">
        <v>-20.626999999999999</v>
      </c>
      <c r="E187" s="109">
        <v>1</v>
      </c>
      <c r="F187" s="109">
        <v>91</v>
      </c>
      <c r="G187" s="86">
        <f t="shared" si="4"/>
        <v>0</v>
      </c>
      <c r="H187">
        <v>0</v>
      </c>
      <c r="I187" s="86">
        <v>19832</v>
      </c>
      <c r="J187">
        <v>21446</v>
      </c>
      <c r="K187" s="62">
        <v>162061</v>
      </c>
      <c r="L187" s="71">
        <v>174284</v>
      </c>
      <c r="M187" s="71">
        <v>0</v>
      </c>
      <c r="N187" s="71">
        <v>4484.9691320499996</v>
      </c>
      <c r="O187" s="62">
        <v>2863.1516356900001</v>
      </c>
      <c r="P187" s="62">
        <v>6285</v>
      </c>
      <c r="Q187" s="62">
        <v>10814</v>
      </c>
      <c r="R187" s="62">
        <v>4080</v>
      </c>
      <c r="S187">
        <v>1553</v>
      </c>
      <c r="T187" s="126">
        <v>537</v>
      </c>
      <c r="U187">
        <v>81</v>
      </c>
      <c r="V187" s="62">
        <f t="shared" si="5"/>
        <v>23350</v>
      </c>
    </row>
    <row r="188" spans="1:22" ht="14">
      <c r="A188" s="1">
        <v>1127</v>
      </c>
      <c r="B188" s="2" t="s">
        <v>6</v>
      </c>
      <c r="C188" s="139"/>
      <c r="D188" s="139">
        <v>-29.710999999999999</v>
      </c>
      <c r="E188" s="109">
        <v>1</v>
      </c>
      <c r="F188" s="109">
        <v>82</v>
      </c>
      <c r="G188" s="86">
        <f t="shared" si="4"/>
        <v>0</v>
      </c>
      <c r="H188">
        <v>6800</v>
      </c>
      <c r="I188" s="86">
        <v>9099</v>
      </c>
      <c r="J188">
        <v>9622</v>
      </c>
      <c r="K188" s="62">
        <v>84659</v>
      </c>
      <c r="L188" s="71">
        <v>77907</v>
      </c>
      <c r="M188" s="71">
        <v>0</v>
      </c>
      <c r="N188" s="71">
        <v>1654.77959966</v>
      </c>
      <c r="O188" s="62">
        <v>1297.6351259600001</v>
      </c>
      <c r="P188" s="62">
        <v>2799</v>
      </c>
      <c r="Q188" s="62">
        <v>4420</v>
      </c>
      <c r="R188" s="62">
        <v>1813</v>
      </c>
      <c r="S188">
        <v>765</v>
      </c>
      <c r="T188" s="126">
        <v>226</v>
      </c>
      <c r="U188">
        <v>38</v>
      </c>
      <c r="V188" s="62">
        <f t="shared" si="5"/>
        <v>10061</v>
      </c>
    </row>
    <row r="189" spans="1:22" ht="14">
      <c r="A189" s="1">
        <v>1129</v>
      </c>
      <c r="B189" s="2" t="s">
        <v>7</v>
      </c>
      <c r="C189" s="139"/>
      <c r="D189" s="139">
        <v>-86.613</v>
      </c>
      <c r="E189" s="109">
        <v>2</v>
      </c>
      <c r="F189" s="109">
        <v>58</v>
      </c>
      <c r="G189" s="86">
        <f t="shared" si="4"/>
        <v>0</v>
      </c>
      <c r="H189">
        <v>0</v>
      </c>
      <c r="I189" s="86">
        <v>1102</v>
      </c>
      <c r="J189">
        <v>1116</v>
      </c>
      <c r="K189" s="62">
        <v>29145</v>
      </c>
      <c r="L189" s="71">
        <v>6302</v>
      </c>
      <c r="M189" s="71">
        <v>0</v>
      </c>
      <c r="N189" s="71">
        <v>84.198419250000001</v>
      </c>
      <c r="O189" s="62">
        <v>217.90559680999999</v>
      </c>
      <c r="P189" s="62">
        <v>316</v>
      </c>
      <c r="Q189" s="62">
        <v>466</v>
      </c>
      <c r="R189" s="62">
        <v>228</v>
      </c>
      <c r="S189">
        <v>96</v>
      </c>
      <c r="T189" s="126">
        <v>44</v>
      </c>
      <c r="U189">
        <v>16</v>
      </c>
      <c r="V189" s="62">
        <f t="shared" si="5"/>
        <v>1166</v>
      </c>
    </row>
    <row r="190" spans="1:22" ht="14">
      <c r="A190" s="1">
        <v>1130</v>
      </c>
      <c r="B190" s="2" t="s">
        <v>12</v>
      </c>
      <c r="C190" s="139"/>
      <c r="D190" s="139">
        <v>-41.82</v>
      </c>
      <c r="E190" s="109">
        <v>1</v>
      </c>
      <c r="F190" s="109">
        <v>71</v>
      </c>
      <c r="G190" s="86">
        <f t="shared" si="4"/>
        <v>0</v>
      </c>
      <c r="H190">
        <v>2000</v>
      </c>
      <c r="I190" s="86">
        <v>10441</v>
      </c>
      <c r="J190">
        <v>10894</v>
      </c>
      <c r="K190" s="62">
        <v>127123</v>
      </c>
      <c r="L190" s="71">
        <v>73662</v>
      </c>
      <c r="M190" s="71">
        <v>0</v>
      </c>
      <c r="N190" s="71">
        <v>1843.38405878</v>
      </c>
      <c r="O190" s="62">
        <v>1486.44919714</v>
      </c>
      <c r="P190" s="62">
        <v>3033</v>
      </c>
      <c r="Q190" s="62">
        <v>4849</v>
      </c>
      <c r="R190" s="62">
        <v>2164</v>
      </c>
      <c r="S190">
        <v>893</v>
      </c>
      <c r="T190" s="126">
        <v>368</v>
      </c>
      <c r="U190">
        <v>72</v>
      </c>
      <c r="V190" s="62">
        <f t="shared" si="5"/>
        <v>11379</v>
      </c>
    </row>
    <row r="191" spans="1:22" ht="14">
      <c r="A191" s="1">
        <v>1133</v>
      </c>
      <c r="B191" s="2" t="s">
        <v>13</v>
      </c>
      <c r="C191" s="139"/>
      <c r="D191" s="139">
        <v>199.059</v>
      </c>
      <c r="E191" s="109">
        <v>3</v>
      </c>
      <c r="F191" s="109">
        <v>41</v>
      </c>
      <c r="G191" s="86">
        <f t="shared" si="4"/>
        <v>33</v>
      </c>
      <c r="H191">
        <v>400</v>
      </c>
      <c r="I191" s="86">
        <v>2736</v>
      </c>
      <c r="J191">
        <v>2678</v>
      </c>
      <c r="K191" s="62">
        <v>48030</v>
      </c>
      <c r="L191" s="71">
        <v>16130</v>
      </c>
      <c r="M191" s="71">
        <v>0</v>
      </c>
      <c r="N191" s="71">
        <v>1035.07923398</v>
      </c>
      <c r="O191" s="62">
        <v>432.13688819999999</v>
      </c>
      <c r="P191" s="62">
        <v>694</v>
      </c>
      <c r="Q191" s="62">
        <v>1130</v>
      </c>
      <c r="R191" s="62">
        <v>580</v>
      </c>
      <c r="S191">
        <v>260</v>
      </c>
      <c r="T191" s="126">
        <v>113</v>
      </c>
      <c r="U191">
        <v>37</v>
      </c>
      <c r="V191" s="62">
        <f t="shared" si="5"/>
        <v>2814</v>
      </c>
    </row>
    <row r="192" spans="1:22" ht="14">
      <c r="A192" s="1">
        <v>1134</v>
      </c>
      <c r="B192" s="2" t="s">
        <v>14</v>
      </c>
      <c r="C192" s="139"/>
      <c r="D192" s="139">
        <v>50.951999999999998</v>
      </c>
      <c r="E192" s="109">
        <v>3</v>
      </c>
      <c r="F192" s="109">
        <v>30</v>
      </c>
      <c r="G192" s="86">
        <f t="shared" si="4"/>
        <v>35</v>
      </c>
      <c r="H192">
        <v>0</v>
      </c>
      <c r="I192" s="86">
        <v>3901</v>
      </c>
      <c r="J192">
        <v>3823</v>
      </c>
      <c r="K192" s="62">
        <v>73512</v>
      </c>
      <c r="L192" s="71">
        <v>17027</v>
      </c>
      <c r="M192" s="71">
        <v>0</v>
      </c>
      <c r="N192" s="71">
        <v>827.38979983000002</v>
      </c>
      <c r="O192" s="62">
        <v>615.58037096999999</v>
      </c>
      <c r="P192" s="62">
        <v>898</v>
      </c>
      <c r="Q192" s="62">
        <v>1454</v>
      </c>
      <c r="R192" s="62">
        <v>869</v>
      </c>
      <c r="S192">
        <v>376</v>
      </c>
      <c r="T192" s="126">
        <v>191</v>
      </c>
      <c r="U192">
        <v>62</v>
      </c>
      <c r="V192" s="62">
        <f t="shared" si="5"/>
        <v>3850</v>
      </c>
    </row>
    <row r="193" spans="1:22" ht="14">
      <c r="A193" s="1">
        <v>1135</v>
      </c>
      <c r="B193" s="2" t="s">
        <v>15</v>
      </c>
      <c r="C193" s="139"/>
      <c r="D193" s="139">
        <v>35.244999999999997</v>
      </c>
      <c r="E193" s="109">
        <v>4</v>
      </c>
      <c r="F193" s="109">
        <v>26</v>
      </c>
      <c r="G193" s="86">
        <f t="shared" si="4"/>
        <v>4</v>
      </c>
      <c r="H193">
        <v>8078</v>
      </c>
      <c r="I193" s="86">
        <v>4819</v>
      </c>
      <c r="J193">
        <v>4734</v>
      </c>
      <c r="K193" s="62">
        <v>86762</v>
      </c>
      <c r="L193" s="71">
        <v>23109</v>
      </c>
      <c r="M193" s="71">
        <v>218</v>
      </c>
      <c r="N193" s="71">
        <v>165.02890173</v>
      </c>
      <c r="O193" s="62">
        <v>656.45195597999998</v>
      </c>
      <c r="P193" s="62">
        <v>994</v>
      </c>
      <c r="Q193" s="62">
        <v>1829</v>
      </c>
      <c r="R193" s="62">
        <v>1030</v>
      </c>
      <c r="S193">
        <v>532</v>
      </c>
      <c r="T193" s="126">
        <v>273</v>
      </c>
      <c r="U193">
        <v>45</v>
      </c>
      <c r="V193" s="62">
        <f t="shared" si="5"/>
        <v>4703</v>
      </c>
    </row>
    <row r="194" spans="1:22" ht="14">
      <c r="A194" s="1">
        <v>1141</v>
      </c>
      <c r="B194" s="2" t="s">
        <v>16</v>
      </c>
      <c r="C194" s="139"/>
      <c r="D194" s="139">
        <v>208.19900000000001</v>
      </c>
      <c r="E194" s="109">
        <v>3</v>
      </c>
      <c r="F194" s="109">
        <v>52</v>
      </c>
      <c r="G194" s="86">
        <f t="shared" si="4"/>
        <v>30</v>
      </c>
      <c r="H194">
        <v>7086</v>
      </c>
      <c r="I194" s="86">
        <v>2772</v>
      </c>
      <c r="J194">
        <v>2711</v>
      </c>
      <c r="K194" s="62">
        <v>67202</v>
      </c>
      <c r="L194" s="71">
        <v>13017</v>
      </c>
      <c r="M194" s="71">
        <v>0</v>
      </c>
      <c r="N194" s="71">
        <v>251.47261216000001</v>
      </c>
      <c r="O194" s="62">
        <v>441.28755805999998</v>
      </c>
      <c r="P194" s="62">
        <v>698</v>
      </c>
      <c r="Q194" s="62">
        <v>1138</v>
      </c>
      <c r="R194" s="62">
        <v>658</v>
      </c>
      <c r="S194">
        <v>254</v>
      </c>
      <c r="T194" s="126">
        <v>126</v>
      </c>
      <c r="U194">
        <v>45</v>
      </c>
      <c r="V194" s="62">
        <f t="shared" si="5"/>
        <v>2919</v>
      </c>
    </row>
    <row r="195" spans="1:22" ht="14">
      <c r="A195" s="1">
        <v>1142</v>
      </c>
      <c r="B195" s="2" t="s">
        <v>17</v>
      </c>
      <c r="C195" s="139"/>
      <c r="D195" s="139">
        <v>20.881</v>
      </c>
      <c r="E195" s="109">
        <v>1</v>
      </c>
      <c r="F195" s="109">
        <v>78</v>
      </c>
      <c r="G195" s="86">
        <f t="shared" si="4"/>
        <v>0</v>
      </c>
      <c r="H195">
        <v>2900</v>
      </c>
      <c r="I195" s="86">
        <v>3350</v>
      </c>
      <c r="J195">
        <v>3761</v>
      </c>
      <c r="K195" s="62">
        <v>52945</v>
      </c>
      <c r="L195" s="71">
        <v>31815</v>
      </c>
      <c r="M195" s="71">
        <v>0</v>
      </c>
      <c r="N195" s="71">
        <v>1484.1374699800001</v>
      </c>
      <c r="O195" s="62">
        <v>585.49306188000003</v>
      </c>
      <c r="P195" s="62">
        <v>1207</v>
      </c>
      <c r="Q195" s="62">
        <v>1881</v>
      </c>
      <c r="R195" s="62">
        <v>709</v>
      </c>
      <c r="S195">
        <v>253</v>
      </c>
      <c r="T195" s="126">
        <v>122</v>
      </c>
      <c r="U195">
        <v>30</v>
      </c>
      <c r="V195" s="62">
        <f t="shared" si="5"/>
        <v>4202</v>
      </c>
    </row>
    <row r="196" spans="1:22" ht="14">
      <c r="A196" s="1">
        <v>1144</v>
      </c>
      <c r="B196" s="2" t="s">
        <v>18</v>
      </c>
      <c r="C196" s="139"/>
      <c r="D196" s="139">
        <v>18.512</v>
      </c>
      <c r="E196" s="109">
        <v>3</v>
      </c>
      <c r="F196" s="109">
        <v>49</v>
      </c>
      <c r="G196" s="86">
        <f t="shared" si="4"/>
        <v>30</v>
      </c>
      <c r="H196">
        <v>1100</v>
      </c>
      <c r="I196" s="86">
        <v>511</v>
      </c>
      <c r="J196">
        <v>538</v>
      </c>
      <c r="K196" s="62">
        <v>20361</v>
      </c>
      <c r="L196" s="71">
        <v>2989</v>
      </c>
      <c r="M196" s="71">
        <v>0</v>
      </c>
      <c r="N196" s="71">
        <v>21.330266210000001</v>
      </c>
      <c r="O196" s="62">
        <v>93.768528450000005</v>
      </c>
      <c r="P196" s="62">
        <v>127</v>
      </c>
      <c r="Q196" s="62">
        <v>191</v>
      </c>
      <c r="R196" s="62">
        <v>103</v>
      </c>
      <c r="S196">
        <v>74</v>
      </c>
      <c r="T196" s="126">
        <v>31</v>
      </c>
      <c r="U196">
        <v>2</v>
      </c>
      <c r="V196" s="62">
        <f t="shared" si="5"/>
        <v>528</v>
      </c>
    </row>
    <row r="197" spans="1:22" ht="14">
      <c r="A197" s="1">
        <v>1145</v>
      </c>
      <c r="B197" s="2" t="s">
        <v>19</v>
      </c>
      <c r="C197" s="139"/>
      <c r="D197" s="139">
        <v>-205.44200000000001</v>
      </c>
      <c r="E197" s="109">
        <v>2</v>
      </c>
      <c r="F197" s="109">
        <v>47</v>
      </c>
      <c r="G197" s="86">
        <f t="shared" ref="G197:G260" si="6">IF(E197=3,IF(F197&lt;36,35,IF(F197&lt;39,34,IF(F197&lt;42,33,IF(F197&lt;45,32,IF(F197&lt;47,31,30))))),IF(E197=4,4,0))</f>
        <v>0</v>
      </c>
      <c r="H197">
        <v>0</v>
      </c>
      <c r="I197" s="86">
        <v>769</v>
      </c>
      <c r="J197">
        <v>823</v>
      </c>
      <c r="K197" s="62">
        <v>25309</v>
      </c>
      <c r="L197" s="71">
        <v>4632</v>
      </c>
      <c r="M197" s="71">
        <v>0</v>
      </c>
      <c r="N197" s="71">
        <v>0</v>
      </c>
      <c r="O197" s="62">
        <v>144.95239981</v>
      </c>
      <c r="P197" s="62">
        <v>217</v>
      </c>
      <c r="Q197" s="62">
        <v>311</v>
      </c>
      <c r="R197" s="62">
        <v>180</v>
      </c>
      <c r="S197">
        <v>81</v>
      </c>
      <c r="T197" s="126">
        <v>41</v>
      </c>
      <c r="U197">
        <v>7</v>
      </c>
      <c r="V197" s="62">
        <f t="shared" ref="V197:V260" si="7">P197+Q197+R197+S197+T197+U197</f>
        <v>837</v>
      </c>
    </row>
    <row r="198" spans="1:22" ht="14">
      <c r="A198" s="1">
        <v>1146</v>
      </c>
      <c r="B198" s="2" t="s">
        <v>20</v>
      </c>
      <c r="C198" s="139"/>
      <c r="D198" s="139">
        <v>-28.661999999999999</v>
      </c>
      <c r="E198" s="109">
        <v>1</v>
      </c>
      <c r="F198" s="109">
        <v>70</v>
      </c>
      <c r="G198" s="86">
        <f t="shared" si="6"/>
        <v>0</v>
      </c>
      <c r="H198">
        <v>0</v>
      </c>
      <c r="I198" s="86">
        <v>9370</v>
      </c>
      <c r="J198">
        <v>9604</v>
      </c>
      <c r="K198" s="62">
        <v>120583</v>
      </c>
      <c r="L198" s="71">
        <v>60498</v>
      </c>
      <c r="M198" s="71">
        <v>0</v>
      </c>
      <c r="N198" s="71">
        <v>1151.83437534</v>
      </c>
      <c r="O198" s="62">
        <v>1402.09104546</v>
      </c>
      <c r="P198" s="62">
        <v>2852</v>
      </c>
      <c r="Q198" s="62">
        <v>4308</v>
      </c>
      <c r="R198" s="62">
        <v>1926</v>
      </c>
      <c r="S198">
        <v>790</v>
      </c>
      <c r="T198" s="126">
        <v>253</v>
      </c>
      <c r="U198">
        <v>62</v>
      </c>
      <c r="V198" s="62">
        <f t="shared" si="7"/>
        <v>10191</v>
      </c>
    </row>
    <row r="199" spans="1:22" ht="14">
      <c r="A199" s="1">
        <v>1149</v>
      </c>
      <c r="B199" s="2" t="s">
        <v>21</v>
      </c>
      <c r="C199" s="139"/>
      <c r="D199" s="139">
        <v>-7.33</v>
      </c>
      <c r="E199" s="109">
        <v>1</v>
      </c>
      <c r="F199" s="109">
        <v>73</v>
      </c>
      <c r="G199" s="86">
        <f t="shared" si="6"/>
        <v>0</v>
      </c>
      <c r="H199">
        <v>2200</v>
      </c>
      <c r="I199" s="86">
        <v>37567</v>
      </c>
      <c r="J199">
        <v>38926</v>
      </c>
      <c r="K199" s="62">
        <v>387153</v>
      </c>
      <c r="L199" s="71">
        <v>204338</v>
      </c>
      <c r="M199" s="71">
        <v>0</v>
      </c>
      <c r="N199" s="71">
        <v>7850.6606108699998</v>
      </c>
      <c r="O199" s="62">
        <v>4997.5148105999997</v>
      </c>
      <c r="P199" s="62">
        <v>10112</v>
      </c>
      <c r="Q199" s="62">
        <v>17249</v>
      </c>
      <c r="R199" s="62">
        <v>7892</v>
      </c>
      <c r="S199">
        <v>3377</v>
      </c>
      <c r="T199" s="126">
        <v>1211</v>
      </c>
      <c r="U199">
        <v>222</v>
      </c>
      <c r="V199" s="62">
        <f t="shared" si="7"/>
        <v>40063</v>
      </c>
    </row>
    <row r="200" spans="1:22" ht="14">
      <c r="A200" s="1">
        <v>1151</v>
      </c>
      <c r="B200" s="2" t="s">
        <v>22</v>
      </c>
      <c r="C200" s="139"/>
      <c r="D200" s="139">
        <v>-74.623000000000005</v>
      </c>
      <c r="E200" s="109">
        <v>4</v>
      </c>
      <c r="F200" s="109">
        <v>39</v>
      </c>
      <c r="G200" s="86">
        <f t="shared" si="6"/>
        <v>4</v>
      </c>
      <c r="H200">
        <v>500</v>
      </c>
      <c r="I200" s="86">
        <v>213</v>
      </c>
      <c r="J200">
        <v>212</v>
      </c>
      <c r="K200" s="62">
        <v>19634</v>
      </c>
      <c r="L200" s="71">
        <v>883</v>
      </c>
      <c r="M200" s="71">
        <v>0</v>
      </c>
      <c r="N200" s="71">
        <v>0</v>
      </c>
      <c r="O200" s="62">
        <v>62.178614869999997</v>
      </c>
      <c r="P200" s="62">
        <v>47</v>
      </c>
      <c r="Q200" s="62">
        <v>89</v>
      </c>
      <c r="R200" s="62">
        <v>49</v>
      </c>
      <c r="S200">
        <v>17</v>
      </c>
      <c r="T200" s="126">
        <v>9</v>
      </c>
      <c r="U200">
        <v>5</v>
      </c>
      <c r="V200" s="62">
        <f t="shared" si="7"/>
        <v>216</v>
      </c>
    </row>
    <row r="201" spans="1:22" ht="14">
      <c r="A201" s="1">
        <v>1160</v>
      </c>
      <c r="B201" s="4" t="s">
        <v>711</v>
      </c>
      <c r="C201" s="139"/>
      <c r="D201" s="139">
        <v>-40.804000000000002</v>
      </c>
      <c r="E201" s="109">
        <v>3</v>
      </c>
      <c r="F201" s="109">
        <v>49</v>
      </c>
      <c r="G201" s="86">
        <f t="shared" si="6"/>
        <v>30</v>
      </c>
      <c r="H201">
        <v>8853</v>
      </c>
      <c r="I201" s="86">
        <v>8120</v>
      </c>
      <c r="J201">
        <v>8084</v>
      </c>
      <c r="K201" s="62">
        <v>143584</v>
      </c>
      <c r="L201" s="71">
        <v>42301</v>
      </c>
      <c r="M201" s="71">
        <v>0</v>
      </c>
      <c r="N201" s="71">
        <v>885.76737050999998</v>
      </c>
      <c r="O201" s="62">
        <v>1150.01729355</v>
      </c>
      <c r="P201" s="62">
        <v>2083</v>
      </c>
      <c r="Q201" s="62">
        <v>3333</v>
      </c>
      <c r="R201" s="62">
        <v>1674</v>
      </c>
      <c r="S201">
        <v>721</v>
      </c>
      <c r="T201" s="126">
        <v>401</v>
      </c>
      <c r="U201">
        <v>86</v>
      </c>
      <c r="V201" s="62">
        <f t="shared" si="7"/>
        <v>8298</v>
      </c>
    </row>
    <row r="202" spans="1:22" ht="14">
      <c r="A202" s="1">
        <v>1201</v>
      </c>
      <c r="B202" s="2" t="s">
        <v>23</v>
      </c>
      <c r="C202" s="139"/>
      <c r="D202" s="139">
        <v>31.001999999999999</v>
      </c>
      <c r="E202" s="109">
        <v>1</v>
      </c>
      <c r="F202" s="109">
        <v>84</v>
      </c>
      <c r="G202" s="86">
        <f t="shared" si="6"/>
        <v>0</v>
      </c>
      <c r="H202">
        <v>21000</v>
      </c>
      <c r="I202" s="86">
        <v>239209</v>
      </c>
      <c r="J202">
        <v>247746</v>
      </c>
      <c r="K202" s="62">
        <v>2257919</v>
      </c>
      <c r="L202" s="71">
        <v>1568302</v>
      </c>
      <c r="M202" s="71">
        <v>8427</v>
      </c>
      <c r="N202" s="71">
        <v>46917.604497280001</v>
      </c>
      <c r="O202" s="62">
        <v>32113.550334209998</v>
      </c>
      <c r="P202" s="62">
        <v>56750</v>
      </c>
      <c r="Q202" s="62">
        <v>122988</v>
      </c>
      <c r="R202" s="62">
        <v>48646</v>
      </c>
      <c r="S202">
        <v>20648</v>
      </c>
      <c r="T202" s="126">
        <v>9304</v>
      </c>
      <c r="U202">
        <v>2056</v>
      </c>
      <c r="V202" s="62">
        <f t="shared" si="7"/>
        <v>260392</v>
      </c>
    </row>
    <row r="203" spans="1:22" ht="14">
      <c r="A203" s="1">
        <v>1211</v>
      </c>
      <c r="B203" s="2" t="s">
        <v>24</v>
      </c>
      <c r="C203" s="139"/>
      <c r="D203" s="139">
        <v>95.459000000000003</v>
      </c>
      <c r="E203" s="109">
        <v>3</v>
      </c>
      <c r="F203" s="109">
        <v>35</v>
      </c>
      <c r="G203" s="86">
        <f t="shared" si="6"/>
        <v>35</v>
      </c>
      <c r="H203">
        <v>4406</v>
      </c>
      <c r="I203" s="86">
        <v>3904</v>
      </c>
      <c r="J203">
        <v>3852</v>
      </c>
      <c r="K203" s="62">
        <v>72514</v>
      </c>
      <c r="L203" s="71">
        <v>17066</v>
      </c>
      <c r="M203" s="71">
        <v>0</v>
      </c>
      <c r="N203" s="71">
        <v>303.1143093</v>
      </c>
      <c r="O203" s="62">
        <v>572.48805435999998</v>
      </c>
      <c r="P203" s="62">
        <v>888</v>
      </c>
      <c r="Q203" s="62">
        <v>1558</v>
      </c>
      <c r="R203" s="62">
        <v>832</v>
      </c>
      <c r="S203">
        <v>387</v>
      </c>
      <c r="T203" s="126">
        <v>190</v>
      </c>
      <c r="U203">
        <v>54</v>
      </c>
      <c r="V203" s="62">
        <f t="shared" si="7"/>
        <v>3909</v>
      </c>
    </row>
    <row r="204" spans="1:22" ht="14">
      <c r="A204" s="1">
        <v>1216</v>
      </c>
      <c r="B204" s="2" t="s">
        <v>25</v>
      </c>
      <c r="C204" s="139"/>
      <c r="D204" s="139">
        <v>42.536999999999999</v>
      </c>
      <c r="E204" s="109">
        <v>2</v>
      </c>
      <c r="F204" s="109">
        <v>52</v>
      </c>
      <c r="G204" s="86">
        <f t="shared" si="6"/>
        <v>0</v>
      </c>
      <c r="H204">
        <v>8300</v>
      </c>
      <c r="I204" s="86">
        <v>4672</v>
      </c>
      <c r="J204">
        <v>4825</v>
      </c>
      <c r="K204" s="62">
        <v>74499</v>
      </c>
      <c r="L204" s="71">
        <v>28829</v>
      </c>
      <c r="M204" s="71">
        <v>0</v>
      </c>
      <c r="N204" s="71">
        <v>806.05953362000002</v>
      </c>
      <c r="O204" s="62">
        <v>718.87403624000001</v>
      </c>
      <c r="P204" s="62">
        <v>1357</v>
      </c>
      <c r="Q204" s="62">
        <v>2094</v>
      </c>
      <c r="R204" s="62">
        <v>1102</v>
      </c>
      <c r="S204">
        <v>382</v>
      </c>
      <c r="T204" s="126">
        <v>160</v>
      </c>
      <c r="U204">
        <v>43</v>
      </c>
      <c r="V204" s="62">
        <f t="shared" si="7"/>
        <v>5138</v>
      </c>
    </row>
    <row r="205" spans="1:22" ht="14">
      <c r="A205" s="1">
        <v>1219</v>
      </c>
      <c r="B205" s="2" t="s">
        <v>26</v>
      </c>
      <c r="C205" s="139"/>
      <c r="D205" s="139">
        <v>-22.916</v>
      </c>
      <c r="E205" s="109">
        <v>2</v>
      </c>
      <c r="F205" s="109">
        <v>57</v>
      </c>
      <c r="G205" s="86">
        <f t="shared" si="6"/>
        <v>0</v>
      </c>
      <c r="H205">
        <v>9866</v>
      </c>
      <c r="I205" s="86">
        <v>10830</v>
      </c>
      <c r="J205">
        <v>10998</v>
      </c>
      <c r="K205" s="62">
        <v>156500</v>
      </c>
      <c r="L205" s="71">
        <v>76021</v>
      </c>
      <c r="M205" s="71">
        <v>0</v>
      </c>
      <c r="N205" s="71">
        <v>2438.3862214800001</v>
      </c>
      <c r="O205" s="62">
        <v>1570.56387926</v>
      </c>
      <c r="P205" s="62">
        <v>3058</v>
      </c>
      <c r="Q205" s="62">
        <v>4703</v>
      </c>
      <c r="R205" s="62">
        <v>2252</v>
      </c>
      <c r="S205">
        <v>839</v>
      </c>
      <c r="T205" s="126">
        <v>455</v>
      </c>
      <c r="U205">
        <v>114</v>
      </c>
      <c r="V205" s="62">
        <f t="shared" si="7"/>
        <v>11421</v>
      </c>
    </row>
    <row r="206" spans="1:22" ht="14">
      <c r="A206" s="1">
        <v>1221</v>
      </c>
      <c r="B206" s="2" t="s">
        <v>27</v>
      </c>
      <c r="C206" s="139"/>
      <c r="D206" s="139">
        <v>-15.794</v>
      </c>
      <c r="E206" s="109">
        <v>1</v>
      </c>
      <c r="F206" s="109">
        <v>66</v>
      </c>
      <c r="G206" s="86">
        <f t="shared" si="6"/>
        <v>0</v>
      </c>
      <c r="H206">
        <v>1100</v>
      </c>
      <c r="I206" s="86">
        <v>16516</v>
      </c>
      <c r="J206">
        <v>17092</v>
      </c>
      <c r="K206" s="62">
        <v>154764</v>
      </c>
      <c r="L206" s="71">
        <v>114980</v>
      </c>
      <c r="M206" s="71">
        <v>1666</v>
      </c>
      <c r="N206" s="71">
        <v>1594.1567378</v>
      </c>
      <c r="O206" s="62">
        <v>2255.97934596</v>
      </c>
      <c r="P206" s="62">
        <v>4625</v>
      </c>
      <c r="Q206" s="62">
        <v>7730</v>
      </c>
      <c r="R206" s="62">
        <v>3415</v>
      </c>
      <c r="S206">
        <v>1393</v>
      </c>
      <c r="T206" s="126">
        <v>527</v>
      </c>
      <c r="U206">
        <v>114</v>
      </c>
      <c r="V206" s="62">
        <f t="shared" si="7"/>
        <v>17804</v>
      </c>
    </row>
    <row r="207" spans="1:22" ht="14">
      <c r="A207" s="1">
        <v>1222</v>
      </c>
      <c r="B207" s="2" t="s">
        <v>28</v>
      </c>
      <c r="C207" s="139"/>
      <c r="D207" s="139">
        <v>-145.21899999999999</v>
      </c>
      <c r="E207" s="109">
        <v>3</v>
      </c>
      <c r="F207" s="109">
        <v>45</v>
      </c>
      <c r="G207" s="86">
        <f t="shared" si="6"/>
        <v>31</v>
      </c>
      <c r="H207">
        <v>3000</v>
      </c>
      <c r="I207" s="86">
        <v>2895</v>
      </c>
      <c r="J207">
        <v>2912</v>
      </c>
      <c r="K207" s="62">
        <v>53554</v>
      </c>
      <c r="L207" s="71">
        <v>13587</v>
      </c>
      <c r="M207" s="71">
        <v>0</v>
      </c>
      <c r="N207" s="71">
        <v>301.99166371000001</v>
      </c>
      <c r="O207" s="62">
        <v>425.96598805999997</v>
      </c>
      <c r="P207" s="62">
        <v>762</v>
      </c>
      <c r="Q207" s="62">
        <v>1154</v>
      </c>
      <c r="R207" s="62">
        <v>654</v>
      </c>
      <c r="S207">
        <v>206</v>
      </c>
      <c r="T207" s="126">
        <v>123</v>
      </c>
      <c r="U207">
        <v>30</v>
      </c>
      <c r="V207" s="62">
        <f t="shared" si="7"/>
        <v>2929</v>
      </c>
    </row>
    <row r="208" spans="1:22" ht="14">
      <c r="A208" s="1">
        <v>1223</v>
      </c>
      <c r="B208" s="2" t="s">
        <v>29</v>
      </c>
      <c r="C208" s="139"/>
      <c r="D208" s="139">
        <v>36.732999999999997</v>
      </c>
      <c r="E208" s="109">
        <v>3</v>
      </c>
      <c r="F208" s="109">
        <v>31</v>
      </c>
      <c r="G208" s="86">
        <f t="shared" si="6"/>
        <v>35</v>
      </c>
      <c r="H208">
        <v>4147</v>
      </c>
      <c r="I208" s="86">
        <v>2825</v>
      </c>
      <c r="J208">
        <v>2773</v>
      </c>
      <c r="K208" s="62">
        <v>70719</v>
      </c>
      <c r="L208" s="71">
        <v>9135</v>
      </c>
      <c r="M208" s="71">
        <v>0</v>
      </c>
      <c r="N208" s="71">
        <v>670.21941722999998</v>
      </c>
      <c r="O208" s="62">
        <v>433.29207803999998</v>
      </c>
      <c r="P208" s="62">
        <v>576</v>
      </c>
      <c r="Q208" s="62">
        <v>985</v>
      </c>
      <c r="R208" s="62">
        <v>657</v>
      </c>
      <c r="S208">
        <v>312</v>
      </c>
      <c r="T208" s="126">
        <v>177</v>
      </c>
      <c r="U208">
        <v>49</v>
      </c>
      <c r="V208" s="62">
        <f t="shared" si="7"/>
        <v>2756</v>
      </c>
    </row>
    <row r="209" spans="1:22" ht="14">
      <c r="A209" s="1">
        <v>1224</v>
      </c>
      <c r="B209" s="2" t="s">
        <v>30</v>
      </c>
      <c r="C209" s="139"/>
      <c r="D209" s="139">
        <v>-5.7119999999999997</v>
      </c>
      <c r="E209" s="109">
        <v>3</v>
      </c>
      <c r="F209" s="109">
        <v>40</v>
      </c>
      <c r="G209" s="86">
        <f t="shared" si="6"/>
        <v>33</v>
      </c>
      <c r="H209">
        <v>14005</v>
      </c>
      <c r="I209" s="86">
        <v>13122</v>
      </c>
      <c r="J209">
        <v>13063</v>
      </c>
      <c r="K209" s="62">
        <v>212766</v>
      </c>
      <c r="L209" s="71">
        <v>62499</v>
      </c>
      <c r="M209" s="71">
        <v>0</v>
      </c>
      <c r="N209" s="71">
        <v>2564.12252756</v>
      </c>
      <c r="O209" s="62">
        <v>1806.2765057900001</v>
      </c>
      <c r="P209" s="62">
        <v>3204</v>
      </c>
      <c r="Q209" s="62">
        <v>5159</v>
      </c>
      <c r="R209" s="62">
        <v>2830</v>
      </c>
      <c r="S209">
        <v>1346</v>
      </c>
      <c r="T209" s="126">
        <v>560</v>
      </c>
      <c r="U209">
        <v>144</v>
      </c>
      <c r="V209" s="62">
        <f t="shared" si="7"/>
        <v>13243</v>
      </c>
    </row>
    <row r="210" spans="1:22" ht="14">
      <c r="A210" s="1">
        <v>1227</v>
      </c>
      <c r="B210" s="2" t="s">
        <v>31</v>
      </c>
      <c r="C210" s="139"/>
      <c r="D210" s="139">
        <v>-134.69499999999999</v>
      </c>
      <c r="E210" s="109">
        <v>4</v>
      </c>
      <c r="F210" s="109">
        <v>21</v>
      </c>
      <c r="G210" s="86">
        <f t="shared" si="6"/>
        <v>4</v>
      </c>
      <c r="H210">
        <v>2146</v>
      </c>
      <c r="I210" s="86">
        <v>1078</v>
      </c>
      <c r="J210">
        <v>1047</v>
      </c>
      <c r="K210" s="62">
        <v>34104</v>
      </c>
      <c r="L210" s="71">
        <v>4197</v>
      </c>
      <c r="M210" s="71">
        <v>0</v>
      </c>
      <c r="N210" s="71">
        <v>0</v>
      </c>
      <c r="O210" s="62">
        <v>184.38398742000001</v>
      </c>
      <c r="P210" s="62">
        <v>222</v>
      </c>
      <c r="Q210" s="62">
        <v>349</v>
      </c>
      <c r="R210" s="62">
        <v>263</v>
      </c>
      <c r="S210">
        <v>126</v>
      </c>
      <c r="T210" s="126">
        <v>53</v>
      </c>
      <c r="U210">
        <v>28</v>
      </c>
      <c r="V210" s="62">
        <f t="shared" si="7"/>
        <v>1041</v>
      </c>
    </row>
    <row r="211" spans="1:22" ht="14">
      <c r="A211" s="1">
        <v>1228</v>
      </c>
      <c r="B211" s="2" t="s">
        <v>32</v>
      </c>
      <c r="C211" s="139"/>
      <c r="D211" s="139">
        <v>29.151</v>
      </c>
      <c r="E211" s="109">
        <v>4</v>
      </c>
      <c r="F211" s="109">
        <v>22</v>
      </c>
      <c r="G211" s="86">
        <f t="shared" si="6"/>
        <v>4</v>
      </c>
      <c r="H211">
        <v>500</v>
      </c>
      <c r="I211" s="86">
        <v>7378</v>
      </c>
      <c r="J211">
        <v>7107</v>
      </c>
      <c r="K211" s="62">
        <v>120087</v>
      </c>
      <c r="L211" s="71">
        <v>26101</v>
      </c>
      <c r="M211" s="71">
        <v>1833</v>
      </c>
      <c r="N211" s="71">
        <v>1113.6644252799999</v>
      </c>
      <c r="O211" s="62">
        <v>977.57034286999999</v>
      </c>
      <c r="P211" s="62">
        <v>1428</v>
      </c>
      <c r="Q211" s="62">
        <v>2631</v>
      </c>
      <c r="R211" s="62">
        <v>1611</v>
      </c>
      <c r="S211">
        <v>785</v>
      </c>
      <c r="T211" s="126">
        <v>420</v>
      </c>
      <c r="U211">
        <v>110</v>
      </c>
      <c r="V211" s="62">
        <f t="shared" si="7"/>
        <v>6985</v>
      </c>
    </row>
    <row r="212" spans="1:22" ht="14">
      <c r="A212" s="1">
        <v>1231</v>
      </c>
      <c r="B212" s="2" t="s">
        <v>33</v>
      </c>
      <c r="C212" s="139"/>
      <c r="D212" s="139">
        <v>89.76</v>
      </c>
      <c r="E212" s="109">
        <v>4</v>
      </c>
      <c r="F212" s="109">
        <v>25</v>
      </c>
      <c r="G212" s="86">
        <f t="shared" si="6"/>
        <v>4</v>
      </c>
      <c r="H212">
        <v>2900</v>
      </c>
      <c r="I212" s="86">
        <v>3517</v>
      </c>
      <c r="J212">
        <v>3415</v>
      </c>
      <c r="K212" s="62">
        <v>77867</v>
      </c>
      <c r="L212" s="71">
        <v>11159</v>
      </c>
      <c r="M212" s="71">
        <v>0</v>
      </c>
      <c r="N212" s="71">
        <v>550.09633910000002</v>
      </c>
      <c r="O212" s="62">
        <v>542.99060064000003</v>
      </c>
      <c r="P212" s="62">
        <v>719</v>
      </c>
      <c r="Q212" s="62">
        <v>1281</v>
      </c>
      <c r="R212" s="62">
        <v>756</v>
      </c>
      <c r="S212">
        <v>411</v>
      </c>
      <c r="T212" s="126">
        <v>169</v>
      </c>
      <c r="U212">
        <v>69</v>
      </c>
      <c r="V212" s="62">
        <f t="shared" si="7"/>
        <v>3405</v>
      </c>
    </row>
    <row r="213" spans="1:22" ht="14">
      <c r="A213" s="1">
        <v>1232</v>
      </c>
      <c r="B213" s="2" t="s">
        <v>34</v>
      </c>
      <c r="C213" s="139"/>
      <c r="D213" s="139">
        <v>307.24599999999998</v>
      </c>
      <c r="E213" s="109">
        <v>4</v>
      </c>
      <c r="F213" s="109">
        <v>21</v>
      </c>
      <c r="G213" s="86">
        <f t="shared" si="6"/>
        <v>4</v>
      </c>
      <c r="H213">
        <v>0</v>
      </c>
      <c r="I213" s="86">
        <v>914</v>
      </c>
      <c r="J213">
        <v>933</v>
      </c>
      <c r="K213" s="62">
        <v>17945</v>
      </c>
      <c r="L213" s="71">
        <v>5028</v>
      </c>
      <c r="M213" s="71">
        <v>0</v>
      </c>
      <c r="N213" s="71">
        <v>383.94479178</v>
      </c>
      <c r="O213" s="62">
        <v>151.89209202000001</v>
      </c>
      <c r="P213" s="62">
        <v>186</v>
      </c>
      <c r="Q213" s="62">
        <v>409</v>
      </c>
      <c r="R213" s="62">
        <v>209</v>
      </c>
      <c r="S213">
        <v>104</v>
      </c>
      <c r="T213" s="126">
        <v>36</v>
      </c>
      <c r="U213">
        <v>15</v>
      </c>
      <c r="V213" s="62">
        <f t="shared" si="7"/>
        <v>959</v>
      </c>
    </row>
    <row r="214" spans="1:22" ht="14">
      <c r="A214" s="1">
        <v>1233</v>
      </c>
      <c r="B214" s="2" t="s">
        <v>35</v>
      </c>
      <c r="C214" s="139"/>
      <c r="D214" s="139">
        <v>121.607</v>
      </c>
      <c r="E214" s="109">
        <v>4</v>
      </c>
      <c r="F214" s="109">
        <v>20</v>
      </c>
      <c r="G214" s="86">
        <f t="shared" si="6"/>
        <v>4</v>
      </c>
      <c r="H214">
        <v>0</v>
      </c>
      <c r="I214" s="86">
        <v>1163</v>
      </c>
      <c r="J214">
        <v>1107</v>
      </c>
      <c r="K214" s="62">
        <v>36315</v>
      </c>
      <c r="L214" s="71">
        <v>4097</v>
      </c>
      <c r="M214" s="71">
        <v>0</v>
      </c>
      <c r="N214" s="71">
        <v>143.69863552000001</v>
      </c>
      <c r="O214" s="62">
        <v>197.45574332000001</v>
      </c>
      <c r="P214" s="62">
        <v>235</v>
      </c>
      <c r="Q214" s="62">
        <v>405</v>
      </c>
      <c r="R214" s="62">
        <v>255</v>
      </c>
      <c r="S214">
        <v>118</v>
      </c>
      <c r="T214" s="126">
        <v>82</v>
      </c>
      <c r="U214">
        <v>23</v>
      </c>
      <c r="V214" s="62">
        <f t="shared" si="7"/>
        <v>1118</v>
      </c>
    </row>
    <row r="215" spans="1:22" ht="14">
      <c r="A215" s="1">
        <v>1234</v>
      </c>
      <c r="B215" s="2" t="s">
        <v>36</v>
      </c>
      <c r="C215" s="139"/>
      <c r="D215" s="139">
        <v>371.18099999999998</v>
      </c>
      <c r="E215" s="109">
        <v>3</v>
      </c>
      <c r="F215" s="109">
        <v>28</v>
      </c>
      <c r="G215" s="86">
        <f t="shared" si="6"/>
        <v>35</v>
      </c>
      <c r="H215">
        <v>1500</v>
      </c>
      <c r="I215" s="86">
        <v>1008</v>
      </c>
      <c r="J215">
        <v>964</v>
      </c>
      <c r="K215" s="62">
        <v>30049</v>
      </c>
      <c r="L215" s="71">
        <v>4259</v>
      </c>
      <c r="M215" s="71">
        <v>0</v>
      </c>
      <c r="N215" s="71">
        <v>0</v>
      </c>
      <c r="O215" s="62">
        <v>167.46170373000001</v>
      </c>
      <c r="P215" s="62">
        <v>189</v>
      </c>
      <c r="Q215" s="62">
        <v>353</v>
      </c>
      <c r="R215" s="62">
        <v>225</v>
      </c>
      <c r="S215">
        <v>104</v>
      </c>
      <c r="T215" s="126">
        <v>55</v>
      </c>
      <c r="U215">
        <v>21</v>
      </c>
      <c r="V215" s="62">
        <f t="shared" si="7"/>
        <v>947</v>
      </c>
    </row>
    <row r="216" spans="1:22" ht="14">
      <c r="A216" s="1">
        <v>1235</v>
      </c>
      <c r="B216" s="2" t="s">
        <v>37</v>
      </c>
      <c r="C216" s="139"/>
      <c r="D216" s="139">
        <v>-17.562000000000001</v>
      </c>
      <c r="E216" s="109">
        <v>3</v>
      </c>
      <c r="F216" s="109">
        <v>43</v>
      </c>
      <c r="G216" s="86">
        <f t="shared" si="6"/>
        <v>32</v>
      </c>
      <c r="H216">
        <v>4800</v>
      </c>
      <c r="I216" s="86">
        <v>13850</v>
      </c>
      <c r="J216">
        <v>13768</v>
      </c>
      <c r="K216" s="62">
        <v>209212</v>
      </c>
      <c r="L216" s="71">
        <v>62302</v>
      </c>
      <c r="M216" s="71">
        <v>923</v>
      </c>
      <c r="N216" s="71">
        <v>1596.4020289800001</v>
      </c>
      <c r="O216" s="62">
        <v>1899.8474478600001</v>
      </c>
      <c r="P216" s="62">
        <v>3096</v>
      </c>
      <c r="Q216" s="62">
        <v>5384</v>
      </c>
      <c r="R216" s="62">
        <v>3078</v>
      </c>
      <c r="S216">
        <v>1475</v>
      </c>
      <c r="T216" s="126">
        <v>743</v>
      </c>
      <c r="U216">
        <v>181</v>
      </c>
      <c r="V216" s="62">
        <f t="shared" si="7"/>
        <v>13957</v>
      </c>
    </row>
    <row r="217" spans="1:22" ht="14">
      <c r="A217" s="1">
        <v>1238</v>
      </c>
      <c r="B217" s="2" t="s">
        <v>38</v>
      </c>
      <c r="C217" s="139"/>
      <c r="D217" s="139">
        <v>62.704000000000001</v>
      </c>
      <c r="E217" s="109">
        <v>3</v>
      </c>
      <c r="F217" s="109">
        <v>38</v>
      </c>
      <c r="G217" s="86">
        <f t="shared" si="6"/>
        <v>34</v>
      </c>
      <c r="H217">
        <v>10794</v>
      </c>
      <c r="I217" s="86">
        <v>8334</v>
      </c>
      <c r="J217">
        <v>8210</v>
      </c>
      <c r="K217" s="62">
        <v>151831</v>
      </c>
      <c r="L217" s="71">
        <v>34747</v>
      </c>
      <c r="M217" s="71">
        <v>0</v>
      </c>
      <c r="N217" s="71">
        <v>1243.89131372</v>
      </c>
      <c r="O217" s="62">
        <v>1198.87639687</v>
      </c>
      <c r="P217" s="62">
        <v>1896</v>
      </c>
      <c r="Q217" s="62">
        <v>3245</v>
      </c>
      <c r="R217" s="62">
        <v>1861</v>
      </c>
      <c r="S217">
        <v>854</v>
      </c>
      <c r="T217" s="126">
        <v>460</v>
      </c>
      <c r="U217">
        <v>126</v>
      </c>
      <c r="V217" s="62">
        <f t="shared" si="7"/>
        <v>8442</v>
      </c>
    </row>
    <row r="218" spans="1:22" ht="14">
      <c r="A218" s="1">
        <v>1241</v>
      </c>
      <c r="B218" s="2" t="s">
        <v>39</v>
      </c>
      <c r="C218" s="139"/>
      <c r="D218" s="139">
        <v>63.496000000000002</v>
      </c>
      <c r="E218" s="109">
        <v>2</v>
      </c>
      <c r="F218" s="109">
        <v>56</v>
      </c>
      <c r="G218" s="86">
        <f t="shared" si="6"/>
        <v>0</v>
      </c>
      <c r="H218">
        <v>7100</v>
      </c>
      <c r="I218" s="86">
        <v>3709</v>
      </c>
      <c r="J218">
        <v>3759</v>
      </c>
      <c r="K218" s="62">
        <v>72105</v>
      </c>
      <c r="L218" s="71">
        <v>19444</v>
      </c>
      <c r="M218" s="71">
        <v>0</v>
      </c>
      <c r="N218" s="71">
        <v>119.00043254000001</v>
      </c>
      <c r="O218" s="62">
        <v>590.62159787999997</v>
      </c>
      <c r="P218" s="62">
        <v>962</v>
      </c>
      <c r="Q218" s="62">
        <v>1414</v>
      </c>
      <c r="R218" s="62">
        <v>836</v>
      </c>
      <c r="S218">
        <v>402</v>
      </c>
      <c r="T218" s="126">
        <v>183</v>
      </c>
      <c r="U218">
        <v>54</v>
      </c>
      <c r="V218" s="62">
        <f t="shared" si="7"/>
        <v>3851</v>
      </c>
    </row>
    <row r="219" spans="1:22" ht="14">
      <c r="A219" s="1">
        <v>1242</v>
      </c>
      <c r="B219" s="2" t="s">
        <v>40</v>
      </c>
      <c r="C219" s="139"/>
      <c r="D219" s="139">
        <v>162.83099999999999</v>
      </c>
      <c r="E219" s="109">
        <v>3</v>
      </c>
      <c r="F219" s="109">
        <v>44</v>
      </c>
      <c r="G219" s="86">
        <f t="shared" si="6"/>
        <v>32</v>
      </c>
      <c r="H219">
        <v>1300</v>
      </c>
      <c r="I219" s="86">
        <v>2322</v>
      </c>
      <c r="J219">
        <v>2396</v>
      </c>
      <c r="K219" s="62">
        <v>42291</v>
      </c>
      <c r="L219" s="71">
        <v>12354</v>
      </c>
      <c r="M219" s="71">
        <v>0</v>
      </c>
      <c r="N219" s="71">
        <v>373.84098146999997</v>
      </c>
      <c r="O219" s="62">
        <v>357.32402008000003</v>
      </c>
      <c r="P219" s="62">
        <v>535</v>
      </c>
      <c r="Q219" s="62">
        <v>933</v>
      </c>
      <c r="R219" s="62">
        <v>586</v>
      </c>
      <c r="S219">
        <v>196</v>
      </c>
      <c r="T219" s="126">
        <v>111</v>
      </c>
      <c r="U219">
        <v>33</v>
      </c>
      <c r="V219" s="62">
        <f t="shared" si="7"/>
        <v>2394</v>
      </c>
    </row>
    <row r="220" spans="1:22" ht="14">
      <c r="A220" s="1">
        <v>1243</v>
      </c>
      <c r="B220" s="2" t="s">
        <v>844</v>
      </c>
      <c r="C220" s="139"/>
      <c r="D220" s="139">
        <v>-23.54</v>
      </c>
      <c r="E220" s="109">
        <v>1</v>
      </c>
      <c r="F220" s="109">
        <v>90</v>
      </c>
      <c r="G220" s="86">
        <f t="shared" si="6"/>
        <v>0</v>
      </c>
      <c r="H220">
        <v>500</v>
      </c>
      <c r="I220" s="86">
        <v>14908</v>
      </c>
      <c r="J220">
        <v>16055</v>
      </c>
      <c r="K220" s="62">
        <v>130181</v>
      </c>
      <c r="L220" s="71">
        <v>123076</v>
      </c>
      <c r="M220" s="71">
        <v>0</v>
      </c>
      <c r="N220" s="71">
        <v>3236.5872359700002</v>
      </c>
      <c r="O220" s="62">
        <v>2123.9315050499999</v>
      </c>
      <c r="P220" s="62">
        <v>4469</v>
      </c>
      <c r="Q220" s="62">
        <v>7539</v>
      </c>
      <c r="R220" s="62">
        <v>3458</v>
      </c>
      <c r="S220">
        <v>1234</v>
      </c>
      <c r="T220" s="126">
        <v>429</v>
      </c>
      <c r="U220">
        <v>81</v>
      </c>
      <c r="V220" s="62">
        <f t="shared" si="7"/>
        <v>17210</v>
      </c>
    </row>
    <row r="221" spans="1:22" ht="14">
      <c r="A221" s="1">
        <v>1244</v>
      </c>
      <c r="B221" s="2" t="s">
        <v>41</v>
      </c>
      <c r="C221" s="139"/>
      <c r="D221" s="139">
        <v>73.346999999999994</v>
      </c>
      <c r="E221" s="109">
        <v>3</v>
      </c>
      <c r="F221" s="109">
        <v>51</v>
      </c>
      <c r="G221" s="86">
        <f t="shared" si="6"/>
        <v>30</v>
      </c>
      <c r="H221">
        <v>3500</v>
      </c>
      <c r="I221" s="86">
        <v>4451</v>
      </c>
      <c r="J221">
        <v>4390</v>
      </c>
      <c r="K221" s="62">
        <v>73213</v>
      </c>
      <c r="L221" s="71">
        <v>25462</v>
      </c>
      <c r="M221" s="71">
        <v>0</v>
      </c>
      <c r="N221" s="71">
        <v>600.61539064999999</v>
      </c>
      <c r="O221" s="62">
        <v>673.83697438000002</v>
      </c>
      <c r="P221" s="62">
        <v>1182</v>
      </c>
      <c r="Q221" s="62">
        <v>1952</v>
      </c>
      <c r="R221" s="62">
        <v>956</v>
      </c>
      <c r="S221">
        <v>365</v>
      </c>
      <c r="T221" s="126">
        <v>183</v>
      </c>
      <c r="U221">
        <v>42</v>
      </c>
      <c r="V221" s="62">
        <f t="shared" si="7"/>
        <v>4680</v>
      </c>
    </row>
    <row r="222" spans="1:22" ht="14">
      <c r="A222" s="1">
        <v>1245</v>
      </c>
      <c r="B222" s="2" t="s">
        <v>42</v>
      </c>
      <c r="C222" s="139"/>
      <c r="D222" s="139">
        <v>98.477999999999994</v>
      </c>
      <c r="E222" s="109">
        <v>1</v>
      </c>
      <c r="F222" s="109">
        <v>76</v>
      </c>
      <c r="G222" s="86">
        <f t="shared" si="6"/>
        <v>0</v>
      </c>
      <c r="H222">
        <v>1600</v>
      </c>
      <c r="I222" s="86">
        <v>5537</v>
      </c>
      <c r="J222">
        <v>5795</v>
      </c>
      <c r="K222" s="62">
        <v>59538</v>
      </c>
      <c r="L222" s="71">
        <v>35387</v>
      </c>
      <c r="M222" s="71">
        <v>0</v>
      </c>
      <c r="N222" s="71">
        <v>1123.7682355899999</v>
      </c>
      <c r="O222" s="62">
        <v>806.15077889999998</v>
      </c>
      <c r="P222" s="62">
        <v>1611</v>
      </c>
      <c r="Q222" s="62">
        <v>2690</v>
      </c>
      <c r="R222" s="62">
        <v>1309</v>
      </c>
      <c r="S222">
        <v>447</v>
      </c>
      <c r="T222" s="126">
        <v>167</v>
      </c>
      <c r="U222">
        <v>41</v>
      </c>
      <c r="V222" s="62">
        <f t="shared" si="7"/>
        <v>6265</v>
      </c>
    </row>
    <row r="223" spans="1:22" ht="14">
      <c r="A223" s="1">
        <v>1246</v>
      </c>
      <c r="B223" s="2" t="s">
        <v>43</v>
      </c>
      <c r="C223" s="139"/>
      <c r="D223" s="139">
        <v>-64.691999999999993</v>
      </c>
      <c r="E223" s="109">
        <v>1</v>
      </c>
      <c r="F223" s="109">
        <v>88</v>
      </c>
      <c r="G223" s="86">
        <f t="shared" si="6"/>
        <v>0</v>
      </c>
      <c r="H223">
        <v>1300</v>
      </c>
      <c r="I223" s="86">
        <v>20043</v>
      </c>
      <c r="J223">
        <v>21207</v>
      </c>
      <c r="K223" s="62">
        <v>177091</v>
      </c>
      <c r="L223" s="71">
        <v>165122</v>
      </c>
      <c r="M223" s="71">
        <v>0</v>
      </c>
      <c r="N223" s="71">
        <v>4085.3073020100001</v>
      </c>
      <c r="O223" s="62">
        <v>2862.28501091</v>
      </c>
      <c r="P223" s="62">
        <v>6363</v>
      </c>
      <c r="Q223" s="62">
        <v>9894</v>
      </c>
      <c r="R223" s="62">
        <v>4128</v>
      </c>
      <c r="S223">
        <v>1309</v>
      </c>
      <c r="T223" s="126">
        <v>443</v>
      </c>
      <c r="U223">
        <v>83</v>
      </c>
      <c r="V223" s="62">
        <f t="shared" si="7"/>
        <v>22220</v>
      </c>
    </row>
    <row r="224" spans="1:22" ht="14">
      <c r="A224" s="1">
        <v>1247</v>
      </c>
      <c r="B224" s="2" t="s">
        <v>44</v>
      </c>
      <c r="C224" s="139"/>
      <c r="D224" s="139">
        <v>-144.94399999999999</v>
      </c>
      <c r="E224" s="109">
        <v>1</v>
      </c>
      <c r="F224" s="109">
        <v>84</v>
      </c>
      <c r="G224" s="86">
        <f t="shared" si="6"/>
        <v>0</v>
      </c>
      <c r="H224">
        <v>1300</v>
      </c>
      <c r="I224" s="86">
        <v>22020</v>
      </c>
      <c r="J224">
        <v>23705</v>
      </c>
      <c r="K224" s="62">
        <v>224078</v>
      </c>
      <c r="L224" s="71">
        <v>193729</v>
      </c>
      <c r="M224" s="71">
        <v>0</v>
      </c>
      <c r="N224" s="71">
        <v>3729.42864998</v>
      </c>
      <c r="O224" s="62">
        <v>3348.1343176700002</v>
      </c>
      <c r="P224" s="62">
        <v>7101</v>
      </c>
      <c r="Q224" s="62">
        <v>11167</v>
      </c>
      <c r="R224" s="62">
        <v>4849</v>
      </c>
      <c r="S224">
        <v>1735</v>
      </c>
      <c r="T224" s="126">
        <v>609</v>
      </c>
      <c r="U224">
        <v>141</v>
      </c>
      <c r="V224" s="62">
        <f t="shared" si="7"/>
        <v>25602</v>
      </c>
    </row>
    <row r="225" spans="1:22" ht="14">
      <c r="A225" s="1">
        <v>1251</v>
      </c>
      <c r="B225" s="2" t="s">
        <v>45</v>
      </c>
      <c r="C225" s="139"/>
      <c r="D225" s="139">
        <v>14.763999999999999</v>
      </c>
      <c r="E225" s="109">
        <v>3</v>
      </c>
      <c r="F225" s="109">
        <v>31</v>
      </c>
      <c r="G225" s="86">
        <f t="shared" si="6"/>
        <v>35</v>
      </c>
      <c r="H225">
        <v>900</v>
      </c>
      <c r="I225" s="86">
        <v>4154</v>
      </c>
      <c r="J225">
        <v>4106</v>
      </c>
      <c r="K225" s="62">
        <v>82994</v>
      </c>
      <c r="L225" s="71">
        <v>18824</v>
      </c>
      <c r="M225" s="71">
        <v>0</v>
      </c>
      <c r="N225" s="71">
        <v>911.58821908000004</v>
      </c>
      <c r="O225" s="62">
        <v>626.51741239</v>
      </c>
      <c r="P225" s="62">
        <v>931</v>
      </c>
      <c r="Q225" s="62">
        <v>1545</v>
      </c>
      <c r="R225" s="62">
        <v>870</v>
      </c>
      <c r="S225">
        <v>455</v>
      </c>
      <c r="T225" s="126">
        <v>283</v>
      </c>
      <c r="U225">
        <v>69</v>
      </c>
      <c r="V225" s="62">
        <f t="shared" si="7"/>
        <v>4153</v>
      </c>
    </row>
    <row r="226" spans="1:22" ht="14">
      <c r="A226" s="1">
        <v>1252</v>
      </c>
      <c r="B226" s="2" t="s">
        <v>46</v>
      </c>
      <c r="C226" s="139"/>
      <c r="D226" s="139">
        <v>59.183</v>
      </c>
      <c r="E226" s="109">
        <v>3</v>
      </c>
      <c r="F226" s="109">
        <v>48</v>
      </c>
      <c r="G226" s="86">
        <f t="shared" si="6"/>
        <v>30</v>
      </c>
      <c r="H226">
        <v>793</v>
      </c>
      <c r="I226" s="86">
        <v>361</v>
      </c>
      <c r="J226">
        <v>360</v>
      </c>
      <c r="K226" s="62">
        <v>13662</v>
      </c>
      <c r="L226" s="71">
        <v>3611</v>
      </c>
      <c r="M226" s="71">
        <v>0</v>
      </c>
      <c r="N226" s="71">
        <v>0</v>
      </c>
      <c r="O226" s="62">
        <v>81.911572190000001</v>
      </c>
      <c r="P226" s="62">
        <v>96</v>
      </c>
      <c r="Q226" s="62">
        <v>148</v>
      </c>
      <c r="R226" s="62">
        <v>76</v>
      </c>
      <c r="S226">
        <v>36</v>
      </c>
      <c r="T226" s="126">
        <v>12</v>
      </c>
      <c r="U226">
        <v>2</v>
      </c>
      <c r="V226" s="62">
        <f t="shared" si="7"/>
        <v>370</v>
      </c>
    </row>
    <row r="227" spans="1:22" ht="14">
      <c r="A227" s="1">
        <v>1253</v>
      </c>
      <c r="B227" s="2" t="s">
        <v>47</v>
      </c>
      <c r="C227" s="139"/>
      <c r="D227" s="139">
        <v>137.66300000000001</v>
      </c>
      <c r="E227" s="109">
        <v>1</v>
      </c>
      <c r="F227" s="109">
        <v>54</v>
      </c>
      <c r="G227" s="86">
        <f t="shared" si="6"/>
        <v>0</v>
      </c>
      <c r="H227">
        <v>5000</v>
      </c>
      <c r="I227" s="86">
        <v>7207</v>
      </c>
      <c r="J227">
        <v>7305</v>
      </c>
      <c r="K227" s="62">
        <v>104762</v>
      </c>
      <c r="L227" s="71">
        <v>39251</v>
      </c>
      <c r="M227" s="71">
        <v>0</v>
      </c>
      <c r="N227" s="71">
        <v>1114.78707087</v>
      </c>
      <c r="O227" s="62">
        <v>1037.0013645900001</v>
      </c>
      <c r="P227" s="62">
        <v>1849</v>
      </c>
      <c r="Q227" s="62">
        <v>3003</v>
      </c>
      <c r="R227" s="62">
        <v>1557</v>
      </c>
      <c r="S227">
        <v>625</v>
      </c>
      <c r="T227" s="126">
        <v>341</v>
      </c>
      <c r="U227">
        <v>90</v>
      </c>
      <c r="V227" s="62">
        <f t="shared" si="7"/>
        <v>7465</v>
      </c>
    </row>
    <row r="228" spans="1:22" ht="14">
      <c r="A228" s="1">
        <v>1256</v>
      </c>
      <c r="B228" s="2" t="s">
        <v>48</v>
      </c>
      <c r="C228" s="139"/>
      <c r="D228" s="139">
        <v>-7.6719999999999997</v>
      </c>
      <c r="E228" s="109">
        <v>1</v>
      </c>
      <c r="F228" s="109">
        <v>75</v>
      </c>
      <c r="G228" s="86">
        <f t="shared" si="6"/>
        <v>0</v>
      </c>
      <c r="H228">
        <v>3500</v>
      </c>
      <c r="I228" s="86">
        <v>5861</v>
      </c>
      <c r="J228">
        <v>6233</v>
      </c>
      <c r="K228" s="62">
        <v>68109</v>
      </c>
      <c r="L228" s="71">
        <v>49523</v>
      </c>
      <c r="M228" s="71">
        <v>0</v>
      </c>
      <c r="N228" s="71">
        <v>727.47434232000001</v>
      </c>
      <c r="O228" s="62">
        <v>898.83190621000006</v>
      </c>
      <c r="P228" s="62">
        <v>1893</v>
      </c>
      <c r="Q228" s="62">
        <v>2954</v>
      </c>
      <c r="R228" s="62">
        <v>1339</v>
      </c>
      <c r="S228">
        <v>424</v>
      </c>
      <c r="T228" s="126">
        <v>169</v>
      </c>
      <c r="U228">
        <v>45</v>
      </c>
      <c r="V228" s="62">
        <f t="shared" si="7"/>
        <v>6824</v>
      </c>
    </row>
    <row r="229" spans="1:22" ht="14">
      <c r="A229" s="1">
        <v>1259</v>
      </c>
      <c r="B229" s="2" t="s">
        <v>49</v>
      </c>
      <c r="C229" s="139"/>
      <c r="D229" s="139">
        <v>-43.314</v>
      </c>
      <c r="E229" s="109">
        <v>1</v>
      </c>
      <c r="F229" s="109">
        <v>69</v>
      </c>
      <c r="G229" s="86">
        <f t="shared" si="6"/>
        <v>0</v>
      </c>
      <c r="H229">
        <v>0</v>
      </c>
      <c r="I229" s="86">
        <v>3975</v>
      </c>
      <c r="J229">
        <v>4168</v>
      </c>
      <c r="K229" s="62">
        <v>54219</v>
      </c>
      <c r="L229" s="71">
        <v>26439</v>
      </c>
      <c r="M229" s="71">
        <v>0</v>
      </c>
      <c r="N229" s="71">
        <v>882.39943373999995</v>
      </c>
      <c r="O229" s="62">
        <v>602.90553977000002</v>
      </c>
      <c r="P229" s="62">
        <v>1084</v>
      </c>
      <c r="Q229" s="62">
        <v>1776</v>
      </c>
      <c r="R229" s="62">
        <v>913</v>
      </c>
      <c r="S229">
        <v>322</v>
      </c>
      <c r="T229" s="126">
        <v>174</v>
      </c>
      <c r="U229">
        <v>31</v>
      </c>
      <c r="V229" s="62">
        <f t="shared" si="7"/>
        <v>4300</v>
      </c>
    </row>
    <row r="230" spans="1:22" ht="14">
      <c r="A230" s="1">
        <v>1260</v>
      </c>
      <c r="B230" s="2" t="s">
        <v>53</v>
      </c>
      <c r="C230" s="139"/>
      <c r="D230" s="139">
        <v>64.242999999999995</v>
      </c>
      <c r="E230" s="109">
        <v>2</v>
      </c>
      <c r="F230" s="109">
        <v>50</v>
      </c>
      <c r="G230" s="86">
        <f t="shared" si="6"/>
        <v>0</v>
      </c>
      <c r="H230">
        <v>2100</v>
      </c>
      <c r="I230" s="86">
        <v>4656</v>
      </c>
      <c r="J230">
        <v>4794</v>
      </c>
      <c r="K230" s="62">
        <v>71819</v>
      </c>
      <c r="L230" s="71">
        <v>18234</v>
      </c>
      <c r="M230" s="71">
        <v>0</v>
      </c>
      <c r="N230" s="71">
        <v>1353.9105815400001</v>
      </c>
      <c r="O230" s="62">
        <v>684.67506996999998</v>
      </c>
      <c r="P230" s="62">
        <v>1143</v>
      </c>
      <c r="Q230" s="62">
        <v>2011</v>
      </c>
      <c r="R230" s="62">
        <v>1055</v>
      </c>
      <c r="S230">
        <v>434</v>
      </c>
      <c r="T230" s="126">
        <v>184</v>
      </c>
      <c r="U230">
        <v>69</v>
      </c>
      <c r="V230" s="62">
        <f t="shared" si="7"/>
        <v>4896</v>
      </c>
    </row>
    <row r="231" spans="1:22" ht="14">
      <c r="A231" s="1">
        <v>1263</v>
      </c>
      <c r="B231" s="2" t="s">
        <v>54</v>
      </c>
      <c r="C231" s="139"/>
      <c r="D231" s="139">
        <v>-9.83</v>
      </c>
      <c r="E231" s="109">
        <v>1</v>
      </c>
      <c r="F231" s="109">
        <v>66</v>
      </c>
      <c r="G231" s="86">
        <f t="shared" si="6"/>
        <v>0</v>
      </c>
      <c r="H231">
        <v>100</v>
      </c>
      <c r="I231" s="86">
        <v>13043</v>
      </c>
      <c r="J231">
        <v>13778</v>
      </c>
      <c r="K231" s="62">
        <v>149481</v>
      </c>
      <c r="L231" s="71">
        <v>97269</v>
      </c>
      <c r="M231" s="71">
        <v>0</v>
      </c>
      <c r="N231" s="71">
        <v>499.57728754999999</v>
      </c>
      <c r="O231" s="62">
        <v>1897.6170613300001</v>
      </c>
      <c r="P231" s="62">
        <v>3670</v>
      </c>
      <c r="Q231" s="62">
        <v>5991</v>
      </c>
      <c r="R231" s="62">
        <v>3130</v>
      </c>
      <c r="S231">
        <v>1098</v>
      </c>
      <c r="T231" s="126">
        <v>519</v>
      </c>
      <c r="U231">
        <v>108</v>
      </c>
      <c r="V231" s="62">
        <f t="shared" si="7"/>
        <v>14516</v>
      </c>
    </row>
    <row r="232" spans="1:22" ht="14">
      <c r="A232" s="1">
        <v>1264</v>
      </c>
      <c r="B232" s="2" t="s">
        <v>55</v>
      </c>
      <c r="C232" s="139"/>
      <c r="D232" s="139">
        <v>73.212999999999994</v>
      </c>
      <c r="E232" s="109">
        <v>2</v>
      </c>
      <c r="F232" s="109">
        <v>46</v>
      </c>
      <c r="G232" s="86">
        <f t="shared" si="6"/>
        <v>0</v>
      </c>
      <c r="H232">
        <v>4800</v>
      </c>
      <c r="I232" s="86">
        <v>2527</v>
      </c>
      <c r="J232">
        <v>2569</v>
      </c>
      <c r="K232" s="62">
        <v>46689</v>
      </c>
      <c r="L232" s="71">
        <v>13063</v>
      </c>
      <c r="M232" s="71">
        <v>0</v>
      </c>
      <c r="N232" s="71">
        <v>971.08843535000005</v>
      </c>
      <c r="O232" s="62">
        <v>373.12589902000002</v>
      </c>
      <c r="P232" s="62">
        <v>599</v>
      </c>
      <c r="Q232" s="62">
        <v>1169</v>
      </c>
      <c r="R232" s="62">
        <v>627</v>
      </c>
      <c r="S232">
        <v>279</v>
      </c>
      <c r="T232" s="126">
        <v>96</v>
      </c>
      <c r="U232">
        <v>19</v>
      </c>
      <c r="V232" s="62">
        <f t="shared" si="7"/>
        <v>2789</v>
      </c>
    </row>
    <row r="233" spans="1:22" ht="14">
      <c r="A233" s="1">
        <v>1265</v>
      </c>
      <c r="B233" s="2" t="s">
        <v>56</v>
      </c>
      <c r="C233" s="139"/>
      <c r="D233" s="139">
        <v>30.818999999999999</v>
      </c>
      <c r="E233" s="109">
        <v>3</v>
      </c>
      <c r="F233" s="109">
        <v>34</v>
      </c>
      <c r="G233" s="86">
        <f t="shared" si="6"/>
        <v>35</v>
      </c>
      <c r="H233">
        <v>1300</v>
      </c>
      <c r="I233" s="86">
        <v>661</v>
      </c>
      <c r="J233">
        <v>596</v>
      </c>
      <c r="K233" s="62">
        <v>26774</v>
      </c>
      <c r="L233" s="71">
        <v>2027</v>
      </c>
      <c r="M233" s="71">
        <v>0</v>
      </c>
      <c r="N233" s="71">
        <v>0</v>
      </c>
      <c r="O233" s="62">
        <v>122.19297179</v>
      </c>
      <c r="P233" s="62">
        <v>126</v>
      </c>
      <c r="Q233" s="62">
        <v>196</v>
      </c>
      <c r="R233" s="62">
        <v>138</v>
      </c>
      <c r="S233">
        <v>71</v>
      </c>
      <c r="T233" s="126">
        <v>40</v>
      </c>
      <c r="U233">
        <v>16</v>
      </c>
      <c r="V233" s="62">
        <f t="shared" si="7"/>
        <v>587</v>
      </c>
    </row>
    <row r="234" spans="1:22" ht="14">
      <c r="A234" s="1">
        <v>1266</v>
      </c>
      <c r="B234" s="2" t="s">
        <v>57</v>
      </c>
      <c r="C234" s="139"/>
      <c r="D234" s="139">
        <v>230.2</v>
      </c>
      <c r="E234" s="109">
        <v>3</v>
      </c>
      <c r="F234" s="109">
        <v>16</v>
      </c>
      <c r="G234" s="86">
        <f t="shared" si="6"/>
        <v>35</v>
      </c>
      <c r="H234">
        <v>1200</v>
      </c>
      <c r="I234" s="86">
        <v>1693</v>
      </c>
      <c r="J234">
        <v>1646</v>
      </c>
      <c r="K234" s="62">
        <v>42526</v>
      </c>
      <c r="L234" s="71">
        <v>7753</v>
      </c>
      <c r="M234" s="71">
        <v>0</v>
      </c>
      <c r="N234" s="71">
        <v>0</v>
      </c>
      <c r="O234" s="62">
        <v>268.88858313999998</v>
      </c>
      <c r="P234" s="62">
        <v>371</v>
      </c>
      <c r="Q234" s="62">
        <v>589</v>
      </c>
      <c r="R234" s="62">
        <v>388</v>
      </c>
      <c r="S234">
        <v>201</v>
      </c>
      <c r="T234" s="126">
        <v>98</v>
      </c>
      <c r="U234">
        <v>25</v>
      </c>
      <c r="V234" s="62">
        <f t="shared" si="7"/>
        <v>1672</v>
      </c>
    </row>
    <row r="235" spans="1:22" ht="14">
      <c r="A235" s="1">
        <v>1401</v>
      </c>
      <c r="B235" s="2" t="s">
        <v>58</v>
      </c>
      <c r="C235" s="139"/>
      <c r="D235" s="139">
        <v>-76.403000000000006</v>
      </c>
      <c r="E235" s="109">
        <v>3</v>
      </c>
      <c r="F235" s="109">
        <v>52</v>
      </c>
      <c r="G235" s="86">
        <f t="shared" si="6"/>
        <v>30</v>
      </c>
      <c r="H235">
        <v>11752</v>
      </c>
      <c r="I235" s="86">
        <v>11364</v>
      </c>
      <c r="J235">
        <v>11408</v>
      </c>
      <c r="K235" s="62">
        <v>156703</v>
      </c>
      <c r="L235" s="71">
        <v>63563</v>
      </c>
      <c r="M235" s="71">
        <v>5136</v>
      </c>
      <c r="N235" s="71">
        <v>4775.7343398599996</v>
      </c>
      <c r="O235" s="62">
        <v>1566.0622580199999</v>
      </c>
      <c r="P235" s="62">
        <v>2957</v>
      </c>
      <c r="Q235" s="62">
        <v>4844</v>
      </c>
      <c r="R235" s="62">
        <v>2399</v>
      </c>
      <c r="S235">
        <v>934</v>
      </c>
      <c r="T235" s="126">
        <v>368</v>
      </c>
      <c r="U235">
        <v>86</v>
      </c>
      <c r="V235" s="62">
        <f t="shared" si="7"/>
        <v>11588</v>
      </c>
    </row>
    <row r="236" spans="1:22" ht="14">
      <c r="A236" s="1">
        <v>1411</v>
      </c>
      <c r="B236" s="2" t="s">
        <v>59</v>
      </c>
      <c r="C236" s="139"/>
      <c r="D236" s="139">
        <v>45.515000000000001</v>
      </c>
      <c r="E236" s="109">
        <v>3</v>
      </c>
      <c r="F236" s="109">
        <v>37</v>
      </c>
      <c r="G236" s="86">
        <f t="shared" si="6"/>
        <v>34</v>
      </c>
      <c r="H236">
        <v>3100</v>
      </c>
      <c r="I236" s="86">
        <v>2459</v>
      </c>
      <c r="J236">
        <v>2356</v>
      </c>
      <c r="K236" s="62">
        <v>67446</v>
      </c>
      <c r="L236" s="71">
        <v>8826</v>
      </c>
      <c r="M236" s="71">
        <v>0</v>
      </c>
      <c r="N236" s="71">
        <v>97.670166330000001</v>
      </c>
      <c r="O236" s="62">
        <v>395.53249345</v>
      </c>
      <c r="P236" s="62">
        <v>502</v>
      </c>
      <c r="Q236" s="62">
        <v>867</v>
      </c>
      <c r="R236" s="62">
        <v>526</v>
      </c>
      <c r="S236">
        <v>253</v>
      </c>
      <c r="T236" s="126">
        <v>114</v>
      </c>
      <c r="U236">
        <v>37</v>
      </c>
      <c r="V236" s="62">
        <f t="shared" si="7"/>
        <v>2299</v>
      </c>
    </row>
    <row r="237" spans="1:22" ht="14">
      <c r="A237" s="1">
        <v>1412</v>
      </c>
      <c r="B237" s="2" t="s">
        <v>60</v>
      </c>
      <c r="C237" s="139"/>
      <c r="D237" s="139">
        <v>410.47300000000001</v>
      </c>
      <c r="E237" s="109">
        <v>3</v>
      </c>
      <c r="F237" s="109">
        <v>17</v>
      </c>
      <c r="G237" s="86">
        <f t="shared" si="6"/>
        <v>35</v>
      </c>
      <c r="H237">
        <v>3300</v>
      </c>
      <c r="I237" s="86">
        <v>875</v>
      </c>
      <c r="J237">
        <v>874</v>
      </c>
      <c r="K237" s="62">
        <v>31465</v>
      </c>
      <c r="L237" s="71">
        <v>4082</v>
      </c>
      <c r="M237" s="71">
        <v>0</v>
      </c>
      <c r="N237" s="71">
        <v>124.61366049</v>
      </c>
      <c r="O237" s="62">
        <v>154.82452877</v>
      </c>
      <c r="P237" s="62">
        <v>168</v>
      </c>
      <c r="Q237" s="62">
        <v>303</v>
      </c>
      <c r="R237" s="62">
        <v>227</v>
      </c>
      <c r="S237">
        <v>106</v>
      </c>
      <c r="T237" s="126">
        <v>52</v>
      </c>
      <c r="U237">
        <v>6</v>
      </c>
      <c r="V237" s="62">
        <f t="shared" si="7"/>
        <v>862</v>
      </c>
    </row>
    <row r="238" spans="1:22" ht="14">
      <c r="A238" s="1">
        <v>1413</v>
      </c>
      <c r="B238" s="2" t="s">
        <v>61</v>
      </c>
      <c r="C238" s="139"/>
      <c r="D238" s="139">
        <v>41.77</v>
      </c>
      <c r="E238" s="109">
        <v>3</v>
      </c>
      <c r="F238" s="109">
        <v>9</v>
      </c>
      <c r="G238" s="86">
        <f t="shared" si="6"/>
        <v>35</v>
      </c>
      <c r="H238">
        <v>1300</v>
      </c>
      <c r="I238" s="86">
        <v>1526</v>
      </c>
      <c r="J238">
        <v>1505</v>
      </c>
      <c r="K238" s="62">
        <v>42574</v>
      </c>
      <c r="L238" s="71">
        <v>4602</v>
      </c>
      <c r="M238" s="71">
        <v>0</v>
      </c>
      <c r="N238" s="71">
        <v>204.32149738000001</v>
      </c>
      <c r="O238" s="62">
        <v>247.23079256</v>
      </c>
      <c r="P238" s="62">
        <v>312</v>
      </c>
      <c r="Q238" s="62">
        <v>544</v>
      </c>
      <c r="R238" s="62">
        <v>340</v>
      </c>
      <c r="S238">
        <v>189</v>
      </c>
      <c r="T238" s="126">
        <v>75</v>
      </c>
      <c r="U238">
        <v>23</v>
      </c>
      <c r="V238" s="62">
        <f t="shared" si="7"/>
        <v>1483</v>
      </c>
    </row>
    <row r="239" spans="1:22" ht="14">
      <c r="A239" s="1">
        <v>1416</v>
      </c>
      <c r="B239" s="2" t="s">
        <v>62</v>
      </c>
      <c r="C239" s="139"/>
      <c r="D239" s="139">
        <v>127.574</v>
      </c>
      <c r="E239" s="109">
        <v>3</v>
      </c>
      <c r="F239" s="109">
        <v>27</v>
      </c>
      <c r="G239" s="86">
        <f t="shared" si="6"/>
        <v>35</v>
      </c>
      <c r="H239">
        <v>1350</v>
      </c>
      <c r="I239" s="86">
        <v>4502</v>
      </c>
      <c r="J239">
        <v>4374</v>
      </c>
      <c r="K239" s="62">
        <v>83513</v>
      </c>
      <c r="L239" s="71">
        <v>14974</v>
      </c>
      <c r="M239" s="71">
        <v>0</v>
      </c>
      <c r="N239" s="71">
        <v>837.49361013999999</v>
      </c>
      <c r="O239" s="62">
        <v>638.22688622999999</v>
      </c>
      <c r="P239" s="62">
        <v>971</v>
      </c>
      <c r="Q239" s="62">
        <v>1670</v>
      </c>
      <c r="R239" s="62">
        <v>919</v>
      </c>
      <c r="S239">
        <v>417</v>
      </c>
      <c r="T239" s="126">
        <v>234</v>
      </c>
      <c r="U239">
        <v>69</v>
      </c>
      <c r="V239" s="62">
        <f t="shared" si="7"/>
        <v>4280</v>
      </c>
    </row>
    <row r="240" spans="1:22" ht="14">
      <c r="A240" s="1">
        <v>1417</v>
      </c>
      <c r="B240" s="2" t="s">
        <v>63</v>
      </c>
      <c r="C240" s="139"/>
      <c r="D240" s="139">
        <v>85.072999999999993</v>
      </c>
      <c r="E240" s="109">
        <v>3</v>
      </c>
      <c r="F240" s="109">
        <v>20</v>
      </c>
      <c r="G240" s="86">
        <f t="shared" si="6"/>
        <v>35</v>
      </c>
      <c r="H240">
        <v>0</v>
      </c>
      <c r="I240" s="86">
        <v>2881</v>
      </c>
      <c r="J240">
        <v>2809</v>
      </c>
      <c r="K240" s="62">
        <v>60825</v>
      </c>
      <c r="L240" s="71">
        <v>10686</v>
      </c>
      <c r="M240" s="71">
        <v>0</v>
      </c>
      <c r="N240" s="71">
        <v>389.55801973000001</v>
      </c>
      <c r="O240" s="62">
        <v>432.42882084000001</v>
      </c>
      <c r="P240" s="62">
        <v>578</v>
      </c>
      <c r="Q240" s="62">
        <v>970</v>
      </c>
      <c r="R240" s="62">
        <v>635</v>
      </c>
      <c r="S240">
        <v>318</v>
      </c>
      <c r="T240" s="126">
        <v>212</v>
      </c>
      <c r="U240">
        <v>45</v>
      </c>
      <c r="V240" s="62">
        <f t="shared" si="7"/>
        <v>2758</v>
      </c>
    </row>
    <row r="241" spans="1:22" ht="14">
      <c r="A241" s="1">
        <v>1418</v>
      </c>
      <c r="B241" s="2" t="s">
        <v>64</v>
      </c>
      <c r="C241" s="139"/>
      <c r="D241" s="139">
        <v>252.21899999999999</v>
      </c>
      <c r="E241" s="109">
        <v>3</v>
      </c>
      <c r="F241" s="109">
        <v>17</v>
      </c>
      <c r="G241" s="86">
        <f t="shared" si="6"/>
        <v>35</v>
      </c>
      <c r="H241">
        <v>2900</v>
      </c>
      <c r="I241" s="86">
        <v>1431</v>
      </c>
      <c r="J241">
        <v>1365</v>
      </c>
      <c r="K241" s="62">
        <v>41207</v>
      </c>
      <c r="L241" s="71">
        <v>5029</v>
      </c>
      <c r="M241" s="71">
        <v>0</v>
      </c>
      <c r="N241" s="71">
        <v>528.76607289000003</v>
      </c>
      <c r="O241" s="62">
        <v>232.31166959999999</v>
      </c>
      <c r="P241" s="62">
        <v>298</v>
      </c>
      <c r="Q241" s="62">
        <v>509</v>
      </c>
      <c r="R241" s="62">
        <v>326</v>
      </c>
      <c r="S241">
        <v>118</v>
      </c>
      <c r="T241" s="126">
        <v>73</v>
      </c>
      <c r="U241">
        <v>19</v>
      </c>
      <c r="V241" s="62">
        <f t="shared" si="7"/>
        <v>1343</v>
      </c>
    </row>
    <row r="242" spans="1:22" ht="14">
      <c r="A242" s="1">
        <v>1419</v>
      </c>
      <c r="B242" s="2" t="s">
        <v>65</v>
      </c>
      <c r="C242" s="139"/>
      <c r="D242" s="139">
        <v>173.053</v>
      </c>
      <c r="E242" s="109">
        <v>3</v>
      </c>
      <c r="F242" s="109">
        <v>41</v>
      </c>
      <c r="G242" s="86">
        <f t="shared" si="6"/>
        <v>33</v>
      </c>
      <c r="H242">
        <v>0</v>
      </c>
      <c r="I242" s="86">
        <v>2209</v>
      </c>
      <c r="J242">
        <v>2179</v>
      </c>
      <c r="K242" s="62">
        <v>33659</v>
      </c>
      <c r="L242" s="71">
        <v>12831</v>
      </c>
      <c r="M242" s="71">
        <v>0</v>
      </c>
      <c r="N242" s="71">
        <v>337.91632258999999</v>
      </c>
      <c r="O242" s="62">
        <v>308.26701716000002</v>
      </c>
      <c r="P242" s="62">
        <v>526</v>
      </c>
      <c r="Q242" s="62">
        <v>859</v>
      </c>
      <c r="R242" s="62">
        <v>515</v>
      </c>
      <c r="S242">
        <v>194</v>
      </c>
      <c r="T242" s="126">
        <v>103</v>
      </c>
      <c r="U242">
        <v>28</v>
      </c>
      <c r="V242" s="62">
        <f t="shared" si="7"/>
        <v>2225</v>
      </c>
    </row>
    <row r="243" spans="1:22" ht="14">
      <c r="A243" s="1">
        <v>1420</v>
      </c>
      <c r="B243" s="2" t="s">
        <v>66</v>
      </c>
      <c r="C243" s="139"/>
      <c r="D243" s="139">
        <v>-53.628999999999998</v>
      </c>
      <c r="E243" s="109">
        <v>3</v>
      </c>
      <c r="F243" s="109">
        <v>60</v>
      </c>
      <c r="G243" s="86">
        <f t="shared" si="6"/>
        <v>30</v>
      </c>
      <c r="H243">
        <v>6175</v>
      </c>
      <c r="I243" s="86">
        <v>6794</v>
      </c>
      <c r="J243">
        <v>6899</v>
      </c>
      <c r="K243" s="62">
        <v>75785</v>
      </c>
      <c r="L243" s="71">
        <v>41027</v>
      </c>
      <c r="M243" s="71">
        <v>0</v>
      </c>
      <c r="N243" s="71">
        <v>1407.7975698600001</v>
      </c>
      <c r="O243" s="62">
        <v>917.12213188999999</v>
      </c>
      <c r="P243" s="62">
        <v>1698</v>
      </c>
      <c r="Q243" s="62">
        <v>3097</v>
      </c>
      <c r="R243" s="62">
        <v>1458</v>
      </c>
      <c r="S243">
        <v>573</v>
      </c>
      <c r="T243" s="126">
        <v>274</v>
      </c>
      <c r="U243">
        <v>60</v>
      </c>
      <c r="V243" s="62">
        <f t="shared" si="7"/>
        <v>7160</v>
      </c>
    </row>
    <row r="244" spans="1:22" ht="14">
      <c r="A244" s="1">
        <v>1421</v>
      </c>
      <c r="B244" s="2" t="s">
        <v>67</v>
      </c>
      <c r="C244" s="139"/>
      <c r="D244" s="139">
        <v>198.15</v>
      </c>
      <c r="E244" s="109">
        <v>3</v>
      </c>
      <c r="F244" s="109">
        <v>27</v>
      </c>
      <c r="G244" s="86">
        <f t="shared" si="6"/>
        <v>35</v>
      </c>
      <c r="H244">
        <v>0</v>
      </c>
      <c r="I244" s="86">
        <v>1783</v>
      </c>
      <c r="J244">
        <v>1695</v>
      </c>
      <c r="K244" s="62">
        <v>27712</v>
      </c>
      <c r="L244" s="71">
        <v>7936</v>
      </c>
      <c r="M244" s="71">
        <v>0</v>
      </c>
      <c r="N244" s="71">
        <v>0</v>
      </c>
      <c r="O244" s="62">
        <v>251.81443454999999</v>
      </c>
      <c r="P244" s="62">
        <v>349</v>
      </c>
      <c r="Q244" s="62">
        <v>670</v>
      </c>
      <c r="R244" s="62">
        <v>395</v>
      </c>
      <c r="S244">
        <v>162</v>
      </c>
      <c r="T244" s="126">
        <v>95</v>
      </c>
      <c r="U244">
        <v>18</v>
      </c>
      <c r="V244" s="62">
        <f t="shared" si="7"/>
        <v>1689</v>
      </c>
    </row>
    <row r="245" spans="1:22" ht="14">
      <c r="A245" s="1">
        <v>1422</v>
      </c>
      <c r="B245" s="2" t="s">
        <v>68</v>
      </c>
      <c r="C245" s="139"/>
      <c r="D245" s="139">
        <v>-85.463999999999999</v>
      </c>
      <c r="E245" s="109">
        <v>3</v>
      </c>
      <c r="F245" s="109">
        <v>38</v>
      </c>
      <c r="G245" s="86">
        <f t="shared" si="6"/>
        <v>34</v>
      </c>
      <c r="H245">
        <v>0</v>
      </c>
      <c r="I245" s="86">
        <v>2158</v>
      </c>
      <c r="J245">
        <v>2169</v>
      </c>
      <c r="K245" s="62">
        <v>43619</v>
      </c>
      <c r="L245" s="71">
        <v>11092</v>
      </c>
      <c r="M245" s="71">
        <v>0</v>
      </c>
      <c r="N245" s="71">
        <v>261.57642247000001</v>
      </c>
      <c r="O245" s="62">
        <v>337.75420613</v>
      </c>
      <c r="P245" s="62">
        <v>502</v>
      </c>
      <c r="Q245" s="62">
        <v>838</v>
      </c>
      <c r="R245" s="62">
        <v>523</v>
      </c>
      <c r="S245">
        <v>214</v>
      </c>
      <c r="T245" s="126">
        <v>109</v>
      </c>
      <c r="U245">
        <v>38</v>
      </c>
      <c r="V245" s="62">
        <f t="shared" si="7"/>
        <v>2224</v>
      </c>
    </row>
    <row r="246" spans="1:22" ht="14">
      <c r="A246" s="1">
        <v>1424</v>
      </c>
      <c r="B246" s="2" t="s">
        <v>69</v>
      </c>
      <c r="C246" s="139"/>
      <c r="D246" s="139">
        <v>-71.676000000000002</v>
      </c>
      <c r="E246" s="109">
        <v>3</v>
      </c>
      <c r="F246" s="109">
        <v>36</v>
      </c>
      <c r="G246" s="86">
        <f t="shared" si="6"/>
        <v>34</v>
      </c>
      <c r="H246">
        <v>1500</v>
      </c>
      <c r="I246" s="86">
        <v>5631</v>
      </c>
      <c r="J246">
        <v>5562</v>
      </c>
      <c r="K246" s="62">
        <v>75719</v>
      </c>
      <c r="L246" s="71">
        <v>24627</v>
      </c>
      <c r="M246" s="71">
        <v>0</v>
      </c>
      <c r="N246" s="71">
        <v>719.61582319000001</v>
      </c>
      <c r="O246" s="62">
        <v>735.31019013000002</v>
      </c>
      <c r="P246" s="62">
        <v>1128</v>
      </c>
      <c r="Q246" s="62">
        <v>2251</v>
      </c>
      <c r="R246" s="62">
        <v>1222</v>
      </c>
      <c r="S246">
        <v>653</v>
      </c>
      <c r="T246" s="126">
        <v>280</v>
      </c>
      <c r="U246">
        <v>67</v>
      </c>
      <c r="V246" s="62">
        <f t="shared" si="7"/>
        <v>5601</v>
      </c>
    </row>
    <row r="247" spans="1:22" ht="14">
      <c r="A247" s="1">
        <v>1426</v>
      </c>
      <c r="B247" s="2" t="s">
        <v>70</v>
      </c>
      <c r="C247" s="139"/>
      <c r="D247" s="139">
        <v>87.864000000000004</v>
      </c>
      <c r="E247" s="109">
        <v>3</v>
      </c>
      <c r="F247" s="109">
        <v>30</v>
      </c>
      <c r="G247" s="86">
        <f t="shared" si="6"/>
        <v>35</v>
      </c>
      <c r="H247">
        <v>0</v>
      </c>
      <c r="I247" s="86">
        <v>4927</v>
      </c>
      <c r="J247">
        <v>4870</v>
      </c>
      <c r="K247" s="62">
        <v>88671</v>
      </c>
      <c r="L247" s="71">
        <v>22406</v>
      </c>
      <c r="M247" s="71">
        <v>0</v>
      </c>
      <c r="N247" s="71">
        <v>861.06916752999996</v>
      </c>
      <c r="O247" s="62">
        <v>743.33430471999998</v>
      </c>
      <c r="P247" s="62">
        <v>1174</v>
      </c>
      <c r="Q247" s="62">
        <v>1906</v>
      </c>
      <c r="R247" s="62">
        <v>1093</v>
      </c>
      <c r="S247">
        <v>526</v>
      </c>
      <c r="T247" s="126">
        <v>246</v>
      </c>
      <c r="U247">
        <v>78</v>
      </c>
      <c r="V247" s="62">
        <f t="shared" si="7"/>
        <v>5023</v>
      </c>
    </row>
    <row r="248" spans="1:22" ht="14">
      <c r="A248" s="1">
        <v>1428</v>
      </c>
      <c r="B248" s="2" t="s">
        <v>71</v>
      </c>
      <c r="C248" s="139"/>
      <c r="D248" s="139">
        <v>131.02699999999999</v>
      </c>
      <c r="E248" s="109">
        <v>3</v>
      </c>
      <c r="F248" s="109">
        <v>15</v>
      </c>
      <c r="G248" s="86">
        <f t="shared" si="6"/>
        <v>35</v>
      </c>
      <c r="H248">
        <v>3650</v>
      </c>
      <c r="I248" s="86">
        <v>3229</v>
      </c>
      <c r="J248">
        <v>3065</v>
      </c>
      <c r="K248" s="62">
        <v>72725</v>
      </c>
      <c r="L248" s="71">
        <v>9544</v>
      </c>
      <c r="M248" s="71">
        <v>0</v>
      </c>
      <c r="N248" s="71">
        <v>304.23695488999999</v>
      </c>
      <c r="O248" s="62">
        <v>471.53416521999998</v>
      </c>
      <c r="P248" s="62">
        <v>640</v>
      </c>
      <c r="Q248" s="62">
        <v>1022</v>
      </c>
      <c r="R248" s="62">
        <v>736</v>
      </c>
      <c r="S248">
        <v>387</v>
      </c>
      <c r="T248" s="126">
        <v>173</v>
      </c>
      <c r="U248">
        <v>42</v>
      </c>
      <c r="V248" s="62">
        <f t="shared" si="7"/>
        <v>3000</v>
      </c>
    </row>
    <row r="249" spans="1:22" ht="14">
      <c r="A249" s="1">
        <v>1429</v>
      </c>
      <c r="B249" s="2" t="s">
        <v>72</v>
      </c>
      <c r="C249" s="139"/>
      <c r="D249" s="139">
        <v>53.734999999999999</v>
      </c>
      <c r="E249" s="109">
        <v>3</v>
      </c>
      <c r="F249" s="109">
        <v>28</v>
      </c>
      <c r="G249" s="86">
        <f t="shared" si="6"/>
        <v>35</v>
      </c>
      <c r="H249">
        <v>1700</v>
      </c>
      <c r="I249" s="86">
        <v>2916</v>
      </c>
      <c r="J249">
        <v>2849</v>
      </c>
      <c r="K249" s="62">
        <v>67194</v>
      </c>
      <c r="L249" s="71">
        <v>12044</v>
      </c>
      <c r="M249" s="71">
        <v>0</v>
      </c>
      <c r="N249" s="71">
        <v>1305.6368211700001</v>
      </c>
      <c r="O249" s="62">
        <v>460.56527438000001</v>
      </c>
      <c r="P249" s="62">
        <v>629</v>
      </c>
      <c r="Q249" s="62">
        <v>1151</v>
      </c>
      <c r="R249" s="62">
        <v>619</v>
      </c>
      <c r="S249">
        <v>320</v>
      </c>
      <c r="T249" s="126">
        <v>155</v>
      </c>
      <c r="U249">
        <v>35</v>
      </c>
      <c r="V249" s="62">
        <f t="shared" si="7"/>
        <v>2909</v>
      </c>
    </row>
    <row r="250" spans="1:22" ht="14">
      <c r="A250" s="1">
        <v>1430</v>
      </c>
      <c r="B250" s="2" t="s">
        <v>73</v>
      </c>
      <c r="C250" s="139"/>
      <c r="D250" s="139">
        <v>-6.1879999999999997</v>
      </c>
      <c r="E250" s="109">
        <v>3</v>
      </c>
      <c r="F250" s="109">
        <v>41</v>
      </c>
      <c r="G250" s="86">
        <f t="shared" si="6"/>
        <v>33</v>
      </c>
      <c r="H250">
        <v>2500</v>
      </c>
      <c r="I250" s="86">
        <v>2749</v>
      </c>
      <c r="J250">
        <v>2748</v>
      </c>
      <c r="K250" s="62">
        <v>57944</v>
      </c>
      <c r="L250" s="71">
        <v>14785</v>
      </c>
      <c r="M250" s="71">
        <v>0</v>
      </c>
      <c r="N250" s="71">
        <v>812.79540715999997</v>
      </c>
      <c r="O250" s="62">
        <v>431.3147859</v>
      </c>
      <c r="P250" s="62">
        <v>656</v>
      </c>
      <c r="Q250" s="62">
        <v>1048</v>
      </c>
      <c r="R250" s="62">
        <v>666</v>
      </c>
      <c r="S250">
        <v>242</v>
      </c>
      <c r="T250" s="126">
        <v>152</v>
      </c>
      <c r="U250">
        <v>34</v>
      </c>
      <c r="V250" s="62">
        <f t="shared" si="7"/>
        <v>2798</v>
      </c>
    </row>
    <row r="251" spans="1:22" ht="14">
      <c r="A251" s="1">
        <v>1431</v>
      </c>
      <c r="B251" s="2" t="s">
        <v>74</v>
      </c>
      <c r="C251" s="139"/>
      <c r="D251" s="139">
        <v>-49.837000000000003</v>
      </c>
      <c r="E251" s="109">
        <v>3</v>
      </c>
      <c r="F251" s="109">
        <v>39</v>
      </c>
      <c r="G251" s="86">
        <f t="shared" si="6"/>
        <v>33</v>
      </c>
      <c r="H251">
        <v>1300</v>
      </c>
      <c r="I251" s="86">
        <v>2918</v>
      </c>
      <c r="J251">
        <v>2929</v>
      </c>
      <c r="K251" s="62">
        <v>57997</v>
      </c>
      <c r="L251" s="71">
        <v>18386</v>
      </c>
      <c r="M251" s="71">
        <v>0</v>
      </c>
      <c r="N251" s="71">
        <v>0</v>
      </c>
      <c r="O251" s="62">
        <v>466.43619740999998</v>
      </c>
      <c r="P251" s="62">
        <v>761</v>
      </c>
      <c r="Q251" s="62">
        <v>1212</v>
      </c>
      <c r="R251" s="62">
        <v>600</v>
      </c>
      <c r="S251">
        <v>258</v>
      </c>
      <c r="T251" s="126">
        <v>139</v>
      </c>
      <c r="U251">
        <v>51</v>
      </c>
      <c r="V251" s="62">
        <f t="shared" si="7"/>
        <v>3021</v>
      </c>
    </row>
    <row r="252" spans="1:22" ht="14">
      <c r="A252" s="1">
        <v>1432</v>
      </c>
      <c r="B252" s="2" t="s">
        <v>75</v>
      </c>
      <c r="C252" s="139"/>
      <c r="D252" s="139">
        <v>10.92</v>
      </c>
      <c r="E252" s="109">
        <v>3</v>
      </c>
      <c r="F252" s="109">
        <v>76</v>
      </c>
      <c r="G252" s="86">
        <f t="shared" si="6"/>
        <v>30</v>
      </c>
      <c r="H252">
        <v>10094</v>
      </c>
      <c r="I252" s="86">
        <v>11151</v>
      </c>
      <c r="J252">
        <v>11650</v>
      </c>
      <c r="K252" s="62">
        <v>103853</v>
      </c>
      <c r="L252" s="71">
        <v>80591</v>
      </c>
      <c r="M252" s="71">
        <v>0</v>
      </c>
      <c r="N252" s="71">
        <v>1628.9587510900001</v>
      </c>
      <c r="O252" s="62">
        <v>1543.1689402500001</v>
      </c>
      <c r="P252" s="62">
        <v>3266</v>
      </c>
      <c r="Q252" s="62">
        <v>5517</v>
      </c>
      <c r="R252" s="62">
        <v>2351</v>
      </c>
      <c r="S252">
        <v>715</v>
      </c>
      <c r="T252" s="126">
        <v>309</v>
      </c>
      <c r="U252">
        <v>49</v>
      </c>
      <c r="V252" s="62">
        <f t="shared" si="7"/>
        <v>12207</v>
      </c>
    </row>
    <row r="253" spans="1:22" ht="14">
      <c r="A253" s="1">
        <v>1433</v>
      </c>
      <c r="B253" s="2" t="s">
        <v>76</v>
      </c>
      <c r="C253" s="139"/>
      <c r="D253" s="139">
        <v>-29.376999999999999</v>
      </c>
      <c r="E253" s="109">
        <v>3</v>
      </c>
      <c r="F253" s="109">
        <v>43</v>
      </c>
      <c r="G253" s="86">
        <f t="shared" si="6"/>
        <v>32</v>
      </c>
      <c r="H253">
        <v>2600</v>
      </c>
      <c r="I253" s="86">
        <v>2682</v>
      </c>
      <c r="J253">
        <v>2668</v>
      </c>
      <c r="K253" s="62">
        <v>51201</v>
      </c>
      <c r="L253" s="71">
        <v>15753</v>
      </c>
      <c r="M253" s="71">
        <v>0</v>
      </c>
      <c r="N253" s="71">
        <v>455.79410954000002</v>
      </c>
      <c r="O253" s="62">
        <v>403.88235312</v>
      </c>
      <c r="P253" s="62">
        <v>644</v>
      </c>
      <c r="Q253" s="62">
        <v>1068</v>
      </c>
      <c r="R253" s="62">
        <v>595</v>
      </c>
      <c r="S253">
        <v>240</v>
      </c>
      <c r="T253" s="126">
        <v>109</v>
      </c>
      <c r="U253">
        <v>31</v>
      </c>
      <c r="V253" s="62">
        <f t="shared" si="7"/>
        <v>2687</v>
      </c>
    </row>
    <row r="254" spans="1:22" ht="14">
      <c r="A254" s="1">
        <v>1438</v>
      </c>
      <c r="B254" s="2" t="s">
        <v>77</v>
      </c>
      <c r="C254" s="139"/>
      <c r="D254" s="139">
        <v>-45.978999999999999</v>
      </c>
      <c r="E254" s="109">
        <v>3</v>
      </c>
      <c r="F254" s="109">
        <v>19</v>
      </c>
      <c r="G254" s="86">
        <f t="shared" si="6"/>
        <v>35</v>
      </c>
      <c r="H254">
        <v>1350</v>
      </c>
      <c r="I254" s="86">
        <v>4031</v>
      </c>
      <c r="J254">
        <v>3894</v>
      </c>
      <c r="K254" s="62">
        <v>92447</v>
      </c>
      <c r="L254" s="71">
        <v>17049</v>
      </c>
      <c r="M254" s="71">
        <v>0</v>
      </c>
      <c r="N254" s="71">
        <v>1138.3626282600001</v>
      </c>
      <c r="O254" s="62">
        <v>634.48589875000005</v>
      </c>
      <c r="P254" s="62">
        <v>871</v>
      </c>
      <c r="Q254" s="62">
        <v>1394</v>
      </c>
      <c r="R254" s="62">
        <v>843</v>
      </c>
      <c r="S254">
        <v>488</v>
      </c>
      <c r="T254" s="126">
        <v>257</v>
      </c>
      <c r="U254">
        <v>57</v>
      </c>
      <c r="V254" s="62">
        <f t="shared" si="7"/>
        <v>3910</v>
      </c>
    </row>
    <row r="255" spans="1:22" ht="14">
      <c r="A255" s="1">
        <v>1439</v>
      </c>
      <c r="B255" s="2" t="s">
        <v>78</v>
      </c>
      <c r="C255" s="139"/>
      <c r="D255" s="139">
        <v>-30.437000000000001</v>
      </c>
      <c r="E255" s="109">
        <v>3</v>
      </c>
      <c r="F255" s="109">
        <v>34</v>
      </c>
      <c r="G255" s="86">
        <f t="shared" si="6"/>
        <v>35</v>
      </c>
      <c r="H255">
        <v>2250</v>
      </c>
      <c r="I255" s="86">
        <v>6218</v>
      </c>
      <c r="J255">
        <v>5998</v>
      </c>
      <c r="K255" s="62">
        <v>95611</v>
      </c>
      <c r="L255" s="71">
        <v>35034</v>
      </c>
      <c r="M255" s="71">
        <v>0</v>
      </c>
      <c r="N255" s="71">
        <v>1738.9780189099999</v>
      </c>
      <c r="O255" s="62">
        <v>830.58908393000002</v>
      </c>
      <c r="P255" s="62">
        <v>1385</v>
      </c>
      <c r="Q255" s="62">
        <v>2284</v>
      </c>
      <c r="R255" s="62">
        <v>1382</v>
      </c>
      <c r="S255">
        <v>602</v>
      </c>
      <c r="T255" s="126">
        <v>310</v>
      </c>
      <c r="U255">
        <v>67</v>
      </c>
      <c r="V255" s="62">
        <f t="shared" si="7"/>
        <v>6030</v>
      </c>
    </row>
    <row r="256" spans="1:22" ht="14">
      <c r="A256" s="1">
        <v>1441</v>
      </c>
      <c r="B256" s="2" t="s">
        <v>79</v>
      </c>
      <c r="C256" s="139"/>
      <c r="D256" s="139">
        <v>15.186999999999999</v>
      </c>
      <c r="E256" s="109">
        <v>3</v>
      </c>
      <c r="F256" s="109">
        <v>20</v>
      </c>
      <c r="G256" s="86">
        <f t="shared" si="6"/>
        <v>35</v>
      </c>
      <c r="H256">
        <v>1500</v>
      </c>
      <c r="I256" s="86">
        <v>2999</v>
      </c>
      <c r="J256">
        <v>2872</v>
      </c>
      <c r="K256" s="62">
        <v>60330</v>
      </c>
      <c r="L256" s="71">
        <v>9553</v>
      </c>
      <c r="M256" s="71">
        <v>0</v>
      </c>
      <c r="N256" s="71">
        <v>510.80374345000001</v>
      </c>
      <c r="O256" s="62">
        <v>432.7479252</v>
      </c>
      <c r="P256" s="62">
        <v>620</v>
      </c>
      <c r="Q256" s="62">
        <v>987</v>
      </c>
      <c r="R256" s="62">
        <v>698</v>
      </c>
      <c r="S256">
        <v>317</v>
      </c>
      <c r="T256" s="126">
        <v>145</v>
      </c>
      <c r="U256">
        <v>43</v>
      </c>
      <c r="V256" s="62">
        <f t="shared" si="7"/>
        <v>2810</v>
      </c>
    </row>
    <row r="257" spans="1:22" ht="14">
      <c r="A257" s="1">
        <v>1443</v>
      </c>
      <c r="B257" s="2" t="s">
        <v>80</v>
      </c>
      <c r="C257" s="139"/>
      <c r="D257" s="139">
        <v>-8.6280000000000001</v>
      </c>
      <c r="E257" s="109">
        <v>3</v>
      </c>
      <c r="F257" s="109">
        <v>42</v>
      </c>
      <c r="G257" s="86">
        <f t="shared" si="6"/>
        <v>32</v>
      </c>
      <c r="H257">
        <v>0</v>
      </c>
      <c r="I257" s="86">
        <v>5766</v>
      </c>
      <c r="J257">
        <v>5854</v>
      </c>
      <c r="K257" s="62">
        <v>75306</v>
      </c>
      <c r="L257" s="71">
        <v>32873</v>
      </c>
      <c r="M257" s="71">
        <v>0</v>
      </c>
      <c r="N257" s="71">
        <v>1106.9285517400001</v>
      </c>
      <c r="O257" s="62">
        <v>796.51340516000005</v>
      </c>
      <c r="P257" s="62">
        <v>1434</v>
      </c>
      <c r="Q257" s="62">
        <v>2408</v>
      </c>
      <c r="R257" s="62">
        <v>1265</v>
      </c>
      <c r="S257">
        <v>527</v>
      </c>
      <c r="T257" s="126">
        <v>232</v>
      </c>
      <c r="U257">
        <v>39</v>
      </c>
      <c r="V257" s="62">
        <f t="shared" si="7"/>
        <v>5905</v>
      </c>
    </row>
    <row r="258" spans="1:22" ht="14">
      <c r="A258" s="1">
        <v>1444</v>
      </c>
      <c r="B258" s="2" t="s">
        <v>81</v>
      </c>
      <c r="C258" s="139"/>
      <c r="D258" s="139">
        <v>-187.42400000000001</v>
      </c>
      <c r="E258" s="109">
        <v>3</v>
      </c>
      <c r="F258" s="109">
        <v>28</v>
      </c>
      <c r="G258" s="86">
        <f t="shared" si="6"/>
        <v>35</v>
      </c>
      <c r="H258">
        <v>0</v>
      </c>
      <c r="I258" s="86">
        <v>1197</v>
      </c>
      <c r="J258">
        <v>1211</v>
      </c>
      <c r="K258" s="62">
        <v>33810</v>
      </c>
      <c r="L258" s="71">
        <v>5880</v>
      </c>
      <c r="M258" s="71">
        <v>0</v>
      </c>
      <c r="N258" s="71">
        <v>209.93472532999999</v>
      </c>
      <c r="O258" s="62">
        <v>205.99475926</v>
      </c>
      <c r="P258" s="62">
        <v>303</v>
      </c>
      <c r="Q258" s="62">
        <v>470</v>
      </c>
      <c r="R258" s="62">
        <v>230</v>
      </c>
      <c r="S258">
        <v>116</v>
      </c>
      <c r="T258" s="126">
        <v>73</v>
      </c>
      <c r="U258">
        <v>15</v>
      </c>
      <c r="V258" s="62">
        <f t="shared" si="7"/>
        <v>1207</v>
      </c>
    </row>
    <row r="259" spans="1:22" ht="14">
      <c r="A259" s="1">
        <v>1445</v>
      </c>
      <c r="B259" s="2" t="s">
        <v>82</v>
      </c>
      <c r="C259" s="139"/>
      <c r="D259" s="139">
        <v>45.79</v>
      </c>
      <c r="E259" s="109">
        <v>3</v>
      </c>
      <c r="F259" s="109">
        <v>38</v>
      </c>
      <c r="G259" s="86">
        <f t="shared" si="6"/>
        <v>34</v>
      </c>
      <c r="H259">
        <v>3000</v>
      </c>
      <c r="I259" s="86">
        <v>5793</v>
      </c>
      <c r="J259">
        <v>5687</v>
      </c>
      <c r="K259" s="62">
        <v>107915</v>
      </c>
      <c r="L259" s="71">
        <v>28554</v>
      </c>
      <c r="M259" s="71">
        <v>0</v>
      </c>
      <c r="N259" s="71">
        <v>981.19224566000003</v>
      </c>
      <c r="O259" s="62">
        <v>859.00633289999996</v>
      </c>
      <c r="P259" s="62">
        <v>1316</v>
      </c>
      <c r="Q259" s="62">
        <v>2112</v>
      </c>
      <c r="R259" s="62">
        <v>1298</v>
      </c>
      <c r="S259">
        <v>567</v>
      </c>
      <c r="T259" s="126">
        <v>314</v>
      </c>
      <c r="U259">
        <v>98</v>
      </c>
      <c r="V259" s="62">
        <f t="shared" si="7"/>
        <v>5705</v>
      </c>
    </row>
    <row r="260" spans="1:22" ht="14">
      <c r="A260" s="1">
        <v>1449</v>
      </c>
      <c r="B260" s="2" t="s">
        <v>83</v>
      </c>
      <c r="C260" s="139"/>
      <c r="D260" s="139">
        <v>24.902999999999999</v>
      </c>
      <c r="E260" s="109">
        <v>3</v>
      </c>
      <c r="F260" s="109">
        <v>44</v>
      </c>
      <c r="G260" s="86">
        <f t="shared" si="6"/>
        <v>32</v>
      </c>
      <c r="H260">
        <v>0</v>
      </c>
      <c r="I260" s="86">
        <v>6843</v>
      </c>
      <c r="J260">
        <v>6769</v>
      </c>
      <c r="K260" s="62">
        <v>107070</v>
      </c>
      <c r="L260" s="71">
        <v>40283</v>
      </c>
      <c r="M260" s="71">
        <v>0</v>
      </c>
      <c r="N260" s="71">
        <v>1928.70512362</v>
      </c>
      <c r="O260" s="62">
        <v>1028.2896562200001</v>
      </c>
      <c r="P260" s="62">
        <v>1715</v>
      </c>
      <c r="Q260" s="62">
        <v>2825</v>
      </c>
      <c r="R260" s="62">
        <v>1454</v>
      </c>
      <c r="S260">
        <v>633</v>
      </c>
      <c r="T260" s="126">
        <v>299</v>
      </c>
      <c r="U260">
        <v>92</v>
      </c>
      <c r="V260" s="62">
        <f t="shared" si="7"/>
        <v>7018</v>
      </c>
    </row>
    <row r="261" spans="1:22" ht="14">
      <c r="A261" s="1">
        <v>1502</v>
      </c>
      <c r="B261" s="2" t="s">
        <v>84</v>
      </c>
      <c r="C261" s="139"/>
      <c r="D261" s="139">
        <v>3.194</v>
      </c>
      <c r="E261" s="109">
        <v>1</v>
      </c>
      <c r="F261" s="109">
        <v>72</v>
      </c>
      <c r="G261" s="86">
        <f t="shared" ref="G261:G296" si="8">IF(E261=3,IF(F261&lt;36,35,IF(F261&lt;39,34,IF(F261&lt;42,33,IF(F261&lt;45,32,IF(F261&lt;47,31,30))))),IF(E261=4,4,0))</f>
        <v>0</v>
      </c>
      <c r="H261">
        <v>3200</v>
      </c>
      <c r="I261" s="86">
        <v>24124</v>
      </c>
      <c r="J261">
        <v>24294</v>
      </c>
      <c r="K261" s="62">
        <v>250105</v>
      </c>
      <c r="L261" s="71">
        <v>127211</v>
      </c>
      <c r="M261" s="71">
        <v>6500</v>
      </c>
      <c r="N261" s="71">
        <v>2490.02791862</v>
      </c>
      <c r="O261" s="62">
        <v>3134.4436698200002</v>
      </c>
      <c r="P261" s="62">
        <v>5544</v>
      </c>
      <c r="Q261" s="62">
        <v>10426</v>
      </c>
      <c r="R261" s="62">
        <v>5663</v>
      </c>
      <c r="S261">
        <v>2204</v>
      </c>
      <c r="T261" s="126">
        <v>1026</v>
      </c>
      <c r="U261">
        <v>226</v>
      </c>
      <c r="V261" s="62">
        <f t="shared" ref="V261:V296" si="9">P261+Q261+R261+S261+T261+U261</f>
        <v>25089</v>
      </c>
    </row>
    <row r="262" spans="1:22" ht="14">
      <c r="A262" s="1">
        <v>1504</v>
      </c>
      <c r="B262" s="2" t="s">
        <v>85</v>
      </c>
      <c r="C262" s="139"/>
      <c r="D262" s="139">
        <v>-4.335</v>
      </c>
      <c r="E262" s="86">
        <v>1</v>
      </c>
      <c r="F262" s="86">
        <v>83</v>
      </c>
      <c r="G262" s="86">
        <f t="shared" si="8"/>
        <v>0</v>
      </c>
      <c r="H262">
        <v>4200</v>
      </c>
      <c r="I262" s="86">
        <v>40295</v>
      </c>
      <c r="J262">
        <v>41833</v>
      </c>
      <c r="K262" s="62">
        <v>367192</v>
      </c>
      <c r="L262" s="71">
        <v>261340</v>
      </c>
      <c r="M262" s="71">
        <v>4526</v>
      </c>
      <c r="N262" s="71">
        <v>5549.23715137</v>
      </c>
      <c r="O262" s="62">
        <v>5314.9295699800005</v>
      </c>
      <c r="P262" s="62">
        <v>9956</v>
      </c>
      <c r="Q262" s="62">
        <v>19236</v>
      </c>
      <c r="R262" s="62">
        <v>9005</v>
      </c>
      <c r="S262">
        <v>3483</v>
      </c>
      <c r="T262" s="126">
        <v>1657</v>
      </c>
      <c r="U262">
        <v>333</v>
      </c>
      <c r="V262" s="62">
        <f t="shared" si="9"/>
        <v>43670</v>
      </c>
    </row>
    <row r="263" spans="1:22" ht="14">
      <c r="A263" s="1">
        <v>1505</v>
      </c>
      <c r="B263" s="4" t="s">
        <v>680</v>
      </c>
      <c r="C263" s="139"/>
      <c r="D263" s="139">
        <v>-21.87</v>
      </c>
      <c r="E263" s="86">
        <v>3</v>
      </c>
      <c r="F263" s="136">
        <v>61</v>
      </c>
      <c r="G263" s="86">
        <f t="shared" si="8"/>
        <v>30</v>
      </c>
      <c r="H263">
        <v>3700</v>
      </c>
      <c r="I263" s="86">
        <v>22327</v>
      </c>
      <c r="J263">
        <v>22661</v>
      </c>
      <c r="K263" s="62">
        <v>251578</v>
      </c>
      <c r="L263" s="71">
        <v>135755</v>
      </c>
      <c r="M263" s="71">
        <v>3715</v>
      </c>
      <c r="N263" s="71">
        <v>3924.7689826400001</v>
      </c>
      <c r="O263" s="62">
        <v>2945.3842187300002</v>
      </c>
      <c r="P263" s="62">
        <v>5071</v>
      </c>
      <c r="Q263" s="62">
        <v>9852</v>
      </c>
      <c r="R263" s="62">
        <v>5464</v>
      </c>
      <c r="S263">
        <v>2085</v>
      </c>
      <c r="T263" s="126">
        <v>920</v>
      </c>
      <c r="U263">
        <v>178</v>
      </c>
      <c r="V263" s="62">
        <f t="shared" si="9"/>
        <v>23570</v>
      </c>
    </row>
    <row r="264" spans="1:22" ht="14">
      <c r="A264" s="1">
        <v>1511</v>
      </c>
      <c r="B264" s="2" t="s">
        <v>86</v>
      </c>
      <c r="C264" s="139"/>
      <c r="D264" s="139">
        <v>-32.616</v>
      </c>
      <c r="E264" s="86">
        <v>3</v>
      </c>
      <c r="F264" s="86">
        <v>17</v>
      </c>
      <c r="G264" s="86">
        <f t="shared" si="8"/>
        <v>35</v>
      </c>
      <c r="H264">
        <v>4316</v>
      </c>
      <c r="I264" s="86">
        <v>3693</v>
      </c>
      <c r="J264">
        <v>3530</v>
      </c>
      <c r="K264" s="62">
        <v>79930</v>
      </c>
      <c r="L264" s="71">
        <v>10163</v>
      </c>
      <c r="M264" s="71">
        <v>0</v>
      </c>
      <c r="N264" s="71">
        <v>484.98289488</v>
      </c>
      <c r="O264" s="62">
        <v>517.76096309000002</v>
      </c>
      <c r="P264" s="62">
        <v>699</v>
      </c>
      <c r="Q264" s="62">
        <v>1214</v>
      </c>
      <c r="R264" s="62">
        <v>865</v>
      </c>
      <c r="S264">
        <v>401</v>
      </c>
      <c r="T264" s="126">
        <v>191</v>
      </c>
      <c r="U264">
        <v>47</v>
      </c>
      <c r="V264" s="62">
        <f t="shared" si="9"/>
        <v>3417</v>
      </c>
    </row>
    <row r="265" spans="1:22" ht="14">
      <c r="A265" s="1">
        <v>1514</v>
      </c>
      <c r="B265" s="2" t="s">
        <v>897</v>
      </c>
      <c r="C265" s="139"/>
      <c r="D265" s="139">
        <v>37.753</v>
      </c>
      <c r="E265" s="86">
        <v>3</v>
      </c>
      <c r="F265" s="86">
        <v>17</v>
      </c>
      <c r="G265" s="86">
        <f t="shared" si="8"/>
        <v>35</v>
      </c>
      <c r="H265">
        <v>5410</v>
      </c>
      <c r="I265" s="86">
        <v>2576</v>
      </c>
      <c r="J265">
        <v>2502</v>
      </c>
      <c r="K265" s="62">
        <v>62374</v>
      </c>
      <c r="L265" s="71">
        <v>10735</v>
      </c>
      <c r="M265" s="71">
        <v>0</v>
      </c>
      <c r="N265" s="71">
        <v>730.84227909000003</v>
      </c>
      <c r="O265" s="62">
        <v>397.63909139999998</v>
      </c>
      <c r="P265" s="62">
        <v>539</v>
      </c>
      <c r="Q265" s="62">
        <v>1037</v>
      </c>
      <c r="R265" s="62">
        <v>574</v>
      </c>
      <c r="S265">
        <v>304</v>
      </c>
      <c r="T265" s="126">
        <v>134</v>
      </c>
      <c r="U265">
        <v>37</v>
      </c>
      <c r="V265" s="62">
        <f t="shared" si="9"/>
        <v>2625</v>
      </c>
    </row>
    <row r="266" spans="1:22" ht="14">
      <c r="A266" s="1">
        <v>1515</v>
      </c>
      <c r="B266" s="2" t="s">
        <v>87</v>
      </c>
      <c r="C266" s="139"/>
      <c r="D266" s="139">
        <v>-88.340999999999994</v>
      </c>
      <c r="E266" s="86">
        <v>3</v>
      </c>
      <c r="F266" s="86">
        <v>53</v>
      </c>
      <c r="G266" s="86">
        <f t="shared" si="8"/>
        <v>30</v>
      </c>
      <c r="H266">
        <v>7911</v>
      </c>
      <c r="I266" s="86">
        <v>8386</v>
      </c>
      <c r="J266">
        <v>8353</v>
      </c>
      <c r="K266" s="62">
        <v>110829</v>
      </c>
      <c r="L266" s="71">
        <v>46536</v>
      </c>
      <c r="M266" s="71">
        <v>0</v>
      </c>
      <c r="N266" s="71">
        <v>2255.3949903100001</v>
      </c>
      <c r="O266" s="62">
        <v>1126.8829329099999</v>
      </c>
      <c r="P266" s="62">
        <v>2029</v>
      </c>
      <c r="Q266" s="62">
        <v>3423</v>
      </c>
      <c r="R266" s="62">
        <v>1853</v>
      </c>
      <c r="S266">
        <v>798</v>
      </c>
      <c r="T266" s="126">
        <v>350</v>
      </c>
      <c r="U266">
        <v>80</v>
      </c>
      <c r="V266" s="62">
        <f t="shared" si="9"/>
        <v>8533</v>
      </c>
    </row>
    <row r="267" spans="1:22" ht="14">
      <c r="A267" s="1">
        <v>1516</v>
      </c>
      <c r="B267" s="2" t="s">
        <v>88</v>
      </c>
      <c r="C267" s="139"/>
      <c r="D267" s="139">
        <v>-154.75399999999999</v>
      </c>
      <c r="E267" s="86">
        <v>2</v>
      </c>
      <c r="F267" s="86">
        <v>67</v>
      </c>
      <c r="G267" s="86">
        <f t="shared" si="8"/>
        <v>0</v>
      </c>
      <c r="H267">
        <v>1345</v>
      </c>
      <c r="I267" s="86">
        <v>6795</v>
      </c>
      <c r="J267">
        <v>6946</v>
      </c>
      <c r="K267" s="62">
        <v>84697</v>
      </c>
      <c r="L267" s="71">
        <v>50233</v>
      </c>
      <c r="M267" s="71">
        <v>0</v>
      </c>
      <c r="N267" s="71">
        <v>1659.27018202</v>
      </c>
      <c r="O267" s="62">
        <v>1003.84177033</v>
      </c>
      <c r="P267" s="62">
        <v>1957</v>
      </c>
      <c r="Q267" s="62">
        <v>3474</v>
      </c>
      <c r="R267" s="62">
        <v>1441</v>
      </c>
      <c r="S267">
        <v>581</v>
      </c>
      <c r="T267" s="126">
        <v>244</v>
      </c>
      <c r="U267">
        <v>54</v>
      </c>
      <c r="V267" s="62">
        <f t="shared" si="9"/>
        <v>7751</v>
      </c>
    </row>
    <row r="268" spans="1:22" ht="14">
      <c r="A268" s="1">
        <v>1517</v>
      </c>
      <c r="B268" s="2" t="s">
        <v>89</v>
      </c>
      <c r="C268" s="139"/>
      <c r="D268" s="139">
        <v>97.799000000000007</v>
      </c>
      <c r="E268" s="86">
        <v>2</v>
      </c>
      <c r="F268" s="86">
        <v>48</v>
      </c>
      <c r="G268" s="86">
        <f t="shared" si="8"/>
        <v>0</v>
      </c>
      <c r="H268">
        <v>425</v>
      </c>
      <c r="I268" s="86">
        <v>4658</v>
      </c>
      <c r="J268">
        <v>4741</v>
      </c>
      <c r="K268" s="62">
        <v>51003</v>
      </c>
      <c r="L268" s="71">
        <v>25643</v>
      </c>
      <c r="M268" s="71">
        <v>0</v>
      </c>
      <c r="N268" s="71">
        <v>495.08670518999998</v>
      </c>
      <c r="O268" s="62">
        <v>653.21442621999995</v>
      </c>
      <c r="P268" s="62">
        <v>1167</v>
      </c>
      <c r="Q268" s="62">
        <v>2081</v>
      </c>
      <c r="R268" s="62">
        <v>1005</v>
      </c>
      <c r="S268">
        <v>417</v>
      </c>
      <c r="T268" s="126">
        <v>213</v>
      </c>
      <c r="U268">
        <v>49</v>
      </c>
      <c r="V268" s="62">
        <f t="shared" si="9"/>
        <v>4932</v>
      </c>
    </row>
    <row r="269" spans="1:22" ht="14">
      <c r="A269" s="1">
        <v>1519</v>
      </c>
      <c r="B269" s="2" t="s">
        <v>90</v>
      </c>
      <c r="C269" s="139"/>
      <c r="D269" s="139">
        <v>-21.405000000000001</v>
      </c>
      <c r="E269" s="86">
        <v>3</v>
      </c>
      <c r="F269" s="86">
        <v>48</v>
      </c>
      <c r="G269" s="86">
        <f t="shared" si="8"/>
        <v>30</v>
      </c>
      <c r="H269">
        <v>875</v>
      </c>
      <c r="I269" s="86">
        <v>8351</v>
      </c>
      <c r="J269">
        <v>8406</v>
      </c>
      <c r="K269" s="62">
        <v>111254</v>
      </c>
      <c r="L269" s="71">
        <v>43146</v>
      </c>
      <c r="M269" s="71">
        <v>0</v>
      </c>
      <c r="N269" s="71">
        <v>1015.99425895</v>
      </c>
      <c r="O269" s="62">
        <v>1198.78288679</v>
      </c>
      <c r="P269" s="62">
        <v>2057</v>
      </c>
      <c r="Q269" s="62">
        <v>3500</v>
      </c>
      <c r="R269" s="62">
        <v>1828</v>
      </c>
      <c r="S269">
        <v>775</v>
      </c>
      <c r="T269" s="126">
        <v>395</v>
      </c>
      <c r="U269">
        <v>100</v>
      </c>
      <c r="V269" s="62">
        <f t="shared" si="9"/>
        <v>8655</v>
      </c>
    </row>
    <row r="270" spans="1:22" ht="14">
      <c r="A270" s="1">
        <v>1520</v>
      </c>
      <c r="B270" s="2" t="s">
        <v>91</v>
      </c>
      <c r="C270" s="139"/>
      <c r="D270" s="139">
        <v>25.867000000000001</v>
      </c>
      <c r="E270" s="86">
        <v>3</v>
      </c>
      <c r="F270" s="86">
        <v>41</v>
      </c>
      <c r="G270" s="86">
        <f t="shared" si="8"/>
        <v>33</v>
      </c>
      <c r="H270">
        <v>925</v>
      </c>
      <c r="I270" s="86">
        <v>10233</v>
      </c>
      <c r="J270">
        <v>10163</v>
      </c>
      <c r="K270" s="62">
        <v>131819</v>
      </c>
      <c r="L270" s="71">
        <v>53871</v>
      </c>
      <c r="M270" s="71">
        <v>0</v>
      </c>
      <c r="N270" s="71">
        <v>2520.33934955</v>
      </c>
      <c r="O270" s="62">
        <v>1395.2887348899999</v>
      </c>
      <c r="P270" s="62">
        <v>2407</v>
      </c>
      <c r="Q270" s="62">
        <v>4149</v>
      </c>
      <c r="R270" s="62">
        <v>2214</v>
      </c>
      <c r="S270">
        <v>954</v>
      </c>
      <c r="T270" s="126">
        <v>523</v>
      </c>
      <c r="U270">
        <v>126</v>
      </c>
      <c r="V270" s="62">
        <f t="shared" si="9"/>
        <v>10373</v>
      </c>
    </row>
    <row r="271" spans="1:22" ht="14">
      <c r="A271" s="1">
        <v>1523</v>
      </c>
      <c r="B271" s="2" t="s">
        <v>92</v>
      </c>
      <c r="C271" s="139"/>
      <c r="D271" s="139">
        <v>-19.631</v>
      </c>
      <c r="E271" s="86">
        <v>1</v>
      </c>
      <c r="F271" s="86">
        <v>62</v>
      </c>
      <c r="G271" s="86">
        <f t="shared" si="8"/>
        <v>0</v>
      </c>
      <c r="H271">
        <v>3150</v>
      </c>
      <c r="I271" s="86">
        <v>2121</v>
      </c>
      <c r="J271">
        <v>2119</v>
      </c>
      <c r="K271" s="62">
        <v>40821</v>
      </c>
      <c r="L271" s="71">
        <v>11741</v>
      </c>
      <c r="M271" s="71">
        <v>0</v>
      </c>
      <c r="N271" s="71">
        <v>597.24745387999997</v>
      </c>
      <c r="O271" s="62">
        <v>306.29775884999998</v>
      </c>
      <c r="P271" s="62">
        <v>466</v>
      </c>
      <c r="Q271" s="62">
        <v>804</v>
      </c>
      <c r="R271" s="62">
        <v>542</v>
      </c>
      <c r="S271">
        <v>177</v>
      </c>
      <c r="T271" s="126">
        <v>106</v>
      </c>
      <c r="U271">
        <v>25</v>
      </c>
      <c r="V271" s="62">
        <f t="shared" si="9"/>
        <v>2120</v>
      </c>
    </row>
    <row r="272" spans="1:22" ht="14">
      <c r="A272" s="1">
        <v>1524</v>
      </c>
      <c r="B272" s="2" t="s">
        <v>93</v>
      </c>
      <c r="C272" s="139"/>
      <c r="D272" s="139">
        <v>39.619999999999997</v>
      </c>
      <c r="E272" s="86">
        <v>3</v>
      </c>
      <c r="F272" s="86">
        <v>19</v>
      </c>
      <c r="G272" s="86">
        <f t="shared" si="8"/>
        <v>35</v>
      </c>
      <c r="H272">
        <v>1875</v>
      </c>
      <c r="I272" s="86">
        <v>1817</v>
      </c>
      <c r="J272">
        <v>1761</v>
      </c>
      <c r="K272" s="62">
        <v>48941</v>
      </c>
      <c r="L272" s="71">
        <v>6619</v>
      </c>
      <c r="M272" s="71">
        <v>0</v>
      </c>
      <c r="N272" s="71">
        <v>566.93602295000005</v>
      </c>
      <c r="O272" s="62">
        <v>301.54291117000002</v>
      </c>
      <c r="P272" s="62">
        <v>428</v>
      </c>
      <c r="Q272" s="62">
        <v>622</v>
      </c>
      <c r="R272" s="62">
        <v>387</v>
      </c>
      <c r="S272">
        <v>186</v>
      </c>
      <c r="T272" s="126">
        <v>97</v>
      </c>
      <c r="U272">
        <v>41</v>
      </c>
      <c r="V272" s="62">
        <f t="shared" si="9"/>
        <v>1761</v>
      </c>
    </row>
    <row r="273" spans="1:22" ht="14">
      <c r="A273" s="1">
        <v>1525</v>
      </c>
      <c r="B273" s="2" t="s">
        <v>94</v>
      </c>
      <c r="C273" s="139"/>
      <c r="D273" s="139">
        <v>99.320999999999998</v>
      </c>
      <c r="E273" s="86">
        <v>3</v>
      </c>
      <c r="F273" s="86">
        <v>42</v>
      </c>
      <c r="G273" s="86">
        <f t="shared" si="8"/>
        <v>32</v>
      </c>
      <c r="H273">
        <v>1257</v>
      </c>
      <c r="I273" s="86">
        <v>4605</v>
      </c>
      <c r="J273">
        <v>4543</v>
      </c>
      <c r="K273" s="62">
        <v>80188</v>
      </c>
      <c r="L273" s="71">
        <v>22628</v>
      </c>
      <c r="M273" s="71">
        <v>0</v>
      </c>
      <c r="N273" s="71">
        <v>1443.72222874</v>
      </c>
      <c r="O273" s="62">
        <v>641.77029938999999</v>
      </c>
      <c r="P273" s="62">
        <v>1002</v>
      </c>
      <c r="Q273" s="62">
        <v>1820</v>
      </c>
      <c r="R273" s="62">
        <v>934</v>
      </c>
      <c r="S273">
        <v>518</v>
      </c>
      <c r="T273" s="126">
        <v>240</v>
      </c>
      <c r="U273">
        <v>61</v>
      </c>
      <c r="V273" s="62">
        <f t="shared" si="9"/>
        <v>4575</v>
      </c>
    </row>
    <row r="274" spans="1:22" ht="14">
      <c r="A274" s="1">
        <v>1526</v>
      </c>
      <c r="B274" s="2" t="s">
        <v>95</v>
      </c>
      <c r="C274" s="139"/>
      <c r="D274" s="139">
        <v>128.43199999999999</v>
      </c>
      <c r="E274" s="86">
        <v>3</v>
      </c>
      <c r="F274" s="86">
        <v>30</v>
      </c>
      <c r="G274" s="86">
        <f t="shared" si="8"/>
        <v>35</v>
      </c>
      <c r="H274">
        <v>1565</v>
      </c>
      <c r="I274" s="86">
        <v>1007</v>
      </c>
      <c r="J274">
        <v>979</v>
      </c>
      <c r="K274" s="62">
        <v>29395</v>
      </c>
      <c r="L274" s="71">
        <v>6759</v>
      </c>
      <c r="M274" s="71">
        <v>0</v>
      </c>
      <c r="N274" s="71">
        <v>252.59525775</v>
      </c>
      <c r="O274" s="62">
        <v>177.40196767</v>
      </c>
      <c r="P274" s="62">
        <v>256</v>
      </c>
      <c r="Q274" s="62">
        <v>383</v>
      </c>
      <c r="R274" s="62">
        <v>217</v>
      </c>
      <c r="S274">
        <v>108</v>
      </c>
      <c r="T274" s="126">
        <v>48</v>
      </c>
      <c r="U274">
        <v>10</v>
      </c>
      <c r="V274" s="62">
        <f t="shared" si="9"/>
        <v>1022</v>
      </c>
    </row>
    <row r="275" spans="1:22" ht="14">
      <c r="A275" s="1">
        <v>1528</v>
      </c>
      <c r="B275" s="2" t="s">
        <v>96</v>
      </c>
      <c r="C275" s="139"/>
      <c r="D275" s="139">
        <v>-92.832999999999998</v>
      </c>
      <c r="E275" s="86">
        <v>2</v>
      </c>
      <c r="F275" s="86">
        <v>66</v>
      </c>
      <c r="G275" s="86">
        <f t="shared" si="8"/>
        <v>0</v>
      </c>
      <c r="H275">
        <v>1250</v>
      </c>
      <c r="I275" s="86">
        <v>7446</v>
      </c>
      <c r="J275">
        <v>7491</v>
      </c>
      <c r="K275" s="62">
        <v>92259</v>
      </c>
      <c r="L275" s="71">
        <v>37493</v>
      </c>
      <c r="M275" s="71">
        <v>0</v>
      </c>
      <c r="N275" s="71">
        <v>1233.78750341</v>
      </c>
      <c r="O275" s="62">
        <v>1033.9431937899999</v>
      </c>
      <c r="P275" s="62">
        <v>1852</v>
      </c>
      <c r="Q275" s="62">
        <v>3107</v>
      </c>
      <c r="R275" s="62">
        <v>1663</v>
      </c>
      <c r="S275">
        <v>647</v>
      </c>
      <c r="T275" s="126">
        <v>314</v>
      </c>
      <c r="U275">
        <v>79</v>
      </c>
      <c r="V275" s="62">
        <f t="shared" si="9"/>
        <v>7662</v>
      </c>
    </row>
    <row r="276" spans="1:22" ht="14">
      <c r="A276" s="1">
        <v>1529</v>
      </c>
      <c r="B276" s="2" t="s">
        <v>97</v>
      </c>
      <c r="C276" s="139"/>
      <c r="D276" s="139">
        <v>-39.905000000000001</v>
      </c>
      <c r="E276" s="86">
        <v>1</v>
      </c>
      <c r="F276" s="86">
        <v>62</v>
      </c>
      <c r="G276" s="86">
        <f t="shared" si="8"/>
        <v>0</v>
      </c>
      <c r="H276">
        <v>400</v>
      </c>
      <c r="I276" s="86">
        <v>3597</v>
      </c>
      <c r="J276">
        <v>3750</v>
      </c>
      <c r="K276" s="62">
        <v>48070</v>
      </c>
      <c r="L276" s="71">
        <v>23303</v>
      </c>
      <c r="M276" s="71">
        <v>0</v>
      </c>
      <c r="N276" s="71">
        <v>647.76650543000005</v>
      </c>
      <c r="O276" s="62">
        <v>555.27199723000001</v>
      </c>
      <c r="P276" s="62">
        <v>1063</v>
      </c>
      <c r="Q276" s="62">
        <v>1729</v>
      </c>
      <c r="R276" s="62">
        <v>854</v>
      </c>
      <c r="S276">
        <v>277</v>
      </c>
      <c r="T276" s="126">
        <v>134</v>
      </c>
      <c r="U276">
        <v>22</v>
      </c>
      <c r="V276" s="62">
        <f t="shared" si="9"/>
        <v>4079</v>
      </c>
    </row>
    <row r="277" spans="1:22" ht="14">
      <c r="A277" s="1">
        <v>1531</v>
      </c>
      <c r="B277" s="2" t="s">
        <v>98</v>
      </c>
      <c r="C277" s="139"/>
      <c r="D277" s="139">
        <v>-14.343999999999999</v>
      </c>
      <c r="E277" s="86">
        <v>1</v>
      </c>
      <c r="F277" s="86">
        <v>72</v>
      </c>
      <c r="G277" s="86">
        <f t="shared" si="8"/>
        <v>0</v>
      </c>
      <c r="H277">
        <v>1800</v>
      </c>
      <c r="I277" s="86">
        <v>7453</v>
      </c>
      <c r="J277">
        <v>7626</v>
      </c>
      <c r="K277" s="62">
        <v>93568</v>
      </c>
      <c r="L277" s="71">
        <v>57650</v>
      </c>
      <c r="M277" s="71">
        <v>0</v>
      </c>
      <c r="N277" s="71">
        <v>1604.2605481099999</v>
      </c>
      <c r="O277" s="62">
        <v>1081.55011375</v>
      </c>
      <c r="P277" s="62">
        <v>2063</v>
      </c>
      <c r="Q277" s="62">
        <v>3336</v>
      </c>
      <c r="R277" s="62">
        <v>1639</v>
      </c>
      <c r="S277">
        <v>654</v>
      </c>
      <c r="T277" s="126">
        <v>340</v>
      </c>
      <c r="U277">
        <v>64</v>
      </c>
      <c r="V277" s="62">
        <f t="shared" si="9"/>
        <v>8096</v>
      </c>
    </row>
    <row r="278" spans="1:22" ht="14">
      <c r="A278" s="1">
        <v>1532</v>
      </c>
      <c r="B278" s="2" t="s">
        <v>99</v>
      </c>
      <c r="C278" s="139"/>
      <c r="D278" s="139">
        <v>-30.088999999999999</v>
      </c>
      <c r="E278" s="86">
        <v>1</v>
      </c>
      <c r="F278" s="86">
        <v>72</v>
      </c>
      <c r="G278" s="86">
        <f t="shared" si="8"/>
        <v>0</v>
      </c>
      <c r="H278">
        <v>1300</v>
      </c>
      <c r="I278" s="86">
        <v>6591</v>
      </c>
      <c r="J278">
        <v>6777</v>
      </c>
      <c r="K278" s="62">
        <v>83215</v>
      </c>
      <c r="L278" s="71">
        <v>49895</v>
      </c>
      <c r="M278" s="71">
        <v>0</v>
      </c>
      <c r="N278" s="71">
        <v>1935.4409971600001</v>
      </c>
      <c r="O278" s="62">
        <v>961.03206774</v>
      </c>
      <c r="P278" s="62">
        <v>1886</v>
      </c>
      <c r="Q278" s="62">
        <v>2928</v>
      </c>
      <c r="R278" s="62">
        <v>1444</v>
      </c>
      <c r="S278">
        <v>573</v>
      </c>
      <c r="T278" s="126">
        <v>251</v>
      </c>
      <c r="U278">
        <v>67</v>
      </c>
      <c r="V278" s="62">
        <f t="shared" si="9"/>
        <v>7149</v>
      </c>
    </row>
    <row r="279" spans="1:22" ht="14">
      <c r="A279" s="1">
        <v>1534</v>
      </c>
      <c r="B279" s="2" t="s">
        <v>100</v>
      </c>
      <c r="C279" s="139"/>
      <c r="D279" s="139">
        <v>-77.814999999999998</v>
      </c>
      <c r="E279" s="86">
        <v>3</v>
      </c>
      <c r="F279" s="86">
        <v>51</v>
      </c>
      <c r="G279" s="86">
        <f t="shared" si="8"/>
        <v>30</v>
      </c>
      <c r="H279">
        <v>7981</v>
      </c>
      <c r="I279" s="86">
        <v>8715</v>
      </c>
      <c r="J279">
        <v>8617</v>
      </c>
      <c r="K279" s="62">
        <v>129763</v>
      </c>
      <c r="L279" s="71">
        <v>40486</v>
      </c>
      <c r="M279" s="71">
        <v>0</v>
      </c>
      <c r="N279" s="71">
        <v>1945.54480747</v>
      </c>
      <c r="O279" s="62">
        <v>1197.5880719199999</v>
      </c>
      <c r="P279" s="62">
        <v>2016</v>
      </c>
      <c r="Q279" s="62">
        <v>3518</v>
      </c>
      <c r="R279" s="62">
        <v>1935</v>
      </c>
      <c r="S279">
        <v>837</v>
      </c>
      <c r="T279" s="126">
        <v>458</v>
      </c>
      <c r="U279">
        <v>93</v>
      </c>
      <c r="V279" s="62">
        <f t="shared" si="9"/>
        <v>8857</v>
      </c>
    </row>
    <row r="280" spans="1:22" ht="14">
      <c r="A280" s="1">
        <v>1535</v>
      </c>
      <c r="B280" s="2" t="s">
        <v>101</v>
      </c>
      <c r="C280" s="139"/>
      <c r="D280" s="139">
        <v>155.74600000000001</v>
      </c>
      <c r="E280" s="86">
        <v>3</v>
      </c>
      <c r="F280" s="86">
        <v>46</v>
      </c>
      <c r="G280" s="86">
        <f t="shared" si="8"/>
        <v>31</v>
      </c>
      <c r="H280">
        <v>450</v>
      </c>
      <c r="I280" s="86">
        <v>6390</v>
      </c>
      <c r="J280">
        <v>6434</v>
      </c>
      <c r="K280" s="62">
        <v>84637</v>
      </c>
      <c r="L280" s="71">
        <v>28231</v>
      </c>
      <c r="M280" s="71">
        <v>0</v>
      </c>
      <c r="N280" s="71">
        <v>870.05033225</v>
      </c>
      <c r="O280" s="62">
        <v>875.36791350999999</v>
      </c>
      <c r="P280" s="62">
        <v>1455</v>
      </c>
      <c r="Q280" s="62">
        <v>2582</v>
      </c>
      <c r="R280" s="62">
        <v>1528</v>
      </c>
      <c r="S280">
        <v>601</v>
      </c>
      <c r="T280" s="126">
        <v>264</v>
      </c>
      <c r="U280">
        <v>74</v>
      </c>
      <c r="V280" s="62">
        <f t="shared" si="9"/>
        <v>6504</v>
      </c>
    </row>
    <row r="281" spans="1:22" ht="14">
      <c r="A281" s="1">
        <v>1539</v>
      </c>
      <c r="B281" s="2" t="s">
        <v>102</v>
      </c>
      <c r="C281" s="139"/>
      <c r="D281" s="139">
        <v>58.813000000000002</v>
      </c>
      <c r="E281" s="86">
        <v>3</v>
      </c>
      <c r="F281" s="86">
        <v>36</v>
      </c>
      <c r="G281" s="86">
        <f t="shared" si="8"/>
        <v>34</v>
      </c>
      <c r="H281">
        <v>2135</v>
      </c>
      <c r="I281" s="86">
        <v>7336</v>
      </c>
      <c r="J281">
        <v>7379</v>
      </c>
      <c r="K281" s="62">
        <v>124347</v>
      </c>
      <c r="L281" s="71">
        <v>34381</v>
      </c>
      <c r="M281" s="71">
        <v>0</v>
      </c>
      <c r="N281" s="71">
        <v>1128.2588179500001</v>
      </c>
      <c r="O281" s="62">
        <v>1048.50735308</v>
      </c>
      <c r="P281" s="62">
        <v>1586</v>
      </c>
      <c r="Q281" s="62">
        <v>2843</v>
      </c>
      <c r="R281" s="62">
        <v>1689</v>
      </c>
      <c r="S281">
        <v>758</v>
      </c>
      <c r="T281" s="126">
        <v>408</v>
      </c>
      <c r="U281">
        <v>116</v>
      </c>
      <c r="V281" s="62">
        <f t="shared" si="9"/>
        <v>7400</v>
      </c>
    </row>
    <row r="282" spans="1:22" ht="14">
      <c r="A282" s="1">
        <v>1543</v>
      </c>
      <c r="B282" s="2" t="s">
        <v>103</v>
      </c>
      <c r="C282" s="139"/>
      <c r="D282" s="139">
        <v>129.828</v>
      </c>
      <c r="E282" s="86">
        <v>3</v>
      </c>
      <c r="F282" s="86">
        <v>42</v>
      </c>
      <c r="G282" s="86">
        <f t="shared" si="8"/>
        <v>32</v>
      </c>
      <c r="H282">
        <v>4226</v>
      </c>
      <c r="I282" s="86">
        <v>3181</v>
      </c>
      <c r="J282">
        <v>3061</v>
      </c>
      <c r="K282" s="62">
        <v>65555</v>
      </c>
      <c r="L282" s="71">
        <v>11083</v>
      </c>
      <c r="M282" s="71">
        <v>0</v>
      </c>
      <c r="N282" s="71">
        <v>176.25535762999999</v>
      </c>
      <c r="O282" s="62">
        <v>447.16370690000002</v>
      </c>
      <c r="P282" s="62">
        <v>636</v>
      </c>
      <c r="Q282" s="62">
        <v>1151</v>
      </c>
      <c r="R282" s="62">
        <v>683</v>
      </c>
      <c r="S282">
        <v>327</v>
      </c>
      <c r="T282" s="126">
        <v>159</v>
      </c>
      <c r="U282">
        <v>32</v>
      </c>
      <c r="V282" s="62">
        <f t="shared" si="9"/>
        <v>2988</v>
      </c>
    </row>
    <row r="283" spans="1:22" ht="14">
      <c r="A283" s="1">
        <v>1545</v>
      </c>
      <c r="B283" s="2" t="s">
        <v>104</v>
      </c>
      <c r="C283" s="139"/>
      <c r="D283" s="139">
        <v>-38.575000000000003</v>
      </c>
      <c r="E283" s="86">
        <v>3</v>
      </c>
      <c r="F283" s="86">
        <v>26</v>
      </c>
      <c r="G283" s="86">
        <f t="shared" si="8"/>
        <v>35</v>
      </c>
      <c r="H283">
        <v>3348</v>
      </c>
      <c r="I283" s="86">
        <v>1939</v>
      </c>
      <c r="J283">
        <v>1901</v>
      </c>
      <c r="K283" s="62">
        <v>48042</v>
      </c>
      <c r="L283" s="71">
        <v>10074</v>
      </c>
      <c r="M283" s="71">
        <v>0</v>
      </c>
      <c r="N283" s="71">
        <v>426.60532419999998</v>
      </c>
      <c r="O283" s="62">
        <v>318.46017221</v>
      </c>
      <c r="P283" s="62">
        <v>489</v>
      </c>
      <c r="Q283" s="62">
        <v>721</v>
      </c>
      <c r="R283" s="62">
        <v>408</v>
      </c>
      <c r="S283">
        <v>215</v>
      </c>
      <c r="T283" s="126">
        <v>115</v>
      </c>
      <c r="U283">
        <v>20</v>
      </c>
      <c r="V283" s="62">
        <f t="shared" si="9"/>
        <v>1968</v>
      </c>
    </row>
    <row r="284" spans="1:22" ht="14">
      <c r="A284" s="1">
        <v>1546</v>
      </c>
      <c r="B284" s="2" t="s">
        <v>105</v>
      </c>
      <c r="C284" s="139"/>
      <c r="D284" s="139">
        <v>-100.28100000000001</v>
      </c>
      <c r="E284" s="86">
        <v>3</v>
      </c>
      <c r="F284" s="86">
        <v>34</v>
      </c>
      <c r="G284" s="86">
        <f t="shared" si="8"/>
        <v>35</v>
      </c>
      <c r="H284">
        <v>4689</v>
      </c>
      <c r="I284" s="86">
        <v>1274</v>
      </c>
      <c r="J284">
        <v>1281</v>
      </c>
      <c r="K284" s="62">
        <v>37740</v>
      </c>
      <c r="L284" s="71">
        <v>7315</v>
      </c>
      <c r="M284" s="71">
        <v>0</v>
      </c>
      <c r="N284" s="71">
        <v>272.80287836999997</v>
      </c>
      <c r="O284" s="62">
        <v>220.68076923999999</v>
      </c>
      <c r="P284" s="62">
        <v>298</v>
      </c>
      <c r="Q284" s="62">
        <v>491</v>
      </c>
      <c r="R284" s="62">
        <v>300</v>
      </c>
      <c r="S284">
        <v>130</v>
      </c>
      <c r="T284" s="126">
        <v>99</v>
      </c>
      <c r="U284">
        <v>14</v>
      </c>
      <c r="V284" s="62">
        <f t="shared" si="9"/>
        <v>1332</v>
      </c>
    </row>
    <row r="285" spans="1:22" ht="14">
      <c r="A285" s="1">
        <v>1547</v>
      </c>
      <c r="B285" s="2" t="s">
        <v>106</v>
      </c>
      <c r="C285" s="139"/>
      <c r="D285" s="139">
        <v>-37.630000000000003</v>
      </c>
      <c r="E285" s="86">
        <v>3</v>
      </c>
      <c r="F285" s="86">
        <v>52</v>
      </c>
      <c r="G285" s="86">
        <f t="shared" si="8"/>
        <v>30</v>
      </c>
      <c r="H285">
        <v>2887</v>
      </c>
      <c r="I285" s="86">
        <v>3050</v>
      </c>
      <c r="J285">
        <v>3174</v>
      </c>
      <c r="K285" s="62">
        <v>43013</v>
      </c>
      <c r="L285" s="71">
        <v>19623</v>
      </c>
      <c r="M285" s="71">
        <v>0</v>
      </c>
      <c r="N285" s="71">
        <v>895.87118081999995</v>
      </c>
      <c r="O285" s="62">
        <v>450.04699169999998</v>
      </c>
      <c r="P285" s="62">
        <v>790</v>
      </c>
      <c r="Q285" s="62">
        <v>1277</v>
      </c>
      <c r="R285" s="62">
        <v>681</v>
      </c>
      <c r="S285">
        <v>323</v>
      </c>
      <c r="T285" s="126">
        <v>147</v>
      </c>
      <c r="U285">
        <v>31</v>
      </c>
      <c r="V285" s="62">
        <f t="shared" si="9"/>
        <v>3249</v>
      </c>
    </row>
    <row r="286" spans="1:22" ht="14">
      <c r="A286" s="1">
        <v>1548</v>
      </c>
      <c r="B286" s="2" t="s">
        <v>107</v>
      </c>
      <c r="C286" s="139"/>
      <c r="D286" s="139">
        <v>49.398000000000003</v>
      </c>
      <c r="E286" s="86">
        <v>2</v>
      </c>
      <c r="F286" s="86">
        <v>54</v>
      </c>
      <c r="G286" s="86">
        <f t="shared" si="8"/>
        <v>0</v>
      </c>
      <c r="H286">
        <v>1900</v>
      </c>
      <c r="I286" s="86">
        <v>9023</v>
      </c>
      <c r="J286">
        <v>9189</v>
      </c>
      <c r="K286" s="62">
        <v>121111</v>
      </c>
      <c r="L286" s="71">
        <v>54989</v>
      </c>
      <c r="M286" s="71">
        <v>0</v>
      </c>
      <c r="N286" s="71">
        <v>1438.10900079</v>
      </c>
      <c r="O286" s="62">
        <v>1269.6244486600001</v>
      </c>
      <c r="P286" s="62">
        <v>2227</v>
      </c>
      <c r="Q286" s="62">
        <v>3831</v>
      </c>
      <c r="R286" s="62">
        <v>2065</v>
      </c>
      <c r="S286">
        <v>799</v>
      </c>
      <c r="T286" s="126">
        <v>329</v>
      </c>
      <c r="U286">
        <v>73</v>
      </c>
      <c r="V286" s="62">
        <f t="shared" si="9"/>
        <v>9324</v>
      </c>
    </row>
    <row r="287" spans="1:22" ht="14">
      <c r="A287" s="1">
        <v>1551</v>
      </c>
      <c r="B287" s="2" t="s">
        <v>108</v>
      </c>
      <c r="C287" s="139"/>
      <c r="D287" s="139">
        <v>-9.7899999999999991</v>
      </c>
      <c r="E287" s="86">
        <v>3</v>
      </c>
      <c r="F287" s="86">
        <v>55</v>
      </c>
      <c r="G287" s="86">
        <f t="shared" si="8"/>
        <v>30</v>
      </c>
      <c r="H287">
        <v>3917</v>
      </c>
      <c r="I287" s="86">
        <v>3304</v>
      </c>
      <c r="J287">
        <v>3362</v>
      </c>
      <c r="K287" s="62">
        <v>56772</v>
      </c>
      <c r="L287" s="71">
        <v>18875</v>
      </c>
      <c r="M287" s="71">
        <v>0</v>
      </c>
      <c r="N287" s="71">
        <v>588.26628916000004</v>
      </c>
      <c r="O287" s="62">
        <v>503.91785480999999</v>
      </c>
      <c r="P287" s="62">
        <v>892</v>
      </c>
      <c r="Q287" s="62">
        <v>1376</v>
      </c>
      <c r="R287" s="62">
        <v>722</v>
      </c>
      <c r="S287">
        <v>280</v>
      </c>
      <c r="T287" s="126">
        <v>141</v>
      </c>
      <c r="U287">
        <v>27</v>
      </c>
      <c r="V287" s="62">
        <f t="shared" si="9"/>
        <v>3438</v>
      </c>
    </row>
    <row r="288" spans="1:22" ht="14">
      <c r="A288" s="1">
        <v>1554</v>
      </c>
      <c r="B288" s="2" t="s">
        <v>109</v>
      </c>
      <c r="C288" s="139"/>
      <c r="D288" s="139">
        <v>37.459000000000003</v>
      </c>
      <c r="E288" s="86">
        <v>3</v>
      </c>
      <c r="F288" s="86">
        <v>45</v>
      </c>
      <c r="G288" s="86">
        <f t="shared" si="8"/>
        <v>31</v>
      </c>
      <c r="H288">
        <v>920</v>
      </c>
      <c r="I288" s="86">
        <v>5448</v>
      </c>
      <c r="J288">
        <v>5402</v>
      </c>
      <c r="K288" s="62">
        <v>74694</v>
      </c>
      <c r="L288" s="71">
        <v>26745</v>
      </c>
      <c r="M288" s="71">
        <v>0</v>
      </c>
      <c r="N288" s="71">
        <v>474.87908456999997</v>
      </c>
      <c r="O288" s="62">
        <v>754.48054166999998</v>
      </c>
      <c r="P288" s="62">
        <v>1259</v>
      </c>
      <c r="Q288" s="62">
        <v>2104</v>
      </c>
      <c r="R288" s="62">
        <v>1329</v>
      </c>
      <c r="S288">
        <v>521</v>
      </c>
      <c r="T288" s="126">
        <v>249</v>
      </c>
      <c r="U288">
        <v>58</v>
      </c>
      <c r="V288" s="62">
        <f t="shared" si="9"/>
        <v>5520</v>
      </c>
    </row>
    <row r="289" spans="1:22" ht="14">
      <c r="A289" s="1">
        <v>1557</v>
      </c>
      <c r="B289" s="2" t="s">
        <v>110</v>
      </c>
      <c r="C289" s="139"/>
      <c r="D289" s="139">
        <v>42.771999999999998</v>
      </c>
      <c r="E289" s="109">
        <v>3</v>
      </c>
      <c r="F289" s="109">
        <v>44</v>
      </c>
      <c r="G289" s="86">
        <f t="shared" si="8"/>
        <v>32</v>
      </c>
      <c r="H289">
        <v>3614</v>
      </c>
      <c r="I289" s="86">
        <v>2700</v>
      </c>
      <c r="J289">
        <v>2636</v>
      </c>
      <c r="K289" s="62">
        <v>56843</v>
      </c>
      <c r="L289" s="71">
        <v>16774</v>
      </c>
      <c r="M289" s="71">
        <v>0</v>
      </c>
      <c r="N289" s="71">
        <v>331.18044904999999</v>
      </c>
      <c r="O289" s="62">
        <v>408.45918254999998</v>
      </c>
      <c r="P289" s="62">
        <v>584</v>
      </c>
      <c r="Q289" s="62">
        <v>954</v>
      </c>
      <c r="R289" s="62">
        <v>648</v>
      </c>
      <c r="S289">
        <v>238</v>
      </c>
      <c r="T289" s="126">
        <v>130</v>
      </c>
      <c r="U289">
        <v>28</v>
      </c>
      <c r="V289" s="62">
        <f t="shared" si="9"/>
        <v>2582</v>
      </c>
    </row>
    <row r="290" spans="1:22" ht="14">
      <c r="A290" s="1">
        <v>1560</v>
      </c>
      <c r="B290" s="2" t="s">
        <v>111</v>
      </c>
      <c r="C290" s="139"/>
      <c r="D290" s="139">
        <v>124.71299999999999</v>
      </c>
      <c r="E290" s="109">
        <v>3</v>
      </c>
      <c r="F290" s="109">
        <v>20</v>
      </c>
      <c r="G290" s="86">
        <f t="shared" si="8"/>
        <v>35</v>
      </c>
      <c r="H290">
        <v>900</v>
      </c>
      <c r="I290" s="86">
        <v>3105</v>
      </c>
      <c r="J290">
        <v>3082</v>
      </c>
      <c r="K290" s="62">
        <v>71505</v>
      </c>
      <c r="L290" s="71">
        <v>11782</v>
      </c>
      <c r="M290" s="71">
        <v>0</v>
      </c>
      <c r="N290" s="71">
        <v>1044.0603987</v>
      </c>
      <c r="O290" s="62">
        <v>488.18949178999998</v>
      </c>
      <c r="P290" s="62">
        <v>631</v>
      </c>
      <c r="Q290" s="62">
        <v>1149</v>
      </c>
      <c r="R290" s="62">
        <v>700</v>
      </c>
      <c r="S290">
        <v>367</v>
      </c>
      <c r="T290" s="126">
        <v>166</v>
      </c>
      <c r="U290">
        <v>52</v>
      </c>
      <c r="V290" s="62">
        <f t="shared" si="9"/>
        <v>3065</v>
      </c>
    </row>
    <row r="291" spans="1:22" ht="14">
      <c r="A291" s="1">
        <v>1563</v>
      </c>
      <c r="B291" s="2" t="s">
        <v>112</v>
      </c>
      <c r="C291" s="139"/>
      <c r="D291" s="139">
        <v>29.298999999999999</v>
      </c>
      <c r="E291" s="109">
        <v>3</v>
      </c>
      <c r="F291" s="109">
        <v>36</v>
      </c>
      <c r="G291" s="86">
        <f t="shared" si="8"/>
        <v>34</v>
      </c>
      <c r="H291">
        <v>4875</v>
      </c>
      <c r="I291" s="86">
        <v>7370</v>
      </c>
      <c r="J291">
        <v>7357</v>
      </c>
      <c r="K291" s="62">
        <v>107079</v>
      </c>
      <c r="L291" s="71">
        <v>33239</v>
      </c>
      <c r="M291" s="71">
        <v>0</v>
      </c>
      <c r="N291" s="71">
        <v>1798.47823518</v>
      </c>
      <c r="O291" s="62">
        <v>994.06113012000003</v>
      </c>
      <c r="P291" s="62">
        <v>1530</v>
      </c>
      <c r="Q291" s="62">
        <v>2851</v>
      </c>
      <c r="R291" s="62">
        <v>1685</v>
      </c>
      <c r="S291">
        <v>739</v>
      </c>
      <c r="T291" s="126">
        <v>393</v>
      </c>
      <c r="U291">
        <v>69</v>
      </c>
      <c r="V291" s="62">
        <f t="shared" si="9"/>
        <v>7267</v>
      </c>
    </row>
    <row r="292" spans="1:22" ht="14">
      <c r="A292" s="1">
        <v>1566</v>
      </c>
      <c r="B292" s="2" t="s">
        <v>113</v>
      </c>
      <c r="C292" s="139"/>
      <c r="D292" s="139">
        <v>-75.186000000000007</v>
      </c>
      <c r="E292" s="109">
        <v>4</v>
      </c>
      <c r="F292" s="109">
        <v>30</v>
      </c>
      <c r="G292" s="86">
        <f t="shared" si="8"/>
        <v>4</v>
      </c>
      <c r="H292">
        <v>2165</v>
      </c>
      <c r="I292" s="86">
        <v>6160</v>
      </c>
      <c r="J292">
        <v>6039</v>
      </c>
      <c r="K292" s="62">
        <v>107503</v>
      </c>
      <c r="L292" s="71">
        <v>23906</v>
      </c>
      <c r="M292" s="71">
        <v>0</v>
      </c>
      <c r="N292" s="71">
        <v>427.72796978999997</v>
      </c>
      <c r="O292" s="62">
        <v>846.52591808</v>
      </c>
      <c r="P292" s="62">
        <v>1329</v>
      </c>
      <c r="Q292" s="62">
        <v>2240</v>
      </c>
      <c r="R292" s="62">
        <v>1372</v>
      </c>
      <c r="S292">
        <v>653</v>
      </c>
      <c r="T292" s="126">
        <v>289</v>
      </c>
      <c r="U292">
        <v>66</v>
      </c>
      <c r="V292" s="62">
        <f t="shared" si="9"/>
        <v>5949</v>
      </c>
    </row>
    <row r="293" spans="1:22" ht="14">
      <c r="A293" s="1">
        <v>1571</v>
      </c>
      <c r="B293" s="2" t="s">
        <v>115</v>
      </c>
      <c r="C293" s="139"/>
      <c r="D293" s="139">
        <v>8.57</v>
      </c>
      <c r="E293" s="109">
        <v>4</v>
      </c>
      <c r="F293" s="109">
        <v>11</v>
      </c>
      <c r="G293" s="86">
        <f t="shared" si="8"/>
        <v>4</v>
      </c>
      <c r="H293">
        <v>750</v>
      </c>
      <c r="I293" s="86">
        <v>1697</v>
      </c>
      <c r="J293">
        <v>1671</v>
      </c>
      <c r="K293" s="62">
        <v>43913</v>
      </c>
      <c r="L293" s="71">
        <v>6430</v>
      </c>
      <c r="M293" s="71">
        <v>0</v>
      </c>
      <c r="N293" s="71">
        <v>272.80287836999997</v>
      </c>
      <c r="O293" s="62">
        <v>269.62860855000002</v>
      </c>
      <c r="P293" s="62">
        <v>320</v>
      </c>
      <c r="Q293" s="62">
        <v>564</v>
      </c>
      <c r="R293" s="62">
        <v>440</v>
      </c>
      <c r="S293">
        <v>212</v>
      </c>
      <c r="T293" s="126">
        <v>101</v>
      </c>
      <c r="U293">
        <v>24</v>
      </c>
      <c r="V293" s="62">
        <f t="shared" si="9"/>
        <v>1661</v>
      </c>
    </row>
    <row r="294" spans="1:22" ht="14">
      <c r="A294" s="1">
        <v>1573</v>
      </c>
      <c r="B294" s="2" t="s">
        <v>116</v>
      </c>
      <c r="C294" s="139"/>
      <c r="D294" s="139">
        <v>89.614999999999995</v>
      </c>
      <c r="E294" s="109">
        <v>4</v>
      </c>
      <c r="F294" s="109">
        <v>10</v>
      </c>
      <c r="G294" s="86">
        <f t="shared" si="8"/>
        <v>4</v>
      </c>
      <c r="H294">
        <v>2250</v>
      </c>
      <c r="I294" s="86">
        <v>2195</v>
      </c>
      <c r="J294">
        <v>2137</v>
      </c>
      <c r="K294" s="62">
        <v>51579</v>
      </c>
      <c r="L294" s="71">
        <v>7676</v>
      </c>
      <c r="M294" s="71">
        <v>0</v>
      </c>
      <c r="N294" s="71">
        <v>380.57685500999997</v>
      </c>
      <c r="O294" s="62">
        <v>331.07923825</v>
      </c>
      <c r="P294" s="62">
        <v>419</v>
      </c>
      <c r="Q294" s="62">
        <v>750</v>
      </c>
      <c r="R294" s="62">
        <v>539</v>
      </c>
      <c r="S294">
        <v>268</v>
      </c>
      <c r="T294" s="126">
        <v>131</v>
      </c>
      <c r="U294">
        <v>30</v>
      </c>
      <c r="V294" s="62">
        <f t="shared" si="9"/>
        <v>2137</v>
      </c>
    </row>
    <row r="295" spans="1:22" ht="14">
      <c r="A295" s="1">
        <v>1576</v>
      </c>
      <c r="B295" s="4" t="s">
        <v>710</v>
      </c>
      <c r="C295" s="139"/>
      <c r="D295" s="139">
        <v>76.474999999999994</v>
      </c>
      <c r="E295" s="109">
        <v>4</v>
      </c>
      <c r="F295" s="109">
        <v>24</v>
      </c>
      <c r="G295" s="86">
        <f t="shared" si="8"/>
        <v>4</v>
      </c>
      <c r="H295">
        <v>1700</v>
      </c>
      <c r="I295" s="86">
        <v>3626</v>
      </c>
      <c r="J295">
        <v>3530</v>
      </c>
      <c r="K295" s="62">
        <v>92595</v>
      </c>
      <c r="L295" s="71">
        <v>9466</v>
      </c>
      <c r="M295" s="71">
        <v>0</v>
      </c>
      <c r="N295" s="71">
        <v>129.10424284999999</v>
      </c>
      <c r="O295" s="62">
        <v>535.10414619999995</v>
      </c>
      <c r="P295" s="62">
        <v>716</v>
      </c>
      <c r="Q295" s="62">
        <v>1305</v>
      </c>
      <c r="R295" s="62">
        <v>872</v>
      </c>
      <c r="S295">
        <v>388</v>
      </c>
      <c r="T295" s="126">
        <v>198</v>
      </c>
      <c r="U295">
        <v>44</v>
      </c>
      <c r="V295" s="62">
        <f t="shared" si="9"/>
        <v>3523</v>
      </c>
    </row>
    <row r="296" spans="1:22" ht="14">
      <c r="A296" s="1">
        <v>1624</v>
      </c>
      <c r="B296" s="2" t="s">
        <v>125</v>
      </c>
      <c r="C296" s="139"/>
      <c r="D296" s="139">
        <v>21.908999999999999</v>
      </c>
      <c r="E296" s="109">
        <v>3</v>
      </c>
      <c r="F296" s="109">
        <v>39</v>
      </c>
      <c r="G296" s="86">
        <f t="shared" si="8"/>
        <v>33</v>
      </c>
      <c r="H296">
        <v>7737</v>
      </c>
      <c r="I296" s="86">
        <v>6433</v>
      </c>
      <c r="J296">
        <v>6366</v>
      </c>
      <c r="K296" s="62">
        <v>115401</v>
      </c>
      <c r="L296" s="71">
        <v>23937</v>
      </c>
      <c r="M296" s="71">
        <v>563</v>
      </c>
      <c r="N296" s="71">
        <v>849.84271163000005</v>
      </c>
      <c r="O296" s="62">
        <v>929.98181975</v>
      </c>
      <c r="P296" s="62">
        <v>1542</v>
      </c>
      <c r="Q296" s="62">
        <v>2574</v>
      </c>
      <c r="R296" s="62">
        <v>1389</v>
      </c>
      <c r="S296">
        <v>645</v>
      </c>
      <c r="T296" s="126">
        <v>306</v>
      </c>
      <c r="U296">
        <v>87</v>
      </c>
      <c r="V296" s="62">
        <f t="shared" si="9"/>
        <v>6543</v>
      </c>
    </row>
    <row r="297" spans="1:22" ht="14">
      <c r="A297" s="1">
        <v>1718</v>
      </c>
      <c r="B297" s="2" t="s">
        <v>149</v>
      </c>
      <c r="C297" s="139"/>
      <c r="D297" s="139">
        <v>-6.476</v>
      </c>
      <c r="E297" s="109">
        <v>3</v>
      </c>
      <c r="F297" s="109">
        <v>33</v>
      </c>
      <c r="G297" s="86">
        <f t="shared" ref="G297:G298" si="10">IF(E297=3,IF(F297&lt;36,35,IF(F297&lt;39,34,IF(F297&lt;42,33,IF(F297&lt;45,32,IF(F297&lt;47,31,30))))),IF(E297=4,4,0))</f>
        <v>35</v>
      </c>
      <c r="H297">
        <v>4400</v>
      </c>
      <c r="I297" s="86">
        <v>3508</v>
      </c>
      <c r="J297">
        <v>3484</v>
      </c>
      <c r="K297" s="62">
        <v>76425</v>
      </c>
      <c r="L297" s="71">
        <v>18447</v>
      </c>
      <c r="M297" s="71">
        <v>0</v>
      </c>
      <c r="N297" s="71">
        <v>241.36880185000001</v>
      </c>
      <c r="O297" s="62">
        <v>550.82423010000002</v>
      </c>
      <c r="P297" s="62">
        <v>815</v>
      </c>
      <c r="Q297" s="62">
        <v>1318</v>
      </c>
      <c r="R297" s="62">
        <v>829</v>
      </c>
      <c r="S297">
        <v>347</v>
      </c>
      <c r="T297" s="126">
        <v>170</v>
      </c>
      <c r="U297">
        <v>43</v>
      </c>
      <c r="V297" s="62">
        <f t="shared" ref="V297:V355" si="11">P297+Q297+R297+S297+T297+U297</f>
        <v>3522</v>
      </c>
    </row>
    <row r="298" spans="1:22" ht="14">
      <c r="A298" s="1">
        <v>1723</v>
      </c>
      <c r="B298" s="2" t="s">
        <v>152</v>
      </c>
      <c r="C298" s="139"/>
      <c r="D298" s="139">
        <v>-54.79</v>
      </c>
      <c r="E298" s="109">
        <v>4</v>
      </c>
      <c r="F298" s="109">
        <v>23</v>
      </c>
      <c r="G298" s="86">
        <f t="shared" si="10"/>
        <v>4</v>
      </c>
      <c r="H298">
        <v>200</v>
      </c>
      <c r="I298" s="86">
        <v>888</v>
      </c>
      <c r="J298">
        <v>864</v>
      </c>
      <c r="K298" s="62">
        <v>29161</v>
      </c>
      <c r="L298" s="71">
        <v>3853</v>
      </c>
      <c r="M298" s="71">
        <v>0</v>
      </c>
      <c r="N298" s="71">
        <v>0</v>
      </c>
      <c r="O298" s="62">
        <v>145.60732378</v>
      </c>
      <c r="P298" s="62">
        <v>174</v>
      </c>
      <c r="Q298" s="62">
        <v>305</v>
      </c>
      <c r="R298" s="62">
        <v>187</v>
      </c>
      <c r="S298">
        <v>87</v>
      </c>
      <c r="T298" s="126">
        <v>50</v>
      </c>
      <c r="U298">
        <v>8</v>
      </c>
      <c r="V298" s="62">
        <f t="shared" si="11"/>
        <v>811</v>
      </c>
    </row>
    <row r="299" spans="1:22" ht="14">
      <c r="A299" s="1">
        <v>1729</v>
      </c>
      <c r="B299" s="2" t="s">
        <v>155</v>
      </c>
      <c r="C299" s="139"/>
      <c r="D299" s="139">
        <v>97.79</v>
      </c>
      <c r="E299" s="109">
        <v>3</v>
      </c>
      <c r="F299" s="109">
        <v>51</v>
      </c>
      <c r="G299" s="86">
        <f>IF(E299=3,IF(F299&lt;36,35,IF(F299&lt;39,34,IF(F299&lt;42,33,IF(F299&lt;45,32,IF(F299&lt;47,31,30))))),IF(E299=4,4,0))</f>
        <v>30</v>
      </c>
      <c r="H299">
        <v>1200</v>
      </c>
      <c r="I299" s="86">
        <v>5908</v>
      </c>
      <c r="J299">
        <v>5836</v>
      </c>
      <c r="K299" s="62">
        <v>86730</v>
      </c>
      <c r="L299" s="71">
        <v>30600</v>
      </c>
      <c r="M299" s="71">
        <v>0</v>
      </c>
      <c r="N299" s="71">
        <v>1093.45680466</v>
      </c>
      <c r="O299" s="62">
        <v>827.57749575000003</v>
      </c>
      <c r="P299" s="62">
        <v>1449</v>
      </c>
      <c r="Q299" s="62">
        <v>2278</v>
      </c>
      <c r="R299" s="62">
        <v>1367</v>
      </c>
      <c r="S299">
        <v>542</v>
      </c>
      <c r="T299" s="126">
        <v>223</v>
      </c>
      <c r="U299">
        <v>47</v>
      </c>
      <c r="V299" s="62">
        <f t="shared" si="11"/>
        <v>5906</v>
      </c>
    </row>
    <row r="300" spans="1:22" ht="14">
      <c r="A300" s="1">
        <v>1736</v>
      </c>
      <c r="B300" s="2" t="s">
        <v>156</v>
      </c>
      <c r="C300" s="139"/>
      <c r="D300" s="139">
        <v>-99.087000000000003</v>
      </c>
      <c r="E300" s="109">
        <v>4</v>
      </c>
      <c r="F300" s="109">
        <v>19</v>
      </c>
      <c r="G300" s="86">
        <v>41</v>
      </c>
      <c r="H300">
        <v>500</v>
      </c>
      <c r="I300" s="86">
        <v>2260</v>
      </c>
      <c r="J300">
        <v>2176</v>
      </c>
      <c r="K300" s="62">
        <v>56461</v>
      </c>
      <c r="L300" s="71">
        <v>9961</v>
      </c>
      <c r="M300" s="71">
        <v>0</v>
      </c>
      <c r="N300" s="71">
        <v>143.69863552000001</v>
      </c>
      <c r="O300" s="62">
        <v>347.90937312</v>
      </c>
      <c r="P300" s="62">
        <v>463</v>
      </c>
      <c r="Q300" s="62">
        <v>809</v>
      </c>
      <c r="R300" s="62">
        <v>475</v>
      </c>
      <c r="S300">
        <v>267</v>
      </c>
      <c r="T300" s="126">
        <v>119</v>
      </c>
      <c r="U300">
        <v>39</v>
      </c>
      <c r="V300" s="62">
        <f t="shared" si="11"/>
        <v>2172</v>
      </c>
    </row>
    <row r="301" spans="1:22" ht="14">
      <c r="A301" s="1">
        <v>1738</v>
      </c>
      <c r="B301" s="2" t="s">
        <v>157</v>
      </c>
      <c r="C301" s="139"/>
      <c r="D301" s="139">
        <v>-59.384</v>
      </c>
      <c r="E301" s="109">
        <v>4</v>
      </c>
      <c r="F301" s="109">
        <v>19</v>
      </c>
      <c r="G301" s="86">
        <v>41</v>
      </c>
      <c r="H301">
        <v>3400</v>
      </c>
      <c r="I301" s="86">
        <v>1509</v>
      </c>
      <c r="J301">
        <v>1480</v>
      </c>
      <c r="K301" s="62">
        <v>49749</v>
      </c>
      <c r="L301" s="71">
        <v>4627</v>
      </c>
      <c r="M301" s="71">
        <v>0</v>
      </c>
      <c r="N301" s="71">
        <v>0</v>
      </c>
      <c r="O301" s="62">
        <v>256.24844209999998</v>
      </c>
      <c r="P301" s="62">
        <v>290</v>
      </c>
      <c r="Q301" s="62">
        <v>495</v>
      </c>
      <c r="R301" s="62">
        <v>356</v>
      </c>
      <c r="S301">
        <v>167</v>
      </c>
      <c r="T301" s="126">
        <v>85</v>
      </c>
      <c r="U301">
        <v>13</v>
      </c>
      <c r="V301" s="62">
        <f t="shared" si="11"/>
        <v>1406</v>
      </c>
    </row>
    <row r="302" spans="1:22" ht="14">
      <c r="A302" s="1">
        <v>1739</v>
      </c>
      <c r="B302" s="2" t="s">
        <v>164</v>
      </c>
      <c r="C302" s="139"/>
      <c r="D302" s="139">
        <v>-10.676</v>
      </c>
      <c r="E302" s="109">
        <v>4</v>
      </c>
      <c r="F302" s="109">
        <v>12</v>
      </c>
      <c r="G302" s="86">
        <v>41</v>
      </c>
      <c r="H302">
        <v>3700</v>
      </c>
      <c r="I302" s="86">
        <v>542</v>
      </c>
      <c r="J302">
        <v>499</v>
      </c>
      <c r="K302" s="62">
        <v>22292</v>
      </c>
      <c r="L302" s="71">
        <v>2627</v>
      </c>
      <c r="M302" s="71">
        <v>0</v>
      </c>
      <c r="N302" s="71">
        <v>0</v>
      </c>
      <c r="O302" s="62">
        <v>100.71191195999999</v>
      </c>
      <c r="P302" s="62">
        <v>99</v>
      </c>
      <c r="Q302" s="62">
        <v>185</v>
      </c>
      <c r="R302" s="62">
        <v>119</v>
      </c>
      <c r="S302">
        <v>64</v>
      </c>
      <c r="T302" s="126">
        <v>29</v>
      </c>
      <c r="U302">
        <v>3</v>
      </c>
      <c r="V302" s="62">
        <f t="shared" si="11"/>
        <v>499</v>
      </c>
    </row>
    <row r="303" spans="1:22" ht="14">
      <c r="A303" s="1">
        <v>1740</v>
      </c>
      <c r="B303" s="2" t="s">
        <v>165</v>
      </c>
      <c r="C303" s="139"/>
      <c r="D303" s="139">
        <v>-210.01499999999999</v>
      </c>
      <c r="E303" s="109">
        <v>4</v>
      </c>
      <c r="F303" s="109">
        <v>7</v>
      </c>
      <c r="G303" s="86">
        <v>41</v>
      </c>
      <c r="H303">
        <v>200</v>
      </c>
      <c r="I303" s="86">
        <v>941</v>
      </c>
      <c r="J303">
        <v>916</v>
      </c>
      <c r="K303" s="62">
        <v>34981</v>
      </c>
      <c r="L303" s="71">
        <v>3881</v>
      </c>
      <c r="M303" s="71">
        <v>0</v>
      </c>
      <c r="N303" s="71">
        <v>0</v>
      </c>
      <c r="O303" s="62">
        <v>175.89626362000001</v>
      </c>
      <c r="P303" s="62">
        <v>198</v>
      </c>
      <c r="Q303" s="62">
        <v>312</v>
      </c>
      <c r="R303" s="62">
        <v>220</v>
      </c>
      <c r="S303">
        <v>134</v>
      </c>
      <c r="T303" s="126">
        <v>54</v>
      </c>
      <c r="U303">
        <v>10</v>
      </c>
      <c r="V303" s="62">
        <f t="shared" si="11"/>
        <v>928</v>
      </c>
    </row>
    <row r="304" spans="1:22" ht="14">
      <c r="A304" s="1">
        <v>1742</v>
      </c>
      <c r="B304" s="2" t="s">
        <v>166</v>
      </c>
      <c r="C304" s="139"/>
      <c r="D304" s="139">
        <v>83.382999999999996</v>
      </c>
      <c r="E304" s="109">
        <v>4</v>
      </c>
      <c r="F304" s="109">
        <v>25</v>
      </c>
      <c r="G304" s="86">
        <v>41</v>
      </c>
      <c r="H304">
        <v>500</v>
      </c>
      <c r="I304" s="86">
        <v>2481</v>
      </c>
      <c r="J304">
        <v>2377</v>
      </c>
      <c r="K304" s="62">
        <v>61631</v>
      </c>
      <c r="L304" s="71">
        <v>11054</v>
      </c>
      <c r="M304" s="71">
        <v>0</v>
      </c>
      <c r="N304" s="71">
        <v>170.64212968000001</v>
      </c>
      <c r="O304" s="62">
        <v>368.14816497999999</v>
      </c>
      <c r="P304" s="62">
        <v>527</v>
      </c>
      <c r="Q304" s="62">
        <v>854</v>
      </c>
      <c r="R304" s="62">
        <v>543</v>
      </c>
      <c r="S304">
        <v>262</v>
      </c>
      <c r="T304" s="126">
        <v>146</v>
      </c>
      <c r="U304">
        <v>25</v>
      </c>
      <c r="V304" s="62">
        <f t="shared" si="11"/>
        <v>2357</v>
      </c>
    </row>
    <row r="305" spans="1:22" ht="14">
      <c r="A305" s="1">
        <v>1743</v>
      </c>
      <c r="B305" s="2" t="s">
        <v>167</v>
      </c>
      <c r="C305" s="139"/>
      <c r="D305" s="139">
        <v>-168.31100000000001</v>
      </c>
      <c r="E305" s="109">
        <v>4</v>
      </c>
      <c r="F305" s="109">
        <v>20</v>
      </c>
      <c r="G305" s="86">
        <v>41</v>
      </c>
      <c r="H305">
        <v>200</v>
      </c>
      <c r="I305" s="86">
        <v>1247</v>
      </c>
      <c r="J305">
        <v>1273</v>
      </c>
      <c r="K305" s="62">
        <v>43423</v>
      </c>
      <c r="L305" s="71">
        <v>7685</v>
      </c>
      <c r="M305" s="71">
        <v>0</v>
      </c>
      <c r="N305" s="71">
        <v>0</v>
      </c>
      <c r="O305" s="62">
        <v>236.03586899000001</v>
      </c>
      <c r="P305" s="62">
        <v>305</v>
      </c>
      <c r="Q305" s="62">
        <v>444</v>
      </c>
      <c r="R305" s="62">
        <v>294</v>
      </c>
      <c r="S305">
        <v>151</v>
      </c>
      <c r="T305" s="126">
        <v>60</v>
      </c>
      <c r="U305">
        <v>16</v>
      </c>
      <c r="V305" s="62">
        <f t="shared" si="11"/>
        <v>1270</v>
      </c>
    </row>
    <row r="306" spans="1:22" ht="14">
      <c r="A306" s="1">
        <v>1744</v>
      </c>
      <c r="B306" s="2" t="s">
        <v>168</v>
      </c>
      <c r="C306" s="139"/>
      <c r="D306" s="139">
        <v>-17.541</v>
      </c>
      <c r="E306" s="109">
        <v>4</v>
      </c>
      <c r="F306" s="109">
        <v>42</v>
      </c>
      <c r="G306" s="86">
        <v>41</v>
      </c>
      <c r="H306">
        <v>200</v>
      </c>
      <c r="I306" s="86">
        <v>3476</v>
      </c>
      <c r="J306">
        <v>3507</v>
      </c>
      <c r="K306" s="62">
        <v>59703</v>
      </c>
      <c r="L306" s="71">
        <v>17388</v>
      </c>
      <c r="M306" s="71">
        <v>0</v>
      </c>
      <c r="N306" s="71">
        <v>0</v>
      </c>
      <c r="O306" s="62">
        <v>522.17030584999998</v>
      </c>
      <c r="P306" s="62">
        <v>870</v>
      </c>
      <c r="Q306" s="62">
        <v>1416</v>
      </c>
      <c r="R306" s="62">
        <v>814</v>
      </c>
      <c r="S306">
        <v>345</v>
      </c>
      <c r="T306" s="126">
        <v>161</v>
      </c>
      <c r="U306">
        <v>30</v>
      </c>
      <c r="V306" s="62">
        <f t="shared" si="11"/>
        <v>3636</v>
      </c>
    </row>
    <row r="307" spans="1:22" ht="14">
      <c r="A307" s="1">
        <v>1748</v>
      </c>
      <c r="B307" s="2" t="s">
        <v>169</v>
      </c>
      <c r="C307" s="139"/>
      <c r="D307" s="139">
        <v>343.97500000000002</v>
      </c>
      <c r="E307" s="109">
        <v>4</v>
      </c>
      <c r="F307" s="109">
        <v>12</v>
      </c>
      <c r="G307" s="86">
        <v>41</v>
      </c>
      <c r="H307">
        <v>1900</v>
      </c>
      <c r="I307" s="86">
        <v>717</v>
      </c>
      <c r="J307">
        <v>687</v>
      </c>
      <c r="K307" s="62">
        <v>28199</v>
      </c>
      <c r="L307" s="71">
        <v>2037</v>
      </c>
      <c r="M307" s="71">
        <v>0</v>
      </c>
      <c r="N307" s="71">
        <v>125.73630608000001</v>
      </c>
      <c r="O307" s="62">
        <v>124.17847311</v>
      </c>
      <c r="P307" s="62">
        <v>126</v>
      </c>
      <c r="Q307" s="62">
        <v>225</v>
      </c>
      <c r="R307" s="62">
        <v>163</v>
      </c>
      <c r="S307">
        <v>90</v>
      </c>
      <c r="T307" s="126">
        <v>41</v>
      </c>
      <c r="U307">
        <v>8</v>
      </c>
      <c r="V307" s="62">
        <f t="shared" si="11"/>
        <v>653</v>
      </c>
    </row>
    <row r="308" spans="1:22" ht="14">
      <c r="A308" s="1">
        <v>1749</v>
      </c>
      <c r="B308" s="2" t="s">
        <v>170</v>
      </c>
      <c r="C308" s="139"/>
      <c r="D308" s="139">
        <v>-165.09299999999999</v>
      </c>
      <c r="E308" s="109">
        <v>4</v>
      </c>
      <c r="F308" s="109">
        <v>8</v>
      </c>
      <c r="G308" s="86">
        <v>41</v>
      </c>
      <c r="H308">
        <v>3800</v>
      </c>
      <c r="I308" s="86">
        <v>1205</v>
      </c>
      <c r="J308">
        <v>1138</v>
      </c>
      <c r="K308" s="62">
        <v>39051</v>
      </c>
      <c r="L308" s="71">
        <v>3837</v>
      </c>
      <c r="M308" s="71">
        <v>0</v>
      </c>
      <c r="N308" s="71">
        <v>270.55758718999999</v>
      </c>
      <c r="O308" s="62">
        <v>197.98822304999999</v>
      </c>
      <c r="P308" s="62">
        <v>234</v>
      </c>
      <c r="Q308" s="62">
        <v>384</v>
      </c>
      <c r="R308" s="62">
        <v>276</v>
      </c>
      <c r="S308">
        <v>141</v>
      </c>
      <c r="T308" s="126">
        <v>62</v>
      </c>
      <c r="U308">
        <v>12</v>
      </c>
      <c r="V308" s="62">
        <f t="shared" si="11"/>
        <v>1109</v>
      </c>
    </row>
    <row r="309" spans="1:22" ht="14">
      <c r="A309" s="1">
        <v>1750</v>
      </c>
      <c r="B309" s="2" t="s">
        <v>171</v>
      </c>
      <c r="C309" s="139"/>
      <c r="D309" s="139">
        <v>2.74</v>
      </c>
      <c r="E309" s="109">
        <v>4</v>
      </c>
      <c r="F309" s="109">
        <v>51</v>
      </c>
      <c r="G309" s="86">
        <v>41</v>
      </c>
      <c r="H309">
        <v>3500</v>
      </c>
      <c r="I309" s="86">
        <v>4013</v>
      </c>
      <c r="J309">
        <v>4034</v>
      </c>
      <c r="K309" s="62">
        <v>69624</v>
      </c>
      <c r="L309" s="71">
        <v>26128</v>
      </c>
      <c r="M309" s="71">
        <v>155</v>
      </c>
      <c r="N309" s="71">
        <v>399.66183003999998</v>
      </c>
      <c r="O309" s="62">
        <v>609.17120838999995</v>
      </c>
      <c r="P309" s="62">
        <v>1003</v>
      </c>
      <c r="Q309" s="62">
        <v>1715</v>
      </c>
      <c r="R309" s="62">
        <v>833</v>
      </c>
      <c r="S309">
        <v>413</v>
      </c>
      <c r="T309" s="126">
        <v>144</v>
      </c>
      <c r="U309">
        <v>27</v>
      </c>
      <c r="V309" s="62">
        <f t="shared" si="11"/>
        <v>4135</v>
      </c>
    </row>
    <row r="310" spans="1:22" ht="14">
      <c r="A310" s="1">
        <v>1751</v>
      </c>
      <c r="B310" s="2" t="s">
        <v>172</v>
      </c>
      <c r="C310" s="139"/>
      <c r="D310" s="139">
        <v>67.495999999999995</v>
      </c>
      <c r="E310" s="109">
        <v>4</v>
      </c>
      <c r="F310" s="109">
        <v>24</v>
      </c>
      <c r="G310" s="86">
        <v>41</v>
      </c>
      <c r="H310">
        <v>2600</v>
      </c>
      <c r="I310" s="86">
        <v>5233</v>
      </c>
      <c r="J310">
        <v>5015</v>
      </c>
      <c r="K310" s="62">
        <v>99464</v>
      </c>
      <c r="L310" s="71">
        <v>18908</v>
      </c>
      <c r="M310" s="71">
        <v>0</v>
      </c>
      <c r="N310" s="71">
        <v>607.35126419000005</v>
      </c>
      <c r="O310" s="62">
        <v>753.06943928999999</v>
      </c>
      <c r="P310" s="62">
        <v>1123</v>
      </c>
      <c r="Q310" s="62">
        <v>1939</v>
      </c>
      <c r="R310" s="62">
        <v>1107</v>
      </c>
      <c r="S310">
        <v>532</v>
      </c>
      <c r="T310" s="126">
        <v>253</v>
      </c>
      <c r="U310">
        <v>45</v>
      </c>
      <c r="V310" s="62">
        <f t="shared" si="11"/>
        <v>4999</v>
      </c>
    </row>
    <row r="311" spans="1:22" ht="14">
      <c r="A311" s="1">
        <v>1755</v>
      </c>
      <c r="B311" s="2" t="s">
        <v>173</v>
      </c>
      <c r="C311" s="139"/>
      <c r="D311" s="139">
        <v>293.666</v>
      </c>
      <c r="E311" s="109">
        <v>4</v>
      </c>
      <c r="F311" s="109">
        <v>5</v>
      </c>
      <c r="G311" s="86">
        <v>41</v>
      </c>
      <c r="H311">
        <v>3100</v>
      </c>
      <c r="I311" s="86">
        <v>609</v>
      </c>
      <c r="J311">
        <v>589</v>
      </c>
      <c r="K311" s="62">
        <v>25044</v>
      </c>
      <c r="L311" s="71">
        <v>1763</v>
      </c>
      <c r="M311" s="71">
        <v>0</v>
      </c>
      <c r="N311" s="71">
        <v>156.04773700999999</v>
      </c>
      <c r="O311" s="62">
        <v>107.01618566</v>
      </c>
      <c r="P311" s="62">
        <v>104</v>
      </c>
      <c r="Q311" s="62">
        <v>192</v>
      </c>
      <c r="R311" s="62">
        <v>156</v>
      </c>
      <c r="S311">
        <v>94</v>
      </c>
      <c r="T311" s="126">
        <v>38</v>
      </c>
      <c r="U311">
        <v>5</v>
      </c>
      <c r="V311" s="62">
        <f t="shared" si="11"/>
        <v>589</v>
      </c>
    </row>
    <row r="312" spans="1:22" ht="14">
      <c r="A312" s="1">
        <v>1756</v>
      </c>
      <c r="B312" s="2" t="s">
        <v>979</v>
      </c>
      <c r="C312" s="139"/>
      <c r="D312" s="139"/>
      <c r="E312" s="109">
        <v>3</v>
      </c>
      <c r="F312" s="109">
        <v>51</v>
      </c>
      <c r="G312" s="86">
        <v>30</v>
      </c>
      <c r="I312" s="86"/>
      <c r="K312" s="62"/>
      <c r="L312" s="71"/>
      <c r="M312" s="71"/>
      <c r="N312" s="71"/>
      <c r="O312" s="62"/>
      <c r="P312" s="62"/>
      <c r="Q312" s="62"/>
      <c r="R312" s="62"/>
      <c r="T312" s="126"/>
      <c r="V312" s="62"/>
    </row>
    <row r="313" spans="1:22" ht="14">
      <c r="A313" s="1">
        <v>1804</v>
      </c>
      <c r="B313" s="2" t="s">
        <v>174</v>
      </c>
      <c r="C313" s="139"/>
      <c r="D313" s="139">
        <v>-42.508000000000003</v>
      </c>
      <c r="E313" s="109">
        <v>3</v>
      </c>
      <c r="F313" s="109">
        <v>76</v>
      </c>
      <c r="G313" s="86">
        <v>41</v>
      </c>
      <c r="H313">
        <v>35220</v>
      </c>
      <c r="I313" s="86">
        <v>44414</v>
      </c>
      <c r="J313">
        <v>46049</v>
      </c>
      <c r="K313" s="62">
        <v>481962</v>
      </c>
      <c r="L313" s="71">
        <v>283282</v>
      </c>
      <c r="M313" s="71">
        <v>3106</v>
      </c>
      <c r="N313" s="71">
        <v>5797.34182676</v>
      </c>
      <c r="O313" s="62">
        <v>5815.0451954800001</v>
      </c>
      <c r="P313" s="62">
        <v>11167</v>
      </c>
      <c r="Q313" s="62">
        <v>21752</v>
      </c>
      <c r="R313" s="62">
        <v>9592</v>
      </c>
      <c r="S313">
        <v>3722</v>
      </c>
      <c r="T313" s="126">
        <v>1377</v>
      </c>
      <c r="U313">
        <v>237</v>
      </c>
      <c r="V313" s="62">
        <f t="shared" si="11"/>
        <v>47847</v>
      </c>
    </row>
    <row r="314" spans="1:22" ht="14">
      <c r="A314" s="1">
        <v>1805</v>
      </c>
      <c r="B314" s="2" t="s">
        <v>175</v>
      </c>
      <c r="C314" s="139"/>
      <c r="D314" s="139">
        <v>9.56</v>
      </c>
      <c r="E314" s="109">
        <v>4</v>
      </c>
      <c r="F314" s="109">
        <v>41</v>
      </c>
      <c r="G314" s="86">
        <v>41</v>
      </c>
      <c r="H314">
        <v>4741</v>
      </c>
      <c r="I314" s="86">
        <v>18512</v>
      </c>
      <c r="J314">
        <v>18384</v>
      </c>
      <c r="K314" s="62">
        <v>233186</v>
      </c>
      <c r="L314" s="71">
        <v>90656</v>
      </c>
      <c r="M314" s="71">
        <v>1769</v>
      </c>
      <c r="N314" s="71">
        <v>2192.5268372700002</v>
      </c>
      <c r="O314" s="62">
        <v>2355.5773757100001</v>
      </c>
      <c r="P314" s="62">
        <v>3919</v>
      </c>
      <c r="Q314" s="62">
        <v>7509</v>
      </c>
      <c r="R314" s="62">
        <v>4108</v>
      </c>
      <c r="S314">
        <v>1812</v>
      </c>
      <c r="T314" s="126">
        <v>886</v>
      </c>
      <c r="U314">
        <v>146</v>
      </c>
      <c r="V314" s="62">
        <f t="shared" si="11"/>
        <v>18380</v>
      </c>
    </row>
    <row r="315" spans="1:22" ht="14">
      <c r="A315" s="1">
        <v>1811</v>
      </c>
      <c r="B315" s="2" t="s">
        <v>176</v>
      </c>
      <c r="C315" s="139"/>
      <c r="D315" s="139">
        <v>201.70099999999999</v>
      </c>
      <c r="E315" s="109">
        <v>4</v>
      </c>
      <c r="F315" s="109">
        <v>3</v>
      </c>
      <c r="G315" s="86">
        <v>41</v>
      </c>
      <c r="H315">
        <v>1832</v>
      </c>
      <c r="I315" s="86">
        <v>1778</v>
      </c>
      <c r="J315">
        <v>1631</v>
      </c>
      <c r="K315" s="62">
        <v>50008</v>
      </c>
      <c r="L315" s="71">
        <v>4829</v>
      </c>
      <c r="M315" s="71">
        <v>0</v>
      </c>
      <c r="N315" s="71">
        <v>703.89878493000003</v>
      </c>
      <c r="O315" s="62">
        <v>296.02270962</v>
      </c>
      <c r="P315" s="62">
        <v>313</v>
      </c>
      <c r="Q315" s="62">
        <v>525</v>
      </c>
      <c r="R315" s="62">
        <v>427</v>
      </c>
      <c r="S315">
        <v>203</v>
      </c>
      <c r="T315" s="126">
        <v>89</v>
      </c>
      <c r="U315">
        <v>35</v>
      </c>
      <c r="V315" s="62">
        <f t="shared" si="11"/>
        <v>1592</v>
      </c>
    </row>
    <row r="316" spans="1:22" ht="14">
      <c r="A316" s="1">
        <v>1812</v>
      </c>
      <c r="B316" s="2" t="s">
        <v>177</v>
      </c>
      <c r="C316" s="139"/>
      <c r="D316" s="139">
        <v>38.345999999999997</v>
      </c>
      <c r="E316" s="109">
        <v>4</v>
      </c>
      <c r="F316" s="109">
        <v>37</v>
      </c>
      <c r="G316" s="86">
        <v>41</v>
      </c>
      <c r="H316">
        <v>509</v>
      </c>
      <c r="I316" s="86">
        <v>2075</v>
      </c>
      <c r="J316">
        <v>2056</v>
      </c>
      <c r="K316" s="62">
        <v>47632</v>
      </c>
      <c r="L316" s="71">
        <v>9234</v>
      </c>
      <c r="M316" s="71">
        <v>0</v>
      </c>
      <c r="N316" s="71">
        <v>381.69950060000002</v>
      </c>
      <c r="O316" s="62">
        <v>324.32376117000001</v>
      </c>
      <c r="P316" s="62">
        <v>453</v>
      </c>
      <c r="Q316" s="62">
        <v>779</v>
      </c>
      <c r="R316" s="62">
        <v>452</v>
      </c>
      <c r="S316">
        <v>216</v>
      </c>
      <c r="T316" s="126">
        <v>90</v>
      </c>
      <c r="U316">
        <v>35</v>
      </c>
      <c r="V316" s="62">
        <f t="shared" si="11"/>
        <v>2025</v>
      </c>
    </row>
    <row r="317" spans="1:22" ht="14">
      <c r="A317" s="1">
        <v>1813</v>
      </c>
      <c r="B317" s="2" t="s">
        <v>178</v>
      </c>
      <c r="C317" s="139"/>
      <c r="D317" s="139">
        <v>50.505000000000003</v>
      </c>
      <c r="E317" s="109">
        <v>4</v>
      </c>
      <c r="F317" s="109">
        <v>49</v>
      </c>
      <c r="G317" s="86">
        <v>41</v>
      </c>
      <c r="H317">
        <v>1762</v>
      </c>
      <c r="I317" s="86">
        <v>7585</v>
      </c>
      <c r="J317">
        <v>7535</v>
      </c>
      <c r="K317" s="62">
        <v>129210</v>
      </c>
      <c r="L317" s="71">
        <v>37426</v>
      </c>
      <c r="M317" s="71">
        <v>1930</v>
      </c>
      <c r="N317" s="71">
        <v>802.69159685</v>
      </c>
      <c r="O317" s="62">
        <v>1076.7160177000001</v>
      </c>
      <c r="P317" s="62">
        <v>1863</v>
      </c>
      <c r="Q317" s="62">
        <v>3187</v>
      </c>
      <c r="R317" s="62">
        <v>1641</v>
      </c>
      <c r="S317">
        <v>683</v>
      </c>
      <c r="T317" s="126">
        <v>286</v>
      </c>
      <c r="U317">
        <v>59</v>
      </c>
      <c r="V317" s="62">
        <f t="shared" si="11"/>
        <v>7719</v>
      </c>
    </row>
    <row r="318" spans="1:22" ht="14">
      <c r="A318" s="1">
        <v>1815</v>
      </c>
      <c r="B318" s="2" t="s">
        <v>179</v>
      </c>
      <c r="C318" s="139"/>
      <c r="D318" s="139">
        <v>99.478999999999999</v>
      </c>
      <c r="E318" s="109">
        <v>4</v>
      </c>
      <c r="F318" s="109">
        <v>12</v>
      </c>
      <c r="G318" s="86">
        <v>41</v>
      </c>
      <c r="H318">
        <v>2874</v>
      </c>
      <c r="I318" s="86">
        <v>1356</v>
      </c>
      <c r="J318">
        <v>1295</v>
      </c>
      <c r="K318" s="62">
        <v>36398</v>
      </c>
      <c r="L318" s="71">
        <v>5750</v>
      </c>
      <c r="M318" s="71">
        <v>0</v>
      </c>
      <c r="N318" s="71">
        <v>46.028469190000003</v>
      </c>
      <c r="O318" s="62">
        <v>211.66208859</v>
      </c>
      <c r="P318" s="62">
        <v>271</v>
      </c>
      <c r="Q318" s="62">
        <v>441</v>
      </c>
      <c r="R318" s="62">
        <v>315</v>
      </c>
      <c r="S318">
        <v>165</v>
      </c>
      <c r="T318" s="126">
        <v>62</v>
      </c>
      <c r="U318">
        <v>16</v>
      </c>
      <c r="V318" s="62">
        <f t="shared" si="11"/>
        <v>1270</v>
      </c>
    </row>
    <row r="319" spans="1:22" ht="14">
      <c r="A319" s="1">
        <v>1816</v>
      </c>
      <c r="B319" s="2" t="s">
        <v>180</v>
      </c>
      <c r="C319" s="139"/>
      <c r="D319" s="139">
        <v>409.80099999999999</v>
      </c>
      <c r="E319" s="109">
        <v>4</v>
      </c>
      <c r="F319" s="109">
        <v>8</v>
      </c>
      <c r="G319" s="86">
        <v>41</v>
      </c>
      <c r="H319">
        <v>1943</v>
      </c>
      <c r="I319" s="86">
        <v>524</v>
      </c>
      <c r="J319">
        <v>485</v>
      </c>
      <c r="K319" s="62">
        <v>25077</v>
      </c>
      <c r="L319" s="71">
        <v>1991</v>
      </c>
      <c r="M319" s="71">
        <v>0</v>
      </c>
      <c r="N319" s="71">
        <v>215.54795328</v>
      </c>
      <c r="O319" s="62">
        <v>105.08667425</v>
      </c>
      <c r="P319" s="62">
        <v>107</v>
      </c>
      <c r="Q319" s="62">
        <v>186</v>
      </c>
      <c r="R319" s="62">
        <v>141</v>
      </c>
      <c r="S319">
        <v>55</v>
      </c>
      <c r="T319" s="126">
        <v>28</v>
      </c>
      <c r="U319">
        <v>3</v>
      </c>
      <c r="V319" s="62">
        <f t="shared" si="11"/>
        <v>520</v>
      </c>
    </row>
    <row r="320" spans="1:22" ht="14">
      <c r="A320" s="1">
        <v>1818</v>
      </c>
      <c r="B320" s="2" t="s">
        <v>87</v>
      </c>
      <c r="C320" s="139"/>
      <c r="D320" s="139">
        <v>246.7</v>
      </c>
      <c r="E320" s="109">
        <v>4</v>
      </c>
      <c r="F320" s="109">
        <v>19</v>
      </c>
      <c r="G320" s="86">
        <v>41</v>
      </c>
      <c r="H320">
        <v>4531</v>
      </c>
      <c r="I320" s="86">
        <v>1739</v>
      </c>
      <c r="J320">
        <v>1683</v>
      </c>
      <c r="K320" s="62">
        <v>43333</v>
      </c>
      <c r="L320" s="71">
        <v>7530</v>
      </c>
      <c r="M320" s="71">
        <v>0</v>
      </c>
      <c r="N320" s="71">
        <v>186.35916793999999</v>
      </c>
      <c r="O320" s="62">
        <v>257.75713460999998</v>
      </c>
      <c r="P320" s="62">
        <v>324</v>
      </c>
      <c r="Q320" s="62">
        <v>634</v>
      </c>
      <c r="R320" s="62">
        <v>390</v>
      </c>
      <c r="S320">
        <v>203</v>
      </c>
      <c r="T320" s="126">
        <v>80</v>
      </c>
      <c r="U320">
        <v>18</v>
      </c>
      <c r="V320" s="62">
        <f t="shared" si="11"/>
        <v>1649</v>
      </c>
    </row>
    <row r="321" spans="1:22" ht="14">
      <c r="A321" s="1">
        <v>1820</v>
      </c>
      <c r="B321" s="2" t="s">
        <v>181</v>
      </c>
      <c r="C321" s="139"/>
      <c r="D321" s="139">
        <v>65.227000000000004</v>
      </c>
      <c r="E321" s="109">
        <v>4</v>
      </c>
      <c r="F321" s="109">
        <v>45</v>
      </c>
      <c r="G321" s="86">
        <v>41</v>
      </c>
      <c r="H321">
        <v>4385</v>
      </c>
      <c r="I321" s="86">
        <v>7398</v>
      </c>
      <c r="J321">
        <v>7207</v>
      </c>
      <c r="K321" s="62">
        <v>97178</v>
      </c>
      <c r="L321" s="71">
        <v>36396</v>
      </c>
      <c r="M321" s="71">
        <v>0</v>
      </c>
      <c r="N321" s="71">
        <v>2079.13963268</v>
      </c>
      <c r="O321" s="62">
        <v>951.33743537999999</v>
      </c>
      <c r="P321" s="62">
        <v>1664</v>
      </c>
      <c r="Q321" s="62">
        <v>2915</v>
      </c>
      <c r="R321" s="62">
        <v>1728</v>
      </c>
      <c r="S321">
        <v>733</v>
      </c>
      <c r="T321" s="126">
        <v>226</v>
      </c>
      <c r="U321">
        <v>30</v>
      </c>
      <c r="V321" s="62">
        <f t="shared" si="11"/>
        <v>7296</v>
      </c>
    </row>
    <row r="322" spans="1:22" ht="14">
      <c r="A322" s="1">
        <v>1822</v>
      </c>
      <c r="B322" s="2" t="s">
        <v>182</v>
      </c>
      <c r="C322" s="139"/>
      <c r="D322" s="139">
        <v>346.18400000000003</v>
      </c>
      <c r="E322" s="109">
        <v>4</v>
      </c>
      <c r="F322" s="109">
        <v>23</v>
      </c>
      <c r="G322" s="86">
        <v>41</v>
      </c>
      <c r="H322">
        <v>1783</v>
      </c>
      <c r="I322" s="86">
        <v>2156</v>
      </c>
      <c r="J322">
        <v>2090</v>
      </c>
      <c r="K322" s="62">
        <v>50022</v>
      </c>
      <c r="L322" s="71">
        <v>7295</v>
      </c>
      <c r="M322" s="71">
        <v>0</v>
      </c>
      <c r="N322" s="71">
        <v>770.13487473999999</v>
      </c>
      <c r="O322" s="62">
        <v>329.39719065999998</v>
      </c>
      <c r="P322" s="62">
        <v>431</v>
      </c>
      <c r="Q322" s="62">
        <v>880</v>
      </c>
      <c r="R322" s="62">
        <v>512</v>
      </c>
      <c r="S322">
        <v>196</v>
      </c>
      <c r="T322" s="126">
        <v>107</v>
      </c>
      <c r="U322">
        <v>34</v>
      </c>
      <c r="V322" s="62">
        <f t="shared" si="11"/>
        <v>2160</v>
      </c>
    </row>
    <row r="323" spans="1:22" ht="14">
      <c r="A323" s="1">
        <v>1824</v>
      </c>
      <c r="B323" s="2" t="s">
        <v>183</v>
      </c>
      <c r="C323" s="139"/>
      <c r="D323" s="139">
        <v>-3.0350000000000001</v>
      </c>
      <c r="E323" s="109">
        <v>4</v>
      </c>
      <c r="F323" s="109">
        <v>42</v>
      </c>
      <c r="G323" s="86">
        <v>41</v>
      </c>
      <c r="H323">
        <v>167</v>
      </c>
      <c r="I323" s="86">
        <v>13486</v>
      </c>
      <c r="J323">
        <v>13424</v>
      </c>
      <c r="K323" s="62">
        <v>192728</v>
      </c>
      <c r="L323" s="71">
        <v>67686</v>
      </c>
      <c r="M323" s="71">
        <v>2477</v>
      </c>
      <c r="N323" s="71">
        <v>1429.1278360700001</v>
      </c>
      <c r="O323" s="62">
        <v>1768.8137342</v>
      </c>
      <c r="P323" s="62">
        <v>2885</v>
      </c>
      <c r="Q323" s="62">
        <v>5366</v>
      </c>
      <c r="R323" s="62">
        <v>2932</v>
      </c>
      <c r="S323">
        <v>1440</v>
      </c>
      <c r="T323" s="126">
        <v>583</v>
      </c>
      <c r="U323">
        <v>101</v>
      </c>
      <c r="V323" s="62">
        <f t="shared" si="11"/>
        <v>13307</v>
      </c>
    </row>
    <row r="324" spans="1:22" ht="14">
      <c r="A324" s="1">
        <v>1825</v>
      </c>
      <c r="B324" s="2" t="s">
        <v>184</v>
      </c>
      <c r="C324" s="139"/>
      <c r="D324" s="139">
        <v>73.265000000000001</v>
      </c>
      <c r="E324" s="109">
        <v>4</v>
      </c>
      <c r="F324" s="109">
        <v>9</v>
      </c>
      <c r="G324" s="86">
        <v>41</v>
      </c>
      <c r="H324">
        <v>622</v>
      </c>
      <c r="I324" s="86">
        <v>1544</v>
      </c>
      <c r="J324">
        <v>1537</v>
      </c>
      <c r="K324" s="62">
        <v>41534</v>
      </c>
      <c r="L324" s="71">
        <v>6638</v>
      </c>
      <c r="M324" s="71">
        <v>0</v>
      </c>
      <c r="N324" s="71">
        <v>96.547520739999996</v>
      </c>
      <c r="O324" s="62">
        <v>235.31358940000001</v>
      </c>
      <c r="P324" s="62">
        <v>308</v>
      </c>
      <c r="Q324" s="62">
        <v>536</v>
      </c>
      <c r="R324" s="62">
        <v>353</v>
      </c>
      <c r="S324">
        <v>201</v>
      </c>
      <c r="T324" s="126">
        <v>71</v>
      </c>
      <c r="U324">
        <v>18</v>
      </c>
      <c r="V324" s="62">
        <f t="shared" si="11"/>
        <v>1487</v>
      </c>
    </row>
    <row r="325" spans="1:22" ht="14">
      <c r="A325" s="1">
        <v>1826</v>
      </c>
      <c r="B325" s="2" t="s">
        <v>185</v>
      </c>
      <c r="C325" s="139"/>
      <c r="D325" s="139">
        <v>-83.786000000000001</v>
      </c>
      <c r="E325" s="109">
        <v>4</v>
      </c>
      <c r="F325" s="109">
        <v>11</v>
      </c>
      <c r="G325" s="86">
        <v>41</v>
      </c>
      <c r="H325">
        <v>2483</v>
      </c>
      <c r="I325" s="86">
        <v>1530</v>
      </c>
      <c r="J325">
        <v>1463</v>
      </c>
      <c r="K325" s="62">
        <v>44211</v>
      </c>
      <c r="L325" s="71">
        <v>4982</v>
      </c>
      <c r="M325" s="71">
        <v>0</v>
      </c>
      <c r="N325" s="71">
        <v>324.44457550999999</v>
      </c>
      <c r="O325" s="62">
        <v>251.48346993999999</v>
      </c>
      <c r="P325" s="62">
        <v>309</v>
      </c>
      <c r="Q325" s="62">
        <v>528</v>
      </c>
      <c r="R325" s="62">
        <v>340</v>
      </c>
      <c r="S325">
        <v>189</v>
      </c>
      <c r="T325" s="126">
        <v>80</v>
      </c>
      <c r="U325">
        <v>17</v>
      </c>
      <c r="V325" s="62">
        <f t="shared" si="11"/>
        <v>1463</v>
      </c>
    </row>
    <row r="326" spans="1:22" ht="14">
      <c r="A326" s="1">
        <v>1827</v>
      </c>
      <c r="B326" s="2" t="s">
        <v>186</v>
      </c>
      <c r="C326" s="139"/>
      <c r="D326" s="139">
        <v>113.56399999999999</v>
      </c>
      <c r="E326" s="109">
        <v>4</v>
      </c>
      <c r="F326" s="109">
        <v>12</v>
      </c>
      <c r="G326" s="86">
        <v>41</v>
      </c>
      <c r="H326">
        <v>1090</v>
      </c>
      <c r="I326" s="86">
        <v>1528</v>
      </c>
      <c r="J326">
        <v>1463</v>
      </c>
      <c r="K326" s="62">
        <v>47930</v>
      </c>
      <c r="L326" s="71">
        <v>5817</v>
      </c>
      <c r="M326" s="71">
        <v>0</v>
      </c>
      <c r="N326" s="71">
        <v>524.27549052999996</v>
      </c>
      <c r="O326" s="62">
        <v>268.78257834999999</v>
      </c>
      <c r="P326" s="62">
        <v>332</v>
      </c>
      <c r="Q326" s="62">
        <v>519</v>
      </c>
      <c r="R326" s="62">
        <v>349</v>
      </c>
      <c r="S326">
        <v>157</v>
      </c>
      <c r="T326" s="126">
        <v>73</v>
      </c>
      <c r="U326">
        <v>19</v>
      </c>
      <c r="V326" s="62">
        <f t="shared" si="11"/>
        <v>1449</v>
      </c>
    </row>
    <row r="327" spans="1:22" ht="14">
      <c r="A327" s="1">
        <v>1828</v>
      </c>
      <c r="B327" s="2" t="s">
        <v>187</v>
      </c>
      <c r="C327" s="139"/>
      <c r="D327" s="139">
        <v>167.24799999999999</v>
      </c>
      <c r="E327" s="109">
        <v>4</v>
      </c>
      <c r="F327" s="109">
        <v>29</v>
      </c>
      <c r="G327" s="86">
        <v>41</v>
      </c>
      <c r="H327">
        <v>5209</v>
      </c>
      <c r="I327" s="86">
        <v>1801</v>
      </c>
      <c r="J327">
        <v>1792</v>
      </c>
      <c r="K327" s="62">
        <v>45999</v>
      </c>
      <c r="L327" s="71">
        <v>9657</v>
      </c>
      <c r="M327" s="71">
        <v>0</v>
      </c>
      <c r="N327" s="71">
        <v>223.40647240999999</v>
      </c>
      <c r="O327" s="62">
        <v>282.44968908999999</v>
      </c>
      <c r="P327" s="62">
        <v>413</v>
      </c>
      <c r="Q327" s="62">
        <v>732</v>
      </c>
      <c r="R327" s="62">
        <v>381</v>
      </c>
      <c r="S327">
        <v>175</v>
      </c>
      <c r="T327" s="126">
        <v>79</v>
      </c>
      <c r="U327">
        <v>28</v>
      </c>
      <c r="V327" s="62">
        <f t="shared" si="11"/>
        <v>1808</v>
      </c>
    </row>
    <row r="328" spans="1:22" ht="14">
      <c r="A328" s="1">
        <v>1832</v>
      </c>
      <c r="B328" s="2" t="s">
        <v>188</v>
      </c>
      <c r="C328" s="139"/>
      <c r="D328" s="139">
        <v>102.30200000000001</v>
      </c>
      <c r="E328" s="109">
        <v>4</v>
      </c>
      <c r="F328" s="109">
        <v>25</v>
      </c>
      <c r="G328" s="86">
        <v>41</v>
      </c>
      <c r="H328">
        <v>1400</v>
      </c>
      <c r="I328" s="86">
        <v>4566</v>
      </c>
      <c r="J328">
        <v>4478</v>
      </c>
      <c r="K328" s="62">
        <v>90656</v>
      </c>
      <c r="L328" s="71">
        <v>20474</v>
      </c>
      <c r="M328" s="71">
        <v>0</v>
      </c>
      <c r="N328" s="71">
        <v>688.18174667000005</v>
      </c>
      <c r="O328" s="62">
        <v>689.75588966999999</v>
      </c>
      <c r="P328" s="62">
        <v>1040</v>
      </c>
      <c r="Q328" s="62">
        <v>1720</v>
      </c>
      <c r="R328" s="62">
        <v>1030</v>
      </c>
      <c r="S328">
        <v>524</v>
      </c>
      <c r="T328" s="126">
        <v>231</v>
      </c>
      <c r="U328">
        <v>55</v>
      </c>
      <c r="V328" s="62">
        <f t="shared" si="11"/>
        <v>4600</v>
      </c>
    </row>
    <row r="329" spans="1:22" ht="14">
      <c r="A329" s="1">
        <v>1833</v>
      </c>
      <c r="B329" s="2" t="s">
        <v>189</v>
      </c>
      <c r="C329" s="139"/>
      <c r="D329" s="139">
        <v>-38.78</v>
      </c>
      <c r="E329" s="109">
        <v>4</v>
      </c>
      <c r="F329" s="109">
        <v>43</v>
      </c>
      <c r="G329" s="86">
        <v>41</v>
      </c>
      <c r="H329">
        <v>5338</v>
      </c>
      <c r="I329" s="86">
        <v>25320</v>
      </c>
      <c r="J329">
        <v>25092</v>
      </c>
      <c r="K329" s="62">
        <v>324645</v>
      </c>
      <c r="L329" s="71">
        <v>131674</v>
      </c>
      <c r="M329" s="71">
        <v>4679</v>
      </c>
      <c r="N329" s="71">
        <v>3823.7308795399999</v>
      </c>
      <c r="O329" s="62">
        <v>3289.6124304599998</v>
      </c>
      <c r="P329" s="62">
        <v>5809</v>
      </c>
      <c r="Q329" s="62">
        <v>10385</v>
      </c>
      <c r="R329" s="62">
        <v>5565</v>
      </c>
      <c r="S329">
        <v>2461</v>
      </c>
      <c r="T329" s="126">
        <v>1053</v>
      </c>
      <c r="U329">
        <v>226</v>
      </c>
      <c r="V329" s="62">
        <f t="shared" si="11"/>
        <v>25499</v>
      </c>
    </row>
    <row r="330" spans="1:22" ht="14">
      <c r="A330" s="1">
        <v>1834</v>
      </c>
      <c r="B330" s="2" t="s">
        <v>190</v>
      </c>
      <c r="C330" s="139"/>
      <c r="D330" s="139">
        <v>155.77199999999999</v>
      </c>
      <c r="E330" s="109">
        <v>4</v>
      </c>
      <c r="F330" s="109">
        <v>14</v>
      </c>
      <c r="G330" s="86">
        <v>41</v>
      </c>
      <c r="H330">
        <v>2318</v>
      </c>
      <c r="I330" s="86">
        <v>2028</v>
      </c>
      <c r="J330">
        <v>1899</v>
      </c>
      <c r="K330" s="62">
        <v>74725</v>
      </c>
      <c r="L330" s="71">
        <v>8409</v>
      </c>
      <c r="M330" s="71">
        <v>0</v>
      </c>
      <c r="N330" s="71">
        <v>96.547520739999996</v>
      </c>
      <c r="O330" s="62">
        <v>408.43495768000002</v>
      </c>
      <c r="P330" s="62">
        <v>404</v>
      </c>
      <c r="Q330" s="62">
        <v>727</v>
      </c>
      <c r="R330" s="62">
        <v>414</v>
      </c>
      <c r="S330">
        <v>259</v>
      </c>
      <c r="T330" s="126">
        <v>89</v>
      </c>
      <c r="U330">
        <v>19</v>
      </c>
      <c r="V330" s="62">
        <f t="shared" si="11"/>
        <v>1912</v>
      </c>
    </row>
    <row r="331" spans="1:22" ht="14">
      <c r="A331" s="1">
        <v>1835</v>
      </c>
      <c r="B331" s="2" t="s">
        <v>191</v>
      </c>
      <c r="C331" s="139"/>
      <c r="D331" s="139">
        <v>68.296000000000006</v>
      </c>
      <c r="E331" s="109">
        <v>4</v>
      </c>
      <c r="F331" s="109">
        <v>16</v>
      </c>
      <c r="G331" s="86">
        <v>41</v>
      </c>
      <c r="H331">
        <v>4098</v>
      </c>
      <c r="I331" s="86">
        <v>444</v>
      </c>
      <c r="J331">
        <v>451</v>
      </c>
      <c r="K331" s="62">
        <v>22652</v>
      </c>
      <c r="L331" s="71">
        <v>3862</v>
      </c>
      <c r="M331" s="71">
        <v>0</v>
      </c>
      <c r="N331" s="71">
        <v>215.54795328</v>
      </c>
      <c r="O331" s="62">
        <v>106.84979086</v>
      </c>
      <c r="P331" s="62">
        <v>123</v>
      </c>
      <c r="Q331" s="62">
        <v>201</v>
      </c>
      <c r="R331" s="62">
        <v>92</v>
      </c>
      <c r="S331">
        <v>51</v>
      </c>
      <c r="T331" s="126">
        <v>21</v>
      </c>
      <c r="U331">
        <v>2</v>
      </c>
      <c r="V331" s="62">
        <f t="shared" si="11"/>
        <v>490</v>
      </c>
    </row>
    <row r="332" spans="1:22" ht="14">
      <c r="A332" s="1">
        <v>1836</v>
      </c>
      <c r="B332" s="2" t="s">
        <v>192</v>
      </c>
      <c r="C332" s="139"/>
      <c r="D332" s="139">
        <v>-15.255000000000001</v>
      </c>
      <c r="E332" s="109">
        <v>4</v>
      </c>
      <c r="F332" s="109">
        <v>9</v>
      </c>
      <c r="G332" s="86">
        <v>41</v>
      </c>
      <c r="H332">
        <v>4059</v>
      </c>
      <c r="I332" s="86">
        <v>1443</v>
      </c>
      <c r="J332">
        <v>1314</v>
      </c>
      <c r="K332" s="62">
        <v>55117</v>
      </c>
      <c r="L332" s="71">
        <v>3741</v>
      </c>
      <c r="M332" s="71">
        <v>0</v>
      </c>
      <c r="N332" s="71">
        <v>35.924658880000003</v>
      </c>
      <c r="O332" s="62">
        <v>266.41448028999997</v>
      </c>
      <c r="P332" s="62">
        <v>314</v>
      </c>
      <c r="Q332" s="62">
        <v>456</v>
      </c>
      <c r="R332" s="62">
        <v>309</v>
      </c>
      <c r="S332">
        <v>137</v>
      </c>
      <c r="T332" s="126">
        <v>61</v>
      </c>
      <c r="U332">
        <v>17</v>
      </c>
      <c r="V332" s="62">
        <f t="shared" si="11"/>
        <v>1294</v>
      </c>
    </row>
    <row r="333" spans="1:22" ht="14">
      <c r="A333" s="1">
        <v>1837</v>
      </c>
      <c r="B333" s="2" t="s">
        <v>193</v>
      </c>
      <c r="C333" s="139"/>
      <c r="D333" s="139">
        <v>19.419</v>
      </c>
      <c r="E333" s="109">
        <v>4</v>
      </c>
      <c r="F333" s="109">
        <v>27</v>
      </c>
      <c r="G333" s="86">
        <v>41</v>
      </c>
      <c r="H333">
        <v>1052</v>
      </c>
      <c r="I333" s="86">
        <v>6759</v>
      </c>
      <c r="J333">
        <v>6622</v>
      </c>
      <c r="K333" s="62">
        <v>129186</v>
      </c>
      <c r="L333" s="71">
        <v>26693</v>
      </c>
      <c r="M333" s="71">
        <v>0</v>
      </c>
      <c r="N333" s="71">
        <v>610.71920095999997</v>
      </c>
      <c r="O333" s="62">
        <v>985.53683292999995</v>
      </c>
      <c r="P333" s="62">
        <v>1522</v>
      </c>
      <c r="Q333" s="62">
        <v>2664</v>
      </c>
      <c r="R333" s="62">
        <v>1403</v>
      </c>
      <c r="S333">
        <v>639</v>
      </c>
      <c r="T333" s="126">
        <v>335</v>
      </c>
      <c r="U333">
        <v>87</v>
      </c>
      <c r="V333" s="62">
        <f t="shared" si="11"/>
        <v>6650</v>
      </c>
    </row>
    <row r="334" spans="1:22" ht="14">
      <c r="A334" s="1">
        <v>1838</v>
      </c>
      <c r="B334" s="2" t="s">
        <v>194</v>
      </c>
      <c r="C334" s="139"/>
      <c r="D334" s="139">
        <v>174.76599999999999</v>
      </c>
      <c r="E334" s="109">
        <v>4</v>
      </c>
      <c r="F334" s="109">
        <v>9</v>
      </c>
      <c r="G334" s="86">
        <v>41</v>
      </c>
      <c r="H334">
        <v>1890</v>
      </c>
      <c r="I334" s="86">
        <v>2178</v>
      </c>
      <c r="J334">
        <v>2046</v>
      </c>
      <c r="K334" s="62">
        <v>62819</v>
      </c>
      <c r="L334" s="71">
        <v>6184</v>
      </c>
      <c r="M334" s="71">
        <v>0</v>
      </c>
      <c r="N334" s="71">
        <v>58.377570679999998</v>
      </c>
      <c r="O334" s="62">
        <v>342.14195992999998</v>
      </c>
      <c r="P334" s="62">
        <v>405</v>
      </c>
      <c r="Q334" s="62">
        <v>703</v>
      </c>
      <c r="R334" s="62">
        <v>503</v>
      </c>
      <c r="S334">
        <v>248</v>
      </c>
      <c r="T334" s="126">
        <v>128</v>
      </c>
      <c r="U334">
        <v>33</v>
      </c>
      <c r="V334" s="62">
        <f t="shared" si="11"/>
        <v>2020</v>
      </c>
    </row>
    <row r="335" spans="1:22" ht="14">
      <c r="A335" s="1">
        <v>1839</v>
      </c>
      <c r="B335" s="2" t="s">
        <v>195</v>
      </c>
      <c r="C335" s="139"/>
      <c r="D335" s="139">
        <v>66.040000000000006</v>
      </c>
      <c r="E335" s="109">
        <v>4</v>
      </c>
      <c r="F335" s="109">
        <v>1</v>
      </c>
      <c r="G335" s="86">
        <v>41</v>
      </c>
      <c r="H335">
        <v>1929</v>
      </c>
      <c r="I335" s="86">
        <v>1165</v>
      </c>
      <c r="J335">
        <v>1128</v>
      </c>
      <c r="K335" s="62">
        <v>35211</v>
      </c>
      <c r="L335" s="71">
        <v>4184</v>
      </c>
      <c r="M335" s="71">
        <v>0</v>
      </c>
      <c r="N335" s="71">
        <v>0</v>
      </c>
      <c r="O335" s="62">
        <v>180.47662174000001</v>
      </c>
      <c r="P335" s="62">
        <v>189</v>
      </c>
      <c r="Q335" s="62">
        <v>364</v>
      </c>
      <c r="R335" s="62">
        <v>297</v>
      </c>
      <c r="S335">
        <v>174</v>
      </c>
      <c r="T335" s="126">
        <v>69</v>
      </c>
      <c r="U335">
        <v>10</v>
      </c>
      <c r="V335" s="62">
        <f t="shared" si="11"/>
        <v>1103</v>
      </c>
    </row>
    <row r="336" spans="1:22" ht="14">
      <c r="A336" s="1">
        <v>1840</v>
      </c>
      <c r="B336" s="2" t="s">
        <v>196</v>
      </c>
      <c r="C336" s="139"/>
      <c r="D336" s="139">
        <v>75.453999999999994</v>
      </c>
      <c r="E336" s="109">
        <v>4</v>
      </c>
      <c r="F336" s="109">
        <v>23</v>
      </c>
      <c r="G336" s="86">
        <v>41</v>
      </c>
      <c r="H336">
        <v>3606</v>
      </c>
      <c r="I336" s="86">
        <v>4800</v>
      </c>
      <c r="J336">
        <v>4710</v>
      </c>
      <c r="K336" s="62">
        <v>82352</v>
      </c>
      <c r="L336" s="71">
        <v>20511</v>
      </c>
      <c r="M336" s="71">
        <v>0</v>
      </c>
      <c r="N336" s="71">
        <v>793.71043212999996</v>
      </c>
      <c r="O336" s="62">
        <v>667.11889387999997</v>
      </c>
      <c r="P336" s="62">
        <v>938</v>
      </c>
      <c r="Q336" s="62">
        <v>1825</v>
      </c>
      <c r="R336" s="62">
        <v>1165</v>
      </c>
      <c r="S336">
        <v>498</v>
      </c>
      <c r="T336" s="126">
        <v>194</v>
      </c>
      <c r="U336">
        <v>52</v>
      </c>
      <c r="V336" s="62">
        <f t="shared" si="11"/>
        <v>4672</v>
      </c>
    </row>
    <row r="337" spans="1:22" ht="14">
      <c r="A337" s="1">
        <v>1841</v>
      </c>
      <c r="B337" s="2" t="s">
        <v>197</v>
      </c>
      <c r="C337" s="139"/>
      <c r="D337" s="139">
        <v>13.531000000000001</v>
      </c>
      <c r="E337" s="109">
        <v>4</v>
      </c>
      <c r="F337" s="109">
        <v>34</v>
      </c>
      <c r="G337" s="86">
        <v>41</v>
      </c>
      <c r="H337">
        <v>0</v>
      </c>
      <c r="I337" s="86">
        <v>9549</v>
      </c>
      <c r="J337">
        <v>9480</v>
      </c>
      <c r="K337" s="62">
        <v>131599</v>
      </c>
      <c r="L337" s="71">
        <v>39976</v>
      </c>
      <c r="M337" s="71">
        <v>110</v>
      </c>
      <c r="N337" s="71">
        <v>945.26758677999999</v>
      </c>
      <c r="O337" s="62">
        <v>1255.87218254</v>
      </c>
      <c r="P337" s="62">
        <v>2063</v>
      </c>
      <c r="Q337" s="62">
        <v>3702</v>
      </c>
      <c r="R337" s="62">
        <v>2286</v>
      </c>
      <c r="S337">
        <v>979</v>
      </c>
      <c r="T337" s="126">
        <v>411</v>
      </c>
      <c r="U337">
        <v>92</v>
      </c>
      <c r="V337" s="62">
        <f t="shared" si="11"/>
        <v>9533</v>
      </c>
    </row>
    <row r="338" spans="1:22" ht="14">
      <c r="A338" s="1">
        <v>1845</v>
      </c>
      <c r="B338" s="2" t="s">
        <v>198</v>
      </c>
      <c r="C338" s="139"/>
      <c r="D338" s="139">
        <v>186.11600000000001</v>
      </c>
      <c r="E338" s="109">
        <v>4</v>
      </c>
      <c r="F338" s="109">
        <v>4</v>
      </c>
      <c r="G338" s="86">
        <v>41</v>
      </c>
      <c r="H338">
        <v>1340</v>
      </c>
      <c r="I338" s="86">
        <v>2153</v>
      </c>
      <c r="J338">
        <v>2000</v>
      </c>
      <c r="K338" s="62">
        <v>53688</v>
      </c>
      <c r="L338" s="71">
        <v>8761</v>
      </c>
      <c r="M338" s="71">
        <v>0</v>
      </c>
      <c r="N338" s="71">
        <v>26.94349416</v>
      </c>
      <c r="O338" s="62">
        <v>326.55955878999998</v>
      </c>
      <c r="P338" s="62">
        <v>412</v>
      </c>
      <c r="Q338" s="62">
        <v>698</v>
      </c>
      <c r="R338" s="62">
        <v>516</v>
      </c>
      <c r="S338">
        <v>236</v>
      </c>
      <c r="T338" s="126">
        <v>99</v>
      </c>
      <c r="U338">
        <v>28</v>
      </c>
      <c r="V338" s="62">
        <f t="shared" si="11"/>
        <v>1989</v>
      </c>
    </row>
    <row r="339" spans="1:22" ht="14">
      <c r="A339" s="1">
        <v>1848</v>
      </c>
      <c r="B339" s="2" t="s">
        <v>199</v>
      </c>
      <c r="C339" s="139"/>
      <c r="D339" s="139">
        <v>175.96899999999999</v>
      </c>
      <c r="E339" s="109">
        <v>4</v>
      </c>
      <c r="F339" s="109">
        <v>5</v>
      </c>
      <c r="G339" s="86">
        <v>41</v>
      </c>
      <c r="H339">
        <v>350</v>
      </c>
      <c r="I339" s="86">
        <v>2802</v>
      </c>
      <c r="J339">
        <v>2672</v>
      </c>
      <c r="K339" s="62">
        <v>67333</v>
      </c>
      <c r="L339" s="71">
        <v>10399</v>
      </c>
      <c r="M339" s="71">
        <v>0</v>
      </c>
      <c r="N339" s="71">
        <v>974.45637211999997</v>
      </c>
      <c r="O339" s="62">
        <v>411.69636503999999</v>
      </c>
      <c r="P339" s="62">
        <v>528</v>
      </c>
      <c r="Q339" s="62">
        <v>940</v>
      </c>
      <c r="R339" s="62">
        <v>673</v>
      </c>
      <c r="S339">
        <v>293</v>
      </c>
      <c r="T339" s="126">
        <v>152</v>
      </c>
      <c r="U339">
        <v>33</v>
      </c>
      <c r="V339" s="62">
        <f t="shared" si="11"/>
        <v>2619</v>
      </c>
    </row>
    <row r="340" spans="1:22" ht="14">
      <c r="A340" s="1">
        <v>1849</v>
      </c>
      <c r="B340" s="2" t="s">
        <v>200</v>
      </c>
      <c r="C340" s="139"/>
      <c r="D340" s="139">
        <v>135.76</v>
      </c>
      <c r="E340" s="109">
        <v>4</v>
      </c>
      <c r="F340" s="109">
        <v>4</v>
      </c>
      <c r="G340" s="86">
        <v>41</v>
      </c>
      <c r="H340">
        <v>1538</v>
      </c>
      <c r="I340" s="86">
        <v>1836</v>
      </c>
      <c r="J340">
        <v>1761</v>
      </c>
      <c r="K340" s="62">
        <v>54119</v>
      </c>
      <c r="L340" s="71">
        <v>7222</v>
      </c>
      <c r="M340" s="71">
        <v>0</v>
      </c>
      <c r="N340" s="71">
        <v>454.67146394999997</v>
      </c>
      <c r="O340" s="62">
        <v>302.04079752000001</v>
      </c>
      <c r="P340" s="62">
        <v>337</v>
      </c>
      <c r="Q340" s="62">
        <v>620</v>
      </c>
      <c r="R340" s="62">
        <v>476</v>
      </c>
      <c r="S340">
        <v>208</v>
      </c>
      <c r="T340" s="126">
        <v>100</v>
      </c>
      <c r="U340">
        <v>30</v>
      </c>
      <c r="V340" s="62">
        <f t="shared" si="11"/>
        <v>1771</v>
      </c>
    </row>
    <row r="341" spans="1:22" ht="14">
      <c r="A341" s="1">
        <v>1850</v>
      </c>
      <c r="B341" s="2" t="s">
        <v>201</v>
      </c>
      <c r="C341" s="139"/>
      <c r="D341" s="139">
        <v>234.66800000000001</v>
      </c>
      <c r="E341" s="109">
        <v>4</v>
      </c>
      <c r="F341" s="109">
        <v>8</v>
      </c>
      <c r="G341" s="86">
        <v>41</v>
      </c>
      <c r="H341">
        <v>0</v>
      </c>
      <c r="I341" s="86">
        <v>2150</v>
      </c>
      <c r="J341">
        <v>2028</v>
      </c>
      <c r="K341" s="62">
        <v>58260</v>
      </c>
      <c r="L341" s="71">
        <v>9375</v>
      </c>
      <c r="M341" s="71">
        <v>0</v>
      </c>
      <c r="N341" s="71">
        <v>110.01926782</v>
      </c>
      <c r="O341" s="62">
        <v>346.99855305</v>
      </c>
      <c r="P341" s="62">
        <v>399</v>
      </c>
      <c r="Q341" s="62">
        <v>717</v>
      </c>
      <c r="R341" s="62">
        <v>522</v>
      </c>
      <c r="S341">
        <v>244</v>
      </c>
      <c r="T341" s="126">
        <v>101</v>
      </c>
      <c r="U341">
        <v>19</v>
      </c>
      <c r="V341" s="62">
        <f t="shared" si="11"/>
        <v>2002</v>
      </c>
    </row>
    <row r="342" spans="1:22" ht="14">
      <c r="A342" s="1">
        <v>1851</v>
      </c>
      <c r="B342" s="2" t="s">
        <v>202</v>
      </c>
      <c r="C342" s="139"/>
      <c r="D342" s="139">
        <v>-1.6879999999999999</v>
      </c>
      <c r="E342" s="109">
        <v>4</v>
      </c>
      <c r="F342" s="109">
        <v>11</v>
      </c>
      <c r="G342" s="86">
        <v>41</v>
      </c>
      <c r="H342">
        <v>0</v>
      </c>
      <c r="I342" s="86">
        <v>2349</v>
      </c>
      <c r="J342">
        <v>2279</v>
      </c>
      <c r="K342" s="62">
        <v>55324</v>
      </c>
      <c r="L342" s="71">
        <v>6516</v>
      </c>
      <c r="M342" s="71">
        <v>0</v>
      </c>
      <c r="N342" s="71">
        <v>312.09547401999998</v>
      </c>
      <c r="O342" s="62">
        <v>337.58175906000002</v>
      </c>
      <c r="P342" s="62">
        <v>401</v>
      </c>
      <c r="Q342" s="62">
        <v>761</v>
      </c>
      <c r="R342" s="62">
        <v>578</v>
      </c>
      <c r="S342">
        <v>285</v>
      </c>
      <c r="T342" s="126">
        <v>148</v>
      </c>
      <c r="U342">
        <v>23</v>
      </c>
      <c r="V342" s="62">
        <f t="shared" si="11"/>
        <v>2196</v>
      </c>
    </row>
    <row r="343" spans="1:22" ht="14">
      <c r="A343" s="1">
        <v>1852</v>
      </c>
      <c r="B343" s="2" t="s">
        <v>203</v>
      </c>
      <c r="C343" s="139"/>
      <c r="D343" s="139">
        <v>12.862</v>
      </c>
      <c r="E343" s="109">
        <v>4</v>
      </c>
      <c r="F343" s="109">
        <v>22</v>
      </c>
      <c r="G343" s="86">
        <v>41</v>
      </c>
      <c r="H343">
        <v>642</v>
      </c>
      <c r="I343" s="86">
        <v>1421</v>
      </c>
      <c r="J343">
        <v>1338</v>
      </c>
      <c r="K343" s="62">
        <v>45613</v>
      </c>
      <c r="L343" s="71">
        <v>6163</v>
      </c>
      <c r="M343" s="71">
        <v>0</v>
      </c>
      <c r="N343" s="71">
        <v>111.14191341</v>
      </c>
      <c r="O343" s="62">
        <v>243.07249327</v>
      </c>
      <c r="P343" s="62">
        <v>258</v>
      </c>
      <c r="Q343" s="62">
        <v>433</v>
      </c>
      <c r="R343" s="62">
        <v>347</v>
      </c>
      <c r="S343">
        <v>169</v>
      </c>
      <c r="T343" s="126">
        <v>92</v>
      </c>
      <c r="U343">
        <v>26</v>
      </c>
      <c r="V343" s="62">
        <f t="shared" si="11"/>
        <v>1325</v>
      </c>
    </row>
    <row r="344" spans="1:22" ht="14">
      <c r="A344" s="1">
        <v>1853</v>
      </c>
      <c r="B344" s="2" t="s">
        <v>204</v>
      </c>
      <c r="C344" s="139"/>
      <c r="D344" s="139">
        <v>-5.4630000000000001</v>
      </c>
      <c r="E344" s="109">
        <v>4</v>
      </c>
      <c r="F344" s="109">
        <v>15</v>
      </c>
      <c r="G344" s="86">
        <v>41</v>
      </c>
      <c r="H344">
        <v>1699</v>
      </c>
      <c r="I344" s="86">
        <v>1417</v>
      </c>
      <c r="J344">
        <v>1358</v>
      </c>
      <c r="K344" s="62">
        <v>43442</v>
      </c>
      <c r="L344" s="71">
        <v>3433</v>
      </c>
      <c r="M344" s="71">
        <v>0</v>
      </c>
      <c r="N344" s="71">
        <v>310.97282842999999</v>
      </c>
      <c r="O344" s="62">
        <v>226.33518144999999</v>
      </c>
      <c r="P344" s="62">
        <v>279</v>
      </c>
      <c r="Q344" s="62">
        <v>413</v>
      </c>
      <c r="R344" s="62">
        <v>388</v>
      </c>
      <c r="S344">
        <v>166</v>
      </c>
      <c r="T344" s="126">
        <v>76</v>
      </c>
      <c r="U344">
        <v>20</v>
      </c>
      <c r="V344" s="62">
        <f t="shared" si="11"/>
        <v>1342</v>
      </c>
    </row>
    <row r="345" spans="1:22" ht="14">
      <c r="A345" s="1">
        <v>1854</v>
      </c>
      <c r="B345" s="2" t="s">
        <v>205</v>
      </c>
      <c r="C345" s="139"/>
      <c r="D345" s="139">
        <v>-121.28</v>
      </c>
      <c r="E345" s="109">
        <v>4</v>
      </c>
      <c r="F345" s="109">
        <v>11</v>
      </c>
      <c r="G345" s="86">
        <v>41</v>
      </c>
      <c r="H345">
        <v>0</v>
      </c>
      <c r="I345" s="86">
        <v>2736</v>
      </c>
      <c r="J345">
        <v>2652</v>
      </c>
      <c r="K345" s="62">
        <v>60760</v>
      </c>
      <c r="L345" s="71">
        <v>11400</v>
      </c>
      <c r="M345" s="71">
        <v>0</v>
      </c>
      <c r="N345" s="71">
        <v>764.52164678999998</v>
      </c>
      <c r="O345" s="62">
        <v>403.88417848</v>
      </c>
      <c r="P345" s="62">
        <v>547</v>
      </c>
      <c r="Q345" s="62">
        <v>908</v>
      </c>
      <c r="R345" s="62">
        <v>676</v>
      </c>
      <c r="S345">
        <v>305</v>
      </c>
      <c r="T345" s="126">
        <v>137</v>
      </c>
      <c r="U345">
        <v>47</v>
      </c>
      <c r="V345" s="62">
        <f t="shared" si="11"/>
        <v>2620</v>
      </c>
    </row>
    <row r="346" spans="1:22" ht="14">
      <c r="A346" s="1">
        <v>1856</v>
      </c>
      <c r="B346" s="2" t="s">
        <v>206</v>
      </c>
      <c r="C346" s="139"/>
      <c r="D346" s="139">
        <v>18.672999999999998</v>
      </c>
      <c r="E346" s="109">
        <v>4</v>
      </c>
      <c r="F346" s="109">
        <v>22</v>
      </c>
      <c r="G346" s="86">
        <v>41</v>
      </c>
      <c r="H346">
        <v>1112</v>
      </c>
      <c r="I346" s="86">
        <v>602</v>
      </c>
      <c r="J346">
        <v>622</v>
      </c>
      <c r="K346" s="62">
        <v>22852</v>
      </c>
      <c r="L346" s="71">
        <v>4065</v>
      </c>
      <c r="M346" s="71">
        <v>0</v>
      </c>
      <c r="N346" s="71">
        <v>0</v>
      </c>
      <c r="O346" s="62">
        <v>104.91135532</v>
      </c>
      <c r="P346" s="62">
        <v>136</v>
      </c>
      <c r="Q346" s="62">
        <v>247</v>
      </c>
      <c r="R346" s="62">
        <v>132</v>
      </c>
      <c r="S346">
        <v>52</v>
      </c>
      <c r="T346" s="126">
        <v>34</v>
      </c>
      <c r="U346">
        <v>4</v>
      </c>
      <c r="V346" s="62">
        <f t="shared" si="11"/>
        <v>605</v>
      </c>
    </row>
    <row r="347" spans="1:22" ht="14">
      <c r="A347" s="1">
        <v>1857</v>
      </c>
      <c r="B347" s="2" t="s">
        <v>207</v>
      </c>
      <c r="C347" s="139"/>
      <c r="D347" s="139">
        <v>181.65600000000001</v>
      </c>
      <c r="E347" s="109">
        <v>4</v>
      </c>
      <c r="F347" s="109">
        <v>15</v>
      </c>
      <c r="G347" s="86">
        <v>41</v>
      </c>
      <c r="H347">
        <v>1434</v>
      </c>
      <c r="I347" s="86">
        <v>743</v>
      </c>
      <c r="J347">
        <v>743</v>
      </c>
      <c r="K347" s="62">
        <v>28119</v>
      </c>
      <c r="L347" s="71">
        <v>3013</v>
      </c>
      <c r="M347" s="71">
        <v>0</v>
      </c>
      <c r="N347" s="71">
        <v>0</v>
      </c>
      <c r="O347" s="62">
        <v>138.38621936999999</v>
      </c>
      <c r="P347" s="62">
        <v>162</v>
      </c>
      <c r="Q347" s="62">
        <v>304</v>
      </c>
      <c r="R347" s="62">
        <v>157</v>
      </c>
      <c r="S347">
        <v>83</v>
      </c>
      <c r="T347" s="126">
        <v>36</v>
      </c>
      <c r="U347">
        <v>6</v>
      </c>
      <c r="V347" s="62">
        <f t="shared" si="11"/>
        <v>748</v>
      </c>
    </row>
    <row r="348" spans="1:22" ht="14">
      <c r="A348" s="1">
        <v>1859</v>
      </c>
      <c r="B348" s="2" t="s">
        <v>208</v>
      </c>
      <c r="C348" s="139"/>
      <c r="D348" s="139">
        <v>-46.847000000000001</v>
      </c>
      <c r="E348" s="109">
        <v>4</v>
      </c>
      <c r="F348" s="109">
        <v>15</v>
      </c>
      <c r="G348" s="86">
        <v>41</v>
      </c>
      <c r="H348">
        <v>2687</v>
      </c>
      <c r="I348" s="86">
        <v>1470</v>
      </c>
      <c r="J348">
        <v>1441</v>
      </c>
      <c r="K348" s="62">
        <v>41487</v>
      </c>
      <c r="L348" s="71">
        <v>3142</v>
      </c>
      <c r="M348" s="71">
        <v>0</v>
      </c>
      <c r="N348" s="71">
        <v>0</v>
      </c>
      <c r="O348" s="62">
        <v>232.90620813999999</v>
      </c>
      <c r="P348" s="62">
        <v>299</v>
      </c>
      <c r="Q348" s="62">
        <v>485</v>
      </c>
      <c r="R348" s="62">
        <v>300</v>
      </c>
      <c r="S348">
        <v>181</v>
      </c>
      <c r="T348" s="126">
        <v>81</v>
      </c>
      <c r="U348">
        <v>14</v>
      </c>
      <c r="V348" s="62">
        <f t="shared" si="11"/>
        <v>1360</v>
      </c>
    </row>
    <row r="349" spans="1:22" ht="14">
      <c r="A349" s="1">
        <v>1860</v>
      </c>
      <c r="B349" s="2" t="s">
        <v>209</v>
      </c>
      <c r="C349" s="139"/>
      <c r="D349" s="139">
        <v>-22.95</v>
      </c>
      <c r="E349" s="109">
        <v>4</v>
      </c>
      <c r="F349" s="109">
        <v>33</v>
      </c>
      <c r="G349" s="86">
        <v>41</v>
      </c>
      <c r="H349">
        <v>2131</v>
      </c>
      <c r="I349" s="86">
        <v>10764</v>
      </c>
      <c r="J349">
        <v>10710</v>
      </c>
      <c r="K349" s="62">
        <v>174740</v>
      </c>
      <c r="L349" s="71">
        <v>56025</v>
      </c>
      <c r="M349" s="71">
        <v>2424</v>
      </c>
      <c r="N349" s="71">
        <v>2247.5364711799998</v>
      </c>
      <c r="O349" s="62">
        <v>1491.0035204000001</v>
      </c>
      <c r="P349" s="62">
        <v>2557</v>
      </c>
      <c r="Q349" s="62">
        <v>4182</v>
      </c>
      <c r="R349" s="62">
        <v>2405</v>
      </c>
      <c r="S349">
        <v>1041</v>
      </c>
      <c r="T349" s="126">
        <v>502</v>
      </c>
      <c r="U349">
        <v>93</v>
      </c>
      <c r="V349" s="62">
        <f t="shared" si="11"/>
        <v>10780</v>
      </c>
    </row>
    <row r="350" spans="1:22" ht="14">
      <c r="A350" s="1">
        <v>1865</v>
      </c>
      <c r="B350" s="2" t="s">
        <v>210</v>
      </c>
      <c r="C350" s="139"/>
      <c r="D350" s="139">
        <v>60.77</v>
      </c>
      <c r="E350" s="109">
        <v>4</v>
      </c>
      <c r="F350" s="109">
        <v>34</v>
      </c>
      <c r="G350" s="86">
        <v>41</v>
      </c>
      <c r="H350">
        <v>3243</v>
      </c>
      <c r="I350" s="86">
        <v>9034</v>
      </c>
      <c r="J350">
        <v>8933</v>
      </c>
      <c r="K350" s="62">
        <v>126494</v>
      </c>
      <c r="L350" s="71">
        <v>40151</v>
      </c>
      <c r="M350" s="71">
        <v>0</v>
      </c>
      <c r="N350" s="71">
        <v>850.96535721999999</v>
      </c>
      <c r="O350" s="62">
        <v>1222.0930551399999</v>
      </c>
      <c r="P350" s="62">
        <v>1999</v>
      </c>
      <c r="Q350" s="62">
        <v>3576</v>
      </c>
      <c r="R350" s="62">
        <v>2111</v>
      </c>
      <c r="S350">
        <v>860</v>
      </c>
      <c r="T350" s="126">
        <v>408</v>
      </c>
      <c r="U350">
        <v>69</v>
      </c>
      <c r="V350" s="62">
        <f t="shared" si="11"/>
        <v>9023</v>
      </c>
    </row>
    <row r="351" spans="1:22" ht="14">
      <c r="A351" s="1">
        <v>1866</v>
      </c>
      <c r="B351" s="2" t="s">
        <v>211</v>
      </c>
      <c r="C351" s="139"/>
      <c r="D351" s="139">
        <v>57.856999999999999</v>
      </c>
      <c r="E351" s="109">
        <v>4</v>
      </c>
      <c r="F351" s="109">
        <v>30</v>
      </c>
      <c r="G351" s="86">
        <v>41</v>
      </c>
      <c r="H351">
        <v>0</v>
      </c>
      <c r="I351" s="86">
        <v>8039</v>
      </c>
      <c r="J351">
        <v>7970</v>
      </c>
      <c r="K351" s="62">
        <v>132001</v>
      </c>
      <c r="L351" s="71">
        <v>32623</v>
      </c>
      <c r="M351" s="71">
        <v>0</v>
      </c>
      <c r="N351" s="71">
        <v>719.61582319000001</v>
      </c>
      <c r="O351" s="62">
        <v>1112.6503584</v>
      </c>
      <c r="P351" s="62">
        <v>1714</v>
      </c>
      <c r="Q351" s="62">
        <v>3041</v>
      </c>
      <c r="R351" s="62">
        <v>1874</v>
      </c>
      <c r="S351">
        <v>835</v>
      </c>
      <c r="T351" s="126">
        <v>388</v>
      </c>
      <c r="U351">
        <v>72</v>
      </c>
      <c r="V351" s="62">
        <f t="shared" si="11"/>
        <v>7924</v>
      </c>
    </row>
    <row r="352" spans="1:22" ht="14">
      <c r="A352" s="1">
        <v>1867</v>
      </c>
      <c r="B352" s="2" t="s">
        <v>913</v>
      </c>
      <c r="C352" s="139"/>
      <c r="D352" s="139">
        <v>-36.350999999999999</v>
      </c>
      <c r="E352" s="109">
        <v>4</v>
      </c>
      <c r="F352" s="109">
        <v>1</v>
      </c>
      <c r="G352" s="86">
        <v>41</v>
      </c>
      <c r="H352">
        <v>2445</v>
      </c>
      <c r="I352" s="86">
        <v>3003</v>
      </c>
      <c r="J352">
        <v>2867</v>
      </c>
      <c r="K352" s="62">
        <v>80720</v>
      </c>
      <c r="L352" s="71">
        <v>8251</v>
      </c>
      <c r="M352" s="71">
        <v>0</v>
      </c>
      <c r="N352" s="71">
        <v>731.96492467999997</v>
      </c>
      <c r="O352" s="62">
        <v>459.35425594999998</v>
      </c>
      <c r="P352" s="62">
        <v>526</v>
      </c>
      <c r="Q352" s="62">
        <v>951</v>
      </c>
      <c r="R352" s="62">
        <v>629</v>
      </c>
      <c r="S352">
        <v>431</v>
      </c>
      <c r="T352" s="126">
        <v>198</v>
      </c>
      <c r="U352">
        <v>55</v>
      </c>
      <c r="V352" s="62">
        <f t="shared" si="11"/>
        <v>2790</v>
      </c>
    </row>
    <row r="353" spans="1:22" ht="14">
      <c r="A353" s="1">
        <v>1868</v>
      </c>
      <c r="B353" s="2" t="s">
        <v>212</v>
      </c>
      <c r="C353" s="139"/>
      <c r="D353" s="139">
        <v>-8.1370000000000005</v>
      </c>
      <c r="E353" s="109">
        <v>4</v>
      </c>
      <c r="F353" s="109">
        <v>24</v>
      </c>
      <c r="G353" s="86">
        <v>41</v>
      </c>
      <c r="H353">
        <v>1533</v>
      </c>
      <c r="I353" s="86">
        <v>4550</v>
      </c>
      <c r="J353">
        <v>4424</v>
      </c>
      <c r="K353" s="62">
        <v>82444</v>
      </c>
      <c r="L353" s="71">
        <v>15360</v>
      </c>
      <c r="M353" s="71">
        <v>0</v>
      </c>
      <c r="N353" s="71">
        <v>453.54881835999998</v>
      </c>
      <c r="O353" s="62">
        <v>654.95479749000003</v>
      </c>
      <c r="P353" s="62">
        <v>1040</v>
      </c>
      <c r="Q353" s="62">
        <v>1708</v>
      </c>
      <c r="R353" s="62">
        <v>1008</v>
      </c>
      <c r="S353">
        <v>452</v>
      </c>
      <c r="T353" s="126">
        <v>188</v>
      </c>
      <c r="U353">
        <v>36</v>
      </c>
      <c r="V353" s="62">
        <f t="shared" si="11"/>
        <v>4432</v>
      </c>
    </row>
    <row r="354" spans="1:22" ht="14">
      <c r="A354" s="1">
        <v>1870</v>
      </c>
      <c r="B354" s="2" t="s">
        <v>213</v>
      </c>
      <c r="C354" s="139"/>
      <c r="D354" s="139">
        <v>-7.0880000000000001</v>
      </c>
      <c r="E354" s="109">
        <v>4</v>
      </c>
      <c r="F354" s="109">
        <v>53</v>
      </c>
      <c r="G354" s="86">
        <v>41</v>
      </c>
      <c r="H354">
        <v>2720</v>
      </c>
      <c r="I354" s="86">
        <v>9536</v>
      </c>
      <c r="J354">
        <v>9678</v>
      </c>
      <c r="K354" s="62">
        <v>142338</v>
      </c>
      <c r="L354" s="71">
        <v>56260</v>
      </c>
      <c r="M354" s="71">
        <v>2033</v>
      </c>
      <c r="N354" s="71">
        <v>1300.0235932200001</v>
      </c>
      <c r="O354" s="62">
        <v>1342.5390154500001</v>
      </c>
      <c r="P354" s="62">
        <v>2353</v>
      </c>
      <c r="Q354" s="62">
        <v>4142</v>
      </c>
      <c r="R354" s="62">
        <v>2129</v>
      </c>
      <c r="S354">
        <v>791</v>
      </c>
      <c r="T354" s="126">
        <v>354</v>
      </c>
      <c r="U354">
        <v>87</v>
      </c>
      <c r="V354" s="62">
        <f t="shared" si="11"/>
        <v>9856</v>
      </c>
    </row>
    <row r="355" spans="1:22" ht="14">
      <c r="A355" s="1">
        <v>1871</v>
      </c>
      <c r="B355" s="2" t="s">
        <v>214</v>
      </c>
      <c r="C355" s="139"/>
      <c r="D355" s="139">
        <v>109.324</v>
      </c>
      <c r="E355" s="109">
        <v>4</v>
      </c>
      <c r="F355" s="109">
        <v>17</v>
      </c>
      <c r="G355" s="86">
        <v>41</v>
      </c>
      <c r="H355">
        <v>601</v>
      </c>
      <c r="I355" s="86">
        <v>5341</v>
      </c>
      <c r="J355">
        <v>5078</v>
      </c>
      <c r="K355" s="62">
        <v>99437</v>
      </c>
      <c r="L355" s="71">
        <v>21776</v>
      </c>
      <c r="M355" s="71">
        <v>0</v>
      </c>
      <c r="N355" s="71">
        <v>711.75730406000002</v>
      </c>
      <c r="O355" s="62">
        <v>752.62824469999998</v>
      </c>
      <c r="P355" s="62">
        <v>1068</v>
      </c>
      <c r="Q355" s="62">
        <v>1850</v>
      </c>
      <c r="R355" s="62">
        <v>1194</v>
      </c>
      <c r="S355">
        <v>593</v>
      </c>
      <c r="T355" s="126">
        <v>265</v>
      </c>
      <c r="U355">
        <v>63</v>
      </c>
      <c r="V355" s="62">
        <f t="shared" si="11"/>
        <v>5033</v>
      </c>
    </row>
    <row r="356" spans="1:22" ht="14">
      <c r="A356" s="1">
        <v>1874</v>
      </c>
      <c r="B356" s="2" t="s">
        <v>215</v>
      </c>
      <c r="C356" s="139"/>
      <c r="D356" s="139">
        <v>-115.06100000000001</v>
      </c>
      <c r="E356" s="109">
        <v>4</v>
      </c>
      <c r="F356" s="109">
        <v>12</v>
      </c>
      <c r="G356" s="86">
        <v>41</v>
      </c>
      <c r="H356">
        <v>548</v>
      </c>
      <c r="I356" s="86">
        <v>1201</v>
      </c>
      <c r="J356">
        <v>1128</v>
      </c>
      <c r="K356" s="62">
        <v>32657</v>
      </c>
      <c r="L356" s="71">
        <v>3790</v>
      </c>
      <c r="M356" s="71">
        <v>0</v>
      </c>
      <c r="N356" s="71">
        <v>0</v>
      </c>
      <c r="O356" s="62">
        <v>179.86539979</v>
      </c>
      <c r="P356" s="62">
        <v>211</v>
      </c>
      <c r="Q356" s="62">
        <v>412</v>
      </c>
      <c r="R356" s="62">
        <v>250</v>
      </c>
      <c r="S356">
        <v>163</v>
      </c>
      <c r="T356" s="126">
        <v>72</v>
      </c>
      <c r="U356">
        <v>12</v>
      </c>
      <c r="V356" s="62">
        <f t="shared" ref="V356:V399" si="12">P356+Q356+R356+S356+T356+U356</f>
        <v>1120</v>
      </c>
    </row>
    <row r="357" spans="1:22" ht="14">
      <c r="A357" s="1">
        <v>1901</v>
      </c>
      <c r="B357" s="2" t="s">
        <v>216</v>
      </c>
      <c r="C357" s="139"/>
      <c r="D357" s="139">
        <v>-19.073</v>
      </c>
      <c r="E357" s="109">
        <v>4</v>
      </c>
      <c r="F357" s="109">
        <v>58</v>
      </c>
      <c r="G357" s="86">
        <v>42</v>
      </c>
      <c r="H357">
        <v>3867</v>
      </c>
      <c r="I357" s="86">
        <v>23108</v>
      </c>
      <c r="J357">
        <v>23108</v>
      </c>
      <c r="K357" s="62">
        <v>289233</v>
      </c>
      <c r="L357" s="71">
        <v>120957</v>
      </c>
      <c r="M357" s="71">
        <v>1920</v>
      </c>
      <c r="N357" s="71">
        <v>3256.7948565900001</v>
      </c>
      <c r="O357" s="62">
        <v>2894.1696687100002</v>
      </c>
      <c r="P357" s="62">
        <v>5173</v>
      </c>
      <c r="Q357" s="62">
        <v>9864</v>
      </c>
      <c r="R357" s="62">
        <v>5233</v>
      </c>
      <c r="S357">
        <v>2101</v>
      </c>
      <c r="T357" s="126">
        <v>913</v>
      </c>
      <c r="U357">
        <v>139</v>
      </c>
      <c r="V357" s="62">
        <f t="shared" si="12"/>
        <v>23423</v>
      </c>
    </row>
    <row r="358" spans="1:22" ht="14">
      <c r="A358" s="1">
        <v>1902</v>
      </c>
      <c r="B358" s="2" t="s">
        <v>217</v>
      </c>
      <c r="C358" s="139"/>
      <c r="D358" s="139">
        <v>-22.324999999999999</v>
      </c>
      <c r="E358" s="109">
        <v>3</v>
      </c>
      <c r="F358" s="109">
        <v>76</v>
      </c>
      <c r="G358" s="86">
        <v>42</v>
      </c>
      <c r="H358">
        <v>50749</v>
      </c>
      <c r="I358" s="86">
        <v>62558</v>
      </c>
      <c r="J358">
        <v>65286</v>
      </c>
      <c r="K358" s="62">
        <v>638469</v>
      </c>
      <c r="L358" s="71">
        <v>458402</v>
      </c>
      <c r="M358" s="71">
        <v>2579</v>
      </c>
      <c r="N358" s="71">
        <v>3888.84432376</v>
      </c>
      <c r="O358" s="62">
        <v>8113.5945333400005</v>
      </c>
      <c r="P358" s="62">
        <v>15894</v>
      </c>
      <c r="Q358" s="62">
        <v>32820</v>
      </c>
      <c r="R358" s="62">
        <v>13302</v>
      </c>
      <c r="S358">
        <v>4361</v>
      </c>
      <c r="T358" s="126">
        <v>1599</v>
      </c>
      <c r="U358">
        <v>263</v>
      </c>
      <c r="V358" s="62">
        <f t="shared" si="12"/>
        <v>68239</v>
      </c>
    </row>
    <row r="359" spans="1:22" ht="14">
      <c r="A359" s="1">
        <v>1911</v>
      </c>
      <c r="B359" s="2" t="s">
        <v>218</v>
      </c>
      <c r="C359" s="139"/>
      <c r="D359" s="139">
        <v>38.47</v>
      </c>
      <c r="E359" s="109">
        <v>4</v>
      </c>
      <c r="F359" s="109">
        <v>30</v>
      </c>
      <c r="G359" s="86">
        <v>42</v>
      </c>
      <c r="H359">
        <v>7151</v>
      </c>
      <c r="I359" s="86">
        <v>3072</v>
      </c>
      <c r="J359">
        <v>3036</v>
      </c>
      <c r="K359" s="62">
        <v>79341</v>
      </c>
      <c r="L359" s="71">
        <v>10934</v>
      </c>
      <c r="M359" s="71">
        <v>0</v>
      </c>
      <c r="N359" s="71">
        <v>404.1524124</v>
      </c>
      <c r="O359" s="62">
        <v>469.53638795000001</v>
      </c>
      <c r="P359" s="62">
        <v>708</v>
      </c>
      <c r="Q359" s="62">
        <v>1140</v>
      </c>
      <c r="R359" s="62">
        <v>750</v>
      </c>
      <c r="S359">
        <v>300</v>
      </c>
      <c r="T359" s="126">
        <v>130</v>
      </c>
      <c r="U359">
        <v>22</v>
      </c>
      <c r="V359" s="62">
        <f t="shared" si="12"/>
        <v>3050</v>
      </c>
    </row>
    <row r="360" spans="1:22" ht="14">
      <c r="A360" s="1">
        <v>1913</v>
      </c>
      <c r="B360" s="2" t="s">
        <v>219</v>
      </c>
      <c r="C360" s="139"/>
      <c r="D360" s="139">
        <v>96</v>
      </c>
      <c r="E360" s="109">
        <v>4</v>
      </c>
      <c r="F360" s="109">
        <v>30</v>
      </c>
      <c r="G360" s="86">
        <v>42</v>
      </c>
      <c r="H360">
        <v>2694</v>
      </c>
      <c r="I360" s="86">
        <v>2954</v>
      </c>
      <c r="J360">
        <v>2862</v>
      </c>
      <c r="K360" s="62">
        <v>71439</v>
      </c>
      <c r="L360" s="71">
        <v>13147</v>
      </c>
      <c r="M360" s="71">
        <v>0</v>
      </c>
      <c r="N360" s="71">
        <v>722.98375996000004</v>
      </c>
      <c r="O360" s="62">
        <v>439.24034648999998</v>
      </c>
      <c r="P360" s="62">
        <v>539</v>
      </c>
      <c r="Q360" s="62">
        <v>1064</v>
      </c>
      <c r="R360" s="62">
        <v>773</v>
      </c>
      <c r="S360">
        <v>347</v>
      </c>
      <c r="T360" s="126">
        <v>133</v>
      </c>
      <c r="U360">
        <v>40</v>
      </c>
      <c r="V360" s="62">
        <f t="shared" si="12"/>
        <v>2896</v>
      </c>
    </row>
    <row r="361" spans="1:22" ht="14">
      <c r="A361" s="1">
        <v>1915</v>
      </c>
      <c r="B361" s="2" t="s">
        <v>220</v>
      </c>
      <c r="C361" s="139"/>
      <c r="D361" s="139">
        <v>41.996000000000002</v>
      </c>
      <c r="E361" s="109">
        <v>4</v>
      </c>
      <c r="F361" s="109">
        <v>4</v>
      </c>
      <c r="G361" s="86">
        <v>42</v>
      </c>
      <c r="H361">
        <v>1746</v>
      </c>
      <c r="I361" s="86">
        <v>535</v>
      </c>
      <c r="J361">
        <v>509</v>
      </c>
      <c r="K361" s="62">
        <v>29326</v>
      </c>
      <c r="L361" s="71">
        <v>2682</v>
      </c>
      <c r="M361" s="71">
        <v>0</v>
      </c>
      <c r="N361" s="71">
        <v>41.537886829999998</v>
      </c>
      <c r="O361" s="62">
        <v>112.6607364</v>
      </c>
      <c r="P361" s="62">
        <v>102</v>
      </c>
      <c r="Q361" s="62">
        <v>126</v>
      </c>
      <c r="R361" s="62">
        <v>138</v>
      </c>
      <c r="S361">
        <v>70</v>
      </c>
      <c r="T361" s="126">
        <v>28</v>
      </c>
      <c r="U361">
        <v>12</v>
      </c>
      <c r="V361" s="62">
        <f t="shared" si="12"/>
        <v>476</v>
      </c>
    </row>
    <row r="362" spans="1:22" ht="14">
      <c r="A362" s="1">
        <v>1917</v>
      </c>
      <c r="B362" s="2" t="s">
        <v>221</v>
      </c>
      <c r="C362" s="139"/>
      <c r="D362" s="139">
        <v>135.65600000000001</v>
      </c>
      <c r="E362" s="109">
        <v>4</v>
      </c>
      <c r="F362" s="109">
        <v>1</v>
      </c>
      <c r="G362" s="86">
        <v>42</v>
      </c>
      <c r="H362">
        <v>5494</v>
      </c>
      <c r="I362" s="86">
        <v>1649</v>
      </c>
      <c r="J362">
        <v>1511</v>
      </c>
      <c r="K362" s="62">
        <v>54246</v>
      </c>
      <c r="L362" s="71">
        <v>3921</v>
      </c>
      <c r="M362" s="71">
        <v>0</v>
      </c>
      <c r="N362" s="71">
        <v>1045.18304429</v>
      </c>
      <c r="O362" s="62">
        <v>253.18449143000001</v>
      </c>
      <c r="P362" s="62">
        <v>233</v>
      </c>
      <c r="Q362" s="62">
        <v>424</v>
      </c>
      <c r="R362" s="62">
        <v>395</v>
      </c>
      <c r="S362">
        <v>227</v>
      </c>
      <c r="T362" s="126">
        <v>108</v>
      </c>
      <c r="U362">
        <v>32</v>
      </c>
      <c r="V362" s="62">
        <f t="shared" si="12"/>
        <v>1419</v>
      </c>
    </row>
    <row r="363" spans="1:22" ht="14">
      <c r="A363" s="1">
        <v>1919</v>
      </c>
      <c r="B363" s="2" t="s">
        <v>222</v>
      </c>
      <c r="C363" s="139"/>
      <c r="D363" s="139">
        <v>161.44</v>
      </c>
      <c r="E363" s="109">
        <v>4</v>
      </c>
      <c r="F363" s="109">
        <v>8</v>
      </c>
      <c r="G363" s="86">
        <v>42</v>
      </c>
      <c r="H363">
        <v>3894</v>
      </c>
      <c r="I363" s="86">
        <v>1268</v>
      </c>
      <c r="J363">
        <v>1168</v>
      </c>
      <c r="K363" s="62">
        <v>42788</v>
      </c>
      <c r="L363" s="71">
        <v>4431</v>
      </c>
      <c r="M363" s="71">
        <v>0</v>
      </c>
      <c r="N363" s="71">
        <v>373.84098146999997</v>
      </c>
      <c r="O363" s="62">
        <v>203.62974008</v>
      </c>
      <c r="P363" s="62">
        <v>215</v>
      </c>
      <c r="Q363" s="62">
        <v>390</v>
      </c>
      <c r="R363" s="62">
        <v>271</v>
      </c>
      <c r="S363">
        <v>153</v>
      </c>
      <c r="T363" s="126">
        <v>77</v>
      </c>
      <c r="U363">
        <v>9</v>
      </c>
      <c r="V363" s="62">
        <f t="shared" si="12"/>
        <v>1115</v>
      </c>
    </row>
    <row r="364" spans="1:22" ht="14">
      <c r="A364" s="1">
        <v>1920</v>
      </c>
      <c r="B364" s="2" t="s">
        <v>223</v>
      </c>
      <c r="C364" s="139"/>
      <c r="D364" s="139">
        <v>29.530999999999999</v>
      </c>
      <c r="E364" s="109">
        <v>4</v>
      </c>
      <c r="F364" s="109">
        <v>10</v>
      </c>
      <c r="G364" s="86">
        <v>42</v>
      </c>
      <c r="H364">
        <v>2097</v>
      </c>
      <c r="I364" s="86">
        <v>1029</v>
      </c>
      <c r="J364">
        <v>1010</v>
      </c>
      <c r="K364" s="62">
        <v>40188</v>
      </c>
      <c r="L364" s="71">
        <v>4949</v>
      </c>
      <c r="M364" s="71">
        <v>0</v>
      </c>
      <c r="N364" s="71">
        <v>419.86945065999998</v>
      </c>
      <c r="O364" s="62">
        <v>186.52977623999999</v>
      </c>
      <c r="P364" s="62">
        <v>228</v>
      </c>
      <c r="Q364" s="62">
        <v>345</v>
      </c>
      <c r="R364" s="62">
        <v>218</v>
      </c>
      <c r="S364">
        <v>126</v>
      </c>
      <c r="T364" s="126">
        <v>66</v>
      </c>
      <c r="U364">
        <v>20</v>
      </c>
      <c r="V364" s="62">
        <f t="shared" si="12"/>
        <v>1003</v>
      </c>
    </row>
    <row r="365" spans="1:22" ht="14">
      <c r="A365" s="1">
        <v>1922</v>
      </c>
      <c r="B365" s="2" t="s">
        <v>224</v>
      </c>
      <c r="C365" s="139"/>
      <c r="D365" s="139">
        <v>-51.720999999999997</v>
      </c>
      <c r="E365" s="109">
        <v>4</v>
      </c>
      <c r="F365" s="109">
        <v>41</v>
      </c>
      <c r="G365" s="86">
        <v>42</v>
      </c>
      <c r="H365">
        <v>1051</v>
      </c>
      <c r="I365" s="86">
        <v>3874</v>
      </c>
      <c r="J365">
        <v>3994</v>
      </c>
      <c r="K365" s="62">
        <v>65370</v>
      </c>
      <c r="L365" s="71">
        <v>25887</v>
      </c>
      <c r="M365" s="71">
        <v>0</v>
      </c>
      <c r="N365" s="71">
        <v>1040.69246193</v>
      </c>
      <c r="O365" s="62">
        <v>564.88851748000002</v>
      </c>
      <c r="P365" s="62">
        <v>916</v>
      </c>
      <c r="Q365" s="62">
        <v>1638</v>
      </c>
      <c r="R365" s="62">
        <v>830</v>
      </c>
      <c r="S365">
        <v>358</v>
      </c>
      <c r="T365" s="126">
        <v>169</v>
      </c>
      <c r="U365">
        <v>31</v>
      </c>
      <c r="V365" s="62">
        <f t="shared" si="12"/>
        <v>3942</v>
      </c>
    </row>
    <row r="366" spans="1:22" ht="14">
      <c r="A366" s="1">
        <v>1923</v>
      </c>
      <c r="B366" s="2" t="s">
        <v>225</v>
      </c>
      <c r="C366" s="139"/>
      <c r="D366" s="139">
        <v>18.690000000000001</v>
      </c>
      <c r="E366" s="109">
        <v>4</v>
      </c>
      <c r="F366" s="109">
        <v>11</v>
      </c>
      <c r="G366" s="86">
        <v>42</v>
      </c>
      <c r="H366">
        <v>3303</v>
      </c>
      <c r="I366" s="86">
        <v>2244</v>
      </c>
      <c r="J366">
        <v>2169</v>
      </c>
      <c r="K366" s="62">
        <v>54190</v>
      </c>
      <c r="L366" s="71">
        <v>8626</v>
      </c>
      <c r="M366" s="71">
        <v>0</v>
      </c>
      <c r="N366" s="71">
        <v>628.68153040000004</v>
      </c>
      <c r="O366" s="62">
        <v>329.93801173999998</v>
      </c>
      <c r="P366" s="62">
        <v>503</v>
      </c>
      <c r="Q366" s="62">
        <v>821</v>
      </c>
      <c r="R366" s="62">
        <v>528</v>
      </c>
      <c r="S366">
        <v>237</v>
      </c>
      <c r="T366" s="126">
        <v>73</v>
      </c>
      <c r="U366">
        <v>17</v>
      </c>
      <c r="V366" s="62">
        <f t="shared" si="12"/>
        <v>2179</v>
      </c>
    </row>
    <row r="367" spans="1:22" ht="14">
      <c r="A367" s="1">
        <v>1924</v>
      </c>
      <c r="B367" s="2" t="s">
        <v>226</v>
      </c>
      <c r="C367" s="139"/>
      <c r="D367" s="139">
        <v>-53.615000000000002</v>
      </c>
      <c r="E367" s="109">
        <v>4</v>
      </c>
      <c r="F367" s="109">
        <v>32</v>
      </c>
      <c r="G367" s="86">
        <v>42</v>
      </c>
      <c r="H367">
        <v>2862</v>
      </c>
      <c r="I367" s="86">
        <v>6658</v>
      </c>
      <c r="J367">
        <v>6603</v>
      </c>
      <c r="K367" s="62">
        <v>108565</v>
      </c>
      <c r="L367" s="71">
        <v>32271</v>
      </c>
      <c r="M367" s="71">
        <v>0</v>
      </c>
      <c r="N367" s="71">
        <v>319.95399314999997</v>
      </c>
      <c r="O367" s="62">
        <v>902.90257311000005</v>
      </c>
      <c r="P367" s="62">
        <v>1467</v>
      </c>
      <c r="Q367" s="62">
        <v>2726</v>
      </c>
      <c r="R367" s="62">
        <v>1396</v>
      </c>
      <c r="S367">
        <v>654</v>
      </c>
      <c r="T367" s="126">
        <v>272</v>
      </c>
      <c r="U367">
        <v>48</v>
      </c>
      <c r="V367" s="62">
        <f t="shared" si="12"/>
        <v>6563</v>
      </c>
    </row>
    <row r="368" spans="1:22" ht="14">
      <c r="A368" s="1">
        <v>1925</v>
      </c>
      <c r="B368" s="2" t="s">
        <v>227</v>
      </c>
      <c r="C368" s="139"/>
      <c r="D368" s="139">
        <v>-101.71299999999999</v>
      </c>
      <c r="E368" s="109">
        <v>4</v>
      </c>
      <c r="F368" s="109">
        <v>36</v>
      </c>
      <c r="G368" s="86">
        <v>42</v>
      </c>
      <c r="H368">
        <v>1962</v>
      </c>
      <c r="I368" s="86">
        <v>3330</v>
      </c>
      <c r="J368">
        <v>3312</v>
      </c>
      <c r="K368" s="62">
        <v>59430</v>
      </c>
      <c r="L368" s="71">
        <v>14146</v>
      </c>
      <c r="M368" s="71">
        <v>0</v>
      </c>
      <c r="N368" s="71">
        <v>453.54881835999998</v>
      </c>
      <c r="O368" s="62">
        <v>477.47529881999998</v>
      </c>
      <c r="P368" s="62">
        <v>817</v>
      </c>
      <c r="Q368" s="62">
        <v>1330</v>
      </c>
      <c r="R368" s="62">
        <v>743</v>
      </c>
      <c r="S368">
        <v>329</v>
      </c>
      <c r="T368" s="126">
        <v>124</v>
      </c>
      <c r="U368">
        <v>28</v>
      </c>
      <c r="V368" s="62">
        <f t="shared" si="12"/>
        <v>3371</v>
      </c>
    </row>
    <row r="369" spans="1:22" ht="14">
      <c r="A369" s="1">
        <v>1926</v>
      </c>
      <c r="B369" s="2" t="s">
        <v>228</v>
      </c>
      <c r="C369" s="139"/>
      <c r="D369" s="139">
        <v>130.166</v>
      </c>
      <c r="E369" s="109">
        <v>4</v>
      </c>
      <c r="F369" s="109">
        <v>5</v>
      </c>
      <c r="G369" s="86">
        <v>42</v>
      </c>
      <c r="H369">
        <v>2261</v>
      </c>
      <c r="I369" s="86">
        <v>1288</v>
      </c>
      <c r="J369">
        <v>1232</v>
      </c>
      <c r="K369" s="62">
        <v>45327</v>
      </c>
      <c r="L369" s="71">
        <v>5021</v>
      </c>
      <c r="M369" s="71">
        <v>0</v>
      </c>
      <c r="N369" s="71">
        <v>98.792811920000005</v>
      </c>
      <c r="O369" s="62">
        <v>221.99042309000001</v>
      </c>
      <c r="P369" s="62">
        <v>237</v>
      </c>
      <c r="Q369" s="62">
        <v>404</v>
      </c>
      <c r="R369" s="62">
        <v>311</v>
      </c>
      <c r="S369">
        <v>155</v>
      </c>
      <c r="T369" s="126">
        <v>84</v>
      </c>
      <c r="U369">
        <v>14</v>
      </c>
      <c r="V369" s="62">
        <f t="shared" si="12"/>
        <v>1205</v>
      </c>
    </row>
    <row r="370" spans="1:22" ht="14">
      <c r="A370" s="1">
        <v>1927</v>
      </c>
      <c r="B370" s="2" t="s">
        <v>229</v>
      </c>
      <c r="C370" s="139"/>
      <c r="D370" s="139">
        <v>23.158999999999999</v>
      </c>
      <c r="E370" s="109">
        <v>4</v>
      </c>
      <c r="F370" s="109">
        <v>4</v>
      </c>
      <c r="G370" s="86">
        <v>42</v>
      </c>
      <c r="H370">
        <v>5893</v>
      </c>
      <c r="I370" s="86">
        <v>1632</v>
      </c>
      <c r="J370">
        <v>1579</v>
      </c>
      <c r="K370" s="62">
        <v>54102</v>
      </c>
      <c r="L370" s="71">
        <v>6258</v>
      </c>
      <c r="M370" s="71">
        <v>0</v>
      </c>
      <c r="N370" s="71">
        <v>111.14191341</v>
      </c>
      <c r="O370" s="62">
        <v>258.59741265999997</v>
      </c>
      <c r="P370" s="62">
        <v>302</v>
      </c>
      <c r="Q370" s="62">
        <v>518</v>
      </c>
      <c r="R370" s="62">
        <v>387</v>
      </c>
      <c r="S370">
        <v>216</v>
      </c>
      <c r="T370" s="126">
        <v>94</v>
      </c>
      <c r="U370">
        <v>21</v>
      </c>
      <c r="V370" s="62">
        <f t="shared" si="12"/>
        <v>1538</v>
      </c>
    </row>
    <row r="371" spans="1:22" ht="14">
      <c r="A371" s="1">
        <v>1928</v>
      </c>
      <c r="B371" s="2" t="s">
        <v>230</v>
      </c>
      <c r="C371" s="139"/>
      <c r="D371" s="139">
        <v>316.93099999999998</v>
      </c>
      <c r="E371" s="109">
        <v>4</v>
      </c>
      <c r="F371" s="109">
        <v>5</v>
      </c>
      <c r="G371" s="86">
        <v>42</v>
      </c>
      <c r="H371">
        <v>4700</v>
      </c>
      <c r="I371" s="86">
        <v>1033</v>
      </c>
      <c r="J371">
        <v>937</v>
      </c>
      <c r="K371" s="62">
        <v>42207</v>
      </c>
      <c r="L371" s="71">
        <v>3195</v>
      </c>
      <c r="M371" s="71">
        <v>0</v>
      </c>
      <c r="N371" s="71">
        <v>98.792811920000005</v>
      </c>
      <c r="O371" s="62">
        <v>175.65767600000001</v>
      </c>
      <c r="P371" s="62">
        <v>159</v>
      </c>
      <c r="Q371" s="62">
        <v>322</v>
      </c>
      <c r="R371" s="62">
        <v>234</v>
      </c>
      <c r="S371">
        <v>122</v>
      </c>
      <c r="T371" s="126">
        <v>61</v>
      </c>
      <c r="U371">
        <v>13</v>
      </c>
      <c r="V371" s="62">
        <f t="shared" si="12"/>
        <v>911</v>
      </c>
    </row>
    <row r="372" spans="1:22" ht="14">
      <c r="A372" s="1">
        <v>1929</v>
      </c>
      <c r="B372" s="2" t="s">
        <v>231</v>
      </c>
      <c r="C372" s="139"/>
      <c r="D372" s="139">
        <v>118.61499999999999</v>
      </c>
      <c r="E372" s="109">
        <v>4</v>
      </c>
      <c r="F372" s="109">
        <v>7</v>
      </c>
      <c r="G372" s="86">
        <v>42</v>
      </c>
      <c r="H372">
        <v>1850</v>
      </c>
      <c r="I372" s="86">
        <v>1014</v>
      </c>
      <c r="J372">
        <v>937</v>
      </c>
      <c r="K372" s="62">
        <v>32024</v>
      </c>
      <c r="L372" s="71">
        <v>1925</v>
      </c>
      <c r="M372" s="71">
        <v>0</v>
      </c>
      <c r="N372" s="71">
        <v>0</v>
      </c>
      <c r="O372" s="62">
        <v>153.04162403000001</v>
      </c>
      <c r="P372" s="62">
        <v>160</v>
      </c>
      <c r="Q372" s="62">
        <v>351</v>
      </c>
      <c r="R372" s="62">
        <v>218</v>
      </c>
      <c r="S372">
        <v>114</v>
      </c>
      <c r="T372" s="126">
        <v>49</v>
      </c>
      <c r="U372">
        <v>15</v>
      </c>
      <c r="V372" s="62">
        <f t="shared" si="12"/>
        <v>907</v>
      </c>
    </row>
    <row r="373" spans="1:22" ht="14">
      <c r="A373" s="1">
        <v>1931</v>
      </c>
      <c r="B373" s="2" t="s">
        <v>232</v>
      </c>
      <c r="C373" s="139"/>
      <c r="D373" s="139">
        <v>-104.301</v>
      </c>
      <c r="E373" s="109">
        <v>4</v>
      </c>
      <c r="F373" s="109">
        <v>37</v>
      </c>
      <c r="G373" s="86">
        <v>42</v>
      </c>
      <c r="H373">
        <v>2450</v>
      </c>
      <c r="I373" s="86">
        <v>11035</v>
      </c>
      <c r="J373">
        <v>11160</v>
      </c>
      <c r="K373" s="62">
        <v>199927</v>
      </c>
      <c r="L373" s="71">
        <v>66351</v>
      </c>
      <c r="M373" s="71">
        <v>2894</v>
      </c>
      <c r="N373" s="71">
        <v>1219.1931107400001</v>
      </c>
      <c r="O373" s="62">
        <v>1628.12035541</v>
      </c>
      <c r="P373" s="62">
        <v>2799</v>
      </c>
      <c r="Q373" s="62">
        <v>4490</v>
      </c>
      <c r="R373" s="62">
        <v>2415</v>
      </c>
      <c r="S373">
        <v>1065</v>
      </c>
      <c r="T373" s="126">
        <v>452</v>
      </c>
      <c r="U373">
        <v>73</v>
      </c>
      <c r="V373" s="62">
        <f t="shared" si="12"/>
        <v>11294</v>
      </c>
    </row>
    <row r="374" spans="1:22" ht="14">
      <c r="A374" s="1">
        <v>1933</v>
      </c>
      <c r="B374" s="2" t="s">
        <v>233</v>
      </c>
      <c r="C374" s="139"/>
      <c r="D374" s="139">
        <v>-126.68</v>
      </c>
      <c r="E374" s="109">
        <v>4</v>
      </c>
      <c r="F374" s="109">
        <v>12</v>
      </c>
      <c r="G374" s="86">
        <v>42</v>
      </c>
      <c r="H374">
        <v>2030</v>
      </c>
      <c r="I374" s="86">
        <v>5560</v>
      </c>
      <c r="J374">
        <v>5529</v>
      </c>
      <c r="K374" s="62">
        <v>112584</v>
      </c>
      <c r="L374" s="71">
        <v>21673</v>
      </c>
      <c r="M374" s="71">
        <v>0</v>
      </c>
      <c r="N374" s="71">
        <v>574.79454208000004</v>
      </c>
      <c r="O374" s="62">
        <v>835.23233219999997</v>
      </c>
      <c r="P374" s="62">
        <v>1173</v>
      </c>
      <c r="Q374" s="62">
        <v>2056</v>
      </c>
      <c r="R374" s="62">
        <v>1240</v>
      </c>
      <c r="S374">
        <v>745</v>
      </c>
      <c r="T374" s="126">
        <v>259</v>
      </c>
      <c r="U374">
        <v>44</v>
      </c>
      <c r="V374" s="62">
        <f t="shared" si="12"/>
        <v>5517</v>
      </c>
    </row>
    <row r="375" spans="1:22" ht="14">
      <c r="A375" s="1">
        <v>1936</v>
      </c>
      <c r="B375" s="2" t="s">
        <v>234</v>
      </c>
      <c r="C375" s="139"/>
      <c r="D375" s="139">
        <v>27.884</v>
      </c>
      <c r="E375" s="109">
        <v>5</v>
      </c>
      <c r="F375" s="109">
        <v>24</v>
      </c>
      <c r="G375" s="86">
        <v>5</v>
      </c>
      <c r="H375">
        <v>8455</v>
      </c>
      <c r="I375" s="86">
        <v>2372</v>
      </c>
      <c r="J375">
        <v>2404</v>
      </c>
      <c r="K375" s="62">
        <v>81411</v>
      </c>
      <c r="L375" s="71">
        <v>7296</v>
      </c>
      <c r="M375" s="71">
        <v>0</v>
      </c>
      <c r="N375" s="71">
        <v>539.99252879000005</v>
      </c>
      <c r="O375" s="62">
        <v>382.6737607</v>
      </c>
      <c r="P375" s="62">
        <v>443</v>
      </c>
      <c r="Q375" s="62">
        <v>874</v>
      </c>
      <c r="R375" s="62">
        <v>597</v>
      </c>
      <c r="S375">
        <v>307</v>
      </c>
      <c r="T375" s="126">
        <v>110</v>
      </c>
      <c r="U375">
        <v>26</v>
      </c>
      <c r="V375" s="62">
        <f t="shared" si="12"/>
        <v>2357</v>
      </c>
    </row>
    <row r="376" spans="1:22" ht="14">
      <c r="A376" s="1">
        <v>1938</v>
      </c>
      <c r="B376" s="2" t="s">
        <v>235</v>
      </c>
      <c r="C376" s="139"/>
      <c r="D376" s="139">
        <v>-200.24199999999999</v>
      </c>
      <c r="E376" s="109">
        <v>5</v>
      </c>
      <c r="F376" s="109">
        <v>13</v>
      </c>
      <c r="G376" s="86">
        <v>5</v>
      </c>
      <c r="H376">
        <v>2610</v>
      </c>
      <c r="I376" s="86">
        <v>3158</v>
      </c>
      <c r="J376">
        <v>3208</v>
      </c>
      <c r="K376" s="62">
        <v>91215</v>
      </c>
      <c r="L376" s="71">
        <v>13187</v>
      </c>
      <c r="M376" s="71">
        <v>0</v>
      </c>
      <c r="N376" s="71">
        <v>957.61668827000005</v>
      </c>
      <c r="O376" s="62">
        <v>511.14493138</v>
      </c>
      <c r="P376" s="62">
        <v>664</v>
      </c>
      <c r="Q376" s="62">
        <v>1132</v>
      </c>
      <c r="R376" s="62">
        <v>729</v>
      </c>
      <c r="S376">
        <v>373</v>
      </c>
      <c r="T376" s="126">
        <v>155</v>
      </c>
      <c r="U376">
        <v>33</v>
      </c>
      <c r="V376" s="62">
        <f t="shared" si="12"/>
        <v>3086</v>
      </c>
    </row>
    <row r="377" spans="1:22" ht="14">
      <c r="A377" s="1">
        <v>1939</v>
      </c>
      <c r="B377" s="2" t="s">
        <v>236</v>
      </c>
      <c r="C377" s="139"/>
      <c r="D377" s="139">
        <v>35.374000000000002</v>
      </c>
      <c r="E377" s="109">
        <v>5</v>
      </c>
      <c r="F377" s="109">
        <v>26</v>
      </c>
      <c r="G377" s="86">
        <v>5</v>
      </c>
      <c r="H377">
        <v>820</v>
      </c>
      <c r="I377" s="86">
        <v>1934</v>
      </c>
      <c r="J377">
        <v>1893</v>
      </c>
      <c r="K377" s="62">
        <v>54798</v>
      </c>
      <c r="L377" s="71">
        <v>8250</v>
      </c>
      <c r="M377" s="71">
        <v>0</v>
      </c>
      <c r="N377" s="71">
        <v>96.547520739999996</v>
      </c>
      <c r="O377" s="62">
        <v>304.09627138000002</v>
      </c>
      <c r="P377" s="62">
        <v>429</v>
      </c>
      <c r="Q377" s="62">
        <v>687</v>
      </c>
      <c r="R377" s="62">
        <v>526</v>
      </c>
      <c r="S377">
        <v>180</v>
      </c>
      <c r="T377" s="126">
        <v>63</v>
      </c>
      <c r="U377">
        <v>9</v>
      </c>
      <c r="V377" s="62">
        <f t="shared" si="12"/>
        <v>1894</v>
      </c>
    </row>
    <row r="378" spans="1:22" ht="14">
      <c r="A378" s="1">
        <v>1940</v>
      </c>
      <c r="B378" s="2" t="s">
        <v>237</v>
      </c>
      <c r="C378" s="139"/>
      <c r="D378" s="139">
        <v>111.679</v>
      </c>
      <c r="E378" s="109">
        <v>5</v>
      </c>
      <c r="F378" s="109">
        <v>2</v>
      </c>
      <c r="G378" s="86">
        <v>5</v>
      </c>
      <c r="H378">
        <v>890</v>
      </c>
      <c r="I378" s="86">
        <v>2288</v>
      </c>
      <c r="J378">
        <v>2248</v>
      </c>
      <c r="K378" s="62">
        <v>63296</v>
      </c>
      <c r="L378" s="71">
        <v>11768</v>
      </c>
      <c r="M378" s="71">
        <v>0</v>
      </c>
      <c r="N378" s="71">
        <v>563.56808618000002</v>
      </c>
      <c r="O378" s="62">
        <v>330.47598293999999</v>
      </c>
      <c r="P378" s="62">
        <v>433</v>
      </c>
      <c r="Q378" s="62">
        <v>813</v>
      </c>
      <c r="R378" s="62">
        <v>522</v>
      </c>
      <c r="S378">
        <v>300</v>
      </c>
      <c r="T378" s="126">
        <v>104</v>
      </c>
      <c r="U378">
        <v>13</v>
      </c>
      <c r="V378" s="62">
        <f t="shared" si="12"/>
        <v>2185</v>
      </c>
    </row>
    <row r="379" spans="1:22" ht="14">
      <c r="A379" s="1">
        <v>1941</v>
      </c>
      <c r="B379" s="2" t="s">
        <v>238</v>
      </c>
      <c r="C379" s="139"/>
      <c r="D379" s="139">
        <v>-47.927</v>
      </c>
      <c r="E379" s="109">
        <v>5</v>
      </c>
      <c r="F379" s="109">
        <v>27</v>
      </c>
      <c r="G379" s="86">
        <v>5</v>
      </c>
      <c r="H379">
        <v>1631</v>
      </c>
      <c r="I379" s="86">
        <v>3003</v>
      </c>
      <c r="J379">
        <v>2934</v>
      </c>
      <c r="K379" s="62">
        <v>72791</v>
      </c>
      <c r="L379" s="71">
        <v>18545</v>
      </c>
      <c r="M379" s="71">
        <v>0</v>
      </c>
      <c r="N379" s="71">
        <v>644.39856866000002</v>
      </c>
      <c r="O379" s="62">
        <v>425.33536497</v>
      </c>
      <c r="P379" s="62">
        <v>662</v>
      </c>
      <c r="Q379" s="62">
        <v>1177</v>
      </c>
      <c r="R379" s="62">
        <v>608</v>
      </c>
      <c r="S379">
        <v>310</v>
      </c>
      <c r="T379" s="126">
        <v>109</v>
      </c>
      <c r="U379">
        <v>19</v>
      </c>
      <c r="V379" s="62">
        <f t="shared" si="12"/>
        <v>2885</v>
      </c>
    </row>
    <row r="380" spans="1:22" ht="14">
      <c r="A380" s="1">
        <v>1942</v>
      </c>
      <c r="B380" s="2" t="s">
        <v>239</v>
      </c>
      <c r="C380" s="139"/>
      <c r="D380" s="139">
        <v>23.719000000000001</v>
      </c>
      <c r="E380" s="109">
        <v>5</v>
      </c>
      <c r="F380" s="109">
        <v>29</v>
      </c>
      <c r="G380" s="86">
        <v>5</v>
      </c>
      <c r="H380">
        <v>6350</v>
      </c>
      <c r="I380" s="86">
        <v>4744</v>
      </c>
      <c r="J380">
        <v>4665</v>
      </c>
      <c r="K380" s="62">
        <v>95403</v>
      </c>
      <c r="L380" s="71">
        <v>20559</v>
      </c>
      <c r="M380" s="71">
        <v>0</v>
      </c>
      <c r="N380" s="71">
        <v>396.29389327000001</v>
      </c>
      <c r="O380" s="62">
        <v>688.58977640000001</v>
      </c>
      <c r="P380" s="62">
        <v>1090</v>
      </c>
      <c r="Q380" s="62">
        <v>1922</v>
      </c>
      <c r="R380" s="62">
        <v>1072</v>
      </c>
      <c r="S380">
        <v>473</v>
      </c>
      <c r="T380" s="126">
        <v>201</v>
      </c>
      <c r="U380">
        <v>47</v>
      </c>
      <c r="V380" s="62">
        <f t="shared" si="12"/>
        <v>4805</v>
      </c>
    </row>
    <row r="381" spans="1:22" ht="14">
      <c r="A381" s="1">
        <v>1943</v>
      </c>
      <c r="B381" s="2" t="s">
        <v>240</v>
      </c>
      <c r="C381" s="139"/>
      <c r="D381" s="139">
        <v>29.411000000000001</v>
      </c>
      <c r="E381" s="109">
        <v>5</v>
      </c>
      <c r="F381" s="109">
        <v>1</v>
      </c>
      <c r="G381" s="86">
        <v>5</v>
      </c>
      <c r="H381">
        <v>590</v>
      </c>
      <c r="I381" s="86">
        <v>1401</v>
      </c>
      <c r="J381">
        <v>1348</v>
      </c>
      <c r="K381" s="62">
        <v>54644</v>
      </c>
      <c r="L381" s="71">
        <v>5517</v>
      </c>
      <c r="M381" s="71">
        <v>0</v>
      </c>
      <c r="N381" s="71">
        <v>111.14191341</v>
      </c>
      <c r="O381" s="62">
        <v>239.75372811</v>
      </c>
      <c r="P381" s="62">
        <v>255</v>
      </c>
      <c r="Q381" s="62">
        <v>457</v>
      </c>
      <c r="R381" s="62">
        <v>312</v>
      </c>
      <c r="S381">
        <v>204</v>
      </c>
      <c r="T381" s="126">
        <v>56</v>
      </c>
      <c r="U381">
        <v>10</v>
      </c>
      <c r="V381" s="62">
        <f t="shared" si="12"/>
        <v>1294</v>
      </c>
    </row>
    <row r="382" spans="1:22" ht="14">
      <c r="A382" s="1">
        <v>2002</v>
      </c>
      <c r="B382" s="2" t="s">
        <v>241</v>
      </c>
      <c r="C382" s="139"/>
      <c r="D382" s="139">
        <v>-78.677000000000007</v>
      </c>
      <c r="E382" s="109">
        <v>5</v>
      </c>
      <c r="F382" s="109">
        <v>11</v>
      </c>
      <c r="G382" s="86">
        <v>5</v>
      </c>
      <c r="H382">
        <v>5700</v>
      </c>
      <c r="I382" s="86">
        <v>2366</v>
      </c>
      <c r="J382">
        <v>2190</v>
      </c>
      <c r="K382" s="62">
        <v>67862</v>
      </c>
      <c r="L382" s="71">
        <v>7451</v>
      </c>
      <c r="M382" s="71">
        <v>0</v>
      </c>
      <c r="N382" s="71">
        <v>911.58821908000004</v>
      </c>
      <c r="O382" s="62">
        <v>300.93926797</v>
      </c>
      <c r="P382" s="62">
        <v>373</v>
      </c>
      <c r="Q382" s="62">
        <v>806</v>
      </c>
      <c r="R382" s="62">
        <v>571</v>
      </c>
      <c r="S382">
        <v>241</v>
      </c>
      <c r="T382" s="126">
        <v>104</v>
      </c>
      <c r="U382">
        <v>16</v>
      </c>
      <c r="V382" s="62">
        <f t="shared" si="12"/>
        <v>2111</v>
      </c>
    </row>
    <row r="383" spans="1:22" ht="14">
      <c r="A383" s="1">
        <v>2003</v>
      </c>
      <c r="B383" s="2" t="s">
        <v>242</v>
      </c>
      <c r="C383" s="139"/>
      <c r="D383" s="139">
        <v>-76.225999999999999</v>
      </c>
      <c r="E383" s="109">
        <v>5</v>
      </c>
      <c r="F383" s="109">
        <v>36</v>
      </c>
      <c r="G383" s="86">
        <v>5</v>
      </c>
      <c r="H383">
        <v>2700</v>
      </c>
      <c r="I383" s="86">
        <v>6181</v>
      </c>
      <c r="J383">
        <v>6062</v>
      </c>
      <c r="K383" s="62">
        <v>105358</v>
      </c>
      <c r="L383" s="71">
        <v>29488</v>
      </c>
      <c r="M383" s="71">
        <v>0</v>
      </c>
      <c r="N383" s="71">
        <v>2003.92237815</v>
      </c>
      <c r="O383" s="62">
        <v>795.44903001</v>
      </c>
      <c r="P383" s="62">
        <v>1435</v>
      </c>
      <c r="Q383" s="62">
        <v>2686</v>
      </c>
      <c r="R383" s="62">
        <v>1240</v>
      </c>
      <c r="S383">
        <v>537</v>
      </c>
      <c r="T383" s="126">
        <v>178</v>
      </c>
      <c r="U383">
        <v>19</v>
      </c>
      <c r="V383" s="62">
        <f>P383+Q383+R383+S383+T383+U383</f>
        <v>6095</v>
      </c>
    </row>
    <row r="384" spans="1:22" ht="14">
      <c r="A384" s="1">
        <v>2004</v>
      </c>
      <c r="B384" s="2" t="s">
        <v>243</v>
      </c>
      <c r="C384" s="139"/>
      <c r="D384" s="139">
        <v>43.878999999999998</v>
      </c>
      <c r="E384" s="109">
        <v>5</v>
      </c>
      <c r="F384" s="109">
        <v>49</v>
      </c>
      <c r="G384" s="86">
        <v>5</v>
      </c>
      <c r="H384">
        <v>0</v>
      </c>
      <c r="I384" s="86">
        <v>9261</v>
      </c>
      <c r="J384">
        <v>9407</v>
      </c>
      <c r="K384" s="62">
        <v>141891</v>
      </c>
      <c r="L384" s="71">
        <v>60460</v>
      </c>
      <c r="M384" s="71">
        <v>1745</v>
      </c>
      <c r="N384" s="71">
        <v>2386.7445243400002</v>
      </c>
      <c r="O384" s="62">
        <v>1212.4666599899999</v>
      </c>
      <c r="P384" s="62">
        <v>2255</v>
      </c>
      <c r="Q384" s="62">
        <v>4583</v>
      </c>
      <c r="R384" s="62">
        <v>1954</v>
      </c>
      <c r="S384">
        <v>763</v>
      </c>
      <c r="T384" s="126">
        <v>304</v>
      </c>
      <c r="U384">
        <v>53</v>
      </c>
      <c r="V384" s="62">
        <f t="shared" si="12"/>
        <v>9912</v>
      </c>
    </row>
    <row r="385" spans="1:22" ht="14">
      <c r="A385" s="1">
        <v>2011</v>
      </c>
      <c r="B385" s="2" t="s">
        <v>244</v>
      </c>
      <c r="C385" s="139"/>
      <c r="D385" s="139">
        <v>26.268000000000001</v>
      </c>
      <c r="E385" s="109">
        <v>5</v>
      </c>
      <c r="F385" s="109">
        <v>21</v>
      </c>
      <c r="G385" s="86">
        <v>5</v>
      </c>
      <c r="H385">
        <v>5700</v>
      </c>
      <c r="I385" s="86">
        <v>2997</v>
      </c>
      <c r="J385">
        <v>2947</v>
      </c>
      <c r="K385" s="62">
        <v>79561</v>
      </c>
      <c r="L385" s="71">
        <v>17523</v>
      </c>
      <c r="M385" s="71">
        <v>103</v>
      </c>
      <c r="N385" s="71">
        <v>0</v>
      </c>
      <c r="O385" s="62">
        <v>436.37415404000001</v>
      </c>
      <c r="P385" s="62">
        <v>674</v>
      </c>
      <c r="Q385" s="62">
        <v>1315</v>
      </c>
      <c r="R385" s="62">
        <v>640</v>
      </c>
      <c r="S385">
        <v>223</v>
      </c>
      <c r="T385" s="126">
        <v>73</v>
      </c>
      <c r="U385">
        <v>10</v>
      </c>
      <c r="V385" s="62">
        <f t="shared" si="12"/>
        <v>2935</v>
      </c>
    </row>
    <row r="386" spans="1:22" ht="14">
      <c r="A386" s="1">
        <v>2012</v>
      </c>
      <c r="B386" s="2" t="s">
        <v>245</v>
      </c>
      <c r="C386" s="139"/>
      <c r="D386" s="139">
        <v>-39.008000000000003</v>
      </c>
      <c r="E386" s="109">
        <v>5</v>
      </c>
      <c r="F386" s="109">
        <v>56</v>
      </c>
      <c r="G386" s="86">
        <v>5</v>
      </c>
      <c r="H386">
        <v>4000</v>
      </c>
      <c r="I386" s="86">
        <v>17628</v>
      </c>
      <c r="J386">
        <v>18272</v>
      </c>
      <c r="K386" s="62">
        <v>333832</v>
      </c>
      <c r="L386" s="71">
        <v>119254</v>
      </c>
      <c r="M386" s="71">
        <v>2953</v>
      </c>
      <c r="N386" s="71">
        <v>2743.7458219599998</v>
      </c>
      <c r="O386" s="62">
        <v>2530.10933819</v>
      </c>
      <c r="P386" s="62">
        <v>5084</v>
      </c>
      <c r="Q386" s="62">
        <v>8608</v>
      </c>
      <c r="R386" s="62">
        <v>3561</v>
      </c>
      <c r="S386">
        <v>1305</v>
      </c>
      <c r="T386" s="126">
        <v>451</v>
      </c>
      <c r="U386">
        <v>62</v>
      </c>
      <c r="V386" s="62">
        <f t="shared" si="12"/>
        <v>19071</v>
      </c>
    </row>
    <row r="387" spans="1:22" ht="14">
      <c r="A387" s="1">
        <v>2014</v>
      </c>
      <c r="B387" s="2" t="s">
        <v>246</v>
      </c>
      <c r="C387" s="139"/>
      <c r="D387" s="139">
        <v>-175.56</v>
      </c>
      <c r="E387" s="109">
        <v>5</v>
      </c>
      <c r="F387" s="109">
        <v>1</v>
      </c>
      <c r="G387" s="86">
        <v>5</v>
      </c>
      <c r="H387">
        <v>6100</v>
      </c>
      <c r="I387" s="86">
        <v>1266</v>
      </c>
      <c r="J387">
        <v>1106</v>
      </c>
      <c r="K387" s="62">
        <v>56854</v>
      </c>
      <c r="L387" s="71">
        <v>4645</v>
      </c>
      <c r="M387" s="71">
        <v>0</v>
      </c>
      <c r="N387" s="71">
        <v>270.55758718999999</v>
      </c>
      <c r="O387" s="62">
        <v>197.09975198000001</v>
      </c>
      <c r="P387" s="62">
        <v>209</v>
      </c>
      <c r="Q387" s="62">
        <v>357</v>
      </c>
      <c r="R387" s="62">
        <v>276</v>
      </c>
      <c r="S387">
        <v>163</v>
      </c>
      <c r="T387" s="126">
        <v>66</v>
      </c>
      <c r="U387">
        <v>7</v>
      </c>
      <c r="V387" s="62">
        <f t="shared" si="12"/>
        <v>1078</v>
      </c>
    </row>
    <row r="388" spans="1:22" ht="14">
      <c r="A388" s="1">
        <v>2015</v>
      </c>
      <c r="B388" s="2" t="s">
        <v>247</v>
      </c>
      <c r="C388" s="139"/>
      <c r="D388" s="139">
        <v>94.316999999999993</v>
      </c>
      <c r="E388" s="109">
        <v>5</v>
      </c>
      <c r="F388" s="109">
        <v>6</v>
      </c>
      <c r="G388" s="86">
        <v>5</v>
      </c>
      <c r="H388">
        <v>5400</v>
      </c>
      <c r="I388" s="86">
        <v>1049</v>
      </c>
      <c r="J388">
        <v>998</v>
      </c>
      <c r="K388" s="62">
        <v>44966</v>
      </c>
      <c r="L388" s="71">
        <v>3473</v>
      </c>
      <c r="M388" s="71">
        <v>0</v>
      </c>
      <c r="N388" s="71">
        <v>163.90625614000001</v>
      </c>
      <c r="O388" s="62">
        <v>157.20356171</v>
      </c>
      <c r="P388" s="62">
        <v>180</v>
      </c>
      <c r="Q388" s="62">
        <v>393</v>
      </c>
      <c r="R388" s="62">
        <v>232</v>
      </c>
      <c r="S388">
        <v>115</v>
      </c>
      <c r="T388" s="126">
        <v>44</v>
      </c>
      <c r="U388">
        <v>8</v>
      </c>
      <c r="V388" s="62">
        <f t="shared" si="12"/>
        <v>972</v>
      </c>
    </row>
    <row r="389" spans="1:22" ht="14">
      <c r="A389" s="1">
        <v>2017</v>
      </c>
      <c r="B389" s="2" t="s">
        <v>248</v>
      </c>
      <c r="C389" s="139"/>
      <c r="D389" s="139">
        <v>-25.838999999999999</v>
      </c>
      <c r="E389" s="109">
        <v>5</v>
      </c>
      <c r="F389" s="109">
        <v>3</v>
      </c>
      <c r="G389" s="86">
        <v>5</v>
      </c>
      <c r="H389">
        <v>2400</v>
      </c>
      <c r="I389" s="86">
        <v>1080</v>
      </c>
      <c r="J389">
        <v>1101</v>
      </c>
      <c r="K389" s="62">
        <v>46952</v>
      </c>
      <c r="L389" s="71">
        <v>3152</v>
      </c>
      <c r="M389" s="71">
        <v>0</v>
      </c>
      <c r="N389" s="71">
        <v>0</v>
      </c>
      <c r="O389" s="62">
        <v>182.86641040000001</v>
      </c>
      <c r="P389" s="62">
        <v>179</v>
      </c>
      <c r="Q389" s="62">
        <v>326</v>
      </c>
      <c r="R389" s="62">
        <v>273</v>
      </c>
      <c r="S389">
        <v>169</v>
      </c>
      <c r="T389" s="126">
        <v>46</v>
      </c>
      <c r="U389">
        <v>5</v>
      </c>
      <c r="V389" s="62">
        <f t="shared" si="12"/>
        <v>998</v>
      </c>
    </row>
    <row r="390" spans="1:22" ht="14">
      <c r="A390" s="1">
        <v>2018</v>
      </c>
      <c r="B390" s="2" t="s">
        <v>249</v>
      </c>
      <c r="C390" s="139"/>
      <c r="D390" s="139">
        <v>45.109000000000002</v>
      </c>
      <c r="E390" s="109">
        <v>5</v>
      </c>
      <c r="F390" s="109">
        <v>7</v>
      </c>
      <c r="G390" s="86">
        <v>5</v>
      </c>
      <c r="H390">
        <v>5000</v>
      </c>
      <c r="I390" s="86">
        <v>1393</v>
      </c>
      <c r="J390">
        <v>1333</v>
      </c>
      <c r="K390" s="62">
        <v>52500</v>
      </c>
      <c r="L390" s="71">
        <v>5361</v>
      </c>
      <c r="M390" s="71">
        <v>0</v>
      </c>
      <c r="N390" s="71">
        <v>0</v>
      </c>
      <c r="O390" s="62">
        <v>199.42973918999999</v>
      </c>
      <c r="P390" s="62">
        <v>221</v>
      </c>
      <c r="Q390" s="62">
        <v>446</v>
      </c>
      <c r="R390" s="62">
        <v>319</v>
      </c>
      <c r="S390">
        <v>179</v>
      </c>
      <c r="T390" s="126">
        <v>55</v>
      </c>
      <c r="U390">
        <v>8</v>
      </c>
      <c r="V390" s="62">
        <f t="shared" si="12"/>
        <v>1228</v>
      </c>
    </row>
    <row r="391" spans="1:22" ht="14">
      <c r="A391" s="1">
        <v>2019</v>
      </c>
      <c r="B391" s="2" t="s">
        <v>250</v>
      </c>
      <c r="C391" s="139"/>
      <c r="D391" s="139">
        <v>-206.99199999999999</v>
      </c>
      <c r="E391" s="109">
        <v>5</v>
      </c>
      <c r="F391" s="109">
        <v>14</v>
      </c>
      <c r="G391" s="86">
        <v>5</v>
      </c>
      <c r="H391">
        <v>5500</v>
      </c>
      <c r="I391" s="86">
        <v>3415</v>
      </c>
      <c r="J391">
        <v>3219</v>
      </c>
      <c r="K391" s="62">
        <v>86708</v>
      </c>
      <c r="L391" s="71">
        <v>11565</v>
      </c>
      <c r="M391" s="71">
        <v>0</v>
      </c>
      <c r="N391" s="71">
        <v>687.05910108</v>
      </c>
      <c r="O391" s="62">
        <v>454.50225562999998</v>
      </c>
      <c r="P391" s="62">
        <v>687</v>
      </c>
      <c r="Q391" s="62">
        <v>1312</v>
      </c>
      <c r="R391" s="62">
        <v>763</v>
      </c>
      <c r="S391">
        <v>324</v>
      </c>
      <c r="T391" s="126">
        <v>118</v>
      </c>
      <c r="U391">
        <v>20</v>
      </c>
      <c r="V391" s="62">
        <f t="shared" si="12"/>
        <v>3224</v>
      </c>
    </row>
    <row r="392" spans="1:22" ht="14">
      <c r="A392" s="1">
        <v>2020</v>
      </c>
      <c r="B392" s="2" t="s">
        <v>251</v>
      </c>
      <c r="C392" s="139"/>
      <c r="D392" s="139">
        <v>33.909999999999997</v>
      </c>
      <c r="E392" s="109">
        <v>5</v>
      </c>
      <c r="F392" s="109">
        <v>27</v>
      </c>
      <c r="G392" s="86">
        <v>5</v>
      </c>
      <c r="H392">
        <v>5400</v>
      </c>
      <c r="I392" s="86">
        <v>4299</v>
      </c>
      <c r="J392">
        <v>4059</v>
      </c>
      <c r="K392" s="62">
        <v>85146</v>
      </c>
      <c r="L392" s="71">
        <v>20160</v>
      </c>
      <c r="M392" s="71">
        <v>103</v>
      </c>
      <c r="N392" s="71">
        <v>331.18044904999999</v>
      </c>
      <c r="O392" s="62">
        <v>537.40520473000004</v>
      </c>
      <c r="P392" s="62">
        <v>818</v>
      </c>
      <c r="Q392" s="62">
        <v>1601</v>
      </c>
      <c r="R392" s="62">
        <v>1021</v>
      </c>
      <c r="S392">
        <v>382</v>
      </c>
      <c r="T392" s="126">
        <v>135</v>
      </c>
      <c r="U392">
        <v>23</v>
      </c>
      <c r="V392" s="62">
        <f t="shared" si="12"/>
        <v>3980</v>
      </c>
    </row>
    <row r="393" spans="1:22" ht="14">
      <c r="A393" s="1">
        <v>2021</v>
      </c>
      <c r="B393" s="2" t="s">
        <v>252</v>
      </c>
      <c r="C393" s="139"/>
      <c r="D393" s="139">
        <v>-103.532</v>
      </c>
      <c r="E393" s="109">
        <v>5</v>
      </c>
      <c r="F393" s="109">
        <v>38</v>
      </c>
      <c r="G393" s="86">
        <v>5</v>
      </c>
      <c r="H393">
        <v>4600</v>
      </c>
      <c r="I393" s="86">
        <v>2876</v>
      </c>
      <c r="J393">
        <v>2866</v>
      </c>
      <c r="K393" s="62">
        <v>75131</v>
      </c>
      <c r="L393" s="71">
        <v>11098</v>
      </c>
      <c r="M393" s="71">
        <v>1104</v>
      </c>
      <c r="N393" s="71">
        <v>354.75600644000002</v>
      </c>
      <c r="O393" s="62">
        <v>409.48838603000002</v>
      </c>
      <c r="P393" s="62">
        <v>662</v>
      </c>
      <c r="Q393" s="62">
        <v>1140</v>
      </c>
      <c r="R393" s="62">
        <v>626</v>
      </c>
      <c r="S393">
        <v>239</v>
      </c>
      <c r="T393" s="126">
        <v>88</v>
      </c>
      <c r="U393">
        <v>13</v>
      </c>
      <c r="V393" s="62">
        <f t="shared" si="12"/>
        <v>2768</v>
      </c>
    </row>
    <row r="394" spans="1:22" ht="14">
      <c r="A394" s="1">
        <v>2022</v>
      </c>
      <c r="B394" s="2" t="s">
        <v>253</v>
      </c>
      <c r="C394" s="139"/>
      <c r="D394" s="139">
        <v>0.505</v>
      </c>
      <c r="E394" s="109">
        <v>5</v>
      </c>
      <c r="F394" s="109">
        <v>9</v>
      </c>
      <c r="G394" s="86">
        <v>5</v>
      </c>
      <c r="H394">
        <v>4400</v>
      </c>
      <c r="I394" s="86">
        <v>1430</v>
      </c>
      <c r="J394">
        <v>1304</v>
      </c>
      <c r="K394" s="62">
        <v>61897</v>
      </c>
      <c r="L394" s="71">
        <v>6027</v>
      </c>
      <c r="M394" s="71">
        <v>0</v>
      </c>
      <c r="N394" s="71">
        <v>226.77440917999999</v>
      </c>
      <c r="O394" s="62">
        <v>247.43861081</v>
      </c>
      <c r="P394" s="62">
        <v>288</v>
      </c>
      <c r="Q394" s="62">
        <v>514</v>
      </c>
      <c r="R394" s="62">
        <v>315</v>
      </c>
      <c r="S394">
        <v>156</v>
      </c>
      <c r="T394" s="126">
        <v>51</v>
      </c>
      <c r="U394">
        <v>12</v>
      </c>
      <c r="V394" s="62">
        <f t="shared" si="12"/>
        <v>1336</v>
      </c>
    </row>
    <row r="395" spans="1:22" ht="14">
      <c r="A395" s="1">
        <v>2023</v>
      </c>
      <c r="B395" s="2" t="s">
        <v>254</v>
      </c>
      <c r="C395" s="139"/>
      <c r="D395" s="139">
        <v>116.544</v>
      </c>
      <c r="E395" s="109">
        <v>5</v>
      </c>
      <c r="F395" s="109">
        <v>10</v>
      </c>
      <c r="G395" s="86">
        <v>5</v>
      </c>
      <c r="H395">
        <v>5500</v>
      </c>
      <c r="I395" s="86">
        <v>1114</v>
      </c>
      <c r="J395">
        <v>1040</v>
      </c>
      <c r="K395" s="62">
        <v>48069</v>
      </c>
      <c r="L395" s="71">
        <v>2455</v>
      </c>
      <c r="M395" s="71">
        <v>0</v>
      </c>
      <c r="N395" s="71">
        <v>143.69863552000001</v>
      </c>
      <c r="O395" s="62">
        <v>167.4207557</v>
      </c>
      <c r="P395" s="62">
        <v>173</v>
      </c>
      <c r="Q395" s="62">
        <v>380</v>
      </c>
      <c r="R395" s="62">
        <v>271</v>
      </c>
      <c r="S395">
        <v>125</v>
      </c>
      <c r="T395" s="126">
        <v>35</v>
      </c>
      <c r="U395">
        <v>7</v>
      </c>
      <c r="V395" s="62">
        <f t="shared" si="12"/>
        <v>991</v>
      </c>
    </row>
    <row r="396" spans="1:22" ht="14">
      <c r="A396" s="1">
        <v>2024</v>
      </c>
      <c r="B396" s="2" t="s">
        <v>255</v>
      </c>
      <c r="C396" s="139"/>
      <c r="D396" s="139">
        <v>131.30699999999999</v>
      </c>
      <c r="E396" s="109">
        <v>5</v>
      </c>
      <c r="F396" s="109">
        <v>7</v>
      </c>
      <c r="G396" s="86">
        <v>5</v>
      </c>
      <c r="H396">
        <v>3700</v>
      </c>
      <c r="I396" s="86">
        <v>1133</v>
      </c>
      <c r="J396">
        <v>1077</v>
      </c>
      <c r="K396" s="62">
        <v>48250</v>
      </c>
      <c r="L396" s="71">
        <v>4142</v>
      </c>
      <c r="M396" s="71">
        <v>0</v>
      </c>
      <c r="N396" s="71">
        <v>71.849317760000005</v>
      </c>
      <c r="O396" s="62">
        <v>173.73899772999999</v>
      </c>
      <c r="P396" s="62">
        <v>215</v>
      </c>
      <c r="Q396" s="62">
        <v>369</v>
      </c>
      <c r="R396" s="62">
        <v>264</v>
      </c>
      <c r="S396">
        <v>126</v>
      </c>
      <c r="T396" s="126">
        <v>48</v>
      </c>
      <c r="U396">
        <v>9</v>
      </c>
      <c r="V396" s="62">
        <f t="shared" si="12"/>
        <v>1031</v>
      </c>
    </row>
    <row r="397" spans="1:22" ht="14">
      <c r="A397" s="1">
        <v>2025</v>
      </c>
      <c r="B397" s="2" t="s">
        <v>256</v>
      </c>
      <c r="C397" s="139"/>
      <c r="D397" s="139">
        <v>-54.862000000000002</v>
      </c>
      <c r="E397" s="109">
        <v>5</v>
      </c>
      <c r="F397" s="109">
        <v>19</v>
      </c>
      <c r="G397" s="86">
        <v>5</v>
      </c>
      <c r="H397">
        <v>5500</v>
      </c>
      <c r="I397" s="86">
        <v>3037</v>
      </c>
      <c r="J397">
        <v>2954</v>
      </c>
      <c r="K397" s="62">
        <v>90973</v>
      </c>
      <c r="L397" s="71">
        <v>10537</v>
      </c>
      <c r="M397" s="71">
        <v>0</v>
      </c>
      <c r="N397" s="71">
        <v>1105.8059061500001</v>
      </c>
      <c r="O397" s="62">
        <v>461.68690459999999</v>
      </c>
      <c r="P397" s="62">
        <v>606</v>
      </c>
      <c r="Q397" s="62">
        <v>1139</v>
      </c>
      <c r="R397" s="62">
        <v>688</v>
      </c>
      <c r="S397">
        <v>339</v>
      </c>
      <c r="T397" s="126">
        <v>105</v>
      </c>
      <c r="U397">
        <v>20</v>
      </c>
      <c r="V397" s="62">
        <f t="shared" si="12"/>
        <v>2897</v>
      </c>
    </row>
    <row r="398" spans="1:22" ht="14">
      <c r="A398" s="1">
        <v>2027</v>
      </c>
      <c r="B398" s="2" t="s">
        <v>257</v>
      </c>
      <c r="C398" s="139"/>
      <c r="D398" s="139">
        <v>-67.914000000000001</v>
      </c>
      <c r="E398" s="109">
        <v>5</v>
      </c>
      <c r="F398" s="109">
        <v>8</v>
      </c>
      <c r="G398" s="86">
        <v>5</v>
      </c>
      <c r="H398">
        <v>3600</v>
      </c>
      <c r="I398" s="86">
        <v>901</v>
      </c>
      <c r="J398">
        <v>856</v>
      </c>
      <c r="K398" s="62">
        <v>46136</v>
      </c>
      <c r="L398" s="71">
        <v>3858</v>
      </c>
      <c r="M398" s="71">
        <v>0</v>
      </c>
      <c r="N398" s="71">
        <v>0</v>
      </c>
      <c r="O398" s="62">
        <v>154.88347881000001</v>
      </c>
      <c r="P398" s="62">
        <v>161</v>
      </c>
      <c r="Q398" s="62">
        <v>325</v>
      </c>
      <c r="R398" s="62">
        <v>228</v>
      </c>
      <c r="S398">
        <v>122</v>
      </c>
      <c r="T398" s="126">
        <v>48</v>
      </c>
      <c r="U398">
        <v>9</v>
      </c>
      <c r="V398" s="62">
        <f t="shared" si="12"/>
        <v>893</v>
      </c>
    </row>
    <row r="399" spans="1:22" ht="14">
      <c r="A399" s="1">
        <v>2028</v>
      </c>
      <c r="B399" s="2" t="s">
        <v>258</v>
      </c>
      <c r="C399" s="139"/>
      <c r="D399" s="139">
        <v>-86.56</v>
      </c>
      <c r="E399" s="109">
        <v>5</v>
      </c>
      <c r="F399" s="109">
        <v>18</v>
      </c>
      <c r="G399" s="86">
        <v>5</v>
      </c>
      <c r="H399">
        <v>4000</v>
      </c>
      <c r="I399" s="86">
        <v>2185</v>
      </c>
      <c r="J399">
        <v>2090</v>
      </c>
      <c r="K399" s="62">
        <v>59825</v>
      </c>
      <c r="L399" s="71">
        <v>7807</v>
      </c>
      <c r="M399" s="71">
        <v>0</v>
      </c>
      <c r="N399" s="71">
        <v>414.25622270999997</v>
      </c>
      <c r="O399" s="62">
        <v>292.38778035000001</v>
      </c>
      <c r="P399" s="62">
        <v>448</v>
      </c>
      <c r="Q399" s="62">
        <v>885</v>
      </c>
      <c r="R399" s="62">
        <v>488</v>
      </c>
      <c r="S399">
        <v>185</v>
      </c>
      <c r="T399" s="126">
        <v>55</v>
      </c>
      <c r="U399">
        <v>10</v>
      </c>
      <c r="V399" s="62">
        <f t="shared" si="12"/>
        <v>2071</v>
      </c>
    </row>
    <row r="400" spans="1:22" ht="14">
      <c r="A400" s="1">
        <v>2030</v>
      </c>
      <c r="B400" s="4" t="s">
        <v>260</v>
      </c>
      <c r="C400" s="139"/>
      <c r="D400" s="139">
        <v>-25.896999999999998</v>
      </c>
      <c r="E400" s="109">
        <v>5</v>
      </c>
      <c r="F400" s="109">
        <v>28</v>
      </c>
      <c r="G400" s="86">
        <v>5</v>
      </c>
      <c r="H400">
        <v>2300</v>
      </c>
      <c r="I400" s="86">
        <v>9463</v>
      </c>
      <c r="J400">
        <v>9518</v>
      </c>
      <c r="K400" s="62">
        <v>194100</v>
      </c>
      <c r="L400" s="71">
        <v>42482</v>
      </c>
      <c r="M400" s="71">
        <v>4014</v>
      </c>
      <c r="N400" s="71">
        <v>3050.22806803</v>
      </c>
      <c r="O400" s="62">
        <v>1315.7911542500001</v>
      </c>
      <c r="P400" s="62">
        <v>2203</v>
      </c>
      <c r="Q400" s="62">
        <v>4312</v>
      </c>
      <c r="R400" s="62">
        <v>2045</v>
      </c>
      <c r="S400">
        <v>847</v>
      </c>
      <c r="T400" s="126">
        <v>373</v>
      </c>
      <c r="U400">
        <v>46</v>
      </c>
      <c r="V400" s="62">
        <f t="shared" ref="V400:V445" si="13">P400+Q400+R400+S400+T400+U400</f>
        <v>9826</v>
      </c>
    </row>
    <row r="401" spans="1:22" ht="14">
      <c r="A401" s="1">
        <v>5001</v>
      </c>
      <c r="B401" s="2" t="s">
        <v>118</v>
      </c>
      <c r="C401" s="139"/>
      <c r="D401" s="139">
        <v>31.361000000000001</v>
      </c>
      <c r="E401" s="109">
        <v>1</v>
      </c>
      <c r="F401" s="109">
        <v>84</v>
      </c>
      <c r="G401" s="86">
        <f t="shared" ref="G401:G432" si="14">IF(E401=3,IF(F401&lt;36,35,IF(F401&lt;39,34,IF(F401&lt;42,33,IF(F401&lt;45,32,IF(F401&lt;47,31,30))))),IF(E401=4,4,0))</f>
        <v>0</v>
      </c>
      <c r="H401">
        <v>15500</v>
      </c>
      <c r="I401" s="86">
        <v>156161</v>
      </c>
      <c r="J401">
        <v>165191</v>
      </c>
      <c r="K401" s="62">
        <v>1192047</v>
      </c>
      <c r="L401" s="71">
        <v>1131365</v>
      </c>
      <c r="M401" s="71">
        <v>5665</v>
      </c>
      <c r="N401" s="71">
        <v>32846.364672219999</v>
      </c>
      <c r="O401" s="62">
        <v>20535.37488747</v>
      </c>
      <c r="P401" s="62">
        <v>37587</v>
      </c>
      <c r="Q401" s="62">
        <v>83888</v>
      </c>
      <c r="R401" s="62">
        <v>33001</v>
      </c>
      <c r="S401">
        <v>12528</v>
      </c>
      <c r="T401" s="126">
        <v>5490</v>
      </c>
      <c r="U401">
        <v>992</v>
      </c>
      <c r="V401" s="62">
        <f t="shared" si="13"/>
        <v>173486</v>
      </c>
    </row>
    <row r="402" spans="1:22" ht="14">
      <c r="A402" s="1">
        <v>5004</v>
      </c>
      <c r="B402" s="2" t="s">
        <v>144</v>
      </c>
      <c r="C402" s="139"/>
      <c r="D402" s="139">
        <v>16.488</v>
      </c>
      <c r="E402" s="109">
        <v>3</v>
      </c>
      <c r="F402" s="109">
        <v>39</v>
      </c>
      <c r="G402" s="86">
        <f t="shared" si="14"/>
        <v>33</v>
      </c>
      <c r="H402">
        <v>3500</v>
      </c>
      <c r="I402" s="86">
        <v>20527</v>
      </c>
      <c r="J402">
        <v>20672</v>
      </c>
      <c r="K402" s="62">
        <v>265862</v>
      </c>
      <c r="L402" s="71">
        <v>107305</v>
      </c>
      <c r="M402" s="71">
        <v>0</v>
      </c>
      <c r="N402" s="71">
        <v>2232.9420785100001</v>
      </c>
      <c r="O402" s="62">
        <v>2800.6433068199999</v>
      </c>
      <c r="P402" s="62">
        <v>4687</v>
      </c>
      <c r="Q402" s="62">
        <v>8316</v>
      </c>
      <c r="R402" s="62">
        <v>4758</v>
      </c>
      <c r="S402">
        <v>2200</v>
      </c>
      <c r="T402" s="126">
        <v>1002</v>
      </c>
      <c r="U402">
        <v>188</v>
      </c>
      <c r="V402" s="62">
        <f t="shared" ref="V402:V403" si="15">P402+Q402+R402+S402+T402+U402</f>
        <v>21151</v>
      </c>
    </row>
    <row r="403" spans="1:22" ht="14">
      <c r="A403" s="1">
        <v>5005</v>
      </c>
      <c r="B403" s="2" t="s">
        <v>145</v>
      </c>
      <c r="C403" s="139"/>
      <c r="D403" s="139">
        <v>12.669</v>
      </c>
      <c r="E403" s="109">
        <v>4</v>
      </c>
      <c r="F403" s="109">
        <v>49</v>
      </c>
      <c r="G403" s="86">
        <v>41</v>
      </c>
      <c r="H403">
        <v>1100</v>
      </c>
      <c r="I403" s="86">
        <v>12498</v>
      </c>
      <c r="J403">
        <v>12607</v>
      </c>
      <c r="K403" s="62">
        <v>178936</v>
      </c>
      <c r="L403" s="71">
        <v>68704</v>
      </c>
      <c r="M403" s="71">
        <v>378</v>
      </c>
      <c r="N403" s="71">
        <v>1588.54350985</v>
      </c>
      <c r="O403" s="62">
        <v>1743.4966796599999</v>
      </c>
      <c r="P403" s="62">
        <v>3204</v>
      </c>
      <c r="Q403" s="62">
        <v>5271</v>
      </c>
      <c r="R403" s="62">
        <v>2695</v>
      </c>
      <c r="S403">
        <v>1102</v>
      </c>
      <c r="T403" s="126">
        <v>541</v>
      </c>
      <c r="U403">
        <v>93</v>
      </c>
      <c r="V403" s="62">
        <f t="shared" si="15"/>
        <v>12906</v>
      </c>
    </row>
    <row r="404" spans="1:22" ht="14">
      <c r="A404" s="1">
        <v>5011</v>
      </c>
      <c r="B404" s="2" t="s">
        <v>119</v>
      </c>
      <c r="C404" s="139"/>
      <c r="D404" s="139">
        <v>-43.014000000000003</v>
      </c>
      <c r="E404" s="109">
        <v>4</v>
      </c>
      <c r="F404" s="109">
        <v>26</v>
      </c>
      <c r="G404" s="86">
        <f t="shared" si="14"/>
        <v>4</v>
      </c>
      <c r="H404">
        <v>600</v>
      </c>
      <c r="I404" s="86">
        <v>4277</v>
      </c>
      <c r="J404">
        <v>4234</v>
      </c>
      <c r="K404" s="62">
        <v>65410</v>
      </c>
      <c r="L404" s="71">
        <v>21142</v>
      </c>
      <c r="M404" s="71">
        <v>0</v>
      </c>
      <c r="N404" s="71">
        <v>508.55845226999998</v>
      </c>
      <c r="O404" s="62">
        <v>575.99460455999997</v>
      </c>
      <c r="P404" s="62">
        <v>973</v>
      </c>
      <c r="Q404" s="62">
        <v>1617</v>
      </c>
      <c r="R404" s="62">
        <v>950</v>
      </c>
      <c r="S404">
        <v>470</v>
      </c>
      <c r="T404" s="126">
        <v>185</v>
      </c>
      <c r="U404">
        <v>37</v>
      </c>
      <c r="V404" s="62">
        <f t="shared" si="13"/>
        <v>4232</v>
      </c>
    </row>
    <row r="405" spans="1:22" ht="14">
      <c r="A405" s="1">
        <v>5012</v>
      </c>
      <c r="B405" s="2" t="s">
        <v>120</v>
      </c>
      <c r="C405" s="139"/>
      <c r="D405" s="139">
        <v>-90.825999999999993</v>
      </c>
      <c r="E405" s="109">
        <v>4</v>
      </c>
      <c r="F405" s="109">
        <v>21</v>
      </c>
      <c r="G405" s="86">
        <f t="shared" si="14"/>
        <v>4</v>
      </c>
      <c r="H405">
        <v>3100</v>
      </c>
      <c r="I405" s="86">
        <v>1026</v>
      </c>
      <c r="J405">
        <v>1022</v>
      </c>
      <c r="K405" s="62">
        <v>37140</v>
      </c>
      <c r="L405" s="71">
        <v>3894</v>
      </c>
      <c r="M405" s="71">
        <v>0</v>
      </c>
      <c r="N405" s="71">
        <v>191.97239589</v>
      </c>
      <c r="O405" s="62">
        <v>188.90553521000001</v>
      </c>
      <c r="P405" s="62">
        <v>214</v>
      </c>
      <c r="Q405" s="62">
        <v>366</v>
      </c>
      <c r="R405" s="62">
        <v>226</v>
      </c>
      <c r="S405">
        <v>119</v>
      </c>
      <c r="T405" s="126">
        <v>50</v>
      </c>
      <c r="U405">
        <v>17</v>
      </c>
      <c r="V405" s="62">
        <f t="shared" si="13"/>
        <v>992</v>
      </c>
    </row>
    <row r="406" spans="1:22" ht="14">
      <c r="A406" s="1">
        <v>5013</v>
      </c>
      <c r="B406" s="2" t="s">
        <v>121</v>
      </c>
      <c r="C406" s="139"/>
      <c r="D406" s="139">
        <v>86.855999999999995</v>
      </c>
      <c r="E406" s="109">
        <v>4</v>
      </c>
      <c r="F406" s="109">
        <v>22</v>
      </c>
      <c r="G406" s="86">
        <f t="shared" si="14"/>
        <v>4</v>
      </c>
      <c r="H406">
        <v>8000</v>
      </c>
      <c r="I406" s="86">
        <v>4025</v>
      </c>
      <c r="J406">
        <v>4132</v>
      </c>
      <c r="K406" s="62">
        <v>75282</v>
      </c>
      <c r="L406" s="71">
        <v>16535</v>
      </c>
      <c r="M406" s="71">
        <v>0</v>
      </c>
      <c r="N406" s="71">
        <v>1535.77916712</v>
      </c>
      <c r="O406" s="62">
        <v>606.73808448</v>
      </c>
      <c r="P406" s="62">
        <v>908</v>
      </c>
      <c r="Q406" s="62">
        <v>1777</v>
      </c>
      <c r="R406" s="62">
        <v>967</v>
      </c>
      <c r="S406">
        <v>465</v>
      </c>
      <c r="T406" s="126">
        <v>188</v>
      </c>
      <c r="U406">
        <v>35</v>
      </c>
      <c r="V406" s="62">
        <f t="shared" si="13"/>
        <v>4340</v>
      </c>
    </row>
    <row r="407" spans="1:22" ht="14">
      <c r="A407" s="1">
        <v>5014</v>
      </c>
      <c r="B407" s="2" t="s">
        <v>122</v>
      </c>
      <c r="C407" s="139"/>
      <c r="D407" s="139">
        <v>-99.891999999999996</v>
      </c>
      <c r="E407" s="109">
        <v>4</v>
      </c>
      <c r="F407" s="109">
        <v>29</v>
      </c>
      <c r="G407" s="86">
        <f t="shared" si="14"/>
        <v>4</v>
      </c>
      <c r="H407">
        <v>2400</v>
      </c>
      <c r="I407" s="86">
        <v>4114</v>
      </c>
      <c r="J407">
        <v>4144</v>
      </c>
      <c r="K407" s="62">
        <v>82481</v>
      </c>
      <c r="L407" s="71">
        <v>17278</v>
      </c>
      <c r="M407" s="71">
        <v>0</v>
      </c>
      <c r="N407" s="71">
        <v>289.64256222</v>
      </c>
      <c r="O407" s="62">
        <v>618.69023225000001</v>
      </c>
      <c r="P407" s="62">
        <v>934</v>
      </c>
      <c r="Q407" s="62">
        <v>1782</v>
      </c>
      <c r="R407" s="62">
        <v>900</v>
      </c>
      <c r="S407">
        <v>440</v>
      </c>
      <c r="T407" s="126">
        <v>237</v>
      </c>
      <c r="U407">
        <v>33</v>
      </c>
      <c r="V407" s="62">
        <f t="shared" si="13"/>
        <v>4326</v>
      </c>
    </row>
    <row r="408" spans="1:22" ht="14">
      <c r="A408" s="1">
        <v>5015</v>
      </c>
      <c r="B408" s="2" t="s">
        <v>123</v>
      </c>
      <c r="C408" s="139"/>
      <c r="D408" s="139">
        <v>39.533999999999999</v>
      </c>
      <c r="E408" s="109">
        <v>3</v>
      </c>
      <c r="F408" s="109">
        <v>51</v>
      </c>
      <c r="G408" s="86">
        <f t="shared" si="14"/>
        <v>30</v>
      </c>
      <c r="H408">
        <v>5725</v>
      </c>
      <c r="I408" s="86">
        <v>5136</v>
      </c>
      <c r="J408">
        <v>5025</v>
      </c>
      <c r="K408" s="62">
        <v>72737</v>
      </c>
      <c r="L408" s="71">
        <v>21227</v>
      </c>
      <c r="M408" s="71">
        <v>0</v>
      </c>
      <c r="N408" s="71">
        <v>840.86154691000002</v>
      </c>
      <c r="O408" s="62">
        <v>674.13247682999997</v>
      </c>
      <c r="P408" s="62">
        <v>1171</v>
      </c>
      <c r="Q408" s="62">
        <v>2138</v>
      </c>
      <c r="R408" s="62">
        <v>1055</v>
      </c>
      <c r="S408">
        <v>539</v>
      </c>
      <c r="T408" s="126">
        <v>194</v>
      </c>
      <c r="U408">
        <v>36</v>
      </c>
      <c r="V408" s="62">
        <f t="shared" si="13"/>
        <v>5133</v>
      </c>
    </row>
    <row r="409" spans="1:22" ht="14">
      <c r="A409" s="1">
        <v>5016</v>
      </c>
      <c r="B409" s="2" t="s">
        <v>124</v>
      </c>
      <c r="C409" s="139"/>
      <c r="D409" s="139">
        <v>34.329000000000001</v>
      </c>
      <c r="E409" s="109">
        <v>4</v>
      </c>
      <c r="F409" s="109">
        <v>30</v>
      </c>
      <c r="G409" s="86">
        <f t="shared" si="14"/>
        <v>4</v>
      </c>
      <c r="H409">
        <v>2390</v>
      </c>
      <c r="I409" s="86">
        <v>1799</v>
      </c>
      <c r="J409">
        <v>1758</v>
      </c>
      <c r="K409" s="62">
        <v>53721</v>
      </c>
      <c r="L409" s="71">
        <v>5517</v>
      </c>
      <c r="M409" s="71">
        <v>0</v>
      </c>
      <c r="N409" s="71">
        <v>209.93472532999999</v>
      </c>
      <c r="O409" s="62">
        <v>294.25023611</v>
      </c>
      <c r="P409" s="62">
        <v>363</v>
      </c>
      <c r="Q409" s="62">
        <v>647</v>
      </c>
      <c r="R409" s="62">
        <v>390</v>
      </c>
      <c r="S409">
        <v>205</v>
      </c>
      <c r="T409" s="126">
        <v>115</v>
      </c>
      <c r="U409">
        <v>25</v>
      </c>
      <c r="V409" s="62">
        <f t="shared" si="13"/>
        <v>1745</v>
      </c>
    </row>
    <row r="410" spans="1:22" ht="14">
      <c r="A410" s="1">
        <v>5017</v>
      </c>
      <c r="B410" s="2" t="s">
        <v>126</v>
      </c>
      <c r="C410" s="139"/>
      <c r="D410" s="139">
        <v>136.47</v>
      </c>
      <c r="E410" s="109">
        <v>4</v>
      </c>
      <c r="F410" s="109">
        <v>15</v>
      </c>
      <c r="G410" s="86">
        <f t="shared" si="14"/>
        <v>4</v>
      </c>
      <c r="H410">
        <v>5205</v>
      </c>
      <c r="I410" s="86">
        <v>4685</v>
      </c>
      <c r="J410">
        <v>4604</v>
      </c>
      <c r="K410" s="62">
        <v>80134</v>
      </c>
      <c r="L410" s="71">
        <v>17824</v>
      </c>
      <c r="M410" s="71">
        <v>0</v>
      </c>
      <c r="N410" s="71">
        <v>572.54925089999995</v>
      </c>
      <c r="O410" s="62">
        <v>636.18239263999999</v>
      </c>
      <c r="P410" s="62">
        <v>1010</v>
      </c>
      <c r="Q410" s="62">
        <v>1653</v>
      </c>
      <c r="R410" s="62">
        <v>1091</v>
      </c>
      <c r="S410">
        <v>558</v>
      </c>
      <c r="T410" s="126">
        <v>218</v>
      </c>
      <c r="U410">
        <v>40</v>
      </c>
      <c r="V410" s="62">
        <f t="shared" si="13"/>
        <v>4570</v>
      </c>
    </row>
    <row r="411" spans="1:22" ht="14">
      <c r="A411" s="1">
        <v>5018</v>
      </c>
      <c r="B411" s="2" t="s">
        <v>127</v>
      </c>
      <c r="C411" s="139"/>
      <c r="D411" s="139">
        <v>2.363</v>
      </c>
      <c r="E411" s="109">
        <v>4</v>
      </c>
      <c r="F411" s="109">
        <v>13</v>
      </c>
      <c r="G411" s="86">
        <f t="shared" si="14"/>
        <v>4</v>
      </c>
      <c r="H411">
        <v>2900</v>
      </c>
      <c r="I411" s="86">
        <v>3337</v>
      </c>
      <c r="J411">
        <v>3232</v>
      </c>
      <c r="K411" s="62">
        <v>69551</v>
      </c>
      <c r="L411" s="71">
        <v>11744</v>
      </c>
      <c r="M411" s="71">
        <v>0</v>
      </c>
      <c r="N411" s="71">
        <v>59.500216270000003</v>
      </c>
      <c r="O411" s="62">
        <v>479.64746987000001</v>
      </c>
      <c r="P411" s="62">
        <v>684</v>
      </c>
      <c r="Q411" s="62">
        <v>1172</v>
      </c>
      <c r="R411" s="62">
        <v>731</v>
      </c>
      <c r="S411">
        <v>423</v>
      </c>
      <c r="T411" s="126">
        <v>184</v>
      </c>
      <c r="U411">
        <v>35</v>
      </c>
      <c r="V411" s="62">
        <f t="shared" si="13"/>
        <v>3229</v>
      </c>
    </row>
    <row r="412" spans="1:22" ht="14">
      <c r="A412" s="1">
        <v>5019</v>
      </c>
      <c r="B412" s="2" t="s">
        <v>128</v>
      </c>
      <c r="C412" s="139"/>
      <c r="D412" s="139">
        <v>27.465</v>
      </c>
      <c r="E412" s="109">
        <v>4</v>
      </c>
      <c r="F412" s="109">
        <v>13</v>
      </c>
      <c r="G412" s="86">
        <f t="shared" si="14"/>
        <v>4</v>
      </c>
      <c r="H412">
        <v>3600</v>
      </c>
      <c r="I412" s="86">
        <v>1074</v>
      </c>
      <c r="J412">
        <v>1007</v>
      </c>
      <c r="K412" s="62">
        <v>35615</v>
      </c>
      <c r="L412" s="71">
        <v>3045</v>
      </c>
      <c r="M412" s="71">
        <v>0</v>
      </c>
      <c r="N412" s="71">
        <v>134.7174708</v>
      </c>
      <c r="O412" s="62">
        <v>181.76778625</v>
      </c>
      <c r="P412" s="62">
        <v>190</v>
      </c>
      <c r="Q412" s="62">
        <v>331</v>
      </c>
      <c r="R412" s="62">
        <v>263</v>
      </c>
      <c r="S412">
        <v>130</v>
      </c>
      <c r="T412" s="126">
        <v>67</v>
      </c>
      <c r="U412">
        <v>13</v>
      </c>
      <c r="V412" s="62">
        <f t="shared" si="13"/>
        <v>994</v>
      </c>
    </row>
    <row r="413" spans="1:22" ht="14">
      <c r="A413" s="1">
        <v>5020</v>
      </c>
      <c r="B413" s="2" t="s">
        <v>129</v>
      </c>
      <c r="C413" s="139"/>
      <c r="D413" s="139">
        <v>-165.94</v>
      </c>
      <c r="E413" s="109">
        <v>4</v>
      </c>
      <c r="F413" s="109">
        <v>11</v>
      </c>
      <c r="G413" s="86">
        <f t="shared" si="14"/>
        <v>4</v>
      </c>
      <c r="H413">
        <v>1900</v>
      </c>
      <c r="I413" s="86">
        <v>1052</v>
      </c>
      <c r="J413">
        <v>1041</v>
      </c>
      <c r="K413" s="62">
        <v>34662</v>
      </c>
      <c r="L413" s="71">
        <v>5504</v>
      </c>
      <c r="M413" s="71">
        <v>0</v>
      </c>
      <c r="N413" s="71">
        <v>0</v>
      </c>
      <c r="O413" s="62">
        <v>190.60308086000001</v>
      </c>
      <c r="P413" s="62">
        <v>214</v>
      </c>
      <c r="Q413" s="62">
        <v>328</v>
      </c>
      <c r="R413" s="62">
        <v>259</v>
      </c>
      <c r="S413">
        <v>138</v>
      </c>
      <c r="T413" s="126">
        <v>65</v>
      </c>
      <c r="U413">
        <v>21</v>
      </c>
      <c r="V413" s="62">
        <f t="shared" si="13"/>
        <v>1025</v>
      </c>
    </row>
    <row r="414" spans="1:22" ht="14">
      <c r="A414" s="1">
        <v>5021</v>
      </c>
      <c r="B414" s="2" t="s">
        <v>130</v>
      </c>
      <c r="C414" s="139"/>
      <c r="D414" s="139">
        <v>-26.422000000000001</v>
      </c>
      <c r="E414" s="109">
        <v>4</v>
      </c>
      <c r="F414" s="109">
        <v>46</v>
      </c>
      <c r="G414" s="86">
        <f t="shared" si="14"/>
        <v>4</v>
      </c>
      <c r="H414">
        <v>900</v>
      </c>
      <c r="I414" s="86">
        <v>6473</v>
      </c>
      <c r="J414">
        <v>6564</v>
      </c>
      <c r="K414" s="62">
        <v>90490</v>
      </c>
      <c r="L414" s="71">
        <v>30022</v>
      </c>
      <c r="M414" s="71">
        <v>0</v>
      </c>
      <c r="N414" s="71">
        <v>1127.13617236</v>
      </c>
      <c r="O414" s="62">
        <v>888.81728217</v>
      </c>
      <c r="P414" s="62">
        <v>1517</v>
      </c>
      <c r="Q414" s="62">
        <v>2648</v>
      </c>
      <c r="R414" s="62">
        <v>1478</v>
      </c>
      <c r="S414">
        <v>691</v>
      </c>
      <c r="T414" s="126">
        <v>289</v>
      </c>
      <c r="U414">
        <v>68</v>
      </c>
      <c r="V414" s="62">
        <f t="shared" si="13"/>
        <v>6691</v>
      </c>
    </row>
    <row r="415" spans="1:22" ht="14">
      <c r="A415" s="1">
        <v>5022</v>
      </c>
      <c r="B415" s="2" t="s">
        <v>131</v>
      </c>
      <c r="C415" s="139"/>
      <c r="D415" s="139">
        <v>-0.95199999999999996</v>
      </c>
      <c r="E415" s="109">
        <v>4</v>
      </c>
      <c r="F415" s="109">
        <v>19</v>
      </c>
      <c r="G415" s="86">
        <f t="shared" si="14"/>
        <v>4</v>
      </c>
      <c r="H415">
        <v>600</v>
      </c>
      <c r="I415" s="86">
        <v>2660</v>
      </c>
      <c r="J415">
        <v>2594</v>
      </c>
      <c r="K415" s="62">
        <v>57336</v>
      </c>
      <c r="L415" s="71">
        <v>8485</v>
      </c>
      <c r="M415" s="71">
        <v>0</v>
      </c>
      <c r="N415" s="71">
        <v>101.0381031</v>
      </c>
      <c r="O415" s="62">
        <v>392.85445492999997</v>
      </c>
      <c r="P415" s="62">
        <v>555</v>
      </c>
      <c r="Q415" s="62">
        <v>928</v>
      </c>
      <c r="R415" s="62">
        <v>630</v>
      </c>
      <c r="S415">
        <v>326</v>
      </c>
      <c r="T415" s="126">
        <v>158</v>
      </c>
      <c r="U415">
        <v>32</v>
      </c>
      <c r="V415" s="62">
        <f t="shared" si="13"/>
        <v>2629</v>
      </c>
    </row>
    <row r="416" spans="1:22" ht="14">
      <c r="A416" s="1">
        <v>5023</v>
      </c>
      <c r="B416" s="2" t="s">
        <v>132</v>
      </c>
      <c r="C416" s="139"/>
      <c r="D416" s="139">
        <v>-149.37700000000001</v>
      </c>
      <c r="E416" s="109">
        <v>4</v>
      </c>
      <c r="F416" s="109">
        <v>26</v>
      </c>
      <c r="G416" s="86">
        <f t="shared" si="14"/>
        <v>4</v>
      </c>
      <c r="H416">
        <v>5049</v>
      </c>
      <c r="I416" s="86">
        <v>3934</v>
      </c>
      <c r="J416">
        <v>3871</v>
      </c>
      <c r="K416" s="62">
        <v>81371</v>
      </c>
      <c r="L416" s="71">
        <v>12054</v>
      </c>
      <c r="M416" s="71">
        <v>0</v>
      </c>
      <c r="N416" s="71">
        <v>598.37009947000001</v>
      </c>
      <c r="O416" s="62">
        <v>569.57504039000003</v>
      </c>
      <c r="P416" s="62">
        <v>787</v>
      </c>
      <c r="Q416" s="62">
        <v>1447</v>
      </c>
      <c r="R416" s="62">
        <v>917</v>
      </c>
      <c r="S416">
        <v>426</v>
      </c>
      <c r="T416" s="126">
        <v>265</v>
      </c>
      <c r="U416">
        <v>61</v>
      </c>
      <c r="V416" s="62">
        <f t="shared" si="13"/>
        <v>3903</v>
      </c>
    </row>
    <row r="417" spans="1:22" ht="14">
      <c r="A417" s="1">
        <v>5024</v>
      </c>
      <c r="B417" s="2" t="s">
        <v>133</v>
      </c>
      <c r="C417" s="139"/>
      <c r="D417" s="139">
        <v>29.42</v>
      </c>
      <c r="E417" s="109">
        <v>2</v>
      </c>
      <c r="F417" s="109">
        <v>55</v>
      </c>
      <c r="G417" s="86">
        <f t="shared" si="14"/>
        <v>0</v>
      </c>
      <c r="H417">
        <v>1700</v>
      </c>
      <c r="I417" s="86">
        <v>10512</v>
      </c>
      <c r="J417">
        <v>11018</v>
      </c>
      <c r="K417" s="62">
        <v>116033</v>
      </c>
      <c r="L417" s="71">
        <v>70154</v>
      </c>
      <c r="M417" s="71">
        <v>1476</v>
      </c>
      <c r="N417" s="71">
        <v>1568.33588923</v>
      </c>
      <c r="O417" s="62">
        <v>1459.42960952</v>
      </c>
      <c r="P417" s="62">
        <v>2594</v>
      </c>
      <c r="Q417" s="62">
        <v>4677</v>
      </c>
      <c r="R417" s="62">
        <v>2536</v>
      </c>
      <c r="S417">
        <v>1028</v>
      </c>
      <c r="T417" s="126">
        <v>444</v>
      </c>
      <c r="U417">
        <v>86</v>
      </c>
      <c r="V417" s="62">
        <f t="shared" si="13"/>
        <v>11365</v>
      </c>
    </row>
    <row r="418" spans="1:22" ht="14">
      <c r="A418" s="1">
        <v>5025</v>
      </c>
      <c r="B418" s="2" t="s">
        <v>134</v>
      </c>
      <c r="C418" s="139"/>
      <c r="D418" s="139">
        <v>7.1449999999999996</v>
      </c>
      <c r="E418" s="109">
        <v>4</v>
      </c>
      <c r="F418" s="109">
        <v>45</v>
      </c>
      <c r="G418" s="86">
        <f t="shared" si="14"/>
        <v>4</v>
      </c>
      <c r="H418">
        <v>900</v>
      </c>
      <c r="I418" s="86">
        <v>5636</v>
      </c>
      <c r="J418">
        <v>5620</v>
      </c>
      <c r="K418" s="62">
        <v>88345</v>
      </c>
      <c r="L418" s="71">
        <v>22173</v>
      </c>
      <c r="M418" s="71">
        <v>0</v>
      </c>
      <c r="N418" s="71">
        <v>464.77527426</v>
      </c>
      <c r="O418" s="62">
        <v>761.95270430000005</v>
      </c>
      <c r="P418" s="62">
        <v>1160</v>
      </c>
      <c r="Q418" s="62">
        <v>2079</v>
      </c>
      <c r="R418" s="62">
        <v>1379</v>
      </c>
      <c r="S418">
        <v>627</v>
      </c>
      <c r="T418" s="126">
        <v>284</v>
      </c>
      <c r="U418">
        <v>52</v>
      </c>
      <c r="V418" s="62">
        <f t="shared" si="13"/>
        <v>5581</v>
      </c>
    </row>
    <row r="419" spans="1:22" ht="14">
      <c r="A419" s="1">
        <v>5026</v>
      </c>
      <c r="B419" s="2" t="s">
        <v>135</v>
      </c>
      <c r="C419" s="139"/>
      <c r="D419" s="139">
        <v>68.366</v>
      </c>
      <c r="E419" s="109">
        <v>4</v>
      </c>
      <c r="F419" s="109">
        <v>16</v>
      </c>
      <c r="G419" s="86">
        <f t="shared" si="14"/>
        <v>4</v>
      </c>
      <c r="H419">
        <v>400</v>
      </c>
      <c r="I419" s="86">
        <v>2132</v>
      </c>
      <c r="J419">
        <v>2069</v>
      </c>
      <c r="K419" s="62">
        <v>46339</v>
      </c>
      <c r="L419" s="71">
        <v>8584</v>
      </c>
      <c r="M419" s="71">
        <v>0</v>
      </c>
      <c r="N419" s="71">
        <v>111.14191341</v>
      </c>
      <c r="O419" s="62">
        <v>306.64137555999997</v>
      </c>
      <c r="P419" s="62">
        <v>401</v>
      </c>
      <c r="Q419" s="62">
        <v>720</v>
      </c>
      <c r="R419" s="62">
        <v>497</v>
      </c>
      <c r="S419">
        <v>290</v>
      </c>
      <c r="T419" s="126">
        <v>116</v>
      </c>
      <c r="U419">
        <v>24</v>
      </c>
      <c r="V419" s="62">
        <f t="shared" si="13"/>
        <v>2048</v>
      </c>
    </row>
    <row r="420" spans="1:22" ht="14">
      <c r="A420" s="1">
        <v>5027</v>
      </c>
      <c r="B420" s="2" t="s">
        <v>136</v>
      </c>
      <c r="C420" s="139"/>
      <c r="D420" s="139">
        <v>42.847999999999999</v>
      </c>
      <c r="E420" s="109">
        <v>3</v>
      </c>
      <c r="F420" s="109">
        <v>43</v>
      </c>
      <c r="G420" s="86">
        <f t="shared" si="14"/>
        <v>32</v>
      </c>
      <c r="H420">
        <v>7213</v>
      </c>
      <c r="I420" s="86">
        <v>5797</v>
      </c>
      <c r="J420">
        <v>5910</v>
      </c>
      <c r="K420" s="62">
        <v>102922</v>
      </c>
      <c r="L420" s="71">
        <v>23731</v>
      </c>
      <c r="M420" s="71">
        <v>0</v>
      </c>
      <c r="N420" s="71">
        <v>525.39813612</v>
      </c>
      <c r="O420" s="62">
        <v>847.61714341000004</v>
      </c>
      <c r="P420" s="62">
        <v>1292</v>
      </c>
      <c r="Q420" s="62">
        <v>2499</v>
      </c>
      <c r="R420" s="62">
        <v>1257</v>
      </c>
      <c r="S420">
        <v>606</v>
      </c>
      <c r="T420" s="126">
        <v>286</v>
      </c>
      <c r="U420">
        <v>75</v>
      </c>
      <c r="V420" s="62">
        <f t="shared" si="13"/>
        <v>6015</v>
      </c>
    </row>
    <row r="421" spans="1:22" ht="14">
      <c r="A421" s="1">
        <v>5028</v>
      </c>
      <c r="B421" s="2" t="s">
        <v>137</v>
      </c>
      <c r="C421" s="139"/>
      <c r="D421" s="139">
        <v>-24.1</v>
      </c>
      <c r="E421" s="109">
        <v>1</v>
      </c>
      <c r="F421" s="109">
        <v>63</v>
      </c>
      <c r="G421" s="86">
        <f t="shared" si="14"/>
        <v>0</v>
      </c>
      <c r="H421">
        <v>1600</v>
      </c>
      <c r="I421" s="86">
        <v>13977</v>
      </c>
      <c r="J421">
        <v>14457</v>
      </c>
      <c r="K421" s="62">
        <v>157123</v>
      </c>
      <c r="L421" s="71">
        <v>90614</v>
      </c>
      <c r="M421" s="71">
        <v>0</v>
      </c>
      <c r="N421" s="71">
        <v>2957.0484840600002</v>
      </c>
      <c r="O421" s="62">
        <v>1948.2249690900001</v>
      </c>
      <c r="P421" s="62">
        <v>3811</v>
      </c>
      <c r="Q421" s="62">
        <v>6448</v>
      </c>
      <c r="R421" s="62">
        <v>2929</v>
      </c>
      <c r="S421">
        <v>1277</v>
      </c>
      <c r="T421" s="126">
        <v>492</v>
      </c>
      <c r="U421">
        <v>71</v>
      </c>
      <c r="V421" s="62">
        <f t="shared" si="13"/>
        <v>15028</v>
      </c>
    </row>
    <row r="422" spans="1:22" ht="14">
      <c r="A422" s="1">
        <v>5029</v>
      </c>
      <c r="B422" s="2" t="s">
        <v>138</v>
      </c>
      <c r="C422" s="139"/>
      <c r="D422" s="139">
        <v>64.147000000000006</v>
      </c>
      <c r="E422" s="109">
        <v>1</v>
      </c>
      <c r="F422" s="109">
        <v>58</v>
      </c>
      <c r="G422" s="86">
        <f t="shared" si="14"/>
        <v>0</v>
      </c>
      <c r="H422">
        <v>600</v>
      </c>
      <c r="I422" s="86">
        <v>6063</v>
      </c>
      <c r="J422">
        <v>6326</v>
      </c>
      <c r="K422" s="62">
        <v>64435</v>
      </c>
      <c r="L422" s="71">
        <v>49723</v>
      </c>
      <c r="M422" s="71">
        <v>0</v>
      </c>
      <c r="N422" s="71">
        <v>943.02229560000001</v>
      </c>
      <c r="O422" s="62">
        <v>879.34876655999994</v>
      </c>
      <c r="P422" s="62">
        <v>1758</v>
      </c>
      <c r="Q422" s="62">
        <v>2909</v>
      </c>
      <c r="R422" s="62">
        <v>1322</v>
      </c>
      <c r="S422">
        <v>504</v>
      </c>
      <c r="T422" s="126">
        <v>226</v>
      </c>
      <c r="U422">
        <v>37</v>
      </c>
      <c r="V422" s="62">
        <f t="shared" si="13"/>
        <v>6756</v>
      </c>
    </row>
    <row r="423" spans="1:22" ht="14">
      <c r="A423" s="1">
        <v>5030</v>
      </c>
      <c r="B423" s="2" t="s">
        <v>139</v>
      </c>
      <c r="C423" s="139"/>
      <c r="D423" s="139">
        <v>7.7430000000000003</v>
      </c>
      <c r="E423" s="109">
        <v>1</v>
      </c>
      <c r="F423" s="109">
        <v>71</v>
      </c>
      <c r="G423" s="86">
        <f t="shared" si="14"/>
        <v>0</v>
      </c>
      <c r="H423">
        <v>3100</v>
      </c>
      <c r="I423" s="86">
        <v>5279</v>
      </c>
      <c r="J423">
        <v>5558</v>
      </c>
      <c r="K423" s="62">
        <v>49957</v>
      </c>
      <c r="L423" s="71">
        <v>42962</v>
      </c>
      <c r="M423" s="71">
        <v>0</v>
      </c>
      <c r="N423" s="71">
        <v>1060.90008255</v>
      </c>
      <c r="O423" s="62">
        <v>784.11330774999999</v>
      </c>
      <c r="P423" s="62">
        <v>1710</v>
      </c>
      <c r="Q423" s="62">
        <v>2635</v>
      </c>
      <c r="R423" s="62">
        <v>1048</v>
      </c>
      <c r="S423">
        <v>381</v>
      </c>
      <c r="T423" s="126">
        <v>104</v>
      </c>
      <c r="U423">
        <v>16</v>
      </c>
      <c r="V423" s="62">
        <f t="shared" si="13"/>
        <v>5894</v>
      </c>
    </row>
    <row r="424" spans="1:22" ht="14">
      <c r="A424" s="1">
        <v>5031</v>
      </c>
      <c r="B424" s="2" t="s">
        <v>141</v>
      </c>
      <c r="C424" s="139"/>
      <c r="D424" s="139">
        <v>-40.475999999999999</v>
      </c>
      <c r="E424" s="109">
        <v>1</v>
      </c>
      <c r="F424" s="109">
        <v>83</v>
      </c>
      <c r="G424" s="86">
        <f t="shared" si="14"/>
        <v>0</v>
      </c>
      <c r="H424">
        <v>1400</v>
      </c>
      <c r="I424" s="86">
        <v>12095</v>
      </c>
      <c r="J424">
        <v>12388</v>
      </c>
      <c r="K424" s="62">
        <v>120614</v>
      </c>
      <c r="L424" s="71">
        <v>81162</v>
      </c>
      <c r="M424" s="71">
        <v>0</v>
      </c>
      <c r="N424" s="71">
        <v>2182.4230269599998</v>
      </c>
      <c r="O424" s="62">
        <v>1626.90886512</v>
      </c>
      <c r="P424" s="62">
        <v>3396</v>
      </c>
      <c r="Q424" s="62">
        <v>5541</v>
      </c>
      <c r="R424" s="62">
        <v>2511</v>
      </c>
      <c r="S424">
        <v>874</v>
      </c>
      <c r="T424" s="126">
        <v>294</v>
      </c>
      <c r="U424">
        <v>61</v>
      </c>
      <c r="V424" s="62">
        <f t="shared" si="13"/>
        <v>12677</v>
      </c>
    </row>
    <row r="425" spans="1:22" ht="14">
      <c r="A425" s="1">
        <v>5032</v>
      </c>
      <c r="B425" s="2" t="s">
        <v>142</v>
      </c>
      <c r="C425" s="139"/>
      <c r="D425" s="139">
        <v>61.965000000000003</v>
      </c>
      <c r="E425" s="109">
        <v>3</v>
      </c>
      <c r="F425" s="109">
        <v>41</v>
      </c>
      <c r="G425" s="86">
        <f t="shared" si="14"/>
        <v>33</v>
      </c>
      <c r="H425">
        <v>5228</v>
      </c>
      <c r="I425" s="86">
        <v>3988</v>
      </c>
      <c r="J425">
        <v>4006</v>
      </c>
      <c r="K425" s="62">
        <v>77541</v>
      </c>
      <c r="L425" s="71">
        <v>19318</v>
      </c>
      <c r="M425" s="71">
        <v>0</v>
      </c>
      <c r="N425" s="71">
        <v>527.64342729999998</v>
      </c>
      <c r="O425" s="62">
        <v>590.45584307000001</v>
      </c>
      <c r="P425" s="62">
        <v>863</v>
      </c>
      <c r="Q425" s="62">
        <v>1505</v>
      </c>
      <c r="R425" s="62">
        <v>901</v>
      </c>
      <c r="S425">
        <v>440</v>
      </c>
      <c r="T425" s="126">
        <v>241</v>
      </c>
      <c r="U425">
        <v>46</v>
      </c>
      <c r="V425" s="62">
        <f t="shared" si="13"/>
        <v>3996</v>
      </c>
    </row>
    <row r="426" spans="1:22" ht="14">
      <c r="A426" s="1">
        <v>5033</v>
      </c>
      <c r="B426" s="2" t="s">
        <v>143</v>
      </c>
      <c r="C426" s="139"/>
      <c r="D426" s="139">
        <v>96.766000000000005</v>
      </c>
      <c r="E426" s="109">
        <v>4</v>
      </c>
      <c r="F426" s="109">
        <v>18</v>
      </c>
      <c r="G426" s="86">
        <f t="shared" si="14"/>
        <v>4</v>
      </c>
      <c r="H426">
        <v>200</v>
      </c>
      <c r="I426" s="86">
        <v>902</v>
      </c>
      <c r="J426">
        <v>856</v>
      </c>
      <c r="K426" s="62">
        <v>21331</v>
      </c>
      <c r="L426" s="71">
        <v>2239</v>
      </c>
      <c r="M426" s="71">
        <v>0</v>
      </c>
      <c r="N426" s="71">
        <v>0</v>
      </c>
      <c r="O426" s="62">
        <v>143.11543527000001</v>
      </c>
      <c r="P426" s="62">
        <v>171</v>
      </c>
      <c r="Q426" s="62">
        <v>324</v>
      </c>
      <c r="R426" s="62">
        <v>184</v>
      </c>
      <c r="S426">
        <v>121</v>
      </c>
      <c r="T426" s="126">
        <v>57</v>
      </c>
      <c r="U426">
        <v>11</v>
      </c>
      <c r="V426" s="62">
        <f t="shared" si="13"/>
        <v>868</v>
      </c>
    </row>
    <row r="427" spans="1:22" ht="14">
      <c r="A427" s="1">
        <v>5034</v>
      </c>
      <c r="B427" s="2" t="s">
        <v>146</v>
      </c>
      <c r="C427" s="139"/>
      <c r="D427" s="139">
        <v>180.809</v>
      </c>
      <c r="E427" s="109">
        <v>4</v>
      </c>
      <c r="F427" s="109">
        <v>20</v>
      </c>
      <c r="G427" s="86">
        <f t="shared" si="14"/>
        <v>4</v>
      </c>
      <c r="H427">
        <v>200</v>
      </c>
      <c r="I427" s="86">
        <v>2560</v>
      </c>
      <c r="J427">
        <v>2506</v>
      </c>
      <c r="K427" s="62">
        <v>53619</v>
      </c>
      <c r="L427" s="71">
        <v>10660</v>
      </c>
      <c r="M427" s="71">
        <v>0</v>
      </c>
      <c r="N427" s="71">
        <v>415.37886830000002</v>
      </c>
      <c r="O427" s="62">
        <v>380.24190167</v>
      </c>
      <c r="P427" s="62">
        <v>509</v>
      </c>
      <c r="Q427" s="62">
        <v>937</v>
      </c>
      <c r="R427" s="62">
        <v>589</v>
      </c>
      <c r="S427">
        <v>269</v>
      </c>
      <c r="T427" s="126">
        <v>149</v>
      </c>
      <c r="U427">
        <v>50</v>
      </c>
      <c r="V427" s="62">
        <f t="shared" si="13"/>
        <v>2503</v>
      </c>
    </row>
    <row r="428" spans="1:22" ht="14">
      <c r="A428" s="1">
        <v>5035</v>
      </c>
      <c r="B428" s="2" t="s">
        <v>147</v>
      </c>
      <c r="C428" s="139"/>
      <c r="D428" s="139">
        <v>-97.177999999999997</v>
      </c>
      <c r="E428" s="109">
        <v>1</v>
      </c>
      <c r="F428" s="109">
        <v>70</v>
      </c>
      <c r="G428" s="86">
        <f t="shared" si="14"/>
        <v>0</v>
      </c>
      <c r="H428">
        <v>1600</v>
      </c>
      <c r="I428" s="86">
        <v>19562</v>
      </c>
      <c r="J428">
        <v>20616</v>
      </c>
      <c r="K428" s="62">
        <v>232131</v>
      </c>
      <c r="L428" s="71">
        <v>135036</v>
      </c>
      <c r="M428" s="71">
        <v>0</v>
      </c>
      <c r="N428" s="71">
        <v>2829.0668867999998</v>
      </c>
      <c r="O428" s="62">
        <v>2862.5292932500001</v>
      </c>
      <c r="P428" s="62">
        <v>5496</v>
      </c>
      <c r="Q428" s="62">
        <v>8949</v>
      </c>
      <c r="R428" s="62">
        <v>4427</v>
      </c>
      <c r="S428">
        <v>1922</v>
      </c>
      <c r="T428" s="126">
        <v>701</v>
      </c>
      <c r="U428">
        <v>164</v>
      </c>
      <c r="V428" s="62">
        <f t="shared" si="13"/>
        <v>21659</v>
      </c>
    </row>
    <row r="429" spans="1:22" ht="14">
      <c r="A429" s="1">
        <v>5036</v>
      </c>
      <c r="B429" s="2" t="s">
        <v>148</v>
      </c>
      <c r="C429" s="139"/>
      <c r="D429" s="139">
        <v>-78.828000000000003</v>
      </c>
      <c r="E429" s="109">
        <v>3</v>
      </c>
      <c r="F429" s="109">
        <v>35</v>
      </c>
      <c r="G429" s="86">
        <f t="shared" si="14"/>
        <v>35</v>
      </c>
      <c r="H429">
        <v>2600</v>
      </c>
      <c r="I429" s="86">
        <v>2493</v>
      </c>
      <c r="J429">
        <v>2466</v>
      </c>
      <c r="K429" s="62">
        <v>53204</v>
      </c>
      <c r="L429" s="71">
        <v>12352</v>
      </c>
      <c r="M429" s="71">
        <v>0</v>
      </c>
      <c r="N429" s="71">
        <v>133.59482521000001</v>
      </c>
      <c r="O429" s="62">
        <v>379.74979724000002</v>
      </c>
      <c r="P429" s="62">
        <v>596</v>
      </c>
      <c r="Q429" s="62">
        <v>968</v>
      </c>
      <c r="R429" s="62">
        <v>551</v>
      </c>
      <c r="S429">
        <v>287</v>
      </c>
      <c r="T429" s="126">
        <v>105</v>
      </c>
      <c r="U429">
        <v>31</v>
      </c>
      <c r="V429" s="62">
        <f t="shared" si="13"/>
        <v>2538</v>
      </c>
    </row>
    <row r="430" spans="1:22" ht="14">
      <c r="A430" s="1">
        <v>5037</v>
      </c>
      <c r="B430" s="2" t="s">
        <v>150</v>
      </c>
      <c r="C430" s="139"/>
      <c r="D430" s="139">
        <v>42.551000000000002</v>
      </c>
      <c r="E430" s="109">
        <v>2</v>
      </c>
      <c r="F430" s="109">
        <v>58</v>
      </c>
      <c r="G430" s="86">
        <f t="shared" si="14"/>
        <v>0</v>
      </c>
      <c r="H430">
        <v>3600</v>
      </c>
      <c r="I430" s="86">
        <v>18001</v>
      </c>
      <c r="J430">
        <v>18355</v>
      </c>
      <c r="K430" s="62">
        <v>196025</v>
      </c>
      <c r="L430" s="71">
        <v>122027</v>
      </c>
      <c r="M430" s="71">
        <v>0</v>
      </c>
      <c r="N430" s="71">
        <v>2287.9517124200001</v>
      </c>
      <c r="O430" s="62">
        <v>2430.5499714699999</v>
      </c>
      <c r="P430" s="62">
        <v>4467</v>
      </c>
      <c r="Q430" s="62">
        <v>7701</v>
      </c>
      <c r="R430" s="62">
        <v>4075</v>
      </c>
      <c r="S430">
        <v>1700</v>
      </c>
      <c r="T430" s="126">
        <v>667</v>
      </c>
      <c r="U430">
        <v>131</v>
      </c>
      <c r="V430" s="62">
        <f t="shared" si="13"/>
        <v>18741</v>
      </c>
    </row>
    <row r="431" spans="1:22" ht="14">
      <c r="A431" s="1">
        <v>5038</v>
      </c>
      <c r="B431" s="2" t="s">
        <v>151</v>
      </c>
      <c r="C431" s="139"/>
      <c r="D431" s="139">
        <v>-1.7909999999999999</v>
      </c>
      <c r="E431" s="109">
        <v>3</v>
      </c>
      <c r="F431" s="109">
        <v>39</v>
      </c>
      <c r="G431" s="86">
        <f t="shared" si="14"/>
        <v>33</v>
      </c>
      <c r="H431">
        <v>2900</v>
      </c>
      <c r="I431" s="86">
        <v>13815</v>
      </c>
      <c r="J431">
        <v>14094</v>
      </c>
      <c r="K431" s="62">
        <v>181011</v>
      </c>
      <c r="L431" s="71">
        <v>87810</v>
      </c>
      <c r="M431" s="71">
        <v>3403</v>
      </c>
      <c r="N431" s="71">
        <v>1953.4033265999999</v>
      </c>
      <c r="O431" s="62">
        <v>1905.85430827</v>
      </c>
      <c r="P431" s="62">
        <v>3408</v>
      </c>
      <c r="Q431" s="62">
        <v>5803</v>
      </c>
      <c r="R431" s="62">
        <v>3282</v>
      </c>
      <c r="S431">
        <v>1194</v>
      </c>
      <c r="T431" s="126">
        <v>534</v>
      </c>
      <c r="U431">
        <v>113</v>
      </c>
      <c r="V431" s="62">
        <f t="shared" si="13"/>
        <v>14334</v>
      </c>
    </row>
    <row r="432" spans="1:22" ht="14">
      <c r="A432" s="1">
        <v>5039</v>
      </c>
      <c r="B432" s="2" t="s">
        <v>153</v>
      </c>
      <c r="C432" s="139"/>
      <c r="D432" s="139">
        <v>155.26</v>
      </c>
      <c r="E432" s="109">
        <v>4</v>
      </c>
      <c r="F432" s="109">
        <v>14</v>
      </c>
      <c r="G432" s="86">
        <f t="shared" si="14"/>
        <v>4</v>
      </c>
      <c r="H432">
        <v>1300</v>
      </c>
      <c r="I432" s="86">
        <v>2670</v>
      </c>
      <c r="J432">
        <v>2948</v>
      </c>
      <c r="K432" s="62">
        <v>57013</v>
      </c>
      <c r="L432" s="71">
        <v>10691</v>
      </c>
      <c r="M432" s="71">
        <v>0</v>
      </c>
      <c r="N432" s="71">
        <v>200.95356061000001</v>
      </c>
      <c r="O432" s="62">
        <v>380.85238969</v>
      </c>
      <c r="P432" s="62">
        <v>488</v>
      </c>
      <c r="Q432" s="62">
        <v>997</v>
      </c>
      <c r="R432" s="62">
        <v>604</v>
      </c>
      <c r="S432">
        <v>311</v>
      </c>
      <c r="T432" s="126">
        <v>182</v>
      </c>
      <c r="U432">
        <v>27</v>
      </c>
      <c r="V432" s="62">
        <f t="shared" si="13"/>
        <v>2609</v>
      </c>
    </row>
    <row r="433" spans="1:22" ht="14">
      <c r="A433" s="1">
        <v>5040</v>
      </c>
      <c r="B433" s="2" t="s">
        <v>154</v>
      </c>
      <c r="C433" s="139"/>
      <c r="D433" s="139">
        <v>-136.404</v>
      </c>
      <c r="E433" s="109">
        <v>4</v>
      </c>
      <c r="F433" s="109">
        <v>24</v>
      </c>
      <c r="G433" s="86">
        <v>41</v>
      </c>
      <c r="H433">
        <v>1400</v>
      </c>
      <c r="I433" s="86">
        <v>1781</v>
      </c>
      <c r="J433">
        <v>1717</v>
      </c>
      <c r="K433" s="62">
        <v>48117</v>
      </c>
      <c r="L433" s="71">
        <v>7318</v>
      </c>
      <c r="M433" s="71">
        <v>0</v>
      </c>
      <c r="N433" s="71">
        <v>227.89705477000001</v>
      </c>
      <c r="O433" s="62">
        <v>278.17406414999999</v>
      </c>
      <c r="P433" s="62">
        <v>372</v>
      </c>
      <c r="Q433" s="62">
        <v>599</v>
      </c>
      <c r="R433" s="62">
        <v>417</v>
      </c>
      <c r="S433">
        <v>197</v>
      </c>
      <c r="T433" s="126">
        <v>102</v>
      </c>
      <c r="U433">
        <v>20</v>
      </c>
      <c r="V433" s="62">
        <f t="shared" si="13"/>
        <v>1707</v>
      </c>
    </row>
    <row r="434" spans="1:22" ht="14">
      <c r="A434" s="1">
        <v>5041</v>
      </c>
      <c r="B434" s="2" t="s">
        <v>156</v>
      </c>
      <c r="C434" s="139"/>
      <c r="D434" s="139">
        <v>-99.087000000000003</v>
      </c>
      <c r="E434" s="109">
        <v>4</v>
      </c>
      <c r="F434" s="109">
        <v>19</v>
      </c>
      <c r="G434" s="86">
        <v>41</v>
      </c>
      <c r="H434">
        <v>500</v>
      </c>
      <c r="I434" s="86">
        <v>2260</v>
      </c>
      <c r="J434">
        <v>2176</v>
      </c>
      <c r="K434" s="62">
        <v>56461</v>
      </c>
      <c r="L434" s="71">
        <v>9961</v>
      </c>
      <c r="M434" s="71">
        <v>0</v>
      </c>
      <c r="N434" s="71">
        <v>143.69863552000001</v>
      </c>
      <c r="O434" s="62">
        <v>347.90937312</v>
      </c>
      <c r="P434" s="62">
        <v>463</v>
      </c>
      <c r="Q434" s="62">
        <v>809</v>
      </c>
      <c r="R434" s="62">
        <v>475</v>
      </c>
      <c r="S434">
        <v>267</v>
      </c>
      <c r="T434" s="126">
        <v>119</v>
      </c>
      <c r="U434">
        <v>39</v>
      </c>
      <c r="V434" s="62">
        <f t="shared" si="13"/>
        <v>2172</v>
      </c>
    </row>
    <row r="435" spans="1:22" ht="14">
      <c r="A435" s="1">
        <v>5042</v>
      </c>
      <c r="B435" s="2" t="s">
        <v>157</v>
      </c>
      <c r="C435" s="139"/>
      <c r="D435" s="139">
        <v>-59.384</v>
      </c>
      <c r="E435" s="109">
        <v>4</v>
      </c>
      <c r="F435" s="109">
        <v>19</v>
      </c>
      <c r="G435" s="86">
        <v>41</v>
      </c>
      <c r="H435">
        <v>3400</v>
      </c>
      <c r="I435" s="86">
        <v>1509</v>
      </c>
      <c r="J435">
        <v>1480</v>
      </c>
      <c r="K435" s="62">
        <v>49749</v>
      </c>
      <c r="L435" s="71">
        <v>4627</v>
      </c>
      <c r="M435" s="71">
        <v>0</v>
      </c>
      <c r="N435" s="71">
        <v>0</v>
      </c>
      <c r="O435" s="62">
        <v>256.24844209999998</v>
      </c>
      <c r="P435" s="62">
        <v>290</v>
      </c>
      <c r="Q435" s="62">
        <v>495</v>
      </c>
      <c r="R435" s="62">
        <v>356</v>
      </c>
      <c r="S435">
        <v>167</v>
      </c>
      <c r="T435" s="126">
        <v>85</v>
      </c>
      <c r="U435">
        <v>13</v>
      </c>
      <c r="V435" s="62">
        <f t="shared" si="13"/>
        <v>1406</v>
      </c>
    </row>
    <row r="436" spans="1:22" ht="14">
      <c r="A436" s="1">
        <v>5043</v>
      </c>
      <c r="B436" s="2" t="s">
        <v>164</v>
      </c>
      <c r="C436" s="139"/>
      <c r="D436" s="139">
        <v>-10.676</v>
      </c>
      <c r="E436" s="109">
        <v>4</v>
      </c>
      <c r="F436" s="109">
        <v>12</v>
      </c>
      <c r="G436" s="86">
        <v>41</v>
      </c>
      <c r="H436">
        <v>3700</v>
      </c>
      <c r="I436" s="86">
        <v>542</v>
      </c>
      <c r="J436">
        <v>499</v>
      </c>
      <c r="K436" s="62">
        <v>22292</v>
      </c>
      <c r="L436" s="71">
        <v>2627</v>
      </c>
      <c r="M436" s="71">
        <v>0</v>
      </c>
      <c r="N436" s="71">
        <v>0</v>
      </c>
      <c r="O436" s="62">
        <v>100.71191195999999</v>
      </c>
      <c r="P436" s="62">
        <v>99</v>
      </c>
      <c r="Q436" s="62">
        <v>185</v>
      </c>
      <c r="R436" s="62">
        <v>119</v>
      </c>
      <c r="S436">
        <v>64</v>
      </c>
      <c r="T436" s="126">
        <v>29</v>
      </c>
      <c r="U436">
        <v>3</v>
      </c>
      <c r="V436" s="62">
        <f t="shared" si="13"/>
        <v>499</v>
      </c>
    </row>
    <row r="437" spans="1:22" ht="14">
      <c r="A437" s="1">
        <v>5044</v>
      </c>
      <c r="B437" s="2" t="s">
        <v>165</v>
      </c>
      <c r="C437" s="139"/>
      <c r="D437" s="139">
        <v>-210.01499999999999</v>
      </c>
      <c r="E437" s="109">
        <v>4</v>
      </c>
      <c r="F437" s="109">
        <v>7</v>
      </c>
      <c r="G437" s="86">
        <v>41</v>
      </c>
      <c r="H437">
        <v>200</v>
      </c>
      <c r="I437" s="86">
        <v>941</v>
      </c>
      <c r="J437">
        <v>916</v>
      </c>
      <c r="K437" s="62">
        <v>34981</v>
      </c>
      <c r="L437" s="71">
        <v>3881</v>
      </c>
      <c r="M437" s="71">
        <v>0</v>
      </c>
      <c r="N437" s="71">
        <v>0</v>
      </c>
      <c r="O437" s="62">
        <v>175.89626362000001</v>
      </c>
      <c r="P437" s="62">
        <v>198</v>
      </c>
      <c r="Q437" s="62">
        <v>312</v>
      </c>
      <c r="R437" s="62">
        <v>220</v>
      </c>
      <c r="S437">
        <v>134</v>
      </c>
      <c r="T437" s="126">
        <v>54</v>
      </c>
      <c r="U437">
        <v>10</v>
      </c>
      <c r="V437" s="62">
        <f t="shared" si="13"/>
        <v>928</v>
      </c>
    </row>
    <row r="438" spans="1:22" ht="14">
      <c r="A438" s="1">
        <v>5045</v>
      </c>
      <c r="B438" s="2" t="s">
        <v>166</v>
      </c>
      <c r="C438" s="139"/>
      <c r="D438" s="139">
        <v>83.382999999999996</v>
      </c>
      <c r="E438" s="109">
        <v>4</v>
      </c>
      <c r="F438" s="109">
        <v>25</v>
      </c>
      <c r="G438" s="86">
        <v>41</v>
      </c>
      <c r="H438">
        <v>500</v>
      </c>
      <c r="I438" s="86">
        <v>2481</v>
      </c>
      <c r="J438">
        <v>2377</v>
      </c>
      <c r="K438" s="62">
        <v>61631</v>
      </c>
      <c r="L438" s="71">
        <v>11054</v>
      </c>
      <c r="M438" s="71">
        <v>0</v>
      </c>
      <c r="N438" s="71">
        <v>170.64212968000001</v>
      </c>
      <c r="O438" s="62">
        <v>368.14816497999999</v>
      </c>
      <c r="P438" s="62">
        <v>527</v>
      </c>
      <c r="Q438" s="62">
        <v>854</v>
      </c>
      <c r="R438" s="62">
        <v>543</v>
      </c>
      <c r="S438">
        <v>262</v>
      </c>
      <c r="T438" s="126">
        <v>146</v>
      </c>
      <c r="U438">
        <v>25</v>
      </c>
      <c r="V438" s="62">
        <f t="shared" si="13"/>
        <v>2357</v>
      </c>
    </row>
    <row r="439" spans="1:22" ht="14">
      <c r="A439" s="1">
        <v>5046</v>
      </c>
      <c r="B439" s="2" t="s">
        <v>167</v>
      </c>
      <c r="C439" s="139"/>
      <c r="D439" s="139">
        <v>-168.31100000000001</v>
      </c>
      <c r="E439" s="109">
        <v>4</v>
      </c>
      <c r="F439" s="109">
        <v>20</v>
      </c>
      <c r="G439" s="86">
        <v>41</v>
      </c>
      <c r="H439">
        <v>200</v>
      </c>
      <c r="I439" s="86">
        <v>1247</v>
      </c>
      <c r="J439">
        <v>1273</v>
      </c>
      <c r="K439" s="62">
        <v>43423</v>
      </c>
      <c r="L439" s="71">
        <v>7685</v>
      </c>
      <c r="M439" s="71">
        <v>0</v>
      </c>
      <c r="N439" s="71">
        <v>0</v>
      </c>
      <c r="O439" s="62">
        <v>236.03586899000001</v>
      </c>
      <c r="P439" s="62">
        <v>305</v>
      </c>
      <c r="Q439" s="62">
        <v>444</v>
      </c>
      <c r="R439" s="62">
        <v>294</v>
      </c>
      <c r="S439">
        <v>151</v>
      </c>
      <c r="T439" s="126">
        <v>60</v>
      </c>
      <c r="U439">
        <v>16</v>
      </c>
      <c r="V439" s="62">
        <f t="shared" si="13"/>
        <v>1270</v>
      </c>
    </row>
    <row r="440" spans="1:22" ht="14">
      <c r="A440" s="1">
        <v>5047</v>
      </c>
      <c r="B440" s="2" t="s">
        <v>168</v>
      </c>
      <c r="C440" s="139"/>
      <c r="D440" s="139">
        <v>-17.541</v>
      </c>
      <c r="E440" s="109">
        <v>4</v>
      </c>
      <c r="F440" s="109">
        <v>42</v>
      </c>
      <c r="G440" s="86">
        <v>41</v>
      </c>
      <c r="H440">
        <v>200</v>
      </c>
      <c r="I440" s="86">
        <v>3476</v>
      </c>
      <c r="J440">
        <v>3507</v>
      </c>
      <c r="K440" s="62">
        <v>59703</v>
      </c>
      <c r="L440" s="71">
        <v>17388</v>
      </c>
      <c r="M440" s="71">
        <v>0</v>
      </c>
      <c r="N440" s="71">
        <v>0</v>
      </c>
      <c r="O440" s="62">
        <v>522.17030584999998</v>
      </c>
      <c r="P440" s="62">
        <v>870</v>
      </c>
      <c r="Q440" s="62">
        <v>1416</v>
      </c>
      <c r="R440" s="62">
        <v>814</v>
      </c>
      <c r="S440">
        <v>345</v>
      </c>
      <c r="T440" s="126">
        <v>161</v>
      </c>
      <c r="U440">
        <v>30</v>
      </c>
      <c r="V440" s="62">
        <f t="shared" si="13"/>
        <v>3636</v>
      </c>
    </row>
    <row r="441" spans="1:22" ht="14">
      <c r="A441" s="1">
        <v>5048</v>
      </c>
      <c r="B441" s="2" t="s">
        <v>169</v>
      </c>
      <c r="C441" s="139"/>
      <c r="D441" s="139">
        <v>343.97500000000002</v>
      </c>
      <c r="E441" s="109">
        <v>4</v>
      </c>
      <c r="F441" s="109">
        <v>12</v>
      </c>
      <c r="G441" s="86">
        <v>41</v>
      </c>
      <c r="H441">
        <v>1900</v>
      </c>
      <c r="I441" s="86">
        <v>717</v>
      </c>
      <c r="J441">
        <v>687</v>
      </c>
      <c r="K441" s="62">
        <v>28199</v>
      </c>
      <c r="L441" s="71">
        <v>2037</v>
      </c>
      <c r="M441" s="71">
        <v>0</v>
      </c>
      <c r="N441" s="71">
        <v>125.73630608000001</v>
      </c>
      <c r="O441" s="62">
        <v>124.17847311</v>
      </c>
      <c r="P441" s="62">
        <v>126</v>
      </c>
      <c r="Q441" s="62">
        <v>225</v>
      </c>
      <c r="R441" s="62">
        <v>163</v>
      </c>
      <c r="S441">
        <v>90</v>
      </c>
      <c r="T441" s="126">
        <v>41</v>
      </c>
      <c r="U441">
        <v>8</v>
      </c>
      <c r="V441" s="62">
        <f t="shared" si="13"/>
        <v>653</v>
      </c>
    </row>
    <row r="442" spans="1:22" ht="14">
      <c r="A442" s="1">
        <v>5049</v>
      </c>
      <c r="B442" s="2" t="s">
        <v>170</v>
      </c>
      <c r="C442" s="139"/>
      <c r="D442" s="139">
        <v>-165.09299999999999</v>
      </c>
      <c r="E442" s="109">
        <v>4</v>
      </c>
      <c r="F442" s="109">
        <v>8</v>
      </c>
      <c r="G442" s="86">
        <v>41</v>
      </c>
      <c r="H442">
        <v>3800</v>
      </c>
      <c r="I442" s="86">
        <v>1205</v>
      </c>
      <c r="J442">
        <v>1138</v>
      </c>
      <c r="K442" s="62">
        <v>39051</v>
      </c>
      <c r="L442" s="71">
        <v>3837</v>
      </c>
      <c r="M442" s="71">
        <v>0</v>
      </c>
      <c r="N442" s="71">
        <v>270.55758718999999</v>
      </c>
      <c r="O442" s="62">
        <v>197.98822304999999</v>
      </c>
      <c r="P442" s="62">
        <v>234</v>
      </c>
      <c r="Q442" s="62">
        <v>384</v>
      </c>
      <c r="R442" s="62">
        <v>276</v>
      </c>
      <c r="S442">
        <v>141</v>
      </c>
      <c r="T442" s="126">
        <v>62</v>
      </c>
      <c r="U442">
        <v>12</v>
      </c>
      <c r="V442" s="62">
        <f t="shared" si="13"/>
        <v>1109</v>
      </c>
    </row>
    <row r="443" spans="1:22" ht="14">
      <c r="A443" s="1">
        <v>5050</v>
      </c>
      <c r="B443" s="2" t="s">
        <v>171</v>
      </c>
      <c r="C443" s="139"/>
      <c r="D443" s="139">
        <v>2.74</v>
      </c>
      <c r="E443" s="109">
        <v>4</v>
      </c>
      <c r="F443" s="109">
        <v>51</v>
      </c>
      <c r="G443" s="86">
        <v>41</v>
      </c>
      <c r="H443">
        <v>3500</v>
      </c>
      <c r="I443" s="86">
        <v>4013</v>
      </c>
      <c r="J443">
        <v>4034</v>
      </c>
      <c r="K443" s="62">
        <v>69624</v>
      </c>
      <c r="L443" s="71">
        <v>26128</v>
      </c>
      <c r="M443" s="71">
        <v>155</v>
      </c>
      <c r="N443" s="71">
        <v>399.66183003999998</v>
      </c>
      <c r="O443" s="62">
        <v>609.17120838999995</v>
      </c>
      <c r="P443" s="62">
        <v>1003</v>
      </c>
      <c r="Q443" s="62">
        <v>1715</v>
      </c>
      <c r="R443" s="62">
        <v>833</v>
      </c>
      <c r="S443">
        <v>413</v>
      </c>
      <c r="T443" s="126">
        <v>144</v>
      </c>
      <c r="U443">
        <v>27</v>
      </c>
      <c r="V443" s="62">
        <f t="shared" si="13"/>
        <v>4135</v>
      </c>
    </row>
    <row r="444" spans="1:22" ht="14">
      <c r="A444" s="1">
        <v>5051</v>
      </c>
      <c r="B444" s="2" t="s">
        <v>172</v>
      </c>
      <c r="C444" s="139"/>
      <c r="D444" s="139">
        <v>67.495999999999995</v>
      </c>
      <c r="E444" s="109">
        <v>4</v>
      </c>
      <c r="F444" s="109">
        <v>24</v>
      </c>
      <c r="G444" s="86">
        <v>41</v>
      </c>
      <c r="H444">
        <v>2600</v>
      </c>
      <c r="I444" s="86">
        <v>5233</v>
      </c>
      <c r="J444">
        <v>5015</v>
      </c>
      <c r="K444" s="62">
        <v>99464</v>
      </c>
      <c r="L444" s="71">
        <v>18908</v>
      </c>
      <c r="M444" s="71">
        <v>0</v>
      </c>
      <c r="N444" s="71">
        <v>607.35126419000005</v>
      </c>
      <c r="O444" s="62">
        <v>753.06943928999999</v>
      </c>
      <c r="P444" s="62">
        <v>1123</v>
      </c>
      <c r="Q444" s="62">
        <v>1939</v>
      </c>
      <c r="R444" s="62">
        <v>1107</v>
      </c>
      <c r="S444">
        <v>532</v>
      </c>
      <c r="T444" s="126">
        <v>253</v>
      </c>
      <c r="U444">
        <v>45</v>
      </c>
      <c r="V444" s="62">
        <f t="shared" si="13"/>
        <v>4999</v>
      </c>
    </row>
    <row r="445" spans="1:22" ht="14">
      <c r="A445" s="1">
        <v>5052</v>
      </c>
      <c r="B445" s="2" t="s">
        <v>173</v>
      </c>
      <c r="C445" s="139"/>
      <c r="D445" s="139">
        <v>293.666</v>
      </c>
      <c r="E445" s="109">
        <v>4</v>
      </c>
      <c r="F445" s="109">
        <v>5</v>
      </c>
      <c r="G445" s="86">
        <v>41</v>
      </c>
      <c r="H445">
        <v>3100</v>
      </c>
      <c r="I445" s="86">
        <v>609</v>
      </c>
      <c r="J445">
        <v>589</v>
      </c>
      <c r="K445" s="62">
        <v>25044</v>
      </c>
      <c r="L445" s="71">
        <v>1763</v>
      </c>
      <c r="M445" s="71">
        <v>0</v>
      </c>
      <c r="N445" s="71">
        <v>156.04773700999999</v>
      </c>
      <c r="O445" s="62">
        <v>107.01618566</v>
      </c>
      <c r="P445" s="62">
        <v>104</v>
      </c>
      <c r="Q445" s="62">
        <v>192</v>
      </c>
      <c r="R445" s="62">
        <v>156</v>
      </c>
      <c r="S445">
        <v>94</v>
      </c>
      <c r="T445" s="126">
        <v>38</v>
      </c>
      <c r="U445">
        <v>5</v>
      </c>
      <c r="V445" s="62">
        <f t="shared" si="13"/>
        <v>589</v>
      </c>
    </row>
    <row r="446" spans="1:22" ht="14">
      <c r="A446" s="1">
        <v>5053</v>
      </c>
      <c r="B446" s="2" t="s">
        <v>979</v>
      </c>
      <c r="C446" s="139"/>
      <c r="D446" s="139"/>
      <c r="E446" s="109">
        <v>3</v>
      </c>
      <c r="F446" s="109">
        <v>51</v>
      </c>
      <c r="G446" s="86">
        <f t="shared" ref="G446:G447" si="16">IF(E446=3,IF(F446&lt;36,35,IF(F446&lt;39,34,IF(F446&lt;42,33,IF(F446&lt;45,32,IF(F446&lt;47,31,30))))),IF(E446=4,4,0))</f>
        <v>30</v>
      </c>
      <c r="I446" s="86"/>
      <c r="K446" s="62"/>
      <c r="L446" s="71"/>
      <c r="M446" s="71"/>
      <c r="N446" s="71"/>
      <c r="O446" s="62"/>
      <c r="P446" s="62"/>
      <c r="Q446" s="62"/>
      <c r="R446" s="62"/>
      <c r="T446" s="126"/>
      <c r="V446" s="62"/>
    </row>
    <row r="447" spans="1:22" ht="14">
      <c r="A447" s="1">
        <v>5061</v>
      </c>
      <c r="B447" s="2" t="s">
        <v>114</v>
      </c>
      <c r="C447" s="139"/>
      <c r="D447" s="139">
        <v>-34.523000000000003</v>
      </c>
      <c r="E447" s="109">
        <v>4</v>
      </c>
      <c r="F447" s="109">
        <v>26</v>
      </c>
      <c r="G447" s="86">
        <f t="shared" si="16"/>
        <v>4</v>
      </c>
      <c r="H447">
        <v>550</v>
      </c>
      <c r="I447" s="86">
        <v>2101</v>
      </c>
      <c r="J447">
        <v>2045</v>
      </c>
      <c r="K447" s="62">
        <v>50903</v>
      </c>
      <c r="L447" s="71">
        <v>7315</v>
      </c>
      <c r="M447" s="71">
        <v>0</v>
      </c>
      <c r="N447" s="71">
        <v>59.500216270000003</v>
      </c>
      <c r="O447" s="62">
        <v>328.61148279000003</v>
      </c>
      <c r="P447" s="62">
        <v>464</v>
      </c>
      <c r="Q447" s="62">
        <v>752</v>
      </c>
      <c r="R447" s="62">
        <v>427</v>
      </c>
      <c r="S447">
        <v>244</v>
      </c>
      <c r="T447" s="126">
        <v>141</v>
      </c>
      <c r="U447">
        <v>33</v>
      </c>
      <c r="V447" s="62">
        <f t="shared" ref="V447" si="17">P447+Q447+R447+S447+T447+U447</f>
        <v>2061</v>
      </c>
    </row>
    <row r="448" spans="1:22" ht="13">
      <c r="A448" s="1"/>
      <c r="B448" s="2"/>
      <c r="C448" s="139"/>
      <c r="E448" s="86"/>
      <c r="F448" s="86"/>
      <c r="G448" s="86"/>
      <c r="H448" s="86"/>
      <c r="I448" s="86"/>
      <c r="T448" s="62"/>
    </row>
    <row r="449" spans="1:22" ht="13">
      <c r="A449" s="1"/>
      <c r="B449" s="2" t="s">
        <v>261</v>
      </c>
      <c r="C449" s="139"/>
      <c r="D449" s="5"/>
      <c r="E449" s="5"/>
      <c r="F449" s="5"/>
      <c r="G449" s="5"/>
      <c r="H449" s="5">
        <f t="shared" ref="H449:V449" si="18">SUM(H4:H447)</f>
        <v>1183045</v>
      </c>
      <c r="I449" s="5">
        <f t="shared" si="18"/>
        <v>4630596</v>
      </c>
      <c r="J449" s="5">
        <f t="shared" si="18"/>
        <v>4760862</v>
      </c>
      <c r="K449" s="5">
        <f t="shared" si="18"/>
        <v>55428704</v>
      </c>
      <c r="L449" s="5">
        <f t="shared" si="18"/>
        <v>27047827</v>
      </c>
      <c r="M449" s="5">
        <f t="shared" si="18"/>
        <v>230324</v>
      </c>
      <c r="N449" s="5">
        <f t="shared" si="18"/>
        <v>946529.44042316114</v>
      </c>
      <c r="O449" s="5">
        <f t="shared" si="18"/>
        <v>992655.54386011092</v>
      </c>
      <c r="P449" s="5">
        <f t="shared" si="18"/>
        <v>1119716</v>
      </c>
      <c r="Q449" s="5">
        <f t="shared" si="18"/>
        <v>2160543</v>
      </c>
      <c r="R449" s="5">
        <f t="shared" si="18"/>
        <v>1022677</v>
      </c>
      <c r="S449" s="5">
        <f t="shared" si="18"/>
        <v>418544</v>
      </c>
      <c r="T449" s="5">
        <f t="shared" si="18"/>
        <v>184094</v>
      </c>
      <c r="U449" s="5">
        <f t="shared" si="18"/>
        <v>38484</v>
      </c>
      <c r="V449" s="5">
        <f t="shared" si="18"/>
        <v>4944058</v>
      </c>
    </row>
    <row r="450" spans="1:22">
      <c r="D450" s="86"/>
      <c r="E450" s="86"/>
      <c r="F450" s="86"/>
      <c r="G450" s="86"/>
      <c r="H450" s="86"/>
      <c r="I450" s="86"/>
    </row>
    <row r="452" spans="1:22">
      <c r="C452" s="5"/>
      <c r="D452" s="86"/>
      <c r="E452" s="86"/>
      <c r="F452" s="86"/>
      <c r="G452" s="86"/>
      <c r="H452" s="86"/>
      <c r="I452" s="86"/>
      <c r="J452" s="5"/>
    </row>
    <row r="453" spans="1:22">
      <c r="D453" s="86"/>
      <c r="E453" s="86"/>
      <c r="F453" s="86"/>
      <c r="G453" s="86"/>
      <c r="H453" s="86"/>
      <c r="I453" s="86"/>
    </row>
    <row r="454" spans="1:22">
      <c r="D454" s="86"/>
      <c r="E454" s="86"/>
      <c r="F454" s="86"/>
      <c r="G454" s="86"/>
      <c r="H454" s="86"/>
      <c r="I454" s="86"/>
    </row>
    <row r="455" spans="1:22">
      <c r="D455" s="86"/>
      <c r="E455" s="86"/>
      <c r="F455" s="86"/>
      <c r="G455" s="86"/>
      <c r="H455" s="86"/>
      <c r="I455" s="86"/>
    </row>
    <row r="456" spans="1:22">
      <c r="D456" s="86"/>
      <c r="E456" s="86"/>
      <c r="F456" s="86"/>
      <c r="G456" s="86"/>
      <c r="H456" s="86"/>
      <c r="I456" s="86"/>
    </row>
    <row r="457" spans="1:22">
      <c r="D457" s="86"/>
      <c r="E457" s="86"/>
      <c r="F457" s="86"/>
      <c r="G457" s="86"/>
      <c r="H457" s="86"/>
      <c r="I457" s="86"/>
    </row>
    <row r="458" spans="1:22">
      <c r="D458" s="86"/>
      <c r="E458" s="86"/>
      <c r="F458" s="86"/>
      <c r="G458" s="86"/>
      <c r="H458" s="86"/>
      <c r="I458" s="86"/>
    </row>
    <row r="459" spans="1:22">
      <c r="D459" s="86"/>
      <c r="E459" s="86"/>
      <c r="F459" s="86"/>
      <c r="G459" s="86"/>
      <c r="H459" s="86"/>
      <c r="I459" s="86"/>
    </row>
    <row r="460" spans="1:22">
      <c r="D460" s="86"/>
      <c r="E460" s="86"/>
      <c r="F460" s="86"/>
      <c r="G460" s="86"/>
      <c r="H460" s="86"/>
      <c r="I460" s="86"/>
    </row>
    <row r="461" spans="1:22">
      <c r="D461" s="86"/>
      <c r="E461" s="86"/>
      <c r="F461" s="86"/>
      <c r="G461" s="86"/>
      <c r="H461" s="86"/>
      <c r="I461" s="86"/>
    </row>
    <row r="462" spans="1:22">
      <c r="D462" s="86"/>
      <c r="E462" s="86"/>
      <c r="F462" s="86"/>
      <c r="G462" s="86"/>
      <c r="H462" s="86"/>
      <c r="I462" s="86"/>
    </row>
    <row r="463" spans="1:22">
      <c r="D463" s="86"/>
      <c r="E463" s="86"/>
      <c r="F463" s="86"/>
      <c r="G463" s="86"/>
      <c r="H463" s="86"/>
      <c r="I463" s="86"/>
    </row>
    <row r="464" spans="1:22">
      <c r="D464" s="86"/>
      <c r="E464" s="86"/>
      <c r="F464" s="86"/>
      <c r="G464" s="86"/>
      <c r="H464" s="86"/>
      <c r="I464" s="86"/>
    </row>
    <row r="465" spans="4:9">
      <c r="D465" s="86"/>
      <c r="E465" s="86"/>
      <c r="F465" s="86"/>
      <c r="G465" s="86"/>
      <c r="H465" s="86"/>
      <c r="I465" s="86"/>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theme="7" tint="0.59999389629810485"/>
  </sheetPr>
  <dimension ref="A1:Z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4" sqref="I14"/>
    </sheetView>
  </sheetViews>
  <sheetFormatPr baseColWidth="10" defaultColWidth="9.1796875" defaultRowHeight="12.5"/>
  <cols>
    <col min="1" max="1" width="17.453125" customWidth="1"/>
    <col min="2" max="2" width="14.54296875" customWidth="1"/>
    <col min="3" max="3" width="13.7265625" customWidth="1"/>
    <col min="4" max="4" width="13.26953125" customWidth="1"/>
    <col min="5" max="5" width="11.81640625" bestFit="1" customWidth="1"/>
    <col min="6" max="6" width="12.26953125" bestFit="1" customWidth="1"/>
    <col min="7" max="8" width="13.453125" customWidth="1"/>
    <col min="9" max="9" width="13.81640625" customWidth="1"/>
    <col min="10" max="12" width="14.1796875" customWidth="1"/>
    <col min="13" max="13" width="4" customWidth="1"/>
    <col min="14" max="16" width="11.81640625" bestFit="1" customWidth="1"/>
    <col min="17" max="17" width="12.453125" customWidth="1"/>
  </cols>
  <sheetData>
    <row r="1" spans="1:26" ht="12" customHeight="1">
      <c r="A1" s="74" t="s">
        <v>719</v>
      </c>
      <c r="B1" s="81"/>
      <c r="C1" s="81"/>
      <c r="D1" s="81"/>
      <c r="E1" s="81"/>
      <c r="F1" s="81"/>
      <c r="G1" s="81"/>
      <c r="H1" s="81"/>
      <c r="I1" s="81"/>
      <c r="J1" s="81"/>
      <c r="K1" s="81"/>
      <c r="L1" s="81"/>
      <c r="M1" s="494"/>
      <c r="N1" s="81"/>
      <c r="O1" s="81"/>
      <c r="P1" s="81"/>
      <c r="Q1" s="81"/>
      <c r="R1" s="81"/>
      <c r="S1" s="81"/>
      <c r="T1" s="81"/>
      <c r="U1" s="81"/>
      <c r="V1" s="81"/>
      <c r="W1" s="81"/>
    </row>
    <row r="2" spans="1:26" ht="25.5" customHeight="1">
      <c r="A2" s="585" t="s">
        <v>1068</v>
      </c>
      <c r="B2" s="81"/>
      <c r="C2" s="81"/>
      <c r="D2" s="81"/>
      <c r="E2" s="81"/>
      <c r="F2" s="81"/>
      <c r="G2" s="81"/>
      <c r="H2" s="81"/>
      <c r="I2" s="81"/>
      <c r="J2" s="81"/>
      <c r="K2" s="81"/>
      <c r="L2" s="81"/>
      <c r="M2" s="494"/>
      <c r="N2" s="81"/>
      <c r="O2" s="81"/>
      <c r="P2" s="81"/>
      <c r="Q2" s="81"/>
      <c r="R2" s="81"/>
      <c r="S2" s="81"/>
      <c r="T2" s="81"/>
      <c r="U2" s="81"/>
      <c r="V2" s="81"/>
      <c r="W2" s="81"/>
    </row>
    <row r="3" spans="1:26" ht="25.5" customHeight="1">
      <c r="A3" s="585"/>
      <c r="B3" s="81"/>
      <c r="C3" s="81"/>
      <c r="D3" s="81"/>
      <c r="E3" s="81"/>
      <c r="F3" s="81"/>
      <c r="G3" s="81"/>
      <c r="H3" s="81"/>
      <c r="I3" s="81"/>
      <c r="J3" s="81"/>
      <c r="K3" s="81"/>
      <c r="L3" s="81"/>
      <c r="M3" s="494"/>
      <c r="N3" s="81"/>
      <c r="O3" s="81"/>
      <c r="P3" s="81"/>
      <c r="Q3" s="81"/>
      <c r="R3" s="81"/>
      <c r="S3" s="81"/>
      <c r="T3" s="81"/>
      <c r="U3" s="81"/>
      <c r="V3" s="81"/>
      <c r="W3" s="81"/>
    </row>
    <row r="4" spans="1:26" ht="18">
      <c r="A4" s="271" t="s">
        <v>2145</v>
      </c>
      <c r="B4" s="81"/>
      <c r="C4" s="81"/>
      <c r="D4" s="81"/>
      <c r="E4" s="81"/>
      <c r="F4" s="81"/>
      <c r="G4" s="81"/>
      <c r="H4" s="81"/>
      <c r="I4" s="81"/>
      <c r="J4" s="81"/>
      <c r="K4" s="81"/>
      <c r="L4" s="81"/>
      <c r="M4" s="494"/>
      <c r="N4" s="81"/>
      <c r="O4" s="81"/>
      <c r="P4" s="81"/>
      <c r="Q4" s="81"/>
      <c r="R4" s="81"/>
      <c r="S4" s="81"/>
      <c r="T4" s="81"/>
      <c r="U4" s="81"/>
      <c r="V4" s="81"/>
      <c r="W4" s="81"/>
    </row>
    <row r="5" spans="1:26" ht="17.5">
      <c r="A5" s="81" t="s">
        <v>338</v>
      </c>
      <c r="B5" s="81"/>
      <c r="C5" s="81"/>
      <c r="D5" s="81"/>
      <c r="E5" s="81"/>
      <c r="F5" s="81"/>
      <c r="G5" s="81"/>
      <c r="H5" s="81"/>
      <c r="I5" s="81"/>
      <c r="J5" s="81"/>
      <c r="K5" s="81"/>
      <c r="L5" s="81"/>
      <c r="M5" s="494"/>
      <c r="N5" s="81"/>
      <c r="O5" s="81"/>
      <c r="P5" s="81"/>
      <c r="Q5" s="81"/>
      <c r="R5" s="81"/>
      <c r="S5" s="81"/>
      <c r="T5" s="81"/>
      <c r="U5" s="81"/>
      <c r="V5" s="81"/>
      <c r="W5" s="81"/>
    </row>
    <row r="6" spans="1:26" ht="17.5">
      <c r="A6" s="81"/>
      <c r="B6" s="81"/>
      <c r="C6" s="81"/>
      <c r="D6" s="81"/>
      <c r="E6" s="81"/>
      <c r="F6" s="81"/>
      <c r="G6" s="81"/>
      <c r="H6" s="81"/>
      <c r="I6" s="81"/>
      <c r="J6" s="81"/>
      <c r="K6" s="81"/>
      <c r="L6" s="81"/>
      <c r="M6" s="494"/>
      <c r="N6" s="81"/>
      <c r="O6" s="81"/>
      <c r="P6" s="81"/>
      <c r="Q6" s="81"/>
      <c r="R6" s="81"/>
      <c r="S6" s="81"/>
      <c r="T6" s="81"/>
      <c r="U6" s="81"/>
      <c r="V6" s="81"/>
      <c r="W6" s="81"/>
    </row>
    <row r="7" spans="1:26" ht="17.5">
      <c r="A7" s="81"/>
      <c r="B7" s="81"/>
      <c r="C7" s="81"/>
      <c r="D7" s="81"/>
      <c r="E7" s="81"/>
      <c r="F7" s="81"/>
      <c r="G7" s="81"/>
      <c r="H7" s="81"/>
      <c r="I7" s="81"/>
      <c r="J7" s="81"/>
      <c r="K7" s="81"/>
      <c r="L7" s="81"/>
      <c r="M7" s="494"/>
      <c r="N7" s="81"/>
      <c r="O7" s="81"/>
      <c r="P7" s="81"/>
      <c r="Q7" s="81"/>
      <c r="R7" s="81"/>
      <c r="S7" s="81"/>
      <c r="T7" s="81"/>
      <c r="U7" s="81"/>
      <c r="V7" s="81"/>
      <c r="W7" s="81"/>
    </row>
    <row r="8" spans="1:26" ht="17.5">
      <c r="A8" s="82"/>
      <c r="B8" s="83">
        <v>43101</v>
      </c>
      <c r="C8" s="845">
        <v>43466</v>
      </c>
      <c r="D8" s="845">
        <v>43831</v>
      </c>
      <c r="E8" s="845">
        <v>44197</v>
      </c>
      <c r="F8" s="83">
        <v>44562</v>
      </c>
      <c r="G8" s="81"/>
      <c r="H8" s="81"/>
      <c r="I8" s="81"/>
      <c r="J8" s="81"/>
      <c r="K8" s="81"/>
      <c r="L8" s="81"/>
      <c r="M8" s="494"/>
      <c r="N8" s="81"/>
      <c r="O8" s="81"/>
      <c r="P8" s="81"/>
      <c r="Q8" s="81"/>
      <c r="R8" s="81"/>
      <c r="S8" s="81"/>
      <c r="T8" s="81"/>
      <c r="U8" s="81"/>
      <c r="V8" s="81"/>
      <c r="W8" s="81"/>
    </row>
    <row r="9" spans="1:26" ht="17.5">
      <c r="A9" s="112" t="s">
        <v>722</v>
      </c>
      <c r="B9" s="694">
        <f t="shared" ref="B9" si="0">+B14</f>
        <v>5295619</v>
      </c>
      <c r="C9" s="694">
        <f t="shared" ref="C9:E9" si="1">+C14</f>
        <v>5328212</v>
      </c>
      <c r="D9" s="694">
        <f t="shared" si="1"/>
        <v>5367580</v>
      </c>
      <c r="E9" s="694">
        <f t="shared" si="1"/>
        <v>5391369</v>
      </c>
      <c r="F9" s="694">
        <f t="shared" ref="F9" si="2">+F14</f>
        <v>5425270</v>
      </c>
      <c r="G9" s="81"/>
      <c r="H9" s="81"/>
      <c r="I9" s="81"/>
      <c r="J9" s="81"/>
      <c r="K9" s="81"/>
      <c r="L9" s="81"/>
      <c r="M9" s="494"/>
      <c r="N9" s="81"/>
      <c r="O9" s="81"/>
      <c r="P9" s="81"/>
      <c r="Q9" s="81"/>
      <c r="R9" s="81"/>
      <c r="S9" s="81"/>
      <c r="T9" s="81"/>
      <c r="U9" s="81"/>
      <c r="V9" s="81"/>
      <c r="W9" s="81"/>
    </row>
    <row r="10" spans="1:26" ht="17.5">
      <c r="A10" s="81"/>
      <c r="B10" s="81"/>
      <c r="C10" s="81"/>
      <c r="D10" s="81"/>
      <c r="E10" s="81"/>
      <c r="F10" s="81"/>
      <c r="G10" s="81"/>
      <c r="H10" s="81"/>
      <c r="I10" s="81"/>
      <c r="J10" s="81"/>
      <c r="K10" s="81"/>
      <c r="L10" s="81"/>
      <c r="M10" s="770"/>
      <c r="N10" s="81"/>
      <c r="O10" s="81"/>
      <c r="P10" s="81"/>
      <c r="Q10" s="81"/>
      <c r="R10" s="81"/>
      <c r="S10" s="81"/>
      <c r="T10" s="81"/>
      <c r="U10" s="81"/>
      <c r="V10" s="81"/>
      <c r="W10" s="81"/>
    </row>
    <row r="11" spans="1:26" ht="7.5" customHeight="1">
      <c r="A11" s="81"/>
      <c r="B11" s="111"/>
      <c r="C11" s="81"/>
      <c r="D11" s="81"/>
      <c r="E11" s="81"/>
      <c r="F11" s="81"/>
      <c r="G11" s="1121"/>
      <c r="H11" s="1121"/>
      <c r="I11" s="81"/>
      <c r="J11" s="81"/>
      <c r="K11" s="81"/>
      <c r="L11" s="1121"/>
      <c r="M11" s="770"/>
      <c r="N11" s="81"/>
      <c r="O11" s="81"/>
      <c r="P11" s="81"/>
      <c r="Q11" s="81"/>
      <c r="R11" s="81"/>
      <c r="S11" s="81"/>
      <c r="T11" s="81"/>
      <c r="U11" s="81"/>
      <c r="V11" s="81"/>
      <c r="W11" s="81"/>
    </row>
    <row r="12" spans="1:26" ht="18">
      <c r="A12" s="270" t="s">
        <v>976</v>
      </c>
      <c r="B12" s="589"/>
      <c r="C12" s="589"/>
      <c r="D12" s="589"/>
      <c r="E12" s="589"/>
      <c r="F12" s="589"/>
      <c r="G12" s="453"/>
      <c r="H12" s="453"/>
      <c r="I12" s="1060" t="s">
        <v>2146</v>
      </c>
      <c r="J12" s="1061"/>
      <c r="K12" s="1061"/>
      <c r="L12" s="1146"/>
      <c r="M12" s="770"/>
      <c r="N12" s="1282" t="s">
        <v>2147</v>
      </c>
      <c r="O12" s="1283"/>
      <c r="P12" s="1283"/>
      <c r="Q12" s="1283"/>
      <c r="R12" s="1283"/>
      <c r="S12" s="1246"/>
      <c r="T12" s="1246"/>
      <c r="U12" s="1246"/>
      <c r="V12" s="1246"/>
      <c r="W12" s="1246"/>
      <c r="X12" s="1246"/>
    </row>
    <row r="13" spans="1:26" ht="14">
      <c r="A13" s="82"/>
      <c r="B13" s="83">
        <v>43101</v>
      </c>
      <c r="C13" s="83">
        <v>43466</v>
      </c>
      <c r="D13" s="83">
        <v>43831</v>
      </c>
      <c r="E13" s="83">
        <v>44197</v>
      </c>
      <c r="F13" s="83">
        <v>44562</v>
      </c>
      <c r="G13" s="272"/>
      <c r="H13" s="272"/>
      <c r="I13" s="272">
        <v>44927</v>
      </c>
      <c r="J13" s="272">
        <v>45292</v>
      </c>
      <c r="K13" s="272">
        <v>45658</v>
      </c>
      <c r="L13" s="272">
        <v>46023</v>
      </c>
      <c r="M13" s="272"/>
      <c r="N13" s="634" t="s">
        <v>1451</v>
      </c>
      <c r="O13" s="634" t="s">
        <v>1452</v>
      </c>
      <c r="P13" s="634" t="s">
        <v>2144</v>
      </c>
      <c r="Q13" s="634" t="s">
        <v>2467</v>
      </c>
      <c r="R13" s="634"/>
      <c r="S13" s="634"/>
      <c r="T13" s="634"/>
      <c r="U13" s="634"/>
      <c r="V13" s="634"/>
      <c r="W13" s="634"/>
    </row>
    <row r="14" spans="1:26" ht="14">
      <c r="A14" s="112" t="s">
        <v>722</v>
      </c>
      <c r="B14" s="252">
        <f>B15+B16+B17+B18+B19+B20+B21+B22</f>
        <v>5295619</v>
      </c>
      <c r="C14" s="252">
        <f>C15+C16+C17+C18+C19+C20+C21+C22</f>
        <v>5328212</v>
      </c>
      <c r="D14" s="252">
        <f>D15+D16+D17+D18+D19+D20+D21+D22</f>
        <v>5367580</v>
      </c>
      <c r="E14" s="252">
        <f>E15+E16+E17+E18+E19+E20+E21+E22</f>
        <v>5391369</v>
      </c>
      <c r="F14" s="252">
        <f>F15+F16+F17+F18+F19+F20+F21+F22</f>
        <v>5425270</v>
      </c>
      <c r="G14" s="492"/>
      <c r="H14" s="492"/>
      <c r="I14" s="492">
        <f>I15+I16+I17+I18+I19+I20+I21+I22</f>
        <v>5474886</v>
      </c>
      <c r="J14" s="492">
        <f>J15+J16+J17+J18+J19+J20+J21+J22</f>
        <v>5511169</v>
      </c>
      <c r="K14" s="492">
        <f>K15+K16+K17+K18+K19+K20+K21+K22</f>
        <v>5534757</v>
      </c>
      <c r="L14" s="492">
        <f>L15+L16+L17+L18+L19+L20+L21+L22</f>
        <v>5558783</v>
      </c>
      <c r="M14" s="492"/>
      <c r="N14" s="492">
        <f>SUM(N15:N22)</f>
        <v>49616</v>
      </c>
      <c r="O14" s="492">
        <f t="shared" ref="O14:Q14" si="3">SUM(O15:O22)</f>
        <v>36283</v>
      </c>
      <c r="P14" s="492">
        <f t="shared" si="3"/>
        <v>23588</v>
      </c>
      <c r="Q14" s="492">
        <f t="shared" si="3"/>
        <v>24026</v>
      </c>
      <c r="R14" s="492"/>
      <c r="S14" s="492"/>
      <c r="T14" s="492"/>
      <c r="U14" s="492"/>
      <c r="V14" s="492"/>
      <c r="W14" s="492"/>
    </row>
    <row r="15" spans="1:26" ht="14">
      <c r="A15" s="84" t="s">
        <v>1004</v>
      </c>
      <c r="B15" s="234">
        <v>117032</v>
      </c>
      <c r="C15" s="234">
        <v>112941</v>
      </c>
      <c r="D15" s="234">
        <v>110839</v>
      </c>
      <c r="E15" s="234">
        <v>108359</v>
      </c>
      <c r="F15" s="234">
        <v>110132</v>
      </c>
      <c r="G15" s="493"/>
      <c r="H15" s="493"/>
      <c r="I15" s="493">
        <f t="shared" ref="I15:I22" si="4">F15+N15</f>
        <v>112066</v>
      </c>
      <c r="J15" s="493">
        <f>I15+O15</f>
        <v>110085</v>
      </c>
      <c r="K15" s="493">
        <f>J15+P15</f>
        <v>109392</v>
      </c>
      <c r="L15" s="493">
        <f>K15+Q15</f>
        <v>109354</v>
      </c>
      <c r="M15" s="493"/>
      <c r="N15" s="493">
        <v>1934</v>
      </c>
      <c r="O15" s="493">
        <v>-1981</v>
      </c>
      <c r="P15" s="493">
        <v>-693</v>
      </c>
      <c r="Q15" s="493">
        <v>-38</v>
      </c>
      <c r="R15" s="493"/>
      <c r="S15" s="493"/>
      <c r="T15" s="493"/>
      <c r="U15" s="493"/>
      <c r="V15" s="493"/>
      <c r="W15" s="493"/>
      <c r="Z15" s="5"/>
    </row>
    <row r="16" spans="1:26" ht="14">
      <c r="A16" s="84" t="s">
        <v>1005</v>
      </c>
      <c r="B16" s="234">
        <v>245569</v>
      </c>
      <c r="C16" s="234">
        <v>243198</v>
      </c>
      <c r="D16" s="234">
        <v>240320</v>
      </c>
      <c r="E16" s="234">
        <v>235405</v>
      </c>
      <c r="F16" s="234">
        <v>230561</v>
      </c>
      <c r="G16" s="493"/>
      <c r="H16" s="493"/>
      <c r="I16" s="493">
        <f t="shared" si="4"/>
        <v>226019</v>
      </c>
      <c r="J16" s="493">
        <f t="shared" ref="J16:K22" si="5">I16+O16</f>
        <v>226730</v>
      </c>
      <c r="K16" s="493">
        <f t="shared" si="5"/>
        <v>226100</v>
      </c>
      <c r="L16" s="493">
        <f t="shared" ref="L16:L22" si="6">K16+Q16</f>
        <v>225526</v>
      </c>
      <c r="M16" s="493"/>
      <c r="N16" s="493">
        <v>-4542</v>
      </c>
      <c r="O16" s="493">
        <v>711</v>
      </c>
      <c r="P16" s="493">
        <v>-630</v>
      </c>
      <c r="Q16" s="493">
        <v>-574</v>
      </c>
      <c r="R16" s="493"/>
      <c r="S16" s="493"/>
      <c r="T16" s="493"/>
      <c r="U16" s="493"/>
      <c r="V16" s="493"/>
      <c r="W16" s="493"/>
      <c r="Z16" s="5"/>
    </row>
    <row r="17" spans="1:26" ht="14">
      <c r="A17" s="84" t="s">
        <v>777</v>
      </c>
      <c r="B17" s="234">
        <v>637687</v>
      </c>
      <c r="C17" s="234">
        <v>641465</v>
      </c>
      <c r="D17" s="234">
        <v>642376</v>
      </c>
      <c r="E17" s="234">
        <v>641083</v>
      </c>
      <c r="F17" s="234">
        <v>640378</v>
      </c>
      <c r="G17" s="493"/>
      <c r="H17" s="493"/>
      <c r="I17" s="493">
        <f t="shared" si="4"/>
        <v>640508</v>
      </c>
      <c r="J17" s="493">
        <f t="shared" si="5"/>
        <v>637364</v>
      </c>
      <c r="K17" s="493">
        <f t="shared" si="5"/>
        <v>629557</v>
      </c>
      <c r="L17" s="493">
        <f t="shared" si="6"/>
        <v>620428</v>
      </c>
      <c r="M17" s="493"/>
      <c r="N17" s="493">
        <v>130</v>
      </c>
      <c r="O17" s="493">
        <v>-3144</v>
      </c>
      <c r="P17" s="493">
        <v>-7807</v>
      </c>
      <c r="Q17" s="493">
        <v>-9129</v>
      </c>
      <c r="R17" s="493"/>
      <c r="S17" s="493"/>
      <c r="T17" s="493"/>
      <c r="U17" s="493"/>
      <c r="V17" s="493"/>
      <c r="W17" s="493"/>
      <c r="Z17" s="5"/>
    </row>
    <row r="18" spans="1:26" ht="14">
      <c r="A18" s="84" t="s">
        <v>163</v>
      </c>
      <c r="B18" s="234">
        <v>464482</v>
      </c>
      <c r="C18" s="234">
        <v>460347</v>
      </c>
      <c r="D18" s="234">
        <v>456008</v>
      </c>
      <c r="E18" s="234">
        <v>452803</v>
      </c>
      <c r="F18" s="234">
        <v>452058</v>
      </c>
      <c r="G18" s="493"/>
      <c r="H18" s="493"/>
      <c r="I18" s="493">
        <f t="shared" si="4"/>
        <v>454151</v>
      </c>
      <c r="J18" s="493">
        <f t="shared" si="5"/>
        <v>454329</v>
      </c>
      <c r="K18" s="493">
        <f t="shared" si="5"/>
        <v>457373</v>
      </c>
      <c r="L18" s="493">
        <f t="shared" si="6"/>
        <v>462650</v>
      </c>
      <c r="M18" s="493"/>
      <c r="N18" s="493">
        <v>2093</v>
      </c>
      <c r="O18" s="493">
        <v>178</v>
      </c>
      <c r="P18" s="493">
        <v>3044</v>
      </c>
      <c r="Q18" s="493">
        <v>5277</v>
      </c>
      <c r="R18" s="493"/>
      <c r="S18" s="493"/>
      <c r="T18" s="493"/>
      <c r="U18" s="493"/>
      <c r="V18" s="493"/>
      <c r="W18" s="493"/>
      <c r="Z18" s="5"/>
    </row>
    <row r="19" spans="1:26" ht="14">
      <c r="A19" s="84" t="s">
        <v>158</v>
      </c>
      <c r="B19" s="234">
        <v>3044490</v>
      </c>
      <c r="C19" s="234">
        <v>3064567</v>
      </c>
      <c r="D19" s="234">
        <v>3090617</v>
      </c>
      <c r="E19" s="234">
        <v>3104062</v>
      </c>
      <c r="F19" s="234">
        <v>3121178</v>
      </c>
      <c r="G19" s="493"/>
      <c r="H19" s="493"/>
      <c r="I19" s="493">
        <f t="shared" si="4"/>
        <v>3148148</v>
      </c>
      <c r="J19" s="493">
        <f t="shared" si="5"/>
        <v>3166013</v>
      </c>
      <c r="K19" s="493">
        <f t="shared" si="5"/>
        <v>3173565</v>
      </c>
      <c r="L19" s="493">
        <f t="shared" si="6"/>
        <v>3178834</v>
      </c>
      <c r="M19" s="493"/>
      <c r="N19" s="493">
        <v>26970</v>
      </c>
      <c r="O19" s="493">
        <v>17865</v>
      </c>
      <c r="P19" s="493">
        <v>7552</v>
      </c>
      <c r="Q19" s="493">
        <v>5269</v>
      </c>
      <c r="R19" s="493"/>
      <c r="S19" s="493"/>
      <c r="T19" s="493"/>
      <c r="U19" s="493"/>
      <c r="V19" s="493"/>
      <c r="W19" s="493"/>
      <c r="Z19" s="5"/>
    </row>
    <row r="20" spans="1:26" ht="14">
      <c r="A20" s="84" t="s">
        <v>723</v>
      </c>
      <c r="B20" s="234">
        <v>563607</v>
      </c>
      <c r="C20" s="234">
        <v>579695</v>
      </c>
      <c r="D20" s="234">
        <v>596710</v>
      </c>
      <c r="E20" s="234">
        <v>613250</v>
      </c>
      <c r="F20" s="234">
        <v>630670</v>
      </c>
      <c r="G20" s="493"/>
      <c r="H20" s="493"/>
      <c r="I20" s="493">
        <f t="shared" si="4"/>
        <v>645461</v>
      </c>
      <c r="J20" s="493">
        <f t="shared" si="5"/>
        <v>658285</v>
      </c>
      <c r="K20" s="493">
        <f t="shared" si="5"/>
        <v>666075</v>
      </c>
      <c r="L20" s="493">
        <f t="shared" si="6"/>
        <v>673847</v>
      </c>
      <c r="M20" s="493"/>
      <c r="N20" s="493">
        <v>14791</v>
      </c>
      <c r="O20" s="493">
        <v>12824</v>
      </c>
      <c r="P20" s="493">
        <v>7790</v>
      </c>
      <c r="Q20" s="493">
        <v>7772</v>
      </c>
      <c r="R20" s="493"/>
      <c r="S20" s="493"/>
      <c r="T20" s="493"/>
      <c r="U20" s="493"/>
      <c r="V20" s="493"/>
      <c r="W20" s="493"/>
      <c r="Z20" s="5"/>
    </row>
    <row r="21" spans="1:26" ht="14">
      <c r="A21" s="84" t="s">
        <v>724</v>
      </c>
      <c r="B21" s="234">
        <v>178060</v>
      </c>
      <c r="C21" s="234">
        <v>181031</v>
      </c>
      <c r="D21" s="234">
        <v>185480</v>
      </c>
      <c r="E21" s="234">
        <v>190309</v>
      </c>
      <c r="F21" s="234">
        <v>193735</v>
      </c>
      <c r="G21" s="493"/>
      <c r="H21" s="493"/>
      <c r="I21" s="493">
        <f t="shared" si="4"/>
        <v>201305</v>
      </c>
      <c r="J21" s="493">
        <f t="shared" si="5"/>
        <v>211677</v>
      </c>
      <c r="K21" s="493">
        <f t="shared" si="5"/>
        <v>226096</v>
      </c>
      <c r="L21" s="493">
        <f t="shared" si="6"/>
        <v>241364</v>
      </c>
      <c r="M21" s="493"/>
      <c r="N21" s="493">
        <v>7570</v>
      </c>
      <c r="O21" s="493">
        <v>10372</v>
      </c>
      <c r="P21" s="493">
        <v>14419</v>
      </c>
      <c r="Q21" s="493">
        <v>15268</v>
      </c>
      <c r="R21" s="493"/>
      <c r="S21" s="493"/>
      <c r="T21" s="493"/>
      <c r="U21" s="493"/>
      <c r="V21" s="493"/>
      <c r="W21" s="493"/>
      <c r="Z21" s="5"/>
    </row>
    <row r="22" spans="1:26" ht="14">
      <c r="A22" s="84" t="s">
        <v>725</v>
      </c>
      <c r="B22" s="234">
        <v>44692</v>
      </c>
      <c r="C22" s="234">
        <v>44968</v>
      </c>
      <c r="D22" s="234">
        <v>45230</v>
      </c>
      <c r="E22" s="234">
        <v>46098</v>
      </c>
      <c r="F22" s="234">
        <v>46558</v>
      </c>
      <c r="G22" s="493"/>
      <c r="H22" s="493"/>
      <c r="I22" s="493">
        <f t="shared" si="4"/>
        <v>47228</v>
      </c>
      <c r="J22" s="493">
        <f t="shared" si="5"/>
        <v>46686</v>
      </c>
      <c r="K22" s="493">
        <f t="shared" si="5"/>
        <v>46599</v>
      </c>
      <c r="L22" s="493">
        <f t="shared" si="6"/>
        <v>46780</v>
      </c>
      <c r="M22" s="493"/>
      <c r="N22" s="493">
        <v>670</v>
      </c>
      <c r="O22" s="493">
        <v>-542</v>
      </c>
      <c r="P22" s="493">
        <v>-87</v>
      </c>
      <c r="Q22" s="493">
        <v>181</v>
      </c>
      <c r="R22" s="493"/>
      <c r="S22" s="493"/>
      <c r="T22" s="493"/>
      <c r="U22" s="493"/>
      <c r="V22" s="493"/>
      <c r="W22" s="493"/>
      <c r="Z22" s="5"/>
    </row>
    <row r="23" spans="1:26" ht="14">
      <c r="A23" s="313" t="s">
        <v>342</v>
      </c>
      <c r="B23" s="314"/>
      <c r="C23" s="314">
        <f>+C14/B14-1</f>
        <v>6.1547101481431721E-3</v>
      </c>
      <c r="D23" s="314">
        <f>+D14/C14-1</f>
        <v>7.3885948982510552E-3</v>
      </c>
      <c r="E23" s="314">
        <f>+E14/D14-1</f>
        <v>4.4319786570483632E-3</v>
      </c>
      <c r="F23" s="314">
        <f>+F14/E14-1</f>
        <v>6.2880133042275688E-3</v>
      </c>
      <c r="G23" s="315"/>
      <c r="H23" s="315"/>
      <c r="I23" s="315">
        <f>(I14-F14)/F14</f>
        <v>9.1453512912721396E-3</v>
      </c>
      <c r="J23" s="315">
        <f>(J14-I14)/I14</f>
        <v>6.6271699538583998E-3</v>
      </c>
      <c r="K23" s="315">
        <f>(K14-J14)/J14</f>
        <v>4.280035687528363E-3</v>
      </c>
      <c r="L23" s="315">
        <f>(L14-K14)/K14</f>
        <v>4.3409313182132475E-3</v>
      </c>
      <c r="M23" s="315"/>
      <c r="N23" s="315"/>
      <c r="O23" s="315"/>
      <c r="P23" s="315"/>
      <c r="Q23" s="315"/>
      <c r="R23" s="315"/>
      <c r="S23" s="315"/>
      <c r="T23" s="315"/>
      <c r="U23" s="315"/>
      <c r="V23" s="315"/>
      <c r="W23" s="315"/>
    </row>
    <row r="24" spans="1:26" ht="17.5">
      <c r="A24" s="495"/>
      <c r="B24" s="522"/>
      <c r="C24" s="522"/>
      <c r="D24" s="522"/>
      <c r="E24" s="522"/>
      <c r="F24" s="1122"/>
      <c r="G24" s="1122"/>
      <c r="H24" s="522"/>
      <c r="I24" s="522"/>
      <c r="J24" s="522"/>
      <c r="K24" s="522"/>
      <c r="L24" s="522"/>
      <c r="M24" s="770"/>
      <c r="N24" s="494"/>
      <c r="O24" s="494"/>
      <c r="P24" s="453"/>
      <c r="Q24" s="453"/>
      <c r="R24" s="453"/>
      <c r="S24" s="453"/>
      <c r="T24" s="453"/>
      <c r="U24" s="453"/>
      <c r="V24" s="453"/>
      <c r="W24" s="453"/>
      <c r="X24" s="453"/>
    </row>
    <row r="25" spans="1:26" ht="18">
      <c r="A25" s="270" t="s">
        <v>976</v>
      </c>
      <c r="B25" s="589"/>
      <c r="C25" s="589"/>
      <c r="D25" s="589"/>
      <c r="E25" s="589"/>
      <c r="F25" s="1120"/>
      <c r="G25" s="1120"/>
      <c r="H25" s="1168"/>
      <c r="I25" s="1284" t="s">
        <v>767</v>
      </c>
      <c r="J25" s="1246"/>
      <c r="K25" s="1246"/>
      <c r="L25" s="1144"/>
      <c r="M25" s="770"/>
      <c r="N25" s="494"/>
      <c r="O25" s="453"/>
      <c r="P25" s="453"/>
      <c r="Q25" s="453"/>
      <c r="R25" s="453"/>
      <c r="S25" s="453"/>
      <c r="T25" s="453"/>
      <c r="U25" s="453"/>
      <c r="V25" s="453"/>
      <c r="W25" s="453"/>
      <c r="X25" s="453"/>
    </row>
    <row r="26" spans="1:26" ht="17.5">
      <c r="A26" s="312"/>
      <c r="B26" s="83">
        <v>42917</v>
      </c>
      <c r="C26" s="83">
        <v>43282</v>
      </c>
      <c r="D26" s="83">
        <v>43647</v>
      </c>
      <c r="E26" s="83">
        <v>44013</v>
      </c>
      <c r="F26" s="83">
        <v>44378</v>
      </c>
      <c r="G26" s="83">
        <v>44743</v>
      </c>
      <c r="H26" s="273"/>
      <c r="I26" s="273">
        <v>45108</v>
      </c>
      <c r="J26" s="273">
        <v>45474</v>
      </c>
      <c r="K26" s="273">
        <v>45839</v>
      </c>
      <c r="L26" s="494"/>
      <c r="M26" s="494"/>
      <c r="N26" s="453"/>
      <c r="O26" s="453"/>
      <c r="P26" s="453"/>
      <c r="Q26" s="453"/>
      <c r="R26" s="453"/>
      <c r="S26" s="453"/>
      <c r="T26" s="453"/>
      <c r="U26" s="453"/>
      <c r="V26" s="453"/>
      <c r="W26" s="453"/>
    </row>
    <row r="27" spans="1:26" ht="17.5">
      <c r="A27" s="112" t="s">
        <v>722</v>
      </c>
      <c r="B27" s="252">
        <f t="shared" ref="B27:J27" si="7">B28+B29+B30+B31+B32+B33+B34+B35</f>
        <v>5277818</v>
      </c>
      <c r="C27" s="252">
        <f t="shared" si="7"/>
        <v>5312508</v>
      </c>
      <c r="D27" s="252">
        <f t="shared" si="7"/>
        <v>5345735</v>
      </c>
      <c r="E27" s="252">
        <f t="shared" ref="E27:F27" si="8">E28+E29+E30+E31+E32+E33+E34+E35</f>
        <v>5374995</v>
      </c>
      <c r="F27" s="252">
        <f t="shared" si="8"/>
        <v>5401825</v>
      </c>
      <c r="G27" s="252">
        <f t="shared" ref="G27" si="9">G28+G29+G30+G31+G32+G33+G34+G35</f>
        <v>5455792</v>
      </c>
      <c r="H27" s="497"/>
      <c r="I27" s="497">
        <f>I28+I29+I30+I31+I32+I33+I34+I35</f>
        <v>5493029</v>
      </c>
      <c r="J27" s="497">
        <f t="shared" si="7"/>
        <v>5522967</v>
      </c>
      <c r="K27" s="497">
        <f>K28+K29+K30+K31+K32+K33+K34+K35</f>
        <v>5546776</v>
      </c>
      <c r="L27" s="494"/>
      <c r="M27" s="494"/>
      <c r="N27" s="494"/>
      <c r="O27" s="494"/>
      <c r="P27" s="494"/>
      <c r="Q27" s="494"/>
      <c r="R27" s="494"/>
      <c r="S27" s="494"/>
      <c r="T27" s="494"/>
      <c r="U27" s="494"/>
      <c r="V27" s="494"/>
      <c r="W27" s="453"/>
    </row>
    <row r="28" spans="1:26" ht="17.5">
      <c r="A28" s="84" t="s">
        <v>1004</v>
      </c>
      <c r="B28" s="234">
        <v>118267</v>
      </c>
      <c r="C28" s="234">
        <v>114436</v>
      </c>
      <c r="D28" s="234">
        <v>111725</v>
      </c>
      <c r="E28" s="234">
        <v>109851</v>
      </c>
      <c r="F28" s="234">
        <v>108843</v>
      </c>
      <c r="G28" s="234">
        <v>109740</v>
      </c>
      <c r="H28" s="493"/>
      <c r="I28" s="493">
        <f t="shared" ref="I28:I35" si="10">ROUND(I15+O15*0.5,0)</f>
        <v>111076</v>
      </c>
      <c r="J28" s="493">
        <f t="shared" ref="J28:K35" si="11">ROUND(I28+O15*0.5+P15*0.5,0)</f>
        <v>109739</v>
      </c>
      <c r="K28" s="493">
        <f t="shared" si="11"/>
        <v>109374</v>
      </c>
      <c r="L28" s="494"/>
      <c r="M28" s="1004"/>
      <c r="N28" s="1004"/>
      <c r="O28" s="494"/>
      <c r="P28" s="494"/>
      <c r="Q28" s="494"/>
      <c r="R28" s="494"/>
      <c r="S28" s="494"/>
      <c r="T28" s="494"/>
      <c r="U28" s="494"/>
      <c r="V28" s="494"/>
      <c r="W28" s="453"/>
    </row>
    <row r="29" spans="1:26" ht="17.5">
      <c r="A29" s="84" t="s">
        <v>1005</v>
      </c>
      <c r="B29" s="234">
        <v>246598</v>
      </c>
      <c r="C29" s="234">
        <v>245126</v>
      </c>
      <c r="D29" s="234">
        <v>241699</v>
      </c>
      <c r="E29" s="234">
        <v>237316</v>
      </c>
      <c r="F29" s="234">
        <v>232622</v>
      </c>
      <c r="G29" s="234">
        <v>228507</v>
      </c>
      <c r="H29" s="493"/>
      <c r="I29" s="493">
        <f t="shared" si="10"/>
        <v>226375</v>
      </c>
      <c r="J29" s="493">
        <f t="shared" si="11"/>
        <v>226416</v>
      </c>
      <c r="K29" s="493">
        <f t="shared" si="11"/>
        <v>225814</v>
      </c>
      <c r="L29" s="494"/>
      <c r="M29" s="1004"/>
      <c r="N29" s="1004"/>
      <c r="O29" s="494"/>
      <c r="P29" s="494"/>
      <c r="Q29" s="494"/>
      <c r="R29" s="494"/>
      <c r="S29" s="494"/>
      <c r="T29" s="494"/>
      <c r="U29" s="494"/>
      <c r="V29" s="494"/>
      <c r="W29" s="453"/>
    </row>
    <row r="30" spans="1:26" ht="17.5">
      <c r="A30" s="84" t="s">
        <v>777</v>
      </c>
      <c r="B30" s="234">
        <v>634798</v>
      </c>
      <c r="C30" s="234">
        <v>639819</v>
      </c>
      <c r="D30" s="234">
        <v>642002</v>
      </c>
      <c r="E30" s="234">
        <v>641420</v>
      </c>
      <c r="F30" s="234">
        <v>639962</v>
      </c>
      <c r="G30" s="234">
        <v>643155</v>
      </c>
      <c r="H30" s="493"/>
      <c r="I30" s="493">
        <f t="shared" si="10"/>
        <v>638936</v>
      </c>
      <c r="J30" s="493">
        <f t="shared" si="11"/>
        <v>633461</v>
      </c>
      <c r="K30" s="493">
        <f t="shared" si="11"/>
        <v>624993</v>
      </c>
      <c r="L30" s="494"/>
      <c r="M30" s="1004"/>
      <c r="N30" s="1004"/>
      <c r="O30" s="494"/>
      <c r="P30" s="494"/>
      <c r="Q30" s="494"/>
      <c r="R30" s="494"/>
      <c r="S30" s="494"/>
      <c r="T30" s="494"/>
      <c r="U30" s="494"/>
      <c r="V30" s="494"/>
      <c r="W30" s="453"/>
    </row>
    <row r="31" spans="1:26" ht="17.5">
      <c r="A31" s="84" t="s">
        <v>163</v>
      </c>
      <c r="B31" s="234">
        <v>465492</v>
      </c>
      <c r="C31" s="234">
        <v>461318</v>
      </c>
      <c r="D31" s="234">
        <v>456651</v>
      </c>
      <c r="E31" s="234">
        <v>453148</v>
      </c>
      <c r="F31" s="234">
        <v>451409</v>
      </c>
      <c r="G31" s="234">
        <v>453296</v>
      </c>
      <c r="H31" s="493"/>
      <c r="I31" s="493">
        <f t="shared" si="10"/>
        <v>454240</v>
      </c>
      <c r="J31" s="493">
        <f t="shared" si="11"/>
        <v>455851</v>
      </c>
      <c r="K31" s="493">
        <f t="shared" si="11"/>
        <v>460012</v>
      </c>
      <c r="L31" s="494"/>
      <c r="M31" s="1004"/>
      <c r="N31" s="1004"/>
      <c r="O31" s="494"/>
      <c r="P31" s="494"/>
      <c r="Q31" s="494"/>
      <c r="R31" s="494"/>
      <c r="S31" s="494"/>
      <c r="T31" s="494"/>
      <c r="U31" s="494"/>
      <c r="V31" s="494"/>
      <c r="W31" s="453"/>
    </row>
    <row r="32" spans="1:26" ht="17.5">
      <c r="A32" s="84" t="s">
        <v>158</v>
      </c>
      <c r="B32" s="234">
        <v>3035065</v>
      </c>
      <c r="C32" s="234">
        <v>3054570</v>
      </c>
      <c r="D32" s="234">
        <v>3076256</v>
      </c>
      <c r="E32" s="234">
        <v>3093029</v>
      </c>
      <c r="F32" s="234">
        <v>3106418</v>
      </c>
      <c r="G32" s="234">
        <v>3138464</v>
      </c>
      <c r="H32" s="493"/>
      <c r="I32" s="493">
        <f t="shared" si="10"/>
        <v>3157081</v>
      </c>
      <c r="J32" s="493">
        <f t="shared" si="11"/>
        <v>3169790</v>
      </c>
      <c r="K32" s="493">
        <f t="shared" si="11"/>
        <v>3176201</v>
      </c>
      <c r="L32" s="494"/>
      <c r="M32" s="1004"/>
      <c r="N32" s="1004"/>
      <c r="O32" s="494"/>
      <c r="P32" s="494"/>
      <c r="Q32" s="494"/>
      <c r="R32" s="494"/>
      <c r="S32" s="494"/>
      <c r="T32" s="494"/>
      <c r="U32" s="494"/>
      <c r="V32" s="494"/>
      <c r="W32" s="453"/>
    </row>
    <row r="33" spans="1:23" ht="17.5">
      <c r="A33" s="84" t="s">
        <v>723</v>
      </c>
      <c r="B33" s="234">
        <v>555836</v>
      </c>
      <c r="C33" s="234">
        <v>572790</v>
      </c>
      <c r="D33" s="234">
        <v>588564</v>
      </c>
      <c r="E33" s="234">
        <v>605814</v>
      </c>
      <c r="F33" s="234">
        <v>623431</v>
      </c>
      <c r="G33" s="234">
        <v>639203</v>
      </c>
      <c r="H33" s="493"/>
      <c r="I33" s="493">
        <f t="shared" si="10"/>
        <v>651873</v>
      </c>
      <c r="J33" s="493">
        <f t="shared" si="11"/>
        <v>662180</v>
      </c>
      <c r="K33" s="493">
        <f t="shared" si="11"/>
        <v>669961</v>
      </c>
      <c r="L33" s="494"/>
      <c r="M33" s="1004"/>
      <c r="N33" s="1004"/>
      <c r="O33" s="494"/>
      <c r="P33" s="494"/>
      <c r="Q33" s="494"/>
      <c r="R33" s="494"/>
      <c r="S33" s="494"/>
      <c r="T33" s="494"/>
      <c r="U33" s="494"/>
      <c r="V33" s="494"/>
      <c r="W33" s="453"/>
    </row>
    <row r="34" spans="1:23" ht="17.5">
      <c r="A34" s="84" t="s">
        <v>724</v>
      </c>
      <c r="B34" s="234">
        <v>177201</v>
      </c>
      <c r="C34" s="234">
        <v>179646</v>
      </c>
      <c r="D34" s="234">
        <v>183672</v>
      </c>
      <c r="E34" s="234">
        <v>188542</v>
      </c>
      <c r="F34" s="234">
        <v>192104</v>
      </c>
      <c r="G34" s="234">
        <v>196967</v>
      </c>
      <c r="H34" s="493"/>
      <c r="I34" s="493">
        <f t="shared" si="10"/>
        <v>206491</v>
      </c>
      <c r="J34" s="493">
        <f t="shared" si="11"/>
        <v>218887</v>
      </c>
      <c r="K34" s="493">
        <f t="shared" si="11"/>
        <v>233731</v>
      </c>
      <c r="L34" s="494"/>
      <c r="M34" s="1004"/>
      <c r="N34" s="1004"/>
      <c r="O34" s="494"/>
      <c r="P34" s="494"/>
      <c r="Q34" s="494"/>
      <c r="R34" s="494"/>
      <c r="S34" s="494"/>
      <c r="T34" s="494"/>
      <c r="U34" s="494"/>
      <c r="V34" s="494"/>
      <c r="W34" s="453"/>
    </row>
    <row r="35" spans="1:23" ht="17.5">
      <c r="A35" s="84" t="s">
        <v>725</v>
      </c>
      <c r="B35" s="234">
        <v>44561</v>
      </c>
      <c r="C35" s="234">
        <v>44803</v>
      </c>
      <c r="D35" s="234">
        <v>45166</v>
      </c>
      <c r="E35" s="234">
        <v>45875</v>
      </c>
      <c r="F35" s="234">
        <v>47036</v>
      </c>
      <c r="G35" s="234">
        <v>46460</v>
      </c>
      <c r="H35" s="493"/>
      <c r="I35" s="493">
        <f t="shared" si="10"/>
        <v>46957</v>
      </c>
      <c r="J35" s="493">
        <f t="shared" si="11"/>
        <v>46643</v>
      </c>
      <c r="K35" s="493">
        <f t="shared" si="11"/>
        <v>46690</v>
      </c>
      <c r="L35" s="494"/>
      <c r="M35" s="1004"/>
      <c r="N35" s="1004"/>
      <c r="O35" s="494"/>
      <c r="P35" s="494"/>
      <c r="Q35" s="494"/>
      <c r="R35" s="494"/>
      <c r="S35" s="494"/>
      <c r="T35" s="494"/>
      <c r="U35" s="494"/>
      <c r="V35" s="494"/>
      <c r="W35" s="453"/>
    </row>
    <row r="36" spans="1:23" ht="17.5">
      <c r="A36" s="313" t="s">
        <v>342</v>
      </c>
      <c r="B36" s="317"/>
      <c r="C36" s="317">
        <f t="shared" ref="C36:D36" si="12">(C27-B27)/B27</f>
        <v>6.5727920136692854E-3</v>
      </c>
      <c r="D36" s="317">
        <f t="shared" si="12"/>
        <v>6.2544846991289234E-3</v>
      </c>
      <c r="E36" s="317">
        <f>(E27-D27)/D27</f>
        <v>5.4735223500603754E-3</v>
      </c>
      <c r="F36" s="317">
        <f>(F27-E27)/E27</f>
        <v>4.9916325503558609E-3</v>
      </c>
      <c r="G36" s="317">
        <f>(G27-F27)/F27</f>
        <v>9.9905124656944639E-3</v>
      </c>
      <c r="H36" s="316"/>
      <c r="I36" s="316">
        <f>(I27-G27)/G27</f>
        <v>6.8252235422464787E-3</v>
      </c>
      <c r="J36" s="316">
        <f>(J27-I27)/I27</f>
        <v>5.4501805834267399E-3</v>
      </c>
      <c r="K36" s="316">
        <f>(K27-J27)/J27</f>
        <v>4.3109075248865328E-3</v>
      </c>
      <c r="L36" s="494"/>
      <c r="M36" s="494"/>
      <c r="N36" s="494"/>
      <c r="O36" s="494"/>
      <c r="P36" s="494"/>
      <c r="Q36" s="494"/>
      <c r="R36" s="494"/>
      <c r="S36" s="494"/>
      <c r="T36" s="494"/>
      <c r="U36" s="494"/>
      <c r="V36" s="494"/>
      <c r="W36" s="453"/>
    </row>
    <row r="37" spans="1:23" ht="17.5">
      <c r="A37" s="496"/>
      <c r="B37" s="495"/>
      <c r="C37" s="496"/>
      <c r="D37" s="496"/>
      <c r="E37" s="496"/>
      <c r="F37" s="496"/>
      <c r="G37" s="496"/>
      <c r="H37" s="496"/>
      <c r="I37" s="496"/>
      <c r="J37" s="496"/>
      <c r="K37" s="496"/>
      <c r="L37" s="496"/>
      <c r="M37" s="494"/>
      <c r="N37" s="494"/>
      <c r="O37" s="494"/>
      <c r="P37" s="494"/>
      <c r="Q37" s="494"/>
      <c r="R37" s="494"/>
      <c r="S37" s="494"/>
      <c r="T37" s="494"/>
      <c r="U37" s="494"/>
      <c r="V37" s="494"/>
      <c r="W37" s="494"/>
    </row>
    <row r="38" spans="1:23" ht="17.5">
      <c r="A38" s="494"/>
      <c r="B38" s="494"/>
      <c r="C38" s="494"/>
      <c r="D38" s="494"/>
      <c r="E38" s="494"/>
      <c r="F38" s="494"/>
      <c r="G38" s="494"/>
      <c r="H38" s="494"/>
      <c r="I38" s="494"/>
      <c r="J38" s="494"/>
      <c r="K38" s="494"/>
      <c r="L38" s="494"/>
      <c r="M38" s="494"/>
      <c r="N38" s="494"/>
      <c r="O38" s="494"/>
      <c r="P38" s="494"/>
      <c r="Q38" s="494"/>
      <c r="R38" s="494"/>
      <c r="S38" s="494"/>
      <c r="T38" s="494"/>
      <c r="U38" s="494"/>
      <c r="V38" s="494"/>
      <c r="W38" s="494"/>
    </row>
    <row r="39" spans="1:23" ht="17.5">
      <c r="A39" s="82"/>
      <c r="B39" s="693">
        <v>43101</v>
      </c>
      <c r="C39" s="693">
        <v>43466</v>
      </c>
      <c r="D39" s="693">
        <v>43831</v>
      </c>
      <c r="E39" s="693">
        <v>44197</v>
      </c>
      <c r="F39" s="83">
        <v>44562</v>
      </c>
      <c r="G39" s="494"/>
      <c r="H39" s="494"/>
      <c r="I39" s="494"/>
      <c r="J39" s="494"/>
      <c r="K39" s="494"/>
      <c r="L39" s="494"/>
      <c r="M39" s="494"/>
      <c r="N39" s="494"/>
      <c r="O39" s="494"/>
      <c r="P39" s="494"/>
      <c r="Q39" s="494"/>
      <c r="R39" s="494"/>
      <c r="S39" s="494"/>
      <c r="T39" s="494"/>
      <c r="U39" s="494"/>
      <c r="V39" s="494"/>
      <c r="W39" s="494"/>
    </row>
    <row r="40" spans="1:23" ht="17.5">
      <c r="A40" s="112" t="s">
        <v>722</v>
      </c>
      <c r="B40" s="252">
        <f>+B14</f>
        <v>5295619</v>
      </c>
      <c r="C40" s="252">
        <f t="shared" ref="C40:E40" si="13">+C14</f>
        <v>5328212</v>
      </c>
      <c r="D40" s="252">
        <f t="shared" si="13"/>
        <v>5367580</v>
      </c>
      <c r="E40" s="252">
        <f t="shared" si="13"/>
        <v>5391369</v>
      </c>
      <c r="F40" s="252">
        <f t="shared" ref="F40" si="14">+F14</f>
        <v>5425270</v>
      </c>
      <c r="G40" s="494"/>
      <c r="H40" s="494"/>
      <c r="I40" s="494"/>
      <c r="J40" s="494"/>
      <c r="K40" s="494"/>
      <c r="L40" s="494"/>
      <c r="M40" s="494"/>
      <c r="N40" s="494"/>
      <c r="O40" s="494"/>
      <c r="P40" s="494"/>
      <c r="Q40" s="494"/>
      <c r="R40" s="494"/>
      <c r="S40" s="494"/>
      <c r="T40" s="494"/>
      <c r="U40" s="494"/>
      <c r="V40" s="494"/>
      <c r="W40" s="494"/>
    </row>
    <row r="41" spans="1:23" ht="17.5">
      <c r="A41" s="494"/>
      <c r="B41" s="494"/>
      <c r="C41" s="494"/>
      <c r="D41" s="771"/>
      <c r="E41" s="771"/>
      <c r="F41" s="771"/>
      <c r="G41" s="494"/>
      <c r="H41" s="494"/>
      <c r="I41" s="494"/>
      <c r="J41" s="494"/>
      <c r="K41" s="494"/>
      <c r="L41" s="494"/>
      <c r="M41" s="494"/>
      <c r="N41" s="494"/>
      <c r="O41" s="494"/>
      <c r="P41" s="494"/>
      <c r="Q41" s="494"/>
      <c r="R41" s="494"/>
      <c r="S41" s="494"/>
      <c r="T41" s="494"/>
      <c r="U41" s="494"/>
      <c r="V41" s="494"/>
      <c r="W41" s="494"/>
    </row>
    <row r="42" spans="1:23" ht="17.5">
      <c r="A42" s="494"/>
      <c r="B42" s="494"/>
      <c r="C42" s="494"/>
      <c r="D42" s="494"/>
      <c r="E42" s="494"/>
      <c r="F42" s="494"/>
      <c r="G42" s="494"/>
      <c r="H42" s="494"/>
      <c r="I42" s="494"/>
      <c r="J42" s="494"/>
      <c r="K42" s="494"/>
      <c r="L42" s="494"/>
      <c r="M42" s="494"/>
      <c r="N42" s="494"/>
      <c r="O42" s="494"/>
      <c r="P42" s="494"/>
      <c r="Q42" s="494"/>
      <c r="R42" s="494"/>
      <c r="S42" s="494"/>
      <c r="T42" s="494"/>
      <c r="U42" s="494"/>
      <c r="V42" s="494"/>
      <c r="W42" s="494"/>
    </row>
    <row r="43" spans="1:23" ht="17.5">
      <c r="A43" s="494"/>
      <c r="B43" s="494"/>
      <c r="C43" s="494"/>
      <c r="D43" s="494"/>
      <c r="E43" s="494"/>
      <c r="F43" s="494"/>
      <c r="G43" s="494"/>
      <c r="H43" s="494"/>
      <c r="I43" s="494"/>
      <c r="J43" s="494"/>
      <c r="K43" s="494"/>
      <c r="L43" s="494"/>
      <c r="M43" s="494"/>
      <c r="N43" s="494"/>
      <c r="O43" s="494"/>
      <c r="P43" s="494"/>
      <c r="Q43" s="494"/>
      <c r="R43" s="494"/>
      <c r="S43" s="494"/>
      <c r="T43" s="494"/>
      <c r="U43" s="494"/>
      <c r="V43" s="494"/>
      <c r="W43" s="494"/>
    </row>
    <row r="44" spans="1:23" ht="17.5">
      <c r="A44" s="494"/>
      <c r="B44" s="494"/>
      <c r="C44" s="494"/>
      <c r="D44" s="494"/>
      <c r="E44" s="494"/>
      <c r="F44" s="494"/>
      <c r="G44" s="494"/>
      <c r="H44" s="494"/>
      <c r="I44" s="494"/>
      <c r="J44" s="494"/>
      <c r="K44" s="494"/>
      <c r="L44" s="494"/>
      <c r="M44" s="494"/>
      <c r="N44" s="494"/>
      <c r="O44" s="494"/>
      <c r="P44" s="494"/>
      <c r="Q44" s="494"/>
      <c r="R44" s="494"/>
      <c r="S44" s="494"/>
      <c r="T44" s="494"/>
      <c r="U44" s="494"/>
      <c r="V44" s="494"/>
      <c r="W44" s="494"/>
    </row>
    <row r="45" spans="1:23" ht="17.5">
      <c r="A45" s="494"/>
      <c r="B45" s="494"/>
      <c r="C45" s="494"/>
      <c r="D45" s="494"/>
      <c r="E45" s="494"/>
      <c r="F45" s="494"/>
      <c r="G45" s="494"/>
      <c r="H45" s="494"/>
      <c r="I45" s="494"/>
      <c r="J45" s="494"/>
      <c r="K45" s="494"/>
      <c r="L45" s="494"/>
      <c r="M45" s="494"/>
      <c r="N45" s="494"/>
      <c r="O45" s="494"/>
      <c r="P45" s="494"/>
      <c r="Q45" s="494"/>
      <c r="R45" s="494"/>
      <c r="S45" s="494"/>
      <c r="T45" s="494"/>
      <c r="U45" s="494"/>
      <c r="V45" s="494"/>
      <c r="W45" s="494"/>
    </row>
    <row r="46" spans="1:23" ht="17.5">
      <c r="A46" s="494"/>
      <c r="B46" s="494"/>
      <c r="C46" s="494"/>
      <c r="D46" s="494"/>
      <c r="E46" s="494"/>
      <c r="F46" s="494"/>
      <c r="G46" s="494"/>
      <c r="H46" s="494"/>
      <c r="I46" s="494"/>
      <c r="J46" s="494"/>
      <c r="K46" s="494"/>
      <c r="L46" s="494"/>
      <c r="M46" s="494"/>
      <c r="N46" s="494"/>
      <c r="O46" s="494"/>
      <c r="P46" s="494"/>
      <c r="Q46" s="494"/>
      <c r="R46" s="494"/>
      <c r="S46" s="494"/>
      <c r="T46" s="494"/>
      <c r="U46" s="494"/>
      <c r="V46" s="494"/>
      <c r="W46" s="494"/>
    </row>
    <row r="47" spans="1:23" ht="17.5">
      <c r="A47" s="494"/>
      <c r="B47" s="494"/>
      <c r="C47" s="494"/>
      <c r="D47" s="494"/>
      <c r="E47" s="494"/>
      <c r="F47" s="494"/>
      <c r="G47" s="494"/>
      <c r="H47" s="494"/>
      <c r="I47" s="494"/>
      <c r="J47" s="494"/>
      <c r="K47" s="494"/>
      <c r="L47" s="494"/>
      <c r="M47" s="494"/>
      <c r="N47" s="494"/>
      <c r="O47" s="494"/>
      <c r="P47" s="494"/>
      <c r="Q47" s="494"/>
      <c r="R47" s="494"/>
      <c r="S47" s="494"/>
      <c r="T47" s="494"/>
      <c r="U47" s="494"/>
      <c r="V47" s="494"/>
      <c r="W47" s="494"/>
    </row>
    <row r="48" spans="1:23">
      <c r="A48" s="453"/>
      <c r="B48" s="453"/>
      <c r="C48" s="453"/>
      <c r="D48" s="453"/>
      <c r="E48" s="453"/>
      <c r="F48" s="453"/>
      <c r="G48" s="453"/>
      <c r="H48" s="453"/>
      <c r="I48" s="453"/>
      <c r="J48" s="453"/>
      <c r="K48" s="453"/>
      <c r="L48" s="453"/>
      <c r="M48" s="453"/>
      <c r="N48" s="453"/>
      <c r="O48" s="453"/>
      <c r="P48" s="453"/>
      <c r="Q48" s="453"/>
      <c r="R48" s="453"/>
      <c r="S48" s="453"/>
      <c r="T48" s="453"/>
      <c r="U48" s="453"/>
      <c r="V48" s="453"/>
      <c r="W48" s="453"/>
    </row>
    <row r="49" spans="1:23">
      <c r="A49" s="453"/>
      <c r="B49" s="453"/>
      <c r="C49" s="453"/>
      <c r="D49" s="453"/>
      <c r="E49" s="453"/>
      <c r="F49" s="453"/>
      <c r="G49" s="453"/>
      <c r="H49" s="453"/>
      <c r="I49" s="453"/>
      <c r="J49" s="453"/>
      <c r="K49" s="453"/>
      <c r="L49" s="453"/>
      <c r="M49" s="453"/>
      <c r="N49" s="453"/>
      <c r="O49" s="453"/>
      <c r="P49" s="453"/>
      <c r="Q49" s="453"/>
      <c r="R49" s="453"/>
      <c r="S49" s="453"/>
      <c r="T49" s="453"/>
      <c r="U49" s="453"/>
      <c r="V49" s="453"/>
      <c r="W49" s="453"/>
    </row>
    <row r="50" spans="1:23">
      <c r="A50" s="453"/>
      <c r="B50" s="453"/>
      <c r="C50" s="453"/>
      <c r="D50" s="453"/>
      <c r="E50" s="453"/>
      <c r="F50" s="453"/>
      <c r="G50" s="453"/>
      <c r="H50" s="453"/>
      <c r="I50" s="453"/>
      <c r="J50" s="453"/>
      <c r="K50" s="453"/>
      <c r="L50" s="453"/>
      <c r="M50" s="453"/>
      <c r="N50" s="453"/>
      <c r="O50" s="453"/>
      <c r="P50" s="453"/>
      <c r="Q50" s="453"/>
      <c r="R50" s="453"/>
      <c r="S50" s="453"/>
      <c r="T50" s="453"/>
      <c r="U50" s="453"/>
      <c r="V50" s="453"/>
      <c r="W50" s="453"/>
    </row>
    <row r="51" spans="1:23">
      <c r="A51" s="453"/>
      <c r="B51" s="453"/>
      <c r="C51" s="453"/>
      <c r="D51" s="453"/>
      <c r="E51" s="453"/>
      <c r="F51" s="453"/>
      <c r="G51" s="453"/>
      <c r="H51" s="453"/>
      <c r="I51" s="453"/>
      <c r="J51" s="453"/>
      <c r="K51" s="453"/>
      <c r="L51" s="453"/>
      <c r="M51" s="453"/>
      <c r="N51" s="453"/>
      <c r="O51" s="453"/>
      <c r="P51" s="453"/>
      <c r="Q51" s="453"/>
      <c r="R51" s="453"/>
      <c r="S51" s="453"/>
      <c r="T51" s="453"/>
      <c r="U51" s="453"/>
      <c r="V51" s="453"/>
      <c r="W51" s="453"/>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A17" sqref="A17"/>
    </sheetView>
  </sheetViews>
  <sheetFormatPr baseColWidth="10" defaultColWidth="9.1796875" defaultRowHeight="13"/>
  <cols>
    <col min="1" max="1" width="3.453125" style="7" customWidth="1"/>
    <col min="2" max="2" width="67.54296875" style="7" customWidth="1"/>
    <col min="3" max="5" width="11.1796875" style="7" customWidth="1"/>
    <col min="6" max="7" width="10.453125" style="7" customWidth="1"/>
    <col min="8" max="8" width="10.81640625" style="7" customWidth="1"/>
    <col min="9" max="9" width="10.7265625" style="7" bestFit="1" customWidth="1"/>
    <col min="10" max="10" width="10.7265625" style="335" bestFit="1" customWidth="1"/>
    <col min="11" max="11" width="10.7265625" style="335" customWidth="1"/>
    <col min="12" max="34" width="9.1796875" style="335"/>
    <col min="35" max="16384" width="9.1796875" style="7"/>
  </cols>
  <sheetData>
    <row r="1" spans="1:13" ht="16.5" customHeight="1">
      <c r="A1" s="404"/>
      <c r="B1" s="404" t="str">
        <f>B3</f>
        <v>HEIM (FRA 1.1.2020)</v>
      </c>
      <c r="C1" s="404">
        <f>Gdata!B90</f>
        <v>2018</v>
      </c>
      <c r="D1" s="404">
        <f>Gdata!C90</f>
        <v>2019</v>
      </c>
      <c r="E1" s="404">
        <f>Gdata!D90</f>
        <v>2020</v>
      </c>
      <c r="F1" s="404">
        <f>Gdata!E90</f>
        <v>2021</v>
      </c>
      <c r="G1" s="404">
        <f>Gdata!F90</f>
        <v>2022</v>
      </c>
      <c r="H1" s="404">
        <f>Gdata!G90</f>
        <v>2023</v>
      </c>
      <c r="I1" s="404">
        <f>Gdata!H90</f>
        <v>2024</v>
      </c>
      <c r="J1" s="404">
        <f>Gdata!I90</f>
        <v>2025</v>
      </c>
      <c r="K1" s="404">
        <f>Gdata!J90</f>
        <v>2026</v>
      </c>
    </row>
    <row r="2" spans="1:13" ht="16.5" customHeight="1">
      <c r="A2" s="404"/>
      <c r="B2" s="906" t="s">
        <v>719</v>
      </c>
      <c r="C2" s="30"/>
      <c r="D2" s="30"/>
      <c r="E2" s="30"/>
      <c r="F2" s="30"/>
      <c r="G2" s="30"/>
      <c r="H2" s="30"/>
      <c r="I2" s="30"/>
      <c r="J2" s="30"/>
      <c r="K2" s="30"/>
    </row>
    <row r="3" spans="1:13" ht="25">
      <c r="A3" s="12"/>
      <c r="B3" s="248" t="str">
        <f>Gdata!C3</f>
        <v>HEIM (FRA 1.1.2020)</v>
      </c>
      <c r="C3" s="10"/>
      <c r="D3" s="10"/>
      <c r="E3" s="10"/>
      <c r="F3" s="10"/>
      <c r="G3" s="10"/>
      <c r="H3" s="10"/>
      <c r="I3" s="10"/>
      <c r="J3" s="10"/>
      <c r="K3" s="10"/>
    </row>
    <row r="4" spans="1:13" ht="15">
      <c r="A4" s="12"/>
      <c r="B4" s="249" t="str">
        <f>+Rskudd!A3</f>
        <v>2023-prisnivå for årene 2023-2026</v>
      </c>
      <c r="C4" s="30"/>
      <c r="D4" s="30"/>
      <c r="E4" s="30"/>
      <c r="F4" s="30"/>
      <c r="G4" s="1265" t="s">
        <v>267</v>
      </c>
      <c r="H4" s="1245"/>
      <c r="I4" s="1245"/>
      <c r="J4" s="1245"/>
      <c r="K4" s="1246"/>
    </row>
    <row r="5" spans="1:13" ht="15">
      <c r="A5" s="12"/>
      <c r="B5" s="250" t="s">
        <v>279</v>
      </c>
      <c r="C5" s="25">
        <f>Gdata!B90</f>
        <v>2018</v>
      </c>
      <c r="D5" s="25">
        <f>Gdata!C90</f>
        <v>2019</v>
      </c>
      <c r="E5" s="25">
        <f>Gdata!D90</f>
        <v>2020</v>
      </c>
      <c r="F5" s="25">
        <f>Gdata!E90</f>
        <v>2021</v>
      </c>
      <c r="G5" s="25">
        <f>Gdata!F90</f>
        <v>2022</v>
      </c>
      <c r="H5" s="25">
        <f>Gdata!G90</f>
        <v>2023</v>
      </c>
      <c r="I5" s="25">
        <f>Gdata!H90</f>
        <v>2024</v>
      </c>
      <c r="J5" s="25">
        <f>Gdata!I90</f>
        <v>2025</v>
      </c>
      <c r="K5" s="25">
        <f>Gdata!J90</f>
        <v>2026</v>
      </c>
    </row>
    <row r="6" spans="1:13">
      <c r="A6" s="12"/>
      <c r="B6" s="22" t="s">
        <v>280</v>
      </c>
      <c r="C6" s="347">
        <f>Gdata!B102</f>
        <v>30692.702024069331</v>
      </c>
      <c r="D6" s="347">
        <f>Gdata!C102</f>
        <v>31928.458748805362</v>
      </c>
      <c r="E6" s="347">
        <f>Gdata!D102</f>
        <v>31465.282863577067</v>
      </c>
      <c r="F6" s="347">
        <f>Gdata!E102</f>
        <v>36346.140010169365</v>
      </c>
      <c r="G6" s="347">
        <f>Gdata!F102</f>
        <v>40550.977186388875</v>
      </c>
      <c r="H6" s="347">
        <f>Gdata!G102</f>
        <v>36692.088200557962</v>
      </c>
      <c r="I6" s="347">
        <f>Gdata!H102</f>
        <v>36845.683361808813</v>
      </c>
      <c r="J6" s="347">
        <f>Gdata!I102</f>
        <v>36845.683361808813</v>
      </c>
      <c r="K6" s="347">
        <f>Gdata!J102</f>
        <v>36845.683361808813</v>
      </c>
    </row>
    <row r="7" spans="1:13">
      <c r="A7" s="12"/>
      <c r="B7" s="924" t="s">
        <v>2378</v>
      </c>
      <c r="C7" s="347"/>
      <c r="D7" s="347"/>
      <c r="E7" s="347"/>
      <c r="F7" s="386">
        <f>+Gdata!E106</f>
        <v>36348.922048370296</v>
      </c>
      <c r="G7" s="386">
        <f>+Gdata!F106</f>
        <v>40554.110670989656</v>
      </c>
      <c r="H7" s="386">
        <f>+Gdata!G106</f>
        <v>36695.193288042887</v>
      </c>
      <c r="I7" s="386">
        <f>+Gdata!H106</f>
        <v>36848.78844929373</v>
      </c>
      <c r="J7" s="386">
        <f>+Gdata!I106</f>
        <v>36848.78844929373</v>
      </c>
      <c r="K7" s="386">
        <f>+Gdata!J106</f>
        <v>36848.78844929373</v>
      </c>
    </row>
    <row r="8" spans="1:13">
      <c r="A8" s="12"/>
      <c r="B8" s="22"/>
      <c r="C8" s="347"/>
      <c r="D8" s="347"/>
      <c r="E8" s="347"/>
      <c r="F8" s="347"/>
      <c r="G8" s="347"/>
      <c r="H8" s="347"/>
      <c r="I8" s="347"/>
    </row>
    <row r="9" spans="1:13">
      <c r="A9" s="12"/>
      <c r="B9" s="22" t="s">
        <v>281</v>
      </c>
      <c r="C9" s="347">
        <f>Gdata!B119</f>
        <v>153172.37637637637</v>
      </c>
      <c r="D9" s="347">
        <f>Gdata!C119</f>
        <v>163996.97697697696</v>
      </c>
      <c r="E9" s="347">
        <f>Gdata!D119</f>
        <v>158118</v>
      </c>
      <c r="F9" s="347">
        <f>Gdata!E119</f>
        <v>176810.02900000001</v>
      </c>
      <c r="G9" s="347">
        <f>Gdata!F119</f>
        <v>196667.09050514281</v>
      </c>
      <c r="H9" s="347">
        <f>Gdata!G119</f>
        <v>179482.67958791932</v>
      </c>
      <c r="I9" s="347">
        <f>Gdata!H119</f>
        <v>188322.8377981385</v>
      </c>
      <c r="J9" s="347">
        <f>Gdata!I119</f>
        <v>188322.8377981385</v>
      </c>
      <c r="K9" s="347">
        <f>Gdata!J119</f>
        <v>188322.8377981385</v>
      </c>
      <c r="M9" s="339"/>
    </row>
    <row r="10" spans="1:13">
      <c r="A10" s="12"/>
      <c r="B10" s="22" t="s">
        <v>282</v>
      </c>
      <c r="C10" s="336" t="e">
        <f>Gdata!B127</f>
        <v>#N/A</v>
      </c>
      <c r="D10" s="336" t="e">
        <f>Gdata!C127</f>
        <v>#N/A</v>
      </c>
      <c r="E10" s="336">
        <f>Gdata!D127</f>
        <v>26516.518530940801</v>
      </c>
      <c r="F10" s="336">
        <f>Gdata!E127</f>
        <v>29760.987880828143</v>
      </c>
      <c r="G10" s="336">
        <f>Gdata!F127</f>
        <v>33424.046652811492</v>
      </c>
      <c r="H10" s="336">
        <f>Gdata!G127</f>
        <v>30738.599004610263</v>
      </c>
      <c r="I10" s="336">
        <f>Gdata!H127</f>
        <v>32252.583969539046</v>
      </c>
      <c r="J10" s="336">
        <f>Gdata!I127</f>
        <v>32252.583969539046</v>
      </c>
      <c r="K10" s="336">
        <f>Gdata!J127</f>
        <v>32252.583969539046</v>
      </c>
    </row>
    <row r="11" spans="1:13">
      <c r="A11" s="12"/>
      <c r="B11" s="22"/>
      <c r="C11" s="335"/>
      <c r="D11" s="335"/>
      <c r="E11" s="335"/>
      <c r="F11" s="335"/>
      <c r="G11" s="335"/>
      <c r="H11" s="335"/>
      <c r="I11" s="335"/>
    </row>
    <row r="12" spans="1:13">
      <c r="A12" s="12"/>
      <c r="B12" s="924" t="s">
        <v>1877</v>
      </c>
      <c r="C12" s="393" t="e">
        <f t="shared" ref="C12:F12" si="0">C10/C6</f>
        <v>#N/A</v>
      </c>
      <c r="D12" s="393" t="e">
        <f t="shared" si="0"/>
        <v>#N/A</v>
      </c>
      <c r="E12" s="393">
        <f t="shared" si="0"/>
        <v>0.84272303051930431</v>
      </c>
      <c r="F12" s="393">
        <f t="shared" si="0"/>
        <v>0.81882114228639546</v>
      </c>
      <c r="G12" s="393">
        <f t="shared" ref="G12:H12" si="1">G10/G6</f>
        <v>0.82424762538226648</v>
      </c>
      <c r="H12" s="393">
        <f t="shared" si="1"/>
        <v>0.83774460686439844</v>
      </c>
      <c r="I12" s="393">
        <f t="shared" ref="I12:J12" si="2">I10/I6</f>
        <v>0.87534226608942223</v>
      </c>
      <c r="J12" s="393">
        <f t="shared" si="2"/>
        <v>0.87534226608942223</v>
      </c>
      <c r="K12" s="393">
        <f>K10/K6</f>
        <v>0.87534226608942223</v>
      </c>
    </row>
    <row r="13" spans="1:13">
      <c r="A13" s="12"/>
      <c r="B13" s="924"/>
      <c r="C13" s="393"/>
      <c r="D13" s="393"/>
      <c r="E13" s="393"/>
      <c r="F13" s="393"/>
      <c r="G13" s="393"/>
      <c r="H13" s="393"/>
      <c r="I13" s="393"/>
      <c r="J13" s="393"/>
      <c r="K13" s="393"/>
    </row>
    <row r="14" spans="1:13">
      <c r="A14" s="12"/>
      <c r="B14" s="924" t="s">
        <v>2376</v>
      </c>
      <c r="C14" s="393"/>
      <c r="D14" s="393"/>
      <c r="E14" s="393"/>
      <c r="F14" s="347">
        <f>Gdata!E114</f>
        <v>176810.02900000001</v>
      </c>
      <c r="G14" s="347">
        <f>Gdata!F114</f>
        <v>196667.09050514281</v>
      </c>
      <c r="H14" s="347">
        <f>Gdata!G114</f>
        <v>179482.67958791932</v>
      </c>
      <c r="I14" s="347">
        <f>Gdata!H114</f>
        <v>188322.8377981385</v>
      </c>
      <c r="J14" s="347">
        <f>Gdata!I114</f>
        <v>188322.8377981385</v>
      </c>
      <c r="K14" s="347">
        <f>Gdata!J114</f>
        <v>188322.8377981385</v>
      </c>
      <c r="M14" s="339"/>
    </row>
    <row r="15" spans="1:13">
      <c r="A15" s="12"/>
      <c r="B15" s="924" t="s">
        <v>2377</v>
      </c>
      <c r="C15" s="393"/>
      <c r="D15" s="393"/>
      <c r="E15" s="393"/>
      <c r="F15" s="336">
        <f>Gdata!E115</f>
        <v>29760.987880828143</v>
      </c>
      <c r="G15" s="336">
        <f>Gdata!F115</f>
        <v>33424.046652811492</v>
      </c>
      <c r="H15" s="336">
        <f>Gdata!G115</f>
        <v>30738.599004610263</v>
      </c>
      <c r="I15" s="336">
        <f>Gdata!H115</f>
        <v>32252.583969539046</v>
      </c>
      <c r="J15" s="336">
        <f>Gdata!I115</f>
        <v>32252.583969539046</v>
      </c>
      <c r="K15" s="336">
        <f>Gdata!J115</f>
        <v>32252.583969539046</v>
      </c>
    </row>
    <row r="16" spans="1:13">
      <c r="A16" s="12"/>
      <c r="B16" s="924"/>
      <c r="C16" s="393"/>
      <c r="D16" s="393"/>
      <c r="E16" s="393"/>
      <c r="F16" s="336"/>
      <c r="G16" s="393"/>
      <c r="H16" s="393"/>
      <c r="I16" s="393"/>
      <c r="J16" s="393"/>
      <c r="K16" s="393"/>
    </row>
    <row r="17" spans="1:34">
      <c r="A17" s="12"/>
      <c r="B17" s="924" t="s">
        <v>2379</v>
      </c>
      <c r="C17" s="393"/>
      <c r="D17" s="393"/>
      <c r="E17" s="393"/>
      <c r="F17" s="393">
        <f>+F15/F7</f>
        <v>0.81875847215564068</v>
      </c>
      <c r="G17" s="393">
        <f t="shared" ref="G17:K17" si="3">+G15/G7</f>
        <v>0.82418393844156845</v>
      </c>
      <c r="H17" s="393">
        <f t="shared" si="3"/>
        <v>0.83767371828032922</v>
      </c>
      <c r="I17" s="393">
        <f t="shared" si="3"/>
        <v>0.87526850479550089</v>
      </c>
      <c r="J17" s="393">
        <f t="shared" si="3"/>
        <v>0.87526850479550089</v>
      </c>
      <c r="K17" s="393">
        <f t="shared" si="3"/>
        <v>0.87526850479550089</v>
      </c>
    </row>
    <row r="18" spans="1:34">
      <c r="A18" s="12"/>
      <c r="B18" s="924"/>
      <c r="C18" s="393"/>
      <c r="D18" s="393"/>
      <c r="E18" s="393"/>
      <c r="F18" s="393"/>
      <c r="G18" s="393"/>
      <c r="H18" s="393"/>
      <c r="I18" s="393"/>
      <c r="J18" s="393"/>
      <c r="K18" s="393"/>
    </row>
    <row r="19" spans="1:34" ht="8.25" customHeight="1">
      <c r="A19" s="12"/>
      <c r="B19" s="405"/>
      <c r="C19" s="404"/>
      <c r="D19" s="404"/>
      <c r="E19" s="404"/>
      <c r="F19" s="404"/>
      <c r="G19" s="404"/>
      <c r="H19" s="404"/>
      <c r="I19" s="404"/>
    </row>
    <row r="20" spans="1:34" s="14" customFormat="1" ht="20.5">
      <c r="A20" s="12"/>
      <c r="B20" s="250" t="s">
        <v>1878</v>
      </c>
      <c r="C20" s="25">
        <f t="shared" ref="C20:E20" si="4">C5</f>
        <v>2018</v>
      </c>
      <c r="D20" s="25">
        <f t="shared" si="4"/>
        <v>2019</v>
      </c>
      <c r="E20" s="25">
        <f t="shared" si="4"/>
        <v>2020</v>
      </c>
      <c r="F20" s="25">
        <f t="shared" ref="F20:K20" si="5">F5</f>
        <v>2021</v>
      </c>
      <c r="G20" s="25">
        <f t="shared" si="5"/>
        <v>2022</v>
      </c>
      <c r="H20" s="25">
        <f t="shared" si="5"/>
        <v>2023</v>
      </c>
      <c r="I20" s="25">
        <f t="shared" si="5"/>
        <v>2024</v>
      </c>
      <c r="J20" s="25">
        <f t="shared" si="5"/>
        <v>2025</v>
      </c>
      <c r="K20" s="25">
        <f t="shared" si="5"/>
        <v>2026</v>
      </c>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row>
    <row r="21" spans="1:34">
      <c r="A21" s="12"/>
      <c r="B21" s="22"/>
      <c r="C21" s="347"/>
      <c r="D21" s="347"/>
      <c r="E21" s="347"/>
      <c r="F21" s="347"/>
      <c r="G21" s="347"/>
      <c r="H21" s="347"/>
      <c r="I21" s="347"/>
    </row>
    <row r="22" spans="1:34">
      <c r="A22" s="12"/>
      <c r="B22" s="22" t="s">
        <v>285</v>
      </c>
      <c r="C22" s="394">
        <v>0.6</v>
      </c>
      <c r="D22" s="394">
        <v>0.6</v>
      </c>
      <c r="E22" s="394">
        <v>0.6</v>
      </c>
      <c r="F22" s="394">
        <v>0.6</v>
      </c>
      <c r="G22" s="394">
        <v>0.6</v>
      </c>
      <c r="H22" s="394">
        <v>0.6</v>
      </c>
      <c r="I22" s="394">
        <v>0.6</v>
      </c>
      <c r="J22" s="394">
        <v>0.6</v>
      </c>
      <c r="K22" s="394">
        <v>0.6</v>
      </c>
    </row>
    <row r="23" spans="1:34">
      <c r="A23" s="12"/>
      <c r="B23" s="22" t="s">
        <v>737</v>
      </c>
      <c r="C23" s="394">
        <v>0.35</v>
      </c>
      <c r="D23" s="394">
        <v>0.35</v>
      </c>
      <c r="E23" s="394">
        <v>0.35</v>
      </c>
      <c r="F23" s="394">
        <v>0.35</v>
      </c>
      <c r="G23" s="394">
        <v>0.35</v>
      </c>
      <c r="H23" s="394">
        <v>0.35</v>
      </c>
      <c r="I23" s="394">
        <v>0.35</v>
      </c>
      <c r="J23" s="394">
        <v>0.35</v>
      </c>
      <c r="K23" s="394">
        <v>0.35</v>
      </c>
    </row>
    <row r="24" spans="1:34">
      <c r="A24" s="12"/>
      <c r="B24" s="22" t="s">
        <v>736</v>
      </c>
      <c r="C24" s="394">
        <v>0.9</v>
      </c>
      <c r="D24" s="394">
        <v>0.9</v>
      </c>
      <c r="E24" s="394">
        <v>0.9</v>
      </c>
      <c r="F24" s="394">
        <v>0.9</v>
      </c>
      <c r="G24" s="394">
        <v>0.9</v>
      </c>
      <c r="H24" s="394">
        <v>0.9</v>
      </c>
      <c r="I24" s="394">
        <v>0.9</v>
      </c>
      <c r="J24" s="394">
        <v>0.9</v>
      </c>
      <c r="K24" s="394">
        <v>0.9</v>
      </c>
    </row>
    <row r="25" spans="1:34" ht="6" customHeight="1">
      <c r="A25" s="12"/>
      <c r="B25" s="189"/>
      <c r="C25" s="395"/>
      <c r="D25" s="395"/>
      <c r="E25" s="395"/>
      <c r="F25" s="395"/>
      <c r="G25" s="395"/>
      <c r="H25" s="395"/>
      <c r="I25" s="395"/>
      <c r="J25" s="395"/>
      <c r="K25" s="395"/>
    </row>
    <row r="26" spans="1:34">
      <c r="A26" s="12"/>
      <c r="B26" s="189" t="s">
        <v>1059</v>
      </c>
      <c r="C26" s="336" t="e">
        <f t="shared" ref="C26:E26" si="6">(C6-C10)*C22</f>
        <v>#N/A</v>
      </c>
      <c r="D26" s="336" t="e">
        <f t="shared" si="6"/>
        <v>#N/A</v>
      </c>
      <c r="E26" s="336">
        <f t="shared" si="6"/>
        <v>2969.2585995817599</v>
      </c>
      <c r="F26" s="336">
        <f>(F7-F15)*F22</f>
        <v>3952.7605005252917</v>
      </c>
      <c r="G26" s="336">
        <f t="shared" ref="G26:I26" si="7">(G7-G15)*G22</f>
        <v>4278.0384109068982</v>
      </c>
      <c r="H26" s="336">
        <f t="shared" si="7"/>
        <v>3573.956570059574</v>
      </c>
      <c r="I26" s="336">
        <f t="shared" si="7"/>
        <v>2757.7226878528104</v>
      </c>
      <c r="J26" s="336">
        <f>(J7-J15)*J22</f>
        <v>2757.7226878528104</v>
      </c>
      <c r="K26" s="336">
        <f>(K7-K15)*K22</f>
        <v>2757.7226878528104</v>
      </c>
    </row>
    <row r="27" spans="1:34">
      <c r="A27" s="12"/>
      <c r="B27" s="189" t="s">
        <v>1071</v>
      </c>
      <c r="C27" s="336"/>
      <c r="D27" s="336"/>
      <c r="E27" s="336"/>
      <c r="F27" s="336"/>
      <c r="G27" s="336"/>
      <c r="H27" s="336"/>
      <c r="I27" s="336"/>
    </row>
    <row r="28" spans="1:34">
      <c r="A28" s="12"/>
      <c r="B28" s="189" t="s">
        <v>339</v>
      </c>
      <c r="C28" s="336" t="e">
        <f t="shared" ref="C28:D28" si="8">IF(C10&lt;C6*C24,C23*(C24*C6-C10),0)</f>
        <v>#N/A</v>
      </c>
      <c r="D28" s="336" t="e">
        <f t="shared" si="8"/>
        <v>#N/A</v>
      </c>
      <c r="E28" s="336">
        <f>IF(E10&lt;E6*E24,E23*(E24*E6-E10),0)</f>
        <v>630.78261619749662</v>
      </c>
      <c r="F28" s="336">
        <f>IF(F15&lt;F7*F24,F23*(F24*F7-F15),0)</f>
        <v>1033.564686946793</v>
      </c>
      <c r="G28" s="336">
        <f t="shared" ref="G28:K28" si="9">IF(G15&lt;G7*G24,G23*(G24*G7-G15),0)</f>
        <v>1076.1285328777208</v>
      </c>
      <c r="H28" s="336">
        <f t="shared" si="9"/>
        <v>800.47623411991788</v>
      </c>
      <c r="I28" s="336">
        <f t="shared" si="9"/>
        <v>318.96397218885937</v>
      </c>
      <c r="J28" s="336">
        <f t="shared" si="9"/>
        <v>318.96397218885937</v>
      </c>
      <c r="K28" s="336">
        <f t="shared" si="9"/>
        <v>318.96397218885937</v>
      </c>
    </row>
    <row r="29" spans="1:34">
      <c r="A29" s="12"/>
      <c r="B29" s="189" t="s">
        <v>340</v>
      </c>
      <c r="C29" s="396"/>
      <c r="D29" s="396"/>
      <c r="E29" s="396"/>
      <c r="F29" s="396"/>
      <c r="G29" s="396"/>
      <c r="H29" s="396"/>
      <c r="I29" s="396"/>
    </row>
    <row r="30" spans="1:34">
      <c r="A30" s="12">
        <v>6</v>
      </c>
      <c r="B30" s="188" t="s">
        <v>296</v>
      </c>
      <c r="C30" s="396">
        <f>Bregn!C105</f>
        <v>-359.75950890286487</v>
      </c>
      <c r="D30" s="396">
        <f>Bregn!D105</f>
        <v>-391.54371904306379</v>
      </c>
      <c r="E30" s="396">
        <f>Bregn!E105</f>
        <v>-355.66416031419584</v>
      </c>
      <c r="F30" s="396">
        <f>Bregn!F105</f>
        <v>-432.81331717371785</v>
      </c>
      <c r="G30" s="396">
        <f>Bregn!G105</f>
        <v>-563.53779667568176</v>
      </c>
      <c r="H30" s="396">
        <f>Bregn!H105</f>
        <v>-425.68545411956319</v>
      </c>
      <c r="I30" s="396">
        <f>Bregn!I105</f>
        <v>-420.03543870207375</v>
      </c>
      <c r="J30" s="396">
        <f>Bregn!J105</f>
        <v>-420.03543870207375</v>
      </c>
      <c r="K30" s="396">
        <f>Bregn!K105</f>
        <v>-420.03543870207375</v>
      </c>
    </row>
    <row r="31" spans="1:34" ht="13.5" thickBot="1">
      <c r="A31" s="12">
        <v>7</v>
      </c>
      <c r="B31" s="188" t="s">
        <v>297</v>
      </c>
      <c r="C31" s="397" t="e">
        <f t="shared" ref="C31:E31" si="10">C26+C28+C30</f>
        <v>#N/A</v>
      </c>
      <c r="D31" s="397" t="e">
        <f t="shared" si="10"/>
        <v>#N/A</v>
      </c>
      <c r="E31" s="397">
        <f t="shared" si="10"/>
        <v>3244.3770554650609</v>
      </c>
      <c r="F31" s="397">
        <f t="shared" ref="F31:G31" si="11">F26+F28+F30</f>
        <v>4553.5118702983664</v>
      </c>
      <c r="G31" s="397">
        <f t="shared" si="11"/>
        <v>4790.629147108938</v>
      </c>
      <c r="H31" s="397">
        <f t="shared" ref="H31:K31" si="12">H26+H28+H30</f>
        <v>3948.7473500599285</v>
      </c>
      <c r="I31" s="397">
        <f t="shared" si="12"/>
        <v>2656.6512213395958</v>
      </c>
      <c r="J31" s="397">
        <f t="shared" si="12"/>
        <v>2656.6512213395958</v>
      </c>
      <c r="K31" s="397">
        <f t="shared" si="12"/>
        <v>2656.6512213395958</v>
      </c>
    </row>
    <row r="32" spans="1:34" ht="8.25" customHeight="1">
      <c r="A32" s="12"/>
      <c r="B32" s="189"/>
      <c r="C32" s="350"/>
      <c r="D32" s="350"/>
      <c r="E32" s="350"/>
      <c r="F32" s="350"/>
      <c r="G32" s="350"/>
      <c r="H32" s="350"/>
      <c r="I32" s="350"/>
    </row>
    <row r="33" spans="1:34" s="15" customFormat="1" ht="13.5" thickBot="1">
      <c r="A33" s="12">
        <v>8</v>
      </c>
      <c r="B33" s="188" t="s">
        <v>298</v>
      </c>
      <c r="C33" s="342" t="e">
        <f>C31*Gdata!B54/1000</f>
        <v>#N/A</v>
      </c>
      <c r="D33" s="342" t="e">
        <f>D31*Gdata!C54/1000</f>
        <v>#N/A</v>
      </c>
      <c r="E33" s="342">
        <f>E31*Gdata!D54/1000</f>
        <v>19346.22038173816</v>
      </c>
      <c r="F33" s="342">
        <f>F31*Gdata!E54/1000</f>
        <v>27052.414021442597</v>
      </c>
      <c r="G33" s="342">
        <f>G31*Gdata!F54/1000</f>
        <v>28188.06190158899</v>
      </c>
      <c r="H33" s="342">
        <f>H31*Gdata!G54/1000</f>
        <v>23056.735776999925</v>
      </c>
      <c r="I33" s="342">
        <f>I31*Gdata!H54/1000</f>
        <v>15512.186481401899</v>
      </c>
      <c r="J33" s="342">
        <f>J31*Gdata!I54/1000</f>
        <v>15512.186481401899</v>
      </c>
      <c r="K33" s="342">
        <f>K31*Gdata!J54/1000</f>
        <v>15512.186481401899</v>
      </c>
      <c r="L33" s="346"/>
      <c r="M33" s="1241">
        <f>+I33-H33</f>
        <v>-7544.5492955980262</v>
      </c>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c r="A34" s="12"/>
      <c r="B34" s="189" t="s">
        <v>299</v>
      </c>
      <c r="C34" s="347"/>
      <c r="D34" s="347"/>
      <c r="E34" s="347"/>
      <c r="F34" s="347"/>
      <c r="G34" s="347"/>
      <c r="H34" s="347"/>
      <c r="I34" s="347"/>
      <c r="M34" s="339">
        <f>+M9+M33</f>
        <v>-7544.5492955980262</v>
      </c>
    </row>
    <row r="35" spans="1:34" ht="14.25" customHeight="1">
      <c r="A35" s="12"/>
      <c r="B35" s="22" t="s">
        <v>300</v>
      </c>
      <c r="C35" s="631"/>
      <c r="D35" s="631" t="e">
        <f t="shared" ref="D35:K35" si="13">IF(C33&lt;0,(D33-C33)/-C33,(D33-C33)/C33)</f>
        <v>#N/A</v>
      </c>
      <c r="E35" s="631" t="e">
        <f t="shared" si="13"/>
        <v>#N/A</v>
      </c>
      <c r="F35" s="631">
        <f t="shared" si="13"/>
        <v>0.39833070685882854</v>
      </c>
      <c r="G35" s="631">
        <f t="shared" si="13"/>
        <v>4.1979539395125415E-2</v>
      </c>
      <c r="H35" s="631">
        <f t="shared" si="13"/>
        <v>-0.18203898311645919</v>
      </c>
      <c r="I35" s="631">
        <f t="shared" si="13"/>
        <v>-0.32721671309275424</v>
      </c>
      <c r="J35" s="631">
        <f t="shared" si="13"/>
        <v>0</v>
      </c>
      <c r="K35" s="631">
        <f t="shared" si="13"/>
        <v>0</v>
      </c>
    </row>
    <row r="36" spans="1:34" ht="14.25" customHeight="1">
      <c r="A36" s="12"/>
      <c r="B36" s="22"/>
      <c r="C36" s="336"/>
      <c r="D36" s="336"/>
      <c r="E36" s="336"/>
      <c r="F36" s="336"/>
      <c r="G36" s="336"/>
      <c r="H36" s="336"/>
      <c r="I36" s="336"/>
    </row>
    <row r="37" spans="1:34" ht="14.25" customHeight="1">
      <c r="A37" s="12"/>
      <c r="B37" s="10"/>
      <c r="C37" s="10"/>
      <c r="D37" s="10"/>
      <c r="E37" s="10"/>
      <c r="F37" s="10"/>
      <c r="G37" s="10"/>
      <c r="H37" s="10"/>
      <c r="I37" s="10"/>
      <c r="J37" s="10"/>
      <c r="K37" s="10"/>
    </row>
    <row r="38" spans="1:34">
      <c r="A38" s="12"/>
      <c r="B38" s="22" t="s">
        <v>301</v>
      </c>
      <c r="C38" s="336" t="e">
        <f t="shared" ref="C38:K38" si="14">C10</f>
        <v>#N/A</v>
      </c>
      <c r="D38" s="336" t="e">
        <f t="shared" si="14"/>
        <v>#N/A</v>
      </c>
      <c r="E38" s="336">
        <f t="shared" si="14"/>
        <v>26516.518530940801</v>
      </c>
      <c r="F38" s="336">
        <f t="shared" si="14"/>
        <v>29760.987880828143</v>
      </c>
      <c r="G38" s="336">
        <f t="shared" si="14"/>
        <v>33424.046652811492</v>
      </c>
      <c r="H38" s="336">
        <f t="shared" si="14"/>
        <v>30738.599004610263</v>
      </c>
      <c r="I38" s="336">
        <f t="shared" si="14"/>
        <v>32252.583969539046</v>
      </c>
      <c r="J38" s="336">
        <f t="shared" si="14"/>
        <v>32252.583969539046</v>
      </c>
      <c r="K38" s="336">
        <f t="shared" si="14"/>
        <v>32252.583969539046</v>
      </c>
    </row>
    <row r="39" spans="1:34" ht="13.5">
      <c r="A39" s="12"/>
      <c r="B39" s="189" t="s">
        <v>302</v>
      </c>
      <c r="C39" s="398"/>
      <c r="D39" s="398" t="e">
        <f t="shared" ref="D39:K39" si="15">(D38-C38)/C38</f>
        <v>#N/A</v>
      </c>
      <c r="E39" s="398" t="e">
        <f t="shared" si="15"/>
        <v>#N/A</v>
      </c>
      <c r="F39" s="398">
        <f t="shared" si="15"/>
        <v>0.12235653583638942</v>
      </c>
      <c r="G39" s="398">
        <f t="shared" si="15"/>
        <v>0.12308256656839912</v>
      </c>
      <c r="H39" s="398">
        <f t="shared" si="15"/>
        <v>-8.0344779197324995E-2</v>
      </c>
      <c r="I39" s="398">
        <f t="shared" si="15"/>
        <v>4.9253544857451398E-2</v>
      </c>
      <c r="J39" s="398">
        <f t="shared" si="15"/>
        <v>0</v>
      </c>
      <c r="K39" s="398">
        <f t="shared" si="15"/>
        <v>0</v>
      </c>
    </row>
    <row r="40" spans="1:34" ht="8.25" customHeight="1">
      <c r="A40" s="12"/>
      <c r="B40" s="22"/>
      <c r="C40" s="336"/>
      <c r="D40" s="336"/>
      <c r="E40" s="336"/>
      <c r="F40" s="336"/>
      <c r="G40" s="336"/>
      <c r="H40" s="336"/>
      <c r="I40" s="336"/>
    </row>
    <row r="41" spans="1:34">
      <c r="A41" s="12"/>
      <c r="B41" s="22" t="s">
        <v>303</v>
      </c>
      <c r="C41" s="339" t="e">
        <f t="shared" ref="C41:H41" si="16">C31</f>
        <v>#N/A</v>
      </c>
      <c r="D41" s="339" t="e">
        <f t="shared" si="16"/>
        <v>#N/A</v>
      </c>
      <c r="E41" s="339">
        <f t="shared" si="16"/>
        <v>3244.3770554650609</v>
      </c>
      <c r="F41" s="339">
        <f>F31</f>
        <v>4553.5118702983664</v>
      </c>
      <c r="G41" s="339">
        <f t="shared" si="16"/>
        <v>4790.629147108938</v>
      </c>
      <c r="H41" s="339">
        <f t="shared" si="16"/>
        <v>3948.7473500599285</v>
      </c>
      <c r="I41" s="339">
        <f t="shared" ref="I41:K41" si="17">I31</f>
        <v>2656.6512213395958</v>
      </c>
      <c r="J41" s="339">
        <f t="shared" si="17"/>
        <v>2656.6512213395958</v>
      </c>
      <c r="K41" s="339">
        <f t="shared" si="17"/>
        <v>2656.6512213395958</v>
      </c>
    </row>
    <row r="42" spans="1:34" ht="13.5">
      <c r="A42" s="12"/>
      <c r="B42" s="189" t="s">
        <v>302</v>
      </c>
      <c r="C42" s="398"/>
      <c r="D42" s="398" t="e">
        <f t="shared" ref="D42:G42" si="18">IF(C41&lt;0,(D41-C41)/-C41,(D41-C41)/C41)</f>
        <v>#N/A</v>
      </c>
      <c r="E42" s="398" t="e">
        <f t="shared" si="18"/>
        <v>#N/A</v>
      </c>
      <c r="F42" s="398">
        <f t="shared" si="18"/>
        <v>0.40350883773761903</v>
      </c>
      <c r="G42" s="398">
        <f t="shared" si="18"/>
        <v>5.2073494824344153E-2</v>
      </c>
      <c r="H42" s="398">
        <f>IF(G41&lt;0,(H41-G41)/-G41,(H41-G41)/G41)</f>
        <v>-0.17573512187998744</v>
      </c>
      <c r="I42" s="398">
        <f>IF(H41&lt;0,(I41-H41)/-H41,(I41-H41)/H41)</f>
        <v>-0.32721671309275407</v>
      </c>
      <c r="J42" s="398">
        <f>IF(I41&lt;0,(J41-I41)/-I41,(J41-I41)/I41)</f>
        <v>0</v>
      </c>
      <c r="K42" s="398">
        <f>IF(J41&lt;0,(K41-J41)/-J41,(K41-J41)/J41)</f>
        <v>0</v>
      </c>
    </row>
    <row r="43" spans="1:34">
      <c r="A43" s="12"/>
      <c r="B43" s="22" t="s">
        <v>304</v>
      </c>
      <c r="C43" s="399" t="e">
        <f t="shared" ref="C43:E43" si="19">C38+C41</f>
        <v>#N/A</v>
      </c>
      <c r="D43" s="399" t="e">
        <f t="shared" si="19"/>
        <v>#N/A</v>
      </c>
      <c r="E43" s="399">
        <f t="shared" si="19"/>
        <v>29760.895586405863</v>
      </c>
      <c r="F43" s="399">
        <f t="shared" ref="F43:K43" si="20">F38+F41</f>
        <v>34314.49975112651</v>
      </c>
      <c r="G43" s="399">
        <f t="shared" si="20"/>
        <v>38214.675799920427</v>
      </c>
      <c r="H43" s="399">
        <f t="shared" si="20"/>
        <v>34687.34635467019</v>
      </c>
      <c r="I43" s="399">
        <f t="shared" si="20"/>
        <v>34909.235190878644</v>
      </c>
      <c r="J43" s="399">
        <f t="shared" si="20"/>
        <v>34909.235190878644</v>
      </c>
      <c r="K43" s="399">
        <f t="shared" si="20"/>
        <v>34909.235190878644</v>
      </c>
    </row>
    <row r="44" spans="1:34" ht="14" thickBot="1">
      <c r="A44" s="12"/>
      <c r="B44" s="189" t="s">
        <v>302</v>
      </c>
      <c r="C44" s="400"/>
      <c r="D44" s="400" t="e">
        <f t="shared" ref="D44:K44" si="21">(D43-C43)/C43</f>
        <v>#N/A</v>
      </c>
      <c r="E44" s="400" t="e">
        <f t="shared" si="21"/>
        <v>#N/A</v>
      </c>
      <c r="F44" s="400">
        <f t="shared" si="21"/>
        <v>0.15300628811723785</v>
      </c>
      <c r="G44" s="400">
        <f t="shared" si="21"/>
        <v>0.11365970878435663</v>
      </c>
      <c r="H44" s="400">
        <f t="shared" si="21"/>
        <v>-9.2303005884916661E-2</v>
      </c>
      <c r="I44" s="400">
        <f t="shared" si="21"/>
        <v>6.3968236122674766E-3</v>
      </c>
      <c r="J44" s="400">
        <f t="shared" si="21"/>
        <v>0</v>
      </c>
      <c r="K44" s="400">
        <f t="shared" si="21"/>
        <v>0</v>
      </c>
    </row>
    <row r="45" spans="1:34">
      <c r="A45" s="12"/>
      <c r="B45" s="189" t="s">
        <v>1879</v>
      </c>
      <c r="C45" s="347"/>
      <c r="D45" s="347"/>
      <c r="E45" s="347"/>
      <c r="F45" s="347"/>
      <c r="G45" s="347"/>
      <c r="H45" s="347"/>
      <c r="I45" s="347"/>
    </row>
    <row r="46" spans="1:34" ht="13.5">
      <c r="A46" s="12"/>
      <c r="B46" s="189" t="s">
        <v>1880</v>
      </c>
      <c r="C46" s="401" t="e">
        <f t="shared" ref="C46" si="22">C43/C48</f>
        <v>#N/A</v>
      </c>
      <c r="D46" s="401" t="e">
        <f t="shared" ref="D46:K46" si="23">D43/D48</f>
        <v>#N/A</v>
      </c>
      <c r="E46" s="401">
        <f t="shared" si="23"/>
        <v>0.94583276798874305</v>
      </c>
      <c r="F46" s="401">
        <f t="shared" si="23"/>
        <v>0.94410299804946496</v>
      </c>
      <c r="G46" s="401">
        <f t="shared" si="23"/>
        <v>0.9423860644410651</v>
      </c>
      <c r="H46" s="401">
        <f t="shared" si="23"/>
        <v>0.94536310294115977</v>
      </c>
      <c r="I46" s="401">
        <f t="shared" si="23"/>
        <v>0.94744436812543065</v>
      </c>
      <c r="J46" s="401">
        <f t="shared" si="23"/>
        <v>0.94744436812543065</v>
      </c>
      <c r="K46" s="401">
        <f t="shared" si="23"/>
        <v>0.94744436812543065</v>
      </c>
    </row>
    <row r="47" spans="1:34" ht="6.75" customHeight="1">
      <c r="A47" s="12"/>
      <c r="B47" s="22"/>
      <c r="C47" s="335"/>
      <c r="D47" s="335"/>
      <c r="E47" s="335"/>
      <c r="F47" s="335"/>
      <c r="G47" s="335"/>
      <c r="H47" s="335"/>
      <c r="I47" s="335"/>
    </row>
    <row r="48" spans="1:34">
      <c r="A48" s="12"/>
      <c r="B48" s="924" t="s">
        <v>1881</v>
      </c>
      <c r="C48" s="336">
        <f t="shared" ref="C48:H48" si="24">C6</f>
        <v>30692.702024069331</v>
      </c>
      <c r="D48" s="336">
        <f t="shared" si="24"/>
        <v>31928.458748805362</v>
      </c>
      <c r="E48" s="336">
        <f t="shared" si="24"/>
        <v>31465.282863577067</v>
      </c>
      <c r="F48" s="336">
        <f t="shared" si="24"/>
        <v>36346.140010169365</v>
      </c>
      <c r="G48" s="336">
        <f t="shared" si="24"/>
        <v>40550.977186388875</v>
      </c>
      <c r="H48" s="336">
        <f t="shared" si="24"/>
        <v>36692.088200557962</v>
      </c>
      <c r="I48" s="336">
        <f t="shared" ref="I48:K48" si="25">I6</f>
        <v>36845.683361808813</v>
      </c>
      <c r="J48" s="336">
        <f t="shared" si="25"/>
        <v>36845.683361808813</v>
      </c>
      <c r="K48" s="336">
        <f t="shared" si="25"/>
        <v>36845.683361808813</v>
      </c>
    </row>
    <row r="49" spans="1:11" ht="13.5" thickBot="1">
      <c r="A49" s="12"/>
      <c r="B49" s="189" t="s">
        <v>302</v>
      </c>
      <c r="C49" s="402"/>
      <c r="D49" s="402">
        <f t="shared" ref="D49:K49" si="26">(D48-C48)/C48</f>
        <v>4.0262233144769927E-2</v>
      </c>
      <c r="E49" s="402">
        <f t="shared" si="26"/>
        <v>-1.4506678473655572E-2</v>
      </c>
      <c r="F49" s="402">
        <f t="shared" si="26"/>
        <v>0.15511880721854815</v>
      </c>
      <c r="G49" s="402">
        <f t="shared" si="26"/>
        <v>0.11568868592491606</v>
      </c>
      <c r="H49" s="402">
        <f t="shared" si="26"/>
        <v>-9.5161430218903983E-2</v>
      </c>
      <c r="I49" s="402">
        <f t="shared" si="26"/>
        <v>4.186056689150632E-3</v>
      </c>
      <c r="J49" s="402">
        <f t="shared" si="26"/>
        <v>0</v>
      </c>
      <c r="K49" s="402">
        <f t="shared" si="26"/>
        <v>0</v>
      </c>
    </row>
    <row r="50" spans="1:11" ht="8.25" customHeight="1">
      <c r="A50" s="12"/>
      <c r="B50" s="22"/>
      <c r="C50" s="335"/>
      <c r="D50" s="335"/>
      <c r="E50" s="335"/>
      <c r="F50" s="335"/>
      <c r="G50" s="335"/>
      <c r="H50" s="335"/>
    </row>
    <row r="51" spans="1:11">
      <c r="A51" s="12"/>
      <c r="B51" s="22" t="s">
        <v>305</v>
      </c>
      <c r="C51" s="339">
        <f t="shared" ref="C51:H51" si="27">C9</f>
        <v>153172.37637637637</v>
      </c>
      <c r="D51" s="339">
        <f t="shared" si="27"/>
        <v>163996.97697697696</v>
      </c>
      <c r="E51" s="339">
        <f t="shared" si="27"/>
        <v>158118</v>
      </c>
      <c r="F51" s="339">
        <f t="shared" si="27"/>
        <v>176810.02900000001</v>
      </c>
      <c r="G51" s="339">
        <f t="shared" si="27"/>
        <v>196667.09050514281</v>
      </c>
      <c r="H51" s="339">
        <f t="shared" si="27"/>
        <v>179482.67958791932</v>
      </c>
      <c r="I51" s="339">
        <f t="shared" ref="I51:K51" si="28">I9</f>
        <v>188322.8377981385</v>
      </c>
      <c r="J51" s="339">
        <f t="shared" si="28"/>
        <v>188322.8377981385</v>
      </c>
      <c r="K51" s="339">
        <f t="shared" si="28"/>
        <v>188322.8377981385</v>
      </c>
    </row>
    <row r="52" spans="1:11">
      <c r="A52" s="12"/>
      <c r="B52" s="22" t="s">
        <v>306</v>
      </c>
      <c r="C52" s="339" t="e">
        <f t="shared" ref="C52:H52" si="29">C33</f>
        <v>#N/A</v>
      </c>
      <c r="D52" s="339" t="e">
        <f t="shared" si="29"/>
        <v>#N/A</v>
      </c>
      <c r="E52" s="339">
        <f t="shared" si="29"/>
        <v>19346.22038173816</v>
      </c>
      <c r="F52" s="339">
        <f t="shared" si="29"/>
        <v>27052.414021442597</v>
      </c>
      <c r="G52" s="339">
        <f t="shared" si="29"/>
        <v>28188.06190158899</v>
      </c>
      <c r="H52" s="339">
        <f t="shared" si="29"/>
        <v>23056.735776999925</v>
      </c>
      <c r="I52" s="339">
        <f t="shared" ref="I52:K52" si="30">I33</f>
        <v>15512.186481401899</v>
      </c>
      <c r="J52" s="339">
        <f t="shared" si="30"/>
        <v>15512.186481401899</v>
      </c>
      <c r="K52" s="339">
        <f t="shared" si="30"/>
        <v>15512.186481401899</v>
      </c>
    </row>
    <row r="53" spans="1:11">
      <c r="A53" s="12"/>
      <c r="B53" s="22" t="s">
        <v>307</v>
      </c>
      <c r="C53" s="403" t="e">
        <f t="shared" ref="C53:E53" si="31">SUM(C51:C52)</f>
        <v>#N/A</v>
      </c>
      <c r="D53" s="403" t="e">
        <f t="shared" si="31"/>
        <v>#N/A</v>
      </c>
      <c r="E53" s="403">
        <f t="shared" si="31"/>
        <v>177464.22038173815</v>
      </c>
      <c r="F53" s="403">
        <f t="shared" ref="F53:G53" si="32">SUM(F51:F52)</f>
        <v>203862.4430214426</v>
      </c>
      <c r="G53" s="403">
        <f t="shared" si="32"/>
        <v>224855.1524067318</v>
      </c>
      <c r="H53" s="403">
        <f t="shared" ref="H53:I53" si="33">SUM(H51:H52)</f>
        <v>202539.41536491926</v>
      </c>
      <c r="I53" s="403">
        <f t="shared" si="33"/>
        <v>203835.0242795404</v>
      </c>
      <c r="J53" s="403">
        <f t="shared" ref="J53:K53" si="34">SUM(J51:J52)</f>
        <v>203835.0242795404</v>
      </c>
      <c r="K53" s="403">
        <f t="shared" si="34"/>
        <v>203835.0242795404</v>
      </c>
    </row>
    <row r="54" spans="1:11" ht="13.5">
      <c r="A54" s="12"/>
      <c r="B54" s="189" t="s">
        <v>302</v>
      </c>
      <c r="C54" s="398"/>
      <c r="D54" s="398" t="e">
        <f t="shared" ref="D54:K54" si="35">(D53-C53)/C53</f>
        <v>#N/A</v>
      </c>
      <c r="E54" s="398" t="e">
        <f t="shared" si="35"/>
        <v>#N/A</v>
      </c>
      <c r="F54" s="398">
        <f t="shared" si="35"/>
        <v>0.14875236587363916</v>
      </c>
      <c r="G54" s="398">
        <f t="shared" si="35"/>
        <v>0.10297487400894706</v>
      </c>
      <c r="H54" s="398">
        <f t="shared" si="35"/>
        <v>-9.9244944147183517E-2</v>
      </c>
      <c r="I54" s="398">
        <f t="shared" si="35"/>
        <v>6.396823612267376E-3</v>
      </c>
      <c r="J54" s="398">
        <f t="shared" si="35"/>
        <v>0</v>
      </c>
      <c r="K54" s="398">
        <f t="shared" si="35"/>
        <v>0</v>
      </c>
    </row>
    <row r="55" spans="1:11">
      <c r="A55" s="12"/>
      <c r="B55" s="10"/>
      <c r="C55" s="10"/>
      <c r="D55" s="10"/>
      <c r="E55" s="10"/>
      <c r="F55" s="10"/>
      <c r="G55" s="10"/>
      <c r="H55" s="10"/>
      <c r="I55" s="10"/>
      <c r="J55" s="10"/>
      <c r="K55" s="10"/>
    </row>
    <row r="56" spans="1:11">
      <c r="A56" s="12"/>
      <c r="B56" s="10"/>
      <c r="C56" s="10"/>
      <c r="D56" s="10"/>
      <c r="E56" s="10"/>
      <c r="F56" s="10"/>
      <c r="G56" s="10"/>
      <c r="H56" s="10"/>
      <c r="I56" s="10"/>
      <c r="J56" s="10"/>
      <c r="K56" s="10"/>
    </row>
    <row r="57" spans="1:11">
      <c r="A57" s="12"/>
      <c r="B57" s="10"/>
      <c r="C57" s="10"/>
      <c r="D57" s="10"/>
      <c r="E57" s="10"/>
      <c r="F57" s="10"/>
      <c r="G57" s="10"/>
      <c r="H57" s="10"/>
      <c r="I57" s="10"/>
      <c r="J57" s="10"/>
      <c r="K57" s="10"/>
    </row>
    <row r="58" spans="1:11">
      <c r="A58" s="12"/>
      <c r="B58" s="10"/>
      <c r="C58" s="10"/>
      <c r="D58" s="10"/>
      <c r="E58" s="10"/>
      <c r="F58" s="10"/>
      <c r="G58" s="10"/>
      <c r="H58" s="10"/>
      <c r="I58" s="10"/>
      <c r="J58" s="10"/>
      <c r="K58" s="10"/>
    </row>
    <row r="59" spans="1:11">
      <c r="A59" s="12"/>
      <c r="B59" s="10"/>
      <c r="C59" s="10"/>
      <c r="D59" s="10"/>
      <c r="E59" s="10"/>
      <c r="F59" s="10"/>
      <c r="G59" s="10"/>
      <c r="H59" s="10"/>
      <c r="I59" s="10"/>
      <c r="J59" s="10"/>
      <c r="K59" s="10"/>
    </row>
    <row r="60" spans="1:11">
      <c r="A60" s="12"/>
      <c r="B60" s="10"/>
      <c r="C60" s="10"/>
      <c r="D60" s="10"/>
      <c r="E60" s="10"/>
      <c r="F60" s="10"/>
      <c r="G60" s="10"/>
      <c r="H60" s="10"/>
      <c r="I60" s="10"/>
      <c r="J60" s="10"/>
      <c r="K60" s="10"/>
    </row>
    <row r="61" spans="1:11">
      <c r="A61" s="12"/>
      <c r="C61" s="530">
        <f t="shared" ref="C61:H61" si="36">C1</f>
        <v>2018</v>
      </c>
      <c r="D61" s="530">
        <f t="shared" si="36"/>
        <v>2019</v>
      </c>
      <c r="E61" s="530">
        <f t="shared" si="36"/>
        <v>2020</v>
      </c>
      <c r="F61" s="530">
        <f t="shared" si="36"/>
        <v>2021</v>
      </c>
      <c r="G61" s="530">
        <f t="shared" si="36"/>
        <v>2022</v>
      </c>
      <c r="H61" s="530">
        <f t="shared" si="36"/>
        <v>2023</v>
      </c>
      <c r="I61" s="530">
        <f t="shared" ref="I61:K61" si="37">I1</f>
        <v>2024</v>
      </c>
      <c r="J61" s="530">
        <f t="shared" si="37"/>
        <v>2025</v>
      </c>
      <c r="K61" s="530">
        <f t="shared" si="37"/>
        <v>2026</v>
      </c>
    </row>
    <row r="62" spans="1:11">
      <c r="A62" s="12"/>
      <c r="B62" s="7" t="s">
        <v>745</v>
      </c>
      <c r="C62" s="11" t="e">
        <f t="shared" ref="C62" si="38">C38</f>
        <v>#N/A</v>
      </c>
      <c r="D62" s="11" t="e">
        <f t="shared" ref="D62:E62" si="39">D38</f>
        <v>#N/A</v>
      </c>
      <c r="E62" s="11">
        <f t="shared" si="39"/>
        <v>26516.518530940801</v>
      </c>
      <c r="F62" s="11">
        <f t="shared" ref="F62:G62" si="40">F38</f>
        <v>29760.987880828143</v>
      </c>
      <c r="G62" s="11">
        <f t="shared" si="40"/>
        <v>33424.046652811492</v>
      </c>
      <c r="H62" s="11">
        <f t="shared" ref="H62:K62" si="41">H38</f>
        <v>30738.599004610263</v>
      </c>
      <c r="I62" s="11">
        <f t="shared" si="41"/>
        <v>32252.583969539046</v>
      </c>
      <c r="J62" s="11">
        <f t="shared" si="41"/>
        <v>32252.583969539046</v>
      </c>
      <c r="K62" s="11">
        <f t="shared" si="41"/>
        <v>32252.583969539046</v>
      </c>
    </row>
    <row r="63" spans="1:11">
      <c r="A63" s="12"/>
      <c r="B63" s="7" t="s">
        <v>311</v>
      </c>
      <c r="C63" s="1137" t="e">
        <f t="shared" ref="C63:E63" si="42">+C62/C66</f>
        <v>#N/A</v>
      </c>
      <c r="D63" s="1137" t="e">
        <f t="shared" si="42"/>
        <v>#N/A</v>
      </c>
      <c r="E63" s="1137">
        <f t="shared" si="42"/>
        <v>0.84272303051930431</v>
      </c>
      <c r="F63" s="1137">
        <f t="shared" ref="F63:G63" si="43">+F62/F66</f>
        <v>0.81882114228639546</v>
      </c>
      <c r="G63" s="1137">
        <f t="shared" si="43"/>
        <v>0.82424762538226648</v>
      </c>
      <c r="H63" s="1137">
        <f t="shared" ref="H63:J63" si="44">+H62/H66</f>
        <v>0.83774460686439844</v>
      </c>
      <c r="I63" s="1137">
        <f t="shared" si="44"/>
        <v>0.87534226608942223</v>
      </c>
      <c r="J63" s="1137">
        <f t="shared" si="44"/>
        <v>0.87534226608942223</v>
      </c>
      <c r="K63" s="1137">
        <f>+K62/K66</f>
        <v>0.87534226608942223</v>
      </c>
    </row>
    <row r="64" spans="1:11">
      <c r="A64" s="12"/>
      <c r="B64" s="7" t="s">
        <v>308</v>
      </c>
      <c r="C64" s="11" t="e">
        <f>C41</f>
        <v>#N/A</v>
      </c>
      <c r="D64" s="11" t="e">
        <f t="shared" ref="D64:E64" si="45">D41</f>
        <v>#N/A</v>
      </c>
      <c r="E64" s="11">
        <f t="shared" si="45"/>
        <v>3244.3770554650609</v>
      </c>
      <c r="F64" s="11">
        <f t="shared" ref="F64:G64" si="46">F41</f>
        <v>4553.5118702983664</v>
      </c>
      <c r="G64" s="11">
        <f t="shared" si="46"/>
        <v>4790.629147108938</v>
      </c>
      <c r="H64" s="11">
        <f t="shared" ref="H64:K64" si="47">H41</f>
        <v>3948.7473500599285</v>
      </c>
      <c r="I64" s="11">
        <f t="shared" si="47"/>
        <v>2656.6512213395958</v>
      </c>
      <c r="J64" s="11">
        <f t="shared" si="47"/>
        <v>2656.6512213395958</v>
      </c>
      <c r="K64" s="11">
        <f t="shared" si="47"/>
        <v>2656.6512213395958</v>
      </c>
    </row>
    <row r="65" spans="1:11">
      <c r="A65" s="12"/>
      <c r="C65" s="11"/>
      <c r="D65" s="11"/>
      <c r="E65" s="11"/>
      <c r="F65" s="11"/>
      <c r="G65" s="11"/>
      <c r="H65" s="11"/>
      <c r="I65" s="11"/>
      <c r="J65" s="11"/>
      <c r="K65" s="11"/>
    </row>
    <row r="66" spans="1:11">
      <c r="A66" s="12"/>
      <c r="B66" s="7" t="s">
        <v>309</v>
      </c>
      <c r="C66" s="11">
        <f t="shared" ref="C66" si="48">C48</f>
        <v>30692.702024069331</v>
      </c>
      <c r="D66" s="11">
        <f t="shared" ref="D66:E66" si="49">D48</f>
        <v>31928.458748805362</v>
      </c>
      <c r="E66" s="11">
        <f t="shared" si="49"/>
        <v>31465.282863577067</v>
      </c>
      <c r="F66" s="11">
        <f t="shared" ref="F66:G66" si="50">F48</f>
        <v>36346.140010169365</v>
      </c>
      <c r="G66" s="11">
        <f t="shared" si="50"/>
        <v>40550.977186388875</v>
      </c>
      <c r="H66" s="11">
        <f t="shared" ref="H66:K66" si="51">H48</f>
        <v>36692.088200557962</v>
      </c>
      <c r="I66" s="11">
        <f t="shared" si="51"/>
        <v>36845.683361808813</v>
      </c>
      <c r="J66" s="11">
        <f t="shared" si="51"/>
        <v>36845.683361808813</v>
      </c>
      <c r="K66" s="11">
        <f t="shared" si="51"/>
        <v>36845.683361808813</v>
      </c>
    </row>
    <row r="67" spans="1:11">
      <c r="A67" s="12"/>
      <c r="B67" s="7" t="s">
        <v>310</v>
      </c>
      <c r="C67" s="11" t="e">
        <f t="shared" ref="C67" si="52">C62+C64</f>
        <v>#N/A</v>
      </c>
      <c r="D67" s="11" t="e">
        <f t="shared" ref="D67:E67" si="53">D62+D64</f>
        <v>#N/A</v>
      </c>
      <c r="E67" s="11">
        <f t="shared" si="53"/>
        <v>29760.895586405863</v>
      </c>
      <c r="F67" s="11">
        <f t="shared" ref="F67:G67" si="54">F62+F64</f>
        <v>34314.49975112651</v>
      </c>
      <c r="G67" s="11">
        <f t="shared" si="54"/>
        <v>38214.675799920427</v>
      </c>
      <c r="H67" s="11">
        <f t="shared" ref="H67:K67" si="55">H62+H64</f>
        <v>34687.34635467019</v>
      </c>
      <c r="I67" s="11">
        <f t="shared" si="55"/>
        <v>34909.235190878644</v>
      </c>
      <c r="J67" s="11">
        <f t="shared" si="55"/>
        <v>34909.235190878644</v>
      </c>
      <c r="K67" s="11">
        <f t="shared" si="55"/>
        <v>34909.235190878644</v>
      </c>
    </row>
    <row r="68" spans="1:11">
      <c r="A68" s="12"/>
      <c r="B68" s="7" t="s">
        <v>311</v>
      </c>
      <c r="C68" s="1137" t="e">
        <f t="shared" ref="C68:E68" si="56">+C67/C66</f>
        <v>#N/A</v>
      </c>
      <c r="D68" s="1137" t="e">
        <f t="shared" si="56"/>
        <v>#N/A</v>
      </c>
      <c r="E68" s="1137">
        <f t="shared" si="56"/>
        <v>0.94583276798874305</v>
      </c>
      <c r="F68" s="1137">
        <f t="shared" ref="F68:G68" si="57">+F67/F66</f>
        <v>0.94410299804946496</v>
      </c>
      <c r="G68" s="1137">
        <f t="shared" si="57"/>
        <v>0.9423860644410651</v>
      </c>
      <c r="H68" s="1137">
        <f t="shared" ref="H68:K68" si="58">+H67/H66</f>
        <v>0.94536310294115977</v>
      </c>
      <c r="I68" s="1137">
        <f t="shared" si="58"/>
        <v>0.94744436812543065</v>
      </c>
      <c r="J68" s="1137">
        <f t="shared" si="58"/>
        <v>0.94744436812543065</v>
      </c>
      <c r="K68" s="1137">
        <f t="shared" si="58"/>
        <v>0.94744436812543065</v>
      </c>
    </row>
    <row r="69" spans="1:11">
      <c r="A69" s="12"/>
      <c r="B69" s="10"/>
      <c r="C69" s="10"/>
      <c r="D69" s="10"/>
      <c r="E69" s="10"/>
      <c r="F69" s="10"/>
      <c r="G69" s="10"/>
      <c r="H69" s="10"/>
      <c r="I69" s="10"/>
      <c r="J69" s="10"/>
      <c r="K69" s="10"/>
    </row>
    <row r="70" spans="1:11">
      <c r="A70" s="12"/>
      <c r="B70" s="10"/>
      <c r="C70" s="10"/>
      <c r="D70" s="10"/>
      <c r="E70" s="10"/>
      <c r="F70" s="10"/>
      <c r="G70" s="10"/>
      <c r="H70" s="10"/>
      <c r="I70" s="10"/>
      <c r="J70" s="10"/>
      <c r="K70" s="10"/>
    </row>
    <row r="71" spans="1:11">
      <c r="A71" s="12"/>
      <c r="B71" s="10"/>
      <c r="C71" s="10"/>
      <c r="D71" s="10"/>
      <c r="E71" s="10"/>
      <c r="F71" s="10"/>
      <c r="G71" s="10"/>
      <c r="H71" s="10"/>
      <c r="I71" s="10"/>
      <c r="J71" s="10"/>
      <c r="K71" s="10"/>
    </row>
    <row r="72" spans="1:11">
      <c r="A72" s="12"/>
      <c r="B72" s="10"/>
      <c r="C72" s="10"/>
      <c r="D72" s="10"/>
      <c r="E72" s="10"/>
      <c r="F72" s="10"/>
      <c r="G72" s="10"/>
      <c r="H72" s="10"/>
      <c r="I72" s="10"/>
      <c r="J72" s="10"/>
      <c r="K72" s="10"/>
    </row>
    <row r="73" spans="1:11" s="335" customFormat="1"/>
    <row r="74" spans="1:11" s="335" customFormat="1"/>
    <row r="75" spans="1:11" s="335" customFormat="1"/>
    <row r="76" spans="1:11" s="335" customFormat="1"/>
    <row r="77" spans="1:11" s="335" customFormat="1"/>
    <row r="78" spans="1:11" s="335" customFormat="1"/>
    <row r="79" spans="1:11" s="335" customFormat="1"/>
    <row r="80" spans="1:11" s="335" customFormat="1"/>
    <row r="81" s="335" customFormat="1"/>
    <row r="82" s="335" customFormat="1"/>
    <row r="83" s="335" customFormat="1"/>
    <row r="84" s="335" customFormat="1"/>
    <row r="85" s="335" customFormat="1"/>
    <row r="86" s="335" customFormat="1"/>
    <row r="87" s="335" customFormat="1"/>
    <row r="88" s="335" customFormat="1"/>
    <row r="89" s="335" customFormat="1"/>
    <row r="90" s="335" customFormat="1"/>
    <row r="91" s="335" customFormat="1"/>
    <row r="92" s="335" customFormat="1"/>
    <row r="93" s="335" customFormat="1"/>
    <row r="94" s="335" customFormat="1"/>
    <row r="95" s="335" customFormat="1"/>
    <row r="96" s="335" customFormat="1"/>
    <row r="97" s="335" customFormat="1"/>
    <row r="98" s="335" customFormat="1"/>
    <row r="99" s="335" customFormat="1"/>
    <row r="100" s="335" customFormat="1"/>
    <row r="101" s="335" customFormat="1"/>
    <row r="102" s="335" customFormat="1"/>
    <row r="103" s="335" customFormat="1"/>
    <row r="104" s="335" customFormat="1"/>
    <row r="105" s="335" customFormat="1"/>
    <row r="106" s="335" customFormat="1"/>
    <row r="107" s="335" customFormat="1"/>
    <row r="108" s="335" customFormat="1"/>
    <row r="109" s="335" customFormat="1"/>
    <row r="110" s="335" customFormat="1"/>
    <row r="111" s="335" customFormat="1"/>
    <row r="112" s="335" customFormat="1"/>
    <row r="113" s="335" customFormat="1"/>
    <row r="114" s="335" customFormat="1"/>
    <row r="115" s="335" customFormat="1"/>
    <row r="116" s="335" customFormat="1"/>
    <row r="117" s="335" customFormat="1"/>
    <row r="118" s="335" customFormat="1"/>
    <row r="119" s="335" customFormat="1"/>
    <row r="120" s="335" customFormat="1"/>
    <row r="121" s="335" customFormat="1"/>
    <row r="122" s="335" customFormat="1"/>
    <row r="123" s="335" customFormat="1"/>
    <row r="124" s="335" customFormat="1"/>
    <row r="125" s="335" customFormat="1"/>
    <row r="126" s="335" customFormat="1"/>
    <row r="127" s="335" customFormat="1"/>
    <row r="128" s="335" customFormat="1"/>
    <row r="129" s="335" customFormat="1"/>
    <row r="130" s="335" customFormat="1"/>
    <row r="131" s="335" customFormat="1"/>
    <row r="132" s="335" customFormat="1"/>
    <row r="133" s="335" customFormat="1"/>
    <row r="134" s="335" customFormat="1"/>
    <row r="135" s="335" customFormat="1"/>
    <row r="136" s="335" customFormat="1"/>
    <row r="137" s="335" customFormat="1"/>
    <row r="138" s="335" customFormat="1"/>
    <row r="139" s="335" customFormat="1"/>
    <row r="140" s="335" customFormat="1"/>
    <row r="141" s="335" customFormat="1"/>
    <row r="142" s="335" customFormat="1"/>
    <row r="143" s="335" customFormat="1"/>
    <row r="144" s="335" customFormat="1"/>
    <row r="145" s="335" customFormat="1"/>
    <row r="146" s="335" customFormat="1"/>
    <row r="147" s="335" customFormat="1"/>
    <row r="148" s="335" customFormat="1"/>
    <row r="149" s="335" customFormat="1"/>
    <row r="150" s="335" customFormat="1"/>
    <row r="151" s="335" customFormat="1"/>
    <row r="152" s="335" customFormat="1"/>
    <row r="153" s="335" customFormat="1"/>
    <row r="154" s="335" customFormat="1"/>
    <row r="155" s="335" customFormat="1"/>
    <row r="156" s="335" customFormat="1"/>
    <row r="157" s="335" customFormat="1"/>
    <row r="158" s="335" customFormat="1"/>
    <row r="159" s="335" customFormat="1"/>
    <row r="160" s="335" customFormat="1"/>
    <row r="161" s="335" customFormat="1"/>
    <row r="162" s="335" customFormat="1"/>
    <row r="163" s="335" customFormat="1"/>
    <row r="164" s="335" customFormat="1"/>
    <row r="165" s="335" customFormat="1"/>
    <row r="166" s="335" customFormat="1"/>
    <row r="167" s="335" customFormat="1"/>
    <row r="168" s="335" customFormat="1"/>
    <row r="169" s="335" customFormat="1"/>
    <row r="170" s="335" customFormat="1"/>
    <row r="171" s="335" customFormat="1"/>
    <row r="172" s="335" customFormat="1"/>
    <row r="173" s="335" customFormat="1"/>
    <row r="174" s="335" customFormat="1"/>
    <row r="175" s="335" customFormat="1"/>
    <row r="176" s="335" customFormat="1"/>
    <row r="177" s="335" customFormat="1"/>
    <row r="178" s="335" customFormat="1"/>
    <row r="179" s="335" customFormat="1"/>
    <row r="180" s="335" customFormat="1"/>
    <row r="181" s="335" customFormat="1"/>
    <row r="182" s="335" customFormat="1"/>
    <row r="183" s="335" customFormat="1"/>
    <row r="184" s="335" customFormat="1"/>
    <row r="185" s="335" customFormat="1"/>
    <row r="186" s="335" customFormat="1"/>
    <row r="187" s="335" customFormat="1"/>
    <row r="188" s="335" customFormat="1"/>
    <row r="189" s="335" customFormat="1"/>
    <row r="190" s="335" customFormat="1"/>
    <row r="191" s="335" customFormat="1"/>
    <row r="192" s="335" customFormat="1"/>
    <row r="193" s="335" customFormat="1"/>
    <row r="194" s="335" customFormat="1"/>
    <row r="195" s="335" customFormat="1"/>
    <row r="196" s="335" customFormat="1"/>
    <row r="197" s="335" customFormat="1"/>
    <row r="198" s="335" customFormat="1"/>
    <row r="199" s="335" customFormat="1"/>
    <row r="200" s="335" customFormat="1"/>
    <row r="201" s="335" customFormat="1"/>
    <row r="202" s="335" customFormat="1"/>
    <row r="203" s="335" customFormat="1"/>
    <row r="204" s="335" customFormat="1"/>
    <row r="205" s="335" customFormat="1"/>
    <row r="206" s="335" customFormat="1"/>
    <row r="207" s="335" customFormat="1"/>
    <row r="208" s="335" customFormat="1"/>
    <row r="209" s="335" customFormat="1"/>
    <row r="210" s="335" customFormat="1"/>
    <row r="211" s="335" customFormat="1"/>
    <row r="212" s="335" customFormat="1"/>
    <row r="213" s="335" customFormat="1"/>
    <row r="214" s="335" customFormat="1"/>
    <row r="215" s="335" customFormat="1"/>
    <row r="216" s="335" customFormat="1"/>
    <row r="217" s="335" customFormat="1"/>
    <row r="218" s="335" customFormat="1"/>
    <row r="219" s="335" customFormat="1"/>
    <row r="220" s="335" customFormat="1"/>
    <row r="221" s="335" customFormat="1"/>
    <row r="222" s="335" customFormat="1"/>
    <row r="223" s="335" customFormat="1"/>
    <row r="224" s="335" customFormat="1"/>
    <row r="225" s="335" customFormat="1"/>
    <row r="226" s="335" customFormat="1"/>
    <row r="227" s="335" customFormat="1"/>
    <row r="228" s="335" customFormat="1"/>
    <row r="229" s="335" customFormat="1"/>
  </sheetData>
  <sheetProtection sheet="1" objects="1" scenarios="1"/>
  <mergeCells count="1">
    <mergeCell ref="G4:K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J9" sqref="J9"/>
      <selection pane="topRight" activeCell="J9" sqref="J9"/>
      <selection pane="bottomLeft" activeCell="J9" sqref="J9"/>
      <selection pane="bottomRight" activeCell="H5" sqref="H5"/>
    </sheetView>
  </sheetViews>
  <sheetFormatPr baseColWidth="10" defaultRowHeight="12.5"/>
  <cols>
    <col min="1" max="1" width="7.7265625" customWidth="1"/>
    <col min="2" max="2" width="25.81640625" customWidth="1"/>
    <col min="3" max="4" width="15" customWidth="1"/>
    <col min="5" max="5" width="17.453125" customWidth="1"/>
    <col min="6" max="7" width="15" customWidth="1"/>
    <col min="8" max="18" width="15.453125" customWidth="1"/>
    <col min="19" max="19" width="15.26953125" customWidth="1"/>
    <col min="20" max="20" width="12.81640625" customWidth="1"/>
  </cols>
  <sheetData>
    <row r="1" spans="1:20" ht="18">
      <c r="A1" s="628"/>
      <c r="B1" s="74" t="s">
        <v>719</v>
      </c>
      <c r="C1" s="814" t="s">
        <v>2484</v>
      </c>
      <c r="D1" s="628"/>
      <c r="E1" s="814" t="str">
        <f>+Inngang!E8</f>
        <v>HEIM (FRA 1.1.2020)</v>
      </c>
      <c r="F1" s="1062">
        <f>VLOOKUP(Inngang!$C$8,'Bef.fremskr. kommunenivå MMMM'!$A$5:$I$360,6,FALSE)</f>
        <v>5941</v>
      </c>
      <c r="G1" s="1151">
        <f>VLOOKUP(Inngang!$C$8,'Bef.fremskr. kommunenivå MMMM'!$A$5:$I$360,7,FALSE)</f>
        <v>5884</v>
      </c>
      <c r="H1" s="964">
        <f>VLOOKUP(Inngang!$C$8,'Bef.fremskr. kommunenivå MMMM'!$A$5:$I$360,8,FALSE)</f>
        <v>5839</v>
      </c>
      <c r="I1" s="628"/>
      <c r="J1" s="628"/>
      <c r="K1" s="628"/>
      <c r="L1" s="892"/>
      <c r="M1" s="892"/>
      <c r="N1" s="892"/>
      <c r="O1" s="892"/>
      <c r="P1" s="892"/>
      <c r="Q1" s="892"/>
      <c r="R1" s="892"/>
      <c r="S1" s="892"/>
    </row>
    <row r="2" spans="1:20" ht="18">
      <c r="A2" s="628" t="s">
        <v>2243</v>
      </c>
      <c r="B2" s="628"/>
      <c r="C2" s="628"/>
      <c r="D2" s="628"/>
      <c r="E2" s="628"/>
      <c r="F2" s="628"/>
      <c r="G2" s="628"/>
      <c r="H2" s="628"/>
      <c r="I2" s="628"/>
      <c r="J2" s="628"/>
      <c r="K2" s="628"/>
      <c r="L2" s="892"/>
      <c r="M2" s="892"/>
      <c r="N2" s="892"/>
      <c r="O2" s="895"/>
      <c r="P2" s="895"/>
      <c r="Q2" s="895"/>
      <c r="R2" s="895"/>
      <c r="S2" s="895"/>
      <c r="T2" s="895"/>
    </row>
    <row r="3" spans="1:20" ht="90" customHeight="1">
      <c r="A3" s="120" t="s">
        <v>775</v>
      </c>
      <c r="B3" s="120" t="s">
        <v>776</v>
      </c>
      <c r="C3" s="120" t="s">
        <v>1321</v>
      </c>
      <c r="D3" s="120" t="s">
        <v>1454</v>
      </c>
      <c r="E3" s="120" t="s">
        <v>1970</v>
      </c>
      <c r="F3" s="120" t="s">
        <v>2142</v>
      </c>
      <c r="G3" s="120" t="s">
        <v>2389</v>
      </c>
      <c r="H3" s="697" t="s">
        <v>1453</v>
      </c>
      <c r="I3" s="697" t="s">
        <v>1807</v>
      </c>
      <c r="J3" s="697" t="s">
        <v>2143</v>
      </c>
      <c r="K3" s="697" t="s">
        <v>2468</v>
      </c>
    </row>
    <row r="4" spans="1:20" ht="13">
      <c r="A4" s="121">
        <v>1</v>
      </c>
      <c r="B4" s="121">
        <v>2</v>
      </c>
      <c r="C4" s="121">
        <v>3</v>
      </c>
      <c r="D4" s="121">
        <v>4</v>
      </c>
      <c r="E4" s="121">
        <v>5</v>
      </c>
      <c r="F4" s="121">
        <v>6</v>
      </c>
      <c r="G4" s="121">
        <v>7</v>
      </c>
      <c r="H4" s="698">
        <v>8</v>
      </c>
      <c r="I4" s="698">
        <v>9</v>
      </c>
      <c r="J4" s="698">
        <v>10</v>
      </c>
      <c r="K4" s="698">
        <v>11</v>
      </c>
    </row>
    <row r="5" spans="1:20" ht="13">
      <c r="A5" s="755">
        <v>301</v>
      </c>
      <c r="B5" s="896" t="s">
        <v>823</v>
      </c>
      <c r="C5" s="290">
        <v>673469</v>
      </c>
      <c r="D5" s="290">
        <v>681071</v>
      </c>
      <c r="E5" s="290">
        <v>693494</v>
      </c>
      <c r="F5" s="290">
        <v>697010</v>
      </c>
      <c r="G5" s="290">
        <v>699827</v>
      </c>
      <c r="H5" s="290">
        <v>708667</v>
      </c>
      <c r="I5" s="290">
        <v>714800</v>
      </c>
      <c r="J5" s="290">
        <v>718419</v>
      </c>
      <c r="K5" s="289">
        <v>722538</v>
      </c>
      <c r="L5" s="289"/>
      <c r="M5" s="289"/>
      <c r="N5" s="289"/>
      <c r="O5" s="289"/>
      <c r="P5" s="289"/>
      <c r="Q5" s="289"/>
      <c r="R5" s="289"/>
      <c r="S5" s="289"/>
    </row>
    <row r="6" spans="1:20" ht="13">
      <c r="A6" s="755">
        <v>1101</v>
      </c>
      <c r="B6" s="756" t="s">
        <v>958</v>
      </c>
      <c r="C6" s="290">
        <v>14898</v>
      </c>
      <c r="D6" s="290">
        <v>14830</v>
      </c>
      <c r="E6" s="290">
        <v>14811</v>
      </c>
      <c r="F6" s="290">
        <v>14787</v>
      </c>
      <c r="G6" s="290">
        <v>14860</v>
      </c>
      <c r="H6" s="290">
        <v>14837</v>
      </c>
      <c r="I6" s="290">
        <v>14804</v>
      </c>
      <c r="J6" s="290">
        <v>14757</v>
      </c>
      <c r="K6" s="289">
        <v>14722</v>
      </c>
      <c r="L6" s="289"/>
      <c r="M6" s="289"/>
      <c r="N6" s="289"/>
      <c r="O6" s="289"/>
      <c r="P6" s="289"/>
      <c r="Q6" s="289"/>
      <c r="R6" s="289"/>
      <c r="S6" s="289"/>
    </row>
    <row r="7" spans="1:20" s="657" customFormat="1" ht="13">
      <c r="A7" s="755">
        <v>1103</v>
      </c>
      <c r="B7" s="756" t="s">
        <v>960</v>
      </c>
      <c r="C7" s="290">
        <v>141261</v>
      </c>
      <c r="D7" s="290">
        <v>142109</v>
      </c>
      <c r="E7" s="290">
        <v>143574</v>
      </c>
      <c r="F7" s="290">
        <v>144147</v>
      </c>
      <c r="G7" s="290">
        <v>144699</v>
      </c>
      <c r="H7" s="290">
        <v>146023</v>
      </c>
      <c r="I7" s="290">
        <v>146839</v>
      </c>
      <c r="J7" s="290">
        <v>147179</v>
      </c>
      <c r="K7" s="289">
        <v>147620</v>
      </c>
      <c r="L7" s="289"/>
      <c r="M7" s="289"/>
      <c r="N7" s="289"/>
      <c r="O7" s="289"/>
      <c r="P7" s="289"/>
      <c r="Q7" s="289"/>
      <c r="R7" s="289"/>
      <c r="S7" s="289"/>
    </row>
    <row r="8" spans="1:20" s="657" customFormat="1" ht="13">
      <c r="A8" s="755">
        <v>1106</v>
      </c>
      <c r="B8" s="756" t="s">
        <v>961</v>
      </c>
      <c r="C8" s="290">
        <v>37167</v>
      </c>
      <c r="D8" s="290">
        <v>37250</v>
      </c>
      <c r="E8" s="290">
        <v>37357</v>
      </c>
      <c r="F8" s="290">
        <v>37323</v>
      </c>
      <c r="G8" s="290">
        <v>37444</v>
      </c>
      <c r="H8" s="290">
        <v>37774</v>
      </c>
      <c r="I8" s="290">
        <v>37996</v>
      </c>
      <c r="J8" s="290">
        <v>38114</v>
      </c>
      <c r="K8" s="289">
        <v>38229</v>
      </c>
      <c r="L8" s="289"/>
      <c r="M8" s="289"/>
      <c r="N8" s="289"/>
      <c r="O8" s="289"/>
      <c r="P8" s="289"/>
      <c r="Q8" s="289"/>
      <c r="R8" s="289"/>
      <c r="S8" s="289"/>
    </row>
    <row r="9" spans="1:20" s="657" customFormat="1" ht="13">
      <c r="A9" s="755">
        <v>1108</v>
      </c>
      <c r="B9" s="756" t="s">
        <v>959</v>
      </c>
      <c r="C9" s="290">
        <v>77411</v>
      </c>
      <c r="D9" s="290">
        <v>78276</v>
      </c>
      <c r="E9" s="290">
        <v>79537</v>
      </c>
      <c r="F9" s="290">
        <v>80450</v>
      </c>
      <c r="G9" s="290">
        <v>81305</v>
      </c>
      <c r="H9" s="290">
        <v>82187</v>
      </c>
      <c r="I9" s="290">
        <v>82895</v>
      </c>
      <c r="J9" s="290">
        <v>83428</v>
      </c>
      <c r="K9" s="289">
        <v>83969</v>
      </c>
      <c r="L9" s="289"/>
      <c r="M9" s="289"/>
      <c r="N9" s="289"/>
      <c r="O9" s="289"/>
      <c r="P9" s="289"/>
      <c r="Q9" s="289"/>
      <c r="R9" s="289"/>
      <c r="S9" s="289"/>
    </row>
    <row r="10" spans="1:20" s="657" customFormat="1" ht="13">
      <c r="A10" s="755">
        <v>1111</v>
      </c>
      <c r="B10" s="756" t="s">
        <v>962</v>
      </c>
      <c r="C10" s="290">
        <v>3331</v>
      </c>
      <c r="D10" s="290">
        <v>3305</v>
      </c>
      <c r="E10" s="290">
        <v>3280</v>
      </c>
      <c r="F10" s="290">
        <v>3257</v>
      </c>
      <c r="G10" s="290">
        <v>3281</v>
      </c>
      <c r="H10" s="290">
        <v>3284</v>
      </c>
      <c r="I10" s="290">
        <v>3279</v>
      </c>
      <c r="J10" s="290">
        <v>3268</v>
      </c>
      <c r="K10" s="289">
        <v>3254</v>
      </c>
      <c r="L10" s="289"/>
      <c r="M10" s="289"/>
      <c r="N10" s="289"/>
      <c r="O10" s="289"/>
      <c r="P10" s="289"/>
      <c r="Q10" s="289"/>
      <c r="R10" s="289"/>
      <c r="S10" s="289"/>
    </row>
    <row r="11" spans="1:20" s="657" customFormat="1" ht="13">
      <c r="A11" s="755">
        <v>1112</v>
      </c>
      <c r="B11" s="756" t="s">
        <v>963</v>
      </c>
      <c r="C11" s="290">
        <v>3237</v>
      </c>
      <c r="D11" s="290">
        <v>3213</v>
      </c>
      <c r="E11" s="290">
        <v>3202</v>
      </c>
      <c r="F11" s="290">
        <v>3174</v>
      </c>
      <c r="G11" s="290">
        <v>3178</v>
      </c>
      <c r="H11" s="290">
        <v>3177</v>
      </c>
      <c r="I11" s="290">
        <v>3175</v>
      </c>
      <c r="J11" s="290">
        <v>3171</v>
      </c>
      <c r="K11" s="289">
        <v>3171</v>
      </c>
      <c r="L11" s="289"/>
      <c r="M11" s="289"/>
      <c r="N11" s="289"/>
      <c r="O11" s="289"/>
      <c r="P11" s="289"/>
      <c r="Q11" s="289"/>
      <c r="R11" s="289"/>
      <c r="S11" s="289"/>
    </row>
    <row r="12" spans="1:20" s="657" customFormat="1" ht="13">
      <c r="A12" s="755">
        <v>1114</v>
      </c>
      <c r="B12" s="756" t="s">
        <v>0</v>
      </c>
      <c r="C12" s="290">
        <v>2826</v>
      </c>
      <c r="D12" s="290">
        <v>2807</v>
      </c>
      <c r="E12" s="290">
        <v>2787</v>
      </c>
      <c r="F12" s="290">
        <v>2791</v>
      </c>
      <c r="G12" s="290">
        <v>2789</v>
      </c>
      <c r="H12" s="290">
        <v>2793</v>
      </c>
      <c r="I12" s="290">
        <v>2794</v>
      </c>
      <c r="J12" s="290">
        <v>2792</v>
      </c>
      <c r="K12" s="289">
        <v>2790</v>
      </c>
      <c r="L12" s="289"/>
      <c r="M12" s="289"/>
      <c r="N12" s="289"/>
      <c r="O12" s="289"/>
      <c r="P12" s="289"/>
      <c r="Q12" s="289"/>
      <c r="R12" s="289"/>
      <c r="S12" s="289"/>
    </row>
    <row r="13" spans="1:20" s="657" customFormat="1" ht="13">
      <c r="A13" s="755">
        <v>1119</v>
      </c>
      <c r="B13" s="756" t="s">
        <v>1</v>
      </c>
      <c r="C13" s="290">
        <v>18762</v>
      </c>
      <c r="D13" s="290">
        <v>18814</v>
      </c>
      <c r="E13" s="290">
        <v>18991</v>
      </c>
      <c r="F13" s="290">
        <v>19120</v>
      </c>
      <c r="G13" s="290">
        <v>19296</v>
      </c>
      <c r="H13" s="290">
        <v>19450</v>
      </c>
      <c r="I13" s="290">
        <v>19565</v>
      </c>
      <c r="J13" s="290">
        <v>19641</v>
      </c>
      <c r="K13" s="289">
        <v>19721</v>
      </c>
      <c r="L13" s="289"/>
      <c r="M13" s="289"/>
      <c r="N13" s="289"/>
      <c r="O13" s="289"/>
      <c r="P13" s="289"/>
      <c r="Q13" s="289"/>
      <c r="R13" s="289"/>
      <c r="S13" s="289"/>
    </row>
    <row r="14" spans="1:20" s="657" customFormat="1" ht="13">
      <c r="A14" s="755">
        <v>1120</v>
      </c>
      <c r="B14" s="756" t="s">
        <v>2</v>
      </c>
      <c r="C14" s="290">
        <v>19217</v>
      </c>
      <c r="D14" s="290">
        <v>19354</v>
      </c>
      <c r="E14" s="290">
        <v>19588</v>
      </c>
      <c r="F14" s="290">
        <v>19848</v>
      </c>
      <c r="G14" s="290">
        <v>20163</v>
      </c>
      <c r="H14" s="290">
        <v>20565</v>
      </c>
      <c r="I14" s="290">
        <v>20883</v>
      </c>
      <c r="J14" s="290">
        <v>21124</v>
      </c>
      <c r="K14" s="289">
        <v>21329</v>
      </c>
      <c r="L14" s="289"/>
      <c r="M14" s="289"/>
      <c r="N14" s="289"/>
      <c r="O14" s="289"/>
      <c r="P14" s="289"/>
      <c r="Q14" s="289"/>
      <c r="R14" s="289"/>
      <c r="S14" s="289"/>
    </row>
    <row r="15" spans="1:20" s="657" customFormat="1" ht="13">
      <c r="A15" s="755">
        <v>1121</v>
      </c>
      <c r="B15" s="756" t="s">
        <v>3</v>
      </c>
      <c r="C15" s="290">
        <v>18699</v>
      </c>
      <c r="D15" s="290">
        <v>18795</v>
      </c>
      <c r="E15" s="290">
        <v>18916</v>
      </c>
      <c r="F15" s="290">
        <v>19106</v>
      </c>
      <c r="G15" s="290">
        <v>19353</v>
      </c>
      <c r="H15" s="290">
        <v>19685</v>
      </c>
      <c r="I15" s="290">
        <v>19968</v>
      </c>
      <c r="J15" s="290">
        <v>20202</v>
      </c>
      <c r="K15" s="289">
        <v>20418</v>
      </c>
      <c r="L15" s="289"/>
      <c r="M15" s="289"/>
      <c r="N15" s="289"/>
      <c r="O15" s="289"/>
      <c r="P15" s="289"/>
      <c r="Q15" s="289"/>
      <c r="R15" s="289"/>
      <c r="S15" s="289"/>
    </row>
    <row r="16" spans="1:20" s="657" customFormat="1" ht="13">
      <c r="A16" s="755">
        <v>1122</v>
      </c>
      <c r="B16" s="756" t="s">
        <v>4</v>
      </c>
      <c r="C16" s="290">
        <v>11866</v>
      </c>
      <c r="D16" s="290">
        <v>11899</v>
      </c>
      <c r="E16" s="290">
        <v>12002</v>
      </c>
      <c r="F16" s="290">
        <v>12064</v>
      </c>
      <c r="G16" s="290">
        <v>12131</v>
      </c>
      <c r="H16" s="290">
        <v>12280</v>
      </c>
      <c r="I16" s="290">
        <v>12406</v>
      </c>
      <c r="J16" s="290">
        <v>12509</v>
      </c>
      <c r="K16" s="289">
        <v>12611</v>
      </c>
      <c r="L16" s="289"/>
      <c r="M16" s="289"/>
      <c r="N16" s="289"/>
      <c r="O16" s="289"/>
      <c r="P16" s="289"/>
      <c r="Q16" s="289"/>
      <c r="R16" s="289"/>
      <c r="S16" s="289"/>
    </row>
    <row r="17" spans="1:19" s="657" customFormat="1" ht="13">
      <c r="A17" s="755">
        <v>1124</v>
      </c>
      <c r="B17" s="756" t="s">
        <v>5</v>
      </c>
      <c r="C17" s="290">
        <v>26265</v>
      </c>
      <c r="D17" s="290">
        <v>26582</v>
      </c>
      <c r="E17" s="290">
        <v>27153</v>
      </c>
      <c r="F17" s="290">
        <v>27457</v>
      </c>
      <c r="G17" s="290">
        <v>27568</v>
      </c>
      <c r="H17" s="290">
        <v>27943</v>
      </c>
      <c r="I17" s="290">
        <v>28241</v>
      </c>
      <c r="J17" s="290">
        <v>28461</v>
      </c>
      <c r="K17" s="289">
        <v>28686</v>
      </c>
      <c r="L17" s="289"/>
      <c r="M17" s="289"/>
      <c r="N17" s="289"/>
      <c r="O17" s="289"/>
      <c r="P17" s="289"/>
      <c r="Q17" s="289"/>
      <c r="R17" s="289"/>
      <c r="S17" s="289"/>
    </row>
    <row r="18" spans="1:19" s="657" customFormat="1" ht="13">
      <c r="A18" s="755">
        <v>1127</v>
      </c>
      <c r="B18" s="756" t="s">
        <v>6</v>
      </c>
      <c r="C18" s="290">
        <v>10972</v>
      </c>
      <c r="D18" s="290">
        <v>11053</v>
      </c>
      <c r="E18" s="290">
        <v>11221</v>
      </c>
      <c r="F18" s="290">
        <v>11315</v>
      </c>
      <c r="G18" s="290">
        <v>11454</v>
      </c>
      <c r="H18" s="290">
        <v>11602</v>
      </c>
      <c r="I18" s="290">
        <v>11721</v>
      </c>
      <c r="J18" s="290">
        <v>11813</v>
      </c>
      <c r="K18" s="289">
        <v>11898</v>
      </c>
      <c r="L18" s="289"/>
      <c r="M18" s="289"/>
      <c r="N18" s="289"/>
      <c r="O18" s="289"/>
      <c r="P18" s="289"/>
      <c r="Q18" s="289"/>
      <c r="R18" s="289"/>
      <c r="S18" s="289"/>
    </row>
    <row r="19" spans="1:19" s="657" customFormat="1" ht="13">
      <c r="A19" s="755">
        <v>1130</v>
      </c>
      <c r="B19" s="756" t="s">
        <v>12</v>
      </c>
      <c r="C19" s="290">
        <v>12801</v>
      </c>
      <c r="D19" s="290">
        <v>12883</v>
      </c>
      <c r="E19" s="290">
        <v>12968</v>
      </c>
      <c r="F19" s="290">
        <v>13070</v>
      </c>
      <c r="G19" s="290">
        <v>13268</v>
      </c>
      <c r="H19" s="290">
        <v>13386</v>
      </c>
      <c r="I19" s="290">
        <v>13474</v>
      </c>
      <c r="J19" s="290">
        <v>13534</v>
      </c>
      <c r="K19" s="289">
        <v>13594</v>
      </c>
      <c r="L19" s="289"/>
      <c r="M19" s="289"/>
      <c r="N19" s="289"/>
      <c r="O19" s="289"/>
      <c r="P19" s="289"/>
      <c r="Q19" s="289"/>
      <c r="R19" s="289"/>
      <c r="S19" s="289"/>
    </row>
    <row r="20" spans="1:19" s="657" customFormat="1" ht="13">
      <c r="A20" s="755">
        <v>1133</v>
      </c>
      <c r="B20" s="756" t="s">
        <v>13</v>
      </c>
      <c r="C20" s="290">
        <v>2648</v>
      </c>
      <c r="D20" s="290">
        <v>2609</v>
      </c>
      <c r="E20" s="290">
        <v>2574</v>
      </c>
      <c r="F20" s="290">
        <v>2580</v>
      </c>
      <c r="G20" s="290">
        <v>2534</v>
      </c>
      <c r="H20" s="290">
        <v>2540</v>
      </c>
      <c r="I20" s="290">
        <v>2541</v>
      </c>
      <c r="J20" s="290">
        <v>2536</v>
      </c>
      <c r="K20" s="289">
        <v>2533</v>
      </c>
      <c r="L20" s="289"/>
      <c r="M20" s="289"/>
      <c r="N20" s="289"/>
      <c r="O20" s="289"/>
      <c r="P20" s="289"/>
      <c r="Q20" s="289"/>
      <c r="R20" s="289"/>
      <c r="S20" s="289"/>
    </row>
    <row r="21" spans="1:19" s="657" customFormat="1" ht="13">
      <c r="A21" s="755">
        <v>1134</v>
      </c>
      <c r="B21" s="756" t="s">
        <v>14</v>
      </c>
      <c r="C21" s="290">
        <v>3849</v>
      </c>
      <c r="D21" s="290">
        <v>3794</v>
      </c>
      <c r="E21" s="290">
        <v>3804</v>
      </c>
      <c r="F21" s="290">
        <v>3809</v>
      </c>
      <c r="G21" s="290">
        <v>3784</v>
      </c>
      <c r="H21" s="290">
        <v>3769</v>
      </c>
      <c r="I21" s="290">
        <v>3751</v>
      </c>
      <c r="J21" s="290">
        <v>3730</v>
      </c>
      <c r="K21" s="289">
        <v>3714</v>
      </c>
      <c r="L21" s="289"/>
      <c r="M21" s="289"/>
      <c r="N21" s="289"/>
      <c r="O21" s="289"/>
      <c r="P21" s="289"/>
      <c r="Q21" s="289"/>
      <c r="R21" s="289"/>
      <c r="S21" s="289"/>
    </row>
    <row r="22" spans="1:19" s="657" customFormat="1" ht="13">
      <c r="A22" s="755">
        <v>1135</v>
      </c>
      <c r="B22" s="756" t="s">
        <v>15</v>
      </c>
      <c r="C22" s="290">
        <v>4663</v>
      </c>
      <c r="D22" s="290">
        <v>4597</v>
      </c>
      <c r="E22" s="290">
        <v>4595</v>
      </c>
      <c r="F22" s="290">
        <v>4561</v>
      </c>
      <c r="G22" s="290">
        <v>4525</v>
      </c>
      <c r="H22" s="290">
        <v>4485</v>
      </c>
      <c r="I22" s="290">
        <v>4444</v>
      </c>
      <c r="J22" s="290">
        <v>4403</v>
      </c>
      <c r="K22" s="289">
        <v>4367</v>
      </c>
      <c r="L22" s="289"/>
      <c r="M22" s="289"/>
      <c r="N22" s="289"/>
      <c r="O22" s="289"/>
      <c r="P22" s="289"/>
      <c r="Q22" s="289"/>
      <c r="R22" s="289"/>
      <c r="S22" s="289"/>
    </row>
    <row r="23" spans="1:19" s="657" customFormat="1" ht="13">
      <c r="A23" s="755">
        <v>1144</v>
      </c>
      <c r="B23" s="756" t="s">
        <v>18</v>
      </c>
      <c r="C23" s="290">
        <v>542</v>
      </c>
      <c r="D23" s="290">
        <v>516</v>
      </c>
      <c r="E23" s="290">
        <v>517</v>
      </c>
      <c r="F23" s="290">
        <v>507</v>
      </c>
      <c r="G23" s="290">
        <v>523</v>
      </c>
      <c r="H23" s="290">
        <v>531</v>
      </c>
      <c r="I23" s="290">
        <v>537</v>
      </c>
      <c r="J23" s="290">
        <v>542</v>
      </c>
      <c r="K23" s="289">
        <v>547</v>
      </c>
      <c r="L23" s="289"/>
      <c r="M23" s="289"/>
      <c r="N23" s="289"/>
      <c r="O23" s="289"/>
      <c r="P23" s="289"/>
      <c r="Q23" s="289"/>
      <c r="R23" s="289"/>
      <c r="S23" s="289"/>
    </row>
    <row r="24" spans="1:19" s="657" customFormat="1" ht="13">
      <c r="A24" s="755">
        <v>1145</v>
      </c>
      <c r="B24" s="756" t="s">
        <v>19</v>
      </c>
      <c r="C24" s="290">
        <v>844</v>
      </c>
      <c r="D24" s="290">
        <v>840</v>
      </c>
      <c r="E24" s="290">
        <v>852</v>
      </c>
      <c r="F24" s="290">
        <v>859</v>
      </c>
      <c r="G24" s="290">
        <v>855</v>
      </c>
      <c r="H24" s="290">
        <v>846</v>
      </c>
      <c r="I24" s="290">
        <v>838</v>
      </c>
      <c r="J24" s="290">
        <v>832</v>
      </c>
      <c r="K24" s="289">
        <v>828</v>
      </c>
      <c r="L24" s="289"/>
      <c r="M24" s="289"/>
      <c r="N24" s="289"/>
      <c r="O24" s="289"/>
      <c r="P24" s="289"/>
      <c r="Q24" s="289"/>
      <c r="R24" s="289"/>
      <c r="S24" s="289"/>
    </row>
    <row r="25" spans="1:19" s="657" customFormat="1" ht="13">
      <c r="A25" s="755">
        <v>1146</v>
      </c>
      <c r="B25" s="756" t="s">
        <v>20</v>
      </c>
      <c r="C25" s="290">
        <v>11023</v>
      </c>
      <c r="D25" s="290">
        <v>11028</v>
      </c>
      <c r="E25" s="290">
        <v>11065</v>
      </c>
      <c r="F25" s="290">
        <v>11178</v>
      </c>
      <c r="G25" s="290">
        <v>11283</v>
      </c>
      <c r="H25" s="290">
        <v>11391</v>
      </c>
      <c r="I25" s="290">
        <v>11470</v>
      </c>
      <c r="J25" s="290">
        <v>11525</v>
      </c>
      <c r="K25" s="289">
        <v>11575</v>
      </c>
      <c r="L25" s="289"/>
      <c r="M25" s="289"/>
      <c r="N25" s="289"/>
      <c r="O25" s="289"/>
      <c r="P25" s="289"/>
      <c r="Q25" s="289"/>
      <c r="R25" s="289"/>
      <c r="S25" s="289"/>
    </row>
    <row r="26" spans="1:19" s="657" customFormat="1" ht="13">
      <c r="A26" s="755">
        <v>1149</v>
      </c>
      <c r="B26" s="756" t="s">
        <v>21</v>
      </c>
      <c r="C26" s="290">
        <v>42243</v>
      </c>
      <c r="D26" s="290">
        <v>42161</v>
      </c>
      <c r="E26" s="290">
        <v>42186</v>
      </c>
      <c r="F26" s="290">
        <v>42345</v>
      </c>
      <c r="G26" s="290">
        <v>42541</v>
      </c>
      <c r="H26" s="290">
        <v>42596</v>
      </c>
      <c r="I26" s="290">
        <v>42619</v>
      </c>
      <c r="J26" s="290">
        <v>42608</v>
      </c>
      <c r="K26" s="289">
        <v>42611</v>
      </c>
      <c r="L26" s="289"/>
      <c r="M26" s="289"/>
      <c r="N26" s="289"/>
      <c r="O26" s="289"/>
      <c r="P26" s="289"/>
      <c r="Q26" s="289"/>
      <c r="R26" s="289"/>
      <c r="S26" s="289"/>
    </row>
    <row r="27" spans="1:19" s="657" customFormat="1" ht="13">
      <c r="A27" s="755">
        <v>1151</v>
      </c>
      <c r="B27" s="756" t="s">
        <v>22</v>
      </c>
      <c r="C27" s="290">
        <v>208</v>
      </c>
      <c r="D27" s="290">
        <v>196</v>
      </c>
      <c r="E27" s="290">
        <v>198</v>
      </c>
      <c r="F27" s="290">
        <v>192</v>
      </c>
      <c r="G27" s="290">
        <v>188</v>
      </c>
      <c r="H27" s="290">
        <v>189</v>
      </c>
      <c r="I27" s="290">
        <v>189</v>
      </c>
      <c r="J27" s="290">
        <v>191</v>
      </c>
      <c r="K27" s="289">
        <v>192</v>
      </c>
      <c r="L27" s="289"/>
      <c r="M27" s="289"/>
      <c r="N27" s="289"/>
      <c r="O27" s="289"/>
      <c r="P27" s="289"/>
      <c r="Q27" s="289"/>
      <c r="R27" s="289"/>
      <c r="S27" s="289"/>
    </row>
    <row r="28" spans="1:19" s="657" customFormat="1" ht="13">
      <c r="A28" s="755">
        <v>1160</v>
      </c>
      <c r="B28" s="756" t="s">
        <v>1543</v>
      </c>
      <c r="C28" s="290">
        <v>8793</v>
      </c>
      <c r="D28" s="290">
        <v>8743</v>
      </c>
      <c r="E28" s="290">
        <v>8714</v>
      </c>
      <c r="F28" s="290">
        <v>8705</v>
      </c>
      <c r="G28" s="290">
        <v>8775</v>
      </c>
      <c r="H28" s="290">
        <v>8825</v>
      </c>
      <c r="I28" s="290">
        <v>8849</v>
      </c>
      <c r="J28" s="290">
        <v>8849</v>
      </c>
      <c r="K28" s="289">
        <v>8849</v>
      </c>
      <c r="L28" s="289"/>
      <c r="M28" s="289"/>
      <c r="N28" s="289"/>
      <c r="O28" s="289"/>
      <c r="P28" s="289"/>
      <c r="Q28" s="289"/>
      <c r="R28" s="289"/>
      <c r="S28" s="289"/>
    </row>
    <row r="29" spans="1:19" s="657" customFormat="1" ht="13">
      <c r="A29" s="755">
        <v>1505</v>
      </c>
      <c r="B29" s="965" t="s">
        <v>1654</v>
      </c>
      <c r="C29" s="290">
        <v>24300</v>
      </c>
      <c r="D29" s="290">
        <v>24274</v>
      </c>
      <c r="E29" s="290">
        <v>24179</v>
      </c>
      <c r="F29" s="290">
        <v>24099</v>
      </c>
      <c r="G29" s="290">
        <v>24013</v>
      </c>
      <c r="H29" s="290">
        <v>24043</v>
      </c>
      <c r="I29" s="290">
        <v>24050</v>
      </c>
      <c r="J29" s="290">
        <v>24031</v>
      </c>
      <c r="K29" s="289">
        <v>24026</v>
      </c>
      <c r="L29" s="289"/>
      <c r="M29" s="289"/>
      <c r="N29" s="289"/>
      <c r="O29" s="289"/>
      <c r="P29" s="289"/>
      <c r="Q29" s="289"/>
      <c r="R29" s="289"/>
      <c r="S29" s="289"/>
    </row>
    <row r="30" spans="1:19" s="657" customFormat="1" ht="13">
      <c r="A30" s="755">
        <v>1506</v>
      </c>
      <c r="B30" s="756" t="s">
        <v>84</v>
      </c>
      <c r="C30" s="290">
        <v>31895</v>
      </c>
      <c r="D30" s="290">
        <v>31976</v>
      </c>
      <c r="E30" s="290">
        <v>31967</v>
      </c>
      <c r="F30" s="290">
        <v>31870</v>
      </c>
      <c r="G30" s="290">
        <v>32002</v>
      </c>
      <c r="H30" s="290">
        <v>32204</v>
      </c>
      <c r="I30" s="290">
        <v>32344</v>
      </c>
      <c r="J30" s="290">
        <v>32424</v>
      </c>
      <c r="K30" s="289">
        <v>32508</v>
      </c>
      <c r="L30" s="289"/>
      <c r="M30" s="289"/>
      <c r="N30" s="289"/>
      <c r="O30" s="289"/>
      <c r="P30" s="289"/>
      <c r="Q30" s="289"/>
      <c r="R30" s="289"/>
      <c r="S30" s="289"/>
    </row>
    <row r="31" spans="1:19" s="657" customFormat="1" ht="13">
      <c r="A31" s="755">
        <v>1507</v>
      </c>
      <c r="B31" s="756" t="s">
        <v>85</v>
      </c>
      <c r="C31" s="290">
        <v>65053</v>
      </c>
      <c r="D31" s="290">
        <v>65621</v>
      </c>
      <c r="E31" s="290">
        <v>66258</v>
      </c>
      <c r="F31" s="290">
        <v>66670</v>
      </c>
      <c r="G31" s="290">
        <v>67114</v>
      </c>
      <c r="H31" s="290">
        <v>67680</v>
      </c>
      <c r="I31" s="290">
        <v>68066</v>
      </c>
      <c r="J31" s="290">
        <v>68279</v>
      </c>
      <c r="K31" s="289">
        <v>68483</v>
      </c>
      <c r="L31" s="289"/>
      <c r="M31" s="289"/>
      <c r="N31" s="289"/>
      <c r="O31" s="289"/>
      <c r="P31" s="289"/>
      <c r="Q31" s="289"/>
      <c r="R31" s="289"/>
      <c r="S31" s="289"/>
    </row>
    <row r="32" spans="1:19" s="657" customFormat="1" ht="13">
      <c r="A32" s="755">
        <v>1511</v>
      </c>
      <c r="B32" s="756" t="s">
        <v>86</v>
      </c>
      <c r="C32" s="290">
        <v>3187</v>
      </c>
      <c r="D32" s="290">
        <v>3163</v>
      </c>
      <c r="E32" s="290">
        <v>3117</v>
      </c>
      <c r="F32" s="290">
        <v>3083</v>
      </c>
      <c r="G32" s="290">
        <v>3045</v>
      </c>
      <c r="H32" s="290">
        <v>3005</v>
      </c>
      <c r="I32" s="290">
        <v>2967</v>
      </c>
      <c r="J32" s="290">
        <v>2931</v>
      </c>
      <c r="K32" s="289">
        <v>2899</v>
      </c>
      <c r="L32" s="289"/>
      <c r="M32" s="289"/>
      <c r="N32" s="289"/>
      <c r="O32" s="289"/>
      <c r="P32" s="289"/>
      <c r="Q32" s="289"/>
      <c r="R32" s="289"/>
      <c r="S32" s="289"/>
    </row>
    <row r="33" spans="1:19" s="657" customFormat="1" ht="13">
      <c r="A33" s="755">
        <v>1514</v>
      </c>
      <c r="B33" s="756" t="s">
        <v>897</v>
      </c>
      <c r="C33" s="290">
        <v>2522</v>
      </c>
      <c r="D33" s="290">
        <v>2493</v>
      </c>
      <c r="E33" s="290">
        <v>2461</v>
      </c>
      <c r="F33" s="290">
        <v>2445</v>
      </c>
      <c r="G33" s="290">
        <v>2422</v>
      </c>
      <c r="H33" s="290">
        <v>2441</v>
      </c>
      <c r="I33" s="290">
        <v>2448</v>
      </c>
      <c r="J33" s="290">
        <v>2445</v>
      </c>
      <c r="K33" s="289">
        <v>2442</v>
      </c>
      <c r="L33" s="289"/>
      <c r="M33" s="289"/>
      <c r="N33" s="289"/>
      <c r="O33" s="289"/>
      <c r="P33" s="289"/>
      <c r="Q33" s="289"/>
      <c r="R33" s="289"/>
      <c r="S33" s="289"/>
    </row>
    <row r="34" spans="1:19" s="657" customFormat="1" ht="13">
      <c r="A34" s="755">
        <v>1515</v>
      </c>
      <c r="B34" s="756" t="s">
        <v>87</v>
      </c>
      <c r="C34" s="290">
        <v>8965</v>
      </c>
      <c r="D34" s="290">
        <v>8927</v>
      </c>
      <c r="E34" s="290">
        <v>8900</v>
      </c>
      <c r="F34" s="290">
        <v>8858</v>
      </c>
      <c r="G34" s="290">
        <v>8765</v>
      </c>
      <c r="H34" s="290">
        <v>8703</v>
      </c>
      <c r="I34" s="290">
        <v>8643</v>
      </c>
      <c r="J34" s="290">
        <v>8584</v>
      </c>
      <c r="K34" s="289">
        <v>8539</v>
      </c>
      <c r="L34" s="289"/>
      <c r="M34" s="289"/>
      <c r="N34" s="289"/>
      <c r="O34" s="289"/>
      <c r="P34" s="289"/>
      <c r="Q34" s="289"/>
      <c r="R34" s="289"/>
      <c r="S34" s="289"/>
    </row>
    <row r="35" spans="1:19" s="657" customFormat="1" ht="13">
      <c r="A35" s="755">
        <v>1516</v>
      </c>
      <c r="B35" s="756" t="s">
        <v>88</v>
      </c>
      <c r="C35" s="290">
        <v>8555</v>
      </c>
      <c r="D35" s="290">
        <v>8609</v>
      </c>
      <c r="E35" s="290">
        <v>8571</v>
      </c>
      <c r="F35" s="290">
        <v>8575</v>
      </c>
      <c r="G35" s="290">
        <v>8557</v>
      </c>
      <c r="H35" s="290">
        <v>8591</v>
      </c>
      <c r="I35" s="290">
        <v>8619</v>
      </c>
      <c r="J35" s="290">
        <v>8639</v>
      </c>
      <c r="K35" s="289">
        <v>8667</v>
      </c>
      <c r="L35" s="289"/>
      <c r="M35" s="289"/>
      <c r="N35" s="289"/>
      <c r="O35" s="289"/>
      <c r="P35" s="289"/>
      <c r="Q35" s="289"/>
      <c r="R35" s="289"/>
      <c r="S35" s="289"/>
    </row>
    <row r="36" spans="1:19" s="657" customFormat="1" ht="13">
      <c r="A36" s="755">
        <v>1517</v>
      </c>
      <c r="B36" s="756" t="s">
        <v>89</v>
      </c>
      <c r="C36" s="290">
        <v>5150</v>
      </c>
      <c r="D36" s="290">
        <v>5155</v>
      </c>
      <c r="E36" s="290">
        <v>5175</v>
      </c>
      <c r="F36" s="290">
        <v>5140</v>
      </c>
      <c r="G36" s="290">
        <v>5126</v>
      </c>
      <c r="H36" s="290">
        <v>5140</v>
      </c>
      <c r="I36" s="290">
        <v>5147</v>
      </c>
      <c r="J36" s="290">
        <v>5148</v>
      </c>
      <c r="K36" s="289">
        <v>5151</v>
      </c>
      <c r="L36" s="289"/>
      <c r="M36" s="289"/>
      <c r="N36" s="289"/>
      <c r="O36" s="289"/>
      <c r="P36" s="289"/>
      <c r="Q36" s="289"/>
      <c r="R36" s="289"/>
      <c r="S36" s="289"/>
    </row>
    <row r="37" spans="1:19" s="657" customFormat="1" ht="13">
      <c r="A37" s="755">
        <v>1520</v>
      </c>
      <c r="B37" s="756" t="s">
        <v>91</v>
      </c>
      <c r="C37" s="290">
        <v>10707</v>
      </c>
      <c r="D37" s="290">
        <v>10752</v>
      </c>
      <c r="E37" s="290">
        <v>10825</v>
      </c>
      <c r="F37" s="290">
        <v>10830</v>
      </c>
      <c r="G37" s="290">
        <v>10833</v>
      </c>
      <c r="H37" s="290">
        <v>10797</v>
      </c>
      <c r="I37" s="290">
        <v>10759</v>
      </c>
      <c r="J37" s="290">
        <v>10719</v>
      </c>
      <c r="K37" s="289">
        <v>10691</v>
      </c>
      <c r="L37" s="289"/>
      <c r="M37" s="289"/>
      <c r="N37" s="289"/>
      <c r="O37" s="289"/>
      <c r="P37" s="289"/>
      <c r="Q37" s="289"/>
      <c r="R37" s="289"/>
      <c r="S37" s="289"/>
    </row>
    <row r="38" spans="1:19" s="657" customFormat="1" ht="13">
      <c r="A38" s="755">
        <v>1525</v>
      </c>
      <c r="B38" s="756" t="s">
        <v>94</v>
      </c>
      <c r="C38" s="290">
        <v>4587</v>
      </c>
      <c r="D38" s="290">
        <v>4565</v>
      </c>
      <c r="E38" s="290">
        <v>4523</v>
      </c>
      <c r="F38" s="290">
        <v>4482</v>
      </c>
      <c r="G38" s="290">
        <v>4467</v>
      </c>
      <c r="H38" s="290">
        <v>4485</v>
      </c>
      <c r="I38" s="290">
        <v>4487</v>
      </c>
      <c r="J38" s="290">
        <v>4475</v>
      </c>
      <c r="K38" s="289">
        <v>4466</v>
      </c>
      <c r="L38" s="289"/>
      <c r="M38" s="289"/>
      <c r="N38" s="289"/>
      <c r="O38" s="289"/>
      <c r="P38" s="289"/>
      <c r="Q38" s="289"/>
      <c r="R38" s="289"/>
      <c r="S38" s="289"/>
    </row>
    <row r="39" spans="1:19" s="657" customFormat="1" ht="13">
      <c r="A39" s="755">
        <v>1528</v>
      </c>
      <c r="B39" s="756" t="s">
        <v>96</v>
      </c>
      <c r="C39" s="290">
        <v>7695</v>
      </c>
      <c r="D39" s="290">
        <v>7657</v>
      </c>
      <c r="E39" s="290">
        <v>7625</v>
      </c>
      <c r="F39" s="290">
        <v>7596</v>
      </c>
      <c r="G39" s="290">
        <v>7558</v>
      </c>
      <c r="H39" s="290">
        <v>7545</v>
      </c>
      <c r="I39" s="290">
        <v>7519</v>
      </c>
      <c r="J39" s="290">
        <v>7482</v>
      </c>
      <c r="K39" s="289">
        <v>7447</v>
      </c>
      <c r="L39" s="289"/>
      <c r="M39" s="289"/>
      <c r="N39" s="289"/>
      <c r="O39" s="289"/>
      <c r="P39" s="289"/>
      <c r="Q39" s="289"/>
      <c r="R39" s="289"/>
      <c r="S39" s="289"/>
    </row>
    <row r="40" spans="1:19" s="657" customFormat="1" ht="13">
      <c r="A40" s="755">
        <v>1531</v>
      </c>
      <c r="B40" s="756" t="s">
        <v>98</v>
      </c>
      <c r="C40" s="290">
        <v>9131</v>
      </c>
      <c r="D40" s="290">
        <v>9271</v>
      </c>
      <c r="E40" s="290">
        <v>9310</v>
      </c>
      <c r="F40" s="290">
        <v>9409</v>
      </c>
      <c r="G40" s="290">
        <v>9547</v>
      </c>
      <c r="H40" s="290">
        <v>9678</v>
      </c>
      <c r="I40" s="290">
        <v>9785</v>
      </c>
      <c r="J40" s="290">
        <v>9869</v>
      </c>
      <c r="K40" s="289">
        <v>9948</v>
      </c>
      <c r="L40" s="289"/>
      <c r="M40" s="289"/>
      <c r="N40" s="289"/>
      <c r="O40" s="289"/>
      <c r="P40" s="289"/>
      <c r="Q40" s="289"/>
      <c r="R40" s="289"/>
      <c r="S40" s="289"/>
    </row>
    <row r="41" spans="1:19" s="657" customFormat="1" ht="13">
      <c r="A41" s="755">
        <v>1532</v>
      </c>
      <c r="B41" s="756" t="s">
        <v>99</v>
      </c>
      <c r="C41" s="290">
        <v>8292</v>
      </c>
      <c r="D41" s="290">
        <v>8398</v>
      </c>
      <c r="E41" s="290">
        <v>8462</v>
      </c>
      <c r="F41" s="290">
        <v>8506</v>
      </c>
      <c r="G41" s="290">
        <v>8597</v>
      </c>
      <c r="H41" s="290">
        <v>8682</v>
      </c>
      <c r="I41" s="290">
        <v>8757</v>
      </c>
      <c r="J41" s="290">
        <v>8821</v>
      </c>
      <c r="K41" s="289">
        <v>8891</v>
      </c>
      <c r="L41" s="289"/>
      <c r="M41" s="289"/>
      <c r="N41" s="289"/>
      <c r="O41" s="289"/>
      <c r="P41" s="289"/>
      <c r="Q41" s="289"/>
      <c r="R41" s="289"/>
      <c r="S41" s="289"/>
    </row>
    <row r="42" spans="1:19" s="657" customFormat="1" ht="13">
      <c r="A42" s="755">
        <v>1535</v>
      </c>
      <c r="B42" s="756" t="s">
        <v>101</v>
      </c>
      <c r="C42" s="290">
        <f>6559+413</f>
        <v>6972</v>
      </c>
      <c r="D42" s="290">
        <f>6536+413</f>
        <v>6949</v>
      </c>
      <c r="E42" s="290">
        <f>6532+413</f>
        <v>6945</v>
      </c>
      <c r="F42" s="290">
        <v>6958</v>
      </c>
      <c r="G42" s="290">
        <v>6936</v>
      </c>
      <c r="H42" s="290">
        <v>6951</v>
      </c>
      <c r="I42" s="290">
        <v>6952</v>
      </c>
      <c r="J42" s="290">
        <v>6940</v>
      </c>
      <c r="K42" s="289">
        <v>6929</v>
      </c>
      <c r="L42" s="289"/>
      <c r="M42" s="289"/>
      <c r="N42" s="289"/>
      <c r="O42" s="289"/>
      <c r="P42" s="289"/>
      <c r="Q42" s="289"/>
      <c r="R42" s="289"/>
      <c r="S42" s="289"/>
    </row>
    <row r="43" spans="1:19" s="657" customFormat="1" ht="13">
      <c r="A43" s="755">
        <v>1539</v>
      </c>
      <c r="B43" s="756" t="s">
        <v>102</v>
      </c>
      <c r="C43" s="290">
        <f>7507-413</f>
        <v>7094</v>
      </c>
      <c r="D43" s="290">
        <f>7487-413</f>
        <v>7074</v>
      </c>
      <c r="E43" s="290">
        <f>7468-413</f>
        <v>7055</v>
      </c>
      <c r="F43" s="290">
        <v>7026</v>
      </c>
      <c r="G43" s="290">
        <v>7019</v>
      </c>
      <c r="H43" s="290">
        <v>7017</v>
      </c>
      <c r="I43" s="290">
        <v>7009</v>
      </c>
      <c r="J43" s="290">
        <v>6996</v>
      </c>
      <c r="K43" s="289">
        <v>6986</v>
      </c>
      <c r="L43" s="289"/>
      <c r="M43" s="289"/>
      <c r="N43" s="289"/>
      <c r="O43" s="289"/>
      <c r="P43" s="289"/>
      <c r="Q43" s="289"/>
      <c r="R43" s="289"/>
      <c r="S43" s="289"/>
    </row>
    <row r="44" spans="1:19" s="657" customFormat="1" ht="13">
      <c r="A44" s="755">
        <v>1547</v>
      </c>
      <c r="B44" s="756" t="s">
        <v>106</v>
      </c>
      <c r="C44" s="290">
        <v>3569</v>
      </c>
      <c r="D44" s="290">
        <v>3551</v>
      </c>
      <c r="E44" s="290">
        <v>3509</v>
      </c>
      <c r="F44" s="290">
        <v>3522</v>
      </c>
      <c r="G44" s="290">
        <v>3518</v>
      </c>
      <c r="H44" s="290">
        <v>3575</v>
      </c>
      <c r="I44" s="290">
        <v>3620</v>
      </c>
      <c r="J44" s="290">
        <v>3655</v>
      </c>
      <c r="K44" s="289">
        <v>3687</v>
      </c>
      <c r="L44" s="289"/>
      <c r="M44" s="289"/>
      <c r="N44" s="289"/>
      <c r="O44" s="289"/>
      <c r="P44" s="289"/>
      <c r="Q44" s="289"/>
      <c r="R44" s="289"/>
      <c r="S44" s="289"/>
    </row>
    <row r="45" spans="1:19" s="657" customFormat="1" ht="13">
      <c r="A45" s="755">
        <v>1554</v>
      </c>
      <c r="B45" s="756" t="s">
        <v>109</v>
      </c>
      <c r="C45" s="290">
        <v>5859</v>
      </c>
      <c r="D45" s="290">
        <v>5849</v>
      </c>
      <c r="E45" s="290">
        <v>5788</v>
      </c>
      <c r="F45" s="290">
        <v>5808</v>
      </c>
      <c r="G45" s="290">
        <v>5828</v>
      </c>
      <c r="H45" s="290">
        <v>5912</v>
      </c>
      <c r="I45" s="290">
        <v>5974</v>
      </c>
      <c r="J45" s="290">
        <v>6015</v>
      </c>
      <c r="K45" s="289">
        <v>6049</v>
      </c>
      <c r="L45" s="289"/>
      <c r="M45" s="289"/>
      <c r="N45" s="289"/>
      <c r="O45" s="289"/>
      <c r="P45" s="289"/>
      <c r="Q45" s="289"/>
      <c r="R45" s="289"/>
      <c r="S45" s="289"/>
    </row>
    <row r="46" spans="1:19" s="657" customFormat="1" ht="13">
      <c r="A46" s="755">
        <v>1557</v>
      </c>
      <c r="B46" s="756" t="s">
        <v>110</v>
      </c>
      <c r="C46" s="290">
        <v>2623</v>
      </c>
      <c r="D46" s="290">
        <v>2641</v>
      </c>
      <c r="E46" s="290">
        <v>2629</v>
      </c>
      <c r="F46" s="290">
        <v>2658</v>
      </c>
      <c r="G46" s="290">
        <v>2669</v>
      </c>
      <c r="H46" s="290">
        <v>2708</v>
      </c>
      <c r="I46" s="290">
        <v>2731</v>
      </c>
      <c r="J46" s="290">
        <v>2742</v>
      </c>
      <c r="K46" s="289">
        <v>2748</v>
      </c>
      <c r="L46" s="289"/>
      <c r="M46" s="289"/>
      <c r="N46" s="289"/>
      <c r="O46" s="289"/>
      <c r="P46" s="289"/>
      <c r="Q46" s="289"/>
      <c r="R46" s="289"/>
      <c r="S46" s="289"/>
    </row>
    <row r="47" spans="1:19" s="657" customFormat="1" ht="13">
      <c r="A47" s="755">
        <v>1560</v>
      </c>
      <c r="B47" s="756" t="s">
        <v>111</v>
      </c>
      <c r="C47" s="290">
        <v>3078</v>
      </c>
      <c r="D47" s="290">
        <v>3045</v>
      </c>
      <c r="E47" s="290">
        <v>3025</v>
      </c>
      <c r="F47" s="290">
        <v>2985</v>
      </c>
      <c r="G47" s="290">
        <v>2960</v>
      </c>
      <c r="H47" s="290">
        <v>2975</v>
      </c>
      <c r="I47" s="290">
        <v>2983</v>
      </c>
      <c r="J47" s="290">
        <v>2982</v>
      </c>
      <c r="K47" s="289">
        <v>2980</v>
      </c>
      <c r="L47" s="289"/>
      <c r="M47" s="289"/>
      <c r="N47" s="289"/>
      <c r="O47" s="289"/>
      <c r="P47" s="289"/>
      <c r="Q47" s="289"/>
      <c r="R47" s="289"/>
      <c r="S47" s="289"/>
    </row>
    <row r="48" spans="1:19" s="657" customFormat="1" ht="13">
      <c r="A48" s="755">
        <v>1563</v>
      </c>
      <c r="B48" s="756" t="s">
        <v>112</v>
      </c>
      <c r="C48" s="290">
        <v>7119</v>
      </c>
      <c r="D48" s="290">
        <v>7106</v>
      </c>
      <c r="E48" s="290">
        <v>7036</v>
      </c>
      <c r="F48" s="290">
        <v>6956</v>
      </c>
      <c r="G48" s="290">
        <v>6932</v>
      </c>
      <c r="H48" s="290">
        <v>6894</v>
      </c>
      <c r="I48" s="290">
        <v>6852</v>
      </c>
      <c r="J48" s="290">
        <v>6803</v>
      </c>
      <c r="K48" s="289">
        <v>6760</v>
      </c>
      <c r="L48" s="289"/>
      <c r="M48" s="289"/>
      <c r="N48" s="289"/>
      <c r="O48" s="289"/>
      <c r="P48" s="289"/>
      <c r="Q48" s="289"/>
      <c r="R48" s="289"/>
      <c r="S48" s="289"/>
    </row>
    <row r="49" spans="1:19" s="657" customFormat="1" ht="13">
      <c r="A49" s="755">
        <v>1566</v>
      </c>
      <c r="B49" s="756" t="s">
        <v>113</v>
      </c>
      <c r="C49" s="290">
        <v>5978</v>
      </c>
      <c r="D49" s="290">
        <v>5928</v>
      </c>
      <c r="E49" s="290">
        <v>5920</v>
      </c>
      <c r="F49" s="290">
        <v>5872</v>
      </c>
      <c r="G49" s="290">
        <v>5849</v>
      </c>
      <c r="H49" s="290">
        <v>5790</v>
      </c>
      <c r="I49" s="290">
        <v>5735</v>
      </c>
      <c r="J49" s="290">
        <v>5683</v>
      </c>
      <c r="K49" s="289">
        <v>5643</v>
      </c>
      <c r="L49" s="289"/>
      <c r="M49" s="289"/>
      <c r="N49" s="289"/>
      <c r="O49" s="289"/>
      <c r="P49" s="289"/>
      <c r="Q49" s="289"/>
      <c r="R49" s="289"/>
      <c r="S49" s="289"/>
    </row>
    <row r="50" spans="1:19" s="657" customFormat="1" ht="13">
      <c r="A50" s="755">
        <v>1573</v>
      </c>
      <c r="B50" s="756" t="s">
        <v>116</v>
      </c>
      <c r="C50" s="290">
        <v>2172</v>
      </c>
      <c r="D50" s="290">
        <v>2134</v>
      </c>
      <c r="E50" s="290">
        <v>2150</v>
      </c>
      <c r="F50" s="290">
        <v>2128</v>
      </c>
      <c r="G50" s="290">
        <v>2120</v>
      </c>
      <c r="H50" s="290">
        <v>2126</v>
      </c>
      <c r="I50" s="290">
        <v>2128</v>
      </c>
      <c r="J50" s="290">
        <v>2125</v>
      </c>
      <c r="K50" s="289">
        <v>2121</v>
      </c>
      <c r="L50" s="289"/>
      <c r="M50" s="289"/>
      <c r="N50" s="289"/>
      <c r="O50" s="289"/>
      <c r="P50" s="289"/>
      <c r="Q50" s="289"/>
      <c r="R50" s="289"/>
      <c r="S50" s="289"/>
    </row>
    <row r="51" spans="1:19" s="657" customFormat="1" ht="13">
      <c r="A51" s="755">
        <v>1576</v>
      </c>
      <c r="B51" s="965" t="s">
        <v>1498</v>
      </c>
      <c r="C51" s="290">
        <v>3593</v>
      </c>
      <c r="D51" s="290">
        <v>3553</v>
      </c>
      <c r="E51" s="290">
        <v>3507</v>
      </c>
      <c r="F51" s="290">
        <v>3468</v>
      </c>
      <c r="G51" s="290">
        <v>3384</v>
      </c>
      <c r="H51" s="290">
        <v>3352</v>
      </c>
      <c r="I51" s="290">
        <v>3324</v>
      </c>
      <c r="J51" s="290">
        <v>3299</v>
      </c>
      <c r="K51" s="289">
        <v>3283</v>
      </c>
      <c r="L51" s="289"/>
      <c r="M51" s="289"/>
      <c r="N51" s="289"/>
      <c r="O51" s="289"/>
      <c r="P51" s="289"/>
      <c r="Q51" s="289"/>
      <c r="R51" s="289"/>
      <c r="S51" s="289"/>
    </row>
    <row r="52" spans="1:19" s="657" customFormat="1" ht="13">
      <c r="A52" s="755">
        <v>1577</v>
      </c>
      <c r="B52" s="965" t="s">
        <v>90</v>
      </c>
      <c r="C52" s="290">
        <v>10468</v>
      </c>
      <c r="D52" s="290">
        <v>10454</v>
      </c>
      <c r="E52" s="290">
        <v>10473</v>
      </c>
      <c r="F52" s="290">
        <v>10781</v>
      </c>
      <c r="G52" s="290">
        <v>10809</v>
      </c>
      <c r="H52" s="290">
        <v>10999</v>
      </c>
      <c r="I52" s="290">
        <v>11124</v>
      </c>
      <c r="J52" s="290">
        <v>11193</v>
      </c>
      <c r="K52" s="289">
        <v>11240</v>
      </c>
      <c r="L52" s="289"/>
      <c r="M52" s="289"/>
      <c r="N52" s="289"/>
      <c r="O52" s="289"/>
      <c r="P52" s="289"/>
      <c r="Q52" s="289"/>
      <c r="R52" s="289"/>
      <c r="S52" s="289"/>
    </row>
    <row r="53" spans="1:19" s="657" customFormat="1" ht="13">
      <c r="A53" s="755">
        <v>1578</v>
      </c>
      <c r="B53" s="965" t="s">
        <v>1800</v>
      </c>
      <c r="C53" s="290">
        <v>2642</v>
      </c>
      <c r="D53" s="290">
        <v>2592</v>
      </c>
      <c r="E53" s="290">
        <v>2549</v>
      </c>
      <c r="F53" s="290">
        <v>2502</v>
      </c>
      <c r="G53" s="290">
        <v>2491</v>
      </c>
      <c r="H53" s="290">
        <v>2496</v>
      </c>
      <c r="I53" s="290">
        <v>2496</v>
      </c>
      <c r="J53" s="290">
        <v>2492</v>
      </c>
      <c r="K53" s="289">
        <v>2486</v>
      </c>
      <c r="L53" s="289"/>
      <c r="M53" s="289"/>
      <c r="N53" s="289"/>
      <c r="O53" s="289"/>
      <c r="P53" s="289"/>
      <c r="Q53" s="289"/>
      <c r="R53" s="289"/>
      <c r="S53" s="289"/>
    </row>
    <row r="54" spans="1:19" s="657" customFormat="1" ht="13">
      <c r="A54" s="755">
        <v>1579</v>
      </c>
      <c r="B54" s="965" t="s">
        <v>1801</v>
      </c>
      <c r="C54" s="290">
        <v>13215</v>
      </c>
      <c r="D54" s="290">
        <v>13233</v>
      </c>
      <c r="E54" s="290">
        <v>13279</v>
      </c>
      <c r="F54" s="290">
        <v>13317</v>
      </c>
      <c r="G54" s="290">
        <v>13287</v>
      </c>
      <c r="H54" s="290">
        <v>13311</v>
      </c>
      <c r="I54" s="290">
        <v>13321</v>
      </c>
      <c r="J54" s="290">
        <v>13316</v>
      </c>
      <c r="K54" s="289">
        <v>13314</v>
      </c>
      <c r="L54" s="289"/>
      <c r="M54" s="289"/>
      <c r="N54" s="289"/>
      <c r="O54" s="289"/>
      <c r="P54" s="289"/>
      <c r="Q54" s="289"/>
      <c r="R54" s="289"/>
      <c r="S54" s="289"/>
    </row>
    <row r="55" spans="1:19" s="657" customFormat="1" ht="13">
      <c r="A55" s="755">
        <v>1804</v>
      </c>
      <c r="B55" s="756" t="s">
        <v>174</v>
      </c>
      <c r="C55" s="290">
        <v>51558</v>
      </c>
      <c r="D55" s="290">
        <v>52024</v>
      </c>
      <c r="E55" s="290">
        <v>52357</v>
      </c>
      <c r="F55" s="290">
        <v>52560</v>
      </c>
      <c r="G55" s="290">
        <v>52803</v>
      </c>
      <c r="H55" s="290">
        <v>53148</v>
      </c>
      <c r="I55" s="290">
        <v>53374</v>
      </c>
      <c r="J55" s="290">
        <v>53488</v>
      </c>
      <c r="K55" s="289">
        <v>53608</v>
      </c>
      <c r="L55" s="289"/>
      <c r="M55" s="289"/>
      <c r="N55" s="289"/>
      <c r="O55" s="289"/>
      <c r="P55" s="289"/>
      <c r="Q55" s="289"/>
      <c r="R55" s="289"/>
      <c r="S55" s="289"/>
    </row>
    <row r="56" spans="1:19" s="657" customFormat="1" ht="13">
      <c r="A56" s="755">
        <v>1806</v>
      </c>
      <c r="B56" s="756" t="s">
        <v>175</v>
      </c>
      <c r="C56" s="290">
        <v>22062.945454545454</v>
      </c>
      <c r="D56" s="290">
        <v>21990</v>
      </c>
      <c r="E56" s="290">
        <v>21845</v>
      </c>
      <c r="F56" s="290">
        <v>21661</v>
      </c>
      <c r="G56" s="290">
        <v>21530</v>
      </c>
      <c r="H56" s="290">
        <v>21534</v>
      </c>
      <c r="I56" s="290">
        <v>21495</v>
      </c>
      <c r="J56" s="290">
        <v>21412</v>
      </c>
      <c r="K56" s="289">
        <v>21340</v>
      </c>
      <c r="L56" s="289"/>
      <c r="M56" s="289"/>
      <c r="N56" s="289"/>
      <c r="O56" s="289"/>
      <c r="P56" s="289"/>
      <c r="Q56" s="289"/>
      <c r="R56" s="289"/>
      <c r="S56" s="289"/>
    </row>
    <row r="57" spans="1:19" s="657" customFormat="1" ht="13">
      <c r="A57" s="755">
        <v>1811</v>
      </c>
      <c r="B57" s="756" t="s">
        <v>176</v>
      </c>
      <c r="C57" s="290">
        <v>1486</v>
      </c>
      <c r="D57" s="290">
        <v>1450</v>
      </c>
      <c r="E57" s="290">
        <v>1426</v>
      </c>
      <c r="F57" s="290">
        <v>1397</v>
      </c>
      <c r="G57" s="290">
        <v>1406</v>
      </c>
      <c r="H57" s="290">
        <v>1401</v>
      </c>
      <c r="I57" s="290">
        <v>1394</v>
      </c>
      <c r="J57" s="290">
        <v>1385</v>
      </c>
      <c r="K57" s="289">
        <v>1375</v>
      </c>
      <c r="L57" s="289"/>
      <c r="M57" s="289"/>
      <c r="N57" s="289"/>
      <c r="O57" s="289"/>
      <c r="P57" s="289"/>
      <c r="Q57" s="289"/>
      <c r="R57" s="289"/>
      <c r="S57" s="289"/>
    </row>
    <row r="58" spans="1:19" s="657" customFormat="1" ht="13">
      <c r="A58" s="755">
        <v>1812</v>
      </c>
      <c r="B58" s="756" t="s">
        <v>177</v>
      </c>
      <c r="C58" s="290">
        <v>2020</v>
      </c>
      <c r="D58" s="290">
        <v>2014</v>
      </c>
      <c r="E58" s="290">
        <v>1975</v>
      </c>
      <c r="F58" s="290">
        <v>1990</v>
      </c>
      <c r="G58" s="290">
        <v>1981</v>
      </c>
      <c r="H58" s="290">
        <v>1968</v>
      </c>
      <c r="I58" s="290">
        <v>1956</v>
      </c>
      <c r="J58" s="290">
        <v>1945</v>
      </c>
      <c r="K58" s="289">
        <v>1937</v>
      </c>
      <c r="L58" s="289"/>
      <c r="M58" s="289"/>
      <c r="N58" s="289"/>
      <c r="O58" s="289"/>
      <c r="P58" s="289"/>
      <c r="Q58" s="289"/>
      <c r="R58" s="289"/>
      <c r="S58" s="289"/>
    </row>
    <row r="59" spans="1:19" s="657" customFormat="1" ht="13">
      <c r="A59" s="755">
        <v>1813</v>
      </c>
      <c r="B59" s="756" t="s">
        <v>178</v>
      </c>
      <c r="C59" s="290">
        <v>7948</v>
      </c>
      <c r="D59" s="290">
        <v>7916</v>
      </c>
      <c r="E59" s="290">
        <v>7917</v>
      </c>
      <c r="F59" s="290">
        <v>7803</v>
      </c>
      <c r="G59" s="290">
        <v>7777</v>
      </c>
      <c r="H59" s="290">
        <v>7752</v>
      </c>
      <c r="I59" s="290">
        <v>7723</v>
      </c>
      <c r="J59" s="290">
        <v>7689</v>
      </c>
      <c r="K59" s="289">
        <v>7661</v>
      </c>
      <c r="L59" s="289"/>
      <c r="M59" s="289"/>
      <c r="N59" s="289"/>
      <c r="O59" s="289"/>
      <c r="P59" s="289"/>
      <c r="Q59" s="289"/>
      <c r="R59" s="289"/>
      <c r="S59" s="289"/>
    </row>
    <row r="60" spans="1:19" s="657" customFormat="1" ht="13">
      <c r="A60" s="755">
        <v>1815</v>
      </c>
      <c r="B60" s="756" t="s">
        <v>179</v>
      </c>
      <c r="C60" s="290">
        <v>1221</v>
      </c>
      <c r="D60" s="290">
        <v>1232</v>
      </c>
      <c r="E60" s="290">
        <v>1200</v>
      </c>
      <c r="F60" s="290">
        <v>1182</v>
      </c>
      <c r="G60" s="290">
        <v>1175</v>
      </c>
      <c r="H60" s="290">
        <v>1173</v>
      </c>
      <c r="I60" s="290">
        <v>1170</v>
      </c>
      <c r="J60" s="290">
        <v>1165</v>
      </c>
      <c r="K60" s="289">
        <v>1161</v>
      </c>
      <c r="L60" s="289"/>
      <c r="M60" s="289"/>
      <c r="N60" s="289"/>
      <c r="O60" s="289"/>
      <c r="P60" s="289"/>
      <c r="Q60" s="289"/>
      <c r="R60" s="289"/>
      <c r="S60" s="289"/>
    </row>
    <row r="61" spans="1:19" s="657" customFormat="1" ht="13">
      <c r="A61" s="755">
        <v>1816</v>
      </c>
      <c r="B61" s="756" t="s">
        <v>180</v>
      </c>
      <c r="C61" s="290">
        <v>506</v>
      </c>
      <c r="D61" s="290">
        <v>497</v>
      </c>
      <c r="E61" s="290">
        <v>462</v>
      </c>
      <c r="F61" s="290">
        <v>465</v>
      </c>
      <c r="G61" s="290">
        <v>462</v>
      </c>
      <c r="H61" s="290">
        <v>463</v>
      </c>
      <c r="I61" s="290">
        <v>464</v>
      </c>
      <c r="J61" s="290">
        <v>466</v>
      </c>
      <c r="K61" s="289">
        <v>467</v>
      </c>
      <c r="L61" s="289"/>
      <c r="M61" s="289"/>
      <c r="N61" s="289"/>
      <c r="O61" s="289"/>
      <c r="P61" s="289"/>
      <c r="Q61" s="289"/>
      <c r="R61" s="289"/>
      <c r="S61" s="289"/>
    </row>
    <row r="62" spans="1:19" s="657" customFormat="1" ht="13">
      <c r="A62" s="755">
        <v>1818</v>
      </c>
      <c r="B62" s="756" t="s">
        <v>87</v>
      </c>
      <c r="C62" s="290">
        <v>1790</v>
      </c>
      <c r="D62" s="290">
        <v>1780</v>
      </c>
      <c r="E62" s="290">
        <v>1777</v>
      </c>
      <c r="F62" s="290">
        <v>1793</v>
      </c>
      <c r="G62" s="290">
        <v>1825</v>
      </c>
      <c r="H62" s="290">
        <v>1857</v>
      </c>
      <c r="I62" s="290">
        <v>1878</v>
      </c>
      <c r="J62" s="290">
        <v>1889</v>
      </c>
      <c r="K62" s="289">
        <v>1896</v>
      </c>
      <c r="L62" s="289"/>
      <c r="M62" s="289"/>
      <c r="N62" s="289"/>
      <c r="O62" s="289"/>
      <c r="P62" s="289"/>
      <c r="Q62" s="289"/>
      <c r="R62" s="289"/>
      <c r="S62" s="289"/>
    </row>
    <row r="63" spans="1:19" s="657" customFormat="1" ht="13">
      <c r="A63" s="755">
        <v>1820</v>
      </c>
      <c r="B63" s="756" t="s">
        <v>181</v>
      </c>
      <c r="C63" s="290">
        <v>7450</v>
      </c>
      <c r="D63" s="290">
        <v>7415</v>
      </c>
      <c r="E63" s="290">
        <v>7447</v>
      </c>
      <c r="F63" s="290">
        <v>7394</v>
      </c>
      <c r="G63" s="290">
        <v>7333</v>
      </c>
      <c r="H63" s="290">
        <v>7343</v>
      </c>
      <c r="I63" s="290">
        <v>7341</v>
      </c>
      <c r="J63" s="290">
        <v>7324</v>
      </c>
      <c r="K63" s="289">
        <v>7312</v>
      </c>
      <c r="L63" s="289"/>
      <c r="M63" s="289"/>
      <c r="N63" s="289"/>
      <c r="O63" s="289"/>
      <c r="P63" s="289"/>
      <c r="Q63" s="289"/>
      <c r="R63" s="289"/>
      <c r="S63" s="289"/>
    </row>
    <row r="64" spans="1:19" s="657" customFormat="1" ht="13">
      <c r="A64" s="755">
        <v>1822</v>
      </c>
      <c r="B64" s="756" t="s">
        <v>182</v>
      </c>
      <c r="C64" s="290">
        <v>2307</v>
      </c>
      <c r="D64" s="290">
        <v>2320</v>
      </c>
      <c r="E64" s="290">
        <v>2294</v>
      </c>
      <c r="F64" s="290">
        <v>2278</v>
      </c>
      <c r="G64" s="290">
        <v>2257</v>
      </c>
      <c r="H64" s="290">
        <v>2266</v>
      </c>
      <c r="I64" s="290">
        <v>2275</v>
      </c>
      <c r="J64" s="290">
        <v>2283</v>
      </c>
      <c r="K64" s="289">
        <v>2294</v>
      </c>
      <c r="L64" s="289"/>
      <c r="M64" s="289"/>
      <c r="N64" s="289"/>
      <c r="O64" s="289"/>
      <c r="P64" s="289"/>
      <c r="Q64" s="289"/>
      <c r="R64" s="289"/>
      <c r="S64" s="289"/>
    </row>
    <row r="65" spans="1:19" s="657" customFormat="1" ht="13">
      <c r="A65" s="755">
        <v>1824</v>
      </c>
      <c r="B65" s="756" t="s">
        <v>183</v>
      </c>
      <c r="C65" s="290">
        <v>13448</v>
      </c>
      <c r="D65" s="290">
        <v>13403</v>
      </c>
      <c r="E65" s="290">
        <v>13278</v>
      </c>
      <c r="F65" s="290">
        <v>13268</v>
      </c>
      <c r="G65" s="290">
        <v>13233</v>
      </c>
      <c r="H65" s="290">
        <v>13204</v>
      </c>
      <c r="I65" s="290">
        <v>13160</v>
      </c>
      <c r="J65" s="290">
        <v>13103</v>
      </c>
      <c r="K65" s="289">
        <v>13054</v>
      </c>
      <c r="L65" s="289"/>
      <c r="M65" s="289"/>
      <c r="N65" s="289"/>
      <c r="O65" s="289"/>
      <c r="P65" s="289"/>
      <c r="Q65" s="289"/>
      <c r="R65" s="289"/>
      <c r="S65" s="289"/>
    </row>
    <row r="66" spans="1:19" s="657" customFormat="1" ht="13">
      <c r="A66" s="755">
        <v>1825</v>
      </c>
      <c r="B66" s="756" t="s">
        <v>184</v>
      </c>
      <c r="C66" s="290">
        <v>1463</v>
      </c>
      <c r="D66" s="290">
        <v>1493</v>
      </c>
      <c r="E66" s="290">
        <v>1482</v>
      </c>
      <c r="F66" s="290">
        <v>1453</v>
      </c>
      <c r="G66" s="290">
        <v>1461</v>
      </c>
      <c r="H66" s="290">
        <v>1453</v>
      </c>
      <c r="I66" s="290">
        <v>1446</v>
      </c>
      <c r="J66" s="290">
        <v>1438</v>
      </c>
      <c r="K66" s="289">
        <v>1432</v>
      </c>
      <c r="L66" s="289"/>
      <c r="M66" s="289"/>
      <c r="N66" s="289"/>
      <c r="O66" s="289"/>
      <c r="P66" s="289"/>
      <c r="Q66" s="289"/>
      <c r="R66" s="289"/>
      <c r="S66" s="289"/>
    </row>
    <row r="67" spans="1:19" s="657" customFormat="1" ht="13">
      <c r="A67" s="755">
        <v>1826</v>
      </c>
      <c r="B67" s="756" t="s">
        <v>185</v>
      </c>
      <c r="C67" s="290">
        <v>1411</v>
      </c>
      <c r="D67" s="290">
        <v>1359</v>
      </c>
      <c r="E67" s="290">
        <v>1297</v>
      </c>
      <c r="F67" s="290">
        <v>1267</v>
      </c>
      <c r="G67" s="290">
        <v>1273</v>
      </c>
      <c r="H67" s="290">
        <v>1272</v>
      </c>
      <c r="I67" s="290">
        <v>1269</v>
      </c>
      <c r="J67" s="290">
        <v>1263</v>
      </c>
      <c r="K67" s="289">
        <v>1257</v>
      </c>
      <c r="L67" s="289"/>
      <c r="M67" s="289"/>
      <c r="N67" s="289"/>
      <c r="O67" s="289"/>
      <c r="P67" s="289"/>
      <c r="Q67" s="289"/>
      <c r="R67" s="289"/>
      <c r="S67" s="289"/>
    </row>
    <row r="68" spans="1:19" s="657" customFormat="1" ht="13">
      <c r="A68" s="755">
        <v>1827</v>
      </c>
      <c r="B68" s="756" t="s">
        <v>186</v>
      </c>
      <c r="C68" s="290">
        <v>1403</v>
      </c>
      <c r="D68" s="290">
        <v>1391</v>
      </c>
      <c r="E68" s="290">
        <v>1371</v>
      </c>
      <c r="F68" s="290">
        <v>1371</v>
      </c>
      <c r="G68" s="290">
        <v>1369</v>
      </c>
      <c r="H68" s="290">
        <v>1370</v>
      </c>
      <c r="I68" s="290">
        <v>1368</v>
      </c>
      <c r="J68" s="290">
        <v>1362</v>
      </c>
      <c r="K68" s="289">
        <v>1356</v>
      </c>
      <c r="L68" s="289"/>
      <c r="M68" s="289"/>
      <c r="N68" s="289"/>
      <c r="O68" s="289"/>
      <c r="P68" s="289"/>
      <c r="Q68" s="289"/>
      <c r="R68" s="289"/>
      <c r="S68" s="289"/>
    </row>
    <row r="69" spans="1:19" s="657" customFormat="1" ht="13">
      <c r="A69" s="755">
        <v>1828</v>
      </c>
      <c r="B69" s="756" t="s">
        <v>187</v>
      </c>
      <c r="C69" s="290">
        <v>1805</v>
      </c>
      <c r="D69" s="290">
        <v>1792</v>
      </c>
      <c r="E69" s="290">
        <v>1761</v>
      </c>
      <c r="F69" s="290">
        <v>1701</v>
      </c>
      <c r="G69" s="290">
        <v>1698</v>
      </c>
      <c r="H69" s="290">
        <v>1731</v>
      </c>
      <c r="I69" s="290">
        <v>1759</v>
      </c>
      <c r="J69" s="290">
        <v>1781</v>
      </c>
      <c r="K69" s="289">
        <v>1804</v>
      </c>
      <c r="L69" s="289"/>
      <c r="M69" s="289"/>
      <c r="N69" s="289"/>
      <c r="O69" s="289"/>
      <c r="P69" s="289"/>
      <c r="Q69" s="289"/>
      <c r="R69" s="289"/>
      <c r="S69" s="289"/>
    </row>
    <row r="70" spans="1:19" s="657" customFormat="1" ht="13">
      <c r="A70" s="755">
        <v>1832</v>
      </c>
      <c r="B70" s="756" t="s">
        <v>188</v>
      </c>
      <c r="C70" s="290">
        <v>4503</v>
      </c>
      <c r="D70" s="290">
        <v>4501</v>
      </c>
      <c r="E70" s="290">
        <v>4454</v>
      </c>
      <c r="F70" s="290">
        <v>4428</v>
      </c>
      <c r="G70" s="290">
        <v>4420</v>
      </c>
      <c r="H70" s="290">
        <v>4418</v>
      </c>
      <c r="I70" s="290">
        <v>4411</v>
      </c>
      <c r="J70" s="290">
        <v>4399</v>
      </c>
      <c r="K70" s="289">
        <v>4383</v>
      </c>
      <c r="L70" s="289"/>
      <c r="M70" s="289"/>
      <c r="N70" s="289"/>
      <c r="O70" s="289"/>
      <c r="P70" s="289"/>
      <c r="Q70" s="289"/>
      <c r="R70" s="289"/>
      <c r="S70" s="289"/>
    </row>
    <row r="71" spans="1:19" s="657" customFormat="1" ht="13">
      <c r="A71" s="755">
        <v>1833</v>
      </c>
      <c r="B71" s="756" t="s">
        <v>189</v>
      </c>
      <c r="C71" s="290">
        <v>26230</v>
      </c>
      <c r="D71" s="290">
        <v>26315</v>
      </c>
      <c r="E71" s="290">
        <v>26184</v>
      </c>
      <c r="F71" s="290">
        <v>26083</v>
      </c>
      <c r="G71" s="290">
        <v>26092</v>
      </c>
      <c r="H71" s="290">
        <v>26036</v>
      </c>
      <c r="I71" s="290">
        <v>25962</v>
      </c>
      <c r="J71" s="290">
        <v>25870</v>
      </c>
      <c r="K71" s="289">
        <v>25794</v>
      </c>
      <c r="L71" s="289"/>
      <c r="M71" s="289"/>
      <c r="N71" s="289"/>
      <c r="O71" s="289"/>
      <c r="P71" s="289"/>
      <c r="Q71" s="289"/>
      <c r="R71" s="289"/>
      <c r="S71" s="289"/>
    </row>
    <row r="72" spans="1:19" s="657" customFormat="1" ht="13">
      <c r="A72" s="755">
        <v>1834</v>
      </c>
      <c r="B72" s="756" t="s">
        <v>190</v>
      </c>
      <c r="C72" s="290">
        <v>1920</v>
      </c>
      <c r="D72" s="290">
        <v>1904</v>
      </c>
      <c r="E72" s="290">
        <v>1890</v>
      </c>
      <c r="F72" s="290">
        <v>1876</v>
      </c>
      <c r="G72" s="290">
        <v>1869</v>
      </c>
      <c r="H72" s="290">
        <v>1892</v>
      </c>
      <c r="I72" s="290">
        <v>1906</v>
      </c>
      <c r="J72" s="290">
        <v>1912</v>
      </c>
      <c r="K72" s="289">
        <v>1915</v>
      </c>
      <c r="L72" s="289"/>
      <c r="M72" s="289"/>
      <c r="N72" s="289"/>
      <c r="O72" s="289"/>
      <c r="P72" s="289"/>
      <c r="Q72" s="289"/>
      <c r="R72" s="289"/>
      <c r="S72" s="289"/>
    </row>
    <row r="73" spans="1:19" s="657" customFormat="1" ht="13">
      <c r="A73" s="755">
        <v>1835</v>
      </c>
      <c r="B73" s="756" t="s">
        <v>191</v>
      </c>
      <c r="C73" s="290">
        <v>454</v>
      </c>
      <c r="D73" s="290">
        <v>456</v>
      </c>
      <c r="E73" s="290">
        <v>435</v>
      </c>
      <c r="F73" s="290">
        <v>442</v>
      </c>
      <c r="G73" s="290">
        <v>450</v>
      </c>
      <c r="H73" s="290">
        <v>471</v>
      </c>
      <c r="I73" s="290">
        <v>486</v>
      </c>
      <c r="J73" s="290">
        <v>496</v>
      </c>
      <c r="K73" s="289">
        <v>503</v>
      </c>
      <c r="L73" s="289"/>
      <c r="M73" s="289"/>
      <c r="N73" s="289"/>
      <c r="O73" s="289"/>
      <c r="P73" s="289"/>
      <c r="Q73" s="289"/>
      <c r="R73" s="289"/>
      <c r="S73" s="289"/>
    </row>
    <row r="74" spans="1:19" s="657" customFormat="1" ht="13">
      <c r="A74" s="755">
        <v>1836</v>
      </c>
      <c r="B74" s="756" t="s">
        <v>192</v>
      </c>
      <c r="C74" s="290">
        <v>1249</v>
      </c>
      <c r="D74" s="290">
        <v>1238</v>
      </c>
      <c r="E74" s="290">
        <v>1213</v>
      </c>
      <c r="F74" s="290">
        <v>1206</v>
      </c>
      <c r="G74" s="290">
        <v>1153</v>
      </c>
      <c r="H74" s="290">
        <v>1134</v>
      </c>
      <c r="I74" s="290">
        <v>1117</v>
      </c>
      <c r="J74" s="290">
        <v>1102</v>
      </c>
      <c r="K74" s="289">
        <v>1090</v>
      </c>
      <c r="L74" s="289"/>
      <c r="M74" s="289"/>
      <c r="N74" s="289"/>
      <c r="O74" s="289"/>
      <c r="P74" s="289"/>
      <c r="Q74" s="289"/>
      <c r="R74" s="289"/>
      <c r="S74" s="289"/>
    </row>
    <row r="75" spans="1:19" s="657" customFormat="1" ht="13">
      <c r="A75" s="755">
        <v>1837</v>
      </c>
      <c r="B75" s="756" t="s">
        <v>193</v>
      </c>
      <c r="C75" s="290">
        <v>6346</v>
      </c>
      <c r="D75" s="290">
        <v>6331</v>
      </c>
      <c r="E75" s="290">
        <v>6288</v>
      </c>
      <c r="F75" s="290">
        <v>6247</v>
      </c>
      <c r="G75" s="290">
        <v>6214</v>
      </c>
      <c r="H75" s="290">
        <v>6155</v>
      </c>
      <c r="I75" s="290">
        <v>6099</v>
      </c>
      <c r="J75" s="290">
        <v>6044</v>
      </c>
      <c r="K75" s="289">
        <v>5997</v>
      </c>
      <c r="L75" s="289"/>
      <c r="M75" s="289"/>
      <c r="N75" s="289"/>
      <c r="O75" s="289"/>
      <c r="P75" s="289"/>
      <c r="Q75" s="289"/>
      <c r="R75" s="289"/>
      <c r="S75" s="289"/>
    </row>
    <row r="76" spans="1:19" s="657" customFormat="1" ht="13">
      <c r="A76" s="755">
        <v>1838</v>
      </c>
      <c r="B76" s="756" t="s">
        <v>194</v>
      </c>
      <c r="C76" s="290">
        <v>1998</v>
      </c>
      <c r="D76" s="290">
        <v>1978</v>
      </c>
      <c r="E76" s="290">
        <v>1950</v>
      </c>
      <c r="F76" s="290">
        <v>1920</v>
      </c>
      <c r="G76" s="290">
        <v>1894</v>
      </c>
      <c r="H76" s="290">
        <v>1917</v>
      </c>
      <c r="I76" s="290">
        <v>1935</v>
      </c>
      <c r="J76" s="290">
        <v>1949</v>
      </c>
      <c r="K76" s="289">
        <v>1962</v>
      </c>
      <c r="L76" s="289"/>
      <c r="M76" s="289"/>
      <c r="N76" s="289"/>
      <c r="O76" s="289"/>
      <c r="P76" s="289"/>
      <c r="Q76" s="289"/>
      <c r="R76" s="289"/>
      <c r="S76" s="289"/>
    </row>
    <row r="77" spans="1:19" s="657" customFormat="1" ht="13">
      <c r="A77" s="755">
        <v>1839</v>
      </c>
      <c r="B77" s="756" t="s">
        <v>195</v>
      </c>
      <c r="C77" s="290">
        <v>1029</v>
      </c>
      <c r="D77" s="290">
        <v>1022</v>
      </c>
      <c r="E77" s="290">
        <v>1017</v>
      </c>
      <c r="F77" s="290">
        <v>999</v>
      </c>
      <c r="G77" s="290">
        <v>1012</v>
      </c>
      <c r="H77" s="290">
        <v>1020</v>
      </c>
      <c r="I77" s="290">
        <v>1024</v>
      </c>
      <c r="J77" s="290">
        <v>1025</v>
      </c>
      <c r="K77" s="289">
        <v>1023</v>
      </c>
      <c r="L77" s="289"/>
      <c r="M77" s="289"/>
      <c r="N77" s="289"/>
      <c r="O77" s="289"/>
      <c r="P77" s="289"/>
      <c r="Q77" s="289"/>
      <c r="R77" s="289"/>
      <c r="S77" s="289"/>
    </row>
    <row r="78" spans="1:19" s="657" customFormat="1" ht="13">
      <c r="A78" s="755">
        <v>1840</v>
      </c>
      <c r="B78" s="756" t="s">
        <v>196</v>
      </c>
      <c r="C78" s="290">
        <v>4691</v>
      </c>
      <c r="D78" s="290">
        <v>4657</v>
      </c>
      <c r="E78" s="290">
        <v>4671</v>
      </c>
      <c r="F78" s="290">
        <v>4632</v>
      </c>
      <c r="G78" s="290">
        <v>4617</v>
      </c>
      <c r="H78" s="290">
        <v>4602</v>
      </c>
      <c r="I78" s="290">
        <v>4585</v>
      </c>
      <c r="J78" s="290">
        <v>4564</v>
      </c>
      <c r="K78" s="289">
        <v>4546</v>
      </c>
      <c r="L78" s="289"/>
      <c r="M78" s="289"/>
      <c r="N78" s="289"/>
      <c r="O78" s="289"/>
      <c r="P78" s="289"/>
      <c r="Q78" s="289"/>
      <c r="R78" s="289"/>
      <c r="S78" s="289"/>
    </row>
    <row r="79" spans="1:19" s="657" customFormat="1" ht="13">
      <c r="A79" s="755">
        <v>1841</v>
      </c>
      <c r="B79" s="756" t="s">
        <v>197</v>
      </c>
      <c r="C79" s="290">
        <v>9775</v>
      </c>
      <c r="D79" s="290">
        <v>9760</v>
      </c>
      <c r="E79" s="290">
        <v>9739</v>
      </c>
      <c r="F79" s="290">
        <v>9640</v>
      </c>
      <c r="G79" s="290">
        <v>9603</v>
      </c>
      <c r="H79" s="290">
        <v>9560</v>
      </c>
      <c r="I79" s="290">
        <v>9519</v>
      </c>
      <c r="J79" s="290">
        <v>9477</v>
      </c>
      <c r="K79" s="289">
        <v>9446</v>
      </c>
      <c r="L79" s="289"/>
      <c r="M79" s="289"/>
      <c r="N79" s="289"/>
      <c r="O79" s="289"/>
      <c r="P79" s="289"/>
      <c r="Q79" s="289"/>
      <c r="R79" s="289"/>
      <c r="S79" s="289"/>
    </row>
    <row r="80" spans="1:19" s="657" customFormat="1" ht="13">
      <c r="A80" s="755">
        <v>1845</v>
      </c>
      <c r="B80" s="756" t="s">
        <v>198</v>
      </c>
      <c r="C80" s="290">
        <v>1979</v>
      </c>
      <c r="D80" s="290">
        <v>1975</v>
      </c>
      <c r="E80" s="290">
        <v>1926</v>
      </c>
      <c r="F80" s="290">
        <v>1912</v>
      </c>
      <c r="G80" s="290">
        <v>1869</v>
      </c>
      <c r="H80" s="290">
        <v>1864</v>
      </c>
      <c r="I80" s="290">
        <v>1857</v>
      </c>
      <c r="J80" s="290">
        <v>1848</v>
      </c>
      <c r="K80" s="289">
        <v>1842</v>
      </c>
      <c r="L80" s="289"/>
      <c r="M80" s="289"/>
      <c r="N80" s="289"/>
      <c r="O80" s="289"/>
      <c r="P80" s="289"/>
      <c r="Q80" s="289"/>
      <c r="R80" s="289"/>
      <c r="S80" s="289"/>
    </row>
    <row r="81" spans="1:20" s="657" customFormat="1" ht="13">
      <c r="A81" s="755">
        <v>1848</v>
      </c>
      <c r="B81" s="756" t="s">
        <v>199</v>
      </c>
      <c r="C81" s="290">
        <v>2534</v>
      </c>
      <c r="D81" s="290">
        <v>2576</v>
      </c>
      <c r="E81" s="290">
        <v>2608</v>
      </c>
      <c r="F81" s="290">
        <v>2586</v>
      </c>
      <c r="G81" s="290">
        <v>2591</v>
      </c>
      <c r="H81" s="290">
        <v>2632</v>
      </c>
      <c r="I81" s="290">
        <v>2659</v>
      </c>
      <c r="J81" s="290">
        <v>2674</v>
      </c>
      <c r="K81" s="289">
        <v>2685</v>
      </c>
      <c r="L81" s="289"/>
      <c r="M81" s="289"/>
      <c r="N81" s="289"/>
      <c r="O81" s="289"/>
      <c r="P81" s="289"/>
      <c r="Q81" s="289"/>
      <c r="R81" s="289"/>
      <c r="S81" s="289"/>
    </row>
    <row r="82" spans="1:20" s="657" customFormat="1" ht="13">
      <c r="A82" s="755">
        <v>1851</v>
      </c>
      <c r="B82" s="756" t="s">
        <v>202</v>
      </c>
      <c r="C82" s="290">
        <v>2102</v>
      </c>
      <c r="D82" s="290">
        <v>2077</v>
      </c>
      <c r="E82" s="290">
        <v>2034</v>
      </c>
      <c r="F82" s="290">
        <v>2003</v>
      </c>
      <c r="G82" s="290">
        <v>1976</v>
      </c>
      <c r="H82" s="290">
        <v>1979</v>
      </c>
      <c r="I82" s="290">
        <v>1982</v>
      </c>
      <c r="J82" s="290">
        <v>1984</v>
      </c>
      <c r="K82" s="289">
        <v>1989</v>
      </c>
      <c r="L82" s="289"/>
      <c r="M82" s="289"/>
      <c r="N82" s="289"/>
      <c r="O82" s="289"/>
      <c r="P82" s="289"/>
      <c r="Q82" s="289"/>
      <c r="R82" s="289"/>
      <c r="S82" s="289"/>
    </row>
    <row r="83" spans="1:20" s="657" customFormat="1" ht="13">
      <c r="A83" s="755">
        <v>1853</v>
      </c>
      <c r="B83" s="756" t="s">
        <v>204</v>
      </c>
      <c r="C83" s="290">
        <v>1387</v>
      </c>
      <c r="D83" s="290">
        <v>1387</v>
      </c>
      <c r="E83" s="290">
        <v>1348</v>
      </c>
      <c r="F83" s="290">
        <v>1324</v>
      </c>
      <c r="G83" s="290">
        <v>1334</v>
      </c>
      <c r="H83" s="290">
        <v>1369</v>
      </c>
      <c r="I83" s="290">
        <v>1395</v>
      </c>
      <c r="J83" s="290">
        <v>1411</v>
      </c>
      <c r="K83" s="289">
        <v>1422</v>
      </c>
      <c r="L83" s="289"/>
      <c r="M83" s="289"/>
      <c r="N83" s="289"/>
      <c r="O83" s="289"/>
      <c r="P83" s="289"/>
      <c r="Q83" s="289"/>
      <c r="R83" s="289"/>
      <c r="S83" s="289"/>
    </row>
    <row r="84" spans="1:20" s="657" customFormat="1" ht="13">
      <c r="A84" s="755">
        <v>1856</v>
      </c>
      <c r="B84" s="756" t="s">
        <v>206</v>
      </c>
      <c r="C84" s="290">
        <v>517</v>
      </c>
      <c r="D84" s="290">
        <v>508</v>
      </c>
      <c r="E84" s="290">
        <v>498</v>
      </c>
      <c r="F84" s="290">
        <v>488</v>
      </c>
      <c r="G84" s="290">
        <v>469</v>
      </c>
      <c r="H84" s="290">
        <v>461</v>
      </c>
      <c r="I84" s="290">
        <v>455</v>
      </c>
      <c r="J84" s="290">
        <v>450</v>
      </c>
      <c r="K84" s="289">
        <v>446</v>
      </c>
      <c r="L84" s="289"/>
      <c r="M84" s="289"/>
      <c r="N84" s="289"/>
      <c r="O84" s="289"/>
      <c r="P84" s="289"/>
      <c r="Q84" s="289"/>
      <c r="R84" s="289"/>
      <c r="S84" s="289"/>
    </row>
    <row r="85" spans="1:20" s="657" customFormat="1" ht="13">
      <c r="A85" s="755">
        <v>1857</v>
      </c>
      <c r="B85" s="756" t="s">
        <v>207</v>
      </c>
      <c r="C85" s="290">
        <v>746</v>
      </c>
      <c r="D85" s="290">
        <v>732</v>
      </c>
      <c r="E85" s="290">
        <v>728</v>
      </c>
      <c r="F85" s="290">
        <v>698</v>
      </c>
      <c r="G85" s="290">
        <v>678</v>
      </c>
      <c r="H85" s="290">
        <v>676</v>
      </c>
      <c r="I85" s="290">
        <v>674</v>
      </c>
      <c r="J85" s="290">
        <v>672</v>
      </c>
      <c r="K85" s="289">
        <v>671</v>
      </c>
      <c r="L85" s="289"/>
      <c r="M85" s="289"/>
      <c r="N85" s="289"/>
      <c r="O85" s="289"/>
      <c r="P85" s="289"/>
      <c r="Q85" s="289"/>
      <c r="R85" s="289"/>
      <c r="S85" s="289"/>
    </row>
    <row r="86" spans="1:20" s="657" customFormat="1" ht="13">
      <c r="A86" s="755">
        <v>1859</v>
      </c>
      <c r="B86" s="756" t="s">
        <v>208</v>
      </c>
      <c r="C86" s="290">
        <v>1301</v>
      </c>
      <c r="D86" s="290">
        <v>1292</v>
      </c>
      <c r="E86" s="290">
        <v>1272</v>
      </c>
      <c r="F86" s="290">
        <v>1238</v>
      </c>
      <c r="G86" s="290">
        <v>1216</v>
      </c>
      <c r="H86" s="290">
        <v>1226</v>
      </c>
      <c r="I86" s="290">
        <v>1231</v>
      </c>
      <c r="J86" s="290">
        <v>1231</v>
      </c>
      <c r="K86" s="289">
        <v>1231</v>
      </c>
      <c r="L86" s="289"/>
      <c r="M86" s="289"/>
      <c r="N86" s="289"/>
      <c r="O86" s="289"/>
      <c r="P86" s="289"/>
      <c r="Q86" s="289"/>
      <c r="R86" s="289"/>
      <c r="S86" s="289"/>
    </row>
    <row r="87" spans="1:20" s="657" customFormat="1" ht="13">
      <c r="A87" s="755">
        <v>1860</v>
      </c>
      <c r="B87" s="756" t="s">
        <v>209</v>
      </c>
      <c r="C87" s="290">
        <v>11397</v>
      </c>
      <c r="D87" s="290">
        <v>11480</v>
      </c>
      <c r="E87" s="290">
        <v>11433</v>
      </c>
      <c r="F87" s="290">
        <v>11521</v>
      </c>
      <c r="G87" s="290">
        <v>11566</v>
      </c>
      <c r="H87" s="290">
        <v>11603</v>
      </c>
      <c r="I87" s="290">
        <v>11619</v>
      </c>
      <c r="J87" s="290">
        <v>11616</v>
      </c>
      <c r="K87" s="289">
        <v>11618</v>
      </c>
      <c r="L87" s="289"/>
      <c r="M87" s="289"/>
      <c r="N87" s="289"/>
      <c r="O87" s="289"/>
      <c r="P87" s="289"/>
      <c r="Q87" s="289"/>
      <c r="R87" s="289"/>
      <c r="S87" s="289"/>
    </row>
    <row r="88" spans="1:20" s="657" customFormat="1" ht="13">
      <c r="A88" s="755">
        <v>1865</v>
      </c>
      <c r="B88" s="756" t="s">
        <v>210</v>
      </c>
      <c r="C88" s="290">
        <v>9611</v>
      </c>
      <c r="D88" s="290">
        <v>9595</v>
      </c>
      <c r="E88" s="290">
        <v>9608</v>
      </c>
      <c r="F88" s="290">
        <v>9670</v>
      </c>
      <c r="G88" s="290">
        <v>9724</v>
      </c>
      <c r="H88" s="290">
        <v>9850</v>
      </c>
      <c r="I88" s="290">
        <v>9923</v>
      </c>
      <c r="J88" s="290">
        <v>9951</v>
      </c>
      <c r="K88" s="289">
        <v>9974</v>
      </c>
      <c r="L88" s="289"/>
      <c r="M88" s="289"/>
      <c r="N88" s="289"/>
      <c r="O88" s="289"/>
      <c r="P88" s="289"/>
      <c r="Q88" s="289"/>
      <c r="R88" s="289"/>
      <c r="S88" s="289"/>
    </row>
    <row r="89" spans="1:20" s="657" customFormat="1" ht="13">
      <c r="A89" s="755">
        <v>1866</v>
      </c>
      <c r="B89" s="756" t="s">
        <v>211</v>
      </c>
      <c r="C89" s="290">
        <v>8042</v>
      </c>
      <c r="D89" s="290">
        <v>8091</v>
      </c>
      <c r="E89" s="290">
        <v>8061</v>
      </c>
      <c r="F89" s="290">
        <v>8065</v>
      </c>
      <c r="G89" s="290">
        <v>8107</v>
      </c>
      <c r="H89" s="290">
        <v>8161</v>
      </c>
      <c r="I89" s="290">
        <v>8190</v>
      </c>
      <c r="J89" s="290">
        <v>8194</v>
      </c>
      <c r="K89" s="289">
        <v>8197</v>
      </c>
      <c r="L89" s="289"/>
      <c r="M89" s="289"/>
      <c r="N89" s="289"/>
      <c r="O89" s="289"/>
      <c r="P89" s="289"/>
      <c r="Q89" s="289"/>
      <c r="R89" s="289"/>
      <c r="S89" s="289"/>
    </row>
    <row r="90" spans="1:20" s="657" customFormat="1" ht="13">
      <c r="A90" s="755">
        <v>1867</v>
      </c>
      <c r="B90" s="756" t="s">
        <v>913</v>
      </c>
      <c r="C90" s="290">
        <v>2623</v>
      </c>
      <c r="D90" s="290">
        <v>2616</v>
      </c>
      <c r="E90" s="290">
        <v>2569</v>
      </c>
      <c r="F90" s="290">
        <v>2576</v>
      </c>
      <c r="G90" s="290">
        <v>2565</v>
      </c>
      <c r="H90" s="290">
        <v>2565</v>
      </c>
      <c r="I90" s="290">
        <v>2562</v>
      </c>
      <c r="J90" s="290">
        <v>2554</v>
      </c>
      <c r="K90" s="289">
        <v>2545</v>
      </c>
      <c r="L90" s="289"/>
      <c r="M90" s="289"/>
      <c r="N90" s="289"/>
      <c r="O90" s="289"/>
      <c r="P90" s="289"/>
      <c r="Q90" s="289"/>
      <c r="R90" s="289"/>
      <c r="S90" s="289"/>
    </row>
    <row r="91" spans="1:20" s="657" customFormat="1" ht="13">
      <c r="A91" s="755">
        <v>1868</v>
      </c>
      <c r="B91" s="756" t="s">
        <v>212</v>
      </c>
      <c r="C91" s="290">
        <v>4541</v>
      </c>
      <c r="D91" s="290">
        <v>4449</v>
      </c>
      <c r="E91" s="290">
        <v>4410</v>
      </c>
      <c r="F91" s="290">
        <v>4416</v>
      </c>
      <c r="G91" s="290">
        <v>4458</v>
      </c>
      <c r="H91" s="290">
        <v>4509</v>
      </c>
      <c r="I91" s="290">
        <v>4533</v>
      </c>
      <c r="J91" s="290">
        <v>4531</v>
      </c>
      <c r="K91" s="289">
        <v>4523</v>
      </c>
      <c r="L91" s="289"/>
      <c r="M91" s="289"/>
      <c r="N91" s="289"/>
      <c r="O91" s="289"/>
      <c r="P91" s="289"/>
      <c r="Q91" s="289"/>
      <c r="R91" s="289"/>
      <c r="S91" s="289"/>
    </row>
    <row r="92" spans="1:20" s="657" customFormat="1" ht="13">
      <c r="A92" s="755">
        <v>1870</v>
      </c>
      <c r="B92" s="756" t="s">
        <v>213</v>
      </c>
      <c r="C92" s="290">
        <v>10401</v>
      </c>
      <c r="D92" s="290">
        <v>10518</v>
      </c>
      <c r="E92" s="290">
        <v>10566</v>
      </c>
      <c r="F92" s="290">
        <v>10514</v>
      </c>
      <c r="G92" s="290">
        <v>10468</v>
      </c>
      <c r="H92" s="290">
        <v>10458</v>
      </c>
      <c r="I92" s="290">
        <v>10442</v>
      </c>
      <c r="J92" s="290">
        <v>10418</v>
      </c>
      <c r="K92" s="289">
        <v>10405</v>
      </c>
      <c r="L92" s="289"/>
      <c r="M92" s="289"/>
      <c r="N92" s="289"/>
      <c r="O92" s="289"/>
      <c r="P92" s="289"/>
      <c r="Q92" s="289"/>
      <c r="R92" s="289"/>
      <c r="S92" s="289"/>
    </row>
    <row r="93" spans="1:20" s="657" customFormat="1" ht="13">
      <c r="A93" s="755">
        <v>1871</v>
      </c>
      <c r="B93" s="756" t="s">
        <v>214</v>
      </c>
      <c r="C93" s="290">
        <v>4902</v>
      </c>
      <c r="D93" s="290">
        <v>4771</v>
      </c>
      <c r="E93" s="290">
        <v>4663</v>
      </c>
      <c r="F93" s="290">
        <v>4588</v>
      </c>
      <c r="G93" s="290">
        <v>4572</v>
      </c>
      <c r="H93" s="290">
        <v>4598</v>
      </c>
      <c r="I93" s="290">
        <v>4608</v>
      </c>
      <c r="J93" s="290">
        <v>4602</v>
      </c>
      <c r="K93" s="289">
        <v>4592</v>
      </c>
      <c r="L93" s="289"/>
      <c r="M93" s="289"/>
      <c r="N93" s="289"/>
      <c r="O93" s="289"/>
      <c r="P93" s="289"/>
      <c r="Q93" s="289"/>
      <c r="R93" s="289"/>
      <c r="S93" s="289"/>
    </row>
    <row r="94" spans="1:20" s="657" customFormat="1" ht="13">
      <c r="A94" s="755">
        <v>1874</v>
      </c>
      <c r="B94" s="756" t="s">
        <v>215</v>
      </c>
      <c r="C94" s="290">
        <v>1068</v>
      </c>
      <c r="D94" s="290">
        <v>1039</v>
      </c>
      <c r="E94" s="290">
        <v>1015</v>
      </c>
      <c r="F94" s="290">
        <v>989</v>
      </c>
      <c r="G94" s="290">
        <v>982</v>
      </c>
      <c r="H94" s="290">
        <v>1016</v>
      </c>
      <c r="I94" s="290">
        <v>1037</v>
      </c>
      <c r="J94" s="290">
        <v>1047</v>
      </c>
      <c r="K94" s="289">
        <v>1055</v>
      </c>
      <c r="L94" s="289"/>
      <c r="M94" s="289"/>
      <c r="N94" s="289"/>
      <c r="O94" s="289"/>
      <c r="P94" s="289"/>
      <c r="Q94" s="289"/>
      <c r="R94" s="289"/>
      <c r="S94" s="289"/>
    </row>
    <row r="95" spans="1:20" s="657" customFormat="1" ht="13">
      <c r="A95" s="755">
        <v>1875</v>
      </c>
      <c r="B95" s="756" t="s">
        <v>200</v>
      </c>
      <c r="C95" s="290">
        <v>2851.0545454545454</v>
      </c>
      <c r="D95" s="290">
        <v>2782</v>
      </c>
      <c r="E95" s="290">
        <v>2766</v>
      </c>
      <c r="F95" s="290">
        <v>2701</v>
      </c>
      <c r="G95" s="290">
        <v>2708</v>
      </c>
      <c r="H95" s="290">
        <v>2755</v>
      </c>
      <c r="I95" s="290">
        <v>2785</v>
      </c>
      <c r="J95" s="290">
        <v>2801</v>
      </c>
      <c r="K95" s="289">
        <v>2812</v>
      </c>
      <c r="L95" s="289"/>
      <c r="M95" s="289"/>
      <c r="N95" s="289"/>
      <c r="O95" s="289"/>
      <c r="P95" s="289"/>
      <c r="Q95" s="289"/>
      <c r="R95" s="289"/>
      <c r="S95" s="289"/>
    </row>
    <row r="96" spans="1:20" s="657" customFormat="1" ht="13">
      <c r="A96" s="755">
        <v>3001</v>
      </c>
      <c r="B96" s="756" t="s">
        <v>783</v>
      </c>
      <c r="C96" s="290">
        <v>31037</v>
      </c>
      <c r="D96" s="290">
        <v>31177</v>
      </c>
      <c r="E96" s="290">
        <v>31373</v>
      </c>
      <c r="F96" s="290">
        <v>31387</v>
      </c>
      <c r="G96" s="290">
        <v>31444</v>
      </c>
      <c r="H96" s="290">
        <v>31512</v>
      </c>
      <c r="I96" s="290">
        <v>31580</v>
      </c>
      <c r="J96" s="290">
        <v>31639</v>
      </c>
      <c r="K96" s="289">
        <v>31729</v>
      </c>
      <c r="L96" s="289"/>
      <c r="M96" s="289"/>
      <c r="N96" s="289"/>
      <c r="O96" s="289"/>
      <c r="P96" s="289"/>
      <c r="Q96" s="289"/>
      <c r="R96" s="289"/>
      <c r="S96" s="289"/>
      <c r="T96" s="290"/>
    </row>
    <row r="97" spans="1:20" s="657" customFormat="1" ht="13">
      <c r="A97" s="755">
        <v>3002</v>
      </c>
      <c r="B97" s="756" t="s">
        <v>784</v>
      </c>
      <c r="C97" s="290">
        <v>48671</v>
      </c>
      <c r="D97" s="290">
        <v>48871</v>
      </c>
      <c r="E97" s="290">
        <v>49273</v>
      </c>
      <c r="F97" s="290">
        <v>49668</v>
      </c>
      <c r="G97" s="290">
        <v>50290</v>
      </c>
      <c r="H97" s="290">
        <v>50862</v>
      </c>
      <c r="I97" s="290">
        <v>51326</v>
      </c>
      <c r="J97" s="290">
        <v>51685</v>
      </c>
      <c r="K97" s="289">
        <v>52034</v>
      </c>
      <c r="L97" s="289"/>
      <c r="M97" s="289"/>
      <c r="N97" s="289"/>
      <c r="O97" s="289"/>
      <c r="P97" s="289"/>
      <c r="Q97" s="289"/>
      <c r="R97" s="289"/>
      <c r="S97" s="289"/>
      <c r="T97" s="290"/>
    </row>
    <row r="98" spans="1:20" s="657" customFormat="1" ht="13">
      <c r="A98" s="755">
        <v>3003</v>
      </c>
      <c r="B98" s="756" t="s">
        <v>785</v>
      </c>
      <c r="C98" s="290">
        <v>55543</v>
      </c>
      <c r="D98" s="290">
        <v>55997</v>
      </c>
      <c r="E98" s="290">
        <v>56732</v>
      </c>
      <c r="F98" s="290">
        <v>57372</v>
      </c>
      <c r="G98" s="290">
        <v>58182</v>
      </c>
      <c r="H98" s="290">
        <v>58847</v>
      </c>
      <c r="I98" s="290">
        <v>59371</v>
      </c>
      <c r="J98" s="290">
        <v>59756</v>
      </c>
      <c r="K98" s="289">
        <v>60092</v>
      </c>
      <c r="L98" s="289"/>
      <c r="M98" s="289"/>
      <c r="N98" s="289"/>
      <c r="O98" s="289"/>
      <c r="P98" s="289"/>
      <c r="Q98" s="289"/>
      <c r="R98" s="289"/>
      <c r="S98" s="289"/>
    </row>
    <row r="99" spans="1:20" s="657" customFormat="1" ht="13">
      <c r="A99" s="755">
        <v>3004</v>
      </c>
      <c r="B99" s="756" t="s">
        <v>786</v>
      </c>
      <c r="C99" s="290">
        <v>80977</v>
      </c>
      <c r="D99" s="290">
        <v>81772</v>
      </c>
      <c r="E99" s="290">
        <v>82385</v>
      </c>
      <c r="F99" s="290">
        <v>83193</v>
      </c>
      <c r="G99" s="290">
        <v>83892</v>
      </c>
      <c r="H99" s="290">
        <v>84501</v>
      </c>
      <c r="I99" s="290">
        <v>85023</v>
      </c>
      <c r="J99" s="290">
        <v>85456</v>
      </c>
      <c r="K99" s="289">
        <v>85921</v>
      </c>
      <c r="L99" s="289"/>
      <c r="M99" s="289"/>
      <c r="N99" s="289"/>
      <c r="O99" s="289"/>
      <c r="P99" s="289"/>
      <c r="Q99" s="289"/>
      <c r="R99" s="289"/>
      <c r="S99" s="289"/>
    </row>
    <row r="100" spans="1:20" s="657" customFormat="1" ht="13">
      <c r="A100" s="755">
        <v>3005</v>
      </c>
      <c r="B100" s="756" t="s">
        <v>871</v>
      </c>
      <c r="C100" s="290">
        <f>100302-34</f>
        <v>100268</v>
      </c>
      <c r="D100" s="290">
        <f>100581-35</f>
        <v>100546</v>
      </c>
      <c r="E100" s="290">
        <f>101386-35</f>
        <v>101351</v>
      </c>
      <c r="F100" s="290">
        <f>101859-35</f>
        <v>101824</v>
      </c>
      <c r="G100" s="290">
        <v>102273</v>
      </c>
      <c r="H100" s="290">
        <v>102898</v>
      </c>
      <c r="I100" s="290">
        <v>103371</v>
      </c>
      <c r="J100" s="290">
        <v>103685</v>
      </c>
      <c r="K100" s="289">
        <v>104060</v>
      </c>
      <c r="L100" s="289"/>
      <c r="M100" s="289"/>
      <c r="N100" s="289"/>
      <c r="O100" s="289"/>
      <c r="P100" s="289"/>
      <c r="Q100" s="289"/>
      <c r="R100" s="289"/>
      <c r="S100" s="289"/>
    </row>
    <row r="101" spans="1:20" s="657" customFormat="1" ht="13">
      <c r="A101" s="755">
        <v>3006</v>
      </c>
      <c r="B101" s="756" t="s">
        <v>872</v>
      </c>
      <c r="C101" s="290">
        <v>27410</v>
      </c>
      <c r="D101" s="290">
        <v>27481</v>
      </c>
      <c r="E101" s="290">
        <v>27723</v>
      </c>
      <c r="F101" s="290">
        <v>27694</v>
      </c>
      <c r="G101" s="290">
        <v>27879</v>
      </c>
      <c r="H101" s="290">
        <v>28097</v>
      </c>
      <c r="I101" s="290">
        <v>28269</v>
      </c>
      <c r="J101" s="290">
        <v>28391</v>
      </c>
      <c r="K101" s="289">
        <v>28525</v>
      </c>
      <c r="L101" s="289"/>
      <c r="M101" s="289"/>
      <c r="N101" s="289"/>
      <c r="O101" s="289"/>
      <c r="P101" s="289"/>
      <c r="Q101" s="289"/>
      <c r="R101" s="289"/>
      <c r="S101" s="289"/>
    </row>
    <row r="102" spans="1:20" s="657" customFormat="1" ht="13">
      <c r="A102" s="755">
        <v>3007</v>
      </c>
      <c r="B102" s="756" t="s">
        <v>873</v>
      </c>
      <c r="C102" s="290">
        <v>30283</v>
      </c>
      <c r="D102" s="290">
        <v>30442</v>
      </c>
      <c r="E102" s="290">
        <v>30641</v>
      </c>
      <c r="F102" s="290">
        <v>30835</v>
      </c>
      <c r="G102" s="290">
        <v>31011</v>
      </c>
      <c r="H102" s="290">
        <v>31277</v>
      </c>
      <c r="I102" s="290">
        <v>31491</v>
      </c>
      <c r="J102" s="290">
        <v>31653</v>
      </c>
      <c r="K102" s="289">
        <v>31814</v>
      </c>
      <c r="L102" s="289"/>
      <c r="M102" s="289"/>
      <c r="N102" s="289"/>
      <c r="O102" s="289"/>
      <c r="P102" s="289"/>
      <c r="Q102" s="289"/>
      <c r="R102" s="289"/>
      <c r="S102" s="289"/>
    </row>
    <row r="103" spans="1:20" s="657" customFormat="1" ht="13">
      <c r="A103" s="755">
        <v>3011</v>
      </c>
      <c r="B103" s="756" t="s">
        <v>787</v>
      </c>
      <c r="C103" s="290">
        <v>4540</v>
      </c>
      <c r="D103" s="290">
        <v>4599</v>
      </c>
      <c r="E103" s="290">
        <v>4668</v>
      </c>
      <c r="F103" s="290">
        <v>4694</v>
      </c>
      <c r="G103" s="290">
        <v>4741</v>
      </c>
      <c r="H103" s="290">
        <v>4827</v>
      </c>
      <c r="I103" s="290">
        <v>4906</v>
      </c>
      <c r="J103" s="290">
        <v>4980</v>
      </c>
      <c r="K103" s="289">
        <v>5054</v>
      </c>
      <c r="L103" s="289"/>
      <c r="M103" s="289"/>
      <c r="N103" s="289"/>
      <c r="O103" s="289"/>
      <c r="P103" s="289"/>
      <c r="Q103" s="289"/>
      <c r="R103" s="289"/>
      <c r="S103" s="289"/>
    </row>
    <row r="104" spans="1:20" s="657" customFormat="1" ht="13">
      <c r="A104" s="755">
        <v>3012</v>
      </c>
      <c r="B104" s="756" t="s">
        <v>788</v>
      </c>
      <c r="C104" s="290">
        <v>1399</v>
      </c>
      <c r="D104" s="290">
        <v>1357</v>
      </c>
      <c r="E104" s="290">
        <v>1325</v>
      </c>
      <c r="F104" s="290">
        <v>1325</v>
      </c>
      <c r="G104" s="290">
        <v>1315</v>
      </c>
      <c r="H104" s="290">
        <v>1319</v>
      </c>
      <c r="I104" s="290">
        <v>1324</v>
      </c>
      <c r="J104" s="290">
        <v>1330</v>
      </c>
      <c r="K104" s="289">
        <v>1336</v>
      </c>
      <c r="L104" s="289"/>
      <c r="M104" s="289"/>
      <c r="N104" s="289"/>
      <c r="O104" s="289"/>
      <c r="P104" s="289"/>
      <c r="Q104" s="289"/>
      <c r="R104" s="289"/>
      <c r="S104" s="289"/>
    </row>
    <row r="105" spans="1:20" s="657" customFormat="1" ht="13">
      <c r="A105" s="755">
        <v>3013</v>
      </c>
      <c r="B105" s="756" t="s">
        <v>789</v>
      </c>
      <c r="C105" s="290">
        <v>3567</v>
      </c>
      <c r="D105" s="290">
        <v>3592</v>
      </c>
      <c r="E105" s="290">
        <v>3595</v>
      </c>
      <c r="F105" s="290">
        <v>3601</v>
      </c>
      <c r="G105" s="290">
        <v>3578</v>
      </c>
      <c r="H105" s="290">
        <v>3583</v>
      </c>
      <c r="I105" s="290">
        <v>3590</v>
      </c>
      <c r="J105" s="290">
        <v>3598</v>
      </c>
      <c r="K105" s="289">
        <v>3611</v>
      </c>
      <c r="L105" s="289"/>
      <c r="M105" s="289"/>
      <c r="N105" s="289"/>
      <c r="O105" s="289"/>
      <c r="P105" s="289"/>
      <c r="Q105" s="289"/>
      <c r="R105" s="289"/>
      <c r="S105" s="289"/>
    </row>
    <row r="106" spans="1:20" s="657" customFormat="1" ht="13">
      <c r="A106" s="755">
        <v>3014</v>
      </c>
      <c r="B106" s="756" t="s">
        <v>1802</v>
      </c>
      <c r="C106" s="290">
        <f>44035-5</f>
        <v>44030</v>
      </c>
      <c r="D106" s="290">
        <f>44320-5</f>
        <v>44315</v>
      </c>
      <c r="E106" s="290">
        <f>44792-5</f>
        <v>44787</v>
      </c>
      <c r="F106" s="290">
        <v>45201</v>
      </c>
      <c r="G106" s="290">
        <v>45608</v>
      </c>
      <c r="H106" s="290">
        <v>46110</v>
      </c>
      <c r="I106" s="290">
        <v>46530</v>
      </c>
      <c r="J106" s="290">
        <v>46864</v>
      </c>
      <c r="K106" s="289">
        <v>47190</v>
      </c>
      <c r="L106" s="289"/>
      <c r="M106" s="289"/>
      <c r="N106" s="289"/>
      <c r="O106" s="289"/>
      <c r="P106" s="289"/>
      <c r="Q106" s="289"/>
      <c r="R106" s="289"/>
      <c r="S106" s="289"/>
    </row>
    <row r="107" spans="1:20" s="657" customFormat="1" ht="13">
      <c r="A107" s="755">
        <v>3015</v>
      </c>
      <c r="B107" s="756" t="s">
        <v>795</v>
      </c>
      <c r="C107" s="290">
        <f>3831</f>
        <v>3831</v>
      </c>
      <c r="D107" s="290">
        <f>3797</f>
        <v>3797</v>
      </c>
      <c r="E107" s="290">
        <f>3805</f>
        <v>3805</v>
      </c>
      <c r="F107" s="290">
        <v>3825</v>
      </c>
      <c r="G107" s="290">
        <v>3846</v>
      </c>
      <c r="H107" s="290">
        <v>3906</v>
      </c>
      <c r="I107" s="290">
        <v>3959</v>
      </c>
      <c r="J107" s="290">
        <v>4004</v>
      </c>
      <c r="K107" s="289">
        <v>4046</v>
      </c>
      <c r="L107" s="289"/>
      <c r="M107" s="289"/>
      <c r="N107" s="289"/>
      <c r="O107" s="289"/>
      <c r="P107" s="289"/>
      <c r="Q107" s="289"/>
      <c r="R107" s="289"/>
      <c r="S107" s="289"/>
    </row>
    <row r="108" spans="1:20" s="657" customFormat="1" ht="13">
      <c r="A108" s="755">
        <v>3016</v>
      </c>
      <c r="B108" s="756" t="s">
        <v>796</v>
      </c>
      <c r="C108" s="290">
        <f>8202+5</f>
        <v>8207</v>
      </c>
      <c r="D108" s="290">
        <f>8230+5</f>
        <v>8235</v>
      </c>
      <c r="E108" s="290">
        <f>8255+5</f>
        <v>8260</v>
      </c>
      <c r="F108" s="290">
        <v>8222</v>
      </c>
      <c r="G108" s="290">
        <v>8312</v>
      </c>
      <c r="H108" s="290">
        <v>8414</v>
      </c>
      <c r="I108" s="290">
        <v>8495</v>
      </c>
      <c r="J108" s="290">
        <v>8557</v>
      </c>
      <c r="K108" s="289">
        <v>8615</v>
      </c>
      <c r="L108" s="289"/>
      <c r="M108" s="289"/>
      <c r="N108" s="289"/>
      <c r="O108" s="289"/>
      <c r="P108" s="289"/>
      <c r="Q108" s="289"/>
      <c r="R108" s="289"/>
      <c r="S108" s="289"/>
    </row>
    <row r="109" spans="1:20" s="657" customFormat="1" ht="13">
      <c r="A109" s="755">
        <v>3017</v>
      </c>
      <c r="B109" s="756" t="s">
        <v>797</v>
      </c>
      <c r="C109" s="290">
        <v>7465</v>
      </c>
      <c r="D109" s="290">
        <v>7542</v>
      </c>
      <c r="E109" s="290">
        <v>7508</v>
      </c>
      <c r="F109" s="290">
        <v>7568</v>
      </c>
      <c r="G109" s="290">
        <v>7633</v>
      </c>
      <c r="H109" s="290">
        <v>7779</v>
      </c>
      <c r="I109" s="290">
        <v>7899</v>
      </c>
      <c r="J109" s="290">
        <v>7997</v>
      </c>
      <c r="K109" s="289">
        <v>8083</v>
      </c>
      <c r="L109" s="289"/>
      <c r="M109" s="289"/>
      <c r="N109" s="289"/>
      <c r="O109" s="289"/>
      <c r="P109" s="289"/>
      <c r="Q109" s="289"/>
      <c r="R109" s="289"/>
      <c r="S109" s="289"/>
    </row>
    <row r="110" spans="1:20" s="657" customFormat="1" ht="13">
      <c r="A110" s="755">
        <v>3018</v>
      </c>
      <c r="B110" s="756" t="s">
        <v>799</v>
      </c>
      <c r="C110" s="290">
        <v>5471</v>
      </c>
      <c r="D110" s="290">
        <v>5593</v>
      </c>
      <c r="E110" s="290">
        <v>5736</v>
      </c>
      <c r="F110" s="290">
        <v>5805</v>
      </c>
      <c r="G110" s="290">
        <v>5913</v>
      </c>
      <c r="H110" s="290">
        <v>6128</v>
      </c>
      <c r="I110" s="290">
        <v>6318</v>
      </c>
      <c r="J110" s="290">
        <v>6481</v>
      </c>
      <c r="K110" s="289">
        <v>6627</v>
      </c>
      <c r="L110" s="289"/>
      <c r="M110" s="289"/>
      <c r="N110" s="289"/>
      <c r="O110" s="289"/>
      <c r="P110" s="289"/>
      <c r="Q110" s="289"/>
      <c r="R110" s="289"/>
      <c r="S110" s="289"/>
    </row>
    <row r="111" spans="1:20" s="657" customFormat="1" ht="13">
      <c r="A111" s="755">
        <v>3019</v>
      </c>
      <c r="B111" s="756" t="s">
        <v>801</v>
      </c>
      <c r="C111" s="290">
        <v>17486</v>
      </c>
      <c r="D111" s="290">
        <v>17824</v>
      </c>
      <c r="E111" s="290">
        <v>18042</v>
      </c>
      <c r="F111" s="290">
        <v>18290</v>
      </c>
      <c r="G111" s="290">
        <v>18699</v>
      </c>
      <c r="H111" s="290">
        <v>19051</v>
      </c>
      <c r="I111" s="290">
        <v>19348</v>
      </c>
      <c r="J111" s="290">
        <v>19595</v>
      </c>
      <c r="K111" s="289">
        <v>19830</v>
      </c>
      <c r="L111" s="289"/>
      <c r="M111" s="289"/>
      <c r="N111" s="289"/>
      <c r="O111" s="289"/>
      <c r="P111" s="289"/>
      <c r="Q111" s="289"/>
      <c r="R111" s="289"/>
      <c r="S111" s="289"/>
    </row>
    <row r="112" spans="1:20" s="657" customFormat="1" ht="13">
      <c r="A112" s="755">
        <v>3020</v>
      </c>
      <c r="B112" s="756" t="s">
        <v>1790</v>
      </c>
      <c r="C112" s="290">
        <v>58255</v>
      </c>
      <c r="D112" s="290">
        <v>58434</v>
      </c>
      <c r="E112" s="290">
        <v>59288</v>
      </c>
      <c r="F112" s="290">
        <v>60034</v>
      </c>
      <c r="G112" s="290">
        <v>61032</v>
      </c>
      <c r="H112" s="290">
        <v>61852</v>
      </c>
      <c r="I112" s="290">
        <v>62502</v>
      </c>
      <c r="J112" s="290">
        <v>62988</v>
      </c>
      <c r="K112" s="289">
        <v>63424</v>
      </c>
      <c r="L112" s="289"/>
      <c r="M112" s="289"/>
      <c r="N112" s="289"/>
      <c r="O112" s="289"/>
      <c r="P112" s="289"/>
      <c r="Q112" s="289"/>
      <c r="R112" s="289"/>
      <c r="S112" s="289"/>
    </row>
    <row r="113" spans="1:19" s="657" customFormat="1" ht="13">
      <c r="A113" s="755">
        <v>3021</v>
      </c>
      <c r="B113" s="756" t="s">
        <v>803</v>
      </c>
      <c r="C113" s="290">
        <v>19887</v>
      </c>
      <c r="D113" s="290">
        <v>20138</v>
      </c>
      <c r="E113" s="290">
        <v>20439</v>
      </c>
      <c r="F113" s="290">
        <v>20439</v>
      </c>
      <c r="G113" s="290">
        <v>20780</v>
      </c>
      <c r="H113" s="290">
        <v>21428</v>
      </c>
      <c r="I113" s="290">
        <v>21912</v>
      </c>
      <c r="J113" s="290">
        <v>22256</v>
      </c>
      <c r="K113" s="289">
        <v>22559</v>
      </c>
      <c r="L113" s="289"/>
      <c r="M113" s="289"/>
      <c r="N113" s="289"/>
      <c r="O113" s="289"/>
      <c r="P113" s="289"/>
      <c r="Q113" s="289"/>
      <c r="R113" s="289"/>
      <c r="S113" s="289"/>
    </row>
    <row r="114" spans="1:19" s="657" customFormat="1" ht="13">
      <c r="A114" s="755">
        <v>3022</v>
      </c>
      <c r="B114" s="756" t="s">
        <v>804</v>
      </c>
      <c r="C114" s="290">
        <v>15735</v>
      </c>
      <c r="D114" s="290">
        <v>15761</v>
      </c>
      <c r="E114" s="290">
        <v>15877</v>
      </c>
      <c r="F114" s="290">
        <v>15953</v>
      </c>
      <c r="G114" s="290">
        <v>16084</v>
      </c>
      <c r="H114" s="290">
        <v>16217</v>
      </c>
      <c r="I114" s="290">
        <v>16323</v>
      </c>
      <c r="J114" s="290">
        <v>16401</v>
      </c>
      <c r="K114" s="289">
        <v>16482</v>
      </c>
      <c r="L114" s="289"/>
      <c r="M114" s="289"/>
      <c r="N114" s="289"/>
      <c r="O114" s="289"/>
      <c r="P114" s="289"/>
      <c r="Q114" s="289"/>
      <c r="R114" s="289"/>
      <c r="S114" s="289"/>
    </row>
    <row r="115" spans="1:19" s="657" customFormat="1" ht="13">
      <c r="A115" s="755">
        <v>3023</v>
      </c>
      <c r="B115" s="756" t="s">
        <v>805</v>
      </c>
      <c r="C115" s="290">
        <v>19287</v>
      </c>
      <c r="D115" s="290">
        <v>19488</v>
      </c>
      <c r="E115" s="290">
        <v>19616</v>
      </c>
      <c r="F115" s="290">
        <v>19805</v>
      </c>
      <c r="G115" s="290">
        <v>19939</v>
      </c>
      <c r="H115" s="290">
        <v>20068</v>
      </c>
      <c r="I115" s="290">
        <v>20185</v>
      </c>
      <c r="J115" s="290">
        <v>20289</v>
      </c>
      <c r="K115" s="289">
        <v>20414</v>
      </c>
      <c r="L115" s="289"/>
      <c r="M115" s="289"/>
      <c r="N115" s="289"/>
      <c r="O115" s="289"/>
      <c r="P115" s="289"/>
      <c r="Q115" s="289"/>
      <c r="R115" s="289"/>
      <c r="S115" s="289"/>
    </row>
    <row r="116" spans="1:19" s="657" customFormat="1" ht="13">
      <c r="A116" s="755">
        <v>3024</v>
      </c>
      <c r="B116" s="756" t="s">
        <v>807</v>
      </c>
      <c r="C116" s="290">
        <v>125454</v>
      </c>
      <c r="D116" s="290">
        <v>126841</v>
      </c>
      <c r="E116" s="290">
        <v>127731</v>
      </c>
      <c r="F116" s="290">
        <v>128233</v>
      </c>
      <c r="G116" s="290">
        <v>128982</v>
      </c>
      <c r="H116" s="290">
        <v>129923</v>
      </c>
      <c r="I116" s="290">
        <v>130646</v>
      </c>
      <c r="J116" s="290">
        <v>131164</v>
      </c>
      <c r="K116" s="289">
        <v>131840</v>
      </c>
      <c r="L116" s="289"/>
      <c r="M116" s="289"/>
      <c r="N116" s="289"/>
      <c r="O116" s="289"/>
      <c r="P116" s="289"/>
      <c r="Q116" s="289"/>
      <c r="R116" s="289"/>
      <c r="S116" s="289"/>
    </row>
    <row r="117" spans="1:19" s="657" customFormat="1" ht="13">
      <c r="A117" s="755">
        <v>3025</v>
      </c>
      <c r="B117" s="756" t="s">
        <v>808</v>
      </c>
      <c r="C117" s="290">
        <v>92828</v>
      </c>
      <c r="D117" s="290">
        <v>93679</v>
      </c>
      <c r="E117" s="290">
        <v>94441</v>
      </c>
      <c r="F117" s="290">
        <v>94915</v>
      </c>
      <c r="G117" s="290">
        <v>96088</v>
      </c>
      <c r="H117" s="290">
        <v>97083</v>
      </c>
      <c r="I117" s="290">
        <v>97881</v>
      </c>
      <c r="J117" s="290">
        <v>98481</v>
      </c>
      <c r="K117" s="289">
        <v>99103</v>
      </c>
      <c r="L117" s="289"/>
      <c r="M117" s="289"/>
      <c r="N117" s="289"/>
      <c r="O117" s="289"/>
      <c r="P117" s="289"/>
      <c r="Q117" s="289"/>
      <c r="R117" s="289"/>
      <c r="S117" s="289"/>
    </row>
    <row r="118" spans="1:19" s="657" customFormat="1" ht="13">
      <c r="A118" s="755">
        <v>3026</v>
      </c>
      <c r="B118" s="756" t="s">
        <v>1788</v>
      </c>
      <c r="C118" s="290">
        <v>17072</v>
      </c>
      <c r="D118" s="290">
        <v>17173</v>
      </c>
      <c r="E118" s="290">
        <v>17390</v>
      </c>
      <c r="F118" s="290">
        <v>17591</v>
      </c>
      <c r="G118" s="290">
        <v>17754</v>
      </c>
      <c r="H118" s="290">
        <v>17869</v>
      </c>
      <c r="I118" s="290">
        <v>17981</v>
      </c>
      <c r="J118" s="290">
        <v>18087</v>
      </c>
      <c r="K118" s="289">
        <v>18209</v>
      </c>
      <c r="L118" s="289"/>
      <c r="M118" s="289"/>
      <c r="N118" s="289"/>
      <c r="O118" s="289"/>
      <c r="P118" s="289"/>
      <c r="Q118" s="289"/>
      <c r="R118" s="289"/>
      <c r="S118" s="289"/>
    </row>
    <row r="119" spans="1:19" s="657" customFormat="1" ht="13">
      <c r="A119" s="755">
        <v>3027</v>
      </c>
      <c r="B119" s="756" t="s">
        <v>812</v>
      </c>
      <c r="C119" s="290">
        <v>17874</v>
      </c>
      <c r="D119" s="290">
        <v>18161</v>
      </c>
      <c r="E119" s="290">
        <v>18530</v>
      </c>
      <c r="F119" s="290">
        <v>18730</v>
      </c>
      <c r="G119" s="290">
        <v>19024</v>
      </c>
      <c r="H119" s="290">
        <v>19531</v>
      </c>
      <c r="I119" s="290">
        <v>19935</v>
      </c>
      <c r="J119" s="290">
        <v>20248</v>
      </c>
      <c r="K119" s="289">
        <v>20519</v>
      </c>
      <c r="L119" s="289"/>
      <c r="M119" s="289"/>
      <c r="N119" s="289"/>
      <c r="O119" s="289"/>
      <c r="P119" s="289"/>
      <c r="Q119" s="289"/>
      <c r="R119" s="289"/>
      <c r="S119" s="289"/>
    </row>
    <row r="120" spans="1:19" s="657" customFormat="1" ht="13">
      <c r="A120" s="755">
        <v>3028</v>
      </c>
      <c r="B120" s="756" t="s">
        <v>813</v>
      </c>
      <c r="C120" s="290">
        <v>10945</v>
      </c>
      <c r="D120" s="290">
        <v>11026</v>
      </c>
      <c r="E120" s="290">
        <v>11110</v>
      </c>
      <c r="F120" s="290">
        <v>11065</v>
      </c>
      <c r="G120" s="290">
        <v>11249</v>
      </c>
      <c r="H120" s="290">
        <v>11427</v>
      </c>
      <c r="I120" s="290">
        <v>11565</v>
      </c>
      <c r="J120" s="290">
        <v>11664</v>
      </c>
      <c r="K120" s="289">
        <v>11744</v>
      </c>
      <c r="L120" s="289"/>
      <c r="M120" s="289"/>
      <c r="N120" s="289"/>
      <c r="O120" s="289"/>
      <c r="P120" s="289"/>
      <c r="Q120" s="289"/>
      <c r="R120" s="289"/>
      <c r="S120" s="289"/>
    </row>
    <row r="121" spans="1:19" s="657" customFormat="1" ht="13">
      <c r="A121" s="755">
        <v>3029</v>
      </c>
      <c r="B121" s="756" t="s">
        <v>814</v>
      </c>
      <c r="C121" s="290">
        <v>38670</v>
      </c>
      <c r="D121" s="290">
        <v>40106</v>
      </c>
      <c r="E121" s="290">
        <v>41460</v>
      </c>
      <c r="F121" s="290">
        <v>42740</v>
      </c>
      <c r="G121" s="290">
        <v>44693</v>
      </c>
      <c r="H121" s="290">
        <v>46438</v>
      </c>
      <c r="I121" s="290">
        <v>47788</v>
      </c>
      <c r="J121" s="290">
        <v>48788</v>
      </c>
      <c r="K121" s="289">
        <v>49587</v>
      </c>
      <c r="L121" s="289"/>
      <c r="M121" s="289"/>
      <c r="N121" s="289"/>
      <c r="O121" s="289"/>
      <c r="P121" s="289"/>
      <c r="Q121" s="289"/>
      <c r="R121" s="289"/>
      <c r="S121" s="289"/>
    </row>
    <row r="122" spans="1:19" s="657" customFormat="1" ht="13">
      <c r="A122" s="755">
        <v>3030</v>
      </c>
      <c r="B122" s="756" t="s">
        <v>1791</v>
      </c>
      <c r="C122" s="290">
        <v>83150</v>
      </c>
      <c r="D122" s="290">
        <v>85086</v>
      </c>
      <c r="E122" s="290">
        <v>85983</v>
      </c>
      <c r="F122" s="290">
        <v>86953</v>
      </c>
      <c r="G122" s="290">
        <v>89095</v>
      </c>
      <c r="H122" s="290">
        <v>90692</v>
      </c>
      <c r="I122" s="290">
        <v>91933</v>
      </c>
      <c r="J122" s="290">
        <v>92841</v>
      </c>
      <c r="K122" s="289">
        <v>93637</v>
      </c>
      <c r="L122" s="289"/>
      <c r="M122" s="289"/>
      <c r="N122" s="289"/>
      <c r="O122" s="289"/>
      <c r="P122" s="289"/>
      <c r="Q122" s="289"/>
      <c r="R122" s="289"/>
      <c r="S122" s="289"/>
    </row>
    <row r="123" spans="1:19" s="657" customFormat="1" ht="13">
      <c r="A123" s="755">
        <v>3031</v>
      </c>
      <c r="B123" s="756" t="s">
        <v>816</v>
      </c>
      <c r="C123" s="290">
        <v>23545</v>
      </c>
      <c r="D123" s="290">
        <v>24089</v>
      </c>
      <c r="E123" s="290">
        <v>24249</v>
      </c>
      <c r="F123" s="290">
        <v>24454</v>
      </c>
      <c r="G123" s="290">
        <v>24947</v>
      </c>
      <c r="H123" s="290">
        <v>25303</v>
      </c>
      <c r="I123" s="290">
        <v>25597</v>
      </c>
      <c r="J123" s="290">
        <v>25833</v>
      </c>
      <c r="K123" s="289">
        <v>26058</v>
      </c>
      <c r="L123" s="289"/>
      <c r="M123" s="289"/>
      <c r="N123" s="289"/>
      <c r="O123" s="289"/>
      <c r="P123" s="289"/>
      <c r="Q123" s="289"/>
      <c r="R123" s="289"/>
      <c r="S123" s="289"/>
    </row>
    <row r="124" spans="1:19" s="657" customFormat="1" ht="13">
      <c r="A124" s="755">
        <v>3032</v>
      </c>
      <c r="B124" s="756" t="s">
        <v>817</v>
      </c>
      <c r="C124" s="290">
        <v>6704</v>
      </c>
      <c r="D124" s="290">
        <v>6823</v>
      </c>
      <c r="E124" s="290">
        <v>6890</v>
      </c>
      <c r="F124" s="290">
        <v>7043</v>
      </c>
      <c r="G124" s="290">
        <v>6989</v>
      </c>
      <c r="H124" s="290">
        <v>7071</v>
      </c>
      <c r="I124" s="290">
        <v>7141</v>
      </c>
      <c r="J124" s="290">
        <v>7201</v>
      </c>
      <c r="K124" s="289">
        <v>7264</v>
      </c>
      <c r="L124" s="289"/>
      <c r="M124" s="289"/>
      <c r="N124" s="289"/>
      <c r="O124" s="289"/>
      <c r="P124" s="289"/>
      <c r="Q124" s="289"/>
      <c r="R124" s="289"/>
      <c r="S124" s="289"/>
    </row>
    <row r="125" spans="1:19" s="657" customFormat="1" ht="13">
      <c r="A125" s="755">
        <v>3033</v>
      </c>
      <c r="B125" s="756" t="s">
        <v>818</v>
      </c>
      <c r="C125" s="290">
        <v>36576</v>
      </c>
      <c r="D125" s="290">
        <v>38234</v>
      </c>
      <c r="E125" s="290">
        <v>39625</v>
      </c>
      <c r="F125" s="290">
        <v>40459</v>
      </c>
      <c r="G125" s="290">
        <v>41565</v>
      </c>
      <c r="H125" s="290">
        <v>42778</v>
      </c>
      <c r="I125" s="290">
        <v>43747</v>
      </c>
      <c r="J125" s="290">
        <v>44493</v>
      </c>
      <c r="K125" s="289">
        <v>45148</v>
      </c>
      <c r="L125" s="289"/>
      <c r="M125" s="289"/>
      <c r="N125" s="289"/>
      <c r="O125" s="289"/>
      <c r="P125" s="289"/>
      <c r="Q125" s="289"/>
      <c r="R125" s="289"/>
      <c r="S125" s="289"/>
    </row>
    <row r="126" spans="1:19" s="657" customFormat="1" ht="13">
      <c r="A126" s="755">
        <v>3034</v>
      </c>
      <c r="B126" s="756" t="s">
        <v>819</v>
      </c>
      <c r="C126" s="290">
        <v>22352</v>
      </c>
      <c r="D126" s="290">
        <v>22556</v>
      </c>
      <c r="E126" s="290">
        <v>23092</v>
      </c>
      <c r="F126" s="290">
        <v>23422</v>
      </c>
      <c r="G126" s="290">
        <v>23898</v>
      </c>
      <c r="H126" s="290">
        <v>24337</v>
      </c>
      <c r="I126" s="290">
        <v>24717</v>
      </c>
      <c r="J126" s="290">
        <v>25041</v>
      </c>
      <c r="K126" s="289">
        <v>25346</v>
      </c>
      <c r="L126" s="289"/>
      <c r="M126" s="289"/>
      <c r="N126" s="289"/>
      <c r="O126" s="289"/>
      <c r="P126" s="289"/>
      <c r="Q126" s="289"/>
      <c r="R126" s="289"/>
      <c r="S126" s="289"/>
    </row>
    <row r="127" spans="1:19" s="657" customFormat="1" ht="13">
      <c r="A127" s="755">
        <v>3035</v>
      </c>
      <c r="B127" s="756" t="s">
        <v>820</v>
      </c>
      <c r="C127" s="290">
        <v>24647</v>
      </c>
      <c r="D127" s="290">
        <v>24919</v>
      </c>
      <c r="E127" s="290">
        <v>25436</v>
      </c>
      <c r="F127" s="290">
        <v>26031</v>
      </c>
      <c r="G127" s="290">
        <v>26716</v>
      </c>
      <c r="H127" s="290">
        <v>27292</v>
      </c>
      <c r="I127" s="290">
        <v>27784</v>
      </c>
      <c r="J127" s="290">
        <v>28194</v>
      </c>
      <c r="K127" s="289">
        <v>28567</v>
      </c>
      <c r="L127" s="289"/>
      <c r="M127" s="289"/>
      <c r="N127" s="289"/>
      <c r="O127" s="289"/>
      <c r="P127" s="289"/>
      <c r="Q127" s="289"/>
      <c r="R127" s="289"/>
      <c r="S127" s="289"/>
    </row>
    <row r="128" spans="1:19" s="657" customFormat="1" ht="13">
      <c r="A128" s="755">
        <v>3036</v>
      </c>
      <c r="B128" s="756" t="s">
        <v>821</v>
      </c>
      <c r="C128" s="290">
        <v>13240</v>
      </c>
      <c r="D128" s="290">
        <v>13682</v>
      </c>
      <c r="E128" s="290">
        <v>14139</v>
      </c>
      <c r="F128" s="290">
        <v>14637</v>
      </c>
      <c r="G128" s="290">
        <v>15074</v>
      </c>
      <c r="H128" s="290">
        <v>15541</v>
      </c>
      <c r="I128" s="290">
        <v>15928</v>
      </c>
      <c r="J128" s="290">
        <v>16242</v>
      </c>
      <c r="K128" s="289">
        <v>16525</v>
      </c>
      <c r="L128" s="289"/>
      <c r="M128" s="289"/>
      <c r="N128" s="289"/>
      <c r="O128" s="289"/>
      <c r="P128" s="289"/>
      <c r="Q128" s="289"/>
      <c r="R128" s="289"/>
      <c r="S128" s="289"/>
    </row>
    <row r="129" spans="1:19" s="657" customFormat="1" ht="13">
      <c r="A129" s="755">
        <v>3037</v>
      </c>
      <c r="B129" s="756" t="s">
        <v>822</v>
      </c>
      <c r="C129" s="290">
        <v>2903</v>
      </c>
      <c r="D129" s="290">
        <v>2864</v>
      </c>
      <c r="E129" s="290">
        <v>2854</v>
      </c>
      <c r="F129" s="290">
        <v>2838</v>
      </c>
      <c r="G129" s="290">
        <v>2905</v>
      </c>
      <c r="H129" s="290">
        <v>2988</v>
      </c>
      <c r="I129" s="290">
        <v>3058</v>
      </c>
      <c r="J129" s="290">
        <v>3116</v>
      </c>
      <c r="K129" s="289">
        <v>3167</v>
      </c>
      <c r="L129" s="289"/>
      <c r="M129" s="289"/>
      <c r="N129" s="289"/>
      <c r="O129" s="289"/>
      <c r="P129" s="289"/>
      <c r="Q129" s="289"/>
      <c r="R129" s="289"/>
      <c r="S129" s="289"/>
    </row>
    <row r="130" spans="1:19" s="657" customFormat="1" ht="13">
      <c r="A130" s="755">
        <v>3038</v>
      </c>
      <c r="B130" s="756" t="s">
        <v>874</v>
      </c>
      <c r="C130" s="290">
        <v>6833</v>
      </c>
      <c r="D130" s="290">
        <v>6845</v>
      </c>
      <c r="E130" s="290">
        <v>6799</v>
      </c>
      <c r="F130" s="290">
        <v>6811</v>
      </c>
      <c r="G130" s="290">
        <v>6859</v>
      </c>
      <c r="H130" s="290">
        <v>6976</v>
      </c>
      <c r="I130" s="290">
        <v>7073</v>
      </c>
      <c r="J130" s="290">
        <v>7152</v>
      </c>
      <c r="K130" s="289">
        <v>7231</v>
      </c>
      <c r="L130" s="289"/>
      <c r="M130" s="289"/>
      <c r="N130" s="289"/>
      <c r="O130" s="289"/>
      <c r="P130" s="289"/>
      <c r="Q130" s="289"/>
      <c r="R130" s="289"/>
      <c r="S130" s="289"/>
    </row>
    <row r="131" spans="1:19" s="657" customFormat="1" ht="13">
      <c r="A131" s="755">
        <v>3039</v>
      </c>
      <c r="B131" s="756" t="s">
        <v>875</v>
      </c>
      <c r="C131" s="290">
        <v>1069</v>
      </c>
      <c r="D131" s="290">
        <v>1052</v>
      </c>
      <c r="E131" s="290">
        <v>1050</v>
      </c>
      <c r="F131" s="290">
        <v>1049</v>
      </c>
      <c r="G131" s="290">
        <v>1057</v>
      </c>
      <c r="H131" s="290">
        <v>1071</v>
      </c>
      <c r="I131" s="290">
        <v>1078</v>
      </c>
      <c r="J131" s="290">
        <v>1080</v>
      </c>
      <c r="K131" s="289">
        <v>1082</v>
      </c>
      <c r="L131" s="289"/>
      <c r="M131" s="289"/>
      <c r="N131" s="289"/>
      <c r="O131" s="289"/>
      <c r="P131" s="289"/>
      <c r="Q131" s="289"/>
      <c r="R131" s="289"/>
      <c r="S131" s="289"/>
    </row>
    <row r="132" spans="1:19" s="657" customFormat="1" ht="13">
      <c r="A132" s="755">
        <v>3040</v>
      </c>
      <c r="B132" s="756" t="s">
        <v>1966</v>
      </c>
      <c r="C132" s="290">
        <v>3341</v>
      </c>
      <c r="D132" s="290">
        <v>3315</v>
      </c>
      <c r="E132" s="290">
        <v>3273</v>
      </c>
      <c r="F132" s="290">
        <v>3262</v>
      </c>
      <c r="G132" s="290">
        <v>3273</v>
      </c>
      <c r="H132" s="290">
        <v>3282</v>
      </c>
      <c r="I132" s="290">
        <v>3282</v>
      </c>
      <c r="J132" s="290">
        <v>3272</v>
      </c>
      <c r="K132" s="289">
        <v>3261</v>
      </c>
      <c r="L132" s="289"/>
      <c r="M132" s="289"/>
      <c r="N132" s="289"/>
      <c r="O132" s="289"/>
      <c r="P132" s="289"/>
      <c r="Q132" s="289"/>
      <c r="R132" s="289"/>
      <c r="S132" s="289"/>
    </row>
    <row r="133" spans="1:19" s="657" customFormat="1" ht="13">
      <c r="A133" s="755">
        <v>3041</v>
      </c>
      <c r="B133" s="756" t="s">
        <v>876</v>
      </c>
      <c r="C133" s="290">
        <v>4566</v>
      </c>
      <c r="D133" s="290">
        <v>4576</v>
      </c>
      <c r="E133" s="290">
        <v>4608</v>
      </c>
      <c r="F133" s="290">
        <v>4636</v>
      </c>
      <c r="G133" s="290">
        <v>4667</v>
      </c>
      <c r="H133" s="290">
        <v>4750</v>
      </c>
      <c r="I133" s="290">
        <v>4806</v>
      </c>
      <c r="J133" s="290">
        <v>4838</v>
      </c>
      <c r="K133" s="289">
        <v>4858</v>
      </c>
      <c r="L133" s="289"/>
      <c r="M133" s="289"/>
      <c r="N133" s="289"/>
      <c r="O133" s="289"/>
      <c r="P133" s="289"/>
      <c r="Q133" s="289"/>
      <c r="R133" s="289"/>
      <c r="S133" s="289"/>
    </row>
    <row r="134" spans="1:19" s="657" customFormat="1" ht="13">
      <c r="A134" s="755">
        <v>3042</v>
      </c>
      <c r="B134" s="756" t="s">
        <v>877</v>
      </c>
      <c r="C134" s="290">
        <v>2457</v>
      </c>
      <c r="D134" s="290">
        <v>2481</v>
      </c>
      <c r="E134" s="290">
        <v>2486</v>
      </c>
      <c r="F134" s="290">
        <v>2546</v>
      </c>
      <c r="G134" s="290">
        <v>2611</v>
      </c>
      <c r="H134" s="290">
        <v>2720</v>
      </c>
      <c r="I134" s="290">
        <v>2795</v>
      </c>
      <c r="J134" s="290">
        <v>2841</v>
      </c>
      <c r="K134" s="289">
        <v>2880</v>
      </c>
      <c r="L134" s="289"/>
      <c r="M134" s="289"/>
      <c r="N134" s="289"/>
      <c r="O134" s="289"/>
      <c r="P134" s="289"/>
      <c r="Q134" s="289"/>
      <c r="R134" s="289"/>
      <c r="S134" s="289"/>
    </row>
    <row r="135" spans="1:19" s="657" customFormat="1" ht="13">
      <c r="A135" s="755">
        <v>3043</v>
      </c>
      <c r="B135" s="756" t="s">
        <v>878</v>
      </c>
      <c r="C135" s="290">
        <v>4626</v>
      </c>
      <c r="D135" s="290">
        <v>4671</v>
      </c>
      <c r="E135" s="290">
        <v>4674</v>
      </c>
      <c r="F135" s="290">
        <v>4648</v>
      </c>
      <c r="G135" s="290">
        <v>4650</v>
      </c>
      <c r="H135" s="290">
        <v>4680</v>
      </c>
      <c r="I135" s="290">
        <v>4690</v>
      </c>
      <c r="J135" s="290">
        <v>4682</v>
      </c>
      <c r="K135" s="289">
        <v>4671</v>
      </c>
      <c r="L135" s="289"/>
      <c r="M135" s="289"/>
      <c r="N135" s="289"/>
      <c r="O135" s="289"/>
      <c r="P135" s="289"/>
      <c r="Q135" s="289"/>
      <c r="R135" s="289"/>
      <c r="S135" s="289"/>
    </row>
    <row r="136" spans="1:19" s="657" customFormat="1" ht="13">
      <c r="A136" s="755">
        <v>3044</v>
      </c>
      <c r="B136" s="756" t="s">
        <v>880</v>
      </c>
      <c r="C136" s="290">
        <v>4520</v>
      </c>
      <c r="D136" s="290">
        <v>4473</v>
      </c>
      <c r="E136" s="290">
        <v>4441</v>
      </c>
      <c r="F136" s="290">
        <v>4434</v>
      </c>
      <c r="G136" s="290">
        <v>4504</v>
      </c>
      <c r="H136" s="290">
        <v>4579</v>
      </c>
      <c r="I136" s="290">
        <v>4627</v>
      </c>
      <c r="J136" s="290">
        <v>4653</v>
      </c>
      <c r="K136" s="289">
        <v>4673</v>
      </c>
      <c r="L136" s="289"/>
      <c r="M136" s="289"/>
      <c r="N136" s="289"/>
      <c r="O136" s="289"/>
      <c r="P136" s="289"/>
      <c r="Q136" s="289"/>
      <c r="R136" s="289"/>
      <c r="S136" s="289"/>
    </row>
    <row r="137" spans="1:19" s="657" customFormat="1" ht="13">
      <c r="A137" s="755">
        <v>3045</v>
      </c>
      <c r="B137" s="756" t="s">
        <v>881</v>
      </c>
      <c r="C137" s="290">
        <v>3488</v>
      </c>
      <c r="D137" s="290">
        <v>3490</v>
      </c>
      <c r="E137" s="290">
        <v>3467</v>
      </c>
      <c r="F137" s="290">
        <v>3465</v>
      </c>
      <c r="G137" s="290">
        <v>3492</v>
      </c>
      <c r="H137" s="290">
        <v>3492</v>
      </c>
      <c r="I137" s="290">
        <v>3487</v>
      </c>
      <c r="J137" s="290">
        <v>3477</v>
      </c>
      <c r="K137" s="289">
        <v>3468</v>
      </c>
      <c r="L137" s="289"/>
      <c r="M137" s="289"/>
      <c r="N137" s="289"/>
      <c r="O137" s="289"/>
      <c r="P137" s="289"/>
      <c r="Q137" s="289"/>
      <c r="R137" s="289"/>
      <c r="S137" s="289"/>
    </row>
    <row r="138" spans="1:19" s="657" customFormat="1" ht="13">
      <c r="A138" s="755">
        <v>3046</v>
      </c>
      <c r="B138" s="756" t="s">
        <v>882</v>
      </c>
      <c r="C138" s="290">
        <v>2277</v>
      </c>
      <c r="D138" s="290">
        <v>2239</v>
      </c>
      <c r="E138" s="290">
        <v>2212</v>
      </c>
      <c r="F138" s="290">
        <v>2219</v>
      </c>
      <c r="G138" s="290">
        <v>2189</v>
      </c>
      <c r="H138" s="290">
        <v>2191</v>
      </c>
      <c r="I138" s="290">
        <v>2190</v>
      </c>
      <c r="J138" s="290">
        <v>2188</v>
      </c>
      <c r="K138" s="289">
        <v>2188</v>
      </c>
      <c r="L138" s="289"/>
      <c r="M138" s="289"/>
      <c r="N138" s="289"/>
      <c r="O138" s="289"/>
      <c r="P138" s="289"/>
      <c r="Q138" s="289"/>
      <c r="R138" s="289"/>
      <c r="S138" s="289"/>
    </row>
    <row r="139" spans="1:19" s="657" customFormat="1" ht="13">
      <c r="A139" s="755">
        <v>3047</v>
      </c>
      <c r="B139" s="756" t="s">
        <v>883</v>
      </c>
      <c r="C139" s="290">
        <v>13880</v>
      </c>
      <c r="D139" s="290">
        <v>13980</v>
      </c>
      <c r="E139" s="290">
        <v>14115</v>
      </c>
      <c r="F139" s="290">
        <v>14166</v>
      </c>
      <c r="G139" s="290">
        <v>14273</v>
      </c>
      <c r="H139" s="290">
        <v>14414</v>
      </c>
      <c r="I139" s="290">
        <v>14534</v>
      </c>
      <c r="J139" s="290">
        <v>14634</v>
      </c>
      <c r="K139" s="289">
        <v>14731</v>
      </c>
      <c r="L139" s="289"/>
      <c r="M139" s="289"/>
      <c r="N139" s="289"/>
      <c r="O139" s="289"/>
      <c r="P139" s="289"/>
      <c r="Q139" s="289"/>
      <c r="R139" s="289"/>
      <c r="S139" s="289"/>
    </row>
    <row r="140" spans="1:19" s="657" customFormat="1" ht="13">
      <c r="A140" s="755">
        <v>3048</v>
      </c>
      <c r="B140" s="756" t="s">
        <v>884</v>
      </c>
      <c r="C140" s="290">
        <f>18926+34</f>
        <v>18960</v>
      </c>
      <c r="D140" s="290">
        <f>19117+35</f>
        <v>19152</v>
      </c>
      <c r="E140" s="290">
        <f>19423+35</f>
        <v>19458</v>
      </c>
      <c r="F140" s="290">
        <f>19709+35</f>
        <v>19744</v>
      </c>
      <c r="G140" s="290">
        <v>20044</v>
      </c>
      <c r="H140" s="290">
        <v>20321</v>
      </c>
      <c r="I140" s="290">
        <v>20563</v>
      </c>
      <c r="J140" s="290">
        <v>20769</v>
      </c>
      <c r="K140" s="289">
        <v>20977</v>
      </c>
      <c r="L140" s="289"/>
      <c r="M140" s="289"/>
      <c r="N140" s="289"/>
      <c r="O140" s="289"/>
      <c r="P140" s="289"/>
      <c r="Q140" s="289"/>
      <c r="R140" s="289"/>
      <c r="S140" s="289"/>
    </row>
    <row r="141" spans="1:19" s="657" customFormat="1" ht="13">
      <c r="A141" s="755">
        <v>3049</v>
      </c>
      <c r="B141" s="756" t="s">
        <v>886</v>
      </c>
      <c r="C141" s="290">
        <v>25980</v>
      </c>
      <c r="D141" s="290">
        <v>26373</v>
      </c>
      <c r="E141" s="290">
        <v>26811</v>
      </c>
      <c r="F141" s="290">
        <v>27118</v>
      </c>
      <c r="G141" s="290">
        <v>27584</v>
      </c>
      <c r="H141" s="290">
        <v>28121</v>
      </c>
      <c r="I141" s="290">
        <v>28565</v>
      </c>
      <c r="J141" s="290">
        <v>28916</v>
      </c>
      <c r="K141" s="289">
        <v>29236</v>
      </c>
      <c r="L141" s="289"/>
      <c r="M141" s="289"/>
      <c r="N141" s="289"/>
      <c r="O141" s="289"/>
      <c r="P141" s="289"/>
      <c r="Q141" s="289"/>
      <c r="R141" s="289"/>
      <c r="S141" s="289"/>
    </row>
    <row r="142" spans="1:19" s="657" customFormat="1" ht="13">
      <c r="A142" s="755">
        <v>3050</v>
      </c>
      <c r="B142" s="756" t="s">
        <v>889</v>
      </c>
      <c r="C142" s="290">
        <v>2688</v>
      </c>
      <c r="D142" s="290">
        <v>2694</v>
      </c>
      <c r="E142" s="290">
        <v>2688</v>
      </c>
      <c r="F142" s="290">
        <v>2713</v>
      </c>
      <c r="G142" s="290">
        <v>2720</v>
      </c>
      <c r="H142" s="290">
        <v>2732</v>
      </c>
      <c r="I142" s="290">
        <v>2746</v>
      </c>
      <c r="J142" s="290">
        <v>2760</v>
      </c>
      <c r="K142" s="289">
        <v>2778</v>
      </c>
      <c r="L142" s="289"/>
      <c r="M142" s="289"/>
      <c r="N142" s="289"/>
      <c r="O142" s="289"/>
      <c r="P142" s="289"/>
      <c r="Q142" s="289"/>
      <c r="R142" s="289"/>
      <c r="S142" s="289"/>
    </row>
    <row r="143" spans="1:19" s="657" customFormat="1" ht="13">
      <c r="A143" s="755">
        <v>3051</v>
      </c>
      <c r="B143" s="756" t="s">
        <v>890</v>
      </c>
      <c r="C143" s="290">
        <v>1411</v>
      </c>
      <c r="D143" s="290">
        <v>1419</v>
      </c>
      <c r="E143" s="290">
        <v>1390</v>
      </c>
      <c r="F143" s="290">
        <v>1386</v>
      </c>
      <c r="G143" s="290">
        <v>1370</v>
      </c>
      <c r="H143" s="290">
        <v>1350</v>
      </c>
      <c r="I143" s="290">
        <v>1336</v>
      </c>
      <c r="J143" s="290">
        <v>1326</v>
      </c>
      <c r="K143" s="289">
        <v>1322</v>
      </c>
      <c r="L143" s="289"/>
      <c r="M143" s="289"/>
      <c r="N143" s="289"/>
      <c r="O143" s="289"/>
      <c r="P143" s="289"/>
      <c r="Q143" s="289"/>
      <c r="R143" s="289"/>
      <c r="S143" s="289"/>
    </row>
    <row r="144" spans="1:19" s="657" customFormat="1" ht="13">
      <c r="A144" s="755">
        <v>3052</v>
      </c>
      <c r="B144" s="756" t="s">
        <v>891</v>
      </c>
      <c r="C144" s="290">
        <v>2482</v>
      </c>
      <c r="D144" s="290">
        <v>2448</v>
      </c>
      <c r="E144" s="290">
        <v>2439</v>
      </c>
      <c r="F144" s="290">
        <v>2412</v>
      </c>
      <c r="G144" s="290">
        <v>2455</v>
      </c>
      <c r="H144" s="290">
        <v>2468</v>
      </c>
      <c r="I144" s="290">
        <v>2470</v>
      </c>
      <c r="J144" s="290">
        <v>2462</v>
      </c>
      <c r="K144" s="289">
        <v>2452</v>
      </c>
      <c r="L144" s="289"/>
      <c r="M144" s="289"/>
      <c r="N144" s="289"/>
      <c r="O144" s="289"/>
      <c r="P144" s="289"/>
      <c r="Q144" s="289"/>
      <c r="R144" s="289"/>
      <c r="S144" s="289"/>
    </row>
    <row r="145" spans="1:19" s="657" customFormat="1" ht="13">
      <c r="A145" s="755">
        <v>3053</v>
      </c>
      <c r="B145" s="756" t="s">
        <v>860</v>
      </c>
      <c r="C145" s="290">
        <v>6777</v>
      </c>
      <c r="D145" s="290">
        <v>6846</v>
      </c>
      <c r="E145" s="290">
        <v>6852</v>
      </c>
      <c r="F145" s="290">
        <v>6867</v>
      </c>
      <c r="G145" s="290">
        <v>6908</v>
      </c>
      <c r="H145" s="290">
        <v>6965</v>
      </c>
      <c r="I145" s="290">
        <v>7018</v>
      </c>
      <c r="J145" s="290">
        <v>7067</v>
      </c>
      <c r="K145" s="289">
        <v>7119</v>
      </c>
      <c r="L145" s="289"/>
      <c r="M145" s="289"/>
      <c r="N145" s="289"/>
      <c r="O145" s="289"/>
      <c r="P145" s="289"/>
      <c r="Q145" s="289"/>
      <c r="R145" s="289"/>
      <c r="S145" s="289"/>
    </row>
    <row r="146" spans="1:19" s="657" customFormat="1" ht="13">
      <c r="A146" s="755">
        <v>3054</v>
      </c>
      <c r="B146" s="756" t="s">
        <v>861</v>
      </c>
      <c r="C146" s="290">
        <v>9065</v>
      </c>
      <c r="D146" s="290">
        <v>9051</v>
      </c>
      <c r="E146" s="290">
        <v>9048</v>
      </c>
      <c r="F146" s="290">
        <v>9062</v>
      </c>
      <c r="G146" s="290">
        <v>9144</v>
      </c>
      <c r="H146" s="290">
        <v>9191</v>
      </c>
      <c r="I146" s="290">
        <v>9228</v>
      </c>
      <c r="J146" s="290">
        <v>9255</v>
      </c>
      <c r="K146" s="289">
        <v>9284</v>
      </c>
      <c r="L146" s="289"/>
      <c r="M146" s="289"/>
      <c r="N146" s="289"/>
      <c r="O146" s="289"/>
      <c r="P146" s="289"/>
      <c r="Q146" s="289"/>
      <c r="R146" s="289"/>
      <c r="S146" s="289"/>
    </row>
    <row r="147" spans="1:19" s="657" customFormat="1" ht="13">
      <c r="A147" s="755">
        <v>3401</v>
      </c>
      <c r="B147" s="756" t="s">
        <v>824</v>
      </c>
      <c r="C147" s="290">
        <v>17934</v>
      </c>
      <c r="D147" s="290">
        <v>17823</v>
      </c>
      <c r="E147" s="290">
        <v>17829</v>
      </c>
      <c r="F147" s="290">
        <v>17851</v>
      </c>
      <c r="G147" s="290">
        <v>17949</v>
      </c>
      <c r="H147" s="290">
        <v>18041</v>
      </c>
      <c r="I147" s="290">
        <v>18109</v>
      </c>
      <c r="J147" s="290">
        <v>18147</v>
      </c>
      <c r="K147" s="289">
        <v>18179</v>
      </c>
      <c r="L147" s="289"/>
      <c r="M147" s="289"/>
      <c r="N147" s="289"/>
      <c r="O147" s="289"/>
      <c r="P147" s="289"/>
      <c r="Q147" s="289"/>
      <c r="R147" s="289"/>
      <c r="S147" s="289"/>
    </row>
    <row r="148" spans="1:19" s="657" customFormat="1" ht="13">
      <c r="A148" s="755">
        <v>3403</v>
      </c>
      <c r="B148" s="756" t="s">
        <v>825</v>
      </c>
      <c r="C148" s="290">
        <v>30930</v>
      </c>
      <c r="D148" s="290">
        <v>31144</v>
      </c>
      <c r="E148" s="290">
        <v>31369</v>
      </c>
      <c r="F148" s="290">
        <v>31509</v>
      </c>
      <c r="G148" s="290">
        <v>31999</v>
      </c>
      <c r="H148" s="290">
        <v>32436</v>
      </c>
      <c r="I148" s="290">
        <v>32781</v>
      </c>
      <c r="J148" s="290">
        <v>33037</v>
      </c>
      <c r="K148" s="289">
        <v>33266</v>
      </c>
      <c r="L148" s="289"/>
      <c r="M148" s="289"/>
      <c r="N148" s="289"/>
      <c r="O148" s="289"/>
      <c r="P148" s="289"/>
      <c r="Q148" s="289"/>
      <c r="R148" s="289"/>
      <c r="S148" s="289"/>
    </row>
    <row r="149" spans="1:19" s="657" customFormat="1" ht="13">
      <c r="A149" s="755">
        <v>3405</v>
      </c>
      <c r="B149" s="756" t="s">
        <v>845</v>
      </c>
      <c r="C149" s="290">
        <f>27938-15</f>
        <v>27923</v>
      </c>
      <c r="D149" s="290">
        <f>28023-15</f>
        <v>28008</v>
      </c>
      <c r="E149" s="290">
        <f>28345-15</f>
        <v>28330</v>
      </c>
      <c r="F149" s="290">
        <f>28493-15</f>
        <v>28478</v>
      </c>
      <c r="G149" s="290">
        <v>28425</v>
      </c>
      <c r="H149" s="290">
        <v>28681</v>
      </c>
      <c r="I149" s="290">
        <v>28880</v>
      </c>
      <c r="J149" s="290">
        <v>29027</v>
      </c>
      <c r="K149" s="289">
        <v>29173</v>
      </c>
      <c r="L149" s="289"/>
      <c r="M149" s="289"/>
      <c r="N149" s="289"/>
      <c r="O149" s="289"/>
      <c r="P149" s="289"/>
      <c r="Q149" s="289"/>
      <c r="R149" s="289"/>
      <c r="S149" s="289"/>
    </row>
    <row r="150" spans="1:19" s="657" customFormat="1" ht="13">
      <c r="A150" s="755">
        <v>3407</v>
      </c>
      <c r="B150" s="756" t="s">
        <v>846</v>
      </c>
      <c r="C150" s="290">
        <v>30642</v>
      </c>
      <c r="D150" s="290">
        <v>30676</v>
      </c>
      <c r="E150" s="290">
        <v>30560</v>
      </c>
      <c r="F150" s="290">
        <v>30395</v>
      </c>
      <c r="G150" s="290">
        <v>30267</v>
      </c>
      <c r="H150" s="290">
        <v>30399</v>
      </c>
      <c r="I150" s="290">
        <v>30493</v>
      </c>
      <c r="J150" s="290">
        <v>30548</v>
      </c>
      <c r="K150" s="289">
        <v>30623</v>
      </c>
      <c r="L150" s="289"/>
      <c r="M150" s="289"/>
      <c r="N150" s="289"/>
      <c r="O150" s="289"/>
      <c r="P150" s="289"/>
      <c r="Q150" s="289"/>
      <c r="R150" s="289"/>
      <c r="S150" s="289"/>
    </row>
    <row r="151" spans="1:19" s="657" customFormat="1" ht="13">
      <c r="A151" s="755">
        <v>3411</v>
      </c>
      <c r="B151" s="756" t="s">
        <v>826</v>
      </c>
      <c r="C151" s="290">
        <v>34151</v>
      </c>
      <c r="D151" s="290">
        <v>34488</v>
      </c>
      <c r="E151" s="290">
        <v>34768</v>
      </c>
      <c r="F151" s="290">
        <v>34897</v>
      </c>
      <c r="G151" s="290">
        <v>35073</v>
      </c>
      <c r="H151" s="290">
        <v>35254</v>
      </c>
      <c r="I151" s="290">
        <v>35389</v>
      </c>
      <c r="J151" s="290">
        <v>35477</v>
      </c>
      <c r="K151" s="289">
        <v>35568</v>
      </c>
      <c r="L151" s="289"/>
      <c r="M151" s="289"/>
      <c r="N151" s="289"/>
      <c r="O151" s="289"/>
      <c r="P151" s="289"/>
      <c r="Q151" s="289"/>
      <c r="R151" s="289"/>
      <c r="S151" s="289"/>
    </row>
    <row r="152" spans="1:19" s="657" customFormat="1" ht="13">
      <c r="A152" s="755">
        <v>3412</v>
      </c>
      <c r="B152" s="756" t="s">
        <v>827</v>
      </c>
      <c r="C152" s="290">
        <v>7615</v>
      </c>
      <c r="D152" s="290">
        <v>7663</v>
      </c>
      <c r="E152" s="290">
        <v>7674</v>
      </c>
      <c r="F152" s="290">
        <v>7625</v>
      </c>
      <c r="G152" s="290">
        <v>7715</v>
      </c>
      <c r="H152" s="290">
        <v>7776</v>
      </c>
      <c r="I152" s="290">
        <v>7827</v>
      </c>
      <c r="J152" s="290">
        <v>7867</v>
      </c>
      <c r="K152" s="289">
        <v>7904</v>
      </c>
      <c r="L152" s="289"/>
      <c r="M152" s="289"/>
      <c r="N152" s="289"/>
      <c r="O152" s="289"/>
      <c r="P152" s="289"/>
      <c r="Q152" s="289"/>
      <c r="R152" s="289"/>
      <c r="S152" s="289"/>
    </row>
    <row r="153" spans="1:19" s="657" customFormat="1" ht="13">
      <c r="A153" s="755">
        <v>3413</v>
      </c>
      <c r="B153" s="756" t="s">
        <v>828</v>
      </c>
      <c r="C153" s="290">
        <v>20646</v>
      </c>
      <c r="D153" s="290">
        <v>20916</v>
      </c>
      <c r="E153" s="290">
        <v>21064</v>
      </c>
      <c r="F153" s="290">
        <v>21072</v>
      </c>
      <c r="G153" s="290">
        <v>21156</v>
      </c>
      <c r="H153" s="290">
        <v>21286</v>
      </c>
      <c r="I153" s="290">
        <v>21402</v>
      </c>
      <c r="J153" s="290">
        <v>21507</v>
      </c>
      <c r="K153" s="289">
        <v>21632</v>
      </c>
      <c r="L153" s="289"/>
      <c r="M153" s="289"/>
      <c r="N153" s="289"/>
      <c r="O153" s="289"/>
      <c r="P153" s="289"/>
      <c r="Q153" s="289"/>
      <c r="R153" s="289"/>
      <c r="S153" s="289"/>
    </row>
    <row r="154" spans="1:19" s="657" customFormat="1" ht="13">
      <c r="A154" s="755">
        <v>3414</v>
      </c>
      <c r="B154" s="756" t="s">
        <v>829</v>
      </c>
      <c r="C154" s="290">
        <v>5097</v>
      </c>
      <c r="D154" s="290">
        <v>5024</v>
      </c>
      <c r="E154" s="290">
        <v>5016</v>
      </c>
      <c r="F154" s="290">
        <v>5038</v>
      </c>
      <c r="G154" s="290">
        <v>5016</v>
      </c>
      <c r="H154" s="290">
        <v>4981</v>
      </c>
      <c r="I154" s="290">
        <v>4948</v>
      </c>
      <c r="J154" s="290">
        <v>4918</v>
      </c>
      <c r="K154" s="289">
        <v>4894</v>
      </c>
      <c r="L154" s="289"/>
      <c r="M154" s="289"/>
      <c r="N154" s="289"/>
      <c r="O154" s="289"/>
      <c r="P154" s="289"/>
      <c r="Q154" s="289"/>
      <c r="R154" s="289"/>
      <c r="S154" s="289"/>
    </row>
    <row r="155" spans="1:19" s="657" customFormat="1" ht="13">
      <c r="A155" s="755">
        <v>3415</v>
      </c>
      <c r="B155" s="756" t="s">
        <v>830</v>
      </c>
      <c r="C155" s="290">
        <v>7884</v>
      </c>
      <c r="D155" s="290">
        <v>7879</v>
      </c>
      <c r="E155" s="290">
        <v>7905</v>
      </c>
      <c r="F155" s="290">
        <v>7914</v>
      </c>
      <c r="G155" s="290">
        <v>7978</v>
      </c>
      <c r="H155" s="290">
        <v>8008</v>
      </c>
      <c r="I155" s="290">
        <v>8036</v>
      </c>
      <c r="J155" s="290">
        <v>8061</v>
      </c>
      <c r="K155" s="289">
        <v>8089</v>
      </c>
      <c r="L155" s="289"/>
      <c r="M155" s="289"/>
      <c r="N155" s="289"/>
      <c r="O155" s="289"/>
      <c r="P155" s="289"/>
      <c r="Q155" s="289"/>
      <c r="R155" s="289"/>
      <c r="S155" s="289"/>
    </row>
    <row r="156" spans="1:19" s="657" customFormat="1" ht="13">
      <c r="A156" s="755">
        <v>3416</v>
      </c>
      <c r="B156" s="756" t="s">
        <v>831</v>
      </c>
      <c r="C156" s="290">
        <v>6142</v>
      </c>
      <c r="D156" s="290">
        <v>6114</v>
      </c>
      <c r="E156" s="290">
        <v>6106</v>
      </c>
      <c r="F156" s="290">
        <v>6099</v>
      </c>
      <c r="G156" s="290">
        <v>6032</v>
      </c>
      <c r="H156" s="290">
        <v>5995</v>
      </c>
      <c r="I156" s="290">
        <v>5965</v>
      </c>
      <c r="J156" s="290">
        <v>5940</v>
      </c>
      <c r="K156" s="289">
        <v>5927</v>
      </c>
      <c r="L156" s="289"/>
      <c r="M156" s="289"/>
      <c r="N156" s="289"/>
      <c r="O156" s="289"/>
      <c r="P156" s="289"/>
      <c r="Q156" s="289"/>
      <c r="R156" s="289"/>
      <c r="S156" s="289"/>
    </row>
    <row r="157" spans="1:19" s="657" customFormat="1" ht="13">
      <c r="A157" s="755">
        <v>3417</v>
      </c>
      <c r="B157" s="756" t="s">
        <v>832</v>
      </c>
      <c r="C157" s="290">
        <v>4740</v>
      </c>
      <c r="D157" s="290">
        <v>4646</v>
      </c>
      <c r="E157" s="290">
        <v>4612</v>
      </c>
      <c r="F157" s="290">
        <v>4545</v>
      </c>
      <c r="G157" s="290">
        <v>4548</v>
      </c>
      <c r="H157" s="290">
        <v>4556</v>
      </c>
      <c r="I157" s="290">
        <v>4560</v>
      </c>
      <c r="J157" s="290">
        <v>4557</v>
      </c>
      <c r="K157" s="289">
        <v>4553</v>
      </c>
      <c r="L157" s="289"/>
      <c r="M157" s="289"/>
      <c r="N157" s="289"/>
      <c r="O157" s="289"/>
      <c r="P157" s="289"/>
      <c r="Q157" s="289"/>
      <c r="R157" s="289"/>
      <c r="S157" s="289"/>
    </row>
    <row r="158" spans="1:19" s="657" customFormat="1" ht="13">
      <c r="A158" s="755">
        <v>3418</v>
      </c>
      <c r="B158" s="756" t="s">
        <v>833</v>
      </c>
      <c r="C158" s="290">
        <v>7279</v>
      </c>
      <c r="D158" s="290">
        <v>7214</v>
      </c>
      <c r="E158" s="290">
        <v>7203</v>
      </c>
      <c r="F158" s="290">
        <v>7227</v>
      </c>
      <c r="G158" s="290">
        <v>7211</v>
      </c>
      <c r="H158" s="290">
        <v>7215</v>
      </c>
      <c r="I158" s="290">
        <v>7205</v>
      </c>
      <c r="J158" s="290">
        <v>7180</v>
      </c>
      <c r="K158" s="289">
        <v>7155</v>
      </c>
      <c r="L158" s="289"/>
      <c r="M158" s="289"/>
      <c r="N158" s="289"/>
      <c r="O158" s="289"/>
      <c r="P158" s="289"/>
      <c r="Q158" s="289"/>
      <c r="R158" s="289"/>
      <c r="S158" s="289"/>
    </row>
    <row r="159" spans="1:19" s="657" customFormat="1" ht="13">
      <c r="A159" s="755">
        <v>3419</v>
      </c>
      <c r="B159" s="756" t="s">
        <v>799</v>
      </c>
      <c r="C159" s="290">
        <v>3680</v>
      </c>
      <c r="D159" s="290">
        <v>3705</v>
      </c>
      <c r="E159" s="290">
        <v>3662</v>
      </c>
      <c r="F159" s="290">
        <v>3587</v>
      </c>
      <c r="G159" s="290">
        <v>3597</v>
      </c>
      <c r="H159" s="290">
        <v>3615</v>
      </c>
      <c r="I159" s="290">
        <v>3620</v>
      </c>
      <c r="J159" s="290">
        <v>3614</v>
      </c>
      <c r="K159" s="289">
        <v>3608</v>
      </c>
      <c r="L159" s="289"/>
      <c r="M159" s="289"/>
      <c r="N159" s="289"/>
      <c r="O159" s="289"/>
      <c r="P159" s="289"/>
      <c r="Q159" s="289"/>
      <c r="R159" s="289"/>
      <c r="S159" s="289"/>
    </row>
    <row r="160" spans="1:19" s="657" customFormat="1" ht="13">
      <c r="A160" s="755">
        <v>3420</v>
      </c>
      <c r="B160" s="756" t="s">
        <v>834</v>
      </c>
      <c r="C160" s="290">
        <v>21123</v>
      </c>
      <c r="D160" s="290">
        <v>21191</v>
      </c>
      <c r="E160" s="290">
        <v>21254</v>
      </c>
      <c r="F160" s="290">
        <v>21292</v>
      </c>
      <c r="G160" s="290">
        <v>21435</v>
      </c>
      <c r="H160" s="290">
        <v>21531</v>
      </c>
      <c r="I160" s="290">
        <v>21592</v>
      </c>
      <c r="J160" s="290">
        <v>21618</v>
      </c>
      <c r="K160" s="289">
        <v>21646</v>
      </c>
      <c r="L160" s="289"/>
      <c r="M160" s="289"/>
      <c r="N160" s="289"/>
      <c r="O160" s="289"/>
      <c r="P160" s="289"/>
      <c r="Q160" s="289"/>
      <c r="R160" s="289"/>
      <c r="S160" s="289"/>
    </row>
    <row r="161" spans="1:19" s="657" customFormat="1" ht="13">
      <c r="A161" s="755">
        <v>3421</v>
      </c>
      <c r="B161" s="756" t="s">
        <v>835</v>
      </c>
      <c r="C161" s="290">
        <v>6567</v>
      </c>
      <c r="D161" s="290">
        <v>6607</v>
      </c>
      <c r="E161" s="290">
        <v>6627</v>
      </c>
      <c r="F161" s="290">
        <v>6580</v>
      </c>
      <c r="G161" s="290">
        <v>6603</v>
      </c>
      <c r="H161" s="290">
        <v>6614</v>
      </c>
      <c r="I161" s="290">
        <v>6605</v>
      </c>
      <c r="J161" s="290">
        <v>6579</v>
      </c>
      <c r="K161" s="289">
        <v>6553</v>
      </c>
      <c r="L161" s="289"/>
      <c r="M161" s="289"/>
      <c r="N161" s="289"/>
      <c r="O161" s="289"/>
      <c r="P161" s="289"/>
      <c r="Q161" s="289"/>
      <c r="R161" s="289"/>
      <c r="S161" s="289"/>
    </row>
    <row r="162" spans="1:19" s="657" customFormat="1" ht="13">
      <c r="A162" s="755">
        <v>3422</v>
      </c>
      <c r="B162" s="756" t="s">
        <v>836</v>
      </c>
      <c r="C162" s="290">
        <v>4480</v>
      </c>
      <c r="D162" s="290">
        <v>4407</v>
      </c>
      <c r="E162" s="290">
        <v>4356</v>
      </c>
      <c r="F162" s="290">
        <v>4338</v>
      </c>
      <c r="G162" s="290">
        <v>4195</v>
      </c>
      <c r="H162" s="290">
        <v>4256</v>
      </c>
      <c r="I162" s="290">
        <v>4308</v>
      </c>
      <c r="J162" s="290">
        <v>4349</v>
      </c>
      <c r="K162" s="289">
        <v>4384</v>
      </c>
      <c r="L162" s="289"/>
      <c r="M162" s="289"/>
      <c r="N162" s="289"/>
      <c r="O162" s="289"/>
      <c r="P162" s="289"/>
      <c r="Q162" s="289"/>
      <c r="R162" s="289"/>
      <c r="S162" s="289"/>
    </row>
    <row r="163" spans="1:19" s="657" customFormat="1" ht="13">
      <c r="A163" s="755">
        <v>3423</v>
      </c>
      <c r="B163" s="756" t="s">
        <v>837</v>
      </c>
      <c r="C163" s="290">
        <v>2490</v>
      </c>
      <c r="D163" s="290">
        <v>2459</v>
      </c>
      <c r="E163" s="290">
        <v>2419</v>
      </c>
      <c r="F163" s="290">
        <v>2378</v>
      </c>
      <c r="G163" s="290">
        <v>2318</v>
      </c>
      <c r="H163" s="290">
        <v>2319</v>
      </c>
      <c r="I163" s="290">
        <v>2322</v>
      </c>
      <c r="J163" s="290">
        <v>2325</v>
      </c>
      <c r="K163" s="289">
        <v>2332</v>
      </c>
      <c r="L163" s="289"/>
      <c r="M163" s="289"/>
      <c r="N163" s="289"/>
      <c r="O163" s="289"/>
      <c r="P163" s="289"/>
      <c r="Q163" s="289"/>
      <c r="R163" s="289"/>
      <c r="S163" s="289"/>
    </row>
    <row r="164" spans="1:19" s="657" customFormat="1" ht="13">
      <c r="A164" s="755">
        <v>3424</v>
      </c>
      <c r="B164" s="756" t="s">
        <v>838</v>
      </c>
      <c r="C164" s="290">
        <v>1827</v>
      </c>
      <c r="D164" s="290">
        <v>1791</v>
      </c>
      <c r="E164" s="290">
        <v>1780</v>
      </c>
      <c r="F164" s="290">
        <v>1741</v>
      </c>
      <c r="G164" s="290">
        <v>1722</v>
      </c>
      <c r="H164" s="290">
        <v>1728</v>
      </c>
      <c r="I164" s="290">
        <v>1733</v>
      </c>
      <c r="J164" s="290">
        <v>1735</v>
      </c>
      <c r="K164" s="289">
        <v>1738</v>
      </c>
      <c r="L164" s="289"/>
      <c r="M164" s="289"/>
      <c r="N164" s="289"/>
      <c r="O164" s="289"/>
      <c r="P164" s="289"/>
      <c r="Q164" s="289"/>
      <c r="R164" s="289"/>
      <c r="S164" s="289"/>
    </row>
    <row r="165" spans="1:19" s="657" customFormat="1" ht="13">
      <c r="A165" s="755">
        <v>3425</v>
      </c>
      <c r="B165" s="756" t="s">
        <v>839</v>
      </c>
      <c r="C165" s="290">
        <v>1294</v>
      </c>
      <c r="D165" s="290">
        <v>1286</v>
      </c>
      <c r="E165" s="290">
        <v>1268</v>
      </c>
      <c r="F165" s="290">
        <v>1250</v>
      </c>
      <c r="G165" s="290">
        <v>1253</v>
      </c>
      <c r="H165" s="290">
        <v>1258</v>
      </c>
      <c r="I165" s="290">
        <v>1261</v>
      </c>
      <c r="J165" s="290">
        <v>1260</v>
      </c>
      <c r="K165" s="289">
        <v>1260</v>
      </c>
      <c r="L165" s="289"/>
      <c r="M165" s="289"/>
      <c r="N165" s="289"/>
      <c r="O165" s="289"/>
      <c r="P165" s="289"/>
      <c r="Q165" s="289"/>
      <c r="R165" s="289"/>
      <c r="S165" s="289"/>
    </row>
    <row r="166" spans="1:19" s="657" customFormat="1" ht="13">
      <c r="A166" s="755">
        <v>3426</v>
      </c>
      <c r="B166" s="756" t="s">
        <v>840</v>
      </c>
      <c r="C166" s="290">
        <v>1553</v>
      </c>
      <c r="D166" s="290">
        <v>1551</v>
      </c>
      <c r="E166" s="290">
        <v>1562</v>
      </c>
      <c r="F166" s="290">
        <v>1563</v>
      </c>
      <c r="G166" s="290">
        <v>1551</v>
      </c>
      <c r="H166" s="290">
        <v>1548</v>
      </c>
      <c r="I166" s="290">
        <v>1542</v>
      </c>
      <c r="J166" s="290">
        <v>1532</v>
      </c>
      <c r="K166" s="289">
        <v>1523</v>
      </c>
      <c r="L166" s="289"/>
      <c r="M166" s="289"/>
      <c r="N166" s="289"/>
      <c r="O166" s="289"/>
      <c r="P166" s="289"/>
      <c r="Q166" s="289"/>
      <c r="R166" s="289"/>
      <c r="S166" s="289"/>
    </row>
    <row r="167" spans="1:19" s="657" customFormat="1" ht="13">
      <c r="A167" s="755">
        <v>3427</v>
      </c>
      <c r="B167" s="756" t="s">
        <v>841</v>
      </c>
      <c r="C167" s="290">
        <v>5605</v>
      </c>
      <c r="D167" s="290">
        <v>5591</v>
      </c>
      <c r="E167" s="290">
        <v>5578</v>
      </c>
      <c r="F167" s="290">
        <v>5537</v>
      </c>
      <c r="G167" s="290">
        <v>5581</v>
      </c>
      <c r="H167" s="290">
        <v>5586</v>
      </c>
      <c r="I167" s="290">
        <v>5586</v>
      </c>
      <c r="J167" s="290">
        <v>5580</v>
      </c>
      <c r="K167" s="289">
        <v>5575</v>
      </c>
      <c r="L167" s="289"/>
      <c r="M167" s="289"/>
      <c r="N167" s="289"/>
      <c r="O167" s="289"/>
      <c r="P167" s="289"/>
      <c r="Q167" s="289"/>
      <c r="R167" s="289"/>
      <c r="S167" s="289"/>
    </row>
    <row r="168" spans="1:19" s="657" customFormat="1" ht="13">
      <c r="A168" s="755">
        <v>3428</v>
      </c>
      <c r="B168" s="756" t="s">
        <v>842</v>
      </c>
      <c r="C168" s="290">
        <v>2424</v>
      </c>
      <c r="D168" s="290">
        <v>2418</v>
      </c>
      <c r="E168" s="290">
        <v>2432</v>
      </c>
      <c r="F168" s="290">
        <v>2405</v>
      </c>
      <c r="G168" s="290">
        <v>2445</v>
      </c>
      <c r="H168" s="290">
        <v>2449</v>
      </c>
      <c r="I168" s="290">
        <v>2445</v>
      </c>
      <c r="J168" s="290">
        <v>2435</v>
      </c>
      <c r="K168" s="289">
        <v>2424</v>
      </c>
      <c r="L168" s="289"/>
      <c r="M168" s="289"/>
      <c r="N168" s="289"/>
      <c r="O168" s="289"/>
      <c r="P168" s="289"/>
      <c r="Q168" s="289"/>
      <c r="R168" s="289"/>
      <c r="S168" s="289"/>
    </row>
    <row r="169" spans="1:19" s="657" customFormat="1" ht="13">
      <c r="A169" s="755">
        <v>3429</v>
      </c>
      <c r="B169" s="756" t="s">
        <v>843</v>
      </c>
      <c r="C169" s="290">
        <v>1569</v>
      </c>
      <c r="D169" s="290">
        <v>1577</v>
      </c>
      <c r="E169" s="290">
        <v>1545</v>
      </c>
      <c r="F169" s="290">
        <v>1518</v>
      </c>
      <c r="G169" s="290">
        <v>1530</v>
      </c>
      <c r="H169" s="290">
        <v>1534</v>
      </c>
      <c r="I169" s="290">
        <v>1534</v>
      </c>
      <c r="J169" s="290">
        <v>1531</v>
      </c>
      <c r="K169" s="289">
        <v>1526</v>
      </c>
      <c r="L169" s="289"/>
      <c r="M169" s="289"/>
      <c r="N169" s="289"/>
      <c r="O169" s="289"/>
      <c r="P169" s="289"/>
      <c r="Q169" s="289"/>
      <c r="R169" s="289"/>
      <c r="S169" s="289"/>
    </row>
    <row r="170" spans="1:19" s="657" customFormat="1" ht="13">
      <c r="A170" s="755">
        <v>3430</v>
      </c>
      <c r="B170" s="756" t="s">
        <v>844</v>
      </c>
      <c r="C170" s="290">
        <v>1936</v>
      </c>
      <c r="D170" s="290">
        <v>1912</v>
      </c>
      <c r="E170" s="290">
        <v>1891</v>
      </c>
      <c r="F170" s="290">
        <v>1870</v>
      </c>
      <c r="G170" s="290">
        <v>1855</v>
      </c>
      <c r="H170" s="290">
        <v>1836</v>
      </c>
      <c r="I170" s="290">
        <v>1820</v>
      </c>
      <c r="J170" s="290">
        <v>1807</v>
      </c>
      <c r="K170" s="289">
        <v>1795</v>
      </c>
      <c r="L170" s="289"/>
      <c r="M170" s="289"/>
      <c r="N170" s="289"/>
      <c r="O170" s="289"/>
      <c r="P170" s="289"/>
      <c r="Q170" s="289"/>
      <c r="R170" s="289"/>
      <c r="S170" s="289"/>
    </row>
    <row r="171" spans="1:19" s="657" customFormat="1" ht="13">
      <c r="A171" s="755">
        <v>3431</v>
      </c>
      <c r="B171" s="756" t="s">
        <v>847</v>
      </c>
      <c r="C171" s="290">
        <v>2642</v>
      </c>
      <c r="D171" s="290">
        <v>2615</v>
      </c>
      <c r="E171" s="290">
        <v>2553</v>
      </c>
      <c r="F171" s="290">
        <v>2512</v>
      </c>
      <c r="G171" s="290">
        <v>2498</v>
      </c>
      <c r="H171" s="290">
        <v>2483</v>
      </c>
      <c r="I171" s="290">
        <v>2468</v>
      </c>
      <c r="J171" s="290">
        <v>2454</v>
      </c>
      <c r="K171" s="289">
        <v>2444</v>
      </c>
      <c r="L171" s="289"/>
      <c r="M171" s="289"/>
      <c r="N171" s="289"/>
      <c r="O171" s="289"/>
      <c r="P171" s="289"/>
      <c r="Q171" s="289"/>
      <c r="R171" s="289"/>
      <c r="S171" s="289"/>
    </row>
    <row r="172" spans="1:19" s="657" customFormat="1" ht="13">
      <c r="A172" s="755">
        <v>3432</v>
      </c>
      <c r="B172" s="756" t="s">
        <v>848</v>
      </c>
      <c r="C172" s="290">
        <v>2038</v>
      </c>
      <c r="D172" s="290">
        <v>2009</v>
      </c>
      <c r="E172" s="290">
        <v>1975</v>
      </c>
      <c r="F172" s="290">
        <v>1980</v>
      </c>
      <c r="G172" s="290">
        <v>1986</v>
      </c>
      <c r="H172" s="290">
        <v>1965</v>
      </c>
      <c r="I172" s="290">
        <v>1943</v>
      </c>
      <c r="J172" s="290">
        <v>1920</v>
      </c>
      <c r="K172" s="289">
        <v>1899</v>
      </c>
      <c r="L172" s="289"/>
      <c r="M172" s="289"/>
      <c r="N172" s="289"/>
      <c r="O172" s="289"/>
      <c r="P172" s="289"/>
      <c r="Q172" s="289"/>
      <c r="R172" s="289"/>
      <c r="S172" s="289"/>
    </row>
    <row r="173" spans="1:19" s="657" customFormat="1" ht="13">
      <c r="A173" s="755">
        <v>3433</v>
      </c>
      <c r="B173" s="756" t="s">
        <v>849</v>
      </c>
      <c r="C173" s="290">
        <v>2179</v>
      </c>
      <c r="D173" s="290">
        <v>2204</v>
      </c>
      <c r="E173" s="290">
        <v>2197</v>
      </c>
      <c r="F173" s="290">
        <v>2183</v>
      </c>
      <c r="G173" s="290">
        <v>2151</v>
      </c>
      <c r="H173" s="290">
        <v>2125</v>
      </c>
      <c r="I173" s="290">
        <v>2101</v>
      </c>
      <c r="J173" s="290">
        <v>2077</v>
      </c>
      <c r="K173" s="289">
        <v>2056</v>
      </c>
      <c r="L173" s="289"/>
      <c r="M173" s="289"/>
      <c r="N173" s="289"/>
      <c r="O173" s="289"/>
      <c r="P173" s="289"/>
      <c r="Q173" s="289"/>
      <c r="R173" s="289"/>
      <c r="S173" s="289"/>
    </row>
    <row r="174" spans="1:19" s="657" customFormat="1" ht="13">
      <c r="A174" s="755">
        <v>3434</v>
      </c>
      <c r="B174" s="756" t="s">
        <v>850</v>
      </c>
      <c r="C174" s="290">
        <v>2331</v>
      </c>
      <c r="D174" s="290">
        <v>2293</v>
      </c>
      <c r="E174" s="290">
        <v>2228</v>
      </c>
      <c r="F174" s="290">
        <v>2204</v>
      </c>
      <c r="G174" s="290">
        <v>2211</v>
      </c>
      <c r="H174" s="290">
        <v>2186</v>
      </c>
      <c r="I174" s="290">
        <v>2163</v>
      </c>
      <c r="J174" s="290">
        <v>2141</v>
      </c>
      <c r="K174" s="289">
        <v>2122</v>
      </c>
      <c r="L174" s="289"/>
      <c r="M174" s="289"/>
      <c r="N174" s="289"/>
      <c r="O174" s="289"/>
      <c r="P174" s="289"/>
      <c r="Q174" s="289"/>
      <c r="R174" s="289"/>
      <c r="S174" s="289"/>
    </row>
    <row r="175" spans="1:19" s="657" customFormat="1" ht="13">
      <c r="A175" s="755">
        <v>3435</v>
      </c>
      <c r="B175" s="756" t="s">
        <v>851</v>
      </c>
      <c r="C175" s="290">
        <v>3638</v>
      </c>
      <c r="D175" s="290">
        <v>3589</v>
      </c>
      <c r="E175" s="290">
        <v>3570</v>
      </c>
      <c r="F175" s="290">
        <v>3564</v>
      </c>
      <c r="G175" s="290">
        <v>3591</v>
      </c>
      <c r="H175" s="290">
        <v>3565</v>
      </c>
      <c r="I175" s="290">
        <v>3536</v>
      </c>
      <c r="J175" s="290">
        <v>3504</v>
      </c>
      <c r="K175" s="289">
        <v>3474</v>
      </c>
      <c r="L175" s="289"/>
      <c r="M175" s="289"/>
      <c r="N175" s="289"/>
      <c r="O175" s="289"/>
      <c r="P175" s="289"/>
      <c r="Q175" s="289"/>
      <c r="R175" s="289"/>
      <c r="S175" s="289"/>
    </row>
    <row r="176" spans="1:19" s="657" customFormat="1" ht="13">
      <c r="A176" s="755">
        <v>3436</v>
      </c>
      <c r="B176" s="756" t="s">
        <v>852</v>
      </c>
      <c r="C176" s="290">
        <v>5728</v>
      </c>
      <c r="D176" s="290">
        <v>5742</v>
      </c>
      <c r="E176" s="290">
        <v>5723</v>
      </c>
      <c r="F176" s="290">
        <v>5705</v>
      </c>
      <c r="G176" s="290">
        <v>5628</v>
      </c>
      <c r="H176" s="290">
        <v>5600</v>
      </c>
      <c r="I176" s="290">
        <v>5567</v>
      </c>
      <c r="J176" s="290">
        <v>5529</v>
      </c>
      <c r="K176" s="289">
        <v>5495</v>
      </c>
      <c r="L176" s="289"/>
      <c r="M176" s="289"/>
      <c r="N176" s="289"/>
      <c r="O176" s="289"/>
      <c r="P176" s="289"/>
      <c r="Q176" s="289"/>
      <c r="R176" s="289"/>
      <c r="S176" s="289"/>
    </row>
    <row r="177" spans="1:19" s="657" customFormat="1" ht="13">
      <c r="A177" s="755">
        <v>3437</v>
      </c>
      <c r="B177" s="756" t="s">
        <v>853</v>
      </c>
      <c r="C177" s="290">
        <v>5872</v>
      </c>
      <c r="D177" s="290">
        <v>5789</v>
      </c>
      <c r="E177" s="290">
        <v>5739</v>
      </c>
      <c r="F177" s="290">
        <v>5592</v>
      </c>
      <c r="G177" s="290">
        <v>5531</v>
      </c>
      <c r="H177" s="290">
        <v>5465</v>
      </c>
      <c r="I177" s="290">
        <v>5405</v>
      </c>
      <c r="J177" s="290">
        <v>5348</v>
      </c>
      <c r="K177" s="289">
        <v>5302</v>
      </c>
      <c r="L177" s="289"/>
      <c r="M177" s="289"/>
      <c r="N177" s="289"/>
      <c r="O177" s="289"/>
      <c r="P177" s="289"/>
      <c r="Q177" s="289"/>
      <c r="R177" s="289"/>
      <c r="S177" s="289"/>
    </row>
    <row r="178" spans="1:19" s="657" customFormat="1" ht="13">
      <c r="A178" s="755">
        <v>3438</v>
      </c>
      <c r="B178" s="756" t="s">
        <v>854</v>
      </c>
      <c r="C178" s="290">
        <v>3146</v>
      </c>
      <c r="D178" s="290">
        <v>3127</v>
      </c>
      <c r="E178" s="290">
        <v>3119</v>
      </c>
      <c r="F178" s="290">
        <v>3064</v>
      </c>
      <c r="G178" s="290">
        <v>3064</v>
      </c>
      <c r="H178" s="290">
        <v>3068</v>
      </c>
      <c r="I178" s="290">
        <v>3067</v>
      </c>
      <c r="J178" s="290">
        <v>3061</v>
      </c>
      <c r="K178" s="289">
        <v>3056</v>
      </c>
      <c r="L178" s="289"/>
      <c r="M178" s="289"/>
      <c r="N178" s="289"/>
      <c r="O178" s="289"/>
      <c r="P178" s="289"/>
      <c r="Q178" s="289"/>
      <c r="R178" s="289"/>
      <c r="S178" s="289"/>
    </row>
    <row r="179" spans="1:19" s="657" customFormat="1" ht="13">
      <c r="A179" s="755">
        <v>3439</v>
      </c>
      <c r="B179" s="756" t="s">
        <v>855</v>
      </c>
      <c r="C179" s="290">
        <v>4454</v>
      </c>
      <c r="D179" s="290">
        <v>4425</v>
      </c>
      <c r="E179" s="290">
        <v>4392</v>
      </c>
      <c r="F179" s="290">
        <v>4408</v>
      </c>
      <c r="G179" s="290">
        <v>4385</v>
      </c>
      <c r="H179" s="290">
        <v>4378</v>
      </c>
      <c r="I179" s="290">
        <v>4365</v>
      </c>
      <c r="J179" s="290">
        <v>4345</v>
      </c>
      <c r="K179" s="289">
        <v>4327</v>
      </c>
      <c r="L179" s="289"/>
      <c r="M179" s="289"/>
      <c r="N179" s="289"/>
      <c r="O179" s="289"/>
      <c r="P179" s="289"/>
      <c r="Q179" s="289"/>
      <c r="R179" s="289"/>
      <c r="S179" s="289"/>
    </row>
    <row r="180" spans="1:19" s="657" customFormat="1" ht="13">
      <c r="A180" s="755">
        <v>3440</v>
      </c>
      <c r="B180" s="756" t="s">
        <v>856</v>
      </c>
      <c r="C180" s="290">
        <f>5130+15</f>
        <v>5145</v>
      </c>
      <c r="D180" s="290">
        <f>5119+15</f>
        <v>5134</v>
      </c>
      <c r="E180" s="290">
        <f>5100+15</f>
        <v>5115</v>
      </c>
      <c r="F180" s="290">
        <f>5093+15</f>
        <v>5108</v>
      </c>
      <c r="G180" s="290">
        <v>5082</v>
      </c>
      <c r="H180" s="290">
        <v>5105</v>
      </c>
      <c r="I180" s="290">
        <v>5122</v>
      </c>
      <c r="J180" s="290">
        <v>5132</v>
      </c>
      <c r="K180" s="289">
        <v>5144</v>
      </c>
      <c r="L180" s="289"/>
      <c r="M180" s="289"/>
      <c r="N180" s="289"/>
      <c r="O180" s="289"/>
      <c r="P180" s="289"/>
      <c r="Q180" s="289"/>
      <c r="R180" s="289"/>
      <c r="S180" s="289"/>
    </row>
    <row r="181" spans="1:19" s="657" customFormat="1" ht="13">
      <c r="A181" s="755">
        <v>3441</v>
      </c>
      <c r="B181" s="756" t="s">
        <v>857</v>
      </c>
      <c r="C181" s="290">
        <v>6148</v>
      </c>
      <c r="D181" s="290">
        <v>6112</v>
      </c>
      <c r="E181" s="290">
        <v>6106</v>
      </c>
      <c r="F181" s="290">
        <v>6023</v>
      </c>
      <c r="G181" s="290">
        <v>6079</v>
      </c>
      <c r="H181" s="290">
        <v>6076</v>
      </c>
      <c r="I181" s="290">
        <v>6069</v>
      </c>
      <c r="J181" s="290">
        <v>6057</v>
      </c>
      <c r="K181" s="289">
        <v>6045</v>
      </c>
      <c r="L181" s="289"/>
      <c r="M181" s="289"/>
      <c r="N181" s="289"/>
      <c r="O181" s="289"/>
      <c r="P181" s="289"/>
      <c r="Q181" s="289"/>
      <c r="R181" s="289"/>
      <c r="S181" s="289"/>
    </row>
    <row r="182" spans="1:19" s="657" customFormat="1" ht="13">
      <c r="A182" s="755">
        <v>3442</v>
      </c>
      <c r="B182" s="756" t="s">
        <v>858</v>
      </c>
      <c r="C182" s="290">
        <v>14888</v>
      </c>
      <c r="D182" s="290">
        <v>14948</v>
      </c>
      <c r="E182" s="290">
        <v>14973</v>
      </c>
      <c r="F182" s="290">
        <v>14871</v>
      </c>
      <c r="G182" s="290">
        <v>14827</v>
      </c>
      <c r="H182" s="290">
        <v>14825</v>
      </c>
      <c r="I182" s="290">
        <v>14810</v>
      </c>
      <c r="J182" s="290">
        <v>14783</v>
      </c>
      <c r="K182" s="289">
        <v>14770</v>
      </c>
      <c r="L182" s="289"/>
      <c r="M182" s="289"/>
      <c r="N182" s="289"/>
      <c r="O182" s="289"/>
      <c r="P182" s="289"/>
      <c r="Q182" s="289"/>
      <c r="R182" s="289"/>
      <c r="S182" s="289"/>
    </row>
    <row r="183" spans="1:19" s="657" customFormat="1" ht="13">
      <c r="A183" s="755">
        <v>3443</v>
      </c>
      <c r="B183" s="756" t="s">
        <v>859</v>
      </c>
      <c r="C183" s="290">
        <v>13314</v>
      </c>
      <c r="D183" s="290">
        <v>13384</v>
      </c>
      <c r="E183" s="290">
        <v>13427</v>
      </c>
      <c r="F183" s="290">
        <v>13459</v>
      </c>
      <c r="G183" s="290">
        <v>13572</v>
      </c>
      <c r="H183" s="290">
        <v>13660</v>
      </c>
      <c r="I183" s="290">
        <v>13726</v>
      </c>
      <c r="J183" s="290">
        <v>13772</v>
      </c>
      <c r="K183" s="289">
        <v>13817</v>
      </c>
      <c r="L183" s="289"/>
      <c r="M183" s="289"/>
      <c r="N183" s="289"/>
      <c r="O183" s="289"/>
      <c r="P183" s="289"/>
      <c r="Q183" s="289"/>
      <c r="R183" s="289"/>
      <c r="S183" s="289"/>
    </row>
    <row r="184" spans="1:19" s="657" customFormat="1" ht="13">
      <c r="A184" s="755">
        <v>3446</v>
      </c>
      <c r="B184" s="756" t="s">
        <v>862</v>
      </c>
      <c r="C184" s="290">
        <v>13770</v>
      </c>
      <c r="D184" s="290">
        <v>13642</v>
      </c>
      <c r="E184" s="290">
        <v>13630</v>
      </c>
      <c r="F184" s="290">
        <v>13611</v>
      </c>
      <c r="G184" s="290">
        <v>13633</v>
      </c>
      <c r="H184" s="290">
        <v>13605</v>
      </c>
      <c r="I184" s="290">
        <v>13578</v>
      </c>
      <c r="J184" s="290">
        <v>13552</v>
      </c>
      <c r="K184" s="289">
        <v>13542</v>
      </c>
      <c r="L184" s="289"/>
      <c r="M184" s="289"/>
      <c r="N184" s="289"/>
      <c r="O184" s="289"/>
      <c r="P184" s="289"/>
      <c r="Q184" s="289"/>
      <c r="R184" s="289"/>
      <c r="S184" s="289"/>
    </row>
    <row r="185" spans="1:19" s="657" customFormat="1" ht="13">
      <c r="A185" s="755">
        <v>3447</v>
      </c>
      <c r="B185" s="756" t="s">
        <v>863</v>
      </c>
      <c r="C185" s="290">
        <v>5650</v>
      </c>
      <c r="D185" s="290">
        <v>5623</v>
      </c>
      <c r="E185" s="290">
        <v>5617</v>
      </c>
      <c r="F185" s="290">
        <v>5579</v>
      </c>
      <c r="G185" s="290">
        <v>5535</v>
      </c>
      <c r="H185" s="290">
        <v>5542</v>
      </c>
      <c r="I185" s="290">
        <v>5550</v>
      </c>
      <c r="J185" s="290">
        <v>5557</v>
      </c>
      <c r="K185" s="289">
        <v>5570</v>
      </c>
      <c r="L185" s="289"/>
      <c r="M185" s="289"/>
      <c r="N185" s="289"/>
      <c r="O185" s="289"/>
      <c r="P185" s="289"/>
      <c r="Q185" s="289"/>
      <c r="R185" s="289"/>
      <c r="S185" s="289"/>
    </row>
    <row r="186" spans="1:19" s="657" customFormat="1" ht="13">
      <c r="A186" s="755">
        <v>3448</v>
      </c>
      <c r="B186" s="756" t="s">
        <v>864</v>
      </c>
      <c r="C186" s="290">
        <v>6750</v>
      </c>
      <c r="D186" s="290">
        <v>6671</v>
      </c>
      <c r="E186" s="290">
        <v>6633</v>
      </c>
      <c r="F186" s="290">
        <v>6581</v>
      </c>
      <c r="G186" s="290">
        <v>6577</v>
      </c>
      <c r="H186" s="290">
        <v>6574</v>
      </c>
      <c r="I186" s="290">
        <v>6563</v>
      </c>
      <c r="J186" s="290">
        <v>6544</v>
      </c>
      <c r="K186" s="289">
        <v>6526</v>
      </c>
      <c r="L186" s="289"/>
      <c r="M186" s="289"/>
      <c r="N186" s="289"/>
      <c r="O186" s="289"/>
      <c r="P186" s="289"/>
      <c r="Q186" s="289"/>
      <c r="R186" s="289"/>
      <c r="S186" s="289"/>
    </row>
    <row r="187" spans="1:19" s="657" customFormat="1" ht="13">
      <c r="A187" s="755">
        <v>3449</v>
      </c>
      <c r="B187" s="756" t="s">
        <v>865</v>
      </c>
      <c r="C187" s="290">
        <v>3014</v>
      </c>
      <c r="D187" s="290">
        <v>2981</v>
      </c>
      <c r="E187" s="290">
        <v>2954</v>
      </c>
      <c r="F187" s="290">
        <v>2904</v>
      </c>
      <c r="G187" s="290">
        <v>2889</v>
      </c>
      <c r="H187" s="290">
        <v>2889</v>
      </c>
      <c r="I187" s="290">
        <v>2884</v>
      </c>
      <c r="J187" s="290">
        <v>2875</v>
      </c>
      <c r="K187" s="289">
        <v>2864</v>
      </c>
      <c r="L187" s="289"/>
      <c r="M187" s="289"/>
      <c r="N187" s="289"/>
      <c r="O187" s="289"/>
      <c r="P187" s="289"/>
      <c r="Q187" s="289"/>
      <c r="R187" s="289"/>
      <c r="S187" s="289"/>
    </row>
    <row r="188" spans="1:19" s="657" customFormat="1" ht="13">
      <c r="A188" s="755">
        <v>3450</v>
      </c>
      <c r="B188" s="756" t="s">
        <v>866</v>
      </c>
      <c r="C188" s="290">
        <v>1352</v>
      </c>
      <c r="D188" s="290">
        <v>1305</v>
      </c>
      <c r="E188" s="290">
        <v>1279</v>
      </c>
      <c r="F188" s="290">
        <v>1257</v>
      </c>
      <c r="G188" s="290">
        <v>1256</v>
      </c>
      <c r="H188" s="290">
        <v>1277</v>
      </c>
      <c r="I188" s="290">
        <v>1290</v>
      </c>
      <c r="J188" s="290">
        <v>1296</v>
      </c>
      <c r="K188" s="289">
        <v>1299</v>
      </c>
      <c r="L188" s="289"/>
      <c r="M188" s="289"/>
      <c r="N188" s="289"/>
      <c r="O188" s="289"/>
      <c r="P188" s="289"/>
      <c r="Q188" s="289"/>
      <c r="R188" s="289"/>
      <c r="S188" s="289"/>
    </row>
    <row r="189" spans="1:19" s="657" customFormat="1" ht="13">
      <c r="A189" s="755">
        <v>3451</v>
      </c>
      <c r="B189" s="756" t="s">
        <v>867</v>
      </c>
      <c r="C189" s="290">
        <v>6443</v>
      </c>
      <c r="D189" s="290">
        <v>6418</v>
      </c>
      <c r="E189" s="290">
        <v>6413</v>
      </c>
      <c r="F189" s="290">
        <v>6360</v>
      </c>
      <c r="G189" s="290">
        <v>6354</v>
      </c>
      <c r="H189" s="290">
        <v>6373</v>
      </c>
      <c r="I189" s="290">
        <v>6374</v>
      </c>
      <c r="J189" s="290">
        <v>6360</v>
      </c>
      <c r="K189" s="289">
        <v>6348</v>
      </c>
      <c r="L189" s="289"/>
      <c r="M189" s="289"/>
      <c r="N189" s="289"/>
      <c r="O189" s="289"/>
      <c r="P189" s="289"/>
      <c r="Q189" s="289"/>
      <c r="R189" s="289"/>
      <c r="S189" s="289"/>
    </row>
    <row r="190" spans="1:19" s="657" customFormat="1" ht="13">
      <c r="A190" s="755">
        <v>3452</v>
      </c>
      <c r="B190" s="756" t="s">
        <v>868</v>
      </c>
      <c r="C190" s="290">
        <f>2139-12</f>
        <v>2127</v>
      </c>
      <c r="D190" s="290">
        <f>2135-12</f>
        <v>2123</v>
      </c>
      <c r="E190" s="290">
        <f>2125-12</f>
        <v>2113</v>
      </c>
      <c r="F190" s="290">
        <v>2120</v>
      </c>
      <c r="G190" s="290">
        <v>2111</v>
      </c>
      <c r="H190" s="290">
        <v>2121</v>
      </c>
      <c r="I190" s="290">
        <v>2127</v>
      </c>
      <c r="J190" s="290">
        <v>2127</v>
      </c>
      <c r="K190" s="289">
        <v>2125</v>
      </c>
      <c r="L190" s="289"/>
      <c r="M190" s="289"/>
      <c r="N190" s="289"/>
      <c r="O190" s="289"/>
      <c r="P190" s="289"/>
      <c r="Q190" s="289"/>
      <c r="R190" s="289"/>
      <c r="S190" s="289"/>
    </row>
    <row r="191" spans="1:19" s="657" customFormat="1" ht="13">
      <c r="A191" s="755">
        <v>3453</v>
      </c>
      <c r="B191" s="756" t="s">
        <v>869</v>
      </c>
      <c r="C191" s="290">
        <f>3221+12</f>
        <v>3233</v>
      </c>
      <c r="D191" s="290">
        <f>3208+12</f>
        <v>3220</v>
      </c>
      <c r="E191" s="290">
        <f>3229+12</f>
        <v>3241</v>
      </c>
      <c r="F191" s="290">
        <v>3236</v>
      </c>
      <c r="G191" s="290">
        <v>3252</v>
      </c>
      <c r="H191" s="290">
        <v>3277</v>
      </c>
      <c r="I191" s="290">
        <v>3291</v>
      </c>
      <c r="J191" s="290">
        <v>3294</v>
      </c>
      <c r="K191" s="289">
        <v>3296</v>
      </c>
      <c r="L191" s="289"/>
      <c r="M191" s="289"/>
      <c r="N191" s="289"/>
      <c r="O191" s="289"/>
      <c r="P191" s="289"/>
      <c r="Q191" s="289"/>
      <c r="R191" s="289"/>
      <c r="S191" s="289"/>
    </row>
    <row r="192" spans="1:19" s="657" customFormat="1" ht="13">
      <c r="A192" s="755">
        <v>3454</v>
      </c>
      <c r="B192" s="756" t="s">
        <v>870</v>
      </c>
      <c r="C192" s="290">
        <v>1601</v>
      </c>
      <c r="D192" s="290">
        <v>1610</v>
      </c>
      <c r="E192" s="290">
        <v>1578</v>
      </c>
      <c r="F192" s="290">
        <v>1573</v>
      </c>
      <c r="G192" s="290">
        <v>1587</v>
      </c>
      <c r="H192" s="290">
        <v>1641</v>
      </c>
      <c r="I192" s="290">
        <v>1679</v>
      </c>
      <c r="J192" s="290">
        <v>1701</v>
      </c>
      <c r="K192" s="289">
        <v>1717</v>
      </c>
      <c r="L192" s="289"/>
      <c r="M192" s="289"/>
      <c r="N192" s="289"/>
      <c r="O192" s="289"/>
      <c r="P192" s="289"/>
      <c r="Q192" s="289"/>
      <c r="R192" s="289"/>
      <c r="S192" s="289"/>
    </row>
    <row r="193" spans="1:19" s="657" customFormat="1" ht="13">
      <c r="A193" s="755">
        <v>3801</v>
      </c>
      <c r="B193" s="965" t="s">
        <v>346</v>
      </c>
      <c r="C193" s="290">
        <v>27330</v>
      </c>
      <c r="D193" s="290">
        <v>27347</v>
      </c>
      <c r="E193" s="290">
        <v>27351</v>
      </c>
      <c r="F193" s="290">
        <v>27510</v>
      </c>
      <c r="G193" s="290">
        <v>27502</v>
      </c>
      <c r="H193" s="290">
        <v>27611</v>
      </c>
      <c r="I193" s="290">
        <v>27688</v>
      </c>
      <c r="J193" s="290">
        <v>27733</v>
      </c>
      <c r="K193" s="289">
        <v>27794</v>
      </c>
      <c r="L193" s="289"/>
      <c r="M193" s="289"/>
      <c r="N193" s="289"/>
      <c r="O193" s="289"/>
      <c r="P193" s="289"/>
      <c r="Q193" s="289"/>
      <c r="R193" s="289"/>
      <c r="S193" s="289"/>
    </row>
    <row r="194" spans="1:19" s="657" customFormat="1" ht="13">
      <c r="A194" s="755">
        <v>3802</v>
      </c>
      <c r="B194" s="965" t="s">
        <v>892</v>
      </c>
      <c r="C194" s="290">
        <v>24062</v>
      </c>
      <c r="D194" s="290">
        <v>24399</v>
      </c>
      <c r="E194" s="290">
        <v>24699</v>
      </c>
      <c r="F194" s="290">
        <v>25011</v>
      </c>
      <c r="G194" s="290">
        <v>25681</v>
      </c>
      <c r="H194" s="290">
        <v>26322</v>
      </c>
      <c r="I194" s="290">
        <v>26843</v>
      </c>
      <c r="J194" s="290">
        <v>27254</v>
      </c>
      <c r="K194" s="289">
        <v>27598</v>
      </c>
      <c r="L194" s="289"/>
      <c r="M194" s="289"/>
      <c r="N194" s="289"/>
      <c r="O194" s="289"/>
      <c r="P194" s="289"/>
      <c r="Q194" s="289"/>
      <c r="R194" s="289"/>
      <c r="S194" s="289"/>
    </row>
    <row r="195" spans="1:19" s="657" customFormat="1" ht="13">
      <c r="A195" s="755">
        <v>3803</v>
      </c>
      <c r="B195" s="965" t="s">
        <v>893</v>
      </c>
      <c r="C195" s="290">
        <v>54844</v>
      </c>
      <c r="D195" s="290">
        <v>55569</v>
      </c>
      <c r="E195" s="290">
        <v>56293</v>
      </c>
      <c r="F195" s="290">
        <v>57026</v>
      </c>
      <c r="G195" s="290">
        <v>57794</v>
      </c>
      <c r="H195" s="290">
        <v>58525</v>
      </c>
      <c r="I195" s="290">
        <v>59108</v>
      </c>
      <c r="J195" s="290">
        <v>59544</v>
      </c>
      <c r="K195" s="289">
        <v>59935</v>
      </c>
      <c r="L195" s="289"/>
      <c r="M195" s="289"/>
      <c r="N195" s="289"/>
      <c r="O195" s="289"/>
      <c r="P195" s="289"/>
      <c r="Q195" s="289"/>
      <c r="R195" s="289"/>
      <c r="S195" s="289"/>
    </row>
    <row r="196" spans="1:19" s="657" customFormat="1" ht="13">
      <c r="A196" s="755">
        <v>3804</v>
      </c>
      <c r="B196" s="756" t="s">
        <v>894</v>
      </c>
      <c r="C196" s="290">
        <v>62615</v>
      </c>
      <c r="D196" s="290">
        <v>63271</v>
      </c>
      <c r="E196" s="290">
        <v>63764</v>
      </c>
      <c r="F196" s="290">
        <v>64345</v>
      </c>
      <c r="G196" s="290">
        <v>64943</v>
      </c>
      <c r="H196" s="290">
        <v>65511</v>
      </c>
      <c r="I196" s="290">
        <v>65965</v>
      </c>
      <c r="J196" s="290">
        <v>66299</v>
      </c>
      <c r="K196" s="289">
        <v>66648</v>
      </c>
      <c r="L196" s="289"/>
      <c r="M196" s="289"/>
      <c r="N196" s="289"/>
      <c r="O196" s="289"/>
      <c r="P196" s="289"/>
      <c r="Q196" s="289"/>
      <c r="R196" s="289"/>
      <c r="S196" s="289"/>
    </row>
    <row r="197" spans="1:19" s="657" customFormat="1" ht="13">
      <c r="A197" s="755">
        <v>3805</v>
      </c>
      <c r="B197" s="756" t="s">
        <v>1792</v>
      </c>
      <c r="C197" s="290">
        <v>46801</v>
      </c>
      <c r="D197" s="290">
        <v>47107</v>
      </c>
      <c r="E197" s="290">
        <v>47204</v>
      </c>
      <c r="F197" s="290">
        <v>47499</v>
      </c>
      <c r="G197" s="290">
        <v>47777</v>
      </c>
      <c r="H197" s="290">
        <v>48051</v>
      </c>
      <c r="I197" s="290">
        <v>48259</v>
      </c>
      <c r="J197" s="290">
        <v>48403</v>
      </c>
      <c r="K197" s="289">
        <v>48555</v>
      </c>
      <c r="L197" s="289"/>
      <c r="M197" s="289"/>
      <c r="N197" s="289"/>
      <c r="O197" s="289"/>
      <c r="P197" s="289"/>
      <c r="Q197" s="289"/>
      <c r="R197" s="289"/>
      <c r="S197" s="289"/>
    </row>
    <row r="198" spans="1:19" s="657" customFormat="1" ht="13">
      <c r="A198" s="755">
        <v>3806</v>
      </c>
      <c r="B198" s="756" t="s">
        <v>904</v>
      </c>
      <c r="C198" s="290">
        <v>36091</v>
      </c>
      <c r="D198" s="290">
        <v>36224</v>
      </c>
      <c r="E198" s="290">
        <v>36397</v>
      </c>
      <c r="F198" s="290">
        <v>36526</v>
      </c>
      <c r="G198" s="290">
        <v>36624</v>
      </c>
      <c r="H198" s="290">
        <v>36858</v>
      </c>
      <c r="I198" s="290">
        <v>37023</v>
      </c>
      <c r="J198" s="290">
        <v>37126</v>
      </c>
      <c r="K198" s="289">
        <v>37235</v>
      </c>
      <c r="L198" s="289"/>
      <c r="M198" s="289"/>
      <c r="N198" s="289"/>
      <c r="O198" s="289"/>
      <c r="P198" s="289"/>
      <c r="Q198" s="289"/>
      <c r="R198" s="289"/>
      <c r="S198" s="289"/>
    </row>
    <row r="199" spans="1:19" s="657" customFormat="1" ht="13">
      <c r="A199" s="755">
        <v>3807</v>
      </c>
      <c r="B199" s="756" t="s">
        <v>905</v>
      </c>
      <c r="C199" s="290">
        <v>54510</v>
      </c>
      <c r="D199" s="290">
        <v>54645</v>
      </c>
      <c r="E199" s="290">
        <v>54942</v>
      </c>
      <c r="F199" s="290">
        <v>55144</v>
      </c>
      <c r="G199" s="290">
        <v>55513</v>
      </c>
      <c r="H199" s="290">
        <v>55862</v>
      </c>
      <c r="I199" s="290">
        <v>56131</v>
      </c>
      <c r="J199" s="290">
        <v>56319</v>
      </c>
      <c r="K199" s="289">
        <v>56501</v>
      </c>
      <c r="L199" s="289"/>
      <c r="M199" s="289"/>
      <c r="N199" s="289"/>
      <c r="O199" s="289"/>
      <c r="P199" s="289"/>
      <c r="Q199" s="289"/>
      <c r="R199" s="289"/>
      <c r="S199" s="289"/>
    </row>
    <row r="200" spans="1:19" s="657" customFormat="1" ht="13">
      <c r="A200" s="755">
        <v>3808</v>
      </c>
      <c r="B200" s="756" t="s">
        <v>906</v>
      </c>
      <c r="C200" s="290">
        <v>13112</v>
      </c>
      <c r="D200" s="290">
        <v>13130</v>
      </c>
      <c r="E200" s="290">
        <v>13049</v>
      </c>
      <c r="F200" s="290">
        <v>12994</v>
      </c>
      <c r="G200" s="290">
        <v>13029</v>
      </c>
      <c r="H200" s="290">
        <v>13069</v>
      </c>
      <c r="I200" s="290">
        <v>13093</v>
      </c>
      <c r="J200" s="290">
        <v>13098</v>
      </c>
      <c r="K200" s="289">
        <v>13103</v>
      </c>
      <c r="L200" s="289"/>
      <c r="M200" s="289"/>
      <c r="N200" s="289"/>
      <c r="O200" s="289"/>
      <c r="P200" s="289"/>
      <c r="Q200" s="289"/>
      <c r="R200" s="289"/>
      <c r="S200" s="289"/>
    </row>
    <row r="201" spans="1:19" s="657" customFormat="1" ht="13">
      <c r="A201" s="755">
        <v>3811</v>
      </c>
      <c r="B201" s="756" t="s">
        <v>1793</v>
      </c>
      <c r="C201" s="290">
        <v>26734</v>
      </c>
      <c r="D201" s="290">
        <v>26700</v>
      </c>
      <c r="E201" s="290">
        <v>26730</v>
      </c>
      <c r="F201" s="290">
        <v>26957</v>
      </c>
      <c r="G201" s="290">
        <v>27165</v>
      </c>
      <c r="H201" s="290">
        <v>27437</v>
      </c>
      <c r="I201" s="290">
        <v>27655</v>
      </c>
      <c r="J201" s="290">
        <v>27821</v>
      </c>
      <c r="K201" s="289">
        <v>27973</v>
      </c>
      <c r="L201" s="289"/>
      <c r="M201" s="289"/>
      <c r="N201" s="289"/>
      <c r="O201" s="289"/>
      <c r="P201" s="289"/>
      <c r="Q201" s="289"/>
      <c r="R201" s="289"/>
      <c r="S201" s="289"/>
    </row>
    <row r="202" spans="1:19" s="657" customFormat="1" ht="13">
      <c r="A202" s="755">
        <v>3812</v>
      </c>
      <c r="B202" s="756" t="s">
        <v>907</v>
      </c>
      <c r="C202" s="290">
        <v>2351</v>
      </c>
      <c r="D202" s="290">
        <v>2329</v>
      </c>
      <c r="E202" s="290">
        <v>2340</v>
      </c>
      <c r="F202" s="290">
        <v>2347</v>
      </c>
      <c r="G202" s="290">
        <v>2349</v>
      </c>
      <c r="H202" s="290">
        <v>2373</v>
      </c>
      <c r="I202" s="290">
        <v>2394</v>
      </c>
      <c r="J202" s="290">
        <v>2411</v>
      </c>
      <c r="K202" s="289">
        <v>2428</v>
      </c>
      <c r="L202" s="289"/>
      <c r="M202" s="289"/>
      <c r="N202" s="289"/>
      <c r="O202" s="289"/>
      <c r="P202" s="289"/>
      <c r="Q202" s="289"/>
      <c r="R202" s="289"/>
      <c r="S202" s="289"/>
    </row>
    <row r="203" spans="1:19" s="657" customFormat="1" ht="13">
      <c r="A203" s="755">
        <v>3813</v>
      </c>
      <c r="B203" s="756" t="s">
        <v>908</v>
      </c>
      <c r="C203" s="290">
        <v>14183</v>
      </c>
      <c r="D203" s="290">
        <v>14089</v>
      </c>
      <c r="E203" s="290">
        <v>14061</v>
      </c>
      <c r="F203" s="290">
        <v>14014</v>
      </c>
      <c r="G203" s="290">
        <v>14056</v>
      </c>
      <c r="H203" s="290">
        <v>14089</v>
      </c>
      <c r="I203" s="290">
        <v>14105</v>
      </c>
      <c r="J203" s="290">
        <v>14104</v>
      </c>
      <c r="K203" s="289">
        <v>14102</v>
      </c>
      <c r="L203" s="289"/>
      <c r="M203" s="289"/>
      <c r="N203" s="289"/>
      <c r="O203" s="289"/>
      <c r="P203" s="289"/>
      <c r="Q203" s="289"/>
      <c r="R203" s="289"/>
      <c r="S203" s="289"/>
    </row>
    <row r="204" spans="1:19" s="657" customFormat="1" ht="13">
      <c r="A204" s="755">
        <v>3814</v>
      </c>
      <c r="B204" s="756" t="s">
        <v>910</v>
      </c>
      <c r="C204" s="290">
        <v>10506</v>
      </c>
      <c r="D204" s="290">
        <v>10406</v>
      </c>
      <c r="E204" s="290">
        <v>10380</v>
      </c>
      <c r="F204" s="290">
        <v>10416</v>
      </c>
      <c r="G204" s="290">
        <v>10351</v>
      </c>
      <c r="H204" s="290">
        <v>10324</v>
      </c>
      <c r="I204" s="290">
        <v>10293</v>
      </c>
      <c r="J204" s="290">
        <v>10257</v>
      </c>
      <c r="K204" s="289">
        <v>10228</v>
      </c>
      <c r="L204" s="289"/>
      <c r="M204" s="289"/>
      <c r="N204" s="289"/>
      <c r="O204" s="289"/>
      <c r="P204" s="289"/>
      <c r="Q204" s="289"/>
      <c r="R204" s="289"/>
      <c r="S204" s="289"/>
    </row>
    <row r="205" spans="1:19" s="657" customFormat="1" ht="13">
      <c r="A205" s="755">
        <v>3815</v>
      </c>
      <c r="B205" s="756" t="s">
        <v>911</v>
      </c>
      <c r="C205" s="290">
        <v>4105</v>
      </c>
      <c r="D205" s="290">
        <v>4080</v>
      </c>
      <c r="E205" s="290">
        <v>4060</v>
      </c>
      <c r="F205" s="290">
        <v>4071</v>
      </c>
      <c r="G205" s="290">
        <v>4093</v>
      </c>
      <c r="H205" s="290">
        <v>4092</v>
      </c>
      <c r="I205" s="290">
        <v>4084</v>
      </c>
      <c r="J205" s="290">
        <v>4071</v>
      </c>
      <c r="K205" s="289">
        <v>4059</v>
      </c>
      <c r="L205" s="289"/>
      <c r="M205" s="289"/>
      <c r="N205" s="289"/>
      <c r="O205" s="289"/>
      <c r="P205" s="289"/>
      <c r="Q205" s="289"/>
      <c r="R205" s="289"/>
      <c r="S205" s="289"/>
    </row>
    <row r="206" spans="1:19" s="657" customFormat="1" ht="13">
      <c r="A206" s="755">
        <v>3816</v>
      </c>
      <c r="B206" s="756" t="s">
        <v>912</v>
      </c>
      <c r="C206" s="290">
        <v>6609</v>
      </c>
      <c r="D206" s="290">
        <v>6538</v>
      </c>
      <c r="E206" s="290">
        <v>6515</v>
      </c>
      <c r="F206" s="290">
        <v>6488</v>
      </c>
      <c r="G206" s="290">
        <v>6494</v>
      </c>
      <c r="H206" s="290">
        <v>6523</v>
      </c>
      <c r="I206" s="290">
        <v>6540</v>
      </c>
      <c r="J206" s="290">
        <v>6544</v>
      </c>
      <c r="K206" s="289">
        <v>6546</v>
      </c>
      <c r="L206" s="289"/>
      <c r="M206" s="289"/>
      <c r="N206" s="289"/>
      <c r="O206" s="289"/>
      <c r="P206" s="289"/>
      <c r="Q206" s="289"/>
      <c r="R206" s="289"/>
      <c r="S206" s="289"/>
    </row>
    <row r="207" spans="1:19" s="657" customFormat="1" ht="13">
      <c r="A207" s="755">
        <v>3817</v>
      </c>
      <c r="B207" s="756" t="s">
        <v>1794</v>
      </c>
      <c r="C207" s="290">
        <v>10371</v>
      </c>
      <c r="D207" s="290">
        <v>10475</v>
      </c>
      <c r="E207" s="290">
        <v>10444</v>
      </c>
      <c r="F207" s="290">
        <v>10461</v>
      </c>
      <c r="G207" s="290">
        <v>10539</v>
      </c>
      <c r="H207" s="290">
        <v>10717</v>
      </c>
      <c r="I207" s="290">
        <v>10846</v>
      </c>
      <c r="J207" s="290">
        <v>10930</v>
      </c>
      <c r="K207" s="289">
        <v>11007</v>
      </c>
      <c r="L207" s="289"/>
      <c r="M207" s="289"/>
      <c r="N207" s="289"/>
      <c r="O207" s="289"/>
      <c r="P207" s="289"/>
      <c r="Q207" s="289"/>
      <c r="R207" s="289"/>
      <c r="S207" s="289"/>
    </row>
    <row r="208" spans="1:19" s="657" customFormat="1" ht="13">
      <c r="A208" s="755">
        <v>3818</v>
      </c>
      <c r="B208" s="756" t="s">
        <v>920</v>
      </c>
      <c r="C208" s="290">
        <v>5856</v>
      </c>
      <c r="D208" s="290">
        <v>5780</v>
      </c>
      <c r="E208" s="290">
        <v>5691</v>
      </c>
      <c r="F208" s="290">
        <v>5604</v>
      </c>
      <c r="G208" s="290">
        <v>5512</v>
      </c>
      <c r="H208" s="290">
        <v>5455</v>
      </c>
      <c r="I208" s="290">
        <v>5405</v>
      </c>
      <c r="J208" s="290">
        <v>5358</v>
      </c>
      <c r="K208" s="289">
        <v>5324</v>
      </c>
      <c r="L208" s="289"/>
      <c r="M208" s="289"/>
      <c r="N208" s="289"/>
      <c r="O208" s="289"/>
      <c r="P208" s="289"/>
      <c r="Q208" s="289"/>
      <c r="R208" s="289"/>
      <c r="S208" s="289"/>
    </row>
    <row r="209" spans="1:19" s="657" customFormat="1" ht="13">
      <c r="A209" s="755">
        <v>3819</v>
      </c>
      <c r="B209" s="756" t="s">
        <v>921</v>
      </c>
      <c r="C209" s="290">
        <v>1587</v>
      </c>
      <c r="D209" s="290">
        <v>1572</v>
      </c>
      <c r="E209" s="290">
        <v>1573</v>
      </c>
      <c r="F209" s="290">
        <v>1561</v>
      </c>
      <c r="G209" s="290">
        <v>1562</v>
      </c>
      <c r="H209" s="290">
        <v>1558</v>
      </c>
      <c r="I209" s="290">
        <v>1553</v>
      </c>
      <c r="J209" s="290">
        <v>1547</v>
      </c>
      <c r="K209" s="289">
        <v>1541</v>
      </c>
      <c r="L209" s="289"/>
      <c r="M209" s="289"/>
      <c r="N209" s="289"/>
      <c r="O209" s="289"/>
      <c r="P209" s="289"/>
      <c r="Q209" s="289"/>
      <c r="R209" s="289"/>
      <c r="S209" s="289"/>
    </row>
    <row r="210" spans="1:19" s="657" customFormat="1" ht="13">
      <c r="A210" s="755">
        <v>3820</v>
      </c>
      <c r="B210" s="756" t="s">
        <v>922</v>
      </c>
      <c r="C210" s="290">
        <v>2959</v>
      </c>
      <c r="D210" s="290">
        <v>2934</v>
      </c>
      <c r="E210" s="290">
        <v>2888</v>
      </c>
      <c r="F210" s="290">
        <v>2900</v>
      </c>
      <c r="G210" s="290">
        <v>2889</v>
      </c>
      <c r="H210" s="290">
        <v>2893</v>
      </c>
      <c r="I210" s="290">
        <v>2891</v>
      </c>
      <c r="J210" s="290">
        <v>2883</v>
      </c>
      <c r="K210" s="289">
        <v>2878</v>
      </c>
      <c r="L210" s="289"/>
      <c r="M210" s="289"/>
      <c r="N210" s="289"/>
      <c r="O210" s="289"/>
      <c r="P210" s="289"/>
      <c r="Q210" s="289"/>
      <c r="R210" s="289"/>
      <c r="S210" s="289"/>
    </row>
    <row r="211" spans="1:19" s="657" customFormat="1" ht="13">
      <c r="A211" s="755">
        <v>3821</v>
      </c>
      <c r="B211" s="756" t="s">
        <v>923</v>
      </c>
      <c r="C211" s="290">
        <v>2397</v>
      </c>
      <c r="D211" s="290">
        <v>2403</v>
      </c>
      <c r="E211" s="290">
        <v>2403</v>
      </c>
      <c r="F211" s="290">
        <v>2430</v>
      </c>
      <c r="G211" s="290">
        <v>2452</v>
      </c>
      <c r="H211" s="290">
        <v>2470</v>
      </c>
      <c r="I211" s="290">
        <v>2482</v>
      </c>
      <c r="J211" s="290">
        <v>2488</v>
      </c>
      <c r="K211" s="289">
        <v>2493</v>
      </c>
      <c r="L211" s="289"/>
      <c r="M211" s="289"/>
      <c r="N211" s="289"/>
      <c r="O211" s="289"/>
      <c r="P211" s="289"/>
      <c r="Q211" s="289"/>
      <c r="R211" s="289"/>
      <c r="S211" s="289"/>
    </row>
    <row r="212" spans="1:19" s="657" customFormat="1" ht="13">
      <c r="A212" s="755">
        <v>3822</v>
      </c>
      <c r="B212" s="756" t="s">
        <v>924</v>
      </c>
      <c r="C212" s="290">
        <v>1489</v>
      </c>
      <c r="D212" s="290">
        <v>1476</v>
      </c>
      <c r="E212" s="290">
        <v>1448</v>
      </c>
      <c r="F212" s="290">
        <v>1430</v>
      </c>
      <c r="G212" s="290">
        <v>1414</v>
      </c>
      <c r="H212" s="290">
        <v>1421</v>
      </c>
      <c r="I212" s="290">
        <v>1425</v>
      </c>
      <c r="J212" s="290">
        <v>1427</v>
      </c>
      <c r="K212" s="289">
        <v>1428</v>
      </c>
      <c r="L212" s="289"/>
      <c r="M212" s="289"/>
      <c r="N212" s="289"/>
      <c r="O212" s="289"/>
      <c r="P212" s="289"/>
      <c r="Q212" s="289"/>
      <c r="R212" s="289"/>
      <c r="S212" s="289"/>
    </row>
    <row r="213" spans="1:19" s="657" customFormat="1" ht="13">
      <c r="A213" s="755">
        <v>3823</v>
      </c>
      <c r="B213" s="756" t="s">
        <v>925</v>
      </c>
      <c r="C213" s="290">
        <v>1320</v>
      </c>
      <c r="D213" s="290">
        <v>1286</v>
      </c>
      <c r="E213" s="290">
        <v>1287</v>
      </c>
      <c r="F213" s="290">
        <v>1228</v>
      </c>
      <c r="G213" s="290">
        <v>1198</v>
      </c>
      <c r="H213" s="290">
        <v>1199</v>
      </c>
      <c r="I213" s="290">
        <v>1199</v>
      </c>
      <c r="J213" s="290">
        <v>1198</v>
      </c>
      <c r="K213" s="289">
        <v>1198</v>
      </c>
      <c r="L213" s="289"/>
      <c r="M213" s="289"/>
      <c r="N213" s="289"/>
      <c r="O213" s="289"/>
      <c r="P213" s="289"/>
      <c r="Q213" s="289"/>
      <c r="R213" s="289"/>
      <c r="S213" s="289"/>
    </row>
    <row r="214" spans="1:19" s="657" customFormat="1" ht="13">
      <c r="A214" s="755">
        <v>3824</v>
      </c>
      <c r="B214" s="756" t="s">
        <v>926</v>
      </c>
      <c r="C214" s="290">
        <v>2236</v>
      </c>
      <c r="D214" s="290">
        <v>2228</v>
      </c>
      <c r="E214" s="290">
        <v>2201</v>
      </c>
      <c r="F214" s="290">
        <v>2164</v>
      </c>
      <c r="G214" s="290">
        <v>2140</v>
      </c>
      <c r="H214" s="290">
        <v>2119</v>
      </c>
      <c r="I214" s="290">
        <v>2101</v>
      </c>
      <c r="J214" s="290">
        <v>2084</v>
      </c>
      <c r="K214" s="289">
        <v>2070</v>
      </c>
      <c r="L214" s="289"/>
      <c r="M214" s="289"/>
      <c r="N214" s="289"/>
      <c r="O214" s="289"/>
      <c r="P214" s="289"/>
      <c r="Q214" s="289"/>
      <c r="R214" s="289"/>
      <c r="S214" s="289"/>
    </row>
    <row r="215" spans="1:19" s="657" customFormat="1" ht="13">
      <c r="A215" s="755">
        <v>3825</v>
      </c>
      <c r="B215" s="756" t="s">
        <v>927</v>
      </c>
      <c r="C215" s="290">
        <v>3709</v>
      </c>
      <c r="D215" s="290">
        <v>3723</v>
      </c>
      <c r="E215" s="290">
        <v>3676</v>
      </c>
      <c r="F215" s="290">
        <v>3756</v>
      </c>
      <c r="G215" s="290">
        <v>3755</v>
      </c>
      <c r="H215" s="290">
        <v>3779</v>
      </c>
      <c r="I215" s="290">
        <v>3791</v>
      </c>
      <c r="J215" s="290">
        <v>3793</v>
      </c>
      <c r="K215" s="289">
        <v>3794</v>
      </c>
      <c r="L215" s="289"/>
      <c r="M215" s="289"/>
      <c r="N215" s="289"/>
      <c r="O215" s="289"/>
      <c r="P215" s="289"/>
      <c r="Q215" s="289"/>
      <c r="R215" s="289"/>
      <c r="S215" s="289"/>
    </row>
    <row r="216" spans="1:19" s="657" customFormat="1" ht="13">
      <c r="A216" s="755">
        <v>4201</v>
      </c>
      <c r="B216" s="756" t="s">
        <v>928</v>
      </c>
      <c r="C216" s="290">
        <v>6882</v>
      </c>
      <c r="D216" s="290">
        <v>6848</v>
      </c>
      <c r="E216" s="290">
        <v>6809</v>
      </c>
      <c r="F216" s="290">
        <v>6762</v>
      </c>
      <c r="G216" s="290">
        <v>6735</v>
      </c>
      <c r="H216" s="290">
        <v>6716</v>
      </c>
      <c r="I216" s="290">
        <v>6698</v>
      </c>
      <c r="J216" s="290">
        <v>6679</v>
      </c>
      <c r="K216" s="289">
        <v>6668</v>
      </c>
      <c r="L216" s="289"/>
      <c r="M216" s="289"/>
      <c r="N216" s="289"/>
      <c r="O216" s="289"/>
      <c r="P216" s="289"/>
      <c r="Q216" s="289"/>
      <c r="R216" s="289"/>
      <c r="S216" s="289"/>
    </row>
    <row r="217" spans="1:19" s="657" customFormat="1" ht="13">
      <c r="A217" s="755">
        <v>4202</v>
      </c>
      <c r="B217" s="756" t="s">
        <v>929</v>
      </c>
      <c r="C217" s="290">
        <v>23017</v>
      </c>
      <c r="D217" s="290">
        <v>23246</v>
      </c>
      <c r="E217" s="290">
        <v>23544</v>
      </c>
      <c r="F217" s="290">
        <v>23891</v>
      </c>
      <c r="G217" s="290">
        <v>24017</v>
      </c>
      <c r="H217" s="290">
        <v>24289</v>
      </c>
      <c r="I217" s="290">
        <v>24505</v>
      </c>
      <c r="J217" s="290">
        <v>24668</v>
      </c>
      <c r="K217" s="289">
        <v>24822</v>
      </c>
      <c r="L217" s="289"/>
      <c r="M217" s="289"/>
      <c r="N217" s="289"/>
      <c r="O217" s="289"/>
      <c r="P217" s="289"/>
      <c r="Q217" s="289"/>
      <c r="R217" s="289"/>
      <c r="S217" s="289"/>
    </row>
    <row r="218" spans="1:19" s="657" customFormat="1" ht="13">
      <c r="A218" s="755">
        <v>4203</v>
      </c>
      <c r="B218" s="756" t="s">
        <v>930</v>
      </c>
      <c r="C218" s="290">
        <v>44645</v>
      </c>
      <c r="D218" s="290">
        <v>44785</v>
      </c>
      <c r="E218" s="290">
        <v>44999</v>
      </c>
      <c r="F218" s="290">
        <v>45065</v>
      </c>
      <c r="G218" s="290">
        <v>45509</v>
      </c>
      <c r="H218" s="290">
        <v>45720</v>
      </c>
      <c r="I218" s="290">
        <v>45879</v>
      </c>
      <c r="J218" s="290">
        <v>45979</v>
      </c>
      <c r="K218" s="289">
        <v>46079</v>
      </c>
      <c r="L218" s="289"/>
      <c r="M218" s="289"/>
      <c r="N218" s="289"/>
      <c r="O218" s="289"/>
      <c r="P218" s="289"/>
      <c r="Q218" s="289"/>
      <c r="R218" s="289"/>
      <c r="S218" s="289"/>
    </row>
    <row r="219" spans="1:19" s="657" customFormat="1" ht="13">
      <c r="A219" s="755">
        <v>4204</v>
      </c>
      <c r="B219" s="756" t="s">
        <v>942</v>
      </c>
      <c r="C219" s="290">
        <v>109438</v>
      </c>
      <c r="D219" s="290">
        <v>110391</v>
      </c>
      <c r="E219" s="290">
        <v>111633</v>
      </c>
      <c r="F219" s="290">
        <v>112588</v>
      </c>
      <c r="G219" s="290">
        <v>113737</v>
      </c>
      <c r="H219" s="290">
        <v>115247</v>
      </c>
      <c r="I219" s="290">
        <v>116495</v>
      </c>
      <c r="J219" s="290">
        <v>117490</v>
      </c>
      <c r="K219" s="289">
        <v>118461</v>
      </c>
      <c r="L219" s="289"/>
      <c r="M219" s="289"/>
      <c r="N219" s="289"/>
      <c r="O219" s="289"/>
      <c r="P219" s="289"/>
      <c r="Q219" s="289"/>
      <c r="R219" s="289"/>
      <c r="S219" s="289"/>
    </row>
    <row r="220" spans="1:19" s="657" customFormat="1" ht="13">
      <c r="A220" s="755">
        <v>4205</v>
      </c>
      <c r="B220" s="756" t="s">
        <v>953</v>
      </c>
      <c r="C220" s="290">
        <v>22905</v>
      </c>
      <c r="D220" s="290">
        <v>22909</v>
      </c>
      <c r="E220" s="290">
        <v>23046</v>
      </c>
      <c r="F220" s="290">
        <v>23055</v>
      </c>
      <c r="G220" s="290">
        <v>23147</v>
      </c>
      <c r="H220" s="290">
        <v>23180</v>
      </c>
      <c r="I220" s="290">
        <v>23189</v>
      </c>
      <c r="J220" s="290">
        <v>23171</v>
      </c>
      <c r="K220" s="289">
        <v>23163</v>
      </c>
      <c r="L220" s="289"/>
      <c r="M220" s="289"/>
      <c r="N220" s="289"/>
      <c r="O220" s="289"/>
      <c r="P220" s="289"/>
      <c r="Q220" s="289"/>
      <c r="R220" s="289"/>
      <c r="S220" s="289"/>
    </row>
    <row r="221" spans="1:19" s="657" customFormat="1" ht="13">
      <c r="A221" s="755">
        <v>4206</v>
      </c>
      <c r="B221" s="756" t="s">
        <v>944</v>
      </c>
      <c r="C221" s="290">
        <v>9726</v>
      </c>
      <c r="D221" s="290">
        <v>9695</v>
      </c>
      <c r="E221" s="290">
        <v>9691</v>
      </c>
      <c r="F221" s="290">
        <v>9645</v>
      </c>
      <c r="G221" s="290">
        <v>9622</v>
      </c>
      <c r="H221" s="290">
        <v>9575</v>
      </c>
      <c r="I221" s="290">
        <v>9528</v>
      </c>
      <c r="J221" s="290">
        <v>9477</v>
      </c>
      <c r="K221" s="289">
        <v>9437</v>
      </c>
      <c r="L221" s="289"/>
      <c r="M221" s="289"/>
      <c r="N221" s="289"/>
      <c r="O221" s="289"/>
      <c r="P221" s="289"/>
      <c r="Q221" s="289"/>
      <c r="R221" s="289"/>
      <c r="S221" s="289"/>
    </row>
    <row r="222" spans="1:19" s="657" customFormat="1" ht="13">
      <c r="A222" s="755">
        <v>4207</v>
      </c>
      <c r="B222" s="756" t="s">
        <v>946</v>
      </c>
      <c r="C222" s="290">
        <v>9066</v>
      </c>
      <c r="D222" s="290">
        <v>9066</v>
      </c>
      <c r="E222" s="290">
        <v>9028</v>
      </c>
      <c r="F222" s="290">
        <v>9027</v>
      </c>
      <c r="G222" s="290">
        <v>9048</v>
      </c>
      <c r="H222" s="290">
        <v>9031</v>
      </c>
      <c r="I222" s="290">
        <v>9003</v>
      </c>
      <c r="J222" s="290">
        <v>8964</v>
      </c>
      <c r="K222" s="289">
        <v>8930</v>
      </c>
      <c r="L222" s="289"/>
      <c r="M222" s="289"/>
      <c r="N222" s="289"/>
      <c r="O222" s="289"/>
      <c r="P222" s="289"/>
      <c r="Q222" s="289"/>
      <c r="R222" s="289"/>
      <c r="S222" s="289"/>
    </row>
    <row r="223" spans="1:19" s="657" customFormat="1" ht="13">
      <c r="A223" s="755">
        <v>4211</v>
      </c>
      <c r="B223" s="756" t="s">
        <v>931</v>
      </c>
      <c r="C223" s="290">
        <v>2467</v>
      </c>
      <c r="D223" s="290">
        <v>2454</v>
      </c>
      <c r="E223" s="290">
        <v>2428</v>
      </c>
      <c r="F223" s="290">
        <v>2430</v>
      </c>
      <c r="G223" s="290">
        <v>2427</v>
      </c>
      <c r="H223" s="290">
        <v>2421</v>
      </c>
      <c r="I223" s="290">
        <v>2414</v>
      </c>
      <c r="J223" s="290">
        <v>2405</v>
      </c>
      <c r="K223" s="289">
        <v>2399</v>
      </c>
      <c r="L223" s="289"/>
      <c r="M223" s="289"/>
      <c r="N223" s="289"/>
      <c r="O223" s="289"/>
      <c r="P223" s="289"/>
      <c r="Q223" s="289"/>
      <c r="R223" s="289"/>
      <c r="S223" s="289"/>
    </row>
    <row r="224" spans="1:19" s="657" customFormat="1" ht="13">
      <c r="A224" s="755">
        <v>4212</v>
      </c>
      <c r="B224" s="756" t="s">
        <v>706</v>
      </c>
      <c r="C224" s="290">
        <v>2087</v>
      </c>
      <c r="D224" s="290">
        <v>2093</v>
      </c>
      <c r="E224" s="290">
        <v>2097</v>
      </c>
      <c r="F224" s="290">
        <v>2128</v>
      </c>
      <c r="G224" s="290">
        <v>2131</v>
      </c>
      <c r="H224" s="290">
        <v>2137</v>
      </c>
      <c r="I224" s="290">
        <v>2142</v>
      </c>
      <c r="J224" s="290">
        <v>2146</v>
      </c>
      <c r="K224" s="289">
        <v>2153</v>
      </c>
      <c r="L224" s="289"/>
      <c r="M224" s="289"/>
      <c r="N224" s="289"/>
      <c r="O224" s="289"/>
      <c r="P224" s="289"/>
      <c r="Q224" s="289"/>
      <c r="R224" s="289"/>
      <c r="S224" s="289"/>
    </row>
    <row r="225" spans="1:19" s="657" customFormat="1" ht="13">
      <c r="A225" s="755">
        <v>4213</v>
      </c>
      <c r="B225" s="756" t="s">
        <v>932</v>
      </c>
      <c r="C225" s="290">
        <v>6086</v>
      </c>
      <c r="D225" s="290">
        <v>6069</v>
      </c>
      <c r="E225" s="290">
        <v>6053</v>
      </c>
      <c r="F225" s="290">
        <v>6067</v>
      </c>
      <c r="G225" s="290">
        <v>6115</v>
      </c>
      <c r="H225" s="290">
        <v>6162</v>
      </c>
      <c r="I225" s="290">
        <v>6199</v>
      </c>
      <c r="J225" s="290">
        <v>6226</v>
      </c>
      <c r="K225" s="289">
        <v>6252</v>
      </c>
      <c r="L225" s="289"/>
      <c r="M225" s="289"/>
      <c r="N225" s="289"/>
      <c r="O225" s="289"/>
      <c r="P225" s="289"/>
      <c r="Q225" s="289"/>
      <c r="R225" s="289"/>
      <c r="S225" s="289"/>
    </row>
    <row r="226" spans="1:19" s="657" customFormat="1" ht="13">
      <c r="A226" s="755">
        <v>4214</v>
      </c>
      <c r="B226" s="756" t="s">
        <v>933</v>
      </c>
      <c r="C226" s="290">
        <v>5790</v>
      </c>
      <c r="D226" s="290">
        <v>5845</v>
      </c>
      <c r="E226" s="290">
        <v>5951</v>
      </c>
      <c r="F226" s="290">
        <v>6004</v>
      </c>
      <c r="G226" s="290">
        <v>6098</v>
      </c>
      <c r="H226" s="290">
        <v>6224</v>
      </c>
      <c r="I226" s="290">
        <v>6331</v>
      </c>
      <c r="J226" s="290">
        <v>6419</v>
      </c>
      <c r="K226" s="289">
        <v>6496</v>
      </c>
      <c r="L226" s="289"/>
      <c r="M226" s="289"/>
      <c r="N226" s="289"/>
      <c r="O226" s="289"/>
      <c r="P226" s="289"/>
      <c r="Q226" s="289"/>
      <c r="R226" s="289"/>
      <c r="S226" s="289"/>
    </row>
    <row r="227" spans="1:19" s="657" customFormat="1" ht="13">
      <c r="A227" s="755">
        <v>4215</v>
      </c>
      <c r="B227" s="756" t="s">
        <v>934</v>
      </c>
      <c r="C227" s="290">
        <v>10871</v>
      </c>
      <c r="D227" s="290">
        <v>10990</v>
      </c>
      <c r="E227" s="290">
        <v>11074</v>
      </c>
      <c r="F227" s="290">
        <v>11180</v>
      </c>
      <c r="G227" s="290">
        <v>11279</v>
      </c>
      <c r="H227" s="290">
        <v>11413</v>
      </c>
      <c r="I227" s="290">
        <v>11523</v>
      </c>
      <c r="J227" s="290">
        <v>11609</v>
      </c>
      <c r="K227" s="289">
        <v>11688</v>
      </c>
      <c r="L227" s="289"/>
      <c r="M227" s="289"/>
      <c r="N227" s="289"/>
      <c r="O227" s="289"/>
      <c r="P227" s="289"/>
      <c r="Q227" s="289"/>
      <c r="R227" s="289"/>
      <c r="S227" s="289"/>
    </row>
    <row r="228" spans="1:19" s="657" customFormat="1" ht="13">
      <c r="A228" s="755">
        <v>4216</v>
      </c>
      <c r="B228" s="756" t="s">
        <v>935</v>
      </c>
      <c r="C228" s="290">
        <v>5187</v>
      </c>
      <c r="D228" s="290">
        <v>5212</v>
      </c>
      <c r="E228" s="290">
        <v>5226</v>
      </c>
      <c r="F228" s="290">
        <v>5274</v>
      </c>
      <c r="G228" s="290">
        <v>5342</v>
      </c>
      <c r="H228" s="290">
        <v>5405</v>
      </c>
      <c r="I228" s="290">
        <v>5454</v>
      </c>
      <c r="J228" s="290">
        <v>5492</v>
      </c>
      <c r="K228" s="289">
        <v>5526</v>
      </c>
      <c r="L228" s="289"/>
      <c r="M228" s="289"/>
      <c r="N228" s="289"/>
      <c r="O228" s="289"/>
      <c r="P228" s="289"/>
      <c r="Q228" s="289"/>
      <c r="R228" s="289"/>
      <c r="S228" s="289"/>
    </row>
    <row r="229" spans="1:19" s="657" customFormat="1" ht="13">
      <c r="A229" s="755">
        <v>4217</v>
      </c>
      <c r="B229" s="756" t="s">
        <v>936</v>
      </c>
      <c r="C229" s="290">
        <v>1845</v>
      </c>
      <c r="D229" s="290">
        <v>1848</v>
      </c>
      <c r="E229" s="290">
        <v>1836</v>
      </c>
      <c r="F229" s="290">
        <v>1822</v>
      </c>
      <c r="G229" s="290">
        <v>1801</v>
      </c>
      <c r="H229" s="290">
        <v>1810</v>
      </c>
      <c r="I229" s="290">
        <v>1818</v>
      </c>
      <c r="J229" s="290">
        <v>1825</v>
      </c>
      <c r="K229" s="289">
        <v>1832</v>
      </c>
      <c r="L229" s="289"/>
      <c r="M229" s="289"/>
      <c r="N229" s="289"/>
      <c r="O229" s="289"/>
      <c r="P229" s="289"/>
      <c r="Q229" s="289"/>
      <c r="R229" s="289"/>
      <c r="S229" s="289"/>
    </row>
    <row r="230" spans="1:19" s="657" customFormat="1" ht="13">
      <c r="A230" s="755">
        <v>4218</v>
      </c>
      <c r="B230" s="756" t="s">
        <v>937</v>
      </c>
      <c r="C230" s="290">
        <v>1330</v>
      </c>
      <c r="D230" s="290">
        <v>1326</v>
      </c>
      <c r="E230" s="290">
        <v>1331</v>
      </c>
      <c r="F230" s="290">
        <v>1335</v>
      </c>
      <c r="G230" s="290">
        <v>1323</v>
      </c>
      <c r="H230" s="290">
        <v>1341</v>
      </c>
      <c r="I230" s="290">
        <v>1358</v>
      </c>
      <c r="J230" s="290">
        <v>1372</v>
      </c>
      <c r="K230" s="289">
        <v>1385</v>
      </c>
      <c r="L230" s="289"/>
      <c r="M230" s="289"/>
      <c r="N230" s="289"/>
      <c r="O230" s="289"/>
      <c r="P230" s="289"/>
      <c r="Q230" s="289"/>
      <c r="R230" s="289"/>
      <c r="S230" s="289"/>
    </row>
    <row r="231" spans="1:19" s="657" customFormat="1" ht="13">
      <c r="A231" s="755">
        <v>4219</v>
      </c>
      <c r="B231" s="756" t="s">
        <v>938</v>
      </c>
      <c r="C231" s="290">
        <v>3625</v>
      </c>
      <c r="D231" s="290">
        <v>3638</v>
      </c>
      <c r="E231" s="290">
        <v>3634</v>
      </c>
      <c r="F231" s="290">
        <v>3619</v>
      </c>
      <c r="G231" s="290">
        <v>3653</v>
      </c>
      <c r="H231" s="290">
        <v>3681</v>
      </c>
      <c r="I231" s="290">
        <v>3699</v>
      </c>
      <c r="J231" s="290">
        <v>3708</v>
      </c>
      <c r="K231" s="289">
        <v>3714</v>
      </c>
      <c r="L231" s="289"/>
      <c r="M231" s="289"/>
      <c r="N231" s="289"/>
      <c r="O231" s="289"/>
      <c r="P231" s="289"/>
      <c r="Q231" s="289"/>
      <c r="R231" s="289"/>
      <c r="S231" s="289"/>
    </row>
    <row r="232" spans="1:19" s="657" customFormat="1" ht="13">
      <c r="A232" s="755">
        <v>4220</v>
      </c>
      <c r="B232" s="756" t="s">
        <v>939</v>
      </c>
      <c r="C232" s="290">
        <v>1207</v>
      </c>
      <c r="D232" s="290">
        <v>1192</v>
      </c>
      <c r="E232" s="290">
        <v>1162</v>
      </c>
      <c r="F232" s="290">
        <v>1142</v>
      </c>
      <c r="G232" s="290">
        <v>1134</v>
      </c>
      <c r="H232" s="290">
        <v>1146</v>
      </c>
      <c r="I232" s="290">
        <v>1156</v>
      </c>
      <c r="J232" s="290">
        <v>1162</v>
      </c>
      <c r="K232" s="289">
        <v>1168</v>
      </c>
      <c r="L232" s="289"/>
      <c r="M232" s="289"/>
      <c r="N232" s="289"/>
      <c r="O232" s="289"/>
      <c r="P232" s="289"/>
      <c r="Q232" s="289"/>
      <c r="R232" s="289"/>
      <c r="S232" s="289"/>
    </row>
    <row r="233" spans="1:19" s="657" customFormat="1" ht="13">
      <c r="A233" s="755">
        <v>4221</v>
      </c>
      <c r="B233" s="756" t="s">
        <v>940</v>
      </c>
      <c r="C233" s="290">
        <v>1225</v>
      </c>
      <c r="D233" s="290">
        <v>1156</v>
      </c>
      <c r="E233" s="290">
        <v>1164</v>
      </c>
      <c r="F233" s="290">
        <v>1169</v>
      </c>
      <c r="G233" s="290">
        <v>1169</v>
      </c>
      <c r="H233" s="290">
        <v>1173</v>
      </c>
      <c r="I233" s="290">
        <v>1176</v>
      </c>
      <c r="J233" s="290">
        <v>1176</v>
      </c>
      <c r="K233" s="289">
        <v>1175</v>
      </c>
      <c r="L233" s="289"/>
      <c r="M233" s="289"/>
      <c r="N233" s="289"/>
      <c r="O233" s="289"/>
      <c r="P233" s="289"/>
      <c r="Q233" s="289"/>
      <c r="R233" s="289"/>
      <c r="S233" s="289"/>
    </row>
    <row r="234" spans="1:19" s="657" customFormat="1" ht="13">
      <c r="A234" s="755">
        <v>4222</v>
      </c>
      <c r="B234" s="756" t="s">
        <v>941</v>
      </c>
      <c r="C234" s="290">
        <v>958</v>
      </c>
      <c r="D234" s="290">
        <v>953</v>
      </c>
      <c r="E234" s="290">
        <v>965</v>
      </c>
      <c r="F234" s="290">
        <v>930</v>
      </c>
      <c r="G234" s="290">
        <v>935</v>
      </c>
      <c r="H234" s="290">
        <v>974</v>
      </c>
      <c r="I234" s="290">
        <v>1004</v>
      </c>
      <c r="J234" s="290">
        <v>1025</v>
      </c>
      <c r="K234" s="289">
        <v>1044</v>
      </c>
      <c r="L234" s="289"/>
      <c r="M234" s="289"/>
      <c r="N234" s="289"/>
      <c r="O234" s="289"/>
      <c r="P234" s="289"/>
      <c r="Q234" s="289"/>
      <c r="R234" s="289"/>
      <c r="S234" s="289"/>
    </row>
    <row r="235" spans="1:19" s="657" customFormat="1" ht="13">
      <c r="A235" s="755">
        <v>4223</v>
      </c>
      <c r="B235" s="756" t="s">
        <v>947</v>
      </c>
      <c r="C235" s="290">
        <v>14532</v>
      </c>
      <c r="D235" s="290">
        <v>14630</v>
      </c>
      <c r="E235" s="290">
        <v>14774</v>
      </c>
      <c r="F235" s="290">
        <v>14935</v>
      </c>
      <c r="G235" s="290">
        <v>15123</v>
      </c>
      <c r="H235" s="290">
        <v>15252</v>
      </c>
      <c r="I235" s="290">
        <v>15360</v>
      </c>
      <c r="J235" s="290">
        <v>15445</v>
      </c>
      <c r="K235" s="289">
        <v>15527</v>
      </c>
      <c r="L235" s="289"/>
      <c r="M235" s="289"/>
      <c r="N235" s="289"/>
      <c r="O235" s="289"/>
      <c r="P235" s="289"/>
      <c r="Q235" s="289"/>
      <c r="R235" s="289"/>
      <c r="S235" s="289"/>
    </row>
    <row r="236" spans="1:19" s="657" customFormat="1" ht="13">
      <c r="A236" s="755">
        <v>4224</v>
      </c>
      <c r="B236" s="756" t="s">
        <v>951</v>
      </c>
      <c r="C236" s="290">
        <v>943</v>
      </c>
      <c r="D236" s="290">
        <v>939</v>
      </c>
      <c r="E236" s="290">
        <v>932</v>
      </c>
      <c r="F236" s="290">
        <v>927</v>
      </c>
      <c r="G236" s="290">
        <v>912</v>
      </c>
      <c r="H236" s="290">
        <v>898</v>
      </c>
      <c r="I236" s="290">
        <v>885</v>
      </c>
      <c r="J236" s="290">
        <v>874</v>
      </c>
      <c r="K236" s="289">
        <v>864</v>
      </c>
      <c r="L236" s="289"/>
      <c r="M236" s="289"/>
      <c r="N236" s="289"/>
      <c r="O236" s="289"/>
      <c r="P236" s="289"/>
      <c r="Q236" s="289"/>
      <c r="R236" s="289"/>
      <c r="S236" s="289"/>
    </row>
    <row r="237" spans="1:19" s="657" customFormat="1" ht="13">
      <c r="A237" s="755">
        <v>4225</v>
      </c>
      <c r="B237" s="756" t="s">
        <v>954</v>
      </c>
      <c r="C237" s="290">
        <v>10357</v>
      </c>
      <c r="D237" s="290">
        <v>10389</v>
      </c>
      <c r="E237" s="290">
        <v>10365</v>
      </c>
      <c r="F237" s="290">
        <v>10464</v>
      </c>
      <c r="G237" s="290">
        <v>10480</v>
      </c>
      <c r="H237" s="290">
        <v>10489</v>
      </c>
      <c r="I237" s="290">
        <v>10490</v>
      </c>
      <c r="J237" s="290">
        <v>10481</v>
      </c>
      <c r="K237" s="289">
        <v>10479</v>
      </c>
      <c r="L237" s="289"/>
      <c r="M237" s="289"/>
      <c r="N237" s="289"/>
      <c r="O237" s="289"/>
      <c r="P237" s="289"/>
      <c r="Q237" s="289"/>
      <c r="R237" s="289"/>
      <c r="S237" s="289"/>
    </row>
    <row r="238" spans="1:19" s="657" customFormat="1" ht="13">
      <c r="A238" s="755">
        <v>4226</v>
      </c>
      <c r="B238" s="756" t="s">
        <v>955</v>
      </c>
      <c r="C238" s="290">
        <v>1699</v>
      </c>
      <c r="D238" s="290">
        <v>1683</v>
      </c>
      <c r="E238" s="290">
        <v>1680</v>
      </c>
      <c r="F238" s="290">
        <v>1690</v>
      </c>
      <c r="G238" s="290">
        <v>1704</v>
      </c>
      <c r="H238" s="290">
        <v>1687</v>
      </c>
      <c r="I238" s="290">
        <v>1673</v>
      </c>
      <c r="J238" s="290">
        <v>1660</v>
      </c>
      <c r="K238" s="289">
        <v>1649</v>
      </c>
      <c r="L238" s="289"/>
      <c r="M238" s="289"/>
      <c r="N238" s="289"/>
      <c r="O238" s="289"/>
      <c r="P238" s="289"/>
      <c r="Q238" s="289"/>
      <c r="R238" s="289"/>
      <c r="S238" s="289"/>
    </row>
    <row r="239" spans="1:19" s="657" customFormat="1" ht="13">
      <c r="A239" s="755">
        <v>4227</v>
      </c>
      <c r="B239" s="756" t="s">
        <v>956</v>
      </c>
      <c r="C239" s="290">
        <v>6024</v>
      </c>
      <c r="D239" s="290">
        <v>6048</v>
      </c>
      <c r="E239" s="290">
        <v>5987</v>
      </c>
      <c r="F239" s="290">
        <v>5922</v>
      </c>
      <c r="G239" s="290">
        <v>5883</v>
      </c>
      <c r="H239" s="290">
        <v>5843</v>
      </c>
      <c r="I239" s="290">
        <v>5807</v>
      </c>
      <c r="J239" s="290">
        <v>5770</v>
      </c>
      <c r="K239" s="289">
        <v>5742</v>
      </c>
      <c r="L239" s="289"/>
      <c r="M239" s="289"/>
      <c r="N239" s="289"/>
      <c r="O239" s="289"/>
      <c r="P239" s="289"/>
      <c r="Q239" s="289"/>
      <c r="R239" s="289"/>
      <c r="S239" s="289"/>
    </row>
    <row r="240" spans="1:19" s="657" customFormat="1" ht="13">
      <c r="A240" s="755">
        <v>4228</v>
      </c>
      <c r="B240" s="756" t="s">
        <v>957</v>
      </c>
      <c r="C240" s="290">
        <v>1842</v>
      </c>
      <c r="D240" s="290">
        <v>1839</v>
      </c>
      <c r="E240" s="290">
        <v>1822</v>
      </c>
      <c r="F240" s="290">
        <v>1772</v>
      </c>
      <c r="G240" s="290">
        <v>1810</v>
      </c>
      <c r="H240" s="290">
        <v>1823</v>
      </c>
      <c r="I240" s="290">
        <v>1829</v>
      </c>
      <c r="J240" s="290">
        <v>1829</v>
      </c>
      <c r="K240" s="289">
        <v>1828</v>
      </c>
      <c r="L240" s="289"/>
      <c r="M240" s="289"/>
      <c r="N240" s="289"/>
      <c r="O240" s="289"/>
      <c r="P240" s="289"/>
      <c r="Q240" s="289"/>
      <c r="R240" s="289"/>
      <c r="S240" s="289"/>
    </row>
    <row r="241" spans="1:19" s="657" customFormat="1" ht="13">
      <c r="A241" s="755">
        <v>4601</v>
      </c>
      <c r="B241" s="756" t="s">
        <v>23</v>
      </c>
      <c r="C241" s="290">
        <v>279792</v>
      </c>
      <c r="D241" s="290">
        <v>281190</v>
      </c>
      <c r="E241" s="290">
        <v>283929</v>
      </c>
      <c r="F241" s="290">
        <v>285601</v>
      </c>
      <c r="G241" s="290">
        <v>286930</v>
      </c>
      <c r="H241" s="290">
        <v>290032</v>
      </c>
      <c r="I241" s="290">
        <v>292286</v>
      </c>
      <c r="J241" s="290">
        <v>293736</v>
      </c>
      <c r="K241" s="289">
        <v>295167</v>
      </c>
      <c r="L241" s="289"/>
      <c r="M241" s="289"/>
      <c r="N241" s="289"/>
      <c r="O241" s="289"/>
      <c r="P241" s="289"/>
      <c r="Q241" s="289"/>
      <c r="R241" s="289"/>
      <c r="S241" s="289"/>
    </row>
    <row r="242" spans="1:19" s="657" customFormat="1" ht="13">
      <c r="A242" s="755">
        <v>4602</v>
      </c>
      <c r="B242" s="756" t="s">
        <v>1795</v>
      </c>
      <c r="C242" s="290">
        <v>17474</v>
      </c>
      <c r="D242" s="290">
        <v>17307</v>
      </c>
      <c r="E242" s="290">
        <v>17207</v>
      </c>
      <c r="F242" s="290">
        <v>17160</v>
      </c>
      <c r="G242" s="290">
        <v>17131</v>
      </c>
      <c r="H242" s="290">
        <v>17098</v>
      </c>
      <c r="I242" s="290">
        <v>17041</v>
      </c>
      <c r="J242" s="290">
        <v>16960</v>
      </c>
      <c r="K242" s="289">
        <v>16890</v>
      </c>
      <c r="L242" s="289"/>
      <c r="M242" s="289"/>
      <c r="N242" s="289"/>
      <c r="O242" s="289"/>
      <c r="P242" s="289"/>
      <c r="Q242" s="289"/>
      <c r="R242" s="289"/>
      <c r="S242" s="289"/>
    </row>
    <row r="243" spans="1:19" s="657" customFormat="1" ht="13">
      <c r="A243" s="755">
        <v>4611</v>
      </c>
      <c r="B243" s="756" t="s">
        <v>24</v>
      </c>
      <c r="C243" s="290">
        <v>4083</v>
      </c>
      <c r="D243" s="290">
        <v>4077</v>
      </c>
      <c r="E243" s="290">
        <v>4062</v>
      </c>
      <c r="F243" s="290">
        <v>4053</v>
      </c>
      <c r="G243" s="290">
        <v>4043</v>
      </c>
      <c r="H243" s="290">
        <v>4031</v>
      </c>
      <c r="I243" s="290">
        <v>4014</v>
      </c>
      <c r="J243" s="290">
        <v>3994</v>
      </c>
      <c r="K243" s="289">
        <v>3979</v>
      </c>
      <c r="L243" s="289"/>
      <c r="M243" s="289"/>
      <c r="N243" s="289"/>
      <c r="O243" s="289"/>
      <c r="P243" s="289"/>
      <c r="Q243" s="289"/>
      <c r="R243" s="289"/>
      <c r="S243" s="289"/>
    </row>
    <row r="244" spans="1:19" s="657" customFormat="1" ht="13">
      <c r="A244" s="755">
        <v>4612</v>
      </c>
      <c r="B244" s="756" t="s">
        <v>25</v>
      </c>
      <c r="C244" s="290">
        <v>5721</v>
      </c>
      <c r="D244" s="290">
        <v>5721</v>
      </c>
      <c r="E244" s="290">
        <v>5766</v>
      </c>
      <c r="F244" s="290">
        <v>5798</v>
      </c>
      <c r="G244" s="290">
        <v>5775</v>
      </c>
      <c r="H244" s="290">
        <v>5796</v>
      </c>
      <c r="I244" s="290">
        <v>5816</v>
      </c>
      <c r="J244" s="290">
        <v>5835</v>
      </c>
      <c r="K244" s="289">
        <v>5857</v>
      </c>
      <c r="L244" s="289"/>
      <c r="M244" s="289"/>
      <c r="N244" s="289"/>
      <c r="O244" s="289"/>
      <c r="P244" s="289"/>
      <c r="Q244" s="289"/>
      <c r="R244" s="289"/>
      <c r="S244" s="289"/>
    </row>
    <row r="245" spans="1:19" s="657" customFormat="1" ht="13">
      <c r="A245" s="755">
        <v>4613</v>
      </c>
      <c r="B245" s="756" t="s">
        <v>26</v>
      </c>
      <c r="C245" s="290">
        <v>11902</v>
      </c>
      <c r="D245" s="290">
        <v>11960</v>
      </c>
      <c r="E245" s="290">
        <v>11957</v>
      </c>
      <c r="F245" s="290">
        <v>11953</v>
      </c>
      <c r="G245" s="290">
        <v>12061</v>
      </c>
      <c r="H245" s="290">
        <v>12084</v>
      </c>
      <c r="I245" s="290">
        <v>12087</v>
      </c>
      <c r="J245" s="290">
        <v>12069</v>
      </c>
      <c r="K245" s="289">
        <v>12052</v>
      </c>
      <c r="L245" s="289"/>
      <c r="M245" s="289"/>
      <c r="N245" s="289"/>
      <c r="O245" s="289"/>
      <c r="P245" s="289"/>
      <c r="Q245" s="289"/>
      <c r="R245" s="289"/>
      <c r="S245" s="289"/>
    </row>
    <row r="246" spans="1:19" s="657" customFormat="1" ht="13">
      <c r="A246" s="755">
        <v>4614</v>
      </c>
      <c r="B246" s="756" t="s">
        <v>27</v>
      </c>
      <c r="C246" s="290">
        <v>18780</v>
      </c>
      <c r="D246" s="290">
        <v>18699</v>
      </c>
      <c r="E246" s="290">
        <v>18759</v>
      </c>
      <c r="F246" s="290">
        <v>18861</v>
      </c>
      <c r="G246" s="290">
        <v>18919</v>
      </c>
      <c r="H246" s="290">
        <v>18980</v>
      </c>
      <c r="I246" s="290">
        <v>19017</v>
      </c>
      <c r="J246" s="290">
        <v>19026</v>
      </c>
      <c r="K246" s="289">
        <v>19046</v>
      </c>
      <c r="L246" s="289"/>
      <c r="M246" s="289"/>
      <c r="N246" s="289"/>
      <c r="O246" s="289"/>
      <c r="P246" s="289"/>
      <c r="Q246" s="289"/>
      <c r="R246" s="289"/>
      <c r="S246" s="289"/>
    </row>
    <row r="247" spans="1:19" s="657" customFormat="1" ht="13">
      <c r="A247" s="755">
        <v>4615</v>
      </c>
      <c r="B247" s="756" t="s">
        <v>28</v>
      </c>
      <c r="C247" s="290">
        <v>3194</v>
      </c>
      <c r="D247" s="290">
        <v>3201</v>
      </c>
      <c r="E247" s="290">
        <v>3189</v>
      </c>
      <c r="F247" s="290">
        <v>3147</v>
      </c>
      <c r="G247" s="290">
        <v>3117</v>
      </c>
      <c r="H247" s="290">
        <v>3107</v>
      </c>
      <c r="I247" s="290">
        <v>3097</v>
      </c>
      <c r="J247" s="290">
        <v>3087</v>
      </c>
      <c r="K247" s="289">
        <v>3080</v>
      </c>
      <c r="L247" s="289"/>
      <c r="M247" s="289"/>
      <c r="N247" s="289"/>
      <c r="O247" s="289"/>
      <c r="P247" s="289"/>
      <c r="Q247" s="289"/>
      <c r="R247" s="289"/>
      <c r="S247" s="289"/>
    </row>
    <row r="248" spans="1:19" s="657" customFormat="1" ht="13">
      <c r="A248" s="755">
        <v>4616</v>
      </c>
      <c r="B248" s="756" t="s">
        <v>29</v>
      </c>
      <c r="C248" s="290">
        <v>2857</v>
      </c>
      <c r="D248" s="290">
        <v>2846</v>
      </c>
      <c r="E248" s="290">
        <v>2869</v>
      </c>
      <c r="F248" s="290">
        <v>2924</v>
      </c>
      <c r="G248" s="290">
        <v>2883</v>
      </c>
      <c r="H248" s="290">
        <v>2857</v>
      </c>
      <c r="I248" s="290">
        <v>2837</v>
      </c>
      <c r="J248" s="290">
        <v>2823</v>
      </c>
      <c r="K248" s="289">
        <v>2816</v>
      </c>
      <c r="L248" s="289"/>
      <c r="M248" s="289"/>
      <c r="N248" s="289"/>
      <c r="O248" s="289"/>
      <c r="P248" s="289"/>
      <c r="Q248" s="289"/>
      <c r="R248" s="289"/>
      <c r="S248" s="289"/>
    </row>
    <row r="249" spans="1:19" s="657" customFormat="1" ht="13">
      <c r="A249" s="755">
        <v>4617</v>
      </c>
      <c r="B249" s="756" t="s">
        <v>30</v>
      </c>
      <c r="C249" s="290">
        <v>13180</v>
      </c>
      <c r="D249" s="290">
        <v>13137</v>
      </c>
      <c r="E249" s="290">
        <v>13071</v>
      </c>
      <c r="F249" s="290">
        <v>13039</v>
      </c>
      <c r="G249" s="290">
        <v>13017</v>
      </c>
      <c r="H249" s="290">
        <v>12923</v>
      </c>
      <c r="I249" s="290">
        <v>12830</v>
      </c>
      <c r="J249" s="290">
        <v>12739</v>
      </c>
      <c r="K249" s="289">
        <v>12663</v>
      </c>
      <c r="L249" s="289"/>
      <c r="M249" s="289"/>
      <c r="N249" s="289"/>
      <c r="O249" s="289"/>
      <c r="P249" s="289"/>
      <c r="Q249" s="289"/>
      <c r="R249" s="289"/>
      <c r="S249" s="289"/>
    </row>
    <row r="250" spans="1:19" s="657" customFormat="1" ht="13">
      <c r="A250" s="755">
        <v>4618</v>
      </c>
      <c r="B250" s="756" t="s">
        <v>33</v>
      </c>
      <c r="C250" s="290">
        <f>11226-21</f>
        <v>11205</v>
      </c>
      <c r="D250" s="290">
        <f>11084-21</f>
        <v>11063</v>
      </c>
      <c r="E250" s="290">
        <f>11048-21</f>
        <v>11027</v>
      </c>
      <c r="F250" s="290">
        <f>11002-21</f>
        <v>10981</v>
      </c>
      <c r="G250" s="290">
        <v>10881</v>
      </c>
      <c r="H250" s="290">
        <v>10803</v>
      </c>
      <c r="I250" s="290">
        <v>10723</v>
      </c>
      <c r="J250" s="290">
        <v>10637</v>
      </c>
      <c r="K250" s="289">
        <v>10567</v>
      </c>
      <c r="L250" s="289"/>
      <c r="M250" s="289"/>
      <c r="N250" s="289"/>
      <c r="O250" s="289"/>
      <c r="P250" s="289"/>
      <c r="Q250" s="289"/>
      <c r="R250" s="289"/>
      <c r="S250" s="289"/>
    </row>
    <row r="251" spans="1:19" s="657" customFormat="1" ht="13">
      <c r="A251" s="755">
        <v>4619</v>
      </c>
      <c r="B251" s="756" t="s">
        <v>34</v>
      </c>
      <c r="C251" s="290">
        <f>931+21</f>
        <v>952</v>
      </c>
      <c r="D251" s="290">
        <f>906+21</f>
        <v>927</v>
      </c>
      <c r="E251" s="290">
        <f>906+21</f>
        <v>927</v>
      </c>
      <c r="F251" s="290">
        <f>903+21</f>
        <v>924</v>
      </c>
      <c r="G251" s="290">
        <v>937</v>
      </c>
      <c r="H251" s="290">
        <v>947</v>
      </c>
      <c r="I251" s="290">
        <v>953</v>
      </c>
      <c r="J251" s="290">
        <v>955</v>
      </c>
      <c r="K251" s="289">
        <v>956</v>
      </c>
      <c r="L251" s="289"/>
      <c r="M251" s="289"/>
      <c r="N251" s="289"/>
      <c r="O251" s="289"/>
      <c r="P251" s="289"/>
      <c r="Q251" s="289"/>
      <c r="R251" s="289"/>
      <c r="S251" s="289"/>
    </row>
    <row r="252" spans="1:19" s="657" customFormat="1" ht="13">
      <c r="A252" s="755">
        <v>4620</v>
      </c>
      <c r="B252" s="756" t="s">
        <v>35</v>
      </c>
      <c r="C252" s="290">
        <v>1117</v>
      </c>
      <c r="D252" s="290">
        <v>1093</v>
      </c>
      <c r="E252" s="290">
        <v>1080</v>
      </c>
      <c r="F252" s="290">
        <v>1061</v>
      </c>
      <c r="G252" s="290">
        <v>1051</v>
      </c>
      <c r="H252" s="290">
        <v>1051</v>
      </c>
      <c r="I252" s="290">
        <v>1052</v>
      </c>
      <c r="J252" s="290">
        <v>1053</v>
      </c>
      <c r="K252" s="289">
        <v>1055</v>
      </c>
      <c r="L252" s="289"/>
      <c r="M252" s="289"/>
      <c r="N252" s="289"/>
      <c r="O252" s="289"/>
      <c r="P252" s="289"/>
      <c r="Q252" s="289"/>
      <c r="R252" s="289"/>
      <c r="S252" s="289"/>
    </row>
    <row r="253" spans="1:19" s="657" customFormat="1" ht="13">
      <c r="A253" s="755">
        <v>4621</v>
      </c>
      <c r="B253" s="756" t="s">
        <v>37</v>
      </c>
      <c r="C253" s="290">
        <v>15576</v>
      </c>
      <c r="D253" s="290">
        <v>15611</v>
      </c>
      <c r="E253" s="290">
        <v>15740</v>
      </c>
      <c r="F253" s="290">
        <v>15787</v>
      </c>
      <c r="G253" s="290">
        <v>15875</v>
      </c>
      <c r="H253" s="290">
        <v>15923</v>
      </c>
      <c r="I253" s="290">
        <v>15951</v>
      </c>
      <c r="J253" s="290">
        <v>15957</v>
      </c>
      <c r="K253" s="289">
        <v>15968</v>
      </c>
      <c r="L253" s="289"/>
      <c r="M253" s="289"/>
      <c r="N253" s="289"/>
      <c r="O253" s="289"/>
      <c r="P253" s="289"/>
      <c r="Q253" s="289"/>
      <c r="R253" s="289"/>
      <c r="S253" s="289"/>
    </row>
    <row r="254" spans="1:19" s="657" customFormat="1" ht="13">
      <c r="A254" s="755">
        <v>4622</v>
      </c>
      <c r="B254" s="756" t="s">
        <v>38</v>
      </c>
      <c r="C254" s="290">
        <v>8455</v>
      </c>
      <c r="D254" s="290">
        <v>8441</v>
      </c>
      <c r="E254" s="290">
        <v>8457</v>
      </c>
      <c r="F254" s="290">
        <v>8461</v>
      </c>
      <c r="G254" s="290">
        <v>8497</v>
      </c>
      <c r="H254" s="290">
        <v>8462</v>
      </c>
      <c r="I254" s="290">
        <v>8424</v>
      </c>
      <c r="J254" s="290">
        <v>8381</v>
      </c>
      <c r="K254" s="289">
        <v>8347</v>
      </c>
      <c r="L254" s="289"/>
      <c r="M254" s="289"/>
      <c r="N254" s="289"/>
      <c r="O254" s="289"/>
      <c r="P254" s="289"/>
      <c r="Q254" s="289"/>
      <c r="R254" s="289"/>
      <c r="S254" s="289"/>
    </row>
    <row r="255" spans="1:19" s="657" customFormat="1" ht="13">
      <c r="A255" s="755">
        <v>4623</v>
      </c>
      <c r="B255" s="756" t="s">
        <v>40</v>
      </c>
      <c r="C255" s="290">
        <v>2463</v>
      </c>
      <c r="D255" s="290">
        <v>2465</v>
      </c>
      <c r="E255" s="290">
        <v>2485</v>
      </c>
      <c r="F255" s="290">
        <v>2504</v>
      </c>
      <c r="G255" s="290">
        <v>2501</v>
      </c>
      <c r="H255" s="290">
        <v>2490</v>
      </c>
      <c r="I255" s="290">
        <v>2482</v>
      </c>
      <c r="J255" s="290">
        <v>2478</v>
      </c>
      <c r="K255" s="289">
        <v>2478</v>
      </c>
      <c r="L255" s="289"/>
      <c r="M255" s="289"/>
      <c r="N255" s="289"/>
      <c r="O255" s="289"/>
      <c r="P255" s="289"/>
      <c r="Q255" s="289"/>
      <c r="R255" s="289"/>
      <c r="S255" s="289"/>
    </row>
    <row r="256" spans="1:19" s="657" customFormat="1" ht="13">
      <c r="A256" s="755">
        <v>4624</v>
      </c>
      <c r="B256" s="756" t="s">
        <v>1803</v>
      </c>
      <c r="C256" s="290">
        <v>24493</v>
      </c>
      <c r="D256" s="290">
        <v>24665</v>
      </c>
      <c r="E256" s="290">
        <v>24908</v>
      </c>
      <c r="F256" s="290">
        <v>25049</v>
      </c>
      <c r="G256" s="290">
        <v>25213</v>
      </c>
      <c r="H256" s="290">
        <v>25354</v>
      </c>
      <c r="I256" s="290">
        <v>25495</v>
      </c>
      <c r="J256" s="290">
        <v>25633</v>
      </c>
      <c r="K256" s="289">
        <v>25800</v>
      </c>
      <c r="L256" s="289"/>
      <c r="M256" s="289"/>
      <c r="N256" s="289"/>
      <c r="O256" s="289"/>
      <c r="P256" s="289"/>
      <c r="Q256" s="289"/>
      <c r="R256" s="289"/>
      <c r="S256" s="289"/>
    </row>
    <row r="257" spans="1:19" s="657" customFormat="1" ht="13">
      <c r="A257" s="755">
        <v>4625</v>
      </c>
      <c r="B257" s="756" t="s">
        <v>41</v>
      </c>
      <c r="C257" s="290">
        <v>5189</v>
      </c>
      <c r="D257" s="290">
        <v>5212</v>
      </c>
      <c r="E257" s="290">
        <v>5236</v>
      </c>
      <c r="F257" s="290">
        <v>5276</v>
      </c>
      <c r="G257" s="290">
        <v>5283</v>
      </c>
      <c r="H257" s="290">
        <v>5285</v>
      </c>
      <c r="I257" s="290">
        <v>5279</v>
      </c>
      <c r="J257" s="290">
        <v>5267</v>
      </c>
      <c r="K257" s="289">
        <v>5260</v>
      </c>
      <c r="L257" s="289"/>
      <c r="M257" s="289"/>
      <c r="N257" s="289"/>
      <c r="O257" s="289"/>
      <c r="P257" s="289"/>
      <c r="Q257" s="289"/>
      <c r="R257" s="289"/>
      <c r="S257" s="289"/>
    </row>
    <row r="258" spans="1:19" s="657" customFormat="1" ht="13">
      <c r="A258" s="755">
        <v>4626</v>
      </c>
      <c r="B258" s="756" t="s">
        <v>49</v>
      </c>
      <c r="C258" s="290">
        <v>37687</v>
      </c>
      <c r="D258" s="290">
        <v>38117</v>
      </c>
      <c r="E258" s="290">
        <v>38316</v>
      </c>
      <c r="F258" s="290">
        <v>38664</v>
      </c>
      <c r="G258" s="290">
        <v>39032</v>
      </c>
      <c r="H258" s="290">
        <v>39329</v>
      </c>
      <c r="I258" s="290">
        <v>39603</v>
      </c>
      <c r="J258" s="290">
        <v>39851</v>
      </c>
      <c r="K258" s="289">
        <v>40121</v>
      </c>
      <c r="L258" s="289"/>
      <c r="M258" s="289"/>
      <c r="N258" s="289"/>
      <c r="O258" s="289"/>
      <c r="P258" s="289"/>
      <c r="Q258" s="289"/>
      <c r="R258" s="289"/>
      <c r="S258" s="289"/>
    </row>
    <row r="259" spans="1:19" s="657" customFormat="1" ht="13">
      <c r="A259" s="755">
        <v>4627</v>
      </c>
      <c r="B259" s="756" t="s">
        <v>44</v>
      </c>
      <c r="C259" s="290">
        <v>29071</v>
      </c>
      <c r="D259" s="290">
        <v>29275</v>
      </c>
      <c r="E259" s="290">
        <v>29553</v>
      </c>
      <c r="F259" s="290">
        <v>29594</v>
      </c>
      <c r="G259" s="290">
        <v>29816</v>
      </c>
      <c r="H259" s="290">
        <v>29979</v>
      </c>
      <c r="I259" s="290">
        <v>30126</v>
      </c>
      <c r="J259" s="290">
        <v>30257</v>
      </c>
      <c r="K259" s="289">
        <v>30406</v>
      </c>
      <c r="L259" s="289"/>
      <c r="M259" s="289"/>
      <c r="N259" s="289"/>
      <c r="O259" s="289"/>
      <c r="P259" s="289"/>
      <c r="Q259" s="289"/>
      <c r="R259" s="289"/>
      <c r="S259" s="289"/>
    </row>
    <row r="260" spans="1:19" s="657" customFormat="1" ht="13">
      <c r="A260" s="755">
        <v>4628</v>
      </c>
      <c r="B260" s="756" t="s">
        <v>45</v>
      </c>
      <c r="C260" s="290">
        <v>4127</v>
      </c>
      <c r="D260" s="290">
        <v>4045</v>
      </c>
      <c r="E260" s="290">
        <v>3977</v>
      </c>
      <c r="F260" s="290">
        <v>3918</v>
      </c>
      <c r="G260" s="290">
        <v>3867</v>
      </c>
      <c r="H260" s="290">
        <v>3839</v>
      </c>
      <c r="I260" s="290">
        <v>3813</v>
      </c>
      <c r="J260" s="290">
        <v>3789</v>
      </c>
      <c r="K260" s="289">
        <v>3770</v>
      </c>
      <c r="L260" s="289"/>
      <c r="M260" s="289"/>
      <c r="N260" s="289"/>
      <c r="O260" s="289"/>
      <c r="P260" s="289"/>
      <c r="Q260" s="289"/>
      <c r="R260" s="289"/>
      <c r="S260" s="289"/>
    </row>
    <row r="261" spans="1:19" s="657" customFormat="1" ht="13">
      <c r="A261" s="755">
        <v>4629</v>
      </c>
      <c r="B261" s="756" t="s">
        <v>46</v>
      </c>
      <c r="C261" s="290">
        <v>380</v>
      </c>
      <c r="D261" s="290">
        <v>380</v>
      </c>
      <c r="E261" s="290">
        <v>388</v>
      </c>
      <c r="F261" s="290">
        <v>376</v>
      </c>
      <c r="G261" s="290">
        <v>378</v>
      </c>
      <c r="H261" s="290">
        <v>375</v>
      </c>
      <c r="I261" s="290">
        <v>373</v>
      </c>
      <c r="J261" s="290">
        <v>371</v>
      </c>
      <c r="K261" s="289">
        <v>371</v>
      </c>
      <c r="L261" s="289"/>
      <c r="M261" s="289"/>
      <c r="N261" s="289"/>
      <c r="O261" s="289"/>
      <c r="P261" s="289"/>
      <c r="Q261" s="289"/>
      <c r="R261" s="289"/>
      <c r="S261" s="289"/>
    </row>
    <row r="262" spans="1:19" s="657" customFormat="1" ht="13">
      <c r="A262" s="755">
        <v>4630</v>
      </c>
      <c r="B262" s="756" t="s">
        <v>47</v>
      </c>
      <c r="C262" s="290">
        <v>8125</v>
      </c>
      <c r="D262" s="290">
        <v>8120</v>
      </c>
      <c r="E262" s="290">
        <v>8098</v>
      </c>
      <c r="F262" s="290">
        <v>8080</v>
      </c>
      <c r="G262" s="290">
        <v>8131</v>
      </c>
      <c r="H262" s="290">
        <v>8126</v>
      </c>
      <c r="I262" s="290">
        <v>8125</v>
      </c>
      <c r="J262" s="290">
        <v>8128</v>
      </c>
      <c r="K262" s="289">
        <v>8141</v>
      </c>
      <c r="L262" s="289"/>
      <c r="M262" s="289"/>
      <c r="N262" s="289"/>
      <c r="O262" s="289"/>
      <c r="P262" s="289"/>
      <c r="Q262" s="289"/>
      <c r="R262" s="289"/>
      <c r="S262" s="289"/>
    </row>
    <row r="263" spans="1:19" s="657" customFormat="1" ht="13">
      <c r="A263" s="755">
        <v>4631</v>
      </c>
      <c r="B263" s="756" t="s">
        <v>1804</v>
      </c>
      <c r="C263" s="290">
        <v>28997</v>
      </c>
      <c r="D263" s="290">
        <v>29090</v>
      </c>
      <c r="E263" s="290">
        <v>29224</v>
      </c>
      <c r="F263" s="290">
        <v>29337</v>
      </c>
      <c r="G263" s="290">
        <v>29593</v>
      </c>
      <c r="H263" s="290">
        <v>29727</v>
      </c>
      <c r="I263" s="290">
        <v>29848</v>
      </c>
      <c r="J263" s="290">
        <v>29951</v>
      </c>
      <c r="K263" s="289">
        <v>30069</v>
      </c>
      <c r="L263" s="289"/>
      <c r="M263" s="289"/>
      <c r="N263" s="289"/>
      <c r="O263" s="289"/>
      <c r="P263" s="289"/>
      <c r="Q263" s="289"/>
      <c r="R263" s="289"/>
      <c r="S263" s="289"/>
    </row>
    <row r="264" spans="1:19" s="657" customFormat="1" ht="13">
      <c r="A264" s="755">
        <v>4632</v>
      </c>
      <c r="B264" s="756" t="s">
        <v>55</v>
      </c>
      <c r="C264" s="290">
        <v>2902</v>
      </c>
      <c r="D264" s="290">
        <v>2887</v>
      </c>
      <c r="E264" s="290">
        <v>2870</v>
      </c>
      <c r="F264" s="290">
        <v>2860</v>
      </c>
      <c r="G264" s="290">
        <v>2889</v>
      </c>
      <c r="H264" s="290">
        <v>2937</v>
      </c>
      <c r="I264" s="290">
        <v>2976</v>
      </c>
      <c r="J264" s="290">
        <v>3008</v>
      </c>
      <c r="K264" s="289">
        <v>3038</v>
      </c>
      <c r="L264" s="289"/>
      <c r="M264" s="289"/>
      <c r="N264" s="289"/>
      <c r="O264" s="289"/>
      <c r="P264" s="289"/>
      <c r="Q264" s="289"/>
      <c r="R264" s="289"/>
      <c r="S264" s="289"/>
    </row>
    <row r="265" spans="1:19" s="657" customFormat="1" ht="13">
      <c r="A265" s="755">
        <v>4633</v>
      </c>
      <c r="B265" s="756" t="s">
        <v>56</v>
      </c>
      <c r="C265" s="290">
        <v>561</v>
      </c>
      <c r="D265" s="290">
        <v>562</v>
      </c>
      <c r="E265" s="290">
        <v>548</v>
      </c>
      <c r="F265" s="290">
        <v>525</v>
      </c>
      <c r="G265" s="290">
        <v>502</v>
      </c>
      <c r="H265" s="290">
        <v>495</v>
      </c>
      <c r="I265" s="290">
        <v>489</v>
      </c>
      <c r="J265" s="290">
        <v>485</v>
      </c>
      <c r="K265" s="289">
        <v>484</v>
      </c>
      <c r="L265" s="289"/>
      <c r="M265" s="289"/>
      <c r="N265" s="289"/>
      <c r="O265" s="289"/>
      <c r="P265" s="289"/>
      <c r="Q265" s="289"/>
      <c r="R265" s="289"/>
      <c r="S265" s="289"/>
    </row>
    <row r="266" spans="1:19" s="657" customFormat="1" ht="13">
      <c r="A266" s="755">
        <v>4634</v>
      </c>
      <c r="B266" s="756" t="s">
        <v>57</v>
      </c>
      <c r="C266" s="290">
        <v>1730</v>
      </c>
      <c r="D266" s="290">
        <v>1711</v>
      </c>
      <c r="E266" s="290">
        <v>1691</v>
      </c>
      <c r="F266" s="290">
        <v>1660</v>
      </c>
      <c r="G266" s="290">
        <v>1629</v>
      </c>
      <c r="H266" s="290">
        <v>1617</v>
      </c>
      <c r="I266" s="290">
        <v>1609</v>
      </c>
      <c r="J266" s="290">
        <v>1602</v>
      </c>
      <c r="K266" s="289">
        <v>1598</v>
      </c>
      <c r="L266" s="289"/>
      <c r="M266" s="289"/>
      <c r="N266" s="289"/>
      <c r="O266" s="289"/>
      <c r="P266" s="289"/>
      <c r="Q266" s="289"/>
      <c r="R266" s="289"/>
      <c r="S266" s="289"/>
    </row>
    <row r="267" spans="1:19" s="657" customFormat="1" ht="13">
      <c r="A267" s="755">
        <v>4635</v>
      </c>
      <c r="B267" s="756" t="s">
        <v>59</v>
      </c>
      <c r="C267" s="290">
        <v>2345</v>
      </c>
      <c r="D267" s="290">
        <v>2322</v>
      </c>
      <c r="E267" s="290">
        <v>2297</v>
      </c>
      <c r="F267" s="290">
        <v>2272</v>
      </c>
      <c r="G267" s="290">
        <v>2230</v>
      </c>
      <c r="H267" s="290">
        <v>2235</v>
      </c>
      <c r="I267" s="290">
        <v>2234</v>
      </c>
      <c r="J267" s="290">
        <v>2230</v>
      </c>
      <c r="K267" s="289">
        <v>2226</v>
      </c>
      <c r="L267" s="289"/>
      <c r="M267" s="289"/>
      <c r="N267" s="289"/>
      <c r="O267" s="289"/>
      <c r="P267" s="289"/>
      <c r="Q267" s="289"/>
      <c r="R267" s="289"/>
      <c r="S267" s="289"/>
    </row>
    <row r="268" spans="1:19" s="657" customFormat="1" ht="13">
      <c r="A268" s="755">
        <v>4636</v>
      </c>
      <c r="B268" s="756" t="s">
        <v>60</v>
      </c>
      <c r="C268" s="290">
        <v>807</v>
      </c>
      <c r="D268" s="290">
        <v>820</v>
      </c>
      <c r="E268" s="290">
        <v>802</v>
      </c>
      <c r="F268" s="290">
        <v>786</v>
      </c>
      <c r="G268" s="290">
        <v>768</v>
      </c>
      <c r="H268" s="290">
        <v>771</v>
      </c>
      <c r="I268" s="290">
        <v>773</v>
      </c>
      <c r="J268" s="290">
        <v>773</v>
      </c>
      <c r="K268" s="289">
        <v>774</v>
      </c>
      <c r="L268" s="289"/>
      <c r="M268" s="289"/>
      <c r="N268" s="289"/>
      <c r="O268" s="289"/>
      <c r="P268" s="289"/>
      <c r="Q268" s="289"/>
      <c r="R268" s="289"/>
      <c r="S268" s="289"/>
    </row>
    <row r="269" spans="1:19" s="657" customFormat="1" ht="13">
      <c r="A269" s="755">
        <v>4637</v>
      </c>
      <c r="B269" s="756" t="s">
        <v>61</v>
      </c>
      <c r="C269" s="290">
        <v>1378</v>
      </c>
      <c r="D269" s="290">
        <v>1366</v>
      </c>
      <c r="E269" s="290">
        <v>1328</v>
      </c>
      <c r="F269" s="290">
        <v>1294</v>
      </c>
      <c r="G269" s="290">
        <v>1290</v>
      </c>
      <c r="H269" s="290">
        <v>1287</v>
      </c>
      <c r="I269" s="290">
        <v>1282</v>
      </c>
      <c r="J269" s="290">
        <v>1277</v>
      </c>
      <c r="K269" s="289">
        <v>1270</v>
      </c>
      <c r="L269" s="289"/>
      <c r="M269" s="289"/>
      <c r="N269" s="289"/>
      <c r="O269" s="289"/>
      <c r="P269" s="289"/>
      <c r="Q269" s="289"/>
      <c r="R269" s="289"/>
      <c r="S269" s="289"/>
    </row>
    <row r="270" spans="1:19" s="657" customFormat="1" ht="13">
      <c r="A270" s="755">
        <v>4638</v>
      </c>
      <c r="B270" s="756" t="s">
        <v>62</v>
      </c>
      <c r="C270" s="290">
        <v>4250</v>
      </c>
      <c r="D270" s="290">
        <v>4187</v>
      </c>
      <c r="E270" s="290">
        <v>4101</v>
      </c>
      <c r="F270" s="290">
        <v>4049</v>
      </c>
      <c r="G270" s="290">
        <v>3965</v>
      </c>
      <c r="H270" s="290">
        <v>3912</v>
      </c>
      <c r="I270" s="290">
        <v>3864</v>
      </c>
      <c r="J270" s="290">
        <v>3819</v>
      </c>
      <c r="K270" s="289">
        <v>3782</v>
      </c>
      <c r="L270" s="289"/>
      <c r="M270" s="289"/>
      <c r="N270" s="289"/>
      <c r="O270" s="289"/>
      <c r="P270" s="289"/>
      <c r="Q270" s="289"/>
      <c r="R270" s="289"/>
      <c r="S270" s="289"/>
    </row>
    <row r="271" spans="1:19" s="657" customFormat="1" ht="13">
      <c r="A271" s="755">
        <v>4639</v>
      </c>
      <c r="B271" s="756" t="s">
        <v>63</v>
      </c>
      <c r="C271" s="290">
        <v>2674</v>
      </c>
      <c r="D271" s="290">
        <v>2672</v>
      </c>
      <c r="E271" s="290">
        <v>2635</v>
      </c>
      <c r="F271" s="290">
        <v>2611</v>
      </c>
      <c r="G271" s="290">
        <v>2560</v>
      </c>
      <c r="H271" s="290">
        <v>2525</v>
      </c>
      <c r="I271" s="290">
        <v>2492</v>
      </c>
      <c r="J271" s="290">
        <v>2461</v>
      </c>
      <c r="K271" s="289">
        <v>2433</v>
      </c>
      <c r="L271" s="289"/>
      <c r="M271" s="289"/>
      <c r="N271" s="289"/>
      <c r="O271" s="289"/>
      <c r="P271" s="289"/>
      <c r="Q271" s="289"/>
      <c r="R271" s="289"/>
      <c r="S271" s="289"/>
    </row>
    <row r="272" spans="1:19" s="657" customFormat="1" ht="13">
      <c r="A272" s="755">
        <v>4640</v>
      </c>
      <c r="B272" s="756" t="s">
        <v>66</v>
      </c>
      <c r="C272" s="290">
        <v>11570</v>
      </c>
      <c r="D272" s="290">
        <v>11705</v>
      </c>
      <c r="E272" s="290">
        <v>11847</v>
      </c>
      <c r="F272" s="290">
        <v>11938</v>
      </c>
      <c r="G272" s="290">
        <v>12097</v>
      </c>
      <c r="H272" s="290">
        <v>12301</v>
      </c>
      <c r="I272" s="290">
        <v>12452</v>
      </c>
      <c r="J272" s="290">
        <v>12556</v>
      </c>
      <c r="K272" s="289">
        <v>12646</v>
      </c>
      <c r="L272" s="289"/>
      <c r="M272" s="289"/>
      <c r="N272" s="289"/>
      <c r="O272" s="289"/>
      <c r="P272" s="289"/>
      <c r="Q272" s="289"/>
      <c r="R272" s="289"/>
      <c r="S272" s="289"/>
    </row>
    <row r="273" spans="1:19" s="657" customFormat="1" ht="13">
      <c r="A273" s="755">
        <v>4641</v>
      </c>
      <c r="B273" s="756" t="s">
        <v>67</v>
      </c>
      <c r="C273" s="290">
        <v>1778</v>
      </c>
      <c r="D273" s="290">
        <v>1764</v>
      </c>
      <c r="E273" s="290">
        <v>1781</v>
      </c>
      <c r="F273" s="290">
        <v>1777</v>
      </c>
      <c r="G273" s="290">
        <v>1766</v>
      </c>
      <c r="H273" s="290">
        <v>1777</v>
      </c>
      <c r="I273" s="290">
        <v>1786</v>
      </c>
      <c r="J273" s="290">
        <v>1792</v>
      </c>
      <c r="K273" s="289">
        <v>1801</v>
      </c>
      <c r="L273" s="289"/>
      <c r="M273" s="289"/>
      <c r="N273" s="289"/>
      <c r="O273" s="289"/>
      <c r="P273" s="289"/>
      <c r="Q273" s="289"/>
      <c r="R273" s="289"/>
      <c r="S273" s="289"/>
    </row>
    <row r="274" spans="1:19" s="657" customFormat="1" ht="13">
      <c r="A274" s="755">
        <v>4642</v>
      </c>
      <c r="B274" s="756" t="s">
        <v>68</v>
      </c>
      <c r="C274" s="290">
        <v>2153</v>
      </c>
      <c r="D274" s="290">
        <v>2151</v>
      </c>
      <c r="E274" s="290">
        <v>2126</v>
      </c>
      <c r="F274" s="290">
        <v>2129</v>
      </c>
      <c r="G274" s="290">
        <v>2117</v>
      </c>
      <c r="H274" s="290">
        <v>2113</v>
      </c>
      <c r="I274" s="290">
        <v>2106</v>
      </c>
      <c r="J274" s="290">
        <v>2096</v>
      </c>
      <c r="K274" s="289">
        <v>2088</v>
      </c>
      <c r="L274" s="289"/>
      <c r="M274" s="289"/>
      <c r="N274" s="289"/>
      <c r="O274" s="289"/>
      <c r="P274" s="289"/>
      <c r="Q274" s="289"/>
      <c r="R274" s="289"/>
      <c r="S274" s="289"/>
    </row>
    <row r="275" spans="1:19" s="657" customFormat="1" ht="13">
      <c r="A275" s="755">
        <v>4643</v>
      </c>
      <c r="B275" s="756" t="s">
        <v>69</v>
      </c>
      <c r="C275" s="290">
        <v>5277</v>
      </c>
      <c r="D275" s="290">
        <v>5245</v>
      </c>
      <c r="E275" s="290">
        <v>5193</v>
      </c>
      <c r="F275" s="290">
        <v>5170</v>
      </c>
      <c r="G275" s="290">
        <v>5204</v>
      </c>
      <c r="H275" s="290">
        <v>5169</v>
      </c>
      <c r="I275" s="290">
        <v>5126</v>
      </c>
      <c r="J275" s="290">
        <v>5076</v>
      </c>
      <c r="K275" s="289">
        <v>5028</v>
      </c>
      <c r="L275" s="289"/>
      <c r="M275" s="289"/>
      <c r="N275" s="289"/>
      <c r="O275" s="289"/>
      <c r="P275" s="289"/>
      <c r="Q275" s="289"/>
      <c r="R275" s="289"/>
      <c r="S275" s="289"/>
    </row>
    <row r="276" spans="1:19" s="657" customFormat="1" ht="13">
      <c r="A276" s="755">
        <v>4644</v>
      </c>
      <c r="B276" s="756" t="s">
        <v>70</v>
      </c>
      <c r="C276" s="290">
        <v>5223</v>
      </c>
      <c r="D276" s="290">
        <v>5195</v>
      </c>
      <c r="E276" s="290">
        <v>5174</v>
      </c>
      <c r="F276" s="290">
        <v>5189</v>
      </c>
      <c r="G276" s="290">
        <v>5246</v>
      </c>
      <c r="H276" s="290">
        <v>5256</v>
      </c>
      <c r="I276" s="290">
        <v>5258</v>
      </c>
      <c r="J276" s="290">
        <v>5251</v>
      </c>
      <c r="K276" s="289">
        <v>5245</v>
      </c>
      <c r="L276" s="289"/>
      <c r="M276" s="289"/>
      <c r="N276" s="289"/>
      <c r="O276" s="289"/>
      <c r="P276" s="289"/>
      <c r="Q276" s="289"/>
      <c r="R276" s="289"/>
      <c r="S276" s="289"/>
    </row>
    <row r="277" spans="1:19" s="657" customFormat="1" ht="13">
      <c r="A277" s="755">
        <v>4645</v>
      </c>
      <c r="B277" s="756" t="s">
        <v>71</v>
      </c>
      <c r="C277" s="290">
        <v>3052</v>
      </c>
      <c r="D277" s="290">
        <v>3038</v>
      </c>
      <c r="E277" s="290">
        <v>3011</v>
      </c>
      <c r="F277" s="290">
        <v>2991</v>
      </c>
      <c r="G277" s="290">
        <v>2951</v>
      </c>
      <c r="H277" s="290">
        <v>2925</v>
      </c>
      <c r="I277" s="290">
        <v>2901</v>
      </c>
      <c r="J277" s="290">
        <v>2877</v>
      </c>
      <c r="K277" s="289">
        <v>2859</v>
      </c>
      <c r="L277" s="289"/>
      <c r="M277" s="289"/>
      <c r="N277" s="289"/>
      <c r="O277" s="289"/>
      <c r="P277" s="289"/>
      <c r="Q277" s="289"/>
      <c r="R277" s="289"/>
      <c r="S277" s="289"/>
    </row>
    <row r="278" spans="1:19" s="657" customFormat="1" ht="13">
      <c r="A278" s="755">
        <v>4646</v>
      </c>
      <c r="B278" s="756" t="s">
        <v>72</v>
      </c>
      <c r="C278" s="290">
        <v>2846</v>
      </c>
      <c r="D278" s="290">
        <v>2770</v>
      </c>
      <c r="E278" s="290">
        <v>2802</v>
      </c>
      <c r="F278" s="290">
        <v>2885</v>
      </c>
      <c r="G278" s="290">
        <v>2901</v>
      </c>
      <c r="H278" s="290">
        <v>2972</v>
      </c>
      <c r="I278" s="290">
        <v>3004</v>
      </c>
      <c r="J278" s="290">
        <v>3006</v>
      </c>
      <c r="K278" s="289">
        <v>3004</v>
      </c>
      <c r="L278" s="289"/>
      <c r="M278" s="289"/>
      <c r="N278" s="289"/>
      <c r="O278" s="289"/>
      <c r="P278" s="289"/>
      <c r="Q278" s="289"/>
      <c r="R278" s="289"/>
      <c r="S278" s="289"/>
    </row>
    <row r="279" spans="1:19" s="657" customFormat="1" ht="13">
      <c r="A279" s="755">
        <v>4647</v>
      </c>
      <c r="B279" s="756" t="s">
        <v>1805</v>
      </c>
      <c r="C279" s="290">
        <v>21963</v>
      </c>
      <c r="D279" s="290">
        <v>21959</v>
      </c>
      <c r="E279" s="290">
        <v>22030</v>
      </c>
      <c r="F279" s="290">
        <v>22020</v>
      </c>
      <c r="G279" s="290">
        <v>22116</v>
      </c>
      <c r="H279" s="290">
        <v>22175</v>
      </c>
      <c r="I279" s="290">
        <v>22210</v>
      </c>
      <c r="J279" s="290">
        <v>22215</v>
      </c>
      <c r="K279" s="289">
        <v>22225</v>
      </c>
      <c r="L279" s="289"/>
      <c r="M279" s="289"/>
      <c r="N279" s="289"/>
      <c r="O279" s="289"/>
      <c r="P279" s="289"/>
      <c r="Q279" s="289"/>
      <c r="R279" s="289"/>
      <c r="S279" s="289"/>
    </row>
    <row r="280" spans="1:19" s="657" customFormat="1" ht="13">
      <c r="A280" s="755">
        <v>4648</v>
      </c>
      <c r="B280" s="756" t="s">
        <v>77</v>
      </c>
      <c r="C280" s="290">
        <v>3767</v>
      </c>
      <c r="D280" s="290">
        <v>3705</v>
      </c>
      <c r="E280" s="290">
        <v>3629</v>
      </c>
      <c r="F280" s="290">
        <v>3597</v>
      </c>
      <c r="G280" s="290">
        <v>3521</v>
      </c>
      <c r="H280" s="290">
        <v>3482</v>
      </c>
      <c r="I280" s="290">
        <v>3446</v>
      </c>
      <c r="J280" s="290">
        <v>3410</v>
      </c>
      <c r="K280" s="289">
        <v>3379</v>
      </c>
      <c r="L280" s="289"/>
      <c r="M280" s="289"/>
      <c r="N280" s="289"/>
      <c r="O280" s="289"/>
      <c r="P280" s="289"/>
      <c r="Q280" s="289"/>
      <c r="R280" s="289"/>
      <c r="S280" s="289"/>
    </row>
    <row r="281" spans="1:19" s="657" customFormat="1" ht="13">
      <c r="A281" s="755">
        <v>4649</v>
      </c>
      <c r="B281" s="756" t="s">
        <v>1796</v>
      </c>
      <c r="C281" s="290">
        <v>9429</v>
      </c>
      <c r="D281" s="290">
        <v>9413</v>
      </c>
      <c r="E281" s="290">
        <v>9457</v>
      </c>
      <c r="F281" s="290">
        <v>9517</v>
      </c>
      <c r="G281" s="290">
        <v>9527</v>
      </c>
      <c r="H281" s="290">
        <v>9548</v>
      </c>
      <c r="I281" s="290">
        <v>9553</v>
      </c>
      <c r="J281" s="290">
        <v>9540</v>
      </c>
      <c r="K281" s="289">
        <v>9529</v>
      </c>
      <c r="L281" s="289"/>
      <c r="M281" s="289"/>
      <c r="N281" s="289"/>
      <c r="O281" s="289"/>
      <c r="P281" s="289"/>
      <c r="Q281" s="289"/>
      <c r="R281" s="289"/>
      <c r="S281" s="289"/>
    </row>
    <row r="282" spans="1:19" s="657" customFormat="1" ht="13">
      <c r="A282" s="755">
        <v>4650</v>
      </c>
      <c r="B282" s="756" t="s">
        <v>82</v>
      </c>
      <c r="C282" s="290">
        <v>5874</v>
      </c>
      <c r="D282" s="290">
        <v>5836</v>
      </c>
      <c r="E282" s="290">
        <v>5854</v>
      </c>
      <c r="F282" s="290">
        <v>5885</v>
      </c>
      <c r="G282" s="290">
        <v>5875</v>
      </c>
      <c r="H282" s="290">
        <v>5853</v>
      </c>
      <c r="I282" s="290">
        <v>5827</v>
      </c>
      <c r="J282" s="290">
        <v>5798</v>
      </c>
      <c r="K282" s="289">
        <v>5776</v>
      </c>
      <c r="L282" s="289"/>
      <c r="M282" s="289"/>
      <c r="N282" s="289"/>
      <c r="O282" s="289"/>
      <c r="P282" s="289"/>
      <c r="Q282" s="289"/>
      <c r="R282" s="289"/>
      <c r="S282" s="289"/>
    </row>
    <row r="283" spans="1:19" s="657" customFormat="1" ht="13">
      <c r="A283" s="755">
        <v>4651</v>
      </c>
      <c r="B283" s="756" t="s">
        <v>83</v>
      </c>
      <c r="C283" s="290">
        <v>7195</v>
      </c>
      <c r="D283" s="290">
        <v>7167</v>
      </c>
      <c r="E283" s="290">
        <v>7130</v>
      </c>
      <c r="F283" s="290">
        <v>7118</v>
      </c>
      <c r="G283" s="290">
        <v>7207</v>
      </c>
      <c r="H283" s="290">
        <v>7276</v>
      </c>
      <c r="I283" s="290">
        <v>7307</v>
      </c>
      <c r="J283" s="290">
        <v>7306</v>
      </c>
      <c r="K283" s="289">
        <v>7302</v>
      </c>
      <c r="L283" s="289"/>
      <c r="M283" s="289"/>
      <c r="N283" s="289"/>
      <c r="O283" s="289"/>
      <c r="P283" s="289"/>
      <c r="Q283" s="289"/>
      <c r="R283" s="289"/>
      <c r="S283" s="289"/>
    </row>
    <row r="284" spans="1:19" s="657" customFormat="1" ht="13">
      <c r="A284" s="755">
        <v>5001</v>
      </c>
      <c r="B284" s="756" t="s">
        <v>118</v>
      </c>
      <c r="C284" s="290">
        <v>199595</v>
      </c>
      <c r="D284" s="290">
        <v>202235</v>
      </c>
      <c r="E284" s="290">
        <v>205163</v>
      </c>
      <c r="F284" s="290">
        <v>207595</v>
      </c>
      <c r="G284" s="290">
        <v>210496</v>
      </c>
      <c r="H284" s="290">
        <v>214695</v>
      </c>
      <c r="I284" s="290">
        <v>217733</v>
      </c>
      <c r="J284" s="290">
        <v>219780</v>
      </c>
      <c r="K284" s="289">
        <v>221602</v>
      </c>
      <c r="L284" s="289"/>
      <c r="M284" s="289"/>
      <c r="N284" s="289"/>
      <c r="O284" s="289"/>
      <c r="P284" s="289"/>
      <c r="Q284" s="289"/>
      <c r="R284" s="289"/>
      <c r="S284" s="289"/>
    </row>
    <row r="285" spans="1:19" s="657" customFormat="1" ht="13">
      <c r="A285" s="755">
        <v>5006</v>
      </c>
      <c r="B285" s="756" t="s">
        <v>144</v>
      </c>
      <c r="C285" s="290">
        <v>24502</v>
      </c>
      <c r="D285" s="290">
        <v>24472</v>
      </c>
      <c r="E285" s="290">
        <v>24357</v>
      </c>
      <c r="F285" s="290">
        <v>24152</v>
      </c>
      <c r="G285" s="290">
        <v>24004</v>
      </c>
      <c r="H285" s="290">
        <v>23894</v>
      </c>
      <c r="I285" s="290">
        <v>23793</v>
      </c>
      <c r="J285" s="290">
        <v>23689</v>
      </c>
      <c r="K285" s="289">
        <v>23613</v>
      </c>
      <c r="L285" s="289"/>
      <c r="M285" s="289"/>
      <c r="N285" s="289"/>
      <c r="O285" s="289"/>
      <c r="P285" s="289"/>
      <c r="Q285" s="289"/>
      <c r="R285" s="289"/>
      <c r="S285" s="289"/>
    </row>
    <row r="286" spans="1:19" s="657" customFormat="1" ht="13">
      <c r="A286" s="755">
        <v>5007</v>
      </c>
      <c r="B286" s="756" t="s">
        <v>145</v>
      </c>
      <c r="C286" s="290">
        <v>15332</v>
      </c>
      <c r="D286" s="290">
        <v>15345</v>
      </c>
      <c r="E286" s="290">
        <v>15230</v>
      </c>
      <c r="F286" s="290">
        <v>15096</v>
      </c>
      <c r="G286" s="290">
        <v>15001</v>
      </c>
      <c r="H286" s="290">
        <v>14930</v>
      </c>
      <c r="I286" s="290">
        <v>14856</v>
      </c>
      <c r="J286" s="290">
        <v>14775</v>
      </c>
      <c r="K286" s="289">
        <v>14705</v>
      </c>
      <c r="L286" s="289"/>
      <c r="M286" s="289"/>
      <c r="N286" s="289"/>
      <c r="O286" s="289"/>
      <c r="P286" s="289"/>
      <c r="Q286" s="289"/>
      <c r="R286" s="289"/>
      <c r="S286" s="289"/>
    </row>
    <row r="287" spans="1:19" s="657" customFormat="1" ht="13">
      <c r="A287" s="755">
        <v>5014</v>
      </c>
      <c r="B287" s="756" t="s">
        <v>122</v>
      </c>
      <c r="C287" s="290">
        <v>4962</v>
      </c>
      <c r="D287" s="290">
        <v>5068</v>
      </c>
      <c r="E287" s="290">
        <v>5151</v>
      </c>
      <c r="F287" s="290">
        <v>5204</v>
      </c>
      <c r="G287" s="290">
        <v>5265</v>
      </c>
      <c r="H287" s="290">
        <v>5449</v>
      </c>
      <c r="I287" s="290">
        <v>5579</v>
      </c>
      <c r="J287" s="290">
        <v>5663</v>
      </c>
      <c r="K287" s="289">
        <v>5736</v>
      </c>
      <c r="L287" s="289"/>
      <c r="M287" s="289"/>
      <c r="N287" s="289"/>
      <c r="O287" s="289"/>
      <c r="P287" s="289"/>
      <c r="Q287" s="289"/>
      <c r="R287" s="289"/>
      <c r="S287" s="289"/>
    </row>
    <row r="288" spans="1:19" s="657" customFormat="1" ht="13">
      <c r="A288" s="755">
        <v>5020</v>
      </c>
      <c r="B288" s="756" t="s">
        <v>129</v>
      </c>
      <c r="C288" s="290">
        <v>967</v>
      </c>
      <c r="D288" s="290">
        <v>947</v>
      </c>
      <c r="E288" s="290">
        <v>948</v>
      </c>
      <c r="F288" s="290">
        <v>925</v>
      </c>
      <c r="G288" s="290">
        <v>904</v>
      </c>
      <c r="H288" s="290">
        <v>901</v>
      </c>
      <c r="I288" s="290">
        <v>898</v>
      </c>
      <c r="J288" s="290">
        <v>896</v>
      </c>
      <c r="K288" s="289">
        <v>894</v>
      </c>
      <c r="L288" s="289"/>
      <c r="M288" s="289"/>
      <c r="N288" s="289"/>
      <c r="O288" s="289"/>
      <c r="P288" s="289"/>
      <c r="Q288" s="289"/>
      <c r="R288" s="289"/>
      <c r="S288" s="289"/>
    </row>
    <row r="289" spans="1:19" s="657" customFormat="1" ht="13">
      <c r="A289" s="755">
        <v>5021</v>
      </c>
      <c r="B289" s="756" t="s">
        <v>130</v>
      </c>
      <c r="C289" s="290">
        <v>6970</v>
      </c>
      <c r="D289" s="290">
        <v>6975</v>
      </c>
      <c r="E289" s="290">
        <v>7001</v>
      </c>
      <c r="F289" s="290">
        <v>6981</v>
      </c>
      <c r="G289" s="290">
        <v>7066</v>
      </c>
      <c r="H289" s="290">
        <v>7099</v>
      </c>
      <c r="I289" s="290">
        <v>7113</v>
      </c>
      <c r="J289" s="290">
        <v>7110</v>
      </c>
      <c r="K289" s="289">
        <v>7106</v>
      </c>
      <c r="L289" s="289"/>
      <c r="M289" s="289"/>
      <c r="N289" s="289"/>
      <c r="O289" s="289"/>
      <c r="P289" s="289"/>
      <c r="Q289" s="289"/>
      <c r="R289" s="289"/>
      <c r="S289" s="289"/>
    </row>
    <row r="290" spans="1:19" s="657" customFormat="1" ht="13">
      <c r="A290" s="755">
        <v>5022</v>
      </c>
      <c r="B290" s="756" t="s">
        <v>131</v>
      </c>
      <c r="C290" s="290">
        <v>2541</v>
      </c>
      <c r="D290" s="290">
        <v>2501</v>
      </c>
      <c r="E290" s="290">
        <v>2486</v>
      </c>
      <c r="F290" s="290">
        <v>2454</v>
      </c>
      <c r="G290" s="290">
        <v>2443</v>
      </c>
      <c r="H290" s="290">
        <v>2438</v>
      </c>
      <c r="I290" s="290">
        <v>2433</v>
      </c>
      <c r="J290" s="290">
        <v>2428</v>
      </c>
      <c r="K290" s="289">
        <v>2425</v>
      </c>
      <c r="L290" s="289"/>
      <c r="M290" s="289"/>
      <c r="N290" s="289"/>
      <c r="O290" s="289"/>
      <c r="P290" s="289"/>
      <c r="Q290" s="289"/>
      <c r="R290" s="289"/>
      <c r="S290" s="289"/>
    </row>
    <row r="291" spans="1:19" s="657" customFormat="1" ht="13">
      <c r="A291" s="755">
        <v>5025</v>
      </c>
      <c r="B291" s="756" t="s">
        <v>134</v>
      </c>
      <c r="C291" s="290">
        <v>5663</v>
      </c>
      <c r="D291" s="290">
        <v>5610</v>
      </c>
      <c r="E291" s="290">
        <v>5581</v>
      </c>
      <c r="F291" s="290">
        <v>5550</v>
      </c>
      <c r="G291" s="290">
        <v>5572</v>
      </c>
      <c r="H291" s="290">
        <v>5605</v>
      </c>
      <c r="I291" s="290">
        <v>5626</v>
      </c>
      <c r="J291" s="290">
        <v>5637</v>
      </c>
      <c r="K291" s="289">
        <v>5647</v>
      </c>
      <c r="L291" s="289"/>
      <c r="M291" s="289"/>
      <c r="N291" s="289"/>
      <c r="O291" s="289"/>
      <c r="P291" s="289"/>
      <c r="Q291" s="289"/>
      <c r="R291" s="289"/>
      <c r="S291" s="289"/>
    </row>
    <row r="292" spans="1:19" s="657" customFormat="1" ht="13">
      <c r="A292" s="755">
        <v>5026</v>
      </c>
      <c r="B292" s="756" t="s">
        <v>135</v>
      </c>
      <c r="C292" s="290">
        <v>2028</v>
      </c>
      <c r="D292" s="290">
        <v>2025</v>
      </c>
      <c r="E292" s="290">
        <v>1981</v>
      </c>
      <c r="F292" s="290">
        <v>1968</v>
      </c>
      <c r="G292" s="290">
        <v>1953</v>
      </c>
      <c r="H292" s="290">
        <v>1940</v>
      </c>
      <c r="I292" s="290">
        <v>1930</v>
      </c>
      <c r="J292" s="290">
        <v>1919</v>
      </c>
      <c r="K292" s="289">
        <v>1911</v>
      </c>
      <c r="L292" s="289"/>
      <c r="M292" s="289"/>
      <c r="N292" s="289"/>
      <c r="O292" s="289"/>
      <c r="P292" s="289"/>
      <c r="Q292" s="289"/>
      <c r="R292" s="289"/>
      <c r="S292" s="289"/>
    </row>
    <row r="293" spans="1:19" s="657" customFormat="1" ht="13">
      <c r="A293" s="755">
        <v>5027</v>
      </c>
      <c r="B293" s="756" t="s">
        <v>136</v>
      </c>
      <c r="C293" s="290">
        <v>6225</v>
      </c>
      <c r="D293" s="290">
        <v>6246</v>
      </c>
      <c r="E293" s="290">
        <v>6238</v>
      </c>
      <c r="F293" s="290">
        <v>6243</v>
      </c>
      <c r="G293" s="290">
        <v>6120</v>
      </c>
      <c r="H293" s="290">
        <v>6098</v>
      </c>
      <c r="I293" s="290">
        <v>6075</v>
      </c>
      <c r="J293" s="290">
        <v>6051</v>
      </c>
      <c r="K293" s="289">
        <v>6037</v>
      </c>
      <c r="L293" s="289"/>
      <c r="M293" s="289"/>
      <c r="N293" s="289"/>
      <c r="O293" s="289"/>
      <c r="P293" s="289"/>
      <c r="Q293" s="289"/>
      <c r="R293" s="289"/>
      <c r="S293" s="289"/>
    </row>
    <row r="294" spans="1:19" s="657" customFormat="1" ht="13">
      <c r="A294" s="755">
        <v>5028</v>
      </c>
      <c r="B294" s="756" t="s">
        <v>137</v>
      </c>
      <c r="C294" s="290">
        <v>16424</v>
      </c>
      <c r="D294" s="290">
        <v>16562</v>
      </c>
      <c r="E294" s="290">
        <v>16733</v>
      </c>
      <c r="F294" s="290">
        <v>16949</v>
      </c>
      <c r="G294" s="290">
        <v>17123</v>
      </c>
      <c r="H294" s="290">
        <v>17268</v>
      </c>
      <c r="I294" s="290">
        <v>17384</v>
      </c>
      <c r="J294" s="290">
        <v>17473</v>
      </c>
      <c r="K294" s="289">
        <v>17566</v>
      </c>
      <c r="L294" s="289"/>
      <c r="M294" s="289"/>
      <c r="N294" s="289"/>
      <c r="O294" s="289"/>
      <c r="P294" s="289"/>
      <c r="Q294" s="289"/>
      <c r="R294" s="289"/>
      <c r="S294" s="289"/>
    </row>
    <row r="295" spans="1:19" s="657" customFormat="1" ht="13">
      <c r="A295" s="755">
        <v>5029</v>
      </c>
      <c r="B295" s="756" t="s">
        <v>138</v>
      </c>
      <c r="C295" s="290">
        <v>8142</v>
      </c>
      <c r="D295" s="290">
        <v>8231</v>
      </c>
      <c r="E295" s="290">
        <v>8325</v>
      </c>
      <c r="F295" s="290">
        <v>8367</v>
      </c>
      <c r="G295" s="290">
        <v>8360</v>
      </c>
      <c r="H295" s="290">
        <v>8415</v>
      </c>
      <c r="I295" s="290">
        <v>8479</v>
      </c>
      <c r="J295" s="290">
        <v>8549</v>
      </c>
      <c r="K295" s="289">
        <v>8629</v>
      </c>
      <c r="L295" s="289"/>
      <c r="M295" s="289"/>
      <c r="N295" s="289"/>
      <c r="O295" s="289"/>
      <c r="P295" s="289"/>
      <c r="Q295" s="289"/>
      <c r="R295" s="289"/>
      <c r="S295" s="289"/>
    </row>
    <row r="296" spans="1:19" s="657" customFormat="1" ht="13">
      <c r="A296" s="755">
        <v>5031</v>
      </c>
      <c r="B296" s="756" t="s">
        <v>141</v>
      </c>
      <c r="C296" s="290">
        <v>13958</v>
      </c>
      <c r="D296" s="290">
        <v>14040</v>
      </c>
      <c r="E296" s="290">
        <v>14148</v>
      </c>
      <c r="F296" s="290">
        <v>14334</v>
      </c>
      <c r="G296" s="290">
        <v>14425</v>
      </c>
      <c r="H296" s="290">
        <v>14587</v>
      </c>
      <c r="I296" s="290">
        <v>14732</v>
      </c>
      <c r="J296" s="290">
        <v>14861</v>
      </c>
      <c r="K296" s="289">
        <v>14997</v>
      </c>
      <c r="L296" s="289"/>
      <c r="M296" s="289"/>
      <c r="N296" s="289"/>
      <c r="O296" s="289"/>
      <c r="P296" s="289"/>
      <c r="Q296" s="289"/>
      <c r="R296" s="289"/>
      <c r="S296" s="289"/>
    </row>
    <row r="297" spans="1:19" s="657" customFormat="1" ht="13">
      <c r="A297" s="755">
        <v>5032</v>
      </c>
      <c r="B297" s="756" t="s">
        <v>142</v>
      </c>
      <c r="C297" s="290">
        <v>4093</v>
      </c>
      <c r="D297" s="290">
        <v>4088</v>
      </c>
      <c r="E297" s="290">
        <v>4062</v>
      </c>
      <c r="F297" s="290">
        <v>4069</v>
      </c>
      <c r="G297" s="290">
        <v>4090</v>
      </c>
      <c r="H297" s="290">
        <v>4105</v>
      </c>
      <c r="I297" s="290">
        <v>4115</v>
      </c>
      <c r="J297" s="290">
        <v>4122</v>
      </c>
      <c r="K297" s="289">
        <v>4128</v>
      </c>
      <c r="L297" s="289"/>
      <c r="M297" s="289"/>
      <c r="N297" s="289"/>
      <c r="O297" s="289"/>
      <c r="P297" s="289"/>
      <c r="Q297" s="289"/>
      <c r="R297" s="289"/>
      <c r="S297" s="289"/>
    </row>
    <row r="298" spans="1:19" s="657" customFormat="1" ht="13">
      <c r="A298" s="755">
        <v>5033</v>
      </c>
      <c r="B298" s="756" t="s">
        <v>143</v>
      </c>
      <c r="C298" s="290">
        <v>834</v>
      </c>
      <c r="D298" s="290">
        <v>794</v>
      </c>
      <c r="E298" s="290">
        <v>769</v>
      </c>
      <c r="F298" s="290">
        <v>759</v>
      </c>
      <c r="G298" s="290">
        <v>750</v>
      </c>
      <c r="H298" s="290">
        <v>742</v>
      </c>
      <c r="I298" s="290">
        <v>736</v>
      </c>
      <c r="J298" s="290">
        <v>730</v>
      </c>
      <c r="K298" s="289">
        <v>726</v>
      </c>
      <c r="L298" s="289"/>
      <c r="M298" s="289"/>
      <c r="N298" s="289"/>
      <c r="O298" s="289"/>
      <c r="P298" s="289"/>
      <c r="Q298" s="289"/>
      <c r="R298" s="289"/>
      <c r="S298" s="289"/>
    </row>
    <row r="299" spans="1:19" s="657" customFormat="1" ht="13">
      <c r="A299" s="755">
        <v>5034</v>
      </c>
      <c r="B299" s="756" t="s">
        <v>146</v>
      </c>
      <c r="C299" s="290">
        <v>2469</v>
      </c>
      <c r="D299" s="290">
        <v>2432</v>
      </c>
      <c r="E299" s="290">
        <v>2422</v>
      </c>
      <c r="F299" s="290">
        <v>2413</v>
      </c>
      <c r="G299" s="290">
        <v>2399</v>
      </c>
      <c r="H299" s="290">
        <v>2427</v>
      </c>
      <c r="I299" s="290">
        <v>2448</v>
      </c>
      <c r="J299" s="290">
        <v>2462</v>
      </c>
      <c r="K299" s="289">
        <v>2475</v>
      </c>
      <c r="L299" s="289"/>
      <c r="M299" s="289"/>
      <c r="N299" s="289"/>
      <c r="O299" s="289"/>
      <c r="P299" s="289"/>
      <c r="Q299" s="289"/>
      <c r="R299" s="289"/>
      <c r="S299" s="289"/>
    </row>
    <row r="300" spans="1:19" s="657" customFormat="1" ht="13">
      <c r="A300" s="755">
        <v>5035</v>
      </c>
      <c r="B300" s="756" t="s">
        <v>147</v>
      </c>
      <c r="C300" s="290">
        <v>23964</v>
      </c>
      <c r="D300" s="290">
        <v>24028</v>
      </c>
      <c r="E300" s="290">
        <v>24145</v>
      </c>
      <c r="F300" s="290">
        <v>24283</v>
      </c>
      <c r="G300" s="290">
        <v>24287</v>
      </c>
      <c r="H300" s="290">
        <v>24331</v>
      </c>
      <c r="I300" s="290">
        <v>24371</v>
      </c>
      <c r="J300" s="290">
        <v>24405</v>
      </c>
      <c r="K300" s="289">
        <v>24460</v>
      </c>
      <c r="L300" s="289"/>
      <c r="M300" s="289"/>
      <c r="N300" s="289"/>
      <c r="O300" s="289"/>
      <c r="P300" s="289"/>
      <c r="Q300" s="289"/>
      <c r="R300" s="289"/>
      <c r="S300" s="289"/>
    </row>
    <row r="301" spans="1:19" s="657" customFormat="1" ht="13">
      <c r="A301" s="755">
        <v>5036</v>
      </c>
      <c r="B301" s="756" t="s">
        <v>148</v>
      </c>
      <c r="C301" s="290">
        <v>2616</v>
      </c>
      <c r="D301" s="290">
        <v>2632</v>
      </c>
      <c r="E301" s="290">
        <v>2627</v>
      </c>
      <c r="F301" s="290">
        <v>2609</v>
      </c>
      <c r="G301" s="290">
        <v>2608</v>
      </c>
      <c r="H301" s="290">
        <v>2648</v>
      </c>
      <c r="I301" s="290">
        <v>2677</v>
      </c>
      <c r="J301" s="290">
        <v>2697</v>
      </c>
      <c r="K301" s="289">
        <v>2713</v>
      </c>
      <c r="L301" s="289"/>
      <c r="M301" s="289"/>
      <c r="N301" s="289"/>
      <c r="O301" s="289"/>
      <c r="P301" s="289"/>
      <c r="Q301" s="289"/>
      <c r="R301" s="289"/>
      <c r="S301" s="289"/>
    </row>
    <row r="302" spans="1:19" s="657" customFormat="1" ht="13">
      <c r="A302" s="755">
        <v>5037</v>
      </c>
      <c r="B302" s="756" t="s">
        <v>150</v>
      </c>
      <c r="C302" s="290">
        <v>20115</v>
      </c>
      <c r="D302" s="290">
        <v>20254</v>
      </c>
      <c r="E302" s="290">
        <v>20164</v>
      </c>
      <c r="F302" s="290">
        <v>20170</v>
      </c>
      <c r="G302" s="290">
        <v>20171</v>
      </c>
      <c r="H302" s="290">
        <v>20222</v>
      </c>
      <c r="I302" s="290">
        <v>20247</v>
      </c>
      <c r="J302" s="290">
        <v>20248</v>
      </c>
      <c r="K302" s="289">
        <v>20261</v>
      </c>
      <c r="L302" s="289"/>
      <c r="M302" s="289"/>
      <c r="N302" s="289"/>
      <c r="O302" s="289"/>
      <c r="P302" s="289"/>
      <c r="Q302" s="289"/>
      <c r="R302" s="289"/>
      <c r="S302" s="289"/>
    </row>
    <row r="303" spans="1:19" s="657" customFormat="1" ht="13">
      <c r="A303" s="755">
        <v>5038</v>
      </c>
      <c r="B303" s="756" t="s">
        <v>151</v>
      </c>
      <c r="C303" s="290">
        <v>14943</v>
      </c>
      <c r="D303" s="290">
        <v>14933</v>
      </c>
      <c r="E303" s="290">
        <v>14948</v>
      </c>
      <c r="F303" s="290">
        <v>14986</v>
      </c>
      <c r="G303" s="290">
        <v>14955</v>
      </c>
      <c r="H303" s="290">
        <v>14915</v>
      </c>
      <c r="I303" s="290">
        <v>14882</v>
      </c>
      <c r="J303" s="290">
        <v>14853</v>
      </c>
      <c r="K303" s="289">
        <v>14840</v>
      </c>
      <c r="L303" s="289"/>
      <c r="M303" s="289"/>
      <c r="N303" s="289"/>
      <c r="O303" s="289"/>
      <c r="P303" s="289"/>
      <c r="Q303" s="289"/>
      <c r="R303" s="289"/>
      <c r="S303" s="289"/>
    </row>
    <row r="304" spans="1:19" s="657" customFormat="1" ht="13">
      <c r="A304" s="755">
        <v>5041</v>
      </c>
      <c r="B304" s="756" t="s">
        <v>156</v>
      </c>
      <c r="C304" s="290">
        <v>2094</v>
      </c>
      <c r="D304" s="290">
        <v>2100</v>
      </c>
      <c r="E304" s="290">
        <v>2063</v>
      </c>
      <c r="F304" s="290">
        <v>2054</v>
      </c>
      <c r="G304" s="290">
        <v>2033</v>
      </c>
      <c r="H304" s="290">
        <v>1998</v>
      </c>
      <c r="I304" s="290">
        <v>1968</v>
      </c>
      <c r="J304" s="290">
        <v>1942</v>
      </c>
      <c r="K304" s="289">
        <v>1919</v>
      </c>
      <c r="L304" s="289"/>
      <c r="M304" s="289"/>
      <c r="N304" s="289"/>
      <c r="O304" s="289"/>
      <c r="P304" s="289"/>
      <c r="Q304" s="289"/>
      <c r="R304" s="289"/>
      <c r="S304" s="289"/>
    </row>
    <row r="305" spans="1:19" s="657" customFormat="1" ht="13">
      <c r="A305" s="755">
        <v>5042</v>
      </c>
      <c r="B305" s="756" t="s">
        <v>157</v>
      </c>
      <c r="C305" s="290">
        <v>1379</v>
      </c>
      <c r="D305" s="290">
        <v>1386</v>
      </c>
      <c r="E305" s="290">
        <v>1355</v>
      </c>
      <c r="F305" s="290">
        <v>1328</v>
      </c>
      <c r="G305" s="290">
        <v>1309</v>
      </c>
      <c r="H305" s="290">
        <v>1282</v>
      </c>
      <c r="I305" s="290">
        <v>1258</v>
      </c>
      <c r="J305" s="290">
        <v>1236</v>
      </c>
      <c r="K305" s="289">
        <v>1218</v>
      </c>
      <c r="L305" s="289"/>
      <c r="M305" s="289"/>
      <c r="N305" s="289"/>
      <c r="O305" s="289"/>
      <c r="P305" s="289"/>
      <c r="Q305" s="289"/>
      <c r="R305" s="289"/>
      <c r="S305" s="289"/>
    </row>
    <row r="306" spans="1:19" s="657" customFormat="1" ht="13">
      <c r="A306" s="755">
        <v>5043</v>
      </c>
      <c r="B306" s="756" t="s">
        <v>164</v>
      </c>
      <c r="C306" s="290">
        <v>474</v>
      </c>
      <c r="D306" s="290">
        <v>482</v>
      </c>
      <c r="E306" s="290">
        <v>461</v>
      </c>
      <c r="F306" s="290">
        <v>459</v>
      </c>
      <c r="G306" s="290">
        <v>441</v>
      </c>
      <c r="H306" s="290">
        <v>437</v>
      </c>
      <c r="I306" s="290">
        <v>434</v>
      </c>
      <c r="J306" s="290">
        <v>430</v>
      </c>
      <c r="K306" s="289">
        <v>427</v>
      </c>
      <c r="L306" s="289"/>
      <c r="M306" s="289"/>
      <c r="N306" s="289"/>
      <c r="O306" s="289"/>
      <c r="P306" s="289"/>
      <c r="Q306" s="289"/>
      <c r="R306" s="289"/>
      <c r="S306" s="289"/>
    </row>
    <row r="307" spans="1:19" s="657" customFormat="1" ht="13">
      <c r="A307" s="755">
        <v>5044</v>
      </c>
      <c r="B307" s="756" t="s">
        <v>165</v>
      </c>
      <c r="C307" s="290">
        <v>902</v>
      </c>
      <c r="D307" s="290">
        <v>871</v>
      </c>
      <c r="E307" s="290">
        <v>843</v>
      </c>
      <c r="F307" s="290">
        <v>846</v>
      </c>
      <c r="G307" s="290">
        <v>818</v>
      </c>
      <c r="H307" s="290">
        <v>814</v>
      </c>
      <c r="I307" s="290">
        <v>812</v>
      </c>
      <c r="J307" s="290">
        <v>812</v>
      </c>
      <c r="K307" s="289">
        <v>814</v>
      </c>
      <c r="L307" s="289"/>
      <c r="M307" s="289"/>
      <c r="N307" s="289"/>
      <c r="O307" s="289"/>
      <c r="P307" s="289"/>
      <c r="Q307" s="289"/>
      <c r="R307" s="289"/>
      <c r="S307" s="289"/>
    </row>
    <row r="308" spans="1:19" s="657" customFormat="1" ht="13">
      <c r="A308" s="755">
        <v>5045</v>
      </c>
      <c r="B308" s="756" t="s">
        <v>166</v>
      </c>
      <c r="C308" s="290">
        <v>2400</v>
      </c>
      <c r="D308" s="290">
        <v>2374</v>
      </c>
      <c r="E308" s="290">
        <v>2359</v>
      </c>
      <c r="F308" s="290">
        <v>2347</v>
      </c>
      <c r="G308" s="290">
        <v>2287</v>
      </c>
      <c r="H308" s="290">
        <v>2286</v>
      </c>
      <c r="I308" s="290">
        <v>2285</v>
      </c>
      <c r="J308" s="290">
        <v>2284</v>
      </c>
      <c r="K308" s="289">
        <v>2287</v>
      </c>
      <c r="L308" s="289"/>
      <c r="M308" s="289"/>
      <c r="N308" s="289"/>
      <c r="O308" s="289"/>
      <c r="P308" s="289"/>
      <c r="Q308" s="289"/>
      <c r="R308" s="289"/>
      <c r="S308" s="289"/>
    </row>
    <row r="309" spans="1:19" s="657" customFormat="1" ht="13">
      <c r="A309" s="755">
        <v>5046</v>
      </c>
      <c r="B309" s="756" t="s">
        <v>167</v>
      </c>
      <c r="C309" s="290">
        <v>1268</v>
      </c>
      <c r="D309" s="290">
        <v>1254</v>
      </c>
      <c r="E309" s="290">
        <v>1231</v>
      </c>
      <c r="F309" s="290">
        <v>1215</v>
      </c>
      <c r="G309" s="290">
        <v>1193</v>
      </c>
      <c r="H309" s="290">
        <v>1181</v>
      </c>
      <c r="I309" s="290">
        <v>1168</v>
      </c>
      <c r="J309" s="290">
        <v>1153</v>
      </c>
      <c r="K309" s="289">
        <v>1137</v>
      </c>
      <c r="L309" s="289"/>
      <c r="M309" s="289"/>
      <c r="N309" s="289"/>
      <c r="O309" s="289"/>
      <c r="P309" s="289"/>
      <c r="Q309" s="289"/>
      <c r="R309" s="289"/>
      <c r="S309" s="289"/>
    </row>
    <row r="310" spans="1:19" s="657" customFormat="1" ht="13">
      <c r="A310" s="755">
        <v>5047</v>
      </c>
      <c r="B310" s="756" t="s">
        <v>168</v>
      </c>
      <c r="C310" s="290">
        <v>3845</v>
      </c>
      <c r="D310" s="290">
        <v>3879</v>
      </c>
      <c r="E310" s="290">
        <v>3884</v>
      </c>
      <c r="F310" s="290">
        <v>3865</v>
      </c>
      <c r="G310" s="290">
        <v>3817</v>
      </c>
      <c r="H310" s="290">
        <v>3809</v>
      </c>
      <c r="I310" s="290">
        <v>3801</v>
      </c>
      <c r="J310" s="290">
        <v>3792</v>
      </c>
      <c r="K310" s="289">
        <v>3787</v>
      </c>
      <c r="L310" s="289"/>
      <c r="M310" s="289"/>
      <c r="N310" s="289"/>
      <c r="O310" s="289"/>
      <c r="P310" s="289"/>
      <c r="Q310" s="289"/>
      <c r="R310" s="289"/>
      <c r="S310" s="289"/>
    </row>
    <row r="311" spans="1:19" s="657" customFormat="1" ht="13">
      <c r="A311" s="755">
        <v>5049</v>
      </c>
      <c r="B311" s="756" t="s">
        <v>170</v>
      </c>
      <c r="C311" s="290">
        <v>1105</v>
      </c>
      <c r="D311" s="290">
        <v>1103</v>
      </c>
      <c r="E311" s="290">
        <v>1103</v>
      </c>
      <c r="F311" s="290">
        <v>1100</v>
      </c>
      <c r="G311" s="290">
        <v>1101</v>
      </c>
      <c r="H311" s="290">
        <v>1102</v>
      </c>
      <c r="I311" s="290">
        <v>1104</v>
      </c>
      <c r="J311" s="290">
        <v>1106</v>
      </c>
      <c r="K311" s="289">
        <v>1110</v>
      </c>
      <c r="L311" s="289"/>
      <c r="M311" s="289"/>
      <c r="N311" s="289"/>
      <c r="O311" s="289"/>
      <c r="P311" s="289"/>
      <c r="Q311" s="289"/>
      <c r="R311" s="289"/>
      <c r="S311" s="289"/>
    </row>
    <row r="312" spans="1:19" s="657" customFormat="1" ht="13">
      <c r="A312" s="755">
        <v>5052</v>
      </c>
      <c r="B312" s="756" t="s">
        <v>173</v>
      </c>
      <c r="C312" s="290">
        <v>582</v>
      </c>
      <c r="D312" s="290">
        <v>567</v>
      </c>
      <c r="E312" s="290">
        <v>557</v>
      </c>
      <c r="F312" s="290">
        <v>563</v>
      </c>
      <c r="G312" s="290">
        <v>570</v>
      </c>
      <c r="H312" s="290">
        <v>578</v>
      </c>
      <c r="I312" s="290">
        <v>584</v>
      </c>
      <c r="J312" s="290">
        <v>589</v>
      </c>
      <c r="K312" s="289">
        <v>592</v>
      </c>
      <c r="L312" s="289"/>
      <c r="M312" s="289"/>
      <c r="N312" s="289"/>
      <c r="O312" s="289"/>
      <c r="P312" s="289"/>
      <c r="Q312" s="289"/>
      <c r="R312" s="289"/>
      <c r="S312" s="289"/>
    </row>
    <row r="313" spans="1:19" s="657" customFormat="1" ht="13">
      <c r="A313" s="755">
        <v>5053</v>
      </c>
      <c r="B313" s="756" t="s">
        <v>155</v>
      </c>
      <c r="C313" s="290">
        <v>6785</v>
      </c>
      <c r="D313" s="290">
        <v>6804</v>
      </c>
      <c r="E313" s="290">
        <v>6816</v>
      </c>
      <c r="F313" s="290">
        <v>6764</v>
      </c>
      <c r="G313" s="290">
        <v>6794</v>
      </c>
      <c r="H313" s="290">
        <v>6852</v>
      </c>
      <c r="I313" s="290">
        <v>6894</v>
      </c>
      <c r="J313" s="290">
        <v>6920</v>
      </c>
      <c r="K313" s="289">
        <v>6941</v>
      </c>
      <c r="L313" s="289"/>
      <c r="M313" s="289"/>
      <c r="N313" s="289"/>
      <c r="O313" s="289"/>
      <c r="P313" s="289"/>
      <c r="Q313" s="289"/>
      <c r="R313" s="289"/>
      <c r="S313" s="289"/>
    </row>
    <row r="314" spans="1:19" s="657" customFormat="1" ht="13">
      <c r="A314" s="755">
        <v>5054</v>
      </c>
      <c r="B314" s="756" t="s">
        <v>1234</v>
      </c>
      <c r="C314" s="290">
        <v>10157</v>
      </c>
      <c r="D314" s="290">
        <v>10055</v>
      </c>
      <c r="E314" s="290">
        <v>10084</v>
      </c>
      <c r="F314" s="290">
        <v>9948</v>
      </c>
      <c r="G314" s="290">
        <v>9899</v>
      </c>
      <c r="H314" s="290">
        <v>9843</v>
      </c>
      <c r="I314" s="290">
        <v>9788</v>
      </c>
      <c r="J314" s="290">
        <v>9735</v>
      </c>
      <c r="K314" s="289">
        <v>9693</v>
      </c>
      <c r="L314" s="289"/>
      <c r="M314" s="289"/>
      <c r="N314" s="289"/>
      <c r="O314" s="289"/>
      <c r="P314" s="289"/>
      <c r="Q314" s="289"/>
      <c r="R314" s="289"/>
      <c r="S314" s="289"/>
    </row>
    <row r="315" spans="1:19" s="657" customFormat="1" ht="13">
      <c r="A315" s="755">
        <v>5055</v>
      </c>
      <c r="B315" s="756" t="s">
        <v>1798</v>
      </c>
      <c r="C315" s="290">
        <v>6001.5015015015015</v>
      </c>
      <c r="D315" s="290">
        <v>6010</v>
      </c>
      <c r="E315" s="290">
        <v>5963</v>
      </c>
      <c r="F315" s="290">
        <v>5941</v>
      </c>
      <c r="G315" s="290">
        <v>5884</v>
      </c>
      <c r="H315" s="290">
        <v>5839</v>
      </c>
      <c r="I315" s="290">
        <v>5795</v>
      </c>
      <c r="J315" s="290">
        <v>5749</v>
      </c>
      <c r="K315" s="289">
        <v>5713</v>
      </c>
      <c r="L315" s="289"/>
      <c r="M315" s="289"/>
      <c r="N315" s="289"/>
      <c r="O315" s="289"/>
      <c r="P315" s="289"/>
      <c r="Q315" s="289"/>
      <c r="R315" s="289"/>
      <c r="S315" s="289"/>
    </row>
    <row r="316" spans="1:19" s="657" customFormat="1" ht="13">
      <c r="A316" s="755">
        <v>5056</v>
      </c>
      <c r="B316" s="756" t="s">
        <v>121</v>
      </c>
      <c r="C316" s="290">
        <v>4968.1081081081084</v>
      </c>
      <c r="D316" s="290">
        <v>5018</v>
      </c>
      <c r="E316" s="290">
        <v>5050</v>
      </c>
      <c r="F316" s="290">
        <v>5140</v>
      </c>
      <c r="G316" s="290">
        <v>5156</v>
      </c>
      <c r="H316" s="290">
        <v>5258</v>
      </c>
      <c r="I316" s="290">
        <v>5333</v>
      </c>
      <c r="J316" s="290">
        <v>5383</v>
      </c>
      <c r="K316" s="289">
        <v>5429</v>
      </c>
      <c r="L316" s="289"/>
      <c r="M316" s="289"/>
      <c r="N316" s="289"/>
      <c r="O316" s="289"/>
      <c r="P316" s="289"/>
      <c r="Q316" s="289"/>
      <c r="R316" s="289"/>
      <c r="S316" s="289"/>
    </row>
    <row r="317" spans="1:19" s="657" customFormat="1" ht="13">
      <c r="A317" s="755">
        <v>5057</v>
      </c>
      <c r="B317" s="756" t="s">
        <v>123</v>
      </c>
      <c r="C317" s="290">
        <v>10215</v>
      </c>
      <c r="D317" s="290">
        <v>10238</v>
      </c>
      <c r="E317" s="290">
        <v>10323</v>
      </c>
      <c r="F317" s="290">
        <v>10306</v>
      </c>
      <c r="G317" s="290">
        <v>10371</v>
      </c>
      <c r="H317" s="290">
        <v>10424</v>
      </c>
      <c r="I317" s="290">
        <v>10463</v>
      </c>
      <c r="J317" s="290">
        <v>10488</v>
      </c>
      <c r="K317" s="289">
        <v>10515</v>
      </c>
      <c r="L317" s="289"/>
      <c r="M317" s="289"/>
      <c r="N317" s="289"/>
      <c r="O317" s="289"/>
      <c r="P317" s="289"/>
      <c r="Q317" s="289"/>
      <c r="R317" s="289"/>
      <c r="S317" s="289"/>
    </row>
    <row r="318" spans="1:19" s="657" customFormat="1" ht="13">
      <c r="A318" s="755">
        <v>5058</v>
      </c>
      <c r="B318" s="756" t="s">
        <v>127</v>
      </c>
      <c r="C318" s="290">
        <v>4230</v>
      </c>
      <c r="D318" s="290">
        <v>4297</v>
      </c>
      <c r="E318" s="290">
        <v>4288</v>
      </c>
      <c r="F318" s="290">
        <v>4271</v>
      </c>
      <c r="G318" s="290">
        <v>4252</v>
      </c>
      <c r="H318" s="290">
        <v>4245</v>
      </c>
      <c r="I318" s="290">
        <v>4234</v>
      </c>
      <c r="J318" s="290">
        <v>4219</v>
      </c>
      <c r="K318" s="289">
        <v>4208</v>
      </c>
      <c r="L318" s="289"/>
      <c r="M318" s="289"/>
      <c r="N318" s="289"/>
      <c r="O318" s="289"/>
      <c r="P318" s="289"/>
      <c r="Q318" s="289"/>
      <c r="R318" s="289"/>
      <c r="S318" s="289"/>
    </row>
    <row r="319" spans="1:19" s="657" customFormat="1" ht="13">
      <c r="A319" s="755">
        <v>5059</v>
      </c>
      <c r="B319" s="756" t="s">
        <v>1799</v>
      </c>
      <c r="C319" s="290">
        <v>18008.390390390392</v>
      </c>
      <c r="D319" s="290">
        <v>18151</v>
      </c>
      <c r="E319" s="290">
        <v>18217</v>
      </c>
      <c r="F319" s="290">
        <v>18300</v>
      </c>
      <c r="G319" s="290">
        <v>18502</v>
      </c>
      <c r="H319" s="290">
        <v>18621</v>
      </c>
      <c r="I319" s="290">
        <v>18710</v>
      </c>
      <c r="J319" s="290">
        <v>18768</v>
      </c>
      <c r="K319" s="289">
        <v>18818</v>
      </c>
      <c r="L319" s="289"/>
      <c r="M319" s="289"/>
      <c r="N319" s="289"/>
      <c r="O319" s="289"/>
      <c r="P319" s="289"/>
      <c r="Q319" s="289"/>
      <c r="R319" s="289"/>
      <c r="S319" s="289"/>
    </row>
    <row r="320" spans="1:19" s="657" customFormat="1" ht="13">
      <c r="A320" s="755">
        <v>5060</v>
      </c>
      <c r="B320" s="756" t="s">
        <v>1797</v>
      </c>
      <c r="C320" s="290">
        <v>9558</v>
      </c>
      <c r="D320" s="290">
        <v>9599</v>
      </c>
      <c r="E320" s="290">
        <v>9623</v>
      </c>
      <c r="F320" s="290">
        <v>9581</v>
      </c>
      <c r="G320" s="290">
        <v>9732</v>
      </c>
      <c r="H320" s="290">
        <v>9781</v>
      </c>
      <c r="I320" s="290">
        <v>9802</v>
      </c>
      <c r="J320" s="290">
        <v>9799</v>
      </c>
      <c r="K320" s="289">
        <v>9791</v>
      </c>
      <c r="L320" s="289"/>
      <c r="M320" s="289"/>
      <c r="N320" s="289"/>
      <c r="O320" s="289"/>
      <c r="P320" s="289"/>
      <c r="Q320" s="289"/>
      <c r="R320" s="289"/>
      <c r="S320" s="289"/>
    </row>
    <row r="321" spans="1:19" s="657" customFormat="1" ht="13">
      <c r="A321" s="755">
        <v>5061</v>
      </c>
      <c r="B321" s="756" t="s">
        <v>114</v>
      </c>
      <c r="C321" s="290">
        <v>2039</v>
      </c>
      <c r="D321" s="290">
        <v>2028</v>
      </c>
      <c r="E321" s="290">
        <v>2003</v>
      </c>
      <c r="F321" s="290">
        <v>1989</v>
      </c>
      <c r="G321" s="290">
        <v>1980</v>
      </c>
      <c r="H321" s="290">
        <v>1949</v>
      </c>
      <c r="I321" s="290">
        <v>1921</v>
      </c>
      <c r="J321" s="290">
        <v>1894</v>
      </c>
      <c r="K321" s="289">
        <v>1870</v>
      </c>
      <c r="L321" s="289"/>
      <c r="M321" s="289"/>
      <c r="N321" s="289"/>
      <c r="O321" s="289"/>
      <c r="P321" s="289"/>
      <c r="Q321" s="289"/>
      <c r="R321" s="289"/>
      <c r="S321" s="289"/>
    </row>
    <row r="322" spans="1:19" s="657" customFormat="1" ht="13">
      <c r="A322" s="755">
        <v>5401</v>
      </c>
      <c r="B322" s="756" t="s">
        <v>217</v>
      </c>
      <c r="C322" s="290">
        <v>75638</v>
      </c>
      <c r="D322" s="290">
        <v>76649</v>
      </c>
      <c r="E322" s="290">
        <v>76974</v>
      </c>
      <c r="F322" s="290">
        <v>77095</v>
      </c>
      <c r="G322" s="290">
        <v>77544</v>
      </c>
      <c r="H322" s="290">
        <v>78284</v>
      </c>
      <c r="I322" s="290">
        <v>78775</v>
      </c>
      <c r="J322" s="290">
        <v>79041</v>
      </c>
      <c r="K322" s="289">
        <v>79338</v>
      </c>
      <c r="L322" s="289"/>
      <c r="M322" s="289"/>
      <c r="N322" s="289"/>
      <c r="O322" s="289"/>
      <c r="P322" s="289"/>
      <c r="Q322" s="289"/>
      <c r="R322" s="289"/>
      <c r="S322" s="289"/>
    </row>
    <row r="323" spans="1:19" s="657" customFormat="1" ht="13">
      <c r="A323" s="755">
        <v>5402</v>
      </c>
      <c r="B323" s="756" t="s">
        <v>216</v>
      </c>
      <c r="C323" s="290">
        <v>24820</v>
      </c>
      <c r="D323" s="290">
        <v>24827</v>
      </c>
      <c r="E323" s="290">
        <v>24703</v>
      </c>
      <c r="F323" s="290">
        <v>24738</v>
      </c>
      <c r="G323" s="290">
        <v>24804</v>
      </c>
      <c r="H323" s="290">
        <v>24811</v>
      </c>
      <c r="I323" s="290">
        <v>24785</v>
      </c>
      <c r="J323" s="290">
        <v>24725</v>
      </c>
      <c r="K323" s="289">
        <v>24678</v>
      </c>
      <c r="L323" s="289"/>
      <c r="M323" s="289"/>
      <c r="N323" s="289"/>
      <c r="O323" s="289"/>
      <c r="P323" s="289"/>
      <c r="Q323" s="289"/>
      <c r="R323" s="289"/>
      <c r="S323" s="289"/>
    </row>
    <row r="324" spans="1:19" s="657" customFormat="1" ht="13">
      <c r="A324" s="755">
        <v>5403</v>
      </c>
      <c r="B324" s="756" t="s">
        <v>245</v>
      </c>
      <c r="C324" s="290">
        <v>20635</v>
      </c>
      <c r="D324" s="290">
        <v>20665</v>
      </c>
      <c r="E324" s="290">
        <v>20789</v>
      </c>
      <c r="F324" s="290">
        <v>20847</v>
      </c>
      <c r="G324" s="290">
        <v>21144</v>
      </c>
      <c r="H324" s="290">
        <v>21305</v>
      </c>
      <c r="I324" s="290">
        <v>21409</v>
      </c>
      <c r="J324" s="290">
        <v>21460</v>
      </c>
      <c r="K324" s="289">
        <v>21508</v>
      </c>
      <c r="L324" s="289"/>
      <c r="M324" s="289"/>
      <c r="N324" s="289"/>
      <c r="O324" s="289"/>
      <c r="P324" s="289"/>
      <c r="Q324" s="289"/>
      <c r="R324" s="289"/>
      <c r="S324" s="289"/>
    </row>
    <row r="325" spans="1:19" s="657" customFormat="1" ht="13">
      <c r="A325" s="755">
        <v>5404</v>
      </c>
      <c r="B325" s="756" t="s">
        <v>241</v>
      </c>
      <c r="C325" s="290">
        <v>2110</v>
      </c>
      <c r="D325" s="290">
        <v>2081</v>
      </c>
      <c r="E325" s="290">
        <v>2029</v>
      </c>
      <c r="F325" s="290">
        <v>1959</v>
      </c>
      <c r="G325" s="290">
        <v>1897</v>
      </c>
      <c r="H325" s="290">
        <v>1912</v>
      </c>
      <c r="I325" s="290">
        <v>1922</v>
      </c>
      <c r="J325" s="290">
        <v>1927</v>
      </c>
      <c r="K325" s="289">
        <v>1931</v>
      </c>
      <c r="L325" s="289"/>
      <c r="M325" s="289"/>
      <c r="N325" s="289"/>
      <c r="O325" s="289"/>
      <c r="P325" s="289"/>
      <c r="Q325" s="289"/>
      <c r="R325" s="289"/>
      <c r="S325" s="289"/>
    </row>
    <row r="326" spans="1:19" s="657" customFormat="1" ht="13">
      <c r="A326" s="755">
        <v>5405</v>
      </c>
      <c r="B326" s="756" t="s">
        <v>242</v>
      </c>
      <c r="C326" s="290">
        <v>6033</v>
      </c>
      <c r="D326" s="290">
        <v>5894</v>
      </c>
      <c r="E326" s="290">
        <v>5788</v>
      </c>
      <c r="F326" s="290">
        <v>5642</v>
      </c>
      <c r="G326" s="290">
        <v>5568</v>
      </c>
      <c r="H326" s="290">
        <v>5556</v>
      </c>
      <c r="I326" s="290">
        <v>5539</v>
      </c>
      <c r="J326" s="290">
        <v>5512</v>
      </c>
      <c r="K326" s="289">
        <v>5494</v>
      </c>
      <c r="L326" s="289"/>
      <c r="M326" s="289"/>
      <c r="N326" s="289"/>
      <c r="O326" s="289"/>
      <c r="P326" s="289"/>
      <c r="Q326" s="289"/>
      <c r="R326" s="289"/>
      <c r="S326" s="289"/>
    </row>
    <row r="327" spans="1:19" s="657" customFormat="1" ht="13">
      <c r="A327" s="755">
        <v>5406</v>
      </c>
      <c r="B327" s="756" t="s">
        <v>243</v>
      </c>
      <c r="C327" s="290">
        <v>11560</v>
      </c>
      <c r="D327" s="290">
        <v>11524</v>
      </c>
      <c r="E327" s="290">
        <v>11448</v>
      </c>
      <c r="F327" s="290">
        <v>11331</v>
      </c>
      <c r="G327" s="290">
        <v>11274</v>
      </c>
      <c r="H327" s="290">
        <v>11309</v>
      </c>
      <c r="I327" s="290">
        <v>11320</v>
      </c>
      <c r="J327" s="290">
        <v>11306</v>
      </c>
      <c r="K327" s="289">
        <v>11300</v>
      </c>
      <c r="L327" s="289"/>
      <c r="M327" s="289"/>
      <c r="N327" s="289"/>
      <c r="O327" s="289"/>
      <c r="P327" s="289"/>
      <c r="Q327" s="289"/>
      <c r="R327" s="289"/>
      <c r="S327" s="289"/>
    </row>
    <row r="328" spans="1:19" s="657" customFormat="1" ht="13">
      <c r="A328" s="755">
        <v>5411</v>
      </c>
      <c r="B328" s="756" t="s">
        <v>218</v>
      </c>
      <c r="C328" s="290">
        <v>2928</v>
      </c>
      <c r="D328" s="290">
        <v>2858</v>
      </c>
      <c r="E328" s="290">
        <v>2839</v>
      </c>
      <c r="F328" s="290">
        <v>2822</v>
      </c>
      <c r="G328" s="290">
        <v>2789</v>
      </c>
      <c r="H328" s="290">
        <v>2811</v>
      </c>
      <c r="I328" s="290">
        <v>2831</v>
      </c>
      <c r="J328" s="290">
        <v>2847</v>
      </c>
      <c r="K328" s="289">
        <v>2862</v>
      </c>
      <c r="L328" s="289"/>
      <c r="M328" s="289"/>
      <c r="N328" s="289"/>
      <c r="O328" s="289"/>
      <c r="P328" s="289"/>
      <c r="Q328" s="289"/>
      <c r="R328" s="289"/>
      <c r="S328" s="289"/>
    </row>
    <row r="329" spans="1:19" s="657" customFormat="1" ht="13">
      <c r="A329" s="755">
        <v>5412</v>
      </c>
      <c r="B329" s="756" t="s">
        <v>203</v>
      </c>
      <c r="C329" s="290">
        <v>4253</v>
      </c>
      <c r="D329" s="290">
        <v>4268</v>
      </c>
      <c r="E329" s="290">
        <v>4216</v>
      </c>
      <c r="F329" s="290">
        <v>4209</v>
      </c>
      <c r="G329" s="290">
        <v>4201</v>
      </c>
      <c r="H329" s="290">
        <v>4255</v>
      </c>
      <c r="I329" s="290">
        <v>4292</v>
      </c>
      <c r="J329" s="290">
        <v>4314</v>
      </c>
      <c r="K329" s="289">
        <v>4329</v>
      </c>
      <c r="L329" s="289"/>
      <c r="M329" s="289"/>
      <c r="N329" s="289"/>
      <c r="O329" s="289"/>
      <c r="P329" s="289"/>
      <c r="Q329" s="289"/>
      <c r="R329" s="289"/>
      <c r="S329" s="289"/>
    </row>
    <row r="330" spans="1:19" s="657" customFormat="1" ht="13">
      <c r="A330" s="755">
        <v>5413</v>
      </c>
      <c r="B330" s="756" t="s">
        <v>221</v>
      </c>
      <c r="C330" s="290">
        <v>1380</v>
      </c>
      <c r="D330" s="290">
        <v>1375</v>
      </c>
      <c r="E330" s="290">
        <v>1361</v>
      </c>
      <c r="F330" s="290">
        <v>1320</v>
      </c>
      <c r="G330" s="290">
        <v>1289</v>
      </c>
      <c r="H330" s="290">
        <v>1282</v>
      </c>
      <c r="I330" s="290">
        <v>1276</v>
      </c>
      <c r="J330" s="290">
        <v>1271</v>
      </c>
      <c r="K330" s="289">
        <v>1268</v>
      </c>
      <c r="L330" s="289"/>
      <c r="M330" s="289"/>
      <c r="N330" s="289"/>
      <c r="O330" s="289"/>
      <c r="P330" s="289"/>
      <c r="Q330" s="289"/>
      <c r="R330" s="289"/>
      <c r="S330" s="289"/>
    </row>
    <row r="331" spans="1:19" s="657" customFormat="1" ht="13">
      <c r="A331" s="755">
        <v>5414</v>
      </c>
      <c r="B331" s="756" t="s">
        <v>222</v>
      </c>
      <c r="C331" s="290">
        <v>1117</v>
      </c>
      <c r="D331" s="290">
        <v>1105</v>
      </c>
      <c r="E331" s="290">
        <v>1091</v>
      </c>
      <c r="F331" s="290">
        <v>1092</v>
      </c>
      <c r="G331" s="290">
        <v>1070</v>
      </c>
      <c r="H331" s="290">
        <v>1080</v>
      </c>
      <c r="I331" s="290">
        <v>1085</v>
      </c>
      <c r="J331" s="290">
        <v>1086</v>
      </c>
      <c r="K331" s="289">
        <v>1087</v>
      </c>
      <c r="L331" s="289"/>
      <c r="M331" s="289"/>
      <c r="N331" s="289"/>
      <c r="O331" s="289"/>
      <c r="P331" s="289"/>
      <c r="Q331" s="289"/>
      <c r="R331" s="289"/>
      <c r="S331" s="289"/>
    </row>
    <row r="332" spans="1:19" s="657" customFormat="1" ht="13">
      <c r="A332" s="755">
        <v>5415</v>
      </c>
      <c r="B332" s="756" t="s">
        <v>223</v>
      </c>
      <c r="C332" s="290">
        <v>1061</v>
      </c>
      <c r="D332" s="290">
        <v>1042</v>
      </c>
      <c r="E332" s="290">
        <v>1034</v>
      </c>
      <c r="F332" s="290">
        <v>1020</v>
      </c>
      <c r="G332" s="290">
        <v>970</v>
      </c>
      <c r="H332" s="290">
        <v>953</v>
      </c>
      <c r="I332" s="290">
        <v>937</v>
      </c>
      <c r="J332" s="290">
        <v>923</v>
      </c>
      <c r="K332" s="289">
        <v>911</v>
      </c>
      <c r="L332" s="289"/>
      <c r="M332" s="289"/>
      <c r="N332" s="289"/>
      <c r="O332" s="289"/>
      <c r="P332" s="289"/>
      <c r="Q332" s="289"/>
      <c r="R332" s="289"/>
      <c r="S332" s="289"/>
    </row>
    <row r="333" spans="1:19" s="657" customFormat="1" ht="13">
      <c r="A333" s="755">
        <v>5416</v>
      </c>
      <c r="B333" s="756" t="s">
        <v>224</v>
      </c>
      <c r="C333" s="290">
        <v>3979</v>
      </c>
      <c r="D333" s="290">
        <v>4030</v>
      </c>
      <c r="E333" s="290">
        <v>4005</v>
      </c>
      <c r="F333" s="290">
        <v>3959</v>
      </c>
      <c r="G333" s="290">
        <v>3993</v>
      </c>
      <c r="H333" s="290">
        <v>4089</v>
      </c>
      <c r="I333" s="290">
        <v>4156</v>
      </c>
      <c r="J333" s="290">
        <v>4199</v>
      </c>
      <c r="K333" s="289">
        <v>4227</v>
      </c>
      <c r="L333" s="289"/>
      <c r="M333" s="289"/>
      <c r="N333" s="289"/>
      <c r="O333" s="289"/>
      <c r="P333" s="289"/>
      <c r="Q333" s="289"/>
      <c r="R333" s="289"/>
      <c r="S333" s="289"/>
    </row>
    <row r="334" spans="1:19" s="657" customFormat="1" ht="13">
      <c r="A334" s="755">
        <v>5417</v>
      </c>
      <c r="B334" s="756" t="s">
        <v>225</v>
      </c>
      <c r="C334" s="290">
        <v>2226</v>
      </c>
      <c r="D334" s="290">
        <v>2183</v>
      </c>
      <c r="E334" s="290">
        <v>2146</v>
      </c>
      <c r="F334" s="290">
        <v>2089</v>
      </c>
      <c r="G334" s="290">
        <v>2087</v>
      </c>
      <c r="H334" s="290">
        <v>2113</v>
      </c>
      <c r="I334" s="290">
        <v>2128</v>
      </c>
      <c r="J334" s="290">
        <v>2133</v>
      </c>
      <c r="K334" s="289">
        <v>2137</v>
      </c>
      <c r="L334" s="289"/>
      <c r="M334" s="289"/>
      <c r="N334" s="289"/>
      <c r="O334" s="289"/>
      <c r="P334" s="289"/>
      <c r="Q334" s="289"/>
      <c r="R334" s="289"/>
      <c r="S334" s="289"/>
    </row>
    <row r="335" spans="1:19" s="657" customFormat="1" ht="13">
      <c r="A335" s="755">
        <v>5418</v>
      </c>
      <c r="B335" s="756" t="s">
        <v>226</v>
      </c>
      <c r="C335" s="290">
        <v>6798</v>
      </c>
      <c r="D335" s="290">
        <v>6805</v>
      </c>
      <c r="E335" s="290">
        <v>6640</v>
      </c>
      <c r="F335" s="290">
        <v>6609</v>
      </c>
      <c r="G335" s="290">
        <v>6599</v>
      </c>
      <c r="H335" s="290">
        <v>6692</v>
      </c>
      <c r="I335" s="290">
        <v>6752</v>
      </c>
      <c r="J335" s="290">
        <v>6782</v>
      </c>
      <c r="K335" s="289">
        <v>6799</v>
      </c>
      <c r="L335" s="289"/>
      <c r="M335" s="289"/>
      <c r="N335" s="289"/>
      <c r="O335" s="289"/>
      <c r="P335" s="289"/>
      <c r="Q335" s="289"/>
      <c r="R335" s="289"/>
      <c r="S335" s="289"/>
    </row>
    <row r="336" spans="1:19" s="657" customFormat="1" ht="13">
      <c r="A336" s="755">
        <v>5419</v>
      </c>
      <c r="B336" s="756" t="s">
        <v>227</v>
      </c>
      <c r="C336" s="290">
        <v>3494</v>
      </c>
      <c r="D336" s="290">
        <v>3489</v>
      </c>
      <c r="E336" s="290">
        <v>3464</v>
      </c>
      <c r="F336" s="290">
        <v>3465</v>
      </c>
      <c r="G336" s="290">
        <v>3414</v>
      </c>
      <c r="H336" s="290">
        <v>3424</v>
      </c>
      <c r="I336" s="290">
        <v>3426</v>
      </c>
      <c r="J336" s="290">
        <v>3421</v>
      </c>
      <c r="K336" s="289">
        <v>3417</v>
      </c>
      <c r="L336" s="289"/>
      <c r="M336" s="289"/>
      <c r="N336" s="289"/>
      <c r="O336" s="289"/>
      <c r="P336" s="289"/>
      <c r="Q336" s="289"/>
      <c r="R336" s="289"/>
      <c r="S336" s="289"/>
    </row>
    <row r="337" spans="1:19" s="657" customFormat="1" ht="13">
      <c r="A337" s="755">
        <v>5420</v>
      </c>
      <c r="B337" s="756" t="s">
        <v>228</v>
      </c>
      <c r="C337" s="290">
        <v>1165</v>
      </c>
      <c r="D337" s="290">
        <v>1129</v>
      </c>
      <c r="E337" s="290">
        <v>1083</v>
      </c>
      <c r="F337" s="290">
        <v>1063</v>
      </c>
      <c r="G337" s="290">
        <v>1068</v>
      </c>
      <c r="H337" s="290">
        <v>1073</v>
      </c>
      <c r="I337" s="290">
        <v>1074</v>
      </c>
      <c r="J337" s="290">
        <v>1073</v>
      </c>
      <c r="K337" s="289">
        <v>1070</v>
      </c>
      <c r="L337" s="289"/>
      <c r="M337" s="289"/>
      <c r="N337" s="289"/>
      <c r="O337" s="289"/>
      <c r="P337" s="289"/>
      <c r="Q337" s="289"/>
      <c r="R337" s="289"/>
      <c r="S337" s="289"/>
    </row>
    <row r="338" spans="1:19" s="657" customFormat="1" ht="13">
      <c r="A338" s="755">
        <v>5421</v>
      </c>
      <c r="B338" s="756" t="s">
        <v>1806</v>
      </c>
      <c r="C338" s="290">
        <v>15025</v>
      </c>
      <c r="D338" s="290">
        <v>15011</v>
      </c>
      <c r="E338" s="290">
        <v>14851</v>
      </c>
      <c r="F338" s="290">
        <v>14725</v>
      </c>
      <c r="G338" s="290">
        <v>14738</v>
      </c>
      <c r="H338" s="290">
        <v>14789</v>
      </c>
      <c r="I338" s="290">
        <v>14801</v>
      </c>
      <c r="J338" s="290">
        <v>14774</v>
      </c>
      <c r="K338" s="289">
        <v>14747</v>
      </c>
      <c r="L338" s="289"/>
      <c r="M338" s="289"/>
      <c r="N338" s="289"/>
      <c r="O338" s="289"/>
      <c r="P338" s="289"/>
      <c r="Q338" s="289"/>
      <c r="R338" s="289"/>
      <c r="S338" s="289"/>
    </row>
    <row r="339" spans="1:19" s="657" customFormat="1" ht="13">
      <c r="A339" s="755">
        <v>5422</v>
      </c>
      <c r="B339" s="756" t="s">
        <v>233</v>
      </c>
      <c r="C339" s="290">
        <v>5653</v>
      </c>
      <c r="D339" s="290">
        <v>5625</v>
      </c>
      <c r="E339" s="290">
        <v>5559</v>
      </c>
      <c r="F339" s="290">
        <v>5559</v>
      </c>
      <c r="G339" s="290">
        <v>5576</v>
      </c>
      <c r="H339" s="290">
        <v>5594</v>
      </c>
      <c r="I339" s="290">
        <v>5598</v>
      </c>
      <c r="J339" s="290">
        <v>5592</v>
      </c>
      <c r="K339" s="289">
        <v>5589</v>
      </c>
      <c r="L339" s="289"/>
      <c r="M339" s="289"/>
      <c r="N339" s="289"/>
      <c r="O339" s="289"/>
      <c r="P339" s="289"/>
      <c r="Q339" s="289"/>
      <c r="R339" s="289"/>
      <c r="S339" s="289"/>
    </row>
    <row r="340" spans="1:19" s="657" customFormat="1" ht="13">
      <c r="A340" s="755">
        <v>5423</v>
      </c>
      <c r="B340" s="756" t="s">
        <v>234</v>
      </c>
      <c r="C340" s="290">
        <v>2263</v>
      </c>
      <c r="D340" s="290">
        <v>2252</v>
      </c>
      <c r="E340" s="290">
        <v>2200</v>
      </c>
      <c r="F340" s="290">
        <v>2172</v>
      </c>
      <c r="G340" s="290">
        <v>2179</v>
      </c>
      <c r="H340" s="290">
        <v>2234</v>
      </c>
      <c r="I340" s="290">
        <v>2274</v>
      </c>
      <c r="J340" s="290">
        <v>2299</v>
      </c>
      <c r="K340" s="289">
        <v>2318</v>
      </c>
      <c r="L340" s="289"/>
      <c r="M340" s="289"/>
      <c r="N340" s="289"/>
      <c r="O340" s="289"/>
      <c r="P340" s="289"/>
      <c r="Q340" s="289"/>
      <c r="R340" s="289"/>
      <c r="S340" s="289"/>
    </row>
    <row r="341" spans="1:19" s="657" customFormat="1" ht="13">
      <c r="A341" s="755">
        <v>5424</v>
      </c>
      <c r="B341" s="756" t="s">
        <v>235</v>
      </c>
      <c r="C341" s="290">
        <v>2877</v>
      </c>
      <c r="D341" s="290">
        <v>2847</v>
      </c>
      <c r="E341" s="290">
        <v>2794</v>
      </c>
      <c r="F341" s="290">
        <v>2773</v>
      </c>
      <c r="G341" s="290">
        <v>2729</v>
      </c>
      <c r="H341" s="290">
        <v>2716</v>
      </c>
      <c r="I341" s="290">
        <v>2699</v>
      </c>
      <c r="J341" s="290">
        <v>2680</v>
      </c>
      <c r="K341" s="289">
        <v>2662</v>
      </c>
      <c r="L341" s="289"/>
      <c r="M341" s="289"/>
      <c r="N341" s="289"/>
      <c r="O341" s="289"/>
      <c r="P341" s="289"/>
      <c r="Q341" s="289"/>
      <c r="R341" s="289"/>
      <c r="S341" s="289"/>
    </row>
    <row r="342" spans="1:19" s="657" customFormat="1" ht="13">
      <c r="A342" s="755">
        <v>5425</v>
      </c>
      <c r="B342" s="756" t="s">
        <v>236</v>
      </c>
      <c r="C342" s="290">
        <v>1856</v>
      </c>
      <c r="D342" s="290">
        <v>1841</v>
      </c>
      <c r="E342" s="290">
        <v>1829</v>
      </c>
      <c r="F342" s="290">
        <v>1831</v>
      </c>
      <c r="G342" s="290">
        <v>1836</v>
      </c>
      <c r="H342" s="290">
        <v>1858</v>
      </c>
      <c r="I342" s="290">
        <v>1873</v>
      </c>
      <c r="J342" s="290">
        <v>1881</v>
      </c>
      <c r="K342" s="289">
        <v>1886</v>
      </c>
      <c r="L342" s="289"/>
      <c r="M342" s="289"/>
      <c r="N342" s="289"/>
      <c r="O342" s="289"/>
      <c r="P342" s="289"/>
      <c r="Q342" s="289"/>
      <c r="R342" s="289"/>
      <c r="S342" s="289"/>
    </row>
    <row r="343" spans="1:19" s="657" customFormat="1" ht="13">
      <c r="A343" s="755">
        <v>5426</v>
      </c>
      <c r="B343" s="756" t="s">
        <v>237</v>
      </c>
      <c r="C343" s="290">
        <v>2132</v>
      </c>
      <c r="D343" s="290">
        <v>2097</v>
      </c>
      <c r="E343" s="290">
        <v>2071</v>
      </c>
      <c r="F343" s="290">
        <v>2072</v>
      </c>
      <c r="G343" s="290">
        <v>2012</v>
      </c>
      <c r="H343" s="290">
        <v>1991</v>
      </c>
      <c r="I343" s="290">
        <v>1973</v>
      </c>
      <c r="J343" s="290">
        <v>1958</v>
      </c>
      <c r="K343" s="289">
        <v>1946</v>
      </c>
      <c r="L343" s="289"/>
      <c r="M343" s="289"/>
      <c r="N343" s="289"/>
      <c r="O343" s="289"/>
      <c r="P343" s="289"/>
      <c r="Q343" s="289"/>
      <c r="R343" s="289"/>
      <c r="S343" s="289"/>
    </row>
    <row r="344" spans="1:19" s="657" customFormat="1" ht="13">
      <c r="A344" s="755">
        <v>5427</v>
      </c>
      <c r="B344" s="756" t="s">
        <v>238</v>
      </c>
      <c r="C344" s="290">
        <v>2925</v>
      </c>
      <c r="D344" s="290">
        <v>2917</v>
      </c>
      <c r="E344" s="290">
        <v>2927</v>
      </c>
      <c r="F344" s="290">
        <v>2893</v>
      </c>
      <c r="G344" s="290">
        <v>2804</v>
      </c>
      <c r="H344" s="290">
        <v>2796</v>
      </c>
      <c r="I344" s="290">
        <v>2782</v>
      </c>
      <c r="J344" s="290">
        <v>2763</v>
      </c>
      <c r="K344" s="289">
        <v>2747</v>
      </c>
      <c r="L344" s="289"/>
      <c r="M344" s="289"/>
      <c r="N344" s="289"/>
      <c r="O344" s="289"/>
      <c r="P344" s="289"/>
      <c r="Q344" s="289"/>
      <c r="R344" s="289"/>
      <c r="S344" s="289"/>
    </row>
    <row r="345" spans="1:19" s="657" customFormat="1" ht="13">
      <c r="A345" s="755">
        <v>5428</v>
      </c>
      <c r="B345" s="756" t="s">
        <v>239</v>
      </c>
      <c r="C345" s="290">
        <v>4944</v>
      </c>
      <c r="D345" s="290">
        <v>4909</v>
      </c>
      <c r="E345" s="290">
        <v>4861</v>
      </c>
      <c r="F345" s="290">
        <v>4812</v>
      </c>
      <c r="G345" s="290">
        <v>4746</v>
      </c>
      <c r="H345" s="290">
        <v>4715</v>
      </c>
      <c r="I345" s="290">
        <v>4686</v>
      </c>
      <c r="J345" s="290">
        <v>4659</v>
      </c>
      <c r="K345" s="289">
        <v>4640</v>
      </c>
      <c r="L345" s="289"/>
      <c r="M345" s="289"/>
      <c r="N345" s="289"/>
      <c r="O345" s="289"/>
      <c r="P345" s="289"/>
      <c r="Q345" s="289"/>
      <c r="R345" s="289"/>
      <c r="S345" s="289"/>
    </row>
    <row r="346" spans="1:19" s="657" customFormat="1" ht="13">
      <c r="A346" s="755">
        <v>5429</v>
      </c>
      <c r="B346" s="756" t="s">
        <v>240</v>
      </c>
      <c r="C346" s="290">
        <v>1224</v>
      </c>
      <c r="D346" s="290">
        <v>1202</v>
      </c>
      <c r="E346" s="290">
        <v>1191</v>
      </c>
      <c r="F346" s="290">
        <v>1166</v>
      </c>
      <c r="G346" s="290">
        <v>1159</v>
      </c>
      <c r="H346" s="290">
        <v>1162</v>
      </c>
      <c r="I346" s="290">
        <v>1163</v>
      </c>
      <c r="J346" s="290">
        <v>1161</v>
      </c>
      <c r="K346" s="289">
        <v>1160</v>
      </c>
      <c r="L346" s="289"/>
      <c r="M346" s="289"/>
      <c r="N346" s="289"/>
      <c r="O346" s="289"/>
      <c r="P346" s="289"/>
      <c r="Q346" s="289"/>
      <c r="R346" s="289"/>
      <c r="S346" s="289"/>
    </row>
    <row r="347" spans="1:19" s="657" customFormat="1" ht="13">
      <c r="A347" s="755">
        <v>5430</v>
      </c>
      <c r="B347" s="756" t="s">
        <v>244</v>
      </c>
      <c r="C347" s="290">
        <v>2946</v>
      </c>
      <c r="D347" s="290">
        <v>2924</v>
      </c>
      <c r="E347" s="290">
        <v>2910</v>
      </c>
      <c r="F347" s="290">
        <v>2920</v>
      </c>
      <c r="G347" s="290">
        <v>2877</v>
      </c>
      <c r="H347" s="290">
        <v>2851</v>
      </c>
      <c r="I347" s="290">
        <v>2827</v>
      </c>
      <c r="J347" s="290">
        <v>2803</v>
      </c>
      <c r="K347" s="289">
        <v>2784</v>
      </c>
      <c r="L347" s="289"/>
      <c r="M347" s="289"/>
      <c r="N347" s="289"/>
      <c r="O347" s="289"/>
      <c r="P347" s="289"/>
      <c r="Q347" s="289"/>
      <c r="R347" s="289"/>
      <c r="S347" s="289"/>
    </row>
    <row r="348" spans="1:19" s="657" customFormat="1" ht="13">
      <c r="A348" s="755">
        <v>5432</v>
      </c>
      <c r="B348" s="756" t="s">
        <v>246</v>
      </c>
      <c r="C348" s="290">
        <v>941</v>
      </c>
      <c r="D348" s="290">
        <v>917</v>
      </c>
      <c r="E348" s="290">
        <v>888</v>
      </c>
      <c r="F348" s="290">
        <v>860</v>
      </c>
      <c r="G348" s="290">
        <v>859</v>
      </c>
      <c r="H348" s="290">
        <v>881</v>
      </c>
      <c r="I348" s="290">
        <v>898</v>
      </c>
      <c r="J348" s="290">
        <v>909</v>
      </c>
      <c r="K348" s="289">
        <v>919</v>
      </c>
      <c r="L348" s="289"/>
      <c r="M348" s="289"/>
      <c r="N348" s="289"/>
      <c r="O348" s="289"/>
      <c r="P348" s="289"/>
      <c r="Q348" s="289"/>
      <c r="R348" s="289"/>
      <c r="S348" s="289"/>
    </row>
    <row r="349" spans="1:19" s="657" customFormat="1" ht="13">
      <c r="A349" s="755">
        <v>5433</v>
      </c>
      <c r="B349" s="756" t="s">
        <v>247</v>
      </c>
      <c r="C349" s="290">
        <v>1022</v>
      </c>
      <c r="D349" s="290">
        <v>1045</v>
      </c>
      <c r="E349" s="290">
        <v>1005</v>
      </c>
      <c r="F349" s="290">
        <v>983</v>
      </c>
      <c r="G349" s="290">
        <v>964</v>
      </c>
      <c r="H349" s="290">
        <v>971</v>
      </c>
      <c r="I349" s="290">
        <v>980</v>
      </c>
      <c r="J349" s="290">
        <v>988</v>
      </c>
      <c r="K349" s="289">
        <v>998</v>
      </c>
      <c r="L349" s="289"/>
      <c r="M349" s="289"/>
      <c r="N349" s="289"/>
      <c r="O349" s="289"/>
      <c r="P349" s="289"/>
      <c r="Q349" s="289"/>
      <c r="R349" s="289"/>
      <c r="S349" s="289"/>
    </row>
    <row r="350" spans="1:19" s="657" customFormat="1" ht="13">
      <c r="A350" s="755">
        <v>5434</v>
      </c>
      <c r="B350" s="756" t="s">
        <v>249</v>
      </c>
      <c r="C350" s="290">
        <v>1231</v>
      </c>
      <c r="D350" s="290">
        <v>1235</v>
      </c>
      <c r="E350" s="290">
        <v>1225</v>
      </c>
      <c r="F350" s="290">
        <v>1197</v>
      </c>
      <c r="G350" s="290">
        <v>1162</v>
      </c>
      <c r="H350" s="290">
        <v>1181</v>
      </c>
      <c r="I350" s="290">
        <v>1193</v>
      </c>
      <c r="J350" s="290">
        <v>1199</v>
      </c>
      <c r="K350" s="289">
        <v>1206</v>
      </c>
      <c r="L350" s="289"/>
      <c r="M350" s="289"/>
      <c r="N350" s="289"/>
      <c r="O350" s="289"/>
      <c r="P350" s="289"/>
      <c r="Q350" s="289"/>
      <c r="R350" s="289"/>
      <c r="S350" s="289"/>
    </row>
    <row r="351" spans="1:19" s="657" customFormat="1" ht="13">
      <c r="A351" s="755">
        <v>5435</v>
      </c>
      <c r="B351" s="756" t="s">
        <v>250</v>
      </c>
      <c r="C351" s="290">
        <v>3239</v>
      </c>
      <c r="D351" s="290">
        <v>3218</v>
      </c>
      <c r="E351" s="290">
        <v>3162</v>
      </c>
      <c r="F351" s="290">
        <v>3075</v>
      </c>
      <c r="G351" s="290">
        <v>2947</v>
      </c>
      <c r="H351" s="290">
        <v>2920</v>
      </c>
      <c r="I351" s="290">
        <v>2896</v>
      </c>
      <c r="J351" s="290">
        <v>2874</v>
      </c>
      <c r="K351" s="289">
        <v>2859</v>
      </c>
      <c r="L351" s="289"/>
      <c r="M351" s="289"/>
      <c r="N351" s="289"/>
      <c r="O351" s="289"/>
      <c r="P351" s="289"/>
      <c r="Q351" s="289"/>
      <c r="R351" s="289"/>
      <c r="S351" s="289"/>
    </row>
    <row r="352" spans="1:19" s="657" customFormat="1" ht="13">
      <c r="A352" s="755">
        <v>5436</v>
      </c>
      <c r="B352" s="756" t="s">
        <v>251</v>
      </c>
      <c r="C352" s="290">
        <v>3964</v>
      </c>
      <c r="D352" s="290">
        <v>3944</v>
      </c>
      <c r="E352" s="290">
        <v>3998</v>
      </c>
      <c r="F352" s="290">
        <v>3921</v>
      </c>
      <c r="G352" s="290">
        <v>3904</v>
      </c>
      <c r="H352" s="290">
        <v>3887</v>
      </c>
      <c r="I352" s="290">
        <v>3870</v>
      </c>
      <c r="J352" s="290">
        <v>3853</v>
      </c>
      <c r="K352" s="289">
        <v>3840</v>
      </c>
      <c r="L352" s="289"/>
      <c r="M352" s="289"/>
      <c r="N352" s="289"/>
      <c r="O352" s="289"/>
      <c r="P352" s="289"/>
      <c r="Q352" s="289"/>
      <c r="R352" s="289"/>
      <c r="S352" s="289"/>
    </row>
    <row r="353" spans="1:19" s="657" customFormat="1" ht="13">
      <c r="A353" s="755">
        <v>5437</v>
      </c>
      <c r="B353" s="756" t="s">
        <v>252</v>
      </c>
      <c r="C353" s="290">
        <v>2701</v>
      </c>
      <c r="D353" s="290">
        <v>2673</v>
      </c>
      <c r="E353" s="290">
        <v>2628</v>
      </c>
      <c r="F353" s="290">
        <v>2641</v>
      </c>
      <c r="G353" s="290">
        <v>2584</v>
      </c>
      <c r="H353" s="290">
        <v>2554</v>
      </c>
      <c r="I353" s="290">
        <v>2529</v>
      </c>
      <c r="J353" s="290">
        <v>2506</v>
      </c>
      <c r="K353" s="289">
        <v>2489</v>
      </c>
      <c r="L353" s="289"/>
      <c r="M353" s="289"/>
      <c r="N353" s="289"/>
      <c r="O353" s="289"/>
      <c r="P353" s="289"/>
      <c r="Q353" s="289"/>
      <c r="R353" s="289"/>
      <c r="S353" s="289"/>
    </row>
    <row r="354" spans="1:19" s="657" customFormat="1" ht="13">
      <c r="A354" s="755">
        <v>5438</v>
      </c>
      <c r="B354" s="756" t="s">
        <v>253</v>
      </c>
      <c r="C354" s="290">
        <v>1349</v>
      </c>
      <c r="D354" s="290">
        <v>1328</v>
      </c>
      <c r="E354" s="290">
        <v>1290</v>
      </c>
      <c r="F354" s="290">
        <v>1271</v>
      </c>
      <c r="G354" s="290">
        <v>1221</v>
      </c>
      <c r="H354" s="290">
        <v>1225</v>
      </c>
      <c r="I354" s="290">
        <v>1226</v>
      </c>
      <c r="J354" s="290">
        <v>1225</v>
      </c>
      <c r="K354" s="289">
        <v>1226</v>
      </c>
      <c r="L354" s="289"/>
      <c r="M354" s="289"/>
      <c r="N354" s="289"/>
      <c r="O354" s="289"/>
      <c r="P354" s="289"/>
      <c r="Q354" s="289"/>
      <c r="R354" s="289"/>
      <c r="S354" s="289"/>
    </row>
    <row r="355" spans="1:19" s="657" customFormat="1" ht="13">
      <c r="A355" s="755">
        <v>5439</v>
      </c>
      <c r="B355" s="756" t="s">
        <v>254</v>
      </c>
      <c r="C355" s="290">
        <v>1153</v>
      </c>
      <c r="D355" s="290">
        <v>1169</v>
      </c>
      <c r="E355" s="290">
        <v>1132</v>
      </c>
      <c r="F355" s="290">
        <v>1097</v>
      </c>
      <c r="G355" s="290">
        <v>1057</v>
      </c>
      <c r="H355" s="290">
        <v>1078</v>
      </c>
      <c r="I355" s="290">
        <v>1096</v>
      </c>
      <c r="J355" s="290">
        <v>1109</v>
      </c>
      <c r="K355" s="289">
        <v>1123</v>
      </c>
      <c r="L355" s="289"/>
      <c r="M355" s="289"/>
      <c r="N355" s="289"/>
      <c r="O355" s="289"/>
      <c r="P355" s="289"/>
      <c r="Q355" s="289"/>
      <c r="R355" s="289"/>
      <c r="S355" s="289"/>
    </row>
    <row r="356" spans="1:19" s="657" customFormat="1" ht="13">
      <c r="A356" s="755">
        <v>5440</v>
      </c>
      <c r="B356" s="756" t="s">
        <v>255</v>
      </c>
      <c r="C356" s="290">
        <v>983</v>
      </c>
      <c r="D356" s="290">
        <v>981</v>
      </c>
      <c r="E356" s="290">
        <v>957</v>
      </c>
      <c r="F356" s="290">
        <v>928</v>
      </c>
      <c r="G356" s="290">
        <v>906</v>
      </c>
      <c r="H356" s="290">
        <v>907</v>
      </c>
      <c r="I356" s="290">
        <v>908</v>
      </c>
      <c r="J356" s="290">
        <v>907</v>
      </c>
      <c r="K356" s="289">
        <v>909</v>
      </c>
      <c r="L356" s="289"/>
      <c r="M356" s="289"/>
      <c r="N356" s="289"/>
      <c r="O356" s="289"/>
      <c r="P356" s="289"/>
      <c r="Q356" s="289"/>
      <c r="R356" s="289"/>
      <c r="S356" s="289"/>
    </row>
    <row r="357" spans="1:19" s="657" customFormat="1" ht="13">
      <c r="A357" s="755">
        <v>5441</v>
      </c>
      <c r="B357" s="756" t="s">
        <v>256</v>
      </c>
      <c r="C357" s="290">
        <v>2922</v>
      </c>
      <c r="D357" s="290">
        <v>2900</v>
      </c>
      <c r="E357" s="290">
        <v>2918</v>
      </c>
      <c r="F357" s="290">
        <v>2829</v>
      </c>
      <c r="G357" s="290">
        <v>2821</v>
      </c>
      <c r="H357" s="290">
        <v>2823</v>
      </c>
      <c r="I357" s="290">
        <v>2823</v>
      </c>
      <c r="J357" s="290">
        <v>2820</v>
      </c>
      <c r="K357" s="289">
        <v>2819</v>
      </c>
      <c r="L357" s="289"/>
      <c r="M357" s="289"/>
      <c r="N357" s="289"/>
      <c r="O357" s="289"/>
      <c r="P357" s="289"/>
      <c r="Q357" s="289"/>
      <c r="R357" s="289"/>
      <c r="S357" s="289"/>
    </row>
    <row r="358" spans="1:19" s="657" customFormat="1" ht="13">
      <c r="A358" s="755">
        <v>5442</v>
      </c>
      <c r="B358" s="756" t="s">
        <v>257</v>
      </c>
      <c r="C358" s="290">
        <v>944</v>
      </c>
      <c r="D358" s="290">
        <v>941</v>
      </c>
      <c r="E358" s="290">
        <v>926</v>
      </c>
      <c r="F358" s="290">
        <v>880</v>
      </c>
      <c r="G358" s="290">
        <v>854</v>
      </c>
      <c r="H358" s="290">
        <v>847</v>
      </c>
      <c r="I358" s="290">
        <v>843</v>
      </c>
      <c r="J358" s="290">
        <v>840</v>
      </c>
      <c r="K358" s="289">
        <v>840</v>
      </c>
      <c r="L358" s="289"/>
      <c r="M358" s="289"/>
      <c r="N358" s="289"/>
      <c r="O358" s="289"/>
      <c r="P358" s="289"/>
      <c r="Q358" s="289"/>
      <c r="R358" s="289"/>
      <c r="S358" s="289"/>
    </row>
    <row r="359" spans="1:19" s="657" customFormat="1" ht="13">
      <c r="A359" s="755">
        <v>5443</v>
      </c>
      <c r="B359" s="756" t="s">
        <v>258</v>
      </c>
      <c r="C359" s="290">
        <v>2263</v>
      </c>
      <c r="D359" s="290">
        <v>2270</v>
      </c>
      <c r="E359" s="290">
        <v>2221</v>
      </c>
      <c r="F359" s="290">
        <v>2200</v>
      </c>
      <c r="G359" s="290">
        <v>2165</v>
      </c>
      <c r="H359" s="290">
        <v>2180</v>
      </c>
      <c r="I359" s="290">
        <v>2184</v>
      </c>
      <c r="J359" s="290">
        <v>2180</v>
      </c>
      <c r="K359" s="289">
        <v>2176</v>
      </c>
      <c r="L359" s="289"/>
      <c r="M359" s="289"/>
      <c r="N359" s="289"/>
      <c r="O359" s="289"/>
      <c r="P359" s="289"/>
      <c r="Q359" s="289"/>
      <c r="R359" s="289"/>
      <c r="S359" s="289"/>
    </row>
    <row r="360" spans="1:19" s="657" customFormat="1" ht="13">
      <c r="A360" s="755">
        <v>5444</v>
      </c>
      <c r="B360" s="965" t="s">
        <v>260</v>
      </c>
      <c r="C360" s="290">
        <v>10171</v>
      </c>
      <c r="D360" s="290">
        <v>10156</v>
      </c>
      <c r="E360" s="290">
        <v>10158</v>
      </c>
      <c r="F360" s="290">
        <v>10103</v>
      </c>
      <c r="G360" s="290">
        <v>9925</v>
      </c>
      <c r="H360" s="290">
        <v>9909</v>
      </c>
      <c r="I360" s="290">
        <v>9885</v>
      </c>
      <c r="J360" s="290">
        <v>9850</v>
      </c>
      <c r="K360" s="289">
        <v>9833</v>
      </c>
      <c r="L360" s="289"/>
      <c r="M360" s="289"/>
      <c r="N360" s="289"/>
      <c r="O360" s="289"/>
      <c r="P360" s="289"/>
      <c r="Q360" s="289"/>
      <c r="R360" s="289"/>
      <c r="S360" s="289"/>
    </row>
    <row r="361" spans="1:19" ht="13">
      <c r="A361" s="1"/>
      <c r="B361" s="2"/>
    </row>
    <row r="362" spans="1:19" ht="13">
      <c r="A362" s="1"/>
      <c r="B362" s="2" t="s">
        <v>261</v>
      </c>
      <c r="C362" s="289">
        <f t="shared" ref="C362:K362" si="0">SUM(C5:C361)</f>
        <v>5295619</v>
      </c>
      <c r="D362" s="289">
        <f t="shared" si="0"/>
        <v>5328212</v>
      </c>
      <c r="E362" s="289">
        <f t="shared" si="0"/>
        <v>5367580</v>
      </c>
      <c r="F362" s="289">
        <f t="shared" si="0"/>
        <v>5391369</v>
      </c>
      <c r="G362" s="289">
        <f t="shared" si="0"/>
        <v>5425270</v>
      </c>
      <c r="H362" s="289">
        <f t="shared" si="0"/>
        <v>5474886</v>
      </c>
      <c r="I362" s="289">
        <f t="shared" si="0"/>
        <v>5511169</v>
      </c>
      <c r="J362" s="289">
        <f t="shared" si="0"/>
        <v>5534757</v>
      </c>
      <c r="K362" s="289">
        <f t="shared" si="0"/>
        <v>5558783</v>
      </c>
      <c r="L362" s="289"/>
      <c r="M362" s="289"/>
      <c r="N362" s="289"/>
    </row>
    <row r="363" spans="1:19" ht="13">
      <c r="C363" s="5"/>
      <c r="D363" s="289"/>
      <c r="E363" s="289"/>
      <c r="F363" s="289"/>
      <c r="G363" s="289"/>
      <c r="H363" s="289"/>
    </row>
    <row r="364" spans="1:19">
      <c r="C364" s="5"/>
      <c r="D364" s="5"/>
      <c r="E364" s="5"/>
      <c r="F364" s="5"/>
      <c r="G364" s="5"/>
      <c r="H364" s="5"/>
      <c r="I364" s="5"/>
      <c r="J364" s="5"/>
      <c r="K364" s="5"/>
      <c r="L364" s="5"/>
      <c r="M364" s="5"/>
      <c r="N364" s="5"/>
    </row>
    <row r="365" spans="1:19">
      <c r="G365" s="5"/>
      <c r="H365" s="5"/>
      <c r="I365" s="5"/>
      <c r="J365" s="5"/>
      <c r="K365" s="5"/>
      <c r="L365" s="5"/>
      <c r="M365" s="5"/>
      <c r="N365" s="5"/>
      <c r="O365" s="5"/>
      <c r="P365" s="5"/>
      <c r="Q365" s="5"/>
      <c r="R365" s="5"/>
      <c r="S365" s="5"/>
    </row>
  </sheetData>
  <sheetProtection sheet="1" objects="1" scenarios="1"/>
  <sortState xmlns:xlrd2="http://schemas.microsoft.com/office/spreadsheetml/2017/richdata2" ref="A5:X426">
    <sortCondition ref="A5:A426"/>
  </sortState>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77"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C1" activePane="topRight" state="frozen"/>
      <selection activeCell="J9" sqref="J9"/>
      <selection pane="topRight"/>
    </sheetView>
  </sheetViews>
  <sheetFormatPr baseColWidth="10" defaultColWidth="9.1796875" defaultRowHeight="13"/>
  <cols>
    <col min="1" max="1" width="29.26953125" style="37" customWidth="1"/>
    <col min="2" max="2" width="45.1796875" style="37" customWidth="1"/>
    <col min="3" max="3" width="12.453125" style="38" customWidth="1"/>
    <col min="4" max="4" width="11.7265625" style="38" customWidth="1"/>
    <col min="5" max="5" width="13" style="37" customWidth="1"/>
    <col min="6" max="6" width="13.81640625" style="37" customWidth="1"/>
    <col min="7" max="7" width="13.26953125" style="53" customWidth="1"/>
    <col min="8" max="8" width="12.453125" style="37" customWidth="1"/>
    <col min="9" max="15" width="12.81640625" style="37" customWidth="1"/>
    <col min="16" max="16" width="16.7265625" style="37" customWidth="1"/>
    <col min="17" max="17" width="14.81640625" style="37" customWidth="1"/>
    <col min="18" max="18" width="16.26953125" style="37" customWidth="1"/>
    <col min="19" max="16384" width="9.1796875" style="37"/>
  </cols>
  <sheetData>
    <row r="1" spans="1:25" ht="14">
      <c r="A1" s="34" t="str">
        <f>Gdata!C3</f>
        <v>HEIM (FRA 1.1.2020)</v>
      </c>
      <c r="B1" s="75" t="s">
        <v>719</v>
      </c>
      <c r="C1" s="1078">
        <f>+Gdata!B90</f>
        <v>2018</v>
      </c>
      <c r="D1" s="1078">
        <f>+Gdata!C90</f>
        <v>2019</v>
      </c>
      <c r="E1" s="1078">
        <f>+Gdata!D90</f>
        <v>2020</v>
      </c>
      <c r="F1" s="1078">
        <f>+Gdata!E90</f>
        <v>2021</v>
      </c>
      <c r="G1" s="1078">
        <f>+Gdata!F90</f>
        <v>2022</v>
      </c>
      <c r="H1" s="1078">
        <f>+Gdata!G90</f>
        <v>2023</v>
      </c>
      <c r="I1" s="779">
        <f>+Gdata!H90</f>
        <v>2024</v>
      </c>
      <c r="J1" s="779">
        <f>+Gdata!I90</f>
        <v>2025</v>
      </c>
      <c r="K1" s="779">
        <f>+Gdata!J90</f>
        <v>2026</v>
      </c>
      <c r="L1" s="389"/>
      <c r="M1" s="389"/>
      <c r="N1" s="389"/>
      <c r="O1" s="389"/>
      <c r="P1" s="389"/>
      <c r="Q1" s="389"/>
      <c r="R1" s="389"/>
      <c r="S1" s="389"/>
      <c r="T1" s="389"/>
      <c r="U1" s="389"/>
      <c r="V1" s="389"/>
      <c r="W1" s="389"/>
      <c r="X1" s="389"/>
      <c r="Y1" s="389"/>
    </row>
    <row r="2" spans="1:25" ht="18">
      <c r="A2" s="330" t="s">
        <v>1102</v>
      </c>
      <c r="B2" s="69"/>
      <c r="C2" s="241"/>
      <c r="D2" s="241"/>
      <c r="E2" s="241"/>
      <c r="F2" s="241"/>
      <c r="G2" s="241"/>
      <c r="H2" s="241"/>
      <c r="I2" s="241"/>
      <c r="J2" s="241"/>
      <c r="K2" s="241"/>
      <c r="L2" s="389"/>
      <c r="M2" s="389"/>
      <c r="N2" s="389"/>
      <c r="O2" s="389"/>
      <c r="P2" s="389"/>
      <c r="Q2" s="389"/>
      <c r="R2" s="389"/>
      <c r="S2" s="389"/>
      <c r="T2" s="389"/>
      <c r="U2" s="389"/>
      <c r="V2" s="389"/>
      <c r="W2" s="389"/>
      <c r="X2" s="389"/>
      <c r="Y2" s="389"/>
    </row>
    <row r="3" spans="1:25" ht="14">
      <c r="A3" s="163" t="s">
        <v>750</v>
      </c>
      <c r="B3" s="49"/>
      <c r="C3" s="241">
        <v>1710</v>
      </c>
      <c r="D3" s="241">
        <v>1758</v>
      </c>
      <c r="E3" s="241">
        <v>1812</v>
      </c>
      <c r="F3" s="241">
        <v>1861</v>
      </c>
      <c r="G3" s="241">
        <v>1861</v>
      </c>
      <c r="H3" s="241">
        <v>1930</v>
      </c>
      <c r="I3" s="586">
        <f t="shared" ref="I3:K6" si="0">H3</f>
        <v>1930</v>
      </c>
      <c r="J3" s="586">
        <f t="shared" si="0"/>
        <v>1930</v>
      </c>
      <c r="K3" s="586">
        <f t="shared" si="0"/>
        <v>1930</v>
      </c>
      <c r="L3" s="1006"/>
      <c r="M3" s="389"/>
      <c r="N3" s="389"/>
      <c r="O3" s="389"/>
      <c r="P3" s="389"/>
      <c r="Q3" s="389"/>
      <c r="R3" s="389"/>
      <c r="S3" s="389"/>
      <c r="T3" s="389"/>
      <c r="U3" s="389"/>
      <c r="V3" s="389"/>
      <c r="W3" s="389"/>
      <c r="X3" s="389"/>
      <c r="Y3" s="389"/>
    </row>
    <row r="4" spans="1:25" ht="14">
      <c r="A4" s="163" t="s">
        <v>751</v>
      </c>
      <c r="B4" s="49"/>
      <c r="C4" s="241">
        <v>3279</v>
      </c>
      <c r="D4" s="241">
        <v>3371</v>
      </c>
      <c r="E4" s="241">
        <v>3476</v>
      </c>
      <c r="F4" s="241">
        <v>3570</v>
      </c>
      <c r="G4" s="241">
        <v>3570</v>
      </c>
      <c r="H4" s="241">
        <v>3702</v>
      </c>
      <c r="I4" s="586">
        <f t="shared" si="0"/>
        <v>3702</v>
      </c>
      <c r="J4" s="586">
        <f t="shared" si="0"/>
        <v>3702</v>
      </c>
      <c r="K4" s="586">
        <f t="shared" si="0"/>
        <v>3702</v>
      </c>
      <c r="L4" s="1006"/>
      <c r="M4" s="389"/>
      <c r="N4" s="389"/>
      <c r="O4" s="389"/>
      <c r="P4" s="389"/>
      <c r="Q4" s="389"/>
      <c r="R4" s="389"/>
      <c r="S4" s="389"/>
      <c r="T4" s="389"/>
      <c r="U4" s="389"/>
      <c r="V4" s="389"/>
      <c r="W4" s="389"/>
      <c r="X4" s="389"/>
      <c r="Y4" s="389"/>
    </row>
    <row r="5" spans="1:25" ht="14">
      <c r="A5" s="163" t="s">
        <v>773</v>
      </c>
      <c r="B5" s="49"/>
      <c r="C5" s="241">
        <v>3864</v>
      </c>
      <c r="D5" s="241">
        <v>3972</v>
      </c>
      <c r="E5" s="241">
        <v>4095</v>
      </c>
      <c r="F5" s="241">
        <v>4206</v>
      </c>
      <c r="G5" s="241">
        <v>4206</v>
      </c>
      <c r="H5" s="241">
        <v>4362</v>
      </c>
      <c r="I5" s="586">
        <f t="shared" si="0"/>
        <v>4362</v>
      </c>
      <c r="J5" s="586">
        <f t="shared" si="0"/>
        <v>4362</v>
      </c>
      <c r="K5" s="586">
        <f t="shared" si="0"/>
        <v>4362</v>
      </c>
      <c r="L5" s="1006"/>
      <c r="M5" s="389"/>
      <c r="N5" s="389"/>
      <c r="O5" s="389"/>
      <c r="P5" s="389"/>
      <c r="Q5" s="389"/>
      <c r="R5" s="389"/>
      <c r="S5" s="389"/>
      <c r="T5" s="389"/>
      <c r="U5" s="389"/>
      <c r="V5" s="389"/>
      <c r="W5" s="389"/>
      <c r="X5" s="389"/>
      <c r="Y5" s="389"/>
    </row>
    <row r="6" spans="1:25" ht="14">
      <c r="A6" s="232" t="s">
        <v>752</v>
      </c>
      <c r="B6" s="49"/>
      <c r="C6" s="241">
        <v>8008</v>
      </c>
      <c r="D6" s="241">
        <v>8232</v>
      </c>
      <c r="E6" s="241">
        <v>8487</v>
      </c>
      <c r="F6" s="241">
        <v>8716</v>
      </c>
      <c r="G6" s="241">
        <v>8716</v>
      </c>
      <c r="H6" s="241">
        <v>9038</v>
      </c>
      <c r="I6" s="586">
        <f t="shared" si="0"/>
        <v>9038</v>
      </c>
      <c r="J6" s="586">
        <f t="shared" si="0"/>
        <v>9038</v>
      </c>
      <c r="K6" s="586">
        <f t="shared" si="0"/>
        <v>9038</v>
      </c>
      <c r="L6" s="1006"/>
      <c r="M6" s="389"/>
      <c r="N6" s="389"/>
      <c r="O6" s="389"/>
      <c r="P6" s="389"/>
      <c r="Q6" s="389"/>
      <c r="R6" s="389"/>
      <c r="S6" s="389"/>
      <c r="T6" s="389"/>
      <c r="U6" s="389"/>
      <c r="V6" s="389"/>
      <c r="W6" s="389"/>
      <c r="X6" s="389"/>
      <c r="Y6" s="389"/>
    </row>
    <row r="7" spans="1:25" ht="14">
      <c r="A7" s="164" t="s">
        <v>327</v>
      </c>
      <c r="B7" s="152"/>
      <c r="C7" s="242">
        <v>1710</v>
      </c>
      <c r="D7" s="242">
        <v>1758</v>
      </c>
      <c r="E7" s="242">
        <v>1812</v>
      </c>
      <c r="F7" s="242">
        <v>1861</v>
      </c>
      <c r="G7" s="242">
        <v>1861</v>
      </c>
      <c r="H7" s="242">
        <v>1930</v>
      </c>
      <c r="I7" s="587">
        <f t="shared" ref="I7:K7" si="1">+H7</f>
        <v>1930</v>
      </c>
      <c r="J7" s="587">
        <f t="shared" si="1"/>
        <v>1930</v>
      </c>
      <c r="K7" s="587">
        <f t="shared" si="1"/>
        <v>1930</v>
      </c>
      <c r="L7" s="1006"/>
      <c r="M7" s="389"/>
      <c r="N7" s="389"/>
      <c r="O7" s="389"/>
      <c r="P7" s="389"/>
      <c r="Q7" s="389"/>
      <c r="R7" s="389"/>
      <c r="S7" s="389"/>
      <c r="T7" s="389"/>
      <c r="U7" s="389"/>
      <c r="V7" s="389"/>
      <c r="W7" s="389"/>
      <c r="X7" s="389"/>
      <c r="Y7" s="389"/>
    </row>
    <row r="8" spans="1:25" ht="14">
      <c r="A8" s="601"/>
      <c r="B8" s="601"/>
      <c r="C8" s="36"/>
      <c r="D8" s="36"/>
      <c r="E8" s="36"/>
      <c r="F8" s="389"/>
      <c r="G8" s="389"/>
      <c r="H8" s="389"/>
      <c r="I8" s="504"/>
      <c r="J8" s="389"/>
      <c r="K8" s="389"/>
      <c r="L8" s="389"/>
      <c r="M8" s="389"/>
      <c r="N8" s="389"/>
      <c r="O8" s="389"/>
      <c r="P8" s="389"/>
      <c r="Q8" s="389"/>
      <c r="R8" s="389"/>
      <c r="S8" s="389"/>
      <c r="T8" s="389"/>
      <c r="U8" s="389"/>
      <c r="V8" s="389"/>
      <c r="W8" s="389"/>
      <c r="X8" s="389"/>
      <c r="Y8" s="389"/>
    </row>
    <row r="9" spans="1:25" ht="9.75" customHeight="1">
      <c r="A9" s="36"/>
      <c r="B9" s="36"/>
      <c r="C9" s="36"/>
      <c r="D9" s="36"/>
      <c r="E9" s="36"/>
      <c r="F9" s="389"/>
      <c r="G9" s="389"/>
      <c r="H9" s="389"/>
      <c r="I9" s="504"/>
      <c r="J9" s="389"/>
      <c r="K9" s="389"/>
      <c r="L9" s="389"/>
      <c r="M9" s="389"/>
      <c r="N9" s="389"/>
      <c r="O9" s="389"/>
      <c r="P9" s="389"/>
      <c r="Q9" s="389"/>
      <c r="R9" s="389"/>
      <c r="S9" s="389"/>
      <c r="T9" s="389"/>
      <c r="U9" s="389"/>
      <c r="V9" s="389"/>
      <c r="W9" s="389"/>
      <c r="X9" s="389"/>
      <c r="Y9" s="389"/>
    </row>
    <row r="10" spans="1:25" ht="14">
      <c r="A10" s="278" t="s">
        <v>697</v>
      </c>
      <c r="B10" s="278"/>
      <c r="C10" s="626">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626">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626">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626">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626">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626">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626">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626">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626">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389"/>
      <c r="M10" s="389"/>
      <c r="N10" s="389"/>
      <c r="O10" s="389"/>
      <c r="P10" s="389"/>
      <c r="Q10" s="389"/>
      <c r="R10" s="389"/>
      <c r="S10" s="389"/>
      <c r="T10" s="389"/>
      <c r="U10" s="389"/>
      <c r="V10" s="389"/>
      <c r="W10" s="389"/>
      <c r="X10" s="389"/>
      <c r="Y10" s="389"/>
    </row>
    <row r="11" spans="1:25" ht="14">
      <c r="A11" s="155" t="s">
        <v>117</v>
      </c>
      <c r="B11" s="154"/>
      <c r="C11" s="736" t="e">
        <f>ROUND((C10*C34/1000),0)</f>
        <v>#N/A</v>
      </c>
      <c r="D11" s="736" t="e">
        <f t="shared" ref="D11" si="2">ROUND((D10*D34/1000),0)</f>
        <v>#N/A</v>
      </c>
      <c r="E11" s="736">
        <f t="shared" ref="E11:K11" si="3">ROUND((E10*E34/1000),0)</f>
        <v>0</v>
      </c>
      <c r="F11" s="736">
        <f t="shared" si="3"/>
        <v>0</v>
      </c>
      <c r="G11" s="736">
        <f t="shared" si="3"/>
        <v>0</v>
      </c>
      <c r="H11" s="736">
        <f>ROUND((H10*H34/1000),0)</f>
        <v>0</v>
      </c>
      <c r="I11" s="736">
        <f t="shared" si="3"/>
        <v>0</v>
      </c>
      <c r="J11" s="736">
        <f t="shared" si="3"/>
        <v>0</v>
      </c>
      <c r="K11" s="736">
        <f t="shared" si="3"/>
        <v>0</v>
      </c>
      <c r="L11" s="389"/>
      <c r="M11" s="389"/>
      <c r="N11" s="389"/>
      <c r="O11" s="389"/>
      <c r="P11" s="389"/>
      <c r="Q11" s="389"/>
      <c r="R11" s="389"/>
      <c r="S11" s="389"/>
      <c r="T11" s="389"/>
      <c r="U11" s="389"/>
      <c r="V11" s="389"/>
      <c r="W11" s="389"/>
      <c r="X11" s="389"/>
      <c r="Y11" s="389"/>
    </row>
    <row r="12" spans="1:25">
      <c r="A12" s="305" t="s">
        <v>2560</v>
      </c>
      <c r="B12" s="305"/>
      <c r="C12" s="746" t="e">
        <f>VLOOKUP(Inngang!$C$8,'K18'!$A$4:$BS$425,38,FALSE)</f>
        <v>#N/A</v>
      </c>
      <c r="D12" s="746" t="e">
        <f>VLOOKUP(Inngang!$C$8,'K19'!$A$4:$BS$425,38,FALSE)</f>
        <v>#N/A</v>
      </c>
      <c r="E12" s="746">
        <f>VLOOKUP(Inngang!$C$8,'K20'!$A$4:$BS$431,38,FALSE)</f>
        <v>0</v>
      </c>
      <c r="F12" s="746">
        <f>VLOOKUP(Inngang!$C$8,'K21'!$A$4:$BS$427,38,FALSE)</f>
        <v>0</v>
      </c>
      <c r="G12" s="746">
        <f>VLOOKUP(Inngang!$C$8,'K22'!$A$4:$BS$425,38,FALSE)</f>
        <v>0</v>
      </c>
      <c r="H12" s="746">
        <f>VLOOKUP(Inngang!$C$8,'K23'!$A$4:$BS$425,38,FALSE)</f>
        <v>0</v>
      </c>
      <c r="I12" s="389"/>
      <c r="J12" s="389"/>
      <c r="K12" s="389"/>
      <c r="L12" s="389"/>
      <c r="M12" s="389"/>
      <c r="N12" s="389"/>
      <c r="O12" s="389"/>
      <c r="P12" s="389"/>
      <c r="Q12" s="389"/>
      <c r="R12" s="389"/>
      <c r="S12" s="389"/>
      <c r="T12" s="389"/>
      <c r="U12" s="389"/>
      <c r="V12" s="389"/>
      <c r="W12" s="389"/>
      <c r="X12" s="389"/>
      <c r="Y12" s="389"/>
    </row>
    <row r="13" spans="1:25" ht="14">
      <c r="A13" s="67"/>
      <c r="B13" s="67"/>
      <c r="C13" s="67"/>
      <c r="D13" s="233"/>
      <c r="E13" s="233"/>
      <c r="F13" s="389"/>
      <c r="G13" s="389"/>
      <c r="H13" s="389"/>
      <c r="I13" s="504"/>
      <c r="J13" s="504"/>
      <c r="K13" s="504"/>
      <c r="L13" s="389"/>
      <c r="M13" s="389"/>
      <c r="N13" s="389"/>
      <c r="O13" s="389"/>
      <c r="P13" s="389"/>
      <c r="Q13" s="389"/>
      <c r="R13" s="389"/>
      <c r="S13" s="389"/>
      <c r="T13" s="389"/>
      <c r="U13" s="389"/>
      <c r="V13" s="389"/>
      <c r="W13" s="389"/>
      <c r="X13" s="389"/>
      <c r="Y13" s="389"/>
    </row>
    <row r="14" spans="1:25" ht="20.5">
      <c r="A14" s="330" t="s">
        <v>11</v>
      </c>
      <c r="B14" s="44"/>
      <c r="C14" s="737" t="e">
        <f>VLOOKUP(Gdata!B3,'K18'!$A$4:$DG$425,42,FALSE)</f>
        <v>#N/A</v>
      </c>
      <c r="D14" s="737" t="e">
        <f>VLOOKUP(Gdata!B3,'K19'!$A$4:$DG$425,42,FALSE)</f>
        <v>#N/A</v>
      </c>
      <c r="E14" s="737">
        <f>VLOOKUP(Gdata!B3,'K20'!$A$4:$DG$431,42,FALSE)</f>
        <v>0</v>
      </c>
      <c r="F14" s="737">
        <f>VLOOKUP(Gdata!B3,'K21'!$A$4:$DN$427,42,FALSE)</f>
        <v>0</v>
      </c>
      <c r="G14" s="737">
        <f>VLOOKUP(Gdata!B3,'K22'!$A$4:$EA$425,42,FALSE)</f>
        <v>0</v>
      </c>
      <c r="H14" s="737">
        <f>VLOOKUP(Gdata!B3,'K23'!$A$4:$EA$425,42,FALSE)</f>
        <v>0</v>
      </c>
      <c r="I14" s="925">
        <f>I15*Gdata!G54/1000</f>
        <v>0</v>
      </c>
      <c r="J14" s="925">
        <f>J15*Gdata!H54/1000</f>
        <v>0</v>
      </c>
      <c r="K14" s="925">
        <f>K15*Gdata!I54/1000</f>
        <v>0</v>
      </c>
      <c r="L14" s="389"/>
      <c r="M14" s="389"/>
      <c r="N14" s="389"/>
      <c r="O14" s="389"/>
      <c r="P14" s="389"/>
      <c r="Q14" s="389"/>
      <c r="R14" s="389"/>
      <c r="S14" s="389"/>
      <c r="T14" s="389"/>
      <c r="U14" s="389"/>
      <c r="V14" s="389"/>
      <c r="W14" s="389"/>
      <c r="X14" s="389"/>
      <c r="Y14" s="389"/>
    </row>
    <row r="15" spans="1:25" ht="14.25" customHeight="1">
      <c r="A15" s="551" t="s">
        <v>1019</v>
      </c>
      <c r="B15" s="67"/>
      <c r="C15" s="67" t="e">
        <f t="shared" ref="C15:H15" si="4">C14*1000/C34</f>
        <v>#N/A</v>
      </c>
      <c r="D15" s="67" t="e">
        <f t="shared" si="4"/>
        <v>#N/A</v>
      </c>
      <c r="E15" s="67">
        <f t="shared" si="4"/>
        <v>0</v>
      </c>
      <c r="F15" s="1042">
        <f t="shared" si="4"/>
        <v>0</v>
      </c>
      <c r="G15" s="1042">
        <f t="shared" si="4"/>
        <v>0</v>
      </c>
      <c r="H15" s="1042">
        <f t="shared" si="4"/>
        <v>0</v>
      </c>
      <c r="I15" s="591">
        <f>H15</f>
        <v>0</v>
      </c>
      <c r="J15" s="591">
        <f>I15</f>
        <v>0</v>
      </c>
      <c r="K15" s="591">
        <f>J15</f>
        <v>0</v>
      </c>
      <c r="L15" s="389"/>
      <c r="M15" s="389"/>
      <c r="N15" s="389"/>
      <c r="O15" s="389"/>
      <c r="P15" s="389"/>
      <c r="Q15" s="389"/>
      <c r="R15" s="389"/>
      <c r="S15" s="389"/>
      <c r="T15" s="389"/>
      <c r="U15" s="389"/>
      <c r="V15" s="389"/>
      <c r="W15" s="389"/>
      <c r="X15" s="389"/>
      <c r="Y15" s="389"/>
    </row>
    <row r="16" spans="1:25" ht="20.5">
      <c r="A16" s="44" t="s">
        <v>1212</v>
      </c>
      <c r="B16" s="64"/>
      <c r="C16" s="1079">
        <f t="shared" ref="C16:G16" si="5">C1</f>
        <v>2018</v>
      </c>
      <c r="D16" s="1079">
        <f t="shared" si="5"/>
        <v>2019</v>
      </c>
      <c r="E16" s="1079">
        <f t="shared" si="5"/>
        <v>2020</v>
      </c>
      <c r="F16" s="1079">
        <f t="shared" si="5"/>
        <v>2021</v>
      </c>
      <c r="G16" s="1079">
        <f t="shared" si="5"/>
        <v>2022</v>
      </c>
      <c r="H16" s="1079">
        <f t="shared" ref="H16:K16" si="6">H1</f>
        <v>2023</v>
      </c>
      <c r="I16" s="153">
        <f t="shared" si="6"/>
        <v>2024</v>
      </c>
      <c r="J16" s="153">
        <f t="shared" si="6"/>
        <v>2025</v>
      </c>
      <c r="K16" s="153">
        <f t="shared" si="6"/>
        <v>2026</v>
      </c>
      <c r="L16" s="389"/>
      <c r="M16" s="389"/>
      <c r="N16" s="389"/>
      <c r="O16" s="389"/>
      <c r="P16" s="389"/>
      <c r="Q16" s="389"/>
      <c r="R16" s="389"/>
      <c r="S16" s="389"/>
      <c r="T16" s="389"/>
      <c r="U16" s="389"/>
      <c r="V16" s="389"/>
      <c r="W16" s="389"/>
      <c r="X16" s="389"/>
      <c r="Y16" s="389"/>
    </row>
    <row r="17" spans="1:25" ht="14">
      <c r="A17" s="279" t="s">
        <v>1104</v>
      </c>
      <c r="B17" s="280"/>
      <c r="C17" s="739" t="e">
        <f t="shared" ref="C17:G17" si="7">C41/100</f>
        <v>#N/A</v>
      </c>
      <c r="D17" s="739" t="e">
        <f t="shared" si="7"/>
        <v>#N/A</v>
      </c>
      <c r="E17" s="739">
        <f t="shared" si="7"/>
        <v>0.80923606351404842</v>
      </c>
      <c r="F17" s="739">
        <f t="shared" si="7"/>
        <v>0.82952599197287347</v>
      </c>
      <c r="G17" s="739">
        <f t="shared" si="7"/>
        <v>0.84296925261681321</v>
      </c>
      <c r="H17" s="739">
        <f t="shared" ref="H17:K17" si="8">H41/100</f>
        <v>0.83872818936924276</v>
      </c>
      <c r="I17" s="1080">
        <f t="shared" si="8"/>
        <v>0.82859726627574137</v>
      </c>
      <c r="J17" s="1080">
        <f t="shared" si="8"/>
        <v>0.82693779173594995</v>
      </c>
      <c r="K17" s="1080">
        <f t="shared" si="8"/>
        <v>0.84577816611202894</v>
      </c>
      <c r="L17" s="389"/>
      <c r="M17" s="389"/>
      <c r="N17" s="389"/>
      <c r="O17" s="389"/>
      <c r="P17" s="389"/>
      <c r="Q17" s="389"/>
      <c r="R17" s="389"/>
      <c r="S17" s="389"/>
      <c r="T17" s="389"/>
      <c r="U17" s="389"/>
      <c r="V17" s="389"/>
      <c r="W17" s="389"/>
      <c r="X17" s="389"/>
      <c r="Y17" s="389"/>
    </row>
    <row r="18" spans="1:25" ht="15.5">
      <c r="A18" s="279" t="s">
        <v>287</v>
      </c>
      <c r="B18" s="280"/>
      <c r="C18" s="660" t="str">
        <f t="shared" ref="C18:H18" si="9">+C43</f>
        <v/>
      </c>
      <c r="D18" s="660" t="str">
        <f t="shared" si="9"/>
        <v/>
      </c>
      <c r="E18" s="660">
        <f t="shared" si="9"/>
        <v>27</v>
      </c>
      <c r="F18" s="660">
        <f t="shared" si="9"/>
        <v>27</v>
      </c>
      <c r="G18" s="660">
        <f t="shared" si="9"/>
        <v>27</v>
      </c>
      <c r="H18" s="660">
        <f t="shared" si="9"/>
        <v>27</v>
      </c>
      <c r="I18" s="319"/>
      <c r="J18" s="319"/>
      <c r="K18" s="319"/>
      <c r="L18" s="389"/>
      <c r="M18" s="389"/>
      <c r="N18" s="389"/>
      <c r="O18" s="389"/>
      <c r="P18" s="389"/>
      <c r="Q18" s="389"/>
      <c r="R18" s="389"/>
      <c r="S18" s="389"/>
      <c r="T18" s="389"/>
      <c r="U18" s="389"/>
      <c r="V18" s="389"/>
      <c r="W18" s="389"/>
      <c r="X18" s="389"/>
      <c r="Y18" s="389"/>
    </row>
    <row r="19" spans="1:25" ht="25.5">
      <c r="A19" s="279" t="s">
        <v>1377</v>
      </c>
      <c r="B19" s="280"/>
      <c r="C19" s="738"/>
      <c r="D19" s="738"/>
      <c r="E19" s="738"/>
      <c r="F19" s="738"/>
      <c r="G19" s="738"/>
      <c r="H19" s="738"/>
      <c r="I19" s="586"/>
      <c r="J19" s="586"/>
      <c r="K19" s="586"/>
      <c r="L19" s="276" t="s">
        <v>1133</v>
      </c>
      <c r="M19" s="389"/>
      <c r="N19" s="389"/>
      <c r="O19" s="389"/>
      <c r="P19" s="389"/>
      <c r="Q19" s="389"/>
      <c r="R19" s="389"/>
      <c r="S19" s="389"/>
      <c r="T19" s="389"/>
      <c r="U19" s="389"/>
      <c r="V19" s="389"/>
      <c r="W19" s="389"/>
      <c r="X19" s="389"/>
      <c r="Y19" s="389"/>
    </row>
    <row r="20" spans="1:25" ht="14">
      <c r="A20" s="279" t="s">
        <v>1127</v>
      </c>
      <c r="B20" s="280"/>
      <c r="C20" s="503">
        <v>5543</v>
      </c>
      <c r="D20" s="503">
        <v>5698</v>
      </c>
      <c r="E20" s="503">
        <v>5875</v>
      </c>
      <c r="F20" s="503">
        <v>6034</v>
      </c>
      <c r="G20" s="503">
        <v>6034</v>
      </c>
      <c r="H20" s="503">
        <v>6257</v>
      </c>
      <c r="I20" s="586">
        <f t="shared" ref="I20:K20" si="10">+H20</f>
        <v>6257</v>
      </c>
      <c r="J20" s="586">
        <f t="shared" si="10"/>
        <v>6257</v>
      </c>
      <c r="K20" s="586">
        <f t="shared" si="10"/>
        <v>6257</v>
      </c>
      <c r="L20" s="722">
        <v>1</v>
      </c>
      <c r="M20" s="389"/>
      <c r="N20" s="1006"/>
      <c r="O20" s="389"/>
      <c r="P20" s="389"/>
      <c r="Q20" s="389"/>
      <c r="R20" s="389"/>
      <c r="S20" s="389"/>
      <c r="T20" s="389"/>
      <c r="U20" s="389"/>
      <c r="V20" s="389"/>
      <c r="W20" s="389"/>
      <c r="X20" s="389"/>
      <c r="Y20" s="389"/>
    </row>
    <row r="21" spans="1:25" ht="14">
      <c r="A21" s="279" t="s">
        <v>1128</v>
      </c>
      <c r="B21" s="280"/>
      <c r="C21" s="503">
        <v>4990</v>
      </c>
      <c r="D21" s="503">
        <v>5130</v>
      </c>
      <c r="E21" s="503">
        <v>5289</v>
      </c>
      <c r="F21" s="503">
        <v>5432</v>
      </c>
      <c r="G21" s="503">
        <v>5432</v>
      </c>
      <c r="H21" s="503">
        <v>5633</v>
      </c>
      <c r="I21" s="586">
        <f t="shared" ref="I21:K21" si="11">+H21</f>
        <v>5633</v>
      </c>
      <c r="J21" s="586">
        <f t="shared" si="11"/>
        <v>5633</v>
      </c>
      <c r="K21" s="586">
        <f t="shared" si="11"/>
        <v>5633</v>
      </c>
      <c r="L21" s="722">
        <v>0.9</v>
      </c>
      <c r="M21" s="389"/>
      <c r="N21" s="1006"/>
      <c r="O21" s="389"/>
      <c r="P21" s="389"/>
      <c r="Q21" s="389"/>
      <c r="R21" s="389"/>
      <c r="S21" s="389"/>
      <c r="T21" s="389"/>
      <c r="U21" s="389"/>
      <c r="V21" s="389"/>
      <c r="W21" s="389"/>
      <c r="X21" s="389"/>
      <c r="Y21" s="389"/>
    </row>
    <row r="22" spans="1:25" ht="14">
      <c r="A22" s="279" t="s">
        <v>1129</v>
      </c>
      <c r="B22" s="280"/>
      <c r="C22" s="503">
        <v>4435</v>
      </c>
      <c r="D22" s="503">
        <v>4559</v>
      </c>
      <c r="E22" s="503">
        <v>4700</v>
      </c>
      <c r="F22" s="503">
        <v>4827</v>
      </c>
      <c r="G22" s="503">
        <v>4827</v>
      </c>
      <c r="H22" s="503">
        <v>5006</v>
      </c>
      <c r="I22" s="586">
        <f t="shared" ref="I22:K22" si="12">+H22</f>
        <v>5006</v>
      </c>
      <c r="J22" s="586">
        <f t="shared" si="12"/>
        <v>5006</v>
      </c>
      <c r="K22" s="586">
        <f t="shared" si="12"/>
        <v>5006</v>
      </c>
      <c r="L22" s="722">
        <v>0.8</v>
      </c>
      <c r="M22" s="389"/>
      <c r="N22" s="1006"/>
      <c r="O22" s="389"/>
      <c r="P22" s="389"/>
      <c r="Q22" s="389"/>
      <c r="R22" s="389"/>
      <c r="S22" s="389"/>
      <c r="T22" s="389"/>
      <c r="U22" s="389"/>
      <c r="V22" s="389"/>
      <c r="W22" s="389"/>
      <c r="X22" s="389"/>
      <c r="Y22" s="389"/>
    </row>
    <row r="23" spans="1:25" ht="14">
      <c r="A23" s="279" t="s">
        <v>1130</v>
      </c>
      <c r="B23" s="280"/>
      <c r="C23" s="503">
        <v>3881</v>
      </c>
      <c r="D23" s="503">
        <v>3990</v>
      </c>
      <c r="E23" s="503">
        <v>4114</v>
      </c>
      <c r="F23" s="503">
        <v>4225</v>
      </c>
      <c r="G23" s="503">
        <v>4225</v>
      </c>
      <c r="H23" s="503">
        <v>4381</v>
      </c>
      <c r="I23" s="586">
        <f t="shared" ref="I23:K23" si="13">+H23</f>
        <v>4381</v>
      </c>
      <c r="J23" s="586">
        <f t="shared" si="13"/>
        <v>4381</v>
      </c>
      <c r="K23" s="586">
        <f t="shared" si="13"/>
        <v>4381</v>
      </c>
      <c r="L23" s="722">
        <v>0.7</v>
      </c>
      <c r="M23" s="389"/>
      <c r="N23" s="1006"/>
      <c r="O23" s="389"/>
      <c r="P23" s="389"/>
      <c r="Q23" s="389"/>
      <c r="R23" s="389"/>
      <c r="S23" s="389"/>
      <c r="T23" s="389"/>
      <c r="U23" s="389"/>
      <c r="V23" s="389"/>
      <c r="W23" s="389"/>
      <c r="X23" s="389"/>
      <c r="Y23" s="389"/>
    </row>
    <row r="24" spans="1:25" ht="14">
      <c r="A24" s="279" t="s">
        <v>1131</v>
      </c>
      <c r="B24" s="280"/>
      <c r="C24" s="503">
        <v>3326</v>
      </c>
      <c r="D24" s="503">
        <v>3419</v>
      </c>
      <c r="E24" s="503">
        <v>3525</v>
      </c>
      <c r="F24" s="503">
        <v>3620</v>
      </c>
      <c r="G24" s="503">
        <v>3620</v>
      </c>
      <c r="H24" s="503">
        <v>3754</v>
      </c>
      <c r="I24" s="586">
        <f t="shared" ref="I24:K24" si="14">+H24</f>
        <v>3754</v>
      </c>
      <c r="J24" s="586">
        <f t="shared" si="14"/>
        <v>3754</v>
      </c>
      <c r="K24" s="586">
        <f t="shared" si="14"/>
        <v>3754</v>
      </c>
      <c r="L24" s="722">
        <v>0.6</v>
      </c>
      <c r="M24" s="389"/>
      <c r="N24" s="1006"/>
      <c r="O24" s="389"/>
      <c r="P24" s="389"/>
      <c r="Q24" s="389"/>
      <c r="R24" s="389"/>
      <c r="S24" s="389"/>
      <c r="T24" s="389"/>
      <c r="U24" s="389"/>
      <c r="V24" s="389"/>
      <c r="W24" s="389"/>
      <c r="X24" s="389"/>
      <c r="Y24" s="389"/>
    </row>
    <row r="25" spans="1:25" ht="14">
      <c r="A25" s="279" t="s">
        <v>1132</v>
      </c>
      <c r="B25" s="280"/>
      <c r="C25" s="503">
        <v>2772</v>
      </c>
      <c r="D25" s="503">
        <v>2850</v>
      </c>
      <c r="E25" s="503">
        <v>2938</v>
      </c>
      <c r="F25" s="503">
        <v>3017</v>
      </c>
      <c r="G25" s="503">
        <v>3017</v>
      </c>
      <c r="H25" s="503">
        <v>3129</v>
      </c>
      <c r="I25" s="586">
        <f t="shared" ref="I25:K25" si="15">+H25</f>
        <v>3129</v>
      </c>
      <c r="J25" s="586">
        <f t="shared" si="15"/>
        <v>3129</v>
      </c>
      <c r="K25" s="586">
        <f t="shared" si="15"/>
        <v>3129</v>
      </c>
      <c r="L25" s="722">
        <v>0.5</v>
      </c>
      <c r="M25" s="389"/>
      <c r="N25" s="1006"/>
      <c r="O25" s="389"/>
      <c r="P25" s="389"/>
      <c r="Q25" s="389"/>
      <c r="R25" s="389"/>
      <c r="S25" s="389"/>
      <c r="T25" s="389"/>
      <c r="U25" s="389"/>
      <c r="V25" s="389"/>
      <c r="W25" s="389"/>
      <c r="X25" s="389"/>
      <c r="Y25" s="389"/>
    </row>
    <row r="26" spans="1:25" ht="14">
      <c r="A26" s="279" t="s">
        <v>1012</v>
      </c>
      <c r="B26" s="280"/>
      <c r="C26" s="503"/>
      <c r="D26" s="503"/>
      <c r="E26" s="503"/>
      <c r="F26" s="503"/>
      <c r="G26" s="503"/>
      <c r="H26" s="503"/>
      <c r="I26" s="586"/>
      <c r="J26" s="586"/>
      <c r="K26" s="586"/>
      <c r="L26" s="389"/>
      <c r="M26" s="389"/>
      <c r="N26" s="1006"/>
      <c r="O26" s="389"/>
      <c r="P26" s="389"/>
      <c r="Q26" s="389"/>
      <c r="R26" s="389"/>
      <c r="S26" s="389"/>
      <c r="T26" s="389"/>
      <c r="U26" s="389"/>
      <c r="V26" s="389"/>
      <c r="W26" s="389"/>
      <c r="X26" s="389"/>
      <c r="Y26" s="389"/>
    </row>
    <row r="27" spans="1:25" ht="14">
      <c r="A27" s="279" t="s">
        <v>1127</v>
      </c>
      <c r="B27" s="280"/>
      <c r="C27" s="503">
        <v>12005</v>
      </c>
      <c r="D27" s="503">
        <v>12341</v>
      </c>
      <c r="E27" s="503">
        <v>12724</v>
      </c>
      <c r="F27" s="503">
        <v>13068</v>
      </c>
      <c r="G27" s="503">
        <v>13068</v>
      </c>
      <c r="H27" s="503">
        <v>13552</v>
      </c>
      <c r="I27" s="586">
        <f t="shared" ref="I27:K27" si="16">+H27</f>
        <v>13552</v>
      </c>
      <c r="J27" s="586">
        <f t="shared" si="16"/>
        <v>13552</v>
      </c>
      <c r="K27" s="586">
        <f t="shared" si="16"/>
        <v>13552</v>
      </c>
      <c r="L27" s="722">
        <v>1</v>
      </c>
      <c r="M27" s="389"/>
      <c r="N27" s="1006"/>
      <c r="O27" s="389"/>
      <c r="P27" s="389"/>
      <c r="Q27" s="389"/>
      <c r="R27" s="389"/>
      <c r="S27" s="389"/>
      <c r="T27" s="389"/>
      <c r="U27" s="389"/>
      <c r="V27" s="389"/>
      <c r="W27" s="389"/>
      <c r="X27" s="389"/>
      <c r="Y27" s="389"/>
    </row>
    <row r="28" spans="1:25" ht="14">
      <c r="A28" s="279" t="s">
        <v>1128</v>
      </c>
      <c r="B28" s="280"/>
      <c r="C28" s="503">
        <v>10804</v>
      </c>
      <c r="D28" s="503">
        <v>11107</v>
      </c>
      <c r="E28" s="503">
        <v>11451</v>
      </c>
      <c r="F28" s="503">
        <v>11760</v>
      </c>
      <c r="G28" s="503">
        <v>11760</v>
      </c>
      <c r="H28" s="503">
        <v>12195</v>
      </c>
      <c r="I28" s="586">
        <f t="shared" ref="I28:K28" si="17">+H28</f>
        <v>12195</v>
      </c>
      <c r="J28" s="586">
        <f t="shared" si="17"/>
        <v>12195</v>
      </c>
      <c r="K28" s="586">
        <f t="shared" si="17"/>
        <v>12195</v>
      </c>
      <c r="L28" s="722">
        <v>0.9</v>
      </c>
      <c r="M28" s="389"/>
      <c r="N28" s="1006"/>
      <c r="O28" s="389"/>
      <c r="P28" s="389"/>
      <c r="Q28" s="389"/>
      <c r="R28" s="389"/>
      <c r="S28" s="389"/>
      <c r="T28" s="389"/>
      <c r="U28" s="389"/>
      <c r="V28" s="389"/>
      <c r="W28" s="389"/>
      <c r="X28" s="389"/>
      <c r="Y28" s="389"/>
    </row>
    <row r="29" spans="1:25" ht="14">
      <c r="A29" s="279" t="s">
        <v>1129</v>
      </c>
      <c r="B29" s="280"/>
      <c r="C29" s="503">
        <v>9605</v>
      </c>
      <c r="D29" s="503">
        <v>9874</v>
      </c>
      <c r="E29" s="503">
        <v>10180</v>
      </c>
      <c r="F29" s="503">
        <v>10455</v>
      </c>
      <c r="G29" s="503">
        <v>10455</v>
      </c>
      <c r="H29" s="503">
        <v>10842</v>
      </c>
      <c r="I29" s="586">
        <f t="shared" ref="I29:K29" si="18">+H29</f>
        <v>10842</v>
      </c>
      <c r="J29" s="586">
        <f t="shared" si="18"/>
        <v>10842</v>
      </c>
      <c r="K29" s="586">
        <f t="shared" si="18"/>
        <v>10842</v>
      </c>
      <c r="L29" s="722">
        <v>0.8</v>
      </c>
      <c r="M29" s="389"/>
      <c r="N29" s="1006"/>
      <c r="O29" s="389"/>
      <c r="P29" s="389"/>
      <c r="Q29" s="389"/>
      <c r="R29" s="389"/>
      <c r="S29" s="389"/>
      <c r="T29" s="389"/>
      <c r="U29" s="389"/>
      <c r="V29" s="389"/>
      <c r="W29" s="389"/>
      <c r="X29" s="389"/>
      <c r="Y29" s="389"/>
    </row>
    <row r="30" spans="1:25" ht="14">
      <c r="A30" s="279" t="s">
        <v>1130</v>
      </c>
      <c r="B30" s="280"/>
      <c r="C30" s="503">
        <v>8404</v>
      </c>
      <c r="D30" s="503">
        <v>8639</v>
      </c>
      <c r="E30" s="503">
        <v>8907</v>
      </c>
      <c r="F30" s="503">
        <v>9147</v>
      </c>
      <c r="G30" s="503">
        <v>9147</v>
      </c>
      <c r="H30" s="503">
        <v>9485</v>
      </c>
      <c r="I30" s="586">
        <f t="shared" ref="I30:K30" si="19">+H30</f>
        <v>9485</v>
      </c>
      <c r="J30" s="586">
        <f t="shared" si="19"/>
        <v>9485</v>
      </c>
      <c r="K30" s="586">
        <f t="shared" si="19"/>
        <v>9485</v>
      </c>
      <c r="L30" s="722">
        <v>0.7</v>
      </c>
      <c r="M30" s="389"/>
      <c r="N30" s="1006"/>
      <c r="O30" s="389"/>
      <c r="P30" s="389"/>
      <c r="Q30" s="389"/>
      <c r="R30" s="389"/>
      <c r="S30" s="389"/>
      <c r="T30" s="389"/>
      <c r="U30" s="389"/>
      <c r="V30" s="389"/>
      <c r="W30" s="389"/>
      <c r="X30" s="389"/>
      <c r="Y30" s="389"/>
    </row>
    <row r="31" spans="1:25" ht="14">
      <c r="A31" s="279" t="s">
        <v>1131</v>
      </c>
      <c r="B31" s="280"/>
      <c r="C31" s="503">
        <v>7203</v>
      </c>
      <c r="D31" s="503">
        <v>7405</v>
      </c>
      <c r="E31" s="503">
        <v>7635</v>
      </c>
      <c r="F31" s="503">
        <v>7841</v>
      </c>
      <c r="G31" s="503">
        <v>7841</v>
      </c>
      <c r="H31" s="503">
        <v>8131</v>
      </c>
      <c r="I31" s="586">
        <f t="shared" ref="I31:K31" si="20">+H31</f>
        <v>8131</v>
      </c>
      <c r="J31" s="586">
        <f t="shared" si="20"/>
        <v>8131</v>
      </c>
      <c r="K31" s="586">
        <f t="shared" si="20"/>
        <v>8131</v>
      </c>
      <c r="L31" s="722">
        <v>0.6</v>
      </c>
      <c r="M31" s="389"/>
      <c r="N31" s="1006"/>
      <c r="O31" s="389"/>
      <c r="P31" s="389"/>
      <c r="Q31" s="389"/>
      <c r="R31" s="389"/>
      <c r="S31" s="389"/>
      <c r="T31" s="389"/>
      <c r="U31" s="389"/>
      <c r="V31" s="389"/>
      <c r="W31" s="389"/>
      <c r="X31" s="389"/>
      <c r="Y31" s="389"/>
    </row>
    <row r="32" spans="1:25" ht="14">
      <c r="A32" s="279" t="s">
        <v>1132</v>
      </c>
      <c r="B32" s="280"/>
      <c r="C32" s="503">
        <v>6003</v>
      </c>
      <c r="D32" s="503">
        <v>6171</v>
      </c>
      <c r="E32" s="503">
        <v>6362</v>
      </c>
      <c r="F32" s="503">
        <v>6534</v>
      </c>
      <c r="G32" s="503">
        <v>6534</v>
      </c>
      <c r="H32" s="503">
        <v>6776</v>
      </c>
      <c r="I32" s="586">
        <f t="shared" ref="I32:K32" si="21">+H32</f>
        <v>6776</v>
      </c>
      <c r="J32" s="586">
        <f t="shared" si="21"/>
        <v>6776</v>
      </c>
      <c r="K32" s="586">
        <f t="shared" si="21"/>
        <v>6776</v>
      </c>
      <c r="L32" s="722">
        <v>0.5</v>
      </c>
      <c r="M32" s="389"/>
      <c r="N32" s="1006"/>
      <c r="O32" s="389"/>
      <c r="P32" s="389"/>
      <c r="Q32" s="389"/>
      <c r="R32" s="389"/>
      <c r="S32" s="389"/>
      <c r="T32" s="389"/>
      <c r="U32" s="389"/>
      <c r="V32" s="389"/>
      <c r="W32" s="389"/>
      <c r="X32" s="389"/>
      <c r="Y32" s="389"/>
    </row>
    <row r="33" spans="1:25" ht="7.5" customHeight="1">
      <c r="A33" s="279"/>
      <c r="B33" s="280"/>
      <c r="C33" s="504"/>
      <c r="D33" s="504"/>
      <c r="E33" s="504"/>
      <c r="F33" s="504"/>
      <c r="G33" s="504"/>
      <c r="H33" s="504"/>
      <c r="I33" s="586"/>
      <c r="J33" s="586"/>
      <c r="K33" s="586"/>
      <c r="L33" s="389"/>
      <c r="M33" s="389"/>
      <c r="N33" s="389"/>
      <c r="O33" s="389"/>
      <c r="P33" s="389"/>
      <c r="Q33" s="389"/>
      <c r="R33" s="389"/>
      <c r="S33" s="389"/>
      <c r="T33" s="389"/>
      <c r="U33" s="389"/>
      <c r="V33" s="389"/>
      <c r="W33" s="389"/>
      <c r="X33" s="389"/>
      <c r="Y33" s="389"/>
    </row>
    <row r="34" spans="1:25" ht="14">
      <c r="A34" s="521" t="s">
        <v>1003</v>
      </c>
      <c r="B34" s="67"/>
      <c r="C34" s="507" t="e">
        <f>G110</f>
        <v>#N/A</v>
      </c>
      <c r="D34" s="507" t="e">
        <f>+H127</f>
        <v>#N/A</v>
      </c>
      <c r="E34" s="507">
        <f>+I144</f>
        <v>6010</v>
      </c>
      <c r="F34" s="507">
        <f>+J161</f>
        <v>5963</v>
      </c>
      <c r="G34" s="507">
        <f>+K178</f>
        <v>5941</v>
      </c>
      <c r="H34" s="507">
        <f>+L178</f>
        <v>5884</v>
      </c>
      <c r="I34" s="1007">
        <f t="shared" ref="I34:K34" si="22">+M178</f>
        <v>5839</v>
      </c>
      <c r="J34" s="1007">
        <f t="shared" si="22"/>
        <v>5839</v>
      </c>
      <c r="K34" s="1007">
        <f t="shared" si="22"/>
        <v>5839</v>
      </c>
      <c r="L34" s="389"/>
      <c r="M34" s="389"/>
      <c r="N34" s="389"/>
      <c r="O34" s="389"/>
      <c r="P34" s="389"/>
      <c r="Q34" s="389"/>
      <c r="R34" s="389"/>
      <c r="S34" s="389"/>
      <c r="T34" s="389"/>
      <c r="U34" s="389"/>
      <c r="V34" s="389"/>
      <c r="W34" s="389"/>
      <c r="X34" s="389"/>
      <c r="Y34" s="389"/>
    </row>
    <row r="35" spans="1:25" ht="14">
      <c r="A35" s="161" t="s">
        <v>9</v>
      </c>
      <c r="B35" s="67"/>
      <c r="C35" s="504"/>
      <c r="D35" s="504"/>
      <c r="E35" s="504"/>
      <c r="F35" s="504"/>
      <c r="G35" s="504"/>
      <c r="H35" s="504"/>
      <c r="I35" s="504"/>
      <c r="J35" s="504"/>
      <c r="K35" s="504"/>
      <c r="L35" s="389"/>
      <c r="M35" s="389"/>
      <c r="N35" s="389"/>
      <c r="O35" s="389"/>
      <c r="P35" s="389"/>
      <c r="Q35" s="389"/>
      <c r="R35" s="389"/>
      <c r="S35" s="389"/>
      <c r="T35" s="389"/>
      <c r="U35" s="389"/>
      <c r="V35" s="389"/>
      <c r="W35" s="389"/>
      <c r="X35" s="389"/>
      <c r="Y35" s="389"/>
    </row>
    <row r="36" spans="1:25" ht="14">
      <c r="A36" s="155" t="s">
        <v>1378</v>
      </c>
      <c r="B36" s="154"/>
      <c r="C36" s="33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33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33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331">
        <f>IF(Inngang!$C$8&lt;=5422,IF(AND(Inngang!$C$8&gt;=5404,Inngang!$C$8&lt;=5406),0,IF(AND(AND(F34&lt;3200,F17&lt;=1.2,$E18&lt;36)),F$20,IF(AND(AND(F34&lt;3200,F17&lt;=1.2,$E18&lt;39)),F$21,IF(AND(AND(F34&lt;3200,F17&lt;=1.2,$E18&lt;42)),F$22,IF(AND(AND(F34&lt;3200,F17&lt;=1.2,$E18&lt;45)),F$23,IF(AND(AND(F34&lt;3200,F17&lt;=1.2,$E18&lt;47)),F$24,IF(AND(AND(F34&lt;3200,F17&lt;=1.2,$E18&gt;=47)),F$25,FALSE))))))),0)+IF(Inngang!$C$8&gt;5422,IF(AND(AND(F34&lt;3200,F17&lt;=1.2,$E18&lt;36)),F$27,IF(AND(AND(F34&lt;3200,F17&lt;=1.2,$E18&lt;39)),F$28,IF(AND(AND(F34&lt;3200,F17&lt;=1.2,$E18&lt;42)),F$29,IF(AND(AND(F34&lt;3200,F17&lt;=1.2,$E18&lt;45)),F$30,IF(AND(AND(F34&lt;3200,F17&lt;=1.2,$E18&lt;47)),F$31,IF(AND(AND(F34&lt;3200,F17&lt;=1.2,$E18&gt;=47)),F$32,FALSE)))))),0)+IF(AND(Inngang!$C$8&gt;=5404,Inngang!$C$8&lt;=5406),IF(AND(AND(F34&lt;3200,F17&lt;=1.2,$E18&lt;36)),F$27,IF(AND(AND(F34&lt;3200,F17&lt;=1.2,$E18&lt;39)),F$28,IF(AND(AND(F34&lt;3200,F17&lt;=1.2,$E18&lt;42)),F$29,IF(AND(AND(F34&lt;3200,F17&lt;=1.2,$E18&lt;45)),F$30,IF(AND(AND(F34&lt;3200,F17&lt;=1.2,$E18&lt;47)),F$31,IF(AND(AND(F34&lt;3200,F17&lt;=1.2,$E18&gt;=47)),F$32,FALSE)))))),0)</f>
        <v>0</v>
      </c>
      <c r="G36" s="331">
        <f>IF(Inngang!$C$8&lt;=5422,IF(AND(Inngang!$C$8&gt;=5404,Inngang!$C$8&lt;=5406),0,IF(AND(AND(G34&lt;3200,G17&lt;=1.2,$E18&lt;36)),G$20,IF(AND(AND(G34&lt;3200,G17&lt;=1.2,$E18&lt;39)),G$21,IF(AND(AND(G34&lt;3200,G17&lt;=1.2,$E18&lt;42)),G$22,IF(AND(AND(G34&lt;3200,G17&lt;=1.2,$E18&lt;45)),G$23,IF(AND(AND(G34&lt;3200,G17&lt;=1.2,$E18&lt;47)),G$24,IF(AND(AND(G34&lt;3200,G17&lt;=1.2,$E18&gt;=47)),G$25,FALSE))))))),0)+IF(Inngang!$C$8&gt;5422,IF(AND(AND(G34&lt;3200,G17&lt;=1.2,$E18&lt;36)),G$27,IF(AND(AND(G34&lt;3200,G17&lt;=1.2,$E18&lt;39)),G$28,IF(AND(AND(G34&lt;3200,G17&lt;=1.2,$E18&lt;42)),G$29,IF(AND(AND(G34&lt;3200,G17&lt;=1.2,$E18&lt;45)),G$30,IF(AND(AND(G34&lt;3200,G17&lt;=1.2,$E18&lt;47)),G$31,IF(AND(AND(G34&lt;3200,G17&lt;=1.2,$E18&gt;=47)),G$32,FALSE)))))),0)+IF(AND(Inngang!$C$8&gt;=5404,Inngang!$C$8&lt;=5406),IF(AND(AND(G34&lt;3200,G17&lt;=1.2,$E18&lt;36)),G$27,IF(AND(AND(G34&lt;3200,G17&lt;=1.2,$E18&lt;39)),G$28,IF(AND(AND(G34&lt;3200,G17&lt;=1.2,$E18&lt;42)),G$29,IF(AND(AND(G34&lt;3200,G17&lt;=1.2,$E18&lt;45)),G$30,IF(AND(AND(G34&lt;3200,G17&lt;=1.2,$E18&lt;47)),G$31,IF(AND(AND(G34&lt;3200,G17&lt;=1.2,$E18&gt;=47)),G$32,FALSE)))))),0)</f>
        <v>0</v>
      </c>
      <c r="H36" s="331">
        <f>IF(Inngang!$C$8&lt;=5422,IF(AND(Inngang!$C$8&gt;=5404,Inngang!$C$8&lt;=5406),0,IF(AND(AND(H34&lt;3200,H17&lt;=1.2,$E18&lt;36)),H$20,IF(AND(AND(H34&lt;3200,H17&lt;=1.2,$E18&lt;39)),H$21,IF(AND(AND(H34&lt;3200,H17&lt;=1.2,$E18&lt;42)),H$22,IF(AND(AND(H34&lt;3200,H17&lt;=1.2,$E18&lt;45)),H$23,IF(AND(AND(H34&lt;3200,H17&lt;=1.2,$E18&lt;47)),H$24,IF(AND(AND(H34&lt;3200,H17&lt;=1.2,$E18&gt;=47)),H$25,FALSE))))))),0)+IF(Inngang!$C$8&gt;5422,IF(AND(AND(H34&lt;3200,H17&lt;=1.2,$E18&lt;36)),H$27,IF(AND(AND(H34&lt;3200,H17&lt;=1.2,$E18&lt;39)),H$28,IF(AND(AND(H34&lt;3200,H17&lt;=1.2,$E18&lt;42)),H$29,IF(AND(AND(H34&lt;3200,H17&lt;=1.2,$E18&lt;45)),H$30,IF(AND(AND(H34&lt;3200,H17&lt;=1.2,$E18&lt;47)),H$31,IF(AND(AND(H34&lt;3200,H17&lt;=1.2,$E18&gt;=47)),H$32,FALSE)))))),0)+IF(AND(Inngang!$C$8&gt;=5404,Inngang!$C$8&lt;=5406),IF(AND(AND(H34&lt;3200,H17&lt;=1.2,$E18&lt;36)),H$27,IF(AND(AND(H34&lt;3200,H17&lt;=1.2,$E18&lt;39)),H$28,IF(AND(AND(H34&lt;3200,H17&lt;=1.2,$E18&lt;42)),H$29,IF(AND(AND(H34&lt;3200,H17&lt;=1.2,$E18&lt;45)),H$30,IF(AND(AND(H34&lt;3200,H17&lt;=1.2,$E18&lt;47)),H$31,IF(AND(AND(H34&lt;3200,H17&lt;=1.2,$E18&gt;=47)),H$32,FALSE)))))),0)</f>
        <v>0</v>
      </c>
      <c r="I36" s="331">
        <f>IF(Inngang!$C$8&lt;=5422,IF(AND(Inngang!$C$8&gt;=5404,Inngang!$C$8&lt;=5406),0,IF(AND(AND(I34&lt;3200,I17&lt;=1.2,$E18&lt;36)),I$20,IF(AND(AND(I34&lt;3200,I17&lt;=1.2,$E18&lt;39)),I$21,IF(AND(AND(I34&lt;3200,I17&lt;=1.2,$E18&lt;42)),I$22,IF(AND(AND(I34&lt;3200,I17&lt;=1.2,$E18&lt;45)),I$23,IF(AND(AND(I34&lt;3200,I17&lt;=1.2,$E18&lt;47)),I$24,IF(AND(AND(I34&lt;3200,I17&lt;=1.2,$E18&gt;=47)),I$25,FALSE))))))),0)+IF(Inngang!$C$8&gt;5422,IF(AND(AND(I34&lt;3200,I17&lt;=1.2,$E18&lt;36)),I$27,IF(AND(AND(I34&lt;3200,I17&lt;=1.2,$E18&lt;39)),I$28,IF(AND(AND(I34&lt;3200,I17&lt;=1.2,$E18&lt;42)),I$29,IF(AND(AND(I34&lt;3200,I17&lt;=1.2,$E18&lt;45)),I$30,IF(AND(AND(I34&lt;3200,I17&lt;=1.2,$E18&lt;47)),I$31,IF(AND(AND(I34&lt;3200,I17&lt;=1.2,$E18&gt;=47)),I$32,FALSE)))))),0)+IF(AND(Inngang!$C$8&gt;=5404,Inngang!$C$8&lt;=5406),IF(AND(AND(I34&lt;3200,I17&lt;=1.2,$E18&lt;36)),I$27,IF(AND(AND(I34&lt;3200,I17&lt;=1.2,$E18&lt;39)),I$28,IF(AND(AND(I34&lt;3200,I17&lt;=1.2,$E18&lt;42)),I$29,IF(AND(AND(I34&lt;3200,I17&lt;=1.2,$E18&lt;45)),I$30,IF(AND(AND(I34&lt;3200,I17&lt;=1.2,$E18&lt;47)),I$31,IF(AND(AND(I34&lt;3200,I17&lt;=1.2,$E18&gt;=47)),I$32,FALSE)))))),0)</f>
        <v>0</v>
      </c>
      <c r="J36" s="331">
        <f>IF(Inngang!$C$8&lt;=5422,IF(AND(Inngang!$C$8&gt;=5404,Inngang!$C$8&lt;=5406),0,IF(AND(AND(J34&lt;3200,J17&lt;=1.2,$E18&lt;36)),J$20,IF(AND(AND(J34&lt;3200,J17&lt;=1.2,$E18&lt;39)),J$21,IF(AND(AND(J34&lt;3200,J17&lt;=1.2,$E18&lt;42)),J$22,IF(AND(AND(J34&lt;3200,J17&lt;=1.2,$E18&lt;45)),J$23,IF(AND(AND(J34&lt;3200,J17&lt;=1.2,$E18&lt;47)),J$24,IF(AND(AND(J34&lt;3200,J17&lt;=1.2,$E18&gt;=47)),J$25,FALSE))))))),0)+IF(Inngang!$C$8&gt;5422,IF(AND(AND(J34&lt;3200,J17&lt;=1.2,$E18&lt;36)),J$27,IF(AND(AND(J34&lt;3200,J17&lt;=1.2,$E18&lt;39)),J$28,IF(AND(AND(J34&lt;3200,J17&lt;=1.2,$E18&lt;42)),J$29,IF(AND(AND(J34&lt;3200,J17&lt;=1.2,$E18&lt;45)),J$30,IF(AND(AND(J34&lt;3200,J17&lt;=1.2,$E18&lt;47)),J$31,IF(AND(AND(J34&lt;3200,J17&lt;=1.2,$E18&gt;=47)),J$32,FALSE)))))),0)+IF(AND(Inngang!$C$8&gt;=5404,Inngang!$C$8&lt;=5406),IF(AND(AND(J34&lt;3200,J17&lt;=1.2,$E18&lt;36)),J$27,IF(AND(AND(J34&lt;3200,J17&lt;=1.2,$E18&lt;39)),J$28,IF(AND(AND(J34&lt;3200,J17&lt;=1.2,$E18&lt;42)),J$29,IF(AND(AND(J34&lt;3200,J17&lt;=1.2,$E18&lt;45)),J$30,IF(AND(AND(J34&lt;3200,J17&lt;=1.2,$E18&lt;47)),J$31,IF(AND(AND(J34&lt;3200,J17&lt;=1.2,$E18&gt;=47)),J$32,FALSE)))))),0)</f>
        <v>0</v>
      </c>
      <c r="K36" s="331">
        <f>IF(Inngang!$C$8&lt;=5422,IF(AND(Inngang!$C$8&gt;=5404,Inngang!$C$8&lt;=5406),0,IF(AND(AND(K34&lt;3200,K17&lt;=1.2,$E18&lt;36)),K$20,IF(AND(AND(K34&lt;3200,K17&lt;=1.2,$E18&lt;39)),K$21,IF(AND(AND(K34&lt;3200,K17&lt;=1.2,$E18&lt;42)),K$22,IF(AND(AND(K34&lt;3200,K17&lt;=1.2,$E18&lt;45)),K$23,IF(AND(AND(K34&lt;3200,K17&lt;=1.2,$E18&lt;47)),K$24,IF(AND(AND(K34&lt;3200,K17&lt;=1.2,$E18&gt;=47)),K$25,FALSE))))))),0)+IF(Inngang!$C$8&gt;5422,IF(AND(AND(K34&lt;3200,K17&lt;=1.2,$E18&lt;36)),K$27,IF(AND(AND(K34&lt;3200,K17&lt;=1.2,$E18&lt;39)),K$28,IF(AND(AND(K34&lt;3200,K17&lt;=1.2,$E18&lt;42)),K$29,IF(AND(AND(K34&lt;3200,K17&lt;=1.2,$E18&lt;45)),K$30,IF(AND(AND(K34&lt;3200,K17&lt;=1.2,$E18&lt;47)),K$31,IF(AND(AND(K34&lt;3200,K17&lt;=1.2,$E18&gt;=47)),K$32,FALSE)))))),0)+IF(AND(Inngang!$C$8&gt;=5404,Inngang!$C$8&lt;=5406),IF(AND(AND(K34&lt;3200,K17&lt;=1.2,$E18&lt;36)),K$27,IF(AND(AND(K34&lt;3200,K17&lt;=1.2,$E18&lt;39)),K$28,IF(AND(AND(K34&lt;3200,K17&lt;=1.2,$E18&lt;42)),K$29,IF(AND(AND(K34&lt;3200,K17&lt;=1.2,$E18&lt;45)),K$30,IF(AND(AND(K34&lt;3200,K17&lt;=1.2,$E18&lt;47)),K$31,IF(AND(AND(K34&lt;3200,K17&lt;=1.2,$E18&gt;=47)),K$32,FALSE)))))),0)</f>
        <v>0</v>
      </c>
      <c r="L36" s="389"/>
      <c r="M36" s="389"/>
      <c r="N36" s="389"/>
      <c r="O36" s="389"/>
      <c r="P36" s="389"/>
      <c r="Q36" s="389"/>
      <c r="R36" s="389"/>
      <c r="S36" s="389"/>
      <c r="T36" s="389"/>
      <c r="U36" s="389"/>
      <c r="V36" s="389"/>
      <c r="W36" s="389"/>
      <c r="X36" s="389"/>
      <c r="Y36" s="389"/>
    </row>
    <row r="37" spans="1:25" ht="14">
      <c r="A37" s="305" t="s">
        <v>2560</v>
      </c>
      <c r="B37" s="157"/>
      <c r="C37" s="503" t="e">
        <f>(VLOOKUP(Gdata!$B$3,'K18'!$A$4:$BB$425,54,FALSE))</f>
        <v>#N/A</v>
      </c>
      <c r="D37" s="503" t="e">
        <f>(VLOOKUP(Gdata!$B$3,'K19'!$A$4:$BB$425,54,FALSE))</f>
        <v>#N/A</v>
      </c>
      <c r="E37" s="503">
        <f>(VLOOKUP(Gdata!$B$3,'K20'!$A$4:$BB$431,54,FALSE))</f>
        <v>0</v>
      </c>
      <c r="F37" s="503">
        <f>(VLOOKUP(Gdata!$B$3,'K21'!$A$4:$BB$427,54,FALSE))</f>
        <v>0</v>
      </c>
      <c r="G37" s="503">
        <f>(VLOOKUP(Gdata!$B$3,'K22'!$A$4:$BB$425,54,FALSE))</f>
        <v>0</v>
      </c>
      <c r="H37" s="503">
        <f>(VLOOKUP(Gdata!$B$3,'K23'!$A$4:$BB$425,54,FALSE))</f>
        <v>0</v>
      </c>
      <c r="I37" s="243"/>
      <c r="J37" s="243"/>
      <c r="K37" s="243"/>
      <c r="L37" s="389"/>
      <c r="M37" s="389"/>
      <c r="N37" s="389"/>
      <c r="O37" s="389"/>
      <c r="P37" s="389"/>
      <c r="Q37" s="389"/>
      <c r="R37" s="389"/>
      <c r="S37" s="389"/>
      <c r="T37" s="389"/>
      <c r="U37" s="389"/>
      <c r="V37" s="389"/>
      <c r="W37" s="389"/>
      <c r="X37" s="389"/>
      <c r="Y37" s="389"/>
    </row>
    <row r="38" spans="1:25" ht="14">
      <c r="A38" s="162"/>
      <c r="B38" s="67"/>
      <c r="C38" s="233"/>
      <c r="D38" s="233"/>
      <c r="E38" s="233"/>
      <c r="F38" s="504"/>
      <c r="G38" s="504"/>
      <c r="H38" s="504"/>
      <c r="I38" s="504"/>
      <c r="J38" s="504"/>
      <c r="K38" s="504"/>
      <c r="L38" s="389"/>
      <c r="M38" s="389"/>
      <c r="N38" s="389"/>
      <c r="O38" s="389"/>
      <c r="P38" s="389"/>
      <c r="Q38" s="389"/>
      <c r="R38" s="389"/>
      <c r="S38" s="389"/>
      <c r="T38" s="389"/>
      <c r="U38" s="389"/>
      <c r="V38" s="389"/>
      <c r="W38" s="389"/>
      <c r="X38" s="389"/>
      <c r="Y38" s="389"/>
    </row>
    <row r="39" spans="1:25" ht="7.5" customHeight="1">
      <c r="B39" s="50"/>
      <c r="C39" s="50"/>
      <c r="D39" s="50"/>
      <c r="E39" s="50"/>
      <c r="F39" s="501"/>
      <c r="G39" s="501"/>
      <c r="H39" s="504"/>
      <c r="I39" s="504"/>
      <c r="J39" s="504"/>
      <c r="K39" s="504"/>
      <c r="L39" s="389"/>
      <c r="M39" s="389"/>
      <c r="N39" s="389"/>
      <c r="O39" s="389"/>
      <c r="P39" s="389"/>
      <c r="Q39" s="389"/>
      <c r="R39" s="389"/>
      <c r="S39" s="389"/>
      <c r="T39" s="389"/>
      <c r="U39" s="389"/>
      <c r="V39" s="389"/>
      <c r="W39" s="389"/>
      <c r="X39" s="389"/>
      <c r="Y39" s="389"/>
    </row>
    <row r="40" spans="1:25" ht="20">
      <c r="A40" s="68" t="s">
        <v>328</v>
      </c>
      <c r="B40" s="64"/>
      <c r="C40" s="1084">
        <f t="shared" ref="C40" si="23">C16</f>
        <v>2018</v>
      </c>
      <c r="D40" s="1084">
        <f t="shared" ref="D40:K40" si="24">D16</f>
        <v>2019</v>
      </c>
      <c r="E40" s="1084">
        <f t="shared" si="24"/>
        <v>2020</v>
      </c>
      <c r="F40" s="1084">
        <f t="shared" si="24"/>
        <v>2021</v>
      </c>
      <c r="G40" s="1084">
        <f t="shared" si="24"/>
        <v>2022</v>
      </c>
      <c r="H40" s="1084">
        <f t="shared" si="24"/>
        <v>2023</v>
      </c>
      <c r="I40" s="277">
        <f t="shared" si="24"/>
        <v>2024</v>
      </c>
      <c r="J40" s="277">
        <f t="shared" si="24"/>
        <v>2025</v>
      </c>
      <c r="K40" s="277">
        <f t="shared" si="24"/>
        <v>2026</v>
      </c>
      <c r="L40" s="389"/>
      <c r="M40" s="389"/>
      <c r="N40" s="389"/>
      <c r="O40" s="389"/>
      <c r="P40" s="389"/>
      <c r="Q40" s="389"/>
      <c r="R40" s="389"/>
      <c r="S40" s="389"/>
      <c r="T40" s="389"/>
      <c r="U40" s="389"/>
      <c r="V40" s="389"/>
      <c r="W40" s="389"/>
      <c r="X40" s="389"/>
      <c r="Y40" s="389"/>
    </row>
    <row r="41" spans="1:25" ht="14">
      <c r="A41" s="305" t="s">
        <v>1104</v>
      </c>
      <c r="B41" s="157"/>
      <c r="C41" s="593" t="e">
        <f>D107</f>
        <v>#N/A</v>
      </c>
      <c r="D41" s="593" t="e">
        <f>E124</f>
        <v>#N/A</v>
      </c>
      <c r="E41" s="593">
        <f>+F141</f>
        <v>80.923606351404842</v>
      </c>
      <c r="F41" s="593">
        <f>G158</f>
        <v>82.952599197287341</v>
      </c>
      <c r="G41" s="593">
        <f>H175</f>
        <v>84.296925261681324</v>
      </c>
      <c r="H41" s="593">
        <f t="shared" ref="H41:K41" si="25">I175</f>
        <v>83.872818936924276</v>
      </c>
      <c r="I41" s="1012">
        <f t="shared" si="25"/>
        <v>82.859726627574133</v>
      </c>
      <c r="J41" s="1012">
        <f t="shared" si="25"/>
        <v>82.69377917359499</v>
      </c>
      <c r="K41" s="1012">
        <f t="shared" si="25"/>
        <v>84.577816611202891</v>
      </c>
      <c r="L41" s="389"/>
      <c r="M41" s="389"/>
      <c r="N41" s="389"/>
      <c r="O41" s="389"/>
      <c r="P41" s="389"/>
      <c r="Q41" s="389"/>
      <c r="R41" s="389"/>
      <c r="S41" s="389"/>
      <c r="T41" s="389"/>
      <c r="U41" s="389"/>
      <c r="V41" s="389"/>
      <c r="W41" s="389"/>
      <c r="X41" s="389"/>
      <c r="Y41" s="389"/>
    </row>
    <row r="42" spans="1:25" ht="15.5">
      <c r="A42" s="158" t="s">
        <v>348</v>
      </c>
      <c r="B42" s="159"/>
      <c r="C42" s="368"/>
      <c r="D42" s="368"/>
      <c r="E42" s="368"/>
      <c r="F42" s="368"/>
      <c r="G42" s="368"/>
      <c r="H42" s="368"/>
      <c r="I42" s="614"/>
      <c r="J42" s="614"/>
      <c r="K42" s="614"/>
      <c r="L42" s="389"/>
      <c r="M42" s="389"/>
      <c r="N42" s="389"/>
      <c r="O42" s="389"/>
      <c r="P42" s="389"/>
      <c r="Q42" s="389"/>
      <c r="R42" s="389"/>
      <c r="S42" s="389"/>
      <c r="T42" s="389"/>
      <c r="U42" s="389"/>
      <c r="V42" s="389"/>
      <c r="W42" s="389"/>
      <c r="X42" s="389"/>
      <c r="Y42" s="389"/>
    </row>
    <row r="43" spans="1:25" ht="15" customHeight="1">
      <c r="A43" s="668" t="s">
        <v>287</v>
      </c>
      <c r="B43" s="159"/>
      <c r="C43" s="660" t="str">
        <f>IF(VLOOKUP(Gdata!$B$3,'K1'!$A$4:$BS$489,7,FALSE)="","",VLOOKUP(Gdata!$B$3,'K1'!$A$4:$BS$489,7,FALSE))</f>
        <v/>
      </c>
      <c r="D43" s="660" t="str">
        <f>IF(VLOOKUP(Gdata!$B$3,'K1'!$A$4:$BS$489,8,FALSE)="","",VLOOKUP(Gdata!$B$3,'K1'!$A$4:$BS$489,8,FALSE))</f>
        <v/>
      </c>
      <c r="E43" s="660">
        <f>IF(VLOOKUP(Gdata!$B$3,'K1'!$A$4:$BS$489,9,FALSE)="","",VLOOKUP(Gdata!$B$3,'K1'!$A$4:$BS$489,9,FALSE))</f>
        <v>27</v>
      </c>
      <c r="F43" s="660">
        <f>IF(VLOOKUP(Gdata!$B$3,'K1'!$A$4:$BS$489,10,FALSE)="","",VLOOKUP(Gdata!$B$3,'K1'!$A$4:$BS$489,10,FALSE))</f>
        <v>27</v>
      </c>
      <c r="G43" s="660">
        <f>IF(VLOOKUP(Gdata!$B$3,'K1'!$A$4:$BS$489,11,FALSE)="","",VLOOKUP(Gdata!$B$3,'K1'!$A$4:$BS$489,11,FALSE))</f>
        <v>27</v>
      </c>
      <c r="H43" s="660">
        <f>IF(VLOOKUP(Gdata!$B$3,'K1'!$A$4:$BS$489,12,FALSE)="","",VLOOKUP(Gdata!$B$3,'K1'!$A$4:$BS$489,12,FALSE))</f>
        <v>27</v>
      </c>
      <c r="I43" s="614"/>
      <c r="J43" s="614"/>
      <c r="K43" s="614"/>
      <c r="L43" s="389"/>
      <c r="M43" s="389"/>
      <c r="N43" s="389"/>
      <c r="O43" s="389"/>
      <c r="P43" s="389"/>
      <c r="Q43" s="389"/>
      <c r="R43" s="389"/>
      <c r="S43" s="389"/>
      <c r="T43" s="389"/>
      <c r="U43" s="389"/>
      <c r="V43" s="389"/>
      <c r="W43" s="389"/>
      <c r="X43" s="389"/>
      <c r="Y43" s="389"/>
    </row>
    <row r="44" spans="1:25" ht="27" customHeight="1">
      <c r="A44" s="891" t="s">
        <v>1810</v>
      </c>
      <c r="B44" s="159"/>
      <c r="C44" s="747" t="str">
        <f t="shared" ref="C44:H44" si="26">IF(C43="","",IF(C43&lt;36,1,IF(C43&lt;39,2,IF(C43&lt;42,3,IF(C43&lt;45,4,IF(C43&lt;47,5,0))))))</f>
        <v/>
      </c>
      <c r="D44" s="747" t="str">
        <f t="shared" si="26"/>
        <v/>
      </c>
      <c r="E44" s="747">
        <f t="shared" si="26"/>
        <v>1</v>
      </c>
      <c r="F44" s="747">
        <f t="shared" si="26"/>
        <v>1</v>
      </c>
      <c r="G44" s="747">
        <f t="shared" si="26"/>
        <v>1</v>
      </c>
      <c r="H44" s="747">
        <f t="shared" si="26"/>
        <v>1</v>
      </c>
      <c r="I44" s="614"/>
      <c r="J44" s="614"/>
      <c r="K44" s="614"/>
      <c r="L44" s="389"/>
      <c r="M44" s="389"/>
      <c r="N44" s="389"/>
      <c r="O44" s="389"/>
      <c r="P44" s="389"/>
      <c r="Q44" s="389"/>
      <c r="R44" s="389"/>
      <c r="S44" s="389"/>
      <c r="T44" s="389"/>
      <c r="U44" s="389"/>
      <c r="V44" s="389"/>
      <c r="W44" s="389"/>
      <c r="X44" s="389"/>
      <c r="Y44" s="389"/>
    </row>
    <row r="45" spans="1:25" ht="14">
      <c r="A45" s="51" t="s">
        <v>291</v>
      </c>
      <c r="B45" s="51"/>
      <c r="C45" s="504" t="str">
        <f>IF($C$44="","",IF($C$44=1,C$58,IF($C$44=2,C$59,IF($C$44=3,C$60,IF($C$44=4,C$61,IF($C$44=5,C$62,IF($C$44=0,C$63,0)))))))</f>
        <v/>
      </c>
      <c r="D45" s="504" t="str">
        <f>IF($D$44="","",IF($D$44=1,D$58,IF($D$44=2,D$59,IF($D$44=3,D$60,IF($D$44=4,D$61,IF($D$44=5,D$62,IF($D$44=0,D$63,0)))))))</f>
        <v/>
      </c>
      <c r="E45" s="504">
        <f>IF($E$44=1,E$58,IF($E$44=2,E$59,IF($E$44=3,E$60,IF($E$44=4,E$61,IF($E$44=5,E$62,IF($E$44=0,E$63,0))))))</f>
        <v>1152</v>
      </c>
      <c r="F45" s="504">
        <f>IF($F$44=1,F$58,IF($F$44=2,F$59,IF($F$44=3,F$60,IF($F$44=4,F$61,IF($F$44=5,F$62,IF($F$44=0,F$63,0))))))</f>
        <v>1183</v>
      </c>
      <c r="G45" s="504">
        <f t="shared" ref="G45" si="27">IF($F$44=1,G$58,IF($F$44=2,G$59,IF($F$44=3,G$60,IF($F$44=4,G$61,IF($F$44=5,G$62,IF($F$44=0,G$63,0))))))</f>
        <v>1183</v>
      </c>
      <c r="H45" s="504">
        <f>IF($H$44=1,H$58,IF($H$44=2,H$59,IF($H$44=3,H$60,IF($H$44=4,H$61,IF($H$44=5,H$62,IF($H$44=0,H$63,0))))))</f>
        <v>1227</v>
      </c>
      <c r="I45" s="318">
        <f>IF($H$44=1,I$58,IF($H$44=2,I$59,IF($H$44=3,I$60,IF($H$44=4,I$61,IF($H$44=5,I$62,IF($H$44=0,I$63,0))))))</f>
        <v>1227</v>
      </c>
      <c r="J45" s="318">
        <f>IF($H$44=1,J$58,IF($H$44=2,J$59,IF($H$44=3,J$60,IF($H$44=4,J$61,IF($H$44=5,J$62,IF($H$44=0,J$63,0))))))</f>
        <v>1227</v>
      </c>
      <c r="K45" s="318">
        <f>IF($H$44=1,K$58,IF($H$44=2,K$59,IF($H$44=3,K$60,IF($H$44=4,K$61,IF($H$44=5,K$62,IF($H$44=0,K$63,0))))))</f>
        <v>1227</v>
      </c>
      <c r="L45" s="389"/>
      <c r="M45" s="389"/>
      <c r="N45" s="389"/>
      <c r="O45" s="389"/>
      <c r="P45" s="389"/>
      <c r="Q45" s="389"/>
      <c r="R45" s="389"/>
      <c r="S45" s="389"/>
      <c r="T45" s="389"/>
      <c r="U45" s="389"/>
      <c r="V45" s="389"/>
      <c r="W45" s="389"/>
      <c r="X45" s="389"/>
      <c r="Y45" s="389"/>
    </row>
    <row r="46" spans="1:25" ht="14">
      <c r="A46" s="51" t="s">
        <v>292</v>
      </c>
      <c r="B46" s="51"/>
      <c r="C46" s="504" t="str">
        <f>IF($C$44="","",IF($C$44=1,C$65,IF($C$44=2,C$66,IF($C$44=3,C$67,IF($C$44=4,C$68,IF($C$44=5,C$69,IF($C$44=0,C$70,0)))))))</f>
        <v/>
      </c>
      <c r="D46" s="504" t="str">
        <f>IF($D$44="","",IF($D$44=1,D$65,IF($D$44=2,D$66,IF($D$44=3,D$67,IF($D$44=4,D$68,IF($D$44=5,D$69,IF($D$44=0,D$70,0)))))))</f>
        <v/>
      </c>
      <c r="E46" s="504">
        <f>IF($E$44=1,E$65,IF($E$44=2,E$66,IF($E$44=3,E$67,IF($E$44=4,E$68,IF($E$44=5,E$69,IF($E$44=0,E$70,0))))))</f>
        <v>1273</v>
      </c>
      <c r="F46" s="504">
        <f>IF($F$44=1,F$65,IF($F$44=2,F$66,IF($F$44=3,F$67,IF($F$44=4,F$68,IF($F$44=5,F$69,IF($F$44=0,F$70,0))))))</f>
        <v>1307</v>
      </c>
      <c r="G46" s="504">
        <f t="shared" ref="G46" si="28">IF($F$44=1,G$65,IF($F$44=2,G$66,IF($F$44=3,G$67,IF($F$44=4,G$68,IF($F$44=5,G$69,IF($F$44=0,G$70,0))))))</f>
        <v>1307</v>
      </c>
      <c r="H46" s="504">
        <f>IF($H$44=1,H$65,IF($H$44=2,H$66,IF($H$44=3,H$67,IF($H$44=4,H$68,IF($H$44=5,H$69,IF($H$44=0,H$70,0))))))</f>
        <v>1355</v>
      </c>
      <c r="I46" s="318">
        <f>IF($H$44=1,I$65,IF($H$44=2,I$66,IF($H$44=3,I$67,IF($H$44=4,I$68,IF($H$44=5,I$69,IF($H$44=0,I$70,0))))))</f>
        <v>1355</v>
      </c>
      <c r="J46" s="318">
        <f>IF($H$44=1,J$65,IF($H$44=2,J$66,IF($H$44=3,J$67,IF($H$44=4,J$68,IF($H$44=5,J$69,IF($H$44=0,J$70,0))))))</f>
        <v>1355</v>
      </c>
      <c r="K46" s="318">
        <f>IF($H$44=1,K$65,IF($H$44=2,K$66,IF($H$44=3,K$67,IF($H$44=4,K$68,IF($H$44=5,K$69,IF($H$44=0,K$70,0))))))</f>
        <v>1355</v>
      </c>
      <c r="L46" s="389"/>
      <c r="M46" s="389"/>
      <c r="N46" s="389"/>
      <c r="O46" s="389"/>
      <c r="P46" s="389"/>
      <c r="Q46" s="389"/>
      <c r="R46" s="389"/>
      <c r="S46" s="389"/>
      <c r="T46" s="389"/>
      <c r="U46" s="389"/>
      <c r="V46" s="389"/>
      <c r="W46" s="389"/>
      <c r="X46" s="389"/>
      <c r="Y46" s="389"/>
    </row>
    <row r="47" spans="1:25" ht="14">
      <c r="A47" s="51" t="s">
        <v>293</v>
      </c>
      <c r="B47" s="51"/>
      <c r="C47" s="504" t="e">
        <f t="shared" ref="C47:D47" si="29">IF(C41&lt;120,C45,0)</f>
        <v>#N/A</v>
      </c>
      <c r="D47" s="504" t="e">
        <f t="shared" si="29"/>
        <v>#N/A</v>
      </c>
      <c r="E47" s="504">
        <f t="shared" ref="E47:J47" si="30">IF(E41&lt;120,E45,0)</f>
        <v>1152</v>
      </c>
      <c r="F47" s="504">
        <f t="shared" si="30"/>
        <v>1183</v>
      </c>
      <c r="G47" s="504">
        <f t="shared" si="30"/>
        <v>1183</v>
      </c>
      <c r="H47" s="504">
        <f>IF(H41&lt;120,H45,0)</f>
        <v>1227</v>
      </c>
      <c r="I47" s="318">
        <f t="shared" si="30"/>
        <v>1227</v>
      </c>
      <c r="J47" s="318">
        <f t="shared" si="30"/>
        <v>1227</v>
      </c>
      <c r="K47" s="318">
        <f t="shared" ref="K47" si="31">IF(K41&lt;120,K45,0)</f>
        <v>1227</v>
      </c>
      <c r="L47" s="389"/>
      <c r="M47" s="389"/>
      <c r="N47" s="389"/>
      <c r="O47" s="389"/>
      <c r="P47" s="389"/>
      <c r="Q47" s="389"/>
      <c r="R47" s="389"/>
      <c r="S47" s="389"/>
      <c r="T47" s="389"/>
      <c r="U47" s="389"/>
      <c r="V47" s="389"/>
      <c r="W47" s="389"/>
      <c r="X47" s="389"/>
      <c r="Y47" s="389"/>
    </row>
    <row r="48" spans="1:25" ht="14">
      <c r="A48" s="613" t="s">
        <v>1053</v>
      </c>
      <c r="B48" s="51"/>
      <c r="C48" s="504" t="e">
        <f t="shared" ref="C48:D48" si="32">IF(C41&lt;120,C46,0)</f>
        <v>#N/A</v>
      </c>
      <c r="D48" s="504" t="e">
        <f t="shared" si="32"/>
        <v>#N/A</v>
      </c>
      <c r="E48" s="504">
        <f t="shared" ref="E48:J48" si="33">IF(E41&lt;120,E46,0)</f>
        <v>1273</v>
      </c>
      <c r="F48" s="504">
        <f t="shared" si="33"/>
        <v>1307</v>
      </c>
      <c r="G48" s="504">
        <f t="shared" si="33"/>
        <v>1307</v>
      </c>
      <c r="H48" s="504">
        <f>IF(H41&lt;120,H46,0)</f>
        <v>1355</v>
      </c>
      <c r="I48" s="318">
        <f t="shared" si="33"/>
        <v>1355</v>
      </c>
      <c r="J48" s="318">
        <f t="shared" si="33"/>
        <v>1355</v>
      </c>
      <c r="K48" s="318">
        <f t="shared" ref="K48" si="34">IF(K41&lt;120,K46,0)</f>
        <v>1355</v>
      </c>
      <c r="L48" s="389"/>
      <c r="M48" s="389"/>
      <c r="N48" s="389"/>
      <c r="O48" s="389"/>
      <c r="P48" s="389"/>
      <c r="Q48" s="389"/>
      <c r="R48" s="389"/>
      <c r="S48" s="389"/>
      <c r="T48" s="389"/>
      <c r="U48" s="389"/>
      <c r="V48" s="389"/>
      <c r="W48" s="389"/>
      <c r="X48" s="389"/>
      <c r="Y48" s="389"/>
    </row>
    <row r="49" spans="1:25" ht="14">
      <c r="A49" s="51" t="s">
        <v>294</v>
      </c>
      <c r="B49" s="51"/>
      <c r="C49" s="504" t="e">
        <f t="shared" ref="C49:G49" si="35">C48+C47*C34/1000</f>
        <v>#N/A</v>
      </c>
      <c r="D49" s="504" t="e">
        <f t="shared" si="35"/>
        <v>#N/A</v>
      </c>
      <c r="E49" s="504">
        <f t="shared" si="35"/>
        <v>8196.52</v>
      </c>
      <c r="F49" s="504">
        <f t="shared" si="35"/>
        <v>8361.2289999999994</v>
      </c>
      <c r="G49" s="504">
        <f t="shared" si="35"/>
        <v>8335.2030000000013</v>
      </c>
      <c r="H49" s="504">
        <f>H48+H47*H34/1000</f>
        <v>8574.6679999999997</v>
      </c>
      <c r="I49" s="318">
        <f t="shared" ref="I49:J49" si="36">I48+I47*I34/1000</f>
        <v>8519.4530000000013</v>
      </c>
      <c r="J49" s="318">
        <f t="shared" si="36"/>
        <v>8519.4530000000013</v>
      </c>
      <c r="K49" s="318">
        <f t="shared" ref="K49" si="37">K48+K47*K34/1000</f>
        <v>8519.4530000000013</v>
      </c>
      <c r="L49" s="389"/>
      <c r="M49" s="389"/>
      <c r="N49" s="389"/>
      <c r="O49" s="389"/>
      <c r="P49" s="389"/>
      <c r="Q49" s="389"/>
      <c r="R49" s="389"/>
      <c r="S49" s="389"/>
      <c r="T49" s="389"/>
      <c r="U49" s="389"/>
      <c r="V49" s="389"/>
      <c r="W49" s="389"/>
      <c r="X49" s="389"/>
      <c r="Y49" s="389"/>
    </row>
    <row r="50" spans="1:25" ht="14">
      <c r="A50" s="51" t="s">
        <v>10</v>
      </c>
      <c r="B50" s="51"/>
      <c r="C50" s="504" t="e">
        <f>IF(G110&lt;3200,0,C49)</f>
        <v>#N/A</v>
      </c>
      <c r="D50" s="504" t="e">
        <f>IF(H127&lt;3200,0,D49)</f>
        <v>#N/A</v>
      </c>
      <c r="E50" s="504">
        <f>IF(I144&lt;3200,0,E49)</f>
        <v>8196.52</v>
      </c>
      <c r="F50" s="504">
        <f>IF(J161&lt;3200,0,F49)</f>
        <v>8361.2289999999994</v>
      </c>
      <c r="G50" s="504">
        <f>IF(K178&lt;3200,0,G49)</f>
        <v>8335.2030000000013</v>
      </c>
      <c r="H50" s="504">
        <f>IF(L178&lt;3200,0,H49)</f>
        <v>8574.6679999999997</v>
      </c>
      <c r="I50" s="318">
        <f t="shared" ref="I50:K50" si="38">IF(M178&lt;3200,0,I49)</f>
        <v>8519.4530000000013</v>
      </c>
      <c r="J50" s="318">
        <f t="shared" si="38"/>
        <v>8519.4530000000013</v>
      </c>
      <c r="K50" s="318">
        <f t="shared" si="38"/>
        <v>8519.4530000000013</v>
      </c>
      <c r="L50" s="389"/>
      <c r="M50" s="389"/>
      <c r="N50" s="389"/>
      <c r="O50" s="389"/>
      <c r="P50" s="389"/>
      <c r="Q50" s="389"/>
      <c r="R50" s="389"/>
      <c r="S50" s="389"/>
      <c r="T50" s="389"/>
      <c r="U50" s="389"/>
      <c r="V50" s="389"/>
      <c r="W50" s="389"/>
      <c r="X50" s="389"/>
      <c r="Y50" s="389"/>
    </row>
    <row r="51" spans="1:25" ht="9" customHeight="1">
      <c r="A51" s="41"/>
      <c r="B51" s="41"/>
      <c r="C51" s="493"/>
      <c r="D51" s="493"/>
      <c r="E51" s="493"/>
      <c r="F51" s="493"/>
      <c r="G51" s="493"/>
      <c r="H51" s="493"/>
      <c r="I51" s="493"/>
      <c r="J51" s="389"/>
      <c r="K51" s="389"/>
      <c r="L51" s="389"/>
      <c r="M51" s="389"/>
      <c r="N51" s="389"/>
      <c r="O51" s="389"/>
      <c r="P51" s="389"/>
      <c r="Q51" s="389"/>
      <c r="R51" s="389"/>
      <c r="S51" s="389"/>
      <c r="T51" s="389"/>
      <c r="U51" s="389"/>
      <c r="V51" s="389"/>
      <c r="W51" s="389"/>
      <c r="X51" s="389"/>
      <c r="Y51" s="389"/>
    </row>
    <row r="52" spans="1:25" ht="14">
      <c r="A52" s="155" t="s">
        <v>295</v>
      </c>
      <c r="B52" s="154"/>
      <c r="C52" s="244" t="e">
        <f>ROUND(IF(Gdata!$B$3=5005,0,IF(AND(Gdata!$B$3&gt;=5040,Gdata!$B$3&lt;=5052),0,IF(AND(Gdata!$B$3&gt;=1900,Gdata!$B$3&lt;=2099),0,IF(AND(Gdata!$B$3&gt;=1800,Gdata!$B$3&lt;1900),0,IF(Gdata!$B$3&gt;=5400,0,Distriktogvekst!C50))))),0)</f>
        <v>#N/A</v>
      </c>
      <c r="D52" s="244" t="e">
        <f>ROUND(IF(Gdata!$B$3=5005,0,IF(AND(Gdata!$B$3&gt;=5040,Gdata!$B$3&lt;=5052),0,IF(AND(Gdata!$B$3&gt;=1900,Gdata!$B$3&lt;=2099),0,IF(AND(Gdata!$B$3&gt;=1800,Gdata!$B$3&lt;1900),0,IF(Gdata!$B$3&gt;=5400,0,Distriktogvekst!D50))))),0)</f>
        <v>#N/A</v>
      </c>
      <c r="E52" s="244">
        <f>ROUND(IF(Gdata!$B$3=5007,0,IF(AND(Gdata!$B$3&gt;=5040,Gdata!$B$3&lt;=5052),0,IF(Gdata!$B$3=5060,0,IF(AND(Gdata!$B$3&gt;=1800,Gdata!$B$3&lt;1900),0,IF(Gdata!$B$3&gt;=5400,0,Distriktogvekst!E50))))),0)</f>
        <v>8197</v>
      </c>
      <c r="F52" s="244">
        <f>ROUND(IF(Gdata!$B$3=5007,0,IF(AND(Gdata!$B$3&gt;=5040,Gdata!$B$3&lt;=5052),0,IF(Gdata!$B$3=5060,0,IF(AND(Gdata!$B$3&gt;=1800,Gdata!$B$3&lt;1900),0,IF(Gdata!$B$3&gt;=5400,0,Distriktogvekst!F50))))),0)</f>
        <v>8361</v>
      </c>
      <c r="G52" s="244">
        <f>ROUND(IF(Gdata!$B$3=5007,0,IF(AND(Gdata!$B$3&gt;=5040,Gdata!$B$3&lt;=5052),0,IF(Gdata!$B$3=5060,0,IF(AND(Gdata!$B$3&gt;=1800,Gdata!$B$3&lt;1900),0,IF(Gdata!$B$3&gt;=5400,0,Distriktogvekst!G50))))),0)</f>
        <v>8335</v>
      </c>
      <c r="H52" s="244">
        <f>ROUND(IF(Gdata!$B$3=5007,0,IF(AND(Gdata!$B$3&gt;=5040,Gdata!$B$3&lt;=5052),0,IF(Gdata!$B$3=5060,0,IF(AND(Gdata!$B$3&gt;=1800,Gdata!$B$3&lt;1900),0,IF(Gdata!$B$3&gt;=5400,0,Distriktogvekst!H50))))),0)</f>
        <v>8575</v>
      </c>
      <c r="I52" s="984">
        <f>ROUND(IF(Gdata!$B$3=5007,0,IF(AND(Gdata!$B$3&gt;=5040,Gdata!$B$3&lt;=5052),0,IF(Gdata!$B$3=5060,0,IF(AND(Gdata!$B$3&gt;=1800,Gdata!$B$3&lt;1900),0,IF(Gdata!$B$3&gt;=5400,0,Distriktogvekst!I50))))),0)</f>
        <v>8519</v>
      </c>
      <c r="J52" s="984">
        <f>ROUND(IF(Gdata!$B$3=5007,0,IF(AND(Gdata!$B$3&gt;=5040,Gdata!$B$3&lt;=5052),0,IF(Gdata!$B$3=5060,0,IF(AND(Gdata!$B$3&gt;=1800,Gdata!$B$3&lt;1900),0,IF(Gdata!$B$3&gt;=5400,0,Distriktogvekst!J50))))),0)</f>
        <v>8519</v>
      </c>
      <c r="K52" s="984">
        <f>ROUND(IF(Gdata!$B$3=5007,0,IF(AND(Gdata!$B$3&gt;=5040,Gdata!$B$3&lt;=5052),0,IF(Gdata!$B$3=5060,0,IF(AND(Gdata!$B$3&gt;=1800,Gdata!$B$3&lt;1900),0,IF(Gdata!$B$3&gt;=5400,0,Distriktogvekst!K50))))),0)</f>
        <v>8519</v>
      </c>
      <c r="L52" s="389"/>
      <c r="M52" s="389"/>
      <c r="N52" s="389"/>
      <c r="O52" s="389"/>
      <c r="P52" s="389"/>
      <c r="Q52" s="389"/>
      <c r="R52" s="389"/>
      <c r="S52" s="389"/>
      <c r="T52" s="389"/>
      <c r="U52" s="389"/>
      <c r="V52" s="389"/>
      <c r="W52" s="389"/>
      <c r="X52" s="389"/>
      <c r="Y52" s="389"/>
    </row>
    <row r="53" spans="1:25" ht="14">
      <c r="A53" s="305" t="s">
        <v>2561</v>
      </c>
      <c r="B53" s="157"/>
      <c r="C53" s="740" t="e">
        <f>(VLOOKUP(Gdata!$B3,'K18'!$A$4:$BB$425,40,FALSE))</f>
        <v>#N/A</v>
      </c>
      <c r="D53" s="740" t="e">
        <f>(VLOOKUP(Gdata!$B3,'K19'!$A$4:$BB$425,40,FALSE))</f>
        <v>#N/A</v>
      </c>
      <c r="E53" s="740">
        <f>(VLOOKUP(Gdata!$B3,'K20'!$A$4:$BB$431,40,FALSE))</f>
        <v>8197</v>
      </c>
      <c r="F53" s="740">
        <f>(VLOOKUP(Gdata!$B3,'K21'!$A$4:$BB$427,40,FALSE))</f>
        <v>8361</v>
      </c>
      <c r="G53" s="740">
        <f>(VLOOKUP(Gdata!$B3,'K22'!$A$4:$BB$425,40,FALSE))</f>
        <v>8335</v>
      </c>
      <c r="H53" s="740">
        <f>(VLOOKUP(Gdata!$B3,'K23'!$A$4:$BB$425,40,FALSE))</f>
        <v>8575</v>
      </c>
      <c r="I53" s="389"/>
      <c r="J53" s="389"/>
      <c r="K53" s="389"/>
      <c r="L53" s="389"/>
      <c r="M53" s="389"/>
      <c r="N53" s="389"/>
      <c r="O53" s="389"/>
      <c r="P53" s="389"/>
      <c r="Q53" s="389"/>
      <c r="R53" s="389"/>
      <c r="S53" s="389"/>
      <c r="T53" s="389"/>
      <c r="U53" s="389"/>
      <c r="V53" s="389"/>
      <c r="W53" s="389"/>
      <c r="X53" s="389"/>
      <c r="Y53" s="389"/>
    </row>
    <row r="54" spans="1:25" ht="14">
      <c r="A54" s="233"/>
      <c r="B54" s="233"/>
      <c r="C54" s="233"/>
      <c r="D54" s="233"/>
      <c r="E54" s="233"/>
      <c r="F54" s="389"/>
      <c r="G54" s="389"/>
      <c r="H54" s="389"/>
      <c r="I54" s="389"/>
      <c r="J54" s="389"/>
      <c r="K54" s="389"/>
      <c r="L54" s="389"/>
      <c r="M54" s="389"/>
      <c r="N54" s="389"/>
      <c r="O54" s="389"/>
      <c r="P54" s="389"/>
      <c r="Q54" s="389"/>
      <c r="R54" s="389"/>
      <c r="S54" s="389"/>
      <c r="T54" s="389"/>
      <c r="U54" s="389"/>
      <c r="V54" s="389"/>
      <c r="W54" s="389"/>
      <c r="X54" s="389"/>
      <c r="Y54" s="389"/>
    </row>
    <row r="55" spans="1:25" ht="14">
      <c r="A55" s="67"/>
      <c r="B55" s="67"/>
      <c r="C55" s="1085">
        <f>+Gdata!B90</f>
        <v>2018</v>
      </c>
      <c r="D55" s="1085">
        <f>+Gdata!C90</f>
        <v>2019</v>
      </c>
      <c r="E55" s="1085">
        <f>+Gdata!D90</f>
        <v>2020</v>
      </c>
      <c r="F55" s="1085">
        <f>+Gdata!E90</f>
        <v>2021</v>
      </c>
      <c r="G55" s="1085">
        <f>+Gdata!F90</f>
        <v>2022</v>
      </c>
      <c r="H55" s="1085">
        <f>+Gdata!G90</f>
        <v>2023</v>
      </c>
      <c r="I55" s="780">
        <f>+Gdata!H90</f>
        <v>2024</v>
      </c>
      <c r="J55" s="780">
        <f>+Gdata!I90</f>
        <v>2025</v>
      </c>
      <c r="K55" s="780">
        <f>+Gdata!J90</f>
        <v>2026</v>
      </c>
      <c r="L55" s="389"/>
      <c r="M55" s="389"/>
      <c r="N55" s="389"/>
      <c r="O55" s="389"/>
      <c r="P55" s="389"/>
      <c r="Q55" s="389"/>
      <c r="R55" s="389"/>
      <c r="S55" s="389"/>
      <c r="T55" s="389"/>
      <c r="U55" s="389"/>
      <c r="V55" s="389"/>
      <c r="W55" s="389"/>
      <c r="X55" s="389"/>
      <c r="Y55" s="389"/>
    </row>
    <row r="56" spans="1:25" ht="17.5">
      <c r="A56" s="605" t="s">
        <v>287</v>
      </c>
      <c r="B56" s="608"/>
      <c r="C56" s="603" t="s">
        <v>915</v>
      </c>
      <c r="D56" s="603" t="s">
        <v>915</v>
      </c>
      <c r="E56" s="603" t="s">
        <v>915</v>
      </c>
      <c r="F56" s="603" t="s">
        <v>915</v>
      </c>
      <c r="G56" s="603" t="s">
        <v>915</v>
      </c>
      <c r="H56" s="603" t="s">
        <v>915</v>
      </c>
      <c r="I56" s="603" t="s">
        <v>915</v>
      </c>
      <c r="J56" s="603" t="s">
        <v>915</v>
      </c>
      <c r="K56" s="603" t="s">
        <v>915</v>
      </c>
      <c r="L56" s="389"/>
      <c r="M56" s="389"/>
      <c r="N56" s="389"/>
      <c r="O56" s="389"/>
      <c r="P56" s="389"/>
      <c r="Q56" s="389"/>
      <c r="R56" s="389"/>
      <c r="S56" s="389"/>
      <c r="T56" s="389"/>
      <c r="U56" s="389"/>
      <c r="V56" s="389"/>
      <c r="W56" s="389"/>
      <c r="X56" s="389"/>
      <c r="Y56" s="389"/>
    </row>
    <row r="57" spans="1:25">
      <c r="A57" s="604"/>
      <c r="B57" s="609"/>
      <c r="C57" s="604" t="s">
        <v>748</v>
      </c>
      <c r="D57" s="604" t="s">
        <v>748</v>
      </c>
      <c r="E57" s="604" t="s">
        <v>748</v>
      </c>
      <c r="F57" s="604" t="s">
        <v>748</v>
      </c>
      <c r="G57" s="604" t="s">
        <v>748</v>
      </c>
      <c r="H57" s="604" t="s">
        <v>748</v>
      </c>
      <c r="I57" s="604" t="s">
        <v>748</v>
      </c>
      <c r="J57" s="604" t="s">
        <v>748</v>
      </c>
      <c r="K57" s="604" t="s">
        <v>748</v>
      </c>
      <c r="L57" s="389"/>
      <c r="M57" s="389"/>
      <c r="N57" s="389"/>
      <c r="O57" s="389"/>
      <c r="P57" s="389"/>
      <c r="Q57" s="389"/>
      <c r="R57" s="389"/>
      <c r="S57" s="389"/>
      <c r="T57" s="389"/>
      <c r="U57" s="389"/>
      <c r="V57" s="389"/>
      <c r="W57" s="389"/>
      <c r="X57" s="389"/>
      <c r="Y57" s="389"/>
    </row>
    <row r="58" spans="1:25" ht="15.5">
      <c r="A58" s="284" t="s">
        <v>1047</v>
      </c>
      <c r="B58" s="67"/>
      <c r="C58" s="140">
        <v>1087</v>
      </c>
      <c r="D58" s="140">
        <v>1117</v>
      </c>
      <c r="E58" s="140">
        <v>1152</v>
      </c>
      <c r="F58" s="140">
        <v>1183</v>
      </c>
      <c r="G58" s="140">
        <v>1183</v>
      </c>
      <c r="H58" s="140">
        <v>1227</v>
      </c>
      <c r="I58" s="807">
        <f t="shared" ref="I58:K58" si="39">H58</f>
        <v>1227</v>
      </c>
      <c r="J58" s="807">
        <f t="shared" si="39"/>
        <v>1227</v>
      </c>
      <c r="K58" s="807">
        <f t="shared" si="39"/>
        <v>1227</v>
      </c>
      <c r="L58" s="389"/>
      <c r="M58" s="389"/>
      <c r="N58" s="389"/>
      <c r="O58" s="389"/>
      <c r="P58" s="389"/>
      <c r="Q58" s="389"/>
      <c r="R58" s="389"/>
      <c r="S58" s="389"/>
      <c r="T58" s="389"/>
      <c r="U58" s="389"/>
      <c r="V58" s="389"/>
      <c r="W58" s="389"/>
      <c r="X58" s="389"/>
      <c r="Y58" s="389"/>
    </row>
    <row r="59" spans="1:25" ht="15.5">
      <c r="A59" s="284" t="s">
        <v>1048</v>
      </c>
      <c r="B59" s="67"/>
      <c r="C59" s="140">
        <v>870</v>
      </c>
      <c r="D59" s="140">
        <v>894</v>
      </c>
      <c r="E59" s="140">
        <v>922</v>
      </c>
      <c r="F59" s="140">
        <v>947</v>
      </c>
      <c r="G59" s="140">
        <v>947</v>
      </c>
      <c r="H59" s="140">
        <v>982</v>
      </c>
      <c r="I59" s="807">
        <f t="shared" ref="I59:K63" si="40">H59</f>
        <v>982</v>
      </c>
      <c r="J59" s="807">
        <f t="shared" si="40"/>
        <v>982</v>
      </c>
      <c r="K59" s="807">
        <f t="shared" si="40"/>
        <v>982</v>
      </c>
      <c r="L59" s="389"/>
      <c r="M59" s="389"/>
      <c r="N59" s="389"/>
      <c r="O59" s="389"/>
      <c r="P59" s="389"/>
      <c r="Q59" s="389"/>
      <c r="R59" s="389"/>
      <c r="S59" s="389"/>
      <c r="T59" s="389"/>
      <c r="U59" s="389"/>
      <c r="V59" s="389"/>
      <c r="W59" s="389"/>
      <c r="X59" s="389"/>
      <c r="Y59" s="389"/>
    </row>
    <row r="60" spans="1:25" ht="15.5">
      <c r="A60" s="284" t="s">
        <v>1049</v>
      </c>
      <c r="B60" s="67"/>
      <c r="C60" s="140">
        <v>652</v>
      </c>
      <c r="D60" s="140">
        <v>670</v>
      </c>
      <c r="E60" s="140">
        <v>691</v>
      </c>
      <c r="F60" s="140">
        <v>710</v>
      </c>
      <c r="G60" s="140">
        <v>710</v>
      </c>
      <c r="H60" s="140">
        <v>736</v>
      </c>
      <c r="I60" s="807">
        <f t="shared" si="40"/>
        <v>736</v>
      </c>
      <c r="J60" s="807">
        <f t="shared" si="40"/>
        <v>736</v>
      </c>
      <c r="K60" s="807">
        <f t="shared" si="40"/>
        <v>736</v>
      </c>
      <c r="L60" s="389"/>
      <c r="M60" s="389"/>
      <c r="N60" s="389"/>
      <c r="O60" s="389"/>
      <c r="P60" s="389"/>
      <c r="Q60" s="389"/>
      <c r="R60" s="389"/>
      <c r="S60" s="389"/>
      <c r="T60" s="389"/>
      <c r="U60" s="389"/>
      <c r="V60" s="389"/>
      <c r="W60" s="389"/>
      <c r="X60" s="389"/>
      <c r="Y60" s="389"/>
    </row>
    <row r="61" spans="1:25" ht="15.5">
      <c r="A61" s="284" t="s">
        <v>1050</v>
      </c>
      <c r="B61" s="67"/>
      <c r="C61" s="140">
        <v>435</v>
      </c>
      <c r="D61" s="140">
        <v>447</v>
      </c>
      <c r="E61" s="140">
        <v>461</v>
      </c>
      <c r="F61" s="140">
        <v>473</v>
      </c>
      <c r="G61" s="140">
        <v>473</v>
      </c>
      <c r="H61" s="140">
        <v>491</v>
      </c>
      <c r="I61" s="807">
        <f t="shared" si="40"/>
        <v>491</v>
      </c>
      <c r="J61" s="807">
        <f t="shared" si="40"/>
        <v>491</v>
      </c>
      <c r="K61" s="807">
        <f t="shared" si="40"/>
        <v>491</v>
      </c>
      <c r="L61" s="389"/>
      <c r="M61" s="389"/>
      <c r="N61" s="389"/>
      <c r="O61" s="389"/>
      <c r="P61" s="389"/>
      <c r="Q61" s="389"/>
      <c r="R61" s="389"/>
      <c r="S61" s="389"/>
      <c r="T61" s="389"/>
      <c r="U61" s="389"/>
      <c r="V61" s="389"/>
      <c r="W61" s="389"/>
      <c r="X61" s="389"/>
      <c r="Y61" s="389"/>
    </row>
    <row r="62" spans="1:25" ht="15.5">
      <c r="A62" s="284" t="s">
        <v>1051</v>
      </c>
      <c r="B62" s="67"/>
      <c r="C62" s="140">
        <v>218</v>
      </c>
      <c r="D62" s="140">
        <v>224</v>
      </c>
      <c r="E62" s="140">
        <v>231</v>
      </c>
      <c r="F62" s="140">
        <v>237</v>
      </c>
      <c r="G62" s="140">
        <v>237</v>
      </c>
      <c r="H62" s="140">
        <v>246</v>
      </c>
      <c r="I62" s="807">
        <f t="shared" si="40"/>
        <v>246</v>
      </c>
      <c r="J62" s="807">
        <f t="shared" si="40"/>
        <v>246</v>
      </c>
      <c r="K62" s="807">
        <f t="shared" si="40"/>
        <v>246</v>
      </c>
      <c r="L62" s="389"/>
      <c r="M62" s="389"/>
      <c r="N62" s="389"/>
      <c r="O62" s="389"/>
      <c r="P62" s="389"/>
      <c r="Q62" s="389"/>
      <c r="R62" s="389"/>
      <c r="S62" s="389"/>
      <c r="T62" s="389"/>
      <c r="U62" s="389"/>
      <c r="V62" s="389"/>
      <c r="W62" s="389"/>
      <c r="X62" s="389"/>
      <c r="Y62" s="389"/>
    </row>
    <row r="63" spans="1:25" ht="15.5">
      <c r="A63" s="284" t="s">
        <v>290</v>
      </c>
      <c r="B63" s="67"/>
      <c r="C63" s="140">
        <v>0</v>
      </c>
      <c r="D63" s="140">
        <v>0</v>
      </c>
      <c r="E63" s="140">
        <v>0</v>
      </c>
      <c r="F63" s="140">
        <v>0</v>
      </c>
      <c r="G63" s="140">
        <v>0</v>
      </c>
      <c r="H63" s="140">
        <v>0</v>
      </c>
      <c r="I63" s="807">
        <f t="shared" si="40"/>
        <v>0</v>
      </c>
      <c r="J63" s="807">
        <f t="shared" si="40"/>
        <v>0</v>
      </c>
      <c r="K63" s="807">
        <f t="shared" si="40"/>
        <v>0</v>
      </c>
      <c r="L63" s="389"/>
      <c r="M63" s="389"/>
      <c r="N63" s="389"/>
      <c r="O63" s="389"/>
      <c r="P63" s="389"/>
      <c r="Q63" s="389"/>
      <c r="R63" s="389"/>
      <c r="S63" s="389"/>
      <c r="T63" s="389"/>
      <c r="U63" s="389"/>
      <c r="V63" s="389"/>
      <c r="W63" s="389"/>
      <c r="X63" s="389"/>
      <c r="Y63" s="389"/>
    </row>
    <row r="64" spans="1:25" ht="26">
      <c r="A64" s="606" t="str">
        <f>A56</f>
        <v>Distriktsindeks</v>
      </c>
      <c r="B64" s="607"/>
      <c r="C64" s="275" t="s">
        <v>289</v>
      </c>
      <c r="D64" s="275" t="s">
        <v>289</v>
      </c>
      <c r="E64" s="275" t="s">
        <v>289</v>
      </c>
      <c r="F64" s="275" t="s">
        <v>289</v>
      </c>
      <c r="G64" s="275" t="s">
        <v>289</v>
      </c>
      <c r="H64" s="275" t="s">
        <v>289</v>
      </c>
      <c r="I64" s="275" t="s">
        <v>289</v>
      </c>
      <c r="J64" s="275" t="s">
        <v>289</v>
      </c>
      <c r="K64" s="275" t="s">
        <v>289</v>
      </c>
      <c r="L64" s="389"/>
      <c r="M64" s="389"/>
      <c r="N64" s="389"/>
      <c r="O64" s="389"/>
      <c r="P64" s="389"/>
      <c r="Q64" s="389"/>
      <c r="R64" s="389"/>
      <c r="S64" s="389"/>
      <c r="T64" s="389"/>
      <c r="U64" s="389"/>
      <c r="V64" s="389"/>
      <c r="W64" s="389"/>
      <c r="X64" s="389"/>
      <c r="Y64" s="389"/>
    </row>
    <row r="65" spans="1:25" ht="15.5">
      <c r="A65" s="284" t="s">
        <v>1047</v>
      </c>
      <c r="B65" s="67"/>
      <c r="C65" s="140">
        <v>1201</v>
      </c>
      <c r="D65" s="140">
        <v>1235</v>
      </c>
      <c r="E65" s="140">
        <v>1273</v>
      </c>
      <c r="F65" s="140">
        <v>1307</v>
      </c>
      <c r="G65" s="140">
        <v>1307</v>
      </c>
      <c r="H65" s="140">
        <v>1355</v>
      </c>
      <c r="I65" s="807">
        <f t="shared" ref="I65:J65" si="41">H65</f>
        <v>1355</v>
      </c>
      <c r="J65" s="807">
        <f t="shared" si="41"/>
        <v>1355</v>
      </c>
      <c r="K65" s="807">
        <f>J65</f>
        <v>1355</v>
      </c>
      <c r="L65" s="389"/>
      <c r="M65" s="389"/>
      <c r="N65" s="389"/>
      <c r="O65" s="389"/>
      <c r="P65" s="389"/>
      <c r="Q65" s="389"/>
      <c r="R65" s="389"/>
      <c r="S65" s="389"/>
      <c r="T65" s="389"/>
      <c r="U65" s="389"/>
      <c r="V65" s="389"/>
      <c r="W65" s="389"/>
      <c r="X65" s="389"/>
      <c r="Y65" s="389"/>
    </row>
    <row r="66" spans="1:25" ht="15.5">
      <c r="A66" s="284" t="s">
        <v>1048</v>
      </c>
      <c r="B66" s="67"/>
      <c r="C66" s="140">
        <v>961</v>
      </c>
      <c r="D66" s="140">
        <v>988</v>
      </c>
      <c r="E66" s="140">
        <v>1019</v>
      </c>
      <c r="F66" s="140">
        <v>1047</v>
      </c>
      <c r="G66" s="140">
        <v>1047</v>
      </c>
      <c r="H66" s="140">
        <v>1086</v>
      </c>
      <c r="I66" s="807">
        <f t="shared" ref="I66:K70" si="42">H66</f>
        <v>1086</v>
      </c>
      <c r="J66" s="807">
        <f t="shared" si="42"/>
        <v>1086</v>
      </c>
      <c r="K66" s="807">
        <f t="shared" si="42"/>
        <v>1086</v>
      </c>
      <c r="L66" s="389"/>
      <c r="M66" s="389"/>
      <c r="N66" s="389"/>
      <c r="O66" s="389"/>
      <c r="P66" s="389"/>
      <c r="Q66" s="389"/>
      <c r="R66" s="389"/>
      <c r="S66" s="389"/>
      <c r="T66" s="389"/>
      <c r="U66" s="389"/>
      <c r="V66" s="389"/>
      <c r="W66" s="389"/>
      <c r="X66" s="389"/>
      <c r="Y66" s="389"/>
    </row>
    <row r="67" spans="1:25" ht="15.5">
      <c r="A67" s="284" t="s">
        <v>1049</v>
      </c>
      <c r="B67" s="67"/>
      <c r="C67" s="140">
        <v>721</v>
      </c>
      <c r="D67" s="140">
        <v>741</v>
      </c>
      <c r="E67" s="140">
        <v>764</v>
      </c>
      <c r="F67" s="140">
        <v>785</v>
      </c>
      <c r="G67" s="140">
        <v>785</v>
      </c>
      <c r="H67" s="140">
        <v>814</v>
      </c>
      <c r="I67" s="807">
        <f t="shared" si="42"/>
        <v>814</v>
      </c>
      <c r="J67" s="807">
        <f t="shared" si="42"/>
        <v>814</v>
      </c>
      <c r="K67" s="807">
        <f t="shared" si="42"/>
        <v>814</v>
      </c>
      <c r="L67" s="389"/>
      <c r="M67" s="389"/>
      <c r="N67" s="389"/>
      <c r="O67" s="389"/>
      <c r="P67" s="389"/>
      <c r="Q67" s="389"/>
      <c r="R67" s="389"/>
      <c r="S67" s="389"/>
      <c r="T67" s="389"/>
      <c r="U67" s="389"/>
      <c r="V67" s="389"/>
      <c r="W67" s="389"/>
      <c r="X67" s="389"/>
      <c r="Y67" s="389"/>
    </row>
    <row r="68" spans="1:25" ht="15.5">
      <c r="A68" s="284" t="s">
        <v>1050</v>
      </c>
      <c r="B68" s="67"/>
      <c r="C68" s="140">
        <v>480</v>
      </c>
      <c r="D68" s="140">
        <v>493</v>
      </c>
      <c r="E68" s="140">
        <v>508</v>
      </c>
      <c r="F68" s="140">
        <v>522</v>
      </c>
      <c r="G68" s="140">
        <v>522</v>
      </c>
      <c r="H68" s="140">
        <v>541</v>
      </c>
      <c r="I68" s="807">
        <f t="shared" si="42"/>
        <v>541</v>
      </c>
      <c r="J68" s="807">
        <f t="shared" si="42"/>
        <v>541</v>
      </c>
      <c r="K68" s="807">
        <f t="shared" si="42"/>
        <v>541</v>
      </c>
      <c r="L68" s="389"/>
      <c r="M68" s="389"/>
      <c r="N68" s="389"/>
      <c r="O68" s="389"/>
      <c r="P68" s="389"/>
      <c r="Q68" s="389"/>
      <c r="R68" s="389"/>
      <c r="S68" s="389"/>
      <c r="T68" s="389"/>
      <c r="U68" s="389"/>
      <c r="V68" s="389"/>
      <c r="W68" s="389"/>
      <c r="X68" s="389"/>
      <c r="Y68" s="389"/>
    </row>
    <row r="69" spans="1:25" ht="15.5">
      <c r="A69" s="284" t="s">
        <v>1051</v>
      </c>
      <c r="B69" s="67"/>
      <c r="C69" s="140">
        <v>240</v>
      </c>
      <c r="D69" s="140">
        <v>247</v>
      </c>
      <c r="E69" s="140">
        <v>255</v>
      </c>
      <c r="F69" s="140">
        <v>262</v>
      </c>
      <c r="G69" s="140">
        <v>262</v>
      </c>
      <c r="H69" s="140">
        <v>272</v>
      </c>
      <c r="I69" s="807">
        <f t="shared" si="42"/>
        <v>272</v>
      </c>
      <c r="J69" s="807">
        <f t="shared" si="42"/>
        <v>272</v>
      </c>
      <c r="K69" s="807">
        <f t="shared" si="42"/>
        <v>272</v>
      </c>
      <c r="L69" s="389"/>
      <c r="M69" s="389"/>
      <c r="N69" s="389"/>
      <c r="O69" s="389"/>
      <c r="P69" s="389"/>
      <c r="Q69" s="389"/>
      <c r="R69" s="389"/>
      <c r="S69" s="389"/>
      <c r="T69" s="389"/>
      <c r="U69" s="389"/>
      <c r="V69" s="389"/>
      <c r="W69" s="389"/>
      <c r="X69" s="389"/>
      <c r="Y69" s="389"/>
    </row>
    <row r="70" spans="1:25" ht="15.5">
      <c r="A70" s="610" t="s">
        <v>290</v>
      </c>
      <c r="B70" s="609"/>
      <c r="C70" s="611">
        <v>0</v>
      </c>
      <c r="D70" s="611">
        <v>0</v>
      </c>
      <c r="E70" s="611">
        <v>0</v>
      </c>
      <c r="F70" s="611">
        <v>0</v>
      </c>
      <c r="G70" s="611">
        <v>0</v>
      </c>
      <c r="H70" s="611">
        <v>0</v>
      </c>
      <c r="I70" s="808">
        <f t="shared" si="42"/>
        <v>0</v>
      </c>
      <c r="J70" s="808">
        <f t="shared" si="42"/>
        <v>0</v>
      </c>
      <c r="K70" s="808">
        <f t="shared" si="42"/>
        <v>0</v>
      </c>
      <c r="L70" s="389"/>
      <c r="M70" s="389"/>
      <c r="N70" s="389"/>
      <c r="O70" s="389"/>
      <c r="P70" s="389"/>
      <c r="Q70" s="389"/>
      <c r="R70" s="389"/>
      <c r="S70" s="389"/>
      <c r="T70" s="389"/>
      <c r="U70" s="389"/>
      <c r="V70" s="389"/>
      <c r="W70" s="389"/>
      <c r="X70" s="389"/>
      <c r="Y70" s="389"/>
    </row>
    <row r="71" spans="1:25">
      <c r="A71" s="67"/>
      <c r="B71" s="67"/>
      <c r="C71" s="67"/>
      <c r="D71" s="67"/>
      <c r="E71" s="67"/>
      <c r="F71" s="389"/>
      <c r="G71" s="389"/>
      <c r="H71" s="389"/>
      <c r="I71" s="389"/>
      <c r="J71" s="389"/>
      <c r="K71" s="389"/>
      <c r="L71" s="389"/>
      <c r="M71" s="389"/>
      <c r="N71" s="389"/>
      <c r="O71" s="389"/>
      <c r="P71" s="389"/>
      <c r="Q71" s="389"/>
      <c r="R71" s="389"/>
      <c r="S71" s="389"/>
      <c r="T71" s="389"/>
      <c r="U71" s="389"/>
      <c r="V71" s="389"/>
      <c r="W71" s="389"/>
      <c r="X71" s="389"/>
      <c r="Y71" s="389"/>
    </row>
    <row r="72" spans="1:25">
      <c r="A72" s="67"/>
      <c r="B72" s="67"/>
      <c r="C72" s="67"/>
      <c r="D72" s="67"/>
      <c r="E72" s="67"/>
      <c r="F72" s="389"/>
      <c r="G72" s="389"/>
      <c r="H72" s="389"/>
      <c r="I72" s="389"/>
      <c r="J72" s="389"/>
      <c r="K72" s="389"/>
      <c r="L72" s="389"/>
      <c r="M72" s="389"/>
      <c r="N72" s="389"/>
      <c r="O72" s="389"/>
      <c r="P72" s="389"/>
      <c r="Q72" s="389"/>
      <c r="R72" s="389"/>
      <c r="S72" s="389"/>
      <c r="T72" s="389"/>
      <c r="U72" s="389"/>
      <c r="V72" s="389"/>
      <c r="W72" s="389"/>
      <c r="X72" s="389"/>
      <c r="Y72" s="389"/>
    </row>
    <row r="73" spans="1:25" ht="20">
      <c r="A73" s="711" t="s">
        <v>1228</v>
      </c>
      <c r="B73" s="245"/>
      <c r="C73" s="1086">
        <f t="shared" ref="C73:K73" si="43">C1</f>
        <v>2018</v>
      </c>
      <c r="D73" s="1086">
        <f t="shared" si="43"/>
        <v>2019</v>
      </c>
      <c r="E73" s="1086">
        <f t="shared" si="43"/>
        <v>2020</v>
      </c>
      <c r="F73" s="1086">
        <f t="shared" si="43"/>
        <v>2021</v>
      </c>
      <c r="G73" s="1086">
        <f t="shared" si="43"/>
        <v>2022</v>
      </c>
      <c r="H73" s="1086">
        <f t="shared" si="43"/>
        <v>2023</v>
      </c>
      <c r="I73" s="245">
        <f t="shared" si="43"/>
        <v>2024</v>
      </c>
      <c r="J73" s="245">
        <f t="shared" si="43"/>
        <v>2025</v>
      </c>
      <c r="K73" s="245">
        <f t="shared" si="43"/>
        <v>2026</v>
      </c>
      <c r="L73" s="389"/>
      <c r="M73" s="389"/>
      <c r="N73" s="389"/>
      <c r="O73" s="389"/>
      <c r="P73" s="389"/>
      <c r="Q73" s="389"/>
      <c r="R73" s="389"/>
      <c r="S73" s="389"/>
      <c r="T73" s="389"/>
      <c r="U73" s="389"/>
      <c r="V73" s="389"/>
      <c r="W73" s="389"/>
      <c r="X73" s="389"/>
      <c r="Y73" s="389"/>
    </row>
    <row r="74" spans="1:25" ht="14">
      <c r="A74" s="702" t="s">
        <v>1913</v>
      </c>
      <c r="B74" s="703"/>
      <c r="C74" s="507">
        <f>120000/38</f>
        <v>3157.8947368421054</v>
      </c>
      <c r="D74" s="507">
        <v>3158</v>
      </c>
      <c r="E74" s="507">
        <v>3256</v>
      </c>
      <c r="F74" s="507">
        <f>ROUND(3256*1.027,0)</f>
        <v>3344</v>
      </c>
      <c r="G74" s="507">
        <v>3344</v>
      </c>
      <c r="H74" s="507">
        <v>3468</v>
      </c>
      <c r="I74" s="564">
        <f t="shared" ref="I74:K74" si="44">+H74</f>
        <v>3468</v>
      </c>
      <c r="J74" s="564">
        <f t="shared" si="44"/>
        <v>3468</v>
      </c>
      <c r="K74" s="564">
        <f t="shared" si="44"/>
        <v>3468</v>
      </c>
      <c r="L74" s="389"/>
      <c r="M74" s="389"/>
      <c r="N74" s="389"/>
      <c r="O74" s="389"/>
      <c r="P74" s="389"/>
      <c r="Q74" s="389"/>
      <c r="R74" s="389"/>
      <c r="S74" s="389"/>
      <c r="T74" s="389"/>
      <c r="U74" s="389"/>
      <c r="V74" s="389"/>
      <c r="W74" s="389"/>
      <c r="X74" s="389"/>
      <c r="Y74" s="389"/>
    </row>
    <row r="75" spans="1:25" ht="14">
      <c r="A75" s="702" t="s">
        <v>1914</v>
      </c>
      <c r="B75" s="703"/>
      <c r="C75" s="507">
        <f>80000000/SUMIF('K18'!BM4:BM425,"&gt;0",K0kommunestruktur2018!I4:I425)</f>
        <v>66.000447153029455</v>
      </c>
      <c r="D75" s="507">
        <v>66</v>
      </c>
      <c r="E75" s="507">
        <v>68</v>
      </c>
      <c r="F75" s="507">
        <f>ROUND(68*1.027,0)</f>
        <v>70</v>
      </c>
      <c r="G75" s="507">
        <v>70</v>
      </c>
      <c r="H75" s="507">
        <v>73</v>
      </c>
      <c r="I75" s="564">
        <f t="shared" ref="I75:K75" si="45">+H75</f>
        <v>73</v>
      </c>
      <c r="J75" s="564">
        <f t="shared" si="45"/>
        <v>73</v>
      </c>
      <c r="K75" s="564">
        <f t="shared" si="45"/>
        <v>73</v>
      </c>
      <c r="L75" s="389"/>
      <c r="M75" s="389"/>
      <c r="N75" s="389"/>
      <c r="O75" s="389"/>
      <c r="P75" s="389"/>
      <c r="Q75" s="389"/>
      <c r="R75" s="389"/>
      <c r="S75" s="389"/>
      <c r="T75" s="389"/>
      <c r="U75" s="389"/>
      <c r="V75" s="389"/>
      <c r="W75" s="389"/>
      <c r="X75" s="389"/>
      <c r="Y75" s="389"/>
    </row>
    <row r="76" spans="1:25" ht="14">
      <c r="A76" s="702"/>
      <c r="B76" s="703"/>
      <c r="C76" s="507"/>
      <c r="D76" s="507"/>
      <c r="E76" s="507"/>
      <c r="F76" s="507"/>
      <c r="G76" s="507"/>
      <c r="H76" s="564"/>
      <c r="I76" s="564"/>
      <c r="J76" s="389"/>
      <c r="K76" s="389"/>
      <c r="L76" s="389"/>
      <c r="M76" s="389"/>
      <c r="N76" s="389"/>
      <c r="O76" s="389"/>
      <c r="P76" s="389"/>
      <c r="Q76" s="389"/>
      <c r="R76" s="389"/>
      <c r="S76" s="389"/>
      <c r="T76" s="389"/>
      <c r="U76" s="389"/>
      <c r="V76" s="389"/>
      <c r="W76" s="389"/>
      <c r="X76" s="389"/>
      <c r="Y76" s="389"/>
    </row>
    <row r="77" spans="1:25" ht="14">
      <c r="A77" s="702" t="s">
        <v>1229</v>
      </c>
      <c r="B77" s="703"/>
      <c r="C77" s="794" t="e">
        <f>IF(VLOOKUP(Inngang!$C$8,'K18'!$A$4:$BN$425,65,FALSE)+VLOOKUP(Inngang!$C$8,'K18'!$A$4:$BP$425,67,FALSE)=0,0,(VLOOKUP(Inngang!$C$8,'K18'!$A$4:$BN$425,65,FALSE)+VLOOKUP(Inngang!$C$8,'K18'!$A$4:$BP$425,67,FALSE)-C75*G110/1000)/C74)</f>
        <v>#N/A</v>
      </c>
      <c r="D77" s="794" t="e">
        <f>IF(VLOOKUP(Inngang!$C$8,'K19'!$A$4:$BN$425,65,FALSE)=0,0,(VLOOKUP(Inngang!$C$8,'K19'!$A$4:$BN$425,65,FALSE)-D75*H127/1000)/D74)</f>
        <v>#N/A</v>
      </c>
      <c r="E77" s="794">
        <f>IF(VLOOKUP(Inngang!$C$8,'K20'!$A$4:$BN$431,65,FALSE)=0,0,1)</f>
        <v>0</v>
      </c>
      <c r="F77" s="794">
        <f t="shared" ref="F77:K77" si="46">+E77</f>
        <v>0</v>
      </c>
      <c r="G77" s="794">
        <f t="shared" si="46"/>
        <v>0</v>
      </c>
      <c r="H77" s="794">
        <f t="shared" si="46"/>
        <v>0</v>
      </c>
      <c r="I77" s="981">
        <f t="shared" si="46"/>
        <v>0</v>
      </c>
      <c r="J77" s="981">
        <f t="shared" si="46"/>
        <v>0</v>
      </c>
      <c r="K77" s="981">
        <f t="shared" si="46"/>
        <v>0</v>
      </c>
      <c r="L77" s="805"/>
      <c r="M77" s="805"/>
      <c r="N77" s="805"/>
      <c r="O77" s="805"/>
      <c r="P77" s="805"/>
      <c r="Q77" s="805"/>
      <c r="R77" s="805"/>
      <c r="S77" s="805"/>
      <c r="T77" s="805"/>
      <c r="U77" s="805"/>
      <c r="V77" s="805"/>
      <c r="W77" s="805"/>
      <c r="X77" s="805"/>
      <c r="Y77" s="805"/>
    </row>
    <row r="78" spans="1:25" ht="14">
      <c r="A78" s="702"/>
      <c r="B78" s="702"/>
      <c r="C78" s="233"/>
      <c r="D78" s="233"/>
      <c r="E78" s="233"/>
      <c r="F78" s="675"/>
      <c r="G78" s="675"/>
      <c r="H78" s="675"/>
      <c r="I78" s="675"/>
      <c r="J78" s="389"/>
      <c r="K78" s="389"/>
      <c r="L78" s="389"/>
      <c r="M78" s="389"/>
      <c r="N78" s="389"/>
      <c r="O78" s="389"/>
      <c r="P78" s="389"/>
      <c r="Q78" s="389"/>
      <c r="R78" s="389"/>
      <c r="S78" s="389"/>
      <c r="T78" s="389"/>
      <c r="U78" s="389"/>
      <c r="V78" s="389"/>
      <c r="W78" s="389"/>
      <c r="X78" s="389"/>
      <c r="Y78" s="389"/>
    </row>
    <row r="79" spans="1:25" ht="14">
      <c r="A79" s="702" t="s">
        <v>1915</v>
      </c>
      <c r="B79" s="702"/>
      <c r="C79" s="233" t="e">
        <f>+C74*C77</f>
        <v>#N/A</v>
      </c>
      <c r="D79" s="233" t="e">
        <f>+D74*D77</f>
        <v>#N/A</v>
      </c>
      <c r="E79" s="233">
        <f>+E74*E77</f>
        <v>0</v>
      </c>
      <c r="F79" s="233">
        <f>+F74*F77</f>
        <v>0</v>
      </c>
      <c r="G79" s="233">
        <f t="shared" ref="G79:H79" si="47">+G74*G77</f>
        <v>0</v>
      </c>
      <c r="H79" s="233">
        <f t="shared" si="47"/>
        <v>0</v>
      </c>
      <c r="I79" s="675">
        <f t="shared" ref="I79:J79" si="48">+I74*I77</f>
        <v>0</v>
      </c>
      <c r="J79" s="675">
        <f t="shared" si="48"/>
        <v>0</v>
      </c>
      <c r="K79" s="675">
        <f t="shared" ref="K79" si="49">+K74*K77</f>
        <v>0</v>
      </c>
      <c r="L79" s="389"/>
      <c r="M79" s="389"/>
      <c r="N79" s="389"/>
      <c r="O79" s="389"/>
      <c r="P79" s="389"/>
      <c r="Q79" s="389"/>
      <c r="R79" s="389"/>
      <c r="S79" s="389"/>
      <c r="T79" s="389"/>
      <c r="U79" s="389"/>
      <c r="V79" s="389"/>
      <c r="W79" s="389"/>
      <c r="X79" s="389"/>
      <c r="Y79" s="389"/>
    </row>
    <row r="80" spans="1:25" ht="14">
      <c r="A80" s="795" t="s">
        <v>1230</v>
      </c>
      <c r="B80" s="795"/>
      <c r="C80" s="797" t="e">
        <f>IF(C77=0,0,C75*G110/1000)</f>
        <v>#N/A</v>
      </c>
      <c r="D80" s="797" t="e">
        <f>IF(D77=0,0,D75*H127/1000)</f>
        <v>#N/A</v>
      </c>
      <c r="E80" s="797">
        <f>IF(E77=0,0,E75*I144/1000)</f>
        <v>0</v>
      </c>
      <c r="F80" s="797">
        <f>IF(F77=0,0,F75*J161/1000)</f>
        <v>0</v>
      </c>
      <c r="G80" s="797">
        <f>IF(G77=0,0,G75*K178/1000)</f>
        <v>0</v>
      </c>
      <c r="H80" s="797">
        <f>IF(H77=0,0,H75*L178/1000)</f>
        <v>0</v>
      </c>
      <c r="I80" s="982">
        <f>IF(I77=0,0,I75*M178/1000)</f>
        <v>0</v>
      </c>
      <c r="J80" s="982">
        <f>IF(J77=0,0,J75*N178/1000)</f>
        <v>0</v>
      </c>
      <c r="K80" s="982">
        <f>IF(K77=0,0,K75*O178/1000)</f>
        <v>0</v>
      </c>
      <c r="L80" s="389"/>
      <c r="M80" s="389"/>
      <c r="N80" s="389"/>
      <c r="O80" s="389"/>
      <c r="P80" s="389"/>
      <c r="Q80" s="389"/>
      <c r="R80" s="389"/>
      <c r="S80" s="389"/>
      <c r="T80" s="389"/>
      <c r="U80" s="389"/>
      <c r="V80" s="389"/>
      <c r="W80" s="389"/>
      <c r="X80" s="389"/>
      <c r="Y80" s="389"/>
    </row>
    <row r="81" spans="1:30" ht="14">
      <c r="A81" s="796" t="s">
        <v>1231</v>
      </c>
      <c r="B81" s="796"/>
      <c r="C81" s="798" t="e">
        <f>ROUND(SUM(C79:C80),0)</f>
        <v>#N/A</v>
      </c>
      <c r="D81" s="798" t="e">
        <f t="shared" ref="D81:F81" si="50">ROUND(SUM(D79:D80),0)</f>
        <v>#N/A</v>
      </c>
      <c r="E81" s="798">
        <f t="shared" si="50"/>
        <v>0</v>
      </c>
      <c r="F81" s="798">
        <f t="shared" si="50"/>
        <v>0</v>
      </c>
      <c r="G81" s="798">
        <f t="shared" ref="G81:H81" si="51">ROUND(SUM(G79:G80),0)</f>
        <v>0</v>
      </c>
      <c r="H81" s="798">
        <f t="shared" si="51"/>
        <v>0</v>
      </c>
      <c r="I81" s="983">
        <f t="shared" ref="I81:K81" si="52">ROUND(SUM(I79:I80),0)</f>
        <v>0</v>
      </c>
      <c r="J81" s="983">
        <f t="shared" si="52"/>
        <v>0</v>
      </c>
      <c r="K81" s="983">
        <f t="shared" si="52"/>
        <v>0</v>
      </c>
      <c r="L81" s="389"/>
      <c r="M81" s="389"/>
      <c r="N81" s="389"/>
      <c r="O81" s="389"/>
      <c r="P81" s="389"/>
      <c r="Q81" s="389"/>
      <c r="R81" s="389"/>
      <c r="S81" s="389"/>
      <c r="T81" s="389"/>
      <c r="U81" s="389"/>
      <c r="V81" s="389"/>
      <c r="W81" s="389"/>
      <c r="X81" s="389"/>
      <c r="Y81" s="389"/>
    </row>
    <row r="82" spans="1:30">
      <c r="A82" s="702"/>
      <c r="B82" s="702"/>
      <c r="C82" s="67"/>
      <c r="D82" s="67"/>
      <c r="E82" s="67"/>
      <c r="F82" s="67"/>
      <c r="G82" s="67"/>
      <c r="H82" s="67"/>
      <c r="I82" s="389"/>
      <c r="J82" s="389"/>
      <c r="K82" s="389"/>
      <c r="L82" s="389"/>
      <c r="M82" s="389"/>
      <c r="N82" s="389"/>
      <c r="O82" s="389"/>
      <c r="P82" s="389"/>
      <c r="Q82" s="389"/>
      <c r="R82" s="389"/>
      <c r="S82" s="389"/>
      <c r="T82" s="389"/>
      <c r="U82" s="389"/>
      <c r="V82" s="389"/>
      <c r="W82" s="389"/>
      <c r="X82" s="389"/>
      <c r="Y82" s="389"/>
    </row>
    <row r="83" spans="1:30">
      <c r="A83" s="702" t="s">
        <v>2562</v>
      </c>
      <c r="B83" s="702"/>
      <c r="C83" s="67" t="e">
        <f>VLOOKUP(Gdata!$B3,'K18'!$A$4:$BN$425,65,FALSE)+VLOOKUP(Inngang!$C$8,'K18'!$A$4:$BP$425,67,FALSE)</f>
        <v>#N/A</v>
      </c>
      <c r="D83" s="67" t="e">
        <f>VLOOKUP(Gdata!$B3,'K19'!$A$4:$BN$425,65,FALSE)</f>
        <v>#N/A</v>
      </c>
      <c r="E83" s="67">
        <f>VLOOKUP(Gdata!$B3,'K20'!$A$4:$BN$431,65,FALSE)</f>
        <v>0</v>
      </c>
      <c r="F83" s="67">
        <f>VLOOKUP(Gdata!$B3,'K21'!$A$4:$BN$427,65,FALSE)</f>
        <v>0</v>
      </c>
      <c r="G83" s="67">
        <f>VLOOKUP(Gdata!$B3,'K22'!$A$4:$BN$425,65,FALSE)</f>
        <v>0</v>
      </c>
      <c r="H83" s="67">
        <f>VLOOKUP(Gdata!$B3,'K23'!$A$4:$BN$425,65,FALSE)</f>
        <v>0</v>
      </c>
      <c r="I83" s="389"/>
      <c r="J83" s="389"/>
      <c r="K83" s="389"/>
      <c r="L83" s="389"/>
      <c r="M83" s="389"/>
      <c r="N83" s="389"/>
      <c r="O83" s="389"/>
      <c r="P83" s="389"/>
      <c r="Q83" s="389"/>
      <c r="R83" s="389"/>
      <c r="S83" s="389"/>
      <c r="T83" s="389"/>
      <c r="U83" s="389"/>
      <c r="V83" s="389"/>
      <c r="W83" s="389"/>
      <c r="X83" s="389"/>
      <c r="Y83" s="389"/>
    </row>
    <row r="84" spans="1:30">
      <c r="A84" s="702"/>
      <c r="B84" s="702"/>
      <c r="C84" s="67"/>
      <c r="D84" s="67"/>
      <c r="E84" s="67"/>
      <c r="F84" s="389"/>
      <c r="G84" s="389"/>
      <c r="H84" s="389"/>
      <c r="I84" s="389"/>
      <c r="J84" s="389"/>
      <c r="K84" s="389"/>
      <c r="L84" s="389"/>
      <c r="M84" s="389"/>
      <c r="N84" s="389"/>
      <c r="O84" s="389"/>
      <c r="P84" s="389"/>
      <c r="Q84" s="389"/>
      <c r="R84" s="389"/>
      <c r="S84" s="389"/>
      <c r="T84" s="389"/>
      <c r="U84" s="389"/>
      <c r="V84" s="389"/>
      <c r="W84" s="389"/>
      <c r="X84" s="389"/>
      <c r="Y84" s="389"/>
    </row>
    <row r="85" spans="1:30" ht="20">
      <c r="A85" s="711" t="s">
        <v>917</v>
      </c>
      <c r="B85" s="245"/>
      <c r="C85" s="1086">
        <f t="shared" ref="C85:K85" si="53">C1</f>
        <v>2018</v>
      </c>
      <c r="D85" s="1086">
        <f t="shared" si="53"/>
        <v>2019</v>
      </c>
      <c r="E85" s="1086">
        <f t="shared" si="53"/>
        <v>2020</v>
      </c>
      <c r="F85" s="1086">
        <f t="shared" si="53"/>
        <v>2021</v>
      </c>
      <c r="G85" s="1086">
        <f t="shared" si="53"/>
        <v>2022</v>
      </c>
      <c r="H85" s="1086">
        <f t="shared" si="53"/>
        <v>2023</v>
      </c>
      <c r="I85" s="245">
        <f t="shared" si="53"/>
        <v>2024</v>
      </c>
      <c r="J85" s="245">
        <f t="shared" si="53"/>
        <v>2025</v>
      </c>
      <c r="K85" s="245">
        <f t="shared" si="53"/>
        <v>2026</v>
      </c>
      <c r="L85" s="389"/>
      <c r="M85" s="389"/>
      <c r="N85" s="389"/>
      <c r="O85" s="389"/>
      <c r="P85" s="389"/>
      <c r="Q85" s="389"/>
      <c r="R85" s="389"/>
      <c r="S85" s="389"/>
      <c r="T85" s="389"/>
      <c r="U85" s="389"/>
      <c r="V85" s="389"/>
      <c r="W85" s="389"/>
      <c r="X85" s="389"/>
      <c r="Y85" s="389"/>
    </row>
    <row r="86" spans="1:30" ht="14">
      <c r="A86" s="702" t="s">
        <v>1117</v>
      </c>
      <c r="B86" s="703"/>
      <c r="C86" s="512" t="e">
        <f t="shared" ref="C86:K86" si="54">C41/100</f>
        <v>#N/A</v>
      </c>
      <c r="D86" s="512" t="e">
        <f t="shared" si="54"/>
        <v>#N/A</v>
      </c>
      <c r="E86" s="512">
        <f t="shared" si="54"/>
        <v>0.80923606351404842</v>
      </c>
      <c r="F86" s="512">
        <f t="shared" si="54"/>
        <v>0.82952599197287347</v>
      </c>
      <c r="G86" s="512">
        <f>G41/100</f>
        <v>0.84296925261681321</v>
      </c>
      <c r="H86" s="512">
        <f t="shared" si="54"/>
        <v>0.83872818936924276</v>
      </c>
      <c r="I86" s="1008">
        <f t="shared" si="54"/>
        <v>0.82859726627574137</v>
      </c>
      <c r="J86" s="1008">
        <f t="shared" si="54"/>
        <v>0.82693779173594995</v>
      </c>
      <c r="K86" s="1008">
        <f t="shared" si="54"/>
        <v>0.84577816611202894</v>
      </c>
      <c r="L86" s="389"/>
      <c r="M86" s="389"/>
      <c r="N86" s="389"/>
      <c r="O86" s="389"/>
      <c r="P86" s="389"/>
      <c r="Q86" s="389"/>
      <c r="R86" s="389"/>
      <c r="S86" s="389"/>
      <c r="T86" s="389"/>
      <c r="U86" s="389"/>
      <c r="V86" s="389"/>
      <c r="W86" s="389"/>
      <c r="X86" s="389"/>
      <c r="Y86" s="389"/>
    </row>
    <row r="87" spans="1:30" ht="14">
      <c r="A87" s="706" t="s">
        <v>707</v>
      </c>
      <c r="B87" s="704"/>
      <c r="C87" s="512" t="e">
        <f>ROUND((((G110/D110)^(1/3))-1)*100,8)</f>
        <v>#N/A</v>
      </c>
      <c r="D87" s="512" t="e">
        <f>ROUND((((H127/E127)^(1/3))-1)*100,8)</f>
        <v>#N/A</v>
      </c>
      <c r="E87" s="512">
        <f>ROUND((((I144/F144)^(1/3))-1)*100,8)</f>
        <v>-3.4807800000000002E-3</v>
      </c>
      <c r="F87" s="512">
        <f>ROUND((((J161/G161)^(1/3))-1)*100,8)</f>
        <v>-0.54988338000000003</v>
      </c>
      <c r="G87" s="512">
        <f>ROUND((((K161/H161)^(1/3))-1)*100,8)</f>
        <v>-0.33717091999999999</v>
      </c>
      <c r="H87" s="512">
        <f>ROUND((((L178/I178)^(1/3))-1)*100,8)</f>
        <v>-0.70377666999999999</v>
      </c>
      <c r="I87" s="1009">
        <f>ROUND((((M178/J178)^(1/3))-1)*100,8)</f>
        <v>-0.69802443999999997</v>
      </c>
      <c r="J87" s="1009">
        <f>ROUND((((N178/K178)^(1/3))-1)*100,8)</f>
        <v>-0.57560104000000001</v>
      </c>
      <c r="K87" s="1009">
        <f>ROUND((((O178/L178)^(1/3))-1)*100,8)</f>
        <v>-0.25558128000000002</v>
      </c>
      <c r="L87" s="389"/>
      <c r="M87" s="389"/>
      <c r="N87" s="389"/>
      <c r="O87" s="389"/>
      <c r="P87" s="389"/>
      <c r="Q87" s="389"/>
      <c r="R87" s="389"/>
      <c r="S87" s="389"/>
      <c r="T87" s="389"/>
      <c r="U87" s="389"/>
      <c r="V87" s="389"/>
      <c r="W87" s="389"/>
      <c r="X87" s="389"/>
      <c r="Y87" s="389"/>
    </row>
    <row r="88" spans="1:30" ht="14">
      <c r="A88" s="701" t="s">
        <v>707</v>
      </c>
      <c r="B88" s="705"/>
      <c r="C88" s="513"/>
      <c r="D88" s="513"/>
      <c r="E88" s="513"/>
      <c r="F88" s="1043"/>
      <c r="G88" s="389"/>
      <c r="H88" s="389"/>
      <c r="I88" s="389"/>
      <c r="J88" s="389"/>
      <c r="K88" s="389"/>
      <c r="L88" s="389"/>
      <c r="M88" s="389"/>
      <c r="N88" s="389"/>
      <c r="O88" s="389"/>
      <c r="P88" s="389"/>
      <c r="Q88" s="389"/>
      <c r="R88" s="389"/>
      <c r="S88" s="389"/>
      <c r="T88" s="389"/>
      <c r="U88" s="389"/>
      <c r="V88" s="389"/>
      <c r="W88" s="389"/>
      <c r="X88" s="389"/>
      <c r="Y88" s="389"/>
    </row>
    <row r="89" spans="1:30" ht="14">
      <c r="A89" s="706" t="s">
        <v>1103</v>
      </c>
      <c r="B89" s="705"/>
      <c r="C89" s="513">
        <v>1.4</v>
      </c>
      <c r="D89" s="513">
        <f t="shared" ref="D89:K89" si="55">C89</f>
        <v>1.4</v>
      </c>
      <c r="E89" s="513">
        <f t="shared" si="55"/>
        <v>1.4</v>
      </c>
      <c r="F89" s="513">
        <f t="shared" si="55"/>
        <v>1.4</v>
      </c>
      <c r="G89" s="513">
        <f t="shared" si="55"/>
        <v>1.4</v>
      </c>
      <c r="H89" s="513">
        <f t="shared" si="55"/>
        <v>1.4</v>
      </c>
      <c r="I89" s="810">
        <f t="shared" si="55"/>
        <v>1.4</v>
      </c>
      <c r="J89" s="810">
        <f t="shared" si="55"/>
        <v>1.4</v>
      </c>
      <c r="K89" s="810">
        <f t="shared" si="55"/>
        <v>1.4</v>
      </c>
      <c r="L89" s="389"/>
      <c r="M89" s="389"/>
      <c r="N89" s="389"/>
      <c r="O89" s="389"/>
      <c r="P89" s="389"/>
      <c r="Q89" s="389"/>
      <c r="R89" s="389"/>
      <c r="S89" s="389"/>
      <c r="T89" s="389"/>
      <c r="U89" s="389"/>
      <c r="V89" s="389"/>
      <c r="W89" s="389"/>
      <c r="X89" s="389"/>
      <c r="Y89" s="389"/>
    </row>
    <row r="90" spans="1:30" ht="14">
      <c r="A90" s="706" t="s">
        <v>1055</v>
      </c>
      <c r="B90" s="705"/>
      <c r="C90" s="515" t="e">
        <f>IF((C87-C89)&gt;0,IF((C86&lt;1.4),(C87-C89),0),0)</f>
        <v>#N/A</v>
      </c>
      <c r="D90" s="515" t="e">
        <f t="shared" ref="D90:H90" si="56">IF((D87-D89)&gt;0,IF((D86&lt;1.4),(D87-D89),0),0)</f>
        <v>#N/A</v>
      </c>
      <c r="E90" s="515">
        <f t="shared" si="56"/>
        <v>0</v>
      </c>
      <c r="F90" s="515">
        <f t="shared" si="56"/>
        <v>0</v>
      </c>
      <c r="G90" s="515">
        <f t="shared" si="56"/>
        <v>0</v>
      </c>
      <c r="H90" s="515">
        <f t="shared" si="56"/>
        <v>0</v>
      </c>
      <c r="I90" s="1010">
        <f t="shared" ref="I90:K90" si="57">IF((I87-I89)&gt;0,IF((I86&lt;1.4),(I87-I89),0),0)</f>
        <v>0</v>
      </c>
      <c r="J90" s="1010">
        <f t="shared" si="57"/>
        <v>0</v>
      </c>
      <c r="K90" s="1010">
        <f t="shared" si="57"/>
        <v>0</v>
      </c>
      <c r="L90" s="389"/>
      <c r="M90" s="389"/>
      <c r="N90" s="389"/>
      <c r="O90" s="389"/>
      <c r="P90" s="389"/>
      <c r="Q90" s="389"/>
      <c r="R90" s="389"/>
      <c r="S90" s="389"/>
      <c r="T90" s="389"/>
      <c r="U90" s="389"/>
      <c r="V90" s="389"/>
      <c r="W90" s="389"/>
      <c r="X90" s="389"/>
      <c r="Y90" s="389"/>
    </row>
    <row r="91" spans="1:30" ht="14">
      <c r="A91" s="701" t="s">
        <v>734</v>
      </c>
      <c r="B91" s="703"/>
      <c r="C91" s="514" t="e">
        <f>ROUND(G110*C90/100,8)</f>
        <v>#N/A</v>
      </c>
      <c r="D91" s="514" t="e">
        <f>ROUND(H127*D90/100,8)</f>
        <v>#N/A</v>
      </c>
      <c r="E91" s="514">
        <f>ROUND(I144*E90/100,8)</f>
        <v>0</v>
      </c>
      <c r="F91" s="514">
        <f>ROUND(J161*F90/100,8)</f>
        <v>0</v>
      </c>
      <c r="G91" s="514">
        <f>ROUND(K178*G90/100,8)</f>
        <v>0</v>
      </c>
      <c r="H91" s="514">
        <f>ROUND(L178*H90/100,8)</f>
        <v>0</v>
      </c>
      <c r="I91" s="1011">
        <f>ROUND(M178*I90/100,8)</f>
        <v>0</v>
      </c>
      <c r="J91" s="1011">
        <f>ROUND(N178*J90/100,8)</f>
        <v>0</v>
      </c>
      <c r="K91" s="1011">
        <f>ROUND(O178*K90/100,8)</f>
        <v>0</v>
      </c>
      <c r="L91" s="389"/>
      <c r="M91" s="389"/>
      <c r="N91" s="389"/>
      <c r="O91" s="389"/>
      <c r="P91" s="389"/>
      <c r="Q91" s="389"/>
      <c r="R91" s="389"/>
      <c r="S91" s="389"/>
      <c r="T91" s="389"/>
      <c r="U91" s="389"/>
      <c r="V91" s="389"/>
      <c r="W91" s="389"/>
      <c r="X91" s="389"/>
      <c r="Y91" s="389"/>
    </row>
    <row r="92" spans="1:30" ht="14">
      <c r="A92" s="701" t="s">
        <v>731</v>
      </c>
      <c r="B92" s="707"/>
      <c r="C92" s="504">
        <v>57191</v>
      </c>
      <c r="D92" s="504">
        <v>58792</v>
      </c>
      <c r="E92" s="504">
        <v>60615</v>
      </c>
      <c r="F92" s="504">
        <v>62252</v>
      </c>
      <c r="G92" s="504">
        <v>62252</v>
      </c>
      <c r="H92" s="504">
        <v>64555</v>
      </c>
      <c r="I92" s="809">
        <f>H92</f>
        <v>64555</v>
      </c>
      <c r="J92" s="809">
        <f>I92</f>
        <v>64555</v>
      </c>
      <c r="K92" s="809">
        <f>J92</f>
        <v>64555</v>
      </c>
      <c r="L92" s="389"/>
      <c r="M92" s="389"/>
      <c r="N92" s="389"/>
      <c r="O92" s="389"/>
      <c r="P92" s="389"/>
      <c r="Q92" s="389"/>
      <c r="R92" s="389"/>
      <c r="S92" s="389"/>
      <c r="T92" s="389"/>
      <c r="U92" s="389"/>
      <c r="V92" s="389"/>
      <c r="W92" s="389"/>
      <c r="X92" s="389"/>
      <c r="Y92" s="389"/>
    </row>
    <row r="93" spans="1:30" s="156" customFormat="1" ht="15.5">
      <c r="A93" s="281" t="s">
        <v>735</v>
      </c>
      <c r="B93" s="282"/>
      <c r="C93" s="283" t="e">
        <f>ROUND((C91*C92/1000),0)</f>
        <v>#N/A</v>
      </c>
      <c r="D93" s="283" t="e">
        <f t="shared" ref="D93:E93" si="58">ROUND((D91*D92/1000),0)</f>
        <v>#N/A</v>
      </c>
      <c r="E93" s="283">
        <f t="shared" si="58"/>
        <v>0</v>
      </c>
      <c r="F93" s="1087">
        <f>ROUND((F91*F92/1000),0)</f>
        <v>0</v>
      </c>
      <c r="G93" s="1087">
        <f t="shared" ref="G93:H93" si="59">ROUND((G91*G92/1000),0)</f>
        <v>0</v>
      </c>
      <c r="H93" s="1087">
        <f t="shared" si="59"/>
        <v>0</v>
      </c>
      <c r="I93" s="970">
        <f>ROUND((I91*I92/1000),0)</f>
        <v>0</v>
      </c>
      <c r="J93" s="970">
        <f>ROUND((J91*J92/1000),0)</f>
        <v>0</v>
      </c>
      <c r="K93" s="970">
        <f>ROUND((K91*K92/1000),0)</f>
        <v>0</v>
      </c>
      <c r="L93" s="710"/>
      <c r="M93" s="710"/>
      <c r="N93" s="710"/>
      <c r="O93" s="710"/>
      <c r="P93" s="710"/>
      <c r="Q93" s="710"/>
      <c r="R93" s="710"/>
      <c r="S93" s="710"/>
      <c r="T93" s="710"/>
      <c r="U93" s="710"/>
      <c r="V93" s="710"/>
      <c r="W93" s="710"/>
      <c r="X93" s="710"/>
      <c r="Y93" s="710"/>
    </row>
    <row r="94" spans="1:30">
      <c r="A94" s="185" t="s">
        <v>2560</v>
      </c>
      <c r="B94" s="748"/>
      <c r="C94" s="749" t="e">
        <f>(VLOOKUP(Gdata!B3,'K18'!$A$4:$BB$429,31,FALSE))</f>
        <v>#N/A</v>
      </c>
      <c r="D94" s="749" t="e">
        <f>(VLOOKUP(Gdata!B3,'K19'!$A$4:$BB$429,31,FALSE))</f>
        <v>#N/A</v>
      </c>
      <c r="E94" s="749">
        <f>(VLOOKUP(Gdata!B3,'K20'!$A$4:$BB$435,31,FALSE))</f>
        <v>0</v>
      </c>
      <c r="F94" s="749">
        <f>(VLOOKUP(Gdata!B3,'K21'!$A$4:$BB$431,31,FALSE))</f>
        <v>0</v>
      </c>
      <c r="G94" s="749">
        <f>(VLOOKUP(Gdata!$B3,'K22'!$A$4:$BB$429,31,FALSE))</f>
        <v>0</v>
      </c>
      <c r="H94" s="749">
        <f>(VLOOKUP(Gdata!$B3,'K23'!$A$4:$BB$429,31,FALSE))</f>
        <v>0</v>
      </c>
      <c r="I94" s="389"/>
      <c r="J94" s="389"/>
      <c r="K94" s="389"/>
      <c r="L94" s="389"/>
      <c r="M94" s="389"/>
      <c r="N94" s="389"/>
      <c r="O94" s="389"/>
      <c r="P94" s="389"/>
      <c r="Q94" s="389"/>
      <c r="R94" s="389"/>
      <c r="S94" s="389"/>
      <c r="T94" s="389"/>
      <c r="U94" s="389"/>
      <c r="V94" s="389"/>
      <c r="W94" s="389"/>
      <c r="X94" s="389"/>
    </row>
    <row r="95" spans="1:30" ht="14">
      <c r="A95" s="52"/>
      <c r="B95" s="52"/>
      <c r="C95" s="52"/>
      <c r="D95" s="52"/>
      <c r="E95" s="52"/>
      <c r="F95" s="52"/>
      <c r="G95" s="52"/>
      <c r="H95" s="52"/>
      <c r="I95" s="45"/>
      <c r="J95" s="503"/>
      <c r="K95" s="36"/>
      <c r="L95" s="389"/>
      <c r="M95" s="389"/>
      <c r="N95" s="389"/>
      <c r="O95" s="389"/>
      <c r="P95" s="389"/>
      <c r="Q95" s="389"/>
      <c r="R95" s="389"/>
      <c r="S95" s="389"/>
      <c r="T95" s="389"/>
      <c r="U95" s="389"/>
      <c r="V95" s="389"/>
      <c r="W95" s="389"/>
      <c r="X95" s="389"/>
      <c r="Y95" s="389"/>
      <c r="Z95" s="389"/>
      <c r="AA95" s="389"/>
      <c r="AB95" s="389"/>
      <c r="AC95" s="389"/>
      <c r="AD95" s="389"/>
    </row>
    <row r="96" spans="1:30" ht="14">
      <c r="A96" s="52"/>
      <c r="B96" s="52"/>
      <c r="C96" s="52"/>
      <c r="D96" s="52"/>
      <c r="E96" s="52"/>
      <c r="F96" s="52"/>
      <c r="G96" s="52"/>
      <c r="H96" s="52"/>
      <c r="I96" s="45"/>
      <c r="J96" s="503"/>
      <c r="K96" s="36"/>
      <c r="L96" s="389"/>
      <c r="M96" s="389"/>
      <c r="N96" s="389"/>
      <c r="O96" s="389"/>
      <c r="P96" s="389"/>
      <c r="Q96" s="389"/>
      <c r="R96" s="389"/>
      <c r="S96" s="389"/>
      <c r="T96" s="389"/>
      <c r="U96" s="389"/>
      <c r="V96" s="389"/>
      <c r="W96" s="389"/>
      <c r="X96" s="389"/>
      <c r="Y96" s="389"/>
      <c r="Z96" s="389"/>
      <c r="AA96" s="389"/>
      <c r="AB96" s="389"/>
      <c r="AC96" s="389"/>
      <c r="AD96" s="389"/>
    </row>
    <row r="97" spans="1:30">
      <c r="A97" s="1270" t="s">
        <v>1119</v>
      </c>
      <c r="B97" s="1271"/>
      <c r="C97" s="1271"/>
      <c r="D97" s="1271"/>
      <c r="E97" s="1271"/>
      <c r="F97" s="1271"/>
      <c r="G97" s="1271"/>
      <c r="H97" s="1271"/>
      <c r="I97" s="1271"/>
      <c r="J97" s="1271"/>
      <c r="K97" s="1271"/>
      <c r="L97" s="1246"/>
      <c r="M97" s="1246"/>
      <c r="N97" s="1246"/>
      <c r="O97" s="1246"/>
      <c r="P97" s="1246"/>
      <c r="Q97" s="389"/>
      <c r="R97" s="389"/>
      <c r="S97" s="389"/>
      <c r="T97" s="389"/>
      <c r="U97" s="389"/>
      <c r="V97" s="389"/>
      <c r="W97" s="389"/>
      <c r="X97" s="389"/>
      <c r="Y97" s="389"/>
      <c r="Z97" s="389"/>
      <c r="AA97" s="389"/>
      <c r="AB97" s="389"/>
      <c r="AC97" s="389"/>
      <c r="AD97" s="389"/>
    </row>
    <row r="98" spans="1:30">
      <c r="A98" s="1271"/>
      <c r="B98" s="1271"/>
      <c r="C98" s="1271"/>
      <c r="D98" s="1271"/>
      <c r="E98" s="1271"/>
      <c r="F98" s="1271"/>
      <c r="G98" s="1271"/>
      <c r="H98" s="1271"/>
      <c r="I98" s="1271"/>
      <c r="J98" s="1271"/>
      <c r="K98" s="1271"/>
      <c r="L98" s="1246"/>
      <c r="M98" s="1246"/>
      <c r="N98" s="1246"/>
      <c r="O98" s="1246"/>
      <c r="P98" s="1246"/>
      <c r="Q98" s="389"/>
      <c r="R98" s="389"/>
      <c r="S98" s="389"/>
      <c r="T98" s="389"/>
      <c r="U98" s="389"/>
      <c r="V98" s="389"/>
      <c r="W98" s="389"/>
      <c r="X98" s="389"/>
      <c r="Y98" s="389"/>
      <c r="Z98" s="389"/>
      <c r="AA98" s="389"/>
      <c r="AB98" s="389"/>
      <c r="AC98" s="389"/>
      <c r="AD98" s="389"/>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ht="14">
      <c r="A100" s="754" t="s">
        <v>1444</v>
      </c>
      <c r="B100" s="245"/>
      <c r="C100" s="245"/>
      <c r="D100" s="1086">
        <v>2014</v>
      </c>
      <c r="E100" s="1086">
        <v>2015</v>
      </c>
      <c r="F100" s="1086">
        <v>2016</v>
      </c>
      <c r="G100" s="1086">
        <v>2017</v>
      </c>
      <c r="H100" s="1086">
        <v>2018</v>
      </c>
      <c r="I100" s="36"/>
      <c r="J100" s="36"/>
      <c r="K100" s="36"/>
      <c r="L100" s="36"/>
      <c r="M100" s="36"/>
      <c r="N100" s="36"/>
      <c r="O100" s="36"/>
      <c r="P100" s="36"/>
      <c r="Q100" s="36"/>
      <c r="R100" s="36"/>
      <c r="S100" s="36"/>
      <c r="T100" s="36"/>
      <c r="U100" s="36"/>
      <c r="V100" s="36"/>
      <c r="W100" s="36"/>
      <c r="X100" s="36"/>
      <c r="Y100" s="36"/>
    </row>
    <row r="101" spans="1:30">
      <c r="A101" s="590" t="s">
        <v>1036</v>
      </c>
      <c r="B101" s="36"/>
      <c r="C101" s="36"/>
      <c r="D101" s="347" t="e">
        <f>VLOOKUP(Gdata!$B$3,K0kommunestruktur2018!$A$4:$BL$429,4,FALSE)</f>
        <v>#N/A</v>
      </c>
      <c r="E101" s="347" t="e">
        <f>VLOOKUP(Gdata!$B$3,K0kommunestruktur2018!$A$4:$BL$429,6,FALSE)</f>
        <v>#N/A</v>
      </c>
      <c r="F101" s="347" t="e">
        <f>VLOOKUP(Gdata!$B$3,K0kommunestruktur2018!$A$4:$BL$429,8,FALSE)</f>
        <v>#N/A</v>
      </c>
      <c r="G101" s="347" t="e">
        <f>VLOOKUP(Gdata!$B$3,K0kommunestruktur2018!$A$4:$BL$429,10,FALSE)</f>
        <v>#N/A</v>
      </c>
      <c r="H101" s="347" t="e">
        <f>VLOOKUP(Gdata!$B$3,K0kommunestruktur2018!$A$4:$BL$429,12,FALSE)</f>
        <v>#N/A</v>
      </c>
      <c r="I101" s="36"/>
      <c r="J101" s="36"/>
      <c r="K101" s="36"/>
      <c r="L101" s="36"/>
      <c r="M101" s="36"/>
      <c r="N101" s="36"/>
      <c r="O101" s="36"/>
      <c r="P101" s="36"/>
      <c r="Q101" s="36"/>
      <c r="R101" s="36"/>
      <c r="S101" s="36"/>
      <c r="T101" s="36"/>
      <c r="U101" s="36"/>
      <c r="V101" s="36"/>
      <c r="W101" s="36"/>
      <c r="X101" s="36"/>
      <c r="Y101" s="36"/>
    </row>
    <row r="102" spans="1:30">
      <c r="A102" s="590" t="s">
        <v>1057</v>
      </c>
      <c r="B102" s="36"/>
      <c r="C102" s="36"/>
      <c r="D102" s="347">
        <f>+K0kommunestruktur2018!D427</f>
        <v>128883065.99999999</v>
      </c>
      <c r="E102" s="347">
        <f>+K0kommunestruktur2018!F427</f>
        <v>136597674</v>
      </c>
      <c r="F102" s="347">
        <f>+K0kommunestruktur2018!H427</f>
        <v>149813982</v>
      </c>
      <c r="G102" s="347">
        <f>+K0kommunestruktur2018!J427</f>
        <v>156585214</v>
      </c>
      <c r="H102" s="347">
        <f>+K0kommunestruktur2018!L427</f>
        <v>162536856</v>
      </c>
      <c r="I102" s="36"/>
      <c r="J102" s="36"/>
      <c r="K102" s="36"/>
      <c r="L102" s="36"/>
      <c r="M102" s="36"/>
      <c r="N102" s="36"/>
      <c r="O102" s="36"/>
      <c r="P102" s="36"/>
      <c r="Q102" s="36"/>
      <c r="R102" s="36"/>
      <c r="S102" s="36"/>
      <c r="T102" s="36"/>
      <c r="U102" s="36"/>
      <c r="V102" s="36"/>
      <c r="W102" s="36"/>
      <c r="X102" s="36"/>
      <c r="Y102" s="36"/>
    </row>
    <row r="103" spans="1:30">
      <c r="A103" s="590" t="s">
        <v>1037</v>
      </c>
      <c r="B103" s="36"/>
      <c r="C103" s="36"/>
      <c r="D103" s="591" t="e">
        <f>D101*1000/D110</f>
        <v>#N/A</v>
      </c>
      <c r="E103" s="591" t="e">
        <f t="shared" ref="E103:G103" si="60">E101*1000/E110</f>
        <v>#N/A</v>
      </c>
      <c r="F103" s="591" t="e">
        <f t="shared" si="60"/>
        <v>#N/A</v>
      </c>
      <c r="G103" s="591" t="e">
        <f t="shared" si="60"/>
        <v>#N/A</v>
      </c>
      <c r="H103" s="591" t="e">
        <f>H101*1000/H110</f>
        <v>#N/A</v>
      </c>
      <c r="I103" s="36"/>
      <c r="J103" s="36"/>
      <c r="K103" s="36"/>
      <c r="L103" s="36"/>
      <c r="M103" s="36"/>
      <c r="N103" s="36"/>
      <c r="O103" s="36"/>
      <c r="P103" s="36"/>
      <c r="Q103" s="36"/>
      <c r="R103" s="36"/>
      <c r="S103" s="36"/>
      <c r="T103" s="36"/>
      <c r="U103" s="36"/>
      <c r="V103" s="36"/>
      <c r="W103" s="36"/>
      <c r="X103" s="36"/>
      <c r="Y103" s="36"/>
    </row>
    <row r="104" spans="1:30">
      <c r="A104" s="590" t="s">
        <v>1038</v>
      </c>
      <c r="B104" s="36"/>
      <c r="C104" s="36"/>
      <c r="D104" s="591">
        <f t="shared" ref="D104:G104" si="61">D102*1000/D112</f>
        <v>25226.395247967528</v>
      </c>
      <c r="E104" s="591">
        <f t="shared" si="61"/>
        <v>26442.684795119905</v>
      </c>
      <c r="F104" s="591">
        <f t="shared" si="61"/>
        <v>28733.105676368457</v>
      </c>
      <c r="G104" s="591">
        <f t="shared" si="61"/>
        <v>29778.58010462283</v>
      </c>
      <c r="H104" s="591">
        <f>H102*1000/H112</f>
        <v>30692.702024069331</v>
      </c>
      <c r="I104" s="36"/>
      <c r="J104" s="36"/>
      <c r="K104" s="36"/>
      <c r="L104" s="36"/>
      <c r="M104" s="36"/>
      <c r="N104" s="36"/>
      <c r="O104" s="36"/>
      <c r="P104" s="36"/>
      <c r="Q104" s="36"/>
      <c r="R104" s="36"/>
      <c r="S104" s="36"/>
      <c r="T104" s="36"/>
      <c r="U104" s="36"/>
      <c r="V104" s="36"/>
      <c r="W104" s="36"/>
      <c r="X104" s="36"/>
      <c r="Y104" s="36"/>
    </row>
    <row r="105" spans="1:30">
      <c r="A105" s="592" t="s">
        <v>1039</v>
      </c>
      <c r="B105" s="36"/>
      <c r="C105" s="36"/>
      <c r="D105" s="52" t="e">
        <f>100*D103/D104</f>
        <v>#N/A</v>
      </c>
      <c r="E105" s="52" t="e">
        <f t="shared" ref="E105:F105" si="62">100*E103/E104</f>
        <v>#N/A</v>
      </c>
      <c r="F105" s="52" t="e">
        <f t="shared" si="62"/>
        <v>#N/A</v>
      </c>
      <c r="G105" s="52" t="e">
        <f>100*G103/G104</f>
        <v>#N/A</v>
      </c>
      <c r="H105" s="52" t="e">
        <f>100*H103/H104</f>
        <v>#N/A</v>
      </c>
      <c r="I105" s="36"/>
      <c r="J105" s="36"/>
      <c r="K105" s="36"/>
      <c r="L105" s="36"/>
      <c r="M105" s="36"/>
      <c r="N105" s="36"/>
      <c r="O105" s="36"/>
      <c r="P105" s="36"/>
      <c r="Q105" s="36"/>
      <c r="R105" s="36"/>
      <c r="S105" s="36"/>
      <c r="T105" s="36"/>
      <c r="U105" s="36"/>
      <c r="V105" s="36"/>
      <c r="W105" s="36"/>
      <c r="X105" s="36"/>
      <c r="Y105" s="36"/>
    </row>
    <row r="106" spans="1:30">
      <c r="A106" s="592"/>
      <c r="B106" s="36"/>
      <c r="C106" s="36"/>
      <c r="D106" s="735" t="s">
        <v>1185</v>
      </c>
      <c r="E106" s="735" t="s">
        <v>1354</v>
      </c>
      <c r="F106" s="735"/>
      <c r="G106" s="735"/>
      <c r="H106" s="735"/>
      <c r="I106" s="36"/>
      <c r="J106" s="36"/>
      <c r="K106" s="36"/>
      <c r="L106" s="36"/>
      <c r="M106" s="36"/>
      <c r="N106" s="36"/>
      <c r="O106" s="36"/>
      <c r="P106" s="36"/>
      <c r="Q106" s="36"/>
      <c r="R106" s="36"/>
      <c r="S106" s="36"/>
      <c r="T106" s="36"/>
      <c r="U106" s="36"/>
      <c r="V106" s="36"/>
      <c r="W106" s="36"/>
      <c r="X106" s="36"/>
      <c r="Y106" s="36"/>
    </row>
    <row r="107" spans="1:30">
      <c r="A107" s="592" t="s">
        <v>1105</v>
      </c>
      <c r="B107" s="36"/>
      <c r="C107" s="36"/>
      <c r="D107" s="52" t="e">
        <f>(D105+E105+F105)/3</f>
        <v>#N/A</v>
      </c>
      <c r="E107" s="52" t="e">
        <f>(E105+F105+G105)/3</f>
        <v>#N/A</v>
      </c>
      <c r="F107" s="52"/>
      <c r="G107" s="52"/>
      <c r="H107" s="52"/>
      <c r="I107" s="36"/>
      <c r="J107" s="36"/>
      <c r="K107" s="36"/>
      <c r="L107" s="36"/>
      <c r="M107" s="36"/>
      <c r="N107" s="36"/>
      <c r="O107" s="36"/>
      <c r="P107" s="36"/>
      <c r="Q107" s="36"/>
      <c r="R107" s="36"/>
      <c r="S107" s="36"/>
      <c r="T107" s="36"/>
      <c r="U107" s="36"/>
      <c r="V107" s="36"/>
      <c r="W107" s="36"/>
      <c r="X107" s="36"/>
      <c r="Y107" s="36"/>
    </row>
    <row r="108" spans="1:30">
      <c r="A108" s="52"/>
      <c r="B108" s="36"/>
      <c r="C108" s="36"/>
      <c r="D108" s="52"/>
      <c r="E108" s="389"/>
      <c r="F108" s="389"/>
      <c r="G108" s="389"/>
      <c r="H108" s="389"/>
      <c r="I108" s="36"/>
      <c r="J108" s="36"/>
      <c r="K108" s="36"/>
      <c r="L108" s="36"/>
      <c r="M108" s="36"/>
      <c r="N108" s="36"/>
      <c r="O108" s="36"/>
      <c r="P108" s="36"/>
      <c r="Q108" s="36"/>
      <c r="R108" s="36"/>
      <c r="S108" s="36"/>
      <c r="T108" s="36"/>
      <c r="U108" s="36"/>
      <c r="V108" s="36"/>
      <c r="W108" s="36"/>
      <c r="X108" s="36"/>
      <c r="Y108" s="36"/>
    </row>
    <row r="109" spans="1:30">
      <c r="A109" s="52"/>
      <c r="B109" s="36"/>
      <c r="C109" s="36"/>
      <c r="D109" s="52"/>
      <c r="E109" s="389"/>
      <c r="F109" s="389"/>
      <c r="G109" s="389"/>
      <c r="H109" s="389"/>
      <c r="I109" s="36"/>
      <c r="J109" s="36"/>
      <c r="K109" s="36"/>
      <c r="L109" s="36"/>
      <c r="M109" s="36"/>
      <c r="N109" s="36"/>
      <c r="O109" s="36"/>
      <c r="P109" s="36"/>
      <c r="Q109" s="36"/>
      <c r="R109" s="36"/>
      <c r="S109" s="36"/>
      <c r="T109" s="36"/>
      <c r="U109" s="36"/>
      <c r="V109" s="36"/>
      <c r="W109" s="36"/>
      <c r="X109" s="36"/>
      <c r="Y109" s="36"/>
    </row>
    <row r="110" spans="1:30" ht="14">
      <c r="A110" s="612" t="s">
        <v>1171</v>
      </c>
      <c r="B110" s="389"/>
      <c r="C110" s="507"/>
      <c r="D110" s="507" t="e">
        <f>VLOOKUP(Gdata!$B$3,K0kommunestruktur2018!$A$4:$AI$429,3,FALSE)</f>
        <v>#N/A</v>
      </c>
      <c r="E110" s="507" t="e">
        <f>VLOOKUP(Gdata!$B$3,K0kommunestruktur2018!$A$4:$AI$429,5,FALSE)</f>
        <v>#N/A</v>
      </c>
      <c r="F110" s="507" t="e">
        <f>VLOOKUP(Gdata!$B$3,K0kommunestruktur2018!$A$4:$AI$429,7,FALSE)</f>
        <v>#N/A</v>
      </c>
      <c r="G110" s="507" t="e">
        <f>VLOOKUP(Gdata!$B$3,K0kommunestruktur2018!$A$4:$AI$429,9,FALSE)</f>
        <v>#N/A</v>
      </c>
      <c r="H110" s="507" t="e">
        <f>VLOOKUP(Gdata!$B$3,K0kommunestruktur2018!$A$4:$AI$429,11,FALSE)</f>
        <v>#N/A</v>
      </c>
      <c r="I110" s="36"/>
      <c r="J110" s="36"/>
      <c r="K110" s="36"/>
      <c r="L110" s="36"/>
      <c r="M110" s="36"/>
      <c r="N110" s="36"/>
      <c r="O110" s="36"/>
      <c r="P110" s="36"/>
      <c r="Q110" s="36"/>
      <c r="R110" s="36"/>
      <c r="S110" s="36"/>
      <c r="T110" s="36"/>
      <c r="U110" s="36"/>
      <c r="V110" s="36"/>
      <c r="W110" s="36"/>
      <c r="X110" s="36"/>
      <c r="Y110" s="36"/>
    </row>
    <row r="111" spans="1:30">
      <c r="A111" s="52"/>
      <c r="B111" s="709"/>
      <c r="C111" s="784"/>
      <c r="D111" s="36"/>
      <c r="E111" s="389"/>
      <c r="F111" s="389"/>
      <c r="G111" s="389"/>
      <c r="H111" s="389"/>
      <c r="I111" s="36"/>
      <c r="J111" s="36"/>
      <c r="K111" s="36"/>
      <c r="L111" s="36"/>
      <c r="M111" s="36"/>
      <c r="N111" s="36"/>
      <c r="O111" s="36"/>
      <c r="P111" s="36"/>
      <c r="Q111" s="36"/>
      <c r="R111" s="36"/>
      <c r="S111" s="36"/>
      <c r="T111" s="36"/>
      <c r="U111" s="36"/>
      <c r="V111" s="36"/>
      <c r="W111" s="36"/>
      <c r="X111" s="36"/>
      <c r="Y111" s="36"/>
    </row>
    <row r="112" spans="1:30" ht="14">
      <c r="A112" s="612" t="s">
        <v>1116</v>
      </c>
      <c r="B112" s="389"/>
      <c r="C112" s="504"/>
      <c r="D112" s="504">
        <f>+K0kommunestruktur2018!C427</f>
        <v>5109056</v>
      </c>
      <c r="E112" s="504">
        <f>+K0kommunestruktur2018!E427</f>
        <v>5165802</v>
      </c>
      <c r="F112" s="504">
        <f>+K0kommunestruktur2018!G427</f>
        <v>5213985</v>
      </c>
      <c r="G112" s="504">
        <f>+K0kommunestruktur2018!I427</f>
        <v>5258317</v>
      </c>
      <c r="H112" s="504">
        <f>+K0kommunestruktur2018!K427</f>
        <v>5295619</v>
      </c>
      <c r="I112" s="36"/>
      <c r="J112" s="36"/>
      <c r="K112" s="36"/>
      <c r="L112" s="36"/>
      <c r="M112" s="36"/>
      <c r="N112" s="36"/>
      <c r="O112" s="36"/>
      <c r="P112" s="36"/>
      <c r="Q112" s="36"/>
      <c r="R112" s="36"/>
      <c r="S112" s="36"/>
      <c r="T112" s="36"/>
      <c r="U112" s="36"/>
      <c r="V112" s="36"/>
      <c r="W112" s="36"/>
      <c r="X112" s="36"/>
      <c r="Y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ht="27.65" customHeight="1">
      <c r="A117" s="1266" t="s">
        <v>1809</v>
      </c>
      <c r="B117" s="1267"/>
      <c r="C117" s="245"/>
      <c r="D117" s="838"/>
      <c r="E117" s="1088">
        <v>2015</v>
      </c>
      <c r="F117" s="1088">
        <v>2016</v>
      </c>
      <c r="G117" s="1088">
        <v>2017</v>
      </c>
      <c r="H117" s="1088">
        <v>2018</v>
      </c>
      <c r="I117" s="1088">
        <v>2019</v>
      </c>
      <c r="J117" s="36"/>
      <c r="K117" s="36"/>
      <c r="L117" s="36"/>
      <c r="M117" s="36"/>
      <c r="N117" s="36"/>
      <c r="O117" s="36"/>
      <c r="P117" s="36"/>
      <c r="Q117" s="36"/>
      <c r="R117" s="36"/>
      <c r="S117" s="36"/>
      <c r="T117" s="36"/>
      <c r="U117" s="36"/>
      <c r="V117" s="36"/>
      <c r="W117" s="36"/>
      <c r="X117" s="36"/>
      <c r="Y117" s="36"/>
    </row>
    <row r="118" spans="1:30">
      <c r="A118" s="590" t="s">
        <v>1036</v>
      </c>
      <c r="B118" s="36"/>
      <c r="C118" s="36"/>
      <c r="D118" s="347"/>
      <c r="E118" s="347" t="e">
        <f>VLOOKUP(Gdata!$B$3,K0kommunestruktur2019!$A$4:$BL$429,6,FALSE)</f>
        <v>#N/A</v>
      </c>
      <c r="F118" s="347" t="e">
        <f>VLOOKUP(Gdata!$B$3,K0kommunestruktur2019!$A$4:$BL$429,8,FALSE)</f>
        <v>#N/A</v>
      </c>
      <c r="G118" s="347" t="e">
        <f>VLOOKUP(Gdata!$B$3,K0kommunestruktur2019!$A$4:$BL$429,10,FALSE)</f>
        <v>#N/A</v>
      </c>
      <c r="H118" s="347" t="e">
        <f>VLOOKUP(Gdata!$B$3,K0kommunestruktur2019!$A$4:$BL$429,12,FALSE)</f>
        <v>#N/A</v>
      </c>
      <c r="I118" s="772">
        <f>+Gdata!C119</f>
        <v>163996.97697697696</v>
      </c>
      <c r="J118" s="36"/>
      <c r="K118" s="36"/>
      <c r="L118" s="36"/>
      <c r="M118" s="36"/>
      <c r="N118" s="36"/>
      <c r="O118" s="36"/>
      <c r="P118" s="36"/>
      <c r="Q118" s="36"/>
      <c r="R118" s="36"/>
      <c r="S118" s="36"/>
      <c r="T118" s="36"/>
      <c r="U118" s="36"/>
      <c r="V118" s="36"/>
      <c r="W118" s="36"/>
      <c r="X118" s="36"/>
      <c r="Y118" s="36"/>
    </row>
    <row r="119" spans="1:30">
      <c r="A119" s="590" t="s">
        <v>1057</v>
      </c>
      <c r="B119" s="36"/>
      <c r="C119" s="36"/>
      <c r="D119" s="347"/>
      <c r="E119" s="347">
        <f>+K0kommunestruktur2019!F427</f>
        <v>136597674</v>
      </c>
      <c r="F119" s="347">
        <f>+K0kommunestruktur2019!H427</f>
        <v>149813982</v>
      </c>
      <c r="G119" s="347">
        <f>+K0kommunestruktur2019!J427</f>
        <v>156585214</v>
      </c>
      <c r="H119" s="347">
        <f>+K0kommunestruktur2019!L427</f>
        <v>162536856.00000003</v>
      </c>
      <c r="I119" s="772">
        <f>+Gdata!C96</f>
        <v>170121597.04688972</v>
      </c>
      <c r="J119" s="36"/>
      <c r="K119" s="36"/>
      <c r="L119" s="36"/>
      <c r="M119" s="36"/>
      <c r="N119" s="36"/>
      <c r="O119" s="36"/>
      <c r="P119" s="36"/>
      <c r="Q119" s="36"/>
      <c r="R119" s="36"/>
      <c r="S119" s="36"/>
      <c r="T119" s="36"/>
      <c r="U119" s="36"/>
      <c r="V119" s="36"/>
      <c r="W119" s="36"/>
      <c r="X119" s="36"/>
      <c r="Y119" s="36"/>
    </row>
    <row r="120" spans="1:30">
      <c r="A120" s="590" t="s">
        <v>1037</v>
      </c>
      <c r="B120" s="36"/>
      <c r="C120" s="36"/>
      <c r="D120" s="591"/>
      <c r="E120" s="591" t="e">
        <f t="shared" ref="E120:F120" si="63">E118*1000/E127</f>
        <v>#N/A</v>
      </c>
      <c r="F120" s="591" t="e">
        <f t="shared" si="63"/>
        <v>#N/A</v>
      </c>
      <c r="G120" s="591" t="e">
        <f t="shared" ref="G120:I120" si="64">G118*1000/G127</f>
        <v>#N/A</v>
      </c>
      <c r="H120" s="591" t="e">
        <f t="shared" si="64"/>
        <v>#N/A</v>
      </c>
      <c r="I120" s="773" t="e">
        <f t="shared" si="64"/>
        <v>#N/A</v>
      </c>
      <c r="J120" s="36"/>
      <c r="K120" s="36"/>
      <c r="L120" s="36"/>
      <c r="M120" s="36"/>
      <c r="N120" s="36"/>
      <c r="O120" s="36"/>
      <c r="P120" s="36"/>
      <c r="Q120" s="36"/>
      <c r="R120" s="36"/>
      <c r="S120" s="36"/>
      <c r="T120" s="36"/>
      <c r="U120" s="36"/>
      <c r="V120" s="36"/>
      <c r="W120" s="36"/>
      <c r="X120" s="36"/>
      <c r="Y120" s="36"/>
    </row>
    <row r="121" spans="1:30">
      <c r="A121" s="590" t="s">
        <v>1038</v>
      </c>
      <c r="B121" s="36"/>
      <c r="C121" s="36"/>
      <c r="D121" s="591"/>
      <c r="E121" s="591">
        <f t="shared" ref="E121:H121" si="65">E119*1000/E129</f>
        <v>26442.684795119905</v>
      </c>
      <c r="F121" s="591">
        <f t="shared" si="65"/>
        <v>28733.105676368457</v>
      </c>
      <c r="G121" s="591">
        <f t="shared" si="65"/>
        <v>29778.58010462283</v>
      </c>
      <c r="H121" s="591">
        <f t="shared" si="65"/>
        <v>30692.702024069335</v>
      </c>
      <c r="I121" s="773">
        <f>I119*1000/I129</f>
        <v>31928.458748805362</v>
      </c>
      <c r="J121" s="36"/>
      <c r="K121" s="36"/>
      <c r="L121" s="36"/>
      <c r="M121" s="36"/>
      <c r="N121" s="36"/>
      <c r="O121" s="36"/>
      <c r="P121" s="36"/>
      <c r="Q121" s="36"/>
      <c r="R121" s="36"/>
      <c r="S121" s="36"/>
      <c r="T121" s="36"/>
      <c r="U121" s="36"/>
      <c r="V121" s="36"/>
      <c r="W121" s="36"/>
      <c r="X121" s="36"/>
      <c r="Y121" s="36"/>
    </row>
    <row r="122" spans="1:30">
      <c r="A122" s="592" t="s">
        <v>1039</v>
      </c>
      <c r="B122" s="36"/>
      <c r="C122" s="36"/>
      <c r="D122" s="52"/>
      <c r="E122" s="52" t="e">
        <f t="shared" ref="E122:F122" si="66">100*E120/E121</f>
        <v>#N/A</v>
      </c>
      <c r="F122" s="52" t="e">
        <f t="shared" si="66"/>
        <v>#N/A</v>
      </c>
      <c r="G122" s="52" t="e">
        <f>100*G120/G121</f>
        <v>#N/A</v>
      </c>
      <c r="H122" s="52" t="e">
        <f>100*H120/H121</f>
        <v>#N/A</v>
      </c>
      <c r="I122" s="774" t="e">
        <f t="shared" ref="I122" si="67">100*I120/I121</f>
        <v>#N/A</v>
      </c>
      <c r="J122" s="36"/>
      <c r="K122" s="36"/>
      <c r="L122" s="36"/>
      <c r="M122" s="36"/>
      <c r="N122" s="36"/>
      <c r="O122" s="36"/>
      <c r="P122" s="36"/>
      <c r="Q122" s="36"/>
      <c r="R122" s="36"/>
      <c r="S122" s="36"/>
      <c r="T122" s="36"/>
      <c r="U122" s="36"/>
      <c r="V122" s="36"/>
      <c r="W122" s="36"/>
      <c r="X122" s="36"/>
      <c r="Y122" s="36"/>
    </row>
    <row r="123" spans="1:30">
      <c r="A123" s="592"/>
      <c r="B123" s="36"/>
      <c r="C123" s="36"/>
      <c r="D123" s="735"/>
      <c r="E123" s="735" t="s">
        <v>1354</v>
      </c>
      <c r="F123" s="735" t="s">
        <v>1445</v>
      </c>
      <c r="G123" s="735"/>
      <c r="H123" s="735"/>
      <c r="I123" s="735"/>
      <c r="J123" s="36"/>
      <c r="K123" s="36"/>
      <c r="L123" s="36"/>
      <c r="M123" s="36"/>
      <c r="N123" s="36"/>
      <c r="O123" s="36"/>
      <c r="P123" s="36"/>
      <c r="Q123" s="36"/>
      <c r="R123" s="36"/>
      <c r="S123" s="36"/>
      <c r="T123" s="36"/>
      <c r="U123" s="36"/>
      <c r="V123" s="36"/>
      <c r="W123" s="36"/>
      <c r="X123" s="36"/>
      <c r="Y123" s="36"/>
    </row>
    <row r="124" spans="1:30">
      <c r="A124" s="592" t="s">
        <v>1105</v>
      </c>
      <c r="B124" s="36"/>
      <c r="C124" s="36"/>
      <c r="D124" s="52"/>
      <c r="E124" s="52" t="e">
        <f>(E122+F122+G122)/3</f>
        <v>#N/A</v>
      </c>
      <c r="F124" s="52" t="e">
        <f>(F122+G122+H122)/3</f>
        <v>#N/A</v>
      </c>
      <c r="G124" s="52"/>
      <c r="H124" s="52"/>
      <c r="I124" s="52"/>
      <c r="J124" s="36"/>
      <c r="K124" s="36"/>
      <c r="L124" s="36"/>
      <c r="M124" s="36"/>
      <c r="N124" s="36"/>
      <c r="O124" s="36"/>
      <c r="P124" s="36"/>
      <c r="Q124" s="36"/>
      <c r="R124" s="36"/>
      <c r="S124" s="36"/>
      <c r="T124" s="36"/>
      <c r="U124" s="36"/>
      <c r="V124" s="36"/>
      <c r="W124" s="36"/>
      <c r="X124" s="36"/>
      <c r="Y124" s="36"/>
    </row>
    <row r="125" spans="1:30">
      <c r="A125" s="52"/>
      <c r="B125" s="36"/>
      <c r="C125" s="36"/>
      <c r="D125" s="52"/>
      <c r="E125" s="389"/>
      <c r="F125" s="389"/>
      <c r="G125" s="389"/>
      <c r="H125" s="389"/>
      <c r="I125" s="389"/>
      <c r="J125" s="36"/>
      <c r="K125" s="36"/>
      <c r="L125" s="36"/>
      <c r="M125" s="36"/>
      <c r="N125" s="36"/>
      <c r="O125" s="36"/>
      <c r="P125" s="36"/>
      <c r="Q125" s="36"/>
      <c r="R125" s="36"/>
      <c r="S125" s="36"/>
      <c r="T125" s="36"/>
      <c r="U125" s="36"/>
      <c r="V125" s="36"/>
      <c r="W125" s="36"/>
      <c r="X125" s="36"/>
      <c r="Y125" s="36"/>
    </row>
    <row r="126" spans="1:30">
      <c r="A126" s="52"/>
      <c r="B126" s="36"/>
      <c r="C126" s="36"/>
      <c r="D126" s="52"/>
      <c r="E126" s="389"/>
      <c r="F126" s="389"/>
      <c r="G126" s="389"/>
      <c r="H126" s="389"/>
      <c r="I126" s="389"/>
      <c r="J126" s="36"/>
      <c r="K126" s="36"/>
      <c r="L126" s="36"/>
      <c r="M126" s="36"/>
      <c r="N126" s="36"/>
      <c r="O126" s="36"/>
      <c r="P126" s="36"/>
      <c r="Q126" s="36"/>
      <c r="R126" s="36"/>
      <c r="S126" s="36"/>
      <c r="T126" s="36"/>
      <c r="U126" s="36"/>
      <c r="V126" s="36"/>
      <c r="W126" s="36"/>
      <c r="X126" s="36"/>
      <c r="Y126" s="36"/>
    </row>
    <row r="127" spans="1:30" ht="14">
      <c r="A127" s="612" t="s">
        <v>1171</v>
      </c>
      <c r="B127" s="389"/>
      <c r="C127" s="507"/>
      <c r="D127" s="507"/>
      <c r="E127" s="507" t="e">
        <f>VLOOKUP(Gdata!$B$3,K0kommunestruktur2019!$A$4:$AI$429,5,FALSE)</f>
        <v>#N/A</v>
      </c>
      <c r="F127" s="507" t="e">
        <f>VLOOKUP(Gdata!$B$3,K0kommunestruktur2019!$A$4:$AI$429,7,FALSE)</f>
        <v>#N/A</v>
      </c>
      <c r="G127" s="507" t="e">
        <f>VLOOKUP(Gdata!$B$3,K0kommunestruktur2019!$A$4:$AI$429,9,FALSE)</f>
        <v>#N/A</v>
      </c>
      <c r="H127" s="507" t="e">
        <f>VLOOKUP(Gdata!$B$3,K0kommunestruktur2019!$A$4:$AI$429,11,FALSE)</f>
        <v>#N/A</v>
      </c>
      <c r="I127" s="507" t="e">
        <f>VLOOKUP(Gdata!$B$3,K0kommunestruktur2019!$A$4:$AI$429,13,FALSE)</f>
        <v>#N/A</v>
      </c>
      <c r="J127" s="36"/>
      <c r="K127" s="36"/>
      <c r="L127" s="36"/>
      <c r="M127" s="36"/>
      <c r="N127" s="36"/>
      <c r="O127" s="36"/>
      <c r="P127" s="36"/>
      <c r="Q127" s="36"/>
      <c r="R127" s="36"/>
      <c r="S127" s="36"/>
      <c r="T127" s="36"/>
      <c r="U127" s="36"/>
      <c r="V127" s="36"/>
      <c r="W127" s="36"/>
      <c r="X127" s="36"/>
      <c r="Y127" s="36"/>
    </row>
    <row r="128" spans="1:30">
      <c r="A128" s="52"/>
      <c r="B128" s="709"/>
      <c r="C128" s="784"/>
      <c r="D128" s="36"/>
      <c r="E128" s="389"/>
      <c r="F128" s="389"/>
      <c r="G128" s="389"/>
      <c r="H128" s="389"/>
      <c r="I128" s="36"/>
      <c r="J128" s="36"/>
      <c r="K128" s="36"/>
      <c r="L128" s="36"/>
      <c r="M128" s="36"/>
      <c r="N128" s="36"/>
      <c r="O128" s="36"/>
      <c r="P128" s="36"/>
      <c r="Q128" s="36"/>
      <c r="R128" s="36"/>
      <c r="S128" s="36"/>
      <c r="T128" s="36"/>
      <c r="U128" s="36"/>
      <c r="V128" s="36"/>
      <c r="W128" s="36"/>
      <c r="X128" s="36"/>
      <c r="Y128" s="36"/>
    </row>
    <row r="129" spans="1:30" ht="14">
      <c r="A129" s="612" t="s">
        <v>1116</v>
      </c>
      <c r="B129" s="389"/>
      <c r="C129" s="504"/>
      <c r="D129" s="504"/>
      <c r="E129" s="504">
        <f>+K0kommunestruktur2019!E427</f>
        <v>5165802</v>
      </c>
      <c r="F129" s="504">
        <f>+K0kommunestruktur2019!G427</f>
        <v>5213985</v>
      </c>
      <c r="G129" s="504">
        <f>+K0kommunestruktur2019!I427</f>
        <v>5258317</v>
      </c>
      <c r="H129" s="504">
        <f>+K0kommunestruktur2019!K427</f>
        <v>5295619</v>
      </c>
      <c r="I129" s="507">
        <f>+Gdata!C86</f>
        <v>5328212</v>
      </c>
      <c r="J129" s="36"/>
      <c r="K129" s="36"/>
      <c r="L129" s="36"/>
      <c r="M129" s="36"/>
      <c r="N129" s="36"/>
      <c r="O129" s="36"/>
      <c r="P129" s="36"/>
      <c r="Q129" s="36"/>
      <c r="R129" s="36"/>
      <c r="S129" s="36"/>
      <c r="T129" s="36"/>
      <c r="U129" s="36"/>
      <c r="V129" s="36"/>
      <c r="W129" s="36"/>
      <c r="X129" s="36"/>
      <c r="Y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ht="27.65" customHeight="1">
      <c r="A134" s="1266" t="s">
        <v>1808</v>
      </c>
      <c r="B134" s="1267"/>
      <c r="C134" s="245"/>
      <c r="D134" s="245"/>
      <c r="E134" s="245"/>
      <c r="F134" s="1088">
        <v>2016</v>
      </c>
      <c r="G134" s="1088">
        <v>2017</v>
      </c>
      <c r="H134" s="1088">
        <v>2018</v>
      </c>
      <c r="I134" s="1088">
        <v>2019</v>
      </c>
      <c r="J134" s="1088">
        <v>2020</v>
      </c>
      <c r="K134" s="36"/>
      <c r="L134" s="36"/>
      <c r="M134" s="36"/>
      <c r="N134" s="36"/>
      <c r="O134" s="36"/>
      <c r="P134" s="36"/>
      <c r="Q134" s="36"/>
      <c r="R134" s="36"/>
      <c r="S134" s="36"/>
      <c r="T134" s="36"/>
      <c r="U134" s="36"/>
      <c r="V134" s="36"/>
      <c r="W134" s="36"/>
      <c r="X134" s="36"/>
      <c r="Y134" s="36"/>
    </row>
    <row r="135" spans="1:30">
      <c r="A135" s="590" t="s">
        <v>2244</v>
      </c>
      <c r="B135" s="36"/>
      <c r="C135" s="36"/>
      <c r="D135" s="36"/>
      <c r="E135" s="36"/>
      <c r="F135" s="347">
        <f>VLOOKUP(Gdata!$B$3,K0kommunestruktur2020!$A$4:$BI$359,8,FALSE)</f>
        <v>137087.35835835835</v>
      </c>
      <c r="G135" s="347">
        <f>VLOOKUP(Gdata!$B$3,K0kommunestruktur2020!$A$4:$BI$359,10,FALSE)</f>
        <v>144857.22822822822</v>
      </c>
      <c r="H135" s="347">
        <f>VLOOKUP(Gdata!$B$3,K0kommunestruktur2020!$A$4:$BI$359,12,FALSE)</f>
        <v>153172.37637637637</v>
      </c>
      <c r="I135" s="347">
        <f>VLOOKUP(Gdata!$B$3,K0kommunestruktur2020!$A$4:$BI$359,14,FALSE)</f>
        <v>163996.97697697696</v>
      </c>
      <c r="J135" s="772">
        <f>+Gdata!D119</f>
        <v>158118</v>
      </c>
      <c r="K135" s="36"/>
      <c r="L135" s="36"/>
      <c r="M135" s="36"/>
      <c r="N135" s="36"/>
      <c r="O135" s="36"/>
      <c r="P135" s="36"/>
      <c r="Q135" s="36"/>
      <c r="R135" s="36"/>
      <c r="S135" s="36"/>
      <c r="T135" s="36"/>
      <c r="U135" s="36"/>
      <c r="V135" s="36"/>
      <c r="W135" s="36"/>
      <c r="X135" s="36"/>
      <c r="Y135" s="36"/>
    </row>
    <row r="136" spans="1:30">
      <c r="A136" s="590" t="s">
        <v>1057</v>
      </c>
      <c r="B136" s="36"/>
      <c r="C136" s="36"/>
      <c r="D136" s="36"/>
      <c r="E136" s="36"/>
      <c r="F136" s="347">
        <f>+K0kommunestruktur2020altern!H361</f>
        <v>149813982</v>
      </c>
      <c r="G136" s="347">
        <f>+K0kommunestruktur2020altern!J361</f>
        <v>156585214.00000003</v>
      </c>
      <c r="H136" s="347">
        <f>+K0kommunestruktur2020altern!L361</f>
        <v>162536856.00000003</v>
      </c>
      <c r="I136" s="347">
        <f>+Gdata!C96</f>
        <v>170121597.04688972</v>
      </c>
      <c r="J136" s="772">
        <f>+Gdata!D96</f>
        <v>168892422.992879</v>
      </c>
      <c r="K136" s="36"/>
      <c r="L136" s="36"/>
      <c r="M136" s="36"/>
      <c r="N136" s="36"/>
      <c r="O136" s="36"/>
      <c r="P136" s="36"/>
      <c r="Q136" s="36"/>
      <c r="R136" s="36"/>
      <c r="S136" s="36"/>
      <c r="T136" s="36"/>
      <c r="U136" s="36"/>
      <c r="V136" s="36"/>
      <c r="W136" s="36"/>
      <c r="X136" s="36"/>
      <c r="Y136" s="36"/>
    </row>
    <row r="137" spans="1:30">
      <c r="A137" s="590" t="s">
        <v>1037</v>
      </c>
      <c r="B137" s="36"/>
      <c r="C137" s="36"/>
      <c r="D137" s="36"/>
      <c r="E137" s="36"/>
      <c r="F137" s="591">
        <f>F135*1000/F144</f>
        <v>22807.494799418513</v>
      </c>
      <c r="G137" s="591">
        <f t="shared" ref="G137:J137" si="68">G135*1000/G144</f>
        <v>23894.131627412859</v>
      </c>
      <c r="H137" s="591">
        <f t="shared" si="68"/>
        <v>25522.342423484279</v>
      </c>
      <c r="I137" s="591">
        <f t="shared" si="68"/>
        <v>27287.350578531939</v>
      </c>
      <c r="J137" s="773">
        <f t="shared" si="68"/>
        <v>26516.518530940801</v>
      </c>
      <c r="K137" s="36"/>
      <c r="L137" s="36"/>
      <c r="M137" s="36"/>
      <c r="N137" s="36"/>
      <c r="O137" s="36"/>
      <c r="P137" s="36"/>
      <c r="Q137" s="36"/>
      <c r="R137" s="36"/>
      <c r="S137" s="36"/>
      <c r="T137" s="36"/>
      <c r="U137" s="36"/>
      <c r="V137" s="36"/>
      <c r="W137" s="36"/>
      <c r="X137" s="36"/>
      <c r="Y137" s="36"/>
    </row>
    <row r="138" spans="1:30">
      <c r="A138" s="590" t="s">
        <v>1038</v>
      </c>
      <c r="B138" s="36"/>
      <c r="C138" s="36"/>
      <c r="D138" s="36"/>
      <c r="E138" s="36"/>
      <c r="F138" s="591">
        <f t="shared" ref="F138:H138" si="69">F136*1000/F146</f>
        <v>28733.105676368457</v>
      </c>
      <c r="G138" s="591">
        <f t="shared" si="69"/>
        <v>29778.580104622833</v>
      </c>
      <c r="H138" s="591">
        <f t="shared" si="69"/>
        <v>30692.702024069335</v>
      </c>
      <c r="I138" s="591">
        <f t="shared" ref="I138:J138" si="70">I136*1000/I146</f>
        <v>31928.458748805362</v>
      </c>
      <c r="J138" s="773">
        <f t="shared" si="70"/>
        <v>31465.282863577067</v>
      </c>
      <c r="K138" s="36"/>
      <c r="L138" s="36"/>
      <c r="M138" s="36"/>
      <c r="N138" s="36"/>
      <c r="O138" s="36"/>
      <c r="P138" s="36"/>
      <c r="Q138" s="36"/>
      <c r="R138" s="36"/>
      <c r="S138" s="36"/>
      <c r="T138" s="36"/>
      <c r="U138" s="36"/>
      <c r="V138" s="36"/>
      <c r="W138" s="36"/>
      <c r="X138" s="36"/>
      <c r="Y138" s="36"/>
    </row>
    <row r="139" spans="1:30">
      <c r="A139" s="592" t="s">
        <v>1039</v>
      </c>
      <c r="B139" s="36"/>
      <c r="C139" s="36"/>
      <c r="D139" s="36"/>
      <c r="E139" s="36"/>
      <c r="F139" s="52">
        <f>100*F137/F138</f>
        <v>79.377060928629575</v>
      </c>
      <c r="G139" s="52">
        <f>100*G137/G138</f>
        <v>80.23932485519525</v>
      </c>
      <c r="H139" s="1081">
        <f>100*H137/H138</f>
        <v>83.154433270389688</v>
      </c>
      <c r="I139" s="1081">
        <f t="shared" ref="I139:J139" si="71">100*I137/I138</f>
        <v>85.464039442721059</v>
      </c>
      <c r="J139" s="1166">
        <f t="shared" si="71"/>
        <v>84.272303051930436</v>
      </c>
      <c r="K139" s="36"/>
      <c r="L139" s="36"/>
      <c r="M139" s="36"/>
      <c r="N139" s="36"/>
      <c r="O139" s="36"/>
      <c r="P139" s="36"/>
      <c r="Q139" s="36"/>
      <c r="R139" s="36"/>
      <c r="S139" s="36"/>
      <c r="T139" s="36"/>
      <c r="U139" s="36"/>
      <c r="V139" s="36"/>
      <c r="W139" s="36"/>
      <c r="X139" s="36"/>
      <c r="Y139" s="36"/>
    </row>
    <row r="140" spans="1:30">
      <c r="A140" s="592"/>
      <c r="B140" s="36"/>
      <c r="C140" s="36"/>
      <c r="D140" s="36"/>
      <c r="E140" s="36"/>
      <c r="F140" s="735" t="s">
        <v>1445</v>
      </c>
      <c r="G140" s="735" t="s">
        <v>1969</v>
      </c>
      <c r="H140" s="1082"/>
      <c r="I140" s="1082"/>
      <c r="J140" s="1082"/>
      <c r="K140" s="36"/>
      <c r="L140" s="36"/>
      <c r="M140" s="36"/>
      <c r="N140" s="36"/>
      <c r="O140" s="36"/>
      <c r="P140" s="36"/>
      <c r="Q140" s="36"/>
      <c r="R140" s="36"/>
      <c r="S140" s="36"/>
      <c r="T140" s="36"/>
      <c r="U140" s="36"/>
      <c r="V140" s="36"/>
      <c r="W140" s="36"/>
      <c r="X140" s="36"/>
      <c r="Y140" s="36"/>
    </row>
    <row r="141" spans="1:30">
      <c r="A141" s="592" t="s">
        <v>1105</v>
      </c>
      <c r="B141" s="36"/>
      <c r="C141" s="36"/>
      <c r="D141" s="36"/>
      <c r="E141" s="36"/>
      <c r="F141" s="52">
        <f>(F139+G139+H139)/3</f>
        <v>80.923606351404842</v>
      </c>
      <c r="G141" s="52">
        <f>(G139+H139+I139)/3</f>
        <v>82.952599189435333</v>
      </c>
      <c r="H141" s="709"/>
      <c r="I141" s="709"/>
      <c r="J141" s="709"/>
      <c r="K141" s="36"/>
      <c r="L141" s="36"/>
      <c r="M141" s="36"/>
      <c r="N141" s="36"/>
      <c r="O141" s="36"/>
      <c r="P141" s="36"/>
      <c r="Q141" s="36"/>
      <c r="R141" s="36"/>
      <c r="S141" s="36"/>
      <c r="T141" s="36"/>
      <c r="U141" s="36"/>
      <c r="V141" s="36"/>
      <c r="W141" s="36"/>
      <c r="X141" s="36"/>
      <c r="Y141" s="36"/>
    </row>
    <row r="142" spans="1:30">
      <c r="A142" s="52"/>
      <c r="B142" s="36"/>
      <c r="C142" s="36"/>
      <c r="D142" s="36"/>
      <c r="E142" s="36"/>
      <c r="F142" s="389"/>
      <c r="G142" s="389"/>
      <c r="H142" s="389"/>
      <c r="I142" s="389"/>
      <c r="J142" s="36"/>
      <c r="K142" s="36"/>
      <c r="L142" s="36"/>
      <c r="M142" s="36"/>
      <c r="N142" s="36"/>
      <c r="O142" s="36"/>
      <c r="P142" s="36"/>
      <c r="Q142" s="36"/>
      <c r="R142" s="36"/>
      <c r="S142" s="36"/>
      <c r="T142" s="36"/>
      <c r="U142" s="36"/>
      <c r="V142" s="36"/>
      <c r="W142" s="36"/>
      <c r="X142" s="36"/>
      <c r="Y142" s="36"/>
    </row>
    <row r="143" spans="1:30">
      <c r="A143" s="52"/>
      <c r="B143" s="36"/>
      <c r="C143" s="36"/>
      <c r="D143" s="36"/>
      <c r="E143" s="36"/>
      <c r="F143" s="389"/>
      <c r="G143" s="389"/>
      <c r="H143" s="389"/>
      <c r="I143" s="389"/>
      <c r="J143" s="36"/>
      <c r="K143" s="36"/>
      <c r="L143" s="36"/>
      <c r="M143" s="36"/>
      <c r="N143" s="36"/>
      <c r="O143" s="36"/>
      <c r="P143" s="36"/>
      <c r="Q143" s="36"/>
      <c r="R143" s="36"/>
      <c r="S143" s="36"/>
      <c r="T143" s="36"/>
      <c r="U143" s="36"/>
      <c r="V143" s="36"/>
      <c r="W143" s="36"/>
      <c r="X143" s="36"/>
      <c r="Y143" s="36"/>
    </row>
    <row r="144" spans="1:30" ht="14">
      <c r="A144" s="612" t="s">
        <v>1171</v>
      </c>
      <c r="B144" s="389"/>
      <c r="C144" s="507"/>
      <c r="D144" s="507"/>
      <c r="E144" s="507"/>
      <c r="F144" s="507">
        <f>VLOOKUP(Gdata!$B$3,K0kommunestruktur2020!$A$4:$AF$359,7,FALSE)</f>
        <v>6010.6276276276276</v>
      </c>
      <c r="G144" s="507">
        <f>VLOOKUP(Gdata!$B$3,K0kommunestruktur2020!$A$4:$AF$359,9,FALSE)</f>
        <v>6062.4604604604601</v>
      </c>
      <c r="H144" s="507">
        <f>VLOOKUP(Gdata!$B$3,K0kommunestruktur2020!$A$4:$AF$359,11,FALSE)</f>
        <v>6001.5015015015015</v>
      </c>
      <c r="I144" s="507">
        <f>VLOOKUP(Gdata!$B$3,K0kommunestruktur2020!$A$4:$AF$359,13,FALSE)</f>
        <v>6010</v>
      </c>
      <c r="J144" s="507">
        <f>+Gdata!D54</f>
        <v>5963</v>
      </c>
      <c r="K144" s="507"/>
      <c r="L144" s="507"/>
      <c r="M144" s="507"/>
      <c r="N144" s="507"/>
      <c r="O144" s="36"/>
      <c r="P144" s="36"/>
      <c r="Q144" s="36"/>
      <c r="R144" s="36"/>
      <c r="S144" s="36"/>
      <c r="T144" s="36"/>
      <c r="U144" s="36"/>
      <c r="V144" s="36"/>
      <c r="W144" s="36"/>
      <c r="X144" s="36"/>
      <c r="Y144" s="36"/>
    </row>
    <row r="145" spans="1:25">
      <c r="A145" s="52"/>
      <c r="B145" s="709"/>
      <c r="C145" s="52"/>
      <c r="D145" s="52"/>
      <c r="E145" s="52"/>
      <c r="F145" s="389"/>
      <c r="G145" s="389"/>
      <c r="H145" s="389"/>
      <c r="I145" s="36"/>
      <c r="J145" s="36"/>
      <c r="K145" s="389"/>
      <c r="L145" s="389"/>
      <c r="M145" s="389"/>
      <c r="N145" s="389"/>
      <c r="O145" s="36"/>
      <c r="P145" s="36"/>
      <c r="Q145" s="36"/>
      <c r="R145" s="36"/>
      <c r="S145" s="36"/>
      <c r="T145" s="36"/>
      <c r="U145" s="36"/>
      <c r="V145" s="36"/>
      <c r="W145" s="36"/>
      <c r="X145" s="36"/>
      <c r="Y145" s="36"/>
    </row>
    <row r="146" spans="1:25" ht="14">
      <c r="A146" s="612" t="s">
        <v>1116</v>
      </c>
      <c r="B146" s="389"/>
      <c r="C146" s="504"/>
      <c r="D146" s="504"/>
      <c r="E146" s="504"/>
      <c r="F146" s="504">
        <f>+K0kommunestruktur2021altern!G361</f>
        <v>5213985</v>
      </c>
      <c r="G146" s="504">
        <f>+K0kommunestruktur2021altern!I361</f>
        <v>5258317</v>
      </c>
      <c r="H146" s="504">
        <f>+K0kommunestruktur2021altern!K361</f>
        <v>5295619</v>
      </c>
      <c r="I146" s="507">
        <f>+Gdata!C86</f>
        <v>5328212</v>
      </c>
      <c r="J146" s="507">
        <f>+Gdata!D86</f>
        <v>5367580</v>
      </c>
      <c r="K146" s="504"/>
      <c r="L146" s="504"/>
      <c r="M146" s="504"/>
      <c r="N146" s="504"/>
      <c r="O146" s="36"/>
      <c r="P146" s="36"/>
      <c r="Q146" s="36"/>
      <c r="R146" s="36"/>
      <c r="S146" s="36"/>
      <c r="T146" s="36"/>
      <c r="U146" s="36"/>
      <c r="V146" s="36"/>
      <c r="W146" s="36"/>
      <c r="X146" s="36"/>
      <c r="Y146" s="36"/>
    </row>
    <row r="147" spans="1:25">
      <c r="F147" s="36"/>
      <c r="G147" s="36"/>
      <c r="H147" s="36"/>
      <c r="I147" s="36"/>
      <c r="J147" s="36"/>
      <c r="K147" s="36"/>
      <c r="N147" s="36"/>
      <c r="O147" s="36"/>
      <c r="P147" s="36"/>
      <c r="Q147" s="36"/>
      <c r="R147" s="36"/>
      <c r="S147" s="36"/>
      <c r="T147" s="36"/>
      <c r="U147" s="36"/>
      <c r="V147" s="36"/>
      <c r="W147" s="36"/>
      <c r="X147" s="36"/>
      <c r="Y147" s="36"/>
    </row>
    <row r="148" spans="1:25">
      <c r="A148" s="36"/>
      <c r="B148" s="36"/>
      <c r="C148" s="36"/>
      <c r="D148" s="36"/>
      <c r="E148" s="36"/>
      <c r="F148" s="36"/>
      <c r="G148" s="36"/>
      <c r="H148" s="36"/>
      <c r="I148" s="926"/>
      <c r="J148" s="926"/>
      <c r="K148" s="926"/>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27.65" customHeight="1">
      <c r="A151" s="1268" t="s">
        <v>2236</v>
      </c>
      <c r="B151" s="1269"/>
      <c r="C151" s="245"/>
      <c r="D151" s="245"/>
      <c r="E151" s="245"/>
      <c r="F151" s="1088">
        <v>2016</v>
      </c>
      <c r="G151" s="1088">
        <v>2017</v>
      </c>
      <c r="H151" s="1088">
        <v>2018</v>
      </c>
      <c r="I151" s="1088">
        <v>2019</v>
      </c>
      <c r="J151" s="1088">
        <v>2020</v>
      </c>
      <c r="K151" s="1088">
        <v>2021</v>
      </c>
      <c r="L151" s="1165"/>
      <c r="M151" s="1083"/>
      <c r="N151" s="1083"/>
      <c r="O151" s="1083"/>
      <c r="P151" s="36"/>
      <c r="Q151" s="36"/>
      <c r="R151" s="36"/>
      <c r="S151" s="36"/>
      <c r="T151" s="36"/>
      <c r="U151" s="36"/>
      <c r="V151" s="36"/>
      <c r="W151" s="36"/>
      <c r="X151" s="36"/>
      <c r="Y151" s="36"/>
    </row>
    <row r="152" spans="1:25">
      <c r="A152" s="590" t="s">
        <v>2244</v>
      </c>
      <c r="B152" s="36"/>
      <c r="C152" s="36"/>
      <c r="D152" s="36"/>
      <c r="E152" s="36"/>
      <c r="F152" s="347">
        <f>VLOOKUP(Gdata!$B$3,K0kommunestruktur2021!$A$4:$BI$359,8,FALSE)</f>
        <v>137087.35835835835</v>
      </c>
      <c r="G152" s="347">
        <f>VLOOKUP(Gdata!$B$3,K0kommunestruktur2021!$A$4:$BI$359,10,FALSE)</f>
        <v>144857.22822822822</v>
      </c>
      <c r="H152" s="347">
        <f>VLOOKUP(Gdata!$B$3,K0kommunestruktur2021!$A$4:$BI$359,12,FALSE)</f>
        <v>153172.37637637637</v>
      </c>
      <c r="I152" s="347">
        <f>VLOOKUP(Gdata!$B$3,K0kommunestruktur2021!$A$4:$BI$359,14,FALSE)</f>
        <v>163996.97697697696</v>
      </c>
      <c r="J152" s="347">
        <f>VLOOKUP(Gdata!$B$3,K0kommunestruktur2021!$A$4:$BI$359,16,FALSE)</f>
        <v>158118</v>
      </c>
      <c r="K152" s="772">
        <f>VLOOKUP(Gdata!$B$3,K0kommunestruktur2021!$A$4:$BI$359,18,FALSE)</f>
        <v>176810.02900000001</v>
      </c>
      <c r="L152" s="583"/>
      <c r="M152" s="347"/>
      <c r="N152" s="347"/>
      <c r="O152" s="347"/>
      <c r="P152" s="36"/>
      <c r="Q152" s="36"/>
      <c r="R152" s="36"/>
      <c r="S152" s="36"/>
      <c r="T152" s="36"/>
      <c r="U152" s="36"/>
      <c r="V152" s="36"/>
      <c r="W152" s="36"/>
      <c r="X152" s="36"/>
      <c r="Y152" s="36"/>
    </row>
    <row r="153" spans="1:25">
      <c r="A153" s="590" t="s">
        <v>1057</v>
      </c>
      <c r="B153" s="36"/>
      <c r="C153" s="36"/>
      <c r="D153" s="36"/>
      <c r="E153" s="36"/>
      <c r="F153" s="347">
        <f>+K0kommunestruktur2021altern!H361</f>
        <v>149813982</v>
      </c>
      <c r="G153" s="347">
        <f>+K0kommunestruktur2021altern!J361</f>
        <v>156585214.00000003</v>
      </c>
      <c r="H153" s="347">
        <f>+K0kommunestruktur2021altern!L361</f>
        <v>162536856.00000003</v>
      </c>
      <c r="I153" s="347">
        <f>+K0kommunestruktur2021altern!N361</f>
        <v>170121597.00000003</v>
      </c>
      <c r="J153" s="347">
        <f>+K0kommunestruktur2021altern!P361</f>
        <v>168892423</v>
      </c>
      <c r="K153" s="772">
        <f>+K0kommunestruktur2021altern!R361</f>
        <v>195955452.35900015</v>
      </c>
      <c r="L153" s="583"/>
      <c r="M153" s="347"/>
      <c r="N153" s="347"/>
      <c r="O153" s="347"/>
      <c r="P153" s="389"/>
      <c r="Q153" s="389"/>
      <c r="R153" s="389"/>
      <c r="S153" s="389"/>
      <c r="T153" s="389"/>
      <c r="U153" s="389"/>
      <c r="V153" s="389"/>
      <c r="W153" s="389"/>
      <c r="X153" s="389"/>
      <c r="Y153" s="389"/>
    </row>
    <row r="154" spans="1:25">
      <c r="A154" s="590" t="s">
        <v>1037</v>
      </c>
      <c r="B154" s="36"/>
      <c r="C154" s="36"/>
      <c r="D154" s="36"/>
      <c r="E154" s="36"/>
      <c r="F154" s="591">
        <f>F152*1000/F161</f>
        <v>22807.494799418513</v>
      </c>
      <c r="G154" s="591">
        <f t="shared" ref="G154:K154" si="72">G152*1000/G161</f>
        <v>23894.131627412859</v>
      </c>
      <c r="H154" s="591">
        <f t="shared" si="72"/>
        <v>25522.342423484279</v>
      </c>
      <c r="I154" s="591">
        <f t="shared" si="72"/>
        <v>27287.350578531939</v>
      </c>
      <c r="J154" s="591">
        <f t="shared" si="72"/>
        <v>26516.518530940801</v>
      </c>
      <c r="K154" s="773">
        <f t="shared" si="72"/>
        <v>29760.987880828143</v>
      </c>
      <c r="L154" s="1164"/>
      <c r="M154" s="1041"/>
      <c r="N154" s="1041"/>
      <c r="O154" s="1041"/>
      <c r="P154" s="389"/>
      <c r="Q154" s="389"/>
      <c r="R154" s="389"/>
      <c r="S154" s="389"/>
      <c r="T154" s="389"/>
      <c r="U154" s="389"/>
      <c r="V154" s="389"/>
      <c r="W154" s="389"/>
      <c r="X154" s="389"/>
      <c r="Y154" s="389"/>
    </row>
    <row r="155" spans="1:25">
      <c r="A155" s="590" t="s">
        <v>1038</v>
      </c>
      <c r="B155" s="36"/>
      <c r="C155" s="36"/>
      <c r="D155" s="36"/>
      <c r="E155" s="36"/>
      <c r="F155" s="591">
        <f>F153*1000/F163</f>
        <v>28733.105676368457</v>
      </c>
      <c r="G155" s="591">
        <f t="shared" ref="G155:K155" si="73">G153*1000/G163</f>
        <v>29778.580104622833</v>
      </c>
      <c r="H155" s="591">
        <f t="shared" si="73"/>
        <v>30692.702024069335</v>
      </c>
      <c r="I155" s="591">
        <f t="shared" si="73"/>
        <v>31928.458740005095</v>
      </c>
      <c r="J155" s="591">
        <f t="shared" si="73"/>
        <v>31465.282864903736</v>
      </c>
      <c r="K155" s="773">
        <f t="shared" si="73"/>
        <v>36346.139980216554</v>
      </c>
      <c r="L155" s="1164"/>
      <c r="M155" s="1041"/>
      <c r="N155" s="1041"/>
      <c r="O155" s="1041"/>
      <c r="P155" s="389"/>
      <c r="Q155" s="389"/>
      <c r="R155" s="389"/>
      <c r="S155" s="389"/>
      <c r="T155" s="389"/>
      <c r="U155" s="389"/>
      <c r="V155" s="389"/>
      <c r="W155" s="389"/>
      <c r="X155" s="389"/>
      <c r="Y155" s="389"/>
    </row>
    <row r="156" spans="1:25">
      <c r="A156" s="592" t="s">
        <v>1039</v>
      </c>
      <c r="B156" s="36"/>
      <c r="C156" s="36"/>
      <c r="D156" s="36"/>
      <c r="E156" s="36"/>
      <c r="F156" s="1081">
        <f>100*F154/F155</f>
        <v>79.377060928629575</v>
      </c>
      <c r="G156" s="1081">
        <f>100*G154/G155</f>
        <v>80.23932485519525</v>
      </c>
      <c r="H156" s="1081">
        <f>100*H154/H155</f>
        <v>83.154433270389688</v>
      </c>
      <c r="I156" s="1081">
        <f t="shared" ref="I156:K156" si="74">100*I154/I155</f>
        <v>85.464039466277057</v>
      </c>
      <c r="J156" s="1081">
        <f t="shared" si="74"/>
        <v>84.272303048377267</v>
      </c>
      <c r="K156" s="774">
        <f t="shared" si="74"/>
        <v>81.882114296118502</v>
      </c>
      <c r="L156" s="709"/>
      <c r="M156" s="709"/>
      <c r="N156" s="709"/>
      <c r="O156" s="709"/>
      <c r="P156" s="389"/>
      <c r="Q156" s="389"/>
      <c r="R156" s="389"/>
      <c r="S156" s="389"/>
      <c r="T156" s="389"/>
      <c r="U156" s="389"/>
      <c r="V156" s="389"/>
      <c r="W156" s="389"/>
      <c r="X156" s="389"/>
      <c r="Y156" s="389"/>
    </row>
    <row r="157" spans="1:25">
      <c r="A157" s="592"/>
      <c r="B157" s="36"/>
      <c r="C157" s="36"/>
      <c r="D157" s="36"/>
      <c r="E157" s="36"/>
      <c r="F157" s="1089" t="s">
        <v>1445</v>
      </c>
      <c r="G157" s="1089" t="s">
        <v>1969</v>
      </c>
      <c r="H157" s="1089" t="s">
        <v>2245</v>
      </c>
      <c r="I157" s="1082"/>
      <c r="J157" s="1082"/>
      <c r="K157" s="1082"/>
      <c r="L157" s="389"/>
      <c r="M157" s="389"/>
      <c r="N157" s="389"/>
      <c r="O157" s="389"/>
      <c r="P157" s="389"/>
      <c r="Q157" s="389"/>
      <c r="R157" s="389"/>
      <c r="S157" s="389"/>
      <c r="T157" s="389"/>
      <c r="U157" s="389"/>
      <c r="V157" s="389"/>
      <c r="W157" s="389"/>
      <c r="X157" s="389"/>
      <c r="Y157" s="389"/>
    </row>
    <row r="158" spans="1:25">
      <c r="A158" s="592" t="s">
        <v>1105</v>
      </c>
      <c r="B158" s="36"/>
      <c r="C158" s="36"/>
      <c r="D158" s="36"/>
      <c r="E158" s="36"/>
      <c r="F158" s="1081">
        <f t="shared" ref="F158:H158" si="75">(F156+G156+H156)/3</f>
        <v>80.923606351404842</v>
      </c>
      <c r="G158" s="1081">
        <f t="shared" si="75"/>
        <v>82.952599197287341</v>
      </c>
      <c r="H158" s="1081">
        <f t="shared" si="75"/>
        <v>84.296925261681338</v>
      </c>
      <c r="I158" s="709"/>
      <c r="J158" s="709"/>
      <c r="K158" s="709"/>
      <c r="L158" s="389"/>
      <c r="M158" s="389"/>
      <c r="N158" s="389"/>
      <c r="O158" s="389"/>
      <c r="P158" s="389"/>
      <c r="Q158" s="389"/>
      <c r="R158" s="389"/>
      <c r="S158" s="389"/>
      <c r="T158" s="389"/>
      <c r="U158" s="389"/>
      <c r="V158" s="389"/>
      <c r="W158" s="389"/>
      <c r="X158" s="389"/>
      <c r="Y158" s="389"/>
    </row>
    <row r="159" spans="1:25">
      <c r="A159" s="52"/>
      <c r="B159" s="36"/>
      <c r="C159" s="36"/>
      <c r="D159" s="36"/>
      <c r="E159" s="36"/>
      <c r="F159" s="1043"/>
      <c r="G159" s="1043"/>
      <c r="H159" s="1043"/>
      <c r="I159" s="389"/>
      <c r="J159" s="36"/>
      <c r="K159" s="36"/>
      <c r="L159" s="389"/>
      <c r="M159" s="389"/>
      <c r="N159" s="389"/>
      <c r="O159" s="389"/>
      <c r="P159" s="389"/>
      <c r="Q159" s="389"/>
      <c r="R159" s="389"/>
      <c r="S159" s="389"/>
      <c r="T159" s="389"/>
      <c r="U159" s="389"/>
      <c r="V159" s="389"/>
      <c r="W159" s="389"/>
      <c r="X159" s="389"/>
      <c r="Y159" s="389"/>
    </row>
    <row r="160" spans="1:25">
      <c r="A160" s="52"/>
      <c r="B160" s="36"/>
      <c r="C160" s="36"/>
      <c r="D160" s="36"/>
      <c r="E160" s="36"/>
      <c r="F160" s="389"/>
      <c r="G160" s="389"/>
      <c r="H160" s="389"/>
      <c r="I160" s="389"/>
      <c r="J160" s="36"/>
      <c r="K160" s="36"/>
      <c r="L160" s="389"/>
      <c r="M160" s="389"/>
      <c r="N160" s="389"/>
      <c r="O160" s="389"/>
      <c r="P160" s="389"/>
      <c r="Q160" s="389"/>
      <c r="R160" s="389"/>
      <c r="S160" s="389"/>
      <c r="T160" s="389"/>
      <c r="U160" s="389"/>
      <c r="V160" s="389"/>
      <c r="W160" s="389"/>
      <c r="X160" s="389"/>
      <c r="Y160" s="389"/>
    </row>
    <row r="161" spans="1:25" ht="14">
      <c r="A161" s="612" t="s">
        <v>1171</v>
      </c>
      <c r="B161" s="389"/>
      <c r="C161" s="507"/>
      <c r="D161" s="507"/>
      <c r="E161" s="507"/>
      <c r="F161" s="507">
        <f>VLOOKUP(Gdata!$B$3,K0kommunestruktur2021!$A$4:$AF$359,7,FALSE)</f>
        <v>6010.6276276276276</v>
      </c>
      <c r="G161" s="507">
        <f>VLOOKUP(Gdata!$B$3,K0kommunestruktur2021!$A$4:$AF$359,9,FALSE)</f>
        <v>6062.4604604604601</v>
      </c>
      <c r="H161" s="507">
        <f>VLOOKUP(Gdata!$B$3,K0kommunestruktur2021!$A$4:$AF$359,11,FALSE)</f>
        <v>6001.5015015015015</v>
      </c>
      <c r="I161" s="507">
        <f>VLOOKUP(Gdata!$B$3,K0kommunestruktur2021!$A$4:$AF$359,13,FALSE)</f>
        <v>6010</v>
      </c>
      <c r="J161" s="507">
        <f>VLOOKUP(Gdata!$B$3,K0kommunestruktur2021!$A$4:$AF$359,15,FALSE)</f>
        <v>5963</v>
      </c>
      <c r="K161" s="507">
        <f>VLOOKUP(Gdata!$B$3,K0kommunestruktur2021!$A$4:$AF$359,17,FALSE)</f>
        <v>5941</v>
      </c>
      <c r="L161" s="507"/>
      <c r="M161" s="507"/>
      <c r="N161" s="507"/>
      <c r="O161" s="507"/>
      <c r="P161" s="389"/>
      <c r="Q161" s="389"/>
      <c r="R161" s="389"/>
      <c r="S161" s="389"/>
      <c r="T161" s="389"/>
      <c r="U161" s="389"/>
      <c r="V161" s="389"/>
      <c r="W161" s="389"/>
      <c r="X161" s="389"/>
      <c r="Y161" s="389"/>
    </row>
    <row r="162" spans="1:25">
      <c r="A162" s="52"/>
      <c r="B162" s="709"/>
      <c r="C162" s="52"/>
      <c r="D162" s="52"/>
      <c r="E162" s="52"/>
      <c r="F162" s="389"/>
      <c r="G162" s="389"/>
      <c r="H162" s="389"/>
      <c r="I162" s="36"/>
      <c r="J162" s="36"/>
      <c r="K162" s="36"/>
      <c r="L162" s="389"/>
      <c r="M162" s="389"/>
      <c r="N162" s="389"/>
      <c r="O162" s="389"/>
      <c r="P162" s="389"/>
      <c r="Q162" s="389"/>
      <c r="R162" s="389"/>
      <c r="S162" s="389"/>
      <c r="T162" s="389"/>
      <c r="U162" s="389"/>
      <c r="V162" s="389"/>
      <c r="W162" s="389"/>
      <c r="X162" s="389"/>
      <c r="Y162" s="389"/>
    </row>
    <row r="163" spans="1:25" ht="14">
      <c r="A163" s="612" t="s">
        <v>1116</v>
      </c>
      <c r="B163" s="389"/>
      <c r="C163" s="504"/>
      <c r="D163" s="504"/>
      <c r="E163" s="504"/>
      <c r="F163" s="504">
        <f>+K0kommunestruktur2021altern!G361</f>
        <v>5213985</v>
      </c>
      <c r="G163" s="504">
        <f>+K0kommunestruktur2021altern!I361</f>
        <v>5258317</v>
      </c>
      <c r="H163" s="504">
        <f>+K0kommunestruktur2021altern!K361</f>
        <v>5295619</v>
      </c>
      <c r="I163" s="504">
        <f>+K0kommunestruktur2021altern!M361</f>
        <v>5328212</v>
      </c>
      <c r="J163" s="504">
        <f>+K0kommunestruktur2021altern!O361</f>
        <v>5367580</v>
      </c>
      <c r="K163" s="504">
        <f>+K0kommunestruktur2021altern!Q361</f>
        <v>5391369</v>
      </c>
      <c r="L163" s="504"/>
      <c r="M163" s="504"/>
      <c r="N163" s="504"/>
      <c r="O163" s="504"/>
      <c r="P163" s="389"/>
      <c r="Q163" s="389"/>
      <c r="R163" s="389"/>
      <c r="S163" s="389"/>
      <c r="T163" s="389"/>
      <c r="U163" s="389"/>
      <c r="V163" s="389"/>
      <c r="W163" s="389"/>
      <c r="X163" s="389"/>
      <c r="Y163" s="389"/>
    </row>
    <row r="164" spans="1:25">
      <c r="A164" s="389"/>
      <c r="B164" s="389"/>
      <c r="C164" s="1065"/>
      <c r="D164" s="1065"/>
      <c r="E164" s="389"/>
      <c r="F164" s="389"/>
      <c r="G164" s="1066"/>
      <c r="H164" s="389"/>
      <c r="I164" s="389"/>
      <c r="J164" s="389"/>
      <c r="K164" s="389"/>
      <c r="L164" s="389"/>
      <c r="M164" s="389"/>
      <c r="N164" s="389"/>
      <c r="O164" s="389"/>
      <c r="P164" s="389"/>
      <c r="Q164" s="389"/>
      <c r="R164" s="389"/>
      <c r="S164" s="389"/>
      <c r="T164" s="389"/>
      <c r="U164" s="389"/>
      <c r="V164" s="389"/>
      <c r="W164" s="389"/>
      <c r="X164" s="389"/>
      <c r="Y164" s="389"/>
    </row>
    <row r="165" spans="1:25">
      <c r="A165" s="389"/>
      <c r="B165" s="389"/>
      <c r="C165" s="1065"/>
      <c r="D165" s="1065"/>
      <c r="E165" s="389"/>
      <c r="F165" s="389"/>
      <c r="G165" s="1066"/>
      <c r="H165" s="389"/>
      <c r="I165" s="389"/>
      <c r="J165" s="389"/>
      <c r="K165" s="389"/>
      <c r="L165" s="389"/>
      <c r="M165" s="389"/>
      <c r="N165" s="389"/>
      <c r="O165" s="389"/>
      <c r="P165" s="389"/>
      <c r="Q165" s="389"/>
      <c r="R165" s="389"/>
      <c r="S165" s="389"/>
      <c r="T165" s="389"/>
      <c r="U165" s="389"/>
      <c r="V165" s="389"/>
      <c r="W165" s="389"/>
      <c r="X165" s="389"/>
      <c r="Y165" s="389"/>
    </row>
    <row r="166" spans="1:25">
      <c r="A166" s="389"/>
      <c r="B166" s="389"/>
      <c r="C166" s="1065"/>
      <c r="D166" s="1065"/>
      <c r="E166" s="389"/>
      <c r="F166" s="389"/>
      <c r="G166" s="1066"/>
      <c r="H166" s="389"/>
      <c r="I166" s="389"/>
      <c r="J166" s="389"/>
      <c r="K166" s="389"/>
      <c r="L166" s="389"/>
      <c r="M166" s="389"/>
      <c r="N166" s="389"/>
      <c r="O166" s="389"/>
      <c r="P166" s="389"/>
      <c r="Q166" s="389"/>
      <c r="R166" s="389"/>
      <c r="S166" s="389"/>
      <c r="T166" s="389"/>
      <c r="U166" s="389"/>
      <c r="V166" s="389"/>
      <c r="W166" s="389"/>
      <c r="X166" s="389"/>
      <c r="Y166" s="389"/>
    </row>
    <row r="167" spans="1:25">
      <c r="A167" s="389"/>
      <c r="B167" s="389"/>
      <c r="C167" s="1065"/>
      <c r="D167" s="1065"/>
      <c r="E167" s="389"/>
      <c r="F167" s="389"/>
      <c r="G167" s="1066"/>
      <c r="H167" s="389"/>
      <c r="I167" s="389"/>
      <c r="J167" s="389"/>
      <c r="K167" s="389"/>
      <c r="L167" s="389"/>
      <c r="M167" s="389"/>
      <c r="N167" s="389"/>
      <c r="O167" s="389"/>
      <c r="P167" s="389"/>
      <c r="Q167" s="389"/>
      <c r="R167" s="389"/>
      <c r="S167" s="389"/>
      <c r="T167" s="389"/>
      <c r="U167" s="389"/>
      <c r="V167" s="389"/>
      <c r="W167" s="389"/>
      <c r="X167" s="389"/>
      <c r="Y167" s="389"/>
    </row>
    <row r="168" spans="1:25" ht="27.65" customHeight="1">
      <c r="A168" s="1268" t="s">
        <v>2541</v>
      </c>
      <c r="B168" s="1269"/>
      <c r="C168" s="245"/>
      <c r="D168" s="245"/>
      <c r="E168" s="245"/>
      <c r="F168" s="1088">
        <v>2016</v>
      </c>
      <c r="G168" s="1088">
        <v>2017</v>
      </c>
      <c r="H168" s="1088">
        <v>2018</v>
      </c>
      <c r="I168" s="1088">
        <v>2019</v>
      </c>
      <c r="J168" s="1088">
        <v>2020</v>
      </c>
      <c r="K168" s="1088">
        <v>2021</v>
      </c>
      <c r="L168" s="838" t="s">
        <v>1324</v>
      </c>
      <c r="M168" s="838" t="s">
        <v>1462</v>
      </c>
      <c r="N168" s="838" t="s">
        <v>1975</v>
      </c>
      <c r="O168" s="838" t="s">
        <v>2152</v>
      </c>
      <c r="P168" s="838" t="s">
        <v>2443</v>
      </c>
      <c r="Q168" s="36"/>
      <c r="R168" s="36"/>
      <c r="S168" s="36"/>
      <c r="T168" s="36"/>
      <c r="U168" s="36"/>
      <c r="V168" s="36"/>
      <c r="W168" s="36"/>
      <c r="X168" s="36"/>
      <c r="Y168" s="36"/>
    </row>
    <row r="169" spans="1:25">
      <c r="A169" s="590" t="s">
        <v>2244</v>
      </c>
      <c r="B169" s="36"/>
      <c r="C169" s="36"/>
      <c r="D169" s="36"/>
      <c r="E169" s="36"/>
      <c r="F169" s="347">
        <f>VLOOKUP(Gdata!$B$3,K0kommunestruktur2022!$A$4:$BI$359,8,FALSE)</f>
        <v>137087.35835835835</v>
      </c>
      <c r="G169" s="347">
        <f>VLOOKUP(Gdata!$B$3,K0kommunestruktur2022!$A$4:$BI$359,10,FALSE)</f>
        <v>144857.22822822822</v>
      </c>
      <c r="H169" s="347">
        <f>VLOOKUP(Gdata!$B$3,K0kommunestruktur2022!$A$4:$BI$359,12,FALSE)</f>
        <v>153172.37637637637</v>
      </c>
      <c r="I169" s="347">
        <f>VLOOKUP(Gdata!$B$3,K0kommunestruktur2022!$A$4:$BI$359,14,FALSE)</f>
        <v>163996.97697697696</v>
      </c>
      <c r="J169" s="347">
        <f>VLOOKUP(Gdata!$B$3,K0kommunestruktur2022!$A$4:$BI$359,16,FALSE)</f>
        <v>158118</v>
      </c>
      <c r="K169" s="347">
        <f>VLOOKUP(Gdata!$B$3,K0kommunestruktur2022!$A$4:$BI$359,18,FALSE)</f>
        <v>176810.02900000001</v>
      </c>
      <c r="L169" s="1090">
        <f>VLOOKUP(Gdata!$B$3,K0kommunestruktur2022!$A$4:$BI$359,20,FALSE)</f>
        <v>196667.09050514281</v>
      </c>
      <c r="M169" s="1090">
        <f>+Gdata!G119</f>
        <v>179482.67958791932</v>
      </c>
      <c r="N169" s="1090">
        <f>+Gdata!H119</f>
        <v>188322.8377981385</v>
      </c>
      <c r="O169" s="1090">
        <f>+Gdata!I119</f>
        <v>188322.8377981385</v>
      </c>
      <c r="P169" s="1090">
        <f>+Gdata!J119</f>
        <v>188322.8377981385</v>
      </c>
      <c r="Q169" s="36"/>
      <c r="R169" s="36"/>
      <c r="S169" s="36"/>
      <c r="T169" s="36"/>
      <c r="U169" s="36"/>
      <c r="V169" s="36"/>
      <c r="W169" s="36"/>
      <c r="X169" s="36"/>
      <c r="Y169" s="36"/>
    </row>
    <row r="170" spans="1:25">
      <c r="A170" s="590" t="s">
        <v>1057</v>
      </c>
      <c r="B170" s="36"/>
      <c r="C170" s="36"/>
      <c r="D170" s="36"/>
      <c r="E170" s="36"/>
      <c r="F170" s="347">
        <f>+K0kommunestruktur2022altern!H361</f>
        <v>149813982</v>
      </c>
      <c r="G170" s="347">
        <f>+K0kommunestruktur2022altern!J361</f>
        <v>156585214.00000003</v>
      </c>
      <c r="H170" s="347">
        <f>+K0kommunestruktur2022altern!L361</f>
        <v>162536856.00000009</v>
      </c>
      <c r="I170" s="347">
        <f>+K0kommunestruktur2022altern!N361</f>
        <v>170121597.00000003</v>
      </c>
      <c r="J170" s="347">
        <f>+K0kommunestruktur2022altern!P361</f>
        <v>168892423</v>
      </c>
      <c r="K170" s="347">
        <f>+K0kommunestruktur2022altern!R361</f>
        <v>195955452.35900012</v>
      </c>
      <c r="L170" s="1090">
        <f>+K0kommunestruktur2022altern!T361</f>
        <v>220000000.00000003</v>
      </c>
      <c r="M170" s="1090">
        <f>+Gdata!G96</f>
        <v>200885000</v>
      </c>
      <c r="N170" s="1090">
        <f>+Gdata!H96</f>
        <v>201725915.998</v>
      </c>
      <c r="O170" s="1090">
        <f>+Gdata!I96</f>
        <v>201725915.998</v>
      </c>
      <c r="P170" s="1090">
        <f>+Gdata!J96</f>
        <v>201725915.998</v>
      </c>
      <c r="Q170" s="389"/>
      <c r="R170" s="389"/>
      <c r="S170" s="389"/>
      <c r="T170" s="389"/>
      <c r="U170" s="389"/>
      <c r="V170" s="389"/>
      <c r="W170" s="389"/>
      <c r="X170" s="389"/>
      <c r="Y170" s="389"/>
    </row>
    <row r="171" spans="1:25">
      <c r="A171" s="590" t="s">
        <v>1037</v>
      </c>
      <c r="B171" s="36"/>
      <c r="C171" s="36"/>
      <c r="D171" s="36"/>
      <c r="E171" s="36"/>
      <c r="F171" s="591">
        <f>F169*1000/F178</f>
        <v>22807.494799418513</v>
      </c>
      <c r="G171" s="591">
        <f t="shared" ref="G171:P171" si="76">G169*1000/G178</f>
        <v>23894.131627412859</v>
      </c>
      <c r="H171" s="591">
        <f t="shared" si="76"/>
        <v>25522.342423484279</v>
      </c>
      <c r="I171" s="591">
        <f t="shared" si="76"/>
        <v>27287.350578531939</v>
      </c>
      <c r="J171" s="591">
        <f t="shared" si="76"/>
        <v>26516.518530940801</v>
      </c>
      <c r="K171" s="591">
        <f>IF(Gdata!E121=0,K169*1000/K178,Gdata!E127)</f>
        <v>29760.987880828143</v>
      </c>
      <c r="L171" s="1091">
        <f t="shared" si="76"/>
        <v>33424.046652811492</v>
      </c>
      <c r="M171" s="1091">
        <f t="shared" si="76"/>
        <v>30738.599004610263</v>
      </c>
      <c r="N171" s="1091">
        <f t="shared" si="76"/>
        <v>32252.583969539046</v>
      </c>
      <c r="O171" s="1091">
        <f t="shared" si="76"/>
        <v>32252.583969539046</v>
      </c>
      <c r="P171" s="1091">
        <f t="shared" si="76"/>
        <v>32252.583969539046</v>
      </c>
      <c r="Q171" s="389"/>
      <c r="R171" s="389"/>
      <c r="S171" s="389"/>
      <c r="T171" s="389"/>
      <c r="U171" s="389"/>
      <c r="V171" s="389"/>
      <c r="W171" s="389"/>
      <c r="X171" s="389"/>
      <c r="Y171" s="389"/>
    </row>
    <row r="172" spans="1:25">
      <c r="A172" s="590" t="s">
        <v>1038</v>
      </c>
      <c r="B172" s="36"/>
      <c r="C172" s="36"/>
      <c r="D172" s="36"/>
      <c r="E172" s="36"/>
      <c r="F172" s="591">
        <f t="shared" ref="F172:P172" si="77">F170*1000/F180</f>
        <v>28733.105676368457</v>
      </c>
      <c r="G172" s="591">
        <f t="shared" si="77"/>
        <v>29778.58010462283</v>
      </c>
      <c r="H172" s="591">
        <f t="shared" si="77"/>
        <v>30692.702024069345</v>
      </c>
      <c r="I172" s="591">
        <f t="shared" si="77"/>
        <v>31928.458740005095</v>
      </c>
      <c r="J172" s="591">
        <f t="shared" si="77"/>
        <v>31465.282864903736</v>
      </c>
      <c r="K172" s="591">
        <f t="shared" si="77"/>
        <v>36346.139980216547</v>
      </c>
      <c r="L172" s="1091">
        <f t="shared" si="77"/>
        <v>40550.977186388889</v>
      </c>
      <c r="M172" s="1091">
        <f t="shared" si="77"/>
        <v>36692.088200557962</v>
      </c>
      <c r="N172" s="1091">
        <f t="shared" si="77"/>
        <v>36845.683361808813</v>
      </c>
      <c r="O172" s="1091">
        <f t="shared" si="77"/>
        <v>36845.683361808813</v>
      </c>
      <c r="P172" s="1091">
        <f t="shared" si="77"/>
        <v>36845.683361808813</v>
      </c>
      <c r="Q172" s="389"/>
      <c r="R172" s="389"/>
      <c r="S172" s="389"/>
      <c r="T172" s="389"/>
      <c r="U172" s="389"/>
      <c r="V172" s="389"/>
      <c r="W172" s="389"/>
      <c r="X172" s="389"/>
      <c r="Y172" s="389"/>
    </row>
    <row r="173" spans="1:25">
      <c r="A173" s="592" t="s">
        <v>1039</v>
      </c>
      <c r="B173" s="36"/>
      <c r="C173" s="36"/>
      <c r="D173" s="36"/>
      <c r="E173" s="36"/>
      <c r="F173" s="1081">
        <f>100*F171/F172</f>
        <v>79.377060928629575</v>
      </c>
      <c r="G173" s="1081">
        <f>100*G171/G172</f>
        <v>80.239324855195264</v>
      </c>
      <c r="H173" s="1081">
        <f>100*H171/H172</f>
        <v>83.15443327038966</v>
      </c>
      <c r="I173" s="1081">
        <f t="shared" ref="I173:L173" si="78">100*I171/I172</f>
        <v>85.464039466277057</v>
      </c>
      <c r="J173" s="1081">
        <f t="shared" si="78"/>
        <v>84.272303048377267</v>
      </c>
      <c r="K173" s="1081">
        <f>100*K171/K172</f>
        <v>81.882114296118516</v>
      </c>
      <c r="L173" s="774">
        <f t="shared" si="78"/>
        <v>82.424762538226616</v>
      </c>
      <c r="M173" s="774">
        <f>100*M171/M172</f>
        <v>83.774460686439852</v>
      </c>
      <c r="N173" s="774">
        <f>100*N171/N172</f>
        <v>87.53422660894222</v>
      </c>
      <c r="O173" s="774">
        <f>100*O171/O172</f>
        <v>87.53422660894222</v>
      </c>
      <c r="P173" s="774">
        <f>100*P171/P172</f>
        <v>87.53422660894222</v>
      </c>
      <c r="Q173" s="389"/>
      <c r="R173" s="389"/>
      <c r="S173" s="389"/>
      <c r="T173" s="389"/>
      <c r="U173" s="389"/>
      <c r="V173" s="389"/>
      <c r="W173" s="389"/>
      <c r="X173" s="389"/>
      <c r="Y173" s="389"/>
    </row>
    <row r="174" spans="1:25" ht="26">
      <c r="A174" s="592"/>
      <c r="B174" s="36"/>
      <c r="C174" s="36"/>
      <c r="D174" s="36"/>
      <c r="E174" s="36"/>
      <c r="F174" s="1089" t="s">
        <v>1445</v>
      </c>
      <c r="G174" s="1089" t="s">
        <v>1969</v>
      </c>
      <c r="H174" s="1089" t="s">
        <v>2245</v>
      </c>
      <c r="I174" s="1089" t="s">
        <v>2540</v>
      </c>
      <c r="J174" s="969" t="s">
        <v>1976</v>
      </c>
      <c r="K174" s="969" t="s">
        <v>2153</v>
      </c>
      <c r="L174" s="969" t="s">
        <v>2444</v>
      </c>
      <c r="M174" s="36"/>
      <c r="N174" s="36"/>
      <c r="O174" s="389"/>
      <c r="P174" s="389"/>
      <c r="Q174" s="389"/>
      <c r="R174" s="389"/>
      <c r="S174" s="389"/>
      <c r="T174" s="389"/>
      <c r="U174" s="389"/>
      <c r="V174" s="389"/>
      <c r="W174" s="389"/>
      <c r="X174" s="389"/>
      <c r="Y174" s="389"/>
    </row>
    <row r="175" spans="1:25">
      <c r="A175" s="592" t="s">
        <v>1105</v>
      </c>
      <c r="B175" s="36"/>
      <c r="C175" s="36"/>
      <c r="D175" s="36"/>
      <c r="E175" s="36"/>
      <c r="F175" s="1081">
        <f t="shared" ref="F175" si="79">(F173+G173+H173)/3</f>
        <v>80.923606351404842</v>
      </c>
      <c r="G175" s="1081">
        <f t="shared" ref="G175" si="80">(G173+H173+I173)/3</f>
        <v>82.952599197287327</v>
      </c>
      <c r="H175" s="1081">
        <f t="shared" ref="H175" si="81">(H173+I173+J173)/3</f>
        <v>84.296925261681324</v>
      </c>
      <c r="I175" s="1081">
        <f>(I173+J173+K173)/3</f>
        <v>83.872818936924276</v>
      </c>
      <c r="J175" s="774">
        <f>(J173+K173+L173)/3</f>
        <v>82.859726627574133</v>
      </c>
      <c r="K175" s="774">
        <f>(K173+L173+M173)/3</f>
        <v>82.69377917359499</v>
      </c>
      <c r="L175" s="774">
        <f>(L173+M173+N173)/3</f>
        <v>84.577816611202891</v>
      </c>
      <c r="M175" s="36"/>
      <c r="N175" s="36"/>
      <c r="O175" s="389"/>
      <c r="P175" s="389"/>
      <c r="Q175" s="389"/>
      <c r="R175" s="389"/>
      <c r="S175" s="389"/>
      <c r="T175" s="389"/>
      <c r="U175" s="389"/>
      <c r="V175" s="389"/>
      <c r="W175" s="389"/>
      <c r="X175" s="389"/>
      <c r="Y175" s="389"/>
    </row>
    <row r="176" spans="1:25">
      <c r="A176" s="52"/>
      <c r="B176" s="36"/>
      <c r="C176" s="36"/>
      <c r="D176" s="36"/>
      <c r="E176" s="36"/>
      <c r="F176" s="389"/>
      <c r="G176" s="389"/>
      <c r="H176" s="389"/>
      <c r="I176" s="389"/>
      <c r="J176" s="36"/>
      <c r="K176" s="36"/>
      <c r="L176" s="36"/>
      <c r="M176" s="36"/>
      <c r="N176" s="36"/>
      <c r="O176" s="389"/>
      <c r="P176" s="389"/>
      <c r="Q176" s="389"/>
      <c r="R176" s="389"/>
      <c r="S176" s="389"/>
      <c r="T176" s="389"/>
      <c r="U176" s="389"/>
      <c r="V176" s="389"/>
      <c r="W176" s="389"/>
      <c r="X176" s="389"/>
      <c r="Y176" s="389"/>
    </row>
    <row r="177" spans="1:25">
      <c r="A177" s="52"/>
      <c r="B177" s="36"/>
      <c r="C177" s="36"/>
      <c r="D177" s="36"/>
      <c r="E177" s="36"/>
      <c r="F177" s="389"/>
      <c r="G177" s="389"/>
      <c r="H177" s="389"/>
      <c r="I177" s="389"/>
      <c r="J177" s="36"/>
      <c r="K177" s="36"/>
      <c r="L177" s="36"/>
      <c r="M177" s="36"/>
      <c r="N177" s="36"/>
      <c r="O177" s="389"/>
      <c r="P177" s="389"/>
      <c r="Q177" s="389"/>
      <c r="R177" s="389"/>
      <c r="S177" s="389"/>
      <c r="T177" s="389"/>
      <c r="U177" s="389"/>
      <c r="V177" s="389"/>
      <c r="W177" s="389"/>
      <c r="X177" s="389"/>
      <c r="Y177" s="389"/>
    </row>
    <row r="178" spans="1:25" ht="14">
      <c r="A178" s="612" t="s">
        <v>1171</v>
      </c>
      <c r="B178" s="389"/>
      <c r="C178" s="507"/>
      <c r="D178" s="507"/>
      <c r="E178" s="507"/>
      <c r="F178" s="507">
        <f>VLOOKUP(Gdata!$B$3,K0kommunestruktur2022!$A$4:$AF$359,7,FALSE)</f>
        <v>6010.6276276276276</v>
      </c>
      <c r="G178" s="507">
        <f>VLOOKUP(Gdata!$B$3,K0kommunestruktur2022!$A$4:$AF$359,9,FALSE)</f>
        <v>6062.4604604604601</v>
      </c>
      <c r="H178" s="507">
        <f>VLOOKUP(Gdata!$B$3,K0kommunestruktur2022!$A$4:$AF$359,11,FALSE)</f>
        <v>6001.5015015015015</v>
      </c>
      <c r="I178" s="507">
        <f>VLOOKUP(Gdata!$B$3,K0kommunestruktur2022!$A$4:$AF$359,13,FALSE)</f>
        <v>6010</v>
      </c>
      <c r="J178" s="507">
        <f>VLOOKUP(Gdata!$B$3,K0kommunestruktur2022!$A$4:$AF$359,15,FALSE)</f>
        <v>5963</v>
      </c>
      <c r="K178" s="507">
        <f>VLOOKUP(Gdata!$B$3,K0kommunestruktur2022!$A$4:$AF$359,17,FALSE)</f>
        <v>5941</v>
      </c>
      <c r="L178" s="507">
        <f>VLOOKUP(Gdata!$B$3,K0kommunestruktur2022!$A$4:$AF$359,19,FALSE)</f>
        <v>5884</v>
      </c>
      <c r="M178" s="712">
        <f>+Gdata!G54</f>
        <v>5839</v>
      </c>
      <c r="N178" s="712">
        <f>+Gdata!H54</f>
        <v>5839</v>
      </c>
      <c r="O178" s="712">
        <f>+Gdata!I54</f>
        <v>5839</v>
      </c>
      <c r="P178" s="712">
        <f>+Gdata!J54</f>
        <v>5839</v>
      </c>
      <c r="Q178" s="389"/>
      <c r="R178" s="389"/>
      <c r="S178" s="389"/>
      <c r="T178" s="389"/>
      <c r="U178" s="389"/>
      <c r="V178" s="389"/>
      <c r="W178" s="389"/>
      <c r="X178" s="389"/>
      <c r="Y178" s="389"/>
    </row>
    <row r="179" spans="1:25">
      <c r="A179" s="52"/>
      <c r="B179" s="709"/>
      <c r="C179" s="52"/>
      <c r="D179" s="52"/>
      <c r="E179" s="52"/>
      <c r="F179" s="389"/>
      <c r="G179" s="389"/>
      <c r="H179" s="389"/>
      <c r="I179" s="36"/>
      <c r="J179" s="36"/>
      <c r="K179" s="36"/>
      <c r="L179" s="36"/>
      <c r="M179" s="36"/>
      <c r="N179" s="36"/>
      <c r="O179" s="389"/>
      <c r="P179" s="389"/>
      <c r="Q179" s="389"/>
      <c r="R179" s="389"/>
      <c r="S179" s="389"/>
      <c r="T179" s="389"/>
      <c r="U179" s="389"/>
      <c r="V179" s="389"/>
      <c r="W179" s="389"/>
      <c r="X179" s="389"/>
      <c r="Y179" s="389"/>
    </row>
    <row r="180" spans="1:25" ht="14">
      <c r="A180" s="612" t="s">
        <v>1116</v>
      </c>
      <c r="B180" s="389"/>
      <c r="C180" s="504"/>
      <c r="D180" s="504"/>
      <c r="E180" s="504"/>
      <c r="F180" s="504">
        <f>+K0kommunestruktur2022altern!G361</f>
        <v>5213985</v>
      </c>
      <c r="G180" s="504">
        <f>+K0kommunestruktur2022altern!I361</f>
        <v>5258317.0000000009</v>
      </c>
      <c r="H180" s="504">
        <f>+K0kommunestruktur2022altern!K361</f>
        <v>5295619</v>
      </c>
      <c r="I180" s="504">
        <f>+K0kommunestruktur2022altern!M361</f>
        <v>5328212</v>
      </c>
      <c r="J180" s="504">
        <f>+K0kommunestruktur2022altern!O361</f>
        <v>5367580</v>
      </c>
      <c r="K180" s="504">
        <f>+K0kommunestruktur2022altern!Q361</f>
        <v>5391369</v>
      </c>
      <c r="L180" s="504">
        <f>+K0kommunestruktur2022altern!S361</f>
        <v>5425270</v>
      </c>
      <c r="M180" s="708">
        <f>+Gdata!G86</f>
        <v>5474886</v>
      </c>
      <c r="N180" s="708">
        <f>+Gdata!H86</f>
        <v>5474886</v>
      </c>
      <c r="O180" s="708">
        <f>+Gdata!I86</f>
        <v>5474886</v>
      </c>
      <c r="P180" s="708">
        <f>+Gdata!J86</f>
        <v>5474886</v>
      </c>
      <c r="Q180" s="389"/>
      <c r="R180" s="389"/>
      <c r="S180" s="389"/>
      <c r="T180" s="389"/>
      <c r="U180" s="389"/>
      <c r="V180" s="389"/>
      <c r="W180" s="389"/>
      <c r="X180" s="389"/>
      <c r="Y180" s="389"/>
    </row>
  </sheetData>
  <sheetProtection sheet="1" objects="1" scenarios="1"/>
  <mergeCells count="5">
    <mergeCell ref="A117:B117"/>
    <mergeCell ref="A134:B134"/>
    <mergeCell ref="A151:B151"/>
    <mergeCell ref="A168:B168"/>
    <mergeCell ref="A97:P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O198"/>
  <sheetViews>
    <sheetView zoomScaleNormal="100" workbookViewId="0">
      <pane xSplit="1" ySplit="6" topLeftCell="E126" activePane="bottomRight" state="frozenSplit"/>
      <selection activeCell="J9" sqref="J9"/>
      <selection pane="topRight" activeCell="J9" sqref="J9"/>
      <selection pane="bottomLeft" activeCell="J9" sqref="J9"/>
      <selection pane="bottomRight" activeCell="H157" sqref="H157"/>
    </sheetView>
  </sheetViews>
  <sheetFormatPr baseColWidth="10" defaultRowHeight="12.5"/>
  <cols>
    <col min="1" max="1" width="60.7265625" customWidth="1"/>
    <col min="2" max="2" width="14.54296875" customWidth="1"/>
    <col min="3" max="3" width="15.54296875" customWidth="1"/>
    <col min="4" max="4" width="16.1796875" customWidth="1"/>
    <col min="5" max="5" width="13.7265625" customWidth="1"/>
    <col min="6" max="6" width="15.54296875" customWidth="1"/>
    <col min="7" max="7" width="18.7265625" customWidth="1"/>
    <col min="8" max="8" width="16" customWidth="1"/>
    <col min="9" max="9" width="13.26953125" customWidth="1"/>
    <col min="10" max="10" width="16" customWidth="1"/>
    <col min="11" max="11" width="13.7265625" customWidth="1"/>
    <col min="12" max="14" width="16.26953125" customWidth="1"/>
  </cols>
  <sheetData>
    <row r="1" spans="1:15" ht="13">
      <c r="A1" s="165"/>
      <c r="B1" s="165"/>
      <c r="C1" s="165"/>
      <c r="D1" s="165"/>
      <c r="E1" s="165"/>
      <c r="F1" s="165"/>
      <c r="G1" s="165"/>
      <c r="H1" s="75" t="s">
        <v>719</v>
      </c>
      <c r="I1" s="165"/>
      <c r="J1" s="165"/>
      <c r="K1" s="165"/>
      <c r="L1" s="165"/>
      <c r="M1" s="165"/>
      <c r="N1" s="165"/>
      <c r="O1" s="911"/>
    </row>
    <row r="2" spans="1:15" ht="22.5">
      <c r="A2" s="173" t="s">
        <v>2117</v>
      </c>
      <c r="B2" s="165"/>
      <c r="C2" s="165"/>
      <c r="D2" s="165"/>
      <c r="E2" s="165"/>
      <c r="F2" s="165"/>
      <c r="G2" s="165"/>
      <c r="H2" s="165"/>
      <c r="I2" s="165"/>
      <c r="J2" s="165"/>
      <c r="K2" s="165"/>
      <c r="L2" s="165"/>
      <c r="M2" s="165"/>
      <c r="N2" s="165"/>
      <c r="O2" s="911"/>
    </row>
    <row r="3" spans="1:15" ht="15.5">
      <c r="A3" s="166" t="s">
        <v>384</v>
      </c>
      <c r="B3" s="1232">
        <v>2018</v>
      </c>
      <c r="C3" s="1232">
        <v>2019</v>
      </c>
      <c r="D3" s="1232">
        <v>2020</v>
      </c>
      <c r="E3" s="1232">
        <v>2021</v>
      </c>
      <c r="F3" s="1232">
        <v>2022</v>
      </c>
      <c r="G3" s="1232">
        <v>2023</v>
      </c>
      <c r="H3" s="172" t="s">
        <v>1975</v>
      </c>
      <c r="I3" s="172" t="s">
        <v>2152</v>
      </c>
      <c r="J3" s="172" t="s">
        <v>2443</v>
      </c>
      <c r="K3" s="407"/>
      <c r="L3" s="407"/>
      <c r="M3" s="407"/>
      <c r="N3" s="407"/>
      <c r="O3" s="911"/>
    </row>
    <row r="4" spans="1:15" ht="15.5">
      <c r="A4" s="169" t="s">
        <v>385</v>
      </c>
      <c r="B4" s="169" t="e">
        <f>+B28</f>
        <v>#N/A</v>
      </c>
      <c r="C4" s="169" t="e">
        <f>C52</f>
        <v>#N/A</v>
      </c>
      <c r="D4" s="169">
        <f>D76</f>
        <v>-322.43866630679997</v>
      </c>
      <c r="E4" s="169">
        <f>+E100</f>
        <v>-223.95529287529999</v>
      </c>
      <c r="F4" s="169">
        <f>F124</f>
        <v>-285.82580509425003</v>
      </c>
      <c r="G4" s="169">
        <f>+G148</f>
        <v>-241.51219477990003</v>
      </c>
      <c r="H4" s="529">
        <f>H164</f>
        <v>-205.97499999999999</v>
      </c>
      <c r="I4" s="529">
        <f>I179</f>
        <v>-176.55</v>
      </c>
      <c r="J4" s="529">
        <f>J194</f>
        <v>-176.55</v>
      </c>
      <c r="K4" s="407"/>
      <c r="L4" s="407"/>
      <c r="M4" s="407"/>
      <c r="N4" s="407"/>
      <c r="O4" s="911"/>
    </row>
    <row r="5" spans="1:15" ht="15" customHeight="1">
      <c r="A5" s="24"/>
      <c r="B5" s="407"/>
      <c r="C5" s="407"/>
      <c r="D5" s="407"/>
      <c r="E5" s="407"/>
      <c r="F5" s="407"/>
      <c r="G5" s="407"/>
      <c r="H5" s="407" t="s">
        <v>2548</v>
      </c>
      <c r="I5" s="407"/>
      <c r="J5" s="407"/>
      <c r="K5" s="407"/>
      <c r="L5" s="407"/>
      <c r="M5" s="407"/>
      <c r="N5" s="407"/>
      <c r="O5" s="911"/>
    </row>
    <row r="6" spans="1:15" ht="15.5">
      <c r="A6" s="167"/>
      <c r="B6" s="407"/>
      <c r="C6" s="407"/>
      <c r="D6" s="407"/>
      <c r="E6" s="407"/>
      <c r="F6" s="407"/>
      <c r="G6" s="407"/>
      <c r="H6" s="407" t="s">
        <v>2459</v>
      </c>
      <c r="I6" s="407"/>
      <c r="J6" s="407"/>
      <c r="K6" s="407"/>
      <c r="L6" s="407"/>
      <c r="M6" s="407"/>
      <c r="N6" s="407"/>
      <c r="O6" s="911"/>
    </row>
    <row r="7" spans="1:15" ht="15.5">
      <c r="A7" s="167"/>
      <c r="B7" s="340"/>
      <c r="C7" s="340"/>
      <c r="D7" s="407"/>
      <c r="E7" s="407"/>
      <c r="F7" s="407"/>
      <c r="G7" s="407"/>
      <c r="H7" s="407"/>
      <c r="I7" s="407"/>
      <c r="J7" s="407"/>
      <c r="K7" s="407"/>
      <c r="L7" s="407"/>
      <c r="M7" s="407"/>
      <c r="N7" s="407"/>
      <c r="O7" s="911"/>
    </row>
    <row r="8" spans="1:15" ht="15.5">
      <c r="A8" s="407"/>
      <c r="B8" s="407"/>
      <c r="C8" s="407"/>
      <c r="D8" s="407"/>
      <c r="E8" s="407"/>
      <c r="F8" s="407"/>
      <c r="G8" s="407"/>
      <c r="H8" s="407"/>
      <c r="I8" s="407"/>
      <c r="J8" s="407"/>
      <c r="K8" s="407"/>
      <c r="L8" s="407"/>
      <c r="M8" s="407"/>
      <c r="N8" s="407"/>
      <c r="O8" s="911"/>
    </row>
    <row r="9" spans="1:15" ht="15.5">
      <c r="A9" s="933" t="s">
        <v>1902</v>
      </c>
      <c r="B9" s="934" t="e">
        <f>VLOOKUP(Inngang!$C$8,'K18'!$A$4:$BU$432,48,FALSE)</f>
        <v>#N/A</v>
      </c>
      <c r="C9" s="407"/>
      <c r="D9" s="407"/>
      <c r="E9" s="407"/>
      <c r="F9" s="407"/>
      <c r="G9" s="407"/>
      <c r="H9" s="407"/>
      <c r="I9" s="407"/>
      <c r="J9" s="407"/>
      <c r="K9" s="407"/>
      <c r="L9" s="407"/>
      <c r="M9" s="407"/>
      <c r="N9" s="407"/>
      <c r="O9" s="911"/>
    </row>
    <row r="10" spans="1:15" ht="15.5">
      <c r="A10" s="933" t="s">
        <v>1013</v>
      </c>
      <c r="B10" s="934" t="e">
        <f>VLOOKUP(Inngang!$C$8,'K17 ny kommune'!$A$4:$AM$435,4,FALSE)</f>
        <v>#N/A</v>
      </c>
      <c r="C10" s="407"/>
      <c r="D10" s="407"/>
      <c r="E10" s="407"/>
      <c r="F10" s="407"/>
      <c r="G10" s="407"/>
      <c r="H10" s="407"/>
      <c r="I10" s="407"/>
      <c r="J10" s="407"/>
      <c r="K10" s="407"/>
      <c r="L10" s="407"/>
      <c r="M10" s="407"/>
      <c r="N10" s="407"/>
      <c r="O10" s="911"/>
    </row>
    <row r="11" spans="1:15" ht="15.5">
      <c r="A11" s="933" t="s">
        <v>1261</v>
      </c>
      <c r="B11" s="934" t="e">
        <f>VLOOKUP(Inngang!$C$8,'K18'!$A$4:$BU$432,55,FALSE)</f>
        <v>#N/A</v>
      </c>
      <c r="C11" s="407"/>
      <c r="D11" s="407"/>
      <c r="E11" s="407"/>
      <c r="F11" s="407"/>
      <c r="G11" s="407"/>
      <c r="H11" s="407"/>
      <c r="I11" s="407"/>
      <c r="J11" s="407"/>
      <c r="K11" s="407"/>
      <c r="L11" s="407"/>
      <c r="M11" s="407"/>
      <c r="N11" s="407"/>
      <c r="O11" s="911"/>
    </row>
    <row r="12" spans="1:15" ht="15.5">
      <c r="A12" s="933" t="s">
        <v>1065</v>
      </c>
      <c r="B12" s="934" t="e">
        <f>IF(Inngang!$C$8=235,0,IF(Inngang!$C$8=238,0,VLOOKUP(Inngang!$C$8,'K17 ny kommune'!$A$4:$I$425,8,FALSE)))</f>
        <v>#N/A</v>
      </c>
      <c r="C12" s="407"/>
      <c r="D12" s="407"/>
      <c r="E12" s="407"/>
      <c r="F12" s="407"/>
      <c r="G12" s="407"/>
      <c r="H12" s="407"/>
      <c r="I12" s="407"/>
      <c r="J12" s="407"/>
      <c r="K12" s="407"/>
      <c r="L12" s="407"/>
      <c r="M12" s="407"/>
      <c r="N12" s="407"/>
      <c r="O12" s="911"/>
    </row>
    <row r="13" spans="1:15" ht="15.5">
      <c r="A13" s="933" t="s">
        <v>1263</v>
      </c>
      <c r="B13" s="934" t="e">
        <f>VLOOKUP(Inngang!$C$8,'K17 ny kommune'!$A$4:$AM$435,7,FALSE)</f>
        <v>#N/A</v>
      </c>
      <c r="C13" s="407"/>
      <c r="D13" s="407"/>
      <c r="E13" s="407"/>
      <c r="F13" s="407"/>
      <c r="G13" s="407"/>
      <c r="H13" s="407"/>
      <c r="I13" s="407"/>
      <c r="J13" s="407"/>
      <c r="K13" s="407"/>
      <c r="L13" s="407"/>
      <c r="M13" s="407"/>
      <c r="N13" s="407"/>
      <c r="O13" s="911"/>
    </row>
    <row r="14" spans="1:15" ht="15.5">
      <c r="A14" s="933" t="s">
        <v>1180</v>
      </c>
      <c r="B14" s="934" t="e">
        <f>VLOOKUP(Inngang!$C$8,'K18'!$A$4:$BL$438,41,FALSE)</f>
        <v>#N/A</v>
      </c>
      <c r="C14" s="407"/>
      <c r="D14" s="407"/>
      <c r="E14" s="407"/>
      <c r="F14" s="407"/>
      <c r="G14" s="407"/>
      <c r="H14" s="407"/>
      <c r="I14" s="407"/>
      <c r="J14" s="407"/>
      <c r="K14" s="407"/>
      <c r="L14" s="407"/>
      <c r="M14" s="407"/>
      <c r="N14" s="407"/>
      <c r="O14" s="911"/>
    </row>
    <row r="15" spans="1:15" ht="15.5">
      <c r="A15" s="933" t="s">
        <v>1264</v>
      </c>
      <c r="B15" s="934" t="e">
        <f>VLOOKUP(Gdata!B3,'K18'!$A$4:$BL$438,43,FALSE)</f>
        <v>#N/A</v>
      </c>
      <c r="C15" s="407"/>
      <c r="D15" s="407"/>
      <c r="E15" s="407"/>
      <c r="F15" s="407"/>
      <c r="G15" s="407"/>
      <c r="H15" s="407"/>
      <c r="I15" s="407"/>
      <c r="J15" s="407"/>
      <c r="K15" s="407"/>
      <c r="L15" s="407"/>
      <c r="M15" s="407"/>
      <c r="N15" s="407"/>
      <c r="O15" s="911"/>
    </row>
    <row r="16" spans="1:15" ht="15.5">
      <c r="A16" s="935" t="s">
        <v>1265</v>
      </c>
      <c r="B16" s="936" t="e">
        <f>B9-B10-B11+B12-B13+B14+B15</f>
        <v>#N/A</v>
      </c>
      <c r="C16" s="407"/>
      <c r="D16" s="407"/>
      <c r="E16" s="407"/>
      <c r="F16" s="407"/>
      <c r="G16" s="407"/>
      <c r="H16" s="407"/>
      <c r="I16" s="407"/>
      <c r="J16" s="407"/>
      <c r="K16" s="407"/>
      <c r="L16" s="407"/>
      <c r="M16" s="407"/>
      <c r="N16" s="407"/>
      <c r="O16" s="911"/>
    </row>
    <row r="17" spans="1:15" ht="15.5">
      <c r="A17" s="937" t="s">
        <v>1266</v>
      </c>
      <c r="B17" s="938" t="e">
        <f>VLOOKUP(Gdata!$B$3,'K18'!$A$4:$BL$438,57,FALSE)</f>
        <v>#N/A</v>
      </c>
      <c r="C17" s="407"/>
      <c r="D17" s="407"/>
      <c r="E17" s="407"/>
      <c r="F17" s="407"/>
      <c r="G17" s="407"/>
      <c r="H17" s="407"/>
      <c r="I17" s="407"/>
      <c r="J17" s="407"/>
      <c r="K17" s="407"/>
      <c r="L17" s="407"/>
      <c r="M17" s="407"/>
      <c r="N17" s="407"/>
      <c r="O17" s="911"/>
    </row>
    <row r="18" spans="1:15" ht="15.5">
      <c r="A18" s="937" t="s">
        <v>1028</v>
      </c>
      <c r="B18" s="938" t="e">
        <f>VLOOKUP(Inngang!$C$8,'K18'!$A$4:$CN$432,24,FALSE)</f>
        <v>#N/A</v>
      </c>
      <c r="C18" s="407"/>
      <c r="D18" s="407"/>
      <c r="E18" s="407"/>
      <c r="F18" s="407"/>
      <c r="G18" s="407"/>
      <c r="H18" s="407"/>
      <c r="I18" s="407"/>
      <c r="J18" s="407"/>
      <c r="K18" s="407"/>
      <c r="L18" s="407"/>
      <c r="M18" s="407"/>
      <c r="N18" s="407"/>
      <c r="O18" s="911"/>
    </row>
    <row r="19" spans="1:15" ht="15.5">
      <c r="A19" s="937" t="s">
        <v>1029</v>
      </c>
      <c r="B19" s="938" t="e">
        <f>VLOOKUP(Inngang!$C$8,'K18'!$A$4:$CN$432,61,FALSE)</f>
        <v>#N/A</v>
      </c>
      <c r="C19" s="407"/>
      <c r="D19" s="407"/>
      <c r="E19" s="407"/>
      <c r="F19" s="407"/>
      <c r="G19" s="407"/>
      <c r="H19" s="407"/>
      <c r="I19" s="407"/>
      <c r="J19" s="407"/>
      <c r="K19" s="407"/>
      <c r="L19" s="407"/>
      <c r="M19" s="407"/>
      <c r="N19" s="407"/>
      <c r="O19" s="911"/>
    </row>
    <row r="20" spans="1:15" ht="15.5">
      <c r="A20" s="937" t="s">
        <v>1066</v>
      </c>
      <c r="B20" s="938" t="e">
        <f>IF(Inngang!$C$8=235,0,IF(Inngang!$C$8=238,0,VLOOKUP(Inngang!$C$8,'K18'!$A$4:$BM$439,32,FALSE)))</f>
        <v>#N/A</v>
      </c>
      <c r="C20" s="407"/>
      <c r="D20" s="407"/>
      <c r="E20" s="407"/>
      <c r="F20" s="407"/>
      <c r="G20" s="407"/>
      <c r="H20" s="407"/>
      <c r="I20" s="407"/>
      <c r="J20" s="407"/>
      <c r="K20" s="407"/>
      <c r="L20" s="407"/>
      <c r="M20" s="407"/>
      <c r="N20" s="407"/>
      <c r="O20" s="911"/>
    </row>
    <row r="21" spans="1:15" ht="15.5">
      <c r="A21" s="939" t="s">
        <v>1267</v>
      </c>
      <c r="B21" s="938" t="e">
        <f>VLOOKUP(Inngang!$C$8,'K18'!$A$4:$CQ$432,31,FALSE)</f>
        <v>#N/A</v>
      </c>
      <c r="C21" s="407"/>
      <c r="D21" s="407"/>
      <c r="E21" s="407"/>
      <c r="F21" s="407"/>
      <c r="G21" s="407"/>
      <c r="H21" s="407"/>
      <c r="I21" s="407"/>
      <c r="J21" s="407"/>
      <c r="K21" s="407"/>
      <c r="L21" s="407"/>
      <c r="M21" s="407"/>
      <c r="N21" s="407"/>
      <c r="O21" s="911"/>
    </row>
    <row r="22" spans="1:15" ht="16" thickBot="1">
      <c r="A22" s="940" t="s">
        <v>1030</v>
      </c>
      <c r="B22" s="941" t="e">
        <f>B17-B18-B19+B20-B21</f>
        <v>#N/A</v>
      </c>
      <c r="C22" s="409"/>
      <c r="D22" s="407"/>
      <c r="E22" s="407"/>
      <c r="F22" s="407"/>
      <c r="G22" s="407"/>
      <c r="H22" s="407"/>
      <c r="I22" s="407"/>
      <c r="J22" s="407"/>
      <c r="K22" s="407"/>
      <c r="L22" s="407"/>
      <c r="M22" s="407"/>
      <c r="N22" s="407"/>
      <c r="O22" s="911"/>
    </row>
    <row r="23" spans="1:15" ht="15.5">
      <c r="A23" s="942" t="s">
        <v>1031</v>
      </c>
      <c r="B23" s="943" t="e">
        <f>B22-B16</f>
        <v>#N/A</v>
      </c>
      <c r="C23" s="407"/>
      <c r="D23" s="788" t="s">
        <v>1217</v>
      </c>
      <c r="E23" s="576"/>
      <c r="F23" s="577"/>
      <c r="G23" s="407"/>
      <c r="H23" s="407"/>
      <c r="I23" s="407"/>
      <c r="J23" s="407"/>
      <c r="K23" s="407"/>
      <c r="L23" s="407"/>
      <c r="M23" s="407"/>
      <c r="N23" s="407"/>
      <c r="O23" s="911"/>
    </row>
    <row r="24" spans="1:15" ht="15.5">
      <c r="A24" s="944" t="s">
        <v>1032</v>
      </c>
      <c r="B24" s="945" t="e">
        <f>B23*1000/Gdata!B28</f>
        <v>#N/A</v>
      </c>
      <c r="C24" s="407"/>
      <c r="D24" s="578">
        <v>704.33986560688527</v>
      </c>
      <c r="E24" s="787" t="s">
        <v>1218</v>
      </c>
      <c r="F24" s="579"/>
      <c r="G24" s="407"/>
      <c r="H24" s="407"/>
      <c r="I24" s="407"/>
      <c r="J24" s="407"/>
      <c r="K24" s="407"/>
      <c r="L24" s="407"/>
      <c r="M24" s="407"/>
      <c r="N24" s="407"/>
      <c r="O24" s="911"/>
    </row>
    <row r="25" spans="1:15" ht="16" thickBot="1">
      <c r="A25" s="946" t="s">
        <v>1223</v>
      </c>
      <c r="B25" s="947" t="e">
        <f>IF(B24&lt;D25,D25-B24,0)</f>
        <v>#N/A</v>
      </c>
      <c r="C25" s="407"/>
      <c r="D25" s="580">
        <f>D24-400</f>
        <v>304.33986560688527</v>
      </c>
      <c r="E25" s="789" t="s">
        <v>1219</v>
      </c>
      <c r="F25" s="581"/>
      <c r="G25" s="407"/>
      <c r="H25" s="407"/>
      <c r="I25" s="407"/>
      <c r="J25" s="407"/>
      <c r="K25" s="407"/>
      <c r="L25" s="407"/>
      <c r="M25" s="407"/>
      <c r="N25" s="407"/>
      <c r="O25" s="911"/>
    </row>
    <row r="26" spans="1:15" ht="15.5">
      <c r="A26" s="944" t="s">
        <v>270</v>
      </c>
      <c r="B26" s="945">
        <f>Gdata!B161</f>
        <v>-71.47419635</v>
      </c>
      <c r="C26" s="407"/>
      <c r="D26" s="407"/>
      <c r="E26" s="407"/>
      <c r="F26" s="407"/>
      <c r="G26" s="407"/>
      <c r="H26" s="407"/>
      <c r="I26" s="407"/>
      <c r="J26" s="407"/>
      <c r="K26" s="407"/>
      <c r="L26" s="407"/>
      <c r="M26" s="407"/>
      <c r="N26" s="407"/>
      <c r="O26" s="911"/>
    </row>
    <row r="27" spans="1:15" ht="15.5">
      <c r="A27" s="946" t="s">
        <v>1033</v>
      </c>
      <c r="B27" s="945" t="e">
        <f>B25+B26</f>
        <v>#N/A</v>
      </c>
      <c r="C27" s="407"/>
      <c r="D27" s="407"/>
      <c r="E27" s="407"/>
      <c r="F27" s="407"/>
      <c r="G27" s="407"/>
      <c r="H27" s="407"/>
      <c r="I27" s="407"/>
      <c r="J27" s="407"/>
      <c r="K27" s="407"/>
      <c r="L27" s="407"/>
      <c r="M27" s="407"/>
      <c r="N27" s="407"/>
      <c r="O27" s="911"/>
    </row>
    <row r="28" spans="1:15" ht="16" thickBot="1">
      <c r="A28" s="948" t="s">
        <v>1034</v>
      </c>
      <c r="B28" s="948" t="e">
        <f>B27*Gdata!B28/1000</f>
        <v>#N/A</v>
      </c>
      <c r="C28" s="407"/>
      <c r="D28" s="407"/>
      <c r="E28" s="407"/>
      <c r="F28" s="407"/>
      <c r="G28" s="407"/>
      <c r="H28" s="407"/>
      <c r="I28" s="407"/>
      <c r="J28" s="407"/>
      <c r="K28" s="407"/>
      <c r="L28" s="407"/>
      <c r="M28" s="407"/>
      <c r="N28" s="407"/>
      <c r="O28" s="911"/>
    </row>
    <row r="29" spans="1:15" ht="15.5">
      <c r="A29" s="168" t="s">
        <v>733</v>
      </c>
      <c r="B29" s="566" t="e">
        <f>VLOOKUP(Gdata!B3,'K18'!$A$4:$BM$438,44,FALSE)</f>
        <v>#N/A</v>
      </c>
      <c r="C29" s="407"/>
      <c r="D29" s="407"/>
      <c r="E29" s="407"/>
      <c r="F29" s="407"/>
      <c r="G29" s="407"/>
      <c r="H29" s="407"/>
      <c r="I29" s="407"/>
      <c r="J29" s="407"/>
      <c r="K29" s="407"/>
      <c r="L29" s="407"/>
      <c r="M29" s="407"/>
      <c r="N29" s="407"/>
      <c r="O29" s="911"/>
    </row>
    <row r="30" spans="1:15" ht="15.5">
      <c r="A30" s="407"/>
      <c r="B30" s="566"/>
      <c r="C30" s="407"/>
      <c r="D30" s="407"/>
      <c r="E30" s="407"/>
      <c r="F30" s="407"/>
      <c r="G30" s="407"/>
      <c r="H30" s="407"/>
      <c r="I30" s="407"/>
      <c r="J30" s="407"/>
      <c r="K30" s="407"/>
      <c r="L30" s="407"/>
      <c r="M30" s="407"/>
      <c r="N30" s="407"/>
      <c r="O30" s="911"/>
    </row>
    <row r="31" spans="1:15" ht="15.5">
      <c r="A31" s="933" t="s">
        <v>1903</v>
      </c>
      <c r="B31" s="950"/>
      <c r="C31" s="934" t="e">
        <f>VLOOKUP(Inngang!$C$8,'K19'!$A$4:$BU$432,48,FALSE)</f>
        <v>#N/A</v>
      </c>
      <c r="D31" s="407"/>
      <c r="E31" s="407"/>
      <c r="F31" s="407"/>
      <c r="G31" s="407"/>
      <c r="H31" s="407"/>
      <c r="I31" s="407"/>
      <c r="J31" s="407"/>
      <c r="K31" s="407"/>
      <c r="L31" s="407"/>
      <c r="M31" s="407"/>
      <c r="N31" s="407"/>
      <c r="O31" s="911"/>
    </row>
    <row r="32" spans="1:15" ht="15.5">
      <c r="A32" s="933" t="s">
        <v>1028</v>
      </c>
      <c r="B32" s="950"/>
      <c r="C32" s="934" t="e">
        <f>VLOOKUP(Inngang!$C$8,'K18'!A4:BU425,24,FALSE)</f>
        <v>#N/A</v>
      </c>
      <c r="D32" s="407"/>
      <c r="E32" s="407"/>
      <c r="F32" s="407"/>
      <c r="G32" s="407"/>
      <c r="H32" s="407"/>
      <c r="I32" s="407"/>
      <c r="J32" s="407"/>
      <c r="K32" s="407"/>
      <c r="L32" s="407"/>
      <c r="M32" s="407"/>
      <c r="N32" s="407"/>
      <c r="O32" s="911"/>
    </row>
    <row r="33" spans="1:15" ht="15.5">
      <c r="A33" s="933" t="s">
        <v>1403</v>
      </c>
      <c r="B33" s="950"/>
      <c r="C33" s="934" t="e">
        <f>VLOOKUP(Inngang!$C$8,'K19'!$A$4:$BU$432,55,FALSE)</f>
        <v>#N/A</v>
      </c>
      <c r="D33" s="407"/>
      <c r="E33" s="407"/>
      <c r="F33" s="407"/>
      <c r="G33" s="407"/>
      <c r="H33" s="407"/>
      <c r="I33" s="407"/>
      <c r="J33" s="407"/>
      <c r="K33" s="407"/>
      <c r="L33" s="407"/>
      <c r="M33" s="407"/>
      <c r="N33" s="407"/>
      <c r="O33" s="911"/>
    </row>
    <row r="34" spans="1:15" ht="15.5">
      <c r="A34" s="933" t="s">
        <v>1066</v>
      </c>
      <c r="B34" s="950"/>
      <c r="C34" s="934" t="e">
        <f>IF(Inngang!$C$8=235,0,IF(Inngang!$C$8=238,0,VLOOKUP(Inngang!$C$8,'K18'!$A$4:$BM$439,32,FALSE)))</f>
        <v>#N/A</v>
      </c>
      <c r="D34" s="407"/>
      <c r="E34" s="407"/>
      <c r="F34" s="407"/>
      <c r="G34" s="407"/>
      <c r="H34" s="407"/>
      <c r="I34" s="407"/>
      <c r="J34" s="407"/>
      <c r="K34" s="407"/>
      <c r="L34" s="407"/>
      <c r="M34" s="407"/>
      <c r="N34" s="407"/>
      <c r="O34" s="911"/>
    </row>
    <row r="35" spans="1:15" ht="15.5">
      <c r="A35" s="933" t="s">
        <v>1404</v>
      </c>
      <c r="B35" s="950"/>
      <c r="C35" s="934" t="e">
        <f>VLOOKUP(Inngang!$C$8,'K18'!$A$4:$CQ$432,31,FALSE)</f>
        <v>#N/A</v>
      </c>
      <c r="D35" s="407"/>
      <c r="E35" s="407"/>
      <c r="F35" s="407"/>
      <c r="G35" s="407"/>
      <c r="H35" s="407"/>
      <c r="I35" s="407"/>
      <c r="J35" s="407"/>
      <c r="K35" s="407"/>
      <c r="L35" s="407"/>
      <c r="M35" s="407"/>
      <c r="N35" s="407"/>
      <c r="O35" s="911"/>
    </row>
    <row r="36" spans="1:15" ht="15.5">
      <c r="A36" s="933" t="s">
        <v>1433</v>
      </c>
      <c r="B36" s="950"/>
      <c r="C36" s="934" t="e">
        <f>VLOOKUP(Inngang!$C$8,'K18'!$A$4:$CQ$432,65,FALSE)</f>
        <v>#N/A</v>
      </c>
      <c r="D36" s="407"/>
      <c r="E36" s="407"/>
      <c r="F36" s="407"/>
      <c r="G36" s="407"/>
      <c r="H36" s="407"/>
      <c r="I36" s="407"/>
      <c r="J36" s="407"/>
      <c r="K36" s="407"/>
      <c r="L36" s="407"/>
      <c r="M36" s="407"/>
      <c r="N36" s="407"/>
      <c r="O36" s="911"/>
    </row>
    <row r="37" spans="1:15" ht="15.5">
      <c r="A37" s="933" t="s">
        <v>1405</v>
      </c>
      <c r="B37" s="950"/>
      <c r="C37" s="934" t="e">
        <f>VLOOKUP(Inngang!$C$8,'K19'!$A$4:$BL$438,41,FALSE)</f>
        <v>#N/A</v>
      </c>
      <c r="D37" s="407"/>
      <c r="E37" s="407"/>
      <c r="F37" s="407"/>
      <c r="G37" s="407"/>
      <c r="H37" s="407"/>
      <c r="I37" s="407"/>
      <c r="J37" s="407"/>
      <c r="K37" s="407"/>
      <c r="L37" s="407"/>
      <c r="M37" s="407"/>
      <c r="N37" s="407"/>
      <c r="O37" s="911"/>
    </row>
    <row r="38" spans="1:15" ht="15.5">
      <c r="A38" s="933" t="s">
        <v>1406</v>
      </c>
      <c r="B38" s="950"/>
      <c r="C38" s="934" t="e">
        <f>VLOOKUP(Inngang!$C$8,'K19'!$A$4:$CQ$432,43,FALSE)</f>
        <v>#N/A</v>
      </c>
      <c r="D38" s="407"/>
      <c r="E38" s="407"/>
      <c r="F38" s="407"/>
      <c r="G38" s="407"/>
      <c r="H38" s="407"/>
      <c r="I38" s="407"/>
      <c r="J38" s="407"/>
      <c r="K38" s="407"/>
      <c r="L38" s="407"/>
      <c r="M38" s="407"/>
      <c r="N38" s="407"/>
      <c r="O38" s="911"/>
    </row>
    <row r="39" spans="1:15" ht="15.5">
      <c r="A39" s="935" t="s">
        <v>1407</v>
      </c>
      <c r="B39" s="936"/>
      <c r="C39" s="936" t="e">
        <f>C31-C32-C33+C34-C35-C36+C37+C38</f>
        <v>#N/A</v>
      </c>
      <c r="D39" s="407"/>
      <c r="E39" s="407"/>
      <c r="F39" s="407"/>
      <c r="G39" s="407"/>
      <c r="H39" s="407"/>
      <c r="I39" s="407"/>
      <c r="J39" s="407"/>
      <c r="K39" s="407"/>
      <c r="L39" s="407"/>
      <c r="M39" s="407"/>
      <c r="N39" s="407"/>
      <c r="O39" s="911"/>
    </row>
    <row r="40" spans="1:15" ht="15.5">
      <c r="A40" s="937" t="s">
        <v>1408</v>
      </c>
      <c r="B40" s="566"/>
      <c r="C40" s="938" t="e">
        <f>VLOOKUP(Gdata!$B$3,'K19'!$A$4:$BL$438,57,FALSE)</f>
        <v>#N/A</v>
      </c>
      <c r="D40" s="407"/>
      <c r="E40" s="407"/>
      <c r="F40" s="407"/>
      <c r="G40" s="407"/>
      <c r="H40" s="407"/>
      <c r="I40" s="407"/>
      <c r="J40" s="407"/>
      <c r="K40" s="407"/>
      <c r="L40" s="407"/>
      <c r="M40" s="407"/>
      <c r="N40" s="407"/>
      <c r="O40" s="911"/>
    </row>
    <row r="41" spans="1:15" ht="15.5">
      <c r="A41" s="937" t="s">
        <v>1156</v>
      </c>
      <c r="B41" s="566"/>
      <c r="C41" s="938" t="e">
        <f>VLOOKUP(Inngang!$C$8,'K19'!$A$4:$CN$432,24,FALSE)</f>
        <v>#N/A</v>
      </c>
      <c r="D41" s="407"/>
      <c r="E41" s="407"/>
      <c r="F41" s="407"/>
      <c r="G41" s="407"/>
      <c r="H41" s="407"/>
      <c r="I41" s="407"/>
      <c r="J41" s="407"/>
      <c r="K41" s="407"/>
      <c r="L41" s="407"/>
      <c r="M41" s="407"/>
      <c r="N41" s="407"/>
      <c r="O41" s="911"/>
    </row>
    <row r="42" spans="1:15" ht="15.5">
      <c r="A42" s="937" t="s">
        <v>1157</v>
      </c>
      <c r="B42" s="566"/>
      <c r="C42" s="938" t="e">
        <f>VLOOKUP(Inngang!$C$8,'K19'!$A$4:$CN$432,61,FALSE)</f>
        <v>#N/A</v>
      </c>
      <c r="D42" s="407"/>
      <c r="E42" s="407"/>
      <c r="F42" s="407"/>
      <c r="G42" s="407"/>
      <c r="H42" s="407"/>
      <c r="I42" s="407"/>
      <c r="J42" s="407"/>
      <c r="K42" s="407"/>
      <c r="L42" s="407"/>
      <c r="M42" s="407"/>
      <c r="N42" s="407"/>
      <c r="O42" s="911"/>
    </row>
    <row r="43" spans="1:15" ht="15.5">
      <c r="A43" s="937" t="s">
        <v>1158</v>
      </c>
      <c r="B43" s="566"/>
      <c r="C43" s="938" t="e">
        <f>IF(Inngang!$C$8=235,0,IF(Inngang!$C$8=238,0,VLOOKUP(Inngang!$C$8,'K19'!$A$4:$BM$439,32,FALSE)))</f>
        <v>#N/A</v>
      </c>
      <c r="D43" s="407"/>
      <c r="E43" s="407"/>
      <c r="F43" s="407"/>
      <c r="G43" s="407"/>
      <c r="H43" s="407"/>
      <c r="I43" s="407"/>
      <c r="J43" s="407"/>
      <c r="K43" s="407"/>
      <c r="L43" s="407"/>
      <c r="M43" s="407"/>
      <c r="N43" s="407"/>
      <c r="O43" s="911"/>
    </row>
    <row r="44" spans="1:15" ht="15.5">
      <c r="A44" s="939" t="s">
        <v>1301</v>
      </c>
      <c r="B44" s="566"/>
      <c r="C44" s="938" t="e">
        <f>VLOOKUP(Inngang!$C$8,'K19'!$A$4:$CQ$432,31,FALSE)</f>
        <v>#N/A</v>
      </c>
      <c r="D44" s="407"/>
      <c r="E44" s="407"/>
      <c r="F44" s="407"/>
      <c r="G44" s="407"/>
      <c r="H44" s="407"/>
      <c r="I44" s="407"/>
      <c r="J44" s="407"/>
      <c r="K44" s="407"/>
      <c r="L44" s="407"/>
      <c r="M44" s="407"/>
      <c r="N44" s="407"/>
      <c r="O44" s="911"/>
    </row>
    <row r="45" spans="1:15" ht="15.5">
      <c r="A45" s="939" t="s">
        <v>1434</v>
      </c>
      <c r="B45" s="566"/>
      <c r="C45" s="938" t="e">
        <f>VLOOKUP(Inngang!$C$8,'K19'!$A$4:$CQ$432,65,FALSE)</f>
        <v>#N/A</v>
      </c>
      <c r="D45" s="407"/>
      <c r="E45" s="407"/>
      <c r="F45" s="407"/>
      <c r="G45" s="407"/>
      <c r="H45" s="407"/>
      <c r="I45" s="407"/>
      <c r="J45" s="407"/>
      <c r="K45" s="407"/>
      <c r="L45" s="407"/>
      <c r="M45" s="407"/>
      <c r="N45" s="407"/>
      <c r="O45" s="911"/>
    </row>
    <row r="46" spans="1:15" ht="16" thickBot="1">
      <c r="A46" s="940" t="s">
        <v>1897</v>
      </c>
      <c r="B46" s="932"/>
      <c r="C46" s="941" t="e">
        <f>C40-C41-C42+C43-C44-C45</f>
        <v>#N/A</v>
      </c>
      <c r="D46" s="952" t="e">
        <f>C46+C52</f>
        <v>#N/A</v>
      </c>
      <c r="E46" s="407"/>
      <c r="F46" s="407"/>
      <c r="G46" s="407"/>
      <c r="H46" s="407"/>
      <c r="I46" s="407"/>
      <c r="J46" s="407"/>
      <c r="K46" s="407"/>
      <c r="L46" s="407"/>
      <c r="M46" s="407"/>
      <c r="N46" s="407"/>
      <c r="O46" s="911"/>
    </row>
    <row r="47" spans="1:15" ht="15.5">
      <c r="A47" s="942" t="s">
        <v>1159</v>
      </c>
      <c r="B47" s="943"/>
      <c r="C47" s="943" t="e">
        <f>C46-C39</f>
        <v>#N/A</v>
      </c>
      <c r="D47" s="409"/>
      <c r="E47" s="788" t="s">
        <v>1217</v>
      </c>
      <c r="F47" s="576"/>
      <c r="G47" s="577"/>
      <c r="H47" s="407"/>
      <c r="I47" s="407"/>
      <c r="J47" s="407"/>
      <c r="K47" s="407"/>
      <c r="L47" s="407"/>
      <c r="M47" s="407"/>
      <c r="N47" s="407"/>
      <c r="O47" s="911"/>
    </row>
    <row r="48" spans="1:15" ht="15.5">
      <c r="A48" s="944" t="s">
        <v>1160</v>
      </c>
      <c r="B48" s="947"/>
      <c r="C48" s="945" t="e">
        <f>C47*1000/Gdata!C28</f>
        <v>#N/A</v>
      </c>
      <c r="D48" s="407"/>
      <c r="E48" s="578">
        <v>1115.4726803000001</v>
      </c>
      <c r="F48" s="787" t="s">
        <v>1218</v>
      </c>
      <c r="G48" s="579"/>
      <c r="H48" s="407"/>
      <c r="I48" s="407"/>
      <c r="J48" s="407"/>
      <c r="K48" s="407"/>
      <c r="L48" s="407"/>
      <c r="M48" s="407"/>
      <c r="N48" s="407"/>
      <c r="O48" s="911"/>
    </row>
    <row r="49" spans="1:15" ht="16" thickBot="1">
      <c r="A49" s="946" t="s">
        <v>1222</v>
      </c>
      <c r="B49" s="947"/>
      <c r="C49" s="947" t="e">
        <f>IF(C48&lt;E49,E49-C48,0)</f>
        <v>#N/A</v>
      </c>
      <c r="D49" s="407"/>
      <c r="E49" s="580">
        <f>E48-400</f>
        <v>715.47268030000009</v>
      </c>
      <c r="F49" s="789" t="s">
        <v>1219</v>
      </c>
      <c r="G49" s="581"/>
      <c r="H49" s="407"/>
      <c r="I49" s="407"/>
      <c r="J49" s="407"/>
      <c r="K49" s="407"/>
      <c r="L49" s="407"/>
      <c r="M49" s="407"/>
      <c r="N49" s="407"/>
      <c r="O49" s="911"/>
    </row>
    <row r="50" spans="1:15" ht="15.5">
      <c r="A50" s="944" t="s">
        <v>270</v>
      </c>
      <c r="B50" s="947"/>
      <c r="C50" s="945">
        <f>Gdata!C161</f>
        <v>-53.227700419999998</v>
      </c>
      <c r="D50" s="407"/>
      <c r="E50" s="407"/>
      <c r="F50" s="407"/>
      <c r="G50" s="407"/>
      <c r="H50" s="407"/>
      <c r="I50" s="407"/>
      <c r="J50" s="407"/>
      <c r="K50" s="407"/>
      <c r="L50" s="407"/>
      <c r="M50" s="407"/>
      <c r="N50" s="407"/>
      <c r="O50" s="911"/>
    </row>
    <row r="51" spans="1:15" ht="15.5">
      <c r="A51" s="946" t="s">
        <v>1161</v>
      </c>
      <c r="B51" s="947"/>
      <c r="C51" s="945" t="e">
        <f>C49+C50</f>
        <v>#N/A</v>
      </c>
      <c r="D51" s="407"/>
      <c r="E51" s="407"/>
      <c r="F51" s="407"/>
      <c r="G51" s="407"/>
      <c r="H51" s="407"/>
      <c r="I51" s="407"/>
      <c r="J51" s="407"/>
      <c r="K51" s="407"/>
      <c r="L51" s="407"/>
      <c r="M51" s="407"/>
      <c r="N51" s="407"/>
      <c r="O51" s="911"/>
    </row>
    <row r="52" spans="1:15" ht="16" thickBot="1">
      <c r="A52" s="948" t="s">
        <v>1162</v>
      </c>
      <c r="B52" s="948"/>
      <c r="C52" s="948" t="e">
        <f>C51*Gdata!C28/1000</f>
        <v>#N/A</v>
      </c>
      <c r="D52" s="407"/>
      <c r="E52" s="407"/>
      <c r="F52" s="407"/>
      <c r="G52" s="407"/>
      <c r="H52" s="407"/>
      <c r="I52" s="407"/>
      <c r="J52" s="407"/>
      <c r="K52" s="407"/>
      <c r="L52" s="407"/>
      <c r="M52" s="407"/>
      <c r="N52" s="407"/>
      <c r="O52" s="911"/>
    </row>
    <row r="53" spans="1:15" ht="15.5">
      <c r="A53" s="168" t="s">
        <v>733</v>
      </c>
      <c r="B53" s="566"/>
      <c r="C53" s="566" t="e">
        <f>VLOOKUP(Gdata!B3,'K19'!$A$4:$BM$438,44,FALSE)</f>
        <v>#N/A</v>
      </c>
      <c r="D53" s="407"/>
      <c r="E53" s="407"/>
      <c r="F53" s="407"/>
      <c r="G53" s="407"/>
      <c r="H53" s="407"/>
      <c r="I53" s="407"/>
      <c r="J53" s="407"/>
      <c r="K53" s="407"/>
      <c r="L53" s="407"/>
      <c r="M53" s="407"/>
      <c r="N53" s="407"/>
      <c r="O53" s="911"/>
    </row>
    <row r="54" spans="1:15" ht="15.5">
      <c r="A54" s="407"/>
      <c r="B54" s="407"/>
      <c r="C54" s="407"/>
      <c r="D54" s="407"/>
      <c r="E54" s="407"/>
      <c r="F54" s="407"/>
      <c r="G54" s="407"/>
      <c r="H54" s="407"/>
      <c r="I54" s="407"/>
      <c r="J54" s="407"/>
      <c r="K54" s="407"/>
      <c r="L54" s="407"/>
      <c r="M54" s="407"/>
      <c r="N54" s="407"/>
      <c r="O54" s="911"/>
    </row>
    <row r="55" spans="1:15" ht="15.5">
      <c r="A55" s="933" t="s">
        <v>1904</v>
      </c>
      <c r="B55" s="934"/>
      <c r="C55" s="934"/>
      <c r="D55" s="934">
        <f>VLOOKUP(Inngang!$C$8,'K20'!$A$4:$BU$438,48,FALSE)</f>
        <v>204430.58199999999</v>
      </c>
      <c r="E55" s="407"/>
      <c r="F55" s="407"/>
      <c r="G55" s="407"/>
      <c r="H55" s="407"/>
      <c r="I55" s="407"/>
      <c r="J55" s="407"/>
      <c r="K55" s="407"/>
      <c r="L55" s="407"/>
      <c r="M55" s="407"/>
      <c r="N55" s="407"/>
      <c r="O55" s="911"/>
    </row>
    <row r="56" spans="1:15" ht="15.5">
      <c r="A56" s="933" t="s">
        <v>1156</v>
      </c>
      <c r="B56" s="934"/>
      <c r="C56" s="934"/>
      <c r="D56" s="934">
        <f>VLOOKUP(Inngang!$C$8,'K19 ny kommune INGAR'!A4:J359,4,FALSE)</f>
        <v>280</v>
      </c>
      <c r="E56" s="407"/>
      <c r="F56" s="407"/>
      <c r="G56" s="407"/>
      <c r="H56" s="407"/>
      <c r="I56" s="407"/>
      <c r="J56" s="407"/>
      <c r="K56" s="407"/>
      <c r="L56" s="407"/>
      <c r="M56" s="407"/>
      <c r="N56" s="407"/>
      <c r="O56" s="911"/>
    </row>
    <row r="57" spans="1:15" ht="15.5">
      <c r="A57" s="933" t="s">
        <v>1905</v>
      </c>
      <c r="B57" s="934"/>
      <c r="C57" s="934"/>
      <c r="D57" s="934">
        <f>VLOOKUP(Inngang!$C$8,'K20'!$A$4:$BU$438,55,FALSE)</f>
        <v>3188.1550099999999</v>
      </c>
      <c r="E57" s="407"/>
      <c r="F57" s="407"/>
      <c r="G57" s="407"/>
      <c r="H57" s="407"/>
      <c r="I57" s="407"/>
      <c r="J57" s="407"/>
      <c r="K57" s="407"/>
      <c r="L57" s="407"/>
      <c r="M57" s="407"/>
      <c r="N57" s="407"/>
      <c r="O57" s="911"/>
    </row>
    <row r="58" spans="1:15" ht="15.5">
      <c r="A58" s="933" t="s">
        <v>1158</v>
      </c>
      <c r="B58" s="934"/>
      <c r="C58" s="934"/>
      <c r="D58" s="934">
        <f>IF(Inngang!$C$8=3033,0,IF(Inngang!$C$8=3036,0,VLOOKUP(Inngang!$C$8,'K19 ny kommune INGAR'!A4:J359,8,FALSE)))</f>
        <v>0</v>
      </c>
      <c r="E58" s="407"/>
      <c r="F58" s="407"/>
      <c r="G58" s="407"/>
      <c r="H58" s="407"/>
      <c r="I58" s="407"/>
      <c r="J58" s="407"/>
      <c r="K58" s="407"/>
      <c r="L58" s="407"/>
      <c r="M58" s="407"/>
      <c r="N58" s="407"/>
      <c r="O58" s="911"/>
    </row>
    <row r="59" spans="1:15" ht="15.5">
      <c r="A59" s="933" t="s">
        <v>1906</v>
      </c>
      <c r="B59" s="934"/>
      <c r="C59" s="934"/>
      <c r="D59" s="934">
        <f>VLOOKUP(Inngang!$C$8,'K19 ny kommune INGAR'!A4:J359,7,FALSE)</f>
        <v>0</v>
      </c>
      <c r="E59" s="407"/>
      <c r="F59" s="407"/>
      <c r="G59" s="407"/>
      <c r="H59" s="407"/>
      <c r="I59" s="407"/>
      <c r="J59" s="407"/>
      <c r="K59" s="407"/>
      <c r="L59" s="407"/>
      <c r="M59" s="407"/>
      <c r="N59" s="407"/>
      <c r="O59" s="911"/>
    </row>
    <row r="60" spans="1:15" ht="15.5">
      <c r="A60" s="933" t="s">
        <v>1910</v>
      </c>
      <c r="B60" s="934"/>
      <c r="C60" s="934"/>
      <c r="D60" s="934">
        <f>VLOOKUP(Inngang!$C$8,'K19 ny kommune INGAR'!A4:J359,9,FALSE)</f>
        <v>0</v>
      </c>
      <c r="E60" s="407"/>
      <c r="F60" s="407"/>
      <c r="G60" s="407"/>
      <c r="H60" s="407"/>
      <c r="I60" s="407"/>
      <c r="J60" s="407"/>
      <c r="K60" s="407"/>
      <c r="L60" s="407"/>
      <c r="M60" s="407"/>
      <c r="N60" s="407"/>
      <c r="O60" s="911"/>
    </row>
    <row r="61" spans="1:15" ht="15.5">
      <c r="A61" s="933" t="s">
        <v>1907</v>
      </c>
      <c r="B61" s="934"/>
      <c r="C61" s="934"/>
      <c r="D61" s="934">
        <f>VLOOKUP(Inngang!$C$8,'K20'!$A$4:$BL$444,41,FALSE)+VLOOKUP(Inngang!$C$8,'K20'!$A$4:$BL$444,45,FALSE)</f>
        <v>1632.3306379999999</v>
      </c>
      <c r="E61" s="407"/>
      <c r="F61" s="407"/>
      <c r="G61" s="407"/>
      <c r="H61" s="407"/>
      <c r="I61" s="407"/>
      <c r="J61" s="407"/>
      <c r="K61" s="407"/>
      <c r="L61" s="407"/>
      <c r="M61" s="407"/>
      <c r="N61" s="407"/>
      <c r="O61" s="911"/>
    </row>
    <row r="62" spans="1:15" ht="15.5">
      <c r="A62" s="933" t="s">
        <v>1908</v>
      </c>
      <c r="B62" s="934"/>
      <c r="C62" s="934"/>
      <c r="D62" s="934">
        <f>VLOOKUP(Inngang!$C$8,'K20'!$A$4:$CQ$438,43,FALSE)</f>
        <v>0</v>
      </c>
      <c r="E62" s="407"/>
      <c r="F62" s="407"/>
      <c r="G62" s="407"/>
      <c r="H62" s="407"/>
      <c r="I62" s="407"/>
      <c r="J62" s="407"/>
      <c r="K62" s="407"/>
      <c r="L62" s="407"/>
      <c r="M62" s="407"/>
      <c r="N62" s="407"/>
      <c r="O62" s="911"/>
    </row>
    <row r="63" spans="1:15" ht="15.5">
      <c r="A63" s="935" t="s">
        <v>1909</v>
      </c>
      <c r="B63" s="951"/>
      <c r="C63" s="951"/>
      <c r="D63" s="936">
        <f>D55-D56-D57+D58-D59-D60+D61+D62</f>
        <v>202594.75762800002</v>
      </c>
      <c r="E63" s="407"/>
      <c r="F63" s="407"/>
      <c r="G63" s="407"/>
      <c r="H63" s="407"/>
      <c r="I63" s="407"/>
      <c r="J63" s="407"/>
      <c r="K63" s="407"/>
      <c r="L63" s="407"/>
      <c r="M63" s="407"/>
      <c r="N63" s="407"/>
      <c r="O63" s="911"/>
    </row>
    <row r="64" spans="1:15" ht="15.5">
      <c r="A64" s="937" t="s">
        <v>1911</v>
      </c>
      <c r="B64" s="938"/>
      <c r="C64" s="938"/>
      <c r="D64" s="938">
        <f>VLOOKUP(Gdata!$B$3,'K20'!$A$4:$BL$444,57,FALSE)</f>
        <v>216151.6</v>
      </c>
      <c r="E64" s="407"/>
      <c r="F64" s="407"/>
      <c r="G64" s="407"/>
      <c r="H64" s="407"/>
      <c r="I64" s="407"/>
      <c r="J64" s="407"/>
      <c r="K64" s="407"/>
      <c r="L64" s="407"/>
      <c r="M64" s="407"/>
      <c r="N64" s="407"/>
      <c r="O64" s="911"/>
    </row>
    <row r="65" spans="1:15" ht="15.5">
      <c r="A65" s="937" t="s">
        <v>1163</v>
      </c>
      <c r="B65" s="938"/>
      <c r="C65" s="938"/>
      <c r="D65" s="938">
        <f>VLOOKUP(Inngang!$C$8,'K20'!$A$4:$CN$438,24,FALSE)</f>
        <v>30</v>
      </c>
      <c r="E65" s="407"/>
      <c r="F65" s="407"/>
      <c r="G65" s="407"/>
      <c r="H65" s="407"/>
      <c r="I65" s="407"/>
      <c r="J65" s="407"/>
      <c r="K65" s="407"/>
      <c r="L65" s="407"/>
      <c r="M65" s="407"/>
      <c r="N65" s="407"/>
      <c r="O65" s="911"/>
    </row>
    <row r="66" spans="1:15" ht="15.5">
      <c r="A66" s="937" t="s">
        <v>1164</v>
      </c>
      <c r="B66" s="938"/>
      <c r="C66" s="938"/>
      <c r="D66" s="938">
        <f>VLOOKUP(Inngang!$C$8,'K20'!$A$4:$CN$438,61,FALSE)</f>
        <v>28016.840899999999</v>
      </c>
      <c r="E66" s="407"/>
      <c r="F66" s="407"/>
      <c r="G66" s="407"/>
      <c r="H66" s="407"/>
      <c r="I66" s="407"/>
      <c r="J66" s="407"/>
      <c r="K66" s="407"/>
      <c r="L66" s="407"/>
      <c r="M66" s="407"/>
      <c r="N66" s="407"/>
      <c r="O66" s="911"/>
    </row>
    <row r="67" spans="1:15" ht="15.5">
      <c r="A67" s="937" t="s">
        <v>1165</v>
      </c>
      <c r="B67" s="938"/>
      <c r="C67" s="938"/>
      <c r="D67" s="938">
        <f>IF(Inngang!$C$8=3033,0,IF(Inngang!$C$8=3036,0,VLOOKUP(Inngang!$C$8,'K20'!$A$4:$BM$445,32,FALSE)))</f>
        <v>24822.926100000001</v>
      </c>
      <c r="E67" s="407"/>
      <c r="F67" s="407"/>
      <c r="G67" s="407"/>
      <c r="H67" s="407"/>
      <c r="I67" s="407"/>
      <c r="J67" s="407"/>
      <c r="K67" s="407"/>
      <c r="L67" s="407"/>
      <c r="M67" s="407"/>
      <c r="N67" s="407"/>
      <c r="O67" s="911"/>
    </row>
    <row r="68" spans="1:15" ht="15.5">
      <c r="A68" s="939" t="s">
        <v>1302</v>
      </c>
      <c r="B68" s="938"/>
      <c r="C68" s="938"/>
      <c r="D68" s="938">
        <f>VLOOKUP(Inngang!$C$8,'K20'!$A$4:$CQ$438,31,FALSE)</f>
        <v>0</v>
      </c>
      <c r="E68" s="407"/>
      <c r="F68" s="407"/>
      <c r="G68" s="407"/>
      <c r="H68" s="407"/>
      <c r="I68" s="407"/>
      <c r="J68" s="407"/>
      <c r="K68" s="407"/>
      <c r="L68" s="407"/>
      <c r="M68" s="407"/>
      <c r="N68" s="407"/>
      <c r="O68" s="911"/>
    </row>
    <row r="69" spans="1:15" ht="15.5">
      <c r="A69" s="939" t="s">
        <v>1912</v>
      </c>
      <c r="B69" s="938"/>
      <c r="C69" s="938"/>
      <c r="D69" s="938">
        <f>VLOOKUP(Inngang!$C$8,'K20'!$A$4:$CQ$438,65,FALSE)</f>
        <v>0</v>
      </c>
      <c r="E69" s="407"/>
      <c r="F69" s="407"/>
      <c r="G69" s="407"/>
      <c r="H69" s="407"/>
      <c r="I69" s="407"/>
      <c r="J69" s="407"/>
      <c r="K69" s="407"/>
      <c r="L69" s="407"/>
      <c r="M69" s="407"/>
      <c r="N69" s="407"/>
      <c r="O69" s="911"/>
    </row>
    <row r="70" spans="1:15" ht="16" thickBot="1">
      <c r="A70" s="940" t="s">
        <v>1166</v>
      </c>
      <c r="B70" s="953"/>
      <c r="C70" s="953"/>
      <c r="D70" s="941">
        <f>D64-D65-D66+D67-D68-D69</f>
        <v>212927.68520000001</v>
      </c>
      <c r="E70" s="952">
        <f>D70+D76+Rskudd!E22+Rskudd!E31</f>
        <v>219273.24653369319</v>
      </c>
      <c r="F70" s="407"/>
      <c r="G70" s="407"/>
      <c r="H70" s="407"/>
      <c r="I70" s="407"/>
      <c r="J70" s="407"/>
      <c r="K70" s="407"/>
      <c r="L70" s="407"/>
      <c r="M70" s="407"/>
      <c r="N70" s="407"/>
      <c r="O70" s="911"/>
    </row>
    <row r="71" spans="1:15" ht="15.5">
      <c r="A71" s="942" t="s">
        <v>2284</v>
      </c>
      <c r="B71" s="949"/>
      <c r="C71" s="949"/>
      <c r="D71" s="943">
        <f>D70-D63</f>
        <v>10332.927571999986</v>
      </c>
      <c r="E71" s="407"/>
      <c r="F71" s="788" t="s">
        <v>1217</v>
      </c>
      <c r="G71" s="576"/>
      <c r="H71" s="577"/>
      <c r="I71" s="407"/>
      <c r="J71" s="407"/>
      <c r="K71" s="407"/>
      <c r="L71" s="407"/>
      <c r="M71" s="407"/>
      <c r="N71" s="407"/>
      <c r="O71" s="911"/>
    </row>
    <row r="72" spans="1:15" ht="15.5">
      <c r="A72" s="944" t="s">
        <v>2285</v>
      </c>
      <c r="B72" s="945"/>
      <c r="C72" s="945"/>
      <c r="D72" s="945">
        <f>D71*1000/Gdata!D28</f>
        <v>1726.1823541597037</v>
      </c>
      <c r="E72" s="407"/>
      <c r="F72" s="578">
        <v>668.8169236</v>
      </c>
      <c r="G72" s="787" t="s">
        <v>1218</v>
      </c>
      <c r="H72" s="579"/>
      <c r="I72" s="407"/>
      <c r="J72" s="407"/>
      <c r="K72" s="407"/>
      <c r="L72" s="407"/>
      <c r="M72" s="407"/>
      <c r="N72" s="407"/>
      <c r="O72" s="911"/>
    </row>
    <row r="73" spans="1:15" ht="16" thickBot="1">
      <c r="A73" s="946" t="s">
        <v>2286</v>
      </c>
      <c r="B73" s="945"/>
      <c r="C73" s="945"/>
      <c r="D73" s="947">
        <f>IF(D72&lt;F73,F73-D72,0)</f>
        <v>0</v>
      </c>
      <c r="E73" s="407"/>
      <c r="F73" s="580">
        <f>F72-400</f>
        <v>268.8169236</v>
      </c>
      <c r="G73" s="789" t="s">
        <v>1219</v>
      </c>
      <c r="H73" s="581"/>
      <c r="I73" s="407"/>
      <c r="J73" s="407"/>
      <c r="K73" s="407"/>
      <c r="L73" s="407"/>
      <c r="M73" s="407"/>
      <c r="N73" s="407"/>
      <c r="O73" s="911"/>
    </row>
    <row r="74" spans="1:15" ht="15.5">
      <c r="A74" s="944" t="s">
        <v>270</v>
      </c>
      <c r="B74" s="945"/>
      <c r="C74" s="945"/>
      <c r="D74" s="945">
        <f>Gdata!D161</f>
        <v>-53.865463800000001</v>
      </c>
      <c r="E74" s="407"/>
      <c r="F74" s="407"/>
      <c r="G74" s="407"/>
      <c r="H74" s="407"/>
      <c r="I74" s="407"/>
      <c r="J74" s="407"/>
      <c r="K74" s="407"/>
      <c r="L74" s="407"/>
      <c r="M74" s="407"/>
      <c r="N74" s="407"/>
      <c r="O74" s="911"/>
    </row>
    <row r="75" spans="1:15" ht="15.5">
      <c r="A75" s="946" t="s">
        <v>2287</v>
      </c>
      <c r="B75" s="945"/>
      <c r="C75" s="945"/>
      <c r="D75" s="945">
        <f>D73+D74</f>
        <v>-53.865463800000001</v>
      </c>
      <c r="E75" s="407"/>
      <c r="F75" s="407"/>
      <c r="G75" s="407"/>
      <c r="H75" s="407"/>
      <c r="I75" s="407"/>
      <c r="J75" s="407"/>
      <c r="K75" s="407"/>
      <c r="L75" s="407"/>
      <c r="M75" s="407"/>
      <c r="N75" s="407"/>
      <c r="O75" s="911"/>
    </row>
    <row r="76" spans="1:15" ht="16" thickBot="1">
      <c r="A76" s="948" t="s">
        <v>2288</v>
      </c>
      <c r="B76" s="948"/>
      <c r="C76" s="948"/>
      <c r="D76" s="948">
        <f>D75*Gdata!D28/1000</f>
        <v>-322.43866630679997</v>
      </c>
      <c r="E76" s="407"/>
      <c r="F76" s="407"/>
      <c r="G76" s="407"/>
      <c r="H76" s="407"/>
      <c r="I76" s="407"/>
      <c r="J76" s="407"/>
      <c r="K76" s="407"/>
      <c r="L76" s="407"/>
      <c r="M76" s="407"/>
      <c r="N76" s="407"/>
      <c r="O76" s="911"/>
    </row>
    <row r="77" spans="1:15" ht="15.5">
      <c r="A77" s="168" t="s">
        <v>733</v>
      </c>
      <c r="B77" s="407"/>
      <c r="C77" s="407"/>
      <c r="D77" s="566">
        <f>VLOOKUP(Gdata!B3,'K20'!$A$4:$BM$444,44,FALSE)</f>
        <v>-322.43866600000001</v>
      </c>
      <c r="E77" s="407"/>
      <c r="F77" s="407"/>
      <c r="G77" s="407"/>
      <c r="H77" s="407"/>
      <c r="I77" s="407"/>
      <c r="J77" s="407"/>
      <c r="K77" s="407"/>
      <c r="L77" s="407"/>
      <c r="M77" s="407"/>
      <c r="N77" s="407"/>
      <c r="O77" s="911"/>
    </row>
    <row r="78" spans="1:15" ht="15.5">
      <c r="A78" s="407"/>
      <c r="B78" s="407"/>
      <c r="C78" s="407"/>
      <c r="D78" s="407"/>
      <c r="E78" s="407"/>
      <c r="F78" s="407"/>
      <c r="G78" s="407"/>
      <c r="H78" s="407"/>
      <c r="I78" s="407"/>
      <c r="J78" s="407"/>
      <c r="K78" s="407"/>
      <c r="L78" s="407"/>
      <c r="M78" s="407"/>
      <c r="N78" s="407"/>
      <c r="O78" s="911"/>
    </row>
    <row r="79" spans="1:15" ht="15.5">
      <c r="A79" s="933" t="s">
        <v>2079</v>
      </c>
      <c r="B79" s="407"/>
      <c r="C79" s="407"/>
      <c r="D79" s="407"/>
      <c r="E79" s="406">
        <f>VLOOKUP(Inngang!$C$8,'K21'!$A$4:$BU$434,48,FALSE)</f>
        <v>223123</v>
      </c>
      <c r="F79" s="407"/>
      <c r="G79" s="407"/>
      <c r="H79" s="407"/>
      <c r="I79" s="407"/>
      <c r="J79" s="407"/>
      <c r="K79" s="407"/>
      <c r="L79" s="407"/>
      <c r="M79" s="407"/>
      <c r="N79" s="407"/>
      <c r="O79" s="911"/>
    </row>
    <row r="80" spans="1:15" ht="15.5">
      <c r="A80" s="933" t="s">
        <v>1163</v>
      </c>
      <c r="B80" s="407"/>
      <c r="C80" s="407"/>
      <c r="D80" s="407"/>
      <c r="E80" s="406">
        <f>VLOOKUP(Inngang!$C$8,'K20'!A4:BV359,24,FALSE)</f>
        <v>30</v>
      </c>
      <c r="F80" s="407"/>
      <c r="G80" s="407"/>
      <c r="H80" s="407"/>
      <c r="I80" s="407"/>
      <c r="J80" s="407"/>
      <c r="K80" s="407"/>
      <c r="L80" s="407"/>
      <c r="M80" s="407"/>
      <c r="N80" s="407"/>
      <c r="O80" s="911"/>
    </row>
    <row r="81" spans="1:15" ht="15.5">
      <c r="A81" s="933" t="s">
        <v>2081</v>
      </c>
      <c r="B81" s="407"/>
      <c r="C81" s="407"/>
      <c r="D81" s="407"/>
      <c r="E81" s="406">
        <f>VLOOKUP(Inngang!$C$8,'K21'!$A$4:$BU$434,55,FALSE)</f>
        <v>34445.84085262</v>
      </c>
      <c r="F81" s="407"/>
      <c r="G81" s="407"/>
      <c r="H81" s="407"/>
      <c r="I81" s="407"/>
      <c r="J81" s="407"/>
      <c r="K81" s="407"/>
      <c r="L81" s="407"/>
      <c r="M81" s="407"/>
      <c r="N81" s="407"/>
      <c r="O81" s="911"/>
    </row>
    <row r="82" spans="1:15" ht="15.5">
      <c r="A82" s="933" t="s">
        <v>1165</v>
      </c>
      <c r="B82" s="407"/>
      <c r="C82" s="407"/>
      <c r="D82" s="407"/>
      <c r="E82" s="406">
        <f>IF(Inngang!$C$8=3033,0,IF(Inngang!$C$8=3036,0,VLOOKUP(Inngang!$C$8,'K20'!$A$4:$BM$445,32,FALSE)))</f>
        <v>24822.926100000001</v>
      </c>
      <c r="F82" s="407"/>
      <c r="G82" s="407"/>
      <c r="H82" s="407"/>
      <c r="I82" s="407"/>
      <c r="J82" s="407"/>
      <c r="K82" s="407"/>
      <c r="L82" s="407"/>
      <c r="M82" s="407"/>
      <c r="N82" s="407"/>
      <c r="O82" s="911"/>
    </row>
    <row r="83" spans="1:15" ht="15.5">
      <c r="A83" s="933" t="s">
        <v>2082</v>
      </c>
      <c r="B83" s="407"/>
      <c r="C83" s="407"/>
      <c r="D83" s="407"/>
      <c r="E83" s="406">
        <f>VLOOKUP(Inngang!$C$8,'K20'!$A$4:$CQ$438,31,FALSE)</f>
        <v>0</v>
      </c>
      <c r="F83" s="407"/>
      <c r="G83" s="407"/>
      <c r="H83" s="407"/>
      <c r="I83" s="407"/>
      <c r="J83" s="407"/>
      <c r="K83" s="407"/>
      <c r="L83" s="407"/>
      <c r="M83" s="407"/>
      <c r="N83" s="407"/>
      <c r="O83" s="911"/>
    </row>
    <row r="84" spans="1:15" ht="15.5">
      <c r="A84" s="933" t="s">
        <v>2083</v>
      </c>
      <c r="B84" s="407"/>
      <c r="C84" s="407"/>
      <c r="D84" s="407"/>
      <c r="E84" s="406">
        <f>VLOOKUP(Inngang!$C$8,'K20'!$A$4:$CQ$438,65,FALSE)</f>
        <v>0</v>
      </c>
      <c r="F84" s="407"/>
      <c r="G84" s="407"/>
      <c r="H84" s="407"/>
      <c r="I84" s="407"/>
      <c r="J84" s="407"/>
      <c r="K84" s="407"/>
      <c r="L84" s="407"/>
      <c r="M84" s="407"/>
      <c r="N84" s="407"/>
      <c r="O84" s="911"/>
    </row>
    <row r="85" spans="1:15" ht="15.5">
      <c r="A85" s="933" t="s">
        <v>2084</v>
      </c>
      <c r="B85" s="407"/>
      <c r="C85" s="407"/>
      <c r="D85" s="407"/>
      <c r="E85" s="406">
        <f>VLOOKUP(Inngang!$C$8,'K21'!$A$4:$BL$440,41,FALSE)+VLOOKUP(Inngang!$C$8,'K21'!$A$4:$BL$440,45,FALSE)</f>
        <v>-1163.2539835699999</v>
      </c>
      <c r="F85" s="407"/>
      <c r="G85" s="407"/>
      <c r="H85" s="407"/>
      <c r="I85" s="407"/>
      <c r="J85" s="407"/>
      <c r="K85" s="407"/>
      <c r="L85" s="407"/>
      <c r="M85" s="407"/>
      <c r="N85" s="407"/>
      <c r="O85" s="911"/>
    </row>
    <row r="86" spans="1:15" ht="15.5">
      <c r="A86" s="933" t="s">
        <v>2085</v>
      </c>
      <c r="B86" s="407"/>
      <c r="C86" s="407"/>
      <c r="D86" s="407"/>
      <c r="E86" s="406">
        <f>VLOOKUP(Inngang!$C$8,'K21'!$A$4:$CX$434,43,FALSE)</f>
        <v>0</v>
      </c>
      <c r="F86" s="407"/>
      <c r="G86" s="407"/>
      <c r="H86" s="407"/>
      <c r="I86" s="407"/>
      <c r="J86" s="407"/>
      <c r="K86" s="407"/>
      <c r="L86" s="407"/>
      <c r="M86" s="407"/>
      <c r="N86" s="407"/>
      <c r="O86" s="911"/>
    </row>
    <row r="87" spans="1:15" ht="15.5">
      <c r="A87" s="935" t="s">
        <v>2291</v>
      </c>
      <c r="B87" s="1030"/>
      <c r="C87" s="1030"/>
      <c r="D87" s="1030"/>
      <c r="E87" s="936">
        <f>E79-E80-E81+E82-E83-E84+E85+E86</f>
        <v>212306.83126381002</v>
      </c>
      <c r="F87" s="407"/>
      <c r="G87" s="407"/>
      <c r="H87" s="407"/>
      <c r="I87" s="407"/>
      <c r="J87" s="407"/>
      <c r="K87" s="407"/>
      <c r="L87" s="407"/>
      <c r="M87" s="407"/>
      <c r="N87" s="407"/>
      <c r="O87" s="911"/>
    </row>
    <row r="88" spans="1:15" ht="15.5">
      <c r="A88" s="937" t="s">
        <v>2086</v>
      </c>
      <c r="B88" s="407"/>
      <c r="C88" s="407"/>
      <c r="D88" s="407"/>
      <c r="E88" s="407">
        <f>VLOOKUP(Gdata!$B$3,'K21'!$A$4:$BL$440,57,FALSE)</f>
        <v>216537.87950819</v>
      </c>
      <c r="F88" s="407"/>
      <c r="G88" s="407"/>
      <c r="H88" s="407"/>
      <c r="I88" s="407"/>
      <c r="J88" s="407"/>
      <c r="K88" s="407"/>
      <c r="L88" s="407"/>
      <c r="M88" s="407"/>
      <c r="N88" s="407"/>
      <c r="O88" s="911"/>
    </row>
    <row r="89" spans="1:15" ht="15.5">
      <c r="A89" s="937" t="s">
        <v>1205</v>
      </c>
      <c r="B89" s="407"/>
      <c r="C89" s="407"/>
      <c r="D89" s="407"/>
      <c r="E89" s="407">
        <f>VLOOKUP(Inngang!$C$8,'K21'!$A$4:$BV$359,24,FALSE)</f>
        <v>0</v>
      </c>
      <c r="F89" s="407"/>
      <c r="G89" s="407"/>
      <c r="H89" s="407"/>
      <c r="I89" s="407"/>
      <c r="J89" s="407"/>
      <c r="K89" s="407"/>
      <c r="L89" s="407"/>
      <c r="M89" s="407"/>
      <c r="N89" s="407"/>
      <c r="O89" s="911"/>
    </row>
    <row r="90" spans="1:15" ht="15.5">
      <c r="A90" s="937" t="s">
        <v>1206</v>
      </c>
      <c r="B90" s="407"/>
      <c r="C90" s="407"/>
      <c r="D90" s="407"/>
      <c r="E90" s="407">
        <f>VLOOKUP(Inngang!$C$8,'K21'!$A$4:$CU$434,61,FALSE)</f>
        <v>27204</v>
      </c>
      <c r="F90" s="407"/>
      <c r="G90" s="407"/>
      <c r="H90" s="407"/>
      <c r="I90" s="407"/>
      <c r="J90" s="407"/>
      <c r="K90" s="407"/>
      <c r="L90" s="407"/>
      <c r="M90" s="407"/>
      <c r="N90" s="407"/>
      <c r="O90" s="911"/>
    </row>
    <row r="91" spans="1:15" ht="15.5">
      <c r="A91" s="937" t="s">
        <v>1207</v>
      </c>
      <c r="B91" s="407"/>
      <c r="C91" s="407"/>
      <c r="D91" s="407"/>
      <c r="E91" s="407">
        <f>IF(Inngang!$C$8=3033,0,IF(Inngang!$C$8=3036,0,VLOOKUP(Inngang!$C$8,'K21'!$A$4:$BM$441,32,FALSE)))</f>
        <v>25493</v>
      </c>
      <c r="F91" s="407"/>
      <c r="G91" s="407"/>
      <c r="H91" s="407"/>
      <c r="I91" s="407"/>
      <c r="J91" s="407"/>
      <c r="K91" s="407"/>
      <c r="L91" s="407"/>
      <c r="M91" s="407"/>
      <c r="N91" s="407"/>
      <c r="O91" s="911"/>
    </row>
    <row r="92" spans="1:15" ht="15.5">
      <c r="A92" s="939" t="s">
        <v>1208</v>
      </c>
      <c r="B92" s="407"/>
      <c r="C92" s="407"/>
      <c r="D92" s="407"/>
      <c r="E92" s="407">
        <f>VLOOKUP(Inngang!$C$8,'K21'!$A$4:$CX$434,31,FALSE)</f>
        <v>0</v>
      </c>
      <c r="F92" s="407"/>
      <c r="G92" s="407"/>
      <c r="H92" s="407"/>
      <c r="I92" s="407"/>
      <c r="J92" s="407"/>
      <c r="K92" s="407"/>
      <c r="L92" s="407"/>
      <c r="M92" s="407"/>
      <c r="N92" s="407"/>
      <c r="O92" s="911"/>
    </row>
    <row r="93" spans="1:15" ht="15.5">
      <c r="A93" s="939" t="s">
        <v>2087</v>
      </c>
      <c r="B93" s="407"/>
      <c r="C93" s="407"/>
      <c r="D93" s="407"/>
      <c r="E93" s="407">
        <f>VLOOKUP(Inngang!$C$8,'K21'!$A$4:$CX$434,65,FALSE)</f>
        <v>0</v>
      </c>
      <c r="F93" s="407"/>
      <c r="G93" s="407"/>
      <c r="H93" s="407"/>
      <c r="I93" s="407"/>
      <c r="J93" s="407"/>
      <c r="K93" s="407"/>
      <c r="L93" s="407"/>
      <c r="M93" s="407"/>
      <c r="N93" s="407"/>
      <c r="O93" s="911"/>
    </row>
    <row r="94" spans="1:15" ht="16" thickBot="1">
      <c r="A94" s="940" t="s">
        <v>2290</v>
      </c>
      <c r="B94" s="1030"/>
      <c r="C94" s="1030"/>
      <c r="D94" s="1030"/>
      <c r="E94" s="932">
        <f>E88-E89-E90+E91-E92-E93</f>
        <v>214826.87950819</v>
      </c>
      <c r="F94" s="952"/>
      <c r="G94" s="407"/>
      <c r="H94" s="407"/>
      <c r="I94" s="407"/>
      <c r="J94" s="407"/>
      <c r="K94" s="407"/>
      <c r="L94" s="407"/>
      <c r="M94" s="407"/>
      <c r="N94" s="407"/>
      <c r="O94" s="911"/>
    </row>
    <row r="95" spans="1:15" ht="15.5">
      <c r="A95" s="942" t="s">
        <v>2220</v>
      </c>
      <c r="B95" s="1030"/>
      <c r="C95" s="1030"/>
      <c r="D95" s="1030"/>
      <c r="E95" s="943">
        <f>E94-E87</f>
        <v>2520.0482443799847</v>
      </c>
      <c r="F95" s="952"/>
      <c r="G95" s="788" t="s">
        <v>1217</v>
      </c>
      <c r="H95" s="576"/>
      <c r="I95" s="577"/>
      <c r="J95" s="407"/>
      <c r="K95" s="407"/>
      <c r="L95" s="407"/>
      <c r="M95" s="407"/>
      <c r="N95" s="407"/>
      <c r="O95" s="911"/>
    </row>
    <row r="96" spans="1:15" ht="15.5">
      <c r="A96" s="944" t="s">
        <v>2221</v>
      </c>
      <c r="B96" s="407"/>
      <c r="C96" s="407"/>
      <c r="D96" s="407"/>
      <c r="E96" s="945">
        <f>E95*1000/Gdata!E28</f>
        <v>424.96597712984567</v>
      </c>
      <c r="F96" s="407"/>
      <c r="G96" s="578">
        <v>-145.35712530000001</v>
      </c>
      <c r="H96" s="787" t="s">
        <v>1218</v>
      </c>
      <c r="I96" s="579"/>
      <c r="J96" s="407"/>
      <c r="K96" s="407"/>
      <c r="L96" s="407"/>
      <c r="M96" s="407"/>
      <c r="N96" s="407"/>
      <c r="O96" s="911"/>
    </row>
    <row r="97" spans="1:15" ht="16" thickBot="1">
      <c r="A97" s="946" t="s">
        <v>2222</v>
      </c>
      <c r="B97" s="407"/>
      <c r="C97" s="407"/>
      <c r="D97" s="407"/>
      <c r="E97" s="947">
        <f>IF(E96&lt;G97,G97-E96,0)</f>
        <v>0</v>
      </c>
      <c r="F97" s="407"/>
      <c r="G97" s="580">
        <f>G96-400</f>
        <v>-545.35712530000001</v>
      </c>
      <c r="H97" s="789" t="s">
        <v>1219</v>
      </c>
      <c r="I97" s="581"/>
      <c r="J97" s="407"/>
      <c r="K97" s="407"/>
      <c r="L97" s="407"/>
      <c r="M97" s="407"/>
      <c r="N97" s="407"/>
      <c r="O97" s="911"/>
    </row>
    <row r="98" spans="1:15" ht="15.5">
      <c r="A98" s="944" t="s">
        <v>270</v>
      </c>
      <c r="B98" s="407"/>
      <c r="C98" s="407"/>
      <c r="D98" s="407"/>
      <c r="E98" s="945">
        <f>Gdata!E161</f>
        <v>-37.766491209999998</v>
      </c>
      <c r="F98" s="407"/>
      <c r="G98" s="407"/>
      <c r="H98" s="407"/>
      <c r="I98" s="407"/>
      <c r="J98" s="407"/>
      <c r="K98" s="407"/>
      <c r="L98" s="407"/>
      <c r="M98" s="407"/>
      <c r="N98" s="407"/>
      <c r="O98" s="911"/>
    </row>
    <row r="99" spans="1:15" ht="15.5">
      <c r="A99" s="946" t="s">
        <v>2223</v>
      </c>
      <c r="B99" s="407"/>
      <c r="C99" s="407"/>
      <c r="D99" s="407"/>
      <c r="E99" s="945">
        <f>E97+E98</f>
        <v>-37.766491209999998</v>
      </c>
      <c r="F99" s="407"/>
      <c r="G99" s="407"/>
      <c r="H99" s="407"/>
      <c r="I99" s="407"/>
      <c r="J99" s="407"/>
      <c r="K99" s="407"/>
      <c r="L99" s="407"/>
      <c r="M99" s="407"/>
      <c r="N99" s="407"/>
      <c r="O99" s="911"/>
    </row>
    <row r="100" spans="1:15" ht="16" thickBot="1">
      <c r="A100" s="948" t="s">
        <v>2224</v>
      </c>
      <c r="B100" s="948"/>
      <c r="C100" s="948"/>
      <c r="D100" s="948"/>
      <c r="E100" s="948">
        <f>E99*Gdata!E28/1000</f>
        <v>-223.95529287529999</v>
      </c>
      <c r="F100" s="407"/>
      <c r="G100" s="407"/>
      <c r="H100" s="407"/>
      <c r="I100" s="407"/>
      <c r="J100" s="407"/>
      <c r="K100" s="407"/>
      <c r="L100" s="407"/>
      <c r="M100" s="407"/>
      <c r="N100" s="407"/>
      <c r="O100" s="911"/>
    </row>
    <row r="101" spans="1:15" ht="15.5">
      <c r="A101" s="168" t="s">
        <v>733</v>
      </c>
      <c r="B101" s="407"/>
      <c r="C101" s="407"/>
      <c r="D101" s="407"/>
      <c r="E101" s="566">
        <f>VLOOKUP(Inngang!$C$8,'K21'!$A$4:$BM$440,44,FALSE)</f>
        <v>-223.95529289999999</v>
      </c>
      <c r="F101" s="407"/>
      <c r="G101" s="407"/>
      <c r="H101" s="407"/>
      <c r="I101" s="407"/>
      <c r="J101" s="407"/>
      <c r="K101" s="407"/>
      <c r="L101" s="407"/>
      <c r="M101" s="407"/>
      <c r="N101" s="407"/>
      <c r="O101" s="911"/>
    </row>
    <row r="102" spans="1:15" ht="15.5">
      <c r="A102" s="407"/>
      <c r="B102" s="407"/>
      <c r="C102" s="407"/>
      <c r="D102" s="407"/>
      <c r="E102" s="407"/>
      <c r="F102" s="407"/>
      <c r="G102" s="407"/>
      <c r="H102" s="407"/>
      <c r="I102" s="407"/>
      <c r="J102" s="407"/>
      <c r="K102" s="407"/>
      <c r="L102" s="407"/>
      <c r="M102" s="407"/>
      <c r="N102" s="407"/>
      <c r="O102" s="911"/>
    </row>
    <row r="103" spans="1:15" ht="15.5">
      <c r="A103" s="933" t="s">
        <v>2292</v>
      </c>
      <c r="B103" s="407"/>
      <c r="C103" s="407"/>
      <c r="D103" s="407"/>
      <c r="E103" s="407"/>
      <c r="F103" s="409">
        <f>VLOOKUP(Inngang!$C$8,'K22'!$A$4:$BU$432,48,FALSE)</f>
        <v>225253</v>
      </c>
      <c r="G103" s="407"/>
      <c r="H103" s="407"/>
      <c r="I103" s="407"/>
      <c r="J103" s="407"/>
      <c r="K103" s="407"/>
      <c r="L103" s="407"/>
      <c r="M103" s="407"/>
      <c r="N103" s="407"/>
      <c r="O103" s="911"/>
    </row>
    <row r="104" spans="1:15" ht="15.5">
      <c r="A104" s="933" t="s">
        <v>1205</v>
      </c>
      <c r="B104" s="407"/>
      <c r="C104" s="407"/>
      <c r="D104" s="407"/>
      <c r="E104" s="407"/>
      <c r="F104" s="409">
        <f>VLOOKUP(Inngang!$C$8,'K21'!$A$4:$BV$359,24,FALSE)</f>
        <v>0</v>
      </c>
      <c r="G104" s="407"/>
      <c r="H104" s="407"/>
      <c r="I104" s="407"/>
      <c r="J104" s="407"/>
      <c r="K104" s="407"/>
      <c r="L104" s="407"/>
      <c r="M104" s="407"/>
      <c r="N104" s="407"/>
      <c r="O104" s="911"/>
    </row>
    <row r="105" spans="1:15" ht="15.5">
      <c r="A105" s="933" t="s">
        <v>2293</v>
      </c>
      <c r="B105" s="407"/>
      <c r="C105" s="407"/>
      <c r="D105" s="407"/>
      <c r="E105" s="407"/>
      <c r="F105" s="409">
        <f>VLOOKUP(Inngang!$C$8,'K22'!$A$4:$BU$432,55,FALSE)</f>
        <v>36143</v>
      </c>
      <c r="G105" s="407"/>
      <c r="H105" s="407"/>
      <c r="I105" s="407"/>
      <c r="J105" s="407"/>
      <c r="K105" s="407"/>
      <c r="L105" s="407"/>
      <c r="M105" s="407"/>
      <c r="N105" s="407"/>
      <c r="O105" s="911"/>
    </row>
    <row r="106" spans="1:15" ht="15.5">
      <c r="A106" s="933" t="s">
        <v>1207</v>
      </c>
      <c r="B106" s="407"/>
      <c r="C106" s="407"/>
      <c r="D106" s="407"/>
      <c r="E106" s="407"/>
      <c r="F106" s="409">
        <f>IF(Inngang!$C$8=3033,0,IF(Inngang!$C$8=3036,0,VLOOKUP(Inngang!$C$8,'K21'!$A$4:$BM$447,32,FALSE)))</f>
        <v>25493</v>
      </c>
      <c r="G106" s="407"/>
      <c r="H106" s="407"/>
      <c r="I106" s="407"/>
      <c r="J106" s="407"/>
      <c r="K106" s="407"/>
      <c r="L106" s="407"/>
      <c r="M106" s="407"/>
      <c r="N106" s="407"/>
      <c r="O106" s="911"/>
    </row>
    <row r="107" spans="1:15" ht="15.5">
      <c r="A107" s="933" t="s">
        <v>2294</v>
      </c>
      <c r="B107" s="407"/>
      <c r="C107" s="407"/>
      <c r="D107" s="407"/>
      <c r="E107" s="407"/>
      <c r="F107" s="406">
        <f>VLOOKUP(Inngang!$C$8,'K21'!$A$4:$CO$438,31,FALSE)</f>
        <v>0</v>
      </c>
      <c r="G107" s="407"/>
      <c r="H107" s="407"/>
      <c r="I107" s="407"/>
      <c r="J107" s="407"/>
      <c r="K107" s="407"/>
      <c r="L107" s="407"/>
      <c r="M107" s="407"/>
      <c r="N107" s="407"/>
      <c r="O107" s="911"/>
    </row>
    <row r="108" spans="1:15" ht="15.5">
      <c r="A108" s="933" t="s">
        <v>2295</v>
      </c>
      <c r="B108" s="407"/>
      <c r="C108" s="407"/>
      <c r="D108" s="407"/>
      <c r="E108" s="407"/>
      <c r="F108" s="406">
        <f>VLOOKUP(Inngang!$C$8,'K21'!$A$4:$CO$440,65,FALSE)</f>
        <v>0</v>
      </c>
      <c r="G108" s="407"/>
      <c r="H108" s="407"/>
      <c r="I108" s="407"/>
      <c r="J108" s="407"/>
      <c r="K108" s="407"/>
      <c r="L108" s="407"/>
      <c r="M108" s="407"/>
      <c r="N108" s="407"/>
      <c r="O108" s="911"/>
    </row>
    <row r="109" spans="1:15" ht="15.5">
      <c r="A109" s="933" t="s">
        <v>2296</v>
      </c>
      <c r="B109" s="407"/>
      <c r="C109" s="407"/>
      <c r="D109" s="407"/>
      <c r="E109" s="407"/>
      <c r="F109" s="406">
        <f>VLOOKUP(Inngang!$C$8,'K22'!$A$4:$BL$438,41,FALSE)+VLOOKUP(Inngang!$C$8,'K22'!$A$4:$BL$438,45,FALSE)</f>
        <v>2391.4024102799999</v>
      </c>
      <c r="G109" s="407"/>
      <c r="H109" s="407"/>
      <c r="I109" s="407"/>
      <c r="J109" s="407"/>
      <c r="K109" s="407"/>
      <c r="L109" s="407"/>
      <c r="M109" s="407"/>
      <c r="N109" s="407"/>
      <c r="O109" s="911"/>
    </row>
    <row r="110" spans="1:15" ht="15.5">
      <c r="A110" s="933" t="s">
        <v>2297</v>
      </c>
      <c r="B110" s="407"/>
      <c r="C110" s="407"/>
      <c r="D110" s="407"/>
      <c r="E110" s="407"/>
      <c r="F110" s="406">
        <f>VLOOKUP(Inngang!$C$8,'K22'!$A$4:$CZ$434,43,FALSE)</f>
        <v>0</v>
      </c>
      <c r="G110" s="407"/>
      <c r="H110" s="407"/>
      <c r="I110" s="407"/>
      <c r="J110" s="407"/>
      <c r="K110" s="407"/>
      <c r="L110" s="407"/>
      <c r="M110" s="407"/>
      <c r="N110" s="407"/>
      <c r="O110" s="911"/>
    </row>
    <row r="111" spans="1:15" ht="15.5">
      <c r="A111" s="935" t="s">
        <v>2298</v>
      </c>
      <c r="B111" s="1030"/>
      <c r="C111" s="1030"/>
      <c r="D111" s="1030"/>
      <c r="E111" s="1030"/>
      <c r="F111" s="936">
        <f>F103-F104-F105+F106-F107-F108+F109+F110</f>
        <v>216994.40241027999</v>
      </c>
      <c r="G111" s="407"/>
      <c r="H111" s="407"/>
      <c r="I111" s="407"/>
      <c r="J111" s="407"/>
      <c r="K111" s="407"/>
      <c r="L111" s="407"/>
      <c r="M111" s="407"/>
      <c r="N111" s="407"/>
      <c r="O111" s="911"/>
    </row>
    <row r="112" spans="1:15" ht="15.5">
      <c r="A112" s="937" t="s">
        <v>1325</v>
      </c>
      <c r="B112" s="453"/>
      <c r="C112" s="453"/>
      <c r="D112" s="453"/>
      <c r="E112" s="453"/>
      <c r="F112" s="407">
        <f>VLOOKUP(Gdata!$B$3,'K22'!$A$4:$BL$438,57,FALSE)</f>
        <v>233363.67285007</v>
      </c>
      <c r="G112" s="453"/>
      <c r="H112" s="453"/>
      <c r="I112" s="453"/>
      <c r="J112" s="453"/>
      <c r="K112" s="453"/>
      <c r="L112" s="453"/>
      <c r="M112" s="453"/>
      <c r="N112" s="453"/>
      <c r="O112" s="911"/>
    </row>
    <row r="113" spans="1:15" ht="15.5">
      <c r="A113" s="937" t="s">
        <v>1326</v>
      </c>
      <c r="B113" s="453"/>
      <c r="C113" s="453"/>
      <c r="D113" s="453"/>
      <c r="E113" s="453"/>
      <c r="F113" s="407">
        <f>VLOOKUP(Inngang!$C$8,'K22'!$A$4:$BV$359,24,FALSE)</f>
        <v>0</v>
      </c>
      <c r="G113" s="453"/>
      <c r="H113" s="453"/>
      <c r="I113" s="453"/>
      <c r="J113" s="453"/>
      <c r="K113" s="453"/>
      <c r="L113" s="453"/>
      <c r="M113" s="453"/>
      <c r="N113" s="453"/>
      <c r="O113" s="911"/>
    </row>
    <row r="114" spans="1:15" ht="15.5">
      <c r="A114" s="937" t="s">
        <v>1327</v>
      </c>
      <c r="B114" s="453"/>
      <c r="C114" s="453"/>
      <c r="D114" s="453"/>
      <c r="E114" s="453"/>
      <c r="F114" s="407">
        <f>VLOOKUP(Inngang!$C$8,'K22'!$A$4:$DH$432,61,FALSE)</f>
        <v>27746</v>
      </c>
      <c r="G114" s="453"/>
      <c r="H114" s="453"/>
      <c r="I114" s="453"/>
      <c r="J114" s="453"/>
      <c r="K114" s="453"/>
      <c r="L114" s="453"/>
      <c r="M114" s="453"/>
      <c r="N114" s="453"/>
      <c r="O114" s="911"/>
    </row>
    <row r="115" spans="1:15" ht="15.5">
      <c r="A115" s="937" t="s">
        <v>1328</v>
      </c>
      <c r="B115" s="453"/>
      <c r="C115" s="453"/>
      <c r="D115" s="453"/>
      <c r="E115" s="453"/>
      <c r="F115" s="407">
        <f>IF(Inngang!$C$8=3033,0,IF(Inngang!$C$8=3036,0,VLOOKUP(Inngang!$C$8,'K22'!$A$4:$BM$439,32,FALSE)))</f>
        <v>26130</v>
      </c>
      <c r="G115" s="453"/>
      <c r="H115" s="453"/>
      <c r="I115" s="453"/>
      <c r="J115" s="453"/>
      <c r="K115" s="453"/>
      <c r="L115" s="453"/>
      <c r="M115" s="453"/>
      <c r="N115" s="453"/>
      <c r="O115" s="911"/>
    </row>
    <row r="116" spans="1:15" ht="15.5">
      <c r="A116" s="937" t="s">
        <v>1329</v>
      </c>
      <c r="B116" s="453"/>
      <c r="C116" s="453"/>
      <c r="D116" s="453"/>
      <c r="E116" s="453"/>
      <c r="F116" s="407">
        <f>VLOOKUP(Inngang!$C$8,'K22'!$A$4:$DK$432,31,FALSE)</f>
        <v>0</v>
      </c>
      <c r="G116" s="453"/>
      <c r="H116" s="453"/>
      <c r="I116" s="453"/>
      <c r="J116" s="453"/>
      <c r="K116" s="453"/>
      <c r="L116" s="453"/>
      <c r="M116" s="453"/>
      <c r="N116" s="453"/>
      <c r="O116" s="911"/>
    </row>
    <row r="117" spans="1:15" ht="15.5">
      <c r="A117" s="939" t="s">
        <v>2313</v>
      </c>
      <c r="B117" s="453"/>
      <c r="C117" s="453"/>
      <c r="D117" s="453"/>
      <c r="E117" s="453"/>
      <c r="F117" s="407">
        <f>VLOOKUP(Inngang!$C$8,'K22'!$A$4:$DK$432,65,FALSE)</f>
        <v>0</v>
      </c>
      <c r="G117" s="453"/>
      <c r="H117" s="453"/>
      <c r="I117" s="453"/>
      <c r="J117" s="453"/>
      <c r="K117" s="453"/>
      <c r="L117" s="453"/>
      <c r="M117" s="453"/>
      <c r="N117" s="453"/>
      <c r="O117" s="911"/>
    </row>
    <row r="118" spans="1:15" ht="16" thickBot="1">
      <c r="A118" s="940" t="s">
        <v>1330</v>
      </c>
      <c r="B118" s="1117"/>
      <c r="C118" s="1117"/>
      <c r="D118" s="1117"/>
      <c r="E118" s="1117"/>
      <c r="F118" s="932">
        <f>F112-F113-F114+F115-F116-F117</f>
        <v>231747.67285007</v>
      </c>
      <c r="G118" s="952"/>
      <c r="H118" s="453"/>
      <c r="I118" s="453"/>
      <c r="J118" s="453"/>
      <c r="K118" s="453"/>
      <c r="L118" s="453"/>
      <c r="M118" s="453"/>
      <c r="N118" s="453"/>
      <c r="O118" s="911"/>
    </row>
    <row r="119" spans="1:15" ht="15">
      <c r="A119" s="942" t="s">
        <v>1331</v>
      </c>
      <c r="B119" s="1116"/>
      <c r="C119" s="1116"/>
      <c r="D119" s="1116"/>
      <c r="E119" s="1116"/>
      <c r="F119" s="943">
        <f>F118-F111</f>
        <v>14753.270439790009</v>
      </c>
      <c r="G119" s="453"/>
      <c r="H119" s="788" t="s">
        <v>1217</v>
      </c>
      <c r="I119" s="576"/>
      <c r="J119" s="577"/>
      <c r="K119" s="453"/>
      <c r="L119" s="453"/>
      <c r="M119" s="453"/>
      <c r="N119" s="453"/>
      <c r="O119" s="911"/>
    </row>
    <row r="120" spans="1:15" ht="15.5">
      <c r="A120" s="944" t="s">
        <v>1332</v>
      </c>
      <c r="B120" s="453"/>
      <c r="C120" s="453"/>
      <c r="D120" s="453"/>
      <c r="E120" s="453"/>
      <c r="F120" s="406">
        <f>F119*1000/Gdata!F28</f>
        <v>2490.003449753588</v>
      </c>
      <c r="G120" s="453"/>
      <c r="H120" s="578">
        <v>1027.6292350609101</v>
      </c>
      <c r="I120" s="787" t="s">
        <v>1218</v>
      </c>
      <c r="J120" s="579"/>
      <c r="K120" s="453"/>
      <c r="L120" s="453"/>
      <c r="M120" s="453"/>
      <c r="N120" s="453"/>
      <c r="O120" s="911"/>
    </row>
    <row r="121" spans="1:15" ht="16" thickBot="1">
      <c r="A121" s="946" t="s">
        <v>1333</v>
      </c>
      <c r="B121" s="453"/>
      <c r="C121" s="453"/>
      <c r="D121" s="453"/>
      <c r="E121" s="453"/>
      <c r="F121" s="406">
        <f>IF(F120&lt;H121,H121-F120,0)</f>
        <v>0</v>
      </c>
      <c r="G121" s="453"/>
      <c r="H121" s="580">
        <f>H120-400</f>
        <v>627.6292350609101</v>
      </c>
      <c r="I121" s="789" t="s">
        <v>1219</v>
      </c>
      <c r="J121" s="581"/>
      <c r="K121" s="453"/>
      <c r="L121" s="453"/>
      <c r="M121" s="453"/>
      <c r="N121" s="453"/>
      <c r="O121" s="911"/>
    </row>
    <row r="122" spans="1:15" ht="15.5">
      <c r="A122" s="944" t="s">
        <v>270</v>
      </c>
      <c r="B122" s="453"/>
      <c r="C122" s="453"/>
      <c r="D122" s="453"/>
      <c r="E122" s="453"/>
      <c r="F122" s="406">
        <f>Gdata!F161</f>
        <v>-48.240642209999997</v>
      </c>
      <c r="G122" s="453"/>
      <c r="H122" s="453"/>
      <c r="I122" s="453"/>
      <c r="J122" s="453"/>
      <c r="K122" s="453"/>
      <c r="L122" s="453"/>
      <c r="M122" s="453"/>
      <c r="N122" s="453"/>
      <c r="O122" s="911"/>
    </row>
    <row r="123" spans="1:15" ht="15.5">
      <c r="A123" s="946" t="s">
        <v>1334</v>
      </c>
      <c r="B123" s="453"/>
      <c r="C123" s="453"/>
      <c r="D123" s="453"/>
      <c r="E123" s="453"/>
      <c r="F123" s="406">
        <f>F121+F122</f>
        <v>-48.240642209999997</v>
      </c>
      <c r="G123" s="453"/>
      <c r="H123" s="453"/>
      <c r="I123" s="453"/>
      <c r="J123" s="453"/>
      <c r="K123" s="453"/>
      <c r="L123" s="453"/>
      <c r="M123" s="453"/>
      <c r="N123" s="453"/>
      <c r="O123" s="911"/>
    </row>
    <row r="124" spans="1:15" ht="15.5" thickBot="1">
      <c r="A124" s="948" t="s">
        <v>1335</v>
      </c>
      <c r="B124" s="453"/>
      <c r="C124" s="453"/>
      <c r="D124" s="453"/>
      <c r="E124" s="453"/>
      <c r="F124" s="171">
        <f>F123*Gdata!F28/1000</f>
        <v>-285.82580509425003</v>
      </c>
      <c r="G124" s="453"/>
      <c r="H124" s="453"/>
      <c r="I124" s="453"/>
      <c r="J124" s="453"/>
      <c r="K124" s="453"/>
      <c r="L124" s="453"/>
      <c r="M124" s="453"/>
      <c r="N124" s="453"/>
      <c r="O124" s="911"/>
    </row>
    <row r="125" spans="1:15" ht="15.5">
      <c r="A125" s="168" t="s">
        <v>733</v>
      </c>
      <c r="B125" s="453"/>
      <c r="C125" s="453"/>
      <c r="D125" s="453"/>
      <c r="E125" s="453"/>
      <c r="F125" s="566">
        <f>VLOOKUP(Inngang!$C$8,'K22'!$A$4:$BM$438,44,FALSE)</f>
        <v>-285.82580510000003</v>
      </c>
      <c r="G125" s="453"/>
      <c r="H125" s="453"/>
      <c r="I125" s="453"/>
      <c r="J125" s="453"/>
      <c r="K125" s="453"/>
      <c r="L125" s="453"/>
      <c r="M125" s="453"/>
      <c r="N125" s="453"/>
      <c r="O125" s="911"/>
    </row>
    <row r="126" spans="1:15">
      <c r="A126" s="453"/>
      <c r="B126" s="453"/>
      <c r="C126" s="453"/>
      <c r="D126" s="453"/>
      <c r="E126" s="453"/>
      <c r="F126" s="453"/>
      <c r="G126" s="453"/>
      <c r="H126" s="453"/>
      <c r="I126" s="453"/>
      <c r="J126" s="453"/>
      <c r="K126" s="453"/>
      <c r="L126" s="453"/>
      <c r="M126" s="453"/>
      <c r="N126" s="453"/>
      <c r="O126" s="911"/>
    </row>
    <row r="127" spans="1:15" ht="15.5">
      <c r="A127" s="933" t="s">
        <v>2549</v>
      </c>
      <c r="B127" s="407"/>
      <c r="C127" s="407"/>
      <c r="D127" s="407"/>
      <c r="E127" s="407"/>
      <c r="F127" s="409"/>
      <c r="G127" s="409">
        <f>VLOOKUP(Inngang!$C$8,'K23'!$A$4:$BU$432,48,FALSE)</f>
        <v>225223</v>
      </c>
      <c r="H127" s="453"/>
      <c r="I127" s="453"/>
      <c r="J127" s="453"/>
      <c r="K127" s="453"/>
      <c r="L127" s="453"/>
      <c r="M127" s="453"/>
      <c r="N127" s="453"/>
      <c r="O127" s="911"/>
    </row>
    <row r="128" spans="1:15" ht="15.5">
      <c r="A128" s="933" t="s">
        <v>1326</v>
      </c>
      <c r="B128" s="407"/>
      <c r="C128" s="407"/>
      <c r="D128" s="407"/>
      <c r="E128" s="407"/>
      <c r="F128" s="409"/>
      <c r="G128" s="409">
        <f>VLOOKUP(Inngang!$C$8,'K22'!$A$4:$BV$359,24,FALSE)</f>
        <v>0</v>
      </c>
      <c r="H128" s="453"/>
      <c r="I128" s="453"/>
      <c r="J128" s="453"/>
      <c r="K128" s="453"/>
      <c r="L128" s="453"/>
      <c r="M128" s="453"/>
      <c r="N128" s="453"/>
      <c r="O128" s="911"/>
    </row>
    <row r="129" spans="1:15" ht="15.5">
      <c r="A129" s="933" t="s">
        <v>2550</v>
      </c>
      <c r="B129" s="407"/>
      <c r="C129" s="407"/>
      <c r="D129" s="407"/>
      <c r="E129" s="407"/>
      <c r="F129" s="409"/>
      <c r="G129" s="409">
        <f>VLOOKUP(Inngang!$C$8,'K23'!$A$4:$BU$432,55,FALSE)</f>
        <v>30244</v>
      </c>
      <c r="H129" s="453"/>
      <c r="I129" s="453"/>
      <c r="J129" s="453"/>
      <c r="K129" s="453"/>
      <c r="L129" s="453"/>
      <c r="M129" s="453"/>
      <c r="N129" s="453"/>
      <c r="O129" s="911"/>
    </row>
    <row r="130" spans="1:15" ht="15.5">
      <c r="A130" s="933" t="s">
        <v>1328</v>
      </c>
      <c r="B130" s="407"/>
      <c r="C130" s="407"/>
      <c r="D130" s="407"/>
      <c r="E130" s="407"/>
      <c r="F130" s="409"/>
      <c r="G130" s="409">
        <f>IF(Inngang!$C$8=3033,0,IF(Inngang!$C$8=3036,0,VLOOKUP(Inngang!$C$8,'K22'!$A$4:$BM$447,32,FALSE)))</f>
        <v>26130</v>
      </c>
      <c r="H130" s="453"/>
      <c r="I130" s="453"/>
      <c r="J130" s="453"/>
      <c r="K130" s="453"/>
      <c r="L130" s="453"/>
      <c r="M130" s="453"/>
      <c r="N130" s="453"/>
      <c r="O130" s="911"/>
    </row>
    <row r="131" spans="1:15" ht="15.5">
      <c r="A131" s="933" t="s">
        <v>2551</v>
      </c>
      <c r="B131" s="407"/>
      <c r="C131" s="407"/>
      <c r="D131" s="407"/>
      <c r="E131" s="407"/>
      <c r="F131" s="406"/>
      <c r="G131" s="406">
        <f>VLOOKUP(Inngang!$C$8,'K22'!$A$4:$CQ$438,31,FALSE)</f>
        <v>0</v>
      </c>
      <c r="H131" s="453"/>
      <c r="I131" s="453"/>
      <c r="J131" s="453"/>
      <c r="K131" s="453"/>
      <c r="L131" s="453"/>
      <c r="M131" s="453"/>
      <c r="N131" s="453"/>
      <c r="O131" s="911"/>
    </row>
    <row r="132" spans="1:15" ht="15.5">
      <c r="A132" s="933" t="s">
        <v>2313</v>
      </c>
      <c r="B132" s="407"/>
      <c r="C132" s="407"/>
      <c r="D132" s="407"/>
      <c r="E132" s="407"/>
      <c r="F132" s="406"/>
      <c r="G132" s="406">
        <f>VLOOKUP(Inngang!$C$8,'K22'!$A$4:$CQ$440,65,FALSE)</f>
        <v>0</v>
      </c>
      <c r="H132" s="453"/>
      <c r="I132" s="453"/>
      <c r="J132" s="453"/>
      <c r="K132" s="453"/>
      <c r="L132" s="453"/>
      <c r="M132" s="453"/>
      <c r="N132" s="453"/>
      <c r="O132" s="911"/>
    </row>
    <row r="133" spans="1:15" ht="15.5">
      <c r="A133" s="933" t="s">
        <v>2552</v>
      </c>
      <c r="B133" s="407"/>
      <c r="C133" s="407"/>
      <c r="D133" s="407"/>
      <c r="E133" s="407"/>
      <c r="F133" s="406"/>
      <c r="G133" s="406">
        <f>VLOOKUP(Inngang!$C$8,'K23'!$A$4:$BL$438,41,FALSE)+VLOOKUP(Inngang!$C$8,'K23'!$A$4:$BL$438,45,FALSE)+VLOOKUP(Inngang!$C$8,'K23'!$A$4:$BL$438,60,FALSE)</f>
        <v>11540.14803789</v>
      </c>
      <c r="H133" s="453"/>
      <c r="I133" s="453"/>
      <c r="J133" s="453"/>
      <c r="K133" s="453"/>
      <c r="L133" s="453"/>
      <c r="M133" s="453"/>
      <c r="N133" s="453"/>
      <c r="O133" s="911"/>
    </row>
    <row r="134" spans="1:15" ht="15.5">
      <c r="A134" s="933" t="s">
        <v>2553</v>
      </c>
      <c r="B134" s="407"/>
      <c r="C134" s="407"/>
      <c r="D134" s="407"/>
      <c r="E134" s="407"/>
      <c r="F134" s="406"/>
      <c r="G134" s="406">
        <f>VLOOKUP(Inngang!$C$8,'K23'!$A$4:$DF$434,43,FALSE)</f>
        <v>0</v>
      </c>
      <c r="H134" s="453"/>
      <c r="I134" s="453"/>
      <c r="J134" s="453"/>
      <c r="K134" s="453"/>
      <c r="L134" s="453"/>
      <c r="M134" s="453"/>
      <c r="N134" s="453"/>
      <c r="O134" s="911"/>
    </row>
    <row r="135" spans="1:15" ht="15.5">
      <c r="A135" s="935" t="s">
        <v>2554</v>
      </c>
      <c r="B135" s="1030"/>
      <c r="C135" s="1030"/>
      <c r="D135" s="1030"/>
      <c r="E135" s="1030"/>
      <c r="F135" s="936"/>
      <c r="G135" s="936">
        <f>G127-G128-G129+G130-G131-G132+G133+G134</f>
        <v>232649.14803789</v>
      </c>
      <c r="H135" s="453"/>
      <c r="I135" s="453"/>
      <c r="J135" s="453"/>
      <c r="K135" s="453"/>
      <c r="L135" s="453"/>
      <c r="M135" s="453"/>
      <c r="N135" s="453"/>
      <c r="O135" s="911"/>
    </row>
    <row r="136" spans="1:15" ht="15.5">
      <c r="A136" s="937" t="s">
        <v>2641</v>
      </c>
      <c r="B136" s="453"/>
      <c r="C136" s="453"/>
      <c r="D136" s="453"/>
      <c r="E136" s="453"/>
      <c r="F136" s="407"/>
      <c r="G136" s="407">
        <f>VLOOKUP(Gdata!$B$3,'K23'!$A$4:$BL$438,57,FALSE)</f>
        <v>250248.76819574999</v>
      </c>
      <c r="H136" s="453"/>
      <c r="I136" s="453"/>
      <c r="J136" s="453"/>
      <c r="K136" s="453"/>
      <c r="L136" s="453"/>
      <c r="M136" s="453"/>
      <c r="N136" s="453"/>
      <c r="O136" s="911"/>
    </row>
    <row r="137" spans="1:15" ht="15.5">
      <c r="A137" s="937" t="s">
        <v>2642</v>
      </c>
      <c r="B137" s="453"/>
      <c r="C137" s="453"/>
      <c r="D137" s="453"/>
      <c r="E137" s="453"/>
      <c r="F137" s="407"/>
      <c r="G137" s="407">
        <f>VLOOKUP(Inngang!$C$8,'K23'!$A$4:$BV$359,24,FALSE)</f>
        <v>0</v>
      </c>
      <c r="H137" s="453"/>
      <c r="I137" s="453"/>
      <c r="J137" s="453"/>
      <c r="K137" s="453"/>
      <c r="L137" s="453"/>
      <c r="M137" s="453"/>
      <c r="N137" s="453"/>
      <c r="O137" s="911"/>
    </row>
    <row r="138" spans="1:15" ht="15.5">
      <c r="A138" s="937" t="s">
        <v>2643</v>
      </c>
      <c r="B138" s="453"/>
      <c r="C138" s="453"/>
      <c r="D138" s="453"/>
      <c r="E138" s="453"/>
      <c r="F138" s="407"/>
      <c r="G138" s="407">
        <f>VLOOKUP(Inngang!$C$8,'K23'!$A$4:$DN$432,61,FALSE)</f>
        <v>31540</v>
      </c>
      <c r="H138" s="453"/>
      <c r="I138" s="453"/>
      <c r="J138" s="453"/>
      <c r="K138" s="453"/>
      <c r="L138" s="453"/>
      <c r="M138" s="453"/>
      <c r="N138" s="453"/>
      <c r="O138" s="911"/>
    </row>
    <row r="139" spans="1:15" ht="15.5">
      <c r="A139" s="937" t="s">
        <v>2644</v>
      </c>
      <c r="B139" s="453"/>
      <c r="C139" s="453"/>
      <c r="D139" s="453"/>
      <c r="E139" s="453"/>
      <c r="F139" s="407"/>
      <c r="G139" s="407">
        <f>IF(Inngang!$C$8=3033,0,IF(Inngang!$C$8=3036,0,VLOOKUP(Inngang!$C$8,'K23'!$A$4:$BM$439,32,FALSE)))</f>
        <v>27097</v>
      </c>
      <c r="H139" s="453"/>
      <c r="I139" s="453"/>
      <c r="J139" s="453"/>
      <c r="K139" s="453"/>
      <c r="L139" s="453"/>
      <c r="M139" s="453"/>
      <c r="N139" s="453"/>
      <c r="O139" s="911"/>
    </row>
    <row r="140" spans="1:15" ht="15.5">
      <c r="A140" s="937" t="s">
        <v>2645</v>
      </c>
      <c r="B140" s="453"/>
      <c r="C140" s="453"/>
      <c r="D140" s="453"/>
      <c r="E140" s="453"/>
      <c r="F140" s="407"/>
      <c r="G140" s="407">
        <f>VLOOKUP(Inngang!$C$8,'K23'!$A$4:$DQ$432,31,FALSE)</f>
        <v>0</v>
      </c>
      <c r="H140" s="453"/>
      <c r="I140" s="453"/>
      <c r="J140" s="453"/>
      <c r="K140" s="453"/>
      <c r="L140" s="453"/>
      <c r="M140" s="453"/>
      <c r="N140" s="453"/>
      <c r="O140" s="911"/>
    </row>
    <row r="141" spans="1:15" ht="15.5">
      <c r="A141" s="939" t="s">
        <v>2646</v>
      </c>
      <c r="B141" s="453"/>
      <c r="C141" s="453"/>
      <c r="D141" s="453"/>
      <c r="E141" s="453"/>
      <c r="F141" s="407"/>
      <c r="G141" s="407">
        <f>VLOOKUP(Inngang!$C$8,'K23'!$A$4:$DQ$432,65,FALSE)</f>
        <v>0</v>
      </c>
      <c r="H141" s="453"/>
      <c r="I141" s="453"/>
      <c r="J141" s="453"/>
      <c r="K141" s="453"/>
      <c r="L141" s="453"/>
      <c r="M141" s="453"/>
      <c r="N141" s="453"/>
      <c r="O141" s="911"/>
    </row>
    <row r="142" spans="1:15" ht="16" thickBot="1">
      <c r="A142" s="940" t="s">
        <v>2647</v>
      </c>
      <c r="B142" s="1117"/>
      <c r="C142" s="1117"/>
      <c r="D142" s="1117"/>
      <c r="E142" s="1117"/>
      <c r="F142" s="932"/>
      <c r="G142" s="932">
        <f>G136-G137-G138+G139-G140-G141</f>
        <v>245805.76819574999</v>
      </c>
      <c r="H142" s="952">
        <f>G142+G148</f>
        <v>245564.25600097008</v>
      </c>
      <c r="I142" s="453"/>
      <c r="J142" s="453"/>
      <c r="K142" s="453"/>
      <c r="L142" s="453"/>
      <c r="M142" s="453"/>
      <c r="N142" s="453"/>
      <c r="O142" s="911"/>
    </row>
    <row r="143" spans="1:15" ht="15">
      <c r="A143" s="942" t="s">
        <v>2648</v>
      </c>
      <c r="B143" s="1116"/>
      <c r="C143" s="1116"/>
      <c r="D143" s="1116"/>
      <c r="E143" s="1116"/>
      <c r="F143" s="943"/>
      <c r="G143" s="943">
        <f>G142-G135</f>
        <v>13156.620157859987</v>
      </c>
      <c r="H143" s="453"/>
      <c r="I143" s="788" t="s">
        <v>1217</v>
      </c>
      <c r="J143" s="576"/>
      <c r="K143" s="577"/>
      <c r="L143" s="453"/>
      <c r="M143" s="453"/>
      <c r="N143" s="453"/>
      <c r="O143" s="911"/>
    </row>
    <row r="144" spans="1:15" ht="15.5">
      <c r="A144" s="944" t="s">
        <v>2649</v>
      </c>
      <c r="B144" s="453"/>
      <c r="C144" s="453"/>
      <c r="D144" s="453"/>
      <c r="E144" s="453"/>
      <c r="F144" s="406"/>
      <c r="G144" s="406">
        <f>G143*1000/Gdata!G28</f>
        <v>2235.6193981070496</v>
      </c>
      <c r="H144" s="453"/>
      <c r="I144" s="578">
        <v>2112.4708665229541</v>
      </c>
      <c r="J144" s="787" t="s">
        <v>1218</v>
      </c>
      <c r="K144" s="579"/>
      <c r="L144" s="453"/>
      <c r="M144" s="453"/>
      <c r="N144" s="453"/>
      <c r="O144" s="911"/>
    </row>
    <row r="145" spans="1:15" ht="16" thickBot="1">
      <c r="A145" s="946" t="s">
        <v>2650</v>
      </c>
      <c r="B145" s="453"/>
      <c r="C145" s="453"/>
      <c r="D145" s="453"/>
      <c r="E145" s="453"/>
      <c r="F145" s="406"/>
      <c r="G145" s="406">
        <f>IF(G144&lt;I145,I145-G144,0)</f>
        <v>0</v>
      </c>
      <c r="H145" s="453"/>
      <c r="I145" s="580">
        <f>I144-400</f>
        <v>1712.4708665229541</v>
      </c>
      <c r="J145" s="789" t="s">
        <v>1219</v>
      </c>
      <c r="K145" s="581"/>
      <c r="L145" s="453"/>
      <c r="M145" s="453"/>
      <c r="N145" s="453"/>
      <c r="O145" s="911"/>
    </row>
    <row r="146" spans="1:15" ht="15.5">
      <c r="A146" s="944" t="s">
        <v>270</v>
      </c>
      <c r="B146" s="453"/>
      <c r="C146" s="453"/>
      <c r="D146" s="453"/>
      <c r="E146" s="453"/>
      <c r="F146" s="406"/>
      <c r="G146" s="406">
        <f>Gdata!G161</f>
        <v>-41.038605740000001</v>
      </c>
      <c r="H146" s="453"/>
      <c r="I146" s="453"/>
      <c r="J146" s="453"/>
      <c r="K146" s="453"/>
      <c r="L146" s="453"/>
      <c r="M146" s="453"/>
      <c r="N146" s="453"/>
      <c r="O146" s="911"/>
    </row>
    <row r="147" spans="1:15" ht="15.5">
      <c r="A147" s="946" t="s">
        <v>2651</v>
      </c>
      <c r="B147" s="453"/>
      <c r="C147" s="453"/>
      <c r="D147" s="453"/>
      <c r="E147" s="453"/>
      <c r="F147" s="406"/>
      <c r="G147" s="406">
        <f>G145+G146</f>
        <v>-41.038605740000001</v>
      </c>
      <c r="H147" s="453"/>
      <c r="I147" s="453"/>
      <c r="J147" s="453"/>
      <c r="K147" s="453"/>
      <c r="L147" s="453"/>
      <c r="M147" s="453"/>
      <c r="N147" s="453"/>
      <c r="O147" s="911"/>
    </row>
    <row r="148" spans="1:15" ht="15.5" thickBot="1">
      <c r="A148" s="948" t="s">
        <v>2652</v>
      </c>
      <c r="B148" s="453"/>
      <c r="C148" s="453"/>
      <c r="D148" s="453"/>
      <c r="E148" s="453"/>
      <c r="F148" s="453"/>
      <c r="G148" s="171">
        <f>G147*Gdata!G28/1000</f>
        <v>-241.51219477990003</v>
      </c>
      <c r="H148" s="453"/>
      <c r="I148" s="453"/>
      <c r="J148" s="453"/>
      <c r="K148" s="453"/>
      <c r="L148" s="453"/>
      <c r="M148" s="453"/>
      <c r="N148" s="453"/>
      <c r="O148" s="911"/>
    </row>
    <row r="149" spans="1:15" ht="15.5">
      <c r="A149" s="168" t="s">
        <v>733</v>
      </c>
      <c r="B149" s="453"/>
      <c r="C149" s="453"/>
      <c r="D149" s="453"/>
      <c r="E149" s="453"/>
      <c r="F149" s="566"/>
      <c r="G149" s="566">
        <f>VLOOKUP(Inngang!$C$8,'K23'!$A$4:$BM$438,44,FALSE)</f>
        <v>-241.51219477999999</v>
      </c>
      <c r="H149" s="453"/>
      <c r="I149" s="453"/>
      <c r="J149" s="453"/>
      <c r="K149" s="453"/>
      <c r="L149" s="453"/>
      <c r="M149" s="453"/>
      <c r="N149" s="453"/>
      <c r="O149" s="911"/>
    </row>
    <row r="150" spans="1:15">
      <c r="A150" s="453"/>
      <c r="B150" s="453"/>
      <c r="C150" s="453"/>
      <c r="D150" s="453"/>
      <c r="E150" s="453"/>
      <c r="F150" s="453"/>
      <c r="G150" s="453"/>
      <c r="H150" s="453"/>
      <c r="I150" s="453"/>
      <c r="J150" s="453"/>
      <c r="K150" s="453"/>
      <c r="L150" s="453"/>
      <c r="M150" s="453"/>
      <c r="N150" s="453"/>
      <c r="O150" s="911"/>
    </row>
    <row r="151" spans="1:15" ht="15.5">
      <c r="A151" s="167" t="s">
        <v>1977</v>
      </c>
      <c r="B151" s="453"/>
      <c r="C151" s="453"/>
      <c r="D151" s="453"/>
      <c r="E151" s="453"/>
      <c r="F151" s="453"/>
      <c r="G151" s="453"/>
      <c r="H151" s="409">
        <f>SUM(Rskudd!I5:I6)+SUM(Rskudd!I8:I31)</f>
        <v>253495.90926826873</v>
      </c>
      <c r="I151" s="453"/>
      <c r="J151" s="453"/>
      <c r="K151" s="453"/>
      <c r="L151" s="453"/>
      <c r="M151" s="453"/>
      <c r="N151" s="453"/>
      <c r="O151" s="911"/>
    </row>
    <row r="152" spans="1:15" ht="15.5">
      <c r="A152" s="167" t="s">
        <v>1978</v>
      </c>
      <c r="B152" s="453"/>
      <c r="C152" s="453"/>
      <c r="D152" s="453"/>
      <c r="E152" s="453"/>
      <c r="F152" s="453"/>
      <c r="G152" s="453"/>
      <c r="H152" s="409">
        <f>Rskudd!I18+Rskudd!I21</f>
        <v>0</v>
      </c>
      <c r="I152" s="453"/>
      <c r="J152" s="453"/>
      <c r="K152" s="453"/>
      <c r="L152" s="453"/>
      <c r="M152" s="453"/>
      <c r="N152" s="453"/>
      <c r="O152" s="911"/>
    </row>
    <row r="153" spans="1:15" ht="15.5">
      <c r="A153" s="167" t="s">
        <v>1979</v>
      </c>
      <c r="B153" s="453"/>
      <c r="C153" s="453"/>
      <c r="D153" s="453"/>
      <c r="E153" s="453"/>
      <c r="F153" s="453"/>
      <c r="G153" s="453"/>
      <c r="H153" s="409">
        <f>Rskudd!I8+Rskudd!I10+Rskudd!I11</f>
        <v>31540</v>
      </c>
      <c r="I153" s="453"/>
      <c r="J153" s="453"/>
      <c r="K153" s="453"/>
      <c r="L153" s="453"/>
      <c r="M153" s="453"/>
      <c r="N153" s="453"/>
      <c r="O153" s="911"/>
    </row>
    <row r="154" spans="1:15" ht="15.5">
      <c r="A154" s="167" t="s">
        <v>1980</v>
      </c>
      <c r="B154" s="453"/>
      <c r="C154" s="453"/>
      <c r="D154" s="453"/>
      <c r="E154" s="453"/>
      <c r="F154" s="453"/>
      <c r="G154" s="453"/>
      <c r="H154" s="406">
        <f>IF(Inngang!$C$8=3033,0,IF(Inngang!$C$8=3036,0,Rskudd!I11))</f>
        <v>27097</v>
      </c>
      <c r="I154" s="453"/>
      <c r="J154" s="453"/>
      <c r="K154" s="453"/>
      <c r="L154" s="453"/>
      <c r="M154" s="453"/>
      <c r="N154" s="453"/>
      <c r="O154" s="911"/>
    </row>
    <row r="155" spans="1:15" ht="15.5">
      <c r="A155" s="167" t="s">
        <v>1981</v>
      </c>
      <c r="B155" s="453"/>
      <c r="C155" s="453"/>
      <c r="D155" s="453"/>
      <c r="E155" s="453"/>
      <c r="F155" s="453"/>
      <c r="G155" s="453"/>
      <c r="H155" s="406">
        <f>Rskudd!I17</f>
        <v>0</v>
      </c>
      <c r="I155" s="453"/>
      <c r="J155" s="453"/>
      <c r="K155" s="453"/>
      <c r="L155" s="453"/>
      <c r="M155" s="453"/>
      <c r="N155" s="453"/>
      <c r="O155" s="911"/>
    </row>
    <row r="156" spans="1:15" ht="15.5">
      <c r="A156" s="167" t="s">
        <v>2301</v>
      </c>
      <c r="B156" s="453"/>
      <c r="C156" s="453"/>
      <c r="D156" s="453"/>
      <c r="E156" s="453"/>
      <c r="F156" s="453"/>
      <c r="G156" s="453"/>
      <c r="H156" s="406">
        <f>+Rskudd!I16</f>
        <v>0</v>
      </c>
      <c r="I156" s="453"/>
      <c r="J156" s="453"/>
      <c r="K156" s="453"/>
      <c r="L156" s="453"/>
      <c r="M156" s="453"/>
      <c r="N156" s="453"/>
      <c r="O156" s="911"/>
    </row>
    <row r="157" spans="1:15" ht="15.5">
      <c r="A157" s="816" t="s">
        <v>1982</v>
      </c>
      <c r="B157" s="453"/>
      <c r="C157" s="453"/>
      <c r="D157" s="453"/>
      <c r="E157" s="453"/>
      <c r="F157" s="453"/>
      <c r="G157" s="453"/>
      <c r="H157" s="409">
        <f>Rskudd!H11-Rskudd!I11</f>
        <v>0</v>
      </c>
      <c r="I157" s="453"/>
      <c r="J157" s="453"/>
      <c r="K157" s="453"/>
      <c r="L157" s="453"/>
      <c r="M157" s="453"/>
      <c r="N157" s="453"/>
      <c r="O157" s="911"/>
    </row>
    <row r="158" spans="1:15" ht="15.5">
      <c r="A158" s="167" t="s">
        <v>1983</v>
      </c>
      <c r="B158" s="453"/>
      <c r="C158" s="453"/>
      <c r="D158" s="453"/>
      <c r="E158" s="453"/>
      <c r="F158" s="453"/>
      <c r="G158" s="453"/>
      <c r="H158" s="410">
        <f>H151-H152-H153+H154-H155-H156+H157</f>
        <v>249052.90926826873</v>
      </c>
      <c r="I158" s="409">
        <f>H158+H164-H157</f>
        <v>248846.93426826873</v>
      </c>
      <c r="J158" s="453"/>
      <c r="K158" s="453"/>
      <c r="L158" s="453"/>
      <c r="M158" s="453"/>
      <c r="N158" s="453"/>
      <c r="O158" s="911"/>
    </row>
    <row r="159" spans="1:15" ht="16" thickBot="1">
      <c r="A159" s="166" t="s">
        <v>1984</v>
      </c>
      <c r="B159" s="453"/>
      <c r="C159" s="453"/>
      <c r="D159" s="453"/>
      <c r="E159" s="453"/>
      <c r="F159" s="453"/>
      <c r="G159" s="453"/>
      <c r="H159" s="408">
        <f>H158-H142</f>
        <v>3488.6532672986505</v>
      </c>
      <c r="I159" s="453"/>
      <c r="J159" s="453"/>
      <c r="K159" s="453"/>
      <c r="L159" s="453"/>
      <c r="M159" s="453"/>
      <c r="N159" s="453"/>
      <c r="O159" s="911"/>
    </row>
    <row r="160" spans="1:15" ht="15.5">
      <c r="A160" s="167" t="s">
        <v>1985</v>
      </c>
      <c r="B160" s="453"/>
      <c r="C160" s="453"/>
      <c r="D160" s="453"/>
      <c r="E160" s="453"/>
      <c r="F160" s="453"/>
      <c r="G160" s="453"/>
      <c r="H160" s="406">
        <f>H159*1000/Gdata!H28</f>
        <v>592.80429350869167</v>
      </c>
      <c r="I160" s="453"/>
      <c r="J160" s="788" t="s">
        <v>1217</v>
      </c>
      <c r="K160" s="576"/>
      <c r="L160" s="577"/>
      <c r="M160" s="1067"/>
      <c r="N160" s="1067"/>
      <c r="O160" s="911"/>
    </row>
    <row r="161" spans="1:15" ht="15.5">
      <c r="A161" s="191" t="s">
        <v>1986</v>
      </c>
      <c r="B161" s="453"/>
      <c r="C161" s="453"/>
      <c r="D161" s="453"/>
      <c r="E161" s="453"/>
      <c r="F161" s="453"/>
      <c r="G161" s="453"/>
      <c r="H161" s="406">
        <f>IF(H160&lt;J162,J162-H160,0)</f>
        <v>0</v>
      </c>
      <c r="I161" s="453"/>
      <c r="J161" s="578">
        <f>Bregn!I98-Bregn!H98*Gdata!G60/Gdata!H60</f>
        <v>219.66017949364687</v>
      </c>
      <c r="K161" s="787" t="s">
        <v>1218</v>
      </c>
      <c r="L161" s="579"/>
      <c r="M161" s="1067"/>
      <c r="N161" s="1067"/>
      <c r="O161" s="911"/>
    </row>
    <row r="162" spans="1:15" ht="16" thickBot="1">
      <c r="A162" s="167" t="s">
        <v>270</v>
      </c>
      <c r="B162" s="453"/>
      <c r="C162" s="453"/>
      <c r="D162" s="453"/>
      <c r="E162" s="453"/>
      <c r="F162" s="453"/>
      <c r="G162" s="453"/>
      <c r="H162" s="406">
        <f>Gdata!H161</f>
        <v>-35</v>
      </c>
      <c r="I162" s="453"/>
      <c r="J162" s="580">
        <f>J161-400</f>
        <v>-180.33982050635313</v>
      </c>
      <c r="K162" s="789" t="s">
        <v>1219</v>
      </c>
      <c r="L162" s="581"/>
      <c r="M162" s="1067"/>
      <c r="N162" s="1067"/>
      <c r="O162" s="911"/>
    </row>
    <row r="163" spans="1:15" ht="15.5">
      <c r="A163" s="191" t="s">
        <v>1987</v>
      </c>
      <c r="B163" s="453"/>
      <c r="C163" s="453"/>
      <c r="D163" s="453"/>
      <c r="E163" s="453"/>
      <c r="F163" s="453"/>
      <c r="G163" s="453"/>
      <c r="H163" s="406">
        <f>H161+H162</f>
        <v>-35</v>
      </c>
      <c r="I163" s="453"/>
      <c r="J163" s="453"/>
      <c r="K163" s="453"/>
      <c r="L163" s="453"/>
      <c r="M163" s="453"/>
      <c r="N163" s="453"/>
      <c r="O163" s="911"/>
    </row>
    <row r="164" spans="1:15" ht="15.5" thickBot="1">
      <c r="A164" s="170" t="s">
        <v>1988</v>
      </c>
      <c r="B164" s="453"/>
      <c r="C164" s="453"/>
      <c r="D164" s="453"/>
      <c r="E164" s="453"/>
      <c r="F164" s="453"/>
      <c r="G164" s="453"/>
      <c r="H164" s="171">
        <f>H163*Gdata!H28/1000</f>
        <v>-205.97499999999999</v>
      </c>
      <c r="I164" s="453"/>
      <c r="J164" s="453"/>
      <c r="K164" s="453"/>
      <c r="L164" s="453"/>
      <c r="M164" s="453"/>
      <c r="N164" s="453"/>
      <c r="O164" s="911"/>
    </row>
    <row r="165" spans="1:15">
      <c r="A165" s="453"/>
      <c r="B165" s="453"/>
      <c r="C165" s="453"/>
      <c r="D165" s="453"/>
      <c r="E165" s="453"/>
      <c r="F165" s="453"/>
      <c r="G165" s="453"/>
      <c r="H165" s="453"/>
      <c r="I165" s="453"/>
      <c r="J165" s="453"/>
      <c r="K165" s="453"/>
      <c r="L165" s="453"/>
      <c r="M165" s="453"/>
      <c r="N165" s="453"/>
      <c r="O165" s="911"/>
    </row>
    <row r="166" spans="1:15" ht="15.5">
      <c r="A166" s="167" t="s">
        <v>2154</v>
      </c>
      <c r="B166" s="453"/>
      <c r="C166" s="453"/>
      <c r="D166" s="453"/>
      <c r="E166" s="453"/>
      <c r="F166" s="453"/>
      <c r="G166" s="453"/>
      <c r="H166" s="453"/>
      <c r="I166" s="409">
        <f>SUM(Rskudd!J5:J6)+SUM(Rskudd!J8:J31)</f>
        <v>253543.9962169152</v>
      </c>
      <c r="J166" s="453"/>
      <c r="K166" s="453"/>
      <c r="L166" s="453"/>
      <c r="M166" s="453"/>
      <c r="N166" s="453"/>
      <c r="O166" s="911"/>
    </row>
    <row r="167" spans="1:15" ht="15.5">
      <c r="A167" s="167" t="s">
        <v>2302</v>
      </c>
      <c r="B167" s="453"/>
      <c r="C167" s="453"/>
      <c r="D167" s="453"/>
      <c r="E167" s="453"/>
      <c r="F167" s="453"/>
      <c r="G167" s="453"/>
      <c r="H167" s="453"/>
      <c r="I167" s="409">
        <f>Rskudd!J18+Rskudd!J21</f>
        <v>0</v>
      </c>
      <c r="J167" s="453"/>
      <c r="K167" s="453"/>
      <c r="L167" s="453"/>
      <c r="M167" s="453"/>
      <c r="N167" s="453"/>
      <c r="O167" s="911"/>
    </row>
    <row r="168" spans="1:15" ht="15.5">
      <c r="A168" s="167" t="s">
        <v>2303</v>
      </c>
      <c r="B168" s="453"/>
      <c r="C168" s="453"/>
      <c r="D168" s="453"/>
      <c r="E168" s="453"/>
      <c r="F168" s="453"/>
      <c r="G168" s="453"/>
      <c r="H168" s="453"/>
      <c r="I168" s="409">
        <f>Rskudd!J8+Rskudd!J10+Rskudd!J11</f>
        <v>30676</v>
      </c>
      <c r="J168" s="453"/>
      <c r="K168" s="453"/>
      <c r="L168" s="453"/>
      <c r="M168" s="453"/>
      <c r="N168" s="453"/>
      <c r="O168" s="911"/>
    </row>
    <row r="169" spans="1:15" ht="15.5">
      <c r="A169" s="167" t="s">
        <v>2304</v>
      </c>
      <c r="B169" s="453"/>
      <c r="C169" s="453"/>
      <c r="D169" s="453"/>
      <c r="E169" s="453"/>
      <c r="F169" s="453"/>
      <c r="G169" s="453"/>
      <c r="H169" s="453"/>
      <c r="I169" s="406">
        <f>IF(Inngang!$C$8=3033,0,IF(Inngang!$C$8=3036,0,Rskudd!J11))</f>
        <v>27097</v>
      </c>
      <c r="J169" s="453"/>
      <c r="K169" s="453"/>
      <c r="L169" s="453"/>
      <c r="M169" s="453"/>
      <c r="N169" s="453"/>
      <c r="O169" s="911"/>
    </row>
    <row r="170" spans="1:15" ht="15.5">
      <c r="A170" s="167" t="s">
        <v>2305</v>
      </c>
      <c r="B170" s="453"/>
      <c r="C170" s="453"/>
      <c r="D170" s="453"/>
      <c r="E170" s="453"/>
      <c r="F170" s="453"/>
      <c r="G170" s="453"/>
      <c r="H170" s="453"/>
      <c r="I170" s="406">
        <f>Rskudd!J17</f>
        <v>0</v>
      </c>
      <c r="J170" s="453"/>
      <c r="K170" s="453"/>
      <c r="L170" s="453"/>
      <c r="M170" s="453"/>
      <c r="N170" s="453"/>
      <c r="O170" s="911"/>
    </row>
    <row r="171" spans="1:15" ht="15.5">
      <c r="A171" s="167" t="s">
        <v>2451</v>
      </c>
      <c r="B171" s="453"/>
      <c r="C171" s="453"/>
      <c r="D171" s="453"/>
      <c r="E171" s="453"/>
      <c r="F171" s="453"/>
      <c r="G171" s="453"/>
      <c r="H171" s="453"/>
      <c r="I171" s="406">
        <f>+Rskudd!J16</f>
        <v>0</v>
      </c>
      <c r="J171" s="453"/>
      <c r="K171" s="453"/>
      <c r="L171" s="453"/>
      <c r="M171" s="453"/>
      <c r="N171" s="453"/>
      <c r="O171" s="911"/>
    </row>
    <row r="172" spans="1:15" ht="15.5">
      <c r="A172" s="816" t="s">
        <v>2306</v>
      </c>
      <c r="B172" s="453"/>
      <c r="C172" s="453"/>
      <c r="D172" s="453"/>
      <c r="E172" s="453"/>
      <c r="F172" s="453"/>
      <c r="G172" s="453"/>
      <c r="H172" s="453"/>
      <c r="I172" s="409">
        <f>Rskudd!I11-Rskudd!J11</f>
        <v>0</v>
      </c>
      <c r="J172" s="453"/>
      <c r="K172" s="453"/>
      <c r="L172" s="453"/>
      <c r="M172" s="453"/>
      <c r="N172" s="453"/>
      <c r="O172" s="911"/>
    </row>
    <row r="173" spans="1:15" ht="15.5">
      <c r="A173" s="167" t="s">
        <v>2307</v>
      </c>
      <c r="B173" s="453"/>
      <c r="C173" s="453"/>
      <c r="D173" s="453"/>
      <c r="E173" s="453"/>
      <c r="F173" s="453"/>
      <c r="G173" s="453"/>
      <c r="H173" s="453"/>
      <c r="I173" s="410">
        <f>I166-I167-I168+I169-I170-I171+I172</f>
        <v>249964.9962169152</v>
      </c>
      <c r="J173" s="409">
        <f>I173+I179-I172</f>
        <v>249788.44621691521</v>
      </c>
      <c r="K173" s="453"/>
      <c r="L173" s="453"/>
      <c r="M173" s="453"/>
      <c r="N173" s="453"/>
      <c r="O173" s="911"/>
    </row>
    <row r="174" spans="1:15" ht="16" thickBot="1">
      <c r="A174" s="166" t="s">
        <v>2311</v>
      </c>
      <c r="B174" s="453"/>
      <c r="C174" s="453"/>
      <c r="D174" s="453"/>
      <c r="E174" s="453"/>
      <c r="F174" s="453"/>
      <c r="G174" s="453"/>
      <c r="H174" s="453"/>
      <c r="I174" s="408">
        <f>I173-I158</f>
        <v>1118.0619486464711</v>
      </c>
      <c r="J174" s="453"/>
      <c r="K174" s="453"/>
      <c r="L174" s="453"/>
      <c r="M174" s="453"/>
      <c r="N174" s="453"/>
      <c r="O174" s="911"/>
    </row>
    <row r="175" spans="1:15" ht="15.5">
      <c r="A175" s="167" t="s">
        <v>2312</v>
      </c>
      <c r="B175" s="453"/>
      <c r="C175" s="453"/>
      <c r="D175" s="453"/>
      <c r="E175" s="453"/>
      <c r="F175" s="453"/>
      <c r="G175" s="453"/>
      <c r="H175" s="453"/>
      <c r="I175" s="406">
        <f>I174*1000/Gdata!I28</f>
        <v>189.98503800279883</v>
      </c>
      <c r="J175" s="453"/>
      <c r="K175" s="788" t="s">
        <v>1217</v>
      </c>
      <c r="L175" s="576"/>
      <c r="M175" s="577"/>
      <c r="N175" s="1067"/>
      <c r="O175" s="911"/>
    </row>
    <row r="176" spans="1:15" ht="15.5">
      <c r="A176" s="191" t="s">
        <v>2308</v>
      </c>
      <c r="B176" s="453"/>
      <c r="C176" s="453"/>
      <c r="D176" s="453"/>
      <c r="E176" s="453"/>
      <c r="F176" s="453"/>
      <c r="G176" s="453"/>
      <c r="H176" s="453"/>
      <c r="I176" s="406">
        <f>IF(I175&lt;K177,K177-I175,0)</f>
        <v>0</v>
      </c>
      <c r="J176" s="453"/>
      <c r="K176" s="578">
        <f>Bregn!J98-Bregn!I98*Gdata!H60/Gdata!I60</f>
        <v>166.41942178147656</v>
      </c>
      <c r="L176" s="787" t="s">
        <v>1218</v>
      </c>
      <c r="M176" s="579"/>
      <c r="N176" s="1067"/>
      <c r="O176" s="911"/>
    </row>
    <row r="177" spans="1:15" ht="16" thickBot="1">
      <c r="A177" s="167" t="s">
        <v>270</v>
      </c>
      <c r="B177" s="453"/>
      <c r="C177" s="453"/>
      <c r="D177" s="453"/>
      <c r="E177" s="453"/>
      <c r="F177" s="453"/>
      <c r="G177" s="453"/>
      <c r="H177" s="453"/>
      <c r="I177" s="406">
        <f>Gdata!I161</f>
        <v>-30</v>
      </c>
      <c r="J177" s="453"/>
      <c r="K177" s="580">
        <f>K176-400</f>
        <v>-233.58057821852344</v>
      </c>
      <c r="L177" s="789" t="s">
        <v>1219</v>
      </c>
      <c r="M177" s="581"/>
      <c r="N177" s="1067"/>
      <c r="O177" s="911"/>
    </row>
    <row r="178" spans="1:15" ht="15.5">
      <c r="A178" s="191" t="s">
        <v>2309</v>
      </c>
      <c r="B178" s="453"/>
      <c r="C178" s="453"/>
      <c r="D178" s="453"/>
      <c r="E178" s="453"/>
      <c r="F178" s="453"/>
      <c r="G178" s="453"/>
      <c r="H178" s="453"/>
      <c r="I178" s="406">
        <f>I176+I177</f>
        <v>-30</v>
      </c>
      <c r="J178" s="453"/>
      <c r="K178" s="453"/>
      <c r="L178" s="453"/>
      <c r="M178" s="453"/>
      <c r="N178" s="453"/>
      <c r="O178" s="911"/>
    </row>
    <row r="179" spans="1:15" ht="15.5" thickBot="1">
      <c r="A179" s="170" t="s">
        <v>2310</v>
      </c>
      <c r="B179" s="453"/>
      <c r="C179" s="453"/>
      <c r="D179" s="453"/>
      <c r="E179" s="453"/>
      <c r="F179" s="453"/>
      <c r="G179" s="453"/>
      <c r="H179" s="453"/>
      <c r="I179" s="171">
        <f>I178*Gdata!I28/1000</f>
        <v>-176.55</v>
      </c>
      <c r="J179" s="453"/>
      <c r="K179" s="453"/>
      <c r="L179" s="453"/>
      <c r="M179" s="453"/>
      <c r="N179" s="453"/>
      <c r="O179" s="911"/>
    </row>
    <row r="180" spans="1:15">
      <c r="A180" s="453"/>
      <c r="B180" s="453"/>
      <c r="C180" s="453"/>
      <c r="D180" s="453"/>
      <c r="E180" s="453"/>
      <c r="F180" s="453"/>
      <c r="G180" s="453"/>
      <c r="H180" s="453"/>
      <c r="I180" s="453"/>
      <c r="J180" s="453"/>
      <c r="K180" s="453"/>
      <c r="L180" s="453"/>
      <c r="M180" s="453"/>
      <c r="N180" s="453"/>
      <c r="O180" s="911"/>
    </row>
    <row r="181" spans="1:15" ht="15.5">
      <c r="A181" s="167" t="s">
        <v>2445</v>
      </c>
      <c r="B181" s="453"/>
      <c r="C181" s="453"/>
      <c r="D181" s="453"/>
      <c r="E181" s="453"/>
      <c r="F181" s="453"/>
      <c r="G181" s="453"/>
      <c r="H181" s="453"/>
      <c r="I181" s="453"/>
      <c r="J181" s="409">
        <f>SUM(Rskudd!K5:K6)+SUM(Rskudd!K8:K31)</f>
        <v>253547.87357303622</v>
      </c>
      <c r="K181" s="453"/>
      <c r="L181" s="453"/>
      <c r="M181" s="453"/>
      <c r="N181" s="453"/>
      <c r="O181" s="911"/>
    </row>
    <row r="182" spans="1:15" ht="15.5">
      <c r="A182" s="167" t="s">
        <v>2446</v>
      </c>
      <c r="B182" s="453"/>
      <c r="C182" s="453"/>
      <c r="D182" s="453"/>
      <c r="E182" s="453"/>
      <c r="F182" s="453"/>
      <c r="G182" s="453"/>
      <c r="H182" s="453"/>
      <c r="I182" s="453"/>
      <c r="J182" s="409">
        <f>Rskudd!K18+Rskudd!K21</f>
        <v>0</v>
      </c>
      <c r="K182" s="453"/>
      <c r="L182" s="453"/>
      <c r="M182" s="453"/>
      <c r="N182" s="453"/>
      <c r="O182" s="911"/>
    </row>
    <row r="183" spans="1:15" ht="15.5">
      <c r="A183" s="167" t="s">
        <v>2447</v>
      </c>
      <c r="B183" s="453"/>
      <c r="C183" s="453"/>
      <c r="D183" s="453"/>
      <c r="E183" s="453"/>
      <c r="F183" s="453"/>
      <c r="G183" s="453"/>
      <c r="H183" s="453"/>
      <c r="I183" s="453"/>
      <c r="J183" s="409">
        <f>Rskudd!K8+Rskudd!K10+Rskudd!K11</f>
        <v>30676</v>
      </c>
      <c r="K183" s="453"/>
      <c r="L183" s="453"/>
      <c r="M183" s="453"/>
      <c r="N183" s="453"/>
      <c r="O183" s="911"/>
    </row>
    <row r="184" spans="1:15" ht="15.5">
      <c r="A184" s="167" t="s">
        <v>2448</v>
      </c>
      <c r="B184" s="453"/>
      <c r="C184" s="453"/>
      <c r="D184" s="453"/>
      <c r="E184" s="453"/>
      <c r="F184" s="453"/>
      <c r="G184" s="453"/>
      <c r="H184" s="453"/>
      <c r="I184" s="453"/>
      <c r="J184" s="406">
        <f>IF(Inngang!$C$8=3033,0,IF(Inngang!$C$8=3036,0,Rskudd!K11))</f>
        <v>27097</v>
      </c>
      <c r="K184" s="453"/>
      <c r="L184" s="453"/>
      <c r="M184" s="453"/>
      <c r="N184" s="453"/>
      <c r="O184" s="911"/>
    </row>
    <row r="185" spans="1:15" ht="15.5">
      <c r="A185" s="167" t="s">
        <v>2449</v>
      </c>
      <c r="B185" s="453"/>
      <c r="C185" s="453"/>
      <c r="D185" s="453"/>
      <c r="E185" s="453"/>
      <c r="F185" s="453"/>
      <c r="G185" s="453"/>
      <c r="H185" s="453"/>
      <c r="I185" s="453"/>
      <c r="J185" s="406">
        <f>Rskudd!K17</f>
        <v>0</v>
      </c>
      <c r="K185" s="453"/>
      <c r="L185" s="453"/>
      <c r="M185" s="453"/>
      <c r="N185" s="453"/>
      <c r="O185" s="911"/>
    </row>
    <row r="186" spans="1:15" ht="15.5">
      <c r="A186" s="167" t="s">
        <v>2450</v>
      </c>
      <c r="B186" s="453"/>
      <c r="C186" s="453"/>
      <c r="D186" s="453"/>
      <c r="E186" s="453"/>
      <c r="F186" s="453"/>
      <c r="G186" s="453"/>
      <c r="H186" s="453"/>
      <c r="I186" s="453"/>
      <c r="J186" s="406">
        <f>+Rskudd!K16</f>
        <v>0</v>
      </c>
      <c r="K186" s="453"/>
      <c r="L186" s="453"/>
      <c r="M186" s="453"/>
      <c r="N186" s="453"/>
      <c r="O186" s="911"/>
    </row>
    <row r="187" spans="1:15" ht="15.5">
      <c r="A187" s="816" t="s">
        <v>2452</v>
      </c>
      <c r="B187" s="453"/>
      <c r="C187" s="453"/>
      <c r="D187" s="453"/>
      <c r="E187" s="453"/>
      <c r="F187" s="453"/>
      <c r="G187" s="453"/>
      <c r="H187" s="453"/>
      <c r="I187" s="453"/>
      <c r="J187" s="409">
        <f>Rskudd!J11-Rskudd!K11</f>
        <v>0</v>
      </c>
      <c r="K187" s="453"/>
      <c r="L187" s="453"/>
      <c r="M187" s="453"/>
      <c r="N187" s="453"/>
      <c r="O187" s="911"/>
    </row>
    <row r="188" spans="1:15" ht="15.5">
      <c r="A188" s="167" t="s">
        <v>2453</v>
      </c>
      <c r="B188" s="453"/>
      <c r="C188" s="453"/>
      <c r="D188" s="453"/>
      <c r="E188" s="453"/>
      <c r="F188" s="453"/>
      <c r="G188" s="453"/>
      <c r="H188" s="453"/>
      <c r="I188" s="453"/>
      <c r="J188" s="410">
        <f>J181-J182-J183+J184-J185-J186+J187</f>
        <v>249968.87357303622</v>
      </c>
      <c r="K188" s="453"/>
      <c r="L188" s="453"/>
      <c r="M188" s="453"/>
      <c r="N188" s="453"/>
      <c r="O188" s="911"/>
    </row>
    <row r="189" spans="1:15" ht="16" thickBot="1">
      <c r="A189" s="166" t="s">
        <v>2454</v>
      </c>
      <c r="B189" s="453"/>
      <c r="C189" s="453"/>
      <c r="D189" s="453"/>
      <c r="E189" s="453"/>
      <c r="F189" s="453"/>
      <c r="G189" s="453"/>
      <c r="H189" s="453"/>
      <c r="I189" s="453"/>
      <c r="J189" s="408">
        <f>J188-J173</f>
        <v>180.42735612101387</v>
      </c>
      <c r="K189" s="453"/>
      <c r="L189" s="453"/>
      <c r="M189" s="453"/>
      <c r="N189" s="453"/>
      <c r="O189" s="911"/>
    </row>
    <row r="190" spans="1:15" ht="15.5">
      <c r="A190" s="167" t="s">
        <v>2455</v>
      </c>
      <c r="B190" s="453"/>
      <c r="C190" s="453"/>
      <c r="D190" s="453"/>
      <c r="E190" s="453"/>
      <c r="F190" s="453"/>
      <c r="G190" s="453"/>
      <c r="H190" s="453"/>
      <c r="I190" s="453"/>
      <c r="J190" s="406">
        <f>J189*1000/Gdata!J28</f>
        <v>30.658854056247048</v>
      </c>
      <c r="K190" s="453"/>
      <c r="L190" s="788" t="s">
        <v>1217</v>
      </c>
      <c r="M190" s="576"/>
      <c r="N190" s="577"/>
      <c r="O190" s="911"/>
    </row>
    <row r="191" spans="1:15" ht="15.5">
      <c r="A191" s="191" t="s">
        <v>2456</v>
      </c>
      <c r="B191" s="453"/>
      <c r="C191" s="453"/>
      <c r="D191" s="453"/>
      <c r="E191" s="453"/>
      <c r="F191" s="453"/>
      <c r="G191" s="453"/>
      <c r="H191" s="453"/>
      <c r="I191" s="453"/>
      <c r="J191" s="406">
        <f>IF(J190&lt;L192,L192-J190,0)</f>
        <v>0</v>
      </c>
      <c r="K191" s="453"/>
      <c r="L191" s="578">
        <f>Bregn!K98-Bregn!J98*Gdata!I60/Gdata!J60</f>
        <v>0.59317693929187953</v>
      </c>
      <c r="M191" s="787" t="s">
        <v>1218</v>
      </c>
      <c r="N191" s="579"/>
      <c r="O191" s="911"/>
    </row>
    <row r="192" spans="1:15" ht="16" thickBot="1">
      <c r="A192" s="167" t="s">
        <v>270</v>
      </c>
      <c r="B192" s="453"/>
      <c r="C192" s="453"/>
      <c r="D192" s="453"/>
      <c r="E192" s="453"/>
      <c r="F192" s="453"/>
      <c r="G192" s="453"/>
      <c r="H192" s="453"/>
      <c r="I192" s="453"/>
      <c r="J192" s="406">
        <f>Gdata!J161</f>
        <v>-30</v>
      </c>
      <c r="K192" s="453"/>
      <c r="L192" s="580">
        <f>L191-400</f>
        <v>-399.40682306070812</v>
      </c>
      <c r="M192" s="789" t="s">
        <v>1219</v>
      </c>
      <c r="N192" s="581"/>
      <c r="O192" s="911"/>
    </row>
    <row r="193" spans="1:15" ht="15.5">
      <c r="A193" s="191" t="s">
        <v>2457</v>
      </c>
      <c r="B193" s="453"/>
      <c r="C193" s="453"/>
      <c r="D193" s="453"/>
      <c r="E193" s="453"/>
      <c r="F193" s="453"/>
      <c r="G193" s="453"/>
      <c r="H193" s="453"/>
      <c r="I193" s="453"/>
      <c r="J193" s="406">
        <f>J191+J192</f>
        <v>-30</v>
      </c>
      <c r="K193" s="453"/>
      <c r="L193" s="453"/>
      <c r="M193" s="453"/>
      <c r="N193" s="453"/>
      <c r="O193" s="911"/>
    </row>
    <row r="194" spans="1:15" ht="15.5" thickBot="1">
      <c r="A194" s="170" t="s">
        <v>2458</v>
      </c>
      <c r="B194" s="453"/>
      <c r="C194" s="453"/>
      <c r="D194" s="453"/>
      <c r="E194" s="453"/>
      <c r="F194" s="453"/>
      <c r="G194" s="453"/>
      <c r="H194" s="453"/>
      <c r="I194" s="453"/>
      <c r="J194" s="171">
        <f>J193*Gdata!J28/1000</f>
        <v>-176.55</v>
      </c>
      <c r="K194" s="453"/>
      <c r="L194" s="453"/>
      <c r="M194" s="453"/>
      <c r="N194" s="453"/>
      <c r="O194" s="911"/>
    </row>
    <row r="195" spans="1:15">
      <c r="A195" s="453"/>
      <c r="B195" s="453"/>
      <c r="C195" s="453"/>
      <c r="D195" s="453"/>
      <c r="E195" s="453"/>
      <c r="F195" s="453"/>
      <c r="G195" s="453"/>
      <c r="H195" s="453"/>
      <c r="I195" s="453"/>
      <c r="J195" s="453"/>
      <c r="K195" s="453"/>
      <c r="L195" s="453"/>
      <c r="M195" s="453"/>
      <c r="N195" s="453"/>
      <c r="O195" s="911"/>
    </row>
    <row r="196" spans="1:15">
      <c r="A196" s="453"/>
      <c r="B196" s="453"/>
      <c r="C196" s="453"/>
      <c r="D196" s="453"/>
      <c r="E196" s="453"/>
      <c r="F196" s="453"/>
      <c r="G196" s="453"/>
      <c r="H196" s="453"/>
      <c r="I196" s="453"/>
      <c r="J196" s="453"/>
      <c r="K196" s="453"/>
      <c r="L196" s="453"/>
      <c r="M196" s="453"/>
      <c r="N196" s="453"/>
      <c r="O196" s="911"/>
    </row>
    <row r="197" spans="1:15" ht="13">
      <c r="A197" s="165"/>
      <c r="B197" s="165"/>
      <c r="C197" s="165"/>
      <c r="D197" s="165"/>
      <c r="E197" s="165"/>
      <c r="F197" s="165"/>
      <c r="G197" s="165"/>
      <c r="H197" s="165"/>
      <c r="I197" s="165"/>
      <c r="J197" s="165"/>
      <c r="K197" s="165"/>
      <c r="L197" s="165"/>
      <c r="M197" s="165"/>
      <c r="N197" s="165"/>
      <c r="O197" s="911"/>
    </row>
    <row r="198" spans="1:15" ht="13">
      <c r="A198" s="165"/>
      <c r="B198" s="165"/>
      <c r="C198" s="165"/>
      <c r="D198" s="165"/>
      <c r="E198" s="165"/>
      <c r="F198" s="165"/>
      <c r="G198" s="165"/>
      <c r="H198" s="165"/>
      <c r="I198" s="165"/>
      <c r="J198" s="165"/>
      <c r="K198" s="165"/>
      <c r="L198" s="165"/>
      <c r="M198" s="165"/>
      <c r="N198" s="165"/>
      <c r="O198" s="911"/>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P138"/>
  <sheetViews>
    <sheetView zoomScale="90" zoomScaleNormal="90" workbookViewId="0">
      <pane xSplit="1" ySplit="4" topLeftCell="B36" activePane="bottomRight" state="frozenSplit"/>
      <selection activeCell="J9" sqref="J9"/>
      <selection pane="topRight" activeCell="J9" sqref="J9"/>
      <selection pane="bottomLeft" activeCell="J9" sqref="J9"/>
      <selection pane="bottomRight" activeCell="J66" sqref="J66"/>
    </sheetView>
  </sheetViews>
  <sheetFormatPr baseColWidth="10" defaultColWidth="9.1796875" defaultRowHeight="13"/>
  <cols>
    <col min="1" max="1" width="55.26953125" style="37" customWidth="1"/>
    <col min="2" max="2" width="17" style="37" customWidth="1"/>
    <col min="3" max="4" width="12.54296875" style="37" bestFit="1" customWidth="1"/>
    <col min="5" max="5" width="13.1796875" style="37" customWidth="1"/>
    <col min="6" max="10" width="12.54296875" style="37" bestFit="1" customWidth="1"/>
    <col min="11" max="11" width="12.54296875" style="37" customWidth="1"/>
    <col min="12" max="12" width="11.81640625" style="37" bestFit="1" customWidth="1"/>
    <col min="13" max="13" width="11.54296875" style="37" bestFit="1" customWidth="1"/>
    <col min="14" max="14" width="10.81640625" style="37" bestFit="1" customWidth="1"/>
    <col min="15" max="16384" width="9.1796875" style="37"/>
  </cols>
  <sheetData>
    <row r="1" spans="1:11">
      <c r="A1" s="229" t="str">
        <f>Gdata!C3</f>
        <v>HEIM (FRA 1.1.2020)</v>
      </c>
      <c r="B1" s="35"/>
      <c r="C1" s="35"/>
      <c r="D1" s="35"/>
      <c r="E1" s="35"/>
      <c r="F1" s="35"/>
      <c r="G1" s="35"/>
      <c r="H1" s="174"/>
      <c r="I1" s="174"/>
      <c r="J1" s="174"/>
      <c r="K1" s="174" t="s">
        <v>719</v>
      </c>
    </row>
    <row r="2" spans="1:11" s="36" customFormat="1">
      <c r="A2" s="65"/>
      <c r="C2" s="443"/>
      <c r="D2" s="443"/>
      <c r="E2" s="498"/>
      <c r="F2" s="498"/>
      <c r="G2" s="498"/>
      <c r="H2" s="498"/>
      <c r="I2" s="498"/>
      <c r="J2" s="498"/>
      <c r="K2" s="498"/>
    </row>
    <row r="3" spans="1:11" ht="20">
      <c r="A3" s="1075" t="s">
        <v>749</v>
      </c>
      <c r="B3" s="64"/>
      <c r="C3" s="64"/>
      <c r="D3" s="64"/>
      <c r="E3" s="64"/>
      <c r="F3" s="64"/>
      <c r="G3" s="64"/>
      <c r="H3" s="64"/>
      <c r="I3" s="64"/>
      <c r="J3" s="64"/>
      <c r="K3" s="64"/>
    </row>
    <row r="4" spans="1:11">
      <c r="A4" s="110"/>
      <c r="B4" s="47"/>
      <c r="C4" s="1092">
        <f>+Gdata!B90</f>
        <v>2018</v>
      </c>
      <c r="D4" s="1092">
        <f>+Gdata!C90</f>
        <v>2019</v>
      </c>
      <c r="E4" s="1092">
        <f>+Gdata!D90</f>
        <v>2020</v>
      </c>
      <c r="F4" s="1092">
        <f>+Gdata!E90</f>
        <v>2021</v>
      </c>
      <c r="G4" s="1092">
        <f>+Gdata!F90</f>
        <v>2022</v>
      </c>
      <c r="H4" s="1092">
        <f>+Gdata!G90</f>
        <v>2023</v>
      </c>
      <c r="I4" s="228">
        <f>+Gdata!H90</f>
        <v>2024</v>
      </c>
      <c r="J4" s="228">
        <f>+Gdata!I90</f>
        <v>2025</v>
      </c>
      <c r="K4" s="228">
        <f>+Gdata!J90</f>
        <v>2026</v>
      </c>
    </row>
    <row r="5" spans="1:11" ht="20.5">
      <c r="A5" s="1272" t="s">
        <v>1355</v>
      </c>
      <c r="B5" s="1272"/>
      <c r="C5" s="231" t="e">
        <f>(VLOOKUP(Gdata!B3,'K18'!$A$4:$CU$444,44,FALSE))</f>
        <v>#N/A</v>
      </c>
      <c r="D5" s="231" t="e">
        <f>(VLOOKUP(Gdata!B3,'K19'!$A$4:$CU$444,44,FALSE))</f>
        <v>#N/A</v>
      </c>
      <c r="E5" s="231">
        <f>(VLOOKUP(Gdata!B3,'K20'!$A$4:$CU$450,44,FALSE))</f>
        <v>-322.43866600000001</v>
      </c>
      <c r="F5" s="231">
        <f>(VLOOKUP(Gdata!B3,'K21'!$A$4:$DB$452,44,FALSE))</f>
        <v>-223.95529289999999</v>
      </c>
      <c r="G5" s="231">
        <f>(VLOOKUP(Gdata!B3,'K22'!$A$4:$DO$450,44,FALSE))</f>
        <v>-285.82580510000003</v>
      </c>
      <c r="H5" s="231">
        <f>(VLOOKUP(Gdata!$B3,'K23'!$A$4:$DO$450,44,FALSE))</f>
        <v>-241.51219477999999</v>
      </c>
      <c r="I5" s="498"/>
      <c r="J5" s="36"/>
      <c r="K5" s="36"/>
    </row>
    <row r="6" spans="1:11">
      <c r="A6" s="227" t="s">
        <v>997</v>
      </c>
      <c r="B6" s="227"/>
      <c r="C6" s="498"/>
      <c r="D6" s="498"/>
      <c r="E6" s="498"/>
      <c r="F6" s="498"/>
      <c r="G6" s="498"/>
      <c r="H6" s="498"/>
      <c r="I6" s="498"/>
      <c r="J6" s="36"/>
      <c r="K6" s="36"/>
    </row>
    <row r="7" spans="1:11" ht="20">
      <c r="A7" s="68" t="s">
        <v>753</v>
      </c>
      <c r="B7" s="230"/>
      <c r="C7" s="1093">
        <f t="shared" ref="C7:F7" si="0">C4</f>
        <v>2018</v>
      </c>
      <c r="D7" s="1093">
        <f t="shared" si="0"/>
        <v>2019</v>
      </c>
      <c r="E7" s="1093">
        <f t="shared" si="0"/>
        <v>2020</v>
      </c>
      <c r="F7" s="1093">
        <f t="shared" si="0"/>
        <v>2021</v>
      </c>
      <c r="G7" s="1093">
        <f t="shared" ref="G7:K7" si="1">G4</f>
        <v>2022</v>
      </c>
      <c r="H7" s="219">
        <f t="shared" si="1"/>
        <v>2023</v>
      </c>
      <c r="I7" s="219">
        <f t="shared" si="1"/>
        <v>2024</v>
      </c>
      <c r="J7" s="219">
        <f t="shared" si="1"/>
        <v>2025</v>
      </c>
      <c r="K7" s="219">
        <f t="shared" si="1"/>
        <v>2026</v>
      </c>
    </row>
    <row r="8" spans="1:11" ht="14">
      <c r="A8" s="232"/>
      <c r="B8" s="305"/>
      <c r="C8" s="504"/>
      <c r="D8" s="504"/>
      <c r="E8" s="612"/>
      <c r="F8" s="498"/>
      <c r="G8" s="498"/>
      <c r="H8" s="498"/>
      <c r="I8" s="498"/>
      <c r="J8" s="36"/>
      <c r="K8" s="36"/>
    </row>
    <row r="9" spans="1:11" s="819" customFormat="1" ht="28">
      <c r="A9" s="1148" t="s">
        <v>2469</v>
      </c>
      <c r="B9" s="1149"/>
      <c r="C9" s="804"/>
      <c r="D9" s="804"/>
      <c r="E9" s="1094">
        <f>VLOOKUP(Inngang!$C$8,'K20'!$A$4:$BV$359,30,FALSE)+VLOOKUP(Inngang!$C$8,'K20'!$A$4:$BV$359,62,FALSE)+VLOOKUP(Inngang!$C$8,'K20'!$A$4:$BV$359,66,FALSE)+VLOOKUP(Inngang!$C$8,'K20'!$A$4:$BV$359,67,FALSE)+VLOOKUP(Inngang!$C$8,'K20'!$A$4:$BV$359,69,FALSE)+VLOOKUP(Inngang!$C$8,'K20'!$A$4:$BV$359,71,FALSE)+VLOOKUP(Inngang!$C$8,'K20'!$A$4:$BV$359,74,FALSE)</f>
        <v>6668</v>
      </c>
      <c r="F9" s="1094">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1150"/>
      <c r="H9" s="1150"/>
      <c r="I9" s="1150"/>
      <c r="J9" s="818"/>
      <c r="K9" s="818"/>
    </row>
    <row r="10" spans="1:11" ht="14">
      <c r="A10" s="232"/>
      <c r="B10" s="305"/>
      <c r="C10" s="504"/>
      <c r="D10" s="504"/>
      <c r="E10" s="612"/>
      <c r="F10" s="498"/>
      <c r="G10" s="498"/>
      <c r="H10" s="498"/>
      <c r="I10" s="498"/>
      <c r="J10" s="36"/>
      <c r="K10" s="36"/>
    </row>
    <row r="11" spans="1:11" ht="28">
      <c r="A11" s="850" t="s">
        <v>2470</v>
      </c>
      <c r="B11" s="305"/>
      <c r="C11" s="804" t="e">
        <f>+(VLOOKUP(Gdata!B3,'K18'!$A$4:$BM$429,37,FALSE))+(VLOOKUP(Gdata!B3,'K18'!$A$4:$BM$429,45,FALSE))+(VLOOKUP(Gdata!B3,'K18'!$A$4:$BM$429,60,FALSE))</f>
        <v>#N/A</v>
      </c>
      <c r="D11" s="804" t="e">
        <f>VLOOKUP(Inngang!C8,'K19'!$A$4:$BU$425,60,FALSE)+VLOOKUP(Inngang!C8,'K19'!$A$4:$BU$425,59,FALSE)+VLOOKUP(Inngang!C8,'K19'!$A$4:$BU$425,62,FALSE)</f>
        <v>#N/A</v>
      </c>
      <c r="E11" s="498"/>
      <c r="F11" s="804">
        <f>VLOOKUP(Inngang!$C$8,'K21'!$A$4:$BV$359,62,FALSE)+VLOOKUP(Inngang!$C$8,'K21'!$A$4:$BV$359,63,FALSE)+VLOOKUP(Inngang!$C$8,'K21'!$A$4:$BV$359,66,FALSE)+VLOOKUP(Inngang!$C$8,'K21'!$A$4:$BV$359,67,FALSE)</f>
        <v>372</v>
      </c>
      <c r="G11" s="498"/>
      <c r="H11" s="498"/>
      <c r="I11" s="498"/>
      <c r="J11" s="36"/>
      <c r="K11" s="36"/>
    </row>
    <row r="12" spans="1:11" ht="14">
      <c r="A12" s="232" t="s">
        <v>1483</v>
      </c>
      <c r="B12" s="305"/>
      <c r="C12" s="504" t="e">
        <f>+(VLOOKUP(Gdata!B3,'K18'!$A$4:$BM$429,56,FALSE))+(VLOOKUP(Gdata!B3,'K18'!$A$4:$BM$429,59,FALSE))+(VLOOKUP(Gdata!B3,'K18'!$A$4:$BM$429,49,FALSE))+(VLOOKUP(Gdata!B3,'K18'!$A$4:$BM$429,62,FALSE))+(VLOOKUP(Gdata!B3,'K18'!$A$4:$BM$429,63,FALSE))</f>
        <v>#N/A</v>
      </c>
      <c r="D12" s="504"/>
      <c r="E12" s="498"/>
      <c r="F12" s="498"/>
      <c r="G12" s="498"/>
      <c r="H12" s="498"/>
      <c r="I12" s="498"/>
      <c r="J12" s="36"/>
      <c r="K12" s="36"/>
    </row>
    <row r="13" spans="1:11" ht="28">
      <c r="A13" s="850" t="s">
        <v>2472</v>
      </c>
      <c r="B13" s="305"/>
      <c r="C13" s="804" t="e">
        <f>+(VLOOKUP(Gdata!B3,'K18'!$A$4:$BT$429,72,FALSE))</f>
        <v>#N/A</v>
      </c>
      <c r="D13" s="967" t="e">
        <f>VLOOKUP(Inngang!C8,'K19'!$A$4:$BU$425,56,FALSE)</f>
        <v>#N/A</v>
      </c>
      <c r="E13" s="1094">
        <f>VLOOKUP(Inngang!$C$8,'K20'!$A$4:$BV$359,56,FALSE)+VLOOKUP(Inngang!$C$8,'K20'!$A$4:$BV$359,59,FALSE)+VLOOKUP(Inngang!$C$8,'K20'!$A$4:$BV$359,60,FALSE)+VLOOKUP(Inngang!$C$8,'K20'!$A$4:$BV$359,68,FALSE)+VLOOKUP(Inngang!$C$8,'K20'!$A$4:$BV$359,70,FALSE)</f>
        <v>959</v>
      </c>
      <c r="F13" s="1094">
        <f>VLOOKUP(Inngang!$C$8,'K21'!$A$4:$BV$359,71,FALSE)+VLOOKUP(Inngang!$C$8,'K21'!$A$4:$BV$359,74,FALSE)</f>
        <v>226</v>
      </c>
      <c r="G13" s="498"/>
      <c r="H13" s="498"/>
      <c r="I13" s="498"/>
      <c r="J13" s="36"/>
      <c r="K13" s="36"/>
    </row>
    <row r="14" spans="1:11" ht="14">
      <c r="A14" s="232" t="s">
        <v>2473</v>
      </c>
      <c r="B14" s="305"/>
      <c r="C14" s="504" t="e">
        <f>+(VLOOKUP(Gdata!B3,'K18'!$A$4:$BT$429,19,FALSE))</f>
        <v>#N/A</v>
      </c>
      <c r="D14" s="504"/>
      <c r="E14" s="498"/>
      <c r="F14" s="498"/>
      <c r="G14" s="498"/>
      <c r="H14" s="498"/>
      <c r="I14" s="498"/>
      <c r="J14" s="36"/>
      <c r="K14" s="36"/>
    </row>
    <row r="15" spans="1:11" ht="14">
      <c r="A15" s="232" t="s">
        <v>2474</v>
      </c>
      <c r="B15" s="305"/>
      <c r="C15" s="504" t="e">
        <f>+(VLOOKUP(Gdata!B3,'K18'!$A$4:$BV$429,74,FALSE))</f>
        <v>#N/A</v>
      </c>
      <c r="D15" s="504"/>
      <c r="E15" s="498"/>
      <c r="F15" s="504">
        <f>VLOOKUP(Inngang!$C$8,'K21'!$A$4:$CT$359,82,FALSE)+VLOOKUP(Inngang!$C$8,'K21'!$A$4:$CT$359,81,FALSE)</f>
        <v>0</v>
      </c>
      <c r="G15" s="498"/>
      <c r="H15" s="498"/>
      <c r="I15" s="498"/>
      <c r="J15" s="36"/>
      <c r="K15" s="36"/>
    </row>
    <row r="16" spans="1:11" ht="14">
      <c r="A16" s="232"/>
      <c r="B16" s="305"/>
      <c r="C16" s="493"/>
      <c r="D16" s="493"/>
      <c r="E16" s="498"/>
      <c r="F16" s="498"/>
      <c r="G16" s="498"/>
      <c r="H16" s="498"/>
      <c r="I16" s="498"/>
      <c r="J16" s="36"/>
      <c r="K16" s="36"/>
    </row>
    <row r="17" spans="1:16" ht="14">
      <c r="A17" s="1051" t="s">
        <v>2332</v>
      </c>
      <c r="B17" s="1050"/>
      <c r="C17" s="504"/>
      <c r="D17" s="504"/>
      <c r="E17" s="504"/>
      <c r="F17" s="504"/>
      <c r="G17" s="504"/>
      <c r="H17" s="504"/>
      <c r="I17" s="504"/>
      <c r="J17" s="36"/>
      <c r="K17" s="36"/>
    </row>
    <row r="18" spans="1:16" ht="28">
      <c r="A18" s="1049" t="s">
        <v>2326</v>
      </c>
      <c r="B18" s="1050"/>
      <c r="C18" s="504"/>
      <c r="D18" s="504"/>
      <c r="E18" s="504"/>
      <c r="F18" s="504"/>
      <c r="G18" s="785">
        <f>VLOOKUP(Inngang!$C$8,'K22'!$A$4:$BV$359,66,FALSE)</f>
        <v>2438.1982600000001</v>
      </c>
      <c r="H18" s="785"/>
      <c r="I18" s="785"/>
      <c r="J18" s="785"/>
      <c r="K18" s="785"/>
    </row>
    <row r="19" spans="1:16" ht="14">
      <c r="A19" s="1049" t="s">
        <v>2328</v>
      </c>
      <c r="B19" s="1050"/>
      <c r="C19" s="504"/>
      <c r="D19" s="504"/>
      <c r="E19" s="504"/>
      <c r="F19" s="504"/>
      <c r="G19" s="785">
        <f>VLOOKUP(Inngang!$C$8,'K22'!$A$4:$BV$359,68,FALSE)</f>
        <v>298.80799999999999</v>
      </c>
      <c r="H19" s="785"/>
      <c r="I19" s="785"/>
      <c r="J19" s="785"/>
      <c r="K19" s="785"/>
    </row>
    <row r="20" spans="1:16" ht="14">
      <c r="A20" s="1049" t="s">
        <v>2329</v>
      </c>
      <c r="B20" s="1050"/>
      <c r="C20" s="504"/>
      <c r="D20" s="504"/>
      <c r="E20" s="504"/>
      <c r="F20" s="504"/>
      <c r="G20" s="785">
        <f>VLOOKUP(Inngang!$C$8,'K22'!$A$4:$BV$359,69,FALSE)</f>
        <v>-160.24799999999999</v>
      </c>
      <c r="H20" s="785"/>
      <c r="I20" s="785"/>
      <c r="J20" s="785"/>
      <c r="K20" s="785"/>
    </row>
    <row r="21" spans="1:16" ht="14">
      <c r="A21" s="1124" t="s">
        <v>2330</v>
      </c>
      <c r="B21" s="1050"/>
      <c r="C21" s="504"/>
      <c r="D21" s="504"/>
      <c r="E21" s="504"/>
      <c r="F21" s="504"/>
      <c r="G21" s="785">
        <f>VLOOKUP(Inngang!$C$8,'K22'!$A$4:$BV$359,70,FALSE)</f>
        <v>-114.98532995368032</v>
      </c>
      <c r="H21" s="785"/>
      <c r="I21" s="785"/>
      <c r="J21" s="785"/>
      <c r="K21" s="785"/>
    </row>
    <row r="22" spans="1:16" ht="14">
      <c r="A22" s="1049" t="s">
        <v>2331</v>
      </c>
      <c r="B22" s="1050"/>
      <c r="C22" s="504"/>
      <c r="D22" s="504"/>
      <c r="E22" s="504"/>
      <c r="F22" s="504"/>
      <c r="G22" s="785">
        <f>VLOOKUP(Inngang!$C$8,'K22'!$A$4:$BV$359,71,FALSE)</f>
        <v>1.397</v>
      </c>
      <c r="H22" s="785"/>
      <c r="I22" s="785"/>
      <c r="J22" s="785"/>
      <c r="K22" s="785"/>
    </row>
    <row r="23" spans="1:16" ht="14">
      <c r="A23" s="1049"/>
      <c r="B23" s="1050"/>
      <c r="C23" s="504"/>
      <c r="D23" s="504"/>
      <c r="E23" s="504"/>
      <c r="F23" s="504"/>
      <c r="G23" s="785"/>
      <c r="H23" s="785"/>
      <c r="I23" s="785"/>
      <c r="J23" s="785"/>
      <c r="K23" s="785"/>
    </row>
    <row r="24" spans="1:16" ht="14">
      <c r="A24" s="1049" t="s">
        <v>2327</v>
      </c>
      <c r="B24" s="1050"/>
      <c r="C24" s="504"/>
      <c r="D24" s="504"/>
      <c r="E24" s="504"/>
      <c r="F24" s="504"/>
      <c r="G24" s="785">
        <f>VLOOKUP(Inngang!$C$8,'K22'!$A$4:$BV$359,67,FALSE)</f>
        <v>-2760.7752935350554</v>
      </c>
      <c r="H24" s="785"/>
      <c r="I24" s="785"/>
      <c r="J24" s="785"/>
      <c r="K24" s="785"/>
    </row>
    <row r="25" spans="1:16" ht="14">
      <c r="A25" s="1049"/>
      <c r="B25" s="1050"/>
      <c r="C25" s="504"/>
      <c r="D25" s="504"/>
      <c r="E25" s="504"/>
      <c r="F25" s="504"/>
      <c r="G25" s="785"/>
      <c r="H25" s="785"/>
      <c r="I25" s="785"/>
      <c r="J25" s="785"/>
      <c r="K25" s="785"/>
    </row>
    <row r="26" spans="1:16" ht="14">
      <c r="A26" s="1049" t="s">
        <v>2335</v>
      </c>
      <c r="B26" s="1050"/>
      <c r="C26" s="504"/>
      <c r="D26" s="504"/>
      <c r="E26" s="504"/>
      <c r="F26" s="504"/>
      <c r="G26" s="785">
        <f>VLOOKUP(Inngang!$C$8,'K22'!$A$4:$BV$359,74,FALSE)</f>
        <v>2500</v>
      </c>
      <c r="H26" s="785"/>
      <c r="I26" s="785"/>
      <c r="J26" s="785"/>
      <c r="K26" s="785"/>
    </row>
    <row r="27" spans="1:16" ht="28">
      <c r="A27" s="1049" t="s">
        <v>2336</v>
      </c>
      <c r="B27" s="1050"/>
      <c r="C27" s="504"/>
      <c r="D27" s="504"/>
      <c r="E27" s="504"/>
      <c r="F27" s="504"/>
      <c r="G27" s="785">
        <f>VLOOKUP(Inngang!$C$8,'K22'!$A$4:$DG$359,75,FALSE)</f>
        <v>-1361</v>
      </c>
      <c r="H27" s="785"/>
      <c r="I27" s="785"/>
      <c r="J27" s="785"/>
      <c r="K27" s="785"/>
      <c r="M27" s="1125"/>
      <c r="N27" s="1125"/>
      <c r="O27" s="1125"/>
      <c r="P27" s="1125"/>
    </row>
    <row r="28" spans="1:16" ht="14">
      <c r="A28" s="1127"/>
      <c r="B28" s="1128"/>
      <c r="C28" s="504"/>
      <c r="D28" s="504"/>
      <c r="E28" s="504"/>
      <c r="F28" s="504"/>
      <c r="G28" s="504"/>
      <c r="H28" s="504"/>
      <c r="I28" s="504"/>
      <c r="J28" s="36"/>
      <c r="K28" s="36"/>
    </row>
    <row r="29" spans="1:16" ht="14">
      <c r="A29" s="1127" t="s">
        <v>2341</v>
      </c>
      <c r="B29" s="1128"/>
      <c r="C29" s="504"/>
      <c r="D29" s="504"/>
      <c r="E29" s="504"/>
      <c r="F29" s="504"/>
      <c r="G29" s="504"/>
      <c r="H29" s="504"/>
      <c r="I29" s="504"/>
      <c r="J29" s="36"/>
      <c r="K29" s="36"/>
    </row>
    <row r="30" spans="1:16" ht="14">
      <c r="A30" s="1128" t="s">
        <v>2338</v>
      </c>
      <c r="B30" s="1128"/>
      <c r="C30" s="504"/>
      <c r="D30" s="504"/>
      <c r="E30" s="504"/>
      <c r="F30" s="504"/>
      <c r="G30" s="1129">
        <f>VLOOKUP(Inngang!$C$8,'K22'!$A$4:$DG$359,76,FALSE)</f>
        <v>735</v>
      </c>
      <c r="H30" s="1129"/>
      <c r="I30" s="1129"/>
      <c r="J30" s="1130"/>
      <c r="K30" s="1130"/>
    </row>
    <row r="31" spans="1:16" ht="14">
      <c r="A31" s="1128" t="s">
        <v>2339</v>
      </c>
      <c r="B31" s="1128"/>
      <c r="C31" s="504"/>
      <c r="D31" s="504"/>
      <c r="E31" s="504"/>
      <c r="F31" s="504"/>
      <c r="G31" s="1129">
        <f>VLOOKUP(Inngang!$C$8,'K22'!$A$4:$DG$359,77,FALSE)</f>
        <v>151</v>
      </c>
      <c r="H31" s="1129"/>
      <c r="I31" s="1129"/>
      <c r="J31" s="1130"/>
      <c r="K31" s="1130"/>
    </row>
    <row r="32" spans="1:16" ht="14">
      <c r="A32" s="1128" t="s">
        <v>2327</v>
      </c>
      <c r="B32" s="1128"/>
      <c r="C32" s="504"/>
      <c r="D32" s="504"/>
      <c r="E32" s="504"/>
      <c r="F32" s="504"/>
      <c r="G32" s="1129">
        <f>VLOOKUP(Inngang!$C$8,'K22'!$A$4:$DG$359,78,FALSE)</f>
        <v>-1034</v>
      </c>
      <c r="H32" s="1129"/>
      <c r="I32" s="1129"/>
      <c r="J32" s="1129"/>
      <c r="K32" s="1129"/>
    </row>
    <row r="33" spans="1:11" ht="14">
      <c r="A33" s="1128"/>
      <c r="B33" s="1128"/>
      <c r="C33" s="504"/>
      <c r="D33" s="504"/>
      <c r="E33" s="504"/>
      <c r="F33" s="504"/>
      <c r="G33" s="504"/>
      <c r="H33" s="504"/>
      <c r="I33" s="504"/>
      <c r="J33" s="36"/>
      <c r="K33" s="36"/>
    </row>
    <row r="34" spans="1:11" ht="14">
      <c r="A34" s="1128"/>
      <c r="B34" s="1128"/>
      <c r="C34" s="504"/>
      <c r="D34" s="504"/>
      <c r="E34" s="504"/>
      <c r="F34" s="504"/>
      <c r="G34" s="504"/>
      <c r="H34" s="504"/>
      <c r="I34" s="504"/>
      <c r="J34" s="36"/>
      <c r="K34" s="36"/>
    </row>
    <row r="35" spans="1:11" ht="14">
      <c r="A35" s="1157" t="s">
        <v>2360</v>
      </c>
      <c r="B35" s="1158"/>
      <c r="C35" s="504"/>
      <c r="D35" s="504"/>
      <c r="E35" s="504"/>
      <c r="F35" s="504"/>
      <c r="G35" s="504"/>
      <c r="H35" s="504"/>
      <c r="I35" s="504"/>
      <c r="J35" s="36"/>
      <c r="K35" s="36"/>
    </row>
    <row r="36" spans="1:11" ht="14">
      <c r="A36" s="1159" t="s">
        <v>2385</v>
      </c>
      <c r="B36" s="1158"/>
      <c r="C36" s="504"/>
      <c r="D36" s="504"/>
      <c r="E36" s="504"/>
      <c r="F36" s="504"/>
      <c r="G36" s="504"/>
      <c r="H36" s="504"/>
      <c r="I36" s="504"/>
      <c r="J36" s="36"/>
      <c r="K36" s="36"/>
    </row>
    <row r="37" spans="1:11" ht="14">
      <c r="A37" s="1158" t="s">
        <v>2387</v>
      </c>
      <c r="B37" s="1158"/>
      <c r="C37" s="504"/>
      <c r="D37" s="504"/>
      <c r="E37" s="504"/>
      <c r="F37" s="504"/>
      <c r="G37" s="1129">
        <f>VLOOKUP(Inngang!$C$8,'K22'!$A$4:$DG$359,81,FALSE)</f>
        <v>770</v>
      </c>
      <c r="H37" s="504"/>
      <c r="I37" s="504"/>
      <c r="J37" s="36"/>
      <c r="K37" s="36"/>
    </row>
    <row r="38" spans="1:11" ht="14">
      <c r="A38" s="1158" t="s">
        <v>2432</v>
      </c>
      <c r="B38" s="1158"/>
      <c r="C38" s="504"/>
      <c r="D38" s="504"/>
      <c r="E38" s="504"/>
      <c r="F38" s="504"/>
      <c r="G38" s="1129">
        <f>VLOOKUP(Inngang!$C$8,'K22'!$A$4:$DG$359,82,FALSE)</f>
        <v>9</v>
      </c>
      <c r="H38" s="504"/>
      <c r="I38" s="504"/>
      <c r="J38" s="36"/>
      <c r="K38" s="36"/>
    </row>
    <row r="39" spans="1:11" ht="14">
      <c r="A39" s="1157"/>
      <c r="B39" s="1158"/>
      <c r="C39" s="504"/>
      <c r="D39" s="504"/>
      <c r="E39" s="504"/>
      <c r="F39" s="504"/>
      <c r="G39" s="504"/>
      <c r="H39" s="504"/>
      <c r="I39" s="504"/>
      <c r="J39" s="36"/>
      <c r="K39" s="36"/>
    </row>
    <row r="40" spans="1:11" ht="14">
      <c r="A40" s="1157"/>
      <c r="B40" s="1158"/>
      <c r="C40" s="504"/>
      <c r="D40" s="504"/>
      <c r="E40" s="504"/>
      <c r="F40" s="504"/>
      <c r="G40" s="504"/>
      <c r="H40" s="504"/>
      <c r="I40" s="504"/>
      <c r="J40" s="36"/>
      <c r="K40" s="36"/>
    </row>
    <row r="41" spans="1:11" ht="14">
      <c r="A41" s="1159" t="s">
        <v>2386</v>
      </c>
      <c r="B41" s="1158"/>
      <c r="C41" s="504"/>
      <c r="D41" s="504"/>
      <c r="E41" s="504"/>
      <c r="F41" s="504"/>
      <c r="G41" s="504"/>
      <c r="H41" s="504"/>
      <c r="I41" s="504"/>
      <c r="J41" s="36"/>
      <c r="K41" s="36"/>
    </row>
    <row r="42" spans="1:11" ht="14">
      <c r="A42" s="1158" t="s">
        <v>2363</v>
      </c>
      <c r="B42" s="1158"/>
      <c r="C42" s="504"/>
      <c r="D42" s="504"/>
      <c r="E42" s="504"/>
      <c r="F42" s="504"/>
      <c r="G42" s="1129">
        <f>VLOOKUP(Inngang!$C$8,'K22'!$A$4:$DG$359,80,FALSE)</f>
        <v>242</v>
      </c>
      <c r="H42" s="504"/>
      <c r="I42" s="504"/>
      <c r="J42" s="36"/>
      <c r="K42" s="36"/>
    </row>
    <row r="43" spans="1:11" ht="14">
      <c r="A43" s="1158"/>
      <c r="B43" s="1158"/>
      <c r="C43" s="504"/>
      <c r="D43" s="504"/>
      <c r="E43" s="504"/>
      <c r="F43" s="504"/>
      <c r="G43" s="504"/>
      <c r="H43" s="504"/>
      <c r="I43" s="504"/>
      <c r="J43" s="36"/>
      <c r="K43" s="36"/>
    </row>
    <row r="44" spans="1:11" ht="14">
      <c r="A44" s="1158"/>
      <c r="B44" s="1158"/>
      <c r="C44" s="504"/>
      <c r="D44" s="504"/>
      <c r="E44" s="504"/>
      <c r="F44" s="504"/>
      <c r="G44" s="504"/>
      <c r="H44" s="504"/>
      <c r="I44" s="504"/>
      <c r="J44" s="36"/>
      <c r="K44" s="36"/>
    </row>
    <row r="45" spans="1:11" ht="14">
      <c r="A45" s="1154" t="s">
        <v>2531</v>
      </c>
      <c r="B45" s="1155"/>
      <c r="C45" s="504"/>
      <c r="D45" s="504"/>
      <c r="E45" s="504"/>
      <c r="F45" s="504"/>
      <c r="G45" s="504"/>
      <c r="H45" s="504"/>
      <c r="I45" s="504"/>
      <c r="J45" s="36"/>
      <c r="K45" s="36"/>
    </row>
    <row r="46" spans="1:11" ht="14">
      <c r="A46" s="1156" t="s">
        <v>2385</v>
      </c>
      <c r="B46" s="1155"/>
      <c r="C46" s="504"/>
      <c r="D46" s="504"/>
      <c r="E46" s="504"/>
      <c r="F46" s="504"/>
      <c r="G46" s="504"/>
      <c r="H46" s="504"/>
      <c r="I46" s="504"/>
      <c r="J46" s="36"/>
      <c r="K46" s="36"/>
    </row>
    <row r="47" spans="1:11" ht="14">
      <c r="A47" s="1155" t="s">
        <v>2495</v>
      </c>
      <c r="B47" s="1155"/>
      <c r="C47" s="504"/>
      <c r="D47" s="504"/>
      <c r="E47" s="504"/>
      <c r="F47" s="504"/>
      <c r="G47" s="1129">
        <f>VLOOKUP(Inngang!$C$8,'K22'!$A$4:$DG$359,83,FALSE)</f>
        <v>217</v>
      </c>
      <c r="H47" s="504"/>
      <c r="I47" s="504"/>
      <c r="J47" s="36"/>
      <c r="K47" s="36"/>
    </row>
    <row r="48" spans="1:11" ht="14">
      <c r="A48" s="1155"/>
      <c r="B48" s="1155"/>
      <c r="C48" s="504"/>
      <c r="D48" s="504"/>
      <c r="E48" s="504"/>
      <c r="F48" s="504"/>
      <c r="G48" s="504"/>
      <c r="H48" s="504"/>
      <c r="I48" s="504"/>
      <c r="J48" s="36"/>
      <c r="K48" s="36"/>
    </row>
    <row r="49" spans="1:11" ht="14">
      <c r="A49" s="1155"/>
      <c r="B49" s="1155"/>
      <c r="C49" s="504"/>
      <c r="D49" s="504"/>
      <c r="E49" s="504"/>
      <c r="F49" s="504"/>
      <c r="G49" s="504"/>
      <c r="H49" s="504"/>
      <c r="I49" s="504"/>
      <c r="J49" s="36"/>
      <c r="K49" s="36"/>
    </row>
    <row r="50" spans="1:11" ht="14">
      <c r="A50" s="1156" t="s">
        <v>2386</v>
      </c>
      <c r="B50" s="1155"/>
      <c r="C50" s="504"/>
      <c r="D50" s="504"/>
      <c r="E50" s="504"/>
      <c r="F50" s="504"/>
      <c r="G50" s="504"/>
      <c r="H50" s="504"/>
      <c r="I50" s="504"/>
      <c r="J50" s="36"/>
      <c r="K50" s="36"/>
    </row>
    <row r="51" spans="1:11" ht="14">
      <c r="A51" s="1155" t="s">
        <v>2509</v>
      </c>
      <c r="B51" s="1155"/>
      <c r="C51" s="504"/>
      <c r="D51" s="504"/>
      <c r="E51" s="504"/>
      <c r="F51" s="504"/>
      <c r="G51" s="1129">
        <f>VLOOKUP(Inngang!$C$8,'K22'!$A$4:$DG$359,87,FALSE)</f>
        <v>-2621</v>
      </c>
      <c r="H51" s="504"/>
      <c r="I51" s="504"/>
      <c r="J51" s="36"/>
      <c r="K51" s="36"/>
    </row>
    <row r="52" spans="1:11" ht="14">
      <c r="A52" s="1155" t="s">
        <v>2510</v>
      </c>
      <c r="B52" s="1155"/>
      <c r="C52" s="504"/>
      <c r="D52" s="504"/>
      <c r="E52" s="504"/>
      <c r="F52" s="504"/>
      <c r="G52" s="1129">
        <f>VLOOKUP(Inngang!$C$8,'K22'!$A$4:$DG$359,88,FALSE)</f>
        <v>-7226</v>
      </c>
      <c r="H52" s="504"/>
      <c r="I52" s="504"/>
      <c r="J52" s="36"/>
      <c r="K52" s="36"/>
    </row>
    <row r="53" spans="1:11" ht="14">
      <c r="A53" s="1155" t="s">
        <v>2496</v>
      </c>
      <c r="B53" s="1155"/>
      <c r="C53" s="504"/>
      <c r="D53" s="504"/>
      <c r="E53" s="504"/>
      <c r="F53" s="504"/>
      <c r="G53" s="1129">
        <f>VLOOKUP(Inngang!$C$8,'K22'!$A$4:$DG$359,84,FALSE)</f>
        <v>11</v>
      </c>
      <c r="H53" s="504"/>
      <c r="I53" s="504"/>
      <c r="J53" s="36"/>
      <c r="K53" s="36"/>
    </row>
    <row r="54" spans="1:11" ht="14">
      <c r="A54" s="1155" t="s">
        <v>2497</v>
      </c>
      <c r="B54" s="1155"/>
      <c r="C54" s="504"/>
      <c r="D54" s="504"/>
      <c r="E54" s="504"/>
      <c r="F54" s="504"/>
      <c r="G54" s="1129">
        <f>VLOOKUP(Inngang!$C$8,'K22'!$A$4:$DG$359,85,FALSE)</f>
        <v>1</v>
      </c>
      <c r="H54" s="504"/>
      <c r="I54" s="504"/>
      <c r="J54" s="36"/>
      <c r="K54" s="36"/>
    </row>
    <row r="55" spans="1:11" ht="14">
      <c r="A55" s="1155" t="s">
        <v>2498</v>
      </c>
      <c r="B55" s="1155"/>
      <c r="C55" s="504"/>
      <c r="D55" s="504"/>
      <c r="E55" s="504"/>
      <c r="F55" s="504"/>
      <c r="G55" s="1129">
        <f>VLOOKUP(Inngang!$C$8,'K22'!$A$4:$DG$359,86,FALSE)</f>
        <v>-7</v>
      </c>
      <c r="H55" s="504"/>
      <c r="I55" s="504"/>
      <c r="J55" s="36"/>
      <c r="K55" s="36"/>
    </row>
    <row r="56" spans="1:11" ht="14">
      <c r="A56" s="1155" t="s">
        <v>2532</v>
      </c>
      <c r="B56" s="1155"/>
      <c r="C56" s="504"/>
      <c r="D56" s="504"/>
      <c r="E56" s="504"/>
      <c r="F56" s="504"/>
      <c r="G56" s="1129">
        <f>VLOOKUP(Inngang!$C$8,'K22'!$A$4:$DG$359,19,FALSE)</f>
        <v>58</v>
      </c>
      <c r="H56" s="504"/>
      <c r="I56" s="504"/>
      <c r="J56" s="36"/>
      <c r="K56" s="36"/>
    </row>
    <row r="57" spans="1:11" ht="14">
      <c r="A57" s="1155"/>
      <c r="B57" s="1155"/>
      <c r="C57" s="504"/>
      <c r="D57" s="504"/>
      <c r="E57" s="504"/>
      <c r="F57" s="504"/>
      <c r="G57" s="504"/>
      <c r="H57" s="504"/>
      <c r="I57" s="504"/>
      <c r="J57" s="36"/>
      <c r="K57" s="36"/>
    </row>
    <row r="58" spans="1:11" ht="14">
      <c r="A58" s="1238" t="s">
        <v>2653</v>
      </c>
      <c r="B58" s="1236"/>
      <c r="C58" s="504"/>
      <c r="D58" s="504"/>
      <c r="E58" s="504"/>
      <c r="F58" s="504"/>
      <c r="G58" s="504"/>
      <c r="H58" s="504"/>
      <c r="I58" s="504"/>
      <c r="J58" s="36"/>
      <c r="K58" s="36"/>
    </row>
    <row r="59" spans="1:11" ht="14">
      <c r="A59" s="1237" t="s">
        <v>2385</v>
      </c>
      <c r="B59" s="1236"/>
      <c r="C59" s="504"/>
      <c r="D59" s="504"/>
      <c r="E59" s="504"/>
      <c r="F59" s="504"/>
      <c r="G59" s="504"/>
      <c r="H59" s="504"/>
      <c r="I59" s="504"/>
      <c r="J59" s="36"/>
      <c r="K59" s="36"/>
    </row>
    <row r="60" spans="1:11" ht="14">
      <c r="A60" s="1236" t="s">
        <v>2654</v>
      </c>
      <c r="B60" s="1236"/>
      <c r="C60" s="504"/>
      <c r="D60" s="504"/>
      <c r="E60" s="504"/>
      <c r="F60" s="504"/>
      <c r="G60" s="1129">
        <f>VLOOKUP(Inngang!$C$8,'K22'!$A$4:$DG$359,59,FALSE)</f>
        <v>5314.3161538504073</v>
      </c>
      <c r="H60" s="504"/>
      <c r="I60" s="504"/>
      <c r="J60" s="36"/>
      <c r="K60" s="36"/>
    </row>
    <row r="61" spans="1:11" ht="14">
      <c r="A61" s="1236" t="s">
        <v>2655</v>
      </c>
      <c r="B61" s="1236"/>
      <c r="C61" s="504"/>
      <c r="D61" s="504"/>
      <c r="E61" s="504"/>
      <c r="F61" s="504"/>
      <c r="G61" s="1129">
        <f>VLOOKUP(Inngang!$C$8,'K22'!$A$4:$DG$359,60,FALSE)</f>
        <v>286.32233971765459</v>
      </c>
      <c r="H61" s="504"/>
      <c r="I61" s="504"/>
      <c r="J61" s="36"/>
      <c r="K61" s="36"/>
    </row>
    <row r="62" spans="1:11" ht="14">
      <c r="A62" s="1236"/>
      <c r="B62" s="1236"/>
      <c r="C62" s="504"/>
      <c r="D62" s="504"/>
      <c r="E62" s="504"/>
      <c r="F62" s="504"/>
      <c r="G62" s="504"/>
      <c r="H62" s="504"/>
      <c r="I62" s="504"/>
      <c r="J62" s="36"/>
      <c r="K62" s="36"/>
    </row>
    <row r="63" spans="1:11" ht="14">
      <c r="A63" s="1127"/>
      <c r="B63" s="1127"/>
      <c r="C63" s="504"/>
      <c r="D63" s="504"/>
      <c r="E63" s="504"/>
      <c r="F63" s="504"/>
      <c r="G63" s="504"/>
      <c r="H63" s="504"/>
      <c r="I63" s="504"/>
      <c r="J63" s="36"/>
      <c r="K63" s="36"/>
    </row>
    <row r="64" spans="1:11" ht="14">
      <c r="A64" s="1127" t="s">
        <v>2341</v>
      </c>
      <c r="B64" s="1127"/>
      <c r="C64" s="504"/>
      <c r="D64" s="504"/>
      <c r="E64" s="504"/>
      <c r="F64" s="504"/>
      <c r="G64" s="504"/>
      <c r="H64" s="504"/>
      <c r="I64" s="504"/>
      <c r="J64" s="36"/>
      <c r="K64" s="36"/>
    </row>
    <row r="65" spans="1:15" ht="14">
      <c r="A65" s="1128" t="s">
        <v>2660</v>
      </c>
      <c r="B65" s="1127"/>
      <c r="C65" s="504"/>
      <c r="D65" s="504"/>
      <c r="E65" s="504"/>
      <c r="F65" s="504"/>
      <c r="G65" s="504"/>
      <c r="H65" s="1129">
        <f>VLOOKUP(Inngang!$C$8,'K23'!$A$4:$DG$359,62,FALSE)</f>
        <v>787.92557704791977</v>
      </c>
      <c r="I65" s="1129">
        <f>+H65*11/5</f>
        <v>1733.4362695054235</v>
      </c>
      <c r="J65" s="1129">
        <f>+I65</f>
        <v>1733.4362695054235</v>
      </c>
      <c r="K65" s="1129">
        <f>+J65</f>
        <v>1733.4362695054235</v>
      </c>
    </row>
    <row r="66" spans="1:15" ht="14">
      <c r="A66" s="1128" t="s">
        <v>2662</v>
      </c>
      <c r="B66" s="1127"/>
      <c r="C66" s="504"/>
      <c r="D66" s="504"/>
      <c r="E66" s="504"/>
      <c r="F66" s="504"/>
      <c r="G66" s="504"/>
      <c r="H66" s="1129">
        <f>VLOOKUP(Inngang!$C$8,'K23'!$A$4:$DG$359,63,FALSE)</f>
        <v>8</v>
      </c>
      <c r="I66" s="1129">
        <f>+H66*12/11</f>
        <v>8.7272727272727266</v>
      </c>
      <c r="J66" s="1129">
        <f t="shared" ref="J66:K66" si="2">+I66</f>
        <v>8.7272727272727266</v>
      </c>
      <c r="K66" s="1129">
        <f t="shared" si="2"/>
        <v>8.7272727272727266</v>
      </c>
    </row>
    <row r="67" spans="1:15" ht="14">
      <c r="A67" s="1128"/>
      <c r="B67" s="1127"/>
      <c r="C67" s="504"/>
      <c r="D67" s="504"/>
      <c r="E67" s="504"/>
      <c r="F67" s="504"/>
      <c r="G67" s="504"/>
      <c r="H67" s="504"/>
      <c r="I67" s="504"/>
      <c r="J67" s="36"/>
      <c r="K67" s="36"/>
    </row>
    <row r="68" spans="1:15" ht="14">
      <c r="A68" s="232"/>
      <c r="B68" s="232"/>
      <c r="C68" s="504"/>
      <c r="D68" s="504"/>
      <c r="E68" s="504"/>
      <c r="F68" s="504"/>
      <c r="G68" s="504"/>
      <c r="H68" s="504"/>
      <c r="I68" s="504"/>
      <c r="J68" s="36"/>
      <c r="K68" s="36"/>
    </row>
    <row r="69" spans="1:15" ht="14">
      <c r="A69" s="742" t="s">
        <v>2343</v>
      </c>
      <c r="B69" s="232"/>
      <c r="C69" s="504"/>
      <c r="D69" s="504"/>
      <c r="E69" s="504"/>
      <c r="F69" s="504"/>
      <c r="G69" s="504"/>
      <c r="H69" s="504"/>
      <c r="I69" s="504"/>
      <c r="J69" s="36"/>
      <c r="K69" s="36"/>
    </row>
    <row r="70" spans="1:15" ht="14">
      <c r="A70" s="1119" t="s">
        <v>1062</v>
      </c>
      <c r="B70" s="134"/>
      <c r="C70" s="504" t="e">
        <f>(VLOOKUP(Gdata!B3,'K18'!$A$4:$BK$438,27,FALSE))</f>
        <v>#N/A</v>
      </c>
      <c r="D70" s="504" t="e">
        <f>(VLOOKUP(Gdata!B3,'K19'!$A$4:$BK$438,27,FALSE))</f>
        <v>#N/A</v>
      </c>
      <c r="E70" s="493"/>
      <c r="F70" s="498"/>
      <c r="G70" s="612">
        <f>(VLOOKUP(Gdata!B3,'K22'!$A$4:$DG$438,27,FALSE))+(VLOOKUP(Gdata!B3,'K22'!$A$4:$DG$438,72,FALSE))</f>
        <v>0</v>
      </c>
      <c r="H70" s="612">
        <f>(VLOOKUP(Gdata!B3,'K23'!$A$4:$DM$438,27,FALSE))</f>
        <v>0</v>
      </c>
      <c r="I70" s="501">
        <f>+H70*4/5</f>
        <v>0</v>
      </c>
      <c r="J70" s="501">
        <f>+I70*3/4</f>
        <v>0</v>
      </c>
      <c r="K70" s="501">
        <f>+J70*2/3</f>
        <v>0</v>
      </c>
    </row>
    <row r="71" spans="1:15" ht="14">
      <c r="A71" s="1119" t="s">
        <v>2037</v>
      </c>
      <c r="B71" s="134"/>
      <c r="C71" s="504"/>
      <c r="D71" s="493"/>
      <c r="E71" s="504">
        <f>VLOOKUP(Gdata!B3,'K20'!$A$4:$BK$359,29,FALSE)</f>
        <v>985.82292988999995</v>
      </c>
      <c r="F71" s="504">
        <f>VLOOKUP(Gdata!B3,'K21'!$A$4:$BK$359,29,FALSE)</f>
        <v>304</v>
      </c>
      <c r="G71" s="493"/>
      <c r="H71" s="504"/>
      <c r="I71" s="493"/>
      <c r="J71" s="36"/>
      <c r="K71" s="36"/>
    </row>
    <row r="72" spans="1:15" ht="14">
      <c r="A72" s="1119" t="s">
        <v>2333</v>
      </c>
      <c r="B72" s="134"/>
      <c r="C72" s="504"/>
      <c r="D72" s="493"/>
      <c r="E72" s="504"/>
      <c r="F72" s="504"/>
      <c r="G72" s="493"/>
      <c r="H72" s="504">
        <f>VLOOKUP(Gdata!$B$3,'K23'!$A$4:$CN$359,66)</f>
        <v>2593</v>
      </c>
      <c r="I72" s="493">
        <f>+H72</f>
        <v>2593</v>
      </c>
      <c r="J72" s="493">
        <f>+I72</f>
        <v>2593</v>
      </c>
      <c r="K72" s="493">
        <f>+J72</f>
        <v>2593</v>
      </c>
    </row>
    <row r="73" spans="1:15" ht="14">
      <c r="A73" s="1119" t="s">
        <v>1025</v>
      </c>
      <c r="B73" s="134"/>
      <c r="C73" s="504" t="e">
        <f>VLOOKUP(Gdata!B3,'K18'!$A$4:$BK$438,34,FALSE)</f>
        <v>#N/A</v>
      </c>
      <c r="D73" s="504" t="e">
        <f>VLOOKUP(Gdata!B3,'K19'!$A$4:$BK$438,34,FALSE)</f>
        <v>#N/A</v>
      </c>
      <c r="E73" s="504">
        <f>VLOOKUP(Gdata!B3,'K20'!$A$4:$BK$359,34,FALSE)</f>
        <v>959.35251603999995</v>
      </c>
      <c r="F73" s="504">
        <f>VLOOKUP(Gdata!B3,'K21'!$A$4:$BK$359,34,FALSE)</f>
        <v>960</v>
      </c>
      <c r="G73" s="504">
        <f>VLOOKUP(Gdata!B3,'K22'!$A$4:$BK$359,34,FALSE)</f>
        <v>959</v>
      </c>
      <c r="H73" s="504">
        <f>VLOOKUP(Gdata!B3,'K23'!$A$4:$BK$359,34,FALSE)</f>
        <v>986</v>
      </c>
      <c r="I73" s="493">
        <f t="shared" ref="I73" si="3">H73</f>
        <v>986</v>
      </c>
      <c r="J73" s="493">
        <f>I73</f>
        <v>986</v>
      </c>
      <c r="K73" s="493">
        <f>+J73</f>
        <v>986</v>
      </c>
      <c r="M73" s="1111"/>
      <c r="N73" s="1111"/>
      <c r="O73" s="1111"/>
    </row>
    <row r="74" spans="1:15" ht="14">
      <c r="A74" s="1119" t="s">
        <v>1951</v>
      </c>
      <c r="B74" s="134"/>
      <c r="C74" s="504"/>
      <c r="D74" s="493"/>
      <c r="E74" s="504">
        <f>VLOOKUP(Gdata!B3,'K20'!$A$4:$BK$359,37,FALSE)</f>
        <v>459.23525224000002</v>
      </c>
      <c r="F74" s="504">
        <f>VLOOKUP(Gdata!B3,'K21'!$A$4:$BK$359,37,FALSE)</f>
        <v>307</v>
      </c>
      <c r="G74" s="504">
        <f>VLOOKUP(Gdata!$B3,'K22'!$A$4:$CN$359,37,FALSE)</f>
        <v>45</v>
      </c>
      <c r="H74" s="504">
        <f>VLOOKUP(Gdata!$B3,'K23'!$A$4:$CN$359,37,FALSE)</f>
        <v>0</v>
      </c>
      <c r="I74" s="493">
        <f>VLOOKUP(Gdata!$B3,'K23'!$A$4:$CO$359,91,FALSE)</f>
        <v>0</v>
      </c>
      <c r="J74" s="493">
        <f>VLOOKUP(Gdata!$B3,'K23'!$A$4:$CO$359,92,FALSE)</f>
        <v>0</v>
      </c>
      <c r="K74" s="493">
        <f>+J74</f>
        <v>0</v>
      </c>
      <c r="M74" s="1111"/>
      <c r="N74" s="1111"/>
      <c r="O74" s="1111"/>
    </row>
    <row r="75" spans="1:15" ht="14">
      <c r="A75" s="1119" t="s">
        <v>1106</v>
      </c>
      <c r="B75" s="134"/>
      <c r="C75" s="504" t="e">
        <f>VLOOKUP(Gdata!B3,'K18'!$A$4:$BK$438,58,FALSE)</f>
        <v>#N/A</v>
      </c>
      <c r="D75" s="504" t="e">
        <f>VLOOKUP(Gdata!B3,'K19'!$A$4:$BK$438,58,FALSE)</f>
        <v>#N/A</v>
      </c>
      <c r="E75" s="504">
        <f>VLOOKUP(Gdata!B3,'K20'!$A$4:$BK$359,58,FALSE)</f>
        <v>0</v>
      </c>
      <c r="F75" s="504">
        <f>VLOOKUP(Gdata!B3,'K21'!$A$4:$BK$359,58,FALSE)</f>
        <v>0</v>
      </c>
      <c r="G75" s="504">
        <f>VLOOKUP(Gdata!B3,'K22'!$A$4:$BK$359,58,FALSE)</f>
        <v>0</v>
      </c>
      <c r="H75" s="504">
        <f>VLOOKUP(Gdata!B3,'K23'!$A$4:$BK$359,58,FALSE)</f>
        <v>0</v>
      </c>
      <c r="I75" s="493">
        <f>+H75</f>
        <v>0</v>
      </c>
      <c r="J75" s="493">
        <f>IF(Inngang!C8=301,I75-113094,I75)</f>
        <v>0</v>
      </c>
      <c r="K75" s="493">
        <f>+J75</f>
        <v>0</v>
      </c>
      <c r="M75" s="1111"/>
      <c r="N75" s="1111"/>
      <c r="O75" s="1111"/>
    </row>
    <row r="76" spans="1:15" ht="14">
      <c r="A76" s="1119" t="s">
        <v>1181</v>
      </c>
      <c r="B76" s="232"/>
      <c r="C76" s="504" t="e">
        <f>VLOOKUP(Gdata!B3,'K18'!$A$4:$BK$438,25,FALSE)</f>
        <v>#N/A</v>
      </c>
      <c r="D76" s="504" t="e">
        <f>VLOOKUP(Gdata!B3,'K19'!$A$4:$BK$438,25,FALSE)</f>
        <v>#N/A</v>
      </c>
      <c r="E76" s="504">
        <f>VLOOKUP(Gdata!B3,'K20'!$A$4:$BK$359,25,FALSE)</f>
        <v>789.50405445000001</v>
      </c>
      <c r="F76" s="504"/>
      <c r="G76" s="493"/>
      <c r="H76" s="504"/>
      <c r="I76" s="493"/>
      <c r="J76" s="36"/>
      <c r="K76" s="36"/>
      <c r="M76" s="1111"/>
      <c r="N76" s="1111"/>
      <c r="O76" s="1111"/>
    </row>
    <row r="77" spans="1:15" ht="14">
      <c r="A77" s="1119" t="s">
        <v>1430</v>
      </c>
      <c r="B77" s="232"/>
      <c r="C77" s="504"/>
      <c r="D77" s="504" t="e">
        <f>VLOOKUP(Gdata!B3,'K19'!$A$4:$BZ$438,72,FALSE)</f>
        <v>#N/A</v>
      </c>
      <c r="E77" s="504">
        <f>VLOOKUP(Gdata!B3,'K20'!$A$4:$BZ$359,72,FALSE)</f>
        <v>0</v>
      </c>
      <c r="F77" s="504">
        <f>VLOOKUP(Gdata!B3,'K21'!$A$4:$CH$359,72,FALSE)</f>
        <v>0</v>
      </c>
      <c r="G77" s="493"/>
      <c r="H77" s="504"/>
      <c r="I77" s="493"/>
      <c r="J77" s="36"/>
      <c r="K77" s="36"/>
    </row>
    <row r="78" spans="1:15" ht="14">
      <c r="A78" s="1119" t="s">
        <v>2107</v>
      </c>
      <c r="B78" s="232"/>
      <c r="C78" s="504"/>
      <c r="D78" s="504"/>
      <c r="E78" s="504"/>
      <c r="F78" s="504">
        <f>VLOOKUP(Gdata!B3,'K21'!$A$4:$CH$359,30,FALSE)</f>
        <v>140</v>
      </c>
      <c r="G78" s="493"/>
      <c r="H78" s="504"/>
      <c r="I78" s="493"/>
      <c r="J78" s="36"/>
      <c r="K78" s="36"/>
    </row>
    <row r="79" spans="1:15" ht="14">
      <c r="A79" s="1119" t="s">
        <v>2314</v>
      </c>
      <c r="B79" s="232"/>
      <c r="C79" s="505"/>
      <c r="D79" s="505"/>
      <c r="E79" s="505"/>
      <c r="F79" s="493"/>
      <c r="G79" s="612">
        <f>(VLOOKUP(Gdata!$B$3,'K22'!$A$4:$BK$438,29,FALSE))+(VLOOKUP(Gdata!$B$3,'K22'!$A$4:$CV$438,79,FALSE))</f>
        <v>609.60536348873563</v>
      </c>
      <c r="H79" s="612">
        <f>(VLOOKUP(Gdata!$B$3,'K23'!$A$4:$BK$438,29,FALSE))</f>
        <v>864</v>
      </c>
      <c r="I79" s="493">
        <f>+H79</f>
        <v>864</v>
      </c>
      <c r="J79" s="36"/>
      <c r="K79" s="36"/>
    </row>
    <row r="80" spans="1:15" ht="14">
      <c r="A80" s="1119" t="s">
        <v>1409</v>
      </c>
      <c r="B80" s="48"/>
      <c r="C80" s="612" t="e">
        <f>VLOOKUP(Gdata!B3,'K18'!$A$4:$BK$438,30,FALSE)</f>
        <v>#N/A</v>
      </c>
      <c r="D80" s="612" t="e">
        <f>VLOOKUP(Gdata!B3,'K19'!$A$4:$BK$438,30,FALSE)</f>
        <v>#N/A</v>
      </c>
      <c r="E80" s="612"/>
      <c r="F80" s="498"/>
      <c r="G80" s="498"/>
      <c r="H80" s="612"/>
      <c r="I80" s="498"/>
      <c r="J80" s="498"/>
      <c r="K80" s="498"/>
    </row>
    <row r="81" spans="1:15" ht="14">
      <c r="A81" s="232" t="s">
        <v>2610</v>
      </c>
      <c r="B81" s="48"/>
      <c r="C81" s="501"/>
      <c r="D81" s="501"/>
      <c r="E81" s="498"/>
      <c r="F81" s="498"/>
      <c r="G81" s="498"/>
      <c r="H81" s="612">
        <f>(VLOOKUP(Gdata!$B$3,'K23'!$A$4:$CK$438,59,FALSE))</f>
        <v>0</v>
      </c>
      <c r="I81" s="501">
        <f>H81*11/5</f>
        <v>0</v>
      </c>
      <c r="J81" s="501">
        <f>+I81</f>
        <v>0</v>
      </c>
      <c r="K81" s="501">
        <f>+J81</f>
        <v>0</v>
      </c>
    </row>
    <row r="82" spans="1:15" ht="14">
      <c r="A82" s="232" t="s">
        <v>2630</v>
      </c>
      <c r="B82" s="48"/>
      <c r="C82" s="501"/>
      <c r="D82" s="501"/>
      <c r="E82" s="498"/>
      <c r="F82" s="498"/>
      <c r="G82" s="498"/>
      <c r="H82" s="612">
        <f>(VLOOKUP(Gdata!$B$3,'K23'!$A$4:$CK$438,49,FALSE))</f>
        <v>0</v>
      </c>
      <c r="I82" s="501">
        <f>IF(Gdata!H28=Gdata!$G28,H82,0)</f>
        <v>0</v>
      </c>
      <c r="J82" s="501">
        <f>IF(Gdata!H28=Gdata!$G28,I82,0)</f>
        <v>0</v>
      </c>
      <c r="K82" s="501">
        <f>IF(Gdata!H28=Gdata!$G28,J82,0)</f>
        <v>0</v>
      </c>
    </row>
    <row r="83" spans="1:15" ht="14">
      <c r="A83" s="232" t="s">
        <v>2631</v>
      </c>
      <c r="B83" s="48"/>
      <c r="C83" s="501"/>
      <c r="D83" s="501"/>
      <c r="E83" s="498"/>
      <c r="F83" s="498"/>
      <c r="G83" s="498"/>
      <c r="H83" s="612">
        <f>(VLOOKUP(Gdata!$B$3,'K23'!$A$4:$CK$438,56,FALSE))</f>
        <v>0</v>
      </c>
      <c r="I83" s="501"/>
      <c r="J83" s="501"/>
      <c r="K83" s="501"/>
    </row>
    <row r="84" spans="1:15" ht="14">
      <c r="A84" s="164"/>
      <c r="B84" s="46"/>
      <c r="C84" s="506"/>
      <c r="D84" s="506"/>
      <c r="E84" s="719"/>
      <c r="F84" s="719"/>
      <c r="G84" s="719"/>
      <c r="H84" s="719"/>
      <c r="I84" s="719"/>
      <c r="J84" s="719"/>
      <c r="K84" s="719"/>
    </row>
    <row r="85" spans="1:15">
      <c r="A85" s="508"/>
      <c r="B85" s="392"/>
      <c r="C85" s="501"/>
      <c r="D85" s="501"/>
      <c r="E85" s="501"/>
      <c r="F85" s="501"/>
      <c r="G85" s="36"/>
      <c r="H85" s="36"/>
      <c r="I85" s="36"/>
      <c r="J85" s="36"/>
      <c r="K85" s="36"/>
    </row>
    <row r="86" spans="1:15" ht="20">
      <c r="A86" s="236" t="s">
        <v>754</v>
      </c>
      <c r="B86" s="68"/>
      <c r="C86" s="1093">
        <f t="shared" ref="C86:K86" si="4">C7</f>
        <v>2018</v>
      </c>
      <c r="D86" s="1093">
        <f t="shared" si="4"/>
        <v>2019</v>
      </c>
      <c r="E86" s="1093">
        <f t="shared" si="4"/>
        <v>2020</v>
      </c>
      <c r="F86" s="1093">
        <f t="shared" si="4"/>
        <v>2021</v>
      </c>
      <c r="G86" s="1093">
        <f t="shared" si="4"/>
        <v>2022</v>
      </c>
      <c r="H86" s="1093">
        <f t="shared" si="4"/>
        <v>2023</v>
      </c>
      <c r="I86" s="219">
        <f t="shared" si="4"/>
        <v>2024</v>
      </c>
      <c r="J86" s="219">
        <f t="shared" si="4"/>
        <v>2025</v>
      </c>
      <c r="K86" s="219">
        <f t="shared" si="4"/>
        <v>2026</v>
      </c>
      <c r="M86" s="988"/>
      <c r="N86" s="988"/>
    </row>
    <row r="87" spans="1:15" ht="14">
      <c r="A87" s="48" t="s">
        <v>732</v>
      </c>
      <c r="B87" s="40"/>
      <c r="C87" s="504">
        <f>C88*1000/Gdata!B60</f>
        <v>50166.646708920001</v>
      </c>
      <c r="D87" s="504">
        <f>D88*1000/Gdata!C60</f>
        <v>52286.539615560003</v>
      </c>
      <c r="E87" s="504">
        <f>E88*1000/Gdata!D60</f>
        <v>54838.67980736</v>
      </c>
      <c r="F87" s="504">
        <f>F88*1000/Gdata!E60</f>
        <v>56318.239179759999</v>
      </c>
      <c r="G87" s="504">
        <f>G88*1000/Gdata!F60</f>
        <v>59072.6580368672</v>
      </c>
      <c r="H87" s="504">
        <f>H88*1000/Gdata!G60</f>
        <v>62858.755062509998</v>
      </c>
      <c r="I87" s="997">
        <f>I88*1000/Gdata!H60</f>
        <v>63232.54795050867</v>
      </c>
      <c r="J87" s="997">
        <f>J88*1000/Gdata!I60</f>
        <v>63398.967372290143</v>
      </c>
      <c r="K87" s="997">
        <f>K88*1000/Gdata!J60</f>
        <v>63399.560549229442</v>
      </c>
      <c r="M87" s="1111"/>
      <c r="N87" s="1111"/>
      <c r="O87" s="1111"/>
    </row>
    <row r="88" spans="1:15" ht="14">
      <c r="A88" s="48" t="s">
        <v>755</v>
      </c>
      <c r="B88" s="48"/>
      <c r="C88" s="238">
        <v>264770430.99997872</v>
      </c>
      <c r="D88" s="238">
        <v>277772659.99997944</v>
      </c>
      <c r="E88" s="238">
        <v>293153049.99999762</v>
      </c>
      <c r="F88" s="238">
        <v>302710254.00001413</v>
      </c>
      <c r="G88" s="238">
        <v>319100161.00000018</v>
      </c>
      <c r="H88" s="238">
        <v>342944293.00000155</v>
      </c>
      <c r="I88" s="997">
        <f>H88+0.85*Gdata!H12+Gdata!H13+Gdata!H14+(-'R23'!H45-'R23'!H51-'R23'!H57+'R23'!H63+'R23'!H67+'R23'!H71+'R23'!H75)</f>
        <v>344983629.24800158</v>
      </c>
      <c r="J88" s="997">
        <f>I88+0.85*Gdata!I12+Gdata!I13+Gdata!I14+(-'R23'!H46-'R23'!H52-'R23'!H58-'R23'!H79)</f>
        <v>345891578.99800158</v>
      </c>
      <c r="K88" s="997">
        <f>J88+0.85*Gdata!J12+Gdata!J13+Gdata!J14+(-'R23'!H47-'R23'!H59)</f>
        <v>345894815.24800158</v>
      </c>
      <c r="M88" s="1118"/>
      <c r="N88" s="1118"/>
      <c r="O88" s="1111"/>
    </row>
    <row r="89" spans="1:15" ht="14">
      <c r="A89" s="48"/>
      <c r="B89" s="48"/>
      <c r="C89" s="493"/>
      <c r="D89" s="493"/>
      <c r="E89" s="498"/>
      <c r="F89" s="498"/>
      <c r="G89" s="498"/>
      <c r="H89" s="498"/>
      <c r="I89" s="498"/>
      <c r="J89" s="36"/>
      <c r="K89" s="36"/>
      <c r="M89" s="1111"/>
      <c r="N89" s="1111"/>
      <c r="O89" s="1111"/>
    </row>
    <row r="90" spans="1:15" ht="14">
      <c r="A90" s="48" t="s">
        <v>756</v>
      </c>
      <c r="B90" s="40"/>
      <c r="C90" s="507" t="e">
        <f>VLOOKUP(Gdata!B3,'K18'!$A$4:$DE$436,22,FALSE)</f>
        <v>#N/A</v>
      </c>
      <c r="D90" s="507" t="e">
        <f>VLOOKUP(Gdata!B3,'K19'!$A$4:$DE$436,22,FALSE)</f>
        <v>#N/A</v>
      </c>
      <c r="E90" s="507">
        <f>VLOOKUP(Gdata!B3,'K20'!$A$4:$DE$442,22,FALSE)</f>
        <v>2969.3458392299999</v>
      </c>
      <c r="F90" s="507">
        <f>VLOOKUP(Gdata!B3,'K21'!$A$4:$DL$438,22,FALSE)</f>
        <v>3308.7810311100002</v>
      </c>
      <c r="G90" s="507">
        <f>VLOOKUP(Gdata!B3,'K22'!$A$4:$DY$436,22,FALSE)</f>
        <v>3432.33227343</v>
      </c>
      <c r="H90" s="507">
        <f>VLOOKUP(Gdata!B3,'K23'!$A$4:$EE$436,22,FALSE)</f>
        <v>3791.8511677800002</v>
      </c>
      <c r="I90" s="997">
        <f>H$90</f>
        <v>3791.8511677800002</v>
      </c>
      <c r="J90" s="997">
        <f>I$90</f>
        <v>3791.8511677800002</v>
      </c>
      <c r="K90" s="997">
        <f>J$90</f>
        <v>3791.8511677800002</v>
      </c>
      <c r="M90" s="1111"/>
      <c r="N90" s="1111"/>
      <c r="O90" s="1111"/>
    </row>
    <row r="91" spans="1:15" ht="14">
      <c r="A91" s="48"/>
      <c r="B91" s="46"/>
      <c r="C91" s="499"/>
      <c r="D91" s="499"/>
      <c r="E91" s="499"/>
      <c r="F91" s="499"/>
      <c r="G91" s="499"/>
      <c r="H91" s="499"/>
      <c r="I91" s="499"/>
      <c r="J91" s="499"/>
      <c r="K91" s="499"/>
    </row>
    <row r="92" spans="1:15" ht="14">
      <c r="A92" s="48"/>
      <c r="B92" s="48"/>
      <c r="C92" s="723"/>
      <c r="D92" s="723"/>
      <c r="E92" s="723"/>
      <c r="F92" s="498"/>
      <c r="G92" s="36"/>
      <c r="H92" s="36"/>
      <c r="I92" s="36"/>
      <c r="J92" s="36"/>
      <c r="K92" s="36"/>
    </row>
    <row r="93" spans="1:15" ht="14">
      <c r="A93" s="728" t="s">
        <v>1137</v>
      </c>
      <c r="B93" s="48"/>
      <c r="C93" s="723"/>
      <c r="D93" s="723"/>
      <c r="E93" s="723"/>
      <c r="F93" s="723"/>
      <c r="G93" s="723"/>
      <c r="H93" s="723"/>
      <c r="I93" s="723"/>
      <c r="J93" s="36"/>
      <c r="K93" s="36"/>
    </row>
    <row r="94" spans="1:15" ht="20">
      <c r="A94" s="597" t="s">
        <v>323</v>
      </c>
      <c r="B94" s="64"/>
      <c r="C94" s="1093">
        <f t="shared" ref="C94:K94" si="5">C86</f>
        <v>2018</v>
      </c>
      <c r="D94" s="1093">
        <f t="shared" si="5"/>
        <v>2019</v>
      </c>
      <c r="E94" s="1093">
        <f t="shared" si="5"/>
        <v>2020</v>
      </c>
      <c r="F94" s="1093">
        <f t="shared" si="5"/>
        <v>2021</v>
      </c>
      <c r="G94" s="1093">
        <f t="shared" si="5"/>
        <v>2022</v>
      </c>
      <c r="H94" s="1093">
        <f t="shared" si="5"/>
        <v>2023</v>
      </c>
      <c r="I94" s="219">
        <f t="shared" si="5"/>
        <v>2024</v>
      </c>
      <c r="J94" s="219">
        <f t="shared" si="5"/>
        <v>2025</v>
      </c>
      <c r="K94" s="219">
        <f t="shared" si="5"/>
        <v>2026</v>
      </c>
      <c r="L94" s="929"/>
    </row>
    <row r="95" spans="1:15" ht="14">
      <c r="A95" s="305" t="s">
        <v>351</v>
      </c>
      <c r="B95" s="48"/>
      <c r="C95" s="504" t="e">
        <f>IF(Inngang!C8=235,0,IF(Inngang!C8=238,0,VLOOKUP(Gdata!B3,'K18'!$A$4:$BT$425,32,FALSE)))</f>
        <v>#N/A</v>
      </c>
      <c r="D95" s="504" t="e">
        <f>IF(Inngang!C8=235,0,IF(Inngang!C8=238,0,VLOOKUP(Gdata!B3,'K19'!$A$4:$BT$425,32,FALSE)))</f>
        <v>#N/A</v>
      </c>
      <c r="E95" s="504">
        <f>IF(Inngang!C8=3033,0,IF(Inngang!C8=3036,0,VLOOKUP(Gdata!B3,'K20'!$A$4:$BT$359,32,FALSE)))</f>
        <v>24822.926100000001</v>
      </c>
      <c r="F95" s="233">
        <f>IF(Inngang!C8=3033,0,IF(Inngang!C8=3036,0,VLOOKUP(Gdata!B3,'K21'!$A$4:$BT$359,32,FALSE)))</f>
        <v>25493</v>
      </c>
      <c r="G95" s="233">
        <f>IF(Inngang!C8=3033,0,IF(Inngang!C8=3036,0,VLOOKUP(Gdata!B3,'K22'!$A$4:$BT$359,32,FALSE)))</f>
        <v>26130</v>
      </c>
      <c r="H95" s="233">
        <f>IF(Inngang!C8=3033,0,IF(Inngang!C8=3036,0,VLOOKUP(Gdata!B3,'K23'!$A$4:$BT$359,32,FALSE)))</f>
        <v>27097</v>
      </c>
      <c r="I95" s="235">
        <f>IF(Inngang!$C$8=1576,($H$95*1/2),IF(Inngang!$C$8=1160,($H$95*1/2),IF(Inngang!$C$8=1505,($H$95*3/4),$H95)))</f>
        <v>27097</v>
      </c>
      <c r="J95" s="235">
        <f>IF(Inngang!$C$8=1576,($H$95*0/2),IF(Inngang!$C$8=1160,($H$95*0/2),IF(Inngang!$C$8=1505,($H$95*2/4),$H95)))</f>
        <v>27097</v>
      </c>
      <c r="K95" s="235">
        <f>IF(Inngang!$C$8=1576,($G$95*0/2),IF(Inngang!$C$8=1160,($G$95*0/2),IF(Inngang!$C$8=1505,($H$95*1/4),$H95)))</f>
        <v>27097</v>
      </c>
      <c r="M95" s="1118"/>
      <c r="N95" s="1118"/>
      <c r="O95" s="1111"/>
    </row>
    <row r="96" spans="1:15" ht="13.5" customHeight="1">
      <c r="A96" s="305" t="s">
        <v>1035</v>
      </c>
      <c r="B96" s="305"/>
      <c r="C96" s="304">
        <f>IF(Inngang!C8=235,VLOOKUP(Gdata!B3,'K18'!$A$4:$BT$425,32,FALSE),IF(Inngang!C8=238,VLOOKUP(Gdata!B3,'K18'!$A$4:$BT$425,32,FALSE),0))</f>
        <v>0</v>
      </c>
      <c r="D96" s="304">
        <f>IF(Inngang!C8=235,VLOOKUP(Gdata!B3,'K19'!$A$4:$BT$425,32,FALSE),IF(Inngang!C8=238,VLOOKUP(Gdata!B3,'K19'!$A$4:$BT$425,32,FALSE),0))</f>
        <v>0</v>
      </c>
      <c r="E96" s="304">
        <f>IF(Inngang!C8=3033,VLOOKUP(Gdata!B3,'K20'!$A$4:$BT$359,32,FALSE),IF(Inngang!C8=3036,VLOOKUP(Gdata!B3,'K20'!$A$4:$BT$359,32,FALSE),0))</f>
        <v>0</v>
      </c>
      <c r="F96" s="233">
        <f>IF(Inngang!C8=3033,VLOOKUP(Gdata!B3,'K21'!$A$4:$BT$359,32,FALSE),IF(Inngang!C8=3036,VLOOKUP(Gdata!B3,'K21'!$A$4:$BT$359,32,FALSE),0))</f>
        <v>0</v>
      </c>
      <c r="G96" s="233">
        <f>IF(Inngang!C8=3033,VLOOKUP(Gdata!B3,'K22'!$A$4:$BT$359,32,FALSE),IF(Inngang!C8=3036,VLOOKUP(Gdata!B3,'K22'!$A$4:$BT$359,32,FALSE),0))</f>
        <v>0</v>
      </c>
      <c r="H96" s="233">
        <f>IF(Inngang!C8=3033,VLOOKUP(Gdata!B3,'K23'!$A$4:$BT$359,32,FALSE),IF(Inngang!C8=3036,VLOOKUP(Gdata!B3,'K23'!$A$4:$BT$359,32,FALSE),0))</f>
        <v>0</v>
      </c>
      <c r="I96" s="971">
        <f>H96</f>
        <v>0</v>
      </c>
      <c r="J96" s="971">
        <f>I96</f>
        <v>0</v>
      </c>
      <c r="K96" s="971">
        <f>J96</f>
        <v>0</v>
      </c>
      <c r="M96" s="1111"/>
      <c r="N96" s="1111"/>
      <c r="O96" s="1111"/>
    </row>
    <row r="97" spans="1:15" ht="20">
      <c r="A97" s="239" t="s">
        <v>771</v>
      </c>
      <c r="B97" s="237"/>
      <c r="C97" s="219">
        <f t="shared" ref="C97:K97" si="6">C86</f>
        <v>2018</v>
      </c>
      <c r="D97" s="219">
        <f t="shared" si="6"/>
        <v>2019</v>
      </c>
      <c r="E97" s="219">
        <f t="shared" si="6"/>
        <v>2020</v>
      </c>
      <c r="F97" s="219">
        <f t="shared" si="6"/>
        <v>2021</v>
      </c>
      <c r="G97" s="219">
        <f t="shared" si="6"/>
        <v>2022</v>
      </c>
      <c r="H97" s="219">
        <f t="shared" si="6"/>
        <v>2023</v>
      </c>
      <c r="I97" s="219">
        <f t="shared" si="6"/>
        <v>2024</v>
      </c>
      <c r="J97" s="219">
        <f t="shared" si="6"/>
        <v>2025</v>
      </c>
      <c r="K97" s="219">
        <f t="shared" si="6"/>
        <v>2026</v>
      </c>
    </row>
    <row r="98" spans="1:15" ht="14">
      <c r="A98" s="305" t="s">
        <v>1076</v>
      </c>
      <c r="B98" s="40"/>
      <c r="C98" s="626">
        <f>+'R18'!D74</f>
        <v>23726.016704664507</v>
      </c>
      <c r="D98" s="626">
        <f>'R19'!D74</f>
        <v>24709.670187315456</v>
      </c>
      <c r="E98" s="626">
        <f>+'R20'!D79</f>
        <v>25083.481730463052</v>
      </c>
      <c r="F98" s="626">
        <f>+'R21'!D97</f>
        <v>24761.354940795292</v>
      </c>
      <c r="G98" s="626">
        <f>+'R22'!D103</f>
        <v>26133.520800840481</v>
      </c>
      <c r="H98" s="626">
        <f>+'R23'!D126</f>
        <v>28076.905907363511</v>
      </c>
      <c r="I98" s="997">
        <f>+H98*(Gdata!G60/Gdata!H60)+((-'R23'!I45-'R23'!I57+'R23'!I63+'R23'!I67+'R23'!I71+'R23'!I75)-'R23'!I51)+(Gdata!H11+Gdata!H14)*1000/Gdata!H60</f>
        <v>28296.566086857158</v>
      </c>
      <c r="J98" s="997">
        <f>+I98*(Gdata!H60/Gdata!I60)+((-'R23'!I46-'R23'!I58-'R23'!I79)-'R23'!I52)+(Gdata!I11+Gdata!I14)*1000/Gdata!I60</f>
        <v>28462.985508638634</v>
      </c>
      <c r="K98" s="997">
        <f>+J98*(Gdata!I60/Gdata!J60)+(-'R23'!I47-'R23'!I59)+(Gdata!J11+Gdata!J14)*1000/Gdata!J60</f>
        <v>28463.57868557793</v>
      </c>
      <c r="M98" s="1118"/>
      <c r="N98" s="1111"/>
      <c r="O98" s="1111"/>
    </row>
    <row r="99" spans="1:15" ht="14">
      <c r="A99" s="305" t="s">
        <v>1077</v>
      </c>
      <c r="B99" s="40"/>
      <c r="C99" s="626" t="e">
        <f>+C98*Gdata!B28/1000</f>
        <v>#N/A</v>
      </c>
      <c r="D99" s="626" t="e">
        <f>+D98*Gdata!C28/1000</f>
        <v>#N/A</v>
      </c>
      <c r="E99" s="626">
        <f>+E98*Gdata!D28/1000</f>
        <v>150149.72163855183</v>
      </c>
      <c r="F99" s="626">
        <f>+F98*Gdata!E28/1000</f>
        <v>146834.83479891607</v>
      </c>
      <c r="G99" s="626">
        <f>+G98*Gdata!F28/1000</f>
        <v>154841.11074497987</v>
      </c>
      <c r="H99" s="626">
        <f>+H98*Gdata!G28/1000</f>
        <v>165232.59126483425</v>
      </c>
      <c r="I99" s="1013">
        <f>+I98*Gdata!H28/1000</f>
        <v>166525.29142115437</v>
      </c>
      <c r="J99" s="1013">
        <f>+J98*Gdata!I28/1000</f>
        <v>167504.66971833838</v>
      </c>
      <c r="K99" s="1013">
        <f>+K98*Gdata!J28/1000</f>
        <v>167508.16056462613</v>
      </c>
      <c r="M99" s="1118"/>
      <c r="N99" s="1111"/>
      <c r="O99" s="1111"/>
    </row>
    <row r="100" spans="1:15" ht="14">
      <c r="A100" s="48"/>
      <c r="B100" s="40"/>
      <c r="C100" s="509"/>
      <c r="D100" s="509"/>
      <c r="E100" s="500"/>
      <c r="F100" s="500"/>
      <c r="G100" s="500"/>
      <c r="H100" s="500"/>
      <c r="I100" s="500"/>
      <c r="J100" s="36"/>
      <c r="K100" s="36"/>
      <c r="M100" s="993"/>
    </row>
    <row r="101" spans="1:15" ht="14">
      <c r="A101" s="305" t="s">
        <v>1373</v>
      </c>
      <c r="B101" s="40"/>
      <c r="C101" s="626">
        <f>VLOOKUP(Inngang!$C$8,'K18'!$A$4:$BN$425,64)+VLOOKUP(Inngang!$C$8,'K18'!$A$4:$BN$425,66)</f>
        <v>0</v>
      </c>
      <c r="D101" s="626">
        <f>VLOOKUP(Inngang!$C$8,'K19'!$A$4:$BN$425,64)+VLOOKUP(Inngang!$C$8,'K19'!$A$4:$BN$425,63)</f>
        <v>0</v>
      </c>
      <c r="E101" s="626">
        <f>VLOOKUP(Inngang!$C$8,'K20'!$A$4:$BN$359,64)+VLOOKUP(Inngang!$C$8,'K20'!$A$4:$BN$359,63)</f>
        <v>0</v>
      </c>
      <c r="F101" s="830">
        <f>VLOOKUP(Inngang!$C$8,'K21'!$A$4:$CV$359,64)+VLOOKUP(Inngang!$C$8,'K21'!$A$4:$CV$359,75)</f>
        <v>0</v>
      </c>
      <c r="G101" s="830"/>
      <c r="H101" s="36"/>
      <c r="I101" s="36"/>
      <c r="J101" s="36"/>
      <c r="K101" s="36"/>
      <c r="M101" s="1110"/>
      <c r="N101" s="1110"/>
      <c r="O101" s="1111"/>
    </row>
    <row r="102" spans="1:15" ht="14">
      <c r="A102" s="305" t="s">
        <v>1374</v>
      </c>
      <c r="B102" s="40"/>
      <c r="C102" s="626">
        <f>VLOOKUP(Inngang!$C$8,'K18'!$A$4:$BU$425,73)</f>
        <v>0</v>
      </c>
      <c r="D102" s="626">
        <f>VLOOKUP(Inngang!$C$8,'K19'!$A$4:$BU$425,73)</f>
        <v>0</v>
      </c>
      <c r="E102" s="626">
        <f>VLOOKUP(Inngang!$C$8,'K20'!$A$4:$BU$359,73)</f>
        <v>0</v>
      </c>
      <c r="F102" s="626">
        <f>VLOOKUP(Inngang!$C$8,'K21'!$A$4:$BU$359,73)</f>
        <v>0</v>
      </c>
      <c r="G102" s="626">
        <f>VLOOKUP(Inngang!$C$8,'K22'!$A$4:$BU$359,73)</f>
        <v>0</v>
      </c>
      <c r="H102" s="830"/>
      <c r="I102" s="830"/>
      <c r="J102" s="830"/>
      <c r="K102" s="830"/>
      <c r="M102" s="1111"/>
      <c r="N102" s="1111"/>
      <c r="O102" s="1111"/>
    </row>
    <row r="103" spans="1:15" ht="14">
      <c r="A103" s="48"/>
      <c r="B103" s="40"/>
      <c r="C103" s="509"/>
      <c r="D103" s="500"/>
      <c r="E103" s="500"/>
      <c r="F103" s="500"/>
      <c r="G103" s="500"/>
      <c r="H103" s="500"/>
      <c r="I103" s="500"/>
      <c r="J103" s="36"/>
      <c r="K103" s="36"/>
      <c r="M103" s="988"/>
    </row>
    <row r="104" spans="1:15" ht="14">
      <c r="A104" s="305" t="s">
        <v>1014</v>
      </c>
      <c r="B104" s="40"/>
      <c r="C104" s="626">
        <v>1905149.2907766802</v>
      </c>
      <c r="D104" s="626">
        <v>2086227.942329881</v>
      </c>
      <c r="E104" s="626">
        <v>1909055.8336192712</v>
      </c>
      <c r="F104" s="626">
        <v>2333456.3009975501</v>
      </c>
      <c r="G104" s="493">
        <f>+innut22!I367</f>
        <v>3057344.7021706761</v>
      </c>
      <c r="H104" s="493">
        <f>innut23!I367</f>
        <v>2330579.3331628391</v>
      </c>
      <c r="I104" s="493">
        <f>innut24!I367</f>
        <v>2299646.1428538417</v>
      </c>
      <c r="J104" s="493">
        <f>I104*(1+Gdata!I93)</f>
        <v>2299646.1428538417</v>
      </c>
      <c r="K104" s="493">
        <f>J104*(1+Gdata!J93)</f>
        <v>2299646.1428538417</v>
      </c>
      <c r="M104" s="988"/>
    </row>
    <row r="105" spans="1:15" ht="14">
      <c r="A105" s="305" t="s">
        <v>1015</v>
      </c>
      <c r="B105" s="40"/>
      <c r="C105" s="627">
        <f>-C104*1000/Gdata!B86</f>
        <v>-359.75950890286487</v>
      </c>
      <c r="D105" s="627">
        <f>-D104*1000/Gdata!C86</f>
        <v>-391.54371904306379</v>
      </c>
      <c r="E105" s="627">
        <f>-E104*1000/Gdata!D86</f>
        <v>-355.66416031419584</v>
      </c>
      <c r="F105" s="627">
        <f>-F104*1000/Gdata!E86</f>
        <v>-432.81331717371785</v>
      </c>
      <c r="G105" s="523">
        <f>-G104*1000/Gdata!F86</f>
        <v>-563.53779667568176</v>
      </c>
      <c r="H105" s="523">
        <f>-H104*1000/Gdata!G86</f>
        <v>-425.68545411956319</v>
      </c>
      <c r="I105" s="523">
        <f>-I104*1000/Gdata!H86</f>
        <v>-420.03543870207375</v>
      </c>
      <c r="J105" s="523">
        <f>-J104*1000/Gdata!I86</f>
        <v>-420.03543870207375</v>
      </c>
      <c r="K105" s="523">
        <f>-K104*1000/Gdata!J86</f>
        <v>-420.03543870207375</v>
      </c>
    </row>
    <row r="106" spans="1:15">
      <c r="A106" s="48"/>
      <c r="B106" s="40"/>
      <c r="C106" s="500"/>
      <c r="D106" s="500"/>
      <c r="E106" s="500"/>
      <c r="F106" s="500"/>
      <c r="G106" s="36"/>
      <c r="H106" s="36"/>
      <c r="I106" s="36"/>
      <c r="J106" s="36"/>
      <c r="K106" s="36"/>
    </row>
    <row r="107" spans="1:15" ht="12.75" customHeight="1">
      <c r="A107" s="52"/>
      <c r="B107" s="52"/>
      <c r="C107" s="36"/>
      <c r="D107" s="36"/>
      <c r="E107" s="389"/>
      <c r="F107" s="389"/>
      <c r="G107" s="36"/>
      <c r="H107" s="36"/>
      <c r="I107" s="972"/>
      <c r="J107" s="36"/>
      <c r="K107" s="36"/>
    </row>
    <row r="108" spans="1:15" ht="17.5">
      <c r="A108" s="239" t="s">
        <v>778</v>
      </c>
      <c r="B108" s="107"/>
      <c r="C108" s="1167">
        <v>2018</v>
      </c>
      <c r="D108" s="1167">
        <v>2019</v>
      </c>
      <c r="E108" s="1167">
        <v>2020</v>
      </c>
      <c r="F108" s="1167">
        <v>2021</v>
      </c>
      <c r="G108" s="1167">
        <v>2022</v>
      </c>
      <c r="H108" s="1167">
        <v>2023</v>
      </c>
      <c r="I108" s="108"/>
      <c r="J108" s="108"/>
      <c r="K108" s="108"/>
    </row>
    <row r="109" spans="1:15" ht="14">
      <c r="A109" s="232" t="s">
        <v>1121</v>
      </c>
      <c r="B109" s="287"/>
      <c r="C109" s="510">
        <v>5.4000000000000003E-3</v>
      </c>
      <c r="D109" s="510">
        <v>5.4999999999999997E-3</v>
      </c>
      <c r="E109" s="510">
        <v>5.5999999999999999E-3</v>
      </c>
      <c r="F109" s="510">
        <v>5.4999999999999997E-3</v>
      </c>
      <c r="G109" s="510">
        <v>5.7000000000000002E-3</v>
      </c>
      <c r="H109" s="510">
        <v>5.7000000000000002E-3</v>
      </c>
      <c r="I109" s="502"/>
      <c r="J109" s="36"/>
      <c r="K109" s="36"/>
      <c r="M109" s="1110"/>
      <c r="N109" s="1110"/>
      <c r="O109" s="1111"/>
    </row>
    <row r="110" spans="1:15" ht="14">
      <c r="A110" s="232" t="s">
        <v>1122</v>
      </c>
      <c r="B110" s="287"/>
      <c r="C110" s="510">
        <v>0.1414</v>
      </c>
      <c r="D110" s="510">
        <v>0.1401</v>
      </c>
      <c r="E110" s="510">
        <v>0.13739999999999999</v>
      </c>
      <c r="F110" s="510">
        <v>0.1363</v>
      </c>
      <c r="G110" s="510">
        <v>0.13550000000000001</v>
      </c>
      <c r="H110" s="510">
        <v>0.1361</v>
      </c>
      <c r="I110" s="502"/>
      <c r="J110" s="36"/>
      <c r="K110" s="36"/>
      <c r="M110" s="1110"/>
      <c r="N110" s="1110"/>
      <c r="O110" s="1111"/>
    </row>
    <row r="111" spans="1:15" ht="14">
      <c r="A111" s="232" t="s">
        <v>777</v>
      </c>
      <c r="B111" s="240"/>
      <c r="C111" s="510">
        <v>0.2646</v>
      </c>
      <c r="D111" s="510">
        <v>0.26279999999999998</v>
      </c>
      <c r="E111" s="510">
        <v>0.26150000000000001</v>
      </c>
      <c r="F111" s="510">
        <v>0.26279999999999998</v>
      </c>
      <c r="G111" s="510">
        <v>0.26319999999999999</v>
      </c>
      <c r="H111" s="510">
        <v>0.26450000000000001</v>
      </c>
      <c r="I111" s="502"/>
      <c r="J111" s="36"/>
      <c r="K111" s="36"/>
      <c r="M111" s="1110"/>
      <c r="N111" s="1110"/>
      <c r="O111" s="1111"/>
    </row>
    <row r="112" spans="1:15" ht="14">
      <c r="A112" s="232" t="s">
        <v>163</v>
      </c>
      <c r="B112" s="240"/>
      <c r="C112" s="510">
        <v>2.2499999999999999E-2</v>
      </c>
      <c r="D112" s="510">
        <v>2.29E-2</v>
      </c>
      <c r="E112" s="510">
        <v>2.3300000000000001E-2</v>
      </c>
      <c r="F112" s="510">
        <v>2.3099999999999999E-2</v>
      </c>
      <c r="G112" s="510">
        <v>2.3599999999999999E-2</v>
      </c>
      <c r="H112" s="510">
        <v>2.3599999999999999E-2</v>
      </c>
      <c r="I112" s="502"/>
      <c r="J112" s="36"/>
      <c r="K112" s="36"/>
      <c r="M112" s="1110"/>
      <c r="N112" s="1110"/>
      <c r="O112" s="1111"/>
    </row>
    <row r="113" spans="1:15" ht="14">
      <c r="A113" s="232" t="s">
        <v>158</v>
      </c>
      <c r="B113" s="240"/>
      <c r="C113" s="510">
        <v>0.1033</v>
      </c>
      <c r="D113" s="510">
        <v>0.1031</v>
      </c>
      <c r="E113" s="510">
        <v>0.1053</v>
      </c>
      <c r="F113" s="510">
        <v>0.10539999999999999</v>
      </c>
      <c r="G113" s="510">
        <v>0.1051</v>
      </c>
      <c r="H113" s="510">
        <v>0.10489999999999999</v>
      </c>
      <c r="I113" s="502"/>
      <c r="J113" s="36"/>
      <c r="K113" s="36"/>
      <c r="M113" s="1110"/>
      <c r="N113" s="1110"/>
      <c r="O113" s="1111"/>
    </row>
    <row r="114" spans="1:15" ht="14">
      <c r="A114" s="232" t="s">
        <v>723</v>
      </c>
      <c r="B114" s="240"/>
      <c r="C114" s="510">
        <v>5.5100000000000003E-2</v>
      </c>
      <c r="D114" s="510">
        <v>5.5300000000000002E-2</v>
      </c>
      <c r="E114" s="510">
        <v>5.6500000000000002E-2</v>
      </c>
      <c r="F114" s="510">
        <v>5.7200000000000001E-2</v>
      </c>
      <c r="G114" s="510">
        <v>5.7000000000000002E-2</v>
      </c>
      <c r="H114" s="510">
        <v>5.67E-2</v>
      </c>
      <c r="I114" s="502"/>
      <c r="J114" s="36"/>
      <c r="K114" s="36"/>
      <c r="M114" s="1110"/>
      <c r="N114" s="1110"/>
      <c r="O114" s="1111"/>
    </row>
    <row r="115" spans="1:15" ht="14">
      <c r="A115" s="232" t="s">
        <v>724</v>
      </c>
      <c r="B115" s="240"/>
      <c r="C115" s="510">
        <v>7.5800000000000006E-2</v>
      </c>
      <c r="D115" s="510">
        <v>7.5999999999999998E-2</v>
      </c>
      <c r="E115" s="510">
        <v>7.7200000000000005E-2</v>
      </c>
      <c r="F115" s="510">
        <v>7.8100000000000003E-2</v>
      </c>
      <c r="G115" s="510">
        <v>7.7499999999999999E-2</v>
      </c>
      <c r="H115" s="510">
        <v>7.6700000000000004E-2</v>
      </c>
      <c r="I115" s="502"/>
      <c r="J115" s="36"/>
      <c r="K115" s="36"/>
      <c r="M115" s="1110"/>
      <c r="N115" s="1110"/>
      <c r="O115" s="1111"/>
    </row>
    <row r="116" spans="1:15" ht="14">
      <c r="A116" s="232" t="s">
        <v>725</v>
      </c>
      <c r="B116" s="240"/>
      <c r="C116" s="510">
        <v>3.8199999999999998E-2</v>
      </c>
      <c r="D116" s="510">
        <v>3.8300000000000001E-2</v>
      </c>
      <c r="E116" s="510">
        <v>3.8899999999999997E-2</v>
      </c>
      <c r="F116" s="510">
        <v>3.9300000000000002E-2</v>
      </c>
      <c r="G116" s="510">
        <v>3.8899999999999997E-2</v>
      </c>
      <c r="H116" s="510">
        <v>3.85E-2</v>
      </c>
      <c r="I116" s="502"/>
      <c r="J116" s="36"/>
      <c r="K116" s="36"/>
      <c r="M116" s="1110"/>
      <c r="N116" s="1110"/>
      <c r="O116" s="1111"/>
    </row>
    <row r="117" spans="1:15" ht="14">
      <c r="A117" s="232" t="s">
        <v>729</v>
      </c>
      <c r="B117" s="297"/>
      <c r="C117" s="511">
        <v>1.89E-2</v>
      </c>
      <c r="D117" s="511">
        <v>1.8800000000000001E-2</v>
      </c>
      <c r="E117" s="511">
        <v>1.61E-2</v>
      </c>
      <c r="F117" s="511">
        <v>1.6E-2</v>
      </c>
      <c r="G117" s="511">
        <v>1.5900000000000001E-2</v>
      </c>
      <c r="H117" s="511">
        <v>1.5900000000000001E-2</v>
      </c>
      <c r="I117" s="502"/>
      <c r="J117" s="36"/>
      <c r="K117" s="36"/>
      <c r="M117" s="1110"/>
      <c r="N117" s="1110"/>
      <c r="O117" s="1111"/>
    </row>
    <row r="118" spans="1:15" ht="14">
      <c r="A118" s="232" t="s">
        <v>348</v>
      </c>
      <c r="B118" s="240"/>
      <c r="C118" s="510">
        <v>1.01E-2</v>
      </c>
      <c r="D118" s="510">
        <v>1.01E-2</v>
      </c>
      <c r="E118" s="510">
        <v>1.0200000000000001E-2</v>
      </c>
      <c r="F118" s="510">
        <v>0.01</v>
      </c>
      <c r="G118" s="510">
        <v>0.01</v>
      </c>
      <c r="H118" s="510">
        <v>0.01</v>
      </c>
      <c r="I118" s="502"/>
      <c r="J118" s="36"/>
      <c r="K118" s="36"/>
      <c r="M118" s="1110"/>
      <c r="N118" s="1110"/>
      <c r="O118" s="1111"/>
    </row>
    <row r="119" spans="1:15" ht="14">
      <c r="A119" s="232" t="s">
        <v>347</v>
      </c>
      <c r="B119" s="240"/>
      <c r="C119" s="510">
        <v>1.01E-2</v>
      </c>
      <c r="D119" s="510">
        <v>1.01E-2</v>
      </c>
      <c r="E119" s="510">
        <v>1.0200000000000001E-2</v>
      </c>
      <c r="F119" s="510">
        <v>0.01</v>
      </c>
      <c r="G119" s="510">
        <v>0.01</v>
      </c>
      <c r="H119" s="510">
        <v>0.01</v>
      </c>
      <c r="I119" s="502"/>
      <c r="J119" s="36"/>
      <c r="K119" s="36"/>
      <c r="M119" s="1110"/>
      <c r="N119" s="1110"/>
      <c r="O119" s="1111"/>
    </row>
    <row r="120" spans="1:15" ht="14">
      <c r="A120" s="232" t="s">
        <v>746</v>
      </c>
      <c r="B120" s="240"/>
      <c r="C120" s="510">
        <v>2.0999999999999999E-3</v>
      </c>
      <c r="D120" s="510">
        <v>2E-3</v>
      </c>
      <c r="E120" s="510">
        <v>2.0999999999999999E-3</v>
      </c>
      <c r="F120" s="510">
        <v>2.0999999999999999E-3</v>
      </c>
      <c r="G120" s="510">
        <v>2.0999999999999999E-3</v>
      </c>
      <c r="H120" s="510">
        <v>2.0999999999999999E-3</v>
      </c>
      <c r="I120" s="502"/>
      <c r="J120" s="36"/>
      <c r="K120" s="36"/>
      <c r="M120" s="1110"/>
      <c r="N120" s="1110"/>
      <c r="O120" s="1111"/>
    </row>
    <row r="121" spans="1:15" ht="14">
      <c r="A121" s="232" t="s">
        <v>1007</v>
      </c>
      <c r="B121" s="240"/>
      <c r="C121" s="510">
        <v>7.1000000000000004E-3</v>
      </c>
      <c r="D121" s="510">
        <v>7.1000000000000004E-3</v>
      </c>
      <c r="E121" s="510">
        <v>7.0000000000000001E-3</v>
      </c>
      <c r="F121" s="510">
        <v>7.0000000000000001E-3</v>
      </c>
      <c r="G121" s="510">
        <v>7.0000000000000001E-3</v>
      </c>
      <c r="H121" s="510">
        <v>7.1000000000000004E-3</v>
      </c>
      <c r="I121" s="502"/>
      <c r="J121" s="36"/>
      <c r="K121" s="36"/>
      <c r="M121" s="1110"/>
      <c r="N121" s="1110"/>
      <c r="O121" s="1111"/>
    </row>
    <row r="122" spans="1:15" ht="14">
      <c r="A122" s="232" t="s">
        <v>162</v>
      </c>
      <c r="B122" s="240"/>
      <c r="C122" s="510">
        <v>8.3999999999999995E-3</v>
      </c>
      <c r="D122" s="510">
        <v>8.3999999999999995E-3</v>
      </c>
      <c r="E122" s="510">
        <v>8.3999999999999995E-3</v>
      </c>
      <c r="F122" s="510">
        <v>8.2000000000000007E-3</v>
      </c>
      <c r="G122" s="510">
        <v>8.2000000000000007E-3</v>
      </c>
      <c r="H122" s="510">
        <v>8.3999999999999995E-3</v>
      </c>
      <c r="I122" s="502"/>
      <c r="J122" s="36"/>
      <c r="K122" s="36"/>
      <c r="M122" s="1110"/>
      <c r="N122" s="1110"/>
      <c r="O122" s="1111"/>
    </row>
    <row r="123" spans="1:15" ht="14">
      <c r="A123" s="232" t="s">
        <v>726</v>
      </c>
      <c r="B123" s="240"/>
      <c r="C123" s="510">
        <v>4.5100000000000001E-2</v>
      </c>
      <c r="D123" s="510">
        <v>4.5199999999999997E-2</v>
      </c>
      <c r="E123" s="510">
        <v>4.58E-2</v>
      </c>
      <c r="F123" s="510">
        <v>4.6399999999999997E-2</v>
      </c>
      <c r="G123" s="510">
        <v>4.5900000000000003E-2</v>
      </c>
      <c r="H123" s="510">
        <v>4.5400000000000003E-2</v>
      </c>
      <c r="I123" s="502"/>
      <c r="J123" s="36"/>
      <c r="K123" s="36"/>
      <c r="M123" s="1110"/>
      <c r="N123" s="1110"/>
      <c r="O123" s="1111"/>
    </row>
    <row r="124" spans="1:15" ht="14">
      <c r="A124" s="232" t="s">
        <v>159</v>
      </c>
      <c r="B124" s="240"/>
      <c r="C124" s="510">
        <v>1.6400000000000001E-2</v>
      </c>
      <c r="D124" s="510">
        <v>1.8100000000000002E-2</v>
      </c>
      <c r="E124" s="510">
        <v>1.77E-2</v>
      </c>
      <c r="F124" s="510">
        <v>1.67E-2</v>
      </c>
      <c r="G124" s="510">
        <v>1.8599999999999998E-2</v>
      </c>
      <c r="H124" s="510">
        <v>1.8800000000000001E-2</v>
      </c>
      <c r="I124" s="502"/>
      <c r="J124" s="36"/>
      <c r="K124" s="36"/>
      <c r="M124" s="1110"/>
      <c r="N124" s="1110"/>
      <c r="O124" s="1111"/>
    </row>
    <row r="125" spans="1:15" ht="14">
      <c r="A125" s="232" t="s">
        <v>990</v>
      </c>
      <c r="B125" s="240"/>
      <c r="C125" s="510">
        <v>1.03E-2</v>
      </c>
      <c r="D125" s="510">
        <v>1.1299999999999999E-2</v>
      </c>
      <c r="E125" s="510">
        <v>1.11E-2</v>
      </c>
      <c r="F125" s="510">
        <v>1.0500000000000001E-2</v>
      </c>
      <c r="G125" s="510">
        <v>1.17E-2</v>
      </c>
      <c r="H125" s="510">
        <v>1.18E-2</v>
      </c>
      <c r="I125" s="502"/>
      <c r="J125" s="36"/>
      <c r="K125" s="36"/>
      <c r="M125" s="1110"/>
      <c r="N125" s="1110"/>
      <c r="O125" s="1111"/>
    </row>
    <row r="126" spans="1:15" ht="14">
      <c r="A126" s="232" t="s">
        <v>759</v>
      </c>
      <c r="B126" s="240"/>
      <c r="C126" s="510">
        <v>6.4999999999999997E-3</v>
      </c>
      <c r="D126" s="510">
        <v>6.4999999999999997E-3</v>
      </c>
      <c r="E126" s="510">
        <v>6.4999999999999997E-3</v>
      </c>
      <c r="F126" s="510">
        <v>6.3E-3</v>
      </c>
      <c r="G126" s="510">
        <v>6.3E-3</v>
      </c>
      <c r="H126" s="510">
        <v>6.4000000000000003E-3</v>
      </c>
      <c r="I126" s="502"/>
      <c r="J126" s="36"/>
      <c r="K126" s="36"/>
      <c r="M126" s="1110"/>
      <c r="N126" s="1110"/>
      <c r="O126" s="1111"/>
    </row>
    <row r="127" spans="1:15" ht="14">
      <c r="A127" s="232" t="s">
        <v>160</v>
      </c>
      <c r="B127" s="240"/>
      <c r="C127" s="510">
        <v>9.5999999999999992E-3</v>
      </c>
      <c r="D127" s="510">
        <v>9.4999999999999998E-3</v>
      </c>
      <c r="E127" s="510">
        <v>9.5999999999999992E-3</v>
      </c>
      <c r="F127" s="510">
        <v>9.2999999999999992E-3</v>
      </c>
      <c r="G127" s="510">
        <v>9.2999999999999992E-3</v>
      </c>
      <c r="H127" s="510">
        <v>9.4999999999999998E-3</v>
      </c>
      <c r="I127" s="502"/>
      <c r="J127" s="36"/>
      <c r="K127" s="36"/>
      <c r="M127" s="1110"/>
      <c r="N127" s="1110"/>
      <c r="O127" s="1111"/>
    </row>
    <row r="128" spans="1:15" ht="14">
      <c r="A128" s="232" t="s">
        <v>1120</v>
      </c>
      <c r="B128" s="240"/>
      <c r="C128" s="510">
        <v>1.9400000000000001E-2</v>
      </c>
      <c r="D128" s="510">
        <v>1.9400000000000001E-2</v>
      </c>
      <c r="E128" s="510">
        <v>1.95E-2</v>
      </c>
      <c r="F128" s="510">
        <v>1.89E-2</v>
      </c>
      <c r="G128" s="510">
        <v>1.89E-2</v>
      </c>
      <c r="H128" s="510">
        <v>1.9300000000000001E-2</v>
      </c>
      <c r="I128" s="502"/>
      <c r="J128" s="36"/>
      <c r="K128" s="36"/>
      <c r="M128" s="1110"/>
      <c r="N128" s="1110"/>
      <c r="O128" s="1111"/>
    </row>
    <row r="129" spans="1:15" ht="14">
      <c r="A129" s="232" t="s">
        <v>728</v>
      </c>
      <c r="B129" s="240"/>
      <c r="C129" s="510">
        <v>4.8300000000000003E-2</v>
      </c>
      <c r="D129" s="510">
        <v>4.8399999999999999E-2</v>
      </c>
      <c r="E129" s="510">
        <v>4.9099999999999998E-2</v>
      </c>
      <c r="F129" s="510">
        <v>4.9700000000000001E-2</v>
      </c>
      <c r="G129" s="510">
        <v>4.9099999999999998E-2</v>
      </c>
      <c r="H129" s="510">
        <v>4.8599999999999997E-2</v>
      </c>
      <c r="I129" s="502"/>
      <c r="J129" s="36"/>
      <c r="K129" s="36"/>
      <c r="M129" s="1110"/>
      <c r="N129" s="1110"/>
      <c r="O129" s="1111"/>
    </row>
    <row r="130" spans="1:15" ht="14">
      <c r="A130" s="232" t="s">
        <v>727</v>
      </c>
      <c r="B130" s="240"/>
      <c r="C130" s="510">
        <v>4.5100000000000001E-2</v>
      </c>
      <c r="D130" s="510">
        <v>4.5199999999999997E-2</v>
      </c>
      <c r="E130" s="510">
        <v>4.58E-2</v>
      </c>
      <c r="F130" s="510">
        <v>4.6399999999999997E-2</v>
      </c>
      <c r="G130" s="510">
        <v>4.5900000000000003E-2</v>
      </c>
      <c r="H130" s="510">
        <v>4.5400000000000003E-2</v>
      </c>
      <c r="I130" s="502"/>
      <c r="J130" s="36"/>
      <c r="K130" s="36"/>
      <c r="M130" s="1110"/>
      <c r="N130" s="1110"/>
      <c r="O130" s="1111"/>
    </row>
    <row r="131" spans="1:15" ht="14">
      <c r="A131" s="232" t="s">
        <v>1006</v>
      </c>
      <c r="B131" s="240"/>
      <c r="C131" s="510">
        <v>1.7299999999999999E-2</v>
      </c>
      <c r="D131" s="510">
        <v>1.7100000000000001E-2</v>
      </c>
      <c r="E131" s="510">
        <v>1.6799999999999999E-2</v>
      </c>
      <c r="F131" s="510">
        <v>1.66E-2</v>
      </c>
      <c r="G131" s="510">
        <v>1.6500000000000001E-2</v>
      </c>
      <c r="H131" s="510">
        <v>1.6500000000000001E-2</v>
      </c>
      <c r="I131" s="502"/>
      <c r="J131" s="36"/>
      <c r="K131" s="36"/>
      <c r="M131" s="1110"/>
      <c r="N131" s="1110"/>
      <c r="O131" s="1111"/>
    </row>
    <row r="132" spans="1:15" ht="14">
      <c r="A132" s="232" t="s">
        <v>161</v>
      </c>
      <c r="B132" s="240"/>
      <c r="C132" s="510">
        <v>1.9E-2</v>
      </c>
      <c r="D132" s="510">
        <v>1.8800000000000001E-2</v>
      </c>
      <c r="E132" s="510">
        <v>1.84E-2</v>
      </c>
      <c r="F132" s="510">
        <v>1.8200000000000001E-2</v>
      </c>
      <c r="G132" s="510">
        <v>1.8100000000000002E-2</v>
      </c>
      <c r="H132" s="510">
        <v>1.8100000000000002E-2</v>
      </c>
      <c r="I132" s="502"/>
      <c r="J132" s="36"/>
      <c r="K132" s="36"/>
      <c r="M132" s="1110"/>
      <c r="N132" s="1110"/>
      <c r="O132" s="1111"/>
    </row>
    <row r="133" spans="1:15" ht="14">
      <c r="A133" s="295" t="s">
        <v>343</v>
      </c>
      <c r="B133" s="296"/>
      <c r="C133" s="288">
        <f t="shared" ref="C133:H133" si="7">SUM(C109:C132)</f>
        <v>1</v>
      </c>
      <c r="D133" s="288">
        <f t="shared" si="7"/>
        <v>0.99999999999999989</v>
      </c>
      <c r="E133" s="288">
        <f t="shared" si="7"/>
        <v>0.99999999999999989</v>
      </c>
      <c r="F133" s="288">
        <f t="shared" si="7"/>
        <v>0.99999999999999978</v>
      </c>
      <c r="G133" s="288">
        <f t="shared" si="7"/>
        <v>1.0000000000000002</v>
      </c>
      <c r="H133" s="288">
        <f t="shared" si="7"/>
        <v>0.99999999999999978</v>
      </c>
      <c r="I133" s="502"/>
      <c r="J133" s="36"/>
      <c r="K133" s="36"/>
      <c r="M133" s="1110"/>
      <c r="N133" s="1110"/>
      <c r="O133" s="1111"/>
    </row>
    <row r="134" spans="1:15">
      <c r="A134" s="52"/>
      <c r="B134" s="52"/>
      <c r="C134" s="45"/>
      <c r="D134" s="45"/>
      <c r="E134" s="36"/>
      <c r="F134" s="36"/>
      <c r="G134" s="36"/>
      <c r="H134" s="36"/>
      <c r="I134" s="36"/>
      <c r="J134" s="36"/>
      <c r="K134" s="36"/>
    </row>
    <row r="135" spans="1:15">
      <c r="A135" s="52"/>
      <c r="B135" s="52"/>
      <c r="C135" s="50"/>
      <c r="D135" s="50"/>
      <c r="E135" s="50"/>
      <c r="F135" s="50"/>
      <c r="G135" s="50"/>
      <c r="H135" s="50"/>
      <c r="I135" s="50"/>
      <c r="J135" s="50"/>
      <c r="K135" s="50"/>
    </row>
    <row r="136" spans="1:15">
      <c r="A136" s="52"/>
      <c r="B136" s="52"/>
      <c r="C136" s="50"/>
      <c r="D136" s="50"/>
      <c r="E136" s="50"/>
      <c r="F136" s="50"/>
      <c r="G136" s="50"/>
      <c r="H136" s="50"/>
      <c r="I136" s="50"/>
      <c r="J136" s="50"/>
      <c r="K136" s="50"/>
    </row>
    <row r="137" spans="1:15">
      <c r="A137" s="52"/>
      <c r="B137" s="52"/>
      <c r="C137" s="50"/>
      <c r="D137" s="50"/>
      <c r="E137" s="50"/>
      <c r="F137" s="50"/>
      <c r="G137" s="50"/>
      <c r="H137" s="50"/>
      <c r="I137" s="50"/>
      <c r="J137" s="50"/>
      <c r="K137" s="50"/>
    </row>
    <row r="138" spans="1:15">
      <c r="A138" s="52"/>
      <c r="B138" s="52"/>
      <c r="C138" s="50"/>
      <c r="D138" s="50"/>
      <c r="E138" s="50"/>
      <c r="F138" s="50"/>
      <c r="G138" s="50"/>
      <c r="H138" s="50"/>
      <c r="I138" s="50"/>
      <c r="J138" s="50"/>
      <c r="K138" s="50"/>
    </row>
  </sheetData>
  <sheetProtection sheet="1" objects="1" scenarios="1"/>
  <mergeCells count="1">
    <mergeCell ref="A5:B5"/>
  </mergeCells>
  <phoneticPr fontId="32" type="noConversion"/>
  <hyperlinks>
    <hyperlink ref="K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85" max="10" man="1"/>
  </rowBreaks>
  <ignoredErrors>
    <ignoredError sqref="J75 H7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26"/>
  <sheetViews>
    <sheetView showGridLines="0" zoomScale="85" zoomScaleNormal="85" workbookViewId="0">
      <pane xSplit="1" topLeftCell="B1" activePane="topRight" state="frozen"/>
      <selection activeCell="J9" sqref="J9"/>
      <selection pane="topRight" activeCell="K22" sqref="K22"/>
    </sheetView>
  </sheetViews>
  <sheetFormatPr baseColWidth="10" defaultColWidth="9.1796875" defaultRowHeight="13"/>
  <cols>
    <col min="1" max="1" width="34.453125" style="9" customWidth="1"/>
    <col min="2" max="2" width="13" style="9" customWidth="1"/>
    <col min="3" max="3" width="13.54296875" style="9" bestFit="1" customWidth="1"/>
    <col min="4" max="4" width="13.7265625" style="9" customWidth="1"/>
    <col min="5" max="5" width="14.54296875" style="9" customWidth="1"/>
    <col min="6" max="6" width="13.1796875" style="9" customWidth="1"/>
    <col min="7" max="8" width="12.7265625" style="9" customWidth="1"/>
    <col min="9" max="9" width="12.54296875" style="9" customWidth="1"/>
    <col min="10" max="10" width="13.26953125" style="9" customWidth="1"/>
    <col min="11" max="11" width="14" style="9" customWidth="1"/>
    <col min="12" max="12" width="14.1796875" style="9" customWidth="1"/>
    <col min="13" max="13" width="11" style="9" bestFit="1" customWidth="1"/>
    <col min="14" max="14" width="10.26953125" style="9" customWidth="1"/>
    <col min="15" max="15" width="11.54296875" style="9" customWidth="1"/>
    <col min="16" max="16" width="10.7265625" style="9" customWidth="1"/>
    <col min="17" max="17" width="11.26953125" style="9" customWidth="1"/>
    <col min="18" max="18" width="11.81640625" style="9" customWidth="1"/>
    <col min="19" max="19" width="12.1796875" style="9" customWidth="1"/>
    <col min="20" max="20" width="10.26953125" style="9" customWidth="1"/>
    <col min="21" max="21" width="10.81640625" style="9" customWidth="1"/>
    <col min="22" max="16384" width="9.1796875" style="9"/>
  </cols>
  <sheetData>
    <row r="1" spans="1:18" s="55" customFormat="1" ht="15.5">
      <c r="A1" s="55" t="str">
        <f>A2</f>
        <v>HEIM (FRA 1.1.2020)</v>
      </c>
      <c r="B1" s="54"/>
      <c r="C1" s="54"/>
      <c r="D1" s="54"/>
      <c r="E1" s="54"/>
      <c r="F1" s="54"/>
      <c r="G1" s="77" t="s">
        <v>719</v>
      </c>
      <c r="H1" s="77"/>
      <c r="J1" s="54"/>
      <c r="K1" s="54"/>
      <c r="L1" s="54"/>
      <c r="M1" s="54"/>
      <c r="N1" s="54"/>
      <c r="O1" s="54"/>
      <c r="P1" s="54"/>
      <c r="Q1" s="54"/>
    </row>
    <row r="2" spans="1:18" ht="25">
      <c r="A2" s="192" t="str">
        <f>Gdata!C3</f>
        <v>HEIM (FRA 1.1.2020)</v>
      </c>
      <c r="B2" s="17" t="s">
        <v>283</v>
      </c>
      <c r="C2" s="17"/>
      <c r="D2" s="17"/>
      <c r="E2" s="418"/>
      <c r="F2" s="418"/>
      <c r="G2" s="418"/>
      <c r="H2" s="418"/>
      <c r="I2" s="418"/>
      <c r="J2" s="418"/>
      <c r="K2" s="418"/>
      <c r="L2" s="418"/>
      <c r="M2" s="418"/>
      <c r="N2" s="418"/>
      <c r="O2" s="418"/>
      <c r="P2" s="418"/>
      <c r="Q2" s="418"/>
      <c r="R2" s="418"/>
    </row>
    <row r="3" spans="1:18" ht="18" customHeight="1">
      <c r="A3" s="194" t="s">
        <v>266</v>
      </c>
      <c r="B3" s="420" t="s">
        <v>1465</v>
      </c>
      <c r="C3" s="419" t="e">
        <f>(Gdata!D54-Gdata!C54)/Gdata!C54</f>
        <v>#N/A</v>
      </c>
      <c r="D3" s="420" t="s">
        <v>1460</v>
      </c>
      <c r="E3" s="419">
        <f>(Gdata!F54-Gdata!E54)/Gdata!E54</f>
        <v>-9.5943443864669256E-3</v>
      </c>
      <c r="F3" s="418"/>
      <c r="G3" s="418"/>
      <c r="H3" s="418"/>
      <c r="I3" s="418"/>
      <c r="J3" s="418"/>
      <c r="K3" s="418"/>
      <c r="L3" s="418"/>
      <c r="M3" s="418"/>
      <c r="N3" s="418"/>
      <c r="O3" s="418"/>
      <c r="P3" s="418"/>
    </row>
    <row r="4" spans="1:18" ht="18" customHeight="1">
      <c r="A4" s="418"/>
      <c r="B4" s="420" t="s">
        <v>2041</v>
      </c>
      <c r="C4" s="419">
        <f>(Gdata!E54-Gdata!D54)/Gdata!D54</f>
        <v>-3.689418078148583E-3</v>
      </c>
      <c r="D4" s="843" t="s">
        <v>1461</v>
      </c>
      <c r="E4" s="844">
        <f>(Gdata!G54-Gdata!F54)/Gdata!F54</f>
        <v>-7.6478585995921142E-3</v>
      </c>
      <c r="F4" s="418"/>
      <c r="G4" s="418"/>
      <c r="H4" s="418"/>
      <c r="I4" s="418"/>
      <c r="J4" s="418"/>
      <c r="K4" s="418"/>
      <c r="L4" s="418"/>
      <c r="M4" s="418"/>
      <c r="N4" s="418"/>
      <c r="O4" s="418"/>
      <c r="P4" s="418"/>
    </row>
    <row r="5" spans="1:18" ht="12" customHeight="1">
      <c r="A5" s="418"/>
      <c r="B5" s="433"/>
      <c r="C5" s="434"/>
      <c r="D5" s="433"/>
      <c r="F5" s="418"/>
      <c r="G5" s="418"/>
      <c r="H5" s="418"/>
      <c r="I5" s="418"/>
      <c r="J5" s="418"/>
      <c r="K5" s="418"/>
      <c r="L5" s="418"/>
      <c r="M5" s="418"/>
      <c r="N5" s="418"/>
      <c r="O5" s="418"/>
      <c r="P5" s="418"/>
      <c r="Q5" s="418"/>
      <c r="R5" s="418"/>
    </row>
    <row r="6" spans="1:18" ht="20">
      <c r="A6" s="17" t="s">
        <v>325</v>
      </c>
      <c r="B6" s="418"/>
      <c r="C6" s="418"/>
      <c r="D6" s="418"/>
      <c r="E6" s="418"/>
      <c r="F6" s="418"/>
      <c r="G6" s="418"/>
      <c r="H6" s="418"/>
      <c r="I6" s="418"/>
      <c r="J6" s="418"/>
      <c r="K6" s="418"/>
      <c r="L6" s="418"/>
      <c r="M6" s="418"/>
      <c r="N6" s="418"/>
      <c r="O6" s="418"/>
      <c r="P6" s="418"/>
      <c r="Q6" s="418"/>
      <c r="R6" s="418"/>
    </row>
    <row r="7" spans="1:18">
      <c r="A7" s="429"/>
      <c r="B7" s="29">
        <f>+Bregn!C4</f>
        <v>2018</v>
      </c>
      <c r="C7" s="430">
        <f>+Bregn!D4</f>
        <v>2019</v>
      </c>
      <c r="D7" s="430">
        <f>+Bregn!E4</f>
        <v>2020</v>
      </c>
      <c r="E7" s="430">
        <f>+Bregn!F4</f>
        <v>2021</v>
      </c>
      <c r="F7" s="430">
        <f>+Bregn!G4</f>
        <v>2022</v>
      </c>
      <c r="G7" s="430">
        <f>+Bregn!H4</f>
        <v>2023</v>
      </c>
      <c r="H7" s="598">
        <f>+Bregn!I4</f>
        <v>2024</v>
      </c>
      <c r="I7" s="598">
        <f>+Bregn!J4</f>
        <v>2025</v>
      </c>
      <c r="J7" s="598">
        <f>+Bregn!K4</f>
        <v>2026</v>
      </c>
      <c r="K7" s="430" t="s">
        <v>1463</v>
      </c>
      <c r="L7" s="430" t="s">
        <v>1989</v>
      </c>
      <c r="M7" s="430" t="s">
        <v>2204</v>
      </c>
      <c r="N7" s="430" t="s">
        <v>2462</v>
      </c>
      <c r="O7" s="418"/>
      <c r="P7" s="418"/>
      <c r="Q7" s="418"/>
    </row>
    <row r="8" spans="1:18" ht="14">
      <c r="A8" s="413" t="s">
        <v>326</v>
      </c>
      <c r="B8" s="421">
        <f>+'R18'!D74</f>
        <v>23726.016704664507</v>
      </c>
      <c r="C8" s="421">
        <f>+'R19'!D74</f>
        <v>24709.670187315456</v>
      </c>
      <c r="D8" s="421">
        <f>+'R20'!D79</f>
        <v>25083.481730463052</v>
      </c>
      <c r="E8" s="421">
        <f>+'R21'!D97</f>
        <v>24761.354940795292</v>
      </c>
      <c r="F8" s="421">
        <f>'R22'!D103</f>
        <v>26133.520800840481</v>
      </c>
      <c r="K8" s="422">
        <f t="shared" ref="K8:M9" si="0">+D8-C8</f>
        <v>373.81154314759624</v>
      </c>
      <c r="L8" s="422">
        <f t="shared" si="0"/>
        <v>-322.12678966776002</v>
      </c>
      <c r="M8" s="422">
        <f t="shared" si="0"/>
        <v>1372.1658600451883</v>
      </c>
      <c r="N8" s="422">
        <f>G19-F8</f>
        <v>1943.3851065230265</v>
      </c>
      <c r="O8" s="418"/>
      <c r="P8" s="418"/>
      <c r="Q8" s="418"/>
    </row>
    <row r="9" spans="1:18" ht="14">
      <c r="A9" s="413" t="s">
        <v>268</v>
      </c>
      <c r="B9" s="421" t="e">
        <f>+Bregn!C99</f>
        <v>#N/A</v>
      </c>
      <c r="C9" s="421" t="e">
        <f>+Bregn!D99</f>
        <v>#N/A</v>
      </c>
      <c r="D9" s="421">
        <f>+Bregn!E99</f>
        <v>150149.72163855183</v>
      </c>
      <c r="E9" s="421">
        <f>+Bregn!F99</f>
        <v>146834.83479891607</v>
      </c>
      <c r="F9" s="421">
        <f>+Bregn!G99</f>
        <v>154841.11074497987</v>
      </c>
      <c r="K9" s="422" t="e">
        <f t="shared" si="0"/>
        <v>#N/A</v>
      </c>
      <c r="L9" s="422">
        <f t="shared" si="0"/>
        <v>-3314.8868396357575</v>
      </c>
      <c r="M9" s="422">
        <f t="shared" si="0"/>
        <v>8006.2759460638044</v>
      </c>
      <c r="N9" s="422">
        <f>G20-F9</f>
        <v>10391.480519854347</v>
      </c>
      <c r="O9" s="418"/>
      <c r="P9" s="418"/>
      <c r="Q9" s="418"/>
    </row>
    <row r="10" spans="1:18" ht="14">
      <c r="A10" s="413"/>
      <c r="B10" s="421"/>
      <c r="C10" s="421"/>
      <c r="D10" s="421"/>
      <c r="E10" s="421"/>
      <c r="F10" s="421"/>
      <c r="G10" s="422"/>
      <c r="H10" s="422"/>
      <c r="I10" s="422"/>
      <c r="J10" s="422"/>
      <c r="O10" s="418"/>
      <c r="P10" s="418"/>
      <c r="Q10" s="418"/>
    </row>
    <row r="11" spans="1:18" ht="15">
      <c r="A11" s="636" t="s">
        <v>2463</v>
      </c>
      <c r="B11" s="421"/>
      <c r="C11" s="421"/>
      <c r="D11" s="421"/>
      <c r="E11" s="421"/>
      <c r="F11" s="421"/>
      <c r="G11" s="422"/>
      <c r="H11" s="422"/>
      <c r="I11" s="422"/>
      <c r="J11" s="422"/>
      <c r="O11" s="418"/>
      <c r="P11" s="418"/>
      <c r="Q11" s="418"/>
    </row>
    <row r="12" spans="1:18" ht="14">
      <c r="A12" s="658" t="s">
        <v>2464</v>
      </c>
      <c r="B12" s="421"/>
      <c r="C12" s="421"/>
      <c r="D12" s="421"/>
      <c r="E12" s="421"/>
      <c r="F12" s="421"/>
      <c r="G12" s="421">
        <f>+F8/(Gdata!G60/Gdata!F60)</f>
        <v>25875.016129647196</v>
      </c>
      <c r="H12" s="421">
        <f>+G12/(Gdata!H60/Gdata!G60)</f>
        <v>25875.016129647196</v>
      </c>
      <c r="I12" s="421">
        <f>+H12/(Gdata!I60/Gdata!H60)</f>
        <v>25875.016129647196</v>
      </c>
      <c r="J12" s="421">
        <f>+I12/(Gdata!J60/Gdata!I60)</f>
        <v>25875.016129647196</v>
      </c>
      <c r="K12" s="421"/>
      <c r="L12" s="421"/>
      <c r="M12" s="421"/>
      <c r="O12" s="999"/>
      <c r="P12" s="999"/>
      <c r="Q12" s="999"/>
      <c r="R12" s="999"/>
    </row>
    <row r="13" spans="1:18" ht="14">
      <c r="A13" s="658" t="s">
        <v>2465</v>
      </c>
      <c r="B13" s="421"/>
      <c r="C13" s="421"/>
      <c r="D13" s="421"/>
      <c r="E13" s="421"/>
      <c r="F13" s="421"/>
      <c r="G13" s="421">
        <f>'R23'!H7/(Gdata!G60/Gdata!F60)</f>
        <v>-276.97140086476838</v>
      </c>
      <c r="H13" s="421">
        <f>G13/(Gdata!H60/Gdata!G60)</f>
        <v>-276.97140086476838</v>
      </c>
      <c r="I13" s="421">
        <f>H13/(Gdata!I60/Gdata!H60)</f>
        <v>-276.97140086476838</v>
      </c>
      <c r="J13" s="421">
        <f>I13/(Gdata!J60/Gdata!I60)</f>
        <v>-276.97140086476838</v>
      </c>
      <c r="K13" s="421"/>
      <c r="L13" s="421"/>
      <c r="M13" s="421"/>
      <c r="O13" s="999"/>
      <c r="P13" s="999"/>
      <c r="Q13" s="999"/>
      <c r="R13" s="999"/>
    </row>
    <row r="14" spans="1:18" ht="14">
      <c r="A14" s="658" t="s">
        <v>2466</v>
      </c>
      <c r="B14" s="421"/>
      <c r="C14" s="421"/>
      <c r="D14" s="421"/>
      <c r="E14" s="421"/>
      <c r="F14" s="421"/>
      <c r="G14" s="421">
        <f>'R23'!H16/(Gdata!G60/Gdata!F60)</f>
        <v>0.69869177485796885</v>
      </c>
      <c r="H14" s="421">
        <f>G14/(Gdata!H60/Gdata!G60)</f>
        <v>0.69869177485796885</v>
      </c>
      <c r="I14" s="421">
        <f>H14/(Gdata!I60/Gdata!H60)</f>
        <v>0.69869177485796885</v>
      </c>
      <c r="J14" s="421">
        <f>I14/(Gdata!J60/Gdata!I60)</f>
        <v>0.69869177485796885</v>
      </c>
      <c r="K14" s="421"/>
      <c r="L14" s="421"/>
      <c r="M14" s="421"/>
      <c r="O14" s="999"/>
      <c r="P14" s="999"/>
      <c r="Q14" s="999"/>
      <c r="R14" s="999"/>
    </row>
    <row r="15" spans="1:18" ht="14">
      <c r="A15" s="658" t="s">
        <v>2426</v>
      </c>
      <c r="B15" s="421"/>
      <c r="C15" s="421"/>
      <c r="D15" s="421"/>
      <c r="E15" s="421"/>
      <c r="F15" s="421"/>
      <c r="G15" s="421">
        <f>'R23'!H30/(Gdata!G60/Gdata!F60)</f>
        <v>2112.5797072449686</v>
      </c>
      <c r="H15" s="421">
        <f>G15/(Gdata!H60/Gdata!G60)+'R23'!I63+'R23'!I67+'R23'!I71+'R23'!I75</f>
        <v>2148.8714133803933</v>
      </c>
      <c r="I15" s="421">
        <f>H15/(Gdata!I60/Gdata!H60)</f>
        <v>2148.8714133803933</v>
      </c>
      <c r="J15" s="421">
        <f>I15/(Gdata!J60/Gdata!I60)</f>
        <v>2148.8714133803933</v>
      </c>
      <c r="K15" s="421"/>
      <c r="L15" s="421"/>
      <c r="M15" s="421"/>
      <c r="O15" s="999"/>
      <c r="P15" s="999"/>
      <c r="Q15" s="999"/>
      <c r="R15" s="999"/>
    </row>
    <row r="16" spans="1:18" ht="14">
      <c r="A16" s="658" t="s">
        <v>1098</v>
      </c>
      <c r="B16" s="421"/>
      <c r="C16" s="421"/>
      <c r="D16" s="421"/>
      <c r="E16" s="421"/>
      <c r="F16" s="421"/>
      <c r="G16" s="421">
        <f>(-'R23'!G112-'R23'!G113-'R23'!G114-'R23'!G116-'R23'!G117-'R23'!G118-'R23'!G119-'R23'!G120-'R23'!H123)/(Gdata!G28/Gdata!F28)</f>
        <v>302.44919803361876</v>
      </c>
      <c r="H16" s="421">
        <f>G16/(Gdata!H60/Gdata!G60)+(-'R23'!I45-'R23'!I57)-'R23'!I51</f>
        <v>299.37590455028948</v>
      </c>
      <c r="I16" s="421">
        <f>H16/(Gdata!I60/Gdata!H60)+(-'R23'!I46-'R23'!I58-'R23'!I79)-'R23'!I52</f>
        <v>465.79532633176501</v>
      </c>
      <c r="J16" s="421">
        <f>I16/(Gdata!J60/Gdata!I60)+(-'R23'!I47-'R23'!I59)</f>
        <v>466.38850327106184</v>
      </c>
      <c r="K16" s="421"/>
      <c r="L16" s="421"/>
      <c r="M16" s="421"/>
      <c r="O16" s="999"/>
      <c r="P16" s="999"/>
      <c r="Q16" s="999"/>
      <c r="R16" s="999"/>
    </row>
    <row r="17" spans="1:18" ht="14">
      <c r="A17" s="413" t="s">
        <v>1060</v>
      </c>
      <c r="B17" s="421"/>
      <c r="C17" s="421"/>
      <c r="D17" s="421"/>
      <c r="E17" s="421"/>
      <c r="F17" s="421"/>
      <c r="G17" s="421">
        <f>(Gdata!G11*1000/Gdata!G60)</f>
        <v>0</v>
      </c>
      <c r="H17" s="421">
        <f>+G17/(Gdata!H60/Gdata!G60)+(Gdata!H11*1000/Gdata!H60)+(Gdata!H14*1000/Gdata!H60)</f>
        <v>186.44176684155116</v>
      </c>
      <c r="I17" s="421">
        <f>+H17/(Gdata!I60/Gdata!H60)+(Gdata!I11*1000/Gdata!I60)</f>
        <v>186.44176684155116</v>
      </c>
      <c r="J17" s="421">
        <f>+I17/(Gdata!J60/Gdata!I60)+(Gdata!J11*1000/Gdata!J60)</f>
        <v>186.44176684155116</v>
      </c>
      <c r="K17" s="421"/>
      <c r="L17" s="421"/>
      <c r="M17" s="421"/>
      <c r="O17" s="999"/>
      <c r="P17" s="999"/>
      <c r="Q17" s="999"/>
      <c r="R17" s="999"/>
    </row>
    <row r="18" spans="1:18" ht="14">
      <c r="A18" s="413" t="s">
        <v>1063</v>
      </c>
      <c r="B18" s="421"/>
      <c r="C18" s="678"/>
      <c r="D18" s="421"/>
      <c r="E18" s="421"/>
      <c r="F18" s="421"/>
      <c r="G18" s="421">
        <f>'R23'!D126-G12-G13-G14-G15-G16-G17</f>
        <v>63.133581527637546</v>
      </c>
      <c r="H18" s="421">
        <f>+G18*Gdata!G60/Gdata!H60</f>
        <v>63.133581527637553</v>
      </c>
      <c r="I18" s="421">
        <f>+H18*Gdata!H60/Gdata!I60</f>
        <v>63.133581527637553</v>
      </c>
      <c r="J18" s="421">
        <f>+I18*Gdata!I60/Gdata!J60</f>
        <v>63.133581527637553</v>
      </c>
      <c r="K18" s="421"/>
      <c r="L18" s="421"/>
      <c r="M18" s="421"/>
      <c r="O18" s="999"/>
      <c r="P18" s="999"/>
      <c r="Q18" s="999"/>
      <c r="R18" s="999"/>
    </row>
    <row r="19" spans="1:18" ht="13.5">
      <c r="A19" s="637" t="s">
        <v>278</v>
      </c>
      <c r="B19" s="637"/>
      <c r="C19" s="670"/>
      <c r="D19" s="670"/>
      <c r="E19" s="670"/>
      <c r="F19" s="670"/>
      <c r="G19" s="670">
        <f>SUM(G12:G18)</f>
        <v>28076.905907363507</v>
      </c>
      <c r="H19" s="670">
        <f>SUM(H12:H18)</f>
        <v>28296.566086857158</v>
      </c>
      <c r="I19" s="670">
        <f>SUM(I12:I18)</f>
        <v>28462.985508638634</v>
      </c>
      <c r="J19" s="670">
        <f>SUM(J12:J18)</f>
        <v>28463.57868557793</v>
      </c>
      <c r="K19" s="1000"/>
      <c r="L19" s="1000"/>
      <c r="M19" s="1000"/>
      <c r="O19" s="999"/>
      <c r="P19" s="999"/>
      <c r="Q19" s="999"/>
      <c r="R19" s="999"/>
    </row>
    <row r="20" spans="1:18" ht="14" thickBot="1">
      <c r="A20" s="638" t="s">
        <v>1073</v>
      </c>
      <c r="B20" s="639"/>
      <c r="C20" s="639"/>
      <c r="D20" s="639"/>
      <c r="E20" s="639"/>
      <c r="F20" s="639"/>
      <c r="G20" s="639">
        <f>G19*Gdata!G28/1000</f>
        <v>165232.59126483422</v>
      </c>
      <c r="H20" s="639">
        <f>H19*Gdata!H28/1000</f>
        <v>166525.29142115437</v>
      </c>
      <c r="I20" s="639">
        <f>I19*Gdata!I28/1000</f>
        <v>167504.66971833838</v>
      </c>
      <c r="J20" s="639">
        <f>J19*Gdata!J28/1000</f>
        <v>167508.16056462613</v>
      </c>
      <c r="K20" s="426"/>
      <c r="L20" s="426"/>
      <c r="M20" s="426"/>
      <c r="O20" s="999"/>
      <c r="P20" s="999"/>
      <c r="Q20" s="999"/>
      <c r="R20" s="999"/>
    </row>
    <row r="21" spans="1:18" ht="14">
      <c r="A21" s="724" t="s">
        <v>1126</v>
      </c>
      <c r="B21" s="725"/>
      <c r="C21" s="726" t="e">
        <f>+Rskudd!D5</f>
        <v>#N/A</v>
      </c>
      <c r="D21" s="726">
        <f>+Rskudd!E5</f>
        <v>150149.72163855183</v>
      </c>
      <c r="E21" s="726">
        <f>+Rskudd!F5</f>
        <v>146834.83479891607</v>
      </c>
      <c r="F21" s="726">
        <f>+Rskudd!G5</f>
        <v>154841.11074497987</v>
      </c>
      <c r="G21" s="726">
        <f>+Rskudd!H5</f>
        <v>165232.59126483425</v>
      </c>
      <c r="H21" s="726">
        <f>+Rskudd!I5</f>
        <v>166525.29142115437</v>
      </c>
      <c r="I21" s="726">
        <f>+Rskudd!J5</f>
        <v>167504.66971833838</v>
      </c>
      <c r="J21" s="726">
        <f>+Rskudd!K5</f>
        <v>167508.16056462613</v>
      </c>
      <c r="L21" s="1001"/>
      <c r="M21" s="1001"/>
      <c r="O21" s="999"/>
      <c r="P21" s="999"/>
      <c r="Q21" s="999"/>
      <c r="R21" s="999"/>
    </row>
    <row r="22" spans="1:18" ht="14">
      <c r="A22" s="658" t="s">
        <v>1135</v>
      </c>
      <c r="B22" s="727"/>
      <c r="C22" s="727" t="e">
        <f>+C9/B9-1</f>
        <v>#N/A</v>
      </c>
      <c r="D22" s="727" t="e">
        <f>+D9/C9-1</f>
        <v>#N/A</v>
      </c>
      <c r="E22" s="727">
        <f>+E9/D9-1</f>
        <v>-2.2077209357840299E-2</v>
      </c>
      <c r="F22" s="727">
        <f>+F21/E9-1</f>
        <v>5.4525725840384176E-2</v>
      </c>
      <c r="G22" s="727">
        <f t="shared" ref="G22:J22" si="1">+G21/F21-1</f>
        <v>6.7110604346987124E-2</v>
      </c>
      <c r="H22" s="727">
        <f t="shared" si="1"/>
        <v>7.8235180264660809E-3</v>
      </c>
      <c r="I22" s="727">
        <f t="shared" si="1"/>
        <v>5.8812585693490682E-3</v>
      </c>
      <c r="J22" s="727">
        <f t="shared" si="1"/>
        <v>2.0840292354940004E-5</v>
      </c>
      <c r="L22" s="422"/>
      <c r="O22" s="418"/>
      <c r="P22" s="418"/>
      <c r="Q22" s="418"/>
    </row>
    <row r="23" spans="1:18" ht="14.5">
      <c r="A23" s="413"/>
      <c r="B23" s="421"/>
      <c r="C23" s="421"/>
      <c r="D23" s="421"/>
      <c r="E23" s="659"/>
      <c r="F23" s="421"/>
      <c r="G23" s="421"/>
      <c r="H23" s="421"/>
      <c r="I23" s="421"/>
      <c r="J23" s="422"/>
      <c r="K23" s="422"/>
      <c r="L23" s="422"/>
      <c r="M23" s="422"/>
      <c r="P23" s="418"/>
      <c r="Q23" s="418"/>
      <c r="R23" s="418"/>
    </row>
    <row r="24" spans="1:18" ht="20">
      <c r="A24" s="17" t="s">
        <v>329</v>
      </c>
      <c r="B24" s="413"/>
      <c r="C24" s="423"/>
      <c r="D24" s="423"/>
      <c r="E24" s="423"/>
      <c r="F24" s="423"/>
      <c r="G24" s="423"/>
      <c r="H24" s="423"/>
      <c r="I24" s="727"/>
      <c r="J24" s="418"/>
      <c r="K24" s="418"/>
      <c r="L24" s="418"/>
      <c r="M24" s="418"/>
      <c r="N24" s="418"/>
      <c r="O24" s="418"/>
      <c r="P24" s="418"/>
      <c r="Q24" s="418"/>
      <c r="R24" s="418"/>
    </row>
    <row r="25" spans="1:18">
      <c r="A25" s="429"/>
      <c r="B25" s="29">
        <f t="shared" ref="B25:J25" si="2">+B7</f>
        <v>2018</v>
      </c>
      <c r="C25" s="430">
        <f t="shared" si="2"/>
        <v>2019</v>
      </c>
      <c r="D25" s="430">
        <f t="shared" si="2"/>
        <v>2020</v>
      </c>
      <c r="E25" s="430">
        <f t="shared" si="2"/>
        <v>2021</v>
      </c>
      <c r="F25" s="598">
        <f t="shared" si="2"/>
        <v>2022</v>
      </c>
      <c r="G25" s="598">
        <f t="shared" si="2"/>
        <v>2023</v>
      </c>
      <c r="H25" s="598">
        <f t="shared" si="2"/>
        <v>2024</v>
      </c>
      <c r="I25" s="598">
        <f t="shared" si="2"/>
        <v>2025</v>
      </c>
      <c r="J25" s="598">
        <f t="shared" si="2"/>
        <v>2026</v>
      </c>
      <c r="K25" s="418"/>
      <c r="L25" s="418"/>
      <c r="M25" s="418"/>
      <c r="N25" s="418"/>
    </row>
    <row r="26" spans="1:18" ht="14">
      <c r="A26" s="428" t="s">
        <v>284</v>
      </c>
      <c r="B26" s="421">
        <f>Gdata!B119</f>
        <v>153172.37637637637</v>
      </c>
      <c r="C26" s="421">
        <f>Gdata!C119</f>
        <v>163996.97697697696</v>
      </c>
      <c r="D26" s="421">
        <f>Gdata!D119</f>
        <v>158118</v>
      </c>
      <c r="E26" s="421">
        <f>Gdata!E119</f>
        <v>176810.02900000001</v>
      </c>
      <c r="F26" s="421">
        <f>Gdata!F119</f>
        <v>196667.09050514281</v>
      </c>
      <c r="G26" s="421">
        <f>Gdata!G119</f>
        <v>179482.67958791932</v>
      </c>
      <c r="H26" s="421">
        <f>Gdata!H119</f>
        <v>188322.8377981385</v>
      </c>
      <c r="I26" s="421">
        <f>Gdata!I119</f>
        <v>188322.8377981385</v>
      </c>
      <c r="J26" s="421">
        <f>Gdata!J119</f>
        <v>188322.8377981385</v>
      </c>
      <c r="K26" s="418"/>
      <c r="L26" s="418"/>
      <c r="M26" s="418"/>
      <c r="N26" s="418"/>
    </row>
    <row r="27" spans="1:18" ht="14">
      <c r="A27" s="428" t="s">
        <v>330</v>
      </c>
      <c r="B27" s="424"/>
      <c r="C27" s="424">
        <f t="shared" ref="C27:J27" si="3">(C26-B26)/B26</f>
        <v>7.0669404344829767E-2</v>
      </c>
      <c r="D27" s="424">
        <f t="shared" si="3"/>
        <v>-3.5848081381416527E-2</v>
      </c>
      <c r="E27" s="424">
        <f t="shared" si="3"/>
        <v>0.11821569334294647</v>
      </c>
      <c r="F27" s="424">
        <f t="shared" si="3"/>
        <v>0.11230732565030462</v>
      </c>
      <c r="G27" s="424">
        <f t="shared" si="3"/>
        <v>-8.7378172286400504E-2</v>
      </c>
      <c r="H27" s="424">
        <f t="shared" si="3"/>
        <v>4.9253544857451481E-2</v>
      </c>
      <c r="I27" s="424">
        <f t="shared" si="3"/>
        <v>0</v>
      </c>
      <c r="J27" s="424">
        <f t="shared" si="3"/>
        <v>0</v>
      </c>
      <c r="K27" s="418"/>
      <c r="L27" s="418"/>
      <c r="M27" s="418"/>
      <c r="N27" s="418"/>
    </row>
    <row r="28" spans="1:18">
      <c r="A28" s="413"/>
      <c r="B28" s="418"/>
      <c r="C28" s="418"/>
      <c r="D28" s="418"/>
      <c r="I28" s="418"/>
      <c r="J28" s="418"/>
      <c r="K28" s="418"/>
      <c r="L28" s="418"/>
      <c r="M28" s="418"/>
      <c r="N28" s="418"/>
    </row>
    <row r="29" spans="1:18" ht="14">
      <c r="A29" s="70" t="s">
        <v>331</v>
      </c>
      <c r="B29" s="424" t="e">
        <f>Gdata!B131</f>
        <v>#N/A</v>
      </c>
      <c r="C29" s="424" t="e">
        <f>Gdata!C131</f>
        <v>#N/A</v>
      </c>
      <c r="D29" s="424">
        <f>Gdata!D131</f>
        <v>0.84272303051930431</v>
      </c>
      <c r="E29" s="424">
        <f>Gdata!E131</f>
        <v>0.81882114228639546</v>
      </c>
      <c r="F29" s="424">
        <f>Gdata!F131</f>
        <v>0.82424762538226648</v>
      </c>
      <c r="G29" s="424">
        <f>Gdata!G131</f>
        <v>0.83774460686439844</v>
      </c>
      <c r="H29" s="424">
        <f>Gdata!H131</f>
        <v>0.87534226608942223</v>
      </c>
      <c r="I29" s="424">
        <f>Gdata!I131</f>
        <v>0.87534226608942223</v>
      </c>
      <c r="J29" s="424">
        <f>Gdata!J131</f>
        <v>0.87534226608942223</v>
      </c>
      <c r="K29" s="418"/>
      <c r="L29" s="418"/>
      <c r="M29" s="418"/>
      <c r="N29" s="418"/>
    </row>
    <row r="30" spans="1:18" ht="14">
      <c r="A30" s="413"/>
      <c r="B30" s="424"/>
      <c r="C30" s="424"/>
      <c r="D30" s="424"/>
      <c r="I30" s="418"/>
      <c r="J30" s="418"/>
      <c r="K30" s="418"/>
      <c r="L30" s="418"/>
      <c r="M30" s="418"/>
      <c r="N30" s="418"/>
    </row>
    <row r="31" spans="1:18" ht="14">
      <c r="A31" s="70" t="s">
        <v>332</v>
      </c>
      <c r="B31" s="425"/>
      <c r="C31" s="425"/>
      <c r="D31" s="425"/>
      <c r="I31" s="418"/>
      <c r="J31" s="418"/>
      <c r="K31" s="418"/>
      <c r="L31" s="418"/>
      <c r="M31" s="418"/>
      <c r="N31" s="418"/>
    </row>
    <row r="32" spans="1:18" ht="14">
      <c r="A32" s="418"/>
      <c r="B32" s="424" t="e">
        <f>Gdata!B135</f>
        <v>#N/A</v>
      </c>
      <c r="C32" s="424" t="e">
        <f>Gdata!C135</f>
        <v>#N/A</v>
      </c>
      <c r="D32" s="424">
        <f>Gdata!D135</f>
        <v>0.94583276798874305</v>
      </c>
      <c r="E32" s="424">
        <f>Gdata!E135</f>
        <v>0.94410299804946496</v>
      </c>
      <c r="F32" s="424">
        <f>Gdata!F135</f>
        <v>0.9423860644410651</v>
      </c>
      <c r="G32" s="424">
        <f>Gdata!G135</f>
        <v>0.94536310294115977</v>
      </c>
      <c r="H32" s="424">
        <f>Gdata!H135</f>
        <v>0.94744436812543065</v>
      </c>
      <c r="I32" s="424">
        <f>Gdata!I135</f>
        <v>0.94744436812543065</v>
      </c>
      <c r="J32" s="424">
        <f>Gdata!J135</f>
        <v>0.94744436812543065</v>
      </c>
      <c r="K32" s="418"/>
      <c r="L32" s="418"/>
      <c r="M32" s="418"/>
      <c r="N32" s="418"/>
    </row>
    <row r="33" spans="1:18" ht="14">
      <c r="A33" s="418"/>
      <c r="B33" s="424"/>
      <c r="C33" s="424"/>
      <c r="D33" s="424"/>
      <c r="E33" s="424"/>
      <c r="F33" s="424"/>
      <c r="G33" s="424"/>
      <c r="H33" s="424"/>
      <c r="I33" s="424"/>
      <c r="J33" s="424"/>
      <c r="K33" s="425"/>
      <c r="L33" s="418"/>
      <c r="M33" s="418"/>
      <c r="N33" s="418"/>
      <c r="O33" s="418"/>
      <c r="P33" s="418"/>
      <c r="Q33" s="418"/>
    </row>
    <row r="34" spans="1:18" ht="20">
      <c r="A34" s="17" t="s">
        <v>333</v>
      </c>
      <c r="B34" s="418"/>
      <c r="C34" s="418"/>
      <c r="D34" s="418"/>
      <c r="E34" s="418"/>
      <c r="F34" s="418"/>
      <c r="G34" s="418"/>
      <c r="H34" s="418"/>
      <c r="I34" s="418"/>
      <c r="J34" s="418"/>
      <c r="K34" s="418"/>
      <c r="L34" s="418"/>
      <c r="M34" s="418"/>
      <c r="N34" s="418"/>
      <c r="O34" s="418"/>
      <c r="P34" s="418"/>
      <c r="Q34" s="418"/>
      <c r="R34" s="418"/>
    </row>
    <row r="35" spans="1:18" ht="15">
      <c r="A35" s="79"/>
      <c r="B35" s="431" t="s">
        <v>335</v>
      </c>
      <c r="C35" s="431" t="s">
        <v>335</v>
      </c>
      <c r="D35" s="431" t="s">
        <v>335</v>
      </c>
      <c r="E35" s="431" t="s">
        <v>335</v>
      </c>
      <c r="F35" s="599" t="s">
        <v>335</v>
      </c>
      <c r="G35" s="599" t="s">
        <v>335</v>
      </c>
      <c r="H35" s="431" t="s">
        <v>335</v>
      </c>
      <c r="I35" s="431" t="s">
        <v>335</v>
      </c>
      <c r="J35" s="431" t="s">
        <v>335</v>
      </c>
      <c r="K35" s="599" t="s">
        <v>335</v>
      </c>
      <c r="L35" s="599" t="s">
        <v>335</v>
      </c>
      <c r="M35" s="418"/>
      <c r="N35" s="418"/>
      <c r="O35" s="418"/>
      <c r="P35" s="418"/>
    </row>
    <row r="36" spans="1:18">
      <c r="A36" s="78"/>
      <c r="B36" s="432">
        <v>2018</v>
      </c>
      <c r="C36" s="432">
        <v>2019</v>
      </c>
      <c r="D36" s="432">
        <v>2020</v>
      </c>
      <c r="E36" s="432">
        <v>2021</v>
      </c>
      <c r="F36" s="600">
        <v>2022</v>
      </c>
      <c r="G36" s="600">
        <v>2023</v>
      </c>
      <c r="H36" s="432" t="s">
        <v>1362</v>
      </c>
      <c r="I36" s="432" t="s">
        <v>1464</v>
      </c>
      <c r="J36" s="432" t="s">
        <v>2012</v>
      </c>
      <c r="K36" s="600" t="s">
        <v>2174</v>
      </c>
      <c r="L36" s="600" t="s">
        <v>2555</v>
      </c>
      <c r="M36" s="418"/>
      <c r="N36" s="418"/>
      <c r="O36" s="418"/>
      <c r="P36" s="418"/>
    </row>
    <row r="37" spans="1:18" ht="14">
      <c r="A37" s="428" t="s">
        <v>1000</v>
      </c>
      <c r="B37" s="421" t="e">
        <f>Inntektsutj!C31</f>
        <v>#N/A</v>
      </c>
      <c r="C37" s="421" t="e">
        <f>Inntektsutj!D31</f>
        <v>#N/A</v>
      </c>
      <c r="D37" s="421">
        <f>Inntektsutj!E31</f>
        <v>3244.3770554650609</v>
      </c>
      <c r="E37" s="421">
        <f>Inntektsutj!F31</f>
        <v>4553.5118702983664</v>
      </c>
      <c r="F37" s="421">
        <f>Inntektsutj!G31</f>
        <v>4790.629147108938</v>
      </c>
      <c r="G37" s="421">
        <f>Inntektsutj!H31</f>
        <v>3948.7473500599285</v>
      </c>
      <c r="H37" s="421" t="e">
        <f t="shared" ref="H37:L38" si="4">C37-B37</f>
        <v>#N/A</v>
      </c>
      <c r="I37" s="421" t="e">
        <f t="shared" si="4"/>
        <v>#N/A</v>
      </c>
      <c r="J37" s="421">
        <f t="shared" si="4"/>
        <v>1309.1348148333054</v>
      </c>
      <c r="K37" s="421">
        <f t="shared" si="4"/>
        <v>237.11727681057164</v>
      </c>
      <c r="L37" s="421">
        <f t="shared" si="4"/>
        <v>-841.88179704900949</v>
      </c>
      <c r="M37" s="418"/>
      <c r="N37" s="418"/>
      <c r="O37" s="418"/>
      <c r="P37" s="418"/>
    </row>
    <row r="38" spans="1:18" ht="14">
      <c r="A38" s="428" t="s">
        <v>268</v>
      </c>
      <c r="B38" s="421" t="e">
        <f>Inntektsutj!C33</f>
        <v>#N/A</v>
      </c>
      <c r="C38" s="421" t="e">
        <f>Inntektsutj!D33</f>
        <v>#N/A</v>
      </c>
      <c r="D38" s="421">
        <f>Inntektsutj!E33</f>
        <v>19346.22038173816</v>
      </c>
      <c r="E38" s="421">
        <f>Inntektsutj!F33</f>
        <v>27052.414021442597</v>
      </c>
      <c r="F38" s="421">
        <f>Inntektsutj!G33</f>
        <v>28188.06190158899</v>
      </c>
      <c r="G38" s="421">
        <f>Inntektsutj!H33</f>
        <v>23056.735776999925</v>
      </c>
      <c r="H38" s="421" t="e">
        <f t="shared" si="4"/>
        <v>#N/A</v>
      </c>
      <c r="I38" s="421" t="e">
        <f t="shared" si="4"/>
        <v>#N/A</v>
      </c>
      <c r="J38" s="421">
        <f t="shared" si="4"/>
        <v>7706.1936397044374</v>
      </c>
      <c r="K38" s="421">
        <f t="shared" si="4"/>
        <v>1135.6478801463927</v>
      </c>
      <c r="L38" s="421">
        <f t="shared" si="4"/>
        <v>-5131.3261245890644</v>
      </c>
      <c r="M38" s="418"/>
      <c r="N38" s="418"/>
      <c r="O38" s="418"/>
      <c r="P38" s="418"/>
    </row>
    <row r="39" spans="1:18">
      <c r="A39" s="418"/>
      <c r="B39" s="426"/>
      <c r="C39" s="426"/>
      <c r="D39" s="426"/>
      <c r="E39" s="426"/>
      <c r="F39" s="426"/>
      <c r="G39" s="418"/>
      <c r="H39" s="418"/>
      <c r="I39" s="418"/>
      <c r="J39" s="418"/>
      <c r="K39" s="418"/>
      <c r="L39" s="418"/>
      <c r="M39" s="418"/>
      <c r="N39" s="418"/>
      <c r="O39" s="418"/>
      <c r="P39" s="418"/>
      <c r="Q39" s="418"/>
      <c r="R39" s="418"/>
    </row>
    <row r="40" spans="1:18" ht="20">
      <c r="A40" s="17" t="s">
        <v>336</v>
      </c>
      <c r="B40" s="427"/>
      <c r="C40" s="427"/>
      <c r="D40" s="427"/>
      <c r="E40" s="427"/>
      <c r="F40" s="427"/>
      <c r="G40" s="418"/>
      <c r="H40" s="418"/>
      <c r="I40" s="418"/>
      <c r="J40" s="418"/>
      <c r="K40" s="418"/>
      <c r="L40" s="418"/>
      <c r="M40" s="418"/>
      <c r="N40" s="418"/>
      <c r="O40" s="418"/>
      <c r="P40" s="418"/>
      <c r="Q40" s="418"/>
      <c r="R40" s="418"/>
    </row>
    <row r="41" spans="1:18">
      <c r="A41" s="429" t="s">
        <v>268</v>
      </c>
      <c r="B41" s="1068">
        <f t="shared" ref="B41:G41" si="5">+B7</f>
        <v>2018</v>
      </c>
      <c r="C41" s="432">
        <f t="shared" si="5"/>
        <v>2019</v>
      </c>
      <c r="D41" s="432">
        <f t="shared" si="5"/>
        <v>2020</v>
      </c>
      <c r="E41" s="432">
        <f t="shared" si="5"/>
        <v>2021</v>
      </c>
      <c r="F41" s="1058">
        <f t="shared" si="5"/>
        <v>2022</v>
      </c>
      <c r="G41" s="1058">
        <f t="shared" si="5"/>
        <v>2023</v>
      </c>
      <c r="H41" s="432" t="s">
        <v>1362</v>
      </c>
      <c r="I41" s="432" t="s">
        <v>1464</v>
      </c>
      <c r="J41" s="432" t="s">
        <v>2012</v>
      </c>
      <c r="K41" s="1058" t="s">
        <v>2174</v>
      </c>
      <c r="L41" s="1058" t="s">
        <v>2555</v>
      </c>
      <c r="M41" s="418"/>
      <c r="N41" s="418"/>
      <c r="O41" s="418"/>
      <c r="P41" s="418"/>
    </row>
    <row r="42" spans="1:18" ht="14">
      <c r="A42" s="428" t="s">
        <v>269</v>
      </c>
      <c r="B42" s="421" t="e">
        <f>Rskudd!C18</f>
        <v>#N/A</v>
      </c>
      <c r="C42" s="421" t="e">
        <f>Rskudd!D18</f>
        <v>#N/A</v>
      </c>
      <c r="D42" s="421">
        <f>Rskudd!E18</f>
        <v>30</v>
      </c>
      <c r="E42" s="421">
        <f>Rskudd!F18</f>
        <v>0</v>
      </c>
      <c r="F42" s="421">
        <f>Rskudd!G18</f>
        <v>0</v>
      </c>
      <c r="G42" s="421">
        <f>Rskudd!H18</f>
        <v>0</v>
      </c>
      <c r="H42" s="421" t="e">
        <f>C42-B42</f>
        <v>#N/A</v>
      </c>
      <c r="I42" s="421" t="e">
        <f>D42-C42</f>
        <v>#N/A</v>
      </c>
      <c r="J42" s="421">
        <f>E42-D42</f>
        <v>-30</v>
      </c>
      <c r="K42" s="421">
        <f>F42-E42</f>
        <v>0</v>
      </c>
      <c r="L42" s="421">
        <f>G42-F42</f>
        <v>0</v>
      </c>
      <c r="M42" s="418"/>
      <c r="N42" s="418"/>
      <c r="O42" s="418"/>
      <c r="P42" s="418"/>
    </row>
    <row r="43" spans="1:18" ht="8.25" customHeight="1">
      <c r="A43" s="418"/>
      <c r="B43" s="426"/>
      <c r="C43" s="427"/>
      <c r="D43" s="426"/>
      <c r="E43" s="418"/>
      <c r="F43" s="418"/>
      <c r="G43" s="418"/>
      <c r="H43" s="418"/>
      <c r="I43" s="418"/>
      <c r="J43" s="418"/>
      <c r="K43" s="418"/>
      <c r="L43" s="418"/>
      <c r="M43" s="418"/>
      <c r="N43" s="418"/>
      <c r="O43" s="418"/>
    </row>
    <row r="44" spans="1:18" s="1172" customFormat="1" ht="36.75" customHeight="1">
      <c r="A44" s="1169" t="s">
        <v>2175</v>
      </c>
      <c r="B44" s="1170" t="e">
        <f>Rskudd!C51</f>
        <v>#N/A</v>
      </c>
      <c r="C44" s="1170" t="e">
        <f>Rskudd!D51</f>
        <v>#N/A</v>
      </c>
      <c r="D44" s="1170">
        <f>Rskudd!E51</f>
        <v>0</v>
      </c>
      <c r="E44" s="1170">
        <f>Rskudd!F51+Rskudd!E49</f>
        <v>250</v>
      </c>
      <c r="F44" s="1170">
        <f>Rskudd!G51</f>
        <v>550</v>
      </c>
      <c r="G44" s="1170">
        <f>Rskudd!H51</f>
        <v>0</v>
      </c>
      <c r="H44" s="1171"/>
      <c r="I44" s="1171"/>
      <c r="J44" s="1171"/>
      <c r="K44" s="1171"/>
      <c r="L44" s="1171"/>
      <c r="M44" s="1171"/>
      <c r="N44" s="1171"/>
      <c r="O44" s="1171"/>
    </row>
    <row r="45" spans="1:18">
      <c r="A45" s="428"/>
      <c r="B45" s="415"/>
      <c r="C45" s="415"/>
      <c r="D45" s="415"/>
      <c r="E45" s="415"/>
      <c r="F45" s="426"/>
      <c r="G45" s="426"/>
      <c r="H45" s="426"/>
      <c r="I45" s="426"/>
      <c r="J45" s="426"/>
      <c r="K45" s="426"/>
      <c r="L45" s="426"/>
      <c r="M45" s="426"/>
      <c r="N45" s="426"/>
      <c r="O45" s="426"/>
    </row>
    <row r="46" spans="1:18">
      <c r="A46" s="428" t="s">
        <v>2178</v>
      </c>
      <c r="B46" s="415"/>
      <c r="C46" s="415"/>
      <c r="D46" s="415">
        <f>+Rskudd!E48</f>
        <v>1041</v>
      </c>
      <c r="E46" s="415">
        <f>+Rskudd!F48</f>
        <v>1100</v>
      </c>
      <c r="F46" s="426"/>
      <c r="G46" s="426"/>
      <c r="H46" s="426"/>
      <c r="I46" s="426"/>
      <c r="J46" s="426"/>
      <c r="K46" s="426"/>
      <c r="L46" s="426"/>
      <c r="M46" s="426"/>
      <c r="N46" s="426"/>
      <c r="O46" s="426"/>
    </row>
    <row r="47" spans="1:18">
      <c r="A47" s="428"/>
      <c r="B47" s="415"/>
      <c r="C47" s="415"/>
      <c r="E47" s="426"/>
      <c r="F47" s="426"/>
      <c r="G47" s="426"/>
      <c r="H47" s="426"/>
      <c r="I47" s="426"/>
      <c r="J47" s="426"/>
      <c r="K47" s="426"/>
      <c r="L47" s="426"/>
      <c r="M47" s="426"/>
      <c r="N47" s="426"/>
      <c r="O47" s="426"/>
    </row>
    <row r="48" spans="1:18">
      <c r="A48" s="428" t="s">
        <v>2565</v>
      </c>
      <c r="B48" s="415" t="e">
        <f>Rskudd!C20+Rskudd!C21</f>
        <v>#N/A</v>
      </c>
      <c r="C48" s="415" t="e">
        <f>Rskudd!D20+Rskudd!D21</f>
        <v>#N/A</v>
      </c>
      <c r="D48" s="415">
        <f>Rskudd!E20+Rskudd!E21</f>
        <v>0</v>
      </c>
      <c r="E48" s="415">
        <f>Rskudd!F20+Rskudd!F21</f>
        <v>0</v>
      </c>
      <c r="F48" s="415">
        <f>Rskudd!G20+Rskudd!G21</f>
        <v>0</v>
      </c>
      <c r="G48" s="415">
        <f>Rskudd!H20+Rskudd!H21</f>
        <v>0</v>
      </c>
      <c r="H48" s="426"/>
      <c r="I48" s="426"/>
      <c r="J48" s="426"/>
      <c r="K48" s="426"/>
      <c r="L48" s="426"/>
      <c r="M48" s="426"/>
      <c r="N48" s="426"/>
      <c r="O48" s="426"/>
    </row>
    <row r="49" spans="1:19">
      <c r="A49" s="413"/>
      <c r="C49" s="413"/>
      <c r="D49" s="427"/>
      <c r="E49" s="413"/>
      <c r="F49" s="418"/>
      <c r="G49" s="418"/>
      <c r="H49" s="418"/>
      <c r="I49" s="418"/>
      <c r="J49" s="418"/>
      <c r="K49" s="418"/>
      <c r="L49" s="418"/>
      <c r="M49" s="418"/>
      <c r="N49" s="418"/>
      <c r="O49" s="418"/>
      <c r="P49" s="418"/>
    </row>
    <row r="50" spans="1:19" ht="20">
      <c r="A50" s="17" t="s">
        <v>1955</v>
      </c>
      <c r="B50" s="413"/>
      <c r="C50" s="413"/>
      <c r="D50" s="413"/>
      <c r="E50" s="418"/>
      <c r="F50" s="418"/>
      <c r="G50" s="418"/>
      <c r="H50" s="418"/>
      <c r="I50" s="418"/>
      <c r="J50" s="418"/>
      <c r="K50" s="418"/>
      <c r="L50" s="418"/>
      <c r="M50" s="418"/>
      <c r="N50" s="418"/>
      <c r="O50" s="418"/>
      <c r="P50" s="418"/>
    </row>
    <row r="51" spans="1:19">
      <c r="A51" s="429"/>
      <c r="B51" s="29">
        <f t="shared" ref="B51:J51" si="6">+B7</f>
        <v>2018</v>
      </c>
      <c r="C51" s="430">
        <f t="shared" si="6"/>
        <v>2019</v>
      </c>
      <c r="D51" s="430">
        <f t="shared" si="6"/>
        <v>2020</v>
      </c>
      <c r="E51" s="430">
        <f t="shared" si="6"/>
        <v>2021</v>
      </c>
      <c r="F51" s="430">
        <f t="shared" si="6"/>
        <v>2022</v>
      </c>
      <c r="G51" s="430">
        <f t="shared" si="6"/>
        <v>2023</v>
      </c>
      <c r="H51" s="598">
        <f t="shared" si="6"/>
        <v>2024</v>
      </c>
      <c r="I51" s="598">
        <f t="shared" si="6"/>
        <v>2025</v>
      </c>
      <c r="J51" s="598">
        <f t="shared" si="6"/>
        <v>2026</v>
      </c>
      <c r="K51" s="1069" t="str">
        <f>+L7</f>
        <v>endr. 20/21</v>
      </c>
      <c r="L51" s="1069" t="str">
        <f>+M7</f>
        <v>endr. 21/22</v>
      </c>
      <c r="M51" s="1069" t="str">
        <f>+N7</f>
        <v>endr. 22/23</v>
      </c>
      <c r="N51" s="418"/>
      <c r="O51" s="418"/>
      <c r="P51" s="418"/>
    </row>
    <row r="52" spans="1:19" ht="14">
      <c r="A52" s="418" t="s">
        <v>268</v>
      </c>
      <c r="B52" s="421" t="e">
        <f>+Rskudd!C14</f>
        <v>#N/A</v>
      </c>
      <c r="C52" s="421" t="e">
        <f>+Rskudd!D14</f>
        <v>#N/A</v>
      </c>
      <c r="D52" s="421">
        <f>+Rskudd!E14</f>
        <v>0</v>
      </c>
      <c r="E52" s="421">
        <f>+Rskudd!F14</f>
        <v>0</v>
      </c>
      <c r="F52" s="421">
        <f>+Rskudd!G14</f>
        <v>0</v>
      </c>
      <c r="G52" s="421">
        <f>+Rskudd!H14</f>
        <v>0</v>
      </c>
      <c r="H52" s="421">
        <f>+Rskudd!I14</f>
        <v>0</v>
      </c>
      <c r="I52" s="421">
        <f>+Rskudd!J14</f>
        <v>0</v>
      </c>
      <c r="J52" s="421">
        <f>+Rskudd!K14</f>
        <v>0</v>
      </c>
      <c r="K52" s="421">
        <f t="shared" ref="K52:M52" si="7">+E52-D52</f>
        <v>0</v>
      </c>
      <c r="L52" s="421">
        <f t="shared" si="7"/>
        <v>0</v>
      </c>
      <c r="M52" s="421">
        <f t="shared" si="7"/>
        <v>0</v>
      </c>
      <c r="N52" s="418"/>
      <c r="O52" s="418"/>
      <c r="P52" s="418"/>
      <c r="Q52" s="418"/>
      <c r="R52" s="418"/>
    </row>
    <row r="53" spans="1:19" ht="13.5" thickBot="1">
      <c r="A53" s="418"/>
      <c r="B53" s="418"/>
      <c r="C53" s="418"/>
      <c r="D53" s="418"/>
      <c r="F53" s="418"/>
      <c r="G53" s="418"/>
      <c r="H53" s="418"/>
      <c r="I53" s="418"/>
      <c r="J53" s="418"/>
      <c r="K53" s="418"/>
      <c r="L53" s="418"/>
      <c r="M53" s="418"/>
      <c r="N53" s="418"/>
      <c r="O53" s="418"/>
      <c r="P53" s="418"/>
      <c r="Q53" s="418"/>
      <c r="R53" s="418"/>
      <c r="S53" s="418"/>
    </row>
    <row r="54" spans="1:19" ht="17.5">
      <c r="A54" s="561" t="str">
        <f>Analyse!A2</f>
        <v>HEIM (FRA 1.1.2020)</v>
      </c>
      <c r="B54" s="418"/>
      <c r="C54" s="418"/>
      <c r="D54" s="418"/>
      <c r="F54" s="418"/>
      <c r="G54" s="418"/>
      <c r="H54" s="418"/>
      <c r="I54" s="418"/>
      <c r="J54" s="744"/>
      <c r="M54" s="1273" t="s">
        <v>1959</v>
      </c>
      <c r="N54" s="1274"/>
      <c r="O54" s="1274"/>
      <c r="P54" s="973"/>
    </row>
    <row r="55" spans="1:19" ht="20.5" thickBot="1">
      <c r="A55" s="17" t="s">
        <v>1021</v>
      </c>
      <c r="B55" s="413"/>
      <c r="C55" s="413"/>
      <c r="D55" s="413"/>
      <c r="F55" s="413"/>
      <c r="G55" s="413"/>
      <c r="H55" s="413"/>
      <c r="I55" s="413"/>
      <c r="L55" s="975"/>
      <c r="M55" s="559">
        <f>'Ut20'!G43</f>
        <v>54838.67980736</v>
      </c>
      <c r="N55" s="582">
        <f>'Ut21'!G43</f>
        <v>56318.239179759999</v>
      </c>
      <c r="O55" s="582">
        <f>'Ut22'!G43</f>
        <v>59072.6580368672</v>
      </c>
      <c r="P55" s="560">
        <f>'Ut23'!G43</f>
        <v>62858.755062509998</v>
      </c>
      <c r="Q55" s="976"/>
      <c r="R55" s="977"/>
      <c r="S55" s="977"/>
    </row>
    <row r="56" spans="1:19">
      <c r="A56" s="429" t="s">
        <v>1020</v>
      </c>
      <c r="B56" s="430">
        <v>2020</v>
      </c>
      <c r="C56" s="430">
        <v>2021</v>
      </c>
      <c r="D56" s="430">
        <v>2022</v>
      </c>
      <c r="E56" s="430">
        <v>2023</v>
      </c>
      <c r="F56" s="1016">
        <v>2020</v>
      </c>
      <c r="G56" s="1016">
        <v>2021</v>
      </c>
      <c r="H56" s="1016">
        <v>2022</v>
      </c>
      <c r="I56" s="1016">
        <v>2023</v>
      </c>
      <c r="J56" s="1016" t="s">
        <v>2556</v>
      </c>
      <c r="K56" s="1016" t="s">
        <v>2317</v>
      </c>
      <c r="L56" s="1020" t="s">
        <v>2557</v>
      </c>
      <c r="M56" s="1023">
        <v>2020</v>
      </c>
      <c r="N56" s="1023">
        <v>2021</v>
      </c>
      <c r="O56" s="1023">
        <v>2022</v>
      </c>
      <c r="P56" s="1023">
        <v>2023</v>
      </c>
      <c r="Q56" s="1023" t="s">
        <v>2556</v>
      </c>
      <c r="R56" s="1023" t="s">
        <v>2317</v>
      </c>
      <c r="S56" s="1023" t="s">
        <v>2557</v>
      </c>
    </row>
    <row r="57" spans="1:19">
      <c r="A57" s="553"/>
      <c r="B57" s="554" t="s">
        <v>316</v>
      </c>
      <c r="C57" s="554" t="s">
        <v>316</v>
      </c>
      <c r="D57" s="554" t="s">
        <v>316</v>
      </c>
      <c r="E57" s="554" t="s">
        <v>316</v>
      </c>
      <c r="F57" s="1017" t="s">
        <v>1022</v>
      </c>
      <c r="G57" s="1017" t="s">
        <v>1022</v>
      </c>
      <c r="H57" s="1017" t="s">
        <v>1022</v>
      </c>
      <c r="I57" s="1017" t="s">
        <v>1022</v>
      </c>
      <c r="J57" s="1017" t="s">
        <v>1022</v>
      </c>
      <c r="K57" s="1017" t="s">
        <v>1022</v>
      </c>
      <c r="L57" s="1017" t="s">
        <v>1022</v>
      </c>
      <c r="M57" s="1024" t="s">
        <v>748</v>
      </c>
      <c r="N57" s="1024" t="s">
        <v>748</v>
      </c>
      <c r="O57" s="1024" t="s">
        <v>748</v>
      </c>
      <c r="P57" s="1024" t="s">
        <v>748</v>
      </c>
      <c r="Q57" s="1024" t="s">
        <v>748</v>
      </c>
      <c r="R57" s="1024" t="s">
        <v>748</v>
      </c>
      <c r="S57" s="1024" t="s">
        <v>748</v>
      </c>
    </row>
    <row r="58" spans="1:19">
      <c r="A58" s="413" t="s">
        <v>1004</v>
      </c>
      <c r="B58" s="562">
        <f>+'Ut20'!D11</f>
        <v>100</v>
      </c>
      <c r="C58" s="562">
        <f>'Ut21'!D11</f>
        <v>87</v>
      </c>
      <c r="D58" s="562">
        <f>'Ut22'!D11</f>
        <v>89</v>
      </c>
      <c r="E58" s="1015">
        <f>'Ut23'!D11</f>
        <v>100</v>
      </c>
      <c r="F58" s="555">
        <f>'Ut20'!E11</f>
        <v>0.79931939349494308</v>
      </c>
      <c r="G58" s="555">
        <f>+'Ut21'!E11</f>
        <v>0.71785810652641968</v>
      </c>
      <c r="H58" s="555">
        <f>+'Ut22'!E11</f>
        <v>0.7454897196213135</v>
      </c>
      <c r="I58" s="1018">
        <f>+'Ut23'!E11</f>
        <v>0.84478536508398072</v>
      </c>
      <c r="J58" s="640">
        <f>+(G58-F58)/F58</f>
        <v>-0.10191331228977464</v>
      </c>
      <c r="K58" s="640">
        <f>+(H58-G58)/G58</f>
        <v>3.8491747663891393E-2</v>
      </c>
      <c r="L58" s="1021">
        <f>+(I58-H58)/H58</f>
        <v>0.13319519082450451</v>
      </c>
      <c r="M58" s="556">
        <f>+'Ut20'!G11</f>
        <v>-61.628333332594686</v>
      </c>
      <c r="N58" s="556">
        <f>+'Ut21'!G11</f>
        <v>-87.393540516015037</v>
      </c>
      <c r="O58" s="556">
        <f>+'Ut22'!G11</f>
        <v>-85.697212930160845</v>
      </c>
      <c r="P58" s="1025">
        <f>+'Ut23'!G11</f>
        <v>-55.612612694326913</v>
      </c>
      <c r="Q58" s="583">
        <f>N58-M58</f>
        <v>-25.765207183420351</v>
      </c>
      <c r="R58" s="583">
        <f>O58-N58</f>
        <v>1.696327585854192</v>
      </c>
      <c r="S58" s="1027">
        <f>P58-O58</f>
        <v>30.084600235833932</v>
      </c>
    </row>
    <row r="59" spans="1:19">
      <c r="A59" s="413" t="s">
        <v>1005</v>
      </c>
      <c r="B59" s="562">
        <f>+'Ut20'!D12</f>
        <v>255</v>
      </c>
      <c r="C59" s="562">
        <f>'Ut21'!D12</f>
        <v>254</v>
      </c>
      <c r="D59" s="562">
        <f>'Ut22'!D12</f>
        <v>234</v>
      </c>
      <c r="E59" s="1015">
        <f>'Ut23'!D12</f>
        <v>216</v>
      </c>
      <c r="F59" s="555">
        <f>'Ut20'!E12</f>
        <v>0.94218468449380188</v>
      </c>
      <c r="G59" s="555">
        <f>+'Ut21'!E12</f>
        <v>0.97013029808882623</v>
      </c>
      <c r="H59" s="555">
        <f>+'Ut22'!E12</f>
        <v>0.91710112858705217</v>
      </c>
      <c r="I59" s="1018">
        <f>+'Ut23'!E12</f>
        <v>0.8763257636874261</v>
      </c>
      <c r="J59" s="640">
        <f t="shared" ref="J59:J82" si="8">+(G59-F59)/F59</f>
        <v>2.9660441370938227E-2</v>
      </c>
      <c r="K59" s="640">
        <f t="shared" ref="K59:K82" si="9">+(H59-G59)/G59</f>
        <v>-5.466190428877693E-2</v>
      </c>
      <c r="L59" s="1021">
        <f t="shared" ref="L59:L81" si="10">+(I59-H59)/H59</f>
        <v>-4.4461143519087531E-2</v>
      </c>
      <c r="M59" s="556">
        <f>+'Ut20'!G12</f>
        <v>-435.62884000580988</v>
      </c>
      <c r="N59" s="556">
        <f>+'Ut21'!G12</f>
        <v>-229.28508894371868</v>
      </c>
      <c r="O59" s="556">
        <f>+'Ut22'!G12</f>
        <v>-663.55118049491432</v>
      </c>
      <c r="P59" s="1025">
        <f>+'Ut23'!G12</f>
        <v>-1058.0425606492399</v>
      </c>
      <c r="Q59" s="583">
        <f t="shared" ref="Q59:S62" si="11">N59-M59</f>
        <v>206.3437510620912</v>
      </c>
      <c r="R59" s="583">
        <f t="shared" si="11"/>
        <v>-434.26609155119564</v>
      </c>
      <c r="S59" s="1027">
        <f t="shared" si="11"/>
        <v>-394.49138015432561</v>
      </c>
    </row>
    <row r="60" spans="1:19">
      <c r="A60" s="413" t="s">
        <v>777</v>
      </c>
      <c r="B60" s="562">
        <f>+'Ut20'!D13</f>
        <v>655</v>
      </c>
      <c r="C60" s="562">
        <f>'Ut21'!D13</f>
        <v>656</v>
      </c>
      <c r="D60" s="562">
        <f>'Ut22'!D13</f>
        <v>663</v>
      </c>
      <c r="E60" s="1015">
        <f>'Ut23'!D13</f>
        <v>662</v>
      </c>
      <c r="F60" s="555">
        <f>'Ut20'!E13</f>
        <v>0.9111201102338583</v>
      </c>
      <c r="G60" s="555">
        <f>+'Ut21'!E13</f>
        <v>0.92701062771612919</v>
      </c>
      <c r="H60" s="555">
        <f>+'Ut22'!E13</f>
        <v>0.94452073677317627</v>
      </c>
      <c r="I60" s="1018">
        <f>+'Ut23'!E13</f>
        <v>0.95423134125330955</v>
      </c>
      <c r="J60" s="640">
        <f t="shared" si="8"/>
        <v>1.7440639608088823E-2</v>
      </c>
      <c r="K60" s="640">
        <f t="shared" si="9"/>
        <v>1.8888789980959164E-2</v>
      </c>
      <c r="L60" s="1021">
        <f t="shared" si="10"/>
        <v>1.0280986009167154E-2</v>
      </c>
      <c r="M60" s="556">
        <f>+'Ut20'!G13</f>
        <v>-1274.5655959360117</v>
      </c>
      <c r="N60" s="556">
        <f>+'Ut21'!G13</f>
        <v>-1080.2743329169493</v>
      </c>
      <c r="O60" s="556">
        <f>+'Ut22'!G13</f>
        <v>-862.58734577438338</v>
      </c>
      <c r="P60" s="1025">
        <f>+'Ut23'!G13</f>
        <v>-760.95616061507371</v>
      </c>
      <c r="Q60" s="583">
        <f t="shared" si="11"/>
        <v>194.2912630190624</v>
      </c>
      <c r="R60" s="583">
        <f t="shared" si="11"/>
        <v>217.68698714256595</v>
      </c>
      <c r="S60" s="1027">
        <f t="shared" si="11"/>
        <v>101.63118515930967</v>
      </c>
    </row>
    <row r="61" spans="1:19">
      <c r="A61" s="413" t="s">
        <v>163</v>
      </c>
      <c r="B61" s="562">
        <f>+'Ut20'!D14</f>
        <v>556</v>
      </c>
      <c r="C61" s="562">
        <f>'Ut21'!D14</f>
        <v>515</v>
      </c>
      <c r="D61" s="562">
        <f>'Ut22'!D14</f>
        <v>484</v>
      </c>
      <c r="E61" s="1015">
        <f>'Ut23'!D14</f>
        <v>485</v>
      </c>
      <c r="F61" s="555">
        <f>'Ut20'!E14</f>
        <v>1.0873293026064046</v>
      </c>
      <c r="G61" s="555">
        <f>+'Ut21'!E14</f>
        <v>1.0301264363990332</v>
      </c>
      <c r="H61" s="555">
        <f>+'Ut22'!E14</f>
        <v>0.97752371844471275</v>
      </c>
      <c r="I61" s="1018">
        <f>+'Ut23'!E14</f>
        <v>0.99190753487110594</v>
      </c>
      <c r="J61" s="640">
        <f t="shared" si="8"/>
        <v>-5.2608594351547487E-2</v>
      </c>
      <c r="K61" s="640">
        <f t="shared" si="9"/>
        <v>-5.1064331615642673E-2</v>
      </c>
      <c r="L61" s="1021">
        <f t="shared" si="10"/>
        <v>1.4714544675477068E-2</v>
      </c>
      <c r="M61" s="556">
        <f>+'Ut20'!G14</f>
        <v>111.58425135798123</v>
      </c>
      <c r="N61" s="556">
        <f>+'Ut21'!G14</f>
        <v>39.193027352430825</v>
      </c>
      <c r="O61" s="556">
        <f>+'Ut22'!G14</f>
        <v>-31.334515184437567</v>
      </c>
      <c r="P61" s="1025">
        <f>+'Ut23'!G14</f>
        <v>-12.004901887981692</v>
      </c>
      <c r="Q61" s="583">
        <f t="shared" si="11"/>
        <v>-72.391224005550413</v>
      </c>
      <c r="R61" s="583">
        <f t="shared" si="11"/>
        <v>-70.527542536868395</v>
      </c>
      <c r="S61" s="1027">
        <f t="shared" si="11"/>
        <v>19.329613296455875</v>
      </c>
    </row>
    <row r="62" spans="1:19">
      <c r="A62" s="413" t="s">
        <v>158</v>
      </c>
      <c r="B62" s="562">
        <f>+'Ut20'!D15</f>
        <v>3148</v>
      </c>
      <c r="C62" s="562">
        <f>'Ut21'!D15</f>
        <v>3139</v>
      </c>
      <c r="D62" s="562">
        <f>'Ut22'!D15</f>
        <v>3123</v>
      </c>
      <c r="E62" s="1015">
        <f>'Ut23'!D15</f>
        <v>3070</v>
      </c>
      <c r="F62" s="555">
        <f>'Ut20'!E15</f>
        <v>0.91386693331739777</v>
      </c>
      <c r="G62" s="555">
        <f>+'Ut21'!E15</f>
        <v>0.91987898002898372</v>
      </c>
      <c r="H62" s="555">
        <f>+'Ut22'!E15</f>
        <v>0.91656706139402966</v>
      </c>
      <c r="I62" s="1018">
        <f>+'Ut23'!E15</f>
        <v>0.90684395331745171</v>
      </c>
      <c r="J62" s="640">
        <f t="shared" si="8"/>
        <v>6.5786894047712404E-3</v>
      </c>
      <c r="K62" s="640">
        <f t="shared" si="9"/>
        <v>-3.6003851668071664E-3</v>
      </c>
      <c r="L62" s="1021">
        <f t="shared" si="10"/>
        <v>-1.0608179680589688E-2</v>
      </c>
      <c r="M62" s="556">
        <f>+'Ut20'!G15</f>
        <v>-497.37651188587716</v>
      </c>
      <c r="N62" s="556">
        <f>+'Ut21'!G15</f>
        <v>-475.59376034209396</v>
      </c>
      <c r="O62" s="556">
        <f>+'Ut22'!G15</f>
        <v>-517.99643292967744</v>
      </c>
      <c r="P62" s="1025">
        <f>+'Ut23'!G15</f>
        <v>-614.26011039395416</v>
      </c>
      <c r="Q62" s="583">
        <f t="shared" si="11"/>
        <v>21.782751543783206</v>
      </c>
      <c r="R62" s="583">
        <f t="shared" si="11"/>
        <v>-42.402672587583481</v>
      </c>
      <c r="S62" s="1027">
        <f t="shared" si="11"/>
        <v>-96.263677464276725</v>
      </c>
    </row>
    <row r="63" spans="1:19">
      <c r="A63" s="413" t="s">
        <v>723</v>
      </c>
      <c r="B63" s="562">
        <f>+'Ut20'!D16</f>
        <v>913</v>
      </c>
      <c r="C63" s="562">
        <f>'Ut21'!D16</f>
        <v>921</v>
      </c>
      <c r="D63" s="562">
        <f>'Ut22'!D16</f>
        <v>943</v>
      </c>
      <c r="E63" s="1015">
        <f>'Ut23'!D16</f>
        <v>960</v>
      </c>
      <c r="F63" s="555">
        <f>'Ut20'!E16</f>
        <v>1.3853126386339831</v>
      </c>
      <c r="G63" s="555">
        <f>+'Ut21'!E16</f>
        <v>1.3779824804557832</v>
      </c>
      <c r="H63" s="555">
        <f>+'Ut22'!E16</f>
        <v>1.379035527412489</v>
      </c>
      <c r="I63" s="1018">
        <f>+'Ut23'!E16</f>
        <v>1.3923350817462279</v>
      </c>
      <c r="J63" s="640">
        <f t="shared" si="8"/>
        <v>-5.2913385569253076E-3</v>
      </c>
      <c r="K63" s="640">
        <f t="shared" si="9"/>
        <v>7.6419473515912948E-4</v>
      </c>
      <c r="L63" s="1021">
        <f t="shared" si="10"/>
        <v>9.644098407452251E-3</v>
      </c>
      <c r="M63" s="556">
        <f>+'Ut20'!G16</f>
        <v>1193.8470574914577</v>
      </c>
      <c r="N63" s="556">
        <f>+'Ut21'!G16</f>
        <v>1217.6340027318756</v>
      </c>
      <c r="O63" s="556">
        <f>+'Ut22'!G16</f>
        <v>1276.2662573957095</v>
      </c>
      <c r="P63" s="1025">
        <f>+'Ut23'!G16</f>
        <v>1398.3180954954357</v>
      </c>
      <c r="Q63" s="583">
        <f t="shared" ref="Q63:S68" si="12">N63-M63</f>
        <v>23.786945240417936</v>
      </c>
      <c r="R63" s="583">
        <f t="shared" si="12"/>
        <v>58.632254663833919</v>
      </c>
      <c r="S63" s="1027">
        <f t="shared" si="12"/>
        <v>122.05183809972618</v>
      </c>
    </row>
    <row r="64" spans="1:19">
      <c r="A64" s="413" t="s">
        <v>724</v>
      </c>
      <c r="B64" s="562">
        <f>+'Ut20'!D17</f>
        <v>297</v>
      </c>
      <c r="C64" s="562">
        <f>'Ut21'!D17</f>
        <v>292</v>
      </c>
      <c r="D64" s="562">
        <f>'Ut22'!D17</f>
        <v>315</v>
      </c>
      <c r="E64" s="1015">
        <f>'Ut23'!D17</f>
        <v>316</v>
      </c>
      <c r="F64" s="555">
        <f>'Ut20'!E17</f>
        <v>1.4440565733346449</v>
      </c>
      <c r="G64" s="555">
        <f>+'Ut21'!E17</f>
        <v>1.4037769694248954</v>
      </c>
      <c r="H64" s="555">
        <f>+'Ut22'!E17</f>
        <v>1.4949487408455442</v>
      </c>
      <c r="I64" s="1018">
        <f>+'Ut23'!E17</f>
        <v>1.4873218216616932</v>
      </c>
      <c r="J64" s="640">
        <f t="shared" si="8"/>
        <v>-2.7893369729092409E-2</v>
      </c>
      <c r="K64" s="640">
        <f t="shared" si="9"/>
        <v>6.4947476277517499E-2</v>
      </c>
      <c r="L64" s="1021">
        <f t="shared" si="10"/>
        <v>-5.1017931086634804E-3</v>
      </c>
      <c r="M64" s="556">
        <f>+'Ut20'!G17</f>
        <v>1879.9339658400993</v>
      </c>
      <c r="N64" s="556">
        <f>+'Ut21'!G17</f>
        <v>1775.9946200632271</v>
      </c>
      <c r="O64" s="556">
        <f>+'Ut22'!G17</f>
        <v>2265.9401728153798</v>
      </c>
      <c r="P64" s="1025">
        <f>+'Ut23'!G17</f>
        <v>2349.5083799752042</v>
      </c>
      <c r="Q64" s="583">
        <f t="shared" si="12"/>
        <v>-103.93934577687219</v>
      </c>
      <c r="R64" s="583">
        <f t="shared" si="12"/>
        <v>489.94555275215271</v>
      </c>
      <c r="S64" s="1027">
        <f t="shared" si="12"/>
        <v>83.568207159824397</v>
      </c>
    </row>
    <row r="65" spans="1:19">
      <c r="A65" s="413" t="s">
        <v>725</v>
      </c>
      <c r="B65" s="562">
        <f>+'Ut20'!D18</f>
        <v>62</v>
      </c>
      <c r="C65" s="562">
        <f>'Ut21'!D18</f>
        <v>66</v>
      </c>
      <c r="D65" s="562">
        <f>'Ut22'!D18</f>
        <v>74</v>
      </c>
      <c r="E65" s="1015">
        <f>'Ut23'!D18</f>
        <v>76</v>
      </c>
      <c r="F65" s="555">
        <f>'Ut20'!E18</f>
        <v>1.2258879406566436</v>
      </c>
      <c r="G65" s="555">
        <f>+'Ut21'!E18</f>
        <v>1.3040409500484766</v>
      </c>
      <c r="H65" s="555">
        <f>+'Ut22'!E18</f>
        <v>1.43434457061886</v>
      </c>
      <c r="I65" s="1018">
        <f>+'Ut23'!E18</f>
        <v>1.5165115568850667</v>
      </c>
      <c r="J65" s="640">
        <f t="shared" si="8"/>
        <v>6.3752164288336632E-2</v>
      </c>
      <c r="K65" s="640">
        <f t="shared" si="9"/>
        <v>9.9922951472911511E-2</v>
      </c>
      <c r="L65" s="1021">
        <f t="shared" si="10"/>
        <v>5.7285388705975319E-2</v>
      </c>
      <c r="M65" s="556">
        <f>+'Ut20'!G18</f>
        <v>481.86972190552967</v>
      </c>
      <c r="N65" s="556">
        <f>+'Ut21'!G18</f>
        <v>672.93590214917276</v>
      </c>
      <c r="O65" s="556">
        <f>+'Ut22'!G18</f>
        <v>998.09185449414167</v>
      </c>
      <c r="P65" s="1025">
        <f>+'Ut23'!G18</f>
        <v>1249.9900274859731</v>
      </c>
      <c r="Q65" s="583">
        <f t="shared" si="12"/>
        <v>191.06618024364309</v>
      </c>
      <c r="R65" s="583">
        <f t="shared" si="12"/>
        <v>325.15595234496891</v>
      </c>
      <c r="S65" s="1027">
        <f t="shared" si="12"/>
        <v>251.89817299183142</v>
      </c>
    </row>
    <row r="66" spans="1:19">
      <c r="A66" s="658" t="s">
        <v>1363</v>
      </c>
      <c r="B66" s="562">
        <f>+'Ut20'!D19</f>
        <v>0.86505310999999996</v>
      </c>
      <c r="C66" s="562">
        <f>'Ut21'!D19</f>
        <v>0.86890540000000005</v>
      </c>
      <c r="D66" s="562">
        <f>'Ut22'!D19</f>
        <v>0.86987820999999999</v>
      </c>
      <c r="E66" s="1015">
        <f>'Ut23'!D19</f>
        <v>0.87415852999999999</v>
      </c>
      <c r="F66" s="555">
        <f>'Ut20'!E19</f>
        <v>2.8134523466913031</v>
      </c>
      <c r="G66" s="555">
        <f>+'Ut21'!E19</f>
        <v>2.8682917962773136</v>
      </c>
      <c r="H66" s="555">
        <f>+'Ut22'!E19</f>
        <v>2.887800837943419</v>
      </c>
      <c r="I66" s="1018">
        <f>+'Ut23'!E19</f>
        <v>2.9516443086126833</v>
      </c>
      <c r="J66" s="640">
        <f t="shared" si="8"/>
        <v>1.9491870779508029E-2</v>
      </c>
      <c r="K66" s="640">
        <f t="shared" si="9"/>
        <v>6.8016237718302461E-3</v>
      </c>
      <c r="L66" s="1021">
        <f t="shared" si="10"/>
        <v>2.2107989522827064E-2</v>
      </c>
      <c r="M66" s="556">
        <f>+'Ut20'!G19</f>
        <v>1601.1020546363704</v>
      </c>
      <c r="N66" s="556">
        <f>+'Ut21'!G19</f>
        <v>1683.5024678452669</v>
      </c>
      <c r="O66" s="556">
        <f>+'Ut22'!G19</f>
        <v>1773.1268721305328</v>
      </c>
      <c r="P66" s="1025">
        <f>+'Ut23'!G19</f>
        <v>1950.5791118711988</v>
      </c>
      <c r="Q66" s="583">
        <f t="shared" si="12"/>
        <v>82.400413208896452</v>
      </c>
      <c r="R66" s="583">
        <f t="shared" si="12"/>
        <v>89.624404285265882</v>
      </c>
      <c r="S66" s="1027">
        <f t="shared" si="12"/>
        <v>177.45223974066607</v>
      </c>
    </row>
    <row r="67" spans="1:19">
      <c r="A67" s="413" t="s">
        <v>348</v>
      </c>
      <c r="B67" s="562">
        <f>+'Ut20'!D20</f>
        <v>69339.25552644</v>
      </c>
      <c r="C67" s="562">
        <f>'Ut21'!D20</f>
        <v>91256.294702500003</v>
      </c>
      <c r="D67" s="562">
        <f>'Ut22'!D20</f>
        <v>109920.15166667</v>
      </c>
      <c r="E67" s="1015">
        <f>'Ut23'!D20</f>
        <v>108674.414</v>
      </c>
      <c r="F67" s="555">
        <f>'Ut20'!E20</f>
        <v>3.0067220081676367</v>
      </c>
      <c r="G67" s="555">
        <f>+'Ut21'!E20</f>
        <v>3.971441783234603</v>
      </c>
      <c r="H67" s="555">
        <f>+'Ut22'!E20</f>
        <v>4.7391406696541925</v>
      </c>
      <c r="I67" s="1018">
        <f>+'Ut23'!E20</f>
        <v>4.7067762535528912</v>
      </c>
      <c r="J67" s="640">
        <f t="shared" si="8"/>
        <v>0.32085432988029644</v>
      </c>
      <c r="K67" s="640">
        <f t="shared" si="9"/>
        <v>0.19330483192789624</v>
      </c>
      <c r="L67" s="1021">
        <f t="shared" si="10"/>
        <v>-6.8291739699853291E-3</v>
      </c>
      <c r="M67" s="556">
        <f>+'Ut20'!G20</f>
        <v>1122.4690538165323</v>
      </c>
      <c r="N67" s="556">
        <f>+'Ut21'!G20</f>
        <v>1673.4636905693892</v>
      </c>
      <c r="O67" s="556">
        <f>+'Ut22'!G20</f>
        <v>2208.8097813022473</v>
      </c>
      <c r="P67" s="1025">
        <f>+'Ut23'!G20</f>
        <v>2330.0334059360966</v>
      </c>
      <c r="Q67" s="583">
        <f t="shared" si="12"/>
        <v>550.99463675285688</v>
      </c>
      <c r="R67" s="583">
        <f t="shared" si="12"/>
        <v>535.3460907328581</v>
      </c>
      <c r="S67" s="1027">
        <f t="shared" si="12"/>
        <v>121.22362463384934</v>
      </c>
    </row>
    <row r="68" spans="1:19">
      <c r="A68" s="413" t="s">
        <v>347</v>
      </c>
      <c r="B68" s="562">
        <f>+'Ut20'!D21</f>
        <v>20773.865044179998</v>
      </c>
      <c r="C68" s="562">
        <f>'Ut21'!D21</f>
        <v>20626.427788699999</v>
      </c>
      <c r="D68" s="562">
        <f>'Ut22'!D21</f>
        <v>20371.421666670001</v>
      </c>
      <c r="E68" s="1015">
        <f>'Ut23'!D21</f>
        <v>20309.210666669998</v>
      </c>
      <c r="F68" s="555">
        <f>'Ut20'!E21</f>
        <v>1.9604756772400109</v>
      </c>
      <c r="G68" s="555">
        <f>+'Ut21'!E21</f>
        <v>1.9641238429418566</v>
      </c>
      <c r="H68" s="555">
        <f>+'Ut22'!E21</f>
        <v>1.9286226278769103</v>
      </c>
      <c r="I68" s="1018">
        <f>+'Ut23'!E21</f>
        <v>1.9329833967720784</v>
      </c>
      <c r="J68" s="640">
        <f t="shared" si="8"/>
        <v>1.8608574154725653E-3</v>
      </c>
      <c r="K68" s="640">
        <f t="shared" si="9"/>
        <v>-1.8074835348351928E-2</v>
      </c>
      <c r="L68" s="1021">
        <f t="shared" si="10"/>
        <v>2.2610794004675741E-3</v>
      </c>
      <c r="M68" s="556">
        <f>+'Ut20'!G21</f>
        <v>537.24642489460655</v>
      </c>
      <c r="N68" s="556">
        <f>+'Ut21'!G21</f>
        <v>542.97757185708838</v>
      </c>
      <c r="O68" s="556">
        <f>+'Ut22'!G21</f>
        <v>548.56206941869698</v>
      </c>
      <c r="P68" s="1025">
        <f>+'Ut23'!G21</f>
        <v>586.46174815084657</v>
      </c>
      <c r="Q68" s="583">
        <f t="shared" si="12"/>
        <v>5.7311469624818301</v>
      </c>
      <c r="R68" s="583">
        <f t="shared" si="12"/>
        <v>5.5844975616086003</v>
      </c>
      <c r="S68" s="1027">
        <f t="shared" si="12"/>
        <v>37.899678732149596</v>
      </c>
    </row>
    <row r="69" spans="1:19">
      <c r="A69" s="413" t="s">
        <v>746</v>
      </c>
      <c r="B69" s="562">
        <f>+'Ut20'!D22</f>
        <v>4.1325511945300795E-3</v>
      </c>
      <c r="C69" s="562">
        <f>'Ut21'!D22</f>
        <v>4.0455992286418298E-3</v>
      </c>
      <c r="D69" s="562">
        <f>'Ut22'!D22</f>
        <v>4.0600125655226409E-3</v>
      </c>
      <c r="E69" s="1015">
        <f>'Ut23'!D22</f>
        <v>3.9778098558009307E-3</v>
      </c>
      <c r="F69" s="555">
        <f>'Ut20'!E22</f>
        <v>3.6905318342618223</v>
      </c>
      <c r="G69" s="555">
        <f>+'Ut21'!E22</f>
        <v>3.6669604765520538</v>
      </c>
      <c r="H69" s="555">
        <f>+'Ut22'!E22</f>
        <v>3.7015151690724641</v>
      </c>
      <c r="I69" s="1018">
        <f>+'Ut23'!E22</f>
        <v>3.6876980779608939</v>
      </c>
      <c r="J69" s="640">
        <f t="shared" si="8"/>
        <v>-6.3869812721675679E-3</v>
      </c>
      <c r="K69" s="640">
        <f t="shared" si="9"/>
        <v>9.4232519661355037E-3</v>
      </c>
      <c r="L69" s="1021">
        <f t="shared" si="10"/>
        <v>-3.7328203399022084E-3</v>
      </c>
      <c r="M69" s="556">
        <f>+'Ut20'!G22</f>
        <v>309.84494891824539</v>
      </c>
      <c r="N69" s="556">
        <f>+'Ut21'!G22</f>
        <v>315.41688780299307</v>
      </c>
      <c r="O69" s="556">
        <f>+'Ut22'!G22</f>
        <v>335.12993170445702</v>
      </c>
      <c r="P69" s="1025">
        <f>+'Ut23'!G22</f>
        <v>354.78524584549768</v>
      </c>
      <c r="Q69" s="583">
        <f t="shared" ref="Q69:Q76" si="13">N69-M69</f>
        <v>5.5719388847476807</v>
      </c>
      <c r="R69" s="583">
        <f t="shared" ref="R69:S76" si="14">O69-N69</f>
        <v>19.713043901463948</v>
      </c>
      <c r="S69" s="1027">
        <f t="shared" si="14"/>
        <v>19.655314141040662</v>
      </c>
    </row>
    <row r="70" spans="1:19">
      <c r="A70" s="413" t="s">
        <v>1008</v>
      </c>
      <c r="B70" s="562">
        <f>+'Ut20'!D23</f>
        <v>44</v>
      </c>
      <c r="C70" s="562">
        <f>'Ut21'!D23</f>
        <v>44</v>
      </c>
      <c r="D70" s="562">
        <f>'Ut22'!D23</f>
        <v>40</v>
      </c>
      <c r="E70" s="1015">
        <f>'Ut23'!D23</f>
        <v>43</v>
      </c>
      <c r="F70" s="555">
        <f>'Ut20'!E23</f>
        <v>0.76417234665145684</v>
      </c>
      <c r="G70" s="555">
        <f>+'Ut21'!E23</f>
        <v>0.77562611205292287</v>
      </c>
      <c r="H70" s="555">
        <f>+'Ut22'!E23</f>
        <v>0.736965824865353</v>
      </c>
      <c r="I70" s="1018">
        <f>+'Ut23'!E23</f>
        <v>0.82044745131834818</v>
      </c>
      <c r="J70" s="640">
        <f t="shared" si="8"/>
        <v>1.498845836499519E-2</v>
      </c>
      <c r="K70" s="640">
        <f t="shared" si="9"/>
        <v>-4.9843973258254591E-2</v>
      </c>
      <c r="L70" s="1021">
        <f t="shared" si="10"/>
        <v>0.11327747316946161</v>
      </c>
      <c r="M70" s="556">
        <f>+'Ut20'!G23</f>
        <v>-90.527340201912935</v>
      </c>
      <c r="N70" s="556">
        <f>+'Ut21'!G23</f>
        <v>-88.454396009673118</v>
      </c>
      <c r="O70" s="556">
        <f>+'Ut22'!G23</f>
        <v>-108.76689515816908</v>
      </c>
      <c r="P70" s="1025">
        <f>+'Ut23'!G23</f>
        <v>-80.133792716848419</v>
      </c>
      <c r="Q70" s="583">
        <f>N70-M70</f>
        <v>2.0729441922398166</v>
      </c>
      <c r="R70" s="583">
        <f t="shared" si="14"/>
        <v>-20.312499148495959</v>
      </c>
      <c r="S70" s="1027">
        <f t="shared" si="14"/>
        <v>28.633102441320659</v>
      </c>
    </row>
    <row r="71" spans="1:19">
      <c r="A71" s="413" t="s">
        <v>162</v>
      </c>
      <c r="B71" s="562">
        <f>+'Ut20'!D24</f>
        <v>38</v>
      </c>
      <c r="C71" s="562">
        <f>'Ut21'!D24</f>
        <v>43</v>
      </c>
      <c r="D71" s="562">
        <f>'Ut22'!D24</f>
        <v>56</v>
      </c>
      <c r="E71" s="1015">
        <f>'Ut23'!D24</f>
        <v>70</v>
      </c>
      <c r="F71" s="555">
        <f>'Ut20'!E24</f>
        <v>0.22243965187925155</v>
      </c>
      <c r="G71" s="555">
        <f>+'Ut21'!E24</f>
        <v>0.25006022413304174</v>
      </c>
      <c r="H71" s="555">
        <f>+'Ut22'!E24</f>
        <v>0.31188761971741769</v>
      </c>
      <c r="I71" s="1018">
        <f>+'Ut23'!E24</f>
        <v>0.36621167049003128</v>
      </c>
      <c r="J71" s="640">
        <f t="shared" si="8"/>
        <v>0.12417108200107982</v>
      </c>
      <c r="K71" s="640">
        <f t="shared" si="9"/>
        <v>0.24725002066494739</v>
      </c>
      <c r="L71" s="1021">
        <f t="shared" si="10"/>
        <v>0.1741782851843664</v>
      </c>
      <c r="M71" s="556">
        <f>+'Ut20'!G24</f>
        <v>-358.17921687654206</v>
      </c>
      <c r="N71" s="556">
        <f>+'Ut21'!G24</f>
        <v>-346.32935887506591</v>
      </c>
      <c r="O71" s="556">
        <f>+'Ut22'!G24</f>
        <v>-333.31874411721526</v>
      </c>
      <c r="P71" s="1025">
        <f>+'Ut23'!G24</f>
        <v>-334.64882107561374</v>
      </c>
      <c r="Q71" s="583">
        <f t="shared" si="13"/>
        <v>11.84985800147615</v>
      </c>
      <c r="R71" s="583">
        <f t="shared" si="14"/>
        <v>13.010614757850647</v>
      </c>
      <c r="S71" s="1027">
        <f t="shared" si="14"/>
        <v>-1.3300769583984788</v>
      </c>
    </row>
    <row r="72" spans="1:19">
      <c r="A72" s="413" t="s">
        <v>726</v>
      </c>
      <c r="B72" s="562">
        <f>+'Ut20'!D25</f>
        <v>44</v>
      </c>
      <c r="C72" s="562">
        <f>'Ut21'!D25</f>
        <v>47</v>
      </c>
      <c r="D72" s="562">
        <f>'Ut22'!D25</f>
        <v>44</v>
      </c>
      <c r="E72" s="1015">
        <f>'Ut23'!D25</f>
        <v>42</v>
      </c>
      <c r="F72" s="555">
        <f>'Ut20'!E25</f>
        <v>0.97677592882613884</v>
      </c>
      <c r="G72" s="555">
        <f>+'Ut21'!E25</f>
        <v>1.0521657934116306</v>
      </c>
      <c r="H72" s="555">
        <f>+'Ut22'!E25</f>
        <v>0.99124808039241996</v>
      </c>
      <c r="I72" s="1018">
        <f>+'Ut23'!E25</f>
        <v>0.95646744712502729</v>
      </c>
      <c r="J72" s="640">
        <f t="shared" si="8"/>
        <v>7.7182353045998131E-2</v>
      </c>
      <c r="K72" s="640">
        <f t="shared" si="9"/>
        <v>-5.7897446771849492E-2</v>
      </c>
      <c r="L72" s="1021">
        <f t="shared" si="10"/>
        <v>-3.508771815590659E-2</v>
      </c>
      <c r="M72" s="556">
        <f>+'Ut20'!G25</f>
        <v>-58.329845054043389</v>
      </c>
      <c r="N72" s="556">
        <f>+'Ut21'!G25</f>
        <v>136.31789324861873</v>
      </c>
      <c r="O72" s="556">
        <f>+'Ut22'!G25</f>
        <v>-23.730261175243047</v>
      </c>
      <c r="P72" s="1025">
        <f>+'Ut23'!G25</f>
        <v>-124.23265435998084</v>
      </c>
      <c r="Q72" s="583">
        <f t="shared" si="13"/>
        <v>194.64773830266211</v>
      </c>
      <c r="R72" s="583">
        <f t="shared" si="14"/>
        <v>-160.04815442386177</v>
      </c>
      <c r="S72" s="1027">
        <f t="shared" si="14"/>
        <v>-100.5023931847378</v>
      </c>
    </row>
    <row r="73" spans="1:19">
      <c r="A73" s="413" t="s">
        <v>159</v>
      </c>
      <c r="B73" s="562">
        <f>+'Ut20'!D26</f>
        <v>118</v>
      </c>
      <c r="C73" s="562">
        <f>'Ut21'!D26</f>
        <v>123</v>
      </c>
      <c r="D73" s="562">
        <f>'Ut22'!D26</f>
        <v>142</v>
      </c>
      <c r="E73" s="1015">
        <f>'Ut23'!D26</f>
        <v>126</v>
      </c>
      <c r="F73" s="555">
        <f>'Ut20'!E26</f>
        <v>0.9032199528679401</v>
      </c>
      <c r="G73" s="555">
        <f>+'Ut21'!E26</f>
        <v>0.98407735679099073</v>
      </c>
      <c r="H73" s="555">
        <f>+'Ut22'!E26</f>
        <v>1.1665822024384935</v>
      </c>
      <c r="I73" s="1018">
        <f>+'Ut23'!E26</f>
        <v>1.0891523456166325</v>
      </c>
      <c r="J73" s="640">
        <f t="shared" si="8"/>
        <v>8.9521277365838703E-2</v>
      </c>
      <c r="K73" s="640">
        <f t="shared" si="9"/>
        <v>0.18545782441599781</v>
      </c>
      <c r="L73" s="1021">
        <f t="shared" si="10"/>
        <v>-6.6373253989311889E-2</v>
      </c>
      <c r="M73" s="556">
        <f>+'Ut20'!G26</f>
        <v>-93.939033290567494</v>
      </c>
      <c r="N73" s="556">
        <f>+'Ut21'!G26</f>
        <v>-14.975478317936721</v>
      </c>
      <c r="O73" s="556">
        <f>+'Ut22'!G26</f>
        <v>183.03243472199802</v>
      </c>
      <c r="P73" s="1025">
        <f>+'Ut23'!G26</f>
        <v>105.35530257964587</v>
      </c>
      <c r="Q73" s="583">
        <f t="shared" si="13"/>
        <v>78.963554972630774</v>
      </c>
      <c r="R73" s="583">
        <f t="shared" si="14"/>
        <v>198.00791303993475</v>
      </c>
      <c r="S73" s="1027">
        <f t="shared" si="14"/>
        <v>-77.67713214235215</v>
      </c>
    </row>
    <row r="74" spans="1:19">
      <c r="A74" s="413" t="s">
        <v>1011</v>
      </c>
      <c r="B74" s="562">
        <f>+'Ut20'!D27</f>
        <v>240</v>
      </c>
      <c r="C74" s="562">
        <f>'Ut21'!D27</f>
        <v>164</v>
      </c>
      <c r="D74" s="562">
        <f>'Ut22'!D27</f>
        <v>199</v>
      </c>
      <c r="E74" s="1015">
        <f>'Ut23'!D27</f>
        <v>205</v>
      </c>
      <c r="F74" s="555">
        <f>'Ut20'!E27</f>
        <v>0.77514910315598884</v>
      </c>
      <c r="G74" s="555">
        <f>+'Ut21'!E27</f>
        <v>0.52095291720666947</v>
      </c>
      <c r="H74" s="555">
        <f>+'Ut22'!E27</f>
        <v>0.63220531250324852</v>
      </c>
      <c r="I74" s="1018">
        <f>+'Ut23'!E27</f>
        <v>0.66602241194764267</v>
      </c>
      <c r="J74" s="640">
        <f t="shared" si="8"/>
        <v>-0.32793198742586382</v>
      </c>
      <c r="K74" s="640">
        <f t="shared" si="9"/>
        <v>0.21355556638997306</v>
      </c>
      <c r="L74" s="1021">
        <f t="shared" si="10"/>
        <v>5.3490691671814104E-2</v>
      </c>
      <c r="M74" s="556">
        <f>+'Ut20'!G27</f>
        <v>-136.86884233433375</v>
      </c>
      <c r="N74" s="556">
        <f>+'Ut21'!G27</f>
        <v>-283.28042596477138</v>
      </c>
      <c r="O74" s="556">
        <f>+'Ut22'!G27</f>
        <v>-254.20133468658284</v>
      </c>
      <c r="P74" s="1025">
        <f>+'Ut23'!G27</f>
        <v>-247.72230176426172</v>
      </c>
      <c r="Q74" s="583">
        <f t="shared" si="13"/>
        <v>-146.41158363043763</v>
      </c>
      <c r="R74" s="583">
        <f t="shared" si="14"/>
        <v>29.079091278188542</v>
      </c>
      <c r="S74" s="1027">
        <f t="shared" si="14"/>
        <v>6.4790329223211245</v>
      </c>
    </row>
    <row r="75" spans="1:19">
      <c r="A75" s="413" t="s">
        <v>759</v>
      </c>
      <c r="B75" s="562">
        <f>+'Ut20'!D28</f>
        <v>160</v>
      </c>
      <c r="C75" s="562">
        <f>'Ut21'!D28</f>
        <v>162</v>
      </c>
      <c r="D75" s="562">
        <f>'Ut22'!D28</f>
        <v>160</v>
      </c>
      <c r="E75" s="1015">
        <f>'Ut23'!D28</f>
        <v>161</v>
      </c>
      <c r="F75" s="555">
        <f>'Ut20'!E28</f>
        <v>1.3248371359006419</v>
      </c>
      <c r="G75" s="555">
        <f>+'Ut21'!E28</f>
        <v>1.2689294207028325</v>
      </c>
      <c r="H75" s="555">
        <f>+'Ut22'!E28</f>
        <v>1.2222823728930532</v>
      </c>
      <c r="I75" s="1018">
        <f>+'Ut23'!E28</f>
        <v>1.2257560360895214</v>
      </c>
      <c r="J75" s="640">
        <f t="shared" si="8"/>
        <v>-4.2199689065782822E-2</v>
      </c>
      <c r="K75" s="640">
        <f t="shared" si="9"/>
        <v>-3.6760947495363898E-2</v>
      </c>
      <c r="L75" s="1021">
        <f t="shared" si="10"/>
        <v>2.8419482056722613E-3</v>
      </c>
      <c r="M75" s="556">
        <f>+'Ut20'!G28</f>
        <v>115.78865795376871</v>
      </c>
      <c r="N75" s="556">
        <f>+'Ut21'!G28</f>
        <v>95.41747805698347</v>
      </c>
      <c r="O75" s="556">
        <f>+'Ut22'!G28</f>
        <v>82.724106789668795</v>
      </c>
      <c r="P75" s="1025">
        <f>+'Ut23'!G28</f>
        <v>90.820757609180134</v>
      </c>
      <c r="Q75" s="583">
        <f t="shared" si="13"/>
        <v>-20.371179896785236</v>
      </c>
      <c r="R75" s="583">
        <f t="shared" si="14"/>
        <v>-12.693371267314674</v>
      </c>
      <c r="S75" s="1027">
        <f t="shared" si="14"/>
        <v>8.0966508195113391</v>
      </c>
    </row>
    <row r="76" spans="1:19">
      <c r="A76" s="413" t="s">
        <v>160</v>
      </c>
      <c r="B76" s="562">
        <f>+'Ut20'!D29</f>
        <v>5.3156000000000002E-2</v>
      </c>
      <c r="C76" s="562">
        <f>'Ut21'!D29</f>
        <v>3.9268820000000003E-2</v>
      </c>
      <c r="D76" s="562">
        <f>'Ut22'!D29</f>
        <v>4.7444739999999999E-2</v>
      </c>
      <c r="E76" s="1015">
        <f>'Ut23'!D29</f>
        <v>4.7872770000000002E-2</v>
      </c>
      <c r="F76" s="555">
        <f>'Ut20'!E29</f>
        <v>0.2735884428748494</v>
      </c>
      <c r="G76" s="555">
        <f>+'Ut21'!E29</f>
        <v>0.20766845214172866</v>
      </c>
      <c r="H76" s="555">
        <f>+'Ut22'!E29</f>
        <v>0.25614099464228823</v>
      </c>
      <c r="I76" s="1018">
        <f>+'Ut23'!E29</f>
        <v>0.18991498164147799</v>
      </c>
      <c r="J76" s="640">
        <f t="shared" si="8"/>
        <v>-0.24094581642571522</v>
      </c>
      <c r="K76" s="640">
        <f t="shared" si="9"/>
        <v>0.23341312558865823</v>
      </c>
      <c r="L76" s="1021">
        <f t="shared" si="10"/>
        <v>-0.25855296257164018</v>
      </c>
      <c r="M76" s="556">
        <f>+'Ut20'!G29</f>
        <v>-382.42032757969849</v>
      </c>
      <c r="N76" s="556">
        <f>+'Ut21'!G29</f>
        <v>-414.99127388414962</v>
      </c>
      <c r="O76" s="556">
        <f>+'Ut22'!G29</f>
        <v>-408.65807645560454</v>
      </c>
      <c r="P76" s="1025">
        <f>+'Ut23'!G29</f>
        <v>-483.74888961366889</v>
      </c>
      <c r="Q76" s="583">
        <f t="shared" si="13"/>
        <v>-32.570946304451127</v>
      </c>
      <c r="R76" s="583">
        <f t="shared" si="14"/>
        <v>6.3331974285450769</v>
      </c>
      <c r="S76" s="1027">
        <f t="shared" si="14"/>
        <v>-75.09081315806435</v>
      </c>
    </row>
    <row r="77" spans="1:19">
      <c r="A77" s="658" t="s">
        <v>1120</v>
      </c>
      <c r="B77" s="562">
        <f>+'Ut20'!D30</f>
        <v>441</v>
      </c>
      <c r="C77" s="562">
        <f>'Ut21'!D30</f>
        <v>455</v>
      </c>
      <c r="D77" s="562">
        <f>'Ut22'!D30</f>
        <v>473</v>
      </c>
      <c r="E77" s="1015">
        <f>'Ut23'!D30</f>
        <v>488</v>
      </c>
      <c r="F77" s="555">
        <f>'Ut20'!E30</f>
        <v>0.82759920281034416</v>
      </c>
      <c r="G77" s="555">
        <f>+'Ut21'!E30</f>
        <v>0.84403406162092687</v>
      </c>
      <c r="H77" s="555">
        <f>+'Ut22'!E30</f>
        <v>0.85831264930816809</v>
      </c>
      <c r="I77" s="1018">
        <f>+'Ut23'!E30</f>
        <v>0.87772254562818264</v>
      </c>
      <c r="J77" s="640">
        <f t="shared" si="8"/>
        <v>1.985847588394667E-2</v>
      </c>
      <c r="K77" s="640">
        <f t="shared" si="9"/>
        <v>1.6917075194595673E-2</v>
      </c>
      <c r="L77" s="1021">
        <f t="shared" si="10"/>
        <v>2.2614016390949909E-2</v>
      </c>
      <c r="M77" s="556">
        <f>+'Ut20'!G30</f>
        <v>-184.35752625453435</v>
      </c>
      <c r="N77" s="556">
        <f>+'Ut21'!G30</f>
        <v>-166.01244070688583</v>
      </c>
      <c r="O77" s="556">
        <f>+'Ut22'!G30</f>
        <v>-158.19013505424022</v>
      </c>
      <c r="P77" s="1025">
        <f>+'Ut23'!G30</f>
        <v>-148.34382509268849</v>
      </c>
      <c r="Q77" s="583">
        <f t="shared" ref="Q77:Q82" si="15">N77-M77</f>
        <v>18.345085547648523</v>
      </c>
      <c r="R77" s="583">
        <f t="shared" ref="R77:S82" si="16">O77-N77</f>
        <v>7.8223056526456105</v>
      </c>
      <c r="S77" s="1027">
        <f t="shared" si="16"/>
        <v>9.8463099615517251</v>
      </c>
    </row>
    <row r="78" spans="1:19">
      <c r="A78" s="413" t="s">
        <v>728</v>
      </c>
      <c r="B78" s="562">
        <f>+'Ut20'!D31</f>
        <v>23</v>
      </c>
      <c r="C78" s="562">
        <f>'Ut21'!D31</f>
        <v>23</v>
      </c>
      <c r="D78" s="562">
        <f>'Ut22'!D31</f>
        <v>23</v>
      </c>
      <c r="E78" s="1015">
        <f>'Ut23'!D31</f>
        <v>24</v>
      </c>
      <c r="F78" s="555">
        <f>'Ut20'!E31</f>
        <v>1.0570691485148052</v>
      </c>
      <c r="G78" s="555">
        <f>+'Ut21'!E31</f>
        <v>1.0592635932670789</v>
      </c>
      <c r="H78" s="555">
        <f>+'Ut22'!E31</f>
        <v>1.0516630575576182</v>
      </c>
      <c r="I78" s="1018">
        <f>+'Ut23'!E31</f>
        <v>1.1044186950975803</v>
      </c>
      <c r="J78" s="640">
        <f t="shared" si="8"/>
        <v>2.0759708627925868E-3</v>
      </c>
      <c r="K78" s="640">
        <f t="shared" si="9"/>
        <v>-7.1753015564505005E-3</v>
      </c>
      <c r="L78" s="1021">
        <f t="shared" si="10"/>
        <v>5.0164011335038915E-2</v>
      </c>
      <c r="M78" s="556">
        <f>+'Ut20'!G31</f>
        <v>153.66320102804985</v>
      </c>
      <c r="N78" s="556">
        <f>+'Ut21'!G31</f>
        <v>165.87977464728789</v>
      </c>
      <c r="O78" s="556">
        <f>+'Ut22'!G31</f>
        <v>149.84701989299234</v>
      </c>
      <c r="P78" s="1025">
        <f>+'Ut23'!G31</f>
        <v>318.99237810356561</v>
      </c>
      <c r="Q78" s="583">
        <f t="shared" si="15"/>
        <v>12.216573619238034</v>
      </c>
      <c r="R78" s="583">
        <f t="shared" si="16"/>
        <v>-16.032754754295553</v>
      </c>
      <c r="S78" s="1027">
        <f t="shared" si="16"/>
        <v>169.14535821057328</v>
      </c>
    </row>
    <row r="79" spans="1:19">
      <c r="A79" s="413" t="s">
        <v>727</v>
      </c>
      <c r="B79" s="562">
        <f>+'Ut20'!D32</f>
        <v>551</v>
      </c>
      <c r="C79" s="562">
        <f>'Ut21'!D32</f>
        <v>544</v>
      </c>
      <c r="D79" s="562">
        <f>'Ut22'!D32</f>
        <v>547</v>
      </c>
      <c r="E79" s="1015">
        <f>'Ut23'!D32</f>
        <v>572</v>
      </c>
      <c r="F79" s="555">
        <f>'Ut20'!E32</f>
        <v>1.3736807712888457</v>
      </c>
      <c r="G79" s="555">
        <f>+'Ut21'!E32</f>
        <v>1.3412695094689358</v>
      </c>
      <c r="H79" s="555">
        <f>+'Ut22'!E32</f>
        <v>1.3199270845729436</v>
      </c>
      <c r="I79" s="1018">
        <f>+'Ut23'!E32</f>
        <v>1.3666513414804744</v>
      </c>
      <c r="J79" s="640">
        <f t="shared" si="8"/>
        <v>-2.3594464228759875E-2</v>
      </c>
      <c r="K79" s="640">
        <f t="shared" si="9"/>
        <v>-1.5912107704917928E-2</v>
      </c>
      <c r="L79" s="1021">
        <f t="shared" si="10"/>
        <v>3.539911973444216E-2</v>
      </c>
      <c r="M79" s="556">
        <f>+'Ut20'!G32</f>
        <v>938.54093564293612</v>
      </c>
      <c r="N79" s="556">
        <f>+'Ut21'!G32</f>
        <v>891.79398065903342</v>
      </c>
      <c r="O79" s="556">
        <f>+'Ut22'!G32</f>
        <v>867.46149580426106</v>
      </c>
      <c r="P79" s="1025">
        <f>+'Ut23'!G32</f>
        <v>1046.3450077827681</v>
      </c>
      <c r="Q79" s="583">
        <f t="shared" si="15"/>
        <v>-46.746954983902697</v>
      </c>
      <c r="R79" s="583">
        <f t="shared" si="16"/>
        <v>-24.33248485477236</v>
      </c>
      <c r="S79" s="1027">
        <f t="shared" si="16"/>
        <v>178.88351197850704</v>
      </c>
    </row>
    <row r="80" spans="1:19">
      <c r="A80" s="413" t="s">
        <v>1002</v>
      </c>
      <c r="B80" s="562">
        <f>+'Ut20'!D33</f>
        <v>45.433349999999997</v>
      </c>
      <c r="C80" s="562">
        <f>'Ut21'!D33</f>
        <v>25.250050000000002</v>
      </c>
      <c r="D80" s="562">
        <f>'Ut22'!D33</f>
        <v>33.583300000000001</v>
      </c>
      <c r="E80" s="1015">
        <f>'Ut23'!D33</f>
        <v>27.875</v>
      </c>
      <c r="F80" s="555">
        <f>'Ut20'!E33</f>
        <v>1.026033810924404</v>
      </c>
      <c r="G80" s="555">
        <f>+'Ut21'!E33</f>
        <v>0.5803193655721115</v>
      </c>
      <c r="H80" s="555">
        <f>+'Ut22'!E33</f>
        <v>0.78719311859653696</v>
      </c>
      <c r="I80" s="1018">
        <f>+'Ut23'!E33</f>
        <v>0.63017435122560395</v>
      </c>
      <c r="J80" s="640">
        <f t="shared" si="8"/>
        <v>-0.43440522193973957</v>
      </c>
      <c r="K80" s="640">
        <f t="shared" si="9"/>
        <v>0.35648259440812846</v>
      </c>
      <c r="L80" s="1021">
        <f t="shared" si="10"/>
        <v>-0.19946664123649488</v>
      </c>
      <c r="M80" s="556">
        <f>+'Ut20'!G33</f>
        <v>23.984685000338903</v>
      </c>
      <c r="N80" s="556">
        <f>+'Ut21'!G33</f>
        <v>-392.35219419046587</v>
      </c>
      <c r="O80" s="556">
        <f>+'Ut22'!G33</f>
        <v>-207.42262419514228</v>
      </c>
      <c r="P80" s="1025">
        <f>+'Ut23'!G33</f>
        <v>-383.57186789036967</v>
      </c>
      <c r="Q80" s="583">
        <f t="shared" si="15"/>
        <v>-416.33687919080478</v>
      </c>
      <c r="R80" s="583">
        <f t="shared" si="16"/>
        <v>184.92956999532359</v>
      </c>
      <c r="S80" s="1027">
        <f t="shared" si="16"/>
        <v>-176.1492436952274</v>
      </c>
    </row>
    <row r="81" spans="1:22">
      <c r="A81" s="413" t="s">
        <v>161</v>
      </c>
      <c r="B81" s="562">
        <f>+'Ut20'!D34</f>
        <v>909</v>
      </c>
      <c r="C81" s="562">
        <f>'Ut21'!D34</f>
        <v>926</v>
      </c>
      <c r="D81" s="562">
        <f>'Ut22'!D34</f>
        <v>951</v>
      </c>
      <c r="E81" s="1015">
        <f>'Ut23'!D34</f>
        <v>938</v>
      </c>
      <c r="F81" s="555">
        <f>'Ut20'!E34</f>
        <v>0.58293741111699837</v>
      </c>
      <c r="G81" s="555">
        <f>+'Ut21'!E34</f>
        <v>0.57782985683297539</v>
      </c>
      <c r="H81" s="555">
        <f>+'Ut22'!E34</f>
        <v>0.57941019707739316</v>
      </c>
      <c r="I81" s="1018">
        <f>+'Ut23'!E34</f>
        <v>0.56715278560844107</v>
      </c>
      <c r="J81" s="640">
        <f t="shared" si="8"/>
        <v>-8.7617541551092432E-3</v>
      </c>
      <c r="K81" s="640">
        <f t="shared" si="9"/>
        <v>2.7349577487730658E-3</v>
      </c>
      <c r="L81" s="1021">
        <f t="shared" si="10"/>
        <v>-2.1154980583323844E-2</v>
      </c>
      <c r="M81" s="556">
        <f>+'Ut20'!G34</f>
        <v>-420.82937659345725</v>
      </c>
      <c r="N81" s="556">
        <f>+'Ut21'!G34</f>
        <v>-432.72099957329908</v>
      </c>
      <c r="O81" s="556">
        <f>+'Ut22'!G34</f>
        <v>-449.70097259331351</v>
      </c>
      <c r="P81" s="1025">
        <f>+'Ut23'!G34</f>
        <v>-492.46909022361058</v>
      </c>
      <c r="Q81" s="583">
        <f t="shared" si="15"/>
        <v>-11.891622979841827</v>
      </c>
      <c r="R81" s="583">
        <f t="shared" si="16"/>
        <v>-16.979973020014427</v>
      </c>
      <c r="S81" s="1027">
        <f t="shared" si="16"/>
        <v>-42.76811763029707</v>
      </c>
      <c r="T81" s="720"/>
      <c r="U81" s="720"/>
      <c r="V81" s="720"/>
    </row>
    <row r="82" spans="1:22" ht="13.5" thickBot="1">
      <c r="A82" s="557" t="s">
        <v>1023</v>
      </c>
      <c r="B82" s="563"/>
      <c r="C82" s="563"/>
      <c r="D82" s="563"/>
      <c r="E82" s="563"/>
      <c r="F82" s="558">
        <f>'Ut20'!E35</f>
        <v>1.0816070734171817</v>
      </c>
      <c r="G82" s="558">
        <f>+'Ut21'!E35</f>
        <v>1.0923122612223066</v>
      </c>
      <c r="H82" s="558">
        <f>+'Ut22'!E35</f>
        <v>1.1114531914513148</v>
      </c>
      <c r="I82" s="1019">
        <f>+'Ut23'!E35</f>
        <v>1.1111291794581537</v>
      </c>
      <c r="J82" s="641">
        <f t="shared" si="8"/>
        <v>9.8974831694688108E-3</v>
      </c>
      <c r="K82" s="641">
        <f t="shared" si="9"/>
        <v>1.7523313532697454E-2</v>
      </c>
      <c r="L82" s="1022">
        <f>+(I82-H82)/H82</f>
        <v>-2.9152104258932669E-4</v>
      </c>
      <c r="M82" s="397">
        <f>+'Ut20'!G35</f>
        <v>4475.2241691405325</v>
      </c>
      <c r="N82" s="397">
        <f>+'Ut21'!G35</f>
        <v>5198.8640067423439</v>
      </c>
      <c r="O82" s="397">
        <f>+'Ut22'!G35</f>
        <v>6583.8362657210018</v>
      </c>
      <c r="P82" s="1026">
        <f>+'Ut23'!G35</f>
        <v>6985.4418718577926</v>
      </c>
      <c r="Q82" s="584">
        <f t="shared" si="15"/>
        <v>723.63983760181145</v>
      </c>
      <c r="R82" s="584">
        <f t="shared" si="16"/>
        <v>1384.9722589786579</v>
      </c>
      <c r="S82" s="1028">
        <f>P82-O82</f>
        <v>401.60560613679081</v>
      </c>
      <c r="T82" s="720"/>
    </row>
    <row r="83" spans="1:22">
      <c r="A83" s="418"/>
      <c r="B83" s="781"/>
      <c r="C83" s="781"/>
      <c r="D83" s="781"/>
      <c r="E83" s="555"/>
      <c r="F83" s="555"/>
      <c r="G83" s="555"/>
      <c r="H83" s="555"/>
      <c r="I83" s="555"/>
      <c r="J83" s="418"/>
      <c r="K83" s="418"/>
      <c r="L83" s="418"/>
      <c r="M83" s="427"/>
      <c r="N83" s="427"/>
      <c r="O83" s="427"/>
      <c r="P83" s="427"/>
      <c r="Q83" s="427"/>
      <c r="R83" s="418"/>
    </row>
    <row r="84" spans="1:22">
      <c r="A84" s="418"/>
      <c r="B84" s="418"/>
      <c r="C84" s="418"/>
      <c r="D84" s="418"/>
      <c r="E84" s="418"/>
      <c r="F84" s="418"/>
      <c r="G84" s="418"/>
      <c r="H84" s="418"/>
      <c r="I84" s="418"/>
      <c r="J84" s="418"/>
      <c r="K84" s="418"/>
      <c r="L84" s="418"/>
      <c r="M84" s="418"/>
      <c r="N84" s="418"/>
      <c r="O84" s="418"/>
      <c r="P84" s="418"/>
      <c r="Q84" s="418"/>
      <c r="R84" s="418"/>
    </row>
    <row r="85" spans="1:22" ht="17.5">
      <c r="A85" s="561" t="str">
        <f>Analyse!A2</f>
        <v>HEIM (FRA 1.1.2020)</v>
      </c>
      <c r="B85" s="418"/>
      <c r="C85" s="418"/>
      <c r="D85" s="418"/>
      <c r="E85" s="418"/>
      <c r="F85" s="418"/>
      <c r="G85" s="418"/>
      <c r="H85" s="418"/>
      <c r="I85" s="418"/>
      <c r="J85" s="418"/>
      <c r="K85" s="418"/>
      <c r="L85" s="418"/>
      <c r="M85" s="418"/>
      <c r="N85" s="418"/>
      <c r="O85" s="418"/>
      <c r="P85" s="418"/>
      <c r="Q85" s="418"/>
      <c r="R85" s="418"/>
    </row>
    <row r="86" spans="1:22" ht="20">
      <c r="A86" s="17" t="s">
        <v>1095</v>
      </c>
      <c r="B86" s="418"/>
      <c r="C86" s="418"/>
      <c r="D86" s="418"/>
      <c r="E86" s="418"/>
      <c r="F86" s="418"/>
      <c r="G86" s="418"/>
      <c r="H86" s="418"/>
      <c r="I86" s="418"/>
      <c r="J86" s="418"/>
      <c r="K86" s="418"/>
      <c r="L86" s="418"/>
      <c r="M86" s="418"/>
      <c r="N86" s="418"/>
      <c r="O86" s="418"/>
      <c r="P86" s="418"/>
      <c r="Q86" s="418"/>
      <c r="R86" s="418"/>
    </row>
    <row r="87" spans="1:22">
      <c r="A87" s="430"/>
      <c r="B87" s="29">
        <f t="shared" ref="B87:J87" si="17">+B7</f>
        <v>2018</v>
      </c>
      <c r="C87" s="430">
        <f t="shared" si="17"/>
        <v>2019</v>
      </c>
      <c r="D87" s="430">
        <f t="shared" si="17"/>
        <v>2020</v>
      </c>
      <c r="E87" s="1069">
        <f t="shared" si="17"/>
        <v>2021</v>
      </c>
      <c r="F87" s="1069">
        <f t="shared" si="17"/>
        <v>2022</v>
      </c>
      <c r="G87" s="1069">
        <f t="shared" si="17"/>
        <v>2023</v>
      </c>
      <c r="H87" s="598">
        <f t="shared" si="17"/>
        <v>2024</v>
      </c>
      <c r="I87" s="598">
        <f t="shared" si="17"/>
        <v>2025</v>
      </c>
      <c r="J87" s="598">
        <f t="shared" si="17"/>
        <v>2026</v>
      </c>
      <c r="K87" s="418"/>
      <c r="L87" s="418"/>
      <c r="M87" s="418"/>
    </row>
    <row r="88" spans="1:22" ht="24" customHeight="1">
      <c r="A88" s="673" t="s">
        <v>351</v>
      </c>
      <c r="B88" s="304" t="e">
        <f>IF(Inngang!$C$8=3033,0,IF(Inngang!$C$8=3036,0,Bregn!C95))</f>
        <v>#N/A</v>
      </c>
      <c r="C88" s="304" t="e">
        <f>IF(Inngang!$C$8=3033,0,IF(Inngang!$C$8=3036,0,Bregn!D95))</f>
        <v>#N/A</v>
      </c>
      <c r="D88" s="304">
        <f>IF(Inngang!$C$8=3033,0,IF(Inngang!$C$8=3036,0,Bregn!E95))</f>
        <v>24822.926100000001</v>
      </c>
      <c r="E88" s="233">
        <f>IF(Inngang!$C$8=3033,0,IF(Inngang!$C$8=3036,0,Bregn!F95))</f>
        <v>25493</v>
      </c>
      <c r="F88" s="233">
        <f>IF(Inngang!$C$8=3033,0,IF(Inngang!$C$8=3036,0,Bregn!G95))</f>
        <v>26130</v>
      </c>
      <c r="G88" s="233">
        <f>IF(Inngang!$C$8=3033,0,IF(Inngang!$C$8=3036,0,Bregn!H95))</f>
        <v>27097</v>
      </c>
      <c r="H88" s="675">
        <f>IF(Inngang!$C$8=3033,0,IF(Inngang!$C$8=3036,0,Bregn!I95))</f>
        <v>27097</v>
      </c>
      <c r="I88" s="675">
        <f>IF(Inngang!$C$8=3033,0,IF(Inngang!$C$8=3036,0,Bregn!J95))</f>
        <v>27097</v>
      </c>
      <c r="J88" s="675">
        <f>IF(Inngang!$C$8=3033,0,IF(Inngang!$C$8=3036,0,Bregn!K95))</f>
        <v>27097</v>
      </c>
    </row>
    <row r="89" spans="1:22" ht="22.5" customHeight="1">
      <c r="A89" s="673" t="s">
        <v>1092</v>
      </c>
      <c r="B89" s="304">
        <f>IF(Inngang!$C$8=3033,Bregn!C96,IF(Inngang!$C$8=3036,Bregn!C96,0))</f>
        <v>0</v>
      </c>
      <c r="C89" s="304">
        <f>IF(Inngang!$C$8=3033,Bregn!D96,IF(Inngang!$C$8=3036,Bregn!D96,0))</f>
        <v>0</v>
      </c>
      <c r="D89" s="304">
        <f>IF(Inngang!$C$8=3033,Bregn!E96,IF(Inngang!$C$8=3036,Bregn!E96,0))</f>
        <v>0</v>
      </c>
      <c r="E89" s="233">
        <f>IF(Inngang!$C$8=3033,Bregn!F96,IF(Inngang!$C$8=3036,Bregn!F96,0))</f>
        <v>0</v>
      </c>
      <c r="F89" s="233">
        <f>IF(Inngang!$C$8=3033,Bregn!G96,IF(Inngang!$C$8=3036,Bregn!G96,0))</f>
        <v>0</v>
      </c>
      <c r="G89" s="233">
        <f>IF(Inngang!$C$8=3033,Bregn!H96,IF(Inngang!$C$8=3036,Bregn!H96,0))</f>
        <v>0</v>
      </c>
      <c r="H89" s="675">
        <f>IF(Inngang!$C$8=3033,Bregn!I96,IF(Inngang!$C$8=3036,Bregn!I96,0))</f>
        <v>0</v>
      </c>
      <c r="I89" s="675">
        <f>IF(Inngang!$C$8=3033,Bregn!J96,IF(Inngang!$C$8=3036,Bregn!J96,0))</f>
        <v>0</v>
      </c>
      <c r="J89" s="675">
        <f>IF(Inngang!$C$8=3033,Bregn!K96,IF(Inngang!$C$8=3036,Bregn!K96,0))</f>
        <v>0</v>
      </c>
    </row>
    <row r="90" spans="1:22" ht="22.5" customHeight="1">
      <c r="A90" s="673" t="s">
        <v>1093</v>
      </c>
      <c r="B90" s="304" t="e">
        <f>+Bregn!C73</f>
        <v>#N/A</v>
      </c>
      <c r="C90" s="304" t="e">
        <f>+Bregn!D73</f>
        <v>#N/A</v>
      </c>
      <c r="D90" s="304">
        <f>+Bregn!E73</f>
        <v>959.35251603999995</v>
      </c>
      <c r="E90" s="233">
        <f>+Bregn!F73</f>
        <v>960</v>
      </c>
      <c r="F90" s="233">
        <f>+Bregn!G73</f>
        <v>959</v>
      </c>
      <c r="G90" s="233">
        <f>+Bregn!H73</f>
        <v>986</v>
      </c>
      <c r="H90" s="675">
        <f>+Bregn!I73</f>
        <v>986</v>
      </c>
      <c r="I90" s="675">
        <f>+Bregn!J73</f>
        <v>986</v>
      </c>
      <c r="J90" s="675">
        <f>+Bregn!K73</f>
        <v>986</v>
      </c>
    </row>
    <row r="91" spans="1:22" ht="22.5" customHeight="1">
      <c r="A91" s="673" t="s">
        <v>1181</v>
      </c>
      <c r="B91" s="304" t="e">
        <f>+Bregn!C76</f>
        <v>#N/A</v>
      </c>
      <c r="C91" s="304" t="e">
        <f>+Bregn!D76</f>
        <v>#N/A</v>
      </c>
      <c r="D91" s="304">
        <f>+Bregn!E76</f>
        <v>789.50405445000001</v>
      </c>
      <c r="E91" s="675"/>
      <c r="F91" s="233"/>
      <c r="G91" s="233"/>
      <c r="H91" s="675"/>
    </row>
    <row r="92" spans="1:22" ht="35.25" customHeight="1">
      <c r="A92" s="672" t="s">
        <v>1094</v>
      </c>
      <c r="B92" s="799" t="e">
        <f>+Bregn!C70</f>
        <v>#N/A</v>
      </c>
      <c r="C92" s="799" t="e">
        <f>+Bregn!D70</f>
        <v>#N/A</v>
      </c>
      <c r="D92" s="304"/>
      <c r="E92" s="675"/>
      <c r="F92" s="1044">
        <f>+Bregn!G70</f>
        <v>0</v>
      </c>
      <c r="G92" s="1044">
        <f>+Bregn!H70</f>
        <v>0</v>
      </c>
      <c r="H92" s="791">
        <f>+Bregn!I70</f>
        <v>0</v>
      </c>
      <c r="I92" s="791">
        <f>+Bregn!J70</f>
        <v>0</v>
      </c>
      <c r="J92" s="791">
        <f>+Bregn!K70</f>
        <v>0</v>
      </c>
    </row>
    <row r="93" spans="1:22" ht="35.25" customHeight="1">
      <c r="A93" s="672" t="s">
        <v>2315</v>
      </c>
      <c r="B93" s="799" t="e">
        <f>Bregn!C75</f>
        <v>#N/A</v>
      </c>
      <c r="C93" s="799" t="e">
        <f>Bregn!D75</f>
        <v>#N/A</v>
      </c>
      <c r="D93" s="799">
        <f>Bregn!E75</f>
        <v>0</v>
      </c>
      <c r="E93" s="1044">
        <f>Bregn!F75</f>
        <v>0</v>
      </c>
      <c r="F93" s="1044">
        <f>Bregn!G75</f>
        <v>0</v>
      </c>
      <c r="G93" s="1044">
        <f>Bregn!H75</f>
        <v>0</v>
      </c>
      <c r="H93" s="791">
        <f>Bregn!I75</f>
        <v>0</v>
      </c>
      <c r="I93" s="791">
        <f>Bregn!J75</f>
        <v>0</v>
      </c>
      <c r="J93" s="791">
        <f>Bregn!K75</f>
        <v>0</v>
      </c>
    </row>
    <row r="94" spans="1:22" ht="35.25" customHeight="1">
      <c r="A94" s="672" t="s">
        <v>1141</v>
      </c>
      <c r="B94" s="799">
        <f>+Bregn!C101-B110+Bregn!C102</f>
        <v>0</v>
      </c>
      <c r="C94" s="799">
        <f>+Bregn!D101+Bregn!D102</f>
        <v>0</v>
      </c>
      <c r="D94" s="799">
        <f>+Bregn!E101+Bregn!E102-D110</f>
        <v>0</v>
      </c>
      <c r="E94" s="1044">
        <f>+Bregn!F101+Bregn!F102-E110</f>
        <v>0</v>
      </c>
      <c r="F94" s="1044">
        <f>+Bregn!G101+Bregn!G102</f>
        <v>0</v>
      </c>
      <c r="G94" s="1044"/>
      <c r="H94" s="675"/>
    </row>
    <row r="95" spans="1:22" ht="47.5" customHeight="1">
      <c r="A95" s="672" t="s">
        <v>1224</v>
      </c>
      <c r="B95" s="799" t="e">
        <f>+Bregn!C80</f>
        <v>#N/A</v>
      </c>
      <c r="C95" s="799" t="e">
        <f>Bregn!D80</f>
        <v>#N/A</v>
      </c>
      <c r="D95" s="799"/>
      <c r="E95" s="791"/>
      <c r="F95" s="1044"/>
      <c r="G95" s="791"/>
      <c r="H95" s="675"/>
    </row>
    <row r="96" spans="1:22" ht="47.5" customHeight="1">
      <c r="A96" s="840" t="s">
        <v>1956</v>
      </c>
      <c r="B96" s="799"/>
      <c r="C96" s="799" t="e">
        <f>+Bregn!D77</f>
        <v>#N/A</v>
      </c>
      <c r="D96" s="799">
        <f>+Bregn!E77</f>
        <v>0</v>
      </c>
      <c r="E96" s="1044">
        <f>+Bregn!F77</f>
        <v>0</v>
      </c>
      <c r="F96" s="233"/>
      <c r="G96" s="675"/>
      <c r="H96" s="675"/>
    </row>
    <row r="97" spans="1:13" ht="47.5" customHeight="1">
      <c r="A97" s="840" t="s">
        <v>1957</v>
      </c>
      <c r="B97" s="799"/>
      <c r="C97" s="799"/>
      <c r="D97" s="799">
        <f>+Bregn!E71</f>
        <v>985.82292988999995</v>
      </c>
      <c r="E97" s="1044">
        <f>+Bregn!F71</f>
        <v>304</v>
      </c>
      <c r="F97" s="1044"/>
      <c r="G97" s="791"/>
      <c r="H97" s="791"/>
    </row>
    <row r="98" spans="1:13" ht="47.5" customHeight="1">
      <c r="A98" s="840" t="s">
        <v>2101</v>
      </c>
      <c r="B98" s="799"/>
      <c r="C98" s="799"/>
      <c r="D98" s="799"/>
      <c r="E98" s="1044">
        <f>+Bregn!F78</f>
        <v>140</v>
      </c>
      <c r="F98" s="1044"/>
      <c r="G98" s="791"/>
      <c r="H98" s="791"/>
    </row>
    <row r="99" spans="1:13" ht="47.5" customHeight="1">
      <c r="A99" s="840" t="s">
        <v>1895</v>
      </c>
      <c r="B99" s="799"/>
      <c r="C99" s="799"/>
      <c r="D99" s="799">
        <f>+Bregn!E74</f>
        <v>459.23525224000002</v>
      </c>
      <c r="E99" s="799">
        <f>+Bregn!F74</f>
        <v>307</v>
      </c>
      <c r="F99" s="799">
        <f>+Bregn!G74</f>
        <v>45</v>
      </c>
      <c r="G99" s="791">
        <f>+Bregn!H74</f>
        <v>0</v>
      </c>
      <c r="H99" s="791">
        <f>+Bregn!I74</f>
        <v>0</v>
      </c>
      <c r="I99" s="791">
        <f>+Bregn!J74</f>
        <v>0</v>
      </c>
    </row>
    <row r="100" spans="1:13" ht="47.5" customHeight="1">
      <c r="A100" s="840" t="s">
        <v>2316</v>
      </c>
      <c r="B100" s="799"/>
      <c r="C100" s="799"/>
      <c r="D100" s="799"/>
      <c r="E100" s="799"/>
      <c r="F100" s="799">
        <f>+Bregn!G79</f>
        <v>609.60536348873563</v>
      </c>
      <c r="G100" s="1044">
        <f>+Bregn!H79</f>
        <v>864</v>
      </c>
      <c r="H100" s="791">
        <f>+Bregn!I79</f>
        <v>864</v>
      </c>
      <c r="I100" s="791"/>
      <c r="J100" s="791">
        <f>+Bregn!K79</f>
        <v>0</v>
      </c>
    </row>
    <row r="101" spans="1:13" ht="47.5" customHeight="1">
      <c r="A101" s="840" t="s">
        <v>2333</v>
      </c>
      <c r="B101" s="799"/>
      <c r="C101" s="799"/>
      <c r="D101" s="799"/>
      <c r="E101" s="799"/>
      <c r="F101" s="799"/>
      <c r="G101" s="1044">
        <f>+Bregn!H72</f>
        <v>2593</v>
      </c>
      <c r="H101" s="791">
        <f>+Bregn!I72</f>
        <v>2593</v>
      </c>
      <c r="I101" s="791">
        <f>+Bregn!J72</f>
        <v>2593</v>
      </c>
      <c r="J101" s="791">
        <f>+Bregn!K72</f>
        <v>2593</v>
      </c>
    </row>
    <row r="102" spans="1:13" s="1172" customFormat="1" ht="47.5" customHeight="1">
      <c r="A102" s="1230" t="s">
        <v>2627</v>
      </c>
      <c r="B102" s="799"/>
      <c r="C102" s="799"/>
      <c r="D102" s="799"/>
      <c r="E102" s="799"/>
      <c r="F102" s="799"/>
      <c r="G102" s="1044">
        <f>+Bregn!H81</f>
        <v>0</v>
      </c>
      <c r="H102" s="791">
        <f>+Bregn!I81</f>
        <v>0</v>
      </c>
      <c r="I102" s="791">
        <f>+Bregn!J81</f>
        <v>0</v>
      </c>
      <c r="J102" s="791">
        <f>+Bregn!K81</f>
        <v>0</v>
      </c>
    </row>
    <row r="103" spans="1:13" ht="22.5" customHeight="1">
      <c r="A103" s="429" t="s">
        <v>1315</v>
      </c>
      <c r="B103" s="1173" t="e">
        <f t="shared" ref="B103:F103" si="18">SUM(B88:B102)</f>
        <v>#N/A</v>
      </c>
      <c r="C103" s="1173" t="e">
        <f t="shared" si="18"/>
        <v>#N/A</v>
      </c>
      <c r="D103" s="1173">
        <f t="shared" si="18"/>
        <v>28016.84085262</v>
      </c>
      <c r="E103" s="1173">
        <f t="shared" si="18"/>
        <v>27204</v>
      </c>
      <c r="F103" s="1173">
        <f t="shared" si="18"/>
        <v>27743.605363488736</v>
      </c>
      <c r="G103" s="1173">
        <f>SUM(G88:G102)</f>
        <v>31540</v>
      </c>
      <c r="H103" s="783">
        <f t="shared" ref="H103:J103" si="19">SUM(H88:H102)</f>
        <v>31540</v>
      </c>
      <c r="I103" s="783">
        <f t="shared" si="19"/>
        <v>30676</v>
      </c>
      <c r="J103" s="783">
        <f t="shared" si="19"/>
        <v>30676</v>
      </c>
    </row>
    <row r="104" spans="1:13">
      <c r="B104" s="562"/>
      <c r="C104" s="562"/>
      <c r="D104" s="562"/>
      <c r="E104" s="562"/>
      <c r="F104" s="562"/>
      <c r="G104" s="562"/>
      <c r="H104" s="562"/>
      <c r="I104" s="562"/>
      <c r="J104" s="562"/>
    </row>
    <row r="105" spans="1:13">
      <c r="B105" s="562"/>
      <c r="C105" s="562"/>
      <c r="D105" s="562"/>
      <c r="E105" s="562"/>
      <c r="F105" s="562"/>
      <c r="G105" s="562"/>
      <c r="H105" s="562"/>
      <c r="I105" s="562"/>
      <c r="J105" s="562"/>
    </row>
    <row r="106" spans="1:13" ht="20">
      <c r="A106" s="1145" t="s">
        <v>1364</v>
      </c>
      <c r="B106" s="1145"/>
      <c r="C106" s="1145"/>
      <c r="D106" s="1145"/>
      <c r="E106" s="1145"/>
      <c r="F106" s="1145"/>
      <c r="G106" s="1145"/>
      <c r="H106" s="1145"/>
      <c r="I106" s="1145"/>
      <c r="J106" s="1145"/>
    </row>
    <row r="107" spans="1:13">
      <c r="A107" s="430"/>
      <c r="B107" s="29">
        <f t="shared" ref="B107:J107" si="20">+B7</f>
        <v>2018</v>
      </c>
      <c r="C107" s="430">
        <f t="shared" si="20"/>
        <v>2019</v>
      </c>
      <c r="D107" s="430">
        <f t="shared" si="20"/>
        <v>2020</v>
      </c>
      <c r="E107" s="430">
        <f t="shared" si="20"/>
        <v>2021</v>
      </c>
      <c r="F107" s="430">
        <f t="shared" si="20"/>
        <v>2022</v>
      </c>
      <c r="G107" s="430">
        <f t="shared" si="20"/>
        <v>2023</v>
      </c>
      <c r="H107" s="598">
        <f t="shared" si="20"/>
        <v>2024</v>
      </c>
      <c r="I107" s="598">
        <f t="shared" si="20"/>
        <v>2025</v>
      </c>
      <c r="J107" s="598">
        <f t="shared" si="20"/>
        <v>2026</v>
      </c>
    </row>
    <row r="108" spans="1:13" ht="30" customHeight="1">
      <c r="A108" s="671" t="s">
        <v>1096</v>
      </c>
      <c r="B108" s="674"/>
      <c r="C108" s="674"/>
      <c r="D108" s="418"/>
      <c r="E108" s="418"/>
      <c r="F108" s="418"/>
      <c r="G108" s="418"/>
      <c r="H108" s="418"/>
      <c r="I108" s="418"/>
      <c r="J108" s="418"/>
      <c r="K108" s="418"/>
      <c r="L108" s="418"/>
      <c r="M108" s="418"/>
    </row>
    <row r="109" spans="1:13" ht="14">
      <c r="A109" s="671"/>
      <c r="B109" s="791"/>
      <c r="C109" s="791"/>
      <c r="D109" s="791"/>
      <c r="E109" s="791"/>
      <c r="F109" s="791"/>
      <c r="G109" s="791"/>
      <c r="H109" s="791"/>
    </row>
    <row r="110" spans="1:13" ht="28">
      <c r="A110" s="671" t="s">
        <v>1141</v>
      </c>
      <c r="B110" s="799">
        <f>+VLOOKUP(Inngang!$C$8,'K18'!$A$4:$BN$425,66)</f>
        <v>0</v>
      </c>
      <c r="D110" s="799">
        <f>+VLOOKUP(Inngang!$C$8,'K20'!$A$4:$BN$359,63)</f>
        <v>0</v>
      </c>
      <c r="E110" s="799">
        <f>VLOOKUP(Inngang!$C$8,'K21'!$A$4:$CL$359,75)</f>
        <v>0</v>
      </c>
    </row>
    <row r="111" spans="1:13" ht="14">
      <c r="A111" s="671"/>
      <c r="B111" s="791"/>
      <c r="C111" s="791"/>
      <c r="D111" s="791"/>
      <c r="E111" s="791"/>
      <c r="F111" s="791"/>
      <c r="G111" s="791"/>
      <c r="H111" s="791"/>
    </row>
    <row r="112" spans="1:13" ht="28">
      <c r="A112" s="671" t="s">
        <v>1435</v>
      </c>
      <c r="B112" s="799">
        <f>VLOOKUP(Inngang!C8,'K18'!A4:BM431,56)</f>
        <v>196.02330000000001</v>
      </c>
      <c r="C112" s="791"/>
      <c r="D112" s="791"/>
      <c r="E112" s="791"/>
      <c r="F112" s="791"/>
      <c r="G112" s="791"/>
      <c r="H112" s="791"/>
    </row>
    <row r="113" spans="1:10" ht="14">
      <c r="A113" s="671"/>
      <c r="B113" s="799"/>
      <c r="C113" s="791"/>
      <c r="D113" s="791"/>
      <c r="E113" s="791"/>
      <c r="F113" s="791"/>
      <c r="G113" s="791"/>
      <c r="H113" s="791"/>
    </row>
    <row r="114" spans="1:10" ht="28">
      <c r="A114" s="671" t="s">
        <v>1306</v>
      </c>
      <c r="B114" s="799">
        <f>VLOOKUP(Inngang!C8,'K18'!A5:BM432,59)</f>
        <v>22</v>
      </c>
      <c r="C114" s="791"/>
      <c r="D114" s="791"/>
      <c r="E114" s="791"/>
      <c r="F114" s="791"/>
      <c r="G114" s="791"/>
      <c r="H114" s="791"/>
    </row>
    <row r="115" spans="1:10" ht="14">
      <c r="A115" s="671"/>
      <c r="B115" s="799"/>
      <c r="C115" s="791"/>
      <c r="D115" s="791"/>
      <c r="E115" s="791"/>
      <c r="F115" s="791"/>
      <c r="G115" s="791"/>
      <c r="H115" s="791"/>
    </row>
    <row r="116" spans="1:10" ht="28">
      <c r="A116" s="671" t="s">
        <v>1318</v>
      </c>
      <c r="B116" s="799">
        <f>VLOOKUP(Inngang!C8,'K18'!A6:BM433,62)</f>
        <v>-10.3635</v>
      </c>
      <c r="C116" s="791"/>
      <c r="D116" s="791"/>
      <c r="E116" s="791"/>
      <c r="F116" s="791"/>
      <c r="G116" s="791"/>
      <c r="H116" s="791"/>
    </row>
    <row r="117" spans="1:10" ht="14">
      <c r="A117" s="671"/>
      <c r="B117" s="799"/>
      <c r="C117" s="791"/>
      <c r="D117" s="791"/>
      <c r="E117" s="791"/>
      <c r="F117" s="791"/>
      <c r="G117" s="791"/>
      <c r="H117" s="791"/>
    </row>
    <row r="118" spans="1:10" ht="28">
      <c r="A118" s="671" t="s">
        <v>1319</v>
      </c>
      <c r="B118" s="799">
        <f>VLOOKUP(Inngang!C8,'K18'!A6:BM433,63)</f>
        <v>0</v>
      </c>
      <c r="C118" s="791"/>
      <c r="D118" s="791"/>
      <c r="E118" s="791"/>
      <c r="F118" s="791"/>
      <c r="G118" s="791"/>
      <c r="H118" s="791"/>
    </row>
    <row r="119" spans="1:10" ht="14">
      <c r="A119" s="671"/>
      <c r="B119" s="791"/>
      <c r="C119" s="791"/>
      <c r="D119" s="791"/>
      <c r="E119" s="791"/>
      <c r="F119" s="791"/>
      <c r="G119" s="791"/>
      <c r="H119" s="791"/>
    </row>
    <row r="120" spans="1:10" ht="14">
      <c r="A120" s="671" t="s">
        <v>2333</v>
      </c>
      <c r="B120" s="791"/>
      <c r="C120" s="791"/>
      <c r="D120" s="791"/>
      <c r="E120" s="791"/>
      <c r="F120" s="1044">
        <f>VLOOKUP(Gdata!$B$3,'K22'!$A$4:$CN$359,74)</f>
        <v>2500</v>
      </c>
      <c r="G120" s="791"/>
      <c r="H120" s="791"/>
    </row>
    <row r="121" spans="1:10" ht="14">
      <c r="A121" s="671"/>
      <c r="B121" s="791"/>
      <c r="C121" s="791"/>
      <c r="D121" s="791"/>
      <c r="E121" s="791"/>
      <c r="F121" s="1044"/>
      <c r="G121" s="791"/>
      <c r="H121" s="791"/>
    </row>
    <row r="122" spans="1:10" ht="22.5" customHeight="1">
      <c r="A122" s="429" t="s">
        <v>1316</v>
      </c>
      <c r="B122" s="676">
        <f>SUM(B108:B120)</f>
        <v>207.65980000000002</v>
      </c>
      <c r="C122" s="676">
        <f t="shared" ref="C122:J122" si="21">SUM(C108:C120)</f>
        <v>0</v>
      </c>
      <c r="D122" s="676">
        <f t="shared" si="21"/>
        <v>0</v>
      </c>
      <c r="E122" s="676">
        <f t="shared" si="21"/>
        <v>0</v>
      </c>
      <c r="F122" s="676">
        <f t="shared" si="21"/>
        <v>2500</v>
      </c>
      <c r="G122" s="676">
        <f t="shared" si="21"/>
        <v>0</v>
      </c>
      <c r="H122" s="783">
        <f t="shared" si="21"/>
        <v>0</v>
      </c>
      <c r="I122" s="783">
        <f t="shared" si="21"/>
        <v>0</v>
      </c>
      <c r="J122" s="783">
        <f t="shared" si="21"/>
        <v>0</v>
      </c>
    </row>
    <row r="123" spans="1:10" ht="14">
      <c r="A123" s="671"/>
      <c r="E123" s="791"/>
    </row>
    <row r="124" spans="1:10" ht="14">
      <c r="A124" s="671"/>
      <c r="E124" s="791"/>
    </row>
    <row r="126" spans="1:10" ht="14">
      <c r="A126" s="671"/>
    </row>
  </sheetData>
  <sheetProtection sheet="1" objects="1" scenarios="1"/>
  <mergeCells count="1">
    <mergeCell ref="M54:O54"/>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3" max="16383" man="1"/>
    <brk id="10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82A2-56E0-45E8-8B70-E00AF148ED8E}">
  <ds:schemaRefs>
    <ds:schemaRef ds:uri="http://purl.org/dc/dcmitype/"/>
    <ds:schemaRef ds:uri="http://schemas.microsoft.com/office/2006/metadata/properties"/>
    <ds:schemaRef ds:uri="http://schemas.microsoft.com/office/2006/documentManagement/types"/>
    <ds:schemaRef ds:uri="http://purl.org/dc/elements/1.1/"/>
    <ds:schemaRef ds:uri="3b8e2fe7-57f7-46eb-a3a7-4565216e3ee9"/>
    <ds:schemaRef ds:uri="http://www.w3.org/XML/1998/namespace"/>
    <ds:schemaRef ds:uri="http://schemas.microsoft.com/office/infopath/2007/PartnerControls"/>
    <ds:schemaRef ds:uri="http://schemas.openxmlformats.org/package/2006/metadata/core-properties"/>
    <ds:schemaRef ds:uri="79413178-3547-4fef-a8b5-ad7ee22e3a1f"/>
    <ds:schemaRef ds:uri="http://purl.org/dc/terms/"/>
  </ds:schemaRefs>
</ds:datastoreItem>
</file>

<file path=customXml/itemProps3.xml><?xml version="1.0" encoding="utf-8"?>
<ds:datastoreItem xmlns:ds="http://schemas.openxmlformats.org/officeDocument/2006/customXml" ds:itemID="{A86AF36F-54C3-4726-B065-1B206A372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50</vt:i4>
      </vt:variant>
      <vt:variant>
        <vt:lpstr>Diagrammer</vt:lpstr>
      </vt:variant>
      <vt:variant>
        <vt:i4>3</vt:i4>
      </vt:variant>
      <vt:variant>
        <vt:lpstr>Navngitte områder</vt:lpstr>
      </vt:variant>
      <vt:variant>
        <vt:i4>34</vt:i4>
      </vt:variant>
    </vt:vector>
  </HeadingPairs>
  <TitlesOfParts>
    <vt:vector size="87" baseType="lpstr">
      <vt:lpstr>Inngang</vt:lpstr>
      <vt:lpstr>Forutsetninger</vt:lpstr>
      <vt:lpstr>Gdata</vt:lpstr>
      <vt:lpstr>Rskudd</vt:lpstr>
      <vt:lpstr>Inntektsutj</vt:lpstr>
      <vt:lpstr>Distriktogvekst</vt:lpstr>
      <vt:lpstr>Ingar</vt:lpstr>
      <vt:lpstr>Bregn</vt:lpstr>
      <vt:lpstr>Analyse</vt:lpstr>
      <vt:lpstr>innut22</vt:lpstr>
      <vt:lpstr>innut23</vt:lpstr>
      <vt:lpstr>innut24</vt:lpstr>
      <vt:lpstr>R18</vt:lpstr>
      <vt:lpstr>R19</vt:lpstr>
      <vt:lpstr>R20</vt:lpstr>
      <vt:lpstr>R21</vt:lpstr>
      <vt:lpstr>R22</vt:lpstr>
      <vt:lpstr>R23</vt:lpstr>
      <vt:lpstr>Ut18</vt:lpstr>
      <vt:lpstr>Ut19</vt:lpstr>
      <vt:lpstr>Ut20</vt:lpstr>
      <vt:lpstr>Ut21</vt:lpstr>
      <vt:lpstr>Ut22</vt:lpstr>
      <vt:lpstr>Ut23</vt:lpstr>
      <vt:lpstr>Ut24</vt:lpstr>
      <vt:lpstr>Ut25</vt:lpstr>
      <vt:lpstr>Ut26</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Bef.fremskr. kommunenivå MMMM</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'Bef.fremskr. kommunenivå MMMM'!Utskriftstitler</vt:lpstr>
      <vt:lpstr>Bregn!Utskriftstitler</vt:lpstr>
      <vt:lpstr>Distriktogvekst!Utskriftstitler</vt:lpstr>
      <vt:lpstr>'Folke landet MMMM'!Utskriftstitler</vt:lpstr>
      <vt:lpstr>Ingar!Utskriftstitler</vt:lpstr>
      <vt:lpstr>innut22!Utskriftstitler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2022-10-07T06:19:37Z</cp:lastPrinted>
  <dcterms:created xsi:type="dcterms:W3CDTF">1999-01-21T19:04:53Z</dcterms:created>
  <dcterms:modified xsi:type="dcterms:W3CDTF">2022-12-05T10:24:47Z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